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Books Inventory Team" sheetId="1" r:id="rId5"/>
    <sheet state="visible" name="Sources &gt;&gt;" sheetId="2" r:id="rId6"/>
    <sheet state="visible" name="Stock" sheetId="3" r:id="rId7"/>
    <sheet state="visible" name="Sales from Stock" sheetId="4" r:id="rId8"/>
    <sheet state="visible" name="Product" sheetId="5" r:id="rId9"/>
    <sheet state="visible" name="Exploration &gt;&gt;" sheetId="6" r:id="rId10"/>
    <sheet state="visible" name="Explo_Stock" sheetId="7" r:id="rId11"/>
    <sheet state="visible" name="Shortage_analysis" sheetId="8" r:id="rId12"/>
    <sheet state="visible" name="stok_analysis" sheetId="9" r:id="rId13"/>
    <sheet state="visible" name="Pivot Table 2" sheetId="10" r:id="rId14"/>
    <sheet state="visible" name="Deliverables &gt;&gt;" sheetId="11" r:id="rId15"/>
    <sheet state="visible" name="Stock_Categories_Dashboard" sheetId="12" r:id="rId16"/>
    <sheet state="visible" name="RESULTS" sheetId="13" r:id="rId17"/>
  </sheets>
  <definedNames>
    <definedName hidden="1" localSheetId="6" name="_xlnm._FilterDatabase">Explo_Stock!$E$1:$E$6401</definedName>
  </definedNames>
  <calcPr/>
  <pivotCaches>
    <pivotCache cacheId="0" r:id="rId18"/>
    <pivotCache cacheId="1" r:id="rId19"/>
    <pivotCache cacheId="2" r:id="rId20"/>
  </pivotCaches>
</workbook>
</file>

<file path=xl/sharedStrings.xml><?xml version="1.0" encoding="utf-8"?>
<sst xmlns="http://schemas.openxmlformats.org/spreadsheetml/2006/main" count="85" uniqueCount="43">
  <si>
    <t>category_1</t>
  </si>
  <si>
    <t>category_2</t>
  </si>
  <si>
    <t>category_3</t>
  </si>
  <si>
    <t>pp_cat</t>
  </si>
  <si>
    <t>product_name</t>
  </si>
  <si>
    <t>stok_value</t>
  </si>
  <si>
    <t>in_stock</t>
  </si>
  <si>
    <t xml:space="preserve"> </t>
  </si>
  <si>
    <t>Shortage Rate</t>
  </si>
  <si>
    <t>Stokta olan ürün sayısı</t>
  </si>
  <si>
    <t>Ortalama stok</t>
  </si>
  <si>
    <t>Stok değeri</t>
  </si>
  <si>
    <t>Average stock</t>
  </si>
  <si>
    <t>Arts</t>
  </si>
  <si>
    <t>Fiction</t>
  </si>
  <si>
    <t>Finance</t>
  </si>
  <si>
    <t>History</t>
  </si>
  <si>
    <t>Law</t>
  </si>
  <si>
    <t>Medical</t>
  </si>
  <si>
    <t>Self-Help</t>
  </si>
  <si>
    <t>Sports</t>
  </si>
  <si>
    <t>Tech</t>
  </si>
  <si>
    <t>COUNTA of product_id</t>
  </si>
  <si>
    <t>Grand Total</t>
  </si>
  <si>
    <t>SUM of product_id</t>
  </si>
  <si>
    <t>COUNT of product_id</t>
  </si>
  <si>
    <t>📦  INVENTORY TEAM</t>
  </si>
  <si>
    <t>Team Objective</t>
  </si>
  <si>
    <t>Optimize inventory availability by identifying stock shortages early, monitoring inventory value, and forecasting replenishment needs to minimize stockouts and excess inventory.</t>
  </si>
  <si>
    <t>Primary KPIs</t>
  </si>
  <si>
    <t>KPI name</t>
  </si>
  <si>
    <t>Description</t>
  </si>
  <si>
    <t>Why it matters?</t>
  </si>
  <si>
    <t xml:space="preserve">
Team Priorities</t>
  </si>
  <si>
    <t>Prevent stockouts, identify low-stock books and prioritize replenishment.</t>
  </si>
  <si>
    <t>Ensures books are available when customers need them.</t>
  </si>
  <si>
    <t xml:space="preserve">Data-Driven Decisions
</t>
  </si>
  <si>
    <t>Use inventory levels and sales data to forecast demand and replenishment needs.</t>
  </si>
  <si>
    <t>Helps the team make timely and accurate purchasing decisions.</t>
  </si>
  <si>
    <t>Inventory KPIs</t>
  </si>
  <si>
    <t>Inventory units, inventory value, stockout rate, stock availability, sales velocity, and reorder quantity.</t>
  </si>
  <si>
    <t>Measures inventory health and identifies products requiring immediate action.</t>
  </si>
  <si>
    <r>
      <rPr>
        <rFont val="Arial"/>
        <color rgb="FF073763"/>
        <sz val="14.0"/>
      </rPr>
      <t>Inventory Stock Analysis — Results &amp; Insights</t>
    </r>
    <r>
      <rPr>
        <rFont val="Arial"/>
        <color rgb="FF00FFFF"/>
        <sz val="14.0"/>
      </rPr>
      <t xml:space="preserve">
</t>
    </r>
    <r>
      <rPr>
        <rFont val="Arial"/>
        <color rgb="FF3D85C6"/>
      </rPr>
      <t xml:space="preserve">
</t>
    </r>
    <r>
      <rPr>
        <rFont val="Arial"/>
        <color rgb="FF3D85C6"/>
        <sz val="12.0"/>
      </rPr>
      <t>1. Overall Shortage Rate</t>
    </r>
    <r>
      <rPr>
        <rFont val="Arial"/>
        <color rgb="FF000000"/>
        <sz val="12.0"/>
      </rPr>
      <t xml:space="preserve">
The overall stock shortage rate is 1.37%. This represents the percentage of products that are currently out of stock.
</t>
    </r>
    <r>
      <rPr>
        <rFont val="Arial"/>
        <color rgb="FF4FAAE6"/>
        <sz val="12.0"/>
      </rPr>
      <t>2. Highest-Risk Product Categories</t>
    </r>
    <r>
      <rPr>
        <rFont val="Arial"/>
        <color rgb="FF000000"/>
        <sz val="12.0"/>
      </rPr>
      <t xml:space="preserve">
The Law category has the highest shortage rate at 1.85%, followed by Medical (1.48%), Tech (1.41%), Fiction (1.34%), and Self-Help (1.28%). These categories should receive priority in stock monitoring and replenishment planning.
</t>
    </r>
    <r>
      <rPr>
        <rFont val="Arial"/>
        <color rgb="FFBF9000"/>
        <sz val="12.0"/>
      </rPr>
      <t xml:space="preserve">
3. Recommendations for the Inventory Team</t>
    </r>
    <r>
      <rPr>
        <rFont val="Arial"/>
        <color rgb="FF000000"/>
        <sz val="12.0"/>
      </rPr>
      <t xml:space="preserve">
Prioritize stock checks for Law, Medical, and Tech products.
Identify individual products that are out of stock and need urgent replenishment.
Compare current stock levels with forecast demand to prevent future shortages.</t>
    </r>
    <r>
      <rPr>
        <rFont val="Arial"/>
        <color rgb="FF000000"/>
      </rPr>
      <t xml:space="preserve">
</t>
    </r>
    <r>
      <rPr>
        <rFont val="Arial"/>
        <color rgb="FF000000"/>
        <sz val="12.0"/>
      </rPr>
      <t xml:space="preserve">
Monitor shortage rates regularly and adjust replenishment priorities when needed.
</t>
    </r>
    <r>
      <rPr>
        <rFont val="Arial"/>
        <color rgb="FF351C75"/>
        <sz val="12.0"/>
      </rPr>
      <t>4. Procurement Meeting Summary</t>
    </r>
    <r>
      <rPr>
        <rFont val="Arial"/>
        <color rgb="FF000000"/>
        <sz val="12.0"/>
      </rPr>
      <t xml:space="preserve">
</t>
    </r>
    <r>
      <rPr>
        <rFont val="Arial"/>
        <color rgb="FF000000"/>
        <sz val="9.0"/>
      </rPr>
      <t>The overall stock shortage rate is 1.37%, with Law showing the highest rate at 1.85%. We recommend prioritizing replenishment for high-risk categories and reviewing supplier availability and delivery times. Procurement decisions should consider forecast demand to prevent stockouts while avoiding unnecessary overstocking.</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</si>
</sst>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2.0"/>
      <color rgb="FF000000"/>
      <name val="Arial"/>
      <scheme val="minor"/>
    </font>
    <font>
      <color theme="1"/>
      <name val="Arial"/>
      <scheme val="minor"/>
    </font>
    <font/>
    <font>
      <b/>
      <sz val="13.0"/>
      <color rgb="FF0000FF"/>
      <name val="Arial"/>
      <scheme val="minor"/>
    </font>
    <font>
      <b/>
      <sz val="13.0"/>
      <color rgb="FF0000FF"/>
      <name val="Arial"/>
    </font>
    <font>
      <b/>
      <sz val="12.0"/>
      <color rgb="FF000000"/>
      <name val="Arial"/>
      <scheme val="minor"/>
    </font>
    <font>
      <b/>
      <sz val="12.0"/>
      <color rgb="FF000000"/>
      <name val="Outfit"/>
    </font>
    <font>
      <b/>
      <color rgb="FF000000"/>
      <name val="Arial"/>
      <scheme val="minor"/>
    </font>
    <font>
      <b/>
      <sz val="14.0"/>
      <color rgb="FFFFFFFF"/>
      <name val="Arial"/>
      <scheme val="minor"/>
    </font>
    <font>
      <color rgb="FF000000"/>
      <name val="Arial"/>
      <scheme val="minor"/>
    </font>
    <font>
      <b/>
      <sz val="20.0"/>
      <color theme="1"/>
      <name val="Nunito"/>
    </font>
    <font>
      <color theme="1"/>
      <name val="Nunito"/>
    </font>
    <font>
      <b/>
      <sz val="12.0"/>
      <color rgb="FFFFFFFF"/>
      <name val="Nunito"/>
    </font>
    <font>
      <sz val="9.0"/>
      <color rgb="FF000000"/>
      <name val="Arial"/>
      <scheme val="minor"/>
    </font>
    <font>
      <sz val="9.0"/>
      <color theme="1"/>
      <name val="Nunito"/>
    </font>
    <font>
      <b/>
      <color theme="1"/>
      <name val="Nunito"/>
    </font>
    <font>
      <sz val="12.0"/>
      <color theme="1"/>
      <name val="Nunito"/>
    </font>
  </fonts>
  <fills count="9">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00FFFF"/>
        <bgColor rgb="FF00FFFF"/>
      </patternFill>
    </fill>
    <fill>
      <patternFill patternType="solid">
        <fgColor rgb="FF741B47"/>
        <bgColor rgb="FF741B47"/>
      </patternFill>
    </fill>
    <fill>
      <patternFill patternType="solid">
        <fgColor rgb="FFB6D7A8"/>
        <bgColor rgb="FFB6D7A8"/>
      </patternFill>
    </fill>
    <fill>
      <patternFill patternType="solid">
        <fgColor rgb="FFD9D9D9"/>
        <bgColor rgb="FFD9D9D9"/>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1" xfId="0" applyFont="1" applyNumberFormat="1"/>
    <xf borderId="1" fillId="2" fontId="2" numFmtId="0" xfId="0" applyBorder="1" applyFill="1" applyFont="1"/>
    <xf borderId="2" fillId="0" fontId="3" numFmtId="0" xfId="0" applyBorder="1" applyFont="1"/>
    <xf borderId="0" fillId="0" fontId="2" numFmtId="0" xfId="0" applyAlignment="1" applyFont="1">
      <alignment readingOrder="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3" fontId="4" numFmtId="0" xfId="0" applyFill="1" applyFont="1"/>
    <xf borderId="0" fillId="3" fontId="4" numFmtId="0" xfId="0" applyAlignment="1" applyFill="1" applyFont="1">
      <alignment readingOrder="0"/>
    </xf>
    <xf borderId="0" fillId="3" fontId="5" numFmtId="0" xfId="0" applyAlignment="1" applyFill="1" applyFont="1">
      <alignment horizontal="center" readingOrder="0"/>
    </xf>
    <xf borderId="0" fillId="3" fontId="4" numFmtId="10" xfId="0" applyAlignment="1" applyFill="1" applyFont="1" applyNumberFormat="1">
      <alignment readingOrder="0"/>
    </xf>
    <xf borderId="0" fillId="0" fontId="2" numFmtId="0" xfId="0" applyAlignment="1" applyFont="1">
      <alignment horizontal="center"/>
    </xf>
    <xf borderId="0" fillId="0" fontId="2" numFmtId="10" xfId="0" applyFont="1" applyNumberFormat="1"/>
    <xf borderId="0" fillId="4" fontId="6" numFmtId="0" xfId="0" applyAlignment="1" applyFill="1" applyFont="1">
      <alignment readingOrder="0"/>
    </xf>
    <xf borderId="9" fillId="5" fontId="7" numFmtId="0" xfId="0" applyAlignment="1" applyBorder="1" applyFill="1" applyFont="1">
      <alignment horizontal="left" readingOrder="0"/>
    </xf>
    <xf borderId="9" fillId="4" fontId="8" numFmtId="0" xfId="0" applyAlignment="1" applyBorder="1" applyFill="1" applyFont="1">
      <alignment readingOrder="0"/>
    </xf>
    <xf borderId="9" fillId="6" fontId="9" numFmtId="0" xfId="0" applyAlignment="1" applyBorder="1" applyFill="1" applyFont="1">
      <alignment readingOrder="0"/>
    </xf>
    <xf borderId="0" fillId="0" fontId="1" numFmtId="0" xfId="0" applyAlignment="1" applyFont="1">
      <alignment readingOrder="0"/>
    </xf>
    <xf borderId="0" fillId="0" fontId="10" numFmtId="0" xfId="0" applyFont="1"/>
    <xf borderId="9" fillId="0" fontId="2" numFmtId="0" xfId="0" applyBorder="1" applyFont="1"/>
    <xf borderId="0" fillId="0" fontId="10" numFmtId="0" xfId="0" applyAlignment="1" applyFont="1">
      <alignment readingOrder="0"/>
    </xf>
    <xf borderId="9" fillId="0" fontId="1" numFmtId="1" xfId="0" applyBorder="1" applyFont="1" applyNumberFormat="1"/>
    <xf borderId="9" fillId="0" fontId="1" numFmtId="0" xfId="0" applyBorder="1" applyFont="1"/>
    <xf borderId="9" fillId="0" fontId="1" numFmtId="0" xfId="0" applyAlignment="1" applyBorder="1" applyFont="1">
      <alignment readingOrder="0"/>
    </xf>
    <xf borderId="9" fillId="0" fontId="1" numFmtId="4" xfId="0" applyAlignment="1" applyBorder="1" applyFont="1" applyNumberFormat="1">
      <alignment readingOrder="0"/>
    </xf>
    <xf borderId="9" fillId="0" fontId="1" numFmtId="10" xfId="0" applyBorder="1" applyFont="1" applyNumberFormat="1"/>
    <xf borderId="9" fillId="0" fontId="1" numFmtId="4" xfId="0" applyBorder="1" applyFont="1" applyNumberFormat="1"/>
    <xf borderId="0" fillId="0" fontId="11" numFmtId="0" xfId="0" applyAlignment="1" applyFont="1">
      <alignment readingOrder="0"/>
    </xf>
    <xf borderId="0" fillId="0" fontId="12" numFmtId="0" xfId="0" applyFont="1"/>
    <xf borderId="0" fillId="7" fontId="13" numFmtId="0" xfId="0" applyAlignment="1" applyFill="1" applyFont="1">
      <alignment readingOrder="0"/>
    </xf>
    <xf borderId="0" fillId="7" fontId="12" numFmtId="0" xfId="0" applyFill="1" applyFont="1"/>
    <xf borderId="0" fillId="0" fontId="14" numFmtId="0" xfId="0" applyAlignment="1" applyFont="1">
      <alignment readingOrder="0"/>
    </xf>
    <xf borderId="0" fillId="0" fontId="15" numFmtId="0" xfId="0" applyAlignment="1" applyFont="1">
      <alignment shrinkToFit="0" wrapText="1"/>
    </xf>
    <xf borderId="0" fillId="0" fontId="15" numFmtId="0" xfId="0" applyFont="1"/>
    <xf borderId="0" fillId="0" fontId="12" numFmtId="0" xfId="0" applyAlignment="1" applyFont="1">
      <alignment shrinkToFit="0" wrapText="1"/>
    </xf>
    <xf borderId="0" fillId="7" fontId="12" numFmtId="0" xfId="0" applyAlignment="1" applyFill="1" applyFont="1">
      <alignment shrinkToFit="0" wrapText="1"/>
    </xf>
    <xf borderId="0" fillId="0" fontId="12" numFmtId="0" xfId="0" applyAlignment="1" applyFont="1">
      <alignment horizontal="center" readingOrder="0" shrinkToFit="0" wrapText="1"/>
    </xf>
    <xf borderId="9" fillId="0" fontId="16" numFmtId="0" xfId="0" applyAlignment="1" applyBorder="1" applyFont="1">
      <alignment horizontal="center" readingOrder="0" shrinkToFit="0" wrapText="1"/>
    </xf>
    <xf borderId="10" fillId="0" fontId="16" numFmtId="0" xfId="0" applyAlignment="1" applyBorder="1" applyFont="1">
      <alignment horizontal="center" readingOrder="0" shrinkToFit="0" wrapText="1"/>
    </xf>
    <xf borderId="11" fillId="0" fontId="3" numFmtId="0" xfId="0" applyBorder="1" applyFont="1"/>
    <xf borderId="12" fillId="0" fontId="3" numFmtId="0" xfId="0" applyBorder="1" applyFont="1"/>
    <xf borderId="9" fillId="0" fontId="12" numFmtId="0" xfId="0" applyAlignment="1" applyBorder="1" applyFont="1">
      <alignment readingOrder="0" shrinkToFit="0" wrapText="1"/>
    </xf>
    <xf borderId="9" fillId="0" fontId="10" numFmtId="0" xfId="0" applyAlignment="1" applyBorder="1" applyFont="1">
      <alignment readingOrder="0"/>
    </xf>
    <xf borderId="9" fillId="0" fontId="12" numFmtId="0" xfId="0" applyAlignment="1" applyBorder="1" applyFont="1">
      <alignment shrinkToFit="0" wrapText="1"/>
    </xf>
    <xf borderId="10" fillId="0" fontId="12" numFmtId="0" xfId="0" applyAlignment="1" applyBorder="1" applyFont="1">
      <alignment readingOrder="0" shrinkToFit="0" wrapText="1"/>
    </xf>
    <xf borderId="10" fillId="0" fontId="12" numFmtId="0" xfId="0" applyAlignment="1" applyBorder="1" applyFont="1">
      <alignment shrinkToFit="0" wrapText="1"/>
    </xf>
    <xf borderId="0" fillId="8" fontId="10" numFmtId="0" xfId="0" applyAlignment="1" applyFill="1" applyFont="1">
      <alignment readingOrder="0"/>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Shortage Rate-Average stock</a:t>
            </a:r>
          </a:p>
        </c:rich>
      </c:tx>
      <c:overlay val="0"/>
    </c:title>
    <c:plotArea>
      <c:layout/>
      <c:barChart>
        <c:barDir val="col"/>
        <c:varyColors val="0"/>
        <c:ser>
          <c:idx val="1"/>
          <c:order val="1"/>
          <c:tx>
            <c:strRef>
              <c:f>Shortage_analysis!$J$1</c:f>
            </c:strRef>
          </c:tx>
          <c:spPr>
            <a:solidFill>
              <a:schemeClr val="accent2"/>
            </a:solidFill>
            <a:ln cmpd="sng">
              <a:noFill/>
            </a:ln>
          </c:spPr>
          <c:invertIfNegative val="0"/>
          <c:cat>
            <c:strRef>
              <c:f>Shortage_analysis!$I$2:$I$1000</c:f>
            </c:strRef>
          </c:cat>
          <c:val>
            <c:numRef>
              <c:f>Shortage_analysis!$J$2:$J$11</c:f>
              <c:numCache/>
            </c:numRef>
          </c:val>
        </c:ser>
        <c:axId val="2027507903"/>
        <c:axId val="1116431120"/>
      </c:barChart>
      <c:catAx>
        <c:axId val="2027507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6431120"/>
      </c:catAx>
      <c:valAx>
        <c:axId val="1116431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Shortage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7507903"/>
      </c:valAx>
      <c:lineChart>
        <c:varyColors val="0"/>
        <c:ser>
          <c:idx val="0"/>
          <c:order val="0"/>
          <c:tx>
            <c:strRef>
              <c:f>Shortage_analysis!$K$1</c:f>
            </c:strRef>
          </c:tx>
          <c:spPr>
            <a:ln cmpd="sng">
              <a:solidFill>
                <a:srgbClr val="4285F4"/>
              </a:solidFill>
            </a:ln>
          </c:spPr>
          <c:marker>
            <c:symbol val="none"/>
          </c:marker>
          <c:cat>
            <c:strRef>
              <c:f>Shortage_analysis!$I$2:$I$1000</c:f>
            </c:strRef>
          </c:cat>
          <c:val>
            <c:numRef>
              <c:f>Shortage_analysis!$K$2:$K$11</c:f>
              <c:numCache/>
            </c:numRef>
          </c:val>
          <c:smooth val="0"/>
        </c:ser>
        <c:axId val="753073522"/>
        <c:axId val="2111448178"/>
      </c:lineChart>
      <c:catAx>
        <c:axId val="753073522"/>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2111448178"/>
      </c:catAx>
      <c:valAx>
        <c:axId val="211144817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307352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Comfortaa"/>
              </a:defRPr>
            </a:pPr>
            <a:r>
              <a:rPr b="1" sz="2400">
                <a:solidFill>
                  <a:srgbClr val="757575"/>
                </a:solidFill>
                <a:latin typeface="Comfortaa"/>
              </a:rPr>
              <a:t>Stokta olan vs stokta olmayan ürün dağılım</a:t>
            </a:r>
          </a:p>
        </c:rich>
      </c:tx>
      <c:overlay val="0"/>
    </c:title>
    <c:plotArea>
      <c:layout/>
      <c:pieChart>
        <c:varyColors val="1"/>
        <c:ser>
          <c:idx val="0"/>
          <c:order val="0"/>
          <c:tx>
            <c:strRef>
              <c:f>stok_analysis!$C$1</c:f>
            </c:strRef>
          </c:tx>
          <c:dPt>
            <c:idx val="0"/>
            <c:spPr>
              <a:solidFill>
                <a:srgbClr val="0B5394"/>
              </a:solidFill>
            </c:spPr>
          </c:dPt>
          <c:dPt>
            <c:idx val="1"/>
            <c:spPr>
              <a:solidFill>
                <a:srgbClr val="EA9999"/>
              </a:solidFill>
            </c:spPr>
          </c:dPt>
          <c:dLbls>
            <c:showLegendKey val="0"/>
            <c:showVal val="0"/>
            <c:showCatName val="0"/>
            <c:showSerName val="0"/>
            <c:showPercent val="0"/>
            <c:showBubbleSize val="0"/>
            <c:showLeaderLines val="1"/>
          </c:dLbls>
          <c:cat>
            <c:strRef>
              <c:f>stok_analysis!$C$2:$C$3</c:f>
            </c:strRef>
          </c:cat>
          <c:val>
            <c:numRef>
              <c:f>stok_analysis!$C$2:$C$3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1</xdr:row>
      <xdr:rowOff>123825</xdr:rowOff>
    </xdr:from>
    <xdr:ext cx="7315200" cy="485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914400</xdr:colOff>
      <xdr:row>12</xdr:row>
      <xdr:rowOff>0</xdr:rowOff>
    </xdr:from>
    <xdr:ext cx="5715000" cy="3533775"/>
    <xdr:graphicFrame>
      <xdr:nvGraphicFramePr>
        <xdr:cNvPr id="1" name="Chart 1" title="Grafik"/>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142875</xdr:rowOff>
    </xdr:from>
    <xdr:ext cx="4114800" cy="3533775"/>
    <xdr:graphicFrame>
      <xdr:nvGraphicFramePr>
        <xdr:cNvPr id="2" name="Chart 2" title="Grafik"/>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6401" sheet="Explo_Stock"/>
  </cacheSource>
  <cacheFields>
    <cacheField name="product_id" numFmtId="0">
      <sharedItems containsString="0" containsBlank="1" containsNumber="1" containsInteger="1">
        <n v="112463.0"/>
        <n v="112481.0"/>
        <n v="13346.0"/>
        <n v="112454.0"/>
        <n v="112461.0"/>
        <n v="106532.0"/>
        <n v="121135.0"/>
        <n v="128362.0"/>
        <n v="71200.0"/>
        <n v="19812.0"/>
        <n v="122259.0"/>
        <n v="199526.0"/>
        <n v="140581.0"/>
        <n v="118383.0"/>
        <n v="122262.0"/>
        <n v="141879.0"/>
        <n v="19826.0"/>
        <n v="93039.0"/>
        <n v="128213.0"/>
        <n v="83797.0"/>
        <n v="19831.0"/>
        <n v="93025.0"/>
        <n v="81624.0"/>
        <n v="92913.0"/>
        <n v="126983.0"/>
        <n v="118226.0"/>
        <n v="48618.0"/>
        <n v="93037.0"/>
        <n v="126984.0"/>
        <n v="47393.0"/>
        <n v="128214.0"/>
        <n v="83802.0"/>
        <n v="48625.0"/>
        <n v="83602.0"/>
        <n v="98867.0"/>
        <n v="127042.0"/>
        <n v="127241.0"/>
        <n v="118220.0"/>
        <n v="128216.0"/>
        <n v="93049.0"/>
        <n v="118216.0"/>
        <n v="118221.0"/>
        <n v="92900.0"/>
        <n v="118215.0"/>
        <n v="19832.0"/>
        <n v="93071.0"/>
        <n v="122395.0"/>
        <n v="116946.0"/>
        <n v="97538.0"/>
        <n v="127238.0"/>
        <n v="81646.0"/>
        <n v="81643.0"/>
        <n v="128215.0"/>
        <n v="108022.0"/>
        <n v="81647.0"/>
        <n v="83603.0"/>
        <n v="118219.0"/>
        <n v="120952.0"/>
        <n v="81658.0"/>
        <n v="93047.0"/>
        <n v="83807.0"/>
        <n v="92915.0"/>
        <n v="81653.0"/>
        <n v="81618.0"/>
        <n v="118241.0"/>
        <n v="48634.0"/>
        <n v="48636.0"/>
        <n v="48629.0"/>
        <n v="47400.0"/>
        <n v="111237.0"/>
        <n v="18042.0"/>
        <n v="114978.0"/>
        <n v="82980.0"/>
        <n v="83093.0"/>
        <n v="18134.0"/>
        <n v="107857.0"/>
        <n v="18136.0"/>
        <n v="69138.0"/>
        <n v="74828.0"/>
        <n v="74884.0"/>
        <n v="127232.0"/>
        <n v="82979.0"/>
        <n v="18138.0"/>
        <n v="127003.0"/>
        <n v="6036.0"/>
        <n v="6046.0"/>
        <n v="6037.0"/>
        <n v="6026.0"/>
        <n v="47431.0"/>
        <n v="82914.0"/>
        <n v="6044.0"/>
        <n v="82913.0"/>
        <n v="82922.0"/>
        <n v="6045.0"/>
        <n v="6027.0"/>
        <n v="97088.0"/>
        <n v="122235.0"/>
        <n v="119887.0"/>
        <n v="97980.0"/>
        <n v="119876.0"/>
        <n v="119881.0"/>
        <n v="26127.0"/>
        <n v="87365.0"/>
        <n v="87381.0"/>
        <n v="122828.0"/>
        <n v="73841.0"/>
        <n v="73838.0"/>
        <n v="87372.0"/>
        <n v="87383.0"/>
        <n v="49068.0"/>
        <n v="26130.0"/>
        <n v="111493.0"/>
        <n v="98395.0"/>
        <n v="98396.0"/>
        <n v="98394.0"/>
        <n v="98397.0"/>
        <n v="111489.0"/>
        <n v="98393.0"/>
        <n v="10933.0"/>
        <n v="111994.0"/>
        <n v="101637.0"/>
        <n v="111996.0"/>
        <n v="120886.0"/>
        <n v="85058.0"/>
        <n v="27380.0"/>
        <n v="117204.0"/>
        <n v="45484.0"/>
        <n v="27382.0"/>
        <n v="45491.0"/>
        <n v="11631.0"/>
        <n v="11630.0"/>
        <n v="11634.0"/>
        <n v="11635.0"/>
        <n v="114776.0"/>
        <n v="76762.0"/>
        <n v="181194.0"/>
        <n v="164637.0"/>
        <n v="164636.0"/>
        <n v="164639.0"/>
        <n v="85251.0"/>
        <n v="113532.0"/>
        <n v="82501.0"/>
        <n v="121287.0"/>
        <n v="113559.0"/>
        <n v="85252.0"/>
        <n v="82507.0"/>
        <n v="109625.0"/>
        <n v="110864.0"/>
        <n v="138916.0"/>
        <n v="121076.0"/>
        <n v="121077.0"/>
        <n v="116631.0"/>
        <n v="147263.0"/>
        <n v="108763.0"/>
        <n v="116593.0"/>
        <n v="116613.0"/>
        <n v="102476.0"/>
        <n v="190030.0"/>
        <n v="113845.0"/>
        <n v="77824.0"/>
        <n v="85888.0"/>
        <n v="85890.0"/>
        <n v="83727.0"/>
        <n v="85887.0"/>
        <n v="77823.0"/>
        <n v="86753.0"/>
        <n v="145102.0"/>
        <n v="78717.0"/>
        <n v="82777.0"/>
        <n v="120341.0"/>
        <n v="110344.0"/>
        <n v="120233.0"/>
        <n v="117579.0"/>
        <n v="21066.0"/>
        <n v="117583.0"/>
        <n v="71107.0"/>
        <n v="104168.0"/>
        <n v="88913.0"/>
        <n v="108160.0"/>
        <n v="128377.0"/>
        <n v="108533.0"/>
        <n v="116392.0"/>
        <n v="110328.0"/>
        <n v="101445.0"/>
        <n v="117599.0"/>
        <n v="5508.0"/>
        <n v="91241.0"/>
        <n v="5507.0"/>
        <n v="110575.0"/>
        <n v="6156.0"/>
        <n v="91239.0"/>
        <n v="77361.0"/>
        <n v="77363.0"/>
        <n v="124679.0"/>
        <n v="89558.0"/>
        <n v="91235.0"/>
        <n v="5519.0"/>
        <n v="87278.0"/>
        <n v="77326.0"/>
        <n v="6158.0"/>
        <n v="77338.0"/>
        <n v="159220.0"/>
        <n v="5521.0"/>
        <n v="91225.0"/>
        <n v="5520.0"/>
        <n v="87285.0"/>
        <n v="72862.0"/>
        <n v="109474.0"/>
        <n v="45834.0"/>
        <n v="45885.0"/>
        <n v="77360.0"/>
        <n v="89787.0"/>
        <n v="5531.0"/>
        <n v="72826.0"/>
        <n v="91180.0"/>
        <n v="58757.0"/>
        <n v="87287.0"/>
        <n v="91147.0"/>
        <n v="5526.0"/>
        <n v="77310.0"/>
        <n v="5525.0"/>
        <n v="5524.0"/>
        <n v="72849.0"/>
        <n v="77385.0"/>
        <n v="5529.0"/>
        <n v="45879.0"/>
        <n v="58753.0"/>
        <n v="77318.0"/>
        <n v="122091.0"/>
        <n v="91144.0"/>
        <n v="79000.0"/>
        <n v="77389.0"/>
        <n v="72857.0"/>
        <n v="72859.0"/>
        <n v="91264.0"/>
        <n v="77316.0"/>
        <n v="110573.0"/>
        <n v="82236.0"/>
        <n v="72855.0"/>
        <n v="77392.0"/>
        <n v="45867.0"/>
        <n v="45846.0"/>
        <n v="91265.0"/>
        <n v="5527.0"/>
        <n v="82249.0"/>
        <n v="87273.0"/>
        <n v="5537.0"/>
        <n v="87281.0"/>
        <n v="5522.0"/>
        <n v="76595.0"/>
        <n v="147305.0"/>
        <n v="158660.0"/>
        <n v="77371.0"/>
        <n v="77366.0"/>
        <n v="87282.0"/>
        <n v="80402.0"/>
        <n v="120504.0"/>
        <n v="72833.0"/>
        <n v="72831.0"/>
        <n v="112547.0"/>
        <n v="149598.0"/>
        <n v="98129.0"/>
        <n v="72825.0"/>
        <n v="72820.0"/>
        <n v="81939.0"/>
        <n v="114382.0"/>
        <n v="111427.0"/>
        <n v="81937.0"/>
        <n v="72824.0"/>
        <n v="112188.0"/>
        <n v="98186.0"/>
        <n v="72822.0"/>
        <n v="122601.0"/>
        <n v="106779.0"/>
        <n v="106785.0"/>
        <n v="122602.0"/>
        <n v="45574.0"/>
        <n v="80808.0"/>
        <n v="80802.0"/>
        <n v="110385.0"/>
        <n v="80633.0"/>
        <n v="120700.0"/>
        <n v="112853.0"/>
        <n v="120699.0"/>
        <n v="20195.0"/>
        <n v="11422.0"/>
        <n v="4492.0"/>
        <n v="4560.0"/>
        <n v="110383.0"/>
        <n v="112850.0"/>
        <n v="120702.0"/>
        <n v="91860.0"/>
        <n v="9716.0"/>
        <n v="77135.0"/>
        <n v="91857.0"/>
        <n v="76429.0"/>
        <n v="122507.0"/>
        <n v="77844.0"/>
        <n v="100041.0"/>
        <n v="111591.0"/>
        <n v="128329.0"/>
        <n v="147268.0"/>
        <n v="48511.0"/>
        <n v="100040.0"/>
        <n v="79366.0"/>
        <n v="160754.0"/>
        <n v="100038.0"/>
        <n v="100035.0"/>
        <n v="29654.0"/>
        <n v="107804.0"/>
        <n v="75809.0"/>
        <n v="128325.0"/>
        <n v="110072.0"/>
        <n v="93814.0"/>
        <n v="128326.0"/>
        <n v="48510.0"/>
        <n v="82463.0"/>
        <n v="82462.0"/>
        <n v="110635.0"/>
        <n v="82464.0"/>
        <n v="129133.0"/>
        <n v="195081.0"/>
        <n v="92669.0"/>
        <n v="122089.0"/>
        <n v="95927.0"/>
        <n v="160756.0"/>
        <n v="147267.0"/>
        <n v="160747.0"/>
        <n v="79365.0"/>
        <n v="110633.0"/>
        <n v="160750.0"/>
        <n v="128332.0"/>
        <n v="200354.0"/>
        <n v="100042.0"/>
        <n v="122446.0"/>
        <n v="160761.0"/>
        <n v="89503.0"/>
        <n v="160744.0"/>
        <n v="111590.0"/>
        <n v="110070.0"/>
        <n v="101005.0"/>
        <n v="160745.0"/>
        <n v="23073.0"/>
        <n v="70064.0"/>
        <n v="129135.0"/>
        <n v="104440.0"/>
        <n v="70063.0"/>
        <n v="160748.0"/>
        <n v="181242.0"/>
        <n v="200323.0"/>
        <n v="129132.0"/>
        <n v="160743.0"/>
        <n v="89610.0"/>
        <n v="112113.0"/>
        <n v="107801.0"/>
        <n v="70065.0"/>
        <n v="539.0"/>
        <n v="7857.0"/>
        <n v="111726.0"/>
        <n v="120992.0"/>
        <n v="158482.0"/>
        <n v="193132.0"/>
        <n v="118901.0"/>
        <n v="193131.0"/>
        <n v="115709.0"/>
        <n v="121619.0"/>
        <n v="103647.0"/>
        <n v="121616.0"/>
        <n v="121618.0"/>
        <n v="129360.0"/>
        <n v="115708.0"/>
        <n v="121617.0"/>
        <n v="109540.0"/>
        <n v="101323.0"/>
        <n v="120991.0"/>
        <n v="115698.0"/>
        <n v="72511.0"/>
        <n v="72512.0"/>
        <n v="120108.0"/>
        <n v="1636.0"/>
        <n v="106767.0"/>
        <n v="117246.0"/>
        <n v="106758.0"/>
        <n v="118150.0"/>
        <n v="108896.0"/>
        <n v="92566.0"/>
        <n v="182195.0"/>
        <n v="101560.0"/>
        <n v="96067.0"/>
        <n v="47325.0"/>
        <n v="109386.0"/>
        <n v="118972.0"/>
        <n v="100412.0"/>
        <n v="73259.0"/>
        <n v="116888.0"/>
        <n v="102086.0"/>
        <n v="108892.0"/>
        <n v="110935.0"/>
        <n v="103599.0"/>
        <n v="108811.0"/>
        <n v="2202.0"/>
        <n v="122789.0"/>
        <n v="101563.0"/>
        <n v="110934.0"/>
        <n v="110147.0"/>
        <n v="104135.0"/>
        <n v="101559.0"/>
        <n v="129340.0"/>
        <n v="103609.0"/>
        <n v="122499.0"/>
        <n v="117311.0"/>
        <n v="116670.0"/>
        <n v="2204.0"/>
        <n v="104128.0"/>
        <n v="103600.0"/>
        <n v="108802.0"/>
        <n v="201034.0"/>
        <n v="6522.0"/>
        <n v="77644.0"/>
        <n v="3225.0"/>
        <n v="158447.0"/>
        <n v="9737.0"/>
        <n v="73260.0"/>
        <n v="158467.0"/>
        <n v="117319.0"/>
        <n v="108893.0"/>
        <n v="111734.0"/>
        <n v="96066.0"/>
        <n v="3222.0"/>
        <n v="117312.0"/>
        <n v="104791.0"/>
        <n v="10051.0"/>
        <n v="29318.0"/>
        <n v="116885.0"/>
        <n v="121614.0"/>
        <n v="10048.0"/>
        <n v="109534.0"/>
        <n v="111802.0"/>
        <n v="108801.0"/>
        <n v="9735.0"/>
        <n v="109531.0"/>
        <n v="44533.0"/>
        <n v="158465.0"/>
        <n v="79107.0"/>
        <n v="78631.0"/>
        <n v="120469.0"/>
        <n v="6523.0"/>
        <n v="41819.0"/>
        <n v="108889.0"/>
        <n v="92564.0"/>
        <n v="158456.0"/>
        <n v="111735.0"/>
        <n v="109537.0"/>
        <n v="109381.0"/>
        <n v="120944.0"/>
        <n v="29320.0"/>
        <n v="118222.0"/>
        <n v="108897.0"/>
        <n v="101565.0"/>
        <n v="29319.0"/>
        <n v="96444.0"/>
        <n v="101557.0"/>
        <n v="103610.0"/>
        <n v="181195.0"/>
        <n v="12639.0"/>
        <n v="158464.0"/>
        <n v="116525.0"/>
        <n v="116295.0"/>
        <n v="116297.0"/>
        <n v="11421.0"/>
        <n v="101549.0"/>
        <n v="109543.0"/>
        <n v="79318.0"/>
        <n v="2203.0"/>
        <n v="111727.0"/>
        <n v="118151.0"/>
        <n v="108888.0"/>
        <n v="120465.0"/>
        <n v="92561.0"/>
        <n v="150294.0"/>
        <n v="108895.0"/>
        <n v="41666.0"/>
        <n v="41816.0"/>
        <n v="99779.0"/>
        <n v="111716.0"/>
        <n v="96443.0"/>
        <n v="193187.0"/>
        <n v="96068.0"/>
        <n v="3227.0"/>
        <n v="193183.0"/>
        <n v="120945.0"/>
        <n v="110940.0"/>
        <n v="110942.0"/>
        <n v="142301.0"/>
        <n v="109760.0"/>
        <n v="100392.0"/>
        <n v="109763.0"/>
        <n v="7271.0"/>
        <n v="7267.0"/>
        <n v="128412.0"/>
        <n v="7268.0"/>
        <n v="124701.0"/>
        <n v="110007.0"/>
        <n v="7266.0"/>
        <n v="7269.0"/>
        <n v="100393.0"/>
        <n v="110009.0"/>
        <n v="100394.0"/>
        <n v="118248.0"/>
        <n v="118467.0"/>
        <n v="118465.0"/>
        <n v="118450.0"/>
        <n v="118457.0"/>
        <n v="118463.0"/>
        <n v="118460.0"/>
        <n v="121035.0"/>
        <n v="122623.0"/>
        <n v="118469.0"/>
        <n v="184629.0"/>
        <n v="44469.0"/>
        <n v="98421.0"/>
        <n v="149512.0"/>
        <n v="101489.0"/>
        <n v="7263.0"/>
        <n v="149510.0"/>
        <n v="124692.0"/>
        <n v="7253.0"/>
        <n v="109999.0"/>
        <n v="101535.0"/>
        <n v="181795.0"/>
        <n v="124686.0"/>
        <n v="110003.0"/>
        <n v="124691.0"/>
        <n v="98444.0"/>
        <n v="110393.0"/>
        <n v="7254.0"/>
        <n v="86502.0"/>
        <n v="98442.0"/>
        <n v="7256.0"/>
        <n v="110394.0"/>
        <n v="120998.0"/>
        <n v="17674.0"/>
        <n v="102946.0"/>
        <n v="102947.0"/>
        <n v="98445.0"/>
        <n v="109273.0"/>
        <n v="44465.0"/>
        <n v="44451.0"/>
        <n v="17664.0"/>
        <n v="44459.0"/>
        <n v="110398.0"/>
        <n v="149495.0"/>
        <n v="124685.0"/>
        <n v="110004.0"/>
        <n v="111052.0"/>
        <n v="102948.0"/>
        <n v="110000.0"/>
        <n v="7264.0"/>
        <n v="110005.0"/>
        <n v="124693.0"/>
        <n v="86501.0"/>
        <n v="101536.0"/>
        <n v="101534.0"/>
        <n v="110002.0"/>
        <n v="110001.0"/>
        <n v="111051.0"/>
        <n v="7258.0"/>
        <n v="111053.0"/>
        <n v="120996.0"/>
        <n v="109746.0"/>
        <n v="147288.0"/>
        <n v="120997.0"/>
        <n v="109742.0"/>
        <n v="156013.0"/>
        <n v="98426.0"/>
        <n v="110006.0"/>
        <n v="110409.0"/>
        <n v="117774.0"/>
        <n v="110411.0"/>
        <n v="86743.0"/>
        <n v="86691.0"/>
        <n v="7257.0"/>
        <n v="77706.0"/>
        <n v="122599.0"/>
        <n v="109741.0"/>
        <n v="69064.0"/>
        <n v="119447.0"/>
        <n v="111730.0"/>
        <n v="100437.0"/>
        <n v="92304.0"/>
        <n v="103655.0"/>
        <n v="103656.0"/>
        <n v="103704.0"/>
        <n v="46759.0"/>
        <n v="113594.0"/>
        <n v="111791.0"/>
        <n v="44674.0"/>
        <n v="48639.0"/>
        <n v="76559.0"/>
        <n v="22112.0"/>
        <n v="84390.0"/>
        <n v="100327.0"/>
        <n v="81427.0"/>
        <n v="19847.0"/>
        <n v="121989.0"/>
        <n v="3431.0"/>
        <n v="68858.0"/>
        <n v="147279.0"/>
        <n v="19853.0"/>
        <n v="84315.0"/>
        <n v="3433.0"/>
        <n v="48640.0"/>
        <n v="81678.0"/>
        <n v="117528.0"/>
        <n v="84324.0"/>
        <n v="3420.0"/>
        <n v="19837.0"/>
        <n v="19835.0"/>
        <n v="69109.0"/>
        <n v="104387.0"/>
        <n v="19843.0"/>
        <n v="117523.0"/>
        <n v="121981.0"/>
        <n v="121993.0"/>
        <n v="81389.0"/>
        <n v="99473.0"/>
        <n v="81393.0"/>
        <n v="104364.0"/>
        <n v="76602.0"/>
        <n v="119824.0"/>
        <n v="112618.0"/>
        <n v="112617.0"/>
        <n v="113963.0"/>
        <n v="104359.0"/>
        <n v="81675.0"/>
        <n v="84835.0"/>
        <n v="81680.0"/>
        <n v="104361.0"/>
        <n v="83080.0"/>
        <n v="84930.0"/>
        <n v="19848.0"/>
        <n v="104362.0"/>
        <n v="92122.0"/>
        <n v="15854.0"/>
        <n v="81383.0"/>
        <n v="81430.0"/>
        <n v="84325.0"/>
        <n v="127244.0"/>
        <n v="15865.0"/>
        <n v="121996.0"/>
        <n v="93083.0"/>
        <n v="3426.0"/>
        <n v="111349.0"/>
        <n v="74917.0"/>
        <n v="69127.0"/>
        <n v="84819.0"/>
        <n v="104367.0"/>
        <n v="121997.0"/>
        <n v="117499.0"/>
        <n v="69125.0"/>
        <n v="19850.0"/>
        <n v="3425.0"/>
        <n v="84913.0"/>
        <n v="120378.0"/>
        <n v="5905.0"/>
        <n v="23213.0"/>
        <n v="47168.0"/>
        <n v="102990.0"/>
        <n v="46441.0"/>
        <n v="11085.0"/>
        <n v="96441.0"/>
        <n v="82131.0"/>
        <n v="46440.0"/>
        <n v="23214.0"/>
        <n v="82134.0"/>
        <n v="46439.0"/>
        <n v="116451.0"/>
        <n v="147340.0"/>
        <n v="140602.0"/>
        <n v="109174.0"/>
        <n v="2795.0"/>
        <n v="141867.0"/>
        <n v="118152.0"/>
        <n v="1607.0"/>
        <n v="71322.0"/>
        <n v="88773.0"/>
        <n v="46964.0"/>
        <n v="104454.0"/>
        <n v="8003.0"/>
        <n v="90183.0"/>
        <n v="45489.0"/>
        <n v="147337.0"/>
        <n v="116446.0"/>
        <n v="44760.0"/>
        <n v="44764.0"/>
        <n v="72801.0"/>
        <n v="86573.0"/>
        <n v="107784.0"/>
        <n v="103388.0"/>
        <n v="8004.0"/>
        <n v="103387.0"/>
        <n v="76731.0"/>
        <n v="116449.0"/>
        <n v="95211.0"/>
        <n v="118255.0"/>
        <n v="8010.0"/>
        <n v="128351.0"/>
        <n v="12452.0"/>
        <n v="108996.0"/>
        <n v="15638.0"/>
        <n v="118109.0"/>
        <n v="15634.0"/>
        <n v="2802.0"/>
        <n v="46962.0"/>
        <n v="128348.0"/>
        <n v="108963.0"/>
        <n v="2800.0"/>
        <n v="12451.0"/>
        <n v="19024.0"/>
        <n v="9472.0"/>
        <n v="1587.0"/>
        <n v="118262.0"/>
        <n v="44739.0"/>
        <n v="199855.0"/>
        <n v="71674.0"/>
        <n v="101357.0"/>
        <n v="121066.0"/>
        <n v="72818.0"/>
        <n v="109178.0"/>
        <n v="114876.0"/>
        <n v="9471.0"/>
        <n v="87840.0"/>
        <n v="72816.0"/>
        <n v="122354.0"/>
        <n v="109188.0"/>
        <n v="7999.0"/>
        <n v="9469.0"/>
        <n v="46955.0"/>
        <n v="9464.0"/>
        <n v="79485.0"/>
        <n v="118224.0"/>
        <n v="122353.0"/>
        <n v="1584.0"/>
        <n v="2792.0"/>
        <n v="109187.0"/>
        <n v="118257.0"/>
        <n v="7995.0"/>
        <n v="99360.0"/>
        <n v="118156.0"/>
        <n v="44943.0"/>
        <n v="9462.0"/>
        <n v="79501.0"/>
        <n v="97161.0"/>
        <n v="112842.0"/>
        <n v="109180.0"/>
        <n v="46954.0"/>
        <n v="79500.0"/>
        <n v="99302.0"/>
        <n v="105026.0"/>
        <n v="19972.0"/>
        <n v="99233.0"/>
        <n v="118260.0"/>
        <n v="128398.0"/>
        <n v="8001.0"/>
        <n v="106782.0"/>
        <n v="110793.0"/>
        <n v="86808.0"/>
        <n v="50367.0"/>
        <n v="102750.0"/>
        <n v="102758.0"/>
        <n v="86787.0"/>
        <n v="102740.0"/>
        <n v="102734.0"/>
        <n v="102751.0"/>
        <n v="102752.0"/>
        <n v="102735.0"/>
        <n v="86793.0"/>
        <n v="86792.0"/>
        <n v="86785.0"/>
        <n v="102773.0"/>
        <n v="42807.0"/>
        <n v="42809.0"/>
        <n v="86821.0"/>
        <n v="110719.0"/>
        <n v="86818.0"/>
        <n v="71318.0"/>
        <n v="122303.0"/>
        <n v="110716.0"/>
        <n v="9480.0"/>
        <n v="113920.0"/>
        <n v="166088.0"/>
        <n v="122712.0"/>
        <n v="86523.0"/>
        <n v="106773.0"/>
        <n v="128356.0"/>
        <n v="28897.0"/>
        <n v="181502.0"/>
        <n v="13368.0"/>
        <n v="105178.0"/>
        <n v="158445.0"/>
        <n v="105861.0"/>
        <n v="28668.0"/>
        <n v="28661.0"/>
        <n v="13349.0"/>
        <n v="1634.0"/>
        <n v="86524.0"/>
        <n v="86531.0"/>
        <n v="95210.0"/>
        <n v="158450.0"/>
        <n v="103080.0"/>
        <n v="121067.0"/>
        <n v="41513.0"/>
        <n v="166089.0"/>
        <n v="26446.0"/>
        <n v="13350.0"/>
        <n v="111728.0"/>
        <n v="28883.0"/>
        <n v="121068.0"/>
        <n v="181499.0"/>
        <n v="16097.0"/>
        <n v="117247.0"/>
        <n v="1732.0"/>
        <n v="105174.0"/>
        <n v="128357.0"/>
        <n v="166090.0"/>
        <n v="121070.0"/>
        <n v="80818.0"/>
        <n v="13367.0"/>
        <n v="44329.0"/>
        <n v="70879.0"/>
        <n v="99266.0"/>
        <n v="88216.0"/>
        <n v="28590.0"/>
        <n v="88215.0"/>
        <n v="81771.0"/>
        <n v="194520.0"/>
        <n v="5901.0"/>
        <n v="156054.0"/>
        <n v="5869.0"/>
        <n v="7343.0"/>
        <n v="88218.0"/>
        <n v="99263.0"/>
        <n v="7357.0"/>
        <n v="28591.0"/>
        <n v="5871.0"/>
        <n v="81772.0"/>
        <n v="110587.0"/>
        <n v="5870.0"/>
        <n v="158444.0"/>
        <n v="80785.0"/>
        <n v="110586.0"/>
        <n v="99264.0"/>
        <n v="110977.0"/>
        <n v="45529.0"/>
        <n v="84030.0"/>
        <n v="99262.0"/>
        <n v="110722.0"/>
        <n v="80781.0"/>
        <n v="122700.0"/>
        <n v="111783.0"/>
        <n v="110724.0"/>
        <n v="13348.0"/>
        <n v="28595.0"/>
        <n v="81770.0"/>
        <n v="85059.0"/>
        <n v="110597.0"/>
        <n v="7358.0"/>
        <n v="86583.0"/>
        <n v="98100.0"/>
        <n v="118154.0"/>
        <n v="42840.0"/>
        <n v="47175.0"/>
        <n v="112013.0"/>
        <n v="107953.0"/>
        <n v="44738.0"/>
        <n v="103386.0"/>
        <n v="86815.0"/>
        <n v="46953.0"/>
        <n v="108732.0"/>
        <n v="118227.0"/>
        <n v="122484.0"/>
        <n v="71326.0"/>
        <n v="110794.0"/>
        <n v="80066.0"/>
        <n v="106776.0"/>
        <n v="113608.0"/>
        <n v="116454.0"/>
        <n v="108724.0"/>
        <n v="118253.0"/>
        <n v="110567.0"/>
        <n v="122697.0"/>
        <n v="109190.0"/>
        <n v="109191.0"/>
        <n v="44759.0"/>
        <n v="109192.0"/>
        <n v="113605.0"/>
        <n v="147339.0"/>
        <n v="118068.0"/>
        <n v="44758.0"/>
        <n v="110579.0"/>
        <n v="116437.0"/>
        <n v="9519.0"/>
        <n v="147338.0"/>
        <n v="118250.0"/>
        <n v="20053.0"/>
        <n v="71321.0"/>
        <n v="79503.0"/>
        <n v="99270.0"/>
        <n v="112848.0"/>
        <n v="13369.0"/>
        <n v="147336.0"/>
        <n v="114899.0"/>
        <n v="113607.0"/>
        <n v="47183.0"/>
        <n v="78338.0"/>
        <n v="9526.0"/>
        <n v="107910.0"/>
        <n v="20056.0"/>
        <n v="108951.0"/>
        <n v="107783.0"/>
        <n v="80798.0"/>
        <n v="108950.0"/>
        <n v="112847.0"/>
        <n v="109202.0"/>
        <n v="109198.0"/>
        <n v="108990.0"/>
        <n v="72815.0"/>
        <n v="9479.0"/>
        <n v="46961.0"/>
        <n v="122352.0"/>
        <n v="44750.0"/>
        <n v="114405.0"/>
        <n v="2797.0"/>
        <n v="79499.0"/>
        <n v="5902.0"/>
        <n v="46956.0"/>
        <n v="11490.0"/>
        <n v="8027.0"/>
        <n v="121588.0"/>
        <n v="1279.0"/>
        <n v="5978.0"/>
        <n v="72813.0"/>
        <n v="9486.0"/>
        <n v="2791.0"/>
        <n v="109206.0"/>
        <n v="9478.0"/>
        <n v="122699.0"/>
        <n v="2794.0"/>
        <n v="109200.0"/>
        <n v="118263.0"/>
        <n v="71320.0"/>
        <n v="108944.0"/>
        <n v="122693.0"/>
        <n v="20049.0"/>
        <n v="20055.0"/>
        <n v="112845.0"/>
        <n v="9490.0"/>
        <n v="105034.0"/>
        <n v="122680.0"/>
        <n v="112846.0"/>
        <n v="80816.0"/>
        <n v="44749.0"/>
        <n v="79498.0"/>
        <n v="2799.0"/>
        <n v="194401.0"/>
        <n v="5291.0"/>
        <n v="2796.0"/>
        <n v="71325.0"/>
        <n v="2793.0"/>
        <n v="102781.0"/>
        <n v="109201.0"/>
        <n v="72814.0"/>
        <n v="122351.0"/>
        <n v="99298.0"/>
        <n v="3731.0"/>
        <n v="11489.0"/>
        <n v="122302.0"/>
        <n v="28838.0"/>
        <n v="72843.0"/>
        <n v="80809.0"/>
        <n v="127006.0"/>
        <n v="82448.0"/>
        <n v="13028.0"/>
        <n v="118577.0"/>
        <n v="117890.0"/>
        <n v="118617.0"/>
        <n v="109995.0"/>
        <n v="109996.0"/>
        <n v="49107.0"/>
        <n v="29585.0"/>
        <n v="111677.0"/>
        <n v="93102.0"/>
        <n v="30712.0"/>
        <n v="89128.0"/>
        <n v="29587.0"/>
        <n v="30711.0"/>
        <n v="45306.0"/>
        <n v="120803.0"/>
        <n v="108004.0"/>
        <n v="92205.0"/>
        <n v="119509.0"/>
        <n v="109056.0"/>
        <n v="45305.0"/>
        <n v="29582.0"/>
        <n v="111676.0"/>
        <n v="30578.0"/>
        <n v="93095.0"/>
        <n v="70036.0"/>
        <n v="90498.0"/>
        <n v="89127.0"/>
        <n v="75215.0"/>
        <n v="119566.0"/>
        <n v="92208.0"/>
        <n v="119579.0"/>
        <n v="45309.0"/>
        <n v="30743.0"/>
        <n v="49108.0"/>
        <n v="29584.0"/>
        <n v="119501.0"/>
        <n v="30504.0"/>
        <n v="93101.0"/>
        <n v="30749.0"/>
        <n v="120813.0"/>
        <n v="29590.0"/>
        <n v="118662.0"/>
        <n v="30478.0"/>
        <n v="90475.0"/>
        <n v="29530.0"/>
        <n v="81528.0"/>
        <n v="100436.0"/>
        <n v="29499.0"/>
        <n v="30683.0"/>
        <n v="69906.0"/>
        <n v="90174.0"/>
        <n v="90168.0"/>
        <n v="79488.0"/>
        <n v="119640.0"/>
        <n v="119515.0"/>
        <n v="103685.0"/>
        <n v="111617.0"/>
        <n v="98637.0"/>
        <n v="90159.0"/>
        <n v="76651.0"/>
        <n v="119531.0"/>
        <n v="93884.0"/>
        <n v="79467.0"/>
        <n v="29532.0"/>
        <n v="104063.0"/>
        <n v="90166.0"/>
        <n v="29538.0"/>
        <n v="70538.0"/>
        <n v="93893.0"/>
        <n v="119518.0"/>
        <n v="111338.0"/>
        <n v="100435.0"/>
        <n v="89130.0"/>
        <n v="103695.0"/>
        <n v="90201.0"/>
        <n v="70025.0"/>
        <n v="29485.0"/>
        <n v="119530.0"/>
        <n v="103671.0"/>
        <n v="102803.0"/>
        <n v="122156.0"/>
        <n v="103688.0"/>
        <n v="128303.0"/>
        <n v="122164.0"/>
        <n v="119629.0"/>
        <n v="122238.0"/>
        <n v="100106.0"/>
        <n v="74260.0"/>
        <n v="122159.0"/>
        <n v="100104.0"/>
        <n v="103702.0"/>
        <n v="103696.0"/>
        <n v="111083.0"/>
        <n v="76658.0"/>
        <n v="111339.0"/>
        <n v="79491.0"/>
        <n v="110380.0"/>
        <n v="111341.0"/>
        <n v="81785.0"/>
        <n v="89155.0"/>
        <n v="90253.0"/>
        <n v="119544.0"/>
        <n v="108675.0"/>
        <n v="119542.0"/>
        <n v="30752.0"/>
        <n v="116180.0"/>
        <n v="96953.0"/>
        <n v="118303.0"/>
        <n v="117222.0"/>
        <n v="5620.0"/>
        <n v="122346.0"/>
        <n v="96968.0"/>
        <n v="126578.0"/>
        <n v="126581.0"/>
        <n v="96956.0"/>
        <n v="116774.0"/>
        <n v="147293.0"/>
        <n v="119228.0"/>
        <n v="5618.0"/>
        <n v="126579.0"/>
        <n v="117219.0"/>
        <n v="44110.0"/>
        <n v="76223.0"/>
        <n v="48406.0"/>
        <n v="77514.0"/>
        <n v="117221.0"/>
        <n v="115602.0"/>
        <n v="44107.0"/>
        <n v="115604.0"/>
        <n v="118926.0"/>
        <n v="118304.0"/>
        <n v="5621.0"/>
        <n v="44105.0"/>
        <n v="126580.0"/>
        <n v="5624.0"/>
        <n v="88679.0"/>
        <n v="118305.0"/>
        <n v="60380.0"/>
        <n v="77475.0"/>
        <n v="110577.0"/>
        <n v="110571.0"/>
        <n v="103835.0"/>
        <n v="5646.0"/>
        <n v="5649.0"/>
        <n v="5647.0"/>
        <n v="5648.0"/>
        <n v="108292.0"/>
        <n v="110572.0"/>
        <n v="77456.0"/>
        <n v="77454.0"/>
        <n v="44095.0"/>
        <n v="87419.0"/>
        <n v="44087.0"/>
        <n v="44129.0"/>
        <n v="103832.0"/>
        <n v="103819.0"/>
        <n v="88683.0"/>
        <n v="5676.0"/>
        <n v="116776.0"/>
        <n v="5668.0"/>
        <n v="119052.0"/>
        <n v="118920.0"/>
        <n v="96003.0"/>
        <n v="116380.0"/>
        <n v="46291.0"/>
        <n v="148742.0"/>
        <n v="83634.0"/>
        <n v="5657.0"/>
        <n v="78856.0"/>
        <n v="44123.0"/>
        <n v="78855.0"/>
        <n v="48408.0"/>
        <n v="46303.0"/>
        <n v="147274.0"/>
        <n v="44144.0"/>
        <n v="96972.0"/>
        <n v="5665.0"/>
        <n v="26072.0"/>
        <n v="5631.0"/>
        <n v="104316.0"/>
        <n v="83612.0"/>
        <n v="87425.0"/>
        <n v="115611.0"/>
        <n v="88688.0"/>
        <n v="83605.0"/>
        <n v="44125.0"/>
        <n v="83639.0"/>
        <n v="5656.0"/>
        <n v="88686.0"/>
        <n v="83601.0"/>
        <n v="48407.0"/>
        <n v="5692.0"/>
        <n v="112803.0"/>
        <n v="83600.0"/>
        <n v="83621.0"/>
        <n v="115599.0"/>
        <n v="83598.0"/>
        <n v="5652.0"/>
        <n v="122661.0"/>
        <n v="116384.0"/>
        <n v="78859.0"/>
        <n v="87096.0"/>
        <n v="87428.0"/>
        <n v="5690.0"/>
        <n v="5663.0"/>
        <n v="5654.0"/>
        <n v="44607.0"/>
        <n v="5662.0"/>
        <n v="87426.0"/>
        <n v="5680.0"/>
        <n v="5661.0"/>
        <n v="83629.0"/>
        <n v="83599.0"/>
        <n v="83625.0"/>
        <n v="87887.0"/>
        <n v="118923.0"/>
        <n v="87421.0"/>
        <n v="117531.0"/>
        <n v="122267.0"/>
        <n v="117527.0"/>
        <n v="44138.0"/>
        <n v="117529.0"/>
        <n v="122269.0"/>
        <n v="87886.0"/>
        <n v="104317.0"/>
        <n v="114943.0"/>
        <n v="44134.0"/>
        <n v="5637.0"/>
        <n v="5641.0"/>
        <n v="147323.0"/>
        <n v="44118.0"/>
        <n v="115608.0"/>
        <n v="44127.0"/>
        <n v="122348.0"/>
        <n v="147304.0"/>
        <n v="118310.0"/>
        <n v="77175.0"/>
        <n v="5645.0"/>
        <n v="76679.0"/>
        <n v="5635.0"/>
        <n v="110960.0"/>
        <n v="108290.0"/>
        <n v="117680.0"/>
        <n v="77183.0"/>
        <n v="147322.0"/>
        <n v="44120.0"/>
        <n v="44115.0"/>
        <n v="44117.0"/>
        <n v="76670.0"/>
        <n v="122347.0"/>
        <n v="112462.0"/>
        <n v="5636.0"/>
        <n v="112464.0"/>
        <n v="5639.0"/>
        <n v="44147.0"/>
        <n v="5638.0"/>
        <n v="103074.0"/>
        <n v="45913.0"/>
        <n v="120044.0"/>
        <n v="90973.0"/>
        <n v="103830.0"/>
        <n v="111765.0"/>
        <n v="45952.0"/>
        <n v="91749.0"/>
        <n v="120040.0"/>
        <n v="17143.0"/>
        <n v="120515.0"/>
        <n v="120045.0"/>
        <n v="122268.0"/>
        <n v="195737.0"/>
        <n v="78759.0"/>
        <n v="8857.0"/>
        <n v="8860.0"/>
        <n v="182790.0"/>
        <n v="120042.0"/>
        <n v="114941.0"/>
        <n v="108473.0"/>
        <n v="90968.0"/>
        <n v="114929.0"/>
        <n v="68868.0"/>
        <n v="103831.0"/>
        <n v="83272.0"/>
        <n v="120046.0"/>
        <n v="181989.0"/>
        <n v="84359.0"/>
        <n v="102939.0"/>
        <n v="111504.0"/>
        <n v="75678.0"/>
        <n v="79005.0"/>
        <n v="188360.0"/>
        <n v="79695.0"/>
        <n v="73768.0"/>
        <n v="44663.0"/>
        <n v="766.0"/>
        <n v="109961.0"/>
        <n v="109932.0"/>
        <n v="109956.0"/>
        <n v="109962.0"/>
        <n v="101622.0"/>
        <n v="101623.0"/>
        <n v="4513.0"/>
        <n v="24648.0"/>
        <n v="16386.0"/>
        <n v="16383.0"/>
        <n v="113588.0"/>
        <n v="99392.0"/>
        <n v="99412.0"/>
        <n v="25306.0"/>
        <n v="99399.0"/>
        <n v="25304.0"/>
        <n v="99400.0"/>
        <n v="80484.0"/>
        <n v="14477.0"/>
        <n v="95056.0"/>
        <n v="78519.0"/>
        <n v="90377.0"/>
        <n v="90375.0"/>
        <n v="112073.0"/>
        <n v="101339.0"/>
        <n v="92421.0"/>
        <n v="112079.0"/>
        <n v="44716.0"/>
        <n v="89640.0"/>
        <n v="112072.0"/>
        <n v="112991.0"/>
        <n v="101587.0"/>
        <n v="10525.0"/>
        <n v="121349.0"/>
        <n v="127811.0"/>
        <n v="81507.0"/>
        <n v="78412.0"/>
        <n v="109312.0"/>
        <n v="78502.0"/>
        <n v="111498.0"/>
        <n v="87242.0"/>
        <n v="139286.0"/>
        <n v="10524.0"/>
        <n v="78397.0"/>
        <n v="78421.0"/>
        <n v="23420.0"/>
        <n v="78498.0"/>
        <n v="78427.0"/>
        <n v="119256.0"/>
        <n v="44731.0"/>
        <n v="86852.0"/>
        <n v="103137.0"/>
        <n v="95079.0"/>
        <n v="121568.0"/>
        <n v="89645.0"/>
        <n v="44691.0"/>
        <n v="94055.0"/>
        <n v="101586.0"/>
        <n v="106731.0"/>
        <n v="87072.0"/>
        <n v="44711.0"/>
        <n v="78428.0"/>
        <n v="10531.0"/>
        <n v="158475.0"/>
        <n v="89633.0"/>
        <n v="86836.0"/>
        <n v="44698.0"/>
        <n v="127870.0"/>
        <n v="141891.0"/>
        <n v="78426.0"/>
        <n v="77792.0"/>
        <n v="21027.0"/>
        <n v="95063.0"/>
        <n v="30314.0"/>
        <n v="19838.0"/>
        <n v="111283.0"/>
        <n v="87568.0"/>
        <n v="78419.0"/>
        <n v="106806.0"/>
        <n v="78420.0"/>
        <n v="78442.0"/>
        <n v="78492.0"/>
        <n v="80297.0"/>
        <n v="44712.0"/>
        <n v="89736.0"/>
        <n v="83270.0"/>
        <n v="101588.0"/>
        <n v="104171.0"/>
        <n v="101042.0"/>
        <n v="108881.0"/>
        <n v="87571.0"/>
        <n v="44718.0"/>
        <n v="44735.0"/>
        <n v="21035.0"/>
        <n v="30308.0"/>
        <n v="44694.0"/>
        <n v="78493.0"/>
        <n v="78409.0"/>
        <n v="86844.0"/>
        <n v="86771.0"/>
        <n v="78511.0"/>
        <n v="83267.0"/>
        <n v="78490.0"/>
        <n v="73175.0"/>
        <n v="44730.0"/>
        <n v="10535.0"/>
        <n v="80299.0"/>
        <n v="121350.0"/>
        <n v="79958.0"/>
        <n v="95074.0"/>
        <n v="87574.0"/>
        <n v="77769.0"/>
        <n v="141889.0"/>
        <n v="83269.0"/>
        <n v="89647.0"/>
        <n v="77256.0"/>
        <n v="86840.0"/>
        <n v="30306.0"/>
        <n v="76427.0"/>
        <n v="44706.0"/>
        <n v="44701.0"/>
        <n v="10537.0"/>
        <n v="10523.0"/>
        <n v="76664.0"/>
        <n v="78472.0"/>
        <n v="44721.0"/>
        <n v="121576.0"/>
        <n v="117208.0"/>
        <n v="78497.0"/>
        <n v="44726.0"/>
        <n v="117210.0"/>
        <n v="87082.0"/>
        <n v="10529.0"/>
        <n v="44705.0"/>
        <n v="100564.0"/>
        <n v="87193.0"/>
        <n v="76044.0"/>
        <n v="121578.0"/>
        <n v="117206.0"/>
        <n v="81519.0"/>
        <n v="44724.0"/>
        <n v="82114.0"/>
        <n v="82115.0"/>
        <n v="109307.0"/>
        <n v="76046.0"/>
        <n v="117187.0"/>
        <n v="10538.0"/>
        <n v="78508.0"/>
        <n v="44723.0"/>
        <n v="109309.0"/>
        <n v="76656.0"/>
        <n v="80305.0"/>
        <n v="78506.0"/>
        <n v="82133.0"/>
        <n v="188805.0"/>
        <n v="78481.0"/>
        <n v="109310.0"/>
        <n v="120689.0"/>
        <n v="10540.0"/>
        <n v="44727.0"/>
        <n v="73190.0"/>
        <n v="112169.0"/>
        <n v="120695.0"/>
        <n v="80270.0"/>
        <n v="5795.0"/>
        <n v="107316.0"/>
        <n v="78482.0"/>
        <n v="158473.0"/>
        <n v="109308.0"/>
        <n v="78507.0"/>
        <n v="100827.0"/>
        <n v="102189.0"/>
        <n v="10522.0"/>
        <n v="78467.0"/>
        <n v="84367.0"/>
        <n v="87402.0"/>
        <n v="44707.0"/>
        <n v="78400.0"/>
        <n v="102188.0"/>
        <n v="73173.0"/>
        <n v="76661.0"/>
        <n v="78479.0"/>
        <n v="103401.0"/>
        <n v="83340.0"/>
        <n v="44725.0"/>
        <n v="109311.0"/>
        <n v="133901.0"/>
        <n v="92678.0"/>
        <n v="82447.0"/>
        <n v="110126.0"/>
        <n v="3219.0"/>
        <n v="127007.0"/>
        <n v="102277.0"/>
        <n v="122544.0"/>
        <n v="91486.0"/>
        <n v="28009.0"/>
        <n v="110814.0"/>
        <n v="117437.0"/>
        <n v="23074.0"/>
        <n v="8900.0"/>
        <n v="92676.0"/>
        <n v="117266.0"/>
        <n v="14527.0"/>
        <n v="27534.0"/>
        <n v="91636.0"/>
        <n v="120941.0"/>
        <n v="111897.0"/>
        <n v="158485.0"/>
        <n v="199530.0"/>
        <n v="120946.0"/>
        <n v="82957.0"/>
        <n v="109830.0"/>
        <n v="109831.0"/>
        <n v="107899.0"/>
        <n v="139289.0"/>
        <n v="72129.0"/>
        <n v="106541.0"/>
        <n v="43810.0"/>
        <n v="83117.0"/>
        <n v="78863.0"/>
        <n v="107898.0"/>
        <n v="80181.0"/>
        <n v="150280.0"/>
        <n v="80173.0"/>
        <n v="100647.0"/>
        <n v="147273.0"/>
        <n v="83770.0"/>
        <n v="180773.0"/>
        <n v="80125.0"/>
        <n v="89909.0"/>
        <n v="80114.0"/>
        <n v="73916.0"/>
        <n v="80117.0"/>
        <n v="22008.0"/>
        <n v="76608.0"/>
        <n v="80793.0"/>
        <n v="102588.0"/>
        <n v="80794.0"/>
        <n v="80174.0"/>
        <n v="114722.0"/>
        <n v="180843.0"/>
        <n v="22020.0"/>
        <n v="111259.0"/>
        <n v="89895.0"/>
        <n v="22014.0"/>
        <n v="44254.0"/>
        <n v="22025.0"/>
        <n v="83765.0"/>
        <n v="89930.0"/>
        <n v="83767.0"/>
        <n v="83745.0"/>
        <n v="78827.0"/>
        <n v="122266.0"/>
        <n v="949.0"/>
        <n v="102595.0"/>
        <n v="80790.0"/>
        <n v="114257.0"/>
        <n v="80121.0"/>
        <n v="164929.0"/>
        <n v="80180.0"/>
        <n v="92930.0"/>
        <n v="147271.0"/>
        <n v="83748.0"/>
        <n v="80120.0"/>
        <n v="164931.0"/>
        <n v="78804.0"/>
        <n v="103096.0"/>
        <n v="180770.0"/>
        <n v="80115.0"/>
        <n v="83771.0"/>
        <n v="80124.0"/>
        <n v="80111.0"/>
        <n v="63864.0"/>
        <n v="76824.0"/>
        <n v="102599.0"/>
        <n v="103001.0"/>
        <n v="164928.0"/>
        <n v="80791.0"/>
        <n v="83223.0"/>
        <n v="951.0"/>
        <n v="149928.0"/>
        <n v="60375.0"/>
        <n v="102594.0"/>
        <n v="128218.0"/>
        <n v="80178.0"/>
        <n v="164932.0"/>
        <n v="22036.0"/>
        <n v="102585.0"/>
        <n v="78816.0"/>
        <n v="78822.0"/>
        <n v="83773.0"/>
        <n v="114720.0"/>
        <n v="83777.0"/>
        <n v="102593.0"/>
        <n v="164930.0"/>
        <n v="102584.0"/>
        <n v="102586.0"/>
        <n v="83758.0"/>
        <n v="80189.0"/>
        <n v="26148.0"/>
        <n v="121902.0"/>
        <n v="21032.0"/>
        <n v="22071.0"/>
        <n v="87404.0"/>
        <n v="42712.0"/>
        <n v="76609.0"/>
        <n v="952.0"/>
        <n v="26136.0"/>
        <n v="87502.0"/>
        <n v="73923.0"/>
        <n v="164927.0"/>
        <n v="108749.0"/>
        <n v="89919.0"/>
        <n v="112897.0"/>
        <n v="122013.0"/>
        <n v="89902.0"/>
        <n v="89900.0"/>
        <n v="92461.0"/>
        <n v="128834.0"/>
        <n v="135180.0"/>
        <n v="120582.0"/>
        <n v="105794.0"/>
        <n v="81049.0"/>
        <n v="13364.0"/>
        <n v="13361.0"/>
        <n v="75659.0"/>
        <n v="75655.0"/>
        <n v="117866.0"/>
        <n v="90556.0"/>
        <n v="68605.0"/>
        <n v="103829.0"/>
        <n v="90558.0"/>
        <n v="120490.0"/>
        <n v="75662.0"/>
        <n v="121298.0"/>
        <n v="13363.0"/>
        <n v="117863.0"/>
        <n v="68607.0"/>
        <n v="122705.0"/>
        <n v="88195.0"/>
        <n v="45523.0"/>
        <n v="158449.0"/>
        <n v="45518.0"/>
        <n v="96288.0"/>
        <n v="76981.0"/>
        <n v="113827.0"/>
        <n v="76987.0"/>
        <n v="113824.0"/>
        <n v="113823.0"/>
        <n v="156053.0"/>
        <n v="45522.0"/>
        <n v="99176.0"/>
        <n v="49219.0"/>
        <n v="102370.0"/>
        <n v="49222.0"/>
        <n v="102352.0"/>
        <n v="49233.0"/>
        <n v="99163.0"/>
        <n v="142785.0"/>
        <n v="113054.0"/>
        <n v="88105.0"/>
        <n v="97036.0"/>
        <n v="81229.0"/>
        <n v="120563.0"/>
        <n v="122290.0"/>
        <n v="122373.0"/>
        <n v="117830.0"/>
        <n v="109008.0"/>
        <n v="122371.0"/>
        <n v="109012.0"/>
        <n v="156047.0"/>
        <n v="117839.0"/>
        <n v="156051.0"/>
        <n v="156048.0"/>
        <n v="117832.0"/>
        <n v="117877.0"/>
        <n v="117876.0"/>
        <n v="83507.0"/>
        <n v="121285.0"/>
        <n v="122684.0"/>
        <n v="116615.0"/>
        <n v="121083.0"/>
        <n v="108936.0"/>
        <n v="128388.0"/>
        <n v="120559.0"/>
        <n v="122685.0"/>
        <n v="122686.0"/>
        <n v="181263.0"/>
        <n v="122723.0"/>
        <n v="26533.0"/>
        <n v="16048.0"/>
        <n v="16049.0"/>
        <n v="122421.0"/>
        <n v="121718.0"/>
        <n v="117892.0"/>
        <n v="117893.0"/>
        <n v="78448.0"/>
        <n v="89463.0"/>
        <n v="108096.0"/>
        <n v="70495.0"/>
        <n v="115733.0"/>
        <n v="26349.0"/>
        <n v="26350.0"/>
        <n v="115724.0"/>
        <n v="115726.0"/>
        <n v="26352.0"/>
        <n v="19782.0"/>
        <n v="19793.0"/>
        <n v="87604.0"/>
        <n v="29931.0"/>
        <n v="9335.0"/>
        <n v="88722.0"/>
        <n v="121865.0"/>
        <n v="100934.0"/>
        <n v="117116.0"/>
        <n v="19802.0"/>
        <n v="81780.0"/>
        <n v="117094.0"/>
        <n v="19797.0"/>
        <n v="86131.0"/>
        <n v="121864.0"/>
        <n v="15061.0"/>
        <n v="79929.0"/>
        <n v="19792.0"/>
        <n v="108805.0"/>
        <n v="71689.0"/>
        <n v="71718.0"/>
        <n v="19752.0"/>
        <n v="116205.0"/>
        <n v="117113.0"/>
        <n v="71716.0"/>
        <n v="44398.0"/>
        <n v="100932.0"/>
        <n v="117125.0"/>
        <n v="19746.0"/>
        <n v="80729.0"/>
        <n v="19800.0"/>
        <n v="19790.0"/>
        <n v="19747.0"/>
        <n v="44524.0"/>
        <n v="103839.0"/>
        <n v="195240.0"/>
        <n v="195244.0"/>
        <n v="119465.0"/>
        <n v="47081.0"/>
        <n v="91635.0"/>
        <n v="188359.0"/>
        <n v="29655.0"/>
        <n v="193188.0"/>
        <n v="188367.0"/>
        <n v="188853.0"/>
        <n v="116214.0"/>
        <n v="82296.0"/>
        <n v="10269.0"/>
        <n v="121860.0"/>
        <n v="100464.0"/>
        <n v="10270.0"/>
        <n v="10283.0"/>
        <n v="10278.0"/>
        <n v="10259.0"/>
        <n v="200359.0"/>
        <n v="10243.0"/>
        <n v="200360.0"/>
        <n v="196501.0"/>
        <n v="100460.0"/>
        <n v="5880.0"/>
        <n v="5872.0"/>
        <n v="114258.0"/>
        <n v="11122.0"/>
        <n v="116894.0"/>
        <n v="72994.0"/>
        <n v="120863.0"/>
        <n v="120870.0"/>
        <n v="120868.0"/>
        <n v="102063.0"/>
        <n v="120869.0"/>
        <n v="120871.0"/>
        <n v="24195.0"/>
        <n v="120422.0"/>
        <n v="120874.0"/>
        <n v="120416.0"/>
        <n v="80944.0"/>
        <n v="120873.0"/>
        <n v="120875.0"/>
        <n v="147285.0"/>
        <n v="88604.0"/>
        <n v="120417.0"/>
        <n v="113914.0"/>
        <n v="68793.0"/>
        <n v="106707.0"/>
        <n v="24210.0"/>
        <n v="44012.0"/>
        <n v="106710.0"/>
        <n v="117239.0"/>
        <n v="80186.0"/>
        <n v="80185.0"/>
        <n v="107151.0"/>
        <n v="120420.0"/>
        <n v="80184.0"/>
        <n v="107157.0"/>
        <n v="118432.0"/>
        <n v="86512.0"/>
        <n v="118431.0"/>
        <n v="80187.0"/>
        <n v="107163.0"/>
        <n v="108342.0"/>
        <n v="20949.0"/>
        <n v="118436.0"/>
        <n v="113566.0"/>
        <n v="113571.0"/>
        <n v="107160.0"/>
        <n v="44007.0"/>
        <n v="69453.0"/>
        <n v="122690.0"/>
        <n v="117243.0"/>
        <n v="71988.0"/>
        <n v="111582.0"/>
        <n v="77235.0"/>
        <n v="105272.0"/>
        <n v="120809.0"/>
        <n v="10651.0"/>
        <n v="10657.0"/>
        <n v="9132.0"/>
        <n v="197151.0"/>
        <n v="73386.0"/>
        <n v="121604.0"/>
        <n v="89533.0"/>
        <n v="73381.0"/>
        <n v="26096.0"/>
        <n v="119050.0"/>
        <n v="44028.0"/>
        <n v="73572.0"/>
        <n v="83083.0"/>
        <n v="13338.0"/>
        <n v="83418.0"/>
        <n v="68640.0"/>
        <n v="10647.0"/>
        <n v="85884.0"/>
        <n v="113933.0"/>
        <n v="188843.0"/>
        <n v="13342.0"/>
        <n v="83002.0"/>
        <n v="112860.0"/>
        <n v="118374.0"/>
        <n v="119049.0"/>
        <n v="120964.0"/>
        <n v="26093.0"/>
        <n v="99311.0"/>
        <n v="9131.0"/>
        <n v="122167.0"/>
        <n v="10649.0"/>
        <n v="85875.0"/>
        <n v="9136.0"/>
        <n v="121835.0"/>
        <n v="113934.0"/>
        <n v="5750.0"/>
        <n v="73390.0"/>
        <n v="114251.0"/>
        <n v="73392.0"/>
        <n v="9128.0"/>
        <n v="122672.0"/>
        <n v="85857.0"/>
        <n v="9129.0"/>
        <n v="162438.0"/>
        <n v="73391.0"/>
        <n v="46428.0"/>
        <n v="85861.0"/>
        <n v="69324.0"/>
        <n v="122618.0"/>
        <n v="99312.0"/>
        <n v="113932.0"/>
        <n v="5751.0"/>
        <n v="85885.0"/>
        <n v="87877.0"/>
        <n v="197150.0"/>
        <n v="87878.0"/>
        <n v="122166.0"/>
        <n v="122617.0"/>
        <n v="118590.0"/>
        <n v="122366.0"/>
        <n v="83001.0"/>
        <n v="118594.0"/>
        <n v="85881.0"/>
        <n v="10655.0"/>
        <n v="121606.0"/>
        <n v="13341.0"/>
        <n v="122631.0"/>
        <n v="189132.0"/>
        <n v="87876.0"/>
        <n v="26094.0"/>
        <n v="189129.0"/>
        <n v="10654.0"/>
        <n v="5754.0"/>
        <n v="10648.0"/>
        <n v="114947.0"/>
        <n v="44728.0"/>
        <n v="120709.0"/>
        <n v="114949.0"/>
        <n v="48706.0"/>
        <n v="78411.0"/>
        <n v="120016.0"/>
        <n v="120710.0"/>
        <n v="48705.0"/>
        <n v="114948.0"/>
        <n v="117330.0"/>
        <n v="89665.0"/>
        <n v="89450.0"/>
        <n v="72080.0"/>
        <n v="72086.0"/>
        <n v="117076.0"/>
        <n v="72081.0"/>
        <n v="72088.0"/>
        <n v="72078.0"/>
        <n v="72085.0"/>
        <n v="112204.0"/>
        <n v="59138.0"/>
        <n v="72074.0"/>
        <n v="72096.0"/>
        <n v="72099.0"/>
        <n v="89451.0"/>
        <n v="29606.0"/>
        <n v="72089.0"/>
        <n v="29601.0"/>
        <n v="50372.0"/>
        <n v="89452.0"/>
        <n v="156019.0"/>
        <n v="117705.0"/>
        <n v="121184.0"/>
        <n v="89446.0"/>
        <n v="102339.0"/>
        <n v="121193.0"/>
        <n v="102332.0"/>
        <n v="121775.0"/>
        <n v="100903.0"/>
        <n v="81463.0"/>
        <n v="75788.0"/>
        <n v="121185.0"/>
        <n v="89440.0"/>
        <n v="103058.0"/>
        <n v="117716.0"/>
        <n v="71287.0"/>
        <n v="110685.0"/>
        <n v="79335.0"/>
        <n v="45538.0"/>
        <n v="76691.0"/>
        <n v="2336.0"/>
        <n v="91912.0"/>
        <n v="110826.0"/>
        <n v="117710.0"/>
        <n v="3621.0"/>
        <n v="4179.0"/>
        <n v="89407.0"/>
        <n v="121190.0"/>
        <n v="45524.0"/>
        <n v="3634.0"/>
        <n v="104327.0"/>
        <n v="71282.0"/>
        <n v="89411.0"/>
        <n v="105361.0"/>
        <n v="105359.0"/>
        <n v="75174.0"/>
        <n v="11895.0"/>
        <n v="11812.0"/>
        <n v="11815.0"/>
        <n v="11784.0"/>
        <n v="89241.0"/>
        <n v="117688.0"/>
        <n v="77688.0"/>
        <n v="89282.0"/>
        <n v="11769.0"/>
        <n v="117544.0"/>
        <n v="94860.0"/>
        <n v="79041.0"/>
        <n v="117686.0"/>
        <n v="89299.0"/>
        <n v="11823.0"/>
        <n v="117543.0"/>
        <n v="11765.0"/>
        <n v="121519.0"/>
        <n v="71276.0"/>
        <n v="120135.0"/>
        <n v="116793.0"/>
        <n v="11774.0"/>
        <n v="11900.0"/>
        <n v="11809.0"/>
        <n v="117642.0"/>
        <n v="71259.0"/>
        <n v="79047.0"/>
        <n v="11796.0"/>
        <n v="79043.0"/>
        <n v="89246.0"/>
        <n v="71275.0"/>
        <n v="11800.0"/>
        <n v="11818.0"/>
        <n v="11795.0"/>
        <n v="117641.0"/>
        <n v="82579.0"/>
        <n v="120153.0"/>
        <n v="81320.0"/>
        <n v="121517.0"/>
        <n v="89276.0"/>
        <n v="11822.0"/>
        <n v="11771.0"/>
        <n v="89295.0"/>
        <n v="117684.0"/>
        <n v="11817.0"/>
        <n v="120697.0"/>
        <n v="11783.0"/>
        <n v="11821.0"/>
        <n v="11814.0"/>
        <n v="71242.0"/>
        <n v="120449.0"/>
        <n v="23682.0"/>
        <n v="119076.0"/>
        <n v="9139.0"/>
        <n v="9138.0"/>
        <n v="109483.0"/>
        <n v="120438.0"/>
        <n v="120439.0"/>
        <n v="23681.0"/>
        <n v="89564.0"/>
        <n v="111962.0"/>
        <n v="124771.0"/>
        <n v="120446.0"/>
        <n v="111973.0"/>
        <n v="120437.0"/>
        <n v="124769.0"/>
        <n v="111972.0"/>
        <n v="47390.0"/>
        <n v="27047.0"/>
        <n v="68713.0"/>
        <n v="120568.0"/>
        <n v="120567.0"/>
        <n v="77038.0"/>
        <n v="87760.0"/>
        <n v="122612.0"/>
        <n v="110655.0"/>
        <n v="87785.0"/>
        <n v="122629.0"/>
        <n v="122614.0"/>
        <n v="122788.0"/>
        <n v="20226.0"/>
        <n v="120894.0"/>
        <n v="46762.0"/>
        <n v="118212.0"/>
        <n v="150950.0"/>
        <n v="190106.0"/>
        <n v="79810.0"/>
        <n v="82459.0"/>
        <n v="49360.0"/>
        <n v="194507.0"/>
        <n v="82453.0"/>
        <n v="79669.0"/>
        <n v="122294.0"/>
        <n v="73245.0"/>
        <n v="122082.0"/>
        <n v="194501.0"/>
        <n v="79105.0"/>
        <n v="87769.0"/>
        <n v="9734.0"/>
        <n v="149615.0"/>
        <n v="108966.0"/>
        <n v="116943.0"/>
        <n v="46769.0"/>
        <n v="87766.0"/>
        <n v="110701.0"/>
        <n v="4205.0"/>
        <n v="122615.0"/>
        <n v="87800.0"/>
        <n v="87801.0"/>
        <n v="87767.0"/>
        <n v="82454.0"/>
        <n v="194506.0"/>
        <n v="16240.0"/>
        <n v="16237.0"/>
        <n v="122760.0"/>
        <n v="82446.0"/>
        <n v="118333.0"/>
        <n v="122774.0"/>
        <n v="87789.0"/>
        <n v="111159.0"/>
        <n v="194500.0"/>
        <n v="80432.0"/>
        <n v="122636.0"/>
        <n v="110697.0"/>
        <n v="117966.0"/>
        <n v="122782.0"/>
        <n v="49358.0"/>
        <n v="190250.0"/>
        <n v="100243.0"/>
        <n v="87773.0"/>
        <n v="79103.0"/>
        <n v="87759.0"/>
        <n v="82461.0"/>
        <n v="122613.0"/>
        <n v="79746.0"/>
        <n v="110860.0"/>
        <n v="49355.0"/>
        <n v="93520.0"/>
        <n v="87765.0"/>
        <n v="110863.0"/>
        <n v="16238.0"/>
        <n v="122643.0"/>
        <n v="82452.0"/>
        <n v="122775.0"/>
        <n v="100240.0"/>
        <n v="87758.0"/>
        <n v="110689.0"/>
        <n v="110704.0"/>
        <n v="82455.0"/>
        <n v="127013.0"/>
        <n v="113063.0"/>
        <n v="11296.0"/>
        <n v="105305.0"/>
        <n v="73244.0"/>
        <n v="82458.0"/>
        <n v="105302.0"/>
        <n v="150951.0"/>
        <n v="122492.0"/>
        <n v="110436.0"/>
        <n v="10674.0"/>
        <n v="117166.0"/>
        <n v="111776.0"/>
        <n v="122388.0"/>
        <n v="117160.0"/>
        <n v="98795.0"/>
        <n v="117150.0"/>
        <n v="109416.0"/>
        <n v="122291.0"/>
        <n v="21820.0"/>
        <n v="150105.0"/>
        <n v="46474.0"/>
        <n v="118207.0"/>
        <n v="111007.0"/>
        <n v="9727.0"/>
        <n v="72321.0"/>
        <n v="100063.0"/>
        <n v="79818.0"/>
        <n v="121731.0"/>
        <n v="200584.0"/>
        <n v="68600.0"/>
        <n v="98788.0"/>
        <n v="122390.0"/>
        <n v="109930.0"/>
        <n v="118299.0"/>
        <n v="72320.0"/>
        <n v="87839.0"/>
        <n v="79819.0"/>
        <n v="117169.0"/>
        <n v="200585.0"/>
        <n v="70339.0"/>
        <n v="45597.0"/>
        <n v="117147.0"/>
        <n v="46309.0"/>
        <n v="45595.0"/>
        <n v="100311.0"/>
        <n v="122491.0"/>
        <n v="117466.0"/>
        <n v="85107.0"/>
        <n v="45594.0"/>
        <n v="118298.0"/>
        <n v="98802.0"/>
        <n v="46985.0"/>
        <n v="46476.0"/>
        <n v="110187.0"/>
        <n v="79988.0"/>
        <n v="46970.0"/>
        <n v="6519.0"/>
        <n v="118205.0"/>
        <n v="109412.0"/>
        <n v="117931.0"/>
        <n v="70042.0"/>
        <n v="150104.0"/>
        <n v="72319.0"/>
        <n v="100060.0"/>
        <n v="6521.0"/>
        <n v="45058.0"/>
        <n v="117139.0"/>
        <n v="117464.0"/>
        <n v="111777.0"/>
        <n v="122375.0"/>
        <n v="122282.0"/>
        <n v="47161.0"/>
        <n v="47159.0"/>
        <n v="71327.0"/>
        <n v="122276.0"/>
        <n v="72806.0"/>
        <n v="100248.0"/>
        <n v="122378.0"/>
        <n v="44762.0"/>
        <n v="100247.0"/>
        <n v="182272.0"/>
        <n v="128297.0"/>
        <n v="10673.0"/>
        <n v="69332.0"/>
        <n v="151239.0"/>
        <n v="116667.0"/>
        <n v="72809.0"/>
        <n v="165917.0"/>
        <n v="8746.0"/>
        <n v="122374.0"/>
        <n v="118166.0"/>
        <n v="42729.0"/>
        <n v="182271.0"/>
        <n v="109211.0"/>
        <n v="192901.0"/>
        <n v="122379.0"/>
        <n v="109891.0"/>
        <n v="125688.0"/>
        <n v="68599.0"/>
        <n v="104841.0"/>
        <n v="20243.0"/>
        <n v="10332.0"/>
        <n v="7361.0"/>
        <n v="21320.0"/>
        <n v="7365.0"/>
        <n v="7364.0"/>
        <n v="7362.0"/>
        <n v="117237.0"/>
        <n v="19784.0"/>
        <n v="9329.0"/>
        <n v="10859.0"/>
        <n v="118329.0"/>
        <n v="105169.0"/>
        <n v="90567.0"/>
        <n v="46672.0"/>
        <n v="118229.0"/>
        <n v="193230.0"/>
        <n v="193254.0"/>
        <n v="113228.0"/>
        <n v="193193.0"/>
        <n v="113223.0"/>
        <n v="113227.0"/>
        <n v="114198.0"/>
        <n v="100451.0"/>
        <n v="100446.0"/>
        <n v="193253.0"/>
        <n v="82432.0"/>
        <n v="122703.0"/>
        <n v="129410.0"/>
        <n v="103236.0"/>
        <n v="127534.0"/>
        <n v="100906.0"/>
        <n v="109098.0"/>
        <n v="155864.0"/>
        <n v="120314.0"/>
        <n v="199547.0"/>
        <n v="110540.0"/>
        <n v="182190.0"/>
        <n v="79341.0"/>
        <n v="108969.0"/>
        <n v="79939.0"/>
        <n v="11733.0"/>
        <n v="12647.0"/>
        <n v="122292.0"/>
        <n v="117433.0"/>
        <n v="127018.0"/>
        <n v="9705.0"/>
        <n v="9703.0"/>
        <n v="86005.0"/>
        <n v="9704.0"/>
        <n v="182189.0"/>
        <n v="29452.0"/>
        <n v="122485.0"/>
        <n v="9706.0"/>
        <n v="12648.0"/>
        <n v="93899.0"/>
        <n v="28890.0"/>
        <n v="17638.0"/>
        <n v="28888.0"/>
        <n v="29455.0"/>
        <n v="93895.0"/>
        <n v="116417.0"/>
        <n v="1971.0"/>
        <n v="12649.0"/>
        <n v="93896.0"/>
        <n v="44386.0"/>
        <n v="188156.0"/>
        <n v="7360.0"/>
        <n v="79323.0"/>
        <n v="72015.0"/>
        <n v="44310.0"/>
        <n v="77044.0"/>
        <n v="120636.0"/>
        <n v="92662.0"/>
        <n v="117263.0"/>
        <n v="117261.0"/>
        <n v="10644.0"/>
        <n v="102457.0"/>
        <n v="117419.0"/>
        <n v="150939.0"/>
        <n v="10517.0"/>
        <n v="79109.0"/>
        <n v="118918.0"/>
        <n v="102456.0"/>
        <n v="155865.0"/>
        <n v="100443.0"/>
        <n v="93833.0"/>
        <n v="76693.0"/>
        <n v="100441.0"/>
        <n v="103230.0"/>
        <n v="117902.0"/>
        <n v="105745.0"/>
        <n v="100811.0"/>
        <n v="102505.0"/>
        <n v="121317.0"/>
        <n v="121318.0"/>
        <n v="95155.0"/>
        <n v="25199.0"/>
        <n v="156020.0"/>
        <n v="28587.0"/>
        <n v="16050.0"/>
        <n v="119453.0"/>
        <n v="113070.0"/>
        <n v="99097.0"/>
        <n v="99099.0"/>
        <n v="104998.0"/>
        <n v="110524.0"/>
        <n v="117133.0"/>
        <n v="70696.0"/>
        <n v="121278.0"/>
        <n v="74382.0"/>
        <n v="121921.0"/>
        <n v="83853.0"/>
        <n v="111706.0"/>
        <n v="15062.0"/>
        <n v="79948.0"/>
        <n v="84400.0"/>
        <n v="79299.0"/>
        <n v="19776.0"/>
        <n v="74392.0"/>
        <n v="83399.0"/>
        <n v="74383.0"/>
        <n v="100819.0"/>
        <n v="190857.0"/>
        <n v="120331.0"/>
        <n v="87580.0"/>
        <n v="79300.0"/>
        <n v="79950.0"/>
        <n v="84402.0"/>
        <n v="79298.0"/>
        <n v="145105.0"/>
        <n v="92313.0"/>
        <n v="121735.0"/>
        <n v="47545.0"/>
        <n v="122630.0"/>
        <n v="159490.0"/>
        <n v="120519.0"/>
        <n v="159403.0"/>
        <n v="159617.0"/>
        <n v="85839.0"/>
        <n v="85838.0"/>
        <n v="8868.0"/>
        <n v="116191.0"/>
        <n v="90828.0"/>
        <n v="26276.0"/>
        <n v="29022.0"/>
        <n v="111081.0"/>
        <n v="26277.0"/>
        <n v="100251.0"/>
        <n v="87885.0"/>
        <n v="29023.0"/>
        <n v="100250.0"/>
        <n v="116320.0"/>
        <n v="122149.0"/>
        <n v="107220.0"/>
        <n v="122151.0"/>
        <n v="115766.0"/>
        <n v="114033.0"/>
        <n v="149508.0"/>
        <n v="107256.0"/>
        <n v="121615.0"/>
        <n v="107226.0"/>
        <n v="120188.0"/>
        <n v="107944.0"/>
        <n v="70243.0"/>
        <n v="149505.0"/>
        <n v="101428.0"/>
        <n v="121798.0"/>
        <n v="88636.0"/>
        <n v="111038.0"/>
        <n v="75032.0"/>
        <n v="70187.0"/>
        <n v="147278.0"/>
        <n v="114972.0"/>
        <n v="75072.0"/>
        <n v="114971.0"/>
        <n v="99981.0"/>
        <n v="86383.0"/>
        <n v="89587.0"/>
        <n v="89516.0"/>
        <n v="89519.0"/>
        <n v="75060.0"/>
        <n v="111745.0"/>
        <n v="70242.0"/>
        <n v="75061.0"/>
        <n v="69467.0"/>
        <n v="121800.0"/>
        <n v="110974.0"/>
        <n v="114969.0"/>
        <n v="111041.0"/>
        <n v="82382.0"/>
        <n v="89634.0"/>
        <n v="82381.0"/>
        <n v="107232.0"/>
        <n v="70247.0"/>
        <n v="107253.0"/>
        <n v="102709.0"/>
        <n v="75050.0"/>
        <n v="111014.0"/>
        <n v="120282.0"/>
        <n v="84512.0"/>
        <n v="77197.0"/>
        <n v="29650.0"/>
        <n v="4162.0"/>
        <n v="88214.0"/>
        <n v="73254.0"/>
        <n v="108204.0"/>
        <n v="9676.0"/>
        <n v="44412.0"/>
        <n v="73253.0"/>
        <n v="122516.0"/>
        <n v="70314.0"/>
        <n v="17644.0"/>
        <n v="118996.0"/>
        <n v="79199.0"/>
        <n v="128316.0"/>
        <n v="7933.0"/>
        <n v="85944.0"/>
        <n v="76665.0"/>
        <n v="102286.0"/>
        <n v="77199.0"/>
        <n v="11722.0"/>
        <n v="97949.0"/>
        <n v="9701.0"/>
        <n v="117615.0"/>
        <n v="10076.0"/>
        <n v="106572.0"/>
        <n v="10081.0"/>
        <n v="46424.0"/>
        <n v="118931.0"/>
        <n v="10078.0"/>
        <n v="75824.0"/>
        <n v="80433.0"/>
        <n v="106566.0"/>
        <n v="9702.0"/>
        <n v="122445.0"/>
        <n v="77178.0"/>
        <n v="10075.0"/>
        <n v="10079.0"/>
        <n v="111469.0"/>
        <n v="166324.0"/>
        <n v="7829.0"/>
        <n v="105507.0"/>
        <n v="12834.0"/>
        <n v="27984.0"/>
        <n v="29444.0"/>
        <n v="107878.0"/>
        <n v="122416.0"/>
        <n v="95628.0"/>
        <n v="9654.0"/>
        <n v="105609.0"/>
        <n v="118932.0"/>
        <n v="103976.0"/>
        <n v="107881.0"/>
        <n v="7830.0"/>
        <n v="159717.0"/>
        <n v="113449.0"/>
        <n v="79942.0"/>
        <n v="29437.0"/>
        <n v="99234.0"/>
        <n v="103985.0"/>
        <n v="97947.0"/>
        <n v="101083.0"/>
        <n v="111287.0"/>
        <n v="11728.0"/>
        <n v="111286.0"/>
        <n v="29426.0"/>
        <n v="93419.0"/>
        <n v="93418.0"/>
        <n v="79198.0"/>
        <n v="11720.0"/>
        <n v="122534.0"/>
        <n v="92209.0"/>
        <n v="93417.0"/>
        <n v="103197.0"/>
        <n v="118930.0"/>
        <n v="92199.0"/>
        <n v="29647.0"/>
        <n v="121857.0"/>
        <n v="129484.0"/>
        <n v="122405.0"/>
        <n v="108690.0"/>
        <n v="11726.0"/>
        <n v="109074.0"/>
        <n v="75818.0"/>
        <n v="10663.0"/>
        <n v="9667.0"/>
        <n v="109073.0"/>
        <n v="11731.0"/>
        <n v="155869.0"/>
        <n v="118982.0"/>
        <n v="29642.0"/>
        <n v="111774.0"/>
        <n v="117290.0"/>
        <n v="105593.0"/>
        <n v="70751.0"/>
        <n v="118929.0"/>
        <n v="70594.0"/>
        <n v="118270.0"/>
        <n v="20584.0"/>
        <n v="150541.0"/>
        <n v="12633.0"/>
        <n v="9666.0"/>
        <n v="79940.0"/>
        <n v="201198.0"/>
        <n v="117268.0"/>
        <n v="80623.0"/>
        <n v="9698.0"/>
        <n v="83102.0"/>
        <n v="118271.0"/>
        <n v="41659.0"/>
        <n v="81564.0"/>
        <n v="110132.0"/>
        <n v="17639.0"/>
        <n v="201025.0"/>
        <n v="70589.0"/>
        <n v="75825.0"/>
        <n v="9699.0"/>
        <n v="122448.0"/>
        <n v="105506.0"/>
        <n v="142304.0"/>
        <n v="105505.0"/>
        <n v="122502.0"/>
        <n v="118264.0"/>
        <n v="17632.0"/>
        <n v="108790.0"/>
        <n v="92200.0"/>
        <n v="17634.0"/>
        <n v="122522.0"/>
        <n v="122505.0"/>
        <n v="93416.0"/>
        <n v="93406.0"/>
        <n v="69329.0"/>
        <n v="155953.0"/>
        <n v="11721.0"/>
        <n v="41654.0"/>
        <n v="92204.0"/>
        <n v="105572.0"/>
        <n v="110141.0"/>
        <n v="158471.0"/>
        <n v="120876.0"/>
        <n v="87437.0"/>
        <n v="121462.0"/>
        <n v="69471.0"/>
        <n v="114904.0"/>
        <n v="113910.0"/>
        <n v="18100.0"/>
        <n v="114963.0"/>
        <n v="121495.0"/>
        <n v="83041.0"/>
        <n v="121499.0"/>
        <n v="108528.0"/>
        <n v="69547.0"/>
        <n v="18126.0"/>
        <n v="121812.0"/>
        <n v="81497.0"/>
        <n v="121500.0"/>
        <n v="45903.0"/>
        <n v="121813.0"/>
        <n v="108512.0"/>
        <n v="70189.0"/>
        <n v="194057.0"/>
        <n v="121460.0"/>
        <n v="121950.0"/>
        <n v="121811.0"/>
        <n v="86400.0"/>
        <n v="108527.0"/>
        <n v="88622.0"/>
        <n v="121803.0"/>
        <n v="87418.0"/>
        <n v="26275.0"/>
        <n v="119229.0"/>
        <n v="74881.0"/>
        <n v="86469.0"/>
        <n v="120798.0"/>
        <n v="86479.0"/>
        <n v="80411.0"/>
        <n v="120797.0"/>
        <n v="86480.0"/>
        <n v="86478.0"/>
        <n v="118887.0"/>
        <n v="121802.0"/>
        <n v="87440.0"/>
        <n v="86477.0"/>
        <n v="83059.0"/>
        <n v="86449.0"/>
        <n v="86416.0"/>
        <n v="83064.0"/>
        <n v="108514.0"/>
        <n v="86454.0"/>
        <n v="143238.0"/>
        <n v="107070.0"/>
        <n v="114467.0"/>
        <n v="143237.0"/>
        <n v="86417.0"/>
        <n v="147317.0"/>
        <n v="122177.0"/>
        <n v="114909.0"/>
        <n v="119230.0"/>
        <n v="107109.0"/>
        <n v="121461.0"/>
        <n v="86413.0"/>
        <n v="108511.0"/>
        <n v="120877.0"/>
        <n v="194052.0"/>
        <n v="121493.0"/>
        <n v="121479.0"/>
        <n v="79011.0"/>
        <n v="86470.0"/>
        <n v="194997.0"/>
        <n v="108515.0"/>
        <n v="69346.0"/>
        <n v="119971.0"/>
        <n v="107274.0"/>
        <n v="69451.0"/>
        <n v="87416.0"/>
        <n v="23667.0"/>
        <n v="112770.0"/>
        <n v="116186.0"/>
        <n v="95413.0"/>
        <n v="116184.0"/>
        <n v="95412.0"/>
        <n v="95414.0"/>
        <n v="24088.0"/>
        <n v="75156.0"/>
        <n v="6216.0"/>
        <n v="149867.0"/>
        <n v="44037.0"/>
        <n v="83029.0"/>
        <n v="100395.0"/>
        <n v="110437.0"/>
        <n v="29430.0"/>
        <n v="95416.0"/>
        <n v="108493.0"/>
        <n v="109293.0"/>
        <n v="73581.0"/>
        <n v="100396.0"/>
        <n v="45917.0"/>
        <n v="83420.0"/>
        <n v="101591.0"/>
        <n v="116181.0"/>
        <n v="109300.0"/>
        <n v="46160.0"/>
        <n v="116202.0"/>
        <n v="106884.0"/>
        <n v="98598.0"/>
        <n v="78515.0"/>
        <n v="46154.0"/>
        <n v="23668.0"/>
        <n v="107900.0"/>
        <n v="85037.0"/>
        <n v="49182.0"/>
        <n v="69111.0"/>
        <n v="80054.0"/>
        <n v="79782.0"/>
        <n v="80045.0"/>
        <n v="69108.0"/>
        <n v="69112.0"/>
        <n v="121992.0"/>
        <n v="80048.0"/>
        <n v="121982.0"/>
        <n v="121974.0"/>
        <n v="69110.0"/>
        <n v="23540.0"/>
        <n v="69123.0"/>
        <n v="121984.0"/>
        <n v="121979.0"/>
        <n v="80043.0"/>
        <n v="100326.0"/>
        <n v="69117.0"/>
        <n v="100334.0"/>
        <n v="69120.0"/>
        <n v="69119.0"/>
        <n v="69118.0"/>
        <n v="80044.0"/>
        <n v="23556.0"/>
        <n v="69114.0"/>
        <n v="79778.0"/>
        <n v="100323.0"/>
        <n v="69116.0"/>
        <n v="68938.0"/>
        <n v="121987.0"/>
        <n v="69113.0"/>
        <n v="80053.0"/>
        <n v="121986.0"/>
        <n v="121988.0"/>
        <n v="121990.0"/>
        <n v="68941.0"/>
        <n v="69122.0"/>
        <n v="80049.0"/>
        <n v="121971.0"/>
        <n v="68945.0"/>
        <n v="79780.0"/>
        <n v="80056.0"/>
        <n v="80040.0"/>
        <n v="114480.0"/>
        <n v="111922.0"/>
        <n v="111924.0"/>
        <n v="80047.0"/>
        <n v="69121.0"/>
        <n v="68939.0"/>
        <n v="69124.0"/>
        <n v="23552.0"/>
        <n v="68943.0"/>
        <n v="69115.0"/>
        <n v="81122.0"/>
        <n v="84672.0"/>
        <n v="81127.0"/>
        <n v="87858.0"/>
        <n v="84673.0"/>
        <n v="81064.0"/>
        <n v="81139.0"/>
        <n v="81141.0"/>
        <n v="81054.0"/>
        <n v="118352.0"/>
        <n v="81091.0"/>
        <n v="81025.0"/>
        <n v="81129.0"/>
        <n v="81043.0"/>
        <n v="81120.0"/>
        <n v="81109.0"/>
        <n v="81082.0"/>
        <n v="81036.0"/>
        <n v="81690.0"/>
        <n v="87849.0"/>
        <n v="81094.0"/>
        <n v="202726.0"/>
        <n v="101516.0"/>
        <n v="84332.0"/>
        <n v="16959.0"/>
        <n v="87762.0"/>
        <n v="16952.0"/>
        <n v="16958.0"/>
        <n v="16950.0"/>
        <n v="102266.0"/>
        <n v="202746.0"/>
        <n v="101519.0"/>
        <n v="81688.0"/>
        <n v="120365.0"/>
        <n v="3438.0"/>
        <n v="102262.0"/>
        <n v="87764.0"/>
        <n v="3437.0"/>
        <n v="111017.0"/>
        <n v="102264.0"/>
        <n v="18088.0"/>
        <n v="87836.0"/>
        <n v="87804.0"/>
        <n v="108207.0"/>
        <n v="111043.0"/>
        <n v="100223.0"/>
        <n v="92161.0"/>
        <n v="113405.0"/>
        <n v="120817.0"/>
        <n v="14520.0"/>
        <n v="104928.0"/>
        <n v="14517.0"/>
        <n v="122563.0"/>
        <n v="96404.0"/>
        <n v="121469.0"/>
        <n v="122579.0"/>
        <n v="113407.0"/>
        <n v="91995.0"/>
        <n v="81178.0"/>
        <n v="12918.0"/>
        <n v="122411.0"/>
        <n v="81194.0"/>
        <n v="71876.0"/>
        <n v="129493.0"/>
        <n v="81190.0"/>
        <n v="71875.0"/>
        <n v="81198.0"/>
        <n v="188723.0"/>
        <n v="115053.0"/>
        <n v="104609.0"/>
        <n v="12916.0"/>
        <n v="129488.0"/>
        <n v="78566.0"/>
        <n v="15090.0"/>
        <n v="81209.0"/>
        <n v="108141.0"/>
        <n v="12914.0"/>
        <n v="129492.0"/>
        <n v="120473.0"/>
        <n v="12924.0"/>
        <n v="12920.0"/>
        <n v="81200.0"/>
        <n v="122410.0"/>
        <n v="81720.0"/>
        <n v="12923.0"/>
        <n v="81173.0"/>
        <n v="12910.0"/>
        <n v="81193.0"/>
        <n v="12917.0"/>
        <n v="129491.0"/>
        <n v="15104.0"/>
        <n v="122407.0"/>
        <n v="81191.0"/>
        <n v="188725.0"/>
        <n v="188724.0"/>
        <n v="12911.0"/>
        <n v="21612.0"/>
        <n v="21603.0"/>
        <n v="81218.0"/>
        <n v="70543.0"/>
        <n v="80549.0"/>
        <n v="79404.0"/>
        <n v="110596.0"/>
        <n v="70547.0"/>
        <n v="11410.0"/>
        <n v="116632.0"/>
        <n v="80546.0"/>
        <n v="80572.0"/>
        <n v="70558.0"/>
        <n v="79405.0"/>
        <n v="80543.0"/>
        <n v="14041.0"/>
        <n v="70559.0"/>
        <n v="80582.0"/>
        <n v="90004.0"/>
        <n v="117907.0"/>
        <n v="70542.0"/>
        <n v="81210.0"/>
        <n v="81211.0"/>
        <n v="80573.0"/>
        <n v="117909.0"/>
        <n v="80584.0"/>
        <n v="80550.0"/>
        <n v="81227.0"/>
        <n v="80578.0"/>
        <n v="110595.0"/>
        <n v="70557.0"/>
        <n v="147284.0"/>
        <n v="70553.0"/>
        <n v="81212.0"/>
        <n v="120427.0"/>
        <n v="46049.0"/>
        <n v="46039.0"/>
        <n v="46037.0"/>
        <n v="88965.0"/>
        <n v="102614.0"/>
        <n v="122704.0"/>
        <n v="164902.0"/>
        <n v="117783.0"/>
        <n v="114278.0"/>
        <n v="46056.0"/>
        <n v="5703.0"/>
        <n v="102607.0"/>
        <n v="87913.0"/>
        <n v="149513.0"/>
        <n v="87909.0"/>
        <n v="101897.0"/>
        <n v="121675.0"/>
        <n v="99349.0"/>
        <n v="117785.0"/>
        <n v="120558.0"/>
        <n v="99351.0"/>
        <n v="113058.0"/>
        <n v="118917.0"/>
        <n v="164891.0"/>
        <n v="101901.0"/>
        <n v="197164.0"/>
        <n v="114277.0"/>
        <n v="86913.0"/>
        <n v="88971.0"/>
        <n v="188840.0"/>
        <n v="95652.0"/>
        <n v="68627.0"/>
        <n v="46043.0"/>
        <n v="60592.0"/>
        <n v="99350.0"/>
        <n v="78983.0"/>
        <n v="188845.0"/>
        <n v="117787.0"/>
        <n v="119986.0"/>
        <n v="188841.0"/>
        <n v="99348.0"/>
        <n v="78978.0"/>
        <n v="120556.0"/>
        <n v="80254.0"/>
        <n v="121911.0"/>
        <n v="120328.0"/>
        <n v="122702.0"/>
        <n v="92542.0"/>
        <n v="15423.0"/>
        <n v="111797.0"/>
        <n v="112626.0"/>
        <n v="12925.0"/>
        <n v="107034.0"/>
        <n v="88319.0"/>
        <n v="3453.0"/>
        <n v="121425.0"/>
        <n v="10561.0"/>
        <n v="90294.0"/>
        <n v="70804.0"/>
        <n v="81237.0"/>
        <n v="47564.0"/>
        <n v="24055.0"/>
        <n v="48637.0"/>
        <n v="3447.0"/>
        <n v="117921.0"/>
        <n v="128322.0"/>
        <n v="42207.0"/>
        <n v="108394.0"/>
        <n v="119967.0"/>
        <n v="81235.0"/>
        <n v="24053.0"/>
        <n v="116936.0"/>
        <n v="44268.0"/>
        <n v="111946.0"/>
        <n v="81234.0"/>
        <n v="24038.0"/>
        <n v="44882.0"/>
        <n v="44266.0"/>
        <n v="3452.0"/>
        <n v="118569.0"/>
        <n v="84378.0"/>
        <n v="112731.0"/>
        <n v="166201.0"/>
        <n v="48495.0"/>
        <n v="10383.0"/>
        <n v="116284.0"/>
        <n v="86543.0"/>
        <n v="21165.0"/>
        <n v="10309.0"/>
        <n v="10367.0"/>
        <n v="86545.0"/>
        <n v="86544.0"/>
        <n v="10384.0"/>
        <n v="79314.0"/>
        <n v="79311.0"/>
        <n v="118249.0"/>
        <n v="128420.0"/>
        <n v="120692.0"/>
        <n v="122464.0"/>
        <n v="79762.0"/>
        <n v="79315.0"/>
        <n v="98941.0"/>
        <n v="118245.0"/>
        <n v="122333.0"/>
        <n v="121901.0"/>
        <n v="79316.0"/>
        <n v="109899.0"/>
        <n v="70570.0"/>
        <n v="79364.0"/>
        <n v="113103.0"/>
        <n v="200581.0"/>
        <n v="91490.0"/>
        <n v="79320.0"/>
        <n v="122331.0"/>
        <n v="79921.0"/>
        <n v="128421.0"/>
        <n v="80421.0"/>
        <n v="121867.0"/>
        <n v="122501.0"/>
        <n v="44531.0"/>
        <n v="118153.0"/>
        <n v="118244.0"/>
        <n v="46974.0"/>
        <n v="69232.0"/>
        <n v="117461.0"/>
        <n v="122324.0"/>
        <n v="119023.0"/>
        <n v="70600.0"/>
        <n v="10689.0"/>
        <n v="158427.0"/>
        <n v="122462.0"/>
        <n v="155951.0"/>
        <n v="79338.0"/>
        <n v="79919.0"/>
        <n v="117057.0"/>
        <n v="122334.0"/>
        <n v="122648.0"/>
        <n v="128418.0"/>
        <n v="109883.0"/>
        <n v="119027.0"/>
        <n v="30522.0"/>
        <n v="118155.0"/>
        <n v="188068.0"/>
        <n v="92613.0"/>
        <n v="69234.0"/>
        <n v="109938.0"/>
        <n v="120307.0"/>
        <n v="118906.0"/>
        <n v="128309.0"/>
        <n v="1986.0"/>
        <n v="117749.0"/>
        <n v="117748.0"/>
        <n v="1962.0"/>
        <n v="109994.0"/>
        <n v="69364.0"/>
        <n v="69365.0"/>
        <n v="46990.0"/>
        <n v="11428.0"/>
        <n v="122318.0"/>
        <n v="182194.0"/>
        <n v="147256.0"/>
        <n v="5079.0"/>
        <n v="92621.0"/>
        <n v="11003.0"/>
        <n v="117560.0"/>
        <n v="188368.0"/>
        <n v="124765.0"/>
        <n v="8726.0"/>
        <n v="118158.0"/>
        <n v="121871.0"/>
        <n v="121876.0"/>
        <n v="121877.0"/>
        <n v="121879.0"/>
        <n v="121874.0"/>
        <n v="121893.0"/>
        <n v="121892.0"/>
        <n v="102678.0"/>
        <n v="121887.0"/>
        <n v="21344.0"/>
        <n v="121873.0"/>
        <n v="108833.0"/>
        <n v="121882.0"/>
        <n v="91492.0"/>
        <n v="111392.0"/>
        <n v="108835.0"/>
        <n v="118111.0"/>
        <n v="121872.0"/>
        <n v="112885.0"/>
        <n v="108738.0"/>
        <n v="21338.0"/>
        <n v="76513.0"/>
        <n v="76514.0"/>
        <n v="21339.0"/>
        <n v="75436.0"/>
        <n v="84092.0"/>
        <n v="86943.0"/>
        <n v="8688.0"/>
        <n v="117967.0"/>
        <n v="23061.0"/>
        <n v="10688.0"/>
        <n v="8690.0"/>
        <n v="79808.0"/>
        <n v="44797.0"/>
        <n v="79807.0"/>
        <n v="11426.0"/>
        <n v="45059.0"/>
        <n v="200582.0"/>
        <n v="143825.0"/>
        <n v="85232.0"/>
        <n v="79806.0"/>
        <n v="46991.0"/>
        <n v="69360.0"/>
        <n v="110441.0"/>
        <n v="120781.0"/>
        <n v="79809.0"/>
        <n v="45057.0"/>
        <n v="79805.0"/>
        <n v="45707.0"/>
        <n v="117282.0"/>
        <n v="30503.0"/>
        <n v="187336.0"/>
        <n v="82427.0"/>
        <n v="11000.0"/>
        <n v="117274.0"/>
        <n v="117445.0"/>
        <n v="103246.0"/>
        <n v="92626.0"/>
        <n v="79352.0"/>
        <n v="128315.0"/>
        <n v="117272.0"/>
        <n v="116770.0"/>
        <n v="118012.0"/>
        <n v="117306.0"/>
        <n v="117056.0"/>
        <n v="188066.0"/>
        <n v="181147.0"/>
        <n v="79917.0"/>
        <n v="110282.0"/>
        <n v="200526.0"/>
        <n v="193197.0"/>
        <n v="79820.0"/>
        <n v="122327.0"/>
        <n v="117956.0"/>
        <n v="86182.0"/>
        <n v="46989.0"/>
        <n v="46976.0"/>
        <n v="79354.0"/>
        <n v="114268.0"/>
        <n v="10685.0"/>
        <n v="118157.0"/>
        <n v="122322.0"/>
        <n v="27509.0"/>
        <n v="110852.0"/>
        <n v="128312.0"/>
        <n v="79355.0"/>
        <n v="86185.0"/>
        <n v="77138.0"/>
        <n v="86183.0"/>
        <n v="122595.0"/>
        <n v="70338.0"/>
        <n v="114273.0"/>
        <n v="110849.0"/>
        <n v="45056.0"/>
        <n v="92633.0"/>
        <n v="111011.0"/>
        <n v="11002.0"/>
        <n v="80661.0"/>
        <n v="128310.0"/>
        <n v="182193.0"/>
        <n v="116771.0"/>
        <n v="103245.0"/>
        <n v="1961.0"/>
        <n v="128314.0"/>
        <n v="109993.0"/>
        <n v="117270.0"/>
        <n v="42748.0"/>
        <n v="110447.0"/>
        <n v="46979.0"/>
        <n v="1296.0"/>
        <n v="109973.0"/>
        <n v="155949.0"/>
        <n v="187346.0"/>
        <n v="46978.0"/>
        <n v="110283.0"/>
        <n v="147257.0"/>
        <n v="182191.0"/>
        <n v="9722.0"/>
        <n v="124772.0"/>
        <n v="8681.0"/>
        <n v="5077.0"/>
        <n v="114274.0"/>
        <n v="1297.0"/>
        <n v="46988.0"/>
        <n v="92623.0"/>
        <n v="79761.0"/>
        <n v="11001.0"/>
        <n v="9731.0"/>
        <n v="122316.0"/>
        <n v="147255.0"/>
        <n v="8675.0"/>
        <n v="121900.0"/>
        <n v="124764.0"/>
        <n v="124774.0"/>
        <n v="79353.0"/>
        <n v="82703.0"/>
        <n v="71820.0"/>
        <n v="128311.0"/>
        <n v="70595.0"/>
        <n v="8676.0"/>
        <n v="128313.0"/>
        <n v="45479.0"/>
        <n v="45481.0"/>
        <n v="80001.0"/>
        <n v="10068.0"/>
        <n v="10054.0"/>
        <n v="10070.0"/>
        <n v="45480.0"/>
        <n v="92791.0"/>
        <n v="188722.0"/>
        <n v="10061.0"/>
        <n v="188708.0"/>
        <n v="110927.0"/>
        <n v="188729.0"/>
        <n v="120969.0"/>
        <n v="188728.0"/>
        <n v="188663.0"/>
        <n v="188727.0"/>
        <n v="9741.0"/>
        <n v="70406.0"/>
        <n v="112114.0"/>
        <n v="70405.0"/>
        <n v="20405.0"/>
        <n v="121308.0"/>
        <n v="121311.0"/>
        <n v="124748.0"/>
        <n v="104315.0"/>
        <n v="104314.0"/>
        <n v="69287.0"/>
        <n v="5789.0"/>
        <n v="14013.0"/>
        <n v="14015.0"/>
        <n v="69291.0"/>
        <n v="26057.0"/>
        <n v="14022.0"/>
        <n v="80109.0"/>
        <n v="121686.0"/>
        <n v="60365.0"/>
        <n v="86488.0"/>
        <n v="122530.0"/>
        <n v="60526.0"/>
        <n v="116807.0"/>
        <n v="80030.0"/>
        <n v="122529.0"/>
        <n v="14042.0"/>
        <n v="14043.0"/>
        <n v="9157.0"/>
        <n v="149968.0"/>
        <n v="47299.0"/>
        <n v="109275.0"/>
        <n v="122768.0"/>
        <n v="80400.0"/>
        <n v="8803.0"/>
        <n v="80085.0"/>
        <n v="47379.0"/>
        <n v="47366.0"/>
        <n v="47376.0"/>
        <n v="95799.0"/>
        <n v="112733.0"/>
        <n v="47050.0"/>
        <n v="112449.0"/>
        <n v="14025.0"/>
        <n v="26054.0"/>
        <n v="60366.0"/>
        <n v="116805.0"/>
        <n v="8804.0"/>
        <n v="48470.0"/>
        <n v="86485.0"/>
        <n v="73872.0"/>
        <n v="72852.0"/>
        <n v="85856.0"/>
        <n v="14018.0"/>
        <n v="100262.0"/>
        <n v="114657.0"/>
        <n v="150281.0"/>
        <n v="81491.0"/>
        <n v="88519.0"/>
        <n v="116800.0"/>
        <n v="117675.0"/>
        <n v="47051.0"/>
        <n v="103171.0"/>
        <n v="47049.0"/>
        <n v="47351.0"/>
        <n v="47575.0"/>
        <n v="80088.0"/>
        <n v="47298.0"/>
        <n v="100271.0"/>
        <n v="47621.0"/>
        <n v="117609.0"/>
        <n v="103873.0"/>
        <n v="14026.0"/>
        <n v="95951.0"/>
        <n v="9162.0"/>
        <n v="80089.0"/>
        <n v="122521.0"/>
        <n v="69300.0"/>
        <n v="80417.0"/>
        <n v="128323.0"/>
        <n v="80091.0"/>
        <n v="92927.0"/>
        <n v="9158.0"/>
        <n v="103872.0"/>
        <n v="116809.0"/>
        <n v="114655.0"/>
        <n v="80228.0"/>
        <n v="47207.0"/>
        <n v="116402.0"/>
        <n v="116408.0"/>
        <n v="83592.0"/>
        <n v="122241.0"/>
        <n v="112799.0"/>
        <n v="122659.0"/>
        <n v="112797.0"/>
        <n v="122663.0"/>
        <n v="112809.0"/>
        <n v="80220.0"/>
        <n v="112732.0"/>
        <n v="83354.0"/>
        <n v="116410.0"/>
        <n v="103841.0"/>
        <n v="116746.0"/>
        <n v="116405.0"/>
        <n v="112810.0"/>
        <n v="47347.0"/>
        <n v="101902.0"/>
        <n v="92926.0"/>
        <n v="47345.0"/>
        <n v="121611.0"/>
        <n v="73310.0"/>
        <n v="80102.0"/>
        <n v="122773.0"/>
        <n v="119421.0"/>
        <n v="118276.0"/>
        <n v="47314.0"/>
        <n v="122771.0"/>
        <n v="47380.0"/>
        <n v="98329.0"/>
        <n v="81485.0"/>
        <n v="77847.0"/>
        <n v="77290.0"/>
        <n v="114656.0"/>
        <n v="118486.0"/>
        <n v="101889.0"/>
        <n v="14030.0"/>
        <n v="47381.0"/>
        <n v="101888.0"/>
        <n v="98328.0"/>
        <n v="79775.0"/>
        <n v="122616.0"/>
        <n v="101950.0"/>
        <n v="9163.0"/>
        <n v="110106.0"/>
        <n v="14045.0"/>
        <n v="95993.0"/>
        <n v="81488.0"/>
        <n v="14049.0"/>
        <n v="121749.0"/>
        <n v="101927.0"/>
        <n v="103864.0"/>
        <n v="85862.0"/>
        <n v="46124.0"/>
        <n v="114346.0"/>
        <n v="80194.0"/>
        <n v="80192.0"/>
        <n v="46109.0"/>
        <n v="80196.0"/>
        <n v="149602.0"/>
        <n v="46123.0"/>
        <n v="46113.0"/>
        <n v="46116.0"/>
        <n v="46119.0"/>
        <n v="63867.0"/>
        <n v="80190.0"/>
        <n v="48485.0"/>
        <n v="80203.0"/>
        <n v="100670.0"/>
        <n v="16546.0"/>
        <n v="121622.0"/>
        <n v="80202.0"/>
        <n v="24263.0"/>
        <n v="16552.0"/>
        <n v="112771.0"/>
        <n v="116197.0"/>
        <n v="46138.0"/>
        <n v="109546.0"/>
        <n v="199475.0"/>
        <n v="199479.0"/>
        <n v="48180.0"/>
        <n v="90374.0"/>
        <n v="80318.0"/>
        <n v="6206.0"/>
        <n v="181492.0"/>
        <n v="148738.0"/>
        <n v="100692.0"/>
        <n v="121708.0"/>
        <n v="47508.0"/>
        <n v="89514.0"/>
        <n v="117918.0"/>
        <n v="16645.0"/>
        <n v="148740.0"/>
        <n v="100688.0"/>
        <n v="148741.0"/>
        <n v="109299.0"/>
        <n v="196109.0"/>
        <n v="72155.0"/>
        <n v="80245.0"/>
        <n v="6215.0"/>
        <n v="45810.0"/>
        <n v="80205.0"/>
        <n v="107064.0"/>
        <n v="6211.0"/>
        <n v="44036.0"/>
        <n v="181493.0"/>
        <n v="6210.0"/>
        <n v="110431.0"/>
        <n v="122878.0"/>
        <n v="14092.0"/>
        <n v="121621.0"/>
        <n v="120511.0"/>
        <n v="46132.0"/>
        <n v="83014.0"/>
        <n v="80199.0"/>
        <n v="80201.0"/>
        <n v="46131.0"/>
        <n v="102346.0"/>
        <n v="14094.0"/>
        <n v="100679.0"/>
        <n v="102345.0"/>
        <n v="121695.0"/>
        <n v="6204.0"/>
        <n v="16571.0"/>
        <n v="181494.0"/>
        <n v="80315.0"/>
        <n v="83054.0"/>
        <n v="83056.0"/>
        <n v="83055.0"/>
        <n v="46134.0"/>
        <n v="121693.0"/>
        <n v="102344.0"/>
        <n v="100687.0"/>
        <n v="70327.0"/>
        <n v="80191.0"/>
        <n v="103037.0"/>
        <n v="6205.0"/>
        <n v="70387.0"/>
        <n v="122278.0"/>
        <n v="29365.0"/>
        <n v="17769.0"/>
        <n v="23144.0"/>
        <n v="120115.0"/>
        <n v="29384.0"/>
        <n v="17746.0"/>
        <n v="121630.0"/>
        <n v="29385.0"/>
        <n v="17767.0"/>
        <n v="103047.0"/>
        <n v="70209.0"/>
        <n v="29372.0"/>
        <n v="120485.0"/>
        <n v="120486.0"/>
        <n v="70293.0"/>
        <n v="71772.0"/>
        <n v="86111.0"/>
        <n v="71840.0"/>
        <n v="28533.0"/>
        <n v="86994.0"/>
        <n v="124881.0"/>
        <n v="119280.0"/>
        <n v="87001.0"/>
        <n v="71839.0"/>
        <n v="119288.0"/>
        <n v="71770.0"/>
        <n v="28536.0"/>
        <n v="90007.0"/>
        <n v="71830.0"/>
        <n v="71837.0"/>
        <n v="83640.0"/>
        <n v="111191.0"/>
        <n v="70442.0"/>
        <n v="122228.0"/>
        <n v="46822.0"/>
        <n v="71769.0"/>
        <n v="9302.0"/>
        <n v="90006.0"/>
        <n v="80673.0"/>
        <n v="71834.0"/>
        <n v="107310.0"/>
        <n v="71843.0"/>
        <n v="107358.0"/>
        <n v="44842.0"/>
        <n v="111181.0"/>
        <n v="71773.0"/>
        <n v="71836.0"/>
        <n v="70276.0"/>
        <n v="71775.0"/>
        <n v="44844.0"/>
        <n v="156181.0"/>
        <n v="102898.0"/>
        <n v="47600.0"/>
        <n v="111173.0"/>
        <n v="70201.0"/>
        <n v="71842.0"/>
        <n v="47601.0"/>
        <n v="87000.0"/>
        <n v="103457.0"/>
        <n v="42198.0"/>
        <n v="46823.0"/>
        <n v="116196.0"/>
        <n v="111177.0"/>
        <n v="70292.0"/>
        <n v="90008.0"/>
        <n v="71768.0"/>
        <n v="86972.0"/>
        <n v="111179.0"/>
        <n v="81726.0"/>
        <n v="28535.0"/>
        <n v="80682.0"/>
        <n v="144008.0"/>
        <n v="111129.0"/>
        <n v="107307.0"/>
        <n v="70206.0"/>
        <n v="107349.0"/>
        <n v="122231.0"/>
        <n v="103458.0"/>
        <n v="71838.0"/>
        <n v="104671.0"/>
        <n v="83793.0"/>
        <n v="50478.0"/>
        <n v="118891.0"/>
        <n v="70440.0"/>
        <n v="44840.0"/>
        <n v="107304.0"/>
        <n v="116195.0"/>
        <n v="86980.0"/>
        <n v="122230.0"/>
        <n v="47602.0"/>
        <n v="42190.0"/>
        <n v="111130.0"/>
        <n v="71774.0"/>
        <n v="75010.0"/>
        <n v="119276.0"/>
        <n v="83789.0"/>
        <n v="86999.0"/>
        <n v="80678.0"/>
        <n v="86973.0"/>
        <n v="81724.0"/>
        <n v="104678.0"/>
        <n v="71844.0"/>
        <n v="42287.0"/>
        <n v="116678.0"/>
        <n v="116845.0"/>
        <n v="114252.0"/>
        <n v="117595.0"/>
        <n v="109579.0"/>
        <n v="117597.0"/>
        <n v="14401.0"/>
        <n v="109290.0"/>
        <n v="117665.0"/>
        <n v="117681.0"/>
        <n v="119406.0"/>
        <n v="117676.0"/>
        <n v="109571.0"/>
        <n v="116676.0"/>
        <n v="116816.0"/>
        <n v="117663.0"/>
        <n v="117652.0"/>
        <n v="109289.0"/>
        <n v="117656.0"/>
        <n v="117677.0"/>
        <n v="116677.0"/>
        <n v="117256.0"/>
        <n v="122738.0"/>
        <n v="116679.0"/>
        <n v="116831.0"/>
        <n v="109577.0"/>
        <n v="77790.0"/>
        <n v="101172.0"/>
        <n v="87023.0"/>
        <n v="101520.0"/>
        <n v="118362.0"/>
        <n v="87313.0"/>
        <n v="111015.0"/>
        <n v="87312.0"/>
        <n v="87025.0"/>
        <n v="111587.0"/>
        <n v="114934.0"/>
        <n v="116519.0"/>
        <n v="116516.0"/>
        <n v="104931.0"/>
        <n v="105656.0"/>
        <n v="117702.0"/>
        <n v="88385.0"/>
        <n v="76451.0"/>
        <n v="199950.0"/>
        <n v="121167.0"/>
        <n v="199954.0"/>
        <n v="190713.0"/>
        <n v="199951.0"/>
        <n v="85263.0"/>
        <n v="180016.0"/>
        <n v="129432.0"/>
        <n v="120052.0"/>
        <n v="111876.0"/>
        <n v="85092.0"/>
        <n v="121046.0"/>
        <n v="849.0"/>
        <n v="21662.0"/>
        <n v="127038.0"/>
        <n v="91954.0"/>
        <n v="96365.0"/>
        <n v="121172.0"/>
        <n v="74331.0"/>
        <n v="105657.0"/>
        <n v="113716.0"/>
        <n v="104510.0"/>
        <n v="105059.0"/>
        <n v="63608.0"/>
        <n v="121095.0"/>
        <n v="76450.0"/>
        <n v="121012.0"/>
        <n v="113187.0"/>
        <n v="101946.0"/>
        <n v="117275.0"/>
        <n v="117695.0"/>
        <n v="74398.0"/>
        <n v="105230.0"/>
        <n v="112776.0"/>
        <n v="23968.0"/>
        <n v="127025.0"/>
        <n v="118956.0"/>
        <n v="118947.0"/>
        <n v="95873.0"/>
        <n v="118946.0"/>
        <n v="44991.0"/>
        <n v="122398.0"/>
        <n v="108638.0"/>
        <n v="113633.0"/>
        <n v="113649.0"/>
        <n v="113619.0"/>
        <n v="113648.0"/>
        <n v="120889.0"/>
        <n v="113620.0"/>
        <n v="113626.0"/>
        <n v="113657.0"/>
        <n v="113645.0"/>
        <n v="18247.0"/>
        <n v="121249.0"/>
        <n v="104912.0"/>
        <n v="73222.0"/>
        <n v="78834.0"/>
        <n v="15109.0"/>
        <n v="26126.0"/>
        <n v="48724.0"/>
        <n v="98888.0"/>
        <n v="48605.0"/>
        <n v="119243.0"/>
        <n v="22045.0"/>
        <n v="73221.0"/>
        <n v="72168.0"/>
        <n v="127039.0"/>
        <n v="155861.0"/>
        <n v="6213.0"/>
        <n v="6476.0"/>
        <n v="114933.0"/>
        <n v="6473.0"/>
        <n v="99248.0"/>
        <n v="6477.0"/>
        <n v="6478.0"/>
        <n v="6474.0"/>
        <n v="70574.0"/>
        <n v="101302.0"/>
        <n v="104475.0"/>
        <n v="101296.0"/>
        <n v="122029.0"/>
        <n v="102549.0"/>
        <n v="122026.0"/>
        <n v="101303.0"/>
        <n v="102548.0"/>
        <n v="122027.0"/>
        <n v="46963.0"/>
        <n v="102268.0"/>
        <n v="26649.0"/>
        <n v="102275.0"/>
        <n v="43943.0"/>
        <n v="102550.0"/>
        <n v="26650.0"/>
        <n v="117728.0"/>
        <n v="103588.0"/>
        <n v="101297.0"/>
        <n v="101298.0"/>
        <n v="113129.0"/>
        <n v="102551.0"/>
        <n v="117735.0"/>
        <n v="101299.0"/>
        <n v="103590.0"/>
        <n v="43944.0"/>
        <n v="113128.0"/>
        <n v="102553.0"/>
        <n v="114230.0"/>
        <n v="122028.0"/>
        <n v="102269.0"/>
        <n v="26651.0"/>
        <n v="101316.0"/>
        <n v="117742.0"/>
        <n v="101315.0"/>
        <n v="43945.0"/>
        <n v="103589.0"/>
        <n v="88896.0"/>
        <n v="103595.0"/>
        <n v="101300.0"/>
        <n v="113130.0"/>
        <n v="102272.0"/>
        <n v="43947.0"/>
        <n v="102271.0"/>
        <n v="103592.0"/>
        <n v="26652.0"/>
        <n v="43946.0"/>
        <n v="101301.0"/>
        <n v="108458.0"/>
        <n v="117736.0"/>
        <n v="49606.0"/>
        <n v="106297.0"/>
        <n v="15556.0"/>
        <n v="49605.0"/>
        <n v="102312.0"/>
        <n v="121125.0"/>
        <n v="106401.0"/>
        <n v="116834.0"/>
        <n v="1953.0"/>
        <n v="106305.0"/>
        <n v="108278.0"/>
        <n v="47660.0"/>
        <n v="47657.0"/>
        <n v="64185.0"/>
        <n v="108256.0"/>
        <n v="62597.0"/>
        <n v="102304.0"/>
        <n v="118242.0"/>
        <n v="121743.0"/>
        <n v="108257.0"/>
        <n v="117756.0"/>
        <n v="110334.0"/>
        <n v="102307.0"/>
        <n v="117750.0"/>
        <n v="181976.0"/>
        <n v="108258.0"/>
        <n v="110241.0"/>
        <n v="110337.0"/>
        <n v="118243.0"/>
        <n v="102305.0"/>
        <n v="110342.0"/>
        <n v="102306.0"/>
        <n v="194045.0"/>
        <n v="96009.0"/>
        <n v="104087.0"/>
        <n v="77448.0"/>
        <n v="5801.0"/>
        <n v="90650.0"/>
        <n v="6395.0"/>
        <n v="77444.0"/>
        <n v="20389.0"/>
        <n v="68293.0"/>
        <n v="90982.0"/>
        <n v="48279.0"/>
        <n v="77447.0"/>
        <n v="5710.0"/>
        <n v="90906.0"/>
        <n v="90883.0"/>
        <n v="113093.0"/>
        <n v="73926.0"/>
        <n v="110083.0"/>
        <n v="76313.0"/>
        <n v="68404.0"/>
        <n v="68322.0"/>
        <n v="73947.0"/>
        <n v="29116.0"/>
        <n v="90846.0"/>
        <n v="110084.0"/>
        <n v="73925.0"/>
        <n v="68296.0"/>
        <n v="90873.0"/>
        <n v="90874.0"/>
        <n v="90842.0"/>
        <n v="5709.0"/>
        <n v="76341.0"/>
        <n v="113094.0"/>
        <n v="76301.0"/>
        <n v="90844.0"/>
        <n v="90848.0"/>
        <n v="76318.0"/>
        <n v="118885.0"/>
        <n v="76349.0"/>
        <n v="30878.0"/>
        <n v="104176.0"/>
        <n v="78516.0"/>
        <n v="118884.0"/>
        <n v="119239.0"/>
        <n v="30875.0"/>
        <n v="73946.0"/>
        <n v="90690.0"/>
        <n v="101380.0"/>
        <n v="5804.0"/>
        <n v="82372.0"/>
        <n v="90643.0"/>
        <n v="68412.0"/>
        <n v="82393.0"/>
        <n v="5803.0"/>
        <n v="121706.0"/>
        <n v="68374.0"/>
        <n v="90946.0"/>
        <n v="69312.0"/>
        <n v="87128.0"/>
        <n v="149506.0"/>
        <n v="5722.0"/>
        <n v="5697.0"/>
        <n v="29117.0"/>
        <n v="68305.0"/>
        <n v="5714.0"/>
        <n v="73951.0"/>
        <n v="68337.0"/>
        <n v="76338.0"/>
        <n v="202592.0"/>
        <n v="69578.0"/>
        <n v="76383.0"/>
        <n v="5696.0"/>
        <n v="90929.0"/>
        <n v="90926.0"/>
        <n v="76364.0"/>
        <n v="79152.0"/>
        <n v="30874.0"/>
        <n v="5718.0"/>
        <n v="126542.0"/>
        <n v="90852.0"/>
        <n v="122139.0"/>
        <n v="126975.0"/>
        <n v="202593.0"/>
        <n v="73940.0"/>
        <n v="76360.0"/>
        <n v="118876.0"/>
        <n v="76366.0"/>
        <n v="122645.0"/>
        <n v="76372.0"/>
        <n v="5720.0"/>
        <n v="5695.0"/>
        <n v="90931.0"/>
        <n v="110085.0"/>
        <n v="113096.0"/>
        <n v="90878.0"/>
        <n v="73938.0"/>
        <n v="5698.0"/>
        <n v="76373.0"/>
        <n v="73945.0"/>
        <n v="159200.0"/>
        <n v="68354.0"/>
        <n v="5712.0"/>
        <n v="114471.0"/>
        <n v="90934.0"/>
        <n v="87851.0"/>
        <n v="90891.0"/>
        <n v="69579.0"/>
        <n v="90924.0"/>
        <n v="69311.0"/>
        <n v="90923.0"/>
        <n v="159197.0"/>
        <n v="88268.0"/>
        <n v="90913.0"/>
        <n v="76365.0"/>
        <n v="9205.0"/>
        <n v="76363.0"/>
        <n v="121967.0"/>
        <n v="90935.0"/>
        <n v="87126.0"/>
        <n v="90928.0"/>
        <n v="90912.0"/>
        <n v="48508.0"/>
        <n v="90853.0"/>
        <n v="117628.0"/>
        <n v="5699.0"/>
        <n v="5735.0"/>
        <n v="109832.0"/>
        <n v="122675.0"/>
        <n v="87225.0"/>
        <n v="82373.0"/>
        <n v="77254.0"/>
        <n v="5742.0"/>
        <n v="117622.0"/>
        <n v="77255.0"/>
        <n v="101964.0"/>
        <n v="48491.0"/>
        <n v="82368.0"/>
        <n v="82367.0"/>
        <n v="118426.0"/>
        <n v="5068.0"/>
        <n v="84660.0"/>
        <n v="5070.0"/>
        <n v="84681.0"/>
        <n v="102596.0"/>
        <n v="5037.0"/>
        <n v="5052.0"/>
        <n v="5051.0"/>
        <n v="102647.0"/>
        <n v="5061.0"/>
        <n v="102649.0"/>
        <n v="102662.0"/>
        <n v="108337.0"/>
        <n v="188352.0"/>
        <n v="11459.0"/>
        <n v="11443.0"/>
        <n v="70560.0"/>
        <n v="110363.0"/>
        <n v="11449.0"/>
        <n v="119793.0"/>
        <n v="41107.0"/>
        <n v="78358.0"/>
        <n v="77048.0"/>
        <n v="27428.0"/>
        <n v="8530.0"/>
        <n v="14281.0"/>
        <n v="140582.0"/>
        <n v="98895.0"/>
        <n v="77491.0"/>
        <n v="81704.0"/>
        <n v="111565.0"/>
        <n v="5774.0"/>
        <n v="112075.0"/>
        <n v="88469.0"/>
        <n v="112249.0"/>
        <n v="5775.0"/>
        <n v="77506.0"/>
        <n v="83646.0"/>
        <n v="77484.0"/>
        <n v="77481.0"/>
        <n v="17075.0"/>
        <n v="77492.0"/>
        <n v="112084.0"/>
        <n v="12041.0"/>
        <n v="83042.0"/>
        <n v="77490.0"/>
        <n v="43336.0"/>
        <n v="48609.0"/>
        <n v="117074.0"/>
        <n v="112085.0"/>
        <n v="106656.0"/>
        <n v="119244.0"/>
        <n v="73236.0"/>
        <n v="127582.0"/>
        <n v="128210.0"/>
        <n v="73187.0"/>
        <n v="41681.0"/>
        <n v="30624.0"/>
        <n v="114267.0"/>
        <n v="77441.0"/>
        <n v="116636.0"/>
        <n v="115198.0"/>
        <n v="89845.0"/>
        <n v="112248.0"/>
        <n v="89849.0"/>
        <n v="121709.0"/>
        <n v="122653.0"/>
        <n v="9759.0"/>
        <n v="86782.0"/>
        <n v="119246.0"/>
        <n v="6047.0"/>
        <n v="117526.0"/>
        <n v="106671.0"/>
        <n v="30889.0"/>
        <n v="80634.0"/>
        <n v="114269.0"/>
        <n v="84034.0"/>
        <n v="103271.0"/>
        <n v="72248.0"/>
        <n v="7672.0"/>
        <n v="82844.0"/>
        <n v="7685.0"/>
        <n v="7673.0"/>
        <n v="72328.0"/>
        <n v="87967.0"/>
        <n v="113193.0"/>
        <n v="82821.0"/>
        <n v="87964.0"/>
        <n v="201751.0"/>
        <n v="79057.0"/>
        <n v="41225.0"/>
        <n v="113300.0"/>
        <n v="113299.0"/>
        <n v="105475.0"/>
        <n v="114724.0"/>
        <n v="113298.0"/>
        <n v="82838.0"/>
        <n v="111960.0"/>
        <n v="108840.0"/>
        <n v="201044.0"/>
        <n v="81880.0"/>
        <n v="81873.0"/>
        <n v="117613.0"/>
        <n v="81876.0"/>
        <n v="104050.0"/>
        <n v="111934.0"/>
        <n v="29819.0"/>
        <n v="120392.0"/>
        <n v="29820.0"/>
        <n v="83755.0"/>
        <n v="111941.0"/>
        <n v="80858.0"/>
        <n v="81902.0"/>
        <n v="83754.0"/>
        <n v="116233.0"/>
        <n v="112192.0"/>
        <n v="119728.0"/>
        <n v="81901.0"/>
        <n v="141878.0"/>
        <n v="116236.0"/>
        <n v="120751.0"/>
        <n v="80756.0"/>
        <n v="119729.0"/>
        <n v="119028.0"/>
        <n v="116957.0"/>
        <n v="78235.0"/>
        <n v="119803.0"/>
        <n v="7669.0"/>
        <n v="139312.0"/>
        <n v="77773.0"/>
        <n v="73442.0"/>
        <n v="3974.0"/>
        <n v="104032.0"/>
        <n v="24162.0"/>
        <n v="24167.0"/>
        <n v="24174.0"/>
        <n v="24161.0"/>
        <n v="88594.0"/>
        <n v="118818.0"/>
        <n v="24166.0"/>
        <n v="118828.0"/>
        <n v="86169.0"/>
        <n v="118851.0"/>
        <n v="118824.0"/>
        <n v="122728.0"/>
        <n v="103474.0"/>
        <n v="120635.0"/>
        <n v="120633.0"/>
        <n v="121477.0"/>
        <n v="156024.0"/>
        <n v="70191.0"/>
        <n v="19822.0"/>
        <n v="156023.0"/>
        <n v="120628.0"/>
        <n v="45830.0"/>
        <n v="86192.0"/>
        <n v="127372.0"/>
        <n v="113902.0"/>
        <n v="119133.0"/>
        <n v="114946.0"/>
        <n v="118832.0"/>
        <n v="86499.0"/>
        <n v="81790.0"/>
        <n v="45898.0"/>
        <n v="24144.0"/>
        <n v="98351.0"/>
        <n v="86481.0"/>
        <n v="115747.0"/>
        <n v="116187.0"/>
        <n v="86162.0"/>
        <n v="90654.0"/>
        <n v="71743.0"/>
        <n v="71744.0"/>
        <n v="88590.0"/>
        <n v="78940.0"/>
        <n v="194752.0"/>
        <n v="194748.0"/>
        <n v="111580.0"/>
        <n v="194741.0"/>
        <n v="107082.0"/>
        <n v="83092.0"/>
        <n v="111581.0"/>
        <n v="88402.0"/>
        <n v="88413.0"/>
        <n v="86560.0"/>
        <n v="127584.0"/>
        <n v="122254.0"/>
        <n v="118849.0"/>
        <n v="107187.0"/>
        <n v="119932.0"/>
        <n v="92045.0"/>
        <n v="82168.0"/>
        <n v="79263.0"/>
        <n v="92044.0"/>
        <n v="114725.0"/>
        <n v="50684.0"/>
        <n v="82167.0"/>
        <n v="68513.0"/>
        <n v="76566.0"/>
        <n v="119088.0"/>
        <n v="119431.0"/>
        <n v="101279.0"/>
        <n v="101270.0"/>
        <n v="101282.0"/>
        <n v="70291.0"/>
        <n v="70290.0"/>
        <n v="19188.0"/>
        <n v="41117.0"/>
        <n v="30625.0"/>
        <n v="11462.0"/>
        <n v="120733.0"/>
        <n v="83487.0"/>
        <n v="117610.0"/>
        <n v="112177.0"/>
        <n v="11412.0"/>
        <n v="76842.0"/>
        <n v="78366.0"/>
        <n v="98984.0"/>
        <n v="120310.0"/>
        <n v="116277.0"/>
        <n v="77670.0"/>
        <n v="78363.0"/>
        <n v="11458.0"/>
        <n v="11456.0"/>
        <n v="120726.0"/>
        <n v="11404.0"/>
        <n v="11408.0"/>
        <n v="120708.0"/>
        <n v="74419.0"/>
        <n v="113278.0"/>
        <n v="83486.0"/>
        <n v="11452.0"/>
        <n v="116803.0"/>
        <n v="77657.0"/>
        <n v="120309.0"/>
        <n v="116276.0"/>
        <n v="104623.0"/>
        <n v="78364.0"/>
        <n v="76837.0"/>
        <n v="82873.0"/>
        <n v="110341.0"/>
        <n v="76874.0"/>
        <n v="110340.0"/>
        <n v="44409.0"/>
        <n v="73831.0"/>
        <n v="79035.0"/>
        <n v="94951.0"/>
        <n v="22248.0"/>
        <n v="16088.0"/>
        <n v="10571.0"/>
        <n v="182012.0"/>
        <n v="182013.0"/>
        <n v="107400.0"/>
        <n v="48623.0"/>
        <n v="48616.0"/>
        <n v="47515.0"/>
        <n v="81915.0"/>
        <n v="108920.0"/>
        <n v="107406.0"/>
        <n v="24074.0"/>
        <n v="107388.0"/>
        <n v="24075.0"/>
        <n v="27639.0"/>
        <n v="103632.0"/>
        <n v="10569.0"/>
        <n v="182007.0"/>
        <n v="182009.0"/>
        <n v="103630.0"/>
        <n v="47514.0"/>
        <n v="86370.0"/>
        <n v="86368.0"/>
        <n v="103174.0"/>
        <n v="48632.0"/>
        <n v="48630.0"/>
        <n v="48624.0"/>
        <n v="10573.0"/>
        <n v="18115.0"/>
        <n v="83057.0"/>
        <n v="26727.0"/>
        <n v="85779.0"/>
        <n v="84396.0"/>
        <n v="42676.0"/>
        <n v="108380.0"/>
        <n v="10565.0"/>
        <n v="107631.0"/>
        <n v="24061.0"/>
        <n v="182051.0"/>
        <n v="86360.0"/>
        <n v="10566.0"/>
        <n v="182014.0"/>
        <n v="182010.0"/>
        <n v="24076.0"/>
        <n v="10572.0"/>
        <n v="47527.0"/>
        <n v="10577.0"/>
        <n v="81914.0"/>
        <n v="120186.0"/>
        <n v="182015.0"/>
        <n v="117919.0"/>
        <n v="71228.0"/>
        <n v="67264.0"/>
        <n v="82984.0"/>
        <n v="86420.0"/>
        <n v="71227.0"/>
        <n v="18055.0"/>
        <n v="82989.0"/>
        <n v="86438.0"/>
        <n v="18061.0"/>
        <n v="67265.0"/>
        <n v="69552.0"/>
        <n v="110955.0"/>
        <n v="79505.0"/>
        <n v="110943.0"/>
        <n v="119048.0"/>
        <n v="42695.0"/>
        <n v="88980.0"/>
        <n v="149507.0"/>
        <n v="86988.0"/>
        <n v="73836.0"/>
        <n v="69322.0"/>
        <n v="8696.0"/>
        <n v="119062.0"/>
        <n v="188931.0"/>
        <n v="100238.0"/>
        <n v="47010.0"/>
        <n v="104605.0"/>
        <n v="42694.0"/>
        <n v="8697.0"/>
        <n v="110957.0"/>
        <n v="86989.0"/>
        <n v="8695.0"/>
        <n v="122792.0"/>
        <n v="8698.0"/>
        <n v="103866.0"/>
        <n v="103865.0"/>
        <n v="110945.0"/>
        <n v="158671.0"/>
        <n v="118915.0"/>
        <n v="88990.0"/>
        <n v="73835.0"/>
        <n v="8699.0"/>
        <n v="81494.0"/>
        <n v="89821.0"/>
        <n v="83567.0"/>
        <n v="69323.0"/>
        <n v="88976.0"/>
        <n v="199415.0"/>
        <n v="112792.0"/>
        <n v="104322.0"/>
        <n v="69321.0"/>
        <n v="110948.0"/>
        <n v="82008.0"/>
        <n v="86987.0"/>
        <n v="118912.0"/>
        <n v="47048.0"/>
        <n v="103870.0"/>
        <n v="86985.0"/>
        <n v="82005.0"/>
        <n v="119053.0"/>
        <n v="102015.0"/>
        <n v="92823.0"/>
        <n v="108060.0"/>
        <n v="4214.0"/>
        <n v="14715.0"/>
        <n v="16771.0"/>
        <n v="97945.0"/>
        <n v="144740.0"/>
        <n v="75342.0"/>
        <n v="88189.0"/>
        <n v="70677.0"/>
        <n v="86506.0"/>
        <n v="17360.0"/>
        <n v="9819.0"/>
        <n v="28574.0"/>
        <n v="102395.0"/>
        <n v="147302.0"/>
        <n v="85049.0"/>
        <n v="1683.0"/>
        <n v="1685.0"/>
        <n v="22193.0"/>
        <n v="9786.0"/>
        <n v="108770.0"/>
        <n v="109536.0"/>
        <n v="111743.0"/>
        <n v="108769.0"/>
        <n v="111742.0"/>
        <n v="88989.0"/>
        <n v="88987.0"/>
        <n v="88988.0"/>
        <n v="102816.0"/>
        <n v="49803.0"/>
        <n v="77302.0"/>
        <n v="94000.0"/>
        <n v="9616.0"/>
        <n v="115135.0"/>
        <n v="90727.0"/>
        <n v="24060.0"/>
        <n v="112086.0"/>
        <n v="90723.0"/>
        <n v="77601.0"/>
        <n v="12005.0"/>
        <n v="41680.0"/>
        <n v="12000.0"/>
        <n v="12022.0"/>
        <n v="113596.0"/>
        <n v="11998.0"/>
        <n v="12063.0"/>
        <n v="96069.0"/>
        <n v="12007.0"/>
        <n v="113592.0"/>
        <n v="147308.0"/>
        <n v="41679.0"/>
        <n v="112077.0"/>
        <n v="115133.0"/>
        <n v="30465.0"/>
        <n v="87405.0"/>
        <n v="77602.0"/>
        <n v="107058.0"/>
        <n v="5807.0"/>
        <n v="87061.0"/>
        <n v="108039.0"/>
        <n v="90837.0"/>
        <n v="88461.0"/>
        <n v="81504.0"/>
        <n v="12027.0"/>
        <n v="8883.0"/>
        <n v="112082.0"/>
        <n v="114961.0"/>
        <n v="112078.0"/>
        <n v="12025.0"/>
        <n v="11992.0"/>
        <n v="188850.0"/>
        <n v="69296.0"/>
        <n v="115141.0"/>
        <n v="112081.0"/>
        <n v="77611.0"/>
        <n v="111722.0"/>
        <n v="81503.0"/>
        <n v="117559.0"/>
        <n v="110230.0"/>
        <n v="122854.0"/>
        <n v="95371.0"/>
        <n v="101190.0"/>
        <n v="121532.0"/>
        <n v="6614.0"/>
        <n v="6618.0"/>
        <n v="96096.0"/>
        <n v="105977.0"/>
        <n v="105901.0"/>
        <n v="180823.0"/>
        <n v="118979.0"/>
        <n v="111502.0"/>
        <n v="180822.0"/>
        <n v="101196.0"/>
        <n v="180824.0"/>
        <n v="105905.0"/>
        <n v="101194.0"/>
        <n v="113719.0"/>
        <n v="111330.0"/>
        <n v="102089.0"/>
        <n v="116867.0"/>
        <n v="150297.0"/>
        <n v="23628.0"/>
        <n v="120369.0"/>
        <n v="114175.0"/>
        <n v="23649.0"/>
        <n v="80419.0"/>
        <n v="114173.0"/>
        <n v="91562.0"/>
        <n v="23662.0"/>
        <n v="76466.0"/>
        <n v="76465.0"/>
        <n v="68329.0"/>
        <n v="114470.0"/>
        <n v="110568.0"/>
        <n v="76470.0"/>
        <n v="5604.0"/>
        <n v="28613.0"/>
        <n v="159402.0"/>
        <n v="68379.0"/>
        <n v="91069.0"/>
        <n v="91060.0"/>
        <n v="182274.0"/>
        <n v="110566.0"/>
        <n v="78877.0"/>
        <n v="5490.0"/>
        <n v="68382.0"/>
        <n v="114663.0"/>
        <n v="76474.0"/>
        <n v="76455.0"/>
        <n v="46337.0"/>
        <n v="78430.0"/>
        <n v="5605.0"/>
        <n v="77419.0"/>
        <n v="121701.0"/>
        <n v="91072.0"/>
        <n v="68486.0"/>
        <n v="110576.0"/>
        <n v="78503.0"/>
        <n v="77439.0"/>
        <n v="5615.0"/>
        <n v="5602.0"/>
        <n v="28612.0"/>
        <n v="72247.0"/>
        <n v="76469.0"/>
        <n v="78876.0"/>
        <n v="91064.0"/>
        <n v="5603.0"/>
        <n v="5612.0"/>
        <n v="43897.0"/>
        <n v="91058.0"/>
        <n v="107998.0"/>
        <n v="112194.0"/>
        <n v="68232.0"/>
        <n v="159386.0"/>
        <n v="76471.0"/>
        <n v="68357.0"/>
        <n v="68303.0"/>
        <n v="68325.0"/>
        <n v="68515.0"/>
        <n v="107989.0"/>
        <n v="76732.0"/>
        <n v="14711.0"/>
        <n v="14706.0"/>
        <n v="23975.0"/>
        <n v="90665.0"/>
        <n v="69551.0"/>
        <n v="69503.0"/>
        <n v="23473.0"/>
        <n v="69500.0"/>
        <n v="14689.0"/>
        <n v="19409.0"/>
        <n v="69526.0"/>
        <n v="19412.0"/>
        <n v="23471.0"/>
        <n v="14670.0"/>
        <n v="69499.0"/>
        <n v="90686.0"/>
        <n v="111872.0"/>
        <n v="23964.0"/>
        <n v="111837.0"/>
        <n v="19377.0"/>
        <n v="111836.0"/>
        <n v="190103.0"/>
        <n v="19408.0"/>
        <n v="14694.0"/>
        <n v="5686.0"/>
        <n v="111842.0"/>
        <n v="23978.0"/>
        <n v="14682.0"/>
        <n v="111873.0"/>
        <n v="23454.0"/>
        <n v="16760.0"/>
        <n v="14709.0"/>
        <n v="14665.0"/>
        <n v="8869.0"/>
        <n v="68520.0"/>
        <n v="107331.0"/>
        <n v="107325.0"/>
        <n v="8871.0"/>
        <n v="107334.0"/>
        <n v="120302.0"/>
        <n v="117661.0"/>
        <n v="79006.0"/>
        <n v="17133.0"/>
        <n v="76818.0"/>
        <n v="70236.0"/>
        <n v="91342.0"/>
        <n v="121782.0"/>
        <n v="76822.0"/>
        <n v="100278.0"/>
        <n v="122795.0"/>
        <n v="100282.0"/>
        <n v="68867.0"/>
        <n v="8862.0"/>
        <n v="72131.0"/>
        <n v="12047.0"/>
        <n v="121790.0"/>
        <n v="121787.0"/>
        <n v="70239.0"/>
        <n v="113942.0"/>
        <n v="119134.0"/>
        <n v="76813.0"/>
        <n v="121793.0"/>
        <n v="100283.0"/>
        <n v="75028.0"/>
        <n v="113946.0"/>
        <n v="12050.0"/>
        <n v="104312.0"/>
        <n v="121780.0"/>
        <n v="88638.0"/>
        <n v="70238.0"/>
        <n v="121839.0"/>
        <n v="77621.0"/>
        <n v="121783.0"/>
        <n v="75033.0"/>
        <n v="12053.0"/>
        <n v="113954.0"/>
        <n v="5782.0"/>
        <n v="107915.0"/>
        <n v="68866.0"/>
        <n v="121837.0"/>
        <n v="121840.0"/>
        <n v="90979.0"/>
        <n v="114350.0"/>
        <n v="47539.0"/>
        <n v="83948.0"/>
        <n v="17139.0"/>
        <n v="12051.0"/>
        <n v="12052.0"/>
        <n v="121838.0"/>
        <n v="107917.0"/>
        <n v="5779.0"/>
        <n v="120303.0"/>
        <n v="121784.0"/>
        <n v="107913.0"/>
        <n v="58759.0"/>
        <n v="158697.0"/>
        <n v="87160.0"/>
        <n v="88694.0"/>
        <n v="120393.0"/>
        <n v="89581.0"/>
        <n v="6514.0"/>
        <n v="105340.0"/>
        <n v="120865.0"/>
        <n v="110078.0"/>
        <n v="122343.0"/>
        <n v="12296.0"/>
        <n v="96952.0"/>
        <n v="82193.0"/>
        <n v="89802.0"/>
        <n v="87044.0"/>
        <n v="87042.0"/>
        <n v="116274.0"/>
        <n v="122344.0"/>
        <n v="122345.0"/>
        <n v="120867.0"/>
        <n v="28494.0"/>
        <n v="8882.0"/>
        <n v="116275.0"/>
        <n v="121424.0"/>
        <n v="75058.0"/>
        <n v="75056.0"/>
        <n v="42239.0"/>
        <n v="42237.0"/>
        <n v="69457.0"/>
        <n v="69328.0"/>
        <n v="69454.0"/>
        <n v="69469.0"/>
        <n v="193264.0"/>
        <n v="115763.0"/>
        <n v="69463.0"/>
        <n v="84168.0"/>
        <n v="75077.0"/>
        <n v="42229.0"/>
        <n v="89588.0"/>
        <n v="99973.0"/>
        <n v="70241.0"/>
        <n v="129479.0"/>
        <n v="107926.0"/>
        <n v="42232.0"/>
        <n v="122106.0"/>
        <n v="69456.0"/>
        <n v="118888.0"/>
        <n v="69468.0"/>
        <n v="117629.0"/>
        <n v="121475.0"/>
        <n v="80412.0"/>
        <n v="122857.0"/>
        <n v="115769.0"/>
        <n v="115774.0"/>
        <n v="118889.0"/>
        <n v="115758.0"/>
        <n v="115755.0"/>
        <n v="114964.0"/>
        <n v="87617.0"/>
        <n v="118542.0"/>
        <n v="122845.0"/>
        <n v="114967.0"/>
        <n v="121476.0"/>
        <n v="120529.0"/>
        <n v="120530.0"/>
        <n v="117638.0"/>
        <n v="108240.0"/>
        <n v="88635.0"/>
        <n v="69340.0"/>
        <n v="199472.0"/>
        <n v="117646.0"/>
        <n v="84167.0"/>
        <n v="81742.0"/>
        <n v="115754.0"/>
        <n v="69334.0"/>
        <n v="117753.0"/>
        <n v="129482.0"/>
        <n v="117634.0"/>
        <n v="111027.0"/>
        <n v="115772.0"/>
        <n v="115768.0"/>
        <n v="69476.0"/>
        <n v="122118.0"/>
        <n v="87447.0"/>
        <n v="129480.0"/>
        <n v="84164.0"/>
        <n v="69338.0"/>
        <n v="120531.0"/>
        <n v="120524.0"/>
        <n v="117631.0"/>
        <n v="115757.0"/>
        <n v="42243.0"/>
        <n v="115761.0"/>
        <n v="113960.0"/>
        <n v="42241.0"/>
        <n v="115770.0"/>
        <n v="118541.0"/>
        <n v="115750.0"/>
        <n v="99969.0"/>
        <n v="129483.0"/>
        <n v="42255.0"/>
        <n v="100235.0"/>
        <n v="129481.0"/>
        <n v="87455.0"/>
        <n v="120257.0"/>
        <n v="122221.0"/>
        <n v="122216.0"/>
        <n v="140598.0"/>
        <n v="112123.0"/>
        <n v="70402.0"/>
        <n v="119110.0"/>
        <n v="139295.0"/>
        <n v="71056.0"/>
        <n v="122218.0"/>
        <n v="122217.0"/>
        <n v="119119.0"/>
        <n v="46933.0"/>
        <n v="119118.0"/>
        <n v="41035.0"/>
        <n v="139303.0"/>
        <n v="101784.0"/>
        <n v="122219.0"/>
        <n v="122215.0"/>
        <n v="111154.0"/>
        <n v="119117.0"/>
        <n v="20419.0"/>
        <n v="122220.0"/>
        <n v="122214.0"/>
        <n v="46936.0"/>
        <n v="112122.0"/>
        <n v="71055.0"/>
        <n v="41034.0"/>
        <n v="111153.0"/>
        <n v="119120.0"/>
        <n v="139297.0"/>
        <n v="48476.0"/>
        <n v="103454.0"/>
        <n v="103456.0"/>
        <n v="139304.0"/>
        <n v="158661.0"/>
        <n v="162441.0"/>
        <n v="102695.0"/>
        <n v="78913.0"/>
        <n v="71397.0"/>
        <n v="17596.0"/>
        <n v="71398.0"/>
        <n v="17627.0"/>
        <n v="86166.0"/>
        <n v="71409.0"/>
        <n v="12877.0"/>
        <n v="121868.0"/>
        <n v="17626.0"/>
        <n v="71394.0"/>
        <n v="17620.0"/>
        <n v="86186.0"/>
        <n v="71410.0"/>
        <n v="121869.0"/>
        <n v="17624.0"/>
        <n v="119737.0"/>
        <n v="17618.0"/>
        <n v="78741.0"/>
        <n v="86864.0"/>
        <n v="71421.0"/>
        <n v="115776.0"/>
        <n v="71393.0"/>
        <n v="78739.0"/>
        <n v="71408.0"/>
        <n v="109194.0"/>
        <n v="84448.0"/>
        <n v="140575.0"/>
        <n v="71420.0"/>
        <n v="71375.0"/>
        <n v="71376.0"/>
        <n v="110975.0"/>
        <n v="86170.0"/>
        <n v="142787.0"/>
        <n v="109185.0"/>
        <n v="109184.0"/>
        <n v="72575.0"/>
        <n v="78909.0"/>
        <n v="17630.0"/>
        <n v="78924.0"/>
        <n v="82196.0"/>
        <n v="86184.0"/>
        <n v="6219.0"/>
        <n v="116185.0"/>
        <n v="12873.0"/>
        <n v="71413.0"/>
        <n v="128352.0"/>
        <n v="17594.0"/>
        <n v="71404.0"/>
        <n v="129473.0"/>
        <n v="78904.0"/>
        <n v="122311.0"/>
        <n v="86172.0"/>
        <n v="17592.0"/>
        <n v="89981.0"/>
        <n v="71399.0"/>
        <n v="17587.0"/>
        <n v="17647.0"/>
        <n v="107364.0"/>
        <n v="24118.0"/>
        <n v="86181.0"/>
        <n v="129474.0"/>
        <n v="17601.0"/>
        <n v="78938.0"/>
        <n v="17609.0"/>
        <n v="129452.0"/>
        <n v="88587.0"/>
        <n v="17645.0"/>
        <n v="78899.0"/>
        <n v="71402.0"/>
        <n v="12875.0"/>
        <n v="17615.0"/>
        <n v="193116.0"/>
        <n v="72577.0"/>
        <n v="78916.0"/>
        <n v="71419.0"/>
        <n v="188223.0"/>
        <n v="71417.0"/>
        <n v="46895.0"/>
        <n v="86157.0"/>
        <n v="159110.0"/>
        <n v="46913.0"/>
        <n v="71400.0"/>
        <n v="46914.0"/>
        <n v="120300.0"/>
        <n v="71412.0"/>
        <n v="71415.0"/>
        <n v="71414.0"/>
        <n v="10336.0"/>
        <n v="125173.0"/>
        <n v="112994.0"/>
        <n v="125182.0"/>
        <n v="121112.0"/>
        <n v="125172.0"/>
        <n v="125196.0"/>
        <n v="125192.0"/>
        <n v="125194.0"/>
        <n v="125198.0"/>
        <n v="111220.0"/>
        <n v="105969.0"/>
        <n v="105981.0"/>
        <n v="125185.0"/>
        <n v="111605.0"/>
        <n v="111608.0"/>
        <n v="97023.0"/>
        <n v="111607.0"/>
        <n v="71083.0"/>
        <n v="118178.0"/>
        <n v="81767.0"/>
        <n v="118186.0"/>
        <n v="43228.0"/>
        <n v="199268.0"/>
        <n v="118196.0"/>
        <n v="71084.0"/>
        <n v="120587.0"/>
        <n v="80952.0"/>
        <n v="120575.0"/>
        <n v="43244.0"/>
        <n v="116477.0"/>
        <n v="110480.0"/>
        <n v="87548.0"/>
        <n v="77223.0"/>
        <n v="43241.0"/>
        <n v="71161.0"/>
        <n v="77224.0"/>
        <n v="113992.0"/>
        <n v="112611.0"/>
        <n v="116482.0"/>
        <n v="77246.0"/>
        <n v="122798.0"/>
        <n v="120590.0"/>
        <n v="71914.0"/>
        <n v="118206.0"/>
        <n v="118179.0"/>
        <n v="43247.0"/>
        <n v="71166.0"/>
        <n v="43238.0"/>
        <n v="114003.0"/>
        <n v="87540.0"/>
        <n v="77229.0"/>
        <n v="113994.0"/>
        <n v="106725.0"/>
        <n v="43235.0"/>
        <n v="118176.0"/>
        <n v="114018.0"/>
        <n v="116480.0"/>
        <n v="120577.0"/>
        <n v="118201.0"/>
        <n v="77245.0"/>
        <n v="118195.0"/>
        <n v="118197.0"/>
        <n v="187317.0"/>
        <n v="199484.0"/>
        <n v="113995.0"/>
        <n v="113669.0"/>
        <n v="111584.0"/>
        <n v="26123.0"/>
        <n v="113665.0"/>
        <n v="181241.0"/>
        <n v="113664.0"/>
        <n v="113677.0"/>
        <n v="120343.0"/>
        <n v="113666.0"/>
        <n v="113663.0"/>
        <n v="116983.0"/>
        <n v="94043.0"/>
        <n v="68216.0"/>
        <n v="80131.0"/>
        <n v="80998.0"/>
        <n v="87014.0"/>
        <n v="102900.0"/>
        <n v="80997.0"/>
        <n v="116989.0"/>
        <n v="43826.0"/>
        <n v="8769.0"/>
        <n v="104427.0"/>
        <n v="8770.0"/>
        <n v="94930.0"/>
        <n v="111576.0"/>
        <n v="71715.0"/>
        <n v="71710.0"/>
        <n v="102790.0"/>
        <n v="3518.0"/>
        <n v="18318.0"/>
        <n v="104220.0"/>
        <n v="106109.0"/>
        <n v="72162.0"/>
        <n v="104410.0"/>
        <n v="88825.0"/>
        <n v="13928.0"/>
        <n v="45368.0"/>
        <n v="119732.0"/>
        <n v="90467.0"/>
        <n v="119874.0"/>
        <n v="121316.0"/>
        <n v="77390.0"/>
        <n v="11444.0"/>
        <n v="74416.0"/>
        <n v="75323.0"/>
        <n v="86619.0"/>
        <n v="119801.0"/>
        <n v="126576.0"/>
        <n v="108841.0"/>
        <n v="82820.0"/>
        <n v="116826.0"/>
        <n v="126965.0"/>
        <n v="103795.0"/>
        <n v="116821.0"/>
        <n v="126577.0"/>
        <n v="82806.0"/>
        <n v="68099.0"/>
        <n v="82827.0"/>
        <n v="77127.0"/>
        <n v="69002.0"/>
        <n v="119847.0"/>
        <n v="11446.0"/>
        <n v="30628.0"/>
        <n v="113003.0"/>
        <n v="30631.0"/>
        <n v="188351.0"/>
        <n v="67025.0"/>
        <n v="119797.0"/>
        <n v="3592.0"/>
        <n v="3586.0"/>
        <n v="3591.0"/>
        <n v="73847.0"/>
        <n v="3590.0"/>
        <n v="116903.0"/>
        <n v="116780.0"/>
        <n v="114912.0"/>
        <n v="111970.0"/>
        <n v="126973.0"/>
        <n v="116964.0"/>
        <n v="122340.0"/>
        <n v="116963.0"/>
        <n v="120241.0"/>
        <n v="120205.0"/>
        <n v="104162.0"/>
        <n v="110792.0"/>
        <n v="104169.0"/>
        <n v="111957.0"/>
        <n v="89201.0"/>
        <n v="87305.0"/>
        <n v="3480.0"/>
        <n v="116817.0"/>
        <n v="47209.0"/>
        <n v="68213.0"/>
        <n v="100999.0"/>
        <n v="119241.0"/>
        <n v="133917.0"/>
        <n v="128334.0"/>
        <n v="113235.0"/>
        <n v="113249.0"/>
        <n v="89210.0"/>
        <n v="104170.0"/>
        <n v="18671.0"/>
        <n v="83804.0"/>
        <n v="104415.0"/>
        <n v="78351.0"/>
        <n v="112174.0"/>
        <n v="120248.0"/>
        <n v="18672.0"/>
        <n v="13517.0"/>
        <n v="119896.0"/>
        <n v="120249.0"/>
        <n v="78352.0"/>
        <n v="45630.0"/>
        <n v="99726.0"/>
        <n v="88619.0"/>
        <n v="73430.0"/>
        <n v="98939.0"/>
        <n v="45826.0"/>
        <n v="100797.0"/>
        <n v="104429.0"/>
        <n v="119806.0"/>
        <n v="120734.0"/>
        <n v="104423.0"/>
        <n v="120286.0"/>
        <n v="81838.0"/>
        <n v="117718.0"/>
        <n v="70611.0"/>
        <n v="110848.0"/>
        <n v="107925.0"/>
        <n v="156038.0"/>
        <n v="117392.0"/>
        <n v="86620.0"/>
        <n v="27871.0"/>
        <n v="82874.0"/>
        <n v="120292.0"/>
        <n v="120293.0"/>
        <n v="44522.0"/>
        <n v="143999.0"/>
        <n v="144000.0"/>
        <n v="91236.0"/>
        <n v="78213.0"/>
        <n v="119254.0"/>
        <n v="82149.0"/>
        <n v="30864.0"/>
        <n v="82148.0"/>
        <n v="78069.0"/>
        <n v="68623.0"/>
        <n v="108904.0"/>
        <n v="113967.0"/>
        <n v="10145.0"/>
        <n v="116960.0"/>
        <n v="103663.0"/>
        <n v="45983.0"/>
        <n v="103662.0"/>
        <n v="78318.0"/>
        <n v="120179.0"/>
        <n v="10144.0"/>
        <n v="78304.0"/>
        <n v="86598.0"/>
        <n v="103665.0"/>
        <n v="77771.0"/>
        <n v="116798.0"/>
        <n v="100610.0"/>
        <n v="77772.0"/>
        <n v="119914.0"/>
        <n v="88495.0"/>
        <n v="88487.0"/>
        <n v="109488.0"/>
        <n v="11401.0"/>
        <n v="45530.0"/>
        <n v="104426.0"/>
        <n v="119827.0"/>
        <n v="104384.0"/>
        <n v="121966.0"/>
        <n v="120183.0"/>
        <n v="82832.0"/>
        <n v="117607.0"/>
        <n v="116244.0"/>
        <n v="81045.0"/>
        <n v="106021.0"/>
        <n v="86622.0"/>
        <n v="82834.0"/>
        <n v="81008.0"/>
        <n v="83167.0"/>
        <n v="86584.0"/>
        <n v="79902.0"/>
        <n v="41328.0"/>
        <n v="79907.0"/>
        <n v="70588.0"/>
        <n v="70587.0"/>
        <n v="109356.0"/>
        <n v="47892.0"/>
        <n v="79901.0"/>
        <n v="70585.0"/>
        <n v="4375.0"/>
        <n v="4380.0"/>
        <n v="84967.0"/>
        <n v="4381.0"/>
        <n v="4379.0"/>
        <n v="4383.0"/>
        <n v="110770.0"/>
        <n v="110764.0"/>
        <n v="109355.0"/>
        <n v="110765.0"/>
        <n v="103510.0"/>
        <n v="114936.0"/>
        <n v="114935.0"/>
        <n v="110768.0"/>
        <n v="120256.0"/>
        <n v="101783.0"/>
        <n v="75766.0"/>
        <n v="69756.0"/>
        <n v="112471.0"/>
        <n v="99040.0"/>
        <n v="112321.0"/>
        <n v="139296.0"/>
        <n v="112318.0"/>
        <n v="86119.0"/>
        <n v="79895.0"/>
        <n v="133909.0"/>
        <n v="128338.0"/>
        <n v="42990.0"/>
        <n v="128339.0"/>
        <n v="42008.0"/>
        <n v="112320.0"/>
        <n v="111150.0"/>
        <n v="101782.0"/>
        <n v="128402.0"/>
        <n v="112322.0"/>
        <n v="41994.0"/>
        <n v="112319.0"/>
        <n v="42002.0"/>
        <n v="120263.0"/>
        <n v="112855.0"/>
        <n v="111151.0"/>
        <n v="111152.0"/>
        <n v="122224.0"/>
        <n v="124709.0"/>
        <n v="99039.0"/>
        <n v="82928.0"/>
        <n v="111149.0"/>
        <n v="82927.0"/>
        <n v="112317.0"/>
        <n v="140597.0"/>
        <n v="122229.0"/>
        <n v="112473.0"/>
        <n v="122226.0"/>
        <n v="4385.0"/>
        <n v="41029.0"/>
        <n v="4386.0"/>
        <n v="41030.0"/>
        <n v="84950.0"/>
        <n v="45255.0"/>
        <n v="108070.0"/>
        <n v="108069.0"/>
        <n v="9668.0"/>
        <n v="26322.0"/>
        <n v="70413.0"/>
        <n v="4389.0"/>
        <n v="128340.0"/>
        <n v="108071.0"/>
        <n v="108068.0"/>
        <n v="9662.0"/>
        <n v="117611.0"/>
        <n v="111148.0"/>
        <n v="9680.0"/>
        <n v="117605.0"/>
        <n v="108077.0"/>
        <n v="9681.0"/>
        <n v="4388.0"/>
        <n v="99036.0"/>
        <n v="109344.0"/>
        <n v="9663.0"/>
        <n v="119106.0"/>
        <n v="9664.0"/>
        <n v="108064.0"/>
        <n v="70414.0"/>
        <n v="9673.0"/>
        <n v="117604.0"/>
        <n v="45165.0"/>
        <n v="128341.0"/>
        <n v="101917.0"/>
        <n v="79419.0"/>
        <n v="9675.0"/>
        <n v="9671.0"/>
        <n v="20247.0"/>
        <n v="109240.0"/>
        <n v="104079.0"/>
        <n v="126567.0"/>
        <n v="45567.0"/>
        <n v="109241.0"/>
        <n v="126564.0"/>
        <n v="20246.0"/>
        <n v="99321.0"/>
        <n v="99322.0"/>
        <n v="126561.0"/>
        <n v="113871.0"/>
        <n v="68332.0"/>
        <n v="102081.0"/>
        <n v="84213.0"/>
        <n v="68302.0"/>
        <n v="88238.0"/>
        <n v="84202.0"/>
        <n v="84226.0"/>
        <n v="104071.0"/>
        <n v="104075.0"/>
        <n v="91042.0"/>
        <n v="108047.0"/>
        <n v="90993.0"/>
        <n v="19277.0"/>
        <n v="84223.0"/>
        <n v="84225.0"/>
        <n v="113865.0"/>
        <n v="94645.0"/>
        <n v="104073.0"/>
        <n v="113880.0"/>
        <n v="91045.0"/>
        <n v="84231.0"/>
        <n v="68321.0"/>
        <n v="84211.0"/>
        <n v="158663.0"/>
        <n v="113874.0"/>
        <n v="84234.0"/>
        <n v="76642.0"/>
        <n v="126573.0"/>
        <n v="113877.0"/>
        <n v="84212.0"/>
        <n v="84203.0"/>
        <n v="91038.0"/>
        <n v="19335.0"/>
        <n v="103073.0"/>
        <n v="122261.0"/>
        <n v="68315.0"/>
        <n v="110229.0"/>
        <n v="5548.0"/>
        <n v="126544.0"/>
        <n v="90792.0"/>
        <n v="126541.0"/>
        <n v="71190.0"/>
        <n v="76425.0"/>
        <n v="76422.0"/>
        <n v="159201.0"/>
        <n v="76421.0"/>
        <n v="76424.0"/>
        <n v="90766.0"/>
        <n v="5538.0"/>
        <n v="68371.0"/>
        <n v="90808.0"/>
        <n v="5543.0"/>
        <n v="76420.0"/>
        <n v="68364.0"/>
        <n v="5541.0"/>
        <n v="5544.0"/>
        <n v="122257.0"/>
        <n v="90740.0"/>
        <n v="48280.0"/>
        <n v="71191.0"/>
        <n v="76418.0"/>
        <n v="87161.0"/>
        <n v="68323.0"/>
        <n v="72847.0"/>
        <n v="90799.0"/>
        <n v="71194.0"/>
        <n v="68378.0"/>
        <n v="76426.0"/>
        <n v="76413.0"/>
        <n v="68306.0"/>
        <n v="48283.0"/>
        <n v="81172.0"/>
        <n v="68328.0"/>
        <n v="158667.0"/>
        <n v="5539.0"/>
        <n v="68413.0"/>
        <n v="68345.0"/>
        <n v="70377.0"/>
        <n v="126547.0"/>
        <n v="117218.0"/>
        <n v="158668.0"/>
        <n v="19314.0"/>
        <n v="113867.0"/>
        <n v="19294.0"/>
        <n v="90961.0"/>
        <n v="118480.0"/>
        <n v="98337.0"/>
        <n v="90955.0"/>
        <n v="19303.0"/>
        <n v="98338.0"/>
        <n v="98339.0"/>
        <n v="19296.0"/>
        <n v="19306.0"/>
        <n v="90969.0"/>
        <n v="19299.0"/>
        <n v="5764.0"/>
        <n v="114667.0"/>
        <n v="113870.0"/>
        <n v="127918.0"/>
        <n v="127917.0"/>
        <n v="19297.0"/>
        <n v="19316.0"/>
        <n v="118481.0"/>
        <n v="118366.0"/>
        <n v="111183.0"/>
        <n v="124735.0"/>
        <n v="78727.0"/>
        <n v="111182.0"/>
        <n v="78734.0"/>
        <n v="78729.0"/>
        <n v="111662.0"/>
        <n v="78728.0"/>
        <n v="119082.0"/>
        <n v="5770.0"/>
        <n v="103072.0"/>
        <n v="19344.0"/>
        <n v="84219.0"/>
        <n v="19345.0"/>
        <n v="90816.0"/>
        <n v="23198.0"/>
        <n v="87207.0"/>
        <n v="5694.0"/>
        <n v="119084.0"/>
        <n v="127927.0"/>
        <n v="111184.0"/>
        <n v="19341.0"/>
        <n v="118485.0"/>
        <n v="110565.0"/>
        <n v="118484.0"/>
        <n v="107652.0"/>
        <n v="107673.0"/>
        <n v="107902.0"/>
        <n v="19340.0"/>
        <n v="69190.0"/>
        <n v="48451.0"/>
        <n v="19339.0"/>
        <n v="69195.0"/>
        <n v="77192.0"/>
        <n v="95922.0"/>
        <n v="116779.0"/>
        <n v="69238.0"/>
        <n v="19337.0"/>
        <n v="19326.0"/>
        <n v="69251.0"/>
        <n v="81871.0"/>
        <n v="19321.0"/>
        <n v="117618.0"/>
        <n v="117623.0"/>
        <n v="117614.0"/>
        <n v="14393.0"/>
        <n v="70419.0"/>
        <n v="111147.0"/>
        <n v="4325.0"/>
        <n v="4321.0"/>
        <n v="70418.0"/>
        <n v="80648.0"/>
        <n v="70417.0"/>
        <n v="79420.0"/>
        <n v="4327.0"/>
        <n v="89505.0"/>
        <n v="128344.0"/>
        <n v="79421.0"/>
        <n v="128336.0"/>
        <n v="5081.0"/>
        <n v="79423.0"/>
        <n v="116481.0"/>
        <n v="118278.0"/>
        <n v="116440.0"/>
        <n v="116478.0"/>
        <n v="139305.0"/>
        <n v="118280.0"/>
        <n v="116506.0"/>
        <n v="116504.0"/>
        <n v="116435.0"/>
        <n v="70575.0"/>
        <n v="128343.0"/>
        <n v="112099.0"/>
        <n v="128337.0"/>
        <n v="4339.0"/>
        <n v="14399.0"/>
        <n v="4340.0"/>
        <n v="45250.0"/>
        <n v="9651.0"/>
        <n v="4329.0"/>
        <n v="4338.0"/>
        <n v="112100.0"/>
        <n v="9650.0"/>
        <n v="9649.0"/>
        <n v="9652.0"/>
        <n v="79426.0"/>
        <n v="79425.0"/>
        <n v="4335.0"/>
        <n v="70420.0"/>
        <n v="9655.0"/>
        <n v="68510.0"/>
        <n v="11068.0"/>
        <n v="79888.0"/>
        <n v="108982.0"/>
        <n v="88020.0"/>
        <n v="44824.0"/>
        <n v="46900.0"/>
        <n v="41981.0"/>
        <n v="44825.0"/>
        <n v="6875.0"/>
        <n v="108981.0"/>
        <n v="110931.0"/>
        <n v="99037.0"/>
        <n v="99096.0"/>
        <n v="41986.0"/>
        <n v="79430.0"/>
        <n v="41921.0"/>
        <n v="41910.0"/>
        <n v="11069.0"/>
        <n v="41924.0"/>
        <n v="133913.0"/>
        <n v="70422.0"/>
        <n v="17812.0"/>
        <n v="70429.0"/>
        <n v="70428.0"/>
        <n v="99038.0"/>
        <n v="11071.0"/>
        <n v="17066.0"/>
        <n v="117649.0"/>
        <n v="70426.0"/>
        <n v="75750.0"/>
        <n v="117644.0"/>
        <n v="68512.0"/>
        <n v="12792.0"/>
        <n v="46684.0"/>
        <n v="12795.0"/>
        <n v="46686.0"/>
        <n v="12804.0"/>
        <n v="12799.0"/>
        <n v="100914.0"/>
        <n v="12802.0"/>
        <n v="100907.0"/>
        <n v="12794.0"/>
        <n v="4261.0"/>
        <n v="9656.0"/>
        <n v="9657.0"/>
        <n v="9660.0"/>
        <n v="9648.0"/>
        <n v="79424.0"/>
        <n v="4267.0"/>
        <n v="9647.0"/>
        <n v="110772.0"/>
        <n v="4255.0"/>
        <n v="4270.0"/>
        <n v="4264.0"/>
        <n v="4271.0"/>
        <n v="79428.0"/>
        <n v="68509.0"/>
        <n v="112104.0"/>
        <n v="79885.0"/>
        <n v="6876.0"/>
        <n v="79427.0"/>
        <n v="44828.0"/>
        <n v="122213.0"/>
        <n v="46903.0"/>
        <n v="80359.0"/>
        <n v="44827.0"/>
        <n v="79882.0"/>
        <n v="11065.0"/>
        <n v="41991.0"/>
        <n v="6877.0"/>
        <n v="4290.0"/>
        <n v="4905.0"/>
        <n v="41979.0"/>
        <n v="41925.0"/>
        <n v="17067.0"/>
        <n v="70425.0"/>
        <n v="17065.0"/>
        <n v="103514.0"/>
        <n v="4298.0"/>
        <n v="4301.0"/>
        <n v="75752.0"/>
        <n v="21520.0"/>
        <n v="82206.0"/>
        <n v="5599.0"/>
        <n v="87231.0"/>
        <n v="5861.0"/>
        <n v="90909.0"/>
        <n v="21523.0"/>
        <n v="5485.0"/>
        <n v="77294.0"/>
        <n v="5486.0"/>
        <n v="77293.0"/>
        <n v="112230.0"/>
        <n v="83607.0"/>
        <n v="117216.0"/>
        <n v="5487.0"/>
        <n v="77295.0"/>
        <n v="89774.0"/>
        <n v="5483.0"/>
        <n v="120541.0"/>
        <n v="100249.0"/>
        <n v="119242.0"/>
        <n v="90868.0"/>
        <n v="90854.0"/>
        <n v="76568.0"/>
        <n v="76589.0"/>
        <n v="76581.0"/>
        <n v="77250.0"/>
        <n v="87222.0"/>
        <n v="122120.0"/>
        <n v="122121.0"/>
        <n v="90880.0"/>
        <n v="122088.0"/>
        <n v="90886.0"/>
        <n v="90755.0"/>
        <n v="111045.0"/>
        <n v="76582.0"/>
        <n v="76570.0"/>
        <n v="87099.0"/>
        <n v="76569.0"/>
        <n v="5586.0"/>
        <n v="5600.0"/>
        <n v="120390.0"/>
        <n v="76389.0"/>
        <n v="5601.0"/>
        <n v="202579.0"/>
        <n v="5584.0"/>
        <n v="90888.0"/>
        <n v="76584.0"/>
        <n v="87171.0"/>
        <n v="110569.0"/>
        <n v="5588.0"/>
        <n v="117165.0"/>
        <n v="5587.0"/>
        <n v="68359.0"/>
        <n v="5590.0"/>
        <n v="76475.0"/>
        <n v="147309.0"/>
        <n v="120533.0"/>
        <n v="5591.0"/>
        <n v="77248.0"/>
        <n v="90819.0"/>
        <n v="90820.0"/>
        <n v="90839.0"/>
        <n v="90858.0"/>
        <n v="76588.0"/>
        <n v="90671.0"/>
        <n v="77194.0"/>
        <n v="5504.0"/>
        <n v="90662.0"/>
        <n v="87288.0"/>
        <n v="5494.0"/>
        <n v="76637.0"/>
        <n v="76601.0"/>
        <n v="87202.0"/>
        <n v="122244.0"/>
        <n v="122075.0"/>
        <n v="90735.0"/>
        <n v="20951.0"/>
        <n v="5502.0"/>
        <n v="90669.0"/>
        <n v="90673.0"/>
        <n v="68403.0"/>
        <n v="76636.0"/>
        <n v="77397.0"/>
        <n v="76195.0"/>
        <n v="90710.0"/>
        <n v="117148.0"/>
        <n v="5493.0"/>
        <n v="76671.0"/>
        <n v="90678.0"/>
        <n v="76207.0"/>
        <n v="5500.0"/>
        <n v="122081.0"/>
        <n v="77396.0"/>
        <n v="77398.0"/>
        <n v="90716.0"/>
        <n v="122846.0"/>
        <n v="77410.0"/>
        <n v="87083.0"/>
        <n v="73630.0"/>
        <n v="90659.0"/>
        <n v="122079.0"/>
        <n v="5551.0"/>
        <n v="90624.0"/>
        <n v="29100.0"/>
        <n v="46330.0"/>
        <n v="117659.0"/>
        <n v="48149.0"/>
        <n v="113739.0"/>
        <n v="147316.0"/>
        <n v="76297.0"/>
        <n v="102698.0"/>
        <n v="102699.0"/>
        <n v="5556.0"/>
        <n v="73629.0"/>
        <n v="77253.0"/>
        <n v="5552.0"/>
        <n v="73805.0"/>
        <n v="48403.0"/>
        <n v="90626.0"/>
        <n v="147324.0"/>
        <n v="77411.0"/>
        <n v="87085.0"/>
        <n v="76212.0"/>
        <n v="117655.0"/>
        <n v="83596.0"/>
        <n v="5561.0"/>
        <n v="87304.0"/>
        <n v="113735.0"/>
        <n v="90661.0"/>
        <n v="76281.0"/>
        <n v="90622.0"/>
        <n v="90637.0"/>
        <n v="76208.0"/>
        <n v="91355.0"/>
        <n v="122068.0"/>
        <n v="48404.0"/>
        <n v="5553.0"/>
        <n v="76282.0"/>
        <n v="5554.0"/>
        <n v="77408.0"/>
        <n v="147312.0"/>
        <n v="113741.0"/>
        <n v="76290.0"/>
        <n v="5559.0"/>
        <n v="68351.0"/>
        <n v="113736.0"/>
        <n v="113738.0"/>
        <n v="113737.0"/>
        <n v="73767.0"/>
        <n v="89559.0"/>
        <n v="102720.0"/>
        <n v="114668.0"/>
        <n v="159208.0"/>
        <n v="108476.0"/>
        <n v="76603.0"/>
        <n v="117672.0"/>
        <n v="73968.0"/>
        <n v="73967.0"/>
        <n v="159209.0"/>
        <n v="90675.0"/>
        <n v="117671.0"/>
        <n v="100015.0"/>
        <n v="90680.0"/>
        <n v="88351.0"/>
        <n v="108475.0"/>
        <n v="90676.0"/>
        <n v="43118.0"/>
        <n v="112472.0"/>
        <n v="108083.0"/>
        <n v="133907.0"/>
        <n v="45176.0"/>
        <n v="5480.0"/>
        <n v="119086.0"/>
        <n v="108084.0"/>
        <n v="45192.0"/>
        <n v="26320.0"/>
        <n v="133910.0"/>
        <n v="133908.0"/>
        <n v="9646.0"/>
        <n v="108091.0"/>
        <n v="108114.0"/>
        <n v="9639.0"/>
        <n v="108108.0"/>
        <n v="108081.0"/>
        <n v="4243.0"/>
        <n v="108090.0"/>
        <n v="133912.0"/>
        <n v="108087.0"/>
        <n v="78866.0"/>
        <n v="70415.0"/>
        <n v="9644.0"/>
        <n v="4247.0"/>
        <n v="119087.0"/>
        <n v="9635.0"/>
        <n v="108082.0"/>
        <n v="9643.0"/>
        <n v="117601.0"/>
        <n v="108085.0"/>
        <n v="133914.0"/>
        <n v="103503.0"/>
        <n v="128363.0"/>
        <n v="13863.0"/>
        <n v="74454.0"/>
        <n v="12500.0"/>
        <n v="116555.0"/>
        <n v="77622.0"/>
        <n v="68294.0"/>
        <n v="12497.0"/>
        <n v="74453.0"/>
        <n v="112246.0"/>
        <n v="110776.0"/>
        <n v="92846.0"/>
        <n v="119257.0"/>
        <n v="68313.0"/>
        <n v="12503.0"/>
        <n v="77624.0"/>
        <n v="77432.0"/>
        <n v="77429.0"/>
        <n v="93995.0"/>
        <n v="103185.0"/>
        <n v="13868.0"/>
        <n v="9504.0"/>
        <n v="77446.0"/>
        <n v="77498.0"/>
        <n v="77488.0"/>
        <n v="82203.0"/>
        <n v="82754.0"/>
        <n v="110837.0"/>
        <n v="9591.0"/>
        <n v="94040.0"/>
        <n v="9513.0"/>
        <n v="121543.0"/>
        <n v="164638.0"/>
        <n v="9554.0"/>
        <n v="117798.0"/>
        <n v="77480.0"/>
        <n v="9547.0"/>
        <n v="9551.0"/>
        <n v="9514.0"/>
        <n v="147310.0"/>
        <n v="13865.0"/>
        <n v="9521.0"/>
        <n v="9522.0"/>
        <n v="94048.0"/>
        <n v="121549.0"/>
        <n v="9593.0"/>
        <n v="119247.0"/>
        <n v="9516.0"/>
        <n v="193265.0"/>
        <n v="13869.0"/>
        <n v="13877.0"/>
        <n v="9493.0"/>
        <n v="9502.0"/>
        <n v="147301.0"/>
        <n v="30569.0"/>
        <n v="112190.0"/>
        <n v="110833.0"/>
        <n v="9505.0"/>
        <n v="119248.0"/>
        <n v="147306.0"/>
        <n v="77425.0"/>
        <n v="9497.0"/>
        <n v="9601.0"/>
        <n v="117799.0"/>
        <n v="82770.0"/>
        <n v="119249.0"/>
        <n v="86191.0"/>
        <n v="9503.0"/>
        <n v="94007.0"/>
        <n v="82761.0"/>
        <n v="9599.0"/>
        <n v="9496.0"/>
        <n v="195072.0"/>
        <n v="119252.0"/>
        <n v="9501.0"/>
        <n v="9491.0"/>
        <n v="194058.0"/>
        <n v="111319.0"/>
        <n v="86655.0"/>
        <n v="147300.0"/>
        <n v="13861.0"/>
        <n v="81510.0"/>
        <n v="9560.0"/>
        <n v="72161.0"/>
        <n v="9561.0"/>
        <n v="9562.0"/>
        <n v="119250.0"/>
        <n v="122297.0"/>
        <n v="164879.0"/>
        <n v="48697.0"/>
        <n v="122299.0"/>
        <n v="82997.0"/>
        <n v="108350.0"/>
        <n v="48699.0"/>
        <n v="108364.0"/>
        <n v="5799.0"/>
        <n v="81501.0"/>
        <n v="47648.0"/>
        <n v="105328.0"/>
        <n v="47654.0"/>
        <n v="82371.0"/>
        <n v="81500.0"/>
        <n v="48501.0"/>
        <n v="81498.0"/>
        <n v="48498.0"/>
        <n v="88628.0"/>
        <n v="180340.0"/>
        <n v="48503.0"/>
        <n v="74819.0"/>
        <n v="48502.0"/>
        <n v="96001.0"/>
        <n v="103095.0"/>
        <n v="88627.0"/>
        <n v="105329.0"/>
        <n v="105330.0"/>
        <n v="80252.0"/>
        <n v="77468.0"/>
        <n v="24203.0"/>
        <n v="139291.0"/>
        <n v="77426.0"/>
        <n v="94039.0"/>
        <n v="9508.0"/>
        <n v="121595.0"/>
        <n v="124762.0"/>
        <n v="77462.0"/>
        <n v="49158.0"/>
        <n v="93982.0"/>
        <n v="9546.0"/>
        <n v="9482.0"/>
        <n v="139290.0"/>
        <n v="121596.0"/>
        <n v="14441.0"/>
        <n v="9489.0"/>
        <n v="103189.0"/>
        <n v="9567.0"/>
        <n v="9543.0"/>
        <n v="77471.0"/>
        <n v="164631.0"/>
        <n v="9606.0"/>
        <n v="77473.0"/>
        <n v="9484.0"/>
        <n v="14439.0"/>
        <n v="124761.0"/>
        <n v="14440.0"/>
        <n v="9544.0"/>
        <n v="46482.0"/>
        <n v="46773.0"/>
        <n v="81502.0"/>
        <n v="76035.0"/>
        <n v="46774.0"/>
        <n v="121029.0"/>
        <n v="128199.0"/>
        <n v="82408.0"/>
        <n v="139298.0"/>
        <n v="91397.0"/>
        <n v="91396.0"/>
        <n v="139302.0"/>
        <n v="118283.0"/>
        <n v="118286.0"/>
        <n v="3375.0"/>
        <n v="118285.0"/>
        <n v="118284.0"/>
        <n v="116522.0"/>
        <n v="139307.0"/>
        <n v="120253.0"/>
        <n v="120252.0"/>
        <n v="120251.0"/>
        <n v="139306.0"/>
        <n v="120255.0"/>
        <n v="120980.0"/>
        <n v="139299.0"/>
        <n v="73635.0"/>
        <n v="116537.0"/>
        <n v="46716.0"/>
        <n v="109161.0"/>
        <n v="110760.0"/>
        <n v="112095.0"/>
        <n v="120261.0"/>
        <n v="142302.0"/>
        <n v="46715.0"/>
        <n v="102190.0"/>
        <n v="112098.0"/>
        <n v="110761.0"/>
        <n v="116529.0"/>
        <n v="119245.0"/>
        <n v="119454.0"/>
        <n v="118131.0"/>
        <n v="128395.0"/>
        <n v="117482.0"/>
        <n v="118130.0"/>
        <n v="109209.0"/>
        <n v="74428.0"/>
        <n v="13941.0"/>
        <n v="44316.0"/>
        <n v="122748.0"/>
        <n v="118936.0"/>
        <n v="122746.0"/>
        <n v="76567.0"/>
        <n v="122747.0"/>
        <n v="48484.0"/>
        <n v="10856.0"/>
        <n v="48486.0"/>
        <n v="108707.0"/>
        <n v="109565.0"/>
        <n v="99181.0"/>
        <n v="109060.0"/>
        <n v="109628.0"/>
        <n v="128346.0"/>
        <n v="90319.0"/>
        <n v="96287.0"/>
        <n v="96238.0"/>
        <n v="116553.0"/>
        <n v="116539.0"/>
        <n v="156015.0"/>
        <n v="77049.0"/>
        <n v="92906.0"/>
        <n v="6425.0"/>
        <n v="77653.0"/>
        <n v="156029.0"/>
        <n v="182726.0"/>
        <n v="3536.0"/>
        <n v="3541.0"/>
        <n v="147335.0"/>
        <n v="46896.0"/>
        <n v="46897.0"/>
        <n v="71729.0"/>
        <n v="45471.0"/>
        <n v="80622.0"/>
        <n v="111204.0"/>
        <n v="27843.0"/>
        <n v="111656.0"/>
        <n v="70043.0"/>
        <n v="127017.0"/>
        <n v="92320.0"/>
        <n v="109985.0"/>
        <n v="110415.0"/>
        <n v="101325.0"/>
        <n v="133904.0"/>
        <n v="91357.0"/>
        <n v="92330.0"/>
        <n v="128409.0"/>
        <n v="124704.0"/>
        <n v="122252.0"/>
        <n v="85159.0"/>
        <n v="103604.0"/>
        <n v="27845.0"/>
        <n v="11666.0"/>
        <n v="127016.0"/>
        <n v="2046.0"/>
        <n v="66998.0"/>
        <n v="103626.0"/>
        <n v="103603.0"/>
        <n v="85156.0"/>
        <n v="8118.0"/>
        <n v="109984.0"/>
        <n v="92134.0"/>
        <n v="129420.0"/>
        <n v="111010.0"/>
        <n v="46771.0"/>
        <n v="88396.0"/>
        <n v="88188.0"/>
        <n v="129373.0"/>
        <n v="103625.0"/>
        <n v="109332.0"/>
        <n v="92327.0"/>
        <n v="80699.0"/>
        <n v="101043.0"/>
        <n v="46760.0"/>
        <n v="109966.0"/>
        <n v="128408.0"/>
        <n v="81128.0"/>
        <n v="45571.0"/>
        <n v="44612.0"/>
        <n v="124684.0"/>
        <n v="112365.0"/>
        <n v="41038.0"/>
        <n v="87761.0"/>
        <n v="106590.0"/>
        <n v="85734.0"/>
        <n v="122511.0"/>
        <n v="2335.0"/>
        <n v="2339.0"/>
        <n v="108468.0"/>
        <n v="3439.0"/>
        <n v="2044.0"/>
        <n v="188354.0"/>
        <n v="27848.0"/>
        <n v="45642.0"/>
        <n v="79815.0"/>
        <n v="87643.0"/>
        <n v="30501.0"/>
        <n v="118198.0"/>
        <n v="4891.0"/>
        <n v="23050.0"/>
        <n v="94612.0"/>
        <n v="109983.0"/>
        <n v="110854.0"/>
        <n v="110414.0"/>
        <n v="103631.0"/>
        <n v="111009.0"/>
        <n v="109213.0"/>
        <n v="103847.0"/>
        <n v="96156.0"/>
        <n v="4887.0"/>
        <n v="92146.0"/>
        <n v="122248.0"/>
        <n v="122251.0"/>
        <n v="103638.0"/>
        <n v="111655.0"/>
        <n v="84201.0"/>
        <n v="80697.0"/>
        <n v="117394.0"/>
        <n v="103636.0"/>
        <n v="67001.0"/>
        <n v="2148.0"/>
        <n v="111672.0"/>
        <n v="80696.0"/>
        <n v="96853.0"/>
        <n v="117388.0"/>
        <n v="109971.0"/>
        <n v="122247.0"/>
        <n v="103635.0"/>
        <n v="122295.0"/>
        <n v="118351.0"/>
        <n v="91624.0"/>
        <n v="27765.0"/>
        <n v="26313.0"/>
        <n v="26314.0"/>
        <n v="91626.0"/>
        <n v="112264.0"/>
        <n v="27764.0"/>
        <n v="92653.0"/>
        <n v="117990.0"/>
        <n v="92651.0"/>
        <n v="104143.0"/>
        <n v="48641.0"/>
        <n v="47543.0"/>
        <n v="117045.0"/>
        <n v="109276.0"/>
        <n v="117040.0"/>
        <n v="108485.0"/>
        <n v="80095.0"/>
        <n v="117044.0"/>
        <n v="69279.0"/>
        <n v="48642.0"/>
        <n v="117569.0"/>
        <n v="83590.0"/>
        <n v="117566.0"/>
        <n v="116391.0"/>
        <n v="47388.0"/>
        <n v="117567.0"/>
        <n v="104319.0"/>
        <n v="120399.0"/>
        <n v="47389.0"/>
        <n v="47384.0"/>
        <n v="117568.0"/>
        <n v="80233.0"/>
        <n v="120396.0"/>
        <n v="47386.0"/>
        <n v="110294.0"/>
        <n v="47374.0"/>
        <n v="115586.0"/>
        <n v="112736.0"/>
        <n v="80234.0"/>
        <n v="92426.0"/>
        <n v="92429.0"/>
        <n v="117572.0"/>
        <n v="110982.0"/>
        <n v="92442.0"/>
        <n v="83591.0"/>
        <n v="104318.0"/>
        <n v="112740.0"/>
        <n v="117570.0"/>
        <n v="115584.0"/>
        <n v="47629.0"/>
        <n v="116389.0"/>
        <n v="117573.0"/>
        <n v="47638.0"/>
        <n v="110219.0"/>
        <n v="116851.0"/>
        <n v="122737.0"/>
        <n v="110226.0"/>
        <n v="115773.0"/>
        <n v="109580.0"/>
        <n v="114255.0"/>
        <n v="122745.0"/>
        <n v="116873.0"/>
        <n v="110228.0"/>
        <m/>
      </sharedItems>
    </cacheField>
    <cacheField name="new" numFmtId="0">
      <sharedItems containsString="0" containsBlank="1" containsNumber="1" containsInteger="1">
        <n v="0.0"/>
        <n v="1.0"/>
        <m/>
      </sharedItems>
    </cacheField>
    <cacheField name="forecast_stock" numFmtId="0">
      <sharedItems containsString="0" containsBlank="1" containsNumber="1" containsInteger="1">
        <n v="320.0"/>
        <n v="0.0"/>
        <n v="100.0"/>
        <n v="277.0"/>
        <n v="971.0"/>
        <n v="63.0"/>
        <n v="40.0"/>
        <n v="269.0"/>
        <n v="164.0"/>
        <n v="489.0"/>
        <n v="104.0"/>
        <n v="14.0"/>
        <n v="256.0"/>
        <n v="326.0"/>
        <n v="11.0"/>
        <n v="210.0"/>
        <n v="68.0"/>
        <n v="318.0"/>
        <n v="43.0"/>
        <n v="185.0"/>
        <n v="305.0"/>
        <n v="84.0"/>
        <n v="96.0"/>
        <n v="176.0"/>
        <n v="130.0"/>
        <n v="604.0"/>
        <n v="26.0"/>
        <n v="982.0"/>
        <n v="79.0"/>
        <n v="31.0"/>
        <n v="186.0"/>
        <n v="418.0"/>
        <n v="98.0"/>
        <n v="34.0"/>
        <n v="141.0"/>
        <n v="99.0"/>
        <n v="167.0"/>
        <n v="594.0"/>
        <n v="199.0"/>
        <n v="76.0"/>
        <n v="144.0"/>
        <n v="135.0"/>
        <n v="147.0"/>
        <n v="399.0"/>
        <n v="927.0"/>
        <n v="389.0"/>
        <n v="455.0"/>
        <n v="547.0"/>
        <n v="870.0"/>
        <n v="397.0"/>
        <n v="134.0"/>
        <n v="685.0"/>
        <n v="525.0"/>
        <n v="596.0"/>
        <n v="861.0"/>
        <n v="64.0"/>
        <n v="124.0"/>
        <n v="897.0"/>
        <n v="832.0"/>
        <n v="37.0"/>
        <n v="935.0"/>
        <n v="868.0"/>
        <n v="445.0"/>
        <n v="232.0"/>
        <n v="315.0"/>
        <n v="356.0"/>
        <n v="442.0"/>
        <n v="492.0"/>
        <n v="645.0"/>
        <n v="863.0"/>
        <n v="654.0"/>
        <n v="2.0"/>
        <n v="705.0"/>
        <n v="774.0"/>
        <n v="571.0"/>
        <n v="735.0"/>
        <n v="429.0"/>
        <n v="732.0"/>
        <n v="271.0"/>
        <n v="111.0"/>
        <n v="81.0"/>
        <n v="486.0"/>
        <n v="197.0"/>
        <n v="196.0"/>
        <n v="783.0"/>
        <n v="282.0"/>
        <n v="941.0"/>
        <n v="366.0"/>
        <n v="758.0"/>
        <n v="956.0"/>
        <n v="701.0"/>
        <n v="91.0"/>
        <n v="101.0"/>
        <n v="357.0"/>
        <n v="371.0"/>
        <n v="540.0"/>
        <n v="723.0"/>
        <n v="940.0"/>
        <n v="220.0"/>
        <n v="211.0"/>
        <n v="598.0"/>
        <n v="576.0"/>
        <n v="408.0"/>
        <n v="257.0"/>
        <n v="44.0"/>
        <n v="690.0"/>
        <n v="641.0"/>
        <n v="260.0"/>
        <n v="499.0"/>
        <n v="629.0"/>
        <n v="395.0"/>
        <n v="142.0"/>
        <n v="41.0"/>
        <n v="847.0"/>
        <n v="951.0"/>
        <n v="252.0"/>
        <n v="800.0"/>
        <n v="461.0"/>
        <n v="697.0"/>
        <n v="335.0"/>
        <n v="568.0"/>
        <n v="747.0"/>
        <n v="580.0"/>
        <n v="719.0"/>
        <n v="15.0"/>
        <n v="816.0"/>
        <n v="358.0"/>
        <n v="910.0"/>
        <n v="867.0"/>
        <n v="16.0"/>
        <n v="242.0"/>
        <n v="582.0"/>
        <n v="300.0"/>
        <n v="131.0"/>
        <n v="431.0"/>
        <n v="642.0"/>
        <n v="274.0"/>
        <n v="717.0"/>
        <n v="102.0"/>
        <n v="476.0"/>
        <n v="769.0"/>
        <n v="610.0"/>
        <n v="213.0"/>
        <n v="473.0"/>
        <n v="710.0"/>
        <n v="815.0"/>
        <n v="643.0"/>
        <n v="411.0"/>
        <n v="703.0"/>
        <n v="409.0"/>
        <n v="52.0"/>
        <n v="504.0"/>
        <n v="979.0"/>
        <n v="605.0"/>
        <n v="237.0"/>
        <n v="343.0"/>
        <n v="66.0"/>
        <n v="403.0"/>
        <n v="958.0"/>
        <n v="459.0"/>
        <n v="559.0"/>
        <n v="61.0"/>
        <n v="201.0"/>
        <n v="851.0"/>
        <n v="95.0"/>
        <n v="842.0"/>
        <n v="517.0"/>
        <n v="202.0"/>
        <n v="794.0"/>
        <n v="137.0"/>
        <n v="239.0"/>
        <n v="588.0"/>
        <n v="955.0"/>
        <n v="127.0"/>
        <n v="893.0"/>
        <n v="178.0"/>
        <n v="295.0"/>
        <n v="857.0"/>
        <n v="714.0"/>
        <n v="287.0"/>
        <n v="545.0"/>
        <n v="70.0"/>
        <n v="799.0"/>
        <n v="632.0"/>
        <n v="826.0"/>
        <n v="630.0"/>
        <n v="597.0"/>
        <n v="157.0"/>
        <n v="845.0"/>
        <n v="973.0"/>
        <n v="321.0"/>
        <n v="171.0"/>
        <n v="618.0"/>
        <n v="45.0"/>
        <n v="334.0"/>
        <n v="599.0"/>
        <n v="786.0"/>
        <n v="784.0"/>
        <n v="773.0"/>
        <n v="985.0"/>
        <n v="155.0"/>
        <n v="206.0"/>
        <n v="354.0"/>
        <n v="337.0"/>
        <n v="527.0"/>
        <n v="50.0"/>
        <n v="54.0"/>
        <n v="212.0"/>
        <n v="625.0"/>
        <n v="163.0"/>
        <n v="664.0"/>
        <n v="67.0"/>
        <n v="925.0"/>
        <n v="119.0"/>
        <n v="207.0"/>
        <n v="275.0"/>
        <n v="437.0"/>
        <n v="919.0"/>
        <n v="961.0"/>
        <n v="668.0"/>
        <n v="840.0"/>
        <n v="191.0"/>
        <n v="28.0"/>
        <n v="203.0"/>
        <n v="742.0"/>
        <n v="236.0"/>
        <n v="613.0"/>
        <n v="160.0"/>
        <n v="109.0"/>
        <n v="149.0"/>
        <n v="280.0"/>
        <n v="665.0"/>
        <n v="962.0"/>
        <n v="831.0"/>
        <n v="373.0"/>
        <n v="506.0"/>
        <n v="960.0"/>
        <n v="55.0"/>
        <n v="303.0"/>
        <n v="551.0"/>
        <n v="718.0"/>
        <n v="653.0"/>
        <n v="294.0"/>
        <n v="251.0"/>
        <n v="425.0"/>
        <n v="822.0"/>
        <n v="541.0"/>
        <n v="518.0"/>
        <n v="410.0"/>
        <n v="161.0"/>
        <n v="875.0"/>
        <n v="108.0"/>
        <n v="347.0"/>
        <n v="778.0"/>
        <n v="158.0"/>
        <n v="574.0"/>
        <n v="881.0"/>
        <n v="722.0"/>
        <n v="698.0"/>
        <n v="797.0"/>
        <n v="772.0"/>
        <n v="53.0"/>
        <n v="338.0"/>
        <n v="988.0"/>
        <n v="869.0"/>
        <n v="120.0"/>
        <n v="712.0"/>
        <n v="918.0"/>
        <n v="934.0"/>
        <n v="503.0"/>
        <n v="128.0"/>
        <n v="651.0"/>
        <n v="844.0"/>
        <n v="510.0"/>
        <n v="12.0"/>
        <n v="779.0"/>
        <n v="464.0"/>
        <n v="763.0"/>
        <n v="564.0"/>
        <n v="915.0"/>
        <n v="325.0"/>
        <n v="585.0"/>
        <n v="529.0"/>
        <n v="484.0"/>
        <n v="35.0"/>
        <n v="812.0"/>
        <n v="782.0"/>
        <n v="912.0"/>
        <n v="346.0"/>
        <n v="796.0"/>
        <n v="780.0"/>
        <n v="898.0"/>
        <n v="609.0"/>
        <n v="561.0"/>
        <n v="553.0"/>
        <n v="767.0"/>
        <n v="560.0"/>
        <n v="591.0"/>
        <n v="454.0"/>
        <n v="715.0"/>
        <n v="114.0"/>
        <n v="216.0"/>
        <n v="793.0"/>
        <n v="542.0"/>
        <n v="416.0"/>
        <n v="477.0"/>
        <n v="436.0"/>
        <n v="997.0"/>
        <n v="650.0"/>
        <n v="644.0"/>
        <n v="-1.0"/>
        <n v="626.0"/>
        <n v="871.0"/>
        <n v="159.0"/>
        <n v="558.0"/>
        <n v="226.0"/>
        <n v="511.0"/>
        <n v="470.0"/>
        <n v="907.0"/>
        <n v="162.0"/>
        <n v="205.0"/>
        <n v="727.0"/>
        <n v="245.0"/>
        <n v="83.0"/>
        <n v="440.0"/>
        <n v="80.0"/>
        <n v="837.0"/>
        <n v="749.0"/>
        <n v="190.0"/>
        <n v="4.0"/>
        <n v="661.0"/>
        <n v="189.0"/>
        <n v="879.0"/>
        <n v="118.0"/>
        <n v="77.0"/>
        <n v="739.0"/>
        <n v="187.0"/>
        <n v="834.0"/>
        <n v="292.0"/>
        <n v="407.0"/>
        <n v="198.0"/>
        <n v="116.0"/>
        <n v="139.0"/>
        <n v="501.0"/>
        <n v="57.0"/>
        <n v="872.0"/>
        <n v="911.0"/>
        <n v="355.0"/>
        <n v="428.0"/>
        <n v="678.0"/>
        <n v="671.0"/>
        <n v="713.0"/>
        <n v="396.0"/>
        <n v="179.0"/>
        <n v="327.0"/>
        <n v="855.0"/>
        <n v="165.0"/>
        <n v="413.0"/>
        <n v="153.0"/>
        <n v="667.0"/>
        <n v="215.0"/>
        <n v="544.0"/>
        <n v="634.0"/>
        <n v="302.0"/>
        <n v="943.0"/>
        <n v="110.0"/>
        <n v="361.0"/>
        <n v="181.0"/>
        <n v="760.0"/>
        <n v="587.0"/>
        <n v="658.0"/>
        <n v="463.0"/>
        <n v="931.0"/>
        <n v="833.0"/>
        <n v="538.0"/>
        <n v="363.0"/>
        <n v="143.0"/>
        <n v="950.0"/>
        <n v="74.0"/>
        <n v="646.0"/>
        <n v="308.0"/>
        <n v="876.0"/>
        <n v="290.0"/>
        <n v="946.0"/>
        <n v="224.0"/>
        <n v="781.0"/>
        <n v="811.0"/>
        <n v="952.0"/>
        <n v="193.0"/>
        <n v="385.0"/>
        <n v="253.0"/>
        <n v="684.0"/>
        <n v="378.0"/>
        <n v="183.0"/>
        <n v="194.0"/>
        <n v="730.0"/>
        <n v="672.0"/>
        <n v="534.0"/>
        <n v="218.0"/>
        <n v="7.0"/>
        <n v="247.0"/>
        <n v="125.0"/>
        <n v="532.0"/>
        <n v="103.0"/>
        <n v="23.0"/>
        <n v="469.0"/>
        <n v="204.0"/>
        <n v="420.0"/>
        <n v="887.0"/>
        <n v="896.0"/>
        <n v="516.0"/>
        <n v="38.0"/>
        <n v="607.0"/>
        <n v="78.0"/>
        <n v="379.0"/>
        <n v="415.0"/>
        <n v="-3.0"/>
        <n v="917.0"/>
        <n v="496.0"/>
        <n v="899.0"/>
        <n v="726.0"/>
        <n v="579.0"/>
        <n v="316.0"/>
        <n v="522.0"/>
        <n v="364.0"/>
        <n v="507.0"/>
        <n v="818.0"/>
        <n v="937.0"/>
        <n v="348.0"/>
        <n v="285.0"/>
        <n v="192.0"/>
        <n v="949.0"/>
        <n v="479.0"/>
        <n v="73.0"/>
        <n v="107.0"/>
        <n v="451.0"/>
        <n v="592.0"/>
        <n v="332.0"/>
        <n v="468.0"/>
        <n v="51.0"/>
        <n v="450.0"/>
        <n v="932.0"/>
        <n v="682.0"/>
        <n v="975.0"/>
        <n v="627.0"/>
        <n v="583.0"/>
        <n v="557.0"/>
        <n v="691.0"/>
        <n v="276.0"/>
        <n v="572.0"/>
        <n v="546.0"/>
        <n v="342.0"/>
        <n v="117.0"/>
        <n v="923.0"/>
        <n v="152.0"/>
        <n v="258.0"/>
        <n v="255.0"/>
        <n v="724.0"/>
        <n v="865.0"/>
        <n v="929.0"/>
        <n v="460.0"/>
        <n v="414.0"/>
        <n v="480.0"/>
        <n v="380.0"/>
        <n v="168.0"/>
        <n v="417.0"/>
        <n v="637.0"/>
        <n v="676.0"/>
        <n v="679.0"/>
        <n v="905.0"/>
        <n v="331.0"/>
        <n v="341.0"/>
        <n v="273.0"/>
        <n v="90.0"/>
        <n v="963.0"/>
        <n v="900.0"/>
        <n v="894.0"/>
        <n v="904.0"/>
        <n v="536.0"/>
        <n v="391.0"/>
        <n v="466.0"/>
        <n v="808.0"/>
        <n v="229.0"/>
        <n v="394.0"/>
        <n v="968.0"/>
        <n v="652.0"/>
        <n v="853.0"/>
        <n v="172.0"/>
        <n v="259.0"/>
        <n v="402.0"/>
        <n v="889.0"/>
        <n v="24.0"/>
        <n v="382.0"/>
        <n v="284.0"/>
        <n v="227.0"/>
        <n v="704.0"/>
        <n v="390.0"/>
        <n v="266.0"/>
        <n v="584.0"/>
        <n v="848.0"/>
        <n v="365.0"/>
        <n v="768.0"/>
        <n v="663.0"/>
        <n v="381.0"/>
        <n v="967.0"/>
        <n v="336.0"/>
        <n v="914.0"/>
        <n v="278.0"/>
        <n v="286.0"/>
        <n v="628.0"/>
        <n v="795.0"/>
        <n v="947.0"/>
        <n v="272.0"/>
        <n v="745.0"/>
        <n v="136.0"/>
        <n v="535.0"/>
        <n v="323.0"/>
        <n v="647.0"/>
        <n v="606.0"/>
        <n v="969.0"/>
        <n v="248.0"/>
        <n v="886.0"/>
        <n v="864.0"/>
        <n v="922.0"/>
        <n v="519.0"/>
        <n v="288.0"/>
        <n v="734.0"/>
        <n v="765.0"/>
        <n v="208.0"/>
        <n v="942.0"/>
        <n v="877.0"/>
        <n v="441.0"/>
        <n v="640.0"/>
        <n v="920.0"/>
        <n v="333.0"/>
        <n v="764.0"/>
        <n v="549.0"/>
        <n v="65.0"/>
        <n v="807.0"/>
        <n v="432.0"/>
        <n v="617.0"/>
        <n v="405.0"/>
        <n v="995.0"/>
        <n v="475.0"/>
        <n v="878.0"/>
        <n v="716.0"/>
        <n v="978.0"/>
        <n v="608.0"/>
        <n v="846.0"/>
        <n v="71.0"/>
        <n v="467.0"/>
        <n v="602.0"/>
        <n v="890.0"/>
        <n v="639.0"/>
        <n v="821.0"/>
        <n v="138.0"/>
        <n v="785.0"/>
        <n v="487.0"/>
        <n v="790.0"/>
        <n v="852.0"/>
        <n v="565.0"/>
        <n v="631.0"/>
        <n v="992.0"/>
        <n v="350.0"/>
        <n v="964.0"/>
        <n v="462.0"/>
        <n v="748.0"/>
        <n v="789.0"/>
        <n v="13.0"/>
        <n v="721.0"/>
        <n v="974.0"/>
        <n v="787.0"/>
        <n v="246.0"/>
        <n v="340.0"/>
        <n v="60.0"/>
        <n v="72.0"/>
        <n v="170.0"/>
        <n v="311.0"/>
        <n v="254.0"/>
        <n v="523.0"/>
        <n v="177.0"/>
        <n v="792.0"/>
        <n v="775.0"/>
        <n v="133.0"/>
        <n v="250.0"/>
        <n v="435.0"/>
        <n v="86.0"/>
        <n v="841.0"/>
        <n v="696.0"/>
        <n v="983.0"/>
        <n v="485.0"/>
        <n v="700.0"/>
        <n v="49.0"/>
        <n v="849.0"/>
        <n v="913.0"/>
        <n v="709.0"/>
        <n v="883.0"/>
        <n v="241.0"/>
        <n v="695.0"/>
        <n v="214.0"/>
        <n v="948.0"/>
        <n v="42.0"/>
        <n v="424.0"/>
        <n v="725.0"/>
        <n v="313.0"/>
        <n v="744.0"/>
        <n v="115.0"/>
        <n v="209.0"/>
        <n v="482.0"/>
        <n v="854.0"/>
        <n v="972.0"/>
        <n v="615.0"/>
        <n v="856.0"/>
        <n v="376.0"/>
        <n v="421.0"/>
        <n v="304.0"/>
        <n v="291.0"/>
        <n v="524.0"/>
        <n v="550.0"/>
        <n v="683.0"/>
        <n v="240.0"/>
        <n v="384.0"/>
        <n v="766.0"/>
        <n v="595.0"/>
        <n v="453.0"/>
        <n v="449.0"/>
        <n v="839.0"/>
        <n v="10.0"/>
        <n v="279.0"/>
        <n v="322.0"/>
        <n v="106.0"/>
        <n v="814.0"/>
        <n v="345.0"/>
        <n v="892.0"/>
        <n v="344.0"/>
        <n v="880.0"/>
        <n v="512.0"/>
        <n v="673.0"/>
        <n v="370.0"/>
        <n v="737.0"/>
        <n v="520.0"/>
        <n v="497.0"/>
        <n v="299.0"/>
        <n v="498.0"/>
        <n v="589.0"/>
        <n v="230.0"/>
        <n v="809.0"/>
        <n v="500.0"/>
        <n v="804.0"/>
        <n v="616.0"/>
        <n v="562.0"/>
        <n v="706.0"/>
        <n v="56.0"/>
        <n v="88.0"/>
        <n v="36.0"/>
        <n v="908.0"/>
        <n v="659.0"/>
        <n v="614.0"/>
        <n v="569.0"/>
        <n v="474.0"/>
        <n v="866.0"/>
        <n v="829.0"/>
        <n v="39.0"/>
        <n v="884.0"/>
        <n v="813.0"/>
        <n v="674.0"/>
        <n v="505.0"/>
        <n v="810.0"/>
        <n v="22.0"/>
        <n v="687.0"/>
        <n v="528.0"/>
        <n v="62.0"/>
        <n v="649.0"/>
        <n v="200.0"/>
        <n v="619.0"/>
        <n v="353.0"/>
        <n v="515.0"/>
        <n v="314.0"/>
        <n v="328.0"/>
        <n v="223.0"/>
        <n v="759.0"/>
        <n v="465.0"/>
        <n v="301.0"/>
        <n v="129.0"/>
        <n v="566.0"/>
        <n v="901.0"/>
        <n v="533.0"/>
        <n v="820.0"/>
        <n v="422.0"/>
        <n v="443.0"/>
        <n v="635.0"/>
        <n v="838.0"/>
        <n v="93.0"/>
        <n v="458.0"/>
        <n v="803.0"/>
        <n v="27.0"/>
        <n v="692.0"/>
        <n v="426.0"/>
        <n v="368.0"/>
        <n v="234.0"/>
        <n v="122.0"/>
        <n v="188.0"/>
        <n v="548.0"/>
        <n v="788.0"/>
        <n v="771.0"/>
        <n v="743.0"/>
        <n v="472.0"/>
        <n v="754.0"/>
        <n v="434.0"/>
        <n v="836.0"/>
        <n v="339.0"/>
        <n v="526.0"/>
        <n v="954.0"/>
        <n v="233.0"/>
        <n v="97.0"/>
        <n v="349.0"/>
        <n v="307.0"/>
        <n v="491.0"/>
        <n v="575.0"/>
        <n v="173.0"/>
        <n v="457.0"/>
        <n v="757.0"/>
        <n v="151.0"/>
        <n v="702.0"/>
        <n v="666.0"/>
        <n v="514.0"/>
        <n v="33.0"/>
        <n v="32.0"/>
        <n v="169.0"/>
        <n v="360.0"/>
        <n v="372.0"/>
        <n v="984.0"/>
        <n v="677.0"/>
        <n v="1.0"/>
        <n v="537.0"/>
        <n v="555.0"/>
        <n v="622.0"/>
        <n v="244.0"/>
        <n v="891.0"/>
        <n v="539.0"/>
        <n v="471.0"/>
        <n v="751.0"/>
        <n v="708.0"/>
        <n v="509.0"/>
        <n v="5.0"/>
        <n v="87.0"/>
        <n v="556.0"/>
        <n v="47.0"/>
        <n v="25.0"/>
        <n v="670.0"/>
        <n v="249.0"/>
        <n v="105.0"/>
        <n v="219.0"/>
        <n v="741.0"/>
        <n v="669.0"/>
        <n v="495.0"/>
        <n v="180.0"/>
        <n v="261.0"/>
        <n v="264.0"/>
        <n v="802.0"/>
        <n v="680.0"/>
        <n v="367.0"/>
        <n v="317.0"/>
        <n v="688.0"/>
        <n v="235.0"/>
        <n v="221.0"/>
        <n v="175.0"/>
        <n v="750.0"/>
        <n v="448.0"/>
        <n v="452.0"/>
        <n v="777.0"/>
        <n v="58.0"/>
        <n v="406.0"/>
        <n v="113.0"/>
        <n v="578.0"/>
        <n v="393.0"/>
        <n v="513.0"/>
        <n v="862.0"/>
        <n v="18.0"/>
        <n v="19.0"/>
        <n v="270.0"/>
        <n v="174.0"/>
        <n v="711.0"/>
        <n v="446.0"/>
        <n v="944.0"/>
        <n v="753.0"/>
        <n v="906.0"/>
        <n v="657.0"/>
        <n v="888.0"/>
        <n v="94.0"/>
        <n v="621.0"/>
        <n v="444.0"/>
        <n v="352.0"/>
        <n v="377.0"/>
        <n v="401.0"/>
        <n v="817.0"/>
        <n v="238.0"/>
        <n v="89.0"/>
        <n v="731.0"/>
        <n v="895.0"/>
        <n v="-5.0"/>
        <n v="383.0"/>
        <n v="620.0"/>
        <n v="577.0"/>
        <n v="976.0"/>
        <n v="306.0"/>
        <n v="283.0"/>
        <n v="6.0"/>
        <n v="882.0"/>
        <n v="494.0"/>
        <n v="329.0"/>
        <n v="30.0"/>
        <n v="297.0"/>
        <n v="761.0"/>
        <n v="957.0"/>
        <n v="624.0"/>
        <n v="770.0"/>
        <n v="720.0"/>
        <n v="885.0"/>
        <n v="29.0"/>
        <n v="936.0"/>
        <n v="694.0"/>
        <n v="59.0"/>
        <n v="736.0"/>
        <n v="154.0"/>
        <n v="309.0"/>
        <n v="267.0"/>
        <n v="225.0"/>
        <n v="195.0"/>
        <n v="17.0"/>
        <n v="20.0"/>
        <n v="686.0"/>
        <n v="430.0"/>
        <n v="586.0"/>
        <n v="801.0"/>
        <n v="478.0"/>
        <n v="938.0"/>
        <n v="374.0"/>
        <n v="828.0"/>
        <n v="806.0"/>
        <n v="752.0"/>
        <n v="902.0"/>
        <n v="296.0"/>
        <n v="554.0"/>
        <n v="293.0"/>
        <n v="265.0"/>
        <n v="427.0"/>
        <n v="375.0"/>
        <n v="633.0"/>
        <n v="860.0"/>
        <n v="953.0"/>
        <n v="502.0"/>
        <n v="924.0"/>
        <n v="400.0"/>
        <n v="530.0"/>
        <n v="824.0"/>
        <n v="859.0"/>
        <n v="699.0"/>
        <n v="543.0"/>
        <n v="112.0"/>
        <n v="419.0"/>
        <n v="970.0"/>
        <n v="636.0"/>
        <n v="263.0"/>
        <n v="404.0"/>
        <n v="508.0"/>
        <n v="989.0"/>
        <n v="570.0"/>
        <n v="121.0"/>
        <n v="132.0"/>
        <n v="581.0"/>
        <n v="150.0"/>
        <n v="603.0"/>
        <n v="82.0"/>
        <n v="573.0"/>
        <n v="423.0"/>
        <n v="166.0"/>
        <n v="-8.0"/>
        <n v="481.0"/>
        <n v="791.0"/>
        <n v="740.0"/>
        <n v="48.0"/>
        <n v="755.0"/>
        <n v="148.0"/>
        <n v="926.0"/>
        <n v="262.0"/>
        <n v="762.0"/>
        <n v="447.0"/>
        <n v="-13.0"/>
        <n v="733.0"/>
        <n v="359.0"/>
        <n v="977.0"/>
        <n v="319.0"/>
        <n v="959.0"/>
        <n v="823.0"/>
        <n v="330.0"/>
        <n v="567.0"/>
        <n v="-6.0"/>
        <n v="827.0"/>
        <n v="611.0"/>
        <n v="85.0"/>
        <n v="9.0"/>
        <n v="351.0"/>
        <n v="563.0"/>
        <n v="521.0"/>
        <n v="-14.0"/>
        <n v="-10.0"/>
        <n v="281.0"/>
        <n v="707.0"/>
        <n v="46.0"/>
        <n v="156.0"/>
        <n v="874.0"/>
        <n v="488.0"/>
        <n v="398.0"/>
        <n v="681.0"/>
        <n v="182.0"/>
        <n v="991.0"/>
        <n v="552.0"/>
        <n v="490.0"/>
        <n v="655.0"/>
        <n v="298.0"/>
        <n v="933.0"/>
        <n v="600.0"/>
        <n v="662.0"/>
        <n v="660.0"/>
        <n v="850.0"/>
        <n v="916.0"/>
        <n v="289.0"/>
        <n v="362.0"/>
        <n v="145.0"/>
        <n v="75.0"/>
        <n v="858.0"/>
        <n v="593.0"/>
        <n v="126.0"/>
        <n v="966.0"/>
        <n v="268.0"/>
        <n v="387.0"/>
        <n v="746.0"/>
        <n v="776.0"/>
        <n v="217.0"/>
        <n v="-7.0"/>
        <n v="21.0"/>
        <n v="798.0"/>
        <n v="140.0"/>
        <n v="965.0"/>
        <n v="184.0"/>
        <n v="601.0"/>
        <n v="830.0"/>
        <n v="825.0"/>
        <n v="123.0"/>
        <n v="928.0"/>
        <n v="324.0"/>
        <n v="675.0"/>
        <n v="648.0"/>
        <n v="312.0"/>
        <n v="981.0"/>
        <n v="8.0"/>
        <n v="310.0"/>
        <n v="222.0"/>
        <n v="873.0"/>
        <n v="623.0"/>
        <n v="92.0"/>
        <n v="903.0"/>
        <n v="728.0"/>
        <n v="438.0"/>
        <n v="386.0"/>
        <n v="369.0"/>
        <n v="819.0"/>
        <n v="729.0"/>
        <n v="146.0"/>
        <n v="456.0"/>
        <n v="612.0"/>
        <n v="656.0"/>
        <n v="388.0"/>
        <n v="805.0"/>
        <n v="590.0"/>
        <n v="756.0"/>
        <n v="921.0"/>
        <n v="909.0"/>
        <n v="439.0"/>
        <n v="843.0"/>
        <n v="986.0"/>
        <n v="243.0"/>
        <n v="930.0"/>
        <n v="738.0"/>
        <n v="693.0"/>
        <n v="483.0"/>
        <n v="69.0"/>
        <n v="939.0"/>
        <n v="990.0"/>
        <n v="412.0"/>
        <n v="945.0"/>
        <n v="-17.0"/>
        <n v="996.0"/>
        <n v="228.0"/>
        <n v="638.0"/>
        <n v="493.0"/>
        <n v="-11.0"/>
        <n v="-15.0"/>
        <n v="689.0"/>
        <n v="-16.0"/>
        <n v="-2.0"/>
        <n v="392.0"/>
        <n v="835.0"/>
        <n v="-9.0"/>
        <n v="433.0"/>
        <n v="231.0"/>
        <n v="-4.0"/>
        <n v="3.0"/>
        <n v="531.0"/>
        <n v="980.0"/>
        <m/>
      </sharedItems>
    </cacheField>
    <cacheField name="stock" numFmtId="1">
      <sharedItems containsString="0" containsBlank="1" containsNumber="1" containsInteger="1">
        <n v="320.0"/>
        <n v="0.0"/>
        <n v="100.0"/>
        <n v="268.0"/>
        <n v="472.0"/>
        <n v="63.0"/>
        <n v="33.0"/>
        <n v="104.0"/>
        <n v="152.0"/>
        <n v="393.0"/>
        <n v="60.0"/>
        <n v="9.0"/>
        <n v="256.0"/>
        <n v="326.0"/>
        <n v="11.0"/>
        <n v="103.0"/>
        <n v="68.0"/>
        <n v="162.0"/>
        <n v="43.0"/>
        <n v="134.0"/>
        <n v="305.0"/>
        <n v="84.0"/>
        <n v="96.0"/>
        <n v="71.0"/>
        <n v="130.0"/>
        <n v="604.0"/>
        <n v="6.0"/>
        <n v="609.0"/>
        <n v="79.0"/>
        <n v="23.0"/>
        <n v="186.0"/>
        <n v="418.0"/>
        <n v="98.0"/>
        <n v="34.0"/>
        <n v="141.0"/>
        <n v="99.0"/>
        <n v="131.0"/>
        <n v="46.0"/>
        <n v="558.0"/>
        <n v="19.0"/>
        <n v="2.0"/>
        <n v="85.0"/>
        <n v="82.0"/>
        <n v="88.0"/>
        <n v="159.0"/>
        <n v="301.0"/>
        <n v="243.0"/>
        <n v="285.0"/>
        <n v="227.0"/>
        <n v="105.0"/>
        <n v="207.0"/>
        <n v="78.0"/>
        <n v="42.0"/>
        <n v="306.0"/>
        <n v="321.0"/>
        <n v="576.0"/>
        <n v="31.0"/>
        <n v="37.0"/>
        <n v="1.0"/>
        <n v="180.0"/>
        <n v="10.0"/>
        <n v="635.0"/>
        <n v="396.0"/>
        <n v="128.0"/>
        <n v="214.0"/>
        <n v="278.0"/>
        <n v="164.0"/>
        <n v="385.0"/>
        <n v="381.0"/>
        <n v="327.0"/>
        <n v="821.0"/>
        <n v="27.0"/>
        <n v="613.0"/>
        <n v="648.0"/>
        <n v="723.0"/>
        <n v="353.0"/>
        <n v="384.0"/>
        <n v="420.0"/>
        <n v="319.0"/>
        <n v="345.0"/>
        <n v="167.0"/>
        <n v="116.0"/>
        <n v="107.0"/>
        <n v="174.0"/>
        <n v="290.0"/>
        <n v="126.0"/>
        <n v="498.0"/>
        <n v="344.0"/>
        <n v="437.0"/>
        <n v="95.0"/>
        <n v="225.0"/>
        <n v="414.0"/>
        <n v="45.0"/>
        <n v="58.0"/>
        <n v="494.0"/>
        <n v="26.0"/>
        <n v="142.0"/>
        <n v="47.0"/>
        <n v="80.0"/>
        <n v="400.0"/>
        <n v="81.0"/>
        <n v="117.0"/>
        <n v="145.0"/>
        <n v="726.0"/>
        <n v="311.0"/>
        <n v="554.0"/>
        <n v="374.0"/>
        <n v="49.0"/>
        <n v="5.0"/>
        <n v="230.0"/>
        <n v="499.0"/>
        <n v="212.0"/>
        <n v="205.0"/>
        <n v="108.0"/>
        <n v="229.0"/>
        <n v="317.0"/>
        <n v="51.0"/>
        <n v="8.0"/>
        <n v="150.0"/>
        <n v="14.0"/>
        <n v="12.0"/>
        <n v="328.0"/>
        <n v="739.0"/>
        <n v="462.0"/>
        <n v="77.0"/>
        <n v="74.0"/>
        <n v="66.0"/>
        <n v="16.0"/>
        <n v="264.0"/>
        <n v="206.0"/>
        <n v="102.0"/>
        <n v="761.0"/>
        <n v="520.0"/>
        <n v="333.0"/>
        <n v="217.0"/>
        <n v="514.0"/>
        <n v="475.0"/>
        <n v="361.0"/>
        <n v="674.0"/>
        <n v="121.0"/>
        <n v="161.0"/>
        <n v="879.0"/>
        <n v="172.0"/>
        <n v="175.0"/>
        <n v="555.0"/>
        <n v="190.0"/>
        <n v="35.0"/>
        <n v="156.0"/>
        <n v="54.0"/>
        <n v="549.0"/>
        <n v="368.0"/>
        <n v="740.0"/>
        <n v="237.0"/>
        <n v="41.0"/>
        <n v="530.0"/>
        <n v="219.0"/>
        <n v="222.0"/>
        <n v="367.0"/>
        <n v="405.0"/>
        <n v="560.0"/>
        <n v="94.0"/>
        <n v="236.0"/>
        <n v="502.0"/>
        <n v="315.0"/>
        <n v="801.0"/>
        <n v="67.0"/>
        <n v="293.0"/>
        <n v="197.0"/>
        <n v="89.0"/>
        <n v="295.0"/>
        <n v="133.0"/>
        <n v="343.0"/>
        <n v="741.0"/>
        <n v="386.0"/>
        <n v="812.0"/>
        <n v="187.0"/>
        <n v="409.0"/>
        <n v="38.0"/>
        <n v="331.0"/>
        <n v="454.0"/>
        <n v="4.0"/>
        <n v="7.0"/>
        <n v="158.0"/>
        <n v="177.0"/>
        <n v="651.0"/>
        <n v="123.0"/>
        <n v="595.0"/>
        <n v="28.0"/>
        <n v="605.0"/>
        <n v="185.0"/>
        <n v="254.0"/>
        <n v="511.0"/>
        <n v="29.0"/>
        <n v="298.0"/>
        <n v="135.0"/>
        <n v="324.0"/>
        <n v="892.0"/>
        <n v="419.0"/>
        <n v="148.0"/>
        <n v="247.0"/>
        <n v="322.0"/>
        <n v="352.0"/>
        <n v="265.0"/>
        <n v="240.0"/>
        <n v="354.0"/>
        <n v="571.0"/>
        <n v="192.0"/>
        <n v="57.0"/>
        <n v="235.0"/>
        <n v="137.0"/>
        <n v="129.0"/>
        <n v="209.0"/>
        <n v="22.0"/>
        <n v="255.0"/>
        <n v="526.0"/>
        <n v="241.0"/>
        <n v="363.0"/>
        <n v="165.0"/>
        <n v="744.0"/>
        <n v="435.0"/>
        <n v="24.0"/>
        <n v="181.0"/>
        <n v="485.0"/>
        <n v="83.0"/>
        <n v="614.0"/>
        <n v="200.0"/>
        <n v="157.0"/>
        <n v="458.0"/>
        <n v="308.0"/>
        <n v="417.0"/>
        <n v="889.0"/>
        <n v="139.0"/>
        <n v="280.0"/>
        <n v="173.0"/>
        <n v="680.0"/>
        <n v="399.0"/>
        <n v="332.0"/>
        <n v="113.0"/>
        <n v="251.0"/>
        <n v="527.0"/>
        <n v="246.0"/>
        <n v="292.0"/>
        <n v="703.0"/>
        <n v="260.0"/>
        <n v="700.0"/>
        <n v="286.0"/>
        <n v="596.0"/>
        <n v="281.0"/>
        <n v="451.0"/>
        <n v="423.0"/>
        <n v="15.0"/>
        <n v="208.0"/>
        <n v="91.0"/>
        <n v="55.0"/>
        <n v="610.0"/>
        <n v="36.0"/>
        <n v="203.0"/>
        <n v="338.0"/>
        <n v="342.0"/>
        <n v="985.0"/>
        <n v="434.0"/>
        <n v="486.0"/>
        <n v="20.0"/>
        <n v="178.0"/>
        <n v="111.0"/>
        <n v="272.0"/>
        <n v="210.0"/>
        <n v="69.0"/>
        <n v="21.0"/>
        <n v="453.0"/>
        <n v="660.0"/>
        <n v="18.0"/>
        <n v="542.0"/>
        <n v="539.0"/>
        <n v="415.0"/>
        <n v="262.0"/>
        <n v="538.0"/>
        <n v="93.0"/>
        <n v="738.0"/>
        <n v="109.0"/>
        <n v="279.0"/>
        <n v="707.0"/>
        <n v="169.0"/>
        <n v="478.0"/>
        <n v="59.0"/>
        <n v="65.0"/>
        <n v="283.0"/>
        <n v="70.0"/>
        <n v="75.0"/>
        <n v="422.0"/>
        <n v="667.0"/>
        <n v="544.0"/>
        <n v="444.0"/>
        <n v="452.0"/>
        <n v="146.0"/>
        <n v="17.0"/>
        <n v="87.0"/>
        <n v="636.0"/>
        <n v="438.0"/>
        <n v="773.0"/>
        <n v="144.0"/>
        <n v="658.0"/>
        <n v="477.0"/>
        <n v="56.0"/>
        <n v="398.0"/>
        <n v="429.0"/>
        <n v="120.0"/>
        <n v="238.0"/>
        <n v="366.0"/>
        <n v="288.0"/>
        <n v="140.0"/>
        <n v="696.0"/>
        <n v="359.0"/>
        <n v="335.0"/>
        <n v="276.0"/>
        <n v="30.0"/>
        <n v="184.0"/>
        <n v="424.0"/>
        <n v="425.0"/>
        <n v="849.0"/>
        <n v="629.0"/>
        <n v="781.0"/>
        <n v="250.0"/>
        <n v="232.0"/>
        <n v="166.0"/>
        <n v="48.0"/>
        <n v="339.0"/>
        <n v="303.0"/>
        <n v="13.0"/>
        <n v="62.0"/>
        <n v="61.0"/>
        <n v="228.0"/>
        <n v="531.0"/>
        <n v="231.0"/>
        <n v="310.0"/>
        <n v="215.0"/>
        <n v="115.0"/>
        <n v="497.0"/>
        <n v="860.0"/>
        <n v="456.0"/>
        <n v="479.0"/>
        <n v="125.0"/>
        <n v="428.0"/>
        <n v="119.0"/>
        <n v="196.0"/>
        <n v="529.0"/>
        <n v="198.0"/>
        <n v="267.0"/>
        <n v="758.0"/>
        <n v="894.0"/>
        <n v="138.0"/>
        <n v="346.0"/>
        <n v="202.0"/>
        <n v="580.0"/>
        <n v="50.0"/>
        <n v="871.0"/>
        <n v="194.0"/>
        <n v="275.0"/>
        <n v="545.0"/>
        <n v="122.0"/>
        <n v="408.0"/>
        <n v="171.0"/>
        <n v="426.0"/>
        <n v="506.0"/>
        <n v="160.0"/>
        <n v="515.0"/>
        <n v="507.0"/>
        <n v="720.0"/>
        <n v="124.0"/>
        <n v="90.0"/>
        <n v="3.0"/>
        <n v="378.0"/>
        <n v="25.0"/>
        <n v="375.0"/>
        <n v="490.0"/>
        <n v="395.0"/>
        <n v="581.0"/>
        <n v="191.0"/>
        <n v="369.0"/>
        <n v="266.0"/>
        <n v="221.0"/>
        <n v="189.0"/>
        <n v="149.0"/>
        <n v="627.0"/>
        <n v="588.0"/>
        <n v="811.0"/>
        <n v="226.0"/>
        <n v="114.0"/>
        <n v="491.0"/>
        <n v="391.0"/>
        <n v="582.0"/>
        <n v="110.0"/>
        <n v="101.0"/>
        <n v="484.0"/>
        <n v="253.0"/>
        <n v="44.0"/>
        <n v="211.0"/>
        <n v="534.0"/>
        <n v="136.0"/>
        <n v="900.0"/>
        <n v="330.0"/>
        <n v="312.0"/>
        <n v="846.0"/>
        <n v="594.0"/>
        <n v="755.0"/>
        <n v="347.0"/>
        <n v="476.0"/>
        <n v="548.0"/>
        <n v="483.0"/>
        <n v="446.0"/>
        <n v="519.0"/>
        <n v="864.0"/>
        <n v="521.0"/>
        <n v="713.0"/>
        <n v="147.0"/>
        <n v="271.0"/>
        <n v="244.0"/>
        <n v="53.0"/>
        <n v="195.0"/>
        <n v="602.0"/>
        <n v="213.0"/>
        <n v="448.0"/>
        <n v="574.0"/>
        <n v="551.0"/>
        <n v="403.0"/>
        <n v="734.0"/>
        <n v="440.0"/>
        <n v="371.0"/>
        <n v="559.0"/>
        <n v="516.0"/>
        <n v="624.0"/>
        <n v="318.0"/>
        <n v="52.0"/>
        <n v="199.0"/>
        <n v="284.0"/>
        <n v="654.0"/>
        <n v="592.0"/>
        <n v="294.0"/>
        <n v="442.0"/>
        <n v="603.0"/>
        <n v="413.0"/>
        <n v="163.0"/>
        <n v="468.0"/>
        <n v="718.0"/>
        <n v="509.0"/>
        <n v="349.0"/>
        <n v="233.0"/>
        <n v="245.0"/>
        <n v="641.0"/>
        <n v="336.0"/>
        <n v="618.0"/>
        <n v="469.0"/>
        <n v="606.0"/>
        <n v="616.0"/>
        <n v="201.0"/>
        <n v="706.0"/>
        <n v="218.0"/>
        <n v="625.0"/>
        <n v="492.0"/>
        <n v="656.0"/>
        <n v="795.0"/>
        <n v="719.0"/>
        <n v="647.0"/>
        <n v="86.0"/>
        <n v="204.0"/>
        <n v="392.0"/>
        <n v="40.0"/>
        <n v="151.0"/>
        <n v="39.0"/>
        <n v="92.0"/>
        <n v="455.0"/>
        <n v="411.0"/>
        <n v="631.0"/>
        <n v="382.0"/>
        <n v="364.0"/>
        <n v="689.0"/>
        <n v="390.0"/>
        <n v="427.0"/>
        <n v="797.0"/>
        <n v="297.0"/>
        <n v="575.0"/>
        <n v="182.0"/>
        <n v="568.0"/>
        <n v="869.0"/>
        <n v="665.0"/>
        <n v="436.0"/>
        <n v="329.0"/>
        <n v="410.0"/>
        <n v="325.0"/>
        <n v="32.0"/>
        <n v="309.0"/>
        <n v="127.0"/>
        <n v="510.0"/>
        <n v="216.0"/>
        <n v="601.0"/>
        <n v="488.0"/>
        <n v="355.0"/>
        <n v="533.0"/>
        <n v="543.0"/>
        <n v="774.0"/>
        <n v="620.0"/>
        <n v="72.0"/>
        <n v="464.0"/>
        <n v="337.0"/>
        <n v="512.0"/>
        <n v="430.0"/>
        <n v="358.0"/>
        <n v="664.0"/>
        <n v="546.0"/>
        <n v="735.0"/>
        <n v="143.0"/>
        <n v="432.0"/>
        <n v="356.0"/>
        <n v="705.0"/>
        <n v="270.0"/>
        <n v="341.0"/>
        <n v="370.0"/>
        <n v="383.0"/>
        <n v="439.0"/>
        <n v="257.0"/>
        <n v="482.0"/>
        <n v="132.0"/>
        <n v="450.0"/>
        <n v="274.0"/>
        <n v="289.0"/>
        <n v="445.0"/>
        <n v="496.0"/>
        <n v="188.0"/>
        <n v="300.0"/>
        <n v="106.0"/>
        <n v="64.0"/>
        <n v="721.0"/>
        <n v="387.0"/>
        <n v="304.0"/>
        <n v="348.0"/>
        <n v="193.0"/>
        <n v="784.0"/>
        <n v="282.0"/>
        <n v="154.0"/>
        <n v="168.0"/>
        <n v="826.0"/>
        <n v="877.0"/>
        <n v="313.0"/>
        <n v="323.0"/>
        <n v="747.0"/>
        <n v="97.0"/>
        <n v="350.0"/>
        <n v="73.0"/>
        <n v="508.0"/>
        <n v="570.0"/>
        <n v="617.0"/>
        <n v="302.0"/>
        <n v="112.0"/>
        <n v="401.0"/>
        <n v="259.0"/>
        <n v="661.0"/>
        <n v="599.0"/>
        <n v="376.0"/>
        <n v="853.0"/>
        <n v="118.0"/>
        <n v="796.0"/>
        <n v="934.0"/>
        <n v="563.0"/>
        <n v="365.0"/>
        <n v="487.0"/>
        <n v="540.0"/>
        <n v="155.0"/>
        <n v="590.0"/>
        <n v="307.0"/>
        <n v="607.0"/>
        <n v="239.0"/>
        <n v="394.0"/>
        <n v="463.0"/>
        <n v="615.0"/>
        <n v="669.0"/>
        <n v="790.0"/>
        <n v="550.0"/>
        <n v="621.0"/>
        <n v="902.0"/>
        <n v="504.0"/>
        <n v="220.0"/>
        <n v="565.0"/>
        <n v="252.0"/>
        <n v="357.0"/>
        <n v="389.0"/>
        <n v="632.0"/>
        <n v="567.0"/>
        <n v="224.0"/>
        <n v="806.0"/>
        <n v="772.0"/>
        <n v="503.0"/>
        <n v="183.0"/>
        <n v="562.0"/>
        <n v="-4.0"/>
        <n v="697.0"/>
        <n v="848.0"/>
        <n v="579.0"/>
        <n v="459.0"/>
        <n v="537.0"/>
        <n v="591.0"/>
        <n v="907.0"/>
        <n v="837.0"/>
        <n v="407.0"/>
        <n v="863.0"/>
        <n v="460.0"/>
        <n v="269.0"/>
        <n v="493.0"/>
        <n v="536.0"/>
        <n v="416.0"/>
        <n v="770.0"/>
        <n v="569.0"/>
        <n v="316.0"/>
        <n v="802.0"/>
        <n v="461.0"/>
        <n v="556.0"/>
        <n v="296.0"/>
        <n v="913.0"/>
        <n v="474.0"/>
        <n v="377.0"/>
        <n v="223.0"/>
        <n v="179.0"/>
        <n v="76.0"/>
        <n v="733.0"/>
        <n v="737.0"/>
        <n v="891.0"/>
        <n v="170.0"/>
        <n v="412.0"/>
        <n v="657.0"/>
        <n v="261.0"/>
        <n v="263.0"/>
        <n v="736.0"/>
        <n v="880.0"/>
        <n v="397.0"/>
        <n v="748.0"/>
        <n v="659.0"/>
        <n v="379.0"/>
        <n v="694.0"/>
        <n v="524.0"/>
        <n v="587.0"/>
        <n v="314.0"/>
        <n v="598.0"/>
        <n v="481.0"/>
        <n v="699.0"/>
        <n v="473.0"/>
        <n v="867.0"/>
        <n v="619.0"/>
        <n v="671.0"/>
        <n v="234.0"/>
        <n v="273.0"/>
        <n v="970.0"/>
        <n v="248.0"/>
        <n v="743.0"/>
        <n v="779.0"/>
        <n v="-8.0"/>
        <n v="404.0"/>
        <n v="728.0"/>
        <n v="431.0"/>
        <n v="583.0"/>
        <n v="677.0"/>
        <n v="505.0"/>
        <n v="844.0"/>
        <n v="176.0"/>
        <n v="465.0"/>
        <n v="712.0"/>
        <n v="682.0"/>
        <n v="640.0"/>
        <n v="936.0"/>
        <n v="764.0"/>
        <n v="766.0"/>
        <n v="287.0"/>
        <n v="626.0"/>
        <n v="670.0"/>
        <n v="687.0"/>
        <n v="480.0"/>
        <n v="258.0"/>
        <n v="757.0"/>
        <n v="523.0"/>
        <n v="709.0"/>
        <n v="816.0"/>
        <n v="489.0"/>
        <n v="535.0"/>
        <n v="457.0"/>
        <n v="859.0"/>
        <n v="153.0"/>
        <n v="299.0"/>
        <n v="-7.0"/>
        <n v="767.0"/>
        <n v="561.0"/>
        <n v="573.0"/>
        <n v="586.0"/>
        <n v="805.0"/>
        <n v="839.0"/>
        <n v="467.0"/>
        <n v="517.0"/>
        <n v="513.0"/>
        <n v="896.0"/>
        <n v="820.0"/>
        <n v="638.0"/>
        <n v="769.0"/>
        <n v="645.0"/>
        <n v="291.0"/>
        <n v="852.0"/>
        <n v="955.0"/>
        <n v="380.0"/>
        <n v="528.0"/>
        <n v="547.0"/>
        <n v="930.0"/>
        <n v="564.0"/>
        <n v="731.0"/>
        <n v="406.0"/>
        <n v="447.0"/>
        <n v="866.0"/>
        <n v="642.0"/>
        <n v="818.0"/>
        <n v="716.0"/>
        <n v="722.0"/>
        <n v="668.0"/>
        <n v="808.0"/>
        <n v="249.0"/>
        <n v="787.0"/>
        <n v="828.0"/>
        <n v="951.0"/>
        <n v="373.0"/>
        <n v="873.0"/>
        <n v="898.0"/>
        <n v="608.0"/>
        <n v="597.0"/>
        <n v="589.0"/>
        <n v="650.0"/>
        <n v="768.0"/>
        <n v="242.0"/>
        <n v="895.0"/>
        <n v="775.0"/>
        <n v="884.0"/>
        <n v="662.0"/>
        <n v="717.0"/>
        <n v="676.0"/>
        <n v="572.0"/>
        <n v="402.0"/>
        <n v="690.0"/>
        <n v="646.0"/>
        <n v="600.0"/>
        <n v="637.0"/>
        <n v="782.0"/>
        <n v="702.0"/>
        <n v="653.0"/>
        <n v="522.0"/>
        <n v="760.0"/>
        <n v="679.0"/>
        <n v="340.0"/>
        <n v="701.0"/>
        <n v="577.0"/>
        <n v="663.0"/>
        <n v="823.0"/>
        <n v="887.0"/>
        <n v="698.0"/>
        <n v="557.0"/>
        <n v="910.0"/>
        <n v="917.0"/>
        <n v="566.0"/>
        <n v="673.0"/>
        <n v="905.0"/>
        <n v="708.0"/>
        <n v="789.0"/>
        <n v="776.0"/>
        <n v="935.0"/>
        <n v="759.0"/>
        <n v="918.0"/>
        <n v="388.0"/>
        <n v="971.0"/>
        <n v="688.0"/>
        <n v="518.0"/>
        <n v="622.0"/>
        <n v="798.0"/>
        <n v="927.0"/>
        <n v="630.0"/>
        <n v="362.0"/>
        <n v="691.0"/>
        <n v="593.0"/>
        <n v="750.0"/>
        <n v="649.0"/>
        <n v="874.0"/>
        <n v="686.0"/>
        <n v="578.0"/>
        <n v="946.0"/>
        <n v="443.0"/>
        <n v="856.0"/>
        <n v="921.0"/>
        <n v="831.0"/>
        <n v="449.0"/>
        <n v="800.0"/>
        <n v="585.0"/>
        <n v="421.0"/>
        <n v="501.0"/>
        <n v="715.0"/>
        <n v="727.0"/>
        <n v="532.0"/>
        <n v="843.0"/>
        <n v="724.0"/>
        <n v="756.0"/>
        <n v="804.0"/>
        <n v="471.0"/>
        <n v="-11.0"/>
        <n v="841.0"/>
        <n v="693.0"/>
        <n v="470.0"/>
        <n v="666.0"/>
        <n v="277.0"/>
        <n v="553.0"/>
        <n v="351.0"/>
        <n v="611.0"/>
        <n v="672.0"/>
        <n v="-1.0"/>
        <n v="683.0"/>
        <n v="862.0"/>
        <n v="634.0"/>
        <n v="803.0"/>
        <n v="655.0"/>
        <n v="334.0"/>
        <n v="704.0"/>
        <n v="903.0"/>
        <n v="875.0"/>
        <n v="360.0"/>
        <n v="729.0"/>
        <n v="525.0"/>
        <n v="749.0"/>
        <n v="692.0"/>
        <n v="-2.0"/>
        <n v="541.0"/>
        <n v="-9.0"/>
        <n v="678.0"/>
        <n v="684.0"/>
        <n v="643.0"/>
        <n v="695.0"/>
        <n v="920.0"/>
        <n v="832.0"/>
        <n v="-6.0"/>
        <n v="372.0"/>
        <n v="824.0"/>
        <n v="730.0"/>
        <n v="742.0"/>
        <n v="834.0"/>
        <n v="855.0"/>
        <n v="799.0"/>
        <n v="639.0"/>
        <n v="633.0"/>
        <n v="878.0"/>
        <n v="441.0"/>
        <n v="584.0"/>
        <n v="807.0"/>
        <m/>
      </sharedItems>
    </cacheField>
    <cacheField name="category_1" numFmtId="0">
      <sharedItems containsBlank="1">
        <s v="Fiction"/>
        <s v="History"/>
        <s v="Self-Help"/>
        <s v="Sports"/>
        <s v="Law"/>
        <s v="Tech"/>
        <s v="Finance"/>
        <s v="Arts"/>
        <s v="Medical"/>
        <m/>
      </sharedItems>
    </cacheField>
    <cacheField name="category_2" numFmtId="0">
      <sharedItems containsBlank="1">
        <s v="Literary Fiction"/>
        <s v="Mystery"/>
        <s v="Thriller"/>
        <s v="Crime"/>
        <s v="Fantasy"/>
        <s v="Epic Fantasy"/>
        <s v="Urban Fantasy"/>
        <s v="Science Fiction"/>
        <s v="Dystopian"/>
        <s v="Adventure"/>
        <s v="Historical Fiction"/>
        <s v="Romance"/>
        <s v="Romantic Comedy"/>
        <s v="Horror"/>
        <s v="Paranormal"/>
        <s v="Young Adult Fiction"/>
        <s v="Ancient History"/>
        <s v="Medieval History"/>
        <s v="Early Modern History"/>
        <s v="Modern History"/>
        <s v="World War I"/>
        <s v="World War II"/>
        <s v="Cold War"/>
        <s v="Military History"/>
        <s v="Economic History"/>
        <s v="Political History"/>
        <s v="Cultural History"/>
        <s v="Social History"/>
        <s v="History of Science"/>
        <s v="History of Technology"/>
        <s v="Personal Development"/>
        <s v="Productivity"/>
        <s v="Time Management"/>
        <s v="Habits"/>
        <s v="Motivation"/>
        <s v="Mindfulness"/>
        <s v="Stress Management"/>
        <s v="Communication Skills"/>
        <s v="Leadership"/>
        <s v="Decision Making"/>
        <s v="Emotional Intelligence"/>
        <s v="Career Development"/>
        <s v="Life Planning"/>
        <s v="Confidence Building"/>
        <s v="Football"/>
        <s v="Basketball"/>
        <s v="Tennis"/>
        <s v="Athletics"/>
        <s v="Cycling"/>
        <s v="Swimming"/>
        <s v="Running"/>
        <s v="Fitness Training"/>
        <s v="Coaching"/>
        <s v="Sports Psychology"/>
        <s v="Sports Nutrition"/>
        <s v="Extreme Sports"/>
        <s v="Winter Sports"/>
        <s v="Constitutional Law"/>
        <s v="Criminal Law"/>
        <s v="Civil Law"/>
        <s v="Commercial Law"/>
        <s v="Corporate Law"/>
        <s v="International Law"/>
        <s v="Human Rights Law"/>
        <s v="Intellectual Property Law"/>
        <s v="Environmental Law"/>
        <s v="Labor Law"/>
        <s v="Tax Law"/>
        <s v="Legal Theory"/>
        <s v="Legal Practice"/>
        <s v="Programming"/>
        <s v="Web Development"/>
        <s v="Mobile Development"/>
        <s v="Software Engineering"/>
        <s v="Data Science"/>
        <s v="Artificial Intelligence"/>
        <s v="Machine Learning"/>
        <s v="Cybersecurity"/>
        <s v="Cloud Computing"/>
        <s v="DevOps"/>
        <s v="Databases"/>
        <s v="Networking"/>
        <s v="Blockchain"/>
        <s v="Game Development"/>
        <s v="UI/UX Design"/>
        <s v="Personal Finance"/>
        <s v="Investing"/>
        <s v="Stock Market"/>
        <s v="Cryptocurrency"/>
        <s v="Banking"/>
        <s v="Corporate Finance"/>
        <s v="Financial Analysis"/>
        <s v="Financial Modeling"/>
        <s v="Risk Management"/>
        <s v="Derivatives"/>
        <s v="Portfolio Management"/>
        <s v="Venture Capital"/>
        <s v="Private Equity"/>
        <s v="Painting"/>
        <s v="Drawing"/>
        <s v="Sculpture"/>
        <s v="Photography"/>
        <s v="Graphic Design"/>
        <s v="Illustration"/>
        <s v="Digital Art"/>
        <s v="Art History"/>
        <s v="Architecture"/>
        <s v="Fashion Design"/>
        <s v="Interior Design"/>
        <s v="Film Studies"/>
        <s v="Theatre"/>
        <s v="Music"/>
        <s v="Anatomy"/>
        <s v="Physiology"/>
        <s v="Pathology"/>
        <s v="Pharmacology"/>
        <s v="Surgery"/>
        <s v="Pediatrics"/>
        <s v="Neurology"/>
        <s v="Psychiatry"/>
        <s v="Public Health"/>
        <s v="Medical Research"/>
        <m/>
      </sharedItems>
    </cacheField>
    <cacheField name="category_3" numFmtId="0">
      <sharedItems containsBlank="1">
        <s v="Blue Oak Publishing"/>
        <s v="Silver Leaf Press"/>
        <s v="Northbridge Books"/>
        <s v="Riverstone Publishing"/>
        <s v="Golden Quill Press"/>
        <s v="Harbor Light Books"/>
        <s v="Ironwood Publishing"/>
        <s v="Maple Grove Press"/>
        <s v="Cedar Hill Books"/>
        <s v="Willow Creek Publishing"/>
        <s v="Bright Horizon Press"/>
        <s v="Evergreen House"/>
        <m/>
        <s v="Redwood Publishing"/>
        <s v="Crown Gate Press"/>
        <s v="Aurora Book House"/>
        <s v="Summit Ridge Press"/>
        <s v="Pioneer Books"/>
        <s v="Liberty Hill Publishing"/>
        <s v="Morning Star Press"/>
        <s v="Westbridge Books"/>
        <s v="Oakridge Publishing"/>
        <s v="North Star Books"/>
        <s v="White River Press"/>
        <s v="Sunset Harbor Publishing"/>
        <s v="Green Valley Books"/>
        <s v="Heritage Lane Press"/>
        <s v="Fox Hollow Publishing"/>
        <s v="Clearwater Books"/>
        <s v="Lighthouse Press"/>
        <s v="Timberline Publishing"/>
        <s v="Silver Harbor Books"/>
        <s v="Windfall Press"/>
        <s v="Red Lantern Publishing"/>
        <s v="Iron Gate Books"/>
        <s v="Blue Harbor Press"/>
        <s v="Crescent Moon Publishing"/>
        <s v="Copper Hill Books"/>
        <s v="Grand Oak Press"/>
        <s v="Atlas Ridge Publishing"/>
        <s v="Beacon House Books"/>
        <s v="Golden Harbor Press"/>
        <s v="Frontier Publishing"/>
        <s v="New Dawn Books"/>
        <s v="Everlight Press"/>
        <s v="Broadway Hill Publishing"/>
        <s v="Horizon Peak Books"/>
        <s v="Crystal River Press"/>
        <s v="Summit House Publishing"/>
        <s v="Great Plains Books"/>
        <s v="Old Town Press"/>
        <s v="Lakeside Publishing"/>
        <s v="Forest Gate Books"/>
        <s v="Sunrise Hill Press"/>
        <s v="Open Road Publishing"/>
        <s v="Skyline Books"/>
        <s v="Red Bridge Press"/>
        <s v="Highland Peak Publishing"/>
        <s v="Silver Ridge Books"/>
        <s v="Mountain Path Press"/>
        <s v="Starfall Publishing"/>
        <s v="Deep River Books"/>
        <s v="Grand Harbor Press"/>
        <s v="Blue Ridge Publishing"/>
        <s v="Northern Sky Books"/>
        <s v="Harbor Gate Press"/>
        <s v="Springfield Publishing"/>
        <s v="Golden Ridge Books"/>
        <s v="Stone Harbor Press"/>
        <s v="Bright Sky Publishing"/>
        <s v="Oakwood Books"/>
        <s v="Riverbend Press"/>
        <s v="Western Trail Publishing"/>
        <s v="Urban Lantern Books"/>
        <s v="Iron Ridge Press"/>
        <s v="Liberty Bridge Publishing"/>
        <s v="Heritage Harbor Books"/>
        <s v="Suncrest Press"/>
        <s v="White Oak Publishing"/>
        <s v="Frontline Books"/>
        <s v="Pinnacle Ridge Press"/>
        <s v="True North Publishing"/>
        <s v="Grand Valley Books"/>
        <s v="Copper Harbor Press"/>
        <s v="New Frontier Publishing"/>
        <s v="Silver Crown Books"/>
        <s v="Lighthouse Ridge Press"/>
        <s v="Blue Summit Publishing"/>
        <s v="Timber Creek Books"/>
        <s v="Crystal Peak Press"/>
        <s v="Westwind Publishing"/>
        <s v="Golden Valley Books"/>
        <s v="Riverlight Press"/>
        <s v="Ironwood Ridge Publishing"/>
        <s v="Northfield Books"/>
        <s v="Cedar Grove Press"/>
        <s v="Brightwater Publishing"/>
        <s v="Old Harbor Books"/>
        <s v="Redwood Ridge Press"/>
        <s v="Skybridge Publishing"/>
        <s v="Aurora Ridge Books"/>
        <s v="Summit Harbor Press"/>
        <s v="Liberty Grove Publishing"/>
        <s v="Grand Summit Books"/>
        <s v="Evergreen Ridge Press"/>
        <s v="Highland Grove Publishing"/>
        <s v="Pioneer Ridge Books"/>
        <s v="Star Harbor Press"/>
        <s v="Silver Valley Publishing"/>
        <s v="North Harbor Books"/>
        <s v="Riverstone Ridge Press"/>
        <s v="Golden Peak Publishing"/>
        <s v="Crown Ridge Books"/>
        <s v="Sunset Ridge Press"/>
        <s v="Blue Horizon Publishing"/>
        <s v="Timber Ridge Books"/>
        <s v="Aurora Harbor Press"/>
        <s v="Crystal Harbor Publishing"/>
        <s v="Beacon Ridge Books"/>
        <s v="Atlas Harbor Press"/>
        <s v="Frontier Ridge Publishing"/>
        <s v="Grand Harbor Books"/>
        <s v="Silver Gate Press"/>
        <s v="Heritage Ridge Publishing"/>
        <s v="Rivergate Publishing"/>
        <s v="Stonepath Books"/>
        <s v="Greenfield Press"/>
        <s v="Silverfield Publishing"/>
        <s v="Northgate Books"/>
        <s v="Harborstone Press"/>
        <s v="Cedarstone Publishing"/>
        <s v="Brightfield Books"/>
        <s v="Oakfield Press"/>
        <s v="Riverfield Publishing"/>
        <s v="Ironfield Books"/>
        <s v="Silverpath Press"/>
        <s v="Northpath Publishing"/>
        <s v="Harborpath Books"/>
        <s v="Cedarpath Press"/>
        <s v="Brightpath Publishing"/>
        <s v="Oakpath Books"/>
        <s v="Riverpath Press"/>
        <s v="Ironpath Publishing"/>
        <s v="Silvercrest Books"/>
        <s v="Northcrest Press"/>
        <s v="Harborcrest Publishing"/>
        <s v="Cedarcrest Books"/>
        <s v="Brightcrest Press"/>
        <s v="Oakcrest Publishing"/>
        <s v="Rivercrest Books"/>
        <s v="Ironcrest Press"/>
        <s v="Silverbrook Publishing"/>
        <s v="Northbrook Books"/>
        <s v="Harborbrook Press"/>
        <s v="Cedarbrook Publishing"/>
        <s v="Brightbrook Books"/>
        <s v="Oakbrook Press"/>
        <s v="Riverbrook Publishing"/>
        <s v="Ironbrook Books"/>
        <s v="Silverstone Press"/>
        <s v="Northstone Publishing"/>
        <s v="Harborstone Books"/>
        <s v="Cedarstone Press"/>
        <s v="Brightstone Publishing"/>
        <s v="Oakstone Books"/>
        <s v="Riverstone Press"/>
        <s v="Ironstone Publishing"/>
        <s v="Silverridge Books"/>
        <s v="Northridge Press"/>
        <s v="Harborridge Publishing"/>
        <s v="Cedarridge Books"/>
        <s v="Brightridge Press"/>
        <s v="Riverridge Books"/>
        <s v="Ironridge Press"/>
        <s v="Silverpeak Publishing"/>
        <s v="Northpeak Books"/>
        <s v="Harborpeak Press"/>
        <s v="Cedarpeak Publishing"/>
        <s v="Brightpeak Books"/>
        <s v="Oakpeak Press"/>
        <s v="Riverpeak Publishing"/>
        <s v="Ironpeak Books"/>
        <s v="Silvertrail Press"/>
        <s v="Northtrail Publishing"/>
        <s v="Harbortrail Books"/>
        <s v="Cedartrail Press"/>
        <s v="Brighttrail Publishing"/>
        <s v="Oaktrail Books"/>
        <s v="Rivertrail Press"/>
        <s v="Irontrail Publishing"/>
        <s v="Silverfield Books"/>
        <s v="Northfield Press"/>
        <s v="Harborfield Publishing"/>
        <s v="Cedarfield Books"/>
        <s v="Brightfield Press"/>
        <s v="Oakfield Publishing"/>
        <s v="Riverfield Books"/>
        <s v="Ironfield Press"/>
        <s v="Silverlane Publishing"/>
        <s v="Northlane Books"/>
        <s v="Harborlane Press"/>
        <s v="Cedarlane Publishing"/>
        <s v="Brightlane Books"/>
        <s v="Oaklane Press"/>
        <s v="Riverlane Publishing"/>
        <s v="Ironlane Books"/>
        <s v="Silverway Press"/>
        <s v="Northway Publishing"/>
        <s v="Harborway Books"/>
        <s v="Cedarway Press"/>
        <s v="Brightway Publishing"/>
        <s v="Oakway Books"/>
        <s v="Riverway Press"/>
        <s v="Ironway Publishing"/>
        <s v="Silverbridge Books"/>
        <s v="Northbridge Press"/>
        <s v="Harborbridge Publishing"/>
        <s v="Cedarbridge Books"/>
        <s v="Brightbridge Press"/>
        <s v="Oakbridge Publishing"/>
        <s v="Riverbridge Books"/>
        <s v="Ironbridge Press"/>
        <s v="Silvergrove Publishing"/>
        <s v="Northgrove Books"/>
        <s v="Harborgrove Press"/>
        <s v="Cedargrove Publishing"/>
        <s v="Brightgrove Books"/>
        <s v="Oakgrove Press"/>
        <s v="Rivergrove Publishing"/>
        <s v="Irongrove Books"/>
        <s v="Silverhill Press"/>
        <s v="Northhill Publishing"/>
        <s v="Harborhill Books"/>
        <s v="Cedarhill Press"/>
        <s v="Brighthill Publishing"/>
        <s v="Oakhill Books"/>
        <s v="Riverhill Press"/>
        <s v="Ironhill Publishing"/>
        <s v="Silverpoint Books"/>
        <s v="Northpoint Press"/>
        <s v="Harborpoint Publishing"/>
        <s v="Cedarpoint Books"/>
        <s v="Brightpoint Press"/>
        <s v="Oakpoint Publishing"/>
        <s v="Riverpoint Books"/>
        <s v="Ironpoint Press"/>
        <s v="Silverlight Publishing"/>
        <s v="Northlight Books"/>
        <s v="Harborlight Press"/>
        <s v="Cedarlight Publishing"/>
        <s v="Brightlight Books"/>
        <s v="Oaklight Press"/>
        <s v="Riverlight Publishing"/>
        <s v="Ironlight Books"/>
        <s v="Silverwind Press"/>
        <s v="Northwind Publishing"/>
        <s v="Harborwind Books"/>
        <s v="Cedarwind Press"/>
        <s v="Brightwind Publishing"/>
        <s v="Oakwind Books"/>
        <s v="Riverwind Press"/>
        <s v="Ironwind Publishing"/>
        <s v="Silvergate Books"/>
        <s v="Northgate Press"/>
        <s v="Harborgate Publishing"/>
        <s v="Cedargate Books"/>
        <s v="Brightgate Press"/>
        <s v="Oakgate Publishing"/>
        <s v="Rivergate Books"/>
        <s v="Irongate Press"/>
        <s v="Silverforge Publishing"/>
        <s v="Northforge Books"/>
        <s v="Harborforge Press"/>
        <s v="Cedarforge Publishing"/>
        <s v="Brightforge Books"/>
        <s v="Oakforge Press"/>
        <s v="Riverforge Publishing"/>
        <s v="Ironforge Books"/>
        <s v="Silvercrest House"/>
        <s v="Northcrest House"/>
        <s v="Harborcrest House"/>
        <s v="Cedarcrest House"/>
        <s v="Brightcrest House"/>
        <s v="Oakcrest House"/>
        <s v="Rivercrest House"/>
        <s v="Ironcrest House"/>
        <s v="Silverline Publishing"/>
        <s v="Northline Books"/>
        <s v="Harborline Press"/>
        <s v="Cedarline Publishing"/>
        <s v="Brightline Books"/>
        <s v="Oakline Press"/>
        <s v="Riverline Publishing"/>
        <s v="Ironline Books"/>
        <s v="Silvermark Press"/>
        <s v="Northmark Publishing"/>
        <s v="Harbormark Books"/>
        <s v="Cedarmark Press"/>
        <s v="Brightmark Publishing"/>
        <s v="Oakmark Books"/>
        <s v="Rivermark Press"/>
        <s v="Ironmark Publishing"/>
        <s v="Silvergate House"/>
        <s v="Northgate House"/>
        <s v="Harborgate House"/>
        <s v="Cedargate House"/>
        <s v="Brightgate House"/>
        <s v="Oakgate House"/>
        <s v="Rivergate House"/>
        <s v="Irongate House"/>
        <s v="Silvertree Press"/>
        <s v="Northtree Publishing"/>
        <s v="Harbortree Books"/>
        <s v="Cedartree Press"/>
        <s v="Brighttree Publishing"/>
        <s v="Oaktree Books"/>
        <s v="Rivertree Press"/>
        <s v="Irontree Publishing"/>
        <s v="Silverstone House"/>
        <s v="Northstone House"/>
        <s v="Harborstone House"/>
        <s v="Cedarstone House"/>
        <s v="Brightstone House"/>
        <s v="Oakstone House"/>
        <s v="Riverstone House"/>
        <s v="Ironstone House"/>
        <s v="Silverhill House"/>
        <s v="Northhill House"/>
        <s v="Harborhill House"/>
        <s v="Cedarhill House"/>
        <s v="Brighthill House"/>
        <s v="Oakhill House"/>
        <s v="Riverhill House"/>
        <s v="Ironhill House"/>
        <s v="Silverpeak House"/>
        <s v="Northpeak House"/>
        <s v="Harborpeak House"/>
        <s v="Cedarpeak House"/>
        <s v="Brightpeak House"/>
        <s v="Oakpeak House"/>
        <s v="Riverpeak House"/>
        <s v="Ironpeak House"/>
        <s v="Silvertrail House"/>
        <s v="Northtrail House"/>
        <s v="Harbortrail House"/>
        <s v="Cedartrail House"/>
        <s v="Brighttrail House"/>
        <s v="Oaktrail House"/>
        <s v="Rivertrail House"/>
        <s v="Irontrail House"/>
        <s v="Silverbrook House"/>
        <s v="Northbrook House"/>
        <s v="Harborbrook House"/>
        <s v="Cedarbrook House"/>
        <s v="Brightbrook House"/>
        <s v="Oakbrook House"/>
        <s v="Riverbrook House"/>
        <s v="Ironbrook House"/>
        <s v="Silverlight House"/>
        <s v="Northlight House"/>
        <s v="Harborlight House"/>
        <s v="Cedarlight House"/>
        <s v="Brightlight House"/>
        <s v="Oaklight House"/>
        <s v="Riverlight House"/>
        <s v="Ironlight House"/>
        <s v="Silverwind House"/>
        <s v="Northwind House"/>
        <s v="Harborwind House"/>
        <s v="Cedarwind House"/>
        <s v="Brightwind House"/>
        <s v="Oakwind House"/>
        <s v="Riverwind House"/>
        <s v="Ironwind House"/>
        <s v="Silverbridge House"/>
        <s v="Northbridge House"/>
        <s v="Harborbridge House"/>
        <s v="Cedarbridge House"/>
        <s v="Brightbridge House"/>
        <s v="Oakbridge House"/>
        <s v="Riverbridge House"/>
        <s v="Ironbridge House"/>
        <s v="Silvergrove House"/>
        <s v="Northgrove House"/>
        <s v="Harborgrove House"/>
        <s v="Cedargrove House"/>
        <s v="Brightgrove House"/>
        <s v="Oakgrove House"/>
        <s v="Rivergrove House"/>
        <s v="Irongrove House"/>
        <s v="Silverpoint House"/>
        <s v="Northpoint House"/>
        <s v="Harborpoint House"/>
        <s v="Cedarpoint House"/>
        <s v="Brightpoint House"/>
        <s v="Oakpoint House"/>
        <s v="Riverpoint House"/>
        <s v="Ironpoint House"/>
        <s v="Silverfield House"/>
        <s v="Northfield House"/>
        <s v="Harborfield House"/>
        <s v="Cedarfield House"/>
        <s v="Brightfield House"/>
        <s v="Oakfield House"/>
        <s v="Riverfield House"/>
        <s v="Ironfield House"/>
        <s v="Silverlane House"/>
        <s v="Northlane House"/>
        <s v="Harborlane House"/>
        <s v="Cedarlane House"/>
        <s v="Brightlane House"/>
        <s v="Oaklane House"/>
        <s v="Riverlane House"/>
        <s v="Ironlane House"/>
        <s v="Silverway House"/>
        <s v="Northway House"/>
        <s v="Harborway House"/>
        <s v="Cedarway House"/>
        <s v="Brightway House"/>
        <s v="Oakway House"/>
        <s v="Riverway House"/>
        <s v="Ironway House"/>
        <s v="Silvermark House"/>
        <s v="Northmark House"/>
        <s v="Harbormark House"/>
        <s v="Cedarmark House"/>
        <s v="Brightmark House"/>
        <s v="Oakmark House"/>
        <s v="Rivermark House"/>
        <s v="Ironmark House"/>
        <s v="Silvertree House"/>
        <s v="Northtree House"/>
        <s v="Harbortree House"/>
        <s v="Cedartree House"/>
        <s v="Brighttree House"/>
        <s v="Oaktree House"/>
        <s v="Rivertree House"/>
        <s v="Irontree House"/>
        <s v="Silverforge House"/>
        <s v="Northforge House"/>
        <s v="Harborforge House"/>
        <s v="Cedarforge House"/>
        <s v="Brightforge House"/>
        <s v="Oakforge House"/>
        <s v="Riverforge House"/>
        <s v="Ironforge House"/>
        <s v="Northpeak Publishing"/>
        <s v="Harborpeak Publishing"/>
        <s v="Brightpeak Publishing"/>
        <s v="Oakpeak Publishing"/>
        <s v="Ironpeak Publishing"/>
        <s v="Silvercrest Publishing"/>
        <s v="Northcrest Publishing"/>
        <s v="Cedarcrest Publishing"/>
        <s v="Brightcrest Publishing"/>
        <s v="Rivercrest Publishing"/>
        <s v="Ironcrest Publishing"/>
        <s v="Silverbrook Publishing House"/>
        <s v="Northbrook Publishing House"/>
        <s v="Harborbrook Publishing House"/>
        <s v="Cedarbrook Publishing House"/>
        <s v="Brightbrook Publishing House"/>
        <s v="Oakbrook Publishing House"/>
        <s v="Riverbrook Publishing House"/>
        <s v="Ironbrook Publishing House"/>
        <s v="Silvergate Publishing House"/>
        <s v="Northgate Publishing House"/>
        <s v="Harborgate Publishing House"/>
        <s v="Cedargate Publishing House"/>
        <s v="Brightgate Publishing House"/>
        <s v="Oakgate Publishing House"/>
        <s v="Rivergate Publishing House"/>
        <s v="Irongate Publishing House"/>
        <s v="Silverwind Publishing House"/>
        <s v="Northwind Publishing House"/>
        <s v="Harborwind Publishing House"/>
        <s v="Cedarwind Publishing House"/>
        <s v="Brightwind Publishing House"/>
        <s v="Oakwind Publishing House"/>
        <s v="Riverwind Publishing House"/>
        <s v="Ironwind Publishing House"/>
        <s v="Silverlight Publishing House"/>
        <s v="Northlight Publishing House"/>
        <s v="Harborlight Publishing House"/>
        <s v="Cedarlight Publishing House"/>
        <s v="Brightlight Publishing House"/>
        <s v="Oaklight Publishing House"/>
        <s v="Riverlight Publishing House"/>
        <s v="Ironlight Publishing House"/>
        <s v="Silverstone Publishing House"/>
        <s v="Northstone Publishing House"/>
        <s v="Harborstone Publishing House"/>
        <s v="Cedarstone Publishing House"/>
        <s v="Brightstone Publishing House"/>
        <s v="Oakstone Publishing House"/>
        <s v="Riverstone Publishing House"/>
        <s v="Ironstone Publishing House"/>
        <s v="Silverbridge Publishing House"/>
        <s v="Northbridge Publishing House"/>
        <s v="Harborbridge Publishing House"/>
        <s v="Cedarbridge Publishing House"/>
        <s v="Brightbridge Publishing House"/>
        <s v="Oakbridge Publishing House"/>
        <s v="Riverbridge Publishing House"/>
        <s v="Ironbridge Publishing House"/>
        <s v="Claytime Books"/>
        <s v="Bulunamadı"/>
      </sharedItems>
    </cacheField>
    <cacheField name="pp_cat">
      <sharedItems containsBlank="1" containsMixedTypes="1" containsNumber="1">
        <n v="2.16"/>
        <n v="0.93"/>
        <n v="1.07"/>
        <n v="8.9"/>
        <n v="8.84"/>
        <n v="4.89"/>
        <n v="1.94"/>
        <n v="1.77"/>
        <n v="2.88"/>
        <n v="1.83"/>
        <n v="4.04"/>
        <n v="1.5"/>
        <n v="2.65"/>
        <n v="2.04"/>
        <n v="3.23"/>
        <n v="4.72"/>
        <n v="6.05"/>
        <n v="3.86"/>
        <n v="2.31"/>
        <n v="7.35"/>
        <n v="7.02"/>
        <n v="2.69"/>
        <n v="1.89"/>
        <n v="2.39"/>
        <n v="2.93"/>
        <n v="2.02"/>
        <n v="2.66"/>
        <n v="4.35"/>
        <n v="3.33"/>
        <n v="4.12"/>
        <n v="12.34"/>
        <n v="4.2"/>
        <n v="4.05"/>
        <n v="12.24"/>
        <n v="8.54"/>
        <n v="12.08"/>
        <n v="11.06"/>
        <n v="6.52"/>
        <n v="7.19"/>
        <n v="6.25"/>
        <n v="10.64"/>
        <n v="7.29"/>
        <n v="11.11"/>
        <n v="11.53"/>
        <n v="8.85"/>
        <n v="6.99"/>
        <n v="8.8"/>
        <n v="8.45"/>
        <n v="8.46"/>
        <n v="11.73"/>
        <n v="6.76"/>
        <n v="8.75"/>
        <n v="12.18"/>
        <n v="8.81"/>
        <n v="3.05"/>
        <n v="5.24"/>
        <n v="3.53"/>
        <n v="3.72"/>
        <n v="6.35"/>
        <n v="4.3"/>
        <n v="3.55"/>
        <n v="2.33"/>
        <n v="3.0"/>
        <n v="3.02"/>
        <n v="2.63"/>
        <n v="2.13"/>
        <n v="4.21"/>
        <n v="3.5"/>
        <n v="4.41"/>
        <n v="2.29"/>
        <n v="4.19"/>
        <n v="3.99"/>
        <n v="5.27"/>
        <n v="5.32"/>
        <n v="4.74"/>
        <n v="5.05"/>
        <n v="2.95"/>
        <n v="1.92"/>
        <n v="6.07"/>
        <n v="3.58"/>
        <n v="5.07"/>
        <n v="4.47"/>
        <n v="3.36"/>
        <n v="3.16"/>
        <n v="4.55"/>
        <n v="5.48"/>
        <n v="4.66"/>
        <n v="5.21"/>
        <n v="3.3"/>
        <n v="2.49"/>
        <n v="12.97"/>
        <n v="18.29"/>
        <n v="13.46"/>
        <n v="14.78"/>
        <n v="14.14"/>
        <n v="1.2"/>
        <n v="2.86"/>
        <n v="1.44"/>
        <n v="1.56"/>
        <n v="1.05"/>
        <n v="1.4"/>
        <n v="3.46"/>
        <n v="7.2"/>
        <n v="1.21"/>
        <n v="1.6"/>
        <n v="1.54"/>
        <n v="1.61"/>
        <n v="1.38"/>
        <n v="13.99"/>
        <n v="5.01"/>
        <n v="4.79"/>
        <n v="4.64"/>
        <n v="12.79"/>
        <n v="9.72"/>
        <n v="15.19"/>
        <n v="11.94"/>
        <n v="14.68"/>
        <n v="21.78"/>
        <n v="19.88"/>
        <n v="28.77"/>
        <n v="21.97"/>
        <n v="6.41"/>
        <n v="6.98"/>
        <n v="13.25"/>
        <n v="46.56"/>
        <n v="21.92"/>
        <n v="15.81"/>
        <n v="15.97"/>
        <n v="16.07"/>
        <n v="12.76"/>
        <n v="15.18"/>
        <n v="10.67"/>
        <n v="16.14"/>
        <n v="8.74"/>
        <n v="12.35"/>
        <n v="12.37"/>
        <n v="11.15"/>
        <n v="14.24"/>
        <n v="8.01"/>
        <n v="9.35"/>
        <n v="9.6"/>
        <n v="8.08"/>
        <n v="9.28"/>
        <n v="10.29"/>
        <n v="13.47"/>
        <n v="6.09"/>
        <n v="9.63"/>
        <n v="10.53"/>
        <n v="8.31"/>
        <n v="13.55"/>
        <n v="6.43"/>
        <n v="4.92"/>
        <n v="32.73"/>
        <n v="4.9"/>
        <n v="12.15"/>
        <n v="5.19"/>
        <n v="13.87"/>
        <n v="12.67"/>
        <n v="9.03"/>
        <n v="7.96"/>
        <n v="13.32"/>
        <n v="4.84"/>
        <n v="6.88"/>
        <n v="6.2"/>
        <n v="5.8"/>
        <n v="5.78"/>
        <n v="14.08"/>
        <n v="8.17"/>
        <n v="5.13"/>
        <n v="6.71"/>
        <n v="5.9"/>
        <n v="2.46"/>
        <n v="1.15"/>
        <n v="3.09"/>
        <n v="2.06"/>
        <n v="2.0"/>
        <n v="2.35"/>
        <n v="2.01"/>
        <n v="2.64"/>
        <n v="3.01"/>
        <n v="1.98"/>
        <n v="3.25"/>
        <n v="2.84"/>
        <n v="0.45"/>
        <n v="3.21"/>
        <n v="1.73"/>
        <n v="1.29"/>
        <n v="4.23"/>
        <n v="1.9"/>
        <n v="2.48"/>
        <n v="1.97"/>
        <n v="1.87"/>
        <n v="2.1"/>
        <n v="2.11"/>
        <n v="1.34"/>
        <n v="9.47"/>
        <n v="3.26"/>
        <n v="7.39"/>
        <n v="1.8"/>
        <n v="1.95"/>
        <n v="2.62"/>
        <n v="2.08"/>
        <n v="1.55"/>
        <n v="1.18"/>
        <n v="7.75"/>
        <n v="2.4"/>
        <n v="1.71"/>
        <n v="6.81"/>
        <n v="4.53"/>
        <n v="1.53"/>
        <n v="1.59"/>
        <n v="1.26"/>
        <n v="35.48"/>
        <n v="4.18"/>
        <n v="1.65"/>
        <n v="2.03"/>
        <n v="2.36"/>
        <n v="8.73"/>
        <n v="1.88"/>
        <n v="32.34"/>
        <n v="1.22"/>
        <n v="3.69"/>
        <n v="1.66"/>
        <n v="2.18"/>
        <n v="2.21"/>
        <n v="4.52"/>
        <n v="5.57"/>
        <n v="5.31"/>
        <n v="4.7"/>
        <n v="7.98"/>
        <n v="9.12"/>
        <n v="2.47"/>
        <n v="4.36"/>
        <n v="8.92"/>
        <n v="5.81"/>
        <n v="5.67"/>
        <n v="2.12"/>
        <n v="4.6"/>
        <n v="9.34"/>
        <n v="0.75"/>
        <n v="0.66"/>
        <n v="9.44"/>
        <n v="1.24"/>
        <n v="1.03"/>
        <n v="1.68"/>
        <n v="1.36"/>
        <n v="5.42"/>
        <n v="4.85"/>
        <n v="5.98"/>
        <n v="6.8"/>
        <n v="5.47"/>
        <n v="5.43"/>
        <n v="2.26"/>
        <n v="3.67"/>
        <n v="3.45"/>
        <n v="6.12"/>
        <n v="6.33"/>
        <n v="4.03"/>
        <n v="6.19"/>
        <n v="7.77"/>
        <n v="5.56"/>
        <n v="3.17"/>
        <n v="2.85"/>
        <n v="10.34"/>
        <n v="2.71"/>
        <n v="8.51"/>
        <n v="4.33"/>
        <n v="3.43"/>
        <n v="3.13"/>
        <n v="3.85"/>
        <n v="4.57"/>
        <n v="3.04"/>
        <n v="3.82"/>
        <n v="2.5"/>
        <n v="3.9"/>
        <n v="4.86"/>
        <n v="3.61"/>
        <n v="5.61"/>
        <n v="4.25"/>
        <n v="2.82"/>
        <n v="2.77"/>
        <n v="2.92"/>
        <n v="4.29"/>
        <n v="3.71"/>
        <n v="4.97"/>
        <n v="7.56"/>
        <n v="4.1"/>
        <n v="2.37"/>
        <n v="5.84"/>
        <n v="4.76"/>
        <n v="3.34"/>
        <n v="6.89"/>
        <n v="6.9"/>
        <n v="4.61"/>
        <n v="2.74"/>
        <n v="3.62"/>
        <n v="4.24"/>
        <n v="0.94"/>
        <n v="0.99"/>
        <n v="1.99"/>
        <n v="2.38"/>
        <n v="4.38"/>
        <n v="2.7"/>
        <n v="0.88"/>
        <n v="2.45"/>
        <n v="1.48"/>
        <n v="4.43"/>
        <n v="0.68"/>
        <n v="0.72"/>
        <n v="4.22"/>
        <n v="2.15"/>
        <n v="1.91"/>
        <n v="3.68"/>
        <n v="1.27"/>
        <n v="2.9"/>
        <n v="3.29"/>
        <n v="1.85"/>
        <n v="1.3"/>
        <n v="1.43"/>
        <n v="2.51"/>
        <n v="1.78"/>
        <n v="4.96"/>
        <n v="4.07"/>
        <n v="1.57"/>
        <n v="3.06"/>
        <n v="5.3"/>
        <n v="1.67"/>
        <n v="2.75"/>
        <n v="2.67"/>
        <n v="3.56"/>
        <n v="2.58"/>
        <n v="4.81"/>
        <n v="1.14"/>
        <n v="4.56"/>
        <n v="1.82"/>
        <n v="4.14"/>
        <n v="2.76"/>
        <n v="3.64"/>
        <n v="3.38"/>
        <n v="5.02"/>
        <n v="1.52"/>
        <n v="3.27"/>
        <n v="3.31"/>
        <n v="2.87"/>
        <n v="1.39"/>
        <n v="7.06"/>
        <n v="2.6"/>
        <n v="2.23"/>
        <n v="2.28"/>
        <n v="3.73"/>
        <n v="3.15"/>
        <n v="3.84"/>
        <n v="4.15"/>
        <n v="1.74"/>
        <n v="2.97"/>
        <n v="5.2"/>
        <n v="1.37"/>
        <n v="2.57"/>
        <n v="5.73"/>
        <n v="2.05"/>
        <n v="2.34"/>
        <n v="4.48"/>
        <n v="6.28"/>
        <n v="2.81"/>
        <n v="2.25"/>
        <n v="5.25"/>
        <n v="3.32"/>
        <n v="3.7"/>
        <n v="1.1"/>
        <n v="3.49"/>
        <n v="9.53"/>
        <n v="11.77"/>
        <n v="11.6"/>
        <n v="12.19"/>
        <n v="2.61"/>
        <n v="2.17"/>
        <n v="1.17"/>
        <n v="2.2"/>
        <n v="4.27"/>
        <n v="15.91"/>
        <n v="15.95"/>
        <n v="15.63"/>
        <n v="15.67"/>
        <n v="16.7"/>
        <n v="16.87"/>
        <n v="20.38"/>
        <n v="22.9"/>
        <n v="16.98"/>
        <n v="18.7"/>
        <n v="2.24"/>
        <n v="1.13"/>
        <n v="1.62"/>
        <n v="1.33"/>
        <n v="1.81"/>
        <n v="1.63"/>
        <n v="48.01"/>
        <n v="1.75"/>
        <n v="1.19"/>
        <n v="1.51"/>
        <n v="8.34"/>
        <n v="8.28"/>
        <n v="10.04"/>
        <n v="2.41"/>
        <n v="2.32"/>
        <n v="3.79"/>
        <n v="1.42"/>
        <n v="7.63"/>
        <n v="11.55"/>
        <n v="7.67"/>
        <n v="1.84"/>
        <n v="1.86"/>
        <n v="8.03"/>
        <n v="7.65"/>
        <n v="9.39"/>
        <n v="48.23"/>
        <n v="3.78"/>
        <n v="2.3"/>
        <n v="4.02"/>
        <n v="7.08"/>
        <n v="10.35"/>
        <n v="9.89"/>
        <n v="7.48"/>
        <n v="0.95"/>
        <n v="5.55"/>
        <n v="7.32"/>
        <n v="7.93"/>
        <n v="0.53"/>
        <n v="2.56"/>
        <n v="1.23"/>
        <n v="7.03"/>
        <n v="2.73"/>
        <n v="5.1"/>
        <n v="3.92"/>
        <n v="8.18"/>
        <n v="3.75"/>
        <n v="2.54"/>
        <n v="27.41"/>
        <n v="3.14"/>
        <n v="1.58"/>
        <n v="8.94"/>
        <n v="11.54"/>
        <n v="6.82"/>
        <n v="3.03"/>
        <n v="6.51"/>
        <n v="3.91"/>
        <n v="16.62"/>
        <n v="5.29"/>
        <n v="2.43"/>
        <n v="2.53"/>
        <n v="4.37"/>
        <n v="2.72"/>
        <n v="2.22"/>
        <n v="3.87"/>
        <n v="3.66"/>
        <n v="4.0"/>
        <n v="3.51"/>
        <n v="3.07"/>
        <n v="3.35"/>
        <n v="2.44"/>
        <n v="5.59"/>
        <n v="6.74"/>
        <n v="5.79"/>
        <n v="2.07"/>
        <n v="8.61"/>
        <n v="7.47"/>
        <n v="9.46"/>
        <n v="0.74"/>
        <n v="5.89"/>
        <n v="6.49"/>
        <n v="2.78"/>
        <n v="2.09"/>
        <n v="5.4"/>
        <n v="3.28"/>
        <n v="3.63"/>
        <n v="2.52"/>
        <n v="3.48"/>
        <n v="2.99"/>
        <n v="3.76"/>
        <n v="18.34"/>
        <n v="5.82"/>
        <n v="7.42"/>
        <n v="3.08"/>
        <n v="0.97"/>
        <n v="1.32"/>
        <n v="1.06"/>
        <n v="6.13"/>
        <n v="0.96"/>
        <n v="2.42"/>
        <n v="6.64"/>
        <n v="4.82"/>
        <n v="5.72"/>
        <n v="1.28"/>
        <n v="5.83"/>
        <n v="6.16"/>
        <n v="1.69"/>
        <n v="15.64"/>
        <n v="3.19"/>
        <n v="10.96"/>
        <n v="2.89"/>
        <n v="4.32"/>
        <n v="0.81"/>
        <n v="9.85"/>
        <n v="1.25"/>
        <n v="0.86"/>
        <n v="1.41"/>
        <n v="0.57"/>
        <n v="2.14"/>
        <n v="4.17"/>
        <n v="0.55"/>
        <n v="4.06"/>
        <n v="5.0"/>
        <n v="7.33"/>
        <n v="4.54"/>
        <n v="1.11"/>
        <n v="0.7"/>
        <n v="5.58"/>
        <n v="1.09"/>
        <n v="6.18"/>
        <n v="1.49"/>
        <n v="3.65"/>
        <n v="1.64"/>
        <n v="6.17"/>
        <n v="14.29"/>
        <n v="10.62"/>
        <n v="0.87"/>
        <n v="5.16"/>
        <n v="12.33"/>
        <n v="4.63"/>
        <n v="4.28"/>
        <n v="9.11"/>
        <n v="3.88"/>
        <n v="13.77"/>
        <n v="9.49"/>
        <n v="7.37"/>
        <n v="6.67"/>
        <n v="11.28"/>
        <n v="13.23"/>
        <n v="5.18"/>
        <n v="8.04"/>
        <n v="6.53"/>
        <n v="5.23"/>
        <n v="11.47"/>
        <n v="5.6"/>
        <n v="2.79"/>
        <n v="3.44"/>
        <n v="3.18"/>
        <n v="10.75"/>
        <n v="5.97"/>
        <n v="8.48"/>
        <n v="8.98"/>
        <n v="4.46"/>
        <n v="10.09"/>
        <n v="10.89"/>
        <n v="5.26"/>
        <n v="4.13"/>
        <n v="4.34"/>
        <n v="6.56"/>
        <n v="3.81"/>
        <n v="12.91"/>
        <n v="10.12"/>
        <n v="7.4"/>
        <n v="1.7"/>
        <n v="1.96"/>
        <n v="4.65"/>
        <n v="1.76"/>
        <n v="14.48"/>
        <n v="3.1"/>
        <n v="13.28"/>
        <n v="2.94"/>
        <n v="4.94"/>
        <n v="2.27"/>
        <n v="2.8"/>
        <n v="11.24"/>
        <n v="5.08"/>
        <n v="1.46"/>
        <n v="10.81"/>
        <n v="5.15"/>
        <n v="3.42"/>
        <n v="5.7"/>
        <n v="5.95"/>
        <n v="3.54"/>
        <n v="11.83"/>
        <n v="4.16"/>
        <n v="4.51"/>
        <n v="10.17"/>
        <n v="13.26"/>
        <n v="11.82"/>
        <n v="12.22"/>
        <n v="16.95"/>
        <n v="12.87"/>
        <n v="7.13"/>
        <n v="6.55"/>
        <n v="5.34"/>
        <n v="11.35"/>
        <n v="10.65"/>
        <n v="7.11"/>
        <n v="5.63"/>
        <n v="7.71"/>
        <n v="3.47"/>
        <n v="7.38"/>
        <n v="15.23"/>
        <n v="5.06"/>
        <n v="9.74"/>
        <n v="4.78"/>
        <n v="6.46"/>
        <n v="6.73"/>
        <n v="4.75"/>
        <n v="4.71"/>
        <n v="4.88"/>
        <n v="9.86"/>
        <n v="8.5"/>
        <n v="14.82"/>
        <n v="5.11"/>
        <n v="8.57"/>
        <n v="2.91"/>
        <n v="3.89"/>
        <n v="6.45"/>
        <n v="1.02"/>
        <n v="0.92"/>
        <n v="0.98"/>
        <n v="1.79"/>
        <n v="1.35"/>
        <n v="0.77"/>
        <n v="1.01"/>
        <n v="0.58"/>
        <n v="2.19"/>
        <n v="0.71"/>
        <n v="1.16"/>
        <n v="1.0"/>
        <n v="8.72"/>
        <n v="0.63"/>
        <n v="3.24"/>
        <n v="3.98"/>
        <n v="1.72"/>
        <n v="0.73"/>
        <n v="9.91"/>
        <n v="0.84"/>
        <n v="1.12"/>
        <n v="0.9"/>
        <n v="0.89"/>
        <n v="1.31"/>
        <n v="4.11"/>
        <n v="3.4"/>
        <n v="7.49"/>
        <n v="5.37"/>
        <n v="6.3"/>
        <n v="11.43"/>
        <n v="19.3"/>
        <n v="18.23"/>
        <n v="5.64"/>
        <n v="6.97"/>
        <n v="5.38"/>
        <n v="7.51"/>
        <n v="5.51"/>
        <n v="12.64"/>
        <n v="1.04"/>
        <n v="8.13"/>
        <n v="4.83"/>
        <n v="11.04"/>
        <n v="8.91"/>
        <n v="5.14"/>
        <n v="7.43"/>
        <n v="4.08"/>
        <n v="4.67"/>
        <n v="5.28"/>
        <n v="6.57"/>
        <n v="8.95"/>
        <n v="5.04"/>
        <n v="23.37"/>
        <n v="5.44"/>
        <n v="19.07"/>
        <n v="10.85"/>
        <n v="4.39"/>
        <n v="2.55"/>
        <n v="3.77"/>
        <n v="5.33"/>
        <n v="3.6"/>
        <n v="1.93"/>
        <n v="4.44"/>
        <n v="8.15"/>
        <n v="3.39"/>
        <n v="2.68"/>
        <n v="5.74"/>
        <n v="17.17"/>
        <n v="13.9"/>
        <n v="5.69"/>
        <n v="3.37"/>
        <n v="6.22"/>
        <n v="17.31"/>
        <n v="4.59"/>
        <n v="22.95"/>
        <n v="29.92"/>
        <n v="15.02"/>
        <n v="4.91"/>
        <n v="3.57"/>
        <n v="5.65"/>
        <n v="8.22"/>
        <n v="4.26"/>
        <n v="6.59"/>
        <n v="6.93"/>
        <n v="3.2"/>
        <n v="8.58"/>
        <n v="7.8"/>
        <n v="6.62"/>
        <n v="8.05"/>
        <n v="6.96"/>
        <n v="11.23"/>
        <n v="11.41"/>
        <n v="3.93"/>
        <n v="9.23"/>
        <n v="5.45"/>
        <n v="9.14"/>
        <n v="3.11"/>
        <n v="2.83"/>
        <n v="1.45"/>
        <n v="6.24"/>
        <n v="12.32"/>
        <n v="12.6"/>
        <n v="9.18"/>
        <n v="5.52"/>
        <n v="14.99"/>
        <n v="10.11"/>
        <n v="15.13"/>
        <n v="10.14"/>
        <n v="0.47"/>
        <n v="8.78"/>
        <n v="4.58"/>
        <n v="13.33"/>
        <n v="17.97"/>
        <n v="8.0"/>
        <n v="7.46"/>
        <n v="7.59"/>
        <n v="7.25"/>
        <n v="3.12"/>
        <n v="6.34"/>
        <n v="13.39"/>
        <n v="16.15"/>
        <n v="15.29"/>
        <n v="7.15"/>
        <n v="16.22"/>
        <n v="16.85"/>
        <n v="15.33"/>
        <n v="7.21"/>
        <n v="10.02"/>
        <n v="12.92"/>
        <n v="14.2"/>
        <n v="9.8"/>
        <n v="8.67"/>
        <n v="0.49"/>
        <n v="2.59"/>
        <n v="6.54"/>
        <n v="6.02"/>
        <n v="5.94"/>
        <n v="3.94"/>
        <n v="12.51"/>
        <n v="4.01"/>
        <n v="3.41"/>
        <n v="9.61"/>
        <n v="20.33"/>
        <n v="28.87"/>
        <n v="12.36"/>
        <n v="0.48"/>
        <n v="0.42"/>
        <n v="9.24"/>
        <n v="10.87"/>
        <n v="7.26"/>
        <n v="15.84"/>
        <n v="9.51"/>
        <n v="0.91"/>
        <n v="0.62"/>
        <n v="0.61"/>
        <n v="25.17"/>
        <n v="10.24"/>
        <n v="3.83"/>
        <n v="2.96"/>
        <n v="4.8"/>
        <n v="6.03"/>
        <n v="5.99"/>
        <n v="4.77"/>
        <n v="11.56"/>
        <n v="6.27"/>
        <n v="6.01"/>
        <n v="6.23"/>
        <n v="11.84"/>
        <n v="7.6"/>
        <n v="6.78"/>
        <n v="3.95"/>
        <n v="7.36"/>
        <n v="4.69"/>
        <n v="4.42"/>
        <n v="5.91"/>
        <n v="6.87"/>
        <n v="7.09"/>
        <n v="4.99"/>
        <n v="3.97"/>
        <n v="7.64"/>
        <n v="5.49"/>
        <n v="6.0"/>
        <n v="1.47"/>
        <n v="3.52"/>
        <n v="3.22"/>
        <n v="0.69"/>
        <n v="0.85"/>
        <n v="23.63"/>
        <n v="6.77"/>
        <n v="11.3"/>
        <n v="5.86"/>
        <n v="5.17"/>
        <n v="23.34"/>
        <n v="6.26"/>
        <n v="6.08"/>
        <n v="21.57"/>
        <n v="6.47"/>
        <n v="24.29"/>
        <n v="6.58"/>
        <n v="6.06"/>
        <n v="6.68"/>
        <n v="6.42"/>
        <n v="18.25"/>
        <n v="5.12"/>
        <n v="21.88"/>
        <n v="7.27"/>
        <n v="6.75"/>
        <n v="6.1"/>
        <n v="4.45"/>
        <n v="10.84"/>
        <n v="15.16"/>
        <n v="6.83"/>
        <n v="8.66"/>
        <n v="42.45"/>
        <n v="11.52"/>
        <n v="12.29"/>
        <n v="11.17"/>
        <n v="7.61"/>
        <n v="12.75"/>
        <n v="18.19"/>
        <n v="11.2"/>
        <n v="12.54"/>
        <n v="5.93"/>
        <n v="9.71"/>
        <n v="6.72"/>
        <n v="9.32"/>
        <n v="6.31"/>
        <n v="9.78"/>
        <n v="5.54"/>
        <n v="13.75"/>
        <n v="7.3"/>
        <n v="15.42"/>
        <n v="6.21"/>
        <n v="8.2"/>
        <n v="5.87"/>
        <n v="214.5"/>
        <n v="31.32"/>
        <n v="11.61"/>
        <n v="6.37"/>
        <n v="9.41"/>
        <n v="3.8"/>
        <n v="5.5"/>
        <n v="14.89"/>
        <n v="3.96"/>
        <n v="10.0"/>
        <n v="6.11"/>
        <n v="13.83"/>
        <n v="7.52"/>
        <n v="13.17"/>
        <n v="7.91"/>
        <n v="7.82"/>
        <n v="12.27"/>
        <n v="14.94"/>
        <n v="11.97"/>
        <n v="12.57"/>
        <n v="15.5"/>
        <n v="19.41"/>
        <n v="11.25"/>
        <n v="12.21"/>
        <n v="8.11"/>
        <n v="25.94"/>
        <n v="12.84"/>
        <n v="18.24"/>
        <n v="8.64"/>
        <n v="12.42"/>
        <n v="8.89"/>
        <n v="13.0"/>
        <n v="12.88"/>
        <n v="22.33"/>
        <n v="8.02"/>
        <n v="20.31"/>
        <n v="7.05"/>
        <n v="9.19"/>
        <n v="5.88"/>
        <n v="8.55"/>
        <n v="10.82"/>
        <n v="10.47"/>
        <n v="7.88"/>
        <n v="6.66"/>
        <n v="12.65"/>
        <n v="20.37"/>
        <n v="26.88"/>
        <n v="4.31"/>
        <n v="1.08"/>
        <n v="6.86"/>
        <n v="8.43"/>
        <n v="4.68"/>
        <n v="0.44"/>
        <n v="4.73"/>
        <n v="0.76"/>
        <n v="0.52"/>
        <n v="10.3"/>
        <n v="0.59"/>
        <n v="0.82"/>
        <n v="0.54"/>
        <n v="0.5"/>
        <n v="7.24"/>
        <n v="22.1"/>
        <n v="62.95"/>
        <n v="28.88"/>
        <n v="6.32"/>
        <n v="7.23"/>
        <n v="5.39"/>
        <n v="7.76"/>
        <n v="5.75"/>
        <n v="10.72"/>
        <n v="11.66"/>
        <n v="12.73"/>
        <n v="7.92"/>
        <n v="12.38"/>
        <n v="10.74"/>
        <n v="3.74"/>
        <n v="5.35"/>
        <n v="11.19"/>
        <n v="8.87"/>
        <n v="4.49"/>
        <n v="9.36"/>
        <n v="4.93"/>
        <n v="9.87"/>
        <n v="7.07"/>
        <n v="4.09"/>
        <n v="7.12"/>
        <n v="9.68"/>
        <n v="6.04"/>
        <n v="9.01"/>
        <n v="9.29"/>
        <n v="5.76"/>
        <n v="7.16"/>
        <n v="4.95"/>
        <n v="9.76"/>
        <n v="7.95"/>
        <n v="5.96"/>
        <n v="2.98"/>
        <n v="9.22"/>
        <n v="6.38"/>
        <n v="5.92"/>
        <n v="5.66"/>
        <n v="5.85"/>
        <n v="6.5"/>
        <n v="8.83"/>
        <n v="5.68"/>
        <n v="8.47"/>
        <n v="7.44"/>
        <n v="6.61"/>
        <n v="5.22"/>
        <n v="4.62"/>
        <n v="5.36"/>
        <n v="6.39"/>
        <n v="19.99"/>
        <n v="9.4"/>
        <n v="3.59"/>
        <n v="7.0"/>
        <n v="9.38"/>
        <n v="9.42"/>
        <n v="0.32"/>
        <n v="0.41"/>
        <n v="0.8"/>
        <n v="10.13"/>
        <n v="10.31"/>
        <n v="9.81"/>
        <n v="10.93"/>
        <n v="13.38"/>
        <n v="0.83"/>
        <n v="12.82"/>
        <n v="10.77"/>
        <n v="0.46"/>
        <n v="7.34"/>
        <n v="8.21"/>
        <n v="7.74"/>
        <n v="5.03"/>
        <n v="6.69"/>
        <n v="13.01"/>
        <n v="13.06"/>
        <n v="13.76"/>
        <n v="14.51"/>
        <n v="16.54"/>
        <n v="8.76"/>
        <n v="11.58"/>
        <n v="11.71"/>
        <n v="14.36"/>
        <n v="14.53"/>
        <n v="13.54"/>
        <n v="17.57"/>
        <n v="16.53"/>
        <n v="16.52"/>
        <n v="13.74"/>
        <n v="13.88"/>
        <n v="9.73"/>
        <n v="15.15"/>
        <n v="14.49"/>
        <n v="11.37"/>
        <n v="11.96"/>
        <n v="10.37"/>
        <n v="7.7"/>
        <n v="12.12"/>
        <n v="7.18"/>
        <n v="11.45"/>
        <n v="42.91"/>
        <n v="55.58"/>
        <n v="56.8"/>
        <n v="10.83"/>
        <n v="9.21"/>
        <n v="7.41"/>
        <n v="33.79"/>
        <n v="17.41"/>
        <n v="18.55"/>
        <n v="23.55"/>
        <n v="11.01"/>
        <n v="13.16"/>
        <n v="21.7"/>
        <n v="15.4"/>
        <n v="11.34"/>
        <n v="12.26"/>
        <n v="15.58"/>
        <n v="14.37"/>
        <n v="8.26"/>
        <n v="8.41"/>
        <n v="26.53"/>
        <n v="11.49"/>
        <n v="11.59"/>
        <n v="24.6"/>
        <n v="24.46"/>
        <n v="30.61"/>
        <n v="15.43"/>
        <n v="13.51"/>
        <n v="11.44"/>
        <n v="18.49"/>
        <n v="21.59"/>
        <n v="13.14"/>
        <n v="9.04"/>
        <n v="17.9"/>
        <n v="18.17"/>
        <n v="13.67"/>
        <n v="45.25"/>
        <n v="5.53"/>
        <n v="6.48"/>
        <n v="9.95"/>
        <n v="14.22"/>
        <n v="20.63"/>
        <n v="50.75"/>
        <n v="14.93"/>
        <n v="9.27"/>
        <n v="7.69"/>
        <n v="6.7"/>
        <n v="7.04"/>
        <n v="7.97"/>
        <n v="11.86"/>
        <n v="12.43"/>
        <n v="12.44"/>
        <n v="12.39"/>
        <n v="5.46"/>
        <n v="12.45"/>
        <n v="12.0"/>
        <n v="11.42"/>
        <n v="12.3"/>
        <n v="8.44"/>
        <n v="12.02"/>
        <n v="16.94"/>
        <n v="12.2"/>
        <n v="11.93"/>
        <n v="10.92"/>
        <n v="7.85"/>
        <n v="8.37"/>
        <n v="7.78"/>
        <n v="19.32"/>
        <n v="7.86"/>
        <n v="12.01"/>
        <n v="0.79"/>
        <n v="0.33"/>
        <n v="8.49"/>
        <n v="6.84"/>
        <n v="7.14"/>
        <n v="10.06"/>
        <n v="10.48"/>
        <n v="12.86"/>
        <n v="7.22"/>
        <n v="20.32"/>
        <n v="32.62"/>
        <n v="45.26"/>
        <n v="32.59"/>
        <n v="7.66"/>
        <n v="11.7"/>
        <n v="16.81"/>
        <n v="7.73"/>
        <n v="4.5"/>
        <n v="7.94"/>
        <n v="7.01"/>
        <n v="8.12"/>
        <n v="13.72"/>
        <n v="8.23"/>
        <n v="11.67"/>
        <n v="10.45"/>
        <n v="10.55"/>
        <n v="9.69"/>
        <n v="12.63"/>
        <n v="12.58"/>
        <n v="8.09"/>
        <n v="12.25"/>
        <n v="12.06"/>
        <n v="10.28"/>
        <n v="13.7"/>
        <n v="11.92"/>
        <n v="10.15"/>
        <n v="9.45"/>
        <n v="7.9"/>
        <n v="12.95"/>
        <n v="17.33"/>
        <n v="10.4"/>
        <n v="8.07"/>
        <n v="4.4"/>
        <n v="6.29"/>
        <n v="0.65"/>
        <n v="16.16"/>
        <n v="6.85"/>
        <n v="14.74"/>
        <n v="6.14"/>
        <n v="5.41"/>
        <n v="11.99"/>
        <n v="13.49"/>
        <n v="9.5"/>
        <n v="11.91"/>
        <n v="12.93"/>
        <n v="16.3"/>
        <n v="10.63"/>
        <n v="5.71"/>
        <n v="5.09"/>
        <n v="13.71"/>
        <n v="0.6"/>
        <n v="0.78"/>
        <n v="34.67"/>
        <n v="28.45"/>
        <n v="35.02"/>
        <n v="9.79"/>
        <n v="0.56"/>
        <n v="23.13"/>
        <n v="23.06"/>
        <n v="23.18"/>
        <n v="30.75"/>
        <n v="10.9"/>
        <n v="48.6"/>
        <n v="8.7"/>
        <n v="8.29"/>
        <n v="0.51"/>
        <n v="0.36"/>
        <n v="23.41"/>
        <n v="0.34"/>
        <n v="0.64"/>
        <n v="43.88"/>
        <n v="8.1"/>
        <n v="8.06"/>
        <n v="29.07"/>
        <n v="152.75"/>
        <n v="9.94"/>
        <n v="7.54"/>
        <n v="22.39"/>
        <n v="19.54"/>
        <n v="38.75"/>
        <n v="12.5"/>
        <n v="7.55"/>
        <n v="7.1"/>
        <n v="20.12"/>
        <n v="9.43"/>
        <n v="13.5"/>
        <n v="7.5"/>
        <n v="12.56"/>
        <n v="7.83"/>
        <n v="6.6"/>
        <n v="8.38"/>
        <n v="17.88"/>
        <n v="12.52"/>
        <n v="13.18"/>
        <n v="22.18"/>
        <n v="11.05"/>
        <n v="12.8"/>
        <n v="17.38"/>
        <n v="9.93"/>
        <n v="15.78"/>
        <n v="28.98"/>
        <n v="13.62"/>
        <n v="13.35"/>
        <n v="11.8"/>
        <n v="5.62"/>
        <n v="8.19"/>
        <n v="23.43"/>
        <n v="11.29"/>
        <n v="38.63"/>
        <n v="53.06"/>
        <n v="13.57"/>
        <n v="13.42"/>
        <n v="10.54"/>
        <n v="13.21"/>
        <n v="10.71"/>
        <n v="14.38"/>
        <n v="23.49"/>
        <n v="12.55"/>
        <n v="16.67"/>
        <n v="11.31"/>
        <n v="15.17"/>
        <n v="19.93"/>
        <n v="10.23"/>
        <n v="7.89"/>
        <n v="9.97"/>
        <n v="11.02"/>
        <n v="7.87"/>
        <n v="16.04"/>
        <n v="25.74"/>
        <n v="15.71"/>
        <n v="10.19"/>
        <n v="10.2"/>
        <n v="7.62"/>
        <n v="7.72"/>
        <n v="8.33"/>
        <n v="20.05"/>
        <n v="9.3"/>
        <n v="10.66"/>
        <n v="18.48"/>
        <n v="31.91"/>
        <n v="9.7"/>
        <n v="27.4"/>
        <n v="10.05"/>
        <n v="11.18"/>
        <n v="7.81"/>
        <n v="17.16"/>
        <n v="7.57"/>
        <n v="4.98"/>
        <n v="46.67"/>
        <n v="47.34"/>
        <n v="10.73"/>
        <n v="25.87"/>
        <n v="17.56"/>
        <n v="25.43"/>
        <n v="15.12"/>
        <n v="23.1"/>
        <n v="26.78"/>
        <n v="13.96"/>
        <n v="19.43"/>
        <n v="11.51"/>
        <n v="10.22"/>
        <n v="18.74"/>
        <n v="8.52"/>
        <n v="8.86"/>
        <n v="9.31"/>
        <n v="10.59"/>
        <n v="19.76"/>
        <n v="8.68"/>
        <n v="9.15"/>
        <n v="8.99"/>
        <n v="13.68"/>
        <n v="20.99"/>
        <n v="18.88"/>
        <n v="20.84"/>
        <n v="20.78"/>
        <n v="19.95"/>
        <n v="20.62"/>
        <n v="18.57"/>
        <n v="20.73"/>
        <s v="Bulunamadı"/>
        <m/>
      </sharedItems>
    </cacheField>
    <cacheField name="product_name" numFmtId="0">
      <sharedItems containsBlank="1">
        <s v="112463 - Fiction - Literary Fiction"/>
        <s v="112481 - Fiction - Literary Fiction"/>
        <s v="13346 - Fiction - Literary Fiction"/>
        <s v="112454 - Fiction - Literary Fiction"/>
        <s v="112461 - Fiction - Literary Fiction"/>
        <s v="106532 - Fiction - Literary Fiction"/>
        <s v="121135 - Fiction - Literary Fiction"/>
        <s v="128362 - History - Mystery"/>
        <s v="71200 - History - Mystery"/>
        <s v="19812 - History - Mystery"/>
        <s v="122259 - History - Mystery"/>
        <s v="199526 - History - Mystery"/>
        <s v="140581 - History - Mystery"/>
        <s v="118383 - History - Mystery"/>
        <s v="122262 - History - Mystery"/>
        <s v="141879 - History - Mystery"/>
        <s v="19826 - History - Thriller"/>
        <s v="93039 - History - Thriller"/>
        <s v="128213 - History - Thriller"/>
        <s v="83797 - History - Thriller"/>
        <s v="19831 - History - Thriller"/>
        <s v="93025 - History - Thriller"/>
        <s v="81624 - History - Thriller"/>
        <s v="92913 - History - Thriller"/>
        <s v="126983 - History - Thriller"/>
        <s v="118226 - History - Thriller"/>
        <s v="48618 - History - Thriller"/>
        <s v="93037 - History - Thriller"/>
        <s v="126984 - History - Thriller"/>
        <s v="47393 - History - Thriller"/>
        <s v="128214 - History - Thriller"/>
        <s v="83802 - History - Thriller"/>
        <s v="48625 - History - Thriller"/>
        <s v="83602 - History - Thriller"/>
        <s v="98867 - History - Thriller"/>
        <s v="127042 - History - Thriller"/>
        <s v="127241 - History - Thriller"/>
        <s v="118220 - History - Thriller"/>
        <s v="128216 - History - Thriller"/>
        <s v="93049 - History - Thriller"/>
        <s v="118216 - History - Thriller"/>
        <s v="118221 - History - Thriller"/>
        <s v="92900 - History - Thriller"/>
        <s v="118215 - History - Thriller"/>
        <s v="19832 - History - Thriller"/>
        <s v="93071 - History - Thriller"/>
        <s v="122395 - History - Thriller"/>
        <s v="116946 - History - Thriller"/>
        <s v="97538 - History - Thriller"/>
        <s v="127238 - History - Thriller"/>
        <s v="81646 - History - Thriller"/>
        <s v="81643 - History - Thriller"/>
        <s v="128215 - History - Thriller"/>
        <s v="108022 - History - Thriller"/>
        <s v="81647 - History - Thriller"/>
        <s v="83603 - History - Thriller"/>
        <s v="118219 - History - Thriller"/>
        <s v="120952 - History - Thriller"/>
        <s v="81658 - History - Thriller"/>
        <s v="93047 - History - Thriller"/>
        <s v="83807 - History - Thriller"/>
        <s v="92915 - History - Thriller"/>
        <s v="81653 - History - Thriller"/>
        <s v="81618 - History - Thriller"/>
        <s v="118241 - History - Thriller"/>
        <s v="48634 - History - Thriller"/>
        <s v="48636 - History - Thriller"/>
        <s v="48629 - History - Thriller"/>
        <s v="47400 - History - Thriller"/>
        <s v="111237 - History - Thriller"/>
        <s v="18042 - History - Thriller"/>
        <s v="114978 - History - Thriller"/>
        <s v="82980 - History - Thriller"/>
        <s v="83093 - History - Thriller"/>
        <s v="18134 - History - Thriller"/>
        <s v="107857 - History - Thriller"/>
        <s v="18136 - History - Thriller"/>
        <s v="69138 - History - Thriller"/>
        <s v="74828 - History - Thriller"/>
        <s v="74884 - History - Thriller"/>
        <s v="127232 - History - Thriller"/>
        <s v="82979 - History - Thriller"/>
        <s v="18138 - History - Thriller"/>
        <s v="127003 - History - Thriller"/>
        <s v="6036 - History - Crime"/>
        <s v="6046 - History - Crime"/>
        <s v="6037 - History - Crime"/>
        <s v="6026 - History - Crime"/>
        <s v="47431 - History - Crime"/>
        <s v="82914 - History - Crime"/>
        <s v="6044 - History - Crime"/>
        <s v="82913 - History - Crime"/>
        <s v="82922 - History - Crime"/>
        <s v="6045 - History - Crime"/>
        <s v="6027 - History - Crime"/>
        <s v="97088 - History - Fantasy"/>
        <s v="122235 - History - Fantasy"/>
        <s v="119887 - History - Fantasy"/>
        <s v="97980 - History - Fantasy"/>
        <s v="119876 - History - Fantasy"/>
        <s v="119881 - History - Fantasy"/>
        <s v="26127 - History - Epic Fantasy"/>
        <s v="87365 - History - Epic Fantasy"/>
        <s v="87381 - History - Epic Fantasy"/>
        <s v="122828 - History - Epic Fantasy"/>
        <s v="73841 - History - Epic Fantasy"/>
        <s v="73838 - History - Epic Fantasy"/>
        <s v="87372 - History - Epic Fantasy"/>
        <s v="87383 - History - Epic Fantasy"/>
        <s v="49068 - History - Epic Fantasy"/>
        <s v="26130 - History - Epic Fantasy"/>
        <s v="111493 - History - Epic Fantasy"/>
        <s v="98395 - History - Epic Fantasy"/>
        <s v="98396 - History - Epic Fantasy"/>
        <s v="98394 - History - Epic Fantasy"/>
        <s v="98397 - History - Epic Fantasy"/>
        <s v="111489 - History - Epic Fantasy"/>
        <s v="98393 - History - Epic Fantasy"/>
        <s v="10933 - Self-Help - Urban Fantasy"/>
        <s v="111994 - Self-Help - Urban Fantasy"/>
        <s v="101637 - Self-Help - Urban Fantasy"/>
        <s v="111996 - Self-Help - Urban Fantasy"/>
        <s v="120886 - Fiction - Science Fiction"/>
        <s v="85058 - Fiction - Science Fiction"/>
        <s v="27380 - Fiction - Dystopian"/>
        <s v="117204 - Fiction - Dystopian"/>
        <s v="45484 - Fiction - Dystopian"/>
        <s v="27382 - Fiction - Dystopian"/>
        <s v="45491 - Fiction - Dystopian"/>
        <s v="11631 - Fiction - Dystopian"/>
        <s v="11630 - Fiction - Dystopian"/>
        <s v="11634 - Fiction - Dystopian"/>
        <s v="11635 - Fiction - Dystopian"/>
        <s v="114776 - Fiction - Dystopian"/>
        <s v="76762 - Fiction - Dystopian"/>
        <s v="181194 - Self-Help - Adventure"/>
        <s v="164637 - Self-Help - Adventure"/>
        <s v="164636 - Self-Help - Adventure"/>
        <s v="164639 - Self-Help - Adventure"/>
        <s v="85251 - Self-Help - Adventure"/>
        <s v="113532 - Self-Help - Adventure"/>
        <s v="82501 - Self-Help - Adventure"/>
        <s v="121287 - Self-Help - Adventure"/>
        <s v="113559 - Self-Help - Adventure"/>
        <s v="85252 - Self-Help - Adventure"/>
        <s v="82507 - Self-Help - Adventure"/>
        <s v="109625 - Self-Help - Adventure"/>
        <s v="110864 - Self-Help - Adventure"/>
        <s v="138916 - Self-Help - Adventure"/>
        <s v="121076 - Self-Help - Adventure"/>
        <s v="121077 - Self-Help - Adventure"/>
        <s v="116631 - Self-Help - Adventure"/>
        <s v="147263 - Self-Help - Adventure"/>
        <s v="108763 - Self-Help - Adventure"/>
        <s v="116593 - Self-Help - Adventure"/>
        <s v="116613 - Self-Help - Adventure"/>
        <s v="102476 - Self-Help - Adventure"/>
        <s v="190030 - Self-Help - Adventure"/>
        <s v="113845 - Self-Help - Adventure"/>
        <s v="77824 - Fiction - Historical Fiction"/>
        <s v="85888 - Fiction - Historical Fiction"/>
        <s v="85890 - Fiction - Historical Fiction"/>
        <s v="83727 - Fiction - Historical Fiction"/>
        <s v="85887 - Fiction - Historical Fiction"/>
        <s v="77823 - Fiction - Historical Fiction"/>
        <s v="86753 - Fiction - Historical Fiction"/>
        <s v="145102 - Fiction - Historical Fiction"/>
        <s v="78717 - Sports - Romance"/>
        <s v="82777 - Sports - Romance"/>
        <s v="120341 - Sports - Romance"/>
        <s v="110344 - Sports - Romance"/>
        <s v="120233 - Sports - Romance"/>
        <s v="117579 - Sports - Romance"/>
        <s v="21066 - Sports - Romance"/>
        <s v="117583 - Sports - Romance"/>
        <s v="71107 - Sports - Romance"/>
        <s v="104168 - Sports - Romance"/>
        <s v="88913 - Sports - Romance"/>
        <s v="108160 - Sports - Romance"/>
        <s v="128377 - Sports - Romance"/>
        <s v="108533 - Sports - Romance"/>
        <s v="116392 - Sports - Romance"/>
        <s v="110328 - Sports - Romance"/>
        <s v="101445 - Sports - Romance"/>
        <s v="117599 - Sports - Romance"/>
        <s v="5508 - Law - Romantic Comedy"/>
        <s v="91241 - Law - Romantic Comedy"/>
        <s v="5507 - Law - Romantic Comedy"/>
        <s v="110575 - Law - Romantic Comedy"/>
        <s v="6156 - Law - Romantic Comedy"/>
        <s v="91239 - Law - Romantic Comedy"/>
        <s v="77361 - Law - Romantic Comedy"/>
        <s v="77363 - Law - Romantic Comedy"/>
        <s v="124679 - Law - Romantic Comedy"/>
        <s v="89558 - Law - Romantic Comedy"/>
        <s v="91235 - Law - Romantic Comedy"/>
        <s v="5519 - Law - Romantic Comedy"/>
        <s v="87278 - Law - Romantic Comedy"/>
        <s v="77326 - Law - Romantic Comedy"/>
        <s v="6158 - Law - Romantic Comedy"/>
        <s v="77338 - Law - Romantic Comedy"/>
        <s v="159220 - Law - Romantic Comedy"/>
        <s v="5521 - Law - Romantic Comedy"/>
        <s v="91225 - Law - Romantic Comedy"/>
        <s v="5520 - Law - Romantic Comedy"/>
        <s v="87285 - Law - Romantic Comedy"/>
        <s v="72862 - Law - Romantic Comedy"/>
        <s v="109474 - Law - Romantic Comedy"/>
        <s v="45834 - Law - Romantic Comedy"/>
        <s v="45885 - Law - Romantic Comedy"/>
        <s v="77360 - Law - Romantic Comedy"/>
        <s v="89787 - Law - Romantic Comedy"/>
        <s v="5531 - Law - Romantic Comedy"/>
        <s v="72826 - Law - Romantic Comedy"/>
        <s v="91180 - Law - Romantic Comedy"/>
        <s v="58757 - Law - Romantic Comedy"/>
        <s v="87287 - Law - Romantic Comedy"/>
        <s v="91147 - Law - Romantic Comedy"/>
        <s v="5526 - Law - Romantic Comedy"/>
        <s v="77310 - Law - Romantic Comedy"/>
        <s v="5525 - Law - Romantic Comedy"/>
        <s v="5524 - Law - Romantic Comedy"/>
        <s v="72849 - Law - Romantic Comedy"/>
        <s v="77385 - Law - Romantic Comedy"/>
        <s v="5529 - Law - Romantic Comedy"/>
        <s v="45879 - Law - Romantic Comedy"/>
        <s v="58753 - Law - Romantic Comedy"/>
        <s v="77318 - Law - Romantic Comedy"/>
        <s v="122091 - Law - Romantic Comedy"/>
        <s v="91144 - Law - Romantic Comedy"/>
        <s v="79000 - Law - Romantic Comedy"/>
        <s v="77389 - Law - Romantic Comedy"/>
        <s v="72857 - Law - Romantic Comedy"/>
        <s v="72859 - Law - Romantic Comedy"/>
        <s v="91264 - Law - Romantic Comedy"/>
        <s v="77316 - Law - Romantic Comedy"/>
        <s v="110573 - Law - Romantic Comedy"/>
        <s v="82236 - Law - Romantic Comedy"/>
        <s v="72855 - Law - Romantic Comedy"/>
        <s v="77392 - Law - Romantic Comedy"/>
        <s v="45867 - Law - Romantic Comedy"/>
        <s v="45846 - Law - Romantic Comedy"/>
        <s v="91265 - Law - Romantic Comedy"/>
        <s v="5527 - Law - Romantic Comedy"/>
        <s v="82249 - Law - Romantic Comedy"/>
        <s v="87273 - Law - Romantic Comedy"/>
        <s v="5537 - Law - Romantic Comedy"/>
        <s v="87281 - Law - Romantic Comedy"/>
        <s v="5522 - Law - Romantic Comedy"/>
        <s v="76595 - Law - Romantic Comedy"/>
        <s v="147305 - Law - Romantic Comedy"/>
        <s v="158660 - Law - Romantic Comedy"/>
        <s v="77371 - Law - Romantic Comedy"/>
        <s v="77366 - Law - Romantic Comedy"/>
        <s v="87282 - Law - Romantic Comedy"/>
        <s v="80402 - Law - Romantic Comedy"/>
        <s v="120504 - History - Horror"/>
        <s v="72833 - History - Horror"/>
        <s v="72831 - History - Horror"/>
        <s v="112547 - History - Horror"/>
        <s v="149598 - History - Horror"/>
        <s v="98129 - History - Horror"/>
        <s v="72825 - History - Horror"/>
        <s v="72820 - History - Horror"/>
        <s v="81939 - History - Horror"/>
        <s v="114382 - History - Horror"/>
        <s v="111427 - History - Horror"/>
        <s v="81937 - History - Horror"/>
        <s v="72824 - History - Horror"/>
        <s v="112188 - History - Horror"/>
        <s v="98186 - History - Horror"/>
        <s v="72822 - History - Horror"/>
        <s v="122601 - Tech - Paranormal"/>
        <s v="106779 - Tech - Paranormal"/>
        <s v="106785 - Tech - Paranormal"/>
        <s v="122602 - Tech - Paranormal"/>
        <s v="45574 - Tech - Paranormal"/>
        <s v="80808 - Tech - Paranormal"/>
        <s v="80802 - Tech - Paranormal"/>
        <s v="110385 - Tech - Paranormal"/>
        <s v="80633 - Tech - Paranormal"/>
        <s v="120700 - Tech - Paranormal"/>
        <s v="112853 - Tech - Paranormal"/>
        <s v="120699 - Tech - Paranormal"/>
        <s v="20195 - Tech - Paranormal"/>
        <s v="11422 - Tech - Paranormal"/>
        <s v="4492 - Tech - Paranormal"/>
        <s v="4560 - Tech - Paranormal"/>
        <s v="110383 - Tech - Paranormal"/>
        <s v="112850 - Tech - Paranormal"/>
        <s v="120702 - Tech - Paranormal"/>
        <s v="91860 - Tech - Paranormal"/>
        <s v="9716 - Tech - Paranormal"/>
        <s v="77135 - Tech - Paranormal"/>
        <s v="91857 - Tech - Paranormal"/>
        <s v="76429 - Tech - Paranormal"/>
        <s v="122507 - Tech - Paranormal"/>
        <s v="77844 - Tech - Paranormal"/>
        <s v="100041 - Tech - Paranormal"/>
        <s v="111591 - Tech - Paranormal"/>
        <s v="128329 - Tech - Paranormal"/>
        <s v="147268 - Tech - Paranormal"/>
        <s v="48511 - Tech - Paranormal"/>
        <s v="100040 - Tech - Paranormal"/>
        <s v="79366 - Tech - Paranormal"/>
        <s v="160754 - Tech - Paranormal"/>
        <s v="100038 - Tech - Paranormal"/>
        <s v="100035 - Tech - Paranormal"/>
        <s v="29654 - Tech - Paranormal"/>
        <s v="107804 - Tech - Paranormal"/>
        <s v="75809 - Tech - Paranormal"/>
        <s v="128325 - Tech - Paranormal"/>
        <s v="110072 - Tech - Paranormal"/>
        <s v="93814 - Tech - Paranormal"/>
        <s v="128326 - Tech - Paranormal"/>
        <s v="48510 - Tech - Paranormal"/>
        <s v="82463 - Tech - Paranormal"/>
        <s v="82462 - Tech - Paranormal"/>
        <s v="110635 - Tech - Paranormal"/>
        <s v="82464 - Tech - Paranormal"/>
        <s v="129133 - Tech - Paranormal"/>
        <s v="195081 - Tech - Paranormal"/>
        <s v="92669 - Tech - Paranormal"/>
        <s v="122089 - Tech - Paranormal"/>
        <s v="95927 - Tech - Paranormal"/>
        <s v="160756 - Tech - Paranormal"/>
        <s v="147267 - Tech - Paranormal"/>
        <s v="160747 - Tech - Paranormal"/>
        <s v="79365 - Tech - Paranormal"/>
        <s v="110633 - Tech - Paranormal"/>
        <s v="160750 - Tech - Paranormal"/>
        <s v="128332 - Tech - Paranormal"/>
        <s v="200354 - Tech - Paranormal"/>
        <s v="100042 - Tech - Paranormal"/>
        <s v="122446 - Tech - Paranormal"/>
        <s v="160761 - Tech - Paranormal"/>
        <s v="89503 - Tech - Paranormal"/>
        <s v="160744 - Tech - Paranormal"/>
        <s v="111590 - Tech - Paranormal"/>
        <s v="110070 - Tech - Paranormal"/>
        <s v="101005 - Tech - Paranormal"/>
        <s v="160745 - Tech - Paranormal"/>
        <s v="23073 - Tech - Paranormal"/>
        <s v="70064 - Tech - Paranormal"/>
        <s v="129135 - Tech - Paranormal"/>
        <s v="104440 - Tech - Paranormal"/>
        <s v="70063 - Tech - Paranormal"/>
        <s v="160748 - Tech - Paranormal"/>
        <s v="181242 - Tech - Paranormal"/>
        <s v="200323 - Tech - Paranormal"/>
        <s v="129132 - Tech - Paranormal"/>
        <s v="160743 - Tech - Paranormal"/>
        <s v="89610 - Tech - Paranormal"/>
        <s v="112113 - Tech - Paranormal"/>
        <s v="107801 - Tech - Paranormal"/>
        <s v="70065 - Tech - Paranormal"/>
        <s v="539 - Tech - Paranormal"/>
        <s v="7857 - Tech - Paranormal"/>
        <s v="111726 - Tech - Paranormal"/>
        <s v="120992 - Tech - Paranormal"/>
        <s v="158482 - Tech - Paranormal"/>
        <s v="193132 - Tech - Paranormal"/>
        <s v="118901 - Tech - Paranormal"/>
        <s v="193131 - Tech - Paranormal"/>
        <s v="115709 - Tech - Paranormal"/>
        <s v="121619 - Tech - Paranormal"/>
        <s v="103647 - Tech - Paranormal"/>
        <s v="121616 - Tech - Paranormal"/>
        <s v="121618 - Tech - Paranormal"/>
        <s v="129360 - Tech - Paranormal"/>
        <s v="115708 - Tech - Paranormal"/>
        <s v="121617 - Tech - Paranormal"/>
        <s v="109540 - Tech - Paranormal"/>
        <s v="101323 - Tech - Paranormal"/>
        <s v="120991 - Tech - Paranormal"/>
        <s v="115698 - Tech - Paranormal"/>
        <s v="72511 - Tech - Paranormal"/>
        <s v="72512 - Tech - Paranormal"/>
        <s v="120108 - Tech - Paranormal"/>
        <s v="1636 - Tech - Paranormal"/>
        <s v="106767 - Tech - Paranormal"/>
        <s v="117246 - Tech - Paranormal"/>
        <s v="106758 - Tech - Paranormal"/>
        <s v="118150 - Tech - Paranormal"/>
        <s v="108896 - Tech - Paranormal"/>
        <s v="92566 - Tech - Paranormal"/>
        <s v="182195 - Tech - Paranormal"/>
        <s v="101560 - Tech - Paranormal"/>
        <s v="96067 - Tech - Paranormal"/>
        <s v="47325 - Tech - Paranormal"/>
        <s v="109386 - Tech - Paranormal"/>
        <s v="118972 - Tech - Paranormal"/>
        <s v="100412 - Tech - Paranormal"/>
        <s v="73259 - Tech - Paranormal"/>
        <s v="116888 - Tech - Paranormal"/>
        <s v="102086 - Tech - Paranormal"/>
        <s v="108892 - Tech - Paranormal"/>
        <s v="110935 - Tech - Paranormal"/>
        <s v="103599 - Tech - Paranormal"/>
        <s v="108811 - Tech - Paranormal"/>
        <s v="2202 - Tech - Paranormal"/>
        <s v="122789 - Tech - Paranormal"/>
        <s v="101563 - Tech - Paranormal"/>
        <s v="110934 - Tech - Paranormal"/>
        <s v="110147 - Tech - Paranormal"/>
        <s v="104135 - Tech - Paranormal"/>
        <s v="101559 - Tech - Paranormal"/>
        <s v="129340 - Tech - Paranormal"/>
        <s v="103609 - Tech - Paranormal"/>
        <s v="122499 - Tech - Paranormal"/>
        <s v="117311 - Tech - Paranormal"/>
        <s v="116670 - Tech - Paranormal"/>
        <s v="2204 - Tech - Paranormal"/>
        <s v="104128 - Tech - Paranormal"/>
        <s v="103600 - Tech - Paranormal"/>
        <s v="108802 - Tech - Paranormal"/>
        <s v="201034 - Tech - Paranormal"/>
        <s v="6522 - Tech - Paranormal"/>
        <s v="77644 - Tech - Paranormal"/>
        <s v="3225 - Tech - Paranormal"/>
        <s v="158447 - Tech - Paranormal"/>
        <s v="9737 - Tech - Paranormal"/>
        <s v="73260 - Tech - Paranormal"/>
        <s v="158467 - Tech - Paranormal"/>
        <s v="117319 - Tech - Paranormal"/>
        <s v="108893 - Tech - Paranormal"/>
        <s v="111734 - Tech - Paranormal"/>
        <s v="96066 - Tech - Paranormal"/>
        <s v="3222 - Tech - Paranormal"/>
        <s v="117312 - Tech - Paranormal"/>
        <s v="104791 - Tech - Paranormal"/>
        <s v="10051 - Tech - Paranormal"/>
        <s v="29318 - Tech - Paranormal"/>
        <s v="116885 - Tech - Paranormal"/>
        <s v="121614 - Tech - Paranormal"/>
        <s v="10048 - Tech - Paranormal"/>
        <s v="109534 - Tech - Paranormal"/>
        <s v="111802 - Tech - Paranormal"/>
        <s v="108801 - Tech - Paranormal"/>
        <s v="9735 - Tech - Paranormal"/>
        <s v="109531 - Tech - Paranormal"/>
        <s v="44533 - Tech - Paranormal"/>
        <s v="158465 - Tech - Paranormal"/>
        <s v="79107 - Tech - Paranormal"/>
        <s v="78631 - Tech - Paranormal"/>
        <s v="120469 - Tech - Paranormal"/>
        <s v="6523 - Tech - Paranormal"/>
        <s v="41819 - Tech - Paranormal"/>
        <s v="108889 - Tech - Paranormal"/>
        <s v="92564 - Tech - Paranormal"/>
        <s v="158456 - Tech - Paranormal"/>
        <s v="111735 - Tech - Paranormal"/>
        <s v="109537 - Tech - Paranormal"/>
        <s v="109381 - Tech - Paranormal"/>
        <s v="120944 - Tech - Paranormal"/>
        <s v="29320 - Tech - Paranormal"/>
        <s v="118222 - Tech - Paranormal"/>
        <s v="108897 - Tech - Paranormal"/>
        <s v="101565 - Tech - Paranormal"/>
        <s v="29319 - Tech - Paranormal"/>
        <s v="96444 - Tech - Paranormal"/>
        <s v="101557 - Tech - Paranormal"/>
        <s v="103610 - Tech - Paranormal"/>
        <s v="181195 - Tech - Paranormal"/>
        <s v="12639 - Tech - Paranormal"/>
        <s v="158464 - Tech - Paranormal"/>
        <s v="116525 - Tech - Paranormal"/>
        <s v="116295 - Tech - Paranormal"/>
        <s v="116297 - Tech - Paranormal"/>
        <s v="11421 - Tech - Paranormal"/>
        <s v="101549 - Tech - Paranormal"/>
        <s v="109543 - Tech - Paranormal"/>
        <s v="79318 - Tech - Paranormal"/>
        <s v="2203 - Tech - Paranormal"/>
        <s v="111727 - Tech - Paranormal"/>
        <s v="118151 - Tech - Paranormal"/>
        <s v="108888 - Tech - Paranormal"/>
        <s v="120465 - Tech - Paranormal"/>
        <s v="92561 - Tech - Paranormal"/>
        <s v="150294 - Tech - Paranormal"/>
        <s v="108895 - Tech - Paranormal"/>
        <s v="41666 - Tech - Paranormal"/>
        <s v="41816 - Tech - Paranormal"/>
        <s v="99779 - Tech - Paranormal"/>
        <s v="111716 - Tech - Paranormal"/>
        <s v="96443 - Tech - Paranormal"/>
        <s v="193187 - Tech - Paranormal"/>
        <s v="96068 - Tech - Paranormal"/>
        <s v="3227 - Tech - Paranormal"/>
        <s v="193183 - Tech - Paranormal"/>
        <s v="120945 - Tech - Paranormal"/>
        <s v="110940 - Tech - Paranormal"/>
        <s v="110942 - Tech - Paranormal"/>
        <s v="142301 - Tech - Paranormal"/>
        <s v="109760 - Tech - Paranormal"/>
        <s v="100392 - Tech - Paranormal"/>
        <s v="109763 - Tech - Paranormal"/>
        <s v="7271 - Tech - Paranormal"/>
        <s v="7267 - Tech - Paranormal"/>
        <s v="128412 - Tech - Paranormal"/>
        <s v="7268 - Tech - Paranormal"/>
        <s v="124701 - Tech - Paranormal"/>
        <s v="110007 - Tech - Paranormal"/>
        <s v="7266 - Tech - Paranormal"/>
        <s v="7269 - Tech - Paranormal"/>
        <s v="100393 - Tech - Paranormal"/>
        <s v="110009 - Tech - Paranormal"/>
        <s v="100394 - Tech - Paranormal"/>
        <s v="118248 - Tech - Paranormal"/>
        <s v="118467 - Tech - Paranormal"/>
        <s v="118465 - Tech - Paranormal"/>
        <s v="118450 - Tech - Paranormal"/>
        <s v="118457 - Tech - Paranormal"/>
        <s v="118463 - Tech - Paranormal"/>
        <s v="118460 - Tech - Paranormal"/>
        <s v="121035 - Tech - Paranormal"/>
        <s v="122623 - Tech - Paranormal"/>
        <s v="118469 - Tech - Paranormal"/>
        <s v="184629 - Tech - Paranormal"/>
        <s v="44469 - Tech - Paranormal"/>
        <s v="98421 - Tech - Paranormal"/>
        <s v="149512 - Tech - Paranormal"/>
        <s v="101489 - Tech - Paranormal"/>
        <s v="7263 - Tech - Paranormal"/>
        <s v="149510 - Tech - Paranormal"/>
        <s v="124692 - Tech - Paranormal"/>
        <s v="7253 - Tech - Paranormal"/>
        <s v="109999 - Tech - Paranormal"/>
        <s v="101535 - Tech - Paranormal"/>
        <s v="181795 - Tech - Paranormal"/>
        <s v="124686 - Tech - Paranormal"/>
        <s v="110003 - Tech - Paranormal"/>
        <s v="124691 - Tech - Paranormal"/>
        <s v="98444 - Tech - Paranormal"/>
        <s v="110393 - Tech - Paranormal"/>
        <s v="7254 - Tech - Paranormal"/>
        <s v="86502 - Tech - Paranormal"/>
        <s v="98442 - Tech - Paranormal"/>
        <s v="7256 - Tech - Paranormal"/>
        <s v="110394 - Tech - Paranormal"/>
        <s v="120998 - Tech - Paranormal"/>
        <s v="17674 - Tech - Paranormal"/>
        <s v="102946 - Tech - Paranormal"/>
        <s v="102947 - Tech - Paranormal"/>
        <s v="98445 - Tech - Paranormal"/>
        <s v="109273 - Tech - Paranormal"/>
        <s v="44465 - Tech - Paranormal"/>
        <s v="44451 - Tech - Paranormal"/>
        <s v="17664 - Tech - Paranormal"/>
        <s v="44459 - Tech - Paranormal"/>
        <s v="110398 - Tech - Paranormal"/>
        <s v="149495 - Tech - Paranormal"/>
        <s v="124685 - Tech - Paranormal"/>
        <s v="110004 - Tech - Paranormal"/>
        <s v="111052 - Tech - Paranormal"/>
        <s v="102948 - Tech - Paranormal"/>
        <s v="110000 - Tech - Paranormal"/>
        <s v="7264 - Tech - Paranormal"/>
        <s v="110005 - Tech - Paranormal"/>
        <s v="124693 - Tech - Paranormal"/>
        <s v="86501 - Tech - Paranormal"/>
        <s v="101536 - Tech - Paranormal"/>
        <s v="101534 - Tech - Paranormal"/>
        <s v="110002 - Tech - Paranormal"/>
        <s v="110001 - Tech - Paranormal"/>
        <s v="111051 - Tech - Paranormal"/>
        <s v="7258 - Tech - Paranormal"/>
        <s v="111053 - Tech - Paranormal"/>
        <s v="120996 - Tech - Paranormal"/>
        <s v="109746 - Tech - Paranormal"/>
        <s v="147288 - Tech - Paranormal"/>
        <s v="120997 - Tech - Paranormal"/>
        <s v="109742 - Tech - Paranormal"/>
        <s v="156013 - Tech - Paranormal"/>
        <s v="98426 - Tech - Paranormal"/>
        <s v="110006 - Tech - Paranormal"/>
        <s v="110409 - Tech - Paranormal"/>
        <s v="117774 - Tech - Paranormal"/>
        <s v="110411 - Tech - Paranormal"/>
        <s v="86743 - Tech - Paranormal"/>
        <s v="86691 - Tech - Paranormal"/>
        <s v="7257 - Tech - Paranormal"/>
        <s v="77706 - Tech - Paranormal"/>
        <s v="122599 - Tech - Paranormal"/>
        <s v="109741 - Tech - Paranormal"/>
        <s v="69064 - Tech - Paranormal"/>
        <s v="119447 - Tech - Paranormal"/>
        <s v="111730 - Tech - Paranormal"/>
        <s v="100437 - Tech - Paranormal"/>
        <s v="92304 - Tech - Paranormal"/>
        <s v="103655 - Tech - Paranormal"/>
        <s v="103656 - Tech - Paranormal"/>
        <s v="103704 - Tech - Paranormal"/>
        <s v="46759 - Tech - Paranormal"/>
        <s v="113594 - History - Young Adult Fiction"/>
        <s v="111791 - History - Young Adult Fiction"/>
        <s v="44674 - History - Ancient History"/>
        <s v="48639 - History - Ancient History"/>
        <s v="76559 - History - Ancient History"/>
        <s v="22112 - History - Ancient History"/>
        <s v="84390 - History - Ancient History"/>
        <s v="100327 - History - Ancient History"/>
        <s v="81427 - History - Ancient History"/>
        <s v="19847 - History - Ancient History"/>
        <s v="121989 - History - Ancient History"/>
        <s v="3431 - History - Ancient History"/>
        <s v="68858 - History - Ancient History"/>
        <s v="147279 - History - Ancient History"/>
        <s v="19853 - History - Ancient History"/>
        <s v="84315 - History - Ancient History"/>
        <s v="3433 - History - Ancient History"/>
        <s v="48640 - History - Ancient History"/>
        <s v="81678 - History - Ancient History"/>
        <s v="117528 - History - Ancient History"/>
        <s v="84324 - History - Ancient History"/>
        <s v="3420 - History - Ancient History"/>
        <s v="19837 - History - Ancient History"/>
        <s v="19835 - History - Ancient History"/>
        <s v="69109 - History - Ancient History"/>
        <s v="104387 - History - Ancient History"/>
        <s v="19843 - History - Ancient History"/>
        <s v="117523 - History - Ancient History"/>
        <s v="121981 - History - Ancient History"/>
        <s v="121993 - History - Ancient History"/>
        <s v="81389 - History - Ancient History"/>
        <s v="99473 - History - Ancient History"/>
        <s v="81393 - History - Ancient History"/>
        <s v="104364 - History - Ancient History"/>
        <s v="76602 - History - Ancient History"/>
        <s v="119824 - History - Ancient History"/>
        <s v="112618 - History - Ancient History"/>
        <s v="112617 - History - Ancient History"/>
        <s v="113963 - History - Ancient History"/>
        <s v="104359 - History - Ancient History"/>
        <s v="81675 - History - Ancient History"/>
        <s v="84835 - History - Ancient History"/>
        <s v="81680 - History - Ancient History"/>
        <s v="104361 - History - Ancient History"/>
        <s v="83080 - History - Ancient History"/>
        <s v="84930 - History - Ancient History"/>
        <s v="19848 - History - Ancient History"/>
        <s v="104362 - History - Ancient History"/>
        <s v="92122 - History - Ancient History"/>
        <s v="15854 - History - Ancient History"/>
        <s v="81383 - History - Ancient History"/>
        <s v="81430 - History - Ancient History"/>
        <s v="84325 - History - Ancient History"/>
        <s v="127244 - History - Ancient History"/>
        <s v="15865 - History - Ancient History"/>
        <s v="121996 - History - Ancient History"/>
        <s v="93083 - History - Ancient History"/>
        <s v="3426 - History - Ancient History"/>
        <s v="111349 - History - Ancient History"/>
        <s v="74917 - History - Ancient History"/>
        <s v="69127 - History - Ancient History"/>
        <s v="84819 - History - Ancient History"/>
        <s v="104367 - History - Ancient History"/>
        <s v="121997 - History - Ancient History"/>
        <s v="117499 - History - Ancient History"/>
        <s v="69125 - History - Ancient History"/>
        <s v="19850 - History - Ancient History"/>
        <s v="3425 - History - Ancient History"/>
        <s v="84913 - History - Ancient History"/>
        <s v="120378 - Fiction - Medieval History"/>
        <s v="5905 - Fiction - Medieval History"/>
        <s v="23213 - Fiction - Medieval History"/>
        <s v="47168 - Fiction - Medieval History"/>
        <s v="102990 - Fiction - Medieval History"/>
        <s v="46441 - Fiction - Medieval History"/>
        <s v="11085 - Fiction - Medieval History"/>
        <s v="96441 - Fiction - Medieval History"/>
        <s v="82131 - Fiction - Medieval History"/>
        <s v="46440 - Fiction - Medieval History"/>
        <s v="23214 - Fiction - Medieval History"/>
        <s v="82134 - Fiction - Medieval History"/>
        <s v="46439 - Fiction - Medieval History"/>
        <s v="116451 - Fiction - Medieval History"/>
        <s v="147340 - Fiction - Medieval History"/>
        <s v="140602 - Fiction - Medieval History"/>
        <s v="109174 - Fiction - Medieval History"/>
        <s v="2795 - Fiction - Medieval History"/>
        <s v="141867 - Fiction - Medieval History"/>
        <s v="118152 - Fiction - Medieval History"/>
        <s v="1607 - Fiction - Medieval History"/>
        <s v="71322 - Fiction - Medieval History"/>
        <s v="88773 - Fiction - Medieval History"/>
        <s v="46964 - Fiction - Medieval History"/>
        <s v="104454 - Fiction - Medieval History"/>
        <s v="8003 - Fiction - Medieval History"/>
        <s v="90183 - Fiction - Medieval History"/>
        <s v="45489 - Fiction - Medieval History"/>
        <s v="147337 - Fiction - Medieval History"/>
        <s v="116446 - Fiction - Medieval History"/>
        <s v="44760 - Fiction - Medieval History"/>
        <s v="44764 - Fiction - Medieval History"/>
        <s v="72801 - Fiction - Medieval History"/>
        <s v="86573 - Fiction - Medieval History"/>
        <s v="107784 - Fiction - Medieval History"/>
        <s v="103388 - Fiction - Medieval History"/>
        <s v="8004 - Fiction - Medieval History"/>
        <s v="103387 - Fiction - Medieval History"/>
        <s v="76731 - Fiction - Medieval History"/>
        <s v="116449 - Fiction - Medieval History"/>
        <s v="95211 - Fiction - Medieval History"/>
        <s v="118255 - Fiction - Medieval History"/>
        <s v="8010 - Fiction - Medieval History"/>
        <s v="128351 - Fiction - Medieval History"/>
        <s v="12452 - Fiction - Medieval History"/>
        <s v="108996 - Fiction - Medieval History"/>
        <s v="15638 - Fiction - Medieval History"/>
        <s v="118109 - Fiction - Medieval History"/>
        <s v="15634 - Fiction - Medieval History"/>
        <s v="2802 - Fiction - Medieval History"/>
        <s v="46962 - Fiction - Medieval History"/>
        <s v="128348 - Fiction - Medieval History"/>
        <s v="108963 - Fiction - Medieval History"/>
        <s v="2800 - Fiction - Medieval History"/>
        <s v="12451 - Fiction - Medieval History"/>
        <s v="19024 - Fiction - Medieval History"/>
        <s v="9472 - Fiction - Medieval History"/>
        <s v="1587 - Fiction - Medieval History"/>
        <s v="118262 - Fiction - Medieval History"/>
        <s v="44739 - Fiction - Medieval History"/>
        <s v="199855 - Fiction - Medieval History"/>
        <s v="71674 - Fiction - Medieval History"/>
        <s v="101357 - Fiction - Medieval History"/>
        <s v="121066 - Fiction - Medieval History"/>
        <s v="72818 - Fiction - Medieval History"/>
        <s v="109178 - Fiction - Medieval History"/>
        <s v="114876 - Fiction - Medieval History"/>
        <s v="9471 - Fiction - Medieval History"/>
        <s v="87840 - Fiction - Medieval History"/>
        <s v="72816 - Fiction - Medieval History"/>
        <s v="122354 - Fiction - Medieval History"/>
        <s v="109188 - Fiction - Medieval History"/>
        <s v="7999 - Fiction - Medieval History"/>
        <s v="9469 - Fiction - Medieval History"/>
        <s v="46955 - Fiction - Medieval History"/>
        <s v="9464 - Fiction - Medieval History"/>
        <s v="79485 - Fiction - Medieval History"/>
        <s v="118224 - Fiction - Medieval History"/>
        <s v="122353 - Fiction - Medieval History"/>
        <s v="1584 - Fiction - Medieval History"/>
        <s v="2792 - Fiction - Medieval History"/>
        <s v="109187 - Fiction - Medieval History"/>
        <s v="118257 - Fiction - Medieval History"/>
        <s v="7995 - Fiction - Medieval History"/>
        <s v="99360 - Fiction - Medieval History"/>
        <s v="118156 - Fiction - Medieval History"/>
        <s v="44943 - Fiction - Medieval History"/>
        <s v="9462 - Fiction - Medieval History"/>
        <s v="79501 - Fiction - Medieval History"/>
        <s v="97161 - Fiction - Medieval History"/>
        <s v="112842 - Fiction - Medieval History"/>
        <s v="109180 - Fiction - Medieval History"/>
        <s v="46954 - Fiction - Medieval History"/>
        <s v="79500 - Fiction - Medieval History"/>
        <s v="99302 - Fiction - Medieval History"/>
        <s v="105026 - Fiction - Medieval History"/>
        <s v="19972 - Fiction - Medieval History"/>
        <s v="99233 - Fiction - Medieval History"/>
        <s v="118260 - Fiction - Medieval History"/>
        <s v="128398 - Fiction - Medieval History"/>
        <s v="8001 - Fiction - Medieval History"/>
        <s v="106782 - Fiction - Medieval History"/>
        <s v="110793 - Fiction - Medieval History"/>
        <s v="86808 - Fiction - Medieval History"/>
        <s v="50367 - Fiction - Medieval History"/>
        <s v="102750 - Fiction - Medieval History"/>
        <s v="102758 - Fiction - Medieval History"/>
        <s v="86787 - Fiction - Medieval History"/>
        <s v="102740 - Fiction - Medieval History"/>
        <s v="102734 - Fiction - Medieval History"/>
        <s v="102751 - Fiction - Medieval History"/>
        <s v="102752 - Fiction - Medieval History"/>
        <s v="102735 - Fiction - Medieval History"/>
        <s v="86793 - Fiction - Medieval History"/>
        <s v="86792 - Fiction - Medieval History"/>
        <s v="86785 - Fiction - Medieval History"/>
        <s v="102773 - Fiction - Medieval History"/>
        <s v="42807 - Fiction - Medieval History"/>
        <s v="42809 - Fiction - Medieval History"/>
        <s v="86821 - Fiction - Medieval History"/>
        <s v="110719 - Fiction - Medieval History"/>
        <s v="86818 - Fiction - Medieval History"/>
        <s v="71318 - Fiction - Medieval History"/>
        <s v="122303 - Fiction - Medieval History"/>
        <s v="110716 - Fiction - Medieval History"/>
        <s v="9480 - Fiction - Medieval History"/>
        <s v="113920 - Fiction - Medieval History"/>
        <s v="166088 - Fiction - Medieval History"/>
        <s v="122712 - Fiction - Medieval History"/>
        <s v="86523 - Fiction - Medieval History"/>
        <s v="106773 - Fiction - Medieval History"/>
        <s v="128356 - Fiction - Medieval History"/>
        <s v="28897 - Fiction - Medieval History"/>
        <s v="181502 - Fiction - Medieval History"/>
        <s v="13368 - Fiction - Medieval History"/>
        <s v="105178 - Fiction - Medieval History"/>
        <s v="158445 - Fiction - Medieval History"/>
        <s v="105861 - Fiction - Medieval History"/>
        <s v="28668 - Fiction - Medieval History"/>
        <s v="28661 - Fiction - Medieval History"/>
        <s v="13349 - Fiction - Medieval History"/>
        <s v="1634 - Fiction - Medieval History"/>
        <s v="86524 - Fiction - Medieval History"/>
        <s v="86531 - Fiction - Medieval History"/>
        <s v="95210 - Fiction - Medieval History"/>
        <s v="158450 - Fiction - Medieval History"/>
        <s v="103080 - Fiction - Medieval History"/>
        <s v="121067 - Fiction - Medieval History"/>
        <s v="41513 - Fiction - Medieval History"/>
        <s v="166089 - Fiction - Medieval History"/>
        <s v="26446 - Fiction - Medieval History"/>
        <s v="13350 - Fiction - Medieval History"/>
        <s v="111728 - Fiction - Medieval History"/>
        <s v="28883 - Fiction - Medieval History"/>
        <s v="121068 - Fiction - Medieval History"/>
        <s v="181499 - Fiction - Medieval History"/>
        <s v="16097 - Fiction - Medieval History"/>
        <s v="117247 - Fiction - Medieval History"/>
        <s v="1732 - Fiction - Medieval History"/>
        <s v="105174 - Fiction - Medieval History"/>
        <s v="128357 - Fiction - Medieval History"/>
        <s v="166090 - Fiction - Medieval History"/>
        <s v="121070 - Fiction - Medieval History"/>
        <s v="80818 - Fiction - Medieval History"/>
        <s v="13367 - Fiction - Medieval History"/>
        <s v="44329 - Fiction - Medieval History"/>
        <s v="70879 - Fiction - Medieval History"/>
        <s v="99266 - Fiction - Medieval History"/>
        <s v="88216 - Fiction - Medieval History"/>
        <s v="28590 - Fiction - Medieval History"/>
        <s v="88215 - Fiction - Medieval History"/>
        <s v="81771 - Fiction - Medieval History"/>
        <s v="194520 - Fiction - Medieval History"/>
        <s v="5901 - Fiction - Medieval History"/>
        <s v="156054 - Fiction - Medieval History"/>
        <s v="5869 - Fiction - Medieval History"/>
        <s v="7343 - Fiction - Medieval History"/>
        <s v="88218 - Fiction - Medieval History"/>
        <s v="99263 - Fiction - Medieval History"/>
        <s v="7357 - Fiction - Medieval History"/>
        <s v="28591 - Fiction - Medieval History"/>
        <s v="5871 - Fiction - Medieval History"/>
        <s v="81772 - Fiction - Medieval History"/>
        <s v="110587 - Fiction - Medieval History"/>
        <s v="5870 - Fiction - Medieval History"/>
        <s v="158444 - Fiction - Medieval History"/>
        <s v="80785 - Fiction - Medieval History"/>
        <s v="110586 - Fiction - Medieval History"/>
        <s v="99264 - Fiction - Medieval History"/>
        <s v="110977 - Fiction - Medieval History"/>
        <s v="45529 - Fiction - Medieval History"/>
        <s v="84030 - Fiction - Medieval History"/>
        <s v="99262 - Fiction - Medieval History"/>
        <s v="110722 - Fiction - Medieval History"/>
        <s v="80781 - Fiction - Medieval History"/>
        <s v="122700 - Fiction - Medieval History"/>
        <s v="111783 - Fiction - Medieval History"/>
        <s v="110724 - Fiction - Medieval History"/>
        <s v="13348 - Fiction - Medieval History"/>
        <s v="28595 - Fiction - Medieval History"/>
        <s v="81770 - Fiction - Medieval History"/>
        <s v="85059 - Fiction - Medieval History"/>
        <s v="110597 - Fiction - Medieval History"/>
        <s v="7358 - Fiction - Medieval History"/>
        <s v="86583 - Fiction - Medieval History"/>
        <s v="98100 - Fiction - Medieval History"/>
        <s v="118154 - Fiction - Medieval History"/>
        <s v="42840 - Fiction - Medieval History"/>
        <s v="47175 - Fiction - Medieval History"/>
        <s v="112013 - Fiction - Medieval History"/>
        <s v="107953 - Fiction - Medieval History"/>
        <s v="44738 - Fiction - Medieval History"/>
        <s v="103386 - Fiction - Medieval History"/>
        <s v="86815 - Fiction - Medieval History"/>
        <s v="46953 - Fiction - Medieval History"/>
        <s v="108732 - Fiction - Medieval History"/>
        <s v="118227 - Fiction - Medieval History"/>
        <s v="122484 - Fiction - Medieval History"/>
        <s v="71326 - Fiction - Medieval History"/>
        <s v="110794 - Fiction - Medieval History"/>
        <s v="80066 - Fiction - Medieval History"/>
        <s v="106776 - Fiction - Medieval History"/>
        <s v="113608 - Fiction - Medieval History"/>
        <s v="116454 - Fiction - Medieval History"/>
        <s v="108724 - Fiction - Medieval History"/>
        <s v="118253 - Fiction - Medieval History"/>
        <s v="110567 - Fiction - Medieval History"/>
        <s v="122697 - Fiction - Medieval History"/>
        <s v="109190 - Fiction - Medieval History"/>
        <s v="109191 - Fiction - Medieval History"/>
        <s v="44759 - Fiction - Medieval History"/>
        <s v="109192 - Fiction - Medieval History"/>
        <s v="113605 - Fiction - Medieval History"/>
        <s v="147339 - Fiction - Medieval History"/>
        <s v="118068 - Fiction - Medieval History"/>
        <s v="44758 - Fiction - Medieval History"/>
        <s v="110579 - Fiction - Medieval History"/>
        <s v="116437 - Fiction - Medieval History"/>
        <s v="9519 - Fiction - Medieval History"/>
        <s v="147338 - Fiction - Medieval History"/>
        <s v="118250 - Fiction - Medieval History"/>
        <s v="20053 - Fiction - Medieval History"/>
        <s v="71321 - Fiction - Medieval History"/>
        <s v="79503 - Fiction - Medieval History"/>
        <s v="99270 - Fiction - Medieval History"/>
        <s v="112848 - Fiction - Medieval History"/>
        <s v="13369 - Fiction - Medieval History"/>
        <s v="147336 - Fiction - Medieval History"/>
        <s v="114899 - Fiction - Medieval History"/>
        <s v="113607 - Fiction - Medieval History"/>
        <s v="47183 - Fiction - Medieval History"/>
        <s v="78338 - Fiction - Medieval History"/>
        <s v="9526 - Fiction - Medieval History"/>
        <s v="107910 - Fiction - Medieval History"/>
        <s v="20056 - Fiction - Medieval History"/>
        <s v="108951 - Fiction - Medieval History"/>
        <s v="107783 - Fiction - Medieval History"/>
        <s v="80798 - Fiction - Medieval History"/>
        <s v="108950 - Fiction - Medieval History"/>
        <s v="112847 - Fiction - Medieval History"/>
        <s v="109202 - Fiction - Medieval History"/>
        <s v="109198 - Fiction - Medieval History"/>
        <s v="108990 - Fiction - Medieval History"/>
        <s v="72815 - Fiction - Medieval History"/>
        <s v="9479 - Fiction - Medieval History"/>
        <s v="46961 - Fiction - Medieval History"/>
        <s v="122352 - Fiction - Medieval History"/>
        <s v="44750 - Fiction - Medieval History"/>
        <s v="114405 - Fiction - Medieval History"/>
        <s v="2797 - Fiction - Medieval History"/>
        <s v="79499 - Fiction - Medieval History"/>
        <s v="5902 - Fiction - Medieval History"/>
        <s v="46956 - Fiction - Medieval History"/>
        <s v="11490 - Fiction - Medieval History"/>
        <s v="8027 - Fiction - Medieval History"/>
        <s v="121588 - Fiction - Medieval History"/>
        <s v="1279 - Fiction - Medieval History"/>
        <s v="5978 - Fiction - Medieval History"/>
        <s v="72813 - Fiction - Medieval History"/>
        <s v="9486 - Fiction - Medieval History"/>
        <s v="2791 - Fiction - Medieval History"/>
        <s v="109206 - Fiction - Medieval History"/>
        <s v="9478 - Fiction - Medieval History"/>
        <s v="122699 - Fiction - Medieval History"/>
        <s v="2794 - Fiction - Medieval History"/>
        <s v="109200 - Fiction - Medieval History"/>
        <s v="118263 - Fiction - Medieval History"/>
        <s v="71320 - Fiction - Medieval History"/>
        <s v="108944 - Fiction - Medieval History"/>
        <s v="122693 - Fiction - Medieval History"/>
        <s v="20049 - Fiction - Medieval History"/>
        <s v="20055 - Fiction - Medieval History"/>
        <s v="112845 - Fiction - Medieval History"/>
        <s v="9490 - Fiction - Medieval History"/>
        <s v="105034 - Fiction - Medieval History"/>
        <s v="122680 - Fiction - Medieval History"/>
        <s v="112846 - Fiction - Medieval History"/>
        <s v="80816 - Fiction - Medieval History"/>
        <s v="44749 - Fiction - Medieval History"/>
        <s v="79498 - Fiction - Medieval History"/>
        <s v="2799 - Fiction - Medieval History"/>
        <s v="194401 - Fiction - Medieval History"/>
        <s v="5291 - Fiction - Medieval History"/>
        <s v="2796 - Fiction - Medieval History"/>
        <s v="71325 - Fiction - Medieval History"/>
        <s v="2793 - Fiction - Medieval History"/>
        <s v="102781 - Fiction - Medieval History"/>
        <s v="109201 - Fiction - Medieval History"/>
        <s v="72814 - Fiction - Medieval History"/>
        <s v="122351 - Fiction - Medieval History"/>
        <s v="99298 - Fiction - Medieval History"/>
        <s v="3731 - Fiction - Medieval History"/>
        <s v="11489 - Fiction - Medieval History"/>
        <s v="122302 - Fiction - Medieval History"/>
        <s v="28838 - Fiction - Medieval History"/>
        <s v="72843 - Fiction - Medieval History"/>
        <s v="80809 - Fiction - Medieval History"/>
        <s v="127006 - Tech - Early Modern History"/>
        <s v="82448 - Tech - Early Modern History"/>
        <s v="13028 - Tech - Early Modern History"/>
        <s v="118577 - Tech - Early Modern History"/>
        <s v="117890 - Tech - Early Modern History"/>
        <s v="118617 - Tech - Early Modern History"/>
        <s v="109995 - Tech - Early Modern History"/>
        <s v="109996 - Tech - Early Modern History"/>
        <s v="49107 - Tech - Modern History"/>
        <s v="29585 - Tech - Modern History"/>
        <s v="111677 - Tech - Modern History"/>
        <s v="93102 - Tech - Modern History"/>
        <s v="30712 - Tech - Modern History"/>
        <s v="89128 - Tech - Modern History"/>
        <s v="29587 - Tech - Modern History"/>
        <s v="30711 - Tech - Modern History"/>
        <s v="45306 - Tech - Modern History"/>
        <s v="120803 - Tech - Modern History"/>
        <s v="108004 - Tech - Modern History"/>
        <s v="92205 - Tech - Modern History"/>
        <s v="119509 - Tech - Modern History"/>
        <s v="109056 - Tech - Modern History"/>
        <s v="45305 - Tech - Modern History"/>
        <s v="29582 - Tech - Modern History"/>
        <s v="111676 - Tech - Modern History"/>
        <s v="30578 - Tech - Modern History"/>
        <s v="93095 - Tech - Modern History"/>
        <s v="70036 - Tech - Modern History"/>
        <s v="90498 - Tech - Modern History"/>
        <s v="89127 - Tech - Modern History"/>
        <s v="75215 - Tech - Modern History"/>
        <s v="119566 - Tech - Modern History"/>
        <s v="92208 - Tech - Modern History"/>
        <s v="119579 - Tech - Modern History"/>
        <s v="45309 - Tech - Modern History"/>
        <s v="30743 - Tech - Modern History"/>
        <s v="49108 - Tech - Modern History"/>
        <s v="29584 - Tech - Modern History"/>
        <s v="119501 - Tech - Modern History"/>
        <s v="30504 - Tech - Modern History"/>
        <s v="93101 - Tech - Modern History"/>
        <s v="30749 - Tech - Modern History"/>
        <s v="120813 - Tech - Modern History"/>
        <s v="29590 - Tech - Modern History"/>
        <s v="118662 - Tech - Modern History"/>
        <s v="30478 - Tech - Modern History"/>
        <s v="90475 - Tech - Modern History"/>
        <s v="29530 - Tech - Modern History"/>
        <s v="81528 - Tech - Modern History"/>
        <s v="100436 - Tech - Modern History"/>
        <s v="29499 - Tech - Modern History"/>
        <s v="30683 - Tech - Modern History"/>
        <s v="69906 - Tech - Modern History"/>
        <s v="90174 - Tech - Modern History"/>
        <s v="90168 - Tech - Modern History"/>
        <s v="79488 - Tech - Modern History"/>
        <s v="119640 - Tech - Modern History"/>
        <s v="119515 - Tech - Modern History"/>
        <s v="103685 - Tech - Modern History"/>
        <s v="111617 - Tech - Modern History"/>
        <s v="98637 - Tech - Modern History"/>
        <s v="90159 - Tech - Modern History"/>
        <s v="76651 - Tech - Modern History"/>
        <s v="119531 - Tech - Modern History"/>
        <s v="93884 - Tech - Modern History"/>
        <s v="79467 - Tech - Modern History"/>
        <s v="29532 - Tech - Modern History"/>
        <s v="104063 - Tech - Modern History"/>
        <s v="90166 - Tech - Modern History"/>
        <s v="29538 - Tech - Modern History"/>
        <s v="70538 - Tech - Modern History"/>
        <s v="93893 - Tech - Modern History"/>
        <s v="119518 - Tech - Modern History"/>
        <s v="111338 - Tech - Modern History"/>
        <s v="100435 - Tech - Modern History"/>
        <s v="89130 - Tech - Modern History"/>
        <s v="103695 - Tech - Modern History"/>
        <s v="90201 - Tech - Modern History"/>
        <s v="70025 - Tech - Modern History"/>
        <s v="29485 - Tech - Modern History"/>
        <s v="119530 - Tech - Modern History"/>
        <s v="103671 - Tech - Modern History"/>
        <s v="102803 - Tech - Modern History"/>
        <s v="122156 - Tech - Modern History"/>
        <s v="103688 - Tech - Modern History"/>
        <s v="128303 - Tech - Modern History"/>
        <s v="122164 - Tech - Modern History"/>
        <s v="119629 - Tech - Modern History"/>
        <s v="122238 - Tech - Modern History"/>
        <s v="100106 - Tech - Modern History"/>
        <s v="74260 - Tech - Modern History"/>
        <s v="122159 - Tech - Modern History"/>
        <s v="100104 - Tech - Modern History"/>
        <s v="103702 - Tech - Modern History"/>
        <s v="103696 - Tech - Modern History"/>
        <s v="111083 - Tech - Modern History"/>
        <s v="76658 - Tech - Modern History"/>
        <s v="111339 - Tech - Modern History"/>
        <s v="79491 - Tech - Modern History"/>
        <s v="110380 - Tech - Modern History"/>
        <s v="111341 - Tech - Modern History"/>
        <s v="81785 - Tech - Modern History"/>
        <s v="89155 - Tech - Modern History"/>
        <s v="90253 - Tech - Modern History"/>
        <s v="119544 - Tech - Modern History"/>
        <s v="108675 - Tech - Modern History"/>
        <s v="119542 - Tech - Modern History"/>
        <s v="30752 - Tech - Modern History"/>
        <s v="116180 - Law - World War I"/>
        <s v="96953 - Law - World War I"/>
        <s v="118303 - Law - World War I"/>
        <s v="117222 - Law - World War I"/>
        <s v="5620 - Law - World War I"/>
        <s v="122346 - Law - World War I"/>
        <s v="96968 - Law - World War I"/>
        <s v="126578 - Law - World War I"/>
        <s v="126581 - Law - World War I"/>
        <s v="96956 - Law - World War I"/>
        <s v="116774 - Law - World War I"/>
        <s v="147293 - Law - World War I"/>
        <s v="119228 - Law - World War I"/>
        <s v="5618 - Law - World War I"/>
        <s v="126579 - Law - World War I"/>
        <s v="117219 - Law - World War I"/>
        <s v="44110 - Law - World War I"/>
        <s v="76223 - Law - World War I"/>
        <s v="48406 - Law - World War I"/>
        <s v="77514 - Law - World War I"/>
        <s v="117221 - Law - World War I"/>
        <s v="115602 - Law - World War I"/>
        <s v="44107 - Law - World War I"/>
        <s v="115604 - Law - World War I"/>
        <s v="118926 - Law - World War I"/>
        <s v="118304 - Law - World War I"/>
        <s v="5621 - Law - World War I"/>
        <s v="44105 - Law - World War I"/>
        <s v="126580 - Law - World War I"/>
        <s v="5624 - Law - World War I"/>
        <s v="88679 - Law - World War I"/>
        <s v="118305 - Law - World War I"/>
        <s v="60380 - Law - World War I"/>
        <s v="77475 - Law - World War I"/>
        <s v="110577 - Law - World War I"/>
        <s v="110571 - Law - World War I"/>
        <s v="103835 - Law - World War I"/>
        <s v="5646 - Law - World War I"/>
        <s v="5649 - Law - World War I"/>
        <s v="5647 - Law - World War I"/>
        <s v="5648 - Law - World War I"/>
        <s v="108292 - Law - World War I"/>
        <s v="110572 - Law - World War I"/>
        <s v="77456 - Law - World War I"/>
        <s v="77454 - Law - World War I"/>
        <s v="44095 - Law - World War I"/>
        <s v="87419 - Law - World War I"/>
        <s v="44087 - Law - World War I"/>
        <s v="44129 - Law - World War I"/>
        <s v="103832 - Law - World War I"/>
        <s v="103819 - Law - World War I"/>
        <s v="88683 - Law - World War I"/>
        <s v="5676 - Law - World War I"/>
        <s v="116776 - Law - World War I"/>
        <s v="5668 - Law - World War I"/>
        <s v="119052 - Law - World War I"/>
        <s v="118920 - Law - World War I"/>
        <s v="96003 - Law - World War I"/>
        <s v="116380 - Law - World War I"/>
        <s v="46291 - Law - World War I"/>
        <s v="148742 - Law - World War I"/>
        <s v="83634 - Law - World War I"/>
        <s v="5657 - Law - World War I"/>
        <s v="78856 - Law - World War I"/>
        <s v="44123 - Law - World War I"/>
        <s v="78855 - Law - World War I"/>
        <s v="48408 - Law - World War I"/>
        <s v="46303 - Law - World War I"/>
        <s v="147274 - Law - World War I"/>
        <s v="44144 - Law - World War I"/>
        <s v="96972 - Law - World War I"/>
        <s v="5665 - Law - World War I"/>
        <s v="26072 - Law - World War I"/>
        <s v="5631 - Law - World War I"/>
        <s v="104316 - Law - World War I"/>
        <s v="83612 - Law - World War I"/>
        <s v="87425 - Law - World War I"/>
        <s v="115611 - Law - World War I"/>
        <s v="88688 - Law - World War I"/>
        <s v="83605 - Law - World War I"/>
        <s v="44125 - Law - World War I"/>
        <s v="83639 - Law - World War I"/>
        <s v="5656 - Law - World War I"/>
        <s v="88686 - Law - World War I"/>
        <s v="83601 - Law - World War I"/>
        <s v="48407 - Law - World War I"/>
        <s v="5692 - Law - World War I"/>
        <s v="112803 - Law - World War I"/>
        <s v="83600 - Law - World War I"/>
        <s v="83621 - Law - World War I"/>
        <s v="115599 - Law - World War I"/>
        <s v="83598 - Law - World War I"/>
        <s v="5652 - Law - World War I"/>
        <s v="122661 - Law - World War I"/>
        <s v="116384 - Law - World War I"/>
        <s v="78859 - Law - World War I"/>
        <s v="87096 - Law - World War I"/>
        <s v="87428 - Law - World War I"/>
        <s v="5690 - Law - World War I"/>
        <s v="5663 - Law - World War I"/>
        <s v="5654 - Law - World War I"/>
        <s v="44607 - Law - World War I"/>
        <s v="5662 - Law - World War I"/>
        <s v="87426 - Law - World War I"/>
        <s v="5680 - Law - World War I"/>
        <s v="5661 - Law - World War I"/>
        <s v="83629 - Law - World War I"/>
        <s v="83599 - Law - World War I"/>
        <s v="83625 - Law - World War I"/>
        <s v="87887 - Law - World War I"/>
        <s v="118923 - Law - World War I"/>
        <s v="87421 - Law - World War I"/>
        <s v="117531 - Law - World War I"/>
        <s v="122267 - Law - World War I"/>
        <s v="117527 - Law - World War I"/>
        <s v="44138 - Law - World War I"/>
        <s v="117529 - Law - World War I"/>
        <s v="122269 - Law - World War I"/>
        <s v="87886 - Law - World War I"/>
        <s v="104317 - Law - World War I"/>
        <s v="114943 - Law - World War I"/>
        <s v="44134 - Law - World War I"/>
        <s v="5637 - Law - World War I"/>
        <s v="5641 - Law - World War I"/>
        <s v="147323 - Law - World War I"/>
        <s v="44118 - Law - World War I"/>
        <s v="115608 - Law - World War I"/>
        <s v="44127 - Law - World War I"/>
        <s v="122348 - Law - World War I"/>
        <s v="147304 - Law - World War I"/>
        <s v="118310 - Law - World War I"/>
        <s v="77175 - Law - World War I"/>
        <s v="5645 - Law - World War I"/>
        <s v="76679 - Law - World War I"/>
        <s v="5635 - Law - World War I"/>
        <s v="110960 - Law - World War I"/>
        <s v="108290 - Law - World War I"/>
        <s v="117680 - Law - World War I"/>
        <s v="77183 - Law - World War I"/>
        <s v="147322 - Law - World War I"/>
        <s v="44120 - Law - World War I"/>
        <s v="44115 - Law - World War I"/>
        <s v="44117 - Law - World War I"/>
        <s v="76670 - Law - World War I"/>
        <s v="122347 - Law - World War I"/>
        <s v="112462 - Law - World War I"/>
        <s v="5636 - Law - World War I"/>
        <s v="112464 - Law - World War I"/>
        <s v="5639 - Law - World War I"/>
        <s v="44147 - Law - World War I"/>
        <s v="5638 - Law - World War I"/>
        <s v="103074 - Law - World War I"/>
        <s v="45913 - Law - World War I"/>
        <s v="120044 - Law - World War I"/>
        <s v="90973 - Law - World War I"/>
        <s v="103830 - Law - World War I"/>
        <s v="111765 - Law - World War I"/>
        <s v="45952 - Law - World War I"/>
        <s v="91749 - Law - World War I"/>
        <s v="120040 - Law - World War I"/>
        <s v="17143 - Law - World War I"/>
        <s v="120515 - Law - World War I"/>
        <s v="120045 - Law - World War I"/>
        <s v="122268 - Law - World War I"/>
        <s v="195737 - Law - World War I"/>
        <s v="78759 - Law - World War I"/>
        <s v="8857 - Law - World War I"/>
        <s v="8860 - Law - World War I"/>
        <s v="182790 - Law - World War I"/>
        <s v="120042 - Law - World War I"/>
        <s v="114941 - Law - World War I"/>
        <s v="108473 - Law - World War I"/>
        <s v="90968 - Law - World War I"/>
        <s v="114929 - Law - World War I"/>
        <s v="68868 - Law - World War I"/>
        <s v="103831 - Law - World War I"/>
        <s v="83272 - Law - World War I"/>
        <s v="120046 - Law - World War I"/>
        <s v="181989 - Finance - World War II"/>
        <s v="84359 - Finance - World War II"/>
        <s v="102939 - Finance - World War II"/>
        <s v="111504 - Finance - World War II"/>
        <s v="75678 - Finance - World War II"/>
        <s v="79005 - Finance - World War II"/>
        <s v="188360 - Finance - World War II"/>
        <s v="79695 - Self-Help - Cold War"/>
        <s v="73768 - Self-Help - Cold War"/>
        <s v="44663 - Self-Help - Cold War"/>
        <s v="766 - Self-Help - Cold War"/>
        <s v="109961 - Fiction - Military History"/>
        <s v="109932 - Fiction - Military History"/>
        <s v="109956 - Fiction - Military History"/>
        <s v="109962 - Fiction - Military History"/>
        <s v="101622 - Fiction - Military History"/>
        <s v="101623 - Fiction - Military History"/>
        <s v="4513 - Fiction - Military History"/>
        <s v="24648 - Fiction - Military History"/>
        <s v="16386 - Fiction - Military History"/>
        <s v="16383 - Fiction - Military History"/>
        <s v="113588 - Fiction - Military History"/>
        <s v="99392 - Fiction - Military History"/>
        <s v="99412 - Fiction - Military History"/>
        <s v="25306 - Fiction - Military History"/>
        <s v="99399 - Fiction - Military History"/>
        <s v="25304 - Fiction - Military History"/>
        <s v="99400 - Fiction - Military History"/>
        <s v="80484 - Fiction - Military History"/>
        <s v="14477 - Fiction - Military History"/>
        <s v="95056 - History - Economic History"/>
        <s v="78519 - History - Economic History"/>
        <s v="90377 - History - Economic History"/>
        <s v="90375 - History - Economic History"/>
        <s v="112073 - Arts - Political History"/>
        <s v="101339 - Arts - Political History"/>
        <s v="92421 - Arts - Political History"/>
        <s v="112079 - Arts - Political History"/>
        <s v="44716 - Arts - Political History"/>
        <s v="89640 - Arts - Political History"/>
        <s v="112072 - Arts - Political History"/>
        <s v="112991 - Arts - Political History"/>
        <s v="101587 - Arts - Political History"/>
        <s v="10525 - Arts - Political History"/>
        <s v="121349 - Arts - Political History"/>
        <s v="127811 - Arts - Political History"/>
        <s v="81507 - Arts - Political History"/>
        <s v="78412 - Arts - Political History"/>
        <s v="109312 - Arts - Political History"/>
        <s v="78502 - Arts - Political History"/>
        <s v="111498 - Arts - Political History"/>
        <s v="87242 - Arts - Political History"/>
        <s v="139286 - Arts - Political History"/>
        <s v="10524 - Arts - Political History"/>
        <s v="78397 - Arts - Political History"/>
        <s v="78421 - Arts - Political History"/>
        <s v="23420 - Arts - Political History"/>
        <s v="78498 - Arts - Political History"/>
        <s v="78427 - Arts - Political History"/>
        <s v="119256 - Arts - Political History"/>
        <s v="44731 - Arts - Political History"/>
        <s v="86852 - Arts - Political History"/>
        <s v="103137 - Arts - Political History"/>
        <s v="95079 - Arts - Political History"/>
        <s v="121568 - Arts - Political History"/>
        <s v="89645 - Arts - Political History"/>
        <s v="44691 - Arts - Political History"/>
        <s v="94055 - Arts - Political History"/>
        <s v="101586 - Arts - Political History"/>
        <s v="106731 - Arts - Political History"/>
        <s v="87072 - Arts - Political History"/>
        <s v="44711 - Arts - Political History"/>
        <s v="78428 - Arts - Political History"/>
        <s v="10531 - Arts - Political History"/>
        <s v="158475 - Arts - Political History"/>
        <s v="89633 - Arts - Political History"/>
        <s v="86836 - Arts - Political History"/>
        <s v="44698 - Arts - Political History"/>
        <s v="127870 - Arts - Political History"/>
        <s v="141891 - Arts - Political History"/>
        <s v="78426 - Arts - Political History"/>
        <s v="77792 - Arts - Political History"/>
        <s v="21027 - Arts - Political History"/>
        <s v="95063 - Arts - Political History"/>
        <s v="30314 - Arts - Political History"/>
        <s v="19838 - Arts - Political History"/>
        <s v="111283 - Arts - Political History"/>
        <s v="87568 - Arts - Political History"/>
        <s v="78419 - Arts - Political History"/>
        <s v="106806 - Arts - Political History"/>
        <s v="78420 - Arts - Political History"/>
        <s v="78442 - Arts - Political History"/>
        <s v="78492 - Arts - Political History"/>
        <s v="80297 - Arts - Political History"/>
        <s v="44712 - Arts - Political History"/>
        <s v="89736 - Arts - Political History"/>
        <s v="83270 - Arts - Political History"/>
        <s v="101588 - Arts - Political History"/>
        <s v="104171 - Arts - Political History"/>
        <s v="101042 - Arts - Political History"/>
        <s v="108881 - Arts - Political History"/>
        <s v="87571 - Arts - Political History"/>
        <s v="44718 - Arts - Political History"/>
        <s v="44735 - Arts - Political History"/>
        <s v="21035 - Arts - Political History"/>
        <s v="30308 - Arts - Political History"/>
        <s v="44694 - Arts - Political History"/>
        <s v="78493 - Arts - Political History"/>
        <s v="78409 - Arts - Political History"/>
        <s v="86844 - Arts - Political History"/>
        <s v="86771 - Arts - Political History"/>
        <s v="78511 - Arts - Political History"/>
        <s v="83267 - Arts - Political History"/>
        <s v="78490 - Arts - Political History"/>
        <s v="73175 - Arts - Political History"/>
        <s v="44730 - Arts - Political History"/>
        <s v="10535 - Arts - Political History"/>
        <s v="80299 - Arts - Political History"/>
        <s v="121350 - Arts - Political History"/>
        <s v="79958 - Arts - Political History"/>
        <s v="95074 - Arts - Political History"/>
        <s v="87574 - Arts - Political History"/>
        <s v="77769 - Arts - Political History"/>
        <s v="141889 - Arts - Political History"/>
        <s v="83269 - Arts - Political History"/>
        <s v="89647 - Arts - Political History"/>
        <s v="77256 - Arts - Political History"/>
        <s v="86840 - Arts - Political History"/>
        <s v="30306 - Arts - Political History"/>
        <s v="76427 - Arts - Political History"/>
        <s v="44706 - Arts - Political History"/>
        <s v="44701 - Arts - Political History"/>
        <s v="10537 - Arts - Political History"/>
        <s v="10523 - Arts - Political History"/>
        <s v="76664 - Arts - Political History"/>
        <s v="78472 - Arts - Political History"/>
        <s v="44721 - Arts - Political History"/>
        <s v="121576 - Arts - Political History"/>
        <s v="117208 - Arts - Political History"/>
        <s v="78497 - Arts - Political History"/>
        <s v="44726 - Arts - Political History"/>
        <s v="117210 - Arts - Political History"/>
        <s v="87082 - Arts - Political History"/>
        <s v="10529 - Arts - Political History"/>
        <s v="44705 - Arts - Political History"/>
        <s v="100564 - Arts - Political History"/>
        <s v="87193 - Arts - Political History"/>
        <s v="76044 - Arts - Political History"/>
        <s v="121578 - Arts - Political History"/>
        <s v="117206 - Arts - Political History"/>
        <s v="81519 - Arts - Political History"/>
        <s v="44724 - Arts - Political History"/>
        <s v="82114 - Arts - Political History"/>
        <s v="82115 - Arts - Political History"/>
        <s v="109307 - Arts - Political History"/>
        <s v="76046 - Arts - Political History"/>
        <s v="117187 - Arts - Political History"/>
        <s v="10538 - Arts - Political History"/>
        <s v="78508 - Arts - Political History"/>
        <s v="44723 - Arts - Political History"/>
        <s v="109309 - Arts - Political History"/>
        <s v="76656 - Arts - Political History"/>
        <s v="80305 - Arts - Political History"/>
        <s v="78506 - Arts - Political History"/>
        <s v="82133 - Arts - Political History"/>
        <s v="188805 - Arts - Political History"/>
        <s v="78481 - Arts - Political History"/>
        <s v="109310 - Arts - Political History"/>
        <s v="120689 - Arts - Political History"/>
        <s v="10540 - Arts - Political History"/>
        <s v="44727 - Arts - Political History"/>
        <s v="73190 - Arts - Political History"/>
        <s v="112169 - Arts - Political History"/>
        <s v="120695 - Arts - Political History"/>
        <s v="80270 - Arts - Political History"/>
        <s v="5795 - Arts - Political History"/>
        <s v="107316 - Arts - Political History"/>
        <s v="78482 - Arts - Political History"/>
        <s v="158473 - Arts - Political History"/>
        <s v="109308 - Arts - Political History"/>
        <s v="78507 - Arts - Political History"/>
        <s v="100827 - Arts - Political History"/>
        <s v="102189 - Arts - Political History"/>
        <s v="10522 - Arts - Political History"/>
        <s v="78467 - Arts - Political History"/>
        <s v="84367 - Arts - Political History"/>
        <s v="87402 - Arts - Political History"/>
        <s v="44707 - Arts - Political History"/>
        <s v="78400 - Arts - Political History"/>
        <s v="102188 - Arts - Political History"/>
        <s v="73173 - Arts - Political History"/>
        <s v="76661 - Arts - Political History"/>
        <s v="78479 - Arts - Political History"/>
        <s v="103401 - Arts - Political History"/>
        <s v="83340 - Arts - Political History"/>
        <s v="44725 - Arts - Political History"/>
        <s v="109311 - Arts - Political History"/>
        <s v="133901 - Tech - Cultural History"/>
        <s v="92678 - Tech - Cultural History"/>
        <s v="82447 - Tech - Cultural History"/>
        <s v="110126 - Tech - Cultural History"/>
        <s v="3219 - Tech - Cultural History"/>
        <s v="127007 - Tech - Cultural History"/>
        <s v="102277 - Tech - Cultural History"/>
        <s v="122544 - Tech - Cultural History"/>
        <s v="91486 - Tech - Cultural History"/>
        <s v="28009 - Tech - Cultural History"/>
        <s v="110814 - Tech - Cultural History"/>
        <s v="117437 - Tech - Cultural History"/>
        <s v="23074 - Tech - Cultural History"/>
        <s v="8900 - Tech - Cultural History"/>
        <s v="92676 - Tech - Cultural History"/>
        <s v="117266 - Tech - Cultural History"/>
        <s v="14527 - Tech - Cultural History"/>
        <s v="27534 - Tech - Cultural History"/>
        <s v="91636 - Tech - Cultural History"/>
        <s v="120941 - Tech - Cultural History"/>
        <s v="111897 - Tech - Cultural History"/>
        <s v="158485 - Tech - Cultural History"/>
        <s v="199530 - History - Social History"/>
        <s v="120946 - History - Social History"/>
        <s v="82957 - History - Social History"/>
        <s v="109830 - History - Social History"/>
        <s v="109831 - History - Social History"/>
        <s v="107899 - Arts - History of Science"/>
        <s v="139289 - Arts - History of Science"/>
        <s v="72129 - Arts - History of Science"/>
        <s v="106541 - Arts - History of Science"/>
        <s v="43810 - Arts - History of Science"/>
        <s v="83117 - Arts - History of Science"/>
        <s v="78863 - Arts - History of Science"/>
        <s v="107898 - Arts - History of Science"/>
        <s v="80181 - Arts - History of Science"/>
        <s v="150280 - Arts - History of Science"/>
        <s v="80173 - Arts - History of Science"/>
        <s v="100647 - Arts - History of Science"/>
        <s v="147273 - Arts - History of Science"/>
        <s v="83770 - Arts - History of Science"/>
        <s v="180773 - Arts - History of Science"/>
        <s v="80125 - Arts - History of Science"/>
        <s v="89909 - Arts - History of Science"/>
        <s v="80114 - Arts - History of Science"/>
        <s v="73916 - Arts - History of Science"/>
        <s v="80117 - Arts - History of Science"/>
        <s v="22008 - Arts - History of Science"/>
        <s v="76608 - Arts - History of Science"/>
        <s v="80793 - Arts - History of Science"/>
        <s v="102588 - Arts - History of Science"/>
        <s v="80794 - Arts - History of Science"/>
        <s v="80174 - Arts - History of Science"/>
        <s v="114722 - Arts - History of Science"/>
        <s v="180843 - Arts - History of Science"/>
        <s v="22020 - Arts - History of Science"/>
        <s v="111259 - Arts - History of Science"/>
        <s v="89895 - Arts - History of Science"/>
        <s v="22014 - Arts - History of Science"/>
        <s v="44254 - Arts - History of Science"/>
        <s v="22025 - Arts - History of Science"/>
        <s v="83765 - Arts - History of Science"/>
        <s v="89930 - Arts - History of Science"/>
        <s v="83767 - Arts - History of Science"/>
        <s v="83745 - Arts - History of Science"/>
        <s v="78827 - Arts - History of Science"/>
        <s v="122266 - Arts - History of Science"/>
        <s v="949 - Arts - History of Science"/>
        <s v="102595 - Arts - History of Science"/>
        <s v="80790 - Arts - History of Science"/>
        <s v="114257 - Arts - History of Science"/>
        <s v="80121 - Arts - History of Science"/>
        <s v="164929 - Arts - History of Science"/>
        <s v="80180 - Arts - History of Science"/>
        <s v="92930 - Arts - History of Science"/>
        <s v="147271 - Arts - History of Science"/>
        <s v="83748 - Arts - History of Science"/>
        <s v="80120 - Arts - History of Science"/>
        <s v="164931 - Arts - History of Science"/>
        <s v="78804 - Arts - History of Science"/>
        <s v="103096 - Arts - History of Science"/>
        <s v="180770 - Arts - History of Science"/>
        <s v="80115 - Arts - History of Science"/>
        <s v="83771 - Arts - History of Science"/>
        <s v="80124 - Arts - History of Science"/>
        <s v="80111 - Arts - History of Science"/>
        <s v="63864 - Arts - History of Science"/>
        <s v="76824 - Arts - History of Science"/>
        <s v="102599 - Arts - History of Science"/>
        <s v="103001 - Arts - History of Science"/>
        <s v="164928 - Arts - History of Science"/>
        <s v="80791 - Arts - History of Science"/>
        <s v="83223 - Arts - History of Science"/>
        <s v="951 - Arts - History of Science"/>
        <s v="149928 - Arts - History of Science"/>
        <s v="60375 - Arts - History of Science"/>
        <s v="102594 - Arts - History of Science"/>
        <s v="128218 - Arts - History of Science"/>
        <s v="80178 - Arts - History of Science"/>
        <s v="164932 - Arts - History of Science"/>
        <s v="22036 - Arts - History of Science"/>
        <s v="102585 - Arts - History of Science"/>
        <s v="78816 - Arts - History of Science"/>
        <s v="78822 - Arts - History of Science"/>
        <s v="83773 - Arts - History of Science"/>
        <s v="114720 - Arts - History of Science"/>
        <s v="83777 - Arts - History of Science"/>
        <s v="102593 - Arts - History of Science"/>
        <s v="164930 - Arts - History of Science"/>
        <s v="102584 - Arts - History of Science"/>
        <s v="102586 - Arts - History of Science"/>
        <s v="83758 - Arts - History of Science"/>
        <s v="80189 - Arts - History of Science"/>
        <s v="26148 - Arts - History of Science"/>
        <s v="121902 - Arts - History of Science"/>
        <s v="21032 - Arts - History of Science"/>
        <s v="22071 - Arts - History of Science"/>
        <s v="87404 - Arts - History of Science"/>
        <s v="42712 - Arts - History of Science"/>
        <s v="76609 - Arts - History of Science"/>
        <s v="952 - Arts - History of Science"/>
        <s v="26136 - Arts - History of Science"/>
        <s v="87502 - Arts - History of Science"/>
        <s v="73923 - Arts - History of Science"/>
        <s v="164927 - Arts - History of Science"/>
        <s v="108749 - Arts - History of Science"/>
        <s v="89919 - Arts - History of Science"/>
        <s v="112897 - Arts - History of Science"/>
        <s v="122013 - Arts - History of Science"/>
        <s v="89902 - Arts - History of Science"/>
        <s v="89900 - Arts - History of Science"/>
        <s v="92461 - Arts - History of Science"/>
        <s v="128834 - Fiction - History of Technology"/>
        <s v="135180 - Fiction - History of Technology"/>
        <s v="120582 - Fiction - History of Technology"/>
        <s v="105794 - Fiction - History of Technology"/>
        <s v="81049 - Fiction - History of Technology"/>
        <s v="13364 - Fiction - History of Technology"/>
        <s v="13361 - Fiction - History of Technology"/>
        <s v="75659 - Fiction - History of Technology"/>
        <s v="75655 - Fiction - History of Technology"/>
        <s v="117866 - Fiction - History of Technology"/>
        <s v="90556 - Fiction - History of Technology"/>
        <s v="68605 - Fiction - History of Technology"/>
        <s v="103829 - Fiction - History of Technology"/>
        <s v="90558 - Fiction - History of Technology"/>
        <s v="120490 - Fiction - History of Technology"/>
        <s v="75662 - Fiction - History of Technology"/>
        <s v="121298 - Fiction - History of Technology"/>
        <s v="13363 - Fiction - History of Technology"/>
        <s v="117863 - Fiction - History of Technology"/>
        <s v="68607 - Fiction - History of Technology"/>
        <s v="122705 - Fiction - History of Technology"/>
        <s v="88195 - Fiction - History of Technology"/>
        <s v="45523 - Fiction - History of Technology"/>
        <s v="158449 - Fiction - History of Technology"/>
        <s v="45518 - Fiction - History of Technology"/>
        <s v="96288 - Fiction - History of Technology"/>
        <s v="76981 - Fiction - History of Technology"/>
        <s v="113827 - Fiction - History of Technology"/>
        <s v="76987 - Fiction - History of Technology"/>
        <s v="113824 - Fiction - History of Technology"/>
        <s v="113823 - Fiction - History of Technology"/>
        <s v="156053 - Fiction - History of Technology"/>
        <s v="45522 - Fiction - History of Technology"/>
        <s v="99176 - Fiction - History of Technology"/>
        <s v="49219 - Fiction - History of Technology"/>
        <s v="102370 - Fiction - History of Technology"/>
        <s v="49222 - Fiction - History of Technology"/>
        <s v="102352 - Fiction - History of Technology"/>
        <s v="49233 - Fiction - History of Technology"/>
        <s v="99163 - Fiction - History of Technology"/>
        <s v="142785 - Fiction - History of Technology"/>
        <s v="113054 - Fiction - History of Technology"/>
        <s v="88105 - Fiction - History of Technology"/>
        <s v="97036 - Fiction - History of Technology"/>
        <s v="81229 - Fiction - History of Technology"/>
        <s v="120563 - Fiction - History of Technology"/>
        <s v="122290 - Fiction - History of Technology"/>
        <s v="122373 - Fiction - History of Technology"/>
        <s v="117830 - Fiction - History of Technology"/>
        <s v="109008 - Fiction - History of Technology"/>
        <s v="122371 - Fiction - History of Technology"/>
        <s v="109012 - Fiction - History of Technology"/>
        <s v="156047 - Fiction - History of Technology"/>
        <s v="117839 - Fiction - History of Technology"/>
        <s v="156051 - Fiction - History of Technology"/>
        <s v="156048 - Fiction - History of Technology"/>
        <s v="117832 - Fiction - History of Technology"/>
        <s v="117877 - Fiction - History of Technology"/>
        <s v="117876 - Fiction - History of Technology"/>
        <s v="83507 - Fiction - History of Technology"/>
        <s v="121285 - Fiction - History of Technology"/>
        <s v="122684 - Fiction - History of Technology"/>
        <s v="116615 - Fiction - History of Technology"/>
        <s v="121083 - Fiction - History of Technology"/>
        <s v="108936 - Fiction - History of Technology"/>
        <s v="128388 - Fiction - History of Technology"/>
        <s v="120559 - Fiction - History of Technology"/>
        <s v="122685 - Fiction - History of Technology"/>
        <s v="122686 - Fiction - History of Technology"/>
        <s v="181263 - Fiction - History of Technology"/>
        <s v="122723 - Fiction - History of Technology"/>
        <s v="26533 - Fiction - History of Technology"/>
        <s v="16048 - Fiction - History of Technology"/>
        <s v="16049 - Fiction - History of Technology"/>
        <s v="122421 - Finance - Personal Development"/>
        <s v="121718 - Finance - Personal Development"/>
        <s v="117892 - Finance - Personal Development"/>
        <s v="117893 - Finance - Personal Development"/>
        <s v="78448 - Finance - Personal Development"/>
        <s v="89463 - Finance - Personal Development"/>
        <s v="108096 - Finance - Personal Development"/>
        <s v="70495 - Finance - Personal Development"/>
        <s v="115733 - History - Productivity"/>
        <s v="26349 - History - Productivity"/>
        <s v="26350 - History - Productivity"/>
        <s v="115724 - History - Productivity"/>
        <s v="115726 - History - Productivity"/>
        <s v="26352 - History - Productivity"/>
        <s v="19782 - History - Productivity"/>
        <s v="19793 - History - Productivity"/>
        <s v="87604 - History - Productivity"/>
        <s v="29931 - History - Productivity"/>
        <s v="9335 - History - Productivity"/>
        <s v="88722 - History - Productivity"/>
        <s v="121865 - History - Productivity"/>
        <s v="100934 - History - Productivity"/>
        <s v="117116 - History - Productivity"/>
        <s v="19802 - History - Productivity"/>
        <s v="81780 - History - Productivity"/>
        <s v="117094 - History - Productivity"/>
        <s v="19797 - History - Productivity"/>
        <s v="86131 - History - Productivity"/>
        <s v="121864 - History - Productivity"/>
        <s v="15061 - History - Productivity"/>
        <s v="79929 - History - Productivity"/>
        <s v="19792 - History - Productivity"/>
        <s v="108805 - History - Productivity"/>
        <s v="71689 - History - Productivity"/>
        <s v="71718 - History - Productivity"/>
        <s v="19752 - History - Productivity"/>
        <s v="116205 - History - Productivity"/>
        <s v="117113 - History - Productivity"/>
        <s v="71716 - History - Productivity"/>
        <s v="44398 - History - Productivity"/>
        <s v="100932 - History - Productivity"/>
        <s v="117125 - History - Productivity"/>
        <s v="19746 - History - Productivity"/>
        <s v="80729 - History - Productivity"/>
        <s v="19800 - History - Productivity"/>
        <s v="19790 - History - Productivity"/>
        <s v="19747 - History - Productivity"/>
        <s v="44524 - Sports - Time Management"/>
        <s v="103839 - Sports - Time Management"/>
        <s v="195240 - Sports - Time Management"/>
        <s v="195244 - Sports - Time Management"/>
        <s v="119465 - Sports - Time Management"/>
        <s v="47081 - Sports - Time Management"/>
        <s v="91635 - Sports - Time Management"/>
        <s v="188359 - Sports - Time Management"/>
        <s v="29655 - Sports - Time Management"/>
        <s v="193188 - Sports - Time Management"/>
        <s v="188367 - Sports - Time Management"/>
        <s v="188853 - Sports - Time Management"/>
        <s v="116214 - Sports - Time Management"/>
        <s v="82296 - Sports - Time Management"/>
        <s v="10269 - Self-Help - Habits"/>
        <s v="121860 - Self-Help - Habits"/>
        <s v="100464 - Self-Help - Habits"/>
        <s v="10270 - Self-Help - Habits"/>
        <s v="10283 - Self-Help - Habits"/>
        <s v="10278 - Self-Help - Habits"/>
        <s v="10259 - Self-Help - Habits"/>
        <s v="200359 - Self-Help - Habits"/>
        <s v="10243 - Self-Help - Habits"/>
        <s v="200360 - Self-Help - Habits"/>
        <s v="196501 - Self-Help - Habits"/>
        <s v="100460 - Self-Help - Habits"/>
        <s v="5880 - Self-Help - Habits"/>
        <s v="5872 - Self-Help - Habits"/>
        <s v="114258 - Self-Help - Habits"/>
        <s v="11122 - Self-Help - Habits"/>
        <s v="116894 - Self-Help - Habits"/>
        <s v="72994 - Self-Help - Habits"/>
        <s v="120863 - Law - Motivation"/>
        <s v="120870 - Law - Motivation"/>
        <s v="120868 - Law - Motivation"/>
        <s v="102063 - Law - Motivation"/>
        <s v="120869 - Law - Motivation"/>
        <s v="120871 - Law - Motivation"/>
        <s v="24195 - Law - Motivation"/>
        <s v="120422 - Law - Motivation"/>
        <s v="120874 - Law - Motivation"/>
        <s v="120416 - Law - Motivation"/>
        <s v="80944 - Law - Motivation"/>
        <s v="120873 - Law - Motivation"/>
        <s v="120875 - Law - Motivation"/>
        <s v="147285 - Law - Motivation"/>
        <s v="88604 - Law - Motivation"/>
        <s v="120417 - Law - Motivation"/>
        <s v="113914 - Law - Motivation"/>
        <s v="68793 - Law - Motivation"/>
        <s v="106707 - Law - Motivation"/>
        <s v="24210 - Law - Motivation"/>
        <s v="44012 - Law - Motivation"/>
        <s v="106710 - Law - Motivation"/>
        <s v="117239 - Law - Motivation"/>
        <s v="80186 - Law - Motivation"/>
        <s v="80185 - Law - Motivation"/>
        <s v="107151 - Law - Motivation"/>
        <s v="120420 - Law - Motivation"/>
        <s v="80184 - Law - Motivation"/>
        <s v="107157 - Law - Motivation"/>
        <s v="118432 - Law - Motivation"/>
        <s v="86512 - Law - Motivation"/>
        <s v="118431 - Law - Motivation"/>
        <s v="80187 - Law - Motivation"/>
        <s v="107163 - Law - Motivation"/>
        <s v="108342 - Law - Motivation"/>
        <s v="20949 - Law - Motivation"/>
        <s v="118436 - Law - Motivation"/>
        <s v="113566 - Law - Motivation"/>
        <s v="113571 - Law - Motivation"/>
        <s v="107160 - Law - Motivation"/>
        <s v="44007 - Law - Motivation"/>
        <s v="69453 - Law - Motivation"/>
        <s v="122690 - Law - Motivation"/>
        <s v="117243 - Law - Motivation"/>
        <s v="71988 - Law - Motivation"/>
        <s v="111582 - Law - Motivation"/>
        <s v="77235 - Law - Motivation"/>
        <s v="105272 - Law - Motivation"/>
        <s v="120809 - Law - Motivation"/>
        <s v="10651 - Law - Motivation"/>
        <s v="10657 - Law - Motivation"/>
        <s v="9132 - Law - Motivation"/>
        <s v="197151 - Law - Motivation"/>
        <s v="73386 - Law - Motivation"/>
        <s v="121604 - Law - Motivation"/>
        <s v="89533 - Law - Motivation"/>
        <s v="73381 - Law - Motivation"/>
        <s v="26096 - Law - Motivation"/>
        <s v="119050 - Law - Motivation"/>
        <s v="44028 - Law - Motivation"/>
        <s v="73572 - Law - Motivation"/>
        <s v="83083 - Law - Motivation"/>
        <s v="13338 - Law - Motivation"/>
        <s v="83418 - Law - Motivation"/>
        <s v="68640 - Law - Motivation"/>
        <s v="10647 - Law - Motivation"/>
        <s v="85884 - Law - Motivation"/>
        <s v="113933 - Law - Motivation"/>
        <s v="188843 - Law - Motivation"/>
        <s v="13342 - Law - Motivation"/>
        <s v="83002 - Law - Motivation"/>
        <s v="112860 - Law - Motivation"/>
        <s v="118374 - Law - Motivation"/>
        <s v="119049 - Law - Motivation"/>
        <s v="120964 - Law - Motivation"/>
        <s v="26093 - Law - Motivation"/>
        <s v="99311 - Law - Motivation"/>
        <s v="9131 - Law - Motivation"/>
        <s v="122167 - Law - Motivation"/>
        <s v="10649 - Law - Motivation"/>
        <s v="85875 - Law - Motivation"/>
        <s v="9136 - Law - Motivation"/>
        <s v="121835 - Law - Motivation"/>
        <s v="113934 - Law - Motivation"/>
        <s v="5750 - Law - Motivation"/>
        <s v="73390 - Law - Motivation"/>
        <s v="114251 - Law - Motivation"/>
        <s v="73392 - Law - Motivation"/>
        <s v="9128 - Law - Motivation"/>
        <s v="122672 - Law - Motivation"/>
        <s v="85857 - Law - Motivation"/>
        <s v="9129 - Law - Motivation"/>
        <s v="162438 - Law - Motivation"/>
        <s v="73391 - Law - Motivation"/>
        <s v="46428 - Law - Motivation"/>
        <s v="85861 - Law - Motivation"/>
        <s v="69324 - Law - Motivation"/>
        <s v="122618 - Law - Motivation"/>
        <s v="99312 - Law - Motivation"/>
        <s v="113932 - Law - Motivation"/>
        <s v="5751 - Law - Motivation"/>
        <s v="85885 - Law - Motivation"/>
        <s v="87877 - Law - Motivation"/>
        <s v="197150 - Law - Motivation"/>
        <s v="87878 - Law - Motivation"/>
        <s v="122166 - Law - Motivation"/>
        <s v="122617 - Law - Motivation"/>
        <s v="118590 - Law - Motivation"/>
        <s v="122366 - Law - Motivation"/>
        <s v="83001 - Law - Motivation"/>
        <s v="118594 - Law - Motivation"/>
        <s v="85881 - Law - Motivation"/>
        <s v="10655 - Law - Motivation"/>
        <s v="121606 - Law - Motivation"/>
        <s v="13341 - Law - Motivation"/>
        <s v="122631 - Law - Motivation"/>
        <s v="189132 - Law - Motivation"/>
        <s v="87876 - Law - Motivation"/>
        <s v="26094 - Law - Motivation"/>
        <s v="189129 - Law - Motivation"/>
        <s v="10654 - Law - Motivation"/>
        <s v="5754 - Law - Motivation"/>
        <s v="10648 - Law - Motivation"/>
        <s v="114947 - Law - Motivation"/>
        <s v="44728 - Law - Motivation"/>
        <s v="120709 - Law - Motivation"/>
        <s v="114949 - Law - Motivation"/>
        <s v="48706 - Law - Motivation"/>
        <s v="78411 - Law - Motivation"/>
        <s v="120016 - Law - Motivation"/>
        <s v="120710 - Law - Motivation"/>
        <s v="48705 - Law - Motivation"/>
        <s v="114948 - Law - Motivation"/>
        <s v="117330 - Law - Motivation"/>
        <s v="89665 - Law - Motivation"/>
        <s v="89450 - Sports - Mindfulness"/>
        <s v="72080 - Sports - Mindfulness"/>
        <s v="72086 - Sports - Mindfulness"/>
        <s v="117076 - Sports - Mindfulness"/>
        <s v="72081 - Sports - Mindfulness"/>
        <s v="72088 - Sports - Mindfulness"/>
        <s v="72078 - Sports - Mindfulness"/>
        <s v="72085 - Sports - Mindfulness"/>
        <s v="112204 - Sports - Mindfulness"/>
        <s v="59138 - Sports - Mindfulness"/>
        <s v="72074 - Sports - Mindfulness"/>
        <s v="72096 - Sports - Mindfulness"/>
        <s v="72099 - Sports - Mindfulness"/>
        <s v="89451 - Sports - Mindfulness"/>
        <s v="29606 - Sports - Mindfulness"/>
        <s v="72089 - Sports - Mindfulness"/>
        <s v="29601 - Sports - Mindfulness"/>
        <s v="50372 - Sports - Mindfulness"/>
        <s v="89452 - Sports - Mindfulness"/>
        <s v="156019 - Sports - Mindfulness"/>
        <s v="117705 - Sports - Mindfulness"/>
        <s v="121184 - Sports - Mindfulness"/>
        <s v="89446 - Sports - Mindfulness"/>
        <s v="102339 - Sports - Mindfulness"/>
        <s v="121193 - Sports - Mindfulness"/>
        <s v="102332 - Sports - Mindfulness"/>
        <s v="121775 - Sports - Mindfulness"/>
        <s v="100903 - Sports - Mindfulness"/>
        <s v="81463 - Sports - Mindfulness"/>
        <s v="75788 - Sports - Mindfulness"/>
        <s v="121185 - Sports - Mindfulness"/>
        <s v="89440 - Sports - Mindfulness"/>
        <s v="103058 - Sports - Mindfulness"/>
        <s v="117716 - Sports - Mindfulness"/>
        <s v="71287 - Sports - Mindfulness"/>
        <s v="110685 - Sports - Mindfulness"/>
        <s v="79335 - Sports - Mindfulness"/>
        <s v="45538 - Sports - Mindfulness"/>
        <s v="76691 - Sports - Mindfulness"/>
        <s v="2336 - Sports - Mindfulness"/>
        <s v="91912 - Sports - Mindfulness"/>
        <s v="110826 - Sports - Mindfulness"/>
        <s v="117710 - Sports - Mindfulness"/>
        <s v="3621 - Sports - Mindfulness"/>
        <s v="4179 - Sports - Mindfulness"/>
        <s v="89407 - Sports - Mindfulness"/>
        <s v="121190 - Sports - Mindfulness"/>
        <s v="45524 - Sports - Mindfulness"/>
        <s v="3634 - Sports - Mindfulness"/>
        <s v="104327 - Sports - Mindfulness"/>
        <s v="71282 - Sports - Mindfulness"/>
        <s v="89411 - Sports - Mindfulness"/>
        <s v="105361 - Sports - Mindfulness"/>
        <s v="105359 - Sports - Mindfulness"/>
        <s v="75174 - Sports - Mindfulness"/>
        <s v="11895 - Sports - Mindfulness"/>
        <s v="11812 - Sports - Mindfulness"/>
        <s v="11815 - Sports - Mindfulness"/>
        <s v="11784 - Sports - Mindfulness"/>
        <s v="89241 - Sports - Mindfulness"/>
        <s v="117688 - Sports - Mindfulness"/>
        <s v="77688 - Sports - Mindfulness"/>
        <s v="89282 - Sports - Mindfulness"/>
        <s v="11769 - Sports - Mindfulness"/>
        <s v="117544 - Sports - Mindfulness"/>
        <s v="94860 - Sports - Mindfulness"/>
        <s v="79041 - Sports - Mindfulness"/>
        <s v="117686 - Sports - Mindfulness"/>
        <s v="89299 - Sports - Mindfulness"/>
        <s v="11823 - Sports - Mindfulness"/>
        <s v="117543 - Sports - Mindfulness"/>
        <s v="11765 - Sports - Mindfulness"/>
        <s v="121519 - Sports - Mindfulness"/>
        <s v="71276 - Sports - Mindfulness"/>
        <s v="120135 - Sports - Mindfulness"/>
        <s v="116793 - Sports - Mindfulness"/>
        <s v="11774 - Sports - Mindfulness"/>
        <s v="11900 - Sports - Mindfulness"/>
        <s v="11809 - Sports - Mindfulness"/>
        <s v="117642 - Sports - Mindfulness"/>
        <s v="71259 - Sports - Mindfulness"/>
        <s v="79047 - Sports - Mindfulness"/>
        <s v="11796 - Sports - Mindfulness"/>
        <s v="79043 - Sports - Mindfulness"/>
        <s v="89246 - Sports - Mindfulness"/>
        <s v="71275 - Sports - Mindfulness"/>
        <s v="11800 - Sports - Mindfulness"/>
        <s v="11818 - Sports - Mindfulness"/>
        <s v="11795 - Sports - Mindfulness"/>
        <s v="117641 - Sports - Mindfulness"/>
        <s v="82579 - Sports - Mindfulness"/>
        <s v="120153 - Sports - Mindfulness"/>
        <s v="81320 - Sports - Mindfulness"/>
        <s v="121517 - Sports - Mindfulness"/>
        <s v="89276 - Sports - Mindfulness"/>
        <s v="11822 - Sports - Mindfulness"/>
        <s v="11771 - Sports - Mindfulness"/>
        <s v="89295 - Sports - Mindfulness"/>
        <s v="117684 - Sports - Mindfulness"/>
        <s v="11817 - Sports - Mindfulness"/>
        <s v="120697 - Sports - Mindfulness"/>
        <s v="11783 - Sports - Mindfulness"/>
        <s v="11821 - Sports - Mindfulness"/>
        <s v="11814 - Sports - Mindfulness"/>
        <s v="71242 - Sports - Mindfulness"/>
        <s v="120449 - Arts - Stress Management"/>
        <s v="23682 - Arts - Stress Management"/>
        <s v="119076 - Arts - Stress Management"/>
        <s v="9139 - Arts - Stress Management"/>
        <s v="9138 - Arts - Stress Management"/>
        <s v="109483 - Arts - Stress Management"/>
        <s v="120438 - Arts - Stress Management"/>
        <s v="120439 - Arts - Stress Management"/>
        <s v="23681 - Arts - Stress Management"/>
        <s v="89564 - Arts - Stress Management"/>
        <s v="111962 - Arts - Stress Management"/>
        <s v="124771 - Arts - Stress Management"/>
        <s v="120446 - Arts - Stress Management"/>
        <s v="111973 - Arts - Stress Management"/>
        <s v="120437 - Arts - Stress Management"/>
        <s v="124769 - Arts - Stress Management"/>
        <s v="111972 - Arts - Stress Management"/>
        <s v="47390 - Arts - Stress Management"/>
        <s v="27047 - Arts - Stress Management"/>
        <s v="68713 - Arts - Stress Management"/>
        <s v="120568 - Arts - Stress Management"/>
        <s v="120567 - Arts - Stress Management"/>
        <s v="77038 - Arts - Stress Management"/>
        <s v="87760 - Tech - Communication Skills"/>
        <s v="122612 - Tech - Communication Skills"/>
        <s v="110655 - Tech - Communication Skills"/>
        <s v="87785 - Tech - Communication Skills"/>
        <s v="122629 - Tech - Communication Skills"/>
        <s v="122614 - Tech - Communication Skills"/>
        <s v="122788 - Tech - Communication Skills"/>
        <s v="20226 - Tech - Communication Skills"/>
        <s v="120894 - Tech - Communication Skills"/>
        <s v="46762 - Tech - Communication Skills"/>
        <s v="118212 - Tech - Communication Skills"/>
        <s v="150950 - Tech - Communication Skills"/>
        <s v="190106 - Tech - Communication Skills"/>
        <s v="79810 - Tech - Communication Skills"/>
        <s v="82459 - Tech - Communication Skills"/>
        <s v="49360 - Tech - Communication Skills"/>
        <s v="194507 - Tech - Communication Skills"/>
        <s v="82453 - Tech - Communication Skills"/>
        <s v="79669 - Tech - Communication Skills"/>
        <s v="122294 - Tech - Communication Skills"/>
        <s v="73245 - Tech - Communication Skills"/>
        <s v="122082 - Tech - Communication Skills"/>
        <s v="194501 - Tech - Communication Skills"/>
        <s v="79105 - Tech - Communication Skills"/>
        <s v="87769 - Tech - Communication Skills"/>
        <s v="9734 - Tech - Communication Skills"/>
        <s v="149615 - Tech - Communication Skills"/>
        <s v="108966 - Tech - Communication Skills"/>
        <s v="116943 - Tech - Communication Skills"/>
        <s v="46769 - Tech - Communication Skills"/>
        <s v="87766 - Tech - Communication Skills"/>
        <s v="110701 - Tech - Communication Skills"/>
        <s v="4205 - Tech - Communication Skills"/>
        <s v="122615 - Tech - Communication Skills"/>
        <s v="87800 - Tech - Communication Skills"/>
        <s v="87801 - Tech - Communication Skills"/>
        <s v="87767 - Tech - Communication Skills"/>
        <s v="82454 - Tech - Communication Skills"/>
        <s v="194506 - Tech - Communication Skills"/>
        <s v="16240 - Tech - Communication Skills"/>
        <s v="16237 - Tech - Communication Skills"/>
        <s v="122760 - Tech - Communication Skills"/>
        <s v="82446 - Tech - Communication Skills"/>
        <s v="118333 - Tech - Communication Skills"/>
        <s v="122774 - Tech - Communication Skills"/>
        <s v="87789 - Tech - Communication Skills"/>
        <s v="111159 - Tech - Communication Skills"/>
        <s v="194500 - Tech - Communication Skills"/>
        <s v="80432 - Tech - Communication Skills"/>
        <s v="122636 - Tech - Communication Skills"/>
        <s v="110697 - Tech - Communication Skills"/>
        <s v="117966 - Tech - Communication Skills"/>
        <s v="122782 - Tech - Communication Skills"/>
        <s v="49358 - Tech - Communication Skills"/>
        <s v="190250 - Tech - Communication Skills"/>
        <s v="100243 - Tech - Communication Skills"/>
        <s v="87773 - Tech - Communication Skills"/>
        <s v="79103 - Tech - Communication Skills"/>
        <s v="87759 - Tech - Communication Skills"/>
        <s v="82461 - Tech - Communication Skills"/>
        <s v="122613 - Tech - Communication Skills"/>
        <s v="79746 - Tech - Communication Skills"/>
        <s v="110860 - Tech - Communication Skills"/>
        <s v="49355 - Tech - Communication Skills"/>
        <s v="93520 - Tech - Communication Skills"/>
        <s v="87765 - Tech - Communication Skills"/>
        <s v="110863 - Tech - Communication Skills"/>
        <s v="16238 - Tech - Communication Skills"/>
        <s v="122643 - Tech - Communication Skills"/>
        <s v="82452 - Tech - Communication Skills"/>
        <s v="122775 - Tech - Communication Skills"/>
        <s v="100240 - Tech - Communication Skills"/>
        <s v="87758 - Tech - Communication Skills"/>
        <s v="110689 - Tech - Communication Skills"/>
        <s v="110704 - Tech - Communication Skills"/>
        <s v="82455 - Tech - Communication Skills"/>
        <s v="127013 - Tech - Communication Skills"/>
        <s v="113063 - Tech - Communication Skills"/>
        <s v="11296 - Tech - Communication Skills"/>
        <s v="105305 - Tech - Communication Skills"/>
        <s v="73244 - Tech - Communication Skills"/>
        <s v="82458 - Tech - Communication Skills"/>
        <s v="105302 - Tech - Communication Skills"/>
        <s v="150951 - Tech - Communication Skills"/>
        <s v="122492 - Tech - Communication Skills"/>
        <s v="110436 - Tech - Communication Skills"/>
        <s v="10674 - Tech - Communication Skills"/>
        <s v="117166 - Tech - Communication Skills"/>
        <s v="111776 - Tech - Communication Skills"/>
        <s v="122388 - Tech - Communication Skills"/>
        <s v="117160 - Tech - Communication Skills"/>
        <s v="98795 - Tech - Communication Skills"/>
        <s v="117150 - Tech - Communication Skills"/>
        <s v="109416 - Tech - Communication Skills"/>
        <s v="122291 - Tech - Communication Skills"/>
        <s v="21820 - Tech - Communication Skills"/>
        <s v="150105 - Tech - Communication Skills"/>
        <s v="46474 - Tech - Communication Skills"/>
        <s v="118207 - Tech - Communication Skills"/>
        <s v="111007 - Tech - Communication Skills"/>
        <s v="9727 - Tech - Communication Skills"/>
        <s v="72321 - Tech - Communication Skills"/>
        <s v="100063 - Tech - Communication Skills"/>
        <s v="79818 - Tech - Communication Skills"/>
        <s v="121731 - Tech - Communication Skills"/>
        <s v="200584 - Tech - Communication Skills"/>
        <s v="68600 - Tech - Communication Skills"/>
        <s v="98788 - Tech - Communication Skills"/>
        <s v="122390 - Tech - Communication Skills"/>
        <s v="109930 - Tech - Communication Skills"/>
        <s v="118299 - Tech - Communication Skills"/>
        <s v="72320 - Tech - Communication Skills"/>
        <s v="87839 - Tech - Communication Skills"/>
        <s v="79819 - Tech - Communication Skills"/>
        <s v="117169 - Tech - Communication Skills"/>
        <s v="200585 - Tech - Communication Skills"/>
        <s v="70339 - Tech - Communication Skills"/>
        <s v="45597 - Tech - Communication Skills"/>
        <s v="117147 - Tech - Communication Skills"/>
        <s v="46309 - Tech - Communication Skills"/>
        <s v="45595 - Tech - Communication Skills"/>
        <s v="100311 - Tech - Communication Skills"/>
        <s v="122491 - Tech - Communication Skills"/>
        <s v="117466 - Tech - Communication Skills"/>
        <s v="85107 - Tech - Communication Skills"/>
        <s v="45594 - Tech - Communication Skills"/>
        <s v="118298 - Tech - Communication Skills"/>
        <s v="98802 - Tech - Communication Skills"/>
        <s v="46985 - Tech - Communication Skills"/>
        <s v="46476 - Tech - Communication Skills"/>
        <s v="110187 - Tech - Communication Skills"/>
        <s v="79988 - Tech - Communication Skills"/>
        <s v="46970 - Tech - Communication Skills"/>
        <s v="6519 - Tech - Communication Skills"/>
        <s v="118205 - Tech - Communication Skills"/>
        <s v="109412 - Tech - Communication Skills"/>
        <s v="117931 - Tech - Communication Skills"/>
        <s v="70042 - Tech - Communication Skills"/>
        <s v="150104 - Tech - Communication Skills"/>
        <s v="72319 - Tech - Communication Skills"/>
        <s v="100060 - Tech - Communication Skills"/>
        <s v="6521 - Tech - Communication Skills"/>
        <s v="45058 - Tech - Communication Skills"/>
        <s v="117139 - Tech - Communication Skills"/>
        <s v="117464 - Tech - Communication Skills"/>
        <s v="111777 - Tech - Communication Skills"/>
        <s v="122375 - Tech - Communication Skills"/>
        <s v="122282 - Tech - Communication Skills"/>
        <s v="47161 - Tech - Communication Skills"/>
        <s v="47159 - Tech - Communication Skills"/>
        <s v="71327 - Tech - Communication Skills"/>
        <s v="122276 - Tech - Communication Skills"/>
        <s v="72806 - Tech - Communication Skills"/>
        <s v="100248 - Tech - Communication Skills"/>
        <s v="122378 - Tech - Communication Skills"/>
        <s v="44762 - Tech - Communication Skills"/>
        <s v="100247 - Tech - Communication Skills"/>
        <s v="182272 - Tech - Communication Skills"/>
        <s v="128297 - Tech - Communication Skills"/>
        <s v="10673 - Tech - Communication Skills"/>
        <s v="69332 - Tech - Communication Skills"/>
        <s v="151239 - Tech - Communication Skills"/>
        <s v="116667 - Tech - Communication Skills"/>
        <s v="72809 - Tech - Communication Skills"/>
        <s v="165917 - Tech - Communication Skills"/>
        <s v="8746 - Tech - Communication Skills"/>
        <s v="122374 - Tech - Communication Skills"/>
        <s v="118166 - Tech - Communication Skills"/>
        <s v="42729 - Tech - Communication Skills"/>
        <s v="182271 - Tech - Communication Skills"/>
        <s v="109211 - Tech - Communication Skills"/>
        <s v="192901 - Tech - Communication Skills"/>
        <s v="122379 - Tech - Communication Skills"/>
        <s v="109891 - Tech - Communication Skills"/>
        <s v="125688 - Tech - Communication Skills"/>
        <s v="68599 - Tech - Communication Skills"/>
        <s v="104841 - Tech - Communication Skills"/>
        <s v="20243 - Tech - Communication Skills"/>
        <s v="10332 - Tech - Communication Skills"/>
        <s v="7361 - Tech - Communication Skills"/>
        <s v="21320 - Tech - Communication Skills"/>
        <s v="7365 - Tech - Communication Skills"/>
        <s v="7364 - Tech - Communication Skills"/>
        <s v="7362 - Tech - Communication Skills"/>
        <s v="117237 - History - Leadership"/>
        <s v="19784 - History - Leadership"/>
        <s v="9329 - History - Leadership"/>
        <s v="10859 - Fiction - Decision Making"/>
        <s v="118329 - Fiction - Decision Making"/>
        <s v="105169 - Fiction - Decision Making"/>
        <s v="90567 - Fiction - Decision Making"/>
        <s v="46672 - Fiction - Decision Making"/>
        <s v="118229 - Fiction - Decision Making"/>
        <s v="193230 - Fiction - Decision Making"/>
        <s v="193254 - Fiction - Decision Making"/>
        <s v="113228 - Fiction - Decision Making"/>
        <s v="193193 - Fiction - Decision Making"/>
        <s v="113223 - Fiction - Decision Making"/>
        <s v="113227 - Fiction - Decision Making"/>
        <s v="114198 - Fiction - Decision Making"/>
        <s v="100451 - Fiction - Decision Making"/>
        <s v="100446 - Fiction - Decision Making"/>
        <s v="193253 - Fiction - Decision Making"/>
        <s v="82432 - Fiction - Decision Making"/>
        <s v="122703 - Tech - Emotional Intelligence"/>
        <s v="129410 - Tech - Emotional Intelligence"/>
        <s v="103236 - Tech - Career Development"/>
        <s v="127534 - Tech - Career Development"/>
        <s v="100906 - Tech - Career Development"/>
        <s v="109098 - Tech - Career Development"/>
        <s v="155864 - Tech - Career Development"/>
        <s v="120314 - Tech - Career Development"/>
        <s v="199547 - Tech - Career Development"/>
        <s v="110540 - Tech - Career Development"/>
        <s v="182190 - Tech - Career Development"/>
        <s v="79341 - Tech - Career Development"/>
        <s v="108969 - Tech - Career Development"/>
        <s v="79939 - Tech - Career Development"/>
        <s v="11733 - Tech - Career Development"/>
        <s v="12647 - Tech - Career Development"/>
        <s v="122292 - Tech - Career Development"/>
        <s v="117433 - Tech - Career Development"/>
        <s v="127018 - Tech - Career Development"/>
        <s v="9705 - Tech - Career Development"/>
        <s v="9703 - Tech - Career Development"/>
        <s v="86005 - Tech - Career Development"/>
        <s v="9704 - Tech - Career Development"/>
        <s v="182189 - Tech - Career Development"/>
        <s v="29452 - Tech - Career Development"/>
        <s v="122485 - Tech - Career Development"/>
        <s v="9706 - Tech - Career Development"/>
        <s v="12648 - Tech - Career Development"/>
        <s v="93899 - Tech - Career Development"/>
        <s v="28890 - Tech - Career Development"/>
        <s v="17638 - Tech - Career Development"/>
        <s v="28888 - Tech - Career Development"/>
        <s v="29455 - Tech - Career Development"/>
        <s v="93895 - Tech - Career Development"/>
        <s v="116417 - Tech - Career Development"/>
        <s v="1971 - Tech - Career Development"/>
        <s v="12649 - Tech - Career Development"/>
        <s v="93896 - Tech - Career Development"/>
        <s v="44386 - Tech - Career Development"/>
        <s v="188156 - Tech - Career Development"/>
        <s v="7360 - Tech - Career Development"/>
        <s v="79323 - Tech - Career Development"/>
        <s v="72015 - Tech - Career Development"/>
        <s v="44310 - Tech - Career Development"/>
        <s v="77044 - Tech - Career Development"/>
        <s v="120636 - Tech - Career Development"/>
        <s v="92662 - Tech - Career Development"/>
        <s v="117263 - Tech - Career Development"/>
        <s v="117261 - Tech - Career Development"/>
        <s v="10644 - Tech - Career Development"/>
        <s v="102457 - Tech - Career Development"/>
        <s v="117419 - Tech - Career Development"/>
        <s v="150939 - Tech - Career Development"/>
        <s v="10517 - Tech - Career Development"/>
        <s v="79109 - Tech - Career Development"/>
        <s v="118918 - Tech - Career Development"/>
        <s v="102456 - Tech - Career Development"/>
        <s v="155865 - Tech - Career Development"/>
        <s v="100443 - Tech - Career Development"/>
        <s v="93833 - Tech - Career Development"/>
        <s v="76693 - Tech - Career Development"/>
        <s v="100441 - Tech - Career Development"/>
        <s v="103230 - Tech - Career Development"/>
        <s v="117902 - Fiction - Life Planning"/>
        <s v="105745 - Fiction - Life Planning"/>
        <s v="100811 - Fiction - Life Planning"/>
        <s v="102505 - Fiction - Life Planning"/>
        <s v="121317 - Fiction - Life Planning"/>
        <s v="121318 - Fiction - Life Planning"/>
        <s v="95155 - Fiction - Life Planning"/>
        <s v="25199 - Fiction - Life Planning"/>
        <s v="156020 - Fiction - Life Planning"/>
        <s v="28587 - Fiction - Life Planning"/>
        <s v="16050 - Fiction - Life Planning"/>
        <s v="119453 - Fiction - Life Planning"/>
        <s v="113070 - Fiction - Life Planning"/>
        <s v="99097 - Fiction - Life Planning"/>
        <s v="99099 - Fiction - Life Planning"/>
        <s v="104998 - History - Confidence Building"/>
        <s v="110524 - History - Confidence Building"/>
        <s v="117133 - Fiction - Football"/>
        <s v="70696 - Fiction - Football"/>
        <s v="121278 - Fiction - Football"/>
        <s v="74382 - History - Basketball"/>
        <s v="121921 - History - Basketball"/>
        <s v="83853 - History - Basketball"/>
        <s v="111706 - History - Basketball"/>
        <s v="15062 - History - Basketball"/>
        <s v="79948 - History - Basketball"/>
        <s v="84400 - History - Basketball"/>
        <s v="79299 - History - Basketball"/>
        <s v="19776 - History - Basketball"/>
        <s v="74392 - History - Basketball"/>
        <s v="83399 - History - Basketball"/>
        <s v="74383 - History - Basketball"/>
        <s v="100819 - History - Basketball"/>
        <s v="190857 - History - Basketball"/>
        <s v="120331 - History - Basketball"/>
        <s v="87580 - History - Basketball"/>
        <s v="79300 - History - Basketball"/>
        <s v="79950 - History - Basketball"/>
        <s v="84402 - History - Basketball"/>
        <s v="79298 - History - Basketball"/>
        <s v="145105 - Fiction - Tennis"/>
        <s v="92313 - Fiction - Tennis"/>
        <s v="121735 - Fiction - Tennis"/>
        <s v="47545 - Law - Athletics"/>
        <s v="122630 - Law - Athletics"/>
        <s v="159490 - Law - Athletics"/>
        <s v="120519 - Law - Athletics"/>
        <s v="159403 - Law - Athletics"/>
        <s v="159617 - Law - Athletics"/>
        <s v="85839 - Law - Athletics"/>
        <s v="85838 - Law - Athletics"/>
        <s v="8868 - Law - Athletics"/>
        <s v="116191 - Law - Athletics"/>
        <s v="90828 - Law - Athletics"/>
        <s v="26276 - Law - Athletics"/>
        <s v="29022 - Law - Athletics"/>
        <s v="111081 - Law - Athletics"/>
        <s v="26277 - Law - Athletics"/>
        <s v="100251 - Law - Athletics"/>
        <s v="87885 - Law - Athletics"/>
        <s v="29023 - Law - Athletics"/>
        <s v="100250 - Law - Athletics"/>
        <s v="116320 - Law - Athletics"/>
        <s v="122149 - Law - Athletics"/>
        <s v="107220 - Law - Athletics"/>
        <s v="122151 - Law - Athletics"/>
        <s v="115766 - Law - Athletics"/>
        <s v="114033 - Law - Athletics"/>
        <s v="149508 - Law - Athletics"/>
        <s v="107256 - Law - Athletics"/>
        <s v="121615 - Law - Athletics"/>
        <s v="107226 - Law - Athletics"/>
        <s v="120188 - Law - Athletics"/>
        <s v="107944 - Law - Athletics"/>
        <s v="70243 - Law - Athletics"/>
        <s v="149505 - Law - Athletics"/>
        <s v="101428 - Law - Athletics"/>
        <s v="121798 - Law - Athletics"/>
        <s v="88636 - Law - Athletics"/>
        <s v="111038 - Law - Athletics"/>
        <s v="75032 - Law - Athletics"/>
        <s v="70187 - Law - Athletics"/>
        <s v="147278 - Law - Athletics"/>
        <s v="114972 - Law - Athletics"/>
        <s v="75072 - Law - Athletics"/>
        <s v="114971 - Law - Athletics"/>
        <s v="99981 - Law - Athletics"/>
        <s v="86383 - Law - Athletics"/>
        <s v="89587 - Law - Athletics"/>
        <s v="89516 - Law - Athletics"/>
        <s v="89519 - Law - Athletics"/>
        <s v="75060 - Law - Athletics"/>
        <s v="111745 - Law - Athletics"/>
        <s v="70242 - Law - Athletics"/>
        <s v="75061 - Law - Athletics"/>
        <s v="69467 - Law - Athletics"/>
        <s v="121800 - Law - Athletics"/>
        <s v="110974 - Law - Athletics"/>
        <s v="114969 - Law - Athletics"/>
        <s v="111041 - Law - Athletics"/>
        <s v="82382 - Law - Athletics"/>
        <s v="89634 - Law - Athletics"/>
        <s v="82381 - Law - Athletics"/>
        <s v="107232 - Law - Athletics"/>
        <s v="70247 - Law - Athletics"/>
        <s v="107253 - Law - Athletics"/>
        <s v="102709 - Law - Athletics"/>
        <s v="75050 - Law - Athletics"/>
        <s v="111014 - Law - Athletics"/>
        <s v="120282 - Tech - Cycling"/>
        <s v="84512 - Tech - Cycling"/>
        <s v="77197 - Tech - Cycling"/>
        <s v="29650 - Tech - Cycling"/>
        <s v="4162 - Tech - Cycling"/>
        <s v="88214 - Tech - Cycling"/>
        <s v="73254 - Tech - Cycling"/>
        <s v="108204 - Tech - Cycling"/>
        <s v="9676 - Tech - Cycling"/>
        <s v="44412 - Tech - Cycling"/>
        <s v="73253 - Tech - Cycling"/>
        <s v="122516 - Tech - Cycling"/>
        <s v="70314 - Tech - Cycling"/>
        <s v="17644 - Tech - Cycling"/>
        <s v="118996 - Tech - Cycling"/>
        <s v="79199 - Tech - Cycling"/>
        <s v="128316 - Tech - Cycling"/>
        <s v="7933 - Tech - Cycling"/>
        <s v="85944 - Tech - Cycling"/>
        <s v="76665 - Tech - Cycling"/>
        <s v="102286 - Tech - Cycling"/>
        <s v="77199 - Tech - Cycling"/>
        <s v="11722 - Tech - Cycling"/>
        <s v="97949 - Tech - Cycling"/>
        <s v="9701 - Tech - Cycling"/>
        <s v="117615 - Tech - Cycling"/>
        <s v="10076 - Tech - Cycling"/>
        <s v="106572 - Tech - Cycling"/>
        <s v="10081 - Tech - Cycling"/>
        <s v="46424 - Tech - Cycling"/>
        <s v="118931 - Tech - Cycling"/>
        <s v="10078 - Tech - Cycling"/>
        <s v="75824 - Tech - Cycling"/>
        <s v="80433 - Tech - Cycling"/>
        <s v="106566 - Tech - Cycling"/>
        <s v="9702 - Tech - Cycling"/>
        <s v="122445 - Tech - Cycling"/>
        <s v="77178 - Tech - Cycling"/>
        <s v="10075 - Tech - Cycling"/>
        <s v="10079 - Tech - Cycling"/>
        <s v="111469 - Tech - Cycling"/>
        <s v="166324 - Tech - Cycling"/>
        <s v="7829 - Tech - Cycling"/>
        <s v="105507 - Tech - Cycling"/>
        <s v="12834 - Tech - Cycling"/>
        <s v="27984 - Tech - Cycling"/>
        <s v="29444 - Tech - Cycling"/>
        <s v="107878 - Tech - Cycling"/>
        <s v="122416 - Tech - Cycling"/>
        <s v="95628 - Tech - Cycling"/>
        <s v="9654 - Tech - Cycling"/>
        <s v="105609 - Tech - Cycling"/>
        <s v="118932 - Tech - Cycling"/>
        <s v="103976 - Tech - Cycling"/>
        <s v="107881 - Tech - Cycling"/>
        <s v="7830 - Tech - Cycling"/>
        <s v="159717 - Tech - Cycling"/>
        <s v="113449 - Tech - Cycling"/>
        <s v="79942 - Tech - Cycling"/>
        <s v="29437 - Tech - Cycling"/>
        <s v="99234 - Tech - Cycling"/>
        <s v="103985 - Tech - Cycling"/>
        <s v="97947 - Tech - Cycling"/>
        <s v="101083 - Tech - Cycling"/>
        <s v="111287 - Tech - Cycling"/>
        <s v="11728 - Tech - Cycling"/>
        <s v="111286 - Tech - Cycling"/>
        <s v="29426 - Tech - Cycling"/>
        <s v="93419 - Tech - Cycling"/>
        <s v="93418 - Tech - Cycling"/>
        <s v="79198 - Tech - Cycling"/>
        <s v="11720 - Tech - Cycling"/>
        <s v="122534 - Tech - Cycling"/>
        <s v="92209 - Tech - Cycling"/>
        <s v="93417 - Tech - Cycling"/>
        <s v="103197 - Tech - Cycling"/>
        <s v="118930 - Tech - Cycling"/>
        <s v="92199 - Tech - Cycling"/>
        <s v="29647 - Tech - Cycling"/>
        <s v="121857 - Tech - Cycling"/>
        <s v="129484 - Tech - Cycling"/>
        <s v="122405 - Tech - Cycling"/>
        <s v="108690 - Tech - Cycling"/>
        <s v="11726 - Tech - Cycling"/>
        <s v="109074 - Tech - Cycling"/>
        <s v="75818 - Tech - Cycling"/>
        <s v="10663 - Tech - Cycling"/>
        <s v="9667 - Tech - Cycling"/>
        <s v="109073 - Tech - Cycling"/>
        <s v="11731 - Tech - Cycling"/>
        <s v="155869 - Tech - Cycling"/>
        <s v="118982 - Tech - Cycling"/>
        <s v="29642 - Tech - Cycling"/>
        <s v="111774 - Tech - Cycling"/>
        <s v="117290 - Tech - Cycling"/>
        <s v="105593 - Tech - Cycling"/>
        <s v="70751 - Tech - Cycling"/>
        <s v="118929 - Tech - Cycling"/>
        <s v="70594 - Tech - Cycling"/>
        <s v="118270 - Tech - Cycling"/>
        <s v="20584 - Tech - Cycling"/>
        <s v="150541 - Tech - Cycling"/>
        <s v="12633 - Tech - Cycling"/>
        <s v="9666 - Tech - Cycling"/>
        <s v="79940 - Tech - Cycling"/>
        <s v="201198 - Tech - Cycling"/>
        <s v="117268 - Tech - Cycling"/>
        <s v="80623 - Tech - Cycling"/>
        <s v="9698 - Tech - Cycling"/>
        <s v="83102 - Tech - Cycling"/>
        <s v="118271 - Tech - Cycling"/>
        <s v="41659 - Tech - Cycling"/>
        <s v="81564 - Tech - Cycling"/>
        <s v="110132 - Tech - Cycling"/>
        <s v="17639 - Tech - Cycling"/>
        <s v="201025 - Tech - Cycling"/>
        <s v="70589 - Tech - Cycling"/>
        <s v="75825 - Tech - Cycling"/>
        <s v="9699 - Tech - Cycling"/>
        <s v="122448 - Tech - Cycling"/>
        <s v="105506 - Tech - Cycling"/>
        <s v="142304 - Tech - Cycling"/>
        <s v="105505 - Tech - Cycling"/>
        <s v="122502 - Tech - Cycling"/>
        <s v="118264 - Tech - Cycling"/>
        <s v="17632 - Tech - Cycling"/>
        <s v="108790 - Tech - Cycling"/>
        <s v="92200 - Tech - Cycling"/>
        <s v="17634 - Tech - Cycling"/>
        <s v="122522 - Tech - Cycling"/>
        <s v="122505 - Tech - Cycling"/>
        <s v="93416 - Tech - Cycling"/>
        <s v="93406 - Tech - Cycling"/>
        <s v="69329 - Tech - Cycling"/>
        <s v="155953 - Tech - Cycling"/>
        <s v="11721 - Tech - Cycling"/>
        <s v="41654 - Tech - Cycling"/>
        <s v="92204 - Tech - Cycling"/>
        <s v="105572 - Tech - Cycling"/>
        <s v="110141 - Tech - Cycling"/>
        <s v="158471 - Tech - Cycling"/>
        <s v="120876 - Law - Swimming"/>
        <s v="87437 - Law - Swimming"/>
        <s v="121462 - Law - Swimming"/>
        <s v="69471 - Law - Swimming"/>
        <s v="114904 - Law - Swimming"/>
        <s v="113910 - Law - Swimming"/>
        <s v="18100 - Law - Swimming"/>
        <s v="114963 - Law - Swimming"/>
        <s v="121495 - Law - Swimming"/>
        <s v="83041 - Law - Swimming"/>
        <s v="121499 - Law - Swimming"/>
        <s v="108528 - Law - Swimming"/>
        <s v="69547 - Law - Swimming"/>
        <s v="18126 - Law - Swimming"/>
        <s v="121812 - Law - Swimming"/>
        <s v="81497 - Law - Swimming"/>
        <s v="121500 - Law - Swimming"/>
        <s v="45903 - Law - Swimming"/>
        <s v="121813 - Law - Swimming"/>
        <s v="108512 - Law - Swimming"/>
        <s v="70189 - Law - Swimming"/>
        <s v="194057 - Law - Swimming"/>
        <s v="121460 - Law - Swimming"/>
        <s v="121950 - Law - Swimming"/>
        <s v="121811 - Law - Swimming"/>
        <s v="86400 - Law - Swimming"/>
        <s v="108527 - Law - Swimming"/>
        <s v="88622 - Law - Swimming"/>
        <s v="121803 - Law - Swimming"/>
        <s v="87418 - Law - Swimming"/>
        <s v="26275 - Law - Swimming"/>
        <s v="119229 - Law - Swimming"/>
        <s v="74881 - Law - Swimming"/>
        <s v="86469 - Law - Swimming"/>
        <s v="120798 - Law - Swimming"/>
        <s v="86479 - Law - Swimming"/>
        <s v="80411 - Law - Swimming"/>
        <s v="120797 - Law - Swimming"/>
        <s v="86480 - Law - Swimming"/>
        <s v="86478 - Law - Swimming"/>
        <s v="118887 - Law - Swimming"/>
        <s v="121802 - Law - Swimming"/>
        <s v="87440 - Law - Swimming"/>
        <s v="86477 - Law - Swimming"/>
        <s v="83059 - Law - Swimming"/>
        <s v="86449 - Law - Swimming"/>
        <s v="86416 - Law - Swimming"/>
        <s v="83064 - Law - Swimming"/>
        <s v="108514 - Law - Swimming"/>
        <s v="86454 - Law - Swimming"/>
        <s v="143238 - Law - Swimming"/>
        <s v="107070 - Law - Swimming"/>
        <s v="114467 - Law - Swimming"/>
        <s v="143237 - Law - Swimming"/>
        <s v="86417 - Law - Swimming"/>
        <s v="147317 - Law - Swimming"/>
        <s v="122177 - Law - Swimming"/>
        <s v="114909 - Law - Swimming"/>
        <s v="119230 - Law - Swimming"/>
        <s v="107109 - Law - Swimming"/>
        <s v="121461 - Law - Swimming"/>
        <s v="86413 - Law - Swimming"/>
        <s v="108511 - Law - Swimming"/>
        <s v="120877 - Law - Swimming"/>
        <s v="194052 - Law - Swimming"/>
        <s v="121493 - Law - Swimming"/>
        <s v="121479 - Law - Swimming"/>
        <s v="79011 - Law - Swimming"/>
        <s v="86470 - Law - Swimming"/>
        <s v="194997 - Law - Swimming"/>
        <s v="108515 - Law - Swimming"/>
        <s v="69346 - Law - Swimming"/>
        <s v="119971 - Law - Swimming"/>
        <s v="107274 - Law - Swimming"/>
        <s v="69451 - Law - Swimming"/>
        <s v="87416 - Law - Swimming"/>
        <s v="23667 - Law - Swimming"/>
        <s v="112770 - Law - Swimming"/>
        <s v="116186 - Law - Swimming"/>
        <s v="95413 - Law - Swimming"/>
        <s v="116184 - Law - Swimming"/>
        <s v="95412 - Law - Swimming"/>
        <s v="95414 - Law - Swimming"/>
        <s v="24088 - Law - Swimming"/>
        <s v="75156 - Law - Swimming"/>
        <s v="6216 - Law - Swimming"/>
        <s v="149867 - Law - Swimming"/>
        <s v="44037 - Law - Swimming"/>
        <s v="83029 - Law - Swimming"/>
        <s v="100395 - Law - Swimming"/>
        <s v="110437 - Law - Swimming"/>
        <s v="29430 - Law - Swimming"/>
        <s v="95416 - Law - Swimming"/>
        <s v="108493 - Law - Swimming"/>
        <s v="109293 - Law - Swimming"/>
        <s v="73581 - Law - Swimming"/>
        <s v="100396 - Law - Swimming"/>
        <s v="45917 - Law - Swimming"/>
        <s v="83420 - Law - Swimming"/>
        <s v="101591 - Law - Swimming"/>
        <s v="116181 - Law - Swimming"/>
        <s v="109300 - Law - Swimming"/>
        <s v="46160 - Law - Swimming"/>
        <s v="116202 - Law - Swimming"/>
        <s v="106884 - Law - Swimming"/>
        <s v="98598 - Law - Swimming"/>
        <s v="78515 - Law - Swimming"/>
        <s v="46154 - Law - Swimming"/>
        <s v="23668 - Law - Swimming"/>
        <s v="107900 - History - Running"/>
        <s v="85037 - History - Running"/>
        <s v="49182 - History - Running"/>
        <s v="69111 - History - Running"/>
        <s v="80054 - History - Running"/>
        <s v="79782 - History - Running"/>
        <s v="80045 - History - Running"/>
        <s v="69108 - History - Running"/>
        <s v="69112 - History - Running"/>
        <s v="121992 - History - Running"/>
        <s v="80048 - History - Running"/>
        <s v="121982 - History - Running"/>
        <s v="121974 - History - Running"/>
        <s v="69110 - History - Running"/>
        <s v="23540 - History - Running"/>
        <s v="69123 - History - Running"/>
        <s v="121984 - History - Running"/>
        <s v="121979 - History - Running"/>
        <s v="80043 - History - Running"/>
        <s v="100326 - History - Running"/>
        <s v="69117 - History - Running"/>
        <s v="100334 - History - Running"/>
        <s v="69120 - History - Running"/>
        <s v="69119 - History - Running"/>
        <s v="69118 - History - Running"/>
        <s v="80044 - History - Running"/>
        <s v="23556 - History - Running"/>
        <s v="69114 - History - Running"/>
        <s v="79778 - History - Running"/>
        <s v="100323 - History - Running"/>
        <s v="69116 - History - Running"/>
        <s v="68938 - History - Running"/>
        <s v="121987 - History - Running"/>
        <s v="69113 - History - Running"/>
        <s v="80053 - History - Running"/>
        <s v="121986 - History - Running"/>
        <s v="121988 - History - Running"/>
        <s v="121990 - History - Running"/>
        <s v="68941 - History - Running"/>
        <s v="69122 - History - Running"/>
        <s v="80049 - History - Running"/>
        <s v="121971 - History - Running"/>
        <s v="68945 - History - Running"/>
        <s v="79780 - History - Running"/>
        <s v="80056 - History - Running"/>
        <s v="80040 - History - Running"/>
        <s v="114480 - History - Running"/>
        <s v="111922 - History - Running"/>
        <s v="111924 - History - Running"/>
        <s v="80047 - History - Running"/>
        <s v="69121 - History - Running"/>
        <s v="68939 - History - Running"/>
        <s v="69124 - History - Running"/>
        <s v="23552 - History - Running"/>
        <s v="68943 - History - Running"/>
        <s v="69115 - History - Running"/>
        <s v="81122 - History - Running"/>
        <s v="84672 - History - Running"/>
        <s v="81127 - History - Running"/>
        <s v="87858 - History - Running"/>
        <s v="84673 - History - Running"/>
        <s v="81064 - History - Running"/>
        <s v="81139 - History - Running"/>
        <s v="81141 - History - Running"/>
        <s v="81054 - History - Running"/>
        <s v="118352 - History - Running"/>
        <s v="81091 - History - Running"/>
        <s v="81025 - History - Running"/>
        <s v="81129 - History - Running"/>
        <s v="81043 - History - Running"/>
        <s v="81120 - History - Running"/>
        <s v="81109 - History - Running"/>
        <s v="81082 - History - Running"/>
        <s v="81036 - History - Running"/>
        <s v="81690 - History - Running"/>
        <s v="87849 - History - Running"/>
        <s v="81094 - History - Running"/>
        <s v="202726 - History - Running"/>
        <s v="101516 - History - Running"/>
        <s v="84332 - History - Running"/>
        <s v="16959 - History - Running"/>
        <s v="87762 - History - Running"/>
        <s v="16952 - History - Running"/>
        <s v="16958 - History - Running"/>
        <s v="16950 - History - Running"/>
        <s v="102266 - History - Running"/>
        <s v="202746 - History - Running"/>
        <s v="101519 - History - Running"/>
        <s v="81688 - History - Running"/>
        <s v="120365 - History - Running"/>
        <s v="3438 - History - Running"/>
        <s v="102262 - History - Running"/>
        <s v="87764 - History - Running"/>
        <s v="3437 - History - Running"/>
        <s v="111017 - History - Running"/>
        <s v="102264 - History - Running"/>
        <s v="18088 - History - Running"/>
        <s v="87836 - History - Running"/>
        <s v="87804 - History - Running"/>
        <s v="108207 - Finance - Fitness Training"/>
        <s v="111043 - Finance - Fitness Training"/>
        <s v="100223 - Finance - Fitness Training"/>
        <s v="92161 - Finance - Coaching"/>
        <s v="113405 - Finance - Coaching"/>
        <s v="120817 - Finance - Coaching"/>
        <s v="14520 - Finance - Coaching"/>
        <s v="104928 - Finance - Coaching"/>
        <s v="14517 - Finance - Coaching"/>
        <s v="122563 - Finance - Coaching"/>
        <s v="96404 - Finance - Coaching"/>
        <s v="121469 - Finance - Coaching"/>
        <s v="122579 - Finance - Coaching"/>
        <s v="113407 - Finance - Coaching"/>
        <s v="91995 - Finance - Coaching"/>
        <s v="81178 - Arts - Sports Psychology"/>
        <s v="12918 - Arts - Sports Psychology"/>
        <s v="122411 - Arts - Sports Psychology"/>
        <s v="81194 - Arts - Sports Psychology"/>
        <s v="71876 - Arts - Sports Psychology"/>
        <s v="129493 - Arts - Sports Psychology"/>
        <s v="81190 - Arts - Sports Psychology"/>
        <s v="71875 - Arts - Sports Psychology"/>
        <s v="81198 - Arts - Sports Psychology"/>
        <s v="188723 - Arts - Sports Psychology"/>
        <s v="115053 - Arts - Sports Psychology"/>
        <s v="104609 - Arts - Sports Psychology"/>
        <s v="12916 - Arts - Sports Psychology"/>
        <s v="129488 - Arts - Sports Psychology"/>
        <s v="78566 - Arts - Sports Psychology"/>
        <s v="15090 - Arts - Sports Psychology"/>
        <s v="81209 - Arts - Sports Psychology"/>
        <s v="108141 - Arts - Sports Psychology"/>
        <s v="12914 - Arts - Sports Psychology"/>
        <s v="129492 - Arts - Sports Psychology"/>
        <s v="120473 - Arts - Sports Psychology"/>
        <s v="12924 - Arts - Sports Psychology"/>
        <s v="12920 - Arts - Sports Psychology"/>
        <s v="81200 - Arts - Sports Psychology"/>
        <s v="122410 - Arts - Sports Psychology"/>
        <s v="81720 - Arts - Sports Psychology"/>
        <s v="12923 - Arts - Sports Psychology"/>
        <s v="81173 - Arts - Sports Psychology"/>
        <s v="12910 - Arts - Sports Psychology"/>
        <s v="81193 - Arts - Sports Psychology"/>
        <s v="12917 - Arts - Sports Psychology"/>
        <s v="129491 - Arts - Sports Psychology"/>
        <s v="15104 - Arts - Sports Psychology"/>
        <s v="122407 - Arts - Sports Psychology"/>
        <s v="81191 - Arts - Sports Psychology"/>
        <s v="188725 - Arts - Sports Psychology"/>
        <s v="188724 - Arts - Sports Psychology"/>
        <s v="12911 - Arts - Sports Psychology"/>
        <s v="21612 - Arts - Sports Psychology"/>
        <s v="21603 - Arts - Sports Psychology"/>
        <s v="81218 - Arts - Sports Psychology"/>
        <s v="70543 - Arts - Sports Psychology"/>
        <s v="80549 - Arts - Sports Psychology"/>
        <s v="79404 - Arts - Sports Psychology"/>
        <s v="110596 - Arts - Sports Psychology"/>
        <s v="70547 - Arts - Sports Psychology"/>
        <s v="11410 - Arts - Sports Psychology"/>
        <s v="116632 - Arts - Sports Psychology"/>
        <s v="80546 - Arts - Sports Psychology"/>
        <s v="80572 - Arts - Sports Psychology"/>
        <s v="70558 - Arts - Sports Psychology"/>
        <s v="79405 - Arts - Sports Psychology"/>
        <s v="80543 - Arts - Sports Psychology"/>
        <s v="14041 - Arts - Sports Psychology"/>
        <s v="70559 - Arts - Sports Psychology"/>
        <s v="80582 - Arts - Sports Psychology"/>
        <s v="90004 - Arts - Sports Psychology"/>
        <s v="117907 - Arts - Sports Psychology"/>
        <s v="70542 - Arts - Sports Psychology"/>
        <s v="81210 - Arts - Sports Psychology"/>
        <s v="81211 - Arts - Sports Psychology"/>
        <s v="80573 - Arts - Sports Psychology"/>
        <s v="117909 - Arts - Sports Psychology"/>
        <s v="80584 - Arts - Sports Psychology"/>
        <s v="80550 - Arts - Sports Psychology"/>
        <s v="81227 - Arts - Sports Psychology"/>
        <s v="80578 - Arts - Sports Psychology"/>
        <s v="110595 - Arts - Sports Psychology"/>
        <s v="70557 - Arts - Sports Psychology"/>
        <s v="147284 - Arts - Sports Psychology"/>
        <s v="70553 - Arts - Sports Psychology"/>
        <s v="81212 - Arts - Sports Psychology"/>
        <s v="120427 - Arts - Sports Psychology"/>
        <s v="46049 - Law - Sports Nutrition"/>
        <s v="46039 - Law - Sports Nutrition"/>
        <s v="46037 - Law - Sports Nutrition"/>
        <s v="88965 - Law - Sports Nutrition"/>
        <s v="102614 - Law - Sports Nutrition"/>
        <s v="122704 - Law - Sports Nutrition"/>
        <s v="164902 - Law - Sports Nutrition"/>
        <s v="117783 - Law - Sports Nutrition"/>
        <s v="114278 - Law - Sports Nutrition"/>
        <s v="46056 - Law - Sports Nutrition"/>
        <s v="5703 - Law - Sports Nutrition"/>
        <s v="102607 - Law - Sports Nutrition"/>
        <s v="87913 - Law - Sports Nutrition"/>
        <s v="149513 - Law - Sports Nutrition"/>
        <s v="87909 - Law - Sports Nutrition"/>
        <s v="101897 - Law - Sports Nutrition"/>
        <s v="121675 - Law - Sports Nutrition"/>
        <s v="99349 - Law - Sports Nutrition"/>
        <s v="117785 - Law - Sports Nutrition"/>
        <s v="120558 - Law - Sports Nutrition"/>
        <s v="99351 - Law - Sports Nutrition"/>
        <s v="113058 - Law - Sports Nutrition"/>
        <s v="118917 - Law - Sports Nutrition"/>
        <s v="164891 - Law - Sports Nutrition"/>
        <s v="101901 - Law - Sports Nutrition"/>
        <s v="197164 - Law - Sports Nutrition"/>
        <s v="114277 - Law - Sports Nutrition"/>
        <s v="86913 - Law - Sports Nutrition"/>
        <s v="88971 - Law - Sports Nutrition"/>
        <s v="188840 - Law - Sports Nutrition"/>
        <s v="95652 - Law - Sports Nutrition"/>
        <s v="68627 - Law - Sports Nutrition"/>
        <s v="46043 - Law - Sports Nutrition"/>
        <s v="60592 - Law - Sports Nutrition"/>
        <s v="99350 - Law - Sports Nutrition"/>
        <s v="78983 - Law - Sports Nutrition"/>
        <s v="188845 - Law - Sports Nutrition"/>
        <s v="117787 - Law - Sports Nutrition"/>
        <s v="119986 - Law - Sports Nutrition"/>
        <s v="188841 - Law - Sports Nutrition"/>
        <s v="99348 - Law - Sports Nutrition"/>
        <s v="78978 - Law - Sports Nutrition"/>
        <s v="120556 - Law - Sports Nutrition"/>
        <s v="80254 - Law - Sports Nutrition"/>
        <s v="121911 - Arts - Extreme Sports"/>
        <s v="120328 - Arts - Extreme Sports"/>
        <s v="122702 - Arts - Extreme Sports"/>
        <s v="92542 - Arts - Extreme Sports"/>
        <s v="15423 - Arts - Extreme Sports"/>
        <s v="111797 - Arts - Extreme Sports"/>
        <s v="112626 - Arts - Extreme Sports"/>
        <s v="12925 - Arts - Extreme Sports"/>
        <s v="107034 - Arts - Extreme Sports"/>
        <s v="88319 - Arts - Extreme Sports"/>
        <s v="3453 - Arts - Extreme Sports"/>
        <s v="121425 - Arts - Extreme Sports"/>
        <s v="10561 - Arts - Extreme Sports"/>
        <s v="90294 - Arts - Extreme Sports"/>
        <s v="70804 - Arts - Extreme Sports"/>
        <s v="81237 - Arts - Extreme Sports"/>
        <s v="47564 - Arts - Extreme Sports"/>
        <s v="24055 - Arts - Extreme Sports"/>
        <s v="48637 - Arts - Extreme Sports"/>
        <s v="3447 - Arts - Extreme Sports"/>
        <s v="117921 - Arts - Extreme Sports"/>
        <s v="128322 - Arts - Extreme Sports"/>
        <s v="42207 - Arts - Extreme Sports"/>
        <s v="108394 - Arts - Extreme Sports"/>
        <s v="119967 - Arts - Extreme Sports"/>
        <s v="81235 - Arts - Extreme Sports"/>
        <s v="24053 - Arts - Extreme Sports"/>
        <s v="116936 - Arts - Extreme Sports"/>
        <s v="44268 - Arts - Extreme Sports"/>
        <s v="111946 - Arts - Extreme Sports"/>
        <s v="81234 - Arts - Extreme Sports"/>
        <s v="24038 - Arts - Extreme Sports"/>
        <s v="44882 - Arts - Extreme Sports"/>
        <s v="44266 - Arts - Extreme Sports"/>
        <s v="3452 - Arts - Extreme Sports"/>
        <s v="118569 - Arts - Extreme Sports"/>
        <s v="84378 - Arts - Extreme Sports"/>
        <s v="112731 - Arts - Extreme Sports"/>
        <s v="166201 - Tech - Winter Sports"/>
        <s v="48495 - Tech - Winter Sports"/>
        <s v="10383 - Tech - Winter Sports"/>
        <s v="116284 - Tech - Winter Sports"/>
        <s v="86543 - Tech - Winter Sports"/>
        <s v="21165 - Tech - Winter Sports"/>
        <s v="10309 - Tech - Winter Sports"/>
        <s v="10367 - Tech - Winter Sports"/>
        <s v="86545 - Tech - Winter Sports"/>
        <s v="86544 - Tech - Winter Sports"/>
        <s v="10384 - Tech - Winter Sports"/>
        <s v="79314 - Tech - Winter Sports"/>
        <s v="79311 - Tech - Winter Sports"/>
        <s v="118249 - Tech - Winter Sports"/>
        <s v="128420 - Tech - Winter Sports"/>
        <s v="120692 - Tech - Winter Sports"/>
        <s v="122464 - Tech - Winter Sports"/>
        <s v="79762 - Tech - Winter Sports"/>
        <s v="79315 - Tech - Winter Sports"/>
        <s v="98941 - Tech - Winter Sports"/>
        <s v="118245 - Tech - Winter Sports"/>
        <s v="122333 - Tech - Winter Sports"/>
        <s v="121901 - Tech - Winter Sports"/>
        <s v="79316 - Tech - Winter Sports"/>
        <s v="109899 - Tech - Winter Sports"/>
        <s v="70570 - Tech - Winter Sports"/>
        <s v="79364 - Tech - Winter Sports"/>
        <s v="113103 - Tech - Winter Sports"/>
        <s v="200581 - Tech - Winter Sports"/>
        <s v="91490 - Tech - Winter Sports"/>
        <s v="79320 - Tech - Winter Sports"/>
        <s v="122331 - Tech - Winter Sports"/>
        <s v="79921 - Tech - Winter Sports"/>
        <s v="128421 - Tech - Winter Sports"/>
        <s v="80421 - Tech - Winter Sports"/>
        <s v="121867 - Tech - Winter Sports"/>
        <s v="122501 - Tech - Winter Sports"/>
        <s v="44531 - Tech - Winter Sports"/>
        <s v="118153 - Tech - Winter Sports"/>
        <s v="118244 - Tech - Winter Sports"/>
        <s v="46974 - Tech - Winter Sports"/>
        <s v="69232 - Tech - Winter Sports"/>
        <s v="117461 - Tech - Winter Sports"/>
        <s v="122324 - Tech - Winter Sports"/>
        <s v="119023 - Tech - Winter Sports"/>
        <s v="70600 - Tech - Winter Sports"/>
        <s v="10689 - Tech - Winter Sports"/>
        <s v="158427 - Tech - Winter Sports"/>
        <s v="122462 - Tech - Winter Sports"/>
        <s v="155951 - Tech - Winter Sports"/>
        <s v="79338 - Tech - Winter Sports"/>
        <s v="79919 - Tech - Winter Sports"/>
        <s v="117057 - Tech - Winter Sports"/>
        <s v="122334 - Tech - Winter Sports"/>
        <s v="122648 - Tech - Winter Sports"/>
        <s v="128418 - Tech - Winter Sports"/>
        <s v="109883 - Tech - Winter Sports"/>
        <s v="119027 - Tech - Winter Sports"/>
        <s v="30522 - Tech - Winter Sports"/>
        <s v="118155 - Tech - Winter Sports"/>
        <s v="188068 - Tech - Winter Sports"/>
        <s v="92613 - Tech - Winter Sports"/>
        <s v="69234 - Tech - Winter Sports"/>
        <s v="109938 - Tech - Winter Sports"/>
        <s v="120307 - Tech - Winter Sports"/>
        <s v="118906 - Tech - Winter Sports"/>
        <s v="128309 - Tech - Winter Sports"/>
        <s v="1986 - Tech - Winter Sports"/>
        <s v="117749 - Tech - Winter Sports"/>
        <s v="117748 - Tech - Winter Sports"/>
        <s v="1962 - Tech - Winter Sports"/>
        <s v="109994 - Tech - Winter Sports"/>
        <s v="69364 - Tech - Winter Sports"/>
        <s v="69365 - Tech - Winter Sports"/>
        <s v="46990 - Tech - Winter Sports"/>
        <s v="11428 - Tech - Winter Sports"/>
        <s v="122318 - Tech - Winter Sports"/>
        <s v="182194 - Tech - Winter Sports"/>
        <s v="147256 - Tech - Winter Sports"/>
        <s v="5079 - Tech - Winter Sports"/>
        <s v="92621 - Tech - Winter Sports"/>
        <s v="11003 - Tech - Winter Sports"/>
        <s v="117560 - Tech - Winter Sports"/>
        <s v="188368 - Tech - Winter Sports"/>
        <s v="124765 - Tech - Winter Sports"/>
        <s v="8726 - Tech - Winter Sports"/>
        <s v="118158 - Tech - Winter Sports"/>
        <s v="121871 - Tech - Winter Sports"/>
        <s v="121876 - Tech - Winter Sports"/>
        <s v="121877 - Tech - Winter Sports"/>
        <s v="121879 - Tech - Winter Sports"/>
        <s v="121874 - Tech - Winter Sports"/>
        <s v="121893 - Tech - Winter Sports"/>
        <s v="121892 - Tech - Winter Sports"/>
        <s v="102678 - Tech - Winter Sports"/>
        <s v="121887 - Tech - Winter Sports"/>
        <s v="21344 - Tech - Winter Sports"/>
        <s v="121873 - Tech - Winter Sports"/>
        <s v="108833 - Tech - Winter Sports"/>
        <s v="121882 - Tech - Winter Sports"/>
        <s v="91492 - Tech - Winter Sports"/>
        <s v="111392 - Tech - Winter Sports"/>
        <s v="108835 - Tech - Winter Sports"/>
        <s v="118111 - Tech - Winter Sports"/>
        <s v="121872 - Tech - Winter Sports"/>
        <s v="112885 - Tech - Winter Sports"/>
        <s v="108738 - Tech - Winter Sports"/>
        <s v="21338 - Tech - Winter Sports"/>
        <s v="76513 - Tech - Winter Sports"/>
        <s v="76514 - Tech - Winter Sports"/>
        <s v="21339 - Tech - Winter Sports"/>
        <s v="75436 - Tech - Winter Sports"/>
        <s v="84092 - Tech - Winter Sports"/>
        <s v="86943 - Tech - Winter Sports"/>
        <s v="8688 - Tech - Winter Sports"/>
        <s v="117967 - Tech - Winter Sports"/>
        <s v="23061 - Tech - Winter Sports"/>
        <s v="10688 - Tech - Winter Sports"/>
        <s v="8690 - Tech - Winter Sports"/>
        <s v="79808 - Tech - Winter Sports"/>
        <s v="44797 - Tech - Winter Sports"/>
        <s v="79807 - Tech - Winter Sports"/>
        <s v="11426 - Tech - Winter Sports"/>
        <s v="45059 - Tech - Winter Sports"/>
        <s v="200582 - Tech - Winter Sports"/>
        <s v="143825 - Tech - Winter Sports"/>
        <s v="85232 - Tech - Winter Sports"/>
        <s v="79806 - Tech - Winter Sports"/>
        <s v="46991 - Tech - Winter Sports"/>
        <s v="69360 - Tech - Winter Sports"/>
        <s v="110441 - Tech - Winter Sports"/>
        <s v="120781 - Tech - Winter Sports"/>
        <s v="79809 - Tech - Winter Sports"/>
        <s v="45057 - Tech - Winter Sports"/>
        <s v="79805 - Tech - Winter Sports"/>
        <s v="45707 - Tech - Winter Sports"/>
        <s v="117282 - Tech - Winter Sports"/>
        <s v="30503 - Tech - Winter Sports"/>
        <s v="187336 - Tech - Winter Sports"/>
        <s v="82427 - Tech - Winter Sports"/>
        <s v="11000 - Tech - Winter Sports"/>
        <s v="117274 - Tech - Winter Sports"/>
        <s v="117445 - Tech - Winter Sports"/>
        <s v="103246 - Tech - Winter Sports"/>
        <s v="92626 - Tech - Winter Sports"/>
        <s v="79352 - Tech - Winter Sports"/>
        <s v="128315 - Tech - Winter Sports"/>
        <s v="117272 - Tech - Winter Sports"/>
        <s v="116770 - Tech - Winter Sports"/>
        <s v="118012 - Tech - Winter Sports"/>
        <s v="117306 - Tech - Winter Sports"/>
        <s v="117056 - Tech - Winter Sports"/>
        <s v="188066 - Tech - Winter Sports"/>
        <s v="181147 - Tech - Winter Sports"/>
        <s v="79917 - Tech - Winter Sports"/>
        <s v="110282 - Tech - Winter Sports"/>
        <s v="200526 - Tech - Winter Sports"/>
        <s v="193197 - Tech - Winter Sports"/>
        <s v="79820 - Tech - Winter Sports"/>
        <s v="122327 - Tech - Winter Sports"/>
        <s v="117956 - Tech - Winter Sports"/>
        <s v="86182 - Tech - Winter Sports"/>
        <s v="46989 - Tech - Winter Sports"/>
        <s v="46976 - Tech - Winter Sports"/>
        <s v="79354 - Tech - Winter Sports"/>
        <s v="114268 - Tech - Winter Sports"/>
        <s v="10685 - Tech - Winter Sports"/>
        <s v="118157 - Tech - Winter Sports"/>
        <s v="122322 - Tech - Winter Sports"/>
        <s v="27509 - Tech - Winter Sports"/>
        <s v="110852 - Tech - Winter Sports"/>
        <s v="128312 - Tech - Winter Sports"/>
        <s v="79355 - Tech - Winter Sports"/>
        <s v="86185 - Tech - Winter Sports"/>
        <s v="77138 - Tech - Winter Sports"/>
        <s v="86183 - Tech - Winter Sports"/>
        <s v="122595 - Tech - Winter Sports"/>
        <s v="70338 - Tech - Winter Sports"/>
        <s v="114273 - Tech - Winter Sports"/>
        <s v="110849 - Tech - Winter Sports"/>
        <s v="45056 - Tech - Winter Sports"/>
        <s v="92633 - Tech - Winter Sports"/>
        <s v="111011 - Tech - Winter Sports"/>
        <s v="11002 - Tech - Winter Sports"/>
        <s v="80661 - Tech - Winter Sports"/>
        <s v="128310 - Tech - Winter Sports"/>
        <s v="182193 - Tech - Winter Sports"/>
        <s v="116771 - Tech - Winter Sports"/>
        <s v="103245 - Tech - Winter Sports"/>
        <s v="1961 - Tech - Winter Sports"/>
        <s v="128314 - Tech - Winter Sports"/>
        <s v="109993 - Tech - Winter Sports"/>
        <s v="117270 - Tech - Winter Sports"/>
        <s v="42748 - Tech - Winter Sports"/>
        <s v="110447 - Tech - Winter Sports"/>
        <s v="46979 - Tech - Winter Sports"/>
        <s v="1296 - Tech - Winter Sports"/>
        <s v="109973 - Tech - Winter Sports"/>
        <s v="155949 - Tech - Winter Sports"/>
        <s v="187346 - Tech - Winter Sports"/>
        <s v="46978 - Tech - Winter Sports"/>
        <s v="110283 - Tech - Winter Sports"/>
        <s v="147257 - Tech - Winter Sports"/>
        <s v="182191 - Tech - Winter Sports"/>
        <s v="9722 - Tech - Winter Sports"/>
        <s v="124772 - Tech - Winter Sports"/>
        <s v="8681 - Tech - Winter Sports"/>
        <s v="5077 - Tech - Winter Sports"/>
        <s v="114274 - Tech - Winter Sports"/>
        <s v="1297 - Tech - Winter Sports"/>
        <s v="46988 - Tech - Winter Sports"/>
        <s v="92623 - Tech - Winter Sports"/>
        <s v="79761 - Tech - Winter Sports"/>
        <s v="11001 - Tech - Winter Sports"/>
        <s v="9731 - Tech - Winter Sports"/>
        <s v="122316 - Tech - Winter Sports"/>
        <s v="147255 - Tech - Winter Sports"/>
        <s v="8675 - Tech - Winter Sports"/>
        <s v="121900 - Tech - Winter Sports"/>
        <s v="124764 - Tech - Winter Sports"/>
        <s v="124774 - Tech - Winter Sports"/>
        <s v="79353 - Tech - Winter Sports"/>
        <s v="82703 - Tech - Winter Sports"/>
        <s v="71820 - Tech - Winter Sports"/>
        <s v="128311 - Tech - Winter Sports"/>
        <s v="70595 - Tech - Winter Sports"/>
        <s v="8676 - Tech - Winter Sports"/>
        <s v="128313 - Tech - Winter Sports"/>
        <s v="45479 - Tech - Constitutional Law"/>
        <s v="45481 - Tech - Constitutional Law"/>
        <s v="80001 - Tech - Constitutional Law"/>
        <s v="10068 - Tech - Constitutional Law"/>
        <s v="10054 - Tech - Constitutional Law"/>
        <s v="10070 - Tech - Constitutional Law"/>
        <s v="45480 - Tech - Constitutional Law"/>
        <s v="92791 - Tech - Constitutional Law"/>
        <s v="188722 - Tech - Constitutional Law"/>
        <s v="10061 - Tech - Constitutional Law"/>
        <s v="188708 - Tech - Constitutional Law"/>
        <s v="110927 - Tech - Constitutional Law"/>
        <s v="188729 - Tech - Constitutional Law"/>
        <s v="120969 - Tech - Constitutional Law"/>
        <s v="188728 - Tech - Constitutional Law"/>
        <s v="188663 - Tech - Constitutional Law"/>
        <s v="188727 - Tech - Constitutional Law"/>
        <s v="9741 - Tech - Constitutional Law"/>
        <s v="70406 - Medical - Criminal Law"/>
        <s v="112114 - Medical - Criminal Law"/>
        <s v="70405 - Medical - Criminal Law"/>
        <s v="20405 - Medical - Criminal Law"/>
        <s v="121308 - Self-Help - Civil Law"/>
        <s v="121311 - Self-Help - Civil Law"/>
        <s v="124748 - Arts - Commercial Law"/>
        <s v="104315 - Arts - Commercial Law"/>
        <s v="104314 - Arts - Commercial Law"/>
        <s v="69287 - Arts - Commercial Law"/>
        <s v="5789 - Arts - Commercial Law"/>
        <s v="14013 - Arts - Commercial Law"/>
        <s v="14015 - Arts - Commercial Law"/>
        <s v="69291 - Arts - Commercial Law"/>
        <s v="26057 - Arts - Commercial Law"/>
        <s v="14022 - Arts - Commercial Law"/>
        <s v="80109 - Arts - Commercial Law"/>
        <s v="121686 - Arts - Commercial Law"/>
        <s v="60365 - Arts - Commercial Law"/>
        <s v="86488 - Arts - Commercial Law"/>
        <s v="122530 - Arts - Commercial Law"/>
        <s v="60526 - Arts - Commercial Law"/>
        <s v="116807 - Arts - Commercial Law"/>
        <s v="80030 - Arts - Commercial Law"/>
        <s v="122529 - Arts - Commercial Law"/>
        <s v="14042 - Arts - Commercial Law"/>
        <s v="14043 - Arts - Commercial Law"/>
        <s v="9157 - Arts - Commercial Law"/>
        <s v="149968 - Arts - Commercial Law"/>
        <s v="47299 - Arts - Commercial Law"/>
        <s v="109275 - Arts - Commercial Law"/>
        <s v="122768 - Arts - Commercial Law"/>
        <s v="80400 - Arts - Commercial Law"/>
        <s v="8803 - Arts - Commercial Law"/>
        <s v="80085 - Arts - Commercial Law"/>
        <s v="47379 - Arts - Commercial Law"/>
        <s v="47366 - Arts - Commercial Law"/>
        <s v="47376 - Arts - Commercial Law"/>
        <s v="95799 - Arts - Commercial Law"/>
        <s v="112733 - Arts - Commercial Law"/>
        <s v="47050 - Arts - Commercial Law"/>
        <s v="112449 - Arts - Commercial Law"/>
        <s v="14025 - Arts - Commercial Law"/>
        <s v="26054 - Arts - Commercial Law"/>
        <s v="60366 - Arts - Commercial Law"/>
        <s v="116805 - Arts - Commercial Law"/>
        <s v="8804 - Arts - Commercial Law"/>
        <s v="48470 - Arts - Commercial Law"/>
        <s v="86485 - Arts - Commercial Law"/>
        <s v="73872 - Arts - Commercial Law"/>
        <s v="72852 - Arts - Commercial Law"/>
        <s v="85856 - Arts - Commercial Law"/>
        <s v="14018 - Arts - Commercial Law"/>
        <s v="100262 - Arts - Commercial Law"/>
        <s v="114657 - Arts - Commercial Law"/>
        <s v="150281 - Arts - Commercial Law"/>
        <s v="81491 - Arts - Commercial Law"/>
        <s v="88519 - Arts - Commercial Law"/>
        <s v="116800 - Arts - Commercial Law"/>
        <s v="117675 - Arts - Commercial Law"/>
        <s v="47051 - Arts - Commercial Law"/>
        <s v="103171 - Arts - Commercial Law"/>
        <s v="47049 - Arts - Commercial Law"/>
        <s v="47351 - Arts - Commercial Law"/>
        <s v="47575 - Arts - Commercial Law"/>
        <s v="80088 - Arts - Commercial Law"/>
        <s v="47298 - Arts - Commercial Law"/>
        <s v="100271 - Arts - Commercial Law"/>
        <s v="47621 - Arts - Commercial Law"/>
        <s v="117609 - Arts - Commercial Law"/>
        <s v="103873 - Arts - Commercial Law"/>
        <s v="14026 - Arts - Commercial Law"/>
        <s v="95951 - Arts - Commercial Law"/>
        <s v="9162 - Arts - Commercial Law"/>
        <s v="80089 - Arts - Commercial Law"/>
        <s v="122521 - Arts - Commercial Law"/>
        <s v="69300 - Arts - Commercial Law"/>
        <s v="80417 - Arts - Commercial Law"/>
        <s v="128323 - Arts - Commercial Law"/>
        <s v="80091 - Arts - Commercial Law"/>
        <s v="92927 - Arts - Commercial Law"/>
        <s v="9158 - Arts - Commercial Law"/>
        <s v="103872 - Arts - Commercial Law"/>
        <s v="116809 - Arts - Commercial Law"/>
        <s v="114655 - Arts - Commercial Law"/>
        <s v="80228 - Arts - Commercial Law"/>
        <s v="47207 - Arts - Commercial Law"/>
        <s v="116402 - Arts - Commercial Law"/>
        <s v="116408 - Arts - Commercial Law"/>
        <s v="83592 - Arts - Commercial Law"/>
        <s v="122241 - Arts - Commercial Law"/>
        <s v="112799 - Arts - Commercial Law"/>
        <s v="122659 - Arts - Commercial Law"/>
        <s v="112797 - Arts - Commercial Law"/>
        <s v="122663 - Arts - Commercial Law"/>
        <s v="112809 - Arts - Commercial Law"/>
        <s v="80220 - Arts - Commercial Law"/>
        <s v="112732 - Arts - Commercial Law"/>
        <s v="83354 - Arts - Commercial Law"/>
        <s v="116410 - Arts - Commercial Law"/>
        <s v="103841 - Arts - Commercial Law"/>
        <s v="116746 - Arts - Commercial Law"/>
        <s v="116405 - Arts - Commercial Law"/>
        <s v="112810 - Arts - Commercial Law"/>
        <s v="47347 - Arts - Commercial Law"/>
        <s v="101902 - Arts - Commercial Law"/>
        <s v="92926 - Arts - Commercial Law"/>
        <s v="47345 - Arts - Commercial Law"/>
        <s v="121611 - Arts - Commercial Law"/>
        <s v="73310 - Arts - Commercial Law"/>
        <s v="80102 - Arts - Commercial Law"/>
        <s v="122773 - Arts - Commercial Law"/>
        <s v="119421 - Arts - Commercial Law"/>
        <s v="118276 - Arts - Commercial Law"/>
        <s v="47314 - Arts - Commercial Law"/>
        <s v="122771 - Arts - Commercial Law"/>
        <s v="47380 - Arts - Commercial Law"/>
        <s v="98329 - Arts - Commercial Law"/>
        <s v="81485 - Arts - Commercial Law"/>
        <s v="77847 - Arts - Commercial Law"/>
        <s v="77290 - Arts - Commercial Law"/>
        <s v="114656 - Arts - Commercial Law"/>
        <s v="118486 - Arts - Commercial Law"/>
        <s v="101889 - Arts - Commercial Law"/>
        <s v="14030 - Arts - Commercial Law"/>
        <s v="47381 - Arts - Commercial Law"/>
        <s v="101888 - Arts - Commercial Law"/>
        <s v="98328 - Arts - Commercial Law"/>
        <s v="79775 - Arts - Commercial Law"/>
        <s v="122616 - Arts - Commercial Law"/>
        <s v="101950 - Arts - Commercial Law"/>
        <s v="9163 - Arts - Commercial Law"/>
        <s v="110106 - Arts - Commercial Law"/>
        <s v="14045 - Arts - Commercial Law"/>
        <s v="95993 - Arts - Commercial Law"/>
        <s v="81488 - Arts - Commercial Law"/>
        <s v="14049 - Arts - Commercial Law"/>
        <s v="121749 - Arts - Commercial Law"/>
        <s v="101927 - Arts - Commercial Law"/>
        <s v="103864 - Arts - Commercial Law"/>
        <s v="85862 - Arts - Commercial Law"/>
        <s v="46124 - History - Corporate Law"/>
        <s v="114346 - History - Corporate Law"/>
        <s v="80194 - History - Corporate Law"/>
        <s v="80192 - History - Corporate Law"/>
        <s v="46109 - History - Corporate Law"/>
        <s v="80196 - History - Corporate Law"/>
        <s v="149602 - History - Corporate Law"/>
        <s v="46123 - History - Corporate Law"/>
        <s v="46113 - History - Corporate Law"/>
        <s v="46116 - History - Corporate Law"/>
        <s v="46119 - History - Corporate Law"/>
        <s v="63867 - History - Corporate Law"/>
        <s v="80190 - History - Corporate Law"/>
        <s v="48485 - History - Corporate Law"/>
        <s v="80203 - History - Corporate Law"/>
        <s v="100670 - History - Corporate Law"/>
        <s v="16546 - History - Corporate Law"/>
        <s v="121622 - History - Corporate Law"/>
        <s v="80202 - History - Corporate Law"/>
        <s v="24263 - History - Corporate Law"/>
        <s v="16552 - History - Corporate Law"/>
        <s v="112771 - History - Corporate Law"/>
        <s v="116197 - History - Corporate Law"/>
        <s v="46138 - History - Corporate Law"/>
        <s v="109546 - History - Corporate Law"/>
        <s v="199475 - History - Corporate Law"/>
        <s v="199479 - History - Corporate Law"/>
        <s v="48180 - History - Corporate Law"/>
        <s v="90374 - History - Corporate Law"/>
        <s v="80318 - History - Corporate Law"/>
        <s v="6206 - History - Corporate Law"/>
        <s v="181492 - History - Corporate Law"/>
        <s v="148738 - History - Corporate Law"/>
        <s v="100692 - History - Corporate Law"/>
        <s v="121708 - History - Corporate Law"/>
        <s v="47508 - History - Corporate Law"/>
        <s v="89514 - History - Corporate Law"/>
        <s v="117918 - History - Corporate Law"/>
        <s v="16645 - History - Corporate Law"/>
        <s v="148740 - History - Corporate Law"/>
        <s v="100688 - History - Corporate Law"/>
        <s v="148741 - History - Corporate Law"/>
        <s v="109299 - History - Corporate Law"/>
        <s v="196109 - History - Corporate Law"/>
        <s v="72155 - History - Corporate Law"/>
        <s v="80245 - History - Corporate Law"/>
        <s v="6215 - History - Corporate Law"/>
        <s v="45810 - History - Corporate Law"/>
        <s v="80205 - History - Corporate Law"/>
        <s v="107064 - History - Corporate Law"/>
        <s v="6211 - History - Corporate Law"/>
        <s v="44036 - History - Corporate Law"/>
        <s v="181493 - History - Corporate Law"/>
        <s v="6210 - History - Corporate Law"/>
        <s v="110431 - History - Corporate Law"/>
        <s v="122878 - History - Corporate Law"/>
        <s v="14092 - History - Corporate Law"/>
        <s v="121621 - History - Corporate Law"/>
        <s v="120511 - History - Corporate Law"/>
        <s v="46132 - History - Corporate Law"/>
        <s v="83014 - History - Corporate Law"/>
        <s v="80199 - History - Corporate Law"/>
        <s v="80201 - History - Corporate Law"/>
        <s v="46131 - History - Corporate Law"/>
        <s v="102346 - History - Corporate Law"/>
        <s v="14094 - History - Corporate Law"/>
        <s v="100679 - History - Corporate Law"/>
        <s v="102345 - History - Corporate Law"/>
        <s v="121695 - History - Corporate Law"/>
        <s v="6204 - History - Corporate Law"/>
        <s v="16571 - History - Corporate Law"/>
        <s v="181494 - History - Corporate Law"/>
        <s v="80315 - History - Corporate Law"/>
        <s v="83054 - History - Corporate Law"/>
        <s v="83056 - History - Corporate Law"/>
        <s v="83055 - History - Corporate Law"/>
        <s v="46134 - History - Corporate Law"/>
        <s v="121693 - History - Corporate Law"/>
        <s v="102344 - History - Corporate Law"/>
        <s v="100687 - History - Corporate Law"/>
        <s v="70327 - History - Corporate Law"/>
        <s v="80191 - History - Corporate Law"/>
        <s v="103037 - History - Corporate Law"/>
        <s v="6205 - History - Corporate Law"/>
        <s v="70387 - History - Corporate Law"/>
        <s v="122278 - Arts - International Law"/>
        <s v="29365 - Arts - International Law"/>
        <s v="17769 - Arts - International Law"/>
        <s v="23144 - Arts - International Law"/>
        <s v="120115 - Arts - International Law"/>
        <s v="29384 - Arts - International Law"/>
        <s v="17746 - Arts - International Law"/>
        <s v="121630 - Arts - International Law"/>
        <s v="29385 - Arts - International Law"/>
        <s v="17767 - Arts - International Law"/>
        <s v="103047 - Arts - International Law"/>
        <s v="70209 - Arts - International Law"/>
        <s v="29372 - Arts - International Law"/>
        <s v="120485 - Arts - International Law"/>
        <s v="120486 - Arts - International Law"/>
        <s v="70293 - Arts - International Law"/>
        <s v="71772 - Arts - International Law"/>
        <s v="86111 - Arts - International Law"/>
        <s v="71840 - Arts - International Law"/>
        <s v="28533 - Arts - International Law"/>
        <s v="86994 - Arts - International Law"/>
        <s v="124881 - Arts - International Law"/>
        <s v="119280 - Arts - International Law"/>
        <s v="87001 - Arts - International Law"/>
        <s v="71839 - Arts - International Law"/>
        <s v="119288 - Arts - International Law"/>
        <s v="71770 - Arts - International Law"/>
        <s v="28536 - Arts - International Law"/>
        <s v="90007 - Arts - International Law"/>
        <s v="71830 - Arts - International Law"/>
        <s v="71837 - Arts - International Law"/>
        <s v="83640 - Arts - International Law"/>
        <s v="111191 - Arts - International Law"/>
        <s v="70442 - Arts - International Law"/>
        <s v="122228 - Arts - International Law"/>
        <s v="46822 - Arts - International Law"/>
        <s v="71769 - Arts - International Law"/>
        <s v="9302 - Arts - International Law"/>
        <s v="90006 - Arts - International Law"/>
        <s v="80673 - Arts - International Law"/>
        <s v="71834 - Arts - International Law"/>
        <s v="107310 - Arts - International Law"/>
        <s v="71843 - Arts - International Law"/>
        <s v="107358 - Arts - International Law"/>
        <s v="44842 - Arts - International Law"/>
        <s v="111181 - Arts - International Law"/>
        <s v="71773 - Arts - International Law"/>
        <s v="71836 - Arts - International Law"/>
        <s v="70276 - Arts - International Law"/>
        <s v="71775 - Arts - International Law"/>
        <s v="44844 - Arts - International Law"/>
        <s v="156181 - Arts - International Law"/>
        <s v="102898 - Arts - International Law"/>
        <s v="47600 - Arts - International Law"/>
        <s v="111173 - Arts - International Law"/>
        <s v="70201 - Arts - International Law"/>
        <s v="71842 - Arts - International Law"/>
        <s v="47601 - Arts - International Law"/>
        <s v="87000 - Arts - International Law"/>
        <s v="103457 - Arts - International Law"/>
        <s v="42198 - Arts - International Law"/>
        <s v="46823 - Arts - International Law"/>
        <s v="116196 - Arts - International Law"/>
        <s v="111177 - Arts - International Law"/>
        <s v="70292 - Arts - International Law"/>
        <s v="90008 - Arts - International Law"/>
        <s v="71768 - Arts - International Law"/>
        <s v="86972 - Arts - International Law"/>
        <s v="111179 - Arts - International Law"/>
        <s v="81726 - Arts - International Law"/>
        <s v="28535 - Arts - International Law"/>
        <s v="80682 - Arts - International Law"/>
        <s v="144008 - Arts - International Law"/>
        <s v="111129 - Arts - International Law"/>
        <s v="107307 - Arts - International Law"/>
        <s v="70206 - Arts - International Law"/>
        <s v="107349 - Arts - International Law"/>
        <s v="122231 - Arts - International Law"/>
        <s v="103458 - Arts - International Law"/>
        <s v="71838 - Arts - International Law"/>
        <s v="104671 - Arts - International Law"/>
        <s v="83793 - Arts - International Law"/>
        <s v="50478 - Arts - International Law"/>
        <s v="118891 - Arts - International Law"/>
        <s v="70440 - Arts - International Law"/>
        <s v="44840 - Arts - International Law"/>
        <s v="107304 - Arts - International Law"/>
        <s v="116195 - Arts - International Law"/>
        <s v="86980 - Arts - International Law"/>
        <s v="122230 - Arts - International Law"/>
        <s v="47602 - Arts - International Law"/>
        <s v="42190 - Arts - International Law"/>
        <s v="111130 - Arts - International Law"/>
        <s v="71774 - Arts - International Law"/>
        <s v="75010 - Arts - International Law"/>
        <s v="119276 - Arts - International Law"/>
        <s v="83789 - Arts - International Law"/>
        <s v="86999 - Arts - International Law"/>
        <s v="80678 - Arts - International Law"/>
        <s v="86973 - Arts - International Law"/>
        <s v="81724 - Arts - International Law"/>
        <s v="104678 - Arts - International Law"/>
        <s v="71844 - Arts - International Law"/>
        <s v="42287 - Medical - Human Rights Law"/>
        <s v="116678 - Medical - Human Rights Law"/>
        <s v="116845 - Medical - Human Rights Law"/>
        <s v="114252 - Medical - Human Rights Law"/>
        <s v="117595 - Medical - Human Rights Law"/>
        <s v="109579 - Medical - Human Rights Law"/>
        <s v="117597 - Medical - Human Rights Law"/>
        <s v="14401 - Medical - Human Rights Law"/>
        <s v="109290 - Medical - Human Rights Law"/>
        <s v="117665 - Medical - Human Rights Law"/>
        <s v="117681 - Medical - Human Rights Law"/>
        <s v="119406 - Medical - Human Rights Law"/>
        <s v="117676 - Medical - Human Rights Law"/>
        <s v="109571 - Medical - Human Rights Law"/>
        <s v="116676 - Medical - Human Rights Law"/>
        <s v="116816 - Medical - Human Rights Law"/>
        <s v="117663 - Medical - Human Rights Law"/>
        <s v="117652 - Medical - Human Rights Law"/>
        <s v="109289 - Medical - Human Rights Law"/>
        <s v="117656 - Medical - Human Rights Law"/>
        <s v="117677 - Medical - Human Rights Law"/>
        <s v="116677 - Medical - Human Rights Law"/>
        <s v="117256 - Medical - Human Rights Law"/>
        <s v="122738 - Medical - Human Rights Law"/>
        <s v="116679 - Medical - Human Rights Law"/>
        <s v="116831 - Medical - Human Rights Law"/>
        <s v="109577 - Medical - Human Rights Law"/>
        <s v="77790 - Sports - Intellectual Property Law"/>
        <s v="101172 - Self-Help - Environmental Law"/>
        <s v="87023 - Self-Help - Environmental Law"/>
        <s v="101520 - Self-Help - Environmental Law"/>
        <s v="118362 - Self-Help - Environmental Law"/>
        <s v="87313 - Self-Help - Environmental Law"/>
        <s v="111015 - Self-Help - Environmental Law"/>
        <s v="87312 - Self-Help - Environmental Law"/>
        <s v="87025 - Self-Help - Environmental Law"/>
        <s v="111587 - Self-Help - Environmental Law"/>
        <s v="114934 - Medical - Labor Law"/>
        <s v="116519 - Medical - Labor Law"/>
        <s v="116516 - Medical - Labor Law"/>
        <s v="104931 - Finance - Tax Law"/>
        <s v="105656 - Finance - Tax Law"/>
        <s v="117702 - Finance - Tax Law"/>
        <s v="88385 - Finance - Tax Law"/>
        <s v="76451 - Finance - Tax Law"/>
        <s v="199950 - Finance - Tax Law"/>
        <s v="121167 - Finance - Tax Law"/>
        <s v="199954 - Finance - Tax Law"/>
        <s v="190713 - Finance - Tax Law"/>
        <s v="199951 - Finance - Tax Law"/>
        <s v="85263 - Finance - Tax Law"/>
        <s v="180016 - Finance - Tax Law"/>
        <s v="129432 - Finance - Tax Law"/>
        <s v="120052 - Finance - Tax Law"/>
        <s v="111876 - Finance - Tax Law"/>
        <s v="85092 - Finance - Tax Law"/>
        <s v="121046 - Finance - Tax Law"/>
        <s v="849 - Finance - Tax Law"/>
        <s v="21662 - Finance - Tax Law"/>
        <s v="127038 - Finance - Tax Law"/>
        <s v="91954 - Finance - Tax Law"/>
        <s v="96365 - Finance - Tax Law"/>
        <s v="121172 - Finance - Tax Law"/>
        <s v="74331 - Finance - Tax Law"/>
        <s v="105657 - Finance - Tax Law"/>
        <s v="113716 - Finance - Tax Law"/>
        <s v="104510 - Finance - Tax Law"/>
        <s v="105059 - Finance - Tax Law"/>
        <s v="63608 - Finance - Tax Law"/>
        <s v="121095 - Finance - Tax Law"/>
        <s v="76450 - Finance - Tax Law"/>
        <s v="121012 - Finance - Tax Law"/>
        <s v="113187 - Finance - Tax Law"/>
        <s v="101946 - Finance - Tax Law"/>
        <s v="117275 - Finance - Tax Law"/>
        <s v="117695 - Finance - Tax Law"/>
        <s v="74398 - Finance - Tax Law"/>
        <s v="105230 - Finance - Tax Law"/>
        <s v="112776 - Finance - Tax Law"/>
        <s v="23968 - Finance - Tax Law"/>
        <s v="127025 - Finance - Tax Law"/>
        <s v="118956 - Finance - Tax Law"/>
        <s v="118947 - Finance - Tax Law"/>
        <s v="95873 - Finance - Tax Law"/>
        <s v="118946 - Finance - Tax Law"/>
        <s v="44991 - Finance - Tax Law"/>
        <s v="122398 - Finance - Tax Law"/>
        <s v="108638 - Finance - Tax Law"/>
        <s v="113633 - Finance - Tax Law"/>
        <s v="113649 - Finance - Tax Law"/>
        <s v="113619 - Finance - Tax Law"/>
        <s v="113648 - Finance - Tax Law"/>
        <s v="120889 - Finance - Tax Law"/>
        <s v="113620 - Finance - Tax Law"/>
        <s v="113626 - Finance - Tax Law"/>
        <s v="113657 - Finance - Tax Law"/>
        <s v="113645 - Finance - Tax Law"/>
        <s v="18247 - Finance - Tax Law"/>
        <s v="121249 - Finance - Tax Law"/>
        <s v="104912 - Finance - Tax Law"/>
        <s v="73222 - History - Legal Theory"/>
        <s v="78834 - History - Legal Theory"/>
        <s v="15109 - History - Legal Theory"/>
        <s v="26126 - History - Legal Theory"/>
        <s v="48724 - History - Legal Theory"/>
        <s v="98888 - History - Legal Theory"/>
        <s v="48605 - History - Legal Theory"/>
        <s v="119243 - History - Legal Theory"/>
        <s v="22045 - History - Legal Theory"/>
        <s v="73221 - History - Legal Theory"/>
        <s v="72168 - History - Legal Theory"/>
        <s v="127039 - History - Legal Theory"/>
        <s v="155861 - History - Legal Theory"/>
        <s v="6213 - History - Legal Theory"/>
        <s v="6476 - Medical - Legal Practice"/>
        <s v="114933 - Medical - Legal Practice"/>
        <s v="6473 - Medical - Legal Practice"/>
        <s v="99248 - Medical - Legal Practice"/>
        <s v="6477 - Medical - Legal Practice"/>
        <s v="6478 - Medical - Legal Practice"/>
        <s v="6474 - Medical - Legal Practice"/>
        <s v="70574 - Medical - Legal Practice"/>
        <s v="101302 - Finance - Programming"/>
        <s v="104475 - Finance - Programming"/>
        <s v="101296 - Finance - Programming"/>
        <s v="122029 - Finance - Programming"/>
        <s v="102549 - Finance - Programming"/>
        <s v="122026 - Finance - Programming"/>
        <s v="101303 - Finance - Programming"/>
        <s v="102548 - Finance - Programming"/>
        <s v="122027 - Finance - Programming"/>
        <s v="46963 - Finance - Programming"/>
        <s v="102268 - Finance - Programming"/>
        <s v="26649 - Finance - Programming"/>
        <s v="102275 - Finance - Programming"/>
        <s v="43943 - Finance - Programming"/>
        <s v="102550 - Finance - Programming"/>
        <s v="26650 - Finance - Programming"/>
        <s v="117728 - Finance - Programming"/>
        <s v="103588 - Finance - Programming"/>
        <s v="101297 - Finance - Programming"/>
        <s v="101298 - Finance - Programming"/>
        <s v="113129 - Finance - Programming"/>
        <s v="102551 - Finance - Programming"/>
        <s v="117735 - Finance - Programming"/>
        <s v="101299 - Finance - Programming"/>
        <s v="103590 - Finance - Programming"/>
        <s v="43944 - Finance - Programming"/>
        <s v="113128 - Finance - Programming"/>
        <s v="102553 - Finance - Programming"/>
        <s v="114230 - Finance - Programming"/>
        <s v="122028 - Finance - Programming"/>
        <s v="102269 - Finance - Programming"/>
        <s v="26651 - Finance - Programming"/>
        <s v="101316 - Finance - Programming"/>
        <s v="117742 - Finance - Programming"/>
        <s v="101315 - Finance - Programming"/>
        <s v="43945 - Finance - Programming"/>
        <s v="103589 - Finance - Programming"/>
        <s v="88896 - Finance - Programming"/>
        <s v="103595 - Finance - Programming"/>
        <s v="101300 - Finance - Programming"/>
        <s v="113130 - Finance - Programming"/>
        <s v="102272 - Finance - Programming"/>
        <s v="43947 - Finance - Programming"/>
        <s v="102271 - Finance - Programming"/>
        <s v="103592 - Finance - Programming"/>
        <s v="26652 - Finance - Programming"/>
        <s v="43946 - Finance - Programming"/>
        <s v="101301 - Finance - Programming"/>
        <s v="108458 - Finance - Programming"/>
        <s v="117736 - Finance - Programming"/>
        <s v="49606 - Finance - Programming"/>
        <s v="106297 - Finance - Programming"/>
        <s v="15556 - Finance - Programming"/>
        <s v="49605 - Finance - Programming"/>
        <s v="102312 - Finance - Programming"/>
        <s v="121125 - Finance - Programming"/>
        <s v="106401 - Finance - Programming"/>
        <s v="116834 - Finance - Programming"/>
        <s v="1953 - Finance - Programming"/>
        <s v="106305 - Finance - Programming"/>
        <s v="108278 - Finance - Programming"/>
        <s v="47660 - Finance - Programming"/>
        <s v="47657 - Finance - Programming"/>
        <s v="64185 - Finance - Programming"/>
        <s v="108256 - Finance - Programming"/>
        <s v="62597 - Finance - Programming"/>
        <s v="102304 - Finance - Programming"/>
        <s v="118242 - Finance - Programming"/>
        <s v="121743 - Finance - Programming"/>
        <s v="108257 - Finance - Programming"/>
        <s v="117756 - Finance - Programming"/>
        <s v="110334 - Finance - Programming"/>
        <s v="102307 - Finance - Programming"/>
        <s v="117750 - Finance - Programming"/>
        <s v="181976 - Finance - Programming"/>
        <s v="108258 - Finance - Programming"/>
        <s v="110241 - Finance - Programming"/>
        <s v="110337 - Finance - Programming"/>
        <s v="118243 - Finance - Programming"/>
        <s v="102305 - Finance - Programming"/>
        <s v="110342 - Finance - Programming"/>
        <s v="102306 - Finance - Programming"/>
        <s v="194045 - Law - Web Development"/>
        <s v="96009 - Law - Web Development"/>
        <s v="104087 - Law - Web Development"/>
        <s v="77448 - Law - Web Development"/>
        <s v="5801 - Law - Web Development"/>
        <s v="90650 - Law - Web Development"/>
        <s v="6395 - Law - Web Development"/>
        <s v="77444 - Law - Web Development"/>
        <s v="20389 - Law - Web Development"/>
        <s v="68293 - Law - Web Development"/>
        <s v="90982 - Law - Web Development"/>
        <s v="48279 - Law - Web Development"/>
        <s v="77447 - Law - Web Development"/>
        <s v="5710 - Law - Web Development"/>
        <s v="90906 - Law - Web Development"/>
        <s v="90883 - Law - Web Development"/>
        <s v="113093 - Law - Web Development"/>
        <s v="73926 - Law - Web Development"/>
        <s v="110083 - Law - Web Development"/>
        <s v="76313 - Law - Web Development"/>
        <s v="68404 - Law - Web Development"/>
        <s v="68322 - Law - Web Development"/>
        <s v="73947 - Law - Web Development"/>
        <s v="29116 - Law - Web Development"/>
        <s v="90846 - Law - Web Development"/>
        <s v="110084 - Law - Web Development"/>
        <s v="73925 - Law - Web Development"/>
        <s v="68296 - Law - Web Development"/>
        <s v="90873 - Law - Web Development"/>
        <s v="90874 - Law - Web Development"/>
        <s v="90842 - Law - Web Development"/>
        <s v="5709 - Law - Web Development"/>
        <s v="76341 - Law - Web Development"/>
        <s v="113094 - Law - Web Development"/>
        <s v="76301 - Law - Web Development"/>
        <s v="90844 - Law - Web Development"/>
        <s v="90848 - Law - Web Development"/>
        <s v="76318 - Law - Web Development"/>
        <s v="118885 - Law - Web Development"/>
        <s v="76349 - Law - Web Development"/>
        <s v="30878 - Law - Web Development"/>
        <s v="104176 - Law - Web Development"/>
        <s v="78516 - Law - Web Development"/>
        <s v="118884 - Law - Web Development"/>
        <s v="119239 - Law - Web Development"/>
        <s v="30875 - Law - Web Development"/>
        <s v="73946 - Law - Web Development"/>
        <s v="90690 - Law - Web Development"/>
        <s v="101380 - Law - Web Development"/>
        <s v="5804 - Law - Web Development"/>
        <s v="82372 - Law - Web Development"/>
        <s v="90643 - Law - Web Development"/>
        <s v="68412 - Law - Web Development"/>
        <s v="82393 - Law - Web Development"/>
        <s v="5803 - Law - Web Development"/>
        <s v="121706 - Law - Web Development"/>
        <s v="68374 - Law - Web Development"/>
        <s v="90946 - Law - Web Development"/>
        <s v="69312 - Law - Web Development"/>
        <s v="87128 - Law - Web Development"/>
        <s v="149506 - Law - Web Development"/>
        <s v="5722 - Law - Web Development"/>
        <s v="5697 - Law - Web Development"/>
        <s v="29117 - Law - Web Development"/>
        <s v="68305 - Law - Web Development"/>
        <s v="5714 - Law - Web Development"/>
        <s v="73951 - Law - Web Development"/>
        <s v="68337 - Law - Web Development"/>
        <s v="76338 - Law - Web Development"/>
        <s v="202592 - Law - Web Development"/>
        <s v="69578 - Law - Web Development"/>
        <s v="76383 - Law - Web Development"/>
        <s v="5696 - Law - Web Development"/>
        <s v="90929 - Law - Web Development"/>
        <s v="90926 - Law - Web Development"/>
        <s v="76364 - Law - Web Development"/>
        <s v="79152 - Law - Web Development"/>
        <s v="30874 - Law - Web Development"/>
        <s v="5718 - Law - Web Development"/>
        <s v="126542 - Law - Web Development"/>
        <s v="90852 - Law - Web Development"/>
        <s v="122139 - Law - Web Development"/>
        <s v="126975 - Law - Web Development"/>
        <s v="202593 - Law - Web Development"/>
        <s v="73940 - Law - Web Development"/>
        <s v="76360 - Law - Web Development"/>
        <s v="118876 - Law - Web Development"/>
        <s v="76366 - Law - Web Development"/>
        <s v="122645 - Law - Web Development"/>
        <s v="76372 - Law - Web Development"/>
        <s v="5720 - Law - Web Development"/>
        <s v="5695 - Law - Web Development"/>
        <s v="90931 - Law - Web Development"/>
        <s v="110085 - Law - Web Development"/>
        <s v="113096 - Law - Web Development"/>
        <s v="90878 - Law - Web Development"/>
        <s v="73938 - Law - Web Development"/>
        <s v="5698 - Law - Web Development"/>
        <s v="76373 - Law - Web Development"/>
        <s v="73945 - Law - Web Development"/>
        <s v="159200 - Law - Web Development"/>
        <s v="68354 - Law - Web Development"/>
        <s v="5712 - Law - Web Development"/>
        <s v="114471 - Law - Web Development"/>
        <s v="90934 - Law - Web Development"/>
        <s v="87851 - Law - Web Development"/>
        <s v="90891 - Law - Web Development"/>
        <s v="69579 - Law - Web Development"/>
        <s v="90924 - Law - Web Development"/>
        <s v="69311 - Law - Web Development"/>
        <s v="90923 - Law - Web Development"/>
        <s v="159197 - Law - Web Development"/>
        <s v="88268 - Law - Web Development"/>
        <s v="90913 - Law - Web Development"/>
        <s v="76365 - Law - Web Development"/>
        <s v="9205 - Law - Web Development"/>
        <s v="76363 - Law - Web Development"/>
        <s v="121967 - Law - Web Development"/>
        <s v="90935 - Law - Web Development"/>
        <s v="87126 - Law - Web Development"/>
        <s v="90928 - Law - Web Development"/>
        <s v="90912 - Law - Web Development"/>
        <s v="48508 - Law - Web Development"/>
        <s v="90853 - Law - Web Development"/>
        <s v="117628 - Law - Web Development"/>
        <s v="5699 - Law - Web Development"/>
        <s v="5735 - Law - Web Development"/>
        <s v="109832 - Law - Web Development"/>
        <s v="122675 - Law - Web Development"/>
        <s v="87225 - Law - Web Development"/>
        <s v="82373 - Law - Web Development"/>
        <s v="77254 - Law - Web Development"/>
        <s v="5742 - Law - Web Development"/>
        <s v="117622 - Law - Web Development"/>
        <s v="77255 - Law - Web Development"/>
        <s v="101964 - Law - Web Development"/>
        <s v="48491 - Law - Web Development"/>
        <s v="82368 - Law - Web Development"/>
        <s v="82367 - Law - Web Development"/>
        <s v="118426 - Law - Web Development"/>
        <s v="5068 - Self-Help - Mobile Development"/>
        <s v="84660 - Self-Help - Mobile Development"/>
        <s v="5070 - Self-Help - Mobile Development"/>
        <s v="84681 - Self-Help - Mobile Development"/>
        <s v="102596 - Self-Help - Mobile Development"/>
        <s v="5037 - Self-Help - Mobile Development"/>
        <s v="5052 - Self-Help - Mobile Development"/>
        <s v="5051 - Self-Help - Mobile Development"/>
        <s v="102647 - Self-Help - Mobile Development"/>
        <s v="5061 - Self-Help - Mobile Development"/>
        <s v="102649 - Self-Help - Mobile Development"/>
        <s v="102662 - Self-Help - Mobile Development"/>
        <s v="108337 - Self-Help - Mobile Development"/>
        <s v="188352 - Sports - Software Engineering"/>
        <s v="11459 - Sports - Software Engineering"/>
        <s v="11443 - Sports - Software Engineering"/>
        <s v="70560 - Sports - Software Engineering"/>
        <s v="110363 - Sports - Software Engineering"/>
        <s v="11449 - Sports - Software Engineering"/>
        <s v="119793 - Sports - Software Engineering"/>
        <s v="41107 - Sports - Software Engineering"/>
        <s v="78358 - Sports - Software Engineering"/>
        <s v="77048 - Sports - Software Engineering"/>
        <s v="27428 - Sports - Software Engineering"/>
        <s v="8530 - Sports - Software Engineering"/>
        <s v="14281 - Sports - Software Engineering"/>
        <s v="140582 - Sports - Software Engineering"/>
        <s v="98895 - Sports - Software Engineering"/>
        <s v="77491 - Arts - Data Science"/>
        <s v="81704 - Arts - Data Science"/>
        <s v="111565 - Arts - Data Science"/>
        <s v="5774 - Arts - Data Science"/>
        <s v="112075 - Arts - Data Science"/>
        <s v="88469 - Arts - Data Science"/>
        <s v="112249 - Arts - Data Science"/>
        <s v="5775 - Arts - Data Science"/>
        <s v="77506 - Arts - Data Science"/>
        <s v="83646 - Arts - Data Science"/>
        <s v="77484 - Arts - Data Science"/>
        <s v="77481 - Arts - Data Science"/>
        <s v="17075 - Arts - Data Science"/>
        <s v="77492 - Arts - Data Science"/>
        <s v="112084 - Arts - Data Science"/>
        <s v="12041 - Arts - Data Science"/>
        <s v="83042 - Arts - Data Science"/>
        <s v="77490 - Arts - Data Science"/>
        <s v="43336 - Arts - Data Science"/>
        <s v="48609 - Arts - Data Science"/>
        <s v="117074 - Arts - Data Science"/>
        <s v="112085 - Arts - Data Science"/>
        <s v="106656 - Arts - Data Science"/>
        <s v="119244 - Arts - Data Science"/>
        <s v="73236 - Arts - Data Science"/>
        <s v="127582 - Arts - Data Science"/>
        <s v="128210 - Arts - Data Science"/>
        <s v="73187 - Arts - Data Science"/>
        <s v="41681 - Arts - Data Science"/>
        <s v="30624 - Arts - Data Science"/>
        <s v="114267 - Arts - Data Science"/>
        <s v="77441 - Arts - Data Science"/>
        <s v="116636 - Arts - Data Science"/>
        <s v="115198 - Arts - Data Science"/>
        <s v="89845 - Arts - Data Science"/>
        <s v="112248 - Arts - Data Science"/>
        <s v="89849 - Arts - Data Science"/>
        <s v="121709 - Arts - Data Science"/>
        <s v="122653 - Arts - Data Science"/>
        <s v="9759 - Arts - Data Science"/>
        <s v="86782 - Arts - Data Science"/>
        <s v="119246 - Arts - Data Science"/>
        <s v="6047 - Arts - Data Science"/>
        <s v="117526 - Arts - Data Science"/>
        <s v="106671 - Arts - Data Science"/>
        <s v="30889 - Arts - Data Science"/>
        <s v="80634 - Arts - Data Science"/>
        <s v="114269 - Arts - Data Science"/>
        <s v="84034 - Arts - Data Science"/>
        <s v="103271 - Arts - Data Science"/>
        <s v="72248 - Arts - Data Science"/>
        <s v="7672 - Sports - Artificial Intelligence"/>
        <s v="82844 - Sports - Artificial Intelligence"/>
        <s v="7685 - Sports - Artificial Intelligence"/>
        <s v="7673 - Sports - Artificial Intelligence"/>
        <s v="72328 - Sports - Artificial Intelligence"/>
        <s v="87967 - Sports - Artificial Intelligence"/>
        <s v="113193 - Sports - Artificial Intelligence"/>
        <s v="82821 - Sports - Artificial Intelligence"/>
        <s v="87964 - Sports - Artificial Intelligence"/>
        <s v="201751 - Sports - Artificial Intelligence"/>
        <s v="79057 - Sports - Artificial Intelligence"/>
        <s v="41225 - Sports - Artificial Intelligence"/>
        <s v="113300 - Sports - Artificial Intelligence"/>
        <s v="113299 - Sports - Artificial Intelligence"/>
        <s v="105475 - Sports - Artificial Intelligence"/>
        <s v="114724 - Sports - Artificial Intelligence"/>
        <s v="113298 - Sports - Artificial Intelligence"/>
        <s v="82838 - Sports - Artificial Intelligence"/>
        <s v="111960 - Sports - Artificial Intelligence"/>
        <s v="108840 - Sports - Artificial Intelligence"/>
        <s v="201044 - Sports - Artificial Intelligence"/>
        <s v="81880 - Sports - Artificial Intelligence"/>
        <s v="81873 - Sports - Artificial Intelligence"/>
        <s v="117613 - Sports - Artificial Intelligence"/>
        <s v="81876 - Sports - Artificial Intelligence"/>
        <s v="104050 - Sports - Artificial Intelligence"/>
        <s v="111934 - Sports - Artificial Intelligence"/>
        <s v="29819 - Sports - Artificial Intelligence"/>
        <s v="120392 - Sports - Artificial Intelligence"/>
        <s v="29820 - Sports - Artificial Intelligence"/>
        <s v="83755 - Sports - Artificial Intelligence"/>
        <s v="111941 - Sports - Artificial Intelligence"/>
        <s v="80858 - Sports - Artificial Intelligence"/>
        <s v="81902 - Sports - Artificial Intelligence"/>
        <s v="83754 - Sports - Artificial Intelligence"/>
        <s v="116233 - Sports - Artificial Intelligence"/>
        <s v="112192 - Sports - Artificial Intelligence"/>
        <s v="119728 - Sports - Artificial Intelligence"/>
        <s v="81901 - Sports - Artificial Intelligence"/>
        <s v="141878 - Sports - Artificial Intelligence"/>
        <s v="116236 - Sports - Artificial Intelligence"/>
        <s v="120751 - Sports - Artificial Intelligence"/>
        <s v="80756 - Sports - Artificial Intelligence"/>
        <s v="119729 - Sports - Artificial Intelligence"/>
        <s v="119028 - Sports - Artificial Intelligence"/>
        <s v="116957 - Sports - Artificial Intelligence"/>
        <s v="78235 - Sports - Artificial Intelligence"/>
        <s v="119803 - Sports - Artificial Intelligence"/>
        <s v="7669 - Sports - Artificial Intelligence"/>
        <s v="139312 - Sports - Artificial Intelligence"/>
        <s v="77773 - Sports - Artificial Intelligence"/>
        <s v="73442 - Sports - Artificial Intelligence"/>
        <s v="3974 - Sports - Artificial Intelligence"/>
        <s v="104032 - Sports - Artificial Intelligence"/>
        <s v="24162 - Law - Machine Learning"/>
        <s v="24167 - Law - Machine Learning"/>
        <s v="24174 - Law - Machine Learning"/>
        <s v="24161 - Law - Machine Learning"/>
        <s v="88594 - Law - Machine Learning"/>
        <s v="118818 - Law - Machine Learning"/>
        <s v="24166 - Law - Machine Learning"/>
        <s v="118828 - Law - Machine Learning"/>
        <s v="86169 - Law - Machine Learning"/>
        <s v="118851 - Law - Machine Learning"/>
        <s v="118824 - Law - Machine Learning"/>
        <s v="122728 - Law - Machine Learning"/>
        <s v="103474 - Law - Machine Learning"/>
        <s v="120635 - Law - Machine Learning"/>
        <s v="120633 - Law - Machine Learning"/>
        <s v="121477 - Law - Machine Learning"/>
        <s v="156024 - Law - Machine Learning"/>
        <s v="70191 - Law - Machine Learning"/>
        <s v="19822 - Law - Machine Learning"/>
        <s v="156023 - Law - Machine Learning"/>
        <s v="120628 - Law - Machine Learning"/>
        <s v="45830 - Law - Machine Learning"/>
        <s v="86192 - Law - Machine Learning"/>
        <s v="127372 - Law - Machine Learning"/>
        <s v="113902 - Law - Machine Learning"/>
        <s v="119133 - Law - Machine Learning"/>
        <s v="114946 - Law - Machine Learning"/>
        <s v="118832 - Law - Machine Learning"/>
        <s v="86499 - Law - Machine Learning"/>
        <s v="81790 - Law - Machine Learning"/>
        <s v="45898 - Law - Machine Learning"/>
        <s v="24144 - Law - Machine Learning"/>
        <s v="98351 - Law - Machine Learning"/>
        <s v="86481 - Law - Machine Learning"/>
        <s v="115747 - Law - Machine Learning"/>
        <s v="116187 - Law - Machine Learning"/>
        <s v="86162 - Law - Machine Learning"/>
        <s v="90654 - Law - Machine Learning"/>
        <s v="71743 - Law - Machine Learning"/>
        <s v="71744 - Law - Machine Learning"/>
        <s v="88590 - Law - Machine Learning"/>
        <s v="78940 - Law - Machine Learning"/>
        <s v="194752 - Law - Machine Learning"/>
        <s v="194748 - Law - Machine Learning"/>
        <s v="111580 - Law - Machine Learning"/>
        <s v="194741 - Law - Machine Learning"/>
        <s v="107082 - Law - Machine Learning"/>
        <s v="83092 - Law - Machine Learning"/>
        <s v="111581 - Law - Machine Learning"/>
        <s v="88402 - Law - Machine Learning"/>
        <s v="88413 - Law - Machine Learning"/>
        <s v="86560 - Law - Machine Learning"/>
        <s v="127584 - Law - Machine Learning"/>
        <s v="122254 - Law - Machine Learning"/>
        <s v="118849 - Law - Machine Learning"/>
        <s v="107187 - Law - Machine Learning"/>
        <s v="119932 - Law - Machine Learning"/>
        <s v="92045 - Medical - Cybersecurity"/>
        <s v="82168 - Medical - Cybersecurity"/>
        <s v="79263 - Medical - Cybersecurity"/>
        <s v="92044 - Medical - Cybersecurity"/>
        <s v="114725 - Medical - Cybersecurity"/>
        <s v="50684 - Medical - Cybersecurity"/>
        <s v="82167 - Medical - Cybersecurity"/>
        <s v="68513 - Medical - Cybersecurity"/>
        <s v="76566 - Medical - Cybersecurity"/>
        <s v="119088 - Medical - Cybersecurity"/>
        <s v="119431 - Medical - Cybersecurity"/>
        <s v="101279 - Medical - Cybersecurity"/>
        <s v="101270 - Medical - Cybersecurity"/>
        <s v="101282 - Medical - Cybersecurity"/>
        <s v="70291 - Fiction - Cloud Computing"/>
        <s v="70290 - Fiction - Cloud Computing"/>
        <s v="19188 - Fiction - Cloud Computing"/>
        <s v="41117 - Sports - DevOps"/>
        <s v="30625 - Sports - DevOps"/>
        <s v="11462 - Sports - DevOps"/>
        <s v="120733 - Sports - DevOps"/>
        <s v="83487 - Sports - DevOps"/>
        <s v="117610 - Sports - DevOps"/>
        <s v="112177 - Sports - DevOps"/>
        <s v="11412 - Sports - DevOps"/>
        <s v="76842 - Sports - DevOps"/>
        <s v="78366 - Sports - DevOps"/>
        <s v="98984 - Sports - DevOps"/>
        <s v="120310 - Sports - DevOps"/>
        <s v="116277 - Sports - DevOps"/>
        <s v="77670 - Sports - DevOps"/>
        <s v="78363 - Sports - DevOps"/>
        <s v="11458 - Sports - DevOps"/>
        <s v="11456 - Sports - DevOps"/>
        <s v="120726 - Sports - DevOps"/>
        <s v="11404 - Sports - DevOps"/>
        <s v="11408 - Sports - DevOps"/>
        <s v="120708 - Sports - DevOps"/>
        <s v="74419 - Sports - DevOps"/>
        <s v="113278 - Sports - DevOps"/>
        <s v="83486 - Sports - DevOps"/>
        <s v="11452 - Sports - DevOps"/>
        <s v="116803 - Sports - DevOps"/>
        <s v="77657 - Sports - DevOps"/>
        <s v="120309 - Sports - DevOps"/>
        <s v="116276 - Sports - DevOps"/>
        <s v="104623 - Sports - DevOps"/>
        <s v="78364 - Sports - DevOps"/>
        <s v="76837 - Sports - DevOps"/>
        <s v="82873 - Sports - DevOps"/>
        <s v="110341 - Sports - DevOps"/>
        <s v="76874 - Sports - DevOps"/>
        <s v="110340 - Sports - DevOps"/>
        <s v="44409 - Sports - DevOps"/>
        <s v="73831 - Sports - DevOps"/>
        <s v="79035 - Sports - DevOps"/>
        <s v="94951 - Sports - DevOps"/>
        <s v="22248 - Self-Help - Databases"/>
        <s v="16088 - Self-Help - Databases"/>
        <s v="10571 - Arts - Networking"/>
        <s v="182012 - Arts - Networking"/>
        <s v="182013 - Arts - Networking"/>
        <s v="107400 - Arts - Networking"/>
        <s v="48623 - Arts - Networking"/>
        <s v="48616 - Arts - Networking"/>
        <s v="47515 - Arts - Networking"/>
        <s v="81915 - Arts - Networking"/>
        <s v="108920 - Arts - Networking"/>
        <s v="107406 - Arts - Networking"/>
        <s v="24074 - Arts - Networking"/>
        <s v="107388 - Arts - Networking"/>
        <s v="24075 - Arts - Networking"/>
        <s v="27639 - Arts - Networking"/>
        <s v="103632 - Arts - Networking"/>
        <s v="10569 - Arts - Networking"/>
        <s v="182007 - Arts - Networking"/>
        <s v="182009 - Arts - Networking"/>
        <s v="103630 - Arts - Networking"/>
        <s v="47514 - Arts - Networking"/>
        <s v="86370 - Arts - Networking"/>
        <s v="86368 - Arts - Networking"/>
        <s v="103174 - Arts - Networking"/>
        <s v="48632 - Arts - Networking"/>
        <s v="48630 - Arts - Networking"/>
        <s v="48624 - Arts - Networking"/>
        <s v="10573 - Arts - Networking"/>
        <s v="18115 - Arts - Networking"/>
        <s v="83057 - Arts - Networking"/>
        <s v="26727 - Arts - Networking"/>
        <s v="85779 - Arts - Networking"/>
        <s v="84396 - Arts - Networking"/>
        <s v="42676 - Arts - Networking"/>
        <s v="108380 - Arts - Networking"/>
        <s v="10565 - Arts - Networking"/>
        <s v="107631 - Arts - Networking"/>
        <s v="24061 - Arts - Networking"/>
        <s v="182051 - Arts - Networking"/>
        <s v="86360 - Arts - Networking"/>
        <s v="10566 - Arts - Networking"/>
        <s v="182014 - Arts - Networking"/>
        <s v="182010 - Arts - Networking"/>
        <s v="24076 - Arts - Networking"/>
        <s v="10572 - Arts - Networking"/>
        <s v="47527 - Arts - Networking"/>
        <s v="10577 - Arts - Networking"/>
        <s v="81914 - Arts - Networking"/>
        <s v="120186 - Arts - Networking"/>
        <s v="182015 - Arts - Networking"/>
        <s v="117919 - Arts - Networking"/>
        <s v="71228 - Arts - Blockchain"/>
        <s v="67264 - Arts - Blockchain"/>
        <s v="82984 - Arts - Blockchain"/>
        <s v="86420 - Arts - Blockchain"/>
        <s v="71227 - Arts - Blockchain"/>
        <s v="18055 - Arts - Blockchain"/>
        <s v="82989 - Arts - Blockchain"/>
        <s v="86438 - Arts - Blockchain"/>
        <s v="18061 - Arts - Blockchain"/>
        <s v="67265 - Arts - Blockchain"/>
        <s v="69552 - Arts - Blockchain"/>
        <s v="110955 - Arts - Blockchain"/>
        <s v="79505 - Arts - Blockchain"/>
        <s v="110943 - Arts - Blockchain"/>
        <s v="119048 - Arts - Blockchain"/>
        <s v="42695 - Arts - Blockchain"/>
        <s v="88980 - Arts - Blockchain"/>
        <s v="149507 - Arts - Blockchain"/>
        <s v="86988 - Arts - Blockchain"/>
        <s v="73836 - Arts - Blockchain"/>
        <s v="69322 - Arts - Blockchain"/>
        <s v="8696 - Arts - Blockchain"/>
        <s v="119062 - Arts - Blockchain"/>
        <s v="188931 - Arts - Blockchain"/>
        <s v="100238 - Arts - Blockchain"/>
        <s v="47010 - Arts - Blockchain"/>
        <s v="104605 - Arts - Blockchain"/>
        <s v="42694 - Arts - Blockchain"/>
        <s v="8697 - Arts - Blockchain"/>
        <s v="110957 - Arts - Blockchain"/>
        <s v="86989 - Arts - Blockchain"/>
        <s v="8695 - Arts - Blockchain"/>
        <s v="122792 - Arts - Blockchain"/>
        <s v="8698 - Arts - Blockchain"/>
        <s v="103866 - Arts - Blockchain"/>
        <s v="103865 - Arts - Blockchain"/>
        <s v="110945 - Arts - Blockchain"/>
        <s v="158671 - Arts - Blockchain"/>
        <s v="118915 - Arts - Blockchain"/>
        <s v="88990 - Arts - Blockchain"/>
        <s v="73835 - Arts - Blockchain"/>
        <s v="8699 - Arts - Blockchain"/>
        <s v="81494 - Arts - Blockchain"/>
        <s v="89821 - Arts - Blockchain"/>
        <s v="83567 - Arts - Blockchain"/>
        <s v="69323 - Arts - Blockchain"/>
        <s v="88976 - Arts - Blockchain"/>
        <s v="199415 - Arts - Blockchain"/>
        <s v="112792 - Arts - Blockchain"/>
        <s v="104322 - Arts - Blockchain"/>
        <s v="69321 - Arts - Blockchain"/>
        <s v="110948 - Arts - Blockchain"/>
        <s v="82008 - Arts - Blockchain"/>
        <s v="86987 - Arts - Blockchain"/>
        <s v="118912 - Arts - Blockchain"/>
        <s v="47048 - Arts - Blockchain"/>
        <s v="103870 - Arts - Blockchain"/>
        <s v="86985 - Arts - Blockchain"/>
        <s v="82005 - Arts - Blockchain"/>
        <s v="119053 - Arts - Blockchain"/>
        <s v="102015 - Self-Help - Game Development"/>
        <s v="92823 - Fiction - UI/UX Design"/>
        <s v="108060 - Fiction - UI/UX Design"/>
        <s v="4214 - Fiction - UI/UX Design"/>
        <s v="14715 - Fiction - UI/UX Design"/>
        <s v="16771 - Fiction - UI/UX Design"/>
        <s v="97945 - Fiction - UI/UX Design"/>
        <s v="144740 - Fiction - UI/UX Design"/>
        <s v="75342 - Fiction - UI/UX Design"/>
        <s v="88189 - Fiction - UI/UX Design"/>
        <s v="70677 - Fiction - UI/UX Design"/>
        <s v="86506 - Fiction - UI/UX Design"/>
        <s v="17360 - Fiction - UI/UX Design"/>
        <s v="9819 - Fiction - UI/UX Design"/>
        <s v="28574 - Fiction - UI/UX Design"/>
        <s v="102395 - Fiction - UI/UX Design"/>
        <s v="147302 - Fiction - UI/UX Design"/>
        <s v="85049 - Fiction - UI/UX Design"/>
        <s v="1683 - Fiction - UI/UX Design"/>
        <s v="1685 - Fiction - UI/UX Design"/>
        <s v="22193 - Fiction - UI/UX Design"/>
        <s v="9786 - Fiction - UI/UX Design"/>
        <s v="108770 - Fiction - UI/UX Design"/>
        <s v="109536 - Fiction - UI/UX Design"/>
        <s v="111743 - Fiction - UI/UX Design"/>
        <s v="108769 - Fiction - UI/UX Design"/>
        <s v="111742 - Fiction - UI/UX Design"/>
        <s v="88989 - Finance - Personal Finance"/>
        <s v="88987 - Finance - Personal Finance"/>
        <s v="88988 - Finance - Personal Finance"/>
        <s v="102816 - Finance - Personal Finance"/>
        <s v="49803 - Finance - Personal Finance"/>
        <s v="77302 - Finance - Personal Finance"/>
        <s v="94000 - Arts - Investing"/>
        <s v="9616 - Arts - Investing"/>
        <s v="115135 - Arts - Investing"/>
        <s v="90727 - Arts - Investing"/>
        <s v="24060 - Arts - Investing"/>
        <s v="112086 - Arts - Investing"/>
        <s v="90723 - Arts - Investing"/>
        <s v="77601 - Arts - Investing"/>
        <s v="12005 - Arts - Investing"/>
        <s v="41680 - Arts - Investing"/>
        <s v="12000 - Arts - Investing"/>
        <s v="12022 - Arts - Investing"/>
        <s v="113596 - Arts - Investing"/>
        <s v="11998 - Arts - Investing"/>
        <s v="12063 - Arts - Investing"/>
        <s v="96069 - Arts - Investing"/>
        <s v="12007 - Arts - Investing"/>
        <s v="113592 - Arts - Investing"/>
        <s v="147308 - Arts - Investing"/>
        <s v="41679 - Arts - Investing"/>
        <s v="112077 - Arts - Investing"/>
        <s v="115133 - Arts - Investing"/>
        <s v="30465 - Arts - Investing"/>
        <s v="87405 - Arts - Investing"/>
        <s v="77602 - Arts - Investing"/>
        <s v="107058 - Arts - Investing"/>
        <s v="5807 - Arts - Investing"/>
        <s v="87061 - Arts - Investing"/>
        <s v="108039 - Arts - Investing"/>
        <s v="90837 - Arts - Investing"/>
        <s v="88461 - Arts - Investing"/>
        <s v="81504 - Arts - Investing"/>
        <s v="12027 - Arts - Investing"/>
        <s v="8883 - Arts - Investing"/>
        <s v="112082 - Arts - Investing"/>
        <s v="114961 - Arts - Investing"/>
        <s v="112078 - Arts - Investing"/>
        <s v="12025 - Arts - Investing"/>
        <s v="11992 - Arts - Investing"/>
        <s v="188850 - Arts - Investing"/>
        <s v="69296 - Arts - Investing"/>
        <s v="115141 - Arts - Investing"/>
        <s v="112081 - Arts - Investing"/>
        <s v="77611 - Arts - Investing"/>
        <s v="111722 - Arts - Investing"/>
        <s v="81503 - Arts - Investing"/>
        <s v="117559 - Arts - Investing"/>
        <s v="110230 - Finance - Stock Market"/>
        <s v="122854 - Finance - Stock Market"/>
        <s v="95371 - Finance - Stock Market"/>
        <s v="101190 - Finance - Stock Market"/>
        <s v="121532 - Finance - Stock Market"/>
        <s v="6614 - Finance - Stock Market"/>
        <s v="6618 - Finance - Stock Market"/>
        <s v="96096 - Finance - Stock Market"/>
        <s v="105977 - Finance - Stock Market"/>
        <s v="105901 - Finance - Stock Market"/>
        <s v="180823 - Finance - Stock Market"/>
        <s v="118979 - Finance - Stock Market"/>
        <s v="111502 - Finance - Stock Market"/>
        <s v="180822 - Finance - Stock Market"/>
        <s v="101196 - Finance - Stock Market"/>
        <s v="180824 - Finance - Stock Market"/>
        <s v="105905 - Finance - Stock Market"/>
        <s v="101194 - Finance - Stock Market"/>
        <s v="113719 - Finance - Stock Market"/>
        <s v="111330 - Tech - Cryptocurrency"/>
        <s v="102089 - Tech - Cryptocurrency"/>
        <s v="116867 - Tech - Cryptocurrency"/>
        <s v="150297 - Tech - Cryptocurrency"/>
        <s v="23628 - Tech - Cryptocurrency"/>
        <s v="120369 - Tech - Cryptocurrency"/>
        <s v="114175 - Tech - Cryptocurrency"/>
        <s v="23649 - Tech - Cryptocurrency"/>
        <s v="80419 - Tech - Cryptocurrency"/>
        <s v="114173 - Tech - Cryptocurrency"/>
        <s v="91562 - Tech - Cryptocurrency"/>
        <s v="23662 - Tech - Cryptocurrency"/>
        <s v="76466 - Law - Banking"/>
        <s v="76465 - Law - Banking"/>
        <s v="68329 - Law - Banking"/>
        <s v="114470 - Law - Banking"/>
        <s v="110568 - Law - Banking"/>
        <s v="76470 - Law - Banking"/>
        <s v="5604 - Law - Banking"/>
        <s v="28613 - Law - Banking"/>
        <s v="159402 - Law - Banking"/>
        <s v="68379 - Law - Banking"/>
        <s v="91069 - Law - Banking"/>
        <s v="91060 - Law - Banking"/>
        <s v="182274 - Law - Banking"/>
        <s v="110566 - Law - Banking"/>
        <s v="78877 - Law - Banking"/>
        <s v="5490 - Law - Banking"/>
        <s v="68382 - Law - Banking"/>
        <s v="114663 - Law - Banking"/>
        <s v="76474 - Law - Banking"/>
        <s v="76455 - Law - Banking"/>
        <s v="46337 - Law - Banking"/>
        <s v="78430 - Law - Banking"/>
        <s v="5605 - Law - Banking"/>
        <s v="77419 - Law - Banking"/>
        <s v="121701 - Law - Banking"/>
        <s v="91072 - Law - Banking"/>
        <s v="68486 - Law - Banking"/>
        <s v="110576 - Law - Banking"/>
        <s v="78503 - Law - Banking"/>
        <s v="77439 - Law - Banking"/>
        <s v="5615 - Law - Banking"/>
        <s v="5602 - Law - Banking"/>
        <s v="28612 - Law - Banking"/>
        <s v="72247 - Law - Banking"/>
        <s v="76469 - Law - Banking"/>
        <s v="78876 - Law - Banking"/>
        <s v="91064 - Law - Banking"/>
        <s v="5603 - Law - Banking"/>
        <s v="5612 - Law - Banking"/>
        <s v="43897 - Law - Banking"/>
        <s v="91058 - Law - Banking"/>
        <s v="107998 - Law - Banking"/>
        <s v="112194 - Law - Banking"/>
        <s v="68232 - Law - Banking"/>
        <s v="159386 - Law - Banking"/>
        <s v="76471 - Law - Banking"/>
        <s v="68357 - Law - Banking"/>
        <s v="68303 - Law - Banking"/>
        <s v="68325 - Law - Banking"/>
        <s v="68515 - Law - Banking"/>
        <s v="107989 - Law - Banking"/>
        <s v="76732 - Law - Banking"/>
        <s v="14711 - Law - Banking"/>
        <s v="14706 - Law - Banking"/>
        <s v="23975 - Law - Banking"/>
        <s v="90665 - Law - Banking"/>
        <s v="69551 - Law - Banking"/>
        <s v="69503 - Law - Banking"/>
        <s v="23473 - Law - Banking"/>
        <s v="69500 - Law - Banking"/>
        <s v="14689 - Law - Banking"/>
        <s v="19409 - Law - Banking"/>
        <s v="69526 - Law - Banking"/>
        <s v="19412 - Law - Banking"/>
        <s v="23471 - Law - Banking"/>
        <s v="14670 - Law - Banking"/>
        <s v="69499 - Law - Banking"/>
        <s v="90686 - Law - Banking"/>
        <s v="111872 - Law - Banking"/>
        <s v="23964 - Law - Banking"/>
        <s v="111837 - Law - Banking"/>
        <s v="19377 - Law - Banking"/>
        <s v="111836 - Law - Banking"/>
        <s v="190103 - Law - Banking"/>
        <s v="19408 - Law - Banking"/>
        <s v="14694 - Law - Banking"/>
        <s v="5686 - Law - Banking"/>
        <s v="111842 - Law - Banking"/>
        <s v="23978 - Law - Banking"/>
        <s v="14682 - Law - Banking"/>
        <s v="111873 - Law - Banking"/>
        <s v="23454 - Law - Banking"/>
        <s v="16760 - Law - Banking"/>
        <s v="14709 - Law - Banking"/>
        <s v="14665 - Law - Banking"/>
        <s v="8869 - Law - Corporate Finance"/>
        <s v="68520 - Law - Corporate Finance"/>
        <s v="107331 - Law - Corporate Finance"/>
        <s v="107325 - Law - Corporate Finance"/>
        <s v="8871 - Law - Corporate Finance"/>
        <s v="107334 - Law - Corporate Finance"/>
        <s v="120302 - Law - Corporate Finance"/>
        <s v="117661 - Law - Corporate Finance"/>
        <s v="79006 - Law - Corporate Finance"/>
        <s v="17133 - Law - Corporate Finance"/>
        <s v="76818 - Law - Corporate Finance"/>
        <s v="70236 - Law - Corporate Finance"/>
        <s v="91342 - Law - Corporate Finance"/>
        <s v="121782 - Law - Corporate Finance"/>
        <s v="76822 - Law - Corporate Finance"/>
        <s v="100278 - Law - Corporate Finance"/>
        <s v="122795 - Law - Corporate Finance"/>
        <s v="100282 - Law - Corporate Finance"/>
        <s v="68867 - Law - Corporate Finance"/>
        <s v="8862 - Law - Corporate Finance"/>
        <s v="72131 - Law - Corporate Finance"/>
        <s v="12047 - Law - Corporate Finance"/>
        <s v="121790 - Law - Corporate Finance"/>
        <s v="121787 - Law - Corporate Finance"/>
        <s v="70239 - Law - Corporate Finance"/>
        <s v="113942 - Law - Corporate Finance"/>
        <s v="119134 - Law - Corporate Finance"/>
        <s v="76813 - Law - Corporate Finance"/>
        <s v="121793 - Law - Corporate Finance"/>
        <s v="100283 - Law - Corporate Finance"/>
        <s v="75028 - Law - Corporate Finance"/>
        <s v="113946 - Law - Corporate Finance"/>
        <s v="12050 - Law - Corporate Finance"/>
        <s v="104312 - Law - Corporate Finance"/>
        <s v="121780 - Law - Corporate Finance"/>
        <s v="88638 - Law - Corporate Finance"/>
        <s v="70238 - Law - Corporate Finance"/>
        <s v="121839 - Law - Corporate Finance"/>
        <s v="77621 - Law - Corporate Finance"/>
        <s v="121783 - Law - Corporate Finance"/>
        <s v="75033 - Law - Corporate Finance"/>
        <s v="12053 - Law - Corporate Finance"/>
        <s v="113954 - Law - Corporate Finance"/>
        <s v="5782 - Law - Corporate Finance"/>
        <s v="107915 - Law - Corporate Finance"/>
        <s v="68866 - Law - Corporate Finance"/>
        <s v="121837 - Law - Corporate Finance"/>
        <s v="121840 - Law - Corporate Finance"/>
        <s v="90979 - Law - Corporate Finance"/>
        <s v="114350 - Law - Corporate Finance"/>
        <s v="47539 - Law - Corporate Finance"/>
        <s v="83948 - Law - Corporate Finance"/>
        <s v="17139 - Law - Corporate Finance"/>
        <s v="12051 - Law - Corporate Finance"/>
        <s v="12052 - Law - Corporate Finance"/>
        <s v="121838 - Law - Corporate Finance"/>
        <s v="107917 - Law - Corporate Finance"/>
        <s v="5779 - Law - Corporate Finance"/>
        <s v="120303 - Law - Corporate Finance"/>
        <s v="121784 - Law - Corporate Finance"/>
        <s v="107913 - Law - Corporate Finance"/>
        <s v="58759 - Law - Corporate Finance"/>
        <s v="158697 - Law - Corporate Finance"/>
        <s v="87160 - Law - Corporate Finance"/>
        <s v="88694 - Law - Corporate Finance"/>
        <s v="120393 - Law - Corporate Finance"/>
        <s v="89581 - Law - Corporate Finance"/>
        <s v="6514 - Law - Corporate Finance"/>
        <s v="105340 - Law - Corporate Finance"/>
        <s v="120865 - Law - Corporate Finance"/>
        <s v="110078 - Law - Corporate Finance"/>
        <s v="122343 - Law - Corporate Finance"/>
        <s v="12296 - Law - Corporate Finance"/>
        <s v="96952 - Law - Corporate Finance"/>
        <s v="82193 - Law - Corporate Finance"/>
        <s v="89802 - Law - Corporate Finance"/>
        <s v="87044 - Law - Corporate Finance"/>
        <s v="87042 - Law - Corporate Finance"/>
        <s v="116274 - Law - Corporate Finance"/>
        <s v="122344 - Law - Corporate Finance"/>
        <s v="122345 - Law - Corporate Finance"/>
        <s v="120867 - Law - Corporate Finance"/>
        <s v="28494 - Law - Corporate Finance"/>
        <s v="8882 - Law - Corporate Finance"/>
        <s v="116275 - Law - Corporate Finance"/>
        <s v="121424 - Law - Corporate Finance"/>
        <s v="75058 - Law - Corporate Finance"/>
        <s v="75056 - Law - Corporate Finance"/>
        <s v="42239 - Law - Corporate Finance"/>
        <s v="42237 - Law - Corporate Finance"/>
        <s v="69457 - Law - Corporate Finance"/>
        <s v="69328 - Law - Corporate Finance"/>
        <s v="69454 - Law - Corporate Finance"/>
        <s v="69469 - Law - Corporate Finance"/>
        <s v="193264 - Law - Corporate Finance"/>
        <s v="115763 - Law - Corporate Finance"/>
        <s v="69463 - Law - Corporate Finance"/>
        <s v="84168 - Law - Corporate Finance"/>
        <s v="75077 - Law - Corporate Finance"/>
        <s v="42229 - Law - Corporate Finance"/>
        <s v="89588 - Law - Corporate Finance"/>
        <s v="99973 - Law - Corporate Finance"/>
        <s v="70241 - Law - Corporate Finance"/>
        <s v="129479 - Law - Corporate Finance"/>
        <s v="107926 - Law - Corporate Finance"/>
        <s v="42232 - Law - Corporate Finance"/>
        <s v="122106 - Law - Corporate Finance"/>
        <s v="69456 - Law - Corporate Finance"/>
        <s v="118888 - Law - Corporate Finance"/>
        <s v="69468 - Law - Corporate Finance"/>
        <s v="117629 - Law - Corporate Finance"/>
        <s v="121475 - Law - Corporate Finance"/>
        <s v="80412 - Law - Corporate Finance"/>
        <s v="122857 - Law - Corporate Finance"/>
        <s v="115769 - Law - Corporate Finance"/>
        <s v="115774 - Law - Corporate Finance"/>
        <s v="118889 - Law - Corporate Finance"/>
        <s v="115758 - Law - Corporate Finance"/>
        <s v="115755 - Law - Corporate Finance"/>
        <s v="114964 - Law - Corporate Finance"/>
        <s v="87617 - Law - Corporate Finance"/>
        <s v="118542 - Law - Corporate Finance"/>
        <s v="122845 - Law - Corporate Finance"/>
        <s v="114967 - Law - Corporate Finance"/>
        <s v="121476 - Law - Corporate Finance"/>
        <s v="120529 - Law - Corporate Finance"/>
        <s v="120530 - Law - Corporate Finance"/>
        <s v="117638 - Law - Corporate Finance"/>
        <s v="108240 - Law - Corporate Finance"/>
        <s v="88635 - Law - Corporate Finance"/>
        <s v="69340 - Law - Corporate Finance"/>
        <s v="199472 - Law - Corporate Finance"/>
        <s v="117646 - Law - Corporate Finance"/>
        <s v="84167 - Law - Corporate Finance"/>
        <s v="81742 - Law - Corporate Finance"/>
        <s v="115754 - Law - Corporate Finance"/>
        <s v="69334 - Law - Corporate Finance"/>
        <s v="117753 - Law - Corporate Finance"/>
        <s v="129482 - Law - Corporate Finance"/>
        <s v="117634 - Law - Corporate Finance"/>
        <s v="111027 - Law - Corporate Finance"/>
        <s v="115772 - Law - Corporate Finance"/>
        <s v="115768 - Law - Corporate Finance"/>
        <s v="69476 - Law - Corporate Finance"/>
        <s v="122118 - Law - Corporate Finance"/>
        <s v="87447 - Law - Corporate Finance"/>
        <s v="129480 - Law - Corporate Finance"/>
        <s v="84164 - Law - Corporate Finance"/>
        <s v="69338 - Law - Corporate Finance"/>
        <s v="120531 - Law - Corporate Finance"/>
        <s v="120524 - Law - Corporate Finance"/>
        <s v="117631 - Law - Corporate Finance"/>
        <s v="115757 - Law - Corporate Finance"/>
        <s v="42243 - Law - Corporate Finance"/>
        <s v="115761 - Law - Corporate Finance"/>
        <s v="113960 - Law - Corporate Finance"/>
        <s v="42241 - Law - Corporate Finance"/>
        <s v="115770 - Law - Corporate Finance"/>
        <s v="118541 - Law - Corporate Finance"/>
        <s v="115750 - Law - Corporate Finance"/>
        <s v="99969 - Law - Corporate Finance"/>
        <s v="129483 - Law - Corporate Finance"/>
        <s v="42255 - Law - Corporate Finance"/>
        <s v="100235 - Law - Corporate Finance"/>
        <s v="129481 - Law - Corporate Finance"/>
        <s v="87455 - Law - Corporate Finance"/>
        <s v="120257 - Medical - Financial Analysis"/>
        <s v="122221 - Medical - Financial Analysis"/>
        <s v="122216 - Medical - Financial Analysis"/>
        <s v="140598 - Medical - Financial Analysis"/>
        <s v="112123 - Medical - Financial Analysis"/>
        <s v="70402 - Medical - Financial Analysis"/>
        <s v="119110 - Medical - Financial Analysis"/>
        <s v="139295 - Medical - Financial Analysis"/>
        <s v="71056 - Medical - Financial Analysis"/>
        <s v="122218 - Medical - Financial Analysis"/>
        <s v="122217 - Medical - Financial Analysis"/>
        <s v="119119 - Medical - Financial Analysis"/>
        <s v="46933 - Medical - Financial Analysis"/>
        <s v="119118 - Medical - Financial Analysis"/>
        <s v="41035 - Medical - Financial Analysis"/>
        <s v="139303 - Medical - Financial Analysis"/>
        <s v="101784 - Medical - Financial Analysis"/>
        <s v="122219 - Medical - Financial Analysis"/>
        <s v="122215 - Medical - Financial Analysis"/>
        <s v="111154 - Medical - Financial Analysis"/>
        <s v="119117 - Medical - Financial Analysis"/>
        <s v="20419 - Medical - Financial Analysis"/>
        <s v="122220 - Medical - Financial Analysis"/>
        <s v="122214 - Medical - Financial Analysis"/>
        <s v="46936 - Medical - Financial Analysis"/>
        <s v="112122 - Medical - Financial Analysis"/>
        <s v="71055 - Medical - Financial Analysis"/>
        <s v="41034 - Medical - Financial Analysis"/>
        <s v="111153 - Medical - Financial Analysis"/>
        <s v="119120 - Medical - Financial Analysis"/>
        <s v="139297 - Medical - Financial Analysis"/>
        <s v="48476 - Medical - Financial Analysis"/>
        <s v="103454 - Medical - Financial Analysis"/>
        <s v="103456 - Medical - Financial Analysis"/>
        <s v="139304 - Medical - Financial Analysis"/>
        <s v="158661 - Law - Financial Modeling"/>
        <s v="162441 - Law - Financial Modeling"/>
        <s v="102695 - Law - Financial Modeling"/>
        <s v="78913 - Law - Financial Modeling"/>
        <s v="71397 - Law - Financial Modeling"/>
        <s v="17596 - Law - Financial Modeling"/>
        <s v="71398 - Law - Financial Modeling"/>
        <s v="17627 - Law - Financial Modeling"/>
        <s v="86166 - Law - Financial Modeling"/>
        <s v="71409 - Law - Financial Modeling"/>
        <s v="12877 - Law - Financial Modeling"/>
        <s v="121868 - Law - Financial Modeling"/>
        <s v="17626 - Law - Financial Modeling"/>
        <s v="71394 - Law - Financial Modeling"/>
        <s v="17620 - Law - Financial Modeling"/>
        <s v="86186 - Law - Financial Modeling"/>
        <s v="71410 - Law - Financial Modeling"/>
        <s v="121869 - Law - Financial Modeling"/>
        <s v="17624 - Law - Financial Modeling"/>
        <s v="119737 - Law - Financial Modeling"/>
        <s v="17618 - Law - Financial Modeling"/>
        <s v="78741 - Law - Financial Modeling"/>
        <s v="86864 - Law - Financial Modeling"/>
        <s v="71421 - Law - Financial Modeling"/>
        <s v="115776 - Law - Financial Modeling"/>
        <s v="71393 - Law - Financial Modeling"/>
        <s v="78739 - Law - Financial Modeling"/>
        <s v="71408 - Law - Financial Modeling"/>
        <s v="109194 - Law - Financial Modeling"/>
        <s v="84448 - Law - Financial Modeling"/>
        <s v="140575 - Law - Financial Modeling"/>
        <s v="71420 - Law - Financial Modeling"/>
        <s v="71375 - Law - Financial Modeling"/>
        <s v="71376 - Law - Financial Modeling"/>
        <s v="110975 - Law - Financial Modeling"/>
        <s v="86170 - Law - Financial Modeling"/>
        <s v="142787 - Law - Financial Modeling"/>
        <s v="109185 - Law - Financial Modeling"/>
        <s v="109184 - Law - Financial Modeling"/>
        <s v="72575 - Law - Financial Modeling"/>
        <s v="78909 - Law - Financial Modeling"/>
        <s v="17630 - Law - Financial Modeling"/>
        <s v="78924 - Law - Financial Modeling"/>
        <s v="82196 - Law - Financial Modeling"/>
        <s v="86184 - Law - Financial Modeling"/>
        <s v="6219 - Law - Financial Modeling"/>
        <s v="116185 - Law - Financial Modeling"/>
        <s v="12873 - Law - Financial Modeling"/>
        <s v="71413 - Law - Financial Modeling"/>
        <s v="128352 - Law - Financial Modeling"/>
        <s v="17594 - Law - Financial Modeling"/>
        <s v="71404 - Law - Financial Modeling"/>
        <s v="129473 - Law - Financial Modeling"/>
        <s v="78904 - Law - Financial Modeling"/>
        <s v="122311 - Law - Financial Modeling"/>
        <s v="86172 - Law - Financial Modeling"/>
        <s v="17592 - Law - Financial Modeling"/>
        <s v="89981 - Law - Financial Modeling"/>
        <s v="71399 - Law - Financial Modeling"/>
        <s v="17587 - Law - Financial Modeling"/>
        <s v="17647 - Law - Financial Modeling"/>
        <s v="107364 - Law - Financial Modeling"/>
        <s v="24118 - Law - Financial Modeling"/>
        <s v="86181 - Law - Financial Modeling"/>
        <s v="129474 - Law - Financial Modeling"/>
        <s v="17601 - Law - Financial Modeling"/>
        <s v="78938 - Law - Financial Modeling"/>
        <s v="17609 - Law - Financial Modeling"/>
        <s v="129452 - Law - Financial Modeling"/>
        <s v="88587 - Law - Financial Modeling"/>
        <s v="17645 - Law - Financial Modeling"/>
        <s v="78899 - Law - Financial Modeling"/>
        <s v="71402 - Law - Financial Modeling"/>
        <s v="12875 - Law - Financial Modeling"/>
        <s v="17615 - Law - Financial Modeling"/>
        <s v="193116 - Law - Financial Modeling"/>
        <s v="72577 - Law - Financial Modeling"/>
        <s v="78916 - Law - Financial Modeling"/>
        <s v="71419 - Law - Financial Modeling"/>
        <s v="188223 - Law - Financial Modeling"/>
        <s v="71417 - Law - Financial Modeling"/>
        <s v="46895 - Law - Financial Modeling"/>
        <s v="86157 - Law - Financial Modeling"/>
        <s v="159110 - Law - Financial Modeling"/>
        <s v="46913 - Law - Financial Modeling"/>
        <s v="71400 - Law - Financial Modeling"/>
        <s v="46914 - Law - Financial Modeling"/>
        <s v="120300 - Law - Financial Modeling"/>
        <s v="71412 - Law - Financial Modeling"/>
        <s v="71415 - Law - Financial Modeling"/>
        <s v="71414 - Law - Financial Modeling"/>
        <s v="10336 - Finance - Risk Management"/>
        <s v="125173 - Finance - Risk Management"/>
        <s v="112994 - Finance - Risk Management"/>
        <s v="125182 - Finance - Risk Management"/>
        <s v="121112 - Finance - Risk Management"/>
        <s v="125172 - Finance - Risk Management"/>
        <s v="125196 - Finance - Risk Management"/>
        <s v="125192 - Finance - Risk Management"/>
        <s v="125194 - Finance - Risk Management"/>
        <s v="125198 - Finance - Risk Management"/>
        <s v="111220 - Finance - Risk Management"/>
        <s v="105969 - Finance - Risk Management"/>
        <s v="105981 - Finance - Risk Management"/>
        <s v="125185 - Finance - Risk Management"/>
        <s v="111605 - History - Derivatives"/>
        <s v="111608 - History - Derivatives"/>
        <s v="97023 - History - Derivatives"/>
        <s v="111607 - History - Derivatives"/>
        <s v="71083 - Law - Portfolio Management"/>
        <s v="118178 - Law - Portfolio Management"/>
        <s v="81767 - Law - Portfolio Management"/>
        <s v="118186 - Law - Portfolio Management"/>
        <s v="43228 - Law - Portfolio Management"/>
        <s v="199268 - Law - Portfolio Management"/>
        <s v="118196 - Law - Portfolio Management"/>
        <s v="71084 - Law - Portfolio Management"/>
        <s v="120587 - Law - Portfolio Management"/>
        <s v="80952 - Law - Portfolio Management"/>
        <s v="120575 - Law - Portfolio Management"/>
        <s v="43244 - Law - Portfolio Management"/>
        <s v="116477 - Law - Portfolio Management"/>
        <s v="110480 - Law - Portfolio Management"/>
        <s v="87548 - Law - Portfolio Management"/>
        <s v="77223 - Law - Portfolio Management"/>
        <s v="43241 - Law - Portfolio Management"/>
        <s v="71161 - Law - Portfolio Management"/>
        <s v="77224 - Law - Portfolio Management"/>
        <s v="113992 - Law - Portfolio Management"/>
        <s v="112611 - Law - Portfolio Management"/>
        <s v="116482 - Law - Portfolio Management"/>
        <s v="77246 - Law - Portfolio Management"/>
        <s v="122798 - Law - Portfolio Management"/>
        <s v="120590 - Law - Portfolio Management"/>
        <s v="71914 - Law - Portfolio Management"/>
        <s v="118206 - Law - Portfolio Management"/>
        <s v="118179 - Law - Portfolio Management"/>
        <s v="43247 - Law - Portfolio Management"/>
        <s v="71166 - Law - Portfolio Management"/>
        <s v="43238 - Law - Portfolio Management"/>
        <s v="114003 - Law - Portfolio Management"/>
        <s v="87540 - Law - Portfolio Management"/>
        <s v="77229 - Law - Portfolio Management"/>
        <s v="113994 - Law - Portfolio Management"/>
        <s v="106725 - Law - Portfolio Management"/>
        <s v="43235 - Law - Portfolio Management"/>
        <s v="118176 - Law - Portfolio Management"/>
        <s v="114018 - Law - Portfolio Management"/>
        <s v="116480 - Law - Portfolio Management"/>
        <s v="120577 - Law - Portfolio Management"/>
        <s v="118201 - Law - Portfolio Management"/>
        <s v="77245 - Law - Portfolio Management"/>
        <s v="118195 - Law - Portfolio Management"/>
        <s v="118197 - Law - Portfolio Management"/>
        <s v="187317 - Law - Portfolio Management"/>
        <s v="199484 - Law - Portfolio Management"/>
        <s v="113995 - Law - Portfolio Management"/>
        <s v="113669 - Law - Portfolio Management"/>
        <s v="111584 - Law - Portfolio Management"/>
        <s v="26123 - Law - Portfolio Management"/>
        <s v="113665 - Law - Portfolio Management"/>
        <s v="181241 - Law - Portfolio Management"/>
        <s v="113664 - Law - Portfolio Management"/>
        <s v="113677 - Law - Portfolio Management"/>
        <s v="120343 - Law - Portfolio Management"/>
        <s v="113666 - Law - Portfolio Management"/>
        <s v="113663 - Law - Portfolio Management"/>
        <s v="116983 - Sports - Venture Capital"/>
        <s v="94043 - Sports - Venture Capital"/>
        <s v="68216 - Sports - Venture Capital"/>
        <s v="80131 - Sports - Venture Capital"/>
        <s v="80998 - Sports - Venture Capital"/>
        <s v="87014 - Sports - Venture Capital"/>
        <s v="102900 - Sports - Venture Capital"/>
        <s v="80997 - Sports - Venture Capital"/>
        <s v="116989 - Sports - Venture Capital"/>
        <s v="43826 - Sports - Venture Capital"/>
        <s v="8769 - Sports - Venture Capital"/>
        <s v="104427 - Sports - Venture Capital"/>
        <s v="8770 - Sports - Venture Capital"/>
        <s v="94930 - Sports - Venture Capital"/>
        <s v="111576 - Sports - Venture Capital"/>
        <s v="71715 - Sports - Venture Capital"/>
        <s v="71710 - Sports - Venture Capital"/>
        <s v="102790 - Sports - Venture Capital"/>
        <s v="3518 - Sports - Venture Capital"/>
        <s v="18318 - Sports - Venture Capital"/>
        <s v="104220 - Sports - Venture Capital"/>
        <s v="106109 - Sports - Venture Capital"/>
        <s v="72162 - Sports - Venture Capital"/>
        <s v="104410 - Sports - Venture Capital"/>
        <s v="88825 - Sports - Venture Capital"/>
        <s v="13928 - Sports - Venture Capital"/>
        <s v="45368 - Sports - Venture Capital"/>
        <s v="119732 - Sports - Venture Capital"/>
        <s v="90467 - Sports - Venture Capital"/>
        <s v="119874 - Sports - Venture Capital"/>
        <s v="121316 - Sports - Venture Capital"/>
        <s v="77390 - Sports - Venture Capital"/>
        <s v="11444 - Sports - Venture Capital"/>
        <s v="74416 - Sports - Venture Capital"/>
        <s v="75323 - Sports - Venture Capital"/>
        <s v="86619 - Sports - Venture Capital"/>
        <s v="119801 - Sports - Venture Capital"/>
        <s v="126576 - Sports - Venture Capital"/>
        <s v="108841 - Sports - Venture Capital"/>
        <s v="82820 - Sports - Venture Capital"/>
        <s v="116826 - Sports - Venture Capital"/>
        <s v="126965 - Sports - Venture Capital"/>
        <s v="103795 - Sports - Venture Capital"/>
        <s v="116821 - Sports - Venture Capital"/>
        <s v="126577 - Sports - Venture Capital"/>
        <s v="82806 - Sports - Venture Capital"/>
        <s v="68099 - Sports - Venture Capital"/>
        <s v="82827 - Sports - Venture Capital"/>
        <s v="77127 - Sports - Venture Capital"/>
        <s v="69002 - Sports - Venture Capital"/>
        <s v="119847 - Sports - Venture Capital"/>
        <s v="11446 - Sports - Venture Capital"/>
        <s v="30628 - Sports - Venture Capital"/>
        <s v="113003 - Sports - Venture Capital"/>
        <s v="30631 - Sports - Venture Capital"/>
        <s v="188351 - Sports - Venture Capital"/>
        <s v="67025 - Sports - Venture Capital"/>
        <s v="119797 - Sports - Venture Capital"/>
        <s v="3592 - Sports - Venture Capital"/>
        <s v="3586 - Sports - Venture Capital"/>
        <s v="3591 - Sports - Venture Capital"/>
        <s v="73847 - Sports - Venture Capital"/>
        <s v="3590 - Sports - Venture Capital"/>
        <s v="116903 - Sports - Venture Capital"/>
        <s v="116780 - Sports - Venture Capital"/>
        <s v="114912 - Medical - Private Equity"/>
        <s v="111970 - Finance - Painting"/>
        <s v="126973 - Finance - Painting"/>
        <s v="116964 - Sports - Drawing"/>
        <s v="122340 - Sports - Drawing"/>
        <s v="116963 - Sports - Drawing"/>
        <s v="120241 - Sports - Drawing"/>
        <s v="120205 - Sports - Drawing"/>
        <s v="104162 - Sports - Drawing"/>
        <s v="110792 - Sports - Drawing"/>
        <s v="104169 - Sports - Drawing"/>
        <s v="111957 - Sports - Drawing"/>
        <s v="89201 - Sports - Drawing"/>
        <s v="87305 - Sports - Drawing"/>
        <s v="3480 - Sports - Drawing"/>
        <s v="116817 - Sports - Drawing"/>
        <s v="47209 - Sports - Drawing"/>
        <s v="68213 - Sports - Drawing"/>
        <s v="100999 - Sports - Drawing"/>
        <s v="119241 - Sports - Drawing"/>
        <s v="133917 - Sports - Drawing"/>
        <s v="128334 - Sports - Drawing"/>
        <s v="113235 - Sports - Drawing"/>
        <s v="113249 - Sports - Drawing"/>
        <s v="89210 - Sports - Drawing"/>
        <s v="104170 - Sports - Drawing"/>
        <s v="18671 - Sports - Drawing"/>
        <s v="83804 - Sports - Drawing"/>
        <s v="104415 - Sports - Drawing"/>
        <s v="78351 - Sports - Drawing"/>
        <s v="112174 - Sports - Drawing"/>
        <s v="120248 - Sports - Drawing"/>
        <s v="18672 - Sports - Drawing"/>
        <s v="13517 - Sports - Drawing"/>
        <s v="119896 - Sports - Drawing"/>
        <s v="120249 - Sports - Drawing"/>
        <s v="78352 - Sports - Drawing"/>
        <s v="45630 - Sports - Drawing"/>
        <s v="99726 - Sports - Drawing"/>
        <s v="88619 - Sports - Drawing"/>
        <s v="73430 - Sports - Drawing"/>
        <s v="98939 - Sports - Drawing"/>
        <s v="45826 - Sports - Drawing"/>
        <s v="100797 - Sports - Drawing"/>
        <s v="104429 - Sports - Drawing"/>
        <s v="119806 - Sports - Drawing"/>
        <s v="120734 - Sports - Drawing"/>
        <s v="104423 - Sports - Drawing"/>
        <s v="120286 - Sports - Drawing"/>
        <s v="81838 - Sports - Drawing"/>
        <s v="117718 - Sports - Drawing"/>
        <s v="70611 - Sports - Drawing"/>
        <s v="110848 - Sports - Drawing"/>
        <s v="107925 - Sports - Drawing"/>
        <s v="156038 - Sports - Drawing"/>
        <s v="117392 - Sports - Drawing"/>
        <s v="86620 - Sports - Drawing"/>
        <s v="27871 - Sports - Drawing"/>
        <s v="82874 - Sports - Drawing"/>
        <s v="120292 - Sports - Drawing"/>
        <s v="120293 - Sports - Drawing"/>
        <s v="44522 - Sports - Drawing"/>
        <s v="143999 - Sports - Drawing"/>
        <s v="144000 - Sports - Drawing"/>
        <s v="91236 - Sports - Sculpture"/>
        <s v="78213 - Sports - Sculpture"/>
        <s v="119254 - Sports - Sculpture"/>
        <s v="82149 - Sports - Sculpture"/>
        <s v="30864 - Sports - Sculpture"/>
        <s v="82148 - Sports - Sculpture"/>
        <s v="78069 - Sports - Sculpture"/>
        <s v="68623 - Sports - Sculpture"/>
        <s v="108904 - Sports - Sculpture"/>
        <s v="113967 - Sports - Sculpture"/>
        <s v="10145 - Sports - Sculpture"/>
        <s v="116960 - Sports - Sculpture"/>
        <s v="103663 - Sports - Sculpture"/>
        <s v="45983 - Sports - Sculpture"/>
        <s v="103662 - Sports - Sculpture"/>
        <s v="78318 - Sports - Sculpture"/>
        <s v="120179 - Sports - Sculpture"/>
        <s v="10144 - Sports - Sculpture"/>
        <s v="78304 - Sports - Sculpture"/>
        <s v="86598 - Sports - Sculpture"/>
        <s v="103665 - Sports - Sculpture"/>
        <s v="77771 - Sports - Sculpture"/>
        <s v="116798 - Sports - Sculpture"/>
        <s v="100610 - Sports - Sculpture"/>
        <s v="77772 - Sports - Sculpture"/>
        <s v="119914 - Sports - Sculpture"/>
        <s v="88495 - Sports - Sculpture"/>
        <s v="88487 - Sports - Sculpture"/>
        <s v="109488 - Sports - Sculpture"/>
        <s v="11401 - Sports - Sculpture"/>
        <s v="45530 - Sports - Sculpture"/>
        <s v="104426 - Sports - Sculpture"/>
        <s v="119827 - Sports - Sculpture"/>
        <s v="104384 - Sports - Sculpture"/>
        <s v="121966 - Sports - Sculpture"/>
        <s v="120183 - Sports - Sculpture"/>
        <s v="82832 - Sports - Sculpture"/>
        <s v="117607 - Sports - Sculpture"/>
        <s v="116244 - Sports - Sculpture"/>
        <s v="81045 - Sports - Sculpture"/>
        <s v="106021 - Sports - Sculpture"/>
        <s v="86622 - Sports - Sculpture"/>
        <s v="82834 - Sports - Sculpture"/>
        <s v="81008 - Sports - Sculpture"/>
        <s v="83167 - Sports - Sculpture"/>
        <s v="86584 - Sports - Sculpture"/>
        <s v="79902 - Medical - Photography"/>
        <s v="41328 - Medical - Photography"/>
        <s v="79907 - Medical - Photography"/>
        <s v="70588 - Medical - Photography"/>
        <s v="70587 - Medical - Photography"/>
        <s v="109356 - Medical - Photography"/>
        <s v="47892 - Medical - Photography"/>
        <s v="79901 - Medical - Photography"/>
        <s v="70585 - Medical - Photography"/>
        <s v="4375 - Medical - Photography"/>
        <s v="4380 - Medical - Photography"/>
        <s v="84967 - Medical - Photography"/>
        <s v="4381 - Medical - Photography"/>
        <s v="4379 - Medical - Photography"/>
        <s v="4383 - Medical - Photography"/>
        <s v="110770 - Medical - Photography"/>
        <s v="110764 - Medical - Photography"/>
        <s v="109355 - Medical - Photography"/>
        <s v="110765 - Medical - Photography"/>
        <s v="103510 - Medical - Photography"/>
        <s v="114936 - Medical - Photography"/>
        <s v="114935 - Medical - Photography"/>
        <s v="110768 - Medical - Photography"/>
        <s v="120256 - Medical - Photography"/>
        <s v="101783 - Medical - Photography"/>
        <s v="75766 - Medical - Photography"/>
        <s v="69756 - Medical - Photography"/>
        <s v="112471 - Medical - Photography"/>
        <s v="99040 - Medical - Photography"/>
        <s v="112321 - Medical - Photography"/>
        <s v="139296 - Medical - Photography"/>
        <s v="112318 - Medical - Photography"/>
        <s v="86119 - Medical - Photography"/>
        <s v="79895 - Medical - Photography"/>
        <s v="133909 - Medical - Photography"/>
        <s v="128338 - Medical - Photography"/>
        <s v="42990 - Medical - Photography"/>
        <s v="128339 - Medical - Photography"/>
        <s v="42008 - Medical - Photography"/>
        <s v="112320 - Medical - Photography"/>
        <s v="111150 - Medical - Photography"/>
        <s v="101782 - Medical - Photography"/>
        <s v="128402 - Medical - Photography"/>
        <s v="112322 - Medical - Photography"/>
        <s v="41994 - Medical - Photography"/>
        <s v="112319 - Medical - Photography"/>
        <s v="42002 - Medical - Photography"/>
        <s v="120263 - Medical - Photography"/>
        <s v="112855 - Medical - Photography"/>
        <s v="111151 - Medical - Photography"/>
        <s v="111152 - Medical - Photography"/>
        <s v="122224 - Medical - Photography"/>
        <s v="124709 - Medical - Photography"/>
        <s v="99039 - Medical - Photography"/>
        <s v="82928 - Medical - Photography"/>
        <s v="111149 - Medical - Photography"/>
        <s v="82927 - Medical - Photography"/>
        <s v="112317 - Medical - Photography"/>
        <s v="140597 - Medical - Photography"/>
        <s v="122229 - Medical - Photography"/>
        <s v="112473 - Medical - Photography"/>
        <s v="122226 - Medical - Photography"/>
        <s v="4385 - Medical - Photography"/>
        <s v="41029 - Medical - Photography"/>
        <s v="4386 - Medical - Photography"/>
        <s v="41030 - Medical - Photography"/>
        <s v="84950 - Medical - Photography"/>
        <s v="45255 - Medical - Photography"/>
        <s v="108070 - Medical - Photography"/>
        <s v="108069 - Medical - Photography"/>
        <s v="9668 - Medical - Photography"/>
        <s v="26322 - Medical - Photography"/>
        <s v="70413 - Medical - Photography"/>
        <s v="4389 - Medical - Photography"/>
        <s v="128340 - Medical - Photography"/>
        <s v="108071 - Medical - Photography"/>
        <s v="108068 - Medical - Photography"/>
        <s v="9662 - Medical - Photography"/>
        <s v="117611 - Medical - Photography"/>
        <s v="111148 - Medical - Photography"/>
        <s v="9680 - Medical - Photography"/>
        <s v="117605 - Medical - Photography"/>
        <s v="108077 - Medical - Photography"/>
        <s v="9681 - Medical - Photography"/>
        <s v="4388 - Medical - Photography"/>
        <s v="99036 - Medical - Photography"/>
        <s v="109344 - Medical - Photography"/>
        <s v="9663 - Medical - Photography"/>
        <s v="119106 - Medical - Photography"/>
        <s v="9664 - Medical - Photography"/>
        <s v="108064 - Medical - Photography"/>
        <s v="70414 - Medical - Photography"/>
        <s v="9673 - Medical - Photography"/>
        <s v="117604 - Medical - Photography"/>
        <s v="45165 - Medical - Photography"/>
        <s v="128341 - Medical - Photography"/>
        <s v="101917 - Medical - Photography"/>
        <s v="79419 - Medical - Photography"/>
        <s v="9675 - Medical - Photography"/>
        <s v="9671 - Medical - Photography"/>
        <s v="20247 - Arts - Graphic Design"/>
        <s v="109240 - Arts - Graphic Design"/>
        <s v="104079 - Arts - Graphic Design"/>
        <s v="126567 - Arts - Graphic Design"/>
        <s v="45567 - Arts - Graphic Design"/>
        <s v="109241 - Arts - Graphic Design"/>
        <s v="126564 - Arts - Graphic Design"/>
        <s v="20246 - Arts - Graphic Design"/>
        <s v="99321 - Arts - Graphic Design"/>
        <s v="99322 - Arts - Graphic Design"/>
        <s v="126561 - Arts - Graphic Design"/>
        <s v="113871 - Arts - Graphic Design"/>
        <s v="68332 - Arts - Graphic Design"/>
        <s v="102081 - Arts - Graphic Design"/>
        <s v="84213 - Arts - Graphic Design"/>
        <s v="68302 - Arts - Graphic Design"/>
        <s v="88238 - Arts - Graphic Design"/>
        <s v="84202 - Arts - Graphic Design"/>
        <s v="84226 - Arts - Graphic Design"/>
        <s v="104071 - Arts - Graphic Design"/>
        <s v="104075 - Arts - Graphic Design"/>
        <s v="91042 - Arts - Graphic Design"/>
        <s v="108047 - Arts - Graphic Design"/>
        <s v="90993 - Arts - Graphic Design"/>
        <s v="19277 - Arts - Graphic Design"/>
        <s v="84223 - Arts - Graphic Design"/>
        <s v="84225 - Arts - Graphic Design"/>
        <s v="113865 - Arts - Graphic Design"/>
        <s v="94645 - Arts - Graphic Design"/>
        <s v="104073 - Arts - Graphic Design"/>
        <s v="113880 - Arts - Graphic Design"/>
        <s v="91045 - Arts - Graphic Design"/>
        <s v="84231 - Arts - Graphic Design"/>
        <s v="68321 - Arts - Graphic Design"/>
        <s v="84211 - Arts - Graphic Design"/>
        <s v="158663 - Arts - Graphic Design"/>
        <s v="113874 - Arts - Graphic Design"/>
        <s v="84234 - Arts - Graphic Design"/>
        <s v="76642 - Arts - Graphic Design"/>
        <s v="126573 - Arts - Graphic Design"/>
        <s v="113877 - Arts - Graphic Design"/>
        <s v="84212 - Arts - Graphic Design"/>
        <s v="84203 - Arts - Graphic Design"/>
        <s v="91038 - Arts - Graphic Design"/>
        <s v="19335 - Arts - Graphic Design"/>
        <s v="103073 - Arts - Graphic Design"/>
        <s v="122261 - Arts - Graphic Design"/>
        <s v="68315 - Arts - Graphic Design"/>
        <s v="110229 - Arts - Graphic Design"/>
        <s v="5548 - Arts - Graphic Design"/>
        <s v="126544 - Arts - Graphic Design"/>
        <s v="90792 - Arts - Graphic Design"/>
        <s v="126541 - Arts - Graphic Design"/>
        <s v="71190 - Arts - Graphic Design"/>
        <s v="76425 - Arts - Graphic Design"/>
        <s v="76422 - Arts - Graphic Design"/>
        <s v="159201 - Arts - Graphic Design"/>
        <s v="76421 - Arts - Graphic Design"/>
        <s v="76424 - Arts - Graphic Design"/>
        <s v="90766 - Arts - Graphic Design"/>
        <s v="5538 - Arts - Graphic Design"/>
        <s v="68371 - Arts - Graphic Design"/>
        <s v="90808 - Arts - Graphic Design"/>
        <s v="5543 - Arts - Graphic Design"/>
        <s v="76420 - Arts - Graphic Design"/>
        <s v="68364 - Arts - Graphic Design"/>
        <s v="5541 - Arts - Graphic Design"/>
        <s v="5544 - Arts - Graphic Design"/>
        <s v="122257 - Arts - Graphic Design"/>
        <s v="90740 - Arts - Graphic Design"/>
        <s v="48280 - Arts - Graphic Design"/>
        <s v="71191 - Arts - Graphic Design"/>
        <s v="76418 - Arts - Graphic Design"/>
        <s v="87161 - Arts - Graphic Design"/>
        <s v="68323 - Arts - Graphic Design"/>
        <s v="72847 - Arts - Graphic Design"/>
        <s v="90799 - Arts - Graphic Design"/>
        <s v="71194 - Arts - Graphic Design"/>
        <s v="68378 - Arts - Graphic Design"/>
        <s v="76426 - Arts - Graphic Design"/>
        <s v="76413 - Arts - Graphic Design"/>
        <s v="68306 - Arts - Graphic Design"/>
        <s v="48283 - Arts - Graphic Design"/>
        <s v="81172 - Arts - Graphic Design"/>
        <s v="68328 - Arts - Graphic Design"/>
        <s v="158667 - Arts - Graphic Design"/>
        <s v="5539 - Arts - Graphic Design"/>
        <s v="68413 - Arts - Graphic Design"/>
        <s v="68345 - Arts - Graphic Design"/>
        <s v="70377 - Arts - Graphic Design"/>
        <s v="126547 - Arts - Graphic Design"/>
        <s v="117218 - Arts - Graphic Design"/>
        <s v="158668 - Arts - Graphic Design"/>
        <s v="19314 - Arts - Graphic Design"/>
        <s v="113867 - Arts - Graphic Design"/>
        <s v="19294 - Arts - Graphic Design"/>
        <s v="90961 - Arts - Graphic Design"/>
        <s v="118480 - Arts - Graphic Design"/>
        <s v="98337 - Arts - Graphic Design"/>
        <s v="90955 - Arts - Graphic Design"/>
        <s v="19303 - Arts - Graphic Design"/>
        <s v="98338 - Arts - Graphic Design"/>
        <s v="98339 - Arts - Graphic Design"/>
        <s v="19296 - Arts - Graphic Design"/>
        <s v="19306 - Arts - Graphic Design"/>
        <s v="90969 - Arts - Graphic Design"/>
        <s v="19299 - Arts - Graphic Design"/>
        <s v="5764 - Arts - Graphic Design"/>
        <s v="114667 - Arts - Graphic Design"/>
        <s v="113870 - Arts - Graphic Design"/>
        <s v="127918 - Arts - Graphic Design"/>
        <s v="127917 - Arts - Graphic Design"/>
        <s v="19297 - Arts - Graphic Design"/>
        <s v="19316 - Arts - Graphic Design"/>
        <s v="118481 - Arts - Graphic Design"/>
        <s v="118366 - Arts - Graphic Design"/>
        <s v="111183 - Arts - Graphic Design"/>
        <s v="124735 - Arts - Graphic Design"/>
        <s v="78727 - Arts - Graphic Design"/>
        <s v="111182 - Arts - Graphic Design"/>
        <s v="78734 - Arts - Graphic Design"/>
        <s v="78729 - Arts - Graphic Design"/>
        <s v="111662 - Arts - Graphic Design"/>
        <s v="78728 - Arts - Graphic Design"/>
        <s v="119082 - Arts - Graphic Design"/>
        <s v="5770 - Arts - Graphic Design"/>
        <s v="103072 - Arts - Graphic Design"/>
        <s v="19344 - Arts - Graphic Design"/>
        <s v="84219 - Arts - Graphic Design"/>
        <s v="19345 - Arts - Graphic Design"/>
        <s v="90816 - Arts - Graphic Design"/>
        <s v="23198 - Arts - Graphic Design"/>
        <s v="87207 - Arts - Graphic Design"/>
        <s v="5694 - Arts - Graphic Design"/>
        <s v="119084 - Arts - Graphic Design"/>
        <s v="127927 - Arts - Graphic Design"/>
        <s v="111184 - Arts - Graphic Design"/>
        <s v="19341 - Arts - Graphic Design"/>
        <s v="118485 - Arts - Graphic Design"/>
        <s v="110565 - Arts - Graphic Design"/>
        <s v="118484 - Arts - Graphic Design"/>
        <s v="107652 - Arts - Graphic Design"/>
        <s v="107673 - Arts - Graphic Design"/>
        <s v="107902 - Arts - Graphic Design"/>
        <s v="19340 - Arts - Graphic Design"/>
        <s v="69190 - Arts - Graphic Design"/>
        <s v="48451 - Arts - Graphic Design"/>
        <s v="19339 - Arts - Graphic Design"/>
        <s v="69195 - Arts - Graphic Design"/>
        <s v="77192 - Arts - Graphic Design"/>
        <s v="95922 - Arts - Graphic Design"/>
        <s v="116779 - Arts - Graphic Design"/>
        <s v="69238 - Arts - Graphic Design"/>
        <s v="19337 - Arts - Graphic Design"/>
        <s v="19326 - Arts - Graphic Design"/>
        <s v="69251 - Arts - Graphic Design"/>
        <s v="81871 - Arts - Graphic Design"/>
        <s v="19321 - Arts - Graphic Design"/>
        <s v="117618 - Medical - Illustration"/>
        <s v="117623 - Medical - Illustration"/>
        <s v="117614 - Medical - Illustration"/>
        <s v="14393 - Medical - Illustration"/>
        <s v="70419 - Medical - Illustration"/>
        <s v="111147 - Medical - Illustration"/>
        <s v="4325 - Medical - Illustration"/>
        <s v="4321 - Medical - Illustration"/>
        <s v="70418 - Medical - Illustration"/>
        <s v="80648 - Medical - Illustration"/>
        <s v="70417 - Medical - Illustration"/>
        <s v="79420 - Medical - Illustration"/>
        <s v="4327 - Medical - Illustration"/>
        <s v="89505 - Medical - Illustration"/>
        <s v="128344 - Medical - Illustration"/>
        <s v="79421 - Medical - Illustration"/>
        <s v="128336 - Medical - Illustration"/>
        <s v="5081 - Medical - Illustration"/>
        <s v="79423 - Medical - Illustration"/>
        <s v="116481 - Medical - Illustration"/>
        <s v="118278 - Medical - Illustration"/>
        <s v="116440 - Medical - Illustration"/>
        <s v="116478 - Medical - Illustration"/>
        <s v="139305 - Medical - Illustration"/>
        <s v="118280 - Medical - Illustration"/>
        <s v="116506 - Medical - Illustration"/>
        <s v="116504 - Medical - Illustration"/>
        <s v="116435 - Medical - Illustration"/>
        <s v="70575 - Medical - Illustration"/>
        <s v="128343 - Medical - Illustration"/>
        <s v="112099 - Medical - Illustration"/>
        <s v="128337 - Medical - Illustration"/>
        <s v="4339 - Medical - Illustration"/>
        <s v="14399 - Medical - Illustration"/>
        <s v="4340 - Medical - Illustration"/>
        <s v="45250 - Medical - Illustration"/>
        <s v="9651 - Medical - Illustration"/>
        <s v="4329 - Medical - Illustration"/>
        <s v="4338 - Medical - Illustration"/>
        <s v="112100 - Medical - Illustration"/>
        <s v="9650 - Medical - Illustration"/>
        <s v="9649 - Medical - Illustration"/>
        <s v="9652 - Medical - Illustration"/>
        <s v="79426 - Medical - Illustration"/>
        <s v="79425 - Medical - Illustration"/>
        <s v="4335 - Medical - Illustration"/>
        <s v="70420 - Medical - Illustration"/>
        <s v="9655 - Medical - Illustration"/>
        <s v="68510 - Medical - Illustration"/>
        <s v="11068 - Medical - Illustration"/>
        <s v="79888 - Medical - Illustration"/>
        <s v="108982 - Medical - Illustration"/>
        <s v="88020 - Medical - Illustration"/>
        <s v="44824 - Medical - Illustration"/>
        <s v="46900 - Medical - Illustration"/>
        <s v="41981 - Medical - Illustration"/>
        <s v="44825 - Medical - Illustration"/>
        <s v="6875 - Medical - Illustration"/>
        <s v="108981 - Medical - Illustration"/>
        <s v="110931 - Medical - Illustration"/>
        <s v="99037 - Medical - Illustration"/>
        <s v="99096 - Medical - Illustration"/>
        <s v="41986 - Medical - Illustration"/>
        <s v="79430 - Medical - Illustration"/>
        <s v="41921 - Medical - Illustration"/>
        <s v="41910 - Medical - Illustration"/>
        <s v="11069 - Medical - Illustration"/>
        <s v="41924 - Medical - Illustration"/>
        <s v="133913 - Medical - Illustration"/>
        <s v="70422 - Medical - Illustration"/>
        <s v="17812 - Medical - Illustration"/>
        <s v="70429 - Medical - Illustration"/>
        <s v="70428 - Medical - Illustration"/>
        <s v="99038 - Medical - Illustration"/>
        <s v="11071 - Medical - Illustration"/>
        <s v="17066 - Medical - Illustration"/>
        <s v="117649 - Medical - Illustration"/>
        <s v="70426 - Medical - Illustration"/>
        <s v="75750 - Medical - Illustration"/>
        <s v="117644 - Medical - Illustration"/>
        <s v="68512 - Medical - Illustration"/>
        <s v="12792 - Medical - Illustration"/>
        <s v="46684 - Medical - Illustration"/>
        <s v="12795 - Medical - Illustration"/>
        <s v="46686 - Medical - Illustration"/>
        <s v="12804 - Medical - Illustration"/>
        <s v="12799 - Medical - Illustration"/>
        <s v="100914 - Medical - Illustration"/>
        <s v="12802 - Medical - Illustration"/>
        <s v="100907 - Medical - Illustration"/>
        <s v="12794 - Medical - Illustration"/>
        <s v="4261 - Medical - Digital Art"/>
        <s v="9656 - Medical - Digital Art"/>
        <s v="9657 - Medical - Digital Art"/>
        <s v="9660 - Medical - Digital Art"/>
        <s v="9648 - Medical - Digital Art"/>
        <s v="79424 - Medical - Digital Art"/>
        <s v="4267 - Medical - Digital Art"/>
        <s v="9647 - Medical - Digital Art"/>
        <s v="110772 - Medical - Digital Art"/>
        <s v="4255 - Medical - Digital Art"/>
        <s v="4270 - Medical - Digital Art"/>
        <s v="4264 - Medical - Digital Art"/>
        <s v="4271 - Medical - Digital Art"/>
        <s v="79428 - Medical - Digital Art"/>
        <s v="68509 - Medical - Digital Art"/>
        <s v="112104 - Medical - Digital Art"/>
        <s v="79885 - Medical - Digital Art"/>
        <s v="6876 - Medical - Digital Art"/>
        <s v="79427 - Medical - Digital Art"/>
        <s v="44828 - Medical - Digital Art"/>
        <s v="122213 - Medical - Digital Art"/>
        <s v="46903 - Medical - Digital Art"/>
        <s v="80359 - Medical - Digital Art"/>
        <s v="44827 - Medical - Digital Art"/>
        <s v="79882 - Medical - Digital Art"/>
        <s v="11065 - Medical - Digital Art"/>
        <s v="41991 - Medical - Digital Art"/>
        <s v="6877 - Medical - Digital Art"/>
        <s v="4290 - Medical - Digital Art"/>
        <s v="4905 - Medical - Digital Art"/>
        <s v="41979 - Medical - Digital Art"/>
        <s v="41925 - Medical - Digital Art"/>
        <s v="17067 - Medical - Digital Art"/>
        <s v="70425 - Medical - Digital Art"/>
        <s v="17065 - Medical - Digital Art"/>
        <s v="103514 - Medical - Digital Art"/>
        <s v="4298 - Medical - Digital Art"/>
        <s v="4301 - Medical - Digital Art"/>
        <s v="75752 - Medical - Digital Art"/>
        <s v="21520 - Law - Art History"/>
        <s v="82206 - Law - Art History"/>
        <s v="5599 - Law - Art History"/>
        <s v="87231 - Law - Art History"/>
        <s v="5861 - Law - Art History"/>
        <s v="90909 - Law - Art History"/>
        <s v="21523 - Law - Art History"/>
        <s v="5485 - Law - Art History"/>
        <s v="77294 - Law - Art History"/>
        <s v="5486 - Law - Art History"/>
        <s v="77293 - Law - Art History"/>
        <s v="112230 - Law - Art History"/>
        <s v="83607 - Law - Art History"/>
        <s v="117216 - Law - Art History"/>
        <s v="5487 - Law - Art History"/>
        <s v="77295 - Law - Art History"/>
        <s v="89774 - Law - Art History"/>
        <s v="5483 - Law - Art History"/>
        <s v="120541 - Law - Art History"/>
        <s v="100249 - Law - Art History"/>
        <s v="119242 - Law - Art History"/>
        <s v="90868 - Law - Art History"/>
        <s v="90854 - Law - Art History"/>
        <s v="76568 - Law - Art History"/>
        <s v="76589 - Law - Art History"/>
        <s v="76581 - Law - Art History"/>
        <s v="77250 - Law - Art History"/>
        <s v="87222 - Law - Art History"/>
        <s v="122120 - Law - Art History"/>
        <s v="122121 - Law - Art History"/>
        <s v="90880 - Law - Art History"/>
        <s v="122088 - Law - Art History"/>
        <s v="90886 - Law - Art History"/>
        <s v="90755 - Law - Art History"/>
        <s v="111045 - Law - Art History"/>
        <s v="76582 - Law - Art History"/>
        <s v="76570 - Law - Art History"/>
        <s v="87099 - Law - Art History"/>
        <s v="76569 - Law - Art History"/>
        <s v="5586 - Law - Art History"/>
        <s v="5600 - Law - Art History"/>
        <s v="120390 - Law - Art History"/>
        <s v="76389 - Law - Art History"/>
        <s v="5601 - Law - Art History"/>
        <s v="202579 - Law - Art History"/>
        <s v="5584 - Law - Art History"/>
        <s v="90888 - Law - Art History"/>
        <s v="76584 - Law - Art History"/>
        <s v="87171 - Law - Art History"/>
        <s v="110569 - Law - Art History"/>
        <s v="5588 - Law - Art History"/>
        <s v="117165 - Law - Art History"/>
        <s v="5587 - Law - Art History"/>
        <s v="68359 - Law - Art History"/>
        <s v="5590 - Law - Art History"/>
        <s v="76475 - Law - Art History"/>
        <s v="147309 - Law - Art History"/>
        <s v="120533 - Law - Art History"/>
        <s v="5591 - Law - Art History"/>
        <s v="77248 - Law - Art History"/>
        <s v="90819 - Law - Art History"/>
        <s v="90820 - Law - Art History"/>
        <s v="90839 - Law - Art History"/>
        <s v="90858 - Law - Art History"/>
        <s v="76588 - Law - Art History"/>
        <s v="90671 - Law - Art History"/>
        <s v="77194 - Law - Art History"/>
        <s v="5504 - Law - Art History"/>
        <s v="90662 - Law - Art History"/>
        <s v="87288 - Law - Art History"/>
        <s v="5494 - Law - Art History"/>
        <s v="76637 - Law - Art History"/>
        <s v="76601 - Law - Art History"/>
        <s v="87202 - Law - Art History"/>
        <s v="122244 - Law - Art History"/>
        <s v="122075 - Law - Art History"/>
        <s v="90735 - Law - Art History"/>
        <s v="20951 - Law - Art History"/>
        <s v="5502 - Law - Art History"/>
        <s v="90669 - Law - Art History"/>
        <s v="90673 - Law - Art History"/>
        <s v="68403 - Law - Art History"/>
        <s v="76636 - Law - Art History"/>
        <s v="77397 - Law - Art History"/>
        <s v="76195 - Law - Art History"/>
        <s v="90710 - Law - Art History"/>
        <s v="117148 - Law - Art History"/>
        <s v="5493 - Law - Art History"/>
        <s v="76671 - Law - Art History"/>
        <s v="90678 - Law - Art History"/>
        <s v="76207 - Law - Art History"/>
        <s v="5500 - Law - Art History"/>
        <s v="122081 - Law - Art History"/>
        <s v="77396 - Law - Art History"/>
        <s v="77398 - Law - Art History"/>
        <s v="90716 - Law - Art History"/>
        <s v="122846 - Law - Art History"/>
        <s v="77410 - Law - Art History"/>
        <s v="87083 - Law - Art History"/>
        <s v="73630 - Law - Art History"/>
        <s v="90659 - Law - Art History"/>
        <s v="122079 - Law - Art History"/>
        <s v="5551 - Law - Art History"/>
        <s v="90624 - Law - Art History"/>
        <s v="29100 - Law - Art History"/>
        <s v="46330 - Law - Art History"/>
        <s v="117659 - Law - Art History"/>
        <s v="48149 - Law - Art History"/>
        <s v="113739 - Law - Art History"/>
        <s v="147316 - Law - Art History"/>
        <s v="76297 - Law - Art History"/>
        <s v="102698 - Law - Art History"/>
        <s v="102699 - Law - Art History"/>
        <s v="5556 - Law - Art History"/>
        <s v="73629 - Law - Art History"/>
        <s v="77253 - Law - Art History"/>
        <s v="5552 - Law - Art History"/>
        <s v="73805 - Law - Art History"/>
        <s v="48403 - Law - Art History"/>
        <s v="90626 - Law - Art History"/>
        <s v="147324 - Law - Art History"/>
        <s v="77411 - Law - Art History"/>
        <s v="87085 - Law - Art History"/>
        <s v="76212 - Law - Art History"/>
        <s v="117655 - Law - Art History"/>
        <s v="83596 - Law - Art History"/>
        <s v="5561 - Law - Art History"/>
        <s v="87304 - Law - Art History"/>
        <s v="113735 - Law - Art History"/>
        <s v="90661 - Law - Art History"/>
        <s v="76281 - Law - Art History"/>
        <s v="90622 - Law - Art History"/>
        <s v="90637 - Law - Art History"/>
        <s v="76208 - Law - Art History"/>
        <s v="91355 - Law - Art History"/>
        <s v="122068 - Law - Art History"/>
        <s v="48404 - Law - Art History"/>
        <s v="5553 - Law - Art History"/>
        <s v="76282 - Law - Art History"/>
        <s v="5554 - Law - Art History"/>
        <s v="77408 - Law - Art History"/>
        <s v="147312 - Law - Art History"/>
        <s v="113741 - Law - Art History"/>
        <s v="76290 - Law - Art History"/>
        <s v="5559 - Law - Art History"/>
        <s v="68351 - Law - Art History"/>
        <s v="113736 - Law - Art History"/>
        <s v="113738 - Law - Art History"/>
        <s v="113737 - Law - Art History"/>
        <s v="73767 - Law - Art History"/>
        <s v="89559 - Law - Art History"/>
        <s v="102720 - Law - Art History"/>
        <s v="114668 - Law - Art History"/>
        <s v="159208 - Law - Art History"/>
        <s v="108476 - Law - Art History"/>
        <s v="76603 - Law - Art History"/>
        <s v="117672 - Law - Art History"/>
        <s v="73968 - Law - Art History"/>
        <s v="73967 - Law - Art History"/>
        <s v="159209 - Law - Art History"/>
        <s v="90675 - Law - Art History"/>
        <s v="117671 - Law - Art History"/>
        <s v="100015 - Law - Art History"/>
        <s v="90680 - Law - Art History"/>
        <s v="88351 - Law - Art History"/>
        <s v="108475 - Law - Art History"/>
        <s v="90676 - Law - Art History"/>
        <s v="43118 - Medical - Architecture"/>
        <s v="112472 - Medical - Architecture"/>
        <s v="108083 - Medical - Architecture"/>
        <s v="133907 - Medical - Architecture"/>
        <s v="45176 - Medical - Architecture"/>
        <s v="5480 - Medical - Architecture"/>
        <s v="119086 - Medical - Architecture"/>
        <s v="108084 - Medical - Architecture"/>
        <s v="45192 - Medical - Architecture"/>
        <s v="26320 - Medical - Architecture"/>
        <s v="133910 - Medical - Architecture"/>
        <s v="133908 - Medical - Architecture"/>
        <s v="9646 - Medical - Architecture"/>
        <s v="108091 - Medical - Architecture"/>
        <s v="108114 - Medical - Architecture"/>
        <s v="9639 - Medical - Architecture"/>
        <s v="108108 - Medical - Architecture"/>
        <s v="108081 - Medical - Architecture"/>
        <s v="4243 - Medical - Architecture"/>
        <s v="108090 - Medical - Architecture"/>
        <s v="133912 - Medical - Architecture"/>
        <s v="108087 - Medical - Architecture"/>
        <s v="78866 - Medical - Architecture"/>
        <s v="70415 - Medical - Architecture"/>
        <s v="9644 - Medical - Architecture"/>
        <s v="4247 - Medical - Architecture"/>
        <s v="119087 - Medical - Architecture"/>
        <s v="9635 - Medical - Architecture"/>
        <s v="108082 - Medical - Architecture"/>
        <s v="9643 - Medical - Architecture"/>
        <s v="117601 - Medical - Architecture"/>
        <s v="108085 - Medical - Architecture"/>
        <s v="133914 - Medical - Architecture"/>
        <s v="103503 - Fiction - Fashion Design"/>
        <s v="128363 - Fiction - Fashion Design"/>
        <s v="13863 - Law - Interior Design"/>
        <s v="74454 - Law - Interior Design"/>
        <s v="12500 - Law - Interior Design"/>
        <s v="116555 - Law - Interior Design"/>
        <s v="77622 - Law - Interior Design"/>
        <s v="68294 - Law - Interior Design"/>
        <s v="12497 - Law - Interior Design"/>
        <s v="74453 - Law - Interior Design"/>
        <s v="112246 - Law - Interior Design"/>
        <s v="110776 - Law - Interior Design"/>
        <s v="92846 - Law - Interior Design"/>
        <s v="119257 - Law - Interior Design"/>
        <s v="68313 - Law - Interior Design"/>
        <s v="12503 - Law - Interior Design"/>
        <s v="77624 - Law - Interior Design"/>
        <s v="77432 - Law - Interior Design"/>
        <s v="77429 - Law - Interior Design"/>
        <s v="93995 - Law - Interior Design"/>
        <s v="103185 - Law - Interior Design"/>
        <s v="13868 - Law - Interior Design"/>
        <s v="9504 - Law - Interior Design"/>
        <s v="77446 - Law - Interior Design"/>
        <s v="77498 - Law - Interior Design"/>
        <s v="77488 - Law - Interior Design"/>
        <s v="82203 - Law - Interior Design"/>
        <s v="82754 - Law - Interior Design"/>
        <s v="110837 - Law - Interior Design"/>
        <s v="9591 - Law - Interior Design"/>
        <s v="94040 - Law - Interior Design"/>
        <s v="9513 - Law - Interior Design"/>
        <s v="121543 - Law - Interior Design"/>
        <s v="164638 - Law - Interior Design"/>
        <s v="9554 - Law - Interior Design"/>
        <s v="117798 - Law - Interior Design"/>
        <s v="77480 - Law - Interior Design"/>
        <s v="9547 - Law - Interior Design"/>
        <s v="9551 - Law - Interior Design"/>
        <s v="9514 - Law - Interior Design"/>
        <s v="147310 - Law - Interior Design"/>
        <s v="13865 - Law - Interior Design"/>
        <s v="9521 - Law - Interior Design"/>
        <s v="9522 - Law - Interior Design"/>
        <s v="94048 - Law - Interior Design"/>
        <s v="121549 - Law - Interior Design"/>
        <s v="9593 - Law - Interior Design"/>
        <s v="119247 - Law - Interior Design"/>
        <s v="9516 - Law - Interior Design"/>
        <s v="193265 - Law - Interior Design"/>
        <s v="13869 - Law - Interior Design"/>
        <s v="13877 - Law - Interior Design"/>
        <s v="9493 - Law - Interior Design"/>
        <s v="9502 - Law - Interior Design"/>
        <s v="147301 - Law - Interior Design"/>
        <s v="30569 - Law - Interior Design"/>
        <s v="112190 - Law - Interior Design"/>
        <s v="110833 - Law - Interior Design"/>
        <s v="9505 - Law - Interior Design"/>
        <s v="119248 - Law - Interior Design"/>
        <s v="147306 - Law - Interior Design"/>
        <s v="77425 - Law - Interior Design"/>
        <s v="9497 - Law - Interior Design"/>
        <s v="9601 - Law - Interior Design"/>
        <s v="117799 - Law - Interior Design"/>
        <s v="82770 - Law - Interior Design"/>
        <s v="119249 - Law - Interior Design"/>
        <s v="86191 - Law - Interior Design"/>
        <s v="9503 - Law - Interior Design"/>
        <s v="94007 - Law - Interior Design"/>
        <s v="82761 - Law - Interior Design"/>
        <s v="9599 - Law - Interior Design"/>
        <s v="9496 - Law - Interior Design"/>
        <s v="195072 - Law - Interior Design"/>
        <s v="119252 - Law - Interior Design"/>
        <s v="9501 - Law - Interior Design"/>
        <s v="9491 - Law - Interior Design"/>
        <s v="194058 - Law - Interior Design"/>
        <s v="111319 - Law - Interior Design"/>
        <s v="86655 - Law - Interior Design"/>
        <s v="147300 - Law - Interior Design"/>
        <s v="13861 - Law - Interior Design"/>
        <s v="81510 - Law - Interior Design"/>
        <s v="9560 - Law - Interior Design"/>
        <s v="72161 - Law - Interior Design"/>
        <s v="9561 - Law - Interior Design"/>
        <s v="9562 - Law - Interior Design"/>
        <s v="119250 - Law - Interior Design"/>
        <s v="122297 - Law - Interior Design"/>
        <s v="164879 - Law - Interior Design"/>
        <s v="48697 - Law - Interior Design"/>
        <s v="122299 - Law - Interior Design"/>
        <s v="82997 - Law - Interior Design"/>
        <s v="108350 - Law - Interior Design"/>
        <s v="48699 - Law - Interior Design"/>
        <s v="108364 - Law - Interior Design"/>
        <s v="5799 - Law - Interior Design"/>
        <s v="81501 - Law - Interior Design"/>
        <s v="47648 - Law - Interior Design"/>
        <s v="105328 - Law - Interior Design"/>
        <s v="47654 - Law - Interior Design"/>
        <s v="82371 - Law - Interior Design"/>
        <s v="81500 - Law - Interior Design"/>
        <s v="48501 - Law - Interior Design"/>
        <s v="81498 - Law - Interior Design"/>
        <s v="48498 - Law - Interior Design"/>
        <s v="88628 - Law - Interior Design"/>
        <s v="180340 - Law - Interior Design"/>
        <s v="48503 - Law - Interior Design"/>
        <s v="74819 - Law - Interior Design"/>
        <s v="48502 - Law - Interior Design"/>
        <s v="96001 - Law - Interior Design"/>
        <s v="103095 - Law - Interior Design"/>
        <s v="88627 - Law - Interior Design"/>
        <s v="105329 - Law - Interior Design"/>
        <s v="105330 - Law - Interior Design"/>
        <s v="80252 - Law - Interior Design"/>
        <s v="77468 - Law - Interior Design"/>
        <s v="24203 - Law - Interior Design"/>
        <s v="139291 - Law - Interior Design"/>
        <s v="77426 - Law - Interior Design"/>
        <s v="94039 - Law - Interior Design"/>
        <s v="9508 - Law - Interior Design"/>
        <s v="121595 - Law - Interior Design"/>
        <s v="124762 - Law - Interior Design"/>
        <s v="77462 - Law - Interior Design"/>
        <s v="49158 - Law - Interior Design"/>
        <s v="93982 - Law - Interior Design"/>
        <s v="9546 - Law - Interior Design"/>
        <s v="9482 - Law - Interior Design"/>
        <s v="139290 - Law - Interior Design"/>
        <s v="121596 - Law - Interior Design"/>
        <s v="14441 - Law - Interior Design"/>
        <s v="9489 - Law - Interior Design"/>
        <s v="103189 - Law - Interior Design"/>
        <s v="9567 - Law - Interior Design"/>
        <s v="9543 - Law - Interior Design"/>
        <s v="77471 - Law - Interior Design"/>
        <s v="164631 - Law - Interior Design"/>
        <s v="9606 - Law - Interior Design"/>
        <s v="77473 - Law - Interior Design"/>
        <s v="9484 - Law - Interior Design"/>
        <s v="14439 - Law - Interior Design"/>
        <s v="124761 - Law - Interior Design"/>
        <s v="14440 - Law - Interior Design"/>
        <s v="9544 - Law - Interior Design"/>
        <s v="46482 - Law - Interior Design"/>
        <s v="46773 - Law - Interior Design"/>
        <s v="81502 - Law - Interior Design"/>
        <s v="76035 - Law - Interior Design"/>
        <s v="46774 - Law - Interior Design"/>
        <s v="121029 - Sports - Film Studies"/>
        <s v="128199 - Sports - Film Studies"/>
        <s v="82408 - Medical - Theatre"/>
        <s v="139298 - Medical - Theatre"/>
        <s v="91397 - Medical - Theatre"/>
        <s v="91396 - Medical - Theatre"/>
        <s v="139302 - Medical - Theatre"/>
        <s v="118283 - Medical - Theatre"/>
        <s v="118286 - Medical - Theatre"/>
        <s v="3375 - Medical - Theatre"/>
        <s v="118285 - Medical - Theatre"/>
        <s v="118284 - Medical - Theatre"/>
        <s v="116522 - Medical - Theatre"/>
        <s v="139307 - Medical - Theatre"/>
        <s v="120253 - Medical - Theatre"/>
        <s v="120252 - Medical - Theatre"/>
        <s v="120251 - Medical - Theatre"/>
        <s v="139306 - Medical - Theatre"/>
        <s v="120255 - Medical - Theatre"/>
        <s v="120980 - Medical - Theatre"/>
        <s v="139299 - Medical - Theatre"/>
        <s v="73635 - Medical - Theatre"/>
        <s v="116537 - Medical - Theatre"/>
        <s v="46716 - Medical - Theatre"/>
        <s v="109161 - Medical - Theatre"/>
        <s v="110760 - Medical - Theatre"/>
        <s v="112095 - Medical - Theatre"/>
        <s v="120261 - Medical - Theatre"/>
        <s v="142302 - Medical - Theatre"/>
        <s v="46715 - Medical - Theatre"/>
        <s v="102190 - Medical - Theatre"/>
        <s v="112098 - Medical - Theatre"/>
        <s v="110761 - Medical - Theatre"/>
        <s v="116529 - Medical - Theatre"/>
        <s v="119245 - Sports - Music"/>
        <s v="119454 - Sports - Music"/>
        <s v="118131 - Sports - Music"/>
        <s v="128395 - Sports - Music"/>
        <s v="117482 - Sports - Music"/>
        <s v="118130 - Sports - Music"/>
        <s v="109209 - Sports - Music"/>
        <s v="74428 - Sports - Anatomy"/>
        <s v="13941 - Sports - Anatomy"/>
        <s v="44316 - Medical - Physiology"/>
        <s v="122748 - Medical - Physiology"/>
        <s v="118936 - Medical - Physiology"/>
        <s v="122746 - Medical - Physiology"/>
        <s v="76567 - Medical - Physiology"/>
        <s v="122747 - Medical - Physiology"/>
        <s v="48484 - Fiction - Pathology"/>
        <s v="10856 - Fiction - Pathology"/>
        <s v="48486 - Fiction - Pathology"/>
        <s v="108707 - Fiction - Pathology"/>
        <s v="109565 - Fiction - Pathology"/>
        <s v="99181 - Fiction - Pathology"/>
        <s v="109060 - Fiction - Pathology"/>
        <s v="109628 - Fiction - Pathology"/>
        <s v="128346 - Fiction - Pathology"/>
        <s v="90319 - Fiction - Pathology"/>
        <s v="96287 - Fiction - Pathology"/>
        <s v="96238 - Fiction - Pathology"/>
        <s v="116553 - Fiction - Pathology"/>
        <s v="116539 - Fiction - Pathology"/>
        <s v="156015 - Sports - Pharmacology"/>
        <s v="77049 - Sports - Pharmacology"/>
        <s v="92906 - Sports - Pharmacology"/>
        <s v="6425 - Sports - Pharmacology"/>
        <s v="77653 - Sports - Pharmacology"/>
        <s v="156029 - Sports - Pharmacology"/>
        <s v="182726 - Self-Help - Surgery"/>
        <s v="3536 - Sports - Pediatrics"/>
        <s v="3541 - Sports - Pediatrics"/>
        <s v="147335 - Medical - Neurology"/>
        <s v="46896 - Medical - Neurology"/>
        <s v="46897 - Medical - Neurology"/>
        <s v="71729 - Tech - Psychiatry"/>
        <s v="45471 - Tech - Psychiatry"/>
        <s v="80622 - Tech - Psychiatry"/>
        <s v="111204 - Tech - Psychiatry"/>
        <s v="27843 - Tech - Psychiatry"/>
        <s v="111656 - Tech - Psychiatry"/>
        <s v="70043 - Tech - Psychiatry"/>
        <s v="127017 - Tech - Psychiatry"/>
        <s v="92320 - Tech - Psychiatry"/>
        <s v="109985 - Tech - Psychiatry"/>
        <s v="110415 - Tech - Psychiatry"/>
        <s v="101325 - Tech - Psychiatry"/>
        <s v="133904 - Tech - Psychiatry"/>
        <s v="91357 - Tech - Psychiatry"/>
        <s v="92330 - Tech - Psychiatry"/>
        <s v="128409 - Tech - Psychiatry"/>
        <s v="124704 - Tech - Psychiatry"/>
        <s v="122252 - Tech - Psychiatry"/>
        <s v="85159 - Tech - Psychiatry"/>
        <s v="103604 - Tech - Psychiatry"/>
        <s v="27845 - Tech - Psychiatry"/>
        <s v="11666 - Tech - Psychiatry"/>
        <s v="127016 - Tech - Psychiatry"/>
        <s v="2046 - Tech - Psychiatry"/>
        <s v="66998 - Tech - Psychiatry"/>
        <s v="103626 - Tech - Psychiatry"/>
        <s v="103603 - Tech - Psychiatry"/>
        <s v="85156 - Tech - Psychiatry"/>
        <s v="8118 - Tech - Psychiatry"/>
        <s v="109984 - Tech - Psychiatry"/>
        <s v="92134 - Tech - Psychiatry"/>
        <s v="129420 - Tech - Psychiatry"/>
        <s v="111010 - Tech - Psychiatry"/>
        <s v="46771 - Tech - Psychiatry"/>
        <s v="88396 - Tech - Psychiatry"/>
        <s v="88188 - Tech - Psychiatry"/>
        <s v="129373 - Tech - Psychiatry"/>
        <s v="103625 - Tech - Psychiatry"/>
        <s v="109332 - Tech - Psychiatry"/>
        <s v="92327 - Tech - Psychiatry"/>
        <s v="80699 - Tech - Psychiatry"/>
        <s v="101043 - Tech - Psychiatry"/>
        <s v="46760 - Tech - Psychiatry"/>
        <s v="109966 - Tech - Psychiatry"/>
        <s v="128408 - Tech - Psychiatry"/>
        <s v="81128 - Tech - Psychiatry"/>
        <s v="45571 - Tech - Psychiatry"/>
        <s v="44612 - Tech - Psychiatry"/>
        <s v="124684 - Tech - Psychiatry"/>
        <s v="112365 - Tech - Psychiatry"/>
        <s v="41038 - Tech - Psychiatry"/>
        <s v="87761 - Tech - Psychiatry"/>
        <s v="106590 - Tech - Psychiatry"/>
        <s v="85734 - Tech - Psychiatry"/>
        <s v="122511 - Tech - Psychiatry"/>
        <s v="2335 - Tech - Psychiatry"/>
        <s v="2339 - Tech - Psychiatry"/>
        <s v="108468 - Tech - Psychiatry"/>
        <s v="3439 - Tech - Psychiatry"/>
        <s v="2044 - Tech - Psychiatry"/>
        <s v="188354 - Tech - Psychiatry"/>
        <s v="27848 - Tech - Psychiatry"/>
        <s v="45642 - Tech - Psychiatry"/>
        <s v="79815 - Tech - Psychiatry"/>
        <s v="87643 - Tech - Psychiatry"/>
        <s v="30501 - Tech - Psychiatry"/>
        <s v="118198 - Tech - Psychiatry"/>
        <s v="4891 - Tech - Psychiatry"/>
        <s v="23050 - Tech - Psychiatry"/>
        <s v="94612 - Tech - Psychiatry"/>
        <s v="109983 - Tech - Psychiatry"/>
        <s v="110854 - Tech - Psychiatry"/>
        <s v="110414 - Tech - Psychiatry"/>
        <s v="103631 - Tech - Psychiatry"/>
        <s v="111009 - Tech - Psychiatry"/>
        <s v="109213 - Tech - Psychiatry"/>
        <s v="103847 - Tech - Psychiatry"/>
        <s v="96156 - Tech - Psychiatry"/>
        <s v="4887 - Tech - Psychiatry"/>
        <s v="92146 - Tech - Psychiatry"/>
        <s v="122248 - Tech - Psychiatry"/>
        <s v="122251 - Tech - Psychiatry"/>
        <s v="103638 - Tech - Psychiatry"/>
        <s v="111655 - Tech - Psychiatry"/>
        <s v="84201 - Tech - Psychiatry"/>
        <s v="80697 - Tech - Psychiatry"/>
        <s v="117394 - Tech - Psychiatry"/>
        <s v="103636 - Tech - Psychiatry"/>
        <s v="67001 - Tech - Psychiatry"/>
        <s v="2148 - Tech - Psychiatry"/>
        <s v="111672 - Tech - Psychiatry"/>
        <s v="80696 - Tech - Psychiatry"/>
        <s v="96853 - Tech - Psychiatry"/>
        <s v="117388 - Tech - Psychiatry"/>
        <s v="109971 - Tech - Psychiatry"/>
        <s v="122247 - Tech - Psychiatry"/>
        <s v="103635 - Tech - Psychiatry"/>
        <s v="122295 - Tech - Psychiatry"/>
        <s v="118351 - Tech - Psychiatry"/>
        <s v="91624 - Tech - Psychiatry"/>
        <s v="27765 - Tech - Psychiatry"/>
        <s v="26313 - Tech - Psychiatry"/>
        <s v="26314 - Tech - Psychiatry"/>
        <s v="91626 - Tech - Psychiatry"/>
        <s v="112264 - Tech - Psychiatry"/>
        <s v="27764 - Tech - Psychiatry"/>
        <s v="92653 - Tech - Psychiatry"/>
        <s v="117990 - Tech - Psychiatry"/>
        <s v="92651 - Tech - Psychiatry"/>
        <s v="104143 - Tech - Psychiatry"/>
        <s v="48641 - Arts - Public Health"/>
        <s v="47543 - Arts - Public Health"/>
        <s v="117045 - Arts - Public Health"/>
        <s v="109276 - Arts - Public Health"/>
        <s v="117040 - Arts - Public Health"/>
        <s v="108485 - Arts - Public Health"/>
        <s v="80095 - Arts - Public Health"/>
        <s v="117044 - Arts - Public Health"/>
        <s v="69279 - Arts - Public Health"/>
        <s v="48642 - Arts - Public Health"/>
        <s v="117569 - Arts - Public Health"/>
        <s v="83590 - Arts - Public Health"/>
        <s v="117566 - Arts - Public Health"/>
        <s v="116391 - Arts - Public Health"/>
        <s v="47388 - Arts - Public Health"/>
        <s v="117567 - Arts - Public Health"/>
        <s v="104319 - Arts - Public Health"/>
        <s v="120399 - Arts - Public Health"/>
        <s v="47389 - Arts - Public Health"/>
        <s v="47384 - Arts - Public Health"/>
        <s v="117568 - Arts - Public Health"/>
        <s v="80233 - Arts - Public Health"/>
        <s v="120396 - Arts - Public Health"/>
        <s v="47386 - Arts - Public Health"/>
        <s v="110294 - Arts - Public Health"/>
        <s v="47374 - Arts - Public Health"/>
        <s v="115586 - Arts - Public Health"/>
        <s v="112736 - Arts - Public Health"/>
        <s v="80234 - Arts - Public Health"/>
        <s v="92426 - Arts - Public Health"/>
        <s v="92429 - Arts - Public Health"/>
        <s v="117572 - Arts - Public Health"/>
        <s v="110982 - Arts - Public Health"/>
        <s v="92442 - Arts - Public Health"/>
        <s v="83591 - Arts - Public Health"/>
        <s v="104318 - Arts - Public Health"/>
        <s v="112740 - Arts - Public Health"/>
        <s v="117570 - Arts - Public Health"/>
        <s v="115584 - Arts - Public Health"/>
        <s v="47629 - Arts - Public Health"/>
        <s v="116389 - Arts - Public Health"/>
        <s v="117573 - Arts - Public Health"/>
        <s v="47638 - Arts - Public Health"/>
        <s v="110219 - Medical - Medical Research"/>
        <s v="116851 - Medical - Medical Research"/>
        <s v="122737 - Medical - Medical Research"/>
        <s v="110226 - Medical - Medical Research"/>
        <s v="115773 - Medical - Medical Research"/>
        <s v="109580 - Medical - Medical Research"/>
        <s v="114255 - Medical - Medical Research"/>
        <s v="122745 - Medical - Medical Research"/>
        <s v="116873 - Medical - Medical Research"/>
        <s v="110228 - Medical - Medical Research"/>
        <m/>
      </sharedItems>
    </cacheField>
    <cacheField name="stok_value" numFmtId="0">
      <sharedItems containsString="0" containsBlank="1" containsNumber="1">
        <n v="691.2"/>
        <n v="0.0"/>
        <n v="107.0"/>
        <n v="2385.2000000000003"/>
        <n v="4172.48"/>
        <n v="308.07"/>
        <n v="64.02"/>
        <n v="184.08"/>
        <n v="437.76"/>
        <n v="719.19"/>
        <n v="420.16"/>
        <n v="90.0"/>
        <n v="23.849999999999998"/>
        <n v="522.24"/>
        <n v="938.88"/>
        <n v="35.53"/>
        <n v="486.15999999999997"/>
        <n v="411.4"/>
        <n v="625.3199999999999"/>
        <n v="99.33"/>
        <n v="984.9"/>
        <n v="2141.1"/>
        <n v="225.96"/>
        <n v="181.44"/>
        <n v="169.69"/>
        <n v="380.90000000000003"/>
        <n v="169.68"/>
        <n v="1606.64"/>
        <n v="26.099999999999998"/>
        <n v="2027.97"/>
        <n v="325.48"/>
        <n v="283.82"/>
        <n v="403.20000000000005"/>
        <n v="319.95"/>
        <n v="2276.64"/>
        <n v="3569.72"/>
        <n v="1183.84"/>
        <n v="376.04"/>
        <n v="919.3199999999999"/>
        <n v="244.46"/>
        <n v="1053.3600000000001"/>
        <n v="954.99"/>
        <n v="511.05999999999995"/>
        <n v="6433.74"/>
        <n v="168.15"/>
        <n v="13.98"/>
        <n v="748.0000000000001"/>
        <n v="692.9"/>
        <n v="744.48"/>
        <n v="1865.0700000000002"/>
        <n v="2034.76"/>
        <n v="2126.25"/>
        <n v="3471.2999999999997"/>
        <n v="1999.8700000000001"/>
        <n v="320.25"/>
        <n v="1084.68"/>
        <n v="275.34"/>
        <n v="156.24"/>
        <n v="1943.1"/>
        <n v="1380.3"/>
        <n v="2044.8"/>
        <n v="72.23"/>
        <n v="111.0"/>
        <n v="3.02"/>
        <n v="473.4"/>
        <n v="21.299999999999997"/>
        <n v="2673.35"/>
        <n v="1386.0"/>
        <n v="564.48"/>
        <n v="490.06"/>
        <n v="1164.8200000000002"/>
        <n v="654.36"/>
        <n v="1536.15"/>
        <n v="2007.87"/>
        <n v="1739.64"/>
        <n v="3891.54"/>
        <n v="136.35"/>
        <n v="1808.3500000000001"/>
        <n v="3.84"/>
        <n v="3933.36"/>
        <n v="2588.34"/>
        <n v="1313.16"/>
        <n v="1946.88"/>
        <n v="1877.3999999999999"/>
        <n v="1071.84"/>
        <n v="717.32"/>
        <n v="104.64999999999999"/>
        <n v="32.88"/>
        <n v="1421.4"/>
        <n v="778.22"/>
        <n v="604.36"/>
        <n v="353.09999999999997"/>
        <n v="2256.78"/>
        <n v="5304.099999999999"/>
        <n v="1695.96"/>
        <n v="7360.44"/>
        <n v="4864.16"/>
        <n v="524.4"/>
        <n v="271.7"/>
        <n v="324.0"/>
        <n v="645.84"/>
        <n v="47.25"/>
        <n v="81.19999999999999"/>
        <n v="145.32"/>
        <n v="29.7"/>
        <n v="3556.8"/>
        <n v="72.6"/>
        <n v="74.36"/>
        <n v="243.20000000000002"/>
        <n v="218.68"/>
        <n v="75.67"/>
        <n v="128.8"/>
        <n v="560.0"/>
        <n v="111.77999999999999"/>
        <n v="517.63"/>
        <n v="586.17"/>
        <n v="694.55"/>
        <n v="3368.64"/>
        <n v="1330.1599999999999"/>
        <n v="3022.92"/>
        <n v="8415.26"/>
        <n v="4465.5599999999995"/>
        <n v="719.3199999999999"/>
        <n v="108.9"/>
        <n v="3459.12"/>
        <n v="7365.12"/>
        <n v="5053.099999999999"/>
        <n v="3198.59"/>
        <n v="1479.76"/>
        <n v="2716.25"/>
        <n v="9637.92"/>
        <n v="2367.36"/>
        <n v="3620.4900000000002"/>
        <n v="5062.49"/>
        <n v="305.33"/>
        <n v="1633.28"/>
        <n v="774.18"/>
        <n v="85.36"/>
        <n v="2421.0"/>
        <n v="122.36"/>
        <n v="148.2"/>
        <n v="4057.3599999999997"/>
        <n v="8239.85"/>
        <n v="8202.24"/>
        <n v="48.06"/>
        <n v="822.8"/>
        <n v="4435.2"/>
        <n v="622.16"/>
        <n v="686.7199999999999"/>
        <n v="679.14"/>
        <n v="215.52"/>
        <n v="255.78"/>
        <n v="2542.32"/>
        <n v="4422.599999999999"/>
        <n v="1711.8600000000001"/>
        <n v="81.30000000000001"/>
        <n v="655.86"/>
        <n v="3744.12"/>
        <n v="9982.65"/>
        <n v="2548.0"/>
        <n v="413.1"/>
        <n v="1728.2700000000002"/>
        <n v="3009.79"/>
        <n v="6512.38"/>
        <n v="4289.25"/>
        <n v="700.34"/>
        <n v="4913.46"/>
        <n v="963.16"/>
        <n v="26.64"/>
        <n v="779.24"/>
        <n v="13343.22"/>
        <n v="110.08"/>
        <n v="985.8000000000001"/>
        <n v="997.6"/>
        <n v="294.78000000000003"/>
        <n v="565.25"/>
        <n v="126.72"/>
        <n v="1691.19"/>
        <n v="82.08"/>
        <n v="60.39"/>
        <n v="6654.18"/>
        <n v="958.6500000000001"/>
        <n v="3268.6000000000004"/>
        <n v="1365.3"/>
        <n v="56.349999999999994"/>
        <n v="587.1"/>
        <n v="72.10000000000001"/>
        <n v="148.0"/>
        <n v="32.9"/>
        <n v="46.23"/>
        <n v="411.84000000000003"/>
        <n v="326.7"/>
        <n v="18.06"/>
        <n v="1674.4499999999998"/>
        <n v="89.1"/>
        <n v="409.5"/>
        <n v="1045.12"/>
        <n v="333.0"/>
        <n v="1438.5900000000001"/>
        <n v="70.92999999999999"/>
        <n v="358.62"/>
        <n v="2241.9"/>
        <n v="416.09999999999997"/>
        <n v="550.56"/>
        <n v="792.72"/>
        <n v="96.53"/>
        <n v="757.35"/>
        <n v="1153.6000000000001"/>
        <n v="197.4"/>
        <n v="509.76000000000005"/>
        <n v="1059.22"/>
        <n v="422.1"/>
        <n v="331.45000000000005"/>
        <n v="2611.2599999999998"/>
        <n v="217.75"/>
        <n v="577.21"/>
        <n v="636.31"/>
        <n v="775.9499999999999"/>
        <n v="160.20000000000002"/>
        <n v="81.89999999999999"/>
        <n v="201.74"/>
        <n v="613.6"/>
        <n v="206.15"/>
        <n v="404.73999999999995"/>
        <n v="5742.75"/>
        <n v="926.4"/>
        <n v="1388.52"/>
        <n v="640.14"/>
        <n v="453.0"/>
        <n v="217.26"/>
        <n v="297.33000000000004"/>
        <n v="515.34"/>
        <n v="496.71999999999997"/>
        <n v="158.83999999999997"/>
        <n v="234.29999999999998"/>
        <n v="671.93"/>
        <n v="224.2"/>
        <n v="3963.42"/>
        <n v="7.52"/>
        <n v="226.38000000000002"/>
        <n v="298.62"/>
        <n v="83.19"/>
        <n v="117.14999999999999"/>
        <n v="78.07"/>
        <n v="305.52"/>
        <n v="33.54"/>
        <n v="215.94"/>
        <n v="2402.19"/>
        <n v="919.64"/>
        <n v="268.14000000000004"/>
        <n v="11.05"/>
        <n v="2689.3999999999996"/>
        <n v="1314.52"/>
        <n v="124.44"/>
        <n v="148.67999999999998"/>
        <n v="479.40000000000003"/>
        <n v="622.44"/>
        <n v="866.4"/>
        <n v="1494.3500000000001"/>
        <n v="571.1600000000001"/>
        <n v="892.0"/>
        <n v="214.97"/>
        <n v="1687.1999999999998"/>
        <n v="1440.18"/>
        <n v="1083.3200000000002"/>
        <n v="492.2"/>
        <n v="61.19"/>
        <n v="2783.32"/>
        <n v="101.25"/>
        <n v="213.84"/>
        <n v="2397.7599999999998"/>
        <n v="1025.8"/>
        <n v="519.56"/>
        <n v="152.44"/>
        <n v="11.76"/>
        <n v="335.92"/>
        <n v="1745.24"/>
        <n v="1847.85"/>
        <n v="2104.96"/>
        <n v="1802.0"/>
        <n v="859.2"/>
        <n v="1936.3799999999999"/>
        <n v="314.94"/>
        <n v="1290.4599999999998"/>
        <n v="704.64"/>
        <n v="196.65"/>
        <n v="1438.2"/>
        <n v="694.59"/>
        <n v="816.57"/>
        <n v="842.2700000000001"/>
        <n v="619.0"/>
        <n v="114.18"/>
        <n v="1725.93"/>
        <n v="240.86999999999998"/>
        <n v="1417.8"/>
        <n v="1667.42"/>
        <n v="641.0600000000001"/>
        <n v="433.2"/>
        <n v="3753.42"/>
        <n v="888.88"/>
        <n v="666.6"/>
        <n v="1489.25"/>
        <n v="6353.759999999999"/>
        <n v="355.1"/>
        <n v="1883.55"/>
        <n v="82.32000000000001"/>
        <n v="566.53"/>
        <n v="161.70000000000002"/>
        <n v="2216.4500000000003"/>
        <n v="252.32"/>
        <n v="1486.9399999999998"/>
        <n v="344.98"/>
        <n v="2345.48"/>
        <n v="500.0"/>
        <n v="234.0"/>
        <n v="241.38"/>
        <n v="763.0200000000001"/>
        <n v="851.9599999999999"/>
        <n v="2569.38"/>
        <n v="42.36"/>
        <n v="25.5"/>
        <n v="445.56"/>
        <n v="726.88"/>
        <n v="1155.09"/>
        <n v="2595.88"/>
        <n v="351.78000000000003"/>
        <n v="515.6899999999999"/>
        <n v="1391.6"/>
        <n v="1307.8799999999999"/>
        <n v="1299.6999999999998"/>
        <n v="244.53"/>
        <n v="706.23"/>
        <n v="931.4100000000001"/>
        <n v="3971.2"/>
        <n v="1139.55"/>
        <n v="57.39999999999999"/>
        <n v="921.69"/>
        <n v="1580.32"/>
        <n v="395.5"/>
        <n v="391.44"/>
        <n v="878.5"/>
        <n v="1760.1799999999998"/>
        <n v="515.25"/>
        <n v="1694.9399999999998"/>
        <n v="2014.8000000000002"/>
        <n v="3240.8300000000004"/>
        <n v="967.22"/>
        <n v="1105.0"/>
        <n v="2534.0"/>
        <n v="1212.64"/>
        <n v="1505.37"/>
        <n v="560.24"/>
        <n v="278.19"/>
        <n v="249.63000000000002"/>
        <n v="1916.75"/>
        <n v="998.28"/>
        <n v="505.4"/>
        <n v="35.699999999999996"/>
        <n v="911.04"/>
        <n v="1042.2"/>
        <n v="80.08"/>
        <n v="134.75"/>
        <n v="403.44"/>
        <n v="902.8"/>
        <n v="2011.2199999999998"/>
        <n v="88.2"/>
        <n v="138.04000000000002"/>
        <n v="243.35999999999999"/>
        <n v="1491.1200000000001"/>
        <n v="4156.7"/>
        <n v="915.7399999999999"/>
        <n v="1346.22"/>
        <n v="647.15"/>
        <n v="38.199999999999996"/>
        <n v="493.12"/>
        <n v="10.16"/>
        <n v="41.42"/>
        <n v="286.77000000000004"/>
        <n v="606.1"/>
        <n v="486.92"/>
        <n v="685.3000000000001"/>
        <n v="1025.46"/>
        <n v="1032.3"/>
        <n v="13.97"/>
        <n v="233.10000000000002"/>
        <n v="353.6"/>
        <n v="300.3"/>
        <n v="173.19"/>
        <n v="37.38"/>
        <n v="2246.88"/>
        <n v="49.61"/>
        <n v="4039.2000000000003"/>
        <n v="54.36"/>
        <n v="2205.94"/>
        <n v="147.58"/>
        <n v="1066.0"/>
        <n v="42.0"/>
        <n v="404.25"/>
        <n v="113.22"/>
        <n v="10.6"/>
        <n v="900.13"/>
        <n v="1141.25"/>
        <n v="526.3499999999999"/>
        <n v="791.24"/>
        <n v="1436.46"/>
        <n v="187.86"/>
        <n v="339.47999999999996"/>
        <n v="1173.42"/>
        <n v="388.04"/>
        <n v="46.44"/>
        <n v="339.15"/>
        <n v="45.75"/>
        <n v="889.8499999999999"/>
        <n v="750.51"/>
        <n v="49.019999999999996"/>
        <n v="813.05"/>
        <n v="770.64"/>
        <n v="413.14"/>
        <n v="1978.9199999999998"/>
        <n v="372.59999999999997"/>
        <n v="145.14"/>
        <n v="607.88"/>
        <n v="349.46"/>
        <n v="219.7"/>
        <n v="426.7"/>
        <n v="513.76"/>
        <n v="16.35"/>
        <n v="936.73"/>
        <n v="394.12"/>
        <n v="437.5"/>
        <n v="915.5300000000001"/>
        <n v="188.24999999999997"/>
        <n v="6.949999999999999"/>
        <n v="831.34"/>
        <n v="1280.6399999999999"/>
        <n v="1202.24"/>
        <n v="3134.64"/>
        <n v="1063.4"/>
        <n v="1252.04"/>
        <n v="53.519999999999996"/>
        <n v="77.52"/>
        <n v="177.83999999999997"/>
        <n v="55.95"/>
        <n v="142.89000000000001"/>
        <n v="756.0"/>
        <n v="316.16"/>
        <n v="560.64"/>
        <n v="80.24"/>
        <n v="361.05"/>
        <n v="3.48"/>
        <n v="11.549999999999999"/>
        <n v="3014.6400000000003"/>
        <n v="344.52000000000004"/>
        <n v="2178.8"/>
        <n v="600.0600000000001"/>
        <n v="508.08"/>
        <n v="1986.61"/>
        <n v="77.39999999999999"/>
        <n v="10.34"/>
        <n v="313.04"/>
        <n v="240.48"/>
        <n v="3770.34"/>
        <n v="977.8499999999999"/>
        <n v="131.04"/>
        <n v="1783.0400000000002"/>
        <n v="1618.3200000000002"/>
        <n v="2694.12"/>
        <n v="168.0"/>
        <n v="668.78"/>
        <n v="192.36"/>
        <n v="686.25"/>
        <n v="1191.75"/>
        <n v="84.15"/>
        <n v="484.71999999999997"/>
        <n v="878.4"/>
        <n v="1065.6000000000001"/>
        <n v="154.0"/>
        <n v="1267.3"/>
        <n v="1405.92"/>
        <n v="219.87"/>
        <n v="1335.48"/>
        <n v="32.76"/>
        <n v="2128.9"/>
        <n v="3219.3599999999997"/>
        <n v="3192.5499999999997"/>
        <n v="11.77"/>
        <n v="3201.6"/>
        <n v="744.0"/>
        <n v="365.7"/>
        <n v="518.32"/>
        <n v="340.40000000000003"/>
        <n v="1106.6399999999999"/>
        <n v="990.25"/>
        <n v="128.03"/>
        <n v="12.18"/>
        <n v="993.3299999999999"/>
        <n v="775.44"/>
        <n v="2402.7799999999997"/>
        <n v="655.6"/>
        <n v="3334.87"/>
        <n v="2.9"/>
        <n v="1956.93"/>
        <n v="2663.65"/>
        <n v="2516.4300000000003"/>
        <n v="3917.5"/>
        <n v="3874.3999999999996"/>
        <n v="253.05"/>
        <n v="3383.08"/>
        <n v="1076.3"/>
        <n v="815.04"/>
        <n v="5086.4"/>
        <n v="336.00000000000006"/>
        <n v="5.6499999999999995"/>
        <n v="132.75"/>
        <n v="549.1800000000001"/>
        <n v="599.9399999999999"/>
        <n v="205.02"/>
        <n v="232.56"/>
        <n v="17.29"/>
        <n v="27.150000000000002"/>
        <n v="9.78"/>
        <n v="6433.34"/>
        <n v="96.72"/>
        <n v="593.25"/>
        <n v="96.39"/>
        <n v="3.32"/>
        <n v="35.0"/>
        <n v="46.81"/>
        <n v="1559.58"/>
        <n v="122.0"/>
        <n v="314.64"/>
        <n v="95.58000000000001"/>
        <n v="1003.5899999999999"/>
        <n v="1397.55"/>
        <n v="2525.3999999999996"/>
        <n v="3112.3999999999996"/>
        <n v="65.07000000000001"/>
        <n v="712.5"/>
        <n v="71.92"/>
        <n v="26.53"/>
        <n v="397.43999999999994"/>
        <n v="3.2"/>
        <n v="813.1200000000001"/>
        <n v="336.3"/>
        <n v="1640.45"/>
        <n v="1328.25"/>
        <n v="364.56"/>
        <n v="979.09"/>
        <n v="1556.6000000000001"/>
        <n v="693.12"/>
        <n v="3673.93"/>
        <n v="248.4"/>
        <n v="320.12"/>
        <n v="236.25"/>
        <n v="796.08"/>
        <n v="1292.83"/>
        <n v="100.80000000000001"/>
        <n v="910.35"/>
        <n v="329.28"/>
        <n v="4967.31"/>
        <n v="254.60999999999999"/>
        <n v="314.82"/>
        <n v="12877.41"/>
        <n v="2865.24"/>
        <n v="1796.9399999999998"/>
        <n v="567.24"/>
        <n v="381.79999999999995"/>
        <n v="430.13999999999993"/>
        <n v="327.06"/>
        <n v="927.48"/>
        <n v="269.09999999999997"/>
        <n v="131.58"/>
        <n v="3421.94"/>
        <n v="356.41999999999996"/>
        <n v="1510.96"/>
        <n v="79.8"/>
        <n v="2425.35"/>
        <n v="4245.6"/>
        <n v="9.5"/>
        <n v="3449.5499999999997"/>
        <n v="16.43"/>
        <n v="26.5"/>
        <n v="56.32"/>
        <n v="1071.33"/>
        <n v="1264.8799999999999"/>
        <n v="16.48"/>
        <n v="703.0"/>
        <n v="35.49"/>
        <n v="686.7"/>
        <n v="48.78"/>
        <n v="484.5"/>
        <n v="585.75"/>
        <n v="2779.5"/>
        <n v="962.88"/>
        <n v="324.71999999999997"/>
        <n v="403.82"/>
        <n v="762.0"/>
        <n v="293.93"/>
        <n v="86.24"/>
        <n v="283.28999999999996"/>
        <n v="1644.24"/>
        <n v="557.4599999999999"/>
        <n v="3484.68"/>
        <n v="273.6"/>
        <n v="29.379999999999995"/>
        <n v="366.11999999999995"/>
        <n v="1897.5"/>
        <n v="243.84"/>
        <n v="299.20000000000005"/>
        <n v="14938.45"/>
        <n v="128.74"/>
        <n v="957.9000000000001"/>
        <n v="135.20000000000002"/>
        <n v="273.0"/>
        <n v="430.49999999999994"/>
        <n v="1323.27"/>
        <n v="1584.0000000000002"/>
        <n v="1204.35"/>
        <n v="1108.56"/>
        <n v="461.89000000000004"/>
        <n v="242.1"/>
        <n v="796.26"/>
        <n v="197.78"/>
        <n v="257.55"/>
        <n v="1452.99"/>
        <n v="19.53"/>
        <n v="937.4399999999999"/>
        <n v="316.71000000000004"/>
        <n v="51.24999999999999"/>
        <n v="225.6"/>
        <n v="2178.75"/>
        <n v="1312.98"/>
        <n v="1813.0"/>
        <n v="366.52"/>
        <n v="317.4"/>
        <n v="41.31"/>
        <n v="708.4"/>
        <n v="415.00000000000006"/>
        <n v="66.98"/>
        <n v="766.3"/>
        <n v="894.9599999999999"/>
        <n v="2538.9700000000003"/>
        <n v="38.080000000000005"/>
        <n v="1984.68"/>
        <n v="739.1700000000001"/>
        <n v="1154.97"/>
        <n v="356.40000000000003"/>
        <n v="502.73999999999995"/>
        <n v="204.0"/>
        <n v="1090.68"/>
        <n v="1456.84"/>
        <n v="172.0"/>
        <n v="218.79"/>
        <n v="360.99"/>
        <n v="376.96999999999997"/>
        <n v="394.45000000000005"/>
        <n v="257.15000000000003"/>
        <n v="329.94"/>
        <n v="2765.07"/>
        <n v="2028.6000000000001"/>
        <n v="623.2099999999999"/>
        <n v="2472.3"/>
        <n v="114.67999999999999"/>
        <n v="1313.6499999999999"/>
        <n v="741.81"/>
        <n v="776.0200000000001"/>
        <n v="535.26"/>
        <n v="67.14"/>
        <n v="1523.24"/>
        <n v="419.16999999999996"/>
        <n v="660.0600000000001"/>
        <n v="1016.3699999999999"/>
        <n v="680.34"/>
        <n v="6552.209999999999"/>
        <n v="214.0"/>
        <n v="4347.54"/>
        <n v="100.94"/>
        <n v="217.8"/>
        <n v="955.46"/>
        <n v="160.45999999999998"/>
        <n v="1069.6399999999999"/>
        <n v="299.62"/>
        <n v="187.22"/>
        <n v="281.61"/>
        <n v="100.76"/>
        <n v="1403.6"/>
        <n v="1219.23"/>
        <n v="408.87"/>
        <n v="113.27000000000001"/>
        <n v="222.39999999999998"/>
        <n v="318.61"/>
        <n v="590.24"/>
        <n v="1116.06"/>
        <n v="259.76"/>
        <n v="1425.6000000000001"/>
        <n v="3735.0000000000005"/>
        <n v="331.28"/>
        <n v="602.5799999999999"/>
        <n v="53.72"/>
        <n v="87.36"/>
        <n v="432.53999999999996"/>
        <n v="814.3199999999999"/>
        <n v="2131.92"/>
        <n v="62.64"/>
        <n v="31.02"/>
        <n v="879.12"/>
        <n v="1348.49"/>
        <n v="435.42"/>
        <n v="193.23"/>
        <n v="2838.7999999999997"/>
        <n v="773.81"/>
        <n v="1551.76"/>
        <n v="1133.6000000000001"/>
        <n v="767.1999999999999"/>
        <n v="1135.05"/>
        <n v="627.4399999999999"/>
        <n v="1540.56"/>
        <n v="150.70000000000002"/>
        <n v="1476.26"/>
        <n v="193.17000000000002"/>
        <n v="1115.85"/>
        <n v="1063.9499999999998"/>
        <n v="53.5"/>
        <n v="174.0"/>
        <n v="1365.1200000000001"/>
        <n v="756.6"/>
        <n v="1899.52"/>
        <n v="474.54"/>
        <n v="1604.68"/>
        <n v="1490.1699999999998"/>
        <n v="1442.8799999999999"/>
        <n v="24.5"/>
        <n v="176.4"/>
        <n v="111.55"/>
        <n v="569.1"/>
        <n v="2056.9"/>
        <n v="17.82"/>
        <n v="766.1600000000001"/>
        <n v="81.62"/>
        <n v="153.12"/>
        <n v="748.47"/>
        <n v="2044.6999999999998"/>
        <n v="1649.97"/>
        <n v="28.62"/>
        <n v="36.57"/>
        <n v="1195.35"/>
        <n v="179.49"/>
        <n v="159.75"/>
        <n v="231.84"/>
        <n v="577.92"/>
        <n v="161.84"/>
        <n v="492.03000000000003"/>
        <n v="1084.1599999999999"/>
        <n v="1301.4399999999998"/>
        <n v="178.34"/>
        <n v="239.25"/>
        <n v="374.53"/>
        <n v="47.36"/>
        <n v="517.08"/>
        <n v="306.9"/>
        <n v="763.73"/>
        <n v="523.6"/>
        <n v="517.5899999999999"/>
        <n v="1034.88"/>
        <n v="970.06"/>
        <n v="534.47"/>
        <n v="90.17999999999999"/>
        <n v="692.6400000000001"/>
        <n v="1287.92"/>
        <n v="1176.76"/>
        <n v="169.05"/>
        <n v="2246.04"/>
        <n v="750.72"/>
        <n v="548.0"/>
        <n v="1072.19"/>
        <n v="1328.04"/>
        <n v="2414.88"/>
        <n v="928.8000000000001"/>
        <n v="312.66"/>
        <n v="1104.48"/>
        <n v="697.51"/>
        <n v="646.1"/>
        <n v="669.8"/>
        <n v="397.5"/>
        <n v="66.04"/>
        <n v="171.14"/>
        <n v="101.91"/>
        <n v="496.32"/>
        <n v="192.76"/>
        <n v="50.46"/>
        <n v="51.3"/>
        <n v="150.52"/>
        <n v="54.15"/>
        <n v="1399.5600000000002"/>
        <n v="1413.6299999999999"/>
        <n v="30.250000000000004"/>
        <n v="503.43999999999994"/>
        <n v="2391.68"/>
        <n v="1261.26"/>
        <n v="67.0"/>
        <n v="51.45"/>
        <n v="2210.0"/>
        <n v="1091.43"/>
        <n v="3027.29"/>
        <n v="149.82"/>
        <n v="254.8"/>
        <n v="32.13"/>
        <n v="24.48"/>
        <n v="688.6999999999999"/>
        <n v="572.13"/>
        <n v="830.1800000000001"/>
        <n v="1592.0"/>
        <n v="519.48"/>
        <n v="795.16"/>
        <n v="1199.06"/>
        <n v="310.44"/>
        <n v="848.16"/>
        <n v="1888.3899999999999"/>
        <n v="481.61999999999995"/>
        <n v="253.97000000000003"/>
        <n v="988.8"/>
        <n v="7.45"/>
        <n v="865.05"/>
        <n v="401.79999999999995"/>
        <n v="369.6"/>
        <n v="1360.59"/>
        <n v="177.32999999999998"/>
        <n v="311.03999999999996"/>
        <n v="3954.97"/>
        <n v="381.6"/>
        <n v="3058.06"/>
        <n v="174.66"/>
        <n v="2812.2000000000003"/>
        <n v="517.44"/>
        <n v="1171.35"/>
        <n v="2861.34"/>
        <n v="94.16000000000001"/>
        <n v="717.57"/>
        <n v="5520.66"/>
        <n v="464.64"/>
        <n v="412.5"/>
        <n v="585.0"/>
        <n v="3.99"/>
        <n v="745.36"/>
        <n v="319.79999999999995"/>
        <n v="3294.12"/>
        <n v="351.75"/>
        <n v="3401.19"/>
        <n v="672.84"/>
        <n v="232.96000000000004"/>
        <n v="1814.4199999999998"/>
        <n v="418.56"/>
        <n v="408.07"/>
        <n v="272.69"/>
        <n v="533.6"/>
        <n v="1985.9199999999998"/>
        <n v="7050.0"/>
        <n v="3466.26"/>
        <n v="362.59999999999997"/>
        <n v="619.0799999999999"/>
        <n v="626.78"/>
        <n v="509.34000000000003"/>
        <n v="172.12"/>
        <n v="6381.240000000001"/>
        <n v="2285.51"/>
        <n v="3853.92"/>
        <n v="1320.0"/>
        <n v="244.14000000000001"/>
        <n v="2474.3"/>
        <n v="267.38"/>
        <n v="2348.48"/>
        <n v="19.7"/>
        <n v="1741.6"/>
        <n v="424.08"/>
        <n v="643.5"/>
        <n v="151.35999999999999"/>
        <n v="2022.16"/>
        <n v="2150.0"/>
        <n v="656.6999999999999"/>
        <n v="1848.1100000000001"/>
        <n v="1679.0400000000002"/>
        <n v="521.24"/>
        <n v="260.42"/>
        <n v="1846.44"/>
        <n v="588.24"/>
        <n v="439.66"/>
        <n v="625.58"/>
        <n v="98.01"/>
        <n v="3346.95"/>
        <n v="373.46"/>
        <n v="900.34"/>
        <n v="1527.6799999999998"/>
        <n v="13.799999999999999"/>
        <n v="2739.39"/>
        <n v="4634.69"/>
        <n v="2175.7999999999997"/>
        <n v="3300.4"/>
        <n v="54.400000000000006"/>
        <n v="37.6"/>
        <n v="170.19"/>
        <n v="671.84"/>
        <n v="1342.48"/>
        <n v="1203.42"/>
        <n v="1517.65"/>
        <n v="400.2"/>
        <n v="856.36"/>
        <n v="717.12"/>
        <n v="150.5"/>
        <n v="128.96"/>
        <n v="226.24"/>
        <n v="1248.99"/>
        <n v="44.199999999999996"/>
        <n v="1046.25"/>
        <n v="399.84"/>
        <n v="1822.8000000000002"/>
        <n v="78.0"/>
        <n v="240.7"/>
        <n v="274.38"/>
        <n v="659.87"/>
        <n v="68.64"/>
        <n v="1813.0199999999998"/>
        <n v="406.97999999999996"/>
        <n v="275.12"/>
        <n v="2.33"/>
        <n v="218.95999999999998"/>
        <n v="71.3"/>
        <n v="713.9200000000001"/>
        <n v="860.9999999999999"/>
        <n v="83.07"/>
        <n v="600.6"/>
        <n v="5458.08"/>
        <n v="1538.5"/>
        <n v="1855.1399999999999"/>
        <n v="760.18"/>
        <n v="72.85000000000001"/>
        <n v="56.68000000000001"/>
        <n v="1620.8100000000002"/>
        <n v="1011.92"/>
        <n v="112.89"/>
        <n v="50.0"/>
        <n v="434.7"/>
        <n v="3534.5699999999997"/>
        <n v="261.82"/>
        <n v="138.47"/>
        <n v="115.99999999999999"/>
        <n v="1271.1999999999998"/>
        <n v="4383.6"/>
        <n v="1020.5300000000001"/>
        <n v="938.49"/>
        <n v="60.31999999999999"/>
        <n v="1904.8300000000002"/>
        <n v="703.89"/>
        <n v="2921.0"/>
        <n v="265.71999999999997"/>
        <n v="135.52"/>
        <n v="248.63000000000002"/>
        <n v="1024.8500000000001"/>
        <n v="167.79"/>
        <n v="306.21999999999997"/>
        <n v="1942.56"/>
        <n v="66.6"/>
        <n v="943.2"/>
        <n v="3493.3799999999997"/>
        <n v="3331.6499999999996"/>
        <n v="2945.07"/>
        <n v="2485.2000000000003"/>
        <n v="535.5"/>
        <n v="704.46"/>
        <n v="3892.07"/>
        <n v="416.96999999999997"/>
        <n v="717.7499999999999"/>
        <n v="407.27000000000004"/>
        <n v="66.56"/>
        <n v="3260.73"/>
        <n v="2300.1"/>
        <n v="2242.5"/>
        <n v="71.10000000000001"/>
        <n v="325.44"/>
        <n v="278.46"/>
        <n v="1336.3"/>
        <n v="358.8"/>
        <n v="2068.2400000000002"/>
        <n v="1713.9"/>
        <n v="525.46"/>
        <n v="2537.6400000000003"/>
        <n v="545.28"/>
        <n v="2305.2"/>
        <n v="991.89"/>
        <n v="2400.75"/>
        <n v="4555.98"/>
        <n v="1348.74"/>
        <n v="3636.2999999999997"/>
        <n v="1414.8"/>
        <n v="149.51999999999998"/>
        <n v="2055.42"/>
        <n v="176.64"/>
        <n v="2156.5"/>
        <n v="138.45000000000002"/>
        <n v="1708.92"/>
        <n v="1237.14"/>
        <n v="3552.5299999999997"/>
        <n v="115.91999999999999"/>
        <n v="994.59"/>
        <n v="1518.66"/>
        <n v="1.3"/>
        <n v="2.72"/>
        <n v="211.67000000000002"/>
        <n v="1673.8400000000001"/>
        <n v="34.300000000000004"/>
        <n v="140.22"/>
        <n v="58.08"/>
        <n v="3153.6"/>
        <n v="715.8100000000001"/>
        <n v="1835.4599999999998"/>
        <n v="1583.3"/>
        <n v="4519.84"/>
        <n v="260.26"/>
        <n v="3066.3599999999997"/>
        <n v="39.480000000000004"/>
        <n v="673.32"/>
        <n v="4792.08"/>
        <n v="3699.7200000000003"/>
        <n v="2487.1"/>
        <n v="59.28"/>
        <n v="3447.2"/>
        <n v="119.52"/>
        <n v="126.48"/>
        <n v="834.5200000000001"/>
        <n v="332.5"/>
        <n v="858.48"/>
        <n v="1425.52"/>
        <n v="314.45"/>
        <n v="266.28"/>
        <n v="339.12"/>
        <n v="2264.32"/>
        <n v="317.1"/>
        <n v="438.75"/>
        <n v="3322.8199999999997"/>
        <n v="4530.5"/>
        <n v="6698.64"/>
        <n v="839.68"/>
        <n v="159.96"/>
        <n v="3208.53"/>
        <n v="864.3299999999999"/>
        <n v="156.56"/>
        <n v="1239.84"/>
        <n v="1343.68"/>
        <n v="372.40000000000003"/>
        <n v="328.86"/>
        <n v="723.52"/>
        <n v="135.96"/>
        <n v="107.92"/>
        <n v="1745.7999999999997"/>
        <n v="272.24"/>
        <n v="286.16"/>
        <n v="5150.570000000001"/>
        <n v="151.79999999999998"/>
        <n v="1350.24"/>
        <n v="1489.28"/>
        <n v="1646.72"/>
        <n v="361.77000000000004"/>
        <n v="94.08000000000001"/>
        <n v="187.05"/>
        <n v="8.469999999999999"/>
        <n v="556.92"/>
        <n v="1337.7"/>
        <n v="52.9"/>
        <n v="131.56"/>
        <n v="423.36"/>
        <n v="34.01"/>
        <n v="148.04999999999998"/>
        <n v="530.5500000000001"/>
        <n v="402.28"/>
        <n v="188.10000000000002"/>
        <n v="26.03"/>
        <n v="195.58"/>
        <n v="944.7"/>
        <n v="278.1"/>
        <n v="868.6"/>
        <n v="491.03999999999996"/>
        <n v="14.499999999999998"/>
        <n v="256.23"/>
        <n v="221.83999999999997"/>
        <n v="37.5"/>
        <n v="921.3000000000001"/>
        <n v="459.59999999999997"/>
        <n v="724.3499999999999"/>
        <n v="210.86999999999998"/>
        <n v="799.2"/>
        <n v="333.90000000000003"/>
        <n v="298.12"/>
        <n v="669.9799999999999"/>
        <n v="178.16"/>
        <n v="446.25"/>
        <n v="58.89"/>
        <n v="1.0"/>
        <n v="117.41999999999999"/>
        <n v="124.0"/>
        <n v="28.419999999999998"/>
        <n v="139.2"/>
        <n v="97.44"/>
        <n v="23.8"/>
        <n v="33.25"/>
        <n v="3924.0000000000005"/>
        <n v="631.0500000000001"/>
        <n v="102.69"/>
        <n v="54.120000000000005"/>
        <n v="25.65"/>
        <n v="261.29999999999995"/>
        <n v="413.74"/>
        <n v="228.33"/>
        <n v="475.96"/>
        <n v="35.34"/>
        <n v="157.7"/>
        <n v="514.42"/>
        <n v="144.43"/>
        <n v="354.64"/>
        <n v="51.84"/>
        <n v="393.29999999999995"/>
        <n v="47.739999999999995"/>
        <n v="157.29999999999998"/>
        <n v="526.24"/>
        <n v="142.56"/>
        <n v="1464.05"/>
        <n v="952.3199999999999"/>
        <n v="83.26"/>
        <n v="731.1700000000001"/>
        <n v="553.84"/>
        <n v="312.08"/>
        <n v="32.64"/>
        <n v="687.0"/>
        <n v="677.68"/>
        <n v="476.28000000000003"/>
        <n v="931.84"/>
        <n v="83.16"/>
        <n v="209.88"/>
        <n v="145.8"/>
        <n v="638.0"/>
        <n v="85.5"/>
        <n v="1333.15"/>
        <n v="187.92000000000002"/>
        <n v="19.580000000000002"/>
        <n v="293.88"/>
        <n v="1092.0"/>
        <n v="28.900000000000002"/>
        <n v="971.12"/>
        <n v="495.52"/>
        <n v="849.0"/>
        <n v="480.90000000000003"/>
        <n v="232.32"/>
        <n v="137.02"/>
        <n v="332.76"/>
        <n v="508.06"/>
        <n v="75.24"/>
        <n v="455.8"/>
        <n v="1953.91"/>
        <n v="727.56"/>
        <n v="635.3599999999999"/>
        <n v="231.82"/>
        <n v="316.05"/>
        <n v="145.29"/>
        <n v="615.96"/>
        <n v="340.29"/>
        <n v="816.4799999999999"/>
        <n v="1028.16"/>
        <n v="331.96"/>
        <n v="241.74"/>
        <n v="126.0"/>
        <n v="1058.75"/>
        <n v="1889.44"/>
        <n v="106.64"/>
        <n v="1068.78"/>
        <n v="387.84"/>
        <n v="62.730000000000004"/>
        <n v="216.20000000000002"/>
        <n v="638.12"/>
        <n v="191.1"/>
        <n v="451.20000000000005"/>
        <n v="88.83"/>
        <n v="309.6"/>
        <n v="517.28"/>
        <n v="509.44"/>
        <n v="349.52000000000004"/>
        <n v="671.0"/>
        <n v="7.5"/>
        <n v="167.61"/>
        <n v="408.2"/>
        <n v="229.46"/>
        <n v="126.44000000000001"/>
        <n v="106.58"/>
        <n v="159.6"/>
        <n v="520.38"/>
        <n v="868.23"/>
        <n v="306.74"/>
        <n v="92.42999999999999"/>
        <n v="217.5"/>
        <n v="1476.59"/>
        <n v="2275.2"/>
        <n v="101.64"/>
        <n v="169.51999999999998"/>
        <n v="81.78"/>
        <n v="284.48"/>
        <n v="90.16000000000001"/>
        <n v="37.800000000000004"/>
        <n v="392.34999999999997"/>
        <n v="444.96000000000004"/>
        <n v="155.70000000000002"/>
        <n v="67.75999999999999"/>
        <n v="3.1500000000000004"/>
        <n v="700.0000000000001"/>
        <n v="339.09000000000003"/>
        <n v="7.86"/>
        <n v="422.45"/>
        <n v="556.32"/>
        <n v="275.21999999999997"/>
        <n v="720.29"/>
        <n v="1023.3900000000001"/>
        <n v="1086.1100000000001"/>
        <n v="1983.3"/>
        <n v="258.39000000000004"/>
        <n v="79.98"/>
        <n v="117.18"/>
        <n v="910.1999999999999"/>
        <n v="191.09"/>
        <n v="78.78"/>
        <n v="182.28"/>
        <n v="858.52"/>
        <n v="419.22"/>
        <n v="686.0"/>
        <n v="241.9"/>
        <n v="201.48"/>
        <n v="1549.3999999999999"/>
        <n v="1655.19"/>
        <n v="1590.3"/>
        <n v="141.51999999999998"/>
        <n v="1782.15"/>
        <n v="1104.43"/>
        <n v="479.36"/>
        <n v="1621.74"/>
        <n v="1815.6000000000001"/>
        <n v="404.06"/>
        <n v="919.8"/>
        <n v="48.0"/>
        <n v="1169.0500000000002"/>
        <n v="1280.1599999999999"/>
        <n v="8337.6"/>
        <n v="12159.41"/>
        <n v="2261.64"/>
        <n v="159.25"/>
        <n v="1805.23"/>
        <n v="1017.5500000000001"/>
        <n v="408.6"/>
        <n v="207.75"/>
        <n v="442.86"/>
        <n v="2194.52"/>
        <n v="3222.62"/>
        <n v="2966.45"/>
        <n v="793.4399999999999"/>
        <n v="176.96"/>
        <n v="846.12"/>
        <n v="594.08"/>
        <n v="531.36"/>
        <n v="946.83"/>
        <n v="323.96"/>
        <n v="1.17"/>
        <n v="554.17"/>
        <n v="523.09"/>
        <n v="33.6"/>
        <n v="106.68"/>
        <n v="210.75"/>
        <n v="300.51"/>
        <n v="50.58"/>
        <n v="1373.97"/>
        <n v="61.18000000000001"/>
        <n v="946.22"/>
        <n v="547.84"/>
        <n v="98.8"/>
        <n v="183.33"/>
        <n v="764.4"/>
        <n v="32.230000000000004"/>
        <n v="623.22"/>
        <n v="328.90000000000003"/>
        <n v="349.65000000000003"/>
        <n v="959.3400000000001"/>
        <n v="787.1899999999999"/>
        <n v="6.4"/>
        <n v="3844.68"/>
        <n v="733.5"/>
        <n v="3605.24"/>
        <n v="1375.64"/>
        <n v="2663.28"/>
        <n v="260.91"/>
        <n v="1.7"/>
        <n v="9119.039999999999"/>
        <n v="1060.29"/>
        <n v="426.61999999999995"/>
        <n v="802.6600000000001"/>
        <n v="4183.09"/>
        <n v="177.64999999999998"/>
        <n v="859.0999999999999"/>
        <n v="1349.6399999999999"/>
        <n v="604.4399999999999"/>
        <n v="456.25"/>
        <n v="69.36"/>
        <n v="42.9"/>
        <n v="120.6"/>
        <n v="695.83"/>
        <n v="524.8"/>
        <n v="205.53"/>
        <n v="205.87"/>
        <n v="1749.6699999999998"/>
        <n v="65.7"/>
        <n v="2312.4"/>
        <n v="57.120000000000005"/>
        <n v="322.08000000000004"/>
        <n v="794.97"/>
        <n v="2586.5499999999997"/>
        <n v="1989.11"/>
        <n v="748.9200000000001"/>
        <n v="2773.98"/>
        <n v="735.84"/>
        <n v="1494.6000000000001"/>
        <n v="2696.77"/>
        <n v="478.64"/>
        <n v="4.64"/>
        <n v="1431.78"/>
        <n v="371.84000000000003"/>
        <n v="539.28"/>
        <n v="1333.8000000000002"/>
        <n v="29.45"/>
        <n v="14839.95"/>
        <n v="226.29999999999998"/>
        <n v="106.5"/>
        <n v="36.72"/>
        <n v="643.1"/>
        <n v="1742.91"/>
        <n v="1327.3600000000001"/>
        <n v="436.39"/>
        <n v="35.28"/>
        <n v="1246.4199999999998"/>
        <n v="278.3"/>
        <n v="1523.57"/>
        <n v="272.25"/>
        <n v="386.88"/>
        <n v="186.2"/>
        <n v="858.15"/>
        <n v="459.04"/>
        <n v="146.7"/>
        <n v="881.6"/>
        <n v="466.55"/>
        <n v="714.0"/>
        <n v="1038.3999999999999"/>
        <n v="711.18"/>
        <n v="306.0"/>
        <n v="1185.82"/>
        <n v="273.52"/>
        <n v="57.46"/>
        <n v="1270.49"/>
        <n v="1273.8700000000001"/>
        <n v="704.73"/>
        <n v="586.95"/>
        <n v="1237.16"/>
        <n v="347.7"/>
        <n v="885.6"/>
        <n v="207.36"/>
        <n v="268.27"/>
        <n v="9.1"/>
        <n v="573.0"/>
        <n v="841.6500000000001"/>
        <n v="917.28"/>
        <n v="1583.46"/>
        <n v="376.65000000000003"/>
        <n v="48.84"/>
        <n v="276.08"/>
        <n v="1589.25"/>
        <n v="1337.43"/>
        <n v="376.98"/>
        <n v="2084.85"/>
        <n v="162.14999999999998"/>
        <n v="480.7"/>
        <n v="2615.04"/>
        <n v="116.53"/>
        <n v="116.48"/>
        <n v="422.0"/>
        <n v="1251.32"/>
        <n v="19.47"/>
        <n v="583.7800000000001"/>
        <n v="291.90000000000003"/>
        <n v="3465.77"/>
        <n v="11.1"/>
        <n v="197.64"/>
        <n v="392.08"/>
        <n v="463.76"/>
        <n v="11.38"/>
        <n v="151.65"/>
        <n v="123.75"/>
        <n v="460.28"/>
        <n v="1436.7299999999998"/>
        <n v="538.62"/>
        <n v="3070.71"/>
        <n v="675.1999999999999"/>
        <n v="4590.0"/>
        <n v="3294.2999999999997"/>
        <n v="2877.93"/>
        <n v="748.0"/>
        <n v="188.68"/>
        <n v="675.9"/>
        <n v="36.78"/>
        <n v="1261.8700000000001"/>
        <n v="49.0"/>
        <n v="5687.0"/>
        <n v="1106.7"/>
        <n v="819.25"/>
        <n v="871.32"/>
        <n v="199.2"/>
        <n v="525.3"/>
        <n v="251.33999999999997"/>
        <n v="454.41"/>
        <n v="507.3"/>
        <n v="295.26000000000005"/>
        <n v="1027.58"/>
        <n v="208.04999999999998"/>
        <n v="339.3"/>
        <n v="1576.44"/>
        <n v="89.64"/>
        <n v="7.290000000000001"/>
        <n v="369.24"/>
        <n v="870.42"/>
        <n v="54.28"/>
        <n v="2003.36"/>
        <n v="498.15"/>
        <n v="629.75"/>
        <n v="644.78"/>
        <n v="496.79999999999995"/>
        <n v="187.10999999999999"/>
        <n v="1542.4"/>
        <n v="2908.62"/>
        <n v="3400.7999999999997"/>
        <n v="218.46"/>
        <n v="1022.3500000000001"/>
        <n v="2775.87"/>
        <n v="4194.3"/>
        <n v="2231.7000000000003"/>
        <n v="1176.24"/>
        <n v="1396.08"/>
        <n v="255.6"/>
        <n v="2470.6"/>
        <n v="250.09"/>
        <n v="1014.39"/>
        <n v="1677.27"/>
        <n v="263.31"/>
        <n v="193.83"/>
        <n v="7.6"/>
        <n v="291.65"/>
        <n v="47.04"/>
        <n v="68.39999999999999"/>
        <n v="38.61"/>
        <n v="921.2"/>
        <n v="379.96000000000004"/>
        <n v="3379.0"/>
        <n v="524.37"/>
        <n v="1169.73"/>
        <n v="319.90000000000003"/>
        <n v="1863.49"/>
        <n v="710.02"/>
        <n v="208.56"/>
        <n v="7.0"/>
        <n v="68.15"/>
        <n v="125.46000000000001"/>
        <n v="5.64"/>
        <n v="1237.35"/>
        <n v="738.36"/>
        <n v="161.0"/>
        <n v="3.11"/>
        <n v="159.79999999999998"/>
        <n v="309.51"/>
        <n v="75.82"/>
        <n v="4.7700000000000005"/>
        <n v="120.28"/>
        <n v="887.88"/>
        <n v="865.8100000000001"/>
        <n v="276.06"/>
        <n v="82.14999999999999"/>
        <n v="359.09999999999997"/>
        <n v="200.45999999999998"/>
        <n v="579.64"/>
        <n v="584.64"/>
        <n v="850.6800000000001"/>
        <n v="456.96000000000004"/>
        <n v="809.12"/>
        <n v="23.85"/>
        <n v="412.96"/>
        <n v="1788.56"/>
        <n v="562.59"/>
        <n v="298.98"/>
        <n v="878.85"/>
        <n v="416.64000000000004"/>
        <n v="241.67"/>
        <n v="1507.22"/>
        <n v="518.67"/>
        <n v="590.64"/>
        <n v="612.26"/>
        <n v="359.70000000000005"/>
        <n v="100.10000000000001"/>
        <n v="606.06"/>
        <n v="1242.92"/>
        <n v="451.2"/>
        <n v="1378.08"/>
        <n v="87.6"/>
        <n v="51.6"/>
        <n v="774.62"/>
        <n v="1156.1999999999998"/>
        <n v="143.37"/>
        <n v="708.84"/>
        <n v="285.75"/>
        <n v="174.79"/>
        <n v="58.67999999999999"/>
        <n v="316.09999999999997"/>
        <n v="10.4"/>
        <n v="36.4"/>
        <n v="8.45"/>
        <n v="440.1"/>
        <n v="225.09"/>
        <n v="1203.3600000000001"/>
        <n v="331.09999999999997"/>
        <n v="1084.6599999999999"/>
        <n v="1169.6299999999999"/>
        <n v="477.12000000000006"/>
        <n v="721.5"/>
        <n v="39.36"/>
        <n v="354.78"/>
        <n v="48.47"/>
        <n v="293.46000000000004"/>
        <n v="121.25999999999999"/>
        <n v="986.6999999999999"/>
        <n v="31.729999999999997"/>
        <n v="852.12"/>
        <n v="194.04"/>
        <n v="144.27"/>
        <n v="494.75999999999993"/>
        <n v="1542.42"/>
        <n v="301.0"/>
        <n v="575.11"/>
        <n v="1603.68"/>
        <n v="-19.56"/>
        <n v="6204.87"/>
        <n v="446.31"/>
        <n v="133.56"/>
        <n v="476.28"/>
        <n v="490.62"/>
        <n v="1456.7299999999998"/>
        <n v="291.04"/>
        <n v="408.96"/>
        <n v="113.85"/>
        <n v="1297.44"/>
        <n v="667.0"/>
        <n v="208.79999999999998"/>
        <n v="972.7199999999999"/>
        <n v="154.76"/>
        <n v="4.6000000000000005"/>
        <n v="5654.88"/>
        <n v="2961.0"/>
        <n v="3800.52"/>
        <n v="2964.24"/>
        <n v="6388.71"/>
        <n v="193.82999999999998"/>
        <n v="1070.26"/>
        <n v="365.75"/>
        <n v="5.01"/>
        <n v="719.52"/>
        <n v="389.7"/>
        <n v="553.32"/>
        <n v="778.4699999999999"/>
        <n v="1522.8"/>
        <n v="662.4"/>
        <n v="644.36"/>
        <n v="3827.8900000000003"/>
        <n v="614.8"/>
        <n v="20.700000000000003"/>
        <n v="8487.18"/>
        <n v="691.9"/>
        <n v="359.1"/>
        <n v="161.68"/>
        <n v="405.60999999999996"/>
        <n v="2617.4"/>
        <n v="470.75"/>
        <n v="839.84"/>
        <n v="417.62"/>
        <n v="1285.2"/>
        <n v="43.54"/>
        <n v="52.38"/>
        <n v="273.92"/>
        <n v="87.45"/>
        <n v="2475.96"/>
        <n v="256.48"/>
        <n v="204.29999999999998"/>
        <n v="516.24"/>
        <n v="1749.44"/>
        <n v="43.29"/>
        <n v="84.39"/>
        <n v="130.20000000000002"/>
        <n v="186.62"/>
        <n v="7493.49"/>
        <n v="52.02"/>
        <n v="496.0"/>
        <n v="1790.4"/>
        <n v="235.32000000000002"/>
        <n v="1092.96"/>
        <n v="1047.8"/>
        <n v="94.25"/>
        <n v="34.32"/>
        <n v="1651.55"/>
        <n v="3457.2000000000003"/>
        <n v="3227.06"/>
        <n v="518.7"/>
        <n v="57.599999999999994"/>
        <n v="118.11"/>
        <n v="1520.7"/>
        <n v="2446.08"/>
        <n v="3802.76"/>
        <n v="5700.95"/>
        <n v="1066.66"/>
        <n v="1509.2199999999998"/>
        <n v="1421.97"/>
        <n v="2974.4"/>
        <n v="1105.9499999999998"/>
        <n v="12489.4"/>
        <n v="10042.6"/>
        <n v="328.89"/>
        <n v="61.32"/>
        <n v="927.45"/>
        <n v="212.52"/>
        <n v="19.599999999999998"/>
        <n v="3446.38"/>
        <n v="198.94"/>
        <n v="5701.38"/>
        <n v="3837.24"/>
        <n v="7.44"/>
        <n v="4487.2"/>
        <n v="1127.0"/>
        <n v="4112.01"/>
        <n v="105.60000000000001"/>
        <n v="59.769999999999996"/>
        <n v="133.92000000000002"/>
        <n v="261.24"/>
        <n v="167.98"/>
        <n v="958.74"/>
        <n v="46.580000000000005"/>
        <n v="161.55"/>
        <n v="956.75"/>
        <n v="698.4"/>
        <n v="2332.23"/>
        <n v="56.28"/>
        <n v="1292.0"/>
        <n v="218.4"/>
        <n v="831.6"/>
        <n v="574.5600000000001"/>
        <n v="696.08"/>
        <n v="53.9"/>
        <n v="1445.8400000000001"/>
        <n v="1788.3999999999999"/>
        <n v="1465.75"/>
        <n v="522.0"/>
        <n v="87.0"/>
        <n v="3221.6800000000003"/>
        <n v="282.31"/>
        <n v="219.29999999999998"/>
        <n v="6.8"/>
        <n v="46.419999999999995"/>
        <n v="463.61"/>
        <n v="4170.400000000001"/>
        <n v="339.84"/>
        <n v="908.17"/>
        <n v="82.32"/>
        <n v="780.6999999999999"/>
        <n v="1295.48"/>
        <n v="165.24"/>
        <n v="192.66"/>
        <n v="661.67"/>
        <n v="662.2"/>
        <n v="168.56"/>
        <n v="433.62"/>
        <n v="1548.42"/>
        <n v="2226.7799999999997"/>
        <n v="1948.86"/>
        <n v="1177.0"/>
        <n v="589.86"/>
        <n v="364.87"/>
        <n v="869.76"/>
        <n v="2207.52"/>
        <n v="26.52"/>
        <n v="8545.52"/>
        <n v="2064.12"/>
        <n v="151.57999999999998"/>
        <n v="43.68"/>
        <n v="225.54"/>
        <n v="143.95999999999998"/>
        <n v="46.8"/>
        <n v="82.68"/>
        <n v="476.76"/>
        <n v="609.84"/>
        <n v="9924.31"/>
        <n v="1844.04"/>
        <n v="2312.64"/>
        <n v="816.48"/>
        <n v="5287.5599999999995"/>
        <n v="3451.89"/>
        <n v="863.59"/>
        <n v="1170.56"/>
        <n v="328.5"/>
        <n v="5.62"/>
        <n v="146.39999999999998"/>
        <n v="222.88"/>
        <n v="444.59999999999997"/>
        <n v="1410.36"/>
        <n v="780.78"/>
        <n v="87.86"/>
        <n v="242.54000000000002"/>
        <n v="524.0"/>
        <n v="1028.58"/>
        <n v="711.95"/>
        <n v="975.26"/>
        <n v="145.2"/>
        <n v="240.35"/>
        <n v="376.27"/>
        <n v="38.400000000000006"/>
        <n v="1197.12"/>
        <n v="591.6"/>
        <n v="1288.56"/>
        <n v="749.0999999999999"/>
        <n v="41.36"/>
        <n v="420.24"/>
        <n v="178.5"/>
        <n v="186.66"/>
        <n v="334.5"/>
        <n v="1906.15"/>
        <n v="942.5"/>
        <n v="878.5699999999999"/>
        <n v="405.59999999999997"/>
        <n v="23.310000000000002"/>
        <n v="74.58"/>
        <n v="419.12"/>
        <n v="311.37"/>
        <n v="299.16"/>
        <n v="274.29"/>
        <n v="1576.75"/>
        <n v="58.24"/>
        <n v="90.8"/>
        <n v="140.89"/>
        <n v="502.20000000000005"/>
        <n v="971.1"/>
        <n v="426.53"/>
        <n v="254.72"/>
        <n v="169.6"/>
        <n v="214.20000000000002"/>
        <n v="259.20000000000005"/>
        <n v="457.8"/>
        <n v="351.36"/>
        <n v="10.0"/>
        <n v="782.0799999999999"/>
        <n v="373.12"/>
        <n v="189.52"/>
        <n v="167.64000000000001"/>
        <n v="265.43"/>
        <n v="305.9"/>
        <n v="247.52"/>
        <n v="538.46"/>
        <n v="636.3199999999999"/>
        <n v="285.58000000000004"/>
        <n v="521.1"/>
        <n v="208.75"/>
        <n v="626.94"/>
        <n v="548.34"/>
        <n v="76.26"/>
        <n v="110.24000000000001"/>
        <n v="21.14"/>
        <n v="203.06"/>
        <n v="232.70000000000002"/>
        <n v="732.24"/>
        <n v="291.4"/>
        <n v="38.43"/>
        <n v="161.88"/>
        <n v="146.25"/>
        <n v="381.0"/>
        <n v="1282.75"/>
        <n v="1437.1499999999999"/>
        <n v="270.09999999999997"/>
        <n v="182.21"/>
        <n v="335.28000000000003"/>
        <n v="759.5"/>
        <n v="607.55"/>
        <n v="42.56"/>
        <n v="99.11"/>
        <n v="108.28999999999999"/>
        <n v="297.85"/>
        <n v="291.0"/>
        <n v="1283.04"/>
        <n v="769.5600000000001"/>
        <n v="420.74"/>
        <n v="708.75"/>
        <n v="8.48"/>
        <n v="775.32"/>
        <n v="95.55"/>
        <n v="84.7"/>
        <n v="189.84"/>
        <n v="177.1"/>
        <n v="255.44"/>
        <n v="350.74"/>
        <n v="202.5"/>
        <n v="768.6899999999999"/>
        <n v="230.4"/>
        <n v="166.98"/>
        <n v="422.82000000000005"/>
        <n v="176.89000000000001"/>
        <n v="148.5"/>
        <n v="224.64000000000001"/>
        <n v="419.25"/>
        <n v="706.15"/>
        <n v="52.5"/>
        <n v="153.10999999999999"/>
        <n v="380.85999999999996"/>
        <n v="185.76"/>
        <n v="1001.8799999999999"/>
        <n v="628.25"/>
        <n v="400.05"/>
        <n v="11.52"/>
        <n v="965.77"/>
        <n v="704.76"/>
        <n v="215.0"/>
        <n v="1657.98"/>
        <n v="687.48"/>
        <n v="425.93"/>
        <n v="1024.0"/>
        <n v="622.64"/>
        <n v="602.27"/>
        <n v="174.20000000000002"/>
        <n v="597.24"/>
        <n v="400.0"/>
        <n v="1787.52"/>
        <n v="1572.0"/>
        <n v="146.24"/>
        <n v="2679.04"/>
        <n v="838.24"/>
        <n v="194.51"/>
        <n v="1455.45"/>
        <n v="2014.5700000000002"/>
        <n v="448.11"/>
        <n v="652.37"/>
        <n v="585.66"/>
        <n v="411.44"/>
        <n v="352.44"/>
        <n v="547.1999999999999"/>
        <n v="1311.0"/>
        <n v="1461.1799999999998"/>
        <n v="1150.9199999999998"/>
        <n v="397.98"/>
        <n v="1215.97"/>
        <n v="343.97"/>
        <n v="2335.41"/>
        <n v="144.48"/>
        <n v="270.0"/>
        <n v="1165.0"/>
        <n v="47.699999999999996"/>
        <n v="4150.04"/>
        <n v="1159.9499999999998"/>
        <n v="39.15"/>
        <n v="5288.8"/>
        <n v="1006.0799999999999"/>
        <n v="1189.08"/>
        <n v="828.59"/>
        <n v="810.16"/>
        <n v="1373.44"/>
        <n v="1482.0"/>
        <n v="1442.48"/>
        <n v="429.65999999999997"/>
        <n v="1178.24"/>
        <n v="1438.0800000000002"/>
        <n v="471.2"/>
        <n v="132.36999999999998"/>
        <n v="102.18"/>
        <n v="1437.3600000000001"/>
        <n v="1281.3899999999999"/>
        <n v="1562.1"/>
        <n v="1179.49"/>
        <n v="646.7199999999999"/>
        <n v="728.0"/>
        <n v="1568.15"/>
        <n v="181.0"/>
        <n v="5527.719999999999"/>
        <n v="1368.96"/>
        <n v="274.5"/>
        <n v="5272.0"/>
        <n v="140.35999999999999"/>
        <n v="530.28"/>
        <n v="694.12"/>
        <n v="875.16"/>
        <n v="892.41"/>
        <n v="3755.89"/>
        <n v="786.0100000000001"/>
        <n v="4767.78"/>
        <n v="2952.1000000000004"/>
        <n v="2069.8"/>
        <n v="468.44"/>
        <n v="2471.5699999999997"/>
        <n v="25.6"/>
        <n v="1878.85"/>
        <n v="1032.93"/>
        <n v="353.33000000000004"/>
        <n v="1142.31"/>
        <n v="788.1700000000001"/>
        <n v="875.99"/>
        <n v="2005.6000000000001"/>
        <n v="2417.07"/>
        <n v="1978.19"/>
        <n v="1114.2"/>
        <n v="1478.94"/>
        <n v="1130.72"/>
        <n v="771.63"/>
        <n v="4425.2"/>
        <n v="1439.9"/>
        <n v="4.36"/>
        <n v="639.45"/>
        <n v="446.19"/>
        <n v="2076.66"/>
        <n v="456.52"/>
        <n v="2919.67"/>
        <n v="1314.12"/>
        <n v="1806.86"/>
        <n v="660.0400000000001"/>
        <n v="1526.0"/>
        <n v="327.08"/>
        <n v="37.66"/>
        <n v="1047.96"/>
        <n v="4881.21"/>
        <n v="538.02"/>
        <n v="1508.91"/>
        <n v="758.08"/>
        <n v="1644.0"/>
        <n v="497.20000000000005"/>
        <n v="28.799999999999997"/>
        <n v="1131.3500000000001"/>
        <n v="31.74"/>
        <n v="131.07999999999998"/>
        <n v="247.0"/>
        <n v="364.08"/>
        <n v="645.3199999999999"/>
        <n v="216.16"/>
        <n v="134.64000000000001"/>
        <n v="778.54"/>
        <n v="340.37"/>
        <n v="934.69"/>
        <n v="21.080000000000002"/>
        <n v="608.94"/>
        <n v="720.0899999999999"/>
        <n v="41.71"/>
        <n v="160.02"/>
        <n v="291.9"/>
        <n v="415.31"/>
        <n v="126.05999999999999"/>
        <n v="939.84"/>
        <n v="55.86"/>
        <n v="99.82"/>
        <n v="748.8000000000001"/>
        <n v="1132.3"/>
        <n v="512.3000000000001"/>
        <n v="508.73999999999995"/>
        <n v="366.08"/>
        <n v="388.08000000000004"/>
        <n v="2422.31"/>
        <n v="495.8"/>
        <n v="59.449999999999996"/>
        <n v="29.1"/>
        <n v="83.98"/>
        <n v="573.5"/>
        <n v="136.0"/>
        <n v="408.0"/>
        <n v="40.18"/>
        <n v="1406.16"/>
        <n v="425.88"/>
        <n v="210.18"/>
        <n v="303.38"/>
        <n v="1450.54"/>
        <n v="122.32"/>
        <n v="567.84"/>
        <n v="334.47999999999996"/>
        <n v="190.8"/>
        <n v="201.72"/>
        <n v="2075.8"/>
        <n v="667.44"/>
        <n v="372.02"/>
        <n v="284.76"/>
        <n v="245.1"/>
        <n v="120.63999999999999"/>
        <n v="392.15999999999997"/>
        <n v="590.7800000000001"/>
        <n v="752.76"/>
        <n v="513.36"/>
        <n v="472.08"/>
        <n v="563.86"/>
        <n v="45.12"/>
        <n v="504.90000000000003"/>
        <n v="294.3"/>
        <n v="258.99"/>
        <n v="682.5"/>
        <n v="809.0999999999999"/>
        <n v="696.4200000000001"/>
        <n v="1351.68"/>
        <n v="14.040000000000001"/>
        <n v="628.28"/>
        <n v="2878.6800000000003"/>
        <n v="1965.52"/>
        <n v="79.46000000000001"/>
        <n v="129.78"/>
        <n v="201.60000000000002"/>
        <n v="353.44"/>
        <n v="1775.77"/>
        <n v="48.72"/>
        <n v="27.900000000000002"/>
        <n v="419.76000000000005"/>
        <n v="448.84000000000003"/>
        <n v="438.65000000000003"/>
        <n v="557.6"/>
        <n v="294.84"/>
        <n v="27.9"/>
        <n v="988.64"/>
        <n v="437.69"/>
        <n v="1751.19"/>
        <n v="291.17999999999995"/>
        <n v="389.76"/>
        <n v="942.5899999999999"/>
        <n v="1151.68"/>
        <n v="362.34000000000003"/>
        <n v="2373.3"/>
        <n v="702.72"/>
        <n v="253.44"/>
        <n v="569.91"/>
        <n v="63.75"/>
        <n v="302.51"/>
        <n v="167.28"/>
        <n v="-11.76"/>
        <n v="325.61999999999995"/>
        <n v="3311.45"/>
        <n v="216.0"/>
        <n v="688.5"/>
        <n v="2292.11"/>
        <n v="4077.92"/>
        <n v="1180.03"/>
        <n v="324.96"/>
        <n v="803.96"/>
        <n v="1751.5"/>
        <n v="112.77"/>
        <n v="2516.92"/>
        <n v="46.24"/>
        <n v="744.5600000000001"/>
        <n v="374.49"/>
        <n v="2659.6000000000004"/>
        <n v="1565.1000000000001"/>
        <n v="4564.5599999999995"/>
        <n v="1724.0"/>
        <n v="3053.06"/>
        <n v="780.67"/>
        <n v="1065.3300000000002"/>
        <n v="231.65"/>
        <n v="6301.8"/>
        <n v="1516.4099999999999"/>
        <n v="2435.14"/>
        <n v="51.61"/>
        <n v="3544.64"/>
        <n v="2010.8000000000002"/>
        <n v="4190.63"/>
        <n v="1950.3999999999999"/>
        <n v="1768.74"/>
        <n v="13.12"/>
        <n v="1230.3899999999999"/>
        <n v="245.82999999999998"/>
        <n v="3726.72"/>
        <n v="558.26"/>
        <n v="518.84"/>
        <n v="5586.7"/>
        <n v="1473.1999999999998"/>
        <n v="157.92000000000002"/>
        <n v="1435.1399999999999"/>
        <n v="1752.3500000000001"/>
        <n v="48.48"/>
        <n v="4194.679999999999"/>
        <n v="1333.8500000000001"/>
        <n v="3593.97"/>
        <n v="552.04"/>
        <n v="597.64"/>
        <n v="1183.68"/>
        <n v="212.25"/>
        <n v="16.56"/>
        <n v="2381.2799999999997"/>
        <n v="216.15"/>
        <n v="1209.08"/>
        <n v="5270.82"/>
        <n v="2576.31"/>
        <n v="2601.63"/>
        <n v="7109.849999999999"/>
        <n v="839.5"/>
        <n v="117.76"/>
        <n v="105.35000000000001"/>
        <n v="1115.8799999999999"/>
        <n v="1334.55"/>
        <n v="144.55"/>
        <n v="27.0"/>
        <n v="2883.6"/>
        <n v="258.78"/>
        <n v="104.88"/>
        <n v="134.19"/>
        <n v="138.13"/>
        <n v="300.44"/>
        <n v="4232.25"/>
        <n v="27.94"/>
        <n v="634.04"/>
        <n v="250.1"/>
        <n v="391.6"/>
        <n v="1012.6000000000001"/>
        <n v="29.889999999999997"/>
        <n v="3798.7400000000002"/>
        <n v="519.4799999999999"/>
        <n v="6005.36"/>
        <n v="4078.04"/>
        <n v="32.06"/>
        <n v="130.9"/>
        <n v="19.88"/>
        <n v="368.82"/>
        <n v="1960.2900000000002"/>
        <n v="1984.0"/>
        <n v="1919.5200000000002"/>
        <n v="3276.0"/>
        <n v="796.0"/>
        <n v="1766.64"/>
        <n v="4045.32"/>
        <n v="860.0999999999999"/>
        <n v="3155.3199999999997"/>
        <n v="444.86"/>
        <n v="32516.7"/>
        <n v="410.35"/>
        <n v="448.47"/>
        <n v="1048.32"/>
        <n v="868.64"/>
        <n v="31.24"/>
        <n v="181.2"/>
        <n v="214.5"/>
        <n v="105.35"/>
        <n v="876.16"/>
        <n v="179.74"/>
        <n v="188.75"/>
        <n v="96.60000000000001"/>
        <n v="972.9300000000001"/>
        <n v="1032.8999999999999"/>
        <n v="3428.91"/>
        <n v="7483.9"/>
        <n v="384.75"/>
        <n v="2328.6600000000003"/>
        <n v="8670.0"/>
        <n v="945.8800000000001"/>
        <n v="7694.4"/>
        <n v="1216.3799999999999"/>
        <n v="744.77"/>
        <n v="3040.72"/>
        <n v="2846.3999999999996"/>
        <n v="254.92999999999998"/>
        <n v="1716.0"/>
        <n v="5524.990000000001"/>
        <n v="1132.62"/>
        <n v="5087.04"/>
        <n v="1370.04"/>
        <n v="2151.96"/>
        <n v="3300.1299999999997"/>
        <n v="2369.2799999999997"/>
        <n v="99.17999999999999"/>
        <n v="2631.1"/>
        <n v="2493.66"/>
        <n v="1486.56"/>
        <n v="768.6"/>
        <n v="1357.4399999999998"/>
        <n v="67.34"/>
        <n v="320.0"/>
        <n v="45.6"/>
        <n v="1285.1999999999998"/>
        <n v="632.82"/>
        <n v="1311.65"/>
        <n v="2684.64"/>
        <n v="165.88"/>
        <n v="98.07"/>
        <n v="88.56"/>
        <n v="502.92"/>
        <n v="338.71999999999997"/>
        <n v="102.92"/>
        <n v="14.76"/>
        <n v="670.5"/>
        <n v="1691.94"/>
        <n v="3525.65"/>
        <n v="3002.68"/>
        <n v="457.58"/>
        <n v="1468.8"/>
        <n v="1669.8"/>
        <n v="1003.75"/>
        <n v="365.0"/>
        <n v="1251.3200000000002"/>
        <n v="528.75"/>
        <n v="86.4"/>
        <n v="376.3"/>
        <n v="5797.92"/>
        <n v="77.28"/>
        <n v="110.5"/>
        <n v="1666.24"/>
        <n v="639.0999999999999"/>
        <n v="12.42"/>
        <n v="975.8"/>
        <n v="655.1999999999999"/>
        <n v="299.37"/>
        <n v="752.4"/>
        <n v="968.84"/>
        <n v="1949.93"/>
        <n v="279.93"/>
        <n v="242.49"/>
        <n v="2233.44"/>
        <n v="20.02"/>
        <n v="100.98"/>
        <n v="761.25"/>
        <n v="384.56"/>
        <n v="204.97"/>
        <n v="181.17"/>
        <n v="187.2"/>
        <n v="38.28"/>
        <n v="429.0"/>
        <n v="7328.88"/>
        <n v="5085.179999999999"/>
        <n v="293.04"/>
        <n v="97.8"/>
        <n v="83.52"/>
        <n v="70.8"/>
        <n v="444.8"/>
        <n v="578.25"/>
        <n v="13.919999999999998"/>
        <n v="25.38"/>
        <n v="158.34"/>
        <n v="211.7"/>
        <n v="335.07"/>
        <n v="277.44"/>
        <n v="674.8"/>
        <n v="1387.75"/>
        <n v="396.0"/>
        <n v="1314.04"/>
        <n v="381.52"/>
        <n v="356.20000000000005"/>
        <n v="128.4"/>
        <n v="155.0"/>
        <n v="2347.3999999999996"/>
        <n v="1363.18"/>
        <n v="3440.88"/>
        <n v="815.5699999999999"/>
        <n v="387.65999999999997"/>
        <n v="595.01"/>
        <n v="1336.3500000000001"/>
        <n v="735.3"/>
        <n v="-16.310000000000002"/>
        <n v="455.88"/>
        <n v="270.27"/>
        <n v="16.169999999999998"/>
        <n v="191.7"/>
        <n v="432.64"/>
        <n v="193.60000000000002"/>
        <n v="672.1"/>
        <n v="2001.87"/>
        <n v="189.39000000000001"/>
        <n v="90.19999999999999"/>
        <n v="2935.92"/>
        <n v="5228.52"/>
        <n v="1065.78"/>
        <n v="949.4399999999999"/>
        <n v="504.78000000000003"/>
        <n v="101.92"/>
        <n v="1034.1599999999999"/>
        <n v="405.9"/>
        <n v="2979.2"/>
        <n v="536.35"/>
        <n v="643.72"/>
        <n v="882.56"/>
        <n v="2200.0"/>
        <n v="204.95999999999998"/>
        <n v="1347.48"/>
        <n v="70.65"/>
        <n v="98.39999999999999"/>
        <n v="1092.5"/>
        <n v="358.6"/>
        <n v="432.4"/>
        <n v="131.93"/>
        <n v="276.95"/>
        <n v="883.6"/>
        <n v="954.72"/>
        <n v="317.52"/>
        <n v="123.60000000000001"/>
        <n v="52.78"/>
        <n v="31.36"/>
        <n v="666.0"/>
        <n v="182.78"/>
        <n v="1004.0"/>
        <n v="1237.6"/>
        <n v="21.7"/>
        <n v="1025.5"/>
        <n v="1271.48"/>
        <n v="241.85999999999999"/>
        <n v="962.16"/>
        <n v="251.16"/>
        <n v="127.88999999999999"/>
        <n v="166.37"/>
        <n v="129.92"/>
        <n v="1408.75"/>
        <n v="431.81"/>
        <n v="6220.8"/>
        <n v="479.21"/>
        <n v="432.0"/>
        <n v="1570.8"/>
        <n v="28.08"/>
        <n v="92.65"/>
        <n v="3246.9300000000003"/>
        <n v="1.65"/>
        <n v="1687.32"/>
        <n v="3.52"/>
        <n v="543.9000000000001"/>
        <n v="323.36"/>
        <n v="1450.3999999999999"/>
        <n v="2456.42"/>
        <n v="138.6"/>
        <n v="562.87"/>
        <n v="3380.0"/>
        <n v="346.5"/>
        <n v="1778.48"/>
        <n v="1527.5"/>
        <n v="3155.24"/>
        <n v="5263.96"/>
        <n v="1304.1699999999998"/>
        <n v="481.46000000000004"/>
        <n v="366.27"/>
        <n v="1063.68"/>
        <n v="3817.08"/>
        <n v="431.83"/>
        <n v="730.8"/>
        <n v="2213.64"/>
        <n v="1035.3"/>
        <n v="211.50000000000003"/>
        <n v="511.35999999999996"/>
        <n v="895.56"/>
        <n v="64.68"/>
        <n v="1248.04"/>
        <n v="535.78"/>
        <n v="31.080000000000002"/>
        <n v="237.3"/>
        <n v="3346.96"/>
        <n v="2834.37"/>
        <n v="909.72"/>
        <n v="2061.48"/>
        <n v="280.84"/>
        <n v="1643.0"/>
        <n v="756.99"/>
        <n v="1704.95"/>
        <n v="663.75"/>
        <n v="219.78000000000003"/>
        <n v="1733.4"/>
        <n v="3300.77"/>
        <n v="11076.380000000001"/>
        <n v="179.76"/>
        <n v="5471.999999999999"/>
        <n v="1892.16"/>
        <n v="2127.95"/>
        <n v="1416.62"/>
        <n v="1279.26"/>
        <n v="666.75"/>
        <n v="747.72"/>
        <n v="6669.0"/>
        <n v="3124.4"/>
        <n v="1070.59"/>
        <n v="1267.73"/>
        <n v="115.92"/>
        <n v="3103.87"/>
        <n v="655.5"/>
        <n v="1936.1799999999998"/>
        <n v="793.9799999999999"/>
        <n v="365.58"/>
        <n v="5134.8"/>
        <n v="455.4"/>
        <n v="1327.5"/>
        <n v="1193.5"/>
        <n v="1789.92"/>
        <n v="2010.5500000000002"/>
        <n v="2562.56"/>
        <n v="1001.1"/>
        <n v="52.599999999999994"/>
        <n v="504.57"/>
        <n v="2646.72"/>
        <n v="1326.0"/>
        <n v="737.8"/>
        <n v="986.4799999999999"/>
        <n v="405.71999999999997"/>
        <n v="463.25"/>
        <n v="546.92"/>
        <n v="1974.15"/>
        <n v="101.15"/>
        <n v="480.25"/>
        <n v="3523.4300000000003"/>
        <n v="275.40000000000003"/>
        <n v="1710.72"/>
        <n v="4493.6"/>
        <n v="2098.4"/>
        <n v="1100.0"/>
        <n v="3298.46"/>
        <n v="380.95"/>
        <n v="403.86"/>
        <n v="954.0"/>
        <n v="115.5"/>
        <n v="12.1"/>
        <n v="1606.08"/>
        <n v="1853.2900000000002"/>
        <n v="853.2"/>
        <n v="3360.45"/>
        <n v="79.58"/>
        <n v="493.23999999999995"/>
        <n v="704.48"/>
        <n v="31.92"/>
        <n v="161.20000000000002"/>
        <n v="272.95"/>
        <n v="1275.0"/>
        <n v="3159.44"/>
        <n v="341.42"/>
        <n v="3476.0400000000004"/>
        <n v="811.64"/>
        <n v="1951.38"/>
        <n v="453.08000000000004"/>
        <n v="750.6899999999999"/>
        <n v="1644.5"/>
        <n v="663.4799999999999"/>
        <n v="2212.6600000000003"/>
        <n v="1113.03"/>
        <n v="570.36"/>
        <n v="3628.7999999999997"/>
        <n v="185.39999999999998"/>
        <n v="1606.55"/>
        <n v="3145.68"/>
        <n v="2430.43"/>
        <n v="2098.46"/>
        <n v="1666.6399999999999"/>
        <n v="2101.5"/>
        <n v="142.23"/>
        <n v="43.05"/>
        <n v="171.5"/>
        <n v="191.4"/>
        <n v="158.76000000000002"/>
        <n v="1900.98"/>
        <n v="4356.1"/>
        <n v="335.40000000000003"/>
        <n v="305.52000000000004"/>
        <n v="213.36"/>
        <n v="621.96"/>
        <n v="5137.9"/>
        <n v="48.16"/>
        <n v="177.03"/>
        <n v="642.72"/>
        <n v="119.7"/>
        <n v="184.0"/>
        <n v="898.93"/>
        <n v="146.88"/>
        <n v="1567.8"/>
        <n v="221.39"/>
        <n v="40.46"/>
        <n v="557.46"/>
        <n v="88.16"/>
        <n v="122.72"/>
        <n v="20.64"/>
        <n v="76.12"/>
        <n v="448.8"/>
        <n v="39.12"/>
        <n v="538.08"/>
        <n v="851.2"/>
        <n v="118.25000000000001"/>
        <n v="147.96"/>
        <n v="30.4"/>
        <n v="33.75"/>
        <n v="141.51"/>
        <n v="13.0"/>
        <n v="33.32"/>
        <n v="1.27"/>
        <n v="519.4000000000001"/>
        <n v="9.36"/>
        <n v="533.28"/>
        <n v="689.22"/>
        <n v="524.61"/>
        <n v="12.8"/>
        <n v="362.4"/>
        <n v="41.2"/>
        <n v="389.76000000000005"/>
        <n v="116.19999999999999"/>
        <n v="602.91"/>
        <n v="2018.1"/>
        <n v="93.96000000000001"/>
        <n v="56.64"/>
        <n v="425.42999999999995"/>
        <n v="1155.3999999999999"/>
        <n v="508.29999999999995"/>
        <n v="174.04"/>
        <n v="359.08"/>
        <n v="143.64"/>
        <n v="612.9499999999999"/>
        <n v="184.92"/>
        <n v="1116.72"/>
        <n v="336.7"/>
        <n v="416.5"/>
        <n v="106.05000000000001"/>
        <n v="2302.65"/>
        <n v="201.14999999999998"/>
        <n v="368.44"/>
        <n v="28.349999999999998"/>
        <n v="111.25"/>
        <n v="109.74"/>
        <n v="68.8"/>
        <n v="267.96000000000004"/>
        <n v="218.99"/>
        <n v="318.59999999999997"/>
        <n v="136.76999999999998"/>
        <n v="1.48"/>
        <n v="399.49"/>
        <n v="24.57"/>
        <n v="206.64"/>
        <n v="71.28"/>
        <n v="745.92"/>
        <n v="2.58"/>
        <n v="127.91999999999999"/>
        <n v="70.52"/>
        <n v="18.900000000000002"/>
        <n v="222.04"/>
        <n v="75.84"/>
        <n v="815.71"/>
        <n v="606.4499999999999"/>
        <n v="2745.22"/>
        <n v="31.589999999999996"/>
        <n v="445.88"/>
        <n v="193.05"/>
        <n v="80.64"/>
        <n v="152.68"/>
        <n v="635.58"/>
        <n v="36.12"/>
        <n v="1980.33"/>
        <n v="37.99"/>
        <n v="185.0"/>
        <n v="355.74"/>
        <n v="334.18"/>
        <n v="2949.9799999999996"/>
        <n v="1616.6999999999998"/>
        <n v="109.00000000000001"/>
        <n v="33.0"/>
        <n v="129.25"/>
        <n v="318.71"/>
        <n v="516.5999999999999"/>
        <n v="13.09"/>
        <n v="8.52"/>
        <n v="238.76"/>
        <n v="812.6999999999999"/>
        <n v="1387.26"/>
        <n v="24.05"/>
        <n v="2.53"/>
        <n v="106.38"/>
        <n v="441.0"/>
        <n v="19.349999999999998"/>
        <n v="269.23"/>
        <n v="590.82"/>
        <n v="382.33"/>
        <n v="532.48"/>
        <n v="407.68"/>
        <n v="250.79999999999998"/>
        <n v="1397.22"/>
        <n v="324.88"/>
        <n v="414.91999999999996"/>
        <n v="272.5"/>
        <n v="284.38"/>
        <n v="76.22"/>
        <n v="27.36"/>
        <n v="1807.78"/>
        <n v="170.3"/>
        <n v="12.48"/>
        <n v="806.0"/>
        <n v="9.7"/>
        <n v="52.49"/>
        <n v="122.82000000000001"/>
        <n v="1073.3799999999999"/>
        <n v="777.85"/>
        <n v="36.38"/>
        <n v="1180.48"/>
        <n v="486.36"/>
        <n v="636.0"/>
        <n v="1052.64"/>
        <n v="1832.96"/>
        <n v="64.48"/>
        <n v="159.12"/>
        <n v="294.5"/>
        <n v="937.44"/>
        <n v="146.15"/>
        <n v="139.7"/>
        <n v="1489.44"/>
        <n v="2.21"/>
        <n v="985.9200000000001"/>
        <n v="499.5"/>
        <n v="1544.52"/>
        <n v="257.52000000000004"/>
        <n v="809.07"/>
        <n v="67.2"/>
        <n v="187.52"/>
        <n v="861.06"/>
        <n v="963.8399999999999"/>
        <n v="2064.88"/>
        <n v="201.6"/>
        <n v="485.1"/>
        <n v="392.5"/>
        <n v="1371.1599999999999"/>
        <n v="66.0"/>
        <n v="422.24"/>
        <n v="908.6"/>
        <n v="728.77"/>
        <n v="244.02"/>
        <n v="4974.58"/>
        <n v="145.16"/>
        <n v="9.0"/>
        <n v="1219.52"/>
        <n v="75.66"/>
        <n v="66.78"/>
        <n v="613.74"/>
        <n v="10.86"/>
        <n v="351.78"/>
        <n v="948.44"/>
        <n v="833.81"/>
        <n v="747.1"/>
        <n v="1128.96"/>
        <n v="1166.6"/>
        <n v="273.54"/>
        <n v="1389.44"/>
        <n v="341.38"/>
        <n v="994.0"/>
        <n v="1408.6599999999999"/>
        <n v="333.29999999999995"/>
        <n v="381.41999999999996"/>
        <n v="2.0"/>
        <n v="17856.800000000003"/>
        <n v="9883.15"/>
        <n v="6035.92"/>
        <n v="1428.3200000000002"/>
        <n v="1550.2"/>
        <n v="3723.4500000000003"/>
        <n v="142.78"/>
        <n v="645.7"/>
        <n v="-52.01"/>
        <n v="3354.75"/>
        <n v="4754.34"/>
        <n v="1197.8400000000001"/>
        <n v="1416.42"/>
        <n v="916.8599999999999"/>
        <n v="216.7"/>
        <n v="496.08000000000004"/>
        <n v="28.93"/>
        <n v="338.58000000000004"/>
        <n v="1112.3"/>
        <n v="891.4200000000001"/>
        <n v="179.54"/>
        <n v="20.9"/>
        <n v="377.14"/>
        <n v="1353.6399999999999"/>
        <n v="255.0"/>
        <n v="659.05"/>
        <n v="1954.08"/>
        <n v="2.83"/>
        <n v="82.82000000000001"/>
        <n v="345.8"/>
        <n v="228.52"/>
        <n v="798.0999999999999"/>
        <n v="303.84"/>
        <n v="268.32"/>
        <n v="1247.13"/>
        <n v="298.2"/>
        <n v="2.14"/>
        <n v="677.28"/>
        <n v="179.39999999999998"/>
        <n v="667.17"/>
        <n v="257.24"/>
        <n v="1806.8999999999999"/>
        <n v="75.19999999999999"/>
        <n v="655.38"/>
        <n v="865.3599999999999"/>
        <n v="58.65"/>
        <n v="411.71999999999997"/>
        <n v="631.0400000000001"/>
        <n v="428.24"/>
        <n v="10.48"/>
        <n v="22.12"/>
        <n v="64.53"/>
        <n v="1799.85"/>
        <n v="371.85"/>
        <n v="1200.09"/>
        <n v="251.16000000000003"/>
        <n v="2229.12"/>
        <n v="5260.8"/>
        <n v="798.5100000000001"/>
        <n v="2826.8799999999997"/>
        <n v="420.41999999999996"/>
        <n v="4275.76"/>
        <n v="2268.03"/>
        <n v="1437.5"/>
        <n v="1372.16"/>
        <n v="5748.38"/>
        <n v="572.8900000000001"/>
        <n v="2647.84"/>
        <n v="1425.6"/>
        <n v="4053.56"/>
        <n v="2213.7"/>
        <n v="326.89"/>
        <n v="119.16"/>
        <n v="245.33999999999997"/>
        <n v="1500.48"/>
        <n v="2173.17"/>
        <n v="318.15999999999997"/>
        <n v="8616.480000000001"/>
        <n v="296.4"/>
        <n v="36.0"/>
        <n v="8878.41"/>
        <n v="252.39000000000001"/>
        <n v="257.76"/>
        <n v="5477.799999999999"/>
        <n v="1912.5900000000001"/>
        <n v="284.8"/>
        <n v="863.5"/>
        <n v="14.299999999999999"/>
        <n v="1316.45"/>
        <n v="1361.92"/>
        <n v="788.64"/>
        <n v="2238.75"/>
        <n v="1235.04"/>
        <n v="275.31"/>
        <n v="719.84"/>
        <n v="156.8"/>
        <n v="305.79999999999995"/>
        <n v="531.33"/>
        <n v="860.89"/>
        <n v="30.0"/>
        <n v="15.68"/>
        <n v="374.48"/>
        <n v="465.92"/>
        <n v="42.18"/>
        <n v="362.09999999999997"/>
        <n v="226.8"/>
        <n v="1499.3100000000002"/>
        <n v="388.0"/>
        <n v="596.96"/>
        <n v="538.74"/>
        <n v="1366.48"/>
        <n v="107.44000000000001"/>
        <n v="264.41999999999996"/>
        <n v="713.9399999999999"/>
        <n v="1313.07"/>
        <n v="1670.9"/>
        <n v="920.92"/>
        <n v="90.65"/>
        <n v="33.949999999999996"/>
        <n v="397.09999999999997"/>
        <n v="172.86"/>
        <n v="314.88"/>
        <n v="246.0"/>
        <n v="572.0"/>
        <n v="107.36"/>
        <n v="258.02000000000004"/>
        <n v="1361.36"/>
        <n v="363.0"/>
        <n v="310.65000000000003"/>
        <n v="2403.84"/>
        <n v="837.76"/>
        <n v="202.39999999999998"/>
        <n v="1236.3"/>
        <n v="90.28"/>
        <n v="160.38000000000002"/>
        <n v="72.45"/>
        <n v="26.4"/>
        <n v="1464.32"/>
        <n v="133.75"/>
        <n v="378.27"/>
        <n v="1859.52"/>
        <n v="1327.36"/>
        <n v="38.35"/>
        <n v="492.35999999999996"/>
        <n v="3432.6899999999996"/>
        <n v="781.25"/>
        <n v="2982.7799999999997"/>
        <n v="81.55"/>
        <n v="673.26"/>
        <n v="1000.44"/>
        <n v="1481.7"/>
        <n v="902.26"/>
        <n v="3425.7599999999998"/>
        <n v="402.93"/>
        <n v="167.62"/>
        <n v="386.24"/>
        <n v="41.48"/>
        <n v="4135.53"/>
        <n v="707.4000000000001"/>
        <n v="383.25"/>
        <n v="551.76"/>
        <n v="35.550000000000004"/>
        <n v="685.17"/>
        <n v="2427.94"/>
        <n v="188.16"/>
        <n v="4043.32"/>
        <n v="763.5600000000001"/>
        <n v="2305.7999999999997"/>
        <n v="237.22"/>
        <n v="5566.9"/>
        <n v="1031.24"/>
        <n v="623.2900000000001"/>
        <n v="987.66"/>
        <n v="2794.12"/>
        <n v="149.52"/>
        <n v="1049.3999999999999"/>
        <n v="48.4"/>
        <n v="552.6"/>
        <n v="2353.55"/>
        <n v="785.46"/>
        <n v="3242.7999999999997"/>
        <n v="816.96"/>
        <n v="2332.6"/>
        <n v="595.98"/>
        <n v="151.41"/>
        <n v="267.6"/>
        <n v="4145.13"/>
        <n v="4069.6600000000003"/>
        <n v="947.6999999999999"/>
        <n v="3352.2"/>
        <n v="1804.8"/>
        <n v="382.7"/>
        <n v="507.4"/>
        <n v="480.32"/>
        <n v="1774.97"/>
        <n v="483.0"/>
        <n v="3307.24"/>
        <n v="1428.48"/>
        <n v="162.97"/>
        <n v="750.48"/>
        <n v="1696.92"/>
        <n v="352.34"/>
        <n v="923.4000000000001"/>
        <n v="470.25"/>
        <n v="443.0"/>
        <n v="232.76"/>
        <n v="4271.34"/>
        <n v="1508.64"/>
        <n v="62.760000000000005"/>
        <n v="2488.11"/>
        <n v="2293.6"/>
        <n v="1267.11"/>
        <n v="1502.55"/>
        <n v="6878.049999999999"/>
        <n v="1801.8"/>
        <n v="385.28000000000003"/>
        <n v="1848.0"/>
        <n v="2926.36"/>
        <n v="1731.21"/>
        <n v="3324.75"/>
        <n v="401.09999999999997"/>
        <n v="470.56"/>
        <n v="2238.22"/>
        <n v="952.3799999999999"/>
        <n v="457.7"/>
        <n v="1994.1"/>
        <n v="932.74"/>
        <n v="2972.16"/>
        <n v="4786.74"/>
        <n v="230.50000000000003"/>
        <n v="75.02000000000001"/>
        <n v="1406.58"/>
        <n v="317.44"/>
        <n v="1788.0"/>
        <n v="204.60000000000002"/>
        <n v="3549.0"/>
        <n v="42.599999999999994"/>
        <n v="673.92"/>
        <n v="162.15"/>
        <n v="957.0"/>
        <n v="2161.17"/>
        <n v="2607.8"/>
        <n v="439.34999999999997"/>
        <n v="734.4"/>
        <n v="3123.2"/>
        <n v="362.25"/>
        <n v="44.64"/>
        <n v="1114.14"/>
        <n v="607.0"/>
        <n v="478.08"/>
        <n v="3919.04"/>
        <n v="2848.74"/>
        <n v="232.06"/>
        <n v="6.55"/>
        <n v="48.51"/>
        <n v="568.4"/>
        <n v="1795.61"/>
        <n v="66.44"/>
        <n v="2536.48"/>
        <n v="3191.5"/>
        <n v="3690.45"/>
        <n v="3706.89"/>
        <n v="2430.72"/>
        <n v="2437.08"/>
        <n v="3666.8"/>
        <n v="1048.95"/>
        <n v="3612.48"/>
        <n v="2991.36"/>
        <n v="3040.96"/>
        <n v="2607.96"/>
        <n v="3199.5600000000004"/>
        <n v="1122.18"/>
        <n v="2905.63"/>
        <n v="1414.49"/>
        <n v="1573.8799999999999"/>
        <n v="1079.0"/>
        <n v="1860.3600000000001"/>
        <n v="619.2"/>
        <n v="83.34"/>
        <n v="2369.85"/>
        <n v="33.050000000000004"/>
        <n v="1097.52"/>
        <n v="1620.1599999999999"/>
        <n v="971.5600000000001"/>
        <n v="1315.02"/>
        <n v="449.82"/>
        <n v="2681.2799999999997"/>
        <n v="154.66"/>
        <n v="100.16"/>
        <n v="234.64000000000001"/>
        <n v="2197.8399999999997"/>
        <n v="682.48"/>
        <n v="4542.72"/>
        <n v="614.98"/>
        <n v="469.79999999999995"/>
        <n v="593.65"/>
        <n v="99.35999999999999"/>
        <n v="11.6"/>
        <n v="416.24"/>
        <n v="39.0"/>
        <n v="277.14"/>
        <n v="3477.76"/>
        <n v="854.7"/>
        <n v="367.08000000000004"/>
        <n v="18.96"/>
        <n v="2010.0"/>
        <n v="519.5600000000001"/>
        <n v="2587.5"/>
        <n v="2794.44"/>
        <n v="1802.34"/>
        <n v="894.52"/>
        <n v="361.81"/>
        <n v="130.82"/>
        <n v="20.25"/>
        <n v="133.44"/>
        <n v="1929.1999999999998"/>
        <n v="1238.8"/>
        <n v="109.12"/>
        <n v="1247.85"/>
        <n v="251.35000000000002"/>
        <n v="838.44"/>
        <n v="527.12"/>
        <n v="586.53"/>
        <n v="112.32"/>
        <n v="979.6800000000001"/>
        <n v="73.58"/>
        <n v="398.48"/>
        <n v="331.52"/>
        <n v="1689.16"/>
        <n v="864.0"/>
        <n v="518.4"/>
        <n v="465.42999999999995"/>
        <n v="999.62"/>
        <n v="185.02"/>
        <n v="2020.72"/>
        <n v="18.990000000000002"/>
        <n v="3188.6099999999997"/>
        <n v="255.5"/>
        <n v="745.47"/>
        <n v="964.0"/>
        <n v="1208.68"/>
        <n v="1641.28"/>
        <n v="638.69"/>
        <n v="1201.2"/>
        <n v="318.78"/>
        <n v="552.5"/>
        <n v="1370.48"/>
        <n v="3358.3199999999997"/>
        <n v="439.52000000000004"/>
        <n v="1402.5"/>
        <n v="1312.96"/>
        <n v="3719.1"/>
        <n v="731.88"/>
        <n v="3271.4500000000003"/>
        <n v="1208.1499999999999"/>
        <n v="903.04"/>
        <n v="2273.92"/>
        <n v="1772.51"/>
        <n v="3665.13"/>
        <n v="613.64"/>
        <n v="1534.5"/>
        <n v="2822.2400000000002"/>
        <n v="954.9399999999999"/>
        <n v="1222.1"/>
        <n v="1904.76"/>
        <n v="1560.06"/>
        <n v="287.0"/>
        <n v="1274.44"/>
        <n v="2210.67"/>
        <n v="1058.3999999999999"/>
        <n v="376.37"/>
        <n v="215.74"/>
        <n v="3541.92"/>
        <n v="1025.4399999999998"/>
        <n v="989.5200000000001"/>
        <n v="28.650000000000002"/>
        <n v="756.92"/>
        <n v="620.37"/>
        <n v="108.67999999999999"/>
        <n v="244.26"/>
        <n v="59.84"/>
        <n v="939.4"/>
        <n v="1116.4399999999998"/>
        <n v="261.69"/>
        <n v="492.78000000000003"/>
        <n v="1035.71"/>
        <n v="156.62"/>
        <n v="2.47"/>
        <n v="21.400000000000002"/>
        <n v="621.01"/>
        <n v="423.28"/>
        <n v="696.0"/>
        <n v="301.5"/>
        <n v="146.78"/>
        <n v="128.78"/>
        <n v="596.25"/>
        <n v="609.0"/>
        <n v="222.7"/>
        <n v="669.12"/>
        <n v="416.25"/>
        <n v="424.36"/>
        <n v="3357.66"/>
        <n v="1724.3799999999999"/>
        <n v="27.95"/>
        <n v="609.28"/>
        <n v="1287.72"/>
        <n v="42.660000000000004"/>
        <n v="1113.7"/>
        <n v="116.16"/>
        <n v="220.39999999999998"/>
        <n v="1252.47"/>
        <n v="45.0"/>
        <n v="73.92"/>
        <n v="176.66"/>
        <n v="34.88"/>
        <n v="815.36"/>
        <n v="12.64"/>
        <n v="2.38"/>
        <n v="31.8"/>
        <n v="673.1999999999999"/>
        <n v="845.3000000000001"/>
        <n v="1041.78"/>
        <n v="127.17"/>
        <n v="106.56"/>
        <n v="365.03999999999996"/>
        <n v="180.39999999999998"/>
        <n v="714.24"/>
        <n v="658.8000000000001"/>
        <n v="843.15"/>
        <n v="58.88"/>
        <n v="34.34"/>
        <n v="96.25"/>
        <n v="553.22"/>
        <n v="3.74"/>
        <n v="47.040000000000006"/>
        <n v="975.39"/>
        <n v="910.8000000000001"/>
        <n v="65.36"/>
        <n v="32.85"/>
        <n v="667.92"/>
        <n v="321.47999999999996"/>
        <n v="416.88000000000005"/>
        <n v="101.67999999999999"/>
        <n v="13.16"/>
        <n v="1557.0900000000001"/>
        <n v="746.88"/>
        <n v="211.2"/>
        <n v="117.04"/>
        <n v="735.2099999999999"/>
        <n v="580.64"/>
        <n v="173.88"/>
        <n v="603.06"/>
        <n v="41.34"/>
        <n v="549.12"/>
        <n v="78.75"/>
        <n v="133.94"/>
        <n v="137.16"/>
        <n v="1266.36"/>
        <n v="219.45"/>
        <n v="33.839999999999996"/>
        <n v="666.12"/>
        <n v="350.46"/>
        <n v="1522.95"/>
        <n v="452.4"/>
        <n v="94.86"/>
        <n v="79.65"/>
        <n v="123.9"/>
        <n v="1286.8400000000001"/>
        <n v="1681.3"/>
        <n v="358.98"/>
        <n v="165.2"/>
        <n v="282.08"/>
        <n v="177.16"/>
        <n v="219.6"/>
        <n v="1333.8"/>
        <n v="75.2"/>
        <n v="749.25"/>
        <n v="267.54"/>
        <n v="1841.4599999999998"/>
        <n v="304.2"/>
        <n v="11.040000000000001"/>
        <n v="218.73"/>
        <n v="1740.1399999999999"/>
        <n v="1374.8899999999999"/>
        <n v="611.49"/>
        <n v="1103.3"/>
        <n v="59.400000000000006"/>
        <n v="1547.7"/>
        <n v="1409.76"/>
        <n v="391.59"/>
        <n v="192.51"/>
        <n v="129.42999999999998"/>
        <n v="1030.5"/>
        <n v="290.5"/>
        <n v="952.1999999999999"/>
        <n v="1011.23"/>
        <n v="206.4"/>
        <n v="271.44"/>
        <n v="602.5999999999999"/>
        <n v="164.73000000000002"/>
        <n v="1088.64"/>
        <n v="296.46000000000004"/>
        <n v="632.26"/>
        <n v="593.4"/>
        <n v="685.86"/>
        <n v="291.72"/>
        <n v="920.9200000000001"/>
        <n v="897.5999999999999"/>
        <n v="423.0"/>
        <n v="279.35"/>
        <n v="188.8"/>
        <n v="640.32"/>
        <n v="334.53"/>
        <n v="583.07"/>
        <n v="103.67999999999999"/>
        <n v="436.5"/>
        <n v="1254.96"/>
        <n v="809.1"/>
        <n v="790.02"/>
        <n v="179.17"/>
        <n v="695.04"/>
        <n v="449.88"/>
        <n v="172.28"/>
        <n v="474.77"/>
        <n v="267.52"/>
        <n v="105.45"/>
        <n v="154.76000000000002"/>
        <n v="375.18"/>
        <n v="289.68"/>
        <n v="952.74"/>
        <n v="175.23"/>
        <n v="575.8399999999999"/>
        <n v="608.0"/>
        <n v="110.21000000000001"/>
        <n v="873.45"/>
        <n v="54.59"/>
        <n v="31.349999999999998"/>
        <n v="953.2499999999999"/>
        <n v="2421.07"/>
        <n v="334.40000000000003"/>
        <n v="271.40000000000003"/>
        <n v="835.1999999999999"/>
        <n v="9.6"/>
        <n v="143.55"/>
        <n v="211.56"/>
        <n v="344.4"/>
        <n v="490.86"/>
        <n v="25.25"/>
        <n v="95.46"/>
        <n v="149.64"/>
        <n v="969.76"/>
        <n v="421.6"/>
        <n v="669.9"/>
        <n v="243.39000000000001"/>
        <n v="7175.76"/>
        <n v="217.14"/>
        <n v="208.6"/>
        <n v="21.08"/>
        <n v="206.01000000000002"/>
        <n v="1184.4"/>
        <n v="1112.28"/>
        <n v="86.92"/>
        <n v="282.96000000000004"/>
        <n v="8.82"/>
        <n v="488.75"/>
        <n v="69.0"/>
        <n v="22.799999999999997"/>
        <n v="636.24"/>
        <n v="1890.8899999999999"/>
        <n v="44.88"/>
        <n v="261.8"/>
        <n v="137.75"/>
        <n v="60.42"/>
        <n v="4678.74"/>
        <n v="114.46"/>
        <n v="143.25"/>
        <n v="401.40000000000003"/>
        <n v="239.86999999999998"/>
        <n v="58.13999999999999"/>
        <n v="624.88"/>
        <n v="5.22"/>
        <n v="680.68"/>
        <n v="923.44"/>
        <n v="175.68"/>
        <n v="632.4"/>
        <n v="1069.77"/>
        <n v="24.64"/>
        <n v="826.14"/>
        <n v="233.1"/>
        <n v="7679.18"/>
        <n v="3661.7999999999997"/>
        <n v="257.87"/>
        <n v="1577.8"/>
        <n v="699.2"/>
        <n v="350.9"/>
        <n v="281.93"/>
        <n v="849.4"/>
        <n v="16.11"/>
        <n v="72.8"/>
        <n v="154.85999999999999"/>
        <n v="962.02"/>
        <n v="377.40000000000003"/>
        <n v="2238.25"/>
        <n v="1331.61"/>
        <n v="700.7"/>
        <n v="364.64"/>
        <n v="345.72"/>
        <n v="356.39"/>
        <n v="303.75"/>
        <n v="790.4799999999999"/>
        <n v="742.45"/>
        <n v="85.28"/>
        <n v="23.76"/>
        <n v="214.52"/>
        <n v="1171.3"/>
        <n v="56.1"/>
        <n v="1373.96"/>
        <n v="441.75"/>
        <n v="485.94"/>
        <n v="692.64"/>
        <n v="862.54"/>
        <n v="92.16"/>
        <n v="799.1999999999999"/>
        <n v="146.52"/>
        <n v="396.36"/>
        <n v="1742.54"/>
        <n v="800.1"/>
        <n v="443.9"/>
        <n v="607.92"/>
        <n v="1863.53"/>
        <n v="4.96"/>
        <n v="729.0999999999999"/>
        <n v="1252.8000000000002"/>
        <n v="985.2"/>
        <n v="22.72"/>
        <n v="125.04999999999998"/>
        <n v="786.5999999999999"/>
        <n v="304.92"/>
        <n v="602.4200000000001"/>
        <n v="2346.06"/>
        <n v="1270.9799999999998"/>
        <n v="275.71999999999997"/>
        <n v="1916.2"/>
        <n v="546.0"/>
        <n v="367.36"/>
        <n v="1444.01"/>
        <n v="208.98000000000002"/>
        <n v="772.64"/>
        <n v="15.18"/>
        <n v="804.8000000000001"/>
        <n v="1014.3000000000001"/>
        <n v="707.42"/>
        <n v="887.23"/>
        <n v="331.11"/>
        <n v="147.20000000000002"/>
        <n v="603.98"/>
        <n v="1019.06"/>
        <n v="484.75"/>
        <n v="416.38"/>
        <n v="57.089999999999996"/>
        <n v="110.88000000000001"/>
        <n v="218.67999999999998"/>
        <n v="607.2"/>
        <n v="608.7900000000001"/>
        <n v="3454.23"/>
        <n v="5.5"/>
        <n v="169.60000000000002"/>
        <n v="1147.4099999999999"/>
        <n v="4035.6000000000004"/>
        <n v="733.5999999999999"/>
        <n v="173.34"/>
        <n v="1688.2199999999998"/>
        <n v="1086.75"/>
        <n v="1277.16"/>
        <n v="1104.0"/>
        <n v="803.0400000000001"/>
        <n v="2057.5"/>
        <n v="746.4300000000001"/>
        <n v="10.52"/>
        <n v="45.22"/>
        <n v="393.8"/>
        <n v="68.88"/>
        <n v="580.0"/>
        <n v="163.17000000000002"/>
        <n v="341.7"/>
        <n v="1108.53"/>
        <n v="22.200000000000003"/>
        <n v="472.94000000000005"/>
        <n v="82.35000000000001"/>
        <n v="4.02"/>
        <n v="2.6"/>
        <n v="716.42"/>
        <n v="1138.26"/>
        <n v="1474.4"/>
        <n v="1561.1200000000001"/>
        <n v="26.74"/>
        <n v="604.75"/>
        <n v="37.35"/>
        <n v="1120.46"/>
        <n v="2037.2800000000002"/>
        <n v="728.56"/>
        <n v="1514.96"/>
        <n v="5707.2"/>
        <n v="674.24"/>
        <n v="852.93"/>
        <n v="2147.48"/>
        <n v="2377.08"/>
        <n v="2655.58"/>
        <n v="4052.2999999999997"/>
        <n v="3328.7999999999997"/>
        <n v="5477.34"/>
        <n v="46.84"/>
        <n v="2915.08"/>
        <n v="9735.1"/>
        <n v="4671.299999999999"/>
        <n v="1479.55"/>
        <n v="912.7400000000001"/>
        <n v="1915.13"/>
        <n v="710.7900000000001"/>
        <n v="8326.08"/>
        <n v="2294.58"/>
        <n v="1873.8000000000002"/>
        <n v="3221.5"/>
        <n v="4454.1"/>
        <n v="1005.4000000000001"/>
        <n v="8780.94"/>
        <n v="3073.9500000000003"/>
        <n v="7936.259999999999"/>
        <n v="334.88"/>
        <n v="3594.36"/>
        <n v="4562.799999999999"/>
        <n v="391.03999999999996"/>
        <n v="1489.55"/>
        <n v="1309.0"/>
        <n v="6750.839999999999"/>
        <n v="343.48"/>
        <n v="1117.92"/>
        <n v="9.15"/>
        <n v="320.39"/>
        <n v="1005.1999999999999"/>
        <n v="3206.0"/>
        <n v="26518.379999999997"/>
        <n v="8003.5199999999995"/>
        <n v="4768.400000000001"/>
        <n v="3692.0"/>
        <n v="2252.64"/>
        <n v="4496.94"/>
        <n v="7730.3099999999995"/>
        <n v="2339.34"/>
        <n v="111.15"/>
        <n v="19125.14"/>
        <n v="8008.6"/>
        <n v="7828.1"/>
        <n v="2139.3399999999997"/>
        <n v="7409.73"/>
        <n v="947.6"/>
        <n v="4724.44"/>
        <n v="2560.6"/>
        <n v="13937.0"/>
        <n v="5183.7"/>
        <n v="1156.68"/>
        <n v="257.46"/>
        <n v="1043.86"/>
        <n v="129.32999999999998"/>
        <n v="555.12"/>
        <n v="991.1999999999999"/>
        <n v="3834.96"/>
        <n v="12522.16"/>
        <n v="1654.56"/>
        <n v="3082.94"/>
        <n v="53.27"/>
        <n v="2041.8000000000002"/>
        <n v="16265.900000000001"/>
        <n v="1255.01"/>
        <n v="8316.77"/>
        <n v="7916.86"/>
        <n v="8259.68"/>
        <n v="4030.8199999999997"/>
        <n v="1727.2"/>
        <n v="7884.0"/>
        <n v="1772.34"/>
        <n v="2332.3199999999997"/>
        <n v="22.32"/>
        <n v="8180.299999999999"/>
        <n v="981.1800000000001"/>
        <n v="262.0"/>
        <n v="9678.36"/>
        <n v="816.34"/>
        <n v="1459.48"/>
        <n v="1322.07"/>
        <n v="90.5"/>
        <n v="951.75"/>
        <n v="282.03000000000003"/>
        <n v="136.08"/>
        <n v="378.09999999999997"/>
        <n v="142.20000000000002"/>
        <n v="2805.68"/>
        <n v="8627.5"/>
        <n v="361.8"/>
        <n v="23.01"/>
        <n v="89.46"/>
        <n v="705.9"/>
        <n v="337.67999999999995"/>
        <n v="606.96"/>
        <n v="121.2"/>
        <n v="383.05"/>
        <n v="80.92"/>
        <n v="2657.54"/>
        <n v="1098.16"/>
        <n v="2390.67"/>
        <n v="262.96"/>
        <n v="4535.37"/>
        <n v="69.9"/>
        <n v="872.5"/>
        <n v="513.79"/>
        <n v="205.84"/>
        <n v="229.89999999999998"/>
        <n v="1314.88"/>
        <n v="264.18"/>
        <n v="271.05"/>
        <n v="947.5999999999999"/>
        <n v="973.95"/>
        <n v="1346.1499999999999"/>
        <n v="791.9399999999999"/>
        <n v="3568.1600000000003"/>
        <n v="1507.5"/>
        <n v="1020.87"/>
        <n v="281.22"/>
        <n v="599.28"/>
        <n v="1904.04"/>
        <n v="3147.46"/>
        <n v="1584.0"/>
        <n v="3614.6"/>
        <n v="4710.320000000001"/>
        <n v="2510.5499999999997"/>
        <n v="165.6"/>
        <n v="3463.12"/>
        <n v="4748.26"/>
        <n v="4403.76"/>
        <n v="1515.3600000000001"/>
        <n v="1638.0"/>
        <n v="2527.35"/>
        <n v="6552.0"/>
        <n v="11.42"/>
        <n v="8487.0"/>
        <n v="321.84"/>
        <n v="1636.14"/>
        <n v="6592.7300000000005"/>
        <n v="3704.3999999999996"/>
        <n v="1308.1999999999998"/>
        <n v="3551.8"/>
        <n v="6315.33"/>
        <n v="573.12"/>
        <n v="2688.66"/>
        <n v="4651.74"/>
        <n v="15838.900000000001"/>
        <n v="8804.4"/>
        <n v="3008.34"/>
        <n v="817.4"/>
        <n v="403.76"/>
        <n v="1334.94"/>
        <n v="926.2199999999999"/>
        <n v="7146.07"/>
        <n v="212.5"/>
        <n v="255.42"/>
        <n v="1701.3600000000001"/>
        <n v="194.56"/>
        <n v="107.91"/>
        <n v="104.69"/>
        <n v="34.0"/>
        <n v="74.4"/>
        <n v="3553.2"/>
        <n v="2900.7999999999997"/>
        <n v="1279.8000000000002"/>
        <n v="1404.0"/>
        <n v="222.29999999999998"/>
        <n v="1132.0800000000002"/>
        <n v="682.51"/>
        <n v="2092.64"/>
        <n v="653.3499999999999"/>
        <n v="5252.5199999999995"/>
        <n v="1420.85"/>
        <n v="4749.9800000000005"/>
        <n v="421.59000000000003"/>
        <n v="625.77"/>
        <n v="736.56"/>
        <n v="589.76"/>
        <n v="1754.73"/>
        <n v="85.58"/>
        <n v="571.3299999999999"/>
        <n v="189.0"/>
        <n v="10587.36"/>
        <n v="249.6"/>
        <n v="225.72000000000003"/>
        <n v="730.98"/>
        <n v="108.09"/>
        <n v="95.85000000000001"/>
        <n v="449.5"/>
        <n v="335.82"/>
        <n v="156.4"/>
        <n v="504.0"/>
        <n v="162.89000000000001"/>
        <n v="138.25"/>
        <n v="101.97"/>
        <n v="1566.0"/>
        <n v="2204.0"/>
        <n v="587.88"/>
        <n v="28.8"/>
        <n v="145.34"/>
        <n v="697.6"/>
        <n v="2669.44"/>
        <n v="905.6"/>
        <n v="986.67"/>
        <n v="248.22"/>
        <n v="106.19999999999999"/>
        <n v="456.75"/>
        <n v="103.96"/>
        <n v="149.85000000000002"/>
        <n v="562.95"/>
        <n v="201.5"/>
        <n v="1106.96"/>
        <n v="31.29"/>
        <n v="2616.08"/>
        <n v="3.3000000000000003"/>
        <n v="1116.6299999999999"/>
        <n v="28.22"/>
        <n v="256.08"/>
        <n v="1057.77"/>
        <n v="452.2"/>
        <n v="358.61999999999995"/>
        <n v="83.21000000000001"/>
        <n v="15.680000000000001"/>
        <n v="334.28000000000003"/>
        <n v="1574.8"/>
        <n v="712.48"/>
        <n v="395.28"/>
        <n v="117.45"/>
        <n v="609.14"/>
        <n v="422.28"/>
        <n v="1335.56"/>
        <n v="391.92"/>
        <n v="510.51"/>
        <n v="472.14"/>
        <n v="320.88"/>
        <n v="1266.7199999999998"/>
        <n v="5.550000000000001"/>
        <n v="89.61"/>
        <n v="372.09999999999997"/>
        <n v="2335.68"/>
        <n v="1496.94"/>
        <n v="160.66"/>
        <n v="46.19"/>
        <n v="1602.1499999999999"/>
        <n v="50.690000000000005"/>
        <n v="539.46"/>
        <n v="102.48"/>
        <n v="723.84"/>
        <n v="124.8"/>
        <n v="993.2700000000001"/>
        <n v="6.6000000000000005"/>
        <n v="212.51999999999998"/>
        <n v="1164.6000000000001"/>
        <n v="542.19"/>
        <n v="359.95"/>
        <n v="431.59999999999997"/>
        <n v="142.79999999999998"/>
        <n v="1396.05"/>
        <n v="62.22"/>
        <n v="1171.1000000000001"/>
        <n v="101.44"/>
        <n v="216.81"/>
        <n v="57.540000000000006"/>
        <n v="550.62"/>
        <n v="682.65"/>
        <n v="28.31"/>
        <n v="950.4000000000001"/>
        <n v="460.03"/>
        <n v="852.21"/>
        <n v="160.57999999999998"/>
        <n v="349.8"/>
        <n v="394.83"/>
        <n v="1062.0"/>
        <n v="374.92"/>
        <n v="3811.52"/>
        <n v="1434.06"/>
        <n v="823.48"/>
        <n v="100.8"/>
        <n v="43.61"/>
        <n v="229.08"/>
        <n v="169.4"/>
        <n v="96.36"/>
        <n v="517.92"/>
        <n v="922.53"/>
        <n v="92.25"/>
        <n v="1179.64"/>
        <n v="1555.2"/>
        <n v="733.4399999999999"/>
        <n v="2913.88"/>
        <n v="154.44"/>
        <n v="781.08"/>
        <n v="42.94"/>
        <n v="19.84"/>
        <n v="590.58"/>
        <n v="1055.61"/>
        <n v="993.3000000000001"/>
        <n v="107.63999999999999"/>
        <n v="1121.25"/>
        <n v="761.46"/>
        <n v="299.72"/>
        <n v="1072.56"/>
        <n v="38.48"/>
        <n v="179.4"/>
        <n v="197.5"/>
        <n v="1609.9"/>
        <n v="90.3"/>
        <n v="1372.3799999999999"/>
        <n v="1984.18"/>
        <n v="15.8"/>
        <n v="51.75"/>
        <n v="365.79"/>
        <n v="13.8"/>
        <n v="537.81"/>
        <n v="17.36"/>
        <n v="875.7099999999999"/>
        <n v="185.31"/>
        <n v="1756.9199999999998"/>
        <n v="407.68000000000006"/>
        <n v="770.34"/>
        <n v="770.44"/>
        <n v="102.96000000000001"/>
        <n v="144.2"/>
        <n v="87.68"/>
        <n v="77.0"/>
        <n v="180.32000000000002"/>
        <n v="351.0"/>
        <n v="20.439999999999998"/>
        <n v="20.67"/>
        <n v="595.63"/>
        <n v="9.68"/>
        <n v="87.10000000000001"/>
        <n v="111.19999999999999"/>
        <n v="1157.1"/>
        <n v="495.98999999999995"/>
        <n v="390.72"/>
        <n v="521.52"/>
        <n v="4823.76"/>
        <n v="1853.28"/>
        <n v="855.0"/>
        <n v="149.94"/>
        <n v="80.48"/>
        <n v="4558.8"/>
        <n v="5302.44"/>
        <n v="295.78"/>
        <n v="4079.2999999999997"/>
        <n v="14102.08"/>
        <n v="8285.48"/>
        <n v="6245.88"/>
        <n v="6029.150000000001"/>
        <n v="275.76"/>
        <n v="677.66"/>
        <n v="842.4"/>
        <n v="166.53"/>
        <n v="487.2"/>
        <n v="1820.16"/>
        <n v="149.64000000000001"/>
        <n v="226.1"/>
        <n v="631.62"/>
        <n v="1858.6100000000001"/>
        <n v="644.84"/>
        <n v="257.58"/>
        <n v="1436.3999999999999"/>
        <n v="82.53"/>
        <n v="2196.0"/>
        <n v="242.35999999999999"/>
        <n v="444.60999999999996"/>
        <n v="378.51000000000005"/>
        <n v="297.68"/>
        <n v="1181.16"/>
        <n v="13.14"/>
        <n v="525.2800000000001"/>
        <n v="545.9"/>
        <n v="1278.8999999999999"/>
        <n v="4378.0"/>
        <n v="1156.24"/>
        <n v="1143.08"/>
        <n v="117.9"/>
        <n v="394.23"/>
        <n v="1741.5"/>
        <n v="1055.71"/>
        <n v="68.51"/>
        <n v="445.5"/>
        <n v="316.8"/>
        <n v="309.89"/>
        <n v="102.60000000000001"/>
        <n v="203.28"/>
        <n v="5375.38"/>
        <n v="181.45999999999998"/>
        <n v="1892.08"/>
        <n v="672.35"/>
        <n v="189.26999999999998"/>
        <n v="7.14"/>
        <n v="1794.24"/>
        <n v="214.76"/>
        <n v="1470.5"/>
        <n v="395.28000000000003"/>
        <n v="1805.7"/>
        <n v="4027.5199999999995"/>
        <n v="2579.36"/>
        <n v="310.59"/>
        <n v="5685.16"/>
        <n v="2304.4"/>
        <n v="4726.35"/>
        <n v="289.92"/>
        <n v="2246.75"/>
        <n v="1492.65"/>
        <n v="611.9000000000001"/>
        <n v="1044.6299999999999"/>
        <n v="446.03999999999996"/>
        <n v="4234.53"/>
        <n v="5077.26"/>
        <n v="364.82"/>
        <n v="2099.6"/>
        <n v="881.81"/>
        <n v="335.88"/>
        <n v="709.8"/>
        <n v="2227.4"/>
        <n v="1060.02"/>
        <n v="220.89"/>
        <n v="7962.5"/>
        <n v="1278.3600000000001"/>
        <n v="9.4"/>
        <n v="3035.5"/>
        <n v="4172.400000000001"/>
        <n v="7103.48"/>
        <n v="1881.88"/>
        <n v="3907.87"/>
        <n v="1633.74"/>
        <n v="2594.2"/>
        <n v="524.51"/>
        <n v="2493.82"/>
        <n v="392.25000000000006"/>
        <n v="8940.0"/>
        <n v="4760.35"/>
        <n v="179.54999999999998"/>
        <n v="3334.76"/>
        <n v="110.60000000000001"/>
        <n v="6885.4800000000005"/>
        <n v="602.7"/>
        <n v="841.75"/>
        <n v="176.39000000000001"/>
        <n v="1945.6799999999998"/>
        <n v="1071.52"/>
        <n v="4004.33"/>
        <n v="705.64"/>
        <n v="4379.43"/>
        <n v="3847.2599999999998"/>
        <n v="1639.64"/>
        <n v="446.9"/>
        <n v="3224.0"/>
        <n v="4301.31"/>
        <n v="1167.36"/>
        <n v="220.8"/>
        <n v="793.6500000000001"/>
        <n v="883.08"/>
        <n v="927.9899999999999"/>
        <n v="319.14"/>
        <n v="978.8800000000001"/>
        <n v="389.93999999999994"/>
        <n v="100.62"/>
        <n v="440.63"/>
        <n v="133.14"/>
        <n v="333.06"/>
        <n v="88.4"/>
        <n v="201.10999999999999"/>
        <n v="443.88000000000005"/>
        <n v="1708.14"/>
        <n v="642.9499999999999"/>
        <n v="37.52"/>
        <n v="1249.28"/>
        <n v="225.60000000000002"/>
        <n v="106.59"/>
        <n v="113.76"/>
        <n v="27.560000000000002"/>
        <n v="592.8000000000001"/>
        <n v="631.8000000000001"/>
        <n v="33.83"/>
        <n v="1430.8"/>
        <n v="1127.1"/>
        <n v="896.7"/>
        <n v="1366.3999999999999"/>
        <n v="839.1600000000001"/>
        <n v="1117.56"/>
        <n v="981.02"/>
        <n v="1383.9"/>
        <n v="2626.8"/>
        <n v="1095.3600000000001"/>
        <n v="103.39999999999999"/>
        <n v="1437.92"/>
        <n v="1096.16"/>
        <n v="793.05"/>
        <n v="620.75"/>
        <n v="679.2099999999999"/>
        <n v="1018.14"/>
        <n v="23.64"/>
        <n v="19.32"/>
        <n v="501.67"/>
        <n v="85.68"/>
        <n v="421.8"/>
        <n v="856.44"/>
        <n v="80.36"/>
        <n v="925.8699999999999"/>
        <n v="383.04"/>
        <n v="63.02"/>
        <n v="1431.66"/>
        <n v="114.0"/>
        <n v="957.78"/>
        <n v="441.28000000000003"/>
        <n v="197.76"/>
        <n v="31.45"/>
        <n v="443.04"/>
        <n v="72.72"/>
        <n v="1089.24"/>
        <n v="22.8"/>
        <n v="13.65"/>
        <n v="192.7"/>
        <n v="1599.84"/>
        <n v="1116.55"/>
        <n v="1813.02"/>
        <n v="4143.04"/>
        <n v="102.08"/>
        <n v="1060.2"/>
        <n v="1568.12"/>
        <n v="295.92"/>
        <n v="565.22"/>
        <n v="705.25"/>
        <n v="606.56"/>
        <n v="1818.15"/>
        <n v="23.98"/>
        <n v="106.0"/>
        <n v="884.52"/>
        <n v="107.1"/>
        <n v="168.3"/>
        <n v="667.94"/>
        <n v="6318.06"/>
        <n v="990.08"/>
        <n v="251.54999999999998"/>
        <n v="2066.3999999999996"/>
        <n v="820.26"/>
        <n v="1063.7199999999998"/>
        <n v="821.98"/>
        <n v="74.71000000000001"/>
        <n v="667.76"/>
        <n v="1983.2199999999998"/>
        <n v="1280.3"/>
        <n v="311.91"/>
        <n v="989.12"/>
        <n v="610.35"/>
        <n v="1023.66"/>
        <n v="4551.93"/>
        <n v="486.33"/>
        <n v="666.41"/>
        <n v="16.23"/>
        <n v="2324.04"/>
        <n v="6042.96"/>
        <n v="468.75"/>
        <n v="523.9"/>
        <n v="257.66"/>
        <n v="877.3000000000001"/>
        <n v="5160.780000000001"/>
        <n v="256.52"/>
        <n v="6569.63"/>
        <n v="959.1"/>
        <n v="1372.88"/>
        <n v="463.43"/>
        <n v="1871.5"/>
        <n v="1119.96"/>
        <n v="238.2"/>
        <n v="2112.54"/>
        <n v="543.06"/>
        <n v="1222.5"/>
        <n v="194.95000000000002"/>
        <n v="5214.51"/>
        <n v="4911.21"/>
        <n v="1998.44"/>
        <n v="584.28"/>
        <n v="1397.3999999999999"/>
        <n v="675.6899999999999"/>
        <n v="1306.5900000000001"/>
        <n v="762.54"/>
        <n v="562.3199999999999"/>
        <n v="125.62"/>
        <n v="118.16999999999999"/>
        <n v="819.1800000000001"/>
        <n v="877.85"/>
        <n v="1181.0500000000002"/>
        <n v="1745.1"/>
        <n v="324.8"/>
        <n v="715.74"/>
        <n v="2791.25"/>
        <n v="3564.0"/>
        <n v="860.2099999999999"/>
        <n v="6992.1"/>
        <n v="2364.06"/>
        <n v="1038.24"/>
        <n v="2729.5299999999997"/>
        <n v="1110.2"/>
        <n v="439.79"/>
        <n v="717.24"/>
        <n v="14.15"/>
        <n v="6864.0"/>
        <n v="693.2800000000001"/>
        <n v="1646.3600000000001"/>
        <n v="252.3"/>
        <n v="677.99"/>
        <n v="118.82000000000001"/>
        <n v="338.8"/>
        <n v="11.200000000000001"/>
        <n v="741.24"/>
        <n v="335.79999999999995"/>
        <n v="141.0"/>
        <n v="402.3"/>
        <n v="47.58"/>
        <n v="158.32999999999998"/>
        <n v="352.26"/>
        <n v="608.8499999999999"/>
        <n v="2582.64"/>
        <n v="377.88"/>
        <n v="37.62"/>
        <n v="189.1"/>
        <n v="74.88"/>
        <n v="645.4799999999999"/>
        <n v="376.59999999999997"/>
        <n v="234.85"/>
        <n v="264.96"/>
        <n v="629.37"/>
        <n v="-19.28"/>
        <n v="552.4200000000001"/>
        <n v="39.78"/>
        <n v="36.24"/>
        <n v="803.16"/>
        <n v="701.52"/>
        <n v="329.76"/>
        <n v="323.9"/>
        <n v="287.82"/>
        <n v="93.44"/>
        <n v="1275.1200000000001"/>
        <n v="926.16"/>
        <n v="185.84"/>
        <n v="249.55"/>
        <n v="254.88"/>
        <n v="1251.9"/>
        <n v="188.01999999999998"/>
        <n v="72.5"/>
        <n v="706.8"/>
        <n v="366.3"/>
        <n v="1494.54"/>
        <n v="261.86999999999995"/>
        <n v="853.44"/>
        <n v="959.3100000000001"/>
        <n v="332.32"/>
        <n v="875.38"/>
        <n v="85.54"/>
        <n v="161.07"/>
        <n v="556.5"/>
        <n v="16.650000000000002"/>
        <n v="830.0"/>
        <n v="23.580000000000002"/>
        <n v="1428.85"/>
        <n v="589.39"/>
        <n v="6780.96"/>
        <n v="170.7"/>
        <n v="142.08"/>
        <n v="1789.25"/>
        <n v="32.129999999999995"/>
        <n v="183.75"/>
        <n v="1196.01"/>
        <n v="413.64000000000004"/>
        <n v="1451.4"/>
        <n v="6045.200000000001"/>
        <n v="980.5600000000001"/>
        <n v="2098.14"/>
        <n v="13.74"/>
        <n v="4904.79"/>
        <n v="78.3"/>
        <n v="250.04"/>
        <n v="14.560000000000002"/>
        <n v="165.12"/>
        <n v="513.8100000000001"/>
        <n v="2345.2"/>
        <n v="1868.46"/>
        <n v="742.53"/>
        <n v="158.27"/>
        <n v="1034.55"/>
        <n v="370.08"/>
        <n v="415.08"/>
        <n v="185.44"/>
        <n v="14298.75"/>
        <n v="10.9"/>
        <n v="3645.0"/>
        <n v="545.75"/>
        <n v="1991.9800000000002"/>
        <n v="1587.21"/>
        <n v="89.10000000000001"/>
        <n v="32.16"/>
        <n v="756.9"/>
        <n v="133.64"/>
        <n v="797.88"/>
        <n v="320.16"/>
        <n v="1005.8"/>
        <n v="1186.36"/>
        <n v="2475.9900000000002"/>
        <n v="10.99"/>
        <n v="704.72"/>
        <n v="778.3199999999999"/>
        <n v="398.4"/>
        <n v="116.13000000000001"/>
        <n v="252.7"/>
        <n v="397.44"/>
        <n v="516.0"/>
        <n v="670.77"/>
        <n v="345.78"/>
        <n v="215.16"/>
        <n v="9.24"/>
        <n v="126.73"/>
        <n v="569.08"/>
        <n v="1293.2399999999998"/>
        <n v="135.9"/>
        <n v="51.51"/>
        <n v="151.68"/>
        <n v="102.96"/>
        <n v="11775.23"/>
        <n v="40.589999999999996"/>
        <n v="184.8"/>
        <n v="118.80000000000001"/>
        <n v="184.67"/>
        <n v="419.15"/>
        <n v="36.720000000000006"/>
        <n v="136.32"/>
        <n v="612.5600000000001"/>
        <n v="218.44"/>
        <n v="78.53999999999999"/>
        <n v="306.90000000000003"/>
        <n v="723.24"/>
        <n v="762.8399999999999"/>
        <n v="343.0"/>
        <n v="19131.68"/>
        <n v="1063.3400000000001"/>
        <n v="2363.6800000000003"/>
        <n v="135.0"/>
        <n v="2412.0"/>
        <n v="273.98"/>
        <n v="1829.31"/>
        <n v="3172.4"/>
        <n v="192.96"/>
        <n v="290.49"/>
        <n v="5864.4"/>
        <n v="1491.8400000000001"/>
        <n v="291.54"/>
        <n v="3054.7400000000002"/>
        <n v="209.92"/>
        <n v="1597.8600000000001"/>
        <n v="2814.73"/>
        <n v="9941.94"/>
        <n v="20163.0"/>
        <n v="961.2"/>
        <n v="44.16"/>
        <n v="1865.6000000000001"/>
        <n v="537.93"/>
        <n v="884.66"/>
        <n v="180.0"/>
        <n v="108.36"/>
        <n v="66.33"/>
        <n v="264.16"/>
        <n v="34.16"/>
        <n v="24.32"/>
        <n v="115.13999999999999"/>
        <n v="81.92"/>
        <n v="207.4"/>
        <n v="375.92"/>
        <n v="31.5"/>
        <n v="13.75"/>
        <n v="527.17"/>
        <n v="78.88000000000001"/>
        <n v="965.52"/>
        <n v="146.29999999999998"/>
        <n v="25.48"/>
        <n v="1085.6"/>
        <n v="438.59999999999997"/>
        <n v="82.55"/>
        <n v="580.72"/>
        <n v="188.16000000000003"/>
        <n v="1440.8799999999999"/>
        <n v="234.6"/>
        <n v="52.56"/>
        <n v="633.6800000000001"/>
        <n v="102.30000000000001"/>
        <n v="105.84"/>
        <n v="5.61"/>
        <n v="583.12"/>
        <n v="336.38"/>
        <n v="387.59999999999997"/>
        <n v="55.68"/>
        <n v="108.0"/>
        <n v="739.05"/>
        <n v="767.9699999999999"/>
        <n v="999.41"/>
        <n v="81.51"/>
        <n v="318.78000000000003"/>
        <n v="819.5"/>
        <n v="245.92"/>
        <n v="878.4799999999999"/>
        <n v="624.8399999999999"/>
        <n v="1725.68"/>
        <n v="941.16"/>
        <n v="133.65"/>
        <n v="85.8"/>
        <n v="84.0"/>
        <n v="2837.65"/>
        <n v="131.84"/>
        <n v="20.37"/>
        <n v="202.51"/>
        <n v="280.33"/>
        <n v="412.08"/>
        <n v="220.79999999999998"/>
        <n v="200.96999999999997"/>
        <n v="977.34"/>
        <n v="1461.18"/>
        <n v="258.4"/>
        <n v="237.17999999999998"/>
        <n v="655.8199999999999"/>
        <n v="166.0"/>
        <n v="1281.06"/>
        <n v="169.48"/>
        <n v="164.73"/>
        <n v="1627.92"/>
        <n v="709.92"/>
        <n v="427.2"/>
        <n v="314.76"/>
        <n v="513.03"/>
        <n v="652.8"/>
        <n v="381.36"/>
        <n v="693.0"/>
        <n v="265.62"/>
        <n v="719.2800000000001"/>
        <n v="335.72"/>
        <n v="772.1999999999999"/>
        <n v="192.41"/>
        <n v="409.63000000000005"/>
        <n v="62.16"/>
        <n v="118.4"/>
        <n v="473.62"/>
        <n v="78.84"/>
        <n v="702.46"/>
        <n v="49.14"/>
        <n v="3971.76"/>
        <n v="178.48000000000002"/>
        <n v="1791.4199999999998"/>
        <n v="1094.21"/>
        <n v="1701.6999999999998"/>
        <n v="266.21999999999997"/>
        <n v="221.76"/>
        <n v="23.52"/>
        <n v="42.470000000000006"/>
        <n v="640.76"/>
        <n v="414.09999999999997"/>
        <n v="580.16"/>
        <n v="199.12"/>
        <n v="511.09999999999997"/>
        <n v="165.78"/>
        <n v="51.85"/>
        <n v="241.15"/>
        <n v="1275.06"/>
        <n v="519.06"/>
        <n v="367.64"/>
        <n v="63.580000000000005"/>
        <n v="182.25"/>
        <n v="1606.96"/>
        <n v="785.6600000000001"/>
        <n v="102.5"/>
        <n v="241.0"/>
        <n v="359.31"/>
        <n v="14.91"/>
        <n v="408.75"/>
        <n v="461.25"/>
        <n v="95.7"/>
        <n v="294.4"/>
        <n v="393.96"/>
        <n v="223.79999999999998"/>
        <n v="1458.24"/>
        <n v="194.48000000000002"/>
        <n v="962.66"/>
        <n v="1496.95"/>
        <n v="1356.48"/>
        <n v="94.5"/>
        <n v="346.15"/>
        <n v="311.64"/>
        <n v="-10.45"/>
        <n v="281.96000000000004"/>
        <n v="170.5"/>
        <n v="8.84"/>
        <n v="375.36"/>
        <n v="47.1"/>
        <n v="2102.5"/>
        <n v="163.08"/>
        <n v="1323.6299999999999"/>
        <n v="188.1"/>
        <n v="1167.81"/>
        <n v="913.0"/>
        <n v="32.72"/>
        <n v="1222.92"/>
        <n v="34.65"/>
        <n v="59.5"/>
        <n v="664.62"/>
        <n v="1345.89"/>
        <n v="879.63"/>
        <n v="4976.4"/>
        <n v="-25.36"/>
        <n v="1505.4"/>
        <n v="977.6"/>
        <n v="814.35"/>
        <n v="27.5"/>
        <n v="563.64"/>
        <n v="644.1"/>
        <n v="1411.92"/>
        <n v="3.66"/>
        <n v="709.12"/>
        <n v="142.6"/>
        <n v="1387.5000000000002"/>
        <n v="604.54"/>
        <n v="59.04"/>
        <n v="1602.48"/>
        <n v="561.6"/>
        <n v="604.01"/>
        <n v="179.52"/>
        <n v="1896.1799999999998"/>
        <n v="238.38000000000002"/>
        <n v="594.27"/>
        <n v="91.65"/>
        <n v="14.72"/>
        <n v="4.83"/>
        <n v="802.24"/>
        <n v="758.39"/>
        <n v="1106.07"/>
        <n v="1435.24"/>
        <n v="-12.56"/>
        <n v="1366.1499999999999"/>
        <n v="1003.9999999999999"/>
        <n v="2750.18"/>
        <n v="474.32"/>
        <n v="230.88"/>
        <n v="444.16"/>
        <n v="718.56"/>
        <n v="368.21999999999997"/>
        <n v="555.52"/>
        <n v="17.189999999999998"/>
        <n v="277.4"/>
        <n v="11.969999999999999"/>
        <n v="571.96"/>
        <n v="91.5"/>
        <n v="932.75"/>
        <n v="418.16999999999996"/>
        <n v="155.61"/>
        <n v="1159.1"/>
        <n v="1271.97"/>
        <n v="435.08"/>
        <n v="497.41999999999996"/>
        <n v="285.59999999999997"/>
        <n v="362.08"/>
        <n v="76.61"/>
        <n v="359.55"/>
        <n v="882.0"/>
        <n v="139.74"/>
        <n v="171.92000000000002"/>
        <n v="208.95000000000002"/>
        <n v="398.31"/>
        <n v="577.02"/>
        <n v="126.1"/>
        <n v="18.12"/>
        <n v="129.2"/>
        <n v="73.52999999999999"/>
        <n v="214.42"/>
        <n v="322.0"/>
        <n v="329.36"/>
        <n v="25.959999999999997"/>
        <n v="42.75"/>
        <n v="12.32"/>
        <n v="267.96"/>
        <n v="357.2"/>
        <n v="171.0"/>
        <n v="450.59000000000003"/>
        <n v="1012.8"/>
        <n v="476.56"/>
        <n v="872.1"/>
        <n v="3.12"/>
        <n v="1325.06"/>
        <n v="20.16"/>
        <n v="226.07999999999998"/>
        <n v="209.89"/>
        <n v="125.35000000000001"/>
        <n v="214.62"/>
        <n v="2.36"/>
        <n v="348.3"/>
        <n v="212.8"/>
        <n v="1994.72"/>
        <n v="1448.55"/>
        <n v="77.22"/>
        <n v="2103.6600000000003"/>
        <n v="338.03000000000003"/>
        <n v="444.21"/>
        <n v="19.52"/>
        <n v="242.22"/>
        <n v="660.65"/>
        <n v="18.64"/>
        <n v="525.69"/>
        <n v="176.29999999999998"/>
        <n v="182.03"/>
        <n v="244.42"/>
        <n v="398.25"/>
        <n v="1183.13"/>
        <n v="305.95"/>
        <n v="518.16"/>
        <n v="872.37"/>
        <n v="991.8"/>
        <n v="322.32"/>
        <n v="391.51"/>
        <n v="361.2"/>
        <n v="966.0"/>
        <n v="2521.48"/>
        <n v="461.68"/>
        <n v="417.2"/>
        <n v="750.5999999999999"/>
        <n v="769.5"/>
        <n v="306.28000000000003"/>
        <n v="3790.7999999999997"/>
        <n v="4569.04"/>
        <n v="589.9499999999999"/>
        <n v="234.07999999999998"/>
        <n v="1229.14"/>
        <n v="734.28"/>
        <n v="5723.55"/>
        <n v="1460.0"/>
        <n v="492.58000000000004"/>
        <n v="3868.9199999999996"/>
        <n v="664.3199999999999"/>
        <n v="16120.0"/>
        <n v="2601.54"/>
        <n v="894.6"/>
        <n v="107.84"/>
        <n v="79.3"/>
        <n v="5875.0"/>
        <n v="2300.4"/>
        <n v="4631.2"/>
        <n v="1113.9199999999998"/>
        <n v="3186.1"/>
        <n v="4666.41"/>
        <n v="1802.3999999999999"/>
        <n v="193.92999999999998"/>
        <n v="141.84"/>
        <n v="241.39999999999998"/>
        <n v="1471.26"/>
        <n v="3801.9"/>
        <n v="6699.96"/>
        <n v="1271.93"/>
        <n v="23.900000000000002"/>
        <n v="48.529999999999994"/>
        <n v="2167.0"/>
        <n v="817.44"/>
        <n v="2778.4"/>
        <n v="1126.9"/>
        <n v="168.24"/>
        <n v="2334.9"/>
        <n v="441.78"/>
        <n v="3173.56"/>
        <n v="1162.77"/>
        <n v="3774.44"/>
        <n v="3403.7999999999997"/>
        <n v="3108.6"/>
        <n v="1225.8999999999999"/>
        <n v="1052.76"/>
        <n v="1041.5900000000001"/>
        <n v="884.0799999999999"/>
        <n v="17.64"/>
        <n v="1427.8"/>
        <n v="-26.48"/>
        <n v="2486.4"/>
        <n v="1934.6000000000001"/>
        <n v="477.66"/>
        <n v="2646.23"/>
        <n v="56.25"/>
        <n v="419.07"/>
        <n v="64.17"/>
        <n v="267.72"/>
        <n v="387.6"/>
        <n v="2024.4599999999998"/>
        <n v="727.62"/>
        <n v="1882.5"/>
        <n v="598.5600000000001"/>
        <n v="1081.6000000000001"/>
        <n v="337.99"/>
        <n v="1374.45"/>
        <n v="383.68"/>
        <n v="224.66000000000003"/>
        <n v="783.24"/>
        <n v="3378.6400000000003"/>
        <n v="3434.65"/>
        <n v="2263.2599999999998"/>
        <n v="186.76000000000002"/>
        <n v="574.74"/>
        <n v="416.06"/>
        <n v="1529.5500000000002"/>
        <n v="1420.65"/>
        <n v="216.66"/>
        <n v="1941.0300000000002"/>
        <n v="440.0"/>
        <n v="625.6700000000001"/>
        <n v="518.01"/>
        <n v="1028.85"/>
        <n v="1769.85"/>
        <n v="1284.64"/>
        <n v="231.83999999999997"/>
        <n v="313.2"/>
        <n v="270.48"/>
        <n v="110.16"/>
        <n v="2030.4"/>
        <n v="251.71999999999997"/>
        <n v="366.72999999999996"/>
        <n v="355.67999999999995"/>
        <n v="2149.29"/>
        <n v="1375.92"/>
        <n v="283.42"/>
        <n v="98.49"/>
        <n v="75.04"/>
        <n v="169.06"/>
        <n v="235.03999999999996"/>
        <n v="33.82"/>
        <n v="22.5"/>
        <n v="101.52"/>
        <n v="629.8499999999999"/>
        <n v="375.39000000000004"/>
        <n v="826.2"/>
        <n v="610.08"/>
        <n v="624.24"/>
        <n v="290.28999999999996"/>
        <n v="971.52"/>
        <n v="1583.04"/>
        <n v="838.8000000000001"/>
        <n v="393.39"/>
        <n v="1037.3999999999999"/>
        <n v="289.98"/>
        <n v="523.24"/>
        <n v="767.8199999999999"/>
        <n v="1030.37"/>
        <n v="138.38"/>
        <n v="536.36"/>
        <n v="175.2"/>
        <n v="164.16"/>
        <n v="381.15000000000003"/>
        <n v="372.29999999999995"/>
        <n v="162.52"/>
        <n v="167.5"/>
        <n v="102.86"/>
        <n v="2267.08"/>
        <n v="604.2"/>
        <n v="199.0"/>
        <n v="558.36"/>
        <n v="405.24"/>
        <n v="17.849999999999998"/>
        <n v="647.98"/>
        <n v="739.75"/>
        <n v="257.59999999999997"/>
        <n v="900.48"/>
        <n v="753.48"/>
        <n v="559.73"/>
        <n v="241.19"/>
        <n v="498.33"/>
        <n v="302.40000000000003"/>
        <n v="921.5999999999999"/>
        <n v="41.58"/>
        <n v="167.04"/>
        <n v="475.02"/>
        <n v="2456.3"/>
        <n v="2389.86"/>
        <n v="861.04"/>
        <n v="1655.81"/>
        <n v="327.85"/>
        <n v="1358.45"/>
        <n v="241.49999999999997"/>
        <n v="1571.76"/>
        <n v="403.34"/>
        <n v="4602.72"/>
        <n v="2475.0"/>
        <n v="1206.72"/>
        <n v="1500.7900000000002"/>
        <n v="6973.2"/>
        <n v="9152.119999999999"/>
        <n v="4843.2"/>
        <n v="7882.56"/>
        <n v="4955.68"/>
        <n v="211.89"/>
        <n v="887.2"/>
        <n v="572.4000000000001"/>
        <n v="1867.55"/>
        <n v="276.25"/>
        <n v="673.62"/>
        <n v="345.34000000000003"/>
        <n v="34.92"/>
        <n v="2929.8"/>
        <n v="780.8000000000001"/>
        <n v="3609.98"/>
        <n v="5223.4"/>
        <n v="3638.8799999999997"/>
        <n v="8446.68"/>
        <n v="3387.5"/>
        <n v="3147.81"/>
        <n v="757.4399999999999"/>
        <n v="4433.9400000000005"/>
        <n v="1920.4199999999998"/>
        <n v="4.54"/>
        <n v="3324.15"/>
        <n v="464.79999999999995"/>
        <n v="310.08"/>
        <n v="2854.1800000000003"/>
        <n v="3774.56"/>
        <n v="3868.0299999999997"/>
        <n v="763.1999999999999"/>
        <n v="1899.8000000000002"/>
        <n v="5.8"/>
        <n v="1192.6200000000001"/>
        <n v="3388.7000000000003"/>
        <n v="351.56"/>
        <n v="1511.78"/>
        <n v="931.8400000000001"/>
        <n v="233.82"/>
        <n v="124.74000000000001"/>
        <n v="-3.99"/>
        <n v="1580.6699999999998"/>
        <n v="161.98000000000002"/>
        <n v="2840.5299999999997"/>
        <n v="4643.12"/>
        <n v="324.3"/>
        <n v="572.24"/>
        <n v="5853.31"/>
        <n v="1846.8000000000002"/>
        <n v="1591.76"/>
        <n v="5059.9400000000005"/>
        <n v="785.0100000000001"/>
        <n v="644.38"/>
        <n v="2685.7599999999998"/>
        <n v="2460.15"/>
        <n v="239.4"/>
        <n v="1174.1599999999999"/>
        <n v="1941.77"/>
        <n v="2102.66"/>
        <n v="1525.6799999999998"/>
        <n v="12825.160000000002"/>
        <n v="33640.04"/>
        <n v="7300.66"/>
        <n v="1618.03"/>
        <n v="1342.0"/>
        <n v="1296.3600000000001"/>
        <n v="4039.09"/>
        <n v="2582.2999999999997"/>
        <n v="2116.7999999999997"/>
        <n v="3821.4"/>
        <n v="3028.0800000000004"/>
        <n v="612.17"/>
        <n v="5033.01"/>
        <n v="4541.04"/>
        <n v="136.22"/>
        <n v="1191.1599999999999"/>
        <n v="5363.740000000001"/>
        <n v="1426.41"/>
        <n v="4040.2799999999997"/>
        <n v="114.07"/>
        <n v="3103.1000000000004"/>
        <n v="5509.450000000001"/>
        <n v="1760.3000000000002"/>
        <n v="2783.8900000000003"/>
        <n v="464.20000000000005"/>
        <n v="551.26"/>
        <n v="870.87"/>
        <n v="3109.85"/>
        <n v="3238.04"/>
        <n v="5062.22"/>
        <n v="55.2"/>
        <n v="2516.58"/>
        <n v="577.5"/>
        <n v="4038.54"/>
        <n v="361.27000000000004"/>
        <n v="110.46"/>
        <n v="1124.55"/>
        <n v="1239.04"/>
        <n v="3802.5"/>
        <n v="2623.5"/>
        <n v="2290.3"/>
        <n v="2439.25"/>
        <n v="2031.75"/>
        <n v="1136.46"/>
        <n v="628.11"/>
        <n v="1389.02"/>
        <n v="79.24000000000001"/>
        <n v="1143.28"/>
        <n v="6645.0599999999995"/>
        <n v="3548.25"/>
        <n v="2190.18"/>
        <n v="3144.0"/>
        <n v="243.97"/>
        <n v="82.0"/>
        <n v="2549.24"/>
        <n v="461.13"/>
        <n v="261.36"/>
        <n v="7330.28"/>
        <n v="11917.619999999999"/>
        <n v="1759.52"/>
        <n v="560.4499999999999"/>
        <n v="2070.6"/>
        <n v="2460.68"/>
        <n v="401.28"/>
        <n v="362.7"/>
        <n v="3774.2000000000003"/>
        <n v="24.44"/>
        <n v="983.3299999999999"/>
        <n v="3074.58"/>
        <n v="91.44"/>
        <n v="2879.55"/>
        <n v="463.97999999999996"/>
        <n v="2194.47"/>
        <n v="3430.59"/>
        <n v="4153.6"/>
        <n v="2496.9"/>
        <n v="866.8"/>
        <n v="132.37"/>
        <n v="4117.92"/>
        <n v="59.36"/>
        <n v="649.6"/>
        <n v="843.1800000000001"/>
        <n v="7.89"/>
        <n v="2825.52"/>
        <n v="523.75"/>
        <n v="2255.15"/>
        <n v="2330.82"/>
        <n v="1904.8200000000002"/>
        <n v="3048.26"/>
        <n v="758.03"/>
        <n v="1080.7199999999998"/>
        <n v="1018.54"/>
        <n v="1863.33"/>
        <n v="1254.4"/>
        <n v="1062.65"/>
        <n v="463.98"/>
        <n v="4253.13"/>
        <n v="2844.0299999999997"/>
        <n v="1287.31"/>
        <n v="6672.12"/>
        <n v="172.76999999999998"/>
        <n v="367.01000000000005"/>
        <n v="558.08"/>
        <n v="390.15000000000003"/>
        <n v="81.83"/>
        <n v="13.780000000000001"/>
        <n v="518.0"/>
        <n v="62.099999999999994"/>
        <n v="522.74"/>
        <n v="377.58"/>
        <n v="319.2"/>
        <n v="44.73"/>
        <n v="343.87"/>
        <n v="1890.0000000000002"/>
        <n v="546.96"/>
        <n v="335.15999999999997"/>
        <n v="280.8"/>
        <n v="394.71"/>
        <n v="295.79999999999995"/>
        <n v="203.0"/>
        <n v="79.97"/>
        <n v="12.36"/>
        <n v="92.95"/>
        <n v="4.72"/>
        <n v="116.56"/>
        <n v="27.540000000000003"/>
        <n v="783.76"/>
        <n v="128.82"/>
        <n v="115.61999999999999"/>
        <n v="186.9"/>
        <n v="510.3"/>
        <n v="27.810000000000002"/>
        <n v="315.0"/>
        <n v="5357.36"/>
        <n v="101.00999999999999"/>
        <n v="1694.0"/>
        <n v="314.6"/>
        <n v="196.01999999999998"/>
        <n v="140.0"/>
        <n v="216.24"/>
        <n v="317.53000000000003"/>
        <n v="1513.05"/>
        <n v="123.97"/>
        <n v="637.2600000000001"/>
        <n v="10.2"/>
        <n v="109.89999999999999"/>
        <n v="1015.72"/>
        <n v="709.8000000000001"/>
        <n v="59.52"/>
        <n v="9.520000000000001"/>
        <n v="578.34"/>
        <n v="81.42"/>
        <n v="314.11"/>
        <n v="79.35"/>
        <n v="542.66"/>
        <n v="235.72"/>
        <n v="269.7"/>
        <n v="143.1"/>
        <n v="407.34000000000003"/>
        <n v="78.28"/>
        <n v="582.98"/>
        <n v="807.84"/>
        <n v="282.5"/>
        <n v="163.35"/>
        <n v="547.68"/>
        <n v="148.68"/>
        <n v="697.6800000000001"/>
        <n v="777.79"/>
        <n v="124.19999999999999"/>
        <n v="199.49999999999997"/>
        <n v="0.66"/>
        <n v="1071.6299999999999"/>
        <n v="217.56"/>
        <n v="785.6"/>
        <n v="552.66"/>
        <n v="37.24"/>
        <n v="367.5"/>
        <n v="410.31"/>
        <n v="503.72999999999996"/>
        <n v="436.32"/>
        <n v="139.23"/>
        <n v="277.2"/>
        <n v="775.1999999999999"/>
        <n v="316.26"/>
        <n v="651.78"/>
        <n v="487.35"/>
        <n v="378.75"/>
        <n v="794.75"/>
        <n v="1294.47"/>
        <n v="824.67"/>
        <n v="16.72"/>
        <n v="763.2"/>
        <n v="3848.26"/>
        <n v="257.21000000000004"/>
        <n v="1400.63"/>
        <n v="845.01"/>
        <n v="979.44"/>
        <n v="2137.12"/>
        <n v="1064.81"/>
        <n v="373.23999999999995"/>
        <n v="274.56"/>
        <n v="388.96"/>
        <n v="229.84"/>
        <n v="814.8000000000001"/>
        <n v="171.20000000000002"/>
        <n v="5054.23"/>
        <n v="405.84000000000003"/>
        <n v="495.72"/>
        <n v="315.06"/>
        <n v="905.17"/>
        <n v="1560.8999999999999"/>
        <n v="693.16"/>
        <n v="667.26"/>
        <n v="254.66000000000003"/>
        <n v="1595.5"/>
        <n v="300.7"/>
        <n v="329.18"/>
        <n v="1295.1899999999998"/>
        <n v="19.18"/>
        <n v="871.85"/>
        <n v="306.68"/>
        <n v="395.2"/>
        <n v="1483.4699999999998"/>
        <n v="55.800000000000004"/>
        <n v="193.20000000000002"/>
        <n v="92.88"/>
        <n v="247.95"/>
        <n v="1278.1799999999998"/>
        <n v="121.44"/>
        <n v="1243.32"/>
        <n v="960.3000000000001"/>
        <n v="106.02"/>
        <n v="95.78999999999999"/>
        <n v="153.6"/>
        <n v="64.38"/>
        <n v="9.45"/>
        <n v="237.79999999999998"/>
        <n v="401.94"/>
        <n v="256.8"/>
        <n v="263.84"/>
        <n v="1360.52"/>
        <n v="87.75"/>
        <n v="1324.4399999999998"/>
        <n v="655.59"/>
        <n v="240.0"/>
        <n v="423.13"/>
        <n v="178.56"/>
        <n v="27.54"/>
        <n v="2502.2999999999997"/>
        <n v="44.0"/>
        <n v="400.96000000000004"/>
        <n v="3079.44"/>
        <n v="592.02"/>
        <n v="43.66"/>
        <n v="248.39999999999998"/>
        <n v="198.23999999999998"/>
        <n v="37.74"/>
        <n v="28.71"/>
        <n v="1279.67"/>
        <n v="435.31"/>
        <n v="385.40000000000003"/>
        <n v="626.08"/>
        <n v="108.99"/>
        <n v="483.26"/>
        <n v="451.56"/>
        <n v="19.24"/>
        <n v="705.84"/>
        <n v="28.380000000000003"/>
        <n v="364.71999999999997"/>
        <n v="745.49"/>
        <n v="407.74"/>
        <n v="526.89"/>
        <n v="-2.84"/>
        <n v="35.35"/>
        <n v="320.65"/>
        <n v="178.54"/>
        <n v="270.2"/>
        <n v="129.21"/>
        <n v="718.18"/>
        <n v="470.67999999999995"/>
        <n v="556.87"/>
        <n v="841.6"/>
        <n v="271.56"/>
        <n v="312.24"/>
        <n v="393.12"/>
        <n v="458.85"/>
        <n v="245.28"/>
        <n v="681.2099999999999"/>
        <n v="179.07"/>
        <n v="2488.2"/>
        <n v="843.7800000000001"/>
        <n v="82.28"/>
        <n v="374.21999999999997"/>
        <n v="849.72"/>
        <n v="1006.5600000000001"/>
        <n v="641.55"/>
        <n v="1188.64"/>
        <n v="2337.1200000000003"/>
        <n v="-33.300000000000004"/>
        <n v="1772.43"/>
        <n v="39.1"/>
        <n v="2148.26"/>
        <n v="4135.8"/>
        <n v="2586.21"/>
        <n v="1155.06"/>
        <n v="266.90999999999997"/>
        <n v="830.79"/>
        <n v="1593.15"/>
        <n v="348.14"/>
        <n v="167.32"/>
        <n v="465.12"/>
        <n v="1863.72"/>
        <n v="99.96"/>
        <n v="187.53"/>
        <n v="312.0"/>
        <n v="30.400000000000002"/>
        <n v="180.77999999999997"/>
        <n v="82.2"/>
        <n v="144.72"/>
        <n v="329.16"/>
        <n v="211.46"/>
        <n v="470.88000000000005"/>
        <n v="444.03"/>
        <n v="782.3100000000001"/>
        <n v="477.90000000000003"/>
        <n v="97.2"/>
        <n v="1443.24"/>
        <n v="1799.49"/>
        <n v="83.5"/>
        <n v="168.63"/>
        <n v="1671.3999999999999"/>
        <n v="321.44000000000005"/>
        <n v="1279.74"/>
        <n v="755.2199999999999"/>
        <n v="1660.23"/>
        <n v="292.52"/>
        <n v="2044.74"/>
        <n v="113.14999999999999"/>
        <n v="807.72"/>
        <n v="309.43"/>
        <n v="66.96000000000001"/>
        <n v="516.12"/>
        <n v="116.84"/>
        <n v="1074.64"/>
        <n v="274.68"/>
        <n v="163.01999999999998"/>
        <n v="475.61"/>
        <n v="1084.71"/>
        <n v="725.7600000000001"/>
        <n v="372.36"/>
        <n v="1100.0500000000002"/>
        <n v="293.46"/>
        <n v="1831.94"/>
        <n v="250.48"/>
        <n v="303.02000000000004"/>
        <n v="1466.4499999999998"/>
        <n v="-4.66"/>
        <n v="189.06"/>
        <n v="604.1999999999999"/>
        <n v="49.559999999999995"/>
        <n v="162.8"/>
        <n v="244.52999999999997"/>
        <n v="121.89"/>
        <n v="288.0"/>
        <n v="685.2900000000001"/>
        <n v="1924.64"/>
        <n v="132.72"/>
        <n v="147.44"/>
        <n v="594.44"/>
        <n v="152.57"/>
        <n v="1614.99"/>
        <n v="184.79999999999998"/>
        <n v="1787.76"/>
        <n v="897.6"/>
        <n v="609.4"/>
        <n v="1328.94"/>
        <n v="349.92"/>
        <n v="1072.5"/>
        <n v="320.91999999999996"/>
        <n v="1354.5600000000002"/>
        <n v="1506.72"/>
        <n v="361.90000000000003"/>
        <n v="758.18"/>
        <n v="19.74"/>
        <n v="52.64"/>
        <n v="624.8100000000001"/>
        <n v="529.42"/>
        <n v="107.80000000000001"/>
        <n v="924.43"/>
        <n v="209.54999999999998"/>
        <n v="1791.24"/>
        <n v="43.92"/>
        <n v="28.860000000000003"/>
        <n v="1328.55"/>
        <n v="760.2"/>
        <n v="236.0"/>
        <n v="611.0"/>
        <n v="594.96"/>
        <n v="218.25"/>
        <n v="27.240000000000002"/>
        <n v="576.0"/>
        <n v="1016.4"/>
        <n v="41.76"/>
        <n v="359.05"/>
        <n v="260.15"/>
        <n v="1293.81"/>
        <n v="1692.8000000000002"/>
        <n v="919.1"/>
        <n v="635.46"/>
        <n v="103.4"/>
        <n v="133.7"/>
        <n v="481.08"/>
        <n v="608.36"/>
        <n v="422.16999999999996"/>
        <n v="399.3"/>
        <n v="809.19"/>
        <n v="77.80999999999999"/>
        <n v="416.50000000000006"/>
        <n v="125.12"/>
        <n v="277.92"/>
        <n v="284.96000000000004"/>
        <n v="327.42"/>
        <n v="1212.6"/>
        <n v="497.12"/>
        <n v="449.15999999999997"/>
        <n v="448.26000000000005"/>
        <n v="798.38"/>
        <n v="557.26"/>
        <n v="1328.9399999999998"/>
        <n v="463.05"/>
        <n v="16.17"/>
        <n v="105.78"/>
        <n v="51.36"/>
        <n v="58.14"/>
        <n v="620.6"/>
        <n v="209.23000000000002"/>
        <n v="122.99999999999999"/>
        <n v="768.14"/>
        <n v="1111.3600000000001"/>
        <n v="879.58"/>
        <n v="634.3100000000001"/>
        <n v="1112.22"/>
        <n v="116.25"/>
        <n v="590.32"/>
        <n v="647.52"/>
        <n v="1354.0800000000002"/>
        <n v="77.35"/>
        <n v="1358.64"/>
        <n v="176.29000000000002"/>
        <n v="261.63"/>
        <n v="19.36"/>
        <n v="26.82"/>
        <n v="550.8000000000001"/>
        <n v="887.3599999999999"/>
        <n v="940.8"/>
        <n v="71.39999999999999"/>
        <n v="634.97"/>
        <n v="206.5"/>
        <n v="618.4499999999999"/>
        <n v="640.0"/>
        <n v="134.42"/>
        <n v="251.92000000000002"/>
        <n v="2652.99"/>
        <n v="1088.82"/>
        <n v="40.37"/>
        <n v="943.48"/>
        <n v="2520.7999999999997"/>
        <n v="2793.9"/>
        <n v="2174.67"/>
        <n v="80.96"/>
        <n v="1392.64"/>
        <n v="1208.8799999999999"/>
        <n v="1075.67"/>
        <n v="591.6899999999999"/>
        <n v="3085.74"/>
        <n v="747.5"/>
        <n v="65.8"/>
        <n v="7.26"/>
        <n v="80.5"/>
        <n v="1539.24"/>
        <n v="619.12"/>
        <n v="5.96"/>
        <n v="222.64"/>
        <n v="1.14"/>
        <n v="325.04"/>
        <n v="121.79999999999998"/>
        <n v="938.91"/>
        <n v="104.80000000000001"/>
        <n v="95.69999999999999"/>
        <n v="918.74"/>
        <n v="652.8000000000001"/>
        <n v="903.5999999999999"/>
        <n v="17.37"/>
        <n v="1385.3799999999999"/>
        <n v="169.0"/>
        <n v="606.0"/>
        <n v="315.98"/>
        <n v="1142.3400000000001"/>
        <n v="1670.97"/>
        <n v="31.32"/>
        <n v="368.15000000000003"/>
        <n v="1980.1599999999999"/>
        <n v="655.3499999999999"/>
        <n v="124.56"/>
        <n v="5.37"/>
        <n v="1148.51"/>
        <n v="4764.639999999999"/>
        <n v="772.6800000000001"/>
        <n v="36.82"/>
        <n v="2839.72"/>
        <n v="522.88"/>
        <n v="296.79999999999995"/>
        <n v="76.5"/>
        <n v="280.23999999999995"/>
        <n v="270.68"/>
        <n v="215.07000000000002"/>
        <n v="591.8000000000001"/>
        <n v="120.96000000000001"/>
        <n v="150.06"/>
        <n v="289.79999999999995"/>
        <n v="2214.72"/>
        <n v="276.52"/>
        <n v="946.0500000000001"/>
        <n v="121.39"/>
        <n v="1412.1299999999999"/>
        <n v="1053.36"/>
        <n v="923.79"/>
        <n v="705.33"/>
        <n v="1319.08"/>
        <n v="-8.040000000000001"/>
        <n v="111.60000000000001"/>
        <n v="14.25"/>
        <n v="235.4"/>
        <n v="297.92"/>
        <n v="28.0"/>
        <n v="394.5"/>
        <n v="295.32"/>
        <n v="12.0"/>
        <n v="565.8"/>
        <n v="1347.5"/>
        <n v="815.76"/>
        <n v="496.91999999999996"/>
        <n v="373.65999999999997"/>
        <n v="49.49"/>
        <n v="1010.1"/>
        <n v="976.8000000000001"/>
        <n v="314.16"/>
        <n v="98.28"/>
        <n v="168.92000000000002"/>
        <n v="312.48"/>
        <n v="50.83"/>
        <n v="14.14"/>
        <n v="654.94"/>
        <n v="713.6999999999999"/>
        <n v="648.21"/>
        <n v="1059.99"/>
        <n v="54.18"/>
        <n v="769.64"/>
        <n v="244.75"/>
        <n v="151.89000000000001"/>
        <n v="-13.96"/>
        <n v="117.6"/>
        <n v="-0.84"/>
        <n v="77.83"/>
        <n v="688.2"/>
        <n v="706.75"/>
        <n v="120.69999999999999"/>
        <n v="1409.4"/>
        <n v="555.5200000000001"/>
        <n v="948.6"/>
        <n v="6435.44"/>
        <n v="927.1"/>
        <n v="61.050000000000004"/>
        <n v="226.95"/>
        <n v="123.48"/>
        <n v="83.64"/>
        <n v="1115.52"/>
        <n v="372.04"/>
        <n v="1511.4"/>
        <n v="27.3"/>
        <n v="108.47999999999999"/>
        <n v="650.2099999999999"/>
        <n v="58.300000000000004"/>
        <n v="372.11"/>
        <n v="441.18"/>
        <n v="1064.8"/>
        <n v="1425.06"/>
        <n v="558.4"/>
        <n v="48.6"/>
        <n v="184.86"/>
        <n v="1152.18"/>
        <n v="226.05"/>
        <n v="148.19"/>
        <n v="105.21"/>
        <n v="1240.16"/>
        <n v="820.15"/>
        <n v="125.28"/>
        <n v="324.82000000000005"/>
        <n v="166.25"/>
        <n v="113.46000000000001"/>
        <n v="1345.62"/>
        <n v="643.77"/>
        <n v="277.76"/>
        <n v="607.86"/>
        <n v="118.34"/>
        <n v="-1.88"/>
        <n v="1172.3600000000001"/>
        <n v="122.31"/>
        <n v="1492.1100000000001"/>
        <n v="842.0300000000001"/>
        <n v="294.59000000000003"/>
        <n v="761.27"/>
        <n v="1015.0"/>
        <n v="148.35"/>
        <n v="11.850000000000001"/>
        <n v="943.9300000000001"/>
        <n v="149.76"/>
        <n v="367.68"/>
        <n v="755.82"/>
        <n v="958.64"/>
        <n v="46.5"/>
        <n v="137.46"/>
        <n v="171.36"/>
        <n v="172.70000000000002"/>
        <n v="443.75"/>
        <n v="135.42000000000002"/>
        <n v="180.2"/>
        <n v="717.0999999999999"/>
        <n v="133.38"/>
        <n v="161.25"/>
        <n v="394.4"/>
        <n v="16.099999999999998"/>
        <n v="1024.6000000000001"/>
        <n v="6932.64"/>
        <n v="2922.02"/>
        <n v="671.59"/>
        <n v="535.62"/>
        <n v="1054.0"/>
        <n v="311.21999999999997"/>
        <n v="364.17"/>
        <n v="606.4"/>
        <n v="178.20999999999998"/>
        <n v="53.01"/>
        <n v="1254.51"/>
        <n v="249.39999999999998"/>
        <n v="2218.44"/>
        <n v="531.24"/>
        <n v="214.06"/>
        <n v="695.8"/>
        <n v="254.38000000000002"/>
        <n v="881.9200000000001"/>
        <n v="1269.0"/>
        <n v="1253.78"/>
        <n v="54.0"/>
        <n v="73.96"/>
        <n v="565.23"/>
        <n v="3144.57"/>
        <n v="1776.0600000000002"/>
        <n v="238.5"/>
        <n v="681.2"/>
        <n v="2954.6"/>
        <n v="1012.91"/>
        <n v="249.60000000000002"/>
        <n v="836.55"/>
        <n v="1186.27"/>
        <n v="799.68"/>
        <n v="1046.3799999999999"/>
        <n v="274.16"/>
        <n v="372.6"/>
        <n v="2571.7599999999998"/>
        <n v="3727.15"/>
        <n v="2018.2799999999997"/>
        <n v="416.34"/>
        <n v="56.55"/>
        <n v="484.12"/>
        <n v="359.84000000000003"/>
        <n v="474.0"/>
        <n v="1775.5500000000002"/>
        <n v="2576.64"/>
        <n v="678.0"/>
        <n v="80.03999999999999"/>
        <n v="187.04000000000002"/>
        <n v="2110.47"/>
        <n v="460.84"/>
        <n v="497.14000000000004"/>
        <n v="582.4499999999999"/>
        <n v="740.5999999999999"/>
        <n v="1495.2"/>
        <n v="9.06"/>
        <n v="786.21"/>
        <n v="88.74"/>
        <n v="2498.52"/>
        <n v="143.5"/>
        <n v="304.0"/>
        <n v="403.17"/>
        <n v="12.24"/>
        <n v="1021.67"/>
        <n v="3257.55"/>
        <n v="196.0"/>
        <n v="663.52"/>
        <n v="165.85000000000002"/>
        <n v="325.28000000000003"/>
        <n v="479.25"/>
        <n v="199.76"/>
        <n v="3186.2"/>
        <n v="830.4"/>
        <n v="512.24"/>
        <n v="20.07"/>
        <n v="537.6"/>
        <n v="149.70000000000002"/>
        <n v="616.5"/>
        <n v="420.67"/>
        <n v="550.47"/>
        <n v="2133.33"/>
        <n v="1649.89"/>
        <n v="579.36"/>
        <n v="1148.0"/>
        <n v="134.28"/>
        <n v="153.34"/>
        <n v="251.85999999999999"/>
        <n v="602.58"/>
        <n v="59.4"/>
        <n v="109.22"/>
        <n v="44.03"/>
        <n v="596.1600000000001"/>
        <n v="394.11"/>
        <n v="385.35"/>
        <n v="88.44"/>
        <n v="647.6800000000001"/>
        <n v="369.0"/>
        <n v="434.66"/>
        <n v="13.200000000000001"/>
        <n v="51.68000000000001"/>
        <n v="1428.3000000000002"/>
        <n v="52.0"/>
        <n v="11.16"/>
        <n v="490.21"/>
        <n v="92.88000000000001"/>
        <n v="729.4300000000001"/>
        <n v="440.82"/>
        <n v="733.04"/>
        <n v="1532.8"/>
        <n v="250.16000000000003"/>
        <n v="70.08"/>
        <n v="486.33000000000004"/>
        <n v="914.08"/>
        <n v="144.20999999999998"/>
        <n v="875.4300000000001"/>
        <n v="204.17999999999998"/>
        <n v="798.72"/>
        <n v="267.8"/>
        <n v="2058.8199999999997"/>
        <n v="12.7"/>
        <n v="178.35"/>
        <n v="62.9"/>
        <n v="46.059999999999995"/>
        <n v="957.5999999999999"/>
        <n v="21.28"/>
        <n v="127.26"/>
        <n v="100.35"/>
        <n v="465.9200000000001"/>
        <n v="1006.88"/>
        <n v="124.11999999999999"/>
        <n v="2665.8399999999997"/>
        <n v="219.23999999999998"/>
        <n v="342.86"/>
        <n v="12087.53"/>
        <n v="7053.660000000001"/>
        <n v="729.5600000000001"/>
        <n v="23.88"/>
        <n v="1096.91"/>
        <n v="55.44"/>
        <n v="6.87"/>
        <n v="1009.69"/>
        <n v="210.32"/>
        <n v="1252.4"/>
        <n v="503.09999999999997"/>
        <n v="1315.84"/>
        <n v="1167.3500000000001"/>
        <n v="623.0999999999999"/>
        <n v="327.84"/>
        <n v="438.78"/>
        <n v="240.16"/>
        <n v="289.44"/>
        <n v="255.20999999999998"/>
        <n v="374.4"/>
        <n v="212.35000000000002"/>
        <n v="1873.3200000000002"/>
        <n v="500.07000000000005"/>
        <n v="355.5"/>
        <n v="463.73999999999995"/>
        <n v="1448.18"/>
        <n v="82.28999999999999"/>
        <n v="375.24"/>
        <n v="252.84"/>
        <n v="718.08"/>
        <n v="1170.3"/>
        <n v="729.54"/>
        <n v="1386.8999999999999"/>
        <n v="275.5"/>
        <n v="72.35999999999999"/>
        <n v="80.77"/>
        <n v="4292.0"/>
        <n v="1311.3799999999999"/>
        <n v="15133.95"/>
        <n v="5127.72"/>
        <n v="175.6"/>
        <n v="2337.73"/>
        <n v="5925.19"/>
        <n v="423.35999999999996"/>
        <n v="6352.5"/>
        <n v="1553.24"/>
        <n v="5444.400000000001"/>
        <n v="2661.91"/>
        <n v="667.58"/>
        <n v="1751.0"/>
        <n v="2369.0"/>
        <n v="3454.2000000000003"/>
        <n v="62.48"/>
        <n v="218.66"/>
        <n v="211.58"/>
        <n v="3885.0499999999997"/>
        <n v="3601.0"/>
        <n v="1654.3400000000001"/>
        <n v="3774.68"/>
        <n v="447.48"/>
        <n v="1995.0"/>
        <n v="255.50000000000003"/>
        <n v="1072.57"/>
        <n v="4.92"/>
        <n v="683.1999999999999"/>
        <n v="97.0"/>
        <n v="489.70000000000005"/>
        <n v="267.86"/>
        <n v="750.26"/>
        <n v="839.8"/>
        <n v="1654.67"/>
        <n v="847.47"/>
        <n v="3751.02"/>
        <n v="1453.44"/>
        <n v="3167.06"/>
        <n v="694.52"/>
        <n v="2139.62"/>
        <n v="5.97"/>
        <n v="329.51"/>
        <n v="1272.0"/>
        <n v="88.35"/>
        <n v="924.18"/>
        <n v="631.14"/>
        <n v="699.27"/>
        <n v="129.96"/>
        <n v="288.77"/>
        <n v="1770.72"/>
        <n v="3503.2200000000003"/>
        <n v="657.36"/>
        <n v="1766.3999999999999"/>
        <n v="311.75"/>
        <n v="1872.78"/>
        <n v="24.08"/>
        <n v="4025.22"/>
        <n v="6679.679999999999"/>
        <n v="5750.139999999999"/>
        <n v="330.46"/>
        <n v="1312.07"/>
        <n v="1796.8300000000002"/>
        <n v="83.97"/>
        <n v="806.52"/>
        <n v="1662.16"/>
        <n v="1118.24"/>
        <n v="2774.58"/>
        <n v="2412.27"/>
        <n v="446.0"/>
        <n v="3019.2799999999997"/>
        <n v="182.49"/>
        <n v="298.45"/>
        <n v="670.4799999999999"/>
        <n v="450.95"/>
        <n v="843.37"/>
        <n v="937.9499999999999"/>
        <n v="896.4399999999999"/>
        <n v="156.1"/>
        <n v="4329.57"/>
        <n v="122.15"/>
        <n v="1047.28"/>
        <n v="2903.58"/>
        <n v="236.51"/>
        <n v="4704.5599999999995"/>
        <n v="820.52"/>
        <n v="18.330000000000002"/>
        <n v="307.22999999999996"/>
        <n v="149.04"/>
        <n v="2959.6"/>
        <n v="877.5"/>
        <n v="238.26"/>
        <n v="800.8000000000001"/>
        <n v="3972.1200000000003"/>
        <n v="217.74"/>
        <n v="488.8"/>
        <n v="1007.3399999999999"/>
        <n v="1617.96"/>
        <n v="2560.82"/>
        <n v="1089.16"/>
        <n v="2445.9500000000003"/>
        <n v="3897.6"/>
        <n v="1579.9399999999998"/>
        <n v="1013.0400000000001"/>
        <n v="475.73"/>
        <n v="365.68"/>
        <n v="1860.45"/>
        <n v="601.75"/>
        <n v="1561.1399999999999"/>
        <n v="3313.5899999999997"/>
        <n v="117.53"/>
        <n v="8.02"/>
        <n v="1478.46"/>
        <n v="860.16"/>
        <n v="1577.28"/>
        <n v="5178.900000000001"/>
        <n v="4507.9"/>
        <n v="210.71999999999997"/>
        <n v="489.53999999999996"/>
        <n v="928.4"/>
        <n v="270.47999999999996"/>
        <n v="913.25"/>
        <n v="1843.8"/>
        <n v="4617.84"/>
        <n v="1598.4"/>
        <n v="894.0400000000001"/>
        <n v="286.0"/>
        <n v="1669.1200000000001"/>
        <n v="1996.44"/>
        <n v="1463.0"/>
        <n v="1591.23"/>
        <n v="165.98"/>
        <n v="2037.76"/>
        <n v="49.95"/>
        <n v="411.08000000000004"/>
        <n v="1047.1000000000001"/>
        <n v="171.6"/>
        <n v="1207.16"/>
        <n v="217.08"/>
        <n v="253.4"/>
        <n v="2551.02"/>
        <n v="4391.28"/>
        <n v="20.8"/>
        <n v="634.4"/>
        <n v="613.7600000000001"/>
        <n v="1366.1999999999998"/>
        <n v="430.35999999999996"/>
        <n v="180.18"/>
        <n v="1404.18"/>
        <n v="153.92000000000002"/>
        <n v="232.19"/>
        <n v="337.2"/>
        <n v="1272.06"/>
        <n v="239.7"/>
        <n v="710.01"/>
        <n v="76.16000000000001"/>
        <n v="1631.8"/>
        <n v="434.34000000000003"/>
        <n v="202.41"/>
        <n v="802.72"/>
        <n v="135.63"/>
        <n v="306.24"/>
        <n v="9.04"/>
        <n v="165.1"/>
        <n v="1109.6200000000001"/>
        <n v="23.92"/>
        <n v="3826.36"/>
        <n v="91.59"/>
        <n v="48.83"/>
        <n v="498.52000000000004"/>
        <n v="229.32000000000002"/>
        <n v="422.92"/>
        <n v="6548.879999999999"/>
        <n v="3870.3999999999996"/>
        <n v="2082.4"/>
        <n v="41.68"/>
        <n v="7709.38"/>
        <n v="1695.75"/>
        <n v="5010.66"/>
        <n v="68.75"/>
        <n v="1986.99"/>
        <n v="3897.2400000000002"/>
        <m/>
      </sharedItems>
    </cacheField>
    <cacheField name="in_stock" numFmtId="0">
      <sharedItems containsString="0" containsBlank="1" containsNumber="1" containsInteger="1">
        <n v="1.0"/>
        <n v="0.0"/>
        <m/>
      </sharedItems>
    </cacheField>
    <cacheField name=" " numFmtId="0">
      <sharedItems containsString="0" containsBlank="1" containsNumber="1">
        <m/>
        <n v="237.76167778836987"/>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Shortage Rate" formula="1-AVERAGE(in_stock)" databaseField="0"/>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901" sheet="Explo_Stock"/>
  </cacheSource>
  <cacheFields>
    <cacheField name="product_id" numFmtId="0">
      <sharedItems containsSemiMixedTypes="0" containsString="0" containsNumber="1" containsInteger="1">
        <n v="112463.0"/>
        <n v="112481.0"/>
        <n v="13346.0"/>
        <n v="112454.0"/>
        <n v="112461.0"/>
        <n v="106532.0"/>
        <n v="121135.0"/>
        <n v="128362.0"/>
        <n v="71200.0"/>
        <n v="19812.0"/>
        <n v="122259.0"/>
        <n v="199526.0"/>
        <n v="140581.0"/>
        <n v="118383.0"/>
        <n v="122262.0"/>
        <n v="141879.0"/>
        <n v="19826.0"/>
        <n v="93039.0"/>
        <n v="128213.0"/>
        <n v="83797.0"/>
        <n v="19831.0"/>
        <n v="93025.0"/>
        <n v="81624.0"/>
        <n v="92913.0"/>
        <n v="126983.0"/>
        <n v="118226.0"/>
        <n v="48618.0"/>
        <n v="93037.0"/>
        <n v="126984.0"/>
        <n v="47393.0"/>
        <n v="128214.0"/>
        <n v="83802.0"/>
        <n v="48625.0"/>
        <n v="83602.0"/>
        <n v="98867.0"/>
        <n v="127042.0"/>
        <n v="127241.0"/>
        <n v="118220.0"/>
        <n v="128216.0"/>
        <n v="93049.0"/>
        <n v="118216.0"/>
        <n v="118221.0"/>
        <n v="92900.0"/>
        <n v="118215.0"/>
        <n v="19832.0"/>
        <n v="93071.0"/>
        <n v="122395.0"/>
        <n v="116946.0"/>
        <n v="97538.0"/>
        <n v="127238.0"/>
        <n v="81646.0"/>
        <n v="81643.0"/>
        <n v="128215.0"/>
        <n v="108022.0"/>
        <n v="81647.0"/>
        <n v="83603.0"/>
        <n v="118219.0"/>
        <n v="120952.0"/>
        <n v="81658.0"/>
        <n v="93047.0"/>
        <n v="83807.0"/>
        <n v="92915.0"/>
        <n v="81653.0"/>
        <n v="81618.0"/>
        <n v="118241.0"/>
        <n v="48634.0"/>
        <n v="48636.0"/>
        <n v="48629.0"/>
        <n v="47400.0"/>
        <n v="111237.0"/>
        <n v="18042.0"/>
        <n v="114978.0"/>
        <n v="82980.0"/>
        <n v="83093.0"/>
        <n v="18134.0"/>
        <n v="107857.0"/>
        <n v="18136.0"/>
        <n v="69138.0"/>
        <n v="74828.0"/>
        <n v="74884.0"/>
        <n v="127232.0"/>
        <n v="82979.0"/>
        <n v="18138.0"/>
        <n v="127003.0"/>
        <n v="6036.0"/>
        <n v="6046.0"/>
        <n v="6037.0"/>
        <n v="6026.0"/>
        <n v="47431.0"/>
        <n v="82914.0"/>
        <n v="6044.0"/>
        <n v="82913.0"/>
        <n v="82922.0"/>
        <n v="6045.0"/>
        <n v="6027.0"/>
        <n v="97088.0"/>
        <n v="122235.0"/>
        <n v="119887.0"/>
        <n v="97980.0"/>
        <n v="119876.0"/>
        <n v="119881.0"/>
        <n v="26127.0"/>
        <n v="87365.0"/>
        <n v="87381.0"/>
        <n v="122828.0"/>
        <n v="73841.0"/>
        <n v="73838.0"/>
        <n v="87372.0"/>
        <n v="87383.0"/>
        <n v="49068.0"/>
        <n v="26130.0"/>
        <n v="111493.0"/>
        <n v="98395.0"/>
        <n v="98396.0"/>
        <n v="98394.0"/>
        <n v="98397.0"/>
        <n v="111489.0"/>
        <n v="98393.0"/>
        <n v="10933.0"/>
        <n v="111994.0"/>
        <n v="101637.0"/>
        <n v="111996.0"/>
        <n v="120886.0"/>
        <n v="85058.0"/>
        <n v="27380.0"/>
        <n v="117204.0"/>
        <n v="45484.0"/>
        <n v="27382.0"/>
        <n v="45491.0"/>
        <n v="11631.0"/>
        <n v="11630.0"/>
        <n v="11634.0"/>
        <n v="11635.0"/>
        <n v="114776.0"/>
        <n v="76762.0"/>
        <n v="181194.0"/>
        <n v="164637.0"/>
        <n v="164636.0"/>
        <n v="164639.0"/>
        <n v="85251.0"/>
        <n v="113532.0"/>
        <n v="82501.0"/>
        <n v="121287.0"/>
        <n v="113559.0"/>
        <n v="85252.0"/>
        <n v="82507.0"/>
        <n v="109625.0"/>
        <n v="110864.0"/>
        <n v="138916.0"/>
        <n v="121076.0"/>
        <n v="121077.0"/>
        <n v="116631.0"/>
        <n v="147263.0"/>
        <n v="108763.0"/>
        <n v="116593.0"/>
        <n v="116613.0"/>
        <n v="102476.0"/>
        <n v="190030.0"/>
        <n v="113845.0"/>
        <n v="77824.0"/>
        <n v="85888.0"/>
        <n v="85890.0"/>
        <n v="83727.0"/>
        <n v="85887.0"/>
        <n v="77823.0"/>
        <n v="86753.0"/>
        <n v="145102.0"/>
        <n v="78717.0"/>
        <n v="82777.0"/>
        <n v="120341.0"/>
        <n v="110344.0"/>
        <n v="120233.0"/>
        <n v="117579.0"/>
        <n v="21066.0"/>
        <n v="117583.0"/>
        <n v="71107.0"/>
        <n v="104168.0"/>
        <n v="88913.0"/>
        <n v="108160.0"/>
        <n v="128377.0"/>
        <n v="108533.0"/>
        <n v="116392.0"/>
        <n v="110328.0"/>
        <n v="101445.0"/>
        <n v="117599.0"/>
        <n v="5508.0"/>
        <n v="91241.0"/>
        <n v="5507.0"/>
        <n v="110575.0"/>
        <n v="6156.0"/>
        <n v="91239.0"/>
        <n v="77361.0"/>
        <n v="77363.0"/>
        <n v="124679.0"/>
        <n v="89558.0"/>
        <n v="91235.0"/>
        <n v="5519.0"/>
        <n v="87278.0"/>
        <n v="77326.0"/>
        <n v="6158.0"/>
        <n v="77338.0"/>
        <n v="159220.0"/>
        <n v="5521.0"/>
        <n v="91225.0"/>
        <n v="5520.0"/>
        <n v="87285.0"/>
        <n v="72862.0"/>
        <n v="109474.0"/>
        <n v="45834.0"/>
        <n v="45885.0"/>
        <n v="77360.0"/>
        <n v="89787.0"/>
        <n v="5531.0"/>
        <n v="72826.0"/>
        <n v="91180.0"/>
        <n v="58757.0"/>
        <n v="87287.0"/>
        <n v="91147.0"/>
        <n v="5526.0"/>
        <n v="77310.0"/>
        <n v="5525.0"/>
        <n v="5524.0"/>
        <n v="72849.0"/>
        <n v="77385.0"/>
        <n v="5529.0"/>
        <n v="45879.0"/>
        <n v="58753.0"/>
        <n v="77318.0"/>
        <n v="122091.0"/>
        <n v="91144.0"/>
        <n v="79000.0"/>
        <n v="77389.0"/>
        <n v="72857.0"/>
        <n v="72859.0"/>
        <n v="91264.0"/>
        <n v="77316.0"/>
        <n v="110573.0"/>
        <n v="82236.0"/>
        <n v="72855.0"/>
        <n v="77392.0"/>
        <n v="45867.0"/>
        <n v="45846.0"/>
        <n v="91265.0"/>
        <n v="5527.0"/>
        <n v="82249.0"/>
        <n v="87273.0"/>
        <n v="5537.0"/>
        <n v="87281.0"/>
        <n v="5522.0"/>
        <n v="76595.0"/>
        <n v="147305.0"/>
        <n v="158660.0"/>
        <n v="77371.0"/>
        <n v="77366.0"/>
        <n v="87282.0"/>
        <n v="80402.0"/>
        <n v="120504.0"/>
        <n v="72833.0"/>
        <n v="72831.0"/>
        <n v="112547.0"/>
        <n v="149598.0"/>
        <n v="98129.0"/>
        <n v="72825.0"/>
        <n v="72820.0"/>
        <n v="81939.0"/>
        <n v="114382.0"/>
        <n v="111427.0"/>
        <n v="81937.0"/>
        <n v="72824.0"/>
        <n v="112188.0"/>
        <n v="98186.0"/>
        <n v="72822.0"/>
        <n v="122601.0"/>
        <n v="106779.0"/>
        <n v="106785.0"/>
        <n v="122602.0"/>
        <n v="45574.0"/>
        <n v="80808.0"/>
        <n v="80802.0"/>
        <n v="110385.0"/>
        <n v="80633.0"/>
        <n v="120700.0"/>
        <n v="112853.0"/>
        <n v="120699.0"/>
        <n v="20195.0"/>
        <n v="11422.0"/>
        <n v="4492.0"/>
        <n v="4560.0"/>
        <n v="110383.0"/>
        <n v="112850.0"/>
        <n v="120702.0"/>
        <n v="91860.0"/>
        <n v="9716.0"/>
        <n v="77135.0"/>
        <n v="91857.0"/>
        <n v="76429.0"/>
        <n v="122507.0"/>
        <n v="77844.0"/>
        <n v="100041.0"/>
        <n v="111591.0"/>
        <n v="128329.0"/>
        <n v="147268.0"/>
        <n v="48511.0"/>
        <n v="100040.0"/>
        <n v="79366.0"/>
        <n v="160754.0"/>
        <n v="100038.0"/>
        <n v="100035.0"/>
        <n v="29654.0"/>
        <n v="107804.0"/>
        <n v="75809.0"/>
        <n v="128325.0"/>
        <n v="110072.0"/>
        <n v="93814.0"/>
        <n v="128326.0"/>
        <n v="48510.0"/>
        <n v="82463.0"/>
        <n v="82462.0"/>
        <n v="110635.0"/>
        <n v="82464.0"/>
        <n v="129133.0"/>
        <n v="195081.0"/>
        <n v="92669.0"/>
        <n v="122089.0"/>
        <n v="95927.0"/>
        <n v="160756.0"/>
        <n v="147267.0"/>
        <n v="160747.0"/>
        <n v="79365.0"/>
        <n v="110633.0"/>
        <n v="160750.0"/>
        <n v="128332.0"/>
        <n v="200354.0"/>
        <n v="100042.0"/>
        <n v="122446.0"/>
        <n v="160761.0"/>
        <n v="89503.0"/>
        <n v="160744.0"/>
        <n v="111590.0"/>
        <n v="110070.0"/>
        <n v="101005.0"/>
        <n v="160745.0"/>
        <n v="23073.0"/>
        <n v="70064.0"/>
        <n v="129135.0"/>
        <n v="104440.0"/>
        <n v="70063.0"/>
        <n v="160748.0"/>
        <n v="181242.0"/>
        <n v="200323.0"/>
        <n v="129132.0"/>
        <n v="160743.0"/>
        <n v="89610.0"/>
        <n v="112113.0"/>
        <n v="107801.0"/>
        <n v="70065.0"/>
        <n v="539.0"/>
        <n v="7857.0"/>
        <n v="111726.0"/>
        <n v="120992.0"/>
        <n v="158482.0"/>
        <n v="193132.0"/>
        <n v="118901.0"/>
        <n v="193131.0"/>
        <n v="115709.0"/>
        <n v="121619.0"/>
        <n v="103647.0"/>
        <n v="121616.0"/>
        <n v="121618.0"/>
        <n v="129360.0"/>
        <n v="115708.0"/>
        <n v="121617.0"/>
        <n v="109540.0"/>
        <n v="101323.0"/>
        <n v="120991.0"/>
        <n v="115698.0"/>
        <n v="72511.0"/>
        <n v="72512.0"/>
        <n v="120108.0"/>
        <n v="1636.0"/>
        <n v="106767.0"/>
        <n v="117246.0"/>
        <n v="106758.0"/>
        <n v="118150.0"/>
        <n v="108896.0"/>
        <n v="92566.0"/>
        <n v="182195.0"/>
        <n v="101560.0"/>
        <n v="96067.0"/>
        <n v="47325.0"/>
        <n v="109386.0"/>
        <n v="118972.0"/>
        <n v="100412.0"/>
        <n v="73259.0"/>
        <n v="116888.0"/>
        <n v="102086.0"/>
        <n v="108892.0"/>
        <n v="110935.0"/>
        <n v="103599.0"/>
        <n v="108811.0"/>
        <n v="2202.0"/>
        <n v="122789.0"/>
        <n v="101563.0"/>
        <n v="110934.0"/>
        <n v="110147.0"/>
        <n v="104135.0"/>
        <n v="101559.0"/>
        <n v="129340.0"/>
        <n v="103609.0"/>
        <n v="122499.0"/>
        <n v="117311.0"/>
        <n v="116670.0"/>
        <n v="2204.0"/>
        <n v="104128.0"/>
        <n v="103600.0"/>
        <n v="108802.0"/>
        <n v="201034.0"/>
        <n v="6522.0"/>
        <n v="77644.0"/>
        <n v="3225.0"/>
        <n v="158447.0"/>
        <n v="9737.0"/>
        <n v="73260.0"/>
        <n v="158467.0"/>
        <n v="117319.0"/>
        <n v="108893.0"/>
        <n v="111734.0"/>
        <n v="96066.0"/>
        <n v="3222.0"/>
        <n v="117312.0"/>
        <n v="104791.0"/>
        <n v="10051.0"/>
        <n v="29318.0"/>
        <n v="116885.0"/>
        <n v="121614.0"/>
        <n v="10048.0"/>
        <n v="109534.0"/>
        <n v="111802.0"/>
        <n v="108801.0"/>
        <n v="9735.0"/>
        <n v="109531.0"/>
        <n v="44533.0"/>
        <n v="158465.0"/>
        <n v="79107.0"/>
        <n v="78631.0"/>
        <n v="120469.0"/>
        <n v="6523.0"/>
        <n v="41819.0"/>
        <n v="108889.0"/>
        <n v="92564.0"/>
        <n v="158456.0"/>
        <n v="111735.0"/>
        <n v="109537.0"/>
        <n v="109381.0"/>
        <n v="120944.0"/>
        <n v="29320.0"/>
        <n v="118222.0"/>
        <n v="108897.0"/>
        <n v="101565.0"/>
        <n v="29319.0"/>
        <n v="96444.0"/>
        <n v="101557.0"/>
        <n v="103610.0"/>
        <n v="181195.0"/>
        <n v="12639.0"/>
        <n v="158464.0"/>
        <n v="116525.0"/>
        <n v="116295.0"/>
        <n v="116297.0"/>
        <n v="11421.0"/>
        <n v="101549.0"/>
        <n v="109543.0"/>
        <n v="79318.0"/>
        <n v="2203.0"/>
        <n v="111727.0"/>
        <n v="118151.0"/>
        <n v="108888.0"/>
        <n v="120465.0"/>
        <n v="92561.0"/>
        <n v="150294.0"/>
        <n v="108895.0"/>
        <n v="41666.0"/>
        <n v="41816.0"/>
        <n v="99779.0"/>
        <n v="111716.0"/>
        <n v="96443.0"/>
        <n v="193187.0"/>
        <n v="96068.0"/>
        <n v="3227.0"/>
        <n v="193183.0"/>
        <n v="120945.0"/>
        <n v="110940.0"/>
        <n v="110942.0"/>
        <n v="142301.0"/>
        <n v="109760.0"/>
        <n v="100392.0"/>
        <n v="109763.0"/>
        <n v="7271.0"/>
        <n v="7267.0"/>
        <n v="128412.0"/>
        <n v="7268.0"/>
        <n v="124701.0"/>
        <n v="110007.0"/>
        <n v="7266.0"/>
        <n v="7269.0"/>
        <n v="100393.0"/>
        <n v="110009.0"/>
        <n v="100394.0"/>
        <n v="118248.0"/>
        <n v="118467.0"/>
        <n v="118465.0"/>
        <n v="118450.0"/>
        <n v="118457.0"/>
        <n v="118463.0"/>
        <n v="118460.0"/>
        <n v="121035.0"/>
        <n v="122623.0"/>
        <n v="118469.0"/>
        <n v="184629.0"/>
        <n v="44469.0"/>
        <n v="98421.0"/>
        <n v="149512.0"/>
        <n v="101489.0"/>
        <n v="7263.0"/>
        <n v="149510.0"/>
        <n v="124692.0"/>
        <n v="7253.0"/>
        <n v="109999.0"/>
        <n v="101535.0"/>
        <n v="181795.0"/>
        <n v="124686.0"/>
        <n v="110003.0"/>
        <n v="124691.0"/>
        <n v="98444.0"/>
        <n v="110393.0"/>
        <n v="7254.0"/>
        <n v="86502.0"/>
        <n v="98442.0"/>
        <n v="7256.0"/>
        <n v="110394.0"/>
        <n v="120998.0"/>
        <n v="17674.0"/>
        <n v="102946.0"/>
        <n v="102947.0"/>
        <n v="98445.0"/>
        <n v="109273.0"/>
        <n v="44465.0"/>
        <n v="44451.0"/>
        <n v="17664.0"/>
        <n v="44459.0"/>
        <n v="110398.0"/>
        <n v="149495.0"/>
        <n v="124685.0"/>
        <n v="110004.0"/>
        <n v="111052.0"/>
        <n v="102948.0"/>
        <n v="110000.0"/>
        <n v="7264.0"/>
        <n v="110005.0"/>
        <n v="124693.0"/>
        <n v="86501.0"/>
        <n v="101536.0"/>
        <n v="101534.0"/>
        <n v="110002.0"/>
        <n v="110001.0"/>
        <n v="111051.0"/>
        <n v="7258.0"/>
        <n v="111053.0"/>
        <n v="120996.0"/>
        <n v="109746.0"/>
        <n v="147288.0"/>
        <n v="120997.0"/>
        <n v="109742.0"/>
        <n v="156013.0"/>
        <n v="98426.0"/>
        <n v="110006.0"/>
        <n v="110409.0"/>
        <n v="117774.0"/>
        <n v="110411.0"/>
        <n v="86743.0"/>
        <n v="86691.0"/>
        <n v="7257.0"/>
        <n v="77706.0"/>
        <n v="122599.0"/>
        <n v="109741.0"/>
        <n v="69064.0"/>
        <n v="119447.0"/>
        <n v="111730.0"/>
        <n v="100437.0"/>
        <n v="92304.0"/>
        <n v="103655.0"/>
        <n v="103656.0"/>
        <n v="103704.0"/>
        <n v="46759.0"/>
        <n v="113594.0"/>
        <n v="111791.0"/>
        <n v="44674.0"/>
        <n v="48639.0"/>
        <n v="76559.0"/>
        <n v="22112.0"/>
        <n v="84390.0"/>
        <n v="100327.0"/>
        <n v="81427.0"/>
        <n v="19847.0"/>
        <n v="121989.0"/>
        <n v="3431.0"/>
        <n v="68858.0"/>
        <n v="147279.0"/>
        <n v="19853.0"/>
        <n v="84315.0"/>
        <n v="3433.0"/>
        <n v="48640.0"/>
        <n v="81678.0"/>
        <n v="117528.0"/>
        <n v="84324.0"/>
        <n v="3420.0"/>
        <n v="19837.0"/>
        <n v="19835.0"/>
        <n v="69109.0"/>
        <n v="104387.0"/>
        <n v="19843.0"/>
        <n v="117523.0"/>
        <n v="121981.0"/>
        <n v="121993.0"/>
        <n v="81389.0"/>
        <n v="99473.0"/>
        <n v="81393.0"/>
        <n v="104364.0"/>
        <n v="76602.0"/>
        <n v="119824.0"/>
        <n v="112618.0"/>
        <n v="112617.0"/>
        <n v="113963.0"/>
        <n v="104359.0"/>
        <n v="81675.0"/>
        <n v="84835.0"/>
        <n v="81680.0"/>
        <n v="104361.0"/>
        <n v="83080.0"/>
        <n v="84930.0"/>
        <n v="19848.0"/>
        <n v="104362.0"/>
        <n v="92122.0"/>
        <n v="15854.0"/>
        <n v="81383.0"/>
        <n v="81430.0"/>
        <n v="84325.0"/>
        <n v="127244.0"/>
        <n v="15865.0"/>
        <n v="121996.0"/>
        <n v="93083.0"/>
        <n v="3426.0"/>
        <n v="111349.0"/>
        <n v="74917.0"/>
        <n v="69127.0"/>
        <n v="84819.0"/>
        <n v="104367.0"/>
        <n v="121997.0"/>
        <n v="117499.0"/>
        <n v="69125.0"/>
        <n v="19850.0"/>
        <n v="3425.0"/>
        <n v="84913.0"/>
        <n v="120378.0"/>
        <n v="5905.0"/>
        <n v="23213.0"/>
        <n v="47168.0"/>
        <n v="102990.0"/>
        <n v="46441.0"/>
        <n v="11085.0"/>
        <n v="96441.0"/>
        <n v="82131.0"/>
        <n v="46440.0"/>
        <n v="23214.0"/>
        <n v="82134.0"/>
        <n v="46439.0"/>
        <n v="116451.0"/>
        <n v="147340.0"/>
        <n v="140602.0"/>
        <n v="109174.0"/>
        <n v="2795.0"/>
        <n v="141867.0"/>
        <n v="118152.0"/>
        <n v="1607.0"/>
        <n v="71322.0"/>
        <n v="88773.0"/>
        <n v="46964.0"/>
        <n v="104454.0"/>
        <n v="8003.0"/>
        <n v="90183.0"/>
        <n v="45489.0"/>
        <n v="147337.0"/>
        <n v="116446.0"/>
        <n v="44760.0"/>
        <n v="44764.0"/>
        <n v="72801.0"/>
        <n v="86573.0"/>
        <n v="107784.0"/>
        <n v="103388.0"/>
        <n v="8004.0"/>
        <n v="103387.0"/>
        <n v="76731.0"/>
        <n v="116449.0"/>
        <n v="95211.0"/>
        <n v="118255.0"/>
        <n v="8010.0"/>
        <n v="128351.0"/>
        <n v="12452.0"/>
        <n v="108996.0"/>
        <n v="15638.0"/>
        <n v="118109.0"/>
        <n v="15634.0"/>
        <n v="2802.0"/>
        <n v="46962.0"/>
        <n v="128348.0"/>
        <n v="108963.0"/>
        <n v="2800.0"/>
        <n v="12451.0"/>
        <n v="19024.0"/>
        <n v="9472.0"/>
        <n v="1587.0"/>
        <n v="118262.0"/>
        <n v="44739.0"/>
        <n v="199855.0"/>
        <n v="71674.0"/>
        <n v="101357.0"/>
        <n v="121066.0"/>
        <n v="72818.0"/>
        <n v="109178.0"/>
        <n v="114876.0"/>
        <n v="9471.0"/>
        <n v="87840.0"/>
        <n v="72816.0"/>
        <n v="122354.0"/>
        <n v="109188.0"/>
        <n v="7999.0"/>
        <n v="9469.0"/>
        <n v="46955.0"/>
        <n v="9464.0"/>
        <n v="79485.0"/>
        <n v="118224.0"/>
        <n v="122353.0"/>
        <n v="1584.0"/>
        <n v="2792.0"/>
        <n v="109187.0"/>
        <n v="118257.0"/>
        <n v="7995.0"/>
        <n v="99360.0"/>
        <n v="118156.0"/>
        <n v="44943.0"/>
        <n v="9462.0"/>
        <n v="79501.0"/>
        <n v="97161.0"/>
        <n v="112842.0"/>
        <n v="109180.0"/>
        <n v="46954.0"/>
        <n v="79500.0"/>
        <n v="99302.0"/>
        <n v="105026.0"/>
        <n v="19972.0"/>
        <n v="99233.0"/>
        <n v="118260.0"/>
        <n v="128398.0"/>
        <n v="8001.0"/>
        <n v="106782.0"/>
        <n v="110793.0"/>
        <n v="86808.0"/>
        <n v="50367.0"/>
        <n v="102750.0"/>
        <n v="102758.0"/>
        <n v="86787.0"/>
        <n v="102740.0"/>
        <n v="102734.0"/>
        <n v="102751.0"/>
        <n v="102752.0"/>
        <n v="102735.0"/>
        <n v="86793.0"/>
        <n v="86792.0"/>
        <n v="86785.0"/>
        <n v="102773.0"/>
        <n v="42807.0"/>
        <n v="42809.0"/>
        <n v="86821.0"/>
        <n v="110719.0"/>
        <n v="86818.0"/>
        <n v="71318.0"/>
        <n v="122303.0"/>
        <n v="110716.0"/>
        <n v="9480.0"/>
        <n v="113920.0"/>
        <n v="166088.0"/>
        <n v="122712.0"/>
        <n v="86523.0"/>
        <n v="106773.0"/>
        <n v="128356.0"/>
        <n v="28897.0"/>
        <n v="181502.0"/>
        <n v="13368.0"/>
        <n v="105178.0"/>
        <n v="158445.0"/>
        <n v="105861.0"/>
        <n v="28668.0"/>
        <n v="28661.0"/>
        <n v="13349.0"/>
        <n v="1634.0"/>
        <n v="86524.0"/>
        <n v="86531.0"/>
        <n v="95210.0"/>
        <n v="158450.0"/>
        <n v="103080.0"/>
        <n v="121067.0"/>
        <n v="41513.0"/>
        <n v="166089.0"/>
        <n v="26446.0"/>
        <n v="13350.0"/>
        <n v="111728.0"/>
        <n v="28883.0"/>
        <n v="121068.0"/>
        <n v="181499.0"/>
        <n v="16097.0"/>
        <n v="117247.0"/>
        <n v="1732.0"/>
        <n v="105174.0"/>
        <n v="128357.0"/>
        <n v="166090.0"/>
        <n v="121070.0"/>
        <n v="80818.0"/>
        <n v="13367.0"/>
        <n v="44329.0"/>
        <n v="70879.0"/>
        <n v="99266.0"/>
        <n v="88216.0"/>
        <n v="28590.0"/>
        <n v="88215.0"/>
        <n v="81771.0"/>
        <n v="194520.0"/>
        <n v="5901.0"/>
        <n v="156054.0"/>
        <n v="5869.0"/>
        <n v="7343.0"/>
        <n v="88218.0"/>
        <n v="99263.0"/>
        <n v="7357.0"/>
        <n v="28591.0"/>
        <n v="5871.0"/>
        <n v="81772.0"/>
        <n v="110587.0"/>
        <n v="5870.0"/>
        <n v="158444.0"/>
        <n v="80785.0"/>
        <n v="110586.0"/>
        <n v="99264.0"/>
        <n v="110977.0"/>
        <n v="45529.0"/>
        <n v="84030.0"/>
        <n v="99262.0"/>
        <n v="110722.0"/>
        <n v="80781.0"/>
        <n v="122700.0"/>
        <n v="111783.0"/>
        <n v="110724.0"/>
        <n v="13348.0"/>
        <n v="28595.0"/>
        <n v="81770.0"/>
        <n v="85059.0"/>
        <n v="110597.0"/>
        <n v="7358.0"/>
        <n v="86583.0"/>
        <n v="98100.0"/>
        <n v="118154.0"/>
        <n v="42840.0"/>
        <n v="47175.0"/>
        <n v="112013.0"/>
        <n v="107953.0"/>
        <n v="44738.0"/>
        <n v="103386.0"/>
        <n v="86815.0"/>
        <n v="46953.0"/>
        <n v="108732.0"/>
        <n v="118227.0"/>
        <n v="122484.0"/>
        <n v="71326.0"/>
        <n v="110794.0"/>
        <n v="80066.0"/>
        <n v="106776.0"/>
        <n v="113608.0"/>
        <n v="116454.0"/>
        <n v="108724.0"/>
        <n v="118253.0"/>
        <n v="110567.0"/>
        <n v="122697.0"/>
        <n v="109190.0"/>
        <n v="109191.0"/>
        <n v="44759.0"/>
        <n v="109192.0"/>
        <n v="113605.0"/>
        <n v="147339.0"/>
        <n v="118068.0"/>
        <n v="44758.0"/>
        <n v="110579.0"/>
        <n v="116437.0"/>
        <n v="9519.0"/>
        <n v="147338.0"/>
        <n v="118250.0"/>
        <n v="20053.0"/>
        <n v="71321.0"/>
        <n v="79503.0"/>
        <n v="99270.0"/>
        <n v="112848.0"/>
        <n v="13369.0"/>
        <n v="147336.0"/>
        <n v="114899.0"/>
        <n v="113607.0"/>
        <n v="47183.0"/>
        <n v="78338.0"/>
        <n v="9526.0"/>
        <n v="107910.0"/>
        <n v="20056.0"/>
        <n v="108951.0"/>
        <n v="107783.0"/>
        <n v="80798.0"/>
        <n v="108950.0"/>
        <n v="112847.0"/>
        <n v="109202.0"/>
        <n v="109198.0"/>
        <n v="108990.0"/>
        <n v="72815.0"/>
        <n v="9479.0"/>
        <n v="46961.0"/>
        <n v="122352.0"/>
        <n v="44750.0"/>
        <n v="114405.0"/>
        <n v="2797.0"/>
        <n v="79499.0"/>
        <n v="5902.0"/>
        <n v="46956.0"/>
        <n v="11490.0"/>
        <n v="8027.0"/>
        <n v="121588.0"/>
        <n v="1279.0"/>
        <n v="5978.0"/>
        <n v="72813.0"/>
        <n v="9486.0"/>
        <n v="2791.0"/>
        <n v="109206.0"/>
        <n v="9478.0"/>
        <n v="122699.0"/>
        <n v="2794.0"/>
        <n v="109200.0"/>
        <n v="118263.0"/>
        <n v="71320.0"/>
        <n v="108944.0"/>
        <n v="122693.0"/>
        <n v="20049.0"/>
        <n v="20055.0"/>
        <n v="112845.0"/>
        <n v="9490.0"/>
        <n v="105034.0"/>
        <n v="122680.0"/>
        <n v="112846.0"/>
        <n v="80816.0"/>
        <n v="44749.0"/>
        <n v="79498.0"/>
        <n v="2799.0"/>
        <n v="194401.0"/>
        <n v="5291.0"/>
        <n v="2796.0"/>
        <n v="71325.0"/>
        <n v="2793.0"/>
        <n v="102781.0"/>
        <n v="109201.0"/>
        <n v="72814.0"/>
        <n v="122351.0"/>
        <n v="99298.0"/>
        <n v="3731.0"/>
        <n v="11489.0"/>
        <n v="122302.0"/>
        <n v="28838.0"/>
        <n v="72843.0"/>
        <n v="80809.0"/>
        <n v="127006.0"/>
        <n v="82448.0"/>
        <n v="13028.0"/>
        <n v="118577.0"/>
        <n v="117890.0"/>
        <n v="118617.0"/>
        <n v="109995.0"/>
        <n v="109996.0"/>
        <n v="49107.0"/>
        <n v="29585.0"/>
        <n v="111677.0"/>
        <n v="93102.0"/>
        <n v="30712.0"/>
        <n v="89128.0"/>
        <n v="29587.0"/>
        <n v="30711.0"/>
        <n v="45306.0"/>
        <n v="120803.0"/>
        <n v="108004.0"/>
        <n v="92205.0"/>
        <n v="119509.0"/>
        <n v="109056.0"/>
        <n v="45305.0"/>
        <n v="29582.0"/>
        <n v="111676.0"/>
        <n v="30578.0"/>
        <n v="93095.0"/>
        <n v="70036.0"/>
        <n v="90498.0"/>
        <n v="89127.0"/>
        <n v="75215.0"/>
        <n v="119566.0"/>
        <n v="92208.0"/>
        <n v="119579.0"/>
        <n v="45309.0"/>
        <n v="30743.0"/>
        <n v="49108.0"/>
        <n v="29584.0"/>
        <n v="119501.0"/>
        <n v="30504.0"/>
        <n v="93101.0"/>
        <n v="30749.0"/>
        <n v="120813.0"/>
        <n v="29590.0"/>
        <n v="118662.0"/>
        <n v="30478.0"/>
        <n v="90475.0"/>
        <n v="29530.0"/>
        <n v="81528.0"/>
        <n v="100436.0"/>
        <n v="29499.0"/>
        <n v="30683.0"/>
        <n v="69906.0"/>
        <n v="90174.0"/>
        <n v="90168.0"/>
        <n v="79488.0"/>
        <n v="119640.0"/>
        <n v="119515.0"/>
        <n v="103685.0"/>
        <n v="111617.0"/>
        <n v="98637.0"/>
        <n v="90159.0"/>
        <n v="76651.0"/>
        <n v="119531.0"/>
        <n v="93884.0"/>
        <n v="79467.0"/>
        <n v="29532.0"/>
        <n v="104063.0"/>
        <n v="90166.0"/>
        <n v="29538.0"/>
        <n v="70538.0"/>
        <n v="93893.0"/>
        <n v="119518.0"/>
        <n v="111338.0"/>
        <n v="100435.0"/>
        <n v="89130.0"/>
        <n v="103695.0"/>
        <n v="90201.0"/>
        <n v="70025.0"/>
        <n v="29485.0"/>
        <n v="119530.0"/>
        <n v="103671.0"/>
        <n v="102803.0"/>
        <n v="122156.0"/>
        <n v="103688.0"/>
        <n v="128303.0"/>
        <n v="122164.0"/>
        <n v="119629.0"/>
        <n v="122238.0"/>
        <n v="100106.0"/>
        <n v="74260.0"/>
        <n v="122159.0"/>
        <n v="100104.0"/>
        <n v="103702.0"/>
        <n v="103696.0"/>
        <n v="111083.0"/>
        <n v="76658.0"/>
        <n v="111339.0"/>
        <n v="79491.0"/>
        <n v="110380.0"/>
        <n v="111341.0"/>
        <n v="81785.0"/>
        <n v="89155.0"/>
        <n v="90253.0"/>
        <n v="119544.0"/>
        <n v="108675.0"/>
        <n v="119542.0"/>
        <n v="30752.0"/>
        <n v="116180.0"/>
        <n v="96953.0"/>
        <n v="118303.0"/>
        <n v="117222.0"/>
        <n v="5620.0"/>
        <n v="122346.0"/>
        <n v="96968.0"/>
        <n v="126578.0"/>
        <n v="126581.0"/>
        <n v="96956.0"/>
        <n v="116774.0"/>
        <n v="147293.0"/>
        <n v="119228.0"/>
        <n v="5618.0"/>
        <n v="126579.0"/>
        <n v="117219.0"/>
        <n v="44110.0"/>
        <n v="76223.0"/>
        <n v="48406.0"/>
        <n v="77514.0"/>
        <n v="117221.0"/>
        <n v="115602.0"/>
        <n v="44107.0"/>
        <n v="115604.0"/>
        <n v="118926.0"/>
        <n v="118304.0"/>
        <n v="5621.0"/>
        <n v="44105.0"/>
        <n v="126580.0"/>
        <n v="5624.0"/>
        <n v="88679.0"/>
        <n v="118305.0"/>
        <n v="60380.0"/>
        <n v="77475.0"/>
        <n v="110577.0"/>
        <n v="110571.0"/>
        <n v="103835.0"/>
        <n v="5646.0"/>
        <n v="5649.0"/>
        <n v="5647.0"/>
        <n v="5648.0"/>
        <n v="108292.0"/>
        <n v="110572.0"/>
        <n v="77456.0"/>
        <n v="77454.0"/>
        <n v="44095.0"/>
        <n v="87419.0"/>
        <n v="44087.0"/>
        <n v="44129.0"/>
        <n v="103832.0"/>
        <n v="103819.0"/>
        <n v="88683.0"/>
        <n v="5676.0"/>
        <n v="116776.0"/>
        <n v="5668.0"/>
        <n v="119052.0"/>
        <n v="118920.0"/>
        <n v="96003.0"/>
        <n v="116380.0"/>
        <n v="46291.0"/>
        <n v="148742.0"/>
        <n v="83634.0"/>
        <n v="5657.0"/>
        <n v="78856.0"/>
        <n v="44123.0"/>
        <n v="78855.0"/>
        <n v="48408.0"/>
        <n v="46303.0"/>
        <n v="147274.0"/>
        <n v="44144.0"/>
        <n v="96972.0"/>
        <n v="5665.0"/>
        <n v="26072.0"/>
        <n v="5631.0"/>
        <n v="104316.0"/>
        <n v="83612.0"/>
        <n v="87425.0"/>
        <n v="115611.0"/>
        <n v="88688.0"/>
        <n v="83605.0"/>
        <n v="44125.0"/>
        <n v="83639.0"/>
        <n v="5656.0"/>
        <n v="88686.0"/>
        <n v="83601.0"/>
        <n v="48407.0"/>
        <n v="5692.0"/>
        <n v="112803.0"/>
        <n v="83600.0"/>
        <n v="83621.0"/>
        <n v="115599.0"/>
        <n v="83598.0"/>
        <n v="5652.0"/>
        <n v="122661.0"/>
        <n v="116384.0"/>
        <n v="78859.0"/>
        <n v="87096.0"/>
        <n v="87428.0"/>
        <n v="5690.0"/>
        <n v="5663.0"/>
        <n v="5654.0"/>
        <n v="44607.0"/>
        <n v="5662.0"/>
        <n v="87426.0"/>
        <n v="5680.0"/>
        <n v="5661.0"/>
        <n v="83629.0"/>
        <n v="83599.0"/>
        <n v="83625.0"/>
        <n v="87887.0"/>
        <n v="118923.0"/>
        <n v="87421.0"/>
        <n v="117531.0"/>
        <n v="122267.0"/>
        <n v="117527.0"/>
        <n v="44138.0"/>
        <n v="117529.0"/>
        <n v="122269.0"/>
        <n v="87886.0"/>
        <n v="104317.0"/>
        <n v="114943.0"/>
        <n v="44134.0"/>
        <n v="5637.0"/>
        <n v="5641.0"/>
        <n v="147323.0"/>
        <n v="44118.0"/>
        <n v="115608.0"/>
        <n v="44127.0"/>
        <n v="122348.0"/>
        <n v="147304.0"/>
        <n v="118310.0"/>
        <n v="77175.0"/>
        <n v="5645.0"/>
        <n v="76679.0"/>
        <n v="5635.0"/>
        <n v="110960.0"/>
        <n v="108290.0"/>
        <n v="117680.0"/>
        <n v="77183.0"/>
        <n v="147322.0"/>
        <n v="44120.0"/>
        <n v="44115.0"/>
        <n v="44117.0"/>
        <n v="76670.0"/>
        <n v="122347.0"/>
        <n v="112462.0"/>
        <n v="5636.0"/>
        <n v="112464.0"/>
        <n v="5639.0"/>
        <n v="44147.0"/>
        <n v="5638.0"/>
        <n v="103074.0"/>
        <n v="45913.0"/>
        <n v="120044.0"/>
        <n v="90973.0"/>
        <n v="103830.0"/>
        <n v="111765.0"/>
        <n v="45952.0"/>
        <n v="91749.0"/>
        <n v="120040.0"/>
        <n v="17143.0"/>
        <n v="120515.0"/>
        <n v="120045.0"/>
        <n v="122268.0"/>
        <n v="195737.0"/>
        <n v="78759.0"/>
        <n v="8857.0"/>
        <n v="8860.0"/>
        <n v="182790.0"/>
        <n v="120042.0"/>
        <n v="114941.0"/>
        <n v="108473.0"/>
        <n v="90968.0"/>
        <n v="114929.0"/>
        <n v="68868.0"/>
        <n v="103831.0"/>
        <n v="83272.0"/>
        <n v="120046.0"/>
        <n v="181989.0"/>
        <n v="84359.0"/>
        <n v="102939.0"/>
        <n v="111504.0"/>
        <n v="75678.0"/>
        <n v="79005.0"/>
        <n v="188360.0"/>
        <n v="79695.0"/>
        <n v="73768.0"/>
        <n v="44663.0"/>
        <n v="766.0"/>
        <n v="109961.0"/>
        <n v="109932.0"/>
        <n v="109956.0"/>
        <n v="109962.0"/>
        <n v="101622.0"/>
        <n v="101623.0"/>
        <n v="4513.0"/>
        <n v="24648.0"/>
        <n v="16386.0"/>
        <n v="16383.0"/>
        <n v="113588.0"/>
        <n v="99392.0"/>
        <n v="99412.0"/>
        <n v="25306.0"/>
        <n v="99399.0"/>
        <n v="25304.0"/>
        <n v="99400.0"/>
        <n v="80484.0"/>
        <n v="14477.0"/>
        <n v="95056.0"/>
        <n v="78519.0"/>
        <n v="90377.0"/>
        <n v="90375.0"/>
        <n v="112073.0"/>
        <n v="101339.0"/>
        <n v="92421.0"/>
        <n v="112079.0"/>
        <n v="44716.0"/>
        <n v="89640.0"/>
        <n v="112072.0"/>
        <n v="112991.0"/>
        <n v="101587.0"/>
        <n v="10525.0"/>
        <n v="121349.0"/>
        <n v="127811.0"/>
        <n v="81507.0"/>
        <n v="78412.0"/>
        <n v="109312.0"/>
        <n v="78502.0"/>
        <n v="111498.0"/>
        <n v="87242.0"/>
        <n v="139286.0"/>
        <n v="10524.0"/>
        <n v="78397.0"/>
        <n v="78421.0"/>
        <n v="23420.0"/>
        <n v="78498.0"/>
        <n v="78427.0"/>
        <n v="119256.0"/>
        <n v="44731.0"/>
        <n v="86852.0"/>
        <n v="103137.0"/>
        <n v="95079.0"/>
        <n v="121568.0"/>
        <n v="89645.0"/>
        <n v="44691.0"/>
        <n v="94055.0"/>
        <n v="101586.0"/>
        <n v="106731.0"/>
        <n v="87072.0"/>
        <n v="44711.0"/>
        <n v="78428.0"/>
        <n v="10531.0"/>
        <n v="158475.0"/>
        <n v="89633.0"/>
        <n v="86836.0"/>
        <n v="44698.0"/>
        <n v="127870.0"/>
        <n v="141891.0"/>
        <n v="78426.0"/>
        <n v="77792.0"/>
        <n v="21027.0"/>
        <n v="95063.0"/>
        <n v="30314.0"/>
        <n v="19838.0"/>
        <n v="111283.0"/>
        <n v="87568.0"/>
        <n v="78419.0"/>
        <n v="106806.0"/>
        <n v="78420.0"/>
        <n v="78442.0"/>
        <n v="78492.0"/>
        <n v="80297.0"/>
        <n v="44712.0"/>
        <n v="89736.0"/>
        <n v="83270.0"/>
        <n v="101588.0"/>
        <n v="104171.0"/>
        <n v="101042.0"/>
        <n v="108881.0"/>
        <n v="87571.0"/>
        <n v="44718.0"/>
        <n v="44735.0"/>
        <n v="21035.0"/>
        <n v="30308.0"/>
        <n v="44694.0"/>
        <n v="78493.0"/>
        <n v="78409.0"/>
        <n v="86844.0"/>
        <n v="86771.0"/>
        <n v="78511.0"/>
        <n v="83267.0"/>
        <n v="78490.0"/>
        <n v="73175.0"/>
        <n v="44730.0"/>
        <n v="10535.0"/>
        <n v="80299.0"/>
        <n v="121350.0"/>
        <n v="79958.0"/>
        <n v="95074.0"/>
        <n v="87574.0"/>
        <n v="77769.0"/>
        <n v="141889.0"/>
        <n v="83269.0"/>
        <n v="89647.0"/>
        <n v="77256.0"/>
        <n v="86840.0"/>
        <n v="30306.0"/>
        <n v="76427.0"/>
        <n v="44706.0"/>
        <n v="44701.0"/>
        <n v="10537.0"/>
        <n v="10523.0"/>
        <n v="76664.0"/>
        <n v="78472.0"/>
        <n v="44721.0"/>
        <n v="121576.0"/>
        <n v="117208.0"/>
        <n v="78497.0"/>
        <n v="44726.0"/>
        <n v="117210.0"/>
        <n v="87082.0"/>
        <n v="10529.0"/>
        <n v="44705.0"/>
        <n v="100564.0"/>
        <n v="87193.0"/>
        <n v="76044.0"/>
        <n v="121578.0"/>
        <n v="117206.0"/>
        <n v="81519.0"/>
        <n v="44724.0"/>
        <n v="82114.0"/>
        <n v="82115.0"/>
        <n v="109307.0"/>
        <n v="76046.0"/>
        <n v="117187.0"/>
        <n v="10538.0"/>
        <n v="78508.0"/>
        <n v="44723.0"/>
        <n v="109309.0"/>
        <n v="76656.0"/>
        <n v="80305.0"/>
        <n v="78506.0"/>
        <n v="82133.0"/>
        <n v="188805.0"/>
        <n v="78481.0"/>
        <n v="109310.0"/>
        <n v="120689.0"/>
        <n v="10540.0"/>
        <n v="44727.0"/>
        <n v="73190.0"/>
        <n v="112169.0"/>
        <n v="120695.0"/>
        <n v="80270.0"/>
        <n v="5795.0"/>
        <n v="107316.0"/>
        <n v="78482.0"/>
        <n v="158473.0"/>
        <n v="109308.0"/>
        <n v="78507.0"/>
        <n v="100827.0"/>
        <n v="102189.0"/>
        <n v="10522.0"/>
        <n v="78467.0"/>
        <n v="84367.0"/>
        <n v="87402.0"/>
        <n v="44707.0"/>
        <n v="78400.0"/>
        <n v="102188.0"/>
        <n v="73173.0"/>
        <n v="76661.0"/>
        <n v="78479.0"/>
        <n v="103401.0"/>
        <n v="83340.0"/>
        <n v="44725.0"/>
        <n v="109311.0"/>
        <n v="133901.0"/>
        <n v="92678.0"/>
        <n v="82447.0"/>
        <n v="110126.0"/>
        <n v="3219.0"/>
        <n v="127007.0"/>
        <n v="102277.0"/>
        <n v="122544.0"/>
        <n v="91486.0"/>
        <n v="28009.0"/>
        <n v="110814.0"/>
        <n v="117437.0"/>
        <n v="23074.0"/>
        <n v="8900.0"/>
        <n v="92676.0"/>
        <n v="117266.0"/>
        <n v="14527.0"/>
        <n v="27534.0"/>
        <n v="91636.0"/>
        <n v="120941.0"/>
        <n v="111897.0"/>
        <n v="158485.0"/>
        <n v="199530.0"/>
        <n v="120946.0"/>
        <n v="82957.0"/>
        <n v="109830.0"/>
        <n v="109831.0"/>
        <n v="107899.0"/>
        <n v="139289.0"/>
        <n v="72129.0"/>
        <n v="106541.0"/>
        <n v="43810.0"/>
        <n v="83117.0"/>
        <n v="78863.0"/>
        <n v="107898.0"/>
        <n v="80181.0"/>
        <n v="150280.0"/>
        <n v="80173.0"/>
        <n v="100647.0"/>
        <n v="147273.0"/>
        <n v="83770.0"/>
        <n v="180773.0"/>
        <n v="80125.0"/>
        <n v="89909.0"/>
        <n v="80114.0"/>
        <n v="73916.0"/>
        <n v="80117.0"/>
        <n v="22008.0"/>
        <n v="76608.0"/>
        <n v="80793.0"/>
        <n v="102588.0"/>
        <n v="80794.0"/>
        <n v="80174.0"/>
        <n v="114722.0"/>
        <n v="180843.0"/>
        <n v="22020.0"/>
        <n v="111259.0"/>
        <n v="89895.0"/>
        <n v="22014.0"/>
        <n v="44254.0"/>
        <n v="22025.0"/>
        <n v="83765.0"/>
        <n v="89930.0"/>
        <n v="83767.0"/>
        <n v="83745.0"/>
        <n v="78827.0"/>
        <n v="122266.0"/>
        <n v="949.0"/>
        <n v="102595.0"/>
        <n v="80790.0"/>
        <n v="114257.0"/>
        <n v="80121.0"/>
        <n v="164929.0"/>
        <n v="80180.0"/>
        <n v="92930.0"/>
        <n v="147271.0"/>
        <n v="83748.0"/>
        <n v="80120.0"/>
        <n v="164931.0"/>
        <n v="78804.0"/>
        <n v="103096.0"/>
        <n v="180770.0"/>
        <n v="80115.0"/>
        <n v="83771.0"/>
        <n v="80124.0"/>
        <n v="80111.0"/>
        <n v="63864.0"/>
        <n v="76824.0"/>
        <n v="102599.0"/>
        <n v="103001.0"/>
        <n v="164928.0"/>
        <n v="80791.0"/>
        <n v="83223.0"/>
        <n v="951.0"/>
        <n v="149928.0"/>
        <n v="60375.0"/>
        <n v="102594.0"/>
        <n v="128218.0"/>
        <n v="80178.0"/>
        <n v="164932.0"/>
        <n v="22036.0"/>
        <n v="102585.0"/>
        <n v="78816.0"/>
        <n v="78822.0"/>
        <n v="83773.0"/>
        <n v="114720.0"/>
        <n v="83777.0"/>
        <n v="102593.0"/>
        <n v="164930.0"/>
        <n v="102584.0"/>
        <n v="102586.0"/>
        <n v="83758.0"/>
        <n v="80189.0"/>
        <n v="26148.0"/>
        <n v="121902.0"/>
        <n v="21032.0"/>
        <n v="22071.0"/>
        <n v="87404.0"/>
        <n v="42712.0"/>
        <n v="76609.0"/>
        <n v="952.0"/>
        <n v="26136.0"/>
        <n v="87502.0"/>
        <n v="73923.0"/>
        <n v="164927.0"/>
        <n v="108749.0"/>
        <n v="89919.0"/>
        <n v="112897.0"/>
        <n v="122013.0"/>
        <n v="89902.0"/>
        <n v="89900.0"/>
        <n v="92461.0"/>
        <n v="128834.0"/>
        <n v="135180.0"/>
        <n v="120582.0"/>
        <n v="105794.0"/>
        <n v="81049.0"/>
        <n v="13364.0"/>
        <n v="13361.0"/>
        <n v="75659.0"/>
        <n v="75655.0"/>
        <n v="117866.0"/>
        <n v="90556.0"/>
        <n v="68605.0"/>
        <n v="103829.0"/>
        <n v="90558.0"/>
        <n v="120490.0"/>
        <n v="75662.0"/>
        <n v="121298.0"/>
        <n v="13363.0"/>
        <n v="117863.0"/>
        <n v="68607.0"/>
        <n v="122705.0"/>
        <n v="88195.0"/>
        <n v="45523.0"/>
        <n v="158449.0"/>
        <n v="45518.0"/>
        <n v="96288.0"/>
        <n v="76981.0"/>
        <n v="113827.0"/>
        <n v="76987.0"/>
        <n v="113824.0"/>
        <n v="113823.0"/>
        <n v="156053.0"/>
        <n v="45522.0"/>
        <n v="99176.0"/>
        <n v="49219.0"/>
        <n v="102370.0"/>
        <n v="49222.0"/>
        <n v="102352.0"/>
        <n v="49233.0"/>
        <n v="99163.0"/>
        <n v="142785.0"/>
        <n v="113054.0"/>
        <n v="88105.0"/>
        <n v="97036.0"/>
        <n v="81229.0"/>
        <n v="120563.0"/>
        <n v="122290.0"/>
        <n v="122373.0"/>
        <n v="117830.0"/>
        <n v="109008.0"/>
        <n v="122371.0"/>
        <n v="109012.0"/>
        <n v="156047.0"/>
        <n v="117839.0"/>
        <n v="156051.0"/>
        <n v="156048.0"/>
        <n v="117832.0"/>
        <n v="117877.0"/>
        <n v="117876.0"/>
        <n v="83507.0"/>
        <n v="121285.0"/>
        <n v="122684.0"/>
        <n v="116615.0"/>
        <n v="121083.0"/>
        <n v="108936.0"/>
        <n v="128388.0"/>
        <n v="120559.0"/>
        <n v="122685.0"/>
        <n v="122686.0"/>
        <n v="181263.0"/>
        <n v="122723.0"/>
        <n v="26533.0"/>
        <n v="16048.0"/>
        <n v="16049.0"/>
        <n v="122421.0"/>
        <n v="121718.0"/>
        <n v="117892.0"/>
        <n v="117893.0"/>
        <n v="78448.0"/>
        <n v="89463.0"/>
        <n v="108096.0"/>
        <n v="70495.0"/>
        <n v="115733.0"/>
        <n v="26349.0"/>
        <n v="26350.0"/>
        <n v="115724.0"/>
        <n v="115726.0"/>
        <n v="26352.0"/>
        <n v="19782.0"/>
        <n v="19793.0"/>
        <n v="87604.0"/>
        <n v="29931.0"/>
        <n v="9335.0"/>
        <n v="88722.0"/>
        <n v="121865.0"/>
        <n v="100934.0"/>
        <n v="117116.0"/>
        <n v="19802.0"/>
        <n v="81780.0"/>
        <n v="117094.0"/>
        <n v="19797.0"/>
        <n v="86131.0"/>
        <n v="121864.0"/>
        <n v="15061.0"/>
        <n v="79929.0"/>
        <n v="19792.0"/>
        <n v="108805.0"/>
        <n v="71689.0"/>
        <n v="71718.0"/>
        <n v="19752.0"/>
        <n v="116205.0"/>
        <n v="117113.0"/>
        <n v="71716.0"/>
        <n v="44398.0"/>
        <n v="100932.0"/>
        <n v="117125.0"/>
        <n v="19746.0"/>
        <n v="80729.0"/>
        <n v="19800.0"/>
        <n v="19790.0"/>
        <n v="19747.0"/>
        <n v="44524.0"/>
        <n v="103839.0"/>
        <n v="195240.0"/>
        <n v="195244.0"/>
        <n v="119465.0"/>
        <n v="47081.0"/>
        <n v="91635.0"/>
        <n v="188359.0"/>
        <n v="29655.0"/>
        <n v="193188.0"/>
        <n v="188367.0"/>
        <n v="188853.0"/>
        <n v="116214.0"/>
        <n v="82296.0"/>
        <n v="10269.0"/>
        <n v="121860.0"/>
        <n v="100464.0"/>
        <n v="10270.0"/>
        <n v="10283.0"/>
        <n v="10278.0"/>
        <n v="10259.0"/>
        <n v="200359.0"/>
        <n v="10243.0"/>
        <n v="200360.0"/>
        <n v="196501.0"/>
        <n v="100460.0"/>
        <n v="5880.0"/>
        <n v="5872.0"/>
        <n v="114258.0"/>
        <n v="11122.0"/>
        <n v="116894.0"/>
        <n v="72994.0"/>
        <n v="120863.0"/>
        <n v="120870.0"/>
        <n v="120868.0"/>
        <n v="102063.0"/>
        <n v="120869.0"/>
        <n v="120871.0"/>
        <n v="24195.0"/>
        <n v="120422.0"/>
        <n v="120874.0"/>
        <n v="120416.0"/>
        <n v="80944.0"/>
        <n v="120873.0"/>
        <n v="120875.0"/>
        <n v="147285.0"/>
        <n v="88604.0"/>
        <n v="120417.0"/>
        <n v="113914.0"/>
        <n v="68793.0"/>
        <n v="106707.0"/>
        <n v="24210.0"/>
        <n v="44012.0"/>
        <n v="106710.0"/>
        <n v="117239.0"/>
        <n v="80186.0"/>
        <n v="80185.0"/>
        <n v="107151.0"/>
        <n v="120420.0"/>
        <n v="80184.0"/>
        <n v="107157.0"/>
        <n v="118432.0"/>
        <n v="86512.0"/>
        <n v="118431.0"/>
        <n v="80187.0"/>
        <n v="107163.0"/>
        <n v="108342.0"/>
        <n v="20949.0"/>
        <n v="118436.0"/>
        <n v="113566.0"/>
        <n v="113571.0"/>
        <n v="107160.0"/>
        <n v="44007.0"/>
        <n v="69453.0"/>
        <n v="122690.0"/>
        <n v="117243.0"/>
        <n v="71988.0"/>
        <n v="111582.0"/>
        <n v="77235.0"/>
        <n v="105272.0"/>
        <n v="120809.0"/>
        <n v="10651.0"/>
        <n v="10657.0"/>
        <n v="9132.0"/>
        <n v="197151.0"/>
        <n v="73386.0"/>
        <n v="121604.0"/>
        <n v="89533.0"/>
        <n v="73381.0"/>
        <n v="26096.0"/>
        <n v="119050.0"/>
        <n v="44028.0"/>
        <n v="73572.0"/>
        <n v="83083.0"/>
        <n v="13338.0"/>
        <n v="83418.0"/>
        <n v="68640.0"/>
        <n v="10647.0"/>
        <n v="85884.0"/>
        <n v="113933.0"/>
        <n v="188843.0"/>
        <n v="13342.0"/>
        <n v="83002.0"/>
        <n v="112860.0"/>
        <n v="118374.0"/>
        <n v="119049.0"/>
        <n v="120964.0"/>
        <n v="26093.0"/>
        <n v="99311.0"/>
        <n v="9131.0"/>
        <n v="122167.0"/>
        <n v="10649.0"/>
        <n v="85875.0"/>
        <n v="9136.0"/>
        <n v="121835.0"/>
        <n v="113934.0"/>
        <n v="5750.0"/>
        <n v="73390.0"/>
        <n v="114251.0"/>
        <n v="73392.0"/>
        <n v="9128.0"/>
        <n v="122672.0"/>
        <n v="85857.0"/>
        <n v="9129.0"/>
        <n v="162438.0"/>
        <n v="73391.0"/>
        <n v="46428.0"/>
        <n v="85861.0"/>
        <n v="69324.0"/>
        <n v="122618.0"/>
        <n v="99312.0"/>
        <n v="113932.0"/>
        <n v="5751.0"/>
        <n v="85885.0"/>
        <n v="87877.0"/>
        <n v="197150.0"/>
        <n v="87878.0"/>
        <n v="122166.0"/>
        <n v="122617.0"/>
        <n v="118590.0"/>
        <n v="122366.0"/>
        <n v="83001.0"/>
        <n v="118594.0"/>
        <n v="85881.0"/>
        <n v="10655.0"/>
        <n v="121606.0"/>
        <n v="13341.0"/>
        <n v="122631.0"/>
        <n v="189132.0"/>
        <n v="87876.0"/>
        <n v="26094.0"/>
        <n v="189129.0"/>
        <n v="10654.0"/>
        <n v="5754.0"/>
        <n v="10648.0"/>
        <n v="114947.0"/>
        <n v="44728.0"/>
        <n v="120709.0"/>
        <n v="114949.0"/>
        <n v="48706.0"/>
        <n v="78411.0"/>
        <n v="120016.0"/>
        <n v="120710.0"/>
        <n v="48705.0"/>
        <n v="114948.0"/>
        <n v="117330.0"/>
        <n v="89665.0"/>
        <n v="89450.0"/>
        <n v="72080.0"/>
        <n v="72086.0"/>
        <n v="117076.0"/>
        <n v="72081.0"/>
        <n v="72088.0"/>
        <n v="72078.0"/>
        <n v="72085.0"/>
        <n v="112204.0"/>
        <n v="59138.0"/>
        <n v="72074.0"/>
        <n v="72096.0"/>
        <n v="72099.0"/>
        <n v="89451.0"/>
        <n v="29606.0"/>
        <n v="72089.0"/>
        <n v="29601.0"/>
        <n v="50372.0"/>
        <n v="89452.0"/>
        <n v="156019.0"/>
        <n v="117705.0"/>
        <n v="121184.0"/>
        <n v="89446.0"/>
        <n v="102339.0"/>
        <n v="121193.0"/>
        <n v="102332.0"/>
        <n v="121775.0"/>
        <n v="100903.0"/>
        <n v="81463.0"/>
        <n v="75788.0"/>
        <n v="121185.0"/>
        <n v="89440.0"/>
        <n v="103058.0"/>
        <n v="117716.0"/>
        <n v="71287.0"/>
        <n v="110685.0"/>
        <n v="79335.0"/>
        <n v="45538.0"/>
        <n v="76691.0"/>
        <n v="2336.0"/>
        <n v="91912.0"/>
        <n v="110826.0"/>
        <n v="117710.0"/>
        <n v="3621.0"/>
        <n v="4179.0"/>
        <n v="89407.0"/>
        <n v="121190.0"/>
        <n v="45524.0"/>
        <n v="3634.0"/>
        <n v="104327.0"/>
        <n v="71282.0"/>
        <n v="89411.0"/>
        <n v="105361.0"/>
        <n v="105359.0"/>
        <n v="75174.0"/>
        <n v="11895.0"/>
        <n v="11812.0"/>
        <n v="11815.0"/>
        <n v="11784.0"/>
        <n v="89241.0"/>
        <n v="117688.0"/>
        <n v="77688.0"/>
        <n v="89282.0"/>
        <n v="11769.0"/>
        <n v="117544.0"/>
        <n v="94860.0"/>
        <n v="79041.0"/>
        <n v="117686.0"/>
        <n v="89299.0"/>
        <n v="11823.0"/>
        <n v="117543.0"/>
        <n v="11765.0"/>
        <n v="121519.0"/>
        <n v="71276.0"/>
        <n v="120135.0"/>
        <n v="116793.0"/>
        <n v="11774.0"/>
        <n v="11900.0"/>
        <n v="11809.0"/>
        <n v="117642.0"/>
        <n v="71259.0"/>
        <n v="79047.0"/>
        <n v="11796.0"/>
        <n v="79043.0"/>
        <n v="89246.0"/>
        <n v="71275.0"/>
        <n v="11800.0"/>
        <n v="11818.0"/>
        <n v="11795.0"/>
        <n v="117641.0"/>
        <n v="82579.0"/>
        <n v="120153.0"/>
        <n v="81320.0"/>
        <n v="121517.0"/>
        <n v="89276.0"/>
        <n v="11822.0"/>
        <n v="11771.0"/>
        <n v="89295.0"/>
        <n v="117684.0"/>
        <n v="11817.0"/>
        <n v="120697.0"/>
        <n v="11783.0"/>
        <n v="11821.0"/>
        <n v="11814.0"/>
        <n v="71242.0"/>
        <n v="120449.0"/>
        <n v="23682.0"/>
        <n v="119076.0"/>
        <n v="9139.0"/>
        <n v="9138.0"/>
        <n v="109483.0"/>
        <n v="120438.0"/>
        <n v="120439.0"/>
        <n v="23681.0"/>
        <n v="89564.0"/>
        <n v="111962.0"/>
        <n v="124771.0"/>
        <n v="120446.0"/>
        <n v="111973.0"/>
        <n v="120437.0"/>
        <n v="124769.0"/>
        <n v="111972.0"/>
        <n v="47390.0"/>
        <n v="27047.0"/>
        <n v="68713.0"/>
        <n v="120568.0"/>
        <n v="120567.0"/>
        <n v="77038.0"/>
        <n v="87760.0"/>
        <n v="122612.0"/>
        <n v="110655.0"/>
        <n v="87785.0"/>
        <n v="122629.0"/>
        <n v="122614.0"/>
        <n v="122788.0"/>
        <n v="20226.0"/>
        <n v="120894.0"/>
        <n v="46762.0"/>
        <n v="118212.0"/>
        <n v="150950.0"/>
        <n v="190106.0"/>
        <n v="79810.0"/>
        <n v="82459.0"/>
        <n v="49360.0"/>
        <n v="194507.0"/>
        <n v="82453.0"/>
        <n v="79669.0"/>
        <n v="122294.0"/>
        <n v="73245.0"/>
        <n v="122082.0"/>
        <n v="194501.0"/>
        <n v="79105.0"/>
        <n v="87769.0"/>
        <n v="9734.0"/>
        <n v="149615.0"/>
        <n v="108966.0"/>
        <n v="116943.0"/>
        <n v="46769.0"/>
        <n v="87766.0"/>
        <n v="110701.0"/>
        <n v="4205.0"/>
        <n v="122615.0"/>
        <n v="87800.0"/>
        <n v="87801.0"/>
        <n v="87767.0"/>
        <n v="82454.0"/>
        <n v="194506.0"/>
        <n v="16240.0"/>
        <n v="16237.0"/>
        <n v="122760.0"/>
        <n v="82446.0"/>
        <n v="118333.0"/>
        <n v="122774.0"/>
        <n v="87789.0"/>
        <n v="111159.0"/>
        <n v="194500.0"/>
        <n v="80432.0"/>
        <n v="122636.0"/>
        <n v="110697.0"/>
        <n v="117966.0"/>
        <n v="122782.0"/>
        <n v="49358.0"/>
        <n v="190250.0"/>
        <n v="100243.0"/>
        <n v="87773.0"/>
        <n v="79103.0"/>
        <n v="87759.0"/>
        <n v="82461.0"/>
        <n v="122613.0"/>
        <n v="79746.0"/>
        <n v="110860.0"/>
        <n v="49355.0"/>
        <n v="93520.0"/>
        <n v="87765.0"/>
        <n v="110863.0"/>
        <n v="16238.0"/>
        <n v="122643.0"/>
        <n v="82452.0"/>
        <n v="122775.0"/>
        <n v="100240.0"/>
        <n v="87758.0"/>
        <n v="110689.0"/>
        <n v="110704.0"/>
        <n v="82455.0"/>
        <n v="127013.0"/>
        <n v="113063.0"/>
        <n v="11296.0"/>
        <n v="105305.0"/>
        <n v="73244.0"/>
        <n v="82458.0"/>
        <n v="105302.0"/>
        <n v="150951.0"/>
        <n v="122492.0"/>
        <n v="110436.0"/>
        <n v="10674.0"/>
        <n v="117166.0"/>
        <n v="111776.0"/>
        <n v="122388.0"/>
        <n v="117160.0"/>
        <n v="98795.0"/>
        <n v="117150.0"/>
        <n v="109416.0"/>
        <n v="122291.0"/>
        <n v="21820.0"/>
        <n v="150105.0"/>
        <n v="46474.0"/>
        <n v="118207.0"/>
        <n v="111007.0"/>
        <n v="9727.0"/>
        <n v="72321.0"/>
        <n v="100063.0"/>
        <n v="79818.0"/>
        <n v="121731.0"/>
        <n v="200584.0"/>
        <n v="68600.0"/>
        <n v="98788.0"/>
        <n v="122390.0"/>
        <n v="109930.0"/>
        <n v="118299.0"/>
        <n v="72320.0"/>
        <n v="87839.0"/>
        <n v="79819.0"/>
        <n v="117169.0"/>
        <n v="200585.0"/>
        <n v="70339.0"/>
        <n v="45597.0"/>
        <n v="117147.0"/>
        <n v="46309.0"/>
        <n v="45595.0"/>
        <n v="100311.0"/>
        <n v="122491.0"/>
        <n v="117466.0"/>
        <n v="85107.0"/>
        <n v="45594.0"/>
        <n v="118298.0"/>
        <n v="98802.0"/>
        <n v="46985.0"/>
        <n v="46476.0"/>
        <n v="110187.0"/>
        <n v="79988.0"/>
        <n v="46970.0"/>
        <n v="6519.0"/>
        <n v="118205.0"/>
        <n v="109412.0"/>
        <n v="117931.0"/>
        <n v="70042.0"/>
        <n v="150104.0"/>
        <n v="72319.0"/>
        <n v="100060.0"/>
        <n v="6521.0"/>
        <n v="45058.0"/>
        <n v="117139.0"/>
        <n v="117464.0"/>
        <n v="111777.0"/>
        <n v="122375.0"/>
        <n v="122282.0"/>
        <n v="47161.0"/>
        <n v="47159.0"/>
        <n v="71327.0"/>
        <n v="122276.0"/>
        <n v="72806.0"/>
        <n v="100248.0"/>
        <n v="122378.0"/>
        <n v="44762.0"/>
        <n v="100247.0"/>
        <n v="182272.0"/>
        <n v="128297.0"/>
        <n v="10673.0"/>
        <n v="69332.0"/>
        <n v="151239.0"/>
        <n v="116667.0"/>
        <n v="72809.0"/>
        <n v="165917.0"/>
        <n v="8746.0"/>
        <n v="122374.0"/>
        <n v="118166.0"/>
        <n v="42729.0"/>
        <n v="182271.0"/>
        <n v="109211.0"/>
        <n v="192901.0"/>
        <n v="122379.0"/>
        <n v="109891.0"/>
        <n v="125688.0"/>
        <n v="68599.0"/>
        <n v="104841.0"/>
        <n v="20243.0"/>
        <n v="10332.0"/>
        <n v="7361.0"/>
        <n v="21320.0"/>
        <n v="7365.0"/>
        <n v="7364.0"/>
        <n v="7362.0"/>
        <n v="117237.0"/>
        <n v="19784.0"/>
        <n v="9329.0"/>
        <n v="10859.0"/>
        <n v="118329.0"/>
        <n v="105169.0"/>
        <n v="90567.0"/>
        <n v="46672.0"/>
        <n v="118229.0"/>
        <n v="193230.0"/>
        <n v="193254.0"/>
        <n v="113228.0"/>
        <n v="193193.0"/>
        <n v="113223.0"/>
        <n v="113227.0"/>
        <n v="114198.0"/>
        <n v="100451.0"/>
        <n v="100446.0"/>
        <n v="193253.0"/>
        <n v="82432.0"/>
        <n v="122703.0"/>
        <n v="129410.0"/>
        <n v="103236.0"/>
        <n v="127534.0"/>
        <n v="100906.0"/>
        <n v="109098.0"/>
        <n v="155864.0"/>
        <n v="120314.0"/>
        <n v="199547.0"/>
        <n v="110540.0"/>
        <n v="182190.0"/>
        <n v="79341.0"/>
        <n v="108969.0"/>
        <n v="79939.0"/>
        <n v="11733.0"/>
        <n v="12647.0"/>
        <n v="122292.0"/>
        <n v="117433.0"/>
        <n v="127018.0"/>
        <n v="9705.0"/>
        <n v="9703.0"/>
        <n v="86005.0"/>
        <n v="9704.0"/>
        <n v="182189.0"/>
        <n v="29452.0"/>
        <n v="122485.0"/>
        <n v="9706.0"/>
        <n v="12648.0"/>
        <n v="93899.0"/>
        <n v="28890.0"/>
        <n v="17638.0"/>
        <n v="28888.0"/>
        <n v="29455.0"/>
        <n v="93895.0"/>
        <n v="116417.0"/>
        <n v="1971.0"/>
        <n v="12649.0"/>
        <n v="93896.0"/>
        <n v="44386.0"/>
        <n v="188156.0"/>
        <n v="7360.0"/>
        <n v="79323.0"/>
        <n v="72015.0"/>
        <n v="44310.0"/>
        <n v="77044.0"/>
        <n v="120636.0"/>
        <n v="92662.0"/>
        <n v="117263.0"/>
        <n v="117261.0"/>
        <n v="10644.0"/>
        <n v="102457.0"/>
        <n v="117419.0"/>
        <n v="150939.0"/>
        <n v="10517.0"/>
        <n v="79109.0"/>
        <n v="118918.0"/>
        <n v="102456.0"/>
        <n v="155865.0"/>
        <n v="100443.0"/>
        <n v="93833.0"/>
        <n v="76693.0"/>
        <n v="100441.0"/>
        <n v="103230.0"/>
        <n v="117902.0"/>
        <n v="105745.0"/>
        <n v="100811.0"/>
        <n v="102505.0"/>
        <n v="121317.0"/>
        <n v="121318.0"/>
        <n v="95155.0"/>
        <n v="25199.0"/>
        <n v="156020.0"/>
        <n v="28587.0"/>
        <n v="16050.0"/>
        <n v="119453.0"/>
        <n v="113070.0"/>
        <n v="99097.0"/>
        <n v="99099.0"/>
        <n v="104998.0"/>
        <n v="110524.0"/>
        <n v="117133.0"/>
        <n v="70696.0"/>
        <n v="121278.0"/>
        <n v="74382.0"/>
        <n v="121921.0"/>
        <n v="83853.0"/>
        <n v="111706.0"/>
        <n v="15062.0"/>
        <n v="79948.0"/>
        <n v="84400.0"/>
        <n v="79299.0"/>
        <n v="19776.0"/>
        <n v="74392.0"/>
        <n v="83399.0"/>
        <n v="74383.0"/>
        <n v="100819.0"/>
        <n v="190857.0"/>
        <n v="120331.0"/>
        <n v="87580.0"/>
        <n v="79300.0"/>
        <n v="79950.0"/>
        <n v="84402.0"/>
        <n v="79298.0"/>
        <n v="145105.0"/>
        <n v="92313.0"/>
        <n v="121735.0"/>
        <n v="47545.0"/>
        <n v="122630.0"/>
        <n v="159490.0"/>
        <n v="120519.0"/>
        <n v="159403.0"/>
        <n v="159617.0"/>
        <n v="85839.0"/>
        <n v="85838.0"/>
        <n v="8868.0"/>
        <n v="116191.0"/>
        <n v="90828.0"/>
        <n v="26276.0"/>
        <n v="29022.0"/>
        <n v="111081.0"/>
        <n v="26277.0"/>
        <n v="100251.0"/>
        <n v="87885.0"/>
        <n v="29023.0"/>
        <n v="100250.0"/>
        <n v="116320.0"/>
        <n v="122149.0"/>
        <n v="107220.0"/>
        <n v="122151.0"/>
        <n v="115766.0"/>
        <n v="114033.0"/>
        <n v="149508.0"/>
        <n v="107256.0"/>
        <n v="121615.0"/>
        <n v="107226.0"/>
        <n v="120188.0"/>
        <n v="107944.0"/>
        <n v="70243.0"/>
        <n v="149505.0"/>
        <n v="101428.0"/>
        <n v="121798.0"/>
        <n v="88636.0"/>
        <n v="111038.0"/>
        <n v="75032.0"/>
        <n v="70187.0"/>
        <n v="147278.0"/>
        <n v="114972.0"/>
        <n v="75072.0"/>
        <n v="114971.0"/>
        <n v="99981.0"/>
        <n v="86383.0"/>
        <n v="89587.0"/>
        <n v="89516.0"/>
        <n v="89519.0"/>
        <n v="75060.0"/>
        <n v="111745.0"/>
        <n v="70242.0"/>
        <n v="75061.0"/>
        <n v="69467.0"/>
        <n v="121800.0"/>
        <n v="110974.0"/>
        <n v="114969.0"/>
        <n v="111041.0"/>
        <n v="82382.0"/>
        <n v="89634.0"/>
        <n v="82381.0"/>
        <n v="107232.0"/>
        <n v="70247.0"/>
        <n v="107253.0"/>
        <n v="102709.0"/>
        <n v="75050.0"/>
        <n v="111014.0"/>
        <n v="120282.0"/>
        <n v="84512.0"/>
        <n v="77197.0"/>
        <n v="29650.0"/>
        <n v="4162.0"/>
        <n v="88214.0"/>
        <n v="73254.0"/>
        <n v="108204.0"/>
        <n v="9676.0"/>
        <n v="44412.0"/>
        <n v="73253.0"/>
        <n v="122516.0"/>
        <n v="70314.0"/>
        <n v="17644.0"/>
        <n v="118996.0"/>
        <n v="79199.0"/>
        <n v="128316.0"/>
        <n v="7933.0"/>
        <n v="85944.0"/>
        <n v="76665.0"/>
        <n v="102286.0"/>
        <n v="77199.0"/>
        <n v="11722.0"/>
        <n v="97949.0"/>
        <n v="9701.0"/>
        <n v="117615.0"/>
        <n v="10076.0"/>
        <n v="106572.0"/>
        <n v="10081.0"/>
        <n v="46424.0"/>
        <n v="118931.0"/>
        <n v="10078.0"/>
        <n v="75824.0"/>
        <n v="80433.0"/>
        <n v="106566.0"/>
        <n v="9702.0"/>
        <n v="122445.0"/>
        <n v="77178.0"/>
        <n v="10075.0"/>
        <n v="10079.0"/>
        <n v="111469.0"/>
        <n v="166324.0"/>
        <n v="7829.0"/>
        <n v="105507.0"/>
        <n v="12834.0"/>
        <n v="27984.0"/>
        <n v="29444.0"/>
        <n v="107878.0"/>
        <n v="122416.0"/>
        <n v="95628.0"/>
        <n v="9654.0"/>
        <n v="105609.0"/>
        <n v="118932.0"/>
        <n v="103976.0"/>
        <n v="107881.0"/>
        <n v="7830.0"/>
        <n v="159717.0"/>
        <n v="113449.0"/>
        <n v="79942.0"/>
        <n v="29437.0"/>
        <n v="99234.0"/>
        <n v="103985.0"/>
        <n v="97947.0"/>
        <n v="101083.0"/>
        <n v="111287.0"/>
        <n v="11728.0"/>
        <n v="111286.0"/>
        <n v="29426.0"/>
        <n v="93419.0"/>
        <n v="93418.0"/>
        <n v="79198.0"/>
        <n v="11720.0"/>
        <n v="122534.0"/>
        <n v="92209.0"/>
        <n v="93417.0"/>
        <n v="103197.0"/>
        <n v="118930.0"/>
        <n v="92199.0"/>
        <n v="29647.0"/>
        <n v="121857.0"/>
        <n v="129484.0"/>
        <n v="122405.0"/>
        <n v="108690.0"/>
        <n v="11726.0"/>
        <n v="109074.0"/>
        <n v="75818.0"/>
        <n v="10663.0"/>
        <n v="9667.0"/>
        <n v="109073.0"/>
        <n v="11731.0"/>
        <n v="155869.0"/>
        <n v="118982.0"/>
        <n v="29642.0"/>
        <n v="111774.0"/>
        <n v="117290.0"/>
        <n v="105593.0"/>
        <n v="70751.0"/>
        <n v="118929.0"/>
        <n v="70594.0"/>
        <n v="118270.0"/>
        <n v="20584.0"/>
        <n v="150541.0"/>
        <n v="12633.0"/>
        <n v="9666.0"/>
        <n v="79940.0"/>
        <n v="201198.0"/>
        <n v="117268.0"/>
        <n v="80623.0"/>
        <n v="9698.0"/>
        <n v="83102.0"/>
        <n v="118271.0"/>
        <n v="41659.0"/>
        <n v="81564.0"/>
        <n v="110132.0"/>
        <n v="17639.0"/>
        <n v="201025.0"/>
        <n v="70589.0"/>
        <n v="75825.0"/>
        <n v="9699.0"/>
        <n v="122448.0"/>
        <n v="105506.0"/>
        <n v="142304.0"/>
        <n v="105505.0"/>
        <n v="122502.0"/>
        <n v="118264.0"/>
        <n v="17632.0"/>
        <n v="108790.0"/>
        <n v="92200.0"/>
        <n v="17634.0"/>
        <n v="122522.0"/>
        <n v="122505.0"/>
        <n v="93416.0"/>
        <n v="93406.0"/>
        <n v="69329.0"/>
        <n v="155953.0"/>
        <n v="11721.0"/>
        <n v="41654.0"/>
        <n v="92204.0"/>
        <n v="105572.0"/>
        <n v="110141.0"/>
        <n v="158471.0"/>
        <n v="120876.0"/>
        <n v="87437.0"/>
        <n v="121462.0"/>
        <n v="69471.0"/>
        <n v="114904.0"/>
        <n v="113910.0"/>
        <n v="18100.0"/>
        <n v="114963.0"/>
        <n v="121495.0"/>
        <n v="83041.0"/>
        <n v="121499.0"/>
        <n v="108528.0"/>
        <n v="69547.0"/>
        <n v="18126.0"/>
        <n v="121812.0"/>
        <n v="81497.0"/>
        <n v="121500.0"/>
        <n v="45903.0"/>
        <n v="121813.0"/>
        <n v="108512.0"/>
        <n v="70189.0"/>
        <n v="194057.0"/>
        <n v="121460.0"/>
        <n v="121950.0"/>
        <n v="121811.0"/>
        <n v="86400.0"/>
        <n v="108527.0"/>
        <n v="88622.0"/>
        <n v="121803.0"/>
        <n v="87418.0"/>
        <n v="26275.0"/>
        <n v="119229.0"/>
        <n v="74881.0"/>
        <n v="86469.0"/>
        <n v="120798.0"/>
        <n v="86479.0"/>
        <n v="80411.0"/>
        <n v="120797.0"/>
        <n v="86480.0"/>
        <n v="86478.0"/>
        <n v="118887.0"/>
        <n v="121802.0"/>
        <n v="87440.0"/>
        <n v="86477.0"/>
        <n v="83059.0"/>
        <n v="86449.0"/>
        <n v="86416.0"/>
        <n v="83064.0"/>
        <n v="108514.0"/>
        <n v="86454.0"/>
        <n v="143238.0"/>
        <n v="107070.0"/>
        <n v="114467.0"/>
        <n v="143237.0"/>
        <n v="86417.0"/>
        <n v="147317.0"/>
        <n v="122177.0"/>
        <n v="114909.0"/>
        <n v="119230.0"/>
        <n v="107109.0"/>
        <n v="121461.0"/>
        <n v="86413.0"/>
        <n v="108511.0"/>
        <n v="120877.0"/>
        <n v="194052.0"/>
        <n v="121493.0"/>
        <n v="121479.0"/>
        <n v="79011.0"/>
        <n v="86470.0"/>
        <n v="194997.0"/>
        <n v="108515.0"/>
        <n v="69346.0"/>
        <n v="119971.0"/>
        <n v="107274.0"/>
        <n v="69451.0"/>
        <n v="87416.0"/>
        <n v="23667.0"/>
        <n v="112770.0"/>
        <n v="116186.0"/>
        <n v="95413.0"/>
        <n v="116184.0"/>
        <n v="95412.0"/>
        <n v="95414.0"/>
        <n v="24088.0"/>
        <n v="75156.0"/>
        <n v="6216.0"/>
        <n v="149867.0"/>
        <n v="44037.0"/>
        <n v="83029.0"/>
        <n v="100395.0"/>
        <n v="110437.0"/>
        <n v="29430.0"/>
        <n v="95416.0"/>
        <n v="108493.0"/>
        <n v="109293.0"/>
        <n v="73581.0"/>
        <n v="100396.0"/>
        <n v="45917.0"/>
        <n v="83420.0"/>
        <n v="101591.0"/>
        <n v="116181.0"/>
        <n v="109300.0"/>
        <n v="46160.0"/>
        <n v="116202.0"/>
        <n v="106884.0"/>
        <n v="98598.0"/>
        <n v="78515.0"/>
        <n v="46154.0"/>
        <n v="23668.0"/>
        <n v="107900.0"/>
        <n v="85037.0"/>
        <n v="49182.0"/>
        <n v="69111.0"/>
        <n v="80054.0"/>
        <n v="79782.0"/>
        <n v="80045.0"/>
        <n v="69108.0"/>
        <n v="69112.0"/>
        <n v="121992.0"/>
        <n v="80048.0"/>
        <n v="121982.0"/>
        <n v="121974.0"/>
        <n v="69110.0"/>
        <n v="23540.0"/>
        <n v="69123.0"/>
        <n v="121984.0"/>
        <n v="121979.0"/>
        <n v="80043.0"/>
        <n v="100326.0"/>
        <n v="69117.0"/>
        <n v="100334.0"/>
        <n v="69120.0"/>
        <n v="69119.0"/>
        <n v="69118.0"/>
        <n v="80044.0"/>
        <n v="23556.0"/>
        <n v="69114.0"/>
        <n v="79778.0"/>
        <n v="100323.0"/>
        <n v="69116.0"/>
        <n v="68938.0"/>
        <n v="121987.0"/>
        <n v="69113.0"/>
        <n v="80053.0"/>
        <n v="121986.0"/>
        <n v="121988.0"/>
        <n v="121990.0"/>
        <n v="68941.0"/>
        <n v="69122.0"/>
        <n v="80049.0"/>
        <n v="121971.0"/>
        <n v="68945.0"/>
        <n v="79780.0"/>
        <n v="80056.0"/>
        <n v="80040.0"/>
        <n v="114480.0"/>
        <n v="111922.0"/>
        <n v="111924.0"/>
        <n v="80047.0"/>
        <n v="69121.0"/>
        <n v="68939.0"/>
        <n v="69124.0"/>
        <n v="23552.0"/>
        <n v="68943.0"/>
        <n v="69115.0"/>
        <n v="81122.0"/>
        <n v="84672.0"/>
        <n v="81127.0"/>
        <n v="87858.0"/>
        <n v="84673.0"/>
        <n v="81064.0"/>
        <n v="81139.0"/>
        <n v="81141.0"/>
        <n v="81054.0"/>
        <n v="118352.0"/>
        <n v="81091.0"/>
        <n v="81025.0"/>
        <n v="81129.0"/>
        <n v="81043.0"/>
        <n v="81120.0"/>
        <n v="81109.0"/>
        <n v="81082.0"/>
        <n v="81036.0"/>
        <n v="81690.0"/>
        <n v="87849.0"/>
        <n v="81094.0"/>
        <n v="202726.0"/>
        <n v="101516.0"/>
        <n v="84332.0"/>
        <n v="16959.0"/>
        <n v="87762.0"/>
        <n v="16952.0"/>
        <n v="16958.0"/>
        <n v="16950.0"/>
        <n v="102266.0"/>
        <n v="202746.0"/>
        <n v="101519.0"/>
        <n v="81688.0"/>
        <n v="120365.0"/>
        <n v="3438.0"/>
        <n v="102262.0"/>
        <n v="87764.0"/>
        <n v="3437.0"/>
        <n v="111017.0"/>
        <n v="102264.0"/>
        <n v="18088.0"/>
        <n v="87836.0"/>
        <n v="87804.0"/>
        <n v="108207.0"/>
        <n v="111043.0"/>
        <n v="100223.0"/>
        <n v="92161.0"/>
        <n v="113405.0"/>
        <n v="120817.0"/>
        <n v="14520.0"/>
        <n v="104928.0"/>
        <n v="14517.0"/>
        <n v="122563.0"/>
        <n v="96404.0"/>
        <n v="121469.0"/>
        <n v="122579.0"/>
        <n v="113407.0"/>
        <n v="91995.0"/>
        <n v="81178.0"/>
        <n v="12918.0"/>
        <n v="122411.0"/>
        <n v="81194.0"/>
        <n v="71876.0"/>
        <n v="129493.0"/>
        <n v="81190.0"/>
        <n v="71875.0"/>
        <n v="81198.0"/>
        <n v="188723.0"/>
        <n v="115053.0"/>
        <n v="104609.0"/>
        <n v="12916.0"/>
        <n v="129488.0"/>
        <n v="78566.0"/>
        <n v="15090.0"/>
        <n v="81209.0"/>
        <n v="108141.0"/>
        <n v="12914.0"/>
        <n v="129492.0"/>
        <n v="120473.0"/>
        <n v="12924.0"/>
        <n v="12920.0"/>
        <n v="81200.0"/>
        <n v="122410.0"/>
        <n v="81720.0"/>
        <n v="12923.0"/>
        <n v="81173.0"/>
        <n v="12910.0"/>
        <n v="81193.0"/>
        <n v="12917.0"/>
        <n v="129491.0"/>
        <n v="15104.0"/>
        <n v="122407.0"/>
        <n v="81191.0"/>
        <n v="188725.0"/>
        <n v="188724.0"/>
        <n v="12911.0"/>
        <n v="21612.0"/>
        <n v="21603.0"/>
        <n v="81218.0"/>
        <n v="70543.0"/>
        <n v="80549.0"/>
        <n v="79404.0"/>
        <n v="110596.0"/>
        <n v="70547.0"/>
        <n v="11410.0"/>
        <n v="116632.0"/>
        <n v="80546.0"/>
        <n v="80572.0"/>
        <n v="70558.0"/>
        <n v="79405.0"/>
        <n v="80543.0"/>
        <n v="14041.0"/>
        <n v="70559.0"/>
        <n v="80582.0"/>
        <n v="90004.0"/>
        <n v="117907.0"/>
        <n v="70542.0"/>
        <n v="81210.0"/>
        <n v="81211.0"/>
        <n v="80573.0"/>
        <n v="117909.0"/>
        <n v="80584.0"/>
        <n v="80550.0"/>
        <n v="81227.0"/>
        <n v="80578.0"/>
        <n v="110595.0"/>
        <n v="70557.0"/>
        <n v="147284.0"/>
        <n v="70553.0"/>
        <n v="81212.0"/>
        <n v="120427.0"/>
        <n v="46049.0"/>
        <n v="46039.0"/>
        <n v="46037.0"/>
        <n v="88965.0"/>
        <n v="102614.0"/>
        <n v="122704.0"/>
        <n v="164902.0"/>
        <n v="117783.0"/>
        <n v="114278.0"/>
        <n v="46056.0"/>
        <n v="5703.0"/>
        <n v="102607.0"/>
        <n v="87913.0"/>
        <n v="149513.0"/>
        <n v="87909.0"/>
        <n v="101897.0"/>
        <n v="121675.0"/>
        <n v="99349.0"/>
        <n v="117785.0"/>
        <n v="120558.0"/>
        <n v="99351.0"/>
        <n v="113058.0"/>
        <n v="118917.0"/>
        <n v="164891.0"/>
        <n v="101901.0"/>
        <n v="197164.0"/>
        <n v="114277.0"/>
        <n v="86913.0"/>
        <n v="88971.0"/>
        <n v="188840.0"/>
        <n v="95652.0"/>
        <n v="68627.0"/>
        <n v="46043.0"/>
        <n v="60592.0"/>
        <n v="99350.0"/>
        <n v="78983.0"/>
        <n v="188845.0"/>
        <n v="117787.0"/>
        <n v="119986.0"/>
        <n v="188841.0"/>
        <n v="99348.0"/>
        <n v="78978.0"/>
        <n v="120556.0"/>
        <n v="80254.0"/>
        <n v="121911.0"/>
        <n v="120328.0"/>
        <n v="122702.0"/>
        <n v="92542.0"/>
        <n v="15423.0"/>
        <n v="111797.0"/>
        <n v="112626.0"/>
        <n v="12925.0"/>
        <n v="107034.0"/>
        <n v="88319.0"/>
        <n v="3453.0"/>
        <n v="121425.0"/>
        <n v="10561.0"/>
        <n v="90294.0"/>
        <n v="70804.0"/>
        <n v="81237.0"/>
        <n v="47564.0"/>
        <n v="24055.0"/>
        <n v="48637.0"/>
        <n v="3447.0"/>
        <n v="117921.0"/>
        <n v="128322.0"/>
        <n v="42207.0"/>
        <n v="108394.0"/>
        <n v="119967.0"/>
        <n v="81235.0"/>
        <n v="24053.0"/>
        <n v="116936.0"/>
        <n v="44268.0"/>
        <n v="111946.0"/>
        <n v="81234.0"/>
        <n v="24038.0"/>
        <n v="44882.0"/>
        <n v="44266.0"/>
        <n v="3452.0"/>
        <n v="118569.0"/>
        <n v="84378.0"/>
        <n v="112731.0"/>
        <n v="166201.0"/>
        <n v="48495.0"/>
        <n v="10383.0"/>
        <n v="116284.0"/>
        <n v="86543.0"/>
        <n v="21165.0"/>
        <n v="10309.0"/>
        <n v="10367.0"/>
        <n v="86545.0"/>
        <n v="86544.0"/>
        <n v="10384.0"/>
        <n v="79314.0"/>
        <n v="79311.0"/>
        <n v="118249.0"/>
        <n v="128420.0"/>
        <n v="120692.0"/>
        <n v="122464.0"/>
        <n v="79762.0"/>
        <n v="79315.0"/>
        <n v="98941.0"/>
        <n v="118245.0"/>
        <n v="122333.0"/>
        <n v="121901.0"/>
        <n v="79316.0"/>
        <n v="109899.0"/>
        <n v="70570.0"/>
        <n v="79364.0"/>
        <n v="113103.0"/>
        <n v="200581.0"/>
        <n v="91490.0"/>
        <n v="79320.0"/>
        <n v="122331.0"/>
        <n v="79921.0"/>
        <n v="128421.0"/>
        <n v="80421.0"/>
        <n v="121867.0"/>
        <n v="122501.0"/>
        <n v="44531.0"/>
        <n v="118153.0"/>
        <n v="118244.0"/>
        <n v="46974.0"/>
        <n v="69232.0"/>
        <n v="117461.0"/>
        <n v="122324.0"/>
        <n v="119023.0"/>
        <n v="70600.0"/>
        <n v="10689.0"/>
        <n v="158427.0"/>
        <n v="122462.0"/>
        <n v="155951.0"/>
        <n v="79338.0"/>
        <n v="79919.0"/>
        <n v="117057.0"/>
        <n v="122334.0"/>
        <n v="122648.0"/>
        <n v="128418.0"/>
        <n v="109883.0"/>
        <n v="119027.0"/>
        <n v="30522.0"/>
        <n v="118155.0"/>
        <n v="188068.0"/>
        <n v="92613.0"/>
        <n v="69234.0"/>
        <n v="109938.0"/>
        <n v="120307.0"/>
        <n v="118906.0"/>
        <n v="128309.0"/>
        <n v="1986.0"/>
        <n v="117749.0"/>
        <n v="117748.0"/>
        <n v="1962.0"/>
        <n v="109994.0"/>
        <n v="69364.0"/>
        <n v="69365.0"/>
        <n v="46990.0"/>
        <n v="11428.0"/>
        <n v="122318.0"/>
        <n v="182194.0"/>
        <n v="147256.0"/>
        <n v="5079.0"/>
        <n v="92621.0"/>
        <n v="11003.0"/>
        <n v="117560.0"/>
        <n v="188368.0"/>
        <n v="124765.0"/>
        <n v="8726.0"/>
        <n v="118158.0"/>
        <n v="121871.0"/>
        <n v="121876.0"/>
        <n v="121877.0"/>
        <n v="121879.0"/>
        <n v="121874.0"/>
        <n v="121893.0"/>
        <n v="121892.0"/>
        <n v="102678.0"/>
        <n v="121887.0"/>
        <n v="21344.0"/>
        <n v="121873.0"/>
        <n v="108833.0"/>
        <n v="121882.0"/>
        <n v="91492.0"/>
        <n v="111392.0"/>
        <n v="108835.0"/>
        <n v="118111.0"/>
        <n v="121872.0"/>
        <n v="112885.0"/>
        <n v="108738.0"/>
        <n v="21338.0"/>
        <n v="76513.0"/>
        <n v="76514.0"/>
        <n v="21339.0"/>
        <n v="75436.0"/>
        <n v="84092.0"/>
        <n v="86943.0"/>
        <n v="8688.0"/>
        <n v="117967.0"/>
        <n v="23061.0"/>
        <n v="10688.0"/>
        <n v="8690.0"/>
        <n v="79808.0"/>
        <n v="44797.0"/>
        <n v="79807.0"/>
        <n v="11426.0"/>
        <n v="45059.0"/>
        <n v="200582.0"/>
        <n v="143825.0"/>
        <n v="85232.0"/>
        <n v="79806.0"/>
        <n v="46991.0"/>
        <n v="69360.0"/>
        <n v="110441.0"/>
        <n v="120781.0"/>
        <n v="79809.0"/>
        <n v="45057.0"/>
        <n v="79805.0"/>
        <n v="45707.0"/>
        <n v="117282.0"/>
        <n v="30503.0"/>
        <n v="187336.0"/>
        <n v="82427.0"/>
        <n v="11000.0"/>
        <n v="117274.0"/>
        <n v="117445.0"/>
        <n v="103246.0"/>
        <n v="92626.0"/>
        <n v="79352.0"/>
        <n v="128315.0"/>
        <n v="117272.0"/>
        <n v="116770.0"/>
        <n v="118012.0"/>
        <n v="117306.0"/>
        <n v="117056.0"/>
        <n v="188066.0"/>
        <n v="181147.0"/>
        <n v="79917.0"/>
        <n v="110282.0"/>
        <n v="200526.0"/>
        <n v="193197.0"/>
        <n v="79820.0"/>
        <n v="122327.0"/>
        <n v="117956.0"/>
        <n v="86182.0"/>
        <n v="46989.0"/>
        <n v="46976.0"/>
        <n v="79354.0"/>
        <n v="114268.0"/>
        <n v="10685.0"/>
        <n v="118157.0"/>
        <n v="122322.0"/>
        <n v="27509.0"/>
        <n v="110852.0"/>
        <n v="128312.0"/>
        <n v="79355.0"/>
        <n v="86185.0"/>
        <n v="77138.0"/>
        <n v="86183.0"/>
        <n v="122595.0"/>
        <n v="70338.0"/>
        <n v="114273.0"/>
        <n v="110849.0"/>
        <n v="45056.0"/>
        <n v="92633.0"/>
        <n v="111011.0"/>
        <n v="11002.0"/>
        <n v="80661.0"/>
        <n v="128310.0"/>
        <n v="182193.0"/>
        <n v="116771.0"/>
        <n v="103245.0"/>
        <n v="1961.0"/>
        <n v="128314.0"/>
        <n v="109993.0"/>
        <n v="117270.0"/>
        <n v="42748.0"/>
        <n v="110447.0"/>
        <n v="46979.0"/>
        <n v="1296.0"/>
        <n v="109973.0"/>
        <n v="155949.0"/>
        <n v="187346.0"/>
        <n v="46978.0"/>
        <n v="110283.0"/>
        <n v="147257.0"/>
        <n v="182191.0"/>
        <n v="9722.0"/>
        <n v="124772.0"/>
        <n v="8681.0"/>
        <n v="5077.0"/>
        <n v="114274.0"/>
        <n v="1297.0"/>
        <n v="46988.0"/>
        <n v="92623.0"/>
        <n v="79761.0"/>
        <n v="11001.0"/>
        <n v="9731.0"/>
        <n v="122316.0"/>
        <n v="147255.0"/>
        <n v="8675.0"/>
        <n v="121900.0"/>
        <n v="124764.0"/>
        <n v="124774.0"/>
        <n v="79353.0"/>
        <n v="82703.0"/>
        <n v="71820.0"/>
        <n v="128311.0"/>
        <n v="70595.0"/>
        <n v="8676.0"/>
        <n v="128313.0"/>
        <n v="45479.0"/>
        <n v="45481.0"/>
        <n v="80001.0"/>
        <n v="10068.0"/>
        <n v="10054.0"/>
        <n v="10070.0"/>
        <n v="45480.0"/>
        <n v="92791.0"/>
        <n v="188722.0"/>
        <n v="10061.0"/>
        <n v="188708.0"/>
        <n v="110927.0"/>
        <n v="188729.0"/>
        <n v="120969.0"/>
        <n v="188728.0"/>
        <n v="188663.0"/>
        <n v="188727.0"/>
        <n v="9741.0"/>
        <n v="70406.0"/>
        <n v="112114.0"/>
        <n v="70405.0"/>
        <n v="20405.0"/>
        <n v="121308.0"/>
        <n v="121311.0"/>
        <n v="124748.0"/>
        <n v="104315.0"/>
        <n v="104314.0"/>
        <n v="69287.0"/>
        <n v="5789.0"/>
        <n v="14013.0"/>
        <n v="14015.0"/>
        <n v="69291.0"/>
        <n v="26057.0"/>
        <n v="14022.0"/>
        <n v="80109.0"/>
        <n v="121686.0"/>
        <n v="60365.0"/>
        <n v="86488.0"/>
        <n v="122530.0"/>
        <n v="60526.0"/>
        <n v="116807.0"/>
        <n v="80030.0"/>
        <n v="122529.0"/>
        <n v="14042.0"/>
        <n v="14043.0"/>
        <n v="9157.0"/>
        <n v="149968.0"/>
        <n v="47299.0"/>
        <n v="109275.0"/>
        <n v="122768.0"/>
        <n v="80400.0"/>
        <n v="8803.0"/>
        <n v="80085.0"/>
        <n v="47379.0"/>
        <n v="47366.0"/>
        <n v="47376.0"/>
        <n v="95799.0"/>
        <n v="112733.0"/>
        <n v="47050.0"/>
        <n v="112449.0"/>
        <n v="14025.0"/>
        <n v="26054.0"/>
        <n v="60366.0"/>
        <n v="116805.0"/>
        <n v="8804.0"/>
        <n v="48470.0"/>
        <n v="86485.0"/>
        <n v="73872.0"/>
        <n v="72852.0"/>
        <n v="85856.0"/>
        <n v="14018.0"/>
        <n v="100262.0"/>
        <n v="114657.0"/>
        <n v="150281.0"/>
        <n v="81491.0"/>
        <n v="88519.0"/>
        <n v="116800.0"/>
        <n v="117675.0"/>
        <n v="47051.0"/>
        <n v="103171.0"/>
        <n v="47049.0"/>
        <n v="47351.0"/>
        <n v="47575.0"/>
        <n v="80088.0"/>
        <n v="47298.0"/>
        <n v="100271.0"/>
        <n v="47621.0"/>
        <n v="117609.0"/>
        <n v="103873.0"/>
        <n v="14026.0"/>
        <n v="95951.0"/>
        <n v="9162.0"/>
        <n v="80089.0"/>
        <n v="122521.0"/>
        <n v="69300.0"/>
        <n v="80417.0"/>
        <n v="128323.0"/>
        <n v="80091.0"/>
        <n v="92927.0"/>
        <n v="9158.0"/>
        <n v="103872.0"/>
        <n v="116809.0"/>
        <n v="114655.0"/>
        <n v="80228.0"/>
        <n v="47207.0"/>
        <n v="116402.0"/>
        <n v="116408.0"/>
        <n v="83592.0"/>
        <n v="122241.0"/>
        <n v="112799.0"/>
        <n v="122659.0"/>
        <n v="112797.0"/>
        <n v="122663.0"/>
        <n v="112809.0"/>
        <n v="80220.0"/>
        <n v="112732.0"/>
        <n v="83354.0"/>
        <n v="116410.0"/>
        <n v="103841.0"/>
        <n v="116746.0"/>
        <n v="116405.0"/>
        <n v="112810.0"/>
        <n v="47347.0"/>
        <n v="101902.0"/>
        <n v="92926.0"/>
        <n v="47345.0"/>
        <n v="121611.0"/>
        <n v="73310.0"/>
        <n v="80102.0"/>
        <n v="122773.0"/>
        <n v="119421.0"/>
        <n v="118276.0"/>
        <n v="47314.0"/>
        <n v="122771.0"/>
        <n v="47380.0"/>
        <n v="98329.0"/>
        <n v="81485.0"/>
        <n v="77847.0"/>
        <n v="77290.0"/>
        <n v="114656.0"/>
        <n v="118486.0"/>
        <n v="101889.0"/>
        <n v="14030.0"/>
        <n v="47381.0"/>
        <n v="101888.0"/>
        <n v="98328.0"/>
        <n v="79775.0"/>
        <n v="122616.0"/>
        <n v="101950.0"/>
        <n v="9163.0"/>
        <n v="110106.0"/>
        <n v="14045.0"/>
        <n v="95993.0"/>
        <n v="81488.0"/>
        <n v="14049.0"/>
        <n v="121749.0"/>
        <n v="101927.0"/>
        <n v="103864.0"/>
        <n v="85862.0"/>
        <n v="46124.0"/>
        <n v="114346.0"/>
        <n v="80194.0"/>
        <n v="80192.0"/>
        <n v="46109.0"/>
        <n v="80196.0"/>
        <n v="149602.0"/>
        <n v="46123.0"/>
        <n v="46113.0"/>
        <n v="46116.0"/>
        <n v="46119.0"/>
        <n v="63867.0"/>
        <n v="80190.0"/>
        <n v="48485.0"/>
        <n v="80203.0"/>
        <n v="100670.0"/>
        <n v="16546.0"/>
        <n v="121622.0"/>
        <n v="80202.0"/>
        <n v="24263.0"/>
        <n v="16552.0"/>
        <n v="112771.0"/>
        <n v="116197.0"/>
        <n v="46138.0"/>
        <n v="109546.0"/>
        <n v="199475.0"/>
        <n v="199479.0"/>
        <n v="48180.0"/>
        <n v="90374.0"/>
        <n v="80318.0"/>
        <n v="6206.0"/>
        <n v="181492.0"/>
        <n v="148738.0"/>
        <n v="100692.0"/>
        <n v="121708.0"/>
        <n v="47508.0"/>
        <n v="89514.0"/>
        <n v="117918.0"/>
        <n v="16645.0"/>
        <n v="148740.0"/>
        <n v="100688.0"/>
        <n v="148741.0"/>
        <n v="109299.0"/>
        <n v="196109.0"/>
        <n v="72155.0"/>
        <n v="80245.0"/>
        <n v="6215.0"/>
        <n v="45810.0"/>
        <n v="80205.0"/>
        <n v="107064.0"/>
        <n v="6211.0"/>
        <n v="44036.0"/>
        <n v="181493.0"/>
        <n v="6210.0"/>
        <n v="110431.0"/>
        <n v="122878.0"/>
        <n v="14092.0"/>
        <n v="121621.0"/>
        <n v="120511.0"/>
        <n v="46132.0"/>
        <n v="83014.0"/>
        <n v="80199.0"/>
        <n v="80201.0"/>
        <n v="46131.0"/>
        <n v="102346.0"/>
        <n v="14094.0"/>
        <n v="100679.0"/>
        <n v="102345.0"/>
        <n v="121695.0"/>
        <n v="6204.0"/>
        <n v="16571.0"/>
        <n v="181494.0"/>
        <n v="80315.0"/>
        <n v="83054.0"/>
        <n v="83056.0"/>
        <n v="83055.0"/>
        <n v="46134.0"/>
        <n v="121693.0"/>
        <n v="102344.0"/>
        <n v="100687.0"/>
        <n v="70327.0"/>
        <n v="80191.0"/>
        <n v="103037.0"/>
        <n v="6205.0"/>
        <n v="70387.0"/>
        <n v="122278.0"/>
        <n v="29365.0"/>
        <n v="17769.0"/>
        <n v="23144.0"/>
        <n v="120115.0"/>
        <n v="29384.0"/>
        <n v="17746.0"/>
        <n v="121630.0"/>
        <n v="29385.0"/>
        <n v="17767.0"/>
        <n v="103047.0"/>
        <n v="70209.0"/>
        <n v="29372.0"/>
        <n v="120485.0"/>
        <n v="120486.0"/>
        <n v="70293.0"/>
        <n v="71772.0"/>
        <n v="86111.0"/>
        <n v="71840.0"/>
        <n v="28533.0"/>
        <n v="86994.0"/>
        <n v="124881.0"/>
        <n v="119280.0"/>
        <n v="87001.0"/>
        <n v="71839.0"/>
        <n v="119288.0"/>
        <n v="71770.0"/>
        <n v="28536.0"/>
        <n v="90007.0"/>
        <n v="71830.0"/>
        <n v="71837.0"/>
        <n v="83640.0"/>
        <n v="111191.0"/>
        <n v="70442.0"/>
        <n v="122228.0"/>
        <n v="46822.0"/>
        <n v="71769.0"/>
        <n v="9302.0"/>
        <n v="90006.0"/>
        <n v="80673.0"/>
        <n v="71834.0"/>
        <n v="107310.0"/>
        <n v="71843.0"/>
        <n v="107358.0"/>
        <n v="44842.0"/>
        <n v="111181.0"/>
        <n v="71773.0"/>
        <n v="71836.0"/>
        <n v="70276.0"/>
        <n v="71775.0"/>
        <n v="44844.0"/>
        <n v="156181.0"/>
        <n v="102898.0"/>
        <n v="47600.0"/>
        <n v="111173.0"/>
        <n v="70201.0"/>
        <n v="71842.0"/>
        <n v="47601.0"/>
        <n v="87000.0"/>
        <n v="103457.0"/>
        <n v="42198.0"/>
        <n v="46823.0"/>
        <n v="116196.0"/>
        <n v="111177.0"/>
        <n v="70292.0"/>
        <n v="90008.0"/>
        <n v="71768.0"/>
        <n v="86972.0"/>
        <n v="111179.0"/>
        <n v="81726.0"/>
        <n v="28535.0"/>
        <n v="80682.0"/>
        <n v="144008.0"/>
        <n v="111129.0"/>
        <n v="107307.0"/>
        <n v="70206.0"/>
        <n v="107349.0"/>
        <n v="122231.0"/>
        <n v="103458.0"/>
        <n v="71838.0"/>
        <n v="104671.0"/>
        <n v="83793.0"/>
        <n v="50478.0"/>
        <n v="118891.0"/>
        <n v="70440.0"/>
        <n v="44840.0"/>
        <n v="107304.0"/>
        <n v="116195.0"/>
        <n v="86980.0"/>
        <n v="122230.0"/>
        <n v="47602.0"/>
        <n v="42190.0"/>
        <n v="111130.0"/>
        <n v="71774.0"/>
        <n v="75010.0"/>
        <n v="119276.0"/>
        <n v="83789.0"/>
        <n v="86999.0"/>
        <n v="80678.0"/>
        <n v="86973.0"/>
        <n v="81724.0"/>
        <n v="104678.0"/>
        <n v="71844.0"/>
        <n v="42287.0"/>
        <n v="116678.0"/>
        <n v="116845.0"/>
        <n v="114252.0"/>
        <n v="117595.0"/>
        <n v="109579.0"/>
        <n v="117597.0"/>
        <n v="14401.0"/>
        <n v="109290.0"/>
        <n v="117665.0"/>
        <n v="117681.0"/>
        <n v="119406.0"/>
        <n v="117676.0"/>
        <n v="109571.0"/>
        <n v="116676.0"/>
        <n v="116816.0"/>
        <n v="117663.0"/>
        <n v="117652.0"/>
        <n v="109289.0"/>
        <n v="117656.0"/>
        <n v="117677.0"/>
        <n v="116677.0"/>
        <n v="117256.0"/>
        <n v="122738.0"/>
        <n v="116679.0"/>
        <n v="116831.0"/>
        <n v="109577.0"/>
        <n v="77790.0"/>
        <n v="101172.0"/>
        <n v="87023.0"/>
        <n v="101520.0"/>
        <n v="118362.0"/>
        <n v="87313.0"/>
        <n v="111015.0"/>
        <n v="87312.0"/>
        <n v="87025.0"/>
        <n v="111587.0"/>
        <n v="114934.0"/>
        <n v="116519.0"/>
        <n v="116516.0"/>
        <n v="104931.0"/>
        <n v="105656.0"/>
        <n v="117702.0"/>
        <n v="88385.0"/>
        <n v="76451.0"/>
        <n v="199950.0"/>
        <n v="121167.0"/>
        <n v="199954.0"/>
        <n v="190713.0"/>
        <n v="199951.0"/>
        <n v="85263.0"/>
        <n v="180016.0"/>
        <n v="129432.0"/>
        <n v="120052.0"/>
        <n v="111876.0"/>
        <n v="85092.0"/>
        <n v="121046.0"/>
        <n v="849.0"/>
        <n v="21662.0"/>
        <n v="127038.0"/>
        <n v="91954.0"/>
        <n v="96365.0"/>
        <n v="121172.0"/>
        <n v="74331.0"/>
        <n v="105657.0"/>
        <n v="113716.0"/>
        <n v="104510.0"/>
        <n v="105059.0"/>
        <n v="63608.0"/>
        <n v="121095.0"/>
        <n v="76450.0"/>
        <n v="121012.0"/>
        <n v="113187.0"/>
        <n v="101946.0"/>
        <n v="117275.0"/>
        <n v="117695.0"/>
        <n v="74398.0"/>
        <n v="105230.0"/>
        <n v="112776.0"/>
        <n v="23968.0"/>
        <n v="127025.0"/>
        <n v="118956.0"/>
        <n v="118947.0"/>
        <n v="95873.0"/>
        <n v="118946.0"/>
        <n v="44991.0"/>
        <n v="122398.0"/>
        <n v="108638.0"/>
        <n v="113633.0"/>
        <n v="113649.0"/>
        <n v="113619.0"/>
        <n v="113648.0"/>
        <n v="120889.0"/>
        <n v="113620.0"/>
        <n v="113626.0"/>
        <n v="113657.0"/>
        <n v="113645.0"/>
        <n v="18247.0"/>
        <n v="121249.0"/>
        <n v="104912.0"/>
        <n v="73222.0"/>
        <n v="78834.0"/>
        <n v="15109.0"/>
        <n v="26126.0"/>
        <n v="48724.0"/>
        <n v="98888.0"/>
        <n v="48605.0"/>
        <n v="119243.0"/>
        <n v="22045.0"/>
        <n v="73221.0"/>
        <n v="72168.0"/>
        <n v="127039.0"/>
        <n v="155861.0"/>
        <n v="6213.0"/>
        <n v="6476.0"/>
        <n v="114933.0"/>
        <n v="6473.0"/>
        <n v="99248.0"/>
        <n v="6477.0"/>
        <n v="6478.0"/>
        <n v="6474.0"/>
        <n v="70574.0"/>
        <n v="101302.0"/>
        <n v="104475.0"/>
        <n v="101296.0"/>
        <n v="122029.0"/>
        <n v="102549.0"/>
        <n v="122026.0"/>
        <n v="101303.0"/>
        <n v="102548.0"/>
        <n v="122027.0"/>
        <n v="46963.0"/>
        <n v="102268.0"/>
        <n v="26649.0"/>
        <n v="102275.0"/>
        <n v="43943.0"/>
        <n v="102550.0"/>
        <n v="26650.0"/>
        <n v="117728.0"/>
        <n v="103588.0"/>
        <n v="101297.0"/>
        <n v="101298.0"/>
        <n v="113129.0"/>
        <n v="102551.0"/>
        <n v="117735.0"/>
        <n v="101299.0"/>
        <n v="103590.0"/>
        <n v="43944.0"/>
        <n v="113128.0"/>
        <n v="102553.0"/>
        <n v="114230.0"/>
        <n v="122028.0"/>
        <n v="102269.0"/>
        <n v="26651.0"/>
        <n v="101316.0"/>
        <n v="117742.0"/>
        <n v="101315.0"/>
        <n v="43945.0"/>
        <n v="103589.0"/>
        <n v="88896.0"/>
        <n v="103595.0"/>
        <n v="101300.0"/>
        <n v="113130.0"/>
        <n v="102272.0"/>
        <n v="43947.0"/>
        <n v="102271.0"/>
        <n v="103592.0"/>
        <n v="26652.0"/>
        <n v="43946.0"/>
        <n v="101301.0"/>
        <n v="108458.0"/>
        <n v="117736.0"/>
        <n v="49606.0"/>
        <n v="106297.0"/>
        <n v="15556.0"/>
        <n v="49605.0"/>
        <n v="102312.0"/>
        <n v="121125.0"/>
        <n v="106401.0"/>
        <n v="116834.0"/>
        <n v="1953.0"/>
        <n v="106305.0"/>
        <n v="108278.0"/>
        <n v="47660.0"/>
        <n v="47657.0"/>
        <n v="64185.0"/>
        <n v="108256.0"/>
        <n v="62597.0"/>
        <n v="102304.0"/>
        <n v="118242.0"/>
        <n v="121743.0"/>
        <n v="108257.0"/>
        <n v="117756.0"/>
        <n v="110334.0"/>
        <n v="102307.0"/>
        <n v="117750.0"/>
        <n v="181976.0"/>
        <n v="108258.0"/>
        <n v="110241.0"/>
        <n v="110337.0"/>
        <n v="118243.0"/>
        <n v="102305.0"/>
        <n v="110342.0"/>
        <n v="102306.0"/>
        <n v="194045.0"/>
        <n v="96009.0"/>
        <n v="104087.0"/>
        <n v="77448.0"/>
        <n v="5801.0"/>
        <n v="90650.0"/>
        <n v="6395.0"/>
        <n v="77444.0"/>
        <n v="20389.0"/>
        <n v="68293.0"/>
        <n v="90982.0"/>
        <n v="48279.0"/>
        <n v="77447.0"/>
        <n v="5710.0"/>
        <n v="90906.0"/>
        <n v="90883.0"/>
        <n v="113093.0"/>
        <n v="73926.0"/>
        <n v="110083.0"/>
        <n v="76313.0"/>
        <n v="68404.0"/>
        <n v="68322.0"/>
        <n v="73947.0"/>
        <n v="29116.0"/>
        <n v="90846.0"/>
        <n v="110084.0"/>
        <n v="73925.0"/>
        <n v="68296.0"/>
        <n v="90873.0"/>
        <n v="90874.0"/>
        <n v="90842.0"/>
        <n v="5709.0"/>
        <n v="76341.0"/>
        <n v="113094.0"/>
        <n v="76301.0"/>
        <n v="90844.0"/>
        <n v="90848.0"/>
        <n v="76318.0"/>
        <n v="118885.0"/>
        <n v="76349.0"/>
        <n v="30878.0"/>
        <n v="104176.0"/>
        <n v="78516.0"/>
        <n v="118884.0"/>
        <n v="119239.0"/>
        <n v="30875.0"/>
        <n v="73946.0"/>
        <n v="90690.0"/>
        <n v="101380.0"/>
        <n v="5804.0"/>
        <n v="82372.0"/>
        <n v="90643.0"/>
        <n v="68412.0"/>
        <n v="82393.0"/>
        <n v="5803.0"/>
        <n v="121706.0"/>
        <n v="68374.0"/>
        <n v="90946.0"/>
        <n v="69312.0"/>
        <n v="87128.0"/>
        <n v="149506.0"/>
        <n v="5722.0"/>
        <n v="5697.0"/>
        <n v="29117.0"/>
        <n v="68305.0"/>
        <n v="5714.0"/>
        <n v="73951.0"/>
        <n v="68337.0"/>
        <n v="76338.0"/>
        <n v="202592.0"/>
        <n v="69578.0"/>
        <n v="76383.0"/>
        <n v="5696.0"/>
        <n v="90929.0"/>
        <n v="90926.0"/>
        <n v="76364.0"/>
        <n v="79152.0"/>
        <n v="30874.0"/>
        <n v="5718.0"/>
        <n v="126542.0"/>
        <n v="90852.0"/>
        <n v="122139.0"/>
        <n v="126975.0"/>
        <n v="202593.0"/>
        <n v="73940.0"/>
        <n v="76360.0"/>
        <n v="118876.0"/>
        <n v="76366.0"/>
        <n v="122645.0"/>
        <n v="76372.0"/>
        <n v="5720.0"/>
        <n v="5695.0"/>
        <n v="90931.0"/>
        <n v="110085.0"/>
        <n v="113096.0"/>
        <n v="90878.0"/>
        <n v="73938.0"/>
        <n v="5698.0"/>
        <n v="76373.0"/>
        <n v="73945.0"/>
        <n v="159200.0"/>
        <n v="68354.0"/>
        <n v="5712.0"/>
        <n v="114471.0"/>
        <n v="90934.0"/>
        <n v="87851.0"/>
        <n v="90891.0"/>
        <n v="69579.0"/>
        <n v="90924.0"/>
        <n v="69311.0"/>
        <n v="90923.0"/>
        <n v="159197.0"/>
        <n v="88268.0"/>
        <n v="90913.0"/>
        <n v="76365.0"/>
        <n v="9205.0"/>
        <n v="76363.0"/>
        <n v="121967.0"/>
        <n v="90935.0"/>
        <n v="87126.0"/>
        <n v="90928.0"/>
        <n v="90912.0"/>
        <n v="48508.0"/>
        <n v="90853.0"/>
        <n v="117628.0"/>
        <n v="5699.0"/>
        <n v="5735.0"/>
        <n v="109832.0"/>
        <n v="122675.0"/>
        <n v="87225.0"/>
        <n v="82373.0"/>
        <n v="77254.0"/>
        <n v="5742.0"/>
        <n v="117622.0"/>
        <n v="77255.0"/>
        <n v="101964.0"/>
        <n v="48491.0"/>
        <n v="82368.0"/>
        <n v="82367.0"/>
        <n v="118426.0"/>
        <n v="5068.0"/>
        <n v="84660.0"/>
        <n v="5070.0"/>
        <n v="84681.0"/>
        <n v="102596.0"/>
        <n v="5037.0"/>
        <n v="5052.0"/>
        <n v="5051.0"/>
        <n v="102647.0"/>
        <n v="5061.0"/>
        <n v="102649.0"/>
        <n v="102662.0"/>
        <n v="108337.0"/>
        <n v="188352.0"/>
        <n v="11459.0"/>
        <n v="11443.0"/>
        <n v="70560.0"/>
        <n v="110363.0"/>
        <n v="11449.0"/>
        <n v="119793.0"/>
        <n v="41107.0"/>
        <n v="78358.0"/>
        <n v="77048.0"/>
        <n v="27428.0"/>
        <n v="8530.0"/>
        <n v="14281.0"/>
        <n v="140582.0"/>
        <n v="98895.0"/>
        <n v="77491.0"/>
        <n v="81704.0"/>
        <n v="111565.0"/>
        <n v="5774.0"/>
        <n v="112075.0"/>
        <n v="88469.0"/>
        <n v="112249.0"/>
        <n v="5775.0"/>
        <n v="77506.0"/>
        <n v="83646.0"/>
        <n v="77484.0"/>
        <n v="77481.0"/>
        <n v="17075.0"/>
        <n v="77492.0"/>
        <n v="112084.0"/>
        <n v="12041.0"/>
        <n v="83042.0"/>
        <n v="77490.0"/>
        <n v="43336.0"/>
        <n v="48609.0"/>
        <n v="117074.0"/>
        <n v="112085.0"/>
        <n v="106656.0"/>
        <n v="119244.0"/>
        <n v="73236.0"/>
        <n v="127582.0"/>
        <n v="128210.0"/>
        <n v="73187.0"/>
        <n v="41681.0"/>
        <n v="30624.0"/>
        <n v="114267.0"/>
        <n v="77441.0"/>
        <n v="116636.0"/>
        <n v="115198.0"/>
        <n v="89845.0"/>
        <n v="112248.0"/>
        <n v="89849.0"/>
        <n v="121709.0"/>
        <n v="122653.0"/>
        <n v="9759.0"/>
        <n v="86782.0"/>
        <n v="119246.0"/>
        <n v="6047.0"/>
        <n v="117526.0"/>
        <n v="106671.0"/>
        <n v="30889.0"/>
        <n v="80634.0"/>
        <n v="114269.0"/>
        <n v="84034.0"/>
        <n v="103271.0"/>
        <n v="72248.0"/>
        <n v="7672.0"/>
        <n v="82844.0"/>
        <n v="7685.0"/>
        <n v="7673.0"/>
        <n v="72328.0"/>
        <n v="87967.0"/>
        <n v="113193.0"/>
        <n v="82821.0"/>
        <n v="87964.0"/>
        <n v="201751.0"/>
        <n v="79057.0"/>
        <n v="41225.0"/>
        <n v="113300.0"/>
        <n v="113299.0"/>
        <n v="105475.0"/>
        <n v="114724.0"/>
        <n v="113298.0"/>
        <n v="82838.0"/>
        <n v="111960.0"/>
        <n v="108840.0"/>
        <n v="201044.0"/>
        <n v="81880.0"/>
        <n v="81873.0"/>
        <n v="117613.0"/>
        <n v="81876.0"/>
        <n v="104050.0"/>
        <n v="111934.0"/>
        <n v="29819.0"/>
        <n v="120392.0"/>
        <n v="29820.0"/>
        <n v="83755.0"/>
        <n v="111941.0"/>
        <n v="80858.0"/>
        <n v="81902.0"/>
        <n v="83754.0"/>
        <n v="116233.0"/>
        <n v="112192.0"/>
        <n v="119728.0"/>
        <n v="81901.0"/>
        <n v="141878.0"/>
        <n v="116236.0"/>
        <n v="120751.0"/>
        <n v="80756.0"/>
        <n v="119729.0"/>
        <n v="119028.0"/>
        <n v="116957.0"/>
        <n v="78235.0"/>
        <n v="119803.0"/>
        <n v="7669.0"/>
        <n v="139312.0"/>
        <n v="77773.0"/>
        <n v="73442.0"/>
        <n v="3974.0"/>
        <n v="104032.0"/>
        <n v="24162.0"/>
        <n v="24167.0"/>
        <n v="24174.0"/>
        <n v="24161.0"/>
        <n v="88594.0"/>
        <n v="118818.0"/>
        <n v="24166.0"/>
        <n v="118828.0"/>
        <n v="86169.0"/>
        <n v="118851.0"/>
        <n v="118824.0"/>
        <n v="122728.0"/>
        <n v="103474.0"/>
        <n v="120635.0"/>
        <n v="120633.0"/>
        <n v="121477.0"/>
        <n v="156024.0"/>
        <n v="70191.0"/>
        <n v="19822.0"/>
        <n v="156023.0"/>
        <n v="120628.0"/>
        <n v="45830.0"/>
        <n v="86192.0"/>
        <n v="127372.0"/>
        <n v="113902.0"/>
        <n v="119133.0"/>
        <n v="114946.0"/>
        <n v="118832.0"/>
        <n v="86499.0"/>
        <n v="81790.0"/>
        <n v="45898.0"/>
        <n v="24144.0"/>
        <n v="98351.0"/>
        <n v="86481.0"/>
        <n v="115747.0"/>
        <n v="116187.0"/>
        <n v="86162.0"/>
        <n v="90654.0"/>
        <n v="71743.0"/>
        <n v="71744.0"/>
        <n v="88590.0"/>
        <n v="78940.0"/>
        <n v="194752.0"/>
        <n v="194748.0"/>
        <n v="111580.0"/>
        <n v="194741.0"/>
        <n v="107082.0"/>
        <n v="83092.0"/>
        <n v="111581.0"/>
        <n v="88402.0"/>
        <n v="88413.0"/>
        <n v="86560.0"/>
        <n v="127584.0"/>
        <n v="122254.0"/>
        <n v="118849.0"/>
        <n v="107187.0"/>
        <n v="119932.0"/>
        <n v="92045.0"/>
        <n v="82168.0"/>
        <n v="79263.0"/>
        <n v="92044.0"/>
        <n v="114725.0"/>
        <n v="50684.0"/>
        <n v="82167.0"/>
        <n v="68513.0"/>
        <n v="76566.0"/>
        <n v="119088.0"/>
        <n v="119431.0"/>
        <n v="101279.0"/>
        <n v="101270.0"/>
        <n v="101282.0"/>
        <n v="70291.0"/>
        <n v="70290.0"/>
        <n v="19188.0"/>
        <n v="41117.0"/>
        <n v="30625.0"/>
        <n v="11462.0"/>
        <n v="120733.0"/>
        <n v="83487.0"/>
        <n v="117610.0"/>
        <n v="112177.0"/>
        <n v="11412.0"/>
        <n v="76842.0"/>
        <n v="78366.0"/>
        <n v="98984.0"/>
        <n v="120310.0"/>
        <n v="116277.0"/>
        <n v="77670.0"/>
        <n v="78363.0"/>
        <n v="11458.0"/>
        <n v="11456.0"/>
        <n v="120726.0"/>
        <n v="11404.0"/>
        <n v="11408.0"/>
        <n v="120708.0"/>
        <n v="74419.0"/>
        <n v="113278.0"/>
        <n v="83486.0"/>
        <n v="11452.0"/>
        <n v="116803.0"/>
        <n v="77657.0"/>
        <n v="120309.0"/>
        <n v="116276.0"/>
        <n v="104623.0"/>
        <n v="78364.0"/>
        <n v="76837.0"/>
        <n v="82873.0"/>
        <n v="110341.0"/>
        <n v="76874.0"/>
        <n v="110340.0"/>
        <n v="44409.0"/>
        <n v="73831.0"/>
        <n v="79035.0"/>
        <n v="94951.0"/>
        <n v="22248.0"/>
        <n v="16088.0"/>
        <n v="10571.0"/>
        <n v="182012.0"/>
        <n v="182013.0"/>
        <n v="107400.0"/>
        <n v="48623.0"/>
        <n v="48616.0"/>
        <n v="47515.0"/>
        <n v="81915.0"/>
        <n v="108920.0"/>
        <n v="107406.0"/>
        <n v="24074.0"/>
        <n v="107388.0"/>
        <n v="24075.0"/>
        <n v="27639.0"/>
        <n v="103632.0"/>
        <n v="10569.0"/>
        <n v="182007.0"/>
        <n v="182009.0"/>
        <n v="103630.0"/>
        <n v="47514.0"/>
        <n v="86370.0"/>
        <n v="86368.0"/>
        <n v="103174.0"/>
        <n v="48632.0"/>
        <n v="48630.0"/>
        <n v="48624.0"/>
        <n v="10573.0"/>
        <n v="18115.0"/>
        <n v="83057.0"/>
        <n v="26727.0"/>
        <n v="85779.0"/>
        <n v="84396.0"/>
        <n v="42676.0"/>
        <n v="108380.0"/>
        <n v="10565.0"/>
        <n v="107631.0"/>
        <n v="24061.0"/>
        <n v="182051.0"/>
        <n v="86360.0"/>
        <n v="10566.0"/>
        <n v="182014.0"/>
        <n v="182010.0"/>
        <n v="24076.0"/>
        <n v="10572.0"/>
        <n v="47527.0"/>
        <n v="10577.0"/>
        <n v="81914.0"/>
        <n v="120186.0"/>
        <n v="182015.0"/>
        <n v="117919.0"/>
        <n v="71228.0"/>
        <n v="67264.0"/>
        <n v="82984.0"/>
        <n v="86420.0"/>
        <n v="71227.0"/>
        <n v="18055.0"/>
        <n v="82989.0"/>
        <n v="86438.0"/>
        <n v="18061.0"/>
        <n v="67265.0"/>
        <n v="69552.0"/>
        <n v="110955.0"/>
        <n v="79505.0"/>
        <n v="110943.0"/>
        <n v="119048.0"/>
        <n v="42695.0"/>
        <n v="88980.0"/>
        <n v="149507.0"/>
        <n v="86988.0"/>
        <n v="73836.0"/>
        <n v="69322.0"/>
        <n v="8696.0"/>
        <n v="119062.0"/>
        <n v="188931.0"/>
        <n v="100238.0"/>
        <n v="47010.0"/>
        <n v="104605.0"/>
        <n v="42694.0"/>
        <n v="8697.0"/>
        <n v="110957.0"/>
        <n v="86989.0"/>
        <n v="8695.0"/>
        <n v="122792.0"/>
        <n v="8698.0"/>
        <n v="103866.0"/>
        <n v="103865.0"/>
        <n v="110945.0"/>
        <n v="158671.0"/>
        <n v="118915.0"/>
        <n v="88990.0"/>
        <n v="73835.0"/>
        <n v="8699.0"/>
        <n v="81494.0"/>
        <n v="89821.0"/>
        <n v="83567.0"/>
        <n v="69323.0"/>
        <n v="88976.0"/>
        <n v="199415.0"/>
        <n v="112792.0"/>
        <n v="104322.0"/>
        <n v="69321.0"/>
        <n v="110948.0"/>
        <n v="82008.0"/>
        <n v="86987.0"/>
        <n v="118912.0"/>
        <n v="47048.0"/>
        <n v="103870.0"/>
        <n v="86985.0"/>
        <n v="82005.0"/>
        <n v="119053.0"/>
        <n v="102015.0"/>
        <n v="92823.0"/>
        <n v="108060.0"/>
        <n v="4214.0"/>
        <n v="14715.0"/>
        <n v="16771.0"/>
        <n v="97945.0"/>
        <n v="144740.0"/>
        <n v="75342.0"/>
        <n v="88189.0"/>
        <n v="70677.0"/>
        <n v="86506.0"/>
        <n v="17360.0"/>
        <n v="9819.0"/>
        <n v="28574.0"/>
        <n v="102395.0"/>
        <n v="147302.0"/>
        <n v="85049.0"/>
        <n v="1683.0"/>
        <n v="1685.0"/>
        <n v="22193.0"/>
        <n v="9786.0"/>
        <n v="108770.0"/>
        <n v="109536.0"/>
        <n v="111743.0"/>
        <n v="108769.0"/>
        <n v="111742.0"/>
        <n v="88989.0"/>
        <n v="88987.0"/>
        <n v="88988.0"/>
        <n v="102816.0"/>
        <n v="49803.0"/>
        <n v="77302.0"/>
        <n v="94000.0"/>
        <n v="9616.0"/>
        <n v="115135.0"/>
        <n v="90727.0"/>
        <n v="24060.0"/>
        <n v="112086.0"/>
        <n v="90723.0"/>
        <n v="77601.0"/>
        <n v="12005.0"/>
        <n v="41680.0"/>
        <n v="12000.0"/>
        <n v="12022.0"/>
        <n v="113596.0"/>
        <n v="11998.0"/>
        <n v="12063.0"/>
        <n v="96069.0"/>
        <n v="12007.0"/>
        <n v="113592.0"/>
        <n v="147308.0"/>
        <n v="41679.0"/>
        <n v="112077.0"/>
        <n v="115133.0"/>
        <n v="30465.0"/>
        <n v="87405.0"/>
        <n v="77602.0"/>
        <n v="107058.0"/>
        <n v="5807.0"/>
        <n v="87061.0"/>
        <n v="108039.0"/>
        <n v="90837.0"/>
        <n v="88461.0"/>
        <n v="81504.0"/>
        <n v="12027.0"/>
        <n v="8883.0"/>
        <n v="112082.0"/>
        <n v="114961.0"/>
        <n v="112078.0"/>
        <n v="12025.0"/>
        <n v="11992.0"/>
        <n v="188850.0"/>
        <n v="69296.0"/>
        <n v="115141.0"/>
        <n v="112081.0"/>
        <n v="77611.0"/>
        <n v="111722.0"/>
        <n v="81503.0"/>
        <n v="117559.0"/>
        <n v="110230.0"/>
        <n v="122854.0"/>
        <n v="95371.0"/>
        <n v="101190.0"/>
        <n v="121532.0"/>
        <n v="6614.0"/>
        <n v="6618.0"/>
        <n v="96096.0"/>
        <n v="105977.0"/>
        <n v="105901.0"/>
        <n v="180823.0"/>
        <n v="118979.0"/>
        <n v="111502.0"/>
        <n v="180822.0"/>
        <n v="101196.0"/>
        <n v="180824.0"/>
        <n v="105905.0"/>
        <n v="101194.0"/>
        <n v="113719.0"/>
        <n v="111330.0"/>
        <n v="102089.0"/>
        <n v="116867.0"/>
        <n v="150297.0"/>
        <n v="23628.0"/>
        <n v="120369.0"/>
        <n v="114175.0"/>
        <n v="23649.0"/>
        <n v="80419.0"/>
        <n v="114173.0"/>
        <n v="91562.0"/>
        <n v="23662.0"/>
        <n v="76466.0"/>
        <n v="76465.0"/>
        <n v="68329.0"/>
        <n v="114470.0"/>
        <n v="110568.0"/>
        <n v="76470.0"/>
        <n v="5604.0"/>
        <n v="28613.0"/>
        <n v="159402.0"/>
        <n v="68379.0"/>
        <n v="91069.0"/>
        <n v="91060.0"/>
        <n v="182274.0"/>
        <n v="110566.0"/>
        <n v="78877.0"/>
        <n v="5490.0"/>
        <n v="68382.0"/>
        <n v="114663.0"/>
        <n v="76474.0"/>
        <n v="76455.0"/>
        <n v="46337.0"/>
        <n v="78430.0"/>
        <n v="5605.0"/>
        <n v="77419.0"/>
        <n v="121701.0"/>
        <n v="91072.0"/>
        <n v="68486.0"/>
        <n v="110576.0"/>
        <n v="78503.0"/>
        <n v="77439.0"/>
        <n v="5615.0"/>
        <n v="5602.0"/>
        <n v="28612.0"/>
        <n v="72247.0"/>
        <n v="76469.0"/>
        <n v="78876.0"/>
        <n v="91064.0"/>
        <n v="5603.0"/>
        <n v="5612.0"/>
        <n v="43897.0"/>
        <n v="91058.0"/>
        <n v="107998.0"/>
        <n v="112194.0"/>
        <n v="68232.0"/>
        <n v="159386.0"/>
        <n v="76471.0"/>
        <n v="68357.0"/>
        <n v="68303.0"/>
        <n v="68325.0"/>
        <n v="68515.0"/>
        <n v="107989.0"/>
        <n v="76732.0"/>
        <n v="14711.0"/>
        <n v="14706.0"/>
        <n v="23975.0"/>
        <n v="90665.0"/>
        <n v="69551.0"/>
        <n v="69503.0"/>
        <n v="23473.0"/>
        <n v="69500.0"/>
        <n v="14689.0"/>
        <n v="19409.0"/>
        <n v="69526.0"/>
        <n v="19412.0"/>
        <n v="23471.0"/>
        <n v="14670.0"/>
        <n v="69499.0"/>
        <n v="90686.0"/>
        <n v="111872.0"/>
        <n v="23964.0"/>
        <n v="111837.0"/>
        <n v="19377.0"/>
        <n v="111836.0"/>
        <n v="190103.0"/>
        <n v="19408.0"/>
        <n v="14694.0"/>
        <n v="5686.0"/>
        <n v="111842.0"/>
        <n v="23978.0"/>
        <n v="14682.0"/>
        <n v="111873.0"/>
        <n v="23454.0"/>
        <n v="16760.0"/>
        <n v="14709.0"/>
        <n v="14665.0"/>
        <n v="8869.0"/>
        <n v="68520.0"/>
        <n v="107331.0"/>
        <n v="107325.0"/>
        <n v="8871.0"/>
        <n v="107334.0"/>
        <n v="120302.0"/>
        <n v="117661.0"/>
        <n v="79006.0"/>
        <n v="17133.0"/>
        <n v="76818.0"/>
        <n v="70236.0"/>
        <n v="91342.0"/>
        <n v="121782.0"/>
        <n v="76822.0"/>
        <n v="100278.0"/>
        <n v="122795.0"/>
        <n v="100282.0"/>
        <n v="68867.0"/>
        <n v="8862.0"/>
        <n v="72131.0"/>
        <n v="12047.0"/>
        <n v="121790.0"/>
        <n v="121787.0"/>
        <n v="70239.0"/>
        <n v="113942.0"/>
        <n v="119134.0"/>
        <n v="76813.0"/>
        <n v="121793.0"/>
        <n v="100283.0"/>
        <n v="75028.0"/>
        <n v="113946.0"/>
        <n v="12050.0"/>
        <n v="104312.0"/>
        <n v="121780.0"/>
        <n v="88638.0"/>
        <n v="70238.0"/>
        <n v="121839.0"/>
        <n v="77621.0"/>
        <n v="121783.0"/>
        <n v="75033.0"/>
        <n v="12053.0"/>
        <n v="113954.0"/>
        <n v="5782.0"/>
        <n v="107915.0"/>
        <n v="68866.0"/>
        <n v="121837.0"/>
        <n v="121840.0"/>
        <n v="90979.0"/>
        <n v="114350.0"/>
        <n v="47539.0"/>
        <n v="83948.0"/>
        <n v="17139.0"/>
        <n v="12051.0"/>
        <n v="12052.0"/>
        <n v="121838.0"/>
        <n v="107917.0"/>
        <n v="5779.0"/>
        <n v="120303.0"/>
        <n v="121784.0"/>
        <n v="107913.0"/>
        <n v="58759.0"/>
        <n v="158697.0"/>
        <n v="87160.0"/>
        <n v="88694.0"/>
        <n v="120393.0"/>
        <n v="89581.0"/>
        <n v="6514.0"/>
        <n v="105340.0"/>
        <n v="120865.0"/>
        <n v="110078.0"/>
        <n v="122343.0"/>
        <n v="12296.0"/>
        <n v="96952.0"/>
        <n v="82193.0"/>
        <n v="89802.0"/>
        <n v="87044.0"/>
        <n v="87042.0"/>
        <n v="116274.0"/>
        <n v="122344.0"/>
        <n v="122345.0"/>
        <n v="120867.0"/>
        <n v="28494.0"/>
        <n v="8882.0"/>
        <n v="116275.0"/>
        <n v="121424.0"/>
        <n v="75058.0"/>
        <n v="75056.0"/>
        <n v="42239.0"/>
        <n v="42237.0"/>
        <n v="69457.0"/>
        <n v="69328.0"/>
        <n v="69454.0"/>
        <n v="69469.0"/>
        <n v="193264.0"/>
        <n v="115763.0"/>
        <n v="69463.0"/>
        <n v="84168.0"/>
        <n v="75077.0"/>
        <n v="42229.0"/>
        <n v="89588.0"/>
        <n v="99973.0"/>
        <n v="70241.0"/>
        <n v="129479.0"/>
        <n v="107926.0"/>
        <n v="42232.0"/>
        <n v="122106.0"/>
        <n v="69456.0"/>
        <n v="118888.0"/>
        <n v="69468.0"/>
        <n v="117629.0"/>
        <n v="121475.0"/>
        <n v="80412.0"/>
        <n v="122857.0"/>
        <n v="115769.0"/>
        <n v="115774.0"/>
        <n v="118889.0"/>
        <n v="115758.0"/>
        <n v="115755.0"/>
        <n v="114964.0"/>
        <n v="87617.0"/>
        <n v="118542.0"/>
        <n v="122845.0"/>
        <n v="114967.0"/>
        <n v="121476.0"/>
        <n v="120529.0"/>
        <n v="120530.0"/>
        <n v="117638.0"/>
        <n v="108240.0"/>
        <n v="88635.0"/>
        <n v="69340.0"/>
        <n v="199472.0"/>
        <n v="117646.0"/>
        <n v="84167.0"/>
        <n v="81742.0"/>
        <n v="115754.0"/>
        <n v="69334.0"/>
        <n v="117753.0"/>
        <n v="129482.0"/>
        <n v="117634.0"/>
        <n v="111027.0"/>
        <n v="115772.0"/>
        <n v="115768.0"/>
        <n v="69476.0"/>
        <n v="122118.0"/>
        <n v="87447.0"/>
        <n v="129480.0"/>
        <n v="84164.0"/>
        <n v="69338.0"/>
        <n v="120531.0"/>
        <n v="120524.0"/>
        <n v="117631.0"/>
        <n v="115757.0"/>
        <n v="42243.0"/>
        <n v="115761.0"/>
        <n v="113960.0"/>
        <n v="42241.0"/>
        <n v="115770.0"/>
        <n v="118541.0"/>
        <n v="115750.0"/>
        <n v="99969.0"/>
        <n v="129483.0"/>
        <n v="42255.0"/>
        <n v="100235.0"/>
        <n v="129481.0"/>
        <n v="87455.0"/>
        <n v="120257.0"/>
        <n v="122221.0"/>
        <n v="122216.0"/>
        <n v="140598.0"/>
        <n v="112123.0"/>
        <n v="70402.0"/>
        <n v="119110.0"/>
        <n v="139295.0"/>
        <n v="71056.0"/>
        <n v="122218.0"/>
        <n v="122217.0"/>
        <n v="119119.0"/>
        <n v="46933.0"/>
        <n v="119118.0"/>
        <n v="41035.0"/>
        <n v="139303.0"/>
        <n v="101784.0"/>
        <n v="122219.0"/>
        <n v="122215.0"/>
        <n v="111154.0"/>
        <n v="119117.0"/>
        <n v="20419.0"/>
        <n v="122220.0"/>
        <n v="122214.0"/>
        <n v="46936.0"/>
        <n v="112122.0"/>
        <n v="71055.0"/>
        <n v="41034.0"/>
        <n v="111153.0"/>
        <n v="119120.0"/>
        <n v="139297.0"/>
        <n v="48476.0"/>
        <n v="103454.0"/>
        <n v="103456.0"/>
        <n v="139304.0"/>
        <n v="158661.0"/>
        <n v="162441.0"/>
        <n v="102695.0"/>
        <n v="78913.0"/>
        <n v="71397.0"/>
        <n v="17596.0"/>
        <n v="71398.0"/>
        <n v="17627.0"/>
        <n v="86166.0"/>
        <n v="71409.0"/>
        <n v="12877.0"/>
        <n v="121868.0"/>
        <n v="17626.0"/>
        <n v="71394.0"/>
        <n v="17620.0"/>
        <n v="86186.0"/>
        <n v="71410.0"/>
        <n v="121869.0"/>
        <n v="17624.0"/>
        <n v="119737.0"/>
        <n v="17618.0"/>
        <n v="78741.0"/>
        <n v="86864.0"/>
        <n v="71421.0"/>
        <n v="115776.0"/>
        <n v="71393.0"/>
        <n v="78739.0"/>
        <n v="71408.0"/>
        <n v="109194.0"/>
        <n v="84448.0"/>
        <n v="140575.0"/>
        <n v="71420.0"/>
        <n v="71375.0"/>
        <n v="71376.0"/>
        <n v="110975.0"/>
        <n v="86170.0"/>
        <n v="142787.0"/>
        <n v="109185.0"/>
        <n v="109184.0"/>
        <n v="72575.0"/>
        <n v="78909.0"/>
        <n v="17630.0"/>
        <n v="78924.0"/>
        <n v="82196.0"/>
        <n v="86184.0"/>
        <n v="6219.0"/>
        <n v="116185.0"/>
        <n v="12873.0"/>
        <n v="71413.0"/>
        <n v="128352.0"/>
        <n v="17594.0"/>
        <n v="71404.0"/>
        <n v="129473.0"/>
        <n v="78904.0"/>
        <n v="122311.0"/>
        <n v="86172.0"/>
        <n v="17592.0"/>
        <n v="89981.0"/>
        <n v="71399.0"/>
        <n v="17587.0"/>
        <n v="17647.0"/>
        <n v="107364.0"/>
        <n v="24118.0"/>
        <n v="86181.0"/>
        <n v="129474.0"/>
        <n v="17601.0"/>
        <n v="78938.0"/>
        <n v="17609.0"/>
        <n v="129452.0"/>
        <n v="88587.0"/>
        <n v="17645.0"/>
        <n v="78899.0"/>
        <n v="71402.0"/>
        <n v="12875.0"/>
        <n v="17615.0"/>
        <n v="193116.0"/>
        <n v="72577.0"/>
        <n v="78916.0"/>
        <n v="71419.0"/>
        <n v="188223.0"/>
        <n v="71417.0"/>
        <n v="46895.0"/>
        <n v="86157.0"/>
        <n v="159110.0"/>
        <n v="46913.0"/>
        <n v="71400.0"/>
        <n v="46914.0"/>
        <n v="120300.0"/>
        <n v="71412.0"/>
        <n v="71415.0"/>
        <n v="71414.0"/>
        <n v="10336.0"/>
        <n v="125173.0"/>
        <n v="112994.0"/>
        <n v="125182.0"/>
        <n v="121112.0"/>
        <n v="125172.0"/>
        <n v="125196.0"/>
        <n v="125192.0"/>
        <n v="125194.0"/>
        <n v="125198.0"/>
        <n v="111220.0"/>
        <n v="105969.0"/>
        <n v="105981.0"/>
        <n v="125185.0"/>
        <n v="111605.0"/>
        <n v="111608.0"/>
        <n v="97023.0"/>
        <n v="111607.0"/>
        <n v="71083.0"/>
        <n v="118178.0"/>
        <n v="81767.0"/>
        <n v="118186.0"/>
        <n v="43228.0"/>
        <n v="199268.0"/>
        <n v="118196.0"/>
        <n v="71084.0"/>
        <n v="120587.0"/>
        <n v="80952.0"/>
        <n v="120575.0"/>
        <n v="43244.0"/>
        <n v="116477.0"/>
        <n v="110480.0"/>
        <n v="87548.0"/>
        <n v="77223.0"/>
        <n v="43241.0"/>
        <n v="71161.0"/>
        <n v="77224.0"/>
        <n v="113992.0"/>
        <n v="112611.0"/>
        <n v="116482.0"/>
        <n v="77246.0"/>
        <n v="122798.0"/>
        <n v="120590.0"/>
        <n v="71914.0"/>
        <n v="118206.0"/>
        <n v="118179.0"/>
        <n v="43247.0"/>
        <n v="71166.0"/>
        <n v="43238.0"/>
        <n v="114003.0"/>
        <n v="87540.0"/>
        <n v="77229.0"/>
        <n v="113994.0"/>
        <n v="106725.0"/>
        <n v="43235.0"/>
        <n v="118176.0"/>
        <n v="114018.0"/>
        <n v="116480.0"/>
        <n v="120577.0"/>
        <n v="118201.0"/>
        <n v="77245.0"/>
        <n v="118195.0"/>
        <n v="118197.0"/>
        <n v="187317.0"/>
        <n v="199484.0"/>
        <n v="113995.0"/>
        <n v="113669.0"/>
        <n v="111584.0"/>
        <n v="26123.0"/>
        <n v="113665.0"/>
        <n v="181241.0"/>
        <n v="113664.0"/>
        <n v="113677.0"/>
        <n v="120343.0"/>
        <n v="113666.0"/>
        <n v="113663.0"/>
        <n v="116983.0"/>
        <n v="94043.0"/>
        <n v="68216.0"/>
        <n v="80131.0"/>
        <n v="80998.0"/>
        <n v="87014.0"/>
        <n v="102900.0"/>
        <n v="80997.0"/>
        <n v="116989.0"/>
        <n v="43826.0"/>
        <n v="8769.0"/>
        <n v="104427.0"/>
        <n v="8770.0"/>
        <n v="94930.0"/>
        <n v="111576.0"/>
        <n v="71715.0"/>
        <n v="71710.0"/>
        <n v="102790.0"/>
        <n v="3518.0"/>
        <n v="18318.0"/>
        <n v="104220.0"/>
        <n v="106109.0"/>
        <n v="72162.0"/>
        <n v="104410.0"/>
        <n v="88825.0"/>
        <n v="13928.0"/>
        <n v="45368.0"/>
        <n v="119732.0"/>
        <n v="90467.0"/>
        <n v="119874.0"/>
        <n v="121316.0"/>
        <n v="77390.0"/>
        <n v="11444.0"/>
        <n v="74416.0"/>
        <n v="75323.0"/>
        <n v="86619.0"/>
        <n v="119801.0"/>
        <n v="126576.0"/>
        <n v="108841.0"/>
        <n v="82820.0"/>
        <n v="116826.0"/>
        <n v="126965.0"/>
        <n v="103795.0"/>
        <n v="116821.0"/>
        <n v="126577.0"/>
        <n v="82806.0"/>
        <n v="68099.0"/>
        <n v="82827.0"/>
        <n v="77127.0"/>
        <n v="69002.0"/>
        <n v="119847.0"/>
        <n v="11446.0"/>
        <n v="30628.0"/>
        <n v="113003.0"/>
        <n v="30631.0"/>
        <n v="188351.0"/>
        <n v="67025.0"/>
        <n v="119797.0"/>
        <n v="3592.0"/>
        <n v="3586.0"/>
        <n v="3591.0"/>
        <n v="73847.0"/>
        <n v="3590.0"/>
        <n v="116903.0"/>
        <n v="116780.0"/>
        <n v="114912.0"/>
        <n v="111970.0"/>
        <n v="126973.0"/>
        <n v="116964.0"/>
        <n v="122340.0"/>
        <n v="116963.0"/>
        <n v="120241.0"/>
        <n v="120205.0"/>
        <n v="104162.0"/>
        <n v="110792.0"/>
        <n v="104169.0"/>
        <n v="111957.0"/>
        <n v="89201.0"/>
        <n v="87305.0"/>
        <n v="3480.0"/>
        <n v="116817.0"/>
        <n v="47209.0"/>
        <n v="68213.0"/>
        <n v="100999.0"/>
        <n v="119241.0"/>
        <n v="133917.0"/>
        <n v="128334.0"/>
        <n v="113235.0"/>
        <n v="113249.0"/>
        <n v="89210.0"/>
        <n v="104170.0"/>
        <n v="18671.0"/>
        <n v="83804.0"/>
        <n v="104415.0"/>
        <n v="78351.0"/>
        <n v="112174.0"/>
        <n v="120248.0"/>
        <n v="18672.0"/>
        <n v="13517.0"/>
        <n v="119896.0"/>
        <n v="120249.0"/>
        <n v="78352.0"/>
        <n v="45630.0"/>
        <n v="99726.0"/>
        <n v="88619.0"/>
        <n v="73430.0"/>
        <n v="98939.0"/>
        <n v="45826.0"/>
        <n v="100797.0"/>
        <n v="104429.0"/>
        <n v="119806.0"/>
        <n v="120734.0"/>
        <n v="104423.0"/>
        <n v="120286.0"/>
        <n v="81838.0"/>
        <n v="117718.0"/>
        <n v="70611.0"/>
        <n v="110848.0"/>
        <n v="107925.0"/>
        <n v="156038.0"/>
        <n v="117392.0"/>
        <n v="86620.0"/>
        <n v="27871.0"/>
        <n v="82874.0"/>
        <n v="120292.0"/>
        <n v="120293.0"/>
        <n v="44522.0"/>
        <n v="143999.0"/>
        <n v="144000.0"/>
        <n v="91236.0"/>
        <n v="78213.0"/>
        <n v="119254.0"/>
        <n v="82149.0"/>
        <n v="30864.0"/>
        <n v="82148.0"/>
        <n v="78069.0"/>
        <n v="68623.0"/>
        <n v="108904.0"/>
        <n v="113967.0"/>
        <n v="10145.0"/>
        <n v="116960.0"/>
        <n v="103663.0"/>
        <n v="45983.0"/>
        <n v="103662.0"/>
        <n v="78318.0"/>
        <n v="120179.0"/>
        <n v="10144.0"/>
        <n v="78304.0"/>
        <n v="86598.0"/>
        <n v="103665.0"/>
        <n v="77771.0"/>
        <n v="116798.0"/>
        <n v="100610.0"/>
        <n v="77772.0"/>
        <n v="119914.0"/>
        <n v="88495.0"/>
        <n v="88487.0"/>
        <n v="109488.0"/>
        <n v="11401.0"/>
        <n v="45530.0"/>
        <n v="104426.0"/>
        <n v="119827.0"/>
        <n v="104384.0"/>
        <n v="121966.0"/>
        <n v="120183.0"/>
        <n v="82832.0"/>
        <n v="117607.0"/>
        <n v="116244.0"/>
        <n v="81045.0"/>
        <n v="106021.0"/>
        <n v="86622.0"/>
        <n v="82834.0"/>
        <n v="81008.0"/>
        <n v="83167.0"/>
        <n v="86584.0"/>
        <n v="79902.0"/>
        <n v="41328.0"/>
        <n v="79907.0"/>
        <n v="70588.0"/>
        <n v="70587.0"/>
        <n v="109356.0"/>
        <n v="47892.0"/>
        <n v="79901.0"/>
        <n v="70585.0"/>
        <n v="4375.0"/>
        <n v="4380.0"/>
        <n v="84967.0"/>
        <n v="4381.0"/>
        <n v="4379.0"/>
        <n v="4383.0"/>
        <n v="110770.0"/>
        <n v="110764.0"/>
        <n v="109355.0"/>
        <n v="110765.0"/>
        <n v="103510.0"/>
        <n v="114936.0"/>
        <n v="114935.0"/>
        <n v="110768.0"/>
        <n v="120256.0"/>
        <n v="101783.0"/>
        <n v="75766.0"/>
        <n v="69756.0"/>
        <n v="112471.0"/>
        <n v="99040.0"/>
        <n v="112321.0"/>
        <n v="139296.0"/>
        <n v="112318.0"/>
        <n v="86119.0"/>
        <n v="79895.0"/>
        <n v="133909.0"/>
        <n v="128338.0"/>
        <n v="42990.0"/>
        <n v="128339.0"/>
        <n v="42008.0"/>
        <n v="112320.0"/>
        <n v="111150.0"/>
        <n v="101782.0"/>
        <n v="128402.0"/>
        <n v="112322.0"/>
        <n v="41994.0"/>
        <n v="112319.0"/>
        <n v="42002.0"/>
        <n v="120263.0"/>
        <n v="112855.0"/>
        <n v="111151.0"/>
        <n v="111152.0"/>
        <n v="122224.0"/>
        <n v="124709.0"/>
        <n v="99039.0"/>
        <n v="82928.0"/>
        <n v="111149.0"/>
        <n v="82927.0"/>
        <n v="112317.0"/>
        <n v="140597.0"/>
        <n v="122229.0"/>
        <n v="112473.0"/>
        <n v="122226.0"/>
        <n v="4385.0"/>
        <n v="41029.0"/>
        <n v="4386.0"/>
        <n v="41030.0"/>
        <n v="84950.0"/>
        <n v="45255.0"/>
        <n v="108070.0"/>
        <n v="108069.0"/>
        <n v="9668.0"/>
        <n v="26322.0"/>
        <n v="70413.0"/>
        <n v="4389.0"/>
        <n v="128340.0"/>
        <n v="108071.0"/>
        <n v="108068.0"/>
        <n v="9662.0"/>
        <n v="117611.0"/>
        <n v="111148.0"/>
        <n v="9680.0"/>
        <n v="117605.0"/>
        <n v="108077.0"/>
        <n v="9681.0"/>
        <n v="4388.0"/>
        <n v="99036.0"/>
        <n v="109344.0"/>
        <n v="9663.0"/>
        <n v="119106.0"/>
        <n v="9664.0"/>
        <n v="108064.0"/>
        <n v="70414.0"/>
        <n v="9673.0"/>
        <n v="117604.0"/>
        <n v="45165.0"/>
        <n v="128341.0"/>
        <n v="101917.0"/>
        <n v="79419.0"/>
        <n v="9675.0"/>
        <n v="9671.0"/>
        <n v="20247.0"/>
        <n v="109240.0"/>
        <n v="104079.0"/>
        <n v="126567.0"/>
        <n v="45567.0"/>
        <n v="109241.0"/>
        <n v="126564.0"/>
        <n v="20246.0"/>
        <n v="99321.0"/>
        <n v="99322.0"/>
        <n v="126561.0"/>
        <n v="113871.0"/>
        <n v="68332.0"/>
        <n v="102081.0"/>
        <n v="84213.0"/>
        <n v="68302.0"/>
        <n v="88238.0"/>
        <n v="84202.0"/>
        <n v="84226.0"/>
        <n v="104071.0"/>
        <n v="104075.0"/>
        <n v="91042.0"/>
        <n v="108047.0"/>
        <n v="90993.0"/>
        <n v="19277.0"/>
        <n v="84223.0"/>
        <n v="84225.0"/>
        <n v="113865.0"/>
        <n v="94645.0"/>
        <n v="104073.0"/>
        <n v="113880.0"/>
        <n v="91045.0"/>
        <n v="84231.0"/>
        <n v="68321.0"/>
        <n v="84211.0"/>
        <n v="158663.0"/>
        <n v="113874.0"/>
        <n v="84234.0"/>
        <n v="76642.0"/>
        <n v="126573.0"/>
        <n v="113877.0"/>
        <n v="84212.0"/>
        <n v="84203.0"/>
        <n v="91038.0"/>
        <n v="19335.0"/>
        <n v="103073.0"/>
        <n v="122261.0"/>
        <n v="68315.0"/>
        <n v="110229.0"/>
        <n v="5548.0"/>
        <n v="126544.0"/>
        <n v="90792.0"/>
        <n v="126541.0"/>
        <n v="71190.0"/>
        <n v="76425.0"/>
        <n v="76422.0"/>
        <n v="159201.0"/>
        <n v="76421.0"/>
        <n v="76424.0"/>
        <n v="90766.0"/>
        <n v="5538.0"/>
        <n v="68371.0"/>
        <n v="90808.0"/>
        <n v="5543.0"/>
        <n v="76420.0"/>
        <n v="68364.0"/>
        <n v="5541.0"/>
        <n v="5544.0"/>
        <n v="122257.0"/>
        <n v="90740.0"/>
        <n v="48280.0"/>
        <n v="71191.0"/>
        <n v="76418.0"/>
        <n v="87161.0"/>
        <n v="68323.0"/>
        <n v="72847.0"/>
        <n v="90799.0"/>
        <n v="71194.0"/>
        <n v="68378.0"/>
        <n v="76426.0"/>
        <n v="76413.0"/>
        <n v="68306.0"/>
        <n v="48283.0"/>
        <n v="81172.0"/>
        <n v="68328.0"/>
        <n v="158667.0"/>
        <n v="5539.0"/>
        <n v="68413.0"/>
        <n v="68345.0"/>
        <n v="70377.0"/>
        <n v="126547.0"/>
        <n v="117218.0"/>
        <n v="158668.0"/>
        <n v="19314.0"/>
        <n v="113867.0"/>
        <n v="19294.0"/>
        <n v="90961.0"/>
        <n v="118480.0"/>
        <n v="98337.0"/>
        <n v="90955.0"/>
        <n v="19303.0"/>
        <n v="98338.0"/>
        <n v="98339.0"/>
        <n v="19296.0"/>
        <n v="19306.0"/>
        <n v="90969.0"/>
        <n v="19299.0"/>
        <n v="5764.0"/>
        <n v="114667.0"/>
        <n v="113870.0"/>
        <n v="127918.0"/>
        <n v="127917.0"/>
        <n v="19297.0"/>
        <n v="19316.0"/>
        <n v="118481.0"/>
        <n v="118366.0"/>
        <n v="111183.0"/>
        <n v="124735.0"/>
        <n v="78727.0"/>
        <n v="111182.0"/>
        <n v="78734.0"/>
        <n v="78729.0"/>
        <n v="111662.0"/>
        <n v="78728.0"/>
        <n v="119082.0"/>
        <n v="5770.0"/>
        <n v="103072.0"/>
        <n v="19344.0"/>
        <n v="84219.0"/>
        <n v="19345.0"/>
        <n v="90816.0"/>
        <n v="23198.0"/>
        <n v="87207.0"/>
        <n v="5694.0"/>
        <n v="119084.0"/>
        <n v="127927.0"/>
        <n v="111184.0"/>
        <n v="19341.0"/>
        <n v="118485.0"/>
        <n v="110565.0"/>
        <n v="118484.0"/>
        <n v="107652.0"/>
        <n v="107673.0"/>
        <n v="107902.0"/>
        <n v="19340.0"/>
        <n v="69190.0"/>
        <n v="48451.0"/>
        <n v="19339.0"/>
        <n v="69195.0"/>
        <n v="77192.0"/>
        <n v="95922.0"/>
        <n v="116779.0"/>
        <n v="69238.0"/>
        <n v="19337.0"/>
        <n v="19326.0"/>
        <n v="69251.0"/>
        <n v="81871.0"/>
        <n v="19321.0"/>
        <n v="117618.0"/>
        <n v="117623.0"/>
        <n v="117614.0"/>
        <n v="14393.0"/>
        <n v="70419.0"/>
        <n v="111147.0"/>
        <n v="4325.0"/>
        <n v="4321.0"/>
        <n v="70418.0"/>
        <n v="80648.0"/>
        <n v="70417.0"/>
        <n v="79420.0"/>
        <n v="4327.0"/>
        <n v="89505.0"/>
        <n v="128344.0"/>
        <n v="79421.0"/>
        <n v="128336.0"/>
        <n v="5081.0"/>
        <n v="79423.0"/>
        <n v="116481.0"/>
        <n v="118278.0"/>
        <n v="116440.0"/>
        <n v="116478.0"/>
        <n v="139305.0"/>
        <n v="118280.0"/>
        <n v="116506.0"/>
        <n v="116504.0"/>
        <n v="116435.0"/>
        <n v="70575.0"/>
        <n v="128343.0"/>
        <n v="112099.0"/>
        <n v="128337.0"/>
        <n v="4339.0"/>
        <n v="14399.0"/>
        <n v="4340.0"/>
        <n v="45250.0"/>
        <n v="9651.0"/>
        <n v="4329.0"/>
        <n v="4338.0"/>
        <n v="112100.0"/>
        <n v="9650.0"/>
        <n v="9649.0"/>
        <n v="9652.0"/>
        <n v="79426.0"/>
        <n v="79425.0"/>
        <n v="4335.0"/>
        <n v="70420.0"/>
        <n v="9655.0"/>
        <n v="68510.0"/>
        <n v="11068.0"/>
        <n v="79888.0"/>
        <n v="108982.0"/>
        <n v="88020.0"/>
        <n v="44824.0"/>
        <n v="46900.0"/>
        <n v="41981.0"/>
        <n v="44825.0"/>
        <n v="6875.0"/>
        <n v="108981.0"/>
        <n v="110931.0"/>
        <n v="99037.0"/>
        <n v="99096.0"/>
        <n v="41986.0"/>
        <n v="79430.0"/>
        <n v="41921.0"/>
        <n v="41910.0"/>
        <n v="11069.0"/>
        <n v="41924.0"/>
        <n v="133913.0"/>
        <n v="70422.0"/>
        <n v="17812.0"/>
        <n v="70429.0"/>
        <n v="70428.0"/>
        <n v="99038.0"/>
        <n v="11071.0"/>
        <n v="17066.0"/>
        <n v="117649.0"/>
        <n v="70426.0"/>
        <n v="75750.0"/>
        <n v="117644.0"/>
        <n v="68512.0"/>
        <n v="12792.0"/>
        <n v="46684.0"/>
        <n v="12795.0"/>
        <n v="46686.0"/>
        <n v="12804.0"/>
        <n v="12799.0"/>
        <n v="100914.0"/>
        <n v="12802.0"/>
        <n v="100907.0"/>
        <n v="12794.0"/>
        <n v="4261.0"/>
        <n v="9656.0"/>
        <n v="9657.0"/>
        <n v="9660.0"/>
        <n v="9648.0"/>
        <n v="79424.0"/>
        <n v="4267.0"/>
        <n v="9647.0"/>
        <n v="110772.0"/>
        <n v="4255.0"/>
        <n v="4270.0"/>
        <n v="4264.0"/>
        <n v="4271.0"/>
        <n v="79428.0"/>
        <n v="68509.0"/>
        <n v="112104.0"/>
        <n v="79885.0"/>
        <n v="6876.0"/>
        <n v="79427.0"/>
        <n v="44828.0"/>
        <n v="122213.0"/>
        <n v="46903.0"/>
        <n v="80359.0"/>
        <n v="44827.0"/>
        <n v="79882.0"/>
        <n v="11065.0"/>
        <n v="41991.0"/>
        <n v="6877.0"/>
        <n v="4290.0"/>
        <n v="4905.0"/>
        <n v="41979.0"/>
        <n v="41925.0"/>
        <n v="17067.0"/>
        <n v="70425.0"/>
        <n v="17065.0"/>
        <n v="103514.0"/>
        <n v="4298.0"/>
        <n v="4301.0"/>
        <n v="75752.0"/>
        <n v="21520.0"/>
        <n v="82206.0"/>
        <n v="5599.0"/>
        <n v="87231.0"/>
        <n v="5861.0"/>
        <n v="90909.0"/>
        <n v="21523.0"/>
        <n v="5485.0"/>
        <n v="77294.0"/>
        <n v="5486.0"/>
        <n v="77293.0"/>
        <n v="112230.0"/>
        <n v="83607.0"/>
        <n v="117216.0"/>
        <n v="5487.0"/>
        <n v="77295.0"/>
        <n v="89774.0"/>
        <n v="5483.0"/>
        <n v="120541.0"/>
        <n v="100249.0"/>
        <n v="119242.0"/>
        <n v="90868.0"/>
        <n v="90854.0"/>
        <n v="76568.0"/>
        <n v="76589.0"/>
        <n v="76581.0"/>
        <n v="77250.0"/>
        <n v="87222.0"/>
        <n v="122120.0"/>
        <n v="122121.0"/>
        <n v="90880.0"/>
        <n v="122088.0"/>
        <n v="90886.0"/>
        <n v="90755.0"/>
        <n v="111045.0"/>
        <n v="76582.0"/>
        <n v="76570.0"/>
        <n v="87099.0"/>
        <n v="76569.0"/>
        <n v="5586.0"/>
        <n v="5600.0"/>
        <n v="120390.0"/>
        <n v="76389.0"/>
        <n v="5601.0"/>
        <n v="202579.0"/>
        <n v="5584.0"/>
        <n v="90888.0"/>
        <n v="76584.0"/>
        <n v="87171.0"/>
        <n v="110569.0"/>
        <n v="5588.0"/>
        <n v="117165.0"/>
        <n v="5587.0"/>
        <n v="68359.0"/>
        <n v="5590.0"/>
        <n v="76475.0"/>
        <n v="147309.0"/>
        <n v="120533.0"/>
        <n v="5591.0"/>
        <n v="77248.0"/>
        <n v="90819.0"/>
        <n v="90820.0"/>
        <n v="90839.0"/>
        <n v="90858.0"/>
        <n v="76588.0"/>
        <n v="90671.0"/>
        <n v="77194.0"/>
        <n v="5504.0"/>
        <n v="90662.0"/>
        <n v="87288.0"/>
        <n v="5494.0"/>
        <n v="76637.0"/>
        <n v="76601.0"/>
        <n v="87202.0"/>
        <n v="122244.0"/>
        <n v="122075.0"/>
        <n v="90735.0"/>
        <n v="20951.0"/>
        <n v="5502.0"/>
        <n v="90669.0"/>
        <n v="90673.0"/>
        <n v="68403.0"/>
        <n v="76636.0"/>
        <n v="77397.0"/>
        <n v="76195.0"/>
        <n v="90710.0"/>
        <n v="117148.0"/>
        <n v="5493.0"/>
        <n v="76671.0"/>
        <n v="90678.0"/>
        <n v="76207.0"/>
        <n v="5500.0"/>
        <n v="122081.0"/>
        <n v="77396.0"/>
        <n v="77398.0"/>
        <n v="90716.0"/>
        <n v="122846.0"/>
        <n v="77410.0"/>
        <n v="87083.0"/>
        <n v="73630.0"/>
        <n v="90659.0"/>
        <n v="122079.0"/>
        <n v="5551.0"/>
        <n v="90624.0"/>
        <n v="29100.0"/>
        <n v="46330.0"/>
        <n v="117659.0"/>
        <n v="48149.0"/>
        <n v="113739.0"/>
        <n v="147316.0"/>
        <n v="76297.0"/>
        <n v="102698.0"/>
        <n v="102699.0"/>
        <n v="5556.0"/>
        <n v="73629.0"/>
        <n v="77253.0"/>
        <n v="5552.0"/>
        <n v="73805.0"/>
        <n v="48403.0"/>
        <n v="90626.0"/>
        <n v="147324.0"/>
        <n v="77411.0"/>
        <n v="87085.0"/>
        <n v="76212.0"/>
        <n v="117655.0"/>
        <n v="83596.0"/>
        <n v="5561.0"/>
        <n v="87304.0"/>
        <n v="113735.0"/>
        <n v="90661.0"/>
        <n v="76281.0"/>
        <n v="90622.0"/>
        <n v="90637.0"/>
        <n v="76208.0"/>
        <n v="91355.0"/>
        <n v="122068.0"/>
        <n v="48404.0"/>
        <n v="5553.0"/>
        <n v="76282.0"/>
        <n v="5554.0"/>
        <n v="77408.0"/>
        <n v="147312.0"/>
        <n v="113741.0"/>
        <n v="76290.0"/>
        <n v="5559.0"/>
        <n v="68351.0"/>
        <n v="113736.0"/>
        <n v="113738.0"/>
        <n v="113737.0"/>
        <n v="73767.0"/>
        <n v="89559.0"/>
        <n v="102720.0"/>
        <n v="114668.0"/>
        <n v="159208.0"/>
        <n v="108476.0"/>
        <n v="76603.0"/>
        <n v="117672.0"/>
        <n v="73968.0"/>
        <n v="73967.0"/>
        <n v="159209.0"/>
        <n v="90675.0"/>
        <n v="117671.0"/>
        <n v="100015.0"/>
        <n v="90680.0"/>
        <n v="88351.0"/>
        <n v="108475.0"/>
        <n v="90676.0"/>
        <n v="43118.0"/>
        <n v="112472.0"/>
        <n v="108083.0"/>
        <n v="133907.0"/>
        <n v="45176.0"/>
        <n v="5480.0"/>
        <n v="119086.0"/>
        <n v="108084.0"/>
        <n v="45192.0"/>
        <n v="26320.0"/>
        <n v="133910.0"/>
        <n v="133908.0"/>
        <n v="9646.0"/>
        <n v="108091.0"/>
        <n v="108114.0"/>
        <n v="9639.0"/>
        <n v="108108.0"/>
        <n v="108081.0"/>
        <n v="4243.0"/>
        <n v="108090.0"/>
        <n v="133912.0"/>
        <n v="108087.0"/>
        <n v="78866.0"/>
        <n v="70415.0"/>
        <n v="9644.0"/>
        <n v="4247.0"/>
        <n v="119087.0"/>
        <n v="9635.0"/>
        <n v="108082.0"/>
        <n v="9643.0"/>
        <n v="117601.0"/>
        <n v="108085.0"/>
        <n v="133914.0"/>
        <n v="103503.0"/>
        <n v="128363.0"/>
        <n v="13863.0"/>
        <n v="74454.0"/>
        <n v="12500.0"/>
        <n v="116555.0"/>
        <n v="77622.0"/>
        <n v="68294.0"/>
        <n v="12497.0"/>
        <n v="74453.0"/>
        <n v="112246.0"/>
        <n v="110776.0"/>
        <n v="92846.0"/>
        <n v="119257.0"/>
        <n v="68313.0"/>
        <n v="12503.0"/>
        <n v="77624.0"/>
        <n v="77432.0"/>
        <n v="77429.0"/>
        <n v="93995.0"/>
        <n v="103185.0"/>
        <n v="13868.0"/>
        <n v="9504.0"/>
        <n v="77446.0"/>
        <n v="77498.0"/>
        <n v="77488.0"/>
        <n v="82203.0"/>
        <n v="82754.0"/>
        <n v="110837.0"/>
        <n v="9591.0"/>
        <n v="94040.0"/>
        <n v="9513.0"/>
        <n v="121543.0"/>
        <n v="164638.0"/>
        <n v="9554.0"/>
        <n v="117798.0"/>
        <n v="77480.0"/>
        <n v="9547.0"/>
        <n v="9551.0"/>
        <n v="9514.0"/>
        <n v="147310.0"/>
        <n v="13865.0"/>
        <n v="9521.0"/>
        <n v="9522.0"/>
        <n v="94048.0"/>
        <n v="121549.0"/>
        <n v="9593.0"/>
        <n v="119247.0"/>
        <n v="9516.0"/>
        <n v="193265.0"/>
        <n v="13869.0"/>
        <n v="13877.0"/>
        <n v="9493.0"/>
        <n v="9502.0"/>
        <n v="147301.0"/>
        <n v="30569.0"/>
        <n v="112190.0"/>
        <n v="110833.0"/>
        <n v="9505.0"/>
        <n v="119248.0"/>
        <n v="147306.0"/>
        <n v="77425.0"/>
        <n v="9497.0"/>
        <n v="9601.0"/>
        <n v="117799.0"/>
        <n v="82770.0"/>
        <n v="119249.0"/>
        <n v="86191.0"/>
        <n v="9503.0"/>
        <n v="94007.0"/>
        <n v="82761.0"/>
        <n v="9599.0"/>
        <n v="9496.0"/>
        <n v="195072.0"/>
        <n v="119252.0"/>
        <n v="9501.0"/>
        <n v="9491.0"/>
        <n v="194058.0"/>
        <n v="111319.0"/>
        <n v="86655.0"/>
        <n v="147300.0"/>
        <n v="13861.0"/>
        <n v="81510.0"/>
        <n v="9560.0"/>
        <n v="72161.0"/>
        <n v="9561.0"/>
        <n v="9562.0"/>
        <n v="119250.0"/>
        <n v="122297.0"/>
        <n v="164879.0"/>
        <n v="48697.0"/>
        <n v="122299.0"/>
        <n v="82997.0"/>
        <n v="108350.0"/>
        <n v="48699.0"/>
        <n v="108364.0"/>
        <n v="5799.0"/>
        <n v="81501.0"/>
        <n v="47648.0"/>
        <n v="105328.0"/>
        <n v="47654.0"/>
        <n v="82371.0"/>
        <n v="81500.0"/>
        <n v="48501.0"/>
        <n v="81498.0"/>
        <n v="48498.0"/>
        <n v="88628.0"/>
        <n v="180340.0"/>
        <n v="48503.0"/>
        <n v="74819.0"/>
        <n v="48502.0"/>
        <n v="96001.0"/>
        <n v="103095.0"/>
        <n v="88627.0"/>
        <n v="105329.0"/>
        <n v="105330.0"/>
        <n v="80252.0"/>
        <n v="77468.0"/>
        <n v="24203.0"/>
        <n v="139291.0"/>
        <n v="77426.0"/>
        <n v="94039.0"/>
        <n v="9508.0"/>
        <n v="121595.0"/>
        <n v="124762.0"/>
        <n v="77462.0"/>
        <n v="49158.0"/>
        <n v="93982.0"/>
        <n v="9546.0"/>
        <n v="9482.0"/>
        <n v="139290.0"/>
        <n v="121596.0"/>
        <n v="14441.0"/>
        <n v="9489.0"/>
        <n v="103189.0"/>
        <n v="9567.0"/>
        <n v="9543.0"/>
        <n v="77471.0"/>
        <n v="164631.0"/>
        <n v="9606.0"/>
        <n v="77473.0"/>
        <n v="9484.0"/>
        <n v="14439.0"/>
        <n v="124761.0"/>
        <n v="14440.0"/>
        <n v="9544.0"/>
        <n v="46482.0"/>
        <n v="46773.0"/>
        <n v="81502.0"/>
        <n v="76035.0"/>
        <n v="46774.0"/>
        <n v="121029.0"/>
        <n v="128199.0"/>
        <n v="82408.0"/>
        <n v="139298.0"/>
        <n v="91397.0"/>
        <n v="91396.0"/>
        <n v="139302.0"/>
        <n v="118283.0"/>
        <n v="118286.0"/>
        <n v="3375.0"/>
        <n v="118285.0"/>
        <n v="118284.0"/>
        <n v="116522.0"/>
        <n v="139307.0"/>
        <n v="120253.0"/>
        <n v="120252.0"/>
        <n v="120251.0"/>
        <n v="139306.0"/>
        <n v="120255.0"/>
        <n v="120980.0"/>
        <n v="139299.0"/>
        <n v="73635.0"/>
        <n v="116537.0"/>
        <n v="46716.0"/>
        <n v="109161.0"/>
        <n v="110760.0"/>
        <n v="112095.0"/>
        <n v="120261.0"/>
        <n v="142302.0"/>
        <n v="46715.0"/>
        <n v="102190.0"/>
        <n v="112098.0"/>
        <n v="110761.0"/>
        <n v="116529.0"/>
        <n v="119245.0"/>
        <n v="119454.0"/>
        <n v="118131.0"/>
        <n v="128395.0"/>
        <n v="117482.0"/>
        <n v="118130.0"/>
        <n v="109209.0"/>
        <n v="74428.0"/>
        <n v="13941.0"/>
        <n v="44316.0"/>
        <n v="122748.0"/>
        <n v="118936.0"/>
        <n v="122746.0"/>
        <n v="76567.0"/>
        <n v="122747.0"/>
        <n v="48484.0"/>
        <n v="10856.0"/>
        <n v="48486.0"/>
        <n v="108707.0"/>
        <n v="109565.0"/>
        <n v="99181.0"/>
        <n v="109060.0"/>
        <n v="109628.0"/>
        <n v="128346.0"/>
        <n v="90319.0"/>
        <n v="96287.0"/>
        <n v="96238.0"/>
        <n v="116553.0"/>
        <n v="116539.0"/>
        <n v="156015.0"/>
        <n v="77049.0"/>
        <n v="92906.0"/>
        <n v="6425.0"/>
        <n v="77653.0"/>
        <n v="156029.0"/>
        <n v="182726.0"/>
        <n v="3536.0"/>
        <n v="3541.0"/>
        <n v="147335.0"/>
        <n v="46896.0"/>
        <n v="46897.0"/>
        <n v="71729.0"/>
        <n v="45471.0"/>
        <n v="80622.0"/>
        <n v="111204.0"/>
        <n v="27843.0"/>
        <n v="111656.0"/>
        <n v="70043.0"/>
        <n v="127017.0"/>
        <n v="92320.0"/>
        <n v="109985.0"/>
        <n v="110415.0"/>
        <n v="101325.0"/>
        <n v="133904.0"/>
        <n v="91357.0"/>
        <n v="92330.0"/>
        <n v="128409.0"/>
        <n v="124704.0"/>
        <n v="122252.0"/>
        <n v="85159.0"/>
        <n v="103604.0"/>
        <n v="27845.0"/>
        <n v="11666.0"/>
        <n v="127016.0"/>
        <n v="2046.0"/>
        <n v="66998.0"/>
        <n v="103626.0"/>
        <n v="103603.0"/>
        <n v="85156.0"/>
        <n v="8118.0"/>
        <n v="109984.0"/>
        <n v="92134.0"/>
        <n v="129420.0"/>
        <n v="111010.0"/>
        <n v="46771.0"/>
        <n v="88396.0"/>
        <n v="88188.0"/>
        <n v="129373.0"/>
        <n v="103625.0"/>
        <n v="109332.0"/>
        <n v="92327.0"/>
        <n v="80699.0"/>
        <n v="101043.0"/>
        <n v="46760.0"/>
        <n v="109966.0"/>
        <n v="128408.0"/>
        <n v="81128.0"/>
        <n v="45571.0"/>
        <n v="44612.0"/>
        <n v="124684.0"/>
        <n v="112365.0"/>
        <n v="41038.0"/>
        <n v="87761.0"/>
        <n v="106590.0"/>
        <n v="85734.0"/>
        <n v="122511.0"/>
        <n v="2335.0"/>
        <n v="2339.0"/>
        <n v="108468.0"/>
        <n v="3439.0"/>
        <n v="2044.0"/>
        <n v="188354.0"/>
        <n v="27848.0"/>
        <n v="45642.0"/>
        <n v="79815.0"/>
        <n v="87643.0"/>
        <n v="30501.0"/>
        <n v="118198.0"/>
        <n v="4891.0"/>
        <n v="23050.0"/>
        <n v="94612.0"/>
        <n v="109983.0"/>
        <n v="110854.0"/>
        <n v="110414.0"/>
        <n v="103631.0"/>
        <n v="111009.0"/>
        <n v="109213.0"/>
        <n v="103847.0"/>
        <n v="96156.0"/>
        <n v="4887.0"/>
        <n v="92146.0"/>
        <n v="122248.0"/>
        <n v="122251.0"/>
        <n v="103638.0"/>
        <n v="111655.0"/>
        <n v="84201.0"/>
        <n v="80697.0"/>
        <n v="117394.0"/>
        <n v="103636.0"/>
        <n v="67001.0"/>
        <n v="2148.0"/>
        <n v="111672.0"/>
        <n v="80696.0"/>
        <n v="96853.0"/>
        <n v="117388.0"/>
        <n v="109971.0"/>
        <n v="122247.0"/>
        <n v="103635.0"/>
        <n v="122295.0"/>
        <n v="118351.0"/>
        <n v="91624.0"/>
        <n v="27765.0"/>
        <n v="26313.0"/>
        <n v="26314.0"/>
        <n v="91626.0"/>
        <n v="112264.0"/>
        <n v="27764.0"/>
        <n v="92653.0"/>
        <n v="117990.0"/>
        <n v="92651.0"/>
        <n v="104143.0"/>
        <n v="48641.0"/>
        <n v="47543.0"/>
        <n v="117045.0"/>
        <n v="109276.0"/>
        <n v="117040.0"/>
        <n v="108485.0"/>
        <n v="80095.0"/>
        <n v="117044.0"/>
        <n v="69279.0"/>
        <n v="48642.0"/>
        <n v="117569.0"/>
        <n v="83590.0"/>
        <n v="117566.0"/>
        <n v="116391.0"/>
        <n v="47388.0"/>
        <n v="117567.0"/>
        <n v="104319.0"/>
        <n v="120399.0"/>
        <n v="47389.0"/>
        <n v="47384.0"/>
        <n v="117568.0"/>
        <n v="80233.0"/>
        <n v="120396.0"/>
        <n v="47386.0"/>
        <n v="110294.0"/>
        <n v="47374.0"/>
        <n v="115586.0"/>
        <n v="112736.0"/>
        <n v="80234.0"/>
        <n v="92426.0"/>
        <n v="92429.0"/>
        <n v="117572.0"/>
        <n v="110982.0"/>
        <n v="92442.0"/>
        <n v="83591.0"/>
        <n v="104318.0"/>
        <n v="112740.0"/>
        <n v="117570.0"/>
        <n v="115584.0"/>
        <n v="47629.0"/>
        <n v="116389.0"/>
        <n v="117573.0"/>
        <n v="47638.0"/>
        <n v="110219.0"/>
        <n v="116851.0"/>
        <n v="122737.0"/>
        <n v="110226.0"/>
        <n v="115773.0"/>
        <n v="109580.0"/>
        <n v="114255.0"/>
        <n v="122745.0"/>
        <n v="116873.0"/>
        <n v="110228.0"/>
      </sharedItems>
    </cacheField>
    <cacheField name="new" numFmtId="0">
      <sharedItems containsSemiMixedTypes="0" containsString="0" containsNumber="1" containsInteger="1">
        <n v="0.0"/>
        <n v="1.0"/>
      </sharedItems>
    </cacheField>
    <cacheField name="forecast_stock" numFmtId="0">
      <sharedItems containsSemiMixedTypes="0" containsString="0" containsNumber="1" containsInteger="1">
        <n v="320.0"/>
        <n v="0.0"/>
        <n v="100.0"/>
        <n v="277.0"/>
        <n v="971.0"/>
        <n v="63.0"/>
        <n v="40.0"/>
        <n v="269.0"/>
        <n v="164.0"/>
        <n v="489.0"/>
        <n v="104.0"/>
        <n v="14.0"/>
        <n v="256.0"/>
        <n v="326.0"/>
        <n v="11.0"/>
        <n v="210.0"/>
        <n v="68.0"/>
        <n v="318.0"/>
        <n v="43.0"/>
        <n v="185.0"/>
        <n v="305.0"/>
        <n v="84.0"/>
        <n v="96.0"/>
        <n v="176.0"/>
        <n v="130.0"/>
        <n v="604.0"/>
        <n v="26.0"/>
        <n v="982.0"/>
        <n v="79.0"/>
        <n v="31.0"/>
        <n v="186.0"/>
        <n v="418.0"/>
        <n v="98.0"/>
        <n v="34.0"/>
        <n v="141.0"/>
        <n v="99.0"/>
        <n v="167.0"/>
        <n v="594.0"/>
        <n v="199.0"/>
        <n v="76.0"/>
        <n v="144.0"/>
        <n v="135.0"/>
        <n v="147.0"/>
        <n v="399.0"/>
        <n v="927.0"/>
        <n v="389.0"/>
        <n v="455.0"/>
        <n v="547.0"/>
        <n v="870.0"/>
        <n v="397.0"/>
        <n v="134.0"/>
        <n v="685.0"/>
        <n v="525.0"/>
        <n v="596.0"/>
        <n v="861.0"/>
        <n v="64.0"/>
        <n v="124.0"/>
        <n v="897.0"/>
        <n v="832.0"/>
        <n v="37.0"/>
        <n v="935.0"/>
        <n v="868.0"/>
        <n v="445.0"/>
        <n v="232.0"/>
        <n v="315.0"/>
        <n v="356.0"/>
        <n v="442.0"/>
        <n v="492.0"/>
        <n v="645.0"/>
        <n v="863.0"/>
        <n v="654.0"/>
        <n v="2.0"/>
        <n v="705.0"/>
        <n v="774.0"/>
        <n v="571.0"/>
        <n v="735.0"/>
        <n v="429.0"/>
        <n v="732.0"/>
        <n v="271.0"/>
        <n v="111.0"/>
        <n v="81.0"/>
        <n v="486.0"/>
        <n v="197.0"/>
        <n v="196.0"/>
        <n v="783.0"/>
        <n v="282.0"/>
        <n v="941.0"/>
        <n v="366.0"/>
        <n v="758.0"/>
        <n v="956.0"/>
        <n v="701.0"/>
        <n v="91.0"/>
        <n v="101.0"/>
        <n v="357.0"/>
        <n v="371.0"/>
        <n v="540.0"/>
        <n v="723.0"/>
        <n v="940.0"/>
        <n v="220.0"/>
        <n v="211.0"/>
        <n v="598.0"/>
        <n v="576.0"/>
        <n v="408.0"/>
        <n v="257.0"/>
        <n v="44.0"/>
        <n v="690.0"/>
        <n v="641.0"/>
        <n v="260.0"/>
        <n v="499.0"/>
        <n v="629.0"/>
        <n v="395.0"/>
        <n v="142.0"/>
        <n v="41.0"/>
        <n v="847.0"/>
        <n v="951.0"/>
        <n v="252.0"/>
        <n v="800.0"/>
        <n v="461.0"/>
        <n v="697.0"/>
        <n v="335.0"/>
        <n v="568.0"/>
        <n v="747.0"/>
        <n v="580.0"/>
        <n v="719.0"/>
        <n v="15.0"/>
        <n v="816.0"/>
        <n v="358.0"/>
        <n v="910.0"/>
        <n v="867.0"/>
        <n v="16.0"/>
        <n v="242.0"/>
        <n v="582.0"/>
        <n v="300.0"/>
        <n v="131.0"/>
        <n v="431.0"/>
        <n v="642.0"/>
        <n v="274.0"/>
        <n v="717.0"/>
        <n v="102.0"/>
        <n v="476.0"/>
        <n v="769.0"/>
        <n v="610.0"/>
        <n v="213.0"/>
        <n v="473.0"/>
        <n v="710.0"/>
        <n v="815.0"/>
        <n v="643.0"/>
        <n v="411.0"/>
        <n v="703.0"/>
        <n v="409.0"/>
        <n v="52.0"/>
        <n v="504.0"/>
        <n v="979.0"/>
        <n v="605.0"/>
        <n v="237.0"/>
        <n v="343.0"/>
        <n v="66.0"/>
        <n v="403.0"/>
        <n v="958.0"/>
        <n v="459.0"/>
        <n v="559.0"/>
        <n v="61.0"/>
        <n v="201.0"/>
        <n v="851.0"/>
        <n v="95.0"/>
        <n v="842.0"/>
        <n v="517.0"/>
        <n v="202.0"/>
        <n v="794.0"/>
        <n v="137.0"/>
        <n v="239.0"/>
        <n v="588.0"/>
        <n v="955.0"/>
        <n v="127.0"/>
        <n v="893.0"/>
        <n v="178.0"/>
        <n v="295.0"/>
        <n v="857.0"/>
        <n v="714.0"/>
        <n v="287.0"/>
        <n v="545.0"/>
        <n v="70.0"/>
        <n v="799.0"/>
        <n v="632.0"/>
        <n v="826.0"/>
        <n v="630.0"/>
        <n v="597.0"/>
        <n v="157.0"/>
        <n v="845.0"/>
        <n v="973.0"/>
        <n v="321.0"/>
        <n v="171.0"/>
        <n v="618.0"/>
        <n v="45.0"/>
        <n v="334.0"/>
        <n v="599.0"/>
        <n v="786.0"/>
        <n v="784.0"/>
        <n v="773.0"/>
        <n v="985.0"/>
        <n v="155.0"/>
        <n v="206.0"/>
        <n v="354.0"/>
        <n v="337.0"/>
        <n v="527.0"/>
        <n v="50.0"/>
        <n v="54.0"/>
        <n v="212.0"/>
        <n v="625.0"/>
        <n v="163.0"/>
        <n v="664.0"/>
        <n v="67.0"/>
        <n v="925.0"/>
        <n v="119.0"/>
        <n v="207.0"/>
        <n v="275.0"/>
        <n v="437.0"/>
        <n v="919.0"/>
        <n v="961.0"/>
        <n v="668.0"/>
        <n v="840.0"/>
        <n v="191.0"/>
        <n v="28.0"/>
        <n v="203.0"/>
        <n v="742.0"/>
        <n v="236.0"/>
        <n v="613.0"/>
        <n v="160.0"/>
        <n v="109.0"/>
        <n v="149.0"/>
        <n v="280.0"/>
        <n v="665.0"/>
        <n v="962.0"/>
        <n v="831.0"/>
        <n v="373.0"/>
        <n v="506.0"/>
        <n v="960.0"/>
        <n v="55.0"/>
        <n v="303.0"/>
        <n v="551.0"/>
        <n v="718.0"/>
        <n v="653.0"/>
        <n v="294.0"/>
        <n v="251.0"/>
        <n v="425.0"/>
        <n v="822.0"/>
        <n v="541.0"/>
        <n v="518.0"/>
        <n v="410.0"/>
        <n v="161.0"/>
        <n v="875.0"/>
        <n v="108.0"/>
        <n v="347.0"/>
        <n v="778.0"/>
        <n v="158.0"/>
        <n v="574.0"/>
        <n v="881.0"/>
        <n v="722.0"/>
        <n v="698.0"/>
        <n v="797.0"/>
        <n v="772.0"/>
        <n v="53.0"/>
        <n v="338.0"/>
        <n v="988.0"/>
        <n v="869.0"/>
        <n v="120.0"/>
        <n v="712.0"/>
        <n v="918.0"/>
        <n v="934.0"/>
        <n v="503.0"/>
        <n v="128.0"/>
        <n v="651.0"/>
        <n v="844.0"/>
        <n v="510.0"/>
        <n v="12.0"/>
        <n v="779.0"/>
        <n v="464.0"/>
        <n v="763.0"/>
        <n v="564.0"/>
        <n v="915.0"/>
        <n v="325.0"/>
        <n v="585.0"/>
        <n v="529.0"/>
        <n v="484.0"/>
        <n v="35.0"/>
        <n v="812.0"/>
        <n v="782.0"/>
        <n v="912.0"/>
        <n v="346.0"/>
        <n v="796.0"/>
        <n v="780.0"/>
        <n v="898.0"/>
        <n v="609.0"/>
        <n v="561.0"/>
        <n v="553.0"/>
        <n v="767.0"/>
        <n v="560.0"/>
        <n v="591.0"/>
        <n v="454.0"/>
        <n v="715.0"/>
        <n v="114.0"/>
        <n v="216.0"/>
        <n v="793.0"/>
        <n v="542.0"/>
        <n v="416.0"/>
        <n v="477.0"/>
        <n v="436.0"/>
        <n v="997.0"/>
        <n v="650.0"/>
        <n v="644.0"/>
        <n v="-1.0"/>
        <n v="626.0"/>
        <n v="871.0"/>
        <n v="159.0"/>
        <n v="558.0"/>
        <n v="226.0"/>
        <n v="511.0"/>
        <n v="470.0"/>
        <n v="907.0"/>
        <n v="162.0"/>
        <n v="205.0"/>
        <n v="727.0"/>
        <n v="245.0"/>
        <n v="83.0"/>
        <n v="440.0"/>
        <n v="80.0"/>
        <n v="837.0"/>
        <n v="749.0"/>
        <n v="190.0"/>
        <n v="4.0"/>
        <n v="661.0"/>
        <n v="189.0"/>
        <n v="879.0"/>
        <n v="118.0"/>
        <n v="77.0"/>
        <n v="739.0"/>
        <n v="187.0"/>
        <n v="834.0"/>
        <n v="292.0"/>
        <n v="407.0"/>
        <n v="198.0"/>
        <n v="116.0"/>
        <n v="139.0"/>
        <n v="501.0"/>
        <n v="57.0"/>
        <n v="872.0"/>
        <n v="911.0"/>
        <n v="355.0"/>
        <n v="428.0"/>
        <n v="678.0"/>
        <n v="671.0"/>
        <n v="713.0"/>
        <n v="396.0"/>
        <n v="179.0"/>
        <n v="327.0"/>
        <n v="855.0"/>
        <n v="165.0"/>
        <n v="413.0"/>
        <n v="153.0"/>
        <n v="667.0"/>
        <n v="215.0"/>
        <n v="544.0"/>
        <n v="634.0"/>
        <n v="302.0"/>
        <n v="943.0"/>
        <n v="110.0"/>
        <n v="361.0"/>
        <n v="181.0"/>
        <n v="760.0"/>
        <n v="587.0"/>
        <n v="658.0"/>
        <n v="463.0"/>
        <n v="931.0"/>
        <n v="833.0"/>
        <n v="538.0"/>
        <n v="363.0"/>
        <n v="143.0"/>
        <n v="950.0"/>
        <n v="74.0"/>
        <n v="646.0"/>
        <n v="308.0"/>
        <n v="876.0"/>
        <n v="290.0"/>
        <n v="946.0"/>
        <n v="224.0"/>
        <n v="781.0"/>
        <n v="811.0"/>
        <n v="952.0"/>
        <n v="193.0"/>
        <n v="385.0"/>
        <n v="253.0"/>
        <n v="684.0"/>
        <n v="378.0"/>
        <n v="183.0"/>
        <n v="194.0"/>
        <n v="730.0"/>
        <n v="672.0"/>
        <n v="534.0"/>
        <n v="218.0"/>
        <n v="7.0"/>
        <n v="247.0"/>
        <n v="125.0"/>
        <n v="532.0"/>
        <n v="103.0"/>
        <n v="23.0"/>
        <n v="469.0"/>
        <n v="204.0"/>
        <n v="420.0"/>
        <n v="887.0"/>
        <n v="896.0"/>
        <n v="516.0"/>
        <n v="38.0"/>
        <n v="607.0"/>
        <n v="78.0"/>
        <n v="379.0"/>
        <n v="415.0"/>
        <n v="-3.0"/>
        <n v="917.0"/>
        <n v="496.0"/>
        <n v="899.0"/>
        <n v="726.0"/>
        <n v="579.0"/>
        <n v="316.0"/>
        <n v="522.0"/>
        <n v="364.0"/>
        <n v="507.0"/>
        <n v="818.0"/>
        <n v="937.0"/>
        <n v="348.0"/>
        <n v="285.0"/>
        <n v="192.0"/>
        <n v="949.0"/>
        <n v="479.0"/>
        <n v="73.0"/>
        <n v="107.0"/>
        <n v="451.0"/>
        <n v="592.0"/>
        <n v="332.0"/>
        <n v="468.0"/>
        <n v="51.0"/>
        <n v="450.0"/>
        <n v="932.0"/>
        <n v="682.0"/>
        <n v="975.0"/>
        <n v="627.0"/>
        <n v="583.0"/>
        <n v="557.0"/>
        <n v="691.0"/>
        <n v="276.0"/>
        <n v="572.0"/>
        <n v="546.0"/>
        <n v="342.0"/>
        <n v="117.0"/>
        <n v="923.0"/>
        <n v="152.0"/>
        <n v="258.0"/>
        <n v="255.0"/>
        <n v="724.0"/>
        <n v="865.0"/>
        <n v="929.0"/>
        <n v="460.0"/>
        <n v="414.0"/>
        <n v="480.0"/>
        <n v="380.0"/>
        <n v="168.0"/>
        <n v="417.0"/>
        <n v="637.0"/>
        <n v="676.0"/>
        <n v="679.0"/>
        <n v="905.0"/>
        <n v="331.0"/>
        <n v="341.0"/>
        <n v="273.0"/>
        <n v="90.0"/>
        <n v="963.0"/>
        <n v="900.0"/>
        <n v="894.0"/>
        <n v="904.0"/>
        <n v="536.0"/>
        <n v="391.0"/>
        <n v="466.0"/>
        <n v="808.0"/>
        <n v="229.0"/>
        <n v="394.0"/>
        <n v="968.0"/>
        <n v="652.0"/>
        <n v="853.0"/>
        <n v="172.0"/>
        <n v="259.0"/>
        <n v="402.0"/>
        <n v="889.0"/>
        <n v="24.0"/>
        <n v="382.0"/>
        <n v="284.0"/>
        <n v="227.0"/>
        <n v="704.0"/>
        <n v="390.0"/>
        <n v="266.0"/>
        <n v="584.0"/>
        <n v="848.0"/>
        <n v="365.0"/>
        <n v="768.0"/>
        <n v="663.0"/>
        <n v="381.0"/>
        <n v="967.0"/>
        <n v="336.0"/>
        <n v="914.0"/>
        <n v="278.0"/>
        <n v="286.0"/>
        <n v="628.0"/>
        <n v="795.0"/>
        <n v="947.0"/>
        <n v="272.0"/>
        <n v="745.0"/>
        <n v="136.0"/>
        <n v="535.0"/>
        <n v="323.0"/>
        <n v="647.0"/>
        <n v="606.0"/>
        <n v="969.0"/>
        <n v="248.0"/>
        <n v="886.0"/>
        <n v="864.0"/>
        <n v="922.0"/>
        <n v="519.0"/>
        <n v="288.0"/>
        <n v="734.0"/>
        <n v="765.0"/>
        <n v="208.0"/>
        <n v="942.0"/>
        <n v="877.0"/>
        <n v="441.0"/>
        <n v="640.0"/>
        <n v="920.0"/>
        <n v="333.0"/>
        <n v="764.0"/>
        <n v="549.0"/>
        <n v="65.0"/>
        <n v="807.0"/>
        <n v="432.0"/>
        <n v="617.0"/>
        <n v="405.0"/>
        <n v="995.0"/>
        <n v="475.0"/>
        <n v="878.0"/>
        <n v="716.0"/>
        <n v="978.0"/>
        <n v="608.0"/>
        <n v="846.0"/>
        <n v="71.0"/>
        <n v="467.0"/>
        <n v="602.0"/>
        <n v="890.0"/>
        <n v="639.0"/>
        <n v="821.0"/>
        <n v="138.0"/>
        <n v="785.0"/>
        <n v="487.0"/>
        <n v="790.0"/>
        <n v="852.0"/>
        <n v="565.0"/>
        <n v="631.0"/>
        <n v="992.0"/>
        <n v="350.0"/>
        <n v="964.0"/>
        <n v="462.0"/>
        <n v="748.0"/>
        <n v="789.0"/>
        <n v="13.0"/>
        <n v="721.0"/>
        <n v="974.0"/>
        <n v="787.0"/>
        <n v="246.0"/>
        <n v="340.0"/>
        <n v="60.0"/>
        <n v="72.0"/>
        <n v="170.0"/>
        <n v="311.0"/>
        <n v="254.0"/>
        <n v="523.0"/>
        <n v="177.0"/>
        <n v="792.0"/>
        <n v="775.0"/>
        <n v="133.0"/>
        <n v="250.0"/>
        <n v="435.0"/>
        <n v="86.0"/>
        <n v="841.0"/>
        <n v="696.0"/>
        <n v="983.0"/>
        <n v="485.0"/>
        <n v="700.0"/>
        <n v="49.0"/>
        <n v="849.0"/>
        <n v="913.0"/>
        <n v="709.0"/>
        <n v="883.0"/>
        <n v="241.0"/>
        <n v="695.0"/>
        <n v="214.0"/>
        <n v="948.0"/>
        <n v="42.0"/>
        <n v="424.0"/>
        <n v="725.0"/>
        <n v="313.0"/>
        <n v="744.0"/>
        <n v="115.0"/>
        <n v="209.0"/>
        <n v="482.0"/>
        <n v="854.0"/>
        <n v="972.0"/>
        <n v="615.0"/>
        <n v="856.0"/>
        <n v="376.0"/>
        <n v="421.0"/>
        <n v="304.0"/>
        <n v="291.0"/>
        <n v="524.0"/>
        <n v="550.0"/>
        <n v="683.0"/>
        <n v="240.0"/>
        <n v="384.0"/>
        <n v="766.0"/>
        <n v="595.0"/>
        <n v="453.0"/>
        <n v="449.0"/>
        <n v="839.0"/>
        <n v="10.0"/>
        <n v="279.0"/>
        <n v="322.0"/>
        <n v="106.0"/>
        <n v="814.0"/>
        <n v="345.0"/>
        <n v="892.0"/>
        <n v="344.0"/>
        <n v="880.0"/>
        <n v="512.0"/>
        <n v="673.0"/>
        <n v="370.0"/>
        <n v="737.0"/>
        <n v="520.0"/>
        <n v="497.0"/>
        <n v="299.0"/>
        <n v="498.0"/>
        <n v="589.0"/>
        <n v="230.0"/>
        <n v="809.0"/>
        <n v="500.0"/>
        <n v="804.0"/>
        <n v="616.0"/>
        <n v="562.0"/>
        <n v="706.0"/>
        <n v="56.0"/>
        <n v="88.0"/>
        <n v="36.0"/>
        <n v="908.0"/>
        <n v="659.0"/>
        <n v="614.0"/>
        <n v="569.0"/>
        <n v="474.0"/>
        <n v="866.0"/>
        <n v="829.0"/>
        <n v="39.0"/>
        <n v="884.0"/>
        <n v="813.0"/>
        <n v="674.0"/>
        <n v="505.0"/>
        <n v="810.0"/>
        <n v="22.0"/>
        <n v="687.0"/>
        <n v="528.0"/>
        <n v="62.0"/>
        <n v="649.0"/>
        <n v="200.0"/>
        <n v="619.0"/>
        <n v="353.0"/>
        <n v="515.0"/>
        <n v="314.0"/>
        <n v="328.0"/>
        <n v="223.0"/>
        <n v="759.0"/>
        <n v="465.0"/>
        <n v="301.0"/>
        <n v="129.0"/>
        <n v="566.0"/>
        <n v="901.0"/>
        <n v="533.0"/>
        <n v="820.0"/>
        <n v="422.0"/>
        <n v="443.0"/>
        <n v="635.0"/>
        <n v="838.0"/>
        <n v="93.0"/>
        <n v="458.0"/>
        <n v="803.0"/>
        <n v="27.0"/>
        <n v="692.0"/>
        <n v="426.0"/>
        <n v="368.0"/>
        <n v="234.0"/>
        <n v="122.0"/>
        <n v="188.0"/>
        <n v="548.0"/>
        <n v="788.0"/>
        <n v="771.0"/>
        <n v="743.0"/>
        <n v="472.0"/>
        <n v="754.0"/>
        <n v="434.0"/>
        <n v="836.0"/>
        <n v="339.0"/>
        <n v="526.0"/>
        <n v="954.0"/>
        <n v="233.0"/>
        <n v="97.0"/>
        <n v="349.0"/>
        <n v="307.0"/>
        <n v="491.0"/>
        <n v="575.0"/>
        <n v="173.0"/>
        <n v="457.0"/>
        <n v="757.0"/>
        <n v="151.0"/>
        <n v="702.0"/>
        <n v="666.0"/>
        <n v="514.0"/>
        <n v="33.0"/>
        <n v="32.0"/>
        <n v="169.0"/>
        <n v="360.0"/>
        <n v="372.0"/>
        <n v="984.0"/>
        <n v="677.0"/>
        <n v="1.0"/>
        <n v="537.0"/>
        <n v="555.0"/>
        <n v="622.0"/>
        <n v="244.0"/>
        <n v="891.0"/>
        <n v="539.0"/>
        <n v="471.0"/>
        <n v="751.0"/>
        <n v="708.0"/>
        <n v="509.0"/>
        <n v="5.0"/>
        <n v="87.0"/>
        <n v="556.0"/>
        <n v="47.0"/>
        <n v="25.0"/>
        <n v="670.0"/>
        <n v="249.0"/>
        <n v="105.0"/>
        <n v="219.0"/>
        <n v="741.0"/>
        <n v="669.0"/>
        <n v="495.0"/>
        <n v="180.0"/>
        <n v="261.0"/>
        <n v="264.0"/>
        <n v="802.0"/>
        <n v="680.0"/>
        <n v="367.0"/>
        <n v="317.0"/>
        <n v="688.0"/>
        <n v="235.0"/>
        <n v="221.0"/>
        <n v="175.0"/>
        <n v="750.0"/>
        <n v="448.0"/>
        <n v="452.0"/>
        <n v="777.0"/>
        <n v="58.0"/>
        <n v="406.0"/>
        <n v="113.0"/>
        <n v="578.0"/>
        <n v="393.0"/>
        <n v="513.0"/>
        <n v="862.0"/>
        <n v="18.0"/>
        <n v="19.0"/>
        <n v="270.0"/>
        <n v="174.0"/>
        <n v="711.0"/>
        <n v="446.0"/>
        <n v="944.0"/>
        <n v="753.0"/>
        <n v="906.0"/>
        <n v="657.0"/>
        <n v="888.0"/>
        <n v="94.0"/>
        <n v="621.0"/>
        <n v="444.0"/>
        <n v="352.0"/>
        <n v="377.0"/>
        <n v="401.0"/>
        <n v="817.0"/>
        <n v="238.0"/>
        <n v="89.0"/>
        <n v="731.0"/>
        <n v="895.0"/>
        <n v="-5.0"/>
        <n v="383.0"/>
        <n v="620.0"/>
        <n v="577.0"/>
        <n v="976.0"/>
        <n v="306.0"/>
        <n v="283.0"/>
        <n v="6.0"/>
        <n v="882.0"/>
        <n v="494.0"/>
        <n v="329.0"/>
        <n v="30.0"/>
        <n v="297.0"/>
        <n v="761.0"/>
        <n v="957.0"/>
        <n v="624.0"/>
        <n v="770.0"/>
        <n v="720.0"/>
        <n v="885.0"/>
        <n v="29.0"/>
        <n v="936.0"/>
        <n v="694.0"/>
        <n v="59.0"/>
        <n v="736.0"/>
        <n v="154.0"/>
        <n v="309.0"/>
        <n v="267.0"/>
        <n v="225.0"/>
        <n v="195.0"/>
        <n v="17.0"/>
        <n v="20.0"/>
        <n v="686.0"/>
        <n v="430.0"/>
        <n v="586.0"/>
        <n v="801.0"/>
        <n v="478.0"/>
        <n v="938.0"/>
        <n v="374.0"/>
        <n v="828.0"/>
        <n v="806.0"/>
        <n v="752.0"/>
        <n v="902.0"/>
        <n v="296.0"/>
        <n v="554.0"/>
        <n v="293.0"/>
        <n v="265.0"/>
        <n v="427.0"/>
        <n v="375.0"/>
        <n v="633.0"/>
        <n v="860.0"/>
        <n v="953.0"/>
        <n v="502.0"/>
        <n v="924.0"/>
        <n v="400.0"/>
        <n v="530.0"/>
        <n v="824.0"/>
        <n v="859.0"/>
        <n v="699.0"/>
        <n v="543.0"/>
        <n v="112.0"/>
        <n v="419.0"/>
        <n v="970.0"/>
        <n v="636.0"/>
        <n v="263.0"/>
        <n v="404.0"/>
        <n v="508.0"/>
        <n v="989.0"/>
        <n v="570.0"/>
        <n v="121.0"/>
        <n v="132.0"/>
        <n v="581.0"/>
        <n v="150.0"/>
        <n v="603.0"/>
        <n v="82.0"/>
        <n v="573.0"/>
        <n v="423.0"/>
        <n v="166.0"/>
        <n v="-8.0"/>
        <n v="481.0"/>
        <n v="791.0"/>
        <n v="740.0"/>
        <n v="48.0"/>
        <n v="755.0"/>
        <n v="148.0"/>
        <n v="926.0"/>
        <n v="262.0"/>
        <n v="762.0"/>
        <n v="447.0"/>
        <n v="-13.0"/>
        <n v="733.0"/>
        <n v="359.0"/>
        <n v="977.0"/>
        <n v="319.0"/>
        <n v="959.0"/>
        <n v="823.0"/>
        <n v="330.0"/>
        <n v="567.0"/>
        <n v="-6.0"/>
        <n v="827.0"/>
        <n v="611.0"/>
        <n v="85.0"/>
        <n v="9.0"/>
        <n v="351.0"/>
        <n v="563.0"/>
        <n v="521.0"/>
        <n v="-14.0"/>
        <n v="-10.0"/>
        <n v="281.0"/>
        <n v="707.0"/>
        <n v="46.0"/>
        <n v="156.0"/>
        <n v="874.0"/>
        <n v="488.0"/>
        <n v="398.0"/>
        <n v="681.0"/>
        <n v="182.0"/>
        <n v="991.0"/>
        <n v="552.0"/>
        <n v="490.0"/>
        <n v="655.0"/>
        <n v="298.0"/>
        <n v="933.0"/>
        <n v="600.0"/>
        <n v="662.0"/>
        <n v="660.0"/>
        <n v="850.0"/>
        <n v="916.0"/>
        <n v="289.0"/>
        <n v="362.0"/>
        <n v="145.0"/>
        <n v="75.0"/>
        <n v="858.0"/>
        <n v="593.0"/>
        <n v="126.0"/>
        <n v="966.0"/>
        <n v="268.0"/>
        <n v="387.0"/>
        <n v="746.0"/>
        <n v="776.0"/>
        <n v="217.0"/>
        <n v="-7.0"/>
        <n v="21.0"/>
        <n v="798.0"/>
        <n v="140.0"/>
        <n v="965.0"/>
        <n v="184.0"/>
        <n v="601.0"/>
        <n v="830.0"/>
        <n v="825.0"/>
        <n v="123.0"/>
        <n v="928.0"/>
        <n v="324.0"/>
        <n v="675.0"/>
        <n v="648.0"/>
        <n v="312.0"/>
        <n v="981.0"/>
        <n v="8.0"/>
        <n v="310.0"/>
        <n v="222.0"/>
        <n v="873.0"/>
        <n v="623.0"/>
        <n v="92.0"/>
        <n v="903.0"/>
        <n v="728.0"/>
        <n v="438.0"/>
        <n v="386.0"/>
        <n v="369.0"/>
        <n v="819.0"/>
        <n v="729.0"/>
        <n v="146.0"/>
        <n v="456.0"/>
        <n v="612.0"/>
        <n v="656.0"/>
        <n v="388.0"/>
        <n v="805.0"/>
        <n v="590.0"/>
        <n v="756.0"/>
        <n v="921.0"/>
        <n v="909.0"/>
        <n v="439.0"/>
        <n v="843.0"/>
        <n v="986.0"/>
        <n v="243.0"/>
        <n v="930.0"/>
        <n v="738.0"/>
        <n v="693.0"/>
        <n v="483.0"/>
        <n v="69.0"/>
        <n v="939.0"/>
        <n v="990.0"/>
        <n v="412.0"/>
        <n v="945.0"/>
        <n v="-17.0"/>
        <n v="996.0"/>
        <n v="228.0"/>
        <n v="638.0"/>
        <n v="493.0"/>
        <n v="-11.0"/>
        <n v="-15.0"/>
        <n v="689.0"/>
        <n v="-16.0"/>
        <n v="-2.0"/>
        <n v="392.0"/>
        <n v="835.0"/>
        <n v="-9.0"/>
        <n v="433.0"/>
        <n v="231.0"/>
        <n v="-4.0"/>
        <n v="3.0"/>
        <n v="531.0"/>
        <n v="980.0"/>
      </sharedItems>
    </cacheField>
    <cacheField name="stock" numFmtId="1">
      <sharedItems containsSemiMixedTypes="0" containsString="0" containsNumber="1" containsInteger="1">
        <n v="320.0"/>
        <n v="0.0"/>
        <n v="100.0"/>
        <n v="268.0"/>
        <n v="472.0"/>
        <n v="63.0"/>
        <n v="33.0"/>
        <n v="104.0"/>
        <n v="152.0"/>
        <n v="393.0"/>
        <n v="60.0"/>
        <n v="9.0"/>
        <n v="256.0"/>
        <n v="326.0"/>
        <n v="11.0"/>
        <n v="103.0"/>
        <n v="68.0"/>
        <n v="162.0"/>
        <n v="43.0"/>
        <n v="134.0"/>
        <n v="305.0"/>
        <n v="84.0"/>
        <n v="96.0"/>
        <n v="71.0"/>
        <n v="130.0"/>
        <n v="604.0"/>
        <n v="6.0"/>
        <n v="609.0"/>
        <n v="79.0"/>
        <n v="23.0"/>
        <n v="186.0"/>
        <n v="418.0"/>
        <n v="98.0"/>
        <n v="34.0"/>
        <n v="141.0"/>
        <n v="99.0"/>
        <n v="131.0"/>
        <n v="46.0"/>
        <n v="558.0"/>
        <n v="19.0"/>
        <n v="2.0"/>
        <n v="85.0"/>
        <n v="82.0"/>
        <n v="88.0"/>
        <n v="159.0"/>
        <n v="301.0"/>
        <n v="243.0"/>
        <n v="285.0"/>
        <n v="227.0"/>
        <n v="105.0"/>
        <n v="207.0"/>
        <n v="78.0"/>
        <n v="42.0"/>
        <n v="306.0"/>
        <n v="321.0"/>
        <n v="576.0"/>
        <n v="31.0"/>
        <n v="37.0"/>
        <n v="1.0"/>
        <n v="180.0"/>
        <n v="10.0"/>
        <n v="635.0"/>
        <n v="396.0"/>
        <n v="128.0"/>
        <n v="214.0"/>
        <n v="278.0"/>
        <n v="164.0"/>
        <n v="385.0"/>
        <n v="381.0"/>
        <n v="327.0"/>
        <n v="821.0"/>
        <n v="27.0"/>
        <n v="613.0"/>
        <n v="648.0"/>
        <n v="723.0"/>
        <n v="353.0"/>
        <n v="384.0"/>
        <n v="420.0"/>
        <n v="319.0"/>
        <n v="345.0"/>
        <n v="167.0"/>
        <n v="116.0"/>
        <n v="107.0"/>
        <n v="174.0"/>
        <n v="290.0"/>
        <n v="126.0"/>
        <n v="498.0"/>
        <n v="344.0"/>
        <n v="437.0"/>
        <n v="95.0"/>
        <n v="225.0"/>
        <n v="414.0"/>
        <n v="45.0"/>
        <n v="58.0"/>
        <n v="494.0"/>
        <n v="26.0"/>
        <n v="142.0"/>
        <n v="47.0"/>
        <n v="80.0"/>
        <n v="400.0"/>
        <n v="81.0"/>
        <n v="117.0"/>
        <n v="145.0"/>
        <n v="726.0"/>
        <n v="311.0"/>
        <n v="554.0"/>
        <n v="374.0"/>
        <n v="49.0"/>
        <n v="5.0"/>
        <n v="230.0"/>
        <n v="499.0"/>
        <n v="212.0"/>
        <n v="205.0"/>
        <n v="108.0"/>
        <n v="229.0"/>
        <n v="317.0"/>
        <n v="51.0"/>
        <n v="8.0"/>
        <n v="150.0"/>
        <n v="14.0"/>
        <n v="12.0"/>
        <n v="328.0"/>
        <n v="739.0"/>
        <n v="462.0"/>
        <n v="77.0"/>
        <n v="74.0"/>
        <n v="66.0"/>
        <n v="16.0"/>
        <n v="264.0"/>
        <n v="206.0"/>
        <n v="102.0"/>
        <n v="761.0"/>
        <n v="520.0"/>
        <n v="333.0"/>
        <n v="217.0"/>
        <n v="514.0"/>
        <n v="475.0"/>
        <n v="361.0"/>
        <n v="674.0"/>
        <n v="121.0"/>
        <n v="161.0"/>
        <n v="879.0"/>
        <n v="172.0"/>
        <n v="175.0"/>
        <n v="555.0"/>
        <n v="190.0"/>
        <n v="35.0"/>
        <n v="156.0"/>
        <n v="54.0"/>
        <n v="549.0"/>
        <n v="368.0"/>
        <n v="740.0"/>
        <n v="237.0"/>
        <n v="41.0"/>
        <n v="530.0"/>
        <n v="219.0"/>
        <n v="222.0"/>
        <n v="367.0"/>
        <n v="405.0"/>
        <n v="560.0"/>
        <n v="94.0"/>
        <n v="236.0"/>
        <n v="502.0"/>
        <n v="315.0"/>
        <n v="801.0"/>
        <n v="67.0"/>
        <n v="293.0"/>
        <n v="197.0"/>
        <n v="89.0"/>
        <n v="295.0"/>
        <n v="133.0"/>
        <n v="343.0"/>
        <n v="741.0"/>
        <n v="386.0"/>
        <n v="812.0"/>
        <n v="187.0"/>
        <n v="409.0"/>
        <n v="38.0"/>
        <n v="331.0"/>
        <n v="454.0"/>
        <n v="4.0"/>
        <n v="7.0"/>
        <n v="158.0"/>
        <n v="177.0"/>
        <n v="651.0"/>
        <n v="123.0"/>
        <n v="595.0"/>
        <n v="28.0"/>
        <n v="605.0"/>
        <n v="185.0"/>
        <n v="254.0"/>
        <n v="511.0"/>
        <n v="29.0"/>
        <n v="298.0"/>
        <n v="135.0"/>
        <n v="324.0"/>
        <n v="892.0"/>
        <n v="419.0"/>
        <n v="148.0"/>
        <n v="247.0"/>
        <n v="322.0"/>
        <n v="352.0"/>
        <n v="265.0"/>
        <n v="240.0"/>
        <n v="354.0"/>
        <n v="571.0"/>
        <n v="192.0"/>
        <n v="57.0"/>
        <n v="235.0"/>
        <n v="137.0"/>
        <n v="129.0"/>
        <n v="209.0"/>
        <n v="22.0"/>
        <n v="255.0"/>
        <n v="526.0"/>
        <n v="241.0"/>
        <n v="363.0"/>
        <n v="165.0"/>
        <n v="744.0"/>
        <n v="435.0"/>
        <n v="24.0"/>
        <n v="181.0"/>
        <n v="485.0"/>
        <n v="83.0"/>
        <n v="614.0"/>
        <n v="200.0"/>
        <n v="157.0"/>
        <n v="458.0"/>
        <n v="308.0"/>
        <n v="417.0"/>
        <n v="889.0"/>
        <n v="139.0"/>
        <n v="280.0"/>
        <n v="173.0"/>
        <n v="680.0"/>
        <n v="399.0"/>
        <n v="332.0"/>
        <n v="113.0"/>
        <n v="251.0"/>
        <n v="527.0"/>
        <n v="246.0"/>
        <n v="292.0"/>
        <n v="703.0"/>
        <n v="260.0"/>
        <n v="700.0"/>
        <n v="286.0"/>
        <n v="596.0"/>
        <n v="281.0"/>
        <n v="451.0"/>
        <n v="423.0"/>
        <n v="15.0"/>
        <n v="208.0"/>
        <n v="91.0"/>
        <n v="55.0"/>
        <n v="610.0"/>
        <n v="36.0"/>
        <n v="203.0"/>
        <n v="338.0"/>
        <n v="342.0"/>
        <n v="985.0"/>
        <n v="434.0"/>
        <n v="486.0"/>
        <n v="20.0"/>
        <n v="178.0"/>
        <n v="111.0"/>
        <n v="272.0"/>
        <n v="210.0"/>
        <n v="69.0"/>
        <n v="21.0"/>
        <n v="453.0"/>
        <n v="660.0"/>
        <n v="18.0"/>
        <n v="542.0"/>
        <n v="539.0"/>
        <n v="415.0"/>
        <n v="262.0"/>
        <n v="538.0"/>
        <n v="93.0"/>
        <n v="738.0"/>
        <n v="109.0"/>
        <n v="279.0"/>
        <n v="707.0"/>
        <n v="169.0"/>
        <n v="478.0"/>
        <n v="59.0"/>
        <n v="65.0"/>
        <n v="283.0"/>
        <n v="70.0"/>
        <n v="75.0"/>
        <n v="422.0"/>
        <n v="667.0"/>
        <n v="544.0"/>
        <n v="444.0"/>
        <n v="452.0"/>
        <n v="146.0"/>
        <n v="17.0"/>
        <n v="87.0"/>
        <n v="636.0"/>
        <n v="438.0"/>
        <n v="773.0"/>
        <n v="144.0"/>
        <n v="658.0"/>
        <n v="477.0"/>
        <n v="56.0"/>
        <n v="398.0"/>
        <n v="429.0"/>
        <n v="120.0"/>
        <n v="238.0"/>
        <n v="366.0"/>
        <n v="288.0"/>
        <n v="140.0"/>
        <n v="696.0"/>
        <n v="359.0"/>
        <n v="335.0"/>
        <n v="276.0"/>
        <n v="30.0"/>
        <n v="184.0"/>
        <n v="424.0"/>
        <n v="425.0"/>
        <n v="849.0"/>
        <n v="629.0"/>
        <n v="781.0"/>
        <n v="250.0"/>
        <n v="232.0"/>
        <n v="166.0"/>
        <n v="48.0"/>
        <n v="339.0"/>
        <n v="303.0"/>
        <n v="13.0"/>
        <n v="62.0"/>
        <n v="61.0"/>
        <n v="228.0"/>
        <n v="531.0"/>
        <n v="231.0"/>
        <n v="310.0"/>
        <n v="215.0"/>
        <n v="115.0"/>
        <n v="497.0"/>
        <n v="860.0"/>
        <n v="456.0"/>
        <n v="479.0"/>
        <n v="125.0"/>
        <n v="428.0"/>
        <n v="119.0"/>
        <n v="196.0"/>
        <n v="529.0"/>
        <n v="198.0"/>
        <n v="267.0"/>
        <n v="758.0"/>
        <n v="894.0"/>
        <n v="138.0"/>
        <n v="346.0"/>
        <n v="202.0"/>
        <n v="580.0"/>
        <n v="50.0"/>
        <n v="871.0"/>
        <n v="194.0"/>
        <n v="275.0"/>
        <n v="545.0"/>
        <n v="122.0"/>
        <n v="408.0"/>
        <n v="171.0"/>
        <n v="426.0"/>
        <n v="506.0"/>
        <n v="160.0"/>
        <n v="515.0"/>
        <n v="507.0"/>
        <n v="720.0"/>
        <n v="124.0"/>
        <n v="90.0"/>
        <n v="3.0"/>
        <n v="378.0"/>
        <n v="25.0"/>
        <n v="375.0"/>
        <n v="490.0"/>
        <n v="395.0"/>
        <n v="581.0"/>
        <n v="191.0"/>
        <n v="369.0"/>
        <n v="266.0"/>
        <n v="221.0"/>
        <n v="189.0"/>
        <n v="149.0"/>
        <n v="627.0"/>
        <n v="588.0"/>
        <n v="811.0"/>
        <n v="226.0"/>
        <n v="114.0"/>
        <n v="491.0"/>
        <n v="391.0"/>
        <n v="582.0"/>
        <n v="110.0"/>
        <n v="101.0"/>
        <n v="484.0"/>
        <n v="253.0"/>
        <n v="44.0"/>
        <n v="211.0"/>
        <n v="534.0"/>
        <n v="136.0"/>
        <n v="900.0"/>
        <n v="330.0"/>
        <n v="312.0"/>
        <n v="846.0"/>
        <n v="594.0"/>
        <n v="755.0"/>
        <n v="347.0"/>
        <n v="476.0"/>
        <n v="548.0"/>
        <n v="483.0"/>
        <n v="446.0"/>
        <n v="519.0"/>
        <n v="864.0"/>
        <n v="521.0"/>
        <n v="713.0"/>
        <n v="147.0"/>
        <n v="271.0"/>
        <n v="244.0"/>
        <n v="53.0"/>
        <n v="195.0"/>
        <n v="602.0"/>
        <n v="213.0"/>
        <n v="448.0"/>
        <n v="574.0"/>
        <n v="551.0"/>
        <n v="403.0"/>
        <n v="734.0"/>
        <n v="440.0"/>
        <n v="371.0"/>
        <n v="559.0"/>
        <n v="516.0"/>
        <n v="624.0"/>
        <n v="318.0"/>
        <n v="52.0"/>
        <n v="199.0"/>
        <n v="284.0"/>
        <n v="654.0"/>
        <n v="592.0"/>
        <n v="294.0"/>
        <n v="442.0"/>
        <n v="603.0"/>
        <n v="413.0"/>
        <n v="163.0"/>
        <n v="468.0"/>
        <n v="718.0"/>
        <n v="509.0"/>
        <n v="349.0"/>
        <n v="233.0"/>
        <n v="245.0"/>
        <n v="641.0"/>
        <n v="336.0"/>
        <n v="618.0"/>
        <n v="469.0"/>
        <n v="606.0"/>
        <n v="616.0"/>
        <n v="201.0"/>
        <n v="706.0"/>
        <n v="218.0"/>
        <n v="625.0"/>
        <n v="492.0"/>
        <n v="656.0"/>
        <n v="795.0"/>
        <n v="719.0"/>
        <n v="647.0"/>
        <n v="86.0"/>
        <n v="204.0"/>
        <n v="392.0"/>
        <n v="40.0"/>
        <n v="151.0"/>
        <n v="39.0"/>
        <n v="92.0"/>
        <n v="455.0"/>
        <n v="411.0"/>
        <n v="631.0"/>
        <n v="382.0"/>
        <n v="364.0"/>
        <n v="689.0"/>
        <n v="390.0"/>
        <n v="427.0"/>
        <n v="797.0"/>
        <n v="297.0"/>
        <n v="575.0"/>
        <n v="182.0"/>
        <n v="568.0"/>
        <n v="869.0"/>
        <n v="665.0"/>
        <n v="436.0"/>
        <n v="329.0"/>
        <n v="410.0"/>
        <n v="325.0"/>
        <n v="32.0"/>
        <n v="309.0"/>
        <n v="127.0"/>
        <n v="510.0"/>
        <n v="216.0"/>
        <n v="601.0"/>
        <n v="488.0"/>
        <n v="355.0"/>
        <n v="533.0"/>
        <n v="543.0"/>
        <n v="774.0"/>
        <n v="620.0"/>
        <n v="72.0"/>
        <n v="464.0"/>
        <n v="337.0"/>
        <n v="512.0"/>
        <n v="430.0"/>
        <n v="358.0"/>
        <n v="664.0"/>
        <n v="546.0"/>
        <n v="735.0"/>
        <n v="143.0"/>
        <n v="432.0"/>
        <n v="356.0"/>
        <n v="705.0"/>
        <n v="270.0"/>
        <n v="341.0"/>
        <n v="370.0"/>
        <n v="383.0"/>
        <n v="439.0"/>
        <n v="257.0"/>
        <n v="482.0"/>
        <n v="132.0"/>
        <n v="450.0"/>
        <n v="274.0"/>
        <n v="289.0"/>
        <n v="445.0"/>
        <n v="496.0"/>
        <n v="188.0"/>
        <n v="300.0"/>
        <n v="106.0"/>
        <n v="64.0"/>
        <n v="721.0"/>
        <n v="387.0"/>
        <n v="304.0"/>
        <n v="348.0"/>
        <n v="193.0"/>
        <n v="784.0"/>
        <n v="282.0"/>
        <n v="154.0"/>
        <n v="168.0"/>
        <n v="826.0"/>
        <n v="877.0"/>
        <n v="313.0"/>
        <n v="323.0"/>
        <n v="747.0"/>
        <n v="97.0"/>
        <n v="350.0"/>
        <n v="73.0"/>
        <n v="508.0"/>
        <n v="570.0"/>
        <n v="617.0"/>
        <n v="302.0"/>
        <n v="112.0"/>
        <n v="401.0"/>
        <n v="259.0"/>
        <n v="661.0"/>
        <n v="599.0"/>
        <n v="376.0"/>
        <n v="853.0"/>
        <n v="118.0"/>
        <n v="796.0"/>
        <n v="934.0"/>
        <n v="563.0"/>
        <n v="365.0"/>
        <n v="487.0"/>
        <n v="540.0"/>
        <n v="155.0"/>
        <n v="590.0"/>
        <n v="307.0"/>
        <n v="607.0"/>
        <n v="239.0"/>
        <n v="394.0"/>
        <n v="463.0"/>
        <n v="615.0"/>
        <n v="669.0"/>
        <n v="790.0"/>
        <n v="550.0"/>
        <n v="621.0"/>
        <n v="902.0"/>
        <n v="504.0"/>
        <n v="220.0"/>
        <n v="565.0"/>
        <n v="252.0"/>
        <n v="357.0"/>
        <n v="389.0"/>
        <n v="632.0"/>
        <n v="567.0"/>
        <n v="224.0"/>
        <n v="806.0"/>
        <n v="772.0"/>
        <n v="503.0"/>
        <n v="183.0"/>
        <n v="562.0"/>
        <n v="-4.0"/>
        <n v="697.0"/>
        <n v="848.0"/>
        <n v="579.0"/>
        <n v="459.0"/>
        <n v="537.0"/>
        <n v="591.0"/>
        <n v="907.0"/>
        <n v="837.0"/>
        <n v="407.0"/>
        <n v="863.0"/>
        <n v="460.0"/>
        <n v="269.0"/>
        <n v="493.0"/>
        <n v="536.0"/>
        <n v="416.0"/>
        <n v="770.0"/>
        <n v="569.0"/>
        <n v="316.0"/>
        <n v="802.0"/>
        <n v="461.0"/>
        <n v="556.0"/>
        <n v="296.0"/>
        <n v="913.0"/>
        <n v="474.0"/>
        <n v="377.0"/>
        <n v="223.0"/>
        <n v="179.0"/>
        <n v="76.0"/>
        <n v="733.0"/>
        <n v="737.0"/>
        <n v="891.0"/>
        <n v="170.0"/>
        <n v="412.0"/>
        <n v="657.0"/>
        <n v="261.0"/>
        <n v="263.0"/>
        <n v="736.0"/>
        <n v="880.0"/>
        <n v="397.0"/>
        <n v="748.0"/>
        <n v="659.0"/>
        <n v="379.0"/>
        <n v="694.0"/>
        <n v="524.0"/>
        <n v="587.0"/>
        <n v="314.0"/>
        <n v="598.0"/>
        <n v="481.0"/>
        <n v="699.0"/>
        <n v="473.0"/>
        <n v="867.0"/>
        <n v="619.0"/>
        <n v="671.0"/>
        <n v="234.0"/>
        <n v="273.0"/>
        <n v="970.0"/>
        <n v="248.0"/>
        <n v="743.0"/>
        <n v="779.0"/>
        <n v="-8.0"/>
        <n v="404.0"/>
        <n v="728.0"/>
        <n v="431.0"/>
        <n v="583.0"/>
        <n v="677.0"/>
        <n v="505.0"/>
        <n v="844.0"/>
        <n v="176.0"/>
        <n v="465.0"/>
        <n v="712.0"/>
        <n v="682.0"/>
        <n v="640.0"/>
        <n v="936.0"/>
        <n v="764.0"/>
        <n v="766.0"/>
        <n v="287.0"/>
        <n v="626.0"/>
        <n v="670.0"/>
        <n v="687.0"/>
        <n v="480.0"/>
        <n v="258.0"/>
        <n v="757.0"/>
        <n v="523.0"/>
        <n v="709.0"/>
        <n v="816.0"/>
        <n v="489.0"/>
        <n v="535.0"/>
        <n v="457.0"/>
        <n v="859.0"/>
        <n v="153.0"/>
        <n v="299.0"/>
        <n v="-7.0"/>
        <n v="767.0"/>
        <n v="561.0"/>
        <n v="573.0"/>
        <n v="586.0"/>
        <n v="805.0"/>
        <n v="839.0"/>
        <n v="467.0"/>
        <n v="517.0"/>
        <n v="513.0"/>
        <n v="896.0"/>
        <n v="820.0"/>
        <n v="638.0"/>
        <n v="769.0"/>
        <n v="645.0"/>
        <n v="291.0"/>
        <n v="852.0"/>
        <n v="955.0"/>
        <n v="380.0"/>
        <n v="528.0"/>
        <n v="547.0"/>
        <n v="930.0"/>
        <n v="564.0"/>
        <n v="731.0"/>
        <n v="406.0"/>
        <n v="447.0"/>
        <n v="866.0"/>
        <n v="642.0"/>
        <n v="818.0"/>
        <n v="716.0"/>
        <n v="722.0"/>
        <n v="668.0"/>
        <n v="808.0"/>
        <n v="249.0"/>
        <n v="787.0"/>
        <n v="828.0"/>
        <n v="951.0"/>
        <n v="373.0"/>
        <n v="873.0"/>
        <n v="898.0"/>
        <n v="608.0"/>
        <n v="597.0"/>
        <n v="589.0"/>
        <n v="650.0"/>
        <n v="768.0"/>
        <n v="242.0"/>
        <n v="895.0"/>
        <n v="775.0"/>
        <n v="884.0"/>
        <n v="662.0"/>
        <n v="717.0"/>
        <n v="676.0"/>
        <n v="572.0"/>
        <n v="402.0"/>
        <n v="690.0"/>
        <n v="646.0"/>
        <n v="600.0"/>
        <n v="637.0"/>
        <n v="782.0"/>
        <n v="702.0"/>
        <n v="653.0"/>
        <n v="522.0"/>
        <n v="760.0"/>
        <n v="679.0"/>
        <n v="340.0"/>
        <n v="701.0"/>
        <n v="577.0"/>
        <n v="663.0"/>
        <n v="823.0"/>
        <n v="887.0"/>
        <n v="698.0"/>
        <n v="557.0"/>
        <n v="910.0"/>
        <n v="917.0"/>
        <n v="566.0"/>
        <n v="673.0"/>
        <n v="905.0"/>
        <n v="708.0"/>
        <n v="789.0"/>
        <n v="776.0"/>
        <n v="935.0"/>
        <n v="759.0"/>
        <n v="918.0"/>
        <n v="388.0"/>
        <n v="971.0"/>
        <n v="688.0"/>
        <n v="518.0"/>
        <n v="622.0"/>
        <n v="798.0"/>
        <n v="927.0"/>
        <n v="630.0"/>
        <n v="362.0"/>
        <n v="691.0"/>
        <n v="593.0"/>
        <n v="750.0"/>
        <n v="649.0"/>
        <n v="874.0"/>
        <n v="686.0"/>
        <n v="578.0"/>
        <n v="946.0"/>
        <n v="443.0"/>
        <n v="856.0"/>
        <n v="921.0"/>
        <n v="831.0"/>
        <n v="449.0"/>
        <n v="800.0"/>
        <n v="585.0"/>
        <n v="421.0"/>
        <n v="501.0"/>
        <n v="715.0"/>
        <n v="727.0"/>
        <n v="532.0"/>
        <n v="843.0"/>
        <n v="724.0"/>
        <n v="756.0"/>
        <n v="804.0"/>
        <n v="471.0"/>
        <n v="-11.0"/>
        <n v="841.0"/>
        <n v="693.0"/>
        <n v="470.0"/>
        <n v="666.0"/>
        <n v="277.0"/>
        <n v="553.0"/>
        <n v="351.0"/>
        <n v="611.0"/>
        <n v="672.0"/>
        <n v="-1.0"/>
        <n v="683.0"/>
        <n v="862.0"/>
        <n v="634.0"/>
        <n v="803.0"/>
        <n v="655.0"/>
        <n v="334.0"/>
        <n v="704.0"/>
        <n v="903.0"/>
        <n v="875.0"/>
        <n v="360.0"/>
        <n v="729.0"/>
        <n v="525.0"/>
        <n v="749.0"/>
        <n v="692.0"/>
        <n v="-2.0"/>
        <n v="541.0"/>
        <n v="-9.0"/>
        <n v="678.0"/>
        <n v="684.0"/>
        <n v="643.0"/>
        <n v="695.0"/>
        <n v="920.0"/>
        <n v="832.0"/>
        <n v="-6.0"/>
        <n v="372.0"/>
        <n v="824.0"/>
        <n v="730.0"/>
        <n v="742.0"/>
        <n v="834.0"/>
        <n v="855.0"/>
        <n v="799.0"/>
        <n v="639.0"/>
        <n v="633.0"/>
        <n v="878.0"/>
        <n v="441.0"/>
        <n v="584.0"/>
        <n v="807.0"/>
      </sharedItems>
    </cacheField>
    <cacheField name="category_1" numFmtId="0">
      <sharedItems>
        <s v="Fiction"/>
        <s v="History"/>
        <s v="Self-Help"/>
        <s v="Sports"/>
        <s v="Law"/>
        <s v="Tech"/>
        <s v="Finance"/>
        <s v="Arts"/>
        <s v="Medical"/>
      </sharedItems>
    </cacheField>
    <cacheField name="category_2" numFmtId="0">
      <sharedItems>
        <s v="Literary Fiction"/>
        <s v="Mystery"/>
        <s v="Thriller"/>
        <s v="Crime"/>
        <s v="Fantasy"/>
        <s v="Epic Fantasy"/>
        <s v="Urban Fantasy"/>
        <s v="Science Fiction"/>
        <s v="Dystopian"/>
        <s v="Adventure"/>
        <s v="Historical Fiction"/>
        <s v="Romance"/>
        <s v="Romantic Comedy"/>
        <s v="Horror"/>
        <s v="Paranormal"/>
        <s v="Young Adult Fiction"/>
        <s v="Ancient History"/>
        <s v="Medieval History"/>
        <s v="Early Modern History"/>
        <s v="Modern History"/>
        <s v="World War I"/>
        <s v="World War II"/>
        <s v="Cold War"/>
        <s v="Military History"/>
        <s v="Economic History"/>
        <s v="Political History"/>
        <s v="Cultural History"/>
        <s v="Social History"/>
        <s v="History of Science"/>
        <s v="History of Technology"/>
        <s v="Personal Development"/>
        <s v="Productivity"/>
        <s v="Time Management"/>
        <s v="Habits"/>
        <s v="Motivation"/>
        <s v="Mindfulness"/>
        <s v="Stress Management"/>
        <s v="Communication Skills"/>
        <s v="Leadership"/>
        <s v="Decision Making"/>
        <s v="Emotional Intelligence"/>
        <s v="Career Development"/>
        <s v="Life Planning"/>
        <s v="Confidence Building"/>
        <s v="Football"/>
        <s v="Basketball"/>
        <s v="Tennis"/>
        <s v="Athletics"/>
        <s v="Cycling"/>
        <s v="Swimming"/>
        <s v="Running"/>
        <s v="Fitness Training"/>
        <s v="Coaching"/>
        <s v="Sports Psychology"/>
        <s v="Sports Nutrition"/>
        <s v="Extreme Sports"/>
        <s v="Winter Sports"/>
        <s v="Constitutional Law"/>
        <s v="Criminal Law"/>
        <s v="Civil Law"/>
        <s v="Commercial Law"/>
        <s v="Corporate Law"/>
        <s v="International Law"/>
        <s v="Human Rights Law"/>
        <s v="Intellectual Property Law"/>
        <s v="Environmental Law"/>
        <s v="Labor Law"/>
        <s v="Tax Law"/>
        <s v="Legal Theory"/>
        <s v="Legal Practice"/>
        <s v="Programming"/>
        <s v="Web Development"/>
        <s v="Mobile Development"/>
        <s v="Software Engineering"/>
        <s v="Data Science"/>
        <s v="Artificial Intelligence"/>
        <s v="Machine Learning"/>
        <s v="Cybersecurity"/>
        <s v="Cloud Computing"/>
        <s v="DevOps"/>
        <s v="Databases"/>
        <s v="Networking"/>
        <s v="Blockchain"/>
        <s v="Game Development"/>
        <s v="UI/UX Design"/>
        <s v="Personal Finance"/>
        <s v="Investing"/>
        <s v="Stock Market"/>
        <s v="Cryptocurrency"/>
        <s v="Banking"/>
        <s v="Corporate Finance"/>
        <s v="Financial Analysis"/>
        <s v="Financial Modeling"/>
        <s v="Risk Management"/>
        <s v="Derivatives"/>
        <s v="Portfolio Management"/>
        <s v="Venture Capital"/>
        <s v="Private Equity"/>
        <s v="Painting"/>
        <s v="Drawing"/>
        <s v="Sculpture"/>
        <s v="Photography"/>
        <s v="Graphic Design"/>
        <s v="Illustration"/>
        <s v="Digital Art"/>
        <s v="Art History"/>
        <s v="Architecture"/>
        <s v="Fashion Design"/>
        <s v="Interior Design"/>
        <s v="Film Studies"/>
        <s v="Theatre"/>
        <s v="Music"/>
        <s v="Anatomy"/>
        <s v="Physiology"/>
        <s v="Pathology"/>
        <s v="Pharmacology"/>
        <s v="Surgery"/>
        <s v="Pediatrics"/>
        <s v="Neurology"/>
        <s v="Psychiatry"/>
        <s v="Public Health"/>
        <s v="Medical Research"/>
      </sharedItems>
    </cacheField>
    <cacheField name="category_3" numFmtId="0">
      <sharedItems containsBlank="1">
        <s v="Blue Oak Publishing"/>
        <s v="Silver Leaf Press"/>
        <s v="Northbridge Books"/>
        <s v="Riverstone Publishing"/>
        <s v="Golden Quill Press"/>
        <s v="Harbor Light Books"/>
        <s v="Ironwood Publishing"/>
        <s v="Maple Grove Press"/>
        <s v="Cedar Hill Books"/>
        <s v="Willow Creek Publishing"/>
        <s v="Bright Horizon Press"/>
        <s v="Evergreen House"/>
        <m/>
        <s v="Redwood Publishing"/>
        <s v="Crown Gate Press"/>
        <s v="Aurora Book House"/>
        <s v="Summit Ridge Press"/>
        <s v="Pioneer Books"/>
        <s v="Liberty Hill Publishing"/>
        <s v="Morning Star Press"/>
        <s v="Westbridge Books"/>
        <s v="Oakridge Publishing"/>
        <s v="North Star Books"/>
        <s v="White River Press"/>
        <s v="Sunset Harbor Publishing"/>
        <s v="Green Valley Books"/>
        <s v="Heritage Lane Press"/>
        <s v="Fox Hollow Publishing"/>
        <s v="Clearwater Books"/>
        <s v="Lighthouse Press"/>
        <s v="Timberline Publishing"/>
        <s v="Silver Harbor Books"/>
        <s v="Windfall Press"/>
        <s v="Red Lantern Publishing"/>
        <s v="Iron Gate Books"/>
        <s v="Blue Harbor Press"/>
        <s v="Crescent Moon Publishing"/>
        <s v="Copper Hill Books"/>
        <s v="Grand Oak Press"/>
        <s v="Atlas Ridge Publishing"/>
        <s v="Beacon House Books"/>
        <s v="Golden Harbor Press"/>
        <s v="Frontier Publishing"/>
        <s v="New Dawn Books"/>
        <s v="Everlight Press"/>
        <s v="Broadway Hill Publishing"/>
        <s v="Horizon Peak Books"/>
        <s v="Crystal River Press"/>
        <s v="Summit House Publishing"/>
        <s v="Great Plains Books"/>
        <s v="Old Town Press"/>
        <s v="Lakeside Publishing"/>
        <s v="Forest Gate Books"/>
        <s v="Sunrise Hill Press"/>
        <s v="Open Road Publishing"/>
        <s v="Skyline Books"/>
        <s v="Red Bridge Press"/>
        <s v="Highland Peak Publishing"/>
        <s v="Silver Ridge Books"/>
        <s v="Mountain Path Press"/>
        <s v="Starfall Publishing"/>
        <s v="Deep River Books"/>
        <s v="Grand Harbor Press"/>
        <s v="Blue Ridge Publishing"/>
        <s v="Northern Sky Books"/>
        <s v="Harbor Gate Press"/>
        <s v="Springfield Publishing"/>
        <s v="Golden Ridge Books"/>
        <s v="Stone Harbor Press"/>
        <s v="Bright Sky Publishing"/>
        <s v="Oakwood Books"/>
        <s v="Riverbend Press"/>
        <s v="Western Trail Publishing"/>
        <s v="Urban Lantern Books"/>
        <s v="Iron Ridge Press"/>
        <s v="Liberty Bridge Publishing"/>
        <s v="Heritage Harbor Books"/>
        <s v="Suncrest Press"/>
        <s v="White Oak Publishing"/>
        <s v="Frontline Books"/>
        <s v="Pinnacle Ridge Press"/>
        <s v="True North Publishing"/>
        <s v="Grand Valley Books"/>
        <s v="Copper Harbor Press"/>
        <s v="New Frontier Publishing"/>
        <s v="Silver Crown Books"/>
        <s v="Lighthouse Ridge Press"/>
        <s v="Blue Summit Publishing"/>
        <s v="Timber Creek Books"/>
        <s v="Crystal Peak Press"/>
        <s v="Westwind Publishing"/>
        <s v="Golden Valley Books"/>
        <s v="Riverlight Press"/>
        <s v="Ironwood Ridge Publishing"/>
        <s v="Northfield Books"/>
        <s v="Cedar Grove Press"/>
        <s v="Brightwater Publishing"/>
        <s v="Old Harbor Books"/>
        <s v="Redwood Ridge Press"/>
        <s v="Skybridge Publishing"/>
        <s v="Aurora Ridge Books"/>
        <s v="Summit Harbor Press"/>
        <s v="Liberty Grove Publishing"/>
        <s v="Grand Summit Books"/>
        <s v="Evergreen Ridge Press"/>
        <s v="Highland Grove Publishing"/>
        <s v="Pioneer Ridge Books"/>
        <s v="Star Harbor Press"/>
        <s v="Silver Valley Publishing"/>
        <s v="North Harbor Books"/>
        <s v="Riverstone Ridge Press"/>
        <s v="Golden Peak Publishing"/>
        <s v="Crown Ridge Books"/>
        <s v="Sunset Ridge Press"/>
        <s v="Blue Horizon Publishing"/>
        <s v="Timber Ridge Books"/>
        <s v="Aurora Harbor Press"/>
        <s v="Crystal Harbor Publishing"/>
        <s v="Beacon Ridge Books"/>
        <s v="Atlas Harbor Press"/>
        <s v="Frontier Ridge Publishing"/>
        <s v="Grand Harbor Books"/>
        <s v="Silver Gate Press"/>
        <s v="Heritage Ridge Publishing"/>
        <s v="Rivergate Publishing"/>
        <s v="Stonepath Books"/>
        <s v="Greenfield Press"/>
        <s v="Silverfield Publishing"/>
        <s v="Northgate Books"/>
        <s v="Harborstone Press"/>
        <s v="Cedarstone Publishing"/>
        <s v="Brightfield Books"/>
        <s v="Oakfield Press"/>
        <s v="Riverfield Publishing"/>
        <s v="Ironfield Books"/>
        <s v="Silverpath Press"/>
        <s v="Northpath Publishing"/>
        <s v="Harborpath Books"/>
        <s v="Cedarpath Press"/>
        <s v="Brightpath Publishing"/>
        <s v="Oakpath Books"/>
        <s v="Riverpath Press"/>
        <s v="Ironpath Publishing"/>
        <s v="Silvercrest Books"/>
        <s v="Northcrest Press"/>
        <s v="Harborcrest Publishing"/>
        <s v="Cedarcrest Books"/>
        <s v="Brightcrest Press"/>
        <s v="Oakcrest Publishing"/>
        <s v="Rivercrest Books"/>
        <s v="Ironcrest Press"/>
        <s v="Silverbrook Publishing"/>
        <s v="Northbrook Books"/>
        <s v="Harborbrook Press"/>
        <s v="Cedarbrook Publishing"/>
        <s v="Brightbrook Books"/>
        <s v="Oakbrook Press"/>
        <s v="Riverbrook Publishing"/>
        <s v="Ironbrook Books"/>
        <s v="Silverstone Press"/>
        <s v="Northstone Publishing"/>
        <s v="Harborstone Books"/>
        <s v="Cedarstone Press"/>
        <s v="Brightstone Publishing"/>
        <s v="Oakstone Books"/>
        <s v="Riverstone Press"/>
        <s v="Ironstone Publishing"/>
        <s v="Silverridge Books"/>
        <s v="Northridge Press"/>
        <s v="Harborridge Publishing"/>
        <s v="Cedarridge Books"/>
        <s v="Brightridge Press"/>
        <s v="Riverridge Books"/>
        <s v="Ironridge Press"/>
        <s v="Silverpeak Publishing"/>
        <s v="Northpeak Books"/>
        <s v="Harborpeak Press"/>
        <s v="Cedarpeak Publishing"/>
        <s v="Brightpeak Books"/>
        <s v="Oakpeak Press"/>
        <s v="Riverpeak Publishing"/>
        <s v="Ironpeak Books"/>
        <s v="Silvertrail Press"/>
        <s v="Northtrail Publishing"/>
        <s v="Harbortrail Books"/>
        <s v="Cedartrail Press"/>
        <s v="Brighttrail Publishing"/>
        <s v="Oaktrail Books"/>
        <s v="Rivertrail Press"/>
        <s v="Irontrail Publishing"/>
        <s v="Silverfield Books"/>
        <s v="Northfield Press"/>
        <s v="Harborfield Publishing"/>
        <s v="Cedarfield Books"/>
        <s v="Brightfield Press"/>
        <s v="Oakfield Publishing"/>
        <s v="Riverfield Books"/>
        <s v="Ironfield Press"/>
        <s v="Silverlane Publishing"/>
        <s v="Northlane Books"/>
        <s v="Harborlane Press"/>
        <s v="Cedarlane Publishing"/>
        <s v="Brightlane Books"/>
        <s v="Oaklane Press"/>
        <s v="Riverlane Publishing"/>
        <s v="Ironlane Books"/>
        <s v="Silverway Press"/>
        <s v="Northway Publishing"/>
        <s v="Harborway Books"/>
        <s v="Cedarway Press"/>
        <s v="Brightway Publishing"/>
        <s v="Oakway Books"/>
        <s v="Riverway Press"/>
        <s v="Ironway Publishing"/>
        <s v="Silverbridge Books"/>
        <s v="Northbridge Press"/>
        <s v="Harborbridge Publishing"/>
        <s v="Cedarbridge Books"/>
        <s v="Brightbridge Press"/>
        <s v="Oakbridge Publishing"/>
        <s v="Riverbridge Books"/>
        <s v="Ironbridge Press"/>
        <s v="Silvergrove Publishing"/>
        <s v="Northgrove Books"/>
        <s v="Harborgrove Press"/>
        <s v="Cedargrove Publishing"/>
        <s v="Brightgrove Books"/>
        <s v="Oakgrove Press"/>
        <s v="Rivergrove Publishing"/>
        <s v="Irongrove Books"/>
        <s v="Silverhill Press"/>
        <s v="Northhill Publishing"/>
        <s v="Harborhill Books"/>
        <s v="Cedarhill Press"/>
        <s v="Brighthill Publishing"/>
        <s v="Oakhill Books"/>
        <s v="Riverhill Press"/>
        <s v="Ironhill Publishing"/>
        <s v="Silverpoint Books"/>
        <s v="Northpoint Press"/>
        <s v="Harborpoint Publishing"/>
        <s v="Cedarpoint Books"/>
        <s v="Brightpoint Press"/>
        <s v="Oakpoint Publishing"/>
        <s v="Riverpoint Books"/>
        <s v="Ironpoint Press"/>
        <s v="Silverlight Publishing"/>
        <s v="Northlight Books"/>
        <s v="Harborlight Press"/>
        <s v="Cedarlight Publishing"/>
        <s v="Brightlight Books"/>
        <s v="Oaklight Press"/>
        <s v="Riverlight Publishing"/>
        <s v="Ironlight Books"/>
        <s v="Silverwind Press"/>
        <s v="Northwind Publishing"/>
        <s v="Harborwind Books"/>
        <s v="Cedarwind Press"/>
        <s v="Brightwind Publishing"/>
        <s v="Oakwind Books"/>
        <s v="Riverwind Press"/>
        <s v="Ironwind Publishing"/>
        <s v="Silvergate Books"/>
        <s v="Northgate Press"/>
        <s v="Harborgate Publishing"/>
        <s v="Cedargate Books"/>
        <s v="Brightgate Press"/>
        <s v="Oakgate Publishing"/>
        <s v="Rivergate Books"/>
        <s v="Irongate Press"/>
        <s v="Silverforge Publishing"/>
        <s v="Northforge Books"/>
        <s v="Harborforge Press"/>
        <s v="Cedarforge Publishing"/>
        <s v="Brightforge Books"/>
        <s v="Oakforge Press"/>
        <s v="Riverforge Publishing"/>
        <s v="Ironforge Books"/>
        <s v="Silvercrest House"/>
        <s v="Northcrest House"/>
        <s v="Harborcrest House"/>
        <s v="Cedarcrest House"/>
        <s v="Brightcrest House"/>
        <s v="Oakcrest House"/>
        <s v="Rivercrest House"/>
        <s v="Ironcrest House"/>
        <s v="Silverline Publishing"/>
        <s v="Northline Books"/>
        <s v="Harborline Press"/>
        <s v="Cedarline Publishing"/>
        <s v="Brightline Books"/>
        <s v="Oakline Press"/>
        <s v="Riverline Publishing"/>
        <s v="Ironline Books"/>
        <s v="Silvermark Press"/>
        <s v="Northmark Publishing"/>
        <s v="Harbormark Books"/>
        <s v="Cedarmark Press"/>
        <s v="Brightmark Publishing"/>
        <s v="Oakmark Books"/>
        <s v="Rivermark Press"/>
        <s v="Ironmark Publishing"/>
        <s v="Silvergate House"/>
        <s v="Northgate House"/>
        <s v="Harborgate House"/>
        <s v="Cedargate House"/>
        <s v="Brightgate House"/>
        <s v="Oakgate House"/>
        <s v="Rivergate House"/>
        <s v="Irongate House"/>
        <s v="Silvertree Press"/>
        <s v="Northtree Publishing"/>
        <s v="Harbortree Books"/>
        <s v="Cedartree Press"/>
        <s v="Brighttree Publishing"/>
        <s v="Oaktree Books"/>
        <s v="Rivertree Press"/>
        <s v="Irontree Publishing"/>
        <s v="Silverstone House"/>
        <s v="Northstone House"/>
        <s v="Harborstone House"/>
        <s v="Cedarstone House"/>
        <s v="Brightstone House"/>
        <s v="Oakstone House"/>
        <s v="Riverstone House"/>
        <s v="Ironstone House"/>
        <s v="Silverhill House"/>
        <s v="Northhill House"/>
        <s v="Harborhill House"/>
        <s v="Cedarhill House"/>
        <s v="Brighthill House"/>
        <s v="Oakhill House"/>
        <s v="Riverhill House"/>
        <s v="Ironhill House"/>
        <s v="Silverpeak House"/>
        <s v="Northpeak House"/>
        <s v="Harborpeak House"/>
        <s v="Cedarpeak House"/>
        <s v="Brightpeak House"/>
        <s v="Oakpeak House"/>
        <s v="Riverpeak House"/>
        <s v="Ironpeak House"/>
        <s v="Silvertrail House"/>
        <s v="Northtrail House"/>
        <s v="Harbortrail House"/>
        <s v="Cedartrail House"/>
        <s v="Brighttrail House"/>
        <s v="Oaktrail House"/>
        <s v="Rivertrail House"/>
        <s v="Irontrail House"/>
        <s v="Silverbrook House"/>
        <s v="Northbrook House"/>
        <s v="Harborbrook House"/>
        <s v="Cedarbrook House"/>
        <s v="Brightbrook House"/>
        <s v="Oakbrook House"/>
        <s v="Riverbrook House"/>
        <s v="Ironbrook House"/>
        <s v="Silverlight House"/>
        <s v="Northlight House"/>
        <s v="Harborlight House"/>
        <s v="Cedarlight House"/>
        <s v="Brightlight House"/>
        <s v="Oaklight House"/>
        <s v="Riverlight House"/>
        <s v="Ironlight House"/>
        <s v="Silverwind House"/>
        <s v="Northwind House"/>
        <s v="Harborwind House"/>
        <s v="Cedarwind House"/>
        <s v="Brightwind House"/>
        <s v="Oakwind House"/>
        <s v="Riverwind House"/>
        <s v="Ironwind House"/>
        <s v="Silverbridge House"/>
        <s v="Northbridge House"/>
        <s v="Harborbridge House"/>
        <s v="Cedarbridge House"/>
        <s v="Brightbridge House"/>
        <s v="Oakbridge House"/>
        <s v="Riverbridge House"/>
        <s v="Ironbridge House"/>
        <s v="Silvergrove House"/>
        <s v="Northgrove House"/>
        <s v="Harborgrove House"/>
        <s v="Cedargrove House"/>
        <s v="Brightgrove House"/>
        <s v="Oakgrove House"/>
        <s v="Rivergrove House"/>
        <s v="Irongrove House"/>
        <s v="Silverpoint House"/>
        <s v="Northpoint House"/>
        <s v="Harborpoint House"/>
        <s v="Cedarpoint House"/>
        <s v="Brightpoint House"/>
        <s v="Oakpoint House"/>
        <s v="Riverpoint House"/>
        <s v="Ironpoint House"/>
        <s v="Silverfield House"/>
        <s v="Northfield House"/>
        <s v="Harborfield House"/>
        <s v="Cedarfield House"/>
        <s v="Brightfield House"/>
        <s v="Oakfield House"/>
        <s v="Riverfield House"/>
        <s v="Ironfield House"/>
        <s v="Silverlane House"/>
        <s v="Northlane House"/>
        <s v="Harborlane House"/>
        <s v="Cedarlane House"/>
        <s v="Brightlane House"/>
        <s v="Oaklane House"/>
        <s v="Riverlane House"/>
        <s v="Ironlane House"/>
        <s v="Silverway House"/>
        <s v="Northway House"/>
        <s v="Harborway House"/>
        <s v="Cedarway House"/>
        <s v="Brightway House"/>
        <s v="Oakway House"/>
        <s v="Riverway House"/>
        <s v="Ironway House"/>
        <s v="Silvermark House"/>
        <s v="Northmark House"/>
        <s v="Harbormark House"/>
        <s v="Cedarmark House"/>
        <s v="Brightmark House"/>
        <s v="Oakmark House"/>
        <s v="Rivermark House"/>
        <s v="Ironmark House"/>
        <s v="Silvertree House"/>
        <s v="Northtree House"/>
        <s v="Harbortree House"/>
        <s v="Cedartree House"/>
        <s v="Brighttree House"/>
        <s v="Oaktree House"/>
        <s v="Rivertree House"/>
        <s v="Irontree House"/>
        <s v="Silverforge House"/>
        <s v="Northforge House"/>
        <s v="Harborforge House"/>
        <s v="Cedarforge House"/>
        <s v="Brightforge House"/>
        <s v="Oakforge House"/>
        <s v="Riverforge House"/>
        <s v="Ironforge House"/>
        <s v="Northpeak Publishing"/>
        <s v="Harborpeak Publishing"/>
        <s v="Brightpeak Publishing"/>
        <s v="Oakpeak Publishing"/>
        <s v="Ironpeak Publishing"/>
        <s v="Silvercrest Publishing"/>
        <s v="Northcrest Publishing"/>
        <s v="Cedarcrest Publishing"/>
        <s v="Brightcrest Publishing"/>
        <s v="Rivercrest Publishing"/>
        <s v="Ironcrest Publishing"/>
        <s v="Silverbrook Publishing House"/>
        <s v="Northbrook Publishing House"/>
        <s v="Harborbrook Publishing House"/>
        <s v="Cedarbrook Publishing House"/>
        <s v="Brightbrook Publishing House"/>
        <s v="Oakbrook Publishing House"/>
        <s v="Riverbrook Publishing House"/>
        <s v="Ironbrook Publishing House"/>
        <s v="Silvergate Publishing House"/>
        <s v="Northgate Publishing House"/>
        <s v="Harborgate Publishing House"/>
        <s v="Cedargate Publishing House"/>
        <s v="Brightgate Publishing House"/>
        <s v="Oakgate Publishing House"/>
        <s v="Rivergate Publishing House"/>
        <s v="Irongate Publishing House"/>
        <s v="Silverwind Publishing House"/>
        <s v="Northwind Publishing House"/>
        <s v="Harborwind Publishing House"/>
        <s v="Cedarwind Publishing House"/>
        <s v="Brightwind Publishing House"/>
        <s v="Oakwind Publishing House"/>
        <s v="Riverwind Publishing House"/>
        <s v="Ironwind Publishing House"/>
        <s v="Silverlight Publishing House"/>
        <s v="Northlight Publishing House"/>
        <s v="Harborlight Publishing House"/>
        <s v="Cedarlight Publishing House"/>
        <s v="Brightlight Publishing House"/>
        <s v="Oaklight Publishing House"/>
        <s v="Riverlight Publishing House"/>
        <s v="Ironlight Publishing House"/>
        <s v="Silverstone Publishing House"/>
        <s v="Northstone Publishing House"/>
        <s v="Harborstone Publishing House"/>
        <s v="Cedarstone Publishing House"/>
        <s v="Brightstone Publishing House"/>
        <s v="Oakstone Publishing House"/>
        <s v="Riverstone Publishing House"/>
        <s v="Ironstone Publishing House"/>
        <s v="Silverbridge Publishing House"/>
        <s v="Northbridge Publishing House"/>
        <s v="Harborbridge Publishing House"/>
        <s v="Cedarbridge Publishing House"/>
        <s v="Brightbridge Publishing House"/>
        <s v="Oakbridge Publishing House"/>
        <s v="Riverbridge Publishing House"/>
        <s v="Ironbridge Publishing House"/>
        <s v="Claytime Books"/>
        <s v="Bulunamadı"/>
      </sharedItems>
    </cacheField>
    <cacheField name="pp_cat">
      <sharedItems containsMixedTypes="1" containsNumber="1">
        <n v="2.16"/>
        <n v="0.93"/>
        <n v="1.07"/>
        <n v="8.9"/>
        <n v="8.84"/>
        <n v="4.89"/>
        <n v="1.94"/>
        <n v="1.77"/>
        <n v="2.88"/>
        <n v="1.83"/>
        <n v="4.04"/>
        <n v="1.5"/>
        <n v="2.65"/>
        <n v="2.04"/>
        <n v="3.23"/>
        <n v="4.72"/>
        <n v="6.05"/>
        <n v="3.86"/>
        <n v="2.31"/>
        <n v="7.35"/>
        <n v="7.02"/>
        <n v="2.69"/>
        <n v="1.89"/>
        <n v="2.39"/>
        <n v="2.93"/>
        <n v="2.02"/>
        <n v="2.66"/>
        <n v="4.35"/>
        <n v="3.33"/>
        <n v="4.12"/>
        <n v="12.34"/>
        <n v="4.2"/>
        <n v="4.05"/>
        <n v="12.24"/>
        <n v="8.54"/>
        <n v="12.08"/>
        <n v="11.06"/>
        <n v="6.52"/>
        <n v="7.19"/>
        <n v="6.25"/>
        <n v="10.64"/>
        <n v="7.29"/>
        <n v="11.11"/>
        <n v="11.53"/>
        <n v="8.85"/>
        <n v="6.99"/>
        <n v="8.8"/>
        <n v="8.45"/>
        <n v="8.46"/>
        <n v="11.73"/>
        <n v="6.76"/>
        <n v="8.75"/>
        <n v="12.18"/>
        <n v="8.81"/>
        <n v="3.05"/>
        <n v="5.24"/>
        <n v="3.53"/>
        <n v="3.72"/>
        <n v="6.35"/>
        <n v="4.3"/>
        <n v="3.55"/>
        <n v="2.33"/>
        <n v="3.0"/>
        <n v="3.02"/>
        <n v="2.63"/>
        <n v="2.13"/>
        <n v="4.21"/>
        <n v="3.5"/>
        <n v="4.41"/>
        <n v="2.29"/>
        <n v="4.19"/>
        <n v="3.99"/>
        <n v="5.27"/>
        <n v="5.32"/>
        <n v="4.74"/>
        <n v="5.05"/>
        <n v="2.95"/>
        <n v="1.92"/>
        <n v="6.07"/>
        <n v="3.58"/>
        <n v="5.07"/>
        <n v="4.47"/>
        <n v="3.36"/>
        <n v="3.16"/>
        <n v="4.55"/>
        <n v="5.48"/>
        <n v="4.66"/>
        <n v="5.21"/>
        <n v="3.3"/>
        <n v="2.49"/>
        <n v="12.97"/>
        <n v="18.29"/>
        <n v="13.46"/>
        <n v="14.78"/>
        <n v="14.14"/>
        <n v="1.2"/>
        <n v="2.86"/>
        <n v="1.44"/>
        <n v="1.56"/>
        <n v="1.05"/>
        <n v="1.4"/>
        <n v="3.46"/>
        <n v="7.2"/>
        <n v="1.21"/>
        <n v="1.6"/>
        <n v="1.54"/>
        <n v="1.61"/>
        <n v="1.38"/>
        <n v="13.99"/>
        <n v="5.01"/>
        <n v="4.79"/>
        <n v="4.64"/>
        <n v="12.79"/>
        <n v="9.72"/>
        <n v="15.19"/>
        <n v="11.94"/>
        <n v="14.68"/>
        <n v="21.78"/>
        <n v="19.88"/>
        <n v="28.77"/>
        <n v="21.97"/>
        <n v="6.41"/>
        <n v="6.98"/>
        <n v="13.25"/>
        <n v="46.56"/>
        <n v="21.92"/>
        <n v="15.81"/>
        <n v="15.97"/>
        <n v="16.07"/>
        <n v="12.76"/>
        <n v="15.18"/>
        <n v="10.67"/>
        <n v="16.14"/>
        <n v="8.74"/>
        <n v="12.35"/>
        <n v="12.37"/>
        <n v="11.15"/>
        <n v="14.24"/>
        <n v="8.01"/>
        <n v="9.35"/>
        <n v="9.6"/>
        <n v="8.08"/>
        <n v="9.28"/>
        <n v="10.29"/>
        <n v="13.47"/>
        <n v="6.09"/>
        <n v="9.63"/>
        <n v="10.53"/>
        <n v="8.31"/>
        <n v="13.55"/>
        <n v="6.43"/>
        <n v="4.92"/>
        <n v="32.73"/>
        <n v="4.9"/>
        <n v="12.15"/>
        <n v="5.19"/>
        <n v="13.87"/>
        <n v="12.67"/>
        <n v="9.03"/>
        <n v="7.96"/>
        <n v="13.32"/>
        <n v="4.84"/>
        <n v="6.88"/>
        <n v="6.2"/>
        <n v="5.8"/>
        <n v="5.78"/>
        <n v="14.08"/>
        <n v="8.17"/>
        <n v="5.13"/>
        <n v="6.71"/>
        <n v="5.9"/>
        <n v="2.46"/>
        <n v="1.15"/>
        <n v="3.09"/>
        <n v="2.06"/>
        <n v="2.0"/>
        <n v="2.35"/>
        <n v="2.01"/>
        <n v="2.64"/>
        <n v="3.01"/>
        <n v="1.98"/>
        <n v="3.25"/>
        <n v="2.84"/>
        <n v="0.45"/>
        <n v="3.21"/>
        <n v="1.73"/>
        <n v="1.29"/>
        <n v="4.23"/>
        <n v="1.9"/>
        <n v="2.48"/>
        <n v="1.97"/>
        <n v="1.87"/>
        <n v="2.1"/>
        <n v="2.11"/>
        <n v="1.34"/>
        <n v="9.47"/>
        <n v="3.26"/>
        <n v="7.39"/>
        <n v="1.8"/>
        <n v="1.95"/>
        <n v="2.62"/>
        <n v="2.08"/>
        <n v="1.55"/>
        <n v="1.18"/>
        <n v="7.75"/>
        <n v="2.4"/>
        <n v="1.71"/>
        <n v="6.81"/>
        <n v="4.53"/>
        <n v="1.53"/>
        <n v="1.59"/>
        <n v="1.26"/>
        <n v="35.48"/>
        <n v="4.18"/>
        <n v="1.65"/>
        <n v="2.03"/>
        <n v="2.36"/>
        <n v="8.73"/>
        <n v="1.88"/>
        <n v="32.34"/>
        <n v="1.22"/>
        <n v="3.69"/>
        <n v="1.66"/>
        <n v="2.18"/>
        <n v="2.21"/>
        <n v="4.52"/>
        <n v="5.57"/>
        <n v="5.31"/>
        <n v="4.7"/>
        <n v="7.98"/>
        <n v="9.12"/>
        <n v="2.47"/>
        <n v="4.36"/>
        <n v="8.92"/>
        <n v="5.81"/>
        <n v="5.67"/>
        <n v="2.12"/>
        <n v="4.6"/>
        <n v="9.34"/>
        <n v="0.75"/>
        <n v="0.66"/>
        <n v="9.44"/>
        <n v="1.24"/>
        <n v="1.03"/>
        <n v="1.68"/>
        <n v="1.36"/>
        <n v="5.42"/>
        <n v="4.85"/>
        <n v="5.98"/>
        <n v="6.8"/>
        <n v="5.47"/>
        <n v="5.43"/>
        <n v="2.26"/>
        <n v="3.67"/>
        <n v="3.45"/>
        <n v="6.12"/>
        <n v="6.33"/>
        <n v="4.03"/>
        <n v="6.19"/>
        <n v="7.77"/>
        <n v="5.56"/>
        <n v="3.17"/>
        <n v="2.85"/>
        <n v="10.34"/>
        <n v="2.71"/>
        <n v="8.51"/>
        <n v="4.33"/>
        <n v="3.43"/>
        <n v="3.13"/>
        <n v="3.85"/>
        <n v="4.57"/>
        <n v="3.04"/>
        <n v="3.82"/>
        <n v="2.5"/>
        <n v="3.9"/>
        <n v="4.86"/>
        <n v="3.61"/>
        <n v="5.61"/>
        <n v="4.25"/>
        <n v="2.82"/>
        <n v="2.77"/>
        <n v="2.92"/>
        <n v="4.29"/>
        <n v="3.71"/>
        <n v="4.97"/>
        <n v="7.56"/>
        <n v="4.1"/>
        <n v="2.37"/>
        <n v="5.84"/>
        <n v="4.76"/>
        <n v="3.34"/>
        <n v="6.89"/>
        <n v="6.9"/>
        <n v="4.61"/>
        <n v="2.74"/>
        <n v="3.62"/>
        <n v="4.24"/>
        <n v="0.94"/>
        <n v="0.99"/>
        <n v="1.99"/>
        <n v="2.38"/>
        <n v="4.38"/>
        <n v="2.7"/>
        <n v="0.88"/>
        <n v="2.45"/>
        <n v="1.48"/>
        <n v="4.43"/>
        <n v="0.68"/>
        <n v="0.72"/>
        <n v="4.22"/>
        <n v="2.15"/>
        <n v="1.91"/>
        <n v="3.68"/>
        <n v="1.27"/>
        <n v="2.9"/>
        <n v="3.29"/>
        <n v="1.85"/>
        <n v="1.3"/>
        <n v="1.43"/>
        <n v="2.51"/>
        <n v="1.78"/>
        <n v="4.96"/>
        <n v="4.07"/>
        <n v="1.57"/>
        <n v="3.06"/>
        <n v="5.3"/>
        <n v="1.67"/>
        <n v="2.75"/>
        <n v="2.67"/>
        <n v="3.56"/>
        <n v="2.58"/>
        <n v="4.81"/>
        <n v="1.14"/>
        <n v="4.56"/>
        <n v="1.82"/>
        <n v="4.14"/>
        <n v="2.76"/>
        <n v="3.64"/>
        <n v="3.38"/>
        <n v="5.02"/>
        <n v="1.52"/>
        <n v="3.27"/>
        <n v="3.31"/>
        <n v="2.87"/>
        <n v="1.39"/>
        <n v="7.06"/>
        <n v="2.6"/>
        <n v="2.23"/>
        <n v="2.28"/>
        <n v="3.73"/>
        <n v="3.15"/>
        <n v="3.84"/>
        <n v="4.15"/>
        <n v="1.74"/>
        <n v="2.97"/>
        <n v="5.2"/>
        <n v="1.37"/>
        <n v="2.57"/>
        <n v="5.73"/>
        <n v="2.05"/>
        <n v="2.34"/>
        <n v="4.48"/>
        <n v="6.28"/>
        <n v="2.81"/>
        <n v="2.25"/>
        <n v="5.25"/>
        <n v="3.32"/>
        <n v="3.7"/>
        <n v="1.1"/>
        <n v="3.49"/>
        <n v="9.53"/>
        <n v="11.77"/>
        <n v="11.6"/>
        <n v="12.19"/>
        <n v="2.61"/>
        <n v="2.17"/>
        <n v="1.17"/>
        <n v="2.2"/>
        <n v="4.27"/>
        <n v="15.91"/>
        <n v="15.95"/>
        <n v="15.63"/>
        <n v="15.67"/>
        <n v="16.7"/>
        <n v="16.87"/>
        <n v="20.38"/>
        <n v="22.9"/>
        <n v="16.98"/>
        <n v="18.7"/>
        <n v="2.24"/>
        <n v="1.13"/>
        <n v="1.62"/>
        <n v="1.33"/>
        <n v="1.81"/>
        <n v="1.63"/>
        <n v="48.01"/>
        <n v="1.75"/>
        <n v="1.19"/>
        <n v="1.51"/>
        <n v="8.34"/>
        <n v="8.28"/>
        <n v="10.04"/>
        <n v="2.41"/>
        <n v="2.32"/>
        <n v="3.79"/>
        <n v="1.42"/>
        <n v="7.63"/>
        <n v="11.55"/>
        <n v="7.67"/>
        <n v="1.84"/>
        <n v="1.86"/>
        <n v="8.03"/>
        <n v="7.65"/>
        <n v="9.39"/>
        <n v="48.23"/>
        <n v="3.78"/>
        <n v="2.3"/>
        <n v="4.02"/>
        <n v="7.08"/>
        <n v="10.35"/>
        <n v="9.89"/>
        <n v="7.48"/>
        <n v="0.95"/>
        <n v="5.55"/>
        <n v="7.32"/>
        <n v="7.93"/>
        <n v="0.53"/>
        <n v="2.56"/>
        <n v="1.23"/>
        <n v="7.03"/>
        <n v="2.73"/>
        <n v="5.1"/>
        <n v="3.92"/>
        <n v="8.18"/>
        <n v="3.75"/>
        <n v="2.54"/>
        <n v="27.41"/>
        <n v="3.14"/>
        <n v="1.58"/>
        <n v="8.94"/>
        <n v="11.54"/>
        <n v="6.82"/>
        <n v="3.03"/>
        <n v="6.51"/>
        <n v="3.91"/>
        <n v="16.62"/>
        <n v="5.29"/>
        <n v="2.43"/>
        <n v="2.53"/>
        <n v="4.37"/>
        <n v="2.72"/>
        <n v="2.22"/>
        <n v="3.87"/>
        <n v="3.66"/>
        <n v="4.0"/>
        <n v="3.51"/>
        <n v="3.07"/>
        <n v="3.35"/>
        <n v="2.44"/>
        <n v="5.59"/>
        <n v="6.74"/>
        <n v="5.79"/>
        <n v="2.07"/>
        <n v="8.61"/>
        <n v="7.47"/>
        <n v="9.46"/>
        <n v="0.74"/>
        <n v="5.89"/>
        <n v="6.49"/>
        <n v="2.78"/>
        <n v="2.09"/>
        <n v="5.4"/>
        <n v="3.28"/>
        <n v="3.63"/>
        <n v="2.52"/>
        <n v="3.48"/>
        <n v="2.99"/>
        <n v="3.76"/>
        <n v="18.34"/>
        <n v="5.82"/>
        <n v="7.42"/>
        <n v="3.08"/>
        <n v="0.97"/>
        <n v="1.32"/>
        <n v="1.06"/>
        <n v="6.13"/>
        <n v="0.96"/>
        <n v="2.42"/>
        <n v="6.64"/>
        <n v="4.82"/>
        <n v="5.72"/>
        <n v="1.28"/>
        <n v="5.83"/>
        <n v="6.16"/>
        <n v="1.69"/>
        <n v="15.64"/>
        <n v="3.19"/>
        <n v="10.96"/>
        <n v="2.89"/>
        <n v="4.32"/>
        <n v="0.81"/>
        <n v="9.85"/>
        <n v="1.25"/>
        <n v="0.86"/>
        <n v="1.41"/>
        <n v="0.57"/>
        <n v="2.14"/>
        <n v="4.17"/>
        <n v="0.55"/>
        <n v="4.06"/>
        <n v="5.0"/>
        <n v="7.33"/>
        <n v="4.54"/>
        <n v="1.11"/>
        <n v="0.7"/>
        <n v="5.58"/>
        <n v="1.09"/>
        <n v="6.18"/>
        <n v="1.49"/>
        <n v="3.65"/>
        <n v="1.64"/>
        <n v="6.17"/>
        <n v="14.29"/>
        <n v="10.62"/>
        <n v="0.87"/>
        <n v="5.16"/>
        <n v="12.33"/>
        <n v="4.63"/>
        <n v="4.28"/>
        <n v="9.11"/>
        <n v="3.88"/>
        <n v="13.77"/>
        <n v="9.49"/>
        <n v="7.37"/>
        <n v="6.67"/>
        <n v="11.28"/>
        <n v="13.23"/>
        <n v="5.18"/>
        <n v="8.04"/>
        <n v="6.53"/>
        <n v="5.23"/>
        <n v="11.47"/>
        <n v="5.6"/>
        <n v="2.79"/>
        <n v="3.44"/>
        <n v="3.18"/>
        <n v="10.75"/>
        <n v="5.97"/>
        <n v="8.48"/>
        <n v="8.98"/>
        <n v="4.46"/>
        <n v="10.09"/>
        <n v="10.89"/>
        <n v="5.26"/>
        <n v="4.13"/>
        <n v="4.34"/>
        <n v="6.56"/>
        <n v="3.81"/>
        <n v="12.91"/>
        <n v="10.12"/>
        <n v="7.4"/>
        <n v="1.7"/>
        <n v="1.96"/>
        <n v="4.65"/>
        <n v="1.76"/>
        <n v="14.48"/>
        <n v="3.1"/>
        <n v="13.28"/>
        <n v="2.94"/>
        <n v="4.94"/>
        <n v="2.27"/>
        <n v="2.8"/>
        <n v="11.24"/>
        <n v="5.08"/>
        <n v="1.46"/>
        <n v="10.81"/>
        <n v="5.15"/>
        <n v="3.42"/>
        <n v="5.7"/>
        <n v="5.95"/>
        <n v="3.54"/>
        <n v="11.83"/>
        <n v="4.16"/>
        <n v="4.51"/>
        <n v="10.17"/>
        <n v="13.26"/>
        <n v="11.82"/>
        <n v="12.22"/>
        <n v="16.95"/>
        <n v="12.87"/>
        <n v="7.13"/>
        <n v="6.55"/>
        <n v="5.34"/>
        <n v="11.35"/>
        <n v="10.65"/>
        <n v="7.11"/>
        <n v="5.63"/>
        <n v="7.71"/>
        <n v="3.47"/>
        <n v="7.38"/>
        <n v="15.23"/>
        <n v="5.06"/>
        <n v="9.74"/>
        <n v="4.78"/>
        <n v="6.46"/>
        <n v="6.73"/>
        <n v="4.75"/>
        <n v="4.71"/>
        <n v="4.88"/>
        <n v="9.86"/>
        <n v="8.5"/>
        <n v="14.82"/>
        <n v="5.11"/>
        <n v="8.57"/>
        <n v="2.91"/>
        <n v="3.89"/>
        <n v="6.45"/>
        <n v="1.02"/>
        <n v="0.92"/>
        <n v="0.98"/>
        <n v="1.79"/>
        <n v="1.35"/>
        <n v="0.77"/>
        <n v="1.01"/>
        <n v="0.58"/>
        <n v="2.19"/>
        <n v="0.71"/>
        <n v="1.16"/>
        <n v="1.0"/>
        <n v="8.72"/>
        <n v="0.63"/>
        <n v="3.24"/>
        <n v="3.98"/>
        <n v="1.72"/>
        <n v="0.73"/>
        <n v="9.91"/>
        <n v="0.84"/>
        <n v="1.12"/>
        <n v="0.9"/>
        <n v="0.89"/>
        <n v="1.31"/>
        <n v="4.11"/>
        <n v="3.4"/>
        <n v="7.49"/>
        <n v="5.37"/>
        <n v="6.3"/>
        <n v="11.43"/>
        <n v="19.3"/>
        <n v="18.23"/>
        <n v="5.64"/>
        <n v="6.97"/>
        <n v="5.38"/>
        <n v="7.51"/>
        <n v="5.51"/>
        <n v="12.64"/>
        <n v="1.04"/>
        <n v="8.13"/>
        <n v="4.83"/>
        <n v="11.04"/>
        <n v="8.91"/>
        <n v="5.14"/>
        <n v="7.43"/>
        <n v="4.08"/>
        <n v="4.67"/>
        <n v="5.28"/>
        <n v="6.57"/>
        <n v="8.95"/>
        <n v="5.04"/>
        <n v="23.37"/>
        <n v="5.44"/>
        <n v="19.07"/>
        <n v="10.85"/>
        <n v="4.39"/>
        <n v="2.55"/>
        <n v="3.77"/>
        <n v="5.33"/>
        <n v="3.6"/>
        <n v="1.93"/>
        <n v="4.44"/>
        <n v="8.15"/>
        <n v="3.39"/>
        <n v="2.68"/>
        <n v="5.74"/>
        <n v="17.17"/>
        <n v="13.9"/>
        <n v="5.69"/>
        <n v="3.37"/>
        <n v="6.22"/>
        <n v="17.31"/>
        <n v="4.59"/>
        <n v="22.95"/>
        <n v="29.92"/>
        <n v="15.02"/>
        <n v="4.91"/>
        <n v="3.57"/>
        <n v="5.65"/>
        <n v="8.22"/>
        <n v="4.26"/>
        <n v="6.59"/>
        <n v="6.93"/>
        <n v="3.2"/>
        <n v="8.58"/>
        <n v="7.8"/>
        <n v="6.62"/>
        <n v="8.05"/>
        <n v="6.96"/>
        <n v="11.23"/>
        <n v="11.41"/>
        <n v="3.93"/>
        <n v="9.23"/>
        <n v="5.45"/>
        <n v="9.14"/>
        <n v="3.11"/>
        <n v="2.83"/>
        <n v="1.45"/>
        <n v="6.24"/>
        <n v="12.32"/>
        <n v="12.6"/>
        <n v="9.18"/>
        <n v="5.52"/>
        <n v="14.99"/>
        <n v="10.11"/>
        <n v="15.13"/>
        <n v="10.14"/>
        <n v="0.47"/>
        <n v="8.78"/>
        <n v="4.58"/>
        <n v="13.33"/>
        <n v="17.97"/>
        <n v="8.0"/>
        <n v="7.46"/>
        <n v="7.59"/>
        <n v="7.25"/>
        <n v="3.12"/>
        <n v="6.34"/>
        <n v="13.39"/>
        <n v="16.15"/>
        <n v="15.29"/>
        <n v="7.15"/>
        <n v="16.22"/>
        <n v="16.85"/>
        <n v="15.33"/>
        <n v="7.21"/>
        <n v="10.02"/>
        <n v="12.92"/>
        <n v="14.2"/>
        <n v="9.8"/>
        <n v="8.67"/>
        <n v="0.49"/>
        <n v="2.59"/>
        <n v="6.54"/>
        <n v="6.02"/>
        <n v="5.94"/>
        <n v="3.94"/>
        <n v="12.51"/>
        <n v="4.01"/>
        <n v="3.41"/>
        <n v="9.61"/>
        <n v="20.33"/>
        <n v="28.87"/>
        <n v="12.36"/>
        <n v="0.48"/>
        <n v="0.42"/>
        <n v="9.24"/>
        <n v="10.87"/>
        <n v="7.26"/>
        <n v="15.84"/>
        <n v="9.51"/>
        <n v="0.91"/>
        <n v="0.62"/>
        <n v="0.61"/>
        <n v="25.17"/>
        <n v="10.24"/>
        <n v="3.83"/>
        <n v="2.96"/>
        <n v="4.8"/>
        <n v="6.03"/>
        <n v="5.99"/>
        <n v="4.77"/>
        <n v="11.56"/>
        <n v="6.27"/>
        <n v="6.01"/>
        <n v="6.23"/>
        <n v="11.84"/>
        <n v="7.6"/>
        <n v="6.78"/>
        <n v="3.95"/>
        <n v="7.36"/>
        <n v="4.69"/>
        <n v="4.42"/>
        <n v="5.91"/>
        <n v="6.87"/>
        <n v="7.09"/>
        <n v="4.99"/>
        <n v="3.97"/>
        <n v="7.64"/>
        <n v="5.49"/>
        <n v="6.0"/>
        <n v="1.47"/>
        <n v="3.52"/>
        <n v="3.22"/>
        <n v="0.69"/>
        <n v="0.85"/>
        <n v="23.63"/>
        <n v="6.77"/>
        <n v="11.3"/>
        <n v="5.86"/>
        <n v="5.17"/>
        <n v="23.34"/>
        <n v="6.26"/>
        <n v="6.08"/>
        <n v="21.57"/>
        <n v="6.47"/>
        <n v="24.29"/>
        <n v="6.58"/>
        <n v="6.06"/>
        <n v="6.68"/>
        <n v="6.42"/>
        <n v="18.25"/>
        <n v="5.12"/>
        <n v="21.88"/>
        <n v="7.27"/>
        <n v="6.75"/>
        <n v="6.1"/>
        <n v="4.45"/>
        <n v="10.84"/>
        <n v="15.16"/>
        <n v="6.83"/>
        <n v="8.66"/>
        <n v="42.45"/>
        <n v="11.52"/>
        <n v="12.29"/>
        <n v="11.17"/>
        <n v="7.61"/>
        <n v="12.75"/>
        <n v="18.19"/>
        <n v="11.2"/>
        <n v="12.54"/>
        <n v="5.93"/>
        <n v="9.71"/>
        <n v="6.72"/>
        <n v="9.32"/>
        <n v="6.31"/>
        <n v="9.78"/>
        <n v="5.54"/>
        <n v="13.75"/>
        <n v="7.3"/>
        <n v="15.42"/>
        <n v="6.21"/>
        <n v="8.2"/>
        <n v="5.87"/>
        <n v="214.5"/>
        <n v="31.32"/>
        <n v="11.61"/>
        <n v="6.37"/>
        <n v="9.41"/>
        <n v="3.8"/>
        <n v="5.5"/>
        <n v="14.89"/>
        <n v="3.96"/>
        <n v="10.0"/>
        <n v="6.11"/>
        <n v="13.83"/>
        <n v="7.52"/>
        <n v="13.17"/>
        <n v="7.91"/>
        <n v="7.82"/>
        <n v="12.27"/>
        <n v="14.94"/>
        <n v="11.97"/>
        <n v="12.57"/>
        <n v="15.5"/>
        <n v="19.41"/>
        <n v="11.25"/>
        <n v="12.21"/>
        <n v="8.11"/>
        <n v="25.94"/>
        <n v="12.84"/>
        <n v="18.24"/>
        <n v="8.64"/>
        <n v="12.42"/>
        <n v="8.89"/>
        <n v="13.0"/>
        <n v="12.88"/>
        <n v="22.33"/>
        <n v="8.02"/>
        <n v="20.31"/>
        <n v="7.05"/>
        <n v="9.19"/>
        <n v="5.88"/>
        <n v="8.55"/>
        <n v="10.82"/>
        <n v="10.47"/>
        <n v="7.88"/>
        <n v="6.66"/>
        <n v="12.65"/>
        <n v="20.37"/>
        <n v="26.88"/>
        <n v="4.31"/>
        <n v="1.08"/>
        <n v="6.86"/>
        <n v="8.43"/>
        <n v="4.68"/>
        <n v="0.44"/>
        <n v="4.73"/>
        <n v="0.76"/>
        <n v="0.52"/>
        <n v="10.3"/>
        <n v="0.59"/>
        <n v="0.82"/>
        <n v="0.54"/>
        <n v="0.5"/>
        <n v="7.24"/>
        <n v="22.1"/>
        <n v="62.95"/>
        <n v="28.88"/>
        <n v="6.32"/>
        <n v="7.23"/>
        <n v="5.39"/>
        <n v="7.76"/>
        <n v="5.75"/>
        <n v="10.72"/>
        <n v="11.66"/>
        <n v="12.73"/>
        <n v="7.92"/>
        <n v="12.38"/>
        <n v="10.74"/>
        <n v="3.74"/>
        <n v="5.35"/>
        <n v="11.19"/>
        <n v="8.87"/>
        <n v="4.49"/>
        <n v="9.36"/>
        <n v="4.93"/>
        <n v="9.87"/>
        <n v="7.07"/>
        <n v="4.09"/>
        <n v="7.12"/>
        <n v="9.68"/>
        <n v="6.04"/>
        <n v="9.01"/>
        <n v="9.29"/>
        <n v="5.76"/>
        <n v="7.16"/>
        <n v="4.95"/>
        <n v="9.76"/>
        <n v="7.95"/>
        <n v="5.96"/>
        <n v="2.98"/>
        <n v="9.22"/>
        <n v="6.38"/>
        <n v="5.92"/>
        <n v="5.66"/>
        <n v="5.85"/>
        <n v="6.5"/>
        <n v="8.83"/>
        <n v="5.68"/>
        <n v="8.47"/>
        <n v="7.44"/>
        <n v="6.61"/>
        <n v="5.22"/>
        <n v="4.62"/>
        <n v="5.36"/>
        <n v="6.39"/>
        <n v="19.99"/>
        <n v="9.4"/>
        <n v="3.59"/>
        <n v="7.0"/>
        <n v="9.38"/>
        <n v="9.42"/>
        <n v="0.32"/>
        <n v="0.41"/>
        <n v="0.8"/>
        <n v="10.13"/>
        <n v="10.31"/>
        <n v="9.81"/>
        <n v="10.93"/>
        <n v="13.38"/>
        <n v="0.83"/>
        <n v="12.82"/>
        <n v="10.77"/>
        <n v="0.46"/>
        <n v="7.34"/>
        <n v="8.21"/>
        <n v="7.74"/>
        <n v="5.03"/>
        <n v="6.69"/>
        <n v="13.01"/>
        <n v="13.06"/>
        <n v="13.76"/>
        <n v="14.51"/>
        <n v="16.54"/>
        <n v="8.76"/>
        <n v="11.58"/>
        <n v="11.71"/>
        <n v="14.36"/>
        <n v="14.53"/>
        <n v="13.54"/>
        <n v="17.57"/>
        <n v="16.53"/>
        <n v="16.52"/>
        <n v="13.74"/>
        <n v="13.88"/>
        <n v="9.73"/>
        <n v="15.15"/>
        <n v="14.49"/>
        <n v="11.37"/>
        <n v="11.96"/>
        <n v="10.37"/>
        <n v="7.7"/>
        <n v="12.12"/>
        <n v="7.18"/>
        <n v="11.45"/>
        <n v="42.91"/>
        <n v="55.58"/>
        <n v="56.8"/>
        <n v="10.83"/>
        <n v="9.21"/>
        <n v="7.41"/>
        <n v="33.79"/>
        <n v="17.41"/>
        <n v="18.55"/>
        <n v="23.55"/>
        <n v="11.01"/>
        <n v="13.16"/>
        <n v="21.7"/>
        <n v="15.4"/>
        <n v="11.34"/>
        <n v="12.26"/>
        <n v="15.58"/>
        <n v="14.37"/>
        <n v="8.26"/>
        <n v="8.41"/>
        <n v="26.53"/>
        <n v="11.49"/>
        <n v="11.59"/>
        <n v="24.6"/>
        <n v="24.46"/>
        <n v="30.61"/>
        <n v="15.43"/>
        <n v="13.51"/>
        <n v="11.44"/>
        <n v="18.49"/>
        <n v="21.59"/>
        <n v="13.14"/>
        <n v="9.04"/>
        <n v="17.9"/>
        <n v="18.17"/>
        <n v="13.67"/>
        <n v="45.25"/>
        <n v="5.53"/>
        <n v="6.48"/>
        <n v="9.95"/>
        <n v="14.22"/>
        <n v="20.63"/>
        <n v="50.75"/>
        <n v="14.93"/>
        <n v="9.27"/>
        <n v="7.69"/>
        <n v="6.7"/>
        <n v="7.04"/>
        <n v="7.97"/>
        <n v="11.86"/>
        <n v="12.43"/>
        <n v="12.44"/>
        <n v="12.39"/>
        <n v="5.46"/>
        <n v="12.45"/>
        <n v="12.0"/>
        <n v="11.42"/>
        <n v="12.3"/>
        <n v="8.44"/>
        <n v="12.02"/>
        <n v="16.94"/>
        <n v="12.2"/>
        <n v="11.93"/>
        <n v="10.92"/>
        <n v="7.85"/>
        <n v="8.37"/>
        <n v="7.78"/>
        <n v="19.32"/>
        <n v="7.86"/>
        <n v="12.01"/>
        <n v="0.79"/>
        <n v="0.33"/>
        <n v="8.49"/>
        <n v="6.84"/>
        <n v="7.14"/>
        <n v="10.06"/>
        <n v="10.48"/>
        <n v="12.86"/>
        <n v="7.22"/>
        <n v="20.32"/>
        <n v="32.62"/>
        <n v="45.26"/>
        <n v="32.59"/>
        <n v="7.66"/>
        <n v="11.7"/>
        <n v="16.81"/>
        <n v="7.73"/>
        <n v="4.5"/>
        <n v="7.94"/>
        <n v="7.01"/>
        <n v="8.12"/>
        <n v="13.72"/>
        <n v="8.23"/>
        <n v="11.67"/>
        <n v="10.45"/>
        <n v="10.55"/>
        <n v="9.69"/>
        <n v="12.63"/>
        <n v="12.58"/>
        <n v="8.09"/>
        <n v="12.25"/>
        <n v="12.06"/>
        <n v="10.28"/>
        <n v="13.7"/>
        <n v="11.92"/>
        <n v="10.15"/>
        <n v="9.45"/>
        <n v="7.9"/>
        <n v="12.95"/>
        <n v="17.33"/>
        <n v="10.4"/>
        <n v="8.07"/>
        <n v="4.4"/>
        <n v="6.29"/>
        <n v="0.65"/>
        <n v="16.16"/>
        <n v="6.85"/>
        <n v="14.74"/>
        <n v="6.14"/>
        <n v="5.41"/>
        <n v="11.99"/>
        <n v="13.49"/>
        <n v="9.5"/>
        <n v="11.91"/>
        <n v="12.93"/>
        <n v="16.3"/>
        <n v="10.63"/>
        <n v="5.71"/>
        <n v="5.09"/>
        <n v="13.71"/>
        <n v="0.6"/>
        <n v="0.78"/>
        <n v="34.67"/>
        <n v="28.45"/>
        <n v="35.02"/>
        <n v="9.79"/>
        <n v="0.56"/>
        <n v="23.13"/>
        <n v="23.06"/>
        <n v="23.18"/>
        <n v="30.75"/>
        <n v="10.9"/>
        <n v="48.6"/>
        <n v="8.7"/>
        <n v="8.29"/>
        <n v="0.51"/>
        <n v="0.36"/>
        <n v="23.41"/>
        <n v="0.34"/>
        <n v="0.64"/>
        <n v="43.88"/>
        <n v="8.1"/>
        <n v="8.06"/>
        <n v="29.07"/>
        <n v="152.75"/>
        <n v="9.94"/>
        <n v="7.54"/>
        <n v="22.39"/>
        <n v="19.54"/>
        <n v="38.75"/>
        <n v="12.5"/>
        <n v="7.55"/>
        <n v="7.1"/>
        <n v="20.12"/>
        <n v="9.43"/>
        <n v="13.5"/>
        <n v="7.5"/>
        <n v="12.56"/>
        <n v="7.83"/>
        <n v="6.6"/>
        <n v="8.38"/>
        <n v="17.88"/>
        <n v="12.52"/>
        <n v="13.18"/>
        <n v="22.18"/>
        <n v="11.05"/>
        <n v="12.8"/>
        <n v="17.38"/>
        <n v="9.93"/>
        <n v="15.78"/>
        <n v="28.98"/>
        <n v="13.62"/>
        <n v="13.35"/>
        <n v="11.8"/>
        <n v="5.62"/>
        <n v="8.19"/>
        <n v="23.43"/>
        <n v="11.29"/>
        <n v="38.63"/>
        <n v="53.06"/>
        <n v="13.57"/>
        <n v="13.42"/>
        <n v="10.54"/>
        <n v="13.21"/>
        <n v="10.71"/>
        <n v="14.38"/>
        <n v="23.49"/>
        <n v="12.55"/>
        <n v="16.67"/>
        <n v="11.31"/>
        <n v="15.17"/>
        <n v="19.93"/>
        <n v="10.23"/>
        <n v="7.89"/>
        <n v="9.97"/>
        <n v="11.02"/>
        <n v="7.87"/>
        <n v="16.04"/>
        <n v="25.74"/>
        <n v="15.71"/>
        <n v="10.19"/>
        <n v="10.2"/>
        <n v="7.62"/>
        <n v="7.72"/>
        <n v="8.33"/>
        <n v="20.05"/>
        <n v="9.3"/>
        <n v="10.66"/>
        <n v="18.48"/>
        <n v="31.91"/>
        <n v="9.7"/>
        <n v="27.4"/>
        <n v="10.05"/>
        <n v="11.18"/>
        <n v="7.81"/>
        <n v="17.16"/>
        <n v="7.57"/>
        <n v="4.98"/>
        <n v="46.67"/>
        <n v="47.34"/>
        <n v="10.73"/>
        <n v="25.87"/>
        <n v="17.56"/>
        <n v="25.43"/>
        <n v="15.12"/>
        <n v="23.1"/>
        <n v="26.78"/>
        <n v="13.96"/>
        <n v="19.43"/>
        <n v="11.51"/>
        <n v="10.22"/>
        <n v="18.74"/>
        <n v="8.52"/>
        <n v="8.86"/>
        <n v="9.31"/>
        <n v="10.59"/>
        <n v="19.76"/>
        <n v="8.68"/>
        <n v="9.15"/>
        <n v="8.99"/>
        <n v="13.68"/>
        <n v="20.99"/>
        <n v="18.88"/>
        <n v="20.84"/>
        <n v="20.78"/>
        <n v="19.95"/>
        <n v="20.62"/>
        <n v="18.57"/>
        <n v="20.73"/>
        <s v="Bulunamadı"/>
      </sharedItems>
    </cacheField>
    <cacheField name="product_name" numFmtId="0">
      <sharedItems>
        <s v="112463 - Fiction - Literary Fiction"/>
        <s v="112481 - Fiction - Literary Fiction"/>
        <s v="13346 - Fiction - Literary Fiction"/>
        <s v="112454 - Fiction - Literary Fiction"/>
        <s v="112461 - Fiction - Literary Fiction"/>
        <s v="106532 - Fiction - Literary Fiction"/>
        <s v="121135 - Fiction - Literary Fiction"/>
        <s v="128362 - History - Mystery"/>
        <s v="71200 - History - Mystery"/>
        <s v="19812 - History - Mystery"/>
        <s v="122259 - History - Mystery"/>
        <s v="199526 - History - Mystery"/>
        <s v="140581 - History - Mystery"/>
        <s v="118383 - History - Mystery"/>
        <s v="122262 - History - Mystery"/>
        <s v="141879 - History - Mystery"/>
        <s v="19826 - History - Thriller"/>
        <s v="93039 - History - Thriller"/>
        <s v="128213 - History - Thriller"/>
        <s v="83797 - History - Thriller"/>
        <s v="19831 - History - Thriller"/>
        <s v="93025 - History - Thriller"/>
        <s v="81624 - History - Thriller"/>
        <s v="92913 - History - Thriller"/>
        <s v="126983 - History - Thriller"/>
        <s v="118226 - History - Thriller"/>
        <s v="48618 - History - Thriller"/>
        <s v="93037 - History - Thriller"/>
        <s v="126984 - History - Thriller"/>
        <s v="47393 - History - Thriller"/>
        <s v="128214 - History - Thriller"/>
        <s v="83802 - History - Thriller"/>
        <s v="48625 - History - Thriller"/>
        <s v="83602 - History - Thriller"/>
        <s v="98867 - History - Thriller"/>
        <s v="127042 - History - Thriller"/>
        <s v="127241 - History - Thriller"/>
        <s v="118220 - History - Thriller"/>
        <s v="128216 - History - Thriller"/>
        <s v="93049 - History - Thriller"/>
        <s v="118216 - History - Thriller"/>
        <s v="118221 - History - Thriller"/>
        <s v="92900 - History - Thriller"/>
        <s v="118215 - History - Thriller"/>
        <s v="19832 - History - Thriller"/>
        <s v="93071 - History - Thriller"/>
        <s v="122395 - History - Thriller"/>
        <s v="116946 - History - Thriller"/>
        <s v="97538 - History - Thriller"/>
        <s v="127238 - History - Thriller"/>
        <s v="81646 - History - Thriller"/>
        <s v="81643 - History - Thriller"/>
        <s v="128215 - History - Thriller"/>
        <s v="108022 - History - Thriller"/>
        <s v="81647 - History - Thriller"/>
        <s v="83603 - History - Thriller"/>
        <s v="118219 - History - Thriller"/>
        <s v="120952 - History - Thriller"/>
        <s v="81658 - History - Thriller"/>
        <s v="93047 - History - Thriller"/>
        <s v="83807 - History - Thriller"/>
        <s v="92915 - History - Thriller"/>
        <s v="81653 - History - Thriller"/>
        <s v="81618 - History - Thriller"/>
        <s v="118241 - History - Thriller"/>
        <s v="48634 - History - Thriller"/>
        <s v="48636 - History - Thriller"/>
        <s v="48629 - History - Thriller"/>
        <s v="47400 - History - Thriller"/>
        <s v="111237 - History - Thriller"/>
        <s v="18042 - History - Thriller"/>
        <s v="114978 - History - Thriller"/>
        <s v="82980 - History - Thriller"/>
        <s v="83093 - History - Thriller"/>
        <s v="18134 - History - Thriller"/>
        <s v="107857 - History - Thriller"/>
        <s v="18136 - History - Thriller"/>
        <s v="69138 - History - Thriller"/>
        <s v="74828 - History - Thriller"/>
        <s v="74884 - History - Thriller"/>
        <s v="127232 - History - Thriller"/>
        <s v="82979 - History - Thriller"/>
        <s v="18138 - History - Thriller"/>
        <s v="127003 - History - Thriller"/>
        <s v="6036 - History - Crime"/>
        <s v="6046 - History - Crime"/>
        <s v="6037 - History - Crime"/>
        <s v="6026 - History - Crime"/>
        <s v="47431 - History - Crime"/>
        <s v="82914 - History - Crime"/>
        <s v="6044 - History - Crime"/>
        <s v="82913 - History - Crime"/>
        <s v="82922 - History - Crime"/>
        <s v="6045 - History - Crime"/>
        <s v="6027 - History - Crime"/>
        <s v="97088 - History - Fantasy"/>
        <s v="122235 - History - Fantasy"/>
        <s v="119887 - History - Fantasy"/>
        <s v="97980 - History - Fantasy"/>
        <s v="119876 - History - Fantasy"/>
        <s v="119881 - History - Fantasy"/>
        <s v="26127 - History - Epic Fantasy"/>
        <s v="87365 - History - Epic Fantasy"/>
        <s v="87381 - History - Epic Fantasy"/>
        <s v="122828 - History - Epic Fantasy"/>
        <s v="73841 - History - Epic Fantasy"/>
        <s v="73838 - History - Epic Fantasy"/>
        <s v="87372 - History - Epic Fantasy"/>
        <s v="87383 - History - Epic Fantasy"/>
        <s v="49068 - History - Epic Fantasy"/>
        <s v="26130 - History - Epic Fantasy"/>
        <s v="111493 - History - Epic Fantasy"/>
        <s v="98395 - History - Epic Fantasy"/>
        <s v="98396 - History - Epic Fantasy"/>
        <s v="98394 - History - Epic Fantasy"/>
        <s v="98397 - History - Epic Fantasy"/>
        <s v="111489 - History - Epic Fantasy"/>
        <s v="98393 - History - Epic Fantasy"/>
        <s v="10933 - Self-Help - Urban Fantasy"/>
        <s v="111994 - Self-Help - Urban Fantasy"/>
        <s v="101637 - Self-Help - Urban Fantasy"/>
        <s v="111996 - Self-Help - Urban Fantasy"/>
        <s v="120886 - Fiction - Science Fiction"/>
        <s v="85058 - Fiction - Science Fiction"/>
        <s v="27380 - Fiction - Dystopian"/>
        <s v="117204 - Fiction - Dystopian"/>
        <s v="45484 - Fiction - Dystopian"/>
        <s v="27382 - Fiction - Dystopian"/>
        <s v="45491 - Fiction - Dystopian"/>
        <s v="11631 - Fiction - Dystopian"/>
        <s v="11630 - Fiction - Dystopian"/>
        <s v="11634 - Fiction - Dystopian"/>
        <s v="11635 - Fiction - Dystopian"/>
        <s v="114776 - Fiction - Dystopian"/>
        <s v="76762 - Fiction - Dystopian"/>
        <s v="181194 - Self-Help - Adventure"/>
        <s v="164637 - Self-Help - Adventure"/>
        <s v="164636 - Self-Help - Adventure"/>
        <s v="164639 - Self-Help - Adventure"/>
        <s v="85251 - Self-Help - Adventure"/>
        <s v="113532 - Self-Help - Adventure"/>
        <s v="82501 - Self-Help - Adventure"/>
        <s v="121287 - Self-Help - Adventure"/>
        <s v="113559 - Self-Help - Adventure"/>
        <s v="85252 - Self-Help - Adventure"/>
        <s v="82507 - Self-Help - Adventure"/>
        <s v="109625 - Self-Help - Adventure"/>
        <s v="110864 - Self-Help - Adventure"/>
        <s v="138916 - Self-Help - Adventure"/>
        <s v="121076 - Self-Help - Adventure"/>
        <s v="121077 - Self-Help - Adventure"/>
        <s v="116631 - Self-Help - Adventure"/>
        <s v="147263 - Self-Help - Adventure"/>
        <s v="108763 - Self-Help - Adventure"/>
        <s v="116593 - Self-Help - Adventure"/>
        <s v="116613 - Self-Help - Adventure"/>
        <s v="102476 - Self-Help - Adventure"/>
        <s v="190030 - Self-Help - Adventure"/>
        <s v="113845 - Self-Help - Adventure"/>
        <s v="77824 - Fiction - Historical Fiction"/>
        <s v="85888 - Fiction - Historical Fiction"/>
        <s v="85890 - Fiction - Historical Fiction"/>
        <s v="83727 - Fiction - Historical Fiction"/>
        <s v="85887 - Fiction - Historical Fiction"/>
        <s v="77823 - Fiction - Historical Fiction"/>
        <s v="86753 - Fiction - Historical Fiction"/>
        <s v="145102 - Fiction - Historical Fiction"/>
        <s v="78717 - Sports - Romance"/>
        <s v="82777 - Sports - Romance"/>
        <s v="120341 - Sports - Romance"/>
        <s v="110344 - Sports - Romance"/>
        <s v="120233 - Sports - Romance"/>
        <s v="117579 - Sports - Romance"/>
        <s v="21066 - Sports - Romance"/>
        <s v="117583 - Sports - Romance"/>
        <s v="71107 - Sports - Romance"/>
        <s v="104168 - Sports - Romance"/>
        <s v="88913 - Sports - Romance"/>
        <s v="108160 - Sports - Romance"/>
        <s v="128377 - Sports - Romance"/>
        <s v="108533 - Sports - Romance"/>
        <s v="116392 - Sports - Romance"/>
        <s v="110328 - Sports - Romance"/>
        <s v="101445 - Sports - Romance"/>
        <s v="117599 - Sports - Romance"/>
        <s v="5508 - Law - Romantic Comedy"/>
        <s v="91241 - Law - Romantic Comedy"/>
        <s v="5507 - Law - Romantic Comedy"/>
        <s v="110575 - Law - Romantic Comedy"/>
        <s v="6156 - Law - Romantic Comedy"/>
        <s v="91239 - Law - Romantic Comedy"/>
        <s v="77361 - Law - Romantic Comedy"/>
        <s v="77363 - Law - Romantic Comedy"/>
        <s v="124679 - Law - Romantic Comedy"/>
        <s v="89558 - Law - Romantic Comedy"/>
        <s v="91235 - Law - Romantic Comedy"/>
        <s v="5519 - Law - Romantic Comedy"/>
        <s v="87278 - Law - Romantic Comedy"/>
        <s v="77326 - Law - Romantic Comedy"/>
        <s v="6158 - Law - Romantic Comedy"/>
        <s v="77338 - Law - Romantic Comedy"/>
        <s v="159220 - Law - Romantic Comedy"/>
        <s v="5521 - Law - Romantic Comedy"/>
        <s v="91225 - Law - Romantic Comedy"/>
        <s v="5520 - Law - Romantic Comedy"/>
        <s v="87285 - Law - Romantic Comedy"/>
        <s v="72862 - Law - Romantic Comedy"/>
        <s v="109474 - Law - Romantic Comedy"/>
        <s v="45834 - Law - Romantic Comedy"/>
        <s v="45885 - Law - Romantic Comedy"/>
        <s v="77360 - Law - Romantic Comedy"/>
        <s v="89787 - Law - Romantic Comedy"/>
        <s v="5531 - Law - Romantic Comedy"/>
        <s v="72826 - Law - Romantic Comedy"/>
        <s v="91180 - Law - Romantic Comedy"/>
        <s v="58757 - Law - Romantic Comedy"/>
        <s v="87287 - Law - Romantic Comedy"/>
        <s v="91147 - Law - Romantic Comedy"/>
        <s v="5526 - Law - Romantic Comedy"/>
        <s v="77310 - Law - Romantic Comedy"/>
        <s v="5525 - Law - Romantic Comedy"/>
        <s v="5524 - Law - Romantic Comedy"/>
        <s v="72849 - Law - Romantic Comedy"/>
        <s v="77385 - Law - Romantic Comedy"/>
        <s v="5529 - Law - Romantic Comedy"/>
        <s v="45879 - Law - Romantic Comedy"/>
        <s v="58753 - Law - Romantic Comedy"/>
        <s v="77318 - Law - Romantic Comedy"/>
        <s v="122091 - Law - Romantic Comedy"/>
        <s v="91144 - Law - Romantic Comedy"/>
        <s v="79000 - Law - Romantic Comedy"/>
        <s v="77389 - Law - Romantic Comedy"/>
        <s v="72857 - Law - Romantic Comedy"/>
        <s v="72859 - Law - Romantic Comedy"/>
        <s v="91264 - Law - Romantic Comedy"/>
        <s v="77316 - Law - Romantic Comedy"/>
        <s v="110573 - Law - Romantic Comedy"/>
        <s v="82236 - Law - Romantic Comedy"/>
        <s v="72855 - Law - Romantic Comedy"/>
        <s v="77392 - Law - Romantic Comedy"/>
        <s v="45867 - Law - Romantic Comedy"/>
        <s v="45846 - Law - Romantic Comedy"/>
        <s v="91265 - Law - Romantic Comedy"/>
        <s v="5527 - Law - Romantic Comedy"/>
        <s v="82249 - Law - Romantic Comedy"/>
        <s v="87273 - Law - Romantic Comedy"/>
        <s v="5537 - Law - Romantic Comedy"/>
        <s v="87281 - Law - Romantic Comedy"/>
        <s v="5522 - Law - Romantic Comedy"/>
        <s v="76595 - Law - Romantic Comedy"/>
        <s v="147305 - Law - Romantic Comedy"/>
        <s v="158660 - Law - Romantic Comedy"/>
        <s v="77371 - Law - Romantic Comedy"/>
        <s v="77366 - Law - Romantic Comedy"/>
        <s v="87282 - Law - Romantic Comedy"/>
        <s v="80402 - Law - Romantic Comedy"/>
        <s v="120504 - History - Horror"/>
        <s v="72833 - History - Horror"/>
        <s v="72831 - History - Horror"/>
        <s v="112547 - History - Horror"/>
        <s v="149598 - History - Horror"/>
        <s v="98129 - History - Horror"/>
        <s v="72825 - History - Horror"/>
        <s v="72820 - History - Horror"/>
        <s v="81939 - History - Horror"/>
        <s v="114382 - History - Horror"/>
        <s v="111427 - History - Horror"/>
        <s v="81937 - History - Horror"/>
        <s v="72824 - History - Horror"/>
        <s v="112188 - History - Horror"/>
        <s v="98186 - History - Horror"/>
        <s v="72822 - History - Horror"/>
        <s v="122601 - Tech - Paranormal"/>
        <s v="106779 - Tech - Paranormal"/>
        <s v="106785 - Tech - Paranormal"/>
        <s v="122602 - Tech - Paranormal"/>
        <s v="45574 - Tech - Paranormal"/>
        <s v="80808 - Tech - Paranormal"/>
        <s v="80802 - Tech - Paranormal"/>
        <s v="110385 - Tech - Paranormal"/>
        <s v="80633 - Tech - Paranormal"/>
        <s v="120700 - Tech - Paranormal"/>
        <s v="112853 - Tech - Paranormal"/>
        <s v="120699 - Tech - Paranormal"/>
        <s v="20195 - Tech - Paranormal"/>
        <s v="11422 - Tech - Paranormal"/>
        <s v="4492 - Tech - Paranormal"/>
        <s v="4560 - Tech - Paranormal"/>
        <s v="110383 - Tech - Paranormal"/>
        <s v="112850 - Tech - Paranormal"/>
        <s v="120702 - Tech - Paranormal"/>
        <s v="91860 - Tech - Paranormal"/>
        <s v="9716 - Tech - Paranormal"/>
        <s v="77135 - Tech - Paranormal"/>
        <s v="91857 - Tech - Paranormal"/>
        <s v="76429 - Tech - Paranormal"/>
        <s v="122507 - Tech - Paranormal"/>
        <s v="77844 - Tech - Paranormal"/>
        <s v="100041 - Tech - Paranormal"/>
        <s v="111591 - Tech - Paranormal"/>
        <s v="128329 - Tech - Paranormal"/>
        <s v="147268 - Tech - Paranormal"/>
        <s v="48511 - Tech - Paranormal"/>
        <s v="100040 - Tech - Paranormal"/>
        <s v="79366 - Tech - Paranormal"/>
        <s v="160754 - Tech - Paranormal"/>
        <s v="100038 - Tech - Paranormal"/>
        <s v="100035 - Tech - Paranormal"/>
        <s v="29654 - Tech - Paranormal"/>
        <s v="107804 - Tech - Paranormal"/>
        <s v="75809 - Tech - Paranormal"/>
        <s v="128325 - Tech - Paranormal"/>
        <s v="110072 - Tech - Paranormal"/>
        <s v="93814 - Tech - Paranormal"/>
        <s v="128326 - Tech - Paranormal"/>
        <s v="48510 - Tech - Paranormal"/>
        <s v="82463 - Tech - Paranormal"/>
        <s v="82462 - Tech - Paranormal"/>
        <s v="110635 - Tech - Paranormal"/>
        <s v="82464 - Tech - Paranormal"/>
        <s v="129133 - Tech - Paranormal"/>
        <s v="195081 - Tech - Paranormal"/>
        <s v="92669 - Tech - Paranormal"/>
        <s v="122089 - Tech - Paranormal"/>
        <s v="95927 - Tech - Paranormal"/>
        <s v="160756 - Tech - Paranormal"/>
        <s v="147267 - Tech - Paranormal"/>
        <s v="160747 - Tech - Paranormal"/>
        <s v="79365 - Tech - Paranormal"/>
        <s v="110633 - Tech - Paranormal"/>
        <s v="160750 - Tech - Paranormal"/>
        <s v="128332 - Tech - Paranormal"/>
        <s v="200354 - Tech - Paranormal"/>
        <s v="100042 - Tech - Paranormal"/>
        <s v="122446 - Tech - Paranormal"/>
        <s v="160761 - Tech - Paranormal"/>
        <s v="89503 - Tech - Paranormal"/>
        <s v="160744 - Tech - Paranormal"/>
        <s v="111590 - Tech - Paranormal"/>
        <s v="110070 - Tech - Paranormal"/>
        <s v="101005 - Tech - Paranormal"/>
        <s v="160745 - Tech - Paranormal"/>
        <s v="23073 - Tech - Paranormal"/>
        <s v="70064 - Tech - Paranormal"/>
        <s v="129135 - Tech - Paranormal"/>
        <s v="104440 - Tech - Paranormal"/>
        <s v="70063 - Tech - Paranormal"/>
        <s v="160748 - Tech - Paranormal"/>
        <s v="181242 - Tech - Paranormal"/>
        <s v="200323 - Tech - Paranormal"/>
        <s v="129132 - Tech - Paranormal"/>
        <s v="160743 - Tech - Paranormal"/>
        <s v="89610 - Tech - Paranormal"/>
        <s v="112113 - Tech - Paranormal"/>
        <s v="107801 - Tech - Paranormal"/>
        <s v="70065 - Tech - Paranormal"/>
        <s v="539 - Tech - Paranormal"/>
        <s v="7857 - Tech - Paranormal"/>
        <s v="111726 - Tech - Paranormal"/>
        <s v="120992 - Tech - Paranormal"/>
        <s v="158482 - Tech - Paranormal"/>
        <s v="193132 - Tech - Paranormal"/>
        <s v="118901 - Tech - Paranormal"/>
        <s v="193131 - Tech - Paranormal"/>
        <s v="115709 - Tech - Paranormal"/>
        <s v="121619 - Tech - Paranormal"/>
        <s v="103647 - Tech - Paranormal"/>
        <s v="121616 - Tech - Paranormal"/>
        <s v="121618 - Tech - Paranormal"/>
        <s v="129360 - Tech - Paranormal"/>
        <s v="115708 - Tech - Paranormal"/>
        <s v="121617 - Tech - Paranormal"/>
        <s v="109540 - Tech - Paranormal"/>
        <s v="101323 - Tech - Paranormal"/>
        <s v="120991 - Tech - Paranormal"/>
        <s v="115698 - Tech - Paranormal"/>
        <s v="72511 - Tech - Paranormal"/>
        <s v="72512 - Tech - Paranormal"/>
        <s v="120108 - Tech - Paranormal"/>
        <s v="1636 - Tech - Paranormal"/>
        <s v="106767 - Tech - Paranormal"/>
        <s v="117246 - Tech - Paranormal"/>
        <s v="106758 - Tech - Paranormal"/>
        <s v="118150 - Tech - Paranormal"/>
        <s v="108896 - Tech - Paranormal"/>
        <s v="92566 - Tech - Paranormal"/>
        <s v="182195 - Tech - Paranormal"/>
        <s v="101560 - Tech - Paranormal"/>
        <s v="96067 - Tech - Paranormal"/>
        <s v="47325 - Tech - Paranormal"/>
        <s v="109386 - Tech - Paranormal"/>
        <s v="118972 - Tech - Paranormal"/>
        <s v="100412 - Tech - Paranormal"/>
        <s v="73259 - Tech - Paranormal"/>
        <s v="116888 - Tech - Paranormal"/>
        <s v="102086 - Tech - Paranormal"/>
        <s v="108892 - Tech - Paranormal"/>
        <s v="110935 - Tech - Paranormal"/>
        <s v="103599 - Tech - Paranormal"/>
        <s v="108811 - Tech - Paranormal"/>
        <s v="2202 - Tech - Paranormal"/>
        <s v="122789 - Tech - Paranormal"/>
        <s v="101563 - Tech - Paranormal"/>
        <s v="110934 - Tech - Paranormal"/>
        <s v="110147 - Tech - Paranormal"/>
        <s v="104135 - Tech - Paranormal"/>
        <s v="101559 - Tech - Paranormal"/>
        <s v="129340 - Tech - Paranormal"/>
        <s v="103609 - Tech - Paranormal"/>
        <s v="122499 - Tech - Paranormal"/>
        <s v="117311 - Tech - Paranormal"/>
        <s v="116670 - Tech - Paranormal"/>
        <s v="2204 - Tech - Paranormal"/>
        <s v="104128 - Tech - Paranormal"/>
        <s v="103600 - Tech - Paranormal"/>
        <s v="108802 - Tech - Paranormal"/>
        <s v="201034 - Tech - Paranormal"/>
        <s v="6522 - Tech - Paranormal"/>
        <s v="77644 - Tech - Paranormal"/>
        <s v="3225 - Tech - Paranormal"/>
        <s v="158447 - Tech - Paranormal"/>
        <s v="9737 - Tech - Paranormal"/>
        <s v="73260 - Tech - Paranormal"/>
        <s v="158467 - Tech - Paranormal"/>
        <s v="117319 - Tech - Paranormal"/>
        <s v="108893 - Tech - Paranormal"/>
        <s v="111734 - Tech - Paranormal"/>
        <s v="96066 - Tech - Paranormal"/>
        <s v="3222 - Tech - Paranormal"/>
        <s v="117312 - Tech - Paranormal"/>
        <s v="104791 - Tech - Paranormal"/>
        <s v="10051 - Tech - Paranormal"/>
        <s v="29318 - Tech - Paranormal"/>
        <s v="116885 - Tech - Paranormal"/>
        <s v="121614 - Tech - Paranormal"/>
        <s v="10048 - Tech - Paranormal"/>
        <s v="109534 - Tech - Paranormal"/>
        <s v="111802 - Tech - Paranormal"/>
        <s v="108801 - Tech - Paranormal"/>
        <s v="9735 - Tech - Paranormal"/>
        <s v="109531 - Tech - Paranormal"/>
        <s v="44533 - Tech - Paranormal"/>
        <s v="158465 - Tech - Paranormal"/>
        <s v="79107 - Tech - Paranormal"/>
        <s v="78631 - Tech - Paranormal"/>
        <s v="120469 - Tech - Paranormal"/>
        <s v="6523 - Tech - Paranormal"/>
        <s v="41819 - Tech - Paranormal"/>
        <s v="108889 - Tech - Paranormal"/>
        <s v="92564 - Tech - Paranormal"/>
        <s v="158456 - Tech - Paranormal"/>
        <s v="111735 - Tech - Paranormal"/>
        <s v="109537 - Tech - Paranormal"/>
        <s v="109381 - Tech - Paranormal"/>
        <s v="120944 - Tech - Paranormal"/>
        <s v="29320 - Tech - Paranormal"/>
        <s v="118222 - Tech - Paranormal"/>
        <s v="108897 - Tech - Paranormal"/>
        <s v="101565 - Tech - Paranormal"/>
        <s v="29319 - Tech - Paranormal"/>
        <s v="96444 - Tech - Paranormal"/>
        <s v="101557 - Tech - Paranormal"/>
        <s v="103610 - Tech - Paranormal"/>
        <s v="181195 - Tech - Paranormal"/>
        <s v="12639 - Tech - Paranormal"/>
        <s v="158464 - Tech - Paranormal"/>
        <s v="116525 - Tech - Paranormal"/>
        <s v="116295 - Tech - Paranormal"/>
        <s v="116297 - Tech - Paranormal"/>
        <s v="11421 - Tech - Paranormal"/>
        <s v="101549 - Tech - Paranormal"/>
        <s v="109543 - Tech - Paranormal"/>
        <s v="79318 - Tech - Paranormal"/>
        <s v="2203 - Tech - Paranormal"/>
        <s v="111727 - Tech - Paranormal"/>
        <s v="118151 - Tech - Paranormal"/>
        <s v="108888 - Tech - Paranormal"/>
        <s v="120465 - Tech - Paranormal"/>
        <s v="92561 - Tech - Paranormal"/>
        <s v="150294 - Tech - Paranormal"/>
        <s v="108895 - Tech - Paranormal"/>
        <s v="41666 - Tech - Paranormal"/>
        <s v="41816 - Tech - Paranormal"/>
        <s v="99779 - Tech - Paranormal"/>
        <s v="111716 - Tech - Paranormal"/>
        <s v="96443 - Tech - Paranormal"/>
        <s v="193187 - Tech - Paranormal"/>
        <s v="96068 - Tech - Paranormal"/>
        <s v="3227 - Tech - Paranormal"/>
        <s v="193183 - Tech - Paranormal"/>
        <s v="120945 - Tech - Paranormal"/>
        <s v="110940 - Tech - Paranormal"/>
        <s v="110942 - Tech - Paranormal"/>
        <s v="142301 - Tech - Paranormal"/>
        <s v="109760 - Tech - Paranormal"/>
        <s v="100392 - Tech - Paranormal"/>
        <s v="109763 - Tech - Paranormal"/>
        <s v="7271 - Tech - Paranormal"/>
        <s v="7267 - Tech - Paranormal"/>
        <s v="128412 - Tech - Paranormal"/>
        <s v="7268 - Tech - Paranormal"/>
        <s v="124701 - Tech - Paranormal"/>
        <s v="110007 - Tech - Paranormal"/>
        <s v="7266 - Tech - Paranormal"/>
        <s v="7269 - Tech - Paranormal"/>
        <s v="100393 - Tech - Paranormal"/>
        <s v="110009 - Tech - Paranormal"/>
        <s v="100394 - Tech - Paranormal"/>
        <s v="118248 - Tech - Paranormal"/>
        <s v="118467 - Tech - Paranormal"/>
        <s v="118465 - Tech - Paranormal"/>
        <s v="118450 - Tech - Paranormal"/>
        <s v="118457 - Tech - Paranormal"/>
        <s v="118463 - Tech - Paranormal"/>
        <s v="118460 - Tech - Paranormal"/>
        <s v="121035 - Tech - Paranormal"/>
        <s v="122623 - Tech - Paranormal"/>
        <s v="118469 - Tech - Paranormal"/>
        <s v="184629 - Tech - Paranormal"/>
        <s v="44469 - Tech - Paranormal"/>
        <s v="98421 - Tech - Paranormal"/>
        <s v="149512 - Tech - Paranormal"/>
        <s v="101489 - Tech - Paranormal"/>
        <s v="7263 - Tech - Paranormal"/>
        <s v="149510 - Tech - Paranormal"/>
        <s v="124692 - Tech - Paranormal"/>
        <s v="7253 - Tech - Paranormal"/>
        <s v="109999 - Tech - Paranormal"/>
        <s v="101535 - Tech - Paranormal"/>
        <s v="181795 - Tech - Paranormal"/>
        <s v="124686 - Tech - Paranormal"/>
        <s v="110003 - Tech - Paranormal"/>
        <s v="124691 - Tech - Paranormal"/>
        <s v="98444 - Tech - Paranormal"/>
        <s v="110393 - Tech - Paranormal"/>
        <s v="7254 - Tech - Paranormal"/>
        <s v="86502 - Tech - Paranormal"/>
        <s v="98442 - Tech - Paranormal"/>
        <s v="7256 - Tech - Paranormal"/>
        <s v="110394 - Tech - Paranormal"/>
        <s v="120998 - Tech - Paranormal"/>
        <s v="17674 - Tech - Paranormal"/>
        <s v="102946 - Tech - Paranormal"/>
        <s v="102947 - Tech - Paranormal"/>
        <s v="98445 - Tech - Paranormal"/>
        <s v="109273 - Tech - Paranormal"/>
        <s v="44465 - Tech - Paranormal"/>
        <s v="44451 - Tech - Paranormal"/>
        <s v="17664 - Tech - Paranormal"/>
        <s v="44459 - Tech - Paranormal"/>
        <s v="110398 - Tech - Paranormal"/>
        <s v="149495 - Tech - Paranormal"/>
        <s v="124685 - Tech - Paranormal"/>
        <s v="110004 - Tech - Paranormal"/>
        <s v="111052 - Tech - Paranormal"/>
        <s v="102948 - Tech - Paranormal"/>
        <s v="110000 - Tech - Paranormal"/>
        <s v="7264 - Tech - Paranormal"/>
        <s v="110005 - Tech - Paranormal"/>
        <s v="124693 - Tech - Paranormal"/>
        <s v="86501 - Tech - Paranormal"/>
        <s v="101536 - Tech - Paranormal"/>
        <s v="101534 - Tech - Paranormal"/>
        <s v="110002 - Tech - Paranormal"/>
        <s v="110001 - Tech - Paranormal"/>
        <s v="111051 - Tech - Paranormal"/>
        <s v="7258 - Tech - Paranormal"/>
        <s v="111053 - Tech - Paranormal"/>
        <s v="120996 - Tech - Paranormal"/>
        <s v="109746 - Tech - Paranormal"/>
        <s v="147288 - Tech - Paranormal"/>
        <s v="120997 - Tech - Paranormal"/>
        <s v="109742 - Tech - Paranormal"/>
        <s v="156013 - Tech - Paranormal"/>
        <s v="98426 - Tech - Paranormal"/>
        <s v="110006 - Tech - Paranormal"/>
        <s v="110409 - Tech - Paranormal"/>
        <s v="117774 - Tech - Paranormal"/>
        <s v="110411 - Tech - Paranormal"/>
        <s v="86743 - Tech - Paranormal"/>
        <s v="86691 - Tech - Paranormal"/>
        <s v="7257 - Tech - Paranormal"/>
        <s v="77706 - Tech - Paranormal"/>
        <s v="122599 - Tech - Paranormal"/>
        <s v="109741 - Tech - Paranormal"/>
        <s v="69064 - Tech - Paranormal"/>
        <s v="119447 - Tech - Paranormal"/>
        <s v="111730 - Tech - Paranormal"/>
        <s v="100437 - Tech - Paranormal"/>
        <s v="92304 - Tech - Paranormal"/>
        <s v="103655 - Tech - Paranormal"/>
        <s v="103656 - Tech - Paranormal"/>
        <s v="103704 - Tech - Paranormal"/>
        <s v="46759 - Tech - Paranormal"/>
        <s v="113594 - History - Young Adult Fiction"/>
        <s v="111791 - History - Young Adult Fiction"/>
        <s v="44674 - History - Ancient History"/>
        <s v="48639 - History - Ancient History"/>
        <s v="76559 - History - Ancient History"/>
        <s v="22112 - History - Ancient History"/>
        <s v="84390 - History - Ancient History"/>
        <s v="100327 - History - Ancient History"/>
        <s v="81427 - History - Ancient History"/>
        <s v="19847 - History - Ancient History"/>
        <s v="121989 - History - Ancient History"/>
        <s v="3431 - History - Ancient History"/>
        <s v="68858 - History - Ancient History"/>
        <s v="147279 - History - Ancient History"/>
        <s v="19853 - History - Ancient History"/>
        <s v="84315 - History - Ancient History"/>
        <s v="3433 - History - Ancient History"/>
        <s v="48640 - History - Ancient History"/>
        <s v="81678 - History - Ancient History"/>
        <s v="117528 - History - Ancient History"/>
        <s v="84324 - History - Ancient History"/>
        <s v="3420 - History - Ancient History"/>
        <s v="19837 - History - Ancient History"/>
        <s v="19835 - History - Ancient History"/>
        <s v="69109 - History - Ancient History"/>
        <s v="104387 - History - Ancient History"/>
        <s v="19843 - History - Ancient History"/>
        <s v="117523 - History - Ancient History"/>
        <s v="121981 - History - Ancient History"/>
        <s v="121993 - History - Ancient History"/>
        <s v="81389 - History - Ancient History"/>
        <s v="99473 - History - Ancient History"/>
        <s v="81393 - History - Ancient History"/>
        <s v="104364 - History - Ancient History"/>
        <s v="76602 - History - Ancient History"/>
        <s v="119824 - History - Ancient History"/>
        <s v="112618 - History - Ancient History"/>
        <s v="112617 - History - Ancient History"/>
        <s v="113963 - History - Ancient History"/>
        <s v="104359 - History - Ancient History"/>
        <s v="81675 - History - Ancient History"/>
        <s v="84835 - History - Ancient History"/>
        <s v="81680 - History - Ancient History"/>
        <s v="104361 - History - Ancient History"/>
        <s v="83080 - History - Ancient History"/>
        <s v="84930 - History - Ancient History"/>
        <s v="19848 - History - Ancient History"/>
        <s v="104362 - History - Ancient History"/>
        <s v="92122 - History - Ancient History"/>
        <s v="15854 - History - Ancient History"/>
        <s v="81383 - History - Ancient History"/>
        <s v="81430 - History - Ancient History"/>
        <s v="84325 - History - Ancient History"/>
        <s v="127244 - History - Ancient History"/>
        <s v="15865 - History - Ancient History"/>
        <s v="121996 - History - Ancient History"/>
        <s v="93083 - History - Ancient History"/>
        <s v="3426 - History - Ancient History"/>
        <s v="111349 - History - Ancient History"/>
        <s v="74917 - History - Ancient History"/>
        <s v="69127 - History - Ancient History"/>
        <s v="84819 - History - Ancient History"/>
        <s v="104367 - History - Ancient History"/>
        <s v="121997 - History - Ancient History"/>
        <s v="117499 - History - Ancient History"/>
        <s v="69125 - History - Ancient History"/>
        <s v="19850 - History - Ancient History"/>
        <s v="3425 - History - Ancient History"/>
        <s v="84913 - History - Ancient History"/>
        <s v="120378 - Fiction - Medieval History"/>
        <s v="5905 - Fiction - Medieval History"/>
        <s v="23213 - Fiction - Medieval History"/>
        <s v="47168 - Fiction - Medieval History"/>
        <s v="102990 - Fiction - Medieval History"/>
        <s v="46441 - Fiction - Medieval History"/>
        <s v="11085 - Fiction - Medieval History"/>
        <s v="96441 - Fiction - Medieval History"/>
        <s v="82131 - Fiction - Medieval History"/>
        <s v="46440 - Fiction - Medieval History"/>
        <s v="23214 - Fiction - Medieval History"/>
        <s v="82134 - Fiction - Medieval History"/>
        <s v="46439 - Fiction - Medieval History"/>
        <s v="116451 - Fiction - Medieval History"/>
        <s v="147340 - Fiction - Medieval History"/>
        <s v="140602 - Fiction - Medieval History"/>
        <s v="109174 - Fiction - Medieval History"/>
        <s v="2795 - Fiction - Medieval History"/>
        <s v="141867 - Fiction - Medieval History"/>
        <s v="118152 - Fiction - Medieval History"/>
        <s v="1607 - Fiction - Medieval History"/>
        <s v="71322 - Fiction - Medieval History"/>
        <s v="88773 - Fiction - Medieval History"/>
        <s v="46964 - Fiction - Medieval History"/>
        <s v="104454 - Fiction - Medieval History"/>
        <s v="8003 - Fiction - Medieval History"/>
        <s v="90183 - Fiction - Medieval History"/>
        <s v="45489 - Fiction - Medieval History"/>
        <s v="147337 - Fiction - Medieval History"/>
        <s v="116446 - Fiction - Medieval History"/>
        <s v="44760 - Fiction - Medieval History"/>
        <s v="44764 - Fiction - Medieval History"/>
        <s v="72801 - Fiction - Medieval History"/>
        <s v="86573 - Fiction - Medieval History"/>
        <s v="107784 - Fiction - Medieval History"/>
        <s v="103388 - Fiction - Medieval History"/>
        <s v="8004 - Fiction - Medieval History"/>
        <s v="103387 - Fiction - Medieval History"/>
        <s v="76731 - Fiction - Medieval History"/>
        <s v="116449 - Fiction - Medieval History"/>
        <s v="95211 - Fiction - Medieval History"/>
        <s v="118255 - Fiction - Medieval History"/>
        <s v="8010 - Fiction - Medieval History"/>
        <s v="128351 - Fiction - Medieval History"/>
        <s v="12452 - Fiction - Medieval History"/>
        <s v="108996 - Fiction - Medieval History"/>
        <s v="15638 - Fiction - Medieval History"/>
        <s v="118109 - Fiction - Medieval History"/>
        <s v="15634 - Fiction - Medieval History"/>
        <s v="2802 - Fiction - Medieval History"/>
        <s v="46962 - Fiction - Medieval History"/>
        <s v="128348 - Fiction - Medieval History"/>
        <s v="108963 - Fiction - Medieval History"/>
        <s v="2800 - Fiction - Medieval History"/>
        <s v="12451 - Fiction - Medieval History"/>
        <s v="19024 - Fiction - Medieval History"/>
        <s v="9472 - Fiction - Medieval History"/>
        <s v="1587 - Fiction - Medieval History"/>
        <s v="118262 - Fiction - Medieval History"/>
        <s v="44739 - Fiction - Medieval History"/>
        <s v="199855 - Fiction - Medieval History"/>
        <s v="71674 - Fiction - Medieval History"/>
        <s v="101357 - Fiction - Medieval History"/>
        <s v="121066 - Fiction - Medieval History"/>
        <s v="72818 - Fiction - Medieval History"/>
        <s v="109178 - Fiction - Medieval History"/>
        <s v="114876 - Fiction - Medieval History"/>
        <s v="9471 - Fiction - Medieval History"/>
        <s v="87840 - Fiction - Medieval History"/>
        <s v="72816 - Fiction - Medieval History"/>
        <s v="122354 - Fiction - Medieval History"/>
        <s v="109188 - Fiction - Medieval History"/>
        <s v="7999 - Fiction - Medieval History"/>
        <s v="9469 - Fiction - Medieval History"/>
        <s v="46955 - Fiction - Medieval History"/>
        <s v="9464 - Fiction - Medieval History"/>
        <s v="79485 - Fiction - Medieval History"/>
        <s v="118224 - Fiction - Medieval History"/>
        <s v="122353 - Fiction - Medieval History"/>
        <s v="1584 - Fiction - Medieval History"/>
        <s v="2792 - Fiction - Medieval History"/>
        <s v="109187 - Fiction - Medieval History"/>
        <s v="118257 - Fiction - Medieval History"/>
        <s v="7995 - Fiction - Medieval History"/>
        <s v="99360 - Fiction - Medieval History"/>
        <s v="118156 - Fiction - Medieval History"/>
        <s v="44943 - Fiction - Medieval History"/>
        <s v="9462 - Fiction - Medieval History"/>
        <s v="79501 - Fiction - Medieval History"/>
        <s v="97161 - Fiction - Medieval History"/>
        <s v="112842 - Fiction - Medieval History"/>
        <s v="109180 - Fiction - Medieval History"/>
        <s v="46954 - Fiction - Medieval History"/>
        <s v="79500 - Fiction - Medieval History"/>
        <s v="99302 - Fiction - Medieval History"/>
        <s v="105026 - Fiction - Medieval History"/>
        <s v="19972 - Fiction - Medieval History"/>
        <s v="99233 - Fiction - Medieval History"/>
        <s v="118260 - Fiction - Medieval History"/>
        <s v="128398 - Fiction - Medieval History"/>
        <s v="8001 - Fiction - Medieval History"/>
        <s v="106782 - Fiction - Medieval History"/>
        <s v="110793 - Fiction - Medieval History"/>
        <s v="86808 - Fiction - Medieval History"/>
        <s v="50367 - Fiction - Medieval History"/>
        <s v="102750 - Fiction - Medieval History"/>
        <s v="102758 - Fiction - Medieval History"/>
        <s v="86787 - Fiction - Medieval History"/>
        <s v="102740 - Fiction - Medieval History"/>
        <s v="102734 - Fiction - Medieval History"/>
        <s v="102751 - Fiction - Medieval History"/>
        <s v="102752 - Fiction - Medieval History"/>
        <s v="102735 - Fiction - Medieval History"/>
        <s v="86793 - Fiction - Medieval History"/>
        <s v="86792 - Fiction - Medieval History"/>
        <s v="86785 - Fiction - Medieval History"/>
        <s v="102773 - Fiction - Medieval History"/>
        <s v="42807 - Fiction - Medieval History"/>
        <s v="42809 - Fiction - Medieval History"/>
        <s v="86821 - Fiction - Medieval History"/>
        <s v="110719 - Fiction - Medieval History"/>
        <s v="86818 - Fiction - Medieval History"/>
        <s v="71318 - Fiction - Medieval History"/>
        <s v="122303 - Fiction - Medieval History"/>
        <s v="110716 - Fiction - Medieval History"/>
        <s v="9480 - Fiction - Medieval History"/>
        <s v="113920 - Fiction - Medieval History"/>
        <s v="166088 - Fiction - Medieval History"/>
        <s v="122712 - Fiction - Medieval History"/>
        <s v="86523 - Fiction - Medieval History"/>
        <s v="106773 - Fiction - Medieval History"/>
        <s v="128356 - Fiction - Medieval History"/>
        <s v="28897 - Fiction - Medieval History"/>
        <s v="181502 - Fiction - Medieval History"/>
        <s v="13368 - Fiction - Medieval History"/>
        <s v="105178 - Fiction - Medieval History"/>
        <s v="158445 - Fiction - Medieval History"/>
        <s v="105861 - Fiction - Medieval History"/>
        <s v="28668 - Fiction - Medieval History"/>
        <s v="28661 - Fiction - Medieval History"/>
        <s v="13349 - Fiction - Medieval History"/>
        <s v="1634 - Fiction - Medieval History"/>
        <s v="86524 - Fiction - Medieval History"/>
        <s v="86531 - Fiction - Medieval History"/>
        <s v="95210 - Fiction - Medieval History"/>
        <s v="158450 - Fiction - Medieval History"/>
        <s v="103080 - Fiction - Medieval History"/>
        <s v="121067 - Fiction - Medieval History"/>
        <s v="41513 - Fiction - Medieval History"/>
        <s v="166089 - Fiction - Medieval History"/>
        <s v="26446 - Fiction - Medieval History"/>
        <s v="13350 - Fiction - Medieval History"/>
        <s v="111728 - Fiction - Medieval History"/>
        <s v="28883 - Fiction - Medieval History"/>
        <s v="121068 - Fiction - Medieval History"/>
        <s v="181499 - Fiction - Medieval History"/>
        <s v="16097 - Fiction - Medieval History"/>
        <s v="117247 - Fiction - Medieval History"/>
        <s v="1732 - Fiction - Medieval History"/>
        <s v="105174 - Fiction - Medieval History"/>
        <s v="128357 - Fiction - Medieval History"/>
        <s v="166090 - Fiction - Medieval History"/>
        <s v="121070 - Fiction - Medieval History"/>
        <s v="80818 - Fiction - Medieval History"/>
        <s v="13367 - Fiction - Medieval History"/>
        <s v="44329 - Fiction - Medieval History"/>
        <s v="70879 - Fiction - Medieval History"/>
        <s v="99266 - Fiction - Medieval History"/>
        <s v="88216 - Fiction - Medieval History"/>
        <s v="28590 - Fiction - Medieval History"/>
        <s v="88215 - Fiction - Medieval History"/>
        <s v="81771 - Fiction - Medieval History"/>
        <s v="194520 - Fiction - Medieval History"/>
        <s v="5901 - Fiction - Medieval History"/>
        <s v="156054 - Fiction - Medieval History"/>
        <s v="5869 - Fiction - Medieval History"/>
        <s v="7343 - Fiction - Medieval History"/>
        <s v="88218 - Fiction - Medieval History"/>
        <s v="99263 - Fiction - Medieval History"/>
        <s v="7357 - Fiction - Medieval History"/>
        <s v="28591 - Fiction - Medieval History"/>
        <s v="5871 - Fiction - Medieval History"/>
        <s v="81772 - Fiction - Medieval History"/>
        <s v="110587 - Fiction - Medieval History"/>
        <s v="5870 - Fiction - Medieval History"/>
        <s v="158444 - Fiction - Medieval History"/>
        <s v="80785 - Fiction - Medieval History"/>
        <s v="110586 - Fiction - Medieval History"/>
        <s v="99264 - Fiction - Medieval History"/>
        <s v="110977 - Fiction - Medieval History"/>
        <s v="45529 - Fiction - Medieval History"/>
        <s v="84030 - Fiction - Medieval History"/>
        <s v="99262 - Fiction - Medieval History"/>
        <s v="110722 - Fiction - Medieval History"/>
        <s v="80781 - Fiction - Medieval History"/>
        <s v="122700 - Fiction - Medieval History"/>
        <s v="111783 - Fiction - Medieval History"/>
        <s v="110724 - Fiction - Medieval History"/>
        <s v="13348 - Fiction - Medieval History"/>
        <s v="28595 - Fiction - Medieval History"/>
        <s v="81770 - Fiction - Medieval History"/>
        <s v="85059 - Fiction - Medieval History"/>
        <s v="110597 - Fiction - Medieval History"/>
        <s v="7358 - Fiction - Medieval History"/>
        <s v="86583 - Fiction - Medieval History"/>
        <s v="98100 - Fiction - Medieval History"/>
        <s v="118154 - Fiction - Medieval History"/>
        <s v="42840 - Fiction - Medieval History"/>
        <s v="47175 - Fiction - Medieval History"/>
        <s v="112013 - Fiction - Medieval History"/>
        <s v="107953 - Fiction - Medieval History"/>
        <s v="44738 - Fiction - Medieval History"/>
        <s v="103386 - Fiction - Medieval History"/>
        <s v="86815 - Fiction - Medieval History"/>
        <s v="46953 - Fiction - Medieval History"/>
        <s v="108732 - Fiction - Medieval History"/>
        <s v="118227 - Fiction - Medieval History"/>
        <s v="122484 - Fiction - Medieval History"/>
        <s v="71326 - Fiction - Medieval History"/>
        <s v="110794 - Fiction - Medieval History"/>
        <s v="80066 - Fiction - Medieval History"/>
        <s v="106776 - Fiction - Medieval History"/>
        <s v="113608 - Fiction - Medieval History"/>
        <s v="116454 - Fiction - Medieval History"/>
        <s v="108724 - Fiction - Medieval History"/>
        <s v="118253 - Fiction - Medieval History"/>
        <s v="110567 - Fiction - Medieval History"/>
        <s v="122697 - Fiction - Medieval History"/>
        <s v="109190 - Fiction - Medieval History"/>
        <s v="109191 - Fiction - Medieval History"/>
        <s v="44759 - Fiction - Medieval History"/>
        <s v="109192 - Fiction - Medieval History"/>
        <s v="113605 - Fiction - Medieval History"/>
        <s v="147339 - Fiction - Medieval History"/>
        <s v="118068 - Fiction - Medieval History"/>
        <s v="44758 - Fiction - Medieval History"/>
        <s v="110579 - Fiction - Medieval History"/>
        <s v="116437 - Fiction - Medieval History"/>
        <s v="9519 - Fiction - Medieval History"/>
        <s v="147338 - Fiction - Medieval History"/>
        <s v="118250 - Fiction - Medieval History"/>
        <s v="20053 - Fiction - Medieval History"/>
        <s v="71321 - Fiction - Medieval History"/>
        <s v="79503 - Fiction - Medieval History"/>
        <s v="99270 - Fiction - Medieval History"/>
        <s v="112848 - Fiction - Medieval History"/>
        <s v="13369 - Fiction - Medieval History"/>
        <s v="147336 - Fiction - Medieval History"/>
        <s v="114899 - Fiction - Medieval History"/>
        <s v="113607 - Fiction - Medieval History"/>
        <s v="47183 - Fiction - Medieval History"/>
        <s v="78338 - Fiction - Medieval History"/>
        <s v="9526 - Fiction - Medieval History"/>
        <s v="107910 - Fiction - Medieval History"/>
        <s v="20056 - Fiction - Medieval History"/>
        <s v="108951 - Fiction - Medieval History"/>
        <s v="107783 - Fiction - Medieval History"/>
        <s v="80798 - Fiction - Medieval History"/>
        <s v="108950 - Fiction - Medieval History"/>
        <s v="112847 - Fiction - Medieval History"/>
        <s v="109202 - Fiction - Medieval History"/>
        <s v="109198 - Fiction - Medieval History"/>
        <s v="108990 - Fiction - Medieval History"/>
        <s v="72815 - Fiction - Medieval History"/>
        <s v="9479 - Fiction - Medieval History"/>
        <s v="46961 - Fiction - Medieval History"/>
        <s v="122352 - Fiction - Medieval History"/>
        <s v="44750 - Fiction - Medieval History"/>
        <s v="114405 - Fiction - Medieval History"/>
        <s v="2797 - Fiction - Medieval History"/>
        <s v="79499 - Fiction - Medieval History"/>
        <s v="5902 - Fiction - Medieval History"/>
        <s v="46956 - Fiction - Medieval History"/>
        <s v="11490 - Fiction - Medieval History"/>
        <s v="8027 - Fiction - Medieval History"/>
        <s v="121588 - Fiction - Medieval History"/>
        <s v="1279 - Fiction - Medieval History"/>
        <s v="5978 - Fiction - Medieval History"/>
        <s v="72813 - Fiction - Medieval History"/>
        <s v="9486 - Fiction - Medieval History"/>
        <s v="2791 - Fiction - Medieval History"/>
        <s v="109206 - Fiction - Medieval History"/>
        <s v="9478 - Fiction - Medieval History"/>
        <s v="122699 - Fiction - Medieval History"/>
        <s v="2794 - Fiction - Medieval History"/>
        <s v="109200 - Fiction - Medieval History"/>
        <s v="118263 - Fiction - Medieval History"/>
        <s v="71320 - Fiction - Medieval History"/>
        <s v="108944 - Fiction - Medieval History"/>
        <s v="122693 - Fiction - Medieval History"/>
        <s v="20049 - Fiction - Medieval History"/>
        <s v="20055 - Fiction - Medieval History"/>
        <s v="112845 - Fiction - Medieval History"/>
        <s v="9490 - Fiction - Medieval History"/>
        <s v="105034 - Fiction - Medieval History"/>
        <s v="122680 - Fiction - Medieval History"/>
        <s v="112846 - Fiction - Medieval History"/>
        <s v="80816 - Fiction - Medieval History"/>
        <s v="44749 - Fiction - Medieval History"/>
        <s v="79498 - Fiction - Medieval History"/>
        <s v="2799 - Fiction - Medieval History"/>
        <s v="194401 - Fiction - Medieval History"/>
        <s v="5291 - Fiction - Medieval History"/>
        <s v="2796 - Fiction - Medieval History"/>
        <s v="71325 - Fiction - Medieval History"/>
        <s v="2793 - Fiction - Medieval History"/>
        <s v="102781 - Fiction - Medieval History"/>
        <s v="109201 - Fiction - Medieval History"/>
        <s v="72814 - Fiction - Medieval History"/>
        <s v="122351 - Fiction - Medieval History"/>
        <s v="99298 - Fiction - Medieval History"/>
        <s v="3731 - Fiction - Medieval History"/>
        <s v="11489 - Fiction - Medieval History"/>
        <s v="122302 - Fiction - Medieval History"/>
        <s v="28838 - Fiction - Medieval History"/>
        <s v="72843 - Fiction - Medieval History"/>
        <s v="80809 - Fiction - Medieval History"/>
        <s v="127006 - Tech - Early Modern History"/>
        <s v="82448 - Tech - Early Modern History"/>
        <s v="13028 - Tech - Early Modern History"/>
        <s v="118577 - Tech - Early Modern History"/>
        <s v="117890 - Tech - Early Modern History"/>
        <s v="118617 - Tech - Early Modern History"/>
        <s v="109995 - Tech - Early Modern History"/>
        <s v="109996 - Tech - Early Modern History"/>
        <s v="49107 - Tech - Modern History"/>
        <s v="29585 - Tech - Modern History"/>
        <s v="111677 - Tech - Modern History"/>
        <s v="93102 - Tech - Modern History"/>
        <s v="30712 - Tech - Modern History"/>
        <s v="89128 - Tech - Modern History"/>
        <s v="29587 - Tech - Modern History"/>
        <s v="30711 - Tech - Modern History"/>
        <s v="45306 - Tech - Modern History"/>
        <s v="120803 - Tech - Modern History"/>
        <s v="108004 - Tech - Modern History"/>
        <s v="92205 - Tech - Modern History"/>
        <s v="119509 - Tech - Modern History"/>
        <s v="109056 - Tech - Modern History"/>
        <s v="45305 - Tech - Modern History"/>
        <s v="29582 - Tech - Modern History"/>
        <s v="111676 - Tech - Modern History"/>
        <s v="30578 - Tech - Modern History"/>
        <s v="93095 - Tech - Modern History"/>
        <s v="70036 - Tech - Modern History"/>
        <s v="90498 - Tech - Modern History"/>
        <s v="89127 - Tech - Modern History"/>
        <s v="75215 - Tech - Modern History"/>
        <s v="119566 - Tech - Modern History"/>
        <s v="92208 - Tech - Modern History"/>
        <s v="119579 - Tech - Modern History"/>
        <s v="45309 - Tech - Modern History"/>
        <s v="30743 - Tech - Modern History"/>
        <s v="49108 - Tech - Modern History"/>
        <s v="29584 - Tech - Modern History"/>
        <s v="119501 - Tech - Modern History"/>
        <s v="30504 - Tech - Modern History"/>
        <s v="93101 - Tech - Modern History"/>
        <s v="30749 - Tech - Modern History"/>
        <s v="120813 - Tech - Modern History"/>
        <s v="29590 - Tech - Modern History"/>
        <s v="118662 - Tech - Modern History"/>
        <s v="30478 - Tech - Modern History"/>
        <s v="90475 - Tech - Modern History"/>
        <s v="29530 - Tech - Modern History"/>
        <s v="81528 - Tech - Modern History"/>
        <s v="100436 - Tech - Modern History"/>
        <s v="29499 - Tech - Modern History"/>
        <s v="30683 - Tech - Modern History"/>
        <s v="69906 - Tech - Modern History"/>
        <s v="90174 - Tech - Modern History"/>
        <s v="90168 - Tech - Modern History"/>
        <s v="79488 - Tech - Modern History"/>
        <s v="119640 - Tech - Modern History"/>
        <s v="119515 - Tech - Modern History"/>
        <s v="103685 - Tech - Modern History"/>
        <s v="111617 - Tech - Modern History"/>
        <s v="98637 - Tech - Modern History"/>
        <s v="90159 - Tech - Modern History"/>
        <s v="76651 - Tech - Modern History"/>
        <s v="119531 - Tech - Modern History"/>
        <s v="93884 - Tech - Modern History"/>
        <s v="79467 - Tech - Modern History"/>
        <s v="29532 - Tech - Modern History"/>
        <s v="104063 - Tech - Modern History"/>
        <s v="90166 - Tech - Modern History"/>
        <s v="29538 - Tech - Modern History"/>
        <s v="70538 - Tech - Modern History"/>
        <s v="93893 - Tech - Modern History"/>
        <s v="119518 - Tech - Modern History"/>
        <s v="111338 - Tech - Modern History"/>
        <s v="100435 - Tech - Modern History"/>
        <s v="89130 - Tech - Modern History"/>
        <s v="103695 - Tech - Modern History"/>
        <s v="90201 - Tech - Modern History"/>
        <s v="70025 - Tech - Modern History"/>
        <s v="29485 - Tech - Modern History"/>
        <s v="119530 - Tech - Modern History"/>
        <s v="103671 - Tech - Modern History"/>
        <s v="102803 - Tech - Modern History"/>
        <s v="122156 - Tech - Modern History"/>
        <s v="103688 - Tech - Modern History"/>
        <s v="128303 - Tech - Modern History"/>
        <s v="122164 - Tech - Modern History"/>
        <s v="119629 - Tech - Modern History"/>
        <s v="122238 - Tech - Modern History"/>
        <s v="100106 - Tech - Modern History"/>
        <s v="74260 - Tech - Modern History"/>
        <s v="122159 - Tech - Modern History"/>
        <s v="100104 - Tech - Modern History"/>
        <s v="103702 - Tech - Modern History"/>
        <s v="103696 - Tech - Modern History"/>
        <s v="111083 - Tech - Modern History"/>
        <s v="76658 - Tech - Modern History"/>
        <s v="111339 - Tech - Modern History"/>
        <s v="79491 - Tech - Modern History"/>
        <s v="110380 - Tech - Modern History"/>
        <s v="111341 - Tech - Modern History"/>
        <s v="81785 - Tech - Modern History"/>
        <s v="89155 - Tech - Modern History"/>
        <s v="90253 - Tech - Modern History"/>
        <s v="119544 - Tech - Modern History"/>
        <s v="108675 - Tech - Modern History"/>
        <s v="119542 - Tech - Modern History"/>
        <s v="30752 - Tech - Modern History"/>
        <s v="116180 - Law - World War I"/>
        <s v="96953 - Law - World War I"/>
        <s v="118303 - Law - World War I"/>
        <s v="117222 - Law - World War I"/>
        <s v="5620 - Law - World War I"/>
        <s v="122346 - Law - World War I"/>
        <s v="96968 - Law - World War I"/>
        <s v="126578 - Law - World War I"/>
        <s v="126581 - Law - World War I"/>
        <s v="96956 - Law - World War I"/>
        <s v="116774 - Law - World War I"/>
        <s v="147293 - Law - World War I"/>
        <s v="119228 - Law - World War I"/>
        <s v="5618 - Law - World War I"/>
        <s v="126579 - Law - World War I"/>
        <s v="117219 - Law - World War I"/>
        <s v="44110 - Law - World War I"/>
        <s v="76223 - Law - World War I"/>
        <s v="48406 - Law - World War I"/>
        <s v="77514 - Law - World War I"/>
        <s v="117221 - Law - World War I"/>
        <s v="115602 - Law - World War I"/>
        <s v="44107 - Law - World War I"/>
        <s v="115604 - Law - World War I"/>
        <s v="118926 - Law - World War I"/>
        <s v="118304 - Law - World War I"/>
        <s v="5621 - Law - World War I"/>
        <s v="44105 - Law - World War I"/>
        <s v="126580 - Law - World War I"/>
        <s v="5624 - Law - World War I"/>
        <s v="88679 - Law - World War I"/>
        <s v="118305 - Law - World War I"/>
        <s v="60380 - Law - World War I"/>
        <s v="77475 - Law - World War I"/>
        <s v="110577 - Law - World War I"/>
        <s v="110571 - Law - World War I"/>
        <s v="103835 - Law - World War I"/>
        <s v="5646 - Law - World War I"/>
        <s v="5649 - Law - World War I"/>
        <s v="5647 - Law - World War I"/>
        <s v="5648 - Law - World War I"/>
        <s v="108292 - Law - World War I"/>
        <s v="110572 - Law - World War I"/>
        <s v="77456 - Law - World War I"/>
        <s v="77454 - Law - World War I"/>
        <s v="44095 - Law - World War I"/>
        <s v="87419 - Law - World War I"/>
        <s v="44087 - Law - World War I"/>
        <s v="44129 - Law - World War I"/>
        <s v="103832 - Law - World War I"/>
        <s v="103819 - Law - World War I"/>
        <s v="88683 - Law - World War I"/>
        <s v="5676 - Law - World War I"/>
        <s v="116776 - Law - World War I"/>
        <s v="5668 - Law - World War I"/>
        <s v="119052 - Law - World War I"/>
        <s v="118920 - Law - World War I"/>
        <s v="96003 - Law - World War I"/>
        <s v="116380 - Law - World War I"/>
        <s v="46291 - Law - World War I"/>
        <s v="148742 - Law - World War I"/>
        <s v="83634 - Law - World War I"/>
        <s v="5657 - Law - World War I"/>
        <s v="78856 - Law - World War I"/>
        <s v="44123 - Law - World War I"/>
        <s v="78855 - Law - World War I"/>
        <s v="48408 - Law - World War I"/>
        <s v="46303 - Law - World War I"/>
        <s v="147274 - Law - World War I"/>
        <s v="44144 - Law - World War I"/>
        <s v="96972 - Law - World War I"/>
        <s v="5665 - Law - World War I"/>
        <s v="26072 - Law - World War I"/>
        <s v="5631 - Law - World War I"/>
        <s v="104316 - Law - World War I"/>
        <s v="83612 - Law - World War I"/>
        <s v="87425 - Law - World War I"/>
        <s v="115611 - Law - World War I"/>
        <s v="88688 - Law - World War I"/>
        <s v="83605 - Law - World War I"/>
        <s v="44125 - Law - World War I"/>
        <s v="83639 - Law - World War I"/>
        <s v="5656 - Law - World War I"/>
        <s v="88686 - Law - World War I"/>
        <s v="83601 - Law - World War I"/>
        <s v="48407 - Law - World War I"/>
        <s v="5692 - Law - World War I"/>
        <s v="112803 - Law - World War I"/>
        <s v="83600 - Law - World War I"/>
        <s v="83621 - Law - World War I"/>
        <s v="115599 - Law - World War I"/>
        <s v="83598 - Law - World War I"/>
        <s v="5652 - Law - World War I"/>
        <s v="122661 - Law - World War I"/>
        <s v="116384 - Law - World War I"/>
        <s v="78859 - Law - World War I"/>
        <s v="87096 - Law - World War I"/>
        <s v="87428 - Law - World War I"/>
        <s v="5690 - Law - World War I"/>
        <s v="5663 - Law - World War I"/>
        <s v="5654 - Law - World War I"/>
        <s v="44607 - Law - World War I"/>
        <s v="5662 - Law - World War I"/>
        <s v="87426 - Law - World War I"/>
        <s v="5680 - Law - World War I"/>
        <s v="5661 - Law - World War I"/>
        <s v="83629 - Law - World War I"/>
        <s v="83599 - Law - World War I"/>
        <s v="83625 - Law - World War I"/>
        <s v="87887 - Law - World War I"/>
        <s v="118923 - Law - World War I"/>
        <s v="87421 - Law - World War I"/>
        <s v="117531 - Law - World War I"/>
        <s v="122267 - Law - World War I"/>
        <s v="117527 - Law - World War I"/>
        <s v="44138 - Law - World War I"/>
        <s v="117529 - Law - World War I"/>
        <s v="122269 - Law - World War I"/>
        <s v="87886 - Law - World War I"/>
        <s v="104317 - Law - World War I"/>
        <s v="114943 - Law - World War I"/>
        <s v="44134 - Law - World War I"/>
        <s v="5637 - Law - World War I"/>
        <s v="5641 - Law - World War I"/>
        <s v="147323 - Law - World War I"/>
        <s v="44118 - Law - World War I"/>
        <s v="115608 - Law - World War I"/>
        <s v="44127 - Law - World War I"/>
        <s v="122348 - Law - World War I"/>
        <s v="147304 - Law - World War I"/>
        <s v="118310 - Law - World War I"/>
        <s v="77175 - Law - World War I"/>
        <s v="5645 - Law - World War I"/>
        <s v="76679 - Law - World War I"/>
        <s v="5635 - Law - World War I"/>
        <s v="110960 - Law - World War I"/>
        <s v="108290 - Law - World War I"/>
        <s v="117680 - Law - World War I"/>
        <s v="77183 - Law - World War I"/>
        <s v="147322 - Law - World War I"/>
        <s v="44120 - Law - World War I"/>
        <s v="44115 - Law - World War I"/>
        <s v="44117 - Law - World War I"/>
        <s v="76670 - Law - World War I"/>
        <s v="122347 - Law - World War I"/>
        <s v="112462 - Law - World War I"/>
        <s v="5636 - Law - World War I"/>
        <s v="112464 - Law - World War I"/>
        <s v="5639 - Law - World War I"/>
        <s v="44147 - Law - World War I"/>
        <s v="5638 - Law - World War I"/>
        <s v="103074 - Law - World War I"/>
        <s v="45913 - Law - World War I"/>
        <s v="120044 - Law - World War I"/>
        <s v="90973 - Law - World War I"/>
        <s v="103830 - Law - World War I"/>
        <s v="111765 - Law - World War I"/>
        <s v="45952 - Law - World War I"/>
        <s v="91749 - Law - World War I"/>
        <s v="120040 - Law - World War I"/>
        <s v="17143 - Law - World War I"/>
        <s v="120515 - Law - World War I"/>
        <s v="120045 - Law - World War I"/>
        <s v="122268 - Law - World War I"/>
        <s v="195737 - Law - World War I"/>
        <s v="78759 - Law - World War I"/>
        <s v="8857 - Law - World War I"/>
        <s v="8860 - Law - World War I"/>
        <s v="182790 - Law - World War I"/>
        <s v="120042 - Law - World War I"/>
        <s v="114941 - Law - World War I"/>
        <s v="108473 - Law - World War I"/>
        <s v="90968 - Law - World War I"/>
        <s v="114929 - Law - World War I"/>
        <s v="68868 - Law - World War I"/>
        <s v="103831 - Law - World War I"/>
        <s v="83272 - Law - World War I"/>
        <s v="120046 - Law - World War I"/>
        <s v="181989 - Finance - World War II"/>
        <s v="84359 - Finance - World War II"/>
        <s v="102939 - Finance - World War II"/>
        <s v="111504 - Finance - World War II"/>
        <s v="75678 - Finance - World War II"/>
        <s v="79005 - Finance - World War II"/>
        <s v="188360 - Finance - World War II"/>
        <s v="79695 - Self-Help - Cold War"/>
        <s v="73768 - Self-Help - Cold War"/>
        <s v="44663 - Self-Help - Cold War"/>
        <s v="766 - Self-Help - Cold War"/>
        <s v="109961 - Fiction - Military History"/>
        <s v="109932 - Fiction - Military History"/>
        <s v="109956 - Fiction - Military History"/>
        <s v="109962 - Fiction - Military History"/>
        <s v="101622 - Fiction - Military History"/>
        <s v="101623 - Fiction - Military History"/>
        <s v="4513 - Fiction - Military History"/>
        <s v="24648 - Fiction - Military History"/>
        <s v="16386 - Fiction - Military History"/>
        <s v="16383 - Fiction - Military History"/>
        <s v="113588 - Fiction - Military History"/>
        <s v="99392 - Fiction - Military History"/>
        <s v="99412 - Fiction - Military History"/>
        <s v="25306 - Fiction - Military History"/>
        <s v="99399 - Fiction - Military History"/>
        <s v="25304 - Fiction - Military History"/>
        <s v="99400 - Fiction - Military History"/>
        <s v="80484 - Fiction - Military History"/>
        <s v="14477 - Fiction - Military History"/>
        <s v="95056 - History - Economic History"/>
        <s v="78519 - History - Economic History"/>
        <s v="90377 - History - Economic History"/>
        <s v="90375 - History - Economic History"/>
        <s v="112073 - Arts - Political History"/>
        <s v="101339 - Arts - Political History"/>
        <s v="92421 - Arts - Political History"/>
        <s v="112079 - Arts - Political History"/>
        <s v="44716 - Arts - Political History"/>
        <s v="89640 - Arts - Political History"/>
        <s v="112072 - Arts - Political History"/>
        <s v="112991 - Arts - Political History"/>
        <s v="101587 - Arts - Political History"/>
        <s v="10525 - Arts - Political History"/>
        <s v="121349 - Arts - Political History"/>
        <s v="127811 - Arts - Political History"/>
        <s v="81507 - Arts - Political History"/>
        <s v="78412 - Arts - Political History"/>
        <s v="109312 - Arts - Political History"/>
        <s v="78502 - Arts - Political History"/>
        <s v="111498 - Arts - Political History"/>
        <s v="87242 - Arts - Political History"/>
        <s v="139286 - Arts - Political History"/>
        <s v="10524 - Arts - Political History"/>
        <s v="78397 - Arts - Political History"/>
        <s v="78421 - Arts - Political History"/>
        <s v="23420 - Arts - Political History"/>
        <s v="78498 - Arts - Political History"/>
        <s v="78427 - Arts - Political History"/>
        <s v="119256 - Arts - Political History"/>
        <s v="44731 - Arts - Political History"/>
        <s v="86852 - Arts - Political History"/>
        <s v="103137 - Arts - Political History"/>
        <s v="95079 - Arts - Political History"/>
        <s v="121568 - Arts - Political History"/>
        <s v="89645 - Arts - Political History"/>
        <s v="44691 - Arts - Political History"/>
        <s v="94055 - Arts - Political History"/>
        <s v="101586 - Arts - Political History"/>
        <s v="106731 - Arts - Political History"/>
        <s v="87072 - Arts - Political History"/>
        <s v="44711 - Arts - Political History"/>
        <s v="78428 - Arts - Political History"/>
        <s v="10531 - Arts - Political History"/>
        <s v="158475 - Arts - Political History"/>
        <s v="89633 - Arts - Political History"/>
        <s v="86836 - Arts - Political History"/>
        <s v="44698 - Arts - Political History"/>
        <s v="127870 - Arts - Political History"/>
        <s v="141891 - Arts - Political History"/>
        <s v="78426 - Arts - Political History"/>
        <s v="77792 - Arts - Political History"/>
        <s v="21027 - Arts - Political History"/>
        <s v="95063 - Arts - Political History"/>
        <s v="30314 - Arts - Political History"/>
        <s v="19838 - Arts - Political History"/>
        <s v="111283 - Arts - Political History"/>
        <s v="87568 - Arts - Political History"/>
        <s v="78419 - Arts - Political History"/>
        <s v="106806 - Arts - Political History"/>
        <s v="78420 - Arts - Political History"/>
        <s v="78442 - Arts - Political History"/>
        <s v="78492 - Arts - Political History"/>
        <s v="80297 - Arts - Political History"/>
        <s v="44712 - Arts - Political History"/>
        <s v="89736 - Arts - Political History"/>
        <s v="83270 - Arts - Political History"/>
        <s v="101588 - Arts - Political History"/>
        <s v="104171 - Arts - Political History"/>
        <s v="101042 - Arts - Political History"/>
        <s v="108881 - Arts - Political History"/>
        <s v="87571 - Arts - Political History"/>
        <s v="44718 - Arts - Political History"/>
        <s v="44735 - Arts - Political History"/>
        <s v="21035 - Arts - Political History"/>
        <s v="30308 - Arts - Political History"/>
        <s v="44694 - Arts - Political History"/>
        <s v="78493 - Arts - Political History"/>
        <s v="78409 - Arts - Political History"/>
        <s v="86844 - Arts - Political History"/>
        <s v="86771 - Arts - Political History"/>
        <s v="78511 - Arts - Political History"/>
        <s v="83267 - Arts - Political History"/>
        <s v="78490 - Arts - Political History"/>
        <s v="73175 - Arts - Political History"/>
        <s v="44730 - Arts - Political History"/>
        <s v="10535 - Arts - Political History"/>
        <s v="80299 - Arts - Political History"/>
        <s v="121350 - Arts - Political History"/>
        <s v="79958 - Arts - Political History"/>
        <s v="95074 - Arts - Political History"/>
        <s v="87574 - Arts - Political History"/>
        <s v="77769 - Arts - Political History"/>
        <s v="141889 - Arts - Political History"/>
        <s v="83269 - Arts - Political History"/>
        <s v="89647 - Arts - Political History"/>
        <s v="77256 - Arts - Political History"/>
        <s v="86840 - Arts - Political History"/>
        <s v="30306 - Arts - Political History"/>
        <s v="76427 - Arts - Political History"/>
        <s v="44706 - Arts - Political History"/>
        <s v="44701 - Arts - Political History"/>
        <s v="10537 - Arts - Political History"/>
        <s v="10523 - Arts - Political History"/>
        <s v="76664 - Arts - Political History"/>
        <s v="78472 - Arts - Political History"/>
        <s v="44721 - Arts - Political History"/>
        <s v="121576 - Arts - Political History"/>
        <s v="117208 - Arts - Political History"/>
        <s v="78497 - Arts - Political History"/>
        <s v="44726 - Arts - Political History"/>
        <s v="117210 - Arts - Political History"/>
        <s v="87082 - Arts - Political History"/>
        <s v="10529 - Arts - Political History"/>
        <s v="44705 - Arts - Political History"/>
        <s v="100564 - Arts - Political History"/>
        <s v="87193 - Arts - Political History"/>
        <s v="76044 - Arts - Political History"/>
        <s v="121578 - Arts - Political History"/>
        <s v="117206 - Arts - Political History"/>
        <s v="81519 - Arts - Political History"/>
        <s v="44724 - Arts - Political History"/>
        <s v="82114 - Arts - Political History"/>
        <s v="82115 - Arts - Political History"/>
        <s v="109307 - Arts - Political History"/>
        <s v="76046 - Arts - Political History"/>
        <s v="117187 - Arts - Political History"/>
        <s v="10538 - Arts - Political History"/>
        <s v="78508 - Arts - Political History"/>
        <s v="44723 - Arts - Political History"/>
        <s v="109309 - Arts - Political History"/>
        <s v="76656 - Arts - Political History"/>
        <s v="80305 - Arts - Political History"/>
        <s v="78506 - Arts - Political History"/>
        <s v="82133 - Arts - Political History"/>
        <s v="188805 - Arts - Political History"/>
        <s v="78481 - Arts - Political History"/>
        <s v="109310 - Arts - Political History"/>
        <s v="120689 - Arts - Political History"/>
        <s v="10540 - Arts - Political History"/>
        <s v="44727 - Arts - Political History"/>
        <s v="73190 - Arts - Political History"/>
        <s v="112169 - Arts - Political History"/>
        <s v="120695 - Arts - Political History"/>
        <s v="80270 - Arts - Political History"/>
        <s v="5795 - Arts - Political History"/>
        <s v="107316 - Arts - Political History"/>
        <s v="78482 - Arts - Political History"/>
        <s v="158473 - Arts - Political History"/>
        <s v="109308 - Arts - Political History"/>
        <s v="78507 - Arts - Political History"/>
        <s v="100827 - Arts - Political History"/>
        <s v="102189 - Arts - Political History"/>
        <s v="10522 - Arts - Political History"/>
        <s v="78467 - Arts - Political History"/>
        <s v="84367 - Arts - Political History"/>
        <s v="87402 - Arts - Political History"/>
        <s v="44707 - Arts - Political History"/>
        <s v="78400 - Arts - Political History"/>
        <s v="102188 - Arts - Political History"/>
        <s v="73173 - Arts - Political History"/>
        <s v="76661 - Arts - Political History"/>
        <s v="78479 - Arts - Political History"/>
        <s v="103401 - Arts - Political History"/>
        <s v="83340 - Arts - Political History"/>
        <s v="44725 - Arts - Political History"/>
        <s v="109311 - Arts - Political History"/>
        <s v="133901 - Tech - Cultural History"/>
        <s v="92678 - Tech - Cultural History"/>
        <s v="82447 - Tech - Cultural History"/>
        <s v="110126 - Tech - Cultural History"/>
        <s v="3219 - Tech - Cultural History"/>
        <s v="127007 - Tech - Cultural History"/>
        <s v="102277 - Tech - Cultural History"/>
        <s v="122544 - Tech - Cultural History"/>
        <s v="91486 - Tech - Cultural History"/>
        <s v="28009 - Tech - Cultural History"/>
        <s v="110814 - Tech - Cultural History"/>
        <s v="117437 - Tech - Cultural History"/>
        <s v="23074 - Tech - Cultural History"/>
        <s v="8900 - Tech - Cultural History"/>
        <s v="92676 - Tech - Cultural History"/>
        <s v="117266 - Tech - Cultural History"/>
        <s v="14527 - Tech - Cultural History"/>
        <s v="27534 - Tech - Cultural History"/>
        <s v="91636 - Tech - Cultural History"/>
        <s v="120941 - Tech - Cultural History"/>
        <s v="111897 - Tech - Cultural History"/>
        <s v="158485 - Tech - Cultural History"/>
        <s v="199530 - History - Social History"/>
        <s v="120946 - History - Social History"/>
        <s v="82957 - History - Social History"/>
        <s v="109830 - History - Social History"/>
        <s v="109831 - History - Social History"/>
        <s v="107899 - Arts - History of Science"/>
        <s v="139289 - Arts - History of Science"/>
        <s v="72129 - Arts - History of Science"/>
        <s v="106541 - Arts - History of Science"/>
        <s v="43810 - Arts - History of Science"/>
        <s v="83117 - Arts - History of Science"/>
        <s v="78863 - Arts - History of Science"/>
        <s v="107898 - Arts - History of Science"/>
        <s v="80181 - Arts - History of Science"/>
        <s v="150280 - Arts - History of Science"/>
        <s v="80173 - Arts - History of Science"/>
        <s v="100647 - Arts - History of Science"/>
        <s v="147273 - Arts - History of Science"/>
        <s v="83770 - Arts - History of Science"/>
        <s v="180773 - Arts - History of Science"/>
        <s v="80125 - Arts - History of Science"/>
        <s v="89909 - Arts - History of Science"/>
        <s v="80114 - Arts - History of Science"/>
        <s v="73916 - Arts - History of Science"/>
        <s v="80117 - Arts - History of Science"/>
        <s v="22008 - Arts - History of Science"/>
        <s v="76608 - Arts - History of Science"/>
        <s v="80793 - Arts - History of Science"/>
        <s v="102588 - Arts - History of Science"/>
        <s v="80794 - Arts - History of Science"/>
        <s v="80174 - Arts - History of Science"/>
        <s v="114722 - Arts - History of Science"/>
        <s v="180843 - Arts - History of Science"/>
        <s v="22020 - Arts - History of Science"/>
        <s v="111259 - Arts - History of Science"/>
        <s v="89895 - Arts - History of Science"/>
        <s v="22014 - Arts - History of Science"/>
        <s v="44254 - Arts - History of Science"/>
        <s v="22025 - Arts - History of Science"/>
        <s v="83765 - Arts - History of Science"/>
        <s v="89930 - Arts - History of Science"/>
        <s v="83767 - Arts - History of Science"/>
        <s v="83745 - Arts - History of Science"/>
        <s v="78827 - Arts - History of Science"/>
        <s v="122266 - Arts - History of Science"/>
        <s v="949 - Arts - History of Science"/>
        <s v="102595 - Arts - History of Science"/>
        <s v="80790 - Arts - History of Science"/>
        <s v="114257 - Arts - History of Science"/>
        <s v="80121 - Arts - History of Science"/>
        <s v="164929 - Arts - History of Science"/>
        <s v="80180 - Arts - History of Science"/>
        <s v="92930 - Arts - History of Science"/>
        <s v="147271 - Arts - History of Science"/>
        <s v="83748 - Arts - History of Science"/>
        <s v="80120 - Arts - History of Science"/>
        <s v="164931 - Arts - History of Science"/>
        <s v="78804 - Arts - History of Science"/>
        <s v="103096 - Arts - History of Science"/>
        <s v="180770 - Arts - History of Science"/>
        <s v="80115 - Arts - History of Science"/>
        <s v="83771 - Arts - History of Science"/>
        <s v="80124 - Arts - History of Science"/>
        <s v="80111 - Arts - History of Science"/>
        <s v="63864 - Arts - History of Science"/>
        <s v="76824 - Arts - History of Science"/>
        <s v="102599 - Arts - History of Science"/>
        <s v="103001 - Arts - History of Science"/>
        <s v="164928 - Arts - History of Science"/>
        <s v="80791 - Arts - History of Science"/>
        <s v="83223 - Arts - History of Science"/>
        <s v="951 - Arts - History of Science"/>
        <s v="149928 - Arts - History of Science"/>
        <s v="60375 - Arts - History of Science"/>
        <s v="102594 - Arts - History of Science"/>
        <s v="128218 - Arts - History of Science"/>
        <s v="80178 - Arts - History of Science"/>
        <s v="164932 - Arts - History of Science"/>
        <s v="22036 - Arts - History of Science"/>
        <s v="102585 - Arts - History of Science"/>
        <s v="78816 - Arts - History of Science"/>
        <s v="78822 - Arts - History of Science"/>
        <s v="83773 - Arts - History of Science"/>
        <s v="114720 - Arts - History of Science"/>
        <s v="83777 - Arts - History of Science"/>
        <s v="102593 - Arts - History of Science"/>
        <s v="164930 - Arts - History of Science"/>
        <s v="102584 - Arts - History of Science"/>
        <s v="102586 - Arts - History of Science"/>
        <s v="83758 - Arts - History of Science"/>
        <s v="80189 - Arts - History of Science"/>
        <s v="26148 - Arts - History of Science"/>
        <s v="121902 - Arts - History of Science"/>
        <s v="21032 - Arts - History of Science"/>
        <s v="22071 - Arts - History of Science"/>
        <s v="87404 - Arts - History of Science"/>
        <s v="42712 - Arts - History of Science"/>
        <s v="76609 - Arts - History of Science"/>
        <s v="952 - Arts - History of Science"/>
        <s v="26136 - Arts - History of Science"/>
        <s v="87502 - Arts - History of Science"/>
        <s v="73923 - Arts - History of Science"/>
        <s v="164927 - Arts - History of Science"/>
        <s v="108749 - Arts - History of Science"/>
        <s v="89919 - Arts - History of Science"/>
        <s v="112897 - Arts - History of Science"/>
        <s v="122013 - Arts - History of Science"/>
        <s v="89902 - Arts - History of Science"/>
        <s v="89900 - Arts - History of Science"/>
        <s v="92461 - Arts - History of Science"/>
        <s v="128834 - Fiction - History of Technology"/>
        <s v="135180 - Fiction - History of Technology"/>
        <s v="120582 - Fiction - History of Technology"/>
        <s v="105794 - Fiction - History of Technology"/>
        <s v="81049 - Fiction - History of Technology"/>
        <s v="13364 - Fiction - History of Technology"/>
        <s v="13361 - Fiction - History of Technology"/>
        <s v="75659 - Fiction - History of Technology"/>
        <s v="75655 - Fiction - History of Technology"/>
        <s v="117866 - Fiction - History of Technology"/>
        <s v="90556 - Fiction - History of Technology"/>
        <s v="68605 - Fiction - History of Technology"/>
        <s v="103829 - Fiction - History of Technology"/>
        <s v="90558 - Fiction - History of Technology"/>
        <s v="120490 - Fiction - History of Technology"/>
        <s v="75662 - Fiction - History of Technology"/>
        <s v="121298 - Fiction - History of Technology"/>
        <s v="13363 - Fiction - History of Technology"/>
        <s v="117863 - Fiction - History of Technology"/>
        <s v="68607 - Fiction - History of Technology"/>
        <s v="122705 - Fiction - History of Technology"/>
        <s v="88195 - Fiction - History of Technology"/>
        <s v="45523 - Fiction - History of Technology"/>
        <s v="158449 - Fiction - History of Technology"/>
        <s v="45518 - Fiction - History of Technology"/>
        <s v="96288 - Fiction - History of Technology"/>
        <s v="76981 - Fiction - History of Technology"/>
        <s v="113827 - Fiction - History of Technology"/>
        <s v="76987 - Fiction - History of Technology"/>
        <s v="113824 - Fiction - History of Technology"/>
        <s v="113823 - Fiction - History of Technology"/>
        <s v="156053 - Fiction - History of Technology"/>
        <s v="45522 - Fiction - History of Technology"/>
        <s v="99176 - Fiction - History of Technology"/>
        <s v="49219 - Fiction - History of Technology"/>
        <s v="102370 - Fiction - History of Technology"/>
        <s v="49222 - Fiction - History of Technology"/>
        <s v="102352 - Fiction - History of Technology"/>
        <s v="49233 - Fiction - History of Technology"/>
        <s v="99163 - Fiction - History of Technology"/>
        <s v="142785 - Fiction - History of Technology"/>
        <s v="113054 - Fiction - History of Technology"/>
        <s v="88105 - Fiction - History of Technology"/>
        <s v="97036 - Fiction - History of Technology"/>
        <s v="81229 - Fiction - History of Technology"/>
        <s v="120563 - Fiction - History of Technology"/>
        <s v="122290 - Fiction - History of Technology"/>
        <s v="122373 - Fiction - History of Technology"/>
        <s v="117830 - Fiction - History of Technology"/>
        <s v="109008 - Fiction - History of Technology"/>
        <s v="122371 - Fiction - History of Technology"/>
        <s v="109012 - Fiction - History of Technology"/>
        <s v="156047 - Fiction - History of Technology"/>
        <s v="117839 - Fiction - History of Technology"/>
        <s v="156051 - Fiction - History of Technology"/>
        <s v="156048 - Fiction - History of Technology"/>
        <s v="117832 - Fiction - History of Technology"/>
        <s v="117877 - Fiction - History of Technology"/>
        <s v="117876 - Fiction - History of Technology"/>
        <s v="83507 - Fiction - History of Technology"/>
        <s v="121285 - Fiction - History of Technology"/>
        <s v="122684 - Fiction - History of Technology"/>
        <s v="116615 - Fiction - History of Technology"/>
        <s v="121083 - Fiction - History of Technology"/>
        <s v="108936 - Fiction - History of Technology"/>
        <s v="128388 - Fiction - History of Technology"/>
        <s v="120559 - Fiction - History of Technology"/>
        <s v="122685 - Fiction - History of Technology"/>
        <s v="122686 - Fiction - History of Technology"/>
        <s v="181263 - Fiction - History of Technology"/>
        <s v="122723 - Fiction - History of Technology"/>
        <s v="26533 - Fiction - History of Technology"/>
        <s v="16048 - Fiction - History of Technology"/>
        <s v="16049 - Fiction - History of Technology"/>
        <s v="122421 - Finance - Personal Development"/>
        <s v="121718 - Finance - Personal Development"/>
        <s v="117892 - Finance - Personal Development"/>
        <s v="117893 - Finance - Personal Development"/>
        <s v="78448 - Finance - Personal Development"/>
        <s v="89463 - Finance - Personal Development"/>
        <s v="108096 - Finance - Personal Development"/>
        <s v="70495 - Finance - Personal Development"/>
        <s v="115733 - History - Productivity"/>
        <s v="26349 - History - Productivity"/>
        <s v="26350 - History - Productivity"/>
        <s v="115724 - History - Productivity"/>
        <s v="115726 - History - Productivity"/>
        <s v="26352 - History - Productivity"/>
        <s v="19782 - History - Productivity"/>
        <s v="19793 - History - Productivity"/>
        <s v="87604 - History - Productivity"/>
        <s v="29931 - History - Productivity"/>
        <s v="9335 - History - Productivity"/>
        <s v="88722 - History - Productivity"/>
        <s v="121865 - History - Productivity"/>
        <s v="100934 - History - Productivity"/>
        <s v="117116 - History - Productivity"/>
        <s v="19802 - History - Productivity"/>
        <s v="81780 - History - Productivity"/>
        <s v="117094 - History - Productivity"/>
        <s v="19797 - History - Productivity"/>
        <s v="86131 - History - Productivity"/>
        <s v="121864 - History - Productivity"/>
        <s v="15061 - History - Productivity"/>
        <s v="79929 - History - Productivity"/>
        <s v="19792 - History - Productivity"/>
        <s v="108805 - History - Productivity"/>
        <s v="71689 - History - Productivity"/>
        <s v="71718 - History - Productivity"/>
        <s v="19752 - History - Productivity"/>
        <s v="116205 - History - Productivity"/>
        <s v="117113 - History - Productivity"/>
        <s v="71716 - History - Productivity"/>
        <s v="44398 - History - Productivity"/>
        <s v="100932 - History - Productivity"/>
        <s v="117125 - History - Productivity"/>
        <s v="19746 - History - Productivity"/>
        <s v="80729 - History - Productivity"/>
        <s v="19800 - History - Productivity"/>
        <s v="19790 - History - Productivity"/>
        <s v="19747 - History - Productivity"/>
        <s v="44524 - Sports - Time Management"/>
        <s v="103839 - Sports - Time Management"/>
        <s v="195240 - Sports - Time Management"/>
        <s v="195244 - Sports - Time Management"/>
        <s v="119465 - Sports - Time Management"/>
        <s v="47081 - Sports - Time Management"/>
        <s v="91635 - Sports - Time Management"/>
        <s v="188359 - Sports - Time Management"/>
        <s v="29655 - Sports - Time Management"/>
        <s v="193188 - Sports - Time Management"/>
        <s v="188367 - Sports - Time Management"/>
        <s v="188853 - Sports - Time Management"/>
        <s v="116214 - Sports - Time Management"/>
        <s v="82296 - Sports - Time Management"/>
        <s v="10269 - Self-Help - Habits"/>
        <s v="121860 - Self-Help - Habits"/>
        <s v="100464 - Self-Help - Habits"/>
        <s v="10270 - Self-Help - Habits"/>
        <s v="10283 - Self-Help - Habits"/>
        <s v="10278 - Self-Help - Habits"/>
        <s v="10259 - Self-Help - Habits"/>
        <s v="200359 - Self-Help - Habits"/>
        <s v="10243 - Self-Help - Habits"/>
        <s v="200360 - Self-Help - Habits"/>
        <s v="196501 - Self-Help - Habits"/>
        <s v="100460 - Self-Help - Habits"/>
        <s v="5880 - Self-Help - Habits"/>
        <s v="5872 - Self-Help - Habits"/>
        <s v="114258 - Self-Help - Habits"/>
        <s v="11122 - Self-Help - Habits"/>
        <s v="116894 - Self-Help - Habits"/>
        <s v="72994 - Self-Help - Habits"/>
        <s v="120863 - Law - Motivation"/>
        <s v="120870 - Law - Motivation"/>
        <s v="120868 - Law - Motivation"/>
        <s v="102063 - Law - Motivation"/>
        <s v="120869 - Law - Motivation"/>
        <s v="120871 - Law - Motivation"/>
        <s v="24195 - Law - Motivation"/>
        <s v="120422 - Law - Motivation"/>
        <s v="120874 - Law - Motivation"/>
        <s v="120416 - Law - Motivation"/>
        <s v="80944 - Law - Motivation"/>
        <s v="120873 - Law - Motivation"/>
        <s v="120875 - Law - Motivation"/>
        <s v="147285 - Law - Motivation"/>
        <s v="88604 - Law - Motivation"/>
        <s v="120417 - Law - Motivation"/>
        <s v="113914 - Law - Motivation"/>
        <s v="68793 - Law - Motivation"/>
        <s v="106707 - Law - Motivation"/>
        <s v="24210 - Law - Motivation"/>
        <s v="44012 - Law - Motivation"/>
        <s v="106710 - Law - Motivation"/>
        <s v="117239 - Law - Motivation"/>
        <s v="80186 - Law - Motivation"/>
        <s v="80185 - Law - Motivation"/>
        <s v="107151 - Law - Motivation"/>
        <s v="120420 - Law - Motivation"/>
        <s v="80184 - Law - Motivation"/>
        <s v="107157 - Law - Motivation"/>
        <s v="118432 - Law - Motivation"/>
        <s v="86512 - Law - Motivation"/>
        <s v="118431 - Law - Motivation"/>
        <s v="80187 - Law - Motivation"/>
        <s v="107163 - Law - Motivation"/>
        <s v="108342 - Law - Motivation"/>
        <s v="20949 - Law - Motivation"/>
        <s v="118436 - Law - Motivation"/>
        <s v="113566 - Law - Motivation"/>
        <s v="113571 - Law - Motivation"/>
        <s v="107160 - Law - Motivation"/>
        <s v="44007 - Law - Motivation"/>
        <s v="69453 - Law - Motivation"/>
        <s v="122690 - Law - Motivation"/>
        <s v="117243 - Law - Motivation"/>
        <s v="71988 - Law - Motivation"/>
        <s v="111582 - Law - Motivation"/>
        <s v="77235 - Law - Motivation"/>
        <s v="105272 - Law - Motivation"/>
        <s v="120809 - Law - Motivation"/>
        <s v="10651 - Law - Motivation"/>
        <s v="10657 - Law - Motivation"/>
        <s v="9132 - Law - Motivation"/>
        <s v="197151 - Law - Motivation"/>
        <s v="73386 - Law - Motivation"/>
        <s v="121604 - Law - Motivation"/>
        <s v="89533 - Law - Motivation"/>
        <s v="73381 - Law - Motivation"/>
        <s v="26096 - Law - Motivation"/>
        <s v="119050 - Law - Motivation"/>
        <s v="44028 - Law - Motivation"/>
        <s v="73572 - Law - Motivation"/>
        <s v="83083 - Law - Motivation"/>
        <s v="13338 - Law - Motivation"/>
        <s v="83418 - Law - Motivation"/>
        <s v="68640 - Law - Motivation"/>
        <s v="10647 - Law - Motivation"/>
        <s v="85884 - Law - Motivation"/>
        <s v="113933 - Law - Motivation"/>
        <s v="188843 - Law - Motivation"/>
        <s v="13342 - Law - Motivation"/>
        <s v="83002 - Law - Motivation"/>
        <s v="112860 - Law - Motivation"/>
        <s v="118374 - Law - Motivation"/>
        <s v="119049 - Law - Motivation"/>
        <s v="120964 - Law - Motivation"/>
        <s v="26093 - Law - Motivation"/>
        <s v="99311 - Law - Motivation"/>
        <s v="9131 - Law - Motivation"/>
        <s v="122167 - Law - Motivation"/>
        <s v="10649 - Law - Motivation"/>
        <s v="85875 - Law - Motivation"/>
        <s v="9136 - Law - Motivation"/>
        <s v="121835 - Law - Motivation"/>
        <s v="113934 - Law - Motivation"/>
        <s v="5750 - Law - Motivation"/>
        <s v="73390 - Law - Motivation"/>
        <s v="114251 - Law - Motivation"/>
        <s v="73392 - Law - Motivation"/>
        <s v="9128 - Law - Motivation"/>
        <s v="122672 - Law - Motivation"/>
        <s v="85857 - Law - Motivation"/>
        <s v="9129 - Law - Motivation"/>
        <s v="162438 - Law - Motivation"/>
        <s v="73391 - Law - Motivation"/>
        <s v="46428 - Law - Motivation"/>
        <s v="85861 - Law - Motivation"/>
        <s v="69324 - Law - Motivation"/>
        <s v="122618 - Law - Motivation"/>
        <s v="99312 - Law - Motivation"/>
        <s v="113932 - Law - Motivation"/>
        <s v="5751 - Law - Motivation"/>
        <s v="85885 - Law - Motivation"/>
        <s v="87877 - Law - Motivation"/>
        <s v="197150 - Law - Motivation"/>
        <s v="87878 - Law - Motivation"/>
        <s v="122166 - Law - Motivation"/>
        <s v="122617 - Law - Motivation"/>
        <s v="118590 - Law - Motivation"/>
        <s v="122366 - Law - Motivation"/>
        <s v="83001 - Law - Motivation"/>
        <s v="118594 - Law - Motivation"/>
        <s v="85881 - Law - Motivation"/>
        <s v="10655 - Law - Motivation"/>
        <s v="121606 - Law - Motivation"/>
        <s v="13341 - Law - Motivation"/>
        <s v="122631 - Law - Motivation"/>
        <s v="189132 - Law - Motivation"/>
        <s v="87876 - Law - Motivation"/>
        <s v="26094 - Law - Motivation"/>
        <s v="189129 - Law - Motivation"/>
        <s v="10654 - Law - Motivation"/>
        <s v="5754 - Law - Motivation"/>
        <s v="10648 - Law - Motivation"/>
        <s v="114947 - Law - Motivation"/>
        <s v="44728 - Law - Motivation"/>
        <s v="120709 - Law - Motivation"/>
        <s v="114949 - Law - Motivation"/>
        <s v="48706 - Law - Motivation"/>
        <s v="78411 - Law - Motivation"/>
        <s v="120016 - Law - Motivation"/>
        <s v="120710 - Law - Motivation"/>
        <s v="48705 - Law - Motivation"/>
        <s v="114948 - Law - Motivation"/>
        <s v="117330 - Law - Motivation"/>
        <s v="89665 - Law - Motivation"/>
        <s v="89450 - Sports - Mindfulness"/>
        <s v="72080 - Sports - Mindfulness"/>
        <s v="72086 - Sports - Mindfulness"/>
        <s v="117076 - Sports - Mindfulness"/>
        <s v="72081 - Sports - Mindfulness"/>
        <s v="72088 - Sports - Mindfulness"/>
        <s v="72078 - Sports - Mindfulness"/>
        <s v="72085 - Sports - Mindfulness"/>
        <s v="112204 - Sports - Mindfulness"/>
        <s v="59138 - Sports - Mindfulness"/>
        <s v="72074 - Sports - Mindfulness"/>
        <s v="72096 - Sports - Mindfulness"/>
        <s v="72099 - Sports - Mindfulness"/>
        <s v="89451 - Sports - Mindfulness"/>
        <s v="29606 - Sports - Mindfulness"/>
        <s v="72089 - Sports - Mindfulness"/>
        <s v="29601 - Sports - Mindfulness"/>
        <s v="50372 - Sports - Mindfulness"/>
        <s v="89452 - Sports - Mindfulness"/>
        <s v="156019 - Sports - Mindfulness"/>
        <s v="117705 - Sports - Mindfulness"/>
        <s v="121184 - Sports - Mindfulness"/>
        <s v="89446 - Sports - Mindfulness"/>
        <s v="102339 - Sports - Mindfulness"/>
        <s v="121193 - Sports - Mindfulness"/>
        <s v="102332 - Sports - Mindfulness"/>
        <s v="121775 - Sports - Mindfulness"/>
        <s v="100903 - Sports - Mindfulness"/>
        <s v="81463 - Sports - Mindfulness"/>
        <s v="75788 - Sports - Mindfulness"/>
        <s v="121185 - Sports - Mindfulness"/>
        <s v="89440 - Sports - Mindfulness"/>
        <s v="103058 - Sports - Mindfulness"/>
        <s v="117716 - Sports - Mindfulness"/>
        <s v="71287 - Sports - Mindfulness"/>
        <s v="110685 - Sports - Mindfulness"/>
        <s v="79335 - Sports - Mindfulness"/>
        <s v="45538 - Sports - Mindfulness"/>
        <s v="76691 - Sports - Mindfulness"/>
        <s v="2336 - Sports - Mindfulness"/>
        <s v="91912 - Sports - Mindfulness"/>
        <s v="110826 - Sports - Mindfulness"/>
        <s v="117710 - Sports - Mindfulness"/>
        <s v="3621 - Sports - Mindfulness"/>
        <s v="4179 - Sports - Mindfulness"/>
        <s v="89407 - Sports - Mindfulness"/>
        <s v="121190 - Sports - Mindfulness"/>
        <s v="45524 - Sports - Mindfulness"/>
        <s v="3634 - Sports - Mindfulness"/>
        <s v="104327 - Sports - Mindfulness"/>
        <s v="71282 - Sports - Mindfulness"/>
        <s v="89411 - Sports - Mindfulness"/>
        <s v="105361 - Sports - Mindfulness"/>
        <s v="105359 - Sports - Mindfulness"/>
        <s v="75174 - Sports - Mindfulness"/>
        <s v="11895 - Sports - Mindfulness"/>
        <s v="11812 - Sports - Mindfulness"/>
        <s v="11815 - Sports - Mindfulness"/>
        <s v="11784 - Sports - Mindfulness"/>
        <s v="89241 - Sports - Mindfulness"/>
        <s v="117688 - Sports - Mindfulness"/>
        <s v="77688 - Sports - Mindfulness"/>
        <s v="89282 - Sports - Mindfulness"/>
        <s v="11769 - Sports - Mindfulness"/>
        <s v="117544 - Sports - Mindfulness"/>
        <s v="94860 - Sports - Mindfulness"/>
        <s v="79041 - Sports - Mindfulness"/>
        <s v="117686 - Sports - Mindfulness"/>
        <s v="89299 - Sports - Mindfulness"/>
        <s v="11823 - Sports - Mindfulness"/>
        <s v="117543 - Sports - Mindfulness"/>
        <s v="11765 - Sports - Mindfulness"/>
        <s v="121519 - Sports - Mindfulness"/>
        <s v="71276 - Sports - Mindfulness"/>
        <s v="120135 - Sports - Mindfulness"/>
        <s v="116793 - Sports - Mindfulness"/>
        <s v="11774 - Sports - Mindfulness"/>
        <s v="11900 - Sports - Mindfulness"/>
        <s v="11809 - Sports - Mindfulness"/>
        <s v="117642 - Sports - Mindfulness"/>
        <s v="71259 - Sports - Mindfulness"/>
        <s v="79047 - Sports - Mindfulness"/>
        <s v="11796 - Sports - Mindfulness"/>
        <s v="79043 - Sports - Mindfulness"/>
        <s v="89246 - Sports - Mindfulness"/>
        <s v="71275 - Sports - Mindfulness"/>
        <s v="11800 - Sports - Mindfulness"/>
        <s v="11818 - Sports - Mindfulness"/>
        <s v="11795 - Sports - Mindfulness"/>
        <s v="117641 - Sports - Mindfulness"/>
        <s v="82579 - Sports - Mindfulness"/>
        <s v="120153 - Sports - Mindfulness"/>
        <s v="81320 - Sports - Mindfulness"/>
        <s v="121517 - Sports - Mindfulness"/>
        <s v="89276 - Sports - Mindfulness"/>
        <s v="11822 - Sports - Mindfulness"/>
        <s v="11771 - Sports - Mindfulness"/>
        <s v="89295 - Sports - Mindfulness"/>
        <s v="117684 - Sports - Mindfulness"/>
        <s v="11817 - Sports - Mindfulness"/>
        <s v="120697 - Sports - Mindfulness"/>
        <s v="11783 - Sports - Mindfulness"/>
        <s v="11821 - Sports - Mindfulness"/>
        <s v="11814 - Sports - Mindfulness"/>
        <s v="71242 - Sports - Mindfulness"/>
        <s v="120449 - Arts - Stress Management"/>
        <s v="23682 - Arts - Stress Management"/>
        <s v="119076 - Arts - Stress Management"/>
        <s v="9139 - Arts - Stress Management"/>
        <s v="9138 - Arts - Stress Management"/>
        <s v="109483 - Arts - Stress Management"/>
        <s v="120438 - Arts - Stress Management"/>
        <s v="120439 - Arts - Stress Management"/>
        <s v="23681 - Arts - Stress Management"/>
        <s v="89564 - Arts - Stress Management"/>
        <s v="111962 - Arts - Stress Management"/>
        <s v="124771 - Arts - Stress Management"/>
        <s v="120446 - Arts - Stress Management"/>
        <s v="111973 - Arts - Stress Management"/>
        <s v="120437 - Arts - Stress Management"/>
        <s v="124769 - Arts - Stress Management"/>
        <s v="111972 - Arts - Stress Management"/>
        <s v="47390 - Arts - Stress Management"/>
        <s v="27047 - Arts - Stress Management"/>
        <s v="68713 - Arts - Stress Management"/>
        <s v="120568 - Arts - Stress Management"/>
        <s v="120567 - Arts - Stress Management"/>
        <s v="77038 - Arts - Stress Management"/>
        <s v="87760 - Tech - Communication Skills"/>
        <s v="122612 - Tech - Communication Skills"/>
        <s v="110655 - Tech - Communication Skills"/>
        <s v="87785 - Tech - Communication Skills"/>
        <s v="122629 - Tech - Communication Skills"/>
        <s v="122614 - Tech - Communication Skills"/>
        <s v="122788 - Tech - Communication Skills"/>
        <s v="20226 - Tech - Communication Skills"/>
        <s v="120894 - Tech - Communication Skills"/>
        <s v="46762 - Tech - Communication Skills"/>
        <s v="118212 - Tech - Communication Skills"/>
        <s v="150950 - Tech - Communication Skills"/>
        <s v="190106 - Tech - Communication Skills"/>
        <s v="79810 - Tech - Communication Skills"/>
        <s v="82459 - Tech - Communication Skills"/>
        <s v="49360 - Tech - Communication Skills"/>
        <s v="194507 - Tech - Communication Skills"/>
        <s v="82453 - Tech - Communication Skills"/>
        <s v="79669 - Tech - Communication Skills"/>
        <s v="122294 - Tech - Communication Skills"/>
        <s v="73245 - Tech - Communication Skills"/>
        <s v="122082 - Tech - Communication Skills"/>
        <s v="194501 - Tech - Communication Skills"/>
        <s v="79105 - Tech - Communication Skills"/>
        <s v="87769 - Tech - Communication Skills"/>
        <s v="9734 - Tech - Communication Skills"/>
        <s v="149615 - Tech - Communication Skills"/>
        <s v="108966 - Tech - Communication Skills"/>
        <s v="116943 - Tech - Communication Skills"/>
        <s v="46769 - Tech - Communication Skills"/>
        <s v="87766 - Tech - Communication Skills"/>
        <s v="110701 - Tech - Communication Skills"/>
        <s v="4205 - Tech - Communication Skills"/>
        <s v="122615 - Tech - Communication Skills"/>
        <s v="87800 - Tech - Communication Skills"/>
        <s v="87801 - Tech - Communication Skills"/>
        <s v="87767 - Tech - Communication Skills"/>
        <s v="82454 - Tech - Communication Skills"/>
        <s v="194506 - Tech - Communication Skills"/>
        <s v="16240 - Tech - Communication Skills"/>
        <s v="16237 - Tech - Communication Skills"/>
        <s v="122760 - Tech - Communication Skills"/>
        <s v="82446 - Tech - Communication Skills"/>
        <s v="118333 - Tech - Communication Skills"/>
        <s v="122774 - Tech - Communication Skills"/>
        <s v="87789 - Tech - Communication Skills"/>
        <s v="111159 - Tech - Communication Skills"/>
        <s v="194500 - Tech - Communication Skills"/>
        <s v="80432 - Tech - Communication Skills"/>
        <s v="122636 - Tech - Communication Skills"/>
        <s v="110697 - Tech - Communication Skills"/>
        <s v="117966 - Tech - Communication Skills"/>
        <s v="122782 - Tech - Communication Skills"/>
        <s v="49358 - Tech - Communication Skills"/>
        <s v="190250 - Tech - Communication Skills"/>
        <s v="100243 - Tech - Communication Skills"/>
        <s v="87773 - Tech - Communication Skills"/>
        <s v="79103 - Tech - Communication Skills"/>
        <s v="87759 - Tech - Communication Skills"/>
        <s v="82461 - Tech - Communication Skills"/>
        <s v="122613 - Tech - Communication Skills"/>
        <s v="79746 - Tech - Communication Skills"/>
        <s v="110860 - Tech - Communication Skills"/>
        <s v="49355 - Tech - Communication Skills"/>
        <s v="93520 - Tech - Communication Skills"/>
        <s v="87765 - Tech - Communication Skills"/>
        <s v="110863 - Tech - Communication Skills"/>
        <s v="16238 - Tech - Communication Skills"/>
        <s v="122643 - Tech - Communication Skills"/>
        <s v="82452 - Tech - Communication Skills"/>
        <s v="122775 - Tech - Communication Skills"/>
        <s v="100240 - Tech - Communication Skills"/>
        <s v="87758 - Tech - Communication Skills"/>
        <s v="110689 - Tech - Communication Skills"/>
        <s v="110704 - Tech - Communication Skills"/>
        <s v="82455 - Tech - Communication Skills"/>
        <s v="127013 - Tech - Communication Skills"/>
        <s v="113063 - Tech - Communication Skills"/>
        <s v="11296 - Tech - Communication Skills"/>
        <s v="105305 - Tech - Communication Skills"/>
        <s v="73244 - Tech - Communication Skills"/>
        <s v="82458 - Tech - Communication Skills"/>
        <s v="105302 - Tech - Communication Skills"/>
        <s v="150951 - Tech - Communication Skills"/>
        <s v="122492 - Tech - Communication Skills"/>
        <s v="110436 - Tech - Communication Skills"/>
        <s v="10674 - Tech - Communication Skills"/>
        <s v="117166 - Tech - Communication Skills"/>
        <s v="111776 - Tech - Communication Skills"/>
        <s v="122388 - Tech - Communication Skills"/>
        <s v="117160 - Tech - Communication Skills"/>
        <s v="98795 - Tech - Communication Skills"/>
        <s v="117150 - Tech - Communication Skills"/>
        <s v="109416 - Tech - Communication Skills"/>
        <s v="122291 - Tech - Communication Skills"/>
        <s v="21820 - Tech - Communication Skills"/>
        <s v="150105 - Tech - Communication Skills"/>
        <s v="46474 - Tech - Communication Skills"/>
        <s v="118207 - Tech - Communication Skills"/>
        <s v="111007 - Tech - Communication Skills"/>
        <s v="9727 - Tech - Communication Skills"/>
        <s v="72321 - Tech - Communication Skills"/>
        <s v="100063 - Tech - Communication Skills"/>
        <s v="79818 - Tech - Communication Skills"/>
        <s v="121731 - Tech - Communication Skills"/>
        <s v="200584 - Tech - Communication Skills"/>
        <s v="68600 - Tech - Communication Skills"/>
        <s v="98788 - Tech - Communication Skills"/>
        <s v="122390 - Tech - Communication Skills"/>
        <s v="109930 - Tech - Communication Skills"/>
        <s v="118299 - Tech - Communication Skills"/>
        <s v="72320 - Tech - Communication Skills"/>
        <s v="87839 - Tech - Communication Skills"/>
        <s v="79819 - Tech - Communication Skills"/>
        <s v="117169 - Tech - Communication Skills"/>
        <s v="200585 - Tech - Communication Skills"/>
        <s v="70339 - Tech - Communication Skills"/>
        <s v="45597 - Tech - Communication Skills"/>
        <s v="117147 - Tech - Communication Skills"/>
        <s v="46309 - Tech - Communication Skills"/>
        <s v="45595 - Tech - Communication Skills"/>
        <s v="100311 - Tech - Communication Skills"/>
        <s v="122491 - Tech - Communication Skills"/>
        <s v="117466 - Tech - Communication Skills"/>
        <s v="85107 - Tech - Communication Skills"/>
        <s v="45594 - Tech - Communication Skills"/>
        <s v="118298 - Tech - Communication Skills"/>
        <s v="98802 - Tech - Communication Skills"/>
        <s v="46985 - Tech - Communication Skills"/>
        <s v="46476 - Tech - Communication Skills"/>
        <s v="110187 - Tech - Communication Skills"/>
        <s v="79988 - Tech - Communication Skills"/>
        <s v="46970 - Tech - Communication Skills"/>
        <s v="6519 - Tech - Communication Skills"/>
        <s v="118205 - Tech - Communication Skills"/>
        <s v="109412 - Tech - Communication Skills"/>
        <s v="117931 - Tech - Communication Skills"/>
        <s v="70042 - Tech - Communication Skills"/>
        <s v="150104 - Tech - Communication Skills"/>
        <s v="72319 - Tech - Communication Skills"/>
        <s v="100060 - Tech - Communication Skills"/>
        <s v="6521 - Tech - Communication Skills"/>
        <s v="45058 - Tech - Communication Skills"/>
        <s v="117139 - Tech - Communication Skills"/>
        <s v="117464 - Tech - Communication Skills"/>
        <s v="111777 - Tech - Communication Skills"/>
        <s v="122375 - Tech - Communication Skills"/>
        <s v="122282 - Tech - Communication Skills"/>
        <s v="47161 - Tech - Communication Skills"/>
        <s v="47159 - Tech - Communication Skills"/>
        <s v="71327 - Tech - Communication Skills"/>
        <s v="122276 - Tech - Communication Skills"/>
        <s v="72806 - Tech - Communication Skills"/>
        <s v="100248 - Tech - Communication Skills"/>
        <s v="122378 - Tech - Communication Skills"/>
        <s v="44762 - Tech - Communication Skills"/>
        <s v="100247 - Tech - Communication Skills"/>
        <s v="182272 - Tech - Communication Skills"/>
        <s v="128297 - Tech - Communication Skills"/>
        <s v="10673 - Tech - Communication Skills"/>
        <s v="69332 - Tech - Communication Skills"/>
        <s v="151239 - Tech - Communication Skills"/>
        <s v="116667 - Tech - Communication Skills"/>
        <s v="72809 - Tech - Communication Skills"/>
        <s v="165917 - Tech - Communication Skills"/>
        <s v="8746 - Tech - Communication Skills"/>
        <s v="122374 - Tech - Communication Skills"/>
        <s v="118166 - Tech - Communication Skills"/>
        <s v="42729 - Tech - Communication Skills"/>
        <s v="182271 - Tech - Communication Skills"/>
        <s v="109211 - Tech - Communication Skills"/>
        <s v="192901 - Tech - Communication Skills"/>
        <s v="122379 - Tech - Communication Skills"/>
        <s v="109891 - Tech - Communication Skills"/>
        <s v="125688 - Tech - Communication Skills"/>
        <s v="68599 - Tech - Communication Skills"/>
        <s v="104841 - Tech - Communication Skills"/>
        <s v="20243 - Tech - Communication Skills"/>
        <s v="10332 - Tech - Communication Skills"/>
        <s v="7361 - Tech - Communication Skills"/>
        <s v="21320 - Tech - Communication Skills"/>
        <s v="7365 - Tech - Communication Skills"/>
        <s v="7364 - Tech - Communication Skills"/>
        <s v="7362 - Tech - Communication Skills"/>
        <s v="117237 - History - Leadership"/>
        <s v="19784 - History - Leadership"/>
        <s v="9329 - History - Leadership"/>
        <s v="10859 - Fiction - Decision Making"/>
        <s v="118329 - Fiction - Decision Making"/>
        <s v="105169 - Fiction - Decision Making"/>
        <s v="90567 - Fiction - Decision Making"/>
        <s v="46672 - Fiction - Decision Making"/>
        <s v="118229 - Fiction - Decision Making"/>
        <s v="193230 - Fiction - Decision Making"/>
        <s v="193254 - Fiction - Decision Making"/>
        <s v="113228 - Fiction - Decision Making"/>
        <s v="193193 - Fiction - Decision Making"/>
        <s v="113223 - Fiction - Decision Making"/>
        <s v="113227 - Fiction - Decision Making"/>
        <s v="114198 - Fiction - Decision Making"/>
        <s v="100451 - Fiction - Decision Making"/>
        <s v="100446 - Fiction - Decision Making"/>
        <s v="193253 - Fiction - Decision Making"/>
        <s v="82432 - Fiction - Decision Making"/>
        <s v="122703 - Tech - Emotional Intelligence"/>
        <s v="129410 - Tech - Emotional Intelligence"/>
        <s v="103236 - Tech - Career Development"/>
        <s v="127534 - Tech - Career Development"/>
        <s v="100906 - Tech - Career Development"/>
        <s v="109098 - Tech - Career Development"/>
        <s v="155864 - Tech - Career Development"/>
        <s v="120314 - Tech - Career Development"/>
        <s v="199547 - Tech - Career Development"/>
        <s v="110540 - Tech - Career Development"/>
        <s v="182190 - Tech - Career Development"/>
        <s v="79341 - Tech - Career Development"/>
        <s v="108969 - Tech - Career Development"/>
        <s v="79939 - Tech - Career Development"/>
        <s v="11733 - Tech - Career Development"/>
        <s v="12647 - Tech - Career Development"/>
        <s v="122292 - Tech - Career Development"/>
        <s v="117433 - Tech - Career Development"/>
        <s v="127018 - Tech - Career Development"/>
        <s v="9705 - Tech - Career Development"/>
        <s v="9703 - Tech - Career Development"/>
        <s v="86005 - Tech - Career Development"/>
        <s v="9704 - Tech - Career Development"/>
        <s v="182189 - Tech - Career Development"/>
        <s v="29452 - Tech - Career Development"/>
        <s v="122485 - Tech - Career Development"/>
        <s v="9706 - Tech - Career Development"/>
        <s v="12648 - Tech - Career Development"/>
        <s v="93899 - Tech - Career Development"/>
        <s v="28890 - Tech - Career Development"/>
        <s v="17638 - Tech - Career Development"/>
        <s v="28888 - Tech - Career Development"/>
        <s v="29455 - Tech - Career Development"/>
        <s v="93895 - Tech - Career Development"/>
        <s v="116417 - Tech - Career Development"/>
        <s v="1971 - Tech - Career Development"/>
        <s v="12649 - Tech - Career Development"/>
        <s v="93896 - Tech - Career Development"/>
        <s v="44386 - Tech - Career Development"/>
        <s v="188156 - Tech - Career Development"/>
        <s v="7360 - Tech - Career Development"/>
        <s v="79323 - Tech - Career Development"/>
        <s v="72015 - Tech - Career Development"/>
        <s v="44310 - Tech - Career Development"/>
        <s v="77044 - Tech - Career Development"/>
        <s v="120636 - Tech - Career Development"/>
        <s v="92662 - Tech - Career Development"/>
        <s v="117263 - Tech - Career Development"/>
        <s v="117261 - Tech - Career Development"/>
        <s v="10644 - Tech - Career Development"/>
        <s v="102457 - Tech - Career Development"/>
        <s v="117419 - Tech - Career Development"/>
        <s v="150939 - Tech - Career Development"/>
        <s v="10517 - Tech - Career Development"/>
        <s v="79109 - Tech - Career Development"/>
        <s v="118918 - Tech - Career Development"/>
        <s v="102456 - Tech - Career Development"/>
        <s v="155865 - Tech - Career Development"/>
        <s v="100443 - Tech - Career Development"/>
        <s v="93833 - Tech - Career Development"/>
        <s v="76693 - Tech - Career Development"/>
        <s v="100441 - Tech - Career Development"/>
        <s v="103230 - Tech - Career Development"/>
        <s v="117902 - Fiction - Life Planning"/>
        <s v="105745 - Fiction - Life Planning"/>
        <s v="100811 - Fiction - Life Planning"/>
        <s v="102505 - Fiction - Life Planning"/>
        <s v="121317 - Fiction - Life Planning"/>
        <s v="121318 - Fiction - Life Planning"/>
        <s v="95155 - Fiction - Life Planning"/>
        <s v="25199 - Fiction - Life Planning"/>
        <s v="156020 - Fiction - Life Planning"/>
        <s v="28587 - Fiction - Life Planning"/>
        <s v="16050 - Fiction - Life Planning"/>
        <s v="119453 - Fiction - Life Planning"/>
        <s v="113070 - Fiction - Life Planning"/>
        <s v="99097 - Fiction - Life Planning"/>
        <s v="99099 - Fiction - Life Planning"/>
        <s v="104998 - History - Confidence Building"/>
        <s v="110524 - History - Confidence Building"/>
        <s v="117133 - Fiction - Football"/>
        <s v="70696 - Fiction - Football"/>
        <s v="121278 - Fiction - Football"/>
        <s v="74382 - History - Basketball"/>
        <s v="121921 - History - Basketball"/>
        <s v="83853 - History - Basketball"/>
        <s v="111706 - History - Basketball"/>
        <s v="15062 - History - Basketball"/>
        <s v="79948 - History - Basketball"/>
        <s v="84400 - History - Basketball"/>
        <s v="79299 - History - Basketball"/>
        <s v="19776 - History - Basketball"/>
        <s v="74392 - History - Basketball"/>
        <s v="83399 - History - Basketball"/>
        <s v="74383 - History - Basketball"/>
        <s v="100819 - History - Basketball"/>
        <s v="190857 - History - Basketball"/>
        <s v="120331 - History - Basketball"/>
        <s v="87580 - History - Basketball"/>
        <s v="79300 - History - Basketball"/>
        <s v="79950 - History - Basketball"/>
        <s v="84402 - History - Basketball"/>
        <s v="79298 - History - Basketball"/>
        <s v="145105 - Fiction - Tennis"/>
        <s v="92313 - Fiction - Tennis"/>
        <s v="121735 - Fiction - Tennis"/>
        <s v="47545 - Law - Athletics"/>
        <s v="122630 - Law - Athletics"/>
        <s v="159490 - Law - Athletics"/>
        <s v="120519 - Law - Athletics"/>
        <s v="159403 - Law - Athletics"/>
        <s v="159617 - Law - Athletics"/>
        <s v="85839 - Law - Athletics"/>
        <s v="85838 - Law - Athletics"/>
        <s v="8868 - Law - Athletics"/>
        <s v="116191 - Law - Athletics"/>
        <s v="90828 - Law - Athletics"/>
        <s v="26276 - Law - Athletics"/>
        <s v="29022 - Law - Athletics"/>
        <s v="111081 - Law - Athletics"/>
        <s v="26277 - Law - Athletics"/>
        <s v="100251 - Law - Athletics"/>
        <s v="87885 - Law - Athletics"/>
        <s v="29023 - Law - Athletics"/>
        <s v="100250 - Law - Athletics"/>
        <s v="116320 - Law - Athletics"/>
        <s v="122149 - Law - Athletics"/>
        <s v="107220 - Law - Athletics"/>
        <s v="122151 - Law - Athletics"/>
        <s v="115766 - Law - Athletics"/>
        <s v="114033 - Law - Athletics"/>
        <s v="149508 - Law - Athletics"/>
        <s v="107256 - Law - Athletics"/>
        <s v="121615 - Law - Athletics"/>
        <s v="107226 - Law - Athletics"/>
        <s v="120188 - Law - Athletics"/>
        <s v="107944 - Law - Athletics"/>
        <s v="70243 - Law - Athletics"/>
        <s v="149505 - Law - Athletics"/>
        <s v="101428 - Law - Athletics"/>
        <s v="121798 - Law - Athletics"/>
        <s v="88636 - Law - Athletics"/>
        <s v="111038 - Law - Athletics"/>
        <s v="75032 - Law - Athletics"/>
        <s v="70187 - Law - Athletics"/>
        <s v="147278 - Law - Athletics"/>
        <s v="114972 - Law - Athletics"/>
        <s v="75072 - Law - Athletics"/>
        <s v="114971 - Law - Athletics"/>
        <s v="99981 - Law - Athletics"/>
        <s v="86383 - Law - Athletics"/>
        <s v="89587 - Law - Athletics"/>
        <s v="89516 - Law - Athletics"/>
        <s v="89519 - Law - Athletics"/>
        <s v="75060 - Law - Athletics"/>
        <s v="111745 - Law - Athletics"/>
        <s v="70242 - Law - Athletics"/>
        <s v="75061 - Law - Athletics"/>
        <s v="69467 - Law - Athletics"/>
        <s v="121800 - Law - Athletics"/>
        <s v="110974 - Law - Athletics"/>
        <s v="114969 - Law - Athletics"/>
        <s v="111041 - Law - Athletics"/>
        <s v="82382 - Law - Athletics"/>
        <s v="89634 - Law - Athletics"/>
        <s v="82381 - Law - Athletics"/>
        <s v="107232 - Law - Athletics"/>
        <s v="70247 - Law - Athletics"/>
        <s v="107253 - Law - Athletics"/>
        <s v="102709 - Law - Athletics"/>
        <s v="75050 - Law - Athletics"/>
        <s v="111014 - Law - Athletics"/>
        <s v="120282 - Tech - Cycling"/>
        <s v="84512 - Tech - Cycling"/>
        <s v="77197 - Tech - Cycling"/>
        <s v="29650 - Tech - Cycling"/>
        <s v="4162 - Tech - Cycling"/>
        <s v="88214 - Tech - Cycling"/>
        <s v="73254 - Tech - Cycling"/>
        <s v="108204 - Tech - Cycling"/>
        <s v="9676 - Tech - Cycling"/>
        <s v="44412 - Tech - Cycling"/>
        <s v="73253 - Tech - Cycling"/>
        <s v="122516 - Tech - Cycling"/>
        <s v="70314 - Tech - Cycling"/>
        <s v="17644 - Tech - Cycling"/>
        <s v="118996 - Tech - Cycling"/>
        <s v="79199 - Tech - Cycling"/>
        <s v="128316 - Tech - Cycling"/>
        <s v="7933 - Tech - Cycling"/>
        <s v="85944 - Tech - Cycling"/>
        <s v="76665 - Tech - Cycling"/>
        <s v="102286 - Tech - Cycling"/>
        <s v="77199 - Tech - Cycling"/>
        <s v="11722 - Tech - Cycling"/>
        <s v="97949 - Tech - Cycling"/>
        <s v="9701 - Tech - Cycling"/>
        <s v="117615 - Tech - Cycling"/>
        <s v="10076 - Tech - Cycling"/>
        <s v="106572 - Tech - Cycling"/>
        <s v="10081 - Tech - Cycling"/>
        <s v="46424 - Tech - Cycling"/>
        <s v="118931 - Tech - Cycling"/>
        <s v="10078 - Tech - Cycling"/>
        <s v="75824 - Tech - Cycling"/>
        <s v="80433 - Tech - Cycling"/>
        <s v="106566 - Tech - Cycling"/>
        <s v="9702 - Tech - Cycling"/>
        <s v="122445 - Tech - Cycling"/>
        <s v="77178 - Tech - Cycling"/>
        <s v="10075 - Tech - Cycling"/>
        <s v="10079 - Tech - Cycling"/>
        <s v="111469 - Tech - Cycling"/>
        <s v="166324 - Tech - Cycling"/>
        <s v="7829 - Tech - Cycling"/>
        <s v="105507 - Tech - Cycling"/>
        <s v="12834 - Tech - Cycling"/>
        <s v="27984 - Tech - Cycling"/>
        <s v="29444 - Tech - Cycling"/>
        <s v="107878 - Tech - Cycling"/>
        <s v="122416 - Tech - Cycling"/>
        <s v="95628 - Tech - Cycling"/>
        <s v="9654 - Tech - Cycling"/>
        <s v="105609 - Tech - Cycling"/>
        <s v="118932 - Tech - Cycling"/>
        <s v="103976 - Tech - Cycling"/>
        <s v="107881 - Tech - Cycling"/>
        <s v="7830 - Tech - Cycling"/>
        <s v="159717 - Tech - Cycling"/>
        <s v="113449 - Tech - Cycling"/>
        <s v="79942 - Tech - Cycling"/>
        <s v="29437 - Tech - Cycling"/>
        <s v="99234 - Tech - Cycling"/>
        <s v="103985 - Tech - Cycling"/>
        <s v="97947 - Tech - Cycling"/>
        <s v="101083 - Tech - Cycling"/>
        <s v="111287 - Tech - Cycling"/>
        <s v="11728 - Tech - Cycling"/>
        <s v="111286 - Tech - Cycling"/>
        <s v="29426 - Tech - Cycling"/>
        <s v="93419 - Tech - Cycling"/>
        <s v="93418 - Tech - Cycling"/>
        <s v="79198 - Tech - Cycling"/>
        <s v="11720 - Tech - Cycling"/>
        <s v="122534 - Tech - Cycling"/>
        <s v="92209 - Tech - Cycling"/>
        <s v="93417 - Tech - Cycling"/>
        <s v="103197 - Tech - Cycling"/>
        <s v="118930 - Tech - Cycling"/>
        <s v="92199 - Tech - Cycling"/>
        <s v="29647 - Tech - Cycling"/>
        <s v="121857 - Tech - Cycling"/>
        <s v="129484 - Tech - Cycling"/>
        <s v="122405 - Tech - Cycling"/>
        <s v="108690 - Tech - Cycling"/>
        <s v="11726 - Tech - Cycling"/>
        <s v="109074 - Tech - Cycling"/>
        <s v="75818 - Tech - Cycling"/>
        <s v="10663 - Tech - Cycling"/>
        <s v="9667 - Tech - Cycling"/>
        <s v="109073 - Tech - Cycling"/>
        <s v="11731 - Tech - Cycling"/>
        <s v="155869 - Tech - Cycling"/>
        <s v="118982 - Tech - Cycling"/>
        <s v="29642 - Tech - Cycling"/>
        <s v="111774 - Tech - Cycling"/>
        <s v="117290 - Tech - Cycling"/>
        <s v="105593 - Tech - Cycling"/>
        <s v="70751 - Tech - Cycling"/>
        <s v="118929 - Tech - Cycling"/>
        <s v="70594 - Tech - Cycling"/>
        <s v="118270 - Tech - Cycling"/>
        <s v="20584 - Tech - Cycling"/>
        <s v="150541 - Tech - Cycling"/>
        <s v="12633 - Tech - Cycling"/>
        <s v="9666 - Tech - Cycling"/>
        <s v="79940 - Tech - Cycling"/>
        <s v="201198 - Tech - Cycling"/>
        <s v="117268 - Tech - Cycling"/>
        <s v="80623 - Tech - Cycling"/>
        <s v="9698 - Tech - Cycling"/>
        <s v="83102 - Tech - Cycling"/>
        <s v="118271 - Tech - Cycling"/>
        <s v="41659 - Tech - Cycling"/>
        <s v="81564 - Tech - Cycling"/>
        <s v="110132 - Tech - Cycling"/>
        <s v="17639 - Tech - Cycling"/>
        <s v="201025 - Tech - Cycling"/>
        <s v="70589 - Tech - Cycling"/>
        <s v="75825 - Tech - Cycling"/>
        <s v="9699 - Tech - Cycling"/>
        <s v="122448 - Tech - Cycling"/>
        <s v="105506 - Tech - Cycling"/>
        <s v="142304 - Tech - Cycling"/>
        <s v="105505 - Tech - Cycling"/>
        <s v="122502 - Tech - Cycling"/>
        <s v="118264 - Tech - Cycling"/>
        <s v="17632 - Tech - Cycling"/>
        <s v="108790 - Tech - Cycling"/>
        <s v="92200 - Tech - Cycling"/>
        <s v="17634 - Tech - Cycling"/>
        <s v="122522 - Tech - Cycling"/>
        <s v="122505 - Tech - Cycling"/>
        <s v="93416 - Tech - Cycling"/>
        <s v="93406 - Tech - Cycling"/>
        <s v="69329 - Tech - Cycling"/>
        <s v="155953 - Tech - Cycling"/>
        <s v="11721 - Tech - Cycling"/>
        <s v="41654 - Tech - Cycling"/>
        <s v="92204 - Tech - Cycling"/>
        <s v="105572 - Tech - Cycling"/>
        <s v="110141 - Tech - Cycling"/>
        <s v="158471 - Tech - Cycling"/>
        <s v="120876 - Law - Swimming"/>
        <s v="87437 - Law - Swimming"/>
        <s v="121462 - Law - Swimming"/>
        <s v="69471 - Law - Swimming"/>
        <s v="114904 - Law - Swimming"/>
        <s v="113910 - Law - Swimming"/>
        <s v="18100 - Law - Swimming"/>
        <s v="114963 - Law - Swimming"/>
        <s v="121495 - Law - Swimming"/>
        <s v="83041 - Law - Swimming"/>
        <s v="121499 - Law - Swimming"/>
        <s v="108528 - Law - Swimming"/>
        <s v="69547 - Law - Swimming"/>
        <s v="18126 - Law - Swimming"/>
        <s v="121812 - Law - Swimming"/>
        <s v="81497 - Law - Swimming"/>
        <s v="121500 - Law - Swimming"/>
        <s v="45903 - Law - Swimming"/>
        <s v="121813 - Law - Swimming"/>
        <s v="108512 - Law - Swimming"/>
        <s v="70189 - Law - Swimming"/>
        <s v="194057 - Law - Swimming"/>
        <s v="121460 - Law - Swimming"/>
        <s v="121950 - Law - Swimming"/>
        <s v="121811 - Law - Swimming"/>
        <s v="86400 - Law - Swimming"/>
        <s v="108527 - Law - Swimming"/>
        <s v="88622 - Law - Swimming"/>
        <s v="121803 - Law - Swimming"/>
        <s v="87418 - Law - Swimming"/>
        <s v="26275 - Law - Swimming"/>
        <s v="119229 - Law - Swimming"/>
        <s v="74881 - Law - Swimming"/>
        <s v="86469 - Law - Swimming"/>
        <s v="120798 - Law - Swimming"/>
        <s v="86479 - Law - Swimming"/>
        <s v="80411 - Law - Swimming"/>
        <s v="120797 - Law - Swimming"/>
        <s v="86480 - Law - Swimming"/>
        <s v="86478 - Law - Swimming"/>
        <s v="118887 - Law - Swimming"/>
        <s v="121802 - Law - Swimming"/>
        <s v="87440 - Law - Swimming"/>
        <s v="86477 - Law - Swimming"/>
        <s v="83059 - Law - Swimming"/>
        <s v="86449 - Law - Swimming"/>
        <s v="86416 - Law - Swimming"/>
        <s v="83064 - Law - Swimming"/>
        <s v="108514 - Law - Swimming"/>
        <s v="86454 - Law - Swimming"/>
        <s v="143238 - Law - Swimming"/>
        <s v="107070 - Law - Swimming"/>
        <s v="114467 - Law - Swimming"/>
        <s v="143237 - Law - Swimming"/>
        <s v="86417 - Law - Swimming"/>
        <s v="147317 - Law - Swimming"/>
        <s v="122177 - Law - Swimming"/>
        <s v="114909 - Law - Swimming"/>
        <s v="119230 - Law - Swimming"/>
        <s v="107109 - Law - Swimming"/>
        <s v="121461 - Law - Swimming"/>
        <s v="86413 - Law - Swimming"/>
        <s v="108511 - Law - Swimming"/>
        <s v="120877 - Law - Swimming"/>
        <s v="194052 - Law - Swimming"/>
        <s v="121493 - Law - Swimming"/>
        <s v="121479 - Law - Swimming"/>
        <s v="79011 - Law - Swimming"/>
        <s v="86470 - Law - Swimming"/>
        <s v="194997 - Law - Swimming"/>
        <s v="108515 - Law - Swimming"/>
        <s v="69346 - Law - Swimming"/>
        <s v="119971 - Law - Swimming"/>
        <s v="107274 - Law - Swimming"/>
        <s v="69451 - Law - Swimming"/>
        <s v="87416 - Law - Swimming"/>
        <s v="23667 - Law - Swimming"/>
        <s v="112770 - Law - Swimming"/>
        <s v="116186 - Law - Swimming"/>
        <s v="95413 - Law - Swimming"/>
        <s v="116184 - Law - Swimming"/>
        <s v="95412 - Law - Swimming"/>
        <s v="95414 - Law - Swimming"/>
        <s v="24088 - Law - Swimming"/>
        <s v="75156 - Law - Swimming"/>
        <s v="6216 - Law - Swimming"/>
        <s v="149867 - Law - Swimming"/>
        <s v="44037 - Law - Swimming"/>
        <s v="83029 - Law - Swimming"/>
        <s v="100395 - Law - Swimming"/>
        <s v="110437 - Law - Swimming"/>
        <s v="29430 - Law - Swimming"/>
        <s v="95416 - Law - Swimming"/>
        <s v="108493 - Law - Swimming"/>
        <s v="109293 - Law - Swimming"/>
        <s v="73581 - Law - Swimming"/>
        <s v="100396 - Law - Swimming"/>
        <s v="45917 - Law - Swimming"/>
        <s v="83420 - Law - Swimming"/>
        <s v="101591 - Law - Swimming"/>
        <s v="116181 - Law - Swimming"/>
        <s v="109300 - Law - Swimming"/>
        <s v="46160 - Law - Swimming"/>
        <s v="116202 - Law - Swimming"/>
        <s v="106884 - Law - Swimming"/>
        <s v="98598 - Law - Swimming"/>
        <s v="78515 - Law - Swimming"/>
        <s v="46154 - Law - Swimming"/>
        <s v="23668 - Law - Swimming"/>
        <s v="107900 - History - Running"/>
        <s v="85037 - History - Running"/>
        <s v="49182 - History - Running"/>
        <s v="69111 - History - Running"/>
        <s v="80054 - History - Running"/>
        <s v="79782 - History - Running"/>
        <s v="80045 - History - Running"/>
        <s v="69108 - History - Running"/>
        <s v="69112 - History - Running"/>
        <s v="121992 - History - Running"/>
        <s v="80048 - History - Running"/>
        <s v="121982 - History - Running"/>
        <s v="121974 - History - Running"/>
        <s v="69110 - History - Running"/>
        <s v="23540 - History - Running"/>
        <s v="69123 - History - Running"/>
        <s v="121984 - History - Running"/>
        <s v="121979 - History - Running"/>
        <s v="80043 - History - Running"/>
        <s v="100326 - History - Running"/>
        <s v="69117 - History - Running"/>
        <s v="100334 - History - Running"/>
        <s v="69120 - History - Running"/>
        <s v="69119 - History - Running"/>
        <s v="69118 - History - Running"/>
        <s v="80044 - History - Running"/>
        <s v="23556 - History - Running"/>
        <s v="69114 - History - Running"/>
        <s v="79778 - History - Running"/>
        <s v="100323 - History - Running"/>
        <s v="69116 - History - Running"/>
        <s v="68938 - History - Running"/>
        <s v="121987 - History - Running"/>
        <s v="69113 - History - Running"/>
        <s v="80053 - History - Running"/>
        <s v="121986 - History - Running"/>
        <s v="121988 - History - Running"/>
        <s v="121990 - History - Running"/>
        <s v="68941 - History - Running"/>
        <s v="69122 - History - Running"/>
        <s v="80049 - History - Running"/>
        <s v="121971 - History - Running"/>
        <s v="68945 - History - Running"/>
        <s v="79780 - History - Running"/>
        <s v="80056 - History - Running"/>
        <s v="80040 - History - Running"/>
        <s v="114480 - History - Running"/>
        <s v="111922 - History - Running"/>
        <s v="111924 - History - Running"/>
        <s v="80047 - History - Running"/>
        <s v="69121 - History - Running"/>
        <s v="68939 - History - Running"/>
        <s v="69124 - History - Running"/>
        <s v="23552 - History - Running"/>
        <s v="68943 - History - Running"/>
        <s v="69115 - History - Running"/>
        <s v="81122 - History - Running"/>
        <s v="84672 - History - Running"/>
        <s v="81127 - History - Running"/>
        <s v="87858 - History - Running"/>
        <s v="84673 - History - Running"/>
        <s v="81064 - History - Running"/>
        <s v="81139 - History - Running"/>
        <s v="81141 - History - Running"/>
        <s v="81054 - History - Running"/>
        <s v="118352 - History - Running"/>
        <s v="81091 - History - Running"/>
        <s v="81025 - History - Running"/>
        <s v="81129 - History - Running"/>
        <s v="81043 - History - Running"/>
        <s v="81120 - History - Running"/>
        <s v="81109 - History - Running"/>
        <s v="81082 - History - Running"/>
        <s v="81036 - History - Running"/>
        <s v="81690 - History - Running"/>
        <s v="87849 - History - Running"/>
        <s v="81094 - History - Running"/>
        <s v="202726 - History - Running"/>
        <s v="101516 - History - Running"/>
        <s v="84332 - History - Running"/>
        <s v="16959 - History - Running"/>
        <s v="87762 - History - Running"/>
        <s v="16952 - History - Running"/>
        <s v="16958 - History - Running"/>
        <s v="16950 - History - Running"/>
        <s v="102266 - History - Running"/>
        <s v="202746 - History - Running"/>
        <s v="101519 - History - Running"/>
        <s v="81688 - History - Running"/>
        <s v="120365 - History - Running"/>
        <s v="3438 - History - Running"/>
        <s v="102262 - History - Running"/>
        <s v="87764 - History - Running"/>
        <s v="3437 - History - Running"/>
        <s v="111017 - History - Running"/>
        <s v="102264 - History - Running"/>
        <s v="18088 - History - Running"/>
        <s v="87836 - History - Running"/>
        <s v="87804 - History - Running"/>
        <s v="108207 - Finance - Fitness Training"/>
        <s v="111043 - Finance - Fitness Training"/>
        <s v="100223 - Finance - Fitness Training"/>
        <s v="92161 - Finance - Coaching"/>
        <s v="113405 - Finance - Coaching"/>
        <s v="120817 - Finance - Coaching"/>
        <s v="14520 - Finance - Coaching"/>
        <s v="104928 - Finance - Coaching"/>
        <s v="14517 - Finance - Coaching"/>
        <s v="122563 - Finance - Coaching"/>
        <s v="96404 - Finance - Coaching"/>
        <s v="121469 - Finance - Coaching"/>
        <s v="122579 - Finance - Coaching"/>
        <s v="113407 - Finance - Coaching"/>
        <s v="91995 - Finance - Coaching"/>
        <s v="81178 - Arts - Sports Psychology"/>
        <s v="12918 - Arts - Sports Psychology"/>
        <s v="122411 - Arts - Sports Psychology"/>
        <s v="81194 - Arts - Sports Psychology"/>
        <s v="71876 - Arts - Sports Psychology"/>
        <s v="129493 - Arts - Sports Psychology"/>
        <s v="81190 - Arts - Sports Psychology"/>
        <s v="71875 - Arts - Sports Psychology"/>
        <s v="81198 - Arts - Sports Psychology"/>
        <s v="188723 - Arts - Sports Psychology"/>
        <s v="115053 - Arts - Sports Psychology"/>
        <s v="104609 - Arts - Sports Psychology"/>
        <s v="12916 - Arts - Sports Psychology"/>
        <s v="129488 - Arts - Sports Psychology"/>
        <s v="78566 - Arts - Sports Psychology"/>
        <s v="15090 - Arts - Sports Psychology"/>
        <s v="81209 - Arts - Sports Psychology"/>
        <s v="108141 - Arts - Sports Psychology"/>
        <s v="12914 - Arts - Sports Psychology"/>
        <s v="129492 - Arts - Sports Psychology"/>
        <s v="120473 - Arts - Sports Psychology"/>
        <s v="12924 - Arts - Sports Psychology"/>
        <s v="12920 - Arts - Sports Psychology"/>
        <s v="81200 - Arts - Sports Psychology"/>
        <s v="122410 - Arts - Sports Psychology"/>
        <s v="81720 - Arts - Sports Psychology"/>
        <s v="12923 - Arts - Sports Psychology"/>
        <s v="81173 - Arts - Sports Psychology"/>
        <s v="12910 - Arts - Sports Psychology"/>
        <s v="81193 - Arts - Sports Psychology"/>
        <s v="12917 - Arts - Sports Psychology"/>
        <s v="129491 - Arts - Sports Psychology"/>
        <s v="15104 - Arts - Sports Psychology"/>
        <s v="122407 - Arts - Sports Psychology"/>
        <s v="81191 - Arts - Sports Psychology"/>
        <s v="188725 - Arts - Sports Psychology"/>
        <s v="188724 - Arts - Sports Psychology"/>
        <s v="12911 - Arts - Sports Psychology"/>
        <s v="21612 - Arts - Sports Psychology"/>
        <s v="21603 - Arts - Sports Psychology"/>
        <s v="81218 - Arts - Sports Psychology"/>
        <s v="70543 - Arts - Sports Psychology"/>
        <s v="80549 - Arts - Sports Psychology"/>
        <s v="79404 - Arts - Sports Psychology"/>
        <s v="110596 - Arts - Sports Psychology"/>
        <s v="70547 - Arts - Sports Psychology"/>
        <s v="11410 - Arts - Sports Psychology"/>
        <s v="116632 - Arts - Sports Psychology"/>
        <s v="80546 - Arts - Sports Psychology"/>
        <s v="80572 - Arts - Sports Psychology"/>
        <s v="70558 - Arts - Sports Psychology"/>
        <s v="79405 - Arts - Sports Psychology"/>
        <s v="80543 - Arts - Sports Psychology"/>
        <s v="14041 - Arts - Sports Psychology"/>
        <s v="70559 - Arts - Sports Psychology"/>
        <s v="80582 - Arts - Sports Psychology"/>
        <s v="90004 - Arts - Sports Psychology"/>
        <s v="117907 - Arts - Sports Psychology"/>
        <s v="70542 - Arts - Sports Psychology"/>
        <s v="81210 - Arts - Sports Psychology"/>
        <s v="81211 - Arts - Sports Psychology"/>
        <s v="80573 - Arts - Sports Psychology"/>
        <s v="117909 - Arts - Sports Psychology"/>
        <s v="80584 - Arts - Sports Psychology"/>
        <s v="80550 - Arts - Sports Psychology"/>
        <s v="81227 - Arts - Sports Psychology"/>
        <s v="80578 - Arts - Sports Psychology"/>
        <s v="110595 - Arts - Sports Psychology"/>
        <s v="70557 - Arts - Sports Psychology"/>
        <s v="147284 - Arts - Sports Psychology"/>
        <s v="70553 - Arts - Sports Psychology"/>
        <s v="81212 - Arts - Sports Psychology"/>
        <s v="120427 - Arts - Sports Psychology"/>
        <s v="46049 - Law - Sports Nutrition"/>
        <s v="46039 - Law - Sports Nutrition"/>
        <s v="46037 - Law - Sports Nutrition"/>
        <s v="88965 - Law - Sports Nutrition"/>
        <s v="102614 - Law - Sports Nutrition"/>
        <s v="122704 - Law - Sports Nutrition"/>
        <s v="164902 - Law - Sports Nutrition"/>
        <s v="117783 - Law - Sports Nutrition"/>
        <s v="114278 - Law - Sports Nutrition"/>
        <s v="46056 - Law - Sports Nutrition"/>
        <s v="5703 - Law - Sports Nutrition"/>
        <s v="102607 - Law - Sports Nutrition"/>
        <s v="87913 - Law - Sports Nutrition"/>
        <s v="149513 - Law - Sports Nutrition"/>
        <s v="87909 - Law - Sports Nutrition"/>
        <s v="101897 - Law - Sports Nutrition"/>
        <s v="121675 - Law - Sports Nutrition"/>
        <s v="99349 - Law - Sports Nutrition"/>
        <s v="117785 - Law - Sports Nutrition"/>
        <s v="120558 - Law - Sports Nutrition"/>
        <s v="99351 - Law - Sports Nutrition"/>
        <s v="113058 - Law - Sports Nutrition"/>
        <s v="118917 - Law - Sports Nutrition"/>
        <s v="164891 - Law - Sports Nutrition"/>
        <s v="101901 - Law - Sports Nutrition"/>
        <s v="197164 - Law - Sports Nutrition"/>
        <s v="114277 - Law - Sports Nutrition"/>
        <s v="86913 - Law - Sports Nutrition"/>
        <s v="88971 - Law - Sports Nutrition"/>
        <s v="188840 - Law - Sports Nutrition"/>
        <s v="95652 - Law - Sports Nutrition"/>
        <s v="68627 - Law - Sports Nutrition"/>
        <s v="46043 - Law - Sports Nutrition"/>
        <s v="60592 - Law - Sports Nutrition"/>
        <s v="99350 - Law - Sports Nutrition"/>
        <s v="78983 - Law - Sports Nutrition"/>
        <s v="188845 - Law - Sports Nutrition"/>
        <s v="117787 - Law - Sports Nutrition"/>
        <s v="119986 - Law - Sports Nutrition"/>
        <s v="188841 - Law - Sports Nutrition"/>
        <s v="99348 - Law - Sports Nutrition"/>
        <s v="78978 - Law - Sports Nutrition"/>
        <s v="120556 - Law - Sports Nutrition"/>
        <s v="80254 - Law - Sports Nutrition"/>
        <s v="121911 - Arts - Extreme Sports"/>
        <s v="120328 - Arts - Extreme Sports"/>
        <s v="122702 - Arts - Extreme Sports"/>
        <s v="92542 - Arts - Extreme Sports"/>
        <s v="15423 - Arts - Extreme Sports"/>
        <s v="111797 - Arts - Extreme Sports"/>
        <s v="112626 - Arts - Extreme Sports"/>
        <s v="12925 - Arts - Extreme Sports"/>
        <s v="107034 - Arts - Extreme Sports"/>
        <s v="88319 - Arts - Extreme Sports"/>
        <s v="3453 - Arts - Extreme Sports"/>
        <s v="121425 - Arts - Extreme Sports"/>
        <s v="10561 - Arts - Extreme Sports"/>
        <s v="90294 - Arts - Extreme Sports"/>
        <s v="70804 - Arts - Extreme Sports"/>
        <s v="81237 - Arts - Extreme Sports"/>
        <s v="47564 - Arts - Extreme Sports"/>
        <s v="24055 - Arts - Extreme Sports"/>
        <s v="48637 - Arts - Extreme Sports"/>
        <s v="3447 - Arts - Extreme Sports"/>
        <s v="117921 - Arts - Extreme Sports"/>
        <s v="128322 - Arts - Extreme Sports"/>
        <s v="42207 - Arts - Extreme Sports"/>
        <s v="108394 - Arts - Extreme Sports"/>
        <s v="119967 - Arts - Extreme Sports"/>
        <s v="81235 - Arts - Extreme Sports"/>
        <s v="24053 - Arts - Extreme Sports"/>
        <s v="116936 - Arts - Extreme Sports"/>
        <s v="44268 - Arts - Extreme Sports"/>
        <s v="111946 - Arts - Extreme Sports"/>
        <s v="81234 - Arts - Extreme Sports"/>
        <s v="24038 - Arts - Extreme Sports"/>
        <s v="44882 - Arts - Extreme Sports"/>
        <s v="44266 - Arts - Extreme Sports"/>
        <s v="3452 - Arts - Extreme Sports"/>
        <s v="118569 - Arts - Extreme Sports"/>
        <s v="84378 - Arts - Extreme Sports"/>
        <s v="112731 - Arts - Extreme Sports"/>
        <s v="166201 - Tech - Winter Sports"/>
        <s v="48495 - Tech - Winter Sports"/>
        <s v="10383 - Tech - Winter Sports"/>
        <s v="116284 - Tech - Winter Sports"/>
        <s v="86543 - Tech - Winter Sports"/>
        <s v="21165 - Tech - Winter Sports"/>
        <s v="10309 - Tech - Winter Sports"/>
        <s v="10367 - Tech - Winter Sports"/>
        <s v="86545 - Tech - Winter Sports"/>
        <s v="86544 - Tech - Winter Sports"/>
        <s v="10384 - Tech - Winter Sports"/>
        <s v="79314 - Tech - Winter Sports"/>
        <s v="79311 - Tech - Winter Sports"/>
        <s v="118249 - Tech - Winter Sports"/>
        <s v="128420 - Tech - Winter Sports"/>
        <s v="120692 - Tech - Winter Sports"/>
        <s v="122464 - Tech - Winter Sports"/>
        <s v="79762 - Tech - Winter Sports"/>
        <s v="79315 - Tech - Winter Sports"/>
        <s v="98941 - Tech - Winter Sports"/>
        <s v="118245 - Tech - Winter Sports"/>
        <s v="122333 - Tech - Winter Sports"/>
        <s v="121901 - Tech - Winter Sports"/>
        <s v="79316 - Tech - Winter Sports"/>
        <s v="109899 - Tech - Winter Sports"/>
        <s v="70570 - Tech - Winter Sports"/>
        <s v="79364 - Tech - Winter Sports"/>
        <s v="113103 - Tech - Winter Sports"/>
        <s v="200581 - Tech - Winter Sports"/>
        <s v="91490 - Tech - Winter Sports"/>
        <s v="79320 - Tech - Winter Sports"/>
        <s v="122331 - Tech - Winter Sports"/>
        <s v="79921 - Tech - Winter Sports"/>
        <s v="128421 - Tech - Winter Sports"/>
        <s v="80421 - Tech - Winter Sports"/>
        <s v="121867 - Tech - Winter Sports"/>
        <s v="122501 - Tech - Winter Sports"/>
        <s v="44531 - Tech - Winter Sports"/>
        <s v="118153 - Tech - Winter Sports"/>
        <s v="118244 - Tech - Winter Sports"/>
        <s v="46974 - Tech - Winter Sports"/>
        <s v="69232 - Tech - Winter Sports"/>
        <s v="117461 - Tech - Winter Sports"/>
        <s v="122324 - Tech - Winter Sports"/>
        <s v="119023 - Tech - Winter Sports"/>
        <s v="70600 - Tech - Winter Sports"/>
        <s v="10689 - Tech - Winter Sports"/>
        <s v="158427 - Tech - Winter Sports"/>
        <s v="122462 - Tech - Winter Sports"/>
        <s v="155951 - Tech - Winter Sports"/>
        <s v="79338 - Tech - Winter Sports"/>
        <s v="79919 - Tech - Winter Sports"/>
        <s v="117057 - Tech - Winter Sports"/>
        <s v="122334 - Tech - Winter Sports"/>
        <s v="122648 - Tech - Winter Sports"/>
        <s v="128418 - Tech - Winter Sports"/>
        <s v="109883 - Tech - Winter Sports"/>
        <s v="119027 - Tech - Winter Sports"/>
        <s v="30522 - Tech - Winter Sports"/>
        <s v="118155 - Tech - Winter Sports"/>
        <s v="188068 - Tech - Winter Sports"/>
        <s v="92613 - Tech - Winter Sports"/>
        <s v="69234 - Tech - Winter Sports"/>
        <s v="109938 - Tech - Winter Sports"/>
        <s v="120307 - Tech - Winter Sports"/>
        <s v="118906 - Tech - Winter Sports"/>
        <s v="128309 - Tech - Winter Sports"/>
        <s v="1986 - Tech - Winter Sports"/>
        <s v="117749 - Tech - Winter Sports"/>
        <s v="117748 - Tech - Winter Sports"/>
        <s v="1962 - Tech - Winter Sports"/>
        <s v="109994 - Tech - Winter Sports"/>
        <s v="69364 - Tech - Winter Sports"/>
        <s v="69365 - Tech - Winter Sports"/>
        <s v="46990 - Tech - Winter Sports"/>
        <s v="11428 - Tech - Winter Sports"/>
        <s v="122318 - Tech - Winter Sports"/>
        <s v="182194 - Tech - Winter Sports"/>
        <s v="147256 - Tech - Winter Sports"/>
        <s v="5079 - Tech - Winter Sports"/>
        <s v="92621 - Tech - Winter Sports"/>
        <s v="11003 - Tech - Winter Sports"/>
        <s v="117560 - Tech - Winter Sports"/>
        <s v="188368 - Tech - Winter Sports"/>
        <s v="124765 - Tech - Winter Sports"/>
        <s v="8726 - Tech - Winter Sports"/>
        <s v="118158 - Tech - Winter Sports"/>
        <s v="121871 - Tech - Winter Sports"/>
        <s v="121876 - Tech - Winter Sports"/>
        <s v="121877 - Tech - Winter Sports"/>
        <s v="121879 - Tech - Winter Sports"/>
        <s v="121874 - Tech - Winter Sports"/>
        <s v="121893 - Tech - Winter Sports"/>
        <s v="121892 - Tech - Winter Sports"/>
        <s v="102678 - Tech - Winter Sports"/>
        <s v="121887 - Tech - Winter Sports"/>
        <s v="21344 - Tech - Winter Sports"/>
        <s v="121873 - Tech - Winter Sports"/>
        <s v="108833 - Tech - Winter Sports"/>
        <s v="121882 - Tech - Winter Sports"/>
        <s v="91492 - Tech - Winter Sports"/>
        <s v="111392 - Tech - Winter Sports"/>
        <s v="108835 - Tech - Winter Sports"/>
        <s v="118111 - Tech - Winter Sports"/>
        <s v="121872 - Tech - Winter Sports"/>
        <s v="112885 - Tech - Winter Sports"/>
        <s v="108738 - Tech - Winter Sports"/>
        <s v="21338 - Tech - Winter Sports"/>
        <s v="76513 - Tech - Winter Sports"/>
        <s v="76514 - Tech - Winter Sports"/>
        <s v="21339 - Tech - Winter Sports"/>
        <s v="75436 - Tech - Winter Sports"/>
        <s v="84092 - Tech - Winter Sports"/>
        <s v="86943 - Tech - Winter Sports"/>
        <s v="8688 - Tech - Winter Sports"/>
        <s v="117967 - Tech - Winter Sports"/>
        <s v="23061 - Tech - Winter Sports"/>
        <s v="10688 - Tech - Winter Sports"/>
        <s v="8690 - Tech - Winter Sports"/>
        <s v="79808 - Tech - Winter Sports"/>
        <s v="44797 - Tech - Winter Sports"/>
        <s v="79807 - Tech - Winter Sports"/>
        <s v="11426 - Tech - Winter Sports"/>
        <s v="45059 - Tech - Winter Sports"/>
        <s v="200582 - Tech - Winter Sports"/>
        <s v="143825 - Tech - Winter Sports"/>
        <s v="85232 - Tech - Winter Sports"/>
        <s v="79806 - Tech - Winter Sports"/>
        <s v="46991 - Tech - Winter Sports"/>
        <s v="69360 - Tech - Winter Sports"/>
        <s v="110441 - Tech - Winter Sports"/>
        <s v="120781 - Tech - Winter Sports"/>
        <s v="79809 - Tech - Winter Sports"/>
        <s v="45057 - Tech - Winter Sports"/>
        <s v="79805 - Tech - Winter Sports"/>
        <s v="45707 - Tech - Winter Sports"/>
        <s v="117282 - Tech - Winter Sports"/>
        <s v="30503 - Tech - Winter Sports"/>
        <s v="187336 - Tech - Winter Sports"/>
        <s v="82427 - Tech - Winter Sports"/>
        <s v="11000 - Tech - Winter Sports"/>
        <s v="117274 - Tech - Winter Sports"/>
        <s v="117445 - Tech - Winter Sports"/>
        <s v="103246 - Tech - Winter Sports"/>
        <s v="92626 - Tech - Winter Sports"/>
        <s v="79352 - Tech - Winter Sports"/>
        <s v="128315 - Tech - Winter Sports"/>
        <s v="117272 - Tech - Winter Sports"/>
        <s v="116770 - Tech - Winter Sports"/>
        <s v="118012 - Tech - Winter Sports"/>
        <s v="117306 - Tech - Winter Sports"/>
        <s v="117056 - Tech - Winter Sports"/>
        <s v="188066 - Tech - Winter Sports"/>
        <s v="181147 - Tech - Winter Sports"/>
        <s v="79917 - Tech - Winter Sports"/>
        <s v="110282 - Tech - Winter Sports"/>
        <s v="200526 - Tech - Winter Sports"/>
        <s v="193197 - Tech - Winter Sports"/>
        <s v="79820 - Tech - Winter Sports"/>
        <s v="122327 - Tech - Winter Sports"/>
        <s v="117956 - Tech - Winter Sports"/>
        <s v="86182 - Tech - Winter Sports"/>
        <s v="46989 - Tech - Winter Sports"/>
        <s v="46976 - Tech - Winter Sports"/>
        <s v="79354 - Tech - Winter Sports"/>
        <s v="114268 - Tech - Winter Sports"/>
        <s v="10685 - Tech - Winter Sports"/>
        <s v="118157 - Tech - Winter Sports"/>
        <s v="122322 - Tech - Winter Sports"/>
        <s v="27509 - Tech - Winter Sports"/>
        <s v="110852 - Tech - Winter Sports"/>
        <s v="128312 - Tech - Winter Sports"/>
        <s v="79355 - Tech - Winter Sports"/>
        <s v="86185 - Tech - Winter Sports"/>
        <s v="77138 - Tech - Winter Sports"/>
        <s v="86183 - Tech - Winter Sports"/>
        <s v="122595 - Tech - Winter Sports"/>
        <s v="70338 - Tech - Winter Sports"/>
        <s v="114273 - Tech - Winter Sports"/>
        <s v="110849 - Tech - Winter Sports"/>
        <s v="45056 - Tech - Winter Sports"/>
        <s v="92633 - Tech - Winter Sports"/>
        <s v="111011 - Tech - Winter Sports"/>
        <s v="11002 - Tech - Winter Sports"/>
        <s v="80661 - Tech - Winter Sports"/>
        <s v="128310 - Tech - Winter Sports"/>
        <s v="182193 - Tech - Winter Sports"/>
        <s v="116771 - Tech - Winter Sports"/>
        <s v="103245 - Tech - Winter Sports"/>
        <s v="1961 - Tech - Winter Sports"/>
        <s v="128314 - Tech - Winter Sports"/>
        <s v="109993 - Tech - Winter Sports"/>
        <s v="117270 - Tech - Winter Sports"/>
        <s v="42748 - Tech - Winter Sports"/>
        <s v="110447 - Tech - Winter Sports"/>
        <s v="46979 - Tech - Winter Sports"/>
        <s v="1296 - Tech - Winter Sports"/>
        <s v="109973 - Tech - Winter Sports"/>
        <s v="155949 - Tech - Winter Sports"/>
        <s v="187346 - Tech - Winter Sports"/>
        <s v="46978 - Tech - Winter Sports"/>
        <s v="110283 - Tech - Winter Sports"/>
        <s v="147257 - Tech - Winter Sports"/>
        <s v="182191 - Tech - Winter Sports"/>
        <s v="9722 - Tech - Winter Sports"/>
        <s v="124772 - Tech - Winter Sports"/>
        <s v="8681 - Tech - Winter Sports"/>
        <s v="5077 - Tech - Winter Sports"/>
        <s v="114274 - Tech - Winter Sports"/>
        <s v="1297 - Tech - Winter Sports"/>
        <s v="46988 - Tech - Winter Sports"/>
        <s v="92623 - Tech - Winter Sports"/>
        <s v="79761 - Tech - Winter Sports"/>
        <s v="11001 - Tech - Winter Sports"/>
        <s v="9731 - Tech - Winter Sports"/>
        <s v="122316 - Tech - Winter Sports"/>
        <s v="147255 - Tech - Winter Sports"/>
        <s v="8675 - Tech - Winter Sports"/>
        <s v="121900 - Tech - Winter Sports"/>
        <s v="124764 - Tech - Winter Sports"/>
        <s v="124774 - Tech - Winter Sports"/>
        <s v="79353 - Tech - Winter Sports"/>
        <s v="82703 - Tech - Winter Sports"/>
        <s v="71820 - Tech - Winter Sports"/>
        <s v="128311 - Tech - Winter Sports"/>
        <s v="70595 - Tech - Winter Sports"/>
        <s v="8676 - Tech - Winter Sports"/>
        <s v="128313 - Tech - Winter Sports"/>
        <s v="45479 - Tech - Constitutional Law"/>
        <s v="45481 - Tech - Constitutional Law"/>
        <s v="80001 - Tech - Constitutional Law"/>
        <s v="10068 - Tech - Constitutional Law"/>
        <s v="10054 - Tech - Constitutional Law"/>
        <s v="10070 - Tech - Constitutional Law"/>
        <s v="45480 - Tech - Constitutional Law"/>
        <s v="92791 - Tech - Constitutional Law"/>
        <s v="188722 - Tech - Constitutional Law"/>
        <s v="10061 - Tech - Constitutional Law"/>
        <s v="188708 - Tech - Constitutional Law"/>
        <s v="110927 - Tech - Constitutional Law"/>
        <s v="188729 - Tech - Constitutional Law"/>
        <s v="120969 - Tech - Constitutional Law"/>
        <s v="188728 - Tech - Constitutional Law"/>
        <s v="188663 - Tech - Constitutional Law"/>
        <s v="188727 - Tech - Constitutional Law"/>
        <s v="9741 - Tech - Constitutional Law"/>
        <s v="70406 - Medical - Criminal Law"/>
        <s v="112114 - Medical - Criminal Law"/>
        <s v="70405 - Medical - Criminal Law"/>
        <s v="20405 - Medical - Criminal Law"/>
        <s v="121308 - Self-Help - Civil Law"/>
        <s v="121311 - Self-Help - Civil Law"/>
        <s v="124748 - Arts - Commercial Law"/>
        <s v="104315 - Arts - Commercial Law"/>
        <s v="104314 - Arts - Commercial Law"/>
        <s v="69287 - Arts - Commercial Law"/>
        <s v="5789 - Arts - Commercial Law"/>
        <s v="14013 - Arts - Commercial Law"/>
        <s v="14015 - Arts - Commercial Law"/>
        <s v="69291 - Arts - Commercial Law"/>
        <s v="26057 - Arts - Commercial Law"/>
        <s v="14022 - Arts - Commercial Law"/>
        <s v="80109 - Arts - Commercial Law"/>
        <s v="121686 - Arts - Commercial Law"/>
        <s v="60365 - Arts - Commercial Law"/>
        <s v="86488 - Arts - Commercial Law"/>
        <s v="122530 - Arts - Commercial Law"/>
        <s v="60526 - Arts - Commercial Law"/>
        <s v="116807 - Arts - Commercial Law"/>
        <s v="80030 - Arts - Commercial Law"/>
        <s v="122529 - Arts - Commercial Law"/>
        <s v="14042 - Arts - Commercial Law"/>
        <s v="14043 - Arts - Commercial Law"/>
        <s v="9157 - Arts - Commercial Law"/>
        <s v="149968 - Arts - Commercial Law"/>
        <s v="47299 - Arts - Commercial Law"/>
        <s v="109275 - Arts - Commercial Law"/>
        <s v="122768 - Arts - Commercial Law"/>
        <s v="80400 - Arts - Commercial Law"/>
        <s v="8803 - Arts - Commercial Law"/>
        <s v="80085 - Arts - Commercial Law"/>
        <s v="47379 - Arts - Commercial Law"/>
        <s v="47366 - Arts - Commercial Law"/>
        <s v="47376 - Arts - Commercial Law"/>
        <s v="95799 - Arts - Commercial Law"/>
        <s v="112733 - Arts - Commercial Law"/>
        <s v="47050 - Arts - Commercial Law"/>
        <s v="112449 - Arts - Commercial Law"/>
        <s v="14025 - Arts - Commercial Law"/>
        <s v="26054 - Arts - Commercial Law"/>
        <s v="60366 - Arts - Commercial Law"/>
        <s v="116805 - Arts - Commercial Law"/>
        <s v="8804 - Arts - Commercial Law"/>
        <s v="48470 - Arts - Commercial Law"/>
        <s v="86485 - Arts - Commercial Law"/>
        <s v="73872 - Arts - Commercial Law"/>
        <s v="72852 - Arts - Commercial Law"/>
        <s v="85856 - Arts - Commercial Law"/>
        <s v="14018 - Arts - Commercial Law"/>
        <s v="100262 - Arts - Commercial Law"/>
        <s v="114657 - Arts - Commercial Law"/>
        <s v="150281 - Arts - Commercial Law"/>
        <s v="81491 - Arts - Commercial Law"/>
        <s v="88519 - Arts - Commercial Law"/>
        <s v="116800 - Arts - Commercial Law"/>
        <s v="117675 - Arts - Commercial Law"/>
        <s v="47051 - Arts - Commercial Law"/>
        <s v="103171 - Arts - Commercial Law"/>
        <s v="47049 - Arts - Commercial Law"/>
        <s v="47351 - Arts - Commercial Law"/>
        <s v="47575 - Arts - Commercial Law"/>
        <s v="80088 - Arts - Commercial Law"/>
        <s v="47298 - Arts - Commercial Law"/>
        <s v="100271 - Arts - Commercial Law"/>
        <s v="47621 - Arts - Commercial Law"/>
        <s v="117609 - Arts - Commercial Law"/>
        <s v="103873 - Arts - Commercial Law"/>
        <s v="14026 - Arts - Commercial Law"/>
        <s v="95951 - Arts - Commercial Law"/>
        <s v="9162 - Arts - Commercial Law"/>
        <s v="80089 - Arts - Commercial Law"/>
        <s v="122521 - Arts - Commercial Law"/>
        <s v="69300 - Arts - Commercial Law"/>
        <s v="80417 - Arts - Commercial Law"/>
        <s v="128323 - Arts - Commercial Law"/>
        <s v="80091 - Arts - Commercial Law"/>
        <s v="92927 - Arts - Commercial Law"/>
        <s v="9158 - Arts - Commercial Law"/>
        <s v="103872 - Arts - Commercial Law"/>
        <s v="116809 - Arts - Commercial Law"/>
        <s v="114655 - Arts - Commercial Law"/>
        <s v="80228 - Arts - Commercial Law"/>
        <s v="47207 - Arts - Commercial Law"/>
        <s v="116402 - Arts - Commercial Law"/>
        <s v="116408 - Arts - Commercial Law"/>
        <s v="83592 - Arts - Commercial Law"/>
        <s v="122241 - Arts - Commercial Law"/>
        <s v="112799 - Arts - Commercial Law"/>
        <s v="122659 - Arts - Commercial Law"/>
        <s v="112797 - Arts - Commercial Law"/>
        <s v="122663 - Arts - Commercial Law"/>
        <s v="112809 - Arts - Commercial Law"/>
        <s v="80220 - Arts - Commercial Law"/>
        <s v="112732 - Arts - Commercial Law"/>
        <s v="83354 - Arts - Commercial Law"/>
        <s v="116410 - Arts - Commercial Law"/>
        <s v="103841 - Arts - Commercial Law"/>
        <s v="116746 - Arts - Commercial Law"/>
        <s v="116405 - Arts - Commercial Law"/>
        <s v="112810 - Arts - Commercial Law"/>
        <s v="47347 - Arts - Commercial Law"/>
        <s v="101902 - Arts - Commercial Law"/>
        <s v="92926 - Arts - Commercial Law"/>
        <s v="47345 - Arts - Commercial Law"/>
        <s v="121611 - Arts - Commercial Law"/>
        <s v="73310 - Arts - Commercial Law"/>
        <s v="80102 - Arts - Commercial Law"/>
        <s v="122773 - Arts - Commercial Law"/>
        <s v="119421 - Arts - Commercial Law"/>
        <s v="118276 - Arts - Commercial Law"/>
        <s v="47314 - Arts - Commercial Law"/>
        <s v="122771 - Arts - Commercial Law"/>
        <s v="47380 - Arts - Commercial Law"/>
        <s v="98329 - Arts - Commercial Law"/>
        <s v="81485 - Arts - Commercial Law"/>
        <s v="77847 - Arts - Commercial Law"/>
        <s v="77290 - Arts - Commercial Law"/>
        <s v="114656 - Arts - Commercial Law"/>
        <s v="118486 - Arts - Commercial Law"/>
        <s v="101889 - Arts - Commercial Law"/>
        <s v="14030 - Arts - Commercial Law"/>
        <s v="47381 - Arts - Commercial Law"/>
        <s v="101888 - Arts - Commercial Law"/>
        <s v="98328 - Arts - Commercial Law"/>
        <s v="79775 - Arts - Commercial Law"/>
        <s v="122616 - Arts - Commercial Law"/>
        <s v="101950 - Arts - Commercial Law"/>
        <s v="9163 - Arts - Commercial Law"/>
        <s v="110106 - Arts - Commercial Law"/>
        <s v="14045 - Arts - Commercial Law"/>
        <s v="95993 - Arts - Commercial Law"/>
        <s v="81488 - Arts - Commercial Law"/>
        <s v="14049 - Arts - Commercial Law"/>
        <s v="121749 - Arts - Commercial Law"/>
        <s v="101927 - Arts - Commercial Law"/>
        <s v="103864 - Arts - Commercial Law"/>
        <s v="85862 - Arts - Commercial Law"/>
        <s v="46124 - History - Corporate Law"/>
        <s v="114346 - History - Corporate Law"/>
        <s v="80194 - History - Corporate Law"/>
        <s v="80192 - History - Corporate Law"/>
        <s v="46109 - History - Corporate Law"/>
        <s v="80196 - History - Corporate Law"/>
        <s v="149602 - History - Corporate Law"/>
        <s v="46123 - History - Corporate Law"/>
        <s v="46113 - History - Corporate Law"/>
        <s v="46116 - History - Corporate Law"/>
        <s v="46119 - History - Corporate Law"/>
        <s v="63867 - History - Corporate Law"/>
        <s v="80190 - History - Corporate Law"/>
        <s v="48485 - History - Corporate Law"/>
        <s v="80203 - History - Corporate Law"/>
        <s v="100670 - History - Corporate Law"/>
        <s v="16546 - History - Corporate Law"/>
        <s v="121622 - History - Corporate Law"/>
        <s v="80202 - History - Corporate Law"/>
        <s v="24263 - History - Corporate Law"/>
        <s v="16552 - History - Corporate Law"/>
        <s v="112771 - History - Corporate Law"/>
        <s v="116197 - History - Corporate Law"/>
        <s v="46138 - History - Corporate Law"/>
        <s v="109546 - History - Corporate Law"/>
        <s v="199475 - History - Corporate Law"/>
        <s v="199479 - History - Corporate Law"/>
        <s v="48180 - History - Corporate Law"/>
        <s v="90374 - History - Corporate Law"/>
        <s v="80318 - History - Corporate Law"/>
        <s v="6206 - History - Corporate Law"/>
        <s v="181492 - History - Corporate Law"/>
        <s v="148738 - History - Corporate Law"/>
        <s v="100692 - History - Corporate Law"/>
        <s v="121708 - History - Corporate Law"/>
        <s v="47508 - History - Corporate Law"/>
        <s v="89514 - History - Corporate Law"/>
        <s v="117918 - History - Corporate Law"/>
        <s v="16645 - History - Corporate Law"/>
        <s v="148740 - History - Corporate Law"/>
        <s v="100688 - History - Corporate Law"/>
        <s v="148741 - History - Corporate Law"/>
        <s v="109299 - History - Corporate Law"/>
        <s v="196109 - History - Corporate Law"/>
        <s v="72155 - History - Corporate Law"/>
        <s v="80245 - History - Corporate Law"/>
        <s v="6215 - History - Corporate Law"/>
        <s v="45810 - History - Corporate Law"/>
        <s v="80205 - History - Corporate Law"/>
        <s v="107064 - History - Corporate Law"/>
        <s v="6211 - History - Corporate Law"/>
        <s v="44036 - History - Corporate Law"/>
        <s v="181493 - History - Corporate Law"/>
        <s v="6210 - History - Corporate Law"/>
        <s v="110431 - History - Corporate Law"/>
        <s v="122878 - History - Corporate Law"/>
        <s v="14092 - History - Corporate Law"/>
        <s v="121621 - History - Corporate Law"/>
        <s v="120511 - History - Corporate Law"/>
        <s v="46132 - History - Corporate Law"/>
        <s v="83014 - History - Corporate Law"/>
        <s v="80199 - History - Corporate Law"/>
        <s v="80201 - History - Corporate Law"/>
        <s v="46131 - History - Corporate Law"/>
        <s v="102346 - History - Corporate Law"/>
        <s v="14094 - History - Corporate Law"/>
        <s v="100679 - History - Corporate Law"/>
        <s v="102345 - History - Corporate Law"/>
        <s v="121695 - History - Corporate Law"/>
        <s v="6204 - History - Corporate Law"/>
        <s v="16571 - History - Corporate Law"/>
        <s v="181494 - History - Corporate Law"/>
        <s v="80315 - History - Corporate Law"/>
        <s v="83054 - History - Corporate Law"/>
        <s v="83056 - History - Corporate Law"/>
        <s v="83055 - History - Corporate Law"/>
        <s v="46134 - History - Corporate Law"/>
        <s v="121693 - History - Corporate Law"/>
        <s v="102344 - History - Corporate Law"/>
        <s v="100687 - History - Corporate Law"/>
        <s v="70327 - History - Corporate Law"/>
        <s v="80191 - History - Corporate Law"/>
        <s v="103037 - History - Corporate Law"/>
        <s v="6205 - History - Corporate Law"/>
        <s v="70387 - History - Corporate Law"/>
        <s v="122278 - Arts - International Law"/>
        <s v="29365 - Arts - International Law"/>
        <s v="17769 - Arts - International Law"/>
        <s v="23144 - Arts - International Law"/>
        <s v="120115 - Arts - International Law"/>
        <s v="29384 - Arts - International Law"/>
        <s v="17746 - Arts - International Law"/>
        <s v="121630 - Arts - International Law"/>
        <s v="29385 - Arts - International Law"/>
        <s v="17767 - Arts - International Law"/>
        <s v="103047 - Arts - International Law"/>
        <s v="70209 - Arts - International Law"/>
        <s v="29372 - Arts - International Law"/>
        <s v="120485 - Arts - International Law"/>
        <s v="120486 - Arts - International Law"/>
        <s v="70293 - Arts - International Law"/>
        <s v="71772 - Arts - International Law"/>
        <s v="86111 - Arts - International Law"/>
        <s v="71840 - Arts - International Law"/>
        <s v="28533 - Arts - International Law"/>
        <s v="86994 - Arts - International Law"/>
        <s v="124881 - Arts - International Law"/>
        <s v="119280 - Arts - International Law"/>
        <s v="87001 - Arts - International Law"/>
        <s v="71839 - Arts - International Law"/>
        <s v="119288 - Arts - International Law"/>
        <s v="71770 - Arts - International Law"/>
        <s v="28536 - Arts - International Law"/>
        <s v="90007 - Arts - International Law"/>
        <s v="71830 - Arts - International Law"/>
        <s v="71837 - Arts - International Law"/>
        <s v="83640 - Arts - International Law"/>
        <s v="111191 - Arts - International Law"/>
        <s v="70442 - Arts - International Law"/>
        <s v="122228 - Arts - International Law"/>
        <s v="46822 - Arts - International Law"/>
        <s v="71769 - Arts - International Law"/>
        <s v="9302 - Arts - International Law"/>
        <s v="90006 - Arts - International Law"/>
        <s v="80673 - Arts - International Law"/>
        <s v="71834 - Arts - International Law"/>
        <s v="107310 - Arts - International Law"/>
        <s v="71843 - Arts - International Law"/>
        <s v="107358 - Arts - International Law"/>
        <s v="44842 - Arts - International Law"/>
        <s v="111181 - Arts - International Law"/>
        <s v="71773 - Arts - International Law"/>
        <s v="71836 - Arts - International Law"/>
        <s v="70276 - Arts - International Law"/>
        <s v="71775 - Arts - International Law"/>
        <s v="44844 - Arts - International Law"/>
        <s v="156181 - Arts - International Law"/>
        <s v="102898 - Arts - International Law"/>
        <s v="47600 - Arts - International Law"/>
        <s v="111173 - Arts - International Law"/>
        <s v="70201 - Arts - International Law"/>
        <s v="71842 - Arts - International Law"/>
        <s v="47601 - Arts - International Law"/>
        <s v="87000 - Arts - International Law"/>
        <s v="103457 - Arts - International Law"/>
        <s v="42198 - Arts - International Law"/>
        <s v="46823 - Arts - International Law"/>
        <s v="116196 - Arts - International Law"/>
        <s v="111177 - Arts - International Law"/>
        <s v="70292 - Arts - International Law"/>
        <s v="90008 - Arts - International Law"/>
        <s v="71768 - Arts - International Law"/>
        <s v="86972 - Arts - International Law"/>
        <s v="111179 - Arts - International Law"/>
        <s v="81726 - Arts - International Law"/>
        <s v="28535 - Arts - International Law"/>
        <s v="80682 - Arts - International Law"/>
        <s v="144008 - Arts - International Law"/>
        <s v="111129 - Arts - International Law"/>
        <s v="107307 - Arts - International Law"/>
        <s v="70206 - Arts - International Law"/>
        <s v="107349 - Arts - International Law"/>
        <s v="122231 - Arts - International Law"/>
        <s v="103458 - Arts - International Law"/>
        <s v="71838 - Arts - International Law"/>
        <s v="104671 - Arts - International Law"/>
        <s v="83793 - Arts - International Law"/>
        <s v="50478 - Arts - International Law"/>
        <s v="118891 - Arts - International Law"/>
        <s v="70440 - Arts - International Law"/>
        <s v="44840 - Arts - International Law"/>
        <s v="107304 - Arts - International Law"/>
        <s v="116195 - Arts - International Law"/>
        <s v="86980 - Arts - International Law"/>
        <s v="122230 - Arts - International Law"/>
        <s v="47602 - Arts - International Law"/>
        <s v="42190 - Arts - International Law"/>
        <s v="111130 - Arts - International Law"/>
        <s v="71774 - Arts - International Law"/>
        <s v="75010 - Arts - International Law"/>
        <s v="119276 - Arts - International Law"/>
        <s v="83789 - Arts - International Law"/>
        <s v="86999 - Arts - International Law"/>
        <s v="80678 - Arts - International Law"/>
        <s v="86973 - Arts - International Law"/>
        <s v="81724 - Arts - International Law"/>
        <s v="104678 - Arts - International Law"/>
        <s v="71844 - Arts - International Law"/>
        <s v="42287 - Medical - Human Rights Law"/>
        <s v="116678 - Medical - Human Rights Law"/>
        <s v="116845 - Medical - Human Rights Law"/>
        <s v="114252 - Medical - Human Rights Law"/>
        <s v="117595 - Medical - Human Rights Law"/>
        <s v="109579 - Medical - Human Rights Law"/>
        <s v="117597 - Medical - Human Rights Law"/>
        <s v="14401 - Medical - Human Rights Law"/>
        <s v="109290 - Medical - Human Rights Law"/>
        <s v="117665 - Medical - Human Rights Law"/>
        <s v="117681 - Medical - Human Rights Law"/>
        <s v="119406 - Medical - Human Rights Law"/>
        <s v="117676 - Medical - Human Rights Law"/>
        <s v="109571 - Medical - Human Rights Law"/>
        <s v="116676 - Medical - Human Rights Law"/>
        <s v="116816 - Medical - Human Rights Law"/>
        <s v="117663 - Medical - Human Rights Law"/>
        <s v="117652 - Medical - Human Rights Law"/>
        <s v="109289 - Medical - Human Rights Law"/>
        <s v="117656 - Medical - Human Rights Law"/>
        <s v="117677 - Medical - Human Rights Law"/>
        <s v="116677 - Medical - Human Rights Law"/>
        <s v="117256 - Medical - Human Rights Law"/>
        <s v="122738 - Medical - Human Rights Law"/>
        <s v="116679 - Medical - Human Rights Law"/>
        <s v="116831 - Medical - Human Rights Law"/>
        <s v="109577 - Medical - Human Rights Law"/>
        <s v="77790 - Sports - Intellectual Property Law"/>
        <s v="101172 - Self-Help - Environmental Law"/>
        <s v="87023 - Self-Help - Environmental Law"/>
        <s v="101520 - Self-Help - Environmental Law"/>
        <s v="118362 - Self-Help - Environmental Law"/>
        <s v="87313 - Self-Help - Environmental Law"/>
        <s v="111015 - Self-Help - Environmental Law"/>
        <s v="87312 - Self-Help - Environmental Law"/>
        <s v="87025 - Self-Help - Environmental Law"/>
        <s v="111587 - Self-Help - Environmental Law"/>
        <s v="114934 - Medical - Labor Law"/>
        <s v="116519 - Medical - Labor Law"/>
        <s v="116516 - Medical - Labor Law"/>
        <s v="104931 - Finance - Tax Law"/>
        <s v="105656 - Finance - Tax Law"/>
        <s v="117702 - Finance - Tax Law"/>
        <s v="88385 - Finance - Tax Law"/>
        <s v="76451 - Finance - Tax Law"/>
        <s v="199950 - Finance - Tax Law"/>
        <s v="121167 - Finance - Tax Law"/>
        <s v="199954 - Finance - Tax Law"/>
        <s v="190713 - Finance - Tax Law"/>
        <s v="199951 - Finance - Tax Law"/>
        <s v="85263 - Finance - Tax Law"/>
        <s v="180016 - Finance - Tax Law"/>
        <s v="129432 - Finance - Tax Law"/>
        <s v="120052 - Finance - Tax Law"/>
        <s v="111876 - Finance - Tax Law"/>
        <s v="85092 - Finance - Tax Law"/>
        <s v="121046 - Finance - Tax Law"/>
        <s v="849 - Finance - Tax Law"/>
        <s v="21662 - Finance - Tax Law"/>
        <s v="127038 - Finance - Tax Law"/>
        <s v="91954 - Finance - Tax Law"/>
        <s v="96365 - Finance - Tax Law"/>
        <s v="121172 - Finance - Tax Law"/>
        <s v="74331 - Finance - Tax Law"/>
        <s v="105657 - Finance - Tax Law"/>
        <s v="113716 - Finance - Tax Law"/>
        <s v="104510 - Finance - Tax Law"/>
        <s v="105059 - Finance - Tax Law"/>
        <s v="63608 - Finance - Tax Law"/>
        <s v="121095 - Finance - Tax Law"/>
        <s v="76450 - Finance - Tax Law"/>
        <s v="121012 - Finance - Tax Law"/>
        <s v="113187 - Finance - Tax Law"/>
        <s v="101946 - Finance - Tax Law"/>
        <s v="117275 - Finance - Tax Law"/>
        <s v="117695 - Finance - Tax Law"/>
        <s v="74398 - Finance - Tax Law"/>
        <s v="105230 - Finance - Tax Law"/>
        <s v="112776 - Finance - Tax Law"/>
        <s v="23968 - Finance - Tax Law"/>
        <s v="127025 - Finance - Tax Law"/>
        <s v="118956 - Finance - Tax Law"/>
        <s v="118947 - Finance - Tax Law"/>
        <s v="95873 - Finance - Tax Law"/>
        <s v="118946 - Finance - Tax Law"/>
        <s v="44991 - Finance - Tax Law"/>
        <s v="122398 - Finance - Tax Law"/>
        <s v="108638 - Finance - Tax Law"/>
        <s v="113633 - Finance - Tax Law"/>
        <s v="113649 - Finance - Tax Law"/>
        <s v="113619 - Finance - Tax Law"/>
        <s v="113648 - Finance - Tax Law"/>
        <s v="120889 - Finance - Tax Law"/>
        <s v="113620 - Finance - Tax Law"/>
        <s v="113626 - Finance - Tax Law"/>
        <s v="113657 - Finance - Tax Law"/>
        <s v="113645 - Finance - Tax Law"/>
        <s v="18247 - Finance - Tax Law"/>
        <s v="121249 - Finance - Tax Law"/>
        <s v="104912 - Finance - Tax Law"/>
        <s v="73222 - History - Legal Theory"/>
        <s v="78834 - History - Legal Theory"/>
        <s v="15109 - History - Legal Theory"/>
        <s v="26126 - History - Legal Theory"/>
        <s v="48724 - History - Legal Theory"/>
        <s v="98888 - History - Legal Theory"/>
        <s v="48605 - History - Legal Theory"/>
        <s v="119243 - History - Legal Theory"/>
        <s v="22045 - History - Legal Theory"/>
        <s v="73221 - History - Legal Theory"/>
        <s v="72168 - History - Legal Theory"/>
        <s v="127039 - History - Legal Theory"/>
        <s v="155861 - History - Legal Theory"/>
        <s v="6213 - History - Legal Theory"/>
        <s v="6476 - Medical - Legal Practice"/>
        <s v="114933 - Medical - Legal Practice"/>
        <s v="6473 - Medical - Legal Practice"/>
        <s v="99248 - Medical - Legal Practice"/>
        <s v="6477 - Medical - Legal Practice"/>
        <s v="6478 - Medical - Legal Practice"/>
        <s v="6474 - Medical - Legal Practice"/>
        <s v="70574 - Medical - Legal Practice"/>
        <s v="101302 - Finance - Programming"/>
        <s v="104475 - Finance - Programming"/>
        <s v="101296 - Finance - Programming"/>
        <s v="122029 - Finance - Programming"/>
        <s v="102549 - Finance - Programming"/>
        <s v="122026 - Finance - Programming"/>
        <s v="101303 - Finance - Programming"/>
        <s v="102548 - Finance - Programming"/>
        <s v="122027 - Finance - Programming"/>
        <s v="46963 - Finance - Programming"/>
        <s v="102268 - Finance - Programming"/>
        <s v="26649 - Finance - Programming"/>
        <s v="102275 - Finance - Programming"/>
        <s v="43943 - Finance - Programming"/>
        <s v="102550 - Finance - Programming"/>
        <s v="26650 - Finance - Programming"/>
        <s v="117728 - Finance - Programming"/>
        <s v="103588 - Finance - Programming"/>
        <s v="101297 - Finance - Programming"/>
        <s v="101298 - Finance - Programming"/>
        <s v="113129 - Finance - Programming"/>
        <s v="102551 - Finance - Programming"/>
        <s v="117735 - Finance - Programming"/>
        <s v="101299 - Finance - Programming"/>
        <s v="103590 - Finance - Programming"/>
        <s v="43944 - Finance - Programming"/>
        <s v="113128 - Finance - Programming"/>
        <s v="102553 - Finance - Programming"/>
        <s v="114230 - Finance - Programming"/>
        <s v="122028 - Finance - Programming"/>
        <s v="102269 - Finance - Programming"/>
        <s v="26651 - Finance - Programming"/>
        <s v="101316 - Finance - Programming"/>
        <s v="117742 - Finance - Programming"/>
        <s v="101315 - Finance - Programming"/>
        <s v="43945 - Finance - Programming"/>
        <s v="103589 - Finance - Programming"/>
        <s v="88896 - Finance - Programming"/>
        <s v="103595 - Finance - Programming"/>
        <s v="101300 - Finance - Programming"/>
        <s v="113130 - Finance - Programming"/>
        <s v="102272 - Finance - Programming"/>
        <s v="43947 - Finance - Programming"/>
        <s v="102271 - Finance - Programming"/>
        <s v="103592 - Finance - Programming"/>
        <s v="26652 - Finance - Programming"/>
        <s v="43946 - Finance - Programming"/>
        <s v="101301 - Finance - Programming"/>
        <s v="108458 - Finance - Programming"/>
        <s v="117736 - Finance - Programming"/>
        <s v="49606 - Finance - Programming"/>
        <s v="106297 - Finance - Programming"/>
        <s v="15556 - Finance - Programming"/>
        <s v="49605 - Finance - Programming"/>
        <s v="102312 - Finance - Programming"/>
        <s v="121125 - Finance - Programming"/>
        <s v="106401 - Finance - Programming"/>
        <s v="116834 - Finance - Programming"/>
        <s v="1953 - Finance - Programming"/>
        <s v="106305 - Finance - Programming"/>
        <s v="108278 - Finance - Programming"/>
        <s v="47660 - Finance - Programming"/>
        <s v="47657 - Finance - Programming"/>
        <s v="64185 - Finance - Programming"/>
        <s v="108256 - Finance - Programming"/>
        <s v="62597 - Finance - Programming"/>
        <s v="102304 - Finance - Programming"/>
        <s v="118242 - Finance - Programming"/>
        <s v="121743 - Finance - Programming"/>
        <s v="108257 - Finance - Programming"/>
        <s v="117756 - Finance - Programming"/>
        <s v="110334 - Finance - Programming"/>
        <s v="102307 - Finance - Programming"/>
        <s v="117750 - Finance - Programming"/>
        <s v="181976 - Finance - Programming"/>
        <s v="108258 - Finance - Programming"/>
        <s v="110241 - Finance - Programming"/>
        <s v="110337 - Finance - Programming"/>
        <s v="118243 - Finance - Programming"/>
        <s v="102305 - Finance - Programming"/>
        <s v="110342 - Finance - Programming"/>
        <s v="102306 - Finance - Programming"/>
        <s v="194045 - Law - Web Development"/>
        <s v="96009 - Law - Web Development"/>
        <s v="104087 - Law - Web Development"/>
        <s v="77448 - Law - Web Development"/>
        <s v="5801 - Law - Web Development"/>
        <s v="90650 - Law - Web Development"/>
        <s v="6395 - Law - Web Development"/>
        <s v="77444 - Law - Web Development"/>
        <s v="20389 - Law - Web Development"/>
        <s v="68293 - Law - Web Development"/>
        <s v="90982 - Law - Web Development"/>
        <s v="48279 - Law - Web Development"/>
        <s v="77447 - Law - Web Development"/>
        <s v="5710 - Law - Web Development"/>
        <s v="90906 - Law - Web Development"/>
        <s v="90883 - Law - Web Development"/>
        <s v="113093 - Law - Web Development"/>
        <s v="73926 - Law - Web Development"/>
        <s v="110083 - Law - Web Development"/>
        <s v="76313 - Law - Web Development"/>
        <s v="68404 - Law - Web Development"/>
        <s v="68322 - Law - Web Development"/>
        <s v="73947 - Law - Web Development"/>
        <s v="29116 - Law - Web Development"/>
        <s v="90846 - Law - Web Development"/>
        <s v="110084 - Law - Web Development"/>
        <s v="73925 - Law - Web Development"/>
        <s v="68296 - Law - Web Development"/>
        <s v="90873 - Law - Web Development"/>
        <s v="90874 - Law - Web Development"/>
        <s v="90842 - Law - Web Development"/>
        <s v="5709 - Law - Web Development"/>
        <s v="76341 - Law - Web Development"/>
        <s v="113094 - Law - Web Development"/>
        <s v="76301 - Law - Web Development"/>
        <s v="90844 - Law - Web Development"/>
        <s v="90848 - Law - Web Development"/>
        <s v="76318 - Law - Web Development"/>
        <s v="118885 - Law - Web Development"/>
        <s v="76349 - Law - Web Development"/>
        <s v="30878 - Law - Web Development"/>
        <s v="104176 - Law - Web Development"/>
        <s v="78516 - Law - Web Development"/>
        <s v="118884 - Law - Web Development"/>
        <s v="119239 - Law - Web Development"/>
        <s v="30875 - Law - Web Development"/>
        <s v="73946 - Law - Web Development"/>
        <s v="90690 - Law - Web Development"/>
        <s v="101380 - Law - Web Development"/>
        <s v="5804 - Law - Web Development"/>
        <s v="82372 - Law - Web Development"/>
        <s v="90643 - Law - Web Development"/>
        <s v="68412 - Law - Web Development"/>
        <s v="82393 - Law - Web Development"/>
        <s v="5803 - Law - Web Development"/>
        <s v="121706 - Law - Web Development"/>
        <s v="68374 - Law - Web Development"/>
        <s v="90946 - Law - Web Development"/>
        <s v="69312 - Law - Web Development"/>
        <s v="87128 - Law - Web Development"/>
        <s v="149506 - Law - Web Development"/>
        <s v="5722 - Law - Web Development"/>
        <s v="5697 - Law - Web Development"/>
        <s v="29117 - Law - Web Development"/>
        <s v="68305 - Law - Web Development"/>
        <s v="5714 - Law - Web Development"/>
        <s v="73951 - Law - Web Development"/>
        <s v="68337 - Law - Web Development"/>
        <s v="76338 - Law - Web Development"/>
        <s v="202592 - Law - Web Development"/>
        <s v="69578 - Law - Web Development"/>
        <s v="76383 - Law - Web Development"/>
        <s v="5696 - Law - Web Development"/>
        <s v="90929 - Law - Web Development"/>
        <s v="90926 - Law - Web Development"/>
        <s v="76364 - Law - Web Development"/>
        <s v="79152 - Law - Web Development"/>
        <s v="30874 - Law - Web Development"/>
        <s v="5718 - Law - Web Development"/>
        <s v="126542 - Law - Web Development"/>
        <s v="90852 - Law - Web Development"/>
        <s v="122139 - Law - Web Development"/>
        <s v="126975 - Law - Web Development"/>
        <s v="202593 - Law - Web Development"/>
        <s v="73940 - Law - Web Development"/>
        <s v="76360 - Law - Web Development"/>
        <s v="118876 - Law - Web Development"/>
        <s v="76366 - Law - Web Development"/>
        <s v="122645 - Law - Web Development"/>
        <s v="76372 - Law - Web Development"/>
        <s v="5720 - Law - Web Development"/>
        <s v="5695 - Law - Web Development"/>
        <s v="90931 - Law - Web Development"/>
        <s v="110085 - Law - Web Development"/>
        <s v="113096 - Law - Web Development"/>
        <s v="90878 - Law - Web Development"/>
        <s v="73938 - Law - Web Development"/>
        <s v="5698 - Law - Web Development"/>
        <s v="76373 - Law - Web Development"/>
        <s v="73945 - Law - Web Development"/>
        <s v="159200 - Law - Web Development"/>
        <s v="68354 - Law - Web Development"/>
        <s v="5712 - Law - Web Development"/>
        <s v="114471 - Law - Web Development"/>
        <s v="90934 - Law - Web Development"/>
        <s v="87851 - Law - Web Development"/>
        <s v="90891 - Law - Web Development"/>
        <s v="69579 - Law - Web Development"/>
        <s v="90924 - Law - Web Development"/>
        <s v="69311 - Law - Web Development"/>
        <s v="90923 - Law - Web Development"/>
        <s v="159197 - Law - Web Development"/>
        <s v="88268 - Law - Web Development"/>
        <s v="90913 - Law - Web Development"/>
        <s v="76365 - Law - Web Development"/>
        <s v="9205 - Law - Web Development"/>
        <s v="76363 - Law - Web Development"/>
        <s v="121967 - Law - Web Development"/>
        <s v="90935 - Law - Web Development"/>
        <s v="87126 - Law - Web Development"/>
        <s v="90928 - Law - Web Development"/>
        <s v="90912 - Law - Web Development"/>
        <s v="48508 - Law - Web Development"/>
        <s v="90853 - Law - Web Development"/>
        <s v="117628 - Law - Web Development"/>
        <s v="5699 - Law - Web Development"/>
        <s v="5735 - Law - Web Development"/>
        <s v="109832 - Law - Web Development"/>
        <s v="122675 - Law - Web Development"/>
        <s v="87225 - Law - Web Development"/>
        <s v="82373 - Law - Web Development"/>
        <s v="77254 - Law - Web Development"/>
        <s v="5742 - Law - Web Development"/>
        <s v="117622 - Law - Web Development"/>
        <s v="77255 - Law - Web Development"/>
        <s v="101964 - Law - Web Development"/>
        <s v="48491 - Law - Web Development"/>
        <s v="82368 - Law - Web Development"/>
        <s v="82367 - Law - Web Development"/>
        <s v="118426 - Law - Web Development"/>
        <s v="5068 - Self-Help - Mobile Development"/>
        <s v="84660 - Self-Help - Mobile Development"/>
        <s v="5070 - Self-Help - Mobile Development"/>
        <s v="84681 - Self-Help - Mobile Development"/>
        <s v="102596 - Self-Help - Mobile Development"/>
        <s v="5037 - Self-Help - Mobile Development"/>
        <s v="5052 - Self-Help - Mobile Development"/>
        <s v="5051 - Self-Help - Mobile Development"/>
        <s v="102647 - Self-Help - Mobile Development"/>
        <s v="5061 - Self-Help - Mobile Development"/>
        <s v="102649 - Self-Help - Mobile Development"/>
        <s v="102662 - Self-Help - Mobile Development"/>
        <s v="108337 - Self-Help - Mobile Development"/>
        <s v="188352 - Sports - Software Engineering"/>
        <s v="11459 - Sports - Software Engineering"/>
        <s v="11443 - Sports - Software Engineering"/>
        <s v="70560 - Sports - Software Engineering"/>
        <s v="110363 - Sports - Software Engineering"/>
        <s v="11449 - Sports - Software Engineering"/>
        <s v="119793 - Sports - Software Engineering"/>
        <s v="41107 - Sports - Software Engineering"/>
        <s v="78358 - Sports - Software Engineering"/>
        <s v="77048 - Sports - Software Engineering"/>
        <s v="27428 - Sports - Software Engineering"/>
        <s v="8530 - Sports - Software Engineering"/>
        <s v="14281 - Sports - Software Engineering"/>
        <s v="140582 - Sports - Software Engineering"/>
        <s v="98895 - Sports - Software Engineering"/>
        <s v="77491 - Arts - Data Science"/>
        <s v="81704 - Arts - Data Science"/>
        <s v="111565 - Arts - Data Science"/>
        <s v="5774 - Arts - Data Science"/>
        <s v="112075 - Arts - Data Science"/>
        <s v="88469 - Arts - Data Science"/>
        <s v="112249 - Arts - Data Science"/>
        <s v="5775 - Arts - Data Science"/>
        <s v="77506 - Arts - Data Science"/>
        <s v="83646 - Arts - Data Science"/>
        <s v="77484 - Arts - Data Science"/>
        <s v="77481 - Arts - Data Science"/>
        <s v="17075 - Arts - Data Science"/>
        <s v="77492 - Arts - Data Science"/>
        <s v="112084 - Arts - Data Science"/>
        <s v="12041 - Arts - Data Science"/>
        <s v="83042 - Arts - Data Science"/>
        <s v="77490 - Arts - Data Science"/>
        <s v="43336 - Arts - Data Science"/>
        <s v="48609 - Arts - Data Science"/>
        <s v="117074 - Arts - Data Science"/>
        <s v="112085 - Arts - Data Science"/>
        <s v="106656 - Arts - Data Science"/>
        <s v="119244 - Arts - Data Science"/>
        <s v="73236 - Arts - Data Science"/>
        <s v="127582 - Arts - Data Science"/>
        <s v="128210 - Arts - Data Science"/>
        <s v="73187 - Arts - Data Science"/>
        <s v="41681 - Arts - Data Science"/>
        <s v="30624 - Arts - Data Science"/>
        <s v="114267 - Arts - Data Science"/>
        <s v="77441 - Arts - Data Science"/>
        <s v="116636 - Arts - Data Science"/>
        <s v="115198 - Arts - Data Science"/>
        <s v="89845 - Arts - Data Science"/>
        <s v="112248 - Arts - Data Science"/>
        <s v="89849 - Arts - Data Science"/>
        <s v="121709 - Arts - Data Science"/>
        <s v="122653 - Arts - Data Science"/>
        <s v="9759 - Arts - Data Science"/>
        <s v="86782 - Arts - Data Science"/>
        <s v="119246 - Arts - Data Science"/>
        <s v="6047 - Arts - Data Science"/>
        <s v="117526 - Arts - Data Science"/>
        <s v="106671 - Arts - Data Science"/>
        <s v="30889 - Arts - Data Science"/>
        <s v="80634 - Arts - Data Science"/>
        <s v="114269 - Arts - Data Science"/>
        <s v="84034 - Arts - Data Science"/>
        <s v="103271 - Arts - Data Science"/>
        <s v="72248 - Arts - Data Science"/>
        <s v="7672 - Sports - Artificial Intelligence"/>
        <s v="82844 - Sports - Artificial Intelligence"/>
        <s v="7685 - Sports - Artificial Intelligence"/>
        <s v="7673 - Sports - Artificial Intelligence"/>
        <s v="72328 - Sports - Artificial Intelligence"/>
        <s v="87967 - Sports - Artificial Intelligence"/>
        <s v="113193 - Sports - Artificial Intelligence"/>
        <s v="82821 - Sports - Artificial Intelligence"/>
        <s v="87964 - Sports - Artificial Intelligence"/>
        <s v="201751 - Sports - Artificial Intelligence"/>
        <s v="79057 - Sports - Artificial Intelligence"/>
        <s v="41225 - Sports - Artificial Intelligence"/>
        <s v="113300 - Sports - Artificial Intelligence"/>
        <s v="113299 - Sports - Artificial Intelligence"/>
        <s v="105475 - Sports - Artificial Intelligence"/>
        <s v="114724 - Sports - Artificial Intelligence"/>
        <s v="113298 - Sports - Artificial Intelligence"/>
        <s v="82838 - Sports - Artificial Intelligence"/>
        <s v="111960 - Sports - Artificial Intelligence"/>
        <s v="108840 - Sports - Artificial Intelligence"/>
        <s v="201044 - Sports - Artificial Intelligence"/>
        <s v="81880 - Sports - Artificial Intelligence"/>
        <s v="81873 - Sports - Artificial Intelligence"/>
        <s v="117613 - Sports - Artificial Intelligence"/>
        <s v="81876 - Sports - Artificial Intelligence"/>
        <s v="104050 - Sports - Artificial Intelligence"/>
        <s v="111934 - Sports - Artificial Intelligence"/>
        <s v="29819 - Sports - Artificial Intelligence"/>
        <s v="120392 - Sports - Artificial Intelligence"/>
        <s v="29820 - Sports - Artificial Intelligence"/>
        <s v="83755 - Sports - Artificial Intelligence"/>
        <s v="111941 - Sports - Artificial Intelligence"/>
        <s v="80858 - Sports - Artificial Intelligence"/>
        <s v="81902 - Sports - Artificial Intelligence"/>
        <s v="83754 - Sports - Artificial Intelligence"/>
        <s v="116233 - Sports - Artificial Intelligence"/>
        <s v="112192 - Sports - Artificial Intelligence"/>
        <s v="119728 - Sports - Artificial Intelligence"/>
        <s v="81901 - Sports - Artificial Intelligence"/>
        <s v="141878 - Sports - Artificial Intelligence"/>
        <s v="116236 - Sports - Artificial Intelligence"/>
        <s v="120751 - Sports - Artificial Intelligence"/>
        <s v="80756 - Sports - Artificial Intelligence"/>
        <s v="119729 - Sports - Artificial Intelligence"/>
        <s v="119028 - Sports - Artificial Intelligence"/>
        <s v="116957 - Sports - Artificial Intelligence"/>
        <s v="78235 - Sports - Artificial Intelligence"/>
        <s v="119803 - Sports - Artificial Intelligence"/>
        <s v="7669 - Sports - Artificial Intelligence"/>
        <s v="139312 - Sports - Artificial Intelligence"/>
        <s v="77773 - Sports - Artificial Intelligence"/>
        <s v="73442 - Sports - Artificial Intelligence"/>
        <s v="3974 - Sports - Artificial Intelligence"/>
        <s v="104032 - Sports - Artificial Intelligence"/>
        <s v="24162 - Law - Machine Learning"/>
        <s v="24167 - Law - Machine Learning"/>
        <s v="24174 - Law - Machine Learning"/>
        <s v="24161 - Law - Machine Learning"/>
        <s v="88594 - Law - Machine Learning"/>
        <s v="118818 - Law - Machine Learning"/>
        <s v="24166 - Law - Machine Learning"/>
        <s v="118828 - Law - Machine Learning"/>
        <s v="86169 - Law - Machine Learning"/>
        <s v="118851 - Law - Machine Learning"/>
        <s v="118824 - Law - Machine Learning"/>
        <s v="122728 - Law - Machine Learning"/>
        <s v="103474 - Law - Machine Learning"/>
        <s v="120635 - Law - Machine Learning"/>
        <s v="120633 - Law - Machine Learning"/>
        <s v="121477 - Law - Machine Learning"/>
        <s v="156024 - Law - Machine Learning"/>
        <s v="70191 - Law - Machine Learning"/>
        <s v="19822 - Law - Machine Learning"/>
        <s v="156023 - Law - Machine Learning"/>
        <s v="120628 - Law - Machine Learning"/>
        <s v="45830 - Law - Machine Learning"/>
        <s v="86192 - Law - Machine Learning"/>
        <s v="127372 - Law - Machine Learning"/>
        <s v="113902 - Law - Machine Learning"/>
        <s v="119133 - Law - Machine Learning"/>
        <s v="114946 - Law - Machine Learning"/>
        <s v="118832 - Law - Machine Learning"/>
        <s v="86499 - Law - Machine Learning"/>
        <s v="81790 - Law - Machine Learning"/>
        <s v="45898 - Law - Machine Learning"/>
        <s v="24144 - Law - Machine Learning"/>
        <s v="98351 - Law - Machine Learning"/>
        <s v="86481 - Law - Machine Learning"/>
        <s v="115747 - Law - Machine Learning"/>
        <s v="116187 - Law - Machine Learning"/>
        <s v="86162 - Law - Machine Learning"/>
        <s v="90654 - Law - Machine Learning"/>
        <s v="71743 - Law - Machine Learning"/>
        <s v="71744 - Law - Machine Learning"/>
        <s v="88590 - Law - Machine Learning"/>
        <s v="78940 - Law - Machine Learning"/>
        <s v="194752 - Law - Machine Learning"/>
        <s v="194748 - Law - Machine Learning"/>
        <s v="111580 - Law - Machine Learning"/>
        <s v="194741 - Law - Machine Learning"/>
        <s v="107082 - Law - Machine Learning"/>
        <s v="83092 - Law - Machine Learning"/>
        <s v="111581 - Law - Machine Learning"/>
        <s v="88402 - Law - Machine Learning"/>
        <s v="88413 - Law - Machine Learning"/>
        <s v="86560 - Law - Machine Learning"/>
        <s v="127584 - Law - Machine Learning"/>
        <s v="122254 - Law - Machine Learning"/>
        <s v="118849 - Law - Machine Learning"/>
        <s v="107187 - Law - Machine Learning"/>
        <s v="119932 - Law - Machine Learning"/>
        <s v="92045 - Medical - Cybersecurity"/>
        <s v="82168 - Medical - Cybersecurity"/>
        <s v="79263 - Medical - Cybersecurity"/>
        <s v="92044 - Medical - Cybersecurity"/>
        <s v="114725 - Medical - Cybersecurity"/>
        <s v="50684 - Medical - Cybersecurity"/>
        <s v="82167 - Medical - Cybersecurity"/>
        <s v="68513 - Medical - Cybersecurity"/>
        <s v="76566 - Medical - Cybersecurity"/>
        <s v="119088 - Medical - Cybersecurity"/>
        <s v="119431 - Medical - Cybersecurity"/>
        <s v="101279 - Medical - Cybersecurity"/>
        <s v="101270 - Medical - Cybersecurity"/>
        <s v="101282 - Medical - Cybersecurity"/>
        <s v="70291 - Fiction - Cloud Computing"/>
        <s v="70290 - Fiction - Cloud Computing"/>
        <s v="19188 - Fiction - Cloud Computing"/>
        <s v="41117 - Sports - DevOps"/>
        <s v="30625 - Sports - DevOps"/>
        <s v="11462 - Sports - DevOps"/>
        <s v="120733 - Sports - DevOps"/>
        <s v="83487 - Sports - DevOps"/>
        <s v="117610 - Sports - DevOps"/>
        <s v="112177 - Sports - DevOps"/>
        <s v="11412 - Sports - DevOps"/>
        <s v="76842 - Sports - DevOps"/>
        <s v="78366 - Sports - DevOps"/>
        <s v="98984 - Sports - DevOps"/>
        <s v="120310 - Sports - DevOps"/>
        <s v="116277 - Sports - DevOps"/>
        <s v="77670 - Sports - DevOps"/>
        <s v="78363 - Sports - DevOps"/>
        <s v="11458 - Sports - DevOps"/>
        <s v="11456 - Sports - DevOps"/>
        <s v="120726 - Sports - DevOps"/>
        <s v="11404 - Sports - DevOps"/>
        <s v="11408 - Sports - DevOps"/>
        <s v="120708 - Sports - DevOps"/>
        <s v="74419 - Sports - DevOps"/>
        <s v="113278 - Sports - DevOps"/>
        <s v="83486 - Sports - DevOps"/>
        <s v="11452 - Sports - DevOps"/>
        <s v="116803 - Sports - DevOps"/>
        <s v="77657 - Sports - DevOps"/>
        <s v="120309 - Sports - DevOps"/>
        <s v="116276 - Sports - DevOps"/>
        <s v="104623 - Sports - DevOps"/>
        <s v="78364 - Sports - DevOps"/>
        <s v="76837 - Sports - DevOps"/>
        <s v="82873 - Sports - DevOps"/>
        <s v="110341 - Sports - DevOps"/>
        <s v="76874 - Sports - DevOps"/>
        <s v="110340 - Sports - DevOps"/>
        <s v="44409 - Sports - DevOps"/>
        <s v="73831 - Sports - DevOps"/>
        <s v="79035 - Sports - DevOps"/>
        <s v="94951 - Sports - DevOps"/>
        <s v="22248 - Self-Help - Databases"/>
        <s v="16088 - Self-Help - Databases"/>
        <s v="10571 - Arts - Networking"/>
        <s v="182012 - Arts - Networking"/>
        <s v="182013 - Arts - Networking"/>
        <s v="107400 - Arts - Networking"/>
        <s v="48623 - Arts - Networking"/>
        <s v="48616 - Arts - Networking"/>
        <s v="47515 - Arts - Networking"/>
        <s v="81915 - Arts - Networking"/>
        <s v="108920 - Arts - Networking"/>
        <s v="107406 - Arts - Networking"/>
        <s v="24074 - Arts - Networking"/>
        <s v="107388 - Arts - Networking"/>
        <s v="24075 - Arts - Networking"/>
        <s v="27639 - Arts - Networking"/>
        <s v="103632 - Arts - Networking"/>
        <s v="10569 - Arts - Networking"/>
        <s v="182007 - Arts - Networking"/>
        <s v="182009 - Arts - Networking"/>
        <s v="103630 - Arts - Networking"/>
        <s v="47514 - Arts - Networking"/>
        <s v="86370 - Arts - Networking"/>
        <s v="86368 - Arts - Networking"/>
        <s v="103174 - Arts - Networking"/>
        <s v="48632 - Arts - Networking"/>
        <s v="48630 - Arts - Networking"/>
        <s v="48624 - Arts - Networking"/>
        <s v="10573 - Arts - Networking"/>
        <s v="18115 - Arts - Networking"/>
        <s v="83057 - Arts - Networking"/>
        <s v="26727 - Arts - Networking"/>
        <s v="85779 - Arts - Networking"/>
        <s v="84396 - Arts - Networking"/>
        <s v="42676 - Arts - Networking"/>
        <s v="108380 - Arts - Networking"/>
        <s v="10565 - Arts - Networking"/>
        <s v="107631 - Arts - Networking"/>
        <s v="24061 - Arts - Networking"/>
        <s v="182051 - Arts - Networking"/>
        <s v="86360 - Arts - Networking"/>
        <s v="10566 - Arts - Networking"/>
        <s v="182014 - Arts - Networking"/>
        <s v="182010 - Arts - Networking"/>
        <s v="24076 - Arts - Networking"/>
        <s v="10572 - Arts - Networking"/>
        <s v="47527 - Arts - Networking"/>
        <s v="10577 - Arts - Networking"/>
        <s v="81914 - Arts - Networking"/>
        <s v="120186 - Arts - Networking"/>
        <s v="182015 - Arts - Networking"/>
        <s v="117919 - Arts - Networking"/>
        <s v="71228 - Arts - Blockchain"/>
        <s v="67264 - Arts - Blockchain"/>
        <s v="82984 - Arts - Blockchain"/>
        <s v="86420 - Arts - Blockchain"/>
        <s v="71227 - Arts - Blockchain"/>
        <s v="18055 - Arts - Blockchain"/>
        <s v="82989 - Arts - Blockchain"/>
        <s v="86438 - Arts - Blockchain"/>
        <s v="18061 - Arts - Blockchain"/>
        <s v="67265 - Arts - Blockchain"/>
        <s v="69552 - Arts - Blockchain"/>
        <s v="110955 - Arts - Blockchain"/>
        <s v="79505 - Arts - Blockchain"/>
        <s v="110943 - Arts - Blockchain"/>
        <s v="119048 - Arts - Blockchain"/>
        <s v="42695 - Arts - Blockchain"/>
        <s v="88980 - Arts - Blockchain"/>
        <s v="149507 - Arts - Blockchain"/>
        <s v="86988 - Arts - Blockchain"/>
        <s v="73836 - Arts - Blockchain"/>
        <s v="69322 - Arts - Blockchain"/>
        <s v="8696 - Arts - Blockchain"/>
        <s v="119062 - Arts - Blockchain"/>
        <s v="188931 - Arts - Blockchain"/>
        <s v="100238 - Arts - Blockchain"/>
        <s v="47010 - Arts - Blockchain"/>
        <s v="104605 - Arts - Blockchain"/>
        <s v="42694 - Arts - Blockchain"/>
        <s v="8697 - Arts - Blockchain"/>
        <s v="110957 - Arts - Blockchain"/>
        <s v="86989 - Arts - Blockchain"/>
        <s v="8695 - Arts - Blockchain"/>
        <s v="122792 - Arts - Blockchain"/>
        <s v="8698 - Arts - Blockchain"/>
        <s v="103866 - Arts - Blockchain"/>
        <s v="103865 - Arts - Blockchain"/>
        <s v="110945 - Arts - Blockchain"/>
        <s v="158671 - Arts - Blockchain"/>
        <s v="118915 - Arts - Blockchain"/>
        <s v="88990 - Arts - Blockchain"/>
        <s v="73835 - Arts - Blockchain"/>
        <s v="8699 - Arts - Blockchain"/>
        <s v="81494 - Arts - Blockchain"/>
        <s v="89821 - Arts - Blockchain"/>
        <s v="83567 - Arts - Blockchain"/>
        <s v="69323 - Arts - Blockchain"/>
        <s v="88976 - Arts - Blockchain"/>
        <s v="199415 - Arts - Blockchain"/>
        <s v="112792 - Arts - Blockchain"/>
        <s v="104322 - Arts - Blockchain"/>
        <s v="69321 - Arts - Blockchain"/>
        <s v="110948 - Arts - Blockchain"/>
        <s v="82008 - Arts - Blockchain"/>
        <s v="86987 - Arts - Blockchain"/>
        <s v="118912 - Arts - Blockchain"/>
        <s v="47048 - Arts - Blockchain"/>
        <s v="103870 - Arts - Blockchain"/>
        <s v="86985 - Arts - Blockchain"/>
        <s v="82005 - Arts - Blockchain"/>
        <s v="119053 - Arts - Blockchain"/>
        <s v="102015 - Self-Help - Game Development"/>
        <s v="92823 - Fiction - UI/UX Design"/>
        <s v="108060 - Fiction - UI/UX Design"/>
        <s v="4214 - Fiction - UI/UX Design"/>
        <s v="14715 - Fiction - UI/UX Design"/>
        <s v="16771 - Fiction - UI/UX Design"/>
        <s v="97945 - Fiction - UI/UX Design"/>
        <s v="144740 - Fiction - UI/UX Design"/>
        <s v="75342 - Fiction - UI/UX Design"/>
        <s v="88189 - Fiction - UI/UX Design"/>
        <s v="70677 - Fiction - UI/UX Design"/>
        <s v="86506 - Fiction - UI/UX Design"/>
        <s v="17360 - Fiction - UI/UX Design"/>
        <s v="9819 - Fiction - UI/UX Design"/>
        <s v="28574 - Fiction - UI/UX Design"/>
        <s v="102395 - Fiction - UI/UX Design"/>
        <s v="147302 - Fiction - UI/UX Design"/>
        <s v="85049 - Fiction - UI/UX Design"/>
        <s v="1683 - Fiction - UI/UX Design"/>
        <s v="1685 - Fiction - UI/UX Design"/>
        <s v="22193 - Fiction - UI/UX Design"/>
        <s v="9786 - Fiction - UI/UX Design"/>
        <s v="108770 - Fiction - UI/UX Design"/>
        <s v="109536 - Fiction - UI/UX Design"/>
        <s v="111743 - Fiction - UI/UX Design"/>
        <s v="108769 - Fiction - UI/UX Design"/>
        <s v="111742 - Fiction - UI/UX Design"/>
        <s v="88989 - Finance - Personal Finance"/>
        <s v="88987 - Finance - Personal Finance"/>
        <s v="88988 - Finance - Personal Finance"/>
        <s v="102816 - Finance - Personal Finance"/>
        <s v="49803 - Finance - Personal Finance"/>
        <s v="77302 - Finance - Personal Finance"/>
        <s v="94000 - Arts - Investing"/>
        <s v="9616 - Arts - Investing"/>
        <s v="115135 - Arts - Investing"/>
        <s v="90727 - Arts - Investing"/>
        <s v="24060 - Arts - Investing"/>
        <s v="112086 - Arts - Investing"/>
        <s v="90723 - Arts - Investing"/>
        <s v="77601 - Arts - Investing"/>
        <s v="12005 - Arts - Investing"/>
        <s v="41680 - Arts - Investing"/>
        <s v="12000 - Arts - Investing"/>
        <s v="12022 - Arts - Investing"/>
        <s v="113596 - Arts - Investing"/>
        <s v="11998 - Arts - Investing"/>
        <s v="12063 - Arts - Investing"/>
        <s v="96069 - Arts - Investing"/>
        <s v="12007 - Arts - Investing"/>
        <s v="113592 - Arts - Investing"/>
        <s v="147308 - Arts - Investing"/>
        <s v="41679 - Arts - Investing"/>
        <s v="112077 - Arts - Investing"/>
        <s v="115133 - Arts - Investing"/>
        <s v="30465 - Arts - Investing"/>
        <s v="87405 - Arts - Investing"/>
        <s v="77602 - Arts - Investing"/>
        <s v="107058 - Arts - Investing"/>
        <s v="5807 - Arts - Investing"/>
        <s v="87061 - Arts - Investing"/>
        <s v="108039 - Arts - Investing"/>
        <s v="90837 - Arts - Investing"/>
        <s v="88461 - Arts - Investing"/>
        <s v="81504 - Arts - Investing"/>
        <s v="12027 - Arts - Investing"/>
        <s v="8883 - Arts - Investing"/>
        <s v="112082 - Arts - Investing"/>
        <s v="114961 - Arts - Investing"/>
        <s v="112078 - Arts - Investing"/>
        <s v="12025 - Arts - Investing"/>
        <s v="11992 - Arts - Investing"/>
        <s v="188850 - Arts - Investing"/>
        <s v="69296 - Arts - Investing"/>
        <s v="115141 - Arts - Investing"/>
        <s v="112081 - Arts - Investing"/>
        <s v="77611 - Arts - Investing"/>
        <s v="111722 - Arts - Investing"/>
        <s v="81503 - Arts - Investing"/>
        <s v="117559 - Arts - Investing"/>
        <s v="110230 - Finance - Stock Market"/>
        <s v="122854 - Finance - Stock Market"/>
        <s v="95371 - Finance - Stock Market"/>
        <s v="101190 - Finance - Stock Market"/>
        <s v="121532 - Finance - Stock Market"/>
        <s v="6614 - Finance - Stock Market"/>
        <s v="6618 - Finance - Stock Market"/>
        <s v="96096 - Finance - Stock Market"/>
        <s v="105977 - Finance - Stock Market"/>
        <s v="105901 - Finance - Stock Market"/>
        <s v="180823 - Finance - Stock Market"/>
        <s v="118979 - Finance - Stock Market"/>
        <s v="111502 - Finance - Stock Market"/>
        <s v="180822 - Finance - Stock Market"/>
        <s v="101196 - Finance - Stock Market"/>
        <s v="180824 - Finance - Stock Market"/>
        <s v="105905 - Finance - Stock Market"/>
        <s v="101194 - Finance - Stock Market"/>
        <s v="113719 - Finance - Stock Market"/>
        <s v="111330 - Tech - Cryptocurrency"/>
        <s v="102089 - Tech - Cryptocurrency"/>
        <s v="116867 - Tech - Cryptocurrency"/>
        <s v="150297 - Tech - Cryptocurrency"/>
        <s v="23628 - Tech - Cryptocurrency"/>
        <s v="120369 - Tech - Cryptocurrency"/>
        <s v="114175 - Tech - Cryptocurrency"/>
        <s v="23649 - Tech - Cryptocurrency"/>
        <s v="80419 - Tech - Cryptocurrency"/>
        <s v="114173 - Tech - Cryptocurrency"/>
        <s v="91562 - Tech - Cryptocurrency"/>
        <s v="23662 - Tech - Cryptocurrency"/>
        <s v="76466 - Law - Banking"/>
        <s v="76465 - Law - Banking"/>
        <s v="68329 - Law - Banking"/>
        <s v="114470 - Law - Banking"/>
        <s v="110568 - Law - Banking"/>
        <s v="76470 - Law - Banking"/>
        <s v="5604 - Law - Banking"/>
        <s v="28613 - Law - Banking"/>
        <s v="159402 - Law - Banking"/>
        <s v="68379 - Law - Banking"/>
        <s v="91069 - Law - Banking"/>
        <s v="91060 - Law - Banking"/>
        <s v="182274 - Law - Banking"/>
        <s v="110566 - Law - Banking"/>
        <s v="78877 - Law - Banking"/>
        <s v="5490 - Law - Banking"/>
        <s v="68382 - Law - Banking"/>
        <s v="114663 - Law - Banking"/>
        <s v="76474 - Law - Banking"/>
        <s v="76455 - Law - Banking"/>
        <s v="46337 - Law - Banking"/>
        <s v="78430 - Law - Banking"/>
        <s v="5605 - Law - Banking"/>
        <s v="77419 - Law - Banking"/>
        <s v="121701 - Law - Banking"/>
        <s v="91072 - Law - Banking"/>
        <s v="68486 - Law - Banking"/>
        <s v="110576 - Law - Banking"/>
        <s v="78503 - Law - Banking"/>
        <s v="77439 - Law - Banking"/>
        <s v="5615 - Law - Banking"/>
        <s v="5602 - Law - Banking"/>
        <s v="28612 - Law - Banking"/>
        <s v="72247 - Law - Banking"/>
        <s v="76469 - Law - Banking"/>
        <s v="78876 - Law - Banking"/>
        <s v="91064 - Law - Banking"/>
        <s v="5603 - Law - Banking"/>
        <s v="5612 - Law - Banking"/>
        <s v="43897 - Law - Banking"/>
        <s v="91058 - Law - Banking"/>
        <s v="107998 - Law - Banking"/>
        <s v="112194 - Law - Banking"/>
        <s v="68232 - Law - Banking"/>
        <s v="159386 - Law - Banking"/>
        <s v="76471 - Law - Banking"/>
        <s v="68357 - Law - Banking"/>
        <s v="68303 - Law - Banking"/>
        <s v="68325 - Law - Banking"/>
        <s v="68515 - Law - Banking"/>
        <s v="107989 - Law - Banking"/>
        <s v="76732 - Law - Banking"/>
        <s v="14711 - Law - Banking"/>
        <s v="14706 - Law - Banking"/>
        <s v="23975 - Law - Banking"/>
        <s v="90665 - Law - Banking"/>
        <s v="69551 - Law - Banking"/>
        <s v="69503 - Law - Banking"/>
        <s v="23473 - Law - Banking"/>
        <s v="69500 - Law - Banking"/>
        <s v="14689 - Law - Banking"/>
        <s v="19409 - Law - Banking"/>
        <s v="69526 - Law - Banking"/>
        <s v="19412 - Law - Banking"/>
        <s v="23471 - Law - Banking"/>
        <s v="14670 - Law - Banking"/>
        <s v="69499 - Law - Banking"/>
        <s v="90686 - Law - Banking"/>
        <s v="111872 - Law - Banking"/>
        <s v="23964 - Law - Banking"/>
        <s v="111837 - Law - Banking"/>
        <s v="19377 - Law - Banking"/>
        <s v="111836 - Law - Banking"/>
        <s v="190103 - Law - Banking"/>
        <s v="19408 - Law - Banking"/>
        <s v="14694 - Law - Banking"/>
        <s v="5686 - Law - Banking"/>
        <s v="111842 - Law - Banking"/>
        <s v="23978 - Law - Banking"/>
        <s v="14682 - Law - Banking"/>
        <s v="111873 - Law - Banking"/>
        <s v="23454 - Law - Banking"/>
        <s v="16760 - Law - Banking"/>
        <s v="14709 - Law - Banking"/>
        <s v="14665 - Law - Banking"/>
        <s v="8869 - Law - Corporate Finance"/>
        <s v="68520 - Law - Corporate Finance"/>
        <s v="107331 - Law - Corporate Finance"/>
        <s v="107325 - Law - Corporate Finance"/>
        <s v="8871 - Law - Corporate Finance"/>
        <s v="107334 - Law - Corporate Finance"/>
        <s v="120302 - Law - Corporate Finance"/>
        <s v="117661 - Law - Corporate Finance"/>
        <s v="79006 - Law - Corporate Finance"/>
        <s v="17133 - Law - Corporate Finance"/>
        <s v="76818 - Law - Corporate Finance"/>
        <s v="70236 - Law - Corporate Finance"/>
        <s v="91342 - Law - Corporate Finance"/>
        <s v="121782 - Law - Corporate Finance"/>
        <s v="76822 - Law - Corporate Finance"/>
        <s v="100278 - Law - Corporate Finance"/>
        <s v="122795 - Law - Corporate Finance"/>
        <s v="100282 - Law - Corporate Finance"/>
        <s v="68867 - Law - Corporate Finance"/>
        <s v="8862 - Law - Corporate Finance"/>
        <s v="72131 - Law - Corporate Finance"/>
        <s v="12047 - Law - Corporate Finance"/>
        <s v="121790 - Law - Corporate Finance"/>
        <s v="121787 - Law - Corporate Finance"/>
        <s v="70239 - Law - Corporate Finance"/>
        <s v="113942 - Law - Corporate Finance"/>
        <s v="119134 - Law - Corporate Finance"/>
        <s v="76813 - Law - Corporate Finance"/>
        <s v="121793 - Law - Corporate Finance"/>
        <s v="100283 - Law - Corporate Finance"/>
        <s v="75028 - Law - Corporate Finance"/>
        <s v="113946 - Law - Corporate Finance"/>
        <s v="12050 - Law - Corporate Finance"/>
        <s v="104312 - Law - Corporate Finance"/>
        <s v="121780 - Law - Corporate Finance"/>
        <s v="88638 - Law - Corporate Finance"/>
        <s v="70238 - Law - Corporate Finance"/>
        <s v="121839 - Law - Corporate Finance"/>
        <s v="77621 - Law - Corporate Finance"/>
        <s v="121783 - Law - Corporate Finance"/>
        <s v="75033 - Law - Corporate Finance"/>
        <s v="12053 - Law - Corporate Finance"/>
        <s v="113954 - Law - Corporate Finance"/>
        <s v="5782 - Law - Corporate Finance"/>
        <s v="107915 - Law - Corporate Finance"/>
        <s v="68866 - Law - Corporate Finance"/>
        <s v="121837 - Law - Corporate Finance"/>
        <s v="121840 - Law - Corporate Finance"/>
        <s v="90979 - Law - Corporate Finance"/>
        <s v="114350 - Law - Corporate Finance"/>
        <s v="47539 - Law - Corporate Finance"/>
        <s v="83948 - Law - Corporate Finance"/>
        <s v="17139 - Law - Corporate Finance"/>
        <s v="12051 - Law - Corporate Finance"/>
        <s v="12052 - Law - Corporate Finance"/>
        <s v="121838 - Law - Corporate Finance"/>
        <s v="107917 - Law - Corporate Finance"/>
        <s v="5779 - Law - Corporate Finance"/>
        <s v="120303 - Law - Corporate Finance"/>
        <s v="121784 - Law - Corporate Finance"/>
        <s v="107913 - Law - Corporate Finance"/>
        <s v="58759 - Law - Corporate Finance"/>
        <s v="158697 - Law - Corporate Finance"/>
        <s v="87160 - Law - Corporate Finance"/>
        <s v="88694 - Law - Corporate Finance"/>
        <s v="120393 - Law - Corporate Finance"/>
        <s v="89581 - Law - Corporate Finance"/>
        <s v="6514 - Law - Corporate Finance"/>
        <s v="105340 - Law - Corporate Finance"/>
        <s v="120865 - Law - Corporate Finance"/>
        <s v="110078 - Law - Corporate Finance"/>
        <s v="122343 - Law - Corporate Finance"/>
        <s v="12296 - Law - Corporate Finance"/>
        <s v="96952 - Law - Corporate Finance"/>
        <s v="82193 - Law - Corporate Finance"/>
        <s v="89802 - Law - Corporate Finance"/>
        <s v="87044 - Law - Corporate Finance"/>
        <s v="87042 - Law - Corporate Finance"/>
        <s v="116274 - Law - Corporate Finance"/>
        <s v="122344 - Law - Corporate Finance"/>
        <s v="122345 - Law - Corporate Finance"/>
        <s v="120867 - Law - Corporate Finance"/>
        <s v="28494 - Law - Corporate Finance"/>
        <s v="8882 - Law - Corporate Finance"/>
        <s v="116275 - Law - Corporate Finance"/>
        <s v="121424 - Law - Corporate Finance"/>
        <s v="75058 - Law - Corporate Finance"/>
        <s v="75056 - Law - Corporate Finance"/>
        <s v="42239 - Law - Corporate Finance"/>
        <s v="42237 - Law - Corporate Finance"/>
        <s v="69457 - Law - Corporate Finance"/>
        <s v="69328 - Law - Corporate Finance"/>
        <s v="69454 - Law - Corporate Finance"/>
        <s v="69469 - Law - Corporate Finance"/>
        <s v="193264 - Law - Corporate Finance"/>
        <s v="115763 - Law - Corporate Finance"/>
        <s v="69463 - Law - Corporate Finance"/>
        <s v="84168 - Law - Corporate Finance"/>
        <s v="75077 - Law - Corporate Finance"/>
        <s v="42229 - Law - Corporate Finance"/>
        <s v="89588 - Law - Corporate Finance"/>
        <s v="99973 - Law - Corporate Finance"/>
        <s v="70241 - Law - Corporate Finance"/>
        <s v="129479 - Law - Corporate Finance"/>
        <s v="107926 - Law - Corporate Finance"/>
        <s v="42232 - Law - Corporate Finance"/>
        <s v="122106 - Law - Corporate Finance"/>
        <s v="69456 - Law - Corporate Finance"/>
        <s v="118888 - Law - Corporate Finance"/>
        <s v="69468 - Law - Corporate Finance"/>
        <s v="117629 - Law - Corporate Finance"/>
        <s v="121475 - Law - Corporate Finance"/>
        <s v="80412 - Law - Corporate Finance"/>
        <s v="122857 - Law - Corporate Finance"/>
        <s v="115769 - Law - Corporate Finance"/>
        <s v="115774 - Law - Corporate Finance"/>
        <s v="118889 - Law - Corporate Finance"/>
        <s v="115758 - Law - Corporate Finance"/>
        <s v="115755 - Law - Corporate Finance"/>
        <s v="114964 - Law - Corporate Finance"/>
        <s v="87617 - Law - Corporate Finance"/>
        <s v="118542 - Law - Corporate Finance"/>
        <s v="122845 - Law - Corporate Finance"/>
        <s v="114967 - Law - Corporate Finance"/>
        <s v="121476 - Law - Corporate Finance"/>
        <s v="120529 - Law - Corporate Finance"/>
        <s v="120530 - Law - Corporate Finance"/>
        <s v="117638 - Law - Corporate Finance"/>
        <s v="108240 - Law - Corporate Finance"/>
        <s v="88635 - Law - Corporate Finance"/>
        <s v="69340 - Law - Corporate Finance"/>
        <s v="199472 - Law - Corporate Finance"/>
        <s v="117646 - Law - Corporate Finance"/>
        <s v="84167 - Law - Corporate Finance"/>
        <s v="81742 - Law - Corporate Finance"/>
        <s v="115754 - Law - Corporate Finance"/>
        <s v="69334 - Law - Corporate Finance"/>
        <s v="117753 - Law - Corporate Finance"/>
        <s v="129482 - Law - Corporate Finance"/>
        <s v="117634 - Law - Corporate Finance"/>
        <s v="111027 - Law - Corporate Finance"/>
        <s v="115772 - Law - Corporate Finance"/>
        <s v="115768 - Law - Corporate Finance"/>
        <s v="69476 - Law - Corporate Finance"/>
        <s v="122118 - Law - Corporate Finance"/>
        <s v="87447 - Law - Corporate Finance"/>
        <s v="129480 - Law - Corporate Finance"/>
        <s v="84164 - Law - Corporate Finance"/>
        <s v="69338 - Law - Corporate Finance"/>
        <s v="120531 - Law - Corporate Finance"/>
        <s v="120524 - Law - Corporate Finance"/>
        <s v="117631 - Law - Corporate Finance"/>
        <s v="115757 - Law - Corporate Finance"/>
        <s v="42243 - Law - Corporate Finance"/>
        <s v="115761 - Law - Corporate Finance"/>
        <s v="113960 - Law - Corporate Finance"/>
        <s v="42241 - Law - Corporate Finance"/>
        <s v="115770 - Law - Corporate Finance"/>
        <s v="118541 - Law - Corporate Finance"/>
        <s v="115750 - Law - Corporate Finance"/>
        <s v="99969 - Law - Corporate Finance"/>
        <s v="129483 - Law - Corporate Finance"/>
        <s v="42255 - Law - Corporate Finance"/>
        <s v="100235 - Law - Corporate Finance"/>
        <s v="129481 - Law - Corporate Finance"/>
        <s v="87455 - Law - Corporate Finance"/>
        <s v="120257 - Medical - Financial Analysis"/>
        <s v="122221 - Medical - Financial Analysis"/>
        <s v="122216 - Medical - Financial Analysis"/>
        <s v="140598 - Medical - Financial Analysis"/>
        <s v="112123 - Medical - Financial Analysis"/>
        <s v="70402 - Medical - Financial Analysis"/>
        <s v="119110 - Medical - Financial Analysis"/>
        <s v="139295 - Medical - Financial Analysis"/>
        <s v="71056 - Medical - Financial Analysis"/>
        <s v="122218 - Medical - Financial Analysis"/>
        <s v="122217 - Medical - Financial Analysis"/>
        <s v="119119 - Medical - Financial Analysis"/>
        <s v="46933 - Medical - Financial Analysis"/>
        <s v="119118 - Medical - Financial Analysis"/>
        <s v="41035 - Medical - Financial Analysis"/>
        <s v="139303 - Medical - Financial Analysis"/>
        <s v="101784 - Medical - Financial Analysis"/>
        <s v="122219 - Medical - Financial Analysis"/>
        <s v="122215 - Medical - Financial Analysis"/>
        <s v="111154 - Medical - Financial Analysis"/>
        <s v="119117 - Medical - Financial Analysis"/>
        <s v="20419 - Medical - Financial Analysis"/>
        <s v="122220 - Medical - Financial Analysis"/>
        <s v="122214 - Medical - Financial Analysis"/>
        <s v="46936 - Medical - Financial Analysis"/>
        <s v="112122 - Medical - Financial Analysis"/>
        <s v="71055 - Medical - Financial Analysis"/>
        <s v="41034 - Medical - Financial Analysis"/>
        <s v="111153 - Medical - Financial Analysis"/>
        <s v="119120 - Medical - Financial Analysis"/>
        <s v="139297 - Medical - Financial Analysis"/>
        <s v="48476 - Medical - Financial Analysis"/>
        <s v="103454 - Medical - Financial Analysis"/>
        <s v="103456 - Medical - Financial Analysis"/>
        <s v="139304 - Medical - Financial Analysis"/>
        <s v="158661 - Law - Financial Modeling"/>
        <s v="162441 - Law - Financial Modeling"/>
        <s v="102695 - Law - Financial Modeling"/>
        <s v="78913 - Law - Financial Modeling"/>
        <s v="71397 - Law - Financial Modeling"/>
        <s v="17596 - Law - Financial Modeling"/>
        <s v="71398 - Law - Financial Modeling"/>
        <s v="17627 - Law - Financial Modeling"/>
        <s v="86166 - Law - Financial Modeling"/>
        <s v="71409 - Law - Financial Modeling"/>
        <s v="12877 - Law - Financial Modeling"/>
        <s v="121868 - Law - Financial Modeling"/>
        <s v="17626 - Law - Financial Modeling"/>
        <s v="71394 - Law - Financial Modeling"/>
        <s v="17620 - Law - Financial Modeling"/>
        <s v="86186 - Law - Financial Modeling"/>
        <s v="71410 - Law - Financial Modeling"/>
        <s v="121869 - Law - Financial Modeling"/>
        <s v="17624 - Law - Financial Modeling"/>
        <s v="119737 - Law - Financial Modeling"/>
        <s v="17618 - Law - Financial Modeling"/>
        <s v="78741 - Law - Financial Modeling"/>
        <s v="86864 - Law - Financial Modeling"/>
        <s v="71421 - Law - Financial Modeling"/>
        <s v="115776 - Law - Financial Modeling"/>
        <s v="71393 - Law - Financial Modeling"/>
        <s v="78739 - Law - Financial Modeling"/>
        <s v="71408 - Law - Financial Modeling"/>
        <s v="109194 - Law - Financial Modeling"/>
        <s v="84448 - Law - Financial Modeling"/>
        <s v="140575 - Law - Financial Modeling"/>
        <s v="71420 - Law - Financial Modeling"/>
        <s v="71375 - Law - Financial Modeling"/>
        <s v="71376 - Law - Financial Modeling"/>
        <s v="110975 - Law - Financial Modeling"/>
        <s v="86170 - Law - Financial Modeling"/>
        <s v="142787 - Law - Financial Modeling"/>
        <s v="109185 - Law - Financial Modeling"/>
        <s v="109184 - Law - Financial Modeling"/>
        <s v="72575 - Law - Financial Modeling"/>
        <s v="78909 - Law - Financial Modeling"/>
        <s v="17630 - Law - Financial Modeling"/>
        <s v="78924 - Law - Financial Modeling"/>
        <s v="82196 - Law - Financial Modeling"/>
        <s v="86184 - Law - Financial Modeling"/>
        <s v="6219 - Law - Financial Modeling"/>
        <s v="116185 - Law - Financial Modeling"/>
        <s v="12873 - Law - Financial Modeling"/>
        <s v="71413 - Law - Financial Modeling"/>
        <s v="128352 - Law - Financial Modeling"/>
        <s v="17594 - Law - Financial Modeling"/>
        <s v="71404 - Law - Financial Modeling"/>
        <s v="129473 - Law - Financial Modeling"/>
        <s v="78904 - Law - Financial Modeling"/>
        <s v="122311 - Law - Financial Modeling"/>
        <s v="86172 - Law - Financial Modeling"/>
        <s v="17592 - Law - Financial Modeling"/>
        <s v="89981 - Law - Financial Modeling"/>
        <s v="71399 - Law - Financial Modeling"/>
        <s v="17587 - Law - Financial Modeling"/>
        <s v="17647 - Law - Financial Modeling"/>
        <s v="107364 - Law - Financial Modeling"/>
        <s v="24118 - Law - Financial Modeling"/>
        <s v="86181 - Law - Financial Modeling"/>
        <s v="129474 - Law - Financial Modeling"/>
        <s v="17601 - Law - Financial Modeling"/>
        <s v="78938 - Law - Financial Modeling"/>
        <s v="17609 - Law - Financial Modeling"/>
        <s v="129452 - Law - Financial Modeling"/>
        <s v="88587 - Law - Financial Modeling"/>
        <s v="17645 - Law - Financial Modeling"/>
        <s v="78899 - Law - Financial Modeling"/>
        <s v="71402 - Law - Financial Modeling"/>
        <s v="12875 - Law - Financial Modeling"/>
        <s v="17615 - Law - Financial Modeling"/>
        <s v="193116 - Law - Financial Modeling"/>
        <s v="72577 - Law - Financial Modeling"/>
        <s v="78916 - Law - Financial Modeling"/>
        <s v="71419 - Law - Financial Modeling"/>
        <s v="188223 - Law - Financial Modeling"/>
        <s v="71417 - Law - Financial Modeling"/>
        <s v="46895 - Law - Financial Modeling"/>
        <s v="86157 - Law - Financial Modeling"/>
        <s v="159110 - Law - Financial Modeling"/>
        <s v="46913 - Law - Financial Modeling"/>
        <s v="71400 - Law - Financial Modeling"/>
        <s v="46914 - Law - Financial Modeling"/>
        <s v="120300 - Law - Financial Modeling"/>
        <s v="71412 - Law - Financial Modeling"/>
        <s v="71415 - Law - Financial Modeling"/>
        <s v="71414 - Law - Financial Modeling"/>
        <s v="10336 - Finance - Risk Management"/>
        <s v="125173 - Finance - Risk Management"/>
        <s v="112994 - Finance - Risk Management"/>
        <s v="125182 - Finance - Risk Management"/>
        <s v="121112 - Finance - Risk Management"/>
        <s v="125172 - Finance - Risk Management"/>
        <s v="125196 - Finance - Risk Management"/>
        <s v="125192 - Finance - Risk Management"/>
        <s v="125194 - Finance - Risk Management"/>
        <s v="125198 - Finance - Risk Management"/>
        <s v="111220 - Finance - Risk Management"/>
        <s v="105969 - Finance - Risk Management"/>
        <s v="105981 - Finance - Risk Management"/>
        <s v="125185 - Finance - Risk Management"/>
        <s v="111605 - History - Derivatives"/>
        <s v="111608 - History - Derivatives"/>
        <s v="97023 - History - Derivatives"/>
        <s v="111607 - History - Derivatives"/>
        <s v="71083 - Law - Portfolio Management"/>
        <s v="118178 - Law - Portfolio Management"/>
        <s v="81767 - Law - Portfolio Management"/>
        <s v="118186 - Law - Portfolio Management"/>
        <s v="43228 - Law - Portfolio Management"/>
        <s v="199268 - Law - Portfolio Management"/>
        <s v="118196 - Law - Portfolio Management"/>
        <s v="71084 - Law - Portfolio Management"/>
        <s v="120587 - Law - Portfolio Management"/>
        <s v="80952 - Law - Portfolio Management"/>
        <s v="120575 - Law - Portfolio Management"/>
        <s v="43244 - Law - Portfolio Management"/>
        <s v="116477 - Law - Portfolio Management"/>
        <s v="110480 - Law - Portfolio Management"/>
        <s v="87548 - Law - Portfolio Management"/>
        <s v="77223 - Law - Portfolio Management"/>
        <s v="43241 - Law - Portfolio Management"/>
        <s v="71161 - Law - Portfolio Management"/>
        <s v="77224 - Law - Portfolio Management"/>
        <s v="113992 - Law - Portfolio Management"/>
        <s v="112611 - Law - Portfolio Management"/>
        <s v="116482 - Law - Portfolio Management"/>
        <s v="77246 - Law - Portfolio Management"/>
        <s v="122798 - Law - Portfolio Management"/>
        <s v="120590 - Law - Portfolio Management"/>
        <s v="71914 - Law - Portfolio Management"/>
        <s v="118206 - Law - Portfolio Management"/>
        <s v="118179 - Law - Portfolio Management"/>
        <s v="43247 - Law - Portfolio Management"/>
        <s v="71166 - Law - Portfolio Management"/>
        <s v="43238 - Law - Portfolio Management"/>
        <s v="114003 - Law - Portfolio Management"/>
        <s v="87540 - Law - Portfolio Management"/>
        <s v="77229 - Law - Portfolio Management"/>
        <s v="113994 - Law - Portfolio Management"/>
        <s v="106725 - Law - Portfolio Management"/>
        <s v="43235 - Law - Portfolio Management"/>
        <s v="118176 - Law - Portfolio Management"/>
        <s v="114018 - Law - Portfolio Management"/>
        <s v="116480 - Law - Portfolio Management"/>
        <s v="120577 - Law - Portfolio Management"/>
        <s v="118201 - Law - Portfolio Management"/>
        <s v="77245 - Law - Portfolio Management"/>
        <s v="118195 - Law - Portfolio Management"/>
        <s v="118197 - Law - Portfolio Management"/>
        <s v="187317 - Law - Portfolio Management"/>
        <s v="199484 - Law - Portfolio Management"/>
        <s v="113995 - Law - Portfolio Management"/>
        <s v="113669 - Law - Portfolio Management"/>
        <s v="111584 - Law - Portfolio Management"/>
        <s v="26123 - Law - Portfolio Management"/>
        <s v="113665 - Law - Portfolio Management"/>
        <s v="181241 - Law - Portfolio Management"/>
        <s v="113664 - Law - Portfolio Management"/>
        <s v="113677 - Law - Portfolio Management"/>
        <s v="120343 - Law - Portfolio Management"/>
        <s v="113666 - Law - Portfolio Management"/>
        <s v="113663 - Law - Portfolio Management"/>
        <s v="116983 - Sports - Venture Capital"/>
        <s v="94043 - Sports - Venture Capital"/>
        <s v="68216 - Sports - Venture Capital"/>
        <s v="80131 - Sports - Venture Capital"/>
        <s v="80998 - Sports - Venture Capital"/>
        <s v="87014 - Sports - Venture Capital"/>
        <s v="102900 - Sports - Venture Capital"/>
        <s v="80997 - Sports - Venture Capital"/>
        <s v="116989 - Sports - Venture Capital"/>
        <s v="43826 - Sports - Venture Capital"/>
        <s v="8769 - Sports - Venture Capital"/>
        <s v="104427 - Sports - Venture Capital"/>
        <s v="8770 - Sports - Venture Capital"/>
        <s v="94930 - Sports - Venture Capital"/>
        <s v="111576 - Sports - Venture Capital"/>
        <s v="71715 - Sports - Venture Capital"/>
        <s v="71710 - Sports - Venture Capital"/>
        <s v="102790 - Sports - Venture Capital"/>
        <s v="3518 - Sports - Venture Capital"/>
        <s v="18318 - Sports - Venture Capital"/>
        <s v="104220 - Sports - Venture Capital"/>
        <s v="106109 - Sports - Venture Capital"/>
        <s v="72162 - Sports - Venture Capital"/>
        <s v="104410 - Sports - Venture Capital"/>
        <s v="88825 - Sports - Venture Capital"/>
        <s v="13928 - Sports - Venture Capital"/>
        <s v="45368 - Sports - Venture Capital"/>
        <s v="119732 - Sports - Venture Capital"/>
        <s v="90467 - Sports - Venture Capital"/>
        <s v="119874 - Sports - Venture Capital"/>
        <s v="121316 - Sports - Venture Capital"/>
        <s v="77390 - Sports - Venture Capital"/>
        <s v="11444 - Sports - Venture Capital"/>
        <s v="74416 - Sports - Venture Capital"/>
        <s v="75323 - Sports - Venture Capital"/>
        <s v="86619 - Sports - Venture Capital"/>
        <s v="119801 - Sports - Venture Capital"/>
        <s v="126576 - Sports - Venture Capital"/>
        <s v="108841 - Sports - Venture Capital"/>
        <s v="82820 - Sports - Venture Capital"/>
        <s v="116826 - Sports - Venture Capital"/>
        <s v="126965 - Sports - Venture Capital"/>
        <s v="103795 - Sports - Venture Capital"/>
        <s v="116821 - Sports - Venture Capital"/>
        <s v="126577 - Sports - Venture Capital"/>
        <s v="82806 - Sports - Venture Capital"/>
        <s v="68099 - Sports - Venture Capital"/>
        <s v="82827 - Sports - Venture Capital"/>
        <s v="77127 - Sports - Venture Capital"/>
        <s v="69002 - Sports - Venture Capital"/>
        <s v="119847 - Sports - Venture Capital"/>
        <s v="11446 - Sports - Venture Capital"/>
        <s v="30628 - Sports - Venture Capital"/>
        <s v="113003 - Sports - Venture Capital"/>
        <s v="30631 - Sports - Venture Capital"/>
        <s v="188351 - Sports - Venture Capital"/>
        <s v="67025 - Sports - Venture Capital"/>
        <s v="119797 - Sports - Venture Capital"/>
        <s v="3592 - Sports - Venture Capital"/>
        <s v="3586 - Sports - Venture Capital"/>
        <s v="3591 - Sports - Venture Capital"/>
        <s v="73847 - Sports - Venture Capital"/>
        <s v="3590 - Sports - Venture Capital"/>
        <s v="116903 - Sports - Venture Capital"/>
        <s v="116780 - Sports - Venture Capital"/>
        <s v="114912 - Medical - Private Equity"/>
        <s v="111970 - Finance - Painting"/>
        <s v="126973 - Finance - Painting"/>
        <s v="116964 - Sports - Drawing"/>
        <s v="122340 - Sports - Drawing"/>
        <s v="116963 - Sports - Drawing"/>
        <s v="120241 - Sports - Drawing"/>
        <s v="120205 - Sports - Drawing"/>
        <s v="104162 - Sports - Drawing"/>
        <s v="110792 - Sports - Drawing"/>
        <s v="104169 - Sports - Drawing"/>
        <s v="111957 - Sports - Drawing"/>
        <s v="89201 - Sports - Drawing"/>
        <s v="87305 - Sports - Drawing"/>
        <s v="3480 - Sports - Drawing"/>
        <s v="116817 - Sports - Drawing"/>
        <s v="47209 - Sports - Drawing"/>
        <s v="68213 - Sports - Drawing"/>
        <s v="100999 - Sports - Drawing"/>
        <s v="119241 - Sports - Drawing"/>
        <s v="133917 - Sports - Drawing"/>
        <s v="128334 - Sports - Drawing"/>
        <s v="113235 - Sports - Drawing"/>
        <s v="113249 - Sports - Drawing"/>
        <s v="89210 - Sports - Drawing"/>
        <s v="104170 - Sports - Drawing"/>
        <s v="18671 - Sports - Drawing"/>
        <s v="83804 - Sports - Drawing"/>
        <s v="104415 - Sports - Drawing"/>
        <s v="78351 - Sports - Drawing"/>
        <s v="112174 - Sports - Drawing"/>
        <s v="120248 - Sports - Drawing"/>
        <s v="18672 - Sports - Drawing"/>
        <s v="13517 - Sports - Drawing"/>
        <s v="119896 - Sports - Drawing"/>
        <s v="120249 - Sports - Drawing"/>
        <s v="78352 - Sports - Drawing"/>
        <s v="45630 - Sports - Drawing"/>
        <s v="99726 - Sports - Drawing"/>
        <s v="88619 - Sports - Drawing"/>
        <s v="73430 - Sports - Drawing"/>
        <s v="98939 - Sports - Drawing"/>
        <s v="45826 - Sports - Drawing"/>
        <s v="100797 - Sports - Drawing"/>
        <s v="104429 - Sports - Drawing"/>
        <s v="119806 - Sports - Drawing"/>
        <s v="120734 - Sports - Drawing"/>
        <s v="104423 - Sports - Drawing"/>
        <s v="120286 - Sports - Drawing"/>
        <s v="81838 - Sports - Drawing"/>
        <s v="117718 - Sports - Drawing"/>
        <s v="70611 - Sports - Drawing"/>
        <s v="110848 - Sports - Drawing"/>
        <s v="107925 - Sports - Drawing"/>
        <s v="156038 - Sports - Drawing"/>
        <s v="117392 - Sports - Drawing"/>
        <s v="86620 - Sports - Drawing"/>
        <s v="27871 - Sports - Drawing"/>
        <s v="82874 - Sports - Drawing"/>
        <s v="120292 - Sports - Drawing"/>
        <s v="120293 - Sports - Drawing"/>
        <s v="44522 - Sports - Drawing"/>
        <s v="143999 - Sports - Drawing"/>
        <s v="144000 - Sports - Drawing"/>
        <s v="91236 - Sports - Sculpture"/>
        <s v="78213 - Sports - Sculpture"/>
        <s v="119254 - Sports - Sculpture"/>
        <s v="82149 - Sports - Sculpture"/>
        <s v="30864 - Sports - Sculpture"/>
        <s v="82148 - Sports - Sculpture"/>
        <s v="78069 - Sports - Sculpture"/>
        <s v="68623 - Sports - Sculpture"/>
        <s v="108904 - Sports - Sculpture"/>
        <s v="113967 - Sports - Sculpture"/>
        <s v="10145 - Sports - Sculpture"/>
        <s v="116960 - Sports - Sculpture"/>
        <s v="103663 - Sports - Sculpture"/>
        <s v="45983 - Sports - Sculpture"/>
        <s v="103662 - Sports - Sculpture"/>
        <s v="78318 - Sports - Sculpture"/>
        <s v="120179 - Sports - Sculpture"/>
        <s v="10144 - Sports - Sculpture"/>
        <s v="78304 - Sports - Sculpture"/>
        <s v="86598 - Sports - Sculpture"/>
        <s v="103665 - Sports - Sculpture"/>
        <s v="77771 - Sports - Sculpture"/>
        <s v="116798 - Sports - Sculpture"/>
        <s v="100610 - Sports - Sculpture"/>
        <s v="77772 - Sports - Sculpture"/>
        <s v="119914 - Sports - Sculpture"/>
        <s v="88495 - Sports - Sculpture"/>
        <s v="88487 - Sports - Sculpture"/>
        <s v="109488 - Sports - Sculpture"/>
        <s v="11401 - Sports - Sculpture"/>
        <s v="45530 - Sports - Sculpture"/>
        <s v="104426 - Sports - Sculpture"/>
        <s v="119827 - Sports - Sculpture"/>
        <s v="104384 - Sports - Sculpture"/>
        <s v="121966 - Sports - Sculpture"/>
        <s v="120183 - Sports - Sculpture"/>
        <s v="82832 - Sports - Sculpture"/>
        <s v="117607 - Sports - Sculpture"/>
        <s v="116244 - Sports - Sculpture"/>
        <s v="81045 - Sports - Sculpture"/>
        <s v="106021 - Sports - Sculpture"/>
        <s v="86622 - Sports - Sculpture"/>
        <s v="82834 - Sports - Sculpture"/>
        <s v="81008 - Sports - Sculpture"/>
        <s v="83167 - Sports - Sculpture"/>
        <s v="86584 - Sports - Sculpture"/>
        <s v="79902 - Medical - Photography"/>
        <s v="41328 - Medical - Photography"/>
        <s v="79907 - Medical - Photography"/>
        <s v="70588 - Medical - Photography"/>
        <s v="70587 - Medical - Photography"/>
        <s v="109356 - Medical - Photography"/>
        <s v="47892 - Medical - Photography"/>
        <s v="79901 - Medical - Photography"/>
        <s v="70585 - Medical - Photography"/>
        <s v="4375 - Medical - Photography"/>
        <s v="4380 - Medical - Photography"/>
        <s v="84967 - Medical - Photography"/>
        <s v="4381 - Medical - Photography"/>
        <s v="4379 - Medical - Photography"/>
        <s v="4383 - Medical - Photography"/>
        <s v="110770 - Medical - Photography"/>
        <s v="110764 - Medical - Photography"/>
        <s v="109355 - Medical - Photography"/>
        <s v="110765 - Medical - Photography"/>
        <s v="103510 - Medical - Photography"/>
        <s v="114936 - Medical - Photography"/>
        <s v="114935 - Medical - Photography"/>
        <s v="110768 - Medical - Photography"/>
        <s v="120256 - Medical - Photography"/>
        <s v="101783 - Medical - Photography"/>
        <s v="75766 - Medical - Photography"/>
        <s v="69756 - Medical - Photography"/>
        <s v="112471 - Medical - Photography"/>
        <s v="99040 - Medical - Photography"/>
        <s v="112321 - Medical - Photography"/>
        <s v="139296 - Medical - Photography"/>
        <s v="112318 - Medical - Photography"/>
        <s v="86119 - Medical - Photography"/>
        <s v="79895 - Medical - Photography"/>
        <s v="133909 - Medical - Photography"/>
        <s v="128338 - Medical - Photography"/>
        <s v="42990 - Medical - Photography"/>
        <s v="128339 - Medical - Photography"/>
        <s v="42008 - Medical - Photography"/>
        <s v="112320 - Medical - Photography"/>
        <s v="111150 - Medical - Photography"/>
        <s v="101782 - Medical - Photography"/>
        <s v="128402 - Medical - Photography"/>
        <s v="112322 - Medical - Photography"/>
        <s v="41994 - Medical - Photography"/>
        <s v="112319 - Medical - Photography"/>
        <s v="42002 - Medical - Photography"/>
        <s v="120263 - Medical - Photography"/>
        <s v="112855 - Medical - Photography"/>
        <s v="111151 - Medical - Photography"/>
        <s v="111152 - Medical - Photography"/>
        <s v="122224 - Medical - Photography"/>
        <s v="124709 - Medical - Photography"/>
        <s v="99039 - Medical - Photography"/>
        <s v="82928 - Medical - Photography"/>
        <s v="111149 - Medical - Photography"/>
        <s v="82927 - Medical - Photography"/>
        <s v="112317 - Medical - Photography"/>
        <s v="140597 - Medical - Photography"/>
        <s v="122229 - Medical - Photography"/>
        <s v="112473 - Medical - Photography"/>
        <s v="122226 - Medical - Photography"/>
        <s v="4385 - Medical - Photography"/>
        <s v="41029 - Medical - Photography"/>
        <s v="4386 - Medical - Photography"/>
        <s v="41030 - Medical - Photography"/>
        <s v="84950 - Medical - Photography"/>
        <s v="45255 - Medical - Photography"/>
        <s v="108070 - Medical - Photography"/>
        <s v="108069 - Medical - Photography"/>
        <s v="9668 - Medical - Photography"/>
        <s v="26322 - Medical - Photography"/>
        <s v="70413 - Medical - Photography"/>
        <s v="4389 - Medical - Photography"/>
        <s v="128340 - Medical - Photography"/>
        <s v="108071 - Medical - Photography"/>
        <s v="108068 - Medical - Photography"/>
        <s v="9662 - Medical - Photography"/>
        <s v="117611 - Medical - Photography"/>
        <s v="111148 - Medical - Photography"/>
        <s v="9680 - Medical - Photography"/>
        <s v="117605 - Medical - Photography"/>
        <s v="108077 - Medical - Photography"/>
        <s v="9681 - Medical - Photography"/>
        <s v="4388 - Medical - Photography"/>
        <s v="99036 - Medical - Photography"/>
        <s v="109344 - Medical - Photography"/>
        <s v="9663 - Medical - Photography"/>
        <s v="119106 - Medical - Photography"/>
        <s v="9664 - Medical - Photography"/>
        <s v="108064 - Medical - Photography"/>
        <s v="70414 - Medical - Photography"/>
        <s v="9673 - Medical - Photography"/>
        <s v="117604 - Medical - Photography"/>
        <s v="45165 - Medical - Photography"/>
        <s v="128341 - Medical - Photography"/>
        <s v="101917 - Medical - Photography"/>
        <s v="79419 - Medical - Photography"/>
        <s v="9675 - Medical - Photography"/>
        <s v="9671 - Medical - Photography"/>
        <s v="20247 - Arts - Graphic Design"/>
        <s v="109240 - Arts - Graphic Design"/>
        <s v="104079 - Arts - Graphic Design"/>
        <s v="126567 - Arts - Graphic Design"/>
        <s v="45567 - Arts - Graphic Design"/>
        <s v="109241 - Arts - Graphic Design"/>
        <s v="126564 - Arts - Graphic Design"/>
        <s v="20246 - Arts - Graphic Design"/>
        <s v="99321 - Arts - Graphic Design"/>
        <s v="99322 - Arts - Graphic Design"/>
        <s v="126561 - Arts - Graphic Design"/>
        <s v="113871 - Arts - Graphic Design"/>
        <s v="68332 - Arts - Graphic Design"/>
        <s v="102081 - Arts - Graphic Design"/>
        <s v="84213 - Arts - Graphic Design"/>
        <s v="68302 - Arts - Graphic Design"/>
        <s v="88238 - Arts - Graphic Design"/>
        <s v="84202 - Arts - Graphic Design"/>
        <s v="84226 - Arts - Graphic Design"/>
        <s v="104071 - Arts - Graphic Design"/>
        <s v="104075 - Arts - Graphic Design"/>
        <s v="91042 - Arts - Graphic Design"/>
        <s v="108047 - Arts - Graphic Design"/>
        <s v="90993 - Arts - Graphic Design"/>
        <s v="19277 - Arts - Graphic Design"/>
        <s v="84223 - Arts - Graphic Design"/>
        <s v="84225 - Arts - Graphic Design"/>
        <s v="113865 - Arts - Graphic Design"/>
        <s v="94645 - Arts - Graphic Design"/>
        <s v="104073 - Arts - Graphic Design"/>
        <s v="113880 - Arts - Graphic Design"/>
        <s v="91045 - Arts - Graphic Design"/>
        <s v="84231 - Arts - Graphic Design"/>
        <s v="68321 - Arts - Graphic Design"/>
        <s v="84211 - Arts - Graphic Design"/>
        <s v="158663 - Arts - Graphic Design"/>
        <s v="113874 - Arts - Graphic Design"/>
        <s v="84234 - Arts - Graphic Design"/>
        <s v="76642 - Arts - Graphic Design"/>
        <s v="126573 - Arts - Graphic Design"/>
        <s v="113877 - Arts - Graphic Design"/>
        <s v="84212 - Arts - Graphic Design"/>
        <s v="84203 - Arts - Graphic Design"/>
        <s v="91038 - Arts - Graphic Design"/>
        <s v="19335 - Arts - Graphic Design"/>
        <s v="103073 - Arts - Graphic Design"/>
        <s v="122261 - Arts - Graphic Design"/>
        <s v="68315 - Arts - Graphic Design"/>
        <s v="110229 - Arts - Graphic Design"/>
        <s v="5548 - Arts - Graphic Design"/>
        <s v="126544 - Arts - Graphic Design"/>
        <s v="90792 - Arts - Graphic Design"/>
        <s v="126541 - Arts - Graphic Design"/>
        <s v="71190 - Arts - Graphic Design"/>
        <s v="76425 - Arts - Graphic Design"/>
        <s v="76422 - Arts - Graphic Design"/>
        <s v="159201 - Arts - Graphic Design"/>
        <s v="76421 - Arts - Graphic Design"/>
        <s v="76424 - Arts - Graphic Design"/>
        <s v="90766 - Arts - Graphic Design"/>
        <s v="5538 - Arts - Graphic Design"/>
        <s v="68371 - Arts - Graphic Design"/>
        <s v="90808 - Arts - Graphic Design"/>
        <s v="5543 - Arts - Graphic Design"/>
        <s v="76420 - Arts - Graphic Design"/>
        <s v="68364 - Arts - Graphic Design"/>
        <s v="5541 - Arts - Graphic Design"/>
        <s v="5544 - Arts - Graphic Design"/>
        <s v="122257 - Arts - Graphic Design"/>
        <s v="90740 - Arts - Graphic Design"/>
        <s v="48280 - Arts - Graphic Design"/>
        <s v="71191 - Arts - Graphic Design"/>
        <s v="76418 - Arts - Graphic Design"/>
        <s v="87161 - Arts - Graphic Design"/>
        <s v="68323 - Arts - Graphic Design"/>
        <s v="72847 - Arts - Graphic Design"/>
        <s v="90799 - Arts - Graphic Design"/>
        <s v="71194 - Arts - Graphic Design"/>
        <s v="68378 - Arts - Graphic Design"/>
        <s v="76426 - Arts - Graphic Design"/>
        <s v="76413 - Arts - Graphic Design"/>
        <s v="68306 - Arts - Graphic Design"/>
        <s v="48283 - Arts - Graphic Design"/>
        <s v="81172 - Arts - Graphic Design"/>
        <s v="68328 - Arts - Graphic Design"/>
        <s v="158667 - Arts - Graphic Design"/>
        <s v="5539 - Arts - Graphic Design"/>
        <s v="68413 - Arts - Graphic Design"/>
        <s v="68345 - Arts - Graphic Design"/>
        <s v="70377 - Arts - Graphic Design"/>
        <s v="126547 - Arts - Graphic Design"/>
        <s v="117218 - Arts - Graphic Design"/>
        <s v="158668 - Arts - Graphic Design"/>
        <s v="19314 - Arts - Graphic Design"/>
        <s v="113867 - Arts - Graphic Design"/>
        <s v="19294 - Arts - Graphic Design"/>
        <s v="90961 - Arts - Graphic Design"/>
        <s v="118480 - Arts - Graphic Design"/>
        <s v="98337 - Arts - Graphic Design"/>
        <s v="90955 - Arts - Graphic Design"/>
        <s v="19303 - Arts - Graphic Design"/>
        <s v="98338 - Arts - Graphic Design"/>
        <s v="98339 - Arts - Graphic Design"/>
        <s v="19296 - Arts - Graphic Design"/>
        <s v="19306 - Arts - Graphic Design"/>
        <s v="90969 - Arts - Graphic Design"/>
        <s v="19299 - Arts - Graphic Design"/>
        <s v="5764 - Arts - Graphic Design"/>
        <s v="114667 - Arts - Graphic Design"/>
        <s v="113870 - Arts - Graphic Design"/>
        <s v="127918 - Arts - Graphic Design"/>
        <s v="127917 - Arts - Graphic Design"/>
        <s v="19297 - Arts - Graphic Design"/>
        <s v="19316 - Arts - Graphic Design"/>
        <s v="118481 - Arts - Graphic Design"/>
        <s v="118366 - Arts - Graphic Design"/>
        <s v="111183 - Arts - Graphic Design"/>
        <s v="124735 - Arts - Graphic Design"/>
        <s v="78727 - Arts - Graphic Design"/>
        <s v="111182 - Arts - Graphic Design"/>
        <s v="78734 - Arts - Graphic Design"/>
        <s v="78729 - Arts - Graphic Design"/>
        <s v="111662 - Arts - Graphic Design"/>
        <s v="78728 - Arts - Graphic Design"/>
        <s v="119082 - Arts - Graphic Design"/>
        <s v="5770 - Arts - Graphic Design"/>
        <s v="103072 - Arts - Graphic Design"/>
        <s v="19344 - Arts - Graphic Design"/>
        <s v="84219 - Arts - Graphic Design"/>
        <s v="19345 - Arts - Graphic Design"/>
        <s v="90816 - Arts - Graphic Design"/>
        <s v="23198 - Arts - Graphic Design"/>
        <s v="87207 - Arts - Graphic Design"/>
        <s v="5694 - Arts - Graphic Design"/>
        <s v="119084 - Arts - Graphic Design"/>
        <s v="127927 - Arts - Graphic Design"/>
        <s v="111184 - Arts - Graphic Design"/>
        <s v="19341 - Arts - Graphic Design"/>
        <s v="118485 - Arts - Graphic Design"/>
        <s v="110565 - Arts - Graphic Design"/>
        <s v="118484 - Arts - Graphic Design"/>
        <s v="107652 - Arts - Graphic Design"/>
        <s v="107673 - Arts - Graphic Design"/>
        <s v="107902 - Arts - Graphic Design"/>
        <s v="19340 - Arts - Graphic Design"/>
        <s v="69190 - Arts - Graphic Design"/>
        <s v="48451 - Arts - Graphic Design"/>
        <s v="19339 - Arts - Graphic Design"/>
        <s v="69195 - Arts - Graphic Design"/>
        <s v="77192 - Arts - Graphic Design"/>
        <s v="95922 - Arts - Graphic Design"/>
        <s v="116779 - Arts - Graphic Design"/>
        <s v="69238 - Arts - Graphic Design"/>
        <s v="19337 - Arts - Graphic Design"/>
        <s v="19326 - Arts - Graphic Design"/>
        <s v="69251 - Arts - Graphic Design"/>
        <s v="81871 - Arts - Graphic Design"/>
        <s v="19321 - Arts - Graphic Design"/>
        <s v="117618 - Medical - Illustration"/>
        <s v="117623 - Medical - Illustration"/>
        <s v="117614 - Medical - Illustration"/>
        <s v="14393 - Medical - Illustration"/>
        <s v="70419 - Medical - Illustration"/>
        <s v="111147 - Medical - Illustration"/>
        <s v="4325 - Medical - Illustration"/>
        <s v="4321 - Medical - Illustration"/>
        <s v="70418 - Medical - Illustration"/>
        <s v="80648 - Medical - Illustration"/>
        <s v="70417 - Medical - Illustration"/>
        <s v="79420 - Medical - Illustration"/>
        <s v="4327 - Medical - Illustration"/>
        <s v="89505 - Medical - Illustration"/>
        <s v="128344 - Medical - Illustration"/>
        <s v="79421 - Medical - Illustration"/>
        <s v="128336 - Medical - Illustration"/>
        <s v="5081 - Medical - Illustration"/>
        <s v="79423 - Medical - Illustration"/>
        <s v="116481 - Medical - Illustration"/>
        <s v="118278 - Medical - Illustration"/>
        <s v="116440 - Medical - Illustration"/>
        <s v="116478 - Medical - Illustration"/>
        <s v="139305 - Medical - Illustration"/>
        <s v="118280 - Medical - Illustration"/>
        <s v="116506 - Medical - Illustration"/>
        <s v="116504 - Medical - Illustration"/>
        <s v="116435 - Medical - Illustration"/>
        <s v="70575 - Medical - Illustration"/>
        <s v="128343 - Medical - Illustration"/>
        <s v="112099 - Medical - Illustration"/>
        <s v="128337 - Medical - Illustration"/>
        <s v="4339 - Medical - Illustration"/>
        <s v="14399 - Medical - Illustration"/>
        <s v="4340 - Medical - Illustration"/>
        <s v="45250 - Medical - Illustration"/>
        <s v="9651 - Medical - Illustration"/>
        <s v="4329 - Medical - Illustration"/>
        <s v="4338 - Medical - Illustration"/>
        <s v="112100 - Medical - Illustration"/>
        <s v="9650 - Medical - Illustration"/>
        <s v="9649 - Medical - Illustration"/>
        <s v="9652 - Medical - Illustration"/>
        <s v="79426 - Medical - Illustration"/>
        <s v="79425 - Medical - Illustration"/>
        <s v="4335 - Medical - Illustration"/>
        <s v="70420 - Medical - Illustration"/>
        <s v="9655 - Medical - Illustration"/>
        <s v="68510 - Medical - Illustration"/>
        <s v="11068 - Medical - Illustration"/>
        <s v="79888 - Medical - Illustration"/>
        <s v="108982 - Medical - Illustration"/>
        <s v="88020 - Medical - Illustration"/>
        <s v="44824 - Medical - Illustration"/>
        <s v="46900 - Medical - Illustration"/>
        <s v="41981 - Medical - Illustration"/>
        <s v="44825 - Medical - Illustration"/>
        <s v="6875 - Medical - Illustration"/>
        <s v="108981 - Medical - Illustration"/>
        <s v="110931 - Medical - Illustration"/>
        <s v="99037 - Medical - Illustration"/>
        <s v="99096 - Medical - Illustration"/>
        <s v="41986 - Medical - Illustration"/>
        <s v="79430 - Medical - Illustration"/>
        <s v="41921 - Medical - Illustration"/>
        <s v="41910 - Medical - Illustration"/>
        <s v="11069 - Medical - Illustration"/>
        <s v="41924 - Medical - Illustration"/>
        <s v="133913 - Medical - Illustration"/>
        <s v="70422 - Medical - Illustration"/>
        <s v="17812 - Medical - Illustration"/>
        <s v="70429 - Medical - Illustration"/>
        <s v="70428 - Medical - Illustration"/>
        <s v="99038 - Medical - Illustration"/>
        <s v="11071 - Medical - Illustration"/>
        <s v="17066 - Medical - Illustration"/>
        <s v="117649 - Medical - Illustration"/>
        <s v="70426 - Medical - Illustration"/>
        <s v="75750 - Medical - Illustration"/>
        <s v="117644 - Medical - Illustration"/>
        <s v="68512 - Medical - Illustration"/>
        <s v="12792 - Medical - Illustration"/>
        <s v="46684 - Medical - Illustration"/>
        <s v="12795 - Medical - Illustration"/>
        <s v="46686 - Medical - Illustration"/>
        <s v="12804 - Medical - Illustration"/>
        <s v="12799 - Medical - Illustration"/>
        <s v="100914 - Medical - Illustration"/>
        <s v="12802 - Medical - Illustration"/>
        <s v="100907 - Medical - Illustration"/>
        <s v="12794 - Medical - Illustration"/>
        <s v="4261 - Medical - Digital Art"/>
        <s v="9656 - Medical - Digital Art"/>
        <s v="9657 - Medical - Digital Art"/>
        <s v="9660 - Medical - Digital Art"/>
        <s v="9648 - Medical - Digital Art"/>
        <s v="79424 - Medical - Digital Art"/>
        <s v="4267 - Medical - Digital Art"/>
        <s v="9647 - Medical - Digital Art"/>
        <s v="110772 - Medical - Digital Art"/>
        <s v="4255 - Medical - Digital Art"/>
        <s v="4270 - Medical - Digital Art"/>
        <s v="4264 - Medical - Digital Art"/>
        <s v="4271 - Medical - Digital Art"/>
        <s v="79428 - Medical - Digital Art"/>
        <s v="68509 - Medical - Digital Art"/>
        <s v="112104 - Medical - Digital Art"/>
        <s v="79885 - Medical - Digital Art"/>
        <s v="6876 - Medical - Digital Art"/>
        <s v="79427 - Medical - Digital Art"/>
        <s v="44828 - Medical - Digital Art"/>
        <s v="122213 - Medical - Digital Art"/>
        <s v="46903 - Medical - Digital Art"/>
        <s v="80359 - Medical - Digital Art"/>
        <s v="44827 - Medical - Digital Art"/>
        <s v="79882 - Medical - Digital Art"/>
        <s v="11065 - Medical - Digital Art"/>
        <s v="41991 - Medical - Digital Art"/>
        <s v="6877 - Medical - Digital Art"/>
        <s v="4290 - Medical - Digital Art"/>
        <s v="4905 - Medical - Digital Art"/>
        <s v="41979 - Medical - Digital Art"/>
        <s v="41925 - Medical - Digital Art"/>
        <s v="17067 - Medical - Digital Art"/>
        <s v="70425 - Medical - Digital Art"/>
        <s v="17065 - Medical - Digital Art"/>
        <s v="103514 - Medical - Digital Art"/>
        <s v="4298 - Medical - Digital Art"/>
        <s v="4301 - Medical - Digital Art"/>
        <s v="75752 - Medical - Digital Art"/>
        <s v="21520 - Law - Art History"/>
        <s v="82206 - Law - Art History"/>
        <s v="5599 - Law - Art History"/>
        <s v="87231 - Law - Art History"/>
        <s v="5861 - Law - Art History"/>
        <s v="90909 - Law - Art History"/>
        <s v="21523 - Law - Art History"/>
        <s v="5485 - Law - Art History"/>
        <s v="77294 - Law - Art History"/>
        <s v="5486 - Law - Art History"/>
        <s v="77293 - Law - Art History"/>
        <s v="112230 - Law - Art History"/>
        <s v="83607 - Law - Art History"/>
        <s v="117216 - Law - Art History"/>
        <s v="5487 - Law - Art History"/>
        <s v="77295 - Law - Art History"/>
        <s v="89774 - Law - Art History"/>
        <s v="5483 - Law - Art History"/>
        <s v="120541 - Law - Art History"/>
        <s v="100249 - Law - Art History"/>
        <s v="119242 - Law - Art History"/>
        <s v="90868 - Law - Art History"/>
        <s v="90854 - Law - Art History"/>
        <s v="76568 - Law - Art History"/>
        <s v="76589 - Law - Art History"/>
        <s v="76581 - Law - Art History"/>
        <s v="77250 - Law - Art History"/>
        <s v="87222 - Law - Art History"/>
        <s v="122120 - Law - Art History"/>
        <s v="122121 - Law - Art History"/>
        <s v="90880 - Law - Art History"/>
        <s v="122088 - Law - Art History"/>
        <s v="90886 - Law - Art History"/>
        <s v="90755 - Law - Art History"/>
        <s v="111045 - Law - Art History"/>
        <s v="76582 - Law - Art History"/>
        <s v="76570 - Law - Art History"/>
        <s v="87099 - Law - Art History"/>
        <s v="76569 - Law - Art History"/>
        <s v="5586 - Law - Art History"/>
        <s v="5600 - Law - Art History"/>
        <s v="120390 - Law - Art History"/>
        <s v="76389 - Law - Art History"/>
        <s v="5601 - Law - Art History"/>
        <s v="202579 - Law - Art History"/>
        <s v="5584 - Law - Art History"/>
        <s v="90888 - Law - Art History"/>
        <s v="76584 - Law - Art History"/>
        <s v="87171 - Law - Art History"/>
        <s v="110569 - Law - Art History"/>
        <s v="5588 - Law - Art History"/>
        <s v="117165 - Law - Art History"/>
        <s v="5587 - Law - Art History"/>
        <s v="68359 - Law - Art History"/>
        <s v="5590 - Law - Art History"/>
        <s v="76475 - Law - Art History"/>
        <s v="147309 - Law - Art History"/>
        <s v="120533 - Law - Art History"/>
        <s v="5591 - Law - Art History"/>
        <s v="77248 - Law - Art History"/>
        <s v="90819 - Law - Art History"/>
        <s v="90820 - Law - Art History"/>
        <s v="90839 - Law - Art History"/>
        <s v="90858 - Law - Art History"/>
        <s v="76588 - Law - Art History"/>
        <s v="90671 - Law - Art History"/>
        <s v="77194 - Law - Art History"/>
        <s v="5504 - Law - Art History"/>
        <s v="90662 - Law - Art History"/>
        <s v="87288 - Law - Art History"/>
        <s v="5494 - Law - Art History"/>
        <s v="76637 - Law - Art History"/>
        <s v="76601 - Law - Art History"/>
        <s v="87202 - Law - Art History"/>
        <s v="122244 - Law - Art History"/>
        <s v="122075 - Law - Art History"/>
        <s v="90735 - Law - Art History"/>
        <s v="20951 - Law - Art History"/>
        <s v="5502 - Law - Art History"/>
        <s v="90669 - Law - Art History"/>
        <s v="90673 - Law - Art History"/>
        <s v="68403 - Law - Art History"/>
        <s v="76636 - Law - Art History"/>
        <s v="77397 - Law - Art History"/>
        <s v="76195 - Law - Art History"/>
        <s v="90710 - Law - Art History"/>
        <s v="117148 - Law - Art History"/>
        <s v="5493 - Law - Art History"/>
        <s v="76671 - Law - Art History"/>
        <s v="90678 - Law - Art History"/>
        <s v="76207 - Law - Art History"/>
        <s v="5500 - Law - Art History"/>
        <s v="122081 - Law - Art History"/>
        <s v="77396 - Law - Art History"/>
        <s v="77398 - Law - Art History"/>
        <s v="90716 - Law - Art History"/>
        <s v="122846 - Law - Art History"/>
        <s v="77410 - Law - Art History"/>
        <s v="87083 - Law - Art History"/>
        <s v="73630 - Law - Art History"/>
        <s v="90659 - Law - Art History"/>
        <s v="122079 - Law - Art History"/>
        <s v="5551 - Law - Art History"/>
        <s v="90624 - Law - Art History"/>
        <s v="29100 - Law - Art History"/>
        <s v="46330 - Law - Art History"/>
        <s v="117659 - Law - Art History"/>
        <s v="48149 - Law - Art History"/>
        <s v="113739 - Law - Art History"/>
        <s v="147316 - Law - Art History"/>
        <s v="76297 - Law - Art History"/>
        <s v="102698 - Law - Art History"/>
        <s v="102699 - Law - Art History"/>
        <s v="5556 - Law - Art History"/>
        <s v="73629 - Law - Art History"/>
        <s v="77253 - Law - Art History"/>
        <s v="5552 - Law - Art History"/>
        <s v="73805 - Law - Art History"/>
        <s v="48403 - Law - Art History"/>
        <s v="90626 - Law - Art History"/>
        <s v="147324 - Law - Art History"/>
        <s v="77411 - Law - Art History"/>
        <s v="87085 - Law - Art History"/>
        <s v="76212 - Law - Art History"/>
        <s v="117655 - Law - Art History"/>
        <s v="83596 - Law - Art History"/>
        <s v="5561 - Law - Art History"/>
        <s v="87304 - Law - Art History"/>
        <s v="113735 - Law - Art History"/>
        <s v="90661 - Law - Art History"/>
        <s v="76281 - Law - Art History"/>
        <s v="90622 - Law - Art History"/>
        <s v="90637 - Law - Art History"/>
        <s v="76208 - Law - Art History"/>
        <s v="91355 - Law - Art History"/>
        <s v="122068 - Law - Art History"/>
        <s v="48404 - Law - Art History"/>
        <s v="5553 - Law - Art History"/>
        <s v="76282 - Law - Art History"/>
        <s v="5554 - Law - Art History"/>
        <s v="77408 - Law - Art History"/>
        <s v="147312 - Law - Art History"/>
        <s v="113741 - Law - Art History"/>
        <s v="76290 - Law - Art History"/>
        <s v="5559 - Law - Art History"/>
        <s v="68351 - Law - Art History"/>
        <s v="113736 - Law - Art History"/>
        <s v="113738 - Law - Art History"/>
        <s v="113737 - Law - Art History"/>
        <s v="73767 - Law - Art History"/>
        <s v="89559 - Law - Art History"/>
        <s v="102720 - Law - Art History"/>
        <s v="114668 - Law - Art History"/>
        <s v="159208 - Law - Art History"/>
        <s v="108476 - Law - Art History"/>
        <s v="76603 - Law - Art History"/>
        <s v="117672 - Law - Art History"/>
        <s v="73968 - Law - Art History"/>
        <s v="73967 - Law - Art History"/>
        <s v="159209 - Law - Art History"/>
        <s v="90675 - Law - Art History"/>
        <s v="117671 - Law - Art History"/>
        <s v="100015 - Law - Art History"/>
        <s v="90680 - Law - Art History"/>
        <s v="88351 - Law - Art History"/>
        <s v="108475 - Law - Art History"/>
        <s v="90676 - Law - Art History"/>
        <s v="43118 - Medical - Architecture"/>
        <s v="112472 - Medical - Architecture"/>
        <s v="108083 - Medical - Architecture"/>
        <s v="133907 - Medical - Architecture"/>
        <s v="45176 - Medical - Architecture"/>
        <s v="5480 - Medical - Architecture"/>
        <s v="119086 - Medical - Architecture"/>
        <s v="108084 - Medical - Architecture"/>
        <s v="45192 - Medical - Architecture"/>
        <s v="26320 - Medical - Architecture"/>
        <s v="133910 - Medical - Architecture"/>
        <s v="133908 - Medical - Architecture"/>
        <s v="9646 - Medical - Architecture"/>
        <s v="108091 - Medical - Architecture"/>
        <s v="108114 - Medical - Architecture"/>
        <s v="9639 - Medical - Architecture"/>
        <s v="108108 - Medical - Architecture"/>
        <s v="108081 - Medical - Architecture"/>
        <s v="4243 - Medical - Architecture"/>
        <s v="108090 - Medical - Architecture"/>
        <s v="133912 - Medical - Architecture"/>
        <s v="108087 - Medical - Architecture"/>
        <s v="78866 - Medical - Architecture"/>
        <s v="70415 - Medical - Architecture"/>
        <s v="9644 - Medical - Architecture"/>
        <s v="4247 - Medical - Architecture"/>
        <s v="119087 - Medical - Architecture"/>
        <s v="9635 - Medical - Architecture"/>
        <s v="108082 - Medical - Architecture"/>
        <s v="9643 - Medical - Architecture"/>
        <s v="117601 - Medical - Architecture"/>
        <s v="108085 - Medical - Architecture"/>
        <s v="133914 - Medical - Architecture"/>
        <s v="103503 - Fiction - Fashion Design"/>
        <s v="128363 - Fiction - Fashion Design"/>
        <s v="13863 - Law - Interior Design"/>
        <s v="74454 - Law - Interior Design"/>
        <s v="12500 - Law - Interior Design"/>
        <s v="116555 - Law - Interior Design"/>
        <s v="77622 - Law - Interior Design"/>
        <s v="68294 - Law - Interior Design"/>
        <s v="12497 - Law - Interior Design"/>
        <s v="74453 - Law - Interior Design"/>
        <s v="112246 - Law - Interior Design"/>
        <s v="110776 - Law - Interior Design"/>
        <s v="92846 - Law - Interior Design"/>
        <s v="119257 - Law - Interior Design"/>
        <s v="68313 - Law - Interior Design"/>
        <s v="12503 - Law - Interior Design"/>
        <s v="77624 - Law - Interior Design"/>
        <s v="77432 - Law - Interior Design"/>
        <s v="77429 - Law - Interior Design"/>
        <s v="93995 - Law - Interior Design"/>
        <s v="103185 - Law - Interior Design"/>
        <s v="13868 - Law - Interior Design"/>
        <s v="9504 - Law - Interior Design"/>
        <s v="77446 - Law - Interior Design"/>
        <s v="77498 - Law - Interior Design"/>
        <s v="77488 - Law - Interior Design"/>
        <s v="82203 - Law - Interior Design"/>
        <s v="82754 - Law - Interior Design"/>
        <s v="110837 - Law - Interior Design"/>
        <s v="9591 - Law - Interior Design"/>
        <s v="94040 - Law - Interior Design"/>
        <s v="9513 - Law - Interior Design"/>
        <s v="121543 - Law - Interior Design"/>
        <s v="164638 - Law - Interior Design"/>
        <s v="9554 - Law - Interior Design"/>
        <s v="117798 - Law - Interior Design"/>
        <s v="77480 - Law - Interior Design"/>
        <s v="9547 - Law - Interior Design"/>
        <s v="9551 - Law - Interior Design"/>
        <s v="9514 - Law - Interior Design"/>
        <s v="147310 - Law - Interior Design"/>
        <s v="13865 - Law - Interior Design"/>
        <s v="9521 - Law - Interior Design"/>
        <s v="9522 - Law - Interior Design"/>
        <s v="94048 - Law - Interior Design"/>
        <s v="121549 - Law - Interior Design"/>
        <s v="9593 - Law - Interior Design"/>
        <s v="119247 - Law - Interior Design"/>
        <s v="9516 - Law - Interior Design"/>
        <s v="193265 - Law - Interior Design"/>
        <s v="13869 - Law - Interior Design"/>
        <s v="13877 - Law - Interior Design"/>
        <s v="9493 - Law - Interior Design"/>
        <s v="9502 - Law - Interior Design"/>
        <s v="147301 - Law - Interior Design"/>
        <s v="30569 - Law - Interior Design"/>
        <s v="112190 - Law - Interior Design"/>
        <s v="110833 - Law - Interior Design"/>
        <s v="9505 - Law - Interior Design"/>
        <s v="119248 - Law - Interior Design"/>
        <s v="147306 - Law - Interior Design"/>
        <s v="77425 - Law - Interior Design"/>
        <s v="9497 - Law - Interior Design"/>
        <s v="9601 - Law - Interior Design"/>
        <s v="117799 - Law - Interior Design"/>
        <s v="82770 - Law - Interior Design"/>
        <s v="119249 - Law - Interior Design"/>
        <s v="86191 - Law - Interior Design"/>
        <s v="9503 - Law - Interior Design"/>
        <s v="94007 - Law - Interior Design"/>
        <s v="82761 - Law - Interior Design"/>
        <s v="9599 - Law - Interior Design"/>
        <s v="9496 - Law - Interior Design"/>
        <s v="195072 - Law - Interior Design"/>
        <s v="119252 - Law - Interior Design"/>
        <s v="9501 - Law - Interior Design"/>
        <s v="9491 - Law - Interior Design"/>
        <s v="194058 - Law - Interior Design"/>
        <s v="111319 - Law - Interior Design"/>
        <s v="86655 - Law - Interior Design"/>
        <s v="147300 - Law - Interior Design"/>
        <s v="13861 - Law - Interior Design"/>
        <s v="81510 - Law - Interior Design"/>
        <s v="9560 - Law - Interior Design"/>
        <s v="72161 - Law - Interior Design"/>
        <s v="9561 - Law - Interior Design"/>
        <s v="9562 - Law - Interior Design"/>
        <s v="119250 - Law - Interior Design"/>
        <s v="122297 - Law - Interior Design"/>
        <s v="164879 - Law - Interior Design"/>
        <s v="48697 - Law - Interior Design"/>
        <s v="122299 - Law - Interior Design"/>
        <s v="82997 - Law - Interior Design"/>
        <s v="108350 - Law - Interior Design"/>
        <s v="48699 - Law - Interior Design"/>
        <s v="108364 - Law - Interior Design"/>
        <s v="5799 - Law - Interior Design"/>
        <s v="81501 - Law - Interior Design"/>
        <s v="47648 - Law - Interior Design"/>
        <s v="105328 - Law - Interior Design"/>
        <s v="47654 - Law - Interior Design"/>
        <s v="82371 - Law - Interior Design"/>
        <s v="81500 - Law - Interior Design"/>
        <s v="48501 - Law - Interior Design"/>
        <s v="81498 - Law - Interior Design"/>
        <s v="48498 - Law - Interior Design"/>
        <s v="88628 - Law - Interior Design"/>
        <s v="180340 - Law - Interior Design"/>
        <s v="48503 - Law - Interior Design"/>
        <s v="74819 - Law - Interior Design"/>
        <s v="48502 - Law - Interior Design"/>
        <s v="96001 - Law - Interior Design"/>
        <s v="103095 - Law - Interior Design"/>
        <s v="88627 - Law - Interior Design"/>
        <s v="105329 - Law - Interior Design"/>
        <s v="105330 - Law - Interior Design"/>
        <s v="80252 - Law - Interior Design"/>
        <s v="77468 - Law - Interior Design"/>
        <s v="24203 - Law - Interior Design"/>
        <s v="139291 - Law - Interior Design"/>
        <s v="77426 - Law - Interior Design"/>
        <s v="94039 - Law - Interior Design"/>
        <s v="9508 - Law - Interior Design"/>
        <s v="121595 - Law - Interior Design"/>
        <s v="124762 - Law - Interior Design"/>
        <s v="77462 - Law - Interior Design"/>
        <s v="49158 - Law - Interior Design"/>
        <s v="93982 - Law - Interior Design"/>
        <s v="9546 - Law - Interior Design"/>
        <s v="9482 - Law - Interior Design"/>
        <s v="139290 - Law - Interior Design"/>
        <s v="121596 - Law - Interior Design"/>
        <s v="14441 - Law - Interior Design"/>
        <s v="9489 - Law - Interior Design"/>
        <s v="103189 - Law - Interior Design"/>
        <s v="9567 - Law - Interior Design"/>
        <s v="9543 - Law - Interior Design"/>
        <s v="77471 - Law - Interior Design"/>
        <s v="164631 - Law - Interior Design"/>
        <s v="9606 - Law - Interior Design"/>
        <s v="77473 - Law - Interior Design"/>
        <s v="9484 - Law - Interior Design"/>
        <s v="14439 - Law - Interior Design"/>
        <s v="124761 - Law - Interior Design"/>
        <s v="14440 - Law - Interior Design"/>
        <s v="9544 - Law - Interior Design"/>
        <s v="46482 - Law - Interior Design"/>
        <s v="46773 - Law - Interior Design"/>
        <s v="81502 - Law - Interior Design"/>
        <s v="76035 - Law - Interior Design"/>
        <s v="46774 - Law - Interior Design"/>
        <s v="121029 - Sports - Film Studies"/>
        <s v="128199 - Sports - Film Studies"/>
        <s v="82408 - Medical - Theatre"/>
        <s v="139298 - Medical - Theatre"/>
        <s v="91397 - Medical - Theatre"/>
        <s v="91396 - Medical - Theatre"/>
        <s v="139302 - Medical - Theatre"/>
        <s v="118283 - Medical - Theatre"/>
        <s v="118286 - Medical - Theatre"/>
        <s v="3375 - Medical - Theatre"/>
        <s v="118285 - Medical - Theatre"/>
        <s v="118284 - Medical - Theatre"/>
        <s v="116522 - Medical - Theatre"/>
        <s v="139307 - Medical - Theatre"/>
        <s v="120253 - Medical - Theatre"/>
        <s v="120252 - Medical - Theatre"/>
        <s v="120251 - Medical - Theatre"/>
        <s v="139306 - Medical - Theatre"/>
        <s v="120255 - Medical - Theatre"/>
        <s v="120980 - Medical - Theatre"/>
        <s v="139299 - Medical - Theatre"/>
        <s v="73635 - Medical - Theatre"/>
        <s v="116537 - Medical - Theatre"/>
        <s v="46716 - Medical - Theatre"/>
        <s v="109161 - Medical - Theatre"/>
        <s v="110760 - Medical - Theatre"/>
        <s v="112095 - Medical - Theatre"/>
        <s v="120261 - Medical - Theatre"/>
        <s v="142302 - Medical - Theatre"/>
        <s v="46715 - Medical - Theatre"/>
        <s v="102190 - Medical - Theatre"/>
        <s v="112098 - Medical - Theatre"/>
        <s v="110761 - Medical - Theatre"/>
        <s v="116529 - Medical - Theatre"/>
        <s v="119245 - Sports - Music"/>
        <s v="119454 - Sports - Music"/>
        <s v="118131 - Sports - Music"/>
        <s v="128395 - Sports - Music"/>
        <s v="117482 - Sports - Music"/>
        <s v="118130 - Sports - Music"/>
        <s v="109209 - Sports - Music"/>
        <s v="74428 - Sports - Anatomy"/>
        <s v="13941 - Sports - Anatomy"/>
        <s v="44316 - Medical - Physiology"/>
        <s v="122748 - Medical - Physiology"/>
        <s v="118936 - Medical - Physiology"/>
        <s v="122746 - Medical - Physiology"/>
        <s v="76567 - Medical - Physiology"/>
        <s v="122747 - Medical - Physiology"/>
        <s v="48484 - Fiction - Pathology"/>
        <s v="10856 - Fiction - Pathology"/>
        <s v="48486 - Fiction - Pathology"/>
        <s v="108707 - Fiction - Pathology"/>
        <s v="109565 - Fiction - Pathology"/>
        <s v="99181 - Fiction - Pathology"/>
        <s v="109060 - Fiction - Pathology"/>
        <s v="109628 - Fiction - Pathology"/>
        <s v="128346 - Fiction - Pathology"/>
        <s v="90319 - Fiction - Pathology"/>
        <s v="96287 - Fiction - Pathology"/>
        <s v="96238 - Fiction - Pathology"/>
        <s v="116553 - Fiction - Pathology"/>
        <s v="116539 - Fiction - Pathology"/>
        <s v="156015 - Sports - Pharmacology"/>
        <s v="77049 - Sports - Pharmacology"/>
        <s v="92906 - Sports - Pharmacology"/>
        <s v="6425 - Sports - Pharmacology"/>
        <s v="77653 - Sports - Pharmacology"/>
        <s v="156029 - Sports - Pharmacology"/>
        <s v="182726 - Self-Help - Surgery"/>
        <s v="3536 - Sports - Pediatrics"/>
        <s v="3541 - Sports - Pediatrics"/>
        <s v="147335 - Medical - Neurology"/>
        <s v="46896 - Medical - Neurology"/>
        <s v="46897 - Medical - Neurology"/>
        <s v="71729 - Tech - Psychiatry"/>
        <s v="45471 - Tech - Psychiatry"/>
        <s v="80622 - Tech - Psychiatry"/>
        <s v="111204 - Tech - Psychiatry"/>
        <s v="27843 - Tech - Psychiatry"/>
        <s v="111656 - Tech - Psychiatry"/>
        <s v="70043 - Tech - Psychiatry"/>
        <s v="127017 - Tech - Psychiatry"/>
        <s v="92320 - Tech - Psychiatry"/>
        <s v="109985 - Tech - Psychiatry"/>
        <s v="110415 - Tech - Psychiatry"/>
        <s v="101325 - Tech - Psychiatry"/>
        <s v="133904 - Tech - Psychiatry"/>
        <s v="91357 - Tech - Psychiatry"/>
        <s v="92330 - Tech - Psychiatry"/>
        <s v="128409 - Tech - Psychiatry"/>
        <s v="124704 - Tech - Psychiatry"/>
        <s v="122252 - Tech - Psychiatry"/>
        <s v="85159 - Tech - Psychiatry"/>
        <s v="103604 - Tech - Psychiatry"/>
        <s v="27845 - Tech - Psychiatry"/>
        <s v="11666 - Tech - Psychiatry"/>
        <s v="127016 - Tech - Psychiatry"/>
        <s v="2046 - Tech - Psychiatry"/>
        <s v="66998 - Tech - Psychiatry"/>
        <s v="103626 - Tech - Psychiatry"/>
        <s v="103603 - Tech - Psychiatry"/>
        <s v="85156 - Tech - Psychiatry"/>
        <s v="8118 - Tech - Psychiatry"/>
        <s v="109984 - Tech - Psychiatry"/>
        <s v="92134 - Tech - Psychiatry"/>
        <s v="129420 - Tech - Psychiatry"/>
        <s v="111010 - Tech - Psychiatry"/>
        <s v="46771 - Tech - Psychiatry"/>
        <s v="88396 - Tech - Psychiatry"/>
        <s v="88188 - Tech - Psychiatry"/>
        <s v="129373 - Tech - Psychiatry"/>
        <s v="103625 - Tech - Psychiatry"/>
        <s v="109332 - Tech - Psychiatry"/>
        <s v="92327 - Tech - Psychiatry"/>
        <s v="80699 - Tech - Psychiatry"/>
        <s v="101043 - Tech - Psychiatry"/>
        <s v="46760 - Tech - Psychiatry"/>
        <s v="109966 - Tech - Psychiatry"/>
        <s v="128408 - Tech - Psychiatry"/>
        <s v="81128 - Tech - Psychiatry"/>
        <s v="45571 - Tech - Psychiatry"/>
        <s v="44612 - Tech - Psychiatry"/>
        <s v="124684 - Tech - Psychiatry"/>
        <s v="112365 - Tech - Psychiatry"/>
        <s v="41038 - Tech - Psychiatry"/>
        <s v="87761 - Tech - Psychiatry"/>
        <s v="106590 - Tech - Psychiatry"/>
        <s v="85734 - Tech - Psychiatry"/>
        <s v="122511 - Tech - Psychiatry"/>
        <s v="2335 - Tech - Psychiatry"/>
        <s v="2339 - Tech - Psychiatry"/>
        <s v="108468 - Tech - Psychiatry"/>
        <s v="3439 - Tech - Psychiatry"/>
        <s v="2044 - Tech - Psychiatry"/>
        <s v="188354 - Tech - Psychiatry"/>
        <s v="27848 - Tech - Psychiatry"/>
        <s v="45642 - Tech - Psychiatry"/>
        <s v="79815 - Tech - Psychiatry"/>
        <s v="87643 - Tech - Psychiatry"/>
        <s v="30501 - Tech - Psychiatry"/>
        <s v="118198 - Tech - Psychiatry"/>
        <s v="4891 - Tech - Psychiatry"/>
        <s v="23050 - Tech - Psychiatry"/>
        <s v="94612 - Tech - Psychiatry"/>
        <s v="109983 - Tech - Psychiatry"/>
        <s v="110854 - Tech - Psychiatry"/>
        <s v="110414 - Tech - Psychiatry"/>
        <s v="103631 - Tech - Psychiatry"/>
        <s v="111009 - Tech - Psychiatry"/>
        <s v="109213 - Tech - Psychiatry"/>
        <s v="103847 - Tech - Psychiatry"/>
        <s v="96156 - Tech - Psychiatry"/>
        <s v="4887 - Tech - Psychiatry"/>
        <s v="92146 - Tech - Psychiatry"/>
        <s v="122248 - Tech - Psychiatry"/>
        <s v="122251 - Tech - Psychiatry"/>
        <s v="103638 - Tech - Psychiatry"/>
        <s v="111655 - Tech - Psychiatry"/>
        <s v="84201 - Tech - Psychiatry"/>
        <s v="80697 - Tech - Psychiatry"/>
        <s v="117394 - Tech - Psychiatry"/>
        <s v="103636 - Tech - Psychiatry"/>
        <s v="67001 - Tech - Psychiatry"/>
        <s v="2148 - Tech - Psychiatry"/>
        <s v="111672 - Tech - Psychiatry"/>
        <s v="80696 - Tech - Psychiatry"/>
        <s v="96853 - Tech - Psychiatry"/>
        <s v="117388 - Tech - Psychiatry"/>
        <s v="109971 - Tech - Psychiatry"/>
        <s v="122247 - Tech - Psychiatry"/>
        <s v="103635 - Tech - Psychiatry"/>
        <s v="122295 - Tech - Psychiatry"/>
        <s v="118351 - Tech - Psychiatry"/>
        <s v="91624 - Tech - Psychiatry"/>
        <s v="27765 - Tech - Psychiatry"/>
        <s v="26313 - Tech - Psychiatry"/>
        <s v="26314 - Tech - Psychiatry"/>
        <s v="91626 - Tech - Psychiatry"/>
        <s v="112264 - Tech - Psychiatry"/>
        <s v="27764 - Tech - Psychiatry"/>
        <s v="92653 - Tech - Psychiatry"/>
        <s v="117990 - Tech - Psychiatry"/>
        <s v="92651 - Tech - Psychiatry"/>
        <s v="104143 - Tech - Psychiatry"/>
        <s v="48641 - Arts - Public Health"/>
        <s v="47543 - Arts - Public Health"/>
        <s v="117045 - Arts - Public Health"/>
        <s v="109276 - Arts - Public Health"/>
        <s v="117040 - Arts - Public Health"/>
        <s v="108485 - Arts - Public Health"/>
        <s v="80095 - Arts - Public Health"/>
        <s v="117044 - Arts - Public Health"/>
        <s v="69279 - Arts - Public Health"/>
        <s v="48642 - Arts - Public Health"/>
        <s v="117569 - Arts - Public Health"/>
        <s v="83590 - Arts - Public Health"/>
        <s v="117566 - Arts - Public Health"/>
        <s v="116391 - Arts - Public Health"/>
        <s v="47388 - Arts - Public Health"/>
        <s v="117567 - Arts - Public Health"/>
        <s v="104319 - Arts - Public Health"/>
        <s v="120399 - Arts - Public Health"/>
        <s v="47389 - Arts - Public Health"/>
        <s v="47384 - Arts - Public Health"/>
        <s v="117568 - Arts - Public Health"/>
        <s v="80233 - Arts - Public Health"/>
        <s v="120396 - Arts - Public Health"/>
        <s v="47386 - Arts - Public Health"/>
        <s v="110294 - Arts - Public Health"/>
        <s v="47374 - Arts - Public Health"/>
        <s v="115586 - Arts - Public Health"/>
        <s v="112736 - Arts - Public Health"/>
        <s v="80234 - Arts - Public Health"/>
        <s v="92426 - Arts - Public Health"/>
        <s v="92429 - Arts - Public Health"/>
        <s v="117572 - Arts - Public Health"/>
        <s v="110982 - Arts - Public Health"/>
        <s v="92442 - Arts - Public Health"/>
        <s v="83591 - Arts - Public Health"/>
        <s v="104318 - Arts - Public Health"/>
        <s v="112740 - Arts - Public Health"/>
        <s v="117570 - Arts - Public Health"/>
        <s v="115584 - Arts - Public Health"/>
        <s v="47629 - Arts - Public Health"/>
        <s v="116389 - Arts - Public Health"/>
        <s v="117573 - Arts - Public Health"/>
        <s v="47638 - Arts - Public Health"/>
        <s v="110219 - Medical - Medical Research"/>
        <s v="116851 - Medical - Medical Research"/>
        <s v="122737 - Medical - Medical Research"/>
        <s v="110226 - Medical - Medical Research"/>
        <s v="115773 - Medical - Medical Research"/>
        <s v="109580 - Medical - Medical Research"/>
        <s v="114255 - Medical - Medical Research"/>
        <s v="122745 - Medical - Medical Research"/>
        <s v="116873 - Medical - Medical Research"/>
        <s v="110228 - Medical - Medical Research"/>
      </sharedItems>
    </cacheField>
    <cacheField name="stok_value" numFmtId="0">
      <sharedItems containsSemiMixedTypes="0" containsString="0" containsNumber="1">
        <n v="691.2"/>
        <n v="0.0"/>
        <n v="107.0"/>
        <n v="2385.2000000000003"/>
        <n v="4172.48"/>
        <n v="308.07"/>
        <n v="64.02"/>
        <n v="184.08"/>
        <n v="437.76"/>
        <n v="719.19"/>
        <n v="420.16"/>
        <n v="90.0"/>
        <n v="23.849999999999998"/>
        <n v="522.24"/>
        <n v="938.88"/>
        <n v="35.53"/>
        <n v="486.15999999999997"/>
        <n v="411.4"/>
        <n v="625.3199999999999"/>
        <n v="99.33"/>
        <n v="984.9"/>
        <n v="2141.1"/>
        <n v="225.96"/>
        <n v="181.44"/>
        <n v="169.69"/>
        <n v="380.90000000000003"/>
        <n v="169.68"/>
        <n v="1606.64"/>
        <n v="26.099999999999998"/>
        <n v="2027.97"/>
        <n v="325.48"/>
        <n v="283.82"/>
        <n v="403.20000000000005"/>
        <n v="319.95"/>
        <n v="2276.64"/>
        <n v="3569.72"/>
        <n v="1183.84"/>
        <n v="376.04"/>
        <n v="919.3199999999999"/>
        <n v="244.46"/>
        <n v="1053.3600000000001"/>
        <n v="954.99"/>
        <n v="511.05999999999995"/>
        <n v="6433.74"/>
        <n v="168.15"/>
        <n v="13.98"/>
        <n v="748.0000000000001"/>
        <n v="692.9"/>
        <n v="744.48"/>
        <n v="1865.0700000000002"/>
        <n v="2034.76"/>
        <n v="2126.25"/>
        <n v="3471.2999999999997"/>
        <n v="1999.8700000000001"/>
        <n v="320.25"/>
        <n v="1084.68"/>
        <n v="275.34"/>
        <n v="156.24"/>
        <n v="1943.1"/>
        <n v="1380.3"/>
        <n v="2044.8"/>
        <n v="72.23"/>
        <n v="111.0"/>
        <n v="3.02"/>
        <n v="473.4"/>
        <n v="21.299999999999997"/>
        <n v="2673.35"/>
        <n v="1386.0"/>
        <n v="564.48"/>
        <n v="490.06"/>
        <n v="1164.8200000000002"/>
        <n v="654.36"/>
        <n v="1536.15"/>
        <n v="2007.87"/>
        <n v="1739.64"/>
        <n v="3891.54"/>
        <n v="136.35"/>
        <n v="1808.3500000000001"/>
        <n v="3.84"/>
        <n v="3933.36"/>
        <n v="2588.34"/>
        <n v="1313.16"/>
        <n v="1946.88"/>
        <n v="1877.3999999999999"/>
        <n v="1071.84"/>
        <n v="717.32"/>
        <n v="104.64999999999999"/>
        <n v="32.88"/>
        <n v="1421.4"/>
        <n v="778.22"/>
        <n v="604.36"/>
        <n v="353.09999999999997"/>
        <n v="2256.78"/>
        <n v="5304.099999999999"/>
        <n v="1695.96"/>
        <n v="7360.44"/>
        <n v="4864.16"/>
        <n v="524.4"/>
        <n v="271.7"/>
        <n v="324.0"/>
        <n v="645.84"/>
        <n v="47.25"/>
        <n v="81.19999999999999"/>
        <n v="145.32"/>
        <n v="29.7"/>
        <n v="3556.8"/>
        <n v="72.6"/>
        <n v="74.36"/>
        <n v="243.20000000000002"/>
        <n v="218.68"/>
        <n v="75.67"/>
        <n v="128.8"/>
        <n v="560.0"/>
        <n v="111.77999999999999"/>
        <n v="517.63"/>
        <n v="586.17"/>
        <n v="694.55"/>
        <n v="3368.64"/>
        <n v="1330.1599999999999"/>
        <n v="3022.92"/>
        <n v="8415.26"/>
        <n v="4465.5599999999995"/>
        <n v="719.3199999999999"/>
        <n v="108.9"/>
        <n v="3459.12"/>
        <n v="7365.12"/>
        <n v="5053.099999999999"/>
        <n v="3198.59"/>
        <n v="1479.76"/>
        <n v="2716.25"/>
        <n v="9637.92"/>
        <n v="2367.36"/>
        <n v="3620.4900000000002"/>
        <n v="5062.49"/>
        <n v="305.33"/>
        <n v="1633.28"/>
        <n v="774.18"/>
        <n v="85.36"/>
        <n v="2421.0"/>
        <n v="122.36"/>
        <n v="148.2"/>
        <n v="4057.3599999999997"/>
        <n v="8239.85"/>
        <n v="8202.24"/>
        <n v="48.06"/>
        <n v="822.8"/>
        <n v="4435.2"/>
        <n v="622.16"/>
        <n v="686.7199999999999"/>
        <n v="679.14"/>
        <n v="215.52"/>
        <n v="255.78"/>
        <n v="2542.32"/>
        <n v="4422.599999999999"/>
        <n v="1711.8600000000001"/>
        <n v="81.30000000000001"/>
        <n v="655.86"/>
        <n v="3744.12"/>
        <n v="9982.65"/>
        <n v="2548.0"/>
        <n v="413.1"/>
        <n v="1728.2700000000002"/>
        <n v="3009.79"/>
        <n v="6512.38"/>
        <n v="4289.25"/>
        <n v="700.34"/>
        <n v="4913.46"/>
        <n v="963.16"/>
        <n v="26.64"/>
        <n v="779.24"/>
        <n v="13343.22"/>
        <n v="110.08"/>
        <n v="985.8000000000001"/>
        <n v="997.6"/>
        <n v="294.78000000000003"/>
        <n v="565.25"/>
        <n v="126.72"/>
        <n v="1691.19"/>
        <n v="82.08"/>
        <n v="60.39"/>
        <n v="6654.18"/>
        <n v="958.6500000000001"/>
        <n v="3268.6000000000004"/>
        <n v="1365.3"/>
        <n v="56.349999999999994"/>
        <n v="587.1"/>
        <n v="72.10000000000001"/>
        <n v="148.0"/>
        <n v="32.9"/>
        <n v="46.23"/>
        <n v="411.84000000000003"/>
        <n v="326.7"/>
        <n v="18.06"/>
        <n v="1674.4499999999998"/>
        <n v="89.1"/>
        <n v="409.5"/>
        <n v="1045.12"/>
        <n v="333.0"/>
        <n v="1438.5900000000001"/>
        <n v="70.92999999999999"/>
        <n v="358.62"/>
        <n v="2241.9"/>
        <n v="416.09999999999997"/>
        <n v="550.56"/>
        <n v="792.72"/>
        <n v="96.53"/>
        <n v="757.35"/>
        <n v="1153.6000000000001"/>
        <n v="197.4"/>
        <n v="509.76000000000005"/>
        <n v="1059.22"/>
        <n v="422.1"/>
        <n v="331.45000000000005"/>
        <n v="2611.2599999999998"/>
        <n v="217.75"/>
        <n v="577.21"/>
        <n v="636.31"/>
        <n v="775.9499999999999"/>
        <n v="160.20000000000002"/>
        <n v="81.89999999999999"/>
        <n v="201.74"/>
        <n v="613.6"/>
        <n v="206.15"/>
        <n v="404.73999999999995"/>
        <n v="5742.75"/>
        <n v="926.4"/>
        <n v="1388.52"/>
        <n v="640.14"/>
        <n v="453.0"/>
        <n v="217.26"/>
        <n v="297.33000000000004"/>
        <n v="515.34"/>
        <n v="496.71999999999997"/>
        <n v="158.83999999999997"/>
        <n v="234.29999999999998"/>
        <n v="671.93"/>
        <n v="224.2"/>
        <n v="3963.42"/>
        <n v="7.52"/>
        <n v="226.38000000000002"/>
        <n v="298.62"/>
        <n v="83.19"/>
        <n v="117.14999999999999"/>
        <n v="78.07"/>
        <n v="305.52"/>
        <n v="33.54"/>
        <n v="215.94"/>
        <n v="2402.19"/>
        <n v="919.64"/>
        <n v="268.14000000000004"/>
        <n v="11.05"/>
        <n v="2689.3999999999996"/>
        <n v="1314.52"/>
        <n v="124.44"/>
        <n v="148.67999999999998"/>
        <n v="479.40000000000003"/>
        <n v="622.44"/>
        <n v="866.4"/>
        <n v="1494.3500000000001"/>
        <n v="571.1600000000001"/>
        <n v="892.0"/>
        <n v="214.97"/>
        <n v="1687.1999999999998"/>
        <n v="1440.18"/>
        <n v="1083.3200000000002"/>
        <n v="492.2"/>
        <n v="61.19"/>
        <n v="2783.32"/>
        <n v="101.25"/>
        <n v="213.84"/>
        <n v="2397.7599999999998"/>
        <n v="1025.8"/>
        <n v="519.56"/>
        <n v="152.44"/>
        <n v="11.76"/>
        <n v="335.92"/>
        <n v="1745.24"/>
        <n v="1847.85"/>
        <n v="2104.96"/>
        <n v="1802.0"/>
        <n v="859.2"/>
        <n v="1936.3799999999999"/>
        <n v="314.94"/>
        <n v="1290.4599999999998"/>
        <n v="704.64"/>
        <n v="196.65"/>
        <n v="1438.2"/>
        <n v="694.59"/>
        <n v="816.57"/>
        <n v="842.2700000000001"/>
        <n v="619.0"/>
        <n v="114.18"/>
        <n v="1725.93"/>
        <n v="240.86999999999998"/>
        <n v="1417.8"/>
        <n v="1667.42"/>
        <n v="641.0600000000001"/>
        <n v="433.2"/>
        <n v="3753.42"/>
        <n v="888.88"/>
        <n v="666.6"/>
        <n v="1489.25"/>
        <n v="6353.759999999999"/>
        <n v="355.1"/>
        <n v="1883.55"/>
        <n v="82.32000000000001"/>
        <n v="566.53"/>
        <n v="161.70000000000002"/>
        <n v="2216.4500000000003"/>
        <n v="252.32"/>
        <n v="1486.9399999999998"/>
        <n v="344.98"/>
        <n v="2345.48"/>
        <n v="500.0"/>
        <n v="234.0"/>
        <n v="241.38"/>
        <n v="763.0200000000001"/>
        <n v="851.9599999999999"/>
        <n v="2569.38"/>
        <n v="42.36"/>
        <n v="25.5"/>
        <n v="445.56"/>
        <n v="726.88"/>
        <n v="1155.09"/>
        <n v="2595.88"/>
        <n v="351.78000000000003"/>
        <n v="515.6899999999999"/>
        <n v="1391.6"/>
        <n v="1307.8799999999999"/>
        <n v="1299.6999999999998"/>
        <n v="244.53"/>
        <n v="706.23"/>
        <n v="931.4100000000001"/>
        <n v="3971.2"/>
        <n v="1139.55"/>
        <n v="57.39999999999999"/>
        <n v="921.69"/>
        <n v="1580.32"/>
        <n v="395.5"/>
        <n v="391.44"/>
        <n v="878.5"/>
        <n v="1760.1799999999998"/>
        <n v="515.25"/>
        <n v="1694.9399999999998"/>
        <n v="2014.8000000000002"/>
        <n v="3240.8300000000004"/>
        <n v="967.22"/>
        <n v="1105.0"/>
        <n v="2534.0"/>
        <n v="1212.64"/>
        <n v="1505.37"/>
        <n v="560.24"/>
        <n v="278.19"/>
        <n v="249.63000000000002"/>
        <n v="1916.75"/>
        <n v="998.28"/>
        <n v="505.4"/>
        <n v="35.699999999999996"/>
        <n v="911.04"/>
        <n v="1042.2"/>
        <n v="80.08"/>
        <n v="134.75"/>
        <n v="403.44"/>
        <n v="902.8"/>
        <n v="2011.2199999999998"/>
        <n v="88.2"/>
        <n v="138.04000000000002"/>
        <n v="243.35999999999999"/>
        <n v="1491.1200000000001"/>
        <n v="4156.7"/>
        <n v="915.7399999999999"/>
        <n v="1346.22"/>
        <n v="647.15"/>
        <n v="38.199999999999996"/>
        <n v="493.12"/>
        <n v="10.16"/>
        <n v="41.42"/>
        <n v="286.77000000000004"/>
        <n v="606.1"/>
        <n v="486.92"/>
        <n v="685.3000000000001"/>
        <n v="1025.46"/>
        <n v="1032.3"/>
        <n v="13.97"/>
        <n v="233.10000000000002"/>
        <n v="353.6"/>
        <n v="300.3"/>
        <n v="173.19"/>
        <n v="37.38"/>
        <n v="2246.88"/>
        <n v="49.61"/>
        <n v="4039.2000000000003"/>
        <n v="54.36"/>
        <n v="2205.94"/>
        <n v="147.58"/>
        <n v="1066.0"/>
        <n v="42.0"/>
        <n v="404.25"/>
        <n v="113.22"/>
        <n v="10.6"/>
        <n v="900.13"/>
        <n v="1141.25"/>
        <n v="526.3499999999999"/>
        <n v="791.24"/>
        <n v="1436.46"/>
        <n v="187.86"/>
        <n v="339.47999999999996"/>
        <n v="1173.42"/>
        <n v="388.04"/>
        <n v="46.44"/>
        <n v="339.15"/>
        <n v="45.75"/>
        <n v="889.8499999999999"/>
        <n v="750.51"/>
        <n v="49.019999999999996"/>
        <n v="813.05"/>
        <n v="770.64"/>
        <n v="413.14"/>
        <n v="1978.9199999999998"/>
        <n v="372.59999999999997"/>
        <n v="145.14"/>
        <n v="607.88"/>
        <n v="349.46"/>
        <n v="219.7"/>
        <n v="426.7"/>
        <n v="513.76"/>
        <n v="16.35"/>
        <n v="936.73"/>
        <n v="394.12"/>
        <n v="437.5"/>
        <n v="915.5300000000001"/>
        <n v="188.24999999999997"/>
        <n v="6.949999999999999"/>
        <n v="831.34"/>
        <n v="1280.6399999999999"/>
        <n v="1202.24"/>
        <n v="3134.64"/>
        <n v="1063.4"/>
        <n v="1252.04"/>
        <n v="53.519999999999996"/>
        <n v="77.52"/>
        <n v="177.83999999999997"/>
        <n v="55.95"/>
        <n v="142.89000000000001"/>
        <n v="756.0"/>
        <n v="316.16"/>
        <n v="560.64"/>
        <n v="80.24"/>
        <n v="361.05"/>
        <n v="3.48"/>
        <n v="11.549999999999999"/>
        <n v="3014.6400000000003"/>
        <n v="344.52000000000004"/>
        <n v="2178.8"/>
        <n v="600.0600000000001"/>
        <n v="508.08"/>
        <n v="1986.61"/>
        <n v="77.39999999999999"/>
        <n v="10.34"/>
        <n v="313.04"/>
        <n v="240.48"/>
        <n v="3770.34"/>
        <n v="977.8499999999999"/>
        <n v="131.04"/>
        <n v="1783.0400000000002"/>
        <n v="1618.3200000000002"/>
        <n v="2694.12"/>
        <n v="168.0"/>
        <n v="668.78"/>
        <n v="192.36"/>
        <n v="686.25"/>
        <n v="1191.75"/>
        <n v="84.15"/>
        <n v="484.71999999999997"/>
        <n v="878.4"/>
        <n v="1065.6000000000001"/>
        <n v="154.0"/>
        <n v="1267.3"/>
        <n v="1405.92"/>
        <n v="219.87"/>
        <n v="1335.48"/>
        <n v="32.76"/>
        <n v="2128.9"/>
        <n v="3219.3599999999997"/>
        <n v="3192.5499999999997"/>
        <n v="11.77"/>
        <n v="3201.6"/>
        <n v="744.0"/>
        <n v="365.7"/>
        <n v="518.32"/>
        <n v="340.40000000000003"/>
        <n v="1106.6399999999999"/>
        <n v="990.25"/>
        <n v="128.03"/>
        <n v="12.18"/>
        <n v="993.3299999999999"/>
        <n v="775.44"/>
        <n v="2402.7799999999997"/>
        <n v="655.6"/>
        <n v="3334.87"/>
        <n v="2.9"/>
        <n v="1956.93"/>
        <n v="2663.65"/>
        <n v="2516.4300000000003"/>
        <n v="3917.5"/>
        <n v="3874.3999999999996"/>
        <n v="253.05"/>
        <n v="3383.08"/>
        <n v="1076.3"/>
        <n v="815.04"/>
        <n v="5086.4"/>
        <n v="336.00000000000006"/>
        <n v="5.6499999999999995"/>
        <n v="132.75"/>
        <n v="549.1800000000001"/>
        <n v="599.9399999999999"/>
        <n v="205.02"/>
        <n v="232.56"/>
        <n v="17.29"/>
        <n v="27.150000000000002"/>
        <n v="9.78"/>
        <n v="6433.34"/>
        <n v="96.72"/>
        <n v="593.25"/>
        <n v="96.39"/>
        <n v="3.32"/>
        <n v="35.0"/>
        <n v="46.81"/>
        <n v="1559.58"/>
        <n v="122.0"/>
        <n v="314.64"/>
        <n v="95.58000000000001"/>
        <n v="1003.5899999999999"/>
        <n v="1397.55"/>
        <n v="2525.3999999999996"/>
        <n v="3112.3999999999996"/>
        <n v="65.07000000000001"/>
        <n v="712.5"/>
        <n v="71.92"/>
        <n v="26.53"/>
        <n v="397.43999999999994"/>
        <n v="3.2"/>
        <n v="813.1200000000001"/>
        <n v="336.3"/>
        <n v="1640.45"/>
        <n v="1328.25"/>
        <n v="364.56"/>
        <n v="979.09"/>
        <n v="1556.6000000000001"/>
        <n v="693.12"/>
        <n v="3673.93"/>
        <n v="248.4"/>
        <n v="320.12"/>
        <n v="236.25"/>
        <n v="796.08"/>
        <n v="1292.83"/>
        <n v="100.80000000000001"/>
        <n v="910.35"/>
        <n v="329.28"/>
        <n v="4967.31"/>
        <n v="254.60999999999999"/>
        <n v="314.82"/>
        <n v="12877.41"/>
        <n v="2865.24"/>
        <n v="1796.9399999999998"/>
        <n v="567.24"/>
        <n v="381.79999999999995"/>
        <n v="430.13999999999993"/>
        <n v="327.06"/>
        <n v="927.48"/>
        <n v="269.09999999999997"/>
        <n v="131.58"/>
        <n v="3421.94"/>
        <n v="356.41999999999996"/>
        <n v="1510.96"/>
        <n v="79.8"/>
        <n v="2425.35"/>
        <n v="4245.6"/>
        <n v="9.5"/>
        <n v="3449.5499999999997"/>
        <n v="16.43"/>
        <n v="26.5"/>
        <n v="56.32"/>
        <n v="1071.33"/>
        <n v="1264.8799999999999"/>
        <n v="16.48"/>
        <n v="703.0"/>
        <n v="35.49"/>
        <n v="686.7"/>
        <n v="48.78"/>
        <n v="484.5"/>
        <n v="585.75"/>
        <n v="2779.5"/>
        <n v="962.88"/>
        <n v="324.71999999999997"/>
        <n v="403.82"/>
        <n v="762.0"/>
        <n v="293.93"/>
        <n v="86.24"/>
        <n v="283.28999999999996"/>
        <n v="1644.24"/>
        <n v="557.4599999999999"/>
        <n v="3484.68"/>
        <n v="273.6"/>
        <n v="29.379999999999995"/>
        <n v="366.11999999999995"/>
        <n v="1897.5"/>
        <n v="243.84"/>
        <n v="299.20000000000005"/>
        <n v="14938.45"/>
        <n v="128.74"/>
        <n v="957.9000000000001"/>
        <n v="135.20000000000002"/>
        <n v="273.0"/>
        <n v="430.49999999999994"/>
        <n v="1323.27"/>
        <n v="1584.0000000000002"/>
        <n v="1204.35"/>
        <n v="1108.56"/>
        <n v="461.89000000000004"/>
        <n v="242.1"/>
        <n v="796.26"/>
        <n v="197.78"/>
        <n v="257.55"/>
        <n v="1452.99"/>
        <n v="19.53"/>
        <n v="937.4399999999999"/>
        <n v="316.71000000000004"/>
        <n v="51.24999999999999"/>
        <n v="225.6"/>
        <n v="2178.75"/>
        <n v="1312.98"/>
        <n v="1813.0"/>
        <n v="366.52"/>
        <n v="317.4"/>
        <n v="41.31"/>
        <n v="708.4"/>
        <n v="415.00000000000006"/>
        <n v="66.98"/>
        <n v="766.3"/>
        <n v="894.9599999999999"/>
        <n v="2538.9700000000003"/>
        <n v="38.080000000000005"/>
        <n v="1984.68"/>
        <n v="739.1700000000001"/>
        <n v="1154.97"/>
        <n v="356.40000000000003"/>
        <n v="502.73999999999995"/>
        <n v="204.0"/>
        <n v="1090.68"/>
        <n v="1456.84"/>
        <n v="172.0"/>
        <n v="218.79"/>
        <n v="360.99"/>
        <n v="376.96999999999997"/>
        <n v="394.45000000000005"/>
        <n v="257.15000000000003"/>
        <n v="329.94"/>
        <n v="2765.07"/>
        <n v="2028.6000000000001"/>
        <n v="623.2099999999999"/>
        <n v="2472.3"/>
        <n v="114.67999999999999"/>
        <n v="1313.6499999999999"/>
        <n v="741.81"/>
        <n v="776.0200000000001"/>
        <n v="535.26"/>
        <n v="67.14"/>
        <n v="1523.24"/>
        <n v="419.16999999999996"/>
        <n v="660.0600000000001"/>
        <n v="1016.3699999999999"/>
        <n v="680.34"/>
        <n v="6552.209999999999"/>
        <n v="214.0"/>
        <n v="4347.54"/>
        <n v="100.94"/>
        <n v="217.8"/>
        <n v="955.46"/>
        <n v="160.45999999999998"/>
        <n v="1069.6399999999999"/>
        <n v="299.62"/>
        <n v="187.22"/>
        <n v="281.61"/>
        <n v="100.76"/>
        <n v="1403.6"/>
        <n v="1219.23"/>
        <n v="408.87"/>
        <n v="113.27000000000001"/>
        <n v="222.39999999999998"/>
        <n v="318.61"/>
        <n v="590.24"/>
        <n v="1116.06"/>
        <n v="259.76"/>
        <n v="1425.6000000000001"/>
        <n v="3735.0000000000005"/>
        <n v="331.28"/>
        <n v="602.5799999999999"/>
        <n v="53.72"/>
        <n v="87.36"/>
        <n v="432.53999999999996"/>
        <n v="814.3199999999999"/>
        <n v="2131.92"/>
        <n v="62.64"/>
        <n v="31.02"/>
        <n v="879.12"/>
        <n v="1348.49"/>
        <n v="435.42"/>
        <n v="193.23"/>
        <n v="2838.7999999999997"/>
        <n v="773.81"/>
        <n v="1551.76"/>
        <n v="1133.6000000000001"/>
        <n v="767.1999999999999"/>
        <n v="1135.05"/>
        <n v="627.4399999999999"/>
        <n v="1540.56"/>
        <n v="150.70000000000002"/>
        <n v="1476.26"/>
        <n v="193.17000000000002"/>
        <n v="1115.85"/>
        <n v="1063.9499999999998"/>
        <n v="53.5"/>
        <n v="174.0"/>
        <n v="1365.1200000000001"/>
        <n v="756.6"/>
        <n v="1899.52"/>
        <n v="474.54"/>
        <n v="1604.68"/>
        <n v="1490.1699999999998"/>
        <n v="1442.8799999999999"/>
        <n v="24.5"/>
        <n v="176.4"/>
        <n v="111.55"/>
        <n v="569.1"/>
        <n v="2056.9"/>
        <n v="17.82"/>
        <n v="766.1600000000001"/>
        <n v="81.62"/>
        <n v="153.12"/>
        <n v="748.47"/>
        <n v="2044.6999999999998"/>
        <n v="1649.97"/>
        <n v="28.62"/>
        <n v="36.57"/>
        <n v="1195.35"/>
        <n v="179.49"/>
        <n v="159.75"/>
        <n v="231.84"/>
        <n v="577.92"/>
        <n v="161.84"/>
        <n v="492.03000000000003"/>
        <n v="1084.1599999999999"/>
        <n v="1301.4399999999998"/>
        <n v="178.34"/>
        <n v="239.25"/>
        <n v="374.53"/>
        <n v="47.36"/>
        <n v="517.08"/>
        <n v="306.9"/>
        <n v="763.73"/>
        <n v="523.6"/>
        <n v="517.5899999999999"/>
        <n v="1034.88"/>
        <n v="970.06"/>
        <n v="534.47"/>
        <n v="90.17999999999999"/>
        <n v="692.6400000000001"/>
        <n v="1287.92"/>
        <n v="1176.76"/>
        <n v="169.05"/>
        <n v="2246.04"/>
        <n v="750.72"/>
        <n v="548.0"/>
        <n v="1072.19"/>
        <n v="1328.04"/>
        <n v="2414.88"/>
        <n v="928.8000000000001"/>
        <n v="312.66"/>
        <n v="1104.48"/>
        <n v="697.51"/>
        <n v="646.1"/>
        <n v="669.8"/>
        <n v="397.5"/>
        <n v="66.04"/>
        <n v="171.14"/>
        <n v="101.91"/>
        <n v="496.32"/>
        <n v="192.76"/>
        <n v="50.46"/>
        <n v="51.3"/>
        <n v="150.52"/>
        <n v="54.15"/>
        <n v="1399.5600000000002"/>
        <n v="1413.6299999999999"/>
        <n v="30.250000000000004"/>
        <n v="503.43999999999994"/>
        <n v="2391.68"/>
        <n v="1261.26"/>
        <n v="67.0"/>
        <n v="51.45"/>
        <n v="2210.0"/>
        <n v="1091.43"/>
        <n v="3027.29"/>
        <n v="149.82"/>
        <n v="254.8"/>
        <n v="32.13"/>
        <n v="24.48"/>
        <n v="688.6999999999999"/>
        <n v="572.13"/>
        <n v="830.1800000000001"/>
        <n v="1592.0"/>
        <n v="519.48"/>
        <n v="795.16"/>
        <n v="1199.06"/>
        <n v="310.44"/>
        <n v="848.16"/>
        <n v="1888.3899999999999"/>
        <n v="481.61999999999995"/>
        <n v="253.97000000000003"/>
        <n v="988.8"/>
        <n v="7.45"/>
        <n v="865.05"/>
        <n v="401.79999999999995"/>
        <n v="369.6"/>
        <n v="1360.59"/>
        <n v="177.32999999999998"/>
        <n v="311.03999999999996"/>
        <n v="3954.97"/>
        <n v="381.6"/>
        <n v="3058.06"/>
        <n v="174.66"/>
        <n v="2812.2000000000003"/>
        <n v="517.44"/>
        <n v="1171.35"/>
        <n v="2861.34"/>
        <n v="94.16000000000001"/>
        <n v="717.57"/>
        <n v="5520.66"/>
        <n v="464.64"/>
        <n v="412.5"/>
        <n v="585.0"/>
        <n v="3.99"/>
        <n v="745.36"/>
        <n v="319.79999999999995"/>
        <n v="3294.12"/>
        <n v="351.75"/>
        <n v="3401.19"/>
        <n v="672.84"/>
        <n v="232.96000000000004"/>
        <n v="1814.4199999999998"/>
        <n v="418.56"/>
        <n v="408.07"/>
        <n v="272.69"/>
        <n v="533.6"/>
        <n v="1985.9199999999998"/>
        <n v="7050.0"/>
        <n v="3466.26"/>
        <n v="362.59999999999997"/>
        <n v="619.0799999999999"/>
        <n v="626.78"/>
        <n v="509.34000000000003"/>
        <n v="172.12"/>
        <n v="6381.240000000001"/>
        <n v="2285.51"/>
        <n v="3853.92"/>
        <n v="1320.0"/>
        <n v="244.14000000000001"/>
        <n v="2474.3"/>
        <n v="267.38"/>
        <n v="2348.48"/>
        <n v="19.7"/>
        <n v="1741.6"/>
        <n v="424.08"/>
        <n v="643.5"/>
        <n v="151.35999999999999"/>
        <n v="2022.16"/>
        <n v="2150.0"/>
        <n v="656.6999999999999"/>
        <n v="1848.1100000000001"/>
        <n v="1679.0400000000002"/>
        <n v="521.24"/>
        <n v="260.42"/>
        <n v="1846.44"/>
        <n v="588.24"/>
        <n v="439.66"/>
        <n v="625.58"/>
        <n v="98.01"/>
        <n v="3346.95"/>
        <n v="373.46"/>
        <n v="900.34"/>
        <n v="1527.6799999999998"/>
        <n v="13.799999999999999"/>
        <n v="2739.39"/>
        <n v="4634.69"/>
        <n v="2175.7999999999997"/>
        <n v="3300.4"/>
        <n v="54.400000000000006"/>
        <n v="37.6"/>
        <n v="170.19"/>
        <n v="671.84"/>
        <n v="1342.48"/>
        <n v="1203.42"/>
        <n v="1517.65"/>
        <n v="400.2"/>
        <n v="856.36"/>
        <n v="717.12"/>
        <n v="150.5"/>
        <n v="128.96"/>
        <n v="226.24"/>
        <n v="1248.99"/>
        <n v="44.199999999999996"/>
        <n v="1046.25"/>
        <n v="399.84"/>
        <n v="1822.8000000000002"/>
        <n v="78.0"/>
        <n v="240.7"/>
        <n v="274.38"/>
        <n v="659.87"/>
        <n v="68.64"/>
        <n v="1813.0199999999998"/>
        <n v="406.97999999999996"/>
        <n v="275.12"/>
        <n v="2.33"/>
        <n v="218.95999999999998"/>
        <n v="71.3"/>
        <n v="713.9200000000001"/>
        <n v="860.9999999999999"/>
        <n v="83.07"/>
        <n v="600.6"/>
        <n v="5458.08"/>
        <n v="1538.5"/>
        <n v="1855.1399999999999"/>
        <n v="760.18"/>
        <n v="72.85000000000001"/>
        <n v="56.68000000000001"/>
        <n v="1620.8100000000002"/>
        <n v="1011.92"/>
        <n v="112.89"/>
        <n v="50.0"/>
        <n v="434.7"/>
        <n v="3534.5699999999997"/>
        <n v="261.82"/>
        <n v="138.47"/>
        <n v="115.99999999999999"/>
        <n v="1271.1999999999998"/>
        <n v="4383.6"/>
        <n v="1020.5300000000001"/>
        <n v="938.49"/>
        <n v="60.31999999999999"/>
        <n v="1904.8300000000002"/>
        <n v="703.89"/>
        <n v="2921.0"/>
        <n v="265.71999999999997"/>
        <n v="135.52"/>
        <n v="248.63000000000002"/>
        <n v="1024.8500000000001"/>
        <n v="167.79"/>
        <n v="306.21999999999997"/>
        <n v="1942.56"/>
        <n v="66.6"/>
        <n v="943.2"/>
        <n v="3493.3799999999997"/>
        <n v="3331.6499999999996"/>
        <n v="2945.07"/>
        <n v="2485.2000000000003"/>
        <n v="535.5"/>
        <n v="704.46"/>
        <n v="3892.07"/>
        <n v="416.96999999999997"/>
        <n v="717.7499999999999"/>
        <n v="407.27000000000004"/>
        <n v="66.56"/>
        <n v="3260.73"/>
        <n v="2300.1"/>
        <n v="2242.5"/>
        <n v="71.10000000000001"/>
        <n v="325.44"/>
        <n v="278.46"/>
        <n v="1336.3"/>
        <n v="358.8"/>
        <n v="2068.2400000000002"/>
        <n v="1713.9"/>
        <n v="525.46"/>
        <n v="2537.6400000000003"/>
        <n v="545.28"/>
        <n v="2305.2"/>
        <n v="991.89"/>
        <n v="2400.75"/>
        <n v="4555.98"/>
        <n v="1348.74"/>
        <n v="3636.2999999999997"/>
        <n v="1414.8"/>
        <n v="149.51999999999998"/>
        <n v="2055.42"/>
        <n v="176.64"/>
        <n v="2156.5"/>
        <n v="138.45000000000002"/>
        <n v="1708.92"/>
        <n v="1237.14"/>
        <n v="3552.5299999999997"/>
        <n v="115.91999999999999"/>
        <n v="994.59"/>
        <n v="1518.66"/>
        <n v="1.3"/>
        <n v="2.72"/>
        <n v="211.67000000000002"/>
        <n v="1673.8400000000001"/>
        <n v="34.300000000000004"/>
        <n v="140.22"/>
        <n v="58.08"/>
        <n v="3153.6"/>
        <n v="715.8100000000001"/>
        <n v="1835.4599999999998"/>
        <n v="1583.3"/>
        <n v="4519.84"/>
        <n v="260.26"/>
        <n v="3066.3599999999997"/>
        <n v="39.480000000000004"/>
        <n v="673.32"/>
        <n v="4792.08"/>
        <n v="3699.7200000000003"/>
        <n v="2487.1"/>
        <n v="59.28"/>
        <n v="3447.2"/>
        <n v="119.52"/>
        <n v="126.48"/>
        <n v="834.5200000000001"/>
        <n v="332.5"/>
        <n v="858.48"/>
        <n v="1425.52"/>
        <n v="314.45"/>
        <n v="266.28"/>
        <n v="339.12"/>
        <n v="2264.32"/>
        <n v="317.1"/>
        <n v="438.75"/>
        <n v="3322.8199999999997"/>
        <n v="4530.5"/>
        <n v="6698.64"/>
        <n v="839.68"/>
        <n v="159.96"/>
        <n v="3208.53"/>
        <n v="864.3299999999999"/>
        <n v="156.56"/>
        <n v="1239.84"/>
        <n v="1343.68"/>
        <n v="372.40000000000003"/>
        <n v="328.86"/>
        <n v="723.52"/>
        <n v="135.96"/>
        <n v="107.92"/>
        <n v="1745.7999999999997"/>
        <n v="272.24"/>
        <n v="286.16"/>
        <n v="5150.570000000001"/>
        <n v="151.79999999999998"/>
        <n v="1350.24"/>
        <n v="1489.28"/>
        <n v="1646.72"/>
        <n v="361.77000000000004"/>
        <n v="94.08000000000001"/>
        <n v="187.05"/>
        <n v="8.469999999999999"/>
        <n v="556.92"/>
        <n v="1337.7"/>
        <n v="52.9"/>
        <n v="131.56"/>
        <n v="423.36"/>
        <n v="34.01"/>
        <n v="148.04999999999998"/>
        <n v="530.5500000000001"/>
        <n v="402.28"/>
        <n v="188.10000000000002"/>
        <n v="26.03"/>
        <n v="195.58"/>
        <n v="944.7"/>
        <n v="278.1"/>
        <n v="868.6"/>
        <n v="491.03999999999996"/>
        <n v="14.499999999999998"/>
        <n v="256.23"/>
        <n v="221.83999999999997"/>
        <n v="37.5"/>
        <n v="921.3000000000001"/>
        <n v="459.59999999999997"/>
        <n v="724.3499999999999"/>
        <n v="210.86999999999998"/>
        <n v="799.2"/>
        <n v="333.90000000000003"/>
        <n v="298.12"/>
        <n v="669.9799999999999"/>
        <n v="178.16"/>
        <n v="446.25"/>
        <n v="58.89"/>
        <n v="1.0"/>
        <n v="117.41999999999999"/>
        <n v="124.0"/>
        <n v="28.419999999999998"/>
        <n v="139.2"/>
        <n v="97.44"/>
        <n v="23.8"/>
        <n v="33.25"/>
        <n v="3924.0000000000005"/>
        <n v="631.0500000000001"/>
        <n v="102.69"/>
        <n v="54.120000000000005"/>
        <n v="25.65"/>
        <n v="261.29999999999995"/>
        <n v="413.74"/>
        <n v="228.33"/>
        <n v="475.96"/>
        <n v="35.34"/>
        <n v="157.7"/>
        <n v="514.42"/>
        <n v="144.43"/>
        <n v="354.64"/>
        <n v="51.84"/>
        <n v="393.29999999999995"/>
        <n v="47.739999999999995"/>
        <n v="157.29999999999998"/>
        <n v="526.24"/>
        <n v="142.56"/>
        <n v="1464.05"/>
        <n v="952.3199999999999"/>
        <n v="83.26"/>
        <n v="731.1700000000001"/>
        <n v="553.84"/>
        <n v="312.08"/>
        <n v="32.64"/>
        <n v="687.0"/>
        <n v="677.68"/>
        <n v="476.28000000000003"/>
        <n v="931.84"/>
        <n v="83.16"/>
        <n v="209.88"/>
        <n v="145.8"/>
        <n v="638.0"/>
        <n v="85.5"/>
        <n v="1333.15"/>
        <n v="187.92000000000002"/>
        <n v="19.580000000000002"/>
        <n v="293.88"/>
        <n v="1092.0"/>
        <n v="28.900000000000002"/>
        <n v="971.12"/>
        <n v="495.52"/>
        <n v="849.0"/>
        <n v="480.90000000000003"/>
        <n v="232.32"/>
        <n v="137.02"/>
        <n v="332.76"/>
        <n v="508.06"/>
        <n v="75.24"/>
        <n v="455.8"/>
        <n v="1953.91"/>
        <n v="727.56"/>
        <n v="635.3599999999999"/>
        <n v="231.82"/>
        <n v="316.05"/>
        <n v="145.29"/>
        <n v="615.96"/>
        <n v="340.29"/>
        <n v="816.4799999999999"/>
        <n v="1028.16"/>
        <n v="331.96"/>
        <n v="241.74"/>
        <n v="126.0"/>
        <n v="1058.75"/>
        <n v="1889.44"/>
        <n v="106.64"/>
        <n v="1068.78"/>
        <n v="387.84"/>
        <n v="62.730000000000004"/>
        <n v="216.20000000000002"/>
        <n v="638.12"/>
        <n v="191.1"/>
        <n v="451.20000000000005"/>
        <n v="88.83"/>
        <n v="309.6"/>
        <n v="517.28"/>
        <n v="509.44"/>
        <n v="349.52000000000004"/>
        <n v="671.0"/>
        <n v="7.5"/>
        <n v="167.61"/>
        <n v="408.2"/>
        <n v="229.46"/>
        <n v="126.44000000000001"/>
        <n v="106.58"/>
        <n v="159.6"/>
        <n v="520.38"/>
        <n v="868.23"/>
        <n v="306.74"/>
        <n v="92.42999999999999"/>
        <n v="217.5"/>
        <n v="1476.59"/>
        <n v="2275.2"/>
        <n v="101.64"/>
        <n v="169.51999999999998"/>
        <n v="81.78"/>
        <n v="284.48"/>
        <n v="90.16000000000001"/>
        <n v="37.800000000000004"/>
        <n v="392.34999999999997"/>
        <n v="444.96000000000004"/>
        <n v="155.70000000000002"/>
        <n v="67.75999999999999"/>
        <n v="3.1500000000000004"/>
        <n v="700.0000000000001"/>
        <n v="339.09000000000003"/>
        <n v="7.86"/>
        <n v="422.45"/>
        <n v="556.32"/>
        <n v="275.21999999999997"/>
        <n v="720.29"/>
        <n v="1023.3900000000001"/>
        <n v="1086.1100000000001"/>
        <n v="1983.3"/>
        <n v="258.39000000000004"/>
        <n v="79.98"/>
        <n v="117.18"/>
        <n v="910.1999999999999"/>
        <n v="191.09"/>
        <n v="78.78"/>
        <n v="182.28"/>
        <n v="858.52"/>
        <n v="419.22"/>
        <n v="686.0"/>
        <n v="241.9"/>
        <n v="201.48"/>
        <n v="1549.3999999999999"/>
        <n v="1655.19"/>
        <n v="1590.3"/>
        <n v="141.51999999999998"/>
        <n v="1782.15"/>
        <n v="1104.43"/>
        <n v="479.36"/>
        <n v="1621.74"/>
        <n v="1815.6000000000001"/>
        <n v="404.06"/>
        <n v="919.8"/>
        <n v="48.0"/>
        <n v="1169.0500000000002"/>
        <n v="1280.1599999999999"/>
        <n v="8337.6"/>
        <n v="12159.41"/>
        <n v="2261.64"/>
        <n v="159.25"/>
        <n v="1805.23"/>
        <n v="1017.5500000000001"/>
        <n v="408.6"/>
        <n v="207.75"/>
        <n v="442.86"/>
        <n v="2194.52"/>
        <n v="3222.62"/>
        <n v="2966.45"/>
        <n v="793.4399999999999"/>
        <n v="176.96"/>
        <n v="846.12"/>
        <n v="594.08"/>
        <n v="531.36"/>
        <n v="946.83"/>
        <n v="323.96"/>
        <n v="1.17"/>
        <n v="554.17"/>
        <n v="523.09"/>
        <n v="33.6"/>
        <n v="106.68"/>
        <n v="210.75"/>
        <n v="300.51"/>
        <n v="50.58"/>
        <n v="1373.97"/>
        <n v="61.18000000000001"/>
        <n v="946.22"/>
        <n v="547.84"/>
        <n v="98.8"/>
        <n v="183.33"/>
        <n v="764.4"/>
        <n v="32.230000000000004"/>
        <n v="623.22"/>
        <n v="328.90000000000003"/>
        <n v="349.65000000000003"/>
        <n v="959.3400000000001"/>
        <n v="787.1899999999999"/>
        <n v="6.4"/>
        <n v="3844.68"/>
        <n v="733.5"/>
        <n v="3605.24"/>
        <n v="1375.64"/>
        <n v="2663.28"/>
        <n v="260.91"/>
        <n v="1.7"/>
        <n v="9119.039999999999"/>
        <n v="1060.29"/>
        <n v="426.61999999999995"/>
        <n v="802.6600000000001"/>
        <n v="4183.09"/>
        <n v="177.64999999999998"/>
        <n v="859.0999999999999"/>
        <n v="1349.6399999999999"/>
        <n v="604.4399999999999"/>
        <n v="456.25"/>
        <n v="69.36"/>
        <n v="42.9"/>
        <n v="120.6"/>
        <n v="695.83"/>
        <n v="524.8"/>
        <n v="205.53"/>
        <n v="205.87"/>
        <n v="1749.6699999999998"/>
        <n v="65.7"/>
        <n v="2312.4"/>
        <n v="57.120000000000005"/>
        <n v="322.08000000000004"/>
        <n v="794.97"/>
        <n v="2586.5499999999997"/>
        <n v="1989.11"/>
        <n v="748.9200000000001"/>
        <n v="2773.98"/>
        <n v="735.84"/>
        <n v="1494.6000000000001"/>
        <n v="2696.77"/>
        <n v="478.64"/>
        <n v="4.64"/>
        <n v="1431.78"/>
        <n v="371.84000000000003"/>
        <n v="539.28"/>
        <n v="1333.8000000000002"/>
        <n v="29.45"/>
        <n v="14839.95"/>
        <n v="226.29999999999998"/>
        <n v="106.5"/>
        <n v="36.72"/>
        <n v="643.1"/>
        <n v="1742.91"/>
        <n v="1327.3600000000001"/>
        <n v="436.39"/>
        <n v="35.28"/>
        <n v="1246.4199999999998"/>
        <n v="278.3"/>
        <n v="1523.57"/>
        <n v="272.25"/>
        <n v="386.88"/>
        <n v="186.2"/>
        <n v="858.15"/>
        <n v="459.04"/>
        <n v="146.7"/>
        <n v="881.6"/>
        <n v="466.55"/>
        <n v="714.0"/>
        <n v="1038.3999999999999"/>
        <n v="711.18"/>
        <n v="306.0"/>
        <n v="1185.82"/>
        <n v="273.52"/>
        <n v="57.46"/>
        <n v="1270.49"/>
        <n v="1273.8700000000001"/>
        <n v="704.73"/>
        <n v="586.95"/>
        <n v="1237.16"/>
        <n v="347.7"/>
        <n v="885.6"/>
        <n v="207.36"/>
        <n v="268.27"/>
        <n v="9.1"/>
        <n v="573.0"/>
        <n v="841.6500000000001"/>
        <n v="917.28"/>
        <n v="1583.46"/>
        <n v="376.65000000000003"/>
        <n v="48.84"/>
        <n v="276.08"/>
        <n v="1589.25"/>
        <n v="1337.43"/>
        <n v="376.98"/>
        <n v="2084.85"/>
        <n v="162.14999999999998"/>
        <n v="480.7"/>
        <n v="2615.04"/>
        <n v="116.53"/>
        <n v="116.48"/>
        <n v="422.0"/>
        <n v="1251.32"/>
        <n v="19.47"/>
        <n v="583.7800000000001"/>
        <n v="291.90000000000003"/>
        <n v="3465.77"/>
        <n v="11.1"/>
        <n v="197.64"/>
        <n v="392.08"/>
        <n v="463.76"/>
        <n v="11.38"/>
        <n v="151.65"/>
        <n v="123.75"/>
        <n v="460.28"/>
        <n v="1436.7299999999998"/>
        <n v="538.62"/>
        <n v="3070.71"/>
        <n v="675.1999999999999"/>
        <n v="4590.0"/>
        <n v="3294.2999999999997"/>
        <n v="2877.93"/>
        <n v="748.0"/>
        <n v="188.68"/>
        <n v="675.9"/>
        <n v="36.78"/>
        <n v="1261.8700000000001"/>
        <n v="49.0"/>
        <n v="5687.0"/>
        <n v="1106.7"/>
        <n v="819.25"/>
        <n v="871.32"/>
        <n v="199.2"/>
        <n v="525.3"/>
        <n v="251.33999999999997"/>
        <n v="454.41"/>
        <n v="507.3"/>
        <n v="295.26000000000005"/>
        <n v="1027.58"/>
        <n v="208.04999999999998"/>
        <n v="339.3"/>
        <n v="1576.44"/>
        <n v="89.64"/>
        <n v="7.290000000000001"/>
        <n v="369.24"/>
        <n v="870.42"/>
        <n v="54.28"/>
        <n v="2003.36"/>
        <n v="498.15"/>
        <n v="629.75"/>
        <n v="644.78"/>
        <n v="496.79999999999995"/>
        <n v="187.10999999999999"/>
        <n v="1542.4"/>
        <n v="2908.62"/>
        <n v="3400.7999999999997"/>
        <n v="218.46"/>
        <n v="1022.3500000000001"/>
        <n v="2775.87"/>
        <n v="4194.3"/>
        <n v="2231.7000000000003"/>
        <n v="1176.24"/>
        <n v="1396.08"/>
        <n v="255.6"/>
        <n v="2470.6"/>
        <n v="250.09"/>
        <n v="1014.39"/>
        <n v="1677.27"/>
        <n v="263.31"/>
        <n v="193.83"/>
        <n v="7.6"/>
        <n v="291.65"/>
        <n v="47.04"/>
        <n v="68.39999999999999"/>
        <n v="38.61"/>
        <n v="921.2"/>
        <n v="379.96000000000004"/>
        <n v="3379.0"/>
        <n v="524.37"/>
        <n v="1169.73"/>
        <n v="319.90000000000003"/>
        <n v="1863.49"/>
        <n v="710.02"/>
        <n v="208.56"/>
        <n v="7.0"/>
        <n v="68.15"/>
        <n v="125.46000000000001"/>
        <n v="5.64"/>
        <n v="1237.35"/>
        <n v="738.36"/>
        <n v="161.0"/>
        <n v="3.11"/>
        <n v="159.79999999999998"/>
        <n v="309.51"/>
        <n v="75.82"/>
        <n v="4.7700000000000005"/>
        <n v="120.28"/>
        <n v="887.88"/>
        <n v="865.8100000000001"/>
        <n v="276.06"/>
        <n v="82.14999999999999"/>
        <n v="359.09999999999997"/>
        <n v="200.45999999999998"/>
        <n v="579.64"/>
        <n v="584.64"/>
        <n v="850.6800000000001"/>
        <n v="456.96000000000004"/>
        <n v="809.12"/>
        <n v="23.85"/>
        <n v="412.96"/>
        <n v="1788.56"/>
        <n v="562.59"/>
        <n v="298.98"/>
        <n v="878.85"/>
        <n v="416.64000000000004"/>
        <n v="241.67"/>
        <n v="1507.22"/>
        <n v="518.67"/>
        <n v="590.64"/>
        <n v="612.26"/>
        <n v="359.70000000000005"/>
        <n v="100.10000000000001"/>
        <n v="606.06"/>
        <n v="1242.92"/>
        <n v="451.2"/>
        <n v="1378.08"/>
        <n v="87.6"/>
        <n v="51.6"/>
        <n v="774.62"/>
        <n v="1156.1999999999998"/>
        <n v="143.37"/>
        <n v="708.84"/>
        <n v="285.75"/>
        <n v="174.79"/>
        <n v="58.67999999999999"/>
        <n v="316.09999999999997"/>
        <n v="10.4"/>
        <n v="36.4"/>
        <n v="8.45"/>
        <n v="440.1"/>
        <n v="225.09"/>
        <n v="1203.3600000000001"/>
        <n v="331.09999999999997"/>
        <n v="1084.6599999999999"/>
        <n v="1169.6299999999999"/>
        <n v="477.12000000000006"/>
        <n v="721.5"/>
        <n v="39.36"/>
        <n v="354.78"/>
        <n v="48.47"/>
        <n v="293.46000000000004"/>
        <n v="121.25999999999999"/>
        <n v="986.6999999999999"/>
        <n v="31.729999999999997"/>
        <n v="852.12"/>
        <n v="194.04"/>
        <n v="144.27"/>
        <n v="494.75999999999993"/>
        <n v="1542.42"/>
        <n v="301.0"/>
        <n v="575.11"/>
        <n v="1603.68"/>
        <n v="-19.56"/>
        <n v="6204.87"/>
        <n v="446.31"/>
        <n v="133.56"/>
        <n v="476.28"/>
        <n v="490.62"/>
        <n v="1456.7299999999998"/>
        <n v="291.04"/>
        <n v="408.96"/>
        <n v="113.85"/>
        <n v="1297.44"/>
        <n v="667.0"/>
        <n v="208.79999999999998"/>
        <n v="972.7199999999999"/>
        <n v="154.76"/>
        <n v="4.6000000000000005"/>
        <n v="5654.88"/>
        <n v="2961.0"/>
        <n v="3800.52"/>
        <n v="2964.24"/>
        <n v="6388.71"/>
        <n v="193.82999999999998"/>
        <n v="1070.26"/>
        <n v="365.75"/>
        <n v="5.01"/>
        <n v="719.52"/>
        <n v="389.7"/>
        <n v="553.32"/>
        <n v="778.4699999999999"/>
        <n v="1522.8"/>
        <n v="662.4"/>
        <n v="644.36"/>
        <n v="3827.8900000000003"/>
        <n v="614.8"/>
        <n v="20.700000000000003"/>
        <n v="8487.18"/>
        <n v="691.9"/>
        <n v="359.1"/>
        <n v="161.68"/>
        <n v="405.60999999999996"/>
        <n v="2617.4"/>
        <n v="470.75"/>
        <n v="839.84"/>
        <n v="417.62"/>
        <n v="1285.2"/>
        <n v="43.54"/>
        <n v="52.38"/>
        <n v="273.92"/>
        <n v="87.45"/>
        <n v="2475.96"/>
        <n v="256.48"/>
        <n v="204.29999999999998"/>
        <n v="516.24"/>
        <n v="1749.44"/>
        <n v="43.29"/>
        <n v="84.39"/>
        <n v="130.20000000000002"/>
        <n v="186.62"/>
        <n v="7493.49"/>
        <n v="52.02"/>
        <n v="496.0"/>
        <n v="1790.4"/>
        <n v="235.32000000000002"/>
        <n v="1092.96"/>
        <n v="1047.8"/>
        <n v="94.25"/>
        <n v="34.32"/>
        <n v="1651.55"/>
        <n v="3457.2000000000003"/>
        <n v="3227.06"/>
        <n v="518.7"/>
        <n v="57.599999999999994"/>
        <n v="118.11"/>
        <n v="1520.7"/>
        <n v="2446.08"/>
        <n v="3802.76"/>
        <n v="5700.95"/>
        <n v="1066.66"/>
        <n v="1509.2199999999998"/>
        <n v="1421.97"/>
        <n v="2974.4"/>
        <n v="1105.9499999999998"/>
        <n v="12489.4"/>
        <n v="10042.6"/>
        <n v="328.89"/>
        <n v="61.32"/>
        <n v="927.45"/>
        <n v="212.52"/>
        <n v="19.599999999999998"/>
        <n v="3446.38"/>
        <n v="198.94"/>
        <n v="5701.38"/>
        <n v="3837.24"/>
        <n v="7.44"/>
        <n v="4487.2"/>
        <n v="1127.0"/>
        <n v="4112.01"/>
        <n v="105.60000000000001"/>
        <n v="59.769999999999996"/>
        <n v="133.92000000000002"/>
        <n v="261.24"/>
        <n v="167.98"/>
        <n v="958.74"/>
        <n v="46.580000000000005"/>
        <n v="161.55"/>
        <n v="956.75"/>
        <n v="698.4"/>
        <n v="2332.23"/>
        <n v="56.28"/>
        <n v="1292.0"/>
        <n v="218.4"/>
        <n v="831.6"/>
        <n v="574.5600000000001"/>
        <n v="696.08"/>
        <n v="53.9"/>
        <n v="1445.8400000000001"/>
        <n v="1788.3999999999999"/>
        <n v="1465.75"/>
        <n v="522.0"/>
        <n v="87.0"/>
        <n v="3221.6800000000003"/>
        <n v="282.31"/>
        <n v="219.29999999999998"/>
        <n v="6.8"/>
        <n v="46.419999999999995"/>
        <n v="463.61"/>
        <n v="4170.400000000001"/>
        <n v="339.84"/>
        <n v="908.17"/>
        <n v="82.32"/>
        <n v="780.6999999999999"/>
        <n v="1295.48"/>
        <n v="165.24"/>
        <n v="192.66"/>
        <n v="661.67"/>
        <n v="662.2"/>
        <n v="168.56"/>
        <n v="433.62"/>
        <n v="1548.42"/>
        <n v="2226.7799999999997"/>
        <n v="1948.86"/>
        <n v="1177.0"/>
        <n v="589.86"/>
        <n v="364.87"/>
        <n v="869.76"/>
        <n v="2207.52"/>
        <n v="26.52"/>
        <n v="8545.52"/>
        <n v="2064.12"/>
        <n v="151.57999999999998"/>
        <n v="43.68"/>
        <n v="225.54"/>
        <n v="143.95999999999998"/>
        <n v="46.8"/>
        <n v="82.68"/>
        <n v="476.76"/>
        <n v="609.84"/>
        <n v="9924.31"/>
        <n v="1844.04"/>
        <n v="2312.64"/>
        <n v="816.48"/>
        <n v="5287.5599999999995"/>
        <n v="3451.89"/>
        <n v="863.59"/>
        <n v="1170.56"/>
        <n v="328.5"/>
        <n v="5.62"/>
        <n v="146.39999999999998"/>
        <n v="222.88"/>
        <n v="444.59999999999997"/>
        <n v="1410.36"/>
        <n v="780.78"/>
        <n v="87.86"/>
        <n v="242.54000000000002"/>
        <n v="524.0"/>
        <n v="1028.58"/>
        <n v="711.95"/>
        <n v="975.26"/>
        <n v="145.2"/>
        <n v="240.35"/>
        <n v="376.27"/>
        <n v="38.400000000000006"/>
        <n v="1197.12"/>
        <n v="591.6"/>
        <n v="1288.56"/>
        <n v="749.0999999999999"/>
        <n v="41.36"/>
        <n v="420.24"/>
        <n v="178.5"/>
        <n v="186.66"/>
        <n v="334.5"/>
        <n v="1906.15"/>
        <n v="942.5"/>
        <n v="878.5699999999999"/>
        <n v="405.59999999999997"/>
        <n v="23.310000000000002"/>
        <n v="74.58"/>
        <n v="419.12"/>
        <n v="311.37"/>
        <n v="299.16"/>
        <n v="274.29"/>
        <n v="1576.75"/>
        <n v="58.24"/>
        <n v="90.8"/>
        <n v="140.89"/>
        <n v="502.20000000000005"/>
        <n v="971.1"/>
        <n v="426.53"/>
        <n v="254.72"/>
        <n v="169.6"/>
        <n v="214.20000000000002"/>
        <n v="259.20000000000005"/>
        <n v="457.8"/>
        <n v="351.36"/>
        <n v="10.0"/>
        <n v="782.0799999999999"/>
        <n v="373.12"/>
        <n v="189.52"/>
        <n v="167.64000000000001"/>
        <n v="265.43"/>
        <n v="305.9"/>
        <n v="247.52"/>
        <n v="538.46"/>
        <n v="636.3199999999999"/>
        <n v="285.58000000000004"/>
        <n v="521.1"/>
        <n v="208.75"/>
        <n v="626.94"/>
        <n v="548.34"/>
        <n v="76.26"/>
        <n v="110.24000000000001"/>
        <n v="21.14"/>
        <n v="203.06"/>
        <n v="232.70000000000002"/>
        <n v="732.24"/>
        <n v="291.4"/>
        <n v="38.43"/>
        <n v="161.88"/>
        <n v="146.25"/>
        <n v="381.0"/>
        <n v="1282.75"/>
        <n v="1437.1499999999999"/>
        <n v="270.09999999999997"/>
        <n v="182.21"/>
        <n v="335.28000000000003"/>
        <n v="759.5"/>
        <n v="607.55"/>
        <n v="42.56"/>
        <n v="99.11"/>
        <n v="108.28999999999999"/>
        <n v="297.85"/>
        <n v="291.0"/>
        <n v="1283.04"/>
        <n v="769.5600000000001"/>
        <n v="420.74"/>
        <n v="708.75"/>
        <n v="8.48"/>
        <n v="775.32"/>
        <n v="95.55"/>
        <n v="84.7"/>
        <n v="189.84"/>
        <n v="177.1"/>
        <n v="255.44"/>
        <n v="350.74"/>
        <n v="202.5"/>
        <n v="768.6899999999999"/>
        <n v="230.4"/>
        <n v="166.98"/>
        <n v="422.82000000000005"/>
        <n v="176.89000000000001"/>
        <n v="148.5"/>
        <n v="224.64000000000001"/>
        <n v="419.25"/>
        <n v="706.15"/>
        <n v="52.5"/>
        <n v="153.10999999999999"/>
        <n v="380.85999999999996"/>
        <n v="185.76"/>
        <n v="1001.8799999999999"/>
        <n v="628.25"/>
        <n v="400.05"/>
        <n v="11.52"/>
        <n v="965.77"/>
        <n v="704.76"/>
        <n v="215.0"/>
        <n v="1657.98"/>
        <n v="687.48"/>
        <n v="425.93"/>
        <n v="1024.0"/>
        <n v="622.64"/>
        <n v="602.27"/>
        <n v="174.20000000000002"/>
        <n v="597.24"/>
        <n v="400.0"/>
        <n v="1787.52"/>
        <n v="1572.0"/>
        <n v="146.24"/>
        <n v="2679.04"/>
        <n v="838.24"/>
        <n v="194.51"/>
        <n v="1455.45"/>
        <n v="2014.5700000000002"/>
        <n v="448.11"/>
        <n v="652.37"/>
        <n v="585.66"/>
        <n v="411.44"/>
        <n v="352.44"/>
        <n v="547.1999999999999"/>
        <n v="1311.0"/>
        <n v="1461.1799999999998"/>
        <n v="1150.9199999999998"/>
        <n v="397.98"/>
        <n v="1215.97"/>
        <n v="343.97"/>
        <n v="2335.41"/>
        <n v="144.48"/>
        <n v="270.0"/>
        <n v="1165.0"/>
        <n v="47.699999999999996"/>
        <n v="4150.04"/>
        <n v="1159.9499999999998"/>
        <n v="39.15"/>
        <n v="5288.8"/>
        <n v="1006.0799999999999"/>
        <n v="1189.08"/>
        <n v="828.59"/>
        <n v="810.16"/>
        <n v="1373.44"/>
        <n v="1482.0"/>
        <n v="1442.48"/>
        <n v="429.65999999999997"/>
        <n v="1178.24"/>
        <n v="1438.0800000000002"/>
        <n v="471.2"/>
        <n v="132.36999999999998"/>
        <n v="102.18"/>
        <n v="1437.3600000000001"/>
        <n v="1281.3899999999999"/>
        <n v="1562.1"/>
        <n v="1179.49"/>
        <n v="646.7199999999999"/>
        <n v="728.0"/>
        <n v="1568.15"/>
        <n v="181.0"/>
        <n v="5527.719999999999"/>
        <n v="1368.96"/>
        <n v="274.5"/>
        <n v="5272.0"/>
        <n v="140.35999999999999"/>
        <n v="530.28"/>
        <n v="694.12"/>
        <n v="875.16"/>
        <n v="892.41"/>
        <n v="3755.89"/>
        <n v="786.0100000000001"/>
        <n v="4767.78"/>
        <n v="2952.1000000000004"/>
        <n v="2069.8"/>
        <n v="468.44"/>
        <n v="2471.5699999999997"/>
        <n v="25.6"/>
        <n v="1878.85"/>
        <n v="1032.93"/>
        <n v="353.33000000000004"/>
        <n v="1142.31"/>
        <n v="788.1700000000001"/>
        <n v="875.99"/>
        <n v="2005.6000000000001"/>
        <n v="2417.07"/>
        <n v="1978.19"/>
        <n v="1114.2"/>
        <n v="1478.94"/>
        <n v="1130.72"/>
        <n v="771.63"/>
        <n v="4425.2"/>
        <n v="1439.9"/>
        <n v="4.36"/>
        <n v="639.45"/>
        <n v="446.19"/>
        <n v="2076.66"/>
        <n v="456.52"/>
        <n v="2919.67"/>
        <n v="1314.12"/>
        <n v="1806.86"/>
        <n v="660.0400000000001"/>
        <n v="1526.0"/>
        <n v="327.08"/>
        <n v="37.66"/>
        <n v="1047.96"/>
        <n v="4881.21"/>
        <n v="538.02"/>
        <n v="1508.91"/>
        <n v="758.08"/>
        <n v="1644.0"/>
        <n v="497.20000000000005"/>
        <n v="28.799999999999997"/>
        <n v="1131.3500000000001"/>
        <n v="31.74"/>
        <n v="131.07999999999998"/>
        <n v="247.0"/>
        <n v="364.08"/>
        <n v="645.3199999999999"/>
        <n v="216.16"/>
        <n v="134.64000000000001"/>
        <n v="778.54"/>
        <n v="340.37"/>
        <n v="934.69"/>
        <n v="21.080000000000002"/>
        <n v="608.94"/>
        <n v="720.0899999999999"/>
        <n v="41.71"/>
        <n v="160.02"/>
        <n v="291.9"/>
        <n v="415.31"/>
        <n v="126.05999999999999"/>
        <n v="939.84"/>
        <n v="55.86"/>
        <n v="99.82"/>
        <n v="748.8000000000001"/>
        <n v="1132.3"/>
        <n v="512.3000000000001"/>
        <n v="508.73999999999995"/>
        <n v="366.08"/>
        <n v="388.08000000000004"/>
        <n v="2422.31"/>
        <n v="495.8"/>
        <n v="59.449999999999996"/>
        <n v="29.1"/>
        <n v="83.98"/>
        <n v="573.5"/>
        <n v="136.0"/>
        <n v="408.0"/>
        <n v="40.18"/>
        <n v="1406.16"/>
        <n v="425.88"/>
        <n v="210.18"/>
        <n v="303.38"/>
        <n v="1450.54"/>
        <n v="122.32"/>
        <n v="567.84"/>
        <n v="334.47999999999996"/>
        <n v="190.8"/>
        <n v="201.72"/>
        <n v="2075.8"/>
        <n v="667.44"/>
        <n v="372.02"/>
        <n v="284.76"/>
        <n v="245.1"/>
        <n v="120.63999999999999"/>
        <n v="392.15999999999997"/>
        <n v="590.7800000000001"/>
        <n v="752.76"/>
        <n v="513.36"/>
        <n v="472.08"/>
        <n v="563.86"/>
        <n v="45.12"/>
        <n v="504.90000000000003"/>
        <n v="294.3"/>
        <n v="258.99"/>
        <n v="682.5"/>
        <n v="809.0999999999999"/>
        <n v="696.4200000000001"/>
        <n v="1351.68"/>
        <n v="14.040000000000001"/>
        <n v="628.28"/>
        <n v="2878.6800000000003"/>
        <n v="1965.52"/>
        <n v="79.46000000000001"/>
        <n v="129.78"/>
        <n v="201.60000000000002"/>
        <n v="353.44"/>
        <n v="1775.77"/>
        <n v="48.72"/>
        <n v="27.900000000000002"/>
        <n v="419.76000000000005"/>
        <n v="448.84000000000003"/>
        <n v="438.65000000000003"/>
        <n v="557.6"/>
        <n v="294.84"/>
        <n v="27.9"/>
        <n v="988.64"/>
        <n v="437.69"/>
        <n v="1751.19"/>
        <n v="291.17999999999995"/>
        <n v="389.76"/>
        <n v="942.5899999999999"/>
        <n v="1151.68"/>
        <n v="362.34000000000003"/>
        <n v="2373.3"/>
        <n v="702.72"/>
        <n v="253.44"/>
        <n v="569.91"/>
        <n v="63.75"/>
        <n v="302.51"/>
        <n v="167.28"/>
        <n v="-11.76"/>
        <n v="325.61999999999995"/>
        <n v="3311.45"/>
        <n v="216.0"/>
        <n v="688.5"/>
        <n v="2292.11"/>
        <n v="4077.92"/>
        <n v="1180.03"/>
        <n v="324.96"/>
        <n v="803.96"/>
        <n v="1751.5"/>
        <n v="112.77"/>
        <n v="2516.92"/>
        <n v="46.24"/>
        <n v="744.5600000000001"/>
        <n v="374.49"/>
        <n v="2659.6000000000004"/>
        <n v="1565.1000000000001"/>
        <n v="4564.5599999999995"/>
        <n v="1724.0"/>
        <n v="3053.06"/>
        <n v="780.67"/>
        <n v="1065.3300000000002"/>
        <n v="231.65"/>
        <n v="6301.8"/>
        <n v="1516.4099999999999"/>
        <n v="2435.14"/>
        <n v="51.61"/>
        <n v="3544.64"/>
        <n v="2010.8000000000002"/>
        <n v="4190.63"/>
        <n v="1950.3999999999999"/>
        <n v="1768.74"/>
        <n v="13.12"/>
        <n v="1230.3899999999999"/>
        <n v="245.82999999999998"/>
        <n v="3726.72"/>
        <n v="558.26"/>
        <n v="518.84"/>
        <n v="5586.7"/>
        <n v="1473.1999999999998"/>
        <n v="157.92000000000002"/>
        <n v="1435.1399999999999"/>
        <n v="1752.3500000000001"/>
        <n v="48.48"/>
        <n v="4194.679999999999"/>
        <n v="1333.8500000000001"/>
        <n v="3593.97"/>
        <n v="552.04"/>
        <n v="597.64"/>
        <n v="1183.68"/>
        <n v="212.25"/>
        <n v="16.56"/>
        <n v="2381.2799999999997"/>
        <n v="216.15"/>
        <n v="1209.08"/>
        <n v="5270.82"/>
        <n v="2576.31"/>
        <n v="2601.63"/>
        <n v="7109.849999999999"/>
        <n v="839.5"/>
        <n v="117.76"/>
        <n v="105.35000000000001"/>
        <n v="1115.8799999999999"/>
        <n v="1334.55"/>
        <n v="144.55"/>
        <n v="27.0"/>
        <n v="2883.6"/>
        <n v="258.78"/>
        <n v="104.88"/>
        <n v="134.19"/>
        <n v="138.13"/>
        <n v="300.44"/>
        <n v="4232.25"/>
        <n v="27.94"/>
        <n v="634.04"/>
        <n v="250.1"/>
        <n v="391.6"/>
        <n v="1012.6000000000001"/>
        <n v="29.889999999999997"/>
        <n v="3798.7400000000002"/>
        <n v="519.4799999999999"/>
        <n v="6005.36"/>
        <n v="4078.04"/>
        <n v="32.06"/>
        <n v="130.9"/>
        <n v="19.88"/>
        <n v="368.82"/>
        <n v="1960.2900000000002"/>
        <n v="1984.0"/>
        <n v="1919.5200000000002"/>
        <n v="3276.0"/>
        <n v="796.0"/>
        <n v="1766.64"/>
        <n v="4045.32"/>
        <n v="860.0999999999999"/>
        <n v="3155.3199999999997"/>
        <n v="444.86"/>
        <n v="32516.7"/>
        <n v="410.35"/>
        <n v="448.47"/>
        <n v="1048.32"/>
        <n v="868.64"/>
        <n v="31.24"/>
        <n v="181.2"/>
        <n v="214.5"/>
        <n v="105.35"/>
        <n v="876.16"/>
        <n v="179.74"/>
        <n v="188.75"/>
        <n v="96.60000000000001"/>
        <n v="972.9300000000001"/>
        <n v="1032.8999999999999"/>
        <n v="3428.91"/>
        <n v="7483.9"/>
        <n v="384.75"/>
        <n v="2328.6600000000003"/>
        <n v="8670.0"/>
        <n v="945.8800000000001"/>
        <n v="7694.4"/>
        <n v="1216.3799999999999"/>
        <n v="744.77"/>
        <n v="3040.72"/>
        <n v="2846.3999999999996"/>
        <n v="254.92999999999998"/>
        <n v="1716.0"/>
        <n v="5524.990000000001"/>
        <n v="1132.62"/>
        <n v="5087.04"/>
        <n v="1370.04"/>
        <n v="2151.96"/>
        <n v="3300.1299999999997"/>
        <n v="2369.2799999999997"/>
        <n v="99.17999999999999"/>
        <n v="2631.1"/>
        <n v="2493.66"/>
        <n v="1486.56"/>
        <n v="768.6"/>
        <n v="1357.4399999999998"/>
        <n v="67.34"/>
        <n v="320.0"/>
        <n v="45.6"/>
        <n v="1285.1999999999998"/>
        <n v="632.82"/>
        <n v="1311.65"/>
        <n v="2684.64"/>
        <n v="165.88"/>
        <n v="98.07"/>
        <n v="88.56"/>
        <n v="502.92"/>
        <n v="338.71999999999997"/>
        <n v="102.92"/>
        <n v="14.76"/>
        <n v="670.5"/>
        <n v="1691.94"/>
        <n v="3525.65"/>
        <n v="3002.68"/>
        <n v="457.58"/>
        <n v="1468.8"/>
        <n v="1669.8"/>
        <n v="1003.75"/>
        <n v="365.0"/>
        <n v="1251.3200000000002"/>
        <n v="528.75"/>
        <n v="86.4"/>
        <n v="376.3"/>
        <n v="5797.92"/>
        <n v="77.28"/>
        <n v="110.5"/>
        <n v="1666.24"/>
        <n v="639.0999999999999"/>
        <n v="12.42"/>
        <n v="975.8"/>
        <n v="655.1999999999999"/>
        <n v="299.37"/>
        <n v="752.4"/>
        <n v="968.84"/>
        <n v="1949.93"/>
        <n v="279.93"/>
        <n v="242.49"/>
        <n v="2233.44"/>
        <n v="20.02"/>
        <n v="100.98"/>
        <n v="761.25"/>
        <n v="384.56"/>
        <n v="204.97"/>
        <n v="181.17"/>
        <n v="187.2"/>
        <n v="38.28"/>
        <n v="429.0"/>
        <n v="7328.88"/>
        <n v="5085.179999999999"/>
        <n v="293.04"/>
        <n v="97.8"/>
        <n v="83.52"/>
        <n v="70.8"/>
        <n v="444.8"/>
        <n v="578.25"/>
        <n v="13.919999999999998"/>
        <n v="25.38"/>
        <n v="158.34"/>
        <n v="211.7"/>
        <n v="335.07"/>
        <n v="277.44"/>
        <n v="674.8"/>
        <n v="1387.75"/>
        <n v="396.0"/>
        <n v="1314.04"/>
        <n v="381.52"/>
        <n v="356.20000000000005"/>
        <n v="128.4"/>
        <n v="155.0"/>
        <n v="2347.3999999999996"/>
        <n v="1363.18"/>
        <n v="3440.88"/>
        <n v="815.5699999999999"/>
        <n v="387.65999999999997"/>
        <n v="595.01"/>
        <n v="1336.3500000000001"/>
        <n v="735.3"/>
        <n v="-16.310000000000002"/>
        <n v="455.88"/>
        <n v="270.27"/>
        <n v="16.169999999999998"/>
        <n v="191.7"/>
        <n v="432.64"/>
        <n v="193.60000000000002"/>
        <n v="672.1"/>
        <n v="2001.87"/>
        <n v="189.39000000000001"/>
        <n v="90.19999999999999"/>
        <n v="2935.92"/>
        <n v="5228.52"/>
        <n v="1065.78"/>
        <n v="949.4399999999999"/>
        <n v="504.78000000000003"/>
        <n v="101.92"/>
        <n v="1034.1599999999999"/>
        <n v="405.9"/>
        <n v="2979.2"/>
        <n v="536.35"/>
        <n v="643.72"/>
        <n v="882.56"/>
        <n v="2200.0"/>
        <n v="204.95999999999998"/>
        <n v="1347.48"/>
        <n v="70.65"/>
        <n v="98.39999999999999"/>
        <n v="1092.5"/>
        <n v="358.6"/>
        <n v="432.4"/>
        <n v="131.93"/>
        <n v="276.95"/>
        <n v="883.6"/>
        <n v="954.72"/>
        <n v="317.52"/>
        <n v="123.60000000000001"/>
        <n v="52.78"/>
        <n v="31.36"/>
        <n v="666.0"/>
        <n v="182.78"/>
        <n v="1004.0"/>
        <n v="1237.6"/>
        <n v="21.7"/>
        <n v="1025.5"/>
        <n v="1271.48"/>
        <n v="241.85999999999999"/>
        <n v="962.16"/>
        <n v="251.16"/>
        <n v="127.88999999999999"/>
        <n v="166.37"/>
        <n v="129.92"/>
        <n v="1408.75"/>
        <n v="431.81"/>
        <n v="6220.8"/>
        <n v="479.21"/>
        <n v="432.0"/>
        <n v="1570.8"/>
        <n v="28.08"/>
        <n v="92.65"/>
        <n v="3246.9300000000003"/>
        <n v="1.65"/>
        <n v="1687.32"/>
        <n v="3.52"/>
        <n v="543.9000000000001"/>
        <n v="323.36"/>
        <n v="1450.3999999999999"/>
        <n v="2456.42"/>
        <n v="138.6"/>
        <n v="562.87"/>
        <n v="3380.0"/>
        <n v="346.5"/>
        <n v="1778.48"/>
        <n v="1527.5"/>
        <n v="3155.24"/>
        <n v="5263.96"/>
        <n v="1304.1699999999998"/>
        <n v="481.46000000000004"/>
        <n v="366.27"/>
        <n v="1063.68"/>
        <n v="3817.08"/>
        <n v="431.83"/>
        <n v="730.8"/>
        <n v="2213.64"/>
        <n v="1035.3"/>
        <n v="211.50000000000003"/>
        <n v="511.35999999999996"/>
        <n v="895.56"/>
        <n v="64.68"/>
        <n v="1248.04"/>
        <n v="535.78"/>
        <n v="31.080000000000002"/>
        <n v="237.3"/>
        <n v="3346.96"/>
        <n v="2834.37"/>
        <n v="909.72"/>
        <n v="2061.48"/>
        <n v="280.84"/>
        <n v="1643.0"/>
        <n v="756.99"/>
        <n v="1704.95"/>
        <n v="663.75"/>
        <n v="219.78000000000003"/>
        <n v="1733.4"/>
        <n v="3300.77"/>
        <n v="11076.380000000001"/>
        <n v="179.76"/>
        <n v="5471.999999999999"/>
        <n v="1892.16"/>
        <n v="2127.95"/>
        <n v="1416.62"/>
        <n v="1279.26"/>
        <n v="666.75"/>
        <n v="747.72"/>
        <n v="6669.0"/>
        <n v="3124.4"/>
        <n v="1070.59"/>
        <n v="1267.73"/>
        <n v="115.92"/>
        <n v="3103.87"/>
        <n v="655.5"/>
        <n v="1936.1799999999998"/>
        <n v="793.9799999999999"/>
        <n v="365.58"/>
        <n v="5134.8"/>
        <n v="455.4"/>
        <n v="1327.5"/>
        <n v="1193.5"/>
        <n v="1789.92"/>
        <n v="2010.5500000000002"/>
        <n v="2562.56"/>
        <n v="1001.1"/>
        <n v="52.599999999999994"/>
        <n v="504.57"/>
        <n v="2646.72"/>
        <n v="1326.0"/>
        <n v="737.8"/>
        <n v="986.4799999999999"/>
        <n v="405.71999999999997"/>
        <n v="463.25"/>
        <n v="546.92"/>
        <n v="1974.15"/>
        <n v="101.15"/>
        <n v="480.25"/>
        <n v="3523.4300000000003"/>
        <n v="275.40000000000003"/>
        <n v="1710.72"/>
        <n v="4493.6"/>
        <n v="2098.4"/>
        <n v="1100.0"/>
        <n v="3298.46"/>
        <n v="380.95"/>
        <n v="403.86"/>
        <n v="954.0"/>
        <n v="115.5"/>
        <n v="12.1"/>
        <n v="1606.08"/>
        <n v="1853.2900000000002"/>
        <n v="853.2"/>
        <n v="3360.45"/>
        <n v="79.58"/>
        <n v="493.23999999999995"/>
        <n v="704.48"/>
        <n v="31.92"/>
        <n v="161.20000000000002"/>
        <n v="272.95"/>
        <n v="1275.0"/>
        <n v="3159.44"/>
        <n v="341.42"/>
        <n v="3476.0400000000004"/>
        <n v="811.64"/>
        <n v="1951.38"/>
        <n v="453.08000000000004"/>
        <n v="750.6899999999999"/>
        <n v="1644.5"/>
        <n v="663.4799999999999"/>
        <n v="2212.6600000000003"/>
        <n v="1113.03"/>
        <n v="570.36"/>
        <n v="3628.7999999999997"/>
        <n v="185.39999999999998"/>
        <n v="1606.55"/>
        <n v="3145.68"/>
        <n v="2430.43"/>
        <n v="2098.46"/>
        <n v="1666.6399999999999"/>
        <n v="2101.5"/>
        <n v="142.23"/>
        <n v="43.05"/>
        <n v="171.5"/>
        <n v="191.4"/>
        <n v="158.76000000000002"/>
        <n v="1900.98"/>
        <n v="4356.1"/>
        <n v="335.40000000000003"/>
        <n v="305.52000000000004"/>
        <n v="213.36"/>
        <n v="621.96"/>
        <n v="5137.9"/>
        <n v="48.16"/>
        <n v="177.03"/>
        <n v="642.72"/>
        <n v="119.7"/>
        <n v="184.0"/>
        <n v="898.93"/>
        <n v="146.88"/>
        <n v="1567.8"/>
        <n v="221.39"/>
        <n v="40.46"/>
        <n v="557.46"/>
        <n v="88.16"/>
        <n v="122.72"/>
        <n v="20.64"/>
        <n v="76.12"/>
        <n v="448.8"/>
        <n v="39.12"/>
        <n v="538.08"/>
        <n v="851.2"/>
        <n v="118.25000000000001"/>
        <n v="147.96"/>
        <n v="30.4"/>
        <n v="33.75"/>
        <n v="141.51"/>
        <n v="13.0"/>
        <n v="33.32"/>
        <n v="1.27"/>
        <n v="519.4000000000001"/>
        <n v="9.36"/>
        <n v="533.28"/>
        <n v="689.22"/>
        <n v="524.61"/>
        <n v="12.8"/>
        <n v="362.4"/>
        <n v="41.2"/>
        <n v="389.76000000000005"/>
        <n v="116.19999999999999"/>
        <n v="602.91"/>
        <n v="2018.1"/>
        <n v="93.96000000000001"/>
        <n v="56.64"/>
        <n v="425.42999999999995"/>
        <n v="1155.3999999999999"/>
        <n v="508.29999999999995"/>
        <n v="174.04"/>
        <n v="359.08"/>
        <n v="143.64"/>
        <n v="612.9499999999999"/>
        <n v="184.92"/>
        <n v="1116.72"/>
        <n v="336.7"/>
        <n v="416.5"/>
        <n v="106.05000000000001"/>
        <n v="2302.65"/>
        <n v="201.14999999999998"/>
        <n v="368.44"/>
        <n v="28.349999999999998"/>
        <n v="111.25"/>
        <n v="109.74"/>
        <n v="68.8"/>
        <n v="267.96000000000004"/>
        <n v="218.99"/>
        <n v="318.59999999999997"/>
        <n v="136.76999999999998"/>
        <n v="1.48"/>
        <n v="399.49"/>
        <n v="24.57"/>
        <n v="206.64"/>
        <n v="71.28"/>
        <n v="745.92"/>
        <n v="2.58"/>
        <n v="127.91999999999999"/>
        <n v="70.52"/>
        <n v="18.900000000000002"/>
        <n v="222.04"/>
        <n v="75.84"/>
        <n v="815.71"/>
        <n v="606.4499999999999"/>
        <n v="2745.22"/>
        <n v="31.589999999999996"/>
        <n v="445.88"/>
        <n v="193.05"/>
        <n v="80.64"/>
        <n v="152.68"/>
        <n v="635.58"/>
        <n v="36.12"/>
        <n v="1980.33"/>
        <n v="37.99"/>
        <n v="185.0"/>
        <n v="355.74"/>
        <n v="334.18"/>
        <n v="2949.9799999999996"/>
        <n v="1616.6999999999998"/>
        <n v="109.00000000000001"/>
        <n v="33.0"/>
        <n v="129.25"/>
        <n v="318.71"/>
        <n v="516.5999999999999"/>
        <n v="13.09"/>
        <n v="8.52"/>
        <n v="238.76"/>
        <n v="812.6999999999999"/>
        <n v="1387.26"/>
        <n v="24.05"/>
        <n v="2.53"/>
        <n v="106.38"/>
        <n v="441.0"/>
        <n v="19.349999999999998"/>
        <n v="269.23"/>
        <n v="590.82"/>
        <n v="382.33"/>
        <n v="532.48"/>
        <n v="407.68"/>
        <n v="250.79999999999998"/>
        <n v="1397.22"/>
        <n v="324.88"/>
        <n v="414.91999999999996"/>
        <n v="272.5"/>
        <n v="284.38"/>
        <n v="76.22"/>
        <n v="27.36"/>
        <n v="1807.78"/>
        <n v="170.3"/>
        <n v="12.48"/>
        <n v="806.0"/>
        <n v="9.7"/>
        <n v="52.49"/>
        <n v="122.82000000000001"/>
        <n v="1073.3799999999999"/>
        <n v="777.85"/>
        <n v="36.38"/>
        <n v="1180.48"/>
        <n v="486.36"/>
        <n v="636.0"/>
        <n v="1052.64"/>
        <n v="1832.96"/>
        <n v="64.48"/>
        <n v="159.12"/>
        <n v="294.5"/>
        <n v="937.44"/>
        <n v="146.15"/>
        <n v="139.7"/>
        <n v="1489.44"/>
        <n v="2.21"/>
        <n v="985.9200000000001"/>
        <n v="499.5"/>
        <n v="1544.52"/>
        <n v="257.52000000000004"/>
        <n v="809.07"/>
        <n v="67.2"/>
        <n v="187.52"/>
        <n v="861.06"/>
        <n v="963.8399999999999"/>
        <n v="2064.88"/>
        <n v="201.6"/>
        <n v="485.1"/>
        <n v="392.5"/>
        <n v="1371.1599999999999"/>
        <n v="66.0"/>
        <n v="422.24"/>
        <n v="908.6"/>
        <n v="728.77"/>
        <n v="244.02"/>
        <n v="4974.58"/>
        <n v="145.16"/>
        <n v="9.0"/>
        <n v="1219.52"/>
        <n v="75.66"/>
        <n v="66.78"/>
        <n v="613.74"/>
        <n v="10.86"/>
        <n v="351.78"/>
        <n v="948.44"/>
        <n v="833.81"/>
        <n v="747.1"/>
        <n v="1128.96"/>
        <n v="1166.6"/>
        <n v="273.54"/>
        <n v="1389.44"/>
        <n v="341.38"/>
        <n v="994.0"/>
        <n v="1408.6599999999999"/>
        <n v="333.29999999999995"/>
        <n v="381.41999999999996"/>
        <n v="2.0"/>
        <n v="17856.800000000003"/>
        <n v="9883.15"/>
        <n v="6035.92"/>
        <n v="1428.3200000000002"/>
        <n v="1550.2"/>
        <n v="3723.4500000000003"/>
        <n v="142.78"/>
        <n v="645.7"/>
        <n v="-52.01"/>
        <n v="3354.75"/>
        <n v="4754.34"/>
        <n v="1197.8400000000001"/>
        <n v="1416.42"/>
        <n v="916.8599999999999"/>
        <n v="216.7"/>
        <n v="496.08000000000004"/>
        <n v="28.93"/>
        <n v="338.58000000000004"/>
        <n v="1112.3"/>
        <n v="891.4200000000001"/>
        <n v="179.54"/>
        <n v="20.9"/>
        <n v="377.14"/>
        <n v="1353.6399999999999"/>
        <n v="255.0"/>
        <n v="659.05"/>
        <n v="1954.08"/>
        <n v="2.83"/>
        <n v="82.82000000000001"/>
        <n v="345.8"/>
        <n v="228.52"/>
        <n v="798.0999999999999"/>
        <n v="303.84"/>
        <n v="268.32"/>
        <n v="1247.13"/>
        <n v="298.2"/>
        <n v="2.14"/>
        <n v="677.28"/>
        <n v="179.39999999999998"/>
        <n v="667.17"/>
        <n v="257.24"/>
        <n v="1806.8999999999999"/>
        <n v="75.19999999999999"/>
        <n v="655.38"/>
        <n v="865.3599999999999"/>
        <n v="58.65"/>
        <n v="411.71999999999997"/>
        <n v="631.0400000000001"/>
        <n v="428.24"/>
        <n v="10.48"/>
        <n v="22.12"/>
        <n v="64.53"/>
        <n v="1799.85"/>
        <n v="371.85"/>
        <n v="1200.09"/>
        <n v="251.16000000000003"/>
        <n v="2229.12"/>
        <n v="5260.8"/>
        <n v="798.5100000000001"/>
        <n v="2826.8799999999997"/>
        <n v="420.41999999999996"/>
        <n v="4275.76"/>
        <n v="2268.03"/>
        <n v="1437.5"/>
        <n v="1372.16"/>
        <n v="5748.38"/>
        <n v="572.8900000000001"/>
        <n v="2647.84"/>
        <n v="1425.6"/>
        <n v="4053.56"/>
        <n v="2213.7"/>
        <n v="326.89"/>
        <n v="119.16"/>
        <n v="245.33999999999997"/>
        <n v="1500.48"/>
        <n v="2173.17"/>
        <n v="318.15999999999997"/>
        <n v="8616.480000000001"/>
        <n v="296.4"/>
        <n v="36.0"/>
        <n v="8878.41"/>
        <n v="252.39000000000001"/>
        <n v="257.76"/>
        <n v="5477.799999999999"/>
        <n v="1912.5900000000001"/>
        <n v="284.8"/>
        <n v="863.5"/>
        <n v="14.299999999999999"/>
        <n v="1316.45"/>
        <n v="1361.92"/>
        <n v="788.64"/>
        <n v="2238.75"/>
        <n v="1235.04"/>
        <n v="275.31"/>
        <n v="719.84"/>
        <n v="156.8"/>
        <n v="305.79999999999995"/>
        <n v="531.33"/>
        <n v="860.89"/>
        <n v="30.0"/>
        <n v="15.68"/>
        <n v="374.48"/>
        <n v="465.92"/>
        <n v="42.18"/>
        <n v="362.09999999999997"/>
        <n v="226.8"/>
        <n v="1499.3100000000002"/>
        <n v="388.0"/>
        <n v="596.96"/>
        <n v="538.74"/>
        <n v="1366.48"/>
        <n v="107.44000000000001"/>
        <n v="264.41999999999996"/>
        <n v="713.9399999999999"/>
        <n v="1313.07"/>
        <n v="1670.9"/>
        <n v="920.92"/>
        <n v="90.65"/>
        <n v="33.949999999999996"/>
        <n v="397.09999999999997"/>
        <n v="172.86"/>
        <n v="314.88"/>
        <n v="246.0"/>
        <n v="572.0"/>
        <n v="107.36"/>
        <n v="258.02000000000004"/>
        <n v="1361.36"/>
        <n v="363.0"/>
        <n v="310.65000000000003"/>
        <n v="2403.84"/>
        <n v="837.76"/>
        <n v="202.39999999999998"/>
        <n v="1236.3"/>
        <n v="90.28"/>
        <n v="160.38000000000002"/>
        <n v="72.45"/>
        <n v="26.4"/>
        <n v="1464.32"/>
        <n v="133.75"/>
        <n v="378.27"/>
        <n v="1859.52"/>
        <n v="1327.36"/>
        <n v="38.35"/>
        <n v="492.35999999999996"/>
        <n v="3432.6899999999996"/>
        <n v="781.25"/>
        <n v="2982.7799999999997"/>
        <n v="81.55"/>
        <n v="673.26"/>
        <n v="1000.44"/>
        <n v="1481.7"/>
        <n v="902.26"/>
        <n v="3425.7599999999998"/>
        <n v="402.93"/>
        <n v="167.62"/>
        <n v="386.24"/>
        <n v="41.48"/>
        <n v="4135.53"/>
        <n v="707.4000000000001"/>
        <n v="383.25"/>
        <n v="551.76"/>
        <n v="35.550000000000004"/>
        <n v="685.17"/>
        <n v="2427.94"/>
        <n v="188.16"/>
        <n v="4043.32"/>
        <n v="763.5600000000001"/>
        <n v="2305.7999999999997"/>
        <n v="237.22"/>
        <n v="5566.9"/>
        <n v="1031.24"/>
        <n v="623.2900000000001"/>
        <n v="987.66"/>
        <n v="2794.12"/>
        <n v="149.52"/>
        <n v="1049.3999999999999"/>
        <n v="48.4"/>
        <n v="552.6"/>
        <n v="2353.55"/>
        <n v="785.46"/>
        <n v="3242.7999999999997"/>
        <n v="816.96"/>
        <n v="2332.6"/>
        <n v="595.98"/>
        <n v="151.41"/>
        <n v="267.6"/>
        <n v="4145.13"/>
        <n v="4069.6600000000003"/>
        <n v="947.6999999999999"/>
        <n v="3352.2"/>
        <n v="1804.8"/>
        <n v="382.7"/>
        <n v="507.4"/>
        <n v="480.32"/>
        <n v="1774.97"/>
        <n v="483.0"/>
        <n v="3307.24"/>
        <n v="1428.48"/>
        <n v="162.97"/>
        <n v="750.48"/>
        <n v="1696.92"/>
        <n v="352.34"/>
        <n v="923.4000000000001"/>
        <n v="470.25"/>
        <n v="443.0"/>
        <n v="232.76"/>
        <n v="4271.34"/>
        <n v="1508.64"/>
        <n v="62.760000000000005"/>
        <n v="2488.11"/>
        <n v="2293.6"/>
        <n v="1267.11"/>
        <n v="1502.55"/>
        <n v="6878.049999999999"/>
        <n v="1801.8"/>
        <n v="385.28000000000003"/>
        <n v="1848.0"/>
        <n v="2926.36"/>
        <n v="1731.21"/>
        <n v="3324.75"/>
        <n v="401.09999999999997"/>
        <n v="470.56"/>
        <n v="2238.22"/>
        <n v="952.3799999999999"/>
        <n v="457.7"/>
        <n v="1994.1"/>
        <n v="932.74"/>
        <n v="2972.16"/>
        <n v="4786.74"/>
        <n v="230.50000000000003"/>
        <n v="75.02000000000001"/>
        <n v="1406.58"/>
        <n v="317.44"/>
        <n v="1788.0"/>
        <n v="204.60000000000002"/>
        <n v="3549.0"/>
        <n v="42.599999999999994"/>
        <n v="673.92"/>
        <n v="162.15"/>
        <n v="957.0"/>
        <n v="2161.17"/>
        <n v="2607.8"/>
        <n v="439.34999999999997"/>
        <n v="734.4"/>
        <n v="3123.2"/>
        <n v="362.25"/>
        <n v="44.64"/>
        <n v="1114.14"/>
        <n v="607.0"/>
        <n v="478.08"/>
        <n v="3919.04"/>
        <n v="2848.74"/>
        <n v="232.06"/>
        <n v="6.55"/>
        <n v="48.51"/>
        <n v="568.4"/>
        <n v="1795.61"/>
        <n v="66.44"/>
        <n v="2536.48"/>
        <n v="3191.5"/>
        <n v="3690.45"/>
        <n v="3706.89"/>
        <n v="2430.72"/>
        <n v="2437.08"/>
        <n v="3666.8"/>
        <n v="1048.95"/>
        <n v="3612.48"/>
        <n v="2991.36"/>
        <n v="3040.96"/>
        <n v="2607.96"/>
        <n v="3199.5600000000004"/>
        <n v="1122.18"/>
        <n v="2905.63"/>
        <n v="1414.49"/>
        <n v="1573.8799999999999"/>
        <n v="1079.0"/>
        <n v="1860.3600000000001"/>
        <n v="619.2"/>
        <n v="83.34"/>
        <n v="2369.85"/>
        <n v="33.050000000000004"/>
        <n v="1097.52"/>
        <n v="1620.1599999999999"/>
        <n v="971.5600000000001"/>
        <n v="1315.02"/>
        <n v="449.82"/>
        <n v="2681.2799999999997"/>
        <n v="154.66"/>
        <n v="100.16"/>
        <n v="234.64000000000001"/>
        <n v="2197.8399999999997"/>
        <n v="682.48"/>
        <n v="4542.72"/>
        <n v="614.98"/>
        <n v="469.79999999999995"/>
        <n v="593.65"/>
        <n v="99.35999999999999"/>
        <n v="11.6"/>
        <n v="416.24"/>
        <n v="39.0"/>
        <n v="277.14"/>
        <n v="3477.76"/>
        <n v="854.7"/>
        <n v="367.08000000000004"/>
        <n v="18.96"/>
        <n v="2010.0"/>
        <n v="519.5600000000001"/>
        <n v="2587.5"/>
        <n v="2794.44"/>
        <n v="1802.34"/>
        <n v="894.52"/>
        <n v="361.81"/>
        <n v="130.82"/>
        <n v="20.25"/>
        <n v="133.44"/>
        <n v="1929.1999999999998"/>
        <n v="1238.8"/>
        <n v="109.12"/>
        <n v="1247.85"/>
        <n v="251.35000000000002"/>
        <n v="838.44"/>
        <n v="527.12"/>
        <n v="586.53"/>
        <n v="112.32"/>
        <n v="979.6800000000001"/>
        <n v="73.58"/>
        <n v="398.48"/>
        <n v="331.52"/>
        <n v="1689.16"/>
        <n v="864.0"/>
        <n v="518.4"/>
        <n v="465.42999999999995"/>
        <n v="999.62"/>
        <n v="185.02"/>
        <n v="2020.72"/>
        <n v="18.990000000000002"/>
        <n v="3188.6099999999997"/>
        <n v="255.5"/>
        <n v="745.47"/>
        <n v="964.0"/>
        <n v="1208.68"/>
        <n v="1641.28"/>
        <n v="638.69"/>
        <n v="1201.2"/>
        <n v="318.78"/>
        <n v="552.5"/>
        <n v="1370.48"/>
        <n v="3358.3199999999997"/>
        <n v="439.52000000000004"/>
        <n v="1402.5"/>
        <n v="1312.96"/>
        <n v="3719.1"/>
        <n v="731.88"/>
        <n v="3271.4500000000003"/>
        <n v="1208.1499999999999"/>
        <n v="903.04"/>
        <n v="2273.92"/>
        <n v="1772.51"/>
        <n v="3665.13"/>
        <n v="613.64"/>
        <n v="1534.5"/>
        <n v="2822.2400000000002"/>
        <n v="954.9399999999999"/>
        <n v="1222.1"/>
        <n v="1904.76"/>
        <n v="1560.06"/>
        <n v="287.0"/>
        <n v="1274.44"/>
        <n v="2210.67"/>
        <n v="1058.3999999999999"/>
        <n v="376.37"/>
        <n v="215.74"/>
        <n v="3541.92"/>
        <n v="1025.4399999999998"/>
        <n v="989.5200000000001"/>
        <n v="28.650000000000002"/>
        <n v="756.92"/>
        <n v="620.37"/>
        <n v="108.67999999999999"/>
        <n v="244.26"/>
        <n v="59.84"/>
        <n v="939.4"/>
        <n v="1116.4399999999998"/>
        <n v="261.69"/>
        <n v="492.78000000000003"/>
        <n v="1035.71"/>
        <n v="156.62"/>
        <n v="2.47"/>
        <n v="21.400000000000002"/>
        <n v="621.01"/>
        <n v="423.28"/>
        <n v="696.0"/>
        <n v="301.5"/>
        <n v="146.78"/>
        <n v="128.78"/>
        <n v="596.25"/>
        <n v="609.0"/>
        <n v="222.7"/>
        <n v="669.12"/>
        <n v="416.25"/>
        <n v="424.36"/>
        <n v="3357.66"/>
        <n v="1724.3799999999999"/>
        <n v="27.95"/>
        <n v="609.28"/>
        <n v="1287.72"/>
        <n v="42.660000000000004"/>
        <n v="1113.7"/>
        <n v="116.16"/>
        <n v="220.39999999999998"/>
        <n v="1252.47"/>
        <n v="45.0"/>
        <n v="73.92"/>
        <n v="176.66"/>
        <n v="34.88"/>
        <n v="815.36"/>
        <n v="12.64"/>
        <n v="2.38"/>
        <n v="31.8"/>
        <n v="673.1999999999999"/>
        <n v="845.3000000000001"/>
        <n v="1041.78"/>
        <n v="127.17"/>
        <n v="106.56"/>
        <n v="365.03999999999996"/>
        <n v="180.39999999999998"/>
        <n v="714.24"/>
        <n v="658.8000000000001"/>
        <n v="843.15"/>
        <n v="58.88"/>
        <n v="34.34"/>
        <n v="96.25"/>
        <n v="553.22"/>
        <n v="3.74"/>
        <n v="47.040000000000006"/>
        <n v="975.39"/>
        <n v="910.8000000000001"/>
        <n v="65.36"/>
        <n v="32.85"/>
        <n v="667.92"/>
        <n v="321.47999999999996"/>
        <n v="416.88000000000005"/>
        <n v="101.67999999999999"/>
        <n v="13.16"/>
        <n v="1557.0900000000001"/>
        <n v="746.88"/>
        <n v="211.2"/>
        <n v="117.04"/>
        <n v="735.2099999999999"/>
        <n v="580.64"/>
        <n v="173.88"/>
        <n v="603.06"/>
        <n v="41.34"/>
        <n v="549.12"/>
        <n v="78.75"/>
        <n v="133.94"/>
        <n v="137.16"/>
        <n v="1266.36"/>
        <n v="219.45"/>
        <n v="33.839999999999996"/>
        <n v="666.12"/>
        <n v="350.46"/>
        <n v="1522.95"/>
        <n v="452.4"/>
        <n v="94.86"/>
        <n v="79.65"/>
        <n v="123.9"/>
        <n v="1286.8400000000001"/>
        <n v="1681.3"/>
        <n v="358.98"/>
        <n v="165.2"/>
        <n v="282.08"/>
        <n v="177.16"/>
        <n v="219.6"/>
        <n v="1333.8"/>
        <n v="75.2"/>
        <n v="749.25"/>
        <n v="267.54"/>
        <n v="1841.4599999999998"/>
        <n v="304.2"/>
        <n v="11.040000000000001"/>
        <n v="218.73"/>
        <n v="1740.1399999999999"/>
        <n v="1374.8899999999999"/>
        <n v="611.49"/>
        <n v="1103.3"/>
        <n v="59.400000000000006"/>
        <n v="1547.7"/>
        <n v="1409.76"/>
        <n v="391.59"/>
        <n v="192.51"/>
        <n v="129.42999999999998"/>
        <n v="1030.5"/>
        <n v="290.5"/>
        <n v="952.1999999999999"/>
        <n v="1011.23"/>
        <n v="206.4"/>
        <n v="271.44"/>
        <n v="602.5999999999999"/>
        <n v="164.73000000000002"/>
        <n v="1088.64"/>
        <n v="296.46000000000004"/>
        <n v="632.26"/>
        <n v="593.4"/>
        <n v="685.86"/>
        <n v="291.72"/>
        <n v="920.9200000000001"/>
        <n v="897.5999999999999"/>
        <n v="423.0"/>
        <n v="279.35"/>
        <n v="188.8"/>
        <n v="640.32"/>
        <n v="334.53"/>
        <n v="583.07"/>
        <n v="103.67999999999999"/>
        <n v="436.5"/>
        <n v="1254.96"/>
        <n v="809.1"/>
        <n v="790.02"/>
        <n v="179.17"/>
        <n v="695.04"/>
        <n v="449.88"/>
        <n v="172.28"/>
        <n v="474.77"/>
        <n v="267.52"/>
        <n v="105.45"/>
        <n v="154.76000000000002"/>
        <n v="375.18"/>
        <n v="289.68"/>
        <n v="952.74"/>
        <n v="175.23"/>
        <n v="575.8399999999999"/>
        <n v="608.0"/>
        <n v="110.21000000000001"/>
        <n v="873.45"/>
        <n v="54.59"/>
        <n v="31.349999999999998"/>
        <n v="953.2499999999999"/>
        <n v="2421.07"/>
        <n v="334.40000000000003"/>
        <n v="271.40000000000003"/>
        <n v="835.1999999999999"/>
        <n v="9.6"/>
        <n v="143.55"/>
        <n v="211.56"/>
        <n v="344.4"/>
        <n v="490.86"/>
        <n v="25.25"/>
        <n v="95.46"/>
        <n v="149.64"/>
        <n v="969.76"/>
        <n v="421.6"/>
        <n v="669.9"/>
        <n v="243.39000000000001"/>
        <n v="7175.76"/>
        <n v="217.14"/>
        <n v="208.6"/>
        <n v="21.08"/>
        <n v="206.01000000000002"/>
        <n v="1184.4"/>
        <n v="1112.28"/>
        <n v="86.92"/>
        <n v="282.96000000000004"/>
        <n v="8.82"/>
        <n v="488.75"/>
        <n v="69.0"/>
        <n v="22.799999999999997"/>
        <n v="636.24"/>
        <n v="1890.8899999999999"/>
        <n v="44.88"/>
        <n v="261.8"/>
        <n v="137.75"/>
        <n v="60.42"/>
        <n v="4678.74"/>
        <n v="114.46"/>
        <n v="143.25"/>
        <n v="401.40000000000003"/>
        <n v="239.86999999999998"/>
        <n v="58.13999999999999"/>
        <n v="624.88"/>
        <n v="5.22"/>
        <n v="680.68"/>
        <n v="923.44"/>
        <n v="175.68"/>
        <n v="632.4"/>
        <n v="1069.77"/>
        <n v="24.64"/>
        <n v="826.14"/>
        <n v="233.1"/>
        <n v="7679.18"/>
        <n v="3661.7999999999997"/>
        <n v="257.87"/>
        <n v="1577.8"/>
        <n v="699.2"/>
        <n v="350.9"/>
        <n v="281.93"/>
        <n v="849.4"/>
        <n v="16.11"/>
        <n v="72.8"/>
        <n v="154.85999999999999"/>
        <n v="962.02"/>
        <n v="377.40000000000003"/>
        <n v="2238.25"/>
        <n v="1331.61"/>
        <n v="700.7"/>
        <n v="364.64"/>
        <n v="345.72"/>
        <n v="356.39"/>
        <n v="303.75"/>
        <n v="790.4799999999999"/>
        <n v="742.45"/>
        <n v="85.28"/>
        <n v="23.76"/>
        <n v="214.52"/>
        <n v="1171.3"/>
        <n v="56.1"/>
        <n v="1373.96"/>
        <n v="441.75"/>
        <n v="485.94"/>
        <n v="692.64"/>
        <n v="862.54"/>
        <n v="92.16"/>
        <n v="799.1999999999999"/>
        <n v="146.52"/>
        <n v="396.36"/>
        <n v="1742.54"/>
        <n v="800.1"/>
        <n v="443.9"/>
        <n v="607.92"/>
        <n v="1863.53"/>
        <n v="4.96"/>
        <n v="729.0999999999999"/>
        <n v="1252.8000000000002"/>
        <n v="985.2"/>
        <n v="22.72"/>
        <n v="125.04999999999998"/>
        <n v="786.5999999999999"/>
        <n v="304.92"/>
        <n v="602.4200000000001"/>
        <n v="2346.06"/>
        <n v="1270.9799999999998"/>
        <n v="275.71999999999997"/>
        <n v="1916.2"/>
        <n v="546.0"/>
        <n v="367.36"/>
        <n v="1444.01"/>
        <n v="208.98000000000002"/>
        <n v="772.64"/>
        <n v="15.18"/>
        <n v="804.8000000000001"/>
        <n v="1014.3000000000001"/>
        <n v="707.42"/>
        <n v="887.23"/>
        <n v="331.11"/>
        <n v="147.20000000000002"/>
        <n v="603.98"/>
        <n v="1019.06"/>
        <n v="484.75"/>
        <n v="416.38"/>
        <n v="57.089999999999996"/>
        <n v="110.88000000000001"/>
        <n v="218.67999999999998"/>
        <n v="607.2"/>
        <n v="608.7900000000001"/>
        <n v="3454.23"/>
        <n v="5.5"/>
        <n v="169.60000000000002"/>
        <n v="1147.4099999999999"/>
        <n v="4035.6000000000004"/>
        <n v="733.5999999999999"/>
        <n v="173.34"/>
        <n v="1688.2199999999998"/>
        <n v="1086.75"/>
        <n v="1277.16"/>
        <n v="1104.0"/>
        <n v="803.0400000000001"/>
        <n v="2057.5"/>
        <n v="746.4300000000001"/>
        <n v="10.52"/>
        <n v="45.22"/>
        <n v="393.8"/>
        <n v="68.88"/>
        <n v="580.0"/>
        <n v="163.17000000000002"/>
        <n v="341.7"/>
        <n v="1108.53"/>
        <n v="22.200000000000003"/>
        <n v="472.94000000000005"/>
        <n v="82.35000000000001"/>
        <n v="4.02"/>
        <n v="2.6"/>
        <n v="716.42"/>
        <n v="1138.26"/>
        <n v="1474.4"/>
        <n v="1561.1200000000001"/>
        <n v="26.74"/>
        <n v="604.75"/>
        <n v="37.35"/>
        <n v="1120.46"/>
        <n v="2037.2800000000002"/>
        <n v="728.56"/>
        <n v="1514.96"/>
        <n v="5707.2"/>
        <n v="674.24"/>
        <n v="852.93"/>
        <n v="2147.48"/>
        <n v="2377.08"/>
        <n v="2655.58"/>
        <n v="4052.2999999999997"/>
        <n v="3328.7999999999997"/>
        <n v="5477.34"/>
        <n v="46.84"/>
        <n v="2915.08"/>
        <n v="9735.1"/>
        <n v="4671.299999999999"/>
        <n v="1479.55"/>
        <n v="912.7400000000001"/>
        <n v="1915.13"/>
        <n v="710.7900000000001"/>
        <n v="8326.08"/>
        <n v="2294.58"/>
        <n v="1873.8000000000002"/>
        <n v="3221.5"/>
        <n v="4454.1"/>
        <n v="1005.4000000000001"/>
        <n v="8780.94"/>
        <n v="3073.9500000000003"/>
        <n v="7936.259999999999"/>
        <n v="334.88"/>
        <n v="3594.36"/>
        <n v="4562.799999999999"/>
        <n v="391.03999999999996"/>
        <n v="1489.55"/>
        <n v="1309.0"/>
        <n v="6750.839999999999"/>
        <n v="343.48"/>
        <n v="1117.92"/>
        <n v="9.15"/>
        <n v="320.39"/>
        <n v="1005.1999999999999"/>
        <n v="3206.0"/>
        <n v="26518.379999999997"/>
        <n v="8003.5199999999995"/>
        <n v="4768.400000000001"/>
        <n v="3692.0"/>
        <n v="2252.64"/>
        <n v="4496.94"/>
        <n v="7730.3099999999995"/>
        <n v="2339.34"/>
        <n v="111.15"/>
        <n v="19125.14"/>
        <n v="8008.6"/>
        <n v="7828.1"/>
        <n v="2139.3399999999997"/>
        <n v="7409.73"/>
        <n v="947.6"/>
        <n v="4724.44"/>
        <n v="2560.6"/>
        <n v="13937.0"/>
        <n v="5183.7"/>
        <n v="1156.68"/>
        <n v="257.46"/>
        <n v="1043.86"/>
        <n v="129.32999999999998"/>
        <n v="555.12"/>
        <n v="991.1999999999999"/>
        <n v="3834.96"/>
        <n v="12522.16"/>
        <n v="1654.56"/>
        <n v="3082.94"/>
        <n v="53.27"/>
        <n v="2041.8000000000002"/>
        <n v="16265.900000000001"/>
        <n v="1255.01"/>
        <n v="8316.77"/>
        <n v="7916.86"/>
        <n v="8259.68"/>
        <n v="4030.8199999999997"/>
        <n v="1727.2"/>
        <n v="7884.0"/>
        <n v="1772.34"/>
        <n v="2332.3199999999997"/>
        <n v="22.32"/>
        <n v="8180.299999999999"/>
        <n v="981.1800000000001"/>
        <n v="262.0"/>
        <n v="9678.36"/>
        <n v="816.34"/>
        <n v="1459.48"/>
        <n v="1322.07"/>
        <n v="90.5"/>
        <n v="951.75"/>
        <n v="282.03000000000003"/>
        <n v="136.08"/>
        <n v="378.09999999999997"/>
        <n v="142.20000000000002"/>
        <n v="2805.68"/>
        <n v="8627.5"/>
        <n v="361.8"/>
        <n v="23.01"/>
        <n v="89.46"/>
        <n v="705.9"/>
        <n v="337.67999999999995"/>
        <n v="606.96"/>
        <n v="121.2"/>
        <n v="383.05"/>
        <n v="80.92"/>
        <n v="2657.54"/>
        <n v="1098.16"/>
        <n v="2390.67"/>
        <n v="262.96"/>
        <n v="4535.37"/>
        <n v="69.9"/>
        <n v="872.5"/>
        <n v="513.79"/>
        <n v="205.84"/>
        <n v="229.89999999999998"/>
        <n v="1314.88"/>
        <n v="264.18"/>
        <n v="271.05"/>
        <n v="947.5999999999999"/>
        <n v="973.95"/>
        <n v="1346.1499999999999"/>
        <n v="791.9399999999999"/>
        <n v="3568.1600000000003"/>
        <n v="1507.5"/>
        <n v="1020.87"/>
        <n v="281.22"/>
        <n v="599.28"/>
        <n v="1904.04"/>
        <n v="3147.46"/>
        <n v="1584.0"/>
        <n v="3614.6"/>
        <n v="4710.320000000001"/>
        <n v="2510.5499999999997"/>
        <n v="165.6"/>
        <n v="3463.12"/>
        <n v="4748.26"/>
        <n v="4403.76"/>
        <n v="1515.3600000000001"/>
        <n v="1638.0"/>
        <n v="2527.35"/>
        <n v="6552.0"/>
        <n v="11.42"/>
        <n v="8487.0"/>
        <n v="321.84"/>
        <n v="1636.14"/>
        <n v="6592.7300000000005"/>
        <n v="3704.3999999999996"/>
        <n v="1308.1999999999998"/>
        <n v="3551.8"/>
        <n v="6315.33"/>
        <n v="573.12"/>
        <n v="2688.66"/>
        <n v="4651.74"/>
        <n v="15838.900000000001"/>
        <n v="8804.4"/>
        <n v="3008.34"/>
        <n v="817.4"/>
        <n v="403.76"/>
        <n v="1334.94"/>
        <n v="926.2199999999999"/>
        <n v="7146.07"/>
        <n v="212.5"/>
        <n v="255.42"/>
        <n v="1701.3600000000001"/>
        <n v="194.56"/>
        <n v="107.91"/>
        <n v="104.69"/>
        <n v="34.0"/>
        <n v="74.4"/>
        <n v="3553.2"/>
        <n v="2900.7999999999997"/>
        <n v="1279.8000000000002"/>
        <n v="1404.0"/>
        <n v="222.29999999999998"/>
        <n v="1132.0800000000002"/>
        <n v="682.51"/>
        <n v="2092.64"/>
        <n v="653.3499999999999"/>
        <n v="5252.5199999999995"/>
        <n v="1420.85"/>
        <n v="4749.9800000000005"/>
        <n v="421.59000000000003"/>
        <n v="625.77"/>
        <n v="736.56"/>
        <n v="589.76"/>
        <n v="1754.73"/>
        <n v="85.58"/>
        <n v="571.3299999999999"/>
        <n v="189.0"/>
        <n v="10587.36"/>
        <n v="249.6"/>
        <n v="225.72000000000003"/>
        <n v="730.98"/>
        <n v="108.09"/>
        <n v="95.85000000000001"/>
        <n v="449.5"/>
        <n v="335.82"/>
        <n v="156.4"/>
        <n v="504.0"/>
        <n v="162.89000000000001"/>
        <n v="138.25"/>
        <n v="101.97"/>
        <n v="1566.0"/>
        <n v="2204.0"/>
        <n v="587.88"/>
        <n v="28.8"/>
        <n v="145.34"/>
        <n v="697.6"/>
        <n v="2669.44"/>
        <n v="905.6"/>
        <n v="986.67"/>
        <n v="248.22"/>
        <n v="106.19999999999999"/>
        <n v="456.75"/>
        <n v="103.96"/>
        <n v="149.85000000000002"/>
        <n v="562.95"/>
        <n v="201.5"/>
        <n v="1106.96"/>
        <n v="31.29"/>
        <n v="2616.08"/>
        <n v="3.3000000000000003"/>
        <n v="1116.6299999999999"/>
        <n v="28.22"/>
        <n v="256.08"/>
        <n v="1057.77"/>
        <n v="452.2"/>
        <n v="358.61999999999995"/>
        <n v="83.21000000000001"/>
        <n v="15.680000000000001"/>
        <n v="334.28000000000003"/>
        <n v="1574.8"/>
        <n v="712.48"/>
        <n v="395.28"/>
        <n v="117.45"/>
        <n v="609.14"/>
        <n v="422.28"/>
        <n v="1335.56"/>
        <n v="391.92"/>
        <n v="510.51"/>
        <n v="472.14"/>
        <n v="320.88"/>
        <n v="1266.7199999999998"/>
        <n v="5.550000000000001"/>
        <n v="89.61"/>
        <n v="372.09999999999997"/>
        <n v="2335.68"/>
        <n v="1496.94"/>
        <n v="160.66"/>
        <n v="46.19"/>
        <n v="1602.1499999999999"/>
        <n v="50.690000000000005"/>
        <n v="539.46"/>
        <n v="102.48"/>
        <n v="723.84"/>
        <n v="124.8"/>
        <n v="993.2700000000001"/>
        <n v="6.6000000000000005"/>
        <n v="212.51999999999998"/>
        <n v="1164.6000000000001"/>
        <n v="542.19"/>
        <n v="359.95"/>
        <n v="431.59999999999997"/>
        <n v="142.79999999999998"/>
        <n v="1396.05"/>
        <n v="62.22"/>
        <n v="1171.1000000000001"/>
        <n v="101.44"/>
        <n v="216.81"/>
        <n v="57.540000000000006"/>
        <n v="550.62"/>
        <n v="682.65"/>
        <n v="28.31"/>
        <n v="950.4000000000001"/>
        <n v="460.03"/>
        <n v="852.21"/>
        <n v="160.57999999999998"/>
        <n v="349.8"/>
        <n v="394.83"/>
        <n v="1062.0"/>
        <n v="374.92"/>
        <n v="3811.52"/>
        <n v="1434.06"/>
        <n v="823.48"/>
        <n v="100.8"/>
        <n v="43.61"/>
        <n v="229.08"/>
        <n v="169.4"/>
        <n v="96.36"/>
        <n v="517.92"/>
        <n v="922.53"/>
        <n v="92.25"/>
        <n v="1179.64"/>
        <n v="1555.2"/>
        <n v="733.4399999999999"/>
        <n v="2913.88"/>
        <n v="154.44"/>
        <n v="781.08"/>
        <n v="42.94"/>
        <n v="19.84"/>
        <n v="590.58"/>
        <n v="1055.61"/>
        <n v="993.3000000000001"/>
        <n v="107.63999999999999"/>
        <n v="1121.25"/>
        <n v="761.46"/>
        <n v="299.72"/>
        <n v="1072.56"/>
        <n v="38.48"/>
        <n v="179.4"/>
        <n v="197.5"/>
        <n v="1609.9"/>
        <n v="90.3"/>
        <n v="1372.3799999999999"/>
        <n v="1984.18"/>
        <n v="15.8"/>
        <n v="51.75"/>
        <n v="365.79"/>
        <n v="13.8"/>
        <n v="537.81"/>
        <n v="17.36"/>
        <n v="875.7099999999999"/>
        <n v="185.31"/>
        <n v="1756.9199999999998"/>
        <n v="407.68000000000006"/>
        <n v="770.34"/>
        <n v="770.44"/>
        <n v="102.96000000000001"/>
        <n v="144.2"/>
        <n v="87.68"/>
        <n v="77.0"/>
        <n v="180.32000000000002"/>
        <n v="351.0"/>
        <n v="20.439999999999998"/>
        <n v="20.67"/>
        <n v="595.63"/>
        <n v="9.68"/>
        <n v="87.10000000000001"/>
        <n v="111.19999999999999"/>
        <n v="1157.1"/>
        <n v="495.98999999999995"/>
        <n v="390.72"/>
        <n v="521.52"/>
        <n v="4823.76"/>
        <n v="1853.28"/>
        <n v="855.0"/>
        <n v="149.94"/>
        <n v="80.48"/>
        <n v="4558.8"/>
        <n v="5302.44"/>
        <n v="295.78"/>
        <n v="4079.2999999999997"/>
        <n v="14102.08"/>
        <n v="8285.48"/>
        <n v="6245.88"/>
        <n v="6029.150000000001"/>
        <n v="275.76"/>
        <n v="677.66"/>
        <n v="842.4"/>
        <n v="166.53"/>
        <n v="487.2"/>
        <n v="1820.16"/>
        <n v="149.64000000000001"/>
        <n v="226.1"/>
        <n v="631.62"/>
        <n v="1858.6100000000001"/>
        <n v="644.84"/>
        <n v="257.58"/>
        <n v="1436.3999999999999"/>
        <n v="82.53"/>
        <n v="2196.0"/>
        <n v="242.35999999999999"/>
        <n v="444.60999999999996"/>
        <n v="378.51000000000005"/>
        <n v="297.68"/>
        <n v="1181.16"/>
        <n v="13.14"/>
        <n v="525.2800000000001"/>
        <n v="545.9"/>
        <n v="1278.8999999999999"/>
        <n v="4378.0"/>
        <n v="1156.24"/>
        <n v="1143.08"/>
        <n v="117.9"/>
        <n v="394.23"/>
        <n v="1741.5"/>
        <n v="1055.71"/>
        <n v="68.51"/>
        <n v="445.5"/>
        <n v="316.8"/>
        <n v="309.89"/>
        <n v="102.60000000000001"/>
        <n v="203.28"/>
        <n v="5375.38"/>
        <n v="181.45999999999998"/>
        <n v="1892.08"/>
        <n v="672.35"/>
        <n v="189.26999999999998"/>
        <n v="7.14"/>
        <n v="1794.24"/>
        <n v="214.76"/>
        <n v="1470.5"/>
        <n v="395.28000000000003"/>
        <n v="1805.7"/>
        <n v="4027.5199999999995"/>
        <n v="2579.36"/>
        <n v="310.59"/>
        <n v="5685.16"/>
        <n v="2304.4"/>
        <n v="4726.35"/>
        <n v="289.92"/>
        <n v="2246.75"/>
        <n v="1492.65"/>
        <n v="611.9000000000001"/>
        <n v="1044.6299999999999"/>
        <n v="446.03999999999996"/>
        <n v="4234.53"/>
        <n v="5077.26"/>
        <n v="364.82"/>
        <n v="2099.6"/>
        <n v="881.81"/>
        <n v="335.88"/>
        <n v="709.8"/>
        <n v="2227.4"/>
        <n v="1060.02"/>
        <n v="220.89"/>
        <n v="7962.5"/>
        <n v="1278.3600000000001"/>
        <n v="9.4"/>
        <n v="3035.5"/>
        <n v="4172.400000000001"/>
        <n v="7103.48"/>
        <n v="1881.88"/>
        <n v="3907.87"/>
        <n v="1633.74"/>
        <n v="2594.2"/>
        <n v="524.51"/>
        <n v="2493.82"/>
        <n v="392.25000000000006"/>
        <n v="8940.0"/>
        <n v="4760.35"/>
        <n v="179.54999999999998"/>
        <n v="3334.76"/>
        <n v="110.60000000000001"/>
        <n v="6885.4800000000005"/>
        <n v="602.7"/>
        <n v="841.75"/>
        <n v="176.39000000000001"/>
        <n v="1945.6799999999998"/>
        <n v="1071.52"/>
        <n v="4004.33"/>
        <n v="705.64"/>
        <n v="4379.43"/>
        <n v="3847.2599999999998"/>
        <n v="1639.64"/>
        <n v="446.9"/>
        <n v="3224.0"/>
        <n v="4301.31"/>
        <n v="1167.36"/>
        <n v="220.8"/>
        <n v="793.6500000000001"/>
        <n v="883.08"/>
        <n v="927.9899999999999"/>
        <n v="319.14"/>
        <n v="978.8800000000001"/>
        <n v="389.93999999999994"/>
        <n v="100.62"/>
        <n v="440.63"/>
        <n v="133.14"/>
        <n v="333.06"/>
        <n v="88.4"/>
        <n v="201.10999999999999"/>
        <n v="443.88000000000005"/>
        <n v="1708.14"/>
        <n v="642.9499999999999"/>
        <n v="37.52"/>
        <n v="1249.28"/>
        <n v="225.60000000000002"/>
        <n v="106.59"/>
        <n v="113.76"/>
        <n v="27.560000000000002"/>
        <n v="592.8000000000001"/>
        <n v="631.8000000000001"/>
        <n v="33.83"/>
        <n v="1430.8"/>
        <n v="1127.1"/>
        <n v="896.7"/>
        <n v="1366.3999999999999"/>
        <n v="839.1600000000001"/>
        <n v="1117.56"/>
        <n v="981.02"/>
        <n v="1383.9"/>
        <n v="2626.8"/>
        <n v="1095.3600000000001"/>
        <n v="103.39999999999999"/>
        <n v="1437.92"/>
        <n v="1096.16"/>
        <n v="793.05"/>
        <n v="620.75"/>
        <n v="679.2099999999999"/>
        <n v="1018.14"/>
        <n v="23.64"/>
        <n v="19.32"/>
        <n v="501.67"/>
        <n v="85.68"/>
        <n v="421.8"/>
        <n v="856.44"/>
        <n v="80.36"/>
        <n v="925.8699999999999"/>
        <n v="383.04"/>
        <n v="63.02"/>
        <n v="1431.66"/>
        <n v="114.0"/>
        <n v="957.78"/>
        <n v="441.28000000000003"/>
        <n v="197.76"/>
        <n v="31.45"/>
        <n v="443.04"/>
        <n v="72.72"/>
        <n v="1089.24"/>
        <n v="22.8"/>
        <n v="13.65"/>
        <n v="192.7"/>
        <n v="1599.84"/>
        <n v="1116.55"/>
        <n v="1813.02"/>
        <n v="4143.04"/>
        <n v="102.08"/>
        <n v="1060.2"/>
        <n v="1568.12"/>
        <n v="295.92"/>
        <n v="565.22"/>
        <n v="705.25"/>
        <n v="606.56"/>
        <n v="1818.15"/>
        <n v="23.98"/>
        <n v="106.0"/>
        <n v="884.52"/>
        <n v="107.1"/>
        <n v="168.3"/>
        <n v="667.94"/>
        <n v="6318.06"/>
        <n v="990.08"/>
        <n v="251.54999999999998"/>
        <n v="2066.3999999999996"/>
        <n v="820.26"/>
        <n v="1063.7199999999998"/>
        <n v="821.98"/>
        <n v="74.71000000000001"/>
        <n v="667.76"/>
        <n v="1983.2199999999998"/>
        <n v="1280.3"/>
        <n v="311.91"/>
        <n v="989.12"/>
        <n v="610.35"/>
        <n v="1023.66"/>
        <n v="4551.93"/>
        <n v="486.33"/>
        <n v="666.41"/>
        <n v="16.23"/>
        <n v="2324.04"/>
        <n v="6042.96"/>
        <n v="468.75"/>
        <n v="523.9"/>
        <n v="257.66"/>
        <n v="877.3000000000001"/>
        <n v="5160.780000000001"/>
        <n v="256.52"/>
        <n v="6569.63"/>
        <n v="959.1"/>
        <n v="1372.88"/>
        <n v="463.43"/>
        <n v="1871.5"/>
        <n v="1119.96"/>
        <n v="238.2"/>
        <n v="2112.54"/>
        <n v="543.06"/>
        <n v="1222.5"/>
        <n v="194.95000000000002"/>
        <n v="5214.51"/>
        <n v="4911.21"/>
        <n v="1998.44"/>
        <n v="584.28"/>
        <n v="1397.3999999999999"/>
        <n v="675.6899999999999"/>
        <n v="1306.5900000000001"/>
        <n v="762.54"/>
        <n v="562.3199999999999"/>
        <n v="125.62"/>
        <n v="118.16999999999999"/>
        <n v="819.1800000000001"/>
        <n v="877.85"/>
        <n v="1181.0500000000002"/>
        <n v="1745.1"/>
        <n v="324.8"/>
        <n v="715.74"/>
        <n v="2791.25"/>
        <n v="3564.0"/>
        <n v="860.2099999999999"/>
        <n v="6992.1"/>
        <n v="2364.06"/>
        <n v="1038.24"/>
        <n v="2729.5299999999997"/>
        <n v="1110.2"/>
        <n v="439.79"/>
        <n v="717.24"/>
        <n v="14.15"/>
        <n v="6864.0"/>
        <n v="693.2800000000001"/>
        <n v="1646.3600000000001"/>
        <n v="252.3"/>
        <n v="677.99"/>
        <n v="118.82000000000001"/>
        <n v="338.8"/>
        <n v="11.200000000000001"/>
        <n v="741.24"/>
        <n v="335.79999999999995"/>
        <n v="141.0"/>
        <n v="402.3"/>
        <n v="47.58"/>
        <n v="158.32999999999998"/>
        <n v="352.26"/>
        <n v="608.8499999999999"/>
        <n v="2582.64"/>
        <n v="377.88"/>
        <n v="37.62"/>
        <n v="189.1"/>
        <n v="74.88"/>
        <n v="645.4799999999999"/>
        <n v="376.59999999999997"/>
        <n v="234.85"/>
        <n v="264.96"/>
        <n v="629.37"/>
        <n v="-19.28"/>
        <n v="552.4200000000001"/>
        <n v="39.78"/>
        <n v="36.24"/>
        <n v="803.16"/>
        <n v="701.52"/>
        <n v="329.76"/>
        <n v="323.9"/>
        <n v="287.82"/>
        <n v="93.44"/>
        <n v="1275.1200000000001"/>
        <n v="926.16"/>
        <n v="185.84"/>
        <n v="249.55"/>
        <n v="254.88"/>
        <n v="1251.9"/>
        <n v="188.01999999999998"/>
        <n v="72.5"/>
        <n v="706.8"/>
        <n v="366.3"/>
        <n v="1494.54"/>
        <n v="261.86999999999995"/>
        <n v="853.44"/>
        <n v="959.3100000000001"/>
        <n v="332.32"/>
        <n v="875.38"/>
        <n v="85.54"/>
        <n v="161.07"/>
        <n v="556.5"/>
        <n v="16.650000000000002"/>
        <n v="830.0"/>
        <n v="23.580000000000002"/>
        <n v="1428.85"/>
        <n v="589.39"/>
        <n v="6780.96"/>
        <n v="170.7"/>
        <n v="142.08"/>
        <n v="1789.25"/>
        <n v="32.129999999999995"/>
        <n v="183.75"/>
        <n v="1196.01"/>
        <n v="413.64000000000004"/>
        <n v="1451.4"/>
        <n v="6045.200000000001"/>
        <n v="980.5600000000001"/>
        <n v="2098.14"/>
        <n v="13.74"/>
        <n v="4904.79"/>
        <n v="78.3"/>
        <n v="250.04"/>
        <n v="14.560000000000002"/>
        <n v="165.12"/>
        <n v="513.8100000000001"/>
        <n v="2345.2"/>
        <n v="1868.46"/>
        <n v="742.53"/>
        <n v="158.27"/>
        <n v="1034.55"/>
        <n v="370.08"/>
        <n v="415.08"/>
        <n v="185.44"/>
        <n v="14298.75"/>
        <n v="10.9"/>
        <n v="3645.0"/>
        <n v="545.75"/>
        <n v="1991.9800000000002"/>
        <n v="1587.21"/>
        <n v="89.10000000000001"/>
        <n v="32.16"/>
        <n v="756.9"/>
        <n v="133.64"/>
        <n v="797.88"/>
        <n v="320.16"/>
        <n v="1005.8"/>
        <n v="1186.36"/>
        <n v="2475.9900000000002"/>
        <n v="10.99"/>
        <n v="704.72"/>
        <n v="778.3199999999999"/>
        <n v="398.4"/>
        <n v="116.13000000000001"/>
        <n v="252.7"/>
        <n v="397.44"/>
        <n v="516.0"/>
        <n v="670.77"/>
        <n v="345.78"/>
        <n v="215.16"/>
        <n v="9.24"/>
        <n v="126.73"/>
        <n v="569.08"/>
        <n v="1293.2399999999998"/>
        <n v="135.9"/>
        <n v="51.51"/>
        <n v="151.68"/>
        <n v="102.96"/>
        <n v="11775.23"/>
        <n v="40.589999999999996"/>
        <n v="184.8"/>
        <n v="118.80000000000001"/>
        <n v="184.67"/>
        <n v="419.15"/>
        <n v="36.720000000000006"/>
        <n v="136.32"/>
        <n v="612.5600000000001"/>
        <n v="218.44"/>
        <n v="78.53999999999999"/>
        <n v="306.90000000000003"/>
        <n v="723.24"/>
        <n v="762.8399999999999"/>
        <n v="343.0"/>
        <n v="19131.68"/>
        <n v="1063.3400000000001"/>
        <n v="2363.6800000000003"/>
        <n v="135.0"/>
        <n v="2412.0"/>
        <n v="273.98"/>
        <n v="1829.31"/>
        <n v="3172.4"/>
        <n v="192.96"/>
        <n v="290.49"/>
        <n v="5864.4"/>
        <n v="1491.8400000000001"/>
        <n v="291.54"/>
        <n v="3054.7400000000002"/>
        <n v="209.92"/>
        <n v="1597.8600000000001"/>
        <n v="2814.73"/>
        <n v="9941.94"/>
        <n v="20163.0"/>
        <n v="961.2"/>
        <n v="44.16"/>
        <n v="1865.6000000000001"/>
        <n v="537.93"/>
        <n v="884.66"/>
        <n v="180.0"/>
        <n v="108.36"/>
        <n v="66.33"/>
        <n v="264.16"/>
        <n v="34.16"/>
        <n v="24.32"/>
        <n v="115.13999999999999"/>
        <n v="81.92"/>
        <n v="207.4"/>
        <n v="375.92"/>
        <n v="31.5"/>
        <n v="13.75"/>
        <n v="527.17"/>
        <n v="78.88000000000001"/>
        <n v="965.52"/>
        <n v="146.29999999999998"/>
        <n v="25.48"/>
        <n v="1085.6"/>
        <n v="438.59999999999997"/>
        <n v="82.55"/>
        <n v="580.72"/>
        <n v="188.16000000000003"/>
        <n v="1440.8799999999999"/>
        <n v="234.6"/>
        <n v="52.56"/>
        <n v="633.6800000000001"/>
        <n v="102.30000000000001"/>
        <n v="105.84"/>
        <n v="5.61"/>
        <n v="583.12"/>
        <n v="336.38"/>
        <n v="387.59999999999997"/>
        <n v="55.68"/>
        <n v="108.0"/>
        <n v="739.05"/>
        <n v="767.9699999999999"/>
        <n v="999.41"/>
        <n v="81.51"/>
        <n v="318.78000000000003"/>
        <n v="819.5"/>
        <n v="245.92"/>
        <n v="878.4799999999999"/>
        <n v="624.8399999999999"/>
        <n v="1725.68"/>
        <n v="941.16"/>
        <n v="133.65"/>
        <n v="85.8"/>
        <n v="84.0"/>
        <n v="2837.65"/>
        <n v="131.84"/>
        <n v="20.37"/>
        <n v="202.51"/>
        <n v="280.33"/>
        <n v="412.08"/>
        <n v="220.79999999999998"/>
        <n v="200.96999999999997"/>
        <n v="977.34"/>
        <n v="1461.18"/>
        <n v="258.4"/>
        <n v="237.17999999999998"/>
        <n v="655.8199999999999"/>
        <n v="166.0"/>
        <n v="1281.06"/>
        <n v="169.48"/>
        <n v="164.73"/>
        <n v="1627.92"/>
        <n v="709.92"/>
        <n v="427.2"/>
        <n v="314.76"/>
        <n v="513.03"/>
        <n v="652.8"/>
        <n v="381.36"/>
        <n v="693.0"/>
        <n v="265.62"/>
        <n v="719.2800000000001"/>
        <n v="335.72"/>
        <n v="772.1999999999999"/>
        <n v="192.41"/>
        <n v="409.63000000000005"/>
        <n v="62.16"/>
        <n v="118.4"/>
        <n v="473.62"/>
        <n v="78.84"/>
        <n v="702.46"/>
        <n v="49.14"/>
        <n v="3971.76"/>
        <n v="178.48000000000002"/>
        <n v="1791.4199999999998"/>
        <n v="1094.21"/>
        <n v="1701.6999999999998"/>
        <n v="266.21999999999997"/>
        <n v="221.76"/>
        <n v="23.52"/>
        <n v="42.470000000000006"/>
        <n v="640.76"/>
        <n v="414.09999999999997"/>
        <n v="580.16"/>
        <n v="199.12"/>
        <n v="511.09999999999997"/>
        <n v="165.78"/>
        <n v="51.85"/>
        <n v="241.15"/>
        <n v="1275.06"/>
        <n v="519.06"/>
        <n v="367.64"/>
        <n v="63.580000000000005"/>
        <n v="182.25"/>
        <n v="1606.96"/>
        <n v="785.6600000000001"/>
        <n v="102.5"/>
        <n v="241.0"/>
        <n v="359.31"/>
        <n v="14.91"/>
        <n v="408.75"/>
        <n v="461.25"/>
        <n v="95.7"/>
        <n v="294.4"/>
        <n v="393.96"/>
        <n v="223.79999999999998"/>
        <n v="1458.24"/>
        <n v="194.48000000000002"/>
        <n v="962.66"/>
        <n v="1496.95"/>
        <n v="1356.48"/>
        <n v="94.5"/>
        <n v="346.15"/>
        <n v="311.64"/>
        <n v="-10.45"/>
        <n v="281.96000000000004"/>
        <n v="170.5"/>
        <n v="8.84"/>
        <n v="375.36"/>
        <n v="47.1"/>
        <n v="2102.5"/>
        <n v="163.08"/>
        <n v="1323.6299999999999"/>
        <n v="188.1"/>
        <n v="1167.81"/>
        <n v="913.0"/>
        <n v="32.72"/>
        <n v="1222.92"/>
        <n v="34.65"/>
        <n v="59.5"/>
        <n v="664.62"/>
        <n v="1345.89"/>
        <n v="879.63"/>
        <n v="4976.4"/>
        <n v="-25.36"/>
        <n v="1505.4"/>
        <n v="977.6"/>
        <n v="814.35"/>
        <n v="27.5"/>
        <n v="563.64"/>
        <n v="644.1"/>
        <n v="1411.92"/>
        <n v="3.66"/>
        <n v="709.12"/>
        <n v="142.6"/>
        <n v="1387.5000000000002"/>
        <n v="604.54"/>
        <n v="59.04"/>
        <n v="1602.48"/>
        <n v="561.6"/>
        <n v="604.01"/>
        <n v="179.52"/>
        <n v="1896.1799999999998"/>
        <n v="238.38000000000002"/>
        <n v="594.27"/>
        <n v="91.65"/>
        <n v="14.72"/>
        <n v="4.83"/>
        <n v="802.24"/>
        <n v="758.39"/>
        <n v="1106.07"/>
        <n v="1435.24"/>
        <n v="-12.56"/>
        <n v="1366.1499999999999"/>
        <n v="1003.9999999999999"/>
        <n v="2750.18"/>
        <n v="474.32"/>
        <n v="230.88"/>
        <n v="444.16"/>
        <n v="718.56"/>
        <n v="368.21999999999997"/>
        <n v="555.52"/>
        <n v="17.189999999999998"/>
        <n v="277.4"/>
        <n v="11.969999999999999"/>
        <n v="571.96"/>
        <n v="91.5"/>
        <n v="932.75"/>
        <n v="418.16999999999996"/>
        <n v="155.61"/>
        <n v="1159.1"/>
        <n v="1271.97"/>
        <n v="435.08"/>
        <n v="497.41999999999996"/>
        <n v="285.59999999999997"/>
        <n v="362.08"/>
        <n v="76.61"/>
        <n v="359.55"/>
        <n v="882.0"/>
        <n v="139.74"/>
        <n v="171.92000000000002"/>
        <n v="208.95000000000002"/>
        <n v="398.31"/>
        <n v="577.02"/>
        <n v="126.1"/>
        <n v="18.12"/>
        <n v="129.2"/>
        <n v="73.52999999999999"/>
        <n v="214.42"/>
        <n v="322.0"/>
        <n v="329.36"/>
        <n v="25.959999999999997"/>
        <n v="42.75"/>
        <n v="12.32"/>
        <n v="267.96"/>
        <n v="357.2"/>
        <n v="171.0"/>
        <n v="450.59000000000003"/>
        <n v="1012.8"/>
        <n v="476.56"/>
        <n v="872.1"/>
        <n v="3.12"/>
        <n v="1325.06"/>
        <n v="20.16"/>
        <n v="226.07999999999998"/>
        <n v="209.89"/>
        <n v="125.35000000000001"/>
        <n v="214.62"/>
        <n v="2.36"/>
        <n v="348.3"/>
        <n v="212.8"/>
        <n v="1994.72"/>
        <n v="1448.55"/>
        <n v="77.22"/>
        <n v="2103.6600000000003"/>
        <n v="338.03000000000003"/>
        <n v="444.21"/>
        <n v="19.52"/>
        <n v="242.22"/>
        <n v="660.65"/>
        <n v="18.64"/>
        <n v="525.69"/>
        <n v="176.29999999999998"/>
        <n v="182.03"/>
        <n v="244.42"/>
        <n v="398.25"/>
        <n v="1183.13"/>
        <n v="305.95"/>
        <n v="518.16"/>
        <n v="872.37"/>
        <n v="991.8"/>
        <n v="322.32"/>
        <n v="391.51"/>
        <n v="361.2"/>
        <n v="966.0"/>
        <n v="2521.48"/>
        <n v="461.68"/>
        <n v="417.2"/>
        <n v="750.5999999999999"/>
        <n v="769.5"/>
        <n v="306.28000000000003"/>
        <n v="3790.7999999999997"/>
        <n v="4569.04"/>
        <n v="589.9499999999999"/>
        <n v="234.07999999999998"/>
        <n v="1229.14"/>
        <n v="734.28"/>
        <n v="5723.55"/>
        <n v="1460.0"/>
        <n v="492.58000000000004"/>
        <n v="3868.9199999999996"/>
        <n v="664.3199999999999"/>
        <n v="16120.0"/>
        <n v="2601.54"/>
        <n v="894.6"/>
        <n v="107.84"/>
        <n v="79.3"/>
        <n v="5875.0"/>
        <n v="2300.4"/>
        <n v="4631.2"/>
        <n v="1113.9199999999998"/>
        <n v="3186.1"/>
        <n v="4666.41"/>
        <n v="1802.3999999999999"/>
        <n v="193.92999999999998"/>
        <n v="141.84"/>
        <n v="241.39999999999998"/>
        <n v="1471.26"/>
        <n v="3801.9"/>
        <n v="6699.96"/>
        <n v="1271.93"/>
        <n v="23.900000000000002"/>
        <n v="48.529999999999994"/>
        <n v="2167.0"/>
        <n v="817.44"/>
        <n v="2778.4"/>
        <n v="1126.9"/>
        <n v="168.24"/>
        <n v="2334.9"/>
        <n v="441.78"/>
        <n v="3173.56"/>
        <n v="1162.77"/>
        <n v="3774.44"/>
        <n v="3403.7999999999997"/>
        <n v="3108.6"/>
        <n v="1225.8999999999999"/>
        <n v="1052.76"/>
        <n v="1041.5900000000001"/>
        <n v="884.0799999999999"/>
        <n v="17.64"/>
        <n v="1427.8"/>
        <n v="-26.48"/>
        <n v="2486.4"/>
        <n v="1934.6000000000001"/>
        <n v="477.66"/>
        <n v="2646.23"/>
        <n v="56.25"/>
        <n v="419.07"/>
        <n v="64.17"/>
        <n v="267.72"/>
        <n v="387.6"/>
        <n v="2024.4599999999998"/>
        <n v="727.62"/>
        <n v="1882.5"/>
        <n v="598.5600000000001"/>
        <n v="1081.6000000000001"/>
        <n v="337.99"/>
        <n v="1374.45"/>
        <n v="383.68"/>
        <n v="224.66000000000003"/>
        <n v="783.24"/>
        <n v="3378.6400000000003"/>
        <n v="3434.65"/>
        <n v="2263.2599999999998"/>
        <n v="186.76000000000002"/>
        <n v="574.74"/>
        <n v="416.06"/>
        <n v="1529.5500000000002"/>
        <n v="1420.65"/>
        <n v="216.66"/>
        <n v="1941.0300000000002"/>
        <n v="440.0"/>
        <n v="625.6700000000001"/>
        <n v="518.01"/>
        <n v="1028.85"/>
        <n v="1769.85"/>
        <n v="1284.64"/>
        <n v="231.83999999999997"/>
        <n v="313.2"/>
        <n v="270.48"/>
        <n v="110.16"/>
        <n v="2030.4"/>
        <n v="251.71999999999997"/>
        <n v="366.72999999999996"/>
        <n v="355.67999999999995"/>
        <n v="2149.29"/>
        <n v="1375.92"/>
        <n v="283.42"/>
        <n v="98.49"/>
        <n v="75.04"/>
        <n v="169.06"/>
        <n v="235.03999999999996"/>
        <n v="33.82"/>
        <n v="22.5"/>
        <n v="101.52"/>
        <n v="629.8499999999999"/>
        <n v="375.39000000000004"/>
        <n v="826.2"/>
        <n v="610.08"/>
        <n v="624.24"/>
        <n v="290.28999999999996"/>
        <n v="971.52"/>
        <n v="1583.04"/>
        <n v="838.8000000000001"/>
        <n v="393.39"/>
        <n v="1037.3999999999999"/>
        <n v="289.98"/>
        <n v="523.24"/>
        <n v="767.8199999999999"/>
        <n v="1030.37"/>
        <n v="138.38"/>
        <n v="536.36"/>
        <n v="175.2"/>
        <n v="164.16"/>
        <n v="381.15000000000003"/>
        <n v="372.29999999999995"/>
        <n v="162.52"/>
        <n v="167.5"/>
        <n v="102.86"/>
        <n v="2267.08"/>
        <n v="604.2"/>
        <n v="199.0"/>
        <n v="558.36"/>
        <n v="405.24"/>
        <n v="17.849999999999998"/>
        <n v="647.98"/>
        <n v="739.75"/>
        <n v="257.59999999999997"/>
        <n v="900.48"/>
        <n v="753.48"/>
        <n v="559.73"/>
        <n v="241.19"/>
        <n v="498.33"/>
        <n v="302.40000000000003"/>
        <n v="921.5999999999999"/>
        <n v="41.58"/>
        <n v="167.04"/>
        <n v="475.02"/>
        <n v="2456.3"/>
        <n v="2389.86"/>
        <n v="861.04"/>
        <n v="1655.81"/>
        <n v="327.85"/>
        <n v="1358.45"/>
        <n v="241.49999999999997"/>
        <n v="1571.76"/>
        <n v="403.34"/>
        <n v="4602.72"/>
        <n v="2475.0"/>
        <n v="1206.72"/>
        <n v="1500.7900000000002"/>
        <n v="6973.2"/>
        <n v="9152.119999999999"/>
        <n v="4843.2"/>
        <n v="7882.56"/>
        <n v="4955.68"/>
        <n v="211.89"/>
        <n v="887.2"/>
        <n v="572.4000000000001"/>
        <n v="1867.55"/>
        <n v="276.25"/>
        <n v="673.62"/>
        <n v="345.34000000000003"/>
        <n v="34.92"/>
        <n v="2929.8"/>
        <n v="780.8000000000001"/>
        <n v="3609.98"/>
        <n v="5223.4"/>
        <n v="3638.8799999999997"/>
        <n v="8446.68"/>
        <n v="3387.5"/>
        <n v="3147.81"/>
        <n v="757.4399999999999"/>
        <n v="4433.9400000000005"/>
        <n v="1920.4199999999998"/>
        <n v="4.54"/>
        <n v="3324.15"/>
        <n v="464.79999999999995"/>
        <n v="310.08"/>
        <n v="2854.1800000000003"/>
        <n v="3774.56"/>
        <n v="3868.0299999999997"/>
        <n v="763.1999999999999"/>
        <n v="1899.8000000000002"/>
        <n v="5.8"/>
        <n v="1192.6200000000001"/>
        <n v="3388.7000000000003"/>
        <n v="351.56"/>
        <n v="1511.78"/>
        <n v="931.8400000000001"/>
        <n v="233.82"/>
        <n v="124.74000000000001"/>
        <n v="-3.99"/>
        <n v="1580.6699999999998"/>
        <n v="161.98000000000002"/>
        <n v="2840.5299999999997"/>
        <n v="4643.12"/>
        <n v="324.3"/>
        <n v="572.24"/>
        <n v="5853.31"/>
        <n v="1846.8000000000002"/>
        <n v="1591.76"/>
        <n v="5059.9400000000005"/>
        <n v="785.0100000000001"/>
        <n v="644.38"/>
        <n v="2685.7599999999998"/>
        <n v="2460.15"/>
        <n v="239.4"/>
        <n v="1174.1599999999999"/>
        <n v="1941.77"/>
        <n v="2102.66"/>
        <n v="1525.6799999999998"/>
        <n v="12825.160000000002"/>
        <n v="33640.04"/>
        <n v="7300.66"/>
        <n v="1618.03"/>
        <n v="1342.0"/>
        <n v="1296.3600000000001"/>
        <n v="4039.09"/>
        <n v="2582.2999999999997"/>
        <n v="2116.7999999999997"/>
        <n v="3821.4"/>
        <n v="3028.0800000000004"/>
        <n v="612.17"/>
        <n v="5033.01"/>
        <n v="4541.04"/>
        <n v="136.22"/>
        <n v="1191.1599999999999"/>
        <n v="5363.740000000001"/>
        <n v="1426.41"/>
        <n v="4040.2799999999997"/>
        <n v="114.07"/>
        <n v="3103.1000000000004"/>
        <n v="5509.450000000001"/>
        <n v="1760.3000000000002"/>
        <n v="2783.8900000000003"/>
        <n v="464.20000000000005"/>
        <n v="551.26"/>
        <n v="870.87"/>
        <n v="3109.85"/>
        <n v="3238.04"/>
        <n v="5062.22"/>
        <n v="55.2"/>
        <n v="2516.58"/>
        <n v="577.5"/>
        <n v="4038.54"/>
        <n v="361.27000000000004"/>
        <n v="110.46"/>
        <n v="1124.55"/>
        <n v="1239.04"/>
        <n v="3802.5"/>
        <n v="2623.5"/>
        <n v="2290.3"/>
        <n v="2439.25"/>
        <n v="2031.75"/>
        <n v="1136.46"/>
        <n v="628.11"/>
        <n v="1389.02"/>
        <n v="79.24000000000001"/>
        <n v="1143.28"/>
        <n v="6645.0599999999995"/>
        <n v="3548.25"/>
        <n v="2190.18"/>
        <n v="3144.0"/>
        <n v="243.97"/>
        <n v="82.0"/>
        <n v="2549.24"/>
        <n v="461.13"/>
        <n v="261.36"/>
        <n v="7330.28"/>
        <n v="11917.619999999999"/>
        <n v="1759.52"/>
        <n v="560.4499999999999"/>
        <n v="2070.6"/>
        <n v="2460.68"/>
        <n v="401.28"/>
        <n v="362.7"/>
        <n v="3774.2000000000003"/>
        <n v="24.44"/>
        <n v="983.3299999999999"/>
        <n v="3074.58"/>
        <n v="91.44"/>
        <n v="2879.55"/>
        <n v="463.97999999999996"/>
        <n v="2194.47"/>
        <n v="3430.59"/>
        <n v="4153.6"/>
        <n v="2496.9"/>
        <n v="866.8"/>
        <n v="132.37"/>
        <n v="4117.92"/>
        <n v="59.36"/>
        <n v="649.6"/>
        <n v="843.1800000000001"/>
        <n v="7.89"/>
        <n v="2825.52"/>
        <n v="523.75"/>
        <n v="2255.15"/>
        <n v="2330.82"/>
        <n v="1904.8200000000002"/>
        <n v="3048.26"/>
        <n v="758.03"/>
        <n v="1080.7199999999998"/>
        <n v="1018.54"/>
        <n v="1863.33"/>
        <n v="1254.4"/>
        <n v="1062.65"/>
        <n v="463.98"/>
        <n v="4253.13"/>
        <n v="2844.0299999999997"/>
        <n v="1287.31"/>
        <n v="6672.12"/>
        <n v="172.76999999999998"/>
        <n v="367.01000000000005"/>
        <n v="558.08"/>
        <n v="390.15000000000003"/>
        <n v="81.83"/>
        <n v="13.780000000000001"/>
        <n v="518.0"/>
        <n v="62.099999999999994"/>
        <n v="522.74"/>
        <n v="377.58"/>
        <n v="319.2"/>
        <n v="44.73"/>
        <n v="343.87"/>
        <n v="1890.0000000000002"/>
        <n v="546.96"/>
        <n v="335.15999999999997"/>
        <n v="280.8"/>
        <n v="394.71"/>
        <n v="295.79999999999995"/>
        <n v="203.0"/>
        <n v="79.97"/>
        <n v="12.36"/>
        <n v="92.95"/>
        <n v="4.72"/>
        <n v="116.56"/>
        <n v="27.540000000000003"/>
        <n v="783.76"/>
        <n v="128.82"/>
        <n v="115.61999999999999"/>
        <n v="186.9"/>
        <n v="510.3"/>
        <n v="27.810000000000002"/>
        <n v="315.0"/>
        <n v="5357.36"/>
        <n v="101.00999999999999"/>
        <n v="1694.0"/>
        <n v="314.6"/>
        <n v="196.01999999999998"/>
        <n v="140.0"/>
        <n v="216.24"/>
        <n v="317.53000000000003"/>
        <n v="1513.05"/>
        <n v="123.97"/>
        <n v="637.2600000000001"/>
        <n v="10.2"/>
        <n v="109.89999999999999"/>
        <n v="1015.72"/>
        <n v="709.8000000000001"/>
        <n v="59.52"/>
        <n v="9.520000000000001"/>
        <n v="578.34"/>
        <n v="81.42"/>
        <n v="314.11"/>
        <n v="79.35"/>
        <n v="542.66"/>
        <n v="235.72"/>
        <n v="269.7"/>
        <n v="143.1"/>
        <n v="407.34000000000003"/>
        <n v="78.28"/>
        <n v="582.98"/>
        <n v="807.84"/>
        <n v="282.5"/>
        <n v="163.35"/>
        <n v="547.68"/>
        <n v="148.68"/>
        <n v="697.6800000000001"/>
        <n v="777.79"/>
        <n v="124.19999999999999"/>
        <n v="199.49999999999997"/>
        <n v="0.66"/>
        <n v="1071.6299999999999"/>
        <n v="217.56"/>
        <n v="785.6"/>
        <n v="552.66"/>
        <n v="37.24"/>
        <n v="367.5"/>
        <n v="410.31"/>
        <n v="503.72999999999996"/>
        <n v="436.32"/>
        <n v="139.23"/>
        <n v="277.2"/>
        <n v="775.1999999999999"/>
        <n v="316.26"/>
        <n v="651.78"/>
        <n v="487.35"/>
        <n v="378.75"/>
        <n v="794.75"/>
        <n v="1294.47"/>
        <n v="824.67"/>
        <n v="16.72"/>
        <n v="763.2"/>
        <n v="3848.26"/>
        <n v="257.21000000000004"/>
        <n v="1400.63"/>
        <n v="845.01"/>
        <n v="979.44"/>
        <n v="2137.12"/>
        <n v="1064.81"/>
        <n v="373.23999999999995"/>
        <n v="274.56"/>
        <n v="388.96"/>
        <n v="229.84"/>
        <n v="814.8000000000001"/>
        <n v="171.20000000000002"/>
        <n v="5054.23"/>
        <n v="405.84000000000003"/>
        <n v="495.72"/>
        <n v="315.06"/>
        <n v="905.17"/>
        <n v="1560.8999999999999"/>
        <n v="693.16"/>
        <n v="667.26"/>
        <n v="254.66000000000003"/>
        <n v="1595.5"/>
        <n v="300.7"/>
        <n v="329.18"/>
        <n v="1295.1899999999998"/>
        <n v="19.18"/>
        <n v="871.85"/>
        <n v="306.68"/>
        <n v="395.2"/>
        <n v="1483.4699999999998"/>
        <n v="55.800000000000004"/>
        <n v="193.20000000000002"/>
        <n v="92.88"/>
        <n v="247.95"/>
        <n v="1278.1799999999998"/>
        <n v="121.44"/>
        <n v="1243.32"/>
        <n v="960.3000000000001"/>
        <n v="106.02"/>
        <n v="95.78999999999999"/>
        <n v="153.6"/>
        <n v="64.38"/>
        <n v="9.45"/>
        <n v="237.79999999999998"/>
        <n v="401.94"/>
        <n v="256.8"/>
        <n v="263.84"/>
        <n v="1360.52"/>
        <n v="87.75"/>
        <n v="1324.4399999999998"/>
        <n v="655.59"/>
        <n v="240.0"/>
        <n v="423.13"/>
        <n v="178.56"/>
        <n v="27.54"/>
        <n v="2502.2999999999997"/>
        <n v="44.0"/>
        <n v="400.96000000000004"/>
        <n v="3079.44"/>
        <n v="592.02"/>
        <n v="43.66"/>
        <n v="248.39999999999998"/>
        <n v="198.23999999999998"/>
        <n v="37.74"/>
        <n v="28.71"/>
        <n v="1279.67"/>
        <n v="435.31"/>
        <n v="385.40000000000003"/>
        <n v="626.08"/>
        <n v="108.99"/>
        <n v="483.26"/>
        <n v="451.56"/>
        <n v="19.24"/>
        <n v="705.84"/>
        <n v="28.380000000000003"/>
        <n v="364.71999999999997"/>
        <n v="745.49"/>
        <n v="407.74"/>
        <n v="526.89"/>
        <n v="-2.84"/>
        <n v="35.35"/>
        <n v="320.65"/>
        <n v="178.54"/>
        <n v="270.2"/>
        <n v="129.21"/>
        <n v="718.18"/>
        <n v="470.67999999999995"/>
        <n v="556.87"/>
        <n v="841.6"/>
        <n v="271.56"/>
        <n v="312.24"/>
        <n v="393.12"/>
        <n v="458.85"/>
        <n v="245.28"/>
        <n v="681.2099999999999"/>
        <n v="179.07"/>
        <n v="2488.2"/>
        <n v="843.7800000000001"/>
        <n v="82.28"/>
        <n v="374.21999999999997"/>
        <n v="849.72"/>
        <n v="1006.5600000000001"/>
        <n v="641.55"/>
        <n v="1188.64"/>
        <n v="2337.1200000000003"/>
        <n v="-33.300000000000004"/>
        <n v="1772.43"/>
        <n v="39.1"/>
        <n v="2148.26"/>
        <n v="4135.8"/>
        <n v="2586.21"/>
        <n v="1155.06"/>
        <n v="266.90999999999997"/>
        <n v="830.79"/>
        <n v="1593.15"/>
        <n v="348.14"/>
        <n v="167.32"/>
        <n v="465.12"/>
        <n v="1863.72"/>
        <n v="99.96"/>
        <n v="187.53"/>
        <n v="312.0"/>
        <n v="30.400000000000002"/>
        <n v="180.77999999999997"/>
        <n v="82.2"/>
        <n v="144.72"/>
        <n v="329.16"/>
        <n v="211.46"/>
        <n v="470.88000000000005"/>
        <n v="444.03"/>
        <n v="782.3100000000001"/>
        <n v="477.90000000000003"/>
        <n v="97.2"/>
        <n v="1443.24"/>
        <n v="1799.49"/>
        <n v="83.5"/>
        <n v="168.63"/>
        <n v="1671.3999999999999"/>
        <n v="321.44000000000005"/>
        <n v="1279.74"/>
        <n v="755.2199999999999"/>
        <n v="1660.23"/>
        <n v="292.52"/>
        <n v="2044.74"/>
        <n v="113.14999999999999"/>
        <n v="807.72"/>
        <n v="309.43"/>
        <n v="66.96000000000001"/>
        <n v="516.12"/>
        <n v="116.84"/>
        <n v="1074.64"/>
        <n v="274.68"/>
        <n v="163.01999999999998"/>
        <n v="475.61"/>
        <n v="1084.71"/>
        <n v="725.7600000000001"/>
        <n v="372.36"/>
        <n v="1100.0500000000002"/>
        <n v="293.46"/>
        <n v="1831.94"/>
        <n v="250.48"/>
        <n v="303.02000000000004"/>
        <n v="1466.4499999999998"/>
        <n v="-4.66"/>
        <n v="189.06"/>
        <n v="604.1999999999999"/>
        <n v="49.559999999999995"/>
        <n v="162.8"/>
        <n v="244.52999999999997"/>
        <n v="121.89"/>
        <n v="288.0"/>
        <n v="685.2900000000001"/>
        <n v="1924.64"/>
        <n v="132.72"/>
        <n v="147.44"/>
        <n v="594.44"/>
        <n v="152.57"/>
        <n v="1614.99"/>
        <n v="184.79999999999998"/>
        <n v="1787.76"/>
        <n v="897.6"/>
        <n v="609.4"/>
        <n v="1328.94"/>
        <n v="349.92"/>
        <n v="1072.5"/>
        <n v="320.91999999999996"/>
        <n v="1354.5600000000002"/>
        <n v="1506.72"/>
        <n v="361.90000000000003"/>
        <n v="758.18"/>
        <n v="19.74"/>
        <n v="52.64"/>
        <n v="624.8100000000001"/>
        <n v="529.42"/>
        <n v="107.80000000000001"/>
        <n v="924.43"/>
        <n v="209.54999999999998"/>
        <n v="1791.24"/>
        <n v="43.92"/>
        <n v="28.860000000000003"/>
        <n v="1328.55"/>
        <n v="760.2"/>
        <n v="236.0"/>
        <n v="611.0"/>
        <n v="594.96"/>
        <n v="218.25"/>
        <n v="27.240000000000002"/>
        <n v="576.0"/>
        <n v="1016.4"/>
        <n v="41.76"/>
        <n v="359.05"/>
        <n v="260.15"/>
        <n v="1293.81"/>
        <n v="1692.8000000000002"/>
        <n v="919.1"/>
        <n v="635.46"/>
        <n v="103.4"/>
        <n v="133.7"/>
        <n v="481.08"/>
        <n v="608.36"/>
        <n v="422.16999999999996"/>
        <n v="399.3"/>
        <n v="809.19"/>
        <n v="77.80999999999999"/>
        <n v="416.50000000000006"/>
        <n v="125.12"/>
        <n v="277.92"/>
        <n v="284.96000000000004"/>
        <n v="327.42"/>
        <n v="1212.6"/>
        <n v="497.12"/>
        <n v="449.15999999999997"/>
        <n v="448.26000000000005"/>
        <n v="798.38"/>
        <n v="557.26"/>
        <n v="1328.9399999999998"/>
        <n v="463.05"/>
        <n v="16.17"/>
        <n v="105.78"/>
        <n v="51.36"/>
        <n v="58.14"/>
        <n v="620.6"/>
        <n v="209.23000000000002"/>
        <n v="122.99999999999999"/>
        <n v="768.14"/>
        <n v="1111.3600000000001"/>
        <n v="879.58"/>
        <n v="634.3100000000001"/>
        <n v="1112.22"/>
        <n v="116.25"/>
        <n v="590.32"/>
        <n v="647.52"/>
        <n v="1354.0800000000002"/>
        <n v="77.35"/>
        <n v="1358.64"/>
        <n v="176.29000000000002"/>
        <n v="261.63"/>
        <n v="19.36"/>
        <n v="26.82"/>
        <n v="550.8000000000001"/>
        <n v="887.3599999999999"/>
        <n v="940.8"/>
        <n v="71.39999999999999"/>
        <n v="634.97"/>
        <n v="206.5"/>
        <n v="618.4499999999999"/>
        <n v="640.0"/>
        <n v="134.42"/>
        <n v="251.92000000000002"/>
        <n v="2652.99"/>
        <n v="1088.82"/>
        <n v="40.37"/>
        <n v="943.48"/>
        <n v="2520.7999999999997"/>
        <n v="2793.9"/>
        <n v="2174.67"/>
        <n v="80.96"/>
        <n v="1392.64"/>
        <n v="1208.8799999999999"/>
        <n v="1075.67"/>
        <n v="591.6899999999999"/>
        <n v="3085.74"/>
        <n v="747.5"/>
        <n v="65.8"/>
        <n v="7.26"/>
        <n v="80.5"/>
        <n v="1539.24"/>
        <n v="619.12"/>
        <n v="5.96"/>
        <n v="222.64"/>
        <n v="1.14"/>
        <n v="325.04"/>
        <n v="121.79999999999998"/>
        <n v="938.91"/>
        <n v="104.80000000000001"/>
        <n v="95.69999999999999"/>
        <n v="918.74"/>
        <n v="652.8000000000001"/>
        <n v="903.5999999999999"/>
        <n v="17.37"/>
        <n v="1385.3799999999999"/>
        <n v="169.0"/>
        <n v="606.0"/>
        <n v="315.98"/>
        <n v="1142.3400000000001"/>
        <n v="1670.97"/>
        <n v="31.32"/>
        <n v="368.15000000000003"/>
        <n v="1980.1599999999999"/>
        <n v="655.3499999999999"/>
        <n v="124.56"/>
        <n v="5.37"/>
        <n v="1148.51"/>
        <n v="4764.639999999999"/>
        <n v="772.6800000000001"/>
        <n v="36.82"/>
        <n v="2839.72"/>
        <n v="522.88"/>
        <n v="296.79999999999995"/>
        <n v="76.5"/>
        <n v="280.23999999999995"/>
        <n v="270.68"/>
        <n v="215.07000000000002"/>
        <n v="591.8000000000001"/>
        <n v="120.96000000000001"/>
        <n v="150.06"/>
        <n v="289.79999999999995"/>
        <n v="2214.72"/>
        <n v="276.52"/>
        <n v="946.0500000000001"/>
        <n v="121.39"/>
        <n v="1412.1299999999999"/>
        <n v="1053.36"/>
        <n v="923.79"/>
        <n v="705.33"/>
        <n v="1319.08"/>
        <n v="-8.040000000000001"/>
        <n v="111.60000000000001"/>
        <n v="14.25"/>
        <n v="235.4"/>
        <n v="297.92"/>
        <n v="28.0"/>
        <n v="394.5"/>
        <n v="295.32"/>
        <n v="12.0"/>
        <n v="565.8"/>
        <n v="1347.5"/>
        <n v="815.76"/>
        <n v="496.91999999999996"/>
        <n v="373.65999999999997"/>
        <n v="49.49"/>
        <n v="1010.1"/>
        <n v="976.8000000000001"/>
        <n v="314.16"/>
        <n v="98.28"/>
        <n v="168.92000000000002"/>
        <n v="312.48"/>
        <n v="50.83"/>
        <n v="14.14"/>
        <n v="654.94"/>
        <n v="713.6999999999999"/>
        <n v="648.21"/>
        <n v="1059.99"/>
        <n v="54.18"/>
        <n v="769.64"/>
        <n v="244.75"/>
        <n v="151.89000000000001"/>
        <n v="-13.96"/>
        <n v="117.6"/>
        <n v="-0.84"/>
        <n v="77.83"/>
        <n v="688.2"/>
        <n v="706.75"/>
        <n v="120.69999999999999"/>
        <n v="1409.4"/>
        <n v="555.5200000000001"/>
        <n v="948.6"/>
        <n v="6435.44"/>
        <n v="927.1"/>
        <n v="61.050000000000004"/>
        <n v="226.95"/>
        <n v="123.48"/>
        <n v="83.64"/>
        <n v="1115.52"/>
        <n v="372.04"/>
        <n v="1511.4"/>
        <n v="27.3"/>
        <n v="108.47999999999999"/>
        <n v="650.2099999999999"/>
        <n v="58.300000000000004"/>
        <n v="372.11"/>
        <n v="441.18"/>
        <n v="1064.8"/>
        <n v="1425.06"/>
        <n v="558.4"/>
        <n v="48.6"/>
        <n v="184.86"/>
        <n v="1152.18"/>
        <n v="226.05"/>
        <n v="148.19"/>
        <n v="105.21"/>
        <n v="1240.16"/>
        <n v="820.15"/>
        <n v="125.28"/>
        <n v="324.82000000000005"/>
        <n v="166.25"/>
        <n v="113.46000000000001"/>
        <n v="1345.62"/>
        <n v="643.77"/>
        <n v="277.76"/>
        <n v="607.86"/>
        <n v="118.34"/>
        <n v="-1.88"/>
        <n v="1172.3600000000001"/>
        <n v="122.31"/>
        <n v="1492.1100000000001"/>
        <n v="842.0300000000001"/>
        <n v="294.59000000000003"/>
        <n v="761.27"/>
        <n v="1015.0"/>
        <n v="148.35"/>
        <n v="11.850000000000001"/>
        <n v="943.9300000000001"/>
        <n v="149.76"/>
        <n v="367.68"/>
        <n v="755.82"/>
        <n v="958.64"/>
        <n v="46.5"/>
        <n v="137.46"/>
        <n v="171.36"/>
        <n v="172.70000000000002"/>
        <n v="443.75"/>
        <n v="135.42000000000002"/>
        <n v="180.2"/>
        <n v="717.0999999999999"/>
        <n v="133.38"/>
        <n v="161.25"/>
        <n v="394.4"/>
        <n v="16.099999999999998"/>
        <n v="1024.6000000000001"/>
        <n v="6932.64"/>
        <n v="2922.02"/>
        <n v="671.59"/>
        <n v="535.62"/>
        <n v="1054.0"/>
        <n v="311.21999999999997"/>
        <n v="364.17"/>
        <n v="606.4"/>
        <n v="178.20999999999998"/>
        <n v="53.01"/>
        <n v="1254.51"/>
        <n v="249.39999999999998"/>
        <n v="2218.44"/>
        <n v="531.24"/>
        <n v="214.06"/>
        <n v="695.8"/>
        <n v="254.38000000000002"/>
        <n v="881.9200000000001"/>
        <n v="1269.0"/>
        <n v="1253.78"/>
        <n v="54.0"/>
        <n v="73.96"/>
        <n v="565.23"/>
        <n v="3144.57"/>
        <n v="1776.0600000000002"/>
        <n v="238.5"/>
        <n v="681.2"/>
        <n v="2954.6"/>
        <n v="1012.91"/>
        <n v="249.60000000000002"/>
        <n v="836.55"/>
        <n v="1186.27"/>
        <n v="799.68"/>
        <n v="1046.3799999999999"/>
        <n v="274.16"/>
        <n v="372.6"/>
        <n v="2571.7599999999998"/>
        <n v="3727.15"/>
        <n v="2018.2799999999997"/>
        <n v="416.34"/>
        <n v="56.55"/>
        <n v="484.12"/>
        <n v="359.84000000000003"/>
        <n v="474.0"/>
        <n v="1775.5500000000002"/>
        <n v="2576.64"/>
        <n v="678.0"/>
        <n v="80.03999999999999"/>
        <n v="187.04000000000002"/>
        <n v="2110.47"/>
        <n v="460.84"/>
        <n v="497.14000000000004"/>
        <n v="582.4499999999999"/>
        <n v="740.5999999999999"/>
        <n v="1495.2"/>
        <n v="9.06"/>
        <n v="786.21"/>
        <n v="88.74"/>
        <n v="2498.52"/>
        <n v="143.5"/>
        <n v="304.0"/>
        <n v="403.17"/>
        <n v="12.24"/>
        <n v="1021.67"/>
        <n v="3257.55"/>
        <n v="196.0"/>
        <n v="663.52"/>
        <n v="165.85000000000002"/>
        <n v="325.28000000000003"/>
        <n v="479.25"/>
        <n v="199.76"/>
        <n v="3186.2"/>
        <n v="830.4"/>
        <n v="512.24"/>
        <n v="20.07"/>
        <n v="537.6"/>
        <n v="149.70000000000002"/>
        <n v="616.5"/>
        <n v="420.67"/>
        <n v="550.47"/>
        <n v="2133.33"/>
        <n v="1649.89"/>
        <n v="579.36"/>
        <n v="1148.0"/>
        <n v="134.28"/>
        <n v="153.34"/>
        <n v="251.85999999999999"/>
        <n v="602.58"/>
        <n v="59.4"/>
        <n v="109.22"/>
        <n v="44.03"/>
        <n v="596.1600000000001"/>
        <n v="394.11"/>
        <n v="385.35"/>
        <n v="88.44"/>
        <n v="647.6800000000001"/>
        <n v="369.0"/>
        <n v="434.66"/>
        <n v="13.200000000000001"/>
        <n v="51.68000000000001"/>
        <n v="1428.3000000000002"/>
        <n v="52.0"/>
        <n v="11.16"/>
        <n v="490.21"/>
        <n v="92.88000000000001"/>
        <n v="729.4300000000001"/>
        <n v="440.82"/>
        <n v="733.04"/>
        <n v="1532.8"/>
        <n v="250.16000000000003"/>
        <n v="70.08"/>
        <n v="486.33000000000004"/>
        <n v="914.08"/>
        <n v="144.20999999999998"/>
        <n v="875.4300000000001"/>
        <n v="204.17999999999998"/>
        <n v="798.72"/>
        <n v="267.8"/>
        <n v="2058.8199999999997"/>
        <n v="12.7"/>
        <n v="178.35"/>
        <n v="62.9"/>
        <n v="46.059999999999995"/>
        <n v="957.5999999999999"/>
        <n v="21.28"/>
        <n v="127.26"/>
        <n v="100.35"/>
        <n v="465.9200000000001"/>
        <n v="1006.88"/>
        <n v="124.11999999999999"/>
        <n v="2665.8399999999997"/>
        <n v="219.23999999999998"/>
        <n v="342.86"/>
        <n v="12087.53"/>
        <n v="7053.660000000001"/>
        <n v="729.5600000000001"/>
        <n v="23.88"/>
        <n v="1096.91"/>
        <n v="55.44"/>
        <n v="6.87"/>
        <n v="1009.69"/>
        <n v="210.32"/>
        <n v="1252.4"/>
        <n v="503.09999999999997"/>
        <n v="1315.84"/>
        <n v="1167.3500000000001"/>
        <n v="623.0999999999999"/>
        <n v="327.84"/>
        <n v="438.78"/>
        <n v="240.16"/>
        <n v="289.44"/>
        <n v="255.20999999999998"/>
        <n v="374.4"/>
        <n v="212.35000000000002"/>
        <n v="1873.3200000000002"/>
        <n v="500.07000000000005"/>
        <n v="355.5"/>
        <n v="463.73999999999995"/>
        <n v="1448.18"/>
        <n v="82.28999999999999"/>
        <n v="375.24"/>
        <n v="252.84"/>
        <n v="718.08"/>
        <n v="1170.3"/>
        <n v="729.54"/>
        <n v="1386.8999999999999"/>
        <n v="275.5"/>
        <n v="72.35999999999999"/>
        <n v="80.77"/>
        <n v="4292.0"/>
        <n v="1311.3799999999999"/>
        <n v="15133.95"/>
        <n v="5127.72"/>
        <n v="175.6"/>
        <n v="2337.73"/>
        <n v="5925.19"/>
        <n v="423.35999999999996"/>
        <n v="6352.5"/>
        <n v="1553.24"/>
        <n v="5444.400000000001"/>
        <n v="2661.91"/>
        <n v="667.58"/>
        <n v="1751.0"/>
        <n v="2369.0"/>
        <n v="3454.2000000000003"/>
        <n v="62.48"/>
        <n v="218.66"/>
        <n v="211.58"/>
        <n v="3885.0499999999997"/>
        <n v="3601.0"/>
        <n v="1654.3400000000001"/>
        <n v="3774.68"/>
        <n v="447.48"/>
        <n v="1995.0"/>
        <n v="255.50000000000003"/>
        <n v="1072.57"/>
        <n v="4.92"/>
        <n v="683.1999999999999"/>
        <n v="97.0"/>
        <n v="489.70000000000005"/>
        <n v="267.86"/>
        <n v="750.26"/>
        <n v="839.8"/>
        <n v="1654.67"/>
        <n v="847.47"/>
        <n v="3751.02"/>
        <n v="1453.44"/>
        <n v="3167.06"/>
        <n v="694.52"/>
        <n v="2139.62"/>
        <n v="5.97"/>
        <n v="329.51"/>
        <n v="1272.0"/>
        <n v="88.35"/>
        <n v="924.18"/>
        <n v="631.14"/>
        <n v="699.27"/>
        <n v="129.96"/>
        <n v="288.77"/>
        <n v="1770.72"/>
        <n v="3503.2200000000003"/>
        <n v="657.36"/>
        <n v="1766.3999999999999"/>
        <n v="311.75"/>
        <n v="1872.78"/>
        <n v="24.08"/>
        <n v="4025.22"/>
        <n v="6679.679999999999"/>
        <n v="5750.139999999999"/>
        <n v="330.46"/>
        <n v="1312.07"/>
        <n v="1796.8300000000002"/>
        <n v="83.97"/>
        <n v="806.52"/>
        <n v="1662.16"/>
        <n v="1118.24"/>
        <n v="2774.58"/>
        <n v="2412.27"/>
        <n v="446.0"/>
        <n v="3019.2799999999997"/>
        <n v="182.49"/>
        <n v="298.45"/>
        <n v="670.4799999999999"/>
        <n v="450.95"/>
        <n v="843.37"/>
        <n v="937.9499999999999"/>
        <n v="896.4399999999999"/>
        <n v="156.1"/>
        <n v="4329.57"/>
        <n v="122.15"/>
        <n v="1047.28"/>
        <n v="2903.58"/>
        <n v="236.51"/>
        <n v="4704.5599999999995"/>
        <n v="820.52"/>
        <n v="18.330000000000002"/>
        <n v="307.22999999999996"/>
        <n v="149.04"/>
        <n v="2959.6"/>
        <n v="877.5"/>
        <n v="238.26"/>
        <n v="800.8000000000001"/>
        <n v="3972.1200000000003"/>
        <n v="217.74"/>
        <n v="488.8"/>
        <n v="1007.3399999999999"/>
        <n v="1617.96"/>
        <n v="2560.82"/>
        <n v="1089.16"/>
        <n v="2445.9500000000003"/>
        <n v="3897.6"/>
        <n v="1579.9399999999998"/>
        <n v="1013.0400000000001"/>
        <n v="475.73"/>
        <n v="365.68"/>
        <n v="1860.45"/>
        <n v="601.75"/>
        <n v="1561.1399999999999"/>
        <n v="3313.5899999999997"/>
        <n v="117.53"/>
        <n v="8.02"/>
        <n v="1478.46"/>
        <n v="860.16"/>
        <n v="1577.28"/>
        <n v="5178.900000000001"/>
        <n v="4507.9"/>
        <n v="210.71999999999997"/>
        <n v="489.53999999999996"/>
        <n v="928.4"/>
        <n v="270.47999999999996"/>
        <n v="913.25"/>
        <n v="1843.8"/>
        <n v="4617.84"/>
        <n v="1598.4"/>
        <n v="894.0400000000001"/>
        <n v="286.0"/>
        <n v="1669.1200000000001"/>
        <n v="1996.44"/>
        <n v="1463.0"/>
        <n v="1591.23"/>
        <n v="165.98"/>
        <n v="2037.76"/>
        <n v="49.95"/>
        <n v="411.08000000000004"/>
        <n v="1047.1000000000001"/>
        <n v="171.6"/>
        <n v="1207.16"/>
        <n v="217.08"/>
        <n v="253.4"/>
        <n v="2551.02"/>
        <n v="4391.28"/>
        <n v="20.8"/>
        <n v="634.4"/>
        <n v="613.7600000000001"/>
        <n v="1366.1999999999998"/>
        <n v="430.35999999999996"/>
        <n v="180.18"/>
        <n v="1404.18"/>
        <n v="153.92000000000002"/>
        <n v="232.19"/>
        <n v="337.2"/>
        <n v="1272.06"/>
        <n v="239.7"/>
        <n v="710.01"/>
        <n v="76.16000000000001"/>
        <n v="1631.8"/>
        <n v="434.34000000000003"/>
        <n v="202.41"/>
        <n v="802.72"/>
        <n v="135.63"/>
        <n v="306.24"/>
        <n v="9.04"/>
        <n v="165.1"/>
        <n v="1109.6200000000001"/>
        <n v="23.92"/>
        <n v="3826.36"/>
        <n v="91.59"/>
        <n v="48.83"/>
        <n v="498.52000000000004"/>
        <n v="229.32000000000002"/>
        <n v="422.92"/>
        <n v="6548.879999999999"/>
        <n v="3870.3999999999996"/>
        <n v="2082.4"/>
        <n v="41.68"/>
        <n v="7709.38"/>
        <n v="1695.75"/>
        <n v="5010.66"/>
        <n v="68.75"/>
        <n v="1986.99"/>
        <n v="3897.2400000000002"/>
      </sharedItems>
    </cacheField>
    <cacheField name="in_stock" numFmtId="0">
      <sharedItems containsSemiMixedTypes="0" containsString="0" containsNumber="1" containsInteger="1">
        <n v="1.0"/>
        <n v="0.0"/>
      </sharedItems>
    </cacheField>
    <cacheField name=" " numFmtId="0">
      <sharedItems containsString="0" containsBlank="1" containsNumber="1">
        <m/>
        <n v="237.76167778836987"/>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901" sheet="Explo_Stock"/>
  </cacheSource>
  <cacheFields>
    <cacheField name="product_id" numFmtId="0">
      <sharedItems containsSemiMixedTypes="0" containsString="0" containsNumber="1" containsInteger="1">
        <n v="112463.0"/>
        <n v="112481.0"/>
        <n v="13346.0"/>
        <n v="112454.0"/>
        <n v="112461.0"/>
        <n v="106532.0"/>
        <n v="121135.0"/>
        <n v="128362.0"/>
        <n v="71200.0"/>
        <n v="19812.0"/>
        <n v="122259.0"/>
        <n v="199526.0"/>
        <n v="140581.0"/>
        <n v="118383.0"/>
        <n v="122262.0"/>
        <n v="141879.0"/>
        <n v="19826.0"/>
        <n v="93039.0"/>
        <n v="128213.0"/>
        <n v="83797.0"/>
        <n v="19831.0"/>
        <n v="93025.0"/>
        <n v="81624.0"/>
        <n v="92913.0"/>
        <n v="126983.0"/>
        <n v="118226.0"/>
        <n v="48618.0"/>
        <n v="93037.0"/>
        <n v="126984.0"/>
        <n v="47393.0"/>
        <n v="128214.0"/>
        <n v="83802.0"/>
        <n v="48625.0"/>
        <n v="83602.0"/>
        <n v="98867.0"/>
        <n v="127042.0"/>
        <n v="127241.0"/>
        <n v="118220.0"/>
        <n v="128216.0"/>
        <n v="93049.0"/>
        <n v="118216.0"/>
        <n v="118221.0"/>
        <n v="92900.0"/>
        <n v="118215.0"/>
        <n v="19832.0"/>
        <n v="93071.0"/>
        <n v="122395.0"/>
        <n v="116946.0"/>
        <n v="97538.0"/>
        <n v="127238.0"/>
        <n v="81646.0"/>
        <n v="81643.0"/>
        <n v="128215.0"/>
        <n v="108022.0"/>
        <n v="81647.0"/>
        <n v="83603.0"/>
        <n v="118219.0"/>
        <n v="120952.0"/>
        <n v="81658.0"/>
        <n v="93047.0"/>
        <n v="83807.0"/>
        <n v="92915.0"/>
        <n v="81653.0"/>
        <n v="81618.0"/>
        <n v="118241.0"/>
        <n v="48634.0"/>
        <n v="48636.0"/>
        <n v="48629.0"/>
        <n v="47400.0"/>
        <n v="111237.0"/>
        <n v="18042.0"/>
        <n v="114978.0"/>
        <n v="82980.0"/>
        <n v="83093.0"/>
        <n v="18134.0"/>
        <n v="107857.0"/>
        <n v="18136.0"/>
        <n v="69138.0"/>
        <n v="74828.0"/>
        <n v="74884.0"/>
        <n v="127232.0"/>
        <n v="82979.0"/>
        <n v="18138.0"/>
        <n v="127003.0"/>
        <n v="6036.0"/>
        <n v="6046.0"/>
        <n v="6037.0"/>
        <n v="6026.0"/>
        <n v="47431.0"/>
        <n v="82914.0"/>
        <n v="6044.0"/>
        <n v="82913.0"/>
        <n v="82922.0"/>
        <n v="6045.0"/>
        <n v="6027.0"/>
        <n v="97088.0"/>
        <n v="122235.0"/>
        <n v="119887.0"/>
        <n v="97980.0"/>
        <n v="119876.0"/>
        <n v="119881.0"/>
        <n v="26127.0"/>
        <n v="87365.0"/>
        <n v="87381.0"/>
        <n v="122828.0"/>
        <n v="73841.0"/>
        <n v="73838.0"/>
        <n v="87372.0"/>
        <n v="87383.0"/>
        <n v="49068.0"/>
        <n v="26130.0"/>
        <n v="111493.0"/>
        <n v="98395.0"/>
        <n v="98396.0"/>
        <n v="98394.0"/>
        <n v="98397.0"/>
        <n v="111489.0"/>
        <n v="98393.0"/>
        <n v="10933.0"/>
        <n v="111994.0"/>
        <n v="101637.0"/>
        <n v="111996.0"/>
        <n v="120886.0"/>
        <n v="85058.0"/>
        <n v="27380.0"/>
        <n v="117204.0"/>
        <n v="45484.0"/>
        <n v="27382.0"/>
        <n v="45491.0"/>
        <n v="11631.0"/>
        <n v="11630.0"/>
        <n v="11634.0"/>
        <n v="11635.0"/>
        <n v="114776.0"/>
        <n v="76762.0"/>
        <n v="181194.0"/>
        <n v="164637.0"/>
        <n v="164636.0"/>
        <n v="164639.0"/>
        <n v="85251.0"/>
        <n v="113532.0"/>
        <n v="82501.0"/>
        <n v="121287.0"/>
        <n v="113559.0"/>
        <n v="85252.0"/>
        <n v="82507.0"/>
        <n v="109625.0"/>
        <n v="110864.0"/>
        <n v="138916.0"/>
        <n v="121076.0"/>
        <n v="121077.0"/>
        <n v="116631.0"/>
        <n v="147263.0"/>
        <n v="108763.0"/>
        <n v="116593.0"/>
        <n v="116613.0"/>
        <n v="102476.0"/>
        <n v="190030.0"/>
        <n v="113845.0"/>
        <n v="77824.0"/>
        <n v="85888.0"/>
        <n v="85890.0"/>
        <n v="83727.0"/>
        <n v="85887.0"/>
        <n v="77823.0"/>
        <n v="86753.0"/>
        <n v="145102.0"/>
        <n v="78717.0"/>
        <n v="82777.0"/>
        <n v="120341.0"/>
        <n v="110344.0"/>
        <n v="120233.0"/>
        <n v="117579.0"/>
        <n v="21066.0"/>
        <n v="117583.0"/>
        <n v="71107.0"/>
        <n v="104168.0"/>
        <n v="88913.0"/>
        <n v="108160.0"/>
        <n v="128377.0"/>
        <n v="108533.0"/>
        <n v="116392.0"/>
        <n v="110328.0"/>
        <n v="101445.0"/>
        <n v="117599.0"/>
        <n v="5508.0"/>
        <n v="91241.0"/>
        <n v="5507.0"/>
        <n v="110575.0"/>
        <n v="6156.0"/>
        <n v="91239.0"/>
        <n v="77361.0"/>
        <n v="77363.0"/>
        <n v="124679.0"/>
        <n v="89558.0"/>
        <n v="91235.0"/>
        <n v="5519.0"/>
        <n v="87278.0"/>
        <n v="77326.0"/>
        <n v="6158.0"/>
        <n v="77338.0"/>
        <n v="159220.0"/>
        <n v="5521.0"/>
        <n v="91225.0"/>
        <n v="5520.0"/>
        <n v="87285.0"/>
        <n v="72862.0"/>
        <n v="109474.0"/>
        <n v="45834.0"/>
        <n v="45885.0"/>
        <n v="77360.0"/>
        <n v="89787.0"/>
        <n v="5531.0"/>
        <n v="72826.0"/>
        <n v="91180.0"/>
        <n v="58757.0"/>
        <n v="87287.0"/>
        <n v="91147.0"/>
        <n v="5526.0"/>
        <n v="77310.0"/>
        <n v="5525.0"/>
        <n v="5524.0"/>
        <n v="72849.0"/>
        <n v="77385.0"/>
        <n v="5529.0"/>
        <n v="45879.0"/>
        <n v="58753.0"/>
        <n v="77318.0"/>
        <n v="122091.0"/>
        <n v="91144.0"/>
        <n v="79000.0"/>
        <n v="77389.0"/>
        <n v="72857.0"/>
        <n v="72859.0"/>
        <n v="91264.0"/>
        <n v="77316.0"/>
        <n v="110573.0"/>
        <n v="82236.0"/>
        <n v="72855.0"/>
        <n v="77392.0"/>
        <n v="45867.0"/>
        <n v="45846.0"/>
        <n v="91265.0"/>
        <n v="5527.0"/>
        <n v="82249.0"/>
        <n v="87273.0"/>
        <n v="5537.0"/>
        <n v="87281.0"/>
        <n v="5522.0"/>
        <n v="76595.0"/>
        <n v="147305.0"/>
        <n v="158660.0"/>
        <n v="77371.0"/>
        <n v="77366.0"/>
        <n v="87282.0"/>
        <n v="80402.0"/>
        <n v="120504.0"/>
        <n v="72833.0"/>
        <n v="72831.0"/>
        <n v="112547.0"/>
        <n v="149598.0"/>
        <n v="98129.0"/>
        <n v="72825.0"/>
        <n v="72820.0"/>
        <n v="81939.0"/>
        <n v="114382.0"/>
        <n v="111427.0"/>
        <n v="81937.0"/>
        <n v="72824.0"/>
        <n v="112188.0"/>
        <n v="98186.0"/>
        <n v="72822.0"/>
        <n v="122601.0"/>
        <n v="106779.0"/>
        <n v="106785.0"/>
        <n v="122602.0"/>
        <n v="45574.0"/>
        <n v="80808.0"/>
        <n v="80802.0"/>
        <n v="110385.0"/>
        <n v="80633.0"/>
        <n v="120700.0"/>
        <n v="112853.0"/>
        <n v="120699.0"/>
        <n v="20195.0"/>
        <n v="11422.0"/>
        <n v="4492.0"/>
        <n v="4560.0"/>
        <n v="110383.0"/>
        <n v="112850.0"/>
        <n v="120702.0"/>
        <n v="91860.0"/>
        <n v="9716.0"/>
        <n v="77135.0"/>
        <n v="91857.0"/>
        <n v="76429.0"/>
        <n v="122507.0"/>
        <n v="77844.0"/>
        <n v="100041.0"/>
        <n v="111591.0"/>
        <n v="128329.0"/>
        <n v="147268.0"/>
        <n v="48511.0"/>
        <n v="100040.0"/>
        <n v="79366.0"/>
        <n v="160754.0"/>
        <n v="100038.0"/>
        <n v="100035.0"/>
        <n v="29654.0"/>
        <n v="107804.0"/>
        <n v="75809.0"/>
        <n v="128325.0"/>
        <n v="110072.0"/>
        <n v="93814.0"/>
        <n v="128326.0"/>
        <n v="48510.0"/>
        <n v="82463.0"/>
        <n v="82462.0"/>
        <n v="110635.0"/>
        <n v="82464.0"/>
        <n v="129133.0"/>
        <n v="195081.0"/>
        <n v="92669.0"/>
        <n v="122089.0"/>
        <n v="95927.0"/>
        <n v="160756.0"/>
        <n v="147267.0"/>
        <n v="160747.0"/>
        <n v="79365.0"/>
        <n v="110633.0"/>
        <n v="160750.0"/>
        <n v="128332.0"/>
        <n v="200354.0"/>
        <n v="100042.0"/>
        <n v="122446.0"/>
        <n v="160761.0"/>
        <n v="89503.0"/>
        <n v="160744.0"/>
        <n v="111590.0"/>
        <n v="110070.0"/>
        <n v="101005.0"/>
        <n v="160745.0"/>
        <n v="23073.0"/>
        <n v="70064.0"/>
        <n v="129135.0"/>
        <n v="104440.0"/>
        <n v="70063.0"/>
        <n v="160748.0"/>
        <n v="181242.0"/>
        <n v="200323.0"/>
        <n v="129132.0"/>
        <n v="160743.0"/>
        <n v="89610.0"/>
        <n v="112113.0"/>
        <n v="107801.0"/>
        <n v="70065.0"/>
        <n v="539.0"/>
        <n v="7857.0"/>
        <n v="111726.0"/>
        <n v="120992.0"/>
        <n v="158482.0"/>
        <n v="193132.0"/>
        <n v="118901.0"/>
        <n v="193131.0"/>
        <n v="115709.0"/>
        <n v="121619.0"/>
        <n v="103647.0"/>
        <n v="121616.0"/>
        <n v="121618.0"/>
        <n v="129360.0"/>
        <n v="115708.0"/>
        <n v="121617.0"/>
        <n v="109540.0"/>
        <n v="101323.0"/>
        <n v="120991.0"/>
        <n v="115698.0"/>
        <n v="72511.0"/>
        <n v="72512.0"/>
        <n v="120108.0"/>
        <n v="1636.0"/>
        <n v="106767.0"/>
        <n v="117246.0"/>
        <n v="106758.0"/>
        <n v="118150.0"/>
        <n v="108896.0"/>
        <n v="92566.0"/>
        <n v="182195.0"/>
        <n v="101560.0"/>
        <n v="96067.0"/>
        <n v="47325.0"/>
        <n v="109386.0"/>
        <n v="118972.0"/>
        <n v="100412.0"/>
        <n v="73259.0"/>
        <n v="116888.0"/>
        <n v="102086.0"/>
        <n v="108892.0"/>
        <n v="110935.0"/>
        <n v="103599.0"/>
        <n v="108811.0"/>
        <n v="2202.0"/>
        <n v="122789.0"/>
        <n v="101563.0"/>
        <n v="110934.0"/>
        <n v="110147.0"/>
        <n v="104135.0"/>
        <n v="101559.0"/>
        <n v="129340.0"/>
        <n v="103609.0"/>
        <n v="122499.0"/>
        <n v="117311.0"/>
        <n v="116670.0"/>
        <n v="2204.0"/>
        <n v="104128.0"/>
        <n v="103600.0"/>
        <n v="108802.0"/>
        <n v="201034.0"/>
        <n v="6522.0"/>
        <n v="77644.0"/>
        <n v="3225.0"/>
        <n v="158447.0"/>
        <n v="9737.0"/>
        <n v="73260.0"/>
        <n v="158467.0"/>
        <n v="117319.0"/>
        <n v="108893.0"/>
        <n v="111734.0"/>
        <n v="96066.0"/>
        <n v="3222.0"/>
        <n v="117312.0"/>
        <n v="104791.0"/>
        <n v="10051.0"/>
        <n v="29318.0"/>
        <n v="116885.0"/>
        <n v="121614.0"/>
        <n v="10048.0"/>
        <n v="109534.0"/>
        <n v="111802.0"/>
        <n v="108801.0"/>
        <n v="9735.0"/>
        <n v="109531.0"/>
        <n v="44533.0"/>
        <n v="158465.0"/>
        <n v="79107.0"/>
        <n v="78631.0"/>
        <n v="120469.0"/>
        <n v="6523.0"/>
        <n v="41819.0"/>
        <n v="108889.0"/>
        <n v="92564.0"/>
        <n v="158456.0"/>
        <n v="111735.0"/>
        <n v="109537.0"/>
        <n v="109381.0"/>
        <n v="120944.0"/>
        <n v="29320.0"/>
        <n v="118222.0"/>
        <n v="108897.0"/>
        <n v="101565.0"/>
        <n v="29319.0"/>
        <n v="96444.0"/>
        <n v="101557.0"/>
        <n v="103610.0"/>
        <n v="181195.0"/>
        <n v="12639.0"/>
        <n v="158464.0"/>
        <n v="116525.0"/>
        <n v="116295.0"/>
        <n v="116297.0"/>
        <n v="11421.0"/>
        <n v="101549.0"/>
        <n v="109543.0"/>
        <n v="79318.0"/>
        <n v="2203.0"/>
        <n v="111727.0"/>
        <n v="118151.0"/>
        <n v="108888.0"/>
        <n v="120465.0"/>
        <n v="92561.0"/>
        <n v="150294.0"/>
        <n v="108895.0"/>
        <n v="41666.0"/>
        <n v="41816.0"/>
        <n v="99779.0"/>
        <n v="111716.0"/>
        <n v="96443.0"/>
        <n v="193187.0"/>
        <n v="96068.0"/>
        <n v="3227.0"/>
        <n v="193183.0"/>
        <n v="120945.0"/>
        <n v="110940.0"/>
        <n v="110942.0"/>
        <n v="142301.0"/>
        <n v="109760.0"/>
        <n v="100392.0"/>
        <n v="109763.0"/>
        <n v="7271.0"/>
        <n v="7267.0"/>
        <n v="128412.0"/>
        <n v="7268.0"/>
        <n v="124701.0"/>
        <n v="110007.0"/>
        <n v="7266.0"/>
        <n v="7269.0"/>
        <n v="100393.0"/>
        <n v="110009.0"/>
        <n v="100394.0"/>
        <n v="118248.0"/>
        <n v="118467.0"/>
        <n v="118465.0"/>
        <n v="118450.0"/>
        <n v="118457.0"/>
        <n v="118463.0"/>
        <n v="118460.0"/>
        <n v="121035.0"/>
        <n v="122623.0"/>
        <n v="118469.0"/>
        <n v="184629.0"/>
        <n v="44469.0"/>
        <n v="98421.0"/>
        <n v="149512.0"/>
        <n v="101489.0"/>
        <n v="7263.0"/>
        <n v="149510.0"/>
        <n v="124692.0"/>
        <n v="7253.0"/>
        <n v="109999.0"/>
        <n v="101535.0"/>
        <n v="181795.0"/>
        <n v="124686.0"/>
        <n v="110003.0"/>
        <n v="124691.0"/>
        <n v="98444.0"/>
        <n v="110393.0"/>
        <n v="7254.0"/>
        <n v="86502.0"/>
        <n v="98442.0"/>
        <n v="7256.0"/>
        <n v="110394.0"/>
        <n v="120998.0"/>
        <n v="17674.0"/>
        <n v="102946.0"/>
        <n v="102947.0"/>
        <n v="98445.0"/>
        <n v="109273.0"/>
        <n v="44465.0"/>
        <n v="44451.0"/>
        <n v="17664.0"/>
        <n v="44459.0"/>
        <n v="110398.0"/>
        <n v="149495.0"/>
        <n v="124685.0"/>
        <n v="110004.0"/>
        <n v="111052.0"/>
        <n v="102948.0"/>
        <n v="110000.0"/>
        <n v="7264.0"/>
        <n v="110005.0"/>
        <n v="124693.0"/>
        <n v="86501.0"/>
        <n v="101536.0"/>
        <n v="101534.0"/>
        <n v="110002.0"/>
        <n v="110001.0"/>
        <n v="111051.0"/>
        <n v="7258.0"/>
        <n v="111053.0"/>
        <n v="120996.0"/>
        <n v="109746.0"/>
        <n v="147288.0"/>
        <n v="120997.0"/>
        <n v="109742.0"/>
        <n v="156013.0"/>
        <n v="98426.0"/>
        <n v="110006.0"/>
        <n v="110409.0"/>
        <n v="117774.0"/>
        <n v="110411.0"/>
        <n v="86743.0"/>
        <n v="86691.0"/>
        <n v="7257.0"/>
        <n v="77706.0"/>
        <n v="122599.0"/>
        <n v="109741.0"/>
        <n v="69064.0"/>
        <n v="119447.0"/>
        <n v="111730.0"/>
        <n v="100437.0"/>
        <n v="92304.0"/>
        <n v="103655.0"/>
        <n v="103656.0"/>
        <n v="103704.0"/>
        <n v="46759.0"/>
        <n v="113594.0"/>
        <n v="111791.0"/>
        <n v="44674.0"/>
        <n v="48639.0"/>
        <n v="76559.0"/>
        <n v="22112.0"/>
        <n v="84390.0"/>
        <n v="100327.0"/>
        <n v="81427.0"/>
        <n v="19847.0"/>
        <n v="121989.0"/>
        <n v="3431.0"/>
        <n v="68858.0"/>
        <n v="147279.0"/>
        <n v="19853.0"/>
        <n v="84315.0"/>
        <n v="3433.0"/>
        <n v="48640.0"/>
        <n v="81678.0"/>
        <n v="117528.0"/>
        <n v="84324.0"/>
        <n v="3420.0"/>
        <n v="19837.0"/>
        <n v="19835.0"/>
        <n v="69109.0"/>
        <n v="104387.0"/>
        <n v="19843.0"/>
        <n v="117523.0"/>
        <n v="121981.0"/>
        <n v="121993.0"/>
        <n v="81389.0"/>
        <n v="99473.0"/>
        <n v="81393.0"/>
        <n v="104364.0"/>
        <n v="76602.0"/>
        <n v="119824.0"/>
        <n v="112618.0"/>
        <n v="112617.0"/>
        <n v="113963.0"/>
        <n v="104359.0"/>
        <n v="81675.0"/>
        <n v="84835.0"/>
        <n v="81680.0"/>
        <n v="104361.0"/>
        <n v="83080.0"/>
        <n v="84930.0"/>
        <n v="19848.0"/>
        <n v="104362.0"/>
        <n v="92122.0"/>
        <n v="15854.0"/>
        <n v="81383.0"/>
        <n v="81430.0"/>
        <n v="84325.0"/>
        <n v="127244.0"/>
        <n v="15865.0"/>
        <n v="121996.0"/>
        <n v="93083.0"/>
        <n v="3426.0"/>
        <n v="111349.0"/>
        <n v="74917.0"/>
        <n v="69127.0"/>
        <n v="84819.0"/>
        <n v="104367.0"/>
        <n v="121997.0"/>
        <n v="117499.0"/>
        <n v="69125.0"/>
        <n v="19850.0"/>
        <n v="3425.0"/>
        <n v="84913.0"/>
        <n v="120378.0"/>
        <n v="5905.0"/>
        <n v="23213.0"/>
        <n v="47168.0"/>
        <n v="102990.0"/>
        <n v="46441.0"/>
        <n v="11085.0"/>
        <n v="96441.0"/>
        <n v="82131.0"/>
        <n v="46440.0"/>
        <n v="23214.0"/>
        <n v="82134.0"/>
        <n v="46439.0"/>
        <n v="116451.0"/>
        <n v="147340.0"/>
        <n v="140602.0"/>
        <n v="109174.0"/>
        <n v="2795.0"/>
        <n v="141867.0"/>
        <n v="118152.0"/>
        <n v="1607.0"/>
        <n v="71322.0"/>
        <n v="88773.0"/>
        <n v="46964.0"/>
        <n v="104454.0"/>
        <n v="8003.0"/>
        <n v="90183.0"/>
        <n v="45489.0"/>
        <n v="147337.0"/>
        <n v="116446.0"/>
        <n v="44760.0"/>
        <n v="44764.0"/>
        <n v="72801.0"/>
        <n v="86573.0"/>
        <n v="107784.0"/>
        <n v="103388.0"/>
        <n v="8004.0"/>
        <n v="103387.0"/>
        <n v="76731.0"/>
        <n v="116449.0"/>
        <n v="95211.0"/>
        <n v="118255.0"/>
        <n v="8010.0"/>
        <n v="128351.0"/>
        <n v="12452.0"/>
        <n v="108996.0"/>
        <n v="15638.0"/>
        <n v="118109.0"/>
        <n v="15634.0"/>
        <n v="2802.0"/>
        <n v="46962.0"/>
        <n v="128348.0"/>
        <n v="108963.0"/>
        <n v="2800.0"/>
        <n v="12451.0"/>
        <n v="19024.0"/>
        <n v="9472.0"/>
        <n v="1587.0"/>
        <n v="118262.0"/>
        <n v="44739.0"/>
        <n v="199855.0"/>
        <n v="71674.0"/>
        <n v="101357.0"/>
        <n v="121066.0"/>
        <n v="72818.0"/>
        <n v="109178.0"/>
        <n v="114876.0"/>
        <n v="9471.0"/>
        <n v="87840.0"/>
        <n v="72816.0"/>
        <n v="122354.0"/>
        <n v="109188.0"/>
        <n v="7999.0"/>
        <n v="9469.0"/>
        <n v="46955.0"/>
        <n v="9464.0"/>
        <n v="79485.0"/>
        <n v="118224.0"/>
        <n v="122353.0"/>
        <n v="1584.0"/>
        <n v="2792.0"/>
        <n v="109187.0"/>
        <n v="118257.0"/>
        <n v="7995.0"/>
        <n v="99360.0"/>
        <n v="118156.0"/>
        <n v="44943.0"/>
        <n v="9462.0"/>
        <n v="79501.0"/>
        <n v="97161.0"/>
        <n v="112842.0"/>
        <n v="109180.0"/>
        <n v="46954.0"/>
        <n v="79500.0"/>
        <n v="99302.0"/>
        <n v="105026.0"/>
        <n v="19972.0"/>
        <n v="99233.0"/>
        <n v="118260.0"/>
        <n v="128398.0"/>
        <n v="8001.0"/>
        <n v="106782.0"/>
        <n v="110793.0"/>
        <n v="86808.0"/>
        <n v="50367.0"/>
        <n v="102750.0"/>
        <n v="102758.0"/>
        <n v="86787.0"/>
        <n v="102740.0"/>
        <n v="102734.0"/>
        <n v="102751.0"/>
        <n v="102752.0"/>
        <n v="102735.0"/>
        <n v="86793.0"/>
        <n v="86792.0"/>
        <n v="86785.0"/>
        <n v="102773.0"/>
        <n v="42807.0"/>
        <n v="42809.0"/>
        <n v="86821.0"/>
        <n v="110719.0"/>
        <n v="86818.0"/>
        <n v="71318.0"/>
        <n v="122303.0"/>
        <n v="110716.0"/>
        <n v="9480.0"/>
        <n v="113920.0"/>
        <n v="166088.0"/>
        <n v="122712.0"/>
        <n v="86523.0"/>
        <n v="106773.0"/>
        <n v="128356.0"/>
        <n v="28897.0"/>
        <n v="181502.0"/>
        <n v="13368.0"/>
        <n v="105178.0"/>
        <n v="158445.0"/>
        <n v="105861.0"/>
        <n v="28668.0"/>
        <n v="28661.0"/>
        <n v="13349.0"/>
        <n v="1634.0"/>
        <n v="86524.0"/>
        <n v="86531.0"/>
        <n v="95210.0"/>
        <n v="158450.0"/>
        <n v="103080.0"/>
        <n v="121067.0"/>
        <n v="41513.0"/>
        <n v="166089.0"/>
        <n v="26446.0"/>
        <n v="13350.0"/>
        <n v="111728.0"/>
        <n v="28883.0"/>
        <n v="121068.0"/>
        <n v="181499.0"/>
        <n v="16097.0"/>
        <n v="117247.0"/>
        <n v="1732.0"/>
        <n v="105174.0"/>
        <n v="128357.0"/>
        <n v="166090.0"/>
        <n v="121070.0"/>
        <n v="80818.0"/>
        <n v="13367.0"/>
        <n v="44329.0"/>
        <n v="70879.0"/>
        <n v="99266.0"/>
        <n v="88216.0"/>
        <n v="28590.0"/>
        <n v="88215.0"/>
        <n v="81771.0"/>
        <n v="194520.0"/>
        <n v="5901.0"/>
        <n v="156054.0"/>
        <n v="5869.0"/>
        <n v="7343.0"/>
        <n v="88218.0"/>
        <n v="99263.0"/>
        <n v="7357.0"/>
        <n v="28591.0"/>
        <n v="5871.0"/>
        <n v="81772.0"/>
        <n v="110587.0"/>
        <n v="5870.0"/>
        <n v="158444.0"/>
        <n v="80785.0"/>
        <n v="110586.0"/>
        <n v="99264.0"/>
        <n v="110977.0"/>
        <n v="45529.0"/>
        <n v="84030.0"/>
        <n v="99262.0"/>
        <n v="110722.0"/>
        <n v="80781.0"/>
        <n v="122700.0"/>
        <n v="111783.0"/>
        <n v="110724.0"/>
        <n v="13348.0"/>
        <n v="28595.0"/>
        <n v="81770.0"/>
        <n v="85059.0"/>
        <n v="110597.0"/>
        <n v="7358.0"/>
        <n v="86583.0"/>
        <n v="98100.0"/>
        <n v="118154.0"/>
        <n v="42840.0"/>
        <n v="47175.0"/>
        <n v="112013.0"/>
        <n v="107953.0"/>
        <n v="44738.0"/>
        <n v="103386.0"/>
        <n v="86815.0"/>
        <n v="46953.0"/>
        <n v="108732.0"/>
        <n v="118227.0"/>
        <n v="122484.0"/>
        <n v="71326.0"/>
        <n v="110794.0"/>
        <n v="80066.0"/>
        <n v="106776.0"/>
        <n v="113608.0"/>
        <n v="116454.0"/>
        <n v="108724.0"/>
        <n v="118253.0"/>
        <n v="110567.0"/>
        <n v="122697.0"/>
        <n v="109190.0"/>
        <n v="109191.0"/>
        <n v="44759.0"/>
        <n v="109192.0"/>
        <n v="113605.0"/>
        <n v="147339.0"/>
        <n v="118068.0"/>
        <n v="44758.0"/>
        <n v="110579.0"/>
        <n v="116437.0"/>
        <n v="9519.0"/>
        <n v="147338.0"/>
        <n v="118250.0"/>
        <n v="20053.0"/>
        <n v="71321.0"/>
        <n v="79503.0"/>
        <n v="99270.0"/>
        <n v="112848.0"/>
        <n v="13369.0"/>
        <n v="147336.0"/>
        <n v="114899.0"/>
        <n v="113607.0"/>
        <n v="47183.0"/>
        <n v="78338.0"/>
        <n v="9526.0"/>
        <n v="107910.0"/>
        <n v="20056.0"/>
        <n v="108951.0"/>
        <n v="107783.0"/>
        <n v="80798.0"/>
        <n v="108950.0"/>
        <n v="112847.0"/>
        <n v="109202.0"/>
        <n v="109198.0"/>
        <n v="108990.0"/>
        <n v="72815.0"/>
        <n v="9479.0"/>
        <n v="46961.0"/>
        <n v="122352.0"/>
        <n v="44750.0"/>
        <n v="114405.0"/>
        <n v="2797.0"/>
        <n v="79499.0"/>
        <n v="5902.0"/>
        <n v="46956.0"/>
        <n v="11490.0"/>
        <n v="8027.0"/>
        <n v="121588.0"/>
        <n v="1279.0"/>
        <n v="5978.0"/>
        <n v="72813.0"/>
        <n v="9486.0"/>
        <n v="2791.0"/>
        <n v="109206.0"/>
        <n v="9478.0"/>
        <n v="122699.0"/>
        <n v="2794.0"/>
        <n v="109200.0"/>
        <n v="118263.0"/>
        <n v="71320.0"/>
        <n v="108944.0"/>
        <n v="122693.0"/>
        <n v="20049.0"/>
        <n v="20055.0"/>
        <n v="112845.0"/>
        <n v="9490.0"/>
        <n v="105034.0"/>
        <n v="122680.0"/>
        <n v="112846.0"/>
        <n v="80816.0"/>
        <n v="44749.0"/>
        <n v="79498.0"/>
        <n v="2799.0"/>
        <n v="194401.0"/>
        <n v="5291.0"/>
        <n v="2796.0"/>
        <n v="71325.0"/>
        <n v="2793.0"/>
        <n v="102781.0"/>
        <n v="109201.0"/>
        <n v="72814.0"/>
        <n v="122351.0"/>
        <n v="99298.0"/>
        <n v="3731.0"/>
        <n v="11489.0"/>
        <n v="122302.0"/>
        <n v="28838.0"/>
        <n v="72843.0"/>
        <n v="80809.0"/>
        <n v="127006.0"/>
        <n v="82448.0"/>
        <n v="13028.0"/>
        <n v="118577.0"/>
        <n v="117890.0"/>
        <n v="118617.0"/>
        <n v="109995.0"/>
        <n v="109996.0"/>
        <n v="49107.0"/>
        <n v="29585.0"/>
        <n v="111677.0"/>
        <n v="93102.0"/>
        <n v="30712.0"/>
        <n v="89128.0"/>
        <n v="29587.0"/>
        <n v="30711.0"/>
        <n v="45306.0"/>
        <n v="120803.0"/>
        <n v="108004.0"/>
        <n v="92205.0"/>
        <n v="119509.0"/>
        <n v="109056.0"/>
        <n v="45305.0"/>
        <n v="29582.0"/>
        <n v="111676.0"/>
        <n v="30578.0"/>
        <n v="93095.0"/>
        <n v="70036.0"/>
        <n v="90498.0"/>
        <n v="89127.0"/>
        <n v="75215.0"/>
        <n v="119566.0"/>
        <n v="92208.0"/>
        <n v="119579.0"/>
        <n v="45309.0"/>
        <n v="30743.0"/>
        <n v="49108.0"/>
        <n v="29584.0"/>
        <n v="119501.0"/>
        <n v="30504.0"/>
        <n v="93101.0"/>
        <n v="30749.0"/>
        <n v="120813.0"/>
        <n v="29590.0"/>
        <n v="118662.0"/>
        <n v="30478.0"/>
        <n v="90475.0"/>
        <n v="29530.0"/>
        <n v="81528.0"/>
        <n v="100436.0"/>
        <n v="29499.0"/>
        <n v="30683.0"/>
        <n v="69906.0"/>
        <n v="90174.0"/>
        <n v="90168.0"/>
        <n v="79488.0"/>
        <n v="119640.0"/>
        <n v="119515.0"/>
        <n v="103685.0"/>
        <n v="111617.0"/>
        <n v="98637.0"/>
        <n v="90159.0"/>
        <n v="76651.0"/>
        <n v="119531.0"/>
        <n v="93884.0"/>
        <n v="79467.0"/>
        <n v="29532.0"/>
        <n v="104063.0"/>
        <n v="90166.0"/>
        <n v="29538.0"/>
        <n v="70538.0"/>
        <n v="93893.0"/>
        <n v="119518.0"/>
        <n v="111338.0"/>
        <n v="100435.0"/>
        <n v="89130.0"/>
        <n v="103695.0"/>
        <n v="90201.0"/>
        <n v="70025.0"/>
        <n v="29485.0"/>
        <n v="119530.0"/>
        <n v="103671.0"/>
        <n v="102803.0"/>
        <n v="122156.0"/>
        <n v="103688.0"/>
        <n v="128303.0"/>
        <n v="122164.0"/>
        <n v="119629.0"/>
        <n v="122238.0"/>
        <n v="100106.0"/>
        <n v="74260.0"/>
        <n v="122159.0"/>
        <n v="100104.0"/>
        <n v="103702.0"/>
        <n v="103696.0"/>
        <n v="111083.0"/>
        <n v="76658.0"/>
        <n v="111339.0"/>
        <n v="79491.0"/>
        <n v="110380.0"/>
        <n v="111341.0"/>
        <n v="81785.0"/>
        <n v="89155.0"/>
        <n v="90253.0"/>
        <n v="119544.0"/>
        <n v="108675.0"/>
        <n v="119542.0"/>
        <n v="30752.0"/>
        <n v="116180.0"/>
        <n v="96953.0"/>
        <n v="118303.0"/>
        <n v="117222.0"/>
        <n v="5620.0"/>
        <n v="122346.0"/>
        <n v="96968.0"/>
        <n v="126578.0"/>
        <n v="126581.0"/>
        <n v="96956.0"/>
        <n v="116774.0"/>
        <n v="147293.0"/>
        <n v="119228.0"/>
        <n v="5618.0"/>
        <n v="126579.0"/>
        <n v="117219.0"/>
        <n v="44110.0"/>
        <n v="76223.0"/>
        <n v="48406.0"/>
        <n v="77514.0"/>
        <n v="117221.0"/>
        <n v="115602.0"/>
        <n v="44107.0"/>
        <n v="115604.0"/>
        <n v="118926.0"/>
        <n v="118304.0"/>
        <n v="5621.0"/>
        <n v="44105.0"/>
        <n v="126580.0"/>
        <n v="5624.0"/>
        <n v="88679.0"/>
        <n v="118305.0"/>
        <n v="60380.0"/>
        <n v="77475.0"/>
        <n v="110577.0"/>
        <n v="110571.0"/>
        <n v="103835.0"/>
        <n v="5646.0"/>
        <n v="5649.0"/>
        <n v="5647.0"/>
        <n v="5648.0"/>
        <n v="108292.0"/>
        <n v="110572.0"/>
        <n v="77456.0"/>
        <n v="77454.0"/>
        <n v="44095.0"/>
        <n v="87419.0"/>
        <n v="44087.0"/>
        <n v="44129.0"/>
        <n v="103832.0"/>
        <n v="103819.0"/>
        <n v="88683.0"/>
        <n v="5676.0"/>
        <n v="116776.0"/>
        <n v="5668.0"/>
        <n v="119052.0"/>
        <n v="118920.0"/>
        <n v="96003.0"/>
        <n v="116380.0"/>
        <n v="46291.0"/>
        <n v="148742.0"/>
        <n v="83634.0"/>
        <n v="5657.0"/>
        <n v="78856.0"/>
        <n v="44123.0"/>
        <n v="78855.0"/>
        <n v="48408.0"/>
        <n v="46303.0"/>
        <n v="147274.0"/>
        <n v="44144.0"/>
        <n v="96972.0"/>
        <n v="5665.0"/>
        <n v="26072.0"/>
        <n v="5631.0"/>
        <n v="104316.0"/>
        <n v="83612.0"/>
        <n v="87425.0"/>
        <n v="115611.0"/>
        <n v="88688.0"/>
        <n v="83605.0"/>
        <n v="44125.0"/>
        <n v="83639.0"/>
        <n v="5656.0"/>
        <n v="88686.0"/>
        <n v="83601.0"/>
        <n v="48407.0"/>
        <n v="5692.0"/>
        <n v="112803.0"/>
        <n v="83600.0"/>
        <n v="83621.0"/>
        <n v="115599.0"/>
        <n v="83598.0"/>
        <n v="5652.0"/>
        <n v="122661.0"/>
        <n v="116384.0"/>
        <n v="78859.0"/>
        <n v="87096.0"/>
        <n v="87428.0"/>
        <n v="5690.0"/>
        <n v="5663.0"/>
        <n v="5654.0"/>
        <n v="44607.0"/>
        <n v="5662.0"/>
        <n v="87426.0"/>
        <n v="5680.0"/>
        <n v="5661.0"/>
        <n v="83629.0"/>
        <n v="83599.0"/>
        <n v="83625.0"/>
        <n v="87887.0"/>
        <n v="118923.0"/>
        <n v="87421.0"/>
        <n v="117531.0"/>
        <n v="122267.0"/>
        <n v="117527.0"/>
        <n v="44138.0"/>
        <n v="117529.0"/>
        <n v="122269.0"/>
        <n v="87886.0"/>
        <n v="104317.0"/>
        <n v="114943.0"/>
        <n v="44134.0"/>
        <n v="5637.0"/>
        <n v="5641.0"/>
        <n v="147323.0"/>
        <n v="44118.0"/>
        <n v="115608.0"/>
        <n v="44127.0"/>
        <n v="122348.0"/>
        <n v="147304.0"/>
        <n v="118310.0"/>
        <n v="77175.0"/>
        <n v="5645.0"/>
        <n v="76679.0"/>
        <n v="5635.0"/>
        <n v="110960.0"/>
        <n v="108290.0"/>
        <n v="117680.0"/>
        <n v="77183.0"/>
        <n v="147322.0"/>
        <n v="44120.0"/>
        <n v="44115.0"/>
        <n v="44117.0"/>
        <n v="76670.0"/>
        <n v="122347.0"/>
        <n v="112462.0"/>
        <n v="5636.0"/>
        <n v="112464.0"/>
        <n v="5639.0"/>
        <n v="44147.0"/>
        <n v="5638.0"/>
        <n v="103074.0"/>
        <n v="45913.0"/>
        <n v="120044.0"/>
        <n v="90973.0"/>
        <n v="103830.0"/>
        <n v="111765.0"/>
        <n v="45952.0"/>
        <n v="91749.0"/>
        <n v="120040.0"/>
        <n v="17143.0"/>
        <n v="120515.0"/>
        <n v="120045.0"/>
        <n v="122268.0"/>
        <n v="195737.0"/>
        <n v="78759.0"/>
        <n v="8857.0"/>
        <n v="8860.0"/>
        <n v="182790.0"/>
        <n v="120042.0"/>
        <n v="114941.0"/>
        <n v="108473.0"/>
        <n v="90968.0"/>
        <n v="114929.0"/>
        <n v="68868.0"/>
        <n v="103831.0"/>
        <n v="83272.0"/>
        <n v="120046.0"/>
        <n v="181989.0"/>
        <n v="84359.0"/>
        <n v="102939.0"/>
        <n v="111504.0"/>
        <n v="75678.0"/>
        <n v="79005.0"/>
        <n v="188360.0"/>
        <n v="79695.0"/>
        <n v="73768.0"/>
        <n v="44663.0"/>
        <n v="766.0"/>
        <n v="109961.0"/>
        <n v="109932.0"/>
        <n v="109956.0"/>
        <n v="109962.0"/>
        <n v="101622.0"/>
        <n v="101623.0"/>
        <n v="4513.0"/>
        <n v="24648.0"/>
        <n v="16386.0"/>
        <n v="16383.0"/>
        <n v="113588.0"/>
        <n v="99392.0"/>
        <n v="99412.0"/>
        <n v="25306.0"/>
        <n v="99399.0"/>
        <n v="25304.0"/>
        <n v="99400.0"/>
        <n v="80484.0"/>
        <n v="14477.0"/>
        <n v="95056.0"/>
        <n v="78519.0"/>
        <n v="90377.0"/>
        <n v="90375.0"/>
        <n v="112073.0"/>
        <n v="101339.0"/>
        <n v="92421.0"/>
        <n v="112079.0"/>
        <n v="44716.0"/>
        <n v="89640.0"/>
        <n v="112072.0"/>
        <n v="112991.0"/>
        <n v="101587.0"/>
        <n v="10525.0"/>
        <n v="121349.0"/>
        <n v="127811.0"/>
        <n v="81507.0"/>
        <n v="78412.0"/>
        <n v="109312.0"/>
        <n v="78502.0"/>
        <n v="111498.0"/>
        <n v="87242.0"/>
        <n v="139286.0"/>
        <n v="10524.0"/>
        <n v="78397.0"/>
        <n v="78421.0"/>
        <n v="23420.0"/>
        <n v="78498.0"/>
        <n v="78427.0"/>
        <n v="119256.0"/>
        <n v="44731.0"/>
        <n v="86852.0"/>
        <n v="103137.0"/>
        <n v="95079.0"/>
        <n v="121568.0"/>
        <n v="89645.0"/>
        <n v="44691.0"/>
        <n v="94055.0"/>
        <n v="101586.0"/>
        <n v="106731.0"/>
        <n v="87072.0"/>
        <n v="44711.0"/>
        <n v="78428.0"/>
        <n v="10531.0"/>
        <n v="158475.0"/>
        <n v="89633.0"/>
        <n v="86836.0"/>
        <n v="44698.0"/>
        <n v="127870.0"/>
        <n v="141891.0"/>
        <n v="78426.0"/>
        <n v="77792.0"/>
        <n v="21027.0"/>
        <n v="95063.0"/>
        <n v="30314.0"/>
        <n v="19838.0"/>
        <n v="111283.0"/>
        <n v="87568.0"/>
        <n v="78419.0"/>
        <n v="106806.0"/>
        <n v="78420.0"/>
        <n v="78442.0"/>
        <n v="78492.0"/>
        <n v="80297.0"/>
        <n v="44712.0"/>
        <n v="89736.0"/>
        <n v="83270.0"/>
        <n v="101588.0"/>
        <n v="104171.0"/>
        <n v="101042.0"/>
        <n v="108881.0"/>
        <n v="87571.0"/>
        <n v="44718.0"/>
        <n v="44735.0"/>
        <n v="21035.0"/>
        <n v="30308.0"/>
        <n v="44694.0"/>
        <n v="78493.0"/>
        <n v="78409.0"/>
        <n v="86844.0"/>
        <n v="86771.0"/>
        <n v="78511.0"/>
        <n v="83267.0"/>
        <n v="78490.0"/>
        <n v="73175.0"/>
        <n v="44730.0"/>
        <n v="10535.0"/>
        <n v="80299.0"/>
        <n v="121350.0"/>
        <n v="79958.0"/>
        <n v="95074.0"/>
        <n v="87574.0"/>
        <n v="77769.0"/>
        <n v="141889.0"/>
        <n v="83269.0"/>
        <n v="89647.0"/>
        <n v="77256.0"/>
        <n v="86840.0"/>
        <n v="30306.0"/>
        <n v="76427.0"/>
        <n v="44706.0"/>
        <n v="44701.0"/>
        <n v="10537.0"/>
        <n v="10523.0"/>
        <n v="76664.0"/>
        <n v="78472.0"/>
        <n v="44721.0"/>
        <n v="121576.0"/>
        <n v="117208.0"/>
        <n v="78497.0"/>
        <n v="44726.0"/>
        <n v="117210.0"/>
        <n v="87082.0"/>
        <n v="10529.0"/>
        <n v="44705.0"/>
        <n v="100564.0"/>
        <n v="87193.0"/>
        <n v="76044.0"/>
        <n v="121578.0"/>
        <n v="117206.0"/>
        <n v="81519.0"/>
        <n v="44724.0"/>
        <n v="82114.0"/>
        <n v="82115.0"/>
        <n v="109307.0"/>
        <n v="76046.0"/>
        <n v="117187.0"/>
        <n v="10538.0"/>
        <n v="78508.0"/>
        <n v="44723.0"/>
        <n v="109309.0"/>
        <n v="76656.0"/>
        <n v="80305.0"/>
        <n v="78506.0"/>
        <n v="82133.0"/>
        <n v="188805.0"/>
        <n v="78481.0"/>
        <n v="109310.0"/>
        <n v="120689.0"/>
        <n v="10540.0"/>
        <n v="44727.0"/>
        <n v="73190.0"/>
        <n v="112169.0"/>
        <n v="120695.0"/>
        <n v="80270.0"/>
        <n v="5795.0"/>
        <n v="107316.0"/>
        <n v="78482.0"/>
        <n v="158473.0"/>
        <n v="109308.0"/>
        <n v="78507.0"/>
        <n v="100827.0"/>
        <n v="102189.0"/>
        <n v="10522.0"/>
        <n v="78467.0"/>
        <n v="84367.0"/>
        <n v="87402.0"/>
        <n v="44707.0"/>
        <n v="78400.0"/>
        <n v="102188.0"/>
        <n v="73173.0"/>
        <n v="76661.0"/>
        <n v="78479.0"/>
        <n v="103401.0"/>
        <n v="83340.0"/>
        <n v="44725.0"/>
        <n v="109311.0"/>
        <n v="133901.0"/>
        <n v="92678.0"/>
        <n v="82447.0"/>
        <n v="110126.0"/>
        <n v="3219.0"/>
        <n v="127007.0"/>
        <n v="102277.0"/>
        <n v="122544.0"/>
        <n v="91486.0"/>
        <n v="28009.0"/>
        <n v="110814.0"/>
        <n v="117437.0"/>
        <n v="23074.0"/>
        <n v="8900.0"/>
        <n v="92676.0"/>
        <n v="117266.0"/>
        <n v="14527.0"/>
        <n v="27534.0"/>
        <n v="91636.0"/>
        <n v="120941.0"/>
        <n v="111897.0"/>
        <n v="158485.0"/>
        <n v="199530.0"/>
        <n v="120946.0"/>
        <n v="82957.0"/>
        <n v="109830.0"/>
        <n v="109831.0"/>
        <n v="107899.0"/>
        <n v="139289.0"/>
        <n v="72129.0"/>
        <n v="106541.0"/>
        <n v="43810.0"/>
        <n v="83117.0"/>
        <n v="78863.0"/>
        <n v="107898.0"/>
        <n v="80181.0"/>
        <n v="150280.0"/>
        <n v="80173.0"/>
        <n v="100647.0"/>
        <n v="147273.0"/>
        <n v="83770.0"/>
        <n v="180773.0"/>
        <n v="80125.0"/>
        <n v="89909.0"/>
        <n v="80114.0"/>
        <n v="73916.0"/>
        <n v="80117.0"/>
        <n v="22008.0"/>
        <n v="76608.0"/>
        <n v="80793.0"/>
        <n v="102588.0"/>
        <n v="80794.0"/>
        <n v="80174.0"/>
        <n v="114722.0"/>
        <n v="180843.0"/>
        <n v="22020.0"/>
        <n v="111259.0"/>
        <n v="89895.0"/>
        <n v="22014.0"/>
        <n v="44254.0"/>
        <n v="22025.0"/>
        <n v="83765.0"/>
        <n v="89930.0"/>
        <n v="83767.0"/>
        <n v="83745.0"/>
        <n v="78827.0"/>
        <n v="122266.0"/>
        <n v="949.0"/>
        <n v="102595.0"/>
        <n v="80790.0"/>
        <n v="114257.0"/>
        <n v="80121.0"/>
        <n v="164929.0"/>
        <n v="80180.0"/>
        <n v="92930.0"/>
        <n v="147271.0"/>
        <n v="83748.0"/>
        <n v="80120.0"/>
        <n v="164931.0"/>
        <n v="78804.0"/>
        <n v="103096.0"/>
        <n v="180770.0"/>
        <n v="80115.0"/>
        <n v="83771.0"/>
        <n v="80124.0"/>
        <n v="80111.0"/>
        <n v="63864.0"/>
        <n v="76824.0"/>
        <n v="102599.0"/>
        <n v="103001.0"/>
        <n v="164928.0"/>
        <n v="80791.0"/>
        <n v="83223.0"/>
        <n v="951.0"/>
        <n v="149928.0"/>
        <n v="60375.0"/>
        <n v="102594.0"/>
        <n v="128218.0"/>
        <n v="80178.0"/>
        <n v="164932.0"/>
        <n v="22036.0"/>
        <n v="102585.0"/>
        <n v="78816.0"/>
        <n v="78822.0"/>
        <n v="83773.0"/>
        <n v="114720.0"/>
        <n v="83777.0"/>
        <n v="102593.0"/>
        <n v="164930.0"/>
        <n v="102584.0"/>
        <n v="102586.0"/>
        <n v="83758.0"/>
        <n v="80189.0"/>
        <n v="26148.0"/>
        <n v="121902.0"/>
        <n v="21032.0"/>
        <n v="22071.0"/>
        <n v="87404.0"/>
        <n v="42712.0"/>
        <n v="76609.0"/>
        <n v="952.0"/>
        <n v="26136.0"/>
        <n v="87502.0"/>
        <n v="73923.0"/>
        <n v="164927.0"/>
        <n v="108749.0"/>
        <n v="89919.0"/>
        <n v="112897.0"/>
        <n v="122013.0"/>
        <n v="89902.0"/>
        <n v="89900.0"/>
        <n v="92461.0"/>
        <n v="128834.0"/>
        <n v="135180.0"/>
        <n v="120582.0"/>
        <n v="105794.0"/>
        <n v="81049.0"/>
        <n v="13364.0"/>
        <n v="13361.0"/>
        <n v="75659.0"/>
        <n v="75655.0"/>
        <n v="117866.0"/>
        <n v="90556.0"/>
        <n v="68605.0"/>
        <n v="103829.0"/>
        <n v="90558.0"/>
        <n v="120490.0"/>
        <n v="75662.0"/>
        <n v="121298.0"/>
        <n v="13363.0"/>
        <n v="117863.0"/>
        <n v="68607.0"/>
        <n v="122705.0"/>
        <n v="88195.0"/>
        <n v="45523.0"/>
        <n v="158449.0"/>
        <n v="45518.0"/>
        <n v="96288.0"/>
        <n v="76981.0"/>
        <n v="113827.0"/>
        <n v="76987.0"/>
        <n v="113824.0"/>
        <n v="113823.0"/>
        <n v="156053.0"/>
        <n v="45522.0"/>
        <n v="99176.0"/>
        <n v="49219.0"/>
        <n v="102370.0"/>
        <n v="49222.0"/>
        <n v="102352.0"/>
        <n v="49233.0"/>
        <n v="99163.0"/>
        <n v="142785.0"/>
        <n v="113054.0"/>
        <n v="88105.0"/>
        <n v="97036.0"/>
        <n v="81229.0"/>
        <n v="120563.0"/>
        <n v="122290.0"/>
        <n v="122373.0"/>
        <n v="117830.0"/>
        <n v="109008.0"/>
        <n v="122371.0"/>
        <n v="109012.0"/>
        <n v="156047.0"/>
        <n v="117839.0"/>
        <n v="156051.0"/>
        <n v="156048.0"/>
        <n v="117832.0"/>
        <n v="117877.0"/>
        <n v="117876.0"/>
        <n v="83507.0"/>
        <n v="121285.0"/>
        <n v="122684.0"/>
        <n v="116615.0"/>
        <n v="121083.0"/>
        <n v="108936.0"/>
        <n v="128388.0"/>
        <n v="120559.0"/>
        <n v="122685.0"/>
        <n v="122686.0"/>
        <n v="181263.0"/>
        <n v="122723.0"/>
        <n v="26533.0"/>
        <n v="16048.0"/>
        <n v="16049.0"/>
        <n v="122421.0"/>
        <n v="121718.0"/>
        <n v="117892.0"/>
        <n v="117893.0"/>
        <n v="78448.0"/>
        <n v="89463.0"/>
        <n v="108096.0"/>
        <n v="70495.0"/>
        <n v="115733.0"/>
        <n v="26349.0"/>
        <n v="26350.0"/>
        <n v="115724.0"/>
        <n v="115726.0"/>
        <n v="26352.0"/>
        <n v="19782.0"/>
        <n v="19793.0"/>
        <n v="87604.0"/>
        <n v="29931.0"/>
        <n v="9335.0"/>
        <n v="88722.0"/>
        <n v="121865.0"/>
        <n v="100934.0"/>
        <n v="117116.0"/>
        <n v="19802.0"/>
        <n v="81780.0"/>
        <n v="117094.0"/>
        <n v="19797.0"/>
        <n v="86131.0"/>
        <n v="121864.0"/>
        <n v="15061.0"/>
        <n v="79929.0"/>
        <n v="19792.0"/>
        <n v="108805.0"/>
        <n v="71689.0"/>
        <n v="71718.0"/>
        <n v="19752.0"/>
        <n v="116205.0"/>
        <n v="117113.0"/>
        <n v="71716.0"/>
        <n v="44398.0"/>
        <n v="100932.0"/>
        <n v="117125.0"/>
        <n v="19746.0"/>
        <n v="80729.0"/>
        <n v="19800.0"/>
        <n v="19790.0"/>
        <n v="19747.0"/>
        <n v="44524.0"/>
        <n v="103839.0"/>
        <n v="195240.0"/>
        <n v="195244.0"/>
        <n v="119465.0"/>
        <n v="47081.0"/>
        <n v="91635.0"/>
        <n v="188359.0"/>
        <n v="29655.0"/>
        <n v="193188.0"/>
        <n v="188367.0"/>
        <n v="188853.0"/>
        <n v="116214.0"/>
        <n v="82296.0"/>
        <n v="10269.0"/>
        <n v="121860.0"/>
        <n v="100464.0"/>
        <n v="10270.0"/>
        <n v="10283.0"/>
        <n v="10278.0"/>
        <n v="10259.0"/>
        <n v="200359.0"/>
        <n v="10243.0"/>
        <n v="200360.0"/>
        <n v="196501.0"/>
        <n v="100460.0"/>
        <n v="5880.0"/>
        <n v="5872.0"/>
        <n v="114258.0"/>
        <n v="11122.0"/>
        <n v="116894.0"/>
        <n v="72994.0"/>
        <n v="120863.0"/>
        <n v="120870.0"/>
        <n v="120868.0"/>
        <n v="102063.0"/>
        <n v="120869.0"/>
        <n v="120871.0"/>
        <n v="24195.0"/>
        <n v="120422.0"/>
        <n v="120874.0"/>
        <n v="120416.0"/>
        <n v="80944.0"/>
        <n v="120873.0"/>
        <n v="120875.0"/>
        <n v="147285.0"/>
        <n v="88604.0"/>
        <n v="120417.0"/>
        <n v="113914.0"/>
        <n v="68793.0"/>
        <n v="106707.0"/>
        <n v="24210.0"/>
        <n v="44012.0"/>
        <n v="106710.0"/>
        <n v="117239.0"/>
        <n v="80186.0"/>
        <n v="80185.0"/>
        <n v="107151.0"/>
        <n v="120420.0"/>
        <n v="80184.0"/>
        <n v="107157.0"/>
        <n v="118432.0"/>
        <n v="86512.0"/>
        <n v="118431.0"/>
        <n v="80187.0"/>
        <n v="107163.0"/>
        <n v="108342.0"/>
        <n v="20949.0"/>
        <n v="118436.0"/>
        <n v="113566.0"/>
        <n v="113571.0"/>
        <n v="107160.0"/>
        <n v="44007.0"/>
        <n v="69453.0"/>
        <n v="122690.0"/>
        <n v="117243.0"/>
        <n v="71988.0"/>
        <n v="111582.0"/>
        <n v="77235.0"/>
        <n v="105272.0"/>
        <n v="120809.0"/>
        <n v="10651.0"/>
        <n v="10657.0"/>
        <n v="9132.0"/>
        <n v="197151.0"/>
        <n v="73386.0"/>
        <n v="121604.0"/>
        <n v="89533.0"/>
        <n v="73381.0"/>
        <n v="26096.0"/>
        <n v="119050.0"/>
        <n v="44028.0"/>
        <n v="73572.0"/>
        <n v="83083.0"/>
        <n v="13338.0"/>
        <n v="83418.0"/>
        <n v="68640.0"/>
        <n v="10647.0"/>
        <n v="85884.0"/>
        <n v="113933.0"/>
        <n v="188843.0"/>
        <n v="13342.0"/>
        <n v="83002.0"/>
        <n v="112860.0"/>
        <n v="118374.0"/>
        <n v="119049.0"/>
        <n v="120964.0"/>
        <n v="26093.0"/>
        <n v="99311.0"/>
        <n v="9131.0"/>
        <n v="122167.0"/>
        <n v="10649.0"/>
        <n v="85875.0"/>
        <n v="9136.0"/>
        <n v="121835.0"/>
        <n v="113934.0"/>
        <n v="5750.0"/>
        <n v="73390.0"/>
        <n v="114251.0"/>
        <n v="73392.0"/>
        <n v="9128.0"/>
        <n v="122672.0"/>
        <n v="85857.0"/>
        <n v="9129.0"/>
        <n v="162438.0"/>
        <n v="73391.0"/>
        <n v="46428.0"/>
        <n v="85861.0"/>
        <n v="69324.0"/>
        <n v="122618.0"/>
        <n v="99312.0"/>
        <n v="113932.0"/>
        <n v="5751.0"/>
        <n v="85885.0"/>
        <n v="87877.0"/>
        <n v="197150.0"/>
        <n v="87878.0"/>
        <n v="122166.0"/>
        <n v="122617.0"/>
        <n v="118590.0"/>
        <n v="122366.0"/>
        <n v="83001.0"/>
        <n v="118594.0"/>
        <n v="85881.0"/>
        <n v="10655.0"/>
        <n v="121606.0"/>
        <n v="13341.0"/>
        <n v="122631.0"/>
        <n v="189132.0"/>
        <n v="87876.0"/>
        <n v="26094.0"/>
        <n v="189129.0"/>
        <n v="10654.0"/>
        <n v="5754.0"/>
        <n v="10648.0"/>
        <n v="114947.0"/>
        <n v="44728.0"/>
        <n v="120709.0"/>
        <n v="114949.0"/>
        <n v="48706.0"/>
        <n v="78411.0"/>
        <n v="120016.0"/>
        <n v="120710.0"/>
        <n v="48705.0"/>
        <n v="114948.0"/>
        <n v="117330.0"/>
        <n v="89665.0"/>
        <n v="89450.0"/>
        <n v="72080.0"/>
        <n v="72086.0"/>
        <n v="117076.0"/>
        <n v="72081.0"/>
        <n v="72088.0"/>
        <n v="72078.0"/>
        <n v="72085.0"/>
        <n v="112204.0"/>
        <n v="59138.0"/>
        <n v="72074.0"/>
        <n v="72096.0"/>
        <n v="72099.0"/>
        <n v="89451.0"/>
        <n v="29606.0"/>
        <n v="72089.0"/>
        <n v="29601.0"/>
        <n v="50372.0"/>
        <n v="89452.0"/>
        <n v="156019.0"/>
        <n v="117705.0"/>
        <n v="121184.0"/>
        <n v="89446.0"/>
        <n v="102339.0"/>
        <n v="121193.0"/>
        <n v="102332.0"/>
        <n v="121775.0"/>
        <n v="100903.0"/>
        <n v="81463.0"/>
        <n v="75788.0"/>
        <n v="121185.0"/>
        <n v="89440.0"/>
        <n v="103058.0"/>
        <n v="117716.0"/>
        <n v="71287.0"/>
        <n v="110685.0"/>
        <n v="79335.0"/>
        <n v="45538.0"/>
        <n v="76691.0"/>
        <n v="2336.0"/>
        <n v="91912.0"/>
        <n v="110826.0"/>
        <n v="117710.0"/>
        <n v="3621.0"/>
        <n v="4179.0"/>
        <n v="89407.0"/>
        <n v="121190.0"/>
        <n v="45524.0"/>
        <n v="3634.0"/>
        <n v="104327.0"/>
        <n v="71282.0"/>
        <n v="89411.0"/>
        <n v="105361.0"/>
        <n v="105359.0"/>
        <n v="75174.0"/>
        <n v="11895.0"/>
        <n v="11812.0"/>
        <n v="11815.0"/>
        <n v="11784.0"/>
        <n v="89241.0"/>
        <n v="117688.0"/>
        <n v="77688.0"/>
        <n v="89282.0"/>
        <n v="11769.0"/>
        <n v="117544.0"/>
        <n v="94860.0"/>
        <n v="79041.0"/>
        <n v="117686.0"/>
        <n v="89299.0"/>
        <n v="11823.0"/>
        <n v="117543.0"/>
        <n v="11765.0"/>
        <n v="121519.0"/>
        <n v="71276.0"/>
        <n v="120135.0"/>
        <n v="116793.0"/>
        <n v="11774.0"/>
        <n v="11900.0"/>
        <n v="11809.0"/>
        <n v="117642.0"/>
        <n v="71259.0"/>
        <n v="79047.0"/>
        <n v="11796.0"/>
        <n v="79043.0"/>
        <n v="89246.0"/>
        <n v="71275.0"/>
        <n v="11800.0"/>
        <n v="11818.0"/>
        <n v="11795.0"/>
        <n v="117641.0"/>
        <n v="82579.0"/>
        <n v="120153.0"/>
        <n v="81320.0"/>
        <n v="121517.0"/>
        <n v="89276.0"/>
        <n v="11822.0"/>
        <n v="11771.0"/>
        <n v="89295.0"/>
        <n v="117684.0"/>
        <n v="11817.0"/>
        <n v="120697.0"/>
        <n v="11783.0"/>
        <n v="11821.0"/>
        <n v="11814.0"/>
        <n v="71242.0"/>
        <n v="120449.0"/>
        <n v="23682.0"/>
        <n v="119076.0"/>
        <n v="9139.0"/>
        <n v="9138.0"/>
        <n v="109483.0"/>
        <n v="120438.0"/>
        <n v="120439.0"/>
        <n v="23681.0"/>
        <n v="89564.0"/>
        <n v="111962.0"/>
        <n v="124771.0"/>
        <n v="120446.0"/>
        <n v="111973.0"/>
        <n v="120437.0"/>
        <n v="124769.0"/>
        <n v="111972.0"/>
        <n v="47390.0"/>
        <n v="27047.0"/>
        <n v="68713.0"/>
        <n v="120568.0"/>
        <n v="120567.0"/>
        <n v="77038.0"/>
        <n v="87760.0"/>
        <n v="122612.0"/>
        <n v="110655.0"/>
        <n v="87785.0"/>
        <n v="122629.0"/>
        <n v="122614.0"/>
        <n v="122788.0"/>
        <n v="20226.0"/>
        <n v="120894.0"/>
        <n v="46762.0"/>
        <n v="118212.0"/>
        <n v="150950.0"/>
        <n v="190106.0"/>
        <n v="79810.0"/>
        <n v="82459.0"/>
        <n v="49360.0"/>
        <n v="194507.0"/>
        <n v="82453.0"/>
        <n v="79669.0"/>
        <n v="122294.0"/>
        <n v="73245.0"/>
        <n v="122082.0"/>
        <n v="194501.0"/>
        <n v="79105.0"/>
        <n v="87769.0"/>
        <n v="9734.0"/>
        <n v="149615.0"/>
        <n v="108966.0"/>
        <n v="116943.0"/>
        <n v="46769.0"/>
        <n v="87766.0"/>
        <n v="110701.0"/>
        <n v="4205.0"/>
        <n v="122615.0"/>
        <n v="87800.0"/>
        <n v="87801.0"/>
        <n v="87767.0"/>
        <n v="82454.0"/>
        <n v="194506.0"/>
        <n v="16240.0"/>
        <n v="16237.0"/>
        <n v="122760.0"/>
        <n v="82446.0"/>
        <n v="118333.0"/>
        <n v="122774.0"/>
        <n v="87789.0"/>
        <n v="111159.0"/>
        <n v="194500.0"/>
        <n v="80432.0"/>
        <n v="122636.0"/>
        <n v="110697.0"/>
        <n v="117966.0"/>
        <n v="122782.0"/>
        <n v="49358.0"/>
        <n v="190250.0"/>
        <n v="100243.0"/>
        <n v="87773.0"/>
        <n v="79103.0"/>
        <n v="87759.0"/>
        <n v="82461.0"/>
        <n v="122613.0"/>
        <n v="79746.0"/>
        <n v="110860.0"/>
        <n v="49355.0"/>
        <n v="93520.0"/>
        <n v="87765.0"/>
        <n v="110863.0"/>
        <n v="16238.0"/>
        <n v="122643.0"/>
        <n v="82452.0"/>
        <n v="122775.0"/>
        <n v="100240.0"/>
        <n v="87758.0"/>
        <n v="110689.0"/>
        <n v="110704.0"/>
        <n v="82455.0"/>
        <n v="127013.0"/>
        <n v="113063.0"/>
        <n v="11296.0"/>
        <n v="105305.0"/>
        <n v="73244.0"/>
        <n v="82458.0"/>
        <n v="105302.0"/>
        <n v="150951.0"/>
        <n v="122492.0"/>
        <n v="110436.0"/>
        <n v="10674.0"/>
        <n v="117166.0"/>
        <n v="111776.0"/>
        <n v="122388.0"/>
        <n v="117160.0"/>
        <n v="98795.0"/>
        <n v="117150.0"/>
        <n v="109416.0"/>
        <n v="122291.0"/>
        <n v="21820.0"/>
        <n v="150105.0"/>
        <n v="46474.0"/>
        <n v="118207.0"/>
        <n v="111007.0"/>
        <n v="9727.0"/>
        <n v="72321.0"/>
        <n v="100063.0"/>
        <n v="79818.0"/>
        <n v="121731.0"/>
        <n v="200584.0"/>
        <n v="68600.0"/>
        <n v="98788.0"/>
        <n v="122390.0"/>
        <n v="109930.0"/>
        <n v="118299.0"/>
        <n v="72320.0"/>
        <n v="87839.0"/>
        <n v="79819.0"/>
        <n v="117169.0"/>
        <n v="200585.0"/>
        <n v="70339.0"/>
        <n v="45597.0"/>
        <n v="117147.0"/>
        <n v="46309.0"/>
        <n v="45595.0"/>
        <n v="100311.0"/>
        <n v="122491.0"/>
        <n v="117466.0"/>
        <n v="85107.0"/>
        <n v="45594.0"/>
        <n v="118298.0"/>
        <n v="98802.0"/>
        <n v="46985.0"/>
        <n v="46476.0"/>
        <n v="110187.0"/>
        <n v="79988.0"/>
        <n v="46970.0"/>
        <n v="6519.0"/>
        <n v="118205.0"/>
        <n v="109412.0"/>
        <n v="117931.0"/>
        <n v="70042.0"/>
        <n v="150104.0"/>
        <n v="72319.0"/>
        <n v="100060.0"/>
        <n v="6521.0"/>
        <n v="45058.0"/>
        <n v="117139.0"/>
        <n v="117464.0"/>
        <n v="111777.0"/>
        <n v="122375.0"/>
        <n v="122282.0"/>
        <n v="47161.0"/>
        <n v="47159.0"/>
        <n v="71327.0"/>
        <n v="122276.0"/>
        <n v="72806.0"/>
        <n v="100248.0"/>
        <n v="122378.0"/>
        <n v="44762.0"/>
        <n v="100247.0"/>
        <n v="182272.0"/>
        <n v="128297.0"/>
        <n v="10673.0"/>
        <n v="69332.0"/>
        <n v="151239.0"/>
        <n v="116667.0"/>
        <n v="72809.0"/>
        <n v="165917.0"/>
        <n v="8746.0"/>
        <n v="122374.0"/>
        <n v="118166.0"/>
        <n v="42729.0"/>
        <n v="182271.0"/>
        <n v="109211.0"/>
        <n v="192901.0"/>
        <n v="122379.0"/>
        <n v="109891.0"/>
        <n v="125688.0"/>
        <n v="68599.0"/>
        <n v="104841.0"/>
        <n v="20243.0"/>
        <n v="10332.0"/>
        <n v="7361.0"/>
        <n v="21320.0"/>
        <n v="7365.0"/>
        <n v="7364.0"/>
        <n v="7362.0"/>
        <n v="117237.0"/>
        <n v="19784.0"/>
        <n v="9329.0"/>
        <n v="10859.0"/>
        <n v="118329.0"/>
        <n v="105169.0"/>
        <n v="90567.0"/>
        <n v="46672.0"/>
        <n v="118229.0"/>
        <n v="193230.0"/>
        <n v="193254.0"/>
        <n v="113228.0"/>
        <n v="193193.0"/>
        <n v="113223.0"/>
        <n v="113227.0"/>
        <n v="114198.0"/>
        <n v="100451.0"/>
        <n v="100446.0"/>
        <n v="193253.0"/>
        <n v="82432.0"/>
        <n v="122703.0"/>
        <n v="129410.0"/>
        <n v="103236.0"/>
        <n v="127534.0"/>
        <n v="100906.0"/>
        <n v="109098.0"/>
        <n v="155864.0"/>
        <n v="120314.0"/>
        <n v="199547.0"/>
        <n v="110540.0"/>
        <n v="182190.0"/>
        <n v="79341.0"/>
        <n v="108969.0"/>
        <n v="79939.0"/>
        <n v="11733.0"/>
        <n v="12647.0"/>
        <n v="122292.0"/>
        <n v="117433.0"/>
        <n v="127018.0"/>
        <n v="9705.0"/>
        <n v="9703.0"/>
        <n v="86005.0"/>
        <n v="9704.0"/>
        <n v="182189.0"/>
        <n v="29452.0"/>
        <n v="122485.0"/>
        <n v="9706.0"/>
        <n v="12648.0"/>
        <n v="93899.0"/>
        <n v="28890.0"/>
        <n v="17638.0"/>
        <n v="28888.0"/>
        <n v="29455.0"/>
        <n v="93895.0"/>
        <n v="116417.0"/>
        <n v="1971.0"/>
        <n v="12649.0"/>
        <n v="93896.0"/>
        <n v="44386.0"/>
        <n v="188156.0"/>
        <n v="7360.0"/>
        <n v="79323.0"/>
        <n v="72015.0"/>
        <n v="44310.0"/>
        <n v="77044.0"/>
        <n v="120636.0"/>
        <n v="92662.0"/>
        <n v="117263.0"/>
        <n v="117261.0"/>
        <n v="10644.0"/>
        <n v="102457.0"/>
        <n v="117419.0"/>
        <n v="150939.0"/>
        <n v="10517.0"/>
        <n v="79109.0"/>
        <n v="118918.0"/>
        <n v="102456.0"/>
        <n v="155865.0"/>
        <n v="100443.0"/>
        <n v="93833.0"/>
        <n v="76693.0"/>
        <n v="100441.0"/>
        <n v="103230.0"/>
        <n v="117902.0"/>
        <n v="105745.0"/>
        <n v="100811.0"/>
        <n v="102505.0"/>
        <n v="121317.0"/>
        <n v="121318.0"/>
        <n v="95155.0"/>
        <n v="25199.0"/>
        <n v="156020.0"/>
        <n v="28587.0"/>
        <n v="16050.0"/>
        <n v="119453.0"/>
        <n v="113070.0"/>
        <n v="99097.0"/>
        <n v="99099.0"/>
        <n v="104998.0"/>
        <n v="110524.0"/>
        <n v="117133.0"/>
        <n v="70696.0"/>
        <n v="121278.0"/>
        <n v="74382.0"/>
        <n v="121921.0"/>
        <n v="83853.0"/>
        <n v="111706.0"/>
        <n v="15062.0"/>
        <n v="79948.0"/>
        <n v="84400.0"/>
        <n v="79299.0"/>
        <n v="19776.0"/>
        <n v="74392.0"/>
        <n v="83399.0"/>
        <n v="74383.0"/>
        <n v="100819.0"/>
        <n v="190857.0"/>
        <n v="120331.0"/>
        <n v="87580.0"/>
        <n v="79300.0"/>
        <n v="79950.0"/>
        <n v="84402.0"/>
        <n v="79298.0"/>
        <n v="145105.0"/>
        <n v="92313.0"/>
        <n v="121735.0"/>
        <n v="47545.0"/>
        <n v="122630.0"/>
        <n v="159490.0"/>
        <n v="120519.0"/>
        <n v="159403.0"/>
        <n v="159617.0"/>
        <n v="85839.0"/>
        <n v="85838.0"/>
        <n v="8868.0"/>
        <n v="116191.0"/>
        <n v="90828.0"/>
        <n v="26276.0"/>
        <n v="29022.0"/>
        <n v="111081.0"/>
        <n v="26277.0"/>
        <n v="100251.0"/>
        <n v="87885.0"/>
        <n v="29023.0"/>
        <n v="100250.0"/>
        <n v="116320.0"/>
        <n v="122149.0"/>
        <n v="107220.0"/>
        <n v="122151.0"/>
        <n v="115766.0"/>
        <n v="114033.0"/>
        <n v="149508.0"/>
        <n v="107256.0"/>
        <n v="121615.0"/>
        <n v="107226.0"/>
        <n v="120188.0"/>
        <n v="107944.0"/>
        <n v="70243.0"/>
        <n v="149505.0"/>
        <n v="101428.0"/>
        <n v="121798.0"/>
        <n v="88636.0"/>
        <n v="111038.0"/>
        <n v="75032.0"/>
        <n v="70187.0"/>
        <n v="147278.0"/>
        <n v="114972.0"/>
        <n v="75072.0"/>
        <n v="114971.0"/>
        <n v="99981.0"/>
        <n v="86383.0"/>
        <n v="89587.0"/>
        <n v="89516.0"/>
        <n v="89519.0"/>
        <n v="75060.0"/>
        <n v="111745.0"/>
        <n v="70242.0"/>
        <n v="75061.0"/>
        <n v="69467.0"/>
        <n v="121800.0"/>
        <n v="110974.0"/>
        <n v="114969.0"/>
        <n v="111041.0"/>
        <n v="82382.0"/>
        <n v="89634.0"/>
        <n v="82381.0"/>
        <n v="107232.0"/>
        <n v="70247.0"/>
        <n v="107253.0"/>
        <n v="102709.0"/>
        <n v="75050.0"/>
        <n v="111014.0"/>
        <n v="120282.0"/>
        <n v="84512.0"/>
        <n v="77197.0"/>
        <n v="29650.0"/>
        <n v="4162.0"/>
        <n v="88214.0"/>
        <n v="73254.0"/>
        <n v="108204.0"/>
        <n v="9676.0"/>
        <n v="44412.0"/>
        <n v="73253.0"/>
        <n v="122516.0"/>
        <n v="70314.0"/>
        <n v="17644.0"/>
        <n v="118996.0"/>
        <n v="79199.0"/>
        <n v="128316.0"/>
        <n v="7933.0"/>
        <n v="85944.0"/>
        <n v="76665.0"/>
        <n v="102286.0"/>
        <n v="77199.0"/>
        <n v="11722.0"/>
        <n v="97949.0"/>
        <n v="9701.0"/>
        <n v="117615.0"/>
        <n v="10076.0"/>
        <n v="106572.0"/>
        <n v="10081.0"/>
        <n v="46424.0"/>
        <n v="118931.0"/>
        <n v="10078.0"/>
        <n v="75824.0"/>
        <n v="80433.0"/>
        <n v="106566.0"/>
        <n v="9702.0"/>
        <n v="122445.0"/>
        <n v="77178.0"/>
        <n v="10075.0"/>
        <n v="10079.0"/>
        <n v="111469.0"/>
        <n v="166324.0"/>
        <n v="7829.0"/>
        <n v="105507.0"/>
        <n v="12834.0"/>
        <n v="27984.0"/>
        <n v="29444.0"/>
        <n v="107878.0"/>
        <n v="122416.0"/>
        <n v="95628.0"/>
        <n v="9654.0"/>
        <n v="105609.0"/>
        <n v="118932.0"/>
        <n v="103976.0"/>
        <n v="107881.0"/>
        <n v="7830.0"/>
        <n v="159717.0"/>
        <n v="113449.0"/>
        <n v="79942.0"/>
        <n v="29437.0"/>
        <n v="99234.0"/>
        <n v="103985.0"/>
        <n v="97947.0"/>
        <n v="101083.0"/>
        <n v="111287.0"/>
        <n v="11728.0"/>
        <n v="111286.0"/>
        <n v="29426.0"/>
        <n v="93419.0"/>
        <n v="93418.0"/>
        <n v="79198.0"/>
        <n v="11720.0"/>
        <n v="122534.0"/>
        <n v="92209.0"/>
        <n v="93417.0"/>
        <n v="103197.0"/>
        <n v="118930.0"/>
        <n v="92199.0"/>
        <n v="29647.0"/>
        <n v="121857.0"/>
        <n v="129484.0"/>
        <n v="122405.0"/>
        <n v="108690.0"/>
        <n v="11726.0"/>
        <n v="109074.0"/>
        <n v="75818.0"/>
        <n v="10663.0"/>
        <n v="9667.0"/>
        <n v="109073.0"/>
        <n v="11731.0"/>
        <n v="155869.0"/>
        <n v="118982.0"/>
        <n v="29642.0"/>
        <n v="111774.0"/>
        <n v="117290.0"/>
        <n v="105593.0"/>
        <n v="70751.0"/>
        <n v="118929.0"/>
        <n v="70594.0"/>
        <n v="118270.0"/>
        <n v="20584.0"/>
        <n v="150541.0"/>
        <n v="12633.0"/>
        <n v="9666.0"/>
        <n v="79940.0"/>
        <n v="201198.0"/>
        <n v="117268.0"/>
        <n v="80623.0"/>
        <n v="9698.0"/>
        <n v="83102.0"/>
        <n v="118271.0"/>
        <n v="41659.0"/>
        <n v="81564.0"/>
        <n v="110132.0"/>
        <n v="17639.0"/>
        <n v="201025.0"/>
        <n v="70589.0"/>
        <n v="75825.0"/>
        <n v="9699.0"/>
        <n v="122448.0"/>
        <n v="105506.0"/>
        <n v="142304.0"/>
        <n v="105505.0"/>
        <n v="122502.0"/>
        <n v="118264.0"/>
        <n v="17632.0"/>
        <n v="108790.0"/>
        <n v="92200.0"/>
        <n v="17634.0"/>
        <n v="122522.0"/>
        <n v="122505.0"/>
        <n v="93416.0"/>
        <n v="93406.0"/>
        <n v="69329.0"/>
        <n v="155953.0"/>
        <n v="11721.0"/>
        <n v="41654.0"/>
        <n v="92204.0"/>
        <n v="105572.0"/>
        <n v="110141.0"/>
        <n v="158471.0"/>
        <n v="120876.0"/>
        <n v="87437.0"/>
        <n v="121462.0"/>
        <n v="69471.0"/>
        <n v="114904.0"/>
        <n v="113910.0"/>
        <n v="18100.0"/>
        <n v="114963.0"/>
        <n v="121495.0"/>
        <n v="83041.0"/>
        <n v="121499.0"/>
        <n v="108528.0"/>
        <n v="69547.0"/>
        <n v="18126.0"/>
        <n v="121812.0"/>
        <n v="81497.0"/>
        <n v="121500.0"/>
        <n v="45903.0"/>
        <n v="121813.0"/>
        <n v="108512.0"/>
        <n v="70189.0"/>
        <n v="194057.0"/>
        <n v="121460.0"/>
        <n v="121950.0"/>
        <n v="121811.0"/>
        <n v="86400.0"/>
        <n v="108527.0"/>
        <n v="88622.0"/>
        <n v="121803.0"/>
        <n v="87418.0"/>
        <n v="26275.0"/>
        <n v="119229.0"/>
        <n v="74881.0"/>
        <n v="86469.0"/>
        <n v="120798.0"/>
        <n v="86479.0"/>
        <n v="80411.0"/>
        <n v="120797.0"/>
        <n v="86480.0"/>
        <n v="86478.0"/>
        <n v="118887.0"/>
        <n v="121802.0"/>
        <n v="87440.0"/>
        <n v="86477.0"/>
        <n v="83059.0"/>
        <n v="86449.0"/>
        <n v="86416.0"/>
        <n v="83064.0"/>
        <n v="108514.0"/>
        <n v="86454.0"/>
        <n v="143238.0"/>
        <n v="107070.0"/>
        <n v="114467.0"/>
        <n v="143237.0"/>
        <n v="86417.0"/>
        <n v="147317.0"/>
        <n v="122177.0"/>
        <n v="114909.0"/>
        <n v="119230.0"/>
        <n v="107109.0"/>
        <n v="121461.0"/>
        <n v="86413.0"/>
        <n v="108511.0"/>
        <n v="120877.0"/>
        <n v="194052.0"/>
        <n v="121493.0"/>
        <n v="121479.0"/>
        <n v="79011.0"/>
        <n v="86470.0"/>
        <n v="194997.0"/>
        <n v="108515.0"/>
        <n v="69346.0"/>
        <n v="119971.0"/>
        <n v="107274.0"/>
        <n v="69451.0"/>
        <n v="87416.0"/>
        <n v="23667.0"/>
        <n v="112770.0"/>
        <n v="116186.0"/>
        <n v="95413.0"/>
        <n v="116184.0"/>
        <n v="95412.0"/>
        <n v="95414.0"/>
        <n v="24088.0"/>
        <n v="75156.0"/>
        <n v="6216.0"/>
        <n v="149867.0"/>
        <n v="44037.0"/>
        <n v="83029.0"/>
        <n v="100395.0"/>
        <n v="110437.0"/>
        <n v="29430.0"/>
        <n v="95416.0"/>
        <n v="108493.0"/>
        <n v="109293.0"/>
        <n v="73581.0"/>
        <n v="100396.0"/>
        <n v="45917.0"/>
        <n v="83420.0"/>
        <n v="101591.0"/>
        <n v="116181.0"/>
        <n v="109300.0"/>
        <n v="46160.0"/>
        <n v="116202.0"/>
        <n v="106884.0"/>
        <n v="98598.0"/>
        <n v="78515.0"/>
        <n v="46154.0"/>
        <n v="23668.0"/>
        <n v="107900.0"/>
        <n v="85037.0"/>
        <n v="49182.0"/>
        <n v="69111.0"/>
        <n v="80054.0"/>
        <n v="79782.0"/>
        <n v="80045.0"/>
        <n v="69108.0"/>
        <n v="69112.0"/>
        <n v="121992.0"/>
        <n v="80048.0"/>
        <n v="121982.0"/>
        <n v="121974.0"/>
        <n v="69110.0"/>
        <n v="23540.0"/>
        <n v="69123.0"/>
        <n v="121984.0"/>
        <n v="121979.0"/>
        <n v="80043.0"/>
        <n v="100326.0"/>
        <n v="69117.0"/>
        <n v="100334.0"/>
        <n v="69120.0"/>
        <n v="69119.0"/>
        <n v="69118.0"/>
        <n v="80044.0"/>
        <n v="23556.0"/>
        <n v="69114.0"/>
        <n v="79778.0"/>
        <n v="100323.0"/>
        <n v="69116.0"/>
        <n v="68938.0"/>
        <n v="121987.0"/>
        <n v="69113.0"/>
        <n v="80053.0"/>
        <n v="121986.0"/>
        <n v="121988.0"/>
        <n v="121990.0"/>
        <n v="68941.0"/>
        <n v="69122.0"/>
        <n v="80049.0"/>
        <n v="121971.0"/>
        <n v="68945.0"/>
        <n v="79780.0"/>
        <n v="80056.0"/>
        <n v="80040.0"/>
        <n v="114480.0"/>
        <n v="111922.0"/>
        <n v="111924.0"/>
        <n v="80047.0"/>
        <n v="69121.0"/>
        <n v="68939.0"/>
        <n v="69124.0"/>
        <n v="23552.0"/>
        <n v="68943.0"/>
        <n v="69115.0"/>
        <n v="81122.0"/>
        <n v="84672.0"/>
        <n v="81127.0"/>
        <n v="87858.0"/>
        <n v="84673.0"/>
        <n v="81064.0"/>
        <n v="81139.0"/>
        <n v="81141.0"/>
        <n v="81054.0"/>
        <n v="118352.0"/>
        <n v="81091.0"/>
        <n v="81025.0"/>
        <n v="81129.0"/>
        <n v="81043.0"/>
        <n v="81120.0"/>
        <n v="81109.0"/>
        <n v="81082.0"/>
        <n v="81036.0"/>
        <n v="81690.0"/>
        <n v="87849.0"/>
        <n v="81094.0"/>
        <n v="202726.0"/>
        <n v="101516.0"/>
        <n v="84332.0"/>
        <n v="16959.0"/>
        <n v="87762.0"/>
        <n v="16952.0"/>
        <n v="16958.0"/>
        <n v="16950.0"/>
        <n v="102266.0"/>
        <n v="202746.0"/>
        <n v="101519.0"/>
        <n v="81688.0"/>
        <n v="120365.0"/>
        <n v="3438.0"/>
        <n v="102262.0"/>
        <n v="87764.0"/>
        <n v="3437.0"/>
        <n v="111017.0"/>
        <n v="102264.0"/>
        <n v="18088.0"/>
        <n v="87836.0"/>
        <n v="87804.0"/>
        <n v="108207.0"/>
        <n v="111043.0"/>
        <n v="100223.0"/>
        <n v="92161.0"/>
        <n v="113405.0"/>
        <n v="120817.0"/>
        <n v="14520.0"/>
        <n v="104928.0"/>
        <n v="14517.0"/>
        <n v="122563.0"/>
        <n v="96404.0"/>
        <n v="121469.0"/>
        <n v="122579.0"/>
        <n v="113407.0"/>
        <n v="91995.0"/>
        <n v="81178.0"/>
        <n v="12918.0"/>
        <n v="122411.0"/>
        <n v="81194.0"/>
        <n v="71876.0"/>
        <n v="129493.0"/>
        <n v="81190.0"/>
        <n v="71875.0"/>
        <n v="81198.0"/>
        <n v="188723.0"/>
        <n v="115053.0"/>
        <n v="104609.0"/>
        <n v="12916.0"/>
        <n v="129488.0"/>
        <n v="78566.0"/>
        <n v="15090.0"/>
        <n v="81209.0"/>
        <n v="108141.0"/>
        <n v="12914.0"/>
        <n v="129492.0"/>
        <n v="120473.0"/>
        <n v="12924.0"/>
        <n v="12920.0"/>
        <n v="81200.0"/>
        <n v="122410.0"/>
        <n v="81720.0"/>
        <n v="12923.0"/>
        <n v="81173.0"/>
        <n v="12910.0"/>
        <n v="81193.0"/>
        <n v="12917.0"/>
        <n v="129491.0"/>
        <n v="15104.0"/>
        <n v="122407.0"/>
        <n v="81191.0"/>
        <n v="188725.0"/>
        <n v="188724.0"/>
        <n v="12911.0"/>
        <n v="21612.0"/>
        <n v="21603.0"/>
        <n v="81218.0"/>
        <n v="70543.0"/>
        <n v="80549.0"/>
        <n v="79404.0"/>
        <n v="110596.0"/>
        <n v="70547.0"/>
        <n v="11410.0"/>
        <n v="116632.0"/>
        <n v="80546.0"/>
        <n v="80572.0"/>
        <n v="70558.0"/>
        <n v="79405.0"/>
        <n v="80543.0"/>
        <n v="14041.0"/>
        <n v="70559.0"/>
        <n v="80582.0"/>
        <n v="90004.0"/>
        <n v="117907.0"/>
        <n v="70542.0"/>
        <n v="81210.0"/>
        <n v="81211.0"/>
        <n v="80573.0"/>
        <n v="117909.0"/>
        <n v="80584.0"/>
        <n v="80550.0"/>
        <n v="81227.0"/>
        <n v="80578.0"/>
        <n v="110595.0"/>
        <n v="70557.0"/>
        <n v="147284.0"/>
        <n v="70553.0"/>
        <n v="81212.0"/>
        <n v="120427.0"/>
        <n v="46049.0"/>
        <n v="46039.0"/>
        <n v="46037.0"/>
        <n v="88965.0"/>
        <n v="102614.0"/>
        <n v="122704.0"/>
        <n v="164902.0"/>
        <n v="117783.0"/>
        <n v="114278.0"/>
        <n v="46056.0"/>
        <n v="5703.0"/>
        <n v="102607.0"/>
        <n v="87913.0"/>
        <n v="149513.0"/>
        <n v="87909.0"/>
        <n v="101897.0"/>
        <n v="121675.0"/>
        <n v="99349.0"/>
        <n v="117785.0"/>
        <n v="120558.0"/>
        <n v="99351.0"/>
        <n v="113058.0"/>
        <n v="118917.0"/>
        <n v="164891.0"/>
        <n v="101901.0"/>
        <n v="197164.0"/>
        <n v="114277.0"/>
        <n v="86913.0"/>
        <n v="88971.0"/>
        <n v="188840.0"/>
        <n v="95652.0"/>
        <n v="68627.0"/>
        <n v="46043.0"/>
        <n v="60592.0"/>
        <n v="99350.0"/>
        <n v="78983.0"/>
        <n v="188845.0"/>
        <n v="117787.0"/>
        <n v="119986.0"/>
        <n v="188841.0"/>
        <n v="99348.0"/>
        <n v="78978.0"/>
        <n v="120556.0"/>
        <n v="80254.0"/>
        <n v="121911.0"/>
        <n v="120328.0"/>
        <n v="122702.0"/>
        <n v="92542.0"/>
        <n v="15423.0"/>
        <n v="111797.0"/>
        <n v="112626.0"/>
        <n v="12925.0"/>
        <n v="107034.0"/>
        <n v="88319.0"/>
        <n v="3453.0"/>
        <n v="121425.0"/>
        <n v="10561.0"/>
        <n v="90294.0"/>
        <n v="70804.0"/>
        <n v="81237.0"/>
        <n v="47564.0"/>
        <n v="24055.0"/>
        <n v="48637.0"/>
        <n v="3447.0"/>
        <n v="117921.0"/>
        <n v="128322.0"/>
        <n v="42207.0"/>
        <n v="108394.0"/>
        <n v="119967.0"/>
        <n v="81235.0"/>
        <n v="24053.0"/>
        <n v="116936.0"/>
        <n v="44268.0"/>
        <n v="111946.0"/>
        <n v="81234.0"/>
        <n v="24038.0"/>
        <n v="44882.0"/>
        <n v="44266.0"/>
        <n v="3452.0"/>
        <n v="118569.0"/>
        <n v="84378.0"/>
        <n v="112731.0"/>
        <n v="166201.0"/>
        <n v="48495.0"/>
        <n v="10383.0"/>
        <n v="116284.0"/>
        <n v="86543.0"/>
        <n v="21165.0"/>
        <n v="10309.0"/>
        <n v="10367.0"/>
        <n v="86545.0"/>
        <n v="86544.0"/>
        <n v="10384.0"/>
        <n v="79314.0"/>
        <n v="79311.0"/>
        <n v="118249.0"/>
        <n v="128420.0"/>
        <n v="120692.0"/>
        <n v="122464.0"/>
        <n v="79762.0"/>
        <n v="79315.0"/>
        <n v="98941.0"/>
        <n v="118245.0"/>
        <n v="122333.0"/>
        <n v="121901.0"/>
        <n v="79316.0"/>
        <n v="109899.0"/>
        <n v="70570.0"/>
        <n v="79364.0"/>
        <n v="113103.0"/>
        <n v="200581.0"/>
        <n v="91490.0"/>
        <n v="79320.0"/>
        <n v="122331.0"/>
        <n v="79921.0"/>
        <n v="128421.0"/>
        <n v="80421.0"/>
        <n v="121867.0"/>
        <n v="122501.0"/>
        <n v="44531.0"/>
        <n v="118153.0"/>
        <n v="118244.0"/>
        <n v="46974.0"/>
        <n v="69232.0"/>
        <n v="117461.0"/>
        <n v="122324.0"/>
        <n v="119023.0"/>
        <n v="70600.0"/>
        <n v="10689.0"/>
        <n v="158427.0"/>
        <n v="122462.0"/>
        <n v="155951.0"/>
        <n v="79338.0"/>
        <n v="79919.0"/>
        <n v="117057.0"/>
        <n v="122334.0"/>
        <n v="122648.0"/>
        <n v="128418.0"/>
        <n v="109883.0"/>
        <n v="119027.0"/>
        <n v="30522.0"/>
        <n v="118155.0"/>
        <n v="188068.0"/>
        <n v="92613.0"/>
        <n v="69234.0"/>
        <n v="109938.0"/>
        <n v="120307.0"/>
        <n v="118906.0"/>
        <n v="128309.0"/>
        <n v="1986.0"/>
        <n v="117749.0"/>
        <n v="117748.0"/>
        <n v="1962.0"/>
        <n v="109994.0"/>
        <n v="69364.0"/>
        <n v="69365.0"/>
        <n v="46990.0"/>
        <n v="11428.0"/>
        <n v="122318.0"/>
        <n v="182194.0"/>
        <n v="147256.0"/>
        <n v="5079.0"/>
        <n v="92621.0"/>
        <n v="11003.0"/>
        <n v="117560.0"/>
        <n v="188368.0"/>
        <n v="124765.0"/>
        <n v="8726.0"/>
        <n v="118158.0"/>
        <n v="121871.0"/>
        <n v="121876.0"/>
        <n v="121877.0"/>
        <n v="121879.0"/>
        <n v="121874.0"/>
        <n v="121893.0"/>
        <n v="121892.0"/>
        <n v="102678.0"/>
        <n v="121887.0"/>
        <n v="21344.0"/>
        <n v="121873.0"/>
        <n v="108833.0"/>
        <n v="121882.0"/>
        <n v="91492.0"/>
        <n v="111392.0"/>
        <n v="108835.0"/>
        <n v="118111.0"/>
        <n v="121872.0"/>
        <n v="112885.0"/>
        <n v="108738.0"/>
        <n v="21338.0"/>
        <n v="76513.0"/>
        <n v="76514.0"/>
        <n v="21339.0"/>
        <n v="75436.0"/>
        <n v="84092.0"/>
        <n v="86943.0"/>
        <n v="8688.0"/>
        <n v="117967.0"/>
        <n v="23061.0"/>
        <n v="10688.0"/>
        <n v="8690.0"/>
        <n v="79808.0"/>
        <n v="44797.0"/>
        <n v="79807.0"/>
        <n v="11426.0"/>
        <n v="45059.0"/>
        <n v="200582.0"/>
        <n v="143825.0"/>
        <n v="85232.0"/>
        <n v="79806.0"/>
        <n v="46991.0"/>
        <n v="69360.0"/>
        <n v="110441.0"/>
        <n v="120781.0"/>
        <n v="79809.0"/>
        <n v="45057.0"/>
        <n v="79805.0"/>
        <n v="45707.0"/>
        <n v="117282.0"/>
        <n v="30503.0"/>
        <n v="187336.0"/>
        <n v="82427.0"/>
        <n v="11000.0"/>
        <n v="117274.0"/>
        <n v="117445.0"/>
        <n v="103246.0"/>
        <n v="92626.0"/>
        <n v="79352.0"/>
        <n v="128315.0"/>
        <n v="117272.0"/>
        <n v="116770.0"/>
        <n v="118012.0"/>
        <n v="117306.0"/>
        <n v="117056.0"/>
        <n v="188066.0"/>
        <n v="181147.0"/>
        <n v="79917.0"/>
        <n v="110282.0"/>
        <n v="200526.0"/>
        <n v="193197.0"/>
        <n v="79820.0"/>
        <n v="122327.0"/>
        <n v="117956.0"/>
        <n v="86182.0"/>
        <n v="46989.0"/>
        <n v="46976.0"/>
        <n v="79354.0"/>
        <n v="114268.0"/>
        <n v="10685.0"/>
        <n v="118157.0"/>
        <n v="122322.0"/>
        <n v="27509.0"/>
        <n v="110852.0"/>
        <n v="128312.0"/>
        <n v="79355.0"/>
        <n v="86185.0"/>
        <n v="77138.0"/>
        <n v="86183.0"/>
        <n v="122595.0"/>
        <n v="70338.0"/>
        <n v="114273.0"/>
        <n v="110849.0"/>
        <n v="45056.0"/>
        <n v="92633.0"/>
        <n v="111011.0"/>
        <n v="11002.0"/>
        <n v="80661.0"/>
        <n v="128310.0"/>
        <n v="182193.0"/>
        <n v="116771.0"/>
        <n v="103245.0"/>
        <n v="1961.0"/>
        <n v="128314.0"/>
        <n v="109993.0"/>
        <n v="117270.0"/>
        <n v="42748.0"/>
        <n v="110447.0"/>
        <n v="46979.0"/>
        <n v="1296.0"/>
        <n v="109973.0"/>
        <n v="155949.0"/>
        <n v="187346.0"/>
        <n v="46978.0"/>
        <n v="110283.0"/>
        <n v="147257.0"/>
        <n v="182191.0"/>
        <n v="9722.0"/>
        <n v="124772.0"/>
        <n v="8681.0"/>
        <n v="5077.0"/>
        <n v="114274.0"/>
        <n v="1297.0"/>
        <n v="46988.0"/>
        <n v="92623.0"/>
        <n v="79761.0"/>
        <n v="11001.0"/>
        <n v="9731.0"/>
        <n v="122316.0"/>
        <n v="147255.0"/>
        <n v="8675.0"/>
        <n v="121900.0"/>
        <n v="124764.0"/>
        <n v="124774.0"/>
        <n v="79353.0"/>
        <n v="82703.0"/>
        <n v="71820.0"/>
        <n v="128311.0"/>
        <n v="70595.0"/>
        <n v="8676.0"/>
        <n v="128313.0"/>
        <n v="45479.0"/>
        <n v="45481.0"/>
        <n v="80001.0"/>
        <n v="10068.0"/>
        <n v="10054.0"/>
        <n v="10070.0"/>
        <n v="45480.0"/>
        <n v="92791.0"/>
        <n v="188722.0"/>
        <n v="10061.0"/>
        <n v="188708.0"/>
        <n v="110927.0"/>
        <n v="188729.0"/>
        <n v="120969.0"/>
        <n v="188728.0"/>
        <n v="188663.0"/>
        <n v="188727.0"/>
        <n v="9741.0"/>
        <n v="70406.0"/>
        <n v="112114.0"/>
        <n v="70405.0"/>
        <n v="20405.0"/>
        <n v="121308.0"/>
        <n v="121311.0"/>
        <n v="124748.0"/>
        <n v="104315.0"/>
        <n v="104314.0"/>
        <n v="69287.0"/>
        <n v="5789.0"/>
        <n v="14013.0"/>
        <n v="14015.0"/>
        <n v="69291.0"/>
        <n v="26057.0"/>
        <n v="14022.0"/>
        <n v="80109.0"/>
        <n v="121686.0"/>
        <n v="60365.0"/>
        <n v="86488.0"/>
        <n v="122530.0"/>
        <n v="60526.0"/>
        <n v="116807.0"/>
        <n v="80030.0"/>
        <n v="122529.0"/>
        <n v="14042.0"/>
        <n v="14043.0"/>
        <n v="9157.0"/>
        <n v="149968.0"/>
        <n v="47299.0"/>
        <n v="109275.0"/>
        <n v="122768.0"/>
        <n v="80400.0"/>
        <n v="8803.0"/>
        <n v="80085.0"/>
        <n v="47379.0"/>
        <n v="47366.0"/>
        <n v="47376.0"/>
        <n v="95799.0"/>
        <n v="112733.0"/>
        <n v="47050.0"/>
        <n v="112449.0"/>
        <n v="14025.0"/>
        <n v="26054.0"/>
        <n v="60366.0"/>
        <n v="116805.0"/>
        <n v="8804.0"/>
        <n v="48470.0"/>
        <n v="86485.0"/>
        <n v="73872.0"/>
        <n v="72852.0"/>
        <n v="85856.0"/>
        <n v="14018.0"/>
        <n v="100262.0"/>
        <n v="114657.0"/>
        <n v="150281.0"/>
        <n v="81491.0"/>
        <n v="88519.0"/>
        <n v="116800.0"/>
        <n v="117675.0"/>
        <n v="47051.0"/>
        <n v="103171.0"/>
        <n v="47049.0"/>
        <n v="47351.0"/>
        <n v="47575.0"/>
        <n v="80088.0"/>
        <n v="47298.0"/>
        <n v="100271.0"/>
        <n v="47621.0"/>
        <n v="117609.0"/>
        <n v="103873.0"/>
        <n v="14026.0"/>
        <n v="95951.0"/>
        <n v="9162.0"/>
        <n v="80089.0"/>
        <n v="122521.0"/>
        <n v="69300.0"/>
        <n v="80417.0"/>
        <n v="128323.0"/>
        <n v="80091.0"/>
        <n v="92927.0"/>
        <n v="9158.0"/>
        <n v="103872.0"/>
        <n v="116809.0"/>
        <n v="114655.0"/>
        <n v="80228.0"/>
        <n v="47207.0"/>
        <n v="116402.0"/>
        <n v="116408.0"/>
        <n v="83592.0"/>
        <n v="122241.0"/>
        <n v="112799.0"/>
        <n v="122659.0"/>
        <n v="112797.0"/>
        <n v="122663.0"/>
        <n v="112809.0"/>
        <n v="80220.0"/>
        <n v="112732.0"/>
        <n v="83354.0"/>
        <n v="116410.0"/>
        <n v="103841.0"/>
        <n v="116746.0"/>
        <n v="116405.0"/>
        <n v="112810.0"/>
        <n v="47347.0"/>
        <n v="101902.0"/>
        <n v="92926.0"/>
        <n v="47345.0"/>
        <n v="121611.0"/>
        <n v="73310.0"/>
        <n v="80102.0"/>
        <n v="122773.0"/>
        <n v="119421.0"/>
        <n v="118276.0"/>
        <n v="47314.0"/>
        <n v="122771.0"/>
        <n v="47380.0"/>
        <n v="98329.0"/>
        <n v="81485.0"/>
        <n v="77847.0"/>
        <n v="77290.0"/>
        <n v="114656.0"/>
        <n v="118486.0"/>
        <n v="101889.0"/>
        <n v="14030.0"/>
        <n v="47381.0"/>
        <n v="101888.0"/>
        <n v="98328.0"/>
        <n v="79775.0"/>
        <n v="122616.0"/>
        <n v="101950.0"/>
        <n v="9163.0"/>
        <n v="110106.0"/>
        <n v="14045.0"/>
        <n v="95993.0"/>
        <n v="81488.0"/>
        <n v="14049.0"/>
        <n v="121749.0"/>
        <n v="101927.0"/>
        <n v="103864.0"/>
        <n v="85862.0"/>
        <n v="46124.0"/>
        <n v="114346.0"/>
        <n v="80194.0"/>
        <n v="80192.0"/>
        <n v="46109.0"/>
        <n v="80196.0"/>
        <n v="149602.0"/>
        <n v="46123.0"/>
        <n v="46113.0"/>
        <n v="46116.0"/>
        <n v="46119.0"/>
        <n v="63867.0"/>
        <n v="80190.0"/>
        <n v="48485.0"/>
        <n v="80203.0"/>
        <n v="100670.0"/>
        <n v="16546.0"/>
        <n v="121622.0"/>
        <n v="80202.0"/>
        <n v="24263.0"/>
        <n v="16552.0"/>
        <n v="112771.0"/>
        <n v="116197.0"/>
        <n v="46138.0"/>
        <n v="109546.0"/>
        <n v="199475.0"/>
        <n v="199479.0"/>
        <n v="48180.0"/>
        <n v="90374.0"/>
        <n v="80318.0"/>
        <n v="6206.0"/>
        <n v="181492.0"/>
        <n v="148738.0"/>
        <n v="100692.0"/>
        <n v="121708.0"/>
        <n v="47508.0"/>
        <n v="89514.0"/>
        <n v="117918.0"/>
        <n v="16645.0"/>
        <n v="148740.0"/>
        <n v="100688.0"/>
        <n v="148741.0"/>
        <n v="109299.0"/>
        <n v="196109.0"/>
        <n v="72155.0"/>
        <n v="80245.0"/>
        <n v="6215.0"/>
        <n v="45810.0"/>
        <n v="80205.0"/>
        <n v="107064.0"/>
        <n v="6211.0"/>
        <n v="44036.0"/>
        <n v="181493.0"/>
        <n v="6210.0"/>
        <n v="110431.0"/>
        <n v="122878.0"/>
        <n v="14092.0"/>
        <n v="121621.0"/>
        <n v="120511.0"/>
        <n v="46132.0"/>
        <n v="83014.0"/>
        <n v="80199.0"/>
        <n v="80201.0"/>
        <n v="46131.0"/>
        <n v="102346.0"/>
        <n v="14094.0"/>
        <n v="100679.0"/>
        <n v="102345.0"/>
        <n v="121695.0"/>
        <n v="6204.0"/>
        <n v="16571.0"/>
        <n v="181494.0"/>
        <n v="80315.0"/>
        <n v="83054.0"/>
        <n v="83056.0"/>
        <n v="83055.0"/>
        <n v="46134.0"/>
        <n v="121693.0"/>
        <n v="102344.0"/>
        <n v="100687.0"/>
        <n v="70327.0"/>
        <n v="80191.0"/>
        <n v="103037.0"/>
        <n v="6205.0"/>
        <n v="70387.0"/>
        <n v="122278.0"/>
        <n v="29365.0"/>
        <n v="17769.0"/>
        <n v="23144.0"/>
        <n v="120115.0"/>
        <n v="29384.0"/>
        <n v="17746.0"/>
        <n v="121630.0"/>
        <n v="29385.0"/>
        <n v="17767.0"/>
        <n v="103047.0"/>
        <n v="70209.0"/>
        <n v="29372.0"/>
        <n v="120485.0"/>
        <n v="120486.0"/>
        <n v="70293.0"/>
        <n v="71772.0"/>
        <n v="86111.0"/>
        <n v="71840.0"/>
        <n v="28533.0"/>
        <n v="86994.0"/>
        <n v="124881.0"/>
        <n v="119280.0"/>
        <n v="87001.0"/>
        <n v="71839.0"/>
        <n v="119288.0"/>
        <n v="71770.0"/>
        <n v="28536.0"/>
        <n v="90007.0"/>
        <n v="71830.0"/>
        <n v="71837.0"/>
        <n v="83640.0"/>
        <n v="111191.0"/>
        <n v="70442.0"/>
        <n v="122228.0"/>
        <n v="46822.0"/>
        <n v="71769.0"/>
        <n v="9302.0"/>
        <n v="90006.0"/>
        <n v="80673.0"/>
        <n v="71834.0"/>
        <n v="107310.0"/>
        <n v="71843.0"/>
        <n v="107358.0"/>
        <n v="44842.0"/>
        <n v="111181.0"/>
        <n v="71773.0"/>
        <n v="71836.0"/>
        <n v="70276.0"/>
        <n v="71775.0"/>
        <n v="44844.0"/>
        <n v="156181.0"/>
        <n v="102898.0"/>
        <n v="47600.0"/>
        <n v="111173.0"/>
        <n v="70201.0"/>
        <n v="71842.0"/>
        <n v="47601.0"/>
        <n v="87000.0"/>
        <n v="103457.0"/>
        <n v="42198.0"/>
        <n v="46823.0"/>
        <n v="116196.0"/>
        <n v="111177.0"/>
        <n v="70292.0"/>
        <n v="90008.0"/>
        <n v="71768.0"/>
        <n v="86972.0"/>
        <n v="111179.0"/>
        <n v="81726.0"/>
        <n v="28535.0"/>
        <n v="80682.0"/>
        <n v="144008.0"/>
        <n v="111129.0"/>
        <n v="107307.0"/>
        <n v="70206.0"/>
        <n v="107349.0"/>
        <n v="122231.0"/>
        <n v="103458.0"/>
        <n v="71838.0"/>
        <n v="104671.0"/>
        <n v="83793.0"/>
        <n v="50478.0"/>
        <n v="118891.0"/>
        <n v="70440.0"/>
        <n v="44840.0"/>
        <n v="107304.0"/>
        <n v="116195.0"/>
        <n v="86980.0"/>
        <n v="122230.0"/>
        <n v="47602.0"/>
        <n v="42190.0"/>
        <n v="111130.0"/>
        <n v="71774.0"/>
        <n v="75010.0"/>
        <n v="119276.0"/>
        <n v="83789.0"/>
        <n v="86999.0"/>
        <n v="80678.0"/>
        <n v="86973.0"/>
        <n v="81724.0"/>
        <n v="104678.0"/>
        <n v="71844.0"/>
        <n v="42287.0"/>
        <n v="116678.0"/>
        <n v="116845.0"/>
        <n v="114252.0"/>
        <n v="117595.0"/>
        <n v="109579.0"/>
        <n v="117597.0"/>
        <n v="14401.0"/>
        <n v="109290.0"/>
        <n v="117665.0"/>
        <n v="117681.0"/>
        <n v="119406.0"/>
        <n v="117676.0"/>
        <n v="109571.0"/>
        <n v="116676.0"/>
        <n v="116816.0"/>
        <n v="117663.0"/>
        <n v="117652.0"/>
        <n v="109289.0"/>
        <n v="117656.0"/>
        <n v="117677.0"/>
        <n v="116677.0"/>
        <n v="117256.0"/>
        <n v="122738.0"/>
        <n v="116679.0"/>
        <n v="116831.0"/>
        <n v="109577.0"/>
        <n v="77790.0"/>
        <n v="101172.0"/>
        <n v="87023.0"/>
        <n v="101520.0"/>
        <n v="118362.0"/>
        <n v="87313.0"/>
        <n v="111015.0"/>
        <n v="87312.0"/>
        <n v="87025.0"/>
        <n v="111587.0"/>
        <n v="114934.0"/>
        <n v="116519.0"/>
        <n v="116516.0"/>
        <n v="104931.0"/>
        <n v="105656.0"/>
        <n v="117702.0"/>
        <n v="88385.0"/>
        <n v="76451.0"/>
        <n v="199950.0"/>
        <n v="121167.0"/>
        <n v="199954.0"/>
        <n v="190713.0"/>
        <n v="199951.0"/>
        <n v="85263.0"/>
        <n v="180016.0"/>
        <n v="129432.0"/>
        <n v="120052.0"/>
        <n v="111876.0"/>
        <n v="85092.0"/>
        <n v="121046.0"/>
        <n v="849.0"/>
        <n v="21662.0"/>
        <n v="127038.0"/>
        <n v="91954.0"/>
        <n v="96365.0"/>
        <n v="121172.0"/>
        <n v="74331.0"/>
        <n v="105657.0"/>
        <n v="113716.0"/>
        <n v="104510.0"/>
        <n v="105059.0"/>
        <n v="63608.0"/>
        <n v="121095.0"/>
        <n v="76450.0"/>
        <n v="121012.0"/>
        <n v="113187.0"/>
        <n v="101946.0"/>
        <n v="117275.0"/>
        <n v="117695.0"/>
        <n v="74398.0"/>
        <n v="105230.0"/>
        <n v="112776.0"/>
        <n v="23968.0"/>
        <n v="127025.0"/>
        <n v="118956.0"/>
        <n v="118947.0"/>
        <n v="95873.0"/>
        <n v="118946.0"/>
        <n v="44991.0"/>
        <n v="122398.0"/>
        <n v="108638.0"/>
        <n v="113633.0"/>
        <n v="113649.0"/>
        <n v="113619.0"/>
        <n v="113648.0"/>
        <n v="120889.0"/>
        <n v="113620.0"/>
        <n v="113626.0"/>
        <n v="113657.0"/>
        <n v="113645.0"/>
        <n v="18247.0"/>
        <n v="121249.0"/>
        <n v="104912.0"/>
        <n v="73222.0"/>
        <n v="78834.0"/>
        <n v="15109.0"/>
        <n v="26126.0"/>
        <n v="48724.0"/>
        <n v="98888.0"/>
        <n v="48605.0"/>
        <n v="119243.0"/>
        <n v="22045.0"/>
        <n v="73221.0"/>
        <n v="72168.0"/>
        <n v="127039.0"/>
        <n v="155861.0"/>
        <n v="6213.0"/>
        <n v="6476.0"/>
        <n v="114933.0"/>
        <n v="6473.0"/>
        <n v="99248.0"/>
        <n v="6477.0"/>
        <n v="6478.0"/>
        <n v="6474.0"/>
        <n v="70574.0"/>
        <n v="101302.0"/>
        <n v="104475.0"/>
        <n v="101296.0"/>
        <n v="122029.0"/>
        <n v="102549.0"/>
        <n v="122026.0"/>
        <n v="101303.0"/>
        <n v="102548.0"/>
        <n v="122027.0"/>
        <n v="46963.0"/>
        <n v="102268.0"/>
        <n v="26649.0"/>
        <n v="102275.0"/>
        <n v="43943.0"/>
        <n v="102550.0"/>
        <n v="26650.0"/>
        <n v="117728.0"/>
        <n v="103588.0"/>
        <n v="101297.0"/>
        <n v="101298.0"/>
        <n v="113129.0"/>
        <n v="102551.0"/>
        <n v="117735.0"/>
        <n v="101299.0"/>
        <n v="103590.0"/>
        <n v="43944.0"/>
        <n v="113128.0"/>
        <n v="102553.0"/>
        <n v="114230.0"/>
        <n v="122028.0"/>
        <n v="102269.0"/>
        <n v="26651.0"/>
        <n v="101316.0"/>
        <n v="117742.0"/>
        <n v="101315.0"/>
        <n v="43945.0"/>
        <n v="103589.0"/>
        <n v="88896.0"/>
        <n v="103595.0"/>
        <n v="101300.0"/>
        <n v="113130.0"/>
        <n v="102272.0"/>
        <n v="43947.0"/>
        <n v="102271.0"/>
        <n v="103592.0"/>
        <n v="26652.0"/>
        <n v="43946.0"/>
        <n v="101301.0"/>
        <n v="108458.0"/>
        <n v="117736.0"/>
        <n v="49606.0"/>
        <n v="106297.0"/>
        <n v="15556.0"/>
        <n v="49605.0"/>
        <n v="102312.0"/>
        <n v="121125.0"/>
        <n v="106401.0"/>
        <n v="116834.0"/>
        <n v="1953.0"/>
        <n v="106305.0"/>
        <n v="108278.0"/>
        <n v="47660.0"/>
        <n v="47657.0"/>
        <n v="64185.0"/>
        <n v="108256.0"/>
        <n v="62597.0"/>
        <n v="102304.0"/>
        <n v="118242.0"/>
        <n v="121743.0"/>
        <n v="108257.0"/>
        <n v="117756.0"/>
        <n v="110334.0"/>
        <n v="102307.0"/>
        <n v="117750.0"/>
        <n v="181976.0"/>
        <n v="108258.0"/>
        <n v="110241.0"/>
        <n v="110337.0"/>
        <n v="118243.0"/>
        <n v="102305.0"/>
        <n v="110342.0"/>
        <n v="102306.0"/>
        <n v="194045.0"/>
        <n v="96009.0"/>
        <n v="104087.0"/>
        <n v="77448.0"/>
        <n v="5801.0"/>
        <n v="90650.0"/>
        <n v="6395.0"/>
        <n v="77444.0"/>
        <n v="20389.0"/>
        <n v="68293.0"/>
        <n v="90982.0"/>
        <n v="48279.0"/>
        <n v="77447.0"/>
        <n v="5710.0"/>
        <n v="90906.0"/>
        <n v="90883.0"/>
        <n v="113093.0"/>
        <n v="73926.0"/>
        <n v="110083.0"/>
        <n v="76313.0"/>
        <n v="68404.0"/>
        <n v="68322.0"/>
        <n v="73947.0"/>
        <n v="29116.0"/>
        <n v="90846.0"/>
        <n v="110084.0"/>
        <n v="73925.0"/>
        <n v="68296.0"/>
        <n v="90873.0"/>
        <n v="90874.0"/>
        <n v="90842.0"/>
        <n v="5709.0"/>
        <n v="76341.0"/>
        <n v="113094.0"/>
        <n v="76301.0"/>
        <n v="90844.0"/>
        <n v="90848.0"/>
        <n v="76318.0"/>
        <n v="118885.0"/>
        <n v="76349.0"/>
        <n v="30878.0"/>
        <n v="104176.0"/>
        <n v="78516.0"/>
        <n v="118884.0"/>
        <n v="119239.0"/>
        <n v="30875.0"/>
        <n v="73946.0"/>
        <n v="90690.0"/>
        <n v="101380.0"/>
        <n v="5804.0"/>
        <n v="82372.0"/>
        <n v="90643.0"/>
        <n v="68412.0"/>
        <n v="82393.0"/>
        <n v="5803.0"/>
        <n v="121706.0"/>
        <n v="68374.0"/>
        <n v="90946.0"/>
        <n v="69312.0"/>
        <n v="87128.0"/>
        <n v="149506.0"/>
        <n v="5722.0"/>
        <n v="5697.0"/>
        <n v="29117.0"/>
        <n v="68305.0"/>
        <n v="5714.0"/>
        <n v="73951.0"/>
        <n v="68337.0"/>
        <n v="76338.0"/>
        <n v="202592.0"/>
        <n v="69578.0"/>
        <n v="76383.0"/>
        <n v="5696.0"/>
        <n v="90929.0"/>
        <n v="90926.0"/>
        <n v="76364.0"/>
        <n v="79152.0"/>
        <n v="30874.0"/>
        <n v="5718.0"/>
        <n v="126542.0"/>
        <n v="90852.0"/>
        <n v="122139.0"/>
        <n v="126975.0"/>
        <n v="202593.0"/>
        <n v="73940.0"/>
        <n v="76360.0"/>
        <n v="118876.0"/>
        <n v="76366.0"/>
        <n v="122645.0"/>
        <n v="76372.0"/>
        <n v="5720.0"/>
        <n v="5695.0"/>
        <n v="90931.0"/>
        <n v="110085.0"/>
        <n v="113096.0"/>
        <n v="90878.0"/>
        <n v="73938.0"/>
        <n v="5698.0"/>
        <n v="76373.0"/>
        <n v="73945.0"/>
        <n v="159200.0"/>
        <n v="68354.0"/>
        <n v="5712.0"/>
        <n v="114471.0"/>
        <n v="90934.0"/>
        <n v="87851.0"/>
        <n v="90891.0"/>
        <n v="69579.0"/>
        <n v="90924.0"/>
        <n v="69311.0"/>
        <n v="90923.0"/>
        <n v="159197.0"/>
        <n v="88268.0"/>
        <n v="90913.0"/>
        <n v="76365.0"/>
        <n v="9205.0"/>
        <n v="76363.0"/>
        <n v="121967.0"/>
        <n v="90935.0"/>
        <n v="87126.0"/>
        <n v="90928.0"/>
        <n v="90912.0"/>
        <n v="48508.0"/>
        <n v="90853.0"/>
        <n v="117628.0"/>
        <n v="5699.0"/>
        <n v="5735.0"/>
        <n v="109832.0"/>
        <n v="122675.0"/>
        <n v="87225.0"/>
        <n v="82373.0"/>
        <n v="77254.0"/>
        <n v="5742.0"/>
        <n v="117622.0"/>
        <n v="77255.0"/>
        <n v="101964.0"/>
        <n v="48491.0"/>
        <n v="82368.0"/>
        <n v="82367.0"/>
        <n v="118426.0"/>
        <n v="5068.0"/>
        <n v="84660.0"/>
        <n v="5070.0"/>
        <n v="84681.0"/>
        <n v="102596.0"/>
        <n v="5037.0"/>
        <n v="5052.0"/>
        <n v="5051.0"/>
        <n v="102647.0"/>
        <n v="5061.0"/>
        <n v="102649.0"/>
        <n v="102662.0"/>
        <n v="108337.0"/>
        <n v="188352.0"/>
        <n v="11459.0"/>
        <n v="11443.0"/>
        <n v="70560.0"/>
        <n v="110363.0"/>
        <n v="11449.0"/>
        <n v="119793.0"/>
        <n v="41107.0"/>
        <n v="78358.0"/>
        <n v="77048.0"/>
        <n v="27428.0"/>
        <n v="8530.0"/>
        <n v="14281.0"/>
        <n v="140582.0"/>
        <n v="98895.0"/>
        <n v="77491.0"/>
        <n v="81704.0"/>
        <n v="111565.0"/>
        <n v="5774.0"/>
        <n v="112075.0"/>
        <n v="88469.0"/>
        <n v="112249.0"/>
        <n v="5775.0"/>
        <n v="77506.0"/>
        <n v="83646.0"/>
        <n v="77484.0"/>
        <n v="77481.0"/>
        <n v="17075.0"/>
        <n v="77492.0"/>
        <n v="112084.0"/>
        <n v="12041.0"/>
        <n v="83042.0"/>
        <n v="77490.0"/>
        <n v="43336.0"/>
        <n v="48609.0"/>
        <n v="117074.0"/>
        <n v="112085.0"/>
        <n v="106656.0"/>
        <n v="119244.0"/>
        <n v="73236.0"/>
        <n v="127582.0"/>
        <n v="128210.0"/>
        <n v="73187.0"/>
        <n v="41681.0"/>
        <n v="30624.0"/>
        <n v="114267.0"/>
        <n v="77441.0"/>
        <n v="116636.0"/>
        <n v="115198.0"/>
        <n v="89845.0"/>
        <n v="112248.0"/>
        <n v="89849.0"/>
        <n v="121709.0"/>
        <n v="122653.0"/>
        <n v="9759.0"/>
        <n v="86782.0"/>
        <n v="119246.0"/>
        <n v="6047.0"/>
        <n v="117526.0"/>
        <n v="106671.0"/>
        <n v="30889.0"/>
        <n v="80634.0"/>
        <n v="114269.0"/>
        <n v="84034.0"/>
        <n v="103271.0"/>
        <n v="72248.0"/>
        <n v="7672.0"/>
        <n v="82844.0"/>
        <n v="7685.0"/>
        <n v="7673.0"/>
        <n v="72328.0"/>
        <n v="87967.0"/>
        <n v="113193.0"/>
        <n v="82821.0"/>
        <n v="87964.0"/>
        <n v="201751.0"/>
        <n v="79057.0"/>
        <n v="41225.0"/>
        <n v="113300.0"/>
        <n v="113299.0"/>
        <n v="105475.0"/>
        <n v="114724.0"/>
        <n v="113298.0"/>
        <n v="82838.0"/>
        <n v="111960.0"/>
        <n v="108840.0"/>
        <n v="201044.0"/>
        <n v="81880.0"/>
        <n v="81873.0"/>
        <n v="117613.0"/>
        <n v="81876.0"/>
        <n v="104050.0"/>
        <n v="111934.0"/>
        <n v="29819.0"/>
        <n v="120392.0"/>
        <n v="29820.0"/>
        <n v="83755.0"/>
        <n v="111941.0"/>
        <n v="80858.0"/>
        <n v="81902.0"/>
        <n v="83754.0"/>
        <n v="116233.0"/>
        <n v="112192.0"/>
        <n v="119728.0"/>
        <n v="81901.0"/>
        <n v="141878.0"/>
        <n v="116236.0"/>
        <n v="120751.0"/>
        <n v="80756.0"/>
        <n v="119729.0"/>
        <n v="119028.0"/>
        <n v="116957.0"/>
        <n v="78235.0"/>
        <n v="119803.0"/>
        <n v="7669.0"/>
        <n v="139312.0"/>
        <n v="77773.0"/>
        <n v="73442.0"/>
        <n v="3974.0"/>
        <n v="104032.0"/>
        <n v="24162.0"/>
        <n v="24167.0"/>
        <n v="24174.0"/>
        <n v="24161.0"/>
        <n v="88594.0"/>
        <n v="118818.0"/>
        <n v="24166.0"/>
        <n v="118828.0"/>
        <n v="86169.0"/>
        <n v="118851.0"/>
        <n v="118824.0"/>
        <n v="122728.0"/>
        <n v="103474.0"/>
        <n v="120635.0"/>
        <n v="120633.0"/>
        <n v="121477.0"/>
        <n v="156024.0"/>
        <n v="70191.0"/>
        <n v="19822.0"/>
        <n v="156023.0"/>
        <n v="120628.0"/>
        <n v="45830.0"/>
        <n v="86192.0"/>
        <n v="127372.0"/>
        <n v="113902.0"/>
        <n v="119133.0"/>
        <n v="114946.0"/>
        <n v="118832.0"/>
        <n v="86499.0"/>
        <n v="81790.0"/>
        <n v="45898.0"/>
        <n v="24144.0"/>
        <n v="98351.0"/>
        <n v="86481.0"/>
        <n v="115747.0"/>
        <n v="116187.0"/>
        <n v="86162.0"/>
        <n v="90654.0"/>
        <n v="71743.0"/>
        <n v="71744.0"/>
        <n v="88590.0"/>
        <n v="78940.0"/>
        <n v="194752.0"/>
        <n v="194748.0"/>
        <n v="111580.0"/>
        <n v="194741.0"/>
        <n v="107082.0"/>
        <n v="83092.0"/>
        <n v="111581.0"/>
        <n v="88402.0"/>
        <n v="88413.0"/>
        <n v="86560.0"/>
        <n v="127584.0"/>
        <n v="122254.0"/>
        <n v="118849.0"/>
        <n v="107187.0"/>
        <n v="119932.0"/>
        <n v="92045.0"/>
        <n v="82168.0"/>
        <n v="79263.0"/>
        <n v="92044.0"/>
        <n v="114725.0"/>
        <n v="50684.0"/>
        <n v="82167.0"/>
        <n v="68513.0"/>
        <n v="76566.0"/>
        <n v="119088.0"/>
        <n v="119431.0"/>
        <n v="101279.0"/>
        <n v="101270.0"/>
        <n v="101282.0"/>
        <n v="70291.0"/>
        <n v="70290.0"/>
        <n v="19188.0"/>
        <n v="41117.0"/>
        <n v="30625.0"/>
        <n v="11462.0"/>
        <n v="120733.0"/>
        <n v="83487.0"/>
        <n v="117610.0"/>
        <n v="112177.0"/>
        <n v="11412.0"/>
        <n v="76842.0"/>
        <n v="78366.0"/>
        <n v="98984.0"/>
        <n v="120310.0"/>
        <n v="116277.0"/>
        <n v="77670.0"/>
        <n v="78363.0"/>
        <n v="11458.0"/>
        <n v="11456.0"/>
        <n v="120726.0"/>
        <n v="11404.0"/>
        <n v="11408.0"/>
        <n v="120708.0"/>
        <n v="74419.0"/>
        <n v="113278.0"/>
        <n v="83486.0"/>
        <n v="11452.0"/>
        <n v="116803.0"/>
        <n v="77657.0"/>
        <n v="120309.0"/>
        <n v="116276.0"/>
        <n v="104623.0"/>
        <n v="78364.0"/>
        <n v="76837.0"/>
        <n v="82873.0"/>
        <n v="110341.0"/>
        <n v="76874.0"/>
        <n v="110340.0"/>
        <n v="44409.0"/>
        <n v="73831.0"/>
        <n v="79035.0"/>
        <n v="94951.0"/>
        <n v="22248.0"/>
        <n v="16088.0"/>
        <n v="10571.0"/>
        <n v="182012.0"/>
        <n v="182013.0"/>
        <n v="107400.0"/>
        <n v="48623.0"/>
        <n v="48616.0"/>
        <n v="47515.0"/>
        <n v="81915.0"/>
        <n v="108920.0"/>
        <n v="107406.0"/>
        <n v="24074.0"/>
        <n v="107388.0"/>
        <n v="24075.0"/>
        <n v="27639.0"/>
        <n v="103632.0"/>
        <n v="10569.0"/>
        <n v="182007.0"/>
        <n v="182009.0"/>
        <n v="103630.0"/>
        <n v="47514.0"/>
        <n v="86370.0"/>
        <n v="86368.0"/>
        <n v="103174.0"/>
        <n v="48632.0"/>
        <n v="48630.0"/>
        <n v="48624.0"/>
        <n v="10573.0"/>
        <n v="18115.0"/>
        <n v="83057.0"/>
        <n v="26727.0"/>
        <n v="85779.0"/>
        <n v="84396.0"/>
        <n v="42676.0"/>
        <n v="108380.0"/>
        <n v="10565.0"/>
        <n v="107631.0"/>
        <n v="24061.0"/>
        <n v="182051.0"/>
        <n v="86360.0"/>
        <n v="10566.0"/>
        <n v="182014.0"/>
        <n v="182010.0"/>
        <n v="24076.0"/>
        <n v="10572.0"/>
        <n v="47527.0"/>
        <n v="10577.0"/>
        <n v="81914.0"/>
        <n v="120186.0"/>
        <n v="182015.0"/>
        <n v="117919.0"/>
        <n v="71228.0"/>
        <n v="67264.0"/>
        <n v="82984.0"/>
        <n v="86420.0"/>
        <n v="71227.0"/>
        <n v="18055.0"/>
        <n v="82989.0"/>
        <n v="86438.0"/>
        <n v="18061.0"/>
        <n v="67265.0"/>
        <n v="69552.0"/>
        <n v="110955.0"/>
        <n v="79505.0"/>
        <n v="110943.0"/>
        <n v="119048.0"/>
        <n v="42695.0"/>
        <n v="88980.0"/>
        <n v="149507.0"/>
        <n v="86988.0"/>
        <n v="73836.0"/>
        <n v="69322.0"/>
        <n v="8696.0"/>
        <n v="119062.0"/>
        <n v="188931.0"/>
        <n v="100238.0"/>
        <n v="47010.0"/>
        <n v="104605.0"/>
        <n v="42694.0"/>
        <n v="8697.0"/>
        <n v="110957.0"/>
        <n v="86989.0"/>
        <n v="8695.0"/>
        <n v="122792.0"/>
        <n v="8698.0"/>
        <n v="103866.0"/>
        <n v="103865.0"/>
        <n v="110945.0"/>
        <n v="158671.0"/>
        <n v="118915.0"/>
        <n v="88990.0"/>
        <n v="73835.0"/>
        <n v="8699.0"/>
        <n v="81494.0"/>
        <n v="89821.0"/>
        <n v="83567.0"/>
        <n v="69323.0"/>
        <n v="88976.0"/>
        <n v="199415.0"/>
        <n v="112792.0"/>
        <n v="104322.0"/>
        <n v="69321.0"/>
        <n v="110948.0"/>
        <n v="82008.0"/>
        <n v="86987.0"/>
        <n v="118912.0"/>
        <n v="47048.0"/>
        <n v="103870.0"/>
        <n v="86985.0"/>
        <n v="82005.0"/>
        <n v="119053.0"/>
        <n v="102015.0"/>
        <n v="92823.0"/>
        <n v="108060.0"/>
        <n v="4214.0"/>
        <n v="14715.0"/>
        <n v="16771.0"/>
        <n v="97945.0"/>
        <n v="144740.0"/>
        <n v="75342.0"/>
        <n v="88189.0"/>
        <n v="70677.0"/>
        <n v="86506.0"/>
        <n v="17360.0"/>
        <n v="9819.0"/>
        <n v="28574.0"/>
        <n v="102395.0"/>
        <n v="147302.0"/>
        <n v="85049.0"/>
        <n v="1683.0"/>
        <n v="1685.0"/>
        <n v="22193.0"/>
        <n v="9786.0"/>
        <n v="108770.0"/>
        <n v="109536.0"/>
        <n v="111743.0"/>
        <n v="108769.0"/>
        <n v="111742.0"/>
        <n v="88989.0"/>
        <n v="88987.0"/>
        <n v="88988.0"/>
        <n v="102816.0"/>
        <n v="49803.0"/>
        <n v="77302.0"/>
        <n v="94000.0"/>
        <n v="9616.0"/>
        <n v="115135.0"/>
        <n v="90727.0"/>
        <n v="24060.0"/>
        <n v="112086.0"/>
        <n v="90723.0"/>
        <n v="77601.0"/>
        <n v="12005.0"/>
        <n v="41680.0"/>
        <n v="12000.0"/>
        <n v="12022.0"/>
        <n v="113596.0"/>
        <n v="11998.0"/>
        <n v="12063.0"/>
        <n v="96069.0"/>
        <n v="12007.0"/>
        <n v="113592.0"/>
        <n v="147308.0"/>
        <n v="41679.0"/>
        <n v="112077.0"/>
        <n v="115133.0"/>
        <n v="30465.0"/>
        <n v="87405.0"/>
        <n v="77602.0"/>
        <n v="107058.0"/>
        <n v="5807.0"/>
        <n v="87061.0"/>
        <n v="108039.0"/>
        <n v="90837.0"/>
        <n v="88461.0"/>
        <n v="81504.0"/>
        <n v="12027.0"/>
        <n v="8883.0"/>
        <n v="112082.0"/>
        <n v="114961.0"/>
        <n v="112078.0"/>
        <n v="12025.0"/>
        <n v="11992.0"/>
        <n v="188850.0"/>
        <n v="69296.0"/>
        <n v="115141.0"/>
        <n v="112081.0"/>
        <n v="77611.0"/>
        <n v="111722.0"/>
        <n v="81503.0"/>
        <n v="117559.0"/>
        <n v="110230.0"/>
        <n v="122854.0"/>
        <n v="95371.0"/>
        <n v="101190.0"/>
        <n v="121532.0"/>
        <n v="6614.0"/>
        <n v="6618.0"/>
        <n v="96096.0"/>
        <n v="105977.0"/>
        <n v="105901.0"/>
        <n v="180823.0"/>
        <n v="118979.0"/>
        <n v="111502.0"/>
        <n v="180822.0"/>
        <n v="101196.0"/>
        <n v="180824.0"/>
        <n v="105905.0"/>
        <n v="101194.0"/>
        <n v="113719.0"/>
        <n v="111330.0"/>
        <n v="102089.0"/>
        <n v="116867.0"/>
        <n v="150297.0"/>
        <n v="23628.0"/>
        <n v="120369.0"/>
        <n v="114175.0"/>
        <n v="23649.0"/>
        <n v="80419.0"/>
        <n v="114173.0"/>
        <n v="91562.0"/>
        <n v="23662.0"/>
        <n v="76466.0"/>
        <n v="76465.0"/>
        <n v="68329.0"/>
        <n v="114470.0"/>
        <n v="110568.0"/>
        <n v="76470.0"/>
        <n v="5604.0"/>
        <n v="28613.0"/>
        <n v="159402.0"/>
        <n v="68379.0"/>
        <n v="91069.0"/>
        <n v="91060.0"/>
        <n v="182274.0"/>
        <n v="110566.0"/>
        <n v="78877.0"/>
        <n v="5490.0"/>
        <n v="68382.0"/>
        <n v="114663.0"/>
        <n v="76474.0"/>
        <n v="76455.0"/>
        <n v="46337.0"/>
        <n v="78430.0"/>
        <n v="5605.0"/>
        <n v="77419.0"/>
        <n v="121701.0"/>
        <n v="91072.0"/>
        <n v="68486.0"/>
        <n v="110576.0"/>
        <n v="78503.0"/>
        <n v="77439.0"/>
        <n v="5615.0"/>
        <n v="5602.0"/>
        <n v="28612.0"/>
        <n v="72247.0"/>
        <n v="76469.0"/>
        <n v="78876.0"/>
        <n v="91064.0"/>
        <n v="5603.0"/>
        <n v="5612.0"/>
        <n v="43897.0"/>
        <n v="91058.0"/>
        <n v="107998.0"/>
        <n v="112194.0"/>
        <n v="68232.0"/>
        <n v="159386.0"/>
        <n v="76471.0"/>
        <n v="68357.0"/>
        <n v="68303.0"/>
        <n v="68325.0"/>
        <n v="68515.0"/>
        <n v="107989.0"/>
        <n v="76732.0"/>
        <n v="14711.0"/>
        <n v="14706.0"/>
        <n v="23975.0"/>
        <n v="90665.0"/>
        <n v="69551.0"/>
        <n v="69503.0"/>
        <n v="23473.0"/>
        <n v="69500.0"/>
        <n v="14689.0"/>
        <n v="19409.0"/>
        <n v="69526.0"/>
        <n v="19412.0"/>
        <n v="23471.0"/>
        <n v="14670.0"/>
        <n v="69499.0"/>
        <n v="90686.0"/>
        <n v="111872.0"/>
        <n v="23964.0"/>
        <n v="111837.0"/>
        <n v="19377.0"/>
        <n v="111836.0"/>
        <n v="190103.0"/>
        <n v="19408.0"/>
        <n v="14694.0"/>
        <n v="5686.0"/>
        <n v="111842.0"/>
        <n v="23978.0"/>
        <n v="14682.0"/>
        <n v="111873.0"/>
        <n v="23454.0"/>
        <n v="16760.0"/>
        <n v="14709.0"/>
        <n v="14665.0"/>
        <n v="8869.0"/>
        <n v="68520.0"/>
        <n v="107331.0"/>
        <n v="107325.0"/>
        <n v="8871.0"/>
        <n v="107334.0"/>
        <n v="120302.0"/>
        <n v="117661.0"/>
        <n v="79006.0"/>
        <n v="17133.0"/>
        <n v="76818.0"/>
        <n v="70236.0"/>
        <n v="91342.0"/>
        <n v="121782.0"/>
        <n v="76822.0"/>
        <n v="100278.0"/>
        <n v="122795.0"/>
        <n v="100282.0"/>
        <n v="68867.0"/>
        <n v="8862.0"/>
        <n v="72131.0"/>
        <n v="12047.0"/>
        <n v="121790.0"/>
        <n v="121787.0"/>
        <n v="70239.0"/>
        <n v="113942.0"/>
        <n v="119134.0"/>
        <n v="76813.0"/>
        <n v="121793.0"/>
        <n v="100283.0"/>
        <n v="75028.0"/>
        <n v="113946.0"/>
        <n v="12050.0"/>
        <n v="104312.0"/>
        <n v="121780.0"/>
        <n v="88638.0"/>
        <n v="70238.0"/>
        <n v="121839.0"/>
        <n v="77621.0"/>
        <n v="121783.0"/>
        <n v="75033.0"/>
        <n v="12053.0"/>
        <n v="113954.0"/>
        <n v="5782.0"/>
        <n v="107915.0"/>
        <n v="68866.0"/>
        <n v="121837.0"/>
        <n v="121840.0"/>
        <n v="90979.0"/>
        <n v="114350.0"/>
        <n v="47539.0"/>
        <n v="83948.0"/>
        <n v="17139.0"/>
        <n v="12051.0"/>
        <n v="12052.0"/>
        <n v="121838.0"/>
        <n v="107917.0"/>
        <n v="5779.0"/>
        <n v="120303.0"/>
        <n v="121784.0"/>
        <n v="107913.0"/>
        <n v="58759.0"/>
        <n v="158697.0"/>
        <n v="87160.0"/>
        <n v="88694.0"/>
        <n v="120393.0"/>
        <n v="89581.0"/>
        <n v="6514.0"/>
        <n v="105340.0"/>
        <n v="120865.0"/>
        <n v="110078.0"/>
        <n v="122343.0"/>
        <n v="12296.0"/>
        <n v="96952.0"/>
        <n v="82193.0"/>
        <n v="89802.0"/>
        <n v="87044.0"/>
        <n v="87042.0"/>
        <n v="116274.0"/>
        <n v="122344.0"/>
        <n v="122345.0"/>
        <n v="120867.0"/>
        <n v="28494.0"/>
        <n v="8882.0"/>
        <n v="116275.0"/>
        <n v="121424.0"/>
        <n v="75058.0"/>
        <n v="75056.0"/>
        <n v="42239.0"/>
        <n v="42237.0"/>
        <n v="69457.0"/>
        <n v="69328.0"/>
        <n v="69454.0"/>
        <n v="69469.0"/>
        <n v="193264.0"/>
        <n v="115763.0"/>
        <n v="69463.0"/>
        <n v="84168.0"/>
        <n v="75077.0"/>
        <n v="42229.0"/>
        <n v="89588.0"/>
        <n v="99973.0"/>
        <n v="70241.0"/>
        <n v="129479.0"/>
        <n v="107926.0"/>
        <n v="42232.0"/>
        <n v="122106.0"/>
        <n v="69456.0"/>
        <n v="118888.0"/>
        <n v="69468.0"/>
        <n v="117629.0"/>
        <n v="121475.0"/>
        <n v="80412.0"/>
        <n v="122857.0"/>
        <n v="115769.0"/>
        <n v="115774.0"/>
        <n v="118889.0"/>
        <n v="115758.0"/>
        <n v="115755.0"/>
        <n v="114964.0"/>
        <n v="87617.0"/>
        <n v="118542.0"/>
        <n v="122845.0"/>
        <n v="114967.0"/>
        <n v="121476.0"/>
        <n v="120529.0"/>
        <n v="120530.0"/>
        <n v="117638.0"/>
        <n v="108240.0"/>
        <n v="88635.0"/>
        <n v="69340.0"/>
        <n v="199472.0"/>
        <n v="117646.0"/>
        <n v="84167.0"/>
        <n v="81742.0"/>
        <n v="115754.0"/>
        <n v="69334.0"/>
        <n v="117753.0"/>
        <n v="129482.0"/>
        <n v="117634.0"/>
        <n v="111027.0"/>
        <n v="115772.0"/>
        <n v="115768.0"/>
        <n v="69476.0"/>
        <n v="122118.0"/>
        <n v="87447.0"/>
        <n v="129480.0"/>
        <n v="84164.0"/>
        <n v="69338.0"/>
        <n v="120531.0"/>
        <n v="120524.0"/>
        <n v="117631.0"/>
        <n v="115757.0"/>
        <n v="42243.0"/>
        <n v="115761.0"/>
        <n v="113960.0"/>
        <n v="42241.0"/>
        <n v="115770.0"/>
        <n v="118541.0"/>
        <n v="115750.0"/>
        <n v="99969.0"/>
        <n v="129483.0"/>
        <n v="42255.0"/>
        <n v="100235.0"/>
        <n v="129481.0"/>
        <n v="87455.0"/>
        <n v="120257.0"/>
        <n v="122221.0"/>
        <n v="122216.0"/>
        <n v="140598.0"/>
        <n v="112123.0"/>
        <n v="70402.0"/>
        <n v="119110.0"/>
        <n v="139295.0"/>
        <n v="71056.0"/>
        <n v="122218.0"/>
        <n v="122217.0"/>
        <n v="119119.0"/>
        <n v="46933.0"/>
        <n v="119118.0"/>
        <n v="41035.0"/>
        <n v="139303.0"/>
        <n v="101784.0"/>
        <n v="122219.0"/>
        <n v="122215.0"/>
        <n v="111154.0"/>
        <n v="119117.0"/>
        <n v="20419.0"/>
        <n v="122220.0"/>
        <n v="122214.0"/>
        <n v="46936.0"/>
        <n v="112122.0"/>
        <n v="71055.0"/>
        <n v="41034.0"/>
        <n v="111153.0"/>
        <n v="119120.0"/>
        <n v="139297.0"/>
        <n v="48476.0"/>
        <n v="103454.0"/>
        <n v="103456.0"/>
        <n v="139304.0"/>
        <n v="158661.0"/>
        <n v="162441.0"/>
        <n v="102695.0"/>
        <n v="78913.0"/>
        <n v="71397.0"/>
        <n v="17596.0"/>
        <n v="71398.0"/>
        <n v="17627.0"/>
        <n v="86166.0"/>
        <n v="71409.0"/>
        <n v="12877.0"/>
        <n v="121868.0"/>
        <n v="17626.0"/>
        <n v="71394.0"/>
        <n v="17620.0"/>
        <n v="86186.0"/>
        <n v="71410.0"/>
        <n v="121869.0"/>
        <n v="17624.0"/>
        <n v="119737.0"/>
        <n v="17618.0"/>
        <n v="78741.0"/>
        <n v="86864.0"/>
        <n v="71421.0"/>
        <n v="115776.0"/>
        <n v="71393.0"/>
        <n v="78739.0"/>
        <n v="71408.0"/>
        <n v="109194.0"/>
        <n v="84448.0"/>
        <n v="140575.0"/>
        <n v="71420.0"/>
        <n v="71375.0"/>
        <n v="71376.0"/>
        <n v="110975.0"/>
        <n v="86170.0"/>
        <n v="142787.0"/>
        <n v="109185.0"/>
        <n v="109184.0"/>
        <n v="72575.0"/>
        <n v="78909.0"/>
        <n v="17630.0"/>
        <n v="78924.0"/>
        <n v="82196.0"/>
        <n v="86184.0"/>
        <n v="6219.0"/>
        <n v="116185.0"/>
        <n v="12873.0"/>
        <n v="71413.0"/>
        <n v="128352.0"/>
        <n v="17594.0"/>
        <n v="71404.0"/>
        <n v="129473.0"/>
        <n v="78904.0"/>
        <n v="122311.0"/>
        <n v="86172.0"/>
        <n v="17592.0"/>
        <n v="89981.0"/>
        <n v="71399.0"/>
        <n v="17587.0"/>
        <n v="17647.0"/>
        <n v="107364.0"/>
        <n v="24118.0"/>
        <n v="86181.0"/>
        <n v="129474.0"/>
        <n v="17601.0"/>
        <n v="78938.0"/>
        <n v="17609.0"/>
        <n v="129452.0"/>
        <n v="88587.0"/>
        <n v="17645.0"/>
        <n v="78899.0"/>
        <n v="71402.0"/>
        <n v="12875.0"/>
        <n v="17615.0"/>
        <n v="193116.0"/>
        <n v="72577.0"/>
        <n v="78916.0"/>
        <n v="71419.0"/>
        <n v="188223.0"/>
        <n v="71417.0"/>
        <n v="46895.0"/>
        <n v="86157.0"/>
        <n v="159110.0"/>
        <n v="46913.0"/>
        <n v="71400.0"/>
        <n v="46914.0"/>
        <n v="120300.0"/>
        <n v="71412.0"/>
        <n v="71415.0"/>
        <n v="71414.0"/>
        <n v="10336.0"/>
        <n v="125173.0"/>
        <n v="112994.0"/>
        <n v="125182.0"/>
        <n v="121112.0"/>
        <n v="125172.0"/>
        <n v="125196.0"/>
        <n v="125192.0"/>
        <n v="125194.0"/>
        <n v="125198.0"/>
        <n v="111220.0"/>
        <n v="105969.0"/>
        <n v="105981.0"/>
        <n v="125185.0"/>
        <n v="111605.0"/>
        <n v="111608.0"/>
        <n v="97023.0"/>
        <n v="111607.0"/>
        <n v="71083.0"/>
        <n v="118178.0"/>
        <n v="81767.0"/>
        <n v="118186.0"/>
        <n v="43228.0"/>
        <n v="199268.0"/>
        <n v="118196.0"/>
        <n v="71084.0"/>
        <n v="120587.0"/>
        <n v="80952.0"/>
        <n v="120575.0"/>
        <n v="43244.0"/>
        <n v="116477.0"/>
        <n v="110480.0"/>
        <n v="87548.0"/>
        <n v="77223.0"/>
        <n v="43241.0"/>
        <n v="71161.0"/>
        <n v="77224.0"/>
        <n v="113992.0"/>
        <n v="112611.0"/>
        <n v="116482.0"/>
        <n v="77246.0"/>
        <n v="122798.0"/>
        <n v="120590.0"/>
        <n v="71914.0"/>
        <n v="118206.0"/>
        <n v="118179.0"/>
        <n v="43247.0"/>
        <n v="71166.0"/>
        <n v="43238.0"/>
        <n v="114003.0"/>
        <n v="87540.0"/>
        <n v="77229.0"/>
        <n v="113994.0"/>
        <n v="106725.0"/>
        <n v="43235.0"/>
        <n v="118176.0"/>
        <n v="114018.0"/>
        <n v="116480.0"/>
        <n v="120577.0"/>
        <n v="118201.0"/>
        <n v="77245.0"/>
        <n v="118195.0"/>
        <n v="118197.0"/>
        <n v="187317.0"/>
        <n v="199484.0"/>
        <n v="113995.0"/>
        <n v="113669.0"/>
        <n v="111584.0"/>
        <n v="26123.0"/>
        <n v="113665.0"/>
        <n v="181241.0"/>
        <n v="113664.0"/>
        <n v="113677.0"/>
        <n v="120343.0"/>
        <n v="113666.0"/>
        <n v="113663.0"/>
        <n v="116983.0"/>
        <n v="94043.0"/>
        <n v="68216.0"/>
        <n v="80131.0"/>
        <n v="80998.0"/>
        <n v="87014.0"/>
        <n v="102900.0"/>
        <n v="80997.0"/>
        <n v="116989.0"/>
        <n v="43826.0"/>
        <n v="8769.0"/>
        <n v="104427.0"/>
        <n v="8770.0"/>
        <n v="94930.0"/>
        <n v="111576.0"/>
        <n v="71715.0"/>
        <n v="71710.0"/>
        <n v="102790.0"/>
        <n v="3518.0"/>
        <n v="18318.0"/>
        <n v="104220.0"/>
        <n v="106109.0"/>
        <n v="72162.0"/>
        <n v="104410.0"/>
        <n v="88825.0"/>
        <n v="13928.0"/>
        <n v="45368.0"/>
        <n v="119732.0"/>
        <n v="90467.0"/>
        <n v="119874.0"/>
        <n v="121316.0"/>
        <n v="77390.0"/>
        <n v="11444.0"/>
        <n v="74416.0"/>
        <n v="75323.0"/>
        <n v="86619.0"/>
        <n v="119801.0"/>
        <n v="126576.0"/>
        <n v="108841.0"/>
        <n v="82820.0"/>
        <n v="116826.0"/>
        <n v="126965.0"/>
        <n v="103795.0"/>
        <n v="116821.0"/>
        <n v="126577.0"/>
        <n v="82806.0"/>
        <n v="68099.0"/>
        <n v="82827.0"/>
        <n v="77127.0"/>
        <n v="69002.0"/>
        <n v="119847.0"/>
        <n v="11446.0"/>
        <n v="30628.0"/>
        <n v="113003.0"/>
        <n v="30631.0"/>
        <n v="188351.0"/>
        <n v="67025.0"/>
        <n v="119797.0"/>
        <n v="3592.0"/>
        <n v="3586.0"/>
        <n v="3591.0"/>
        <n v="73847.0"/>
        <n v="3590.0"/>
        <n v="116903.0"/>
        <n v="116780.0"/>
        <n v="114912.0"/>
        <n v="111970.0"/>
        <n v="126973.0"/>
        <n v="116964.0"/>
        <n v="122340.0"/>
        <n v="116963.0"/>
        <n v="120241.0"/>
        <n v="120205.0"/>
        <n v="104162.0"/>
        <n v="110792.0"/>
        <n v="104169.0"/>
        <n v="111957.0"/>
        <n v="89201.0"/>
        <n v="87305.0"/>
        <n v="3480.0"/>
        <n v="116817.0"/>
        <n v="47209.0"/>
        <n v="68213.0"/>
        <n v="100999.0"/>
        <n v="119241.0"/>
        <n v="133917.0"/>
        <n v="128334.0"/>
        <n v="113235.0"/>
        <n v="113249.0"/>
        <n v="89210.0"/>
        <n v="104170.0"/>
        <n v="18671.0"/>
        <n v="83804.0"/>
        <n v="104415.0"/>
        <n v="78351.0"/>
        <n v="112174.0"/>
        <n v="120248.0"/>
        <n v="18672.0"/>
        <n v="13517.0"/>
        <n v="119896.0"/>
        <n v="120249.0"/>
        <n v="78352.0"/>
        <n v="45630.0"/>
        <n v="99726.0"/>
        <n v="88619.0"/>
        <n v="73430.0"/>
        <n v="98939.0"/>
        <n v="45826.0"/>
        <n v="100797.0"/>
        <n v="104429.0"/>
        <n v="119806.0"/>
        <n v="120734.0"/>
        <n v="104423.0"/>
        <n v="120286.0"/>
        <n v="81838.0"/>
        <n v="117718.0"/>
        <n v="70611.0"/>
        <n v="110848.0"/>
        <n v="107925.0"/>
        <n v="156038.0"/>
        <n v="117392.0"/>
        <n v="86620.0"/>
        <n v="27871.0"/>
        <n v="82874.0"/>
        <n v="120292.0"/>
        <n v="120293.0"/>
        <n v="44522.0"/>
        <n v="143999.0"/>
        <n v="144000.0"/>
        <n v="91236.0"/>
        <n v="78213.0"/>
        <n v="119254.0"/>
        <n v="82149.0"/>
        <n v="30864.0"/>
        <n v="82148.0"/>
        <n v="78069.0"/>
        <n v="68623.0"/>
        <n v="108904.0"/>
        <n v="113967.0"/>
        <n v="10145.0"/>
        <n v="116960.0"/>
        <n v="103663.0"/>
        <n v="45983.0"/>
        <n v="103662.0"/>
        <n v="78318.0"/>
        <n v="120179.0"/>
        <n v="10144.0"/>
        <n v="78304.0"/>
        <n v="86598.0"/>
        <n v="103665.0"/>
        <n v="77771.0"/>
        <n v="116798.0"/>
        <n v="100610.0"/>
        <n v="77772.0"/>
        <n v="119914.0"/>
        <n v="88495.0"/>
        <n v="88487.0"/>
        <n v="109488.0"/>
        <n v="11401.0"/>
        <n v="45530.0"/>
        <n v="104426.0"/>
        <n v="119827.0"/>
        <n v="104384.0"/>
        <n v="121966.0"/>
        <n v="120183.0"/>
        <n v="82832.0"/>
        <n v="117607.0"/>
        <n v="116244.0"/>
        <n v="81045.0"/>
        <n v="106021.0"/>
        <n v="86622.0"/>
        <n v="82834.0"/>
        <n v="81008.0"/>
        <n v="83167.0"/>
        <n v="86584.0"/>
        <n v="79902.0"/>
        <n v="41328.0"/>
        <n v="79907.0"/>
        <n v="70588.0"/>
        <n v="70587.0"/>
        <n v="109356.0"/>
        <n v="47892.0"/>
        <n v="79901.0"/>
        <n v="70585.0"/>
        <n v="4375.0"/>
        <n v="4380.0"/>
        <n v="84967.0"/>
        <n v="4381.0"/>
        <n v="4379.0"/>
        <n v="4383.0"/>
        <n v="110770.0"/>
        <n v="110764.0"/>
        <n v="109355.0"/>
        <n v="110765.0"/>
        <n v="103510.0"/>
        <n v="114936.0"/>
        <n v="114935.0"/>
        <n v="110768.0"/>
        <n v="120256.0"/>
        <n v="101783.0"/>
        <n v="75766.0"/>
        <n v="69756.0"/>
        <n v="112471.0"/>
        <n v="99040.0"/>
        <n v="112321.0"/>
        <n v="139296.0"/>
        <n v="112318.0"/>
        <n v="86119.0"/>
        <n v="79895.0"/>
        <n v="133909.0"/>
        <n v="128338.0"/>
        <n v="42990.0"/>
        <n v="128339.0"/>
        <n v="42008.0"/>
        <n v="112320.0"/>
        <n v="111150.0"/>
        <n v="101782.0"/>
        <n v="128402.0"/>
        <n v="112322.0"/>
        <n v="41994.0"/>
        <n v="112319.0"/>
        <n v="42002.0"/>
        <n v="120263.0"/>
        <n v="112855.0"/>
        <n v="111151.0"/>
        <n v="111152.0"/>
        <n v="122224.0"/>
        <n v="124709.0"/>
        <n v="99039.0"/>
        <n v="82928.0"/>
        <n v="111149.0"/>
        <n v="82927.0"/>
        <n v="112317.0"/>
        <n v="140597.0"/>
        <n v="122229.0"/>
        <n v="112473.0"/>
        <n v="122226.0"/>
        <n v="4385.0"/>
        <n v="41029.0"/>
        <n v="4386.0"/>
        <n v="41030.0"/>
        <n v="84950.0"/>
        <n v="45255.0"/>
        <n v="108070.0"/>
        <n v="108069.0"/>
        <n v="9668.0"/>
        <n v="26322.0"/>
        <n v="70413.0"/>
        <n v="4389.0"/>
        <n v="128340.0"/>
        <n v="108071.0"/>
        <n v="108068.0"/>
        <n v="9662.0"/>
        <n v="117611.0"/>
        <n v="111148.0"/>
        <n v="9680.0"/>
        <n v="117605.0"/>
        <n v="108077.0"/>
        <n v="9681.0"/>
        <n v="4388.0"/>
        <n v="99036.0"/>
        <n v="109344.0"/>
        <n v="9663.0"/>
        <n v="119106.0"/>
        <n v="9664.0"/>
        <n v="108064.0"/>
        <n v="70414.0"/>
        <n v="9673.0"/>
        <n v="117604.0"/>
        <n v="45165.0"/>
        <n v="128341.0"/>
        <n v="101917.0"/>
        <n v="79419.0"/>
        <n v="9675.0"/>
        <n v="9671.0"/>
        <n v="20247.0"/>
        <n v="109240.0"/>
        <n v="104079.0"/>
        <n v="126567.0"/>
        <n v="45567.0"/>
        <n v="109241.0"/>
        <n v="126564.0"/>
        <n v="20246.0"/>
        <n v="99321.0"/>
        <n v="99322.0"/>
        <n v="126561.0"/>
        <n v="113871.0"/>
        <n v="68332.0"/>
        <n v="102081.0"/>
        <n v="84213.0"/>
        <n v="68302.0"/>
        <n v="88238.0"/>
        <n v="84202.0"/>
        <n v="84226.0"/>
        <n v="104071.0"/>
        <n v="104075.0"/>
        <n v="91042.0"/>
        <n v="108047.0"/>
        <n v="90993.0"/>
        <n v="19277.0"/>
        <n v="84223.0"/>
        <n v="84225.0"/>
        <n v="113865.0"/>
        <n v="94645.0"/>
        <n v="104073.0"/>
        <n v="113880.0"/>
        <n v="91045.0"/>
        <n v="84231.0"/>
        <n v="68321.0"/>
        <n v="84211.0"/>
        <n v="158663.0"/>
        <n v="113874.0"/>
        <n v="84234.0"/>
        <n v="76642.0"/>
        <n v="126573.0"/>
        <n v="113877.0"/>
        <n v="84212.0"/>
        <n v="84203.0"/>
        <n v="91038.0"/>
        <n v="19335.0"/>
        <n v="103073.0"/>
        <n v="122261.0"/>
        <n v="68315.0"/>
        <n v="110229.0"/>
        <n v="5548.0"/>
        <n v="126544.0"/>
        <n v="90792.0"/>
        <n v="126541.0"/>
        <n v="71190.0"/>
        <n v="76425.0"/>
        <n v="76422.0"/>
        <n v="159201.0"/>
        <n v="76421.0"/>
        <n v="76424.0"/>
        <n v="90766.0"/>
        <n v="5538.0"/>
        <n v="68371.0"/>
        <n v="90808.0"/>
        <n v="5543.0"/>
        <n v="76420.0"/>
        <n v="68364.0"/>
        <n v="5541.0"/>
        <n v="5544.0"/>
        <n v="122257.0"/>
        <n v="90740.0"/>
        <n v="48280.0"/>
        <n v="71191.0"/>
        <n v="76418.0"/>
        <n v="87161.0"/>
        <n v="68323.0"/>
        <n v="72847.0"/>
        <n v="90799.0"/>
        <n v="71194.0"/>
        <n v="68378.0"/>
        <n v="76426.0"/>
        <n v="76413.0"/>
        <n v="68306.0"/>
        <n v="48283.0"/>
        <n v="81172.0"/>
        <n v="68328.0"/>
        <n v="158667.0"/>
        <n v="5539.0"/>
        <n v="68413.0"/>
        <n v="68345.0"/>
        <n v="70377.0"/>
        <n v="126547.0"/>
        <n v="117218.0"/>
        <n v="158668.0"/>
        <n v="19314.0"/>
        <n v="113867.0"/>
        <n v="19294.0"/>
        <n v="90961.0"/>
        <n v="118480.0"/>
        <n v="98337.0"/>
        <n v="90955.0"/>
        <n v="19303.0"/>
        <n v="98338.0"/>
        <n v="98339.0"/>
        <n v="19296.0"/>
        <n v="19306.0"/>
        <n v="90969.0"/>
        <n v="19299.0"/>
        <n v="5764.0"/>
        <n v="114667.0"/>
        <n v="113870.0"/>
        <n v="127918.0"/>
        <n v="127917.0"/>
        <n v="19297.0"/>
        <n v="19316.0"/>
        <n v="118481.0"/>
        <n v="118366.0"/>
        <n v="111183.0"/>
        <n v="124735.0"/>
        <n v="78727.0"/>
        <n v="111182.0"/>
        <n v="78734.0"/>
        <n v="78729.0"/>
        <n v="111662.0"/>
        <n v="78728.0"/>
        <n v="119082.0"/>
        <n v="5770.0"/>
        <n v="103072.0"/>
        <n v="19344.0"/>
        <n v="84219.0"/>
        <n v="19345.0"/>
        <n v="90816.0"/>
        <n v="23198.0"/>
        <n v="87207.0"/>
        <n v="5694.0"/>
        <n v="119084.0"/>
        <n v="127927.0"/>
        <n v="111184.0"/>
        <n v="19341.0"/>
        <n v="118485.0"/>
        <n v="110565.0"/>
        <n v="118484.0"/>
        <n v="107652.0"/>
        <n v="107673.0"/>
        <n v="107902.0"/>
        <n v="19340.0"/>
        <n v="69190.0"/>
        <n v="48451.0"/>
        <n v="19339.0"/>
        <n v="69195.0"/>
        <n v="77192.0"/>
        <n v="95922.0"/>
        <n v="116779.0"/>
        <n v="69238.0"/>
        <n v="19337.0"/>
        <n v="19326.0"/>
        <n v="69251.0"/>
        <n v="81871.0"/>
        <n v="19321.0"/>
        <n v="117618.0"/>
        <n v="117623.0"/>
        <n v="117614.0"/>
        <n v="14393.0"/>
        <n v="70419.0"/>
        <n v="111147.0"/>
        <n v="4325.0"/>
        <n v="4321.0"/>
        <n v="70418.0"/>
        <n v="80648.0"/>
        <n v="70417.0"/>
        <n v="79420.0"/>
        <n v="4327.0"/>
        <n v="89505.0"/>
        <n v="128344.0"/>
        <n v="79421.0"/>
        <n v="128336.0"/>
        <n v="5081.0"/>
        <n v="79423.0"/>
        <n v="116481.0"/>
        <n v="118278.0"/>
        <n v="116440.0"/>
        <n v="116478.0"/>
        <n v="139305.0"/>
        <n v="118280.0"/>
        <n v="116506.0"/>
        <n v="116504.0"/>
        <n v="116435.0"/>
        <n v="70575.0"/>
        <n v="128343.0"/>
        <n v="112099.0"/>
        <n v="128337.0"/>
        <n v="4339.0"/>
        <n v="14399.0"/>
        <n v="4340.0"/>
        <n v="45250.0"/>
        <n v="9651.0"/>
        <n v="4329.0"/>
        <n v="4338.0"/>
        <n v="112100.0"/>
        <n v="9650.0"/>
        <n v="9649.0"/>
        <n v="9652.0"/>
        <n v="79426.0"/>
        <n v="79425.0"/>
        <n v="4335.0"/>
        <n v="70420.0"/>
        <n v="9655.0"/>
        <n v="68510.0"/>
        <n v="11068.0"/>
        <n v="79888.0"/>
        <n v="108982.0"/>
        <n v="88020.0"/>
        <n v="44824.0"/>
        <n v="46900.0"/>
        <n v="41981.0"/>
        <n v="44825.0"/>
        <n v="6875.0"/>
        <n v="108981.0"/>
        <n v="110931.0"/>
        <n v="99037.0"/>
        <n v="99096.0"/>
        <n v="41986.0"/>
        <n v="79430.0"/>
        <n v="41921.0"/>
        <n v="41910.0"/>
        <n v="11069.0"/>
        <n v="41924.0"/>
        <n v="133913.0"/>
        <n v="70422.0"/>
        <n v="17812.0"/>
        <n v="70429.0"/>
        <n v="70428.0"/>
        <n v="99038.0"/>
        <n v="11071.0"/>
        <n v="17066.0"/>
        <n v="117649.0"/>
        <n v="70426.0"/>
        <n v="75750.0"/>
        <n v="117644.0"/>
        <n v="68512.0"/>
        <n v="12792.0"/>
        <n v="46684.0"/>
        <n v="12795.0"/>
        <n v="46686.0"/>
        <n v="12804.0"/>
        <n v="12799.0"/>
        <n v="100914.0"/>
        <n v="12802.0"/>
        <n v="100907.0"/>
        <n v="12794.0"/>
        <n v="4261.0"/>
        <n v="9656.0"/>
        <n v="9657.0"/>
        <n v="9660.0"/>
        <n v="9648.0"/>
        <n v="79424.0"/>
        <n v="4267.0"/>
        <n v="9647.0"/>
        <n v="110772.0"/>
        <n v="4255.0"/>
        <n v="4270.0"/>
        <n v="4264.0"/>
        <n v="4271.0"/>
        <n v="79428.0"/>
        <n v="68509.0"/>
        <n v="112104.0"/>
        <n v="79885.0"/>
        <n v="6876.0"/>
        <n v="79427.0"/>
        <n v="44828.0"/>
        <n v="122213.0"/>
        <n v="46903.0"/>
        <n v="80359.0"/>
        <n v="44827.0"/>
        <n v="79882.0"/>
        <n v="11065.0"/>
        <n v="41991.0"/>
        <n v="6877.0"/>
        <n v="4290.0"/>
        <n v="4905.0"/>
        <n v="41979.0"/>
        <n v="41925.0"/>
        <n v="17067.0"/>
        <n v="70425.0"/>
        <n v="17065.0"/>
        <n v="103514.0"/>
        <n v="4298.0"/>
        <n v="4301.0"/>
        <n v="75752.0"/>
        <n v="21520.0"/>
        <n v="82206.0"/>
        <n v="5599.0"/>
        <n v="87231.0"/>
        <n v="5861.0"/>
        <n v="90909.0"/>
        <n v="21523.0"/>
        <n v="5485.0"/>
        <n v="77294.0"/>
        <n v="5486.0"/>
        <n v="77293.0"/>
        <n v="112230.0"/>
        <n v="83607.0"/>
        <n v="117216.0"/>
        <n v="5487.0"/>
        <n v="77295.0"/>
        <n v="89774.0"/>
        <n v="5483.0"/>
        <n v="120541.0"/>
        <n v="100249.0"/>
        <n v="119242.0"/>
        <n v="90868.0"/>
        <n v="90854.0"/>
        <n v="76568.0"/>
        <n v="76589.0"/>
        <n v="76581.0"/>
        <n v="77250.0"/>
        <n v="87222.0"/>
        <n v="122120.0"/>
        <n v="122121.0"/>
        <n v="90880.0"/>
        <n v="122088.0"/>
        <n v="90886.0"/>
        <n v="90755.0"/>
        <n v="111045.0"/>
        <n v="76582.0"/>
        <n v="76570.0"/>
        <n v="87099.0"/>
        <n v="76569.0"/>
        <n v="5586.0"/>
        <n v="5600.0"/>
        <n v="120390.0"/>
        <n v="76389.0"/>
        <n v="5601.0"/>
        <n v="202579.0"/>
        <n v="5584.0"/>
        <n v="90888.0"/>
        <n v="76584.0"/>
        <n v="87171.0"/>
        <n v="110569.0"/>
        <n v="5588.0"/>
        <n v="117165.0"/>
        <n v="5587.0"/>
        <n v="68359.0"/>
        <n v="5590.0"/>
        <n v="76475.0"/>
        <n v="147309.0"/>
        <n v="120533.0"/>
        <n v="5591.0"/>
        <n v="77248.0"/>
        <n v="90819.0"/>
        <n v="90820.0"/>
        <n v="90839.0"/>
        <n v="90858.0"/>
        <n v="76588.0"/>
        <n v="90671.0"/>
        <n v="77194.0"/>
        <n v="5504.0"/>
        <n v="90662.0"/>
        <n v="87288.0"/>
        <n v="5494.0"/>
        <n v="76637.0"/>
        <n v="76601.0"/>
        <n v="87202.0"/>
        <n v="122244.0"/>
        <n v="122075.0"/>
        <n v="90735.0"/>
        <n v="20951.0"/>
        <n v="5502.0"/>
        <n v="90669.0"/>
        <n v="90673.0"/>
        <n v="68403.0"/>
        <n v="76636.0"/>
        <n v="77397.0"/>
        <n v="76195.0"/>
        <n v="90710.0"/>
        <n v="117148.0"/>
        <n v="5493.0"/>
        <n v="76671.0"/>
        <n v="90678.0"/>
        <n v="76207.0"/>
        <n v="5500.0"/>
        <n v="122081.0"/>
        <n v="77396.0"/>
        <n v="77398.0"/>
        <n v="90716.0"/>
        <n v="122846.0"/>
        <n v="77410.0"/>
        <n v="87083.0"/>
        <n v="73630.0"/>
        <n v="90659.0"/>
        <n v="122079.0"/>
        <n v="5551.0"/>
        <n v="90624.0"/>
        <n v="29100.0"/>
        <n v="46330.0"/>
        <n v="117659.0"/>
        <n v="48149.0"/>
        <n v="113739.0"/>
        <n v="147316.0"/>
        <n v="76297.0"/>
        <n v="102698.0"/>
        <n v="102699.0"/>
        <n v="5556.0"/>
        <n v="73629.0"/>
        <n v="77253.0"/>
        <n v="5552.0"/>
        <n v="73805.0"/>
        <n v="48403.0"/>
        <n v="90626.0"/>
        <n v="147324.0"/>
        <n v="77411.0"/>
        <n v="87085.0"/>
        <n v="76212.0"/>
        <n v="117655.0"/>
        <n v="83596.0"/>
        <n v="5561.0"/>
        <n v="87304.0"/>
        <n v="113735.0"/>
        <n v="90661.0"/>
        <n v="76281.0"/>
        <n v="90622.0"/>
        <n v="90637.0"/>
        <n v="76208.0"/>
        <n v="91355.0"/>
        <n v="122068.0"/>
        <n v="48404.0"/>
        <n v="5553.0"/>
        <n v="76282.0"/>
        <n v="5554.0"/>
        <n v="77408.0"/>
        <n v="147312.0"/>
        <n v="113741.0"/>
        <n v="76290.0"/>
        <n v="5559.0"/>
        <n v="68351.0"/>
        <n v="113736.0"/>
        <n v="113738.0"/>
        <n v="113737.0"/>
        <n v="73767.0"/>
        <n v="89559.0"/>
        <n v="102720.0"/>
        <n v="114668.0"/>
        <n v="159208.0"/>
        <n v="108476.0"/>
        <n v="76603.0"/>
        <n v="117672.0"/>
        <n v="73968.0"/>
        <n v="73967.0"/>
        <n v="159209.0"/>
        <n v="90675.0"/>
        <n v="117671.0"/>
        <n v="100015.0"/>
        <n v="90680.0"/>
        <n v="88351.0"/>
        <n v="108475.0"/>
        <n v="90676.0"/>
        <n v="43118.0"/>
        <n v="112472.0"/>
        <n v="108083.0"/>
        <n v="133907.0"/>
        <n v="45176.0"/>
        <n v="5480.0"/>
        <n v="119086.0"/>
        <n v="108084.0"/>
        <n v="45192.0"/>
        <n v="26320.0"/>
        <n v="133910.0"/>
        <n v="133908.0"/>
        <n v="9646.0"/>
        <n v="108091.0"/>
        <n v="108114.0"/>
        <n v="9639.0"/>
        <n v="108108.0"/>
        <n v="108081.0"/>
        <n v="4243.0"/>
        <n v="108090.0"/>
        <n v="133912.0"/>
        <n v="108087.0"/>
        <n v="78866.0"/>
        <n v="70415.0"/>
        <n v="9644.0"/>
        <n v="4247.0"/>
        <n v="119087.0"/>
        <n v="9635.0"/>
        <n v="108082.0"/>
        <n v="9643.0"/>
        <n v="117601.0"/>
        <n v="108085.0"/>
        <n v="133914.0"/>
        <n v="103503.0"/>
        <n v="128363.0"/>
        <n v="13863.0"/>
        <n v="74454.0"/>
        <n v="12500.0"/>
        <n v="116555.0"/>
        <n v="77622.0"/>
        <n v="68294.0"/>
        <n v="12497.0"/>
        <n v="74453.0"/>
        <n v="112246.0"/>
        <n v="110776.0"/>
        <n v="92846.0"/>
        <n v="119257.0"/>
        <n v="68313.0"/>
        <n v="12503.0"/>
        <n v="77624.0"/>
        <n v="77432.0"/>
        <n v="77429.0"/>
        <n v="93995.0"/>
        <n v="103185.0"/>
        <n v="13868.0"/>
        <n v="9504.0"/>
        <n v="77446.0"/>
        <n v="77498.0"/>
        <n v="77488.0"/>
        <n v="82203.0"/>
        <n v="82754.0"/>
        <n v="110837.0"/>
        <n v="9591.0"/>
        <n v="94040.0"/>
        <n v="9513.0"/>
        <n v="121543.0"/>
        <n v="164638.0"/>
        <n v="9554.0"/>
        <n v="117798.0"/>
        <n v="77480.0"/>
        <n v="9547.0"/>
        <n v="9551.0"/>
        <n v="9514.0"/>
        <n v="147310.0"/>
        <n v="13865.0"/>
        <n v="9521.0"/>
        <n v="9522.0"/>
        <n v="94048.0"/>
        <n v="121549.0"/>
        <n v="9593.0"/>
        <n v="119247.0"/>
        <n v="9516.0"/>
        <n v="193265.0"/>
        <n v="13869.0"/>
        <n v="13877.0"/>
        <n v="9493.0"/>
        <n v="9502.0"/>
        <n v="147301.0"/>
        <n v="30569.0"/>
        <n v="112190.0"/>
        <n v="110833.0"/>
        <n v="9505.0"/>
        <n v="119248.0"/>
        <n v="147306.0"/>
        <n v="77425.0"/>
        <n v="9497.0"/>
        <n v="9601.0"/>
        <n v="117799.0"/>
        <n v="82770.0"/>
        <n v="119249.0"/>
        <n v="86191.0"/>
        <n v="9503.0"/>
        <n v="94007.0"/>
        <n v="82761.0"/>
        <n v="9599.0"/>
        <n v="9496.0"/>
        <n v="195072.0"/>
        <n v="119252.0"/>
        <n v="9501.0"/>
        <n v="9491.0"/>
        <n v="194058.0"/>
        <n v="111319.0"/>
        <n v="86655.0"/>
        <n v="147300.0"/>
        <n v="13861.0"/>
        <n v="81510.0"/>
        <n v="9560.0"/>
        <n v="72161.0"/>
        <n v="9561.0"/>
        <n v="9562.0"/>
        <n v="119250.0"/>
        <n v="122297.0"/>
        <n v="164879.0"/>
        <n v="48697.0"/>
        <n v="122299.0"/>
        <n v="82997.0"/>
        <n v="108350.0"/>
        <n v="48699.0"/>
        <n v="108364.0"/>
        <n v="5799.0"/>
        <n v="81501.0"/>
        <n v="47648.0"/>
        <n v="105328.0"/>
        <n v="47654.0"/>
        <n v="82371.0"/>
        <n v="81500.0"/>
        <n v="48501.0"/>
        <n v="81498.0"/>
        <n v="48498.0"/>
        <n v="88628.0"/>
        <n v="180340.0"/>
        <n v="48503.0"/>
        <n v="74819.0"/>
        <n v="48502.0"/>
        <n v="96001.0"/>
        <n v="103095.0"/>
        <n v="88627.0"/>
        <n v="105329.0"/>
        <n v="105330.0"/>
        <n v="80252.0"/>
        <n v="77468.0"/>
        <n v="24203.0"/>
        <n v="139291.0"/>
        <n v="77426.0"/>
        <n v="94039.0"/>
        <n v="9508.0"/>
        <n v="121595.0"/>
        <n v="124762.0"/>
        <n v="77462.0"/>
        <n v="49158.0"/>
        <n v="93982.0"/>
        <n v="9546.0"/>
        <n v="9482.0"/>
        <n v="139290.0"/>
        <n v="121596.0"/>
        <n v="14441.0"/>
        <n v="9489.0"/>
        <n v="103189.0"/>
        <n v="9567.0"/>
        <n v="9543.0"/>
        <n v="77471.0"/>
        <n v="164631.0"/>
        <n v="9606.0"/>
        <n v="77473.0"/>
        <n v="9484.0"/>
        <n v="14439.0"/>
        <n v="124761.0"/>
        <n v="14440.0"/>
        <n v="9544.0"/>
        <n v="46482.0"/>
        <n v="46773.0"/>
        <n v="81502.0"/>
        <n v="76035.0"/>
        <n v="46774.0"/>
        <n v="121029.0"/>
        <n v="128199.0"/>
        <n v="82408.0"/>
        <n v="139298.0"/>
        <n v="91397.0"/>
        <n v="91396.0"/>
        <n v="139302.0"/>
        <n v="118283.0"/>
        <n v="118286.0"/>
        <n v="3375.0"/>
        <n v="118285.0"/>
        <n v="118284.0"/>
        <n v="116522.0"/>
        <n v="139307.0"/>
        <n v="120253.0"/>
        <n v="120252.0"/>
        <n v="120251.0"/>
        <n v="139306.0"/>
        <n v="120255.0"/>
        <n v="120980.0"/>
        <n v="139299.0"/>
        <n v="73635.0"/>
        <n v="116537.0"/>
        <n v="46716.0"/>
        <n v="109161.0"/>
        <n v="110760.0"/>
        <n v="112095.0"/>
        <n v="120261.0"/>
        <n v="142302.0"/>
        <n v="46715.0"/>
        <n v="102190.0"/>
        <n v="112098.0"/>
        <n v="110761.0"/>
        <n v="116529.0"/>
        <n v="119245.0"/>
        <n v="119454.0"/>
        <n v="118131.0"/>
        <n v="128395.0"/>
        <n v="117482.0"/>
        <n v="118130.0"/>
        <n v="109209.0"/>
        <n v="74428.0"/>
        <n v="13941.0"/>
        <n v="44316.0"/>
        <n v="122748.0"/>
        <n v="118936.0"/>
        <n v="122746.0"/>
        <n v="76567.0"/>
        <n v="122747.0"/>
        <n v="48484.0"/>
        <n v="10856.0"/>
        <n v="48486.0"/>
        <n v="108707.0"/>
        <n v="109565.0"/>
        <n v="99181.0"/>
        <n v="109060.0"/>
        <n v="109628.0"/>
        <n v="128346.0"/>
        <n v="90319.0"/>
        <n v="96287.0"/>
        <n v="96238.0"/>
        <n v="116553.0"/>
        <n v="116539.0"/>
        <n v="156015.0"/>
        <n v="77049.0"/>
        <n v="92906.0"/>
        <n v="6425.0"/>
        <n v="77653.0"/>
        <n v="156029.0"/>
        <n v="182726.0"/>
        <n v="3536.0"/>
        <n v="3541.0"/>
        <n v="147335.0"/>
        <n v="46896.0"/>
        <n v="46897.0"/>
        <n v="71729.0"/>
        <n v="45471.0"/>
        <n v="80622.0"/>
        <n v="111204.0"/>
        <n v="27843.0"/>
        <n v="111656.0"/>
        <n v="70043.0"/>
        <n v="127017.0"/>
        <n v="92320.0"/>
        <n v="109985.0"/>
        <n v="110415.0"/>
        <n v="101325.0"/>
        <n v="133904.0"/>
        <n v="91357.0"/>
        <n v="92330.0"/>
        <n v="128409.0"/>
        <n v="124704.0"/>
        <n v="122252.0"/>
        <n v="85159.0"/>
        <n v="103604.0"/>
        <n v="27845.0"/>
        <n v="11666.0"/>
        <n v="127016.0"/>
        <n v="2046.0"/>
        <n v="66998.0"/>
        <n v="103626.0"/>
        <n v="103603.0"/>
        <n v="85156.0"/>
        <n v="8118.0"/>
        <n v="109984.0"/>
        <n v="92134.0"/>
        <n v="129420.0"/>
        <n v="111010.0"/>
        <n v="46771.0"/>
        <n v="88396.0"/>
        <n v="88188.0"/>
        <n v="129373.0"/>
        <n v="103625.0"/>
        <n v="109332.0"/>
        <n v="92327.0"/>
        <n v="80699.0"/>
        <n v="101043.0"/>
        <n v="46760.0"/>
        <n v="109966.0"/>
        <n v="128408.0"/>
        <n v="81128.0"/>
        <n v="45571.0"/>
        <n v="44612.0"/>
        <n v="124684.0"/>
        <n v="112365.0"/>
        <n v="41038.0"/>
        <n v="87761.0"/>
        <n v="106590.0"/>
        <n v="85734.0"/>
        <n v="122511.0"/>
        <n v="2335.0"/>
        <n v="2339.0"/>
        <n v="108468.0"/>
        <n v="3439.0"/>
        <n v="2044.0"/>
        <n v="188354.0"/>
        <n v="27848.0"/>
        <n v="45642.0"/>
        <n v="79815.0"/>
        <n v="87643.0"/>
        <n v="30501.0"/>
        <n v="118198.0"/>
        <n v="4891.0"/>
        <n v="23050.0"/>
        <n v="94612.0"/>
        <n v="109983.0"/>
        <n v="110854.0"/>
        <n v="110414.0"/>
        <n v="103631.0"/>
        <n v="111009.0"/>
        <n v="109213.0"/>
        <n v="103847.0"/>
        <n v="96156.0"/>
        <n v="4887.0"/>
        <n v="92146.0"/>
        <n v="122248.0"/>
        <n v="122251.0"/>
        <n v="103638.0"/>
        <n v="111655.0"/>
        <n v="84201.0"/>
        <n v="80697.0"/>
        <n v="117394.0"/>
        <n v="103636.0"/>
        <n v="67001.0"/>
        <n v="2148.0"/>
        <n v="111672.0"/>
        <n v="80696.0"/>
        <n v="96853.0"/>
        <n v="117388.0"/>
        <n v="109971.0"/>
        <n v="122247.0"/>
        <n v="103635.0"/>
        <n v="122295.0"/>
        <n v="118351.0"/>
        <n v="91624.0"/>
        <n v="27765.0"/>
        <n v="26313.0"/>
        <n v="26314.0"/>
        <n v="91626.0"/>
        <n v="112264.0"/>
        <n v="27764.0"/>
        <n v="92653.0"/>
        <n v="117990.0"/>
        <n v="92651.0"/>
        <n v="104143.0"/>
        <n v="48641.0"/>
        <n v="47543.0"/>
        <n v="117045.0"/>
        <n v="109276.0"/>
        <n v="117040.0"/>
        <n v="108485.0"/>
        <n v="80095.0"/>
        <n v="117044.0"/>
        <n v="69279.0"/>
        <n v="48642.0"/>
        <n v="117569.0"/>
        <n v="83590.0"/>
        <n v="117566.0"/>
        <n v="116391.0"/>
        <n v="47388.0"/>
        <n v="117567.0"/>
        <n v="104319.0"/>
        <n v="120399.0"/>
        <n v="47389.0"/>
        <n v="47384.0"/>
        <n v="117568.0"/>
        <n v="80233.0"/>
        <n v="120396.0"/>
        <n v="47386.0"/>
        <n v="110294.0"/>
        <n v="47374.0"/>
        <n v="115586.0"/>
        <n v="112736.0"/>
        <n v="80234.0"/>
        <n v="92426.0"/>
        <n v="92429.0"/>
        <n v="117572.0"/>
        <n v="110982.0"/>
        <n v="92442.0"/>
        <n v="83591.0"/>
        <n v="104318.0"/>
        <n v="112740.0"/>
        <n v="117570.0"/>
        <n v="115584.0"/>
        <n v="47629.0"/>
        <n v="116389.0"/>
        <n v="117573.0"/>
        <n v="47638.0"/>
        <n v="110219.0"/>
        <n v="116851.0"/>
        <n v="122737.0"/>
        <n v="110226.0"/>
        <n v="115773.0"/>
        <n v="109580.0"/>
        <n v="114255.0"/>
        <n v="122745.0"/>
        <n v="116873.0"/>
        <n v="110228.0"/>
      </sharedItems>
    </cacheField>
    <cacheField name="new" numFmtId="0">
      <sharedItems containsSemiMixedTypes="0" containsString="0" containsNumber="1" containsInteger="1">
        <n v="0.0"/>
        <n v="1.0"/>
      </sharedItems>
    </cacheField>
    <cacheField name="forecast_stock" numFmtId="0">
      <sharedItems containsSemiMixedTypes="0" containsString="0" containsNumber="1" containsInteger="1">
        <n v="320.0"/>
        <n v="0.0"/>
        <n v="100.0"/>
        <n v="277.0"/>
        <n v="971.0"/>
        <n v="63.0"/>
        <n v="40.0"/>
        <n v="269.0"/>
        <n v="164.0"/>
        <n v="489.0"/>
        <n v="104.0"/>
        <n v="14.0"/>
        <n v="256.0"/>
        <n v="326.0"/>
        <n v="11.0"/>
        <n v="210.0"/>
        <n v="68.0"/>
        <n v="318.0"/>
        <n v="43.0"/>
        <n v="185.0"/>
        <n v="305.0"/>
        <n v="84.0"/>
        <n v="96.0"/>
        <n v="176.0"/>
        <n v="130.0"/>
        <n v="604.0"/>
        <n v="26.0"/>
        <n v="982.0"/>
        <n v="79.0"/>
        <n v="31.0"/>
        <n v="186.0"/>
        <n v="418.0"/>
        <n v="98.0"/>
        <n v="34.0"/>
        <n v="141.0"/>
        <n v="99.0"/>
        <n v="167.0"/>
        <n v="594.0"/>
        <n v="199.0"/>
        <n v="76.0"/>
        <n v="144.0"/>
        <n v="135.0"/>
        <n v="147.0"/>
        <n v="399.0"/>
        <n v="927.0"/>
        <n v="389.0"/>
        <n v="455.0"/>
        <n v="547.0"/>
        <n v="870.0"/>
        <n v="397.0"/>
        <n v="134.0"/>
        <n v="685.0"/>
        <n v="525.0"/>
        <n v="596.0"/>
        <n v="861.0"/>
        <n v="64.0"/>
        <n v="124.0"/>
        <n v="897.0"/>
        <n v="832.0"/>
        <n v="37.0"/>
        <n v="935.0"/>
        <n v="868.0"/>
        <n v="445.0"/>
        <n v="232.0"/>
        <n v="315.0"/>
        <n v="356.0"/>
        <n v="442.0"/>
        <n v="492.0"/>
        <n v="645.0"/>
        <n v="863.0"/>
        <n v="654.0"/>
        <n v="2.0"/>
        <n v="705.0"/>
        <n v="774.0"/>
        <n v="571.0"/>
        <n v="735.0"/>
        <n v="429.0"/>
        <n v="732.0"/>
        <n v="271.0"/>
        <n v="111.0"/>
        <n v="81.0"/>
        <n v="486.0"/>
        <n v="197.0"/>
        <n v="196.0"/>
        <n v="783.0"/>
        <n v="282.0"/>
        <n v="941.0"/>
        <n v="366.0"/>
        <n v="758.0"/>
        <n v="956.0"/>
        <n v="701.0"/>
        <n v="91.0"/>
        <n v="101.0"/>
        <n v="357.0"/>
        <n v="371.0"/>
        <n v="540.0"/>
        <n v="723.0"/>
        <n v="940.0"/>
        <n v="220.0"/>
        <n v="211.0"/>
        <n v="598.0"/>
        <n v="576.0"/>
        <n v="408.0"/>
        <n v="257.0"/>
        <n v="44.0"/>
        <n v="690.0"/>
        <n v="641.0"/>
        <n v="260.0"/>
        <n v="499.0"/>
        <n v="629.0"/>
        <n v="395.0"/>
        <n v="142.0"/>
        <n v="41.0"/>
        <n v="847.0"/>
        <n v="951.0"/>
        <n v="252.0"/>
        <n v="800.0"/>
        <n v="461.0"/>
        <n v="697.0"/>
        <n v="335.0"/>
        <n v="568.0"/>
        <n v="747.0"/>
        <n v="580.0"/>
        <n v="719.0"/>
        <n v="15.0"/>
        <n v="816.0"/>
        <n v="358.0"/>
        <n v="910.0"/>
        <n v="867.0"/>
        <n v="16.0"/>
        <n v="242.0"/>
        <n v="582.0"/>
        <n v="300.0"/>
        <n v="131.0"/>
        <n v="431.0"/>
        <n v="642.0"/>
        <n v="274.0"/>
        <n v="717.0"/>
        <n v="102.0"/>
        <n v="476.0"/>
        <n v="769.0"/>
        <n v="610.0"/>
        <n v="213.0"/>
        <n v="473.0"/>
        <n v="710.0"/>
        <n v="815.0"/>
        <n v="643.0"/>
        <n v="411.0"/>
        <n v="703.0"/>
        <n v="409.0"/>
        <n v="52.0"/>
        <n v="504.0"/>
        <n v="979.0"/>
        <n v="605.0"/>
        <n v="237.0"/>
        <n v="343.0"/>
        <n v="66.0"/>
        <n v="403.0"/>
        <n v="958.0"/>
        <n v="459.0"/>
        <n v="559.0"/>
        <n v="61.0"/>
        <n v="201.0"/>
        <n v="851.0"/>
        <n v="95.0"/>
        <n v="842.0"/>
        <n v="517.0"/>
        <n v="202.0"/>
        <n v="794.0"/>
        <n v="137.0"/>
        <n v="239.0"/>
        <n v="588.0"/>
        <n v="955.0"/>
        <n v="127.0"/>
        <n v="893.0"/>
        <n v="178.0"/>
        <n v="295.0"/>
        <n v="857.0"/>
        <n v="714.0"/>
        <n v="287.0"/>
        <n v="545.0"/>
        <n v="70.0"/>
        <n v="799.0"/>
        <n v="632.0"/>
        <n v="826.0"/>
        <n v="630.0"/>
        <n v="597.0"/>
        <n v="157.0"/>
        <n v="845.0"/>
        <n v="973.0"/>
        <n v="321.0"/>
        <n v="171.0"/>
        <n v="618.0"/>
        <n v="45.0"/>
        <n v="334.0"/>
        <n v="599.0"/>
        <n v="786.0"/>
        <n v="784.0"/>
        <n v="773.0"/>
        <n v="985.0"/>
        <n v="155.0"/>
        <n v="206.0"/>
        <n v="354.0"/>
        <n v="337.0"/>
        <n v="527.0"/>
        <n v="50.0"/>
        <n v="54.0"/>
        <n v="212.0"/>
        <n v="625.0"/>
        <n v="163.0"/>
        <n v="664.0"/>
        <n v="67.0"/>
        <n v="925.0"/>
        <n v="119.0"/>
        <n v="207.0"/>
        <n v="275.0"/>
        <n v="437.0"/>
        <n v="919.0"/>
        <n v="961.0"/>
        <n v="668.0"/>
        <n v="840.0"/>
        <n v="191.0"/>
        <n v="28.0"/>
        <n v="203.0"/>
        <n v="742.0"/>
        <n v="236.0"/>
        <n v="613.0"/>
        <n v="160.0"/>
        <n v="109.0"/>
        <n v="149.0"/>
        <n v="280.0"/>
        <n v="665.0"/>
        <n v="962.0"/>
        <n v="831.0"/>
        <n v="373.0"/>
        <n v="506.0"/>
        <n v="960.0"/>
        <n v="55.0"/>
        <n v="303.0"/>
        <n v="551.0"/>
        <n v="718.0"/>
        <n v="653.0"/>
        <n v="294.0"/>
        <n v="251.0"/>
        <n v="425.0"/>
        <n v="822.0"/>
        <n v="541.0"/>
        <n v="518.0"/>
        <n v="410.0"/>
        <n v="161.0"/>
        <n v="875.0"/>
        <n v="108.0"/>
        <n v="347.0"/>
        <n v="778.0"/>
        <n v="158.0"/>
        <n v="574.0"/>
        <n v="881.0"/>
        <n v="722.0"/>
        <n v="698.0"/>
        <n v="797.0"/>
        <n v="772.0"/>
        <n v="53.0"/>
        <n v="338.0"/>
        <n v="988.0"/>
        <n v="869.0"/>
        <n v="120.0"/>
        <n v="712.0"/>
        <n v="918.0"/>
        <n v="934.0"/>
        <n v="503.0"/>
        <n v="128.0"/>
        <n v="651.0"/>
        <n v="844.0"/>
        <n v="510.0"/>
        <n v="12.0"/>
        <n v="779.0"/>
        <n v="464.0"/>
        <n v="763.0"/>
        <n v="564.0"/>
        <n v="915.0"/>
        <n v="325.0"/>
        <n v="585.0"/>
        <n v="529.0"/>
        <n v="484.0"/>
        <n v="35.0"/>
        <n v="812.0"/>
        <n v="782.0"/>
        <n v="912.0"/>
        <n v="346.0"/>
        <n v="796.0"/>
        <n v="780.0"/>
        <n v="898.0"/>
        <n v="609.0"/>
        <n v="561.0"/>
        <n v="553.0"/>
        <n v="767.0"/>
        <n v="560.0"/>
        <n v="591.0"/>
        <n v="454.0"/>
        <n v="715.0"/>
        <n v="114.0"/>
        <n v="216.0"/>
        <n v="793.0"/>
        <n v="542.0"/>
        <n v="416.0"/>
        <n v="477.0"/>
        <n v="436.0"/>
        <n v="997.0"/>
        <n v="650.0"/>
        <n v="644.0"/>
        <n v="-1.0"/>
        <n v="626.0"/>
        <n v="871.0"/>
        <n v="159.0"/>
        <n v="558.0"/>
        <n v="226.0"/>
        <n v="511.0"/>
        <n v="470.0"/>
        <n v="907.0"/>
        <n v="162.0"/>
        <n v="205.0"/>
        <n v="727.0"/>
        <n v="245.0"/>
        <n v="83.0"/>
        <n v="440.0"/>
        <n v="80.0"/>
        <n v="837.0"/>
        <n v="749.0"/>
        <n v="190.0"/>
        <n v="4.0"/>
        <n v="661.0"/>
        <n v="189.0"/>
        <n v="879.0"/>
        <n v="118.0"/>
        <n v="77.0"/>
        <n v="739.0"/>
        <n v="187.0"/>
        <n v="834.0"/>
        <n v="292.0"/>
        <n v="407.0"/>
        <n v="198.0"/>
        <n v="116.0"/>
        <n v="139.0"/>
        <n v="501.0"/>
        <n v="57.0"/>
        <n v="872.0"/>
        <n v="911.0"/>
        <n v="355.0"/>
        <n v="428.0"/>
        <n v="678.0"/>
        <n v="671.0"/>
        <n v="713.0"/>
        <n v="396.0"/>
        <n v="179.0"/>
        <n v="327.0"/>
        <n v="855.0"/>
        <n v="165.0"/>
        <n v="413.0"/>
        <n v="153.0"/>
        <n v="667.0"/>
        <n v="215.0"/>
        <n v="544.0"/>
        <n v="634.0"/>
        <n v="302.0"/>
        <n v="943.0"/>
        <n v="110.0"/>
        <n v="361.0"/>
        <n v="181.0"/>
        <n v="760.0"/>
        <n v="587.0"/>
        <n v="658.0"/>
        <n v="463.0"/>
        <n v="931.0"/>
        <n v="833.0"/>
        <n v="538.0"/>
        <n v="363.0"/>
        <n v="143.0"/>
        <n v="950.0"/>
        <n v="74.0"/>
        <n v="646.0"/>
        <n v="308.0"/>
        <n v="876.0"/>
        <n v="290.0"/>
        <n v="946.0"/>
        <n v="224.0"/>
        <n v="781.0"/>
        <n v="811.0"/>
        <n v="952.0"/>
        <n v="193.0"/>
        <n v="385.0"/>
        <n v="253.0"/>
        <n v="684.0"/>
        <n v="378.0"/>
        <n v="183.0"/>
        <n v="194.0"/>
        <n v="730.0"/>
        <n v="672.0"/>
        <n v="534.0"/>
        <n v="218.0"/>
        <n v="7.0"/>
        <n v="247.0"/>
        <n v="125.0"/>
        <n v="532.0"/>
        <n v="103.0"/>
        <n v="23.0"/>
        <n v="469.0"/>
        <n v="204.0"/>
        <n v="420.0"/>
        <n v="887.0"/>
        <n v="896.0"/>
        <n v="516.0"/>
        <n v="38.0"/>
        <n v="607.0"/>
        <n v="78.0"/>
        <n v="379.0"/>
        <n v="415.0"/>
        <n v="-3.0"/>
        <n v="917.0"/>
        <n v="496.0"/>
        <n v="899.0"/>
        <n v="726.0"/>
        <n v="579.0"/>
        <n v="316.0"/>
        <n v="522.0"/>
        <n v="364.0"/>
        <n v="507.0"/>
        <n v="818.0"/>
        <n v="937.0"/>
        <n v="348.0"/>
        <n v="285.0"/>
        <n v="192.0"/>
        <n v="949.0"/>
        <n v="479.0"/>
        <n v="73.0"/>
        <n v="107.0"/>
        <n v="451.0"/>
        <n v="592.0"/>
        <n v="332.0"/>
        <n v="468.0"/>
        <n v="51.0"/>
        <n v="450.0"/>
        <n v="932.0"/>
        <n v="682.0"/>
        <n v="975.0"/>
        <n v="627.0"/>
        <n v="583.0"/>
        <n v="557.0"/>
        <n v="691.0"/>
        <n v="276.0"/>
        <n v="572.0"/>
        <n v="546.0"/>
        <n v="342.0"/>
        <n v="117.0"/>
        <n v="923.0"/>
        <n v="152.0"/>
        <n v="258.0"/>
        <n v="255.0"/>
        <n v="724.0"/>
        <n v="865.0"/>
        <n v="929.0"/>
        <n v="460.0"/>
        <n v="414.0"/>
        <n v="480.0"/>
        <n v="380.0"/>
        <n v="168.0"/>
        <n v="417.0"/>
        <n v="637.0"/>
        <n v="676.0"/>
        <n v="679.0"/>
        <n v="905.0"/>
        <n v="331.0"/>
        <n v="341.0"/>
        <n v="273.0"/>
        <n v="90.0"/>
        <n v="963.0"/>
        <n v="900.0"/>
        <n v="894.0"/>
        <n v="904.0"/>
        <n v="536.0"/>
        <n v="391.0"/>
        <n v="466.0"/>
        <n v="808.0"/>
        <n v="229.0"/>
        <n v="394.0"/>
        <n v="968.0"/>
        <n v="652.0"/>
        <n v="853.0"/>
        <n v="172.0"/>
        <n v="259.0"/>
        <n v="402.0"/>
        <n v="889.0"/>
        <n v="24.0"/>
        <n v="382.0"/>
        <n v="284.0"/>
        <n v="227.0"/>
        <n v="704.0"/>
        <n v="390.0"/>
        <n v="266.0"/>
        <n v="584.0"/>
        <n v="848.0"/>
        <n v="365.0"/>
        <n v="768.0"/>
        <n v="663.0"/>
        <n v="381.0"/>
        <n v="967.0"/>
        <n v="336.0"/>
        <n v="914.0"/>
        <n v="278.0"/>
        <n v="286.0"/>
        <n v="628.0"/>
        <n v="795.0"/>
        <n v="947.0"/>
        <n v="272.0"/>
        <n v="745.0"/>
        <n v="136.0"/>
        <n v="535.0"/>
        <n v="323.0"/>
        <n v="647.0"/>
        <n v="606.0"/>
        <n v="969.0"/>
        <n v="248.0"/>
        <n v="886.0"/>
        <n v="864.0"/>
        <n v="922.0"/>
        <n v="519.0"/>
        <n v="288.0"/>
        <n v="734.0"/>
        <n v="765.0"/>
        <n v="208.0"/>
        <n v="942.0"/>
        <n v="877.0"/>
        <n v="441.0"/>
        <n v="640.0"/>
        <n v="920.0"/>
        <n v="333.0"/>
        <n v="764.0"/>
        <n v="549.0"/>
        <n v="65.0"/>
        <n v="807.0"/>
        <n v="432.0"/>
        <n v="617.0"/>
        <n v="405.0"/>
        <n v="995.0"/>
        <n v="475.0"/>
        <n v="878.0"/>
        <n v="716.0"/>
        <n v="978.0"/>
        <n v="608.0"/>
        <n v="846.0"/>
        <n v="71.0"/>
        <n v="467.0"/>
        <n v="602.0"/>
        <n v="890.0"/>
        <n v="639.0"/>
        <n v="821.0"/>
        <n v="138.0"/>
        <n v="785.0"/>
        <n v="487.0"/>
        <n v="790.0"/>
        <n v="852.0"/>
        <n v="565.0"/>
        <n v="631.0"/>
        <n v="992.0"/>
        <n v="350.0"/>
        <n v="964.0"/>
        <n v="462.0"/>
        <n v="748.0"/>
        <n v="789.0"/>
        <n v="13.0"/>
        <n v="721.0"/>
        <n v="974.0"/>
        <n v="787.0"/>
        <n v="246.0"/>
        <n v="340.0"/>
        <n v="60.0"/>
        <n v="72.0"/>
        <n v="170.0"/>
        <n v="311.0"/>
        <n v="254.0"/>
        <n v="523.0"/>
        <n v="177.0"/>
        <n v="792.0"/>
        <n v="775.0"/>
        <n v="133.0"/>
        <n v="250.0"/>
        <n v="435.0"/>
        <n v="86.0"/>
        <n v="841.0"/>
        <n v="696.0"/>
        <n v="983.0"/>
        <n v="485.0"/>
        <n v="700.0"/>
        <n v="49.0"/>
        <n v="849.0"/>
        <n v="913.0"/>
        <n v="709.0"/>
        <n v="883.0"/>
        <n v="241.0"/>
        <n v="695.0"/>
        <n v="214.0"/>
        <n v="948.0"/>
        <n v="42.0"/>
        <n v="424.0"/>
        <n v="725.0"/>
        <n v="313.0"/>
        <n v="744.0"/>
        <n v="115.0"/>
        <n v="209.0"/>
        <n v="482.0"/>
        <n v="854.0"/>
        <n v="972.0"/>
        <n v="615.0"/>
        <n v="856.0"/>
        <n v="376.0"/>
        <n v="421.0"/>
        <n v="304.0"/>
        <n v="291.0"/>
        <n v="524.0"/>
        <n v="550.0"/>
        <n v="683.0"/>
        <n v="240.0"/>
        <n v="384.0"/>
        <n v="766.0"/>
        <n v="595.0"/>
        <n v="453.0"/>
        <n v="449.0"/>
        <n v="839.0"/>
        <n v="10.0"/>
        <n v="279.0"/>
        <n v="322.0"/>
        <n v="106.0"/>
        <n v="814.0"/>
        <n v="345.0"/>
        <n v="892.0"/>
        <n v="344.0"/>
        <n v="880.0"/>
        <n v="512.0"/>
        <n v="673.0"/>
        <n v="370.0"/>
        <n v="737.0"/>
        <n v="520.0"/>
        <n v="497.0"/>
        <n v="299.0"/>
        <n v="498.0"/>
        <n v="589.0"/>
        <n v="230.0"/>
        <n v="809.0"/>
        <n v="500.0"/>
        <n v="804.0"/>
        <n v="616.0"/>
        <n v="562.0"/>
        <n v="706.0"/>
        <n v="56.0"/>
        <n v="88.0"/>
        <n v="36.0"/>
        <n v="908.0"/>
        <n v="659.0"/>
        <n v="614.0"/>
        <n v="569.0"/>
        <n v="474.0"/>
        <n v="866.0"/>
        <n v="829.0"/>
        <n v="39.0"/>
        <n v="884.0"/>
        <n v="813.0"/>
        <n v="674.0"/>
        <n v="505.0"/>
        <n v="810.0"/>
        <n v="22.0"/>
        <n v="687.0"/>
        <n v="528.0"/>
        <n v="62.0"/>
        <n v="649.0"/>
        <n v="200.0"/>
        <n v="619.0"/>
        <n v="353.0"/>
        <n v="515.0"/>
        <n v="314.0"/>
        <n v="328.0"/>
        <n v="223.0"/>
        <n v="759.0"/>
        <n v="465.0"/>
        <n v="301.0"/>
        <n v="129.0"/>
        <n v="566.0"/>
        <n v="901.0"/>
        <n v="533.0"/>
        <n v="820.0"/>
        <n v="422.0"/>
        <n v="443.0"/>
        <n v="635.0"/>
        <n v="838.0"/>
        <n v="93.0"/>
        <n v="458.0"/>
        <n v="803.0"/>
        <n v="27.0"/>
        <n v="692.0"/>
        <n v="426.0"/>
        <n v="368.0"/>
        <n v="234.0"/>
        <n v="122.0"/>
        <n v="188.0"/>
        <n v="548.0"/>
        <n v="788.0"/>
        <n v="771.0"/>
        <n v="743.0"/>
        <n v="472.0"/>
        <n v="754.0"/>
        <n v="434.0"/>
        <n v="836.0"/>
        <n v="339.0"/>
        <n v="526.0"/>
        <n v="954.0"/>
        <n v="233.0"/>
        <n v="97.0"/>
        <n v="349.0"/>
        <n v="307.0"/>
        <n v="491.0"/>
        <n v="575.0"/>
        <n v="173.0"/>
        <n v="457.0"/>
        <n v="757.0"/>
        <n v="151.0"/>
        <n v="702.0"/>
        <n v="666.0"/>
        <n v="514.0"/>
        <n v="33.0"/>
        <n v="32.0"/>
        <n v="169.0"/>
        <n v="360.0"/>
        <n v="372.0"/>
        <n v="984.0"/>
        <n v="677.0"/>
        <n v="1.0"/>
        <n v="537.0"/>
        <n v="555.0"/>
        <n v="622.0"/>
        <n v="244.0"/>
        <n v="891.0"/>
        <n v="539.0"/>
        <n v="471.0"/>
        <n v="751.0"/>
        <n v="708.0"/>
        <n v="509.0"/>
        <n v="5.0"/>
        <n v="87.0"/>
        <n v="556.0"/>
        <n v="47.0"/>
        <n v="25.0"/>
        <n v="670.0"/>
        <n v="249.0"/>
        <n v="105.0"/>
        <n v="219.0"/>
        <n v="741.0"/>
        <n v="669.0"/>
        <n v="495.0"/>
        <n v="180.0"/>
        <n v="261.0"/>
        <n v="264.0"/>
        <n v="802.0"/>
        <n v="680.0"/>
        <n v="367.0"/>
        <n v="317.0"/>
        <n v="688.0"/>
        <n v="235.0"/>
        <n v="221.0"/>
        <n v="175.0"/>
        <n v="750.0"/>
        <n v="448.0"/>
        <n v="452.0"/>
        <n v="777.0"/>
        <n v="58.0"/>
        <n v="406.0"/>
        <n v="113.0"/>
        <n v="578.0"/>
        <n v="393.0"/>
        <n v="513.0"/>
        <n v="862.0"/>
        <n v="18.0"/>
        <n v="19.0"/>
        <n v="270.0"/>
        <n v="174.0"/>
        <n v="711.0"/>
        <n v="446.0"/>
        <n v="944.0"/>
        <n v="753.0"/>
        <n v="906.0"/>
        <n v="657.0"/>
        <n v="888.0"/>
        <n v="94.0"/>
        <n v="621.0"/>
        <n v="444.0"/>
        <n v="352.0"/>
        <n v="377.0"/>
        <n v="401.0"/>
        <n v="817.0"/>
        <n v="238.0"/>
        <n v="89.0"/>
        <n v="731.0"/>
        <n v="895.0"/>
        <n v="-5.0"/>
        <n v="383.0"/>
        <n v="620.0"/>
        <n v="577.0"/>
        <n v="976.0"/>
        <n v="306.0"/>
        <n v="283.0"/>
        <n v="6.0"/>
        <n v="882.0"/>
        <n v="494.0"/>
        <n v="329.0"/>
        <n v="30.0"/>
        <n v="297.0"/>
        <n v="761.0"/>
        <n v="957.0"/>
        <n v="624.0"/>
        <n v="770.0"/>
        <n v="720.0"/>
        <n v="885.0"/>
        <n v="29.0"/>
        <n v="936.0"/>
        <n v="694.0"/>
        <n v="59.0"/>
        <n v="736.0"/>
        <n v="154.0"/>
        <n v="309.0"/>
        <n v="267.0"/>
        <n v="225.0"/>
        <n v="195.0"/>
        <n v="17.0"/>
        <n v="20.0"/>
        <n v="686.0"/>
        <n v="430.0"/>
        <n v="586.0"/>
        <n v="801.0"/>
        <n v="478.0"/>
        <n v="938.0"/>
        <n v="374.0"/>
        <n v="828.0"/>
        <n v="806.0"/>
        <n v="752.0"/>
        <n v="902.0"/>
        <n v="296.0"/>
        <n v="554.0"/>
        <n v="293.0"/>
        <n v="265.0"/>
        <n v="427.0"/>
        <n v="375.0"/>
        <n v="633.0"/>
        <n v="860.0"/>
        <n v="953.0"/>
        <n v="502.0"/>
        <n v="924.0"/>
        <n v="400.0"/>
        <n v="530.0"/>
        <n v="824.0"/>
        <n v="859.0"/>
        <n v="699.0"/>
        <n v="543.0"/>
        <n v="112.0"/>
        <n v="419.0"/>
        <n v="970.0"/>
        <n v="636.0"/>
        <n v="263.0"/>
        <n v="404.0"/>
        <n v="508.0"/>
        <n v="989.0"/>
        <n v="570.0"/>
        <n v="121.0"/>
        <n v="132.0"/>
        <n v="581.0"/>
        <n v="150.0"/>
        <n v="603.0"/>
        <n v="82.0"/>
        <n v="573.0"/>
        <n v="423.0"/>
        <n v="166.0"/>
        <n v="-8.0"/>
        <n v="481.0"/>
        <n v="791.0"/>
        <n v="740.0"/>
        <n v="48.0"/>
        <n v="755.0"/>
        <n v="148.0"/>
        <n v="926.0"/>
        <n v="262.0"/>
        <n v="762.0"/>
        <n v="447.0"/>
        <n v="-13.0"/>
        <n v="733.0"/>
        <n v="359.0"/>
        <n v="977.0"/>
        <n v="319.0"/>
        <n v="959.0"/>
        <n v="823.0"/>
        <n v="330.0"/>
        <n v="567.0"/>
        <n v="-6.0"/>
        <n v="827.0"/>
        <n v="611.0"/>
        <n v="85.0"/>
        <n v="9.0"/>
        <n v="351.0"/>
        <n v="563.0"/>
        <n v="521.0"/>
        <n v="-14.0"/>
        <n v="-10.0"/>
        <n v="281.0"/>
        <n v="707.0"/>
        <n v="46.0"/>
        <n v="156.0"/>
        <n v="874.0"/>
        <n v="488.0"/>
        <n v="398.0"/>
        <n v="681.0"/>
        <n v="182.0"/>
        <n v="991.0"/>
        <n v="552.0"/>
        <n v="490.0"/>
        <n v="655.0"/>
        <n v="298.0"/>
        <n v="933.0"/>
        <n v="600.0"/>
        <n v="662.0"/>
        <n v="660.0"/>
        <n v="850.0"/>
        <n v="916.0"/>
        <n v="289.0"/>
        <n v="362.0"/>
        <n v="145.0"/>
        <n v="75.0"/>
        <n v="858.0"/>
        <n v="593.0"/>
        <n v="126.0"/>
        <n v="966.0"/>
        <n v="268.0"/>
        <n v="387.0"/>
        <n v="746.0"/>
        <n v="776.0"/>
        <n v="217.0"/>
        <n v="-7.0"/>
        <n v="21.0"/>
        <n v="798.0"/>
        <n v="140.0"/>
        <n v="965.0"/>
        <n v="184.0"/>
        <n v="601.0"/>
        <n v="830.0"/>
        <n v="825.0"/>
        <n v="123.0"/>
        <n v="928.0"/>
        <n v="324.0"/>
        <n v="675.0"/>
        <n v="648.0"/>
        <n v="312.0"/>
        <n v="981.0"/>
        <n v="8.0"/>
        <n v="310.0"/>
        <n v="222.0"/>
        <n v="873.0"/>
        <n v="623.0"/>
        <n v="92.0"/>
        <n v="903.0"/>
        <n v="728.0"/>
        <n v="438.0"/>
        <n v="386.0"/>
        <n v="369.0"/>
        <n v="819.0"/>
        <n v="729.0"/>
        <n v="146.0"/>
        <n v="456.0"/>
        <n v="612.0"/>
        <n v="656.0"/>
        <n v="388.0"/>
        <n v="805.0"/>
        <n v="590.0"/>
        <n v="756.0"/>
        <n v="921.0"/>
        <n v="909.0"/>
        <n v="439.0"/>
        <n v="843.0"/>
        <n v="986.0"/>
        <n v="243.0"/>
        <n v="930.0"/>
        <n v="738.0"/>
        <n v="693.0"/>
        <n v="483.0"/>
        <n v="69.0"/>
        <n v="939.0"/>
        <n v="990.0"/>
        <n v="412.0"/>
        <n v="945.0"/>
        <n v="-17.0"/>
        <n v="996.0"/>
        <n v="228.0"/>
        <n v="638.0"/>
        <n v="493.0"/>
        <n v="-11.0"/>
        <n v="-15.0"/>
        <n v="689.0"/>
        <n v="-16.0"/>
        <n v="-2.0"/>
        <n v="392.0"/>
        <n v="835.0"/>
        <n v="-9.0"/>
        <n v="433.0"/>
        <n v="231.0"/>
        <n v="-4.0"/>
        <n v="3.0"/>
        <n v="531.0"/>
        <n v="980.0"/>
      </sharedItems>
    </cacheField>
    <cacheField name="stock" numFmtId="1">
      <sharedItems containsSemiMixedTypes="0" containsString="0" containsNumber="1" containsInteger="1">
        <n v="320.0"/>
        <n v="0.0"/>
        <n v="100.0"/>
        <n v="268.0"/>
        <n v="472.0"/>
        <n v="63.0"/>
        <n v="33.0"/>
        <n v="104.0"/>
        <n v="152.0"/>
        <n v="393.0"/>
        <n v="60.0"/>
        <n v="9.0"/>
        <n v="256.0"/>
        <n v="326.0"/>
        <n v="11.0"/>
        <n v="103.0"/>
        <n v="68.0"/>
        <n v="162.0"/>
        <n v="43.0"/>
        <n v="134.0"/>
        <n v="305.0"/>
        <n v="84.0"/>
        <n v="96.0"/>
        <n v="71.0"/>
        <n v="130.0"/>
        <n v="604.0"/>
        <n v="6.0"/>
        <n v="609.0"/>
        <n v="79.0"/>
        <n v="23.0"/>
        <n v="186.0"/>
        <n v="418.0"/>
        <n v="98.0"/>
        <n v="34.0"/>
        <n v="141.0"/>
        <n v="99.0"/>
        <n v="131.0"/>
        <n v="46.0"/>
        <n v="558.0"/>
        <n v="19.0"/>
        <n v="2.0"/>
        <n v="85.0"/>
        <n v="82.0"/>
        <n v="88.0"/>
        <n v="159.0"/>
        <n v="301.0"/>
        <n v="243.0"/>
        <n v="285.0"/>
        <n v="227.0"/>
        <n v="105.0"/>
        <n v="207.0"/>
        <n v="78.0"/>
        <n v="42.0"/>
        <n v="306.0"/>
        <n v="321.0"/>
        <n v="576.0"/>
        <n v="31.0"/>
        <n v="37.0"/>
        <n v="1.0"/>
        <n v="180.0"/>
        <n v="10.0"/>
        <n v="635.0"/>
        <n v="396.0"/>
        <n v="128.0"/>
        <n v="214.0"/>
        <n v="278.0"/>
        <n v="164.0"/>
        <n v="385.0"/>
        <n v="381.0"/>
        <n v="327.0"/>
        <n v="821.0"/>
        <n v="27.0"/>
        <n v="613.0"/>
        <n v="648.0"/>
        <n v="723.0"/>
        <n v="353.0"/>
        <n v="384.0"/>
        <n v="420.0"/>
        <n v="319.0"/>
        <n v="345.0"/>
        <n v="167.0"/>
        <n v="116.0"/>
        <n v="107.0"/>
        <n v="174.0"/>
        <n v="290.0"/>
        <n v="126.0"/>
        <n v="498.0"/>
        <n v="344.0"/>
        <n v="437.0"/>
        <n v="95.0"/>
        <n v="225.0"/>
        <n v="414.0"/>
        <n v="45.0"/>
        <n v="58.0"/>
        <n v="494.0"/>
        <n v="26.0"/>
        <n v="142.0"/>
        <n v="47.0"/>
        <n v="80.0"/>
        <n v="400.0"/>
        <n v="81.0"/>
        <n v="117.0"/>
        <n v="145.0"/>
        <n v="726.0"/>
        <n v="311.0"/>
        <n v="554.0"/>
        <n v="374.0"/>
        <n v="49.0"/>
        <n v="5.0"/>
        <n v="230.0"/>
        <n v="499.0"/>
        <n v="212.0"/>
        <n v="205.0"/>
        <n v="108.0"/>
        <n v="229.0"/>
        <n v="317.0"/>
        <n v="51.0"/>
        <n v="8.0"/>
        <n v="150.0"/>
        <n v="14.0"/>
        <n v="12.0"/>
        <n v="328.0"/>
        <n v="739.0"/>
        <n v="462.0"/>
        <n v="77.0"/>
        <n v="74.0"/>
        <n v="66.0"/>
        <n v="16.0"/>
        <n v="264.0"/>
        <n v="206.0"/>
        <n v="102.0"/>
        <n v="761.0"/>
        <n v="520.0"/>
        <n v="333.0"/>
        <n v="217.0"/>
        <n v="514.0"/>
        <n v="475.0"/>
        <n v="361.0"/>
        <n v="674.0"/>
        <n v="121.0"/>
        <n v="161.0"/>
        <n v="879.0"/>
        <n v="172.0"/>
        <n v="175.0"/>
        <n v="555.0"/>
        <n v="190.0"/>
        <n v="35.0"/>
        <n v="156.0"/>
        <n v="54.0"/>
        <n v="549.0"/>
        <n v="368.0"/>
        <n v="740.0"/>
        <n v="237.0"/>
        <n v="41.0"/>
        <n v="530.0"/>
        <n v="219.0"/>
        <n v="222.0"/>
        <n v="367.0"/>
        <n v="405.0"/>
        <n v="560.0"/>
        <n v="94.0"/>
        <n v="236.0"/>
        <n v="502.0"/>
        <n v="315.0"/>
        <n v="801.0"/>
        <n v="67.0"/>
        <n v="293.0"/>
        <n v="197.0"/>
        <n v="89.0"/>
        <n v="295.0"/>
        <n v="133.0"/>
        <n v="343.0"/>
        <n v="741.0"/>
        <n v="386.0"/>
        <n v="812.0"/>
        <n v="187.0"/>
        <n v="409.0"/>
        <n v="38.0"/>
        <n v="331.0"/>
        <n v="454.0"/>
        <n v="4.0"/>
        <n v="7.0"/>
        <n v="158.0"/>
        <n v="177.0"/>
        <n v="651.0"/>
        <n v="123.0"/>
        <n v="595.0"/>
        <n v="28.0"/>
        <n v="605.0"/>
        <n v="185.0"/>
        <n v="254.0"/>
        <n v="511.0"/>
        <n v="29.0"/>
        <n v="298.0"/>
        <n v="135.0"/>
        <n v="324.0"/>
        <n v="892.0"/>
        <n v="419.0"/>
        <n v="148.0"/>
        <n v="247.0"/>
        <n v="322.0"/>
        <n v="352.0"/>
        <n v="265.0"/>
        <n v="240.0"/>
        <n v="354.0"/>
        <n v="571.0"/>
        <n v="192.0"/>
        <n v="57.0"/>
        <n v="235.0"/>
        <n v="137.0"/>
        <n v="129.0"/>
        <n v="209.0"/>
        <n v="22.0"/>
        <n v="255.0"/>
        <n v="526.0"/>
        <n v="241.0"/>
        <n v="363.0"/>
        <n v="165.0"/>
        <n v="744.0"/>
        <n v="435.0"/>
        <n v="24.0"/>
        <n v="181.0"/>
        <n v="485.0"/>
        <n v="83.0"/>
        <n v="614.0"/>
        <n v="200.0"/>
        <n v="157.0"/>
        <n v="458.0"/>
        <n v="308.0"/>
        <n v="417.0"/>
        <n v="889.0"/>
        <n v="139.0"/>
        <n v="280.0"/>
        <n v="173.0"/>
        <n v="680.0"/>
        <n v="399.0"/>
        <n v="332.0"/>
        <n v="113.0"/>
        <n v="251.0"/>
        <n v="527.0"/>
        <n v="246.0"/>
        <n v="292.0"/>
        <n v="703.0"/>
        <n v="260.0"/>
        <n v="700.0"/>
        <n v="286.0"/>
        <n v="596.0"/>
        <n v="281.0"/>
        <n v="451.0"/>
        <n v="423.0"/>
        <n v="15.0"/>
        <n v="208.0"/>
        <n v="91.0"/>
        <n v="55.0"/>
        <n v="610.0"/>
        <n v="36.0"/>
        <n v="203.0"/>
        <n v="338.0"/>
        <n v="342.0"/>
        <n v="985.0"/>
        <n v="434.0"/>
        <n v="486.0"/>
        <n v="20.0"/>
        <n v="178.0"/>
        <n v="111.0"/>
        <n v="272.0"/>
        <n v="210.0"/>
        <n v="69.0"/>
        <n v="21.0"/>
        <n v="453.0"/>
        <n v="660.0"/>
        <n v="18.0"/>
        <n v="542.0"/>
        <n v="539.0"/>
        <n v="415.0"/>
        <n v="262.0"/>
        <n v="538.0"/>
        <n v="93.0"/>
        <n v="738.0"/>
        <n v="109.0"/>
        <n v="279.0"/>
        <n v="707.0"/>
        <n v="169.0"/>
        <n v="478.0"/>
        <n v="59.0"/>
        <n v="65.0"/>
        <n v="283.0"/>
        <n v="70.0"/>
        <n v="75.0"/>
        <n v="422.0"/>
        <n v="667.0"/>
        <n v="544.0"/>
        <n v="444.0"/>
        <n v="452.0"/>
        <n v="146.0"/>
        <n v="17.0"/>
        <n v="87.0"/>
        <n v="636.0"/>
        <n v="438.0"/>
        <n v="773.0"/>
        <n v="144.0"/>
        <n v="658.0"/>
        <n v="477.0"/>
        <n v="56.0"/>
        <n v="398.0"/>
        <n v="429.0"/>
        <n v="120.0"/>
        <n v="238.0"/>
        <n v="366.0"/>
        <n v="288.0"/>
        <n v="140.0"/>
        <n v="696.0"/>
        <n v="359.0"/>
        <n v="335.0"/>
        <n v="276.0"/>
        <n v="30.0"/>
        <n v="184.0"/>
        <n v="424.0"/>
        <n v="425.0"/>
        <n v="849.0"/>
        <n v="629.0"/>
        <n v="781.0"/>
        <n v="250.0"/>
        <n v="232.0"/>
        <n v="166.0"/>
        <n v="48.0"/>
        <n v="339.0"/>
        <n v="303.0"/>
        <n v="13.0"/>
        <n v="62.0"/>
        <n v="61.0"/>
        <n v="228.0"/>
        <n v="531.0"/>
        <n v="231.0"/>
        <n v="310.0"/>
        <n v="215.0"/>
        <n v="115.0"/>
        <n v="497.0"/>
        <n v="860.0"/>
        <n v="456.0"/>
        <n v="479.0"/>
        <n v="125.0"/>
        <n v="428.0"/>
        <n v="119.0"/>
        <n v="196.0"/>
        <n v="529.0"/>
        <n v="198.0"/>
        <n v="267.0"/>
        <n v="758.0"/>
        <n v="894.0"/>
        <n v="138.0"/>
        <n v="346.0"/>
        <n v="202.0"/>
        <n v="580.0"/>
        <n v="50.0"/>
        <n v="871.0"/>
        <n v="194.0"/>
        <n v="275.0"/>
        <n v="545.0"/>
        <n v="122.0"/>
        <n v="408.0"/>
        <n v="171.0"/>
        <n v="426.0"/>
        <n v="506.0"/>
        <n v="160.0"/>
        <n v="515.0"/>
        <n v="507.0"/>
        <n v="720.0"/>
        <n v="124.0"/>
        <n v="90.0"/>
        <n v="3.0"/>
        <n v="378.0"/>
        <n v="25.0"/>
        <n v="375.0"/>
        <n v="490.0"/>
        <n v="395.0"/>
        <n v="581.0"/>
        <n v="191.0"/>
        <n v="369.0"/>
        <n v="266.0"/>
        <n v="221.0"/>
        <n v="189.0"/>
        <n v="149.0"/>
        <n v="627.0"/>
        <n v="588.0"/>
        <n v="811.0"/>
        <n v="226.0"/>
        <n v="114.0"/>
        <n v="491.0"/>
        <n v="391.0"/>
        <n v="582.0"/>
        <n v="110.0"/>
        <n v="101.0"/>
        <n v="484.0"/>
        <n v="253.0"/>
        <n v="44.0"/>
        <n v="211.0"/>
        <n v="534.0"/>
        <n v="136.0"/>
        <n v="900.0"/>
        <n v="330.0"/>
        <n v="312.0"/>
        <n v="846.0"/>
        <n v="594.0"/>
        <n v="755.0"/>
        <n v="347.0"/>
        <n v="476.0"/>
        <n v="548.0"/>
        <n v="483.0"/>
        <n v="446.0"/>
        <n v="519.0"/>
        <n v="864.0"/>
        <n v="521.0"/>
        <n v="713.0"/>
        <n v="147.0"/>
        <n v="271.0"/>
        <n v="244.0"/>
        <n v="53.0"/>
        <n v="195.0"/>
        <n v="602.0"/>
        <n v="213.0"/>
        <n v="448.0"/>
        <n v="574.0"/>
        <n v="551.0"/>
        <n v="403.0"/>
        <n v="734.0"/>
        <n v="440.0"/>
        <n v="371.0"/>
        <n v="559.0"/>
        <n v="516.0"/>
        <n v="624.0"/>
        <n v="318.0"/>
        <n v="52.0"/>
        <n v="199.0"/>
        <n v="284.0"/>
        <n v="654.0"/>
        <n v="592.0"/>
        <n v="294.0"/>
        <n v="442.0"/>
        <n v="603.0"/>
        <n v="413.0"/>
        <n v="163.0"/>
        <n v="468.0"/>
        <n v="718.0"/>
        <n v="509.0"/>
        <n v="349.0"/>
        <n v="233.0"/>
        <n v="245.0"/>
        <n v="641.0"/>
        <n v="336.0"/>
        <n v="618.0"/>
        <n v="469.0"/>
        <n v="606.0"/>
        <n v="616.0"/>
        <n v="201.0"/>
        <n v="706.0"/>
        <n v="218.0"/>
        <n v="625.0"/>
        <n v="492.0"/>
        <n v="656.0"/>
        <n v="795.0"/>
        <n v="719.0"/>
        <n v="647.0"/>
        <n v="86.0"/>
        <n v="204.0"/>
        <n v="392.0"/>
        <n v="40.0"/>
        <n v="151.0"/>
        <n v="39.0"/>
        <n v="92.0"/>
        <n v="455.0"/>
        <n v="411.0"/>
        <n v="631.0"/>
        <n v="382.0"/>
        <n v="364.0"/>
        <n v="689.0"/>
        <n v="390.0"/>
        <n v="427.0"/>
        <n v="797.0"/>
        <n v="297.0"/>
        <n v="575.0"/>
        <n v="182.0"/>
        <n v="568.0"/>
        <n v="869.0"/>
        <n v="665.0"/>
        <n v="436.0"/>
        <n v="329.0"/>
        <n v="410.0"/>
        <n v="325.0"/>
        <n v="32.0"/>
        <n v="309.0"/>
        <n v="127.0"/>
        <n v="510.0"/>
        <n v="216.0"/>
        <n v="601.0"/>
        <n v="488.0"/>
        <n v="355.0"/>
        <n v="533.0"/>
        <n v="543.0"/>
        <n v="774.0"/>
        <n v="620.0"/>
        <n v="72.0"/>
        <n v="464.0"/>
        <n v="337.0"/>
        <n v="512.0"/>
        <n v="430.0"/>
        <n v="358.0"/>
        <n v="664.0"/>
        <n v="546.0"/>
        <n v="735.0"/>
        <n v="143.0"/>
        <n v="432.0"/>
        <n v="356.0"/>
        <n v="705.0"/>
        <n v="270.0"/>
        <n v="341.0"/>
        <n v="370.0"/>
        <n v="383.0"/>
        <n v="439.0"/>
        <n v="257.0"/>
        <n v="482.0"/>
        <n v="132.0"/>
        <n v="450.0"/>
        <n v="274.0"/>
        <n v="289.0"/>
        <n v="445.0"/>
        <n v="496.0"/>
        <n v="188.0"/>
        <n v="300.0"/>
        <n v="106.0"/>
        <n v="64.0"/>
        <n v="721.0"/>
        <n v="387.0"/>
        <n v="304.0"/>
        <n v="348.0"/>
        <n v="193.0"/>
        <n v="784.0"/>
        <n v="282.0"/>
        <n v="154.0"/>
        <n v="168.0"/>
        <n v="826.0"/>
        <n v="877.0"/>
        <n v="313.0"/>
        <n v="323.0"/>
        <n v="747.0"/>
        <n v="97.0"/>
        <n v="350.0"/>
        <n v="73.0"/>
        <n v="508.0"/>
        <n v="570.0"/>
        <n v="617.0"/>
        <n v="302.0"/>
        <n v="112.0"/>
        <n v="401.0"/>
        <n v="259.0"/>
        <n v="661.0"/>
        <n v="599.0"/>
        <n v="376.0"/>
        <n v="853.0"/>
        <n v="118.0"/>
        <n v="796.0"/>
        <n v="934.0"/>
        <n v="563.0"/>
        <n v="365.0"/>
        <n v="487.0"/>
        <n v="540.0"/>
        <n v="155.0"/>
        <n v="590.0"/>
        <n v="307.0"/>
        <n v="607.0"/>
        <n v="239.0"/>
        <n v="394.0"/>
        <n v="463.0"/>
        <n v="615.0"/>
        <n v="669.0"/>
        <n v="790.0"/>
        <n v="550.0"/>
        <n v="621.0"/>
        <n v="902.0"/>
        <n v="504.0"/>
        <n v="220.0"/>
        <n v="565.0"/>
        <n v="252.0"/>
        <n v="357.0"/>
        <n v="389.0"/>
        <n v="632.0"/>
        <n v="567.0"/>
        <n v="224.0"/>
        <n v="806.0"/>
        <n v="772.0"/>
        <n v="503.0"/>
        <n v="183.0"/>
        <n v="562.0"/>
        <n v="-4.0"/>
        <n v="697.0"/>
        <n v="848.0"/>
        <n v="579.0"/>
        <n v="459.0"/>
        <n v="537.0"/>
        <n v="591.0"/>
        <n v="907.0"/>
        <n v="837.0"/>
        <n v="407.0"/>
        <n v="863.0"/>
        <n v="460.0"/>
        <n v="269.0"/>
        <n v="493.0"/>
        <n v="536.0"/>
        <n v="416.0"/>
        <n v="770.0"/>
        <n v="569.0"/>
        <n v="316.0"/>
        <n v="802.0"/>
        <n v="461.0"/>
        <n v="556.0"/>
        <n v="296.0"/>
        <n v="913.0"/>
        <n v="474.0"/>
        <n v="377.0"/>
        <n v="223.0"/>
        <n v="179.0"/>
        <n v="76.0"/>
        <n v="733.0"/>
        <n v="737.0"/>
        <n v="891.0"/>
        <n v="170.0"/>
        <n v="412.0"/>
        <n v="657.0"/>
        <n v="261.0"/>
        <n v="263.0"/>
        <n v="736.0"/>
        <n v="880.0"/>
        <n v="397.0"/>
        <n v="748.0"/>
        <n v="659.0"/>
        <n v="379.0"/>
        <n v="694.0"/>
        <n v="524.0"/>
        <n v="587.0"/>
        <n v="314.0"/>
        <n v="598.0"/>
        <n v="481.0"/>
        <n v="699.0"/>
        <n v="473.0"/>
        <n v="867.0"/>
        <n v="619.0"/>
        <n v="671.0"/>
        <n v="234.0"/>
        <n v="273.0"/>
        <n v="970.0"/>
        <n v="248.0"/>
        <n v="743.0"/>
        <n v="779.0"/>
        <n v="-8.0"/>
        <n v="404.0"/>
        <n v="728.0"/>
        <n v="431.0"/>
        <n v="583.0"/>
        <n v="677.0"/>
        <n v="505.0"/>
        <n v="844.0"/>
        <n v="176.0"/>
        <n v="465.0"/>
        <n v="712.0"/>
        <n v="682.0"/>
        <n v="640.0"/>
        <n v="936.0"/>
        <n v="764.0"/>
        <n v="766.0"/>
        <n v="287.0"/>
        <n v="626.0"/>
        <n v="670.0"/>
        <n v="687.0"/>
        <n v="480.0"/>
        <n v="258.0"/>
        <n v="757.0"/>
        <n v="523.0"/>
        <n v="709.0"/>
        <n v="816.0"/>
        <n v="489.0"/>
        <n v="535.0"/>
        <n v="457.0"/>
        <n v="859.0"/>
        <n v="153.0"/>
        <n v="299.0"/>
        <n v="-7.0"/>
        <n v="767.0"/>
        <n v="561.0"/>
        <n v="573.0"/>
        <n v="586.0"/>
        <n v="805.0"/>
        <n v="839.0"/>
        <n v="467.0"/>
        <n v="517.0"/>
        <n v="513.0"/>
        <n v="896.0"/>
        <n v="820.0"/>
        <n v="638.0"/>
        <n v="769.0"/>
        <n v="645.0"/>
        <n v="291.0"/>
        <n v="852.0"/>
        <n v="955.0"/>
        <n v="380.0"/>
        <n v="528.0"/>
        <n v="547.0"/>
        <n v="930.0"/>
        <n v="564.0"/>
        <n v="731.0"/>
        <n v="406.0"/>
        <n v="447.0"/>
        <n v="866.0"/>
        <n v="642.0"/>
        <n v="818.0"/>
        <n v="716.0"/>
        <n v="722.0"/>
        <n v="668.0"/>
        <n v="808.0"/>
        <n v="249.0"/>
        <n v="787.0"/>
        <n v="828.0"/>
        <n v="951.0"/>
        <n v="373.0"/>
        <n v="873.0"/>
        <n v="898.0"/>
        <n v="608.0"/>
        <n v="597.0"/>
        <n v="589.0"/>
        <n v="650.0"/>
        <n v="768.0"/>
        <n v="242.0"/>
        <n v="895.0"/>
        <n v="775.0"/>
        <n v="884.0"/>
        <n v="662.0"/>
        <n v="717.0"/>
        <n v="676.0"/>
        <n v="572.0"/>
        <n v="402.0"/>
        <n v="690.0"/>
        <n v="646.0"/>
        <n v="600.0"/>
        <n v="637.0"/>
        <n v="782.0"/>
        <n v="702.0"/>
        <n v="653.0"/>
        <n v="522.0"/>
        <n v="760.0"/>
        <n v="679.0"/>
        <n v="340.0"/>
        <n v="701.0"/>
        <n v="577.0"/>
        <n v="663.0"/>
        <n v="823.0"/>
        <n v="887.0"/>
        <n v="698.0"/>
        <n v="557.0"/>
        <n v="910.0"/>
        <n v="917.0"/>
        <n v="566.0"/>
        <n v="673.0"/>
        <n v="905.0"/>
        <n v="708.0"/>
        <n v="789.0"/>
        <n v="776.0"/>
        <n v="935.0"/>
        <n v="759.0"/>
        <n v="918.0"/>
        <n v="388.0"/>
        <n v="971.0"/>
        <n v="688.0"/>
        <n v="518.0"/>
        <n v="622.0"/>
        <n v="798.0"/>
        <n v="927.0"/>
        <n v="630.0"/>
        <n v="362.0"/>
        <n v="691.0"/>
        <n v="593.0"/>
        <n v="750.0"/>
        <n v="649.0"/>
        <n v="874.0"/>
        <n v="686.0"/>
        <n v="578.0"/>
        <n v="946.0"/>
        <n v="443.0"/>
        <n v="856.0"/>
        <n v="921.0"/>
        <n v="831.0"/>
        <n v="449.0"/>
        <n v="800.0"/>
        <n v="585.0"/>
        <n v="421.0"/>
        <n v="501.0"/>
        <n v="715.0"/>
        <n v="727.0"/>
        <n v="532.0"/>
        <n v="843.0"/>
        <n v="724.0"/>
        <n v="756.0"/>
        <n v="804.0"/>
        <n v="471.0"/>
        <n v="-11.0"/>
        <n v="841.0"/>
        <n v="693.0"/>
        <n v="470.0"/>
        <n v="666.0"/>
        <n v="277.0"/>
        <n v="553.0"/>
        <n v="351.0"/>
        <n v="611.0"/>
        <n v="672.0"/>
        <n v="-1.0"/>
        <n v="683.0"/>
        <n v="862.0"/>
        <n v="634.0"/>
        <n v="803.0"/>
        <n v="655.0"/>
        <n v="334.0"/>
        <n v="704.0"/>
        <n v="903.0"/>
        <n v="875.0"/>
        <n v="360.0"/>
        <n v="729.0"/>
        <n v="525.0"/>
        <n v="749.0"/>
        <n v="692.0"/>
        <n v="-2.0"/>
        <n v="541.0"/>
        <n v="-9.0"/>
        <n v="678.0"/>
        <n v="684.0"/>
        <n v="643.0"/>
        <n v="695.0"/>
        <n v="920.0"/>
        <n v="832.0"/>
        <n v="-6.0"/>
        <n v="372.0"/>
        <n v="824.0"/>
        <n v="730.0"/>
        <n v="742.0"/>
        <n v="834.0"/>
        <n v="855.0"/>
        <n v="799.0"/>
        <n v="639.0"/>
        <n v="633.0"/>
        <n v="878.0"/>
        <n v="441.0"/>
        <n v="584.0"/>
        <n v="807.0"/>
      </sharedItems>
    </cacheField>
    <cacheField name="category_1" numFmtId="0">
      <sharedItems>
        <s v="Fiction"/>
        <s v="History"/>
        <s v="Self-Help"/>
        <s v="Sports"/>
        <s v="Law"/>
        <s v="Tech"/>
        <s v="Finance"/>
        <s v="Arts"/>
        <s v="Medical"/>
      </sharedItems>
    </cacheField>
    <cacheField name="category_2" numFmtId="0">
      <sharedItems>
        <s v="Literary Fiction"/>
        <s v="Mystery"/>
        <s v="Thriller"/>
        <s v="Crime"/>
        <s v="Fantasy"/>
        <s v="Epic Fantasy"/>
        <s v="Urban Fantasy"/>
        <s v="Science Fiction"/>
        <s v="Dystopian"/>
        <s v="Adventure"/>
        <s v="Historical Fiction"/>
        <s v="Romance"/>
        <s v="Romantic Comedy"/>
        <s v="Horror"/>
        <s v="Paranormal"/>
        <s v="Young Adult Fiction"/>
        <s v="Ancient History"/>
        <s v="Medieval History"/>
        <s v="Early Modern History"/>
        <s v="Modern History"/>
        <s v="World War I"/>
        <s v="World War II"/>
        <s v="Cold War"/>
        <s v="Military History"/>
        <s v="Economic History"/>
        <s v="Political History"/>
        <s v="Cultural History"/>
        <s v="Social History"/>
        <s v="History of Science"/>
        <s v="History of Technology"/>
        <s v="Personal Development"/>
        <s v="Productivity"/>
        <s v="Time Management"/>
        <s v="Habits"/>
        <s v="Motivation"/>
        <s v="Mindfulness"/>
        <s v="Stress Management"/>
        <s v="Communication Skills"/>
        <s v="Leadership"/>
        <s v="Decision Making"/>
        <s v="Emotional Intelligence"/>
        <s v="Career Development"/>
        <s v="Life Planning"/>
        <s v="Confidence Building"/>
        <s v="Football"/>
        <s v="Basketball"/>
        <s v="Tennis"/>
        <s v="Athletics"/>
        <s v="Cycling"/>
        <s v="Swimming"/>
        <s v="Running"/>
        <s v="Fitness Training"/>
        <s v="Coaching"/>
        <s v="Sports Psychology"/>
        <s v="Sports Nutrition"/>
        <s v="Extreme Sports"/>
        <s v="Winter Sports"/>
        <s v="Constitutional Law"/>
        <s v="Criminal Law"/>
        <s v="Civil Law"/>
        <s v="Commercial Law"/>
        <s v="Corporate Law"/>
        <s v="International Law"/>
        <s v="Human Rights Law"/>
        <s v="Intellectual Property Law"/>
        <s v="Environmental Law"/>
        <s v="Labor Law"/>
        <s v="Tax Law"/>
        <s v="Legal Theory"/>
        <s v="Legal Practice"/>
        <s v="Programming"/>
        <s v="Web Development"/>
        <s v="Mobile Development"/>
        <s v="Software Engineering"/>
        <s v="Data Science"/>
        <s v="Artificial Intelligence"/>
        <s v="Machine Learning"/>
        <s v="Cybersecurity"/>
        <s v="Cloud Computing"/>
        <s v="DevOps"/>
        <s v="Databases"/>
        <s v="Networking"/>
        <s v="Blockchain"/>
        <s v="Game Development"/>
        <s v="UI/UX Design"/>
        <s v="Personal Finance"/>
        <s v="Investing"/>
        <s v="Stock Market"/>
        <s v="Cryptocurrency"/>
        <s v="Banking"/>
        <s v="Corporate Finance"/>
        <s v="Financial Analysis"/>
        <s v="Financial Modeling"/>
        <s v="Risk Management"/>
        <s v="Derivatives"/>
        <s v="Portfolio Management"/>
        <s v="Venture Capital"/>
        <s v="Private Equity"/>
        <s v="Painting"/>
        <s v="Drawing"/>
        <s v="Sculpture"/>
        <s v="Photography"/>
        <s v="Graphic Design"/>
        <s v="Illustration"/>
        <s v="Digital Art"/>
        <s v="Art History"/>
        <s v="Architecture"/>
        <s v="Fashion Design"/>
        <s v="Interior Design"/>
        <s v="Film Studies"/>
        <s v="Theatre"/>
        <s v="Music"/>
        <s v="Anatomy"/>
        <s v="Physiology"/>
        <s v="Pathology"/>
        <s v="Pharmacology"/>
        <s v="Surgery"/>
        <s v="Pediatrics"/>
        <s v="Neurology"/>
        <s v="Psychiatry"/>
        <s v="Public Health"/>
        <s v="Medical Research"/>
      </sharedItems>
    </cacheField>
    <cacheField name="category_3" numFmtId="0">
      <sharedItems containsBlank="1">
        <s v="Blue Oak Publishing"/>
        <s v="Silver Leaf Press"/>
        <s v="Northbridge Books"/>
        <s v="Riverstone Publishing"/>
        <s v="Golden Quill Press"/>
        <s v="Harbor Light Books"/>
        <s v="Ironwood Publishing"/>
        <s v="Maple Grove Press"/>
        <s v="Cedar Hill Books"/>
        <s v="Willow Creek Publishing"/>
        <s v="Bright Horizon Press"/>
        <s v="Evergreen House"/>
        <m/>
        <s v="Redwood Publishing"/>
        <s v="Crown Gate Press"/>
        <s v="Aurora Book House"/>
        <s v="Summit Ridge Press"/>
        <s v="Pioneer Books"/>
        <s v="Liberty Hill Publishing"/>
        <s v="Morning Star Press"/>
        <s v="Westbridge Books"/>
        <s v="Oakridge Publishing"/>
        <s v="North Star Books"/>
        <s v="White River Press"/>
        <s v="Sunset Harbor Publishing"/>
        <s v="Green Valley Books"/>
        <s v="Heritage Lane Press"/>
        <s v="Fox Hollow Publishing"/>
        <s v="Clearwater Books"/>
        <s v="Lighthouse Press"/>
        <s v="Timberline Publishing"/>
        <s v="Silver Harbor Books"/>
        <s v="Windfall Press"/>
        <s v="Red Lantern Publishing"/>
        <s v="Iron Gate Books"/>
        <s v="Blue Harbor Press"/>
        <s v="Crescent Moon Publishing"/>
        <s v="Copper Hill Books"/>
        <s v="Grand Oak Press"/>
        <s v="Atlas Ridge Publishing"/>
        <s v="Beacon House Books"/>
        <s v="Golden Harbor Press"/>
        <s v="Frontier Publishing"/>
        <s v="New Dawn Books"/>
        <s v="Everlight Press"/>
        <s v="Broadway Hill Publishing"/>
        <s v="Horizon Peak Books"/>
        <s v="Crystal River Press"/>
        <s v="Summit House Publishing"/>
        <s v="Great Plains Books"/>
        <s v="Old Town Press"/>
        <s v="Lakeside Publishing"/>
        <s v="Forest Gate Books"/>
        <s v="Sunrise Hill Press"/>
        <s v="Open Road Publishing"/>
        <s v="Skyline Books"/>
        <s v="Red Bridge Press"/>
        <s v="Highland Peak Publishing"/>
        <s v="Silver Ridge Books"/>
        <s v="Mountain Path Press"/>
        <s v="Starfall Publishing"/>
        <s v="Deep River Books"/>
        <s v="Grand Harbor Press"/>
        <s v="Blue Ridge Publishing"/>
        <s v="Northern Sky Books"/>
        <s v="Harbor Gate Press"/>
        <s v="Springfield Publishing"/>
        <s v="Golden Ridge Books"/>
        <s v="Stone Harbor Press"/>
        <s v="Bright Sky Publishing"/>
        <s v="Oakwood Books"/>
        <s v="Riverbend Press"/>
        <s v="Western Trail Publishing"/>
        <s v="Urban Lantern Books"/>
        <s v="Iron Ridge Press"/>
        <s v="Liberty Bridge Publishing"/>
        <s v="Heritage Harbor Books"/>
        <s v="Suncrest Press"/>
        <s v="White Oak Publishing"/>
        <s v="Frontline Books"/>
        <s v="Pinnacle Ridge Press"/>
        <s v="True North Publishing"/>
        <s v="Grand Valley Books"/>
        <s v="Copper Harbor Press"/>
        <s v="New Frontier Publishing"/>
        <s v="Silver Crown Books"/>
        <s v="Lighthouse Ridge Press"/>
        <s v="Blue Summit Publishing"/>
        <s v="Timber Creek Books"/>
        <s v="Crystal Peak Press"/>
        <s v="Westwind Publishing"/>
        <s v="Golden Valley Books"/>
        <s v="Riverlight Press"/>
        <s v="Ironwood Ridge Publishing"/>
        <s v="Northfield Books"/>
        <s v="Cedar Grove Press"/>
        <s v="Brightwater Publishing"/>
        <s v="Old Harbor Books"/>
        <s v="Redwood Ridge Press"/>
        <s v="Skybridge Publishing"/>
        <s v="Aurora Ridge Books"/>
        <s v="Summit Harbor Press"/>
        <s v="Liberty Grove Publishing"/>
        <s v="Grand Summit Books"/>
        <s v="Evergreen Ridge Press"/>
        <s v="Highland Grove Publishing"/>
        <s v="Pioneer Ridge Books"/>
        <s v="Star Harbor Press"/>
        <s v="Silver Valley Publishing"/>
        <s v="North Harbor Books"/>
        <s v="Riverstone Ridge Press"/>
        <s v="Golden Peak Publishing"/>
        <s v="Crown Ridge Books"/>
        <s v="Sunset Ridge Press"/>
        <s v="Blue Horizon Publishing"/>
        <s v="Timber Ridge Books"/>
        <s v="Aurora Harbor Press"/>
        <s v="Crystal Harbor Publishing"/>
        <s v="Beacon Ridge Books"/>
        <s v="Atlas Harbor Press"/>
        <s v="Frontier Ridge Publishing"/>
        <s v="Grand Harbor Books"/>
        <s v="Silver Gate Press"/>
        <s v="Heritage Ridge Publishing"/>
        <s v="Rivergate Publishing"/>
        <s v="Stonepath Books"/>
        <s v="Greenfield Press"/>
        <s v="Silverfield Publishing"/>
        <s v="Northgate Books"/>
        <s v="Harborstone Press"/>
        <s v="Cedarstone Publishing"/>
        <s v="Brightfield Books"/>
        <s v="Oakfield Press"/>
        <s v="Riverfield Publishing"/>
        <s v="Ironfield Books"/>
        <s v="Silverpath Press"/>
        <s v="Northpath Publishing"/>
        <s v="Harborpath Books"/>
        <s v="Cedarpath Press"/>
        <s v="Brightpath Publishing"/>
        <s v="Oakpath Books"/>
        <s v="Riverpath Press"/>
        <s v="Ironpath Publishing"/>
        <s v="Silvercrest Books"/>
        <s v="Northcrest Press"/>
        <s v="Harborcrest Publishing"/>
        <s v="Cedarcrest Books"/>
        <s v="Brightcrest Press"/>
        <s v="Oakcrest Publishing"/>
        <s v="Rivercrest Books"/>
        <s v="Ironcrest Press"/>
        <s v="Silverbrook Publishing"/>
        <s v="Northbrook Books"/>
        <s v="Harborbrook Press"/>
        <s v="Cedarbrook Publishing"/>
        <s v="Brightbrook Books"/>
        <s v="Oakbrook Press"/>
        <s v="Riverbrook Publishing"/>
        <s v="Ironbrook Books"/>
        <s v="Silverstone Press"/>
        <s v="Northstone Publishing"/>
        <s v="Harborstone Books"/>
        <s v="Cedarstone Press"/>
        <s v="Brightstone Publishing"/>
        <s v="Oakstone Books"/>
        <s v="Riverstone Press"/>
        <s v="Ironstone Publishing"/>
        <s v="Silverridge Books"/>
        <s v="Northridge Press"/>
        <s v="Harborridge Publishing"/>
        <s v="Cedarridge Books"/>
        <s v="Brightridge Press"/>
        <s v="Riverridge Books"/>
        <s v="Ironridge Press"/>
        <s v="Silverpeak Publishing"/>
        <s v="Northpeak Books"/>
        <s v="Harborpeak Press"/>
        <s v="Cedarpeak Publishing"/>
        <s v="Brightpeak Books"/>
        <s v="Oakpeak Press"/>
        <s v="Riverpeak Publishing"/>
        <s v="Ironpeak Books"/>
        <s v="Silvertrail Press"/>
        <s v="Northtrail Publishing"/>
        <s v="Harbortrail Books"/>
        <s v="Cedartrail Press"/>
        <s v="Brighttrail Publishing"/>
        <s v="Oaktrail Books"/>
        <s v="Rivertrail Press"/>
        <s v="Irontrail Publishing"/>
        <s v="Silverfield Books"/>
        <s v="Northfield Press"/>
        <s v="Harborfield Publishing"/>
        <s v="Cedarfield Books"/>
        <s v="Brightfield Press"/>
        <s v="Oakfield Publishing"/>
        <s v="Riverfield Books"/>
        <s v="Ironfield Press"/>
        <s v="Silverlane Publishing"/>
        <s v="Northlane Books"/>
        <s v="Harborlane Press"/>
        <s v="Cedarlane Publishing"/>
        <s v="Brightlane Books"/>
        <s v="Oaklane Press"/>
        <s v="Riverlane Publishing"/>
        <s v="Ironlane Books"/>
        <s v="Silverway Press"/>
        <s v="Northway Publishing"/>
        <s v="Harborway Books"/>
        <s v="Cedarway Press"/>
        <s v="Brightway Publishing"/>
        <s v="Oakway Books"/>
        <s v="Riverway Press"/>
        <s v="Ironway Publishing"/>
        <s v="Silverbridge Books"/>
        <s v="Northbridge Press"/>
        <s v="Harborbridge Publishing"/>
        <s v="Cedarbridge Books"/>
        <s v="Brightbridge Press"/>
        <s v="Oakbridge Publishing"/>
        <s v="Riverbridge Books"/>
        <s v="Ironbridge Press"/>
        <s v="Silvergrove Publishing"/>
        <s v="Northgrove Books"/>
        <s v="Harborgrove Press"/>
        <s v="Cedargrove Publishing"/>
        <s v="Brightgrove Books"/>
        <s v="Oakgrove Press"/>
        <s v="Rivergrove Publishing"/>
        <s v="Irongrove Books"/>
        <s v="Silverhill Press"/>
        <s v="Northhill Publishing"/>
        <s v="Harborhill Books"/>
        <s v="Cedarhill Press"/>
        <s v="Brighthill Publishing"/>
        <s v="Oakhill Books"/>
        <s v="Riverhill Press"/>
        <s v="Ironhill Publishing"/>
        <s v="Silverpoint Books"/>
        <s v="Northpoint Press"/>
        <s v="Harborpoint Publishing"/>
        <s v="Cedarpoint Books"/>
        <s v="Brightpoint Press"/>
        <s v="Oakpoint Publishing"/>
        <s v="Riverpoint Books"/>
        <s v="Ironpoint Press"/>
        <s v="Silverlight Publishing"/>
        <s v="Northlight Books"/>
        <s v="Harborlight Press"/>
        <s v="Cedarlight Publishing"/>
        <s v="Brightlight Books"/>
        <s v="Oaklight Press"/>
        <s v="Riverlight Publishing"/>
        <s v="Ironlight Books"/>
        <s v="Silverwind Press"/>
        <s v="Northwind Publishing"/>
        <s v="Harborwind Books"/>
        <s v="Cedarwind Press"/>
        <s v="Brightwind Publishing"/>
        <s v="Oakwind Books"/>
        <s v="Riverwind Press"/>
        <s v="Ironwind Publishing"/>
        <s v="Silvergate Books"/>
        <s v="Northgate Press"/>
        <s v="Harborgate Publishing"/>
        <s v="Cedargate Books"/>
        <s v="Brightgate Press"/>
        <s v="Oakgate Publishing"/>
        <s v="Rivergate Books"/>
        <s v="Irongate Press"/>
        <s v="Silverforge Publishing"/>
        <s v="Northforge Books"/>
        <s v="Harborforge Press"/>
        <s v="Cedarforge Publishing"/>
        <s v="Brightforge Books"/>
        <s v="Oakforge Press"/>
        <s v="Riverforge Publishing"/>
        <s v="Ironforge Books"/>
        <s v="Silvercrest House"/>
        <s v="Northcrest House"/>
        <s v="Harborcrest House"/>
        <s v="Cedarcrest House"/>
        <s v="Brightcrest House"/>
        <s v="Oakcrest House"/>
        <s v="Rivercrest House"/>
        <s v="Ironcrest House"/>
        <s v="Silverline Publishing"/>
        <s v="Northline Books"/>
        <s v="Harborline Press"/>
        <s v="Cedarline Publishing"/>
        <s v="Brightline Books"/>
        <s v="Oakline Press"/>
        <s v="Riverline Publishing"/>
        <s v="Ironline Books"/>
        <s v="Silvermark Press"/>
        <s v="Northmark Publishing"/>
        <s v="Harbormark Books"/>
        <s v="Cedarmark Press"/>
        <s v="Brightmark Publishing"/>
        <s v="Oakmark Books"/>
        <s v="Rivermark Press"/>
        <s v="Ironmark Publishing"/>
        <s v="Silvergate House"/>
        <s v="Northgate House"/>
        <s v="Harborgate House"/>
        <s v="Cedargate House"/>
        <s v="Brightgate House"/>
        <s v="Oakgate House"/>
        <s v="Rivergate House"/>
        <s v="Irongate House"/>
        <s v="Silvertree Press"/>
        <s v="Northtree Publishing"/>
        <s v="Harbortree Books"/>
        <s v="Cedartree Press"/>
        <s v="Brighttree Publishing"/>
        <s v="Oaktree Books"/>
        <s v="Rivertree Press"/>
        <s v="Irontree Publishing"/>
        <s v="Silverstone House"/>
        <s v="Northstone House"/>
        <s v="Harborstone House"/>
        <s v="Cedarstone House"/>
        <s v="Brightstone House"/>
        <s v="Oakstone House"/>
        <s v="Riverstone House"/>
        <s v="Ironstone House"/>
        <s v="Silverhill House"/>
        <s v="Northhill House"/>
        <s v="Harborhill House"/>
        <s v="Cedarhill House"/>
        <s v="Brighthill House"/>
        <s v="Oakhill House"/>
        <s v="Riverhill House"/>
        <s v="Ironhill House"/>
        <s v="Silverpeak House"/>
        <s v="Northpeak House"/>
        <s v="Harborpeak House"/>
        <s v="Cedarpeak House"/>
        <s v="Brightpeak House"/>
        <s v="Oakpeak House"/>
        <s v="Riverpeak House"/>
        <s v="Ironpeak House"/>
        <s v="Silvertrail House"/>
        <s v="Northtrail House"/>
        <s v="Harbortrail House"/>
        <s v="Cedartrail House"/>
        <s v="Brighttrail House"/>
        <s v="Oaktrail House"/>
        <s v="Rivertrail House"/>
        <s v="Irontrail House"/>
        <s v="Silverbrook House"/>
        <s v="Northbrook House"/>
        <s v="Harborbrook House"/>
        <s v="Cedarbrook House"/>
        <s v="Brightbrook House"/>
        <s v="Oakbrook House"/>
        <s v="Riverbrook House"/>
        <s v="Ironbrook House"/>
        <s v="Silverlight House"/>
        <s v="Northlight House"/>
        <s v="Harborlight House"/>
        <s v="Cedarlight House"/>
        <s v="Brightlight House"/>
        <s v="Oaklight House"/>
        <s v="Riverlight House"/>
        <s v="Ironlight House"/>
        <s v="Silverwind House"/>
        <s v="Northwind House"/>
        <s v="Harborwind House"/>
        <s v="Cedarwind House"/>
        <s v="Brightwind House"/>
        <s v="Oakwind House"/>
        <s v="Riverwind House"/>
        <s v="Ironwind House"/>
        <s v="Silverbridge House"/>
        <s v="Northbridge House"/>
        <s v="Harborbridge House"/>
        <s v="Cedarbridge House"/>
        <s v="Brightbridge House"/>
        <s v="Oakbridge House"/>
        <s v="Riverbridge House"/>
        <s v="Ironbridge House"/>
        <s v="Silvergrove House"/>
        <s v="Northgrove House"/>
        <s v="Harborgrove House"/>
        <s v="Cedargrove House"/>
        <s v="Brightgrove House"/>
        <s v="Oakgrove House"/>
        <s v="Rivergrove House"/>
        <s v="Irongrove House"/>
        <s v="Silverpoint House"/>
        <s v="Northpoint House"/>
        <s v="Harborpoint House"/>
        <s v="Cedarpoint House"/>
        <s v="Brightpoint House"/>
        <s v="Oakpoint House"/>
        <s v="Riverpoint House"/>
        <s v="Ironpoint House"/>
        <s v="Silverfield House"/>
        <s v="Northfield House"/>
        <s v="Harborfield House"/>
        <s v="Cedarfield House"/>
        <s v="Brightfield House"/>
        <s v="Oakfield House"/>
        <s v="Riverfield House"/>
        <s v="Ironfield House"/>
        <s v="Silverlane House"/>
        <s v="Northlane House"/>
        <s v="Harborlane House"/>
        <s v="Cedarlane House"/>
        <s v="Brightlane House"/>
        <s v="Oaklane House"/>
        <s v="Riverlane House"/>
        <s v="Ironlane House"/>
        <s v="Silverway House"/>
        <s v="Northway House"/>
        <s v="Harborway House"/>
        <s v="Cedarway House"/>
        <s v="Brightway House"/>
        <s v="Oakway House"/>
        <s v="Riverway House"/>
        <s v="Ironway House"/>
        <s v="Silvermark House"/>
        <s v="Northmark House"/>
        <s v="Harbormark House"/>
        <s v="Cedarmark House"/>
        <s v="Brightmark House"/>
        <s v="Oakmark House"/>
        <s v="Rivermark House"/>
        <s v="Ironmark House"/>
        <s v="Silvertree House"/>
        <s v="Northtree House"/>
        <s v="Harbortree House"/>
        <s v="Cedartree House"/>
        <s v="Brighttree House"/>
        <s v="Oaktree House"/>
        <s v="Rivertree House"/>
        <s v="Irontree House"/>
        <s v="Silverforge House"/>
        <s v="Northforge House"/>
        <s v="Harborforge House"/>
        <s v="Cedarforge House"/>
        <s v="Brightforge House"/>
        <s v="Oakforge House"/>
        <s v="Riverforge House"/>
        <s v="Ironforge House"/>
        <s v="Northpeak Publishing"/>
        <s v="Harborpeak Publishing"/>
        <s v="Brightpeak Publishing"/>
        <s v="Oakpeak Publishing"/>
        <s v="Ironpeak Publishing"/>
        <s v="Silvercrest Publishing"/>
        <s v="Northcrest Publishing"/>
        <s v="Cedarcrest Publishing"/>
        <s v="Brightcrest Publishing"/>
        <s v="Rivercrest Publishing"/>
        <s v="Ironcrest Publishing"/>
        <s v="Silverbrook Publishing House"/>
        <s v="Northbrook Publishing House"/>
        <s v="Harborbrook Publishing House"/>
        <s v="Cedarbrook Publishing House"/>
        <s v="Brightbrook Publishing House"/>
        <s v="Oakbrook Publishing House"/>
        <s v="Riverbrook Publishing House"/>
        <s v="Ironbrook Publishing House"/>
        <s v="Silvergate Publishing House"/>
        <s v="Northgate Publishing House"/>
        <s v="Harborgate Publishing House"/>
        <s v="Cedargate Publishing House"/>
        <s v="Brightgate Publishing House"/>
        <s v="Oakgate Publishing House"/>
        <s v="Rivergate Publishing House"/>
        <s v="Irongate Publishing House"/>
        <s v="Silverwind Publishing House"/>
        <s v="Northwind Publishing House"/>
        <s v="Harborwind Publishing House"/>
        <s v="Cedarwind Publishing House"/>
        <s v="Brightwind Publishing House"/>
        <s v="Oakwind Publishing House"/>
        <s v="Riverwind Publishing House"/>
        <s v="Ironwind Publishing House"/>
        <s v="Silverlight Publishing House"/>
        <s v="Northlight Publishing House"/>
        <s v="Harborlight Publishing House"/>
        <s v="Cedarlight Publishing House"/>
        <s v="Brightlight Publishing House"/>
        <s v="Oaklight Publishing House"/>
        <s v="Riverlight Publishing House"/>
        <s v="Ironlight Publishing House"/>
        <s v="Silverstone Publishing House"/>
        <s v="Northstone Publishing House"/>
        <s v="Harborstone Publishing House"/>
        <s v="Cedarstone Publishing House"/>
        <s v="Brightstone Publishing House"/>
        <s v="Oakstone Publishing House"/>
        <s v="Riverstone Publishing House"/>
        <s v="Ironstone Publishing House"/>
        <s v="Silverbridge Publishing House"/>
        <s v="Northbridge Publishing House"/>
        <s v="Harborbridge Publishing House"/>
        <s v="Cedarbridge Publishing House"/>
        <s v="Brightbridge Publishing House"/>
        <s v="Oakbridge Publishing House"/>
        <s v="Riverbridge Publishing House"/>
        <s v="Ironbridge Publishing House"/>
        <s v="Claytime Books"/>
        <s v="Bulunamadı"/>
      </sharedItems>
    </cacheField>
    <cacheField name="pp_cat">
      <sharedItems containsMixedTypes="1" containsNumber="1">
        <n v="2.16"/>
        <n v="0.93"/>
        <n v="1.07"/>
        <n v="8.9"/>
        <n v="8.84"/>
        <n v="4.89"/>
        <n v="1.94"/>
        <n v="1.77"/>
        <n v="2.88"/>
        <n v="1.83"/>
        <n v="4.04"/>
        <n v="1.5"/>
        <n v="2.65"/>
        <n v="2.04"/>
        <n v="3.23"/>
        <n v="4.72"/>
        <n v="6.05"/>
        <n v="3.86"/>
        <n v="2.31"/>
        <n v="7.35"/>
        <n v="7.02"/>
        <n v="2.69"/>
        <n v="1.89"/>
        <n v="2.39"/>
        <n v="2.93"/>
        <n v="2.02"/>
        <n v="2.66"/>
        <n v="4.35"/>
        <n v="3.33"/>
        <n v="4.12"/>
        <n v="12.34"/>
        <n v="4.2"/>
        <n v="4.05"/>
        <n v="12.24"/>
        <n v="8.54"/>
        <n v="12.08"/>
        <n v="11.06"/>
        <n v="6.52"/>
        <n v="7.19"/>
        <n v="6.25"/>
        <n v="10.64"/>
        <n v="7.29"/>
        <n v="11.11"/>
        <n v="11.53"/>
        <n v="8.85"/>
        <n v="6.99"/>
        <n v="8.8"/>
        <n v="8.45"/>
        <n v="8.46"/>
        <n v="11.73"/>
        <n v="6.76"/>
        <n v="8.75"/>
        <n v="12.18"/>
        <n v="8.81"/>
        <n v="3.05"/>
        <n v="5.24"/>
        <n v="3.53"/>
        <n v="3.72"/>
        <n v="6.35"/>
        <n v="4.3"/>
        <n v="3.55"/>
        <n v="2.33"/>
        <n v="3.0"/>
        <n v="3.02"/>
        <n v="2.63"/>
        <n v="2.13"/>
        <n v="4.21"/>
        <n v="3.5"/>
        <n v="4.41"/>
        <n v="2.29"/>
        <n v="4.19"/>
        <n v="3.99"/>
        <n v="5.27"/>
        <n v="5.32"/>
        <n v="4.74"/>
        <n v="5.05"/>
        <n v="2.95"/>
        <n v="1.92"/>
        <n v="6.07"/>
        <n v="3.58"/>
        <n v="5.07"/>
        <n v="4.47"/>
        <n v="3.36"/>
        <n v="3.16"/>
        <n v="4.55"/>
        <n v="5.48"/>
        <n v="4.66"/>
        <n v="5.21"/>
        <n v="3.3"/>
        <n v="2.49"/>
        <n v="12.97"/>
        <n v="18.29"/>
        <n v="13.46"/>
        <n v="14.78"/>
        <n v="14.14"/>
        <n v="1.2"/>
        <n v="2.86"/>
        <n v="1.44"/>
        <n v="1.56"/>
        <n v="1.05"/>
        <n v="1.4"/>
        <n v="3.46"/>
        <n v="7.2"/>
        <n v="1.21"/>
        <n v="1.6"/>
        <n v="1.54"/>
        <n v="1.61"/>
        <n v="1.38"/>
        <n v="13.99"/>
        <n v="5.01"/>
        <n v="4.79"/>
        <n v="4.64"/>
        <n v="12.79"/>
        <n v="9.72"/>
        <n v="15.19"/>
        <n v="11.94"/>
        <n v="14.68"/>
        <n v="21.78"/>
        <n v="19.88"/>
        <n v="28.77"/>
        <n v="21.97"/>
        <n v="6.41"/>
        <n v="6.98"/>
        <n v="13.25"/>
        <n v="46.56"/>
        <n v="21.92"/>
        <n v="15.81"/>
        <n v="15.97"/>
        <n v="16.07"/>
        <n v="12.76"/>
        <n v="15.18"/>
        <n v="10.67"/>
        <n v="16.14"/>
        <n v="8.74"/>
        <n v="12.35"/>
        <n v="12.37"/>
        <n v="11.15"/>
        <n v="14.24"/>
        <n v="8.01"/>
        <n v="9.35"/>
        <n v="9.6"/>
        <n v="8.08"/>
        <n v="9.28"/>
        <n v="10.29"/>
        <n v="13.47"/>
        <n v="6.09"/>
        <n v="9.63"/>
        <n v="10.53"/>
        <n v="8.31"/>
        <n v="13.55"/>
        <n v="6.43"/>
        <n v="4.92"/>
        <n v="32.73"/>
        <n v="4.9"/>
        <n v="12.15"/>
        <n v="5.19"/>
        <n v="13.87"/>
        <n v="12.67"/>
        <n v="9.03"/>
        <n v="7.96"/>
        <n v="13.32"/>
        <n v="4.84"/>
        <n v="6.88"/>
        <n v="6.2"/>
        <n v="5.8"/>
        <n v="5.78"/>
        <n v="14.08"/>
        <n v="8.17"/>
        <n v="5.13"/>
        <n v="6.71"/>
        <n v="5.9"/>
        <n v="2.46"/>
        <n v="1.15"/>
        <n v="3.09"/>
        <n v="2.06"/>
        <n v="2.0"/>
        <n v="2.35"/>
        <n v="2.01"/>
        <n v="2.64"/>
        <n v="3.01"/>
        <n v="1.98"/>
        <n v="3.25"/>
        <n v="2.84"/>
        <n v="0.45"/>
        <n v="3.21"/>
        <n v="1.73"/>
        <n v="1.29"/>
        <n v="4.23"/>
        <n v="1.9"/>
        <n v="2.48"/>
        <n v="1.97"/>
        <n v="1.87"/>
        <n v="2.1"/>
        <n v="2.11"/>
        <n v="1.34"/>
        <n v="9.47"/>
        <n v="3.26"/>
        <n v="7.39"/>
        <n v="1.8"/>
        <n v="1.95"/>
        <n v="2.62"/>
        <n v="2.08"/>
        <n v="1.55"/>
        <n v="1.18"/>
        <n v="7.75"/>
        <n v="2.4"/>
        <n v="1.71"/>
        <n v="6.81"/>
        <n v="4.53"/>
        <n v="1.53"/>
        <n v="1.59"/>
        <n v="1.26"/>
        <n v="35.48"/>
        <n v="4.18"/>
        <n v="1.65"/>
        <n v="2.03"/>
        <n v="2.36"/>
        <n v="8.73"/>
        <n v="1.88"/>
        <n v="32.34"/>
        <n v="1.22"/>
        <n v="3.69"/>
        <n v="1.66"/>
        <n v="2.18"/>
        <n v="2.21"/>
        <n v="4.52"/>
        <n v="5.57"/>
        <n v="5.31"/>
        <n v="4.7"/>
        <n v="7.98"/>
        <n v="9.12"/>
        <n v="2.47"/>
        <n v="4.36"/>
        <n v="8.92"/>
        <n v="5.81"/>
        <n v="5.67"/>
        <n v="2.12"/>
        <n v="4.6"/>
        <n v="9.34"/>
        <n v="0.75"/>
        <n v="0.66"/>
        <n v="9.44"/>
        <n v="1.24"/>
        <n v="1.03"/>
        <n v="1.68"/>
        <n v="1.36"/>
        <n v="5.42"/>
        <n v="4.85"/>
        <n v="5.98"/>
        <n v="6.8"/>
        <n v="5.47"/>
        <n v="5.43"/>
        <n v="2.26"/>
        <n v="3.67"/>
        <n v="3.45"/>
        <n v="6.12"/>
        <n v="6.33"/>
        <n v="4.03"/>
        <n v="6.19"/>
        <n v="7.77"/>
        <n v="5.56"/>
        <n v="3.17"/>
        <n v="2.85"/>
        <n v="10.34"/>
        <n v="2.71"/>
        <n v="8.51"/>
        <n v="4.33"/>
        <n v="3.43"/>
        <n v="3.13"/>
        <n v="3.85"/>
        <n v="4.57"/>
        <n v="3.04"/>
        <n v="3.82"/>
        <n v="2.5"/>
        <n v="3.9"/>
        <n v="4.86"/>
        <n v="3.61"/>
        <n v="5.61"/>
        <n v="4.25"/>
        <n v="2.82"/>
        <n v="2.77"/>
        <n v="2.92"/>
        <n v="4.29"/>
        <n v="3.71"/>
        <n v="4.97"/>
        <n v="7.56"/>
        <n v="4.1"/>
        <n v="2.37"/>
        <n v="5.84"/>
        <n v="4.76"/>
        <n v="3.34"/>
        <n v="6.89"/>
        <n v="6.9"/>
        <n v="4.61"/>
        <n v="2.74"/>
        <n v="3.62"/>
        <n v="4.24"/>
        <n v="0.94"/>
        <n v="0.99"/>
        <n v="1.99"/>
        <n v="2.38"/>
        <n v="4.38"/>
        <n v="2.7"/>
        <n v="0.88"/>
        <n v="2.45"/>
        <n v="1.48"/>
        <n v="4.43"/>
        <n v="0.68"/>
        <n v="0.72"/>
        <n v="4.22"/>
        <n v="2.15"/>
        <n v="1.91"/>
        <n v="3.68"/>
        <n v="1.27"/>
        <n v="2.9"/>
        <n v="3.29"/>
        <n v="1.85"/>
        <n v="1.3"/>
        <n v="1.43"/>
        <n v="2.51"/>
        <n v="1.78"/>
        <n v="4.96"/>
        <n v="4.07"/>
        <n v="1.57"/>
        <n v="3.06"/>
        <n v="5.3"/>
        <n v="1.67"/>
        <n v="2.75"/>
        <n v="2.67"/>
        <n v="3.56"/>
        <n v="2.58"/>
        <n v="4.81"/>
        <n v="1.14"/>
        <n v="4.56"/>
        <n v="1.82"/>
        <n v="4.14"/>
        <n v="2.76"/>
        <n v="3.64"/>
        <n v="3.38"/>
        <n v="5.02"/>
        <n v="1.52"/>
        <n v="3.27"/>
        <n v="3.31"/>
        <n v="2.87"/>
        <n v="1.39"/>
        <n v="7.06"/>
        <n v="2.6"/>
        <n v="2.23"/>
        <n v="2.28"/>
        <n v="3.73"/>
        <n v="3.15"/>
        <n v="3.84"/>
        <n v="4.15"/>
        <n v="1.74"/>
        <n v="2.97"/>
        <n v="5.2"/>
        <n v="1.37"/>
        <n v="2.57"/>
        <n v="5.73"/>
        <n v="2.05"/>
        <n v="2.34"/>
        <n v="4.48"/>
        <n v="6.28"/>
        <n v="2.81"/>
        <n v="2.25"/>
        <n v="5.25"/>
        <n v="3.32"/>
        <n v="3.7"/>
        <n v="1.1"/>
        <n v="3.49"/>
        <n v="9.53"/>
        <n v="11.77"/>
        <n v="11.6"/>
        <n v="12.19"/>
        <n v="2.61"/>
        <n v="2.17"/>
        <n v="1.17"/>
        <n v="2.2"/>
        <n v="4.27"/>
        <n v="15.91"/>
        <n v="15.95"/>
        <n v="15.63"/>
        <n v="15.67"/>
        <n v="16.7"/>
        <n v="16.87"/>
        <n v="20.38"/>
        <n v="22.9"/>
        <n v="16.98"/>
        <n v="18.7"/>
        <n v="2.24"/>
        <n v="1.13"/>
        <n v="1.62"/>
        <n v="1.33"/>
        <n v="1.81"/>
        <n v="1.63"/>
        <n v="48.01"/>
        <n v="1.75"/>
        <n v="1.19"/>
        <n v="1.51"/>
        <n v="8.34"/>
        <n v="8.28"/>
        <n v="10.04"/>
        <n v="2.41"/>
        <n v="2.32"/>
        <n v="3.79"/>
        <n v="1.42"/>
        <n v="7.63"/>
        <n v="11.55"/>
        <n v="7.67"/>
        <n v="1.84"/>
        <n v="1.86"/>
        <n v="8.03"/>
        <n v="7.65"/>
        <n v="9.39"/>
        <n v="48.23"/>
        <n v="3.78"/>
        <n v="2.3"/>
        <n v="4.02"/>
        <n v="7.08"/>
        <n v="10.35"/>
        <n v="9.89"/>
        <n v="7.48"/>
        <n v="0.95"/>
        <n v="5.55"/>
        <n v="7.32"/>
        <n v="7.93"/>
        <n v="0.53"/>
        <n v="2.56"/>
        <n v="1.23"/>
        <n v="7.03"/>
        <n v="2.73"/>
        <n v="5.1"/>
        <n v="3.92"/>
        <n v="8.18"/>
        <n v="3.75"/>
        <n v="2.54"/>
        <n v="27.41"/>
        <n v="3.14"/>
        <n v="1.58"/>
        <n v="8.94"/>
        <n v="11.54"/>
        <n v="6.82"/>
        <n v="3.03"/>
        <n v="6.51"/>
        <n v="3.91"/>
        <n v="16.62"/>
        <n v="5.29"/>
        <n v="2.43"/>
        <n v="2.53"/>
        <n v="4.37"/>
        <n v="2.72"/>
        <n v="2.22"/>
        <n v="3.87"/>
        <n v="3.66"/>
        <n v="4.0"/>
        <n v="3.51"/>
        <n v="3.07"/>
        <n v="3.35"/>
        <n v="2.44"/>
        <n v="5.59"/>
        <n v="6.74"/>
        <n v="5.79"/>
        <n v="2.07"/>
        <n v="8.61"/>
        <n v="7.47"/>
        <n v="9.46"/>
        <n v="0.74"/>
        <n v="5.89"/>
        <n v="6.49"/>
        <n v="2.78"/>
        <n v="2.09"/>
        <n v="5.4"/>
        <n v="3.28"/>
        <n v="3.63"/>
        <n v="2.52"/>
        <n v="3.48"/>
        <n v="2.99"/>
        <n v="3.76"/>
        <n v="18.34"/>
        <n v="5.82"/>
        <n v="7.42"/>
        <n v="3.08"/>
        <n v="0.97"/>
        <n v="1.32"/>
        <n v="1.06"/>
        <n v="6.13"/>
        <n v="0.96"/>
        <n v="2.42"/>
        <n v="6.64"/>
        <n v="4.82"/>
        <n v="5.72"/>
        <n v="1.28"/>
        <n v="5.83"/>
        <n v="6.16"/>
        <n v="1.69"/>
        <n v="15.64"/>
        <n v="3.19"/>
        <n v="10.96"/>
        <n v="2.89"/>
        <n v="4.32"/>
        <n v="0.81"/>
        <n v="9.85"/>
        <n v="1.25"/>
        <n v="0.86"/>
        <n v="1.41"/>
        <n v="0.57"/>
        <n v="2.14"/>
        <n v="4.17"/>
        <n v="0.55"/>
        <n v="4.06"/>
        <n v="5.0"/>
        <n v="7.33"/>
        <n v="4.54"/>
        <n v="1.11"/>
        <n v="0.7"/>
        <n v="5.58"/>
        <n v="1.09"/>
        <n v="6.18"/>
        <n v="1.49"/>
        <n v="3.65"/>
        <n v="1.64"/>
        <n v="6.17"/>
        <n v="14.29"/>
        <n v="10.62"/>
        <n v="0.87"/>
        <n v="5.16"/>
        <n v="12.33"/>
        <n v="4.63"/>
        <n v="4.28"/>
        <n v="9.11"/>
        <n v="3.88"/>
        <n v="13.77"/>
        <n v="9.49"/>
        <n v="7.37"/>
        <n v="6.67"/>
        <n v="11.28"/>
        <n v="13.23"/>
        <n v="5.18"/>
        <n v="8.04"/>
        <n v="6.53"/>
        <n v="5.23"/>
        <n v="11.47"/>
        <n v="5.6"/>
        <n v="2.79"/>
        <n v="3.44"/>
        <n v="3.18"/>
        <n v="10.75"/>
        <n v="5.97"/>
        <n v="8.48"/>
        <n v="8.98"/>
        <n v="4.46"/>
        <n v="10.09"/>
        <n v="10.89"/>
        <n v="5.26"/>
        <n v="4.13"/>
        <n v="4.34"/>
        <n v="6.56"/>
        <n v="3.81"/>
        <n v="12.91"/>
        <n v="10.12"/>
        <n v="7.4"/>
        <n v="1.7"/>
        <n v="1.96"/>
        <n v="4.65"/>
        <n v="1.76"/>
        <n v="14.48"/>
        <n v="3.1"/>
        <n v="13.28"/>
        <n v="2.94"/>
        <n v="4.94"/>
        <n v="2.27"/>
        <n v="2.8"/>
        <n v="11.24"/>
        <n v="5.08"/>
        <n v="1.46"/>
        <n v="10.81"/>
        <n v="5.15"/>
        <n v="3.42"/>
        <n v="5.7"/>
        <n v="5.95"/>
        <n v="3.54"/>
        <n v="11.83"/>
        <n v="4.16"/>
        <n v="4.51"/>
        <n v="10.17"/>
        <n v="13.26"/>
        <n v="11.82"/>
        <n v="12.22"/>
        <n v="16.95"/>
        <n v="12.87"/>
        <n v="7.13"/>
        <n v="6.55"/>
        <n v="5.34"/>
        <n v="11.35"/>
        <n v="10.65"/>
        <n v="7.11"/>
        <n v="5.63"/>
        <n v="7.71"/>
        <n v="3.47"/>
        <n v="7.38"/>
        <n v="15.23"/>
        <n v="5.06"/>
        <n v="9.74"/>
        <n v="4.78"/>
        <n v="6.46"/>
        <n v="6.73"/>
        <n v="4.75"/>
        <n v="4.71"/>
        <n v="4.88"/>
        <n v="9.86"/>
        <n v="8.5"/>
        <n v="14.82"/>
        <n v="5.11"/>
        <n v="8.57"/>
        <n v="2.91"/>
        <n v="3.89"/>
        <n v="6.45"/>
        <n v="1.02"/>
        <n v="0.92"/>
        <n v="0.98"/>
        <n v="1.79"/>
        <n v="1.35"/>
        <n v="0.77"/>
        <n v="1.01"/>
        <n v="0.58"/>
        <n v="2.19"/>
        <n v="0.71"/>
        <n v="1.16"/>
        <n v="1.0"/>
        <n v="8.72"/>
        <n v="0.63"/>
        <n v="3.24"/>
        <n v="3.98"/>
        <n v="1.72"/>
        <n v="0.73"/>
        <n v="9.91"/>
        <n v="0.84"/>
        <n v="1.12"/>
        <n v="0.9"/>
        <n v="0.89"/>
        <n v="1.31"/>
        <n v="4.11"/>
        <n v="3.4"/>
        <n v="7.49"/>
        <n v="5.37"/>
        <n v="6.3"/>
        <n v="11.43"/>
        <n v="19.3"/>
        <n v="18.23"/>
        <n v="5.64"/>
        <n v="6.97"/>
        <n v="5.38"/>
        <n v="7.51"/>
        <n v="5.51"/>
        <n v="12.64"/>
        <n v="1.04"/>
        <n v="8.13"/>
        <n v="4.83"/>
        <n v="11.04"/>
        <n v="8.91"/>
        <n v="5.14"/>
        <n v="7.43"/>
        <n v="4.08"/>
        <n v="4.67"/>
        <n v="5.28"/>
        <n v="6.57"/>
        <n v="8.95"/>
        <n v="5.04"/>
        <n v="23.37"/>
        <n v="5.44"/>
        <n v="19.07"/>
        <n v="10.85"/>
        <n v="4.39"/>
        <n v="2.55"/>
        <n v="3.77"/>
        <n v="5.33"/>
        <n v="3.6"/>
        <n v="1.93"/>
        <n v="4.44"/>
        <n v="8.15"/>
        <n v="3.39"/>
        <n v="2.68"/>
        <n v="5.74"/>
        <n v="17.17"/>
        <n v="13.9"/>
        <n v="5.69"/>
        <n v="3.37"/>
        <n v="6.22"/>
        <n v="17.31"/>
        <n v="4.59"/>
        <n v="22.95"/>
        <n v="29.92"/>
        <n v="15.02"/>
        <n v="4.91"/>
        <n v="3.57"/>
        <n v="5.65"/>
        <n v="8.22"/>
        <n v="4.26"/>
        <n v="6.59"/>
        <n v="6.93"/>
        <n v="3.2"/>
        <n v="8.58"/>
        <n v="7.8"/>
        <n v="6.62"/>
        <n v="8.05"/>
        <n v="6.96"/>
        <n v="11.23"/>
        <n v="11.41"/>
        <n v="3.93"/>
        <n v="9.23"/>
        <n v="5.45"/>
        <n v="9.14"/>
        <n v="3.11"/>
        <n v="2.83"/>
        <n v="1.45"/>
        <n v="6.24"/>
        <n v="12.32"/>
        <n v="12.6"/>
        <n v="9.18"/>
        <n v="5.52"/>
        <n v="14.99"/>
        <n v="10.11"/>
        <n v="15.13"/>
        <n v="10.14"/>
        <n v="0.47"/>
        <n v="8.78"/>
        <n v="4.58"/>
        <n v="13.33"/>
        <n v="17.97"/>
        <n v="8.0"/>
        <n v="7.46"/>
        <n v="7.59"/>
        <n v="7.25"/>
        <n v="3.12"/>
        <n v="6.34"/>
        <n v="13.39"/>
        <n v="16.15"/>
        <n v="15.29"/>
        <n v="7.15"/>
        <n v="16.22"/>
        <n v="16.85"/>
        <n v="15.33"/>
        <n v="7.21"/>
        <n v="10.02"/>
        <n v="12.92"/>
        <n v="14.2"/>
        <n v="9.8"/>
        <n v="8.67"/>
        <n v="0.49"/>
        <n v="2.59"/>
        <n v="6.54"/>
        <n v="6.02"/>
        <n v="5.94"/>
        <n v="3.94"/>
        <n v="12.51"/>
        <n v="4.01"/>
        <n v="3.41"/>
        <n v="9.61"/>
        <n v="20.33"/>
        <n v="28.87"/>
        <n v="12.36"/>
        <n v="0.48"/>
        <n v="0.42"/>
        <n v="9.24"/>
        <n v="10.87"/>
        <n v="7.26"/>
        <n v="15.84"/>
        <n v="9.51"/>
        <n v="0.91"/>
        <n v="0.62"/>
        <n v="0.61"/>
        <n v="25.17"/>
        <n v="10.24"/>
        <n v="3.83"/>
        <n v="2.96"/>
        <n v="4.8"/>
        <n v="6.03"/>
        <n v="5.99"/>
        <n v="4.77"/>
        <n v="11.56"/>
        <n v="6.27"/>
        <n v="6.01"/>
        <n v="6.23"/>
        <n v="11.84"/>
        <n v="7.6"/>
        <n v="6.78"/>
        <n v="3.95"/>
        <n v="7.36"/>
        <n v="4.69"/>
        <n v="4.42"/>
        <n v="5.91"/>
        <n v="6.87"/>
        <n v="7.09"/>
        <n v="4.99"/>
        <n v="3.97"/>
        <n v="7.64"/>
        <n v="5.49"/>
        <n v="6.0"/>
        <n v="1.47"/>
        <n v="3.52"/>
        <n v="3.22"/>
        <n v="0.69"/>
        <n v="0.85"/>
        <n v="23.63"/>
        <n v="6.77"/>
        <n v="11.3"/>
        <n v="5.86"/>
        <n v="5.17"/>
        <n v="23.34"/>
        <n v="6.26"/>
        <n v="6.08"/>
        <n v="21.57"/>
        <n v="6.47"/>
        <n v="24.29"/>
        <n v="6.58"/>
        <n v="6.06"/>
        <n v="6.68"/>
        <n v="6.42"/>
        <n v="18.25"/>
        <n v="5.12"/>
        <n v="21.88"/>
        <n v="7.27"/>
        <n v="6.75"/>
        <n v="6.1"/>
        <n v="4.45"/>
        <n v="10.84"/>
        <n v="15.16"/>
        <n v="6.83"/>
        <n v="8.66"/>
        <n v="42.45"/>
        <n v="11.52"/>
        <n v="12.29"/>
        <n v="11.17"/>
        <n v="7.61"/>
        <n v="12.75"/>
        <n v="18.19"/>
        <n v="11.2"/>
        <n v="12.54"/>
        <n v="5.93"/>
        <n v="9.71"/>
        <n v="6.72"/>
        <n v="9.32"/>
        <n v="6.31"/>
        <n v="9.78"/>
        <n v="5.54"/>
        <n v="13.75"/>
        <n v="7.3"/>
        <n v="15.42"/>
        <n v="6.21"/>
        <n v="8.2"/>
        <n v="5.87"/>
        <n v="214.5"/>
        <n v="31.32"/>
        <n v="11.61"/>
        <n v="6.37"/>
        <n v="9.41"/>
        <n v="3.8"/>
        <n v="5.5"/>
        <n v="14.89"/>
        <n v="3.96"/>
        <n v="10.0"/>
        <n v="6.11"/>
        <n v="13.83"/>
        <n v="7.52"/>
        <n v="13.17"/>
        <n v="7.91"/>
        <n v="7.82"/>
        <n v="12.27"/>
        <n v="14.94"/>
        <n v="11.97"/>
        <n v="12.57"/>
        <n v="15.5"/>
        <n v="19.41"/>
        <n v="11.25"/>
        <n v="12.21"/>
        <n v="8.11"/>
        <n v="25.94"/>
        <n v="12.84"/>
        <n v="18.24"/>
        <n v="8.64"/>
        <n v="12.42"/>
        <n v="8.89"/>
        <n v="13.0"/>
        <n v="12.88"/>
        <n v="22.33"/>
        <n v="8.02"/>
        <n v="20.31"/>
        <n v="7.05"/>
        <n v="9.19"/>
        <n v="5.88"/>
        <n v="8.55"/>
        <n v="10.82"/>
        <n v="10.47"/>
        <n v="7.88"/>
        <n v="6.66"/>
        <n v="12.65"/>
        <n v="20.37"/>
        <n v="26.88"/>
        <n v="4.31"/>
        <n v="1.08"/>
        <n v="6.86"/>
        <n v="8.43"/>
        <n v="4.68"/>
        <n v="0.44"/>
        <n v="4.73"/>
        <n v="0.76"/>
        <n v="0.52"/>
        <n v="10.3"/>
        <n v="0.59"/>
        <n v="0.82"/>
        <n v="0.54"/>
        <n v="0.5"/>
        <n v="7.24"/>
        <n v="22.1"/>
        <n v="62.95"/>
        <n v="28.88"/>
        <n v="6.32"/>
        <n v="7.23"/>
        <n v="5.39"/>
        <n v="7.76"/>
        <n v="5.75"/>
        <n v="10.72"/>
        <n v="11.66"/>
        <n v="12.73"/>
        <n v="7.92"/>
        <n v="12.38"/>
        <n v="10.74"/>
        <n v="3.74"/>
        <n v="5.35"/>
        <n v="11.19"/>
        <n v="8.87"/>
        <n v="4.49"/>
        <n v="9.36"/>
        <n v="4.93"/>
        <n v="9.87"/>
        <n v="7.07"/>
        <n v="4.09"/>
        <n v="7.12"/>
        <n v="9.68"/>
        <n v="6.04"/>
        <n v="9.01"/>
        <n v="9.29"/>
        <n v="5.76"/>
        <n v="7.16"/>
        <n v="4.95"/>
        <n v="9.76"/>
        <n v="7.95"/>
        <n v="5.96"/>
        <n v="2.98"/>
        <n v="9.22"/>
        <n v="6.38"/>
        <n v="5.92"/>
        <n v="5.66"/>
        <n v="5.85"/>
        <n v="6.5"/>
        <n v="8.83"/>
        <n v="5.68"/>
        <n v="8.47"/>
        <n v="7.44"/>
        <n v="6.61"/>
        <n v="5.22"/>
        <n v="4.62"/>
        <n v="5.36"/>
        <n v="6.39"/>
        <n v="19.99"/>
        <n v="9.4"/>
        <n v="3.59"/>
        <n v="7.0"/>
        <n v="9.38"/>
        <n v="9.42"/>
        <n v="0.32"/>
        <n v="0.41"/>
        <n v="0.8"/>
        <n v="10.13"/>
        <n v="10.31"/>
        <n v="9.81"/>
        <n v="10.93"/>
        <n v="13.38"/>
        <n v="0.83"/>
        <n v="12.82"/>
        <n v="10.77"/>
        <n v="0.46"/>
        <n v="7.34"/>
        <n v="8.21"/>
        <n v="7.74"/>
        <n v="5.03"/>
        <n v="6.69"/>
        <n v="13.01"/>
        <n v="13.06"/>
        <n v="13.76"/>
        <n v="14.51"/>
        <n v="16.54"/>
        <n v="8.76"/>
        <n v="11.58"/>
        <n v="11.71"/>
        <n v="14.36"/>
        <n v="14.53"/>
        <n v="13.54"/>
        <n v="17.57"/>
        <n v="16.53"/>
        <n v="16.52"/>
        <n v="13.74"/>
        <n v="13.88"/>
        <n v="9.73"/>
        <n v="15.15"/>
        <n v="14.49"/>
        <n v="11.37"/>
        <n v="11.96"/>
        <n v="10.37"/>
        <n v="7.7"/>
        <n v="12.12"/>
        <n v="7.18"/>
        <n v="11.45"/>
        <n v="42.91"/>
        <n v="55.58"/>
        <n v="56.8"/>
        <n v="10.83"/>
        <n v="9.21"/>
        <n v="7.41"/>
        <n v="33.79"/>
        <n v="17.41"/>
        <n v="18.55"/>
        <n v="23.55"/>
        <n v="11.01"/>
        <n v="13.16"/>
        <n v="21.7"/>
        <n v="15.4"/>
        <n v="11.34"/>
        <n v="12.26"/>
        <n v="15.58"/>
        <n v="14.37"/>
        <n v="8.26"/>
        <n v="8.41"/>
        <n v="26.53"/>
        <n v="11.49"/>
        <n v="11.59"/>
        <n v="24.6"/>
        <n v="24.46"/>
        <n v="30.61"/>
        <n v="15.43"/>
        <n v="13.51"/>
        <n v="11.44"/>
        <n v="18.49"/>
        <n v="21.59"/>
        <n v="13.14"/>
        <n v="9.04"/>
        <n v="17.9"/>
        <n v="18.17"/>
        <n v="13.67"/>
        <n v="45.25"/>
        <n v="5.53"/>
        <n v="6.48"/>
        <n v="9.95"/>
        <n v="14.22"/>
        <n v="20.63"/>
        <n v="50.75"/>
        <n v="14.93"/>
        <n v="9.27"/>
        <n v="7.69"/>
        <n v="6.7"/>
        <n v="7.04"/>
        <n v="7.97"/>
        <n v="11.86"/>
        <n v="12.43"/>
        <n v="12.44"/>
        <n v="12.39"/>
        <n v="5.46"/>
        <n v="12.45"/>
        <n v="12.0"/>
        <n v="11.42"/>
        <n v="12.3"/>
        <n v="8.44"/>
        <n v="12.02"/>
        <n v="16.94"/>
        <n v="12.2"/>
        <n v="11.93"/>
        <n v="10.92"/>
        <n v="7.85"/>
        <n v="8.37"/>
        <n v="7.78"/>
        <n v="19.32"/>
        <n v="7.86"/>
        <n v="12.01"/>
        <n v="0.79"/>
        <n v="0.33"/>
        <n v="8.49"/>
        <n v="6.84"/>
        <n v="7.14"/>
        <n v="10.06"/>
        <n v="10.48"/>
        <n v="12.86"/>
        <n v="7.22"/>
        <n v="20.32"/>
        <n v="32.62"/>
        <n v="45.26"/>
        <n v="32.59"/>
        <n v="7.66"/>
        <n v="11.7"/>
        <n v="16.81"/>
        <n v="7.73"/>
        <n v="4.5"/>
        <n v="7.94"/>
        <n v="7.01"/>
        <n v="8.12"/>
        <n v="13.72"/>
        <n v="8.23"/>
        <n v="11.67"/>
        <n v="10.45"/>
        <n v="10.55"/>
        <n v="9.69"/>
        <n v="12.63"/>
        <n v="12.58"/>
        <n v="8.09"/>
        <n v="12.25"/>
        <n v="12.06"/>
        <n v="10.28"/>
        <n v="13.7"/>
        <n v="11.92"/>
        <n v="10.15"/>
        <n v="9.45"/>
        <n v="7.9"/>
        <n v="12.95"/>
        <n v="17.33"/>
        <n v="10.4"/>
        <n v="8.07"/>
        <n v="4.4"/>
        <n v="6.29"/>
        <n v="0.65"/>
        <n v="16.16"/>
        <n v="6.85"/>
        <n v="14.74"/>
        <n v="6.14"/>
        <n v="5.41"/>
        <n v="11.99"/>
        <n v="13.49"/>
        <n v="9.5"/>
        <n v="11.91"/>
        <n v="12.93"/>
        <n v="16.3"/>
        <n v="10.63"/>
        <n v="5.71"/>
        <n v="5.09"/>
        <n v="13.71"/>
        <n v="0.6"/>
        <n v="0.78"/>
        <n v="34.67"/>
        <n v="28.45"/>
        <n v="35.02"/>
        <n v="9.79"/>
        <n v="0.56"/>
        <n v="23.13"/>
        <n v="23.06"/>
        <n v="23.18"/>
        <n v="30.75"/>
        <n v="10.9"/>
        <n v="48.6"/>
        <n v="8.7"/>
        <n v="8.29"/>
        <n v="0.51"/>
        <n v="0.36"/>
        <n v="23.41"/>
        <n v="0.34"/>
        <n v="0.64"/>
        <n v="43.88"/>
        <n v="8.1"/>
        <n v="8.06"/>
        <n v="29.07"/>
        <n v="152.75"/>
        <n v="9.94"/>
        <n v="7.54"/>
        <n v="22.39"/>
        <n v="19.54"/>
        <n v="38.75"/>
        <n v="12.5"/>
        <n v="7.55"/>
        <n v="7.1"/>
        <n v="20.12"/>
        <n v="9.43"/>
        <n v="13.5"/>
        <n v="7.5"/>
        <n v="12.56"/>
        <n v="7.83"/>
        <n v="6.6"/>
        <n v="8.38"/>
        <n v="17.88"/>
        <n v="12.52"/>
        <n v="13.18"/>
        <n v="22.18"/>
        <n v="11.05"/>
        <n v="12.8"/>
        <n v="17.38"/>
        <n v="9.93"/>
        <n v="15.78"/>
        <n v="28.98"/>
        <n v="13.62"/>
        <n v="13.35"/>
        <n v="11.8"/>
        <n v="5.62"/>
        <n v="8.19"/>
        <n v="23.43"/>
        <n v="11.29"/>
        <n v="38.63"/>
        <n v="53.06"/>
        <n v="13.57"/>
        <n v="13.42"/>
        <n v="10.54"/>
        <n v="13.21"/>
        <n v="10.71"/>
        <n v="14.38"/>
        <n v="23.49"/>
        <n v="12.55"/>
        <n v="16.67"/>
        <n v="11.31"/>
        <n v="15.17"/>
        <n v="19.93"/>
        <n v="10.23"/>
        <n v="7.89"/>
        <n v="9.97"/>
        <n v="11.02"/>
        <n v="7.87"/>
        <n v="16.04"/>
        <n v="25.74"/>
        <n v="15.71"/>
        <n v="10.19"/>
        <n v="10.2"/>
        <n v="7.62"/>
        <n v="7.72"/>
        <n v="8.33"/>
        <n v="20.05"/>
        <n v="9.3"/>
        <n v="10.66"/>
        <n v="18.48"/>
        <n v="31.91"/>
        <n v="9.7"/>
        <n v="27.4"/>
        <n v="10.05"/>
        <n v="11.18"/>
        <n v="7.81"/>
        <n v="17.16"/>
        <n v="7.57"/>
        <n v="4.98"/>
        <n v="46.67"/>
        <n v="47.34"/>
        <n v="10.73"/>
        <n v="25.87"/>
        <n v="17.56"/>
        <n v="25.43"/>
        <n v="15.12"/>
        <n v="23.1"/>
        <n v="26.78"/>
        <n v="13.96"/>
        <n v="19.43"/>
        <n v="11.51"/>
        <n v="10.22"/>
        <n v="18.74"/>
        <n v="8.52"/>
        <n v="8.86"/>
        <n v="9.31"/>
        <n v="10.59"/>
        <n v="19.76"/>
        <n v="8.68"/>
        <n v="9.15"/>
        <n v="8.99"/>
        <n v="13.68"/>
        <n v="20.99"/>
        <n v="18.88"/>
        <n v="20.84"/>
        <n v="20.78"/>
        <n v="19.95"/>
        <n v="20.62"/>
        <n v="18.57"/>
        <n v="20.73"/>
        <s v="Bulunamadı"/>
      </sharedItems>
    </cacheField>
    <cacheField name="product_name" numFmtId="0">
      <sharedItems>
        <s v="112463 - Fiction - Literary Fiction"/>
        <s v="112481 - Fiction - Literary Fiction"/>
        <s v="13346 - Fiction - Literary Fiction"/>
        <s v="112454 - Fiction - Literary Fiction"/>
        <s v="112461 - Fiction - Literary Fiction"/>
        <s v="106532 - Fiction - Literary Fiction"/>
        <s v="121135 - Fiction - Literary Fiction"/>
        <s v="128362 - History - Mystery"/>
        <s v="71200 - History - Mystery"/>
        <s v="19812 - History - Mystery"/>
        <s v="122259 - History - Mystery"/>
        <s v="199526 - History - Mystery"/>
        <s v="140581 - History - Mystery"/>
        <s v="118383 - History - Mystery"/>
        <s v="122262 - History - Mystery"/>
        <s v="141879 - History - Mystery"/>
        <s v="19826 - History - Thriller"/>
        <s v="93039 - History - Thriller"/>
        <s v="128213 - History - Thriller"/>
        <s v="83797 - History - Thriller"/>
        <s v="19831 - History - Thriller"/>
        <s v="93025 - History - Thriller"/>
        <s v="81624 - History - Thriller"/>
        <s v="92913 - History - Thriller"/>
        <s v="126983 - History - Thriller"/>
        <s v="118226 - History - Thriller"/>
        <s v="48618 - History - Thriller"/>
        <s v="93037 - History - Thriller"/>
        <s v="126984 - History - Thriller"/>
        <s v="47393 - History - Thriller"/>
        <s v="128214 - History - Thriller"/>
        <s v="83802 - History - Thriller"/>
        <s v="48625 - History - Thriller"/>
        <s v="83602 - History - Thriller"/>
        <s v="98867 - History - Thriller"/>
        <s v="127042 - History - Thriller"/>
        <s v="127241 - History - Thriller"/>
        <s v="118220 - History - Thriller"/>
        <s v="128216 - History - Thriller"/>
        <s v="93049 - History - Thriller"/>
        <s v="118216 - History - Thriller"/>
        <s v="118221 - History - Thriller"/>
        <s v="92900 - History - Thriller"/>
        <s v="118215 - History - Thriller"/>
        <s v="19832 - History - Thriller"/>
        <s v="93071 - History - Thriller"/>
        <s v="122395 - History - Thriller"/>
        <s v="116946 - History - Thriller"/>
        <s v="97538 - History - Thriller"/>
        <s v="127238 - History - Thriller"/>
        <s v="81646 - History - Thriller"/>
        <s v="81643 - History - Thriller"/>
        <s v="128215 - History - Thriller"/>
        <s v="108022 - History - Thriller"/>
        <s v="81647 - History - Thriller"/>
        <s v="83603 - History - Thriller"/>
        <s v="118219 - History - Thriller"/>
        <s v="120952 - History - Thriller"/>
        <s v="81658 - History - Thriller"/>
        <s v="93047 - History - Thriller"/>
        <s v="83807 - History - Thriller"/>
        <s v="92915 - History - Thriller"/>
        <s v="81653 - History - Thriller"/>
        <s v="81618 - History - Thriller"/>
        <s v="118241 - History - Thriller"/>
        <s v="48634 - History - Thriller"/>
        <s v="48636 - History - Thriller"/>
        <s v="48629 - History - Thriller"/>
        <s v="47400 - History - Thriller"/>
        <s v="111237 - History - Thriller"/>
        <s v="18042 - History - Thriller"/>
        <s v="114978 - History - Thriller"/>
        <s v="82980 - History - Thriller"/>
        <s v="83093 - History - Thriller"/>
        <s v="18134 - History - Thriller"/>
        <s v="107857 - History - Thriller"/>
        <s v="18136 - History - Thriller"/>
        <s v="69138 - History - Thriller"/>
        <s v="74828 - History - Thriller"/>
        <s v="74884 - History - Thriller"/>
        <s v="127232 - History - Thriller"/>
        <s v="82979 - History - Thriller"/>
        <s v="18138 - History - Thriller"/>
        <s v="127003 - History - Thriller"/>
        <s v="6036 - History - Crime"/>
        <s v="6046 - History - Crime"/>
        <s v="6037 - History - Crime"/>
        <s v="6026 - History - Crime"/>
        <s v="47431 - History - Crime"/>
        <s v="82914 - History - Crime"/>
        <s v="6044 - History - Crime"/>
        <s v="82913 - History - Crime"/>
        <s v="82922 - History - Crime"/>
        <s v="6045 - History - Crime"/>
        <s v="6027 - History - Crime"/>
        <s v="97088 - History - Fantasy"/>
        <s v="122235 - History - Fantasy"/>
        <s v="119887 - History - Fantasy"/>
        <s v="97980 - History - Fantasy"/>
        <s v="119876 - History - Fantasy"/>
        <s v="119881 - History - Fantasy"/>
        <s v="26127 - History - Epic Fantasy"/>
        <s v="87365 - History - Epic Fantasy"/>
        <s v="87381 - History - Epic Fantasy"/>
        <s v="122828 - History - Epic Fantasy"/>
        <s v="73841 - History - Epic Fantasy"/>
        <s v="73838 - History - Epic Fantasy"/>
        <s v="87372 - History - Epic Fantasy"/>
        <s v="87383 - History - Epic Fantasy"/>
        <s v="49068 - History - Epic Fantasy"/>
        <s v="26130 - History - Epic Fantasy"/>
        <s v="111493 - History - Epic Fantasy"/>
        <s v="98395 - History - Epic Fantasy"/>
        <s v="98396 - History - Epic Fantasy"/>
        <s v="98394 - History - Epic Fantasy"/>
        <s v="98397 - History - Epic Fantasy"/>
        <s v="111489 - History - Epic Fantasy"/>
        <s v="98393 - History - Epic Fantasy"/>
        <s v="10933 - Self-Help - Urban Fantasy"/>
        <s v="111994 - Self-Help - Urban Fantasy"/>
        <s v="101637 - Self-Help - Urban Fantasy"/>
        <s v="111996 - Self-Help - Urban Fantasy"/>
        <s v="120886 - Fiction - Science Fiction"/>
        <s v="85058 - Fiction - Science Fiction"/>
        <s v="27380 - Fiction - Dystopian"/>
        <s v="117204 - Fiction - Dystopian"/>
        <s v="45484 - Fiction - Dystopian"/>
        <s v="27382 - Fiction - Dystopian"/>
        <s v="45491 - Fiction - Dystopian"/>
        <s v="11631 - Fiction - Dystopian"/>
        <s v="11630 - Fiction - Dystopian"/>
        <s v="11634 - Fiction - Dystopian"/>
        <s v="11635 - Fiction - Dystopian"/>
        <s v="114776 - Fiction - Dystopian"/>
        <s v="76762 - Fiction - Dystopian"/>
        <s v="181194 - Self-Help - Adventure"/>
        <s v="164637 - Self-Help - Adventure"/>
        <s v="164636 - Self-Help - Adventure"/>
        <s v="164639 - Self-Help - Adventure"/>
        <s v="85251 - Self-Help - Adventure"/>
        <s v="113532 - Self-Help - Adventure"/>
        <s v="82501 - Self-Help - Adventure"/>
        <s v="121287 - Self-Help - Adventure"/>
        <s v="113559 - Self-Help - Adventure"/>
        <s v="85252 - Self-Help - Adventure"/>
        <s v="82507 - Self-Help - Adventure"/>
        <s v="109625 - Self-Help - Adventure"/>
        <s v="110864 - Self-Help - Adventure"/>
        <s v="138916 - Self-Help - Adventure"/>
        <s v="121076 - Self-Help - Adventure"/>
        <s v="121077 - Self-Help - Adventure"/>
        <s v="116631 - Self-Help - Adventure"/>
        <s v="147263 - Self-Help - Adventure"/>
        <s v="108763 - Self-Help - Adventure"/>
        <s v="116593 - Self-Help - Adventure"/>
        <s v="116613 - Self-Help - Adventure"/>
        <s v="102476 - Self-Help - Adventure"/>
        <s v="190030 - Self-Help - Adventure"/>
        <s v="113845 - Self-Help - Adventure"/>
        <s v="77824 - Fiction - Historical Fiction"/>
        <s v="85888 - Fiction - Historical Fiction"/>
        <s v="85890 - Fiction - Historical Fiction"/>
        <s v="83727 - Fiction - Historical Fiction"/>
        <s v="85887 - Fiction - Historical Fiction"/>
        <s v="77823 - Fiction - Historical Fiction"/>
        <s v="86753 - Fiction - Historical Fiction"/>
        <s v="145102 - Fiction - Historical Fiction"/>
        <s v="78717 - Sports - Romance"/>
        <s v="82777 - Sports - Romance"/>
        <s v="120341 - Sports - Romance"/>
        <s v="110344 - Sports - Romance"/>
        <s v="120233 - Sports - Romance"/>
        <s v="117579 - Sports - Romance"/>
        <s v="21066 - Sports - Romance"/>
        <s v="117583 - Sports - Romance"/>
        <s v="71107 - Sports - Romance"/>
        <s v="104168 - Sports - Romance"/>
        <s v="88913 - Sports - Romance"/>
        <s v="108160 - Sports - Romance"/>
        <s v="128377 - Sports - Romance"/>
        <s v="108533 - Sports - Romance"/>
        <s v="116392 - Sports - Romance"/>
        <s v="110328 - Sports - Romance"/>
        <s v="101445 - Sports - Romance"/>
        <s v="117599 - Sports - Romance"/>
        <s v="5508 - Law - Romantic Comedy"/>
        <s v="91241 - Law - Romantic Comedy"/>
        <s v="5507 - Law - Romantic Comedy"/>
        <s v="110575 - Law - Romantic Comedy"/>
        <s v="6156 - Law - Romantic Comedy"/>
        <s v="91239 - Law - Romantic Comedy"/>
        <s v="77361 - Law - Romantic Comedy"/>
        <s v="77363 - Law - Romantic Comedy"/>
        <s v="124679 - Law - Romantic Comedy"/>
        <s v="89558 - Law - Romantic Comedy"/>
        <s v="91235 - Law - Romantic Comedy"/>
        <s v="5519 - Law - Romantic Comedy"/>
        <s v="87278 - Law - Romantic Comedy"/>
        <s v="77326 - Law - Romantic Comedy"/>
        <s v="6158 - Law - Romantic Comedy"/>
        <s v="77338 - Law - Romantic Comedy"/>
        <s v="159220 - Law - Romantic Comedy"/>
        <s v="5521 - Law - Romantic Comedy"/>
        <s v="91225 - Law - Romantic Comedy"/>
        <s v="5520 - Law - Romantic Comedy"/>
        <s v="87285 - Law - Romantic Comedy"/>
        <s v="72862 - Law - Romantic Comedy"/>
        <s v="109474 - Law - Romantic Comedy"/>
        <s v="45834 - Law - Romantic Comedy"/>
        <s v="45885 - Law - Romantic Comedy"/>
        <s v="77360 - Law - Romantic Comedy"/>
        <s v="89787 - Law - Romantic Comedy"/>
        <s v="5531 - Law - Romantic Comedy"/>
        <s v="72826 - Law - Romantic Comedy"/>
        <s v="91180 - Law - Romantic Comedy"/>
        <s v="58757 - Law - Romantic Comedy"/>
        <s v="87287 - Law - Romantic Comedy"/>
        <s v="91147 - Law - Romantic Comedy"/>
        <s v="5526 - Law - Romantic Comedy"/>
        <s v="77310 - Law - Romantic Comedy"/>
        <s v="5525 - Law - Romantic Comedy"/>
        <s v="5524 - Law - Romantic Comedy"/>
        <s v="72849 - Law - Romantic Comedy"/>
        <s v="77385 - Law - Romantic Comedy"/>
        <s v="5529 - Law - Romantic Comedy"/>
        <s v="45879 - Law - Romantic Comedy"/>
        <s v="58753 - Law - Romantic Comedy"/>
        <s v="77318 - Law - Romantic Comedy"/>
        <s v="122091 - Law - Romantic Comedy"/>
        <s v="91144 - Law - Romantic Comedy"/>
        <s v="79000 - Law - Romantic Comedy"/>
        <s v="77389 - Law - Romantic Comedy"/>
        <s v="72857 - Law - Romantic Comedy"/>
        <s v="72859 - Law - Romantic Comedy"/>
        <s v="91264 - Law - Romantic Comedy"/>
        <s v="77316 - Law - Romantic Comedy"/>
        <s v="110573 - Law - Romantic Comedy"/>
        <s v="82236 - Law - Romantic Comedy"/>
        <s v="72855 - Law - Romantic Comedy"/>
        <s v="77392 - Law - Romantic Comedy"/>
        <s v="45867 - Law - Romantic Comedy"/>
        <s v="45846 - Law - Romantic Comedy"/>
        <s v="91265 - Law - Romantic Comedy"/>
        <s v="5527 - Law - Romantic Comedy"/>
        <s v="82249 - Law - Romantic Comedy"/>
        <s v="87273 - Law - Romantic Comedy"/>
        <s v="5537 - Law - Romantic Comedy"/>
        <s v="87281 - Law - Romantic Comedy"/>
        <s v="5522 - Law - Romantic Comedy"/>
        <s v="76595 - Law - Romantic Comedy"/>
        <s v="147305 - Law - Romantic Comedy"/>
        <s v="158660 - Law - Romantic Comedy"/>
        <s v="77371 - Law - Romantic Comedy"/>
        <s v="77366 - Law - Romantic Comedy"/>
        <s v="87282 - Law - Romantic Comedy"/>
        <s v="80402 - Law - Romantic Comedy"/>
        <s v="120504 - History - Horror"/>
        <s v="72833 - History - Horror"/>
        <s v="72831 - History - Horror"/>
        <s v="112547 - History - Horror"/>
        <s v="149598 - History - Horror"/>
        <s v="98129 - History - Horror"/>
        <s v="72825 - History - Horror"/>
        <s v="72820 - History - Horror"/>
        <s v="81939 - History - Horror"/>
        <s v="114382 - History - Horror"/>
        <s v="111427 - History - Horror"/>
        <s v="81937 - History - Horror"/>
        <s v="72824 - History - Horror"/>
        <s v="112188 - History - Horror"/>
        <s v="98186 - History - Horror"/>
        <s v="72822 - History - Horror"/>
        <s v="122601 - Tech - Paranormal"/>
        <s v="106779 - Tech - Paranormal"/>
        <s v="106785 - Tech - Paranormal"/>
        <s v="122602 - Tech - Paranormal"/>
        <s v="45574 - Tech - Paranormal"/>
        <s v="80808 - Tech - Paranormal"/>
        <s v="80802 - Tech - Paranormal"/>
        <s v="110385 - Tech - Paranormal"/>
        <s v="80633 - Tech - Paranormal"/>
        <s v="120700 - Tech - Paranormal"/>
        <s v="112853 - Tech - Paranormal"/>
        <s v="120699 - Tech - Paranormal"/>
        <s v="20195 - Tech - Paranormal"/>
        <s v="11422 - Tech - Paranormal"/>
        <s v="4492 - Tech - Paranormal"/>
        <s v="4560 - Tech - Paranormal"/>
        <s v="110383 - Tech - Paranormal"/>
        <s v="112850 - Tech - Paranormal"/>
        <s v="120702 - Tech - Paranormal"/>
        <s v="91860 - Tech - Paranormal"/>
        <s v="9716 - Tech - Paranormal"/>
        <s v="77135 - Tech - Paranormal"/>
        <s v="91857 - Tech - Paranormal"/>
        <s v="76429 - Tech - Paranormal"/>
        <s v="122507 - Tech - Paranormal"/>
        <s v="77844 - Tech - Paranormal"/>
        <s v="100041 - Tech - Paranormal"/>
        <s v="111591 - Tech - Paranormal"/>
        <s v="128329 - Tech - Paranormal"/>
        <s v="147268 - Tech - Paranormal"/>
        <s v="48511 - Tech - Paranormal"/>
        <s v="100040 - Tech - Paranormal"/>
        <s v="79366 - Tech - Paranormal"/>
        <s v="160754 - Tech - Paranormal"/>
        <s v="100038 - Tech - Paranormal"/>
        <s v="100035 - Tech - Paranormal"/>
        <s v="29654 - Tech - Paranormal"/>
        <s v="107804 - Tech - Paranormal"/>
        <s v="75809 - Tech - Paranormal"/>
        <s v="128325 - Tech - Paranormal"/>
        <s v="110072 - Tech - Paranormal"/>
        <s v="93814 - Tech - Paranormal"/>
        <s v="128326 - Tech - Paranormal"/>
        <s v="48510 - Tech - Paranormal"/>
        <s v="82463 - Tech - Paranormal"/>
        <s v="82462 - Tech - Paranormal"/>
        <s v="110635 - Tech - Paranormal"/>
        <s v="82464 - Tech - Paranormal"/>
        <s v="129133 - Tech - Paranormal"/>
        <s v="195081 - Tech - Paranormal"/>
        <s v="92669 - Tech - Paranormal"/>
        <s v="122089 - Tech - Paranormal"/>
        <s v="95927 - Tech - Paranormal"/>
        <s v="160756 - Tech - Paranormal"/>
        <s v="147267 - Tech - Paranormal"/>
        <s v="160747 - Tech - Paranormal"/>
        <s v="79365 - Tech - Paranormal"/>
        <s v="110633 - Tech - Paranormal"/>
        <s v="160750 - Tech - Paranormal"/>
        <s v="128332 - Tech - Paranormal"/>
        <s v="200354 - Tech - Paranormal"/>
        <s v="100042 - Tech - Paranormal"/>
        <s v="122446 - Tech - Paranormal"/>
        <s v="160761 - Tech - Paranormal"/>
        <s v="89503 - Tech - Paranormal"/>
        <s v="160744 - Tech - Paranormal"/>
        <s v="111590 - Tech - Paranormal"/>
        <s v="110070 - Tech - Paranormal"/>
        <s v="101005 - Tech - Paranormal"/>
        <s v="160745 - Tech - Paranormal"/>
        <s v="23073 - Tech - Paranormal"/>
        <s v="70064 - Tech - Paranormal"/>
        <s v="129135 - Tech - Paranormal"/>
        <s v="104440 - Tech - Paranormal"/>
        <s v="70063 - Tech - Paranormal"/>
        <s v="160748 - Tech - Paranormal"/>
        <s v="181242 - Tech - Paranormal"/>
        <s v="200323 - Tech - Paranormal"/>
        <s v="129132 - Tech - Paranormal"/>
        <s v="160743 - Tech - Paranormal"/>
        <s v="89610 - Tech - Paranormal"/>
        <s v="112113 - Tech - Paranormal"/>
        <s v="107801 - Tech - Paranormal"/>
        <s v="70065 - Tech - Paranormal"/>
        <s v="539 - Tech - Paranormal"/>
        <s v="7857 - Tech - Paranormal"/>
        <s v="111726 - Tech - Paranormal"/>
        <s v="120992 - Tech - Paranormal"/>
        <s v="158482 - Tech - Paranormal"/>
        <s v="193132 - Tech - Paranormal"/>
        <s v="118901 - Tech - Paranormal"/>
        <s v="193131 - Tech - Paranormal"/>
        <s v="115709 - Tech - Paranormal"/>
        <s v="121619 - Tech - Paranormal"/>
        <s v="103647 - Tech - Paranormal"/>
        <s v="121616 - Tech - Paranormal"/>
        <s v="121618 - Tech - Paranormal"/>
        <s v="129360 - Tech - Paranormal"/>
        <s v="115708 - Tech - Paranormal"/>
        <s v="121617 - Tech - Paranormal"/>
        <s v="109540 - Tech - Paranormal"/>
        <s v="101323 - Tech - Paranormal"/>
        <s v="120991 - Tech - Paranormal"/>
        <s v="115698 - Tech - Paranormal"/>
        <s v="72511 - Tech - Paranormal"/>
        <s v="72512 - Tech - Paranormal"/>
        <s v="120108 - Tech - Paranormal"/>
        <s v="1636 - Tech - Paranormal"/>
        <s v="106767 - Tech - Paranormal"/>
        <s v="117246 - Tech - Paranormal"/>
        <s v="106758 - Tech - Paranormal"/>
        <s v="118150 - Tech - Paranormal"/>
        <s v="108896 - Tech - Paranormal"/>
        <s v="92566 - Tech - Paranormal"/>
        <s v="182195 - Tech - Paranormal"/>
        <s v="101560 - Tech - Paranormal"/>
        <s v="96067 - Tech - Paranormal"/>
        <s v="47325 - Tech - Paranormal"/>
        <s v="109386 - Tech - Paranormal"/>
        <s v="118972 - Tech - Paranormal"/>
        <s v="100412 - Tech - Paranormal"/>
        <s v="73259 - Tech - Paranormal"/>
        <s v="116888 - Tech - Paranormal"/>
        <s v="102086 - Tech - Paranormal"/>
        <s v="108892 - Tech - Paranormal"/>
        <s v="110935 - Tech - Paranormal"/>
        <s v="103599 - Tech - Paranormal"/>
        <s v="108811 - Tech - Paranormal"/>
        <s v="2202 - Tech - Paranormal"/>
        <s v="122789 - Tech - Paranormal"/>
        <s v="101563 - Tech - Paranormal"/>
        <s v="110934 - Tech - Paranormal"/>
        <s v="110147 - Tech - Paranormal"/>
        <s v="104135 - Tech - Paranormal"/>
        <s v="101559 - Tech - Paranormal"/>
        <s v="129340 - Tech - Paranormal"/>
        <s v="103609 - Tech - Paranormal"/>
        <s v="122499 - Tech - Paranormal"/>
        <s v="117311 - Tech - Paranormal"/>
        <s v="116670 - Tech - Paranormal"/>
        <s v="2204 - Tech - Paranormal"/>
        <s v="104128 - Tech - Paranormal"/>
        <s v="103600 - Tech - Paranormal"/>
        <s v="108802 - Tech - Paranormal"/>
        <s v="201034 - Tech - Paranormal"/>
        <s v="6522 - Tech - Paranormal"/>
        <s v="77644 - Tech - Paranormal"/>
        <s v="3225 - Tech - Paranormal"/>
        <s v="158447 - Tech - Paranormal"/>
        <s v="9737 - Tech - Paranormal"/>
        <s v="73260 - Tech - Paranormal"/>
        <s v="158467 - Tech - Paranormal"/>
        <s v="117319 - Tech - Paranormal"/>
        <s v="108893 - Tech - Paranormal"/>
        <s v="111734 - Tech - Paranormal"/>
        <s v="96066 - Tech - Paranormal"/>
        <s v="3222 - Tech - Paranormal"/>
        <s v="117312 - Tech - Paranormal"/>
        <s v="104791 - Tech - Paranormal"/>
        <s v="10051 - Tech - Paranormal"/>
        <s v="29318 - Tech - Paranormal"/>
        <s v="116885 - Tech - Paranormal"/>
        <s v="121614 - Tech - Paranormal"/>
        <s v="10048 - Tech - Paranormal"/>
        <s v="109534 - Tech - Paranormal"/>
        <s v="111802 - Tech - Paranormal"/>
        <s v="108801 - Tech - Paranormal"/>
        <s v="9735 - Tech - Paranormal"/>
        <s v="109531 - Tech - Paranormal"/>
        <s v="44533 - Tech - Paranormal"/>
        <s v="158465 - Tech - Paranormal"/>
        <s v="79107 - Tech - Paranormal"/>
        <s v="78631 - Tech - Paranormal"/>
        <s v="120469 - Tech - Paranormal"/>
        <s v="6523 - Tech - Paranormal"/>
        <s v="41819 - Tech - Paranormal"/>
        <s v="108889 - Tech - Paranormal"/>
        <s v="92564 - Tech - Paranormal"/>
        <s v="158456 - Tech - Paranormal"/>
        <s v="111735 - Tech - Paranormal"/>
        <s v="109537 - Tech - Paranormal"/>
        <s v="109381 - Tech - Paranormal"/>
        <s v="120944 - Tech - Paranormal"/>
        <s v="29320 - Tech - Paranormal"/>
        <s v="118222 - Tech - Paranormal"/>
        <s v="108897 - Tech - Paranormal"/>
        <s v="101565 - Tech - Paranormal"/>
        <s v="29319 - Tech - Paranormal"/>
        <s v="96444 - Tech - Paranormal"/>
        <s v="101557 - Tech - Paranormal"/>
        <s v="103610 - Tech - Paranormal"/>
        <s v="181195 - Tech - Paranormal"/>
        <s v="12639 - Tech - Paranormal"/>
        <s v="158464 - Tech - Paranormal"/>
        <s v="116525 - Tech - Paranormal"/>
        <s v="116295 - Tech - Paranormal"/>
        <s v="116297 - Tech - Paranormal"/>
        <s v="11421 - Tech - Paranormal"/>
        <s v="101549 - Tech - Paranormal"/>
        <s v="109543 - Tech - Paranormal"/>
        <s v="79318 - Tech - Paranormal"/>
        <s v="2203 - Tech - Paranormal"/>
        <s v="111727 - Tech - Paranormal"/>
        <s v="118151 - Tech - Paranormal"/>
        <s v="108888 - Tech - Paranormal"/>
        <s v="120465 - Tech - Paranormal"/>
        <s v="92561 - Tech - Paranormal"/>
        <s v="150294 - Tech - Paranormal"/>
        <s v="108895 - Tech - Paranormal"/>
        <s v="41666 - Tech - Paranormal"/>
        <s v="41816 - Tech - Paranormal"/>
        <s v="99779 - Tech - Paranormal"/>
        <s v="111716 - Tech - Paranormal"/>
        <s v="96443 - Tech - Paranormal"/>
        <s v="193187 - Tech - Paranormal"/>
        <s v="96068 - Tech - Paranormal"/>
        <s v="3227 - Tech - Paranormal"/>
        <s v="193183 - Tech - Paranormal"/>
        <s v="120945 - Tech - Paranormal"/>
        <s v="110940 - Tech - Paranormal"/>
        <s v="110942 - Tech - Paranormal"/>
        <s v="142301 - Tech - Paranormal"/>
        <s v="109760 - Tech - Paranormal"/>
        <s v="100392 - Tech - Paranormal"/>
        <s v="109763 - Tech - Paranormal"/>
        <s v="7271 - Tech - Paranormal"/>
        <s v="7267 - Tech - Paranormal"/>
        <s v="128412 - Tech - Paranormal"/>
        <s v="7268 - Tech - Paranormal"/>
        <s v="124701 - Tech - Paranormal"/>
        <s v="110007 - Tech - Paranormal"/>
        <s v="7266 - Tech - Paranormal"/>
        <s v="7269 - Tech - Paranormal"/>
        <s v="100393 - Tech - Paranormal"/>
        <s v="110009 - Tech - Paranormal"/>
        <s v="100394 - Tech - Paranormal"/>
        <s v="118248 - Tech - Paranormal"/>
        <s v="118467 - Tech - Paranormal"/>
        <s v="118465 - Tech - Paranormal"/>
        <s v="118450 - Tech - Paranormal"/>
        <s v="118457 - Tech - Paranormal"/>
        <s v="118463 - Tech - Paranormal"/>
        <s v="118460 - Tech - Paranormal"/>
        <s v="121035 - Tech - Paranormal"/>
        <s v="122623 - Tech - Paranormal"/>
        <s v="118469 - Tech - Paranormal"/>
        <s v="184629 - Tech - Paranormal"/>
        <s v="44469 - Tech - Paranormal"/>
        <s v="98421 - Tech - Paranormal"/>
        <s v="149512 - Tech - Paranormal"/>
        <s v="101489 - Tech - Paranormal"/>
        <s v="7263 - Tech - Paranormal"/>
        <s v="149510 - Tech - Paranormal"/>
        <s v="124692 - Tech - Paranormal"/>
        <s v="7253 - Tech - Paranormal"/>
        <s v="109999 - Tech - Paranormal"/>
        <s v="101535 - Tech - Paranormal"/>
        <s v="181795 - Tech - Paranormal"/>
        <s v="124686 - Tech - Paranormal"/>
        <s v="110003 - Tech - Paranormal"/>
        <s v="124691 - Tech - Paranormal"/>
        <s v="98444 - Tech - Paranormal"/>
        <s v="110393 - Tech - Paranormal"/>
        <s v="7254 - Tech - Paranormal"/>
        <s v="86502 - Tech - Paranormal"/>
        <s v="98442 - Tech - Paranormal"/>
        <s v="7256 - Tech - Paranormal"/>
        <s v="110394 - Tech - Paranormal"/>
        <s v="120998 - Tech - Paranormal"/>
        <s v="17674 - Tech - Paranormal"/>
        <s v="102946 - Tech - Paranormal"/>
        <s v="102947 - Tech - Paranormal"/>
        <s v="98445 - Tech - Paranormal"/>
        <s v="109273 - Tech - Paranormal"/>
        <s v="44465 - Tech - Paranormal"/>
        <s v="44451 - Tech - Paranormal"/>
        <s v="17664 - Tech - Paranormal"/>
        <s v="44459 - Tech - Paranormal"/>
        <s v="110398 - Tech - Paranormal"/>
        <s v="149495 - Tech - Paranormal"/>
        <s v="124685 - Tech - Paranormal"/>
        <s v="110004 - Tech - Paranormal"/>
        <s v="111052 - Tech - Paranormal"/>
        <s v="102948 - Tech - Paranormal"/>
        <s v="110000 - Tech - Paranormal"/>
        <s v="7264 - Tech - Paranormal"/>
        <s v="110005 - Tech - Paranormal"/>
        <s v="124693 - Tech - Paranormal"/>
        <s v="86501 - Tech - Paranormal"/>
        <s v="101536 - Tech - Paranormal"/>
        <s v="101534 - Tech - Paranormal"/>
        <s v="110002 - Tech - Paranormal"/>
        <s v="110001 - Tech - Paranormal"/>
        <s v="111051 - Tech - Paranormal"/>
        <s v="7258 - Tech - Paranormal"/>
        <s v="111053 - Tech - Paranormal"/>
        <s v="120996 - Tech - Paranormal"/>
        <s v="109746 - Tech - Paranormal"/>
        <s v="147288 - Tech - Paranormal"/>
        <s v="120997 - Tech - Paranormal"/>
        <s v="109742 - Tech - Paranormal"/>
        <s v="156013 - Tech - Paranormal"/>
        <s v="98426 - Tech - Paranormal"/>
        <s v="110006 - Tech - Paranormal"/>
        <s v="110409 - Tech - Paranormal"/>
        <s v="117774 - Tech - Paranormal"/>
        <s v="110411 - Tech - Paranormal"/>
        <s v="86743 - Tech - Paranormal"/>
        <s v="86691 - Tech - Paranormal"/>
        <s v="7257 - Tech - Paranormal"/>
        <s v="77706 - Tech - Paranormal"/>
        <s v="122599 - Tech - Paranormal"/>
        <s v="109741 - Tech - Paranormal"/>
        <s v="69064 - Tech - Paranormal"/>
        <s v="119447 - Tech - Paranormal"/>
        <s v="111730 - Tech - Paranormal"/>
        <s v="100437 - Tech - Paranormal"/>
        <s v="92304 - Tech - Paranormal"/>
        <s v="103655 - Tech - Paranormal"/>
        <s v="103656 - Tech - Paranormal"/>
        <s v="103704 - Tech - Paranormal"/>
        <s v="46759 - Tech - Paranormal"/>
        <s v="113594 - History - Young Adult Fiction"/>
        <s v="111791 - History - Young Adult Fiction"/>
        <s v="44674 - History - Ancient History"/>
        <s v="48639 - History - Ancient History"/>
        <s v="76559 - History - Ancient History"/>
        <s v="22112 - History - Ancient History"/>
        <s v="84390 - History - Ancient History"/>
        <s v="100327 - History - Ancient History"/>
        <s v="81427 - History - Ancient History"/>
        <s v="19847 - History - Ancient History"/>
        <s v="121989 - History - Ancient History"/>
        <s v="3431 - History - Ancient History"/>
        <s v="68858 - History - Ancient History"/>
        <s v="147279 - History - Ancient History"/>
        <s v="19853 - History - Ancient History"/>
        <s v="84315 - History - Ancient History"/>
        <s v="3433 - History - Ancient History"/>
        <s v="48640 - History - Ancient History"/>
        <s v="81678 - History - Ancient History"/>
        <s v="117528 - History - Ancient History"/>
        <s v="84324 - History - Ancient History"/>
        <s v="3420 - History - Ancient History"/>
        <s v="19837 - History - Ancient History"/>
        <s v="19835 - History - Ancient History"/>
        <s v="69109 - History - Ancient History"/>
        <s v="104387 - History - Ancient History"/>
        <s v="19843 - History - Ancient History"/>
        <s v="117523 - History - Ancient History"/>
        <s v="121981 - History - Ancient History"/>
        <s v="121993 - History - Ancient History"/>
        <s v="81389 - History - Ancient History"/>
        <s v="99473 - History - Ancient History"/>
        <s v="81393 - History - Ancient History"/>
        <s v="104364 - History - Ancient History"/>
        <s v="76602 - History - Ancient History"/>
        <s v="119824 - History - Ancient History"/>
        <s v="112618 - History - Ancient History"/>
        <s v="112617 - History - Ancient History"/>
        <s v="113963 - History - Ancient History"/>
        <s v="104359 - History - Ancient History"/>
        <s v="81675 - History - Ancient History"/>
        <s v="84835 - History - Ancient History"/>
        <s v="81680 - History - Ancient History"/>
        <s v="104361 - History - Ancient History"/>
        <s v="83080 - History - Ancient History"/>
        <s v="84930 - History - Ancient History"/>
        <s v="19848 - History - Ancient History"/>
        <s v="104362 - History - Ancient History"/>
        <s v="92122 - History - Ancient History"/>
        <s v="15854 - History - Ancient History"/>
        <s v="81383 - History - Ancient History"/>
        <s v="81430 - History - Ancient History"/>
        <s v="84325 - History - Ancient History"/>
        <s v="127244 - History - Ancient History"/>
        <s v="15865 - History - Ancient History"/>
        <s v="121996 - History - Ancient History"/>
        <s v="93083 - History - Ancient History"/>
        <s v="3426 - History - Ancient History"/>
        <s v="111349 - History - Ancient History"/>
        <s v="74917 - History - Ancient History"/>
        <s v="69127 - History - Ancient History"/>
        <s v="84819 - History - Ancient History"/>
        <s v="104367 - History - Ancient History"/>
        <s v="121997 - History - Ancient History"/>
        <s v="117499 - History - Ancient History"/>
        <s v="69125 - History - Ancient History"/>
        <s v="19850 - History - Ancient History"/>
        <s v="3425 - History - Ancient History"/>
        <s v="84913 - History - Ancient History"/>
        <s v="120378 - Fiction - Medieval History"/>
        <s v="5905 - Fiction - Medieval History"/>
        <s v="23213 - Fiction - Medieval History"/>
        <s v="47168 - Fiction - Medieval History"/>
        <s v="102990 - Fiction - Medieval History"/>
        <s v="46441 - Fiction - Medieval History"/>
        <s v="11085 - Fiction - Medieval History"/>
        <s v="96441 - Fiction - Medieval History"/>
        <s v="82131 - Fiction - Medieval History"/>
        <s v="46440 - Fiction - Medieval History"/>
        <s v="23214 - Fiction - Medieval History"/>
        <s v="82134 - Fiction - Medieval History"/>
        <s v="46439 - Fiction - Medieval History"/>
        <s v="116451 - Fiction - Medieval History"/>
        <s v="147340 - Fiction - Medieval History"/>
        <s v="140602 - Fiction - Medieval History"/>
        <s v="109174 - Fiction - Medieval History"/>
        <s v="2795 - Fiction - Medieval History"/>
        <s v="141867 - Fiction - Medieval History"/>
        <s v="118152 - Fiction - Medieval History"/>
        <s v="1607 - Fiction - Medieval History"/>
        <s v="71322 - Fiction - Medieval History"/>
        <s v="88773 - Fiction - Medieval History"/>
        <s v="46964 - Fiction - Medieval History"/>
        <s v="104454 - Fiction - Medieval History"/>
        <s v="8003 - Fiction - Medieval History"/>
        <s v="90183 - Fiction - Medieval History"/>
        <s v="45489 - Fiction - Medieval History"/>
        <s v="147337 - Fiction - Medieval History"/>
        <s v="116446 - Fiction - Medieval History"/>
        <s v="44760 - Fiction - Medieval History"/>
        <s v="44764 - Fiction - Medieval History"/>
        <s v="72801 - Fiction - Medieval History"/>
        <s v="86573 - Fiction - Medieval History"/>
        <s v="107784 - Fiction - Medieval History"/>
        <s v="103388 - Fiction - Medieval History"/>
        <s v="8004 - Fiction - Medieval History"/>
        <s v="103387 - Fiction - Medieval History"/>
        <s v="76731 - Fiction - Medieval History"/>
        <s v="116449 - Fiction - Medieval History"/>
        <s v="95211 - Fiction - Medieval History"/>
        <s v="118255 - Fiction - Medieval History"/>
        <s v="8010 - Fiction - Medieval History"/>
        <s v="128351 - Fiction - Medieval History"/>
        <s v="12452 - Fiction - Medieval History"/>
        <s v="108996 - Fiction - Medieval History"/>
        <s v="15638 - Fiction - Medieval History"/>
        <s v="118109 - Fiction - Medieval History"/>
        <s v="15634 - Fiction - Medieval History"/>
        <s v="2802 - Fiction - Medieval History"/>
        <s v="46962 - Fiction - Medieval History"/>
        <s v="128348 - Fiction - Medieval History"/>
        <s v="108963 - Fiction - Medieval History"/>
        <s v="2800 - Fiction - Medieval History"/>
        <s v="12451 - Fiction - Medieval History"/>
        <s v="19024 - Fiction - Medieval History"/>
        <s v="9472 - Fiction - Medieval History"/>
        <s v="1587 - Fiction - Medieval History"/>
        <s v="118262 - Fiction - Medieval History"/>
        <s v="44739 - Fiction - Medieval History"/>
        <s v="199855 - Fiction - Medieval History"/>
        <s v="71674 - Fiction - Medieval History"/>
        <s v="101357 - Fiction - Medieval History"/>
        <s v="121066 - Fiction - Medieval History"/>
        <s v="72818 - Fiction - Medieval History"/>
        <s v="109178 - Fiction - Medieval History"/>
        <s v="114876 - Fiction - Medieval History"/>
        <s v="9471 - Fiction - Medieval History"/>
        <s v="87840 - Fiction - Medieval History"/>
        <s v="72816 - Fiction - Medieval History"/>
        <s v="122354 - Fiction - Medieval History"/>
        <s v="109188 - Fiction - Medieval History"/>
        <s v="7999 - Fiction - Medieval History"/>
        <s v="9469 - Fiction - Medieval History"/>
        <s v="46955 - Fiction - Medieval History"/>
        <s v="9464 - Fiction - Medieval History"/>
        <s v="79485 - Fiction - Medieval History"/>
        <s v="118224 - Fiction - Medieval History"/>
        <s v="122353 - Fiction - Medieval History"/>
        <s v="1584 - Fiction - Medieval History"/>
        <s v="2792 - Fiction - Medieval History"/>
        <s v="109187 - Fiction - Medieval History"/>
        <s v="118257 - Fiction - Medieval History"/>
        <s v="7995 - Fiction - Medieval History"/>
        <s v="99360 - Fiction - Medieval History"/>
        <s v="118156 - Fiction - Medieval History"/>
        <s v="44943 - Fiction - Medieval History"/>
        <s v="9462 - Fiction - Medieval History"/>
        <s v="79501 - Fiction - Medieval History"/>
        <s v="97161 - Fiction - Medieval History"/>
        <s v="112842 - Fiction - Medieval History"/>
        <s v="109180 - Fiction - Medieval History"/>
        <s v="46954 - Fiction - Medieval History"/>
        <s v="79500 - Fiction - Medieval History"/>
        <s v="99302 - Fiction - Medieval History"/>
        <s v="105026 - Fiction - Medieval History"/>
        <s v="19972 - Fiction - Medieval History"/>
        <s v="99233 - Fiction - Medieval History"/>
        <s v="118260 - Fiction - Medieval History"/>
        <s v="128398 - Fiction - Medieval History"/>
        <s v="8001 - Fiction - Medieval History"/>
        <s v="106782 - Fiction - Medieval History"/>
        <s v="110793 - Fiction - Medieval History"/>
        <s v="86808 - Fiction - Medieval History"/>
        <s v="50367 - Fiction - Medieval History"/>
        <s v="102750 - Fiction - Medieval History"/>
        <s v="102758 - Fiction - Medieval History"/>
        <s v="86787 - Fiction - Medieval History"/>
        <s v="102740 - Fiction - Medieval History"/>
        <s v="102734 - Fiction - Medieval History"/>
        <s v="102751 - Fiction - Medieval History"/>
        <s v="102752 - Fiction - Medieval History"/>
        <s v="102735 - Fiction - Medieval History"/>
        <s v="86793 - Fiction - Medieval History"/>
        <s v="86792 - Fiction - Medieval History"/>
        <s v="86785 - Fiction - Medieval History"/>
        <s v="102773 - Fiction - Medieval History"/>
        <s v="42807 - Fiction - Medieval History"/>
        <s v="42809 - Fiction - Medieval History"/>
        <s v="86821 - Fiction - Medieval History"/>
        <s v="110719 - Fiction - Medieval History"/>
        <s v="86818 - Fiction - Medieval History"/>
        <s v="71318 - Fiction - Medieval History"/>
        <s v="122303 - Fiction - Medieval History"/>
        <s v="110716 - Fiction - Medieval History"/>
        <s v="9480 - Fiction - Medieval History"/>
        <s v="113920 - Fiction - Medieval History"/>
        <s v="166088 - Fiction - Medieval History"/>
        <s v="122712 - Fiction - Medieval History"/>
        <s v="86523 - Fiction - Medieval History"/>
        <s v="106773 - Fiction - Medieval History"/>
        <s v="128356 - Fiction - Medieval History"/>
        <s v="28897 - Fiction - Medieval History"/>
        <s v="181502 - Fiction - Medieval History"/>
        <s v="13368 - Fiction - Medieval History"/>
        <s v="105178 - Fiction - Medieval History"/>
        <s v="158445 - Fiction - Medieval History"/>
        <s v="105861 - Fiction - Medieval History"/>
        <s v="28668 - Fiction - Medieval History"/>
        <s v="28661 - Fiction - Medieval History"/>
        <s v="13349 - Fiction - Medieval History"/>
        <s v="1634 - Fiction - Medieval History"/>
        <s v="86524 - Fiction - Medieval History"/>
        <s v="86531 - Fiction - Medieval History"/>
        <s v="95210 - Fiction - Medieval History"/>
        <s v="158450 - Fiction - Medieval History"/>
        <s v="103080 - Fiction - Medieval History"/>
        <s v="121067 - Fiction - Medieval History"/>
        <s v="41513 - Fiction - Medieval History"/>
        <s v="166089 - Fiction - Medieval History"/>
        <s v="26446 - Fiction - Medieval History"/>
        <s v="13350 - Fiction - Medieval History"/>
        <s v="111728 - Fiction - Medieval History"/>
        <s v="28883 - Fiction - Medieval History"/>
        <s v="121068 - Fiction - Medieval History"/>
        <s v="181499 - Fiction - Medieval History"/>
        <s v="16097 - Fiction - Medieval History"/>
        <s v="117247 - Fiction - Medieval History"/>
        <s v="1732 - Fiction - Medieval History"/>
        <s v="105174 - Fiction - Medieval History"/>
        <s v="128357 - Fiction - Medieval History"/>
        <s v="166090 - Fiction - Medieval History"/>
        <s v="121070 - Fiction - Medieval History"/>
        <s v="80818 - Fiction - Medieval History"/>
        <s v="13367 - Fiction - Medieval History"/>
        <s v="44329 - Fiction - Medieval History"/>
        <s v="70879 - Fiction - Medieval History"/>
        <s v="99266 - Fiction - Medieval History"/>
        <s v="88216 - Fiction - Medieval History"/>
        <s v="28590 - Fiction - Medieval History"/>
        <s v="88215 - Fiction - Medieval History"/>
        <s v="81771 - Fiction - Medieval History"/>
        <s v="194520 - Fiction - Medieval History"/>
        <s v="5901 - Fiction - Medieval History"/>
        <s v="156054 - Fiction - Medieval History"/>
        <s v="5869 - Fiction - Medieval History"/>
        <s v="7343 - Fiction - Medieval History"/>
        <s v="88218 - Fiction - Medieval History"/>
        <s v="99263 - Fiction - Medieval History"/>
        <s v="7357 - Fiction - Medieval History"/>
        <s v="28591 - Fiction - Medieval History"/>
        <s v="5871 - Fiction - Medieval History"/>
        <s v="81772 - Fiction - Medieval History"/>
        <s v="110587 - Fiction - Medieval History"/>
        <s v="5870 - Fiction - Medieval History"/>
        <s v="158444 - Fiction - Medieval History"/>
        <s v="80785 - Fiction - Medieval History"/>
        <s v="110586 - Fiction - Medieval History"/>
        <s v="99264 - Fiction - Medieval History"/>
        <s v="110977 - Fiction - Medieval History"/>
        <s v="45529 - Fiction - Medieval History"/>
        <s v="84030 - Fiction - Medieval History"/>
        <s v="99262 - Fiction - Medieval History"/>
        <s v="110722 - Fiction - Medieval History"/>
        <s v="80781 - Fiction - Medieval History"/>
        <s v="122700 - Fiction - Medieval History"/>
        <s v="111783 - Fiction - Medieval History"/>
        <s v="110724 - Fiction - Medieval History"/>
        <s v="13348 - Fiction - Medieval History"/>
        <s v="28595 - Fiction - Medieval History"/>
        <s v="81770 - Fiction - Medieval History"/>
        <s v="85059 - Fiction - Medieval History"/>
        <s v="110597 - Fiction - Medieval History"/>
        <s v="7358 - Fiction - Medieval History"/>
        <s v="86583 - Fiction - Medieval History"/>
        <s v="98100 - Fiction - Medieval History"/>
        <s v="118154 - Fiction - Medieval History"/>
        <s v="42840 - Fiction - Medieval History"/>
        <s v="47175 - Fiction - Medieval History"/>
        <s v="112013 - Fiction - Medieval History"/>
        <s v="107953 - Fiction - Medieval History"/>
        <s v="44738 - Fiction - Medieval History"/>
        <s v="103386 - Fiction - Medieval History"/>
        <s v="86815 - Fiction - Medieval History"/>
        <s v="46953 - Fiction - Medieval History"/>
        <s v="108732 - Fiction - Medieval History"/>
        <s v="118227 - Fiction - Medieval History"/>
        <s v="122484 - Fiction - Medieval History"/>
        <s v="71326 - Fiction - Medieval History"/>
        <s v="110794 - Fiction - Medieval History"/>
        <s v="80066 - Fiction - Medieval History"/>
        <s v="106776 - Fiction - Medieval History"/>
        <s v="113608 - Fiction - Medieval History"/>
        <s v="116454 - Fiction - Medieval History"/>
        <s v="108724 - Fiction - Medieval History"/>
        <s v="118253 - Fiction - Medieval History"/>
        <s v="110567 - Fiction - Medieval History"/>
        <s v="122697 - Fiction - Medieval History"/>
        <s v="109190 - Fiction - Medieval History"/>
        <s v="109191 - Fiction - Medieval History"/>
        <s v="44759 - Fiction - Medieval History"/>
        <s v="109192 - Fiction - Medieval History"/>
        <s v="113605 - Fiction - Medieval History"/>
        <s v="147339 - Fiction - Medieval History"/>
        <s v="118068 - Fiction - Medieval History"/>
        <s v="44758 - Fiction - Medieval History"/>
        <s v="110579 - Fiction - Medieval History"/>
        <s v="116437 - Fiction - Medieval History"/>
        <s v="9519 - Fiction - Medieval History"/>
        <s v="147338 - Fiction - Medieval History"/>
        <s v="118250 - Fiction - Medieval History"/>
        <s v="20053 - Fiction - Medieval History"/>
        <s v="71321 - Fiction - Medieval History"/>
        <s v="79503 - Fiction - Medieval History"/>
        <s v="99270 - Fiction - Medieval History"/>
        <s v="112848 - Fiction - Medieval History"/>
        <s v="13369 - Fiction - Medieval History"/>
        <s v="147336 - Fiction - Medieval History"/>
        <s v="114899 - Fiction - Medieval History"/>
        <s v="113607 - Fiction - Medieval History"/>
        <s v="47183 - Fiction - Medieval History"/>
        <s v="78338 - Fiction - Medieval History"/>
        <s v="9526 - Fiction - Medieval History"/>
        <s v="107910 - Fiction - Medieval History"/>
        <s v="20056 - Fiction - Medieval History"/>
        <s v="108951 - Fiction - Medieval History"/>
        <s v="107783 - Fiction - Medieval History"/>
        <s v="80798 - Fiction - Medieval History"/>
        <s v="108950 - Fiction - Medieval History"/>
        <s v="112847 - Fiction - Medieval History"/>
        <s v="109202 - Fiction - Medieval History"/>
        <s v="109198 - Fiction - Medieval History"/>
        <s v="108990 - Fiction - Medieval History"/>
        <s v="72815 - Fiction - Medieval History"/>
        <s v="9479 - Fiction - Medieval History"/>
        <s v="46961 - Fiction - Medieval History"/>
        <s v="122352 - Fiction - Medieval History"/>
        <s v="44750 - Fiction - Medieval History"/>
        <s v="114405 - Fiction - Medieval History"/>
        <s v="2797 - Fiction - Medieval History"/>
        <s v="79499 - Fiction - Medieval History"/>
        <s v="5902 - Fiction - Medieval History"/>
        <s v="46956 - Fiction - Medieval History"/>
        <s v="11490 - Fiction - Medieval History"/>
        <s v="8027 - Fiction - Medieval History"/>
        <s v="121588 - Fiction - Medieval History"/>
        <s v="1279 - Fiction - Medieval History"/>
        <s v="5978 - Fiction - Medieval History"/>
        <s v="72813 - Fiction - Medieval History"/>
        <s v="9486 - Fiction - Medieval History"/>
        <s v="2791 - Fiction - Medieval History"/>
        <s v="109206 - Fiction - Medieval History"/>
        <s v="9478 - Fiction - Medieval History"/>
        <s v="122699 - Fiction - Medieval History"/>
        <s v="2794 - Fiction - Medieval History"/>
        <s v="109200 - Fiction - Medieval History"/>
        <s v="118263 - Fiction - Medieval History"/>
        <s v="71320 - Fiction - Medieval History"/>
        <s v="108944 - Fiction - Medieval History"/>
        <s v="122693 - Fiction - Medieval History"/>
        <s v="20049 - Fiction - Medieval History"/>
        <s v="20055 - Fiction - Medieval History"/>
        <s v="112845 - Fiction - Medieval History"/>
        <s v="9490 - Fiction - Medieval History"/>
        <s v="105034 - Fiction - Medieval History"/>
        <s v="122680 - Fiction - Medieval History"/>
        <s v="112846 - Fiction - Medieval History"/>
        <s v="80816 - Fiction - Medieval History"/>
        <s v="44749 - Fiction - Medieval History"/>
        <s v="79498 - Fiction - Medieval History"/>
        <s v="2799 - Fiction - Medieval History"/>
        <s v="194401 - Fiction - Medieval History"/>
        <s v="5291 - Fiction - Medieval History"/>
        <s v="2796 - Fiction - Medieval History"/>
        <s v="71325 - Fiction - Medieval History"/>
        <s v="2793 - Fiction - Medieval History"/>
        <s v="102781 - Fiction - Medieval History"/>
        <s v="109201 - Fiction - Medieval History"/>
        <s v="72814 - Fiction - Medieval History"/>
        <s v="122351 - Fiction - Medieval History"/>
        <s v="99298 - Fiction - Medieval History"/>
        <s v="3731 - Fiction - Medieval History"/>
        <s v="11489 - Fiction - Medieval History"/>
        <s v="122302 - Fiction - Medieval History"/>
        <s v="28838 - Fiction - Medieval History"/>
        <s v="72843 - Fiction - Medieval History"/>
        <s v="80809 - Fiction - Medieval History"/>
        <s v="127006 - Tech - Early Modern History"/>
        <s v="82448 - Tech - Early Modern History"/>
        <s v="13028 - Tech - Early Modern History"/>
        <s v="118577 - Tech - Early Modern History"/>
        <s v="117890 - Tech - Early Modern History"/>
        <s v="118617 - Tech - Early Modern History"/>
        <s v="109995 - Tech - Early Modern History"/>
        <s v="109996 - Tech - Early Modern History"/>
        <s v="49107 - Tech - Modern History"/>
        <s v="29585 - Tech - Modern History"/>
        <s v="111677 - Tech - Modern History"/>
        <s v="93102 - Tech - Modern History"/>
        <s v="30712 - Tech - Modern History"/>
        <s v="89128 - Tech - Modern History"/>
        <s v="29587 - Tech - Modern History"/>
        <s v="30711 - Tech - Modern History"/>
        <s v="45306 - Tech - Modern History"/>
        <s v="120803 - Tech - Modern History"/>
        <s v="108004 - Tech - Modern History"/>
        <s v="92205 - Tech - Modern History"/>
        <s v="119509 - Tech - Modern History"/>
        <s v="109056 - Tech - Modern History"/>
        <s v="45305 - Tech - Modern History"/>
        <s v="29582 - Tech - Modern History"/>
        <s v="111676 - Tech - Modern History"/>
        <s v="30578 - Tech - Modern History"/>
        <s v="93095 - Tech - Modern History"/>
        <s v="70036 - Tech - Modern History"/>
        <s v="90498 - Tech - Modern History"/>
        <s v="89127 - Tech - Modern History"/>
        <s v="75215 - Tech - Modern History"/>
        <s v="119566 - Tech - Modern History"/>
        <s v="92208 - Tech - Modern History"/>
        <s v="119579 - Tech - Modern History"/>
        <s v="45309 - Tech - Modern History"/>
        <s v="30743 - Tech - Modern History"/>
        <s v="49108 - Tech - Modern History"/>
        <s v="29584 - Tech - Modern History"/>
        <s v="119501 - Tech - Modern History"/>
        <s v="30504 - Tech - Modern History"/>
        <s v="93101 - Tech - Modern History"/>
        <s v="30749 - Tech - Modern History"/>
        <s v="120813 - Tech - Modern History"/>
        <s v="29590 - Tech - Modern History"/>
        <s v="118662 - Tech - Modern History"/>
        <s v="30478 - Tech - Modern History"/>
        <s v="90475 - Tech - Modern History"/>
        <s v="29530 - Tech - Modern History"/>
        <s v="81528 - Tech - Modern History"/>
        <s v="100436 - Tech - Modern History"/>
        <s v="29499 - Tech - Modern History"/>
        <s v="30683 - Tech - Modern History"/>
        <s v="69906 - Tech - Modern History"/>
        <s v="90174 - Tech - Modern History"/>
        <s v="90168 - Tech - Modern History"/>
        <s v="79488 - Tech - Modern History"/>
        <s v="119640 - Tech - Modern History"/>
        <s v="119515 - Tech - Modern History"/>
        <s v="103685 - Tech - Modern History"/>
        <s v="111617 - Tech - Modern History"/>
        <s v="98637 - Tech - Modern History"/>
        <s v="90159 - Tech - Modern History"/>
        <s v="76651 - Tech - Modern History"/>
        <s v="119531 - Tech - Modern History"/>
        <s v="93884 - Tech - Modern History"/>
        <s v="79467 - Tech - Modern History"/>
        <s v="29532 - Tech - Modern History"/>
        <s v="104063 - Tech - Modern History"/>
        <s v="90166 - Tech - Modern History"/>
        <s v="29538 - Tech - Modern History"/>
        <s v="70538 - Tech - Modern History"/>
        <s v="93893 - Tech - Modern History"/>
        <s v="119518 - Tech - Modern History"/>
        <s v="111338 - Tech - Modern History"/>
        <s v="100435 - Tech - Modern History"/>
        <s v="89130 - Tech - Modern History"/>
        <s v="103695 - Tech - Modern History"/>
        <s v="90201 - Tech - Modern History"/>
        <s v="70025 - Tech - Modern History"/>
        <s v="29485 - Tech - Modern History"/>
        <s v="119530 - Tech - Modern History"/>
        <s v="103671 - Tech - Modern History"/>
        <s v="102803 - Tech - Modern History"/>
        <s v="122156 - Tech - Modern History"/>
        <s v="103688 - Tech - Modern History"/>
        <s v="128303 - Tech - Modern History"/>
        <s v="122164 - Tech - Modern History"/>
        <s v="119629 - Tech - Modern History"/>
        <s v="122238 - Tech - Modern History"/>
        <s v="100106 - Tech - Modern History"/>
        <s v="74260 - Tech - Modern History"/>
        <s v="122159 - Tech - Modern History"/>
        <s v="100104 - Tech - Modern History"/>
        <s v="103702 - Tech - Modern History"/>
        <s v="103696 - Tech - Modern History"/>
        <s v="111083 - Tech - Modern History"/>
        <s v="76658 - Tech - Modern History"/>
        <s v="111339 - Tech - Modern History"/>
        <s v="79491 - Tech - Modern History"/>
        <s v="110380 - Tech - Modern History"/>
        <s v="111341 - Tech - Modern History"/>
        <s v="81785 - Tech - Modern History"/>
        <s v="89155 - Tech - Modern History"/>
        <s v="90253 - Tech - Modern History"/>
        <s v="119544 - Tech - Modern History"/>
        <s v="108675 - Tech - Modern History"/>
        <s v="119542 - Tech - Modern History"/>
        <s v="30752 - Tech - Modern History"/>
        <s v="116180 - Law - World War I"/>
        <s v="96953 - Law - World War I"/>
        <s v="118303 - Law - World War I"/>
        <s v="117222 - Law - World War I"/>
        <s v="5620 - Law - World War I"/>
        <s v="122346 - Law - World War I"/>
        <s v="96968 - Law - World War I"/>
        <s v="126578 - Law - World War I"/>
        <s v="126581 - Law - World War I"/>
        <s v="96956 - Law - World War I"/>
        <s v="116774 - Law - World War I"/>
        <s v="147293 - Law - World War I"/>
        <s v="119228 - Law - World War I"/>
        <s v="5618 - Law - World War I"/>
        <s v="126579 - Law - World War I"/>
        <s v="117219 - Law - World War I"/>
        <s v="44110 - Law - World War I"/>
        <s v="76223 - Law - World War I"/>
        <s v="48406 - Law - World War I"/>
        <s v="77514 - Law - World War I"/>
        <s v="117221 - Law - World War I"/>
        <s v="115602 - Law - World War I"/>
        <s v="44107 - Law - World War I"/>
        <s v="115604 - Law - World War I"/>
        <s v="118926 - Law - World War I"/>
        <s v="118304 - Law - World War I"/>
        <s v="5621 - Law - World War I"/>
        <s v="44105 - Law - World War I"/>
        <s v="126580 - Law - World War I"/>
        <s v="5624 - Law - World War I"/>
        <s v="88679 - Law - World War I"/>
        <s v="118305 - Law - World War I"/>
        <s v="60380 - Law - World War I"/>
        <s v="77475 - Law - World War I"/>
        <s v="110577 - Law - World War I"/>
        <s v="110571 - Law - World War I"/>
        <s v="103835 - Law - World War I"/>
        <s v="5646 - Law - World War I"/>
        <s v="5649 - Law - World War I"/>
        <s v="5647 - Law - World War I"/>
        <s v="5648 - Law - World War I"/>
        <s v="108292 - Law - World War I"/>
        <s v="110572 - Law - World War I"/>
        <s v="77456 - Law - World War I"/>
        <s v="77454 - Law - World War I"/>
        <s v="44095 - Law - World War I"/>
        <s v="87419 - Law - World War I"/>
        <s v="44087 - Law - World War I"/>
        <s v="44129 - Law - World War I"/>
        <s v="103832 - Law - World War I"/>
        <s v="103819 - Law - World War I"/>
        <s v="88683 - Law - World War I"/>
        <s v="5676 - Law - World War I"/>
        <s v="116776 - Law - World War I"/>
        <s v="5668 - Law - World War I"/>
        <s v="119052 - Law - World War I"/>
        <s v="118920 - Law - World War I"/>
        <s v="96003 - Law - World War I"/>
        <s v="116380 - Law - World War I"/>
        <s v="46291 - Law - World War I"/>
        <s v="148742 - Law - World War I"/>
        <s v="83634 - Law - World War I"/>
        <s v="5657 - Law - World War I"/>
        <s v="78856 - Law - World War I"/>
        <s v="44123 - Law - World War I"/>
        <s v="78855 - Law - World War I"/>
        <s v="48408 - Law - World War I"/>
        <s v="46303 - Law - World War I"/>
        <s v="147274 - Law - World War I"/>
        <s v="44144 - Law - World War I"/>
        <s v="96972 - Law - World War I"/>
        <s v="5665 - Law - World War I"/>
        <s v="26072 - Law - World War I"/>
        <s v="5631 - Law - World War I"/>
        <s v="104316 - Law - World War I"/>
        <s v="83612 - Law - World War I"/>
        <s v="87425 - Law - World War I"/>
        <s v="115611 - Law - World War I"/>
        <s v="88688 - Law - World War I"/>
        <s v="83605 - Law - World War I"/>
        <s v="44125 - Law - World War I"/>
        <s v="83639 - Law - World War I"/>
        <s v="5656 - Law - World War I"/>
        <s v="88686 - Law - World War I"/>
        <s v="83601 - Law - World War I"/>
        <s v="48407 - Law - World War I"/>
        <s v="5692 - Law - World War I"/>
        <s v="112803 - Law - World War I"/>
        <s v="83600 - Law - World War I"/>
        <s v="83621 - Law - World War I"/>
        <s v="115599 - Law - World War I"/>
        <s v="83598 - Law - World War I"/>
        <s v="5652 - Law - World War I"/>
        <s v="122661 - Law - World War I"/>
        <s v="116384 - Law - World War I"/>
        <s v="78859 - Law - World War I"/>
        <s v="87096 - Law - World War I"/>
        <s v="87428 - Law - World War I"/>
        <s v="5690 - Law - World War I"/>
        <s v="5663 - Law - World War I"/>
        <s v="5654 - Law - World War I"/>
        <s v="44607 - Law - World War I"/>
        <s v="5662 - Law - World War I"/>
        <s v="87426 - Law - World War I"/>
        <s v="5680 - Law - World War I"/>
        <s v="5661 - Law - World War I"/>
        <s v="83629 - Law - World War I"/>
        <s v="83599 - Law - World War I"/>
        <s v="83625 - Law - World War I"/>
        <s v="87887 - Law - World War I"/>
        <s v="118923 - Law - World War I"/>
        <s v="87421 - Law - World War I"/>
        <s v="117531 - Law - World War I"/>
        <s v="122267 - Law - World War I"/>
        <s v="117527 - Law - World War I"/>
        <s v="44138 - Law - World War I"/>
        <s v="117529 - Law - World War I"/>
        <s v="122269 - Law - World War I"/>
        <s v="87886 - Law - World War I"/>
        <s v="104317 - Law - World War I"/>
        <s v="114943 - Law - World War I"/>
        <s v="44134 - Law - World War I"/>
        <s v="5637 - Law - World War I"/>
        <s v="5641 - Law - World War I"/>
        <s v="147323 - Law - World War I"/>
        <s v="44118 - Law - World War I"/>
        <s v="115608 - Law - World War I"/>
        <s v="44127 - Law - World War I"/>
        <s v="122348 - Law - World War I"/>
        <s v="147304 - Law - World War I"/>
        <s v="118310 - Law - World War I"/>
        <s v="77175 - Law - World War I"/>
        <s v="5645 - Law - World War I"/>
        <s v="76679 - Law - World War I"/>
        <s v="5635 - Law - World War I"/>
        <s v="110960 - Law - World War I"/>
        <s v="108290 - Law - World War I"/>
        <s v="117680 - Law - World War I"/>
        <s v="77183 - Law - World War I"/>
        <s v="147322 - Law - World War I"/>
        <s v="44120 - Law - World War I"/>
        <s v="44115 - Law - World War I"/>
        <s v="44117 - Law - World War I"/>
        <s v="76670 - Law - World War I"/>
        <s v="122347 - Law - World War I"/>
        <s v="112462 - Law - World War I"/>
        <s v="5636 - Law - World War I"/>
        <s v="112464 - Law - World War I"/>
        <s v="5639 - Law - World War I"/>
        <s v="44147 - Law - World War I"/>
        <s v="5638 - Law - World War I"/>
        <s v="103074 - Law - World War I"/>
        <s v="45913 - Law - World War I"/>
        <s v="120044 - Law - World War I"/>
        <s v="90973 - Law - World War I"/>
        <s v="103830 - Law - World War I"/>
        <s v="111765 - Law - World War I"/>
        <s v="45952 - Law - World War I"/>
        <s v="91749 - Law - World War I"/>
        <s v="120040 - Law - World War I"/>
        <s v="17143 - Law - World War I"/>
        <s v="120515 - Law - World War I"/>
        <s v="120045 - Law - World War I"/>
        <s v="122268 - Law - World War I"/>
        <s v="195737 - Law - World War I"/>
        <s v="78759 - Law - World War I"/>
        <s v="8857 - Law - World War I"/>
        <s v="8860 - Law - World War I"/>
        <s v="182790 - Law - World War I"/>
        <s v="120042 - Law - World War I"/>
        <s v="114941 - Law - World War I"/>
        <s v="108473 - Law - World War I"/>
        <s v="90968 - Law - World War I"/>
        <s v="114929 - Law - World War I"/>
        <s v="68868 - Law - World War I"/>
        <s v="103831 - Law - World War I"/>
        <s v="83272 - Law - World War I"/>
        <s v="120046 - Law - World War I"/>
        <s v="181989 - Finance - World War II"/>
        <s v="84359 - Finance - World War II"/>
        <s v="102939 - Finance - World War II"/>
        <s v="111504 - Finance - World War II"/>
        <s v="75678 - Finance - World War II"/>
        <s v="79005 - Finance - World War II"/>
        <s v="188360 - Finance - World War II"/>
        <s v="79695 - Self-Help - Cold War"/>
        <s v="73768 - Self-Help - Cold War"/>
        <s v="44663 - Self-Help - Cold War"/>
        <s v="766 - Self-Help - Cold War"/>
        <s v="109961 - Fiction - Military History"/>
        <s v="109932 - Fiction - Military History"/>
        <s v="109956 - Fiction - Military History"/>
        <s v="109962 - Fiction - Military History"/>
        <s v="101622 - Fiction - Military History"/>
        <s v="101623 - Fiction - Military History"/>
        <s v="4513 - Fiction - Military History"/>
        <s v="24648 - Fiction - Military History"/>
        <s v="16386 - Fiction - Military History"/>
        <s v="16383 - Fiction - Military History"/>
        <s v="113588 - Fiction - Military History"/>
        <s v="99392 - Fiction - Military History"/>
        <s v="99412 - Fiction - Military History"/>
        <s v="25306 - Fiction - Military History"/>
        <s v="99399 - Fiction - Military History"/>
        <s v="25304 - Fiction - Military History"/>
        <s v="99400 - Fiction - Military History"/>
        <s v="80484 - Fiction - Military History"/>
        <s v="14477 - Fiction - Military History"/>
        <s v="95056 - History - Economic History"/>
        <s v="78519 - History - Economic History"/>
        <s v="90377 - History - Economic History"/>
        <s v="90375 - History - Economic History"/>
        <s v="112073 - Arts - Political History"/>
        <s v="101339 - Arts - Political History"/>
        <s v="92421 - Arts - Political History"/>
        <s v="112079 - Arts - Political History"/>
        <s v="44716 - Arts - Political History"/>
        <s v="89640 - Arts - Political History"/>
        <s v="112072 - Arts - Political History"/>
        <s v="112991 - Arts - Political History"/>
        <s v="101587 - Arts - Political History"/>
        <s v="10525 - Arts - Political History"/>
        <s v="121349 - Arts - Political History"/>
        <s v="127811 - Arts - Political History"/>
        <s v="81507 - Arts - Political History"/>
        <s v="78412 - Arts - Political History"/>
        <s v="109312 - Arts - Political History"/>
        <s v="78502 - Arts - Political History"/>
        <s v="111498 - Arts - Political History"/>
        <s v="87242 - Arts - Political History"/>
        <s v="139286 - Arts - Political History"/>
        <s v="10524 - Arts - Political History"/>
        <s v="78397 - Arts - Political History"/>
        <s v="78421 - Arts - Political History"/>
        <s v="23420 - Arts - Political History"/>
        <s v="78498 - Arts - Political History"/>
        <s v="78427 - Arts - Political History"/>
        <s v="119256 - Arts - Political History"/>
        <s v="44731 - Arts - Political History"/>
        <s v="86852 - Arts - Political History"/>
        <s v="103137 - Arts - Political History"/>
        <s v="95079 - Arts - Political History"/>
        <s v="121568 - Arts - Political History"/>
        <s v="89645 - Arts - Political History"/>
        <s v="44691 - Arts - Political History"/>
        <s v="94055 - Arts - Political History"/>
        <s v="101586 - Arts - Political History"/>
        <s v="106731 - Arts - Political History"/>
        <s v="87072 - Arts - Political History"/>
        <s v="44711 - Arts - Political History"/>
        <s v="78428 - Arts - Political History"/>
        <s v="10531 - Arts - Political History"/>
        <s v="158475 - Arts - Political History"/>
        <s v="89633 - Arts - Political History"/>
        <s v="86836 - Arts - Political History"/>
        <s v="44698 - Arts - Political History"/>
        <s v="127870 - Arts - Political History"/>
        <s v="141891 - Arts - Political History"/>
        <s v="78426 - Arts - Political History"/>
        <s v="77792 - Arts - Political History"/>
        <s v="21027 - Arts - Political History"/>
        <s v="95063 - Arts - Political History"/>
        <s v="30314 - Arts - Political History"/>
        <s v="19838 - Arts - Political History"/>
        <s v="111283 - Arts - Political History"/>
        <s v="87568 - Arts - Political History"/>
        <s v="78419 - Arts - Political History"/>
        <s v="106806 - Arts - Political History"/>
        <s v="78420 - Arts - Political History"/>
        <s v="78442 - Arts - Political History"/>
        <s v="78492 - Arts - Political History"/>
        <s v="80297 - Arts - Political History"/>
        <s v="44712 - Arts - Political History"/>
        <s v="89736 - Arts - Political History"/>
        <s v="83270 - Arts - Political History"/>
        <s v="101588 - Arts - Political History"/>
        <s v="104171 - Arts - Political History"/>
        <s v="101042 - Arts - Political History"/>
        <s v="108881 - Arts - Political History"/>
        <s v="87571 - Arts - Political History"/>
        <s v="44718 - Arts - Political History"/>
        <s v="44735 - Arts - Political History"/>
        <s v="21035 - Arts - Political History"/>
        <s v="30308 - Arts - Political History"/>
        <s v="44694 - Arts - Political History"/>
        <s v="78493 - Arts - Political History"/>
        <s v="78409 - Arts - Political History"/>
        <s v="86844 - Arts - Political History"/>
        <s v="86771 - Arts - Political History"/>
        <s v="78511 - Arts - Political History"/>
        <s v="83267 - Arts - Political History"/>
        <s v="78490 - Arts - Political History"/>
        <s v="73175 - Arts - Political History"/>
        <s v="44730 - Arts - Political History"/>
        <s v="10535 - Arts - Political History"/>
        <s v="80299 - Arts - Political History"/>
        <s v="121350 - Arts - Political History"/>
        <s v="79958 - Arts - Political History"/>
        <s v="95074 - Arts - Political History"/>
        <s v="87574 - Arts - Political History"/>
        <s v="77769 - Arts - Political History"/>
        <s v="141889 - Arts - Political History"/>
        <s v="83269 - Arts - Political History"/>
        <s v="89647 - Arts - Political History"/>
        <s v="77256 - Arts - Political History"/>
        <s v="86840 - Arts - Political History"/>
        <s v="30306 - Arts - Political History"/>
        <s v="76427 - Arts - Political History"/>
        <s v="44706 - Arts - Political History"/>
        <s v="44701 - Arts - Political History"/>
        <s v="10537 - Arts - Political History"/>
        <s v="10523 - Arts - Political History"/>
        <s v="76664 - Arts - Political History"/>
        <s v="78472 - Arts - Political History"/>
        <s v="44721 - Arts - Political History"/>
        <s v="121576 - Arts - Political History"/>
        <s v="117208 - Arts - Political History"/>
        <s v="78497 - Arts - Political History"/>
        <s v="44726 - Arts - Political History"/>
        <s v="117210 - Arts - Political History"/>
        <s v="87082 - Arts - Political History"/>
        <s v="10529 - Arts - Political History"/>
        <s v="44705 - Arts - Political History"/>
        <s v="100564 - Arts - Political History"/>
        <s v="87193 - Arts - Political History"/>
        <s v="76044 - Arts - Political History"/>
        <s v="121578 - Arts - Political History"/>
        <s v="117206 - Arts - Political History"/>
        <s v="81519 - Arts - Political History"/>
        <s v="44724 - Arts - Political History"/>
        <s v="82114 - Arts - Political History"/>
        <s v="82115 - Arts - Political History"/>
        <s v="109307 - Arts - Political History"/>
        <s v="76046 - Arts - Political History"/>
        <s v="117187 - Arts - Political History"/>
        <s v="10538 - Arts - Political History"/>
        <s v="78508 - Arts - Political History"/>
        <s v="44723 - Arts - Political History"/>
        <s v="109309 - Arts - Political History"/>
        <s v="76656 - Arts - Political History"/>
        <s v="80305 - Arts - Political History"/>
        <s v="78506 - Arts - Political History"/>
        <s v="82133 - Arts - Political History"/>
        <s v="188805 - Arts - Political History"/>
        <s v="78481 - Arts - Political History"/>
        <s v="109310 - Arts - Political History"/>
        <s v="120689 - Arts - Political History"/>
        <s v="10540 - Arts - Political History"/>
        <s v="44727 - Arts - Political History"/>
        <s v="73190 - Arts - Political History"/>
        <s v="112169 - Arts - Political History"/>
        <s v="120695 - Arts - Political History"/>
        <s v="80270 - Arts - Political History"/>
        <s v="5795 - Arts - Political History"/>
        <s v="107316 - Arts - Political History"/>
        <s v="78482 - Arts - Political History"/>
        <s v="158473 - Arts - Political History"/>
        <s v="109308 - Arts - Political History"/>
        <s v="78507 - Arts - Political History"/>
        <s v="100827 - Arts - Political History"/>
        <s v="102189 - Arts - Political History"/>
        <s v="10522 - Arts - Political History"/>
        <s v="78467 - Arts - Political History"/>
        <s v="84367 - Arts - Political History"/>
        <s v="87402 - Arts - Political History"/>
        <s v="44707 - Arts - Political History"/>
        <s v="78400 - Arts - Political History"/>
        <s v="102188 - Arts - Political History"/>
        <s v="73173 - Arts - Political History"/>
        <s v="76661 - Arts - Political History"/>
        <s v="78479 - Arts - Political History"/>
        <s v="103401 - Arts - Political History"/>
        <s v="83340 - Arts - Political History"/>
        <s v="44725 - Arts - Political History"/>
        <s v="109311 - Arts - Political History"/>
        <s v="133901 - Tech - Cultural History"/>
        <s v="92678 - Tech - Cultural History"/>
        <s v="82447 - Tech - Cultural History"/>
        <s v="110126 - Tech - Cultural History"/>
        <s v="3219 - Tech - Cultural History"/>
        <s v="127007 - Tech - Cultural History"/>
        <s v="102277 - Tech - Cultural History"/>
        <s v="122544 - Tech - Cultural History"/>
        <s v="91486 - Tech - Cultural History"/>
        <s v="28009 - Tech - Cultural History"/>
        <s v="110814 - Tech - Cultural History"/>
        <s v="117437 - Tech - Cultural History"/>
        <s v="23074 - Tech - Cultural History"/>
        <s v="8900 - Tech - Cultural History"/>
        <s v="92676 - Tech - Cultural History"/>
        <s v="117266 - Tech - Cultural History"/>
        <s v="14527 - Tech - Cultural History"/>
        <s v="27534 - Tech - Cultural History"/>
        <s v="91636 - Tech - Cultural History"/>
        <s v="120941 - Tech - Cultural History"/>
        <s v="111897 - Tech - Cultural History"/>
        <s v="158485 - Tech - Cultural History"/>
        <s v="199530 - History - Social History"/>
        <s v="120946 - History - Social History"/>
        <s v="82957 - History - Social History"/>
        <s v="109830 - History - Social History"/>
        <s v="109831 - History - Social History"/>
        <s v="107899 - Arts - History of Science"/>
        <s v="139289 - Arts - History of Science"/>
        <s v="72129 - Arts - History of Science"/>
        <s v="106541 - Arts - History of Science"/>
        <s v="43810 - Arts - History of Science"/>
        <s v="83117 - Arts - History of Science"/>
        <s v="78863 - Arts - History of Science"/>
        <s v="107898 - Arts - History of Science"/>
        <s v="80181 - Arts - History of Science"/>
        <s v="150280 - Arts - History of Science"/>
        <s v="80173 - Arts - History of Science"/>
        <s v="100647 - Arts - History of Science"/>
        <s v="147273 - Arts - History of Science"/>
        <s v="83770 - Arts - History of Science"/>
        <s v="180773 - Arts - History of Science"/>
        <s v="80125 - Arts - History of Science"/>
        <s v="89909 - Arts - History of Science"/>
        <s v="80114 - Arts - History of Science"/>
        <s v="73916 - Arts - History of Science"/>
        <s v="80117 - Arts - History of Science"/>
        <s v="22008 - Arts - History of Science"/>
        <s v="76608 - Arts - History of Science"/>
        <s v="80793 - Arts - History of Science"/>
        <s v="102588 - Arts - History of Science"/>
        <s v="80794 - Arts - History of Science"/>
        <s v="80174 - Arts - History of Science"/>
        <s v="114722 - Arts - History of Science"/>
        <s v="180843 - Arts - History of Science"/>
        <s v="22020 - Arts - History of Science"/>
        <s v="111259 - Arts - History of Science"/>
        <s v="89895 - Arts - History of Science"/>
        <s v="22014 - Arts - History of Science"/>
        <s v="44254 - Arts - History of Science"/>
        <s v="22025 - Arts - History of Science"/>
        <s v="83765 - Arts - History of Science"/>
        <s v="89930 - Arts - History of Science"/>
        <s v="83767 - Arts - History of Science"/>
        <s v="83745 - Arts - History of Science"/>
        <s v="78827 - Arts - History of Science"/>
        <s v="122266 - Arts - History of Science"/>
        <s v="949 - Arts - History of Science"/>
        <s v="102595 - Arts - History of Science"/>
        <s v="80790 - Arts - History of Science"/>
        <s v="114257 - Arts - History of Science"/>
        <s v="80121 - Arts - History of Science"/>
        <s v="164929 - Arts - History of Science"/>
        <s v="80180 - Arts - History of Science"/>
        <s v="92930 - Arts - History of Science"/>
        <s v="147271 - Arts - History of Science"/>
        <s v="83748 - Arts - History of Science"/>
        <s v="80120 - Arts - History of Science"/>
        <s v="164931 - Arts - History of Science"/>
        <s v="78804 - Arts - History of Science"/>
        <s v="103096 - Arts - History of Science"/>
        <s v="180770 - Arts - History of Science"/>
        <s v="80115 - Arts - History of Science"/>
        <s v="83771 - Arts - History of Science"/>
        <s v="80124 - Arts - History of Science"/>
        <s v="80111 - Arts - History of Science"/>
        <s v="63864 - Arts - History of Science"/>
        <s v="76824 - Arts - History of Science"/>
        <s v="102599 - Arts - History of Science"/>
        <s v="103001 - Arts - History of Science"/>
        <s v="164928 - Arts - History of Science"/>
        <s v="80791 - Arts - History of Science"/>
        <s v="83223 - Arts - History of Science"/>
        <s v="951 - Arts - History of Science"/>
        <s v="149928 - Arts - History of Science"/>
        <s v="60375 - Arts - History of Science"/>
        <s v="102594 - Arts - History of Science"/>
        <s v="128218 - Arts - History of Science"/>
        <s v="80178 - Arts - History of Science"/>
        <s v="164932 - Arts - History of Science"/>
        <s v="22036 - Arts - History of Science"/>
        <s v="102585 - Arts - History of Science"/>
        <s v="78816 - Arts - History of Science"/>
        <s v="78822 - Arts - History of Science"/>
        <s v="83773 - Arts - History of Science"/>
        <s v="114720 - Arts - History of Science"/>
        <s v="83777 - Arts - History of Science"/>
        <s v="102593 - Arts - History of Science"/>
        <s v="164930 - Arts - History of Science"/>
        <s v="102584 - Arts - History of Science"/>
        <s v="102586 - Arts - History of Science"/>
        <s v="83758 - Arts - History of Science"/>
        <s v="80189 - Arts - History of Science"/>
        <s v="26148 - Arts - History of Science"/>
        <s v="121902 - Arts - History of Science"/>
        <s v="21032 - Arts - History of Science"/>
        <s v="22071 - Arts - History of Science"/>
        <s v="87404 - Arts - History of Science"/>
        <s v="42712 - Arts - History of Science"/>
        <s v="76609 - Arts - History of Science"/>
        <s v="952 - Arts - History of Science"/>
        <s v="26136 - Arts - History of Science"/>
        <s v="87502 - Arts - History of Science"/>
        <s v="73923 - Arts - History of Science"/>
        <s v="164927 - Arts - History of Science"/>
        <s v="108749 - Arts - History of Science"/>
        <s v="89919 - Arts - History of Science"/>
        <s v="112897 - Arts - History of Science"/>
        <s v="122013 - Arts - History of Science"/>
        <s v="89902 - Arts - History of Science"/>
        <s v="89900 - Arts - History of Science"/>
        <s v="92461 - Arts - History of Science"/>
        <s v="128834 - Fiction - History of Technology"/>
        <s v="135180 - Fiction - History of Technology"/>
        <s v="120582 - Fiction - History of Technology"/>
        <s v="105794 - Fiction - History of Technology"/>
        <s v="81049 - Fiction - History of Technology"/>
        <s v="13364 - Fiction - History of Technology"/>
        <s v="13361 - Fiction - History of Technology"/>
        <s v="75659 - Fiction - History of Technology"/>
        <s v="75655 - Fiction - History of Technology"/>
        <s v="117866 - Fiction - History of Technology"/>
        <s v="90556 - Fiction - History of Technology"/>
        <s v="68605 - Fiction - History of Technology"/>
        <s v="103829 - Fiction - History of Technology"/>
        <s v="90558 - Fiction - History of Technology"/>
        <s v="120490 - Fiction - History of Technology"/>
        <s v="75662 - Fiction - History of Technology"/>
        <s v="121298 - Fiction - History of Technology"/>
        <s v="13363 - Fiction - History of Technology"/>
        <s v="117863 - Fiction - History of Technology"/>
        <s v="68607 - Fiction - History of Technology"/>
        <s v="122705 - Fiction - History of Technology"/>
        <s v="88195 - Fiction - History of Technology"/>
        <s v="45523 - Fiction - History of Technology"/>
        <s v="158449 - Fiction - History of Technology"/>
        <s v="45518 - Fiction - History of Technology"/>
        <s v="96288 - Fiction - History of Technology"/>
        <s v="76981 - Fiction - History of Technology"/>
        <s v="113827 - Fiction - History of Technology"/>
        <s v="76987 - Fiction - History of Technology"/>
        <s v="113824 - Fiction - History of Technology"/>
        <s v="113823 - Fiction - History of Technology"/>
        <s v="156053 - Fiction - History of Technology"/>
        <s v="45522 - Fiction - History of Technology"/>
        <s v="99176 - Fiction - History of Technology"/>
        <s v="49219 - Fiction - History of Technology"/>
        <s v="102370 - Fiction - History of Technology"/>
        <s v="49222 - Fiction - History of Technology"/>
        <s v="102352 - Fiction - History of Technology"/>
        <s v="49233 - Fiction - History of Technology"/>
        <s v="99163 - Fiction - History of Technology"/>
        <s v="142785 - Fiction - History of Technology"/>
        <s v="113054 - Fiction - History of Technology"/>
        <s v="88105 - Fiction - History of Technology"/>
        <s v="97036 - Fiction - History of Technology"/>
        <s v="81229 - Fiction - History of Technology"/>
        <s v="120563 - Fiction - History of Technology"/>
        <s v="122290 - Fiction - History of Technology"/>
        <s v="122373 - Fiction - History of Technology"/>
        <s v="117830 - Fiction - History of Technology"/>
        <s v="109008 - Fiction - History of Technology"/>
        <s v="122371 - Fiction - History of Technology"/>
        <s v="109012 - Fiction - History of Technology"/>
        <s v="156047 - Fiction - History of Technology"/>
        <s v="117839 - Fiction - History of Technology"/>
        <s v="156051 - Fiction - History of Technology"/>
        <s v="156048 - Fiction - History of Technology"/>
        <s v="117832 - Fiction - History of Technology"/>
        <s v="117877 - Fiction - History of Technology"/>
        <s v="117876 - Fiction - History of Technology"/>
        <s v="83507 - Fiction - History of Technology"/>
        <s v="121285 - Fiction - History of Technology"/>
        <s v="122684 - Fiction - History of Technology"/>
        <s v="116615 - Fiction - History of Technology"/>
        <s v="121083 - Fiction - History of Technology"/>
        <s v="108936 - Fiction - History of Technology"/>
        <s v="128388 - Fiction - History of Technology"/>
        <s v="120559 - Fiction - History of Technology"/>
        <s v="122685 - Fiction - History of Technology"/>
        <s v="122686 - Fiction - History of Technology"/>
        <s v="181263 - Fiction - History of Technology"/>
        <s v="122723 - Fiction - History of Technology"/>
        <s v="26533 - Fiction - History of Technology"/>
        <s v="16048 - Fiction - History of Technology"/>
        <s v="16049 - Fiction - History of Technology"/>
        <s v="122421 - Finance - Personal Development"/>
        <s v="121718 - Finance - Personal Development"/>
        <s v="117892 - Finance - Personal Development"/>
        <s v="117893 - Finance - Personal Development"/>
        <s v="78448 - Finance - Personal Development"/>
        <s v="89463 - Finance - Personal Development"/>
        <s v="108096 - Finance - Personal Development"/>
        <s v="70495 - Finance - Personal Development"/>
        <s v="115733 - History - Productivity"/>
        <s v="26349 - History - Productivity"/>
        <s v="26350 - History - Productivity"/>
        <s v="115724 - History - Productivity"/>
        <s v="115726 - History - Productivity"/>
        <s v="26352 - History - Productivity"/>
        <s v="19782 - History - Productivity"/>
        <s v="19793 - History - Productivity"/>
        <s v="87604 - History - Productivity"/>
        <s v="29931 - History - Productivity"/>
        <s v="9335 - History - Productivity"/>
        <s v="88722 - History - Productivity"/>
        <s v="121865 - History - Productivity"/>
        <s v="100934 - History - Productivity"/>
        <s v="117116 - History - Productivity"/>
        <s v="19802 - History - Productivity"/>
        <s v="81780 - History - Productivity"/>
        <s v="117094 - History - Productivity"/>
        <s v="19797 - History - Productivity"/>
        <s v="86131 - History - Productivity"/>
        <s v="121864 - History - Productivity"/>
        <s v="15061 - History - Productivity"/>
        <s v="79929 - History - Productivity"/>
        <s v="19792 - History - Productivity"/>
        <s v="108805 - History - Productivity"/>
        <s v="71689 - History - Productivity"/>
        <s v="71718 - History - Productivity"/>
        <s v="19752 - History - Productivity"/>
        <s v="116205 - History - Productivity"/>
        <s v="117113 - History - Productivity"/>
        <s v="71716 - History - Productivity"/>
        <s v="44398 - History - Productivity"/>
        <s v="100932 - History - Productivity"/>
        <s v="117125 - History - Productivity"/>
        <s v="19746 - History - Productivity"/>
        <s v="80729 - History - Productivity"/>
        <s v="19800 - History - Productivity"/>
        <s v="19790 - History - Productivity"/>
        <s v="19747 - History - Productivity"/>
        <s v="44524 - Sports - Time Management"/>
        <s v="103839 - Sports - Time Management"/>
        <s v="195240 - Sports - Time Management"/>
        <s v="195244 - Sports - Time Management"/>
        <s v="119465 - Sports - Time Management"/>
        <s v="47081 - Sports - Time Management"/>
        <s v="91635 - Sports - Time Management"/>
        <s v="188359 - Sports - Time Management"/>
        <s v="29655 - Sports - Time Management"/>
        <s v="193188 - Sports - Time Management"/>
        <s v="188367 - Sports - Time Management"/>
        <s v="188853 - Sports - Time Management"/>
        <s v="116214 - Sports - Time Management"/>
        <s v="82296 - Sports - Time Management"/>
        <s v="10269 - Self-Help - Habits"/>
        <s v="121860 - Self-Help - Habits"/>
        <s v="100464 - Self-Help - Habits"/>
        <s v="10270 - Self-Help - Habits"/>
        <s v="10283 - Self-Help - Habits"/>
        <s v="10278 - Self-Help - Habits"/>
        <s v="10259 - Self-Help - Habits"/>
        <s v="200359 - Self-Help - Habits"/>
        <s v="10243 - Self-Help - Habits"/>
        <s v="200360 - Self-Help - Habits"/>
        <s v="196501 - Self-Help - Habits"/>
        <s v="100460 - Self-Help - Habits"/>
        <s v="5880 - Self-Help - Habits"/>
        <s v="5872 - Self-Help - Habits"/>
        <s v="114258 - Self-Help - Habits"/>
        <s v="11122 - Self-Help - Habits"/>
        <s v="116894 - Self-Help - Habits"/>
        <s v="72994 - Self-Help - Habits"/>
        <s v="120863 - Law - Motivation"/>
        <s v="120870 - Law - Motivation"/>
        <s v="120868 - Law - Motivation"/>
        <s v="102063 - Law - Motivation"/>
        <s v="120869 - Law - Motivation"/>
        <s v="120871 - Law - Motivation"/>
        <s v="24195 - Law - Motivation"/>
        <s v="120422 - Law - Motivation"/>
        <s v="120874 - Law - Motivation"/>
        <s v="120416 - Law - Motivation"/>
        <s v="80944 - Law - Motivation"/>
        <s v="120873 - Law - Motivation"/>
        <s v="120875 - Law - Motivation"/>
        <s v="147285 - Law - Motivation"/>
        <s v="88604 - Law - Motivation"/>
        <s v="120417 - Law - Motivation"/>
        <s v="113914 - Law - Motivation"/>
        <s v="68793 - Law - Motivation"/>
        <s v="106707 - Law - Motivation"/>
        <s v="24210 - Law - Motivation"/>
        <s v="44012 - Law - Motivation"/>
        <s v="106710 - Law - Motivation"/>
        <s v="117239 - Law - Motivation"/>
        <s v="80186 - Law - Motivation"/>
        <s v="80185 - Law - Motivation"/>
        <s v="107151 - Law - Motivation"/>
        <s v="120420 - Law - Motivation"/>
        <s v="80184 - Law - Motivation"/>
        <s v="107157 - Law - Motivation"/>
        <s v="118432 - Law - Motivation"/>
        <s v="86512 - Law - Motivation"/>
        <s v="118431 - Law - Motivation"/>
        <s v="80187 - Law - Motivation"/>
        <s v="107163 - Law - Motivation"/>
        <s v="108342 - Law - Motivation"/>
        <s v="20949 - Law - Motivation"/>
        <s v="118436 - Law - Motivation"/>
        <s v="113566 - Law - Motivation"/>
        <s v="113571 - Law - Motivation"/>
        <s v="107160 - Law - Motivation"/>
        <s v="44007 - Law - Motivation"/>
        <s v="69453 - Law - Motivation"/>
        <s v="122690 - Law - Motivation"/>
        <s v="117243 - Law - Motivation"/>
        <s v="71988 - Law - Motivation"/>
        <s v="111582 - Law - Motivation"/>
        <s v="77235 - Law - Motivation"/>
        <s v="105272 - Law - Motivation"/>
        <s v="120809 - Law - Motivation"/>
        <s v="10651 - Law - Motivation"/>
        <s v="10657 - Law - Motivation"/>
        <s v="9132 - Law - Motivation"/>
        <s v="197151 - Law - Motivation"/>
        <s v="73386 - Law - Motivation"/>
        <s v="121604 - Law - Motivation"/>
        <s v="89533 - Law - Motivation"/>
        <s v="73381 - Law - Motivation"/>
        <s v="26096 - Law - Motivation"/>
        <s v="119050 - Law - Motivation"/>
        <s v="44028 - Law - Motivation"/>
        <s v="73572 - Law - Motivation"/>
        <s v="83083 - Law - Motivation"/>
        <s v="13338 - Law - Motivation"/>
        <s v="83418 - Law - Motivation"/>
        <s v="68640 - Law - Motivation"/>
        <s v="10647 - Law - Motivation"/>
        <s v="85884 - Law - Motivation"/>
        <s v="113933 - Law - Motivation"/>
        <s v="188843 - Law - Motivation"/>
        <s v="13342 - Law - Motivation"/>
        <s v="83002 - Law - Motivation"/>
        <s v="112860 - Law - Motivation"/>
        <s v="118374 - Law - Motivation"/>
        <s v="119049 - Law - Motivation"/>
        <s v="120964 - Law - Motivation"/>
        <s v="26093 - Law - Motivation"/>
        <s v="99311 - Law - Motivation"/>
        <s v="9131 - Law - Motivation"/>
        <s v="122167 - Law - Motivation"/>
        <s v="10649 - Law - Motivation"/>
        <s v="85875 - Law - Motivation"/>
        <s v="9136 - Law - Motivation"/>
        <s v="121835 - Law - Motivation"/>
        <s v="113934 - Law - Motivation"/>
        <s v="5750 - Law - Motivation"/>
        <s v="73390 - Law - Motivation"/>
        <s v="114251 - Law - Motivation"/>
        <s v="73392 - Law - Motivation"/>
        <s v="9128 - Law - Motivation"/>
        <s v="122672 - Law - Motivation"/>
        <s v="85857 - Law - Motivation"/>
        <s v="9129 - Law - Motivation"/>
        <s v="162438 - Law - Motivation"/>
        <s v="73391 - Law - Motivation"/>
        <s v="46428 - Law - Motivation"/>
        <s v="85861 - Law - Motivation"/>
        <s v="69324 - Law - Motivation"/>
        <s v="122618 - Law - Motivation"/>
        <s v="99312 - Law - Motivation"/>
        <s v="113932 - Law - Motivation"/>
        <s v="5751 - Law - Motivation"/>
        <s v="85885 - Law - Motivation"/>
        <s v="87877 - Law - Motivation"/>
        <s v="197150 - Law - Motivation"/>
        <s v="87878 - Law - Motivation"/>
        <s v="122166 - Law - Motivation"/>
        <s v="122617 - Law - Motivation"/>
        <s v="118590 - Law - Motivation"/>
        <s v="122366 - Law - Motivation"/>
        <s v="83001 - Law - Motivation"/>
        <s v="118594 - Law - Motivation"/>
        <s v="85881 - Law - Motivation"/>
        <s v="10655 - Law - Motivation"/>
        <s v="121606 - Law - Motivation"/>
        <s v="13341 - Law - Motivation"/>
        <s v="122631 - Law - Motivation"/>
        <s v="189132 - Law - Motivation"/>
        <s v="87876 - Law - Motivation"/>
        <s v="26094 - Law - Motivation"/>
        <s v="189129 - Law - Motivation"/>
        <s v="10654 - Law - Motivation"/>
        <s v="5754 - Law - Motivation"/>
        <s v="10648 - Law - Motivation"/>
        <s v="114947 - Law - Motivation"/>
        <s v="44728 - Law - Motivation"/>
        <s v="120709 - Law - Motivation"/>
        <s v="114949 - Law - Motivation"/>
        <s v="48706 - Law - Motivation"/>
        <s v="78411 - Law - Motivation"/>
        <s v="120016 - Law - Motivation"/>
        <s v="120710 - Law - Motivation"/>
        <s v="48705 - Law - Motivation"/>
        <s v="114948 - Law - Motivation"/>
        <s v="117330 - Law - Motivation"/>
        <s v="89665 - Law - Motivation"/>
        <s v="89450 - Sports - Mindfulness"/>
        <s v="72080 - Sports - Mindfulness"/>
        <s v="72086 - Sports - Mindfulness"/>
        <s v="117076 - Sports - Mindfulness"/>
        <s v="72081 - Sports - Mindfulness"/>
        <s v="72088 - Sports - Mindfulness"/>
        <s v="72078 - Sports - Mindfulness"/>
        <s v="72085 - Sports - Mindfulness"/>
        <s v="112204 - Sports - Mindfulness"/>
        <s v="59138 - Sports - Mindfulness"/>
        <s v="72074 - Sports - Mindfulness"/>
        <s v="72096 - Sports - Mindfulness"/>
        <s v="72099 - Sports - Mindfulness"/>
        <s v="89451 - Sports - Mindfulness"/>
        <s v="29606 - Sports - Mindfulness"/>
        <s v="72089 - Sports - Mindfulness"/>
        <s v="29601 - Sports - Mindfulness"/>
        <s v="50372 - Sports - Mindfulness"/>
        <s v="89452 - Sports - Mindfulness"/>
        <s v="156019 - Sports - Mindfulness"/>
        <s v="117705 - Sports - Mindfulness"/>
        <s v="121184 - Sports - Mindfulness"/>
        <s v="89446 - Sports - Mindfulness"/>
        <s v="102339 - Sports - Mindfulness"/>
        <s v="121193 - Sports - Mindfulness"/>
        <s v="102332 - Sports - Mindfulness"/>
        <s v="121775 - Sports - Mindfulness"/>
        <s v="100903 - Sports - Mindfulness"/>
        <s v="81463 - Sports - Mindfulness"/>
        <s v="75788 - Sports - Mindfulness"/>
        <s v="121185 - Sports - Mindfulness"/>
        <s v="89440 - Sports - Mindfulness"/>
        <s v="103058 - Sports - Mindfulness"/>
        <s v="117716 - Sports - Mindfulness"/>
        <s v="71287 - Sports - Mindfulness"/>
        <s v="110685 - Sports - Mindfulness"/>
        <s v="79335 - Sports - Mindfulness"/>
        <s v="45538 - Sports - Mindfulness"/>
        <s v="76691 - Sports - Mindfulness"/>
        <s v="2336 - Sports - Mindfulness"/>
        <s v="91912 - Sports - Mindfulness"/>
        <s v="110826 - Sports - Mindfulness"/>
        <s v="117710 - Sports - Mindfulness"/>
        <s v="3621 - Sports - Mindfulness"/>
        <s v="4179 - Sports - Mindfulness"/>
        <s v="89407 - Sports - Mindfulness"/>
        <s v="121190 - Sports - Mindfulness"/>
        <s v="45524 - Sports - Mindfulness"/>
        <s v="3634 - Sports - Mindfulness"/>
        <s v="104327 - Sports - Mindfulness"/>
        <s v="71282 - Sports - Mindfulness"/>
        <s v="89411 - Sports - Mindfulness"/>
        <s v="105361 - Sports - Mindfulness"/>
        <s v="105359 - Sports - Mindfulness"/>
        <s v="75174 - Sports - Mindfulness"/>
        <s v="11895 - Sports - Mindfulness"/>
        <s v="11812 - Sports - Mindfulness"/>
        <s v="11815 - Sports - Mindfulness"/>
        <s v="11784 - Sports - Mindfulness"/>
        <s v="89241 - Sports - Mindfulness"/>
        <s v="117688 - Sports - Mindfulness"/>
        <s v="77688 - Sports - Mindfulness"/>
        <s v="89282 - Sports - Mindfulness"/>
        <s v="11769 - Sports - Mindfulness"/>
        <s v="117544 - Sports - Mindfulness"/>
        <s v="94860 - Sports - Mindfulness"/>
        <s v="79041 - Sports - Mindfulness"/>
        <s v="117686 - Sports - Mindfulness"/>
        <s v="89299 - Sports - Mindfulness"/>
        <s v="11823 - Sports - Mindfulness"/>
        <s v="117543 - Sports - Mindfulness"/>
        <s v="11765 - Sports - Mindfulness"/>
        <s v="121519 - Sports - Mindfulness"/>
        <s v="71276 - Sports - Mindfulness"/>
        <s v="120135 - Sports - Mindfulness"/>
        <s v="116793 - Sports - Mindfulness"/>
        <s v="11774 - Sports - Mindfulness"/>
        <s v="11900 - Sports - Mindfulness"/>
        <s v="11809 - Sports - Mindfulness"/>
        <s v="117642 - Sports - Mindfulness"/>
        <s v="71259 - Sports - Mindfulness"/>
        <s v="79047 - Sports - Mindfulness"/>
        <s v="11796 - Sports - Mindfulness"/>
        <s v="79043 - Sports - Mindfulness"/>
        <s v="89246 - Sports - Mindfulness"/>
        <s v="71275 - Sports - Mindfulness"/>
        <s v="11800 - Sports - Mindfulness"/>
        <s v="11818 - Sports - Mindfulness"/>
        <s v="11795 - Sports - Mindfulness"/>
        <s v="117641 - Sports - Mindfulness"/>
        <s v="82579 - Sports - Mindfulness"/>
        <s v="120153 - Sports - Mindfulness"/>
        <s v="81320 - Sports - Mindfulness"/>
        <s v="121517 - Sports - Mindfulness"/>
        <s v="89276 - Sports - Mindfulness"/>
        <s v="11822 - Sports - Mindfulness"/>
        <s v="11771 - Sports - Mindfulness"/>
        <s v="89295 - Sports - Mindfulness"/>
        <s v="117684 - Sports - Mindfulness"/>
        <s v="11817 - Sports - Mindfulness"/>
        <s v="120697 - Sports - Mindfulness"/>
        <s v="11783 - Sports - Mindfulness"/>
        <s v="11821 - Sports - Mindfulness"/>
        <s v="11814 - Sports - Mindfulness"/>
        <s v="71242 - Sports - Mindfulness"/>
        <s v="120449 - Arts - Stress Management"/>
        <s v="23682 - Arts - Stress Management"/>
        <s v="119076 - Arts - Stress Management"/>
        <s v="9139 - Arts - Stress Management"/>
        <s v="9138 - Arts - Stress Management"/>
        <s v="109483 - Arts - Stress Management"/>
        <s v="120438 - Arts - Stress Management"/>
        <s v="120439 - Arts - Stress Management"/>
        <s v="23681 - Arts - Stress Management"/>
        <s v="89564 - Arts - Stress Management"/>
        <s v="111962 - Arts - Stress Management"/>
        <s v="124771 - Arts - Stress Management"/>
        <s v="120446 - Arts - Stress Management"/>
        <s v="111973 - Arts - Stress Management"/>
        <s v="120437 - Arts - Stress Management"/>
        <s v="124769 - Arts - Stress Management"/>
        <s v="111972 - Arts - Stress Management"/>
        <s v="47390 - Arts - Stress Management"/>
        <s v="27047 - Arts - Stress Management"/>
        <s v="68713 - Arts - Stress Management"/>
        <s v="120568 - Arts - Stress Management"/>
        <s v="120567 - Arts - Stress Management"/>
        <s v="77038 - Arts - Stress Management"/>
        <s v="87760 - Tech - Communication Skills"/>
        <s v="122612 - Tech - Communication Skills"/>
        <s v="110655 - Tech - Communication Skills"/>
        <s v="87785 - Tech - Communication Skills"/>
        <s v="122629 - Tech - Communication Skills"/>
        <s v="122614 - Tech - Communication Skills"/>
        <s v="122788 - Tech - Communication Skills"/>
        <s v="20226 - Tech - Communication Skills"/>
        <s v="120894 - Tech - Communication Skills"/>
        <s v="46762 - Tech - Communication Skills"/>
        <s v="118212 - Tech - Communication Skills"/>
        <s v="150950 - Tech - Communication Skills"/>
        <s v="190106 - Tech - Communication Skills"/>
        <s v="79810 - Tech - Communication Skills"/>
        <s v="82459 - Tech - Communication Skills"/>
        <s v="49360 - Tech - Communication Skills"/>
        <s v="194507 - Tech - Communication Skills"/>
        <s v="82453 - Tech - Communication Skills"/>
        <s v="79669 - Tech - Communication Skills"/>
        <s v="122294 - Tech - Communication Skills"/>
        <s v="73245 - Tech - Communication Skills"/>
        <s v="122082 - Tech - Communication Skills"/>
        <s v="194501 - Tech - Communication Skills"/>
        <s v="79105 - Tech - Communication Skills"/>
        <s v="87769 - Tech - Communication Skills"/>
        <s v="9734 - Tech - Communication Skills"/>
        <s v="149615 - Tech - Communication Skills"/>
        <s v="108966 - Tech - Communication Skills"/>
        <s v="116943 - Tech - Communication Skills"/>
        <s v="46769 - Tech - Communication Skills"/>
        <s v="87766 - Tech - Communication Skills"/>
        <s v="110701 - Tech - Communication Skills"/>
        <s v="4205 - Tech - Communication Skills"/>
        <s v="122615 - Tech - Communication Skills"/>
        <s v="87800 - Tech - Communication Skills"/>
        <s v="87801 - Tech - Communication Skills"/>
        <s v="87767 - Tech - Communication Skills"/>
        <s v="82454 - Tech - Communication Skills"/>
        <s v="194506 - Tech - Communication Skills"/>
        <s v="16240 - Tech - Communication Skills"/>
        <s v="16237 - Tech - Communication Skills"/>
        <s v="122760 - Tech - Communication Skills"/>
        <s v="82446 - Tech - Communication Skills"/>
        <s v="118333 - Tech - Communication Skills"/>
        <s v="122774 - Tech - Communication Skills"/>
        <s v="87789 - Tech - Communication Skills"/>
        <s v="111159 - Tech - Communication Skills"/>
        <s v="194500 - Tech - Communication Skills"/>
        <s v="80432 - Tech - Communication Skills"/>
        <s v="122636 - Tech - Communication Skills"/>
        <s v="110697 - Tech - Communication Skills"/>
        <s v="117966 - Tech - Communication Skills"/>
        <s v="122782 - Tech - Communication Skills"/>
        <s v="49358 - Tech - Communication Skills"/>
        <s v="190250 - Tech - Communication Skills"/>
        <s v="100243 - Tech - Communication Skills"/>
        <s v="87773 - Tech - Communication Skills"/>
        <s v="79103 - Tech - Communication Skills"/>
        <s v="87759 - Tech - Communication Skills"/>
        <s v="82461 - Tech - Communication Skills"/>
        <s v="122613 - Tech - Communication Skills"/>
        <s v="79746 - Tech - Communication Skills"/>
        <s v="110860 - Tech - Communication Skills"/>
        <s v="49355 - Tech - Communication Skills"/>
        <s v="93520 - Tech - Communication Skills"/>
        <s v="87765 - Tech - Communication Skills"/>
        <s v="110863 - Tech - Communication Skills"/>
        <s v="16238 - Tech - Communication Skills"/>
        <s v="122643 - Tech - Communication Skills"/>
        <s v="82452 - Tech - Communication Skills"/>
        <s v="122775 - Tech - Communication Skills"/>
        <s v="100240 - Tech - Communication Skills"/>
        <s v="87758 - Tech - Communication Skills"/>
        <s v="110689 - Tech - Communication Skills"/>
        <s v="110704 - Tech - Communication Skills"/>
        <s v="82455 - Tech - Communication Skills"/>
        <s v="127013 - Tech - Communication Skills"/>
        <s v="113063 - Tech - Communication Skills"/>
        <s v="11296 - Tech - Communication Skills"/>
        <s v="105305 - Tech - Communication Skills"/>
        <s v="73244 - Tech - Communication Skills"/>
        <s v="82458 - Tech - Communication Skills"/>
        <s v="105302 - Tech - Communication Skills"/>
        <s v="150951 - Tech - Communication Skills"/>
        <s v="122492 - Tech - Communication Skills"/>
        <s v="110436 - Tech - Communication Skills"/>
        <s v="10674 - Tech - Communication Skills"/>
        <s v="117166 - Tech - Communication Skills"/>
        <s v="111776 - Tech - Communication Skills"/>
        <s v="122388 - Tech - Communication Skills"/>
        <s v="117160 - Tech - Communication Skills"/>
        <s v="98795 - Tech - Communication Skills"/>
        <s v="117150 - Tech - Communication Skills"/>
        <s v="109416 - Tech - Communication Skills"/>
        <s v="122291 - Tech - Communication Skills"/>
        <s v="21820 - Tech - Communication Skills"/>
        <s v="150105 - Tech - Communication Skills"/>
        <s v="46474 - Tech - Communication Skills"/>
        <s v="118207 - Tech - Communication Skills"/>
        <s v="111007 - Tech - Communication Skills"/>
        <s v="9727 - Tech - Communication Skills"/>
        <s v="72321 - Tech - Communication Skills"/>
        <s v="100063 - Tech - Communication Skills"/>
        <s v="79818 - Tech - Communication Skills"/>
        <s v="121731 - Tech - Communication Skills"/>
        <s v="200584 - Tech - Communication Skills"/>
        <s v="68600 - Tech - Communication Skills"/>
        <s v="98788 - Tech - Communication Skills"/>
        <s v="122390 - Tech - Communication Skills"/>
        <s v="109930 - Tech - Communication Skills"/>
        <s v="118299 - Tech - Communication Skills"/>
        <s v="72320 - Tech - Communication Skills"/>
        <s v="87839 - Tech - Communication Skills"/>
        <s v="79819 - Tech - Communication Skills"/>
        <s v="117169 - Tech - Communication Skills"/>
        <s v="200585 - Tech - Communication Skills"/>
        <s v="70339 - Tech - Communication Skills"/>
        <s v="45597 - Tech - Communication Skills"/>
        <s v="117147 - Tech - Communication Skills"/>
        <s v="46309 - Tech - Communication Skills"/>
        <s v="45595 - Tech - Communication Skills"/>
        <s v="100311 - Tech - Communication Skills"/>
        <s v="122491 - Tech - Communication Skills"/>
        <s v="117466 - Tech - Communication Skills"/>
        <s v="85107 - Tech - Communication Skills"/>
        <s v="45594 - Tech - Communication Skills"/>
        <s v="118298 - Tech - Communication Skills"/>
        <s v="98802 - Tech - Communication Skills"/>
        <s v="46985 - Tech - Communication Skills"/>
        <s v="46476 - Tech - Communication Skills"/>
        <s v="110187 - Tech - Communication Skills"/>
        <s v="79988 - Tech - Communication Skills"/>
        <s v="46970 - Tech - Communication Skills"/>
        <s v="6519 - Tech - Communication Skills"/>
        <s v="118205 - Tech - Communication Skills"/>
        <s v="109412 - Tech - Communication Skills"/>
        <s v="117931 - Tech - Communication Skills"/>
        <s v="70042 - Tech - Communication Skills"/>
        <s v="150104 - Tech - Communication Skills"/>
        <s v="72319 - Tech - Communication Skills"/>
        <s v="100060 - Tech - Communication Skills"/>
        <s v="6521 - Tech - Communication Skills"/>
        <s v="45058 - Tech - Communication Skills"/>
        <s v="117139 - Tech - Communication Skills"/>
        <s v="117464 - Tech - Communication Skills"/>
        <s v="111777 - Tech - Communication Skills"/>
        <s v="122375 - Tech - Communication Skills"/>
        <s v="122282 - Tech - Communication Skills"/>
        <s v="47161 - Tech - Communication Skills"/>
        <s v="47159 - Tech - Communication Skills"/>
        <s v="71327 - Tech - Communication Skills"/>
        <s v="122276 - Tech - Communication Skills"/>
        <s v="72806 - Tech - Communication Skills"/>
        <s v="100248 - Tech - Communication Skills"/>
        <s v="122378 - Tech - Communication Skills"/>
        <s v="44762 - Tech - Communication Skills"/>
        <s v="100247 - Tech - Communication Skills"/>
        <s v="182272 - Tech - Communication Skills"/>
        <s v="128297 - Tech - Communication Skills"/>
        <s v="10673 - Tech - Communication Skills"/>
        <s v="69332 - Tech - Communication Skills"/>
        <s v="151239 - Tech - Communication Skills"/>
        <s v="116667 - Tech - Communication Skills"/>
        <s v="72809 - Tech - Communication Skills"/>
        <s v="165917 - Tech - Communication Skills"/>
        <s v="8746 - Tech - Communication Skills"/>
        <s v="122374 - Tech - Communication Skills"/>
        <s v="118166 - Tech - Communication Skills"/>
        <s v="42729 - Tech - Communication Skills"/>
        <s v="182271 - Tech - Communication Skills"/>
        <s v="109211 - Tech - Communication Skills"/>
        <s v="192901 - Tech - Communication Skills"/>
        <s v="122379 - Tech - Communication Skills"/>
        <s v="109891 - Tech - Communication Skills"/>
        <s v="125688 - Tech - Communication Skills"/>
        <s v="68599 - Tech - Communication Skills"/>
        <s v="104841 - Tech - Communication Skills"/>
        <s v="20243 - Tech - Communication Skills"/>
        <s v="10332 - Tech - Communication Skills"/>
        <s v="7361 - Tech - Communication Skills"/>
        <s v="21320 - Tech - Communication Skills"/>
        <s v="7365 - Tech - Communication Skills"/>
        <s v="7364 - Tech - Communication Skills"/>
        <s v="7362 - Tech - Communication Skills"/>
        <s v="117237 - History - Leadership"/>
        <s v="19784 - History - Leadership"/>
        <s v="9329 - History - Leadership"/>
        <s v="10859 - Fiction - Decision Making"/>
        <s v="118329 - Fiction - Decision Making"/>
        <s v="105169 - Fiction - Decision Making"/>
        <s v="90567 - Fiction - Decision Making"/>
        <s v="46672 - Fiction - Decision Making"/>
        <s v="118229 - Fiction - Decision Making"/>
        <s v="193230 - Fiction - Decision Making"/>
        <s v="193254 - Fiction - Decision Making"/>
        <s v="113228 - Fiction - Decision Making"/>
        <s v="193193 - Fiction - Decision Making"/>
        <s v="113223 - Fiction - Decision Making"/>
        <s v="113227 - Fiction - Decision Making"/>
        <s v="114198 - Fiction - Decision Making"/>
        <s v="100451 - Fiction - Decision Making"/>
        <s v="100446 - Fiction - Decision Making"/>
        <s v="193253 - Fiction - Decision Making"/>
        <s v="82432 - Fiction - Decision Making"/>
        <s v="122703 - Tech - Emotional Intelligence"/>
        <s v="129410 - Tech - Emotional Intelligence"/>
        <s v="103236 - Tech - Career Development"/>
        <s v="127534 - Tech - Career Development"/>
        <s v="100906 - Tech - Career Development"/>
        <s v="109098 - Tech - Career Development"/>
        <s v="155864 - Tech - Career Development"/>
        <s v="120314 - Tech - Career Development"/>
        <s v="199547 - Tech - Career Development"/>
        <s v="110540 - Tech - Career Development"/>
        <s v="182190 - Tech - Career Development"/>
        <s v="79341 - Tech - Career Development"/>
        <s v="108969 - Tech - Career Development"/>
        <s v="79939 - Tech - Career Development"/>
        <s v="11733 - Tech - Career Development"/>
        <s v="12647 - Tech - Career Development"/>
        <s v="122292 - Tech - Career Development"/>
        <s v="117433 - Tech - Career Development"/>
        <s v="127018 - Tech - Career Development"/>
        <s v="9705 - Tech - Career Development"/>
        <s v="9703 - Tech - Career Development"/>
        <s v="86005 - Tech - Career Development"/>
        <s v="9704 - Tech - Career Development"/>
        <s v="182189 - Tech - Career Development"/>
        <s v="29452 - Tech - Career Development"/>
        <s v="122485 - Tech - Career Development"/>
        <s v="9706 - Tech - Career Development"/>
        <s v="12648 - Tech - Career Development"/>
        <s v="93899 - Tech - Career Development"/>
        <s v="28890 - Tech - Career Development"/>
        <s v="17638 - Tech - Career Development"/>
        <s v="28888 - Tech - Career Development"/>
        <s v="29455 - Tech - Career Development"/>
        <s v="93895 - Tech - Career Development"/>
        <s v="116417 - Tech - Career Development"/>
        <s v="1971 - Tech - Career Development"/>
        <s v="12649 - Tech - Career Development"/>
        <s v="93896 - Tech - Career Development"/>
        <s v="44386 - Tech - Career Development"/>
        <s v="188156 - Tech - Career Development"/>
        <s v="7360 - Tech - Career Development"/>
        <s v="79323 - Tech - Career Development"/>
        <s v="72015 - Tech - Career Development"/>
        <s v="44310 - Tech - Career Development"/>
        <s v="77044 - Tech - Career Development"/>
        <s v="120636 - Tech - Career Development"/>
        <s v="92662 - Tech - Career Development"/>
        <s v="117263 - Tech - Career Development"/>
        <s v="117261 - Tech - Career Development"/>
        <s v="10644 - Tech - Career Development"/>
        <s v="102457 - Tech - Career Development"/>
        <s v="117419 - Tech - Career Development"/>
        <s v="150939 - Tech - Career Development"/>
        <s v="10517 - Tech - Career Development"/>
        <s v="79109 - Tech - Career Development"/>
        <s v="118918 - Tech - Career Development"/>
        <s v="102456 - Tech - Career Development"/>
        <s v="155865 - Tech - Career Development"/>
        <s v="100443 - Tech - Career Development"/>
        <s v="93833 - Tech - Career Development"/>
        <s v="76693 - Tech - Career Development"/>
        <s v="100441 - Tech - Career Development"/>
        <s v="103230 - Tech - Career Development"/>
        <s v="117902 - Fiction - Life Planning"/>
        <s v="105745 - Fiction - Life Planning"/>
        <s v="100811 - Fiction - Life Planning"/>
        <s v="102505 - Fiction - Life Planning"/>
        <s v="121317 - Fiction - Life Planning"/>
        <s v="121318 - Fiction - Life Planning"/>
        <s v="95155 - Fiction - Life Planning"/>
        <s v="25199 - Fiction - Life Planning"/>
        <s v="156020 - Fiction - Life Planning"/>
        <s v="28587 - Fiction - Life Planning"/>
        <s v="16050 - Fiction - Life Planning"/>
        <s v="119453 - Fiction - Life Planning"/>
        <s v="113070 - Fiction - Life Planning"/>
        <s v="99097 - Fiction - Life Planning"/>
        <s v="99099 - Fiction - Life Planning"/>
        <s v="104998 - History - Confidence Building"/>
        <s v="110524 - History - Confidence Building"/>
        <s v="117133 - Fiction - Football"/>
        <s v="70696 - Fiction - Football"/>
        <s v="121278 - Fiction - Football"/>
        <s v="74382 - History - Basketball"/>
        <s v="121921 - History - Basketball"/>
        <s v="83853 - History - Basketball"/>
        <s v="111706 - History - Basketball"/>
        <s v="15062 - History - Basketball"/>
        <s v="79948 - History - Basketball"/>
        <s v="84400 - History - Basketball"/>
        <s v="79299 - History - Basketball"/>
        <s v="19776 - History - Basketball"/>
        <s v="74392 - History - Basketball"/>
        <s v="83399 - History - Basketball"/>
        <s v="74383 - History - Basketball"/>
        <s v="100819 - History - Basketball"/>
        <s v="190857 - History - Basketball"/>
        <s v="120331 - History - Basketball"/>
        <s v="87580 - History - Basketball"/>
        <s v="79300 - History - Basketball"/>
        <s v="79950 - History - Basketball"/>
        <s v="84402 - History - Basketball"/>
        <s v="79298 - History - Basketball"/>
        <s v="145105 - Fiction - Tennis"/>
        <s v="92313 - Fiction - Tennis"/>
        <s v="121735 - Fiction - Tennis"/>
        <s v="47545 - Law - Athletics"/>
        <s v="122630 - Law - Athletics"/>
        <s v="159490 - Law - Athletics"/>
        <s v="120519 - Law - Athletics"/>
        <s v="159403 - Law - Athletics"/>
        <s v="159617 - Law - Athletics"/>
        <s v="85839 - Law - Athletics"/>
        <s v="85838 - Law - Athletics"/>
        <s v="8868 - Law - Athletics"/>
        <s v="116191 - Law - Athletics"/>
        <s v="90828 - Law - Athletics"/>
        <s v="26276 - Law - Athletics"/>
        <s v="29022 - Law - Athletics"/>
        <s v="111081 - Law - Athletics"/>
        <s v="26277 - Law - Athletics"/>
        <s v="100251 - Law - Athletics"/>
        <s v="87885 - Law - Athletics"/>
        <s v="29023 - Law - Athletics"/>
        <s v="100250 - Law - Athletics"/>
        <s v="116320 - Law - Athletics"/>
        <s v="122149 - Law - Athletics"/>
        <s v="107220 - Law - Athletics"/>
        <s v="122151 - Law - Athletics"/>
        <s v="115766 - Law - Athletics"/>
        <s v="114033 - Law - Athletics"/>
        <s v="149508 - Law - Athletics"/>
        <s v="107256 - Law - Athletics"/>
        <s v="121615 - Law - Athletics"/>
        <s v="107226 - Law - Athletics"/>
        <s v="120188 - Law - Athletics"/>
        <s v="107944 - Law - Athletics"/>
        <s v="70243 - Law - Athletics"/>
        <s v="149505 - Law - Athletics"/>
        <s v="101428 - Law - Athletics"/>
        <s v="121798 - Law - Athletics"/>
        <s v="88636 - Law - Athletics"/>
        <s v="111038 - Law - Athletics"/>
        <s v="75032 - Law - Athletics"/>
        <s v="70187 - Law - Athletics"/>
        <s v="147278 - Law - Athletics"/>
        <s v="114972 - Law - Athletics"/>
        <s v="75072 - Law - Athletics"/>
        <s v="114971 - Law - Athletics"/>
        <s v="99981 - Law - Athletics"/>
        <s v="86383 - Law - Athletics"/>
        <s v="89587 - Law - Athletics"/>
        <s v="89516 - Law - Athletics"/>
        <s v="89519 - Law - Athletics"/>
        <s v="75060 - Law - Athletics"/>
        <s v="111745 - Law - Athletics"/>
        <s v="70242 - Law - Athletics"/>
        <s v="75061 - Law - Athletics"/>
        <s v="69467 - Law - Athletics"/>
        <s v="121800 - Law - Athletics"/>
        <s v="110974 - Law - Athletics"/>
        <s v="114969 - Law - Athletics"/>
        <s v="111041 - Law - Athletics"/>
        <s v="82382 - Law - Athletics"/>
        <s v="89634 - Law - Athletics"/>
        <s v="82381 - Law - Athletics"/>
        <s v="107232 - Law - Athletics"/>
        <s v="70247 - Law - Athletics"/>
        <s v="107253 - Law - Athletics"/>
        <s v="102709 - Law - Athletics"/>
        <s v="75050 - Law - Athletics"/>
        <s v="111014 - Law - Athletics"/>
        <s v="120282 - Tech - Cycling"/>
        <s v="84512 - Tech - Cycling"/>
        <s v="77197 - Tech - Cycling"/>
        <s v="29650 - Tech - Cycling"/>
        <s v="4162 - Tech - Cycling"/>
        <s v="88214 - Tech - Cycling"/>
        <s v="73254 - Tech - Cycling"/>
        <s v="108204 - Tech - Cycling"/>
        <s v="9676 - Tech - Cycling"/>
        <s v="44412 - Tech - Cycling"/>
        <s v="73253 - Tech - Cycling"/>
        <s v="122516 - Tech - Cycling"/>
        <s v="70314 - Tech - Cycling"/>
        <s v="17644 - Tech - Cycling"/>
        <s v="118996 - Tech - Cycling"/>
        <s v="79199 - Tech - Cycling"/>
        <s v="128316 - Tech - Cycling"/>
        <s v="7933 - Tech - Cycling"/>
        <s v="85944 - Tech - Cycling"/>
        <s v="76665 - Tech - Cycling"/>
        <s v="102286 - Tech - Cycling"/>
        <s v="77199 - Tech - Cycling"/>
        <s v="11722 - Tech - Cycling"/>
        <s v="97949 - Tech - Cycling"/>
        <s v="9701 - Tech - Cycling"/>
        <s v="117615 - Tech - Cycling"/>
        <s v="10076 - Tech - Cycling"/>
        <s v="106572 - Tech - Cycling"/>
        <s v="10081 - Tech - Cycling"/>
        <s v="46424 - Tech - Cycling"/>
        <s v="118931 - Tech - Cycling"/>
        <s v="10078 - Tech - Cycling"/>
        <s v="75824 - Tech - Cycling"/>
        <s v="80433 - Tech - Cycling"/>
        <s v="106566 - Tech - Cycling"/>
        <s v="9702 - Tech - Cycling"/>
        <s v="122445 - Tech - Cycling"/>
        <s v="77178 - Tech - Cycling"/>
        <s v="10075 - Tech - Cycling"/>
        <s v="10079 - Tech - Cycling"/>
        <s v="111469 - Tech - Cycling"/>
        <s v="166324 - Tech - Cycling"/>
        <s v="7829 - Tech - Cycling"/>
        <s v="105507 - Tech - Cycling"/>
        <s v="12834 - Tech - Cycling"/>
        <s v="27984 - Tech - Cycling"/>
        <s v="29444 - Tech - Cycling"/>
        <s v="107878 - Tech - Cycling"/>
        <s v="122416 - Tech - Cycling"/>
        <s v="95628 - Tech - Cycling"/>
        <s v="9654 - Tech - Cycling"/>
        <s v="105609 - Tech - Cycling"/>
        <s v="118932 - Tech - Cycling"/>
        <s v="103976 - Tech - Cycling"/>
        <s v="107881 - Tech - Cycling"/>
        <s v="7830 - Tech - Cycling"/>
        <s v="159717 - Tech - Cycling"/>
        <s v="113449 - Tech - Cycling"/>
        <s v="79942 - Tech - Cycling"/>
        <s v="29437 - Tech - Cycling"/>
        <s v="99234 - Tech - Cycling"/>
        <s v="103985 - Tech - Cycling"/>
        <s v="97947 - Tech - Cycling"/>
        <s v="101083 - Tech - Cycling"/>
        <s v="111287 - Tech - Cycling"/>
        <s v="11728 - Tech - Cycling"/>
        <s v="111286 - Tech - Cycling"/>
        <s v="29426 - Tech - Cycling"/>
        <s v="93419 - Tech - Cycling"/>
        <s v="93418 - Tech - Cycling"/>
        <s v="79198 - Tech - Cycling"/>
        <s v="11720 - Tech - Cycling"/>
        <s v="122534 - Tech - Cycling"/>
        <s v="92209 - Tech - Cycling"/>
        <s v="93417 - Tech - Cycling"/>
        <s v="103197 - Tech - Cycling"/>
        <s v="118930 - Tech - Cycling"/>
        <s v="92199 - Tech - Cycling"/>
        <s v="29647 - Tech - Cycling"/>
        <s v="121857 - Tech - Cycling"/>
        <s v="129484 - Tech - Cycling"/>
        <s v="122405 - Tech - Cycling"/>
        <s v="108690 - Tech - Cycling"/>
        <s v="11726 - Tech - Cycling"/>
        <s v="109074 - Tech - Cycling"/>
        <s v="75818 - Tech - Cycling"/>
        <s v="10663 - Tech - Cycling"/>
        <s v="9667 - Tech - Cycling"/>
        <s v="109073 - Tech - Cycling"/>
        <s v="11731 - Tech - Cycling"/>
        <s v="155869 - Tech - Cycling"/>
        <s v="118982 - Tech - Cycling"/>
        <s v="29642 - Tech - Cycling"/>
        <s v="111774 - Tech - Cycling"/>
        <s v="117290 - Tech - Cycling"/>
        <s v="105593 - Tech - Cycling"/>
        <s v="70751 - Tech - Cycling"/>
        <s v="118929 - Tech - Cycling"/>
        <s v="70594 - Tech - Cycling"/>
        <s v="118270 - Tech - Cycling"/>
        <s v="20584 - Tech - Cycling"/>
        <s v="150541 - Tech - Cycling"/>
        <s v="12633 - Tech - Cycling"/>
        <s v="9666 - Tech - Cycling"/>
        <s v="79940 - Tech - Cycling"/>
        <s v="201198 - Tech - Cycling"/>
        <s v="117268 - Tech - Cycling"/>
        <s v="80623 - Tech - Cycling"/>
        <s v="9698 - Tech - Cycling"/>
        <s v="83102 - Tech - Cycling"/>
        <s v="118271 - Tech - Cycling"/>
        <s v="41659 - Tech - Cycling"/>
        <s v="81564 - Tech - Cycling"/>
        <s v="110132 - Tech - Cycling"/>
        <s v="17639 - Tech - Cycling"/>
        <s v="201025 - Tech - Cycling"/>
        <s v="70589 - Tech - Cycling"/>
        <s v="75825 - Tech - Cycling"/>
        <s v="9699 - Tech - Cycling"/>
        <s v="122448 - Tech - Cycling"/>
        <s v="105506 - Tech - Cycling"/>
        <s v="142304 - Tech - Cycling"/>
        <s v="105505 - Tech - Cycling"/>
        <s v="122502 - Tech - Cycling"/>
        <s v="118264 - Tech - Cycling"/>
        <s v="17632 - Tech - Cycling"/>
        <s v="108790 - Tech - Cycling"/>
        <s v="92200 - Tech - Cycling"/>
        <s v="17634 - Tech - Cycling"/>
        <s v="122522 - Tech - Cycling"/>
        <s v="122505 - Tech - Cycling"/>
        <s v="93416 - Tech - Cycling"/>
        <s v="93406 - Tech - Cycling"/>
        <s v="69329 - Tech - Cycling"/>
        <s v="155953 - Tech - Cycling"/>
        <s v="11721 - Tech - Cycling"/>
        <s v="41654 - Tech - Cycling"/>
        <s v="92204 - Tech - Cycling"/>
        <s v="105572 - Tech - Cycling"/>
        <s v="110141 - Tech - Cycling"/>
        <s v="158471 - Tech - Cycling"/>
        <s v="120876 - Law - Swimming"/>
        <s v="87437 - Law - Swimming"/>
        <s v="121462 - Law - Swimming"/>
        <s v="69471 - Law - Swimming"/>
        <s v="114904 - Law - Swimming"/>
        <s v="113910 - Law - Swimming"/>
        <s v="18100 - Law - Swimming"/>
        <s v="114963 - Law - Swimming"/>
        <s v="121495 - Law - Swimming"/>
        <s v="83041 - Law - Swimming"/>
        <s v="121499 - Law - Swimming"/>
        <s v="108528 - Law - Swimming"/>
        <s v="69547 - Law - Swimming"/>
        <s v="18126 - Law - Swimming"/>
        <s v="121812 - Law - Swimming"/>
        <s v="81497 - Law - Swimming"/>
        <s v="121500 - Law - Swimming"/>
        <s v="45903 - Law - Swimming"/>
        <s v="121813 - Law - Swimming"/>
        <s v="108512 - Law - Swimming"/>
        <s v="70189 - Law - Swimming"/>
        <s v="194057 - Law - Swimming"/>
        <s v="121460 - Law - Swimming"/>
        <s v="121950 - Law - Swimming"/>
        <s v="121811 - Law - Swimming"/>
        <s v="86400 - Law - Swimming"/>
        <s v="108527 - Law - Swimming"/>
        <s v="88622 - Law - Swimming"/>
        <s v="121803 - Law - Swimming"/>
        <s v="87418 - Law - Swimming"/>
        <s v="26275 - Law - Swimming"/>
        <s v="119229 - Law - Swimming"/>
        <s v="74881 - Law - Swimming"/>
        <s v="86469 - Law - Swimming"/>
        <s v="120798 - Law - Swimming"/>
        <s v="86479 - Law - Swimming"/>
        <s v="80411 - Law - Swimming"/>
        <s v="120797 - Law - Swimming"/>
        <s v="86480 - Law - Swimming"/>
        <s v="86478 - Law - Swimming"/>
        <s v="118887 - Law - Swimming"/>
        <s v="121802 - Law - Swimming"/>
        <s v="87440 - Law - Swimming"/>
        <s v="86477 - Law - Swimming"/>
        <s v="83059 - Law - Swimming"/>
        <s v="86449 - Law - Swimming"/>
        <s v="86416 - Law - Swimming"/>
        <s v="83064 - Law - Swimming"/>
        <s v="108514 - Law - Swimming"/>
        <s v="86454 - Law - Swimming"/>
        <s v="143238 - Law - Swimming"/>
        <s v="107070 - Law - Swimming"/>
        <s v="114467 - Law - Swimming"/>
        <s v="143237 - Law - Swimming"/>
        <s v="86417 - Law - Swimming"/>
        <s v="147317 - Law - Swimming"/>
        <s v="122177 - Law - Swimming"/>
        <s v="114909 - Law - Swimming"/>
        <s v="119230 - Law - Swimming"/>
        <s v="107109 - Law - Swimming"/>
        <s v="121461 - Law - Swimming"/>
        <s v="86413 - Law - Swimming"/>
        <s v="108511 - Law - Swimming"/>
        <s v="120877 - Law - Swimming"/>
        <s v="194052 - Law - Swimming"/>
        <s v="121493 - Law - Swimming"/>
        <s v="121479 - Law - Swimming"/>
        <s v="79011 - Law - Swimming"/>
        <s v="86470 - Law - Swimming"/>
        <s v="194997 - Law - Swimming"/>
        <s v="108515 - Law - Swimming"/>
        <s v="69346 - Law - Swimming"/>
        <s v="119971 - Law - Swimming"/>
        <s v="107274 - Law - Swimming"/>
        <s v="69451 - Law - Swimming"/>
        <s v="87416 - Law - Swimming"/>
        <s v="23667 - Law - Swimming"/>
        <s v="112770 - Law - Swimming"/>
        <s v="116186 - Law - Swimming"/>
        <s v="95413 - Law - Swimming"/>
        <s v="116184 - Law - Swimming"/>
        <s v="95412 - Law - Swimming"/>
        <s v="95414 - Law - Swimming"/>
        <s v="24088 - Law - Swimming"/>
        <s v="75156 - Law - Swimming"/>
        <s v="6216 - Law - Swimming"/>
        <s v="149867 - Law - Swimming"/>
        <s v="44037 - Law - Swimming"/>
        <s v="83029 - Law - Swimming"/>
        <s v="100395 - Law - Swimming"/>
        <s v="110437 - Law - Swimming"/>
        <s v="29430 - Law - Swimming"/>
        <s v="95416 - Law - Swimming"/>
        <s v="108493 - Law - Swimming"/>
        <s v="109293 - Law - Swimming"/>
        <s v="73581 - Law - Swimming"/>
        <s v="100396 - Law - Swimming"/>
        <s v="45917 - Law - Swimming"/>
        <s v="83420 - Law - Swimming"/>
        <s v="101591 - Law - Swimming"/>
        <s v="116181 - Law - Swimming"/>
        <s v="109300 - Law - Swimming"/>
        <s v="46160 - Law - Swimming"/>
        <s v="116202 - Law - Swimming"/>
        <s v="106884 - Law - Swimming"/>
        <s v="98598 - Law - Swimming"/>
        <s v="78515 - Law - Swimming"/>
        <s v="46154 - Law - Swimming"/>
        <s v="23668 - Law - Swimming"/>
        <s v="107900 - History - Running"/>
        <s v="85037 - History - Running"/>
        <s v="49182 - History - Running"/>
        <s v="69111 - History - Running"/>
        <s v="80054 - History - Running"/>
        <s v="79782 - History - Running"/>
        <s v="80045 - History - Running"/>
        <s v="69108 - History - Running"/>
        <s v="69112 - History - Running"/>
        <s v="121992 - History - Running"/>
        <s v="80048 - History - Running"/>
        <s v="121982 - History - Running"/>
        <s v="121974 - History - Running"/>
        <s v="69110 - History - Running"/>
        <s v="23540 - History - Running"/>
        <s v="69123 - History - Running"/>
        <s v="121984 - History - Running"/>
        <s v="121979 - History - Running"/>
        <s v="80043 - History - Running"/>
        <s v="100326 - History - Running"/>
        <s v="69117 - History - Running"/>
        <s v="100334 - History - Running"/>
        <s v="69120 - History - Running"/>
        <s v="69119 - History - Running"/>
        <s v="69118 - History - Running"/>
        <s v="80044 - History - Running"/>
        <s v="23556 - History - Running"/>
        <s v="69114 - History - Running"/>
        <s v="79778 - History - Running"/>
        <s v="100323 - History - Running"/>
        <s v="69116 - History - Running"/>
        <s v="68938 - History - Running"/>
        <s v="121987 - History - Running"/>
        <s v="69113 - History - Running"/>
        <s v="80053 - History - Running"/>
        <s v="121986 - History - Running"/>
        <s v="121988 - History - Running"/>
        <s v="121990 - History - Running"/>
        <s v="68941 - History - Running"/>
        <s v="69122 - History - Running"/>
        <s v="80049 - History - Running"/>
        <s v="121971 - History - Running"/>
        <s v="68945 - History - Running"/>
        <s v="79780 - History - Running"/>
        <s v="80056 - History - Running"/>
        <s v="80040 - History - Running"/>
        <s v="114480 - History - Running"/>
        <s v="111922 - History - Running"/>
        <s v="111924 - History - Running"/>
        <s v="80047 - History - Running"/>
        <s v="69121 - History - Running"/>
        <s v="68939 - History - Running"/>
        <s v="69124 - History - Running"/>
        <s v="23552 - History - Running"/>
        <s v="68943 - History - Running"/>
        <s v="69115 - History - Running"/>
        <s v="81122 - History - Running"/>
        <s v="84672 - History - Running"/>
        <s v="81127 - History - Running"/>
        <s v="87858 - History - Running"/>
        <s v="84673 - History - Running"/>
        <s v="81064 - History - Running"/>
        <s v="81139 - History - Running"/>
        <s v="81141 - History - Running"/>
        <s v="81054 - History - Running"/>
        <s v="118352 - History - Running"/>
        <s v="81091 - History - Running"/>
        <s v="81025 - History - Running"/>
        <s v="81129 - History - Running"/>
        <s v="81043 - History - Running"/>
        <s v="81120 - History - Running"/>
        <s v="81109 - History - Running"/>
        <s v="81082 - History - Running"/>
        <s v="81036 - History - Running"/>
        <s v="81690 - History - Running"/>
        <s v="87849 - History - Running"/>
        <s v="81094 - History - Running"/>
        <s v="202726 - History - Running"/>
        <s v="101516 - History - Running"/>
        <s v="84332 - History - Running"/>
        <s v="16959 - History - Running"/>
        <s v="87762 - History - Running"/>
        <s v="16952 - History - Running"/>
        <s v="16958 - History - Running"/>
        <s v="16950 - History - Running"/>
        <s v="102266 - History - Running"/>
        <s v="202746 - History - Running"/>
        <s v="101519 - History - Running"/>
        <s v="81688 - History - Running"/>
        <s v="120365 - History - Running"/>
        <s v="3438 - History - Running"/>
        <s v="102262 - History - Running"/>
        <s v="87764 - History - Running"/>
        <s v="3437 - History - Running"/>
        <s v="111017 - History - Running"/>
        <s v="102264 - History - Running"/>
        <s v="18088 - History - Running"/>
        <s v="87836 - History - Running"/>
        <s v="87804 - History - Running"/>
        <s v="108207 - Finance - Fitness Training"/>
        <s v="111043 - Finance - Fitness Training"/>
        <s v="100223 - Finance - Fitness Training"/>
        <s v="92161 - Finance - Coaching"/>
        <s v="113405 - Finance - Coaching"/>
        <s v="120817 - Finance - Coaching"/>
        <s v="14520 - Finance - Coaching"/>
        <s v="104928 - Finance - Coaching"/>
        <s v="14517 - Finance - Coaching"/>
        <s v="122563 - Finance - Coaching"/>
        <s v="96404 - Finance - Coaching"/>
        <s v="121469 - Finance - Coaching"/>
        <s v="122579 - Finance - Coaching"/>
        <s v="113407 - Finance - Coaching"/>
        <s v="91995 - Finance - Coaching"/>
        <s v="81178 - Arts - Sports Psychology"/>
        <s v="12918 - Arts - Sports Psychology"/>
        <s v="122411 - Arts - Sports Psychology"/>
        <s v="81194 - Arts - Sports Psychology"/>
        <s v="71876 - Arts - Sports Psychology"/>
        <s v="129493 - Arts - Sports Psychology"/>
        <s v="81190 - Arts - Sports Psychology"/>
        <s v="71875 - Arts - Sports Psychology"/>
        <s v="81198 - Arts - Sports Psychology"/>
        <s v="188723 - Arts - Sports Psychology"/>
        <s v="115053 - Arts - Sports Psychology"/>
        <s v="104609 - Arts - Sports Psychology"/>
        <s v="12916 - Arts - Sports Psychology"/>
        <s v="129488 - Arts - Sports Psychology"/>
        <s v="78566 - Arts - Sports Psychology"/>
        <s v="15090 - Arts - Sports Psychology"/>
        <s v="81209 - Arts - Sports Psychology"/>
        <s v="108141 - Arts - Sports Psychology"/>
        <s v="12914 - Arts - Sports Psychology"/>
        <s v="129492 - Arts - Sports Psychology"/>
        <s v="120473 - Arts - Sports Psychology"/>
        <s v="12924 - Arts - Sports Psychology"/>
        <s v="12920 - Arts - Sports Psychology"/>
        <s v="81200 - Arts - Sports Psychology"/>
        <s v="122410 - Arts - Sports Psychology"/>
        <s v="81720 - Arts - Sports Psychology"/>
        <s v="12923 - Arts - Sports Psychology"/>
        <s v="81173 - Arts - Sports Psychology"/>
        <s v="12910 - Arts - Sports Psychology"/>
        <s v="81193 - Arts - Sports Psychology"/>
        <s v="12917 - Arts - Sports Psychology"/>
        <s v="129491 - Arts - Sports Psychology"/>
        <s v="15104 - Arts - Sports Psychology"/>
        <s v="122407 - Arts - Sports Psychology"/>
        <s v="81191 - Arts - Sports Psychology"/>
        <s v="188725 - Arts - Sports Psychology"/>
        <s v="188724 - Arts - Sports Psychology"/>
        <s v="12911 - Arts - Sports Psychology"/>
        <s v="21612 - Arts - Sports Psychology"/>
        <s v="21603 - Arts - Sports Psychology"/>
        <s v="81218 - Arts - Sports Psychology"/>
        <s v="70543 - Arts - Sports Psychology"/>
        <s v="80549 - Arts - Sports Psychology"/>
        <s v="79404 - Arts - Sports Psychology"/>
        <s v="110596 - Arts - Sports Psychology"/>
        <s v="70547 - Arts - Sports Psychology"/>
        <s v="11410 - Arts - Sports Psychology"/>
        <s v="116632 - Arts - Sports Psychology"/>
        <s v="80546 - Arts - Sports Psychology"/>
        <s v="80572 - Arts - Sports Psychology"/>
        <s v="70558 - Arts - Sports Psychology"/>
        <s v="79405 - Arts - Sports Psychology"/>
        <s v="80543 - Arts - Sports Psychology"/>
        <s v="14041 - Arts - Sports Psychology"/>
        <s v="70559 - Arts - Sports Psychology"/>
        <s v="80582 - Arts - Sports Psychology"/>
        <s v="90004 - Arts - Sports Psychology"/>
        <s v="117907 - Arts - Sports Psychology"/>
        <s v="70542 - Arts - Sports Psychology"/>
        <s v="81210 - Arts - Sports Psychology"/>
        <s v="81211 - Arts - Sports Psychology"/>
        <s v="80573 - Arts - Sports Psychology"/>
        <s v="117909 - Arts - Sports Psychology"/>
        <s v="80584 - Arts - Sports Psychology"/>
        <s v="80550 - Arts - Sports Psychology"/>
        <s v="81227 - Arts - Sports Psychology"/>
        <s v="80578 - Arts - Sports Psychology"/>
        <s v="110595 - Arts - Sports Psychology"/>
        <s v="70557 - Arts - Sports Psychology"/>
        <s v="147284 - Arts - Sports Psychology"/>
        <s v="70553 - Arts - Sports Psychology"/>
        <s v="81212 - Arts - Sports Psychology"/>
        <s v="120427 - Arts - Sports Psychology"/>
        <s v="46049 - Law - Sports Nutrition"/>
        <s v="46039 - Law - Sports Nutrition"/>
        <s v="46037 - Law - Sports Nutrition"/>
        <s v="88965 - Law - Sports Nutrition"/>
        <s v="102614 - Law - Sports Nutrition"/>
        <s v="122704 - Law - Sports Nutrition"/>
        <s v="164902 - Law - Sports Nutrition"/>
        <s v="117783 - Law - Sports Nutrition"/>
        <s v="114278 - Law - Sports Nutrition"/>
        <s v="46056 - Law - Sports Nutrition"/>
        <s v="5703 - Law - Sports Nutrition"/>
        <s v="102607 - Law - Sports Nutrition"/>
        <s v="87913 - Law - Sports Nutrition"/>
        <s v="149513 - Law - Sports Nutrition"/>
        <s v="87909 - Law - Sports Nutrition"/>
        <s v="101897 - Law - Sports Nutrition"/>
        <s v="121675 - Law - Sports Nutrition"/>
        <s v="99349 - Law - Sports Nutrition"/>
        <s v="117785 - Law - Sports Nutrition"/>
        <s v="120558 - Law - Sports Nutrition"/>
        <s v="99351 - Law - Sports Nutrition"/>
        <s v="113058 - Law - Sports Nutrition"/>
        <s v="118917 - Law - Sports Nutrition"/>
        <s v="164891 - Law - Sports Nutrition"/>
        <s v="101901 - Law - Sports Nutrition"/>
        <s v="197164 - Law - Sports Nutrition"/>
        <s v="114277 - Law - Sports Nutrition"/>
        <s v="86913 - Law - Sports Nutrition"/>
        <s v="88971 - Law - Sports Nutrition"/>
        <s v="188840 - Law - Sports Nutrition"/>
        <s v="95652 - Law - Sports Nutrition"/>
        <s v="68627 - Law - Sports Nutrition"/>
        <s v="46043 - Law - Sports Nutrition"/>
        <s v="60592 - Law - Sports Nutrition"/>
        <s v="99350 - Law - Sports Nutrition"/>
        <s v="78983 - Law - Sports Nutrition"/>
        <s v="188845 - Law - Sports Nutrition"/>
        <s v="117787 - Law - Sports Nutrition"/>
        <s v="119986 - Law - Sports Nutrition"/>
        <s v="188841 - Law - Sports Nutrition"/>
        <s v="99348 - Law - Sports Nutrition"/>
        <s v="78978 - Law - Sports Nutrition"/>
        <s v="120556 - Law - Sports Nutrition"/>
        <s v="80254 - Law - Sports Nutrition"/>
        <s v="121911 - Arts - Extreme Sports"/>
        <s v="120328 - Arts - Extreme Sports"/>
        <s v="122702 - Arts - Extreme Sports"/>
        <s v="92542 - Arts - Extreme Sports"/>
        <s v="15423 - Arts - Extreme Sports"/>
        <s v="111797 - Arts - Extreme Sports"/>
        <s v="112626 - Arts - Extreme Sports"/>
        <s v="12925 - Arts - Extreme Sports"/>
        <s v="107034 - Arts - Extreme Sports"/>
        <s v="88319 - Arts - Extreme Sports"/>
        <s v="3453 - Arts - Extreme Sports"/>
        <s v="121425 - Arts - Extreme Sports"/>
        <s v="10561 - Arts - Extreme Sports"/>
        <s v="90294 - Arts - Extreme Sports"/>
        <s v="70804 - Arts - Extreme Sports"/>
        <s v="81237 - Arts - Extreme Sports"/>
        <s v="47564 - Arts - Extreme Sports"/>
        <s v="24055 - Arts - Extreme Sports"/>
        <s v="48637 - Arts - Extreme Sports"/>
        <s v="3447 - Arts - Extreme Sports"/>
        <s v="117921 - Arts - Extreme Sports"/>
        <s v="128322 - Arts - Extreme Sports"/>
        <s v="42207 - Arts - Extreme Sports"/>
        <s v="108394 - Arts - Extreme Sports"/>
        <s v="119967 - Arts - Extreme Sports"/>
        <s v="81235 - Arts - Extreme Sports"/>
        <s v="24053 - Arts - Extreme Sports"/>
        <s v="116936 - Arts - Extreme Sports"/>
        <s v="44268 - Arts - Extreme Sports"/>
        <s v="111946 - Arts - Extreme Sports"/>
        <s v="81234 - Arts - Extreme Sports"/>
        <s v="24038 - Arts - Extreme Sports"/>
        <s v="44882 - Arts - Extreme Sports"/>
        <s v="44266 - Arts - Extreme Sports"/>
        <s v="3452 - Arts - Extreme Sports"/>
        <s v="118569 - Arts - Extreme Sports"/>
        <s v="84378 - Arts - Extreme Sports"/>
        <s v="112731 - Arts - Extreme Sports"/>
        <s v="166201 - Tech - Winter Sports"/>
        <s v="48495 - Tech - Winter Sports"/>
        <s v="10383 - Tech - Winter Sports"/>
        <s v="116284 - Tech - Winter Sports"/>
        <s v="86543 - Tech - Winter Sports"/>
        <s v="21165 - Tech - Winter Sports"/>
        <s v="10309 - Tech - Winter Sports"/>
        <s v="10367 - Tech - Winter Sports"/>
        <s v="86545 - Tech - Winter Sports"/>
        <s v="86544 - Tech - Winter Sports"/>
        <s v="10384 - Tech - Winter Sports"/>
        <s v="79314 - Tech - Winter Sports"/>
        <s v="79311 - Tech - Winter Sports"/>
        <s v="118249 - Tech - Winter Sports"/>
        <s v="128420 - Tech - Winter Sports"/>
        <s v="120692 - Tech - Winter Sports"/>
        <s v="122464 - Tech - Winter Sports"/>
        <s v="79762 - Tech - Winter Sports"/>
        <s v="79315 - Tech - Winter Sports"/>
        <s v="98941 - Tech - Winter Sports"/>
        <s v="118245 - Tech - Winter Sports"/>
        <s v="122333 - Tech - Winter Sports"/>
        <s v="121901 - Tech - Winter Sports"/>
        <s v="79316 - Tech - Winter Sports"/>
        <s v="109899 - Tech - Winter Sports"/>
        <s v="70570 - Tech - Winter Sports"/>
        <s v="79364 - Tech - Winter Sports"/>
        <s v="113103 - Tech - Winter Sports"/>
        <s v="200581 - Tech - Winter Sports"/>
        <s v="91490 - Tech - Winter Sports"/>
        <s v="79320 - Tech - Winter Sports"/>
        <s v="122331 - Tech - Winter Sports"/>
        <s v="79921 - Tech - Winter Sports"/>
        <s v="128421 - Tech - Winter Sports"/>
        <s v="80421 - Tech - Winter Sports"/>
        <s v="121867 - Tech - Winter Sports"/>
        <s v="122501 - Tech - Winter Sports"/>
        <s v="44531 - Tech - Winter Sports"/>
        <s v="118153 - Tech - Winter Sports"/>
        <s v="118244 - Tech - Winter Sports"/>
        <s v="46974 - Tech - Winter Sports"/>
        <s v="69232 - Tech - Winter Sports"/>
        <s v="117461 - Tech - Winter Sports"/>
        <s v="122324 - Tech - Winter Sports"/>
        <s v="119023 - Tech - Winter Sports"/>
        <s v="70600 - Tech - Winter Sports"/>
        <s v="10689 - Tech - Winter Sports"/>
        <s v="158427 - Tech - Winter Sports"/>
        <s v="122462 - Tech - Winter Sports"/>
        <s v="155951 - Tech - Winter Sports"/>
        <s v="79338 - Tech - Winter Sports"/>
        <s v="79919 - Tech - Winter Sports"/>
        <s v="117057 - Tech - Winter Sports"/>
        <s v="122334 - Tech - Winter Sports"/>
        <s v="122648 - Tech - Winter Sports"/>
        <s v="128418 - Tech - Winter Sports"/>
        <s v="109883 - Tech - Winter Sports"/>
        <s v="119027 - Tech - Winter Sports"/>
        <s v="30522 - Tech - Winter Sports"/>
        <s v="118155 - Tech - Winter Sports"/>
        <s v="188068 - Tech - Winter Sports"/>
        <s v="92613 - Tech - Winter Sports"/>
        <s v="69234 - Tech - Winter Sports"/>
        <s v="109938 - Tech - Winter Sports"/>
        <s v="120307 - Tech - Winter Sports"/>
        <s v="118906 - Tech - Winter Sports"/>
        <s v="128309 - Tech - Winter Sports"/>
        <s v="1986 - Tech - Winter Sports"/>
        <s v="117749 - Tech - Winter Sports"/>
        <s v="117748 - Tech - Winter Sports"/>
        <s v="1962 - Tech - Winter Sports"/>
        <s v="109994 - Tech - Winter Sports"/>
        <s v="69364 - Tech - Winter Sports"/>
        <s v="69365 - Tech - Winter Sports"/>
        <s v="46990 - Tech - Winter Sports"/>
        <s v="11428 - Tech - Winter Sports"/>
        <s v="122318 - Tech - Winter Sports"/>
        <s v="182194 - Tech - Winter Sports"/>
        <s v="147256 - Tech - Winter Sports"/>
        <s v="5079 - Tech - Winter Sports"/>
        <s v="92621 - Tech - Winter Sports"/>
        <s v="11003 - Tech - Winter Sports"/>
        <s v="117560 - Tech - Winter Sports"/>
        <s v="188368 - Tech - Winter Sports"/>
        <s v="124765 - Tech - Winter Sports"/>
        <s v="8726 - Tech - Winter Sports"/>
        <s v="118158 - Tech - Winter Sports"/>
        <s v="121871 - Tech - Winter Sports"/>
        <s v="121876 - Tech - Winter Sports"/>
        <s v="121877 - Tech - Winter Sports"/>
        <s v="121879 - Tech - Winter Sports"/>
        <s v="121874 - Tech - Winter Sports"/>
        <s v="121893 - Tech - Winter Sports"/>
        <s v="121892 - Tech - Winter Sports"/>
        <s v="102678 - Tech - Winter Sports"/>
        <s v="121887 - Tech - Winter Sports"/>
        <s v="21344 - Tech - Winter Sports"/>
        <s v="121873 - Tech - Winter Sports"/>
        <s v="108833 - Tech - Winter Sports"/>
        <s v="121882 - Tech - Winter Sports"/>
        <s v="91492 - Tech - Winter Sports"/>
        <s v="111392 - Tech - Winter Sports"/>
        <s v="108835 - Tech - Winter Sports"/>
        <s v="118111 - Tech - Winter Sports"/>
        <s v="121872 - Tech - Winter Sports"/>
        <s v="112885 - Tech - Winter Sports"/>
        <s v="108738 - Tech - Winter Sports"/>
        <s v="21338 - Tech - Winter Sports"/>
        <s v="76513 - Tech - Winter Sports"/>
        <s v="76514 - Tech - Winter Sports"/>
        <s v="21339 - Tech - Winter Sports"/>
        <s v="75436 - Tech - Winter Sports"/>
        <s v="84092 - Tech - Winter Sports"/>
        <s v="86943 - Tech - Winter Sports"/>
        <s v="8688 - Tech - Winter Sports"/>
        <s v="117967 - Tech - Winter Sports"/>
        <s v="23061 - Tech - Winter Sports"/>
        <s v="10688 - Tech - Winter Sports"/>
        <s v="8690 - Tech - Winter Sports"/>
        <s v="79808 - Tech - Winter Sports"/>
        <s v="44797 - Tech - Winter Sports"/>
        <s v="79807 - Tech - Winter Sports"/>
        <s v="11426 - Tech - Winter Sports"/>
        <s v="45059 - Tech - Winter Sports"/>
        <s v="200582 - Tech - Winter Sports"/>
        <s v="143825 - Tech - Winter Sports"/>
        <s v="85232 - Tech - Winter Sports"/>
        <s v="79806 - Tech - Winter Sports"/>
        <s v="46991 - Tech - Winter Sports"/>
        <s v="69360 - Tech - Winter Sports"/>
        <s v="110441 - Tech - Winter Sports"/>
        <s v="120781 - Tech - Winter Sports"/>
        <s v="79809 - Tech - Winter Sports"/>
        <s v="45057 - Tech - Winter Sports"/>
        <s v="79805 - Tech - Winter Sports"/>
        <s v="45707 - Tech - Winter Sports"/>
        <s v="117282 - Tech - Winter Sports"/>
        <s v="30503 - Tech - Winter Sports"/>
        <s v="187336 - Tech - Winter Sports"/>
        <s v="82427 - Tech - Winter Sports"/>
        <s v="11000 - Tech - Winter Sports"/>
        <s v="117274 - Tech - Winter Sports"/>
        <s v="117445 - Tech - Winter Sports"/>
        <s v="103246 - Tech - Winter Sports"/>
        <s v="92626 - Tech - Winter Sports"/>
        <s v="79352 - Tech - Winter Sports"/>
        <s v="128315 - Tech - Winter Sports"/>
        <s v="117272 - Tech - Winter Sports"/>
        <s v="116770 - Tech - Winter Sports"/>
        <s v="118012 - Tech - Winter Sports"/>
        <s v="117306 - Tech - Winter Sports"/>
        <s v="117056 - Tech - Winter Sports"/>
        <s v="188066 - Tech - Winter Sports"/>
        <s v="181147 - Tech - Winter Sports"/>
        <s v="79917 - Tech - Winter Sports"/>
        <s v="110282 - Tech - Winter Sports"/>
        <s v="200526 - Tech - Winter Sports"/>
        <s v="193197 - Tech - Winter Sports"/>
        <s v="79820 - Tech - Winter Sports"/>
        <s v="122327 - Tech - Winter Sports"/>
        <s v="117956 - Tech - Winter Sports"/>
        <s v="86182 - Tech - Winter Sports"/>
        <s v="46989 - Tech - Winter Sports"/>
        <s v="46976 - Tech - Winter Sports"/>
        <s v="79354 - Tech - Winter Sports"/>
        <s v="114268 - Tech - Winter Sports"/>
        <s v="10685 - Tech - Winter Sports"/>
        <s v="118157 - Tech - Winter Sports"/>
        <s v="122322 - Tech - Winter Sports"/>
        <s v="27509 - Tech - Winter Sports"/>
        <s v="110852 - Tech - Winter Sports"/>
        <s v="128312 - Tech - Winter Sports"/>
        <s v="79355 - Tech - Winter Sports"/>
        <s v="86185 - Tech - Winter Sports"/>
        <s v="77138 - Tech - Winter Sports"/>
        <s v="86183 - Tech - Winter Sports"/>
        <s v="122595 - Tech - Winter Sports"/>
        <s v="70338 - Tech - Winter Sports"/>
        <s v="114273 - Tech - Winter Sports"/>
        <s v="110849 - Tech - Winter Sports"/>
        <s v="45056 - Tech - Winter Sports"/>
        <s v="92633 - Tech - Winter Sports"/>
        <s v="111011 - Tech - Winter Sports"/>
        <s v="11002 - Tech - Winter Sports"/>
        <s v="80661 - Tech - Winter Sports"/>
        <s v="128310 - Tech - Winter Sports"/>
        <s v="182193 - Tech - Winter Sports"/>
        <s v="116771 - Tech - Winter Sports"/>
        <s v="103245 - Tech - Winter Sports"/>
        <s v="1961 - Tech - Winter Sports"/>
        <s v="128314 - Tech - Winter Sports"/>
        <s v="109993 - Tech - Winter Sports"/>
        <s v="117270 - Tech - Winter Sports"/>
        <s v="42748 - Tech - Winter Sports"/>
        <s v="110447 - Tech - Winter Sports"/>
        <s v="46979 - Tech - Winter Sports"/>
        <s v="1296 - Tech - Winter Sports"/>
        <s v="109973 - Tech - Winter Sports"/>
        <s v="155949 - Tech - Winter Sports"/>
        <s v="187346 - Tech - Winter Sports"/>
        <s v="46978 - Tech - Winter Sports"/>
        <s v="110283 - Tech - Winter Sports"/>
        <s v="147257 - Tech - Winter Sports"/>
        <s v="182191 - Tech - Winter Sports"/>
        <s v="9722 - Tech - Winter Sports"/>
        <s v="124772 - Tech - Winter Sports"/>
        <s v="8681 - Tech - Winter Sports"/>
        <s v="5077 - Tech - Winter Sports"/>
        <s v="114274 - Tech - Winter Sports"/>
        <s v="1297 - Tech - Winter Sports"/>
        <s v="46988 - Tech - Winter Sports"/>
        <s v="92623 - Tech - Winter Sports"/>
        <s v="79761 - Tech - Winter Sports"/>
        <s v="11001 - Tech - Winter Sports"/>
        <s v="9731 - Tech - Winter Sports"/>
        <s v="122316 - Tech - Winter Sports"/>
        <s v="147255 - Tech - Winter Sports"/>
        <s v="8675 - Tech - Winter Sports"/>
        <s v="121900 - Tech - Winter Sports"/>
        <s v="124764 - Tech - Winter Sports"/>
        <s v="124774 - Tech - Winter Sports"/>
        <s v="79353 - Tech - Winter Sports"/>
        <s v="82703 - Tech - Winter Sports"/>
        <s v="71820 - Tech - Winter Sports"/>
        <s v="128311 - Tech - Winter Sports"/>
        <s v="70595 - Tech - Winter Sports"/>
        <s v="8676 - Tech - Winter Sports"/>
        <s v="128313 - Tech - Winter Sports"/>
        <s v="45479 - Tech - Constitutional Law"/>
        <s v="45481 - Tech - Constitutional Law"/>
        <s v="80001 - Tech - Constitutional Law"/>
        <s v="10068 - Tech - Constitutional Law"/>
        <s v="10054 - Tech - Constitutional Law"/>
        <s v="10070 - Tech - Constitutional Law"/>
        <s v="45480 - Tech - Constitutional Law"/>
        <s v="92791 - Tech - Constitutional Law"/>
        <s v="188722 - Tech - Constitutional Law"/>
        <s v="10061 - Tech - Constitutional Law"/>
        <s v="188708 - Tech - Constitutional Law"/>
        <s v="110927 - Tech - Constitutional Law"/>
        <s v="188729 - Tech - Constitutional Law"/>
        <s v="120969 - Tech - Constitutional Law"/>
        <s v="188728 - Tech - Constitutional Law"/>
        <s v="188663 - Tech - Constitutional Law"/>
        <s v="188727 - Tech - Constitutional Law"/>
        <s v="9741 - Tech - Constitutional Law"/>
        <s v="70406 - Medical - Criminal Law"/>
        <s v="112114 - Medical - Criminal Law"/>
        <s v="70405 - Medical - Criminal Law"/>
        <s v="20405 - Medical - Criminal Law"/>
        <s v="121308 - Self-Help - Civil Law"/>
        <s v="121311 - Self-Help - Civil Law"/>
        <s v="124748 - Arts - Commercial Law"/>
        <s v="104315 - Arts - Commercial Law"/>
        <s v="104314 - Arts - Commercial Law"/>
        <s v="69287 - Arts - Commercial Law"/>
        <s v="5789 - Arts - Commercial Law"/>
        <s v="14013 - Arts - Commercial Law"/>
        <s v="14015 - Arts - Commercial Law"/>
        <s v="69291 - Arts - Commercial Law"/>
        <s v="26057 - Arts - Commercial Law"/>
        <s v="14022 - Arts - Commercial Law"/>
        <s v="80109 - Arts - Commercial Law"/>
        <s v="121686 - Arts - Commercial Law"/>
        <s v="60365 - Arts - Commercial Law"/>
        <s v="86488 - Arts - Commercial Law"/>
        <s v="122530 - Arts - Commercial Law"/>
        <s v="60526 - Arts - Commercial Law"/>
        <s v="116807 - Arts - Commercial Law"/>
        <s v="80030 - Arts - Commercial Law"/>
        <s v="122529 - Arts - Commercial Law"/>
        <s v="14042 - Arts - Commercial Law"/>
        <s v="14043 - Arts - Commercial Law"/>
        <s v="9157 - Arts - Commercial Law"/>
        <s v="149968 - Arts - Commercial Law"/>
        <s v="47299 - Arts - Commercial Law"/>
        <s v="109275 - Arts - Commercial Law"/>
        <s v="122768 - Arts - Commercial Law"/>
        <s v="80400 - Arts - Commercial Law"/>
        <s v="8803 - Arts - Commercial Law"/>
        <s v="80085 - Arts - Commercial Law"/>
        <s v="47379 - Arts - Commercial Law"/>
        <s v="47366 - Arts - Commercial Law"/>
        <s v="47376 - Arts - Commercial Law"/>
        <s v="95799 - Arts - Commercial Law"/>
        <s v="112733 - Arts - Commercial Law"/>
        <s v="47050 - Arts - Commercial Law"/>
        <s v="112449 - Arts - Commercial Law"/>
        <s v="14025 - Arts - Commercial Law"/>
        <s v="26054 - Arts - Commercial Law"/>
        <s v="60366 - Arts - Commercial Law"/>
        <s v="116805 - Arts - Commercial Law"/>
        <s v="8804 - Arts - Commercial Law"/>
        <s v="48470 - Arts - Commercial Law"/>
        <s v="86485 - Arts - Commercial Law"/>
        <s v="73872 - Arts - Commercial Law"/>
        <s v="72852 - Arts - Commercial Law"/>
        <s v="85856 - Arts - Commercial Law"/>
        <s v="14018 - Arts - Commercial Law"/>
        <s v="100262 - Arts - Commercial Law"/>
        <s v="114657 - Arts - Commercial Law"/>
        <s v="150281 - Arts - Commercial Law"/>
        <s v="81491 - Arts - Commercial Law"/>
        <s v="88519 - Arts - Commercial Law"/>
        <s v="116800 - Arts - Commercial Law"/>
        <s v="117675 - Arts - Commercial Law"/>
        <s v="47051 - Arts - Commercial Law"/>
        <s v="103171 - Arts - Commercial Law"/>
        <s v="47049 - Arts - Commercial Law"/>
        <s v="47351 - Arts - Commercial Law"/>
        <s v="47575 - Arts - Commercial Law"/>
        <s v="80088 - Arts - Commercial Law"/>
        <s v="47298 - Arts - Commercial Law"/>
        <s v="100271 - Arts - Commercial Law"/>
        <s v="47621 - Arts - Commercial Law"/>
        <s v="117609 - Arts - Commercial Law"/>
        <s v="103873 - Arts - Commercial Law"/>
        <s v="14026 - Arts - Commercial Law"/>
        <s v="95951 - Arts - Commercial Law"/>
        <s v="9162 - Arts - Commercial Law"/>
        <s v="80089 - Arts - Commercial Law"/>
        <s v="122521 - Arts - Commercial Law"/>
        <s v="69300 - Arts - Commercial Law"/>
        <s v="80417 - Arts - Commercial Law"/>
        <s v="128323 - Arts - Commercial Law"/>
        <s v="80091 - Arts - Commercial Law"/>
        <s v="92927 - Arts - Commercial Law"/>
        <s v="9158 - Arts - Commercial Law"/>
        <s v="103872 - Arts - Commercial Law"/>
        <s v="116809 - Arts - Commercial Law"/>
        <s v="114655 - Arts - Commercial Law"/>
        <s v="80228 - Arts - Commercial Law"/>
        <s v="47207 - Arts - Commercial Law"/>
        <s v="116402 - Arts - Commercial Law"/>
        <s v="116408 - Arts - Commercial Law"/>
        <s v="83592 - Arts - Commercial Law"/>
        <s v="122241 - Arts - Commercial Law"/>
        <s v="112799 - Arts - Commercial Law"/>
        <s v="122659 - Arts - Commercial Law"/>
        <s v="112797 - Arts - Commercial Law"/>
        <s v="122663 - Arts - Commercial Law"/>
        <s v="112809 - Arts - Commercial Law"/>
        <s v="80220 - Arts - Commercial Law"/>
        <s v="112732 - Arts - Commercial Law"/>
        <s v="83354 - Arts - Commercial Law"/>
        <s v="116410 - Arts - Commercial Law"/>
        <s v="103841 - Arts - Commercial Law"/>
        <s v="116746 - Arts - Commercial Law"/>
        <s v="116405 - Arts - Commercial Law"/>
        <s v="112810 - Arts - Commercial Law"/>
        <s v="47347 - Arts - Commercial Law"/>
        <s v="101902 - Arts - Commercial Law"/>
        <s v="92926 - Arts - Commercial Law"/>
        <s v="47345 - Arts - Commercial Law"/>
        <s v="121611 - Arts - Commercial Law"/>
        <s v="73310 - Arts - Commercial Law"/>
        <s v="80102 - Arts - Commercial Law"/>
        <s v="122773 - Arts - Commercial Law"/>
        <s v="119421 - Arts - Commercial Law"/>
        <s v="118276 - Arts - Commercial Law"/>
        <s v="47314 - Arts - Commercial Law"/>
        <s v="122771 - Arts - Commercial Law"/>
        <s v="47380 - Arts - Commercial Law"/>
        <s v="98329 - Arts - Commercial Law"/>
        <s v="81485 - Arts - Commercial Law"/>
        <s v="77847 - Arts - Commercial Law"/>
        <s v="77290 - Arts - Commercial Law"/>
        <s v="114656 - Arts - Commercial Law"/>
        <s v="118486 - Arts - Commercial Law"/>
        <s v="101889 - Arts - Commercial Law"/>
        <s v="14030 - Arts - Commercial Law"/>
        <s v="47381 - Arts - Commercial Law"/>
        <s v="101888 - Arts - Commercial Law"/>
        <s v="98328 - Arts - Commercial Law"/>
        <s v="79775 - Arts - Commercial Law"/>
        <s v="122616 - Arts - Commercial Law"/>
        <s v="101950 - Arts - Commercial Law"/>
        <s v="9163 - Arts - Commercial Law"/>
        <s v="110106 - Arts - Commercial Law"/>
        <s v="14045 - Arts - Commercial Law"/>
        <s v="95993 - Arts - Commercial Law"/>
        <s v="81488 - Arts - Commercial Law"/>
        <s v="14049 - Arts - Commercial Law"/>
        <s v="121749 - Arts - Commercial Law"/>
        <s v="101927 - Arts - Commercial Law"/>
        <s v="103864 - Arts - Commercial Law"/>
        <s v="85862 - Arts - Commercial Law"/>
        <s v="46124 - History - Corporate Law"/>
        <s v="114346 - History - Corporate Law"/>
        <s v="80194 - History - Corporate Law"/>
        <s v="80192 - History - Corporate Law"/>
        <s v="46109 - History - Corporate Law"/>
        <s v="80196 - History - Corporate Law"/>
        <s v="149602 - History - Corporate Law"/>
        <s v="46123 - History - Corporate Law"/>
        <s v="46113 - History - Corporate Law"/>
        <s v="46116 - History - Corporate Law"/>
        <s v="46119 - History - Corporate Law"/>
        <s v="63867 - History - Corporate Law"/>
        <s v="80190 - History - Corporate Law"/>
        <s v="48485 - History - Corporate Law"/>
        <s v="80203 - History - Corporate Law"/>
        <s v="100670 - History - Corporate Law"/>
        <s v="16546 - History - Corporate Law"/>
        <s v="121622 - History - Corporate Law"/>
        <s v="80202 - History - Corporate Law"/>
        <s v="24263 - History - Corporate Law"/>
        <s v="16552 - History - Corporate Law"/>
        <s v="112771 - History - Corporate Law"/>
        <s v="116197 - History - Corporate Law"/>
        <s v="46138 - History - Corporate Law"/>
        <s v="109546 - History - Corporate Law"/>
        <s v="199475 - History - Corporate Law"/>
        <s v="199479 - History - Corporate Law"/>
        <s v="48180 - History - Corporate Law"/>
        <s v="90374 - History - Corporate Law"/>
        <s v="80318 - History - Corporate Law"/>
        <s v="6206 - History - Corporate Law"/>
        <s v="181492 - History - Corporate Law"/>
        <s v="148738 - History - Corporate Law"/>
        <s v="100692 - History - Corporate Law"/>
        <s v="121708 - History - Corporate Law"/>
        <s v="47508 - History - Corporate Law"/>
        <s v="89514 - History - Corporate Law"/>
        <s v="117918 - History - Corporate Law"/>
        <s v="16645 - History - Corporate Law"/>
        <s v="148740 - History - Corporate Law"/>
        <s v="100688 - History - Corporate Law"/>
        <s v="148741 - History - Corporate Law"/>
        <s v="109299 - History - Corporate Law"/>
        <s v="196109 - History - Corporate Law"/>
        <s v="72155 - History - Corporate Law"/>
        <s v="80245 - History - Corporate Law"/>
        <s v="6215 - History - Corporate Law"/>
        <s v="45810 - History - Corporate Law"/>
        <s v="80205 - History - Corporate Law"/>
        <s v="107064 - History - Corporate Law"/>
        <s v="6211 - History - Corporate Law"/>
        <s v="44036 - History - Corporate Law"/>
        <s v="181493 - History - Corporate Law"/>
        <s v="6210 - History - Corporate Law"/>
        <s v="110431 - History - Corporate Law"/>
        <s v="122878 - History - Corporate Law"/>
        <s v="14092 - History - Corporate Law"/>
        <s v="121621 - History - Corporate Law"/>
        <s v="120511 - History - Corporate Law"/>
        <s v="46132 - History - Corporate Law"/>
        <s v="83014 - History - Corporate Law"/>
        <s v="80199 - History - Corporate Law"/>
        <s v="80201 - History - Corporate Law"/>
        <s v="46131 - History - Corporate Law"/>
        <s v="102346 - History - Corporate Law"/>
        <s v="14094 - History - Corporate Law"/>
        <s v="100679 - History - Corporate Law"/>
        <s v="102345 - History - Corporate Law"/>
        <s v="121695 - History - Corporate Law"/>
        <s v="6204 - History - Corporate Law"/>
        <s v="16571 - History - Corporate Law"/>
        <s v="181494 - History - Corporate Law"/>
        <s v="80315 - History - Corporate Law"/>
        <s v="83054 - History - Corporate Law"/>
        <s v="83056 - History - Corporate Law"/>
        <s v="83055 - History - Corporate Law"/>
        <s v="46134 - History - Corporate Law"/>
        <s v="121693 - History - Corporate Law"/>
        <s v="102344 - History - Corporate Law"/>
        <s v="100687 - History - Corporate Law"/>
        <s v="70327 - History - Corporate Law"/>
        <s v="80191 - History - Corporate Law"/>
        <s v="103037 - History - Corporate Law"/>
        <s v="6205 - History - Corporate Law"/>
        <s v="70387 - History - Corporate Law"/>
        <s v="122278 - Arts - International Law"/>
        <s v="29365 - Arts - International Law"/>
        <s v="17769 - Arts - International Law"/>
        <s v="23144 - Arts - International Law"/>
        <s v="120115 - Arts - International Law"/>
        <s v="29384 - Arts - International Law"/>
        <s v="17746 - Arts - International Law"/>
        <s v="121630 - Arts - International Law"/>
        <s v="29385 - Arts - International Law"/>
        <s v="17767 - Arts - International Law"/>
        <s v="103047 - Arts - International Law"/>
        <s v="70209 - Arts - International Law"/>
        <s v="29372 - Arts - International Law"/>
        <s v="120485 - Arts - International Law"/>
        <s v="120486 - Arts - International Law"/>
        <s v="70293 - Arts - International Law"/>
        <s v="71772 - Arts - International Law"/>
        <s v="86111 - Arts - International Law"/>
        <s v="71840 - Arts - International Law"/>
        <s v="28533 - Arts - International Law"/>
        <s v="86994 - Arts - International Law"/>
        <s v="124881 - Arts - International Law"/>
        <s v="119280 - Arts - International Law"/>
        <s v="87001 - Arts - International Law"/>
        <s v="71839 - Arts - International Law"/>
        <s v="119288 - Arts - International Law"/>
        <s v="71770 - Arts - International Law"/>
        <s v="28536 - Arts - International Law"/>
        <s v="90007 - Arts - International Law"/>
        <s v="71830 - Arts - International Law"/>
        <s v="71837 - Arts - International Law"/>
        <s v="83640 - Arts - International Law"/>
        <s v="111191 - Arts - International Law"/>
        <s v="70442 - Arts - International Law"/>
        <s v="122228 - Arts - International Law"/>
        <s v="46822 - Arts - International Law"/>
        <s v="71769 - Arts - International Law"/>
        <s v="9302 - Arts - International Law"/>
        <s v="90006 - Arts - International Law"/>
        <s v="80673 - Arts - International Law"/>
        <s v="71834 - Arts - International Law"/>
        <s v="107310 - Arts - International Law"/>
        <s v="71843 - Arts - International Law"/>
        <s v="107358 - Arts - International Law"/>
        <s v="44842 - Arts - International Law"/>
        <s v="111181 - Arts - International Law"/>
        <s v="71773 - Arts - International Law"/>
        <s v="71836 - Arts - International Law"/>
        <s v="70276 - Arts - International Law"/>
        <s v="71775 - Arts - International Law"/>
        <s v="44844 - Arts - International Law"/>
        <s v="156181 - Arts - International Law"/>
        <s v="102898 - Arts - International Law"/>
        <s v="47600 - Arts - International Law"/>
        <s v="111173 - Arts - International Law"/>
        <s v="70201 - Arts - International Law"/>
        <s v="71842 - Arts - International Law"/>
        <s v="47601 - Arts - International Law"/>
        <s v="87000 - Arts - International Law"/>
        <s v="103457 - Arts - International Law"/>
        <s v="42198 - Arts - International Law"/>
        <s v="46823 - Arts - International Law"/>
        <s v="116196 - Arts - International Law"/>
        <s v="111177 - Arts - International Law"/>
        <s v="70292 - Arts - International Law"/>
        <s v="90008 - Arts - International Law"/>
        <s v="71768 - Arts - International Law"/>
        <s v="86972 - Arts - International Law"/>
        <s v="111179 - Arts - International Law"/>
        <s v="81726 - Arts - International Law"/>
        <s v="28535 - Arts - International Law"/>
        <s v="80682 - Arts - International Law"/>
        <s v="144008 - Arts - International Law"/>
        <s v="111129 - Arts - International Law"/>
        <s v="107307 - Arts - International Law"/>
        <s v="70206 - Arts - International Law"/>
        <s v="107349 - Arts - International Law"/>
        <s v="122231 - Arts - International Law"/>
        <s v="103458 - Arts - International Law"/>
        <s v="71838 - Arts - International Law"/>
        <s v="104671 - Arts - International Law"/>
        <s v="83793 - Arts - International Law"/>
        <s v="50478 - Arts - International Law"/>
        <s v="118891 - Arts - International Law"/>
        <s v="70440 - Arts - International Law"/>
        <s v="44840 - Arts - International Law"/>
        <s v="107304 - Arts - International Law"/>
        <s v="116195 - Arts - International Law"/>
        <s v="86980 - Arts - International Law"/>
        <s v="122230 - Arts - International Law"/>
        <s v="47602 - Arts - International Law"/>
        <s v="42190 - Arts - International Law"/>
        <s v="111130 - Arts - International Law"/>
        <s v="71774 - Arts - International Law"/>
        <s v="75010 - Arts - International Law"/>
        <s v="119276 - Arts - International Law"/>
        <s v="83789 - Arts - International Law"/>
        <s v="86999 - Arts - International Law"/>
        <s v="80678 - Arts - International Law"/>
        <s v="86973 - Arts - International Law"/>
        <s v="81724 - Arts - International Law"/>
        <s v="104678 - Arts - International Law"/>
        <s v="71844 - Arts - International Law"/>
        <s v="42287 - Medical - Human Rights Law"/>
        <s v="116678 - Medical - Human Rights Law"/>
        <s v="116845 - Medical - Human Rights Law"/>
        <s v="114252 - Medical - Human Rights Law"/>
        <s v="117595 - Medical - Human Rights Law"/>
        <s v="109579 - Medical - Human Rights Law"/>
        <s v="117597 - Medical - Human Rights Law"/>
        <s v="14401 - Medical - Human Rights Law"/>
        <s v="109290 - Medical - Human Rights Law"/>
        <s v="117665 - Medical - Human Rights Law"/>
        <s v="117681 - Medical - Human Rights Law"/>
        <s v="119406 - Medical - Human Rights Law"/>
        <s v="117676 - Medical - Human Rights Law"/>
        <s v="109571 - Medical - Human Rights Law"/>
        <s v="116676 - Medical - Human Rights Law"/>
        <s v="116816 - Medical - Human Rights Law"/>
        <s v="117663 - Medical - Human Rights Law"/>
        <s v="117652 - Medical - Human Rights Law"/>
        <s v="109289 - Medical - Human Rights Law"/>
        <s v="117656 - Medical - Human Rights Law"/>
        <s v="117677 - Medical - Human Rights Law"/>
        <s v="116677 - Medical - Human Rights Law"/>
        <s v="117256 - Medical - Human Rights Law"/>
        <s v="122738 - Medical - Human Rights Law"/>
        <s v="116679 - Medical - Human Rights Law"/>
        <s v="116831 - Medical - Human Rights Law"/>
        <s v="109577 - Medical - Human Rights Law"/>
        <s v="77790 - Sports - Intellectual Property Law"/>
        <s v="101172 - Self-Help - Environmental Law"/>
        <s v="87023 - Self-Help - Environmental Law"/>
        <s v="101520 - Self-Help - Environmental Law"/>
        <s v="118362 - Self-Help - Environmental Law"/>
        <s v="87313 - Self-Help - Environmental Law"/>
        <s v="111015 - Self-Help - Environmental Law"/>
        <s v="87312 - Self-Help - Environmental Law"/>
        <s v="87025 - Self-Help - Environmental Law"/>
        <s v="111587 - Self-Help - Environmental Law"/>
        <s v="114934 - Medical - Labor Law"/>
        <s v="116519 - Medical - Labor Law"/>
        <s v="116516 - Medical - Labor Law"/>
        <s v="104931 - Finance - Tax Law"/>
        <s v="105656 - Finance - Tax Law"/>
        <s v="117702 - Finance - Tax Law"/>
        <s v="88385 - Finance - Tax Law"/>
        <s v="76451 - Finance - Tax Law"/>
        <s v="199950 - Finance - Tax Law"/>
        <s v="121167 - Finance - Tax Law"/>
        <s v="199954 - Finance - Tax Law"/>
        <s v="190713 - Finance - Tax Law"/>
        <s v="199951 - Finance - Tax Law"/>
        <s v="85263 - Finance - Tax Law"/>
        <s v="180016 - Finance - Tax Law"/>
        <s v="129432 - Finance - Tax Law"/>
        <s v="120052 - Finance - Tax Law"/>
        <s v="111876 - Finance - Tax Law"/>
        <s v="85092 - Finance - Tax Law"/>
        <s v="121046 - Finance - Tax Law"/>
        <s v="849 - Finance - Tax Law"/>
        <s v="21662 - Finance - Tax Law"/>
        <s v="127038 - Finance - Tax Law"/>
        <s v="91954 - Finance - Tax Law"/>
        <s v="96365 - Finance - Tax Law"/>
        <s v="121172 - Finance - Tax Law"/>
        <s v="74331 - Finance - Tax Law"/>
        <s v="105657 - Finance - Tax Law"/>
        <s v="113716 - Finance - Tax Law"/>
        <s v="104510 - Finance - Tax Law"/>
        <s v="105059 - Finance - Tax Law"/>
        <s v="63608 - Finance - Tax Law"/>
        <s v="121095 - Finance - Tax Law"/>
        <s v="76450 - Finance - Tax Law"/>
        <s v="121012 - Finance - Tax Law"/>
        <s v="113187 - Finance - Tax Law"/>
        <s v="101946 - Finance - Tax Law"/>
        <s v="117275 - Finance - Tax Law"/>
        <s v="117695 - Finance - Tax Law"/>
        <s v="74398 - Finance - Tax Law"/>
        <s v="105230 - Finance - Tax Law"/>
        <s v="112776 - Finance - Tax Law"/>
        <s v="23968 - Finance - Tax Law"/>
        <s v="127025 - Finance - Tax Law"/>
        <s v="118956 - Finance - Tax Law"/>
        <s v="118947 - Finance - Tax Law"/>
        <s v="95873 - Finance - Tax Law"/>
        <s v="118946 - Finance - Tax Law"/>
        <s v="44991 - Finance - Tax Law"/>
        <s v="122398 - Finance - Tax Law"/>
        <s v="108638 - Finance - Tax Law"/>
        <s v="113633 - Finance - Tax Law"/>
        <s v="113649 - Finance - Tax Law"/>
        <s v="113619 - Finance - Tax Law"/>
        <s v="113648 - Finance - Tax Law"/>
        <s v="120889 - Finance - Tax Law"/>
        <s v="113620 - Finance - Tax Law"/>
        <s v="113626 - Finance - Tax Law"/>
        <s v="113657 - Finance - Tax Law"/>
        <s v="113645 - Finance - Tax Law"/>
        <s v="18247 - Finance - Tax Law"/>
        <s v="121249 - Finance - Tax Law"/>
        <s v="104912 - Finance - Tax Law"/>
        <s v="73222 - History - Legal Theory"/>
        <s v="78834 - History - Legal Theory"/>
        <s v="15109 - History - Legal Theory"/>
        <s v="26126 - History - Legal Theory"/>
        <s v="48724 - History - Legal Theory"/>
        <s v="98888 - History - Legal Theory"/>
        <s v="48605 - History - Legal Theory"/>
        <s v="119243 - History - Legal Theory"/>
        <s v="22045 - History - Legal Theory"/>
        <s v="73221 - History - Legal Theory"/>
        <s v="72168 - History - Legal Theory"/>
        <s v="127039 - History - Legal Theory"/>
        <s v="155861 - History - Legal Theory"/>
        <s v="6213 - History - Legal Theory"/>
        <s v="6476 - Medical - Legal Practice"/>
        <s v="114933 - Medical - Legal Practice"/>
        <s v="6473 - Medical - Legal Practice"/>
        <s v="99248 - Medical - Legal Practice"/>
        <s v="6477 - Medical - Legal Practice"/>
        <s v="6478 - Medical - Legal Practice"/>
        <s v="6474 - Medical - Legal Practice"/>
        <s v="70574 - Medical - Legal Practice"/>
        <s v="101302 - Finance - Programming"/>
        <s v="104475 - Finance - Programming"/>
        <s v="101296 - Finance - Programming"/>
        <s v="122029 - Finance - Programming"/>
        <s v="102549 - Finance - Programming"/>
        <s v="122026 - Finance - Programming"/>
        <s v="101303 - Finance - Programming"/>
        <s v="102548 - Finance - Programming"/>
        <s v="122027 - Finance - Programming"/>
        <s v="46963 - Finance - Programming"/>
        <s v="102268 - Finance - Programming"/>
        <s v="26649 - Finance - Programming"/>
        <s v="102275 - Finance - Programming"/>
        <s v="43943 - Finance - Programming"/>
        <s v="102550 - Finance - Programming"/>
        <s v="26650 - Finance - Programming"/>
        <s v="117728 - Finance - Programming"/>
        <s v="103588 - Finance - Programming"/>
        <s v="101297 - Finance - Programming"/>
        <s v="101298 - Finance - Programming"/>
        <s v="113129 - Finance - Programming"/>
        <s v="102551 - Finance - Programming"/>
        <s v="117735 - Finance - Programming"/>
        <s v="101299 - Finance - Programming"/>
        <s v="103590 - Finance - Programming"/>
        <s v="43944 - Finance - Programming"/>
        <s v="113128 - Finance - Programming"/>
        <s v="102553 - Finance - Programming"/>
        <s v="114230 - Finance - Programming"/>
        <s v="122028 - Finance - Programming"/>
        <s v="102269 - Finance - Programming"/>
        <s v="26651 - Finance - Programming"/>
        <s v="101316 - Finance - Programming"/>
        <s v="117742 - Finance - Programming"/>
        <s v="101315 - Finance - Programming"/>
        <s v="43945 - Finance - Programming"/>
        <s v="103589 - Finance - Programming"/>
        <s v="88896 - Finance - Programming"/>
        <s v="103595 - Finance - Programming"/>
        <s v="101300 - Finance - Programming"/>
        <s v="113130 - Finance - Programming"/>
        <s v="102272 - Finance - Programming"/>
        <s v="43947 - Finance - Programming"/>
        <s v="102271 - Finance - Programming"/>
        <s v="103592 - Finance - Programming"/>
        <s v="26652 - Finance - Programming"/>
        <s v="43946 - Finance - Programming"/>
        <s v="101301 - Finance - Programming"/>
        <s v="108458 - Finance - Programming"/>
        <s v="117736 - Finance - Programming"/>
        <s v="49606 - Finance - Programming"/>
        <s v="106297 - Finance - Programming"/>
        <s v="15556 - Finance - Programming"/>
        <s v="49605 - Finance - Programming"/>
        <s v="102312 - Finance - Programming"/>
        <s v="121125 - Finance - Programming"/>
        <s v="106401 - Finance - Programming"/>
        <s v="116834 - Finance - Programming"/>
        <s v="1953 - Finance - Programming"/>
        <s v="106305 - Finance - Programming"/>
        <s v="108278 - Finance - Programming"/>
        <s v="47660 - Finance - Programming"/>
        <s v="47657 - Finance - Programming"/>
        <s v="64185 - Finance - Programming"/>
        <s v="108256 - Finance - Programming"/>
        <s v="62597 - Finance - Programming"/>
        <s v="102304 - Finance - Programming"/>
        <s v="118242 - Finance - Programming"/>
        <s v="121743 - Finance - Programming"/>
        <s v="108257 - Finance - Programming"/>
        <s v="117756 - Finance - Programming"/>
        <s v="110334 - Finance - Programming"/>
        <s v="102307 - Finance - Programming"/>
        <s v="117750 - Finance - Programming"/>
        <s v="181976 - Finance - Programming"/>
        <s v="108258 - Finance - Programming"/>
        <s v="110241 - Finance - Programming"/>
        <s v="110337 - Finance - Programming"/>
        <s v="118243 - Finance - Programming"/>
        <s v="102305 - Finance - Programming"/>
        <s v="110342 - Finance - Programming"/>
        <s v="102306 - Finance - Programming"/>
        <s v="194045 - Law - Web Development"/>
        <s v="96009 - Law - Web Development"/>
        <s v="104087 - Law - Web Development"/>
        <s v="77448 - Law - Web Development"/>
        <s v="5801 - Law - Web Development"/>
        <s v="90650 - Law - Web Development"/>
        <s v="6395 - Law - Web Development"/>
        <s v="77444 - Law - Web Development"/>
        <s v="20389 - Law - Web Development"/>
        <s v="68293 - Law - Web Development"/>
        <s v="90982 - Law - Web Development"/>
        <s v="48279 - Law - Web Development"/>
        <s v="77447 - Law - Web Development"/>
        <s v="5710 - Law - Web Development"/>
        <s v="90906 - Law - Web Development"/>
        <s v="90883 - Law - Web Development"/>
        <s v="113093 - Law - Web Development"/>
        <s v="73926 - Law - Web Development"/>
        <s v="110083 - Law - Web Development"/>
        <s v="76313 - Law - Web Development"/>
        <s v="68404 - Law - Web Development"/>
        <s v="68322 - Law - Web Development"/>
        <s v="73947 - Law - Web Development"/>
        <s v="29116 - Law - Web Development"/>
        <s v="90846 - Law - Web Development"/>
        <s v="110084 - Law - Web Development"/>
        <s v="73925 - Law - Web Development"/>
        <s v="68296 - Law - Web Development"/>
        <s v="90873 - Law - Web Development"/>
        <s v="90874 - Law - Web Development"/>
        <s v="90842 - Law - Web Development"/>
        <s v="5709 - Law - Web Development"/>
        <s v="76341 - Law - Web Development"/>
        <s v="113094 - Law - Web Development"/>
        <s v="76301 - Law - Web Development"/>
        <s v="90844 - Law - Web Development"/>
        <s v="90848 - Law - Web Development"/>
        <s v="76318 - Law - Web Development"/>
        <s v="118885 - Law - Web Development"/>
        <s v="76349 - Law - Web Development"/>
        <s v="30878 - Law - Web Development"/>
        <s v="104176 - Law - Web Development"/>
        <s v="78516 - Law - Web Development"/>
        <s v="118884 - Law - Web Development"/>
        <s v="119239 - Law - Web Development"/>
        <s v="30875 - Law - Web Development"/>
        <s v="73946 - Law - Web Development"/>
        <s v="90690 - Law - Web Development"/>
        <s v="101380 - Law - Web Development"/>
        <s v="5804 - Law - Web Development"/>
        <s v="82372 - Law - Web Development"/>
        <s v="90643 - Law - Web Development"/>
        <s v="68412 - Law - Web Development"/>
        <s v="82393 - Law - Web Development"/>
        <s v="5803 - Law - Web Development"/>
        <s v="121706 - Law - Web Development"/>
        <s v="68374 - Law - Web Development"/>
        <s v="90946 - Law - Web Development"/>
        <s v="69312 - Law - Web Development"/>
        <s v="87128 - Law - Web Development"/>
        <s v="149506 - Law - Web Development"/>
        <s v="5722 - Law - Web Development"/>
        <s v="5697 - Law - Web Development"/>
        <s v="29117 - Law - Web Development"/>
        <s v="68305 - Law - Web Development"/>
        <s v="5714 - Law - Web Development"/>
        <s v="73951 - Law - Web Development"/>
        <s v="68337 - Law - Web Development"/>
        <s v="76338 - Law - Web Development"/>
        <s v="202592 - Law - Web Development"/>
        <s v="69578 - Law - Web Development"/>
        <s v="76383 - Law - Web Development"/>
        <s v="5696 - Law - Web Development"/>
        <s v="90929 - Law - Web Development"/>
        <s v="90926 - Law - Web Development"/>
        <s v="76364 - Law - Web Development"/>
        <s v="79152 - Law - Web Development"/>
        <s v="30874 - Law - Web Development"/>
        <s v="5718 - Law - Web Development"/>
        <s v="126542 - Law - Web Development"/>
        <s v="90852 - Law - Web Development"/>
        <s v="122139 - Law - Web Development"/>
        <s v="126975 - Law - Web Development"/>
        <s v="202593 - Law - Web Development"/>
        <s v="73940 - Law - Web Development"/>
        <s v="76360 - Law - Web Development"/>
        <s v="118876 - Law - Web Development"/>
        <s v="76366 - Law - Web Development"/>
        <s v="122645 - Law - Web Development"/>
        <s v="76372 - Law - Web Development"/>
        <s v="5720 - Law - Web Development"/>
        <s v="5695 - Law - Web Development"/>
        <s v="90931 - Law - Web Development"/>
        <s v="110085 - Law - Web Development"/>
        <s v="113096 - Law - Web Development"/>
        <s v="90878 - Law - Web Development"/>
        <s v="73938 - Law - Web Development"/>
        <s v="5698 - Law - Web Development"/>
        <s v="76373 - Law - Web Development"/>
        <s v="73945 - Law - Web Development"/>
        <s v="159200 - Law - Web Development"/>
        <s v="68354 - Law - Web Development"/>
        <s v="5712 - Law - Web Development"/>
        <s v="114471 - Law - Web Development"/>
        <s v="90934 - Law - Web Development"/>
        <s v="87851 - Law - Web Development"/>
        <s v="90891 - Law - Web Development"/>
        <s v="69579 - Law - Web Development"/>
        <s v="90924 - Law - Web Development"/>
        <s v="69311 - Law - Web Development"/>
        <s v="90923 - Law - Web Development"/>
        <s v="159197 - Law - Web Development"/>
        <s v="88268 - Law - Web Development"/>
        <s v="90913 - Law - Web Development"/>
        <s v="76365 - Law - Web Development"/>
        <s v="9205 - Law - Web Development"/>
        <s v="76363 - Law - Web Development"/>
        <s v="121967 - Law - Web Development"/>
        <s v="90935 - Law - Web Development"/>
        <s v="87126 - Law - Web Development"/>
        <s v="90928 - Law - Web Development"/>
        <s v="90912 - Law - Web Development"/>
        <s v="48508 - Law - Web Development"/>
        <s v="90853 - Law - Web Development"/>
        <s v="117628 - Law - Web Development"/>
        <s v="5699 - Law - Web Development"/>
        <s v="5735 - Law - Web Development"/>
        <s v="109832 - Law - Web Development"/>
        <s v="122675 - Law - Web Development"/>
        <s v="87225 - Law - Web Development"/>
        <s v="82373 - Law - Web Development"/>
        <s v="77254 - Law - Web Development"/>
        <s v="5742 - Law - Web Development"/>
        <s v="117622 - Law - Web Development"/>
        <s v="77255 - Law - Web Development"/>
        <s v="101964 - Law - Web Development"/>
        <s v="48491 - Law - Web Development"/>
        <s v="82368 - Law - Web Development"/>
        <s v="82367 - Law - Web Development"/>
        <s v="118426 - Law - Web Development"/>
        <s v="5068 - Self-Help - Mobile Development"/>
        <s v="84660 - Self-Help - Mobile Development"/>
        <s v="5070 - Self-Help - Mobile Development"/>
        <s v="84681 - Self-Help - Mobile Development"/>
        <s v="102596 - Self-Help - Mobile Development"/>
        <s v="5037 - Self-Help - Mobile Development"/>
        <s v="5052 - Self-Help - Mobile Development"/>
        <s v="5051 - Self-Help - Mobile Development"/>
        <s v="102647 - Self-Help - Mobile Development"/>
        <s v="5061 - Self-Help - Mobile Development"/>
        <s v="102649 - Self-Help - Mobile Development"/>
        <s v="102662 - Self-Help - Mobile Development"/>
        <s v="108337 - Self-Help - Mobile Development"/>
        <s v="188352 - Sports - Software Engineering"/>
        <s v="11459 - Sports - Software Engineering"/>
        <s v="11443 - Sports - Software Engineering"/>
        <s v="70560 - Sports - Software Engineering"/>
        <s v="110363 - Sports - Software Engineering"/>
        <s v="11449 - Sports - Software Engineering"/>
        <s v="119793 - Sports - Software Engineering"/>
        <s v="41107 - Sports - Software Engineering"/>
        <s v="78358 - Sports - Software Engineering"/>
        <s v="77048 - Sports - Software Engineering"/>
        <s v="27428 - Sports - Software Engineering"/>
        <s v="8530 - Sports - Software Engineering"/>
        <s v="14281 - Sports - Software Engineering"/>
        <s v="140582 - Sports - Software Engineering"/>
        <s v="98895 - Sports - Software Engineering"/>
        <s v="77491 - Arts - Data Science"/>
        <s v="81704 - Arts - Data Science"/>
        <s v="111565 - Arts - Data Science"/>
        <s v="5774 - Arts - Data Science"/>
        <s v="112075 - Arts - Data Science"/>
        <s v="88469 - Arts - Data Science"/>
        <s v="112249 - Arts - Data Science"/>
        <s v="5775 - Arts - Data Science"/>
        <s v="77506 - Arts - Data Science"/>
        <s v="83646 - Arts - Data Science"/>
        <s v="77484 - Arts - Data Science"/>
        <s v="77481 - Arts - Data Science"/>
        <s v="17075 - Arts - Data Science"/>
        <s v="77492 - Arts - Data Science"/>
        <s v="112084 - Arts - Data Science"/>
        <s v="12041 - Arts - Data Science"/>
        <s v="83042 - Arts - Data Science"/>
        <s v="77490 - Arts - Data Science"/>
        <s v="43336 - Arts - Data Science"/>
        <s v="48609 - Arts - Data Science"/>
        <s v="117074 - Arts - Data Science"/>
        <s v="112085 - Arts - Data Science"/>
        <s v="106656 - Arts - Data Science"/>
        <s v="119244 - Arts - Data Science"/>
        <s v="73236 - Arts - Data Science"/>
        <s v="127582 - Arts - Data Science"/>
        <s v="128210 - Arts - Data Science"/>
        <s v="73187 - Arts - Data Science"/>
        <s v="41681 - Arts - Data Science"/>
        <s v="30624 - Arts - Data Science"/>
        <s v="114267 - Arts - Data Science"/>
        <s v="77441 - Arts - Data Science"/>
        <s v="116636 - Arts - Data Science"/>
        <s v="115198 - Arts - Data Science"/>
        <s v="89845 - Arts - Data Science"/>
        <s v="112248 - Arts - Data Science"/>
        <s v="89849 - Arts - Data Science"/>
        <s v="121709 - Arts - Data Science"/>
        <s v="122653 - Arts - Data Science"/>
        <s v="9759 - Arts - Data Science"/>
        <s v="86782 - Arts - Data Science"/>
        <s v="119246 - Arts - Data Science"/>
        <s v="6047 - Arts - Data Science"/>
        <s v="117526 - Arts - Data Science"/>
        <s v="106671 - Arts - Data Science"/>
        <s v="30889 - Arts - Data Science"/>
        <s v="80634 - Arts - Data Science"/>
        <s v="114269 - Arts - Data Science"/>
        <s v="84034 - Arts - Data Science"/>
        <s v="103271 - Arts - Data Science"/>
        <s v="72248 - Arts - Data Science"/>
        <s v="7672 - Sports - Artificial Intelligence"/>
        <s v="82844 - Sports - Artificial Intelligence"/>
        <s v="7685 - Sports - Artificial Intelligence"/>
        <s v="7673 - Sports - Artificial Intelligence"/>
        <s v="72328 - Sports - Artificial Intelligence"/>
        <s v="87967 - Sports - Artificial Intelligence"/>
        <s v="113193 - Sports - Artificial Intelligence"/>
        <s v="82821 - Sports - Artificial Intelligence"/>
        <s v="87964 - Sports - Artificial Intelligence"/>
        <s v="201751 - Sports - Artificial Intelligence"/>
        <s v="79057 - Sports - Artificial Intelligence"/>
        <s v="41225 - Sports - Artificial Intelligence"/>
        <s v="113300 - Sports - Artificial Intelligence"/>
        <s v="113299 - Sports - Artificial Intelligence"/>
        <s v="105475 - Sports - Artificial Intelligence"/>
        <s v="114724 - Sports - Artificial Intelligence"/>
        <s v="113298 - Sports - Artificial Intelligence"/>
        <s v="82838 - Sports - Artificial Intelligence"/>
        <s v="111960 - Sports - Artificial Intelligence"/>
        <s v="108840 - Sports - Artificial Intelligence"/>
        <s v="201044 - Sports - Artificial Intelligence"/>
        <s v="81880 - Sports - Artificial Intelligence"/>
        <s v="81873 - Sports - Artificial Intelligence"/>
        <s v="117613 - Sports - Artificial Intelligence"/>
        <s v="81876 - Sports - Artificial Intelligence"/>
        <s v="104050 - Sports - Artificial Intelligence"/>
        <s v="111934 - Sports - Artificial Intelligence"/>
        <s v="29819 - Sports - Artificial Intelligence"/>
        <s v="120392 - Sports - Artificial Intelligence"/>
        <s v="29820 - Sports - Artificial Intelligence"/>
        <s v="83755 - Sports - Artificial Intelligence"/>
        <s v="111941 - Sports - Artificial Intelligence"/>
        <s v="80858 - Sports - Artificial Intelligence"/>
        <s v="81902 - Sports - Artificial Intelligence"/>
        <s v="83754 - Sports - Artificial Intelligence"/>
        <s v="116233 - Sports - Artificial Intelligence"/>
        <s v="112192 - Sports - Artificial Intelligence"/>
        <s v="119728 - Sports - Artificial Intelligence"/>
        <s v="81901 - Sports - Artificial Intelligence"/>
        <s v="141878 - Sports - Artificial Intelligence"/>
        <s v="116236 - Sports - Artificial Intelligence"/>
        <s v="120751 - Sports - Artificial Intelligence"/>
        <s v="80756 - Sports - Artificial Intelligence"/>
        <s v="119729 - Sports - Artificial Intelligence"/>
        <s v="119028 - Sports - Artificial Intelligence"/>
        <s v="116957 - Sports - Artificial Intelligence"/>
        <s v="78235 - Sports - Artificial Intelligence"/>
        <s v="119803 - Sports - Artificial Intelligence"/>
        <s v="7669 - Sports - Artificial Intelligence"/>
        <s v="139312 - Sports - Artificial Intelligence"/>
        <s v="77773 - Sports - Artificial Intelligence"/>
        <s v="73442 - Sports - Artificial Intelligence"/>
        <s v="3974 - Sports - Artificial Intelligence"/>
        <s v="104032 - Sports - Artificial Intelligence"/>
        <s v="24162 - Law - Machine Learning"/>
        <s v="24167 - Law - Machine Learning"/>
        <s v="24174 - Law - Machine Learning"/>
        <s v="24161 - Law - Machine Learning"/>
        <s v="88594 - Law - Machine Learning"/>
        <s v="118818 - Law - Machine Learning"/>
        <s v="24166 - Law - Machine Learning"/>
        <s v="118828 - Law - Machine Learning"/>
        <s v="86169 - Law - Machine Learning"/>
        <s v="118851 - Law - Machine Learning"/>
        <s v="118824 - Law - Machine Learning"/>
        <s v="122728 - Law - Machine Learning"/>
        <s v="103474 - Law - Machine Learning"/>
        <s v="120635 - Law - Machine Learning"/>
        <s v="120633 - Law - Machine Learning"/>
        <s v="121477 - Law - Machine Learning"/>
        <s v="156024 - Law - Machine Learning"/>
        <s v="70191 - Law - Machine Learning"/>
        <s v="19822 - Law - Machine Learning"/>
        <s v="156023 - Law - Machine Learning"/>
        <s v="120628 - Law - Machine Learning"/>
        <s v="45830 - Law - Machine Learning"/>
        <s v="86192 - Law - Machine Learning"/>
        <s v="127372 - Law - Machine Learning"/>
        <s v="113902 - Law - Machine Learning"/>
        <s v="119133 - Law - Machine Learning"/>
        <s v="114946 - Law - Machine Learning"/>
        <s v="118832 - Law - Machine Learning"/>
        <s v="86499 - Law - Machine Learning"/>
        <s v="81790 - Law - Machine Learning"/>
        <s v="45898 - Law - Machine Learning"/>
        <s v="24144 - Law - Machine Learning"/>
        <s v="98351 - Law - Machine Learning"/>
        <s v="86481 - Law - Machine Learning"/>
        <s v="115747 - Law - Machine Learning"/>
        <s v="116187 - Law - Machine Learning"/>
        <s v="86162 - Law - Machine Learning"/>
        <s v="90654 - Law - Machine Learning"/>
        <s v="71743 - Law - Machine Learning"/>
        <s v="71744 - Law - Machine Learning"/>
        <s v="88590 - Law - Machine Learning"/>
        <s v="78940 - Law - Machine Learning"/>
        <s v="194752 - Law - Machine Learning"/>
        <s v="194748 - Law - Machine Learning"/>
        <s v="111580 - Law - Machine Learning"/>
        <s v="194741 - Law - Machine Learning"/>
        <s v="107082 - Law - Machine Learning"/>
        <s v="83092 - Law - Machine Learning"/>
        <s v="111581 - Law - Machine Learning"/>
        <s v="88402 - Law - Machine Learning"/>
        <s v="88413 - Law - Machine Learning"/>
        <s v="86560 - Law - Machine Learning"/>
        <s v="127584 - Law - Machine Learning"/>
        <s v="122254 - Law - Machine Learning"/>
        <s v="118849 - Law - Machine Learning"/>
        <s v="107187 - Law - Machine Learning"/>
        <s v="119932 - Law - Machine Learning"/>
        <s v="92045 - Medical - Cybersecurity"/>
        <s v="82168 - Medical - Cybersecurity"/>
        <s v="79263 - Medical - Cybersecurity"/>
        <s v="92044 - Medical - Cybersecurity"/>
        <s v="114725 - Medical - Cybersecurity"/>
        <s v="50684 - Medical - Cybersecurity"/>
        <s v="82167 - Medical - Cybersecurity"/>
        <s v="68513 - Medical - Cybersecurity"/>
        <s v="76566 - Medical - Cybersecurity"/>
        <s v="119088 - Medical - Cybersecurity"/>
        <s v="119431 - Medical - Cybersecurity"/>
        <s v="101279 - Medical - Cybersecurity"/>
        <s v="101270 - Medical - Cybersecurity"/>
        <s v="101282 - Medical - Cybersecurity"/>
        <s v="70291 - Fiction - Cloud Computing"/>
        <s v="70290 - Fiction - Cloud Computing"/>
        <s v="19188 - Fiction - Cloud Computing"/>
        <s v="41117 - Sports - DevOps"/>
        <s v="30625 - Sports - DevOps"/>
        <s v="11462 - Sports - DevOps"/>
        <s v="120733 - Sports - DevOps"/>
        <s v="83487 - Sports - DevOps"/>
        <s v="117610 - Sports - DevOps"/>
        <s v="112177 - Sports - DevOps"/>
        <s v="11412 - Sports - DevOps"/>
        <s v="76842 - Sports - DevOps"/>
        <s v="78366 - Sports - DevOps"/>
        <s v="98984 - Sports - DevOps"/>
        <s v="120310 - Sports - DevOps"/>
        <s v="116277 - Sports - DevOps"/>
        <s v="77670 - Sports - DevOps"/>
        <s v="78363 - Sports - DevOps"/>
        <s v="11458 - Sports - DevOps"/>
        <s v="11456 - Sports - DevOps"/>
        <s v="120726 - Sports - DevOps"/>
        <s v="11404 - Sports - DevOps"/>
        <s v="11408 - Sports - DevOps"/>
        <s v="120708 - Sports - DevOps"/>
        <s v="74419 - Sports - DevOps"/>
        <s v="113278 - Sports - DevOps"/>
        <s v="83486 - Sports - DevOps"/>
        <s v="11452 - Sports - DevOps"/>
        <s v="116803 - Sports - DevOps"/>
        <s v="77657 - Sports - DevOps"/>
        <s v="120309 - Sports - DevOps"/>
        <s v="116276 - Sports - DevOps"/>
        <s v="104623 - Sports - DevOps"/>
        <s v="78364 - Sports - DevOps"/>
        <s v="76837 - Sports - DevOps"/>
        <s v="82873 - Sports - DevOps"/>
        <s v="110341 - Sports - DevOps"/>
        <s v="76874 - Sports - DevOps"/>
        <s v="110340 - Sports - DevOps"/>
        <s v="44409 - Sports - DevOps"/>
        <s v="73831 - Sports - DevOps"/>
        <s v="79035 - Sports - DevOps"/>
        <s v="94951 - Sports - DevOps"/>
        <s v="22248 - Self-Help - Databases"/>
        <s v="16088 - Self-Help - Databases"/>
        <s v="10571 - Arts - Networking"/>
        <s v="182012 - Arts - Networking"/>
        <s v="182013 - Arts - Networking"/>
        <s v="107400 - Arts - Networking"/>
        <s v="48623 - Arts - Networking"/>
        <s v="48616 - Arts - Networking"/>
        <s v="47515 - Arts - Networking"/>
        <s v="81915 - Arts - Networking"/>
        <s v="108920 - Arts - Networking"/>
        <s v="107406 - Arts - Networking"/>
        <s v="24074 - Arts - Networking"/>
        <s v="107388 - Arts - Networking"/>
        <s v="24075 - Arts - Networking"/>
        <s v="27639 - Arts - Networking"/>
        <s v="103632 - Arts - Networking"/>
        <s v="10569 - Arts - Networking"/>
        <s v="182007 - Arts - Networking"/>
        <s v="182009 - Arts - Networking"/>
        <s v="103630 - Arts - Networking"/>
        <s v="47514 - Arts - Networking"/>
        <s v="86370 - Arts - Networking"/>
        <s v="86368 - Arts - Networking"/>
        <s v="103174 - Arts - Networking"/>
        <s v="48632 - Arts - Networking"/>
        <s v="48630 - Arts - Networking"/>
        <s v="48624 - Arts - Networking"/>
        <s v="10573 - Arts - Networking"/>
        <s v="18115 - Arts - Networking"/>
        <s v="83057 - Arts - Networking"/>
        <s v="26727 - Arts - Networking"/>
        <s v="85779 - Arts - Networking"/>
        <s v="84396 - Arts - Networking"/>
        <s v="42676 - Arts - Networking"/>
        <s v="108380 - Arts - Networking"/>
        <s v="10565 - Arts - Networking"/>
        <s v="107631 - Arts - Networking"/>
        <s v="24061 - Arts - Networking"/>
        <s v="182051 - Arts - Networking"/>
        <s v="86360 - Arts - Networking"/>
        <s v="10566 - Arts - Networking"/>
        <s v="182014 - Arts - Networking"/>
        <s v="182010 - Arts - Networking"/>
        <s v="24076 - Arts - Networking"/>
        <s v="10572 - Arts - Networking"/>
        <s v="47527 - Arts - Networking"/>
        <s v="10577 - Arts - Networking"/>
        <s v="81914 - Arts - Networking"/>
        <s v="120186 - Arts - Networking"/>
        <s v="182015 - Arts - Networking"/>
        <s v="117919 - Arts - Networking"/>
        <s v="71228 - Arts - Blockchain"/>
        <s v="67264 - Arts - Blockchain"/>
        <s v="82984 - Arts - Blockchain"/>
        <s v="86420 - Arts - Blockchain"/>
        <s v="71227 - Arts - Blockchain"/>
        <s v="18055 - Arts - Blockchain"/>
        <s v="82989 - Arts - Blockchain"/>
        <s v="86438 - Arts - Blockchain"/>
        <s v="18061 - Arts - Blockchain"/>
        <s v="67265 - Arts - Blockchain"/>
        <s v="69552 - Arts - Blockchain"/>
        <s v="110955 - Arts - Blockchain"/>
        <s v="79505 - Arts - Blockchain"/>
        <s v="110943 - Arts - Blockchain"/>
        <s v="119048 - Arts - Blockchain"/>
        <s v="42695 - Arts - Blockchain"/>
        <s v="88980 - Arts - Blockchain"/>
        <s v="149507 - Arts - Blockchain"/>
        <s v="86988 - Arts - Blockchain"/>
        <s v="73836 - Arts - Blockchain"/>
        <s v="69322 - Arts - Blockchain"/>
        <s v="8696 - Arts - Blockchain"/>
        <s v="119062 - Arts - Blockchain"/>
        <s v="188931 - Arts - Blockchain"/>
        <s v="100238 - Arts - Blockchain"/>
        <s v="47010 - Arts - Blockchain"/>
        <s v="104605 - Arts - Blockchain"/>
        <s v="42694 - Arts - Blockchain"/>
        <s v="8697 - Arts - Blockchain"/>
        <s v="110957 - Arts - Blockchain"/>
        <s v="86989 - Arts - Blockchain"/>
        <s v="8695 - Arts - Blockchain"/>
        <s v="122792 - Arts - Blockchain"/>
        <s v="8698 - Arts - Blockchain"/>
        <s v="103866 - Arts - Blockchain"/>
        <s v="103865 - Arts - Blockchain"/>
        <s v="110945 - Arts - Blockchain"/>
        <s v="158671 - Arts - Blockchain"/>
        <s v="118915 - Arts - Blockchain"/>
        <s v="88990 - Arts - Blockchain"/>
        <s v="73835 - Arts - Blockchain"/>
        <s v="8699 - Arts - Blockchain"/>
        <s v="81494 - Arts - Blockchain"/>
        <s v="89821 - Arts - Blockchain"/>
        <s v="83567 - Arts - Blockchain"/>
        <s v="69323 - Arts - Blockchain"/>
        <s v="88976 - Arts - Blockchain"/>
        <s v="199415 - Arts - Blockchain"/>
        <s v="112792 - Arts - Blockchain"/>
        <s v="104322 - Arts - Blockchain"/>
        <s v="69321 - Arts - Blockchain"/>
        <s v="110948 - Arts - Blockchain"/>
        <s v="82008 - Arts - Blockchain"/>
        <s v="86987 - Arts - Blockchain"/>
        <s v="118912 - Arts - Blockchain"/>
        <s v="47048 - Arts - Blockchain"/>
        <s v="103870 - Arts - Blockchain"/>
        <s v="86985 - Arts - Blockchain"/>
        <s v="82005 - Arts - Blockchain"/>
        <s v="119053 - Arts - Blockchain"/>
        <s v="102015 - Self-Help - Game Development"/>
        <s v="92823 - Fiction - UI/UX Design"/>
        <s v="108060 - Fiction - UI/UX Design"/>
        <s v="4214 - Fiction - UI/UX Design"/>
        <s v="14715 - Fiction - UI/UX Design"/>
        <s v="16771 - Fiction - UI/UX Design"/>
        <s v="97945 - Fiction - UI/UX Design"/>
        <s v="144740 - Fiction - UI/UX Design"/>
        <s v="75342 - Fiction - UI/UX Design"/>
        <s v="88189 - Fiction - UI/UX Design"/>
        <s v="70677 - Fiction - UI/UX Design"/>
        <s v="86506 - Fiction - UI/UX Design"/>
        <s v="17360 - Fiction - UI/UX Design"/>
        <s v="9819 - Fiction - UI/UX Design"/>
        <s v="28574 - Fiction - UI/UX Design"/>
        <s v="102395 - Fiction - UI/UX Design"/>
        <s v="147302 - Fiction - UI/UX Design"/>
        <s v="85049 - Fiction - UI/UX Design"/>
        <s v="1683 - Fiction - UI/UX Design"/>
        <s v="1685 - Fiction - UI/UX Design"/>
        <s v="22193 - Fiction - UI/UX Design"/>
        <s v="9786 - Fiction - UI/UX Design"/>
        <s v="108770 - Fiction - UI/UX Design"/>
        <s v="109536 - Fiction - UI/UX Design"/>
        <s v="111743 - Fiction - UI/UX Design"/>
        <s v="108769 - Fiction - UI/UX Design"/>
        <s v="111742 - Fiction - UI/UX Design"/>
        <s v="88989 - Finance - Personal Finance"/>
        <s v="88987 - Finance - Personal Finance"/>
        <s v="88988 - Finance - Personal Finance"/>
        <s v="102816 - Finance - Personal Finance"/>
        <s v="49803 - Finance - Personal Finance"/>
        <s v="77302 - Finance - Personal Finance"/>
        <s v="94000 - Arts - Investing"/>
        <s v="9616 - Arts - Investing"/>
        <s v="115135 - Arts - Investing"/>
        <s v="90727 - Arts - Investing"/>
        <s v="24060 - Arts - Investing"/>
        <s v="112086 - Arts - Investing"/>
        <s v="90723 - Arts - Investing"/>
        <s v="77601 - Arts - Investing"/>
        <s v="12005 - Arts - Investing"/>
        <s v="41680 - Arts - Investing"/>
        <s v="12000 - Arts - Investing"/>
        <s v="12022 - Arts - Investing"/>
        <s v="113596 - Arts - Investing"/>
        <s v="11998 - Arts - Investing"/>
        <s v="12063 - Arts - Investing"/>
        <s v="96069 - Arts - Investing"/>
        <s v="12007 - Arts - Investing"/>
        <s v="113592 - Arts - Investing"/>
        <s v="147308 - Arts - Investing"/>
        <s v="41679 - Arts - Investing"/>
        <s v="112077 - Arts - Investing"/>
        <s v="115133 - Arts - Investing"/>
        <s v="30465 - Arts - Investing"/>
        <s v="87405 - Arts - Investing"/>
        <s v="77602 - Arts - Investing"/>
        <s v="107058 - Arts - Investing"/>
        <s v="5807 - Arts - Investing"/>
        <s v="87061 - Arts - Investing"/>
        <s v="108039 - Arts - Investing"/>
        <s v="90837 - Arts - Investing"/>
        <s v="88461 - Arts - Investing"/>
        <s v="81504 - Arts - Investing"/>
        <s v="12027 - Arts - Investing"/>
        <s v="8883 - Arts - Investing"/>
        <s v="112082 - Arts - Investing"/>
        <s v="114961 - Arts - Investing"/>
        <s v="112078 - Arts - Investing"/>
        <s v="12025 - Arts - Investing"/>
        <s v="11992 - Arts - Investing"/>
        <s v="188850 - Arts - Investing"/>
        <s v="69296 - Arts - Investing"/>
        <s v="115141 - Arts - Investing"/>
        <s v="112081 - Arts - Investing"/>
        <s v="77611 - Arts - Investing"/>
        <s v="111722 - Arts - Investing"/>
        <s v="81503 - Arts - Investing"/>
        <s v="117559 - Arts - Investing"/>
        <s v="110230 - Finance - Stock Market"/>
        <s v="122854 - Finance - Stock Market"/>
        <s v="95371 - Finance - Stock Market"/>
        <s v="101190 - Finance - Stock Market"/>
        <s v="121532 - Finance - Stock Market"/>
        <s v="6614 - Finance - Stock Market"/>
        <s v="6618 - Finance - Stock Market"/>
        <s v="96096 - Finance - Stock Market"/>
        <s v="105977 - Finance - Stock Market"/>
        <s v="105901 - Finance - Stock Market"/>
        <s v="180823 - Finance - Stock Market"/>
        <s v="118979 - Finance - Stock Market"/>
        <s v="111502 - Finance - Stock Market"/>
        <s v="180822 - Finance - Stock Market"/>
        <s v="101196 - Finance - Stock Market"/>
        <s v="180824 - Finance - Stock Market"/>
        <s v="105905 - Finance - Stock Market"/>
        <s v="101194 - Finance - Stock Market"/>
        <s v="113719 - Finance - Stock Market"/>
        <s v="111330 - Tech - Cryptocurrency"/>
        <s v="102089 - Tech - Cryptocurrency"/>
        <s v="116867 - Tech - Cryptocurrency"/>
        <s v="150297 - Tech - Cryptocurrency"/>
        <s v="23628 - Tech - Cryptocurrency"/>
        <s v="120369 - Tech - Cryptocurrency"/>
        <s v="114175 - Tech - Cryptocurrency"/>
        <s v="23649 - Tech - Cryptocurrency"/>
        <s v="80419 - Tech - Cryptocurrency"/>
        <s v="114173 - Tech - Cryptocurrency"/>
        <s v="91562 - Tech - Cryptocurrency"/>
        <s v="23662 - Tech - Cryptocurrency"/>
        <s v="76466 - Law - Banking"/>
        <s v="76465 - Law - Banking"/>
        <s v="68329 - Law - Banking"/>
        <s v="114470 - Law - Banking"/>
        <s v="110568 - Law - Banking"/>
        <s v="76470 - Law - Banking"/>
        <s v="5604 - Law - Banking"/>
        <s v="28613 - Law - Banking"/>
        <s v="159402 - Law - Banking"/>
        <s v="68379 - Law - Banking"/>
        <s v="91069 - Law - Banking"/>
        <s v="91060 - Law - Banking"/>
        <s v="182274 - Law - Banking"/>
        <s v="110566 - Law - Banking"/>
        <s v="78877 - Law - Banking"/>
        <s v="5490 - Law - Banking"/>
        <s v="68382 - Law - Banking"/>
        <s v="114663 - Law - Banking"/>
        <s v="76474 - Law - Banking"/>
        <s v="76455 - Law - Banking"/>
        <s v="46337 - Law - Banking"/>
        <s v="78430 - Law - Banking"/>
        <s v="5605 - Law - Banking"/>
        <s v="77419 - Law - Banking"/>
        <s v="121701 - Law - Banking"/>
        <s v="91072 - Law - Banking"/>
        <s v="68486 - Law - Banking"/>
        <s v="110576 - Law - Banking"/>
        <s v="78503 - Law - Banking"/>
        <s v="77439 - Law - Banking"/>
        <s v="5615 - Law - Banking"/>
        <s v="5602 - Law - Banking"/>
        <s v="28612 - Law - Banking"/>
        <s v="72247 - Law - Banking"/>
        <s v="76469 - Law - Banking"/>
        <s v="78876 - Law - Banking"/>
        <s v="91064 - Law - Banking"/>
        <s v="5603 - Law - Banking"/>
        <s v="5612 - Law - Banking"/>
        <s v="43897 - Law - Banking"/>
        <s v="91058 - Law - Banking"/>
        <s v="107998 - Law - Banking"/>
        <s v="112194 - Law - Banking"/>
        <s v="68232 - Law - Banking"/>
        <s v="159386 - Law - Banking"/>
        <s v="76471 - Law - Banking"/>
        <s v="68357 - Law - Banking"/>
        <s v="68303 - Law - Banking"/>
        <s v="68325 - Law - Banking"/>
        <s v="68515 - Law - Banking"/>
        <s v="107989 - Law - Banking"/>
        <s v="76732 - Law - Banking"/>
        <s v="14711 - Law - Banking"/>
        <s v="14706 - Law - Banking"/>
        <s v="23975 - Law - Banking"/>
        <s v="90665 - Law - Banking"/>
        <s v="69551 - Law - Banking"/>
        <s v="69503 - Law - Banking"/>
        <s v="23473 - Law - Banking"/>
        <s v="69500 - Law - Banking"/>
        <s v="14689 - Law - Banking"/>
        <s v="19409 - Law - Banking"/>
        <s v="69526 - Law - Banking"/>
        <s v="19412 - Law - Banking"/>
        <s v="23471 - Law - Banking"/>
        <s v="14670 - Law - Banking"/>
        <s v="69499 - Law - Banking"/>
        <s v="90686 - Law - Banking"/>
        <s v="111872 - Law - Banking"/>
        <s v="23964 - Law - Banking"/>
        <s v="111837 - Law - Banking"/>
        <s v="19377 - Law - Banking"/>
        <s v="111836 - Law - Banking"/>
        <s v="190103 - Law - Banking"/>
        <s v="19408 - Law - Banking"/>
        <s v="14694 - Law - Banking"/>
        <s v="5686 - Law - Banking"/>
        <s v="111842 - Law - Banking"/>
        <s v="23978 - Law - Banking"/>
        <s v="14682 - Law - Banking"/>
        <s v="111873 - Law - Banking"/>
        <s v="23454 - Law - Banking"/>
        <s v="16760 - Law - Banking"/>
        <s v="14709 - Law - Banking"/>
        <s v="14665 - Law - Banking"/>
        <s v="8869 - Law - Corporate Finance"/>
        <s v="68520 - Law - Corporate Finance"/>
        <s v="107331 - Law - Corporate Finance"/>
        <s v="107325 - Law - Corporate Finance"/>
        <s v="8871 - Law - Corporate Finance"/>
        <s v="107334 - Law - Corporate Finance"/>
        <s v="120302 - Law - Corporate Finance"/>
        <s v="117661 - Law - Corporate Finance"/>
        <s v="79006 - Law - Corporate Finance"/>
        <s v="17133 - Law - Corporate Finance"/>
        <s v="76818 - Law - Corporate Finance"/>
        <s v="70236 - Law - Corporate Finance"/>
        <s v="91342 - Law - Corporate Finance"/>
        <s v="121782 - Law - Corporate Finance"/>
        <s v="76822 - Law - Corporate Finance"/>
        <s v="100278 - Law - Corporate Finance"/>
        <s v="122795 - Law - Corporate Finance"/>
        <s v="100282 - Law - Corporate Finance"/>
        <s v="68867 - Law - Corporate Finance"/>
        <s v="8862 - Law - Corporate Finance"/>
        <s v="72131 - Law - Corporate Finance"/>
        <s v="12047 - Law - Corporate Finance"/>
        <s v="121790 - Law - Corporate Finance"/>
        <s v="121787 - Law - Corporate Finance"/>
        <s v="70239 - Law - Corporate Finance"/>
        <s v="113942 - Law - Corporate Finance"/>
        <s v="119134 - Law - Corporate Finance"/>
        <s v="76813 - Law - Corporate Finance"/>
        <s v="121793 - Law - Corporate Finance"/>
        <s v="100283 - Law - Corporate Finance"/>
        <s v="75028 - Law - Corporate Finance"/>
        <s v="113946 - Law - Corporate Finance"/>
        <s v="12050 - Law - Corporate Finance"/>
        <s v="104312 - Law - Corporate Finance"/>
        <s v="121780 - Law - Corporate Finance"/>
        <s v="88638 - Law - Corporate Finance"/>
        <s v="70238 - Law - Corporate Finance"/>
        <s v="121839 - Law - Corporate Finance"/>
        <s v="77621 - Law - Corporate Finance"/>
        <s v="121783 - Law - Corporate Finance"/>
        <s v="75033 - Law - Corporate Finance"/>
        <s v="12053 - Law - Corporate Finance"/>
        <s v="113954 - Law - Corporate Finance"/>
        <s v="5782 - Law - Corporate Finance"/>
        <s v="107915 - Law - Corporate Finance"/>
        <s v="68866 - Law - Corporate Finance"/>
        <s v="121837 - Law - Corporate Finance"/>
        <s v="121840 - Law - Corporate Finance"/>
        <s v="90979 - Law - Corporate Finance"/>
        <s v="114350 - Law - Corporate Finance"/>
        <s v="47539 - Law - Corporate Finance"/>
        <s v="83948 - Law - Corporate Finance"/>
        <s v="17139 - Law - Corporate Finance"/>
        <s v="12051 - Law - Corporate Finance"/>
        <s v="12052 - Law - Corporate Finance"/>
        <s v="121838 - Law - Corporate Finance"/>
        <s v="107917 - Law - Corporate Finance"/>
        <s v="5779 - Law - Corporate Finance"/>
        <s v="120303 - Law - Corporate Finance"/>
        <s v="121784 - Law - Corporate Finance"/>
        <s v="107913 - Law - Corporate Finance"/>
        <s v="58759 - Law - Corporate Finance"/>
        <s v="158697 - Law - Corporate Finance"/>
        <s v="87160 - Law - Corporate Finance"/>
        <s v="88694 - Law - Corporate Finance"/>
        <s v="120393 - Law - Corporate Finance"/>
        <s v="89581 - Law - Corporate Finance"/>
        <s v="6514 - Law - Corporate Finance"/>
        <s v="105340 - Law - Corporate Finance"/>
        <s v="120865 - Law - Corporate Finance"/>
        <s v="110078 - Law - Corporate Finance"/>
        <s v="122343 - Law - Corporate Finance"/>
        <s v="12296 - Law - Corporate Finance"/>
        <s v="96952 - Law - Corporate Finance"/>
        <s v="82193 - Law - Corporate Finance"/>
        <s v="89802 - Law - Corporate Finance"/>
        <s v="87044 - Law - Corporate Finance"/>
        <s v="87042 - Law - Corporate Finance"/>
        <s v="116274 - Law - Corporate Finance"/>
        <s v="122344 - Law - Corporate Finance"/>
        <s v="122345 - Law - Corporate Finance"/>
        <s v="120867 - Law - Corporate Finance"/>
        <s v="28494 - Law - Corporate Finance"/>
        <s v="8882 - Law - Corporate Finance"/>
        <s v="116275 - Law - Corporate Finance"/>
        <s v="121424 - Law - Corporate Finance"/>
        <s v="75058 - Law - Corporate Finance"/>
        <s v="75056 - Law - Corporate Finance"/>
        <s v="42239 - Law - Corporate Finance"/>
        <s v="42237 - Law - Corporate Finance"/>
        <s v="69457 - Law - Corporate Finance"/>
        <s v="69328 - Law - Corporate Finance"/>
        <s v="69454 - Law - Corporate Finance"/>
        <s v="69469 - Law - Corporate Finance"/>
        <s v="193264 - Law - Corporate Finance"/>
        <s v="115763 - Law - Corporate Finance"/>
        <s v="69463 - Law - Corporate Finance"/>
        <s v="84168 - Law - Corporate Finance"/>
        <s v="75077 - Law - Corporate Finance"/>
        <s v="42229 - Law - Corporate Finance"/>
        <s v="89588 - Law - Corporate Finance"/>
        <s v="99973 - Law - Corporate Finance"/>
        <s v="70241 - Law - Corporate Finance"/>
        <s v="129479 - Law - Corporate Finance"/>
        <s v="107926 - Law - Corporate Finance"/>
        <s v="42232 - Law - Corporate Finance"/>
        <s v="122106 - Law - Corporate Finance"/>
        <s v="69456 - Law - Corporate Finance"/>
        <s v="118888 - Law - Corporate Finance"/>
        <s v="69468 - Law - Corporate Finance"/>
        <s v="117629 - Law - Corporate Finance"/>
        <s v="121475 - Law - Corporate Finance"/>
        <s v="80412 - Law - Corporate Finance"/>
        <s v="122857 - Law - Corporate Finance"/>
        <s v="115769 - Law - Corporate Finance"/>
        <s v="115774 - Law - Corporate Finance"/>
        <s v="118889 - Law - Corporate Finance"/>
        <s v="115758 - Law - Corporate Finance"/>
        <s v="115755 - Law - Corporate Finance"/>
        <s v="114964 - Law - Corporate Finance"/>
        <s v="87617 - Law - Corporate Finance"/>
        <s v="118542 - Law - Corporate Finance"/>
        <s v="122845 - Law - Corporate Finance"/>
        <s v="114967 - Law - Corporate Finance"/>
        <s v="121476 - Law - Corporate Finance"/>
        <s v="120529 - Law - Corporate Finance"/>
        <s v="120530 - Law - Corporate Finance"/>
        <s v="117638 - Law - Corporate Finance"/>
        <s v="108240 - Law - Corporate Finance"/>
        <s v="88635 - Law - Corporate Finance"/>
        <s v="69340 - Law - Corporate Finance"/>
        <s v="199472 - Law - Corporate Finance"/>
        <s v="117646 - Law - Corporate Finance"/>
        <s v="84167 - Law - Corporate Finance"/>
        <s v="81742 - Law - Corporate Finance"/>
        <s v="115754 - Law - Corporate Finance"/>
        <s v="69334 - Law - Corporate Finance"/>
        <s v="117753 - Law - Corporate Finance"/>
        <s v="129482 - Law - Corporate Finance"/>
        <s v="117634 - Law - Corporate Finance"/>
        <s v="111027 - Law - Corporate Finance"/>
        <s v="115772 - Law - Corporate Finance"/>
        <s v="115768 - Law - Corporate Finance"/>
        <s v="69476 - Law - Corporate Finance"/>
        <s v="122118 - Law - Corporate Finance"/>
        <s v="87447 - Law - Corporate Finance"/>
        <s v="129480 - Law - Corporate Finance"/>
        <s v="84164 - Law - Corporate Finance"/>
        <s v="69338 - Law - Corporate Finance"/>
        <s v="120531 - Law - Corporate Finance"/>
        <s v="120524 - Law - Corporate Finance"/>
        <s v="117631 - Law - Corporate Finance"/>
        <s v="115757 - Law - Corporate Finance"/>
        <s v="42243 - Law - Corporate Finance"/>
        <s v="115761 - Law - Corporate Finance"/>
        <s v="113960 - Law - Corporate Finance"/>
        <s v="42241 - Law - Corporate Finance"/>
        <s v="115770 - Law - Corporate Finance"/>
        <s v="118541 - Law - Corporate Finance"/>
        <s v="115750 - Law - Corporate Finance"/>
        <s v="99969 - Law - Corporate Finance"/>
        <s v="129483 - Law - Corporate Finance"/>
        <s v="42255 - Law - Corporate Finance"/>
        <s v="100235 - Law - Corporate Finance"/>
        <s v="129481 - Law - Corporate Finance"/>
        <s v="87455 - Law - Corporate Finance"/>
        <s v="120257 - Medical - Financial Analysis"/>
        <s v="122221 - Medical - Financial Analysis"/>
        <s v="122216 - Medical - Financial Analysis"/>
        <s v="140598 - Medical - Financial Analysis"/>
        <s v="112123 - Medical - Financial Analysis"/>
        <s v="70402 - Medical - Financial Analysis"/>
        <s v="119110 - Medical - Financial Analysis"/>
        <s v="139295 - Medical - Financial Analysis"/>
        <s v="71056 - Medical - Financial Analysis"/>
        <s v="122218 - Medical - Financial Analysis"/>
        <s v="122217 - Medical - Financial Analysis"/>
        <s v="119119 - Medical - Financial Analysis"/>
        <s v="46933 - Medical - Financial Analysis"/>
        <s v="119118 - Medical - Financial Analysis"/>
        <s v="41035 - Medical - Financial Analysis"/>
        <s v="139303 - Medical - Financial Analysis"/>
        <s v="101784 - Medical - Financial Analysis"/>
        <s v="122219 - Medical - Financial Analysis"/>
        <s v="122215 - Medical - Financial Analysis"/>
        <s v="111154 - Medical - Financial Analysis"/>
        <s v="119117 - Medical - Financial Analysis"/>
        <s v="20419 - Medical - Financial Analysis"/>
        <s v="122220 - Medical - Financial Analysis"/>
        <s v="122214 - Medical - Financial Analysis"/>
        <s v="46936 - Medical - Financial Analysis"/>
        <s v="112122 - Medical - Financial Analysis"/>
        <s v="71055 - Medical - Financial Analysis"/>
        <s v="41034 - Medical - Financial Analysis"/>
        <s v="111153 - Medical - Financial Analysis"/>
        <s v="119120 - Medical - Financial Analysis"/>
        <s v="139297 - Medical - Financial Analysis"/>
        <s v="48476 - Medical - Financial Analysis"/>
        <s v="103454 - Medical - Financial Analysis"/>
        <s v="103456 - Medical - Financial Analysis"/>
        <s v="139304 - Medical - Financial Analysis"/>
        <s v="158661 - Law - Financial Modeling"/>
        <s v="162441 - Law - Financial Modeling"/>
        <s v="102695 - Law - Financial Modeling"/>
        <s v="78913 - Law - Financial Modeling"/>
        <s v="71397 - Law - Financial Modeling"/>
        <s v="17596 - Law - Financial Modeling"/>
        <s v="71398 - Law - Financial Modeling"/>
        <s v="17627 - Law - Financial Modeling"/>
        <s v="86166 - Law - Financial Modeling"/>
        <s v="71409 - Law - Financial Modeling"/>
        <s v="12877 - Law - Financial Modeling"/>
        <s v="121868 - Law - Financial Modeling"/>
        <s v="17626 - Law - Financial Modeling"/>
        <s v="71394 - Law - Financial Modeling"/>
        <s v="17620 - Law - Financial Modeling"/>
        <s v="86186 - Law - Financial Modeling"/>
        <s v="71410 - Law - Financial Modeling"/>
        <s v="121869 - Law - Financial Modeling"/>
        <s v="17624 - Law - Financial Modeling"/>
        <s v="119737 - Law - Financial Modeling"/>
        <s v="17618 - Law - Financial Modeling"/>
        <s v="78741 - Law - Financial Modeling"/>
        <s v="86864 - Law - Financial Modeling"/>
        <s v="71421 - Law - Financial Modeling"/>
        <s v="115776 - Law - Financial Modeling"/>
        <s v="71393 - Law - Financial Modeling"/>
        <s v="78739 - Law - Financial Modeling"/>
        <s v="71408 - Law - Financial Modeling"/>
        <s v="109194 - Law - Financial Modeling"/>
        <s v="84448 - Law - Financial Modeling"/>
        <s v="140575 - Law - Financial Modeling"/>
        <s v="71420 - Law - Financial Modeling"/>
        <s v="71375 - Law - Financial Modeling"/>
        <s v="71376 - Law - Financial Modeling"/>
        <s v="110975 - Law - Financial Modeling"/>
        <s v="86170 - Law - Financial Modeling"/>
        <s v="142787 - Law - Financial Modeling"/>
        <s v="109185 - Law - Financial Modeling"/>
        <s v="109184 - Law - Financial Modeling"/>
        <s v="72575 - Law - Financial Modeling"/>
        <s v="78909 - Law - Financial Modeling"/>
        <s v="17630 - Law - Financial Modeling"/>
        <s v="78924 - Law - Financial Modeling"/>
        <s v="82196 - Law - Financial Modeling"/>
        <s v="86184 - Law - Financial Modeling"/>
        <s v="6219 - Law - Financial Modeling"/>
        <s v="116185 - Law - Financial Modeling"/>
        <s v="12873 - Law - Financial Modeling"/>
        <s v="71413 - Law - Financial Modeling"/>
        <s v="128352 - Law - Financial Modeling"/>
        <s v="17594 - Law - Financial Modeling"/>
        <s v="71404 - Law - Financial Modeling"/>
        <s v="129473 - Law - Financial Modeling"/>
        <s v="78904 - Law - Financial Modeling"/>
        <s v="122311 - Law - Financial Modeling"/>
        <s v="86172 - Law - Financial Modeling"/>
        <s v="17592 - Law - Financial Modeling"/>
        <s v="89981 - Law - Financial Modeling"/>
        <s v="71399 - Law - Financial Modeling"/>
        <s v="17587 - Law - Financial Modeling"/>
        <s v="17647 - Law - Financial Modeling"/>
        <s v="107364 - Law - Financial Modeling"/>
        <s v="24118 - Law - Financial Modeling"/>
        <s v="86181 - Law - Financial Modeling"/>
        <s v="129474 - Law - Financial Modeling"/>
        <s v="17601 - Law - Financial Modeling"/>
        <s v="78938 - Law - Financial Modeling"/>
        <s v="17609 - Law - Financial Modeling"/>
        <s v="129452 - Law - Financial Modeling"/>
        <s v="88587 - Law - Financial Modeling"/>
        <s v="17645 - Law - Financial Modeling"/>
        <s v="78899 - Law - Financial Modeling"/>
        <s v="71402 - Law - Financial Modeling"/>
        <s v="12875 - Law - Financial Modeling"/>
        <s v="17615 - Law - Financial Modeling"/>
        <s v="193116 - Law - Financial Modeling"/>
        <s v="72577 - Law - Financial Modeling"/>
        <s v="78916 - Law - Financial Modeling"/>
        <s v="71419 - Law - Financial Modeling"/>
        <s v="188223 - Law - Financial Modeling"/>
        <s v="71417 - Law - Financial Modeling"/>
        <s v="46895 - Law - Financial Modeling"/>
        <s v="86157 - Law - Financial Modeling"/>
        <s v="159110 - Law - Financial Modeling"/>
        <s v="46913 - Law - Financial Modeling"/>
        <s v="71400 - Law - Financial Modeling"/>
        <s v="46914 - Law - Financial Modeling"/>
        <s v="120300 - Law - Financial Modeling"/>
        <s v="71412 - Law - Financial Modeling"/>
        <s v="71415 - Law - Financial Modeling"/>
        <s v="71414 - Law - Financial Modeling"/>
        <s v="10336 - Finance - Risk Management"/>
        <s v="125173 - Finance - Risk Management"/>
        <s v="112994 - Finance - Risk Management"/>
        <s v="125182 - Finance - Risk Management"/>
        <s v="121112 - Finance - Risk Management"/>
        <s v="125172 - Finance - Risk Management"/>
        <s v="125196 - Finance - Risk Management"/>
        <s v="125192 - Finance - Risk Management"/>
        <s v="125194 - Finance - Risk Management"/>
        <s v="125198 - Finance - Risk Management"/>
        <s v="111220 - Finance - Risk Management"/>
        <s v="105969 - Finance - Risk Management"/>
        <s v="105981 - Finance - Risk Management"/>
        <s v="125185 - Finance - Risk Management"/>
        <s v="111605 - History - Derivatives"/>
        <s v="111608 - History - Derivatives"/>
        <s v="97023 - History - Derivatives"/>
        <s v="111607 - History - Derivatives"/>
        <s v="71083 - Law - Portfolio Management"/>
        <s v="118178 - Law - Portfolio Management"/>
        <s v="81767 - Law - Portfolio Management"/>
        <s v="118186 - Law - Portfolio Management"/>
        <s v="43228 - Law - Portfolio Management"/>
        <s v="199268 - Law - Portfolio Management"/>
        <s v="118196 - Law - Portfolio Management"/>
        <s v="71084 - Law - Portfolio Management"/>
        <s v="120587 - Law - Portfolio Management"/>
        <s v="80952 - Law - Portfolio Management"/>
        <s v="120575 - Law - Portfolio Management"/>
        <s v="43244 - Law - Portfolio Management"/>
        <s v="116477 - Law - Portfolio Management"/>
        <s v="110480 - Law - Portfolio Management"/>
        <s v="87548 - Law - Portfolio Management"/>
        <s v="77223 - Law - Portfolio Management"/>
        <s v="43241 - Law - Portfolio Management"/>
        <s v="71161 - Law - Portfolio Management"/>
        <s v="77224 - Law - Portfolio Management"/>
        <s v="113992 - Law - Portfolio Management"/>
        <s v="112611 - Law - Portfolio Management"/>
        <s v="116482 - Law - Portfolio Management"/>
        <s v="77246 - Law - Portfolio Management"/>
        <s v="122798 - Law - Portfolio Management"/>
        <s v="120590 - Law - Portfolio Management"/>
        <s v="71914 - Law - Portfolio Management"/>
        <s v="118206 - Law - Portfolio Management"/>
        <s v="118179 - Law - Portfolio Management"/>
        <s v="43247 - Law - Portfolio Management"/>
        <s v="71166 - Law - Portfolio Management"/>
        <s v="43238 - Law - Portfolio Management"/>
        <s v="114003 - Law - Portfolio Management"/>
        <s v="87540 - Law - Portfolio Management"/>
        <s v="77229 - Law - Portfolio Management"/>
        <s v="113994 - Law - Portfolio Management"/>
        <s v="106725 - Law - Portfolio Management"/>
        <s v="43235 - Law - Portfolio Management"/>
        <s v="118176 - Law - Portfolio Management"/>
        <s v="114018 - Law - Portfolio Management"/>
        <s v="116480 - Law - Portfolio Management"/>
        <s v="120577 - Law - Portfolio Management"/>
        <s v="118201 - Law - Portfolio Management"/>
        <s v="77245 - Law - Portfolio Management"/>
        <s v="118195 - Law - Portfolio Management"/>
        <s v="118197 - Law - Portfolio Management"/>
        <s v="187317 - Law - Portfolio Management"/>
        <s v="199484 - Law - Portfolio Management"/>
        <s v="113995 - Law - Portfolio Management"/>
        <s v="113669 - Law - Portfolio Management"/>
        <s v="111584 - Law - Portfolio Management"/>
        <s v="26123 - Law - Portfolio Management"/>
        <s v="113665 - Law - Portfolio Management"/>
        <s v="181241 - Law - Portfolio Management"/>
        <s v="113664 - Law - Portfolio Management"/>
        <s v="113677 - Law - Portfolio Management"/>
        <s v="120343 - Law - Portfolio Management"/>
        <s v="113666 - Law - Portfolio Management"/>
        <s v="113663 - Law - Portfolio Management"/>
        <s v="116983 - Sports - Venture Capital"/>
        <s v="94043 - Sports - Venture Capital"/>
        <s v="68216 - Sports - Venture Capital"/>
        <s v="80131 - Sports - Venture Capital"/>
        <s v="80998 - Sports - Venture Capital"/>
        <s v="87014 - Sports - Venture Capital"/>
        <s v="102900 - Sports - Venture Capital"/>
        <s v="80997 - Sports - Venture Capital"/>
        <s v="116989 - Sports - Venture Capital"/>
        <s v="43826 - Sports - Venture Capital"/>
        <s v="8769 - Sports - Venture Capital"/>
        <s v="104427 - Sports - Venture Capital"/>
        <s v="8770 - Sports - Venture Capital"/>
        <s v="94930 - Sports - Venture Capital"/>
        <s v="111576 - Sports - Venture Capital"/>
        <s v="71715 - Sports - Venture Capital"/>
        <s v="71710 - Sports - Venture Capital"/>
        <s v="102790 - Sports - Venture Capital"/>
        <s v="3518 - Sports - Venture Capital"/>
        <s v="18318 - Sports - Venture Capital"/>
        <s v="104220 - Sports - Venture Capital"/>
        <s v="106109 - Sports - Venture Capital"/>
        <s v="72162 - Sports - Venture Capital"/>
        <s v="104410 - Sports - Venture Capital"/>
        <s v="88825 - Sports - Venture Capital"/>
        <s v="13928 - Sports - Venture Capital"/>
        <s v="45368 - Sports - Venture Capital"/>
        <s v="119732 - Sports - Venture Capital"/>
        <s v="90467 - Sports - Venture Capital"/>
        <s v="119874 - Sports - Venture Capital"/>
        <s v="121316 - Sports - Venture Capital"/>
        <s v="77390 - Sports - Venture Capital"/>
        <s v="11444 - Sports - Venture Capital"/>
        <s v="74416 - Sports - Venture Capital"/>
        <s v="75323 - Sports - Venture Capital"/>
        <s v="86619 - Sports - Venture Capital"/>
        <s v="119801 - Sports - Venture Capital"/>
        <s v="126576 - Sports - Venture Capital"/>
        <s v="108841 - Sports - Venture Capital"/>
        <s v="82820 - Sports - Venture Capital"/>
        <s v="116826 - Sports - Venture Capital"/>
        <s v="126965 - Sports - Venture Capital"/>
        <s v="103795 - Sports - Venture Capital"/>
        <s v="116821 - Sports - Venture Capital"/>
        <s v="126577 - Sports - Venture Capital"/>
        <s v="82806 - Sports - Venture Capital"/>
        <s v="68099 - Sports - Venture Capital"/>
        <s v="82827 - Sports - Venture Capital"/>
        <s v="77127 - Sports - Venture Capital"/>
        <s v="69002 - Sports - Venture Capital"/>
        <s v="119847 - Sports - Venture Capital"/>
        <s v="11446 - Sports - Venture Capital"/>
        <s v="30628 - Sports - Venture Capital"/>
        <s v="113003 - Sports - Venture Capital"/>
        <s v="30631 - Sports - Venture Capital"/>
        <s v="188351 - Sports - Venture Capital"/>
        <s v="67025 - Sports - Venture Capital"/>
        <s v="119797 - Sports - Venture Capital"/>
        <s v="3592 - Sports - Venture Capital"/>
        <s v="3586 - Sports - Venture Capital"/>
        <s v="3591 - Sports - Venture Capital"/>
        <s v="73847 - Sports - Venture Capital"/>
        <s v="3590 - Sports - Venture Capital"/>
        <s v="116903 - Sports - Venture Capital"/>
        <s v="116780 - Sports - Venture Capital"/>
        <s v="114912 - Medical - Private Equity"/>
        <s v="111970 - Finance - Painting"/>
        <s v="126973 - Finance - Painting"/>
        <s v="116964 - Sports - Drawing"/>
        <s v="122340 - Sports - Drawing"/>
        <s v="116963 - Sports - Drawing"/>
        <s v="120241 - Sports - Drawing"/>
        <s v="120205 - Sports - Drawing"/>
        <s v="104162 - Sports - Drawing"/>
        <s v="110792 - Sports - Drawing"/>
        <s v="104169 - Sports - Drawing"/>
        <s v="111957 - Sports - Drawing"/>
        <s v="89201 - Sports - Drawing"/>
        <s v="87305 - Sports - Drawing"/>
        <s v="3480 - Sports - Drawing"/>
        <s v="116817 - Sports - Drawing"/>
        <s v="47209 - Sports - Drawing"/>
        <s v="68213 - Sports - Drawing"/>
        <s v="100999 - Sports - Drawing"/>
        <s v="119241 - Sports - Drawing"/>
        <s v="133917 - Sports - Drawing"/>
        <s v="128334 - Sports - Drawing"/>
        <s v="113235 - Sports - Drawing"/>
        <s v="113249 - Sports - Drawing"/>
        <s v="89210 - Sports - Drawing"/>
        <s v="104170 - Sports - Drawing"/>
        <s v="18671 - Sports - Drawing"/>
        <s v="83804 - Sports - Drawing"/>
        <s v="104415 - Sports - Drawing"/>
        <s v="78351 - Sports - Drawing"/>
        <s v="112174 - Sports - Drawing"/>
        <s v="120248 - Sports - Drawing"/>
        <s v="18672 - Sports - Drawing"/>
        <s v="13517 - Sports - Drawing"/>
        <s v="119896 - Sports - Drawing"/>
        <s v="120249 - Sports - Drawing"/>
        <s v="78352 - Sports - Drawing"/>
        <s v="45630 - Sports - Drawing"/>
        <s v="99726 - Sports - Drawing"/>
        <s v="88619 - Sports - Drawing"/>
        <s v="73430 - Sports - Drawing"/>
        <s v="98939 - Sports - Drawing"/>
        <s v="45826 - Sports - Drawing"/>
        <s v="100797 - Sports - Drawing"/>
        <s v="104429 - Sports - Drawing"/>
        <s v="119806 - Sports - Drawing"/>
        <s v="120734 - Sports - Drawing"/>
        <s v="104423 - Sports - Drawing"/>
        <s v="120286 - Sports - Drawing"/>
        <s v="81838 - Sports - Drawing"/>
        <s v="117718 - Sports - Drawing"/>
        <s v="70611 - Sports - Drawing"/>
        <s v="110848 - Sports - Drawing"/>
        <s v="107925 - Sports - Drawing"/>
        <s v="156038 - Sports - Drawing"/>
        <s v="117392 - Sports - Drawing"/>
        <s v="86620 - Sports - Drawing"/>
        <s v="27871 - Sports - Drawing"/>
        <s v="82874 - Sports - Drawing"/>
        <s v="120292 - Sports - Drawing"/>
        <s v="120293 - Sports - Drawing"/>
        <s v="44522 - Sports - Drawing"/>
        <s v="143999 - Sports - Drawing"/>
        <s v="144000 - Sports - Drawing"/>
        <s v="91236 - Sports - Sculpture"/>
        <s v="78213 - Sports - Sculpture"/>
        <s v="119254 - Sports - Sculpture"/>
        <s v="82149 - Sports - Sculpture"/>
        <s v="30864 - Sports - Sculpture"/>
        <s v="82148 - Sports - Sculpture"/>
        <s v="78069 - Sports - Sculpture"/>
        <s v="68623 - Sports - Sculpture"/>
        <s v="108904 - Sports - Sculpture"/>
        <s v="113967 - Sports - Sculpture"/>
        <s v="10145 - Sports - Sculpture"/>
        <s v="116960 - Sports - Sculpture"/>
        <s v="103663 - Sports - Sculpture"/>
        <s v="45983 - Sports - Sculpture"/>
        <s v="103662 - Sports - Sculpture"/>
        <s v="78318 - Sports - Sculpture"/>
        <s v="120179 - Sports - Sculpture"/>
        <s v="10144 - Sports - Sculpture"/>
        <s v="78304 - Sports - Sculpture"/>
        <s v="86598 - Sports - Sculpture"/>
        <s v="103665 - Sports - Sculpture"/>
        <s v="77771 - Sports - Sculpture"/>
        <s v="116798 - Sports - Sculpture"/>
        <s v="100610 - Sports - Sculpture"/>
        <s v="77772 - Sports - Sculpture"/>
        <s v="119914 - Sports - Sculpture"/>
        <s v="88495 - Sports - Sculpture"/>
        <s v="88487 - Sports - Sculpture"/>
        <s v="109488 - Sports - Sculpture"/>
        <s v="11401 - Sports - Sculpture"/>
        <s v="45530 - Sports - Sculpture"/>
        <s v="104426 - Sports - Sculpture"/>
        <s v="119827 - Sports - Sculpture"/>
        <s v="104384 - Sports - Sculpture"/>
        <s v="121966 - Sports - Sculpture"/>
        <s v="120183 - Sports - Sculpture"/>
        <s v="82832 - Sports - Sculpture"/>
        <s v="117607 - Sports - Sculpture"/>
        <s v="116244 - Sports - Sculpture"/>
        <s v="81045 - Sports - Sculpture"/>
        <s v="106021 - Sports - Sculpture"/>
        <s v="86622 - Sports - Sculpture"/>
        <s v="82834 - Sports - Sculpture"/>
        <s v="81008 - Sports - Sculpture"/>
        <s v="83167 - Sports - Sculpture"/>
        <s v="86584 - Sports - Sculpture"/>
        <s v="79902 - Medical - Photography"/>
        <s v="41328 - Medical - Photography"/>
        <s v="79907 - Medical - Photography"/>
        <s v="70588 - Medical - Photography"/>
        <s v="70587 - Medical - Photography"/>
        <s v="109356 - Medical - Photography"/>
        <s v="47892 - Medical - Photography"/>
        <s v="79901 - Medical - Photography"/>
        <s v="70585 - Medical - Photography"/>
        <s v="4375 - Medical - Photography"/>
        <s v="4380 - Medical - Photography"/>
        <s v="84967 - Medical - Photography"/>
        <s v="4381 - Medical - Photography"/>
        <s v="4379 - Medical - Photography"/>
        <s v="4383 - Medical - Photography"/>
        <s v="110770 - Medical - Photography"/>
        <s v="110764 - Medical - Photography"/>
        <s v="109355 - Medical - Photography"/>
        <s v="110765 - Medical - Photography"/>
        <s v="103510 - Medical - Photography"/>
        <s v="114936 - Medical - Photography"/>
        <s v="114935 - Medical - Photography"/>
        <s v="110768 - Medical - Photography"/>
        <s v="120256 - Medical - Photography"/>
        <s v="101783 - Medical - Photography"/>
        <s v="75766 - Medical - Photography"/>
        <s v="69756 - Medical - Photography"/>
        <s v="112471 - Medical - Photography"/>
        <s v="99040 - Medical - Photography"/>
        <s v="112321 - Medical - Photography"/>
        <s v="139296 - Medical - Photography"/>
        <s v="112318 - Medical - Photography"/>
        <s v="86119 - Medical - Photography"/>
        <s v="79895 - Medical - Photography"/>
        <s v="133909 - Medical - Photography"/>
        <s v="128338 - Medical - Photography"/>
        <s v="42990 - Medical - Photography"/>
        <s v="128339 - Medical - Photography"/>
        <s v="42008 - Medical - Photography"/>
        <s v="112320 - Medical - Photography"/>
        <s v="111150 - Medical - Photography"/>
        <s v="101782 - Medical - Photography"/>
        <s v="128402 - Medical - Photography"/>
        <s v="112322 - Medical - Photography"/>
        <s v="41994 - Medical - Photography"/>
        <s v="112319 - Medical - Photography"/>
        <s v="42002 - Medical - Photography"/>
        <s v="120263 - Medical - Photography"/>
        <s v="112855 - Medical - Photography"/>
        <s v="111151 - Medical - Photography"/>
        <s v="111152 - Medical - Photography"/>
        <s v="122224 - Medical - Photography"/>
        <s v="124709 - Medical - Photography"/>
        <s v="99039 - Medical - Photography"/>
        <s v="82928 - Medical - Photography"/>
        <s v="111149 - Medical - Photography"/>
        <s v="82927 - Medical - Photography"/>
        <s v="112317 - Medical - Photography"/>
        <s v="140597 - Medical - Photography"/>
        <s v="122229 - Medical - Photography"/>
        <s v="112473 - Medical - Photography"/>
        <s v="122226 - Medical - Photography"/>
        <s v="4385 - Medical - Photography"/>
        <s v="41029 - Medical - Photography"/>
        <s v="4386 - Medical - Photography"/>
        <s v="41030 - Medical - Photography"/>
        <s v="84950 - Medical - Photography"/>
        <s v="45255 - Medical - Photography"/>
        <s v="108070 - Medical - Photography"/>
        <s v="108069 - Medical - Photography"/>
        <s v="9668 - Medical - Photography"/>
        <s v="26322 - Medical - Photography"/>
        <s v="70413 - Medical - Photography"/>
        <s v="4389 - Medical - Photography"/>
        <s v="128340 - Medical - Photography"/>
        <s v="108071 - Medical - Photography"/>
        <s v="108068 - Medical - Photography"/>
        <s v="9662 - Medical - Photography"/>
        <s v="117611 - Medical - Photography"/>
        <s v="111148 - Medical - Photography"/>
        <s v="9680 - Medical - Photography"/>
        <s v="117605 - Medical - Photography"/>
        <s v="108077 - Medical - Photography"/>
        <s v="9681 - Medical - Photography"/>
        <s v="4388 - Medical - Photography"/>
        <s v="99036 - Medical - Photography"/>
        <s v="109344 - Medical - Photography"/>
        <s v="9663 - Medical - Photography"/>
        <s v="119106 - Medical - Photography"/>
        <s v="9664 - Medical - Photography"/>
        <s v="108064 - Medical - Photography"/>
        <s v="70414 - Medical - Photography"/>
        <s v="9673 - Medical - Photography"/>
        <s v="117604 - Medical - Photography"/>
        <s v="45165 - Medical - Photography"/>
        <s v="128341 - Medical - Photography"/>
        <s v="101917 - Medical - Photography"/>
        <s v="79419 - Medical - Photography"/>
        <s v="9675 - Medical - Photography"/>
        <s v="9671 - Medical - Photography"/>
        <s v="20247 - Arts - Graphic Design"/>
        <s v="109240 - Arts - Graphic Design"/>
        <s v="104079 - Arts - Graphic Design"/>
        <s v="126567 - Arts - Graphic Design"/>
        <s v="45567 - Arts - Graphic Design"/>
        <s v="109241 - Arts - Graphic Design"/>
        <s v="126564 - Arts - Graphic Design"/>
        <s v="20246 - Arts - Graphic Design"/>
        <s v="99321 - Arts - Graphic Design"/>
        <s v="99322 - Arts - Graphic Design"/>
        <s v="126561 - Arts - Graphic Design"/>
        <s v="113871 - Arts - Graphic Design"/>
        <s v="68332 - Arts - Graphic Design"/>
        <s v="102081 - Arts - Graphic Design"/>
        <s v="84213 - Arts - Graphic Design"/>
        <s v="68302 - Arts - Graphic Design"/>
        <s v="88238 - Arts - Graphic Design"/>
        <s v="84202 - Arts - Graphic Design"/>
        <s v="84226 - Arts - Graphic Design"/>
        <s v="104071 - Arts - Graphic Design"/>
        <s v="104075 - Arts - Graphic Design"/>
        <s v="91042 - Arts - Graphic Design"/>
        <s v="108047 - Arts - Graphic Design"/>
        <s v="90993 - Arts - Graphic Design"/>
        <s v="19277 - Arts - Graphic Design"/>
        <s v="84223 - Arts - Graphic Design"/>
        <s v="84225 - Arts - Graphic Design"/>
        <s v="113865 - Arts - Graphic Design"/>
        <s v="94645 - Arts - Graphic Design"/>
        <s v="104073 - Arts - Graphic Design"/>
        <s v="113880 - Arts - Graphic Design"/>
        <s v="91045 - Arts - Graphic Design"/>
        <s v="84231 - Arts - Graphic Design"/>
        <s v="68321 - Arts - Graphic Design"/>
        <s v="84211 - Arts - Graphic Design"/>
        <s v="158663 - Arts - Graphic Design"/>
        <s v="113874 - Arts - Graphic Design"/>
        <s v="84234 - Arts - Graphic Design"/>
        <s v="76642 - Arts - Graphic Design"/>
        <s v="126573 - Arts - Graphic Design"/>
        <s v="113877 - Arts - Graphic Design"/>
        <s v="84212 - Arts - Graphic Design"/>
        <s v="84203 - Arts - Graphic Design"/>
        <s v="91038 - Arts - Graphic Design"/>
        <s v="19335 - Arts - Graphic Design"/>
        <s v="103073 - Arts - Graphic Design"/>
        <s v="122261 - Arts - Graphic Design"/>
        <s v="68315 - Arts - Graphic Design"/>
        <s v="110229 - Arts - Graphic Design"/>
        <s v="5548 - Arts - Graphic Design"/>
        <s v="126544 - Arts - Graphic Design"/>
        <s v="90792 - Arts - Graphic Design"/>
        <s v="126541 - Arts - Graphic Design"/>
        <s v="71190 - Arts - Graphic Design"/>
        <s v="76425 - Arts - Graphic Design"/>
        <s v="76422 - Arts - Graphic Design"/>
        <s v="159201 - Arts - Graphic Design"/>
        <s v="76421 - Arts - Graphic Design"/>
        <s v="76424 - Arts - Graphic Design"/>
        <s v="90766 - Arts - Graphic Design"/>
        <s v="5538 - Arts - Graphic Design"/>
        <s v="68371 - Arts - Graphic Design"/>
        <s v="90808 - Arts - Graphic Design"/>
        <s v="5543 - Arts - Graphic Design"/>
        <s v="76420 - Arts - Graphic Design"/>
        <s v="68364 - Arts - Graphic Design"/>
        <s v="5541 - Arts - Graphic Design"/>
        <s v="5544 - Arts - Graphic Design"/>
        <s v="122257 - Arts - Graphic Design"/>
        <s v="90740 - Arts - Graphic Design"/>
        <s v="48280 - Arts - Graphic Design"/>
        <s v="71191 - Arts - Graphic Design"/>
        <s v="76418 - Arts - Graphic Design"/>
        <s v="87161 - Arts - Graphic Design"/>
        <s v="68323 - Arts - Graphic Design"/>
        <s v="72847 - Arts - Graphic Design"/>
        <s v="90799 - Arts - Graphic Design"/>
        <s v="71194 - Arts - Graphic Design"/>
        <s v="68378 - Arts - Graphic Design"/>
        <s v="76426 - Arts - Graphic Design"/>
        <s v="76413 - Arts - Graphic Design"/>
        <s v="68306 - Arts - Graphic Design"/>
        <s v="48283 - Arts - Graphic Design"/>
        <s v="81172 - Arts - Graphic Design"/>
        <s v="68328 - Arts - Graphic Design"/>
        <s v="158667 - Arts - Graphic Design"/>
        <s v="5539 - Arts - Graphic Design"/>
        <s v="68413 - Arts - Graphic Design"/>
        <s v="68345 - Arts - Graphic Design"/>
        <s v="70377 - Arts - Graphic Design"/>
        <s v="126547 - Arts - Graphic Design"/>
        <s v="117218 - Arts - Graphic Design"/>
        <s v="158668 - Arts - Graphic Design"/>
        <s v="19314 - Arts - Graphic Design"/>
        <s v="113867 - Arts - Graphic Design"/>
        <s v="19294 - Arts - Graphic Design"/>
        <s v="90961 - Arts - Graphic Design"/>
        <s v="118480 - Arts - Graphic Design"/>
        <s v="98337 - Arts - Graphic Design"/>
        <s v="90955 - Arts - Graphic Design"/>
        <s v="19303 - Arts - Graphic Design"/>
        <s v="98338 - Arts - Graphic Design"/>
        <s v="98339 - Arts - Graphic Design"/>
        <s v="19296 - Arts - Graphic Design"/>
        <s v="19306 - Arts - Graphic Design"/>
        <s v="90969 - Arts - Graphic Design"/>
        <s v="19299 - Arts - Graphic Design"/>
        <s v="5764 - Arts - Graphic Design"/>
        <s v="114667 - Arts - Graphic Design"/>
        <s v="113870 - Arts - Graphic Design"/>
        <s v="127918 - Arts - Graphic Design"/>
        <s v="127917 - Arts - Graphic Design"/>
        <s v="19297 - Arts - Graphic Design"/>
        <s v="19316 - Arts - Graphic Design"/>
        <s v="118481 - Arts - Graphic Design"/>
        <s v="118366 - Arts - Graphic Design"/>
        <s v="111183 - Arts - Graphic Design"/>
        <s v="124735 - Arts - Graphic Design"/>
        <s v="78727 - Arts - Graphic Design"/>
        <s v="111182 - Arts - Graphic Design"/>
        <s v="78734 - Arts - Graphic Design"/>
        <s v="78729 - Arts - Graphic Design"/>
        <s v="111662 - Arts - Graphic Design"/>
        <s v="78728 - Arts - Graphic Design"/>
        <s v="119082 - Arts - Graphic Design"/>
        <s v="5770 - Arts - Graphic Design"/>
        <s v="103072 - Arts - Graphic Design"/>
        <s v="19344 - Arts - Graphic Design"/>
        <s v="84219 - Arts - Graphic Design"/>
        <s v="19345 - Arts - Graphic Design"/>
        <s v="90816 - Arts - Graphic Design"/>
        <s v="23198 - Arts - Graphic Design"/>
        <s v="87207 - Arts - Graphic Design"/>
        <s v="5694 - Arts - Graphic Design"/>
        <s v="119084 - Arts - Graphic Design"/>
        <s v="127927 - Arts - Graphic Design"/>
        <s v="111184 - Arts - Graphic Design"/>
        <s v="19341 - Arts - Graphic Design"/>
        <s v="118485 - Arts - Graphic Design"/>
        <s v="110565 - Arts - Graphic Design"/>
        <s v="118484 - Arts - Graphic Design"/>
        <s v="107652 - Arts - Graphic Design"/>
        <s v="107673 - Arts - Graphic Design"/>
        <s v="107902 - Arts - Graphic Design"/>
        <s v="19340 - Arts - Graphic Design"/>
        <s v="69190 - Arts - Graphic Design"/>
        <s v="48451 - Arts - Graphic Design"/>
        <s v="19339 - Arts - Graphic Design"/>
        <s v="69195 - Arts - Graphic Design"/>
        <s v="77192 - Arts - Graphic Design"/>
        <s v="95922 - Arts - Graphic Design"/>
        <s v="116779 - Arts - Graphic Design"/>
        <s v="69238 - Arts - Graphic Design"/>
        <s v="19337 - Arts - Graphic Design"/>
        <s v="19326 - Arts - Graphic Design"/>
        <s v="69251 - Arts - Graphic Design"/>
        <s v="81871 - Arts - Graphic Design"/>
        <s v="19321 - Arts - Graphic Design"/>
        <s v="117618 - Medical - Illustration"/>
        <s v="117623 - Medical - Illustration"/>
        <s v="117614 - Medical - Illustration"/>
        <s v="14393 - Medical - Illustration"/>
        <s v="70419 - Medical - Illustration"/>
        <s v="111147 - Medical - Illustration"/>
        <s v="4325 - Medical - Illustration"/>
        <s v="4321 - Medical - Illustration"/>
        <s v="70418 - Medical - Illustration"/>
        <s v="80648 - Medical - Illustration"/>
        <s v="70417 - Medical - Illustration"/>
        <s v="79420 - Medical - Illustration"/>
        <s v="4327 - Medical - Illustration"/>
        <s v="89505 - Medical - Illustration"/>
        <s v="128344 - Medical - Illustration"/>
        <s v="79421 - Medical - Illustration"/>
        <s v="128336 - Medical - Illustration"/>
        <s v="5081 - Medical - Illustration"/>
        <s v="79423 - Medical - Illustration"/>
        <s v="116481 - Medical - Illustration"/>
        <s v="118278 - Medical - Illustration"/>
        <s v="116440 - Medical - Illustration"/>
        <s v="116478 - Medical - Illustration"/>
        <s v="139305 - Medical - Illustration"/>
        <s v="118280 - Medical - Illustration"/>
        <s v="116506 - Medical - Illustration"/>
        <s v="116504 - Medical - Illustration"/>
        <s v="116435 - Medical - Illustration"/>
        <s v="70575 - Medical - Illustration"/>
        <s v="128343 - Medical - Illustration"/>
        <s v="112099 - Medical - Illustration"/>
        <s v="128337 - Medical - Illustration"/>
        <s v="4339 - Medical - Illustration"/>
        <s v="14399 - Medical - Illustration"/>
        <s v="4340 - Medical - Illustration"/>
        <s v="45250 - Medical - Illustration"/>
        <s v="9651 - Medical - Illustration"/>
        <s v="4329 - Medical - Illustration"/>
        <s v="4338 - Medical - Illustration"/>
        <s v="112100 - Medical - Illustration"/>
        <s v="9650 - Medical - Illustration"/>
        <s v="9649 - Medical - Illustration"/>
        <s v="9652 - Medical - Illustration"/>
        <s v="79426 - Medical - Illustration"/>
        <s v="79425 - Medical - Illustration"/>
        <s v="4335 - Medical - Illustration"/>
        <s v="70420 - Medical - Illustration"/>
        <s v="9655 - Medical - Illustration"/>
        <s v="68510 - Medical - Illustration"/>
        <s v="11068 - Medical - Illustration"/>
        <s v="79888 - Medical - Illustration"/>
        <s v="108982 - Medical - Illustration"/>
        <s v="88020 - Medical - Illustration"/>
        <s v="44824 - Medical - Illustration"/>
        <s v="46900 - Medical - Illustration"/>
        <s v="41981 - Medical - Illustration"/>
        <s v="44825 - Medical - Illustration"/>
        <s v="6875 - Medical - Illustration"/>
        <s v="108981 - Medical - Illustration"/>
        <s v="110931 - Medical - Illustration"/>
        <s v="99037 - Medical - Illustration"/>
        <s v="99096 - Medical - Illustration"/>
        <s v="41986 - Medical - Illustration"/>
        <s v="79430 - Medical - Illustration"/>
        <s v="41921 - Medical - Illustration"/>
        <s v="41910 - Medical - Illustration"/>
        <s v="11069 - Medical - Illustration"/>
        <s v="41924 - Medical - Illustration"/>
        <s v="133913 - Medical - Illustration"/>
        <s v="70422 - Medical - Illustration"/>
        <s v="17812 - Medical - Illustration"/>
        <s v="70429 - Medical - Illustration"/>
        <s v="70428 - Medical - Illustration"/>
        <s v="99038 - Medical - Illustration"/>
        <s v="11071 - Medical - Illustration"/>
        <s v="17066 - Medical - Illustration"/>
        <s v="117649 - Medical - Illustration"/>
        <s v="70426 - Medical - Illustration"/>
        <s v="75750 - Medical - Illustration"/>
        <s v="117644 - Medical - Illustration"/>
        <s v="68512 - Medical - Illustration"/>
        <s v="12792 - Medical - Illustration"/>
        <s v="46684 - Medical - Illustration"/>
        <s v="12795 - Medical - Illustration"/>
        <s v="46686 - Medical - Illustration"/>
        <s v="12804 - Medical - Illustration"/>
        <s v="12799 - Medical - Illustration"/>
        <s v="100914 - Medical - Illustration"/>
        <s v="12802 - Medical - Illustration"/>
        <s v="100907 - Medical - Illustration"/>
        <s v="12794 - Medical - Illustration"/>
        <s v="4261 - Medical - Digital Art"/>
        <s v="9656 - Medical - Digital Art"/>
        <s v="9657 - Medical - Digital Art"/>
        <s v="9660 - Medical - Digital Art"/>
        <s v="9648 - Medical - Digital Art"/>
        <s v="79424 - Medical - Digital Art"/>
        <s v="4267 - Medical - Digital Art"/>
        <s v="9647 - Medical - Digital Art"/>
        <s v="110772 - Medical - Digital Art"/>
        <s v="4255 - Medical - Digital Art"/>
        <s v="4270 - Medical - Digital Art"/>
        <s v="4264 - Medical - Digital Art"/>
        <s v="4271 - Medical - Digital Art"/>
        <s v="79428 - Medical - Digital Art"/>
        <s v="68509 - Medical - Digital Art"/>
        <s v="112104 - Medical - Digital Art"/>
        <s v="79885 - Medical - Digital Art"/>
        <s v="6876 - Medical - Digital Art"/>
        <s v="79427 - Medical - Digital Art"/>
        <s v="44828 - Medical - Digital Art"/>
        <s v="122213 - Medical - Digital Art"/>
        <s v="46903 - Medical - Digital Art"/>
        <s v="80359 - Medical - Digital Art"/>
        <s v="44827 - Medical - Digital Art"/>
        <s v="79882 - Medical - Digital Art"/>
        <s v="11065 - Medical - Digital Art"/>
        <s v="41991 - Medical - Digital Art"/>
        <s v="6877 - Medical - Digital Art"/>
        <s v="4290 - Medical - Digital Art"/>
        <s v="4905 - Medical - Digital Art"/>
        <s v="41979 - Medical - Digital Art"/>
        <s v="41925 - Medical - Digital Art"/>
        <s v="17067 - Medical - Digital Art"/>
        <s v="70425 - Medical - Digital Art"/>
        <s v="17065 - Medical - Digital Art"/>
        <s v="103514 - Medical - Digital Art"/>
        <s v="4298 - Medical - Digital Art"/>
        <s v="4301 - Medical - Digital Art"/>
        <s v="75752 - Medical - Digital Art"/>
        <s v="21520 - Law - Art History"/>
        <s v="82206 - Law - Art History"/>
        <s v="5599 - Law - Art History"/>
        <s v="87231 - Law - Art History"/>
        <s v="5861 - Law - Art History"/>
        <s v="90909 - Law - Art History"/>
        <s v="21523 - Law - Art History"/>
        <s v="5485 - Law - Art History"/>
        <s v="77294 - Law - Art History"/>
        <s v="5486 - Law - Art History"/>
        <s v="77293 - Law - Art History"/>
        <s v="112230 - Law - Art History"/>
        <s v="83607 - Law - Art History"/>
        <s v="117216 - Law - Art History"/>
        <s v="5487 - Law - Art History"/>
        <s v="77295 - Law - Art History"/>
        <s v="89774 - Law - Art History"/>
        <s v="5483 - Law - Art History"/>
        <s v="120541 - Law - Art History"/>
        <s v="100249 - Law - Art History"/>
        <s v="119242 - Law - Art History"/>
        <s v="90868 - Law - Art History"/>
        <s v="90854 - Law - Art History"/>
        <s v="76568 - Law - Art History"/>
        <s v="76589 - Law - Art History"/>
        <s v="76581 - Law - Art History"/>
        <s v="77250 - Law - Art History"/>
        <s v="87222 - Law - Art History"/>
        <s v="122120 - Law - Art History"/>
        <s v="122121 - Law - Art History"/>
        <s v="90880 - Law - Art History"/>
        <s v="122088 - Law - Art History"/>
        <s v="90886 - Law - Art History"/>
        <s v="90755 - Law - Art History"/>
        <s v="111045 - Law - Art History"/>
        <s v="76582 - Law - Art History"/>
        <s v="76570 - Law - Art History"/>
        <s v="87099 - Law - Art History"/>
        <s v="76569 - Law - Art History"/>
        <s v="5586 - Law - Art History"/>
        <s v="5600 - Law - Art History"/>
        <s v="120390 - Law - Art History"/>
        <s v="76389 - Law - Art History"/>
        <s v="5601 - Law - Art History"/>
        <s v="202579 - Law - Art History"/>
        <s v="5584 - Law - Art History"/>
        <s v="90888 - Law - Art History"/>
        <s v="76584 - Law - Art History"/>
        <s v="87171 - Law - Art History"/>
        <s v="110569 - Law - Art History"/>
        <s v="5588 - Law - Art History"/>
        <s v="117165 - Law - Art History"/>
        <s v="5587 - Law - Art History"/>
        <s v="68359 - Law - Art History"/>
        <s v="5590 - Law - Art History"/>
        <s v="76475 - Law - Art History"/>
        <s v="147309 - Law - Art History"/>
        <s v="120533 - Law - Art History"/>
        <s v="5591 - Law - Art History"/>
        <s v="77248 - Law - Art History"/>
        <s v="90819 - Law - Art History"/>
        <s v="90820 - Law - Art History"/>
        <s v="90839 - Law - Art History"/>
        <s v="90858 - Law - Art History"/>
        <s v="76588 - Law - Art History"/>
        <s v="90671 - Law - Art History"/>
        <s v="77194 - Law - Art History"/>
        <s v="5504 - Law - Art History"/>
        <s v="90662 - Law - Art History"/>
        <s v="87288 - Law - Art History"/>
        <s v="5494 - Law - Art History"/>
        <s v="76637 - Law - Art History"/>
        <s v="76601 - Law - Art History"/>
        <s v="87202 - Law - Art History"/>
        <s v="122244 - Law - Art History"/>
        <s v="122075 - Law - Art History"/>
        <s v="90735 - Law - Art History"/>
        <s v="20951 - Law - Art History"/>
        <s v="5502 - Law - Art History"/>
        <s v="90669 - Law - Art History"/>
        <s v="90673 - Law - Art History"/>
        <s v="68403 - Law - Art History"/>
        <s v="76636 - Law - Art History"/>
        <s v="77397 - Law - Art History"/>
        <s v="76195 - Law - Art History"/>
        <s v="90710 - Law - Art History"/>
        <s v="117148 - Law - Art History"/>
        <s v="5493 - Law - Art History"/>
        <s v="76671 - Law - Art History"/>
        <s v="90678 - Law - Art History"/>
        <s v="76207 - Law - Art History"/>
        <s v="5500 - Law - Art History"/>
        <s v="122081 - Law - Art History"/>
        <s v="77396 - Law - Art History"/>
        <s v="77398 - Law - Art History"/>
        <s v="90716 - Law - Art History"/>
        <s v="122846 - Law - Art History"/>
        <s v="77410 - Law - Art History"/>
        <s v="87083 - Law - Art History"/>
        <s v="73630 - Law - Art History"/>
        <s v="90659 - Law - Art History"/>
        <s v="122079 - Law - Art History"/>
        <s v="5551 - Law - Art History"/>
        <s v="90624 - Law - Art History"/>
        <s v="29100 - Law - Art History"/>
        <s v="46330 - Law - Art History"/>
        <s v="117659 - Law - Art History"/>
        <s v="48149 - Law - Art History"/>
        <s v="113739 - Law - Art History"/>
        <s v="147316 - Law - Art History"/>
        <s v="76297 - Law - Art History"/>
        <s v="102698 - Law - Art History"/>
        <s v="102699 - Law - Art History"/>
        <s v="5556 - Law - Art History"/>
        <s v="73629 - Law - Art History"/>
        <s v="77253 - Law - Art History"/>
        <s v="5552 - Law - Art History"/>
        <s v="73805 - Law - Art History"/>
        <s v="48403 - Law - Art History"/>
        <s v="90626 - Law - Art History"/>
        <s v="147324 - Law - Art History"/>
        <s v="77411 - Law - Art History"/>
        <s v="87085 - Law - Art History"/>
        <s v="76212 - Law - Art History"/>
        <s v="117655 - Law - Art History"/>
        <s v="83596 - Law - Art History"/>
        <s v="5561 - Law - Art History"/>
        <s v="87304 - Law - Art History"/>
        <s v="113735 - Law - Art History"/>
        <s v="90661 - Law - Art History"/>
        <s v="76281 - Law - Art History"/>
        <s v="90622 - Law - Art History"/>
        <s v="90637 - Law - Art History"/>
        <s v="76208 - Law - Art History"/>
        <s v="91355 - Law - Art History"/>
        <s v="122068 - Law - Art History"/>
        <s v="48404 - Law - Art History"/>
        <s v="5553 - Law - Art History"/>
        <s v="76282 - Law - Art History"/>
        <s v="5554 - Law - Art History"/>
        <s v="77408 - Law - Art History"/>
        <s v="147312 - Law - Art History"/>
        <s v="113741 - Law - Art History"/>
        <s v="76290 - Law - Art History"/>
        <s v="5559 - Law - Art History"/>
        <s v="68351 - Law - Art History"/>
        <s v="113736 - Law - Art History"/>
        <s v="113738 - Law - Art History"/>
        <s v="113737 - Law - Art History"/>
        <s v="73767 - Law - Art History"/>
        <s v="89559 - Law - Art History"/>
        <s v="102720 - Law - Art History"/>
        <s v="114668 - Law - Art History"/>
        <s v="159208 - Law - Art History"/>
        <s v="108476 - Law - Art History"/>
        <s v="76603 - Law - Art History"/>
        <s v="117672 - Law - Art History"/>
        <s v="73968 - Law - Art History"/>
        <s v="73967 - Law - Art History"/>
        <s v="159209 - Law - Art History"/>
        <s v="90675 - Law - Art History"/>
        <s v="117671 - Law - Art History"/>
        <s v="100015 - Law - Art History"/>
        <s v="90680 - Law - Art History"/>
        <s v="88351 - Law - Art History"/>
        <s v="108475 - Law - Art History"/>
        <s v="90676 - Law - Art History"/>
        <s v="43118 - Medical - Architecture"/>
        <s v="112472 - Medical - Architecture"/>
        <s v="108083 - Medical - Architecture"/>
        <s v="133907 - Medical - Architecture"/>
        <s v="45176 - Medical - Architecture"/>
        <s v="5480 - Medical - Architecture"/>
        <s v="119086 - Medical - Architecture"/>
        <s v="108084 - Medical - Architecture"/>
        <s v="45192 - Medical - Architecture"/>
        <s v="26320 - Medical - Architecture"/>
        <s v="133910 - Medical - Architecture"/>
        <s v="133908 - Medical - Architecture"/>
        <s v="9646 - Medical - Architecture"/>
        <s v="108091 - Medical - Architecture"/>
        <s v="108114 - Medical - Architecture"/>
        <s v="9639 - Medical - Architecture"/>
        <s v="108108 - Medical - Architecture"/>
        <s v="108081 - Medical - Architecture"/>
        <s v="4243 - Medical - Architecture"/>
        <s v="108090 - Medical - Architecture"/>
        <s v="133912 - Medical - Architecture"/>
        <s v="108087 - Medical - Architecture"/>
        <s v="78866 - Medical - Architecture"/>
        <s v="70415 - Medical - Architecture"/>
        <s v="9644 - Medical - Architecture"/>
        <s v="4247 - Medical - Architecture"/>
        <s v="119087 - Medical - Architecture"/>
        <s v="9635 - Medical - Architecture"/>
        <s v="108082 - Medical - Architecture"/>
        <s v="9643 - Medical - Architecture"/>
        <s v="117601 - Medical - Architecture"/>
        <s v="108085 - Medical - Architecture"/>
        <s v="133914 - Medical - Architecture"/>
        <s v="103503 - Fiction - Fashion Design"/>
        <s v="128363 - Fiction - Fashion Design"/>
        <s v="13863 - Law - Interior Design"/>
        <s v="74454 - Law - Interior Design"/>
        <s v="12500 - Law - Interior Design"/>
        <s v="116555 - Law - Interior Design"/>
        <s v="77622 - Law - Interior Design"/>
        <s v="68294 - Law - Interior Design"/>
        <s v="12497 - Law - Interior Design"/>
        <s v="74453 - Law - Interior Design"/>
        <s v="112246 - Law - Interior Design"/>
        <s v="110776 - Law - Interior Design"/>
        <s v="92846 - Law - Interior Design"/>
        <s v="119257 - Law - Interior Design"/>
        <s v="68313 - Law - Interior Design"/>
        <s v="12503 - Law - Interior Design"/>
        <s v="77624 - Law - Interior Design"/>
        <s v="77432 - Law - Interior Design"/>
        <s v="77429 - Law - Interior Design"/>
        <s v="93995 - Law - Interior Design"/>
        <s v="103185 - Law - Interior Design"/>
        <s v="13868 - Law - Interior Design"/>
        <s v="9504 - Law - Interior Design"/>
        <s v="77446 - Law - Interior Design"/>
        <s v="77498 - Law - Interior Design"/>
        <s v="77488 - Law - Interior Design"/>
        <s v="82203 - Law - Interior Design"/>
        <s v="82754 - Law - Interior Design"/>
        <s v="110837 - Law - Interior Design"/>
        <s v="9591 - Law - Interior Design"/>
        <s v="94040 - Law - Interior Design"/>
        <s v="9513 - Law - Interior Design"/>
        <s v="121543 - Law - Interior Design"/>
        <s v="164638 - Law - Interior Design"/>
        <s v="9554 - Law - Interior Design"/>
        <s v="117798 - Law - Interior Design"/>
        <s v="77480 - Law - Interior Design"/>
        <s v="9547 - Law - Interior Design"/>
        <s v="9551 - Law - Interior Design"/>
        <s v="9514 - Law - Interior Design"/>
        <s v="147310 - Law - Interior Design"/>
        <s v="13865 - Law - Interior Design"/>
        <s v="9521 - Law - Interior Design"/>
        <s v="9522 - Law - Interior Design"/>
        <s v="94048 - Law - Interior Design"/>
        <s v="121549 - Law - Interior Design"/>
        <s v="9593 - Law - Interior Design"/>
        <s v="119247 - Law - Interior Design"/>
        <s v="9516 - Law - Interior Design"/>
        <s v="193265 - Law - Interior Design"/>
        <s v="13869 - Law - Interior Design"/>
        <s v="13877 - Law - Interior Design"/>
        <s v="9493 - Law - Interior Design"/>
        <s v="9502 - Law - Interior Design"/>
        <s v="147301 - Law - Interior Design"/>
        <s v="30569 - Law - Interior Design"/>
        <s v="112190 - Law - Interior Design"/>
        <s v="110833 - Law - Interior Design"/>
        <s v="9505 - Law - Interior Design"/>
        <s v="119248 - Law - Interior Design"/>
        <s v="147306 - Law - Interior Design"/>
        <s v="77425 - Law - Interior Design"/>
        <s v="9497 - Law - Interior Design"/>
        <s v="9601 - Law - Interior Design"/>
        <s v="117799 - Law - Interior Design"/>
        <s v="82770 - Law - Interior Design"/>
        <s v="119249 - Law - Interior Design"/>
        <s v="86191 - Law - Interior Design"/>
        <s v="9503 - Law - Interior Design"/>
        <s v="94007 - Law - Interior Design"/>
        <s v="82761 - Law - Interior Design"/>
        <s v="9599 - Law - Interior Design"/>
        <s v="9496 - Law - Interior Design"/>
        <s v="195072 - Law - Interior Design"/>
        <s v="119252 - Law - Interior Design"/>
        <s v="9501 - Law - Interior Design"/>
        <s v="9491 - Law - Interior Design"/>
        <s v="194058 - Law - Interior Design"/>
        <s v="111319 - Law - Interior Design"/>
        <s v="86655 - Law - Interior Design"/>
        <s v="147300 - Law - Interior Design"/>
        <s v="13861 - Law - Interior Design"/>
        <s v="81510 - Law - Interior Design"/>
        <s v="9560 - Law - Interior Design"/>
        <s v="72161 - Law - Interior Design"/>
        <s v="9561 - Law - Interior Design"/>
        <s v="9562 - Law - Interior Design"/>
        <s v="119250 - Law - Interior Design"/>
        <s v="122297 - Law - Interior Design"/>
        <s v="164879 - Law - Interior Design"/>
        <s v="48697 - Law - Interior Design"/>
        <s v="122299 - Law - Interior Design"/>
        <s v="82997 - Law - Interior Design"/>
        <s v="108350 - Law - Interior Design"/>
        <s v="48699 - Law - Interior Design"/>
        <s v="108364 - Law - Interior Design"/>
        <s v="5799 - Law - Interior Design"/>
        <s v="81501 - Law - Interior Design"/>
        <s v="47648 - Law - Interior Design"/>
        <s v="105328 - Law - Interior Design"/>
        <s v="47654 - Law - Interior Design"/>
        <s v="82371 - Law - Interior Design"/>
        <s v="81500 - Law - Interior Design"/>
        <s v="48501 - Law - Interior Design"/>
        <s v="81498 - Law - Interior Design"/>
        <s v="48498 - Law - Interior Design"/>
        <s v="88628 - Law - Interior Design"/>
        <s v="180340 - Law - Interior Design"/>
        <s v="48503 - Law - Interior Design"/>
        <s v="74819 - Law - Interior Design"/>
        <s v="48502 - Law - Interior Design"/>
        <s v="96001 - Law - Interior Design"/>
        <s v="103095 - Law - Interior Design"/>
        <s v="88627 - Law - Interior Design"/>
        <s v="105329 - Law - Interior Design"/>
        <s v="105330 - Law - Interior Design"/>
        <s v="80252 - Law - Interior Design"/>
        <s v="77468 - Law - Interior Design"/>
        <s v="24203 - Law - Interior Design"/>
        <s v="139291 - Law - Interior Design"/>
        <s v="77426 - Law - Interior Design"/>
        <s v="94039 - Law - Interior Design"/>
        <s v="9508 - Law - Interior Design"/>
        <s v="121595 - Law - Interior Design"/>
        <s v="124762 - Law - Interior Design"/>
        <s v="77462 - Law - Interior Design"/>
        <s v="49158 - Law - Interior Design"/>
        <s v="93982 - Law - Interior Design"/>
        <s v="9546 - Law - Interior Design"/>
        <s v="9482 - Law - Interior Design"/>
        <s v="139290 - Law - Interior Design"/>
        <s v="121596 - Law - Interior Design"/>
        <s v="14441 - Law - Interior Design"/>
        <s v="9489 - Law - Interior Design"/>
        <s v="103189 - Law - Interior Design"/>
        <s v="9567 - Law - Interior Design"/>
        <s v="9543 - Law - Interior Design"/>
        <s v="77471 - Law - Interior Design"/>
        <s v="164631 - Law - Interior Design"/>
        <s v="9606 - Law - Interior Design"/>
        <s v="77473 - Law - Interior Design"/>
        <s v="9484 - Law - Interior Design"/>
        <s v="14439 - Law - Interior Design"/>
        <s v="124761 - Law - Interior Design"/>
        <s v="14440 - Law - Interior Design"/>
        <s v="9544 - Law - Interior Design"/>
        <s v="46482 - Law - Interior Design"/>
        <s v="46773 - Law - Interior Design"/>
        <s v="81502 - Law - Interior Design"/>
        <s v="76035 - Law - Interior Design"/>
        <s v="46774 - Law - Interior Design"/>
        <s v="121029 - Sports - Film Studies"/>
        <s v="128199 - Sports - Film Studies"/>
        <s v="82408 - Medical - Theatre"/>
        <s v="139298 - Medical - Theatre"/>
        <s v="91397 - Medical - Theatre"/>
        <s v="91396 - Medical - Theatre"/>
        <s v="139302 - Medical - Theatre"/>
        <s v="118283 - Medical - Theatre"/>
        <s v="118286 - Medical - Theatre"/>
        <s v="3375 - Medical - Theatre"/>
        <s v="118285 - Medical - Theatre"/>
        <s v="118284 - Medical - Theatre"/>
        <s v="116522 - Medical - Theatre"/>
        <s v="139307 - Medical - Theatre"/>
        <s v="120253 - Medical - Theatre"/>
        <s v="120252 - Medical - Theatre"/>
        <s v="120251 - Medical - Theatre"/>
        <s v="139306 - Medical - Theatre"/>
        <s v="120255 - Medical - Theatre"/>
        <s v="120980 - Medical - Theatre"/>
        <s v="139299 - Medical - Theatre"/>
        <s v="73635 - Medical - Theatre"/>
        <s v="116537 - Medical - Theatre"/>
        <s v="46716 - Medical - Theatre"/>
        <s v="109161 - Medical - Theatre"/>
        <s v="110760 - Medical - Theatre"/>
        <s v="112095 - Medical - Theatre"/>
        <s v="120261 - Medical - Theatre"/>
        <s v="142302 - Medical - Theatre"/>
        <s v="46715 - Medical - Theatre"/>
        <s v="102190 - Medical - Theatre"/>
        <s v="112098 - Medical - Theatre"/>
        <s v="110761 - Medical - Theatre"/>
        <s v="116529 - Medical - Theatre"/>
        <s v="119245 - Sports - Music"/>
        <s v="119454 - Sports - Music"/>
        <s v="118131 - Sports - Music"/>
        <s v="128395 - Sports - Music"/>
        <s v="117482 - Sports - Music"/>
        <s v="118130 - Sports - Music"/>
        <s v="109209 - Sports - Music"/>
        <s v="74428 - Sports - Anatomy"/>
        <s v="13941 - Sports - Anatomy"/>
        <s v="44316 - Medical - Physiology"/>
        <s v="122748 - Medical - Physiology"/>
        <s v="118936 - Medical - Physiology"/>
        <s v="122746 - Medical - Physiology"/>
        <s v="76567 - Medical - Physiology"/>
        <s v="122747 - Medical - Physiology"/>
        <s v="48484 - Fiction - Pathology"/>
        <s v="10856 - Fiction - Pathology"/>
        <s v="48486 - Fiction - Pathology"/>
        <s v="108707 - Fiction - Pathology"/>
        <s v="109565 - Fiction - Pathology"/>
        <s v="99181 - Fiction - Pathology"/>
        <s v="109060 - Fiction - Pathology"/>
        <s v="109628 - Fiction - Pathology"/>
        <s v="128346 - Fiction - Pathology"/>
        <s v="90319 - Fiction - Pathology"/>
        <s v="96287 - Fiction - Pathology"/>
        <s v="96238 - Fiction - Pathology"/>
        <s v="116553 - Fiction - Pathology"/>
        <s v="116539 - Fiction - Pathology"/>
        <s v="156015 - Sports - Pharmacology"/>
        <s v="77049 - Sports - Pharmacology"/>
        <s v="92906 - Sports - Pharmacology"/>
        <s v="6425 - Sports - Pharmacology"/>
        <s v="77653 - Sports - Pharmacology"/>
        <s v="156029 - Sports - Pharmacology"/>
        <s v="182726 - Self-Help - Surgery"/>
        <s v="3536 - Sports - Pediatrics"/>
        <s v="3541 - Sports - Pediatrics"/>
        <s v="147335 - Medical - Neurology"/>
        <s v="46896 - Medical - Neurology"/>
        <s v="46897 - Medical - Neurology"/>
        <s v="71729 - Tech - Psychiatry"/>
        <s v="45471 - Tech - Psychiatry"/>
        <s v="80622 - Tech - Psychiatry"/>
        <s v="111204 - Tech - Psychiatry"/>
        <s v="27843 - Tech - Psychiatry"/>
        <s v="111656 - Tech - Psychiatry"/>
        <s v="70043 - Tech - Psychiatry"/>
        <s v="127017 - Tech - Psychiatry"/>
        <s v="92320 - Tech - Psychiatry"/>
        <s v="109985 - Tech - Psychiatry"/>
        <s v="110415 - Tech - Psychiatry"/>
        <s v="101325 - Tech - Psychiatry"/>
        <s v="133904 - Tech - Psychiatry"/>
        <s v="91357 - Tech - Psychiatry"/>
        <s v="92330 - Tech - Psychiatry"/>
        <s v="128409 - Tech - Psychiatry"/>
        <s v="124704 - Tech - Psychiatry"/>
        <s v="122252 - Tech - Psychiatry"/>
        <s v="85159 - Tech - Psychiatry"/>
        <s v="103604 - Tech - Psychiatry"/>
        <s v="27845 - Tech - Psychiatry"/>
        <s v="11666 - Tech - Psychiatry"/>
        <s v="127016 - Tech - Psychiatry"/>
        <s v="2046 - Tech - Psychiatry"/>
        <s v="66998 - Tech - Psychiatry"/>
        <s v="103626 - Tech - Psychiatry"/>
        <s v="103603 - Tech - Psychiatry"/>
        <s v="85156 - Tech - Psychiatry"/>
        <s v="8118 - Tech - Psychiatry"/>
        <s v="109984 - Tech - Psychiatry"/>
        <s v="92134 - Tech - Psychiatry"/>
        <s v="129420 - Tech - Psychiatry"/>
        <s v="111010 - Tech - Psychiatry"/>
        <s v="46771 - Tech - Psychiatry"/>
        <s v="88396 - Tech - Psychiatry"/>
        <s v="88188 - Tech - Psychiatry"/>
        <s v="129373 - Tech - Psychiatry"/>
        <s v="103625 - Tech - Psychiatry"/>
        <s v="109332 - Tech - Psychiatry"/>
        <s v="92327 - Tech - Psychiatry"/>
        <s v="80699 - Tech - Psychiatry"/>
        <s v="101043 - Tech - Psychiatry"/>
        <s v="46760 - Tech - Psychiatry"/>
        <s v="109966 - Tech - Psychiatry"/>
        <s v="128408 - Tech - Psychiatry"/>
        <s v="81128 - Tech - Psychiatry"/>
        <s v="45571 - Tech - Psychiatry"/>
        <s v="44612 - Tech - Psychiatry"/>
        <s v="124684 - Tech - Psychiatry"/>
        <s v="112365 - Tech - Psychiatry"/>
        <s v="41038 - Tech - Psychiatry"/>
        <s v="87761 - Tech - Psychiatry"/>
        <s v="106590 - Tech - Psychiatry"/>
        <s v="85734 - Tech - Psychiatry"/>
        <s v="122511 - Tech - Psychiatry"/>
        <s v="2335 - Tech - Psychiatry"/>
        <s v="2339 - Tech - Psychiatry"/>
        <s v="108468 - Tech - Psychiatry"/>
        <s v="3439 - Tech - Psychiatry"/>
        <s v="2044 - Tech - Psychiatry"/>
        <s v="188354 - Tech - Psychiatry"/>
        <s v="27848 - Tech - Psychiatry"/>
        <s v="45642 - Tech - Psychiatry"/>
        <s v="79815 - Tech - Psychiatry"/>
        <s v="87643 - Tech - Psychiatry"/>
        <s v="30501 - Tech - Psychiatry"/>
        <s v="118198 - Tech - Psychiatry"/>
        <s v="4891 - Tech - Psychiatry"/>
        <s v="23050 - Tech - Psychiatry"/>
        <s v="94612 - Tech - Psychiatry"/>
        <s v="109983 - Tech - Psychiatry"/>
        <s v="110854 - Tech - Psychiatry"/>
        <s v="110414 - Tech - Psychiatry"/>
        <s v="103631 - Tech - Psychiatry"/>
        <s v="111009 - Tech - Psychiatry"/>
        <s v="109213 - Tech - Psychiatry"/>
        <s v="103847 - Tech - Psychiatry"/>
        <s v="96156 - Tech - Psychiatry"/>
        <s v="4887 - Tech - Psychiatry"/>
        <s v="92146 - Tech - Psychiatry"/>
        <s v="122248 - Tech - Psychiatry"/>
        <s v="122251 - Tech - Psychiatry"/>
        <s v="103638 - Tech - Psychiatry"/>
        <s v="111655 - Tech - Psychiatry"/>
        <s v="84201 - Tech - Psychiatry"/>
        <s v="80697 - Tech - Psychiatry"/>
        <s v="117394 - Tech - Psychiatry"/>
        <s v="103636 - Tech - Psychiatry"/>
        <s v="67001 - Tech - Psychiatry"/>
        <s v="2148 - Tech - Psychiatry"/>
        <s v="111672 - Tech - Psychiatry"/>
        <s v="80696 - Tech - Psychiatry"/>
        <s v="96853 - Tech - Psychiatry"/>
        <s v="117388 - Tech - Psychiatry"/>
        <s v="109971 - Tech - Psychiatry"/>
        <s v="122247 - Tech - Psychiatry"/>
        <s v="103635 - Tech - Psychiatry"/>
        <s v="122295 - Tech - Psychiatry"/>
        <s v="118351 - Tech - Psychiatry"/>
        <s v="91624 - Tech - Psychiatry"/>
        <s v="27765 - Tech - Psychiatry"/>
        <s v="26313 - Tech - Psychiatry"/>
        <s v="26314 - Tech - Psychiatry"/>
        <s v="91626 - Tech - Psychiatry"/>
        <s v="112264 - Tech - Psychiatry"/>
        <s v="27764 - Tech - Psychiatry"/>
        <s v="92653 - Tech - Psychiatry"/>
        <s v="117990 - Tech - Psychiatry"/>
        <s v="92651 - Tech - Psychiatry"/>
        <s v="104143 - Tech - Psychiatry"/>
        <s v="48641 - Arts - Public Health"/>
        <s v="47543 - Arts - Public Health"/>
        <s v="117045 - Arts - Public Health"/>
        <s v="109276 - Arts - Public Health"/>
        <s v="117040 - Arts - Public Health"/>
        <s v="108485 - Arts - Public Health"/>
        <s v="80095 - Arts - Public Health"/>
        <s v="117044 - Arts - Public Health"/>
        <s v="69279 - Arts - Public Health"/>
        <s v="48642 - Arts - Public Health"/>
        <s v="117569 - Arts - Public Health"/>
        <s v="83590 - Arts - Public Health"/>
        <s v="117566 - Arts - Public Health"/>
        <s v="116391 - Arts - Public Health"/>
        <s v="47388 - Arts - Public Health"/>
        <s v="117567 - Arts - Public Health"/>
        <s v="104319 - Arts - Public Health"/>
        <s v="120399 - Arts - Public Health"/>
        <s v="47389 - Arts - Public Health"/>
        <s v="47384 - Arts - Public Health"/>
        <s v="117568 - Arts - Public Health"/>
        <s v="80233 - Arts - Public Health"/>
        <s v="120396 - Arts - Public Health"/>
        <s v="47386 - Arts - Public Health"/>
        <s v="110294 - Arts - Public Health"/>
        <s v="47374 - Arts - Public Health"/>
        <s v="115586 - Arts - Public Health"/>
        <s v="112736 - Arts - Public Health"/>
        <s v="80234 - Arts - Public Health"/>
        <s v="92426 - Arts - Public Health"/>
        <s v="92429 - Arts - Public Health"/>
        <s v="117572 - Arts - Public Health"/>
        <s v="110982 - Arts - Public Health"/>
        <s v="92442 - Arts - Public Health"/>
        <s v="83591 - Arts - Public Health"/>
        <s v="104318 - Arts - Public Health"/>
        <s v="112740 - Arts - Public Health"/>
        <s v="117570 - Arts - Public Health"/>
        <s v="115584 - Arts - Public Health"/>
        <s v="47629 - Arts - Public Health"/>
        <s v="116389 - Arts - Public Health"/>
        <s v="117573 - Arts - Public Health"/>
        <s v="47638 - Arts - Public Health"/>
        <s v="110219 - Medical - Medical Research"/>
        <s v="116851 - Medical - Medical Research"/>
        <s v="122737 - Medical - Medical Research"/>
        <s v="110226 - Medical - Medical Research"/>
        <s v="115773 - Medical - Medical Research"/>
        <s v="109580 - Medical - Medical Research"/>
        <s v="114255 - Medical - Medical Research"/>
        <s v="122745 - Medical - Medical Research"/>
        <s v="116873 - Medical - Medical Research"/>
        <s v="110228 - Medical - Medical Research"/>
      </sharedItems>
    </cacheField>
    <cacheField name="stok_value" numFmtId="0">
      <sharedItems containsSemiMixedTypes="0" containsString="0" containsNumber="1">
        <n v="691.2"/>
        <n v="0.0"/>
        <n v="107.0"/>
        <n v="2385.2000000000003"/>
        <n v="4172.48"/>
        <n v="308.07"/>
        <n v="64.02"/>
        <n v="184.08"/>
        <n v="437.76"/>
        <n v="719.19"/>
        <n v="420.16"/>
        <n v="90.0"/>
        <n v="23.849999999999998"/>
        <n v="522.24"/>
        <n v="938.88"/>
        <n v="35.53"/>
        <n v="486.15999999999997"/>
        <n v="411.4"/>
        <n v="625.3199999999999"/>
        <n v="99.33"/>
        <n v="984.9"/>
        <n v="2141.1"/>
        <n v="225.96"/>
        <n v="181.44"/>
        <n v="169.69"/>
        <n v="380.90000000000003"/>
        <n v="169.68"/>
        <n v="1606.64"/>
        <n v="26.099999999999998"/>
        <n v="2027.97"/>
        <n v="325.48"/>
        <n v="283.82"/>
        <n v="403.20000000000005"/>
        <n v="319.95"/>
        <n v="2276.64"/>
        <n v="3569.72"/>
        <n v="1183.84"/>
        <n v="376.04"/>
        <n v="919.3199999999999"/>
        <n v="244.46"/>
        <n v="1053.3600000000001"/>
        <n v="954.99"/>
        <n v="511.05999999999995"/>
        <n v="6433.74"/>
        <n v="168.15"/>
        <n v="13.98"/>
        <n v="748.0000000000001"/>
        <n v="692.9"/>
        <n v="744.48"/>
        <n v="1865.0700000000002"/>
        <n v="2034.76"/>
        <n v="2126.25"/>
        <n v="3471.2999999999997"/>
        <n v="1999.8700000000001"/>
        <n v="320.25"/>
        <n v="1084.68"/>
        <n v="275.34"/>
        <n v="156.24"/>
        <n v="1943.1"/>
        <n v="1380.3"/>
        <n v="2044.8"/>
        <n v="72.23"/>
        <n v="111.0"/>
        <n v="3.02"/>
        <n v="473.4"/>
        <n v="21.299999999999997"/>
        <n v="2673.35"/>
        <n v="1386.0"/>
        <n v="564.48"/>
        <n v="490.06"/>
        <n v="1164.8200000000002"/>
        <n v="654.36"/>
        <n v="1536.15"/>
        <n v="2007.87"/>
        <n v="1739.64"/>
        <n v="3891.54"/>
        <n v="136.35"/>
        <n v="1808.3500000000001"/>
        <n v="3.84"/>
        <n v="3933.36"/>
        <n v="2588.34"/>
        <n v="1313.16"/>
        <n v="1946.88"/>
        <n v="1877.3999999999999"/>
        <n v="1071.84"/>
        <n v="717.32"/>
        <n v="104.64999999999999"/>
        <n v="32.88"/>
        <n v="1421.4"/>
        <n v="778.22"/>
        <n v="604.36"/>
        <n v="353.09999999999997"/>
        <n v="2256.78"/>
        <n v="5304.099999999999"/>
        <n v="1695.96"/>
        <n v="7360.44"/>
        <n v="4864.16"/>
        <n v="524.4"/>
        <n v="271.7"/>
        <n v="324.0"/>
        <n v="645.84"/>
        <n v="47.25"/>
        <n v="81.19999999999999"/>
        <n v="145.32"/>
        <n v="29.7"/>
        <n v="3556.8"/>
        <n v="72.6"/>
        <n v="74.36"/>
        <n v="243.20000000000002"/>
        <n v="218.68"/>
        <n v="75.67"/>
        <n v="128.8"/>
        <n v="560.0"/>
        <n v="111.77999999999999"/>
        <n v="517.63"/>
        <n v="586.17"/>
        <n v="694.55"/>
        <n v="3368.64"/>
        <n v="1330.1599999999999"/>
        <n v="3022.92"/>
        <n v="8415.26"/>
        <n v="4465.5599999999995"/>
        <n v="719.3199999999999"/>
        <n v="108.9"/>
        <n v="3459.12"/>
        <n v="7365.12"/>
        <n v="5053.099999999999"/>
        <n v="3198.59"/>
        <n v="1479.76"/>
        <n v="2716.25"/>
        <n v="9637.92"/>
        <n v="2367.36"/>
        <n v="3620.4900000000002"/>
        <n v="5062.49"/>
        <n v="305.33"/>
        <n v="1633.28"/>
        <n v="774.18"/>
        <n v="85.36"/>
        <n v="2421.0"/>
        <n v="122.36"/>
        <n v="148.2"/>
        <n v="4057.3599999999997"/>
        <n v="8239.85"/>
        <n v="8202.24"/>
        <n v="48.06"/>
        <n v="822.8"/>
        <n v="4435.2"/>
        <n v="622.16"/>
        <n v="686.7199999999999"/>
        <n v="679.14"/>
        <n v="215.52"/>
        <n v="255.78"/>
        <n v="2542.32"/>
        <n v="4422.599999999999"/>
        <n v="1711.8600000000001"/>
        <n v="81.30000000000001"/>
        <n v="655.86"/>
        <n v="3744.12"/>
        <n v="9982.65"/>
        <n v="2548.0"/>
        <n v="413.1"/>
        <n v="1728.2700000000002"/>
        <n v="3009.79"/>
        <n v="6512.38"/>
        <n v="4289.25"/>
        <n v="700.34"/>
        <n v="4913.46"/>
        <n v="963.16"/>
        <n v="26.64"/>
        <n v="779.24"/>
        <n v="13343.22"/>
        <n v="110.08"/>
        <n v="985.8000000000001"/>
        <n v="997.6"/>
        <n v="294.78000000000003"/>
        <n v="565.25"/>
        <n v="126.72"/>
        <n v="1691.19"/>
        <n v="82.08"/>
        <n v="60.39"/>
        <n v="6654.18"/>
        <n v="958.6500000000001"/>
        <n v="3268.6000000000004"/>
        <n v="1365.3"/>
        <n v="56.349999999999994"/>
        <n v="587.1"/>
        <n v="72.10000000000001"/>
        <n v="148.0"/>
        <n v="32.9"/>
        <n v="46.23"/>
        <n v="411.84000000000003"/>
        <n v="326.7"/>
        <n v="18.06"/>
        <n v="1674.4499999999998"/>
        <n v="89.1"/>
        <n v="409.5"/>
        <n v="1045.12"/>
        <n v="333.0"/>
        <n v="1438.5900000000001"/>
        <n v="70.92999999999999"/>
        <n v="358.62"/>
        <n v="2241.9"/>
        <n v="416.09999999999997"/>
        <n v="550.56"/>
        <n v="792.72"/>
        <n v="96.53"/>
        <n v="757.35"/>
        <n v="1153.6000000000001"/>
        <n v="197.4"/>
        <n v="509.76000000000005"/>
        <n v="1059.22"/>
        <n v="422.1"/>
        <n v="331.45000000000005"/>
        <n v="2611.2599999999998"/>
        <n v="217.75"/>
        <n v="577.21"/>
        <n v="636.31"/>
        <n v="775.9499999999999"/>
        <n v="160.20000000000002"/>
        <n v="81.89999999999999"/>
        <n v="201.74"/>
        <n v="613.6"/>
        <n v="206.15"/>
        <n v="404.73999999999995"/>
        <n v="5742.75"/>
        <n v="926.4"/>
        <n v="1388.52"/>
        <n v="640.14"/>
        <n v="453.0"/>
        <n v="217.26"/>
        <n v="297.33000000000004"/>
        <n v="515.34"/>
        <n v="496.71999999999997"/>
        <n v="158.83999999999997"/>
        <n v="234.29999999999998"/>
        <n v="671.93"/>
        <n v="224.2"/>
        <n v="3963.42"/>
        <n v="7.52"/>
        <n v="226.38000000000002"/>
        <n v="298.62"/>
        <n v="83.19"/>
        <n v="117.14999999999999"/>
        <n v="78.07"/>
        <n v="305.52"/>
        <n v="33.54"/>
        <n v="215.94"/>
        <n v="2402.19"/>
        <n v="919.64"/>
        <n v="268.14000000000004"/>
        <n v="11.05"/>
        <n v="2689.3999999999996"/>
        <n v="1314.52"/>
        <n v="124.44"/>
        <n v="148.67999999999998"/>
        <n v="479.40000000000003"/>
        <n v="622.44"/>
        <n v="866.4"/>
        <n v="1494.3500000000001"/>
        <n v="571.1600000000001"/>
        <n v="892.0"/>
        <n v="214.97"/>
        <n v="1687.1999999999998"/>
        <n v="1440.18"/>
        <n v="1083.3200000000002"/>
        <n v="492.2"/>
        <n v="61.19"/>
        <n v="2783.32"/>
        <n v="101.25"/>
        <n v="213.84"/>
        <n v="2397.7599999999998"/>
        <n v="1025.8"/>
        <n v="519.56"/>
        <n v="152.44"/>
        <n v="11.76"/>
        <n v="335.92"/>
        <n v="1745.24"/>
        <n v="1847.85"/>
        <n v="2104.96"/>
        <n v="1802.0"/>
        <n v="859.2"/>
        <n v="1936.3799999999999"/>
        <n v="314.94"/>
        <n v="1290.4599999999998"/>
        <n v="704.64"/>
        <n v="196.65"/>
        <n v="1438.2"/>
        <n v="694.59"/>
        <n v="816.57"/>
        <n v="842.2700000000001"/>
        <n v="619.0"/>
        <n v="114.18"/>
        <n v="1725.93"/>
        <n v="240.86999999999998"/>
        <n v="1417.8"/>
        <n v="1667.42"/>
        <n v="641.0600000000001"/>
        <n v="433.2"/>
        <n v="3753.42"/>
        <n v="888.88"/>
        <n v="666.6"/>
        <n v="1489.25"/>
        <n v="6353.759999999999"/>
        <n v="355.1"/>
        <n v="1883.55"/>
        <n v="82.32000000000001"/>
        <n v="566.53"/>
        <n v="161.70000000000002"/>
        <n v="2216.4500000000003"/>
        <n v="252.32"/>
        <n v="1486.9399999999998"/>
        <n v="344.98"/>
        <n v="2345.48"/>
        <n v="500.0"/>
        <n v="234.0"/>
        <n v="241.38"/>
        <n v="763.0200000000001"/>
        <n v="851.9599999999999"/>
        <n v="2569.38"/>
        <n v="42.36"/>
        <n v="25.5"/>
        <n v="445.56"/>
        <n v="726.88"/>
        <n v="1155.09"/>
        <n v="2595.88"/>
        <n v="351.78000000000003"/>
        <n v="515.6899999999999"/>
        <n v="1391.6"/>
        <n v="1307.8799999999999"/>
        <n v="1299.6999999999998"/>
        <n v="244.53"/>
        <n v="706.23"/>
        <n v="931.4100000000001"/>
        <n v="3971.2"/>
        <n v="1139.55"/>
        <n v="57.39999999999999"/>
        <n v="921.69"/>
        <n v="1580.32"/>
        <n v="395.5"/>
        <n v="391.44"/>
        <n v="878.5"/>
        <n v="1760.1799999999998"/>
        <n v="515.25"/>
        <n v="1694.9399999999998"/>
        <n v="2014.8000000000002"/>
        <n v="3240.8300000000004"/>
        <n v="967.22"/>
        <n v="1105.0"/>
        <n v="2534.0"/>
        <n v="1212.64"/>
        <n v="1505.37"/>
        <n v="560.24"/>
        <n v="278.19"/>
        <n v="249.63000000000002"/>
        <n v="1916.75"/>
        <n v="998.28"/>
        <n v="505.4"/>
        <n v="35.699999999999996"/>
        <n v="911.04"/>
        <n v="1042.2"/>
        <n v="80.08"/>
        <n v="134.75"/>
        <n v="403.44"/>
        <n v="902.8"/>
        <n v="2011.2199999999998"/>
        <n v="88.2"/>
        <n v="138.04000000000002"/>
        <n v="243.35999999999999"/>
        <n v="1491.1200000000001"/>
        <n v="4156.7"/>
        <n v="915.7399999999999"/>
        <n v="1346.22"/>
        <n v="647.15"/>
        <n v="38.199999999999996"/>
        <n v="493.12"/>
        <n v="10.16"/>
        <n v="41.42"/>
        <n v="286.77000000000004"/>
        <n v="606.1"/>
        <n v="486.92"/>
        <n v="685.3000000000001"/>
        <n v="1025.46"/>
        <n v="1032.3"/>
        <n v="13.97"/>
        <n v="233.10000000000002"/>
        <n v="353.6"/>
        <n v="300.3"/>
        <n v="173.19"/>
        <n v="37.38"/>
        <n v="2246.88"/>
        <n v="49.61"/>
        <n v="4039.2000000000003"/>
        <n v="54.36"/>
        <n v="2205.94"/>
        <n v="147.58"/>
        <n v="1066.0"/>
        <n v="42.0"/>
        <n v="404.25"/>
        <n v="113.22"/>
        <n v="10.6"/>
        <n v="900.13"/>
        <n v="1141.25"/>
        <n v="526.3499999999999"/>
        <n v="791.24"/>
        <n v="1436.46"/>
        <n v="187.86"/>
        <n v="339.47999999999996"/>
        <n v="1173.42"/>
        <n v="388.04"/>
        <n v="46.44"/>
        <n v="339.15"/>
        <n v="45.75"/>
        <n v="889.8499999999999"/>
        <n v="750.51"/>
        <n v="49.019999999999996"/>
        <n v="813.05"/>
        <n v="770.64"/>
        <n v="413.14"/>
        <n v="1978.9199999999998"/>
        <n v="372.59999999999997"/>
        <n v="145.14"/>
        <n v="607.88"/>
        <n v="349.46"/>
        <n v="219.7"/>
        <n v="426.7"/>
        <n v="513.76"/>
        <n v="16.35"/>
        <n v="936.73"/>
        <n v="394.12"/>
        <n v="437.5"/>
        <n v="915.5300000000001"/>
        <n v="188.24999999999997"/>
        <n v="6.949999999999999"/>
        <n v="831.34"/>
        <n v="1280.6399999999999"/>
        <n v="1202.24"/>
        <n v="3134.64"/>
        <n v="1063.4"/>
        <n v="1252.04"/>
        <n v="53.519999999999996"/>
        <n v="77.52"/>
        <n v="177.83999999999997"/>
        <n v="55.95"/>
        <n v="142.89000000000001"/>
        <n v="756.0"/>
        <n v="316.16"/>
        <n v="560.64"/>
        <n v="80.24"/>
        <n v="361.05"/>
        <n v="3.48"/>
        <n v="11.549999999999999"/>
        <n v="3014.6400000000003"/>
        <n v="344.52000000000004"/>
        <n v="2178.8"/>
        <n v="600.0600000000001"/>
        <n v="508.08"/>
        <n v="1986.61"/>
        <n v="77.39999999999999"/>
        <n v="10.34"/>
        <n v="313.04"/>
        <n v="240.48"/>
        <n v="3770.34"/>
        <n v="977.8499999999999"/>
        <n v="131.04"/>
        <n v="1783.0400000000002"/>
        <n v="1618.3200000000002"/>
        <n v="2694.12"/>
        <n v="168.0"/>
        <n v="668.78"/>
        <n v="192.36"/>
        <n v="686.25"/>
        <n v="1191.75"/>
        <n v="84.15"/>
        <n v="484.71999999999997"/>
        <n v="878.4"/>
        <n v="1065.6000000000001"/>
        <n v="154.0"/>
        <n v="1267.3"/>
        <n v="1405.92"/>
        <n v="219.87"/>
        <n v="1335.48"/>
        <n v="32.76"/>
        <n v="2128.9"/>
        <n v="3219.3599999999997"/>
        <n v="3192.5499999999997"/>
        <n v="11.77"/>
        <n v="3201.6"/>
        <n v="744.0"/>
        <n v="365.7"/>
        <n v="518.32"/>
        <n v="340.40000000000003"/>
        <n v="1106.6399999999999"/>
        <n v="990.25"/>
        <n v="128.03"/>
        <n v="12.18"/>
        <n v="993.3299999999999"/>
        <n v="775.44"/>
        <n v="2402.7799999999997"/>
        <n v="655.6"/>
        <n v="3334.87"/>
        <n v="2.9"/>
        <n v="1956.93"/>
        <n v="2663.65"/>
        <n v="2516.4300000000003"/>
        <n v="3917.5"/>
        <n v="3874.3999999999996"/>
        <n v="253.05"/>
        <n v="3383.08"/>
        <n v="1076.3"/>
        <n v="815.04"/>
        <n v="5086.4"/>
        <n v="336.00000000000006"/>
        <n v="5.6499999999999995"/>
        <n v="132.75"/>
        <n v="549.1800000000001"/>
        <n v="599.9399999999999"/>
        <n v="205.02"/>
        <n v="232.56"/>
        <n v="17.29"/>
        <n v="27.150000000000002"/>
        <n v="9.78"/>
        <n v="6433.34"/>
        <n v="96.72"/>
        <n v="593.25"/>
        <n v="96.39"/>
        <n v="3.32"/>
        <n v="35.0"/>
        <n v="46.81"/>
        <n v="1559.58"/>
        <n v="122.0"/>
        <n v="314.64"/>
        <n v="95.58000000000001"/>
        <n v="1003.5899999999999"/>
        <n v="1397.55"/>
        <n v="2525.3999999999996"/>
        <n v="3112.3999999999996"/>
        <n v="65.07000000000001"/>
        <n v="712.5"/>
        <n v="71.92"/>
        <n v="26.53"/>
        <n v="397.43999999999994"/>
        <n v="3.2"/>
        <n v="813.1200000000001"/>
        <n v="336.3"/>
        <n v="1640.45"/>
        <n v="1328.25"/>
        <n v="364.56"/>
        <n v="979.09"/>
        <n v="1556.6000000000001"/>
        <n v="693.12"/>
        <n v="3673.93"/>
        <n v="248.4"/>
        <n v="320.12"/>
        <n v="236.25"/>
        <n v="796.08"/>
        <n v="1292.83"/>
        <n v="100.80000000000001"/>
        <n v="910.35"/>
        <n v="329.28"/>
        <n v="4967.31"/>
        <n v="254.60999999999999"/>
        <n v="314.82"/>
        <n v="12877.41"/>
        <n v="2865.24"/>
        <n v="1796.9399999999998"/>
        <n v="567.24"/>
        <n v="381.79999999999995"/>
        <n v="430.13999999999993"/>
        <n v="327.06"/>
        <n v="927.48"/>
        <n v="269.09999999999997"/>
        <n v="131.58"/>
        <n v="3421.94"/>
        <n v="356.41999999999996"/>
        <n v="1510.96"/>
        <n v="79.8"/>
        <n v="2425.35"/>
        <n v="4245.6"/>
        <n v="9.5"/>
        <n v="3449.5499999999997"/>
        <n v="16.43"/>
        <n v="26.5"/>
        <n v="56.32"/>
        <n v="1071.33"/>
        <n v="1264.8799999999999"/>
        <n v="16.48"/>
        <n v="703.0"/>
        <n v="35.49"/>
        <n v="686.7"/>
        <n v="48.78"/>
        <n v="484.5"/>
        <n v="585.75"/>
        <n v="2779.5"/>
        <n v="962.88"/>
        <n v="324.71999999999997"/>
        <n v="403.82"/>
        <n v="762.0"/>
        <n v="293.93"/>
        <n v="86.24"/>
        <n v="283.28999999999996"/>
        <n v="1644.24"/>
        <n v="557.4599999999999"/>
        <n v="3484.68"/>
        <n v="273.6"/>
        <n v="29.379999999999995"/>
        <n v="366.11999999999995"/>
        <n v="1897.5"/>
        <n v="243.84"/>
        <n v="299.20000000000005"/>
        <n v="14938.45"/>
        <n v="128.74"/>
        <n v="957.9000000000001"/>
        <n v="135.20000000000002"/>
        <n v="273.0"/>
        <n v="430.49999999999994"/>
        <n v="1323.27"/>
        <n v="1584.0000000000002"/>
        <n v="1204.35"/>
        <n v="1108.56"/>
        <n v="461.89000000000004"/>
        <n v="242.1"/>
        <n v="796.26"/>
        <n v="197.78"/>
        <n v="257.55"/>
        <n v="1452.99"/>
        <n v="19.53"/>
        <n v="937.4399999999999"/>
        <n v="316.71000000000004"/>
        <n v="51.24999999999999"/>
        <n v="225.6"/>
        <n v="2178.75"/>
        <n v="1312.98"/>
        <n v="1813.0"/>
        <n v="366.52"/>
        <n v="317.4"/>
        <n v="41.31"/>
        <n v="708.4"/>
        <n v="415.00000000000006"/>
        <n v="66.98"/>
        <n v="766.3"/>
        <n v="894.9599999999999"/>
        <n v="2538.9700000000003"/>
        <n v="38.080000000000005"/>
        <n v="1984.68"/>
        <n v="739.1700000000001"/>
        <n v="1154.97"/>
        <n v="356.40000000000003"/>
        <n v="502.73999999999995"/>
        <n v="204.0"/>
        <n v="1090.68"/>
        <n v="1456.84"/>
        <n v="172.0"/>
        <n v="218.79"/>
        <n v="360.99"/>
        <n v="376.96999999999997"/>
        <n v="394.45000000000005"/>
        <n v="257.15000000000003"/>
        <n v="329.94"/>
        <n v="2765.07"/>
        <n v="2028.6000000000001"/>
        <n v="623.2099999999999"/>
        <n v="2472.3"/>
        <n v="114.67999999999999"/>
        <n v="1313.6499999999999"/>
        <n v="741.81"/>
        <n v="776.0200000000001"/>
        <n v="535.26"/>
        <n v="67.14"/>
        <n v="1523.24"/>
        <n v="419.16999999999996"/>
        <n v="660.0600000000001"/>
        <n v="1016.3699999999999"/>
        <n v="680.34"/>
        <n v="6552.209999999999"/>
        <n v="214.0"/>
        <n v="4347.54"/>
        <n v="100.94"/>
        <n v="217.8"/>
        <n v="955.46"/>
        <n v="160.45999999999998"/>
        <n v="1069.6399999999999"/>
        <n v="299.62"/>
        <n v="187.22"/>
        <n v="281.61"/>
        <n v="100.76"/>
        <n v="1403.6"/>
        <n v="1219.23"/>
        <n v="408.87"/>
        <n v="113.27000000000001"/>
        <n v="222.39999999999998"/>
        <n v="318.61"/>
        <n v="590.24"/>
        <n v="1116.06"/>
        <n v="259.76"/>
        <n v="1425.6000000000001"/>
        <n v="3735.0000000000005"/>
        <n v="331.28"/>
        <n v="602.5799999999999"/>
        <n v="53.72"/>
        <n v="87.36"/>
        <n v="432.53999999999996"/>
        <n v="814.3199999999999"/>
        <n v="2131.92"/>
        <n v="62.64"/>
        <n v="31.02"/>
        <n v="879.12"/>
        <n v="1348.49"/>
        <n v="435.42"/>
        <n v="193.23"/>
        <n v="2838.7999999999997"/>
        <n v="773.81"/>
        <n v="1551.76"/>
        <n v="1133.6000000000001"/>
        <n v="767.1999999999999"/>
        <n v="1135.05"/>
        <n v="627.4399999999999"/>
        <n v="1540.56"/>
        <n v="150.70000000000002"/>
        <n v="1476.26"/>
        <n v="193.17000000000002"/>
        <n v="1115.85"/>
        <n v="1063.9499999999998"/>
        <n v="53.5"/>
        <n v="174.0"/>
        <n v="1365.1200000000001"/>
        <n v="756.6"/>
        <n v="1899.52"/>
        <n v="474.54"/>
        <n v="1604.68"/>
        <n v="1490.1699999999998"/>
        <n v="1442.8799999999999"/>
        <n v="24.5"/>
        <n v="176.4"/>
        <n v="111.55"/>
        <n v="569.1"/>
        <n v="2056.9"/>
        <n v="17.82"/>
        <n v="766.1600000000001"/>
        <n v="81.62"/>
        <n v="153.12"/>
        <n v="748.47"/>
        <n v="2044.6999999999998"/>
        <n v="1649.97"/>
        <n v="28.62"/>
        <n v="36.57"/>
        <n v="1195.35"/>
        <n v="179.49"/>
        <n v="159.75"/>
        <n v="231.84"/>
        <n v="577.92"/>
        <n v="161.84"/>
        <n v="492.03000000000003"/>
        <n v="1084.1599999999999"/>
        <n v="1301.4399999999998"/>
        <n v="178.34"/>
        <n v="239.25"/>
        <n v="374.53"/>
        <n v="47.36"/>
        <n v="517.08"/>
        <n v="306.9"/>
        <n v="763.73"/>
        <n v="523.6"/>
        <n v="517.5899999999999"/>
        <n v="1034.88"/>
        <n v="970.06"/>
        <n v="534.47"/>
        <n v="90.17999999999999"/>
        <n v="692.6400000000001"/>
        <n v="1287.92"/>
        <n v="1176.76"/>
        <n v="169.05"/>
        <n v="2246.04"/>
        <n v="750.72"/>
        <n v="548.0"/>
        <n v="1072.19"/>
        <n v="1328.04"/>
        <n v="2414.88"/>
        <n v="928.8000000000001"/>
        <n v="312.66"/>
        <n v="1104.48"/>
        <n v="697.51"/>
        <n v="646.1"/>
        <n v="669.8"/>
        <n v="397.5"/>
        <n v="66.04"/>
        <n v="171.14"/>
        <n v="101.91"/>
        <n v="496.32"/>
        <n v="192.76"/>
        <n v="50.46"/>
        <n v="51.3"/>
        <n v="150.52"/>
        <n v="54.15"/>
        <n v="1399.5600000000002"/>
        <n v="1413.6299999999999"/>
        <n v="30.250000000000004"/>
        <n v="503.43999999999994"/>
        <n v="2391.68"/>
        <n v="1261.26"/>
        <n v="67.0"/>
        <n v="51.45"/>
        <n v="2210.0"/>
        <n v="1091.43"/>
        <n v="3027.29"/>
        <n v="149.82"/>
        <n v="254.8"/>
        <n v="32.13"/>
        <n v="24.48"/>
        <n v="688.6999999999999"/>
        <n v="572.13"/>
        <n v="830.1800000000001"/>
        <n v="1592.0"/>
        <n v="519.48"/>
        <n v="795.16"/>
        <n v="1199.06"/>
        <n v="310.44"/>
        <n v="848.16"/>
        <n v="1888.3899999999999"/>
        <n v="481.61999999999995"/>
        <n v="253.97000000000003"/>
        <n v="988.8"/>
        <n v="7.45"/>
        <n v="865.05"/>
        <n v="401.79999999999995"/>
        <n v="369.6"/>
        <n v="1360.59"/>
        <n v="177.32999999999998"/>
        <n v="311.03999999999996"/>
        <n v="3954.97"/>
        <n v="381.6"/>
        <n v="3058.06"/>
        <n v="174.66"/>
        <n v="2812.2000000000003"/>
        <n v="517.44"/>
        <n v="1171.35"/>
        <n v="2861.34"/>
        <n v="94.16000000000001"/>
        <n v="717.57"/>
        <n v="5520.66"/>
        <n v="464.64"/>
        <n v="412.5"/>
        <n v="585.0"/>
        <n v="3.99"/>
        <n v="745.36"/>
        <n v="319.79999999999995"/>
        <n v="3294.12"/>
        <n v="351.75"/>
        <n v="3401.19"/>
        <n v="672.84"/>
        <n v="232.96000000000004"/>
        <n v="1814.4199999999998"/>
        <n v="418.56"/>
        <n v="408.07"/>
        <n v="272.69"/>
        <n v="533.6"/>
        <n v="1985.9199999999998"/>
        <n v="7050.0"/>
        <n v="3466.26"/>
        <n v="362.59999999999997"/>
        <n v="619.0799999999999"/>
        <n v="626.78"/>
        <n v="509.34000000000003"/>
        <n v="172.12"/>
        <n v="6381.240000000001"/>
        <n v="2285.51"/>
        <n v="3853.92"/>
        <n v="1320.0"/>
        <n v="244.14000000000001"/>
        <n v="2474.3"/>
        <n v="267.38"/>
        <n v="2348.48"/>
        <n v="19.7"/>
        <n v="1741.6"/>
        <n v="424.08"/>
        <n v="643.5"/>
        <n v="151.35999999999999"/>
        <n v="2022.16"/>
        <n v="2150.0"/>
        <n v="656.6999999999999"/>
        <n v="1848.1100000000001"/>
        <n v="1679.0400000000002"/>
        <n v="521.24"/>
        <n v="260.42"/>
        <n v="1846.44"/>
        <n v="588.24"/>
        <n v="439.66"/>
        <n v="625.58"/>
        <n v="98.01"/>
        <n v="3346.95"/>
        <n v="373.46"/>
        <n v="900.34"/>
        <n v="1527.6799999999998"/>
        <n v="13.799999999999999"/>
        <n v="2739.39"/>
        <n v="4634.69"/>
        <n v="2175.7999999999997"/>
        <n v="3300.4"/>
        <n v="54.400000000000006"/>
        <n v="37.6"/>
        <n v="170.19"/>
        <n v="671.84"/>
        <n v="1342.48"/>
        <n v="1203.42"/>
        <n v="1517.65"/>
        <n v="400.2"/>
        <n v="856.36"/>
        <n v="717.12"/>
        <n v="150.5"/>
        <n v="128.96"/>
        <n v="226.24"/>
        <n v="1248.99"/>
        <n v="44.199999999999996"/>
        <n v="1046.25"/>
        <n v="399.84"/>
        <n v="1822.8000000000002"/>
        <n v="78.0"/>
        <n v="240.7"/>
        <n v="274.38"/>
        <n v="659.87"/>
        <n v="68.64"/>
        <n v="1813.0199999999998"/>
        <n v="406.97999999999996"/>
        <n v="275.12"/>
        <n v="2.33"/>
        <n v="218.95999999999998"/>
        <n v="71.3"/>
        <n v="713.9200000000001"/>
        <n v="860.9999999999999"/>
        <n v="83.07"/>
        <n v="600.6"/>
        <n v="5458.08"/>
        <n v="1538.5"/>
        <n v="1855.1399999999999"/>
        <n v="760.18"/>
        <n v="72.85000000000001"/>
        <n v="56.68000000000001"/>
        <n v="1620.8100000000002"/>
        <n v="1011.92"/>
        <n v="112.89"/>
        <n v="50.0"/>
        <n v="434.7"/>
        <n v="3534.5699999999997"/>
        <n v="261.82"/>
        <n v="138.47"/>
        <n v="115.99999999999999"/>
        <n v="1271.1999999999998"/>
        <n v="4383.6"/>
        <n v="1020.5300000000001"/>
        <n v="938.49"/>
        <n v="60.31999999999999"/>
        <n v="1904.8300000000002"/>
        <n v="703.89"/>
        <n v="2921.0"/>
        <n v="265.71999999999997"/>
        <n v="135.52"/>
        <n v="248.63000000000002"/>
        <n v="1024.8500000000001"/>
        <n v="167.79"/>
        <n v="306.21999999999997"/>
        <n v="1942.56"/>
        <n v="66.6"/>
        <n v="943.2"/>
        <n v="3493.3799999999997"/>
        <n v="3331.6499999999996"/>
        <n v="2945.07"/>
        <n v="2485.2000000000003"/>
        <n v="535.5"/>
        <n v="704.46"/>
        <n v="3892.07"/>
        <n v="416.96999999999997"/>
        <n v="717.7499999999999"/>
        <n v="407.27000000000004"/>
        <n v="66.56"/>
        <n v="3260.73"/>
        <n v="2300.1"/>
        <n v="2242.5"/>
        <n v="71.10000000000001"/>
        <n v="325.44"/>
        <n v="278.46"/>
        <n v="1336.3"/>
        <n v="358.8"/>
        <n v="2068.2400000000002"/>
        <n v="1713.9"/>
        <n v="525.46"/>
        <n v="2537.6400000000003"/>
        <n v="545.28"/>
        <n v="2305.2"/>
        <n v="991.89"/>
        <n v="2400.75"/>
        <n v="4555.98"/>
        <n v="1348.74"/>
        <n v="3636.2999999999997"/>
        <n v="1414.8"/>
        <n v="149.51999999999998"/>
        <n v="2055.42"/>
        <n v="176.64"/>
        <n v="2156.5"/>
        <n v="138.45000000000002"/>
        <n v="1708.92"/>
        <n v="1237.14"/>
        <n v="3552.5299999999997"/>
        <n v="115.91999999999999"/>
        <n v="994.59"/>
        <n v="1518.66"/>
        <n v="1.3"/>
        <n v="2.72"/>
        <n v="211.67000000000002"/>
        <n v="1673.8400000000001"/>
        <n v="34.300000000000004"/>
        <n v="140.22"/>
        <n v="58.08"/>
        <n v="3153.6"/>
        <n v="715.8100000000001"/>
        <n v="1835.4599999999998"/>
        <n v="1583.3"/>
        <n v="4519.84"/>
        <n v="260.26"/>
        <n v="3066.3599999999997"/>
        <n v="39.480000000000004"/>
        <n v="673.32"/>
        <n v="4792.08"/>
        <n v="3699.7200000000003"/>
        <n v="2487.1"/>
        <n v="59.28"/>
        <n v="3447.2"/>
        <n v="119.52"/>
        <n v="126.48"/>
        <n v="834.5200000000001"/>
        <n v="332.5"/>
        <n v="858.48"/>
        <n v="1425.52"/>
        <n v="314.45"/>
        <n v="266.28"/>
        <n v="339.12"/>
        <n v="2264.32"/>
        <n v="317.1"/>
        <n v="438.75"/>
        <n v="3322.8199999999997"/>
        <n v="4530.5"/>
        <n v="6698.64"/>
        <n v="839.68"/>
        <n v="159.96"/>
        <n v="3208.53"/>
        <n v="864.3299999999999"/>
        <n v="156.56"/>
        <n v="1239.84"/>
        <n v="1343.68"/>
        <n v="372.40000000000003"/>
        <n v="328.86"/>
        <n v="723.52"/>
        <n v="135.96"/>
        <n v="107.92"/>
        <n v="1745.7999999999997"/>
        <n v="272.24"/>
        <n v="286.16"/>
        <n v="5150.570000000001"/>
        <n v="151.79999999999998"/>
        <n v="1350.24"/>
        <n v="1489.28"/>
        <n v="1646.72"/>
        <n v="361.77000000000004"/>
        <n v="94.08000000000001"/>
        <n v="187.05"/>
        <n v="8.469999999999999"/>
        <n v="556.92"/>
        <n v="1337.7"/>
        <n v="52.9"/>
        <n v="131.56"/>
        <n v="423.36"/>
        <n v="34.01"/>
        <n v="148.04999999999998"/>
        <n v="530.5500000000001"/>
        <n v="402.28"/>
        <n v="188.10000000000002"/>
        <n v="26.03"/>
        <n v="195.58"/>
        <n v="944.7"/>
        <n v="278.1"/>
        <n v="868.6"/>
        <n v="491.03999999999996"/>
        <n v="14.499999999999998"/>
        <n v="256.23"/>
        <n v="221.83999999999997"/>
        <n v="37.5"/>
        <n v="921.3000000000001"/>
        <n v="459.59999999999997"/>
        <n v="724.3499999999999"/>
        <n v="210.86999999999998"/>
        <n v="799.2"/>
        <n v="333.90000000000003"/>
        <n v="298.12"/>
        <n v="669.9799999999999"/>
        <n v="178.16"/>
        <n v="446.25"/>
        <n v="58.89"/>
        <n v="1.0"/>
        <n v="117.41999999999999"/>
        <n v="124.0"/>
        <n v="28.419999999999998"/>
        <n v="139.2"/>
        <n v="97.44"/>
        <n v="23.8"/>
        <n v="33.25"/>
        <n v="3924.0000000000005"/>
        <n v="631.0500000000001"/>
        <n v="102.69"/>
        <n v="54.120000000000005"/>
        <n v="25.65"/>
        <n v="261.29999999999995"/>
        <n v="413.74"/>
        <n v="228.33"/>
        <n v="475.96"/>
        <n v="35.34"/>
        <n v="157.7"/>
        <n v="514.42"/>
        <n v="144.43"/>
        <n v="354.64"/>
        <n v="51.84"/>
        <n v="393.29999999999995"/>
        <n v="47.739999999999995"/>
        <n v="157.29999999999998"/>
        <n v="526.24"/>
        <n v="142.56"/>
        <n v="1464.05"/>
        <n v="952.3199999999999"/>
        <n v="83.26"/>
        <n v="731.1700000000001"/>
        <n v="553.84"/>
        <n v="312.08"/>
        <n v="32.64"/>
        <n v="687.0"/>
        <n v="677.68"/>
        <n v="476.28000000000003"/>
        <n v="931.84"/>
        <n v="83.16"/>
        <n v="209.88"/>
        <n v="145.8"/>
        <n v="638.0"/>
        <n v="85.5"/>
        <n v="1333.15"/>
        <n v="187.92000000000002"/>
        <n v="19.580000000000002"/>
        <n v="293.88"/>
        <n v="1092.0"/>
        <n v="28.900000000000002"/>
        <n v="971.12"/>
        <n v="495.52"/>
        <n v="849.0"/>
        <n v="480.90000000000003"/>
        <n v="232.32"/>
        <n v="137.02"/>
        <n v="332.76"/>
        <n v="508.06"/>
        <n v="75.24"/>
        <n v="455.8"/>
        <n v="1953.91"/>
        <n v="727.56"/>
        <n v="635.3599999999999"/>
        <n v="231.82"/>
        <n v="316.05"/>
        <n v="145.29"/>
        <n v="615.96"/>
        <n v="340.29"/>
        <n v="816.4799999999999"/>
        <n v="1028.16"/>
        <n v="331.96"/>
        <n v="241.74"/>
        <n v="126.0"/>
        <n v="1058.75"/>
        <n v="1889.44"/>
        <n v="106.64"/>
        <n v="1068.78"/>
        <n v="387.84"/>
        <n v="62.730000000000004"/>
        <n v="216.20000000000002"/>
        <n v="638.12"/>
        <n v="191.1"/>
        <n v="451.20000000000005"/>
        <n v="88.83"/>
        <n v="309.6"/>
        <n v="517.28"/>
        <n v="509.44"/>
        <n v="349.52000000000004"/>
        <n v="671.0"/>
        <n v="7.5"/>
        <n v="167.61"/>
        <n v="408.2"/>
        <n v="229.46"/>
        <n v="126.44000000000001"/>
        <n v="106.58"/>
        <n v="159.6"/>
        <n v="520.38"/>
        <n v="868.23"/>
        <n v="306.74"/>
        <n v="92.42999999999999"/>
        <n v="217.5"/>
        <n v="1476.59"/>
        <n v="2275.2"/>
        <n v="101.64"/>
        <n v="169.51999999999998"/>
        <n v="81.78"/>
        <n v="284.48"/>
        <n v="90.16000000000001"/>
        <n v="37.800000000000004"/>
        <n v="392.34999999999997"/>
        <n v="444.96000000000004"/>
        <n v="155.70000000000002"/>
        <n v="67.75999999999999"/>
        <n v="3.1500000000000004"/>
        <n v="700.0000000000001"/>
        <n v="339.09000000000003"/>
        <n v="7.86"/>
        <n v="422.45"/>
        <n v="556.32"/>
        <n v="275.21999999999997"/>
        <n v="720.29"/>
        <n v="1023.3900000000001"/>
        <n v="1086.1100000000001"/>
        <n v="1983.3"/>
        <n v="258.39000000000004"/>
        <n v="79.98"/>
        <n v="117.18"/>
        <n v="910.1999999999999"/>
        <n v="191.09"/>
        <n v="78.78"/>
        <n v="182.28"/>
        <n v="858.52"/>
        <n v="419.22"/>
        <n v="686.0"/>
        <n v="241.9"/>
        <n v="201.48"/>
        <n v="1549.3999999999999"/>
        <n v="1655.19"/>
        <n v="1590.3"/>
        <n v="141.51999999999998"/>
        <n v="1782.15"/>
        <n v="1104.43"/>
        <n v="479.36"/>
        <n v="1621.74"/>
        <n v="1815.6000000000001"/>
        <n v="404.06"/>
        <n v="919.8"/>
        <n v="48.0"/>
        <n v="1169.0500000000002"/>
        <n v="1280.1599999999999"/>
        <n v="8337.6"/>
        <n v="12159.41"/>
        <n v="2261.64"/>
        <n v="159.25"/>
        <n v="1805.23"/>
        <n v="1017.5500000000001"/>
        <n v="408.6"/>
        <n v="207.75"/>
        <n v="442.86"/>
        <n v="2194.52"/>
        <n v="3222.62"/>
        <n v="2966.45"/>
        <n v="793.4399999999999"/>
        <n v="176.96"/>
        <n v="846.12"/>
        <n v="594.08"/>
        <n v="531.36"/>
        <n v="946.83"/>
        <n v="323.96"/>
        <n v="1.17"/>
        <n v="554.17"/>
        <n v="523.09"/>
        <n v="33.6"/>
        <n v="106.68"/>
        <n v="210.75"/>
        <n v="300.51"/>
        <n v="50.58"/>
        <n v="1373.97"/>
        <n v="61.18000000000001"/>
        <n v="946.22"/>
        <n v="547.84"/>
        <n v="98.8"/>
        <n v="183.33"/>
        <n v="764.4"/>
        <n v="32.230000000000004"/>
        <n v="623.22"/>
        <n v="328.90000000000003"/>
        <n v="349.65000000000003"/>
        <n v="959.3400000000001"/>
        <n v="787.1899999999999"/>
        <n v="6.4"/>
        <n v="3844.68"/>
        <n v="733.5"/>
        <n v="3605.24"/>
        <n v="1375.64"/>
        <n v="2663.28"/>
        <n v="260.91"/>
        <n v="1.7"/>
        <n v="9119.039999999999"/>
        <n v="1060.29"/>
        <n v="426.61999999999995"/>
        <n v="802.6600000000001"/>
        <n v="4183.09"/>
        <n v="177.64999999999998"/>
        <n v="859.0999999999999"/>
        <n v="1349.6399999999999"/>
        <n v="604.4399999999999"/>
        <n v="456.25"/>
        <n v="69.36"/>
        <n v="42.9"/>
        <n v="120.6"/>
        <n v="695.83"/>
        <n v="524.8"/>
        <n v="205.53"/>
        <n v="205.87"/>
        <n v="1749.6699999999998"/>
        <n v="65.7"/>
        <n v="2312.4"/>
        <n v="57.120000000000005"/>
        <n v="322.08000000000004"/>
        <n v="794.97"/>
        <n v="2586.5499999999997"/>
        <n v="1989.11"/>
        <n v="748.9200000000001"/>
        <n v="2773.98"/>
        <n v="735.84"/>
        <n v="1494.6000000000001"/>
        <n v="2696.77"/>
        <n v="478.64"/>
        <n v="4.64"/>
        <n v="1431.78"/>
        <n v="371.84000000000003"/>
        <n v="539.28"/>
        <n v="1333.8000000000002"/>
        <n v="29.45"/>
        <n v="14839.95"/>
        <n v="226.29999999999998"/>
        <n v="106.5"/>
        <n v="36.72"/>
        <n v="643.1"/>
        <n v="1742.91"/>
        <n v="1327.3600000000001"/>
        <n v="436.39"/>
        <n v="35.28"/>
        <n v="1246.4199999999998"/>
        <n v="278.3"/>
        <n v="1523.57"/>
        <n v="272.25"/>
        <n v="386.88"/>
        <n v="186.2"/>
        <n v="858.15"/>
        <n v="459.04"/>
        <n v="146.7"/>
        <n v="881.6"/>
        <n v="466.55"/>
        <n v="714.0"/>
        <n v="1038.3999999999999"/>
        <n v="711.18"/>
        <n v="306.0"/>
        <n v="1185.82"/>
        <n v="273.52"/>
        <n v="57.46"/>
        <n v="1270.49"/>
        <n v="1273.8700000000001"/>
        <n v="704.73"/>
        <n v="586.95"/>
        <n v="1237.16"/>
        <n v="347.7"/>
        <n v="885.6"/>
        <n v="207.36"/>
        <n v="268.27"/>
        <n v="9.1"/>
        <n v="573.0"/>
        <n v="841.6500000000001"/>
        <n v="917.28"/>
        <n v="1583.46"/>
        <n v="376.65000000000003"/>
        <n v="48.84"/>
        <n v="276.08"/>
        <n v="1589.25"/>
        <n v="1337.43"/>
        <n v="376.98"/>
        <n v="2084.85"/>
        <n v="162.14999999999998"/>
        <n v="480.7"/>
        <n v="2615.04"/>
        <n v="116.53"/>
        <n v="116.48"/>
        <n v="422.0"/>
        <n v="1251.32"/>
        <n v="19.47"/>
        <n v="583.7800000000001"/>
        <n v="291.90000000000003"/>
        <n v="3465.77"/>
        <n v="11.1"/>
        <n v="197.64"/>
        <n v="392.08"/>
        <n v="463.76"/>
        <n v="11.38"/>
        <n v="151.65"/>
        <n v="123.75"/>
        <n v="460.28"/>
        <n v="1436.7299999999998"/>
        <n v="538.62"/>
        <n v="3070.71"/>
        <n v="675.1999999999999"/>
        <n v="4590.0"/>
        <n v="3294.2999999999997"/>
        <n v="2877.93"/>
        <n v="748.0"/>
        <n v="188.68"/>
        <n v="675.9"/>
        <n v="36.78"/>
        <n v="1261.8700000000001"/>
        <n v="49.0"/>
        <n v="5687.0"/>
        <n v="1106.7"/>
        <n v="819.25"/>
        <n v="871.32"/>
        <n v="199.2"/>
        <n v="525.3"/>
        <n v="251.33999999999997"/>
        <n v="454.41"/>
        <n v="507.3"/>
        <n v="295.26000000000005"/>
        <n v="1027.58"/>
        <n v="208.04999999999998"/>
        <n v="339.3"/>
        <n v="1576.44"/>
        <n v="89.64"/>
        <n v="7.290000000000001"/>
        <n v="369.24"/>
        <n v="870.42"/>
        <n v="54.28"/>
        <n v="2003.36"/>
        <n v="498.15"/>
        <n v="629.75"/>
        <n v="644.78"/>
        <n v="496.79999999999995"/>
        <n v="187.10999999999999"/>
        <n v="1542.4"/>
        <n v="2908.62"/>
        <n v="3400.7999999999997"/>
        <n v="218.46"/>
        <n v="1022.3500000000001"/>
        <n v="2775.87"/>
        <n v="4194.3"/>
        <n v="2231.7000000000003"/>
        <n v="1176.24"/>
        <n v="1396.08"/>
        <n v="255.6"/>
        <n v="2470.6"/>
        <n v="250.09"/>
        <n v="1014.39"/>
        <n v="1677.27"/>
        <n v="263.31"/>
        <n v="193.83"/>
        <n v="7.6"/>
        <n v="291.65"/>
        <n v="47.04"/>
        <n v="68.39999999999999"/>
        <n v="38.61"/>
        <n v="921.2"/>
        <n v="379.96000000000004"/>
        <n v="3379.0"/>
        <n v="524.37"/>
        <n v="1169.73"/>
        <n v="319.90000000000003"/>
        <n v="1863.49"/>
        <n v="710.02"/>
        <n v="208.56"/>
        <n v="7.0"/>
        <n v="68.15"/>
        <n v="125.46000000000001"/>
        <n v="5.64"/>
        <n v="1237.35"/>
        <n v="738.36"/>
        <n v="161.0"/>
        <n v="3.11"/>
        <n v="159.79999999999998"/>
        <n v="309.51"/>
        <n v="75.82"/>
        <n v="4.7700000000000005"/>
        <n v="120.28"/>
        <n v="887.88"/>
        <n v="865.8100000000001"/>
        <n v="276.06"/>
        <n v="82.14999999999999"/>
        <n v="359.09999999999997"/>
        <n v="200.45999999999998"/>
        <n v="579.64"/>
        <n v="584.64"/>
        <n v="850.6800000000001"/>
        <n v="456.96000000000004"/>
        <n v="809.12"/>
        <n v="23.85"/>
        <n v="412.96"/>
        <n v="1788.56"/>
        <n v="562.59"/>
        <n v="298.98"/>
        <n v="878.85"/>
        <n v="416.64000000000004"/>
        <n v="241.67"/>
        <n v="1507.22"/>
        <n v="518.67"/>
        <n v="590.64"/>
        <n v="612.26"/>
        <n v="359.70000000000005"/>
        <n v="100.10000000000001"/>
        <n v="606.06"/>
        <n v="1242.92"/>
        <n v="451.2"/>
        <n v="1378.08"/>
        <n v="87.6"/>
        <n v="51.6"/>
        <n v="774.62"/>
        <n v="1156.1999999999998"/>
        <n v="143.37"/>
        <n v="708.84"/>
        <n v="285.75"/>
        <n v="174.79"/>
        <n v="58.67999999999999"/>
        <n v="316.09999999999997"/>
        <n v="10.4"/>
        <n v="36.4"/>
        <n v="8.45"/>
        <n v="440.1"/>
        <n v="225.09"/>
        <n v="1203.3600000000001"/>
        <n v="331.09999999999997"/>
        <n v="1084.6599999999999"/>
        <n v="1169.6299999999999"/>
        <n v="477.12000000000006"/>
        <n v="721.5"/>
        <n v="39.36"/>
        <n v="354.78"/>
        <n v="48.47"/>
        <n v="293.46000000000004"/>
        <n v="121.25999999999999"/>
        <n v="986.6999999999999"/>
        <n v="31.729999999999997"/>
        <n v="852.12"/>
        <n v="194.04"/>
        <n v="144.27"/>
        <n v="494.75999999999993"/>
        <n v="1542.42"/>
        <n v="301.0"/>
        <n v="575.11"/>
        <n v="1603.68"/>
        <n v="-19.56"/>
        <n v="6204.87"/>
        <n v="446.31"/>
        <n v="133.56"/>
        <n v="476.28"/>
        <n v="490.62"/>
        <n v="1456.7299999999998"/>
        <n v="291.04"/>
        <n v="408.96"/>
        <n v="113.85"/>
        <n v="1297.44"/>
        <n v="667.0"/>
        <n v="208.79999999999998"/>
        <n v="972.7199999999999"/>
        <n v="154.76"/>
        <n v="4.6000000000000005"/>
        <n v="5654.88"/>
        <n v="2961.0"/>
        <n v="3800.52"/>
        <n v="2964.24"/>
        <n v="6388.71"/>
        <n v="193.82999999999998"/>
        <n v="1070.26"/>
        <n v="365.75"/>
        <n v="5.01"/>
        <n v="719.52"/>
        <n v="389.7"/>
        <n v="553.32"/>
        <n v="778.4699999999999"/>
        <n v="1522.8"/>
        <n v="662.4"/>
        <n v="644.36"/>
        <n v="3827.8900000000003"/>
        <n v="614.8"/>
        <n v="20.700000000000003"/>
        <n v="8487.18"/>
        <n v="691.9"/>
        <n v="359.1"/>
        <n v="161.68"/>
        <n v="405.60999999999996"/>
        <n v="2617.4"/>
        <n v="470.75"/>
        <n v="839.84"/>
        <n v="417.62"/>
        <n v="1285.2"/>
        <n v="43.54"/>
        <n v="52.38"/>
        <n v="273.92"/>
        <n v="87.45"/>
        <n v="2475.96"/>
        <n v="256.48"/>
        <n v="204.29999999999998"/>
        <n v="516.24"/>
        <n v="1749.44"/>
        <n v="43.29"/>
        <n v="84.39"/>
        <n v="130.20000000000002"/>
        <n v="186.62"/>
        <n v="7493.49"/>
        <n v="52.02"/>
        <n v="496.0"/>
        <n v="1790.4"/>
        <n v="235.32000000000002"/>
        <n v="1092.96"/>
        <n v="1047.8"/>
        <n v="94.25"/>
        <n v="34.32"/>
        <n v="1651.55"/>
        <n v="3457.2000000000003"/>
        <n v="3227.06"/>
        <n v="518.7"/>
        <n v="57.599999999999994"/>
        <n v="118.11"/>
        <n v="1520.7"/>
        <n v="2446.08"/>
        <n v="3802.76"/>
        <n v="5700.95"/>
        <n v="1066.66"/>
        <n v="1509.2199999999998"/>
        <n v="1421.97"/>
        <n v="2974.4"/>
        <n v="1105.9499999999998"/>
        <n v="12489.4"/>
        <n v="10042.6"/>
        <n v="328.89"/>
        <n v="61.32"/>
        <n v="927.45"/>
        <n v="212.52"/>
        <n v="19.599999999999998"/>
        <n v="3446.38"/>
        <n v="198.94"/>
        <n v="5701.38"/>
        <n v="3837.24"/>
        <n v="7.44"/>
        <n v="4487.2"/>
        <n v="1127.0"/>
        <n v="4112.01"/>
        <n v="105.60000000000001"/>
        <n v="59.769999999999996"/>
        <n v="133.92000000000002"/>
        <n v="261.24"/>
        <n v="167.98"/>
        <n v="958.74"/>
        <n v="46.580000000000005"/>
        <n v="161.55"/>
        <n v="956.75"/>
        <n v="698.4"/>
        <n v="2332.23"/>
        <n v="56.28"/>
        <n v="1292.0"/>
        <n v="218.4"/>
        <n v="831.6"/>
        <n v="574.5600000000001"/>
        <n v="696.08"/>
        <n v="53.9"/>
        <n v="1445.8400000000001"/>
        <n v="1788.3999999999999"/>
        <n v="1465.75"/>
        <n v="522.0"/>
        <n v="87.0"/>
        <n v="3221.6800000000003"/>
        <n v="282.31"/>
        <n v="219.29999999999998"/>
        <n v="6.8"/>
        <n v="46.419999999999995"/>
        <n v="463.61"/>
        <n v="4170.400000000001"/>
        <n v="339.84"/>
        <n v="908.17"/>
        <n v="82.32"/>
        <n v="780.6999999999999"/>
        <n v="1295.48"/>
        <n v="165.24"/>
        <n v="192.66"/>
        <n v="661.67"/>
        <n v="662.2"/>
        <n v="168.56"/>
        <n v="433.62"/>
        <n v="1548.42"/>
        <n v="2226.7799999999997"/>
        <n v="1948.86"/>
        <n v="1177.0"/>
        <n v="589.86"/>
        <n v="364.87"/>
        <n v="869.76"/>
        <n v="2207.52"/>
        <n v="26.52"/>
        <n v="8545.52"/>
        <n v="2064.12"/>
        <n v="151.57999999999998"/>
        <n v="43.68"/>
        <n v="225.54"/>
        <n v="143.95999999999998"/>
        <n v="46.8"/>
        <n v="82.68"/>
        <n v="476.76"/>
        <n v="609.84"/>
        <n v="9924.31"/>
        <n v="1844.04"/>
        <n v="2312.64"/>
        <n v="816.48"/>
        <n v="5287.5599999999995"/>
        <n v="3451.89"/>
        <n v="863.59"/>
        <n v="1170.56"/>
        <n v="328.5"/>
        <n v="5.62"/>
        <n v="146.39999999999998"/>
        <n v="222.88"/>
        <n v="444.59999999999997"/>
        <n v="1410.36"/>
        <n v="780.78"/>
        <n v="87.86"/>
        <n v="242.54000000000002"/>
        <n v="524.0"/>
        <n v="1028.58"/>
        <n v="711.95"/>
        <n v="975.26"/>
        <n v="145.2"/>
        <n v="240.35"/>
        <n v="376.27"/>
        <n v="38.400000000000006"/>
        <n v="1197.12"/>
        <n v="591.6"/>
        <n v="1288.56"/>
        <n v="749.0999999999999"/>
        <n v="41.36"/>
        <n v="420.24"/>
        <n v="178.5"/>
        <n v="186.66"/>
        <n v="334.5"/>
        <n v="1906.15"/>
        <n v="942.5"/>
        <n v="878.5699999999999"/>
        <n v="405.59999999999997"/>
        <n v="23.310000000000002"/>
        <n v="74.58"/>
        <n v="419.12"/>
        <n v="311.37"/>
        <n v="299.16"/>
        <n v="274.29"/>
        <n v="1576.75"/>
        <n v="58.24"/>
        <n v="90.8"/>
        <n v="140.89"/>
        <n v="502.20000000000005"/>
        <n v="971.1"/>
        <n v="426.53"/>
        <n v="254.72"/>
        <n v="169.6"/>
        <n v="214.20000000000002"/>
        <n v="259.20000000000005"/>
        <n v="457.8"/>
        <n v="351.36"/>
        <n v="10.0"/>
        <n v="782.0799999999999"/>
        <n v="373.12"/>
        <n v="189.52"/>
        <n v="167.64000000000001"/>
        <n v="265.43"/>
        <n v="305.9"/>
        <n v="247.52"/>
        <n v="538.46"/>
        <n v="636.3199999999999"/>
        <n v="285.58000000000004"/>
        <n v="521.1"/>
        <n v="208.75"/>
        <n v="626.94"/>
        <n v="548.34"/>
        <n v="76.26"/>
        <n v="110.24000000000001"/>
        <n v="21.14"/>
        <n v="203.06"/>
        <n v="232.70000000000002"/>
        <n v="732.24"/>
        <n v="291.4"/>
        <n v="38.43"/>
        <n v="161.88"/>
        <n v="146.25"/>
        <n v="381.0"/>
        <n v="1282.75"/>
        <n v="1437.1499999999999"/>
        <n v="270.09999999999997"/>
        <n v="182.21"/>
        <n v="335.28000000000003"/>
        <n v="759.5"/>
        <n v="607.55"/>
        <n v="42.56"/>
        <n v="99.11"/>
        <n v="108.28999999999999"/>
        <n v="297.85"/>
        <n v="291.0"/>
        <n v="1283.04"/>
        <n v="769.5600000000001"/>
        <n v="420.74"/>
        <n v="708.75"/>
        <n v="8.48"/>
        <n v="775.32"/>
        <n v="95.55"/>
        <n v="84.7"/>
        <n v="189.84"/>
        <n v="177.1"/>
        <n v="255.44"/>
        <n v="350.74"/>
        <n v="202.5"/>
        <n v="768.6899999999999"/>
        <n v="230.4"/>
        <n v="166.98"/>
        <n v="422.82000000000005"/>
        <n v="176.89000000000001"/>
        <n v="148.5"/>
        <n v="224.64000000000001"/>
        <n v="419.25"/>
        <n v="706.15"/>
        <n v="52.5"/>
        <n v="153.10999999999999"/>
        <n v="380.85999999999996"/>
        <n v="185.76"/>
        <n v="1001.8799999999999"/>
        <n v="628.25"/>
        <n v="400.05"/>
        <n v="11.52"/>
        <n v="965.77"/>
        <n v="704.76"/>
        <n v="215.0"/>
        <n v="1657.98"/>
        <n v="687.48"/>
        <n v="425.93"/>
        <n v="1024.0"/>
        <n v="622.64"/>
        <n v="602.27"/>
        <n v="174.20000000000002"/>
        <n v="597.24"/>
        <n v="400.0"/>
        <n v="1787.52"/>
        <n v="1572.0"/>
        <n v="146.24"/>
        <n v="2679.04"/>
        <n v="838.24"/>
        <n v="194.51"/>
        <n v="1455.45"/>
        <n v="2014.5700000000002"/>
        <n v="448.11"/>
        <n v="652.37"/>
        <n v="585.66"/>
        <n v="411.44"/>
        <n v="352.44"/>
        <n v="547.1999999999999"/>
        <n v="1311.0"/>
        <n v="1461.1799999999998"/>
        <n v="1150.9199999999998"/>
        <n v="397.98"/>
        <n v="1215.97"/>
        <n v="343.97"/>
        <n v="2335.41"/>
        <n v="144.48"/>
        <n v="270.0"/>
        <n v="1165.0"/>
        <n v="47.699999999999996"/>
        <n v="4150.04"/>
        <n v="1159.9499999999998"/>
        <n v="39.15"/>
        <n v="5288.8"/>
        <n v="1006.0799999999999"/>
        <n v="1189.08"/>
        <n v="828.59"/>
        <n v="810.16"/>
        <n v="1373.44"/>
        <n v="1482.0"/>
        <n v="1442.48"/>
        <n v="429.65999999999997"/>
        <n v="1178.24"/>
        <n v="1438.0800000000002"/>
        <n v="471.2"/>
        <n v="132.36999999999998"/>
        <n v="102.18"/>
        <n v="1437.3600000000001"/>
        <n v="1281.3899999999999"/>
        <n v="1562.1"/>
        <n v="1179.49"/>
        <n v="646.7199999999999"/>
        <n v="728.0"/>
        <n v="1568.15"/>
        <n v="181.0"/>
        <n v="5527.719999999999"/>
        <n v="1368.96"/>
        <n v="274.5"/>
        <n v="5272.0"/>
        <n v="140.35999999999999"/>
        <n v="530.28"/>
        <n v="694.12"/>
        <n v="875.16"/>
        <n v="892.41"/>
        <n v="3755.89"/>
        <n v="786.0100000000001"/>
        <n v="4767.78"/>
        <n v="2952.1000000000004"/>
        <n v="2069.8"/>
        <n v="468.44"/>
        <n v="2471.5699999999997"/>
        <n v="25.6"/>
        <n v="1878.85"/>
        <n v="1032.93"/>
        <n v="353.33000000000004"/>
        <n v="1142.31"/>
        <n v="788.1700000000001"/>
        <n v="875.99"/>
        <n v="2005.6000000000001"/>
        <n v="2417.07"/>
        <n v="1978.19"/>
        <n v="1114.2"/>
        <n v="1478.94"/>
        <n v="1130.72"/>
        <n v="771.63"/>
        <n v="4425.2"/>
        <n v="1439.9"/>
        <n v="4.36"/>
        <n v="639.45"/>
        <n v="446.19"/>
        <n v="2076.66"/>
        <n v="456.52"/>
        <n v="2919.67"/>
        <n v="1314.12"/>
        <n v="1806.86"/>
        <n v="660.0400000000001"/>
        <n v="1526.0"/>
        <n v="327.08"/>
        <n v="37.66"/>
        <n v="1047.96"/>
        <n v="4881.21"/>
        <n v="538.02"/>
        <n v="1508.91"/>
        <n v="758.08"/>
        <n v="1644.0"/>
        <n v="497.20000000000005"/>
        <n v="28.799999999999997"/>
        <n v="1131.3500000000001"/>
        <n v="31.74"/>
        <n v="131.07999999999998"/>
        <n v="247.0"/>
        <n v="364.08"/>
        <n v="645.3199999999999"/>
        <n v="216.16"/>
        <n v="134.64000000000001"/>
        <n v="778.54"/>
        <n v="340.37"/>
        <n v="934.69"/>
        <n v="21.080000000000002"/>
        <n v="608.94"/>
        <n v="720.0899999999999"/>
        <n v="41.71"/>
        <n v="160.02"/>
        <n v="291.9"/>
        <n v="415.31"/>
        <n v="126.05999999999999"/>
        <n v="939.84"/>
        <n v="55.86"/>
        <n v="99.82"/>
        <n v="748.8000000000001"/>
        <n v="1132.3"/>
        <n v="512.3000000000001"/>
        <n v="508.73999999999995"/>
        <n v="366.08"/>
        <n v="388.08000000000004"/>
        <n v="2422.31"/>
        <n v="495.8"/>
        <n v="59.449999999999996"/>
        <n v="29.1"/>
        <n v="83.98"/>
        <n v="573.5"/>
        <n v="136.0"/>
        <n v="408.0"/>
        <n v="40.18"/>
        <n v="1406.16"/>
        <n v="425.88"/>
        <n v="210.18"/>
        <n v="303.38"/>
        <n v="1450.54"/>
        <n v="122.32"/>
        <n v="567.84"/>
        <n v="334.47999999999996"/>
        <n v="190.8"/>
        <n v="201.72"/>
        <n v="2075.8"/>
        <n v="667.44"/>
        <n v="372.02"/>
        <n v="284.76"/>
        <n v="245.1"/>
        <n v="120.63999999999999"/>
        <n v="392.15999999999997"/>
        <n v="590.7800000000001"/>
        <n v="752.76"/>
        <n v="513.36"/>
        <n v="472.08"/>
        <n v="563.86"/>
        <n v="45.12"/>
        <n v="504.90000000000003"/>
        <n v="294.3"/>
        <n v="258.99"/>
        <n v="682.5"/>
        <n v="809.0999999999999"/>
        <n v="696.4200000000001"/>
        <n v="1351.68"/>
        <n v="14.040000000000001"/>
        <n v="628.28"/>
        <n v="2878.6800000000003"/>
        <n v="1965.52"/>
        <n v="79.46000000000001"/>
        <n v="129.78"/>
        <n v="201.60000000000002"/>
        <n v="353.44"/>
        <n v="1775.77"/>
        <n v="48.72"/>
        <n v="27.900000000000002"/>
        <n v="419.76000000000005"/>
        <n v="448.84000000000003"/>
        <n v="438.65000000000003"/>
        <n v="557.6"/>
        <n v="294.84"/>
        <n v="27.9"/>
        <n v="988.64"/>
        <n v="437.69"/>
        <n v="1751.19"/>
        <n v="291.17999999999995"/>
        <n v="389.76"/>
        <n v="942.5899999999999"/>
        <n v="1151.68"/>
        <n v="362.34000000000003"/>
        <n v="2373.3"/>
        <n v="702.72"/>
        <n v="253.44"/>
        <n v="569.91"/>
        <n v="63.75"/>
        <n v="302.51"/>
        <n v="167.28"/>
        <n v="-11.76"/>
        <n v="325.61999999999995"/>
        <n v="3311.45"/>
        <n v="216.0"/>
        <n v="688.5"/>
        <n v="2292.11"/>
        <n v="4077.92"/>
        <n v="1180.03"/>
        <n v="324.96"/>
        <n v="803.96"/>
        <n v="1751.5"/>
        <n v="112.77"/>
        <n v="2516.92"/>
        <n v="46.24"/>
        <n v="744.5600000000001"/>
        <n v="374.49"/>
        <n v="2659.6000000000004"/>
        <n v="1565.1000000000001"/>
        <n v="4564.5599999999995"/>
        <n v="1724.0"/>
        <n v="3053.06"/>
        <n v="780.67"/>
        <n v="1065.3300000000002"/>
        <n v="231.65"/>
        <n v="6301.8"/>
        <n v="1516.4099999999999"/>
        <n v="2435.14"/>
        <n v="51.61"/>
        <n v="3544.64"/>
        <n v="2010.8000000000002"/>
        <n v="4190.63"/>
        <n v="1950.3999999999999"/>
        <n v="1768.74"/>
        <n v="13.12"/>
        <n v="1230.3899999999999"/>
        <n v="245.82999999999998"/>
        <n v="3726.72"/>
        <n v="558.26"/>
        <n v="518.84"/>
        <n v="5586.7"/>
        <n v="1473.1999999999998"/>
        <n v="157.92000000000002"/>
        <n v="1435.1399999999999"/>
        <n v="1752.3500000000001"/>
        <n v="48.48"/>
        <n v="4194.679999999999"/>
        <n v="1333.8500000000001"/>
        <n v="3593.97"/>
        <n v="552.04"/>
        <n v="597.64"/>
        <n v="1183.68"/>
        <n v="212.25"/>
        <n v="16.56"/>
        <n v="2381.2799999999997"/>
        <n v="216.15"/>
        <n v="1209.08"/>
        <n v="5270.82"/>
        <n v="2576.31"/>
        <n v="2601.63"/>
        <n v="7109.849999999999"/>
        <n v="839.5"/>
        <n v="117.76"/>
        <n v="105.35000000000001"/>
        <n v="1115.8799999999999"/>
        <n v="1334.55"/>
        <n v="144.55"/>
        <n v="27.0"/>
        <n v="2883.6"/>
        <n v="258.78"/>
        <n v="104.88"/>
        <n v="134.19"/>
        <n v="138.13"/>
        <n v="300.44"/>
        <n v="4232.25"/>
        <n v="27.94"/>
        <n v="634.04"/>
        <n v="250.1"/>
        <n v="391.6"/>
        <n v="1012.6000000000001"/>
        <n v="29.889999999999997"/>
        <n v="3798.7400000000002"/>
        <n v="519.4799999999999"/>
        <n v="6005.36"/>
        <n v="4078.04"/>
        <n v="32.06"/>
        <n v="130.9"/>
        <n v="19.88"/>
        <n v="368.82"/>
        <n v="1960.2900000000002"/>
        <n v="1984.0"/>
        <n v="1919.5200000000002"/>
        <n v="3276.0"/>
        <n v="796.0"/>
        <n v="1766.64"/>
        <n v="4045.32"/>
        <n v="860.0999999999999"/>
        <n v="3155.3199999999997"/>
        <n v="444.86"/>
        <n v="32516.7"/>
        <n v="410.35"/>
        <n v="448.47"/>
        <n v="1048.32"/>
        <n v="868.64"/>
        <n v="31.24"/>
        <n v="181.2"/>
        <n v="214.5"/>
        <n v="105.35"/>
        <n v="876.16"/>
        <n v="179.74"/>
        <n v="188.75"/>
        <n v="96.60000000000001"/>
        <n v="972.9300000000001"/>
        <n v="1032.8999999999999"/>
        <n v="3428.91"/>
        <n v="7483.9"/>
        <n v="384.75"/>
        <n v="2328.6600000000003"/>
        <n v="8670.0"/>
        <n v="945.8800000000001"/>
        <n v="7694.4"/>
        <n v="1216.3799999999999"/>
        <n v="744.77"/>
        <n v="3040.72"/>
        <n v="2846.3999999999996"/>
        <n v="254.92999999999998"/>
        <n v="1716.0"/>
        <n v="5524.990000000001"/>
        <n v="1132.62"/>
        <n v="5087.04"/>
        <n v="1370.04"/>
        <n v="2151.96"/>
        <n v="3300.1299999999997"/>
        <n v="2369.2799999999997"/>
        <n v="99.17999999999999"/>
        <n v="2631.1"/>
        <n v="2493.66"/>
        <n v="1486.56"/>
        <n v="768.6"/>
        <n v="1357.4399999999998"/>
        <n v="67.34"/>
        <n v="320.0"/>
        <n v="45.6"/>
        <n v="1285.1999999999998"/>
        <n v="632.82"/>
        <n v="1311.65"/>
        <n v="2684.64"/>
        <n v="165.88"/>
        <n v="98.07"/>
        <n v="88.56"/>
        <n v="502.92"/>
        <n v="338.71999999999997"/>
        <n v="102.92"/>
        <n v="14.76"/>
        <n v="670.5"/>
        <n v="1691.94"/>
        <n v="3525.65"/>
        <n v="3002.68"/>
        <n v="457.58"/>
        <n v="1468.8"/>
        <n v="1669.8"/>
        <n v="1003.75"/>
        <n v="365.0"/>
        <n v="1251.3200000000002"/>
        <n v="528.75"/>
        <n v="86.4"/>
        <n v="376.3"/>
        <n v="5797.92"/>
        <n v="77.28"/>
        <n v="110.5"/>
        <n v="1666.24"/>
        <n v="639.0999999999999"/>
        <n v="12.42"/>
        <n v="975.8"/>
        <n v="655.1999999999999"/>
        <n v="299.37"/>
        <n v="752.4"/>
        <n v="968.84"/>
        <n v="1949.93"/>
        <n v="279.93"/>
        <n v="242.49"/>
        <n v="2233.44"/>
        <n v="20.02"/>
        <n v="100.98"/>
        <n v="761.25"/>
        <n v="384.56"/>
        <n v="204.97"/>
        <n v="181.17"/>
        <n v="187.2"/>
        <n v="38.28"/>
        <n v="429.0"/>
        <n v="7328.88"/>
        <n v="5085.179999999999"/>
        <n v="293.04"/>
        <n v="97.8"/>
        <n v="83.52"/>
        <n v="70.8"/>
        <n v="444.8"/>
        <n v="578.25"/>
        <n v="13.919999999999998"/>
        <n v="25.38"/>
        <n v="158.34"/>
        <n v="211.7"/>
        <n v="335.07"/>
        <n v="277.44"/>
        <n v="674.8"/>
        <n v="1387.75"/>
        <n v="396.0"/>
        <n v="1314.04"/>
        <n v="381.52"/>
        <n v="356.20000000000005"/>
        <n v="128.4"/>
        <n v="155.0"/>
        <n v="2347.3999999999996"/>
        <n v="1363.18"/>
        <n v="3440.88"/>
        <n v="815.5699999999999"/>
        <n v="387.65999999999997"/>
        <n v="595.01"/>
        <n v="1336.3500000000001"/>
        <n v="735.3"/>
        <n v="-16.310000000000002"/>
        <n v="455.88"/>
        <n v="270.27"/>
        <n v="16.169999999999998"/>
        <n v="191.7"/>
        <n v="432.64"/>
        <n v="193.60000000000002"/>
        <n v="672.1"/>
        <n v="2001.87"/>
        <n v="189.39000000000001"/>
        <n v="90.19999999999999"/>
        <n v="2935.92"/>
        <n v="5228.52"/>
        <n v="1065.78"/>
        <n v="949.4399999999999"/>
        <n v="504.78000000000003"/>
        <n v="101.92"/>
        <n v="1034.1599999999999"/>
        <n v="405.9"/>
        <n v="2979.2"/>
        <n v="536.35"/>
        <n v="643.72"/>
        <n v="882.56"/>
        <n v="2200.0"/>
        <n v="204.95999999999998"/>
        <n v="1347.48"/>
        <n v="70.65"/>
        <n v="98.39999999999999"/>
        <n v="1092.5"/>
        <n v="358.6"/>
        <n v="432.4"/>
        <n v="131.93"/>
        <n v="276.95"/>
        <n v="883.6"/>
        <n v="954.72"/>
        <n v="317.52"/>
        <n v="123.60000000000001"/>
        <n v="52.78"/>
        <n v="31.36"/>
        <n v="666.0"/>
        <n v="182.78"/>
        <n v="1004.0"/>
        <n v="1237.6"/>
        <n v="21.7"/>
        <n v="1025.5"/>
        <n v="1271.48"/>
        <n v="241.85999999999999"/>
        <n v="962.16"/>
        <n v="251.16"/>
        <n v="127.88999999999999"/>
        <n v="166.37"/>
        <n v="129.92"/>
        <n v="1408.75"/>
        <n v="431.81"/>
        <n v="6220.8"/>
        <n v="479.21"/>
        <n v="432.0"/>
        <n v="1570.8"/>
        <n v="28.08"/>
        <n v="92.65"/>
        <n v="3246.9300000000003"/>
        <n v="1.65"/>
        <n v="1687.32"/>
        <n v="3.52"/>
        <n v="543.9000000000001"/>
        <n v="323.36"/>
        <n v="1450.3999999999999"/>
        <n v="2456.42"/>
        <n v="138.6"/>
        <n v="562.87"/>
        <n v="3380.0"/>
        <n v="346.5"/>
        <n v="1778.48"/>
        <n v="1527.5"/>
        <n v="3155.24"/>
        <n v="5263.96"/>
        <n v="1304.1699999999998"/>
        <n v="481.46000000000004"/>
        <n v="366.27"/>
        <n v="1063.68"/>
        <n v="3817.08"/>
        <n v="431.83"/>
        <n v="730.8"/>
        <n v="2213.64"/>
        <n v="1035.3"/>
        <n v="211.50000000000003"/>
        <n v="511.35999999999996"/>
        <n v="895.56"/>
        <n v="64.68"/>
        <n v="1248.04"/>
        <n v="535.78"/>
        <n v="31.080000000000002"/>
        <n v="237.3"/>
        <n v="3346.96"/>
        <n v="2834.37"/>
        <n v="909.72"/>
        <n v="2061.48"/>
        <n v="280.84"/>
        <n v="1643.0"/>
        <n v="756.99"/>
        <n v="1704.95"/>
        <n v="663.75"/>
        <n v="219.78000000000003"/>
        <n v="1733.4"/>
        <n v="3300.77"/>
        <n v="11076.380000000001"/>
        <n v="179.76"/>
        <n v="5471.999999999999"/>
        <n v="1892.16"/>
        <n v="2127.95"/>
        <n v="1416.62"/>
        <n v="1279.26"/>
        <n v="666.75"/>
        <n v="747.72"/>
        <n v="6669.0"/>
        <n v="3124.4"/>
        <n v="1070.59"/>
        <n v="1267.73"/>
        <n v="115.92"/>
        <n v="3103.87"/>
        <n v="655.5"/>
        <n v="1936.1799999999998"/>
        <n v="793.9799999999999"/>
        <n v="365.58"/>
        <n v="5134.8"/>
        <n v="455.4"/>
        <n v="1327.5"/>
        <n v="1193.5"/>
        <n v="1789.92"/>
        <n v="2010.5500000000002"/>
        <n v="2562.56"/>
        <n v="1001.1"/>
        <n v="52.599999999999994"/>
        <n v="504.57"/>
        <n v="2646.72"/>
        <n v="1326.0"/>
        <n v="737.8"/>
        <n v="986.4799999999999"/>
        <n v="405.71999999999997"/>
        <n v="463.25"/>
        <n v="546.92"/>
        <n v="1974.15"/>
        <n v="101.15"/>
        <n v="480.25"/>
        <n v="3523.4300000000003"/>
        <n v="275.40000000000003"/>
        <n v="1710.72"/>
        <n v="4493.6"/>
        <n v="2098.4"/>
        <n v="1100.0"/>
        <n v="3298.46"/>
        <n v="380.95"/>
        <n v="403.86"/>
        <n v="954.0"/>
        <n v="115.5"/>
        <n v="12.1"/>
        <n v="1606.08"/>
        <n v="1853.2900000000002"/>
        <n v="853.2"/>
        <n v="3360.45"/>
        <n v="79.58"/>
        <n v="493.23999999999995"/>
        <n v="704.48"/>
        <n v="31.92"/>
        <n v="161.20000000000002"/>
        <n v="272.95"/>
        <n v="1275.0"/>
        <n v="3159.44"/>
        <n v="341.42"/>
        <n v="3476.0400000000004"/>
        <n v="811.64"/>
        <n v="1951.38"/>
        <n v="453.08000000000004"/>
        <n v="750.6899999999999"/>
        <n v="1644.5"/>
        <n v="663.4799999999999"/>
        <n v="2212.6600000000003"/>
        <n v="1113.03"/>
        <n v="570.36"/>
        <n v="3628.7999999999997"/>
        <n v="185.39999999999998"/>
        <n v="1606.55"/>
        <n v="3145.68"/>
        <n v="2430.43"/>
        <n v="2098.46"/>
        <n v="1666.6399999999999"/>
        <n v="2101.5"/>
        <n v="142.23"/>
        <n v="43.05"/>
        <n v="171.5"/>
        <n v="191.4"/>
        <n v="158.76000000000002"/>
        <n v="1900.98"/>
        <n v="4356.1"/>
        <n v="335.40000000000003"/>
        <n v="305.52000000000004"/>
        <n v="213.36"/>
        <n v="621.96"/>
        <n v="5137.9"/>
        <n v="48.16"/>
        <n v="177.03"/>
        <n v="642.72"/>
        <n v="119.7"/>
        <n v="184.0"/>
        <n v="898.93"/>
        <n v="146.88"/>
        <n v="1567.8"/>
        <n v="221.39"/>
        <n v="40.46"/>
        <n v="557.46"/>
        <n v="88.16"/>
        <n v="122.72"/>
        <n v="20.64"/>
        <n v="76.12"/>
        <n v="448.8"/>
        <n v="39.12"/>
        <n v="538.08"/>
        <n v="851.2"/>
        <n v="118.25000000000001"/>
        <n v="147.96"/>
        <n v="30.4"/>
        <n v="33.75"/>
        <n v="141.51"/>
        <n v="13.0"/>
        <n v="33.32"/>
        <n v="1.27"/>
        <n v="519.4000000000001"/>
        <n v="9.36"/>
        <n v="533.28"/>
        <n v="689.22"/>
        <n v="524.61"/>
        <n v="12.8"/>
        <n v="362.4"/>
        <n v="41.2"/>
        <n v="389.76000000000005"/>
        <n v="116.19999999999999"/>
        <n v="602.91"/>
        <n v="2018.1"/>
        <n v="93.96000000000001"/>
        <n v="56.64"/>
        <n v="425.42999999999995"/>
        <n v="1155.3999999999999"/>
        <n v="508.29999999999995"/>
        <n v="174.04"/>
        <n v="359.08"/>
        <n v="143.64"/>
        <n v="612.9499999999999"/>
        <n v="184.92"/>
        <n v="1116.72"/>
        <n v="336.7"/>
        <n v="416.5"/>
        <n v="106.05000000000001"/>
        <n v="2302.65"/>
        <n v="201.14999999999998"/>
        <n v="368.44"/>
        <n v="28.349999999999998"/>
        <n v="111.25"/>
        <n v="109.74"/>
        <n v="68.8"/>
        <n v="267.96000000000004"/>
        <n v="218.99"/>
        <n v="318.59999999999997"/>
        <n v="136.76999999999998"/>
        <n v="1.48"/>
        <n v="399.49"/>
        <n v="24.57"/>
        <n v="206.64"/>
        <n v="71.28"/>
        <n v="745.92"/>
        <n v="2.58"/>
        <n v="127.91999999999999"/>
        <n v="70.52"/>
        <n v="18.900000000000002"/>
        <n v="222.04"/>
        <n v="75.84"/>
        <n v="815.71"/>
        <n v="606.4499999999999"/>
        <n v="2745.22"/>
        <n v="31.589999999999996"/>
        <n v="445.88"/>
        <n v="193.05"/>
        <n v="80.64"/>
        <n v="152.68"/>
        <n v="635.58"/>
        <n v="36.12"/>
        <n v="1980.33"/>
        <n v="37.99"/>
        <n v="185.0"/>
        <n v="355.74"/>
        <n v="334.18"/>
        <n v="2949.9799999999996"/>
        <n v="1616.6999999999998"/>
        <n v="109.00000000000001"/>
        <n v="33.0"/>
        <n v="129.25"/>
        <n v="318.71"/>
        <n v="516.5999999999999"/>
        <n v="13.09"/>
        <n v="8.52"/>
        <n v="238.76"/>
        <n v="812.6999999999999"/>
        <n v="1387.26"/>
        <n v="24.05"/>
        <n v="2.53"/>
        <n v="106.38"/>
        <n v="441.0"/>
        <n v="19.349999999999998"/>
        <n v="269.23"/>
        <n v="590.82"/>
        <n v="382.33"/>
        <n v="532.48"/>
        <n v="407.68"/>
        <n v="250.79999999999998"/>
        <n v="1397.22"/>
        <n v="324.88"/>
        <n v="414.91999999999996"/>
        <n v="272.5"/>
        <n v="284.38"/>
        <n v="76.22"/>
        <n v="27.36"/>
        <n v="1807.78"/>
        <n v="170.3"/>
        <n v="12.48"/>
        <n v="806.0"/>
        <n v="9.7"/>
        <n v="52.49"/>
        <n v="122.82000000000001"/>
        <n v="1073.3799999999999"/>
        <n v="777.85"/>
        <n v="36.38"/>
        <n v="1180.48"/>
        <n v="486.36"/>
        <n v="636.0"/>
        <n v="1052.64"/>
        <n v="1832.96"/>
        <n v="64.48"/>
        <n v="159.12"/>
        <n v="294.5"/>
        <n v="937.44"/>
        <n v="146.15"/>
        <n v="139.7"/>
        <n v="1489.44"/>
        <n v="2.21"/>
        <n v="985.9200000000001"/>
        <n v="499.5"/>
        <n v="1544.52"/>
        <n v="257.52000000000004"/>
        <n v="809.07"/>
        <n v="67.2"/>
        <n v="187.52"/>
        <n v="861.06"/>
        <n v="963.8399999999999"/>
        <n v="2064.88"/>
        <n v="201.6"/>
        <n v="485.1"/>
        <n v="392.5"/>
        <n v="1371.1599999999999"/>
        <n v="66.0"/>
        <n v="422.24"/>
        <n v="908.6"/>
        <n v="728.77"/>
        <n v="244.02"/>
        <n v="4974.58"/>
        <n v="145.16"/>
        <n v="9.0"/>
        <n v="1219.52"/>
        <n v="75.66"/>
        <n v="66.78"/>
        <n v="613.74"/>
        <n v="10.86"/>
        <n v="351.78"/>
        <n v="948.44"/>
        <n v="833.81"/>
        <n v="747.1"/>
        <n v="1128.96"/>
        <n v="1166.6"/>
        <n v="273.54"/>
        <n v="1389.44"/>
        <n v="341.38"/>
        <n v="994.0"/>
        <n v="1408.6599999999999"/>
        <n v="333.29999999999995"/>
        <n v="381.41999999999996"/>
        <n v="2.0"/>
        <n v="17856.800000000003"/>
        <n v="9883.15"/>
        <n v="6035.92"/>
        <n v="1428.3200000000002"/>
        <n v="1550.2"/>
        <n v="3723.4500000000003"/>
        <n v="142.78"/>
        <n v="645.7"/>
        <n v="-52.01"/>
        <n v="3354.75"/>
        <n v="4754.34"/>
        <n v="1197.8400000000001"/>
        <n v="1416.42"/>
        <n v="916.8599999999999"/>
        <n v="216.7"/>
        <n v="496.08000000000004"/>
        <n v="28.93"/>
        <n v="338.58000000000004"/>
        <n v="1112.3"/>
        <n v="891.4200000000001"/>
        <n v="179.54"/>
        <n v="20.9"/>
        <n v="377.14"/>
        <n v="1353.6399999999999"/>
        <n v="255.0"/>
        <n v="659.05"/>
        <n v="1954.08"/>
        <n v="2.83"/>
        <n v="82.82000000000001"/>
        <n v="345.8"/>
        <n v="228.52"/>
        <n v="798.0999999999999"/>
        <n v="303.84"/>
        <n v="268.32"/>
        <n v="1247.13"/>
        <n v="298.2"/>
        <n v="2.14"/>
        <n v="677.28"/>
        <n v="179.39999999999998"/>
        <n v="667.17"/>
        <n v="257.24"/>
        <n v="1806.8999999999999"/>
        <n v="75.19999999999999"/>
        <n v="655.38"/>
        <n v="865.3599999999999"/>
        <n v="58.65"/>
        <n v="411.71999999999997"/>
        <n v="631.0400000000001"/>
        <n v="428.24"/>
        <n v="10.48"/>
        <n v="22.12"/>
        <n v="64.53"/>
        <n v="1799.85"/>
        <n v="371.85"/>
        <n v="1200.09"/>
        <n v="251.16000000000003"/>
        <n v="2229.12"/>
        <n v="5260.8"/>
        <n v="798.5100000000001"/>
        <n v="2826.8799999999997"/>
        <n v="420.41999999999996"/>
        <n v="4275.76"/>
        <n v="2268.03"/>
        <n v="1437.5"/>
        <n v="1372.16"/>
        <n v="5748.38"/>
        <n v="572.8900000000001"/>
        <n v="2647.84"/>
        <n v="1425.6"/>
        <n v="4053.56"/>
        <n v="2213.7"/>
        <n v="326.89"/>
        <n v="119.16"/>
        <n v="245.33999999999997"/>
        <n v="1500.48"/>
        <n v="2173.17"/>
        <n v="318.15999999999997"/>
        <n v="8616.480000000001"/>
        <n v="296.4"/>
        <n v="36.0"/>
        <n v="8878.41"/>
        <n v="252.39000000000001"/>
        <n v="257.76"/>
        <n v="5477.799999999999"/>
        <n v="1912.5900000000001"/>
        <n v="284.8"/>
        <n v="863.5"/>
        <n v="14.299999999999999"/>
        <n v="1316.45"/>
        <n v="1361.92"/>
        <n v="788.64"/>
        <n v="2238.75"/>
        <n v="1235.04"/>
        <n v="275.31"/>
        <n v="719.84"/>
        <n v="156.8"/>
        <n v="305.79999999999995"/>
        <n v="531.33"/>
        <n v="860.89"/>
        <n v="30.0"/>
        <n v="15.68"/>
        <n v="374.48"/>
        <n v="465.92"/>
        <n v="42.18"/>
        <n v="362.09999999999997"/>
        <n v="226.8"/>
        <n v="1499.3100000000002"/>
        <n v="388.0"/>
        <n v="596.96"/>
        <n v="538.74"/>
        <n v="1366.48"/>
        <n v="107.44000000000001"/>
        <n v="264.41999999999996"/>
        <n v="713.9399999999999"/>
        <n v="1313.07"/>
        <n v="1670.9"/>
        <n v="920.92"/>
        <n v="90.65"/>
        <n v="33.949999999999996"/>
        <n v="397.09999999999997"/>
        <n v="172.86"/>
        <n v="314.88"/>
        <n v="246.0"/>
        <n v="572.0"/>
        <n v="107.36"/>
        <n v="258.02000000000004"/>
        <n v="1361.36"/>
        <n v="363.0"/>
        <n v="310.65000000000003"/>
        <n v="2403.84"/>
        <n v="837.76"/>
        <n v="202.39999999999998"/>
        <n v="1236.3"/>
        <n v="90.28"/>
        <n v="160.38000000000002"/>
        <n v="72.45"/>
        <n v="26.4"/>
        <n v="1464.32"/>
        <n v="133.75"/>
        <n v="378.27"/>
        <n v="1859.52"/>
        <n v="1327.36"/>
        <n v="38.35"/>
        <n v="492.35999999999996"/>
        <n v="3432.6899999999996"/>
        <n v="781.25"/>
        <n v="2982.7799999999997"/>
        <n v="81.55"/>
        <n v="673.26"/>
        <n v="1000.44"/>
        <n v="1481.7"/>
        <n v="902.26"/>
        <n v="3425.7599999999998"/>
        <n v="402.93"/>
        <n v="167.62"/>
        <n v="386.24"/>
        <n v="41.48"/>
        <n v="4135.53"/>
        <n v="707.4000000000001"/>
        <n v="383.25"/>
        <n v="551.76"/>
        <n v="35.550000000000004"/>
        <n v="685.17"/>
        <n v="2427.94"/>
        <n v="188.16"/>
        <n v="4043.32"/>
        <n v="763.5600000000001"/>
        <n v="2305.7999999999997"/>
        <n v="237.22"/>
        <n v="5566.9"/>
        <n v="1031.24"/>
        <n v="623.2900000000001"/>
        <n v="987.66"/>
        <n v="2794.12"/>
        <n v="149.52"/>
        <n v="1049.3999999999999"/>
        <n v="48.4"/>
        <n v="552.6"/>
        <n v="2353.55"/>
        <n v="785.46"/>
        <n v="3242.7999999999997"/>
        <n v="816.96"/>
        <n v="2332.6"/>
        <n v="595.98"/>
        <n v="151.41"/>
        <n v="267.6"/>
        <n v="4145.13"/>
        <n v="4069.6600000000003"/>
        <n v="947.6999999999999"/>
        <n v="3352.2"/>
        <n v="1804.8"/>
        <n v="382.7"/>
        <n v="507.4"/>
        <n v="480.32"/>
        <n v="1774.97"/>
        <n v="483.0"/>
        <n v="3307.24"/>
        <n v="1428.48"/>
        <n v="162.97"/>
        <n v="750.48"/>
        <n v="1696.92"/>
        <n v="352.34"/>
        <n v="923.4000000000001"/>
        <n v="470.25"/>
        <n v="443.0"/>
        <n v="232.76"/>
        <n v="4271.34"/>
        <n v="1508.64"/>
        <n v="62.760000000000005"/>
        <n v="2488.11"/>
        <n v="2293.6"/>
        <n v="1267.11"/>
        <n v="1502.55"/>
        <n v="6878.049999999999"/>
        <n v="1801.8"/>
        <n v="385.28000000000003"/>
        <n v="1848.0"/>
        <n v="2926.36"/>
        <n v="1731.21"/>
        <n v="3324.75"/>
        <n v="401.09999999999997"/>
        <n v="470.56"/>
        <n v="2238.22"/>
        <n v="952.3799999999999"/>
        <n v="457.7"/>
        <n v="1994.1"/>
        <n v="932.74"/>
        <n v="2972.16"/>
        <n v="4786.74"/>
        <n v="230.50000000000003"/>
        <n v="75.02000000000001"/>
        <n v="1406.58"/>
        <n v="317.44"/>
        <n v="1788.0"/>
        <n v="204.60000000000002"/>
        <n v="3549.0"/>
        <n v="42.599999999999994"/>
        <n v="673.92"/>
        <n v="162.15"/>
        <n v="957.0"/>
        <n v="2161.17"/>
        <n v="2607.8"/>
        <n v="439.34999999999997"/>
        <n v="734.4"/>
        <n v="3123.2"/>
        <n v="362.25"/>
        <n v="44.64"/>
        <n v="1114.14"/>
        <n v="607.0"/>
        <n v="478.08"/>
        <n v="3919.04"/>
        <n v="2848.74"/>
        <n v="232.06"/>
        <n v="6.55"/>
        <n v="48.51"/>
        <n v="568.4"/>
        <n v="1795.61"/>
        <n v="66.44"/>
        <n v="2536.48"/>
        <n v="3191.5"/>
        <n v="3690.45"/>
        <n v="3706.89"/>
        <n v="2430.72"/>
        <n v="2437.08"/>
        <n v="3666.8"/>
        <n v="1048.95"/>
        <n v="3612.48"/>
        <n v="2991.36"/>
        <n v="3040.96"/>
        <n v="2607.96"/>
        <n v="3199.5600000000004"/>
        <n v="1122.18"/>
        <n v="2905.63"/>
        <n v="1414.49"/>
        <n v="1573.8799999999999"/>
        <n v="1079.0"/>
        <n v="1860.3600000000001"/>
        <n v="619.2"/>
        <n v="83.34"/>
        <n v="2369.85"/>
        <n v="33.050000000000004"/>
        <n v="1097.52"/>
        <n v="1620.1599999999999"/>
        <n v="971.5600000000001"/>
        <n v="1315.02"/>
        <n v="449.82"/>
        <n v="2681.2799999999997"/>
        <n v="154.66"/>
        <n v="100.16"/>
        <n v="234.64000000000001"/>
        <n v="2197.8399999999997"/>
        <n v="682.48"/>
        <n v="4542.72"/>
        <n v="614.98"/>
        <n v="469.79999999999995"/>
        <n v="593.65"/>
        <n v="99.35999999999999"/>
        <n v="11.6"/>
        <n v="416.24"/>
        <n v="39.0"/>
        <n v="277.14"/>
        <n v="3477.76"/>
        <n v="854.7"/>
        <n v="367.08000000000004"/>
        <n v="18.96"/>
        <n v="2010.0"/>
        <n v="519.5600000000001"/>
        <n v="2587.5"/>
        <n v="2794.44"/>
        <n v="1802.34"/>
        <n v="894.52"/>
        <n v="361.81"/>
        <n v="130.82"/>
        <n v="20.25"/>
        <n v="133.44"/>
        <n v="1929.1999999999998"/>
        <n v="1238.8"/>
        <n v="109.12"/>
        <n v="1247.85"/>
        <n v="251.35000000000002"/>
        <n v="838.44"/>
        <n v="527.12"/>
        <n v="586.53"/>
        <n v="112.32"/>
        <n v="979.6800000000001"/>
        <n v="73.58"/>
        <n v="398.48"/>
        <n v="331.52"/>
        <n v="1689.16"/>
        <n v="864.0"/>
        <n v="518.4"/>
        <n v="465.42999999999995"/>
        <n v="999.62"/>
        <n v="185.02"/>
        <n v="2020.72"/>
        <n v="18.990000000000002"/>
        <n v="3188.6099999999997"/>
        <n v="255.5"/>
        <n v="745.47"/>
        <n v="964.0"/>
        <n v="1208.68"/>
        <n v="1641.28"/>
        <n v="638.69"/>
        <n v="1201.2"/>
        <n v="318.78"/>
        <n v="552.5"/>
        <n v="1370.48"/>
        <n v="3358.3199999999997"/>
        <n v="439.52000000000004"/>
        <n v="1402.5"/>
        <n v="1312.96"/>
        <n v="3719.1"/>
        <n v="731.88"/>
        <n v="3271.4500000000003"/>
        <n v="1208.1499999999999"/>
        <n v="903.04"/>
        <n v="2273.92"/>
        <n v="1772.51"/>
        <n v="3665.13"/>
        <n v="613.64"/>
        <n v="1534.5"/>
        <n v="2822.2400000000002"/>
        <n v="954.9399999999999"/>
        <n v="1222.1"/>
        <n v="1904.76"/>
        <n v="1560.06"/>
        <n v="287.0"/>
        <n v="1274.44"/>
        <n v="2210.67"/>
        <n v="1058.3999999999999"/>
        <n v="376.37"/>
        <n v="215.74"/>
        <n v="3541.92"/>
        <n v="1025.4399999999998"/>
        <n v="989.5200000000001"/>
        <n v="28.650000000000002"/>
        <n v="756.92"/>
        <n v="620.37"/>
        <n v="108.67999999999999"/>
        <n v="244.26"/>
        <n v="59.84"/>
        <n v="939.4"/>
        <n v="1116.4399999999998"/>
        <n v="261.69"/>
        <n v="492.78000000000003"/>
        <n v="1035.71"/>
        <n v="156.62"/>
        <n v="2.47"/>
        <n v="21.400000000000002"/>
        <n v="621.01"/>
        <n v="423.28"/>
        <n v="696.0"/>
        <n v="301.5"/>
        <n v="146.78"/>
        <n v="128.78"/>
        <n v="596.25"/>
        <n v="609.0"/>
        <n v="222.7"/>
        <n v="669.12"/>
        <n v="416.25"/>
        <n v="424.36"/>
        <n v="3357.66"/>
        <n v="1724.3799999999999"/>
        <n v="27.95"/>
        <n v="609.28"/>
        <n v="1287.72"/>
        <n v="42.660000000000004"/>
        <n v="1113.7"/>
        <n v="116.16"/>
        <n v="220.39999999999998"/>
        <n v="1252.47"/>
        <n v="45.0"/>
        <n v="73.92"/>
        <n v="176.66"/>
        <n v="34.88"/>
        <n v="815.36"/>
        <n v="12.64"/>
        <n v="2.38"/>
        <n v="31.8"/>
        <n v="673.1999999999999"/>
        <n v="845.3000000000001"/>
        <n v="1041.78"/>
        <n v="127.17"/>
        <n v="106.56"/>
        <n v="365.03999999999996"/>
        <n v="180.39999999999998"/>
        <n v="714.24"/>
        <n v="658.8000000000001"/>
        <n v="843.15"/>
        <n v="58.88"/>
        <n v="34.34"/>
        <n v="96.25"/>
        <n v="553.22"/>
        <n v="3.74"/>
        <n v="47.040000000000006"/>
        <n v="975.39"/>
        <n v="910.8000000000001"/>
        <n v="65.36"/>
        <n v="32.85"/>
        <n v="667.92"/>
        <n v="321.47999999999996"/>
        <n v="416.88000000000005"/>
        <n v="101.67999999999999"/>
        <n v="13.16"/>
        <n v="1557.0900000000001"/>
        <n v="746.88"/>
        <n v="211.2"/>
        <n v="117.04"/>
        <n v="735.2099999999999"/>
        <n v="580.64"/>
        <n v="173.88"/>
        <n v="603.06"/>
        <n v="41.34"/>
        <n v="549.12"/>
        <n v="78.75"/>
        <n v="133.94"/>
        <n v="137.16"/>
        <n v="1266.36"/>
        <n v="219.45"/>
        <n v="33.839999999999996"/>
        <n v="666.12"/>
        <n v="350.46"/>
        <n v="1522.95"/>
        <n v="452.4"/>
        <n v="94.86"/>
        <n v="79.65"/>
        <n v="123.9"/>
        <n v="1286.8400000000001"/>
        <n v="1681.3"/>
        <n v="358.98"/>
        <n v="165.2"/>
        <n v="282.08"/>
        <n v="177.16"/>
        <n v="219.6"/>
        <n v="1333.8"/>
        <n v="75.2"/>
        <n v="749.25"/>
        <n v="267.54"/>
        <n v="1841.4599999999998"/>
        <n v="304.2"/>
        <n v="11.040000000000001"/>
        <n v="218.73"/>
        <n v="1740.1399999999999"/>
        <n v="1374.8899999999999"/>
        <n v="611.49"/>
        <n v="1103.3"/>
        <n v="59.400000000000006"/>
        <n v="1547.7"/>
        <n v="1409.76"/>
        <n v="391.59"/>
        <n v="192.51"/>
        <n v="129.42999999999998"/>
        <n v="1030.5"/>
        <n v="290.5"/>
        <n v="952.1999999999999"/>
        <n v="1011.23"/>
        <n v="206.4"/>
        <n v="271.44"/>
        <n v="602.5999999999999"/>
        <n v="164.73000000000002"/>
        <n v="1088.64"/>
        <n v="296.46000000000004"/>
        <n v="632.26"/>
        <n v="593.4"/>
        <n v="685.86"/>
        <n v="291.72"/>
        <n v="920.9200000000001"/>
        <n v="897.5999999999999"/>
        <n v="423.0"/>
        <n v="279.35"/>
        <n v="188.8"/>
        <n v="640.32"/>
        <n v="334.53"/>
        <n v="583.07"/>
        <n v="103.67999999999999"/>
        <n v="436.5"/>
        <n v="1254.96"/>
        <n v="809.1"/>
        <n v="790.02"/>
        <n v="179.17"/>
        <n v="695.04"/>
        <n v="449.88"/>
        <n v="172.28"/>
        <n v="474.77"/>
        <n v="267.52"/>
        <n v="105.45"/>
        <n v="154.76000000000002"/>
        <n v="375.18"/>
        <n v="289.68"/>
        <n v="952.74"/>
        <n v="175.23"/>
        <n v="575.8399999999999"/>
        <n v="608.0"/>
        <n v="110.21000000000001"/>
        <n v="873.45"/>
        <n v="54.59"/>
        <n v="31.349999999999998"/>
        <n v="953.2499999999999"/>
        <n v="2421.07"/>
        <n v="334.40000000000003"/>
        <n v="271.40000000000003"/>
        <n v="835.1999999999999"/>
        <n v="9.6"/>
        <n v="143.55"/>
        <n v="211.56"/>
        <n v="344.4"/>
        <n v="490.86"/>
        <n v="25.25"/>
        <n v="95.46"/>
        <n v="149.64"/>
        <n v="969.76"/>
        <n v="421.6"/>
        <n v="669.9"/>
        <n v="243.39000000000001"/>
        <n v="7175.76"/>
        <n v="217.14"/>
        <n v="208.6"/>
        <n v="21.08"/>
        <n v="206.01000000000002"/>
        <n v="1184.4"/>
        <n v="1112.28"/>
        <n v="86.92"/>
        <n v="282.96000000000004"/>
        <n v="8.82"/>
        <n v="488.75"/>
        <n v="69.0"/>
        <n v="22.799999999999997"/>
        <n v="636.24"/>
        <n v="1890.8899999999999"/>
        <n v="44.88"/>
        <n v="261.8"/>
        <n v="137.75"/>
        <n v="60.42"/>
        <n v="4678.74"/>
        <n v="114.46"/>
        <n v="143.25"/>
        <n v="401.40000000000003"/>
        <n v="239.86999999999998"/>
        <n v="58.13999999999999"/>
        <n v="624.88"/>
        <n v="5.22"/>
        <n v="680.68"/>
        <n v="923.44"/>
        <n v="175.68"/>
        <n v="632.4"/>
        <n v="1069.77"/>
        <n v="24.64"/>
        <n v="826.14"/>
        <n v="233.1"/>
        <n v="7679.18"/>
        <n v="3661.7999999999997"/>
        <n v="257.87"/>
        <n v="1577.8"/>
        <n v="699.2"/>
        <n v="350.9"/>
        <n v="281.93"/>
        <n v="849.4"/>
        <n v="16.11"/>
        <n v="72.8"/>
        <n v="154.85999999999999"/>
        <n v="962.02"/>
        <n v="377.40000000000003"/>
        <n v="2238.25"/>
        <n v="1331.61"/>
        <n v="700.7"/>
        <n v="364.64"/>
        <n v="345.72"/>
        <n v="356.39"/>
        <n v="303.75"/>
        <n v="790.4799999999999"/>
        <n v="742.45"/>
        <n v="85.28"/>
        <n v="23.76"/>
        <n v="214.52"/>
        <n v="1171.3"/>
        <n v="56.1"/>
        <n v="1373.96"/>
        <n v="441.75"/>
        <n v="485.94"/>
        <n v="692.64"/>
        <n v="862.54"/>
        <n v="92.16"/>
        <n v="799.1999999999999"/>
        <n v="146.52"/>
        <n v="396.36"/>
        <n v="1742.54"/>
        <n v="800.1"/>
        <n v="443.9"/>
        <n v="607.92"/>
        <n v="1863.53"/>
        <n v="4.96"/>
        <n v="729.0999999999999"/>
        <n v="1252.8000000000002"/>
        <n v="985.2"/>
        <n v="22.72"/>
        <n v="125.04999999999998"/>
        <n v="786.5999999999999"/>
        <n v="304.92"/>
        <n v="602.4200000000001"/>
        <n v="2346.06"/>
        <n v="1270.9799999999998"/>
        <n v="275.71999999999997"/>
        <n v="1916.2"/>
        <n v="546.0"/>
        <n v="367.36"/>
        <n v="1444.01"/>
        <n v="208.98000000000002"/>
        <n v="772.64"/>
        <n v="15.18"/>
        <n v="804.8000000000001"/>
        <n v="1014.3000000000001"/>
        <n v="707.42"/>
        <n v="887.23"/>
        <n v="331.11"/>
        <n v="147.20000000000002"/>
        <n v="603.98"/>
        <n v="1019.06"/>
        <n v="484.75"/>
        <n v="416.38"/>
        <n v="57.089999999999996"/>
        <n v="110.88000000000001"/>
        <n v="218.67999999999998"/>
        <n v="607.2"/>
        <n v="608.7900000000001"/>
        <n v="3454.23"/>
        <n v="5.5"/>
        <n v="169.60000000000002"/>
        <n v="1147.4099999999999"/>
        <n v="4035.6000000000004"/>
        <n v="733.5999999999999"/>
        <n v="173.34"/>
        <n v="1688.2199999999998"/>
        <n v="1086.75"/>
        <n v="1277.16"/>
        <n v="1104.0"/>
        <n v="803.0400000000001"/>
        <n v="2057.5"/>
        <n v="746.4300000000001"/>
        <n v="10.52"/>
        <n v="45.22"/>
        <n v="393.8"/>
        <n v="68.88"/>
        <n v="580.0"/>
        <n v="163.17000000000002"/>
        <n v="341.7"/>
        <n v="1108.53"/>
        <n v="22.200000000000003"/>
        <n v="472.94000000000005"/>
        <n v="82.35000000000001"/>
        <n v="4.02"/>
        <n v="2.6"/>
        <n v="716.42"/>
        <n v="1138.26"/>
        <n v="1474.4"/>
        <n v="1561.1200000000001"/>
        <n v="26.74"/>
        <n v="604.75"/>
        <n v="37.35"/>
        <n v="1120.46"/>
        <n v="2037.2800000000002"/>
        <n v="728.56"/>
        <n v="1514.96"/>
        <n v="5707.2"/>
        <n v="674.24"/>
        <n v="852.93"/>
        <n v="2147.48"/>
        <n v="2377.08"/>
        <n v="2655.58"/>
        <n v="4052.2999999999997"/>
        <n v="3328.7999999999997"/>
        <n v="5477.34"/>
        <n v="46.84"/>
        <n v="2915.08"/>
        <n v="9735.1"/>
        <n v="4671.299999999999"/>
        <n v="1479.55"/>
        <n v="912.7400000000001"/>
        <n v="1915.13"/>
        <n v="710.7900000000001"/>
        <n v="8326.08"/>
        <n v="2294.58"/>
        <n v="1873.8000000000002"/>
        <n v="3221.5"/>
        <n v="4454.1"/>
        <n v="1005.4000000000001"/>
        <n v="8780.94"/>
        <n v="3073.9500000000003"/>
        <n v="7936.259999999999"/>
        <n v="334.88"/>
        <n v="3594.36"/>
        <n v="4562.799999999999"/>
        <n v="391.03999999999996"/>
        <n v="1489.55"/>
        <n v="1309.0"/>
        <n v="6750.839999999999"/>
        <n v="343.48"/>
        <n v="1117.92"/>
        <n v="9.15"/>
        <n v="320.39"/>
        <n v="1005.1999999999999"/>
        <n v="3206.0"/>
        <n v="26518.379999999997"/>
        <n v="8003.5199999999995"/>
        <n v="4768.400000000001"/>
        <n v="3692.0"/>
        <n v="2252.64"/>
        <n v="4496.94"/>
        <n v="7730.3099999999995"/>
        <n v="2339.34"/>
        <n v="111.15"/>
        <n v="19125.14"/>
        <n v="8008.6"/>
        <n v="7828.1"/>
        <n v="2139.3399999999997"/>
        <n v="7409.73"/>
        <n v="947.6"/>
        <n v="4724.44"/>
        <n v="2560.6"/>
        <n v="13937.0"/>
        <n v="5183.7"/>
        <n v="1156.68"/>
        <n v="257.46"/>
        <n v="1043.86"/>
        <n v="129.32999999999998"/>
        <n v="555.12"/>
        <n v="991.1999999999999"/>
        <n v="3834.96"/>
        <n v="12522.16"/>
        <n v="1654.56"/>
        <n v="3082.94"/>
        <n v="53.27"/>
        <n v="2041.8000000000002"/>
        <n v="16265.900000000001"/>
        <n v="1255.01"/>
        <n v="8316.77"/>
        <n v="7916.86"/>
        <n v="8259.68"/>
        <n v="4030.8199999999997"/>
        <n v="1727.2"/>
        <n v="7884.0"/>
        <n v="1772.34"/>
        <n v="2332.3199999999997"/>
        <n v="22.32"/>
        <n v="8180.299999999999"/>
        <n v="981.1800000000001"/>
        <n v="262.0"/>
        <n v="9678.36"/>
        <n v="816.34"/>
        <n v="1459.48"/>
        <n v="1322.07"/>
        <n v="90.5"/>
        <n v="951.75"/>
        <n v="282.03000000000003"/>
        <n v="136.08"/>
        <n v="378.09999999999997"/>
        <n v="142.20000000000002"/>
        <n v="2805.68"/>
        <n v="8627.5"/>
        <n v="361.8"/>
        <n v="23.01"/>
        <n v="89.46"/>
        <n v="705.9"/>
        <n v="337.67999999999995"/>
        <n v="606.96"/>
        <n v="121.2"/>
        <n v="383.05"/>
        <n v="80.92"/>
        <n v="2657.54"/>
        <n v="1098.16"/>
        <n v="2390.67"/>
        <n v="262.96"/>
        <n v="4535.37"/>
        <n v="69.9"/>
        <n v="872.5"/>
        <n v="513.79"/>
        <n v="205.84"/>
        <n v="229.89999999999998"/>
        <n v="1314.88"/>
        <n v="264.18"/>
        <n v="271.05"/>
        <n v="947.5999999999999"/>
        <n v="973.95"/>
        <n v="1346.1499999999999"/>
        <n v="791.9399999999999"/>
        <n v="3568.1600000000003"/>
        <n v="1507.5"/>
        <n v="1020.87"/>
        <n v="281.22"/>
        <n v="599.28"/>
        <n v="1904.04"/>
        <n v="3147.46"/>
        <n v="1584.0"/>
        <n v="3614.6"/>
        <n v="4710.320000000001"/>
        <n v="2510.5499999999997"/>
        <n v="165.6"/>
        <n v="3463.12"/>
        <n v="4748.26"/>
        <n v="4403.76"/>
        <n v="1515.3600000000001"/>
        <n v="1638.0"/>
        <n v="2527.35"/>
        <n v="6552.0"/>
        <n v="11.42"/>
        <n v="8487.0"/>
        <n v="321.84"/>
        <n v="1636.14"/>
        <n v="6592.7300000000005"/>
        <n v="3704.3999999999996"/>
        <n v="1308.1999999999998"/>
        <n v="3551.8"/>
        <n v="6315.33"/>
        <n v="573.12"/>
        <n v="2688.66"/>
        <n v="4651.74"/>
        <n v="15838.900000000001"/>
        <n v="8804.4"/>
        <n v="3008.34"/>
        <n v="817.4"/>
        <n v="403.76"/>
        <n v="1334.94"/>
        <n v="926.2199999999999"/>
        <n v="7146.07"/>
        <n v="212.5"/>
        <n v="255.42"/>
        <n v="1701.3600000000001"/>
        <n v="194.56"/>
        <n v="107.91"/>
        <n v="104.69"/>
        <n v="34.0"/>
        <n v="74.4"/>
        <n v="3553.2"/>
        <n v="2900.7999999999997"/>
        <n v="1279.8000000000002"/>
        <n v="1404.0"/>
        <n v="222.29999999999998"/>
        <n v="1132.0800000000002"/>
        <n v="682.51"/>
        <n v="2092.64"/>
        <n v="653.3499999999999"/>
        <n v="5252.5199999999995"/>
        <n v="1420.85"/>
        <n v="4749.9800000000005"/>
        <n v="421.59000000000003"/>
        <n v="625.77"/>
        <n v="736.56"/>
        <n v="589.76"/>
        <n v="1754.73"/>
        <n v="85.58"/>
        <n v="571.3299999999999"/>
        <n v="189.0"/>
        <n v="10587.36"/>
        <n v="249.6"/>
        <n v="225.72000000000003"/>
        <n v="730.98"/>
        <n v="108.09"/>
        <n v="95.85000000000001"/>
        <n v="449.5"/>
        <n v="335.82"/>
        <n v="156.4"/>
        <n v="504.0"/>
        <n v="162.89000000000001"/>
        <n v="138.25"/>
        <n v="101.97"/>
        <n v="1566.0"/>
        <n v="2204.0"/>
        <n v="587.88"/>
        <n v="28.8"/>
        <n v="145.34"/>
        <n v="697.6"/>
        <n v="2669.44"/>
        <n v="905.6"/>
        <n v="986.67"/>
        <n v="248.22"/>
        <n v="106.19999999999999"/>
        <n v="456.75"/>
        <n v="103.96"/>
        <n v="149.85000000000002"/>
        <n v="562.95"/>
        <n v="201.5"/>
        <n v="1106.96"/>
        <n v="31.29"/>
        <n v="2616.08"/>
        <n v="3.3000000000000003"/>
        <n v="1116.6299999999999"/>
        <n v="28.22"/>
        <n v="256.08"/>
        <n v="1057.77"/>
        <n v="452.2"/>
        <n v="358.61999999999995"/>
        <n v="83.21000000000001"/>
        <n v="15.680000000000001"/>
        <n v="334.28000000000003"/>
        <n v="1574.8"/>
        <n v="712.48"/>
        <n v="395.28"/>
        <n v="117.45"/>
        <n v="609.14"/>
        <n v="422.28"/>
        <n v="1335.56"/>
        <n v="391.92"/>
        <n v="510.51"/>
        <n v="472.14"/>
        <n v="320.88"/>
        <n v="1266.7199999999998"/>
        <n v="5.550000000000001"/>
        <n v="89.61"/>
        <n v="372.09999999999997"/>
        <n v="2335.68"/>
        <n v="1496.94"/>
        <n v="160.66"/>
        <n v="46.19"/>
        <n v="1602.1499999999999"/>
        <n v="50.690000000000005"/>
        <n v="539.46"/>
        <n v="102.48"/>
        <n v="723.84"/>
        <n v="124.8"/>
        <n v="993.2700000000001"/>
        <n v="6.6000000000000005"/>
        <n v="212.51999999999998"/>
        <n v="1164.6000000000001"/>
        <n v="542.19"/>
        <n v="359.95"/>
        <n v="431.59999999999997"/>
        <n v="142.79999999999998"/>
        <n v="1396.05"/>
        <n v="62.22"/>
        <n v="1171.1000000000001"/>
        <n v="101.44"/>
        <n v="216.81"/>
        <n v="57.540000000000006"/>
        <n v="550.62"/>
        <n v="682.65"/>
        <n v="28.31"/>
        <n v="950.4000000000001"/>
        <n v="460.03"/>
        <n v="852.21"/>
        <n v="160.57999999999998"/>
        <n v="349.8"/>
        <n v="394.83"/>
        <n v="1062.0"/>
        <n v="374.92"/>
        <n v="3811.52"/>
        <n v="1434.06"/>
        <n v="823.48"/>
        <n v="100.8"/>
        <n v="43.61"/>
        <n v="229.08"/>
        <n v="169.4"/>
        <n v="96.36"/>
        <n v="517.92"/>
        <n v="922.53"/>
        <n v="92.25"/>
        <n v="1179.64"/>
        <n v="1555.2"/>
        <n v="733.4399999999999"/>
        <n v="2913.88"/>
        <n v="154.44"/>
        <n v="781.08"/>
        <n v="42.94"/>
        <n v="19.84"/>
        <n v="590.58"/>
        <n v="1055.61"/>
        <n v="993.3000000000001"/>
        <n v="107.63999999999999"/>
        <n v="1121.25"/>
        <n v="761.46"/>
        <n v="299.72"/>
        <n v="1072.56"/>
        <n v="38.48"/>
        <n v="179.4"/>
        <n v="197.5"/>
        <n v="1609.9"/>
        <n v="90.3"/>
        <n v="1372.3799999999999"/>
        <n v="1984.18"/>
        <n v="15.8"/>
        <n v="51.75"/>
        <n v="365.79"/>
        <n v="13.8"/>
        <n v="537.81"/>
        <n v="17.36"/>
        <n v="875.7099999999999"/>
        <n v="185.31"/>
        <n v="1756.9199999999998"/>
        <n v="407.68000000000006"/>
        <n v="770.34"/>
        <n v="770.44"/>
        <n v="102.96000000000001"/>
        <n v="144.2"/>
        <n v="87.68"/>
        <n v="77.0"/>
        <n v="180.32000000000002"/>
        <n v="351.0"/>
        <n v="20.439999999999998"/>
        <n v="20.67"/>
        <n v="595.63"/>
        <n v="9.68"/>
        <n v="87.10000000000001"/>
        <n v="111.19999999999999"/>
        <n v="1157.1"/>
        <n v="495.98999999999995"/>
        <n v="390.72"/>
        <n v="521.52"/>
        <n v="4823.76"/>
        <n v="1853.28"/>
        <n v="855.0"/>
        <n v="149.94"/>
        <n v="80.48"/>
        <n v="4558.8"/>
        <n v="5302.44"/>
        <n v="295.78"/>
        <n v="4079.2999999999997"/>
        <n v="14102.08"/>
        <n v="8285.48"/>
        <n v="6245.88"/>
        <n v="6029.150000000001"/>
        <n v="275.76"/>
        <n v="677.66"/>
        <n v="842.4"/>
        <n v="166.53"/>
        <n v="487.2"/>
        <n v="1820.16"/>
        <n v="149.64000000000001"/>
        <n v="226.1"/>
        <n v="631.62"/>
        <n v="1858.6100000000001"/>
        <n v="644.84"/>
        <n v="257.58"/>
        <n v="1436.3999999999999"/>
        <n v="82.53"/>
        <n v="2196.0"/>
        <n v="242.35999999999999"/>
        <n v="444.60999999999996"/>
        <n v="378.51000000000005"/>
        <n v="297.68"/>
        <n v="1181.16"/>
        <n v="13.14"/>
        <n v="525.2800000000001"/>
        <n v="545.9"/>
        <n v="1278.8999999999999"/>
        <n v="4378.0"/>
        <n v="1156.24"/>
        <n v="1143.08"/>
        <n v="117.9"/>
        <n v="394.23"/>
        <n v="1741.5"/>
        <n v="1055.71"/>
        <n v="68.51"/>
        <n v="445.5"/>
        <n v="316.8"/>
        <n v="309.89"/>
        <n v="102.60000000000001"/>
        <n v="203.28"/>
        <n v="5375.38"/>
        <n v="181.45999999999998"/>
        <n v="1892.08"/>
        <n v="672.35"/>
        <n v="189.26999999999998"/>
        <n v="7.14"/>
        <n v="1794.24"/>
        <n v="214.76"/>
        <n v="1470.5"/>
        <n v="395.28000000000003"/>
        <n v="1805.7"/>
        <n v="4027.5199999999995"/>
        <n v="2579.36"/>
        <n v="310.59"/>
        <n v="5685.16"/>
        <n v="2304.4"/>
        <n v="4726.35"/>
        <n v="289.92"/>
        <n v="2246.75"/>
        <n v="1492.65"/>
        <n v="611.9000000000001"/>
        <n v="1044.6299999999999"/>
        <n v="446.03999999999996"/>
        <n v="4234.53"/>
        <n v="5077.26"/>
        <n v="364.82"/>
        <n v="2099.6"/>
        <n v="881.81"/>
        <n v="335.88"/>
        <n v="709.8"/>
        <n v="2227.4"/>
        <n v="1060.02"/>
        <n v="220.89"/>
        <n v="7962.5"/>
        <n v="1278.3600000000001"/>
        <n v="9.4"/>
        <n v="3035.5"/>
        <n v="4172.400000000001"/>
        <n v="7103.48"/>
        <n v="1881.88"/>
        <n v="3907.87"/>
        <n v="1633.74"/>
        <n v="2594.2"/>
        <n v="524.51"/>
        <n v="2493.82"/>
        <n v="392.25000000000006"/>
        <n v="8940.0"/>
        <n v="4760.35"/>
        <n v="179.54999999999998"/>
        <n v="3334.76"/>
        <n v="110.60000000000001"/>
        <n v="6885.4800000000005"/>
        <n v="602.7"/>
        <n v="841.75"/>
        <n v="176.39000000000001"/>
        <n v="1945.6799999999998"/>
        <n v="1071.52"/>
        <n v="4004.33"/>
        <n v="705.64"/>
        <n v="4379.43"/>
        <n v="3847.2599999999998"/>
        <n v="1639.64"/>
        <n v="446.9"/>
        <n v="3224.0"/>
        <n v="4301.31"/>
        <n v="1167.36"/>
        <n v="220.8"/>
        <n v="793.6500000000001"/>
        <n v="883.08"/>
        <n v="927.9899999999999"/>
        <n v="319.14"/>
        <n v="978.8800000000001"/>
        <n v="389.93999999999994"/>
        <n v="100.62"/>
        <n v="440.63"/>
        <n v="133.14"/>
        <n v="333.06"/>
        <n v="88.4"/>
        <n v="201.10999999999999"/>
        <n v="443.88000000000005"/>
        <n v="1708.14"/>
        <n v="642.9499999999999"/>
        <n v="37.52"/>
        <n v="1249.28"/>
        <n v="225.60000000000002"/>
        <n v="106.59"/>
        <n v="113.76"/>
        <n v="27.560000000000002"/>
        <n v="592.8000000000001"/>
        <n v="631.8000000000001"/>
        <n v="33.83"/>
        <n v="1430.8"/>
        <n v="1127.1"/>
        <n v="896.7"/>
        <n v="1366.3999999999999"/>
        <n v="839.1600000000001"/>
        <n v="1117.56"/>
        <n v="981.02"/>
        <n v="1383.9"/>
        <n v="2626.8"/>
        <n v="1095.3600000000001"/>
        <n v="103.39999999999999"/>
        <n v="1437.92"/>
        <n v="1096.16"/>
        <n v="793.05"/>
        <n v="620.75"/>
        <n v="679.2099999999999"/>
        <n v="1018.14"/>
        <n v="23.64"/>
        <n v="19.32"/>
        <n v="501.67"/>
        <n v="85.68"/>
        <n v="421.8"/>
        <n v="856.44"/>
        <n v="80.36"/>
        <n v="925.8699999999999"/>
        <n v="383.04"/>
        <n v="63.02"/>
        <n v="1431.66"/>
        <n v="114.0"/>
        <n v="957.78"/>
        <n v="441.28000000000003"/>
        <n v="197.76"/>
        <n v="31.45"/>
        <n v="443.04"/>
        <n v="72.72"/>
        <n v="1089.24"/>
        <n v="22.8"/>
        <n v="13.65"/>
        <n v="192.7"/>
        <n v="1599.84"/>
        <n v="1116.55"/>
        <n v="1813.02"/>
        <n v="4143.04"/>
        <n v="102.08"/>
        <n v="1060.2"/>
        <n v="1568.12"/>
        <n v="295.92"/>
        <n v="565.22"/>
        <n v="705.25"/>
        <n v="606.56"/>
        <n v="1818.15"/>
        <n v="23.98"/>
        <n v="106.0"/>
        <n v="884.52"/>
        <n v="107.1"/>
        <n v="168.3"/>
        <n v="667.94"/>
        <n v="6318.06"/>
        <n v="990.08"/>
        <n v="251.54999999999998"/>
        <n v="2066.3999999999996"/>
        <n v="820.26"/>
        <n v="1063.7199999999998"/>
        <n v="821.98"/>
        <n v="74.71000000000001"/>
        <n v="667.76"/>
        <n v="1983.2199999999998"/>
        <n v="1280.3"/>
        <n v="311.91"/>
        <n v="989.12"/>
        <n v="610.35"/>
        <n v="1023.66"/>
        <n v="4551.93"/>
        <n v="486.33"/>
        <n v="666.41"/>
        <n v="16.23"/>
        <n v="2324.04"/>
        <n v="6042.96"/>
        <n v="468.75"/>
        <n v="523.9"/>
        <n v="257.66"/>
        <n v="877.3000000000001"/>
        <n v="5160.780000000001"/>
        <n v="256.52"/>
        <n v="6569.63"/>
        <n v="959.1"/>
        <n v="1372.88"/>
        <n v="463.43"/>
        <n v="1871.5"/>
        <n v="1119.96"/>
        <n v="238.2"/>
        <n v="2112.54"/>
        <n v="543.06"/>
        <n v="1222.5"/>
        <n v="194.95000000000002"/>
        <n v="5214.51"/>
        <n v="4911.21"/>
        <n v="1998.44"/>
        <n v="584.28"/>
        <n v="1397.3999999999999"/>
        <n v="675.6899999999999"/>
        <n v="1306.5900000000001"/>
        <n v="762.54"/>
        <n v="562.3199999999999"/>
        <n v="125.62"/>
        <n v="118.16999999999999"/>
        <n v="819.1800000000001"/>
        <n v="877.85"/>
        <n v="1181.0500000000002"/>
        <n v="1745.1"/>
        <n v="324.8"/>
        <n v="715.74"/>
        <n v="2791.25"/>
        <n v="3564.0"/>
        <n v="860.2099999999999"/>
        <n v="6992.1"/>
        <n v="2364.06"/>
        <n v="1038.24"/>
        <n v="2729.5299999999997"/>
        <n v="1110.2"/>
        <n v="439.79"/>
        <n v="717.24"/>
        <n v="14.15"/>
        <n v="6864.0"/>
        <n v="693.2800000000001"/>
        <n v="1646.3600000000001"/>
        <n v="252.3"/>
        <n v="677.99"/>
        <n v="118.82000000000001"/>
        <n v="338.8"/>
        <n v="11.200000000000001"/>
        <n v="741.24"/>
        <n v="335.79999999999995"/>
        <n v="141.0"/>
        <n v="402.3"/>
        <n v="47.58"/>
        <n v="158.32999999999998"/>
        <n v="352.26"/>
        <n v="608.8499999999999"/>
        <n v="2582.64"/>
        <n v="377.88"/>
        <n v="37.62"/>
        <n v="189.1"/>
        <n v="74.88"/>
        <n v="645.4799999999999"/>
        <n v="376.59999999999997"/>
        <n v="234.85"/>
        <n v="264.96"/>
        <n v="629.37"/>
        <n v="-19.28"/>
        <n v="552.4200000000001"/>
        <n v="39.78"/>
        <n v="36.24"/>
        <n v="803.16"/>
        <n v="701.52"/>
        <n v="329.76"/>
        <n v="323.9"/>
        <n v="287.82"/>
        <n v="93.44"/>
        <n v="1275.1200000000001"/>
        <n v="926.16"/>
        <n v="185.84"/>
        <n v="249.55"/>
        <n v="254.88"/>
        <n v="1251.9"/>
        <n v="188.01999999999998"/>
        <n v="72.5"/>
        <n v="706.8"/>
        <n v="366.3"/>
        <n v="1494.54"/>
        <n v="261.86999999999995"/>
        <n v="853.44"/>
        <n v="959.3100000000001"/>
        <n v="332.32"/>
        <n v="875.38"/>
        <n v="85.54"/>
        <n v="161.07"/>
        <n v="556.5"/>
        <n v="16.650000000000002"/>
        <n v="830.0"/>
        <n v="23.580000000000002"/>
        <n v="1428.85"/>
        <n v="589.39"/>
        <n v="6780.96"/>
        <n v="170.7"/>
        <n v="142.08"/>
        <n v="1789.25"/>
        <n v="32.129999999999995"/>
        <n v="183.75"/>
        <n v="1196.01"/>
        <n v="413.64000000000004"/>
        <n v="1451.4"/>
        <n v="6045.200000000001"/>
        <n v="980.5600000000001"/>
        <n v="2098.14"/>
        <n v="13.74"/>
        <n v="4904.79"/>
        <n v="78.3"/>
        <n v="250.04"/>
        <n v="14.560000000000002"/>
        <n v="165.12"/>
        <n v="513.8100000000001"/>
        <n v="2345.2"/>
        <n v="1868.46"/>
        <n v="742.53"/>
        <n v="158.27"/>
        <n v="1034.55"/>
        <n v="370.08"/>
        <n v="415.08"/>
        <n v="185.44"/>
        <n v="14298.75"/>
        <n v="10.9"/>
        <n v="3645.0"/>
        <n v="545.75"/>
        <n v="1991.9800000000002"/>
        <n v="1587.21"/>
        <n v="89.10000000000001"/>
        <n v="32.16"/>
        <n v="756.9"/>
        <n v="133.64"/>
        <n v="797.88"/>
        <n v="320.16"/>
        <n v="1005.8"/>
        <n v="1186.36"/>
        <n v="2475.9900000000002"/>
        <n v="10.99"/>
        <n v="704.72"/>
        <n v="778.3199999999999"/>
        <n v="398.4"/>
        <n v="116.13000000000001"/>
        <n v="252.7"/>
        <n v="397.44"/>
        <n v="516.0"/>
        <n v="670.77"/>
        <n v="345.78"/>
        <n v="215.16"/>
        <n v="9.24"/>
        <n v="126.73"/>
        <n v="569.08"/>
        <n v="1293.2399999999998"/>
        <n v="135.9"/>
        <n v="51.51"/>
        <n v="151.68"/>
        <n v="102.96"/>
        <n v="11775.23"/>
        <n v="40.589999999999996"/>
        <n v="184.8"/>
        <n v="118.80000000000001"/>
        <n v="184.67"/>
        <n v="419.15"/>
        <n v="36.720000000000006"/>
        <n v="136.32"/>
        <n v="612.5600000000001"/>
        <n v="218.44"/>
        <n v="78.53999999999999"/>
        <n v="306.90000000000003"/>
        <n v="723.24"/>
        <n v="762.8399999999999"/>
        <n v="343.0"/>
        <n v="19131.68"/>
        <n v="1063.3400000000001"/>
        <n v="2363.6800000000003"/>
        <n v="135.0"/>
        <n v="2412.0"/>
        <n v="273.98"/>
        <n v="1829.31"/>
        <n v="3172.4"/>
        <n v="192.96"/>
        <n v="290.49"/>
        <n v="5864.4"/>
        <n v="1491.8400000000001"/>
        <n v="291.54"/>
        <n v="3054.7400000000002"/>
        <n v="209.92"/>
        <n v="1597.8600000000001"/>
        <n v="2814.73"/>
        <n v="9941.94"/>
        <n v="20163.0"/>
        <n v="961.2"/>
        <n v="44.16"/>
        <n v="1865.6000000000001"/>
        <n v="537.93"/>
        <n v="884.66"/>
        <n v="180.0"/>
        <n v="108.36"/>
        <n v="66.33"/>
        <n v="264.16"/>
        <n v="34.16"/>
        <n v="24.32"/>
        <n v="115.13999999999999"/>
        <n v="81.92"/>
        <n v="207.4"/>
        <n v="375.92"/>
        <n v="31.5"/>
        <n v="13.75"/>
        <n v="527.17"/>
        <n v="78.88000000000001"/>
        <n v="965.52"/>
        <n v="146.29999999999998"/>
        <n v="25.48"/>
        <n v="1085.6"/>
        <n v="438.59999999999997"/>
        <n v="82.55"/>
        <n v="580.72"/>
        <n v="188.16000000000003"/>
        <n v="1440.8799999999999"/>
        <n v="234.6"/>
        <n v="52.56"/>
        <n v="633.6800000000001"/>
        <n v="102.30000000000001"/>
        <n v="105.84"/>
        <n v="5.61"/>
        <n v="583.12"/>
        <n v="336.38"/>
        <n v="387.59999999999997"/>
        <n v="55.68"/>
        <n v="108.0"/>
        <n v="739.05"/>
        <n v="767.9699999999999"/>
        <n v="999.41"/>
        <n v="81.51"/>
        <n v="318.78000000000003"/>
        <n v="819.5"/>
        <n v="245.92"/>
        <n v="878.4799999999999"/>
        <n v="624.8399999999999"/>
        <n v="1725.68"/>
        <n v="941.16"/>
        <n v="133.65"/>
        <n v="85.8"/>
        <n v="84.0"/>
        <n v="2837.65"/>
        <n v="131.84"/>
        <n v="20.37"/>
        <n v="202.51"/>
        <n v="280.33"/>
        <n v="412.08"/>
        <n v="220.79999999999998"/>
        <n v="200.96999999999997"/>
        <n v="977.34"/>
        <n v="1461.18"/>
        <n v="258.4"/>
        <n v="237.17999999999998"/>
        <n v="655.8199999999999"/>
        <n v="166.0"/>
        <n v="1281.06"/>
        <n v="169.48"/>
        <n v="164.73"/>
        <n v="1627.92"/>
        <n v="709.92"/>
        <n v="427.2"/>
        <n v="314.76"/>
        <n v="513.03"/>
        <n v="652.8"/>
        <n v="381.36"/>
        <n v="693.0"/>
        <n v="265.62"/>
        <n v="719.2800000000001"/>
        <n v="335.72"/>
        <n v="772.1999999999999"/>
        <n v="192.41"/>
        <n v="409.63000000000005"/>
        <n v="62.16"/>
        <n v="118.4"/>
        <n v="473.62"/>
        <n v="78.84"/>
        <n v="702.46"/>
        <n v="49.14"/>
        <n v="3971.76"/>
        <n v="178.48000000000002"/>
        <n v="1791.4199999999998"/>
        <n v="1094.21"/>
        <n v="1701.6999999999998"/>
        <n v="266.21999999999997"/>
        <n v="221.76"/>
        <n v="23.52"/>
        <n v="42.470000000000006"/>
        <n v="640.76"/>
        <n v="414.09999999999997"/>
        <n v="580.16"/>
        <n v="199.12"/>
        <n v="511.09999999999997"/>
        <n v="165.78"/>
        <n v="51.85"/>
        <n v="241.15"/>
        <n v="1275.06"/>
        <n v="519.06"/>
        <n v="367.64"/>
        <n v="63.580000000000005"/>
        <n v="182.25"/>
        <n v="1606.96"/>
        <n v="785.6600000000001"/>
        <n v="102.5"/>
        <n v="241.0"/>
        <n v="359.31"/>
        <n v="14.91"/>
        <n v="408.75"/>
        <n v="461.25"/>
        <n v="95.7"/>
        <n v="294.4"/>
        <n v="393.96"/>
        <n v="223.79999999999998"/>
        <n v="1458.24"/>
        <n v="194.48000000000002"/>
        <n v="962.66"/>
        <n v="1496.95"/>
        <n v="1356.48"/>
        <n v="94.5"/>
        <n v="346.15"/>
        <n v="311.64"/>
        <n v="-10.45"/>
        <n v="281.96000000000004"/>
        <n v="170.5"/>
        <n v="8.84"/>
        <n v="375.36"/>
        <n v="47.1"/>
        <n v="2102.5"/>
        <n v="163.08"/>
        <n v="1323.6299999999999"/>
        <n v="188.1"/>
        <n v="1167.81"/>
        <n v="913.0"/>
        <n v="32.72"/>
        <n v="1222.92"/>
        <n v="34.65"/>
        <n v="59.5"/>
        <n v="664.62"/>
        <n v="1345.89"/>
        <n v="879.63"/>
        <n v="4976.4"/>
        <n v="-25.36"/>
        <n v="1505.4"/>
        <n v="977.6"/>
        <n v="814.35"/>
        <n v="27.5"/>
        <n v="563.64"/>
        <n v="644.1"/>
        <n v="1411.92"/>
        <n v="3.66"/>
        <n v="709.12"/>
        <n v="142.6"/>
        <n v="1387.5000000000002"/>
        <n v="604.54"/>
        <n v="59.04"/>
        <n v="1602.48"/>
        <n v="561.6"/>
        <n v="604.01"/>
        <n v="179.52"/>
        <n v="1896.1799999999998"/>
        <n v="238.38000000000002"/>
        <n v="594.27"/>
        <n v="91.65"/>
        <n v="14.72"/>
        <n v="4.83"/>
        <n v="802.24"/>
        <n v="758.39"/>
        <n v="1106.07"/>
        <n v="1435.24"/>
        <n v="-12.56"/>
        <n v="1366.1499999999999"/>
        <n v="1003.9999999999999"/>
        <n v="2750.18"/>
        <n v="474.32"/>
        <n v="230.88"/>
        <n v="444.16"/>
        <n v="718.56"/>
        <n v="368.21999999999997"/>
        <n v="555.52"/>
        <n v="17.189999999999998"/>
        <n v="277.4"/>
        <n v="11.969999999999999"/>
        <n v="571.96"/>
        <n v="91.5"/>
        <n v="932.75"/>
        <n v="418.16999999999996"/>
        <n v="155.61"/>
        <n v="1159.1"/>
        <n v="1271.97"/>
        <n v="435.08"/>
        <n v="497.41999999999996"/>
        <n v="285.59999999999997"/>
        <n v="362.08"/>
        <n v="76.61"/>
        <n v="359.55"/>
        <n v="882.0"/>
        <n v="139.74"/>
        <n v="171.92000000000002"/>
        <n v="208.95000000000002"/>
        <n v="398.31"/>
        <n v="577.02"/>
        <n v="126.1"/>
        <n v="18.12"/>
        <n v="129.2"/>
        <n v="73.52999999999999"/>
        <n v="214.42"/>
        <n v="322.0"/>
        <n v="329.36"/>
        <n v="25.959999999999997"/>
        <n v="42.75"/>
        <n v="12.32"/>
        <n v="267.96"/>
        <n v="357.2"/>
        <n v="171.0"/>
        <n v="450.59000000000003"/>
        <n v="1012.8"/>
        <n v="476.56"/>
        <n v="872.1"/>
        <n v="3.12"/>
        <n v="1325.06"/>
        <n v="20.16"/>
        <n v="226.07999999999998"/>
        <n v="209.89"/>
        <n v="125.35000000000001"/>
        <n v="214.62"/>
        <n v="2.36"/>
        <n v="348.3"/>
        <n v="212.8"/>
        <n v="1994.72"/>
        <n v="1448.55"/>
        <n v="77.22"/>
        <n v="2103.6600000000003"/>
        <n v="338.03000000000003"/>
        <n v="444.21"/>
        <n v="19.52"/>
        <n v="242.22"/>
        <n v="660.65"/>
        <n v="18.64"/>
        <n v="525.69"/>
        <n v="176.29999999999998"/>
        <n v="182.03"/>
        <n v="244.42"/>
        <n v="398.25"/>
        <n v="1183.13"/>
        <n v="305.95"/>
        <n v="518.16"/>
        <n v="872.37"/>
        <n v="991.8"/>
        <n v="322.32"/>
        <n v="391.51"/>
        <n v="361.2"/>
        <n v="966.0"/>
        <n v="2521.48"/>
        <n v="461.68"/>
        <n v="417.2"/>
        <n v="750.5999999999999"/>
        <n v="769.5"/>
        <n v="306.28000000000003"/>
        <n v="3790.7999999999997"/>
        <n v="4569.04"/>
        <n v="589.9499999999999"/>
        <n v="234.07999999999998"/>
        <n v="1229.14"/>
        <n v="734.28"/>
        <n v="5723.55"/>
        <n v="1460.0"/>
        <n v="492.58000000000004"/>
        <n v="3868.9199999999996"/>
        <n v="664.3199999999999"/>
        <n v="16120.0"/>
        <n v="2601.54"/>
        <n v="894.6"/>
        <n v="107.84"/>
        <n v="79.3"/>
        <n v="5875.0"/>
        <n v="2300.4"/>
        <n v="4631.2"/>
        <n v="1113.9199999999998"/>
        <n v="3186.1"/>
        <n v="4666.41"/>
        <n v="1802.3999999999999"/>
        <n v="193.92999999999998"/>
        <n v="141.84"/>
        <n v="241.39999999999998"/>
        <n v="1471.26"/>
        <n v="3801.9"/>
        <n v="6699.96"/>
        <n v="1271.93"/>
        <n v="23.900000000000002"/>
        <n v="48.529999999999994"/>
        <n v="2167.0"/>
        <n v="817.44"/>
        <n v="2778.4"/>
        <n v="1126.9"/>
        <n v="168.24"/>
        <n v="2334.9"/>
        <n v="441.78"/>
        <n v="3173.56"/>
        <n v="1162.77"/>
        <n v="3774.44"/>
        <n v="3403.7999999999997"/>
        <n v="3108.6"/>
        <n v="1225.8999999999999"/>
        <n v="1052.76"/>
        <n v="1041.5900000000001"/>
        <n v="884.0799999999999"/>
        <n v="17.64"/>
        <n v="1427.8"/>
        <n v="-26.48"/>
        <n v="2486.4"/>
        <n v="1934.6000000000001"/>
        <n v="477.66"/>
        <n v="2646.23"/>
        <n v="56.25"/>
        <n v="419.07"/>
        <n v="64.17"/>
        <n v="267.72"/>
        <n v="387.6"/>
        <n v="2024.4599999999998"/>
        <n v="727.62"/>
        <n v="1882.5"/>
        <n v="598.5600000000001"/>
        <n v="1081.6000000000001"/>
        <n v="337.99"/>
        <n v="1374.45"/>
        <n v="383.68"/>
        <n v="224.66000000000003"/>
        <n v="783.24"/>
        <n v="3378.6400000000003"/>
        <n v="3434.65"/>
        <n v="2263.2599999999998"/>
        <n v="186.76000000000002"/>
        <n v="574.74"/>
        <n v="416.06"/>
        <n v="1529.5500000000002"/>
        <n v="1420.65"/>
        <n v="216.66"/>
        <n v="1941.0300000000002"/>
        <n v="440.0"/>
        <n v="625.6700000000001"/>
        <n v="518.01"/>
        <n v="1028.85"/>
        <n v="1769.85"/>
        <n v="1284.64"/>
        <n v="231.83999999999997"/>
        <n v="313.2"/>
        <n v="270.48"/>
        <n v="110.16"/>
        <n v="2030.4"/>
        <n v="251.71999999999997"/>
        <n v="366.72999999999996"/>
        <n v="355.67999999999995"/>
        <n v="2149.29"/>
        <n v="1375.92"/>
        <n v="283.42"/>
        <n v="98.49"/>
        <n v="75.04"/>
        <n v="169.06"/>
        <n v="235.03999999999996"/>
        <n v="33.82"/>
        <n v="22.5"/>
        <n v="101.52"/>
        <n v="629.8499999999999"/>
        <n v="375.39000000000004"/>
        <n v="826.2"/>
        <n v="610.08"/>
        <n v="624.24"/>
        <n v="290.28999999999996"/>
        <n v="971.52"/>
        <n v="1583.04"/>
        <n v="838.8000000000001"/>
        <n v="393.39"/>
        <n v="1037.3999999999999"/>
        <n v="289.98"/>
        <n v="523.24"/>
        <n v="767.8199999999999"/>
        <n v="1030.37"/>
        <n v="138.38"/>
        <n v="536.36"/>
        <n v="175.2"/>
        <n v="164.16"/>
        <n v="381.15000000000003"/>
        <n v="372.29999999999995"/>
        <n v="162.52"/>
        <n v="167.5"/>
        <n v="102.86"/>
        <n v="2267.08"/>
        <n v="604.2"/>
        <n v="199.0"/>
        <n v="558.36"/>
        <n v="405.24"/>
        <n v="17.849999999999998"/>
        <n v="647.98"/>
        <n v="739.75"/>
        <n v="257.59999999999997"/>
        <n v="900.48"/>
        <n v="753.48"/>
        <n v="559.73"/>
        <n v="241.19"/>
        <n v="498.33"/>
        <n v="302.40000000000003"/>
        <n v="921.5999999999999"/>
        <n v="41.58"/>
        <n v="167.04"/>
        <n v="475.02"/>
        <n v="2456.3"/>
        <n v="2389.86"/>
        <n v="861.04"/>
        <n v="1655.81"/>
        <n v="327.85"/>
        <n v="1358.45"/>
        <n v="241.49999999999997"/>
        <n v="1571.76"/>
        <n v="403.34"/>
        <n v="4602.72"/>
        <n v="2475.0"/>
        <n v="1206.72"/>
        <n v="1500.7900000000002"/>
        <n v="6973.2"/>
        <n v="9152.119999999999"/>
        <n v="4843.2"/>
        <n v="7882.56"/>
        <n v="4955.68"/>
        <n v="211.89"/>
        <n v="887.2"/>
        <n v="572.4000000000001"/>
        <n v="1867.55"/>
        <n v="276.25"/>
        <n v="673.62"/>
        <n v="345.34000000000003"/>
        <n v="34.92"/>
        <n v="2929.8"/>
        <n v="780.8000000000001"/>
        <n v="3609.98"/>
        <n v="5223.4"/>
        <n v="3638.8799999999997"/>
        <n v="8446.68"/>
        <n v="3387.5"/>
        <n v="3147.81"/>
        <n v="757.4399999999999"/>
        <n v="4433.9400000000005"/>
        <n v="1920.4199999999998"/>
        <n v="4.54"/>
        <n v="3324.15"/>
        <n v="464.79999999999995"/>
        <n v="310.08"/>
        <n v="2854.1800000000003"/>
        <n v="3774.56"/>
        <n v="3868.0299999999997"/>
        <n v="763.1999999999999"/>
        <n v="1899.8000000000002"/>
        <n v="5.8"/>
        <n v="1192.6200000000001"/>
        <n v="3388.7000000000003"/>
        <n v="351.56"/>
        <n v="1511.78"/>
        <n v="931.8400000000001"/>
        <n v="233.82"/>
        <n v="124.74000000000001"/>
        <n v="-3.99"/>
        <n v="1580.6699999999998"/>
        <n v="161.98000000000002"/>
        <n v="2840.5299999999997"/>
        <n v="4643.12"/>
        <n v="324.3"/>
        <n v="572.24"/>
        <n v="5853.31"/>
        <n v="1846.8000000000002"/>
        <n v="1591.76"/>
        <n v="5059.9400000000005"/>
        <n v="785.0100000000001"/>
        <n v="644.38"/>
        <n v="2685.7599999999998"/>
        <n v="2460.15"/>
        <n v="239.4"/>
        <n v="1174.1599999999999"/>
        <n v="1941.77"/>
        <n v="2102.66"/>
        <n v="1525.6799999999998"/>
        <n v="12825.160000000002"/>
        <n v="33640.04"/>
        <n v="7300.66"/>
        <n v="1618.03"/>
        <n v="1342.0"/>
        <n v="1296.3600000000001"/>
        <n v="4039.09"/>
        <n v="2582.2999999999997"/>
        <n v="2116.7999999999997"/>
        <n v="3821.4"/>
        <n v="3028.0800000000004"/>
        <n v="612.17"/>
        <n v="5033.01"/>
        <n v="4541.04"/>
        <n v="136.22"/>
        <n v="1191.1599999999999"/>
        <n v="5363.740000000001"/>
        <n v="1426.41"/>
        <n v="4040.2799999999997"/>
        <n v="114.07"/>
        <n v="3103.1000000000004"/>
        <n v="5509.450000000001"/>
        <n v="1760.3000000000002"/>
        <n v="2783.8900000000003"/>
        <n v="464.20000000000005"/>
        <n v="551.26"/>
        <n v="870.87"/>
        <n v="3109.85"/>
        <n v="3238.04"/>
        <n v="5062.22"/>
        <n v="55.2"/>
        <n v="2516.58"/>
        <n v="577.5"/>
        <n v="4038.54"/>
        <n v="361.27000000000004"/>
        <n v="110.46"/>
        <n v="1124.55"/>
        <n v="1239.04"/>
        <n v="3802.5"/>
        <n v="2623.5"/>
        <n v="2290.3"/>
        <n v="2439.25"/>
        <n v="2031.75"/>
        <n v="1136.46"/>
        <n v="628.11"/>
        <n v="1389.02"/>
        <n v="79.24000000000001"/>
        <n v="1143.28"/>
        <n v="6645.0599999999995"/>
        <n v="3548.25"/>
        <n v="2190.18"/>
        <n v="3144.0"/>
        <n v="243.97"/>
        <n v="82.0"/>
        <n v="2549.24"/>
        <n v="461.13"/>
        <n v="261.36"/>
        <n v="7330.28"/>
        <n v="11917.619999999999"/>
        <n v="1759.52"/>
        <n v="560.4499999999999"/>
        <n v="2070.6"/>
        <n v="2460.68"/>
        <n v="401.28"/>
        <n v="362.7"/>
        <n v="3774.2000000000003"/>
        <n v="24.44"/>
        <n v="983.3299999999999"/>
        <n v="3074.58"/>
        <n v="91.44"/>
        <n v="2879.55"/>
        <n v="463.97999999999996"/>
        <n v="2194.47"/>
        <n v="3430.59"/>
        <n v="4153.6"/>
        <n v="2496.9"/>
        <n v="866.8"/>
        <n v="132.37"/>
        <n v="4117.92"/>
        <n v="59.36"/>
        <n v="649.6"/>
        <n v="843.1800000000001"/>
        <n v="7.89"/>
        <n v="2825.52"/>
        <n v="523.75"/>
        <n v="2255.15"/>
        <n v="2330.82"/>
        <n v="1904.8200000000002"/>
        <n v="3048.26"/>
        <n v="758.03"/>
        <n v="1080.7199999999998"/>
        <n v="1018.54"/>
        <n v="1863.33"/>
        <n v="1254.4"/>
        <n v="1062.65"/>
        <n v="463.98"/>
        <n v="4253.13"/>
        <n v="2844.0299999999997"/>
        <n v="1287.31"/>
        <n v="6672.12"/>
        <n v="172.76999999999998"/>
        <n v="367.01000000000005"/>
        <n v="558.08"/>
        <n v="390.15000000000003"/>
        <n v="81.83"/>
        <n v="13.780000000000001"/>
        <n v="518.0"/>
        <n v="62.099999999999994"/>
        <n v="522.74"/>
        <n v="377.58"/>
        <n v="319.2"/>
        <n v="44.73"/>
        <n v="343.87"/>
        <n v="1890.0000000000002"/>
        <n v="546.96"/>
        <n v="335.15999999999997"/>
        <n v="280.8"/>
        <n v="394.71"/>
        <n v="295.79999999999995"/>
        <n v="203.0"/>
        <n v="79.97"/>
        <n v="12.36"/>
        <n v="92.95"/>
        <n v="4.72"/>
        <n v="116.56"/>
        <n v="27.540000000000003"/>
        <n v="783.76"/>
        <n v="128.82"/>
        <n v="115.61999999999999"/>
        <n v="186.9"/>
        <n v="510.3"/>
        <n v="27.810000000000002"/>
        <n v="315.0"/>
        <n v="5357.36"/>
        <n v="101.00999999999999"/>
        <n v="1694.0"/>
        <n v="314.6"/>
        <n v="196.01999999999998"/>
        <n v="140.0"/>
        <n v="216.24"/>
        <n v="317.53000000000003"/>
        <n v="1513.05"/>
        <n v="123.97"/>
        <n v="637.2600000000001"/>
        <n v="10.2"/>
        <n v="109.89999999999999"/>
        <n v="1015.72"/>
        <n v="709.8000000000001"/>
        <n v="59.52"/>
        <n v="9.520000000000001"/>
        <n v="578.34"/>
        <n v="81.42"/>
        <n v="314.11"/>
        <n v="79.35"/>
        <n v="542.66"/>
        <n v="235.72"/>
        <n v="269.7"/>
        <n v="143.1"/>
        <n v="407.34000000000003"/>
        <n v="78.28"/>
        <n v="582.98"/>
        <n v="807.84"/>
        <n v="282.5"/>
        <n v="163.35"/>
        <n v="547.68"/>
        <n v="148.68"/>
        <n v="697.6800000000001"/>
        <n v="777.79"/>
        <n v="124.19999999999999"/>
        <n v="199.49999999999997"/>
        <n v="0.66"/>
        <n v="1071.6299999999999"/>
        <n v="217.56"/>
        <n v="785.6"/>
        <n v="552.66"/>
        <n v="37.24"/>
        <n v="367.5"/>
        <n v="410.31"/>
        <n v="503.72999999999996"/>
        <n v="436.32"/>
        <n v="139.23"/>
        <n v="277.2"/>
        <n v="775.1999999999999"/>
        <n v="316.26"/>
        <n v="651.78"/>
        <n v="487.35"/>
        <n v="378.75"/>
        <n v="794.75"/>
        <n v="1294.47"/>
        <n v="824.67"/>
        <n v="16.72"/>
        <n v="763.2"/>
        <n v="3848.26"/>
        <n v="257.21000000000004"/>
        <n v="1400.63"/>
        <n v="845.01"/>
        <n v="979.44"/>
        <n v="2137.12"/>
        <n v="1064.81"/>
        <n v="373.23999999999995"/>
        <n v="274.56"/>
        <n v="388.96"/>
        <n v="229.84"/>
        <n v="814.8000000000001"/>
        <n v="171.20000000000002"/>
        <n v="5054.23"/>
        <n v="405.84000000000003"/>
        <n v="495.72"/>
        <n v="315.06"/>
        <n v="905.17"/>
        <n v="1560.8999999999999"/>
        <n v="693.16"/>
        <n v="667.26"/>
        <n v="254.66000000000003"/>
        <n v="1595.5"/>
        <n v="300.7"/>
        <n v="329.18"/>
        <n v="1295.1899999999998"/>
        <n v="19.18"/>
        <n v="871.85"/>
        <n v="306.68"/>
        <n v="395.2"/>
        <n v="1483.4699999999998"/>
        <n v="55.800000000000004"/>
        <n v="193.20000000000002"/>
        <n v="92.88"/>
        <n v="247.95"/>
        <n v="1278.1799999999998"/>
        <n v="121.44"/>
        <n v="1243.32"/>
        <n v="960.3000000000001"/>
        <n v="106.02"/>
        <n v="95.78999999999999"/>
        <n v="153.6"/>
        <n v="64.38"/>
        <n v="9.45"/>
        <n v="237.79999999999998"/>
        <n v="401.94"/>
        <n v="256.8"/>
        <n v="263.84"/>
        <n v="1360.52"/>
        <n v="87.75"/>
        <n v="1324.4399999999998"/>
        <n v="655.59"/>
        <n v="240.0"/>
        <n v="423.13"/>
        <n v="178.56"/>
        <n v="27.54"/>
        <n v="2502.2999999999997"/>
        <n v="44.0"/>
        <n v="400.96000000000004"/>
        <n v="3079.44"/>
        <n v="592.02"/>
        <n v="43.66"/>
        <n v="248.39999999999998"/>
        <n v="198.23999999999998"/>
        <n v="37.74"/>
        <n v="28.71"/>
        <n v="1279.67"/>
        <n v="435.31"/>
        <n v="385.40000000000003"/>
        <n v="626.08"/>
        <n v="108.99"/>
        <n v="483.26"/>
        <n v="451.56"/>
        <n v="19.24"/>
        <n v="705.84"/>
        <n v="28.380000000000003"/>
        <n v="364.71999999999997"/>
        <n v="745.49"/>
        <n v="407.74"/>
        <n v="526.89"/>
        <n v="-2.84"/>
        <n v="35.35"/>
        <n v="320.65"/>
        <n v="178.54"/>
        <n v="270.2"/>
        <n v="129.21"/>
        <n v="718.18"/>
        <n v="470.67999999999995"/>
        <n v="556.87"/>
        <n v="841.6"/>
        <n v="271.56"/>
        <n v="312.24"/>
        <n v="393.12"/>
        <n v="458.85"/>
        <n v="245.28"/>
        <n v="681.2099999999999"/>
        <n v="179.07"/>
        <n v="2488.2"/>
        <n v="843.7800000000001"/>
        <n v="82.28"/>
        <n v="374.21999999999997"/>
        <n v="849.72"/>
        <n v="1006.5600000000001"/>
        <n v="641.55"/>
        <n v="1188.64"/>
        <n v="2337.1200000000003"/>
        <n v="-33.300000000000004"/>
        <n v="1772.43"/>
        <n v="39.1"/>
        <n v="2148.26"/>
        <n v="4135.8"/>
        <n v="2586.21"/>
        <n v="1155.06"/>
        <n v="266.90999999999997"/>
        <n v="830.79"/>
        <n v="1593.15"/>
        <n v="348.14"/>
        <n v="167.32"/>
        <n v="465.12"/>
        <n v="1863.72"/>
        <n v="99.96"/>
        <n v="187.53"/>
        <n v="312.0"/>
        <n v="30.400000000000002"/>
        <n v="180.77999999999997"/>
        <n v="82.2"/>
        <n v="144.72"/>
        <n v="329.16"/>
        <n v="211.46"/>
        <n v="470.88000000000005"/>
        <n v="444.03"/>
        <n v="782.3100000000001"/>
        <n v="477.90000000000003"/>
        <n v="97.2"/>
        <n v="1443.24"/>
        <n v="1799.49"/>
        <n v="83.5"/>
        <n v="168.63"/>
        <n v="1671.3999999999999"/>
        <n v="321.44000000000005"/>
        <n v="1279.74"/>
        <n v="755.2199999999999"/>
        <n v="1660.23"/>
        <n v="292.52"/>
        <n v="2044.74"/>
        <n v="113.14999999999999"/>
        <n v="807.72"/>
        <n v="309.43"/>
        <n v="66.96000000000001"/>
        <n v="516.12"/>
        <n v="116.84"/>
        <n v="1074.64"/>
        <n v="274.68"/>
        <n v="163.01999999999998"/>
        <n v="475.61"/>
        <n v="1084.71"/>
        <n v="725.7600000000001"/>
        <n v="372.36"/>
        <n v="1100.0500000000002"/>
        <n v="293.46"/>
        <n v="1831.94"/>
        <n v="250.48"/>
        <n v="303.02000000000004"/>
        <n v="1466.4499999999998"/>
        <n v="-4.66"/>
        <n v="189.06"/>
        <n v="604.1999999999999"/>
        <n v="49.559999999999995"/>
        <n v="162.8"/>
        <n v="244.52999999999997"/>
        <n v="121.89"/>
        <n v="288.0"/>
        <n v="685.2900000000001"/>
        <n v="1924.64"/>
        <n v="132.72"/>
        <n v="147.44"/>
        <n v="594.44"/>
        <n v="152.57"/>
        <n v="1614.99"/>
        <n v="184.79999999999998"/>
        <n v="1787.76"/>
        <n v="897.6"/>
        <n v="609.4"/>
        <n v="1328.94"/>
        <n v="349.92"/>
        <n v="1072.5"/>
        <n v="320.91999999999996"/>
        <n v="1354.5600000000002"/>
        <n v="1506.72"/>
        <n v="361.90000000000003"/>
        <n v="758.18"/>
        <n v="19.74"/>
        <n v="52.64"/>
        <n v="624.8100000000001"/>
        <n v="529.42"/>
        <n v="107.80000000000001"/>
        <n v="924.43"/>
        <n v="209.54999999999998"/>
        <n v="1791.24"/>
        <n v="43.92"/>
        <n v="28.860000000000003"/>
        <n v="1328.55"/>
        <n v="760.2"/>
        <n v="236.0"/>
        <n v="611.0"/>
        <n v="594.96"/>
        <n v="218.25"/>
        <n v="27.240000000000002"/>
        <n v="576.0"/>
        <n v="1016.4"/>
        <n v="41.76"/>
        <n v="359.05"/>
        <n v="260.15"/>
        <n v="1293.81"/>
        <n v="1692.8000000000002"/>
        <n v="919.1"/>
        <n v="635.46"/>
        <n v="103.4"/>
        <n v="133.7"/>
        <n v="481.08"/>
        <n v="608.36"/>
        <n v="422.16999999999996"/>
        <n v="399.3"/>
        <n v="809.19"/>
        <n v="77.80999999999999"/>
        <n v="416.50000000000006"/>
        <n v="125.12"/>
        <n v="277.92"/>
        <n v="284.96000000000004"/>
        <n v="327.42"/>
        <n v="1212.6"/>
        <n v="497.12"/>
        <n v="449.15999999999997"/>
        <n v="448.26000000000005"/>
        <n v="798.38"/>
        <n v="557.26"/>
        <n v="1328.9399999999998"/>
        <n v="463.05"/>
        <n v="16.17"/>
        <n v="105.78"/>
        <n v="51.36"/>
        <n v="58.14"/>
        <n v="620.6"/>
        <n v="209.23000000000002"/>
        <n v="122.99999999999999"/>
        <n v="768.14"/>
        <n v="1111.3600000000001"/>
        <n v="879.58"/>
        <n v="634.3100000000001"/>
        <n v="1112.22"/>
        <n v="116.25"/>
        <n v="590.32"/>
        <n v="647.52"/>
        <n v="1354.0800000000002"/>
        <n v="77.35"/>
        <n v="1358.64"/>
        <n v="176.29000000000002"/>
        <n v="261.63"/>
        <n v="19.36"/>
        <n v="26.82"/>
        <n v="550.8000000000001"/>
        <n v="887.3599999999999"/>
        <n v="940.8"/>
        <n v="71.39999999999999"/>
        <n v="634.97"/>
        <n v="206.5"/>
        <n v="618.4499999999999"/>
        <n v="640.0"/>
        <n v="134.42"/>
        <n v="251.92000000000002"/>
        <n v="2652.99"/>
        <n v="1088.82"/>
        <n v="40.37"/>
        <n v="943.48"/>
        <n v="2520.7999999999997"/>
        <n v="2793.9"/>
        <n v="2174.67"/>
        <n v="80.96"/>
        <n v="1392.64"/>
        <n v="1208.8799999999999"/>
        <n v="1075.67"/>
        <n v="591.6899999999999"/>
        <n v="3085.74"/>
        <n v="747.5"/>
        <n v="65.8"/>
        <n v="7.26"/>
        <n v="80.5"/>
        <n v="1539.24"/>
        <n v="619.12"/>
        <n v="5.96"/>
        <n v="222.64"/>
        <n v="1.14"/>
        <n v="325.04"/>
        <n v="121.79999999999998"/>
        <n v="938.91"/>
        <n v="104.80000000000001"/>
        <n v="95.69999999999999"/>
        <n v="918.74"/>
        <n v="652.8000000000001"/>
        <n v="903.5999999999999"/>
        <n v="17.37"/>
        <n v="1385.3799999999999"/>
        <n v="169.0"/>
        <n v="606.0"/>
        <n v="315.98"/>
        <n v="1142.3400000000001"/>
        <n v="1670.97"/>
        <n v="31.32"/>
        <n v="368.15000000000003"/>
        <n v="1980.1599999999999"/>
        <n v="655.3499999999999"/>
        <n v="124.56"/>
        <n v="5.37"/>
        <n v="1148.51"/>
        <n v="4764.639999999999"/>
        <n v="772.6800000000001"/>
        <n v="36.82"/>
        <n v="2839.72"/>
        <n v="522.88"/>
        <n v="296.79999999999995"/>
        <n v="76.5"/>
        <n v="280.23999999999995"/>
        <n v="270.68"/>
        <n v="215.07000000000002"/>
        <n v="591.8000000000001"/>
        <n v="120.96000000000001"/>
        <n v="150.06"/>
        <n v="289.79999999999995"/>
        <n v="2214.72"/>
        <n v="276.52"/>
        <n v="946.0500000000001"/>
        <n v="121.39"/>
        <n v="1412.1299999999999"/>
        <n v="1053.36"/>
        <n v="923.79"/>
        <n v="705.33"/>
        <n v="1319.08"/>
        <n v="-8.040000000000001"/>
        <n v="111.60000000000001"/>
        <n v="14.25"/>
        <n v="235.4"/>
        <n v="297.92"/>
        <n v="28.0"/>
        <n v="394.5"/>
        <n v="295.32"/>
        <n v="12.0"/>
        <n v="565.8"/>
        <n v="1347.5"/>
        <n v="815.76"/>
        <n v="496.91999999999996"/>
        <n v="373.65999999999997"/>
        <n v="49.49"/>
        <n v="1010.1"/>
        <n v="976.8000000000001"/>
        <n v="314.16"/>
        <n v="98.28"/>
        <n v="168.92000000000002"/>
        <n v="312.48"/>
        <n v="50.83"/>
        <n v="14.14"/>
        <n v="654.94"/>
        <n v="713.6999999999999"/>
        <n v="648.21"/>
        <n v="1059.99"/>
        <n v="54.18"/>
        <n v="769.64"/>
        <n v="244.75"/>
        <n v="151.89000000000001"/>
        <n v="-13.96"/>
        <n v="117.6"/>
        <n v="-0.84"/>
        <n v="77.83"/>
        <n v="688.2"/>
        <n v="706.75"/>
        <n v="120.69999999999999"/>
        <n v="1409.4"/>
        <n v="555.5200000000001"/>
        <n v="948.6"/>
        <n v="6435.44"/>
        <n v="927.1"/>
        <n v="61.050000000000004"/>
        <n v="226.95"/>
        <n v="123.48"/>
        <n v="83.64"/>
        <n v="1115.52"/>
        <n v="372.04"/>
        <n v="1511.4"/>
        <n v="27.3"/>
        <n v="108.47999999999999"/>
        <n v="650.2099999999999"/>
        <n v="58.300000000000004"/>
        <n v="372.11"/>
        <n v="441.18"/>
        <n v="1064.8"/>
        <n v="1425.06"/>
        <n v="558.4"/>
        <n v="48.6"/>
        <n v="184.86"/>
        <n v="1152.18"/>
        <n v="226.05"/>
        <n v="148.19"/>
        <n v="105.21"/>
        <n v="1240.16"/>
        <n v="820.15"/>
        <n v="125.28"/>
        <n v="324.82000000000005"/>
        <n v="166.25"/>
        <n v="113.46000000000001"/>
        <n v="1345.62"/>
        <n v="643.77"/>
        <n v="277.76"/>
        <n v="607.86"/>
        <n v="118.34"/>
        <n v="-1.88"/>
        <n v="1172.3600000000001"/>
        <n v="122.31"/>
        <n v="1492.1100000000001"/>
        <n v="842.0300000000001"/>
        <n v="294.59000000000003"/>
        <n v="761.27"/>
        <n v="1015.0"/>
        <n v="148.35"/>
        <n v="11.850000000000001"/>
        <n v="943.9300000000001"/>
        <n v="149.76"/>
        <n v="367.68"/>
        <n v="755.82"/>
        <n v="958.64"/>
        <n v="46.5"/>
        <n v="137.46"/>
        <n v="171.36"/>
        <n v="172.70000000000002"/>
        <n v="443.75"/>
        <n v="135.42000000000002"/>
        <n v="180.2"/>
        <n v="717.0999999999999"/>
        <n v="133.38"/>
        <n v="161.25"/>
        <n v="394.4"/>
        <n v="16.099999999999998"/>
        <n v="1024.6000000000001"/>
        <n v="6932.64"/>
        <n v="2922.02"/>
        <n v="671.59"/>
        <n v="535.62"/>
        <n v="1054.0"/>
        <n v="311.21999999999997"/>
        <n v="364.17"/>
        <n v="606.4"/>
        <n v="178.20999999999998"/>
        <n v="53.01"/>
        <n v="1254.51"/>
        <n v="249.39999999999998"/>
        <n v="2218.44"/>
        <n v="531.24"/>
        <n v="214.06"/>
        <n v="695.8"/>
        <n v="254.38000000000002"/>
        <n v="881.9200000000001"/>
        <n v="1269.0"/>
        <n v="1253.78"/>
        <n v="54.0"/>
        <n v="73.96"/>
        <n v="565.23"/>
        <n v="3144.57"/>
        <n v="1776.0600000000002"/>
        <n v="238.5"/>
        <n v="681.2"/>
        <n v="2954.6"/>
        <n v="1012.91"/>
        <n v="249.60000000000002"/>
        <n v="836.55"/>
        <n v="1186.27"/>
        <n v="799.68"/>
        <n v="1046.3799999999999"/>
        <n v="274.16"/>
        <n v="372.6"/>
        <n v="2571.7599999999998"/>
        <n v="3727.15"/>
        <n v="2018.2799999999997"/>
        <n v="416.34"/>
        <n v="56.55"/>
        <n v="484.12"/>
        <n v="359.84000000000003"/>
        <n v="474.0"/>
        <n v="1775.5500000000002"/>
        <n v="2576.64"/>
        <n v="678.0"/>
        <n v="80.03999999999999"/>
        <n v="187.04000000000002"/>
        <n v="2110.47"/>
        <n v="460.84"/>
        <n v="497.14000000000004"/>
        <n v="582.4499999999999"/>
        <n v="740.5999999999999"/>
        <n v="1495.2"/>
        <n v="9.06"/>
        <n v="786.21"/>
        <n v="88.74"/>
        <n v="2498.52"/>
        <n v="143.5"/>
        <n v="304.0"/>
        <n v="403.17"/>
        <n v="12.24"/>
        <n v="1021.67"/>
        <n v="3257.55"/>
        <n v="196.0"/>
        <n v="663.52"/>
        <n v="165.85000000000002"/>
        <n v="325.28000000000003"/>
        <n v="479.25"/>
        <n v="199.76"/>
        <n v="3186.2"/>
        <n v="830.4"/>
        <n v="512.24"/>
        <n v="20.07"/>
        <n v="537.6"/>
        <n v="149.70000000000002"/>
        <n v="616.5"/>
        <n v="420.67"/>
        <n v="550.47"/>
        <n v="2133.33"/>
        <n v="1649.89"/>
        <n v="579.36"/>
        <n v="1148.0"/>
        <n v="134.28"/>
        <n v="153.34"/>
        <n v="251.85999999999999"/>
        <n v="602.58"/>
        <n v="59.4"/>
        <n v="109.22"/>
        <n v="44.03"/>
        <n v="596.1600000000001"/>
        <n v="394.11"/>
        <n v="385.35"/>
        <n v="88.44"/>
        <n v="647.6800000000001"/>
        <n v="369.0"/>
        <n v="434.66"/>
        <n v="13.200000000000001"/>
        <n v="51.68000000000001"/>
        <n v="1428.3000000000002"/>
        <n v="52.0"/>
        <n v="11.16"/>
        <n v="490.21"/>
        <n v="92.88000000000001"/>
        <n v="729.4300000000001"/>
        <n v="440.82"/>
        <n v="733.04"/>
        <n v="1532.8"/>
        <n v="250.16000000000003"/>
        <n v="70.08"/>
        <n v="486.33000000000004"/>
        <n v="914.08"/>
        <n v="144.20999999999998"/>
        <n v="875.4300000000001"/>
        <n v="204.17999999999998"/>
        <n v="798.72"/>
        <n v="267.8"/>
        <n v="2058.8199999999997"/>
        <n v="12.7"/>
        <n v="178.35"/>
        <n v="62.9"/>
        <n v="46.059999999999995"/>
        <n v="957.5999999999999"/>
        <n v="21.28"/>
        <n v="127.26"/>
        <n v="100.35"/>
        <n v="465.9200000000001"/>
        <n v="1006.88"/>
        <n v="124.11999999999999"/>
        <n v="2665.8399999999997"/>
        <n v="219.23999999999998"/>
        <n v="342.86"/>
        <n v="12087.53"/>
        <n v="7053.660000000001"/>
        <n v="729.5600000000001"/>
        <n v="23.88"/>
        <n v="1096.91"/>
        <n v="55.44"/>
        <n v="6.87"/>
        <n v="1009.69"/>
        <n v="210.32"/>
        <n v="1252.4"/>
        <n v="503.09999999999997"/>
        <n v="1315.84"/>
        <n v="1167.3500000000001"/>
        <n v="623.0999999999999"/>
        <n v="327.84"/>
        <n v="438.78"/>
        <n v="240.16"/>
        <n v="289.44"/>
        <n v="255.20999999999998"/>
        <n v="374.4"/>
        <n v="212.35000000000002"/>
        <n v="1873.3200000000002"/>
        <n v="500.07000000000005"/>
        <n v="355.5"/>
        <n v="463.73999999999995"/>
        <n v="1448.18"/>
        <n v="82.28999999999999"/>
        <n v="375.24"/>
        <n v="252.84"/>
        <n v="718.08"/>
        <n v="1170.3"/>
        <n v="729.54"/>
        <n v="1386.8999999999999"/>
        <n v="275.5"/>
        <n v="72.35999999999999"/>
        <n v="80.77"/>
        <n v="4292.0"/>
        <n v="1311.3799999999999"/>
        <n v="15133.95"/>
        <n v="5127.72"/>
        <n v="175.6"/>
        <n v="2337.73"/>
        <n v="5925.19"/>
        <n v="423.35999999999996"/>
        <n v="6352.5"/>
        <n v="1553.24"/>
        <n v="5444.400000000001"/>
        <n v="2661.91"/>
        <n v="667.58"/>
        <n v="1751.0"/>
        <n v="2369.0"/>
        <n v="3454.2000000000003"/>
        <n v="62.48"/>
        <n v="218.66"/>
        <n v="211.58"/>
        <n v="3885.0499999999997"/>
        <n v="3601.0"/>
        <n v="1654.3400000000001"/>
        <n v="3774.68"/>
        <n v="447.48"/>
        <n v="1995.0"/>
        <n v="255.50000000000003"/>
        <n v="1072.57"/>
        <n v="4.92"/>
        <n v="683.1999999999999"/>
        <n v="97.0"/>
        <n v="489.70000000000005"/>
        <n v="267.86"/>
        <n v="750.26"/>
        <n v="839.8"/>
        <n v="1654.67"/>
        <n v="847.47"/>
        <n v="3751.02"/>
        <n v="1453.44"/>
        <n v="3167.06"/>
        <n v="694.52"/>
        <n v="2139.62"/>
        <n v="5.97"/>
        <n v="329.51"/>
        <n v="1272.0"/>
        <n v="88.35"/>
        <n v="924.18"/>
        <n v="631.14"/>
        <n v="699.27"/>
        <n v="129.96"/>
        <n v="288.77"/>
        <n v="1770.72"/>
        <n v="3503.2200000000003"/>
        <n v="657.36"/>
        <n v="1766.3999999999999"/>
        <n v="311.75"/>
        <n v="1872.78"/>
        <n v="24.08"/>
        <n v="4025.22"/>
        <n v="6679.679999999999"/>
        <n v="5750.139999999999"/>
        <n v="330.46"/>
        <n v="1312.07"/>
        <n v="1796.8300000000002"/>
        <n v="83.97"/>
        <n v="806.52"/>
        <n v="1662.16"/>
        <n v="1118.24"/>
        <n v="2774.58"/>
        <n v="2412.27"/>
        <n v="446.0"/>
        <n v="3019.2799999999997"/>
        <n v="182.49"/>
        <n v="298.45"/>
        <n v="670.4799999999999"/>
        <n v="450.95"/>
        <n v="843.37"/>
        <n v="937.9499999999999"/>
        <n v="896.4399999999999"/>
        <n v="156.1"/>
        <n v="4329.57"/>
        <n v="122.15"/>
        <n v="1047.28"/>
        <n v="2903.58"/>
        <n v="236.51"/>
        <n v="4704.5599999999995"/>
        <n v="820.52"/>
        <n v="18.330000000000002"/>
        <n v="307.22999999999996"/>
        <n v="149.04"/>
        <n v="2959.6"/>
        <n v="877.5"/>
        <n v="238.26"/>
        <n v="800.8000000000001"/>
        <n v="3972.1200000000003"/>
        <n v="217.74"/>
        <n v="488.8"/>
        <n v="1007.3399999999999"/>
        <n v="1617.96"/>
        <n v="2560.82"/>
        <n v="1089.16"/>
        <n v="2445.9500000000003"/>
        <n v="3897.6"/>
        <n v="1579.9399999999998"/>
        <n v="1013.0400000000001"/>
        <n v="475.73"/>
        <n v="365.68"/>
        <n v="1860.45"/>
        <n v="601.75"/>
        <n v="1561.1399999999999"/>
        <n v="3313.5899999999997"/>
        <n v="117.53"/>
        <n v="8.02"/>
        <n v="1478.46"/>
        <n v="860.16"/>
        <n v="1577.28"/>
        <n v="5178.900000000001"/>
        <n v="4507.9"/>
        <n v="210.71999999999997"/>
        <n v="489.53999999999996"/>
        <n v="928.4"/>
        <n v="270.47999999999996"/>
        <n v="913.25"/>
        <n v="1843.8"/>
        <n v="4617.84"/>
        <n v="1598.4"/>
        <n v="894.0400000000001"/>
        <n v="286.0"/>
        <n v="1669.1200000000001"/>
        <n v="1996.44"/>
        <n v="1463.0"/>
        <n v="1591.23"/>
        <n v="165.98"/>
        <n v="2037.76"/>
        <n v="49.95"/>
        <n v="411.08000000000004"/>
        <n v="1047.1000000000001"/>
        <n v="171.6"/>
        <n v="1207.16"/>
        <n v="217.08"/>
        <n v="253.4"/>
        <n v="2551.02"/>
        <n v="4391.28"/>
        <n v="20.8"/>
        <n v="634.4"/>
        <n v="613.7600000000001"/>
        <n v="1366.1999999999998"/>
        <n v="430.35999999999996"/>
        <n v="180.18"/>
        <n v="1404.18"/>
        <n v="153.92000000000002"/>
        <n v="232.19"/>
        <n v="337.2"/>
        <n v="1272.06"/>
        <n v="239.7"/>
        <n v="710.01"/>
        <n v="76.16000000000001"/>
        <n v="1631.8"/>
        <n v="434.34000000000003"/>
        <n v="202.41"/>
        <n v="802.72"/>
        <n v="135.63"/>
        <n v="306.24"/>
        <n v="9.04"/>
        <n v="165.1"/>
        <n v="1109.6200000000001"/>
        <n v="23.92"/>
        <n v="3826.36"/>
        <n v="91.59"/>
        <n v="48.83"/>
        <n v="498.52000000000004"/>
        <n v="229.32000000000002"/>
        <n v="422.92"/>
        <n v="6548.879999999999"/>
        <n v="3870.3999999999996"/>
        <n v="2082.4"/>
        <n v="41.68"/>
        <n v="7709.38"/>
        <n v="1695.75"/>
        <n v="5010.66"/>
        <n v="68.75"/>
        <n v="1986.99"/>
        <n v="3897.2400000000002"/>
      </sharedItems>
    </cacheField>
    <cacheField name="in_stock" numFmtId="0">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Shortage_analysis" cacheId="0" dataCaption="" rowGrandTotals="0" compact="0" compactData="0">
  <location ref="A1:C11" firstHeaderRow="0" firstDataRow="2"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t="default"/>
      </items>
    </pivotField>
    <pivotField name="new" compact="0" outline="0" multipleItemSelectionAllowed="1" showAll="0">
      <items>
        <item x="0"/>
        <item x="1"/>
        <item x="2"/>
        <item t="default"/>
      </items>
    </pivotField>
    <pivotField name="forecast_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t="default"/>
      </items>
    </pivotField>
    <pivotField name="stock"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t="default"/>
      </items>
    </pivotField>
    <pivotField name="category_1" axis="axisRow" compact="0" outline="0" multipleItemSelectionAllowed="1" showAll="0" sortType="ascending" defaultSubtotal="0">
      <items>
        <item x="9"/>
        <item sd="0" x="7"/>
        <item sd="0" x="0"/>
        <item sd="0" x="6"/>
        <item sd="0" x="1"/>
        <item sd="0" x="4"/>
        <item sd="0" x="8"/>
        <item sd="0" x="2"/>
        <item sd="0" x="3"/>
        <item sd="0" x="5"/>
      </items>
    </pivotField>
    <pivotField name="category_2" axis="axisRow" compact="0" outline="0" multipleItemSelectionAllowed="1" showAll="0" sortType="ascending">
      <items>
        <item x="122"/>
        <item x="9"/>
        <item x="112"/>
        <item x="16"/>
        <item x="106"/>
        <item x="105"/>
        <item x="75"/>
        <item x="47"/>
        <item x="89"/>
        <item x="45"/>
        <item x="82"/>
        <item x="41"/>
        <item x="59"/>
        <item x="78"/>
        <item x="52"/>
        <item x="22"/>
        <item x="60"/>
        <item x="37"/>
        <item x="43"/>
        <item x="57"/>
        <item x="90"/>
        <item x="61"/>
        <item x="3"/>
        <item x="58"/>
        <item x="88"/>
        <item x="26"/>
        <item x="77"/>
        <item x="48"/>
        <item x="74"/>
        <item x="80"/>
        <item x="39"/>
        <item x="94"/>
        <item x="79"/>
        <item x="104"/>
        <item x="99"/>
        <item x="8"/>
        <item x="18"/>
        <item x="24"/>
        <item x="40"/>
        <item x="65"/>
        <item x="5"/>
        <item x="55"/>
        <item x="4"/>
        <item x="107"/>
        <item x="109"/>
        <item x="91"/>
        <item x="92"/>
        <item x="51"/>
        <item x="44"/>
        <item x="83"/>
        <item x="102"/>
        <item x="33"/>
        <item x="10"/>
        <item x="28"/>
        <item x="29"/>
        <item x="13"/>
        <item x="63"/>
        <item x="103"/>
        <item x="64"/>
        <item x="108"/>
        <item x="62"/>
        <item x="86"/>
        <item x="66"/>
        <item x="38"/>
        <item x="69"/>
        <item x="68"/>
        <item x="42"/>
        <item x="0"/>
        <item x="76"/>
        <item x="121"/>
        <item x="17"/>
        <item x="23"/>
        <item x="35"/>
        <item x="72"/>
        <item x="19"/>
        <item x="34"/>
        <item x="111"/>
        <item x="1"/>
        <item x="81"/>
        <item x="118"/>
        <item x="98"/>
        <item x="14"/>
        <item x="114"/>
        <item x="117"/>
        <item x="30"/>
        <item x="85"/>
        <item x="115"/>
        <item x="101"/>
        <item x="113"/>
        <item x="25"/>
        <item x="95"/>
        <item x="97"/>
        <item x="31"/>
        <item x="70"/>
        <item x="119"/>
        <item x="120"/>
        <item x="93"/>
        <item x="11"/>
        <item x="12"/>
        <item x="50"/>
        <item x="7"/>
        <item x="100"/>
        <item x="27"/>
        <item x="73"/>
        <item x="54"/>
        <item x="53"/>
        <item x="87"/>
        <item x="36"/>
        <item x="116"/>
        <item x="49"/>
        <item x="67"/>
        <item x="46"/>
        <item x="110"/>
        <item x="2"/>
        <item x="32"/>
        <item x="84"/>
        <item x="6"/>
        <item x="96"/>
        <item x="71"/>
        <item x="56"/>
        <item x="20"/>
        <item x="21"/>
        <item x="15"/>
        <item t="default"/>
      </items>
    </pivotField>
    <pivotField name="category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pp_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t="default"/>
      </items>
    </pivotField>
    <pivotField name="stok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t="default"/>
      </items>
    </pivotField>
    <pivotField name="in_stock" compact="0" outline="0" multipleItemSelectionAllowed="1" showAll="0">
      <items>
        <item x="0"/>
        <item x="1"/>
        <item x="2"/>
        <item t="default"/>
      </items>
    </pivotField>
    <pivotField name=" " compact="0" outline="0" multipleItemSelectionAllowed="1" showAll="0">
      <items>
        <item x="0"/>
        <item x="1"/>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dataField="1" compact="0" outline="0" subtotalTop="0" dragToRow="0" dragToCol="0" dragToPage="0" showAll="0" includeNewItemsInFilter="1" defaultSubtotal="0"/>
  </pivotFields>
  <rowFields>
    <field x="4"/>
    <field x="5"/>
  </rowFields>
  <dataFields>
    <dataField name="SUM of Shortage Rate" fld="29" baseField="0"/>
  </dataFields>
</pivotTableDefinition>
</file>

<file path=xl/pivotTables/pivotTable2.xml><?xml version="1.0" encoding="utf-8"?>
<pivotTableDefinition xmlns="http://schemas.openxmlformats.org/spreadsheetml/2006/main" name="stok_analysis" cacheId="1" dataCaption="" compact="0" compactData="0">
  <location ref="A1:C4" firstHeaderRow="0" firstDataRow="2" firstDataCol="0"/>
  <pivotFields>
    <pivotField name="produc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t="default"/>
      </items>
    </pivotField>
    <pivotField name="new" compact="0" outline="0" multipleItemSelectionAllowed="1" showAll="0">
      <items>
        <item x="0"/>
        <item x="1"/>
        <item t="default"/>
      </items>
    </pivotField>
    <pivotField name="forecast_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t="default"/>
      </items>
    </pivotField>
    <pivotField name="stock"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t="default"/>
      </items>
    </pivotField>
    <pivotField name="category_1" compact="0" outline="0" multipleItemSelectionAllowed="1" showAll="0">
      <items>
        <item x="0"/>
        <item x="1"/>
        <item x="2"/>
        <item x="3"/>
        <item x="4"/>
        <item x="5"/>
        <item x="6"/>
        <item x="7"/>
        <item x="8"/>
        <item t="default"/>
      </items>
    </pivotField>
    <pivotField name="category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category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pp_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t="default"/>
      </items>
    </pivotField>
    <pivotField name="stok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t="default"/>
      </items>
    </pivotField>
    <pivotField name="in_stock" axis="axisRow" compact="0" outline="0" multipleItemSelectionAllowed="1" showAll="0" sortType="ascending">
      <items>
        <item x="1"/>
        <item x="0"/>
        <item t="default"/>
      </items>
    </pivotField>
    <pivotField name=" " compact="0" outline="0" multipleItemSelectionAllowed="1" showAll="0">
      <items>
        <item x="0"/>
        <item x="1"/>
        <item t="default"/>
      </items>
    </pivotField>
  </pivotFields>
  <rowFields>
    <field x="10"/>
  </rowFields>
  <colFields>
    <field x="-2"/>
  </colFields>
  <dataFields>
    <dataField name="SUM of product_id" fld="0" showDataAs="percentOfTotal" baseField="0" numFmtId="10"/>
    <dataField name="COUNT of product_id" fld="0" subtotal="countNums" baseField="0"/>
  </dataFields>
</pivotTableDefinition>
</file>

<file path=xl/pivotTables/pivotTable3.xml><?xml version="1.0" encoding="utf-8"?>
<pivotTableDefinition xmlns="http://schemas.openxmlformats.org/spreadsheetml/2006/main" name="Pivot Table 2" cacheId="2" dataCaption="" compact="0" compactData="0">
  <location ref="A1:B11" firstHeaderRow="0" firstDataRow="1" firstDataCol="0"/>
  <pivotFields>
    <pivotField name="produc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t="default"/>
      </items>
    </pivotField>
    <pivotField name="new" compact="0" outline="0" multipleItemSelectionAllowed="1" showAll="0">
      <items>
        <item x="0"/>
        <item x="1"/>
        <item t="default"/>
      </items>
    </pivotField>
    <pivotField name="forecast_sto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t="default"/>
      </items>
    </pivotField>
    <pivotField name="stock"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t="default"/>
      </items>
    </pivotField>
    <pivotField name="category_1" axis="axisRow" compact="0" outline="0" multipleItemSelectionAllowed="1" showAll="0" sortType="ascending">
      <items>
        <item x="7"/>
        <item x="0"/>
        <item x="6"/>
        <item x="1"/>
        <item x="4"/>
        <item x="8"/>
        <item x="2"/>
        <item x="3"/>
        <item x="5"/>
        <item t="default"/>
      </items>
    </pivotField>
    <pivotField name="category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category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pp_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t="default"/>
      </items>
    </pivotField>
    <pivotField name="stok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t="default"/>
      </items>
    </pivotField>
    <pivotField name="in_stock" compact="0" outline="0" multipleItemSelectionAllowed="1" showAll="0">
      <items>
        <item x="0"/>
        <item x="1"/>
        <item t="default"/>
      </items>
    </pivotField>
  </pivotFields>
  <rowFields>
    <field x="4"/>
  </rowFields>
  <dataFields>
    <dataField name="COUNTA of product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5"/>
      <c r="C1" s="5"/>
      <c r="D1" s="5"/>
      <c r="E1" s="5"/>
      <c r="F1" s="5"/>
      <c r="G1" s="5"/>
      <c r="H1" s="5"/>
      <c r="I1" s="5"/>
      <c r="J1" s="5"/>
      <c r="K1" s="5"/>
      <c r="L1" s="5"/>
      <c r="M1" s="5"/>
      <c r="N1" s="5"/>
      <c r="O1" s="5"/>
      <c r="P1" s="5"/>
      <c r="Q1" s="5"/>
      <c r="R1" s="5"/>
      <c r="S1" s="5"/>
      <c r="T1" s="5"/>
      <c r="U1" s="5"/>
      <c r="V1" s="5"/>
      <c r="W1" s="5"/>
      <c r="X1" s="5"/>
      <c r="Y1" s="5"/>
      <c r="Z1" s="7"/>
    </row>
    <row r="2">
      <c r="A2" s="8"/>
      <c r="Z2" s="9"/>
    </row>
    <row r="3">
      <c r="A3" s="8"/>
      <c r="Z3" s="9"/>
    </row>
    <row r="4">
      <c r="A4" s="8"/>
      <c r="Z4" s="9"/>
    </row>
    <row r="5">
      <c r="A5" s="8"/>
      <c r="Z5" s="9"/>
    </row>
    <row r="6">
      <c r="A6" s="8"/>
      <c r="Z6" s="9"/>
    </row>
    <row r="7">
      <c r="A7" s="8"/>
      <c r="Z7" s="9"/>
    </row>
    <row r="8">
      <c r="A8" s="8"/>
      <c r="Z8" s="9"/>
    </row>
    <row r="9">
      <c r="A9" s="8"/>
      <c r="Z9" s="9"/>
    </row>
    <row r="10">
      <c r="A10" s="8"/>
      <c r="Z10" s="9"/>
    </row>
    <row r="11">
      <c r="A11" s="8"/>
      <c r="Z11" s="9"/>
    </row>
    <row r="12">
      <c r="A12" s="8"/>
      <c r="Z12" s="9"/>
    </row>
    <row r="13">
      <c r="A13" s="8"/>
      <c r="Z13" s="9"/>
    </row>
    <row r="14">
      <c r="A14" s="8"/>
      <c r="Z14" s="9"/>
    </row>
    <row r="15">
      <c r="A15" s="8"/>
      <c r="Z15" s="9"/>
    </row>
    <row r="16">
      <c r="A16" s="8"/>
      <c r="Z16" s="9"/>
    </row>
    <row r="17">
      <c r="A17" s="8"/>
      <c r="Z17" s="9"/>
    </row>
    <row r="18">
      <c r="A18" s="8"/>
      <c r="Z18" s="9"/>
    </row>
    <row r="19">
      <c r="A19" s="8"/>
      <c r="Z19" s="9"/>
    </row>
    <row r="20">
      <c r="A20" s="8"/>
      <c r="Z20" s="9"/>
    </row>
    <row r="21">
      <c r="A21" s="8"/>
      <c r="Z21" s="9"/>
    </row>
    <row r="22">
      <c r="A22" s="8"/>
      <c r="Z22" s="9"/>
    </row>
    <row r="23">
      <c r="A23" s="8"/>
      <c r="Z23" s="9"/>
    </row>
    <row r="24">
      <c r="A24" s="8"/>
      <c r="Z24" s="9"/>
    </row>
    <row r="25">
      <c r="A25" s="8"/>
      <c r="Z25" s="9"/>
    </row>
    <row r="26">
      <c r="A26" s="8"/>
      <c r="Z26" s="9"/>
    </row>
    <row r="27">
      <c r="A27" s="8"/>
      <c r="Z27" s="9"/>
    </row>
    <row r="28">
      <c r="A28" s="8"/>
      <c r="Z28" s="9"/>
    </row>
    <row r="29">
      <c r="A29" s="8"/>
      <c r="Z29" s="9"/>
    </row>
    <row r="30">
      <c r="A30" s="8"/>
      <c r="Z30" s="9"/>
    </row>
    <row r="31">
      <c r="A31" s="8"/>
      <c r="Z31" s="9"/>
    </row>
    <row r="32">
      <c r="A32" s="8"/>
      <c r="Z32" s="9"/>
    </row>
    <row r="33">
      <c r="A33" s="8"/>
      <c r="Z33" s="9"/>
    </row>
    <row r="34">
      <c r="A34" s="8"/>
      <c r="Z34" s="9"/>
    </row>
    <row r="35">
      <c r="A35" s="8"/>
      <c r="Z35" s="9"/>
    </row>
    <row r="36">
      <c r="A36" s="8"/>
      <c r="Z36" s="9"/>
    </row>
    <row r="37">
      <c r="A37" s="8"/>
      <c r="Z37" s="9"/>
    </row>
    <row r="38">
      <c r="A38" s="8"/>
      <c r="Z38" s="9"/>
    </row>
    <row r="39">
      <c r="A39" s="8"/>
      <c r="Z39" s="9"/>
    </row>
    <row r="40">
      <c r="A40" s="8"/>
      <c r="Z40" s="9"/>
    </row>
    <row r="41">
      <c r="A41" s="8"/>
      <c r="Z41" s="9"/>
    </row>
    <row r="42">
      <c r="A42" s="8"/>
      <c r="Z42" s="9"/>
    </row>
    <row r="43">
      <c r="A43" s="8"/>
      <c r="Z43" s="9"/>
    </row>
    <row r="44">
      <c r="A44" s="8"/>
      <c r="Z44" s="9"/>
    </row>
    <row r="45">
      <c r="A45" s="8"/>
      <c r="Z45" s="9"/>
    </row>
    <row r="46">
      <c r="A46" s="8"/>
      <c r="Z46" s="9"/>
    </row>
    <row r="47">
      <c r="A47" s="8"/>
      <c r="Z47" s="9"/>
    </row>
    <row r="48">
      <c r="A48" s="8"/>
      <c r="Z48" s="9"/>
    </row>
    <row r="49">
      <c r="A49" s="8"/>
      <c r="Z49" s="9"/>
    </row>
    <row r="50">
      <c r="A50" s="8"/>
      <c r="Z50" s="9"/>
    </row>
    <row r="51">
      <c r="A51" s="8"/>
      <c r="Z51" s="9"/>
    </row>
    <row r="52">
      <c r="A52" s="8"/>
      <c r="Z52" s="9"/>
    </row>
    <row r="53">
      <c r="A53" s="8"/>
      <c r="Z53" s="9"/>
    </row>
    <row r="54">
      <c r="A54" s="8"/>
      <c r="Z54" s="9"/>
    </row>
    <row r="55">
      <c r="A55" s="8"/>
      <c r="Z55" s="9"/>
    </row>
    <row r="56">
      <c r="A56" s="8"/>
      <c r="Z56" s="9"/>
    </row>
    <row r="57">
      <c r="A57" s="8"/>
      <c r="Z57" s="9"/>
    </row>
    <row r="58">
      <c r="A58" s="8"/>
      <c r="Z58" s="9"/>
    </row>
    <row r="59">
      <c r="A59" s="8"/>
      <c r="Z59" s="9"/>
    </row>
    <row r="60">
      <c r="A60" s="8"/>
      <c r="Z60" s="9"/>
    </row>
    <row r="61">
      <c r="A61" s="8"/>
      <c r="Z61" s="9"/>
    </row>
    <row r="62">
      <c r="A62" s="8"/>
      <c r="Z62" s="9"/>
    </row>
    <row r="63">
      <c r="A63" s="8"/>
      <c r="Z63" s="9"/>
    </row>
    <row r="64">
      <c r="A64" s="8"/>
      <c r="Z64" s="9"/>
    </row>
    <row r="65">
      <c r="A65" s="8"/>
      <c r="Z65" s="9"/>
    </row>
    <row r="66">
      <c r="A66" s="8"/>
      <c r="Z66" s="9"/>
    </row>
    <row r="67">
      <c r="A67" s="8"/>
      <c r="Z67" s="9"/>
    </row>
    <row r="68">
      <c r="A68" s="8"/>
      <c r="Z68" s="9"/>
    </row>
    <row r="69">
      <c r="A69" s="8"/>
      <c r="Z69" s="9"/>
    </row>
    <row r="70">
      <c r="A70" s="8"/>
      <c r="Z70" s="9"/>
    </row>
    <row r="71">
      <c r="A71" s="8"/>
      <c r="Z71" s="9"/>
    </row>
    <row r="72">
      <c r="A72" s="8"/>
      <c r="Z72" s="9"/>
    </row>
    <row r="73">
      <c r="A73" s="8"/>
      <c r="Z73" s="9"/>
    </row>
    <row r="74">
      <c r="A74" s="8"/>
      <c r="Z74" s="9"/>
    </row>
    <row r="75">
      <c r="A75" s="8"/>
      <c r="Z75" s="9"/>
    </row>
    <row r="76">
      <c r="A76" s="8"/>
      <c r="Z76" s="9"/>
    </row>
    <row r="77">
      <c r="A77" s="8"/>
      <c r="Z77" s="9"/>
    </row>
    <row r="78">
      <c r="A78" s="8"/>
      <c r="Z78" s="9"/>
    </row>
    <row r="79">
      <c r="A79" s="8"/>
      <c r="Z79" s="9"/>
    </row>
    <row r="80">
      <c r="A80" s="8"/>
      <c r="Z80" s="9"/>
    </row>
    <row r="81">
      <c r="A81" s="8"/>
      <c r="Z81" s="9"/>
    </row>
    <row r="82">
      <c r="A82" s="8"/>
      <c r="Z82" s="9"/>
    </row>
    <row r="83">
      <c r="A83" s="8"/>
      <c r="Z83" s="9"/>
    </row>
    <row r="84">
      <c r="A84" s="8"/>
      <c r="Z84" s="9"/>
    </row>
    <row r="85">
      <c r="A85" s="8"/>
      <c r="Z85" s="9"/>
    </row>
    <row r="86">
      <c r="A86" s="8"/>
      <c r="Z86" s="9"/>
    </row>
    <row r="87">
      <c r="A87" s="8"/>
      <c r="Z87" s="9"/>
    </row>
    <row r="88">
      <c r="A88" s="8"/>
      <c r="Z88" s="9"/>
    </row>
    <row r="89">
      <c r="A89" s="8"/>
      <c r="Z89" s="9"/>
    </row>
    <row r="90">
      <c r="A90" s="8"/>
      <c r="Z90" s="9"/>
    </row>
    <row r="91">
      <c r="A91" s="8"/>
      <c r="Z91" s="9"/>
    </row>
    <row r="92">
      <c r="A92" s="8"/>
      <c r="Z92" s="9"/>
    </row>
    <row r="93">
      <c r="A93" s="8"/>
      <c r="Z93" s="9"/>
    </row>
    <row r="94">
      <c r="A94" s="8"/>
      <c r="Z94" s="9"/>
    </row>
    <row r="95">
      <c r="A95" s="8"/>
      <c r="Z95" s="9"/>
    </row>
    <row r="96">
      <c r="A96" s="8"/>
      <c r="Z96" s="9"/>
    </row>
    <row r="97">
      <c r="A97" s="8"/>
      <c r="Z97" s="9"/>
    </row>
    <row r="98">
      <c r="A98" s="8"/>
      <c r="Z98" s="9"/>
    </row>
    <row r="99">
      <c r="A99" s="8"/>
      <c r="Z99" s="9"/>
    </row>
    <row r="100">
      <c r="A100" s="8"/>
      <c r="Z100" s="9"/>
    </row>
    <row r="101">
      <c r="A101" s="8"/>
      <c r="Z101" s="9"/>
    </row>
    <row r="102">
      <c r="A102" s="8"/>
      <c r="Z102" s="9"/>
    </row>
    <row r="103">
      <c r="A103" s="8"/>
      <c r="Z103" s="9"/>
    </row>
    <row r="104">
      <c r="A104" s="8"/>
      <c r="Z104" s="9"/>
    </row>
    <row r="105">
      <c r="A105" s="8"/>
      <c r="Z105" s="9"/>
    </row>
    <row r="106">
      <c r="A106" s="8"/>
      <c r="Z106" s="9"/>
    </row>
    <row r="107">
      <c r="A107" s="8"/>
      <c r="Z107" s="9"/>
    </row>
    <row r="108">
      <c r="A108" s="8"/>
      <c r="Z108" s="9"/>
    </row>
    <row r="109">
      <c r="A109" s="8"/>
      <c r="Z109" s="9"/>
    </row>
    <row r="110">
      <c r="A110" s="8"/>
      <c r="Z110" s="9"/>
    </row>
    <row r="111">
      <c r="A111" s="8"/>
      <c r="Z111" s="9"/>
    </row>
    <row r="112">
      <c r="A112" s="8"/>
      <c r="Z112" s="9"/>
    </row>
    <row r="113">
      <c r="A113" s="8"/>
      <c r="Z113" s="9"/>
    </row>
    <row r="114">
      <c r="A114" s="8"/>
      <c r="Z114" s="9"/>
    </row>
    <row r="115">
      <c r="A115" s="8"/>
      <c r="Z115" s="9"/>
    </row>
    <row r="116">
      <c r="A116" s="8"/>
      <c r="Z116" s="9"/>
    </row>
    <row r="117">
      <c r="A117" s="8"/>
      <c r="Z117" s="9"/>
    </row>
    <row r="118">
      <c r="A118" s="8"/>
      <c r="Z118" s="9"/>
    </row>
    <row r="119">
      <c r="A119" s="8"/>
      <c r="Z119" s="9"/>
    </row>
    <row r="120">
      <c r="A120" s="8"/>
      <c r="Z120" s="9"/>
    </row>
    <row r="121">
      <c r="A121" s="8"/>
      <c r="Z121" s="9"/>
    </row>
    <row r="122">
      <c r="A122" s="8"/>
      <c r="Z122" s="9"/>
    </row>
    <row r="123">
      <c r="A123" s="8"/>
      <c r="Z123" s="9"/>
    </row>
    <row r="124">
      <c r="A124" s="8"/>
      <c r="Z124" s="9"/>
    </row>
    <row r="125">
      <c r="A125" s="8"/>
      <c r="Z125" s="9"/>
    </row>
    <row r="126">
      <c r="A126" s="8"/>
      <c r="Z126" s="9"/>
    </row>
    <row r="127">
      <c r="A127" s="8"/>
      <c r="Z127" s="9"/>
    </row>
    <row r="128">
      <c r="A128" s="8"/>
      <c r="Z128" s="9"/>
    </row>
    <row r="129">
      <c r="A129" s="8"/>
      <c r="Z129" s="9"/>
    </row>
    <row r="130">
      <c r="A130" s="8"/>
      <c r="Z130" s="9"/>
    </row>
    <row r="131">
      <c r="A131" s="8"/>
      <c r="Z131" s="9"/>
    </row>
    <row r="132">
      <c r="A132" s="8"/>
      <c r="Z132" s="9"/>
    </row>
    <row r="133">
      <c r="A133" s="8"/>
      <c r="Z133" s="9"/>
    </row>
    <row r="134">
      <c r="A134" s="8"/>
      <c r="Z134" s="9"/>
    </row>
    <row r="135">
      <c r="A135" s="8"/>
      <c r="Z135" s="9"/>
    </row>
    <row r="136">
      <c r="A136" s="8"/>
      <c r="Z136" s="9"/>
    </row>
    <row r="137">
      <c r="A137" s="8"/>
      <c r="Z137" s="9"/>
    </row>
    <row r="138">
      <c r="A138" s="8"/>
      <c r="Z138" s="9"/>
    </row>
    <row r="139">
      <c r="A139" s="8"/>
      <c r="Z139" s="9"/>
    </row>
    <row r="140">
      <c r="A140" s="8"/>
      <c r="Z140" s="9"/>
    </row>
    <row r="141">
      <c r="A141" s="8"/>
      <c r="Z141" s="9"/>
    </row>
    <row r="142">
      <c r="A142" s="8"/>
      <c r="Z142" s="9"/>
    </row>
    <row r="143">
      <c r="A143" s="8"/>
      <c r="Z143" s="9"/>
    </row>
    <row r="144">
      <c r="A144" s="8"/>
      <c r="Z144" s="9"/>
    </row>
    <row r="145">
      <c r="A145" s="8"/>
      <c r="Z145" s="9"/>
    </row>
    <row r="146">
      <c r="A146" s="8"/>
      <c r="Z146" s="9"/>
    </row>
    <row r="147">
      <c r="A147" s="8"/>
      <c r="Z147" s="9"/>
    </row>
    <row r="148">
      <c r="A148" s="8"/>
      <c r="Z148" s="9"/>
    </row>
    <row r="149">
      <c r="A149" s="8"/>
      <c r="Z149" s="9"/>
    </row>
    <row r="150">
      <c r="A150" s="8"/>
      <c r="Z150" s="9"/>
    </row>
    <row r="151">
      <c r="A151" s="8"/>
      <c r="Z151" s="9"/>
    </row>
    <row r="152">
      <c r="A152" s="8"/>
      <c r="Z152" s="9"/>
    </row>
    <row r="153">
      <c r="A153" s="8"/>
      <c r="Z153" s="9"/>
    </row>
    <row r="154">
      <c r="A154" s="8"/>
      <c r="Z154" s="9"/>
    </row>
    <row r="155">
      <c r="A155" s="8"/>
      <c r="Z155" s="9"/>
    </row>
    <row r="156">
      <c r="A156" s="8"/>
      <c r="Z156" s="9"/>
    </row>
    <row r="157">
      <c r="A157" s="8"/>
      <c r="Z157" s="9"/>
    </row>
    <row r="158">
      <c r="A158" s="8"/>
      <c r="Z158" s="9"/>
    </row>
    <row r="159">
      <c r="A159" s="8"/>
      <c r="Z159" s="9"/>
    </row>
    <row r="160">
      <c r="A160" s="8"/>
      <c r="Z160" s="9"/>
    </row>
    <row r="161">
      <c r="A161" s="8"/>
      <c r="Z161" s="9"/>
    </row>
    <row r="162">
      <c r="A162" s="8"/>
      <c r="Z162" s="9"/>
    </row>
    <row r="163">
      <c r="A163" s="8"/>
      <c r="Z163" s="9"/>
    </row>
    <row r="164">
      <c r="A164" s="8"/>
      <c r="Z164" s="9"/>
    </row>
    <row r="165">
      <c r="A165" s="8"/>
      <c r="Z165" s="9"/>
    </row>
    <row r="166">
      <c r="A166" s="8"/>
      <c r="Z166" s="9"/>
    </row>
    <row r="167">
      <c r="A167" s="8"/>
      <c r="Z167" s="9"/>
    </row>
    <row r="168">
      <c r="A168" s="8"/>
      <c r="Z168" s="9"/>
    </row>
    <row r="169">
      <c r="A169" s="8"/>
      <c r="Z169" s="9"/>
    </row>
    <row r="170">
      <c r="A170" s="8"/>
      <c r="Z170" s="9"/>
    </row>
    <row r="171">
      <c r="A171" s="8"/>
      <c r="Z171" s="9"/>
    </row>
    <row r="172">
      <c r="A172" s="8"/>
      <c r="Z172" s="9"/>
    </row>
    <row r="173">
      <c r="A173" s="8"/>
      <c r="Z173" s="9"/>
    </row>
    <row r="174">
      <c r="A174" s="8"/>
      <c r="Z174" s="9"/>
    </row>
    <row r="175">
      <c r="A175" s="8"/>
      <c r="Z175" s="9"/>
    </row>
    <row r="176">
      <c r="A176" s="8"/>
      <c r="Z176" s="9"/>
    </row>
    <row r="177">
      <c r="A177" s="8"/>
      <c r="Z177" s="9"/>
    </row>
    <row r="178">
      <c r="A178" s="8"/>
      <c r="Z178" s="9"/>
    </row>
    <row r="179">
      <c r="A179" s="8"/>
      <c r="Z179" s="9"/>
    </row>
    <row r="180">
      <c r="A180" s="8"/>
      <c r="Z180" s="9"/>
    </row>
    <row r="181">
      <c r="A181" s="8"/>
      <c r="Z181" s="9"/>
    </row>
    <row r="182">
      <c r="A182" s="8"/>
      <c r="Z182" s="9"/>
    </row>
    <row r="183">
      <c r="A183" s="8"/>
      <c r="Z183" s="9"/>
    </row>
    <row r="184">
      <c r="A184" s="8"/>
      <c r="Z184" s="9"/>
    </row>
    <row r="185">
      <c r="A185" s="8"/>
      <c r="Z185" s="9"/>
    </row>
    <row r="186">
      <c r="A186" s="8"/>
      <c r="Z186" s="9"/>
    </row>
    <row r="187">
      <c r="A187" s="8"/>
      <c r="Z187" s="9"/>
    </row>
    <row r="188">
      <c r="A188" s="8"/>
      <c r="Z188" s="9"/>
    </row>
    <row r="189">
      <c r="A189" s="8"/>
      <c r="Z189" s="9"/>
    </row>
    <row r="190">
      <c r="A190" s="8"/>
      <c r="Z190" s="9"/>
    </row>
    <row r="191">
      <c r="A191" s="8"/>
      <c r="Z191" s="9"/>
    </row>
    <row r="192">
      <c r="A192" s="8"/>
      <c r="Z192" s="9"/>
    </row>
    <row r="193">
      <c r="A193" s="8"/>
      <c r="Z193" s="9"/>
    </row>
    <row r="194">
      <c r="A194" s="8"/>
      <c r="Z194" s="9"/>
    </row>
    <row r="195">
      <c r="A195" s="8"/>
      <c r="Z195" s="9"/>
    </row>
    <row r="196">
      <c r="A196" s="8"/>
      <c r="Z196" s="9"/>
    </row>
    <row r="197">
      <c r="A197" s="8"/>
      <c r="Z197" s="9"/>
    </row>
    <row r="198">
      <c r="A198" s="8"/>
      <c r="Z198" s="9"/>
    </row>
    <row r="199">
      <c r="A199" s="8"/>
      <c r="Z199" s="9"/>
    </row>
    <row r="200">
      <c r="A200" s="8"/>
      <c r="Z200" s="9"/>
    </row>
    <row r="201">
      <c r="A201" s="8"/>
      <c r="Z201" s="9"/>
    </row>
    <row r="202">
      <c r="A202" s="8"/>
      <c r="Z202" s="9"/>
    </row>
    <row r="203">
      <c r="A203" s="8"/>
      <c r="Z203" s="9"/>
    </row>
    <row r="204">
      <c r="A204" s="8"/>
      <c r="Z204" s="9"/>
    </row>
    <row r="205">
      <c r="A205" s="8"/>
      <c r="Z205" s="9"/>
    </row>
    <row r="206">
      <c r="A206" s="8"/>
      <c r="Z206" s="9"/>
    </row>
    <row r="207">
      <c r="A207" s="8"/>
      <c r="Z207" s="9"/>
    </row>
    <row r="208">
      <c r="A208" s="8"/>
      <c r="Z208" s="9"/>
    </row>
    <row r="209">
      <c r="A209" s="8"/>
      <c r="Z209" s="9"/>
    </row>
    <row r="210">
      <c r="A210" s="8"/>
      <c r="Z210" s="9"/>
    </row>
    <row r="211">
      <c r="A211" s="8"/>
      <c r="Z211" s="9"/>
    </row>
    <row r="212">
      <c r="A212" s="8"/>
      <c r="Z212" s="9"/>
    </row>
    <row r="213">
      <c r="A213" s="8"/>
      <c r="Z213" s="9"/>
    </row>
    <row r="214">
      <c r="A214" s="8"/>
      <c r="Z214" s="9"/>
    </row>
    <row r="215">
      <c r="A215" s="8"/>
      <c r="Z215" s="9"/>
    </row>
    <row r="216">
      <c r="A216" s="8"/>
      <c r="Z216" s="9"/>
    </row>
    <row r="217">
      <c r="A217" s="8"/>
      <c r="Z217" s="9"/>
    </row>
    <row r="218">
      <c r="A218" s="8"/>
      <c r="Z218" s="9"/>
    </row>
    <row r="219">
      <c r="A219" s="8"/>
      <c r="Z219" s="9"/>
    </row>
    <row r="220">
      <c r="A220" s="8"/>
      <c r="Z220" s="9"/>
    </row>
    <row r="221">
      <c r="A221" s="8"/>
      <c r="Z221" s="9"/>
    </row>
    <row r="222">
      <c r="A222" s="8"/>
      <c r="Z222" s="9"/>
    </row>
    <row r="223">
      <c r="A223" s="8"/>
      <c r="Z223" s="9"/>
    </row>
    <row r="224">
      <c r="A224" s="8"/>
      <c r="Z224" s="9"/>
    </row>
    <row r="225">
      <c r="A225" s="8"/>
      <c r="Z225" s="9"/>
    </row>
    <row r="226">
      <c r="A226" s="8"/>
      <c r="Z226" s="9"/>
    </row>
    <row r="227">
      <c r="A227" s="8"/>
      <c r="Z227" s="9"/>
    </row>
    <row r="228">
      <c r="A228" s="8"/>
      <c r="Z228" s="9"/>
    </row>
    <row r="229">
      <c r="A229" s="8"/>
      <c r="Z229" s="9"/>
    </row>
    <row r="230">
      <c r="A230" s="8"/>
      <c r="Z230" s="9"/>
    </row>
    <row r="231">
      <c r="A231" s="8"/>
      <c r="Z231" s="9"/>
    </row>
    <row r="232">
      <c r="A232" s="8"/>
      <c r="Z232" s="9"/>
    </row>
    <row r="233">
      <c r="A233" s="8"/>
      <c r="Z233" s="9"/>
    </row>
    <row r="234">
      <c r="A234" s="8"/>
      <c r="Z234" s="9"/>
    </row>
    <row r="235">
      <c r="A235" s="8"/>
      <c r="Z235" s="9"/>
    </row>
    <row r="236">
      <c r="A236" s="8"/>
      <c r="Z236" s="9"/>
    </row>
    <row r="237">
      <c r="A237" s="8"/>
      <c r="Z237" s="9"/>
    </row>
    <row r="238">
      <c r="A238" s="8"/>
      <c r="Z238" s="9"/>
    </row>
    <row r="239">
      <c r="A239" s="8"/>
      <c r="Z239" s="9"/>
    </row>
    <row r="240">
      <c r="A240" s="8"/>
      <c r="Z240" s="9"/>
    </row>
    <row r="241">
      <c r="A241" s="8"/>
      <c r="Z241" s="9"/>
    </row>
    <row r="242">
      <c r="A242" s="8"/>
      <c r="Z242" s="9"/>
    </row>
    <row r="243">
      <c r="A243" s="8"/>
      <c r="Z243" s="9"/>
    </row>
    <row r="244">
      <c r="A244" s="8"/>
      <c r="Z244" s="9"/>
    </row>
    <row r="245">
      <c r="A245" s="8"/>
      <c r="Z245" s="9"/>
    </row>
    <row r="246">
      <c r="A246" s="8"/>
      <c r="Z246" s="9"/>
    </row>
    <row r="247">
      <c r="A247" s="8"/>
      <c r="Z247" s="9"/>
    </row>
    <row r="248">
      <c r="A248" s="8"/>
      <c r="Z248" s="9"/>
    </row>
    <row r="249">
      <c r="A249" s="8"/>
      <c r="Z249" s="9"/>
    </row>
    <row r="250">
      <c r="A250" s="8"/>
      <c r="Z250" s="9"/>
    </row>
    <row r="251">
      <c r="A251" s="8"/>
      <c r="Z251" s="9"/>
    </row>
    <row r="252">
      <c r="A252" s="8"/>
      <c r="Z252" s="9"/>
    </row>
    <row r="253">
      <c r="A253" s="8"/>
      <c r="Z253" s="9"/>
    </row>
    <row r="254">
      <c r="A254" s="8"/>
      <c r="Z254" s="9"/>
    </row>
    <row r="255">
      <c r="A255" s="8"/>
      <c r="Z255" s="9"/>
    </row>
    <row r="256">
      <c r="A256" s="8"/>
      <c r="Z256" s="9"/>
    </row>
    <row r="257">
      <c r="A257" s="8"/>
      <c r="Z257" s="9"/>
    </row>
    <row r="258">
      <c r="A258" s="8"/>
      <c r="Z258" s="9"/>
    </row>
    <row r="259">
      <c r="A259" s="8"/>
      <c r="Z259" s="9"/>
    </row>
    <row r="260">
      <c r="A260" s="8"/>
      <c r="Z260" s="9"/>
    </row>
    <row r="261">
      <c r="A261" s="8"/>
      <c r="Z261" s="9"/>
    </row>
    <row r="262">
      <c r="A262" s="8"/>
      <c r="Z262" s="9"/>
    </row>
    <row r="263">
      <c r="A263" s="8"/>
      <c r="Z263" s="9"/>
    </row>
    <row r="264">
      <c r="A264" s="8"/>
      <c r="Z264" s="9"/>
    </row>
    <row r="265">
      <c r="A265" s="8"/>
      <c r="Z265" s="9"/>
    </row>
    <row r="266">
      <c r="A266" s="8"/>
      <c r="Z266" s="9"/>
    </row>
    <row r="267">
      <c r="A267" s="8"/>
      <c r="Z267" s="9"/>
    </row>
    <row r="268">
      <c r="A268" s="8"/>
      <c r="Z268" s="9"/>
    </row>
    <row r="269">
      <c r="A269" s="8"/>
      <c r="Z269" s="9"/>
    </row>
    <row r="270">
      <c r="A270" s="8"/>
      <c r="Z270" s="9"/>
    </row>
    <row r="271">
      <c r="A271" s="8"/>
      <c r="Z271" s="9"/>
    </row>
    <row r="272">
      <c r="A272" s="8"/>
      <c r="Z272" s="9"/>
    </row>
    <row r="273">
      <c r="A273" s="8"/>
      <c r="Z273" s="9"/>
    </row>
    <row r="274">
      <c r="A274" s="8"/>
      <c r="Z274" s="9"/>
    </row>
    <row r="275">
      <c r="A275" s="8"/>
      <c r="Z275" s="9"/>
    </row>
    <row r="276">
      <c r="A276" s="8"/>
      <c r="Z276" s="9"/>
    </row>
    <row r="277">
      <c r="A277" s="8"/>
      <c r="Z277" s="9"/>
    </row>
    <row r="278">
      <c r="A278" s="8"/>
      <c r="Z278" s="9"/>
    </row>
    <row r="279">
      <c r="A279" s="8"/>
      <c r="Z279" s="9"/>
    </row>
    <row r="280">
      <c r="A280" s="8"/>
      <c r="Z280" s="9"/>
    </row>
    <row r="281">
      <c r="A281" s="8"/>
      <c r="Z281" s="9"/>
    </row>
    <row r="282">
      <c r="A282" s="8"/>
      <c r="Z282" s="9"/>
    </row>
    <row r="283">
      <c r="A283" s="8"/>
      <c r="Z283" s="9"/>
    </row>
    <row r="284">
      <c r="A284" s="8"/>
      <c r="Z284" s="9"/>
    </row>
    <row r="285">
      <c r="A285" s="8"/>
      <c r="Z285" s="9"/>
    </row>
    <row r="286">
      <c r="A286" s="8"/>
      <c r="Z286" s="9"/>
    </row>
    <row r="287">
      <c r="A287" s="8"/>
      <c r="Z287" s="9"/>
    </row>
    <row r="288">
      <c r="A288" s="8"/>
      <c r="Z288" s="9"/>
    </row>
    <row r="289">
      <c r="A289" s="8"/>
      <c r="Z289" s="9"/>
    </row>
    <row r="290">
      <c r="A290" s="8"/>
      <c r="Z290" s="9"/>
    </row>
    <row r="291">
      <c r="A291" s="8"/>
      <c r="Z291" s="9"/>
    </row>
    <row r="292">
      <c r="A292" s="8"/>
      <c r="Z292" s="9"/>
    </row>
    <row r="293">
      <c r="A293" s="8"/>
      <c r="Z293" s="9"/>
    </row>
    <row r="294">
      <c r="A294" s="8"/>
      <c r="Z294" s="9"/>
    </row>
    <row r="295">
      <c r="A295" s="8"/>
      <c r="Z295" s="9"/>
    </row>
    <row r="296">
      <c r="A296" s="8"/>
      <c r="Z296" s="9"/>
    </row>
    <row r="297">
      <c r="A297" s="8"/>
      <c r="Z297" s="9"/>
    </row>
    <row r="298">
      <c r="A298" s="8"/>
      <c r="Z298" s="9"/>
    </row>
    <row r="299">
      <c r="A299" s="8"/>
      <c r="Z299" s="9"/>
    </row>
    <row r="300">
      <c r="A300" s="8"/>
      <c r="Z300" s="9"/>
    </row>
    <row r="301">
      <c r="A301" s="8"/>
      <c r="Z301" s="9"/>
    </row>
    <row r="302">
      <c r="A302" s="8"/>
      <c r="Z302" s="9"/>
    </row>
    <row r="303">
      <c r="A303" s="8"/>
      <c r="Z303" s="9"/>
    </row>
    <row r="304">
      <c r="A304" s="8"/>
      <c r="Z304" s="9"/>
    </row>
    <row r="305">
      <c r="A305" s="8"/>
      <c r="Z305" s="9"/>
    </row>
    <row r="306">
      <c r="A306" s="8"/>
      <c r="Z306" s="9"/>
    </row>
    <row r="307">
      <c r="A307" s="8"/>
      <c r="Z307" s="9"/>
    </row>
    <row r="308">
      <c r="A308" s="8"/>
      <c r="Z308" s="9"/>
    </row>
    <row r="309">
      <c r="A309" s="8"/>
      <c r="Z309" s="9"/>
    </row>
    <row r="310">
      <c r="A310" s="8"/>
      <c r="Z310" s="9"/>
    </row>
    <row r="311">
      <c r="A311" s="8"/>
      <c r="Z311" s="9"/>
    </row>
    <row r="312">
      <c r="A312" s="8"/>
      <c r="Z312" s="9"/>
    </row>
    <row r="313">
      <c r="A313" s="8"/>
      <c r="Z313" s="9"/>
    </row>
    <row r="314">
      <c r="A314" s="8"/>
      <c r="Z314" s="9"/>
    </row>
    <row r="315">
      <c r="A315" s="8"/>
      <c r="Z315" s="9"/>
    </row>
    <row r="316">
      <c r="A316" s="8"/>
      <c r="Z316" s="9"/>
    </row>
    <row r="317">
      <c r="A317" s="8"/>
      <c r="Z317" s="9"/>
    </row>
    <row r="318">
      <c r="A318" s="8"/>
      <c r="Z318" s="9"/>
    </row>
    <row r="319">
      <c r="A319" s="8"/>
      <c r="Z319" s="9"/>
    </row>
    <row r="320">
      <c r="A320" s="8"/>
      <c r="Z320" s="9"/>
    </row>
    <row r="321">
      <c r="A321" s="8"/>
      <c r="Z321" s="9"/>
    </row>
    <row r="322">
      <c r="A322" s="8"/>
      <c r="Z322" s="9"/>
    </row>
    <row r="323">
      <c r="A323" s="8"/>
      <c r="Z323" s="9"/>
    </row>
    <row r="324">
      <c r="A324" s="8"/>
      <c r="Z324" s="9"/>
    </row>
    <row r="325">
      <c r="A325" s="8"/>
      <c r="Z325" s="9"/>
    </row>
    <row r="326">
      <c r="A326" s="8"/>
      <c r="Z326" s="9"/>
    </row>
    <row r="327">
      <c r="A327" s="8"/>
      <c r="Z327" s="9"/>
    </row>
    <row r="328">
      <c r="A328" s="8"/>
      <c r="Z328" s="9"/>
    </row>
    <row r="329">
      <c r="A329" s="8"/>
      <c r="Z329" s="9"/>
    </row>
    <row r="330">
      <c r="A330" s="8"/>
      <c r="Z330" s="9"/>
    </row>
    <row r="331">
      <c r="A331" s="8"/>
      <c r="Z331" s="9"/>
    </row>
    <row r="332">
      <c r="A332" s="8"/>
      <c r="Z332" s="9"/>
    </row>
    <row r="333">
      <c r="A333" s="8"/>
      <c r="Z333" s="9"/>
    </row>
    <row r="334">
      <c r="A334" s="8"/>
      <c r="Z334" s="9"/>
    </row>
    <row r="335">
      <c r="A335" s="8"/>
      <c r="Z335" s="9"/>
    </row>
    <row r="336">
      <c r="A336" s="8"/>
      <c r="Z336" s="9"/>
    </row>
    <row r="337">
      <c r="A337" s="8"/>
      <c r="Z337" s="9"/>
    </row>
    <row r="338">
      <c r="A338" s="8"/>
      <c r="Z338" s="9"/>
    </row>
    <row r="339">
      <c r="A339" s="8"/>
      <c r="Z339" s="9"/>
    </row>
    <row r="340">
      <c r="A340" s="8"/>
      <c r="Z340" s="9"/>
    </row>
    <row r="341">
      <c r="A341" s="8"/>
      <c r="Z341" s="9"/>
    </row>
    <row r="342">
      <c r="A342" s="8"/>
      <c r="Z342" s="9"/>
    </row>
    <row r="343">
      <c r="A343" s="8"/>
      <c r="Z343" s="9"/>
    </row>
    <row r="344">
      <c r="A344" s="8"/>
      <c r="Z344" s="9"/>
    </row>
    <row r="345">
      <c r="A345" s="8"/>
      <c r="Z345" s="9"/>
    </row>
    <row r="346">
      <c r="A346" s="8"/>
      <c r="Z346" s="9"/>
    </row>
    <row r="347">
      <c r="A347" s="8"/>
      <c r="Z347" s="9"/>
    </row>
    <row r="348">
      <c r="A348" s="8"/>
      <c r="Z348" s="9"/>
    </row>
    <row r="349">
      <c r="A349" s="8"/>
      <c r="Z349" s="9"/>
    </row>
    <row r="350">
      <c r="A350" s="8"/>
      <c r="Z350" s="9"/>
    </row>
    <row r="351">
      <c r="A351" s="8"/>
      <c r="Z351" s="9"/>
    </row>
    <row r="352">
      <c r="A352" s="8"/>
      <c r="Z352" s="9"/>
    </row>
    <row r="353">
      <c r="A353" s="8"/>
      <c r="Z353" s="9"/>
    </row>
    <row r="354">
      <c r="A354" s="8"/>
      <c r="Z354" s="9"/>
    </row>
    <row r="355">
      <c r="A355" s="8"/>
      <c r="Z355" s="9"/>
    </row>
    <row r="356">
      <c r="A356" s="8"/>
      <c r="Z356" s="9"/>
    </row>
    <row r="357">
      <c r="A357" s="8"/>
      <c r="Z357" s="9"/>
    </row>
    <row r="358">
      <c r="A358" s="8"/>
      <c r="Z358" s="9"/>
    </row>
    <row r="359">
      <c r="A359" s="8"/>
      <c r="Z359" s="9"/>
    </row>
    <row r="360">
      <c r="A360" s="8"/>
      <c r="Z360" s="9"/>
    </row>
    <row r="361">
      <c r="A361" s="8"/>
      <c r="Z361" s="9"/>
    </row>
    <row r="362">
      <c r="A362" s="8"/>
      <c r="Z362" s="9"/>
    </row>
    <row r="363">
      <c r="A363" s="8"/>
      <c r="Z363" s="9"/>
    </row>
    <row r="364">
      <c r="A364" s="8"/>
      <c r="Z364" s="9"/>
    </row>
    <row r="365">
      <c r="A365" s="8"/>
      <c r="Z365" s="9"/>
    </row>
    <row r="366">
      <c r="A366" s="8"/>
      <c r="Z366" s="9"/>
    </row>
    <row r="367">
      <c r="A367" s="8"/>
      <c r="Z367" s="9"/>
    </row>
    <row r="368">
      <c r="A368" s="8"/>
      <c r="Z368" s="9"/>
    </row>
    <row r="369">
      <c r="A369" s="8"/>
      <c r="Z369" s="9"/>
    </row>
    <row r="370">
      <c r="A370" s="8"/>
      <c r="Z370" s="9"/>
    </row>
    <row r="371">
      <c r="A371" s="8"/>
      <c r="Z371" s="9"/>
    </row>
    <row r="372">
      <c r="A372" s="8"/>
      <c r="Z372" s="9"/>
    </row>
    <row r="373">
      <c r="A373" s="8"/>
      <c r="Z373" s="9"/>
    </row>
    <row r="374">
      <c r="A374" s="8"/>
      <c r="Z374" s="9"/>
    </row>
    <row r="375">
      <c r="A375" s="8"/>
      <c r="Z375" s="9"/>
    </row>
    <row r="376">
      <c r="A376" s="8"/>
      <c r="Z376" s="9"/>
    </row>
    <row r="377">
      <c r="A377" s="8"/>
      <c r="Z377" s="9"/>
    </row>
    <row r="378">
      <c r="A378" s="8"/>
      <c r="Z378" s="9"/>
    </row>
    <row r="379">
      <c r="A379" s="8"/>
      <c r="Z379" s="9"/>
    </row>
    <row r="380">
      <c r="A380" s="8"/>
      <c r="Z380" s="9"/>
    </row>
    <row r="381">
      <c r="A381" s="8"/>
      <c r="Z381" s="9"/>
    </row>
    <row r="382">
      <c r="A382" s="8"/>
      <c r="Z382" s="9"/>
    </row>
    <row r="383">
      <c r="A383" s="8"/>
      <c r="Z383" s="9"/>
    </row>
    <row r="384">
      <c r="A384" s="8"/>
      <c r="Z384" s="9"/>
    </row>
    <row r="385">
      <c r="A385" s="8"/>
      <c r="Z385" s="9"/>
    </row>
    <row r="386">
      <c r="A386" s="8"/>
      <c r="Z386" s="9"/>
    </row>
    <row r="387">
      <c r="A387" s="8"/>
      <c r="Z387" s="9"/>
    </row>
    <row r="388">
      <c r="A388" s="8"/>
      <c r="Z388" s="9"/>
    </row>
    <row r="389">
      <c r="A389" s="8"/>
      <c r="Z389" s="9"/>
    </row>
    <row r="390">
      <c r="A390" s="8"/>
      <c r="Z390" s="9"/>
    </row>
    <row r="391">
      <c r="A391" s="8"/>
      <c r="Z391" s="9"/>
    </row>
    <row r="392">
      <c r="A392" s="8"/>
      <c r="Z392" s="9"/>
    </row>
    <row r="393">
      <c r="A393" s="8"/>
      <c r="Z393" s="9"/>
    </row>
    <row r="394">
      <c r="A394" s="8"/>
      <c r="Z394" s="9"/>
    </row>
    <row r="395">
      <c r="A395" s="8"/>
      <c r="Z395" s="9"/>
    </row>
    <row r="396">
      <c r="A396" s="8"/>
      <c r="Z396" s="9"/>
    </row>
    <row r="397">
      <c r="A397" s="8"/>
      <c r="Z397" s="9"/>
    </row>
    <row r="398">
      <c r="A398" s="8"/>
      <c r="Z398" s="9"/>
    </row>
    <row r="399">
      <c r="A399" s="8"/>
      <c r="Z399" s="9"/>
    </row>
    <row r="400">
      <c r="A400" s="8"/>
      <c r="Z400" s="9"/>
    </row>
    <row r="401">
      <c r="A401" s="8"/>
      <c r="Z401" s="9"/>
    </row>
    <row r="402">
      <c r="A402" s="8"/>
      <c r="Z402" s="9"/>
    </row>
    <row r="403">
      <c r="A403" s="8"/>
      <c r="Z403" s="9"/>
    </row>
    <row r="404">
      <c r="A404" s="8"/>
      <c r="Z404" s="9"/>
    </row>
    <row r="405">
      <c r="A405" s="8"/>
      <c r="Z405" s="9"/>
    </row>
    <row r="406">
      <c r="A406" s="8"/>
      <c r="Z406" s="9"/>
    </row>
    <row r="407">
      <c r="A407" s="8"/>
      <c r="Z407" s="9"/>
    </row>
    <row r="408">
      <c r="A408" s="8"/>
      <c r="Z408" s="9"/>
    </row>
    <row r="409">
      <c r="A409" s="8"/>
      <c r="Z409" s="9"/>
    </row>
    <row r="410">
      <c r="A410" s="8"/>
      <c r="Z410" s="9"/>
    </row>
    <row r="411">
      <c r="A411" s="8"/>
      <c r="Z411" s="9"/>
    </row>
    <row r="412">
      <c r="A412" s="8"/>
      <c r="Z412" s="9"/>
    </row>
    <row r="413">
      <c r="A413" s="8"/>
      <c r="Z413" s="9"/>
    </row>
    <row r="414">
      <c r="A414" s="8"/>
      <c r="Z414" s="9"/>
    </row>
    <row r="415">
      <c r="A415" s="8"/>
      <c r="Z415" s="9"/>
    </row>
    <row r="416">
      <c r="A416" s="8"/>
      <c r="Z416" s="9"/>
    </row>
    <row r="417">
      <c r="A417" s="8"/>
      <c r="Z417" s="9"/>
    </row>
    <row r="418">
      <c r="A418" s="8"/>
      <c r="Z418" s="9"/>
    </row>
    <row r="419">
      <c r="A419" s="8"/>
      <c r="Z419" s="9"/>
    </row>
    <row r="420">
      <c r="A420" s="8"/>
      <c r="Z420" s="9"/>
    </row>
    <row r="421">
      <c r="A421" s="8"/>
      <c r="Z421" s="9"/>
    </row>
    <row r="422">
      <c r="A422" s="8"/>
      <c r="Z422" s="9"/>
    </row>
    <row r="423">
      <c r="A423" s="8"/>
      <c r="Z423" s="9"/>
    </row>
    <row r="424">
      <c r="A424" s="8"/>
      <c r="Z424" s="9"/>
    </row>
    <row r="425">
      <c r="A425" s="8"/>
      <c r="Z425" s="9"/>
    </row>
    <row r="426">
      <c r="A426" s="8"/>
      <c r="Z426" s="9"/>
    </row>
    <row r="427">
      <c r="A427" s="8"/>
      <c r="Z427" s="9"/>
    </row>
    <row r="428">
      <c r="A428" s="8"/>
      <c r="Z428" s="9"/>
    </row>
    <row r="429">
      <c r="A429" s="8"/>
      <c r="Z429" s="9"/>
    </row>
    <row r="430">
      <c r="A430" s="8"/>
      <c r="Z430" s="9"/>
    </row>
    <row r="431">
      <c r="A431" s="8"/>
      <c r="Z431" s="9"/>
    </row>
    <row r="432">
      <c r="A432" s="8"/>
      <c r="Z432" s="9"/>
    </row>
    <row r="433">
      <c r="A433" s="8"/>
      <c r="Z433" s="9"/>
    </row>
    <row r="434">
      <c r="A434" s="8"/>
      <c r="Z434" s="9"/>
    </row>
    <row r="435">
      <c r="A435" s="8"/>
      <c r="Z435" s="9"/>
    </row>
    <row r="436">
      <c r="A436" s="8"/>
      <c r="Z436" s="9"/>
    </row>
    <row r="437">
      <c r="A437" s="8"/>
      <c r="Z437" s="9"/>
    </row>
    <row r="438">
      <c r="A438" s="8"/>
      <c r="Z438" s="9"/>
    </row>
    <row r="439">
      <c r="A439" s="8"/>
      <c r="Z439" s="9"/>
    </row>
    <row r="440">
      <c r="A440" s="8"/>
      <c r="Z440" s="9"/>
    </row>
    <row r="441">
      <c r="A441" s="8"/>
      <c r="Z441" s="9"/>
    </row>
    <row r="442">
      <c r="A442" s="8"/>
      <c r="Z442" s="9"/>
    </row>
    <row r="443">
      <c r="A443" s="8"/>
      <c r="Z443" s="9"/>
    </row>
    <row r="444">
      <c r="A444" s="8"/>
      <c r="Z444" s="9"/>
    </row>
    <row r="445">
      <c r="A445" s="8"/>
      <c r="Z445" s="9"/>
    </row>
    <row r="446">
      <c r="A446" s="8"/>
      <c r="Z446" s="9"/>
    </row>
    <row r="447">
      <c r="A447" s="8"/>
      <c r="Z447" s="9"/>
    </row>
    <row r="448">
      <c r="A448" s="8"/>
      <c r="Z448" s="9"/>
    </row>
    <row r="449">
      <c r="A449" s="8"/>
      <c r="Z449" s="9"/>
    </row>
    <row r="450">
      <c r="A450" s="8"/>
      <c r="Z450" s="9"/>
    </row>
    <row r="451">
      <c r="A451" s="8"/>
      <c r="Z451" s="9"/>
    </row>
    <row r="452">
      <c r="A452" s="8"/>
      <c r="Z452" s="9"/>
    </row>
    <row r="453">
      <c r="A453" s="8"/>
      <c r="Z453" s="9"/>
    </row>
    <row r="454">
      <c r="A454" s="8"/>
      <c r="Z454" s="9"/>
    </row>
    <row r="455">
      <c r="A455" s="8"/>
      <c r="Z455" s="9"/>
    </row>
    <row r="456">
      <c r="A456" s="8"/>
      <c r="Z456" s="9"/>
    </row>
    <row r="457">
      <c r="A457" s="8"/>
      <c r="Z457" s="9"/>
    </row>
    <row r="458">
      <c r="A458" s="8"/>
      <c r="Z458" s="9"/>
    </row>
    <row r="459">
      <c r="A459" s="8"/>
      <c r="Z459" s="9"/>
    </row>
    <row r="460">
      <c r="A460" s="8"/>
      <c r="Z460" s="9"/>
    </row>
    <row r="461">
      <c r="A461" s="8"/>
      <c r="Z461" s="9"/>
    </row>
    <row r="462">
      <c r="A462" s="8"/>
      <c r="Z462" s="9"/>
    </row>
    <row r="463">
      <c r="A463" s="8"/>
      <c r="Z463" s="9"/>
    </row>
    <row r="464">
      <c r="A464" s="8"/>
      <c r="Z464" s="9"/>
    </row>
    <row r="465">
      <c r="A465" s="8"/>
      <c r="Z465" s="9"/>
    </row>
    <row r="466">
      <c r="A466" s="8"/>
      <c r="Z466" s="9"/>
    </row>
    <row r="467">
      <c r="A467" s="8"/>
      <c r="Z467" s="9"/>
    </row>
    <row r="468">
      <c r="A468" s="8"/>
      <c r="Z468" s="9"/>
    </row>
    <row r="469">
      <c r="A469" s="8"/>
      <c r="Z469" s="9"/>
    </row>
    <row r="470">
      <c r="A470" s="8"/>
      <c r="Z470" s="9"/>
    </row>
    <row r="471">
      <c r="A471" s="8"/>
      <c r="Z471" s="9"/>
    </row>
    <row r="472">
      <c r="A472" s="8"/>
      <c r="Z472" s="9"/>
    </row>
    <row r="473">
      <c r="A473" s="8"/>
      <c r="Z473" s="9"/>
    </row>
    <row r="474">
      <c r="A474" s="8"/>
      <c r="Z474" s="9"/>
    </row>
    <row r="475">
      <c r="A475" s="8"/>
      <c r="Z475" s="9"/>
    </row>
    <row r="476">
      <c r="A476" s="8"/>
      <c r="Z476" s="9"/>
    </row>
    <row r="477">
      <c r="A477" s="8"/>
      <c r="Z477" s="9"/>
    </row>
    <row r="478">
      <c r="A478" s="8"/>
      <c r="Z478" s="9"/>
    </row>
    <row r="479">
      <c r="A479" s="8"/>
      <c r="Z479" s="9"/>
    </row>
    <row r="480">
      <c r="A480" s="8"/>
      <c r="Z480" s="9"/>
    </row>
    <row r="481">
      <c r="A481" s="8"/>
      <c r="Z481" s="9"/>
    </row>
    <row r="482">
      <c r="A482" s="8"/>
      <c r="Z482" s="9"/>
    </row>
    <row r="483">
      <c r="A483" s="8"/>
      <c r="Z483" s="9"/>
    </row>
    <row r="484">
      <c r="A484" s="8"/>
      <c r="Z484" s="9"/>
    </row>
    <row r="485">
      <c r="A485" s="8"/>
      <c r="Z485" s="9"/>
    </row>
    <row r="486">
      <c r="A486" s="8"/>
      <c r="Z486" s="9"/>
    </row>
    <row r="487">
      <c r="A487" s="8"/>
      <c r="Z487" s="9"/>
    </row>
    <row r="488">
      <c r="A488" s="8"/>
      <c r="Z488" s="9"/>
    </row>
    <row r="489">
      <c r="A489" s="8"/>
      <c r="Z489" s="9"/>
    </row>
    <row r="490">
      <c r="A490" s="8"/>
      <c r="Z490" s="9"/>
    </row>
    <row r="491">
      <c r="A491" s="8"/>
      <c r="Z491" s="9"/>
    </row>
    <row r="492">
      <c r="A492" s="8"/>
      <c r="Z492" s="9"/>
    </row>
    <row r="493">
      <c r="A493" s="8"/>
      <c r="Z493" s="9"/>
    </row>
    <row r="494">
      <c r="A494" s="8"/>
      <c r="Z494" s="9"/>
    </row>
    <row r="495">
      <c r="A495" s="8"/>
      <c r="Z495" s="9"/>
    </row>
    <row r="496">
      <c r="A496" s="8"/>
      <c r="Z496" s="9"/>
    </row>
    <row r="497">
      <c r="A497" s="8"/>
      <c r="Z497" s="9"/>
    </row>
    <row r="498">
      <c r="A498" s="8"/>
      <c r="Z498" s="9"/>
    </row>
    <row r="499">
      <c r="A499" s="8"/>
      <c r="Z499" s="9"/>
    </row>
    <row r="500">
      <c r="A500" s="8"/>
      <c r="Z500" s="9"/>
    </row>
    <row r="501">
      <c r="A501" s="8"/>
      <c r="Z501" s="9"/>
    </row>
    <row r="502">
      <c r="A502" s="8"/>
      <c r="Z502" s="9"/>
    </row>
    <row r="503">
      <c r="A503" s="8"/>
      <c r="Z503" s="9"/>
    </row>
    <row r="504">
      <c r="A504" s="8"/>
      <c r="Z504" s="9"/>
    </row>
    <row r="505">
      <c r="A505" s="8"/>
      <c r="Z505" s="9"/>
    </row>
    <row r="506">
      <c r="A506" s="8"/>
      <c r="Z506" s="9"/>
    </row>
    <row r="507">
      <c r="A507" s="8"/>
      <c r="Z507" s="9"/>
    </row>
    <row r="508">
      <c r="A508" s="8"/>
      <c r="Z508" s="9"/>
    </row>
    <row r="509">
      <c r="A509" s="8"/>
      <c r="Z509" s="9"/>
    </row>
    <row r="510">
      <c r="A510" s="8"/>
      <c r="Z510" s="9"/>
    </row>
    <row r="511">
      <c r="A511" s="8"/>
      <c r="Z511" s="9"/>
    </row>
    <row r="512">
      <c r="A512" s="8"/>
      <c r="Z512" s="9"/>
    </row>
    <row r="513">
      <c r="A513" s="8"/>
      <c r="Z513" s="9"/>
    </row>
    <row r="514">
      <c r="A514" s="8"/>
      <c r="Z514" s="9"/>
    </row>
    <row r="515">
      <c r="A515" s="8"/>
      <c r="Z515" s="9"/>
    </row>
    <row r="516">
      <c r="A516" s="8"/>
      <c r="Z516" s="9"/>
    </row>
    <row r="517">
      <c r="A517" s="8"/>
      <c r="Z517" s="9"/>
    </row>
    <row r="518">
      <c r="A518" s="8"/>
      <c r="Z518" s="9"/>
    </row>
    <row r="519">
      <c r="A519" s="8"/>
      <c r="Z519" s="9"/>
    </row>
    <row r="520">
      <c r="A520" s="8"/>
      <c r="Z520" s="9"/>
    </row>
    <row r="521">
      <c r="A521" s="8"/>
      <c r="Z521" s="9"/>
    </row>
    <row r="522">
      <c r="A522" s="8"/>
      <c r="Z522" s="9"/>
    </row>
    <row r="523">
      <c r="A523" s="8"/>
      <c r="Z523" s="9"/>
    </row>
    <row r="524">
      <c r="A524" s="8"/>
      <c r="Z524" s="9"/>
    </row>
    <row r="525">
      <c r="A525" s="8"/>
      <c r="Z525" s="9"/>
    </row>
    <row r="526">
      <c r="A526" s="8"/>
      <c r="Z526" s="9"/>
    </row>
    <row r="527">
      <c r="A527" s="8"/>
      <c r="Z527" s="9"/>
    </row>
    <row r="528">
      <c r="A528" s="8"/>
      <c r="Z528" s="9"/>
    </row>
    <row r="529">
      <c r="A529" s="8"/>
      <c r="Z529" s="9"/>
    </row>
    <row r="530">
      <c r="A530" s="8"/>
      <c r="Z530" s="9"/>
    </row>
    <row r="531">
      <c r="A531" s="8"/>
      <c r="Z531" s="9"/>
    </row>
    <row r="532">
      <c r="A532" s="8"/>
      <c r="Z532" s="9"/>
    </row>
    <row r="533">
      <c r="A533" s="8"/>
      <c r="Z533" s="9"/>
    </row>
    <row r="534">
      <c r="A534" s="8"/>
      <c r="Z534" s="9"/>
    </row>
    <row r="535">
      <c r="A535" s="8"/>
      <c r="Z535" s="9"/>
    </row>
    <row r="536">
      <c r="A536" s="8"/>
      <c r="Z536" s="9"/>
    </row>
    <row r="537">
      <c r="A537" s="8"/>
      <c r="Z537" s="9"/>
    </row>
    <row r="538">
      <c r="A538" s="8"/>
      <c r="Z538" s="9"/>
    </row>
    <row r="539">
      <c r="A539" s="8"/>
      <c r="Z539" s="9"/>
    </row>
    <row r="540">
      <c r="A540" s="8"/>
      <c r="Z540" s="9"/>
    </row>
    <row r="541">
      <c r="A541" s="8"/>
      <c r="Z541" s="9"/>
    </row>
    <row r="542">
      <c r="A542" s="8"/>
      <c r="Z542" s="9"/>
    </row>
    <row r="543">
      <c r="A543" s="8"/>
      <c r="Z543" s="9"/>
    </row>
    <row r="544">
      <c r="A544" s="8"/>
      <c r="Z544" s="9"/>
    </row>
    <row r="545">
      <c r="A545" s="8"/>
      <c r="Z545" s="9"/>
    </row>
    <row r="546">
      <c r="A546" s="8"/>
      <c r="Z546" s="9"/>
    </row>
    <row r="547">
      <c r="A547" s="8"/>
      <c r="Z547" s="9"/>
    </row>
    <row r="548">
      <c r="A548" s="8"/>
      <c r="Z548" s="9"/>
    </row>
    <row r="549">
      <c r="A549" s="8"/>
      <c r="Z549" s="9"/>
    </row>
    <row r="550">
      <c r="A550" s="8"/>
      <c r="Z550" s="9"/>
    </row>
    <row r="551">
      <c r="A551" s="8"/>
      <c r="Z551" s="9"/>
    </row>
    <row r="552">
      <c r="A552" s="8"/>
      <c r="Z552" s="9"/>
    </row>
    <row r="553">
      <c r="A553" s="8"/>
      <c r="Z553" s="9"/>
    </row>
    <row r="554">
      <c r="A554" s="8"/>
      <c r="Z554" s="9"/>
    </row>
    <row r="555">
      <c r="A555" s="8"/>
      <c r="Z555" s="9"/>
    </row>
    <row r="556">
      <c r="A556" s="8"/>
      <c r="Z556" s="9"/>
    </row>
    <row r="557">
      <c r="A557" s="8"/>
      <c r="Z557" s="9"/>
    </row>
    <row r="558">
      <c r="A558" s="8"/>
      <c r="Z558" s="9"/>
    </row>
    <row r="559">
      <c r="A559" s="8"/>
      <c r="Z559" s="9"/>
    </row>
    <row r="560">
      <c r="A560" s="8"/>
      <c r="Z560" s="9"/>
    </row>
    <row r="561">
      <c r="A561" s="8"/>
      <c r="Z561" s="9"/>
    </row>
    <row r="562">
      <c r="A562" s="8"/>
      <c r="Z562" s="9"/>
    </row>
    <row r="563">
      <c r="A563" s="8"/>
      <c r="Z563" s="9"/>
    </row>
    <row r="564">
      <c r="A564" s="8"/>
      <c r="Z564" s="9"/>
    </row>
    <row r="565">
      <c r="A565" s="8"/>
      <c r="Z565" s="9"/>
    </row>
    <row r="566">
      <c r="A566" s="8"/>
      <c r="Z566" s="9"/>
    </row>
    <row r="567">
      <c r="A567" s="8"/>
      <c r="Z567" s="9"/>
    </row>
    <row r="568">
      <c r="A568" s="8"/>
      <c r="Z568" s="9"/>
    </row>
    <row r="569">
      <c r="A569" s="8"/>
      <c r="Z569" s="9"/>
    </row>
    <row r="570">
      <c r="A570" s="8"/>
      <c r="Z570" s="9"/>
    </row>
    <row r="571">
      <c r="A571" s="8"/>
      <c r="Z571" s="9"/>
    </row>
    <row r="572">
      <c r="A572" s="8"/>
      <c r="Z572" s="9"/>
    </row>
    <row r="573">
      <c r="A573" s="8"/>
      <c r="Z573" s="9"/>
    </row>
    <row r="574">
      <c r="A574" s="8"/>
      <c r="Z574" s="9"/>
    </row>
    <row r="575">
      <c r="A575" s="8"/>
      <c r="Z575" s="9"/>
    </row>
    <row r="576">
      <c r="A576" s="8"/>
      <c r="Z576" s="9"/>
    </row>
    <row r="577">
      <c r="A577" s="8"/>
      <c r="Z577" s="9"/>
    </row>
    <row r="578">
      <c r="A578" s="8"/>
      <c r="Z578" s="9"/>
    </row>
    <row r="579">
      <c r="A579" s="8"/>
      <c r="Z579" s="9"/>
    </row>
    <row r="580">
      <c r="A580" s="8"/>
      <c r="Z580" s="9"/>
    </row>
    <row r="581">
      <c r="A581" s="8"/>
      <c r="Z581" s="9"/>
    </row>
    <row r="582">
      <c r="A582" s="8"/>
      <c r="Z582" s="9"/>
    </row>
    <row r="583">
      <c r="A583" s="8"/>
      <c r="Z583" s="9"/>
    </row>
    <row r="584">
      <c r="A584" s="8"/>
      <c r="Z584" s="9"/>
    </row>
    <row r="585">
      <c r="A585" s="8"/>
      <c r="Z585" s="9"/>
    </row>
    <row r="586">
      <c r="A586" s="8"/>
      <c r="Z586" s="9"/>
    </row>
    <row r="587">
      <c r="A587" s="8"/>
      <c r="Z587" s="9"/>
    </row>
    <row r="588">
      <c r="A588" s="8"/>
      <c r="Z588" s="9"/>
    </row>
    <row r="589">
      <c r="A589" s="8"/>
      <c r="Z589" s="9"/>
    </row>
    <row r="590">
      <c r="A590" s="8"/>
      <c r="Z590" s="9"/>
    </row>
    <row r="591">
      <c r="A591" s="8"/>
      <c r="Z591" s="9"/>
    </row>
    <row r="592">
      <c r="A592" s="8"/>
      <c r="Z592" s="9"/>
    </row>
    <row r="593">
      <c r="A593" s="8"/>
      <c r="Z593" s="9"/>
    </row>
    <row r="594">
      <c r="A594" s="8"/>
      <c r="Z594" s="9"/>
    </row>
    <row r="595">
      <c r="A595" s="8"/>
      <c r="Z595" s="9"/>
    </row>
    <row r="596">
      <c r="A596" s="8"/>
      <c r="Z596" s="9"/>
    </row>
    <row r="597">
      <c r="A597" s="8"/>
      <c r="Z597" s="9"/>
    </row>
    <row r="598">
      <c r="A598" s="8"/>
      <c r="Z598" s="9"/>
    </row>
    <row r="599">
      <c r="A599" s="8"/>
      <c r="Z599" s="9"/>
    </row>
    <row r="600">
      <c r="A600" s="8"/>
      <c r="Z600" s="9"/>
    </row>
    <row r="601">
      <c r="A601" s="8"/>
      <c r="Z601" s="9"/>
    </row>
    <row r="602">
      <c r="A602" s="8"/>
      <c r="Z602" s="9"/>
    </row>
    <row r="603">
      <c r="A603" s="8"/>
      <c r="Z603" s="9"/>
    </row>
    <row r="604">
      <c r="A604" s="8"/>
      <c r="Z604" s="9"/>
    </row>
    <row r="605">
      <c r="A605" s="8"/>
      <c r="Z605" s="9"/>
    </row>
    <row r="606">
      <c r="A606" s="8"/>
      <c r="Z606" s="9"/>
    </row>
    <row r="607">
      <c r="A607" s="8"/>
      <c r="Z607" s="9"/>
    </row>
    <row r="608">
      <c r="A608" s="8"/>
      <c r="Z608" s="9"/>
    </row>
    <row r="609">
      <c r="A609" s="8"/>
      <c r="Z609" s="9"/>
    </row>
    <row r="610">
      <c r="A610" s="8"/>
      <c r="Z610" s="9"/>
    </row>
    <row r="611">
      <c r="A611" s="8"/>
      <c r="Z611" s="9"/>
    </row>
    <row r="612">
      <c r="A612" s="8"/>
      <c r="Z612" s="9"/>
    </row>
    <row r="613">
      <c r="A613" s="8"/>
      <c r="Z613" s="9"/>
    </row>
    <row r="614">
      <c r="A614" s="8"/>
      <c r="Z614" s="9"/>
    </row>
    <row r="615">
      <c r="A615" s="8"/>
      <c r="Z615" s="9"/>
    </row>
    <row r="616">
      <c r="A616" s="8"/>
      <c r="Z616" s="9"/>
    </row>
    <row r="617">
      <c r="A617" s="8"/>
      <c r="Z617" s="9"/>
    </row>
    <row r="618">
      <c r="A618" s="8"/>
      <c r="Z618" s="9"/>
    </row>
    <row r="619">
      <c r="A619" s="8"/>
      <c r="Z619" s="9"/>
    </row>
    <row r="620">
      <c r="A620" s="8"/>
      <c r="Z620" s="9"/>
    </row>
    <row r="621">
      <c r="A621" s="8"/>
      <c r="Z621" s="9"/>
    </row>
    <row r="622">
      <c r="A622" s="8"/>
      <c r="Z622" s="9"/>
    </row>
    <row r="623">
      <c r="A623" s="8"/>
      <c r="Z623" s="9"/>
    </row>
    <row r="624">
      <c r="A624" s="8"/>
      <c r="Z624" s="9"/>
    </row>
    <row r="625">
      <c r="A625" s="8"/>
      <c r="Z625" s="9"/>
    </row>
    <row r="626">
      <c r="A626" s="8"/>
      <c r="Z626" s="9"/>
    </row>
    <row r="627">
      <c r="A627" s="8"/>
      <c r="Z627" s="9"/>
    </row>
    <row r="628">
      <c r="A628" s="8"/>
      <c r="Z628" s="9"/>
    </row>
    <row r="629">
      <c r="A629" s="8"/>
      <c r="Z629" s="9"/>
    </row>
    <row r="630">
      <c r="A630" s="8"/>
      <c r="Z630" s="9"/>
    </row>
    <row r="631">
      <c r="A631" s="8"/>
      <c r="Z631" s="9"/>
    </row>
    <row r="632">
      <c r="A632" s="8"/>
      <c r="Z632" s="9"/>
    </row>
    <row r="633">
      <c r="A633" s="8"/>
      <c r="Z633" s="9"/>
    </row>
    <row r="634">
      <c r="A634" s="8"/>
      <c r="Z634" s="9"/>
    </row>
    <row r="635">
      <c r="A635" s="8"/>
      <c r="Z635" s="9"/>
    </row>
    <row r="636">
      <c r="A636" s="8"/>
      <c r="Z636" s="9"/>
    </row>
    <row r="637">
      <c r="A637" s="8"/>
      <c r="Z637" s="9"/>
    </row>
    <row r="638">
      <c r="A638" s="8"/>
      <c r="Z638" s="9"/>
    </row>
    <row r="639">
      <c r="A639" s="8"/>
      <c r="Z639" s="9"/>
    </row>
    <row r="640">
      <c r="A640" s="8"/>
      <c r="Z640" s="9"/>
    </row>
    <row r="641">
      <c r="A641" s="8"/>
      <c r="Z641" s="9"/>
    </row>
    <row r="642">
      <c r="A642" s="8"/>
      <c r="Z642" s="9"/>
    </row>
    <row r="643">
      <c r="A643" s="8"/>
      <c r="Z643" s="9"/>
    </row>
    <row r="644">
      <c r="A644" s="8"/>
      <c r="Z644" s="9"/>
    </row>
    <row r="645">
      <c r="A645" s="8"/>
      <c r="Z645" s="9"/>
    </row>
    <row r="646">
      <c r="A646" s="8"/>
      <c r="Z646" s="9"/>
    </row>
    <row r="647">
      <c r="A647" s="8"/>
      <c r="Z647" s="9"/>
    </row>
    <row r="648">
      <c r="A648" s="8"/>
      <c r="Z648" s="9"/>
    </row>
    <row r="649">
      <c r="A649" s="8"/>
      <c r="Z649" s="9"/>
    </row>
    <row r="650">
      <c r="A650" s="8"/>
      <c r="Z650" s="9"/>
    </row>
    <row r="651">
      <c r="A651" s="8"/>
      <c r="Z651" s="9"/>
    </row>
    <row r="652">
      <c r="A652" s="8"/>
      <c r="Z652" s="9"/>
    </row>
    <row r="653">
      <c r="A653" s="8"/>
      <c r="Z653" s="9"/>
    </row>
    <row r="654">
      <c r="A654" s="8"/>
      <c r="Z654" s="9"/>
    </row>
    <row r="655">
      <c r="A655" s="8"/>
      <c r="Z655" s="9"/>
    </row>
    <row r="656">
      <c r="A656" s="8"/>
      <c r="Z656" s="9"/>
    </row>
    <row r="657">
      <c r="A657" s="8"/>
      <c r="Z657" s="9"/>
    </row>
    <row r="658">
      <c r="A658" s="8"/>
      <c r="Z658" s="9"/>
    </row>
    <row r="659">
      <c r="A659" s="8"/>
      <c r="Z659" s="9"/>
    </row>
    <row r="660">
      <c r="A660" s="8"/>
      <c r="Z660" s="9"/>
    </row>
    <row r="661">
      <c r="A661" s="8"/>
      <c r="Z661" s="9"/>
    </row>
    <row r="662">
      <c r="A662" s="8"/>
      <c r="Z662" s="9"/>
    </row>
    <row r="663">
      <c r="A663" s="8"/>
      <c r="Z663" s="9"/>
    </row>
    <row r="664">
      <c r="A664" s="8"/>
      <c r="Z664" s="9"/>
    </row>
    <row r="665">
      <c r="A665" s="8"/>
      <c r="Z665" s="9"/>
    </row>
    <row r="666">
      <c r="A666" s="8"/>
      <c r="Z666" s="9"/>
    </row>
    <row r="667">
      <c r="A667" s="8"/>
      <c r="Z667" s="9"/>
    </row>
    <row r="668">
      <c r="A668" s="8"/>
      <c r="Z668" s="9"/>
    </row>
    <row r="669">
      <c r="A669" s="8"/>
      <c r="Z669" s="9"/>
    </row>
    <row r="670">
      <c r="A670" s="8"/>
      <c r="Z670" s="9"/>
    </row>
    <row r="671">
      <c r="A671" s="8"/>
      <c r="Z671" s="9"/>
    </row>
    <row r="672">
      <c r="A672" s="8"/>
      <c r="Z672" s="9"/>
    </row>
    <row r="673">
      <c r="A673" s="8"/>
      <c r="Z673" s="9"/>
    </row>
    <row r="674">
      <c r="A674" s="8"/>
      <c r="Z674" s="9"/>
    </row>
    <row r="675">
      <c r="A675" s="8"/>
      <c r="Z675" s="9"/>
    </row>
    <row r="676">
      <c r="A676" s="8"/>
      <c r="Z676" s="9"/>
    </row>
    <row r="677">
      <c r="A677" s="8"/>
      <c r="Z677" s="9"/>
    </row>
    <row r="678">
      <c r="A678" s="8"/>
      <c r="Z678" s="9"/>
    </row>
    <row r="679">
      <c r="A679" s="8"/>
      <c r="Z679" s="9"/>
    </row>
    <row r="680">
      <c r="A680" s="8"/>
      <c r="Z680" s="9"/>
    </row>
    <row r="681">
      <c r="A681" s="8"/>
      <c r="Z681" s="9"/>
    </row>
    <row r="682">
      <c r="A682" s="8"/>
      <c r="Z682" s="9"/>
    </row>
    <row r="683">
      <c r="A683" s="8"/>
      <c r="Z683" s="9"/>
    </row>
    <row r="684">
      <c r="A684" s="8"/>
      <c r="Z684" s="9"/>
    </row>
    <row r="685">
      <c r="A685" s="8"/>
      <c r="Z685" s="9"/>
    </row>
    <row r="686">
      <c r="A686" s="8"/>
      <c r="Z686" s="9"/>
    </row>
    <row r="687">
      <c r="A687" s="8"/>
      <c r="Z687" s="9"/>
    </row>
    <row r="688">
      <c r="A688" s="8"/>
      <c r="Z688" s="9"/>
    </row>
    <row r="689">
      <c r="A689" s="8"/>
      <c r="Z689" s="9"/>
    </row>
    <row r="690">
      <c r="A690" s="8"/>
      <c r="Z690" s="9"/>
    </row>
    <row r="691">
      <c r="A691" s="8"/>
      <c r="Z691" s="9"/>
    </row>
    <row r="692">
      <c r="A692" s="8"/>
      <c r="Z692" s="9"/>
    </row>
    <row r="693">
      <c r="A693" s="8"/>
      <c r="Z693" s="9"/>
    </row>
    <row r="694">
      <c r="A694" s="8"/>
      <c r="Z694" s="9"/>
    </row>
    <row r="695">
      <c r="A695" s="8"/>
      <c r="Z695" s="9"/>
    </row>
    <row r="696">
      <c r="A696" s="8"/>
      <c r="Z696" s="9"/>
    </row>
    <row r="697">
      <c r="A697" s="8"/>
      <c r="Z697" s="9"/>
    </row>
    <row r="698">
      <c r="A698" s="8"/>
      <c r="Z698" s="9"/>
    </row>
    <row r="699">
      <c r="A699" s="8"/>
      <c r="Z699" s="9"/>
    </row>
    <row r="700">
      <c r="A700" s="8"/>
      <c r="Z700" s="9"/>
    </row>
    <row r="701">
      <c r="A701" s="8"/>
      <c r="Z701" s="9"/>
    </row>
    <row r="702">
      <c r="A702" s="8"/>
      <c r="Z702" s="9"/>
    </row>
    <row r="703">
      <c r="A703" s="8"/>
      <c r="Z703" s="9"/>
    </row>
    <row r="704">
      <c r="A704" s="8"/>
      <c r="Z704" s="9"/>
    </row>
    <row r="705">
      <c r="A705" s="8"/>
      <c r="Z705" s="9"/>
    </row>
    <row r="706">
      <c r="A706" s="8"/>
      <c r="Z706" s="9"/>
    </row>
    <row r="707">
      <c r="A707" s="8"/>
      <c r="Z707" s="9"/>
    </row>
    <row r="708">
      <c r="A708" s="8"/>
      <c r="Z708" s="9"/>
    </row>
    <row r="709">
      <c r="A709" s="8"/>
      <c r="Z709" s="9"/>
    </row>
    <row r="710">
      <c r="A710" s="8"/>
      <c r="Z710" s="9"/>
    </row>
    <row r="711">
      <c r="A711" s="8"/>
      <c r="Z711" s="9"/>
    </row>
    <row r="712">
      <c r="A712" s="8"/>
      <c r="Z712" s="9"/>
    </row>
    <row r="713">
      <c r="A713" s="8"/>
      <c r="Z713" s="9"/>
    </row>
    <row r="714">
      <c r="A714" s="8"/>
      <c r="Z714" s="9"/>
    </row>
    <row r="715">
      <c r="A715" s="8"/>
      <c r="Z715" s="9"/>
    </row>
    <row r="716">
      <c r="A716" s="8"/>
      <c r="Z716" s="9"/>
    </row>
    <row r="717">
      <c r="A717" s="8"/>
      <c r="Z717" s="9"/>
    </row>
    <row r="718">
      <c r="A718" s="8"/>
      <c r="Z718" s="9"/>
    </row>
    <row r="719">
      <c r="A719" s="8"/>
      <c r="Z719" s="9"/>
    </row>
    <row r="720">
      <c r="A720" s="8"/>
      <c r="Z720" s="9"/>
    </row>
    <row r="721">
      <c r="A721" s="8"/>
      <c r="Z721" s="9"/>
    </row>
    <row r="722">
      <c r="A722" s="8"/>
      <c r="Z722" s="9"/>
    </row>
    <row r="723">
      <c r="A723" s="8"/>
      <c r="Z723" s="9"/>
    </row>
    <row r="724">
      <c r="A724" s="8"/>
      <c r="Z724" s="9"/>
    </row>
    <row r="725">
      <c r="A725" s="8"/>
      <c r="Z725" s="9"/>
    </row>
    <row r="726">
      <c r="A726" s="8"/>
      <c r="Z726" s="9"/>
    </row>
    <row r="727">
      <c r="A727" s="8"/>
      <c r="Z727" s="9"/>
    </row>
    <row r="728">
      <c r="A728" s="8"/>
      <c r="Z728" s="9"/>
    </row>
    <row r="729">
      <c r="A729" s="8"/>
      <c r="Z729" s="9"/>
    </row>
    <row r="730">
      <c r="A730" s="8"/>
      <c r="Z730" s="9"/>
    </row>
    <row r="731">
      <c r="A731" s="8"/>
      <c r="Z731" s="9"/>
    </row>
    <row r="732">
      <c r="A732" s="8"/>
      <c r="Z732" s="9"/>
    </row>
    <row r="733">
      <c r="A733" s="8"/>
      <c r="Z733" s="9"/>
    </row>
    <row r="734">
      <c r="A734" s="8"/>
      <c r="Z734" s="9"/>
    </row>
    <row r="735">
      <c r="A735" s="8"/>
      <c r="Z735" s="9"/>
    </row>
    <row r="736">
      <c r="A736" s="8"/>
      <c r="Z736" s="9"/>
    </row>
    <row r="737">
      <c r="A737" s="8"/>
      <c r="Z737" s="9"/>
    </row>
    <row r="738">
      <c r="A738" s="8"/>
      <c r="Z738" s="9"/>
    </row>
    <row r="739">
      <c r="A739" s="8"/>
      <c r="Z739" s="9"/>
    </row>
    <row r="740">
      <c r="A740" s="8"/>
      <c r="Z740" s="9"/>
    </row>
    <row r="741">
      <c r="A741" s="8"/>
      <c r="Z741" s="9"/>
    </row>
    <row r="742">
      <c r="A742" s="8"/>
      <c r="Z742" s="9"/>
    </row>
    <row r="743">
      <c r="A743" s="8"/>
      <c r="Z743" s="9"/>
    </row>
    <row r="744">
      <c r="A744" s="8"/>
      <c r="Z744" s="9"/>
    </row>
    <row r="745">
      <c r="A745" s="8"/>
      <c r="Z745" s="9"/>
    </row>
    <row r="746">
      <c r="A746" s="8"/>
      <c r="Z746" s="9"/>
    </row>
    <row r="747">
      <c r="A747" s="8"/>
      <c r="Z747" s="9"/>
    </row>
    <row r="748">
      <c r="A748" s="8"/>
      <c r="Z748" s="9"/>
    </row>
    <row r="749">
      <c r="A749" s="8"/>
      <c r="Z749" s="9"/>
    </row>
    <row r="750">
      <c r="A750" s="8"/>
      <c r="Z750" s="9"/>
    </row>
    <row r="751">
      <c r="A751" s="8"/>
      <c r="Z751" s="9"/>
    </row>
    <row r="752">
      <c r="A752" s="8"/>
      <c r="Z752" s="9"/>
    </row>
    <row r="753">
      <c r="A753" s="8"/>
      <c r="Z753" s="9"/>
    </row>
    <row r="754">
      <c r="A754" s="8"/>
      <c r="Z754" s="9"/>
    </row>
    <row r="755">
      <c r="A755" s="8"/>
      <c r="Z755" s="9"/>
    </row>
    <row r="756">
      <c r="A756" s="8"/>
      <c r="Z756" s="9"/>
    </row>
    <row r="757">
      <c r="A757" s="8"/>
      <c r="Z757" s="9"/>
    </row>
    <row r="758">
      <c r="A758" s="8"/>
      <c r="Z758" s="9"/>
    </row>
    <row r="759">
      <c r="A759" s="8"/>
      <c r="Z759" s="9"/>
    </row>
    <row r="760">
      <c r="A760" s="8"/>
      <c r="Z760" s="9"/>
    </row>
    <row r="761">
      <c r="A761" s="8"/>
      <c r="Z761" s="9"/>
    </row>
    <row r="762">
      <c r="A762" s="8"/>
      <c r="Z762" s="9"/>
    </row>
    <row r="763">
      <c r="A763" s="8"/>
      <c r="Z763" s="9"/>
    </row>
    <row r="764">
      <c r="A764" s="8"/>
      <c r="Z764" s="9"/>
    </row>
    <row r="765">
      <c r="A765" s="8"/>
      <c r="Z765" s="9"/>
    </row>
    <row r="766">
      <c r="A766" s="8"/>
      <c r="Z766" s="9"/>
    </row>
    <row r="767">
      <c r="A767" s="8"/>
      <c r="Z767" s="9"/>
    </row>
    <row r="768">
      <c r="A768" s="8"/>
      <c r="Z768" s="9"/>
    </row>
    <row r="769">
      <c r="A769" s="8"/>
      <c r="Z769" s="9"/>
    </row>
    <row r="770">
      <c r="A770" s="8"/>
      <c r="Z770" s="9"/>
    </row>
    <row r="771">
      <c r="A771" s="8"/>
      <c r="Z771" s="9"/>
    </row>
    <row r="772">
      <c r="A772" s="8"/>
      <c r="Z772" s="9"/>
    </row>
    <row r="773">
      <c r="A773" s="8"/>
      <c r="Z773" s="9"/>
    </row>
    <row r="774">
      <c r="A774" s="8"/>
      <c r="Z774" s="9"/>
    </row>
    <row r="775">
      <c r="A775" s="8"/>
      <c r="Z775" s="9"/>
    </row>
    <row r="776">
      <c r="A776" s="8"/>
      <c r="Z776" s="9"/>
    </row>
    <row r="777">
      <c r="A777" s="8"/>
      <c r="Z777" s="9"/>
    </row>
    <row r="778">
      <c r="A778" s="8"/>
      <c r="Z778" s="9"/>
    </row>
    <row r="779">
      <c r="A779" s="8"/>
      <c r="Z779" s="9"/>
    </row>
    <row r="780">
      <c r="A780" s="8"/>
      <c r="Z780" s="9"/>
    </row>
    <row r="781">
      <c r="A781" s="8"/>
      <c r="Z781" s="9"/>
    </row>
    <row r="782">
      <c r="A782" s="8"/>
      <c r="Z782" s="9"/>
    </row>
    <row r="783">
      <c r="A783" s="8"/>
      <c r="Z783" s="9"/>
    </row>
    <row r="784">
      <c r="A784" s="8"/>
      <c r="Z784" s="9"/>
    </row>
    <row r="785">
      <c r="A785" s="8"/>
      <c r="Z785" s="9"/>
    </row>
    <row r="786">
      <c r="A786" s="8"/>
      <c r="Z786" s="9"/>
    </row>
    <row r="787">
      <c r="A787" s="8"/>
      <c r="Z787" s="9"/>
    </row>
    <row r="788">
      <c r="A788" s="8"/>
      <c r="Z788" s="9"/>
    </row>
    <row r="789">
      <c r="A789" s="8"/>
      <c r="Z789" s="9"/>
    </row>
    <row r="790">
      <c r="A790" s="8"/>
      <c r="Z790" s="9"/>
    </row>
    <row r="791">
      <c r="A791" s="8"/>
      <c r="Z791" s="9"/>
    </row>
    <row r="792">
      <c r="A792" s="8"/>
      <c r="Z792" s="9"/>
    </row>
    <row r="793">
      <c r="A793" s="8"/>
      <c r="Z793" s="9"/>
    </row>
    <row r="794">
      <c r="A794" s="8"/>
      <c r="Z794" s="9"/>
    </row>
    <row r="795">
      <c r="A795" s="8"/>
      <c r="Z795" s="9"/>
    </row>
    <row r="796">
      <c r="A796" s="8"/>
      <c r="Z796" s="9"/>
    </row>
    <row r="797">
      <c r="A797" s="8"/>
      <c r="Z797" s="9"/>
    </row>
    <row r="798">
      <c r="A798" s="8"/>
      <c r="Z798" s="9"/>
    </row>
    <row r="799">
      <c r="A799" s="8"/>
      <c r="Z799" s="9"/>
    </row>
    <row r="800">
      <c r="A800" s="8"/>
      <c r="Z800" s="9"/>
    </row>
    <row r="801">
      <c r="A801" s="8"/>
      <c r="Z801" s="9"/>
    </row>
    <row r="802">
      <c r="A802" s="8"/>
      <c r="Z802" s="9"/>
    </row>
    <row r="803">
      <c r="A803" s="8"/>
      <c r="Z803" s="9"/>
    </row>
    <row r="804">
      <c r="A804" s="8"/>
      <c r="Z804" s="9"/>
    </row>
    <row r="805">
      <c r="A805" s="8"/>
      <c r="Z805" s="9"/>
    </row>
    <row r="806">
      <c r="A806" s="8"/>
      <c r="Z806" s="9"/>
    </row>
    <row r="807">
      <c r="A807" s="8"/>
      <c r="Z807" s="9"/>
    </row>
    <row r="808">
      <c r="A808" s="8"/>
      <c r="Z808" s="9"/>
    </row>
    <row r="809">
      <c r="A809" s="8"/>
      <c r="Z809" s="9"/>
    </row>
    <row r="810">
      <c r="A810" s="8"/>
      <c r="Z810" s="9"/>
    </row>
    <row r="811">
      <c r="A811" s="8"/>
      <c r="Z811" s="9"/>
    </row>
    <row r="812">
      <c r="A812" s="8"/>
      <c r="Z812" s="9"/>
    </row>
    <row r="813">
      <c r="A813" s="8"/>
      <c r="Z813" s="9"/>
    </row>
    <row r="814">
      <c r="A814" s="8"/>
      <c r="Z814" s="9"/>
    </row>
    <row r="815">
      <c r="A815" s="8"/>
      <c r="Z815" s="9"/>
    </row>
    <row r="816">
      <c r="A816" s="8"/>
      <c r="Z816" s="9"/>
    </row>
    <row r="817">
      <c r="A817" s="8"/>
      <c r="Z817" s="9"/>
    </row>
    <row r="818">
      <c r="A818" s="8"/>
      <c r="Z818" s="9"/>
    </row>
    <row r="819">
      <c r="A819" s="8"/>
      <c r="Z819" s="9"/>
    </row>
    <row r="820">
      <c r="A820" s="8"/>
      <c r="Z820" s="9"/>
    </row>
    <row r="821">
      <c r="A821" s="8"/>
      <c r="Z821" s="9"/>
    </row>
    <row r="822">
      <c r="A822" s="8"/>
      <c r="Z822" s="9"/>
    </row>
    <row r="823">
      <c r="A823" s="8"/>
      <c r="Z823" s="9"/>
    </row>
    <row r="824">
      <c r="A824" s="8"/>
      <c r="Z824" s="9"/>
    </row>
    <row r="825">
      <c r="A825" s="8"/>
      <c r="Z825" s="9"/>
    </row>
    <row r="826">
      <c r="A826" s="8"/>
      <c r="Z826" s="9"/>
    </row>
    <row r="827">
      <c r="A827" s="8"/>
      <c r="Z827" s="9"/>
    </row>
    <row r="828">
      <c r="A828" s="8"/>
      <c r="Z828" s="9"/>
    </row>
    <row r="829">
      <c r="A829" s="8"/>
      <c r="Z829" s="9"/>
    </row>
    <row r="830">
      <c r="A830" s="8"/>
      <c r="Z830" s="9"/>
    </row>
    <row r="831">
      <c r="A831" s="8"/>
      <c r="Z831" s="9"/>
    </row>
    <row r="832">
      <c r="A832" s="8"/>
      <c r="Z832" s="9"/>
    </row>
    <row r="833">
      <c r="A833" s="8"/>
      <c r="Z833" s="9"/>
    </row>
    <row r="834">
      <c r="A834" s="8"/>
      <c r="Z834" s="9"/>
    </row>
    <row r="835">
      <c r="A835" s="8"/>
      <c r="Z835" s="9"/>
    </row>
    <row r="836">
      <c r="A836" s="8"/>
      <c r="Z836" s="9"/>
    </row>
    <row r="837">
      <c r="A837" s="8"/>
      <c r="Z837" s="9"/>
    </row>
    <row r="838">
      <c r="A838" s="8"/>
      <c r="Z838" s="9"/>
    </row>
    <row r="839">
      <c r="A839" s="8"/>
      <c r="Z839" s="9"/>
    </row>
    <row r="840">
      <c r="A840" s="8"/>
      <c r="Z840" s="9"/>
    </row>
    <row r="841">
      <c r="A841" s="8"/>
      <c r="Z841" s="9"/>
    </row>
    <row r="842">
      <c r="A842" s="8"/>
      <c r="Z842" s="9"/>
    </row>
    <row r="843">
      <c r="A843" s="8"/>
      <c r="Z843" s="9"/>
    </row>
    <row r="844">
      <c r="A844" s="8"/>
      <c r="Z844" s="9"/>
    </row>
    <row r="845">
      <c r="A845" s="8"/>
      <c r="Z845" s="9"/>
    </row>
    <row r="846">
      <c r="A846" s="8"/>
      <c r="Z846" s="9"/>
    </row>
    <row r="847">
      <c r="A847" s="8"/>
      <c r="Z847" s="9"/>
    </row>
    <row r="848">
      <c r="A848" s="8"/>
      <c r="Z848" s="9"/>
    </row>
    <row r="849">
      <c r="A849" s="8"/>
      <c r="Z849" s="9"/>
    </row>
    <row r="850">
      <c r="A850" s="8"/>
      <c r="Z850" s="9"/>
    </row>
    <row r="851">
      <c r="A851" s="8"/>
      <c r="Z851" s="9"/>
    </row>
    <row r="852">
      <c r="A852" s="8"/>
      <c r="Z852" s="9"/>
    </row>
    <row r="853">
      <c r="A853" s="8"/>
      <c r="Z853" s="9"/>
    </row>
    <row r="854">
      <c r="A854" s="8"/>
      <c r="Z854" s="9"/>
    </row>
    <row r="855">
      <c r="A855" s="8"/>
      <c r="Z855" s="9"/>
    </row>
    <row r="856">
      <c r="A856" s="8"/>
      <c r="Z856" s="9"/>
    </row>
    <row r="857">
      <c r="A857" s="8"/>
      <c r="Z857" s="9"/>
    </row>
    <row r="858">
      <c r="A858" s="8"/>
      <c r="Z858" s="9"/>
    </row>
    <row r="859">
      <c r="A859" s="8"/>
      <c r="Z859" s="9"/>
    </row>
    <row r="860">
      <c r="A860" s="8"/>
      <c r="Z860" s="9"/>
    </row>
    <row r="861">
      <c r="A861" s="8"/>
      <c r="Z861" s="9"/>
    </row>
    <row r="862">
      <c r="A862" s="8"/>
      <c r="Z862" s="9"/>
    </row>
    <row r="863">
      <c r="A863" s="8"/>
      <c r="Z863" s="9"/>
    </row>
    <row r="864">
      <c r="A864" s="8"/>
      <c r="Z864" s="9"/>
    </row>
    <row r="865">
      <c r="A865" s="8"/>
      <c r="Z865" s="9"/>
    </row>
    <row r="866">
      <c r="A866" s="8"/>
      <c r="Z866" s="9"/>
    </row>
    <row r="867">
      <c r="A867" s="8"/>
      <c r="Z867" s="9"/>
    </row>
    <row r="868">
      <c r="A868" s="8"/>
      <c r="Z868" s="9"/>
    </row>
    <row r="869">
      <c r="A869" s="8"/>
      <c r="Z869" s="9"/>
    </row>
    <row r="870">
      <c r="A870" s="8"/>
      <c r="Z870" s="9"/>
    </row>
    <row r="871">
      <c r="A871" s="8"/>
      <c r="Z871" s="9"/>
    </row>
    <row r="872">
      <c r="A872" s="8"/>
      <c r="Z872" s="9"/>
    </row>
    <row r="873">
      <c r="A873" s="8"/>
      <c r="Z873" s="9"/>
    </row>
    <row r="874">
      <c r="A874" s="8"/>
      <c r="Z874" s="9"/>
    </row>
    <row r="875">
      <c r="A875" s="8"/>
      <c r="Z875" s="9"/>
    </row>
    <row r="876">
      <c r="A876" s="8"/>
      <c r="Z876" s="9"/>
    </row>
    <row r="877">
      <c r="A877" s="8"/>
      <c r="Z877" s="9"/>
    </row>
    <row r="878">
      <c r="A878" s="8"/>
      <c r="Z878" s="9"/>
    </row>
    <row r="879">
      <c r="A879" s="8"/>
      <c r="Z879" s="9"/>
    </row>
    <row r="880">
      <c r="A880" s="8"/>
      <c r="Z880" s="9"/>
    </row>
    <row r="881">
      <c r="A881" s="8"/>
      <c r="Z881" s="9"/>
    </row>
    <row r="882">
      <c r="A882" s="8"/>
      <c r="Z882" s="9"/>
    </row>
    <row r="883">
      <c r="A883" s="8"/>
      <c r="Z883" s="9"/>
    </row>
    <row r="884">
      <c r="A884" s="8"/>
      <c r="Z884" s="9"/>
    </row>
    <row r="885">
      <c r="A885" s="8"/>
      <c r="Z885" s="9"/>
    </row>
    <row r="886">
      <c r="A886" s="8"/>
      <c r="Z886" s="9"/>
    </row>
    <row r="887">
      <c r="A887" s="8"/>
      <c r="Z887" s="9"/>
    </row>
    <row r="888">
      <c r="A888" s="8"/>
      <c r="Z888" s="9"/>
    </row>
    <row r="889">
      <c r="A889" s="8"/>
      <c r="Z889" s="9"/>
    </row>
    <row r="890">
      <c r="A890" s="8"/>
      <c r="Z890" s="9"/>
    </row>
    <row r="891">
      <c r="A891" s="8"/>
      <c r="Z891" s="9"/>
    </row>
    <row r="892">
      <c r="A892" s="8"/>
      <c r="Z892" s="9"/>
    </row>
    <row r="893">
      <c r="A893" s="8"/>
      <c r="Z893" s="9"/>
    </row>
    <row r="894">
      <c r="A894" s="8"/>
      <c r="Z894" s="9"/>
    </row>
    <row r="895">
      <c r="A895" s="8"/>
      <c r="Z895" s="9"/>
    </row>
    <row r="896">
      <c r="A896" s="8"/>
      <c r="Z896" s="9"/>
    </row>
    <row r="897">
      <c r="A897" s="8"/>
      <c r="Z897" s="9"/>
    </row>
    <row r="898">
      <c r="A898" s="8"/>
      <c r="Z898" s="9"/>
    </row>
    <row r="899">
      <c r="A899" s="8"/>
      <c r="Z899" s="9"/>
    </row>
    <row r="900">
      <c r="A900" s="8"/>
      <c r="Z900" s="9"/>
    </row>
    <row r="901">
      <c r="A901" s="8"/>
      <c r="Z901" s="9"/>
    </row>
    <row r="902">
      <c r="A902" s="8"/>
      <c r="Z902" s="9"/>
    </row>
    <row r="903">
      <c r="A903" s="8"/>
      <c r="Z903" s="9"/>
    </row>
    <row r="904">
      <c r="A904" s="8"/>
      <c r="Z904" s="9"/>
    </row>
    <row r="905">
      <c r="A905" s="8"/>
      <c r="Z905" s="9"/>
    </row>
    <row r="906">
      <c r="A906" s="8"/>
      <c r="Z906" s="9"/>
    </row>
    <row r="907">
      <c r="A907" s="8"/>
      <c r="Z907" s="9"/>
    </row>
    <row r="908">
      <c r="A908" s="8"/>
      <c r="Z908" s="9"/>
    </row>
    <row r="909">
      <c r="A909" s="8"/>
      <c r="Z909" s="9"/>
    </row>
    <row r="910">
      <c r="A910" s="8"/>
      <c r="Z910" s="9"/>
    </row>
    <row r="911">
      <c r="A911" s="8"/>
      <c r="Z911" s="9"/>
    </row>
    <row r="912">
      <c r="A912" s="8"/>
      <c r="Z912" s="9"/>
    </row>
    <row r="913">
      <c r="A913" s="8"/>
      <c r="Z913" s="9"/>
    </row>
    <row r="914">
      <c r="A914" s="8"/>
      <c r="Z914" s="9"/>
    </row>
    <row r="915">
      <c r="A915" s="8"/>
      <c r="Z915" s="9"/>
    </row>
    <row r="916">
      <c r="A916" s="8"/>
      <c r="Z916" s="9"/>
    </row>
    <row r="917">
      <c r="A917" s="8"/>
      <c r="Z917" s="9"/>
    </row>
    <row r="918">
      <c r="A918" s="8"/>
      <c r="Z918" s="9"/>
    </row>
    <row r="919">
      <c r="A919" s="8"/>
      <c r="Z919" s="9"/>
    </row>
    <row r="920">
      <c r="A920" s="8"/>
      <c r="Z920" s="9"/>
    </row>
    <row r="921">
      <c r="A921" s="8"/>
      <c r="Z921" s="9"/>
    </row>
    <row r="922">
      <c r="A922" s="8"/>
      <c r="Z922" s="9"/>
    </row>
    <row r="923">
      <c r="A923" s="8"/>
      <c r="Z923" s="9"/>
    </row>
    <row r="924">
      <c r="A924" s="8"/>
      <c r="Z924" s="9"/>
    </row>
    <row r="925">
      <c r="A925" s="8"/>
      <c r="Z925" s="9"/>
    </row>
    <row r="926">
      <c r="A926" s="8"/>
      <c r="Z926" s="9"/>
    </row>
    <row r="927">
      <c r="A927" s="8"/>
      <c r="Z927" s="9"/>
    </row>
    <row r="928">
      <c r="A928" s="8"/>
      <c r="Z928" s="9"/>
    </row>
    <row r="929">
      <c r="A929" s="8"/>
      <c r="Z929" s="9"/>
    </row>
    <row r="930">
      <c r="A930" s="8"/>
      <c r="Z930" s="9"/>
    </row>
    <row r="931">
      <c r="A931" s="8"/>
      <c r="Z931" s="9"/>
    </row>
    <row r="932">
      <c r="A932" s="8"/>
      <c r="Z932" s="9"/>
    </row>
    <row r="933">
      <c r="A933" s="8"/>
      <c r="Z933" s="9"/>
    </row>
    <row r="934">
      <c r="A934" s="8"/>
      <c r="Z934" s="9"/>
    </row>
    <row r="935">
      <c r="A935" s="8"/>
      <c r="Z935" s="9"/>
    </row>
    <row r="936">
      <c r="A936" s="8"/>
      <c r="Z936" s="9"/>
    </row>
    <row r="937">
      <c r="A937" s="8"/>
      <c r="Z937" s="9"/>
    </row>
    <row r="938">
      <c r="A938" s="8"/>
      <c r="Z938" s="9"/>
    </row>
    <row r="939">
      <c r="A939" s="8"/>
      <c r="Z939" s="9"/>
    </row>
    <row r="940">
      <c r="A940" s="8"/>
      <c r="Z940" s="9"/>
    </row>
    <row r="941">
      <c r="A941" s="8"/>
      <c r="Z941" s="9"/>
    </row>
    <row r="942">
      <c r="A942" s="8"/>
      <c r="Z942" s="9"/>
    </row>
    <row r="943">
      <c r="A943" s="8"/>
      <c r="Z943" s="9"/>
    </row>
    <row r="944">
      <c r="A944" s="8"/>
      <c r="Z944" s="9"/>
    </row>
    <row r="945">
      <c r="A945" s="8"/>
      <c r="Z945" s="9"/>
    </row>
    <row r="946">
      <c r="A946" s="8"/>
      <c r="Z946" s="9"/>
    </row>
    <row r="947">
      <c r="A947" s="8"/>
      <c r="Z947" s="9"/>
    </row>
    <row r="948">
      <c r="A948" s="8"/>
      <c r="Z948" s="9"/>
    </row>
    <row r="949">
      <c r="A949" s="8"/>
      <c r="Z949" s="9"/>
    </row>
    <row r="950">
      <c r="A950" s="8"/>
      <c r="Z950" s="9"/>
    </row>
    <row r="951">
      <c r="A951" s="8"/>
      <c r="Z951" s="9"/>
    </row>
    <row r="952">
      <c r="A952" s="8"/>
      <c r="Z952" s="9"/>
    </row>
    <row r="953">
      <c r="A953" s="8"/>
      <c r="Z953" s="9"/>
    </row>
    <row r="954">
      <c r="A954" s="8"/>
      <c r="Z954" s="9"/>
    </row>
    <row r="955">
      <c r="A955" s="8"/>
      <c r="Z955" s="9"/>
    </row>
    <row r="956">
      <c r="A956" s="8"/>
      <c r="Z956" s="9"/>
    </row>
    <row r="957">
      <c r="A957" s="8"/>
      <c r="Z957" s="9"/>
    </row>
    <row r="958">
      <c r="A958" s="8"/>
      <c r="Z958" s="9"/>
    </row>
    <row r="959">
      <c r="A959" s="8"/>
      <c r="Z959" s="9"/>
    </row>
    <row r="960">
      <c r="A960" s="8"/>
      <c r="Z960" s="9"/>
    </row>
    <row r="961">
      <c r="A961" s="8"/>
      <c r="Z961" s="9"/>
    </row>
    <row r="962">
      <c r="A962" s="8"/>
      <c r="Z962" s="9"/>
    </row>
    <row r="963">
      <c r="A963" s="8"/>
      <c r="Z963" s="9"/>
    </row>
    <row r="964">
      <c r="A964" s="8"/>
      <c r="Z964" s="9"/>
    </row>
    <row r="965">
      <c r="A965" s="8"/>
      <c r="Z965" s="9"/>
    </row>
    <row r="966">
      <c r="A966" s="8"/>
      <c r="Z966" s="9"/>
    </row>
    <row r="967">
      <c r="A967" s="8"/>
      <c r="Z967" s="9"/>
    </row>
    <row r="968">
      <c r="A968" s="8"/>
      <c r="Z968" s="9"/>
    </row>
    <row r="969">
      <c r="A969" s="8"/>
      <c r="Z969" s="9"/>
    </row>
    <row r="970">
      <c r="A970" s="8"/>
      <c r="Z970" s="9"/>
    </row>
    <row r="971">
      <c r="A971" s="8"/>
      <c r="Z971" s="9"/>
    </row>
    <row r="972">
      <c r="A972" s="8"/>
      <c r="Z972" s="9"/>
    </row>
    <row r="973">
      <c r="A973" s="8"/>
      <c r="Z973" s="9"/>
    </row>
    <row r="974">
      <c r="A974" s="8"/>
      <c r="Z974" s="9"/>
    </row>
    <row r="975">
      <c r="A975" s="8"/>
      <c r="Z975" s="9"/>
    </row>
    <row r="976">
      <c r="A976" s="8"/>
      <c r="Z976" s="9"/>
    </row>
    <row r="977">
      <c r="A977" s="8"/>
      <c r="Z977" s="9"/>
    </row>
    <row r="978">
      <c r="A978" s="8"/>
      <c r="Z978" s="9"/>
    </row>
    <row r="979">
      <c r="A979" s="8"/>
      <c r="Z979" s="9"/>
    </row>
    <row r="980">
      <c r="A980" s="8"/>
      <c r="Z980" s="9"/>
    </row>
    <row r="981">
      <c r="A981" s="8"/>
      <c r="Z981" s="9"/>
    </row>
    <row r="982">
      <c r="A982" s="8"/>
      <c r="Z982" s="9"/>
    </row>
    <row r="983">
      <c r="A983" s="8"/>
      <c r="Z983" s="9"/>
    </row>
    <row r="984">
      <c r="A984" s="8"/>
      <c r="Z984" s="9"/>
    </row>
    <row r="985">
      <c r="A985" s="8"/>
      <c r="Z985" s="9"/>
    </row>
    <row r="986">
      <c r="A986" s="8"/>
      <c r="Z986" s="9"/>
    </row>
    <row r="987">
      <c r="A987" s="8"/>
      <c r="Z987" s="9"/>
    </row>
    <row r="988">
      <c r="A988" s="8"/>
      <c r="Z988" s="9"/>
    </row>
    <row r="989">
      <c r="A989" s="8"/>
      <c r="Z989" s="9"/>
    </row>
    <row r="990">
      <c r="A990" s="8"/>
      <c r="Z990" s="9"/>
    </row>
    <row r="991">
      <c r="A991" s="8"/>
      <c r="Z991" s="9"/>
    </row>
    <row r="992">
      <c r="A992" s="8"/>
      <c r="Z992" s="9"/>
    </row>
    <row r="993">
      <c r="A993" s="8"/>
      <c r="Z993" s="9"/>
    </row>
    <row r="994">
      <c r="A994" s="8"/>
      <c r="Z994" s="9"/>
    </row>
    <row r="995">
      <c r="A995" s="8"/>
      <c r="Z995" s="9"/>
    </row>
    <row r="996">
      <c r="A996" s="8"/>
      <c r="Z996" s="9"/>
    </row>
    <row r="997">
      <c r="A997" s="8"/>
      <c r="Z997" s="9"/>
    </row>
    <row r="998">
      <c r="A998" s="8"/>
      <c r="Z998" s="9"/>
    </row>
    <row r="999">
      <c r="A999" s="8"/>
      <c r="Z999" s="9"/>
    </row>
    <row r="1000">
      <c r="A1000" s="10"/>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sheetData>
  <mergeCells count="1">
    <mergeCell ref="A1:Z100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IFERROR(__xludf.DUMMYFUNCTION("IMPORTRANGE(""https://docs.google.com/spreadsheets/d/1yOpZnyZ5ouw2C51zn4VNSNmNNrizgIE5YAyno7ltBiE/edit"",""stock!A:Z"")"),"product_id")</f>
        <v>product_id</v>
      </c>
      <c r="B1" s="2" t="str">
        <f>IFERROR(__xludf.DUMMYFUNCTION("""COMPUTED_VALUE"""),"new")</f>
        <v>new</v>
      </c>
      <c r="C1" s="2" t="str">
        <f>IFERROR(__xludf.DUMMYFUNCTION("""COMPUTED_VALUE"""),"forecast_stock")</f>
        <v>forecast_stock</v>
      </c>
      <c r="D1" s="2" t="str">
        <f>IFERROR(__xludf.DUMMYFUNCTION("""COMPUTED_VALUE"""),"stock")</f>
        <v>stock</v>
      </c>
      <c r="E1" s="2"/>
      <c r="F1" s="2"/>
    </row>
    <row r="2">
      <c r="A2" s="2">
        <f>IFERROR(__xludf.DUMMYFUNCTION("""COMPUTED_VALUE"""),112463.0)</f>
        <v>112463</v>
      </c>
      <c r="B2" s="2">
        <f>IFERROR(__xludf.DUMMYFUNCTION("""COMPUTED_VALUE"""),0.0)</f>
        <v>0</v>
      </c>
      <c r="C2" s="2">
        <f>IFERROR(__xludf.DUMMYFUNCTION("""COMPUTED_VALUE"""),320.0)</f>
        <v>320</v>
      </c>
      <c r="D2" s="3">
        <f>IFERROR(__xludf.DUMMYFUNCTION("""COMPUTED_VALUE"""),320.0)</f>
        <v>320</v>
      </c>
      <c r="E2" s="2"/>
      <c r="F2" s="2"/>
    </row>
    <row r="3">
      <c r="A3" s="2">
        <f>IFERROR(__xludf.DUMMYFUNCTION("""COMPUTED_VALUE"""),112481.0)</f>
        <v>112481</v>
      </c>
      <c r="B3" s="2">
        <f>IFERROR(__xludf.DUMMYFUNCTION("""COMPUTED_VALUE"""),0.0)</f>
        <v>0</v>
      </c>
      <c r="C3" s="2">
        <f>IFERROR(__xludf.DUMMYFUNCTION("""COMPUTED_VALUE"""),0.0)</f>
        <v>0</v>
      </c>
      <c r="D3" s="3">
        <f>IFERROR(__xludf.DUMMYFUNCTION("""COMPUTED_VALUE"""),0.0)</f>
        <v>0</v>
      </c>
      <c r="E3" s="2"/>
      <c r="F3" s="2"/>
    </row>
    <row r="4">
      <c r="A4" s="2">
        <f>IFERROR(__xludf.DUMMYFUNCTION("""COMPUTED_VALUE"""),13346.0)</f>
        <v>13346</v>
      </c>
      <c r="B4" s="2">
        <f>IFERROR(__xludf.DUMMYFUNCTION("""COMPUTED_VALUE"""),1.0)</f>
        <v>1</v>
      </c>
      <c r="C4" s="2">
        <f>IFERROR(__xludf.DUMMYFUNCTION("""COMPUTED_VALUE"""),100.0)</f>
        <v>100</v>
      </c>
      <c r="D4" s="3">
        <f>IFERROR(__xludf.DUMMYFUNCTION("""COMPUTED_VALUE"""),100.0)</f>
        <v>100</v>
      </c>
      <c r="E4" s="2"/>
      <c r="F4" s="2"/>
    </row>
    <row r="5">
      <c r="A5" s="2">
        <f>IFERROR(__xludf.DUMMYFUNCTION("""COMPUTED_VALUE"""),112454.0)</f>
        <v>112454</v>
      </c>
      <c r="B5" s="2">
        <f>IFERROR(__xludf.DUMMYFUNCTION("""COMPUTED_VALUE"""),0.0)</f>
        <v>0</v>
      </c>
      <c r="C5" s="2">
        <f>IFERROR(__xludf.DUMMYFUNCTION("""COMPUTED_VALUE"""),277.0)</f>
        <v>277</v>
      </c>
      <c r="D5" s="3">
        <f>IFERROR(__xludf.DUMMYFUNCTION("""COMPUTED_VALUE"""),268.0)</f>
        <v>268</v>
      </c>
      <c r="E5" s="2"/>
      <c r="F5" s="2"/>
    </row>
    <row r="6">
      <c r="A6" s="2">
        <f>IFERROR(__xludf.DUMMYFUNCTION("""COMPUTED_VALUE"""),112461.0)</f>
        <v>112461</v>
      </c>
      <c r="B6" s="2">
        <f>IFERROR(__xludf.DUMMYFUNCTION("""COMPUTED_VALUE"""),0.0)</f>
        <v>0</v>
      </c>
      <c r="C6" s="2">
        <f>IFERROR(__xludf.DUMMYFUNCTION("""COMPUTED_VALUE"""),971.0)</f>
        <v>971</v>
      </c>
      <c r="D6" s="3">
        <f>IFERROR(__xludf.DUMMYFUNCTION("""COMPUTED_VALUE"""),472.0)</f>
        <v>472</v>
      </c>
      <c r="E6" s="2"/>
      <c r="F6" s="2"/>
    </row>
    <row r="7">
      <c r="A7" s="2">
        <f>IFERROR(__xludf.DUMMYFUNCTION("""COMPUTED_VALUE"""),106532.0)</f>
        <v>106532</v>
      </c>
      <c r="B7" s="2">
        <f>IFERROR(__xludf.DUMMYFUNCTION("""COMPUTED_VALUE"""),0.0)</f>
        <v>0</v>
      </c>
      <c r="C7" s="2">
        <f>IFERROR(__xludf.DUMMYFUNCTION("""COMPUTED_VALUE"""),63.0)</f>
        <v>63</v>
      </c>
      <c r="D7" s="3">
        <f>IFERROR(__xludf.DUMMYFUNCTION("""COMPUTED_VALUE"""),63.0)</f>
        <v>63</v>
      </c>
      <c r="E7" s="2"/>
      <c r="F7" s="2"/>
    </row>
    <row r="8">
      <c r="A8" s="2">
        <f>IFERROR(__xludf.DUMMYFUNCTION("""COMPUTED_VALUE"""),121135.0)</f>
        <v>121135</v>
      </c>
      <c r="B8" s="2">
        <f>IFERROR(__xludf.DUMMYFUNCTION("""COMPUTED_VALUE"""),1.0)</f>
        <v>1</v>
      </c>
      <c r="C8" s="2">
        <f>IFERROR(__xludf.DUMMYFUNCTION("""COMPUTED_VALUE"""),40.0)</f>
        <v>40</v>
      </c>
      <c r="D8" s="3">
        <f>IFERROR(__xludf.DUMMYFUNCTION("""COMPUTED_VALUE"""),33.0)</f>
        <v>33</v>
      </c>
      <c r="E8" s="2"/>
      <c r="F8" s="2"/>
    </row>
    <row r="9">
      <c r="A9" s="2">
        <f>IFERROR(__xludf.DUMMYFUNCTION("""COMPUTED_VALUE"""),128362.0)</f>
        <v>128362</v>
      </c>
      <c r="B9" s="2">
        <f>IFERROR(__xludf.DUMMYFUNCTION("""COMPUTED_VALUE"""),1.0)</f>
        <v>1</v>
      </c>
      <c r="C9" s="2">
        <f>IFERROR(__xludf.DUMMYFUNCTION("""COMPUTED_VALUE"""),269.0)</f>
        <v>269</v>
      </c>
      <c r="D9" s="3">
        <f>IFERROR(__xludf.DUMMYFUNCTION("""COMPUTED_VALUE"""),104.0)</f>
        <v>104</v>
      </c>
      <c r="E9" s="2"/>
      <c r="F9" s="2"/>
    </row>
    <row r="10">
      <c r="A10" s="2">
        <f>IFERROR(__xludf.DUMMYFUNCTION("""COMPUTED_VALUE"""),71200.0)</f>
        <v>71200</v>
      </c>
      <c r="B10" s="2">
        <f>IFERROR(__xludf.DUMMYFUNCTION("""COMPUTED_VALUE"""),0.0)</f>
        <v>0</v>
      </c>
      <c r="C10" s="2">
        <f>IFERROR(__xludf.DUMMYFUNCTION("""COMPUTED_VALUE"""),164.0)</f>
        <v>164</v>
      </c>
      <c r="D10" s="3">
        <f>IFERROR(__xludf.DUMMYFUNCTION("""COMPUTED_VALUE"""),152.0)</f>
        <v>152</v>
      </c>
      <c r="E10" s="2"/>
      <c r="F10" s="2"/>
    </row>
    <row r="11">
      <c r="A11" s="2">
        <f>IFERROR(__xludf.DUMMYFUNCTION("""COMPUTED_VALUE"""),19812.0)</f>
        <v>19812</v>
      </c>
      <c r="B11" s="2">
        <f>IFERROR(__xludf.DUMMYFUNCTION("""COMPUTED_VALUE"""),0.0)</f>
        <v>0</v>
      </c>
      <c r="C11" s="2">
        <f>IFERROR(__xludf.DUMMYFUNCTION("""COMPUTED_VALUE"""),489.0)</f>
        <v>489</v>
      </c>
      <c r="D11" s="3">
        <f>IFERROR(__xludf.DUMMYFUNCTION("""COMPUTED_VALUE"""),393.0)</f>
        <v>393</v>
      </c>
      <c r="E11" s="2"/>
      <c r="F11" s="2"/>
    </row>
    <row r="12">
      <c r="A12" s="2">
        <f>IFERROR(__xludf.DUMMYFUNCTION("""COMPUTED_VALUE"""),122259.0)</f>
        <v>122259</v>
      </c>
      <c r="B12" s="2">
        <f>IFERROR(__xludf.DUMMYFUNCTION("""COMPUTED_VALUE"""),1.0)</f>
        <v>1</v>
      </c>
      <c r="C12" s="2">
        <f>IFERROR(__xludf.DUMMYFUNCTION("""COMPUTED_VALUE"""),104.0)</f>
        <v>104</v>
      </c>
      <c r="D12" s="3">
        <f>IFERROR(__xludf.DUMMYFUNCTION("""COMPUTED_VALUE"""),104.0)</f>
        <v>104</v>
      </c>
      <c r="E12" s="2"/>
      <c r="F12" s="2"/>
    </row>
    <row r="13">
      <c r="A13" s="2">
        <f>IFERROR(__xludf.DUMMYFUNCTION("""COMPUTED_VALUE"""),199526.0)</f>
        <v>199526</v>
      </c>
      <c r="B13" s="2">
        <f>IFERROR(__xludf.DUMMYFUNCTION("""COMPUTED_VALUE"""),0.0)</f>
        <v>0</v>
      </c>
      <c r="C13" s="2">
        <f>IFERROR(__xludf.DUMMYFUNCTION("""COMPUTED_VALUE"""),63.0)</f>
        <v>63</v>
      </c>
      <c r="D13" s="3">
        <f>IFERROR(__xludf.DUMMYFUNCTION("""COMPUTED_VALUE"""),60.0)</f>
        <v>60</v>
      </c>
      <c r="E13" s="2"/>
      <c r="F13" s="2"/>
    </row>
    <row r="14">
      <c r="A14" s="2">
        <f>IFERROR(__xludf.DUMMYFUNCTION("""COMPUTED_VALUE"""),140581.0)</f>
        <v>140581</v>
      </c>
      <c r="B14" s="2">
        <f>IFERROR(__xludf.DUMMYFUNCTION("""COMPUTED_VALUE"""),0.0)</f>
        <v>0</v>
      </c>
      <c r="C14" s="2">
        <f>IFERROR(__xludf.DUMMYFUNCTION("""COMPUTED_VALUE"""),14.0)</f>
        <v>14</v>
      </c>
      <c r="D14" s="3">
        <f>IFERROR(__xludf.DUMMYFUNCTION("""COMPUTED_VALUE"""),9.0)</f>
        <v>9</v>
      </c>
      <c r="E14" s="2"/>
      <c r="F14" s="2"/>
    </row>
    <row r="15">
      <c r="A15" s="2">
        <f>IFERROR(__xludf.DUMMYFUNCTION("""COMPUTED_VALUE"""),118383.0)</f>
        <v>118383</v>
      </c>
      <c r="B15" s="2">
        <f>IFERROR(__xludf.DUMMYFUNCTION("""COMPUTED_VALUE"""),0.0)</f>
        <v>0</v>
      </c>
      <c r="C15" s="2">
        <f>IFERROR(__xludf.DUMMYFUNCTION("""COMPUTED_VALUE"""),256.0)</f>
        <v>256</v>
      </c>
      <c r="D15" s="3">
        <f>IFERROR(__xludf.DUMMYFUNCTION("""COMPUTED_VALUE"""),256.0)</f>
        <v>256</v>
      </c>
      <c r="E15" s="2"/>
      <c r="F15" s="2"/>
    </row>
    <row r="16">
      <c r="A16" s="2">
        <f>IFERROR(__xludf.DUMMYFUNCTION("""COMPUTED_VALUE"""),122262.0)</f>
        <v>122262</v>
      </c>
      <c r="B16" s="2">
        <f>IFERROR(__xludf.DUMMYFUNCTION("""COMPUTED_VALUE"""),0.0)</f>
        <v>0</v>
      </c>
      <c r="C16" s="2">
        <f>IFERROR(__xludf.DUMMYFUNCTION("""COMPUTED_VALUE"""),326.0)</f>
        <v>326</v>
      </c>
      <c r="D16" s="3">
        <f>IFERROR(__xludf.DUMMYFUNCTION("""COMPUTED_VALUE"""),326.0)</f>
        <v>326</v>
      </c>
      <c r="E16" s="2"/>
      <c r="F16" s="2"/>
    </row>
    <row r="17">
      <c r="A17" s="2">
        <f>IFERROR(__xludf.DUMMYFUNCTION("""COMPUTED_VALUE"""),141879.0)</f>
        <v>141879</v>
      </c>
      <c r="B17" s="2">
        <f>IFERROR(__xludf.DUMMYFUNCTION("""COMPUTED_VALUE"""),0.0)</f>
        <v>0</v>
      </c>
      <c r="C17" s="2">
        <f>IFERROR(__xludf.DUMMYFUNCTION("""COMPUTED_VALUE"""),11.0)</f>
        <v>11</v>
      </c>
      <c r="D17" s="3">
        <f>IFERROR(__xludf.DUMMYFUNCTION("""COMPUTED_VALUE"""),11.0)</f>
        <v>11</v>
      </c>
      <c r="E17" s="2"/>
      <c r="F17" s="2"/>
    </row>
    <row r="18">
      <c r="A18" s="2">
        <f>IFERROR(__xludf.DUMMYFUNCTION("""COMPUTED_VALUE"""),19826.0)</f>
        <v>19826</v>
      </c>
      <c r="B18" s="2">
        <f>IFERROR(__xludf.DUMMYFUNCTION("""COMPUTED_VALUE"""),0.0)</f>
        <v>0</v>
      </c>
      <c r="C18" s="2">
        <f>IFERROR(__xludf.DUMMYFUNCTION("""COMPUTED_VALUE"""),210.0)</f>
        <v>210</v>
      </c>
      <c r="D18" s="3">
        <f>IFERROR(__xludf.DUMMYFUNCTION("""COMPUTED_VALUE"""),103.0)</f>
        <v>103</v>
      </c>
      <c r="E18" s="2"/>
      <c r="F18" s="2"/>
    </row>
    <row r="19">
      <c r="A19" s="2">
        <f>IFERROR(__xludf.DUMMYFUNCTION("""COMPUTED_VALUE"""),93039.0)</f>
        <v>93039</v>
      </c>
      <c r="B19" s="2">
        <f>IFERROR(__xludf.DUMMYFUNCTION("""COMPUTED_VALUE"""),0.0)</f>
        <v>0</v>
      </c>
      <c r="C19" s="2">
        <f>IFERROR(__xludf.DUMMYFUNCTION("""COMPUTED_VALUE"""),68.0)</f>
        <v>68</v>
      </c>
      <c r="D19" s="3">
        <f>IFERROR(__xludf.DUMMYFUNCTION("""COMPUTED_VALUE"""),68.0)</f>
        <v>68</v>
      </c>
      <c r="E19" s="2"/>
      <c r="F19" s="2"/>
    </row>
    <row r="20">
      <c r="A20" s="2">
        <f>IFERROR(__xludf.DUMMYFUNCTION("""COMPUTED_VALUE"""),128213.0)</f>
        <v>128213</v>
      </c>
      <c r="B20" s="2">
        <f>IFERROR(__xludf.DUMMYFUNCTION("""COMPUTED_VALUE"""),0.0)</f>
        <v>0</v>
      </c>
      <c r="C20" s="2">
        <f>IFERROR(__xludf.DUMMYFUNCTION("""COMPUTED_VALUE"""),318.0)</f>
        <v>318</v>
      </c>
      <c r="D20" s="3">
        <f>IFERROR(__xludf.DUMMYFUNCTION("""COMPUTED_VALUE"""),162.0)</f>
        <v>162</v>
      </c>
      <c r="E20" s="2"/>
      <c r="F20" s="2"/>
    </row>
    <row r="21">
      <c r="A21" s="2">
        <f>IFERROR(__xludf.DUMMYFUNCTION("""COMPUTED_VALUE"""),83797.0)</f>
        <v>83797</v>
      </c>
      <c r="B21" s="2">
        <f>IFERROR(__xludf.DUMMYFUNCTION("""COMPUTED_VALUE"""),0.0)</f>
        <v>0</v>
      </c>
      <c r="C21" s="2">
        <f>IFERROR(__xludf.DUMMYFUNCTION("""COMPUTED_VALUE"""),43.0)</f>
        <v>43</v>
      </c>
      <c r="D21" s="3">
        <f>IFERROR(__xludf.DUMMYFUNCTION("""COMPUTED_VALUE"""),43.0)</f>
        <v>43</v>
      </c>
      <c r="E21" s="2"/>
      <c r="F21" s="2"/>
    </row>
    <row r="22">
      <c r="A22" s="2">
        <f>IFERROR(__xludf.DUMMYFUNCTION("""COMPUTED_VALUE"""),19831.0)</f>
        <v>19831</v>
      </c>
      <c r="B22" s="2">
        <f>IFERROR(__xludf.DUMMYFUNCTION("""COMPUTED_VALUE"""),0.0)</f>
        <v>0</v>
      </c>
      <c r="C22" s="2">
        <f>IFERROR(__xludf.DUMMYFUNCTION("""COMPUTED_VALUE"""),185.0)</f>
        <v>185</v>
      </c>
      <c r="D22" s="3">
        <f>IFERROR(__xludf.DUMMYFUNCTION("""COMPUTED_VALUE"""),134.0)</f>
        <v>134</v>
      </c>
      <c r="E22" s="2"/>
      <c r="F22" s="2"/>
    </row>
    <row r="23">
      <c r="A23" s="2">
        <f>IFERROR(__xludf.DUMMYFUNCTION("""COMPUTED_VALUE"""),93025.0)</f>
        <v>93025</v>
      </c>
      <c r="B23" s="2">
        <f>IFERROR(__xludf.DUMMYFUNCTION("""COMPUTED_VALUE"""),0.0)</f>
        <v>0</v>
      </c>
      <c r="C23" s="2">
        <f>IFERROR(__xludf.DUMMYFUNCTION("""COMPUTED_VALUE"""),305.0)</f>
        <v>305</v>
      </c>
      <c r="D23" s="3">
        <f>IFERROR(__xludf.DUMMYFUNCTION("""COMPUTED_VALUE"""),305.0)</f>
        <v>305</v>
      </c>
      <c r="E23" s="2"/>
      <c r="F23" s="2"/>
    </row>
    <row r="24">
      <c r="A24" s="2">
        <f>IFERROR(__xludf.DUMMYFUNCTION("""COMPUTED_VALUE"""),81624.0)</f>
        <v>81624</v>
      </c>
      <c r="B24" s="2">
        <f>IFERROR(__xludf.DUMMYFUNCTION("""COMPUTED_VALUE"""),1.0)</f>
        <v>1</v>
      </c>
      <c r="C24" s="2">
        <f>IFERROR(__xludf.DUMMYFUNCTION("""COMPUTED_VALUE"""),84.0)</f>
        <v>84</v>
      </c>
      <c r="D24" s="3">
        <f>IFERROR(__xludf.DUMMYFUNCTION("""COMPUTED_VALUE"""),84.0)</f>
        <v>84</v>
      </c>
      <c r="E24" s="2"/>
      <c r="F24" s="2"/>
    </row>
    <row r="25">
      <c r="A25" s="2">
        <f>IFERROR(__xludf.DUMMYFUNCTION("""COMPUTED_VALUE"""),92913.0)</f>
        <v>92913</v>
      </c>
      <c r="B25" s="2">
        <f>IFERROR(__xludf.DUMMYFUNCTION("""COMPUTED_VALUE"""),0.0)</f>
        <v>0</v>
      </c>
      <c r="C25" s="2">
        <f>IFERROR(__xludf.DUMMYFUNCTION("""COMPUTED_VALUE"""),96.0)</f>
        <v>96</v>
      </c>
      <c r="D25" s="3">
        <f>IFERROR(__xludf.DUMMYFUNCTION("""COMPUTED_VALUE"""),96.0)</f>
        <v>96</v>
      </c>
      <c r="E25" s="2"/>
      <c r="F25" s="2"/>
    </row>
    <row r="26">
      <c r="A26" s="2">
        <f>IFERROR(__xludf.DUMMYFUNCTION("""COMPUTED_VALUE"""),126983.0)</f>
        <v>126983</v>
      </c>
      <c r="B26" s="2">
        <f>IFERROR(__xludf.DUMMYFUNCTION("""COMPUTED_VALUE"""),0.0)</f>
        <v>0</v>
      </c>
      <c r="C26" s="2">
        <f>IFERROR(__xludf.DUMMYFUNCTION("""COMPUTED_VALUE"""),176.0)</f>
        <v>176</v>
      </c>
      <c r="D26" s="3">
        <f>IFERROR(__xludf.DUMMYFUNCTION("""COMPUTED_VALUE"""),71.0)</f>
        <v>71</v>
      </c>
      <c r="E26" s="2"/>
      <c r="F26" s="2"/>
    </row>
    <row r="27">
      <c r="A27" s="2">
        <f>IFERROR(__xludf.DUMMYFUNCTION("""COMPUTED_VALUE"""),118226.0)</f>
        <v>118226</v>
      </c>
      <c r="B27" s="2">
        <f>IFERROR(__xludf.DUMMYFUNCTION("""COMPUTED_VALUE"""),0.0)</f>
        <v>0</v>
      </c>
      <c r="C27" s="2">
        <f>IFERROR(__xludf.DUMMYFUNCTION("""COMPUTED_VALUE"""),130.0)</f>
        <v>130</v>
      </c>
      <c r="D27" s="3">
        <f>IFERROR(__xludf.DUMMYFUNCTION("""COMPUTED_VALUE"""),130.0)</f>
        <v>130</v>
      </c>
      <c r="E27" s="2"/>
      <c r="F27" s="2"/>
    </row>
    <row r="28">
      <c r="A28" s="2">
        <f>IFERROR(__xludf.DUMMYFUNCTION("""COMPUTED_VALUE"""),48618.0)</f>
        <v>48618</v>
      </c>
      <c r="B28" s="2">
        <f>IFERROR(__xludf.DUMMYFUNCTION("""COMPUTED_VALUE"""),1.0)</f>
        <v>1</v>
      </c>
      <c r="C28" s="2">
        <f>IFERROR(__xludf.DUMMYFUNCTION("""COMPUTED_VALUE"""),84.0)</f>
        <v>84</v>
      </c>
      <c r="D28" s="3">
        <f>IFERROR(__xludf.DUMMYFUNCTION("""COMPUTED_VALUE"""),84.0)</f>
        <v>84</v>
      </c>
      <c r="E28" s="2"/>
      <c r="F28" s="2"/>
    </row>
    <row r="29">
      <c r="A29" s="2">
        <f>IFERROR(__xludf.DUMMYFUNCTION("""COMPUTED_VALUE"""),93037.0)</f>
        <v>93037</v>
      </c>
      <c r="B29" s="2">
        <f>IFERROR(__xludf.DUMMYFUNCTION("""COMPUTED_VALUE"""),0.0)</f>
        <v>0</v>
      </c>
      <c r="C29" s="2">
        <f>IFERROR(__xludf.DUMMYFUNCTION("""COMPUTED_VALUE"""),604.0)</f>
        <v>604</v>
      </c>
      <c r="D29" s="3">
        <f>IFERROR(__xludf.DUMMYFUNCTION("""COMPUTED_VALUE"""),604.0)</f>
        <v>604</v>
      </c>
      <c r="E29" s="2"/>
      <c r="F29" s="2"/>
    </row>
    <row r="30">
      <c r="A30" s="2">
        <f>IFERROR(__xludf.DUMMYFUNCTION("""COMPUTED_VALUE"""),126984.0)</f>
        <v>126984</v>
      </c>
      <c r="B30" s="2">
        <f>IFERROR(__xludf.DUMMYFUNCTION("""COMPUTED_VALUE"""),0.0)</f>
        <v>0</v>
      </c>
      <c r="C30" s="2">
        <f>IFERROR(__xludf.DUMMYFUNCTION("""COMPUTED_VALUE"""),26.0)</f>
        <v>26</v>
      </c>
      <c r="D30" s="3">
        <f>IFERROR(__xludf.DUMMYFUNCTION("""COMPUTED_VALUE"""),6.0)</f>
        <v>6</v>
      </c>
      <c r="E30" s="2"/>
      <c r="F30" s="2"/>
    </row>
    <row r="31">
      <c r="A31" s="2">
        <f>IFERROR(__xludf.DUMMYFUNCTION("""COMPUTED_VALUE"""),47393.0)</f>
        <v>47393</v>
      </c>
      <c r="B31" s="2">
        <f>IFERROR(__xludf.DUMMYFUNCTION("""COMPUTED_VALUE"""),0.0)</f>
        <v>0</v>
      </c>
      <c r="C31" s="2">
        <f>IFERROR(__xludf.DUMMYFUNCTION("""COMPUTED_VALUE"""),982.0)</f>
        <v>982</v>
      </c>
      <c r="D31" s="3">
        <f>IFERROR(__xludf.DUMMYFUNCTION("""COMPUTED_VALUE"""),609.0)</f>
        <v>609</v>
      </c>
      <c r="E31" s="2"/>
      <c r="F31" s="2"/>
    </row>
    <row r="32">
      <c r="A32" s="2">
        <f>IFERROR(__xludf.DUMMYFUNCTION("""COMPUTED_VALUE"""),128214.0)</f>
        <v>128214</v>
      </c>
      <c r="B32" s="2">
        <f>IFERROR(__xludf.DUMMYFUNCTION("""COMPUTED_VALUE"""),0.0)</f>
        <v>0</v>
      </c>
      <c r="C32" s="2">
        <f>IFERROR(__xludf.DUMMYFUNCTION("""COMPUTED_VALUE"""),79.0)</f>
        <v>79</v>
      </c>
      <c r="D32" s="3">
        <f>IFERROR(__xludf.DUMMYFUNCTION("""COMPUTED_VALUE"""),79.0)</f>
        <v>79</v>
      </c>
      <c r="E32" s="2"/>
      <c r="F32" s="2"/>
    </row>
    <row r="33">
      <c r="A33" s="2">
        <f>IFERROR(__xludf.DUMMYFUNCTION("""COMPUTED_VALUE"""),83802.0)</f>
        <v>83802</v>
      </c>
      <c r="B33" s="2">
        <f>IFERROR(__xludf.DUMMYFUNCTION("""COMPUTED_VALUE"""),0.0)</f>
        <v>0</v>
      </c>
      <c r="C33" s="2">
        <f>IFERROR(__xludf.DUMMYFUNCTION("""COMPUTED_VALUE"""),31.0)</f>
        <v>31</v>
      </c>
      <c r="D33" s="3">
        <f>IFERROR(__xludf.DUMMYFUNCTION("""COMPUTED_VALUE"""),23.0)</f>
        <v>23</v>
      </c>
      <c r="E33" s="2"/>
      <c r="F33" s="2"/>
    </row>
    <row r="34">
      <c r="A34" s="2">
        <f>IFERROR(__xludf.DUMMYFUNCTION("""COMPUTED_VALUE"""),48625.0)</f>
        <v>48625</v>
      </c>
      <c r="B34" s="2">
        <f>IFERROR(__xludf.DUMMYFUNCTION("""COMPUTED_VALUE"""),1.0)</f>
        <v>1</v>
      </c>
      <c r="C34" s="2">
        <f>IFERROR(__xludf.DUMMYFUNCTION("""COMPUTED_VALUE"""),96.0)</f>
        <v>96</v>
      </c>
      <c r="D34" s="3">
        <f>IFERROR(__xludf.DUMMYFUNCTION("""COMPUTED_VALUE"""),96.0)</f>
        <v>96</v>
      </c>
      <c r="E34" s="2"/>
      <c r="F34" s="2"/>
    </row>
    <row r="35">
      <c r="A35" s="2">
        <f>IFERROR(__xludf.DUMMYFUNCTION("""COMPUTED_VALUE"""),83602.0)</f>
        <v>83602</v>
      </c>
      <c r="B35" s="2">
        <f>IFERROR(__xludf.DUMMYFUNCTION("""COMPUTED_VALUE"""),0.0)</f>
        <v>0</v>
      </c>
      <c r="C35" s="2">
        <f>IFERROR(__xludf.DUMMYFUNCTION("""COMPUTED_VALUE"""),79.0)</f>
        <v>79</v>
      </c>
      <c r="D35" s="3">
        <f>IFERROR(__xludf.DUMMYFUNCTION("""COMPUTED_VALUE"""),79.0)</f>
        <v>79</v>
      </c>
      <c r="E35" s="2"/>
      <c r="F35" s="2"/>
    </row>
    <row r="36">
      <c r="A36" s="2">
        <f>IFERROR(__xludf.DUMMYFUNCTION("""COMPUTED_VALUE"""),98867.0)</f>
        <v>98867</v>
      </c>
      <c r="B36" s="2">
        <f>IFERROR(__xludf.DUMMYFUNCTION("""COMPUTED_VALUE"""),0.0)</f>
        <v>0</v>
      </c>
      <c r="C36" s="2">
        <f>IFERROR(__xludf.DUMMYFUNCTION("""COMPUTED_VALUE"""),186.0)</f>
        <v>186</v>
      </c>
      <c r="D36" s="3">
        <f>IFERROR(__xludf.DUMMYFUNCTION("""COMPUTED_VALUE"""),186.0)</f>
        <v>186</v>
      </c>
      <c r="E36" s="2"/>
      <c r="F36" s="2"/>
    </row>
    <row r="37">
      <c r="A37" s="2">
        <f>IFERROR(__xludf.DUMMYFUNCTION("""COMPUTED_VALUE"""),127042.0)</f>
        <v>127042</v>
      </c>
      <c r="B37" s="2">
        <f>IFERROR(__xludf.DUMMYFUNCTION("""COMPUTED_VALUE"""),0.0)</f>
        <v>0</v>
      </c>
      <c r="C37" s="2">
        <f>IFERROR(__xludf.DUMMYFUNCTION("""COMPUTED_VALUE"""),418.0)</f>
        <v>418</v>
      </c>
      <c r="D37" s="3">
        <f>IFERROR(__xludf.DUMMYFUNCTION("""COMPUTED_VALUE"""),418.0)</f>
        <v>418</v>
      </c>
      <c r="E37" s="2"/>
      <c r="F37" s="2"/>
    </row>
    <row r="38">
      <c r="A38" s="2">
        <f>IFERROR(__xludf.DUMMYFUNCTION("""COMPUTED_VALUE"""),127241.0)</f>
        <v>127241</v>
      </c>
      <c r="B38" s="2">
        <f>IFERROR(__xludf.DUMMYFUNCTION("""COMPUTED_VALUE"""),0.0)</f>
        <v>0</v>
      </c>
      <c r="C38" s="2">
        <f>IFERROR(__xludf.DUMMYFUNCTION("""COMPUTED_VALUE"""),98.0)</f>
        <v>98</v>
      </c>
      <c r="D38" s="3">
        <f>IFERROR(__xludf.DUMMYFUNCTION("""COMPUTED_VALUE"""),98.0)</f>
        <v>98</v>
      </c>
      <c r="E38" s="2"/>
      <c r="F38" s="2"/>
    </row>
    <row r="39">
      <c r="A39" s="2">
        <f>IFERROR(__xludf.DUMMYFUNCTION("""COMPUTED_VALUE"""),118220.0)</f>
        <v>118220</v>
      </c>
      <c r="B39" s="2">
        <f>IFERROR(__xludf.DUMMYFUNCTION("""COMPUTED_VALUE"""),0.0)</f>
        <v>0</v>
      </c>
      <c r="C39" s="2">
        <f>IFERROR(__xludf.DUMMYFUNCTION("""COMPUTED_VALUE"""),34.0)</f>
        <v>34</v>
      </c>
      <c r="D39" s="3">
        <f>IFERROR(__xludf.DUMMYFUNCTION("""COMPUTED_VALUE"""),34.0)</f>
        <v>34</v>
      </c>
      <c r="E39" s="2"/>
      <c r="F39" s="2"/>
    </row>
    <row r="40">
      <c r="A40" s="2">
        <f>IFERROR(__xludf.DUMMYFUNCTION("""COMPUTED_VALUE"""),128216.0)</f>
        <v>128216</v>
      </c>
      <c r="B40" s="2">
        <f>IFERROR(__xludf.DUMMYFUNCTION("""COMPUTED_VALUE"""),0.0)</f>
        <v>0</v>
      </c>
      <c r="C40" s="2">
        <f>IFERROR(__xludf.DUMMYFUNCTION("""COMPUTED_VALUE"""),141.0)</f>
        <v>141</v>
      </c>
      <c r="D40" s="3">
        <f>IFERROR(__xludf.DUMMYFUNCTION("""COMPUTED_VALUE"""),141.0)</f>
        <v>141</v>
      </c>
      <c r="E40" s="2"/>
      <c r="F40" s="2"/>
    </row>
    <row r="41">
      <c r="A41" s="2">
        <f>IFERROR(__xludf.DUMMYFUNCTION("""COMPUTED_VALUE"""),93049.0)</f>
        <v>93049</v>
      </c>
      <c r="B41" s="2">
        <f>IFERROR(__xludf.DUMMYFUNCTION("""COMPUTED_VALUE"""),0.0)</f>
        <v>0</v>
      </c>
      <c r="C41" s="2">
        <f>IFERROR(__xludf.DUMMYFUNCTION("""COMPUTED_VALUE"""),34.0)</f>
        <v>34</v>
      </c>
      <c r="D41" s="3">
        <f>IFERROR(__xludf.DUMMYFUNCTION("""COMPUTED_VALUE"""),34.0)</f>
        <v>34</v>
      </c>
      <c r="E41" s="2"/>
      <c r="F41" s="2"/>
    </row>
    <row r="42">
      <c r="A42" s="2">
        <f>IFERROR(__xludf.DUMMYFUNCTION("""COMPUTED_VALUE"""),118216.0)</f>
        <v>118216</v>
      </c>
      <c r="B42" s="2">
        <f>IFERROR(__xludf.DUMMYFUNCTION("""COMPUTED_VALUE"""),0.0)</f>
        <v>0</v>
      </c>
      <c r="C42" s="2">
        <f>IFERROR(__xludf.DUMMYFUNCTION("""COMPUTED_VALUE"""),0.0)</f>
        <v>0</v>
      </c>
      <c r="D42" s="3">
        <f>IFERROR(__xludf.DUMMYFUNCTION("""COMPUTED_VALUE"""),0.0)</f>
        <v>0</v>
      </c>
      <c r="E42" s="2"/>
      <c r="F42" s="2"/>
    </row>
    <row r="43">
      <c r="A43" s="2">
        <f>IFERROR(__xludf.DUMMYFUNCTION("""COMPUTED_VALUE"""),118221.0)</f>
        <v>118221</v>
      </c>
      <c r="B43" s="2">
        <f>IFERROR(__xludf.DUMMYFUNCTION("""COMPUTED_VALUE"""),1.0)</f>
        <v>1</v>
      </c>
      <c r="C43" s="2">
        <f>IFERROR(__xludf.DUMMYFUNCTION("""COMPUTED_VALUE"""),99.0)</f>
        <v>99</v>
      </c>
      <c r="D43" s="3">
        <f>IFERROR(__xludf.DUMMYFUNCTION("""COMPUTED_VALUE"""),99.0)</f>
        <v>99</v>
      </c>
      <c r="E43" s="2"/>
      <c r="F43" s="2"/>
    </row>
    <row r="44">
      <c r="A44" s="2">
        <f>IFERROR(__xludf.DUMMYFUNCTION("""COMPUTED_VALUE"""),92900.0)</f>
        <v>92900</v>
      </c>
      <c r="B44" s="2">
        <f>IFERROR(__xludf.DUMMYFUNCTION("""COMPUTED_VALUE"""),0.0)</f>
        <v>0</v>
      </c>
      <c r="C44" s="2">
        <f>IFERROR(__xludf.DUMMYFUNCTION("""COMPUTED_VALUE"""),167.0)</f>
        <v>167</v>
      </c>
      <c r="D44" s="3">
        <f>IFERROR(__xludf.DUMMYFUNCTION("""COMPUTED_VALUE"""),131.0)</f>
        <v>131</v>
      </c>
      <c r="E44" s="2"/>
      <c r="F44" s="2"/>
    </row>
    <row r="45">
      <c r="A45" s="2">
        <f>IFERROR(__xludf.DUMMYFUNCTION("""COMPUTED_VALUE"""),118215.0)</f>
        <v>118215</v>
      </c>
      <c r="B45" s="2">
        <f>IFERROR(__xludf.DUMMYFUNCTION("""COMPUTED_VALUE"""),1.0)</f>
        <v>1</v>
      </c>
      <c r="C45" s="2">
        <f>IFERROR(__xludf.DUMMYFUNCTION("""COMPUTED_VALUE"""),100.0)</f>
        <v>100</v>
      </c>
      <c r="D45" s="3">
        <f>IFERROR(__xludf.DUMMYFUNCTION("""COMPUTED_VALUE"""),46.0)</f>
        <v>46</v>
      </c>
      <c r="E45" s="2"/>
      <c r="F45" s="2"/>
    </row>
    <row r="46">
      <c r="A46" s="2">
        <f>IFERROR(__xludf.DUMMYFUNCTION("""COMPUTED_VALUE"""),19832.0)</f>
        <v>19832</v>
      </c>
      <c r="B46" s="2">
        <f>IFERROR(__xludf.DUMMYFUNCTION("""COMPUTED_VALUE"""),1.0)</f>
        <v>1</v>
      </c>
      <c r="C46" s="2">
        <f>IFERROR(__xludf.DUMMYFUNCTION("""COMPUTED_VALUE"""),594.0)</f>
        <v>594</v>
      </c>
      <c r="D46" s="3">
        <f>IFERROR(__xludf.DUMMYFUNCTION("""COMPUTED_VALUE"""),558.0)</f>
        <v>558</v>
      </c>
      <c r="E46" s="2"/>
      <c r="F46" s="2"/>
    </row>
    <row r="47">
      <c r="A47" s="2">
        <f>IFERROR(__xludf.DUMMYFUNCTION("""COMPUTED_VALUE"""),93071.0)</f>
        <v>93071</v>
      </c>
      <c r="B47" s="2">
        <f>IFERROR(__xludf.DUMMYFUNCTION("""COMPUTED_VALUE"""),1.0)</f>
        <v>1</v>
      </c>
      <c r="C47" s="2">
        <f>IFERROR(__xludf.DUMMYFUNCTION("""COMPUTED_VALUE"""),199.0)</f>
        <v>199</v>
      </c>
      <c r="D47" s="3">
        <f>IFERROR(__xludf.DUMMYFUNCTION("""COMPUTED_VALUE"""),19.0)</f>
        <v>19</v>
      </c>
      <c r="E47" s="2"/>
      <c r="F47" s="2"/>
    </row>
    <row r="48">
      <c r="A48" s="2">
        <f>IFERROR(__xludf.DUMMYFUNCTION("""COMPUTED_VALUE"""),122395.0)</f>
        <v>122395</v>
      </c>
      <c r="B48" s="2">
        <f>IFERROR(__xludf.DUMMYFUNCTION("""COMPUTED_VALUE"""),1.0)</f>
        <v>1</v>
      </c>
      <c r="C48" s="2">
        <f>IFERROR(__xludf.DUMMYFUNCTION("""COMPUTED_VALUE"""),76.0)</f>
        <v>76</v>
      </c>
      <c r="D48" s="3">
        <f>IFERROR(__xludf.DUMMYFUNCTION("""COMPUTED_VALUE"""),2.0)</f>
        <v>2</v>
      </c>
      <c r="E48" s="2"/>
      <c r="F48" s="2"/>
    </row>
    <row r="49">
      <c r="A49" s="2">
        <f>IFERROR(__xludf.DUMMYFUNCTION("""COMPUTED_VALUE"""),116946.0)</f>
        <v>116946</v>
      </c>
      <c r="B49" s="2">
        <f>IFERROR(__xludf.DUMMYFUNCTION("""COMPUTED_VALUE"""),1.0)</f>
        <v>1</v>
      </c>
      <c r="C49" s="2">
        <f>IFERROR(__xludf.DUMMYFUNCTION("""COMPUTED_VALUE"""),144.0)</f>
        <v>144</v>
      </c>
      <c r="D49" s="3">
        <f>IFERROR(__xludf.DUMMYFUNCTION("""COMPUTED_VALUE"""),85.0)</f>
        <v>85</v>
      </c>
      <c r="E49" s="2"/>
      <c r="F49" s="2"/>
    </row>
    <row r="50">
      <c r="A50" s="2">
        <f>IFERROR(__xludf.DUMMYFUNCTION("""COMPUTED_VALUE"""),97538.0)</f>
        <v>97538</v>
      </c>
      <c r="B50" s="2">
        <f>IFERROR(__xludf.DUMMYFUNCTION("""COMPUTED_VALUE"""),1.0)</f>
        <v>1</v>
      </c>
      <c r="C50" s="2">
        <f>IFERROR(__xludf.DUMMYFUNCTION("""COMPUTED_VALUE"""),135.0)</f>
        <v>135</v>
      </c>
      <c r="D50" s="3">
        <f>IFERROR(__xludf.DUMMYFUNCTION("""COMPUTED_VALUE"""),82.0)</f>
        <v>82</v>
      </c>
      <c r="E50" s="2"/>
      <c r="F50" s="2"/>
    </row>
    <row r="51">
      <c r="A51" s="2">
        <f>IFERROR(__xludf.DUMMYFUNCTION("""COMPUTED_VALUE"""),127238.0)</f>
        <v>127238</v>
      </c>
      <c r="B51" s="2">
        <f>IFERROR(__xludf.DUMMYFUNCTION("""COMPUTED_VALUE"""),1.0)</f>
        <v>1</v>
      </c>
      <c r="C51" s="2">
        <f>IFERROR(__xludf.DUMMYFUNCTION("""COMPUTED_VALUE"""),147.0)</f>
        <v>147</v>
      </c>
      <c r="D51" s="3">
        <f>IFERROR(__xludf.DUMMYFUNCTION("""COMPUTED_VALUE"""),88.0)</f>
        <v>88</v>
      </c>
      <c r="E51" s="2"/>
      <c r="F51" s="2"/>
    </row>
    <row r="52">
      <c r="A52" s="2">
        <f>IFERROR(__xludf.DUMMYFUNCTION("""COMPUTED_VALUE"""),81646.0)</f>
        <v>81646</v>
      </c>
      <c r="B52" s="2">
        <f>IFERROR(__xludf.DUMMYFUNCTION("""COMPUTED_VALUE"""),1.0)</f>
        <v>1</v>
      </c>
      <c r="C52" s="2">
        <f>IFERROR(__xludf.DUMMYFUNCTION("""COMPUTED_VALUE"""),399.0)</f>
        <v>399</v>
      </c>
      <c r="D52" s="3">
        <f>IFERROR(__xludf.DUMMYFUNCTION("""COMPUTED_VALUE"""),159.0)</f>
        <v>159</v>
      </c>
      <c r="E52" s="2"/>
      <c r="F52" s="2"/>
    </row>
    <row r="53">
      <c r="A53" s="2">
        <f>IFERROR(__xludf.DUMMYFUNCTION("""COMPUTED_VALUE"""),81643.0)</f>
        <v>81643</v>
      </c>
      <c r="B53" s="2">
        <f>IFERROR(__xludf.DUMMYFUNCTION("""COMPUTED_VALUE"""),1.0)</f>
        <v>1</v>
      </c>
      <c r="C53" s="2">
        <f>IFERROR(__xludf.DUMMYFUNCTION("""COMPUTED_VALUE"""),927.0)</f>
        <v>927</v>
      </c>
      <c r="D53" s="3">
        <f>IFERROR(__xludf.DUMMYFUNCTION("""COMPUTED_VALUE"""),301.0)</f>
        <v>301</v>
      </c>
      <c r="E53" s="2"/>
      <c r="F53" s="2"/>
    </row>
    <row r="54">
      <c r="A54" s="2">
        <f>IFERROR(__xludf.DUMMYFUNCTION("""COMPUTED_VALUE"""),128215.0)</f>
        <v>128215</v>
      </c>
      <c r="B54" s="2">
        <f>IFERROR(__xludf.DUMMYFUNCTION("""COMPUTED_VALUE"""),1.0)</f>
        <v>1</v>
      </c>
      <c r="C54" s="2">
        <f>IFERROR(__xludf.DUMMYFUNCTION("""COMPUTED_VALUE"""),389.0)</f>
        <v>389</v>
      </c>
      <c r="D54" s="3">
        <f>IFERROR(__xludf.DUMMYFUNCTION("""COMPUTED_VALUE"""),243.0)</f>
        <v>243</v>
      </c>
      <c r="E54" s="2"/>
      <c r="F54" s="2"/>
    </row>
    <row r="55">
      <c r="A55" s="2">
        <f>IFERROR(__xludf.DUMMYFUNCTION("""COMPUTED_VALUE"""),108022.0)</f>
        <v>108022</v>
      </c>
      <c r="B55" s="2">
        <f>IFERROR(__xludf.DUMMYFUNCTION("""COMPUTED_VALUE"""),1.0)</f>
        <v>1</v>
      </c>
      <c r="C55" s="2">
        <f>IFERROR(__xludf.DUMMYFUNCTION("""COMPUTED_VALUE"""),455.0)</f>
        <v>455</v>
      </c>
      <c r="D55" s="3">
        <f>IFERROR(__xludf.DUMMYFUNCTION("""COMPUTED_VALUE"""),285.0)</f>
        <v>285</v>
      </c>
      <c r="E55" s="2"/>
      <c r="F55" s="2"/>
    </row>
    <row r="56">
      <c r="A56" s="2">
        <f>IFERROR(__xludf.DUMMYFUNCTION("""COMPUTED_VALUE"""),81647.0)</f>
        <v>81647</v>
      </c>
      <c r="B56" s="2">
        <f>IFERROR(__xludf.DUMMYFUNCTION("""COMPUTED_VALUE"""),0.0)</f>
        <v>0</v>
      </c>
      <c r="C56" s="2">
        <f>IFERROR(__xludf.DUMMYFUNCTION("""COMPUTED_VALUE"""),547.0)</f>
        <v>547</v>
      </c>
      <c r="D56" s="3">
        <f>IFERROR(__xludf.DUMMYFUNCTION("""COMPUTED_VALUE"""),227.0)</f>
        <v>227</v>
      </c>
      <c r="E56" s="2"/>
      <c r="F56" s="2"/>
    </row>
    <row r="57">
      <c r="A57" s="2">
        <f>IFERROR(__xludf.DUMMYFUNCTION("""COMPUTED_VALUE"""),83603.0)</f>
        <v>83603</v>
      </c>
      <c r="B57" s="2">
        <f>IFERROR(__xludf.DUMMYFUNCTION("""COMPUTED_VALUE"""),1.0)</f>
        <v>1</v>
      </c>
      <c r="C57" s="2">
        <f>IFERROR(__xludf.DUMMYFUNCTION("""COMPUTED_VALUE"""),870.0)</f>
        <v>870</v>
      </c>
      <c r="D57" s="3">
        <f>IFERROR(__xludf.DUMMYFUNCTION("""COMPUTED_VALUE"""),105.0)</f>
        <v>105</v>
      </c>
      <c r="E57" s="2"/>
      <c r="F57" s="2"/>
    </row>
    <row r="58">
      <c r="A58" s="2">
        <f>IFERROR(__xludf.DUMMYFUNCTION("""COMPUTED_VALUE"""),118219.0)</f>
        <v>118219</v>
      </c>
      <c r="B58" s="2">
        <f>IFERROR(__xludf.DUMMYFUNCTION("""COMPUTED_VALUE"""),1.0)</f>
        <v>1</v>
      </c>
      <c r="C58" s="2">
        <f>IFERROR(__xludf.DUMMYFUNCTION("""COMPUTED_VALUE"""),397.0)</f>
        <v>397</v>
      </c>
      <c r="D58" s="3">
        <f>IFERROR(__xludf.DUMMYFUNCTION("""COMPUTED_VALUE"""),207.0)</f>
        <v>207</v>
      </c>
      <c r="E58" s="2"/>
      <c r="F58" s="2"/>
    </row>
    <row r="59">
      <c r="A59" s="2">
        <f>IFERROR(__xludf.DUMMYFUNCTION("""COMPUTED_VALUE"""),120952.0)</f>
        <v>120952</v>
      </c>
      <c r="B59" s="2">
        <f>IFERROR(__xludf.DUMMYFUNCTION("""COMPUTED_VALUE"""),1.0)</f>
        <v>1</v>
      </c>
      <c r="C59" s="2">
        <f>IFERROR(__xludf.DUMMYFUNCTION("""COMPUTED_VALUE"""),134.0)</f>
        <v>134</v>
      </c>
      <c r="D59" s="3">
        <f>IFERROR(__xludf.DUMMYFUNCTION("""COMPUTED_VALUE"""),78.0)</f>
        <v>78</v>
      </c>
      <c r="E59" s="2"/>
      <c r="F59" s="2"/>
    </row>
    <row r="60">
      <c r="A60" s="2">
        <f>IFERROR(__xludf.DUMMYFUNCTION("""COMPUTED_VALUE"""),81658.0)</f>
        <v>81658</v>
      </c>
      <c r="B60" s="2">
        <f>IFERROR(__xludf.DUMMYFUNCTION("""COMPUTED_VALUE"""),1.0)</f>
        <v>1</v>
      </c>
      <c r="C60" s="2">
        <f>IFERROR(__xludf.DUMMYFUNCTION("""COMPUTED_VALUE"""),685.0)</f>
        <v>685</v>
      </c>
      <c r="D60" s="3">
        <f>IFERROR(__xludf.DUMMYFUNCTION("""COMPUTED_VALUE"""),42.0)</f>
        <v>42</v>
      </c>
      <c r="E60" s="2"/>
      <c r="F60" s="2"/>
    </row>
    <row r="61">
      <c r="A61" s="2">
        <f>IFERROR(__xludf.DUMMYFUNCTION("""COMPUTED_VALUE"""),93047.0)</f>
        <v>93047</v>
      </c>
      <c r="B61" s="2">
        <f>IFERROR(__xludf.DUMMYFUNCTION("""COMPUTED_VALUE"""),0.0)</f>
        <v>0</v>
      </c>
      <c r="C61" s="2">
        <f>IFERROR(__xludf.DUMMYFUNCTION("""COMPUTED_VALUE"""),525.0)</f>
        <v>525</v>
      </c>
      <c r="D61" s="3">
        <f>IFERROR(__xludf.DUMMYFUNCTION("""COMPUTED_VALUE"""),306.0)</f>
        <v>306</v>
      </c>
      <c r="E61" s="2"/>
      <c r="F61" s="2"/>
    </row>
    <row r="62">
      <c r="A62" s="2">
        <f>IFERROR(__xludf.DUMMYFUNCTION("""COMPUTED_VALUE"""),83807.0)</f>
        <v>83807</v>
      </c>
      <c r="B62" s="2">
        <f>IFERROR(__xludf.DUMMYFUNCTION("""COMPUTED_VALUE"""),1.0)</f>
        <v>1</v>
      </c>
      <c r="C62" s="2">
        <f>IFERROR(__xludf.DUMMYFUNCTION("""COMPUTED_VALUE"""),596.0)</f>
        <v>596</v>
      </c>
      <c r="D62" s="3">
        <f>IFERROR(__xludf.DUMMYFUNCTION("""COMPUTED_VALUE"""),321.0)</f>
        <v>321</v>
      </c>
      <c r="E62" s="2"/>
      <c r="F62" s="2"/>
    </row>
    <row r="63">
      <c r="A63" s="2">
        <f>IFERROR(__xludf.DUMMYFUNCTION("""COMPUTED_VALUE"""),92915.0)</f>
        <v>92915</v>
      </c>
      <c r="B63" s="2">
        <f>IFERROR(__xludf.DUMMYFUNCTION("""COMPUTED_VALUE"""),0.0)</f>
        <v>0</v>
      </c>
      <c r="C63" s="2">
        <f>IFERROR(__xludf.DUMMYFUNCTION("""COMPUTED_VALUE"""),861.0)</f>
        <v>861</v>
      </c>
      <c r="D63" s="3">
        <f>IFERROR(__xludf.DUMMYFUNCTION("""COMPUTED_VALUE"""),576.0)</f>
        <v>576</v>
      </c>
      <c r="E63" s="2"/>
      <c r="F63" s="2"/>
    </row>
    <row r="64">
      <c r="A64" s="2">
        <f>IFERROR(__xludf.DUMMYFUNCTION("""COMPUTED_VALUE"""),81653.0)</f>
        <v>81653</v>
      </c>
      <c r="B64" s="2">
        <f>IFERROR(__xludf.DUMMYFUNCTION("""COMPUTED_VALUE"""),0.0)</f>
        <v>0</v>
      </c>
      <c r="C64" s="2">
        <f>IFERROR(__xludf.DUMMYFUNCTION("""COMPUTED_VALUE"""),64.0)</f>
        <v>64</v>
      </c>
      <c r="D64" s="3">
        <f>IFERROR(__xludf.DUMMYFUNCTION("""COMPUTED_VALUE"""),31.0)</f>
        <v>31</v>
      </c>
      <c r="E64" s="2"/>
      <c r="F64" s="2"/>
    </row>
    <row r="65">
      <c r="A65" s="2">
        <f>IFERROR(__xludf.DUMMYFUNCTION("""COMPUTED_VALUE"""),81618.0)</f>
        <v>81618</v>
      </c>
      <c r="B65" s="2">
        <f>IFERROR(__xludf.DUMMYFUNCTION("""COMPUTED_VALUE"""),1.0)</f>
        <v>1</v>
      </c>
      <c r="C65" s="2">
        <f>IFERROR(__xludf.DUMMYFUNCTION("""COMPUTED_VALUE"""),124.0)</f>
        <v>124</v>
      </c>
      <c r="D65" s="3">
        <f>IFERROR(__xludf.DUMMYFUNCTION("""COMPUTED_VALUE"""),37.0)</f>
        <v>37</v>
      </c>
      <c r="E65" s="2"/>
      <c r="F65" s="2"/>
    </row>
    <row r="66">
      <c r="A66" s="2">
        <f>IFERROR(__xludf.DUMMYFUNCTION("""COMPUTED_VALUE"""),118241.0)</f>
        <v>118241</v>
      </c>
      <c r="B66" s="2">
        <f>IFERROR(__xludf.DUMMYFUNCTION("""COMPUTED_VALUE"""),1.0)</f>
        <v>1</v>
      </c>
      <c r="C66" s="2">
        <f>IFERROR(__xludf.DUMMYFUNCTION("""COMPUTED_VALUE"""),897.0)</f>
        <v>897</v>
      </c>
      <c r="D66" s="3">
        <f>IFERROR(__xludf.DUMMYFUNCTION("""COMPUTED_VALUE"""),1.0)</f>
        <v>1</v>
      </c>
      <c r="E66" s="2"/>
      <c r="F66" s="2"/>
    </row>
    <row r="67">
      <c r="A67" s="2">
        <f>IFERROR(__xludf.DUMMYFUNCTION("""COMPUTED_VALUE"""),48634.0)</f>
        <v>48634</v>
      </c>
      <c r="B67" s="2">
        <f>IFERROR(__xludf.DUMMYFUNCTION("""COMPUTED_VALUE"""),1.0)</f>
        <v>1</v>
      </c>
      <c r="C67" s="2">
        <f>IFERROR(__xludf.DUMMYFUNCTION("""COMPUTED_VALUE"""),832.0)</f>
        <v>832</v>
      </c>
      <c r="D67" s="3">
        <f>IFERROR(__xludf.DUMMYFUNCTION("""COMPUTED_VALUE"""),180.0)</f>
        <v>180</v>
      </c>
      <c r="E67" s="2"/>
      <c r="F67" s="2"/>
    </row>
    <row r="68">
      <c r="A68" s="2">
        <f>IFERROR(__xludf.DUMMYFUNCTION("""COMPUTED_VALUE"""),48636.0)</f>
        <v>48636</v>
      </c>
      <c r="B68" s="2">
        <f>IFERROR(__xludf.DUMMYFUNCTION("""COMPUTED_VALUE"""),1.0)</f>
        <v>1</v>
      </c>
      <c r="C68" s="2">
        <f>IFERROR(__xludf.DUMMYFUNCTION("""COMPUTED_VALUE"""),37.0)</f>
        <v>37</v>
      </c>
      <c r="D68" s="3">
        <f>IFERROR(__xludf.DUMMYFUNCTION("""COMPUTED_VALUE"""),10.0)</f>
        <v>10</v>
      </c>
      <c r="E68" s="2"/>
      <c r="F68" s="2"/>
    </row>
    <row r="69">
      <c r="A69" s="2">
        <f>IFERROR(__xludf.DUMMYFUNCTION("""COMPUTED_VALUE"""),48629.0)</f>
        <v>48629</v>
      </c>
      <c r="B69" s="2">
        <f>IFERROR(__xludf.DUMMYFUNCTION("""COMPUTED_VALUE"""),1.0)</f>
        <v>1</v>
      </c>
      <c r="C69" s="2">
        <f>IFERROR(__xludf.DUMMYFUNCTION("""COMPUTED_VALUE"""),935.0)</f>
        <v>935</v>
      </c>
      <c r="D69" s="3">
        <f>IFERROR(__xludf.DUMMYFUNCTION("""COMPUTED_VALUE"""),635.0)</f>
        <v>635</v>
      </c>
      <c r="E69" s="2"/>
      <c r="F69" s="2"/>
    </row>
    <row r="70">
      <c r="A70" s="2">
        <f>IFERROR(__xludf.DUMMYFUNCTION("""COMPUTED_VALUE"""),47400.0)</f>
        <v>47400</v>
      </c>
      <c r="B70" s="2">
        <f>IFERROR(__xludf.DUMMYFUNCTION("""COMPUTED_VALUE"""),1.0)</f>
        <v>1</v>
      </c>
      <c r="C70" s="2">
        <f>IFERROR(__xludf.DUMMYFUNCTION("""COMPUTED_VALUE"""),868.0)</f>
        <v>868</v>
      </c>
      <c r="D70" s="3">
        <f>IFERROR(__xludf.DUMMYFUNCTION("""COMPUTED_VALUE"""),396.0)</f>
        <v>396</v>
      </c>
      <c r="E70" s="2"/>
      <c r="F70" s="2"/>
    </row>
    <row r="71">
      <c r="A71" s="2">
        <f>IFERROR(__xludf.DUMMYFUNCTION("""COMPUTED_VALUE"""),111237.0)</f>
        <v>111237</v>
      </c>
      <c r="B71" s="2">
        <f>IFERROR(__xludf.DUMMYFUNCTION("""COMPUTED_VALUE"""),0.0)</f>
        <v>0</v>
      </c>
      <c r="C71" s="2">
        <f>IFERROR(__xludf.DUMMYFUNCTION("""COMPUTED_VALUE"""),445.0)</f>
        <v>445</v>
      </c>
      <c r="D71" s="3">
        <f>IFERROR(__xludf.DUMMYFUNCTION("""COMPUTED_VALUE"""),128.0)</f>
        <v>128</v>
      </c>
      <c r="E71" s="2"/>
      <c r="F71" s="2"/>
    </row>
    <row r="72">
      <c r="A72" s="2">
        <f>IFERROR(__xludf.DUMMYFUNCTION("""COMPUTED_VALUE"""),18042.0)</f>
        <v>18042</v>
      </c>
      <c r="B72" s="2">
        <f>IFERROR(__xludf.DUMMYFUNCTION("""COMPUTED_VALUE"""),0.0)</f>
        <v>0</v>
      </c>
      <c r="C72" s="2">
        <f>IFERROR(__xludf.DUMMYFUNCTION("""COMPUTED_VALUE"""),232.0)</f>
        <v>232</v>
      </c>
      <c r="D72" s="3">
        <f>IFERROR(__xludf.DUMMYFUNCTION("""COMPUTED_VALUE"""),214.0)</f>
        <v>214</v>
      </c>
      <c r="E72" s="2"/>
      <c r="F72" s="2"/>
    </row>
    <row r="73">
      <c r="A73" s="2">
        <f>IFERROR(__xludf.DUMMYFUNCTION("""COMPUTED_VALUE"""),114978.0)</f>
        <v>114978</v>
      </c>
      <c r="B73" s="2">
        <f>IFERROR(__xludf.DUMMYFUNCTION("""COMPUTED_VALUE"""),0.0)</f>
        <v>0</v>
      </c>
      <c r="C73" s="2">
        <f>IFERROR(__xludf.DUMMYFUNCTION("""COMPUTED_VALUE"""),315.0)</f>
        <v>315</v>
      </c>
      <c r="D73" s="3">
        <f>IFERROR(__xludf.DUMMYFUNCTION("""COMPUTED_VALUE"""),278.0)</f>
        <v>278</v>
      </c>
      <c r="E73" s="2"/>
      <c r="F73" s="2"/>
    </row>
    <row r="74">
      <c r="A74" s="2">
        <f>IFERROR(__xludf.DUMMYFUNCTION("""COMPUTED_VALUE"""),82980.0)</f>
        <v>82980</v>
      </c>
      <c r="B74" s="2">
        <f>IFERROR(__xludf.DUMMYFUNCTION("""COMPUTED_VALUE"""),1.0)</f>
        <v>1</v>
      </c>
      <c r="C74" s="2">
        <f>IFERROR(__xludf.DUMMYFUNCTION("""COMPUTED_VALUE"""),356.0)</f>
        <v>356</v>
      </c>
      <c r="D74" s="3">
        <f>IFERROR(__xludf.DUMMYFUNCTION("""COMPUTED_VALUE"""),164.0)</f>
        <v>164</v>
      </c>
      <c r="E74" s="2"/>
      <c r="F74" s="2"/>
    </row>
    <row r="75">
      <c r="A75" s="2">
        <f>IFERROR(__xludf.DUMMYFUNCTION("""COMPUTED_VALUE"""),83093.0)</f>
        <v>83093</v>
      </c>
      <c r="B75" s="2">
        <f>IFERROR(__xludf.DUMMYFUNCTION("""COMPUTED_VALUE"""),0.0)</f>
        <v>0</v>
      </c>
      <c r="C75" s="2">
        <f>IFERROR(__xludf.DUMMYFUNCTION("""COMPUTED_VALUE"""),442.0)</f>
        <v>442</v>
      </c>
      <c r="D75" s="3">
        <f>IFERROR(__xludf.DUMMYFUNCTION("""COMPUTED_VALUE"""),385.0)</f>
        <v>385</v>
      </c>
      <c r="E75" s="2"/>
      <c r="F75" s="2"/>
    </row>
    <row r="76">
      <c r="A76" s="2">
        <f>IFERROR(__xludf.DUMMYFUNCTION("""COMPUTED_VALUE"""),18134.0)</f>
        <v>18134</v>
      </c>
      <c r="B76" s="2">
        <f>IFERROR(__xludf.DUMMYFUNCTION("""COMPUTED_VALUE"""),0.0)</f>
        <v>0</v>
      </c>
      <c r="C76" s="2">
        <f>IFERROR(__xludf.DUMMYFUNCTION("""COMPUTED_VALUE"""),492.0)</f>
        <v>492</v>
      </c>
      <c r="D76" s="3">
        <f>IFERROR(__xludf.DUMMYFUNCTION("""COMPUTED_VALUE"""),381.0)</f>
        <v>381</v>
      </c>
      <c r="E76" s="2"/>
      <c r="F76" s="2"/>
    </row>
    <row r="77">
      <c r="A77" s="2">
        <f>IFERROR(__xludf.DUMMYFUNCTION("""COMPUTED_VALUE"""),107857.0)</f>
        <v>107857</v>
      </c>
      <c r="B77" s="2">
        <f>IFERROR(__xludf.DUMMYFUNCTION("""COMPUTED_VALUE"""),0.0)</f>
        <v>0</v>
      </c>
      <c r="C77" s="2">
        <f>IFERROR(__xludf.DUMMYFUNCTION("""COMPUTED_VALUE"""),645.0)</f>
        <v>645</v>
      </c>
      <c r="D77" s="3">
        <f>IFERROR(__xludf.DUMMYFUNCTION("""COMPUTED_VALUE"""),327.0)</f>
        <v>327</v>
      </c>
      <c r="E77" s="2"/>
      <c r="F77" s="2"/>
    </row>
    <row r="78">
      <c r="A78" s="2">
        <f>IFERROR(__xludf.DUMMYFUNCTION("""COMPUTED_VALUE"""),18136.0)</f>
        <v>18136</v>
      </c>
      <c r="B78" s="2">
        <f>IFERROR(__xludf.DUMMYFUNCTION("""COMPUTED_VALUE"""),1.0)</f>
        <v>1</v>
      </c>
      <c r="C78" s="2">
        <f>IFERROR(__xludf.DUMMYFUNCTION("""COMPUTED_VALUE"""),863.0)</f>
        <v>863</v>
      </c>
      <c r="D78" s="3">
        <f>IFERROR(__xludf.DUMMYFUNCTION("""COMPUTED_VALUE"""),821.0)</f>
        <v>821</v>
      </c>
      <c r="E78" s="2"/>
      <c r="F78" s="2"/>
    </row>
    <row r="79">
      <c r="A79" s="2">
        <f>IFERROR(__xludf.DUMMYFUNCTION("""COMPUTED_VALUE"""),69138.0)</f>
        <v>69138</v>
      </c>
      <c r="B79" s="2">
        <f>IFERROR(__xludf.DUMMYFUNCTION("""COMPUTED_VALUE"""),1.0)</f>
        <v>1</v>
      </c>
      <c r="C79" s="2">
        <f>IFERROR(__xludf.DUMMYFUNCTION("""COMPUTED_VALUE"""),43.0)</f>
        <v>43</v>
      </c>
      <c r="D79" s="3">
        <f>IFERROR(__xludf.DUMMYFUNCTION("""COMPUTED_VALUE"""),27.0)</f>
        <v>27</v>
      </c>
      <c r="E79" s="2"/>
      <c r="F79" s="2"/>
    </row>
    <row r="80">
      <c r="A80" s="2">
        <f>IFERROR(__xludf.DUMMYFUNCTION("""COMPUTED_VALUE"""),74828.0)</f>
        <v>74828</v>
      </c>
      <c r="B80" s="2">
        <f>IFERROR(__xludf.DUMMYFUNCTION("""COMPUTED_VALUE"""),0.0)</f>
        <v>0</v>
      </c>
      <c r="C80" s="2">
        <f>IFERROR(__xludf.DUMMYFUNCTION("""COMPUTED_VALUE"""),654.0)</f>
        <v>654</v>
      </c>
      <c r="D80" s="3">
        <f>IFERROR(__xludf.DUMMYFUNCTION("""COMPUTED_VALUE"""),613.0)</f>
        <v>613</v>
      </c>
      <c r="E80" s="2"/>
      <c r="F80" s="2"/>
    </row>
    <row r="81">
      <c r="A81" s="2">
        <f>IFERROR(__xludf.DUMMYFUNCTION("""COMPUTED_VALUE"""),74884.0)</f>
        <v>74884</v>
      </c>
      <c r="B81" s="2">
        <f>IFERROR(__xludf.DUMMYFUNCTION("""COMPUTED_VALUE"""),1.0)</f>
        <v>1</v>
      </c>
      <c r="C81" s="2">
        <f>IFERROR(__xludf.DUMMYFUNCTION("""COMPUTED_VALUE"""),2.0)</f>
        <v>2</v>
      </c>
      <c r="D81" s="3">
        <f>IFERROR(__xludf.DUMMYFUNCTION("""COMPUTED_VALUE"""),2.0)</f>
        <v>2</v>
      </c>
      <c r="E81" s="2"/>
      <c r="F81" s="2"/>
    </row>
    <row r="82">
      <c r="A82" s="2">
        <f>IFERROR(__xludf.DUMMYFUNCTION("""COMPUTED_VALUE"""),127232.0)</f>
        <v>127232</v>
      </c>
      <c r="B82" s="2">
        <f>IFERROR(__xludf.DUMMYFUNCTION("""COMPUTED_VALUE"""),1.0)</f>
        <v>1</v>
      </c>
      <c r="C82" s="2">
        <f>IFERROR(__xludf.DUMMYFUNCTION("""COMPUTED_VALUE"""),705.0)</f>
        <v>705</v>
      </c>
      <c r="D82" s="3">
        <f>IFERROR(__xludf.DUMMYFUNCTION("""COMPUTED_VALUE"""),648.0)</f>
        <v>648</v>
      </c>
      <c r="E82" s="2"/>
      <c r="F82" s="2"/>
    </row>
    <row r="83">
      <c r="A83" s="2">
        <f>IFERROR(__xludf.DUMMYFUNCTION("""COMPUTED_VALUE"""),82979.0)</f>
        <v>82979</v>
      </c>
      <c r="B83" s="2">
        <f>IFERROR(__xludf.DUMMYFUNCTION("""COMPUTED_VALUE"""),1.0)</f>
        <v>1</v>
      </c>
      <c r="C83" s="2">
        <f>IFERROR(__xludf.DUMMYFUNCTION("""COMPUTED_VALUE"""),774.0)</f>
        <v>774</v>
      </c>
      <c r="D83" s="3">
        <f>IFERROR(__xludf.DUMMYFUNCTION("""COMPUTED_VALUE"""),723.0)</f>
        <v>723</v>
      </c>
      <c r="E83" s="2"/>
      <c r="F83" s="2"/>
    </row>
    <row r="84">
      <c r="A84" s="2">
        <f>IFERROR(__xludf.DUMMYFUNCTION("""COMPUTED_VALUE"""),18138.0)</f>
        <v>18138</v>
      </c>
      <c r="B84" s="2">
        <f>IFERROR(__xludf.DUMMYFUNCTION("""COMPUTED_VALUE"""),0.0)</f>
        <v>0</v>
      </c>
      <c r="C84" s="2">
        <f>IFERROR(__xludf.DUMMYFUNCTION("""COMPUTED_VALUE"""),571.0)</f>
        <v>571</v>
      </c>
      <c r="D84" s="3">
        <f>IFERROR(__xludf.DUMMYFUNCTION("""COMPUTED_VALUE"""),353.0)</f>
        <v>353</v>
      </c>
      <c r="E84" s="2"/>
      <c r="F84" s="2"/>
    </row>
    <row r="85">
      <c r="A85" s="2">
        <f>IFERROR(__xludf.DUMMYFUNCTION("""COMPUTED_VALUE"""),127003.0)</f>
        <v>127003</v>
      </c>
      <c r="B85" s="2">
        <f>IFERROR(__xludf.DUMMYFUNCTION("""COMPUTED_VALUE"""),0.0)</f>
        <v>0</v>
      </c>
      <c r="C85" s="2">
        <f>IFERROR(__xludf.DUMMYFUNCTION("""COMPUTED_VALUE"""),735.0)</f>
        <v>735</v>
      </c>
      <c r="D85" s="3">
        <f>IFERROR(__xludf.DUMMYFUNCTION("""COMPUTED_VALUE"""),384.0)</f>
        <v>384</v>
      </c>
      <c r="E85" s="2"/>
      <c r="F85" s="2"/>
    </row>
    <row r="86">
      <c r="A86" s="2">
        <f>IFERROR(__xludf.DUMMYFUNCTION("""COMPUTED_VALUE"""),6036.0)</f>
        <v>6036</v>
      </c>
      <c r="B86" s="2">
        <f>IFERROR(__xludf.DUMMYFUNCTION("""COMPUTED_VALUE"""),1.0)</f>
        <v>1</v>
      </c>
      <c r="C86" s="2">
        <f>IFERROR(__xludf.DUMMYFUNCTION("""COMPUTED_VALUE"""),429.0)</f>
        <v>429</v>
      </c>
      <c r="D86" s="3">
        <f>IFERROR(__xludf.DUMMYFUNCTION("""COMPUTED_VALUE"""),420.0)</f>
        <v>420</v>
      </c>
      <c r="E86" s="2"/>
      <c r="F86" s="2"/>
    </row>
    <row r="87">
      <c r="A87" s="2">
        <f>IFERROR(__xludf.DUMMYFUNCTION("""COMPUTED_VALUE"""),6046.0)</f>
        <v>6046</v>
      </c>
      <c r="B87" s="2">
        <f>IFERROR(__xludf.DUMMYFUNCTION("""COMPUTED_VALUE"""),0.0)</f>
        <v>0</v>
      </c>
      <c r="C87" s="2">
        <f>IFERROR(__xludf.DUMMYFUNCTION("""COMPUTED_VALUE"""),732.0)</f>
        <v>732</v>
      </c>
      <c r="D87" s="3">
        <f>IFERROR(__xludf.DUMMYFUNCTION("""COMPUTED_VALUE"""),319.0)</f>
        <v>319</v>
      </c>
      <c r="E87" s="2"/>
      <c r="F87" s="2"/>
    </row>
    <row r="88">
      <c r="A88" s="2">
        <f>IFERROR(__xludf.DUMMYFUNCTION("""COMPUTED_VALUE"""),6037.0)</f>
        <v>6037</v>
      </c>
      <c r="B88" s="2">
        <f>IFERROR(__xludf.DUMMYFUNCTION("""COMPUTED_VALUE"""),0.0)</f>
        <v>0</v>
      </c>
      <c r="C88" s="2">
        <f>IFERROR(__xludf.DUMMYFUNCTION("""COMPUTED_VALUE"""),271.0)</f>
        <v>271</v>
      </c>
      <c r="D88" s="3">
        <f>IFERROR(__xludf.DUMMYFUNCTION("""COMPUTED_VALUE"""),227.0)</f>
        <v>227</v>
      </c>
      <c r="E88" s="2"/>
      <c r="F88" s="2"/>
    </row>
    <row r="89">
      <c r="A89" s="2">
        <f>IFERROR(__xludf.DUMMYFUNCTION("""COMPUTED_VALUE"""),6026.0)</f>
        <v>6026</v>
      </c>
      <c r="B89" s="2">
        <f>IFERROR(__xludf.DUMMYFUNCTION("""COMPUTED_VALUE"""),1.0)</f>
        <v>1</v>
      </c>
      <c r="C89" s="2">
        <f>IFERROR(__xludf.DUMMYFUNCTION("""COMPUTED_VALUE"""),111.0)</f>
        <v>111</v>
      </c>
      <c r="D89" s="3">
        <f>IFERROR(__xludf.DUMMYFUNCTION("""COMPUTED_VALUE"""),23.0)</f>
        <v>23</v>
      </c>
      <c r="E89" s="2"/>
      <c r="F89" s="2"/>
    </row>
    <row r="90">
      <c r="A90" s="2">
        <f>IFERROR(__xludf.DUMMYFUNCTION("""COMPUTED_VALUE"""),47431.0)</f>
        <v>47431</v>
      </c>
      <c r="B90" s="2">
        <f>IFERROR(__xludf.DUMMYFUNCTION("""COMPUTED_VALUE"""),0.0)</f>
        <v>0</v>
      </c>
      <c r="C90" s="2">
        <f>IFERROR(__xludf.DUMMYFUNCTION("""COMPUTED_VALUE"""),81.0)</f>
        <v>81</v>
      </c>
      <c r="D90" s="3">
        <f>IFERROR(__xludf.DUMMYFUNCTION("""COMPUTED_VALUE"""),6.0)</f>
        <v>6</v>
      </c>
      <c r="E90" s="2"/>
      <c r="F90" s="2"/>
    </row>
    <row r="91">
      <c r="A91" s="2">
        <f>IFERROR(__xludf.DUMMYFUNCTION("""COMPUTED_VALUE"""),82914.0)</f>
        <v>82914</v>
      </c>
      <c r="B91" s="2">
        <f>IFERROR(__xludf.DUMMYFUNCTION("""COMPUTED_VALUE"""),1.0)</f>
        <v>1</v>
      </c>
      <c r="C91" s="2">
        <f>IFERROR(__xludf.DUMMYFUNCTION("""COMPUTED_VALUE"""),486.0)</f>
        <v>486</v>
      </c>
      <c r="D91" s="3">
        <f>IFERROR(__xludf.DUMMYFUNCTION("""COMPUTED_VALUE"""),345.0)</f>
        <v>345</v>
      </c>
      <c r="E91" s="2"/>
      <c r="F91" s="2"/>
    </row>
    <row r="92">
      <c r="A92" s="2">
        <f>IFERROR(__xludf.DUMMYFUNCTION("""COMPUTED_VALUE"""),6044.0)</f>
        <v>6044</v>
      </c>
      <c r="B92" s="2">
        <f>IFERROR(__xludf.DUMMYFUNCTION("""COMPUTED_VALUE"""),1.0)</f>
        <v>1</v>
      </c>
      <c r="C92" s="2">
        <f>IFERROR(__xludf.DUMMYFUNCTION("""COMPUTED_VALUE"""),197.0)</f>
        <v>197</v>
      </c>
      <c r="D92" s="3">
        <f>IFERROR(__xludf.DUMMYFUNCTION("""COMPUTED_VALUE"""),167.0)</f>
        <v>167</v>
      </c>
      <c r="E92" s="2"/>
      <c r="F92" s="2"/>
    </row>
    <row r="93">
      <c r="A93" s="2">
        <f>IFERROR(__xludf.DUMMYFUNCTION("""COMPUTED_VALUE"""),82913.0)</f>
        <v>82913</v>
      </c>
      <c r="B93" s="2">
        <f>IFERROR(__xludf.DUMMYFUNCTION("""COMPUTED_VALUE"""),1.0)</f>
        <v>1</v>
      </c>
      <c r="C93" s="2">
        <f>IFERROR(__xludf.DUMMYFUNCTION("""COMPUTED_VALUE"""),196.0)</f>
        <v>196</v>
      </c>
      <c r="D93" s="3">
        <f>IFERROR(__xludf.DUMMYFUNCTION("""COMPUTED_VALUE"""),116.0)</f>
        <v>116</v>
      </c>
      <c r="E93" s="2"/>
      <c r="F93" s="2"/>
    </row>
    <row r="94">
      <c r="A94" s="2">
        <f>IFERROR(__xludf.DUMMYFUNCTION("""COMPUTED_VALUE"""),82922.0)</f>
        <v>82922</v>
      </c>
      <c r="B94" s="2">
        <f>IFERROR(__xludf.DUMMYFUNCTION("""COMPUTED_VALUE"""),1.0)</f>
        <v>1</v>
      </c>
      <c r="C94" s="2">
        <f>IFERROR(__xludf.DUMMYFUNCTION("""COMPUTED_VALUE"""),783.0)</f>
        <v>783</v>
      </c>
      <c r="D94" s="3">
        <f>IFERROR(__xludf.DUMMYFUNCTION("""COMPUTED_VALUE"""),107.0)</f>
        <v>107</v>
      </c>
      <c r="E94" s="2"/>
      <c r="F94" s="2"/>
    </row>
    <row r="95">
      <c r="A95" s="2">
        <f>IFERROR(__xludf.DUMMYFUNCTION("""COMPUTED_VALUE"""),6045.0)</f>
        <v>6045</v>
      </c>
      <c r="B95" s="2">
        <f>IFERROR(__xludf.DUMMYFUNCTION("""COMPUTED_VALUE"""),1.0)</f>
        <v>1</v>
      </c>
      <c r="C95" s="2">
        <f>IFERROR(__xludf.DUMMYFUNCTION("""COMPUTED_VALUE"""),0.0)</f>
        <v>0</v>
      </c>
      <c r="D95" s="3">
        <f>IFERROR(__xludf.DUMMYFUNCTION("""COMPUTED_VALUE"""),0.0)</f>
        <v>0</v>
      </c>
      <c r="E95" s="2"/>
      <c r="F95" s="2"/>
    </row>
    <row r="96">
      <c r="A96" s="2">
        <f>IFERROR(__xludf.DUMMYFUNCTION("""COMPUTED_VALUE"""),6027.0)</f>
        <v>6027</v>
      </c>
      <c r="B96" s="2">
        <f>IFERROR(__xludf.DUMMYFUNCTION("""COMPUTED_VALUE"""),0.0)</f>
        <v>0</v>
      </c>
      <c r="C96" s="2">
        <f>IFERROR(__xludf.DUMMYFUNCTION("""COMPUTED_VALUE"""),282.0)</f>
        <v>282</v>
      </c>
      <c r="D96" s="3">
        <f>IFERROR(__xludf.DUMMYFUNCTION("""COMPUTED_VALUE"""),174.0)</f>
        <v>174</v>
      </c>
      <c r="E96" s="2"/>
      <c r="F96" s="2"/>
    </row>
    <row r="97">
      <c r="A97" s="2">
        <f>IFERROR(__xludf.DUMMYFUNCTION("""COMPUTED_VALUE"""),97088.0)</f>
        <v>97088</v>
      </c>
      <c r="B97" s="2">
        <f>IFERROR(__xludf.DUMMYFUNCTION("""COMPUTED_VALUE"""),1.0)</f>
        <v>1</v>
      </c>
      <c r="C97" s="2">
        <f>IFERROR(__xludf.DUMMYFUNCTION("""COMPUTED_VALUE"""),356.0)</f>
        <v>356</v>
      </c>
      <c r="D97" s="3">
        <f>IFERROR(__xludf.DUMMYFUNCTION("""COMPUTED_VALUE"""),290.0)</f>
        <v>290</v>
      </c>
      <c r="E97" s="2"/>
      <c r="F97" s="2"/>
    </row>
    <row r="98">
      <c r="A98" s="2">
        <f>IFERROR(__xludf.DUMMYFUNCTION("""COMPUTED_VALUE"""),122235.0)</f>
        <v>122235</v>
      </c>
      <c r="B98" s="2">
        <f>IFERROR(__xludf.DUMMYFUNCTION("""COMPUTED_VALUE"""),1.0)</f>
        <v>1</v>
      </c>
      <c r="C98" s="2">
        <f>IFERROR(__xludf.DUMMYFUNCTION("""COMPUTED_VALUE"""),941.0)</f>
        <v>941</v>
      </c>
      <c r="D98" s="3">
        <f>IFERROR(__xludf.DUMMYFUNCTION("""COMPUTED_VALUE"""),126.0)</f>
        <v>126</v>
      </c>
      <c r="E98" s="2"/>
      <c r="F98" s="2"/>
    </row>
    <row r="99">
      <c r="A99" s="2">
        <f>IFERROR(__xludf.DUMMYFUNCTION("""COMPUTED_VALUE"""),119887.0)</f>
        <v>119887</v>
      </c>
      <c r="B99" s="2">
        <f>IFERROR(__xludf.DUMMYFUNCTION("""COMPUTED_VALUE"""),1.0)</f>
        <v>1</v>
      </c>
      <c r="C99" s="2">
        <f>IFERROR(__xludf.DUMMYFUNCTION("""COMPUTED_VALUE"""),732.0)</f>
        <v>732</v>
      </c>
      <c r="D99" s="3">
        <f>IFERROR(__xludf.DUMMYFUNCTION("""COMPUTED_VALUE"""),498.0)</f>
        <v>498</v>
      </c>
      <c r="E99" s="2"/>
      <c r="F99" s="2"/>
    </row>
    <row r="100">
      <c r="A100" s="2">
        <f>IFERROR(__xludf.DUMMYFUNCTION("""COMPUTED_VALUE"""),97980.0)</f>
        <v>97980</v>
      </c>
      <c r="B100" s="2">
        <f>IFERROR(__xludf.DUMMYFUNCTION("""COMPUTED_VALUE"""),0.0)</f>
        <v>0</v>
      </c>
      <c r="C100" s="2">
        <f>IFERROR(__xludf.DUMMYFUNCTION("""COMPUTED_VALUE"""),366.0)</f>
        <v>366</v>
      </c>
      <c r="D100" s="3">
        <f>IFERROR(__xludf.DUMMYFUNCTION("""COMPUTED_VALUE"""),344.0)</f>
        <v>344</v>
      </c>
      <c r="E100" s="2"/>
      <c r="F100" s="2"/>
    </row>
    <row r="101">
      <c r="A101" s="2">
        <f>IFERROR(__xludf.DUMMYFUNCTION("""COMPUTED_VALUE"""),119876.0)</f>
        <v>119876</v>
      </c>
      <c r="B101" s="2">
        <f>IFERROR(__xludf.DUMMYFUNCTION("""COMPUTED_VALUE"""),0.0)</f>
        <v>0</v>
      </c>
      <c r="C101" s="2">
        <f>IFERROR(__xludf.DUMMYFUNCTION("""COMPUTED_VALUE"""),735.0)</f>
        <v>735</v>
      </c>
      <c r="D101" s="3">
        <f>IFERROR(__xludf.DUMMYFUNCTION("""COMPUTED_VALUE"""),437.0)</f>
        <v>437</v>
      </c>
      <c r="E101" s="2"/>
      <c r="F101" s="2"/>
    </row>
    <row r="102">
      <c r="A102" s="2">
        <f>IFERROR(__xludf.DUMMYFUNCTION("""COMPUTED_VALUE"""),119881.0)</f>
        <v>119881</v>
      </c>
      <c r="B102" s="2">
        <f>IFERROR(__xludf.DUMMYFUNCTION("""COMPUTED_VALUE"""),0.0)</f>
        <v>0</v>
      </c>
      <c r="C102" s="2">
        <f>IFERROR(__xludf.DUMMYFUNCTION("""COMPUTED_VALUE"""),758.0)</f>
        <v>758</v>
      </c>
      <c r="D102" s="3">
        <f>IFERROR(__xludf.DUMMYFUNCTION("""COMPUTED_VALUE"""),95.0)</f>
        <v>95</v>
      </c>
      <c r="E102" s="2"/>
      <c r="F102" s="2"/>
    </row>
    <row r="103">
      <c r="A103" s="2">
        <f>IFERROR(__xludf.DUMMYFUNCTION("""COMPUTED_VALUE"""),26127.0)</f>
        <v>26127</v>
      </c>
      <c r="B103" s="2">
        <f>IFERROR(__xludf.DUMMYFUNCTION("""COMPUTED_VALUE"""),0.0)</f>
        <v>0</v>
      </c>
      <c r="C103" s="2">
        <f>IFERROR(__xludf.DUMMYFUNCTION("""COMPUTED_VALUE"""),956.0)</f>
        <v>956</v>
      </c>
      <c r="D103" s="3">
        <f>IFERROR(__xludf.DUMMYFUNCTION("""COMPUTED_VALUE"""),225.0)</f>
        <v>225</v>
      </c>
      <c r="E103" s="2"/>
      <c r="F103" s="2"/>
    </row>
    <row r="104">
      <c r="A104" s="2">
        <f>IFERROR(__xludf.DUMMYFUNCTION("""COMPUTED_VALUE"""),87365.0)</f>
        <v>87365</v>
      </c>
      <c r="B104" s="2">
        <f>IFERROR(__xludf.DUMMYFUNCTION("""COMPUTED_VALUE"""),1.0)</f>
        <v>1</v>
      </c>
      <c r="C104" s="2">
        <f>IFERROR(__xludf.DUMMYFUNCTION("""COMPUTED_VALUE"""),701.0)</f>
        <v>701</v>
      </c>
      <c r="D104" s="3">
        <f>IFERROR(__xludf.DUMMYFUNCTION("""COMPUTED_VALUE"""),414.0)</f>
        <v>414</v>
      </c>
      <c r="E104" s="2"/>
      <c r="F104" s="2"/>
    </row>
    <row r="105">
      <c r="A105" s="2">
        <f>IFERROR(__xludf.DUMMYFUNCTION("""COMPUTED_VALUE"""),87381.0)</f>
        <v>87381</v>
      </c>
      <c r="B105" s="2">
        <f>IFERROR(__xludf.DUMMYFUNCTION("""COMPUTED_VALUE"""),0.0)</f>
        <v>0</v>
      </c>
      <c r="C105" s="2">
        <f>IFERROR(__xludf.DUMMYFUNCTION("""COMPUTED_VALUE"""),91.0)</f>
        <v>91</v>
      </c>
      <c r="D105" s="3">
        <f>IFERROR(__xludf.DUMMYFUNCTION("""COMPUTED_VALUE"""),45.0)</f>
        <v>45</v>
      </c>
      <c r="E105" s="2"/>
      <c r="F105" s="2"/>
    </row>
    <row r="106">
      <c r="A106" s="2">
        <f>IFERROR(__xludf.DUMMYFUNCTION("""COMPUTED_VALUE"""),122828.0)</f>
        <v>122828</v>
      </c>
      <c r="B106" s="2">
        <f>IFERROR(__xludf.DUMMYFUNCTION("""COMPUTED_VALUE"""),1.0)</f>
        <v>1</v>
      </c>
      <c r="C106" s="2">
        <f>IFERROR(__xludf.DUMMYFUNCTION("""COMPUTED_VALUE"""),101.0)</f>
        <v>101</v>
      </c>
      <c r="D106" s="3">
        <f>IFERROR(__xludf.DUMMYFUNCTION("""COMPUTED_VALUE"""),58.0)</f>
        <v>58</v>
      </c>
      <c r="E106" s="2"/>
      <c r="F106" s="2"/>
    </row>
    <row r="107">
      <c r="A107" s="2">
        <f>IFERROR(__xludf.DUMMYFUNCTION("""COMPUTED_VALUE"""),73841.0)</f>
        <v>73841</v>
      </c>
      <c r="B107" s="2">
        <f>IFERROR(__xludf.DUMMYFUNCTION("""COMPUTED_VALUE"""),1.0)</f>
        <v>1</v>
      </c>
      <c r="C107" s="2">
        <f>IFERROR(__xludf.DUMMYFUNCTION("""COMPUTED_VALUE"""),357.0)</f>
        <v>357</v>
      </c>
      <c r="D107" s="3">
        <f>IFERROR(__xludf.DUMMYFUNCTION("""COMPUTED_VALUE"""),42.0)</f>
        <v>42</v>
      </c>
      <c r="E107" s="2"/>
      <c r="F107" s="2"/>
    </row>
    <row r="108">
      <c r="A108" s="2">
        <f>IFERROR(__xludf.DUMMYFUNCTION("""COMPUTED_VALUE"""),73838.0)</f>
        <v>73838</v>
      </c>
      <c r="B108" s="2">
        <f>IFERROR(__xludf.DUMMYFUNCTION("""COMPUTED_VALUE"""),1.0)</f>
        <v>1</v>
      </c>
      <c r="C108" s="2">
        <f>IFERROR(__xludf.DUMMYFUNCTION("""COMPUTED_VALUE"""),371.0)</f>
        <v>371</v>
      </c>
      <c r="D108" s="3">
        <f>IFERROR(__xludf.DUMMYFUNCTION("""COMPUTED_VALUE"""),9.0)</f>
        <v>9</v>
      </c>
      <c r="E108" s="2"/>
      <c r="F108" s="2"/>
    </row>
    <row r="109">
      <c r="A109" s="2">
        <f>IFERROR(__xludf.DUMMYFUNCTION("""COMPUTED_VALUE"""),87372.0)</f>
        <v>87372</v>
      </c>
      <c r="B109" s="2">
        <f>IFERROR(__xludf.DUMMYFUNCTION("""COMPUTED_VALUE"""),0.0)</f>
        <v>0</v>
      </c>
      <c r="C109" s="2">
        <f>IFERROR(__xludf.DUMMYFUNCTION("""COMPUTED_VALUE"""),540.0)</f>
        <v>540</v>
      </c>
      <c r="D109" s="3">
        <f>IFERROR(__xludf.DUMMYFUNCTION("""COMPUTED_VALUE"""),494.0)</f>
        <v>494</v>
      </c>
      <c r="E109" s="2"/>
      <c r="F109" s="2"/>
    </row>
    <row r="110">
      <c r="A110" s="2">
        <f>IFERROR(__xludf.DUMMYFUNCTION("""COMPUTED_VALUE"""),87383.0)</f>
        <v>87383</v>
      </c>
      <c r="B110" s="2">
        <f>IFERROR(__xludf.DUMMYFUNCTION("""COMPUTED_VALUE"""),1.0)</f>
        <v>1</v>
      </c>
      <c r="C110" s="2">
        <f>IFERROR(__xludf.DUMMYFUNCTION("""COMPUTED_VALUE"""),723.0)</f>
        <v>723</v>
      </c>
      <c r="D110" s="3">
        <f>IFERROR(__xludf.DUMMYFUNCTION("""COMPUTED_VALUE"""),60.0)</f>
        <v>60</v>
      </c>
      <c r="E110" s="2"/>
      <c r="F110" s="2"/>
    </row>
    <row r="111">
      <c r="A111" s="2">
        <f>IFERROR(__xludf.DUMMYFUNCTION("""COMPUTED_VALUE"""),49068.0)</f>
        <v>49068</v>
      </c>
      <c r="B111" s="2">
        <f>IFERROR(__xludf.DUMMYFUNCTION("""COMPUTED_VALUE"""),1.0)</f>
        <v>1</v>
      </c>
      <c r="C111" s="2">
        <f>IFERROR(__xludf.DUMMYFUNCTION("""COMPUTED_VALUE"""),940.0)</f>
        <v>940</v>
      </c>
      <c r="D111" s="3">
        <f>IFERROR(__xludf.DUMMYFUNCTION("""COMPUTED_VALUE"""),26.0)</f>
        <v>26</v>
      </c>
      <c r="E111" s="2"/>
      <c r="F111" s="2"/>
    </row>
    <row r="112">
      <c r="A112" s="2">
        <f>IFERROR(__xludf.DUMMYFUNCTION("""COMPUTED_VALUE"""),26130.0)</f>
        <v>26130</v>
      </c>
      <c r="B112" s="2">
        <f>IFERROR(__xludf.DUMMYFUNCTION("""COMPUTED_VALUE"""),1.0)</f>
        <v>1</v>
      </c>
      <c r="C112" s="2">
        <f>IFERROR(__xludf.DUMMYFUNCTION("""COMPUTED_VALUE"""),220.0)</f>
        <v>220</v>
      </c>
      <c r="D112" s="3">
        <f>IFERROR(__xludf.DUMMYFUNCTION("""COMPUTED_VALUE"""),152.0)</f>
        <v>152</v>
      </c>
      <c r="E112" s="2"/>
      <c r="F112" s="2"/>
    </row>
    <row r="113">
      <c r="A113" s="2">
        <f>IFERROR(__xludf.DUMMYFUNCTION("""COMPUTED_VALUE"""),111493.0)</f>
        <v>111493</v>
      </c>
      <c r="B113" s="2">
        <f>IFERROR(__xludf.DUMMYFUNCTION("""COMPUTED_VALUE"""),0.0)</f>
        <v>0</v>
      </c>
      <c r="C113" s="2">
        <f>IFERROR(__xludf.DUMMYFUNCTION("""COMPUTED_VALUE"""),211.0)</f>
        <v>211</v>
      </c>
      <c r="D113" s="3">
        <f>IFERROR(__xludf.DUMMYFUNCTION("""COMPUTED_VALUE"""),142.0)</f>
        <v>142</v>
      </c>
      <c r="E113" s="2"/>
      <c r="F113" s="2"/>
    </row>
    <row r="114">
      <c r="A114" s="2">
        <f>IFERROR(__xludf.DUMMYFUNCTION("""COMPUTED_VALUE"""),98395.0)</f>
        <v>98395</v>
      </c>
      <c r="B114" s="2">
        <f>IFERROR(__xludf.DUMMYFUNCTION("""COMPUTED_VALUE"""),1.0)</f>
        <v>1</v>
      </c>
      <c r="C114" s="2">
        <f>IFERROR(__xludf.DUMMYFUNCTION("""COMPUTED_VALUE"""),598.0)</f>
        <v>598</v>
      </c>
      <c r="D114" s="3">
        <f>IFERROR(__xludf.DUMMYFUNCTION("""COMPUTED_VALUE"""),47.0)</f>
        <v>47</v>
      </c>
      <c r="E114" s="2"/>
      <c r="F114" s="2"/>
    </row>
    <row r="115">
      <c r="A115" s="2">
        <f>IFERROR(__xludf.DUMMYFUNCTION("""COMPUTED_VALUE"""),98396.0)</f>
        <v>98396</v>
      </c>
      <c r="B115" s="2">
        <f>IFERROR(__xludf.DUMMYFUNCTION("""COMPUTED_VALUE"""),1.0)</f>
        <v>1</v>
      </c>
      <c r="C115" s="2">
        <f>IFERROR(__xludf.DUMMYFUNCTION("""COMPUTED_VALUE"""),576.0)</f>
        <v>576</v>
      </c>
      <c r="D115" s="3">
        <f>IFERROR(__xludf.DUMMYFUNCTION("""COMPUTED_VALUE"""),80.0)</f>
        <v>80</v>
      </c>
      <c r="E115" s="2"/>
      <c r="F115" s="2"/>
    </row>
    <row r="116">
      <c r="A116" s="2">
        <f>IFERROR(__xludf.DUMMYFUNCTION("""COMPUTED_VALUE"""),98394.0)</f>
        <v>98394</v>
      </c>
      <c r="B116" s="2">
        <f>IFERROR(__xludf.DUMMYFUNCTION("""COMPUTED_VALUE"""),1.0)</f>
        <v>1</v>
      </c>
      <c r="C116" s="2">
        <f>IFERROR(__xludf.DUMMYFUNCTION("""COMPUTED_VALUE"""),408.0)</f>
        <v>408</v>
      </c>
      <c r="D116" s="3">
        <f>IFERROR(__xludf.DUMMYFUNCTION("""COMPUTED_VALUE"""),400.0)</f>
        <v>400</v>
      </c>
      <c r="E116" s="2"/>
      <c r="F116" s="2"/>
    </row>
    <row r="117">
      <c r="A117" s="2">
        <f>IFERROR(__xludf.DUMMYFUNCTION("""COMPUTED_VALUE"""),98397.0)</f>
        <v>98397</v>
      </c>
      <c r="B117" s="2">
        <f>IFERROR(__xludf.DUMMYFUNCTION("""COMPUTED_VALUE"""),1.0)</f>
        <v>1</v>
      </c>
      <c r="C117" s="2">
        <f>IFERROR(__xludf.DUMMYFUNCTION("""COMPUTED_VALUE"""),257.0)</f>
        <v>257</v>
      </c>
      <c r="D117" s="3">
        <f>IFERROR(__xludf.DUMMYFUNCTION("""COMPUTED_VALUE"""),81.0)</f>
        <v>81</v>
      </c>
      <c r="E117" s="2"/>
      <c r="F117" s="2"/>
    </row>
    <row r="118">
      <c r="A118" s="2">
        <f>IFERROR(__xludf.DUMMYFUNCTION("""COMPUTED_VALUE"""),111489.0)</f>
        <v>111489</v>
      </c>
      <c r="B118" s="2">
        <f>IFERROR(__xludf.DUMMYFUNCTION("""COMPUTED_VALUE"""),1.0)</f>
        <v>1</v>
      </c>
      <c r="C118" s="2">
        <f>IFERROR(__xludf.DUMMYFUNCTION("""COMPUTED_VALUE"""),44.0)</f>
        <v>44</v>
      </c>
      <c r="D118" s="3">
        <f>IFERROR(__xludf.DUMMYFUNCTION("""COMPUTED_VALUE"""),37.0)</f>
        <v>37</v>
      </c>
      <c r="E118" s="2"/>
      <c r="F118" s="2"/>
    </row>
    <row r="119">
      <c r="A119" s="2">
        <f>IFERROR(__xludf.DUMMYFUNCTION("""COMPUTED_VALUE"""),98393.0)</f>
        <v>98393</v>
      </c>
      <c r="B119" s="2">
        <f>IFERROR(__xludf.DUMMYFUNCTION("""COMPUTED_VALUE"""),0.0)</f>
        <v>0</v>
      </c>
      <c r="C119" s="2">
        <f>IFERROR(__xludf.DUMMYFUNCTION("""COMPUTED_VALUE"""),690.0)</f>
        <v>690</v>
      </c>
      <c r="D119" s="3">
        <f>IFERROR(__xludf.DUMMYFUNCTION("""COMPUTED_VALUE"""),117.0)</f>
        <v>117</v>
      </c>
      <c r="E119" s="2"/>
      <c r="F119" s="2"/>
    </row>
    <row r="120">
      <c r="A120" s="2">
        <f>IFERROR(__xludf.DUMMYFUNCTION("""COMPUTED_VALUE"""),10933.0)</f>
        <v>10933</v>
      </c>
      <c r="B120" s="2">
        <f>IFERROR(__xludf.DUMMYFUNCTION("""COMPUTED_VALUE"""),0.0)</f>
        <v>0</v>
      </c>
      <c r="C120" s="2">
        <f>IFERROR(__xludf.DUMMYFUNCTION("""COMPUTED_VALUE"""),641.0)</f>
        <v>641</v>
      </c>
      <c r="D120" s="3">
        <f>IFERROR(__xludf.DUMMYFUNCTION("""COMPUTED_VALUE"""),145.0)</f>
        <v>145</v>
      </c>
      <c r="E120" s="2"/>
      <c r="F120" s="2"/>
    </row>
    <row r="121">
      <c r="A121" s="2">
        <f>IFERROR(__xludf.DUMMYFUNCTION("""COMPUTED_VALUE"""),111994.0)</f>
        <v>111994</v>
      </c>
      <c r="B121" s="2">
        <f>IFERROR(__xludf.DUMMYFUNCTION("""COMPUTED_VALUE"""),0.0)</f>
        <v>0</v>
      </c>
      <c r="C121" s="2">
        <f>IFERROR(__xludf.DUMMYFUNCTION("""COMPUTED_VALUE"""),868.0)</f>
        <v>868</v>
      </c>
      <c r="D121" s="3">
        <f>IFERROR(__xludf.DUMMYFUNCTION("""COMPUTED_VALUE"""),726.0)</f>
        <v>726</v>
      </c>
      <c r="E121" s="2"/>
      <c r="F121" s="2"/>
    </row>
    <row r="122">
      <c r="A122" s="2">
        <f>IFERROR(__xludf.DUMMYFUNCTION("""COMPUTED_VALUE"""),101637.0)</f>
        <v>101637</v>
      </c>
      <c r="B122" s="2">
        <f>IFERROR(__xludf.DUMMYFUNCTION("""COMPUTED_VALUE"""),1.0)</f>
        <v>1</v>
      </c>
      <c r="C122" s="2">
        <f>IFERROR(__xludf.DUMMYFUNCTION("""COMPUTED_VALUE"""),260.0)</f>
        <v>260</v>
      </c>
      <c r="D122" s="3">
        <f>IFERROR(__xludf.DUMMYFUNCTION("""COMPUTED_VALUE"""),104.0)</f>
        <v>104</v>
      </c>
      <c r="E122" s="2"/>
      <c r="F122" s="2"/>
    </row>
    <row r="123">
      <c r="A123" s="2">
        <f>IFERROR(__xludf.DUMMYFUNCTION("""COMPUTED_VALUE"""),111996.0)</f>
        <v>111996</v>
      </c>
      <c r="B123" s="2">
        <f>IFERROR(__xludf.DUMMYFUNCTION("""COMPUTED_VALUE"""),0.0)</f>
        <v>0</v>
      </c>
      <c r="C123" s="2">
        <f>IFERROR(__xludf.DUMMYFUNCTION("""COMPUTED_VALUE"""),499.0)</f>
        <v>499</v>
      </c>
      <c r="D123" s="3">
        <f>IFERROR(__xludf.DUMMYFUNCTION("""COMPUTED_VALUE"""),311.0)</f>
        <v>311</v>
      </c>
      <c r="E123" s="2"/>
      <c r="F123" s="2"/>
    </row>
    <row r="124">
      <c r="A124" s="2">
        <f>IFERROR(__xludf.DUMMYFUNCTION("""COMPUTED_VALUE"""),120886.0)</f>
        <v>120886</v>
      </c>
      <c r="B124" s="2">
        <f>IFERROR(__xludf.DUMMYFUNCTION("""COMPUTED_VALUE"""),0.0)</f>
        <v>0</v>
      </c>
      <c r="C124" s="2">
        <f>IFERROR(__xludf.DUMMYFUNCTION("""COMPUTED_VALUE"""),629.0)</f>
        <v>629</v>
      </c>
      <c r="D124" s="3">
        <f>IFERROR(__xludf.DUMMYFUNCTION("""COMPUTED_VALUE"""),554.0)</f>
        <v>554</v>
      </c>
      <c r="E124" s="2"/>
      <c r="F124" s="2"/>
    </row>
    <row r="125">
      <c r="A125" s="2">
        <f>IFERROR(__xludf.DUMMYFUNCTION("""COMPUTED_VALUE"""),85058.0)</f>
        <v>85058</v>
      </c>
      <c r="B125" s="2">
        <f>IFERROR(__xludf.DUMMYFUNCTION("""COMPUTED_VALUE"""),0.0)</f>
        <v>0</v>
      </c>
      <c r="C125" s="2">
        <f>IFERROR(__xludf.DUMMYFUNCTION("""COMPUTED_VALUE"""),395.0)</f>
        <v>395</v>
      </c>
      <c r="D125" s="3">
        <f>IFERROR(__xludf.DUMMYFUNCTION("""COMPUTED_VALUE"""),374.0)</f>
        <v>374</v>
      </c>
      <c r="E125" s="2"/>
      <c r="F125" s="2"/>
    </row>
    <row r="126">
      <c r="A126" s="2">
        <f>IFERROR(__xludf.DUMMYFUNCTION("""COMPUTED_VALUE"""),27380.0)</f>
        <v>27380</v>
      </c>
      <c r="B126" s="2">
        <f>IFERROR(__xludf.DUMMYFUNCTION("""COMPUTED_VALUE"""),1.0)</f>
        <v>1</v>
      </c>
      <c r="C126" s="2">
        <f>IFERROR(__xludf.DUMMYFUNCTION("""COMPUTED_VALUE"""),142.0)</f>
        <v>142</v>
      </c>
      <c r="D126" s="3">
        <f>IFERROR(__xludf.DUMMYFUNCTION("""COMPUTED_VALUE"""),49.0)</f>
        <v>49</v>
      </c>
      <c r="E126" s="2"/>
      <c r="F126" s="2"/>
    </row>
    <row r="127">
      <c r="A127" s="2">
        <f>IFERROR(__xludf.DUMMYFUNCTION("""COMPUTED_VALUE"""),117204.0)</f>
        <v>117204</v>
      </c>
      <c r="B127" s="2">
        <f>IFERROR(__xludf.DUMMYFUNCTION("""COMPUTED_VALUE"""),0.0)</f>
        <v>0</v>
      </c>
      <c r="C127" s="2">
        <f>IFERROR(__xludf.DUMMYFUNCTION("""COMPUTED_VALUE"""),41.0)</f>
        <v>41</v>
      </c>
      <c r="D127" s="3">
        <f>IFERROR(__xludf.DUMMYFUNCTION("""COMPUTED_VALUE"""),5.0)</f>
        <v>5</v>
      </c>
      <c r="E127" s="2"/>
      <c r="F127" s="2"/>
    </row>
    <row r="128">
      <c r="A128" s="2">
        <f>IFERROR(__xludf.DUMMYFUNCTION("""COMPUTED_VALUE"""),45484.0)</f>
        <v>45484</v>
      </c>
      <c r="B128" s="2">
        <f>IFERROR(__xludf.DUMMYFUNCTION("""COMPUTED_VALUE"""),1.0)</f>
        <v>1</v>
      </c>
      <c r="C128" s="2">
        <f>IFERROR(__xludf.DUMMYFUNCTION("""COMPUTED_VALUE"""),847.0)</f>
        <v>847</v>
      </c>
      <c r="D128" s="3">
        <f>IFERROR(__xludf.DUMMYFUNCTION("""COMPUTED_VALUE"""),174.0)</f>
        <v>174</v>
      </c>
      <c r="E128" s="2"/>
      <c r="F128" s="2"/>
    </row>
    <row r="129">
      <c r="A129" s="2">
        <f>IFERROR(__xludf.DUMMYFUNCTION("""COMPUTED_VALUE"""),27382.0)</f>
        <v>27382</v>
      </c>
      <c r="B129" s="2">
        <f>IFERROR(__xludf.DUMMYFUNCTION("""COMPUTED_VALUE"""),0.0)</f>
        <v>0</v>
      </c>
      <c r="C129" s="2">
        <f>IFERROR(__xludf.DUMMYFUNCTION("""COMPUTED_VALUE"""),951.0)</f>
        <v>951</v>
      </c>
      <c r="D129" s="3">
        <f>IFERROR(__xludf.DUMMYFUNCTION("""COMPUTED_VALUE"""),256.0)</f>
        <v>256</v>
      </c>
      <c r="E129" s="2"/>
      <c r="F129" s="2"/>
    </row>
    <row r="130">
      <c r="A130" s="2">
        <f>IFERROR(__xludf.DUMMYFUNCTION("""COMPUTED_VALUE"""),45491.0)</f>
        <v>45491</v>
      </c>
      <c r="B130" s="2">
        <f>IFERROR(__xludf.DUMMYFUNCTION("""COMPUTED_VALUE"""),0.0)</f>
        <v>0</v>
      </c>
      <c r="C130" s="2">
        <f>IFERROR(__xludf.DUMMYFUNCTION("""COMPUTED_VALUE"""),252.0)</f>
        <v>252</v>
      </c>
      <c r="D130" s="3">
        <f>IFERROR(__xludf.DUMMYFUNCTION("""COMPUTED_VALUE"""),230.0)</f>
        <v>230</v>
      </c>
      <c r="E130" s="2"/>
      <c r="F130" s="2"/>
    </row>
    <row r="131">
      <c r="A131" s="2">
        <f>IFERROR(__xludf.DUMMYFUNCTION("""COMPUTED_VALUE"""),11631.0)</f>
        <v>11631</v>
      </c>
      <c r="B131" s="2">
        <f>IFERROR(__xludf.DUMMYFUNCTION("""COMPUTED_VALUE"""),0.0)</f>
        <v>0</v>
      </c>
      <c r="C131" s="2">
        <f>IFERROR(__xludf.DUMMYFUNCTION("""COMPUTED_VALUE"""),800.0)</f>
        <v>800</v>
      </c>
      <c r="D131" s="3">
        <f>IFERROR(__xludf.DUMMYFUNCTION("""COMPUTED_VALUE"""),499.0)</f>
        <v>499</v>
      </c>
      <c r="E131" s="2"/>
      <c r="F131" s="2"/>
    </row>
    <row r="132">
      <c r="A132" s="2">
        <f>IFERROR(__xludf.DUMMYFUNCTION("""COMPUTED_VALUE"""),11630.0)</f>
        <v>11630</v>
      </c>
      <c r="B132" s="2">
        <f>IFERROR(__xludf.DUMMYFUNCTION("""COMPUTED_VALUE"""),1.0)</f>
        <v>1</v>
      </c>
      <c r="C132" s="2">
        <f>IFERROR(__xludf.DUMMYFUNCTION("""COMPUTED_VALUE"""),461.0)</f>
        <v>461</v>
      </c>
      <c r="D132" s="3">
        <f>IFERROR(__xludf.DUMMYFUNCTION("""COMPUTED_VALUE"""),212.0)</f>
        <v>212</v>
      </c>
      <c r="E132" s="2"/>
      <c r="F132" s="2"/>
    </row>
    <row r="133">
      <c r="A133" s="2">
        <f>IFERROR(__xludf.DUMMYFUNCTION("""COMPUTED_VALUE"""),11634.0)</f>
        <v>11634</v>
      </c>
      <c r="B133" s="2">
        <f>IFERROR(__xludf.DUMMYFUNCTION("""COMPUTED_VALUE"""),0.0)</f>
        <v>0</v>
      </c>
      <c r="C133" s="2">
        <f>IFERROR(__xludf.DUMMYFUNCTION("""COMPUTED_VALUE"""),697.0)</f>
        <v>697</v>
      </c>
      <c r="D133" s="3">
        <f>IFERROR(__xludf.DUMMYFUNCTION("""COMPUTED_VALUE"""),205.0)</f>
        <v>205</v>
      </c>
      <c r="E133" s="2"/>
      <c r="F133" s="2"/>
    </row>
    <row r="134">
      <c r="A134" s="2">
        <f>IFERROR(__xludf.DUMMYFUNCTION("""COMPUTED_VALUE"""),11635.0)</f>
        <v>11635</v>
      </c>
      <c r="B134" s="2">
        <f>IFERROR(__xludf.DUMMYFUNCTION("""COMPUTED_VALUE"""),0.0)</f>
        <v>0</v>
      </c>
      <c r="C134" s="2">
        <f>IFERROR(__xludf.DUMMYFUNCTION("""COMPUTED_VALUE"""),335.0)</f>
        <v>335</v>
      </c>
      <c r="D134" s="3">
        <f>IFERROR(__xludf.DUMMYFUNCTION("""COMPUTED_VALUE"""),207.0)</f>
        <v>207</v>
      </c>
      <c r="E134" s="2"/>
      <c r="F134" s="2"/>
    </row>
    <row r="135">
      <c r="A135" s="2">
        <f>IFERROR(__xludf.DUMMYFUNCTION("""COMPUTED_VALUE"""),114776.0)</f>
        <v>114776</v>
      </c>
      <c r="B135" s="2">
        <f>IFERROR(__xludf.DUMMYFUNCTION("""COMPUTED_VALUE"""),0.0)</f>
        <v>0</v>
      </c>
      <c r="C135" s="2">
        <f>IFERROR(__xludf.DUMMYFUNCTION("""COMPUTED_VALUE"""),124.0)</f>
        <v>124</v>
      </c>
      <c r="D135" s="3">
        <f>IFERROR(__xludf.DUMMYFUNCTION("""COMPUTED_VALUE"""),108.0)</f>
        <v>108</v>
      </c>
      <c r="E135" s="2"/>
      <c r="F135" s="2"/>
    </row>
    <row r="136">
      <c r="A136" s="2">
        <f>IFERROR(__xludf.DUMMYFUNCTION("""COMPUTED_VALUE"""),76762.0)</f>
        <v>76762</v>
      </c>
      <c r="B136" s="2">
        <f>IFERROR(__xludf.DUMMYFUNCTION("""COMPUTED_VALUE"""),1.0)</f>
        <v>1</v>
      </c>
      <c r="C136" s="2">
        <f>IFERROR(__xludf.DUMMYFUNCTION("""COMPUTED_VALUE"""),568.0)</f>
        <v>568</v>
      </c>
      <c r="D136" s="3">
        <f>IFERROR(__xludf.DUMMYFUNCTION("""COMPUTED_VALUE"""),229.0)</f>
        <v>229</v>
      </c>
      <c r="E136" s="2"/>
      <c r="F136" s="2"/>
    </row>
    <row r="137">
      <c r="A137" s="2">
        <f>IFERROR(__xludf.DUMMYFUNCTION("""COMPUTED_VALUE"""),181194.0)</f>
        <v>181194</v>
      </c>
      <c r="B137" s="2">
        <f>IFERROR(__xludf.DUMMYFUNCTION("""COMPUTED_VALUE"""),0.0)</f>
        <v>0</v>
      </c>
      <c r="C137" s="2">
        <f>IFERROR(__xludf.DUMMYFUNCTION("""COMPUTED_VALUE"""),747.0)</f>
        <v>747</v>
      </c>
      <c r="D137" s="3">
        <f>IFERROR(__xludf.DUMMYFUNCTION("""COMPUTED_VALUE"""),317.0)</f>
        <v>317</v>
      </c>
      <c r="E137" s="2"/>
      <c r="F137" s="2"/>
    </row>
    <row r="138">
      <c r="A138" s="2">
        <f>IFERROR(__xludf.DUMMYFUNCTION("""COMPUTED_VALUE"""),164637.0)</f>
        <v>164637</v>
      </c>
      <c r="B138" s="2">
        <f>IFERROR(__xludf.DUMMYFUNCTION("""COMPUTED_VALUE"""),0.0)</f>
        <v>0</v>
      </c>
      <c r="C138" s="2">
        <f>IFERROR(__xludf.DUMMYFUNCTION("""COMPUTED_VALUE"""),580.0)</f>
        <v>580</v>
      </c>
      <c r="D138" s="3">
        <f>IFERROR(__xludf.DUMMYFUNCTION("""COMPUTED_VALUE"""),19.0)</f>
        <v>19</v>
      </c>
      <c r="E138" s="2"/>
      <c r="F138" s="2"/>
    </row>
    <row r="139">
      <c r="A139" s="2">
        <f>IFERROR(__xludf.DUMMYFUNCTION("""COMPUTED_VALUE"""),164636.0)</f>
        <v>164636</v>
      </c>
      <c r="B139" s="2">
        <f>IFERROR(__xludf.DUMMYFUNCTION("""COMPUTED_VALUE"""),0.0)</f>
        <v>0</v>
      </c>
      <c r="C139" s="2">
        <f>IFERROR(__xludf.DUMMYFUNCTION("""COMPUTED_VALUE"""),719.0)</f>
        <v>719</v>
      </c>
      <c r="D139" s="3">
        <f>IFERROR(__xludf.DUMMYFUNCTION("""COMPUTED_VALUE"""),128.0)</f>
        <v>128</v>
      </c>
      <c r="E139" s="2"/>
      <c r="F139" s="2"/>
    </row>
    <row r="140">
      <c r="A140" s="2">
        <f>IFERROR(__xludf.DUMMYFUNCTION("""COMPUTED_VALUE"""),164639.0)</f>
        <v>164639</v>
      </c>
      <c r="B140" s="2">
        <f>IFERROR(__xludf.DUMMYFUNCTION("""COMPUTED_VALUE"""),0.0)</f>
        <v>0</v>
      </c>
      <c r="C140" s="2">
        <f>IFERROR(__xludf.DUMMYFUNCTION("""COMPUTED_VALUE"""),101.0)</f>
        <v>101</v>
      </c>
      <c r="D140" s="3">
        <f>IFERROR(__xludf.DUMMYFUNCTION("""COMPUTED_VALUE"""),51.0)</f>
        <v>51</v>
      </c>
      <c r="E140" s="2"/>
      <c r="F140" s="2"/>
    </row>
    <row r="141">
      <c r="A141" s="2">
        <f>IFERROR(__xludf.DUMMYFUNCTION("""COMPUTED_VALUE"""),85251.0)</f>
        <v>85251</v>
      </c>
      <c r="B141" s="2">
        <f>IFERROR(__xludf.DUMMYFUNCTION("""COMPUTED_VALUE"""),1.0)</f>
        <v>1</v>
      </c>
      <c r="C141" s="2">
        <f>IFERROR(__xludf.DUMMYFUNCTION("""COMPUTED_VALUE"""),15.0)</f>
        <v>15</v>
      </c>
      <c r="D141" s="3">
        <f>IFERROR(__xludf.DUMMYFUNCTION("""COMPUTED_VALUE"""),8.0)</f>
        <v>8</v>
      </c>
      <c r="E141" s="2"/>
      <c r="F141" s="2"/>
    </row>
    <row r="142">
      <c r="A142" s="2">
        <f>IFERROR(__xludf.DUMMYFUNCTION("""COMPUTED_VALUE"""),113532.0)</f>
        <v>113532</v>
      </c>
      <c r="B142" s="2">
        <f>IFERROR(__xludf.DUMMYFUNCTION("""COMPUTED_VALUE"""),1.0)</f>
        <v>1</v>
      </c>
      <c r="C142" s="2">
        <f>IFERROR(__xludf.DUMMYFUNCTION("""COMPUTED_VALUE"""),816.0)</f>
        <v>816</v>
      </c>
      <c r="D142" s="3">
        <f>IFERROR(__xludf.DUMMYFUNCTION("""COMPUTED_VALUE"""),150.0)</f>
        <v>150</v>
      </c>
      <c r="E142" s="2"/>
      <c r="F142" s="2"/>
    </row>
    <row r="143">
      <c r="A143" s="2">
        <f>IFERROR(__xludf.DUMMYFUNCTION("""COMPUTED_VALUE"""),82501.0)</f>
        <v>82501</v>
      </c>
      <c r="B143" s="2">
        <f>IFERROR(__xludf.DUMMYFUNCTION("""COMPUTED_VALUE"""),0.0)</f>
        <v>0</v>
      </c>
      <c r="C143" s="2">
        <f>IFERROR(__xludf.DUMMYFUNCTION("""COMPUTED_VALUE"""),101.0)</f>
        <v>101</v>
      </c>
      <c r="D143" s="3">
        <f>IFERROR(__xludf.DUMMYFUNCTION("""COMPUTED_VALUE"""),14.0)</f>
        <v>14</v>
      </c>
      <c r="E143" s="2"/>
      <c r="F143" s="2"/>
    </row>
    <row r="144">
      <c r="A144" s="2">
        <f>IFERROR(__xludf.DUMMYFUNCTION("""COMPUTED_VALUE"""),121287.0)</f>
        <v>121287</v>
      </c>
      <c r="B144" s="2">
        <f>IFERROR(__xludf.DUMMYFUNCTION("""COMPUTED_VALUE"""),0.0)</f>
        <v>0</v>
      </c>
      <c r="C144" s="2">
        <f>IFERROR(__xludf.DUMMYFUNCTION("""COMPUTED_VALUE"""),14.0)</f>
        <v>14</v>
      </c>
      <c r="D144" s="3">
        <f>IFERROR(__xludf.DUMMYFUNCTION("""COMPUTED_VALUE"""),12.0)</f>
        <v>12</v>
      </c>
      <c r="E144" s="2"/>
      <c r="F144" s="2"/>
    </row>
    <row r="145">
      <c r="A145" s="2">
        <f>IFERROR(__xludf.DUMMYFUNCTION("""COMPUTED_VALUE"""),113559.0)</f>
        <v>113559</v>
      </c>
      <c r="B145" s="2">
        <f>IFERROR(__xludf.DUMMYFUNCTION("""COMPUTED_VALUE"""),0.0)</f>
        <v>0</v>
      </c>
      <c r="C145" s="2">
        <f>IFERROR(__xludf.DUMMYFUNCTION("""COMPUTED_VALUE"""),358.0)</f>
        <v>358</v>
      </c>
      <c r="D145" s="3">
        <f>IFERROR(__xludf.DUMMYFUNCTION("""COMPUTED_VALUE"""),328.0)</f>
        <v>328</v>
      </c>
      <c r="E145" s="2"/>
      <c r="F145" s="2"/>
    </row>
    <row r="146">
      <c r="A146" s="2">
        <f>IFERROR(__xludf.DUMMYFUNCTION("""COMPUTED_VALUE"""),85252.0)</f>
        <v>85252</v>
      </c>
      <c r="B146" s="2">
        <f>IFERROR(__xludf.DUMMYFUNCTION("""COMPUTED_VALUE"""),1.0)</f>
        <v>1</v>
      </c>
      <c r="C146" s="2">
        <f>IFERROR(__xludf.DUMMYFUNCTION("""COMPUTED_VALUE"""),910.0)</f>
        <v>910</v>
      </c>
      <c r="D146" s="3">
        <f>IFERROR(__xludf.DUMMYFUNCTION("""COMPUTED_VALUE"""),739.0)</f>
        <v>739</v>
      </c>
      <c r="E146" s="2"/>
      <c r="F146" s="2"/>
    </row>
    <row r="147">
      <c r="A147" s="2">
        <f>IFERROR(__xludf.DUMMYFUNCTION("""COMPUTED_VALUE"""),82507.0)</f>
        <v>82507</v>
      </c>
      <c r="B147" s="2">
        <f>IFERROR(__xludf.DUMMYFUNCTION("""COMPUTED_VALUE"""),0.0)</f>
        <v>0</v>
      </c>
      <c r="C147" s="2">
        <f>IFERROR(__xludf.DUMMYFUNCTION("""COMPUTED_VALUE"""),867.0)</f>
        <v>867</v>
      </c>
      <c r="D147" s="3">
        <f>IFERROR(__xludf.DUMMYFUNCTION("""COMPUTED_VALUE"""),576.0)</f>
        <v>576</v>
      </c>
      <c r="E147" s="2"/>
      <c r="F147" s="2"/>
    </row>
    <row r="148">
      <c r="A148" s="2">
        <f>IFERROR(__xludf.DUMMYFUNCTION("""COMPUTED_VALUE"""),109625.0)</f>
        <v>109625</v>
      </c>
      <c r="B148" s="2">
        <f>IFERROR(__xludf.DUMMYFUNCTION("""COMPUTED_VALUE"""),1.0)</f>
        <v>1</v>
      </c>
      <c r="C148" s="2">
        <f>IFERROR(__xludf.DUMMYFUNCTION("""COMPUTED_VALUE"""),16.0)</f>
        <v>16</v>
      </c>
      <c r="D148" s="3">
        <f>IFERROR(__xludf.DUMMYFUNCTION("""COMPUTED_VALUE"""),6.0)</f>
        <v>6</v>
      </c>
      <c r="E148" s="2"/>
      <c r="F148" s="2"/>
    </row>
    <row r="149">
      <c r="A149" s="2">
        <f>IFERROR(__xludf.DUMMYFUNCTION("""COMPUTED_VALUE"""),110864.0)</f>
        <v>110864</v>
      </c>
      <c r="B149" s="2">
        <f>IFERROR(__xludf.DUMMYFUNCTION("""COMPUTED_VALUE"""),0.0)</f>
        <v>0</v>
      </c>
      <c r="C149" s="2">
        <f>IFERROR(__xludf.DUMMYFUNCTION("""COMPUTED_VALUE"""),242.0)</f>
        <v>242</v>
      </c>
      <c r="D149" s="3">
        <f>IFERROR(__xludf.DUMMYFUNCTION("""COMPUTED_VALUE"""),88.0)</f>
        <v>88</v>
      </c>
      <c r="E149" s="2"/>
      <c r="F149" s="2"/>
    </row>
    <row r="150">
      <c r="A150" s="2">
        <f>IFERROR(__xludf.DUMMYFUNCTION("""COMPUTED_VALUE"""),138916.0)</f>
        <v>138916</v>
      </c>
      <c r="B150" s="2">
        <f>IFERROR(__xludf.DUMMYFUNCTION("""COMPUTED_VALUE"""),0.0)</f>
        <v>0</v>
      </c>
      <c r="C150" s="2">
        <f>IFERROR(__xludf.DUMMYFUNCTION("""COMPUTED_VALUE"""),582.0)</f>
        <v>582</v>
      </c>
      <c r="D150" s="3">
        <f>IFERROR(__xludf.DUMMYFUNCTION("""COMPUTED_VALUE"""),462.0)</f>
        <v>462</v>
      </c>
      <c r="E150" s="2"/>
      <c r="F150" s="2"/>
    </row>
    <row r="151">
      <c r="A151" s="2">
        <f>IFERROR(__xludf.DUMMYFUNCTION("""COMPUTED_VALUE"""),121076.0)</f>
        <v>121076</v>
      </c>
      <c r="B151" s="2">
        <f>IFERROR(__xludf.DUMMYFUNCTION("""COMPUTED_VALUE"""),1.0)</f>
        <v>1</v>
      </c>
      <c r="C151" s="2">
        <f>IFERROR(__xludf.DUMMYFUNCTION("""COMPUTED_VALUE"""),300.0)</f>
        <v>300</v>
      </c>
      <c r="D151" s="3">
        <f>IFERROR(__xludf.DUMMYFUNCTION("""COMPUTED_VALUE"""),77.0)</f>
        <v>77</v>
      </c>
      <c r="E151" s="2"/>
      <c r="F151" s="2"/>
    </row>
    <row r="152">
      <c r="A152" s="2">
        <f>IFERROR(__xludf.DUMMYFUNCTION("""COMPUTED_VALUE"""),121077.0)</f>
        <v>121077</v>
      </c>
      <c r="B152" s="2">
        <f>IFERROR(__xludf.DUMMYFUNCTION("""COMPUTED_VALUE"""),1.0)</f>
        <v>1</v>
      </c>
      <c r="C152" s="2">
        <f>IFERROR(__xludf.DUMMYFUNCTION("""COMPUTED_VALUE"""),131.0)</f>
        <v>131</v>
      </c>
      <c r="D152" s="3">
        <f>IFERROR(__xludf.DUMMYFUNCTION("""COMPUTED_VALUE"""),74.0)</f>
        <v>74</v>
      </c>
      <c r="E152" s="2"/>
      <c r="F152" s="2"/>
    </row>
    <row r="153">
      <c r="A153" s="2">
        <f>IFERROR(__xludf.DUMMYFUNCTION("""COMPUTED_VALUE"""),116631.0)</f>
        <v>116631</v>
      </c>
      <c r="B153" s="2">
        <f>IFERROR(__xludf.DUMMYFUNCTION("""COMPUTED_VALUE"""),0.0)</f>
        <v>0</v>
      </c>
      <c r="C153" s="2">
        <f>IFERROR(__xludf.DUMMYFUNCTION("""COMPUTED_VALUE"""),431.0)</f>
        <v>431</v>
      </c>
      <c r="D153" s="3">
        <f>IFERROR(__xludf.DUMMYFUNCTION("""COMPUTED_VALUE"""),66.0)</f>
        <v>66</v>
      </c>
      <c r="E153" s="2"/>
      <c r="F153" s="2"/>
    </row>
    <row r="154">
      <c r="A154" s="2">
        <f>IFERROR(__xludf.DUMMYFUNCTION("""COMPUTED_VALUE"""),147263.0)</f>
        <v>147263</v>
      </c>
      <c r="B154" s="2">
        <f>IFERROR(__xludf.DUMMYFUNCTION("""COMPUTED_VALUE"""),0.0)</f>
        <v>0</v>
      </c>
      <c r="C154" s="2">
        <f>IFERROR(__xludf.DUMMYFUNCTION("""COMPUTED_VALUE"""),44.0)</f>
        <v>44</v>
      </c>
      <c r="D154" s="3">
        <f>IFERROR(__xludf.DUMMYFUNCTION("""COMPUTED_VALUE"""),16.0)</f>
        <v>16</v>
      </c>
      <c r="E154" s="2"/>
      <c r="F154" s="2"/>
    </row>
    <row r="155">
      <c r="A155" s="2">
        <f>IFERROR(__xludf.DUMMYFUNCTION("""COMPUTED_VALUE"""),108763.0)</f>
        <v>108763</v>
      </c>
      <c r="B155" s="2">
        <f>IFERROR(__xludf.DUMMYFUNCTION("""COMPUTED_VALUE"""),0.0)</f>
        <v>0</v>
      </c>
      <c r="C155" s="2">
        <f>IFERROR(__xludf.DUMMYFUNCTION("""COMPUTED_VALUE"""),642.0)</f>
        <v>642</v>
      </c>
      <c r="D155" s="3">
        <f>IFERROR(__xludf.DUMMYFUNCTION("""COMPUTED_VALUE"""),42.0)</f>
        <v>42</v>
      </c>
      <c r="E155" s="2"/>
      <c r="F155" s="2"/>
    </row>
    <row r="156">
      <c r="A156" s="2">
        <f>IFERROR(__xludf.DUMMYFUNCTION("""COMPUTED_VALUE"""),116593.0)</f>
        <v>116593</v>
      </c>
      <c r="B156" s="2">
        <f>IFERROR(__xludf.DUMMYFUNCTION("""COMPUTED_VALUE"""),1.0)</f>
        <v>1</v>
      </c>
      <c r="C156" s="2">
        <f>IFERROR(__xludf.DUMMYFUNCTION("""COMPUTED_VALUE"""),274.0)</f>
        <v>274</v>
      </c>
      <c r="D156" s="3">
        <f>IFERROR(__xludf.DUMMYFUNCTION("""COMPUTED_VALUE"""),264.0)</f>
        <v>264</v>
      </c>
      <c r="E156" s="2"/>
      <c r="F156" s="2"/>
    </row>
    <row r="157">
      <c r="A157" s="2">
        <f>IFERROR(__xludf.DUMMYFUNCTION("""COMPUTED_VALUE"""),116613.0)</f>
        <v>116613</v>
      </c>
      <c r="B157" s="2">
        <f>IFERROR(__xludf.DUMMYFUNCTION("""COMPUTED_VALUE"""),0.0)</f>
        <v>0</v>
      </c>
      <c r="C157" s="2">
        <f>IFERROR(__xludf.DUMMYFUNCTION("""COMPUTED_VALUE"""),717.0)</f>
        <v>717</v>
      </c>
      <c r="D157" s="3">
        <f>IFERROR(__xludf.DUMMYFUNCTION("""COMPUTED_VALUE"""),420.0)</f>
        <v>420</v>
      </c>
      <c r="E157" s="2"/>
      <c r="F157" s="2"/>
    </row>
    <row r="158">
      <c r="A158" s="2">
        <f>IFERROR(__xludf.DUMMYFUNCTION("""COMPUTED_VALUE"""),102476.0)</f>
        <v>102476</v>
      </c>
      <c r="B158" s="2">
        <f>IFERROR(__xludf.DUMMYFUNCTION("""COMPUTED_VALUE"""),0.0)</f>
        <v>0</v>
      </c>
      <c r="C158" s="2">
        <f>IFERROR(__xludf.DUMMYFUNCTION("""COMPUTED_VALUE"""),274.0)</f>
        <v>274</v>
      </c>
      <c r="D158" s="3">
        <f>IFERROR(__xludf.DUMMYFUNCTION("""COMPUTED_VALUE"""),206.0)</f>
        <v>206</v>
      </c>
      <c r="E158" s="2"/>
      <c r="F158" s="2"/>
    </row>
    <row r="159">
      <c r="A159" s="2">
        <f>IFERROR(__xludf.DUMMYFUNCTION("""COMPUTED_VALUE"""),190030.0)</f>
        <v>190030</v>
      </c>
      <c r="B159" s="2">
        <f>IFERROR(__xludf.DUMMYFUNCTION("""COMPUTED_VALUE"""),0.0)</f>
        <v>0</v>
      </c>
      <c r="C159" s="2">
        <f>IFERROR(__xludf.DUMMYFUNCTION("""COMPUTED_VALUE"""),102.0)</f>
        <v>102</v>
      </c>
      <c r="D159" s="3">
        <f>IFERROR(__xludf.DUMMYFUNCTION("""COMPUTED_VALUE"""),6.0)</f>
        <v>6</v>
      </c>
      <c r="E159" s="2"/>
      <c r="F159" s="2"/>
    </row>
    <row r="160">
      <c r="A160" s="2">
        <f>IFERROR(__xludf.DUMMYFUNCTION("""COMPUTED_VALUE"""),113845.0)</f>
        <v>113845</v>
      </c>
      <c r="B160" s="2">
        <f>IFERROR(__xludf.DUMMYFUNCTION("""COMPUTED_VALUE"""),1.0)</f>
        <v>1</v>
      </c>
      <c r="C160" s="2">
        <f>IFERROR(__xludf.DUMMYFUNCTION("""COMPUTED_VALUE"""),476.0)</f>
        <v>476</v>
      </c>
      <c r="D160" s="3">
        <f>IFERROR(__xludf.DUMMYFUNCTION("""COMPUTED_VALUE"""),102.0)</f>
        <v>102</v>
      </c>
      <c r="E160" s="2"/>
      <c r="F160" s="2"/>
    </row>
    <row r="161">
      <c r="A161" s="2">
        <f>IFERROR(__xludf.DUMMYFUNCTION("""COMPUTED_VALUE"""),77824.0)</f>
        <v>77824</v>
      </c>
      <c r="B161" s="2">
        <f>IFERROR(__xludf.DUMMYFUNCTION("""COMPUTED_VALUE"""),0.0)</f>
        <v>0</v>
      </c>
      <c r="C161" s="2">
        <f>IFERROR(__xludf.DUMMYFUNCTION("""COMPUTED_VALUE"""),769.0)</f>
        <v>769</v>
      </c>
      <c r="D161" s="3">
        <f>IFERROR(__xludf.DUMMYFUNCTION("""COMPUTED_VALUE"""),761.0)</f>
        <v>761</v>
      </c>
      <c r="E161" s="2"/>
      <c r="F161" s="2"/>
    </row>
    <row r="162">
      <c r="A162" s="2">
        <f>IFERROR(__xludf.DUMMYFUNCTION("""COMPUTED_VALUE"""),85888.0)</f>
        <v>85888</v>
      </c>
      <c r="B162" s="2">
        <f>IFERROR(__xludf.DUMMYFUNCTION("""COMPUTED_VALUE"""),1.0)</f>
        <v>1</v>
      </c>
      <c r="C162" s="2">
        <f>IFERROR(__xludf.DUMMYFUNCTION("""COMPUTED_VALUE"""),315.0)</f>
        <v>315</v>
      </c>
      <c r="D162" s="3">
        <f>IFERROR(__xludf.DUMMYFUNCTION("""COMPUTED_VALUE"""),305.0)</f>
        <v>305</v>
      </c>
      <c r="E162" s="2"/>
      <c r="F162" s="2"/>
    </row>
    <row r="163">
      <c r="A163" s="2">
        <f>IFERROR(__xludf.DUMMYFUNCTION("""COMPUTED_VALUE"""),85890.0)</f>
        <v>85890</v>
      </c>
      <c r="B163" s="2">
        <f>IFERROR(__xludf.DUMMYFUNCTION("""COMPUTED_VALUE"""),1.0)</f>
        <v>1</v>
      </c>
      <c r="C163" s="2">
        <f>IFERROR(__xludf.DUMMYFUNCTION("""COMPUTED_VALUE"""),610.0)</f>
        <v>610</v>
      </c>
      <c r="D163" s="3">
        <f>IFERROR(__xludf.DUMMYFUNCTION("""COMPUTED_VALUE"""),520.0)</f>
        <v>520</v>
      </c>
      <c r="E163" s="2"/>
      <c r="F163" s="2"/>
    </row>
    <row r="164">
      <c r="A164" s="2">
        <f>IFERROR(__xludf.DUMMYFUNCTION("""COMPUTED_VALUE"""),83727.0)</f>
        <v>83727</v>
      </c>
      <c r="B164" s="2">
        <f>IFERROR(__xludf.DUMMYFUNCTION("""COMPUTED_VALUE"""),1.0)</f>
        <v>1</v>
      </c>
      <c r="C164" s="2">
        <f>IFERROR(__xludf.DUMMYFUNCTION("""COMPUTED_VALUE"""),213.0)</f>
        <v>213</v>
      </c>
      <c r="D164" s="3">
        <f>IFERROR(__xludf.DUMMYFUNCTION("""COMPUTED_VALUE"""),34.0)</f>
        <v>34</v>
      </c>
      <c r="E164" s="2"/>
      <c r="F164" s="2"/>
    </row>
    <row r="165">
      <c r="A165" s="2">
        <f>IFERROR(__xludf.DUMMYFUNCTION("""COMPUTED_VALUE"""),85887.0)</f>
        <v>85887</v>
      </c>
      <c r="B165" s="2">
        <f>IFERROR(__xludf.DUMMYFUNCTION("""COMPUTED_VALUE"""),0.0)</f>
        <v>0</v>
      </c>
      <c r="C165" s="2">
        <f>IFERROR(__xludf.DUMMYFUNCTION("""COMPUTED_VALUE"""),473.0)</f>
        <v>473</v>
      </c>
      <c r="D165" s="3">
        <f>IFERROR(__xludf.DUMMYFUNCTION("""COMPUTED_VALUE"""),333.0)</f>
        <v>333</v>
      </c>
      <c r="E165" s="2"/>
      <c r="F165" s="2"/>
    </row>
    <row r="166">
      <c r="A166" s="2">
        <f>IFERROR(__xludf.DUMMYFUNCTION("""COMPUTED_VALUE"""),77823.0)</f>
        <v>77823</v>
      </c>
      <c r="B166" s="2">
        <f>IFERROR(__xludf.DUMMYFUNCTION("""COMPUTED_VALUE"""),1.0)</f>
        <v>1</v>
      </c>
      <c r="C166" s="2">
        <f>IFERROR(__xludf.DUMMYFUNCTION("""COMPUTED_VALUE"""),710.0)</f>
        <v>710</v>
      </c>
      <c r="D166" s="3">
        <f>IFERROR(__xludf.DUMMYFUNCTION("""COMPUTED_VALUE"""),217.0)</f>
        <v>217</v>
      </c>
      <c r="E166" s="2"/>
      <c r="F166" s="2"/>
    </row>
    <row r="167">
      <c r="A167" s="2">
        <f>IFERROR(__xludf.DUMMYFUNCTION("""COMPUTED_VALUE"""),86753.0)</f>
        <v>86753</v>
      </c>
      <c r="B167" s="2">
        <f>IFERROR(__xludf.DUMMYFUNCTION("""COMPUTED_VALUE"""),1.0)</f>
        <v>1</v>
      </c>
      <c r="C167" s="2">
        <f>IFERROR(__xludf.DUMMYFUNCTION("""COMPUTED_VALUE"""),815.0)</f>
        <v>815</v>
      </c>
      <c r="D167" s="3">
        <f>IFERROR(__xludf.DUMMYFUNCTION("""COMPUTED_VALUE"""),514.0)</f>
        <v>514</v>
      </c>
      <c r="E167" s="2"/>
      <c r="F167" s="2"/>
    </row>
    <row r="168">
      <c r="A168" s="2">
        <f>IFERROR(__xludf.DUMMYFUNCTION("""COMPUTED_VALUE"""),145102.0)</f>
        <v>145102</v>
      </c>
      <c r="B168" s="2">
        <f>IFERROR(__xludf.DUMMYFUNCTION("""COMPUTED_VALUE"""),0.0)</f>
        <v>0</v>
      </c>
      <c r="C168" s="2">
        <f>IFERROR(__xludf.DUMMYFUNCTION("""COMPUTED_VALUE"""),643.0)</f>
        <v>643</v>
      </c>
      <c r="D168" s="3">
        <f>IFERROR(__xludf.DUMMYFUNCTION("""COMPUTED_VALUE"""),475.0)</f>
        <v>475</v>
      </c>
      <c r="E168" s="2"/>
      <c r="F168" s="2"/>
    </row>
    <row r="169">
      <c r="A169" s="2">
        <f>IFERROR(__xludf.DUMMYFUNCTION("""COMPUTED_VALUE"""),78717.0)</f>
        <v>78717</v>
      </c>
      <c r="B169" s="2">
        <f>IFERROR(__xludf.DUMMYFUNCTION("""COMPUTED_VALUE"""),1.0)</f>
        <v>1</v>
      </c>
      <c r="C169" s="2">
        <f>IFERROR(__xludf.DUMMYFUNCTION("""COMPUTED_VALUE"""),411.0)</f>
        <v>411</v>
      </c>
      <c r="D169" s="3">
        <f>IFERROR(__xludf.DUMMYFUNCTION("""COMPUTED_VALUE"""),361.0)</f>
        <v>361</v>
      </c>
      <c r="E169" s="2"/>
      <c r="F169" s="2"/>
    </row>
    <row r="170">
      <c r="A170" s="2">
        <f>IFERROR(__xludf.DUMMYFUNCTION("""COMPUTED_VALUE"""),82777.0)</f>
        <v>82777</v>
      </c>
      <c r="B170" s="2">
        <f>IFERROR(__xludf.DUMMYFUNCTION("""COMPUTED_VALUE"""),1.0)</f>
        <v>1</v>
      </c>
      <c r="C170" s="2">
        <f>IFERROR(__xludf.DUMMYFUNCTION("""COMPUTED_VALUE"""),703.0)</f>
        <v>703</v>
      </c>
      <c r="D170" s="3">
        <f>IFERROR(__xludf.DUMMYFUNCTION("""COMPUTED_VALUE"""),674.0)</f>
        <v>674</v>
      </c>
      <c r="E170" s="2"/>
      <c r="F170" s="2"/>
    </row>
    <row r="171">
      <c r="A171" s="2">
        <f>IFERROR(__xludf.DUMMYFUNCTION("""COMPUTED_VALUE"""),120341.0)</f>
        <v>120341</v>
      </c>
      <c r="B171" s="2">
        <f>IFERROR(__xludf.DUMMYFUNCTION("""COMPUTED_VALUE"""),1.0)</f>
        <v>1</v>
      </c>
      <c r="C171" s="2">
        <f>IFERROR(__xludf.DUMMYFUNCTION("""COMPUTED_VALUE"""),409.0)</f>
        <v>409</v>
      </c>
      <c r="D171" s="3">
        <f>IFERROR(__xludf.DUMMYFUNCTION("""COMPUTED_VALUE"""),121.0)</f>
        <v>121</v>
      </c>
      <c r="E171" s="2"/>
      <c r="F171" s="2"/>
    </row>
    <row r="172">
      <c r="A172" s="2">
        <f>IFERROR(__xludf.DUMMYFUNCTION("""COMPUTED_VALUE"""),110344.0)</f>
        <v>110344</v>
      </c>
      <c r="B172" s="2">
        <f>IFERROR(__xludf.DUMMYFUNCTION("""COMPUTED_VALUE"""),0.0)</f>
        <v>0</v>
      </c>
      <c r="C172" s="2">
        <f>IFERROR(__xludf.DUMMYFUNCTION("""COMPUTED_VALUE"""),52.0)</f>
        <v>52</v>
      </c>
      <c r="D172" s="3">
        <f>IFERROR(__xludf.DUMMYFUNCTION("""COMPUTED_VALUE"""),2.0)</f>
        <v>2</v>
      </c>
      <c r="E172" s="2"/>
      <c r="F172" s="2"/>
    </row>
    <row r="173">
      <c r="A173" s="2">
        <f>IFERROR(__xludf.DUMMYFUNCTION("""COMPUTED_VALUE"""),120233.0)</f>
        <v>120233</v>
      </c>
      <c r="B173" s="2">
        <f>IFERROR(__xludf.DUMMYFUNCTION("""COMPUTED_VALUE"""),0.0)</f>
        <v>0</v>
      </c>
      <c r="C173" s="2">
        <f>IFERROR(__xludf.DUMMYFUNCTION("""COMPUTED_VALUE"""),504.0)</f>
        <v>504</v>
      </c>
      <c r="D173" s="3">
        <f>IFERROR(__xludf.DUMMYFUNCTION("""COMPUTED_VALUE"""),161.0)</f>
        <v>161</v>
      </c>
      <c r="E173" s="2"/>
      <c r="F173" s="2"/>
    </row>
    <row r="174">
      <c r="A174" s="2">
        <f>IFERROR(__xludf.DUMMYFUNCTION("""COMPUTED_VALUE"""),117579.0)</f>
        <v>117579</v>
      </c>
      <c r="B174" s="2">
        <f>IFERROR(__xludf.DUMMYFUNCTION("""COMPUTED_VALUE"""),0.0)</f>
        <v>0</v>
      </c>
      <c r="C174" s="2">
        <f>IFERROR(__xludf.DUMMYFUNCTION("""COMPUTED_VALUE"""),979.0)</f>
        <v>979</v>
      </c>
      <c r="D174" s="3">
        <f>IFERROR(__xludf.DUMMYFUNCTION("""COMPUTED_VALUE"""),879.0)</f>
        <v>879</v>
      </c>
      <c r="E174" s="2"/>
      <c r="F174" s="2"/>
    </row>
    <row r="175">
      <c r="A175" s="2">
        <f>IFERROR(__xludf.DUMMYFUNCTION("""COMPUTED_VALUE"""),21066.0)</f>
        <v>21066</v>
      </c>
      <c r="B175" s="2">
        <f>IFERROR(__xludf.DUMMYFUNCTION("""COMPUTED_VALUE"""),1.0)</f>
        <v>1</v>
      </c>
      <c r="C175" s="2">
        <f>IFERROR(__xludf.DUMMYFUNCTION("""COMPUTED_VALUE"""),605.0)</f>
        <v>605</v>
      </c>
      <c r="D175" s="3">
        <f>IFERROR(__xludf.DUMMYFUNCTION("""COMPUTED_VALUE"""),16.0)</f>
        <v>16</v>
      </c>
      <c r="E175" s="2"/>
      <c r="F175" s="2"/>
    </row>
    <row r="176">
      <c r="A176" s="2">
        <f>IFERROR(__xludf.DUMMYFUNCTION("""COMPUTED_VALUE"""),117583.0)</f>
        <v>117583</v>
      </c>
      <c r="B176" s="2">
        <f>IFERROR(__xludf.DUMMYFUNCTION("""COMPUTED_VALUE"""),0.0)</f>
        <v>0</v>
      </c>
      <c r="C176" s="2">
        <f>IFERROR(__xludf.DUMMYFUNCTION("""COMPUTED_VALUE"""),237.0)</f>
        <v>237</v>
      </c>
      <c r="D176" s="3">
        <f>IFERROR(__xludf.DUMMYFUNCTION("""COMPUTED_VALUE"""),159.0)</f>
        <v>159</v>
      </c>
      <c r="E176" s="2"/>
      <c r="F176" s="2"/>
    </row>
    <row r="177">
      <c r="A177" s="2">
        <f>IFERROR(__xludf.DUMMYFUNCTION("""COMPUTED_VALUE"""),71107.0)</f>
        <v>71107</v>
      </c>
      <c r="B177" s="2">
        <f>IFERROR(__xludf.DUMMYFUNCTION("""COMPUTED_VALUE"""),1.0)</f>
        <v>1</v>
      </c>
      <c r="C177" s="2">
        <f>IFERROR(__xludf.DUMMYFUNCTION("""COMPUTED_VALUE"""),343.0)</f>
        <v>343</v>
      </c>
      <c r="D177" s="3">
        <f>IFERROR(__xludf.DUMMYFUNCTION("""COMPUTED_VALUE"""),172.0)</f>
        <v>172</v>
      </c>
      <c r="E177" s="2"/>
      <c r="F177" s="2"/>
    </row>
    <row r="178">
      <c r="A178" s="2">
        <f>IFERROR(__xludf.DUMMYFUNCTION("""COMPUTED_VALUE"""),104168.0)</f>
        <v>104168</v>
      </c>
      <c r="B178" s="2">
        <f>IFERROR(__xludf.DUMMYFUNCTION("""COMPUTED_VALUE"""),0.0)</f>
        <v>0</v>
      </c>
      <c r="C178" s="2">
        <f>IFERROR(__xludf.DUMMYFUNCTION("""COMPUTED_VALUE"""),66.0)</f>
        <v>66</v>
      </c>
      <c r="D178" s="3">
        <f>IFERROR(__xludf.DUMMYFUNCTION("""COMPUTED_VALUE"""),51.0)</f>
        <v>51</v>
      </c>
      <c r="E178" s="2"/>
      <c r="F178" s="2"/>
    </row>
    <row r="179">
      <c r="A179" s="2">
        <f>IFERROR(__xludf.DUMMYFUNCTION("""COMPUTED_VALUE"""),88913.0)</f>
        <v>88913</v>
      </c>
      <c r="B179" s="2">
        <f>IFERROR(__xludf.DUMMYFUNCTION("""COMPUTED_VALUE"""),0.0)</f>
        <v>0</v>
      </c>
      <c r="C179" s="2">
        <f>IFERROR(__xludf.DUMMYFUNCTION("""COMPUTED_VALUE"""),411.0)</f>
        <v>411</v>
      </c>
      <c r="D179" s="3">
        <f>IFERROR(__xludf.DUMMYFUNCTION("""COMPUTED_VALUE"""),175.0)</f>
        <v>175</v>
      </c>
      <c r="E179" s="2"/>
      <c r="F179" s="2"/>
    </row>
    <row r="180">
      <c r="A180" s="2">
        <f>IFERROR(__xludf.DUMMYFUNCTION("""COMPUTED_VALUE"""),108160.0)</f>
        <v>108160</v>
      </c>
      <c r="B180" s="2">
        <f>IFERROR(__xludf.DUMMYFUNCTION("""COMPUTED_VALUE"""),0.0)</f>
        <v>0</v>
      </c>
      <c r="C180" s="2">
        <f>IFERROR(__xludf.DUMMYFUNCTION("""COMPUTED_VALUE"""),11.0)</f>
        <v>11</v>
      </c>
      <c r="D180" s="3">
        <f>IFERROR(__xludf.DUMMYFUNCTION("""COMPUTED_VALUE"""),9.0)</f>
        <v>9</v>
      </c>
      <c r="E180" s="2"/>
      <c r="F180" s="2"/>
    </row>
    <row r="181">
      <c r="A181" s="2">
        <f>IFERROR(__xludf.DUMMYFUNCTION("""COMPUTED_VALUE"""),128377.0)</f>
        <v>128377</v>
      </c>
      <c r="B181" s="2">
        <f>IFERROR(__xludf.DUMMYFUNCTION("""COMPUTED_VALUE"""),1.0)</f>
        <v>1</v>
      </c>
      <c r="C181" s="2">
        <f>IFERROR(__xludf.DUMMYFUNCTION("""COMPUTED_VALUE"""),403.0)</f>
        <v>403</v>
      </c>
      <c r="D181" s="3">
        <f>IFERROR(__xludf.DUMMYFUNCTION("""COMPUTED_VALUE"""),207.0)</f>
        <v>207</v>
      </c>
      <c r="E181" s="2"/>
      <c r="F181" s="2"/>
    </row>
    <row r="182">
      <c r="A182" s="2">
        <f>IFERROR(__xludf.DUMMYFUNCTION("""COMPUTED_VALUE"""),108533.0)</f>
        <v>108533</v>
      </c>
      <c r="B182" s="2">
        <f>IFERROR(__xludf.DUMMYFUNCTION("""COMPUTED_VALUE"""),1.0)</f>
        <v>1</v>
      </c>
      <c r="C182" s="2">
        <f>IFERROR(__xludf.DUMMYFUNCTION("""COMPUTED_VALUE"""),99.0)</f>
        <v>99</v>
      </c>
      <c r="D182" s="3">
        <f>IFERROR(__xludf.DUMMYFUNCTION("""COMPUTED_VALUE"""),16.0)</f>
        <v>16</v>
      </c>
      <c r="E182" s="2"/>
      <c r="F182" s="2"/>
    </row>
    <row r="183">
      <c r="A183" s="2">
        <f>IFERROR(__xludf.DUMMYFUNCTION("""COMPUTED_VALUE"""),116392.0)</f>
        <v>116392</v>
      </c>
      <c r="B183" s="2">
        <f>IFERROR(__xludf.DUMMYFUNCTION("""COMPUTED_VALUE"""),0.0)</f>
        <v>0</v>
      </c>
      <c r="C183" s="2">
        <f>IFERROR(__xludf.DUMMYFUNCTION("""COMPUTED_VALUE"""),282.0)</f>
        <v>282</v>
      </c>
      <c r="D183" s="3">
        <f>IFERROR(__xludf.DUMMYFUNCTION("""COMPUTED_VALUE"""),9.0)</f>
        <v>9</v>
      </c>
      <c r="E183" s="2"/>
      <c r="F183" s="2"/>
    </row>
    <row r="184">
      <c r="A184" s="2">
        <f>IFERROR(__xludf.DUMMYFUNCTION("""COMPUTED_VALUE"""),110328.0)</f>
        <v>110328</v>
      </c>
      <c r="B184" s="2">
        <f>IFERROR(__xludf.DUMMYFUNCTION("""COMPUTED_VALUE"""),0.0)</f>
        <v>0</v>
      </c>
      <c r="C184" s="2">
        <f>IFERROR(__xludf.DUMMYFUNCTION("""COMPUTED_VALUE"""),958.0)</f>
        <v>958</v>
      </c>
      <c r="D184" s="3">
        <f>IFERROR(__xludf.DUMMYFUNCTION("""COMPUTED_VALUE"""),494.0)</f>
        <v>494</v>
      </c>
      <c r="E184" s="2"/>
      <c r="F184" s="2"/>
    </row>
    <row r="185">
      <c r="A185" s="2">
        <f>IFERROR(__xludf.DUMMYFUNCTION("""COMPUTED_VALUE"""),101445.0)</f>
        <v>101445</v>
      </c>
      <c r="B185" s="2">
        <f>IFERROR(__xludf.DUMMYFUNCTION("""COMPUTED_VALUE"""),0.0)</f>
        <v>0</v>
      </c>
      <c r="C185" s="2">
        <f>IFERROR(__xludf.DUMMYFUNCTION("""COMPUTED_VALUE"""),459.0)</f>
        <v>459</v>
      </c>
      <c r="D185" s="3">
        <f>IFERROR(__xludf.DUMMYFUNCTION("""COMPUTED_VALUE"""),385.0)</f>
        <v>385</v>
      </c>
      <c r="E185" s="2"/>
      <c r="F185" s="2"/>
    </row>
    <row r="186">
      <c r="A186" s="2">
        <f>IFERROR(__xludf.DUMMYFUNCTION("""COMPUTED_VALUE"""),117599.0)</f>
        <v>117599</v>
      </c>
      <c r="B186" s="2">
        <f>IFERROR(__xludf.DUMMYFUNCTION("""COMPUTED_VALUE"""),1.0)</f>
        <v>1</v>
      </c>
      <c r="C186" s="2">
        <f>IFERROR(__xludf.DUMMYFUNCTION("""COMPUTED_VALUE"""),690.0)</f>
        <v>690</v>
      </c>
      <c r="D186" s="3">
        <f>IFERROR(__xludf.DUMMYFUNCTION("""COMPUTED_VALUE"""),554.0)</f>
        <v>554</v>
      </c>
      <c r="E186" s="2"/>
      <c r="F186" s="2"/>
    </row>
    <row r="187">
      <c r="A187" s="2">
        <f>IFERROR(__xludf.DUMMYFUNCTION("""COMPUTED_VALUE"""),5508.0)</f>
        <v>5508</v>
      </c>
      <c r="B187" s="2">
        <f>IFERROR(__xludf.DUMMYFUNCTION("""COMPUTED_VALUE"""),0.0)</f>
        <v>0</v>
      </c>
      <c r="C187" s="2">
        <f>IFERROR(__xludf.DUMMYFUNCTION("""COMPUTED_VALUE"""),559.0)</f>
        <v>559</v>
      </c>
      <c r="D187" s="3">
        <f>IFERROR(__xludf.DUMMYFUNCTION("""COMPUTED_VALUE"""),555.0)</f>
        <v>555</v>
      </c>
      <c r="E187" s="2"/>
      <c r="F187" s="2"/>
    </row>
    <row r="188">
      <c r="A188" s="2">
        <f>IFERROR(__xludf.DUMMYFUNCTION("""COMPUTED_VALUE"""),91241.0)</f>
        <v>91241</v>
      </c>
      <c r="B188" s="2">
        <f>IFERROR(__xludf.DUMMYFUNCTION("""COMPUTED_VALUE"""),1.0)</f>
        <v>1</v>
      </c>
      <c r="C188" s="2">
        <f>IFERROR(__xludf.DUMMYFUNCTION("""COMPUTED_VALUE"""),61.0)</f>
        <v>61</v>
      </c>
      <c r="D188" s="3">
        <f>IFERROR(__xludf.DUMMYFUNCTION("""COMPUTED_VALUE"""),49.0)</f>
        <v>49</v>
      </c>
      <c r="E188" s="2"/>
      <c r="F188" s="2"/>
    </row>
    <row r="189">
      <c r="A189" s="2">
        <f>IFERROR(__xludf.DUMMYFUNCTION("""COMPUTED_VALUE"""),5507.0)</f>
        <v>5507</v>
      </c>
      <c r="B189" s="2">
        <f>IFERROR(__xludf.DUMMYFUNCTION("""COMPUTED_VALUE"""),1.0)</f>
        <v>1</v>
      </c>
      <c r="C189" s="2">
        <f>IFERROR(__xludf.DUMMYFUNCTION("""COMPUTED_VALUE"""),201.0)</f>
        <v>201</v>
      </c>
      <c r="D189" s="3">
        <f>IFERROR(__xludf.DUMMYFUNCTION("""COMPUTED_VALUE"""),190.0)</f>
        <v>190</v>
      </c>
      <c r="E189" s="2"/>
      <c r="F189" s="2"/>
    </row>
    <row r="190">
      <c r="A190" s="2">
        <f>IFERROR(__xludf.DUMMYFUNCTION("""COMPUTED_VALUE"""),110575.0)</f>
        <v>110575</v>
      </c>
      <c r="B190" s="2">
        <f>IFERROR(__xludf.DUMMYFUNCTION("""COMPUTED_VALUE"""),1.0)</f>
        <v>1</v>
      </c>
      <c r="C190" s="2">
        <f>IFERROR(__xludf.DUMMYFUNCTION("""COMPUTED_VALUE"""),851.0)</f>
        <v>851</v>
      </c>
      <c r="D190" s="3">
        <f>IFERROR(__xludf.DUMMYFUNCTION("""COMPUTED_VALUE"""),35.0)</f>
        <v>35</v>
      </c>
      <c r="E190" s="2"/>
      <c r="F190" s="2"/>
    </row>
    <row r="191">
      <c r="A191" s="2">
        <f>IFERROR(__xludf.DUMMYFUNCTION("""COMPUTED_VALUE"""),6156.0)</f>
        <v>6156</v>
      </c>
      <c r="B191" s="2">
        <f>IFERROR(__xludf.DUMMYFUNCTION("""COMPUTED_VALUE"""),0.0)</f>
        <v>0</v>
      </c>
      <c r="C191" s="2">
        <f>IFERROR(__xludf.DUMMYFUNCTION("""COMPUTED_VALUE"""),95.0)</f>
        <v>95</v>
      </c>
      <c r="D191" s="3">
        <f>IFERROR(__xludf.DUMMYFUNCTION("""COMPUTED_VALUE"""),74.0)</f>
        <v>74</v>
      </c>
      <c r="E191" s="2"/>
      <c r="F191" s="2"/>
    </row>
    <row r="192">
      <c r="A192" s="2">
        <f>IFERROR(__xludf.DUMMYFUNCTION("""COMPUTED_VALUE"""),91239.0)</f>
        <v>91239</v>
      </c>
      <c r="B192" s="2">
        <f>IFERROR(__xludf.DUMMYFUNCTION("""COMPUTED_VALUE"""),0.0)</f>
        <v>0</v>
      </c>
      <c r="C192" s="2">
        <f>IFERROR(__xludf.DUMMYFUNCTION("""COMPUTED_VALUE"""),842.0)</f>
        <v>842</v>
      </c>
      <c r="D192" s="3">
        <f>IFERROR(__xludf.DUMMYFUNCTION("""COMPUTED_VALUE"""),14.0)</f>
        <v>14</v>
      </c>
      <c r="E192" s="2"/>
      <c r="F192" s="2"/>
    </row>
    <row r="193">
      <c r="A193" s="2">
        <f>IFERROR(__xludf.DUMMYFUNCTION("""COMPUTED_VALUE"""),77361.0)</f>
        <v>77361</v>
      </c>
      <c r="B193" s="2">
        <f>IFERROR(__xludf.DUMMYFUNCTION("""COMPUTED_VALUE"""),0.0)</f>
        <v>0</v>
      </c>
      <c r="C193" s="2">
        <f>IFERROR(__xludf.DUMMYFUNCTION("""COMPUTED_VALUE"""),517.0)</f>
        <v>517</v>
      </c>
      <c r="D193" s="3">
        <f>IFERROR(__xludf.DUMMYFUNCTION("""COMPUTED_VALUE"""),23.0)</f>
        <v>23</v>
      </c>
      <c r="E193" s="2"/>
      <c r="F193" s="2"/>
    </row>
    <row r="194">
      <c r="A194" s="2">
        <f>IFERROR(__xludf.DUMMYFUNCTION("""COMPUTED_VALUE"""),77363.0)</f>
        <v>77363</v>
      </c>
      <c r="B194" s="2">
        <f>IFERROR(__xludf.DUMMYFUNCTION("""COMPUTED_VALUE"""),0.0)</f>
        <v>0</v>
      </c>
      <c r="C194" s="2">
        <f>IFERROR(__xludf.DUMMYFUNCTION("""COMPUTED_VALUE"""),202.0)</f>
        <v>202</v>
      </c>
      <c r="D194" s="3">
        <f>IFERROR(__xludf.DUMMYFUNCTION("""COMPUTED_VALUE"""),156.0)</f>
        <v>156</v>
      </c>
      <c r="E194" s="2"/>
      <c r="F194" s="2"/>
    </row>
    <row r="195">
      <c r="A195" s="2">
        <f>IFERROR(__xludf.DUMMYFUNCTION("""COMPUTED_VALUE"""),124679.0)</f>
        <v>124679</v>
      </c>
      <c r="B195" s="2">
        <f>IFERROR(__xludf.DUMMYFUNCTION("""COMPUTED_VALUE"""),0.0)</f>
        <v>0</v>
      </c>
      <c r="C195" s="2">
        <f>IFERROR(__xludf.DUMMYFUNCTION("""COMPUTED_VALUE"""),697.0)</f>
        <v>697</v>
      </c>
      <c r="D195" s="3">
        <f>IFERROR(__xludf.DUMMYFUNCTION("""COMPUTED_VALUE"""),54.0)</f>
        <v>54</v>
      </c>
      <c r="E195" s="2"/>
      <c r="F195" s="2"/>
    </row>
    <row r="196">
      <c r="A196" s="2">
        <f>IFERROR(__xludf.DUMMYFUNCTION("""COMPUTED_VALUE"""),89558.0)</f>
        <v>89558</v>
      </c>
      <c r="B196" s="2">
        <f>IFERROR(__xludf.DUMMYFUNCTION("""COMPUTED_VALUE"""),1.0)</f>
        <v>1</v>
      </c>
      <c r="C196" s="2">
        <f>IFERROR(__xludf.DUMMYFUNCTION("""COMPUTED_VALUE"""),43.0)</f>
        <v>43</v>
      </c>
      <c r="D196" s="3">
        <f>IFERROR(__xludf.DUMMYFUNCTION("""COMPUTED_VALUE"""),6.0)</f>
        <v>6</v>
      </c>
      <c r="E196" s="2"/>
      <c r="F196" s="2"/>
    </row>
    <row r="197">
      <c r="A197" s="2">
        <f>IFERROR(__xludf.DUMMYFUNCTION("""COMPUTED_VALUE"""),91235.0)</f>
        <v>91235</v>
      </c>
      <c r="B197" s="2">
        <f>IFERROR(__xludf.DUMMYFUNCTION("""COMPUTED_VALUE"""),1.0)</f>
        <v>1</v>
      </c>
      <c r="C197" s="2">
        <f>IFERROR(__xludf.DUMMYFUNCTION("""COMPUTED_VALUE"""),794.0)</f>
        <v>794</v>
      </c>
      <c r="D197" s="3">
        <f>IFERROR(__xludf.DUMMYFUNCTION("""COMPUTED_VALUE"""),549.0)</f>
        <v>549</v>
      </c>
      <c r="E197" s="2"/>
      <c r="F197" s="2"/>
    </row>
    <row r="198">
      <c r="A198" s="2">
        <f>IFERROR(__xludf.DUMMYFUNCTION("""COMPUTED_VALUE"""),5519.0)</f>
        <v>5519</v>
      </c>
      <c r="B198" s="2">
        <f>IFERROR(__xludf.DUMMYFUNCTION("""COMPUTED_VALUE"""),1.0)</f>
        <v>1</v>
      </c>
      <c r="C198" s="2">
        <f>IFERROR(__xludf.DUMMYFUNCTION("""COMPUTED_VALUE"""),137.0)</f>
        <v>137</v>
      </c>
      <c r="D198" s="3">
        <f>IFERROR(__xludf.DUMMYFUNCTION("""COMPUTED_VALUE"""),45.0)</f>
        <v>45</v>
      </c>
      <c r="E198" s="2"/>
      <c r="F198" s="2"/>
    </row>
    <row r="199">
      <c r="A199" s="2">
        <f>IFERROR(__xludf.DUMMYFUNCTION("""COMPUTED_VALUE"""),87278.0)</f>
        <v>87278</v>
      </c>
      <c r="B199" s="2">
        <f>IFERROR(__xludf.DUMMYFUNCTION("""COMPUTED_VALUE"""),1.0)</f>
        <v>1</v>
      </c>
      <c r="C199" s="2">
        <f>IFERROR(__xludf.DUMMYFUNCTION("""COMPUTED_VALUE"""),239.0)</f>
        <v>239</v>
      </c>
      <c r="D199" s="3">
        <f>IFERROR(__xludf.DUMMYFUNCTION("""COMPUTED_VALUE"""),126.0)</f>
        <v>126</v>
      </c>
      <c r="E199" s="2"/>
      <c r="F199" s="2"/>
    </row>
    <row r="200">
      <c r="A200" s="2">
        <f>IFERROR(__xludf.DUMMYFUNCTION("""COMPUTED_VALUE"""),77326.0)</f>
        <v>77326</v>
      </c>
      <c r="B200" s="2">
        <f>IFERROR(__xludf.DUMMYFUNCTION("""COMPUTED_VALUE"""),0.0)</f>
        <v>0</v>
      </c>
      <c r="C200" s="2">
        <f>IFERROR(__xludf.DUMMYFUNCTION("""COMPUTED_VALUE"""),588.0)</f>
        <v>588</v>
      </c>
      <c r="D200" s="3">
        <f>IFERROR(__xludf.DUMMYFUNCTION("""COMPUTED_VALUE"""),368.0)</f>
        <v>368</v>
      </c>
      <c r="E200" s="2"/>
      <c r="F200" s="2"/>
    </row>
    <row r="201">
      <c r="A201" s="2">
        <f>IFERROR(__xludf.DUMMYFUNCTION("""COMPUTED_VALUE"""),6158.0)</f>
        <v>6158</v>
      </c>
      <c r="B201" s="2">
        <f>IFERROR(__xludf.DUMMYFUNCTION("""COMPUTED_VALUE"""),0.0)</f>
        <v>0</v>
      </c>
      <c r="C201" s="2">
        <f>IFERROR(__xludf.DUMMYFUNCTION("""COMPUTED_VALUE"""),955.0)</f>
        <v>955</v>
      </c>
      <c r="D201" s="3">
        <f>IFERROR(__xludf.DUMMYFUNCTION("""COMPUTED_VALUE"""),740.0)</f>
        <v>740</v>
      </c>
      <c r="E201" s="2"/>
      <c r="F201" s="2"/>
    </row>
    <row r="202">
      <c r="A202" s="2">
        <f>IFERROR(__xludf.DUMMYFUNCTION("""COMPUTED_VALUE"""),77338.0)</f>
        <v>77338</v>
      </c>
      <c r="B202" s="2">
        <f>IFERROR(__xludf.DUMMYFUNCTION("""COMPUTED_VALUE"""),0.0)</f>
        <v>0</v>
      </c>
      <c r="C202" s="2">
        <f>IFERROR(__xludf.DUMMYFUNCTION("""COMPUTED_VALUE"""),127.0)</f>
        <v>127</v>
      </c>
      <c r="D202" s="3">
        <f>IFERROR(__xludf.DUMMYFUNCTION("""COMPUTED_VALUE"""),0.0)</f>
        <v>0</v>
      </c>
      <c r="E202" s="2"/>
      <c r="F202" s="2"/>
    </row>
    <row r="203">
      <c r="A203" s="2">
        <f>IFERROR(__xludf.DUMMYFUNCTION("""COMPUTED_VALUE"""),159220.0)</f>
        <v>159220</v>
      </c>
      <c r="B203" s="2">
        <f>IFERROR(__xludf.DUMMYFUNCTION("""COMPUTED_VALUE"""),0.0)</f>
        <v>0</v>
      </c>
      <c r="C203" s="2">
        <f>IFERROR(__xludf.DUMMYFUNCTION("""COMPUTED_VALUE"""),893.0)</f>
        <v>893</v>
      </c>
      <c r="D203" s="3">
        <f>IFERROR(__xludf.DUMMYFUNCTION("""COMPUTED_VALUE"""),237.0)</f>
        <v>237</v>
      </c>
      <c r="E203" s="2"/>
      <c r="F203" s="2"/>
    </row>
    <row r="204">
      <c r="A204" s="2">
        <f>IFERROR(__xludf.DUMMYFUNCTION("""COMPUTED_VALUE"""),5521.0)</f>
        <v>5521</v>
      </c>
      <c r="B204" s="2">
        <f>IFERROR(__xludf.DUMMYFUNCTION("""COMPUTED_VALUE"""),1.0)</f>
        <v>1</v>
      </c>
      <c r="C204" s="2">
        <f>IFERROR(__xludf.DUMMYFUNCTION("""COMPUTED_VALUE"""),178.0)</f>
        <v>178</v>
      </c>
      <c r="D204" s="3">
        <f>IFERROR(__xludf.DUMMYFUNCTION("""COMPUTED_VALUE"""),41.0)</f>
        <v>41</v>
      </c>
      <c r="E204" s="2"/>
      <c r="F204" s="2"/>
    </row>
    <row r="205">
      <c r="A205" s="2">
        <f>IFERROR(__xludf.DUMMYFUNCTION("""COMPUTED_VALUE"""),91225.0)</f>
        <v>91225</v>
      </c>
      <c r="B205" s="2">
        <f>IFERROR(__xludf.DUMMYFUNCTION("""COMPUTED_VALUE"""),1.0)</f>
        <v>1</v>
      </c>
      <c r="C205" s="2">
        <f>IFERROR(__xludf.DUMMYFUNCTION("""COMPUTED_VALUE"""),295.0)</f>
        <v>295</v>
      </c>
      <c r="D205" s="3">
        <f>IFERROR(__xludf.DUMMYFUNCTION("""COMPUTED_VALUE"""),278.0)</f>
        <v>278</v>
      </c>
      <c r="E205" s="2"/>
      <c r="F205" s="2"/>
    </row>
    <row r="206">
      <c r="A206" s="2">
        <f>IFERROR(__xludf.DUMMYFUNCTION("""COMPUTED_VALUE"""),5520.0)</f>
        <v>5520</v>
      </c>
      <c r="B206" s="2">
        <f>IFERROR(__xludf.DUMMYFUNCTION("""COMPUTED_VALUE"""),1.0)</f>
        <v>1</v>
      </c>
      <c r="C206" s="2">
        <f>IFERROR(__xludf.DUMMYFUNCTION("""COMPUTED_VALUE"""),857.0)</f>
        <v>857</v>
      </c>
      <c r="D206" s="3">
        <f>IFERROR(__xludf.DUMMYFUNCTION("""COMPUTED_VALUE"""),530.0)</f>
        <v>530</v>
      </c>
      <c r="E206" s="2"/>
      <c r="F206" s="2"/>
    </row>
    <row r="207">
      <c r="A207" s="2">
        <f>IFERROR(__xludf.DUMMYFUNCTION("""COMPUTED_VALUE"""),87285.0)</f>
        <v>87285</v>
      </c>
      <c r="B207" s="2">
        <f>IFERROR(__xludf.DUMMYFUNCTION("""COMPUTED_VALUE"""),0.0)</f>
        <v>0</v>
      </c>
      <c r="C207" s="2">
        <f>IFERROR(__xludf.DUMMYFUNCTION("""COMPUTED_VALUE"""),714.0)</f>
        <v>714</v>
      </c>
      <c r="D207" s="3">
        <f>IFERROR(__xludf.DUMMYFUNCTION("""COMPUTED_VALUE"""),219.0)</f>
        <v>219</v>
      </c>
      <c r="E207" s="2"/>
      <c r="F207" s="2"/>
    </row>
    <row r="208">
      <c r="A208" s="2">
        <f>IFERROR(__xludf.DUMMYFUNCTION("""COMPUTED_VALUE"""),72862.0)</f>
        <v>72862</v>
      </c>
      <c r="B208" s="2">
        <f>IFERROR(__xludf.DUMMYFUNCTION("""COMPUTED_VALUE"""),1.0)</f>
        <v>1</v>
      </c>
      <c r="C208" s="2">
        <f>IFERROR(__xludf.DUMMYFUNCTION("""COMPUTED_VALUE"""),287.0)</f>
        <v>287</v>
      </c>
      <c r="D208" s="3">
        <f>IFERROR(__xludf.DUMMYFUNCTION("""COMPUTED_VALUE"""),222.0)</f>
        <v>222</v>
      </c>
      <c r="E208" s="2"/>
      <c r="F208" s="2"/>
    </row>
    <row r="209">
      <c r="A209" s="2">
        <f>IFERROR(__xludf.DUMMYFUNCTION("""COMPUTED_VALUE"""),109474.0)</f>
        <v>109474</v>
      </c>
      <c r="B209" s="2">
        <f>IFERROR(__xludf.DUMMYFUNCTION("""COMPUTED_VALUE"""),1.0)</f>
        <v>1</v>
      </c>
      <c r="C209" s="2">
        <f>IFERROR(__xludf.DUMMYFUNCTION("""COMPUTED_VALUE"""),545.0)</f>
        <v>545</v>
      </c>
      <c r="D209" s="3">
        <f>IFERROR(__xludf.DUMMYFUNCTION("""COMPUTED_VALUE"""),367.0)</f>
        <v>367</v>
      </c>
      <c r="E209" s="2"/>
      <c r="F209" s="2"/>
    </row>
    <row r="210">
      <c r="A210" s="2">
        <f>IFERROR(__xludf.DUMMYFUNCTION("""COMPUTED_VALUE"""),45834.0)</f>
        <v>45834</v>
      </c>
      <c r="B210" s="2">
        <f>IFERROR(__xludf.DUMMYFUNCTION("""COMPUTED_VALUE"""),1.0)</f>
        <v>1</v>
      </c>
      <c r="C210" s="2">
        <f>IFERROR(__xludf.DUMMYFUNCTION("""COMPUTED_VALUE"""),70.0)</f>
        <v>70</v>
      </c>
      <c r="D210" s="3">
        <f>IFERROR(__xludf.DUMMYFUNCTION("""COMPUTED_VALUE"""),49.0)</f>
        <v>49</v>
      </c>
      <c r="E210" s="2"/>
      <c r="F210" s="2"/>
    </row>
    <row r="211">
      <c r="A211" s="2">
        <f>IFERROR(__xludf.DUMMYFUNCTION("""COMPUTED_VALUE"""),45885.0)</f>
        <v>45885</v>
      </c>
      <c r="B211" s="2">
        <f>IFERROR(__xludf.DUMMYFUNCTION("""COMPUTED_VALUE"""),0.0)</f>
        <v>0</v>
      </c>
      <c r="C211" s="2">
        <f>IFERROR(__xludf.DUMMYFUNCTION("""COMPUTED_VALUE"""),799.0)</f>
        <v>799</v>
      </c>
      <c r="D211" s="3">
        <f>IFERROR(__xludf.DUMMYFUNCTION("""COMPUTED_VALUE"""),405.0)</f>
        <v>405</v>
      </c>
      <c r="E211" s="2"/>
      <c r="F211" s="2"/>
    </row>
    <row r="212">
      <c r="A212" s="2">
        <f>IFERROR(__xludf.DUMMYFUNCTION("""COMPUTED_VALUE"""),77360.0)</f>
        <v>77360</v>
      </c>
      <c r="B212" s="2">
        <f>IFERROR(__xludf.DUMMYFUNCTION("""COMPUTED_VALUE"""),1.0)</f>
        <v>1</v>
      </c>
      <c r="C212" s="2">
        <f>IFERROR(__xludf.DUMMYFUNCTION("""COMPUTED_VALUE"""),632.0)</f>
        <v>632</v>
      </c>
      <c r="D212" s="3">
        <f>IFERROR(__xludf.DUMMYFUNCTION("""COMPUTED_VALUE"""),560.0)</f>
        <v>560</v>
      </c>
      <c r="E212" s="2"/>
      <c r="F212" s="2"/>
    </row>
    <row r="213">
      <c r="A213" s="2">
        <f>IFERROR(__xludf.DUMMYFUNCTION("""COMPUTED_VALUE"""),89787.0)</f>
        <v>89787</v>
      </c>
      <c r="B213" s="2">
        <f>IFERROR(__xludf.DUMMYFUNCTION("""COMPUTED_VALUE"""),1.0)</f>
        <v>1</v>
      </c>
      <c r="C213" s="2">
        <f>IFERROR(__xludf.DUMMYFUNCTION("""COMPUTED_VALUE"""),826.0)</f>
        <v>826</v>
      </c>
      <c r="D213" s="3">
        <f>IFERROR(__xludf.DUMMYFUNCTION("""COMPUTED_VALUE"""),94.0)</f>
        <v>94</v>
      </c>
      <c r="E213" s="2"/>
      <c r="F213" s="2"/>
    </row>
    <row r="214">
      <c r="A214" s="2">
        <f>IFERROR(__xludf.DUMMYFUNCTION("""COMPUTED_VALUE"""),5531.0)</f>
        <v>5531</v>
      </c>
      <c r="B214" s="2">
        <f>IFERROR(__xludf.DUMMYFUNCTION("""COMPUTED_VALUE"""),0.0)</f>
        <v>0</v>
      </c>
      <c r="C214" s="2">
        <f>IFERROR(__xludf.DUMMYFUNCTION("""COMPUTED_VALUE"""),630.0)</f>
        <v>630</v>
      </c>
      <c r="D214" s="3">
        <f>IFERROR(__xludf.DUMMYFUNCTION("""COMPUTED_VALUE"""),236.0)</f>
        <v>236</v>
      </c>
      <c r="E214" s="2"/>
      <c r="F214" s="2"/>
    </row>
    <row r="215">
      <c r="A215" s="2">
        <f>IFERROR(__xludf.DUMMYFUNCTION("""COMPUTED_VALUE"""),72826.0)</f>
        <v>72826</v>
      </c>
      <c r="B215" s="2">
        <f>IFERROR(__xludf.DUMMYFUNCTION("""COMPUTED_VALUE"""),0.0)</f>
        <v>0</v>
      </c>
      <c r="C215" s="2">
        <f>IFERROR(__xludf.DUMMYFUNCTION("""COMPUTED_VALUE"""),597.0)</f>
        <v>597</v>
      </c>
      <c r="D215" s="3">
        <f>IFERROR(__xludf.DUMMYFUNCTION("""COMPUTED_VALUE"""),502.0)</f>
        <v>502</v>
      </c>
      <c r="E215" s="2"/>
      <c r="F215" s="2"/>
    </row>
    <row r="216">
      <c r="A216" s="2">
        <f>IFERROR(__xludf.DUMMYFUNCTION("""COMPUTED_VALUE"""),91180.0)</f>
        <v>91180</v>
      </c>
      <c r="B216" s="2">
        <f>IFERROR(__xludf.DUMMYFUNCTION("""COMPUTED_VALUE"""),0.0)</f>
        <v>0</v>
      </c>
      <c r="C216" s="2">
        <f>IFERROR(__xludf.DUMMYFUNCTION("""COMPUTED_VALUE"""),455.0)</f>
        <v>455</v>
      </c>
      <c r="D216" s="3">
        <f>IFERROR(__xludf.DUMMYFUNCTION("""COMPUTED_VALUE"""),315.0)</f>
        <v>315</v>
      </c>
      <c r="E216" s="2"/>
      <c r="F216" s="2"/>
    </row>
    <row r="217">
      <c r="A217" s="2">
        <f>IFERROR(__xludf.DUMMYFUNCTION("""COMPUTED_VALUE"""),58757.0)</f>
        <v>58757</v>
      </c>
      <c r="B217" s="2">
        <f>IFERROR(__xludf.DUMMYFUNCTION("""COMPUTED_VALUE"""),0.0)</f>
        <v>0</v>
      </c>
      <c r="C217" s="2">
        <f>IFERROR(__xludf.DUMMYFUNCTION("""COMPUTED_VALUE"""),157.0)</f>
        <v>157</v>
      </c>
      <c r="D217" s="3">
        <f>IFERROR(__xludf.DUMMYFUNCTION("""COMPUTED_VALUE"""),35.0)</f>
        <v>35</v>
      </c>
      <c r="E217" s="2"/>
      <c r="F217" s="2"/>
    </row>
    <row r="218">
      <c r="A218" s="2">
        <f>IFERROR(__xludf.DUMMYFUNCTION("""COMPUTED_VALUE"""),87287.0)</f>
        <v>87287</v>
      </c>
      <c r="B218" s="2">
        <f>IFERROR(__xludf.DUMMYFUNCTION("""COMPUTED_VALUE"""),0.0)</f>
        <v>0</v>
      </c>
      <c r="C218" s="2">
        <f>IFERROR(__xludf.DUMMYFUNCTION("""COMPUTED_VALUE"""),845.0)</f>
        <v>845</v>
      </c>
      <c r="D218" s="3">
        <f>IFERROR(__xludf.DUMMYFUNCTION("""COMPUTED_VALUE"""),801.0)</f>
        <v>801</v>
      </c>
      <c r="E218" s="2"/>
      <c r="F218" s="2"/>
    </row>
    <row r="219">
      <c r="A219" s="2">
        <f>IFERROR(__xludf.DUMMYFUNCTION("""COMPUTED_VALUE"""),91147.0)</f>
        <v>91147</v>
      </c>
      <c r="B219" s="2">
        <f>IFERROR(__xludf.DUMMYFUNCTION("""COMPUTED_VALUE"""),0.0)</f>
        <v>0</v>
      </c>
      <c r="C219" s="2">
        <f>IFERROR(__xludf.DUMMYFUNCTION("""COMPUTED_VALUE"""),973.0)</f>
        <v>973</v>
      </c>
      <c r="D219" s="3">
        <f>IFERROR(__xludf.DUMMYFUNCTION("""COMPUTED_VALUE"""),67.0)</f>
        <v>67</v>
      </c>
      <c r="E219" s="2"/>
      <c r="F219" s="2"/>
    </row>
    <row r="220">
      <c r="A220" s="2">
        <f>IFERROR(__xludf.DUMMYFUNCTION("""COMPUTED_VALUE"""),5526.0)</f>
        <v>5526</v>
      </c>
      <c r="B220" s="2">
        <f>IFERROR(__xludf.DUMMYFUNCTION("""COMPUTED_VALUE"""),0.0)</f>
        <v>0</v>
      </c>
      <c r="C220" s="2">
        <f>IFERROR(__xludf.DUMMYFUNCTION("""COMPUTED_VALUE"""),321.0)</f>
        <v>321</v>
      </c>
      <c r="D220" s="3">
        <f>IFERROR(__xludf.DUMMYFUNCTION("""COMPUTED_VALUE"""),293.0)</f>
        <v>293</v>
      </c>
      <c r="E220" s="2"/>
      <c r="F220" s="2"/>
    </row>
    <row r="221">
      <c r="A221" s="2">
        <f>IFERROR(__xludf.DUMMYFUNCTION("""COMPUTED_VALUE"""),77310.0)</f>
        <v>77310</v>
      </c>
      <c r="B221" s="2">
        <f>IFERROR(__xludf.DUMMYFUNCTION("""COMPUTED_VALUE"""),1.0)</f>
        <v>1</v>
      </c>
      <c r="C221" s="2">
        <f>IFERROR(__xludf.DUMMYFUNCTION("""COMPUTED_VALUE"""),197.0)</f>
        <v>197</v>
      </c>
      <c r="D221" s="3">
        <f>IFERROR(__xludf.DUMMYFUNCTION("""COMPUTED_VALUE"""),197.0)</f>
        <v>197</v>
      </c>
      <c r="E221" s="2"/>
      <c r="F221" s="2"/>
    </row>
    <row r="222">
      <c r="A222" s="2">
        <f>IFERROR(__xludf.DUMMYFUNCTION("""COMPUTED_VALUE"""),5525.0)</f>
        <v>5525</v>
      </c>
      <c r="B222" s="2">
        <f>IFERROR(__xludf.DUMMYFUNCTION("""COMPUTED_VALUE"""),1.0)</f>
        <v>1</v>
      </c>
      <c r="C222" s="2">
        <f>IFERROR(__xludf.DUMMYFUNCTION("""COMPUTED_VALUE"""),171.0)</f>
        <v>171</v>
      </c>
      <c r="D222" s="3">
        <f>IFERROR(__xludf.DUMMYFUNCTION("""COMPUTED_VALUE"""),105.0)</f>
        <v>105</v>
      </c>
      <c r="E222" s="2"/>
      <c r="F222" s="2"/>
    </row>
    <row r="223">
      <c r="A223" s="2">
        <f>IFERROR(__xludf.DUMMYFUNCTION("""COMPUTED_VALUE"""),5524.0)</f>
        <v>5524</v>
      </c>
      <c r="B223" s="2">
        <f>IFERROR(__xludf.DUMMYFUNCTION("""COMPUTED_VALUE"""),1.0)</f>
        <v>1</v>
      </c>
      <c r="C223" s="2">
        <f>IFERROR(__xludf.DUMMYFUNCTION("""COMPUTED_VALUE"""),618.0)</f>
        <v>618</v>
      </c>
      <c r="D223" s="3">
        <f>IFERROR(__xludf.DUMMYFUNCTION("""COMPUTED_VALUE"""),89.0)</f>
        <v>89</v>
      </c>
      <c r="E223" s="2"/>
      <c r="F223" s="2"/>
    </row>
    <row r="224">
      <c r="A224" s="2">
        <f>IFERROR(__xludf.DUMMYFUNCTION("""COMPUTED_VALUE"""),72849.0)</f>
        <v>72849</v>
      </c>
      <c r="B224" s="2">
        <f>IFERROR(__xludf.DUMMYFUNCTION("""COMPUTED_VALUE"""),1.0)</f>
        <v>1</v>
      </c>
      <c r="C224" s="2">
        <f>IFERROR(__xludf.DUMMYFUNCTION("""COMPUTED_VALUE"""),45.0)</f>
        <v>45</v>
      </c>
      <c r="D224" s="3">
        <f>IFERROR(__xludf.DUMMYFUNCTION("""COMPUTED_VALUE"""),42.0)</f>
        <v>42</v>
      </c>
      <c r="E224" s="2"/>
      <c r="F224" s="2"/>
    </row>
    <row r="225">
      <c r="A225" s="2">
        <f>IFERROR(__xludf.DUMMYFUNCTION("""COMPUTED_VALUE"""),77385.0)</f>
        <v>77385</v>
      </c>
      <c r="B225" s="2">
        <f>IFERROR(__xludf.DUMMYFUNCTION("""COMPUTED_VALUE"""),1.0)</f>
        <v>1</v>
      </c>
      <c r="C225" s="2">
        <f>IFERROR(__xludf.DUMMYFUNCTION("""COMPUTED_VALUE"""),334.0)</f>
        <v>334</v>
      </c>
      <c r="D225" s="3">
        <f>IFERROR(__xludf.DUMMYFUNCTION("""COMPUTED_VALUE"""),77.0)</f>
        <v>77</v>
      </c>
      <c r="E225" s="2"/>
      <c r="F225" s="2"/>
    </row>
    <row r="226">
      <c r="A226" s="2">
        <f>IFERROR(__xludf.DUMMYFUNCTION("""COMPUTED_VALUE"""),5529.0)</f>
        <v>5529</v>
      </c>
      <c r="B226" s="2">
        <f>IFERROR(__xludf.DUMMYFUNCTION("""COMPUTED_VALUE"""),0.0)</f>
        <v>0</v>
      </c>
      <c r="C226" s="2">
        <f>IFERROR(__xludf.DUMMYFUNCTION("""COMPUTED_VALUE"""),799.0)</f>
        <v>799</v>
      </c>
      <c r="D226" s="3">
        <f>IFERROR(__xludf.DUMMYFUNCTION("""COMPUTED_VALUE"""),295.0)</f>
        <v>295</v>
      </c>
      <c r="E226" s="2"/>
      <c r="F226" s="2"/>
    </row>
    <row r="227">
      <c r="A227" s="2">
        <f>IFERROR(__xludf.DUMMYFUNCTION("""COMPUTED_VALUE"""),45879.0)</f>
        <v>45879</v>
      </c>
      <c r="B227" s="2">
        <f>IFERROR(__xludf.DUMMYFUNCTION("""COMPUTED_VALUE"""),0.0)</f>
        <v>0</v>
      </c>
      <c r="C227" s="2">
        <f>IFERROR(__xludf.DUMMYFUNCTION("""COMPUTED_VALUE"""),599.0)</f>
        <v>599</v>
      </c>
      <c r="D227" s="3">
        <f>IFERROR(__xludf.DUMMYFUNCTION("""COMPUTED_VALUE"""),133.0)</f>
        <v>133</v>
      </c>
      <c r="E227" s="2"/>
      <c r="F227" s="2"/>
    </row>
    <row r="228">
      <c r="A228" s="2">
        <f>IFERROR(__xludf.DUMMYFUNCTION("""COMPUTED_VALUE"""),58753.0)</f>
        <v>58753</v>
      </c>
      <c r="B228" s="2">
        <f>IFERROR(__xludf.DUMMYFUNCTION("""COMPUTED_VALUE"""),1.0)</f>
        <v>1</v>
      </c>
      <c r="C228" s="2">
        <f>IFERROR(__xludf.DUMMYFUNCTION("""COMPUTED_VALUE"""),786.0)</f>
        <v>786</v>
      </c>
      <c r="D228" s="3">
        <f>IFERROR(__xludf.DUMMYFUNCTION("""COMPUTED_VALUE"""),343.0)</f>
        <v>343</v>
      </c>
      <c r="E228" s="2"/>
      <c r="F228" s="2"/>
    </row>
    <row r="229">
      <c r="A229" s="2">
        <f>IFERROR(__xludf.DUMMYFUNCTION("""COMPUTED_VALUE"""),77318.0)</f>
        <v>77318</v>
      </c>
      <c r="B229" s="2">
        <f>IFERROR(__xludf.DUMMYFUNCTION("""COMPUTED_VALUE"""),0.0)</f>
        <v>0</v>
      </c>
      <c r="C229" s="2">
        <f>IFERROR(__xludf.DUMMYFUNCTION("""COMPUTED_VALUE"""),784.0)</f>
        <v>784</v>
      </c>
      <c r="D229" s="3">
        <f>IFERROR(__xludf.DUMMYFUNCTION("""COMPUTED_VALUE"""),741.0)</f>
        <v>741</v>
      </c>
      <c r="E229" s="2"/>
      <c r="F229" s="2"/>
    </row>
    <row r="230">
      <c r="A230" s="2">
        <f>IFERROR(__xludf.DUMMYFUNCTION("""COMPUTED_VALUE"""),122091.0)</f>
        <v>122091</v>
      </c>
      <c r="B230" s="2">
        <f>IFERROR(__xludf.DUMMYFUNCTION("""COMPUTED_VALUE"""),1.0)</f>
        <v>1</v>
      </c>
      <c r="C230" s="2">
        <f>IFERROR(__xludf.DUMMYFUNCTION("""COMPUTED_VALUE"""),773.0)</f>
        <v>773</v>
      </c>
      <c r="D230" s="3">
        <f>IFERROR(__xludf.DUMMYFUNCTION("""COMPUTED_VALUE"""),386.0)</f>
        <v>386</v>
      </c>
      <c r="E230" s="2"/>
      <c r="F230" s="2"/>
    </row>
    <row r="231">
      <c r="A231" s="2">
        <f>IFERROR(__xludf.DUMMYFUNCTION("""COMPUTED_VALUE"""),91144.0)</f>
        <v>91144</v>
      </c>
      <c r="B231" s="2">
        <f>IFERROR(__xludf.DUMMYFUNCTION("""COMPUTED_VALUE"""),1.0)</f>
        <v>1</v>
      </c>
      <c r="C231" s="2">
        <f>IFERROR(__xludf.DUMMYFUNCTION("""COMPUTED_VALUE"""),985.0)</f>
        <v>985</v>
      </c>
      <c r="D231" s="3">
        <f>IFERROR(__xludf.DUMMYFUNCTION("""COMPUTED_VALUE"""),812.0)</f>
        <v>812</v>
      </c>
      <c r="E231" s="2"/>
      <c r="F231" s="2"/>
    </row>
    <row r="232">
      <c r="A232" s="2">
        <f>IFERROR(__xludf.DUMMYFUNCTION("""COMPUTED_VALUE"""),79000.0)</f>
        <v>79000</v>
      </c>
      <c r="B232" s="2">
        <f>IFERROR(__xludf.DUMMYFUNCTION("""COMPUTED_VALUE"""),1.0)</f>
        <v>1</v>
      </c>
      <c r="C232" s="2">
        <f>IFERROR(__xludf.DUMMYFUNCTION("""COMPUTED_VALUE"""),155.0)</f>
        <v>155</v>
      </c>
      <c r="D232" s="3">
        <f>IFERROR(__xludf.DUMMYFUNCTION("""COMPUTED_VALUE"""),94.0)</f>
        <v>94</v>
      </c>
      <c r="E232" s="2"/>
      <c r="F232" s="2"/>
    </row>
    <row r="233">
      <c r="A233" s="2">
        <f>IFERROR(__xludf.DUMMYFUNCTION("""COMPUTED_VALUE"""),77389.0)</f>
        <v>77389</v>
      </c>
      <c r="B233" s="2">
        <f>IFERROR(__xludf.DUMMYFUNCTION("""COMPUTED_VALUE"""),1.0)</f>
        <v>1</v>
      </c>
      <c r="C233" s="2">
        <f>IFERROR(__xludf.DUMMYFUNCTION("""COMPUTED_VALUE"""),206.0)</f>
        <v>206</v>
      </c>
      <c r="D233" s="3">
        <f>IFERROR(__xludf.DUMMYFUNCTION("""COMPUTED_VALUE"""),100.0)</f>
        <v>100</v>
      </c>
      <c r="E233" s="2"/>
      <c r="F233" s="2"/>
    </row>
    <row r="234">
      <c r="A234" s="2">
        <f>IFERROR(__xludf.DUMMYFUNCTION("""COMPUTED_VALUE"""),72857.0)</f>
        <v>72857</v>
      </c>
      <c r="B234" s="2">
        <f>IFERROR(__xludf.DUMMYFUNCTION("""COMPUTED_VALUE"""),1.0)</f>
        <v>1</v>
      </c>
      <c r="C234" s="2">
        <f>IFERROR(__xludf.DUMMYFUNCTION("""COMPUTED_VALUE"""),354.0)</f>
        <v>354</v>
      </c>
      <c r="D234" s="3">
        <f>IFERROR(__xludf.DUMMYFUNCTION("""COMPUTED_VALUE"""),142.0)</f>
        <v>142</v>
      </c>
      <c r="E234" s="2"/>
      <c r="F234" s="2"/>
    </row>
    <row r="235">
      <c r="A235" s="2">
        <f>IFERROR(__xludf.DUMMYFUNCTION("""COMPUTED_VALUE"""),72859.0)</f>
        <v>72859</v>
      </c>
      <c r="B235" s="2">
        <f>IFERROR(__xludf.DUMMYFUNCTION("""COMPUTED_VALUE"""),0.0)</f>
        <v>0</v>
      </c>
      <c r="C235" s="2">
        <f>IFERROR(__xludf.DUMMYFUNCTION("""COMPUTED_VALUE"""),337.0)</f>
        <v>337</v>
      </c>
      <c r="D235" s="3">
        <f>IFERROR(__xludf.DUMMYFUNCTION("""COMPUTED_VALUE"""),187.0)</f>
        <v>187</v>
      </c>
      <c r="E235" s="2"/>
      <c r="F235" s="2"/>
    </row>
    <row r="236">
      <c r="A236" s="2">
        <f>IFERROR(__xludf.DUMMYFUNCTION("""COMPUTED_VALUE"""),91264.0)</f>
        <v>91264</v>
      </c>
      <c r="B236" s="2">
        <f>IFERROR(__xludf.DUMMYFUNCTION("""COMPUTED_VALUE"""),0.0)</f>
        <v>0</v>
      </c>
      <c r="C236" s="2">
        <f>IFERROR(__xludf.DUMMYFUNCTION("""COMPUTED_VALUE"""),527.0)</f>
        <v>527</v>
      </c>
      <c r="D236" s="3">
        <f>IFERROR(__xludf.DUMMYFUNCTION("""COMPUTED_VALUE"""),409.0)</f>
        <v>409</v>
      </c>
      <c r="E236" s="2"/>
      <c r="F236" s="2"/>
    </row>
    <row r="237">
      <c r="A237" s="2">
        <f>IFERROR(__xludf.DUMMYFUNCTION("""COMPUTED_VALUE"""),77316.0)</f>
        <v>77316</v>
      </c>
      <c r="B237" s="2">
        <f>IFERROR(__xludf.DUMMYFUNCTION("""COMPUTED_VALUE"""),0.0)</f>
        <v>0</v>
      </c>
      <c r="C237" s="2">
        <f>IFERROR(__xludf.DUMMYFUNCTION("""COMPUTED_VALUE"""),50.0)</f>
        <v>50</v>
      </c>
      <c r="D237" s="3">
        <f>IFERROR(__xludf.DUMMYFUNCTION("""COMPUTED_VALUE"""),14.0)</f>
        <v>14</v>
      </c>
      <c r="E237" s="2"/>
      <c r="F237" s="2"/>
    </row>
    <row r="238">
      <c r="A238" s="2">
        <f>IFERROR(__xludf.DUMMYFUNCTION("""COMPUTED_VALUE"""),110573.0)</f>
        <v>110573</v>
      </c>
      <c r="B238" s="2">
        <f>IFERROR(__xludf.DUMMYFUNCTION("""COMPUTED_VALUE"""),0.0)</f>
        <v>0</v>
      </c>
      <c r="C238" s="2">
        <f>IFERROR(__xludf.DUMMYFUNCTION("""COMPUTED_VALUE"""),54.0)</f>
        <v>54</v>
      </c>
      <c r="D238" s="3">
        <f>IFERROR(__xludf.DUMMYFUNCTION("""COMPUTED_VALUE"""),38.0)</f>
        <v>38</v>
      </c>
      <c r="E238" s="2"/>
      <c r="F238" s="2"/>
    </row>
    <row r="239">
      <c r="A239" s="2">
        <f>IFERROR(__xludf.DUMMYFUNCTION("""COMPUTED_VALUE"""),82236.0)</f>
        <v>82236</v>
      </c>
      <c r="B239" s="2">
        <f>IFERROR(__xludf.DUMMYFUNCTION("""COMPUTED_VALUE"""),1.0)</f>
        <v>1</v>
      </c>
      <c r="C239" s="2">
        <f>IFERROR(__xludf.DUMMYFUNCTION("""COMPUTED_VALUE"""),212.0)</f>
        <v>212</v>
      </c>
      <c r="D239" s="3">
        <f>IFERROR(__xludf.DUMMYFUNCTION("""COMPUTED_VALUE"""),142.0)</f>
        <v>142</v>
      </c>
      <c r="E239" s="2"/>
      <c r="F239" s="2"/>
    </row>
    <row r="240">
      <c r="A240" s="2">
        <f>IFERROR(__xludf.DUMMYFUNCTION("""COMPUTED_VALUE"""),72855.0)</f>
        <v>72855</v>
      </c>
      <c r="B240" s="2">
        <f>IFERROR(__xludf.DUMMYFUNCTION("""COMPUTED_VALUE"""),1.0)</f>
        <v>1</v>
      </c>
      <c r="C240" s="2">
        <f>IFERROR(__xludf.DUMMYFUNCTION("""COMPUTED_VALUE"""),625.0)</f>
        <v>625</v>
      </c>
      <c r="D240" s="3">
        <f>IFERROR(__xludf.DUMMYFUNCTION("""COMPUTED_VALUE"""),331.0)</f>
        <v>331</v>
      </c>
      <c r="E240" s="2"/>
      <c r="F240" s="2"/>
    </row>
    <row r="241">
      <c r="A241" s="2">
        <f>IFERROR(__xludf.DUMMYFUNCTION("""COMPUTED_VALUE"""),77392.0)</f>
        <v>77392</v>
      </c>
      <c r="B241" s="2">
        <f>IFERROR(__xludf.DUMMYFUNCTION("""COMPUTED_VALUE"""),0.0)</f>
        <v>0</v>
      </c>
      <c r="C241" s="2">
        <f>IFERROR(__xludf.DUMMYFUNCTION("""COMPUTED_VALUE"""),163.0)</f>
        <v>163</v>
      </c>
      <c r="D241" s="3">
        <f>IFERROR(__xludf.DUMMYFUNCTION("""COMPUTED_VALUE"""),95.0)</f>
        <v>95</v>
      </c>
      <c r="E241" s="2"/>
      <c r="F241" s="2"/>
    </row>
    <row r="242">
      <c r="A242" s="2">
        <f>IFERROR(__xludf.DUMMYFUNCTION("""COMPUTED_VALUE"""),45867.0)</f>
        <v>45867</v>
      </c>
      <c r="B242" s="2">
        <f>IFERROR(__xludf.DUMMYFUNCTION("""COMPUTED_VALUE"""),1.0)</f>
        <v>1</v>
      </c>
      <c r="C242" s="2">
        <f>IFERROR(__xludf.DUMMYFUNCTION("""COMPUTED_VALUE"""),664.0)</f>
        <v>664</v>
      </c>
      <c r="D242" s="3">
        <f>IFERROR(__xludf.DUMMYFUNCTION("""COMPUTED_VALUE"""),454.0)</f>
        <v>454</v>
      </c>
      <c r="E242" s="2"/>
      <c r="F242" s="2"/>
    </row>
    <row r="243">
      <c r="A243" s="2">
        <f>IFERROR(__xludf.DUMMYFUNCTION("""COMPUTED_VALUE"""),45846.0)</f>
        <v>45846</v>
      </c>
      <c r="B243" s="2">
        <f>IFERROR(__xludf.DUMMYFUNCTION("""COMPUTED_VALUE"""),1.0)</f>
        <v>1</v>
      </c>
      <c r="C243" s="2">
        <f>IFERROR(__xludf.DUMMYFUNCTION("""COMPUTED_VALUE"""),67.0)</f>
        <v>67</v>
      </c>
      <c r="D243" s="3">
        <f>IFERROR(__xludf.DUMMYFUNCTION("""COMPUTED_VALUE"""),4.0)</f>
        <v>4</v>
      </c>
      <c r="E243" s="2"/>
      <c r="F243" s="2"/>
    </row>
    <row r="244">
      <c r="A244" s="2">
        <f>IFERROR(__xludf.DUMMYFUNCTION("""COMPUTED_VALUE"""),91265.0)</f>
        <v>91265</v>
      </c>
      <c r="B244" s="2">
        <f>IFERROR(__xludf.DUMMYFUNCTION("""COMPUTED_VALUE"""),0.0)</f>
        <v>0</v>
      </c>
      <c r="C244" s="2">
        <f>IFERROR(__xludf.DUMMYFUNCTION("""COMPUTED_VALUE"""),925.0)</f>
        <v>925</v>
      </c>
      <c r="D244" s="3">
        <f>IFERROR(__xludf.DUMMYFUNCTION("""COMPUTED_VALUE"""),7.0)</f>
        <v>7</v>
      </c>
      <c r="E244" s="2"/>
      <c r="F244" s="2"/>
    </row>
    <row r="245">
      <c r="A245" s="2">
        <f>IFERROR(__xludf.DUMMYFUNCTION("""COMPUTED_VALUE"""),5527.0)</f>
        <v>5527</v>
      </c>
      <c r="B245" s="2">
        <f>IFERROR(__xludf.DUMMYFUNCTION("""COMPUTED_VALUE"""),0.0)</f>
        <v>0</v>
      </c>
      <c r="C245" s="2">
        <f>IFERROR(__xludf.DUMMYFUNCTION("""COMPUTED_VALUE"""),326.0)</f>
        <v>326</v>
      </c>
      <c r="D245" s="3">
        <f>IFERROR(__xludf.DUMMYFUNCTION("""COMPUTED_VALUE"""),158.0)</f>
        <v>158</v>
      </c>
      <c r="E245" s="2"/>
      <c r="F245" s="2"/>
    </row>
    <row r="246">
      <c r="A246" s="2">
        <f>IFERROR(__xludf.DUMMYFUNCTION("""COMPUTED_VALUE"""),82249.0)</f>
        <v>82249</v>
      </c>
      <c r="B246" s="2">
        <f>IFERROR(__xludf.DUMMYFUNCTION("""COMPUTED_VALUE"""),1.0)</f>
        <v>1</v>
      </c>
      <c r="C246" s="2">
        <f>IFERROR(__xludf.DUMMYFUNCTION("""COMPUTED_VALUE"""),119.0)</f>
        <v>119</v>
      </c>
      <c r="D246" s="3">
        <f>IFERROR(__xludf.DUMMYFUNCTION("""COMPUTED_VALUE"""),47.0)</f>
        <v>47</v>
      </c>
      <c r="E246" s="2"/>
      <c r="F246" s="2"/>
    </row>
    <row r="247">
      <c r="A247" s="2">
        <f>IFERROR(__xludf.DUMMYFUNCTION("""COMPUTED_VALUE"""),87273.0)</f>
        <v>87273</v>
      </c>
      <c r="B247" s="2">
        <f>IFERROR(__xludf.DUMMYFUNCTION("""COMPUTED_VALUE"""),0.0)</f>
        <v>0</v>
      </c>
      <c r="C247" s="2">
        <f>IFERROR(__xludf.DUMMYFUNCTION("""COMPUTED_VALUE"""),207.0)</f>
        <v>207</v>
      </c>
      <c r="D247" s="3">
        <f>IFERROR(__xludf.DUMMYFUNCTION("""COMPUTED_VALUE"""),71.0)</f>
        <v>71</v>
      </c>
      <c r="E247" s="2"/>
      <c r="F247" s="2"/>
    </row>
    <row r="248">
      <c r="A248" s="2">
        <f>IFERROR(__xludf.DUMMYFUNCTION("""COMPUTED_VALUE"""),5537.0)</f>
        <v>5537</v>
      </c>
      <c r="B248" s="2">
        <f>IFERROR(__xludf.DUMMYFUNCTION("""COMPUTED_VALUE"""),0.0)</f>
        <v>0</v>
      </c>
      <c r="C248" s="2">
        <f>IFERROR(__xludf.DUMMYFUNCTION("""COMPUTED_VALUE"""),429.0)</f>
        <v>429</v>
      </c>
      <c r="D248" s="3">
        <f>IFERROR(__xludf.DUMMYFUNCTION("""COMPUTED_VALUE"""),37.0)</f>
        <v>37</v>
      </c>
      <c r="E248" s="2"/>
      <c r="F248" s="2"/>
    </row>
    <row r="249">
      <c r="A249" s="2">
        <f>IFERROR(__xludf.DUMMYFUNCTION("""COMPUTED_VALUE"""),87281.0)</f>
        <v>87281</v>
      </c>
      <c r="B249" s="2">
        <f>IFERROR(__xludf.DUMMYFUNCTION("""COMPUTED_VALUE"""),0.0)</f>
        <v>0</v>
      </c>
      <c r="C249" s="2">
        <f>IFERROR(__xludf.DUMMYFUNCTION("""COMPUTED_VALUE"""),202.0)</f>
        <v>202</v>
      </c>
      <c r="D249" s="3">
        <f>IFERROR(__xludf.DUMMYFUNCTION("""COMPUTED_VALUE"""),152.0)</f>
        <v>152</v>
      </c>
      <c r="E249" s="2"/>
      <c r="F249" s="2"/>
    </row>
    <row r="250">
      <c r="A250" s="2">
        <f>IFERROR(__xludf.DUMMYFUNCTION("""COMPUTED_VALUE"""),5522.0)</f>
        <v>5522</v>
      </c>
      <c r="B250" s="2">
        <f>IFERROR(__xludf.DUMMYFUNCTION("""COMPUTED_VALUE"""),0.0)</f>
        <v>0</v>
      </c>
      <c r="C250" s="2">
        <f>IFERROR(__xludf.DUMMYFUNCTION("""COMPUTED_VALUE"""),275.0)</f>
        <v>275</v>
      </c>
      <c r="D250" s="3">
        <f>IFERROR(__xludf.DUMMYFUNCTION("""COMPUTED_VALUE"""),26.0)</f>
        <v>26</v>
      </c>
      <c r="E250" s="2"/>
      <c r="F250" s="2"/>
    </row>
    <row r="251">
      <c r="A251" s="2">
        <f>IFERROR(__xludf.DUMMYFUNCTION("""COMPUTED_VALUE"""),76595.0)</f>
        <v>76595</v>
      </c>
      <c r="B251" s="2">
        <f>IFERROR(__xludf.DUMMYFUNCTION("""COMPUTED_VALUE"""),0.0)</f>
        <v>0</v>
      </c>
      <c r="C251" s="2">
        <f>IFERROR(__xludf.DUMMYFUNCTION("""COMPUTED_VALUE"""),437.0)</f>
        <v>437</v>
      </c>
      <c r="D251" s="3">
        <f>IFERROR(__xludf.DUMMYFUNCTION("""COMPUTED_VALUE"""),177.0)</f>
        <v>177</v>
      </c>
      <c r="E251" s="2"/>
      <c r="F251" s="2"/>
    </row>
    <row r="252">
      <c r="A252" s="2">
        <f>IFERROR(__xludf.DUMMYFUNCTION("""COMPUTED_VALUE"""),147305.0)</f>
        <v>147305</v>
      </c>
      <c r="B252" s="2">
        <f>IFERROR(__xludf.DUMMYFUNCTION("""COMPUTED_VALUE"""),0.0)</f>
        <v>0</v>
      </c>
      <c r="C252" s="2">
        <f>IFERROR(__xludf.DUMMYFUNCTION("""COMPUTED_VALUE"""),919.0)</f>
        <v>919</v>
      </c>
      <c r="D252" s="3">
        <f>IFERROR(__xludf.DUMMYFUNCTION("""COMPUTED_VALUE"""),651.0)</f>
        <v>651</v>
      </c>
      <c r="E252" s="2"/>
      <c r="F252" s="2"/>
    </row>
    <row r="253">
      <c r="A253" s="2">
        <f>IFERROR(__xludf.DUMMYFUNCTION("""COMPUTED_VALUE"""),158660.0)</f>
        <v>158660</v>
      </c>
      <c r="B253" s="2">
        <f>IFERROR(__xludf.DUMMYFUNCTION("""COMPUTED_VALUE"""),1.0)</f>
        <v>1</v>
      </c>
      <c r="C253" s="2">
        <f>IFERROR(__xludf.DUMMYFUNCTION("""COMPUTED_VALUE"""),961.0)</f>
        <v>961</v>
      </c>
      <c r="D253" s="3">
        <f>IFERROR(__xludf.DUMMYFUNCTION("""COMPUTED_VALUE"""),554.0)</f>
        <v>554</v>
      </c>
      <c r="E253" s="2"/>
      <c r="F253" s="2"/>
    </row>
    <row r="254">
      <c r="A254" s="2">
        <f>IFERROR(__xludf.DUMMYFUNCTION("""COMPUTED_VALUE"""),77371.0)</f>
        <v>77371</v>
      </c>
      <c r="B254" s="2">
        <f>IFERROR(__xludf.DUMMYFUNCTION("""COMPUTED_VALUE"""),1.0)</f>
        <v>1</v>
      </c>
      <c r="C254" s="2">
        <f>IFERROR(__xludf.DUMMYFUNCTION("""COMPUTED_VALUE"""),326.0)</f>
        <v>326</v>
      </c>
      <c r="D254" s="3">
        <f>IFERROR(__xludf.DUMMYFUNCTION("""COMPUTED_VALUE"""),123.0)</f>
        <v>123</v>
      </c>
      <c r="E254" s="2"/>
      <c r="F254" s="2"/>
    </row>
    <row r="255">
      <c r="A255" s="2">
        <f>IFERROR(__xludf.DUMMYFUNCTION("""COMPUTED_VALUE"""),77366.0)</f>
        <v>77366</v>
      </c>
      <c r="B255" s="2">
        <f>IFERROR(__xludf.DUMMYFUNCTION("""COMPUTED_VALUE"""),1.0)</f>
        <v>1</v>
      </c>
      <c r="C255" s="2">
        <f>IFERROR(__xludf.DUMMYFUNCTION("""COMPUTED_VALUE"""),40.0)</f>
        <v>40</v>
      </c>
      <c r="D255" s="3">
        <f>IFERROR(__xludf.DUMMYFUNCTION("""COMPUTED_VALUE"""),5.0)</f>
        <v>5</v>
      </c>
      <c r="E255" s="2"/>
      <c r="F255" s="2"/>
    </row>
    <row r="256">
      <c r="A256" s="2">
        <f>IFERROR(__xludf.DUMMYFUNCTION("""COMPUTED_VALUE"""),87282.0)</f>
        <v>87282</v>
      </c>
      <c r="B256" s="2">
        <f>IFERROR(__xludf.DUMMYFUNCTION("""COMPUTED_VALUE"""),0.0)</f>
        <v>0</v>
      </c>
      <c r="C256" s="2">
        <f>IFERROR(__xludf.DUMMYFUNCTION("""COMPUTED_VALUE"""),668.0)</f>
        <v>668</v>
      </c>
      <c r="D256" s="3">
        <f>IFERROR(__xludf.DUMMYFUNCTION("""COMPUTED_VALUE"""),595.0)</f>
        <v>595</v>
      </c>
      <c r="E256" s="2"/>
      <c r="F256" s="2"/>
    </row>
    <row r="257">
      <c r="A257" s="2">
        <f>IFERROR(__xludf.DUMMYFUNCTION("""COMPUTED_VALUE"""),80402.0)</f>
        <v>80402</v>
      </c>
      <c r="B257" s="2">
        <f>IFERROR(__xludf.DUMMYFUNCTION("""COMPUTED_VALUE"""),1.0)</f>
        <v>1</v>
      </c>
      <c r="C257" s="2">
        <f>IFERROR(__xludf.DUMMYFUNCTION("""COMPUTED_VALUE"""),840.0)</f>
        <v>840</v>
      </c>
      <c r="D257" s="3">
        <f>IFERROR(__xludf.DUMMYFUNCTION("""COMPUTED_VALUE"""),236.0)</f>
        <v>236</v>
      </c>
      <c r="E257" s="2"/>
      <c r="F257" s="2"/>
    </row>
    <row r="258">
      <c r="A258" s="2">
        <f>IFERROR(__xludf.DUMMYFUNCTION("""COMPUTED_VALUE"""),120504.0)</f>
        <v>120504</v>
      </c>
      <c r="B258" s="2">
        <f>IFERROR(__xludf.DUMMYFUNCTION("""COMPUTED_VALUE"""),1.0)</f>
        <v>1</v>
      </c>
      <c r="C258" s="2">
        <f>IFERROR(__xludf.DUMMYFUNCTION("""COMPUTED_VALUE"""),191.0)</f>
        <v>191</v>
      </c>
      <c r="D258" s="3">
        <f>IFERROR(__xludf.DUMMYFUNCTION("""COMPUTED_VALUE"""),68.0)</f>
        <v>68</v>
      </c>
      <c r="E258" s="2"/>
      <c r="F258" s="2"/>
    </row>
    <row r="259">
      <c r="A259" s="2">
        <f>IFERROR(__xludf.DUMMYFUNCTION("""COMPUTED_VALUE"""),72833.0)</f>
        <v>72833</v>
      </c>
      <c r="B259" s="2">
        <f>IFERROR(__xludf.DUMMYFUNCTION("""COMPUTED_VALUE"""),1.0)</f>
        <v>1</v>
      </c>
      <c r="C259" s="2">
        <f>IFERROR(__xludf.DUMMYFUNCTION("""COMPUTED_VALUE"""),28.0)</f>
        <v>28</v>
      </c>
      <c r="D259" s="3">
        <f>IFERROR(__xludf.DUMMYFUNCTION("""COMPUTED_VALUE"""),28.0)</f>
        <v>28</v>
      </c>
      <c r="E259" s="2"/>
      <c r="F259" s="2"/>
    </row>
    <row r="260">
      <c r="A260" s="2">
        <f>IFERROR(__xludf.DUMMYFUNCTION("""COMPUTED_VALUE"""),72831.0)</f>
        <v>72831</v>
      </c>
      <c r="B260" s="2">
        <f>IFERROR(__xludf.DUMMYFUNCTION("""COMPUTED_VALUE"""),1.0)</f>
        <v>1</v>
      </c>
      <c r="C260" s="2">
        <f>IFERROR(__xludf.DUMMYFUNCTION("""COMPUTED_VALUE"""),203.0)</f>
        <v>203</v>
      </c>
      <c r="D260" s="3">
        <f>IFERROR(__xludf.DUMMYFUNCTION("""COMPUTED_VALUE"""),102.0)</f>
        <v>102</v>
      </c>
      <c r="E260" s="2"/>
      <c r="F260" s="2"/>
    </row>
    <row r="261">
      <c r="A261" s="2">
        <f>IFERROR(__xludf.DUMMYFUNCTION("""COMPUTED_VALUE"""),112547.0)</f>
        <v>112547</v>
      </c>
      <c r="B261" s="2">
        <f>IFERROR(__xludf.DUMMYFUNCTION("""COMPUTED_VALUE"""),0.0)</f>
        <v>0</v>
      </c>
      <c r="C261" s="2">
        <f>IFERROR(__xludf.DUMMYFUNCTION("""COMPUTED_VALUE"""),742.0)</f>
        <v>742</v>
      </c>
      <c r="D261" s="3">
        <f>IFERROR(__xludf.DUMMYFUNCTION("""COMPUTED_VALUE"""),78.0)</f>
        <v>78</v>
      </c>
      <c r="E261" s="2"/>
      <c r="F261" s="2"/>
    </row>
    <row r="262">
      <c r="A262" s="2">
        <f>IFERROR(__xludf.DUMMYFUNCTION("""COMPUTED_VALUE"""),149598.0)</f>
        <v>149598</v>
      </c>
      <c r="B262" s="2">
        <f>IFERROR(__xludf.DUMMYFUNCTION("""COMPUTED_VALUE"""),1.0)</f>
        <v>1</v>
      </c>
      <c r="C262" s="2">
        <f>IFERROR(__xludf.DUMMYFUNCTION("""COMPUTED_VALUE"""),236.0)</f>
        <v>236</v>
      </c>
      <c r="D262" s="3">
        <f>IFERROR(__xludf.DUMMYFUNCTION("""COMPUTED_VALUE"""),95.0)</f>
        <v>95</v>
      </c>
      <c r="E262" s="2"/>
      <c r="F262" s="2"/>
    </row>
    <row r="263">
      <c r="A263" s="2">
        <f>IFERROR(__xludf.DUMMYFUNCTION("""COMPUTED_VALUE"""),98129.0)</f>
        <v>98129</v>
      </c>
      <c r="B263" s="2">
        <f>IFERROR(__xludf.DUMMYFUNCTION("""COMPUTED_VALUE"""),0.0)</f>
        <v>0</v>
      </c>
      <c r="C263" s="2">
        <f>IFERROR(__xludf.DUMMYFUNCTION("""COMPUTED_VALUE"""),613.0)</f>
        <v>613</v>
      </c>
      <c r="D263" s="3">
        <f>IFERROR(__xludf.DUMMYFUNCTION("""COMPUTED_VALUE"""),605.0)</f>
        <v>605</v>
      </c>
      <c r="E263" s="2"/>
      <c r="F263" s="2"/>
    </row>
    <row r="264">
      <c r="A264" s="2">
        <f>IFERROR(__xludf.DUMMYFUNCTION("""COMPUTED_VALUE"""),72825.0)</f>
        <v>72825</v>
      </c>
      <c r="B264" s="2">
        <f>IFERROR(__xludf.DUMMYFUNCTION("""COMPUTED_VALUE"""),0.0)</f>
        <v>0</v>
      </c>
      <c r="C264" s="2">
        <f>IFERROR(__xludf.DUMMYFUNCTION("""COMPUTED_VALUE"""),160.0)</f>
        <v>160</v>
      </c>
      <c r="D264" s="3">
        <f>IFERROR(__xludf.DUMMYFUNCTION("""COMPUTED_VALUE"""),131.0)</f>
        <v>131</v>
      </c>
      <c r="E264" s="2"/>
      <c r="F264" s="2"/>
    </row>
    <row r="265">
      <c r="A265" s="2">
        <f>IFERROR(__xludf.DUMMYFUNCTION("""COMPUTED_VALUE"""),72820.0)</f>
        <v>72820</v>
      </c>
      <c r="B265" s="2">
        <f>IFERROR(__xludf.DUMMYFUNCTION("""COMPUTED_VALUE"""),1.0)</f>
        <v>1</v>
      </c>
      <c r="C265" s="2">
        <f>IFERROR(__xludf.DUMMYFUNCTION("""COMPUTED_VALUE"""),109.0)</f>
        <v>109</v>
      </c>
      <c r="D265" s="3">
        <f>IFERROR(__xludf.DUMMYFUNCTION("""COMPUTED_VALUE"""),100.0)</f>
        <v>100</v>
      </c>
      <c r="E265" s="2"/>
      <c r="F265" s="2"/>
    </row>
    <row r="266">
      <c r="A266" s="2">
        <f>IFERROR(__xludf.DUMMYFUNCTION("""COMPUTED_VALUE"""),81939.0)</f>
        <v>81939</v>
      </c>
      <c r="B266" s="2">
        <f>IFERROR(__xludf.DUMMYFUNCTION("""COMPUTED_VALUE"""),0.0)</f>
        <v>0</v>
      </c>
      <c r="C266" s="2">
        <f>IFERROR(__xludf.DUMMYFUNCTION("""COMPUTED_VALUE"""),149.0)</f>
        <v>149</v>
      </c>
      <c r="D266" s="3">
        <f>IFERROR(__xludf.DUMMYFUNCTION("""COMPUTED_VALUE"""),37.0)</f>
        <v>37</v>
      </c>
      <c r="E266" s="2"/>
      <c r="F266" s="2"/>
    </row>
    <row r="267">
      <c r="A267" s="2">
        <f>IFERROR(__xludf.DUMMYFUNCTION("""COMPUTED_VALUE"""),114382.0)</f>
        <v>114382</v>
      </c>
      <c r="B267" s="2">
        <f>IFERROR(__xludf.DUMMYFUNCTION("""COMPUTED_VALUE"""),1.0)</f>
        <v>1</v>
      </c>
      <c r="C267" s="2">
        <f>IFERROR(__xludf.DUMMYFUNCTION("""COMPUTED_VALUE"""),280.0)</f>
        <v>280</v>
      </c>
      <c r="D267" s="3">
        <f>IFERROR(__xludf.DUMMYFUNCTION("""COMPUTED_VALUE"""),185.0)</f>
        <v>185</v>
      </c>
      <c r="E267" s="2"/>
      <c r="F267" s="2"/>
    </row>
    <row r="268">
      <c r="A268" s="2">
        <f>IFERROR(__xludf.DUMMYFUNCTION("""COMPUTED_VALUE"""),111427.0)</f>
        <v>111427</v>
      </c>
      <c r="B268" s="2">
        <f>IFERROR(__xludf.DUMMYFUNCTION("""COMPUTED_VALUE"""),0.0)</f>
        <v>0</v>
      </c>
      <c r="C268" s="2">
        <f>IFERROR(__xludf.DUMMYFUNCTION("""COMPUTED_VALUE"""),665.0)</f>
        <v>665</v>
      </c>
      <c r="D268" s="3">
        <f>IFERROR(__xludf.DUMMYFUNCTION("""COMPUTED_VALUE"""),254.0)</f>
        <v>254</v>
      </c>
      <c r="E268" s="2"/>
      <c r="F268" s="2"/>
    </row>
    <row r="269">
      <c r="A269" s="2">
        <f>IFERROR(__xludf.DUMMYFUNCTION("""COMPUTED_VALUE"""),81937.0)</f>
        <v>81937</v>
      </c>
      <c r="B269" s="2">
        <f>IFERROR(__xludf.DUMMYFUNCTION("""COMPUTED_VALUE"""),0.0)</f>
        <v>0</v>
      </c>
      <c r="C269" s="2">
        <f>IFERROR(__xludf.DUMMYFUNCTION("""COMPUTED_VALUE"""),962.0)</f>
        <v>962</v>
      </c>
      <c r="D269" s="3">
        <f>IFERROR(__xludf.DUMMYFUNCTION("""COMPUTED_VALUE"""),511.0)</f>
        <v>511</v>
      </c>
      <c r="E269" s="2"/>
      <c r="F269" s="2"/>
    </row>
    <row r="270">
      <c r="A270" s="2">
        <f>IFERROR(__xludf.DUMMYFUNCTION("""COMPUTED_VALUE"""),72824.0)</f>
        <v>72824</v>
      </c>
      <c r="B270" s="2">
        <f>IFERROR(__xludf.DUMMYFUNCTION("""COMPUTED_VALUE"""),1.0)</f>
        <v>1</v>
      </c>
      <c r="C270" s="2">
        <f>IFERROR(__xludf.DUMMYFUNCTION("""COMPUTED_VALUE"""),124.0)</f>
        <v>124</v>
      </c>
      <c r="D270" s="3">
        <f>IFERROR(__xludf.DUMMYFUNCTION("""COMPUTED_VALUE"""),107.0)</f>
        <v>107</v>
      </c>
      <c r="E270" s="2"/>
      <c r="F270" s="2"/>
    </row>
    <row r="271">
      <c r="A271" s="2">
        <f>IFERROR(__xludf.DUMMYFUNCTION("""COMPUTED_VALUE"""),112188.0)</f>
        <v>112188</v>
      </c>
      <c r="B271" s="2">
        <f>IFERROR(__xludf.DUMMYFUNCTION("""COMPUTED_VALUE"""),0.0)</f>
        <v>0</v>
      </c>
      <c r="C271" s="2">
        <f>IFERROR(__xludf.DUMMYFUNCTION("""COMPUTED_VALUE"""),44.0)</f>
        <v>44</v>
      </c>
      <c r="D271" s="3">
        <f>IFERROR(__xludf.DUMMYFUNCTION("""COMPUTED_VALUE"""),29.0)</f>
        <v>29</v>
      </c>
      <c r="E271" s="2"/>
      <c r="F271" s="2"/>
    </row>
    <row r="272">
      <c r="A272" s="2">
        <f>IFERROR(__xludf.DUMMYFUNCTION("""COMPUTED_VALUE"""),98186.0)</f>
        <v>98186</v>
      </c>
      <c r="B272" s="2">
        <f>IFERROR(__xludf.DUMMYFUNCTION("""COMPUTED_VALUE"""),1.0)</f>
        <v>1</v>
      </c>
      <c r="C272" s="2">
        <f>IFERROR(__xludf.DUMMYFUNCTION("""COMPUTED_VALUE"""),845.0)</f>
        <v>845</v>
      </c>
      <c r="D272" s="3">
        <f>IFERROR(__xludf.DUMMYFUNCTION("""COMPUTED_VALUE"""),298.0)</f>
        <v>298</v>
      </c>
      <c r="E272" s="2"/>
      <c r="F272" s="2"/>
    </row>
    <row r="273">
      <c r="A273" s="2">
        <f>IFERROR(__xludf.DUMMYFUNCTION("""COMPUTED_VALUE"""),72822.0)</f>
        <v>72822</v>
      </c>
      <c r="B273" s="2">
        <f>IFERROR(__xludf.DUMMYFUNCTION("""COMPUTED_VALUE"""),0.0)</f>
        <v>0</v>
      </c>
      <c r="C273" s="2">
        <f>IFERROR(__xludf.DUMMYFUNCTION("""COMPUTED_VALUE"""),831.0)</f>
        <v>831</v>
      </c>
      <c r="D273" s="3">
        <f>IFERROR(__xludf.DUMMYFUNCTION("""COMPUTED_VALUE"""),135.0)</f>
        <v>135</v>
      </c>
      <c r="E273" s="2"/>
      <c r="F273" s="2"/>
    </row>
    <row r="274">
      <c r="A274" s="2">
        <f>IFERROR(__xludf.DUMMYFUNCTION("""COMPUTED_VALUE"""),122601.0)</f>
        <v>122601</v>
      </c>
      <c r="B274" s="2">
        <f>IFERROR(__xludf.DUMMYFUNCTION("""COMPUTED_VALUE"""),0.0)</f>
        <v>0</v>
      </c>
      <c r="C274" s="2">
        <f>IFERROR(__xludf.DUMMYFUNCTION("""COMPUTED_VALUE"""),373.0)</f>
        <v>373</v>
      </c>
      <c r="D274" s="3">
        <f>IFERROR(__xludf.DUMMYFUNCTION("""COMPUTED_VALUE"""),324.0)</f>
        <v>324</v>
      </c>
      <c r="E274" s="2"/>
      <c r="F274" s="2"/>
    </row>
    <row r="275">
      <c r="A275" s="2">
        <f>IFERROR(__xludf.DUMMYFUNCTION("""COMPUTED_VALUE"""),106779.0)</f>
        <v>106779</v>
      </c>
      <c r="B275" s="2">
        <f>IFERROR(__xludf.DUMMYFUNCTION("""COMPUTED_VALUE"""),1.0)</f>
        <v>1</v>
      </c>
      <c r="C275" s="2">
        <f>IFERROR(__xludf.DUMMYFUNCTION("""COMPUTED_VALUE"""),506.0)</f>
        <v>506</v>
      </c>
      <c r="D275" s="3">
        <f>IFERROR(__xludf.DUMMYFUNCTION("""COMPUTED_VALUE"""),254.0)</f>
        <v>254</v>
      </c>
      <c r="E275" s="2"/>
      <c r="F275" s="2"/>
    </row>
    <row r="276">
      <c r="A276" s="2">
        <f>IFERROR(__xludf.DUMMYFUNCTION("""COMPUTED_VALUE"""),106785.0)</f>
        <v>106785</v>
      </c>
      <c r="B276" s="2">
        <f>IFERROR(__xludf.DUMMYFUNCTION("""COMPUTED_VALUE"""),0.0)</f>
        <v>0</v>
      </c>
      <c r="C276" s="2">
        <f>IFERROR(__xludf.DUMMYFUNCTION("""COMPUTED_VALUE"""),960.0)</f>
        <v>960</v>
      </c>
      <c r="D276" s="3">
        <f>IFERROR(__xludf.DUMMYFUNCTION("""COMPUTED_VALUE"""),892.0)</f>
        <v>892</v>
      </c>
      <c r="E276" s="2"/>
      <c r="F276" s="2"/>
    </row>
    <row r="277">
      <c r="A277" s="2">
        <f>IFERROR(__xludf.DUMMYFUNCTION("""COMPUTED_VALUE"""),122602.0)</f>
        <v>122602</v>
      </c>
      <c r="B277" s="2">
        <f>IFERROR(__xludf.DUMMYFUNCTION("""COMPUTED_VALUE"""),0.0)</f>
        <v>0</v>
      </c>
      <c r="C277" s="2">
        <f>IFERROR(__xludf.DUMMYFUNCTION("""COMPUTED_VALUE"""),610.0)</f>
        <v>610</v>
      </c>
      <c r="D277" s="3">
        <f>IFERROR(__xludf.DUMMYFUNCTION("""COMPUTED_VALUE"""),419.0)</f>
        <v>419</v>
      </c>
      <c r="E277" s="2"/>
      <c r="F277" s="2"/>
    </row>
    <row r="278">
      <c r="A278" s="2">
        <f>IFERROR(__xludf.DUMMYFUNCTION("""COMPUTED_VALUE"""),45574.0)</f>
        <v>45574</v>
      </c>
      <c r="B278" s="2">
        <f>IFERROR(__xludf.DUMMYFUNCTION("""COMPUTED_VALUE"""),0.0)</f>
        <v>0</v>
      </c>
      <c r="C278" s="2">
        <f>IFERROR(__xludf.DUMMYFUNCTION("""COMPUTED_VALUE"""),277.0)</f>
        <v>277</v>
      </c>
      <c r="D278" s="3">
        <f>IFERROR(__xludf.DUMMYFUNCTION("""COMPUTED_VALUE"""),148.0)</f>
        <v>148</v>
      </c>
      <c r="E278" s="2"/>
      <c r="F278" s="2"/>
    </row>
    <row r="279">
      <c r="A279" s="2">
        <f>IFERROR(__xludf.DUMMYFUNCTION("""COMPUTED_VALUE"""),80808.0)</f>
        <v>80808</v>
      </c>
      <c r="B279" s="2">
        <f>IFERROR(__xludf.DUMMYFUNCTION("""COMPUTED_VALUE"""),1.0)</f>
        <v>1</v>
      </c>
      <c r="C279" s="2">
        <f>IFERROR(__xludf.DUMMYFUNCTION("""COMPUTED_VALUE"""),55.0)</f>
        <v>55</v>
      </c>
      <c r="D279" s="3">
        <f>IFERROR(__xludf.DUMMYFUNCTION("""COMPUTED_VALUE"""),7.0)</f>
        <v>7</v>
      </c>
      <c r="E279" s="2"/>
      <c r="F279" s="2"/>
    </row>
    <row r="280">
      <c r="A280" s="2">
        <f>IFERROR(__xludf.DUMMYFUNCTION("""COMPUTED_VALUE"""),80802.0)</f>
        <v>80802</v>
      </c>
      <c r="B280" s="2">
        <f>IFERROR(__xludf.DUMMYFUNCTION("""COMPUTED_VALUE"""),0.0)</f>
        <v>0</v>
      </c>
      <c r="C280" s="2">
        <f>IFERROR(__xludf.DUMMYFUNCTION("""COMPUTED_VALUE"""),303.0)</f>
        <v>303</v>
      </c>
      <c r="D280" s="3">
        <f>IFERROR(__xludf.DUMMYFUNCTION("""COMPUTED_VALUE"""),247.0)</f>
        <v>247</v>
      </c>
      <c r="E280" s="2"/>
      <c r="F280" s="2"/>
    </row>
    <row r="281">
      <c r="A281" s="2">
        <f>IFERROR(__xludf.DUMMYFUNCTION("""COMPUTED_VALUE"""),110385.0)</f>
        <v>110385</v>
      </c>
      <c r="B281" s="2">
        <f>IFERROR(__xludf.DUMMYFUNCTION("""COMPUTED_VALUE"""),1.0)</f>
        <v>1</v>
      </c>
      <c r="C281" s="2">
        <f>IFERROR(__xludf.DUMMYFUNCTION("""COMPUTED_VALUE"""),551.0)</f>
        <v>551</v>
      </c>
      <c r="D281" s="3">
        <f>IFERROR(__xludf.DUMMYFUNCTION("""COMPUTED_VALUE"""),322.0)</f>
        <v>322</v>
      </c>
      <c r="E281" s="2"/>
      <c r="F281" s="2"/>
    </row>
    <row r="282">
      <c r="A282" s="2">
        <f>IFERROR(__xludf.DUMMYFUNCTION("""COMPUTED_VALUE"""),80633.0)</f>
        <v>80633</v>
      </c>
      <c r="B282" s="2">
        <f>IFERROR(__xludf.DUMMYFUNCTION("""COMPUTED_VALUE"""),0.0)</f>
        <v>0</v>
      </c>
      <c r="C282" s="2">
        <f>IFERROR(__xludf.DUMMYFUNCTION("""COMPUTED_VALUE"""),718.0)</f>
        <v>718</v>
      </c>
      <c r="D282" s="3">
        <f>IFERROR(__xludf.DUMMYFUNCTION("""COMPUTED_VALUE"""),381.0)</f>
        <v>381</v>
      </c>
      <c r="E282" s="2"/>
      <c r="F282" s="2"/>
    </row>
    <row r="283">
      <c r="A283" s="2">
        <f>IFERROR(__xludf.DUMMYFUNCTION("""COMPUTED_VALUE"""),120700.0)</f>
        <v>120700</v>
      </c>
      <c r="B283" s="2">
        <f>IFERROR(__xludf.DUMMYFUNCTION("""COMPUTED_VALUE"""),1.0)</f>
        <v>1</v>
      </c>
      <c r="C283" s="2">
        <f>IFERROR(__xludf.DUMMYFUNCTION("""COMPUTED_VALUE"""),653.0)</f>
        <v>653</v>
      </c>
      <c r="D283" s="3">
        <f>IFERROR(__xludf.DUMMYFUNCTION("""COMPUTED_VALUE"""),352.0)</f>
        <v>352</v>
      </c>
      <c r="E283" s="2"/>
      <c r="F283" s="2"/>
    </row>
    <row r="284">
      <c r="A284" s="2">
        <f>IFERROR(__xludf.DUMMYFUNCTION("""COMPUTED_VALUE"""),112853.0)</f>
        <v>112853</v>
      </c>
      <c r="B284" s="2">
        <f>IFERROR(__xludf.DUMMYFUNCTION("""COMPUTED_VALUE"""),1.0)</f>
        <v>1</v>
      </c>
      <c r="C284" s="2">
        <f>IFERROR(__xludf.DUMMYFUNCTION("""COMPUTED_VALUE"""),294.0)</f>
        <v>294</v>
      </c>
      <c r="D284" s="3">
        <f>IFERROR(__xludf.DUMMYFUNCTION("""COMPUTED_VALUE"""),265.0)</f>
        <v>265</v>
      </c>
      <c r="E284" s="2"/>
      <c r="F284" s="2"/>
    </row>
    <row r="285">
      <c r="A285" s="2">
        <f>IFERROR(__xludf.DUMMYFUNCTION("""COMPUTED_VALUE"""),120699.0)</f>
        <v>120699</v>
      </c>
      <c r="B285" s="2">
        <f>IFERROR(__xludf.DUMMYFUNCTION("""COMPUTED_VALUE"""),0.0)</f>
        <v>0</v>
      </c>
      <c r="C285" s="2">
        <f>IFERROR(__xludf.DUMMYFUNCTION("""COMPUTED_VALUE"""),251.0)</f>
        <v>251</v>
      </c>
      <c r="D285" s="3">
        <f>IFERROR(__xludf.DUMMYFUNCTION("""COMPUTED_VALUE"""),240.0)</f>
        <v>240</v>
      </c>
      <c r="E285" s="2"/>
      <c r="F285" s="2"/>
    </row>
    <row r="286">
      <c r="A286" s="2">
        <f>IFERROR(__xludf.DUMMYFUNCTION("""COMPUTED_VALUE"""),20195.0)</f>
        <v>20195</v>
      </c>
      <c r="B286" s="2">
        <f>IFERROR(__xludf.DUMMYFUNCTION("""COMPUTED_VALUE"""),1.0)</f>
        <v>1</v>
      </c>
      <c r="C286" s="2">
        <f>IFERROR(__xludf.DUMMYFUNCTION("""COMPUTED_VALUE"""),425.0)</f>
        <v>425</v>
      </c>
      <c r="D286" s="3">
        <f>IFERROR(__xludf.DUMMYFUNCTION("""COMPUTED_VALUE"""),354.0)</f>
        <v>354</v>
      </c>
      <c r="E286" s="2"/>
      <c r="F286" s="2"/>
    </row>
    <row r="287">
      <c r="A287" s="2">
        <f>IFERROR(__xludf.DUMMYFUNCTION("""COMPUTED_VALUE"""),11422.0)</f>
        <v>11422</v>
      </c>
      <c r="B287" s="2">
        <f>IFERROR(__xludf.DUMMYFUNCTION("""COMPUTED_VALUE"""),1.0)</f>
        <v>1</v>
      </c>
      <c r="C287" s="2">
        <f>IFERROR(__xludf.DUMMYFUNCTION("""COMPUTED_VALUE"""),822.0)</f>
        <v>822</v>
      </c>
      <c r="D287" s="3">
        <f>IFERROR(__xludf.DUMMYFUNCTION("""COMPUTED_VALUE"""),58.0)</f>
        <v>58</v>
      </c>
      <c r="E287" s="2"/>
      <c r="F287" s="2"/>
    </row>
    <row r="288">
      <c r="A288" s="2">
        <f>IFERROR(__xludf.DUMMYFUNCTION("""COMPUTED_VALUE"""),4492.0)</f>
        <v>4492</v>
      </c>
      <c r="B288" s="2">
        <f>IFERROR(__xludf.DUMMYFUNCTION("""COMPUTED_VALUE"""),0.0)</f>
        <v>0</v>
      </c>
      <c r="C288" s="2">
        <f>IFERROR(__xludf.DUMMYFUNCTION("""COMPUTED_VALUE"""),816.0)</f>
        <v>816</v>
      </c>
      <c r="D288" s="3">
        <f>IFERROR(__xludf.DUMMYFUNCTION("""COMPUTED_VALUE"""),571.0)</f>
        <v>571</v>
      </c>
      <c r="E288" s="2"/>
      <c r="F288" s="2"/>
    </row>
    <row r="289">
      <c r="A289" s="2">
        <f>IFERROR(__xludf.DUMMYFUNCTION("""COMPUTED_VALUE"""),4560.0)</f>
        <v>4560</v>
      </c>
      <c r="B289" s="2">
        <f>IFERROR(__xludf.DUMMYFUNCTION("""COMPUTED_VALUE"""),0.0)</f>
        <v>0</v>
      </c>
      <c r="C289" s="2">
        <f>IFERROR(__xludf.DUMMYFUNCTION("""COMPUTED_VALUE"""),541.0)</f>
        <v>541</v>
      </c>
      <c r="D289" s="3">
        <f>IFERROR(__xludf.DUMMYFUNCTION("""COMPUTED_VALUE"""),192.0)</f>
        <v>192</v>
      </c>
      <c r="E289" s="2"/>
      <c r="F289" s="2"/>
    </row>
    <row r="290">
      <c r="A290" s="2">
        <f>IFERROR(__xludf.DUMMYFUNCTION("""COMPUTED_VALUE"""),110383.0)</f>
        <v>110383</v>
      </c>
      <c r="B290" s="2">
        <f>IFERROR(__xludf.DUMMYFUNCTION("""COMPUTED_VALUE"""),1.0)</f>
        <v>1</v>
      </c>
      <c r="C290" s="2">
        <f>IFERROR(__xludf.DUMMYFUNCTION("""COMPUTED_VALUE"""),518.0)</f>
        <v>518</v>
      </c>
      <c r="D290" s="3">
        <f>IFERROR(__xludf.DUMMYFUNCTION("""COMPUTED_VALUE"""),57.0)</f>
        <v>57</v>
      </c>
      <c r="E290" s="2"/>
      <c r="F290" s="2"/>
    </row>
    <row r="291">
      <c r="A291" s="2">
        <f>IFERROR(__xludf.DUMMYFUNCTION("""COMPUTED_VALUE"""),112850.0)</f>
        <v>112850</v>
      </c>
      <c r="B291" s="2">
        <f>IFERROR(__xludf.DUMMYFUNCTION("""COMPUTED_VALUE"""),1.0)</f>
        <v>1</v>
      </c>
      <c r="C291" s="2">
        <f>IFERROR(__xludf.DUMMYFUNCTION("""COMPUTED_VALUE"""),410.0)</f>
        <v>410</v>
      </c>
      <c r="D291" s="3">
        <f>IFERROR(__xludf.DUMMYFUNCTION("""COMPUTED_VALUE"""),235.0)</f>
        <v>235</v>
      </c>
      <c r="E291" s="2"/>
      <c r="F291" s="2"/>
    </row>
    <row r="292">
      <c r="A292" s="2">
        <f>IFERROR(__xludf.DUMMYFUNCTION("""COMPUTED_VALUE"""),120702.0)</f>
        <v>120702</v>
      </c>
      <c r="B292" s="2">
        <f>IFERROR(__xludf.DUMMYFUNCTION("""COMPUTED_VALUE"""),1.0)</f>
        <v>1</v>
      </c>
      <c r="C292" s="2">
        <f>IFERROR(__xludf.DUMMYFUNCTION("""COMPUTED_VALUE"""),161.0)</f>
        <v>161</v>
      </c>
      <c r="D292" s="3">
        <f>IFERROR(__xludf.DUMMYFUNCTION("""COMPUTED_VALUE"""),137.0)</f>
        <v>137</v>
      </c>
      <c r="E292" s="2"/>
      <c r="F292" s="2"/>
    </row>
    <row r="293">
      <c r="A293" s="2">
        <f>IFERROR(__xludf.DUMMYFUNCTION("""COMPUTED_VALUE"""),91860.0)</f>
        <v>91860</v>
      </c>
      <c r="B293" s="2">
        <f>IFERROR(__xludf.DUMMYFUNCTION("""COMPUTED_VALUE"""),0.0)</f>
        <v>0</v>
      </c>
      <c r="C293" s="2">
        <f>IFERROR(__xludf.DUMMYFUNCTION("""COMPUTED_VALUE"""),875.0)</f>
        <v>875</v>
      </c>
      <c r="D293" s="3">
        <f>IFERROR(__xludf.DUMMYFUNCTION("""COMPUTED_VALUE"""),129.0)</f>
        <v>129</v>
      </c>
      <c r="E293" s="2"/>
      <c r="F293" s="2"/>
    </row>
    <row r="294">
      <c r="A294" s="2">
        <f>IFERROR(__xludf.DUMMYFUNCTION("""COMPUTED_VALUE"""),9716.0)</f>
        <v>9716</v>
      </c>
      <c r="B294" s="2">
        <f>IFERROR(__xludf.DUMMYFUNCTION("""COMPUTED_VALUE"""),0.0)</f>
        <v>0</v>
      </c>
      <c r="C294" s="2">
        <f>IFERROR(__xludf.DUMMYFUNCTION("""COMPUTED_VALUE"""),256.0)</f>
        <v>256</v>
      </c>
      <c r="D294" s="3">
        <f>IFERROR(__xludf.DUMMYFUNCTION("""COMPUTED_VALUE"""),209.0)</f>
        <v>209</v>
      </c>
      <c r="E294" s="2"/>
      <c r="F294" s="2"/>
    </row>
    <row r="295">
      <c r="A295" s="2">
        <f>IFERROR(__xludf.DUMMYFUNCTION("""COMPUTED_VALUE"""),77135.0)</f>
        <v>77135</v>
      </c>
      <c r="B295" s="2">
        <f>IFERROR(__xludf.DUMMYFUNCTION("""COMPUTED_VALUE"""),0.0)</f>
        <v>0</v>
      </c>
      <c r="C295" s="2">
        <f>IFERROR(__xludf.DUMMYFUNCTION("""COMPUTED_VALUE"""),108.0)</f>
        <v>108</v>
      </c>
      <c r="D295" s="3">
        <f>IFERROR(__xludf.DUMMYFUNCTION("""COMPUTED_VALUE"""),100.0)</f>
        <v>100</v>
      </c>
      <c r="E295" s="2"/>
      <c r="F295" s="2"/>
    </row>
    <row r="296">
      <c r="A296" s="2">
        <f>IFERROR(__xludf.DUMMYFUNCTION("""COMPUTED_VALUE"""),91857.0)</f>
        <v>91857</v>
      </c>
      <c r="B296" s="2">
        <f>IFERROR(__xludf.DUMMYFUNCTION("""COMPUTED_VALUE"""),1.0)</f>
        <v>1</v>
      </c>
      <c r="C296" s="2">
        <f>IFERROR(__xludf.DUMMYFUNCTION("""COMPUTED_VALUE"""),67.0)</f>
        <v>67</v>
      </c>
      <c r="D296" s="3">
        <f>IFERROR(__xludf.DUMMYFUNCTION("""COMPUTED_VALUE"""),22.0)</f>
        <v>22</v>
      </c>
      <c r="E296" s="2"/>
      <c r="F296" s="2"/>
    </row>
    <row r="297">
      <c r="A297" s="2">
        <f>IFERROR(__xludf.DUMMYFUNCTION("""COMPUTED_VALUE"""),76429.0)</f>
        <v>76429</v>
      </c>
      <c r="B297" s="2">
        <f>IFERROR(__xludf.DUMMYFUNCTION("""COMPUTED_VALUE"""),0.0)</f>
        <v>0</v>
      </c>
      <c r="C297" s="2">
        <f>IFERROR(__xludf.DUMMYFUNCTION("""COMPUTED_VALUE"""),518.0)</f>
        <v>518</v>
      </c>
      <c r="D297" s="3">
        <f>IFERROR(__xludf.DUMMYFUNCTION("""COMPUTED_VALUE"""),381.0)</f>
        <v>381</v>
      </c>
      <c r="E297" s="2"/>
      <c r="F297" s="2"/>
    </row>
    <row r="298">
      <c r="A298" s="2">
        <f>IFERROR(__xludf.DUMMYFUNCTION("""COMPUTED_VALUE"""),122507.0)</f>
        <v>122507</v>
      </c>
      <c r="B298" s="2">
        <f>IFERROR(__xludf.DUMMYFUNCTION("""COMPUTED_VALUE"""),0.0)</f>
        <v>0</v>
      </c>
      <c r="C298" s="2">
        <f>IFERROR(__xludf.DUMMYFUNCTION("""COMPUTED_VALUE"""),758.0)</f>
        <v>758</v>
      </c>
      <c r="D298" s="3">
        <f>IFERROR(__xludf.DUMMYFUNCTION("""COMPUTED_VALUE"""),31.0)</f>
        <v>31</v>
      </c>
      <c r="E298" s="2"/>
      <c r="F298" s="2"/>
    </row>
    <row r="299">
      <c r="A299" s="2">
        <f>IFERROR(__xludf.DUMMYFUNCTION("""COMPUTED_VALUE"""),77844.0)</f>
        <v>77844</v>
      </c>
      <c r="B299" s="2">
        <f>IFERROR(__xludf.DUMMYFUNCTION("""COMPUTED_VALUE"""),0.0)</f>
        <v>0</v>
      </c>
      <c r="C299" s="2">
        <f>IFERROR(__xludf.DUMMYFUNCTION("""COMPUTED_VALUE"""),347.0)</f>
        <v>347</v>
      </c>
      <c r="D299" s="3">
        <f>IFERROR(__xludf.DUMMYFUNCTION("""COMPUTED_VALUE"""),255.0)</f>
        <v>255</v>
      </c>
      <c r="E299" s="2"/>
      <c r="F299" s="2"/>
    </row>
    <row r="300">
      <c r="A300" s="2">
        <f>IFERROR(__xludf.DUMMYFUNCTION("""COMPUTED_VALUE"""),100041.0)</f>
        <v>100041</v>
      </c>
      <c r="B300" s="2">
        <f>IFERROR(__xludf.DUMMYFUNCTION("""COMPUTED_VALUE"""),0.0)</f>
        <v>0</v>
      </c>
      <c r="C300" s="2">
        <f>IFERROR(__xludf.DUMMYFUNCTION("""COMPUTED_VALUE"""),778.0)</f>
        <v>778</v>
      </c>
      <c r="D300" s="3">
        <f>IFERROR(__xludf.DUMMYFUNCTION("""COMPUTED_VALUE"""),526.0)</f>
        <v>526</v>
      </c>
      <c r="E300" s="2"/>
      <c r="F300" s="2"/>
    </row>
    <row r="301">
      <c r="A301" s="2">
        <f>IFERROR(__xludf.DUMMYFUNCTION("""COMPUTED_VALUE"""),111591.0)</f>
        <v>111591</v>
      </c>
      <c r="B301" s="2">
        <f>IFERROR(__xludf.DUMMYFUNCTION("""COMPUTED_VALUE"""),0.0)</f>
        <v>0</v>
      </c>
      <c r="C301" s="2">
        <f>IFERROR(__xludf.DUMMYFUNCTION("""COMPUTED_VALUE"""),982.0)</f>
        <v>982</v>
      </c>
      <c r="D301" s="3">
        <f>IFERROR(__xludf.DUMMYFUNCTION("""COMPUTED_VALUE"""),241.0)</f>
        <v>241</v>
      </c>
      <c r="E301" s="2"/>
      <c r="F301" s="2"/>
    </row>
    <row r="302">
      <c r="A302" s="2">
        <f>IFERROR(__xludf.DUMMYFUNCTION("""COMPUTED_VALUE"""),128329.0)</f>
        <v>128329</v>
      </c>
      <c r="B302" s="2">
        <f>IFERROR(__xludf.DUMMYFUNCTION("""COMPUTED_VALUE"""),1.0)</f>
        <v>1</v>
      </c>
      <c r="C302" s="2">
        <f>IFERROR(__xludf.DUMMYFUNCTION("""COMPUTED_VALUE"""),158.0)</f>
        <v>158</v>
      </c>
      <c r="D302" s="3">
        <f>IFERROR(__xludf.DUMMYFUNCTION("""COMPUTED_VALUE"""),152.0)</f>
        <v>152</v>
      </c>
      <c r="E302" s="2"/>
      <c r="F302" s="2"/>
    </row>
    <row r="303">
      <c r="A303" s="2">
        <f>IFERROR(__xludf.DUMMYFUNCTION("""COMPUTED_VALUE"""),147268.0)</f>
        <v>147268</v>
      </c>
      <c r="B303" s="2">
        <f>IFERROR(__xludf.DUMMYFUNCTION("""COMPUTED_VALUE"""),0.0)</f>
        <v>0</v>
      </c>
      <c r="C303" s="2">
        <f>IFERROR(__xludf.DUMMYFUNCTION("""COMPUTED_VALUE"""),574.0)</f>
        <v>574</v>
      </c>
      <c r="D303" s="3">
        <f>IFERROR(__xludf.DUMMYFUNCTION("""COMPUTED_VALUE"""),363.0)</f>
        <v>363</v>
      </c>
      <c r="E303" s="2"/>
      <c r="F303" s="2"/>
    </row>
    <row r="304">
      <c r="A304" s="2">
        <f>IFERROR(__xludf.DUMMYFUNCTION("""COMPUTED_VALUE"""),48511.0)</f>
        <v>48511</v>
      </c>
      <c r="B304" s="2">
        <f>IFERROR(__xludf.DUMMYFUNCTION("""COMPUTED_VALUE"""),1.0)</f>
        <v>1</v>
      </c>
      <c r="C304" s="2">
        <f>IFERROR(__xludf.DUMMYFUNCTION("""COMPUTED_VALUE"""),881.0)</f>
        <v>881</v>
      </c>
      <c r="D304" s="3">
        <f>IFERROR(__xludf.DUMMYFUNCTION("""COMPUTED_VALUE"""),328.0)</f>
        <v>328</v>
      </c>
      <c r="E304" s="2"/>
      <c r="F304" s="2"/>
    </row>
    <row r="305">
      <c r="A305" s="2">
        <f>IFERROR(__xludf.DUMMYFUNCTION("""COMPUTED_VALUE"""),100040.0)</f>
        <v>100040</v>
      </c>
      <c r="B305" s="2">
        <f>IFERROR(__xludf.DUMMYFUNCTION("""COMPUTED_VALUE"""),0.0)</f>
        <v>0</v>
      </c>
      <c r="C305" s="2">
        <f>IFERROR(__xludf.DUMMYFUNCTION("""COMPUTED_VALUE"""),722.0)</f>
        <v>722</v>
      </c>
      <c r="D305" s="3">
        <f>IFERROR(__xludf.DUMMYFUNCTION("""COMPUTED_VALUE"""),165.0)</f>
        <v>165</v>
      </c>
      <c r="E305" s="2"/>
      <c r="F305" s="2"/>
    </row>
    <row r="306">
      <c r="A306" s="2">
        <f>IFERROR(__xludf.DUMMYFUNCTION("""COMPUTED_VALUE"""),79366.0)</f>
        <v>79366</v>
      </c>
      <c r="B306" s="2">
        <f>IFERROR(__xludf.DUMMYFUNCTION("""COMPUTED_VALUE"""),0.0)</f>
        <v>0</v>
      </c>
      <c r="C306" s="2">
        <f>IFERROR(__xludf.DUMMYFUNCTION("""COMPUTED_VALUE"""),698.0)</f>
        <v>698</v>
      </c>
      <c r="D306" s="3">
        <f>IFERROR(__xludf.DUMMYFUNCTION("""COMPUTED_VALUE"""),175.0)</f>
        <v>175</v>
      </c>
      <c r="E306" s="2"/>
      <c r="F306" s="2"/>
    </row>
    <row r="307">
      <c r="A307" s="2">
        <f>IFERROR(__xludf.DUMMYFUNCTION("""COMPUTED_VALUE"""),160754.0)</f>
        <v>160754</v>
      </c>
      <c r="B307" s="2">
        <f>IFERROR(__xludf.DUMMYFUNCTION("""COMPUTED_VALUE"""),1.0)</f>
        <v>1</v>
      </c>
      <c r="C307" s="2">
        <f>IFERROR(__xludf.DUMMYFUNCTION("""COMPUTED_VALUE"""),797.0)</f>
        <v>797</v>
      </c>
      <c r="D307" s="3">
        <f>IFERROR(__xludf.DUMMYFUNCTION("""COMPUTED_VALUE"""),744.0)</f>
        <v>744</v>
      </c>
      <c r="E307" s="2"/>
      <c r="F307" s="2"/>
    </row>
    <row r="308">
      <c r="A308" s="2">
        <f>IFERROR(__xludf.DUMMYFUNCTION("""COMPUTED_VALUE"""),100038.0)</f>
        <v>100038</v>
      </c>
      <c r="B308" s="2">
        <f>IFERROR(__xludf.DUMMYFUNCTION("""COMPUTED_VALUE"""),0.0)</f>
        <v>0</v>
      </c>
      <c r="C308" s="2">
        <f>IFERROR(__xludf.DUMMYFUNCTION("""COMPUTED_VALUE"""),772.0)</f>
        <v>772</v>
      </c>
      <c r="D308" s="3">
        <f>IFERROR(__xludf.DUMMYFUNCTION("""COMPUTED_VALUE"""),265.0)</f>
        <v>265</v>
      </c>
      <c r="E308" s="2"/>
      <c r="F308" s="2"/>
    </row>
    <row r="309">
      <c r="A309" s="2">
        <f>IFERROR(__xludf.DUMMYFUNCTION("""COMPUTED_VALUE"""),100035.0)</f>
        <v>100035</v>
      </c>
      <c r="B309" s="2">
        <f>IFERROR(__xludf.DUMMYFUNCTION("""COMPUTED_VALUE"""),1.0)</f>
        <v>1</v>
      </c>
      <c r="C309" s="2">
        <f>IFERROR(__xludf.DUMMYFUNCTION("""COMPUTED_VALUE"""),851.0)</f>
        <v>851</v>
      </c>
      <c r="D309" s="3">
        <f>IFERROR(__xludf.DUMMYFUNCTION("""COMPUTED_VALUE"""),435.0)</f>
        <v>435</v>
      </c>
      <c r="E309" s="2"/>
      <c r="F309" s="2"/>
    </row>
    <row r="310">
      <c r="A310" s="2">
        <f>IFERROR(__xludf.DUMMYFUNCTION("""COMPUTED_VALUE"""),29654.0)</f>
        <v>29654</v>
      </c>
      <c r="B310" s="2">
        <f>IFERROR(__xludf.DUMMYFUNCTION("""COMPUTED_VALUE"""),0.0)</f>
        <v>0</v>
      </c>
      <c r="C310" s="2">
        <f>IFERROR(__xludf.DUMMYFUNCTION("""COMPUTED_VALUE"""),53.0)</f>
        <v>53</v>
      </c>
      <c r="D310" s="3">
        <f>IFERROR(__xludf.DUMMYFUNCTION("""COMPUTED_VALUE"""),24.0)</f>
        <v>24</v>
      </c>
      <c r="E310" s="2"/>
      <c r="F310" s="2"/>
    </row>
    <row r="311">
      <c r="A311" s="2">
        <f>IFERROR(__xludf.DUMMYFUNCTION("""COMPUTED_VALUE"""),107804.0)</f>
        <v>107804</v>
      </c>
      <c r="B311" s="2">
        <f>IFERROR(__xludf.DUMMYFUNCTION("""COMPUTED_VALUE"""),1.0)</f>
        <v>1</v>
      </c>
      <c r="C311" s="2">
        <f>IFERROR(__xludf.DUMMYFUNCTION("""COMPUTED_VALUE"""),338.0)</f>
        <v>338</v>
      </c>
      <c r="D311" s="3">
        <f>IFERROR(__xludf.DUMMYFUNCTION("""COMPUTED_VALUE"""),181.0)</f>
        <v>181</v>
      </c>
      <c r="E311" s="2"/>
      <c r="F311" s="2"/>
    </row>
    <row r="312">
      <c r="A312" s="2">
        <f>IFERROR(__xludf.DUMMYFUNCTION("""COMPUTED_VALUE"""),75809.0)</f>
        <v>75809</v>
      </c>
      <c r="B312" s="2">
        <f>IFERROR(__xludf.DUMMYFUNCTION("""COMPUTED_VALUE"""),1.0)</f>
        <v>1</v>
      </c>
      <c r="C312" s="2">
        <f>IFERROR(__xludf.DUMMYFUNCTION("""COMPUTED_VALUE"""),988.0)</f>
        <v>988</v>
      </c>
      <c r="D312" s="3">
        <f>IFERROR(__xludf.DUMMYFUNCTION("""COMPUTED_VALUE"""),42.0)</f>
        <v>42</v>
      </c>
      <c r="E312" s="2"/>
      <c r="F312" s="2"/>
    </row>
    <row r="313">
      <c r="A313" s="2">
        <f>IFERROR(__xludf.DUMMYFUNCTION("""COMPUTED_VALUE"""),128325.0)</f>
        <v>128325</v>
      </c>
      <c r="B313" s="2">
        <f>IFERROR(__xludf.DUMMYFUNCTION("""COMPUTED_VALUE"""),1.0)</f>
        <v>1</v>
      </c>
      <c r="C313" s="2">
        <f>IFERROR(__xludf.DUMMYFUNCTION("""COMPUTED_VALUE"""),869.0)</f>
        <v>869</v>
      </c>
      <c r="D313" s="3">
        <f>IFERROR(__xludf.DUMMYFUNCTION("""COMPUTED_VALUE"""),485.0)</f>
        <v>485</v>
      </c>
      <c r="E313" s="2"/>
      <c r="F313" s="2"/>
    </row>
    <row r="314">
      <c r="A314" s="2">
        <f>IFERROR(__xludf.DUMMYFUNCTION("""COMPUTED_VALUE"""),110072.0)</f>
        <v>110072</v>
      </c>
      <c r="B314" s="2">
        <f>IFERROR(__xludf.DUMMYFUNCTION("""COMPUTED_VALUE"""),1.0)</f>
        <v>1</v>
      </c>
      <c r="C314" s="2">
        <f>IFERROR(__xludf.DUMMYFUNCTION("""COMPUTED_VALUE"""),120.0)</f>
        <v>120</v>
      </c>
      <c r="D314" s="3">
        <f>IFERROR(__xludf.DUMMYFUNCTION("""COMPUTED_VALUE"""),83.0)</f>
        <v>83</v>
      </c>
      <c r="E314" s="2"/>
      <c r="F314" s="2"/>
    </row>
    <row r="315">
      <c r="A315" s="2">
        <f>IFERROR(__xludf.DUMMYFUNCTION("""COMPUTED_VALUE"""),93814.0)</f>
        <v>93814</v>
      </c>
      <c r="B315" s="2">
        <f>IFERROR(__xludf.DUMMYFUNCTION("""COMPUTED_VALUE"""),1.0)</f>
        <v>1</v>
      </c>
      <c r="C315" s="2">
        <f>IFERROR(__xludf.DUMMYFUNCTION("""COMPUTED_VALUE"""),712.0)</f>
        <v>712</v>
      </c>
      <c r="D315" s="3">
        <f>IFERROR(__xludf.DUMMYFUNCTION("""COMPUTED_VALUE"""),494.0)</f>
        <v>494</v>
      </c>
      <c r="E315" s="2"/>
      <c r="F315" s="2"/>
    </row>
    <row r="316">
      <c r="A316" s="2">
        <f>IFERROR(__xludf.DUMMYFUNCTION("""COMPUTED_VALUE"""),128326.0)</f>
        <v>128326</v>
      </c>
      <c r="B316" s="2">
        <f>IFERROR(__xludf.DUMMYFUNCTION("""COMPUTED_VALUE"""),0.0)</f>
        <v>0</v>
      </c>
      <c r="C316" s="2">
        <f>IFERROR(__xludf.DUMMYFUNCTION("""COMPUTED_VALUE"""),918.0)</f>
        <v>918</v>
      </c>
      <c r="D316" s="3">
        <f>IFERROR(__xludf.DUMMYFUNCTION("""COMPUTED_VALUE"""),94.0)</f>
        <v>94</v>
      </c>
      <c r="E316" s="2"/>
      <c r="F316" s="2"/>
    </row>
    <row r="317">
      <c r="A317" s="2">
        <f>IFERROR(__xludf.DUMMYFUNCTION("""COMPUTED_VALUE"""),48510.0)</f>
        <v>48510</v>
      </c>
      <c r="B317" s="2">
        <f>IFERROR(__xludf.DUMMYFUNCTION("""COMPUTED_VALUE"""),0.0)</f>
        <v>0</v>
      </c>
      <c r="C317" s="2">
        <f>IFERROR(__xludf.DUMMYFUNCTION("""COMPUTED_VALUE"""),934.0)</f>
        <v>934</v>
      </c>
      <c r="D317" s="3">
        <f>IFERROR(__xludf.DUMMYFUNCTION("""COMPUTED_VALUE"""),614.0)</f>
        <v>614</v>
      </c>
      <c r="E317" s="2"/>
      <c r="F317" s="2"/>
    </row>
    <row r="318">
      <c r="A318" s="2">
        <f>IFERROR(__xludf.DUMMYFUNCTION("""COMPUTED_VALUE"""),82463.0)</f>
        <v>82463</v>
      </c>
      <c r="B318" s="2">
        <f>IFERROR(__xludf.DUMMYFUNCTION("""COMPUTED_VALUE"""),1.0)</f>
        <v>1</v>
      </c>
      <c r="C318" s="2">
        <f>IFERROR(__xludf.DUMMYFUNCTION("""COMPUTED_VALUE"""),503.0)</f>
        <v>503</v>
      </c>
      <c r="D318" s="3">
        <f>IFERROR(__xludf.DUMMYFUNCTION("""COMPUTED_VALUE"""),200.0)</f>
        <v>200</v>
      </c>
      <c r="E318" s="2"/>
      <c r="F318" s="2"/>
    </row>
    <row r="319">
      <c r="A319" s="2">
        <f>IFERROR(__xludf.DUMMYFUNCTION("""COMPUTED_VALUE"""),82462.0)</f>
        <v>82462</v>
      </c>
      <c r="B319" s="2">
        <f>IFERROR(__xludf.DUMMYFUNCTION("""COMPUTED_VALUE"""),1.0)</f>
        <v>1</v>
      </c>
      <c r="C319" s="2">
        <f>IFERROR(__xludf.DUMMYFUNCTION("""COMPUTED_VALUE"""),128.0)</f>
        <v>128</v>
      </c>
      <c r="D319" s="3">
        <f>IFERROR(__xludf.DUMMYFUNCTION("""COMPUTED_VALUE"""),60.0)</f>
        <v>60</v>
      </c>
      <c r="E319" s="2"/>
      <c r="F319" s="2"/>
    </row>
    <row r="320">
      <c r="A320" s="2">
        <f>IFERROR(__xludf.DUMMYFUNCTION("""COMPUTED_VALUE"""),110635.0)</f>
        <v>110635</v>
      </c>
      <c r="B320" s="2">
        <f>IFERROR(__xludf.DUMMYFUNCTION("""COMPUTED_VALUE"""),0.0)</f>
        <v>0</v>
      </c>
      <c r="C320" s="2">
        <f>IFERROR(__xludf.DUMMYFUNCTION("""COMPUTED_VALUE"""),651.0)</f>
        <v>651</v>
      </c>
      <c r="D320" s="3">
        <f>IFERROR(__xludf.DUMMYFUNCTION("""COMPUTED_VALUE"""),54.0)</f>
        <v>54</v>
      </c>
      <c r="E320" s="2"/>
      <c r="F320" s="2"/>
    </row>
    <row r="321">
      <c r="A321" s="2">
        <f>IFERROR(__xludf.DUMMYFUNCTION("""COMPUTED_VALUE"""),82464.0)</f>
        <v>82464</v>
      </c>
      <c r="B321" s="2">
        <f>IFERROR(__xludf.DUMMYFUNCTION("""COMPUTED_VALUE"""),1.0)</f>
        <v>1</v>
      </c>
      <c r="C321" s="2">
        <f>IFERROR(__xludf.DUMMYFUNCTION("""COMPUTED_VALUE"""),207.0)</f>
        <v>207</v>
      </c>
      <c r="D321" s="3">
        <f>IFERROR(__xludf.DUMMYFUNCTION("""COMPUTED_VALUE"""),157.0)</f>
        <v>157</v>
      </c>
      <c r="E321" s="2"/>
      <c r="F321" s="2"/>
    </row>
    <row r="322">
      <c r="A322" s="2">
        <f>IFERROR(__xludf.DUMMYFUNCTION("""COMPUTED_VALUE"""),129133.0)</f>
        <v>129133</v>
      </c>
      <c r="B322" s="2">
        <f>IFERROR(__xludf.DUMMYFUNCTION("""COMPUTED_VALUE"""),0.0)</f>
        <v>0</v>
      </c>
      <c r="C322" s="2">
        <f>IFERROR(__xludf.DUMMYFUNCTION("""COMPUTED_VALUE"""),844.0)</f>
        <v>844</v>
      </c>
      <c r="D322" s="3">
        <f>IFERROR(__xludf.DUMMYFUNCTION("""COMPUTED_VALUE"""),236.0)</f>
        <v>236</v>
      </c>
      <c r="E322" s="2"/>
      <c r="F322" s="2"/>
    </row>
    <row r="323">
      <c r="A323" s="2">
        <f>IFERROR(__xludf.DUMMYFUNCTION("""COMPUTED_VALUE"""),195081.0)</f>
        <v>195081</v>
      </c>
      <c r="B323" s="2">
        <f>IFERROR(__xludf.DUMMYFUNCTION("""COMPUTED_VALUE"""),1.0)</f>
        <v>1</v>
      </c>
      <c r="C323" s="2">
        <f>IFERROR(__xludf.DUMMYFUNCTION("""COMPUTED_VALUE"""),510.0)</f>
        <v>510</v>
      </c>
      <c r="D323" s="3">
        <f>IFERROR(__xludf.DUMMYFUNCTION("""COMPUTED_VALUE"""),458.0)</f>
        <v>458</v>
      </c>
      <c r="E323" s="2"/>
      <c r="F323" s="2"/>
    </row>
    <row r="324">
      <c r="A324" s="2">
        <f>IFERROR(__xludf.DUMMYFUNCTION("""COMPUTED_VALUE"""),92669.0)</f>
        <v>92669</v>
      </c>
      <c r="B324" s="2">
        <f>IFERROR(__xludf.DUMMYFUNCTION("""COMPUTED_VALUE"""),0.0)</f>
        <v>0</v>
      </c>
      <c r="C324" s="2">
        <f>IFERROR(__xludf.DUMMYFUNCTION("""COMPUTED_VALUE"""),12.0)</f>
        <v>12</v>
      </c>
      <c r="D324" s="3">
        <f>IFERROR(__xludf.DUMMYFUNCTION("""COMPUTED_VALUE"""),12.0)</f>
        <v>12</v>
      </c>
      <c r="E324" s="2"/>
      <c r="F324" s="2"/>
    </row>
    <row r="325">
      <c r="A325" s="2">
        <f>IFERROR(__xludf.DUMMYFUNCTION("""COMPUTED_VALUE"""),122089.0)</f>
        <v>122089</v>
      </c>
      <c r="B325" s="2">
        <f>IFERROR(__xludf.DUMMYFUNCTION("""COMPUTED_VALUE"""),1.0)</f>
        <v>1</v>
      </c>
      <c r="C325" s="2">
        <f>IFERROR(__xludf.DUMMYFUNCTION("""COMPUTED_VALUE"""),779.0)</f>
        <v>779</v>
      </c>
      <c r="D325" s="3">
        <f>IFERROR(__xludf.DUMMYFUNCTION("""COMPUTED_VALUE"""),6.0)</f>
        <v>6</v>
      </c>
      <c r="E325" s="2"/>
      <c r="F325" s="2"/>
    </row>
    <row r="326">
      <c r="A326" s="2">
        <f>IFERROR(__xludf.DUMMYFUNCTION("""COMPUTED_VALUE"""),95927.0)</f>
        <v>95927</v>
      </c>
      <c r="B326" s="2">
        <f>IFERROR(__xludf.DUMMYFUNCTION("""COMPUTED_VALUE"""),1.0)</f>
        <v>1</v>
      </c>
      <c r="C326" s="2">
        <f>IFERROR(__xludf.DUMMYFUNCTION("""COMPUTED_VALUE"""),464.0)</f>
        <v>464</v>
      </c>
      <c r="D326" s="3">
        <f>IFERROR(__xludf.DUMMYFUNCTION("""COMPUTED_VALUE"""),158.0)</f>
        <v>158</v>
      </c>
      <c r="E326" s="2"/>
      <c r="F326" s="2"/>
    </row>
    <row r="327">
      <c r="A327" s="2">
        <f>IFERROR(__xludf.DUMMYFUNCTION("""COMPUTED_VALUE"""),160756.0)</f>
        <v>160756</v>
      </c>
      <c r="B327" s="2">
        <f>IFERROR(__xludf.DUMMYFUNCTION("""COMPUTED_VALUE"""),1.0)</f>
        <v>1</v>
      </c>
      <c r="C327" s="2">
        <f>IFERROR(__xludf.DUMMYFUNCTION("""COMPUTED_VALUE"""),763.0)</f>
        <v>763</v>
      </c>
      <c r="D327" s="3">
        <f>IFERROR(__xludf.DUMMYFUNCTION("""COMPUTED_VALUE"""),308.0)</f>
        <v>308</v>
      </c>
      <c r="E327" s="2"/>
      <c r="F327" s="2"/>
    </row>
    <row r="328">
      <c r="A328" s="2">
        <f>IFERROR(__xludf.DUMMYFUNCTION("""COMPUTED_VALUE"""),147267.0)</f>
        <v>147267</v>
      </c>
      <c r="B328" s="2">
        <f>IFERROR(__xludf.DUMMYFUNCTION("""COMPUTED_VALUE"""),1.0)</f>
        <v>1</v>
      </c>
      <c r="C328" s="2">
        <f>IFERROR(__xludf.DUMMYFUNCTION("""COMPUTED_VALUE"""),564.0)</f>
        <v>564</v>
      </c>
      <c r="D328" s="3">
        <f>IFERROR(__xludf.DUMMYFUNCTION("""COMPUTED_VALUE"""),417.0)</f>
        <v>417</v>
      </c>
      <c r="E328" s="2"/>
      <c r="F328" s="2"/>
    </row>
    <row r="329">
      <c r="A329" s="2">
        <f>IFERROR(__xludf.DUMMYFUNCTION("""COMPUTED_VALUE"""),160747.0)</f>
        <v>160747</v>
      </c>
      <c r="B329" s="2">
        <f>IFERROR(__xludf.DUMMYFUNCTION("""COMPUTED_VALUE"""),0.0)</f>
        <v>0</v>
      </c>
      <c r="C329" s="2">
        <f>IFERROR(__xludf.DUMMYFUNCTION("""COMPUTED_VALUE"""),915.0)</f>
        <v>915</v>
      </c>
      <c r="D329" s="3">
        <f>IFERROR(__xludf.DUMMYFUNCTION("""COMPUTED_VALUE"""),889.0)</f>
        <v>889</v>
      </c>
      <c r="E329" s="2"/>
      <c r="F329" s="2"/>
    </row>
    <row r="330">
      <c r="A330" s="2">
        <f>IFERROR(__xludf.DUMMYFUNCTION("""COMPUTED_VALUE"""),79365.0)</f>
        <v>79365</v>
      </c>
      <c r="B330" s="2">
        <f>IFERROR(__xludf.DUMMYFUNCTION("""COMPUTED_VALUE"""),1.0)</f>
        <v>1</v>
      </c>
      <c r="C330" s="2">
        <f>IFERROR(__xludf.DUMMYFUNCTION("""COMPUTED_VALUE"""),161.0)</f>
        <v>161</v>
      </c>
      <c r="D330" s="3">
        <f>IFERROR(__xludf.DUMMYFUNCTION("""COMPUTED_VALUE"""),82.0)</f>
        <v>82</v>
      </c>
      <c r="E330" s="2"/>
      <c r="F330" s="2"/>
    </row>
    <row r="331">
      <c r="A331" s="2">
        <f>IFERROR(__xludf.DUMMYFUNCTION("""COMPUTED_VALUE"""),110633.0)</f>
        <v>110633</v>
      </c>
      <c r="B331" s="2">
        <f>IFERROR(__xludf.DUMMYFUNCTION("""COMPUTED_VALUE"""),1.0)</f>
        <v>1</v>
      </c>
      <c r="C331" s="2">
        <f>IFERROR(__xludf.DUMMYFUNCTION("""COMPUTED_VALUE"""),325.0)</f>
        <v>325</v>
      </c>
      <c r="D331" s="3">
        <f>IFERROR(__xludf.DUMMYFUNCTION("""COMPUTED_VALUE"""),139.0)</f>
        <v>139</v>
      </c>
      <c r="E331" s="2"/>
      <c r="F331" s="2"/>
    </row>
    <row r="332">
      <c r="A332" s="2">
        <f>IFERROR(__xludf.DUMMYFUNCTION("""COMPUTED_VALUE"""),160750.0)</f>
        <v>160750</v>
      </c>
      <c r="B332" s="2">
        <f>IFERROR(__xludf.DUMMYFUNCTION("""COMPUTED_VALUE"""),0.0)</f>
        <v>0</v>
      </c>
      <c r="C332" s="2">
        <f>IFERROR(__xludf.DUMMYFUNCTION("""COMPUTED_VALUE"""),585.0)</f>
        <v>585</v>
      </c>
      <c r="D332" s="3">
        <f>IFERROR(__xludf.DUMMYFUNCTION("""COMPUTED_VALUE"""),280.0)</f>
        <v>280</v>
      </c>
      <c r="E332" s="2"/>
      <c r="F332" s="2"/>
    </row>
    <row r="333">
      <c r="A333" s="2">
        <f>IFERROR(__xludf.DUMMYFUNCTION("""COMPUTED_VALUE"""),128332.0)</f>
        <v>128332</v>
      </c>
      <c r="B333" s="2">
        <f>IFERROR(__xludf.DUMMYFUNCTION("""COMPUTED_VALUE"""),1.0)</f>
        <v>1</v>
      </c>
      <c r="C333" s="2">
        <f>IFERROR(__xludf.DUMMYFUNCTION("""COMPUTED_VALUE"""),191.0)</f>
        <v>191</v>
      </c>
      <c r="D333" s="3">
        <f>IFERROR(__xludf.DUMMYFUNCTION("""COMPUTED_VALUE"""),173.0)</f>
        <v>173</v>
      </c>
      <c r="E333" s="2"/>
      <c r="F333" s="2"/>
    </row>
    <row r="334">
      <c r="A334" s="2">
        <f>IFERROR(__xludf.DUMMYFUNCTION("""COMPUTED_VALUE"""),200354.0)</f>
        <v>200354</v>
      </c>
      <c r="B334" s="2">
        <f>IFERROR(__xludf.DUMMYFUNCTION("""COMPUTED_VALUE"""),1.0)</f>
        <v>1</v>
      </c>
      <c r="C334" s="2">
        <f>IFERROR(__xludf.DUMMYFUNCTION("""COMPUTED_VALUE"""),354.0)</f>
        <v>354</v>
      </c>
      <c r="D334" s="3">
        <f>IFERROR(__xludf.DUMMYFUNCTION("""COMPUTED_VALUE"""),317.0)</f>
        <v>317</v>
      </c>
      <c r="E334" s="2"/>
      <c r="F334" s="2"/>
    </row>
    <row r="335">
      <c r="A335" s="2">
        <f>IFERROR(__xludf.DUMMYFUNCTION("""COMPUTED_VALUE"""),100042.0)</f>
        <v>100042</v>
      </c>
      <c r="B335" s="2">
        <f>IFERROR(__xludf.DUMMYFUNCTION("""COMPUTED_VALUE"""),0.0)</f>
        <v>0</v>
      </c>
      <c r="C335" s="2">
        <f>IFERROR(__xludf.DUMMYFUNCTION("""COMPUTED_VALUE"""),437.0)</f>
        <v>437</v>
      </c>
      <c r="D335" s="3">
        <f>IFERROR(__xludf.DUMMYFUNCTION("""COMPUTED_VALUE"""),57.0)</f>
        <v>57</v>
      </c>
      <c r="E335" s="2"/>
      <c r="F335" s="2"/>
    </row>
    <row r="336">
      <c r="A336" s="2">
        <f>IFERROR(__xludf.DUMMYFUNCTION("""COMPUTED_VALUE"""),122446.0)</f>
        <v>122446</v>
      </c>
      <c r="B336" s="2">
        <f>IFERROR(__xludf.DUMMYFUNCTION("""COMPUTED_VALUE"""),1.0)</f>
        <v>1</v>
      </c>
      <c r="C336" s="2">
        <f>IFERROR(__xludf.DUMMYFUNCTION("""COMPUTED_VALUE"""),529.0)</f>
        <v>529</v>
      </c>
      <c r="D336" s="3">
        <f>IFERROR(__xludf.DUMMYFUNCTION("""COMPUTED_VALUE"""),177.0)</f>
        <v>177</v>
      </c>
      <c r="E336" s="2"/>
      <c r="F336" s="2"/>
    </row>
    <row r="337">
      <c r="A337" s="2">
        <f>IFERROR(__xludf.DUMMYFUNCTION("""COMPUTED_VALUE"""),160761.0)</f>
        <v>160761</v>
      </c>
      <c r="B337" s="2">
        <f>IFERROR(__xludf.DUMMYFUNCTION("""COMPUTED_VALUE"""),1.0)</f>
        <v>1</v>
      </c>
      <c r="C337" s="2">
        <f>IFERROR(__xludf.DUMMYFUNCTION("""COMPUTED_VALUE"""),484.0)</f>
        <v>484</v>
      </c>
      <c r="D337" s="3">
        <f>IFERROR(__xludf.DUMMYFUNCTION("""COMPUTED_VALUE"""),393.0)</f>
        <v>393</v>
      </c>
      <c r="E337" s="2"/>
      <c r="F337" s="2"/>
    </row>
    <row r="338">
      <c r="A338" s="2">
        <f>IFERROR(__xludf.DUMMYFUNCTION("""COMPUTED_VALUE"""),89503.0)</f>
        <v>89503</v>
      </c>
      <c r="B338" s="2">
        <f>IFERROR(__xludf.DUMMYFUNCTION("""COMPUTED_VALUE"""),0.0)</f>
        <v>0</v>
      </c>
      <c r="C338" s="2">
        <f>IFERROR(__xludf.DUMMYFUNCTION("""COMPUTED_VALUE"""),844.0)</f>
        <v>844</v>
      </c>
      <c r="D338" s="3">
        <f>IFERROR(__xludf.DUMMYFUNCTION("""COMPUTED_VALUE"""),680.0)</f>
        <v>680</v>
      </c>
      <c r="E338" s="2"/>
      <c r="F338" s="2"/>
    </row>
    <row r="339">
      <c r="A339" s="2">
        <f>IFERROR(__xludf.DUMMYFUNCTION("""COMPUTED_VALUE"""),160744.0)</f>
        <v>160744</v>
      </c>
      <c r="B339" s="2">
        <f>IFERROR(__xludf.DUMMYFUNCTION("""COMPUTED_VALUE"""),1.0)</f>
        <v>1</v>
      </c>
      <c r="C339" s="2">
        <f>IFERROR(__xludf.DUMMYFUNCTION("""COMPUTED_VALUE"""),397.0)</f>
        <v>397</v>
      </c>
      <c r="D339" s="3">
        <f>IFERROR(__xludf.DUMMYFUNCTION("""COMPUTED_VALUE"""),321.0)</f>
        <v>321</v>
      </c>
      <c r="E339" s="2"/>
      <c r="F339" s="2"/>
    </row>
    <row r="340">
      <c r="A340" s="2">
        <f>IFERROR(__xludf.DUMMYFUNCTION("""COMPUTED_VALUE"""),111590.0)</f>
        <v>111590</v>
      </c>
      <c r="B340" s="2">
        <f>IFERROR(__xludf.DUMMYFUNCTION("""COMPUTED_VALUE"""),1.0)</f>
        <v>1</v>
      </c>
      <c r="C340" s="2">
        <f>IFERROR(__xludf.DUMMYFUNCTION("""COMPUTED_VALUE"""),35.0)</f>
        <v>35</v>
      </c>
      <c r="D340" s="3">
        <f>IFERROR(__xludf.DUMMYFUNCTION("""COMPUTED_VALUE"""),14.0)</f>
        <v>14</v>
      </c>
      <c r="E340" s="2"/>
      <c r="F340" s="2"/>
    </row>
    <row r="341">
      <c r="A341" s="2">
        <f>IFERROR(__xludf.DUMMYFUNCTION("""COMPUTED_VALUE"""),110070.0)</f>
        <v>110070</v>
      </c>
      <c r="B341" s="2">
        <f>IFERROR(__xludf.DUMMYFUNCTION("""COMPUTED_VALUE"""),0.0)</f>
        <v>0</v>
      </c>
      <c r="C341" s="2">
        <f>IFERROR(__xludf.DUMMYFUNCTION("""COMPUTED_VALUE"""),529.0)</f>
        <v>529</v>
      </c>
      <c r="D341" s="3">
        <f>IFERROR(__xludf.DUMMYFUNCTION("""COMPUTED_VALUE"""),399.0)</f>
        <v>399</v>
      </c>
      <c r="E341" s="2"/>
      <c r="F341" s="2"/>
    </row>
    <row r="342">
      <c r="A342" s="2">
        <f>IFERROR(__xludf.DUMMYFUNCTION("""COMPUTED_VALUE"""),101005.0)</f>
        <v>101005</v>
      </c>
      <c r="B342" s="2">
        <f>IFERROR(__xludf.DUMMYFUNCTION("""COMPUTED_VALUE"""),1.0)</f>
        <v>1</v>
      </c>
      <c r="C342" s="2">
        <f>IFERROR(__xludf.DUMMYFUNCTION("""COMPUTED_VALUE"""),812.0)</f>
        <v>812</v>
      </c>
      <c r="D342" s="3">
        <f>IFERROR(__xludf.DUMMYFUNCTION("""COMPUTED_VALUE"""),332.0)</f>
        <v>332</v>
      </c>
      <c r="E342" s="2"/>
      <c r="F342" s="2"/>
    </row>
    <row r="343">
      <c r="A343" s="2">
        <f>IFERROR(__xludf.DUMMYFUNCTION("""COMPUTED_VALUE"""),160745.0)</f>
        <v>160745</v>
      </c>
      <c r="B343" s="2">
        <f>IFERROR(__xludf.DUMMYFUNCTION("""COMPUTED_VALUE"""),0.0)</f>
        <v>0</v>
      </c>
      <c r="C343" s="2">
        <f>IFERROR(__xludf.DUMMYFUNCTION("""COMPUTED_VALUE"""),158.0)</f>
        <v>158</v>
      </c>
      <c r="D343" s="3">
        <f>IFERROR(__xludf.DUMMYFUNCTION("""COMPUTED_VALUE"""),113.0)</f>
        <v>113</v>
      </c>
      <c r="E343" s="2"/>
      <c r="F343" s="2"/>
    </row>
    <row r="344">
      <c r="A344" s="2">
        <f>IFERROR(__xludf.DUMMYFUNCTION("""COMPUTED_VALUE"""),23073.0)</f>
        <v>23073</v>
      </c>
      <c r="B344" s="2">
        <f>IFERROR(__xludf.DUMMYFUNCTION("""COMPUTED_VALUE"""),1.0)</f>
        <v>1</v>
      </c>
      <c r="C344" s="2">
        <f>IFERROR(__xludf.DUMMYFUNCTION("""COMPUTED_VALUE"""),335.0)</f>
        <v>335</v>
      </c>
      <c r="D344" s="3">
        <f>IFERROR(__xludf.DUMMYFUNCTION("""COMPUTED_VALUE"""),84.0)</f>
        <v>84</v>
      </c>
      <c r="E344" s="2"/>
      <c r="F344" s="2"/>
    </row>
    <row r="345">
      <c r="A345" s="2">
        <f>IFERROR(__xludf.DUMMYFUNCTION("""COMPUTED_VALUE"""),70064.0)</f>
        <v>70064</v>
      </c>
      <c r="B345" s="2">
        <f>IFERROR(__xludf.DUMMYFUNCTION("""COMPUTED_VALUE"""),0.0)</f>
        <v>0</v>
      </c>
      <c r="C345" s="2">
        <f>IFERROR(__xludf.DUMMYFUNCTION("""COMPUTED_VALUE"""),782.0)</f>
        <v>782</v>
      </c>
      <c r="D345" s="3">
        <f>IFERROR(__xludf.DUMMYFUNCTION("""COMPUTED_VALUE"""),251.0)</f>
        <v>251</v>
      </c>
      <c r="E345" s="2"/>
      <c r="F345" s="2"/>
    </row>
    <row r="346">
      <c r="A346" s="2">
        <f>IFERROR(__xludf.DUMMYFUNCTION("""COMPUTED_VALUE"""),129135.0)</f>
        <v>129135</v>
      </c>
      <c r="B346" s="2">
        <f>IFERROR(__xludf.DUMMYFUNCTION("""COMPUTED_VALUE"""),1.0)</f>
        <v>1</v>
      </c>
      <c r="C346" s="2">
        <f>IFERROR(__xludf.DUMMYFUNCTION("""COMPUTED_VALUE"""),941.0)</f>
        <v>941</v>
      </c>
      <c r="D346" s="3">
        <f>IFERROR(__xludf.DUMMYFUNCTION("""COMPUTED_VALUE"""),527.0)</f>
        <v>527</v>
      </c>
      <c r="E346" s="2"/>
      <c r="F346" s="2"/>
    </row>
    <row r="347">
      <c r="A347" s="2">
        <f>IFERROR(__xludf.DUMMYFUNCTION("""COMPUTED_VALUE"""),104440.0)</f>
        <v>104440</v>
      </c>
      <c r="B347" s="2">
        <f>IFERROR(__xludf.DUMMYFUNCTION("""COMPUTED_VALUE"""),0.0)</f>
        <v>0</v>
      </c>
      <c r="C347" s="2">
        <f>IFERROR(__xludf.DUMMYFUNCTION("""COMPUTED_VALUE"""),912.0)</f>
        <v>912</v>
      </c>
      <c r="D347" s="3">
        <f>IFERROR(__xludf.DUMMYFUNCTION("""COMPUTED_VALUE"""),225.0)</f>
        <v>225</v>
      </c>
      <c r="E347" s="2"/>
      <c r="F347" s="2"/>
    </row>
    <row r="348">
      <c r="A348" s="2">
        <f>IFERROR(__xludf.DUMMYFUNCTION("""COMPUTED_VALUE"""),70063.0)</f>
        <v>70063</v>
      </c>
      <c r="B348" s="2">
        <f>IFERROR(__xludf.DUMMYFUNCTION("""COMPUTED_VALUE"""),1.0)</f>
        <v>1</v>
      </c>
      <c r="C348" s="2">
        <f>IFERROR(__xludf.DUMMYFUNCTION("""COMPUTED_VALUE"""),346.0)</f>
        <v>346</v>
      </c>
      <c r="D348" s="3">
        <f>IFERROR(__xludf.DUMMYFUNCTION("""COMPUTED_VALUE"""),246.0)</f>
        <v>246</v>
      </c>
      <c r="E348" s="2"/>
      <c r="F348" s="2"/>
    </row>
    <row r="349">
      <c r="A349" s="2">
        <f>IFERROR(__xludf.DUMMYFUNCTION("""COMPUTED_VALUE"""),160748.0)</f>
        <v>160748</v>
      </c>
      <c r="B349" s="2">
        <f>IFERROR(__xludf.DUMMYFUNCTION("""COMPUTED_VALUE"""),1.0)</f>
        <v>1</v>
      </c>
      <c r="C349" s="2">
        <f>IFERROR(__xludf.DUMMYFUNCTION("""COMPUTED_VALUE"""),568.0)</f>
        <v>568</v>
      </c>
      <c r="D349" s="3">
        <f>IFERROR(__xludf.DUMMYFUNCTION("""COMPUTED_VALUE"""),292.0)</f>
        <v>292</v>
      </c>
      <c r="E349" s="2"/>
      <c r="F349" s="2"/>
    </row>
    <row r="350">
      <c r="A350" s="2">
        <f>IFERROR(__xludf.DUMMYFUNCTION("""COMPUTED_VALUE"""),181242.0)</f>
        <v>181242</v>
      </c>
      <c r="B350" s="2">
        <f>IFERROR(__xludf.DUMMYFUNCTION("""COMPUTED_VALUE"""),0.0)</f>
        <v>0</v>
      </c>
      <c r="C350" s="2">
        <f>IFERROR(__xludf.DUMMYFUNCTION("""COMPUTED_VALUE"""),710.0)</f>
        <v>710</v>
      </c>
      <c r="D350" s="3">
        <f>IFERROR(__xludf.DUMMYFUNCTION("""COMPUTED_VALUE"""),703.0)</f>
        <v>703</v>
      </c>
      <c r="E350" s="2"/>
      <c r="F350" s="2"/>
    </row>
    <row r="351">
      <c r="A351" s="2">
        <f>IFERROR(__xludf.DUMMYFUNCTION("""COMPUTED_VALUE"""),200323.0)</f>
        <v>200323</v>
      </c>
      <c r="B351" s="2">
        <f>IFERROR(__xludf.DUMMYFUNCTION("""COMPUTED_VALUE"""),1.0)</f>
        <v>1</v>
      </c>
      <c r="C351" s="2">
        <f>IFERROR(__xludf.DUMMYFUNCTION("""COMPUTED_VALUE"""),464.0)</f>
        <v>464</v>
      </c>
      <c r="D351" s="3">
        <f>IFERROR(__xludf.DUMMYFUNCTION("""COMPUTED_VALUE"""),353.0)</f>
        <v>353</v>
      </c>
      <c r="E351" s="2"/>
      <c r="F351" s="2"/>
    </row>
    <row r="352">
      <c r="A352" s="2">
        <f>IFERROR(__xludf.DUMMYFUNCTION("""COMPUTED_VALUE"""),129132.0)</f>
        <v>129132</v>
      </c>
      <c r="B352" s="2">
        <f>IFERROR(__xludf.DUMMYFUNCTION("""COMPUTED_VALUE"""),1.0)</f>
        <v>1</v>
      </c>
      <c r="C352" s="2">
        <f>IFERROR(__xludf.DUMMYFUNCTION("""COMPUTED_VALUE"""),796.0)</f>
        <v>796</v>
      </c>
      <c r="D352" s="3">
        <f>IFERROR(__xludf.DUMMYFUNCTION("""COMPUTED_VALUE"""),260.0)</f>
        <v>260</v>
      </c>
      <c r="E352" s="2"/>
      <c r="F352" s="2"/>
    </row>
    <row r="353">
      <c r="A353" s="2">
        <f>IFERROR(__xludf.DUMMYFUNCTION("""COMPUTED_VALUE"""),160743.0)</f>
        <v>160743</v>
      </c>
      <c r="B353" s="2">
        <f>IFERROR(__xludf.DUMMYFUNCTION("""COMPUTED_VALUE"""),1.0)</f>
        <v>1</v>
      </c>
      <c r="C353" s="2">
        <f>IFERROR(__xludf.DUMMYFUNCTION("""COMPUTED_VALUE"""),780.0)</f>
        <v>780</v>
      </c>
      <c r="D353" s="3">
        <f>IFERROR(__xludf.DUMMYFUNCTION("""COMPUTED_VALUE"""),700.0)</f>
        <v>700</v>
      </c>
      <c r="E353" s="2"/>
      <c r="F353" s="2"/>
    </row>
    <row r="354">
      <c r="A354" s="2">
        <f>IFERROR(__xludf.DUMMYFUNCTION("""COMPUTED_VALUE"""),89610.0)</f>
        <v>89610</v>
      </c>
      <c r="B354" s="2">
        <f>IFERROR(__xludf.DUMMYFUNCTION("""COMPUTED_VALUE"""),0.0)</f>
        <v>0</v>
      </c>
      <c r="C354" s="2">
        <f>IFERROR(__xludf.DUMMYFUNCTION("""COMPUTED_VALUE"""),564.0)</f>
        <v>564</v>
      </c>
      <c r="D354" s="3">
        <f>IFERROR(__xludf.DUMMYFUNCTION("""COMPUTED_VALUE"""),286.0)</f>
        <v>286</v>
      </c>
      <c r="E354" s="2"/>
      <c r="F354" s="2"/>
    </row>
    <row r="355">
      <c r="A355" s="2">
        <f>IFERROR(__xludf.DUMMYFUNCTION("""COMPUTED_VALUE"""),112113.0)</f>
        <v>112113</v>
      </c>
      <c r="B355" s="2">
        <f>IFERROR(__xludf.DUMMYFUNCTION("""COMPUTED_VALUE"""),0.0)</f>
        <v>0</v>
      </c>
      <c r="C355" s="2">
        <f>IFERROR(__xludf.DUMMYFUNCTION("""COMPUTED_VALUE"""),574.0)</f>
        <v>574</v>
      </c>
      <c r="D355" s="3">
        <f>IFERROR(__xludf.DUMMYFUNCTION("""COMPUTED_VALUE"""),417.0)</f>
        <v>417</v>
      </c>
      <c r="E355" s="2"/>
      <c r="F355" s="2"/>
    </row>
    <row r="356">
      <c r="A356" s="2">
        <f>IFERROR(__xludf.DUMMYFUNCTION("""COMPUTED_VALUE"""),107801.0)</f>
        <v>107801</v>
      </c>
      <c r="B356" s="2">
        <f>IFERROR(__xludf.DUMMYFUNCTION("""COMPUTED_VALUE"""),0.0)</f>
        <v>0</v>
      </c>
      <c r="C356" s="2">
        <f>IFERROR(__xludf.DUMMYFUNCTION("""COMPUTED_VALUE"""),898.0)</f>
        <v>898</v>
      </c>
      <c r="D356" s="3">
        <f>IFERROR(__xludf.DUMMYFUNCTION("""COMPUTED_VALUE"""),596.0)</f>
        <v>596</v>
      </c>
      <c r="E356" s="2"/>
      <c r="F356" s="2"/>
    </row>
    <row r="357">
      <c r="A357" s="2">
        <f>IFERROR(__xludf.DUMMYFUNCTION("""COMPUTED_VALUE"""),70065.0)</f>
        <v>70065</v>
      </c>
      <c r="B357" s="2">
        <f>IFERROR(__xludf.DUMMYFUNCTION("""COMPUTED_VALUE"""),0.0)</f>
        <v>0</v>
      </c>
      <c r="C357" s="2">
        <f>IFERROR(__xludf.DUMMYFUNCTION("""COMPUTED_VALUE"""),609.0)</f>
        <v>609</v>
      </c>
      <c r="D357" s="3">
        <f>IFERROR(__xludf.DUMMYFUNCTION("""COMPUTED_VALUE"""),281.0)</f>
        <v>281</v>
      </c>
      <c r="E357" s="2"/>
      <c r="F357" s="2"/>
    </row>
    <row r="358">
      <c r="A358" s="2">
        <f>IFERROR(__xludf.DUMMYFUNCTION("""COMPUTED_VALUE"""),539.0)</f>
        <v>539</v>
      </c>
      <c r="B358" s="2">
        <f>IFERROR(__xludf.DUMMYFUNCTION("""COMPUTED_VALUE"""),0.0)</f>
        <v>0</v>
      </c>
      <c r="C358" s="2">
        <f>IFERROR(__xludf.DUMMYFUNCTION("""COMPUTED_VALUE"""),561.0)</f>
        <v>561</v>
      </c>
      <c r="D358" s="3">
        <f>IFERROR(__xludf.DUMMYFUNCTION("""COMPUTED_VALUE"""),157.0)</f>
        <v>157</v>
      </c>
      <c r="E358" s="2"/>
      <c r="F358" s="2"/>
    </row>
    <row r="359">
      <c r="A359" s="2">
        <f>IFERROR(__xludf.DUMMYFUNCTION("""COMPUTED_VALUE"""),7857.0)</f>
        <v>7857</v>
      </c>
      <c r="B359" s="2">
        <f>IFERROR(__xludf.DUMMYFUNCTION("""COMPUTED_VALUE"""),1.0)</f>
        <v>1</v>
      </c>
      <c r="C359" s="2">
        <f>IFERROR(__xludf.DUMMYFUNCTION("""COMPUTED_VALUE"""),553.0)</f>
        <v>553</v>
      </c>
      <c r="D359" s="3">
        <f>IFERROR(__xludf.DUMMYFUNCTION("""COMPUTED_VALUE"""),451.0)</f>
        <v>451</v>
      </c>
      <c r="E359" s="2"/>
      <c r="F359" s="2"/>
    </row>
    <row r="360">
      <c r="A360" s="2">
        <f>IFERROR(__xludf.DUMMYFUNCTION("""COMPUTED_VALUE"""),111726.0)</f>
        <v>111726</v>
      </c>
      <c r="B360" s="2">
        <f>IFERROR(__xludf.DUMMYFUNCTION("""COMPUTED_VALUE"""),0.0)</f>
        <v>0</v>
      </c>
      <c r="C360" s="2">
        <f>IFERROR(__xludf.DUMMYFUNCTION("""COMPUTED_VALUE"""),767.0)</f>
        <v>767</v>
      </c>
      <c r="D360" s="3">
        <f>IFERROR(__xludf.DUMMYFUNCTION("""COMPUTED_VALUE"""),0.0)</f>
        <v>0</v>
      </c>
      <c r="E360" s="2"/>
      <c r="F360" s="2"/>
    </row>
    <row r="361">
      <c r="A361" s="2">
        <f>IFERROR(__xludf.DUMMYFUNCTION("""COMPUTED_VALUE"""),120992.0)</f>
        <v>120992</v>
      </c>
      <c r="B361" s="2">
        <f>IFERROR(__xludf.DUMMYFUNCTION("""COMPUTED_VALUE"""),1.0)</f>
        <v>1</v>
      </c>
      <c r="C361" s="2">
        <f>IFERROR(__xludf.DUMMYFUNCTION("""COMPUTED_VALUE"""),560.0)</f>
        <v>560</v>
      </c>
      <c r="D361" s="3">
        <f>IFERROR(__xludf.DUMMYFUNCTION("""COMPUTED_VALUE"""),423.0)</f>
        <v>423</v>
      </c>
      <c r="E361" s="2"/>
      <c r="F361" s="2"/>
    </row>
    <row r="362">
      <c r="A362" s="2">
        <f>IFERROR(__xludf.DUMMYFUNCTION("""COMPUTED_VALUE"""),158482.0)</f>
        <v>158482</v>
      </c>
      <c r="B362" s="2">
        <f>IFERROR(__xludf.DUMMYFUNCTION("""COMPUTED_VALUE"""),0.0)</f>
        <v>0</v>
      </c>
      <c r="C362" s="2">
        <f>IFERROR(__xludf.DUMMYFUNCTION("""COMPUTED_VALUE"""),591.0)</f>
        <v>591</v>
      </c>
      <c r="D362" s="3">
        <f>IFERROR(__xludf.DUMMYFUNCTION("""COMPUTED_VALUE"""),361.0)</f>
        <v>361</v>
      </c>
      <c r="E362" s="2"/>
      <c r="F362" s="2"/>
    </row>
    <row r="363">
      <c r="A363" s="2">
        <f>IFERROR(__xludf.DUMMYFUNCTION("""COMPUTED_VALUE"""),193132.0)</f>
        <v>193132</v>
      </c>
      <c r="B363" s="2">
        <f>IFERROR(__xludf.DUMMYFUNCTION("""COMPUTED_VALUE"""),0.0)</f>
        <v>0</v>
      </c>
      <c r="C363" s="2">
        <f>IFERROR(__xludf.DUMMYFUNCTION("""COMPUTED_VALUE"""),454.0)</f>
        <v>454</v>
      </c>
      <c r="D363" s="3">
        <f>IFERROR(__xludf.DUMMYFUNCTION("""COMPUTED_VALUE"""),15.0)</f>
        <v>15</v>
      </c>
      <c r="E363" s="2"/>
      <c r="F363" s="2"/>
    </row>
    <row r="364">
      <c r="A364" s="2">
        <f>IFERROR(__xludf.DUMMYFUNCTION("""COMPUTED_VALUE"""),118901.0)</f>
        <v>118901</v>
      </c>
      <c r="B364" s="2">
        <f>IFERROR(__xludf.DUMMYFUNCTION("""COMPUTED_VALUE"""),0.0)</f>
        <v>0</v>
      </c>
      <c r="C364" s="2">
        <f>IFERROR(__xludf.DUMMYFUNCTION("""COMPUTED_VALUE"""),715.0)</f>
        <v>715</v>
      </c>
      <c r="D364" s="3">
        <f>IFERROR(__xludf.DUMMYFUNCTION("""COMPUTED_VALUE"""),208.0)</f>
        <v>208</v>
      </c>
      <c r="E364" s="2"/>
      <c r="F364" s="2"/>
    </row>
    <row r="365">
      <c r="A365" s="2">
        <f>IFERROR(__xludf.DUMMYFUNCTION("""COMPUTED_VALUE"""),193131.0)</f>
        <v>193131</v>
      </c>
      <c r="B365" s="2">
        <f>IFERROR(__xludf.DUMMYFUNCTION("""COMPUTED_VALUE"""),1.0)</f>
        <v>1</v>
      </c>
      <c r="C365" s="2">
        <f>IFERROR(__xludf.DUMMYFUNCTION("""COMPUTED_VALUE"""),715.0)</f>
        <v>715</v>
      </c>
      <c r="D365" s="3">
        <f>IFERROR(__xludf.DUMMYFUNCTION("""COMPUTED_VALUE"""),386.0)</f>
        <v>386</v>
      </c>
      <c r="E365" s="2"/>
      <c r="F365" s="2"/>
    </row>
    <row r="366">
      <c r="A366" s="2">
        <f>IFERROR(__xludf.DUMMYFUNCTION("""COMPUTED_VALUE"""),115709.0)</f>
        <v>115709</v>
      </c>
      <c r="B366" s="2">
        <f>IFERROR(__xludf.DUMMYFUNCTION("""COMPUTED_VALUE"""),0.0)</f>
        <v>0</v>
      </c>
      <c r="C366" s="2">
        <f>IFERROR(__xludf.DUMMYFUNCTION("""COMPUTED_VALUE"""),114.0)</f>
        <v>114</v>
      </c>
      <c r="D366" s="3">
        <f>IFERROR(__xludf.DUMMYFUNCTION("""COMPUTED_VALUE"""),91.0)</f>
        <v>91</v>
      </c>
      <c r="E366" s="2"/>
      <c r="F366" s="2"/>
    </row>
    <row r="367">
      <c r="A367" s="2">
        <f>IFERROR(__xludf.DUMMYFUNCTION("""COMPUTED_VALUE"""),121619.0)</f>
        <v>121619</v>
      </c>
      <c r="B367" s="2">
        <f>IFERROR(__xludf.DUMMYFUNCTION("""COMPUTED_VALUE"""),0.0)</f>
        <v>0</v>
      </c>
      <c r="C367" s="2">
        <f>IFERROR(__xludf.DUMMYFUNCTION("""COMPUTED_VALUE"""),171.0)</f>
        <v>171</v>
      </c>
      <c r="D367" s="3">
        <f>IFERROR(__xludf.DUMMYFUNCTION("""COMPUTED_VALUE"""),55.0)</f>
        <v>55</v>
      </c>
      <c r="E367" s="2"/>
      <c r="F367" s="2"/>
    </row>
    <row r="368">
      <c r="A368" s="2">
        <f>IFERROR(__xludf.DUMMYFUNCTION("""COMPUTED_VALUE"""),103647.0)</f>
        <v>103647</v>
      </c>
      <c r="B368" s="2">
        <f>IFERROR(__xludf.DUMMYFUNCTION("""COMPUTED_VALUE"""),1.0)</f>
        <v>1</v>
      </c>
      <c r="C368" s="2">
        <f>IFERROR(__xludf.DUMMYFUNCTION("""COMPUTED_VALUE"""),216.0)</f>
        <v>216</v>
      </c>
      <c r="D368" s="3">
        <f>IFERROR(__xludf.DUMMYFUNCTION("""COMPUTED_VALUE"""),164.0)</f>
        <v>164</v>
      </c>
      <c r="E368" s="2"/>
      <c r="F368" s="2"/>
    </row>
    <row r="369">
      <c r="A369" s="2">
        <f>IFERROR(__xludf.DUMMYFUNCTION("""COMPUTED_VALUE"""),121616.0)</f>
        <v>121616</v>
      </c>
      <c r="B369" s="2">
        <f>IFERROR(__xludf.DUMMYFUNCTION("""COMPUTED_VALUE"""),1.0)</f>
        <v>1</v>
      </c>
      <c r="C369" s="2">
        <f>IFERROR(__xludf.DUMMYFUNCTION("""COMPUTED_VALUE"""),793.0)</f>
        <v>793</v>
      </c>
      <c r="D369" s="3">
        <f>IFERROR(__xludf.DUMMYFUNCTION("""COMPUTED_VALUE"""),610.0)</f>
        <v>610</v>
      </c>
      <c r="E369" s="2"/>
      <c r="F369" s="2"/>
    </row>
    <row r="370">
      <c r="A370" s="2">
        <f>IFERROR(__xludf.DUMMYFUNCTION("""COMPUTED_VALUE"""),121618.0)</f>
        <v>121618</v>
      </c>
      <c r="B370" s="2">
        <f>IFERROR(__xludf.DUMMYFUNCTION("""COMPUTED_VALUE"""),1.0)</f>
        <v>1</v>
      </c>
      <c r="C370" s="2">
        <f>IFERROR(__xludf.DUMMYFUNCTION("""COMPUTED_VALUE"""),542.0)</f>
        <v>542</v>
      </c>
      <c r="D370" s="3">
        <f>IFERROR(__xludf.DUMMYFUNCTION("""COMPUTED_VALUE"""),454.0)</f>
        <v>454</v>
      </c>
      <c r="E370" s="2"/>
      <c r="F370" s="2"/>
    </row>
    <row r="371">
      <c r="A371" s="2">
        <f>IFERROR(__xludf.DUMMYFUNCTION("""COMPUTED_VALUE"""),129360.0)</f>
        <v>129360</v>
      </c>
      <c r="B371" s="2">
        <f>IFERROR(__xludf.DUMMYFUNCTION("""COMPUTED_VALUE"""),1.0)</f>
        <v>1</v>
      </c>
      <c r="C371" s="2">
        <f>IFERROR(__xludf.DUMMYFUNCTION("""COMPUTED_VALUE"""),41.0)</f>
        <v>41</v>
      </c>
      <c r="D371" s="3">
        <f>IFERROR(__xludf.DUMMYFUNCTION("""COMPUTED_VALUE"""),36.0)</f>
        <v>36</v>
      </c>
      <c r="E371" s="2"/>
      <c r="F371" s="2"/>
    </row>
    <row r="372">
      <c r="A372" s="2">
        <f>IFERROR(__xludf.DUMMYFUNCTION("""COMPUTED_VALUE"""),115708.0)</f>
        <v>115708</v>
      </c>
      <c r="B372" s="2">
        <f>IFERROR(__xludf.DUMMYFUNCTION("""COMPUTED_VALUE"""),0.0)</f>
        <v>0</v>
      </c>
      <c r="C372" s="2">
        <f>IFERROR(__xludf.DUMMYFUNCTION("""COMPUTED_VALUE"""),416.0)</f>
        <v>416</v>
      </c>
      <c r="D372" s="3">
        <f>IFERROR(__xludf.DUMMYFUNCTION("""COMPUTED_VALUE"""),203.0)</f>
        <v>203</v>
      </c>
      <c r="E372" s="2"/>
      <c r="F372" s="2"/>
    </row>
    <row r="373">
      <c r="A373" s="2">
        <f>IFERROR(__xludf.DUMMYFUNCTION("""COMPUTED_VALUE"""),121617.0)</f>
        <v>121617</v>
      </c>
      <c r="B373" s="2">
        <f>IFERROR(__xludf.DUMMYFUNCTION("""COMPUTED_VALUE"""),0.0)</f>
        <v>0</v>
      </c>
      <c r="C373" s="2">
        <f>IFERROR(__xludf.DUMMYFUNCTION("""COMPUTED_VALUE"""),477.0)</f>
        <v>477</v>
      </c>
      <c r="D373" s="3">
        <f>IFERROR(__xludf.DUMMYFUNCTION("""COMPUTED_VALUE"""),338.0)</f>
        <v>338</v>
      </c>
      <c r="E373" s="2"/>
      <c r="F373" s="2"/>
    </row>
    <row r="374">
      <c r="A374" s="2">
        <f>IFERROR(__xludf.DUMMYFUNCTION("""COMPUTED_VALUE"""),109540.0)</f>
        <v>109540</v>
      </c>
      <c r="B374" s="2">
        <f>IFERROR(__xludf.DUMMYFUNCTION("""COMPUTED_VALUE"""),0.0)</f>
        <v>0</v>
      </c>
      <c r="C374" s="2">
        <f>IFERROR(__xludf.DUMMYFUNCTION("""COMPUTED_VALUE"""),436.0)</f>
        <v>436</v>
      </c>
      <c r="D374" s="3">
        <f>IFERROR(__xludf.DUMMYFUNCTION("""COMPUTED_VALUE"""),342.0)</f>
        <v>342</v>
      </c>
      <c r="E374" s="2"/>
      <c r="F374" s="2"/>
    </row>
    <row r="375">
      <c r="A375" s="2">
        <f>IFERROR(__xludf.DUMMYFUNCTION("""COMPUTED_VALUE"""),101323.0)</f>
        <v>101323</v>
      </c>
      <c r="B375" s="2">
        <f>IFERROR(__xludf.DUMMYFUNCTION("""COMPUTED_VALUE"""),0.0)</f>
        <v>0</v>
      </c>
      <c r="C375" s="2">
        <f>IFERROR(__xludf.DUMMYFUNCTION("""COMPUTED_VALUE"""),997.0)</f>
        <v>997</v>
      </c>
      <c r="D375" s="3">
        <f>IFERROR(__xludf.DUMMYFUNCTION("""COMPUTED_VALUE"""),985.0)</f>
        <v>985</v>
      </c>
      <c r="E375" s="2"/>
      <c r="F375" s="2"/>
    </row>
    <row r="376">
      <c r="A376" s="2">
        <f>IFERROR(__xludf.DUMMYFUNCTION("""COMPUTED_VALUE"""),120991.0)</f>
        <v>120991</v>
      </c>
      <c r="B376" s="2">
        <f>IFERROR(__xludf.DUMMYFUNCTION("""COMPUTED_VALUE"""),0.0)</f>
        <v>0</v>
      </c>
      <c r="C376" s="2">
        <f>IFERROR(__xludf.DUMMYFUNCTION("""COMPUTED_VALUE"""),650.0)</f>
        <v>650</v>
      </c>
      <c r="D376" s="3">
        <f>IFERROR(__xludf.DUMMYFUNCTION("""COMPUTED_VALUE"""),434.0)</f>
        <v>434</v>
      </c>
      <c r="E376" s="2"/>
      <c r="F376" s="2"/>
    </row>
    <row r="377">
      <c r="A377" s="2">
        <f>IFERROR(__xludf.DUMMYFUNCTION("""COMPUTED_VALUE"""),115698.0)</f>
        <v>115698</v>
      </c>
      <c r="B377" s="2">
        <f>IFERROR(__xludf.DUMMYFUNCTION("""COMPUTED_VALUE"""),1.0)</f>
        <v>1</v>
      </c>
      <c r="C377" s="2">
        <f>IFERROR(__xludf.DUMMYFUNCTION("""COMPUTED_VALUE"""),644.0)</f>
        <v>644</v>
      </c>
      <c r="D377" s="3">
        <f>IFERROR(__xludf.DUMMYFUNCTION("""COMPUTED_VALUE"""),486.0)</f>
        <v>486</v>
      </c>
      <c r="E377" s="2"/>
      <c r="F377" s="2"/>
    </row>
    <row r="378">
      <c r="A378" s="2">
        <f>IFERROR(__xludf.DUMMYFUNCTION("""COMPUTED_VALUE"""),72511.0)</f>
        <v>72511</v>
      </c>
      <c r="B378" s="2">
        <f>IFERROR(__xludf.DUMMYFUNCTION("""COMPUTED_VALUE"""),1.0)</f>
        <v>1</v>
      </c>
      <c r="C378" s="2">
        <f>IFERROR(__xludf.DUMMYFUNCTION("""COMPUTED_VALUE"""),-1.0)</f>
        <v>-1</v>
      </c>
      <c r="D378" s="3">
        <f>IFERROR(__xludf.DUMMYFUNCTION("""COMPUTED_VALUE"""),0.0)</f>
        <v>0</v>
      </c>
      <c r="E378" s="2"/>
      <c r="F378" s="2"/>
    </row>
    <row r="379">
      <c r="A379" s="2">
        <f>IFERROR(__xludf.DUMMYFUNCTION("""COMPUTED_VALUE"""),72512.0)</f>
        <v>72512</v>
      </c>
      <c r="B379" s="2">
        <f>IFERROR(__xludf.DUMMYFUNCTION("""COMPUTED_VALUE"""),1.0)</f>
        <v>1</v>
      </c>
      <c r="C379" s="2">
        <f>IFERROR(__xludf.DUMMYFUNCTION("""COMPUTED_VALUE"""),626.0)</f>
        <v>626</v>
      </c>
      <c r="D379" s="3">
        <f>IFERROR(__xludf.DUMMYFUNCTION("""COMPUTED_VALUE"""),301.0)</f>
        <v>301</v>
      </c>
      <c r="E379" s="2"/>
      <c r="F379" s="2"/>
    </row>
    <row r="380">
      <c r="A380" s="2">
        <f>IFERROR(__xludf.DUMMYFUNCTION("""COMPUTED_VALUE"""),120108.0)</f>
        <v>120108</v>
      </c>
      <c r="B380" s="2">
        <f>IFERROR(__xludf.DUMMYFUNCTION("""COMPUTED_VALUE"""),0.0)</f>
        <v>0</v>
      </c>
      <c r="C380" s="2">
        <f>IFERROR(__xludf.DUMMYFUNCTION("""COMPUTED_VALUE"""),871.0)</f>
        <v>871</v>
      </c>
      <c r="D380" s="3">
        <f>IFERROR(__xludf.DUMMYFUNCTION("""COMPUTED_VALUE"""),20.0)</f>
        <v>20</v>
      </c>
      <c r="E380" s="2"/>
      <c r="F380" s="2"/>
    </row>
    <row r="381">
      <c r="A381" s="2">
        <f>IFERROR(__xludf.DUMMYFUNCTION("""COMPUTED_VALUE"""),1636.0)</f>
        <v>1636</v>
      </c>
      <c r="B381" s="2">
        <f>IFERROR(__xludf.DUMMYFUNCTION("""COMPUTED_VALUE"""),1.0)</f>
        <v>1</v>
      </c>
      <c r="C381" s="2">
        <f>IFERROR(__xludf.DUMMYFUNCTION("""COMPUTED_VALUE"""),425.0)</f>
        <v>425</v>
      </c>
      <c r="D381" s="3">
        <f>IFERROR(__xludf.DUMMYFUNCTION("""COMPUTED_VALUE"""),0.0)</f>
        <v>0</v>
      </c>
      <c r="E381" s="2"/>
      <c r="F381" s="2"/>
    </row>
    <row r="382">
      <c r="A382" s="2">
        <f>IFERROR(__xludf.DUMMYFUNCTION("""COMPUTED_VALUE"""),106767.0)</f>
        <v>106767</v>
      </c>
      <c r="B382" s="2">
        <f>IFERROR(__xludf.DUMMYFUNCTION("""COMPUTED_VALUE"""),0.0)</f>
        <v>0</v>
      </c>
      <c r="C382" s="2">
        <f>IFERROR(__xludf.DUMMYFUNCTION("""COMPUTED_VALUE"""),159.0)</f>
        <v>159</v>
      </c>
      <c r="D382" s="3">
        <f>IFERROR(__xludf.DUMMYFUNCTION("""COMPUTED_VALUE"""),134.0)</f>
        <v>134</v>
      </c>
      <c r="E382" s="2"/>
      <c r="F382" s="2"/>
    </row>
    <row r="383">
      <c r="A383" s="2">
        <f>IFERROR(__xludf.DUMMYFUNCTION("""COMPUTED_VALUE"""),117246.0)</f>
        <v>117246</v>
      </c>
      <c r="B383" s="2">
        <f>IFERROR(__xludf.DUMMYFUNCTION("""COMPUTED_VALUE"""),1.0)</f>
        <v>1</v>
      </c>
      <c r="C383" s="2">
        <f>IFERROR(__xludf.DUMMYFUNCTION("""COMPUTED_VALUE"""),15.0)</f>
        <v>15</v>
      </c>
      <c r="D383" s="3">
        <f>IFERROR(__xludf.DUMMYFUNCTION("""COMPUTED_VALUE"""),8.0)</f>
        <v>8</v>
      </c>
      <c r="E383" s="2"/>
      <c r="F383" s="2"/>
    </row>
    <row r="384">
      <c r="A384" s="2">
        <f>IFERROR(__xludf.DUMMYFUNCTION("""COMPUTED_VALUE"""),106758.0)</f>
        <v>106758</v>
      </c>
      <c r="B384" s="2">
        <f>IFERROR(__xludf.DUMMYFUNCTION("""COMPUTED_VALUE"""),1.0)</f>
        <v>1</v>
      </c>
      <c r="C384" s="2">
        <f>IFERROR(__xludf.DUMMYFUNCTION("""COMPUTED_VALUE"""),558.0)</f>
        <v>558</v>
      </c>
      <c r="D384" s="3">
        <f>IFERROR(__xludf.DUMMYFUNCTION("""COMPUTED_VALUE"""),19.0)</f>
        <v>19</v>
      </c>
      <c r="E384" s="2"/>
      <c r="F384" s="2"/>
    </row>
    <row r="385">
      <c r="A385" s="2">
        <f>IFERROR(__xludf.DUMMYFUNCTION("""COMPUTED_VALUE"""),118150.0)</f>
        <v>118150</v>
      </c>
      <c r="B385" s="2">
        <f>IFERROR(__xludf.DUMMYFUNCTION("""COMPUTED_VALUE"""),1.0)</f>
        <v>1</v>
      </c>
      <c r="C385" s="2">
        <f>IFERROR(__xludf.DUMMYFUNCTION("""COMPUTED_VALUE"""),226.0)</f>
        <v>226</v>
      </c>
      <c r="D385" s="3">
        <f>IFERROR(__xludf.DUMMYFUNCTION("""COMPUTED_VALUE"""),121.0)</f>
        <v>121</v>
      </c>
      <c r="E385" s="2"/>
      <c r="F385" s="2"/>
    </row>
    <row r="386">
      <c r="A386" s="2">
        <f>IFERROR(__xludf.DUMMYFUNCTION("""COMPUTED_VALUE"""),108896.0)</f>
        <v>108896</v>
      </c>
      <c r="B386" s="2">
        <f>IFERROR(__xludf.DUMMYFUNCTION("""COMPUTED_VALUE"""),1.0)</f>
        <v>1</v>
      </c>
      <c r="C386" s="2">
        <f>IFERROR(__xludf.DUMMYFUNCTION("""COMPUTED_VALUE"""),511.0)</f>
        <v>511</v>
      </c>
      <c r="D386" s="3">
        <f>IFERROR(__xludf.DUMMYFUNCTION("""COMPUTED_VALUE"""),209.0)</f>
        <v>209</v>
      </c>
      <c r="E386" s="2"/>
      <c r="F386" s="2"/>
    </row>
    <row r="387">
      <c r="A387" s="2">
        <f>IFERROR(__xludf.DUMMYFUNCTION("""COMPUTED_VALUE"""),92566.0)</f>
        <v>92566</v>
      </c>
      <c r="B387" s="2">
        <f>IFERROR(__xludf.DUMMYFUNCTION("""COMPUTED_VALUE"""),1.0)</f>
        <v>1</v>
      </c>
      <c r="C387" s="2">
        <f>IFERROR(__xludf.DUMMYFUNCTION("""COMPUTED_VALUE"""),470.0)</f>
        <v>470</v>
      </c>
      <c r="D387" s="3">
        <f>IFERROR(__xludf.DUMMYFUNCTION("""COMPUTED_VALUE"""),148.0)</f>
        <v>148</v>
      </c>
      <c r="E387" s="2"/>
      <c r="F387" s="2"/>
    </row>
    <row r="388">
      <c r="A388" s="2">
        <f>IFERROR(__xludf.DUMMYFUNCTION("""COMPUTED_VALUE"""),182195.0)</f>
        <v>182195</v>
      </c>
      <c r="B388" s="2">
        <f>IFERROR(__xludf.DUMMYFUNCTION("""COMPUTED_VALUE"""),1.0)</f>
        <v>1</v>
      </c>
      <c r="C388" s="2">
        <f>IFERROR(__xludf.DUMMYFUNCTION("""COMPUTED_VALUE"""),907.0)</f>
        <v>907</v>
      </c>
      <c r="D388" s="3">
        <f>IFERROR(__xludf.DUMMYFUNCTION("""COMPUTED_VALUE"""),178.0)</f>
        <v>178</v>
      </c>
      <c r="E388" s="2"/>
      <c r="F388" s="2"/>
    </row>
    <row r="389">
      <c r="A389" s="2">
        <f>IFERROR(__xludf.DUMMYFUNCTION("""COMPUTED_VALUE"""),101560.0)</f>
        <v>101560</v>
      </c>
      <c r="B389" s="2">
        <f>IFERROR(__xludf.DUMMYFUNCTION("""COMPUTED_VALUE"""),0.0)</f>
        <v>0</v>
      </c>
      <c r="C389" s="2">
        <f>IFERROR(__xludf.DUMMYFUNCTION("""COMPUTED_VALUE"""),951.0)</f>
        <v>951</v>
      </c>
      <c r="D389" s="3">
        <f>IFERROR(__xludf.DUMMYFUNCTION("""COMPUTED_VALUE"""),243.0)</f>
        <v>243</v>
      </c>
      <c r="E389" s="2"/>
      <c r="F389" s="2"/>
    </row>
    <row r="390">
      <c r="A390" s="2">
        <f>IFERROR(__xludf.DUMMYFUNCTION("""COMPUTED_VALUE"""),96067.0)</f>
        <v>96067</v>
      </c>
      <c r="B390" s="2">
        <f>IFERROR(__xludf.DUMMYFUNCTION("""COMPUTED_VALUE"""),1.0)</f>
        <v>1</v>
      </c>
      <c r="C390" s="2">
        <f>IFERROR(__xludf.DUMMYFUNCTION("""COMPUTED_VALUE"""),714.0)</f>
        <v>714</v>
      </c>
      <c r="D390" s="3">
        <f>IFERROR(__xludf.DUMMYFUNCTION("""COMPUTED_VALUE"""),558.0)</f>
        <v>558</v>
      </c>
      <c r="E390" s="2"/>
      <c r="F390" s="2"/>
    </row>
    <row r="391">
      <c r="A391" s="2">
        <f>IFERROR(__xludf.DUMMYFUNCTION("""COMPUTED_VALUE"""),47325.0)</f>
        <v>47325</v>
      </c>
      <c r="B391" s="2">
        <f>IFERROR(__xludf.DUMMYFUNCTION("""COMPUTED_VALUE"""),0.0)</f>
        <v>0</v>
      </c>
      <c r="C391" s="2">
        <f>IFERROR(__xludf.DUMMYFUNCTION("""COMPUTED_VALUE"""),162.0)</f>
        <v>162</v>
      </c>
      <c r="D391" s="3">
        <f>IFERROR(__xludf.DUMMYFUNCTION("""COMPUTED_VALUE"""),11.0)</f>
        <v>11</v>
      </c>
      <c r="E391" s="2"/>
      <c r="F391" s="2"/>
    </row>
    <row r="392">
      <c r="A392" s="2">
        <f>IFERROR(__xludf.DUMMYFUNCTION("""COMPUTED_VALUE"""),109386.0)</f>
        <v>109386</v>
      </c>
      <c r="B392" s="2">
        <f>IFERROR(__xludf.DUMMYFUNCTION("""COMPUTED_VALUE"""),0.0)</f>
        <v>0</v>
      </c>
      <c r="C392" s="2">
        <f>IFERROR(__xludf.DUMMYFUNCTION("""COMPUTED_VALUE"""),205.0)</f>
        <v>205</v>
      </c>
      <c r="D392" s="3">
        <f>IFERROR(__xludf.DUMMYFUNCTION("""COMPUTED_VALUE"""),111.0)</f>
        <v>111</v>
      </c>
      <c r="E392" s="2"/>
      <c r="F392" s="2"/>
    </row>
    <row r="393">
      <c r="A393" s="2">
        <f>IFERROR(__xludf.DUMMYFUNCTION("""COMPUTED_VALUE"""),118972.0)</f>
        <v>118972</v>
      </c>
      <c r="B393" s="2">
        <f>IFERROR(__xludf.DUMMYFUNCTION("""COMPUTED_VALUE"""),1.0)</f>
        <v>1</v>
      </c>
      <c r="C393" s="2">
        <f>IFERROR(__xludf.DUMMYFUNCTION("""COMPUTED_VALUE"""),727.0)</f>
        <v>727</v>
      </c>
      <c r="D393" s="3">
        <f>IFERROR(__xludf.DUMMYFUNCTION("""COMPUTED_VALUE"""),272.0)</f>
        <v>272</v>
      </c>
      <c r="E393" s="2"/>
      <c r="F393" s="2"/>
    </row>
    <row r="394">
      <c r="A394" s="2">
        <f>IFERROR(__xludf.DUMMYFUNCTION("""COMPUTED_VALUE"""),100412.0)</f>
        <v>100412</v>
      </c>
      <c r="B394" s="2">
        <f>IFERROR(__xludf.DUMMYFUNCTION("""COMPUTED_VALUE"""),0.0)</f>
        <v>0</v>
      </c>
      <c r="C394" s="2">
        <f>IFERROR(__xludf.DUMMYFUNCTION("""COMPUTED_VALUE"""),245.0)</f>
        <v>245</v>
      </c>
      <c r="D394" s="3">
        <f>IFERROR(__xludf.DUMMYFUNCTION("""COMPUTED_VALUE"""),210.0)</f>
        <v>210</v>
      </c>
      <c r="E394" s="2"/>
      <c r="F394" s="2"/>
    </row>
    <row r="395">
      <c r="A395" s="2">
        <f>IFERROR(__xludf.DUMMYFUNCTION("""COMPUTED_VALUE"""),73259.0)</f>
        <v>73259</v>
      </c>
      <c r="B395" s="2">
        <f>IFERROR(__xludf.DUMMYFUNCTION("""COMPUTED_VALUE"""),1.0)</f>
        <v>1</v>
      </c>
      <c r="C395" s="2">
        <f>IFERROR(__xludf.DUMMYFUNCTION("""COMPUTED_VALUE"""),83.0)</f>
        <v>83</v>
      </c>
      <c r="D395" s="3">
        <f>IFERROR(__xludf.DUMMYFUNCTION("""COMPUTED_VALUE"""),69.0)</f>
        <v>69</v>
      </c>
      <c r="E395" s="2"/>
      <c r="F395" s="2"/>
    </row>
    <row r="396">
      <c r="A396" s="2">
        <f>IFERROR(__xludf.DUMMYFUNCTION("""COMPUTED_VALUE"""),116888.0)</f>
        <v>116888</v>
      </c>
      <c r="B396" s="2">
        <f>IFERROR(__xludf.DUMMYFUNCTION("""COMPUTED_VALUE"""),0.0)</f>
        <v>0</v>
      </c>
      <c r="C396" s="2">
        <f>IFERROR(__xludf.DUMMYFUNCTION("""COMPUTED_VALUE"""),440.0)</f>
        <v>440</v>
      </c>
      <c r="D396" s="3">
        <f>IFERROR(__xludf.DUMMYFUNCTION("""COMPUTED_VALUE"""),21.0)</f>
        <v>21</v>
      </c>
      <c r="E396" s="2"/>
      <c r="F396" s="2"/>
    </row>
    <row r="397">
      <c r="A397" s="2">
        <f>IFERROR(__xludf.DUMMYFUNCTION("""COMPUTED_VALUE"""),102086.0)</f>
        <v>102086</v>
      </c>
      <c r="B397" s="2">
        <f>IFERROR(__xludf.DUMMYFUNCTION("""COMPUTED_VALUE"""),1.0)</f>
        <v>1</v>
      </c>
      <c r="C397" s="2">
        <f>IFERROR(__xludf.DUMMYFUNCTION("""COMPUTED_VALUE"""),643.0)</f>
        <v>643</v>
      </c>
      <c r="D397" s="3">
        <f>IFERROR(__xludf.DUMMYFUNCTION("""COMPUTED_VALUE"""),453.0)</f>
        <v>453</v>
      </c>
      <c r="E397" s="2"/>
      <c r="F397" s="2"/>
    </row>
    <row r="398">
      <c r="A398" s="2">
        <f>IFERROR(__xludf.DUMMYFUNCTION("""COMPUTED_VALUE"""),108892.0)</f>
        <v>108892</v>
      </c>
      <c r="B398" s="2">
        <f>IFERROR(__xludf.DUMMYFUNCTION("""COMPUTED_VALUE"""),1.0)</f>
        <v>1</v>
      </c>
      <c r="C398" s="2">
        <f>IFERROR(__xludf.DUMMYFUNCTION("""COMPUTED_VALUE"""),80.0)</f>
        <v>80</v>
      </c>
      <c r="D398" s="3">
        <f>IFERROR(__xludf.DUMMYFUNCTION("""COMPUTED_VALUE"""),41.0)</f>
        <v>41</v>
      </c>
      <c r="E398" s="2"/>
      <c r="F398" s="2"/>
    </row>
    <row r="399">
      <c r="A399" s="2">
        <f>IFERROR(__xludf.DUMMYFUNCTION("""COMPUTED_VALUE"""),110935.0)</f>
        <v>110935</v>
      </c>
      <c r="B399" s="2">
        <f>IFERROR(__xludf.DUMMYFUNCTION("""COMPUTED_VALUE"""),1.0)</f>
        <v>1</v>
      </c>
      <c r="C399" s="2">
        <f>IFERROR(__xludf.DUMMYFUNCTION("""COMPUTED_VALUE"""),837.0)</f>
        <v>837</v>
      </c>
      <c r="D399" s="3">
        <f>IFERROR(__xludf.DUMMYFUNCTION("""COMPUTED_VALUE"""),660.0)</f>
        <v>660</v>
      </c>
      <c r="E399" s="2"/>
      <c r="F399" s="2"/>
    </row>
    <row r="400">
      <c r="A400" s="2">
        <f>IFERROR(__xludf.DUMMYFUNCTION("""COMPUTED_VALUE"""),103599.0)</f>
        <v>103599</v>
      </c>
      <c r="B400" s="2">
        <f>IFERROR(__xludf.DUMMYFUNCTION("""COMPUTED_VALUE"""),1.0)</f>
        <v>1</v>
      </c>
      <c r="C400" s="2">
        <f>IFERROR(__xludf.DUMMYFUNCTION("""COMPUTED_VALUE"""),53.0)</f>
        <v>53</v>
      </c>
      <c r="D400" s="3">
        <f>IFERROR(__xludf.DUMMYFUNCTION("""COMPUTED_VALUE"""),18.0)</f>
        <v>18</v>
      </c>
      <c r="E400" s="2"/>
      <c r="F400" s="2"/>
    </row>
    <row r="401">
      <c r="A401" s="2">
        <f>IFERROR(__xludf.DUMMYFUNCTION("""COMPUTED_VALUE"""),108811.0)</f>
        <v>108811</v>
      </c>
      <c r="B401" s="2">
        <f>IFERROR(__xludf.DUMMYFUNCTION("""COMPUTED_VALUE"""),1.0)</f>
        <v>1</v>
      </c>
      <c r="C401" s="2">
        <f>IFERROR(__xludf.DUMMYFUNCTION("""COMPUTED_VALUE"""),868.0)</f>
        <v>868</v>
      </c>
      <c r="D401" s="3">
        <f>IFERROR(__xludf.DUMMYFUNCTION("""COMPUTED_VALUE"""),542.0)</f>
        <v>542</v>
      </c>
      <c r="E401" s="2"/>
      <c r="F401" s="2"/>
    </row>
    <row r="402">
      <c r="A402" s="2">
        <f>IFERROR(__xludf.DUMMYFUNCTION("""COMPUTED_VALUE"""),2202.0)</f>
        <v>2202</v>
      </c>
      <c r="B402" s="2">
        <f>IFERROR(__xludf.DUMMYFUNCTION("""COMPUTED_VALUE"""),1.0)</f>
        <v>1</v>
      </c>
      <c r="C402" s="2">
        <f>IFERROR(__xludf.DUMMYFUNCTION("""COMPUTED_VALUE"""),158.0)</f>
        <v>158</v>
      </c>
      <c r="D402" s="3">
        <f>IFERROR(__xludf.DUMMYFUNCTION("""COMPUTED_VALUE"""),94.0)</f>
        <v>94</v>
      </c>
      <c r="E402" s="2"/>
      <c r="F402" s="2"/>
    </row>
    <row r="403">
      <c r="A403" s="2">
        <f>IFERROR(__xludf.DUMMYFUNCTION("""COMPUTED_VALUE"""),122789.0)</f>
        <v>122789</v>
      </c>
      <c r="B403" s="2">
        <f>IFERROR(__xludf.DUMMYFUNCTION("""COMPUTED_VALUE"""),1.0)</f>
        <v>1</v>
      </c>
      <c r="C403" s="2">
        <f>IFERROR(__xludf.DUMMYFUNCTION("""COMPUTED_VALUE"""),749.0)</f>
        <v>749</v>
      </c>
      <c r="D403" s="3">
        <f>IFERROR(__xludf.DUMMYFUNCTION("""COMPUTED_VALUE"""),260.0)</f>
        <v>260</v>
      </c>
      <c r="E403" s="2"/>
      <c r="F403" s="2"/>
    </row>
    <row r="404">
      <c r="A404" s="2">
        <f>IFERROR(__xludf.DUMMYFUNCTION("""COMPUTED_VALUE"""),101563.0)</f>
        <v>101563</v>
      </c>
      <c r="B404" s="2">
        <f>IFERROR(__xludf.DUMMYFUNCTION("""COMPUTED_VALUE"""),0.0)</f>
        <v>0</v>
      </c>
      <c r="C404" s="2">
        <f>IFERROR(__xludf.DUMMYFUNCTION("""COMPUTED_VALUE"""),64.0)</f>
        <v>64</v>
      </c>
      <c r="D404" s="3">
        <f>IFERROR(__xludf.DUMMYFUNCTION("""COMPUTED_VALUE"""),20.0)</f>
        <v>20</v>
      </c>
      <c r="E404" s="2"/>
      <c r="F404" s="2"/>
    </row>
    <row r="405">
      <c r="A405" s="2">
        <f>IFERROR(__xludf.DUMMYFUNCTION("""COMPUTED_VALUE"""),110934.0)</f>
        <v>110934</v>
      </c>
      <c r="B405" s="2">
        <f>IFERROR(__xludf.DUMMYFUNCTION("""COMPUTED_VALUE"""),0.0)</f>
        <v>0</v>
      </c>
      <c r="C405" s="2">
        <f>IFERROR(__xludf.DUMMYFUNCTION("""COMPUTED_VALUE"""),190.0)</f>
        <v>190</v>
      </c>
      <c r="D405" s="3">
        <f>IFERROR(__xludf.DUMMYFUNCTION("""COMPUTED_VALUE"""),175.0)</f>
        <v>175</v>
      </c>
      <c r="E405" s="2"/>
      <c r="F405" s="2"/>
    </row>
    <row r="406">
      <c r="A406" s="2">
        <f>IFERROR(__xludf.DUMMYFUNCTION("""COMPUTED_VALUE"""),110147.0)</f>
        <v>110147</v>
      </c>
      <c r="B406" s="2">
        <f>IFERROR(__xludf.DUMMYFUNCTION("""COMPUTED_VALUE"""),1.0)</f>
        <v>1</v>
      </c>
      <c r="C406" s="2">
        <f>IFERROR(__xludf.DUMMYFUNCTION("""COMPUTED_VALUE"""),43.0)</f>
        <v>43</v>
      </c>
      <c r="D406" s="3">
        <f>IFERROR(__xludf.DUMMYFUNCTION("""COMPUTED_VALUE"""),37.0)</f>
        <v>37</v>
      </c>
      <c r="E406" s="2"/>
      <c r="F406" s="2"/>
    </row>
    <row r="407">
      <c r="A407" s="2">
        <f>IFERROR(__xludf.DUMMYFUNCTION("""COMPUTED_VALUE"""),104135.0)</f>
        <v>104135</v>
      </c>
      <c r="B407" s="2">
        <f>IFERROR(__xludf.DUMMYFUNCTION("""COMPUTED_VALUE"""),1.0)</f>
        <v>1</v>
      </c>
      <c r="C407" s="2">
        <f>IFERROR(__xludf.DUMMYFUNCTION("""COMPUTED_VALUE"""),4.0)</f>
        <v>4</v>
      </c>
      <c r="D407" s="3">
        <f>IFERROR(__xludf.DUMMYFUNCTION("""COMPUTED_VALUE"""),2.0)</f>
        <v>2</v>
      </c>
      <c r="E407" s="2"/>
      <c r="F407" s="2"/>
    </row>
    <row r="408">
      <c r="A408" s="2">
        <f>IFERROR(__xludf.DUMMYFUNCTION("""COMPUTED_VALUE"""),101559.0)</f>
        <v>101559</v>
      </c>
      <c r="B408" s="2">
        <f>IFERROR(__xludf.DUMMYFUNCTION("""COMPUTED_VALUE"""),1.0)</f>
        <v>1</v>
      </c>
      <c r="C408" s="2">
        <f>IFERROR(__xludf.DUMMYFUNCTION("""COMPUTED_VALUE"""),545.0)</f>
        <v>545</v>
      </c>
      <c r="D408" s="3">
        <f>IFERROR(__xludf.DUMMYFUNCTION("""COMPUTED_VALUE"""),539.0)</f>
        <v>539</v>
      </c>
      <c r="E408" s="2"/>
      <c r="F408" s="2"/>
    </row>
    <row r="409">
      <c r="A409" s="2">
        <f>IFERROR(__xludf.DUMMYFUNCTION("""COMPUTED_VALUE"""),129340.0)</f>
        <v>129340</v>
      </c>
      <c r="B409" s="2">
        <f>IFERROR(__xludf.DUMMYFUNCTION("""COMPUTED_VALUE"""),1.0)</f>
        <v>1</v>
      </c>
      <c r="C409" s="2">
        <f>IFERROR(__xludf.DUMMYFUNCTION("""COMPUTED_VALUE"""),661.0)</f>
        <v>661</v>
      </c>
      <c r="D409" s="3">
        <f>IFERROR(__xludf.DUMMYFUNCTION("""COMPUTED_VALUE"""),415.0)</f>
        <v>415</v>
      </c>
      <c r="E409" s="2"/>
      <c r="F409" s="2"/>
    </row>
    <row r="410">
      <c r="A410" s="2">
        <f>IFERROR(__xludf.DUMMYFUNCTION("""COMPUTED_VALUE"""),103609.0)</f>
        <v>103609</v>
      </c>
      <c r="B410" s="2">
        <f>IFERROR(__xludf.DUMMYFUNCTION("""COMPUTED_VALUE"""),0.0)</f>
        <v>0</v>
      </c>
      <c r="C410" s="2">
        <f>IFERROR(__xludf.DUMMYFUNCTION("""COMPUTED_VALUE"""),189.0)</f>
        <v>189</v>
      </c>
      <c r="D410" s="3">
        <f>IFERROR(__xludf.DUMMYFUNCTION("""COMPUTED_VALUE"""),121.0)</f>
        <v>121</v>
      </c>
      <c r="E410" s="2"/>
      <c r="F410" s="2"/>
    </row>
    <row r="411">
      <c r="A411" s="2">
        <f>IFERROR(__xludf.DUMMYFUNCTION("""COMPUTED_VALUE"""),122499.0)</f>
        <v>122499</v>
      </c>
      <c r="B411" s="2">
        <f>IFERROR(__xludf.DUMMYFUNCTION("""COMPUTED_VALUE"""),0.0)</f>
        <v>0</v>
      </c>
      <c r="C411" s="2">
        <f>IFERROR(__xludf.DUMMYFUNCTION("""COMPUTED_VALUE"""),461.0)</f>
        <v>461</v>
      </c>
      <c r="D411" s="3">
        <f>IFERROR(__xludf.DUMMYFUNCTION("""COMPUTED_VALUE"""),262.0)</f>
        <v>262</v>
      </c>
      <c r="E411" s="2"/>
      <c r="F411" s="2"/>
    </row>
    <row r="412">
      <c r="A412" s="2">
        <f>IFERROR(__xludf.DUMMYFUNCTION("""COMPUTED_VALUE"""),117311.0)</f>
        <v>117311</v>
      </c>
      <c r="B412" s="2">
        <f>IFERROR(__xludf.DUMMYFUNCTION("""COMPUTED_VALUE"""),1.0)</f>
        <v>1</v>
      </c>
      <c r="C412" s="2">
        <f>IFERROR(__xludf.DUMMYFUNCTION("""COMPUTED_VALUE"""),879.0)</f>
        <v>879</v>
      </c>
      <c r="D412" s="3">
        <f>IFERROR(__xludf.DUMMYFUNCTION("""COMPUTED_VALUE"""),538.0)</f>
        <v>538</v>
      </c>
      <c r="E412" s="2"/>
      <c r="F412" s="2"/>
    </row>
    <row r="413">
      <c r="A413" s="2">
        <f>IFERROR(__xludf.DUMMYFUNCTION("""COMPUTED_VALUE"""),116670.0)</f>
        <v>116670</v>
      </c>
      <c r="B413" s="2">
        <f>IFERROR(__xludf.DUMMYFUNCTION("""COMPUTED_VALUE"""),1.0)</f>
        <v>1</v>
      </c>
      <c r="C413" s="2">
        <f>IFERROR(__xludf.DUMMYFUNCTION("""COMPUTED_VALUE"""),118.0)</f>
        <v>118</v>
      </c>
      <c r="D413" s="3">
        <f>IFERROR(__xludf.DUMMYFUNCTION("""COMPUTED_VALUE"""),93.0)</f>
        <v>93</v>
      </c>
      <c r="E413" s="2"/>
      <c r="F413" s="2"/>
    </row>
    <row r="414">
      <c r="A414" s="2">
        <f>IFERROR(__xludf.DUMMYFUNCTION("""COMPUTED_VALUE"""),2204.0)</f>
        <v>2204</v>
      </c>
      <c r="B414" s="2">
        <f>IFERROR(__xludf.DUMMYFUNCTION("""COMPUTED_VALUE"""),1.0)</f>
        <v>1</v>
      </c>
      <c r="C414" s="2">
        <f>IFERROR(__xludf.DUMMYFUNCTION("""COMPUTED_VALUE"""),429.0)</f>
        <v>429</v>
      </c>
      <c r="D414" s="3">
        <f>IFERROR(__xludf.DUMMYFUNCTION("""COMPUTED_VALUE"""),246.0)</f>
        <v>246</v>
      </c>
      <c r="E414" s="2"/>
      <c r="F414" s="2"/>
    </row>
    <row r="415">
      <c r="A415" s="2">
        <f>IFERROR(__xludf.DUMMYFUNCTION("""COMPUTED_VALUE"""),104128.0)</f>
        <v>104128</v>
      </c>
      <c r="B415" s="2">
        <f>IFERROR(__xludf.DUMMYFUNCTION("""COMPUTED_VALUE"""),1.0)</f>
        <v>1</v>
      </c>
      <c r="C415" s="2">
        <f>IFERROR(__xludf.DUMMYFUNCTION("""COMPUTED_VALUE"""),851.0)</f>
        <v>851</v>
      </c>
      <c r="D415" s="3">
        <f>IFERROR(__xludf.DUMMYFUNCTION("""COMPUTED_VALUE"""),738.0)</f>
        <v>738</v>
      </c>
      <c r="E415" s="2"/>
      <c r="F415" s="2"/>
    </row>
    <row r="416">
      <c r="A416" s="2">
        <f>IFERROR(__xludf.DUMMYFUNCTION("""COMPUTED_VALUE"""),103600.0)</f>
        <v>103600</v>
      </c>
      <c r="B416" s="2">
        <f>IFERROR(__xludf.DUMMYFUNCTION("""COMPUTED_VALUE"""),1.0)</f>
        <v>1</v>
      </c>
      <c r="C416" s="2">
        <f>IFERROR(__xludf.DUMMYFUNCTION("""COMPUTED_VALUE"""),685.0)</f>
        <v>685</v>
      </c>
      <c r="D416" s="3">
        <f>IFERROR(__xludf.DUMMYFUNCTION("""COMPUTED_VALUE"""),109.0)</f>
        <v>109</v>
      </c>
      <c r="E416" s="2"/>
      <c r="F416" s="2"/>
    </row>
    <row r="417">
      <c r="A417" s="2">
        <f>IFERROR(__xludf.DUMMYFUNCTION("""COMPUTED_VALUE"""),108802.0)</f>
        <v>108802</v>
      </c>
      <c r="B417" s="2">
        <f>IFERROR(__xludf.DUMMYFUNCTION("""COMPUTED_VALUE"""),1.0)</f>
        <v>1</v>
      </c>
      <c r="C417" s="2">
        <f>IFERROR(__xludf.DUMMYFUNCTION("""COMPUTED_VALUE"""),77.0)</f>
        <v>77</v>
      </c>
      <c r="D417" s="3">
        <f>IFERROR(__xludf.DUMMYFUNCTION("""COMPUTED_VALUE"""),18.0)</f>
        <v>18</v>
      </c>
      <c r="E417" s="2"/>
      <c r="F417" s="2"/>
    </row>
    <row r="418">
      <c r="A418" s="2">
        <f>IFERROR(__xludf.DUMMYFUNCTION("""COMPUTED_VALUE"""),201034.0)</f>
        <v>201034</v>
      </c>
      <c r="B418" s="2">
        <f>IFERROR(__xludf.DUMMYFUNCTION("""COMPUTED_VALUE"""),1.0)</f>
        <v>1</v>
      </c>
      <c r="C418" s="2">
        <f>IFERROR(__xludf.DUMMYFUNCTION("""COMPUTED_VALUE"""),127.0)</f>
        <v>127</v>
      </c>
      <c r="D418" s="3">
        <f>IFERROR(__xludf.DUMMYFUNCTION("""COMPUTED_VALUE"""),105.0)</f>
        <v>105</v>
      </c>
      <c r="E418" s="2"/>
      <c r="F418" s="2"/>
    </row>
    <row r="419">
      <c r="A419" s="2">
        <f>IFERROR(__xludf.DUMMYFUNCTION("""COMPUTED_VALUE"""),6522.0)</f>
        <v>6522</v>
      </c>
      <c r="B419" s="2">
        <f>IFERROR(__xludf.DUMMYFUNCTION("""COMPUTED_VALUE"""),0.0)</f>
        <v>0</v>
      </c>
      <c r="C419" s="2">
        <f>IFERROR(__xludf.DUMMYFUNCTION("""COMPUTED_VALUE"""),84.0)</f>
        <v>84</v>
      </c>
      <c r="D419" s="3">
        <f>IFERROR(__xludf.DUMMYFUNCTION("""COMPUTED_VALUE"""),15.0)</f>
        <v>15</v>
      </c>
      <c r="E419" s="2"/>
      <c r="F419" s="2"/>
    </row>
    <row r="420">
      <c r="A420" s="2">
        <f>IFERROR(__xludf.DUMMYFUNCTION("""COMPUTED_VALUE"""),77644.0)</f>
        <v>77644</v>
      </c>
      <c r="B420" s="2">
        <f>IFERROR(__xludf.DUMMYFUNCTION("""COMPUTED_VALUE"""),0.0)</f>
        <v>0</v>
      </c>
      <c r="C420" s="2">
        <f>IFERROR(__xludf.DUMMYFUNCTION("""COMPUTED_VALUE"""),739.0)</f>
        <v>739</v>
      </c>
      <c r="D420" s="3">
        <f>IFERROR(__xludf.DUMMYFUNCTION("""COMPUTED_VALUE"""),185.0)</f>
        <v>185</v>
      </c>
      <c r="E420" s="2"/>
      <c r="F420" s="2"/>
    </row>
    <row r="421">
      <c r="A421" s="2">
        <f>IFERROR(__xludf.DUMMYFUNCTION("""COMPUTED_VALUE"""),3225.0)</f>
        <v>3225</v>
      </c>
      <c r="B421" s="2">
        <f>IFERROR(__xludf.DUMMYFUNCTION("""COMPUTED_VALUE"""),1.0)</f>
        <v>1</v>
      </c>
      <c r="C421" s="2">
        <f>IFERROR(__xludf.DUMMYFUNCTION("""COMPUTED_VALUE"""),571.0)</f>
        <v>571</v>
      </c>
      <c r="D421" s="3">
        <f>IFERROR(__xludf.DUMMYFUNCTION("""COMPUTED_VALUE"""),279.0)</f>
        <v>279</v>
      </c>
      <c r="E421" s="2"/>
      <c r="F421" s="2"/>
    </row>
    <row r="422">
      <c r="A422" s="2">
        <f>IFERROR(__xludf.DUMMYFUNCTION("""COMPUTED_VALUE"""),158447.0)</f>
        <v>158447</v>
      </c>
      <c r="B422" s="2">
        <f>IFERROR(__xludf.DUMMYFUNCTION("""COMPUTED_VALUE"""),0.0)</f>
        <v>0</v>
      </c>
      <c r="C422" s="2">
        <f>IFERROR(__xludf.DUMMYFUNCTION("""COMPUTED_VALUE"""),187.0)</f>
        <v>187</v>
      </c>
      <c r="D422" s="3">
        <f>IFERROR(__xludf.DUMMYFUNCTION("""COMPUTED_VALUE"""),43.0)</f>
        <v>43</v>
      </c>
      <c r="E422" s="2"/>
      <c r="F422" s="2"/>
    </row>
    <row r="423">
      <c r="A423" s="2">
        <f>IFERROR(__xludf.DUMMYFUNCTION("""COMPUTED_VALUE"""),9737.0)</f>
        <v>9737</v>
      </c>
      <c r="B423" s="2">
        <f>IFERROR(__xludf.DUMMYFUNCTION("""COMPUTED_VALUE"""),0.0)</f>
        <v>0</v>
      </c>
      <c r="C423" s="2">
        <f>IFERROR(__xludf.DUMMYFUNCTION("""COMPUTED_VALUE"""),834.0)</f>
        <v>834</v>
      </c>
      <c r="D423" s="3">
        <f>IFERROR(__xludf.DUMMYFUNCTION("""COMPUTED_VALUE"""),707.0)</f>
        <v>707</v>
      </c>
      <c r="E423" s="2"/>
      <c r="F423" s="2"/>
    </row>
    <row r="424">
      <c r="A424" s="2">
        <f>IFERROR(__xludf.DUMMYFUNCTION("""COMPUTED_VALUE"""),73260.0)</f>
        <v>73260</v>
      </c>
      <c r="B424" s="2">
        <f>IFERROR(__xludf.DUMMYFUNCTION("""COMPUTED_VALUE"""),1.0)</f>
        <v>1</v>
      </c>
      <c r="C424" s="2">
        <f>IFERROR(__xludf.DUMMYFUNCTION("""COMPUTED_VALUE"""),292.0)</f>
        <v>292</v>
      </c>
      <c r="D424" s="3">
        <f>IFERROR(__xludf.DUMMYFUNCTION("""COMPUTED_VALUE"""),169.0)</f>
        <v>169</v>
      </c>
      <c r="E424" s="2"/>
      <c r="F424" s="2"/>
    </row>
    <row r="425">
      <c r="A425" s="2">
        <f>IFERROR(__xludf.DUMMYFUNCTION("""COMPUTED_VALUE"""),158467.0)</f>
        <v>158467</v>
      </c>
      <c r="B425" s="2">
        <f>IFERROR(__xludf.DUMMYFUNCTION("""COMPUTED_VALUE"""),1.0)</f>
        <v>1</v>
      </c>
      <c r="C425" s="2">
        <f>IFERROR(__xludf.DUMMYFUNCTION("""COMPUTED_VALUE"""),407.0)</f>
        <v>407</v>
      </c>
      <c r="D425" s="3">
        <f>IFERROR(__xludf.DUMMYFUNCTION("""COMPUTED_VALUE"""),227.0)</f>
        <v>227</v>
      </c>
      <c r="E425" s="2"/>
      <c r="F425" s="2"/>
    </row>
    <row r="426">
      <c r="A426" s="2">
        <f>IFERROR(__xludf.DUMMYFUNCTION("""COMPUTED_VALUE"""),117319.0)</f>
        <v>117319</v>
      </c>
      <c r="B426" s="2">
        <f>IFERROR(__xludf.DUMMYFUNCTION("""COMPUTED_VALUE"""),0.0)</f>
        <v>0</v>
      </c>
      <c r="C426" s="2">
        <f>IFERROR(__xludf.DUMMYFUNCTION("""COMPUTED_VALUE"""),568.0)</f>
        <v>568</v>
      </c>
      <c r="D426" s="3">
        <f>IFERROR(__xludf.DUMMYFUNCTION("""COMPUTED_VALUE"""),478.0)</f>
        <v>478</v>
      </c>
      <c r="E426" s="2"/>
      <c r="F426" s="2"/>
    </row>
    <row r="427">
      <c r="A427" s="2">
        <f>IFERROR(__xludf.DUMMYFUNCTION("""COMPUTED_VALUE"""),108893.0)</f>
        <v>108893</v>
      </c>
      <c r="B427" s="2">
        <f>IFERROR(__xludf.DUMMYFUNCTION("""COMPUTED_VALUE"""),1.0)</f>
        <v>1</v>
      </c>
      <c r="C427" s="2">
        <f>IFERROR(__xludf.DUMMYFUNCTION("""COMPUTED_VALUE"""),198.0)</f>
        <v>198</v>
      </c>
      <c r="D427" s="3">
        <f>IFERROR(__xludf.DUMMYFUNCTION("""COMPUTED_VALUE"""),135.0)</f>
        <v>135</v>
      </c>
      <c r="E427" s="2"/>
      <c r="F427" s="2"/>
    </row>
    <row r="428">
      <c r="A428" s="2">
        <f>IFERROR(__xludf.DUMMYFUNCTION("""COMPUTED_VALUE"""),111734.0)</f>
        <v>111734</v>
      </c>
      <c r="B428" s="2">
        <f>IFERROR(__xludf.DUMMYFUNCTION("""COMPUTED_VALUE"""),0.0)</f>
        <v>0</v>
      </c>
      <c r="C428" s="2">
        <f>IFERROR(__xludf.DUMMYFUNCTION("""COMPUTED_VALUE"""),510.0)</f>
        <v>510</v>
      </c>
      <c r="D428" s="3">
        <f>IFERROR(__xludf.DUMMYFUNCTION("""COMPUTED_VALUE"""),59.0)</f>
        <v>59</v>
      </c>
      <c r="E428" s="2"/>
      <c r="F428" s="2"/>
    </row>
    <row r="429">
      <c r="A429" s="2">
        <f>IFERROR(__xludf.DUMMYFUNCTION("""COMPUTED_VALUE"""),96066.0)</f>
        <v>96066</v>
      </c>
      <c r="B429" s="2">
        <f>IFERROR(__xludf.DUMMYFUNCTION("""COMPUTED_VALUE"""),1.0)</f>
        <v>1</v>
      </c>
      <c r="C429" s="2">
        <f>IFERROR(__xludf.DUMMYFUNCTION("""COMPUTED_VALUE"""),257.0)</f>
        <v>257</v>
      </c>
      <c r="D429" s="3">
        <f>IFERROR(__xludf.DUMMYFUNCTION("""COMPUTED_VALUE"""),167.0)</f>
        <v>167</v>
      </c>
      <c r="E429" s="2"/>
      <c r="F429" s="2"/>
    </row>
    <row r="430">
      <c r="A430" s="2">
        <f>IFERROR(__xludf.DUMMYFUNCTION("""COMPUTED_VALUE"""),3222.0)</f>
        <v>3222</v>
      </c>
      <c r="B430" s="2">
        <f>IFERROR(__xludf.DUMMYFUNCTION("""COMPUTED_VALUE"""),0.0)</f>
        <v>0</v>
      </c>
      <c r="C430" s="2">
        <f>IFERROR(__xludf.DUMMYFUNCTION("""COMPUTED_VALUE"""),625.0)</f>
        <v>625</v>
      </c>
      <c r="D430" s="3">
        <f>IFERROR(__xludf.DUMMYFUNCTION("""COMPUTED_VALUE"""),173.0)</f>
        <v>173</v>
      </c>
      <c r="E430" s="2"/>
      <c r="F430" s="2"/>
    </row>
    <row r="431">
      <c r="A431" s="2">
        <f>IFERROR(__xludf.DUMMYFUNCTION("""COMPUTED_VALUE"""),117312.0)</f>
        <v>117312</v>
      </c>
      <c r="B431" s="2">
        <f>IFERROR(__xludf.DUMMYFUNCTION("""COMPUTED_VALUE"""),0.0)</f>
        <v>0</v>
      </c>
      <c r="C431" s="2">
        <f>IFERROR(__xludf.DUMMYFUNCTION("""COMPUTED_VALUE"""),116.0)</f>
        <v>116</v>
      </c>
      <c r="D431" s="3">
        <f>IFERROR(__xludf.DUMMYFUNCTION("""COMPUTED_VALUE"""),65.0)</f>
        <v>65</v>
      </c>
      <c r="E431" s="2"/>
      <c r="F431" s="2"/>
    </row>
    <row r="432">
      <c r="A432" s="2">
        <f>IFERROR(__xludf.DUMMYFUNCTION("""COMPUTED_VALUE"""),104791.0)</f>
        <v>104791</v>
      </c>
      <c r="B432" s="2">
        <f>IFERROR(__xludf.DUMMYFUNCTION("""COMPUTED_VALUE"""),0.0)</f>
        <v>0</v>
      </c>
      <c r="C432" s="2">
        <f>IFERROR(__xludf.DUMMYFUNCTION("""COMPUTED_VALUE"""),139.0)</f>
        <v>139</v>
      </c>
      <c r="D432" s="3">
        <f>IFERROR(__xludf.DUMMYFUNCTION("""COMPUTED_VALUE"""),85.0)</f>
        <v>85</v>
      </c>
      <c r="E432" s="2"/>
      <c r="F432" s="2"/>
    </row>
    <row r="433">
      <c r="A433" s="2">
        <f>IFERROR(__xludf.DUMMYFUNCTION("""COMPUTED_VALUE"""),10051.0)</f>
        <v>10051</v>
      </c>
      <c r="B433" s="2">
        <f>IFERROR(__xludf.DUMMYFUNCTION("""COMPUTED_VALUE"""),0.0)</f>
        <v>0</v>
      </c>
      <c r="C433" s="2">
        <f>IFERROR(__xludf.DUMMYFUNCTION("""COMPUTED_VALUE"""),501.0)</f>
        <v>501</v>
      </c>
      <c r="D433" s="3">
        <f>IFERROR(__xludf.DUMMYFUNCTION("""COMPUTED_VALUE"""),338.0)</f>
        <v>338</v>
      </c>
      <c r="E433" s="2"/>
      <c r="F433" s="2"/>
    </row>
    <row r="434">
      <c r="A434" s="2">
        <f>IFERROR(__xludf.DUMMYFUNCTION("""COMPUTED_VALUE"""),29318.0)</f>
        <v>29318</v>
      </c>
      <c r="B434" s="2">
        <f>IFERROR(__xludf.DUMMYFUNCTION("""COMPUTED_VALUE"""),1.0)</f>
        <v>1</v>
      </c>
      <c r="C434" s="2">
        <f>IFERROR(__xludf.DUMMYFUNCTION("""COMPUTED_VALUE"""),57.0)</f>
        <v>57</v>
      </c>
      <c r="D434" s="3">
        <f>IFERROR(__xludf.DUMMYFUNCTION("""COMPUTED_VALUE"""),5.0)</f>
        <v>5</v>
      </c>
      <c r="E434" s="2"/>
      <c r="F434" s="2"/>
    </row>
    <row r="435">
      <c r="A435" s="2">
        <f>IFERROR(__xludf.DUMMYFUNCTION("""COMPUTED_VALUE"""),116885.0)</f>
        <v>116885</v>
      </c>
      <c r="B435" s="2">
        <f>IFERROR(__xludf.DUMMYFUNCTION("""COMPUTED_VALUE"""),1.0)</f>
        <v>1</v>
      </c>
      <c r="C435" s="2">
        <f>IFERROR(__xludf.DUMMYFUNCTION("""COMPUTED_VALUE"""),872.0)</f>
        <v>872</v>
      </c>
      <c r="D435" s="3">
        <f>IFERROR(__xludf.DUMMYFUNCTION("""COMPUTED_VALUE"""),283.0)</f>
        <v>283</v>
      </c>
      <c r="E435" s="2"/>
      <c r="F435" s="2"/>
    </row>
    <row r="436">
      <c r="A436" s="2">
        <f>IFERROR(__xludf.DUMMYFUNCTION("""COMPUTED_VALUE"""),121614.0)</f>
        <v>121614</v>
      </c>
      <c r="B436" s="2">
        <f>IFERROR(__xludf.DUMMYFUNCTION("""COMPUTED_VALUE"""),0.0)</f>
        <v>0</v>
      </c>
      <c r="C436" s="2">
        <f>IFERROR(__xludf.DUMMYFUNCTION("""COMPUTED_VALUE"""),911.0)</f>
        <v>911</v>
      </c>
      <c r="D436" s="3">
        <f>IFERROR(__xludf.DUMMYFUNCTION("""COMPUTED_VALUE"""),236.0)</f>
        <v>236</v>
      </c>
      <c r="E436" s="2"/>
      <c r="F436" s="2"/>
    </row>
    <row r="437">
      <c r="A437" s="2">
        <f>IFERROR(__xludf.DUMMYFUNCTION("""COMPUTED_VALUE"""),10048.0)</f>
        <v>10048</v>
      </c>
      <c r="B437" s="2">
        <f>IFERROR(__xludf.DUMMYFUNCTION("""COMPUTED_VALUE"""),0.0)</f>
        <v>0</v>
      </c>
      <c r="C437" s="2">
        <f>IFERROR(__xludf.DUMMYFUNCTION("""COMPUTED_VALUE"""),355.0)</f>
        <v>355</v>
      </c>
      <c r="D437" s="3">
        <f>IFERROR(__xludf.DUMMYFUNCTION("""COMPUTED_VALUE"""),70.0)</f>
        <v>70</v>
      </c>
      <c r="E437" s="2"/>
      <c r="F437" s="2"/>
    </row>
    <row r="438">
      <c r="A438" s="2">
        <f>IFERROR(__xludf.DUMMYFUNCTION("""COMPUTED_VALUE"""),109534.0)</f>
        <v>109534</v>
      </c>
      <c r="B438" s="2">
        <f>IFERROR(__xludf.DUMMYFUNCTION("""COMPUTED_VALUE"""),0.0)</f>
        <v>0</v>
      </c>
      <c r="C438" s="2">
        <f>IFERROR(__xludf.DUMMYFUNCTION("""COMPUTED_VALUE"""),428.0)</f>
        <v>428</v>
      </c>
      <c r="D438" s="3">
        <f>IFERROR(__xludf.DUMMYFUNCTION("""COMPUTED_VALUE"""),319.0)</f>
        <v>319</v>
      </c>
      <c r="E438" s="2"/>
      <c r="F438" s="2"/>
    </row>
    <row r="439">
      <c r="A439" s="2">
        <f>IFERROR(__xludf.DUMMYFUNCTION("""COMPUTED_VALUE"""),111802.0)</f>
        <v>111802</v>
      </c>
      <c r="B439" s="2">
        <f>IFERROR(__xludf.DUMMYFUNCTION("""COMPUTED_VALUE"""),0.0)</f>
        <v>0</v>
      </c>
      <c r="C439" s="2">
        <f>IFERROR(__xludf.DUMMYFUNCTION("""COMPUTED_VALUE"""),108.0)</f>
        <v>108</v>
      </c>
      <c r="D439" s="3">
        <f>IFERROR(__xludf.DUMMYFUNCTION("""COMPUTED_VALUE"""),75.0)</f>
        <v>75</v>
      </c>
      <c r="E439" s="2"/>
      <c r="F439" s="2"/>
    </row>
    <row r="440">
      <c r="A440" s="2">
        <f>IFERROR(__xludf.DUMMYFUNCTION("""COMPUTED_VALUE"""),108801.0)</f>
        <v>108801</v>
      </c>
      <c r="B440" s="2">
        <f>IFERROR(__xludf.DUMMYFUNCTION("""COMPUTED_VALUE"""),0.0)</f>
        <v>0</v>
      </c>
      <c r="C440" s="2">
        <f>IFERROR(__xludf.DUMMYFUNCTION("""COMPUTED_VALUE"""),15.0)</f>
        <v>15</v>
      </c>
      <c r="D440" s="3">
        <f>IFERROR(__xludf.DUMMYFUNCTION("""COMPUTED_VALUE"""),5.0)</f>
        <v>5</v>
      </c>
      <c r="E440" s="2"/>
      <c r="F440" s="2"/>
    </row>
    <row r="441">
      <c r="A441" s="2">
        <f>IFERROR(__xludf.DUMMYFUNCTION("""COMPUTED_VALUE"""),9735.0)</f>
        <v>9735</v>
      </c>
      <c r="B441" s="2">
        <f>IFERROR(__xludf.DUMMYFUNCTION("""COMPUTED_VALUE"""),0.0)</f>
        <v>0</v>
      </c>
      <c r="C441" s="2">
        <f>IFERROR(__xludf.DUMMYFUNCTION("""COMPUTED_VALUE"""),832.0)</f>
        <v>832</v>
      </c>
      <c r="D441" s="3">
        <f>IFERROR(__xludf.DUMMYFUNCTION("""COMPUTED_VALUE"""),422.0)</f>
        <v>422</v>
      </c>
      <c r="E441" s="2"/>
      <c r="F441" s="2"/>
    </row>
    <row r="442">
      <c r="A442" s="2">
        <f>IFERROR(__xludf.DUMMYFUNCTION("""COMPUTED_VALUE"""),109531.0)</f>
        <v>109531</v>
      </c>
      <c r="B442" s="2">
        <f>IFERROR(__xludf.DUMMYFUNCTION("""COMPUTED_VALUE"""),1.0)</f>
        <v>1</v>
      </c>
      <c r="C442" s="2">
        <f>IFERROR(__xludf.DUMMYFUNCTION("""COMPUTED_VALUE"""),678.0)</f>
        <v>678</v>
      </c>
      <c r="D442" s="3">
        <f>IFERROR(__xludf.DUMMYFUNCTION("""COMPUTED_VALUE"""),667.0)</f>
        <v>667</v>
      </c>
      <c r="E442" s="2"/>
      <c r="F442" s="2"/>
    </row>
    <row r="443">
      <c r="A443" s="2">
        <f>IFERROR(__xludf.DUMMYFUNCTION("""COMPUTED_VALUE"""),44533.0)</f>
        <v>44533</v>
      </c>
      <c r="B443" s="2">
        <f>IFERROR(__xludf.DUMMYFUNCTION("""COMPUTED_VALUE"""),1.0)</f>
        <v>1</v>
      </c>
      <c r="C443" s="2">
        <f>IFERROR(__xludf.DUMMYFUNCTION("""COMPUTED_VALUE"""),671.0)</f>
        <v>671</v>
      </c>
      <c r="D443" s="3">
        <f>IFERROR(__xludf.DUMMYFUNCTION("""COMPUTED_VALUE"""),544.0)</f>
        <v>544</v>
      </c>
      <c r="E443" s="2"/>
      <c r="F443" s="2"/>
    </row>
    <row r="444">
      <c r="A444" s="2">
        <f>IFERROR(__xludf.DUMMYFUNCTION("""COMPUTED_VALUE"""),158465.0)</f>
        <v>158465</v>
      </c>
      <c r="B444" s="2">
        <f>IFERROR(__xludf.DUMMYFUNCTION("""COMPUTED_VALUE"""),1.0)</f>
        <v>1</v>
      </c>
      <c r="C444" s="2">
        <f>IFERROR(__xludf.DUMMYFUNCTION("""COMPUTED_VALUE"""),470.0)</f>
        <v>470</v>
      </c>
      <c r="D444" s="3">
        <f>IFERROR(__xludf.DUMMYFUNCTION("""COMPUTED_VALUE"""),444.0)</f>
        <v>444</v>
      </c>
      <c r="E444" s="2"/>
      <c r="F444" s="2"/>
    </row>
    <row r="445">
      <c r="A445" s="2">
        <f>IFERROR(__xludf.DUMMYFUNCTION("""COMPUTED_VALUE"""),79107.0)</f>
        <v>79107</v>
      </c>
      <c r="B445" s="2">
        <f>IFERROR(__xludf.DUMMYFUNCTION("""COMPUTED_VALUE"""),0.0)</f>
        <v>0</v>
      </c>
      <c r="C445" s="2">
        <f>IFERROR(__xludf.DUMMYFUNCTION("""COMPUTED_VALUE"""),713.0)</f>
        <v>713</v>
      </c>
      <c r="D445" s="3">
        <f>IFERROR(__xludf.DUMMYFUNCTION("""COMPUTED_VALUE"""),409.0)</f>
        <v>409</v>
      </c>
      <c r="E445" s="2"/>
      <c r="F445" s="2"/>
    </row>
    <row r="446">
      <c r="A446" s="2">
        <f>IFERROR(__xludf.DUMMYFUNCTION("""COMPUTED_VALUE"""),78631.0)</f>
        <v>78631</v>
      </c>
      <c r="B446" s="2">
        <f>IFERROR(__xludf.DUMMYFUNCTION("""COMPUTED_VALUE"""),1.0)</f>
        <v>1</v>
      </c>
      <c r="C446" s="2">
        <f>IFERROR(__xludf.DUMMYFUNCTION("""COMPUTED_VALUE"""),842.0)</f>
        <v>842</v>
      </c>
      <c r="D446" s="3">
        <f>IFERROR(__xludf.DUMMYFUNCTION("""COMPUTED_VALUE"""),452.0)</f>
        <v>452</v>
      </c>
      <c r="E446" s="2"/>
      <c r="F446" s="2"/>
    </row>
    <row r="447">
      <c r="A447" s="2">
        <f>IFERROR(__xludf.DUMMYFUNCTION("""COMPUTED_VALUE"""),120469.0)</f>
        <v>120469</v>
      </c>
      <c r="B447" s="2">
        <f>IFERROR(__xludf.DUMMYFUNCTION("""COMPUTED_VALUE"""),1.0)</f>
        <v>1</v>
      </c>
      <c r="C447" s="2">
        <f>IFERROR(__xludf.DUMMYFUNCTION("""COMPUTED_VALUE"""),396.0)</f>
        <v>396</v>
      </c>
      <c r="D447" s="3">
        <f>IFERROR(__xludf.DUMMYFUNCTION("""COMPUTED_VALUE"""),24.0)</f>
        <v>24</v>
      </c>
      <c r="E447" s="2"/>
      <c r="F447" s="2"/>
    </row>
    <row r="448">
      <c r="A448" s="2">
        <f>IFERROR(__xludf.DUMMYFUNCTION("""COMPUTED_VALUE"""),6523.0)</f>
        <v>6523</v>
      </c>
      <c r="B448" s="2">
        <f>IFERROR(__xludf.DUMMYFUNCTION("""COMPUTED_VALUE"""),0.0)</f>
        <v>0</v>
      </c>
      <c r="C448" s="2">
        <f>IFERROR(__xludf.DUMMYFUNCTION("""COMPUTED_VALUE"""),141.0)</f>
        <v>141</v>
      </c>
      <c r="D448" s="3">
        <f>IFERROR(__xludf.DUMMYFUNCTION("""COMPUTED_VALUE"""),38.0)</f>
        <v>38</v>
      </c>
      <c r="E448" s="2"/>
      <c r="F448" s="2"/>
    </row>
    <row r="449">
      <c r="A449" s="2">
        <f>IFERROR(__xludf.DUMMYFUNCTION("""COMPUTED_VALUE"""),41819.0)</f>
        <v>41819</v>
      </c>
      <c r="B449" s="2">
        <f>IFERROR(__xludf.DUMMYFUNCTION("""COMPUTED_VALUE"""),1.0)</f>
        <v>1</v>
      </c>
      <c r="C449" s="2">
        <f>IFERROR(__xludf.DUMMYFUNCTION("""COMPUTED_VALUE"""),668.0)</f>
        <v>668</v>
      </c>
      <c r="D449" s="3">
        <f>IFERROR(__xludf.DUMMYFUNCTION("""COMPUTED_VALUE"""),78.0)</f>
        <v>78</v>
      </c>
      <c r="E449" s="2"/>
      <c r="F449" s="2"/>
    </row>
    <row r="450">
      <c r="A450" s="2">
        <f>IFERROR(__xludf.DUMMYFUNCTION("""COMPUTED_VALUE"""),108889.0)</f>
        <v>108889</v>
      </c>
      <c r="B450" s="2">
        <f>IFERROR(__xludf.DUMMYFUNCTION("""COMPUTED_VALUE"""),1.0)</f>
        <v>1</v>
      </c>
      <c r="C450" s="2">
        <f>IFERROR(__xludf.DUMMYFUNCTION("""COMPUTED_VALUE"""),57.0)</f>
        <v>57</v>
      </c>
      <c r="D450" s="3">
        <f>IFERROR(__xludf.DUMMYFUNCTION("""COMPUTED_VALUE"""),15.0)</f>
        <v>15</v>
      </c>
      <c r="E450" s="2"/>
      <c r="F450" s="2"/>
    </row>
    <row r="451">
      <c r="A451" s="2">
        <f>IFERROR(__xludf.DUMMYFUNCTION("""COMPUTED_VALUE"""),92564.0)</f>
        <v>92564</v>
      </c>
      <c r="B451" s="2">
        <f>IFERROR(__xludf.DUMMYFUNCTION("""COMPUTED_VALUE"""),0.0)</f>
        <v>0</v>
      </c>
      <c r="C451" s="2">
        <f>IFERROR(__xludf.DUMMYFUNCTION("""COMPUTED_VALUE"""),179.0)</f>
        <v>179</v>
      </c>
      <c r="D451" s="3">
        <f>IFERROR(__xludf.DUMMYFUNCTION("""COMPUTED_VALUE"""),33.0)</f>
        <v>33</v>
      </c>
      <c r="E451" s="2"/>
      <c r="F451" s="2"/>
    </row>
    <row r="452">
      <c r="A452" s="2">
        <f>IFERROR(__xludf.DUMMYFUNCTION("""COMPUTED_VALUE"""),158456.0)</f>
        <v>158456</v>
      </c>
      <c r="B452" s="2">
        <f>IFERROR(__xludf.DUMMYFUNCTION("""COMPUTED_VALUE"""),0.0)</f>
        <v>0</v>
      </c>
      <c r="C452" s="2">
        <f>IFERROR(__xludf.DUMMYFUNCTION("""COMPUTED_VALUE"""),327.0)</f>
        <v>327</v>
      </c>
      <c r="D452" s="3">
        <f>IFERROR(__xludf.DUMMYFUNCTION("""COMPUTED_VALUE"""),240.0)</f>
        <v>240</v>
      </c>
      <c r="E452" s="2"/>
      <c r="F452" s="2"/>
    </row>
    <row r="453">
      <c r="A453" s="2">
        <f>IFERROR(__xludf.DUMMYFUNCTION("""COMPUTED_VALUE"""),111735.0)</f>
        <v>111735</v>
      </c>
      <c r="B453" s="2">
        <f>IFERROR(__xludf.DUMMYFUNCTION("""COMPUTED_VALUE"""),1.0)</f>
        <v>1</v>
      </c>
      <c r="C453" s="2">
        <f>IFERROR(__xludf.DUMMYFUNCTION("""COMPUTED_VALUE"""),855.0)</f>
        <v>855</v>
      </c>
      <c r="D453" s="3">
        <f>IFERROR(__xludf.DUMMYFUNCTION("""COMPUTED_VALUE"""),208.0)</f>
        <v>208</v>
      </c>
      <c r="E453" s="2"/>
      <c r="F453" s="2"/>
    </row>
    <row r="454">
      <c r="A454" s="2">
        <f>IFERROR(__xludf.DUMMYFUNCTION("""COMPUTED_VALUE"""),109537.0)</f>
        <v>109537</v>
      </c>
      <c r="B454" s="2">
        <f>IFERROR(__xludf.DUMMYFUNCTION("""COMPUTED_VALUE"""),0.0)</f>
        <v>0</v>
      </c>
      <c r="C454" s="2">
        <f>IFERROR(__xludf.DUMMYFUNCTION("""COMPUTED_VALUE"""),165.0)</f>
        <v>165</v>
      </c>
      <c r="D454" s="3">
        <f>IFERROR(__xludf.DUMMYFUNCTION("""COMPUTED_VALUE"""),146.0)</f>
        <v>146</v>
      </c>
      <c r="E454" s="2"/>
      <c r="F454" s="2"/>
    </row>
    <row r="455">
      <c r="A455" s="2">
        <f>IFERROR(__xludf.DUMMYFUNCTION("""COMPUTED_VALUE"""),109381.0)</f>
        <v>109381</v>
      </c>
      <c r="B455" s="2">
        <f>IFERROR(__xludf.DUMMYFUNCTION("""COMPUTED_VALUE"""),0.0)</f>
        <v>0</v>
      </c>
      <c r="C455" s="2">
        <f>IFERROR(__xludf.DUMMYFUNCTION("""COMPUTED_VALUE"""),413.0)</f>
        <v>413</v>
      </c>
      <c r="D455" s="3">
        <f>IFERROR(__xludf.DUMMYFUNCTION("""COMPUTED_VALUE"""),17.0)</f>
        <v>17</v>
      </c>
      <c r="E455" s="2"/>
      <c r="F455" s="2"/>
    </row>
    <row r="456">
      <c r="A456" s="2">
        <f>IFERROR(__xludf.DUMMYFUNCTION("""COMPUTED_VALUE"""),120944.0)</f>
        <v>120944</v>
      </c>
      <c r="B456" s="2">
        <f>IFERROR(__xludf.DUMMYFUNCTION("""COMPUTED_VALUE"""),0.0)</f>
        <v>0</v>
      </c>
      <c r="C456" s="2">
        <f>IFERROR(__xludf.DUMMYFUNCTION("""COMPUTED_VALUE"""),120.0)</f>
        <v>120</v>
      </c>
      <c r="D456" s="3">
        <f>IFERROR(__xludf.DUMMYFUNCTION("""COMPUTED_VALUE"""),87.0)</f>
        <v>87</v>
      </c>
      <c r="E456" s="2"/>
      <c r="F456" s="2"/>
    </row>
    <row r="457">
      <c r="A457" s="2">
        <f>IFERROR(__xludf.DUMMYFUNCTION("""COMPUTED_VALUE"""),29320.0)</f>
        <v>29320</v>
      </c>
      <c r="B457" s="2">
        <f>IFERROR(__xludf.DUMMYFUNCTION("""COMPUTED_VALUE"""),1.0)</f>
        <v>1</v>
      </c>
      <c r="C457" s="2">
        <f>IFERROR(__xludf.DUMMYFUNCTION("""COMPUTED_VALUE"""),165.0)</f>
        <v>165</v>
      </c>
      <c r="D457" s="3">
        <f>IFERROR(__xludf.DUMMYFUNCTION("""COMPUTED_VALUE"""),2.0)</f>
        <v>2</v>
      </c>
      <c r="E457" s="2"/>
      <c r="F457" s="2"/>
    </row>
    <row r="458">
      <c r="A458" s="2">
        <f>IFERROR(__xludf.DUMMYFUNCTION("""COMPUTED_VALUE"""),118222.0)</f>
        <v>118222</v>
      </c>
      <c r="B458" s="2">
        <f>IFERROR(__xludf.DUMMYFUNCTION("""COMPUTED_VALUE"""),1.0)</f>
        <v>1</v>
      </c>
      <c r="C458" s="2">
        <f>IFERROR(__xludf.DUMMYFUNCTION("""COMPUTED_VALUE"""),153.0)</f>
        <v>153</v>
      </c>
      <c r="D458" s="3">
        <f>IFERROR(__xludf.DUMMYFUNCTION("""COMPUTED_VALUE"""),7.0)</f>
        <v>7</v>
      </c>
      <c r="E458" s="2"/>
      <c r="F458" s="2"/>
    </row>
    <row r="459">
      <c r="A459" s="2">
        <f>IFERROR(__xludf.DUMMYFUNCTION("""COMPUTED_VALUE"""),108897.0)</f>
        <v>108897</v>
      </c>
      <c r="B459" s="2">
        <f>IFERROR(__xludf.DUMMYFUNCTION("""COMPUTED_VALUE"""),1.0)</f>
        <v>1</v>
      </c>
      <c r="C459" s="2">
        <f>IFERROR(__xludf.DUMMYFUNCTION("""COMPUTED_VALUE"""),667.0)</f>
        <v>667</v>
      </c>
      <c r="D459" s="3">
        <f>IFERROR(__xludf.DUMMYFUNCTION("""COMPUTED_VALUE"""),636.0)</f>
        <v>636</v>
      </c>
      <c r="E459" s="2"/>
      <c r="F459" s="2"/>
    </row>
    <row r="460">
      <c r="A460" s="2">
        <f>IFERROR(__xludf.DUMMYFUNCTION("""COMPUTED_VALUE"""),101565.0)</f>
        <v>101565</v>
      </c>
      <c r="B460" s="2">
        <f>IFERROR(__xludf.DUMMYFUNCTION("""COMPUTED_VALUE"""),1.0)</f>
        <v>1</v>
      </c>
      <c r="C460" s="2">
        <f>IFERROR(__xludf.DUMMYFUNCTION("""COMPUTED_VALUE"""),215.0)</f>
        <v>215</v>
      </c>
      <c r="D460" s="3">
        <f>IFERROR(__xludf.DUMMYFUNCTION("""COMPUTED_VALUE"""),116.0)</f>
        <v>116</v>
      </c>
      <c r="E460" s="2"/>
      <c r="F460" s="2"/>
    </row>
    <row r="461">
      <c r="A461" s="2">
        <f>IFERROR(__xludf.DUMMYFUNCTION("""COMPUTED_VALUE"""),29319.0)</f>
        <v>29319</v>
      </c>
      <c r="B461" s="2">
        <f>IFERROR(__xludf.DUMMYFUNCTION("""COMPUTED_VALUE"""),1.0)</f>
        <v>1</v>
      </c>
      <c r="C461" s="2">
        <f>IFERROR(__xludf.DUMMYFUNCTION("""COMPUTED_VALUE"""),544.0)</f>
        <v>544</v>
      </c>
      <c r="D461" s="3">
        <f>IFERROR(__xludf.DUMMYFUNCTION("""COMPUTED_VALUE"""),419.0)</f>
        <v>419</v>
      </c>
      <c r="E461" s="2"/>
      <c r="F461" s="2"/>
    </row>
    <row r="462">
      <c r="A462" s="2">
        <f>IFERROR(__xludf.DUMMYFUNCTION("""COMPUTED_VALUE"""),96444.0)</f>
        <v>96444</v>
      </c>
      <c r="B462" s="2">
        <f>IFERROR(__xludf.DUMMYFUNCTION("""COMPUTED_VALUE"""),0.0)</f>
        <v>0</v>
      </c>
      <c r="C462" s="2">
        <f>IFERROR(__xludf.DUMMYFUNCTION("""COMPUTED_VALUE"""),634.0)</f>
        <v>634</v>
      </c>
      <c r="D462" s="3">
        <f>IFERROR(__xludf.DUMMYFUNCTION("""COMPUTED_VALUE"""),438.0)</f>
        <v>438</v>
      </c>
      <c r="E462" s="2"/>
      <c r="F462" s="2"/>
    </row>
    <row r="463">
      <c r="A463" s="2">
        <f>IFERROR(__xludf.DUMMYFUNCTION("""COMPUTED_VALUE"""),101557.0)</f>
        <v>101557</v>
      </c>
      <c r="B463" s="2">
        <f>IFERROR(__xludf.DUMMYFUNCTION("""COMPUTED_VALUE"""),1.0)</f>
        <v>1</v>
      </c>
      <c r="C463" s="2">
        <f>IFERROR(__xludf.DUMMYFUNCTION("""COMPUTED_VALUE"""),302.0)</f>
        <v>302</v>
      </c>
      <c r="D463" s="3">
        <f>IFERROR(__xludf.DUMMYFUNCTION("""COMPUTED_VALUE"""),116.0)</f>
        <v>116</v>
      </c>
      <c r="E463" s="2"/>
      <c r="F463" s="2"/>
    </row>
    <row r="464">
      <c r="A464" s="2">
        <f>IFERROR(__xludf.DUMMYFUNCTION("""COMPUTED_VALUE"""),103610.0)</f>
        <v>103610</v>
      </c>
      <c r="B464" s="2">
        <f>IFERROR(__xludf.DUMMYFUNCTION("""COMPUTED_VALUE"""),1.0)</f>
        <v>1</v>
      </c>
      <c r="C464" s="2">
        <f>IFERROR(__xludf.DUMMYFUNCTION("""COMPUTED_VALUE"""),943.0)</f>
        <v>943</v>
      </c>
      <c r="D464" s="3">
        <f>IFERROR(__xludf.DUMMYFUNCTION("""COMPUTED_VALUE"""),773.0)</f>
        <v>773</v>
      </c>
      <c r="E464" s="2"/>
      <c r="F464" s="2"/>
    </row>
    <row r="465">
      <c r="A465" s="2">
        <f>IFERROR(__xludf.DUMMYFUNCTION("""COMPUTED_VALUE"""),181195.0)</f>
        <v>181195</v>
      </c>
      <c r="B465" s="2">
        <f>IFERROR(__xludf.DUMMYFUNCTION("""COMPUTED_VALUE"""),1.0)</f>
        <v>1</v>
      </c>
      <c r="C465" s="2">
        <f>IFERROR(__xludf.DUMMYFUNCTION("""COMPUTED_VALUE"""),110.0)</f>
        <v>110</v>
      </c>
      <c r="D465" s="3">
        <f>IFERROR(__xludf.DUMMYFUNCTION("""COMPUTED_VALUE"""),36.0)</f>
        <v>36</v>
      </c>
      <c r="E465" s="2"/>
      <c r="F465" s="2"/>
    </row>
    <row r="466">
      <c r="A466" s="2">
        <f>IFERROR(__xludf.DUMMYFUNCTION("""COMPUTED_VALUE"""),12639.0)</f>
        <v>12639</v>
      </c>
      <c r="B466" s="2">
        <f>IFERROR(__xludf.DUMMYFUNCTION("""COMPUTED_VALUE"""),1.0)</f>
        <v>1</v>
      </c>
      <c r="C466" s="2">
        <f>IFERROR(__xludf.DUMMYFUNCTION("""COMPUTED_VALUE"""),35.0)</f>
        <v>35</v>
      </c>
      <c r="D466" s="3">
        <f>IFERROR(__xludf.DUMMYFUNCTION("""COMPUTED_VALUE"""),11.0)</f>
        <v>11</v>
      </c>
      <c r="E466" s="2"/>
      <c r="F466" s="2"/>
    </row>
    <row r="467">
      <c r="A467" s="2">
        <f>IFERROR(__xludf.DUMMYFUNCTION("""COMPUTED_VALUE"""),158464.0)</f>
        <v>158464</v>
      </c>
      <c r="B467" s="2">
        <f>IFERROR(__xludf.DUMMYFUNCTION("""COMPUTED_VALUE"""),0.0)</f>
        <v>0</v>
      </c>
      <c r="C467" s="2">
        <f>IFERROR(__xludf.DUMMYFUNCTION("""COMPUTED_VALUE"""),361.0)</f>
        <v>361</v>
      </c>
      <c r="D467" s="3">
        <f>IFERROR(__xludf.DUMMYFUNCTION("""COMPUTED_VALUE"""),172.0)</f>
        <v>172</v>
      </c>
      <c r="E467" s="2"/>
      <c r="F467" s="2"/>
    </row>
    <row r="468">
      <c r="A468" s="2">
        <f>IFERROR(__xludf.DUMMYFUNCTION("""COMPUTED_VALUE"""),116525.0)</f>
        <v>116525</v>
      </c>
      <c r="B468" s="2">
        <f>IFERROR(__xludf.DUMMYFUNCTION("""COMPUTED_VALUE"""),1.0)</f>
        <v>1</v>
      </c>
      <c r="C468" s="2">
        <f>IFERROR(__xludf.DUMMYFUNCTION("""COMPUTED_VALUE"""),181.0)</f>
        <v>181</v>
      </c>
      <c r="D468" s="3">
        <f>IFERROR(__xludf.DUMMYFUNCTION("""COMPUTED_VALUE"""),144.0)</f>
        <v>144</v>
      </c>
      <c r="E468" s="2"/>
      <c r="F468" s="2"/>
    </row>
    <row r="469">
      <c r="A469" s="2">
        <f>IFERROR(__xludf.DUMMYFUNCTION("""COMPUTED_VALUE"""),116295.0)</f>
        <v>116295</v>
      </c>
      <c r="B469" s="2">
        <f>IFERROR(__xludf.DUMMYFUNCTION("""COMPUTED_VALUE"""),0.0)</f>
        <v>0</v>
      </c>
      <c r="C469" s="2">
        <f>IFERROR(__xludf.DUMMYFUNCTION("""COMPUTED_VALUE"""),760.0)</f>
        <v>760</v>
      </c>
      <c r="D469" s="3">
        <f>IFERROR(__xludf.DUMMYFUNCTION("""COMPUTED_VALUE"""),658.0)</f>
        <v>658</v>
      </c>
      <c r="E469" s="2"/>
      <c r="F469" s="2"/>
    </row>
    <row r="470">
      <c r="A470" s="2">
        <f>IFERROR(__xludf.DUMMYFUNCTION("""COMPUTED_VALUE"""),116297.0)</f>
        <v>116297</v>
      </c>
      <c r="B470" s="2">
        <f>IFERROR(__xludf.DUMMYFUNCTION("""COMPUTED_VALUE"""),1.0)</f>
        <v>1</v>
      </c>
      <c r="C470" s="2">
        <f>IFERROR(__xludf.DUMMYFUNCTION("""COMPUTED_VALUE"""),587.0)</f>
        <v>587</v>
      </c>
      <c r="D470" s="3">
        <f>IFERROR(__xludf.DUMMYFUNCTION("""COMPUTED_VALUE"""),477.0)</f>
        <v>477</v>
      </c>
      <c r="E470" s="2"/>
      <c r="F470" s="2"/>
    </row>
    <row r="471">
      <c r="A471" s="2">
        <f>IFERROR(__xludf.DUMMYFUNCTION("""COMPUTED_VALUE"""),11421.0)</f>
        <v>11421</v>
      </c>
      <c r="B471" s="2">
        <f>IFERROR(__xludf.DUMMYFUNCTION("""COMPUTED_VALUE"""),1.0)</f>
        <v>1</v>
      </c>
      <c r="C471" s="2">
        <f>IFERROR(__xludf.DUMMYFUNCTION("""COMPUTED_VALUE"""),642.0)</f>
        <v>642</v>
      </c>
      <c r="D471" s="3">
        <f>IFERROR(__xludf.DUMMYFUNCTION("""COMPUTED_VALUE"""),56.0)</f>
        <v>56</v>
      </c>
      <c r="E471" s="2"/>
      <c r="F471" s="2"/>
    </row>
    <row r="472">
      <c r="A472" s="2">
        <f>IFERROR(__xludf.DUMMYFUNCTION("""COMPUTED_VALUE"""),101549.0)</f>
        <v>101549</v>
      </c>
      <c r="B472" s="2">
        <f>IFERROR(__xludf.DUMMYFUNCTION("""COMPUTED_VALUE"""),0.0)</f>
        <v>0</v>
      </c>
      <c r="C472" s="2">
        <f>IFERROR(__xludf.DUMMYFUNCTION("""COMPUTED_VALUE"""),727.0)</f>
        <v>727</v>
      </c>
      <c r="D472" s="3">
        <f>IFERROR(__xludf.DUMMYFUNCTION("""COMPUTED_VALUE"""),398.0)</f>
        <v>398</v>
      </c>
      <c r="E472" s="2"/>
      <c r="F472" s="2"/>
    </row>
    <row r="473">
      <c r="A473" s="2">
        <f>IFERROR(__xludf.DUMMYFUNCTION("""COMPUTED_VALUE"""),109543.0)</f>
        <v>109543</v>
      </c>
      <c r="B473" s="2">
        <f>IFERROR(__xludf.DUMMYFUNCTION("""COMPUTED_VALUE"""),1.0)</f>
        <v>1</v>
      </c>
      <c r="C473" s="2">
        <f>IFERROR(__xludf.DUMMYFUNCTION("""COMPUTED_VALUE"""),658.0)</f>
        <v>658</v>
      </c>
      <c r="D473" s="3">
        <f>IFERROR(__xludf.DUMMYFUNCTION("""COMPUTED_VALUE"""),613.0)</f>
        <v>613</v>
      </c>
      <c r="E473" s="2"/>
      <c r="F473" s="2"/>
    </row>
    <row r="474">
      <c r="A474" s="2">
        <f>IFERROR(__xludf.DUMMYFUNCTION("""COMPUTED_VALUE"""),79318.0)</f>
        <v>79318</v>
      </c>
      <c r="B474" s="2">
        <f>IFERROR(__xludf.DUMMYFUNCTION("""COMPUTED_VALUE"""),1.0)</f>
        <v>1</v>
      </c>
      <c r="C474" s="2">
        <f>IFERROR(__xludf.DUMMYFUNCTION("""COMPUTED_VALUE"""),463.0)</f>
        <v>463</v>
      </c>
      <c r="D474" s="3">
        <f>IFERROR(__xludf.DUMMYFUNCTION("""COMPUTED_VALUE"""),429.0)</f>
        <v>429</v>
      </c>
      <c r="E474" s="2"/>
      <c r="F474" s="2"/>
    </row>
    <row r="475">
      <c r="A475" s="2">
        <f>IFERROR(__xludf.DUMMYFUNCTION("""COMPUTED_VALUE"""),2203.0)</f>
        <v>2203</v>
      </c>
      <c r="B475" s="2">
        <f>IFERROR(__xludf.DUMMYFUNCTION("""COMPUTED_VALUE"""),1.0)</f>
        <v>1</v>
      </c>
      <c r="C475" s="2">
        <f>IFERROR(__xludf.DUMMYFUNCTION("""COMPUTED_VALUE"""),893.0)</f>
        <v>893</v>
      </c>
      <c r="D475" s="3">
        <f>IFERROR(__xludf.DUMMYFUNCTION("""COMPUTED_VALUE"""),120.0)</f>
        <v>120</v>
      </c>
      <c r="E475" s="2"/>
      <c r="F475" s="2"/>
    </row>
    <row r="476">
      <c r="A476" s="2">
        <f>IFERROR(__xludf.DUMMYFUNCTION("""COMPUTED_VALUE"""),111727.0)</f>
        <v>111727</v>
      </c>
      <c r="B476" s="2">
        <f>IFERROR(__xludf.DUMMYFUNCTION("""COMPUTED_VALUE"""),0.0)</f>
        <v>0</v>
      </c>
      <c r="C476" s="2">
        <f>IFERROR(__xludf.DUMMYFUNCTION("""COMPUTED_VALUE"""),931.0)</f>
        <v>931</v>
      </c>
      <c r="D476" s="3">
        <f>IFERROR(__xludf.DUMMYFUNCTION("""COMPUTED_VALUE"""),238.0)</f>
        <v>238</v>
      </c>
      <c r="E476" s="2"/>
      <c r="F476" s="2"/>
    </row>
    <row r="477">
      <c r="A477" s="2">
        <f>IFERROR(__xludf.DUMMYFUNCTION("""COMPUTED_VALUE"""),118151.0)</f>
        <v>118151</v>
      </c>
      <c r="B477" s="2">
        <f>IFERROR(__xludf.DUMMYFUNCTION("""COMPUTED_VALUE"""),0.0)</f>
        <v>0</v>
      </c>
      <c r="C477" s="2">
        <f>IFERROR(__xludf.DUMMYFUNCTION("""COMPUTED_VALUE"""),654.0)</f>
        <v>654</v>
      </c>
      <c r="D477" s="3">
        <f>IFERROR(__xludf.DUMMYFUNCTION("""COMPUTED_VALUE"""),84.0)</f>
        <v>84</v>
      </c>
      <c r="E477" s="2"/>
      <c r="F477" s="2"/>
    </row>
    <row r="478">
      <c r="A478" s="2">
        <f>IFERROR(__xludf.DUMMYFUNCTION("""COMPUTED_VALUE"""),108888.0)</f>
        <v>108888</v>
      </c>
      <c r="B478" s="2">
        <f>IFERROR(__xludf.DUMMYFUNCTION("""COMPUTED_VALUE"""),0.0)</f>
        <v>0</v>
      </c>
      <c r="C478" s="2">
        <f>IFERROR(__xludf.DUMMYFUNCTION("""COMPUTED_VALUE"""),833.0)</f>
        <v>833</v>
      </c>
      <c r="D478" s="3">
        <f>IFERROR(__xludf.DUMMYFUNCTION("""COMPUTED_VALUE"""),305.0)</f>
        <v>305</v>
      </c>
      <c r="E478" s="2"/>
      <c r="F478" s="2"/>
    </row>
    <row r="479">
      <c r="A479" s="2">
        <f>IFERROR(__xludf.DUMMYFUNCTION("""COMPUTED_VALUE"""),120465.0)</f>
        <v>120465</v>
      </c>
      <c r="B479" s="2">
        <f>IFERROR(__xludf.DUMMYFUNCTION("""COMPUTED_VALUE"""),0.0)</f>
        <v>0</v>
      </c>
      <c r="C479" s="2">
        <f>IFERROR(__xludf.DUMMYFUNCTION("""COMPUTED_VALUE"""),510.0)</f>
        <v>510</v>
      </c>
      <c r="D479" s="3">
        <f>IFERROR(__xludf.DUMMYFUNCTION("""COMPUTED_VALUE"""),227.0)</f>
        <v>227</v>
      </c>
      <c r="E479" s="2"/>
      <c r="F479" s="2"/>
    </row>
    <row r="480">
      <c r="A480" s="2">
        <f>IFERROR(__xludf.DUMMYFUNCTION("""COMPUTED_VALUE"""),92561.0)</f>
        <v>92561</v>
      </c>
      <c r="B480" s="2">
        <f>IFERROR(__xludf.DUMMYFUNCTION("""COMPUTED_VALUE"""),1.0)</f>
        <v>1</v>
      </c>
      <c r="C480" s="2">
        <f>IFERROR(__xludf.DUMMYFUNCTION("""COMPUTED_VALUE"""),428.0)</f>
        <v>428</v>
      </c>
      <c r="D480" s="3">
        <f>IFERROR(__xludf.DUMMYFUNCTION("""COMPUTED_VALUE"""),45.0)</f>
        <v>45</v>
      </c>
      <c r="E480" s="2"/>
      <c r="F480" s="2"/>
    </row>
    <row r="481">
      <c r="A481" s="2">
        <f>IFERROR(__xludf.DUMMYFUNCTION("""COMPUTED_VALUE"""),150294.0)</f>
        <v>150294</v>
      </c>
      <c r="B481" s="2">
        <f>IFERROR(__xludf.DUMMYFUNCTION("""COMPUTED_VALUE"""),1.0)</f>
        <v>1</v>
      </c>
      <c r="C481" s="2">
        <f>IFERROR(__xludf.DUMMYFUNCTION("""COMPUTED_VALUE"""),185.0)</f>
        <v>185</v>
      </c>
      <c r="D481" s="3">
        <f>IFERROR(__xludf.DUMMYFUNCTION("""COMPUTED_VALUE"""),146.0)</f>
        <v>146</v>
      </c>
      <c r="E481" s="2"/>
      <c r="F481" s="2"/>
    </row>
    <row r="482">
      <c r="A482" s="2">
        <f>IFERROR(__xludf.DUMMYFUNCTION("""COMPUTED_VALUE"""),108895.0)</f>
        <v>108895</v>
      </c>
      <c r="B482" s="2">
        <f>IFERROR(__xludf.DUMMYFUNCTION("""COMPUTED_VALUE"""),0.0)</f>
        <v>0</v>
      </c>
      <c r="C482" s="2">
        <f>IFERROR(__xludf.DUMMYFUNCTION("""COMPUTED_VALUE"""),538.0)</f>
        <v>538</v>
      </c>
      <c r="D482" s="3">
        <f>IFERROR(__xludf.DUMMYFUNCTION("""COMPUTED_VALUE"""),366.0)</f>
        <v>366</v>
      </c>
      <c r="E482" s="2"/>
      <c r="F482" s="2"/>
    </row>
    <row r="483">
      <c r="A483" s="2">
        <f>IFERROR(__xludf.DUMMYFUNCTION("""COMPUTED_VALUE"""),41666.0)</f>
        <v>41666</v>
      </c>
      <c r="B483" s="2">
        <f>IFERROR(__xludf.DUMMYFUNCTION("""COMPUTED_VALUE"""),0.0)</f>
        <v>0</v>
      </c>
      <c r="C483" s="2">
        <f>IFERROR(__xludf.DUMMYFUNCTION("""COMPUTED_VALUE"""),363.0)</f>
        <v>363</v>
      </c>
      <c r="D483" s="3">
        <f>IFERROR(__xludf.DUMMYFUNCTION("""COMPUTED_VALUE"""),288.0)</f>
        <v>288</v>
      </c>
      <c r="E483" s="2"/>
      <c r="F483" s="2"/>
    </row>
    <row r="484">
      <c r="A484" s="2">
        <f>IFERROR(__xludf.DUMMYFUNCTION("""COMPUTED_VALUE"""),41816.0)</f>
        <v>41816</v>
      </c>
      <c r="B484" s="2">
        <f>IFERROR(__xludf.DUMMYFUNCTION("""COMPUTED_VALUE"""),1.0)</f>
        <v>1</v>
      </c>
      <c r="C484" s="2">
        <f>IFERROR(__xludf.DUMMYFUNCTION("""COMPUTED_VALUE"""),143.0)</f>
        <v>143</v>
      </c>
      <c r="D484" s="3">
        <f>IFERROR(__xludf.DUMMYFUNCTION("""COMPUTED_VALUE"""),140.0)</f>
        <v>140</v>
      </c>
      <c r="E484" s="2"/>
      <c r="F484" s="2"/>
    </row>
    <row r="485">
      <c r="A485" s="2">
        <f>IFERROR(__xludf.DUMMYFUNCTION("""COMPUTED_VALUE"""),99779.0)</f>
        <v>99779</v>
      </c>
      <c r="B485" s="2">
        <f>IFERROR(__xludf.DUMMYFUNCTION("""COMPUTED_VALUE"""),1.0)</f>
        <v>1</v>
      </c>
      <c r="C485" s="2">
        <f>IFERROR(__xludf.DUMMYFUNCTION("""COMPUTED_VALUE"""),950.0)</f>
        <v>950</v>
      </c>
      <c r="D485" s="3">
        <f>IFERROR(__xludf.DUMMYFUNCTION("""COMPUTED_VALUE"""),437.0)</f>
        <v>437</v>
      </c>
      <c r="E485" s="2"/>
      <c r="F485" s="2"/>
    </row>
    <row r="486">
      <c r="A486" s="2">
        <f>IFERROR(__xludf.DUMMYFUNCTION("""COMPUTED_VALUE"""),111716.0)</f>
        <v>111716</v>
      </c>
      <c r="B486" s="2">
        <f>IFERROR(__xludf.DUMMYFUNCTION("""COMPUTED_VALUE"""),0.0)</f>
        <v>0</v>
      </c>
      <c r="C486" s="2">
        <f>IFERROR(__xludf.DUMMYFUNCTION("""COMPUTED_VALUE"""),940.0)</f>
        <v>940</v>
      </c>
      <c r="D486" s="3">
        <f>IFERROR(__xludf.DUMMYFUNCTION("""COMPUTED_VALUE"""),696.0)</f>
        <v>696</v>
      </c>
      <c r="E486" s="2"/>
      <c r="F486" s="2"/>
    </row>
    <row r="487">
      <c r="A487" s="2">
        <f>IFERROR(__xludf.DUMMYFUNCTION("""COMPUTED_VALUE"""),96443.0)</f>
        <v>96443</v>
      </c>
      <c r="B487" s="2">
        <f>IFERROR(__xludf.DUMMYFUNCTION("""COMPUTED_VALUE"""),1.0)</f>
        <v>1</v>
      </c>
      <c r="C487" s="2">
        <f>IFERROR(__xludf.DUMMYFUNCTION("""COMPUTED_VALUE"""),134.0)</f>
        <v>134</v>
      </c>
      <c r="D487" s="3">
        <f>IFERROR(__xludf.DUMMYFUNCTION("""COMPUTED_VALUE"""),63.0)</f>
        <v>63</v>
      </c>
      <c r="E487" s="2"/>
      <c r="F487" s="2"/>
    </row>
    <row r="488">
      <c r="A488" s="2">
        <f>IFERROR(__xludf.DUMMYFUNCTION("""COMPUTED_VALUE"""),193187.0)</f>
        <v>193187</v>
      </c>
      <c r="B488" s="2">
        <f>IFERROR(__xludf.DUMMYFUNCTION("""COMPUTED_VALUE"""),1.0)</f>
        <v>1</v>
      </c>
      <c r="C488" s="2">
        <f>IFERROR(__xludf.DUMMYFUNCTION("""COMPUTED_VALUE"""),442.0)</f>
        <v>442</v>
      </c>
      <c r="D488" s="3">
        <f>IFERROR(__xludf.DUMMYFUNCTION("""COMPUTED_VALUE"""),359.0)</f>
        <v>359</v>
      </c>
      <c r="E488" s="2"/>
      <c r="F488" s="2"/>
    </row>
    <row r="489">
      <c r="A489" s="2">
        <f>IFERROR(__xludf.DUMMYFUNCTION("""COMPUTED_VALUE"""),96068.0)</f>
        <v>96068</v>
      </c>
      <c r="B489" s="2">
        <f>IFERROR(__xludf.DUMMYFUNCTION("""COMPUTED_VALUE"""),0.0)</f>
        <v>0</v>
      </c>
      <c r="C489" s="2">
        <f>IFERROR(__xludf.DUMMYFUNCTION("""COMPUTED_VALUE"""),74.0)</f>
        <v>74</v>
      </c>
      <c r="D489" s="3">
        <f>IFERROR(__xludf.DUMMYFUNCTION("""COMPUTED_VALUE"""),14.0)</f>
        <v>14</v>
      </c>
      <c r="E489" s="2"/>
      <c r="F489" s="2"/>
    </row>
    <row r="490">
      <c r="A490" s="2">
        <f>IFERROR(__xludf.DUMMYFUNCTION("""COMPUTED_VALUE"""),3227.0)</f>
        <v>3227</v>
      </c>
      <c r="B490" s="2">
        <f>IFERROR(__xludf.DUMMYFUNCTION("""COMPUTED_VALUE"""),1.0)</f>
        <v>1</v>
      </c>
      <c r="C490" s="2">
        <f>IFERROR(__xludf.DUMMYFUNCTION("""COMPUTED_VALUE"""),697.0)</f>
        <v>697</v>
      </c>
      <c r="D490" s="3">
        <f>IFERROR(__xludf.DUMMYFUNCTION("""COMPUTED_VALUE"""),610.0)</f>
        <v>610</v>
      </c>
      <c r="E490" s="2"/>
      <c r="F490" s="2"/>
    </row>
    <row r="491">
      <c r="A491" s="2">
        <f>IFERROR(__xludf.DUMMYFUNCTION("""COMPUTED_VALUE"""),193183.0)</f>
        <v>193183</v>
      </c>
      <c r="B491" s="2">
        <f>IFERROR(__xludf.DUMMYFUNCTION("""COMPUTED_VALUE"""),0.0)</f>
        <v>0</v>
      </c>
      <c r="C491" s="2">
        <f>IFERROR(__xludf.DUMMYFUNCTION("""COMPUTED_VALUE"""),618.0)</f>
        <v>618</v>
      </c>
      <c r="D491" s="3">
        <f>IFERROR(__xludf.DUMMYFUNCTION("""COMPUTED_VALUE"""),353.0)</f>
        <v>353</v>
      </c>
      <c r="E491" s="2"/>
      <c r="F491" s="2"/>
    </row>
    <row r="492">
      <c r="A492" s="2">
        <f>IFERROR(__xludf.DUMMYFUNCTION("""COMPUTED_VALUE"""),120945.0)</f>
        <v>120945</v>
      </c>
      <c r="B492" s="2">
        <f>IFERROR(__xludf.DUMMYFUNCTION("""COMPUTED_VALUE"""),0.0)</f>
        <v>0</v>
      </c>
      <c r="C492" s="2">
        <f>IFERROR(__xludf.DUMMYFUNCTION("""COMPUTED_VALUE"""),646.0)</f>
        <v>646</v>
      </c>
      <c r="D492" s="3">
        <f>IFERROR(__xludf.DUMMYFUNCTION("""COMPUTED_VALUE"""),335.0)</f>
        <v>335</v>
      </c>
      <c r="E492" s="2"/>
      <c r="F492" s="2"/>
    </row>
    <row r="493">
      <c r="A493" s="2">
        <f>IFERROR(__xludf.DUMMYFUNCTION("""COMPUTED_VALUE"""),110940.0)</f>
        <v>110940</v>
      </c>
      <c r="B493" s="2">
        <f>IFERROR(__xludf.DUMMYFUNCTION("""COMPUTED_VALUE"""),0.0)</f>
        <v>0</v>
      </c>
      <c r="C493" s="2">
        <f>IFERROR(__xludf.DUMMYFUNCTION("""COMPUTED_VALUE"""),2.0)</f>
        <v>2</v>
      </c>
      <c r="D493" s="3">
        <f>IFERROR(__xludf.DUMMYFUNCTION("""COMPUTED_VALUE"""),1.0)</f>
        <v>1</v>
      </c>
      <c r="E493" s="2"/>
      <c r="F493" s="2"/>
    </row>
    <row r="494">
      <c r="A494" s="2">
        <f>IFERROR(__xludf.DUMMYFUNCTION("""COMPUTED_VALUE"""),110942.0)</f>
        <v>110942</v>
      </c>
      <c r="B494" s="2">
        <f>IFERROR(__xludf.DUMMYFUNCTION("""COMPUTED_VALUE"""),0.0)</f>
        <v>0</v>
      </c>
      <c r="C494" s="2">
        <f>IFERROR(__xludf.DUMMYFUNCTION("""COMPUTED_VALUE"""),308.0)</f>
        <v>308</v>
      </c>
      <c r="D494" s="3">
        <f>IFERROR(__xludf.DUMMYFUNCTION("""COMPUTED_VALUE"""),276.0)</f>
        <v>276</v>
      </c>
      <c r="E494" s="2"/>
      <c r="F494" s="2"/>
    </row>
    <row r="495">
      <c r="A495" s="2">
        <f>IFERROR(__xludf.DUMMYFUNCTION("""COMPUTED_VALUE"""),142301.0)</f>
        <v>142301</v>
      </c>
      <c r="B495" s="2">
        <f>IFERROR(__xludf.DUMMYFUNCTION("""COMPUTED_VALUE"""),1.0)</f>
        <v>1</v>
      </c>
      <c r="C495" s="2">
        <f>IFERROR(__xludf.DUMMYFUNCTION("""COMPUTED_VALUE"""),876.0)</f>
        <v>876</v>
      </c>
      <c r="D495" s="3">
        <f>IFERROR(__xludf.DUMMYFUNCTION("""COMPUTED_VALUE"""),200.0)</f>
        <v>200</v>
      </c>
      <c r="E495" s="2"/>
      <c r="F495" s="2"/>
    </row>
    <row r="496">
      <c r="A496" s="2">
        <f>IFERROR(__xludf.DUMMYFUNCTION("""COMPUTED_VALUE"""),109760.0)</f>
        <v>109760</v>
      </c>
      <c r="B496" s="2">
        <f>IFERROR(__xludf.DUMMYFUNCTION("""COMPUTED_VALUE"""),0.0)</f>
        <v>0</v>
      </c>
      <c r="C496" s="2">
        <f>IFERROR(__xludf.DUMMYFUNCTION("""COMPUTED_VALUE"""),271.0)</f>
        <v>271</v>
      </c>
      <c r="D496" s="3">
        <f>IFERROR(__xludf.DUMMYFUNCTION("""COMPUTED_VALUE"""),30.0)</f>
        <v>30</v>
      </c>
      <c r="E496" s="2"/>
      <c r="F496" s="2"/>
    </row>
    <row r="497">
      <c r="A497" s="2">
        <f>IFERROR(__xludf.DUMMYFUNCTION("""COMPUTED_VALUE"""),100392.0)</f>
        <v>100392</v>
      </c>
      <c r="B497" s="2">
        <f>IFERROR(__xludf.DUMMYFUNCTION("""COMPUTED_VALUE"""),0.0)</f>
        <v>0</v>
      </c>
      <c r="C497" s="2">
        <f>IFERROR(__xludf.DUMMYFUNCTION("""COMPUTED_VALUE"""),290.0)</f>
        <v>290</v>
      </c>
      <c r="D497" s="3">
        <f>IFERROR(__xludf.DUMMYFUNCTION("""COMPUTED_VALUE"""),209.0)</f>
        <v>209</v>
      </c>
      <c r="E497" s="2"/>
      <c r="F497" s="2"/>
    </row>
    <row r="498">
      <c r="A498" s="2">
        <f>IFERROR(__xludf.DUMMYFUNCTION("""COMPUTED_VALUE"""),109763.0)</f>
        <v>109763</v>
      </c>
      <c r="B498" s="2">
        <f>IFERROR(__xludf.DUMMYFUNCTION("""COMPUTED_VALUE"""),1.0)</f>
        <v>1</v>
      </c>
      <c r="C498" s="2">
        <f>IFERROR(__xludf.DUMMYFUNCTION("""COMPUTED_VALUE"""),428.0)</f>
        <v>428</v>
      </c>
      <c r="D498" s="3">
        <f>IFERROR(__xludf.DUMMYFUNCTION("""COMPUTED_VALUE"""),184.0)</f>
        <v>184</v>
      </c>
      <c r="E498" s="2"/>
      <c r="F498" s="2"/>
    </row>
    <row r="499">
      <c r="A499" s="2">
        <f>IFERROR(__xludf.DUMMYFUNCTION("""COMPUTED_VALUE"""),7271.0)</f>
        <v>7271</v>
      </c>
      <c r="B499" s="2">
        <f>IFERROR(__xludf.DUMMYFUNCTION("""COMPUTED_VALUE"""),1.0)</f>
        <v>1</v>
      </c>
      <c r="C499" s="2">
        <f>IFERROR(__xludf.DUMMYFUNCTION("""COMPUTED_VALUE"""),437.0)</f>
        <v>437</v>
      </c>
      <c r="D499" s="3">
        <f>IFERROR(__xludf.DUMMYFUNCTION("""COMPUTED_VALUE"""),424.0)</f>
        <v>424</v>
      </c>
      <c r="E499" s="2"/>
      <c r="F499" s="2"/>
    </row>
    <row r="500">
      <c r="A500" s="2">
        <f>IFERROR(__xludf.DUMMYFUNCTION("""COMPUTED_VALUE"""),7267.0)</f>
        <v>7267</v>
      </c>
      <c r="B500" s="2">
        <f>IFERROR(__xludf.DUMMYFUNCTION("""COMPUTED_VALUE"""),1.0)</f>
        <v>1</v>
      </c>
      <c r="C500" s="2">
        <f>IFERROR(__xludf.DUMMYFUNCTION("""COMPUTED_VALUE"""),946.0)</f>
        <v>946</v>
      </c>
      <c r="D500" s="3">
        <f>IFERROR(__xludf.DUMMYFUNCTION("""COMPUTED_VALUE"""),425.0)</f>
        <v>425</v>
      </c>
      <c r="E500" s="2"/>
      <c r="F500" s="2"/>
    </row>
    <row r="501">
      <c r="A501" s="2">
        <f>IFERROR(__xludf.DUMMYFUNCTION("""COMPUTED_VALUE"""),128412.0)</f>
        <v>128412</v>
      </c>
      <c r="B501" s="2">
        <f>IFERROR(__xludf.DUMMYFUNCTION("""COMPUTED_VALUE"""),1.0)</f>
        <v>1</v>
      </c>
      <c r="C501" s="2">
        <f>IFERROR(__xludf.DUMMYFUNCTION("""COMPUTED_VALUE"""),224.0)</f>
        <v>224</v>
      </c>
      <c r="D501" s="3">
        <f>IFERROR(__xludf.DUMMYFUNCTION("""COMPUTED_VALUE"""),59.0)</f>
        <v>59</v>
      </c>
      <c r="E501" s="2"/>
      <c r="F501" s="2"/>
    </row>
    <row r="502">
      <c r="A502" s="2">
        <f>IFERROR(__xludf.DUMMYFUNCTION("""COMPUTED_VALUE"""),7268.0)</f>
        <v>7268</v>
      </c>
      <c r="B502" s="2">
        <f>IFERROR(__xludf.DUMMYFUNCTION("""COMPUTED_VALUE"""),1.0)</f>
        <v>1</v>
      </c>
      <c r="C502" s="2">
        <f>IFERROR(__xludf.DUMMYFUNCTION("""COMPUTED_VALUE"""),207.0)</f>
        <v>207</v>
      </c>
      <c r="D502" s="3">
        <f>IFERROR(__xludf.DUMMYFUNCTION("""COMPUTED_VALUE"""),6.0)</f>
        <v>6</v>
      </c>
      <c r="E502" s="2"/>
      <c r="F502" s="2"/>
    </row>
    <row r="503">
      <c r="A503" s="2">
        <f>IFERROR(__xludf.DUMMYFUNCTION("""COMPUTED_VALUE"""),124701.0)</f>
        <v>124701</v>
      </c>
      <c r="B503" s="2">
        <f>IFERROR(__xludf.DUMMYFUNCTION("""COMPUTED_VALUE"""),1.0)</f>
        <v>1</v>
      </c>
      <c r="C503" s="2">
        <f>IFERROR(__xludf.DUMMYFUNCTION("""COMPUTED_VALUE"""),925.0)</f>
        <v>925</v>
      </c>
      <c r="D503" s="3">
        <f>IFERROR(__xludf.DUMMYFUNCTION("""COMPUTED_VALUE"""),849.0)</f>
        <v>849</v>
      </c>
      <c r="E503" s="2"/>
      <c r="F503" s="2"/>
    </row>
    <row r="504">
      <c r="A504" s="2">
        <f>IFERROR(__xludf.DUMMYFUNCTION("""COMPUTED_VALUE"""),110007.0)</f>
        <v>110007</v>
      </c>
      <c r="B504" s="2">
        <f>IFERROR(__xludf.DUMMYFUNCTION("""COMPUTED_VALUE"""),1.0)</f>
        <v>1</v>
      </c>
      <c r="C504" s="2">
        <f>IFERROR(__xludf.DUMMYFUNCTION("""COMPUTED_VALUE"""),739.0)</f>
        <v>739</v>
      </c>
      <c r="D504" s="3">
        <f>IFERROR(__xludf.DUMMYFUNCTION("""COMPUTED_VALUE"""),359.0)</f>
        <v>359</v>
      </c>
      <c r="E504" s="2"/>
      <c r="F504" s="2"/>
    </row>
    <row r="505">
      <c r="A505" s="2">
        <f>IFERROR(__xludf.DUMMYFUNCTION("""COMPUTED_VALUE"""),7266.0)</f>
        <v>7266</v>
      </c>
      <c r="B505" s="2">
        <f>IFERROR(__xludf.DUMMYFUNCTION("""COMPUTED_VALUE"""),0.0)</f>
        <v>0</v>
      </c>
      <c r="C505" s="2">
        <f>IFERROR(__xludf.DUMMYFUNCTION("""COMPUTED_VALUE"""),781.0)</f>
        <v>781</v>
      </c>
      <c r="D505" s="3">
        <f>IFERROR(__xludf.DUMMYFUNCTION("""COMPUTED_VALUE"""),629.0)</f>
        <v>629</v>
      </c>
      <c r="E505" s="2"/>
      <c r="F505" s="2"/>
    </row>
    <row r="506">
      <c r="A506" s="2">
        <f>IFERROR(__xludf.DUMMYFUNCTION("""COMPUTED_VALUE"""),7269.0)</f>
        <v>7269</v>
      </c>
      <c r="B506" s="2">
        <f>IFERROR(__xludf.DUMMYFUNCTION("""COMPUTED_VALUE"""),1.0)</f>
        <v>1</v>
      </c>
      <c r="C506" s="2">
        <f>IFERROR(__xludf.DUMMYFUNCTION("""COMPUTED_VALUE"""),811.0)</f>
        <v>811</v>
      </c>
      <c r="D506" s="3">
        <f>IFERROR(__xludf.DUMMYFUNCTION("""COMPUTED_VALUE"""),298.0)</f>
        <v>298</v>
      </c>
      <c r="E506" s="2"/>
      <c r="F506" s="2"/>
    </row>
    <row r="507">
      <c r="A507" s="2">
        <f>IFERROR(__xludf.DUMMYFUNCTION("""COMPUTED_VALUE"""),100393.0)</f>
        <v>100393</v>
      </c>
      <c r="B507" s="2">
        <f>IFERROR(__xludf.DUMMYFUNCTION("""COMPUTED_VALUE"""),0.0)</f>
        <v>0</v>
      </c>
      <c r="C507" s="2">
        <f>IFERROR(__xludf.DUMMYFUNCTION("""COMPUTED_VALUE"""),952.0)</f>
        <v>952</v>
      </c>
      <c r="D507" s="3">
        <f>IFERROR(__xludf.DUMMYFUNCTION("""COMPUTED_VALUE"""),781.0)</f>
        <v>781</v>
      </c>
      <c r="E507" s="2"/>
      <c r="F507" s="2"/>
    </row>
    <row r="508">
      <c r="A508" s="2">
        <f>IFERROR(__xludf.DUMMYFUNCTION("""COMPUTED_VALUE"""),110009.0)</f>
        <v>110009</v>
      </c>
      <c r="B508" s="2">
        <f>IFERROR(__xludf.DUMMYFUNCTION("""COMPUTED_VALUE"""),1.0)</f>
        <v>1</v>
      </c>
      <c r="C508" s="2">
        <f>IFERROR(__xludf.DUMMYFUNCTION("""COMPUTED_VALUE"""),2.0)</f>
        <v>2</v>
      </c>
      <c r="D508" s="3">
        <f>IFERROR(__xludf.DUMMYFUNCTION("""COMPUTED_VALUE"""),1.0)</f>
        <v>1</v>
      </c>
      <c r="E508" s="2"/>
      <c r="F508" s="2"/>
    </row>
    <row r="509">
      <c r="A509" s="2">
        <f>IFERROR(__xludf.DUMMYFUNCTION("""COMPUTED_VALUE"""),100394.0)</f>
        <v>100394</v>
      </c>
      <c r="B509" s="2">
        <f>IFERROR(__xludf.DUMMYFUNCTION("""COMPUTED_VALUE"""),0.0)</f>
        <v>0</v>
      </c>
      <c r="C509" s="2">
        <f>IFERROR(__xludf.DUMMYFUNCTION("""COMPUTED_VALUE"""),193.0)</f>
        <v>193</v>
      </c>
      <c r="D509" s="3">
        <f>IFERROR(__xludf.DUMMYFUNCTION("""COMPUTED_VALUE"""),123.0)</f>
        <v>123</v>
      </c>
      <c r="E509" s="2"/>
      <c r="F509" s="2"/>
    </row>
    <row r="510">
      <c r="A510" s="2">
        <f>IFERROR(__xludf.DUMMYFUNCTION("""COMPUTED_VALUE"""),118248.0)</f>
        <v>118248</v>
      </c>
      <c r="B510" s="2">
        <f>IFERROR(__xludf.DUMMYFUNCTION("""COMPUTED_VALUE"""),0.0)</f>
        <v>0</v>
      </c>
      <c r="C510" s="2">
        <f>IFERROR(__xludf.DUMMYFUNCTION("""COMPUTED_VALUE"""),202.0)</f>
        <v>202</v>
      </c>
      <c r="D510" s="3">
        <f>IFERROR(__xludf.DUMMYFUNCTION("""COMPUTED_VALUE"""),167.0)</f>
        <v>167</v>
      </c>
      <c r="E510" s="2"/>
      <c r="F510" s="2"/>
    </row>
    <row r="511">
      <c r="A511" s="2">
        <f>IFERROR(__xludf.DUMMYFUNCTION("""COMPUTED_VALUE"""),118467.0)</f>
        <v>118467</v>
      </c>
      <c r="B511" s="2">
        <f>IFERROR(__xludf.DUMMYFUNCTION("""COMPUTED_VALUE"""),1.0)</f>
        <v>1</v>
      </c>
      <c r="C511" s="2">
        <f>IFERROR(__xludf.DUMMYFUNCTION("""COMPUTED_VALUE"""),282.0)</f>
        <v>282</v>
      </c>
      <c r="D511" s="3">
        <f>IFERROR(__xludf.DUMMYFUNCTION("""COMPUTED_VALUE"""),161.0)</f>
        <v>161</v>
      </c>
      <c r="E511" s="2"/>
      <c r="F511" s="2"/>
    </row>
    <row r="512">
      <c r="A512" s="2">
        <f>IFERROR(__xludf.DUMMYFUNCTION("""COMPUTED_VALUE"""),118465.0)</f>
        <v>118465</v>
      </c>
      <c r="B512" s="2">
        <f>IFERROR(__xludf.DUMMYFUNCTION("""COMPUTED_VALUE"""),0.0)</f>
        <v>0</v>
      </c>
      <c r="C512" s="2">
        <f>IFERROR(__xludf.DUMMYFUNCTION("""COMPUTED_VALUE"""),793.0)</f>
        <v>793</v>
      </c>
      <c r="D512" s="3">
        <f>IFERROR(__xludf.DUMMYFUNCTION("""COMPUTED_VALUE"""),250.0)</f>
        <v>250</v>
      </c>
      <c r="E512" s="2"/>
      <c r="F512" s="2"/>
    </row>
    <row r="513">
      <c r="A513" s="2">
        <f>IFERROR(__xludf.DUMMYFUNCTION("""COMPUTED_VALUE"""),118450.0)</f>
        <v>118450</v>
      </c>
      <c r="B513" s="2">
        <f>IFERROR(__xludf.DUMMYFUNCTION("""COMPUTED_VALUE"""),0.0)</f>
        <v>0</v>
      </c>
      <c r="C513" s="2">
        <f>IFERROR(__xludf.DUMMYFUNCTION("""COMPUTED_VALUE"""),385.0)</f>
        <v>385</v>
      </c>
      <c r="D513" s="3">
        <f>IFERROR(__xludf.DUMMYFUNCTION("""COMPUTED_VALUE"""),232.0)</f>
        <v>232</v>
      </c>
      <c r="E513" s="2"/>
      <c r="F513" s="2"/>
    </row>
    <row r="514">
      <c r="A514" s="2">
        <f>IFERROR(__xludf.DUMMYFUNCTION("""COMPUTED_VALUE"""),118457.0)</f>
        <v>118457</v>
      </c>
      <c r="B514" s="2">
        <f>IFERROR(__xludf.DUMMYFUNCTION("""COMPUTED_VALUE"""),1.0)</f>
        <v>1</v>
      </c>
      <c r="C514" s="2">
        <f>IFERROR(__xludf.DUMMYFUNCTION("""COMPUTED_VALUE"""),35.0)</f>
        <v>35</v>
      </c>
      <c r="D514" s="3">
        <f>IFERROR(__xludf.DUMMYFUNCTION("""COMPUTED_VALUE"""),15.0)</f>
        <v>15</v>
      </c>
      <c r="E514" s="2"/>
      <c r="F514" s="2"/>
    </row>
    <row r="515">
      <c r="A515" s="2">
        <f>IFERROR(__xludf.DUMMYFUNCTION("""COMPUTED_VALUE"""),118463.0)</f>
        <v>118463</v>
      </c>
      <c r="B515" s="2">
        <f>IFERROR(__xludf.DUMMYFUNCTION("""COMPUTED_VALUE"""),1.0)</f>
        <v>1</v>
      </c>
      <c r="C515" s="2">
        <f>IFERROR(__xludf.DUMMYFUNCTION("""COMPUTED_VALUE"""),253.0)</f>
        <v>253</v>
      </c>
      <c r="D515" s="3">
        <f>IFERROR(__xludf.DUMMYFUNCTION("""COMPUTED_VALUE"""),166.0)</f>
        <v>166</v>
      </c>
      <c r="E515" s="2"/>
      <c r="F515" s="2"/>
    </row>
    <row r="516">
      <c r="A516" s="2">
        <f>IFERROR(__xludf.DUMMYFUNCTION("""COMPUTED_VALUE"""),118460.0)</f>
        <v>118460</v>
      </c>
      <c r="B516" s="2">
        <f>IFERROR(__xludf.DUMMYFUNCTION("""COMPUTED_VALUE"""),0.0)</f>
        <v>0</v>
      </c>
      <c r="C516" s="2">
        <f>IFERROR(__xludf.DUMMYFUNCTION("""COMPUTED_VALUE"""),242.0)</f>
        <v>242</v>
      </c>
      <c r="D516" s="3">
        <f>IFERROR(__xludf.DUMMYFUNCTION("""COMPUTED_VALUE"""),47.0)</f>
        <v>47</v>
      </c>
      <c r="E516" s="2"/>
      <c r="F516" s="2"/>
    </row>
    <row r="517">
      <c r="A517" s="2">
        <f>IFERROR(__xludf.DUMMYFUNCTION("""COMPUTED_VALUE"""),121035.0)</f>
        <v>121035</v>
      </c>
      <c r="B517" s="2">
        <f>IFERROR(__xludf.DUMMYFUNCTION("""COMPUTED_VALUE"""),1.0)</f>
        <v>1</v>
      </c>
      <c r="C517" s="2">
        <f>IFERROR(__xludf.DUMMYFUNCTION("""COMPUTED_VALUE"""),684.0)</f>
        <v>684</v>
      </c>
      <c r="D517" s="3">
        <f>IFERROR(__xludf.DUMMYFUNCTION("""COMPUTED_VALUE"""),48.0)</f>
        <v>48</v>
      </c>
      <c r="E517" s="2"/>
      <c r="F517" s="2"/>
    </row>
    <row r="518">
      <c r="A518" s="2">
        <f>IFERROR(__xludf.DUMMYFUNCTION("""COMPUTED_VALUE"""),122623.0)</f>
        <v>122623</v>
      </c>
      <c r="B518" s="2">
        <f>IFERROR(__xludf.DUMMYFUNCTION("""COMPUTED_VALUE"""),0.0)</f>
        <v>0</v>
      </c>
      <c r="C518" s="2">
        <f>IFERROR(__xludf.DUMMYFUNCTION("""COMPUTED_VALUE"""),378.0)</f>
        <v>378</v>
      </c>
      <c r="D518" s="3">
        <f>IFERROR(__xludf.DUMMYFUNCTION("""COMPUTED_VALUE"""),272.0)</f>
        <v>272</v>
      </c>
      <c r="E518" s="2"/>
      <c r="F518" s="2"/>
    </row>
    <row r="519">
      <c r="A519" s="2">
        <f>IFERROR(__xludf.DUMMYFUNCTION("""COMPUTED_VALUE"""),118469.0)</f>
        <v>118469</v>
      </c>
      <c r="B519" s="2">
        <f>IFERROR(__xludf.DUMMYFUNCTION("""COMPUTED_VALUE"""),0.0)</f>
        <v>0</v>
      </c>
      <c r="C519" s="2">
        <f>IFERROR(__xludf.DUMMYFUNCTION("""COMPUTED_VALUE"""),183.0)</f>
        <v>183</v>
      </c>
      <c r="D519" s="3">
        <f>IFERROR(__xludf.DUMMYFUNCTION("""COMPUTED_VALUE"""),150.0)</f>
        <v>150</v>
      </c>
      <c r="E519" s="2"/>
      <c r="F519" s="2"/>
    </row>
    <row r="520">
      <c r="A520" s="2">
        <f>IFERROR(__xludf.DUMMYFUNCTION("""COMPUTED_VALUE"""),184629.0)</f>
        <v>184629</v>
      </c>
      <c r="B520" s="2">
        <f>IFERROR(__xludf.DUMMYFUNCTION("""COMPUTED_VALUE"""),1.0)</f>
        <v>1</v>
      </c>
      <c r="C520" s="2">
        <f>IFERROR(__xludf.DUMMYFUNCTION("""COMPUTED_VALUE"""),796.0)</f>
        <v>796</v>
      </c>
      <c r="D520" s="3">
        <f>IFERROR(__xludf.DUMMYFUNCTION("""COMPUTED_VALUE"""),5.0)</f>
        <v>5</v>
      </c>
      <c r="E520" s="2"/>
      <c r="F520" s="2"/>
    </row>
    <row r="521">
      <c r="A521" s="2">
        <f>IFERROR(__xludf.DUMMYFUNCTION("""COMPUTED_VALUE"""),44469.0)</f>
        <v>44469</v>
      </c>
      <c r="B521" s="2">
        <f>IFERROR(__xludf.DUMMYFUNCTION("""COMPUTED_VALUE"""),0.0)</f>
        <v>0</v>
      </c>
      <c r="C521" s="2">
        <f>IFERROR(__xludf.DUMMYFUNCTION("""COMPUTED_VALUE"""),194.0)</f>
        <v>194</v>
      </c>
      <c r="D521" s="3">
        <f>IFERROR(__xludf.DUMMYFUNCTION("""COMPUTED_VALUE"""),75.0)</f>
        <v>75</v>
      </c>
      <c r="E521" s="2"/>
      <c r="F521" s="2"/>
    </row>
    <row r="522">
      <c r="A522" s="2">
        <f>IFERROR(__xludf.DUMMYFUNCTION("""COMPUTED_VALUE"""),98421.0)</f>
        <v>98421</v>
      </c>
      <c r="B522" s="2">
        <f>IFERROR(__xludf.DUMMYFUNCTION("""COMPUTED_VALUE"""),1.0)</f>
        <v>1</v>
      </c>
      <c r="C522" s="2">
        <f>IFERROR(__xludf.DUMMYFUNCTION("""COMPUTED_VALUE"""),355.0)</f>
        <v>355</v>
      </c>
      <c r="D522" s="3">
        <f>IFERROR(__xludf.DUMMYFUNCTION("""COMPUTED_VALUE"""),339.0)</f>
        <v>339</v>
      </c>
      <c r="E522" s="2"/>
      <c r="F522" s="2"/>
    </row>
    <row r="523">
      <c r="A523" s="2">
        <f>IFERROR(__xludf.DUMMYFUNCTION("""COMPUTED_VALUE"""),149512.0)</f>
        <v>149512</v>
      </c>
      <c r="B523" s="2">
        <f>IFERROR(__xludf.DUMMYFUNCTION("""COMPUTED_VALUE"""),0.0)</f>
        <v>0</v>
      </c>
      <c r="C523" s="2">
        <f>IFERROR(__xludf.DUMMYFUNCTION("""COMPUTED_VALUE"""),730.0)</f>
        <v>730</v>
      </c>
      <c r="D523" s="3">
        <f>IFERROR(__xludf.DUMMYFUNCTION("""COMPUTED_VALUE"""),303.0)</f>
        <v>303</v>
      </c>
      <c r="E523" s="2"/>
      <c r="F523" s="2"/>
    </row>
    <row r="524">
      <c r="A524" s="2">
        <f>IFERROR(__xludf.DUMMYFUNCTION("""COMPUTED_VALUE"""),101489.0)</f>
        <v>101489</v>
      </c>
      <c r="B524" s="2">
        <f>IFERROR(__xludf.DUMMYFUNCTION("""COMPUTED_VALUE"""),0.0)</f>
        <v>0</v>
      </c>
      <c r="C524" s="2">
        <f>IFERROR(__xludf.DUMMYFUNCTION("""COMPUTED_VALUE"""),672.0)</f>
        <v>672</v>
      </c>
      <c r="D524" s="3">
        <f>IFERROR(__xludf.DUMMYFUNCTION("""COMPUTED_VALUE"""),134.0)</f>
        <v>134</v>
      </c>
      <c r="E524" s="2"/>
      <c r="F524" s="2"/>
    </row>
    <row r="525">
      <c r="A525" s="2">
        <f>IFERROR(__xludf.DUMMYFUNCTION("""COMPUTED_VALUE"""),7263.0)</f>
        <v>7263</v>
      </c>
      <c r="B525" s="2">
        <f>IFERROR(__xludf.DUMMYFUNCTION("""COMPUTED_VALUE"""),0.0)</f>
        <v>0</v>
      </c>
      <c r="C525" s="2">
        <f>IFERROR(__xludf.DUMMYFUNCTION("""COMPUTED_VALUE"""),534.0)</f>
        <v>534</v>
      </c>
      <c r="D525" s="3">
        <f>IFERROR(__xludf.DUMMYFUNCTION("""COMPUTED_VALUE"""),152.0)</f>
        <v>152</v>
      </c>
      <c r="E525" s="2"/>
      <c r="F525" s="2"/>
    </row>
    <row r="526">
      <c r="A526" s="2">
        <f>IFERROR(__xludf.DUMMYFUNCTION("""COMPUTED_VALUE"""),149510.0)</f>
        <v>149510</v>
      </c>
      <c r="B526" s="2">
        <f>IFERROR(__xludf.DUMMYFUNCTION("""COMPUTED_VALUE"""),1.0)</f>
        <v>1</v>
      </c>
      <c r="C526" s="2">
        <f>IFERROR(__xludf.DUMMYFUNCTION("""COMPUTED_VALUE"""),459.0)</f>
        <v>459</v>
      </c>
      <c r="D526" s="3">
        <f>IFERROR(__xludf.DUMMYFUNCTION("""COMPUTED_VALUE"""),13.0)</f>
        <v>13</v>
      </c>
      <c r="E526" s="2"/>
      <c r="F526" s="2"/>
    </row>
    <row r="527">
      <c r="A527" s="2">
        <f>IFERROR(__xludf.DUMMYFUNCTION("""COMPUTED_VALUE"""),124692.0)</f>
        <v>124692</v>
      </c>
      <c r="B527" s="2">
        <f>IFERROR(__xludf.DUMMYFUNCTION("""COMPUTED_VALUE"""),1.0)</f>
        <v>1</v>
      </c>
      <c r="C527" s="2">
        <f>IFERROR(__xludf.DUMMYFUNCTION("""COMPUTED_VALUE"""),218.0)</f>
        <v>218</v>
      </c>
      <c r="D527" s="3">
        <f>IFERROR(__xludf.DUMMYFUNCTION("""COMPUTED_VALUE"""),15.0)</f>
        <v>15</v>
      </c>
      <c r="E527" s="2"/>
      <c r="F527" s="2"/>
    </row>
    <row r="528">
      <c r="A528" s="2">
        <f>IFERROR(__xludf.DUMMYFUNCTION("""COMPUTED_VALUE"""),7253.0)</f>
        <v>7253</v>
      </c>
      <c r="B528" s="2">
        <f>IFERROR(__xludf.DUMMYFUNCTION("""COMPUTED_VALUE"""),1.0)</f>
        <v>1</v>
      </c>
      <c r="C528" s="2">
        <f>IFERROR(__xludf.DUMMYFUNCTION("""COMPUTED_VALUE"""),7.0)</f>
        <v>7</v>
      </c>
      <c r="D528" s="3">
        <f>IFERROR(__xludf.DUMMYFUNCTION("""COMPUTED_VALUE"""),6.0)</f>
        <v>6</v>
      </c>
      <c r="E528" s="2"/>
      <c r="F528" s="2"/>
    </row>
    <row r="529">
      <c r="A529" s="2">
        <f>IFERROR(__xludf.DUMMYFUNCTION("""COMPUTED_VALUE"""),109999.0)</f>
        <v>109999</v>
      </c>
      <c r="B529" s="2">
        <f>IFERROR(__xludf.DUMMYFUNCTION("""COMPUTED_VALUE"""),1.0)</f>
        <v>1</v>
      </c>
      <c r="C529" s="2">
        <f>IFERROR(__xludf.DUMMYFUNCTION("""COMPUTED_VALUE"""),247.0)</f>
        <v>247</v>
      </c>
      <c r="D529" s="3">
        <f>IFERROR(__xludf.DUMMYFUNCTION("""COMPUTED_VALUE"""),134.0)</f>
        <v>134</v>
      </c>
      <c r="E529" s="2"/>
      <c r="F529" s="2"/>
    </row>
    <row r="530">
      <c r="A530" s="2">
        <f>IFERROR(__xludf.DUMMYFUNCTION("""COMPUTED_VALUE"""),101535.0)</f>
        <v>101535</v>
      </c>
      <c r="B530" s="2">
        <f>IFERROR(__xludf.DUMMYFUNCTION("""COMPUTED_VALUE"""),0.0)</f>
        <v>0</v>
      </c>
      <c r="C530" s="2">
        <f>IFERROR(__xludf.DUMMYFUNCTION("""COMPUTED_VALUE"""),125.0)</f>
        <v>125</v>
      </c>
      <c r="D530" s="3">
        <f>IFERROR(__xludf.DUMMYFUNCTION("""COMPUTED_VALUE"""),62.0)</f>
        <v>62</v>
      </c>
      <c r="E530" s="2"/>
      <c r="F530" s="2"/>
    </row>
    <row r="531">
      <c r="A531" s="2">
        <f>IFERROR(__xludf.DUMMYFUNCTION("""COMPUTED_VALUE"""),181795.0)</f>
        <v>181795</v>
      </c>
      <c r="B531" s="2">
        <f>IFERROR(__xludf.DUMMYFUNCTION("""COMPUTED_VALUE"""),1.0)</f>
        <v>1</v>
      </c>
      <c r="C531" s="2">
        <f>IFERROR(__xludf.DUMMYFUNCTION("""COMPUTED_VALUE"""),532.0)</f>
        <v>532</v>
      </c>
      <c r="D531" s="3">
        <f>IFERROR(__xludf.DUMMYFUNCTION("""COMPUTED_VALUE"""),339.0)</f>
        <v>339</v>
      </c>
      <c r="E531" s="2"/>
      <c r="F531" s="2"/>
    </row>
    <row r="532">
      <c r="A532" s="2">
        <f>IFERROR(__xludf.DUMMYFUNCTION("""COMPUTED_VALUE"""),124686.0)</f>
        <v>124686</v>
      </c>
      <c r="B532" s="2">
        <f>IFERROR(__xludf.DUMMYFUNCTION("""COMPUTED_VALUE"""),1.0)</f>
        <v>1</v>
      </c>
      <c r="C532" s="2">
        <f>IFERROR(__xludf.DUMMYFUNCTION("""COMPUTED_VALUE"""),103.0)</f>
        <v>103</v>
      </c>
      <c r="D532" s="3">
        <f>IFERROR(__xludf.DUMMYFUNCTION("""COMPUTED_VALUE"""),81.0)</f>
        <v>81</v>
      </c>
      <c r="E532" s="2"/>
      <c r="F532" s="2"/>
    </row>
    <row r="533">
      <c r="A533" s="2">
        <f>IFERROR(__xludf.DUMMYFUNCTION("""COMPUTED_VALUE"""),110003.0)</f>
        <v>110003</v>
      </c>
      <c r="B533" s="2">
        <f>IFERROR(__xludf.DUMMYFUNCTION("""COMPUTED_VALUE"""),0.0)</f>
        <v>0</v>
      </c>
      <c r="C533" s="2">
        <f>IFERROR(__xludf.DUMMYFUNCTION("""COMPUTED_VALUE"""),4.0)</f>
        <v>4</v>
      </c>
      <c r="D533" s="3">
        <f>IFERROR(__xludf.DUMMYFUNCTION("""COMPUTED_VALUE"""),2.0)</f>
        <v>2</v>
      </c>
      <c r="E533" s="2"/>
      <c r="F533" s="2"/>
    </row>
    <row r="534">
      <c r="A534" s="2">
        <f>IFERROR(__xludf.DUMMYFUNCTION("""COMPUTED_VALUE"""),124691.0)</f>
        <v>124691</v>
      </c>
      <c r="B534" s="2">
        <f>IFERROR(__xludf.DUMMYFUNCTION("""COMPUTED_VALUE"""),1.0)</f>
        <v>1</v>
      </c>
      <c r="C534" s="2">
        <f>IFERROR(__xludf.DUMMYFUNCTION("""COMPUTED_VALUE"""),23.0)</f>
        <v>23</v>
      </c>
      <c r="D534" s="3">
        <f>IFERROR(__xludf.DUMMYFUNCTION("""COMPUTED_VALUE"""),20.0)</f>
        <v>20</v>
      </c>
      <c r="E534" s="2"/>
      <c r="F534" s="2"/>
    </row>
    <row r="535">
      <c r="A535" s="2">
        <f>IFERROR(__xludf.DUMMYFUNCTION("""COMPUTED_VALUE"""),98444.0)</f>
        <v>98444</v>
      </c>
      <c r="B535" s="2">
        <f>IFERROR(__xludf.DUMMYFUNCTION("""COMPUTED_VALUE"""),1.0)</f>
        <v>1</v>
      </c>
      <c r="C535" s="2">
        <f>IFERROR(__xludf.DUMMYFUNCTION("""COMPUTED_VALUE"""),469.0)</f>
        <v>469</v>
      </c>
      <c r="D535" s="3">
        <f>IFERROR(__xludf.DUMMYFUNCTION("""COMPUTED_VALUE"""),31.0)</f>
        <v>31</v>
      </c>
      <c r="E535" s="2"/>
      <c r="F535" s="2"/>
    </row>
    <row r="536">
      <c r="A536" s="2">
        <f>IFERROR(__xludf.DUMMYFUNCTION("""COMPUTED_VALUE"""),110393.0)</f>
        <v>110393</v>
      </c>
      <c r="B536" s="2">
        <f>IFERROR(__xludf.DUMMYFUNCTION("""COMPUTED_VALUE"""),1.0)</f>
        <v>1</v>
      </c>
      <c r="C536" s="2">
        <f>IFERROR(__xludf.DUMMYFUNCTION("""COMPUTED_VALUE"""),204.0)</f>
        <v>204</v>
      </c>
      <c r="D536" s="3">
        <f>IFERROR(__xludf.DUMMYFUNCTION("""COMPUTED_VALUE"""),187.0)</f>
        <v>187</v>
      </c>
      <c r="E536" s="2"/>
      <c r="F536" s="2"/>
    </row>
    <row r="537">
      <c r="A537" s="2">
        <f>IFERROR(__xludf.DUMMYFUNCTION("""COMPUTED_VALUE"""),7254.0)</f>
        <v>7254</v>
      </c>
      <c r="B537" s="2">
        <f>IFERROR(__xludf.DUMMYFUNCTION("""COMPUTED_VALUE"""),1.0)</f>
        <v>1</v>
      </c>
      <c r="C537" s="2">
        <f>IFERROR(__xludf.DUMMYFUNCTION("""COMPUTED_VALUE"""),831.0)</f>
        <v>831</v>
      </c>
      <c r="D537" s="3">
        <f>IFERROR(__xludf.DUMMYFUNCTION("""COMPUTED_VALUE"""),61.0)</f>
        <v>61</v>
      </c>
      <c r="E537" s="2"/>
      <c r="F537" s="2"/>
    </row>
    <row r="538">
      <c r="A538" s="2">
        <f>IFERROR(__xludf.DUMMYFUNCTION("""COMPUTED_VALUE"""),86502.0)</f>
        <v>86502</v>
      </c>
      <c r="B538" s="2">
        <f>IFERROR(__xludf.DUMMYFUNCTION("""COMPUTED_VALUE"""),0.0)</f>
        <v>0</v>
      </c>
      <c r="C538" s="2">
        <f>IFERROR(__xludf.DUMMYFUNCTION("""COMPUTED_VALUE"""),420.0)</f>
        <v>420</v>
      </c>
      <c r="D538" s="3">
        <f>IFERROR(__xludf.DUMMYFUNCTION("""COMPUTED_VALUE"""),228.0)</f>
        <v>228</v>
      </c>
      <c r="E538" s="2"/>
      <c r="F538" s="2"/>
    </row>
    <row r="539">
      <c r="A539" s="2">
        <f>IFERROR(__xludf.DUMMYFUNCTION("""COMPUTED_VALUE"""),98442.0)</f>
        <v>98442</v>
      </c>
      <c r="B539" s="2">
        <f>IFERROR(__xludf.DUMMYFUNCTION("""COMPUTED_VALUE"""),1.0)</f>
        <v>1</v>
      </c>
      <c r="C539" s="2">
        <f>IFERROR(__xludf.DUMMYFUNCTION("""COMPUTED_VALUE"""),118.0)</f>
        <v>118</v>
      </c>
      <c r="D539" s="3">
        <f>IFERROR(__xludf.DUMMYFUNCTION("""COMPUTED_VALUE"""),59.0)</f>
        <v>59</v>
      </c>
      <c r="E539" s="2"/>
      <c r="F539" s="2"/>
    </row>
    <row r="540">
      <c r="A540" s="2">
        <f>IFERROR(__xludf.DUMMYFUNCTION("""COMPUTED_VALUE"""),7256.0)</f>
        <v>7256</v>
      </c>
      <c r="B540" s="2">
        <f>IFERROR(__xludf.DUMMYFUNCTION("""COMPUTED_VALUE"""),0.0)</f>
        <v>0</v>
      </c>
      <c r="C540" s="2">
        <f>IFERROR(__xludf.DUMMYFUNCTION("""COMPUTED_VALUE"""),887.0)</f>
        <v>887</v>
      </c>
      <c r="D540" s="3">
        <f>IFERROR(__xludf.DUMMYFUNCTION("""COMPUTED_VALUE"""),531.0)</f>
        <v>531</v>
      </c>
      <c r="E540" s="2"/>
      <c r="F540" s="2"/>
    </row>
    <row r="541">
      <c r="A541" s="2">
        <f>IFERROR(__xludf.DUMMYFUNCTION("""COMPUTED_VALUE"""),110394.0)</f>
        <v>110394</v>
      </c>
      <c r="B541" s="2">
        <f>IFERROR(__xludf.DUMMYFUNCTION("""COMPUTED_VALUE"""),0.0)</f>
        <v>0</v>
      </c>
      <c r="C541" s="2">
        <f>IFERROR(__xludf.DUMMYFUNCTION("""COMPUTED_VALUE"""),896.0)</f>
        <v>896</v>
      </c>
      <c r="D541" s="3">
        <f>IFERROR(__xludf.DUMMYFUNCTION("""COMPUTED_VALUE"""),231.0)</f>
        <v>231</v>
      </c>
      <c r="E541" s="2"/>
      <c r="F541" s="2"/>
    </row>
    <row r="542">
      <c r="A542" s="2">
        <f>IFERROR(__xludf.DUMMYFUNCTION("""COMPUTED_VALUE"""),120998.0)</f>
        <v>120998</v>
      </c>
      <c r="B542" s="2">
        <f>IFERROR(__xludf.DUMMYFUNCTION("""COMPUTED_VALUE"""),1.0)</f>
        <v>1</v>
      </c>
      <c r="C542" s="2">
        <f>IFERROR(__xludf.DUMMYFUNCTION("""COMPUTED_VALUE"""),354.0)</f>
        <v>354</v>
      </c>
      <c r="D542" s="3">
        <f>IFERROR(__xludf.DUMMYFUNCTION("""COMPUTED_VALUE"""),305.0)</f>
        <v>305</v>
      </c>
      <c r="E542" s="2"/>
      <c r="F542" s="2"/>
    </row>
    <row r="543">
      <c r="A543" s="2">
        <f>IFERROR(__xludf.DUMMYFUNCTION("""COMPUTED_VALUE"""),17674.0)</f>
        <v>17674</v>
      </c>
      <c r="B543" s="2">
        <f>IFERROR(__xludf.DUMMYFUNCTION("""COMPUTED_VALUE"""),1.0)</f>
        <v>1</v>
      </c>
      <c r="C543" s="2">
        <f>IFERROR(__xludf.DUMMYFUNCTION("""COMPUTED_VALUE"""),516.0)</f>
        <v>516</v>
      </c>
      <c r="D543" s="3">
        <f>IFERROR(__xludf.DUMMYFUNCTION("""COMPUTED_VALUE"""),310.0)</f>
        <v>310</v>
      </c>
      <c r="E543" s="2"/>
      <c r="F543" s="2"/>
    </row>
    <row r="544">
      <c r="A544" s="2">
        <f>IFERROR(__xludf.DUMMYFUNCTION("""COMPUTED_VALUE"""),102946.0)</f>
        <v>102946</v>
      </c>
      <c r="B544" s="2">
        <f>IFERROR(__xludf.DUMMYFUNCTION("""COMPUTED_VALUE"""),1.0)</f>
        <v>1</v>
      </c>
      <c r="C544" s="2">
        <f>IFERROR(__xludf.DUMMYFUNCTION("""COMPUTED_VALUE"""),38.0)</f>
        <v>38</v>
      </c>
      <c r="D544" s="3">
        <f>IFERROR(__xludf.DUMMYFUNCTION("""COMPUTED_VALUE"""),20.0)</f>
        <v>20</v>
      </c>
      <c r="E544" s="2"/>
      <c r="F544" s="2"/>
    </row>
    <row r="545">
      <c r="A545" s="2">
        <f>IFERROR(__xludf.DUMMYFUNCTION("""COMPUTED_VALUE"""),102947.0)</f>
        <v>102947</v>
      </c>
      <c r="B545" s="2">
        <f>IFERROR(__xludf.DUMMYFUNCTION("""COMPUTED_VALUE"""),1.0)</f>
        <v>1</v>
      </c>
      <c r="C545" s="2">
        <f>IFERROR(__xludf.DUMMYFUNCTION("""COMPUTED_VALUE"""),224.0)</f>
        <v>224</v>
      </c>
      <c r="D545" s="3">
        <f>IFERROR(__xludf.DUMMYFUNCTION("""COMPUTED_VALUE"""),27.0)</f>
        <v>27</v>
      </c>
      <c r="E545" s="2"/>
      <c r="F545" s="2"/>
    </row>
    <row r="546">
      <c r="A546" s="2">
        <f>IFERROR(__xludf.DUMMYFUNCTION("""COMPUTED_VALUE"""),98445.0)</f>
        <v>98445</v>
      </c>
      <c r="B546" s="2">
        <f>IFERROR(__xludf.DUMMYFUNCTION("""COMPUTED_VALUE"""),1.0)</f>
        <v>1</v>
      </c>
      <c r="C546" s="2">
        <f>IFERROR(__xludf.DUMMYFUNCTION("""COMPUTED_VALUE"""),607.0)</f>
        <v>607</v>
      </c>
      <c r="D546" s="3">
        <f>IFERROR(__xludf.DUMMYFUNCTION("""COMPUTED_VALUE"""),285.0)</f>
        <v>285</v>
      </c>
      <c r="E546" s="2"/>
      <c r="F546" s="2"/>
    </row>
    <row r="547">
      <c r="A547" s="2">
        <f>IFERROR(__xludf.DUMMYFUNCTION("""COMPUTED_VALUE"""),109273.0)</f>
        <v>109273</v>
      </c>
      <c r="B547" s="2">
        <f>IFERROR(__xludf.DUMMYFUNCTION("""COMPUTED_VALUE"""),1.0)</f>
        <v>1</v>
      </c>
      <c r="C547" s="2">
        <f>IFERROR(__xludf.DUMMYFUNCTION("""COMPUTED_VALUE"""),78.0)</f>
        <v>78</v>
      </c>
      <c r="D547" s="3">
        <f>IFERROR(__xludf.DUMMYFUNCTION("""COMPUTED_VALUE"""),31.0)</f>
        <v>31</v>
      </c>
      <c r="E547" s="2"/>
      <c r="F547" s="2"/>
    </row>
    <row r="548">
      <c r="A548" s="2">
        <f>IFERROR(__xludf.DUMMYFUNCTION("""COMPUTED_VALUE"""),44465.0)</f>
        <v>44465</v>
      </c>
      <c r="B548" s="2">
        <f>IFERROR(__xludf.DUMMYFUNCTION("""COMPUTED_VALUE"""),0.0)</f>
        <v>0</v>
      </c>
      <c r="C548" s="2">
        <f>IFERROR(__xludf.DUMMYFUNCTION("""COMPUTED_VALUE"""),55.0)</f>
        <v>55</v>
      </c>
      <c r="D548" s="3">
        <f>IFERROR(__xludf.DUMMYFUNCTION("""COMPUTED_VALUE"""),7.0)</f>
        <v>7</v>
      </c>
      <c r="E548" s="2"/>
      <c r="F548" s="2"/>
    </row>
    <row r="549">
      <c r="A549" s="2">
        <f>IFERROR(__xludf.DUMMYFUNCTION("""COMPUTED_VALUE"""),44451.0)</f>
        <v>44451</v>
      </c>
      <c r="B549" s="2">
        <f>IFERROR(__xludf.DUMMYFUNCTION("""COMPUTED_VALUE"""),0.0)</f>
        <v>0</v>
      </c>
      <c r="C549" s="2">
        <f>IFERROR(__xludf.DUMMYFUNCTION("""COMPUTED_VALUE"""),379.0)</f>
        <v>379</v>
      </c>
      <c r="D549" s="3">
        <f>IFERROR(__xludf.DUMMYFUNCTION("""COMPUTED_VALUE"""),144.0)</f>
        <v>144</v>
      </c>
      <c r="E549" s="2"/>
      <c r="F549" s="2"/>
    </row>
    <row r="550">
      <c r="A550" s="2">
        <f>IFERROR(__xludf.DUMMYFUNCTION("""COMPUTED_VALUE"""),17664.0)</f>
        <v>17664</v>
      </c>
      <c r="B550" s="2">
        <f>IFERROR(__xludf.DUMMYFUNCTION("""COMPUTED_VALUE"""),1.0)</f>
        <v>1</v>
      </c>
      <c r="C550" s="2">
        <f>IFERROR(__xludf.DUMMYFUNCTION("""COMPUTED_VALUE"""),245.0)</f>
        <v>245</v>
      </c>
      <c r="D550" s="3">
        <f>IFERROR(__xludf.DUMMYFUNCTION("""COMPUTED_VALUE"""),2.0)</f>
        <v>2</v>
      </c>
      <c r="E550" s="2"/>
      <c r="F550" s="2"/>
    </row>
    <row r="551">
      <c r="A551" s="2">
        <f>IFERROR(__xludf.DUMMYFUNCTION("""COMPUTED_VALUE"""),44459.0)</f>
        <v>44459</v>
      </c>
      <c r="B551" s="2">
        <f>IFERROR(__xludf.DUMMYFUNCTION("""COMPUTED_VALUE"""),1.0)</f>
        <v>1</v>
      </c>
      <c r="C551" s="2">
        <f>IFERROR(__xludf.DUMMYFUNCTION("""COMPUTED_VALUE"""),415.0)</f>
        <v>415</v>
      </c>
      <c r="D551" s="3">
        <f>IFERROR(__xludf.DUMMYFUNCTION("""COMPUTED_VALUE"""),363.0)</f>
        <v>363</v>
      </c>
      <c r="E551" s="2"/>
      <c r="F551" s="2"/>
    </row>
    <row r="552">
      <c r="A552" s="2">
        <f>IFERROR(__xludf.DUMMYFUNCTION("""COMPUTED_VALUE"""),110398.0)</f>
        <v>110398</v>
      </c>
      <c r="B552" s="2">
        <f>IFERROR(__xludf.DUMMYFUNCTION("""COMPUTED_VALUE"""),0.0)</f>
        <v>0</v>
      </c>
      <c r="C552" s="2">
        <f>IFERROR(__xludf.DUMMYFUNCTION("""COMPUTED_VALUE"""),-3.0)</f>
        <v>-3</v>
      </c>
      <c r="D552" s="3">
        <f>IFERROR(__xludf.DUMMYFUNCTION("""COMPUTED_VALUE"""),0.0)</f>
        <v>0</v>
      </c>
      <c r="E552" s="2"/>
      <c r="F552" s="2"/>
    </row>
    <row r="553">
      <c r="A553" s="2">
        <f>IFERROR(__xludf.DUMMYFUNCTION("""COMPUTED_VALUE"""),149495.0)</f>
        <v>149495</v>
      </c>
      <c r="B553" s="2">
        <f>IFERROR(__xludf.DUMMYFUNCTION("""COMPUTED_VALUE"""),0.0)</f>
        <v>0</v>
      </c>
      <c r="C553" s="2">
        <f>IFERROR(__xludf.DUMMYFUNCTION("""COMPUTED_VALUE"""),205.0)</f>
        <v>205</v>
      </c>
      <c r="D553" s="3">
        <f>IFERROR(__xludf.DUMMYFUNCTION("""COMPUTED_VALUE"""),190.0)</f>
        <v>190</v>
      </c>
      <c r="E553" s="2"/>
      <c r="F553" s="2"/>
    </row>
    <row r="554">
      <c r="A554" s="2">
        <f>IFERROR(__xludf.DUMMYFUNCTION("""COMPUTED_VALUE"""),124685.0)</f>
        <v>124685</v>
      </c>
      <c r="B554" s="2">
        <f>IFERROR(__xludf.DUMMYFUNCTION("""COMPUTED_VALUE"""),1.0)</f>
        <v>1</v>
      </c>
      <c r="C554" s="2">
        <f>IFERROR(__xludf.DUMMYFUNCTION("""COMPUTED_VALUE"""),321.0)</f>
        <v>321</v>
      </c>
      <c r="D554" s="3">
        <f>IFERROR(__xludf.DUMMYFUNCTION("""COMPUTED_VALUE"""),215.0)</f>
        <v>215</v>
      </c>
      <c r="E554" s="2"/>
      <c r="F554" s="2"/>
    </row>
    <row r="555">
      <c r="A555" s="2">
        <f>IFERROR(__xludf.DUMMYFUNCTION("""COMPUTED_VALUE"""),110004.0)</f>
        <v>110004</v>
      </c>
      <c r="B555" s="2">
        <f>IFERROR(__xludf.DUMMYFUNCTION("""COMPUTED_VALUE"""),0.0)</f>
        <v>0</v>
      </c>
      <c r="C555" s="2">
        <f>IFERROR(__xludf.DUMMYFUNCTION("""COMPUTED_VALUE"""),124.0)</f>
        <v>124</v>
      </c>
      <c r="D555" s="3">
        <f>IFERROR(__xludf.DUMMYFUNCTION("""COMPUTED_VALUE"""),115.0)</f>
        <v>115</v>
      </c>
      <c r="E555" s="2"/>
      <c r="F555" s="2"/>
    </row>
    <row r="556">
      <c r="A556" s="2">
        <f>IFERROR(__xludf.DUMMYFUNCTION("""COMPUTED_VALUE"""),111052.0)</f>
        <v>111052</v>
      </c>
      <c r="B556" s="2">
        <f>IFERROR(__xludf.DUMMYFUNCTION("""COMPUTED_VALUE"""),1.0)</f>
        <v>1</v>
      </c>
      <c r="C556" s="2">
        <f>IFERROR(__xludf.DUMMYFUNCTION("""COMPUTED_VALUE"""),343.0)</f>
        <v>343</v>
      </c>
      <c r="D556" s="3">
        <f>IFERROR(__xludf.DUMMYFUNCTION("""COMPUTED_VALUE"""),217.0)</f>
        <v>217</v>
      </c>
      <c r="E556" s="2"/>
      <c r="F556" s="2"/>
    </row>
    <row r="557">
      <c r="A557" s="2">
        <f>IFERROR(__xludf.DUMMYFUNCTION("""COMPUTED_VALUE"""),102948.0)</f>
        <v>102948</v>
      </c>
      <c r="B557" s="2">
        <f>IFERROR(__xludf.DUMMYFUNCTION("""COMPUTED_VALUE"""),0.0)</f>
        <v>0</v>
      </c>
      <c r="C557" s="2">
        <f>IFERROR(__xludf.DUMMYFUNCTION("""COMPUTED_VALUE"""),722.0)</f>
        <v>722</v>
      </c>
      <c r="D557" s="3">
        <f>IFERROR(__xludf.DUMMYFUNCTION("""COMPUTED_VALUE"""),497.0)</f>
        <v>497</v>
      </c>
      <c r="E557" s="2"/>
      <c r="F557" s="2"/>
    </row>
    <row r="558">
      <c r="A558" s="2">
        <f>IFERROR(__xludf.DUMMYFUNCTION("""COMPUTED_VALUE"""),110000.0)</f>
        <v>110000</v>
      </c>
      <c r="B558" s="2">
        <f>IFERROR(__xludf.DUMMYFUNCTION("""COMPUTED_VALUE"""),1.0)</f>
        <v>1</v>
      </c>
      <c r="C558" s="2">
        <f>IFERROR(__xludf.DUMMYFUNCTION("""COMPUTED_VALUE"""),917.0)</f>
        <v>917</v>
      </c>
      <c r="D558" s="3">
        <f>IFERROR(__xludf.DUMMYFUNCTION("""COMPUTED_VALUE"""),860.0)</f>
        <v>860</v>
      </c>
      <c r="E558" s="2"/>
      <c r="F558" s="2"/>
    </row>
    <row r="559">
      <c r="A559" s="2">
        <f>IFERROR(__xludf.DUMMYFUNCTION("""COMPUTED_VALUE"""),7264.0)</f>
        <v>7264</v>
      </c>
      <c r="B559" s="2">
        <f>IFERROR(__xludf.DUMMYFUNCTION("""COMPUTED_VALUE"""),0.0)</f>
        <v>0</v>
      </c>
      <c r="C559" s="2">
        <f>IFERROR(__xludf.DUMMYFUNCTION("""COMPUTED_VALUE"""),496.0)</f>
        <v>496</v>
      </c>
      <c r="D559" s="3">
        <f>IFERROR(__xludf.DUMMYFUNCTION("""COMPUTED_VALUE"""),456.0)</f>
        <v>456</v>
      </c>
      <c r="E559" s="2"/>
      <c r="F559" s="2"/>
    </row>
    <row r="560">
      <c r="A560" s="2">
        <f>IFERROR(__xludf.DUMMYFUNCTION("""COMPUTED_VALUE"""),110005.0)</f>
        <v>110005</v>
      </c>
      <c r="B560" s="2">
        <f>IFERROR(__xludf.DUMMYFUNCTION("""COMPUTED_VALUE"""),0.0)</f>
        <v>0</v>
      </c>
      <c r="C560" s="2">
        <f>IFERROR(__xludf.DUMMYFUNCTION("""COMPUTED_VALUE"""),769.0)</f>
        <v>769</v>
      </c>
      <c r="D560" s="3">
        <f>IFERROR(__xludf.DUMMYFUNCTION("""COMPUTED_VALUE"""),479.0)</f>
        <v>479</v>
      </c>
      <c r="E560" s="2"/>
      <c r="F560" s="2"/>
    </row>
    <row r="561">
      <c r="A561" s="2">
        <f>IFERROR(__xludf.DUMMYFUNCTION("""COMPUTED_VALUE"""),124693.0)</f>
        <v>124693</v>
      </c>
      <c r="B561" s="2">
        <f>IFERROR(__xludf.DUMMYFUNCTION("""COMPUTED_VALUE"""),0.0)</f>
        <v>0</v>
      </c>
      <c r="C561" s="2">
        <f>IFERROR(__xludf.DUMMYFUNCTION("""COMPUTED_VALUE"""),899.0)</f>
        <v>899</v>
      </c>
      <c r="D561" s="3">
        <f>IFERROR(__xludf.DUMMYFUNCTION("""COMPUTED_VALUE"""),135.0)</f>
        <v>135</v>
      </c>
      <c r="E561" s="2"/>
      <c r="F561" s="2"/>
    </row>
    <row r="562">
      <c r="A562" s="2">
        <f>IFERROR(__xludf.DUMMYFUNCTION("""COMPUTED_VALUE"""),86501.0)</f>
        <v>86501</v>
      </c>
      <c r="B562" s="2">
        <f>IFERROR(__xludf.DUMMYFUNCTION("""COMPUTED_VALUE"""),0.0)</f>
        <v>0</v>
      </c>
      <c r="C562" s="2">
        <f>IFERROR(__xludf.DUMMYFUNCTION("""COMPUTED_VALUE"""),726.0)</f>
        <v>726</v>
      </c>
      <c r="D562" s="3">
        <f>IFERROR(__xludf.DUMMYFUNCTION("""COMPUTED_VALUE"""),212.0)</f>
        <v>212</v>
      </c>
      <c r="E562" s="2"/>
      <c r="F562" s="2"/>
    </row>
    <row r="563">
      <c r="A563" s="2">
        <f>IFERROR(__xludf.DUMMYFUNCTION("""COMPUTED_VALUE"""),101536.0)</f>
        <v>101536</v>
      </c>
      <c r="B563" s="2">
        <f>IFERROR(__xludf.DUMMYFUNCTION("""COMPUTED_VALUE"""),0.0)</f>
        <v>0</v>
      </c>
      <c r="C563" s="2">
        <f>IFERROR(__xludf.DUMMYFUNCTION("""COMPUTED_VALUE"""),303.0)</f>
        <v>303</v>
      </c>
      <c r="D563" s="3">
        <f>IFERROR(__xludf.DUMMYFUNCTION("""COMPUTED_VALUE"""),125.0)</f>
        <v>125</v>
      </c>
      <c r="E563" s="2"/>
      <c r="F563" s="2"/>
    </row>
    <row r="564">
      <c r="A564" s="2">
        <f>IFERROR(__xludf.DUMMYFUNCTION("""COMPUTED_VALUE"""),101534.0)</f>
        <v>101534</v>
      </c>
      <c r="B564" s="2">
        <f>IFERROR(__xludf.DUMMYFUNCTION("""COMPUTED_VALUE"""),1.0)</f>
        <v>1</v>
      </c>
      <c r="C564" s="2">
        <f>IFERROR(__xludf.DUMMYFUNCTION("""COMPUTED_VALUE"""),579.0)</f>
        <v>579</v>
      </c>
      <c r="D564" s="3">
        <f>IFERROR(__xludf.DUMMYFUNCTION("""COMPUTED_VALUE"""),428.0)</f>
        <v>428</v>
      </c>
      <c r="E564" s="2"/>
      <c r="F564" s="2"/>
    </row>
    <row r="565">
      <c r="A565" s="2">
        <f>IFERROR(__xludf.DUMMYFUNCTION("""COMPUTED_VALUE"""),110002.0)</f>
        <v>110002</v>
      </c>
      <c r="B565" s="2">
        <f>IFERROR(__xludf.DUMMYFUNCTION("""COMPUTED_VALUE"""),1.0)</f>
        <v>1</v>
      </c>
      <c r="C565" s="2">
        <f>IFERROR(__xludf.DUMMYFUNCTION("""COMPUTED_VALUE"""),316.0)</f>
        <v>316</v>
      </c>
      <c r="D565" s="3">
        <f>IFERROR(__xludf.DUMMYFUNCTION("""COMPUTED_VALUE"""),161.0)</f>
        <v>161</v>
      </c>
      <c r="E565" s="2"/>
      <c r="F565" s="2"/>
    </row>
    <row r="566">
      <c r="A566" s="2">
        <f>IFERROR(__xludf.DUMMYFUNCTION("""COMPUTED_VALUE"""),110001.0)</f>
        <v>110001</v>
      </c>
      <c r="B566" s="2">
        <f>IFERROR(__xludf.DUMMYFUNCTION("""COMPUTED_VALUE"""),1.0)</f>
        <v>1</v>
      </c>
      <c r="C566" s="2">
        <f>IFERROR(__xludf.DUMMYFUNCTION("""COMPUTED_VALUE"""),783.0)</f>
        <v>783</v>
      </c>
      <c r="D566" s="3">
        <f>IFERROR(__xludf.DUMMYFUNCTION("""COMPUTED_VALUE"""),48.0)</f>
        <v>48</v>
      </c>
      <c r="E566" s="2"/>
      <c r="F566" s="2"/>
    </row>
    <row r="567">
      <c r="A567" s="2">
        <f>IFERROR(__xludf.DUMMYFUNCTION("""COMPUTED_VALUE"""),111051.0)</f>
        <v>111051</v>
      </c>
      <c r="B567" s="2">
        <f>IFERROR(__xludf.DUMMYFUNCTION("""COMPUTED_VALUE"""),1.0)</f>
        <v>1</v>
      </c>
      <c r="C567" s="2">
        <f>IFERROR(__xludf.DUMMYFUNCTION("""COMPUTED_VALUE"""),142.0)</f>
        <v>142</v>
      </c>
      <c r="D567" s="3">
        <f>IFERROR(__xludf.DUMMYFUNCTION("""COMPUTED_VALUE"""),119.0)</f>
        <v>119</v>
      </c>
      <c r="E567" s="2"/>
      <c r="F567" s="2"/>
    </row>
    <row r="568">
      <c r="A568" s="2">
        <f>IFERROR(__xludf.DUMMYFUNCTION("""COMPUTED_VALUE"""),7258.0)</f>
        <v>7258</v>
      </c>
      <c r="B568" s="2">
        <f>IFERROR(__xludf.DUMMYFUNCTION("""COMPUTED_VALUE"""),1.0)</f>
        <v>1</v>
      </c>
      <c r="C568" s="2">
        <f>IFERROR(__xludf.DUMMYFUNCTION("""COMPUTED_VALUE"""),522.0)</f>
        <v>522</v>
      </c>
      <c r="D568" s="3">
        <f>IFERROR(__xludf.DUMMYFUNCTION("""COMPUTED_VALUE"""),196.0)</f>
        <v>196</v>
      </c>
      <c r="E568" s="2"/>
      <c r="F568" s="2"/>
    </row>
    <row r="569">
      <c r="A569" s="2">
        <f>IFERROR(__xludf.DUMMYFUNCTION("""COMPUTED_VALUE"""),111053.0)</f>
        <v>111053</v>
      </c>
      <c r="B569" s="2">
        <f>IFERROR(__xludf.DUMMYFUNCTION("""COMPUTED_VALUE"""),0.0)</f>
        <v>0</v>
      </c>
      <c r="C569" s="2">
        <f>IFERROR(__xludf.DUMMYFUNCTION("""COMPUTED_VALUE"""),847.0)</f>
        <v>847</v>
      </c>
      <c r="D569" s="3">
        <f>IFERROR(__xludf.DUMMYFUNCTION("""COMPUTED_VALUE"""),529.0)</f>
        <v>529</v>
      </c>
      <c r="E569" s="2"/>
      <c r="F569" s="2"/>
    </row>
    <row r="570">
      <c r="A570" s="2">
        <f>IFERROR(__xludf.DUMMYFUNCTION("""COMPUTED_VALUE"""),120996.0)</f>
        <v>120996</v>
      </c>
      <c r="B570" s="2">
        <f>IFERROR(__xludf.DUMMYFUNCTION("""COMPUTED_VALUE"""),1.0)</f>
        <v>1</v>
      </c>
      <c r="C570" s="2">
        <f>IFERROR(__xludf.DUMMYFUNCTION("""COMPUTED_VALUE"""),364.0)</f>
        <v>364</v>
      </c>
      <c r="D570" s="3">
        <f>IFERROR(__xludf.DUMMYFUNCTION("""COMPUTED_VALUE"""),69.0)</f>
        <v>69</v>
      </c>
      <c r="E570" s="2"/>
      <c r="F570" s="2"/>
    </row>
    <row r="571">
      <c r="A571" s="2">
        <f>IFERROR(__xludf.DUMMYFUNCTION("""COMPUTED_VALUE"""),109746.0)</f>
        <v>109746</v>
      </c>
      <c r="B571" s="2">
        <f>IFERROR(__xludf.DUMMYFUNCTION("""COMPUTED_VALUE"""),1.0)</f>
        <v>1</v>
      </c>
      <c r="C571" s="2">
        <f>IFERROR(__xludf.DUMMYFUNCTION("""COMPUTED_VALUE"""),507.0)</f>
        <v>507</v>
      </c>
      <c r="D571" s="3">
        <f>IFERROR(__xludf.DUMMYFUNCTION("""COMPUTED_VALUE"""),198.0)</f>
        <v>198</v>
      </c>
      <c r="E571" s="2"/>
      <c r="F571" s="2"/>
    </row>
    <row r="572">
      <c r="A572" s="2">
        <f>IFERROR(__xludf.DUMMYFUNCTION("""COMPUTED_VALUE"""),147288.0)</f>
        <v>147288</v>
      </c>
      <c r="B572" s="2">
        <f>IFERROR(__xludf.DUMMYFUNCTION("""COMPUTED_VALUE"""),0.0)</f>
        <v>0</v>
      </c>
      <c r="C572" s="2">
        <f>IFERROR(__xludf.DUMMYFUNCTION("""COMPUTED_VALUE"""),915.0)</f>
        <v>915</v>
      </c>
      <c r="D572" s="3">
        <f>IFERROR(__xludf.DUMMYFUNCTION("""COMPUTED_VALUE"""),267.0)</f>
        <v>267</v>
      </c>
      <c r="E572" s="2"/>
      <c r="F572" s="2"/>
    </row>
    <row r="573">
      <c r="A573" s="2">
        <f>IFERROR(__xludf.DUMMYFUNCTION("""COMPUTED_VALUE"""),120997.0)</f>
        <v>120997</v>
      </c>
      <c r="B573" s="2">
        <f>IFERROR(__xludf.DUMMYFUNCTION("""COMPUTED_VALUE"""),0.0)</f>
        <v>0</v>
      </c>
      <c r="C573" s="2">
        <f>IFERROR(__xludf.DUMMYFUNCTION("""COMPUTED_VALUE"""),818.0)</f>
        <v>818</v>
      </c>
      <c r="D573" s="3">
        <f>IFERROR(__xludf.DUMMYFUNCTION("""COMPUTED_VALUE"""),758.0)</f>
        <v>758</v>
      </c>
      <c r="E573" s="2"/>
      <c r="F573" s="2"/>
    </row>
    <row r="574">
      <c r="A574" s="2">
        <f>IFERROR(__xludf.DUMMYFUNCTION("""COMPUTED_VALUE"""),109742.0)</f>
        <v>109742</v>
      </c>
      <c r="B574" s="2">
        <f>IFERROR(__xludf.DUMMYFUNCTION("""COMPUTED_VALUE"""),1.0)</f>
        <v>1</v>
      </c>
      <c r="C574" s="2">
        <f>IFERROR(__xludf.DUMMYFUNCTION("""COMPUTED_VALUE"""),937.0)</f>
        <v>937</v>
      </c>
      <c r="D574" s="3">
        <f>IFERROR(__xludf.DUMMYFUNCTION("""COMPUTED_VALUE"""),894.0)</f>
        <v>894</v>
      </c>
      <c r="E574" s="2"/>
      <c r="F574" s="2"/>
    </row>
    <row r="575">
      <c r="A575" s="2">
        <f>IFERROR(__xludf.DUMMYFUNCTION("""COMPUTED_VALUE"""),156013.0)</f>
        <v>156013</v>
      </c>
      <c r="B575" s="2">
        <f>IFERROR(__xludf.DUMMYFUNCTION("""COMPUTED_VALUE"""),0.0)</f>
        <v>0</v>
      </c>
      <c r="C575" s="2">
        <f>IFERROR(__xludf.DUMMYFUNCTION("""COMPUTED_VALUE"""),348.0)</f>
        <v>348</v>
      </c>
      <c r="D575" s="3">
        <f>IFERROR(__xludf.DUMMYFUNCTION("""COMPUTED_VALUE"""),326.0)</f>
        <v>326</v>
      </c>
      <c r="E575" s="2"/>
      <c r="F575" s="2"/>
    </row>
    <row r="576">
      <c r="A576" s="2">
        <f>IFERROR(__xludf.DUMMYFUNCTION("""COMPUTED_VALUE"""),98426.0)</f>
        <v>98426</v>
      </c>
      <c r="B576" s="2">
        <f>IFERROR(__xludf.DUMMYFUNCTION("""COMPUTED_VALUE"""),1.0)</f>
        <v>1</v>
      </c>
      <c r="C576" s="2">
        <f>IFERROR(__xludf.DUMMYFUNCTION("""COMPUTED_VALUE"""),285.0)</f>
        <v>285</v>
      </c>
      <c r="D576" s="3">
        <f>IFERROR(__xludf.DUMMYFUNCTION("""COMPUTED_VALUE"""),166.0)</f>
        <v>166</v>
      </c>
      <c r="E576" s="2"/>
      <c r="F576" s="2"/>
    </row>
    <row r="577">
      <c r="A577" s="2">
        <f>IFERROR(__xludf.DUMMYFUNCTION("""COMPUTED_VALUE"""),110006.0)</f>
        <v>110006</v>
      </c>
      <c r="B577" s="2">
        <f>IFERROR(__xludf.DUMMYFUNCTION("""COMPUTED_VALUE"""),0.0)</f>
        <v>0</v>
      </c>
      <c r="C577" s="2">
        <f>IFERROR(__xludf.DUMMYFUNCTION("""COMPUTED_VALUE"""),127.0)</f>
        <v>127</v>
      </c>
      <c r="D577" s="3">
        <f>IFERROR(__xludf.DUMMYFUNCTION("""COMPUTED_VALUE"""),107.0)</f>
        <v>107</v>
      </c>
      <c r="E577" s="2"/>
      <c r="F577" s="2"/>
    </row>
    <row r="578">
      <c r="A578" s="2">
        <f>IFERROR(__xludf.DUMMYFUNCTION("""COMPUTED_VALUE"""),110409.0)</f>
        <v>110409</v>
      </c>
      <c r="B578" s="2">
        <f>IFERROR(__xludf.DUMMYFUNCTION("""COMPUTED_VALUE"""),0.0)</f>
        <v>0</v>
      </c>
      <c r="C578" s="2">
        <f>IFERROR(__xludf.DUMMYFUNCTION("""COMPUTED_VALUE"""),149.0)</f>
        <v>149</v>
      </c>
      <c r="D578" s="3">
        <f>IFERROR(__xludf.DUMMYFUNCTION("""COMPUTED_VALUE"""),138.0)</f>
        <v>138</v>
      </c>
      <c r="E578" s="2"/>
      <c r="F578" s="2"/>
    </row>
    <row r="579">
      <c r="A579" s="2">
        <f>IFERROR(__xludf.DUMMYFUNCTION("""COMPUTED_VALUE"""),117774.0)</f>
        <v>117774</v>
      </c>
      <c r="B579" s="2">
        <f>IFERROR(__xludf.DUMMYFUNCTION("""COMPUTED_VALUE"""),1.0)</f>
        <v>1</v>
      </c>
      <c r="C579" s="2">
        <f>IFERROR(__xludf.DUMMYFUNCTION("""COMPUTED_VALUE"""),192.0)</f>
        <v>192</v>
      </c>
      <c r="D579" s="3">
        <f>IFERROR(__xludf.DUMMYFUNCTION("""COMPUTED_VALUE"""),131.0)</f>
        <v>131</v>
      </c>
      <c r="E579" s="2"/>
      <c r="F579" s="2"/>
    </row>
    <row r="580">
      <c r="A580" s="2">
        <f>IFERROR(__xludf.DUMMYFUNCTION("""COMPUTED_VALUE"""),110411.0)</f>
        <v>110411</v>
      </c>
      <c r="B580" s="2">
        <f>IFERROR(__xludf.DUMMYFUNCTION("""COMPUTED_VALUE"""),1.0)</f>
        <v>1</v>
      </c>
      <c r="C580" s="2">
        <f>IFERROR(__xludf.DUMMYFUNCTION("""COMPUTED_VALUE"""),949.0)</f>
        <v>949</v>
      </c>
      <c r="D580" s="3">
        <f>IFERROR(__xludf.DUMMYFUNCTION("""COMPUTED_VALUE"""),26.0)</f>
        <v>26</v>
      </c>
      <c r="E580" s="2"/>
      <c r="F580" s="2"/>
    </row>
    <row r="581">
      <c r="A581" s="2">
        <f>IFERROR(__xludf.DUMMYFUNCTION("""COMPUTED_VALUE"""),86743.0)</f>
        <v>86743</v>
      </c>
      <c r="B581" s="2">
        <f>IFERROR(__xludf.DUMMYFUNCTION("""COMPUTED_VALUE"""),0.0)</f>
        <v>0</v>
      </c>
      <c r="C581" s="2">
        <f>IFERROR(__xludf.DUMMYFUNCTION("""COMPUTED_VALUE"""),74.0)</f>
        <v>74</v>
      </c>
      <c r="D581" s="3">
        <f>IFERROR(__xludf.DUMMYFUNCTION("""COMPUTED_VALUE"""),51.0)</f>
        <v>51</v>
      </c>
      <c r="E581" s="2"/>
      <c r="F581" s="2"/>
    </row>
    <row r="582">
      <c r="A582" s="2">
        <f>IFERROR(__xludf.DUMMYFUNCTION("""COMPUTED_VALUE"""),86691.0)</f>
        <v>86691</v>
      </c>
      <c r="B582" s="2">
        <f>IFERROR(__xludf.DUMMYFUNCTION("""COMPUTED_VALUE"""),0.0)</f>
        <v>0</v>
      </c>
      <c r="C582" s="2">
        <f>IFERROR(__xludf.DUMMYFUNCTION("""COMPUTED_VALUE"""),479.0)</f>
        <v>479</v>
      </c>
      <c r="D582" s="3">
        <f>IFERROR(__xludf.DUMMYFUNCTION("""COMPUTED_VALUE"""),346.0)</f>
        <v>346</v>
      </c>
      <c r="E582" s="2"/>
      <c r="F582" s="2"/>
    </row>
    <row r="583">
      <c r="A583" s="2">
        <f>IFERROR(__xludf.DUMMYFUNCTION("""COMPUTED_VALUE"""),7257.0)</f>
        <v>7257</v>
      </c>
      <c r="B583" s="2">
        <f>IFERROR(__xludf.DUMMYFUNCTION("""COMPUTED_VALUE"""),0.0)</f>
        <v>0</v>
      </c>
      <c r="C583" s="2">
        <f>IFERROR(__xludf.DUMMYFUNCTION("""COMPUTED_VALUE"""),73.0)</f>
        <v>73</v>
      </c>
      <c r="D583" s="3">
        <f>IFERROR(__xludf.DUMMYFUNCTION("""COMPUTED_VALUE"""),71.0)</f>
        <v>71</v>
      </c>
      <c r="E583" s="2"/>
      <c r="F583" s="2"/>
    </row>
    <row r="584">
      <c r="A584" s="2">
        <f>IFERROR(__xludf.DUMMYFUNCTION("""COMPUTED_VALUE"""),77706.0)</f>
        <v>77706</v>
      </c>
      <c r="B584" s="2">
        <f>IFERROR(__xludf.DUMMYFUNCTION("""COMPUTED_VALUE"""),0.0)</f>
        <v>0</v>
      </c>
      <c r="C584" s="2">
        <f>IFERROR(__xludf.DUMMYFUNCTION("""COMPUTED_VALUE"""),800.0)</f>
        <v>800</v>
      </c>
      <c r="D584" s="3">
        <f>IFERROR(__xludf.DUMMYFUNCTION("""COMPUTED_VALUE"""),202.0)</f>
        <v>202</v>
      </c>
      <c r="E584" s="2"/>
      <c r="F584" s="2"/>
    </row>
    <row r="585">
      <c r="A585" s="2">
        <f>IFERROR(__xludf.DUMMYFUNCTION("""COMPUTED_VALUE"""),122599.0)</f>
        <v>122599</v>
      </c>
      <c r="B585" s="2">
        <f>IFERROR(__xludf.DUMMYFUNCTION("""COMPUTED_VALUE"""),0.0)</f>
        <v>0</v>
      </c>
      <c r="C585" s="2">
        <f>IFERROR(__xludf.DUMMYFUNCTION("""COMPUTED_VALUE"""),107.0)</f>
        <v>107</v>
      </c>
      <c r="D585" s="3">
        <f>IFERROR(__xludf.DUMMYFUNCTION("""COMPUTED_VALUE"""),84.0)</f>
        <v>84</v>
      </c>
      <c r="E585" s="2"/>
      <c r="F585" s="2"/>
    </row>
    <row r="586">
      <c r="A586" s="2">
        <f>IFERROR(__xludf.DUMMYFUNCTION("""COMPUTED_VALUE"""),109741.0)</f>
        <v>109741</v>
      </c>
      <c r="B586" s="2">
        <f>IFERROR(__xludf.DUMMYFUNCTION("""COMPUTED_VALUE"""),1.0)</f>
        <v>1</v>
      </c>
      <c r="C586" s="2">
        <f>IFERROR(__xludf.DUMMYFUNCTION("""COMPUTED_VALUE"""),451.0)</f>
        <v>451</v>
      </c>
      <c r="D586" s="3">
        <f>IFERROR(__xludf.DUMMYFUNCTION("""COMPUTED_VALUE"""),437.0)</f>
        <v>437</v>
      </c>
      <c r="E586" s="2"/>
      <c r="F586" s="2"/>
    </row>
    <row r="587">
      <c r="A587" s="2">
        <f>IFERROR(__xludf.DUMMYFUNCTION("""COMPUTED_VALUE"""),69064.0)</f>
        <v>69064</v>
      </c>
      <c r="B587" s="2">
        <f>IFERROR(__xludf.DUMMYFUNCTION("""COMPUTED_VALUE"""),1.0)</f>
        <v>1</v>
      </c>
      <c r="C587" s="2">
        <f>IFERROR(__xludf.DUMMYFUNCTION("""COMPUTED_VALUE"""),592.0)</f>
        <v>592</v>
      </c>
      <c r="D587" s="3">
        <f>IFERROR(__xludf.DUMMYFUNCTION("""COMPUTED_VALUE"""),580.0)</f>
        <v>580</v>
      </c>
      <c r="E587" s="2"/>
      <c r="F587" s="2"/>
    </row>
    <row r="588">
      <c r="A588" s="2">
        <f>IFERROR(__xludf.DUMMYFUNCTION("""COMPUTED_VALUE"""),119447.0)</f>
        <v>119447</v>
      </c>
      <c r="B588" s="2">
        <f>IFERROR(__xludf.DUMMYFUNCTION("""COMPUTED_VALUE"""),0.0)</f>
        <v>0</v>
      </c>
      <c r="C588" s="2">
        <f>IFERROR(__xludf.DUMMYFUNCTION("""COMPUTED_VALUE"""),332.0)</f>
        <v>332</v>
      </c>
      <c r="D588" s="3">
        <f>IFERROR(__xludf.DUMMYFUNCTION("""COMPUTED_VALUE"""),10.0)</f>
        <v>10</v>
      </c>
      <c r="E588" s="2"/>
      <c r="F588" s="2"/>
    </row>
    <row r="589">
      <c r="A589" s="2">
        <f>IFERROR(__xludf.DUMMYFUNCTION("""COMPUTED_VALUE"""),111730.0)</f>
        <v>111730</v>
      </c>
      <c r="B589" s="2">
        <f>IFERROR(__xludf.DUMMYFUNCTION("""COMPUTED_VALUE"""),1.0)</f>
        <v>1</v>
      </c>
      <c r="C589" s="2">
        <f>IFERROR(__xludf.DUMMYFUNCTION("""COMPUTED_VALUE"""),468.0)</f>
        <v>468</v>
      </c>
      <c r="D589" s="3">
        <f>IFERROR(__xludf.DUMMYFUNCTION("""COMPUTED_VALUE"""),435.0)</f>
        <v>435</v>
      </c>
      <c r="E589" s="2"/>
      <c r="F589" s="2"/>
    </row>
    <row r="590">
      <c r="A590" s="2">
        <f>IFERROR(__xludf.DUMMYFUNCTION("""COMPUTED_VALUE"""),100437.0)</f>
        <v>100437</v>
      </c>
      <c r="B590" s="2">
        <f>IFERROR(__xludf.DUMMYFUNCTION("""COMPUTED_VALUE"""),1.0)</f>
        <v>1</v>
      </c>
      <c r="C590" s="2">
        <f>IFERROR(__xludf.DUMMYFUNCTION("""COMPUTED_VALUE"""),257.0)</f>
        <v>257</v>
      </c>
      <c r="D590" s="3">
        <f>IFERROR(__xludf.DUMMYFUNCTION("""COMPUTED_VALUE"""),31.0)</f>
        <v>31</v>
      </c>
      <c r="E590" s="2"/>
      <c r="F590" s="2"/>
    </row>
    <row r="591">
      <c r="A591" s="2">
        <f>IFERROR(__xludf.DUMMYFUNCTION("""COMPUTED_VALUE"""),92304.0)</f>
        <v>92304</v>
      </c>
      <c r="B591" s="2">
        <f>IFERROR(__xludf.DUMMYFUNCTION("""COMPUTED_VALUE"""),0.0)</f>
        <v>0</v>
      </c>
      <c r="C591" s="2">
        <f>IFERROR(__xludf.DUMMYFUNCTION("""COMPUTED_VALUE"""),911.0)</f>
        <v>911</v>
      </c>
      <c r="D591" s="3">
        <f>IFERROR(__xludf.DUMMYFUNCTION("""COMPUTED_VALUE"""),50.0)</f>
        <v>50</v>
      </c>
      <c r="E591" s="2"/>
      <c r="F591" s="2"/>
    </row>
    <row r="592">
      <c r="A592" s="2">
        <f>IFERROR(__xludf.DUMMYFUNCTION("""COMPUTED_VALUE"""),103655.0)</f>
        <v>103655</v>
      </c>
      <c r="B592" s="2">
        <f>IFERROR(__xludf.DUMMYFUNCTION("""COMPUTED_VALUE"""),1.0)</f>
        <v>1</v>
      </c>
      <c r="C592" s="2">
        <f>IFERROR(__xludf.DUMMYFUNCTION("""COMPUTED_VALUE"""),51.0)</f>
        <v>51</v>
      </c>
      <c r="D592" s="3">
        <f>IFERROR(__xludf.DUMMYFUNCTION("""COMPUTED_VALUE"""),22.0)</f>
        <v>22</v>
      </c>
      <c r="E592" s="2"/>
      <c r="F592" s="2"/>
    </row>
    <row r="593">
      <c r="A593" s="2">
        <f>IFERROR(__xludf.DUMMYFUNCTION("""COMPUTED_VALUE"""),103656.0)</f>
        <v>103656</v>
      </c>
      <c r="B593" s="2">
        <f>IFERROR(__xludf.DUMMYFUNCTION("""COMPUTED_VALUE"""),1.0)</f>
        <v>1</v>
      </c>
      <c r="C593" s="2">
        <f>IFERROR(__xludf.DUMMYFUNCTION("""COMPUTED_VALUE"""),949.0)</f>
        <v>949</v>
      </c>
      <c r="D593" s="3">
        <f>IFERROR(__xludf.DUMMYFUNCTION("""COMPUTED_VALUE"""),871.0)</f>
        <v>871</v>
      </c>
      <c r="E593" s="2"/>
      <c r="F593" s="2"/>
    </row>
    <row r="594">
      <c r="A594" s="2">
        <f>IFERROR(__xludf.DUMMYFUNCTION("""COMPUTED_VALUE"""),103704.0)</f>
        <v>103704</v>
      </c>
      <c r="B594" s="2">
        <f>IFERROR(__xludf.DUMMYFUNCTION("""COMPUTED_VALUE"""),1.0)</f>
        <v>1</v>
      </c>
      <c r="C594" s="2">
        <f>IFERROR(__xludf.DUMMYFUNCTION("""COMPUTED_VALUE"""),450.0)</f>
        <v>450</v>
      </c>
      <c r="D594" s="3">
        <f>IFERROR(__xludf.DUMMYFUNCTION("""COMPUTED_VALUE"""),194.0)</f>
        <v>194</v>
      </c>
      <c r="E594" s="2"/>
      <c r="F594" s="2"/>
    </row>
    <row r="595">
      <c r="A595" s="2">
        <f>IFERROR(__xludf.DUMMYFUNCTION("""COMPUTED_VALUE"""),46759.0)</f>
        <v>46759</v>
      </c>
      <c r="B595" s="2">
        <f>IFERROR(__xludf.DUMMYFUNCTION("""COMPUTED_VALUE"""),1.0)</f>
        <v>1</v>
      </c>
      <c r="C595" s="2">
        <f>IFERROR(__xludf.DUMMYFUNCTION("""COMPUTED_VALUE"""),932.0)</f>
        <v>932</v>
      </c>
      <c r="D595" s="3">
        <f>IFERROR(__xludf.DUMMYFUNCTION("""COMPUTED_VALUE"""),8.0)</f>
        <v>8</v>
      </c>
      <c r="E595" s="2"/>
      <c r="F595" s="2"/>
    </row>
    <row r="596">
      <c r="A596" s="2">
        <f>IFERROR(__xludf.DUMMYFUNCTION("""COMPUTED_VALUE"""),113594.0)</f>
        <v>113594</v>
      </c>
      <c r="B596" s="2">
        <f>IFERROR(__xludf.DUMMYFUNCTION("""COMPUTED_VALUE"""),0.0)</f>
        <v>0</v>
      </c>
      <c r="C596" s="2">
        <f>IFERROR(__xludf.DUMMYFUNCTION("""COMPUTED_VALUE"""),682.0)</f>
        <v>682</v>
      </c>
      <c r="D596" s="3">
        <f>IFERROR(__xludf.DUMMYFUNCTION("""COMPUTED_VALUE"""),100.0)</f>
        <v>100</v>
      </c>
      <c r="E596" s="2"/>
      <c r="F596" s="2"/>
    </row>
    <row r="597">
      <c r="A597" s="2">
        <f>IFERROR(__xludf.DUMMYFUNCTION("""COMPUTED_VALUE"""),111791.0)</f>
        <v>111791</v>
      </c>
      <c r="B597" s="2">
        <f>IFERROR(__xludf.DUMMYFUNCTION("""COMPUTED_VALUE"""),0.0)</f>
        <v>0</v>
      </c>
      <c r="C597" s="2">
        <f>IFERROR(__xludf.DUMMYFUNCTION("""COMPUTED_VALUE"""),79.0)</f>
        <v>79</v>
      </c>
      <c r="D597" s="3">
        <f>IFERROR(__xludf.DUMMYFUNCTION("""COMPUTED_VALUE"""),13.0)</f>
        <v>13</v>
      </c>
      <c r="E597" s="2"/>
      <c r="F597" s="2"/>
    </row>
    <row r="598">
      <c r="A598" s="2">
        <f>IFERROR(__xludf.DUMMYFUNCTION("""COMPUTED_VALUE"""),44674.0)</f>
        <v>44674</v>
      </c>
      <c r="B598" s="2">
        <f>IFERROR(__xludf.DUMMYFUNCTION("""COMPUTED_VALUE"""),1.0)</f>
        <v>1</v>
      </c>
      <c r="C598" s="2">
        <f>IFERROR(__xludf.DUMMYFUNCTION("""COMPUTED_VALUE"""),975.0)</f>
        <v>975</v>
      </c>
      <c r="D598" s="3">
        <f>IFERROR(__xludf.DUMMYFUNCTION("""COMPUTED_VALUE"""),315.0)</f>
        <v>315</v>
      </c>
      <c r="E598" s="2"/>
      <c r="F598" s="2"/>
    </row>
    <row r="599">
      <c r="A599" s="2">
        <f>IFERROR(__xludf.DUMMYFUNCTION("""COMPUTED_VALUE"""),48639.0)</f>
        <v>48639</v>
      </c>
      <c r="B599" s="2">
        <f>IFERROR(__xludf.DUMMYFUNCTION("""COMPUTED_VALUE"""),1.0)</f>
        <v>1</v>
      </c>
      <c r="C599" s="2">
        <f>IFERROR(__xludf.DUMMYFUNCTION("""COMPUTED_VALUE"""),627.0)</f>
        <v>627</v>
      </c>
      <c r="D599" s="3">
        <f>IFERROR(__xludf.DUMMYFUNCTION("""COMPUTED_VALUE"""),9.0)</f>
        <v>9</v>
      </c>
      <c r="E599" s="2"/>
      <c r="F599" s="2"/>
    </row>
    <row r="600">
      <c r="A600" s="2">
        <f>IFERROR(__xludf.DUMMYFUNCTION("""COMPUTED_VALUE"""),76559.0)</f>
        <v>76559</v>
      </c>
      <c r="B600" s="2">
        <f>IFERROR(__xludf.DUMMYFUNCTION("""COMPUTED_VALUE"""),0.0)</f>
        <v>0</v>
      </c>
      <c r="C600" s="2">
        <f>IFERROR(__xludf.DUMMYFUNCTION("""COMPUTED_VALUE"""),583.0)</f>
        <v>583</v>
      </c>
      <c r="D600" s="3">
        <f>IFERROR(__xludf.DUMMYFUNCTION("""COMPUTED_VALUE"""),255.0)</f>
        <v>255</v>
      </c>
      <c r="E600" s="2"/>
      <c r="F600" s="2"/>
    </row>
    <row r="601">
      <c r="A601" s="2">
        <f>IFERROR(__xludf.DUMMYFUNCTION("""COMPUTED_VALUE"""),22112.0)</f>
        <v>22112</v>
      </c>
      <c r="B601" s="2">
        <f>IFERROR(__xludf.DUMMYFUNCTION("""COMPUTED_VALUE"""),0.0)</f>
        <v>0</v>
      </c>
      <c r="C601" s="2">
        <f>IFERROR(__xludf.DUMMYFUNCTION("""COMPUTED_VALUE"""),607.0)</f>
        <v>607</v>
      </c>
      <c r="D601" s="3">
        <f>IFERROR(__xludf.DUMMYFUNCTION("""COMPUTED_VALUE"""),275.0)</f>
        <v>275</v>
      </c>
      <c r="E601" s="2"/>
      <c r="F601" s="2"/>
    </row>
    <row r="602">
      <c r="A602" s="2">
        <f>IFERROR(__xludf.DUMMYFUNCTION("""COMPUTED_VALUE"""),84390.0)</f>
        <v>84390</v>
      </c>
      <c r="B602" s="2">
        <f>IFERROR(__xludf.DUMMYFUNCTION("""COMPUTED_VALUE"""),0.0)</f>
        <v>0</v>
      </c>
      <c r="C602" s="2">
        <f>IFERROR(__xludf.DUMMYFUNCTION("""COMPUTED_VALUE"""),557.0)</f>
        <v>557</v>
      </c>
      <c r="D602" s="3">
        <f>IFERROR(__xludf.DUMMYFUNCTION("""COMPUTED_VALUE"""),545.0)</f>
        <v>545</v>
      </c>
      <c r="E602" s="2"/>
      <c r="F602" s="2"/>
    </row>
    <row r="603">
      <c r="A603" s="2">
        <f>IFERROR(__xludf.DUMMYFUNCTION("""COMPUTED_VALUE"""),100327.0)</f>
        <v>100327</v>
      </c>
      <c r="B603" s="2">
        <f>IFERROR(__xludf.DUMMYFUNCTION("""COMPUTED_VALUE"""),0.0)</f>
        <v>0</v>
      </c>
      <c r="C603" s="2">
        <f>IFERROR(__xludf.DUMMYFUNCTION("""COMPUTED_VALUE"""),691.0)</f>
        <v>691</v>
      </c>
      <c r="D603" s="3">
        <f>IFERROR(__xludf.DUMMYFUNCTION("""COMPUTED_VALUE"""),544.0)</f>
        <v>544</v>
      </c>
      <c r="E603" s="2"/>
      <c r="F603" s="2"/>
    </row>
    <row r="604">
      <c r="A604" s="2">
        <f>IFERROR(__xludf.DUMMYFUNCTION("""COMPUTED_VALUE"""),81427.0)</f>
        <v>81427</v>
      </c>
      <c r="B604" s="2">
        <f>IFERROR(__xludf.DUMMYFUNCTION("""COMPUTED_VALUE"""),0.0)</f>
        <v>0</v>
      </c>
      <c r="C604" s="2">
        <f>IFERROR(__xludf.DUMMYFUNCTION("""COMPUTED_VALUE"""),207.0)</f>
        <v>207</v>
      </c>
      <c r="D604" s="3">
        <f>IFERROR(__xludf.DUMMYFUNCTION("""COMPUTED_VALUE"""),164.0)</f>
        <v>164</v>
      </c>
      <c r="E604" s="2"/>
      <c r="F604" s="2"/>
    </row>
    <row r="605">
      <c r="A605" s="2">
        <f>IFERROR(__xludf.DUMMYFUNCTION("""COMPUTED_VALUE"""),19847.0)</f>
        <v>19847</v>
      </c>
      <c r="B605" s="2">
        <f>IFERROR(__xludf.DUMMYFUNCTION("""COMPUTED_VALUE"""),1.0)</f>
        <v>1</v>
      </c>
      <c r="C605" s="2">
        <f>IFERROR(__xludf.DUMMYFUNCTION("""COMPUTED_VALUE"""),276.0)</f>
        <v>276</v>
      </c>
      <c r="D605" s="3">
        <f>IFERROR(__xludf.DUMMYFUNCTION("""COMPUTED_VALUE"""),122.0)</f>
        <v>122</v>
      </c>
      <c r="E605" s="2"/>
      <c r="F605" s="2"/>
    </row>
    <row r="606">
      <c r="A606" s="2">
        <f>IFERROR(__xludf.DUMMYFUNCTION("""COMPUTED_VALUE"""),121989.0)</f>
        <v>121989</v>
      </c>
      <c r="B606" s="2">
        <f>IFERROR(__xludf.DUMMYFUNCTION("""COMPUTED_VALUE"""),0.0)</f>
        <v>0</v>
      </c>
      <c r="C606" s="2">
        <f>IFERROR(__xludf.DUMMYFUNCTION("""COMPUTED_VALUE"""),572.0)</f>
        <v>572</v>
      </c>
      <c r="D606" s="3">
        <f>IFERROR(__xludf.DUMMYFUNCTION("""COMPUTED_VALUE"""),381.0)</f>
        <v>381</v>
      </c>
      <c r="E606" s="2"/>
      <c r="F606" s="2"/>
    </row>
    <row r="607">
      <c r="A607" s="2">
        <f>IFERROR(__xludf.DUMMYFUNCTION("""COMPUTED_VALUE"""),3431.0)</f>
        <v>3431</v>
      </c>
      <c r="B607" s="2">
        <f>IFERROR(__xludf.DUMMYFUNCTION("""COMPUTED_VALUE"""),1.0)</f>
        <v>1</v>
      </c>
      <c r="C607" s="2">
        <f>IFERROR(__xludf.DUMMYFUNCTION("""COMPUTED_VALUE"""),855.0)</f>
        <v>855</v>
      </c>
      <c r="D607" s="3">
        <f>IFERROR(__xludf.DUMMYFUNCTION("""COMPUTED_VALUE"""),119.0)</f>
        <v>119</v>
      </c>
      <c r="E607" s="2"/>
      <c r="F607" s="2"/>
    </row>
    <row r="608">
      <c r="A608" s="2">
        <f>IFERROR(__xludf.DUMMYFUNCTION("""COMPUTED_VALUE"""),68858.0)</f>
        <v>68858</v>
      </c>
      <c r="B608" s="2">
        <f>IFERROR(__xludf.DUMMYFUNCTION("""COMPUTED_VALUE"""),0.0)</f>
        <v>0</v>
      </c>
      <c r="C608" s="2">
        <f>IFERROR(__xludf.DUMMYFUNCTION("""COMPUTED_VALUE"""),191.0)</f>
        <v>191</v>
      </c>
      <c r="D608" s="3">
        <f>IFERROR(__xludf.DUMMYFUNCTION("""COMPUTED_VALUE"""),22.0)</f>
        <v>22</v>
      </c>
      <c r="E608" s="2"/>
      <c r="F608" s="2"/>
    </row>
    <row r="609">
      <c r="A609" s="2">
        <f>IFERROR(__xludf.DUMMYFUNCTION("""COMPUTED_VALUE"""),147279.0)</f>
        <v>147279</v>
      </c>
      <c r="B609" s="2">
        <f>IFERROR(__xludf.DUMMYFUNCTION("""COMPUTED_VALUE"""),0.0)</f>
        <v>0</v>
      </c>
      <c r="C609" s="2">
        <f>IFERROR(__xludf.DUMMYFUNCTION("""COMPUTED_VALUE"""),870.0)</f>
        <v>870</v>
      </c>
      <c r="D609" s="3">
        <f>IFERROR(__xludf.DUMMYFUNCTION("""COMPUTED_VALUE"""),133.0)</f>
        <v>133</v>
      </c>
      <c r="E609" s="2"/>
      <c r="F609" s="2"/>
    </row>
    <row r="610">
      <c r="A610" s="2">
        <f>IFERROR(__xludf.DUMMYFUNCTION("""COMPUTED_VALUE"""),19853.0)</f>
        <v>19853</v>
      </c>
      <c r="B610" s="2">
        <f>IFERROR(__xludf.DUMMYFUNCTION("""COMPUTED_VALUE"""),0.0)</f>
        <v>0</v>
      </c>
      <c r="C610" s="2">
        <f>IFERROR(__xludf.DUMMYFUNCTION("""COMPUTED_VALUE"""),546.0)</f>
        <v>546</v>
      </c>
      <c r="D610" s="3">
        <f>IFERROR(__xludf.DUMMYFUNCTION("""COMPUTED_VALUE"""),408.0)</f>
        <v>408</v>
      </c>
      <c r="E610" s="2"/>
      <c r="F610" s="2"/>
    </row>
    <row r="611">
      <c r="A611" s="2">
        <f>IFERROR(__xludf.DUMMYFUNCTION("""COMPUTED_VALUE"""),84315.0)</f>
        <v>84315</v>
      </c>
      <c r="B611" s="2">
        <f>IFERROR(__xludf.DUMMYFUNCTION("""COMPUTED_VALUE"""),0.0)</f>
        <v>0</v>
      </c>
      <c r="C611" s="2">
        <f>IFERROR(__xludf.DUMMYFUNCTION("""COMPUTED_VALUE"""),342.0)</f>
        <v>342</v>
      </c>
      <c r="D611" s="3">
        <f>IFERROR(__xludf.DUMMYFUNCTION("""COMPUTED_VALUE"""),171.0)</f>
        <v>171</v>
      </c>
      <c r="E611" s="2"/>
      <c r="F611" s="2"/>
    </row>
    <row r="612">
      <c r="A612" s="2">
        <f>IFERROR(__xludf.DUMMYFUNCTION("""COMPUTED_VALUE"""),3433.0)</f>
        <v>3433</v>
      </c>
      <c r="B612" s="2">
        <f>IFERROR(__xludf.DUMMYFUNCTION("""COMPUTED_VALUE"""),1.0)</f>
        <v>1</v>
      </c>
      <c r="C612" s="2">
        <f>IFERROR(__xludf.DUMMYFUNCTION("""COMPUTED_VALUE"""),534.0)</f>
        <v>534</v>
      </c>
      <c r="D612" s="3">
        <f>IFERROR(__xludf.DUMMYFUNCTION("""COMPUTED_VALUE"""),426.0)</f>
        <v>426</v>
      </c>
      <c r="E612" s="2"/>
      <c r="F612" s="2"/>
    </row>
    <row r="613">
      <c r="A613" s="2">
        <f>IFERROR(__xludf.DUMMYFUNCTION("""COMPUTED_VALUE"""),48640.0)</f>
        <v>48640</v>
      </c>
      <c r="B613" s="2">
        <f>IFERROR(__xludf.DUMMYFUNCTION("""COMPUTED_VALUE"""),1.0)</f>
        <v>1</v>
      </c>
      <c r="C613" s="2">
        <f>IFERROR(__xludf.DUMMYFUNCTION("""COMPUTED_VALUE"""),911.0)</f>
        <v>911</v>
      </c>
      <c r="D613" s="3">
        <f>IFERROR(__xludf.DUMMYFUNCTION("""COMPUTED_VALUE"""),171.0)</f>
        <v>171</v>
      </c>
      <c r="E613" s="2"/>
      <c r="F613" s="2"/>
    </row>
    <row r="614">
      <c r="A614" s="2">
        <f>IFERROR(__xludf.DUMMYFUNCTION("""COMPUTED_VALUE"""),81678.0)</f>
        <v>81678</v>
      </c>
      <c r="B614" s="2">
        <f>IFERROR(__xludf.DUMMYFUNCTION("""COMPUTED_VALUE"""),0.0)</f>
        <v>0</v>
      </c>
      <c r="C614" s="2">
        <f>IFERROR(__xludf.DUMMYFUNCTION("""COMPUTED_VALUE"""),16.0)</f>
        <v>16</v>
      </c>
      <c r="D614" s="3">
        <f>IFERROR(__xludf.DUMMYFUNCTION("""COMPUTED_VALUE"""),13.0)</f>
        <v>13</v>
      </c>
      <c r="E614" s="2"/>
      <c r="F614" s="2"/>
    </row>
    <row r="615">
      <c r="A615" s="2">
        <f>IFERROR(__xludf.DUMMYFUNCTION("""COMPUTED_VALUE"""),117528.0)</f>
        <v>117528</v>
      </c>
      <c r="B615" s="2">
        <f>IFERROR(__xludf.DUMMYFUNCTION("""COMPUTED_VALUE"""),1.0)</f>
        <v>1</v>
      </c>
      <c r="C615" s="2">
        <f>IFERROR(__xludf.DUMMYFUNCTION("""COMPUTED_VALUE"""),117.0)</f>
        <v>117</v>
      </c>
      <c r="D615" s="3">
        <f>IFERROR(__xludf.DUMMYFUNCTION("""COMPUTED_VALUE"""),81.0)</f>
        <v>81</v>
      </c>
      <c r="E615" s="2"/>
      <c r="F615" s="2"/>
    </row>
    <row r="616">
      <c r="A616" s="2">
        <f>IFERROR(__xludf.DUMMYFUNCTION("""COMPUTED_VALUE"""),84324.0)</f>
        <v>84324</v>
      </c>
      <c r="B616" s="2">
        <f>IFERROR(__xludf.DUMMYFUNCTION("""COMPUTED_VALUE"""),0.0)</f>
        <v>0</v>
      </c>
      <c r="C616" s="2">
        <f>IFERROR(__xludf.DUMMYFUNCTION("""COMPUTED_VALUE"""),923.0)</f>
        <v>923</v>
      </c>
      <c r="D616" s="3">
        <f>IFERROR(__xludf.DUMMYFUNCTION("""COMPUTED_VALUE"""),506.0)</f>
        <v>506</v>
      </c>
      <c r="E616" s="2"/>
      <c r="F616" s="2"/>
    </row>
    <row r="617">
      <c r="A617" s="2">
        <f>IFERROR(__xludf.DUMMYFUNCTION("""COMPUTED_VALUE"""),3420.0)</f>
        <v>3420</v>
      </c>
      <c r="B617" s="2">
        <f>IFERROR(__xludf.DUMMYFUNCTION("""COMPUTED_VALUE"""),1.0)</f>
        <v>1</v>
      </c>
      <c r="C617" s="2">
        <f>IFERROR(__xludf.DUMMYFUNCTION("""COMPUTED_VALUE"""),292.0)</f>
        <v>292</v>
      </c>
      <c r="D617" s="3">
        <f>IFERROR(__xludf.DUMMYFUNCTION("""COMPUTED_VALUE"""),96.0)</f>
        <v>96</v>
      </c>
      <c r="E617" s="2"/>
      <c r="F617" s="2"/>
    </row>
    <row r="618">
      <c r="A618" s="2">
        <f>IFERROR(__xludf.DUMMYFUNCTION("""COMPUTED_VALUE"""),19837.0)</f>
        <v>19837</v>
      </c>
      <c r="B618" s="2">
        <f>IFERROR(__xludf.DUMMYFUNCTION("""COMPUTED_VALUE"""),1.0)</f>
        <v>1</v>
      </c>
      <c r="C618" s="2">
        <f>IFERROR(__xludf.DUMMYFUNCTION("""COMPUTED_VALUE"""),397.0)</f>
        <v>397</v>
      </c>
      <c r="D618" s="3">
        <f>IFERROR(__xludf.DUMMYFUNCTION("""COMPUTED_VALUE"""),160.0)</f>
        <v>160</v>
      </c>
      <c r="E618" s="2"/>
      <c r="F618" s="2"/>
    </row>
    <row r="619">
      <c r="A619" s="2">
        <f>IFERROR(__xludf.DUMMYFUNCTION("""COMPUTED_VALUE"""),19835.0)</f>
        <v>19835</v>
      </c>
      <c r="B619" s="2">
        <f>IFERROR(__xludf.DUMMYFUNCTION("""COMPUTED_VALUE"""),1.0)</f>
        <v>1</v>
      </c>
      <c r="C619" s="2">
        <f>IFERROR(__xludf.DUMMYFUNCTION("""COMPUTED_VALUE"""),560.0)</f>
        <v>560</v>
      </c>
      <c r="D619" s="3">
        <f>IFERROR(__xludf.DUMMYFUNCTION("""COMPUTED_VALUE"""),545.0)</f>
        <v>545</v>
      </c>
      <c r="E619" s="2"/>
      <c r="F619" s="2"/>
    </row>
    <row r="620">
      <c r="A620" s="2">
        <f>IFERROR(__xludf.DUMMYFUNCTION("""COMPUTED_VALUE"""),69109.0)</f>
        <v>69109</v>
      </c>
      <c r="B620" s="2">
        <f>IFERROR(__xludf.DUMMYFUNCTION("""COMPUTED_VALUE"""),0.0)</f>
        <v>0</v>
      </c>
      <c r="C620" s="2">
        <f>IFERROR(__xludf.DUMMYFUNCTION("""COMPUTED_VALUE"""),152.0)</f>
        <v>152</v>
      </c>
      <c r="D620" s="3">
        <f>IFERROR(__xludf.DUMMYFUNCTION("""COMPUTED_VALUE"""),41.0)</f>
        <v>41</v>
      </c>
      <c r="E620" s="2"/>
      <c r="F620" s="2"/>
    </row>
    <row r="621">
      <c r="A621" s="2">
        <f>IFERROR(__xludf.DUMMYFUNCTION("""COMPUTED_VALUE"""),104387.0)</f>
        <v>104387</v>
      </c>
      <c r="B621" s="2">
        <f>IFERROR(__xludf.DUMMYFUNCTION("""COMPUTED_VALUE"""),0.0)</f>
        <v>0</v>
      </c>
      <c r="C621" s="2">
        <f>IFERROR(__xludf.DUMMYFUNCTION("""COMPUTED_VALUE"""),459.0)</f>
        <v>459</v>
      </c>
      <c r="D621" s="3">
        <f>IFERROR(__xludf.DUMMYFUNCTION("""COMPUTED_VALUE"""),238.0)</f>
        <v>238</v>
      </c>
      <c r="E621" s="2"/>
      <c r="F621" s="2"/>
    </row>
    <row r="622">
      <c r="A622" s="2">
        <f>IFERROR(__xludf.DUMMYFUNCTION("""COMPUTED_VALUE"""),19843.0)</f>
        <v>19843</v>
      </c>
      <c r="B622" s="2">
        <f>IFERROR(__xludf.DUMMYFUNCTION("""COMPUTED_VALUE"""),0.0)</f>
        <v>0</v>
      </c>
      <c r="C622" s="2">
        <f>IFERROR(__xludf.DUMMYFUNCTION("""COMPUTED_VALUE"""),559.0)</f>
        <v>559</v>
      </c>
      <c r="D622" s="3">
        <f>IFERROR(__xludf.DUMMYFUNCTION("""COMPUTED_VALUE"""),515.0)</f>
        <v>515</v>
      </c>
      <c r="E622" s="2"/>
      <c r="F622" s="2"/>
    </row>
    <row r="623">
      <c r="A623" s="2">
        <f>IFERROR(__xludf.DUMMYFUNCTION("""COMPUTED_VALUE"""),117523.0)</f>
        <v>117523</v>
      </c>
      <c r="B623" s="2">
        <f>IFERROR(__xludf.DUMMYFUNCTION("""COMPUTED_VALUE"""),1.0)</f>
        <v>1</v>
      </c>
      <c r="C623" s="2">
        <f>IFERROR(__xludf.DUMMYFUNCTION("""COMPUTED_VALUE"""),109.0)</f>
        <v>109</v>
      </c>
      <c r="D623" s="3">
        <f>IFERROR(__xludf.DUMMYFUNCTION("""COMPUTED_VALUE"""),65.0)</f>
        <v>65</v>
      </c>
      <c r="E623" s="2"/>
      <c r="F623" s="2"/>
    </row>
    <row r="624">
      <c r="A624" s="2">
        <f>IFERROR(__xludf.DUMMYFUNCTION("""COMPUTED_VALUE"""),121981.0)</f>
        <v>121981</v>
      </c>
      <c r="B624" s="2">
        <f>IFERROR(__xludf.DUMMYFUNCTION("""COMPUTED_VALUE"""),1.0)</f>
        <v>1</v>
      </c>
      <c r="C624" s="2">
        <f>IFERROR(__xludf.DUMMYFUNCTION("""COMPUTED_VALUE"""),258.0)</f>
        <v>258</v>
      </c>
      <c r="D624" s="3">
        <f>IFERROR(__xludf.DUMMYFUNCTION("""COMPUTED_VALUE"""),150.0)</f>
        <v>150</v>
      </c>
      <c r="E624" s="2"/>
      <c r="F624" s="2"/>
    </row>
    <row r="625">
      <c r="A625" s="2">
        <f>IFERROR(__xludf.DUMMYFUNCTION("""COMPUTED_VALUE"""),121993.0)</f>
        <v>121993</v>
      </c>
      <c r="B625" s="2">
        <f>IFERROR(__xludf.DUMMYFUNCTION("""COMPUTED_VALUE"""),0.0)</f>
        <v>0</v>
      </c>
      <c r="C625" s="2">
        <f>IFERROR(__xludf.DUMMYFUNCTION("""COMPUTED_VALUE"""),255.0)</f>
        <v>255</v>
      </c>
      <c r="D625" s="3">
        <f>IFERROR(__xludf.DUMMYFUNCTION("""COMPUTED_VALUE"""),210.0)</f>
        <v>210</v>
      </c>
      <c r="E625" s="2"/>
      <c r="F625" s="2"/>
    </row>
    <row r="626">
      <c r="A626" s="2">
        <f>IFERROR(__xludf.DUMMYFUNCTION("""COMPUTED_VALUE"""),81389.0)</f>
        <v>81389</v>
      </c>
      <c r="B626" s="2">
        <f>IFERROR(__xludf.DUMMYFUNCTION("""COMPUTED_VALUE"""),1.0)</f>
        <v>1</v>
      </c>
      <c r="C626" s="2">
        <f>IFERROR(__xludf.DUMMYFUNCTION("""COMPUTED_VALUE"""),724.0)</f>
        <v>724</v>
      </c>
      <c r="D626" s="3">
        <f>IFERROR(__xludf.DUMMYFUNCTION("""COMPUTED_VALUE"""),507.0)</f>
        <v>507</v>
      </c>
      <c r="E626" s="2"/>
      <c r="F626" s="2"/>
    </row>
    <row r="627">
      <c r="A627" s="2">
        <f>IFERROR(__xludf.DUMMYFUNCTION("""COMPUTED_VALUE"""),99473.0)</f>
        <v>99473</v>
      </c>
      <c r="B627" s="2">
        <f>IFERROR(__xludf.DUMMYFUNCTION("""COMPUTED_VALUE"""),0.0)</f>
        <v>0</v>
      </c>
      <c r="C627" s="2">
        <f>IFERROR(__xludf.DUMMYFUNCTION("""COMPUTED_VALUE"""),865.0)</f>
        <v>865</v>
      </c>
      <c r="D627" s="3">
        <f>IFERROR(__xludf.DUMMYFUNCTION("""COMPUTED_VALUE"""),720.0)</f>
        <v>720</v>
      </c>
      <c r="E627" s="2"/>
      <c r="F627" s="2"/>
    </row>
    <row r="628">
      <c r="A628" s="2">
        <f>IFERROR(__xludf.DUMMYFUNCTION("""COMPUTED_VALUE"""),81393.0)</f>
        <v>81393</v>
      </c>
      <c r="B628" s="2">
        <f>IFERROR(__xludf.DUMMYFUNCTION("""COMPUTED_VALUE"""),0.0)</f>
        <v>0</v>
      </c>
      <c r="C628" s="2">
        <f>IFERROR(__xludf.DUMMYFUNCTION("""COMPUTED_VALUE"""),929.0)</f>
        <v>929</v>
      </c>
      <c r="D628" s="3">
        <f>IFERROR(__xludf.DUMMYFUNCTION("""COMPUTED_VALUE"""),555.0)</f>
        <v>555</v>
      </c>
      <c r="E628" s="2"/>
      <c r="F628" s="2"/>
    </row>
    <row r="629">
      <c r="A629" s="2">
        <f>IFERROR(__xludf.DUMMYFUNCTION("""COMPUTED_VALUE"""),104364.0)</f>
        <v>104364</v>
      </c>
      <c r="B629" s="2">
        <f>IFERROR(__xludf.DUMMYFUNCTION("""COMPUTED_VALUE"""),0.0)</f>
        <v>0</v>
      </c>
      <c r="C629" s="2">
        <f>IFERROR(__xludf.DUMMYFUNCTION("""COMPUTED_VALUE"""),124.0)</f>
        <v>124</v>
      </c>
      <c r="D629" s="3">
        <f>IFERROR(__xludf.DUMMYFUNCTION("""COMPUTED_VALUE"""),124.0)</f>
        <v>124</v>
      </c>
      <c r="E629" s="2"/>
      <c r="F629" s="2"/>
    </row>
    <row r="630">
      <c r="A630" s="2">
        <f>IFERROR(__xludf.DUMMYFUNCTION("""COMPUTED_VALUE"""),76602.0)</f>
        <v>76602</v>
      </c>
      <c r="B630" s="2">
        <f>IFERROR(__xludf.DUMMYFUNCTION("""COMPUTED_VALUE"""),0.0)</f>
        <v>0</v>
      </c>
      <c r="C630" s="2">
        <f>IFERROR(__xludf.DUMMYFUNCTION("""COMPUTED_VALUE"""),460.0)</f>
        <v>460</v>
      </c>
      <c r="D630" s="3">
        <f>IFERROR(__xludf.DUMMYFUNCTION("""COMPUTED_VALUE"""),187.0)</f>
        <v>187</v>
      </c>
      <c r="E630" s="2"/>
      <c r="F630" s="2"/>
    </row>
    <row r="631">
      <c r="A631" s="2">
        <f>IFERROR(__xludf.DUMMYFUNCTION("""COMPUTED_VALUE"""),119824.0)</f>
        <v>119824</v>
      </c>
      <c r="B631" s="2">
        <f>IFERROR(__xludf.DUMMYFUNCTION("""COMPUTED_VALUE"""),1.0)</f>
        <v>1</v>
      </c>
      <c r="C631" s="2">
        <f>IFERROR(__xludf.DUMMYFUNCTION("""COMPUTED_VALUE"""),414.0)</f>
        <v>414</v>
      </c>
      <c r="D631" s="3">
        <f>IFERROR(__xludf.DUMMYFUNCTION("""COMPUTED_VALUE"""),90.0)</f>
        <v>90</v>
      </c>
      <c r="E631" s="2"/>
      <c r="F631" s="2"/>
    </row>
    <row r="632">
      <c r="A632" s="2">
        <f>IFERROR(__xludf.DUMMYFUNCTION("""COMPUTED_VALUE"""),112618.0)</f>
        <v>112618</v>
      </c>
      <c r="B632" s="2">
        <f>IFERROR(__xludf.DUMMYFUNCTION("""COMPUTED_VALUE"""),0.0)</f>
        <v>0</v>
      </c>
      <c r="C632" s="2">
        <f>IFERROR(__xludf.DUMMYFUNCTION("""COMPUTED_VALUE"""),480.0)</f>
        <v>480</v>
      </c>
      <c r="D632" s="3">
        <f>IFERROR(__xludf.DUMMYFUNCTION("""COMPUTED_VALUE"""),69.0)</f>
        <v>69</v>
      </c>
      <c r="E632" s="2"/>
      <c r="F632" s="2"/>
    </row>
    <row r="633">
      <c r="A633" s="2">
        <f>IFERROR(__xludf.DUMMYFUNCTION("""COMPUTED_VALUE"""),112617.0)</f>
        <v>112617</v>
      </c>
      <c r="B633" s="2">
        <f>IFERROR(__xludf.DUMMYFUNCTION("""COMPUTED_VALUE"""),1.0)</f>
        <v>1</v>
      </c>
      <c r="C633" s="2">
        <f>IFERROR(__xludf.DUMMYFUNCTION("""COMPUTED_VALUE"""),380.0)</f>
        <v>380</v>
      </c>
      <c r="D633" s="3">
        <f>IFERROR(__xludf.DUMMYFUNCTION("""COMPUTED_VALUE"""),29.0)</f>
        <v>29</v>
      </c>
      <c r="E633" s="2"/>
      <c r="F633" s="2"/>
    </row>
    <row r="634">
      <c r="A634" s="2">
        <f>IFERROR(__xludf.DUMMYFUNCTION("""COMPUTED_VALUE"""),113963.0)</f>
        <v>113963</v>
      </c>
      <c r="B634" s="2">
        <f>IFERROR(__xludf.DUMMYFUNCTION("""COMPUTED_VALUE"""),0.0)</f>
        <v>0</v>
      </c>
      <c r="C634" s="2">
        <f>IFERROR(__xludf.DUMMYFUNCTION("""COMPUTED_VALUE"""),534.0)</f>
        <v>534</v>
      </c>
      <c r="D634" s="3">
        <f>IFERROR(__xludf.DUMMYFUNCTION("""COMPUTED_VALUE"""),85.0)</f>
        <v>85</v>
      </c>
      <c r="E634" s="2"/>
      <c r="F634" s="2"/>
    </row>
    <row r="635">
      <c r="A635" s="2">
        <f>IFERROR(__xludf.DUMMYFUNCTION("""COMPUTED_VALUE"""),104359.0)</f>
        <v>104359</v>
      </c>
      <c r="B635" s="2">
        <f>IFERROR(__xludf.DUMMYFUNCTION("""COMPUTED_VALUE"""),0.0)</f>
        <v>0</v>
      </c>
      <c r="C635" s="2">
        <f>IFERROR(__xludf.DUMMYFUNCTION("""COMPUTED_VALUE"""),782.0)</f>
        <v>782</v>
      </c>
      <c r="D635" s="3">
        <f>IFERROR(__xludf.DUMMYFUNCTION("""COMPUTED_VALUE"""),629.0)</f>
        <v>629</v>
      </c>
      <c r="E635" s="2"/>
      <c r="F635" s="2"/>
    </row>
    <row r="636">
      <c r="A636" s="2">
        <f>IFERROR(__xludf.DUMMYFUNCTION("""COMPUTED_VALUE"""),81675.0)</f>
        <v>81675</v>
      </c>
      <c r="B636" s="2">
        <f>IFERROR(__xludf.DUMMYFUNCTION("""COMPUTED_VALUE"""),1.0)</f>
        <v>1</v>
      </c>
      <c r="C636" s="2">
        <f>IFERROR(__xludf.DUMMYFUNCTION("""COMPUTED_VALUE"""),585.0)</f>
        <v>585</v>
      </c>
      <c r="D636" s="3">
        <f>IFERROR(__xludf.DUMMYFUNCTION("""COMPUTED_VALUE"""),3.0)</f>
        <v>3</v>
      </c>
      <c r="E636" s="2"/>
      <c r="F636" s="2"/>
    </row>
    <row r="637">
      <c r="A637" s="2">
        <f>IFERROR(__xludf.DUMMYFUNCTION("""COMPUTED_VALUE"""),84835.0)</f>
        <v>84835</v>
      </c>
      <c r="B637" s="2">
        <f>IFERROR(__xludf.DUMMYFUNCTION("""COMPUTED_VALUE"""),1.0)</f>
        <v>1</v>
      </c>
      <c r="C637" s="2">
        <f>IFERROR(__xludf.DUMMYFUNCTION("""COMPUTED_VALUE"""),484.0)</f>
        <v>484</v>
      </c>
      <c r="D637" s="3">
        <f>IFERROR(__xludf.DUMMYFUNCTION("""COMPUTED_VALUE"""),378.0)</f>
        <v>378</v>
      </c>
      <c r="E637" s="2"/>
      <c r="F637" s="2"/>
    </row>
    <row r="638">
      <c r="A638" s="2">
        <f>IFERROR(__xludf.DUMMYFUNCTION("""COMPUTED_VALUE"""),81680.0)</f>
        <v>81680</v>
      </c>
      <c r="B638" s="2">
        <f>IFERROR(__xludf.DUMMYFUNCTION("""COMPUTED_VALUE"""),0.0)</f>
        <v>0</v>
      </c>
      <c r="C638" s="2">
        <f>IFERROR(__xludf.DUMMYFUNCTION("""COMPUTED_VALUE"""),168.0)</f>
        <v>168</v>
      </c>
      <c r="D638" s="3">
        <f>IFERROR(__xludf.DUMMYFUNCTION("""COMPUTED_VALUE"""),81.0)</f>
        <v>81</v>
      </c>
      <c r="E638" s="2"/>
      <c r="F638" s="2"/>
    </row>
    <row r="639">
      <c r="A639" s="2">
        <f>IFERROR(__xludf.DUMMYFUNCTION("""COMPUTED_VALUE"""),104361.0)</f>
        <v>104361</v>
      </c>
      <c r="B639" s="2">
        <f>IFERROR(__xludf.DUMMYFUNCTION("""COMPUTED_VALUE"""),1.0)</f>
        <v>1</v>
      </c>
      <c r="C639" s="2">
        <f>IFERROR(__xludf.DUMMYFUNCTION("""COMPUTED_VALUE"""),417.0)</f>
        <v>417</v>
      </c>
      <c r="D639" s="3">
        <f>IFERROR(__xludf.DUMMYFUNCTION("""COMPUTED_VALUE"""),25.0)</f>
        <v>25</v>
      </c>
      <c r="E639" s="2"/>
      <c r="F639" s="2"/>
    </row>
    <row r="640">
      <c r="A640" s="2">
        <f>IFERROR(__xludf.DUMMYFUNCTION("""COMPUTED_VALUE"""),83080.0)</f>
        <v>83080</v>
      </c>
      <c r="B640" s="2">
        <f>IFERROR(__xludf.DUMMYFUNCTION("""COMPUTED_VALUE"""),0.0)</f>
        <v>0</v>
      </c>
      <c r="C640" s="2">
        <f>IFERROR(__xludf.DUMMYFUNCTION("""COMPUTED_VALUE"""),315.0)</f>
        <v>315</v>
      </c>
      <c r="D640" s="3">
        <f>IFERROR(__xludf.DUMMYFUNCTION("""COMPUTED_VALUE"""),94.0)</f>
        <v>94</v>
      </c>
      <c r="E640" s="2"/>
      <c r="F640" s="2"/>
    </row>
    <row r="641">
      <c r="A641" s="2">
        <f>IFERROR(__xludf.DUMMYFUNCTION("""COMPUTED_VALUE"""),84930.0)</f>
        <v>84930</v>
      </c>
      <c r="B641" s="2">
        <f>IFERROR(__xludf.DUMMYFUNCTION("""COMPUTED_VALUE"""),1.0)</f>
        <v>1</v>
      </c>
      <c r="C641" s="2">
        <f>IFERROR(__xludf.DUMMYFUNCTION("""COMPUTED_VALUE"""),637.0)</f>
        <v>637</v>
      </c>
      <c r="D641" s="3">
        <f>IFERROR(__xludf.DUMMYFUNCTION("""COMPUTED_VALUE"""),375.0)</f>
        <v>375</v>
      </c>
      <c r="E641" s="2"/>
      <c r="F641" s="2"/>
    </row>
    <row r="642">
      <c r="A642" s="2">
        <f>IFERROR(__xludf.DUMMYFUNCTION("""COMPUTED_VALUE"""),19848.0)</f>
        <v>19848</v>
      </c>
      <c r="B642" s="2">
        <f>IFERROR(__xludf.DUMMYFUNCTION("""COMPUTED_VALUE"""),1.0)</f>
        <v>1</v>
      </c>
      <c r="C642" s="2">
        <f>IFERROR(__xludf.DUMMYFUNCTION("""COMPUTED_VALUE"""),111.0)</f>
        <v>111</v>
      </c>
      <c r="D642" s="3">
        <f>IFERROR(__xludf.DUMMYFUNCTION("""COMPUTED_VALUE"""),79.0)</f>
        <v>79</v>
      </c>
      <c r="E642" s="2"/>
      <c r="F642" s="2"/>
    </row>
    <row r="643">
      <c r="A643" s="2">
        <f>IFERROR(__xludf.DUMMYFUNCTION("""COMPUTED_VALUE"""),104362.0)</f>
        <v>104362</v>
      </c>
      <c r="B643" s="2">
        <f>IFERROR(__xludf.DUMMYFUNCTION("""COMPUTED_VALUE"""),0.0)</f>
        <v>0</v>
      </c>
      <c r="C643" s="2">
        <f>IFERROR(__xludf.DUMMYFUNCTION("""COMPUTED_VALUE"""),676.0)</f>
        <v>676</v>
      </c>
      <c r="D643" s="3">
        <f>IFERROR(__xludf.DUMMYFUNCTION("""COMPUTED_VALUE"""),490.0)</f>
        <v>490</v>
      </c>
      <c r="E643" s="2"/>
      <c r="F643" s="2"/>
    </row>
    <row r="644">
      <c r="A644" s="2">
        <f>IFERROR(__xludf.DUMMYFUNCTION("""COMPUTED_VALUE"""),92122.0)</f>
        <v>92122</v>
      </c>
      <c r="B644" s="2">
        <f>IFERROR(__xludf.DUMMYFUNCTION("""COMPUTED_VALUE"""),0.0)</f>
        <v>0</v>
      </c>
      <c r="C644" s="2">
        <f>IFERROR(__xludf.DUMMYFUNCTION("""COMPUTED_VALUE"""),679.0)</f>
        <v>679</v>
      </c>
      <c r="D644" s="3">
        <f>IFERROR(__xludf.DUMMYFUNCTION("""COMPUTED_VALUE"""),308.0)</f>
        <v>308</v>
      </c>
      <c r="E644" s="2"/>
      <c r="F644" s="2"/>
    </row>
    <row r="645">
      <c r="A645" s="2">
        <f>IFERROR(__xludf.DUMMYFUNCTION("""COMPUTED_VALUE"""),15854.0)</f>
        <v>15854</v>
      </c>
      <c r="B645" s="2">
        <f>IFERROR(__xludf.DUMMYFUNCTION("""COMPUTED_VALUE"""),1.0)</f>
        <v>1</v>
      </c>
      <c r="C645" s="2">
        <f>IFERROR(__xludf.DUMMYFUNCTION("""COMPUTED_VALUE"""),905.0)</f>
        <v>905</v>
      </c>
      <c r="D645" s="3">
        <f>IFERROR(__xludf.DUMMYFUNCTION("""COMPUTED_VALUE"""),60.0)</f>
        <v>60</v>
      </c>
      <c r="E645" s="2"/>
      <c r="F645" s="2"/>
    </row>
    <row r="646">
      <c r="A646" s="2">
        <f>IFERROR(__xludf.DUMMYFUNCTION("""COMPUTED_VALUE"""),81383.0)</f>
        <v>81383</v>
      </c>
      <c r="B646" s="2">
        <f>IFERROR(__xludf.DUMMYFUNCTION("""COMPUTED_VALUE"""),0.0)</f>
        <v>0</v>
      </c>
      <c r="C646" s="2">
        <f>IFERROR(__xludf.DUMMYFUNCTION("""COMPUTED_VALUE"""),331.0)</f>
        <v>331</v>
      </c>
      <c r="D646" s="3">
        <f>IFERROR(__xludf.DUMMYFUNCTION("""COMPUTED_VALUE"""),17.0)</f>
        <v>17</v>
      </c>
      <c r="E646" s="2"/>
      <c r="F646" s="2"/>
    </row>
    <row r="647">
      <c r="A647" s="2">
        <f>IFERROR(__xludf.DUMMYFUNCTION("""COMPUTED_VALUE"""),81430.0)</f>
        <v>81430</v>
      </c>
      <c r="B647" s="2">
        <f>IFERROR(__xludf.DUMMYFUNCTION("""COMPUTED_VALUE"""),1.0)</f>
        <v>1</v>
      </c>
      <c r="C647" s="2">
        <f>IFERROR(__xludf.DUMMYFUNCTION("""COMPUTED_VALUE"""),341.0)</f>
        <v>341</v>
      </c>
      <c r="D647" s="3">
        <f>IFERROR(__xludf.DUMMYFUNCTION("""COMPUTED_VALUE"""),280.0)</f>
        <v>280</v>
      </c>
      <c r="E647" s="2"/>
      <c r="F647" s="2"/>
    </row>
    <row r="648">
      <c r="A648" s="2">
        <f>IFERROR(__xludf.DUMMYFUNCTION("""COMPUTED_VALUE"""),84325.0)</f>
        <v>84325</v>
      </c>
      <c r="B648" s="2">
        <f>IFERROR(__xludf.DUMMYFUNCTION("""COMPUTED_VALUE"""),0.0)</f>
        <v>0</v>
      </c>
      <c r="C648" s="2">
        <f>IFERROR(__xludf.DUMMYFUNCTION("""COMPUTED_VALUE"""),273.0)</f>
        <v>273</v>
      </c>
      <c r="D648" s="3">
        <f>IFERROR(__xludf.DUMMYFUNCTION("""COMPUTED_VALUE"""),100.0)</f>
        <v>100</v>
      </c>
      <c r="E648" s="2"/>
      <c r="F648" s="2"/>
    </row>
    <row r="649">
      <c r="A649" s="2">
        <f>IFERROR(__xludf.DUMMYFUNCTION("""COMPUTED_VALUE"""),127244.0)</f>
        <v>127244</v>
      </c>
      <c r="B649" s="2">
        <f>IFERROR(__xludf.DUMMYFUNCTION("""COMPUTED_VALUE"""),0.0)</f>
        <v>0</v>
      </c>
      <c r="C649" s="2">
        <f>IFERROR(__xludf.DUMMYFUNCTION("""COMPUTED_VALUE"""),90.0)</f>
        <v>90</v>
      </c>
      <c r="D649" s="3">
        <f>IFERROR(__xludf.DUMMYFUNCTION("""COMPUTED_VALUE"""),34.0)</f>
        <v>34</v>
      </c>
      <c r="E649" s="2"/>
      <c r="F649" s="2"/>
    </row>
    <row r="650">
      <c r="A650" s="2">
        <f>IFERROR(__xludf.DUMMYFUNCTION("""COMPUTED_VALUE"""),15865.0)</f>
        <v>15865</v>
      </c>
      <c r="B650" s="2">
        <f>IFERROR(__xludf.DUMMYFUNCTION("""COMPUTED_VALUE"""),0.0)</f>
        <v>0</v>
      </c>
      <c r="C650" s="2">
        <f>IFERROR(__xludf.DUMMYFUNCTION("""COMPUTED_VALUE"""),963.0)</f>
        <v>963</v>
      </c>
      <c r="D650" s="3">
        <f>IFERROR(__xludf.DUMMYFUNCTION("""COMPUTED_VALUE"""),395.0)</f>
        <v>395</v>
      </c>
      <c r="E650" s="2"/>
      <c r="F650" s="2"/>
    </row>
    <row r="651">
      <c r="A651" s="2">
        <f>IFERROR(__xludf.DUMMYFUNCTION("""COMPUTED_VALUE"""),121996.0)</f>
        <v>121996</v>
      </c>
      <c r="B651" s="2">
        <f>IFERROR(__xludf.DUMMYFUNCTION("""COMPUTED_VALUE"""),1.0)</f>
        <v>1</v>
      </c>
      <c r="C651" s="2">
        <f>IFERROR(__xludf.DUMMYFUNCTION("""COMPUTED_VALUE"""),900.0)</f>
        <v>900</v>
      </c>
      <c r="D651" s="3">
        <f>IFERROR(__xludf.DUMMYFUNCTION("""COMPUTED_VALUE"""),198.0)</f>
        <v>198</v>
      </c>
      <c r="E651" s="2"/>
      <c r="F651" s="2"/>
    </row>
    <row r="652">
      <c r="A652" s="2">
        <f>IFERROR(__xludf.DUMMYFUNCTION("""COMPUTED_VALUE"""),93083.0)</f>
        <v>93083</v>
      </c>
      <c r="B652" s="2">
        <f>IFERROR(__xludf.DUMMYFUNCTION("""COMPUTED_VALUE"""),0.0)</f>
        <v>0</v>
      </c>
      <c r="C652" s="2">
        <f>IFERROR(__xludf.DUMMYFUNCTION("""COMPUTED_VALUE"""),894.0)</f>
        <v>894</v>
      </c>
      <c r="D652" s="3">
        <f>IFERROR(__xludf.DUMMYFUNCTION("""COMPUTED_VALUE"""),581.0)</f>
        <v>581</v>
      </c>
      <c r="E652" s="2"/>
      <c r="F652" s="2"/>
    </row>
    <row r="653">
      <c r="A653" s="2">
        <f>IFERROR(__xludf.DUMMYFUNCTION("""COMPUTED_VALUE"""),3426.0)</f>
        <v>3426</v>
      </c>
      <c r="B653" s="2">
        <f>IFERROR(__xludf.DUMMYFUNCTION("""COMPUTED_VALUE"""),1.0)</f>
        <v>1</v>
      </c>
      <c r="C653" s="2">
        <f>IFERROR(__xludf.DUMMYFUNCTION("""COMPUTED_VALUE"""),461.0)</f>
        <v>461</v>
      </c>
      <c r="D653" s="3">
        <f>IFERROR(__xludf.DUMMYFUNCTION("""COMPUTED_VALUE"""),14.0)</f>
        <v>14</v>
      </c>
      <c r="E653" s="2"/>
      <c r="F653" s="2"/>
    </row>
    <row r="654">
      <c r="A654" s="2">
        <f>IFERROR(__xludf.DUMMYFUNCTION("""COMPUTED_VALUE"""),111349.0)</f>
        <v>111349</v>
      </c>
      <c r="B654" s="2">
        <f>IFERROR(__xludf.DUMMYFUNCTION("""COMPUTED_VALUE"""),0.0)</f>
        <v>0</v>
      </c>
      <c r="C654" s="2">
        <f>IFERROR(__xludf.DUMMYFUNCTION("""COMPUTED_VALUE"""),904.0)</f>
        <v>904</v>
      </c>
      <c r="D654" s="3">
        <f>IFERROR(__xludf.DUMMYFUNCTION("""COMPUTED_VALUE"""),894.0)</f>
        <v>894</v>
      </c>
      <c r="E654" s="2"/>
      <c r="F654" s="2"/>
    </row>
    <row r="655">
      <c r="A655" s="2">
        <f>IFERROR(__xludf.DUMMYFUNCTION("""COMPUTED_VALUE"""),74917.0)</f>
        <v>74917</v>
      </c>
      <c r="B655" s="2">
        <f>IFERROR(__xludf.DUMMYFUNCTION("""COMPUTED_VALUE"""),0.0)</f>
        <v>0</v>
      </c>
      <c r="C655" s="2">
        <f>IFERROR(__xludf.DUMMYFUNCTION("""COMPUTED_VALUE"""),845.0)</f>
        <v>845</v>
      </c>
      <c r="D655" s="3">
        <f>IFERROR(__xludf.DUMMYFUNCTION("""COMPUTED_VALUE"""),191.0)</f>
        <v>191</v>
      </c>
      <c r="E655" s="2"/>
      <c r="F655" s="2"/>
    </row>
    <row r="656">
      <c r="A656" s="2">
        <f>IFERROR(__xludf.DUMMYFUNCTION("""COMPUTED_VALUE"""),69127.0)</f>
        <v>69127</v>
      </c>
      <c r="B656" s="2">
        <f>IFERROR(__xludf.DUMMYFUNCTION("""COMPUTED_VALUE"""),1.0)</f>
        <v>1</v>
      </c>
      <c r="C656" s="2">
        <f>IFERROR(__xludf.DUMMYFUNCTION("""COMPUTED_VALUE"""),541.0)</f>
        <v>541</v>
      </c>
      <c r="D656" s="3">
        <f>IFERROR(__xludf.DUMMYFUNCTION("""COMPUTED_VALUE"""),369.0)</f>
        <v>369</v>
      </c>
      <c r="E656" s="2"/>
      <c r="F656" s="2"/>
    </row>
    <row r="657">
      <c r="A657" s="2">
        <f>IFERROR(__xludf.DUMMYFUNCTION("""COMPUTED_VALUE"""),84819.0)</f>
        <v>84819</v>
      </c>
      <c r="B657" s="2">
        <f>IFERROR(__xludf.DUMMYFUNCTION("""COMPUTED_VALUE"""),0.0)</f>
        <v>0</v>
      </c>
      <c r="C657" s="2">
        <f>IFERROR(__xludf.DUMMYFUNCTION("""COMPUTED_VALUE"""),536.0)</f>
        <v>536</v>
      </c>
      <c r="D657" s="3">
        <f>IFERROR(__xludf.DUMMYFUNCTION("""COMPUTED_VALUE"""),165.0)</f>
        <v>165</v>
      </c>
      <c r="E657" s="2"/>
      <c r="F657" s="2"/>
    </row>
    <row r="658">
      <c r="A658" s="2">
        <f>IFERROR(__xludf.DUMMYFUNCTION("""COMPUTED_VALUE"""),104367.0)</f>
        <v>104367</v>
      </c>
      <c r="B658" s="2">
        <f>IFERROR(__xludf.DUMMYFUNCTION("""COMPUTED_VALUE"""),1.0)</f>
        <v>1</v>
      </c>
      <c r="C658" s="2">
        <f>IFERROR(__xludf.DUMMYFUNCTION("""COMPUTED_VALUE"""),391.0)</f>
        <v>391</v>
      </c>
      <c r="D658" s="3">
        <f>IFERROR(__xludf.DUMMYFUNCTION("""COMPUTED_VALUE"""),266.0)</f>
        <v>266</v>
      </c>
      <c r="E658" s="2"/>
      <c r="F658" s="2"/>
    </row>
    <row r="659">
      <c r="A659" s="2">
        <f>IFERROR(__xludf.DUMMYFUNCTION("""COMPUTED_VALUE"""),121997.0)</f>
        <v>121997</v>
      </c>
      <c r="B659" s="2">
        <f>IFERROR(__xludf.DUMMYFUNCTION("""COMPUTED_VALUE"""),0.0)</f>
        <v>0</v>
      </c>
      <c r="C659" s="2">
        <f>IFERROR(__xludf.DUMMYFUNCTION("""COMPUTED_VALUE"""),598.0)</f>
        <v>598</v>
      </c>
      <c r="D659" s="3">
        <f>IFERROR(__xludf.DUMMYFUNCTION("""COMPUTED_VALUE"""),102.0)</f>
        <v>102</v>
      </c>
      <c r="E659" s="2"/>
      <c r="F659" s="2"/>
    </row>
    <row r="660">
      <c r="A660" s="2">
        <f>IFERROR(__xludf.DUMMYFUNCTION("""COMPUTED_VALUE"""),117499.0)</f>
        <v>117499</v>
      </c>
      <c r="B660" s="2">
        <f>IFERROR(__xludf.DUMMYFUNCTION("""COMPUTED_VALUE"""),1.0)</f>
        <v>1</v>
      </c>
      <c r="C660" s="2">
        <f>IFERROR(__xludf.DUMMYFUNCTION("""COMPUTED_VALUE"""),651.0)</f>
        <v>651</v>
      </c>
      <c r="D660" s="3">
        <f>IFERROR(__xludf.DUMMYFUNCTION("""COMPUTED_VALUE"""),298.0)</f>
        <v>298</v>
      </c>
      <c r="E660" s="2"/>
      <c r="F660" s="2"/>
    </row>
    <row r="661">
      <c r="A661" s="2">
        <f>IFERROR(__xludf.DUMMYFUNCTION("""COMPUTED_VALUE"""),69125.0)</f>
        <v>69125</v>
      </c>
      <c r="B661" s="2">
        <f>IFERROR(__xludf.DUMMYFUNCTION("""COMPUTED_VALUE"""),1.0)</f>
        <v>1</v>
      </c>
      <c r="C661" s="2">
        <f>IFERROR(__xludf.DUMMYFUNCTION("""COMPUTED_VALUE"""),413.0)</f>
        <v>413</v>
      </c>
      <c r="D661" s="3">
        <f>IFERROR(__xludf.DUMMYFUNCTION("""COMPUTED_VALUE"""),301.0)</f>
        <v>301</v>
      </c>
      <c r="E661" s="2"/>
      <c r="F661" s="2"/>
    </row>
    <row r="662">
      <c r="A662" s="2">
        <f>IFERROR(__xludf.DUMMYFUNCTION("""COMPUTED_VALUE"""),19850.0)</f>
        <v>19850</v>
      </c>
      <c r="B662" s="2">
        <f>IFERROR(__xludf.DUMMYFUNCTION("""COMPUTED_VALUE"""),0.0)</f>
        <v>0</v>
      </c>
      <c r="C662" s="2">
        <f>IFERROR(__xludf.DUMMYFUNCTION("""COMPUTED_VALUE"""),440.0)</f>
        <v>440</v>
      </c>
      <c r="D662" s="3">
        <f>IFERROR(__xludf.DUMMYFUNCTION("""COMPUTED_VALUE"""),43.0)</f>
        <v>43</v>
      </c>
      <c r="E662" s="2"/>
      <c r="F662" s="2"/>
    </row>
    <row r="663">
      <c r="A663" s="2">
        <f>IFERROR(__xludf.DUMMYFUNCTION("""COMPUTED_VALUE"""),3425.0)</f>
        <v>3425</v>
      </c>
      <c r="B663" s="2">
        <f>IFERROR(__xludf.DUMMYFUNCTION("""COMPUTED_VALUE"""),1.0)</f>
        <v>1</v>
      </c>
      <c r="C663" s="2">
        <f>IFERROR(__xludf.DUMMYFUNCTION("""COMPUTED_VALUE"""),466.0)</f>
        <v>466</v>
      </c>
      <c r="D663" s="3">
        <f>IFERROR(__xludf.DUMMYFUNCTION("""COMPUTED_VALUE"""),221.0)</f>
        <v>221</v>
      </c>
      <c r="E663" s="2"/>
      <c r="F663" s="2"/>
    </row>
    <row r="664">
      <c r="A664" s="2">
        <f>IFERROR(__xludf.DUMMYFUNCTION("""COMPUTED_VALUE"""),84913.0)</f>
        <v>84913</v>
      </c>
      <c r="B664" s="2">
        <f>IFERROR(__xludf.DUMMYFUNCTION("""COMPUTED_VALUE"""),0.0)</f>
        <v>0</v>
      </c>
      <c r="C664" s="2">
        <f>IFERROR(__xludf.DUMMYFUNCTION("""COMPUTED_VALUE"""),256.0)</f>
        <v>256</v>
      </c>
      <c r="D664" s="3">
        <f>IFERROR(__xludf.DUMMYFUNCTION("""COMPUTED_VALUE"""),189.0)</f>
        <v>189</v>
      </c>
      <c r="E664" s="2"/>
      <c r="F664" s="2"/>
    </row>
    <row r="665">
      <c r="A665" s="2">
        <f>IFERROR(__xludf.DUMMYFUNCTION("""COMPUTED_VALUE"""),120378.0)</f>
        <v>120378</v>
      </c>
      <c r="B665" s="2">
        <f>IFERROR(__xludf.DUMMYFUNCTION("""COMPUTED_VALUE"""),1.0)</f>
        <v>1</v>
      </c>
      <c r="C665" s="2">
        <f>IFERROR(__xludf.DUMMYFUNCTION("""COMPUTED_VALUE"""),808.0)</f>
        <v>808</v>
      </c>
      <c r="D665" s="3">
        <f>IFERROR(__xludf.DUMMYFUNCTION("""COMPUTED_VALUE"""),149.0)</f>
        <v>149</v>
      </c>
      <c r="E665" s="2"/>
      <c r="F665" s="2"/>
    </row>
    <row r="666">
      <c r="A666" s="2">
        <f>IFERROR(__xludf.DUMMYFUNCTION("""COMPUTED_VALUE"""),5905.0)</f>
        <v>5905</v>
      </c>
      <c r="B666" s="2">
        <f>IFERROR(__xludf.DUMMYFUNCTION("""COMPUTED_VALUE"""),1.0)</f>
        <v>1</v>
      </c>
      <c r="C666" s="2">
        <f>IFERROR(__xludf.DUMMYFUNCTION("""COMPUTED_VALUE"""),229.0)</f>
        <v>229</v>
      </c>
      <c r="D666" s="3">
        <f>IFERROR(__xludf.DUMMYFUNCTION("""COMPUTED_VALUE"""),115.0)</f>
        <v>115</v>
      </c>
      <c r="E666" s="2"/>
      <c r="F666" s="2"/>
    </row>
    <row r="667">
      <c r="A667" s="2">
        <f>IFERROR(__xludf.DUMMYFUNCTION("""COMPUTED_VALUE"""),23213.0)</f>
        <v>23213</v>
      </c>
      <c r="B667" s="2">
        <f>IFERROR(__xludf.DUMMYFUNCTION("""COMPUTED_VALUE"""),1.0)</f>
        <v>1</v>
      </c>
      <c r="C667" s="2">
        <f>IFERROR(__xludf.DUMMYFUNCTION("""COMPUTED_VALUE"""),394.0)</f>
        <v>394</v>
      </c>
      <c r="D667" s="3">
        <f>IFERROR(__xludf.DUMMYFUNCTION("""COMPUTED_VALUE"""),139.0)</f>
        <v>139</v>
      </c>
      <c r="E667" s="2"/>
      <c r="F667" s="2"/>
    </row>
    <row r="668">
      <c r="A668" s="2">
        <f>IFERROR(__xludf.DUMMYFUNCTION("""COMPUTED_VALUE"""),47168.0)</f>
        <v>47168</v>
      </c>
      <c r="B668" s="2">
        <f>IFERROR(__xludf.DUMMYFUNCTION("""COMPUTED_VALUE"""),0.0)</f>
        <v>0</v>
      </c>
      <c r="C668" s="2">
        <f>IFERROR(__xludf.DUMMYFUNCTION("""COMPUTED_VALUE"""),961.0)</f>
        <v>961</v>
      </c>
      <c r="D668" s="3">
        <f>IFERROR(__xludf.DUMMYFUNCTION("""COMPUTED_VALUE"""),94.0)</f>
        <v>94</v>
      </c>
      <c r="E668" s="2"/>
      <c r="F668" s="2"/>
    </row>
    <row r="669">
      <c r="A669" s="2">
        <f>IFERROR(__xludf.DUMMYFUNCTION("""COMPUTED_VALUE"""),102990.0)</f>
        <v>102990</v>
      </c>
      <c r="B669" s="2">
        <f>IFERROR(__xludf.DUMMYFUNCTION("""COMPUTED_VALUE"""),1.0)</f>
        <v>1</v>
      </c>
      <c r="C669" s="2">
        <f>IFERROR(__xludf.DUMMYFUNCTION("""COMPUTED_VALUE"""),968.0)</f>
        <v>968</v>
      </c>
      <c r="D669" s="3">
        <f>IFERROR(__xludf.DUMMYFUNCTION("""COMPUTED_VALUE"""),627.0)</f>
        <v>627</v>
      </c>
      <c r="E669" s="2"/>
      <c r="F669" s="2"/>
    </row>
    <row r="670">
      <c r="A670" s="2">
        <f>IFERROR(__xludf.DUMMYFUNCTION("""COMPUTED_VALUE"""),46441.0)</f>
        <v>46441</v>
      </c>
      <c r="B670" s="2">
        <f>IFERROR(__xludf.DUMMYFUNCTION("""COMPUTED_VALUE"""),1.0)</f>
        <v>1</v>
      </c>
      <c r="C670" s="2">
        <f>IFERROR(__xludf.DUMMYFUNCTION("""COMPUTED_VALUE"""),652.0)</f>
        <v>652</v>
      </c>
      <c r="D670" s="3">
        <f>IFERROR(__xludf.DUMMYFUNCTION("""COMPUTED_VALUE"""),588.0)</f>
        <v>588</v>
      </c>
      <c r="E670" s="2"/>
      <c r="F670" s="2"/>
    </row>
    <row r="671">
      <c r="A671" s="2">
        <f>IFERROR(__xludf.DUMMYFUNCTION("""COMPUTED_VALUE"""),11085.0)</f>
        <v>11085</v>
      </c>
      <c r="B671" s="2">
        <f>IFERROR(__xludf.DUMMYFUNCTION("""COMPUTED_VALUE"""),0.0)</f>
        <v>0</v>
      </c>
      <c r="C671" s="2">
        <f>IFERROR(__xludf.DUMMYFUNCTION("""COMPUTED_VALUE"""),844.0)</f>
        <v>844</v>
      </c>
      <c r="D671" s="3">
        <f>IFERROR(__xludf.DUMMYFUNCTION("""COMPUTED_VALUE"""),203.0)</f>
        <v>203</v>
      </c>
      <c r="E671" s="2"/>
      <c r="F671" s="2"/>
    </row>
    <row r="672">
      <c r="A672" s="2">
        <f>IFERROR(__xludf.DUMMYFUNCTION("""COMPUTED_VALUE"""),96441.0)</f>
        <v>96441</v>
      </c>
      <c r="B672" s="2">
        <f>IFERROR(__xludf.DUMMYFUNCTION("""COMPUTED_VALUE"""),1.0)</f>
        <v>1</v>
      </c>
      <c r="C672" s="2">
        <f>IFERROR(__xludf.DUMMYFUNCTION("""COMPUTED_VALUE"""),853.0)</f>
        <v>853</v>
      </c>
      <c r="D672" s="3">
        <f>IFERROR(__xludf.DUMMYFUNCTION("""COMPUTED_VALUE"""),738.0)</f>
        <v>738</v>
      </c>
      <c r="E672" s="2"/>
      <c r="F672" s="2"/>
    </row>
    <row r="673">
      <c r="A673" s="2">
        <f>IFERROR(__xludf.DUMMYFUNCTION("""COMPUTED_VALUE"""),82131.0)</f>
        <v>82131</v>
      </c>
      <c r="B673" s="2">
        <f>IFERROR(__xludf.DUMMYFUNCTION("""COMPUTED_VALUE"""),0.0)</f>
        <v>0</v>
      </c>
      <c r="C673" s="2">
        <f>IFERROR(__xludf.DUMMYFUNCTION("""COMPUTED_VALUE"""),172.0)</f>
        <v>172</v>
      </c>
      <c r="D673" s="3">
        <f>IFERROR(__xludf.DUMMYFUNCTION("""COMPUTED_VALUE"""),47.0)</f>
        <v>47</v>
      </c>
      <c r="E673" s="2"/>
      <c r="F673" s="2"/>
    </row>
    <row r="674">
      <c r="A674" s="2">
        <f>IFERROR(__xludf.DUMMYFUNCTION("""COMPUTED_VALUE"""),46440.0)</f>
        <v>46440</v>
      </c>
      <c r="B674" s="2">
        <f>IFERROR(__xludf.DUMMYFUNCTION("""COMPUTED_VALUE"""),1.0)</f>
        <v>1</v>
      </c>
      <c r="C674" s="2">
        <f>IFERROR(__xludf.DUMMYFUNCTION("""COMPUTED_VALUE"""),363.0)</f>
        <v>363</v>
      </c>
      <c r="D674" s="3">
        <f>IFERROR(__xludf.DUMMYFUNCTION("""COMPUTED_VALUE"""),235.0)</f>
        <v>235</v>
      </c>
      <c r="E674" s="2"/>
      <c r="F674" s="2"/>
    </row>
    <row r="675">
      <c r="A675" s="2">
        <f>IFERROR(__xludf.DUMMYFUNCTION("""COMPUTED_VALUE"""),23214.0)</f>
        <v>23214</v>
      </c>
      <c r="B675" s="2">
        <f>IFERROR(__xludf.DUMMYFUNCTION("""COMPUTED_VALUE"""),0.0)</f>
        <v>0</v>
      </c>
      <c r="C675" s="2">
        <f>IFERROR(__xludf.DUMMYFUNCTION("""COMPUTED_VALUE"""),259.0)</f>
        <v>259</v>
      </c>
      <c r="D675" s="3">
        <f>IFERROR(__xludf.DUMMYFUNCTION("""COMPUTED_VALUE"""),237.0)</f>
        <v>237</v>
      </c>
      <c r="E675" s="2"/>
      <c r="F675" s="2"/>
    </row>
    <row r="676">
      <c r="A676" s="2">
        <f>IFERROR(__xludf.DUMMYFUNCTION("""COMPUTED_VALUE"""),82134.0)</f>
        <v>82134</v>
      </c>
      <c r="B676" s="2">
        <f>IFERROR(__xludf.DUMMYFUNCTION("""COMPUTED_VALUE"""),0.0)</f>
        <v>0</v>
      </c>
      <c r="C676" s="2">
        <f>IFERROR(__xludf.DUMMYFUNCTION("""COMPUTED_VALUE"""),402.0)</f>
        <v>402</v>
      </c>
      <c r="D676" s="3">
        <f>IFERROR(__xludf.DUMMYFUNCTION("""COMPUTED_VALUE"""),322.0)</f>
        <v>322</v>
      </c>
      <c r="E676" s="2"/>
      <c r="F676" s="2"/>
    </row>
    <row r="677">
      <c r="A677" s="2">
        <f>IFERROR(__xludf.DUMMYFUNCTION("""COMPUTED_VALUE"""),46439.0)</f>
        <v>46439</v>
      </c>
      <c r="B677" s="2">
        <f>IFERROR(__xludf.DUMMYFUNCTION("""COMPUTED_VALUE"""),0.0)</f>
        <v>0</v>
      </c>
      <c r="C677" s="2">
        <f>IFERROR(__xludf.DUMMYFUNCTION("""COMPUTED_VALUE"""),889.0)</f>
        <v>889</v>
      </c>
      <c r="D677" s="3">
        <f>IFERROR(__xludf.DUMMYFUNCTION("""COMPUTED_VALUE"""),811.0)</f>
        <v>811</v>
      </c>
      <c r="E677" s="2"/>
      <c r="F677" s="2"/>
    </row>
    <row r="678">
      <c r="A678" s="2">
        <f>IFERROR(__xludf.DUMMYFUNCTION("""COMPUTED_VALUE"""),116451.0)</f>
        <v>116451</v>
      </c>
      <c r="B678" s="2">
        <f>IFERROR(__xludf.DUMMYFUNCTION("""COMPUTED_VALUE"""),0.0)</f>
        <v>0</v>
      </c>
      <c r="C678" s="2">
        <f>IFERROR(__xludf.DUMMYFUNCTION("""COMPUTED_VALUE"""),24.0)</f>
        <v>24</v>
      </c>
      <c r="D678" s="3">
        <f>IFERROR(__xludf.DUMMYFUNCTION("""COMPUTED_VALUE"""),18.0)</f>
        <v>18</v>
      </c>
      <c r="E678" s="2"/>
      <c r="F678" s="2"/>
    </row>
    <row r="679">
      <c r="A679" s="2">
        <f>IFERROR(__xludf.DUMMYFUNCTION("""COMPUTED_VALUE"""),147340.0)</f>
        <v>147340</v>
      </c>
      <c r="B679" s="2">
        <f>IFERROR(__xludf.DUMMYFUNCTION("""COMPUTED_VALUE"""),0.0)</f>
        <v>0</v>
      </c>
      <c r="C679" s="2">
        <f>IFERROR(__xludf.DUMMYFUNCTION("""COMPUTED_VALUE"""),382.0)</f>
        <v>382</v>
      </c>
      <c r="D679" s="3">
        <f>IFERROR(__xludf.DUMMYFUNCTION("""COMPUTED_VALUE"""),226.0)</f>
        <v>226</v>
      </c>
      <c r="E679" s="2"/>
      <c r="F679" s="2"/>
    </row>
    <row r="680">
      <c r="A680" s="2">
        <f>IFERROR(__xludf.DUMMYFUNCTION("""COMPUTED_VALUE"""),140602.0)</f>
        <v>140602</v>
      </c>
      <c r="B680" s="2">
        <f>IFERROR(__xludf.DUMMYFUNCTION("""COMPUTED_VALUE"""),0.0)</f>
        <v>0</v>
      </c>
      <c r="C680" s="2">
        <f>IFERROR(__xludf.DUMMYFUNCTION("""COMPUTED_VALUE"""),284.0)</f>
        <v>284</v>
      </c>
      <c r="D680" s="3">
        <f>IFERROR(__xludf.DUMMYFUNCTION("""COMPUTED_VALUE"""),167.0)</f>
        <v>167</v>
      </c>
      <c r="E680" s="2"/>
      <c r="F680" s="2"/>
    </row>
    <row r="681">
      <c r="A681" s="2">
        <f>IFERROR(__xludf.DUMMYFUNCTION("""COMPUTED_VALUE"""),109174.0)</f>
        <v>109174</v>
      </c>
      <c r="B681" s="2">
        <f>IFERROR(__xludf.DUMMYFUNCTION("""COMPUTED_VALUE"""),1.0)</f>
        <v>1</v>
      </c>
      <c r="C681" s="2">
        <f>IFERROR(__xludf.DUMMYFUNCTION("""COMPUTED_VALUE"""),227.0)</f>
        <v>227</v>
      </c>
      <c r="D681" s="3">
        <f>IFERROR(__xludf.DUMMYFUNCTION("""COMPUTED_VALUE"""),114.0)</f>
        <v>114</v>
      </c>
      <c r="E681" s="2"/>
      <c r="F681" s="2"/>
    </row>
    <row r="682">
      <c r="A682" s="2">
        <f>IFERROR(__xludf.DUMMYFUNCTION("""COMPUTED_VALUE"""),2795.0)</f>
        <v>2795</v>
      </c>
      <c r="B682" s="2">
        <f>IFERROR(__xludf.DUMMYFUNCTION("""COMPUTED_VALUE"""),1.0)</f>
        <v>1</v>
      </c>
      <c r="C682" s="2">
        <f>IFERROR(__xludf.DUMMYFUNCTION("""COMPUTED_VALUE"""),558.0)</f>
        <v>558</v>
      </c>
      <c r="D682" s="3">
        <f>IFERROR(__xludf.DUMMYFUNCTION("""COMPUTED_VALUE"""),491.0)</f>
        <v>491</v>
      </c>
      <c r="E682" s="2"/>
      <c r="F682" s="2"/>
    </row>
    <row r="683">
      <c r="A683" s="2">
        <f>IFERROR(__xludf.DUMMYFUNCTION("""COMPUTED_VALUE"""),141867.0)</f>
        <v>141867</v>
      </c>
      <c r="B683" s="2">
        <f>IFERROR(__xludf.DUMMYFUNCTION("""COMPUTED_VALUE"""),1.0)</f>
        <v>1</v>
      </c>
      <c r="C683" s="2">
        <f>IFERROR(__xludf.DUMMYFUNCTION("""COMPUTED_VALUE"""),704.0)</f>
        <v>704</v>
      </c>
      <c r="D683" s="3">
        <f>IFERROR(__xludf.DUMMYFUNCTION("""COMPUTED_VALUE"""),391.0)</f>
        <v>391</v>
      </c>
      <c r="E683" s="2"/>
      <c r="F683" s="2"/>
    </row>
    <row r="684">
      <c r="A684" s="2">
        <f>IFERROR(__xludf.DUMMYFUNCTION("""COMPUTED_VALUE"""),118152.0)</f>
        <v>118152</v>
      </c>
      <c r="B684" s="2">
        <f>IFERROR(__xludf.DUMMYFUNCTION("""COMPUTED_VALUE"""),1.0)</f>
        <v>1</v>
      </c>
      <c r="C684" s="2">
        <f>IFERROR(__xludf.DUMMYFUNCTION("""COMPUTED_VALUE"""),899.0)</f>
        <v>899</v>
      </c>
      <c r="D684" s="3">
        <f>IFERROR(__xludf.DUMMYFUNCTION("""COMPUTED_VALUE"""),761.0)</f>
        <v>761</v>
      </c>
      <c r="E684" s="2"/>
      <c r="F684" s="2"/>
    </row>
    <row r="685">
      <c r="A685" s="2">
        <f>IFERROR(__xludf.DUMMYFUNCTION("""COMPUTED_VALUE"""),1607.0)</f>
        <v>1607</v>
      </c>
      <c r="B685" s="2">
        <f>IFERROR(__xludf.DUMMYFUNCTION("""COMPUTED_VALUE"""),0.0)</f>
        <v>0</v>
      </c>
      <c r="C685" s="2">
        <f>IFERROR(__xludf.DUMMYFUNCTION("""COMPUTED_VALUE"""),390.0)</f>
        <v>390</v>
      </c>
      <c r="D685" s="3">
        <f>IFERROR(__xludf.DUMMYFUNCTION("""COMPUTED_VALUE"""),107.0)</f>
        <v>107</v>
      </c>
      <c r="E685" s="2"/>
      <c r="F685" s="2"/>
    </row>
    <row r="686">
      <c r="A686" s="2">
        <f>IFERROR(__xludf.DUMMYFUNCTION("""COMPUTED_VALUE"""),71322.0)</f>
        <v>71322</v>
      </c>
      <c r="B686" s="2">
        <f>IFERROR(__xludf.DUMMYFUNCTION("""COMPUTED_VALUE"""),0.0)</f>
        <v>0</v>
      </c>
      <c r="C686" s="2">
        <f>IFERROR(__xludf.DUMMYFUNCTION("""COMPUTED_VALUE"""),598.0)</f>
        <v>598</v>
      </c>
      <c r="D686" s="3">
        <f>IFERROR(__xludf.DUMMYFUNCTION("""COMPUTED_VALUE"""),582.0)</f>
        <v>582</v>
      </c>
      <c r="E686" s="2"/>
      <c r="F686" s="2"/>
    </row>
    <row r="687">
      <c r="A687" s="2">
        <f>IFERROR(__xludf.DUMMYFUNCTION("""COMPUTED_VALUE"""),88773.0)</f>
        <v>88773</v>
      </c>
      <c r="B687" s="2">
        <f>IFERROR(__xludf.DUMMYFUNCTION("""COMPUTED_VALUE"""),0.0)</f>
        <v>0</v>
      </c>
      <c r="C687" s="2">
        <f>IFERROR(__xludf.DUMMYFUNCTION("""COMPUTED_VALUE"""),193.0)</f>
        <v>193</v>
      </c>
      <c r="D687" s="3">
        <f>IFERROR(__xludf.DUMMYFUNCTION("""COMPUTED_VALUE"""),49.0)</f>
        <v>49</v>
      </c>
      <c r="E687" s="2"/>
      <c r="F687" s="2"/>
    </row>
    <row r="688">
      <c r="A688" s="2">
        <f>IFERROR(__xludf.DUMMYFUNCTION("""COMPUTED_VALUE"""),46964.0)</f>
        <v>46964</v>
      </c>
      <c r="B688" s="2">
        <f>IFERROR(__xludf.DUMMYFUNCTION("""COMPUTED_VALUE"""),0.0)</f>
        <v>0</v>
      </c>
      <c r="C688" s="2">
        <f>IFERROR(__xludf.DUMMYFUNCTION("""COMPUTED_VALUE"""),266.0)</f>
        <v>266</v>
      </c>
      <c r="D688" s="3">
        <f>IFERROR(__xludf.DUMMYFUNCTION("""COMPUTED_VALUE"""),110.0)</f>
        <v>110</v>
      </c>
      <c r="E688" s="2"/>
      <c r="F688" s="2"/>
    </row>
    <row r="689">
      <c r="A689" s="2">
        <f>IFERROR(__xludf.DUMMYFUNCTION("""COMPUTED_VALUE"""),104454.0)</f>
        <v>104454</v>
      </c>
      <c r="B689" s="2">
        <f>IFERROR(__xludf.DUMMYFUNCTION("""COMPUTED_VALUE"""),0.0)</f>
        <v>0</v>
      </c>
      <c r="C689" s="2">
        <f>IFERROR(__xludf.DUMMYFUNCTION("""COMPUTED_VALUE"""),271.0)</f>
        <v>271</v>
      </c>
      <c r="D689" s="3">
        <f>IFERROR(__xludf.DUMMYFUNCTION("""COMPUTED_VALUE"""),101.0)</f>
        <v>101</v>
      </c>
      <c r="E689" s="2"/>
      <c r="F689" s="2"/>
    </row>
    <row r="690">
      <c r="A690" s="2">
        <f>IFERROR(__xludf.DUMMYFUNCTION("""COMPUTED_VALUE"""),8003.0)</f>
        <v>8003</v>
      </c>
      <c r="B690" s="2">
        <f>IFERROR(__xludf.DUMMYFUNCTION("""COMPUTED_VALUE"""),1.0)</f>
        <v>1</v>
      </c>
      <c r="C690" s="2">
        <f>IFERROR(__xludf.DUMMYFUNCTION("""COMPUTED_VALUE"""),120.0)</f>
        <v>120</v>
      </c>
      <c r="D690" s="3">
        <f>IFERROR(__xludf.DUMMYFUNCTION("""COMPUTED_VALUE"""),71.0)</f>
        <v>71</v>
      </c>
      <c r="E690" s="2"/>
      <c r="F690" s="2"/>
    </row>
    <row r="691">
      <c r="A691" s="2">
        <f>IFERROR(__xludf.DUMMYFUNCTION("""COMPUTED_VALUE"""),90183.0)</f>
        <v>90183</v>
      </c>
      <c r="B691" s="2">
        <f>IFERROR(__xludf.DUMMYFUNCTION("""COMPUTED_VALUE"""),0.0)</f>
        <v>0</v>
      </c>
      <c r="C691" s="2">
        <f>IFERROR(__xludf.DUMMYFUNCTION("""COMPUTED_VALUE"""),779.0)</f>
        <v>779</v>
      </c>
      <c r="D691" s="3">
        <f>IFERROR(__xludf.DUMMYFUNCTION("""COMPUTED_VALUE"""),484.0)</f>
        <v>484</v>
      </c>
      <c r="E691" s="2"/>
      <c r="F691" s="2"/>
    </row>
    <row r="692">
      <c r="A692" s="2">
        <f>IFERROR(__xludf.DUMMYFUNCTION("""COMPUTED_VALUE"""),45489.0)</f>
        <v>45489</v>
      </c>
      <c r="B692" s="2">
        <f>IFERROR(__xludf.DUMMYFUNCTION("""COMPUTED_VALUE"""),1.0)</f>
        <v>1</v>
      </c>
      <c r="C692" s="2">
        <f>IFERROR(__xludf.DUMMYFUNCTION("""COMPUTED_VALUE"""),714.0)</f>
        <v>714</v>
      </c>
      <c r="D692" s="3">
        <f>IFERROR(__xludf.DUMMYFUNCTION("""COMPUTED_VALUE"""),142.0)</f>
        <v>142</v>
      </c>
      <c r="E692" s="2"/>
      <c r="F692" s="2"/>
    </row>
    <row r="693">
      <c r="A693" s="2">
        <f>IFERROR(__xludf.DUMMYFUNCTION("""COMPUTED_VALUE"""),147337.0)</f>
        <v>147337</v>
      </c>
      <c r="B693" s="2">
        <f>IFERROR(__xludf.DUMMYFUNCTION("""COMPUTED_VALUE"""),1.0)</f>
        <v>1</v>
      </c>
      <c r="C693" s="2">
        <f>IFERROR(__xludf.DUMMYFUNCTION("""COMPUTED_VALUE"""),584.0)</f>
        <v>584</v>
      </c>
      <c r="D693" s="3">
        <f>IFERROR(__xludf.DUMMYFUNCTION("""COMPUTED_VALUE"""),253.0)</f>
        <v>253</v>
      </c>
      <c r="E693" s="2"/>
      <c r="F693" s="2"/>
    </row>
    <row r="694">
      <c r="A694" s="2">
        <f>IFERROR(__xludf.DUMMYFUNCTION("""COMPUTED_VALUE"""),116446.0)</f>
        <v>116446</v>
      </c>
      <c r="B694" s="2">
        <f>IFERROR(__xludf.DUMMYFUNCTION("""COMPUTED_VALUE"""),1.0)</f>
        <v>1</v>
      </c>
      <c r="C694" s="2">
        <f>IFERROR(__xludf.DUMMYFUNCTION("""COMPUTED_VALUE"""),848.0)</f>
        <v>848</v>
      </c>
      <c r="D694" s="3">
        <f>IFERROR(__xludf.DUMMYFUNCTION("""COMPUTED_VALUE"""),149.0)</f>
        <v>149</v>
      </c>
      <c r="E694" s="2"/>
      <c r="F694" s="2"/>
    </row>
    <row r="695">
      <c r="A695" s="2">
        <f>IFERROR(__xludf.DUMMYFUNCTION("""COMPUTED_VALUE"""),44760.0)</f>
        <v>44760</v>
      </c>
      <c r="B695" s="2">
        <f>IFERROR(__xludf.DUMMYFUNCTION("""COMPUTED_VALUE"""),0.0)</f>
        <v>0</v>
      </c>
      <c r="C695" s="2">
        <f>IFERROR(__xludf.DUMMYFUNCTION("""COMPUTED_VALUE"""),831.0)</f>
        <v>831</v>
      </c>
      <c r="D695" s="3">
        <f>IFERROR(__xludf.DUMMYFUNCTION("""COMPUTED_VALUE"""),44.0)</f>
        <v>44</v>
      </c>
      <c r="E695" s="2"/>
      <c r="F695" s="2"/>
    </row>
    <row r="696">
      <c r="A696" s="2">
        <f>IFERROR(__xludf.DUMMYFUNCTION("""COMPUTED_VALUE"""),44764.0)</f>
        <v>44764</v>
      </c>
      <c r="B696" s="2">
        <f>IFERROR(__xludf.DUMMYFUNCTION("""COMPUTED_VALUE"""),0.0)</f>
        <v>0</v>
      </c>
      <c r="C696" s="2">
        <f>IFERROR(__xludf.DUMMYFUNCTION("""COMPUTED_VALUE"""),952.0)</f>
        <v>952</v>
      </c>
      <c r="D696" s="3">
        <f>IFERROR(__xludf.DUMMYFUNCTION("""COMPUTED_VALUE"""),605.0)</f>
        <v>605</v>
      </c>
      <c r="E696" s="2"/>
      <c r="F696" s="2"/>
    </row>
    <row r="697">
      <c r="A697" s="2">
        <f>IFERROR(__xludf.DUMMYFUNCTION("""COMPUTED_VALUE"""),72801.0)</f>
        <v>72801</v>
      </c>
      <c r="B697" s="2">
        <f>IFERROR(__xludf.DUMMYFUNCTION("""COMPUTED_VALUE"""),1.0)</f>
        <v>1</v>
      </c>
      <c r="C697" s="2">
        <f>IFERROR(__xludf.DUMMYFUNCTION("""COMPUTED_VALUE"""),365.0)</f>
        <v>365</v>
      </c>
      <c r="D697" s="3">
        <f>IFERROR(__xludf.DUMMYFUNCTION("""COMPUTED_VALUE"""),207.0)</f>
        <v>207</v>
      </c>
      <c r="E697" s="2"/>
      <c r="F697" s="2"/>
    </row>
    <row r="698">
      <c r="A698" s="2">
        <f>IFERROR(__xludf.DUMMYFUNCTION("""COMPUTED_VALUE"""),86573.0)</f>
        <v>86573</v>
      </c>
      <c r="B698" s="2">
        <f>IFERROR(__xludf.DUMMYFUNCTION("""COMPUTED_VALUE"""),1.0)</f>
        <v>1</v>
      </c>
      <c r="C698" s="2">
        <f>IFERROR(__xludf.DUMMYFUNCTION("""COMPUTED_VALUE"""),139.0)</f>
        <v>139</v>
      </c>
      <c r="D698" s="3">
        <f>IFERROR(__xludf.DUMMYFUNCTION("""COMPUTED_VALUE"""),63.0)</f>
        <v>63</v>
      </c>
      <c r="E698" s="2"/>
      <c r="F698" s="2"/>
    </row>
    <row r="699">
      <c r="A699" s="2">
        <f>IFERROR(__xludf.DUMMYFUNCTION("""COMPUTED_VALUE"""),107784.0)</f>
        <v>107784</v>
      </c>
      <c r="B699" s="2">
        <f>IFERROR(__xludf.DUMMYFUNCTION("""COMPUTED_VALUE"""),1.0)</f>
        <v>1</v>
      </c>
      <c r="C699" s="2">
        <f>IFERROR(__xludf.DUMMYFUNCTION("""COMPUTED_VALUE"""),119.0)</f>
        <v>119</v>
      </c>
      <c r="D699" s="3">
        <f>IFERROR(__xludf.DUMMYFUNCTION("""COMPUTED_VALUE"""),47.0)</f>
        <v>47</v>
      </c>
      <c r="E699" s="2"/>
      <c r="F699" s="2"/>
    </row>
    <row r="700">
      <c r="A700" s="2">
        <f>IFERROR(__xludf.DUMMYFUNCTION("""COMPUTED_VALUE"""),103388.0)</f>
        <v>103388</v>
      </c>
      <c r="B700" s="2">
        <f>IFERROR(__xludf.DUMMYFUNCTION("""COMPUTED_VALUE"""),1.0)</f>
        <v>1</v>
      </c>
      <c r="C700" s="2">
        <f>IFERROR(__xludf.DUMMYFUNCTION("""COMPUTED_VALUE"""),768.0)</f>
        <v>768</v>
      </c>
      <c r="D700" s="3">
        <f>IFERROR(__xludf.DUMMYFUNCTION("""COMPUTED_VALUE"""),80.0)</f>
        <v>80</v>
      </c>
      <c r="E700" s="2"/>
      <c r="F700" s="2"/>
    </row>
    <row r="701">
      <c r="A701" s="2">
        <f>IFERROR(__xludf.DUMMYFUNCTION("""COMPUTED_VALUE"""),8004.0)</f>
        <v>8004</v>
      </c>
      <c r="B701" s="2">
        <f>IFERROR(__xludf.DUMMYFUNCTION("""COMPUTED_VALUE"""),1.0)</f>
        <v>1</v>
      </c>
      <c r="C701" s="2">
        <f>IFERROR(__xludf.DUMMYFUNCTION("""COMPUTED_VALUE"""),663.0)</f>
        <v>663</v>
      </c>
      <c r="D701" s="3">
        <f>IFERROR(__xludf.DUMMYFUNCTION("""COMPUTED_VALUE"""),211.0)</f>
        <v>211</v>
      </c>
      <c r="E701" s="2"/>
      <c r="F701" s="2"/>
    </row>
    <row r="702">
      <c r="A702" s="2">
        <f>IFERROR(__xludf.DUMMYFUNCTION("""COMPUTED_VALUE"""),103387.0)</f>
        <v>103387</v>
      </c>
      <c r="B702" s="2">
        <f>IFERROR(__xludf.DUMMYFUNCTION("""COMPUTED_VALUE"""),0.0)</f>
        <v>0</v>
      </c>
      <c r="C702" s="2">
        <f>IFERROR(__xludf.DUMMYFUNCTION("""COMPUTED_VALUE"""),381.0)</f>
        <v>381</v>
      </c>
      <c r="D702" s="3">
        <f>IFERROR(__xludf.DUMMYFUNCTION("""COMPUTED_VALUE"""),272.0)</f>
        <v>272</v>
      </c>
      <c r="E702" s="2"/>
      <c r="F702" s="2"/>
    </row>
    <row r="703">
      <c r="A703" s="2">
        <f>IFERROR(__xludf.DUMMYFUNCTION("""COMPUTED_VALUE"""),76731.0)</f>
        <v>76731</v>
      </c>
      <c r="B703" s="2">
        <f>IFERROR(__xludf.DUMMYFUNCTION("""COMPUTED_VALUE"""),0.0)</f>
        <v>0</v>
      </c>
      <c r="C703" s="2">
        <f>IFERROR(__xludf.DUMMYFUNCTION("""COMPUTED_VALUE"""),967.0)</f>
        <v>967</v>
      </c>
      <c r="D703" s="3">
        <f>IFERROR(__xludf.DUMMYFUNCTION("""COMPUTED_VALUE"""),534.0)</f>
        <v>534</v>
      </c>
      <c r="E703" s="2"/>
      <c r="F703" s="2"/>
    </row>
    <row r="704">
      <c r="A704" s="2">
        <f>IFERROR(__xludf.DUMMYFUNCTION("""COMPUTED_VALUE"""),116449.0)</f>
        <v>116449</v>
      </c>
      <c r="B704" s="2">
        <f>IFERROR(__xludf.DUMMYFUNCTION("""COMPUTED_VALUE"""),1.0)</f>
        <v>1</v>
      </c>
      <c r="C704" s="2">
        <f>IFERROR(__xludf.DUMMYFUNCTION("""COMPUTED_VALUE"""),336.0)</f>
        <v>336</v>
      </c>
      <c r="D704" s="3">
        <f>IFERROR(__xludf.DUMMYFUNCTION("""COMPUTED_VALUE"""),136.0)</f>
        <v>136</v>
      </c>
      <c r="E704" s="2"/>
      <c r="F704" s="2"/>
    </row>
    <row r="705">
      <c r="A705" s="2">
        <f>IFERROR(__xludf.DUMMYFUNCTION("""COMPUTED_VALUE"""),95211.0)</f>
        <v>95211</v>
      </c>
      <c r="B705" s="2">
        <f>IFERROR(__xludf.DUMMYFUNCTION("""COMPUTED_VALUE"""),0.0)</f>
        <v>0</v>
      </c>
      <c r="C705" s="2">
        <f>IFERROR(__xludf.DUMMYFUNCTION("""COMPUTED_VALUE"""),394.0)</f>
        <v>394</v>
      </c>
      <c r="D705" s="3">
        <f>IFERROR(__xludf.DUMMYFUNCTION("""COMPUTED_VALUE"""),264.0)</f>
        <v>264</v>
      </c>
      <c r="E705" s="2"/>
      <c r="F705" s="2"/>
    </row>
    <row r="706">
      <c r="A706" s="2">
        <f>IFERROR(__xludf.DUMMYFUNCTION("""COMPUTED_VALUE"""),118255.0)</f>
        <v>118255</v>
      </c>
      <c r="B706" s="2">
        <f>IFERROR(__xludf.DUMMYFUNCTION("""COMPUTED_VALUE"""),0.0)</f>
        <v>0</v>
      </c>
      <c r="C706" s="2">
        <f>IFERROR(__xludf.DUMMYFUNCTION("""COMPUTED_VALUE"""),941.0)</f>
        <v>941</v>
      </c>
      <c r="D706" s="3">
        <f>IFERROR(__xludf.DUMMYFUNCTION("""COMPUTED_VALUE"""),900.0)</f>
        <v>900</v>
      </c>
      <c r="E706" s="2"/>
      <c r="F706" s="2"/>
    </row>
    <row r="707">
      <c r="A707" s="2">
        <f>IFERROR(__xludf.DUMMYFUNCTION("""COMPUTED_VALUE"""),8010.0)</f>
        <v>8010</v>
      </c>
      <c r="B707" s="2">
        <f>IFERROR(__xludf.DUMMYFUNCTION("""COMPUTED_VALUE"""),1.0)</f>
        <v>1</v>
      </c>
      <c r="C707" s="2">
        <f>IFERROR(__xludf.DUMMYFUNCTION("""COMPUTED_VALUE"""),914.0)</f>
        <v>914</v>
      </c>
      <c r="D707" s="3">
        <f>IFERROR(__xludf.DUMMYFUNCTION("""COMPUTED_VALUE"""),330.0)</f>
        <v>330</v>
      </c>
      <c r="E707" s="2"/>
      <c r="F707" s="2"/>
    </row>
    <row r="708">
      <c r="A708" s="2">
        <f>IFERROR(__xludf.DUMMYFUNCTION("""COMPUTED_VALUE"""),128351.0)</f>
        <v>128351</v>
      </c>
      <c r="B708" s="2">
        <f>IFERROR(__xludf.DUMMYFUNCTION("""COMPUTED_VALUE"""),0.0)</f>
        <v>0</v>
      </c>
      <c r="C708" s="2">
        <f>IFERROR(__xludf.DUMMYFUNCTION("""COMPUTED_VALUE"""),278.0)</f>
        <v>278</v>
      </c>
      <c r="D708" s="3">
        <f>IFERROR(__xludf.DUMMYFUNCTION("""COMPUTED_VALUE"""),101.0)</f>
        <v>101</v>
      </c>
      <c r="E708" s="2"/>
      <c r="F708" s="2"/>
    </row>
    <row r="709">
      <c r="A709" s="2">
        <f>IFERROR(__xludf.DUMMYFUNCTION("""COMPUTED_VALUE"""),12452.0)</f>
        <v>12452</v>
      </c>
      <c r="B709" s="2">
        <f>IFERROR(__xludf.DUMMYFUNCTION("""COMPUTED_VALUE"""),0.0)</f>
        <v>0</v>
      </c>
      <c r="C709" s="2">
        <f>IFERROR(__xludf.DUMMYFUNCTION("""COMPUTED_VALUE"""),506.0)</f>
        <v>506</v>
      </c>
      <c r="D709" s="3">
        <f>IFERROR(__xludf.DUMMYFUNCTION("""COMPUTED_VALUE"""),166.0)</f>
        <v>166</v>
      </c>
      <c r="E709" s="2"/>
      <c r="F709" s="2"/>
    </row>
    <row r="710">
      <c r="A710" s="2">
        <f>IFERROR(__xludf.DUMMYFUNCTION("""COMPUTED_VALUE"""),108996.0)</f>
        <v>108996</v>
      </c>
      <c r="B710" s="2">
        <f>IFERROR(__xludf.DUMMYFUNCTION("""COMPUTED_VALUE"""),0.0)</f>
        <v>0</v>
      </c>
      <c r="C710" s="2">
        <f>IFERROR(__xludf.DUMMYFUNCTION("""COMPUTED_VALUE"""),626.0)</f>
        <v>626</v>
      </c>
      <c r="D710" s="3">
        <f>IFERROR(__xludf.DUMMYFUNCTION("""COMPUTED_VALUE"""),17.0)</f>
        <v>17</v>
      </c>
      <c r="E710" s="2"/>
      <c r="F710" s="2"/>
    </row>
    <row r="711">
      <c r="A711" s="2">
        <f>IFERROR(__xludf.DUMMYFUNCTION("""COMPUTED_VALUE"""),15638.0)</f>
        <v>15638</v>
      </c>
      <c r="B711" s="2">
        <f>IFERROR(__xludf.DUMMYFUNCTION("""COMPUTED_VALUE"""),1.0)</f>
        <v>1</v>
      </c>
      <c r="C711" s="2">
        <f>IFERROR(__xludf.DUMMYFUNCTION("""COMPUTED_VALUE"""),286.0)</f>
        <v>286</v>
      </c>
      <c r="D711" s="3">
        <f>IFERROR(__xludf.DUMMYFUNCTION("""COMPUTED_VALUE"""),26.0)</f>
        <v>26</v>
      </c>
      <c r="E711" s="2"/>
      <c r="F711" s="2"/>
    </row>
    <row r="712">
      <c r="A712" s="2">
        <f>IFERROR(__xludf.DUMMYFUNCTION("""COMPUTED_VALUE"""),118109.0)</f>
        <v>118109</v>
      </c>
      <c r="B712" s="2">
        <f>IFERROR(__xludf.DUMMYFUNCTION("""COMPUTED_VALUE"""),0.0)</f>
        <v>0</v>
      </c>
      <c r="C712" s="2">
        <f>IFERROR(__xludf.DUMMYFUNCTION("""COMPUTED_VALUE"""),780.0)</f>
        <v>780</v>
      </c>
      <c r="D712" s="3">
        <f>IFERROR(__xludf.DUMMYFUNCTION("""COMPUTED_VALUE"""),162.0)</f>
        <v>162</v>
      </c>
      <c r="E712" s="2"/>
      <c r="F712" s="2"/>
    </row>
    <row r="713">
      <c r="A713" s="2">
        <f>IFERROR(__xludf.DUMMYFUNCTION("""COMPUTED_VALUE"""),15634.0)</f>
        <v>15634</v>
      </c>
      <c r="B713" s="2">
        <f>IFERROR(__xludf.DUMMYFUNCTION("""COMPUTED_VALUE"""),1.0)</f>
        <v>1</v>
      </c>
      <c r="C713" s="2">
        <f>IFERROR(__xludf.DUMMYFUNCTION("""COMPUTED_VALUE"""),628.0)</f>
        <v>628</v>
      </c>
      <c r="D713" s="3">
        <f>IFERROR(__xludf.DUMMYFUNCTION("""COMPUTED_VALUE"""),312.0)</f>
        <v>312</v>
      </c>
      <c r="E713" s="2"/>
      <c r="F713" s="2"/>
    </row>
    <row r="714">
      <c r="A714" s="2">
        <f>IFERROR(__xludf.DUMMYFUNCTION("""COMPUTED_VALUE"""),2802.0)</f>
        <v>2802</v>
      </c>
      <c r="B714" s="2">
        <f>IFERROR(__xludf.DUMMYFUNCTION("""COMPUTED_VALUE"""),1.0)</f>
        <v>1</v>
      </c>
      <c r="C714" s="2">
        <f>IFERROR(__xludf.DUMMYFUNCTION("""COMPUTED_VALUE"""),915.0)</f>
        <v>915</v>
      </c>
      <c r="D714" s="3">
        <f>IFERROR(__xludf.DUMMYFUNCTION("""COMPUTED_VALUE"""),846.0)</f>
        <v>846</v>
      </c>
      <c r="E714" s="2"/>
      <c r="F714" s="2"/>
    </row>
    <row r="715">
      <c r="A715" s="2">
        <f>IFERROR(__xludf.DUMMYFUNCTION("""COMPUTED_VALUE"""),46962.0)</f>
        <v>46962</v>
      </c>
      <c r="B715" s="2">
        <f>IFERROR(__xludf.DUMMYFUNCTION("""COMPUTED_VALUE"""),0.0)</f>
        <v>0</v>
      </c>
      <c r="C715" s="2">
        <f>IFERROR(__xludf.DUMMYFUNCTION("""COMPUTED_VALUE"""),98.0)</f>
        <v>98</v>
      </c>
      <c r="D715" s="3">
        <f>IFERROR(__xludf.DUMMYFUNCTION("""COMPUTED_VALUE"""),18.0)</f>
        <v>18</v>
      </c>
      <c r="E715" s="2"/>
      <c r="F715" s="2"/>
    </row>
    <row r="716">
      <c r="A716" s="2">
        <f>IFERROR(__xludf.DUMMYFUNCTION("""COMPUTED_VALUE"""),128348.0)</f>
        <v>128348</v>
      </c>
      <c r="B716" s="2">
        <f>IFERROR(__xludf.DUMMYFUNCTION("""COMPUTED_VALUE"""),0.0)</f>
        <v>0</v>
      </c>
      <c r="C716" s="2">
        <f>IFERROR(__xludf.DUMMYFUNCTION("""COMPUTED_VALUE"""),55.0)</f>
        <v>55</v>
      </c>
      <c r="D716" s="3">
        <f>IFERROR(__xludf.DUMMYFUNCTION("""COMPUTED_VALUE"""),11.0)</f>
        <v>11</v>
      </c>
      <c r="E716" s="2"/>
      <c r="F716" s="2"/>
    </row>
    <row r="717">
      <c r="A717" s="2">
        <f>IFERROR(__xludf.DUMMYFUNCTION("""COMPUTED_VALUE"""),108963.0)</f>
        <v>108963</v>
      </c>
      <c r="B717" s="2">
        <f>IFERROR(__xludf.DUMMYFUNCTION("""COMPUTED_VALUE"""),1.0)</f>
        <v>1</v>
      </c>
      <c r="C717" s="2">
        <f>IFERROR(__xludf.DUMMYFUNCTION("""COMPUTED_VALUE"""),795.0)</f>
        <v>795</v>
      </c>
      <c r="D717" s="3">
        <f>IFERROR(__xludf.DUMMYFUNCTION("""COMPUTED_VALUE"""),594.0)</f>
        <v>594</v>
      </c>
      <c r="E717" s="2"/>
      <c r="F717" s="2"/>
    </row>
    <row r="718">
      <c r="A718" s="2">
        <f>IFERROR(__xludf.DUMMYFUNCTION("""COMPUTED_VALUE"""),2800.0)</f>
        <v>2800</v>
      </c>
      <c r="B718" s="2">
        <f>IFERROR(__xludf.DUMMYFUNCTION("""COMPUTED_VALUE"""),0.0)</f>
        <v>0</v>
      </c>
      <c r="C718" s="2">
        <f>IFERROR(__xludf.DUMMYFUNCTION("""COMPUTED_VALUE"""),947.0)</f>
        <v>947</v>
      </c>
      <c r="D718" s="3">
        <f>IFERROR(__xludf.DUMMYFUNCTION("""COMPUTED_VALUE"""),451.0)</f>
        <v>451</v>
      </c>
      <c r="E718" s="2"/>
      <c r="F718" s="2"/>
    </row>
    <row r="719">
      <c r="A719" s="2">
        <f>IFERROR(__xludf.DUMMYFUNCTION("""COMPUTED_VALUE"""),12451.0)</f>
        <v>12451</v>
      </c>
      <c r="B719" s="2">
        <f>IFERROR(__xludf.DUMMYFUNCTION("""COMPUTED_VALUE"""),1.0)</f>
        <v>1</v>
      </c>
      <c r="C719" s="2">
        <f>IFERROR(__xludf.DUMMYFUNCTION("""COMPUTED_VALUE"""),292.0)</f>
        <v>292</v>
      </c>
      <c r="D719" s="3">
        <f>IFERROR(__xludf.DUMMYFUNCTION("""COMPUTED_VALUE"""),246.0)</f>
        <v>246</v>
      </c>
      <c r="E719" s="2"/>
      <c r="F719" s="2"/>
    </row>
    <row r="720">
      <c r="A720" s="2">
        <f>IFERROR(__xludf.DUMMYFUNCTION("""COMPUTED_VALUE"""),19024.0)</f>
        <v>19024</v>
      </c>
      <c r="B720" s="2">
        <f>IFERROR(__xludf.DUMMYFUNCTION("""COMPUTED_VALUE"""),0.0)</f>
        <v>0</v>
      </c>
      <c r="C720" s="2">
        <f>IFERROR(__xludf.DUMMYFUNCTION("""COMPUTED_VALUE"""),274.0)</f>
        <v>274</v>
      </c>
      <c r="D720" s="3">
        <f>IFERROR(__xludf.DUMMYFUNCTION("""COMPUTED_VALUE"""),113.0)</f>
        <v>113</v>
      </c>
      <c r="E720" s="2"/>
      <c r="F720" s="2"/>
    </row>
    <row r="721">
      <c r="A721" s="2">
        <f>IFERROR(__xludf.DUMMYFUNCTION("""COMPUTED_VALUE"""),9472.0)</f>
        <v>9472</v>
      </c>
      <c r="B721" s="2">
        <f>IFERROR(__xludf.DUMMYFUNCTION("""COMPUTED_VALUE"""),1.0)</f>
        <v>1</v>
      </c>
      <c r="C721" s="2">
        <f>IFERROR(__xludf.DUMMYFUNCTION("""COMPUTED_VALUE"""),818.0)</f>
        <v>818</v>
      </c>
      <c r="D721" s="3">
        <f>IFERROR(__xludf.DUMMYFUNCTION("""COMPUTED_VALUE"""),755.0)</f>
        <v>755</v>
      </c>
      <c r="E721" s="2"/>
      <c r="F721" s="2"/>
    </row>
    <row r="722">
      <c r="A722" s="2">
        <f>IFERROR(__xludf.DUMMYFUNCTION("""COMPUTED_VALUE"""),1587.0)</f>
        <v>1587</v>
      </c>
      <c r="B722" s="2">
        <f>IFERROR(__xludf.DUMMYFUNCTION("""COMPUTED_VALUE"""),1.0)</f>
        <v>1</v>
      </c>
      <c r="C722" s="2">
        <f>IFERROR(__xludf.DUMMYFUNCTION("""COMPUTED_VALUE"""),840.0)</f>
        <v>840</v>
      </c>
      <c r="D722" s="3">
        <f>IFERROR(__xludf.DUMMYFUNCTION("""COMPUTED_VALUE"""),347.0)</f>
        <v>347</v>
      </c>
      <c r="E722" s="2"/>
      <c r="F722" s="2"/>
    </row>
    <row r="723">
      <c r="A723" s="2">
        <f>IFERROR(__xludf.DUMMYFUNCTION("""COMPUTED_VALUE"""),118262.0)</f>
        <v>118262</v>
      </c>
      <c r="B723" s="2">
        <f>IFERROR(__xludf.DUMMYFUNCTION("""COMPUTED_VALUE"""),0.0)</f>
        <v>0</v>
      </c>
      <c r="C723" s="2">
        <f>IFERROR(__xludf.DUMMYFUNCTION("""COMPUTED_VALUE"""),629.0)</f>
        <v>629</v>
      </c>
      <c r="D723" s="3">
        <f>IFERROR(__xludf.DUMMYFUNCTION("""COMPUTED_VALUE"""),476.0)</f>
        <v>476</v>
      </c>
      <c r="E723" s="2"/>
      <c r="F723" s="2"/>
    </row>
    <row r="724">
      <c r="A724" s="2">
        <f>IFERROR(__xludf.DUMMYFUNCTION("""COMPUTED_VALUE"""),44739.0)</f>
        <v>44739</v>
      </c>
      <c r="B724" s="2">
        <f>IFERROR(__xludf.DUMMYFUNCTION("""COMPUTED_VALUE"""),1.0)</f>
        <v>1</v>
      </c>
      <c r="C724" s="2">
        <f>IFERROR(__xludf.DUMMYFUNCTION("""COMPUTED_VALUE"""),272.0)</f>
        <v>272</v>
      </c>
      <c r="D724" s="3">
        <f>IFERROR(__xludf.DUMMYFUNCTION("""COMPUTED_VALUE"""),260.0)</f>
        <v>260</v>
      </c>
      <c r="E724" s="2"/>
      <c r="F724" s="2"/>
    </row>
    <row r="725">
      <c r="A725" s="2">
        <f>IFERROR(__xludf.DUMMYFUNCTION("""COMPUTED_VALUE"""),199855.0)</f>
        <v>199855</v>
      </c>
      <c r="B725" s="2">
        <f>IFERROR(__xludf.DUMMYFUNCTION("""COMPUTED_VALUE"""),0.0)</f>
        <v>0</v>
      </c>
      <c r="C725" s="2">
        <f>IFERROR(__xludf.DUMMYFUNCTION("""COMPUTED_VALUE"""),745.0)</f>
        <v>745</v>
      </c>
      <c r="D725" s="3">
        <f>IFERROR(__xludf.DUMMYFUNCTION("""COMPUTED_VALUE"""),548.0)</f>
        <v>548</v>
      </c>
      <c r="E725" s="2"/>
      <c r="F725" s="2"/>
    </row>
    <row r="726">
      <c r="A726" s="2">
        <f>IFERROR(__xludf.DUMMYFUNCTION("""COMPUTED_VALUE"""),71674.0)</f>
        <v>71674</v>
      </c>
      <c r="B726" s="2">
        <f>IFERROR(__xludf.DUMMYFUNCTION("""COMPUTED_VALUE"""),0.0)</f>
        <v>0</v>
      </c>
      <c r="C726" s="2">
        <f>IFERROR(__xludf.DUMMYFUNCTION("""COMPUTED_VALUE"""),705.0)</f>
        <v>705</v>
      </c>
      <c r="D726" s="3">
        <f>IFERROR(__xludf.DUMMYFUNCTION("""COMPUTED_VALUE"""),483.0)</f>
        <v>483</v>
      </c>
      <c r="E726" s="2"/>
      <c r="F726" s="2"/>
    </row>
    <row r="727">
      <c r="A727" s="2">
        <f>IFERROR(__xludf.DUMMYFUNCTION("""COMPUTED_VALUE"""),101357.0)</f>
        <v>101357</v>
      </c>
      <c r="B727" s="2">
        <f>IFERROR(__xludf.DUMMYFUNCTION("""COMPUTED_VALUE"""),1.0)</f>
        <v>1</v>
      </c>
      <c r="C727" s="2">
        <f>IFERROR(__xludf.DUMMYFUNCTION("""COMPUTED_VALUE"""),914.0)</f>
        <v>914</v>
      </c>
      <c r="D727" s="3">
        <f>IFERROR(__xludf.DUMMYFUNCTION("""COMPUTED_VALUE"""),506.0)</f>
        <v>506</v>
      </c>
      <c r="E727" s="2"/>
      <c r="F727" s="2"/>
    </row>
    <row r="728">
      <c r="A728" s="2">
        <f>IFERROR(__xludf.DUMMYFUNCTION("""COMPUTED_VALUE"""),121066.0)</f>
        <v>121066</v>
      </c>
      <c r="B728" s="2">
        <f>IFERROR(__xludf.DUMMYFUNCTION("""COMPUTED_VALUE"""),1.0)</f>
        <v>1</v>
      </c>
      <c r="C728" s="2">
        <f>IFERROR(__xludf.DUMMYFUNCTION("""COMPUTED_VALUE"""),136.0)</f>
        <v>136</v>
      </c>
      <c r="D728" s="3">
        <f>IFERROR(__xludf.DUMMYFUNCTION("""COMPUTED_VALUE"""),84.0)</f>
        <v>84</v>
      </c>
      <c r="E728" s="2"/>
      <c r="F728" s="2"/>
    </row>
    <row r="729">
      <c r="A729" s="2">
        <f>IFERROR(__xludf.DUMMYFUNCTION("""COMPUTED_VALUE"""),72818.0)</f>
        <v>72818</v>
      </c>
      <c r="B729" s="2">
        <f>IFERROR(__xludf.DUMMYFUNCTION("""COMPUTED_VALUE"""),0.0)</f>
        <v>0</v>
      </c>
      <c r="C729" s="2">
        <f>IFERROR(__xludf.DUMMYFUNCTION("""COMPUTED_VALUE"""),535.0)</f>
        <v>535</v>
      </c>
      <c r="D729" s="3">
        <f>IFERROR(__xludf.DUMMYFUNCTION("""COMPUTED_VALUE"""),137.0)</f>
        <v>137</v>
      </c>
      <c r="E729" s="2"/>
      <c r="F729" s="2"/>
    </row>
    <row r="730">
      <c r="A730" s="2">
        <f>IFERROR(__xludf.DUMMYFUNCTION("""COMPUTED_VALUE"""),109178.0)</f>
        <v>109178</v>
      </c>
      <c r="B730" s="2">
        <f>IFERROR(__xludf.DUMMYFUNCTION("""COMPUTED_VALUE"""),1.0)</f>
        <v>1</v>
      </c>
      <c r="C730" s="2">
        <f>IFERROR(__xludf.DUMMYFUNCTION("""COMPUTED_VALUE"""),794.0)</f>
        <v>794</v>
      </c>
      <c r="D730" s="3">
        <f>IFERROR(__xludf.DUMMYFUNCTION("""COMPUTED_VALUE"""),446.0)</f>
        <v>446</v>
      </c>
      <c r="E730" s="2"/>
      <c r="F730" s="2"/>
    </row>
    <row r="731">
      <c r="A731" s="2">
        <f>IFERROR(__xludf.DUMMYFUNCTION("""COMPUTED_VALUE"""),114876.0)</f>
        <v>114876</v>
      </c>
      <c r="B731" s="2">
        <f>IFERROR(__xludf.DUMMYFUNCTION("""COMPUTED_VALUE"""),0.0)</f>
        <v>0</v>
      </c>
      <c r="C731" s="2">
        <f>IFERROR(__xludf.DUMMYFUNCTION("""COMPUTED_VALUE"""),323.0)</f>
        <v>323</v>
      </c>
      <c r="D731" s="3">
        <f>IFERROR(__xludf.DUMMYFUNCTION("""COMPUTED_VALUE"""),141.0)</f>
        <v>141</v>
      </c>
      <c r="E731" s="2"/>
      <c r="F731" s="2"/>
    </row>
    <row r="732">
      <c r="A732" s="2">
        <f>IFERROR(__xludf.DUMMYFUNCTION("""COMPUTED_VALUE"""),9471.0)</f>
        <v>9471</v>
      </c>
      <c r="B732" s="2">
        <f>IFERROR(__xludf.DUMMYFUNCTION("""COMPUTED_VALUE"""),1.0)</f>
        <v>1</v>
      </c>
      <c r="C732" s="2">
        <f>IFERROR(__xludf.DUMMYFUNCTION("""COMPUTED_VALUE"""),647.0)</f>
        <v>647</v>
      </c>
      <c r="D732" s="3">
        <f>IFERROR(__xludf.DUMMYFUNCTION("""COMPUTED_VALUE"""),519.0)</f>
        <v>519</v>
      </c>
      <c r="E732" s="2"/>
      <c r="F732" s="2"/>
    </row>
    <row r="733">
      <c r="A733" s="2">
        <f>IFERROR(__xludf.DUMMYFUNCTION("""COMPUTED_VALUE"""),87840.0)</f>
        <v>87840</v>
      </c>
      <c r="B733" s="2">
        <f>IFERROR(__xludf.DUMMYFUNCTION("""COMPUTED_VALUE"""),1.0)</f>
        <v>1</v>
      </c>
      <c r="C733" s="2">
        <f>IFERROR(__xludf.DUMMYFUNCTION("""COMPUTED_VALUE"""),758.0)</f>
        <v>758</v>
      </c>
      <c r="D733" s="3">
        <f>IFERROR(__xludf.DUMMYFUNCTION("""COMPUTED_VALUE"""),519.0)</f>
        <v>519</v>
      </c>
      <c r="E733" s="2"/>
      <c r="F733" s="2"/>
    </row>
    <row r="734">
      <c r="A734" s="2">
        <f>IFERROR(__xludf.DUMMYFUNCTION("""COMPUTED_VALUE"""),72816.0)</f>
        <v>72816</v>
      </c>
      <c r="B734" s="2">
        <f>IFERROR(__xludf.DUMMYFUNCTION("""COMPUTED_VALUE"""),0.0)</f>
        <v>0</v>
      </c>
      <c r="C734" s="2">
        <f>IFERROR(__xludf.DUMMYFUNCTION("""COMPUTED_VALUE"""),80.0)</f>
        <v>80</v>
      </c>
      <c r="D734" s="3">
        <f>IFERROR(__xludf.DUMMYFUNCTION("""COMPUTED_VALUE"""),50.0)</f>
        <v>50</v>
      </c>
      <c r="E734" s="2"/>
      <c r="F734" s="2"/>
    </row>
    <row r="735">
      <c r="A735" s="2">
        <f>IFERROR(__xludf.DUMMYFUNCTION("""COMPUTED_VALUE"""),122354.0)</f>
        <v>122354</v>
      </c>
      <c r="B735" s="2">
        <f>IFERROR(__xludf.DUMMYFUNCTION("""COMPUTED_VALUE"""),0.0)</f>
        <v>0</v>
      </c>
      <c r="C735" s="2">
        <f>IFERROR(__xludf.DUMMYFUNCTION("""COMPUTED_VALUE"""),606.0)</f>
        <v>606</v>
      </c>
      <c r="D735" s="3">
        <f>IFERROR(__xludf.DUMMYFUNCTION("""COMPUTED_VALUE"""),60.0)</f>
        <v>60</v>
      </c>
      <c r="E735" s="2"/>
      <c r="F735" s="2"/>
    </row>
    <row r="736">
      <c r="A736" s="2">
        <f>IFERROR(__xludf.DUMMYFUNCTION("""COMPUTED_VALUE"""),109188.0)</f>
        <v>109188</v>
      </c>
      <c r="B736" s="2">
        <f>IFERROR(__xludf.DUMMYFUNCTION("""COMPUTED_VALUE"""),0.0)</f>
        <v>0</v>
      </c>
      <c r="C736" s="2">
        <f>IFERROR(__xludf.DUMMYFUNCTION("""COMPUTED_VALUE"""),969.0)</f>
        <v>969</v>
      </c>
      <c r="D736" s="3">
        <f>IFERROR(__xludf.DUMMYFUNCTION("""COMPUTED_VALUE"""),864.0)</f>
        <v>864</v>
      </c>
      <c r="E736" s="2"/>
      <c r="F736" s="2"/>
    </row>
    <row r="737">
      <c r="A737" s="2">
        <f>IFERROR(__xludf.DUMMYFUNCTION("""COMPUTED_VALUE"""),7999.0)</f>
        <v>7999</v>
      </c>
      <c r="B737" s="2">
        <f>IFERROR(__xludf.DUMMYFUNCTION("""COMPUTED_VALUE"""),0.0)</f>
        <v>0</v>
      </c>
      <c r="C737" s="2">
        <f>IFERROR(__xludf.DUMMYFUNCTION("""COMPUTED_VALUE"""),248.0)</f>
        <v>248</v>
      </c>
      <c r="D737" s="3">
        <f>IFERROR(__xludf.DUMMYFUNCTION("""COMPUTED_VALUE"""),130.0)</f>
        <v>130</v>
      </c>
      <c r="E737" s="2"/>
      <c r="F737" s="2"/>
    </row>
    <row r="738">
      <c r="A738" s="2">
        <f>IFERROR(__xludf.DUMMYFUNCTION("""COMPUTED_VALUE"""),9469.0)</f>
        <v>9469</v>
      </c>
      <c r="B738" s="2">
        <f>IFERROR(__xludf.DUMMYFUNCTION("""COMPUTED_VALUE"""),0.0)</f>
        <v>0</v>
      </c>
      <c r="C738" s="2">
        <f>IFERROR(__xludf.DUMMYFUNCTION("""COMPUTED_VALUE"""),886.0)</f>
        <v>886</v>
      </c>
      <c r="D738" s="3">
        <f>IFERROR(__xludf.DUMMYFUNCTION("""COMPUTED_VALUE"""),256.0)</f>
        <v>256</v>
      </c>
      <c r="E738" s="2"/>
      <c r="F738" s="2"/>
    </row>
    <row r="739">
      <c r="A739" s="2">
        <f>IFERROR(__xludf.DUMMYFUNCTION("""COMPUTED_VALUE"""),46955.0)</f>
        <v>46955</v>
      </c>
      <c r="B739" s="2">
        <f>IFERROR(__xludf.DUMMYFUNCTION("""COMPUTED_VALUE"""),1.0)</f>
        <v>1</v>
      </c>
      <c r="C739" s="2">
        <f>IFERROR(__xludf.DUMMYFUNCTION("""COMPUTED_VALUE"""),162.0)</f>
        <v>162</v>
      </c>
      <c r="D739" s="3">
        <f>IFERROR(__xludf.DUMMYFUNCTION("""COMPUTED_VALUE"""),66.0)</f>
        <v>66</v>
      </c>
      <c r="E739" s="2"/>
      <c r="F739" s="2"/>
    </row>
    <row r="740">
      <c r="A740" s="2">
        <f>IFERROR(__xludf.DUMMYFUNCTION("""COMPUTED_VALUE"""),9464.0)</f>
        <v>9464</v>
      </c>
      <c r="B740" s="2">
        <f>IFERROR(__xludf.DUMMYFUNCTION("""COMPUTED_VALUE"""),0.0)</f>
        <v>0</v>
      </c>
      <c r="C740" s="2">
        <f>IFERROR(__xludf.DUMMYFUNCTION("""COMPUTED_VALUE"""),897.0)</f>
        <v>897</v>
      </c>
      <c r="D740" s="3">
        <f>IFERROR(__xludf.DUMMYFUNCTION("""COMPUTED_VALUE"""),521.0)</f>
        <v>521</v>
      </c>
      <c r="E740" s="2"/>
      <c r="F740" s="2"/>
    </row>
    <row r="741">
      <c r="A741" s="2">
        <f>IFERROR(__xludf.DUMMYFUNCTION("""COMPUTED_VALUE"""),79485.0)</f>
        <v>79485</v>
      </c>
      <c r="B741" s="2">
        <f>IFERROR(__xludf.DUMMYFUNCTION("""COMPUTED_VALUE"""),0.0)</f>
        <v>0</v>
      </c>
      <c r="C741" s="2">
        <f>IFERROR(__xludf.DUMMYFUNCTION("""COMPUTED_VALUE"""),864.0)</f>
        <v>864</v>
      </c>
      <c r="D741" s="3">
        <f>IFERROR(__xludf.DUMMYFUNCTION("""COMPUTED_VALUE"""),713.0)</f>
        <v>713</v>
      </c>
      <c r="E741" s="2"/>
      <c r="F741" s="2"/>
    </row>
    <row r="742">
      <c r="A742" s="2">
        <f>IFERROR(__xludf.DUMMYFUNCTION("""COMPUTED_VALUE"""),118224.0)</f>
        <v>118224</v>
      </c>
      <c r="B742" s="2">
        <f>IFERROR(__xludf.DUMMYFUNCTION("""COMPUTED_VALUE"""),1.0)</f>
        <v>1</v>
      </c>
      <c r="C742" s="2">
        <f>IFERROR(__xludf.DUMMYFUNCTION("""COMPUTED_VALUE"""),922.0)</f>
        <v>922</v>
      </c>
      <c r="D742" s="3">
        <f>IFERROR(__xludf.DUMMYFUNCTION("""COMPUTED_VALUE"""),864.0)</f>
        <v>864</v>
      </c>
      <c r="E742" s="2"/>
      <c r="F742" s="2"/>
    </row>
    <row r="743">
      <c r="A743" s="2">
        <f>IFERROR(__xludf.DUMMYFUNCTION("""COMPUTED_VALUE"""),122353.0)</f>
        <v>122353</v>
      </c>
      <c r="B743" s="2">
        <f>IFERROR(__xludf.DUMMYFUNCTION("""COMPUTED_VALUE"""),1.0)</f>
        <v>1</v>
      </c>
      <c r="C743" s="2">
        <f>IFERROR(__xludf.DUMMYFUNCTION("""COMPUTED_VALUE"""),685.0)</f>
        <v>685</v>
      </c>
      <c r="D743" s="3">
        <f>IFERROR(__xludf.DUMMYFUNCTION("""COMPUTED_VALUE"""),5.0)</f>
        <v>5</v>
      </c>
      <c r="E743" s="2"/>
      <c r="F743" s="2"/>
    </row>
    <row r="744">
      <c r="A744" s="2">
        <f>IFERROR(__xludf.DUMMYFUNCTION("""COMPUTED_VALUE"""),1584.0)</f>
        <v>1584</v>
      </c>
      <c r="B744" s="2">
        <f>IFERROR(__xludf.DUMMYFUNCTION("""COMPUTED_VALUE"""),1.0)</f>
        <v>1</v>
      </c>
      <c r="C744" s="2">
        <f>IFERROR(__xludf.DUMMYFUNCTION("""COMPUTED_VALUE"""),847.0)</f>
        <v>847</v>
      </c>
      <c r="D744" s="3">
        <f>IFERROR(__xludf.DUMMYFUNCTION("""COMPUTED_VALUE"""),147.0)</f>
        <v>147</v>
      </c>
      <c r="E744" s="2"/>
      <c r="F744" s="2"/>
    </row>
    <row r="745">
      <c r="A745" s="2">
        <f>IFERROR(__xludf.DUMMYFUNCTION("""COMPUTED_VALUE"""),2792.0)</f>
        <v>2792</v>
      </c>
      <c r="B745" s="2">
        <f>IFERROR(__xludf.DUMMYFUNCTION("""COMPUTED_VALUE"""),0.0)</f>
        <v>0</v>
      </c>
      <c r="C745" s="2">
        <f>IFERROR(__xludf.DUMMYFUNCTION("""COMPUTED_VALUE"""),519.0)</f>
        <v>519</v>
      </c>
      <c r="D745" s="3">
        <f>IFERROR(__xludf.DUMMYFUNCTION("""COMPUTED_VALUE"""),115.0)</f>
        <v>115</v>
      </c>
      <c r="E745" s="2"/>
      <c r="F745" s="2"/>
    </row>
    <row r="746">
      <c r="A746" s="2">
        <f>IFERROR(__xludf.DUMMYFUNCTION("""COMPUTED_VALUE"""),109187.0)</f>
        <v>109187</v>
      </c>
      <c r="B746" s="2">
        <f>IFERROR(__xludf.DUMMYFUNCTION("""COMPUTED_VALUE"""),0.0)</f>
        <v>0</v>
      </c>
      <c r="C746" s="2">
        <f>IFERROR(__xludf.DUMMYFUNCTION("""COMPUTED_VALUE"""),288.0)</f>
        <v>288</v>
      </c>
      <c r="D746" s="3">
        <f>IFERROR(__xludf.DUMMYFUNCTION("""COMPUTED_VALUE"""),271.0)</f>
        <v>271</v>
      </c>
      <c r="E746" s="2"/>
      <c r="F746" s="2"/>
    </row>
    <row r="747">
      <c r="A747" s="2">
        <f>IFERROR(__xludf.DUMMYFUNCTION("""COMPUTED_VALUE"""),118257.0)</f>
        <v>118257</v>
      </c>
      <c r="B747" s="2">
        <f>IFERROR(__xludf.DUMMYFUNCTION("""COMPUTED_VALUE"""),0.0)</f>
        <v>0</v>
      </c>
      <c r="C747" s="2">
        <f>IFERROR(__xludf.DUMMYFUNCTION("""COMPUTED_VALUE"""),734.0)</f>
        <v>734</v>
      </c>
      <c r="D747" s="3">
        <f>IFERROR(__xludf.DUMMYFUNCTION("""COMPUTED_VALUE"""),614.0)</f>
        <v>614</v>
      </c>
      <c r="E747" s="2"/>
      <c r="F747" s="2"/>
    </row>
    <row r="748">
      <c r="A748" s="2">
        <f>IFERROR(__xludf.DUMMYFUNCTION("""COMPUTED_VALUE"""),7995.0)</f>
        <v>7995</v>
      </c>
      <c r="B748" s="2">
        <f>IFERROR(__xludf.DUMMYFUNCTION("""COMPUTED_VALUE"""),0.0)</f>
        <v>0</v>
      </c>
      <c r="C748" s="2">
        <f>IFERROR(__xludf.DUMMYFUNCTION("""COMPUTED_VALUE"""),35.0)</f>
        <v>35</v>
      </c>
      <c r="D748" s="3">
        <f>IFERROR(__xludf.DUMMYFUNCTION("""COMPUTED_VALUE"""),9.0)</f>
        <v>9</v>
      </c>
      <c r="E748" s="2"/>
      <c r="F748" s="2"/>
    </row>
    <row r="749">
      <c r="A749" s="2">
        <f>IFERROR(__xludf.DUMMYFUNCTION("""COMPUTED_VALUE"""),99360.0)</f>
        <v>99360</v>
      </c>
      <c r="B749" s="2">
        <f>IFERROR(__xludf.DUMMYFUNCTION("""COMPUTED_VALUE"""),0.0)</f>
        <v>0</v>
      </c>
      <c r="C749" s="2">
        <f>IFERROR(__xludf.DUMMYFUNCTION("""COMPUTED_VALUE"""),765.0)</f>
        <v>765</v>
      </c>
      <c r="D749" s="3">
        <f>IFERROR(__xludf.DUMMYFUNCTION("""COMPUTED_VALUE"""),244.0)</f>
        <v>244</v>
      </c>
      <c r="E749" s="2"/>
      <c r="F749" s="2"/>
    </row>
    <row r="750">
      <c r="A750" s="2">
        <f>IFERROR(__xludf.DUMMYFUNCTION("""COMPUTED_VALUE"""),118156.0)</f>
        <v>118156</v>
      </c>
      <c r="B750" s="2">
        <f>IFERROR(__xludf.DUMMYFUNCTION("""COMPUTED_VALUE"""),0.0)</f>
        <v>0</v>
      </c>
      <c r="C750" s="2">
        <f>IFERROR(__xludf.DUMMYFUNCTION("""COMPUTED_VALUE"""),208.0)</f>
        <v>208</v>
      </c>
      <c r="D750" s="3">
        <f>IFERROR(__xludf.DUMMYFUNCTION("""COMPUTED_VALUE"""),53.0)</f>
        <v>53</v>
      </c>
      <c r="E750" s="2"/>
      <c r="F750" s="2"/>
    </row>
    <row r="751">
      <c r="A751" s="2">
        <f>IFERROR(__xludf.DUMMYFUNCTION("""COMPUTED_VALUE"""),44943.0)</f>
        <v>44943</v>
      </c>
      <c r="B751" s="2">
        <f>IFERROR(__xludf.DUMMYFUNCTION("""COMPUTED_VALUE"""),1.0)</f>
        <v>1</v>
      </c>
      <c r="C751" s="2">
        <f>IFERROR(__xludf.DUMMYFUNCTION("""COMPUTED_VALUE"""),203.0)</f>
        <v>203</v>
      </c>
      <c r="D751" s="3">
        <f>IFERROR(__xludf.DUMMYFUNCTION("""COMPUTED_VALUE"""),116.0)</f>
        <v>116</v>
      </c>
      <c r="E751" s="2"/>
      <c r="F751" s="2"/>
    </row>
    <row r="752">
      <c r="A752" s="2">
        <f>IFERROR(__xludf.DUMMYFUNCTION("""COMPUTED_VALUE"""),9462.0)</f>
        <v>9462</v>
      </c>
      <c r="B752" s="2">
        <f>IFERROR(__xludf.DUMMYFUNCTION("""COMPUTED_VALUE"""),1.0)</f>
        <v>1</v>
      </c>
      <c r="C752" s="2">
        <f>IFERROR(__xludf.DUMMYFUNCTION("""COMPUTED_VALUE"""),942.0)</f>
        <v>942</v>
      </c>
      <c r="D752" s="3">
        <f>IFERROR(__xludf.DUMMYFUNCTION("""COMPUTED_VALUE"""),409.0)</f>
        <v>409</v>
      </c>
      <c r="E752" s="2"/>
      <c r="F752" s="2"/>
    </row>
    <row r="753">
      <c r="A753" s="2">
        <f>IFERROR(__xludf.DUMMYFUNCTION("""COMPUTED_VALUE"""),79501.0)</f>
        <v>79501</v>
      </c>
      <c r="B753" s="2">
        <f>IFERROR(__xludf.DUMMYFUNCTION("""COMPUTED_VALUE"""),0.0)</f>
        <v>0</v>
      </c>
      <c r="C753" s="2">
        <f>IFERROR(__xludf.DUMMYFUNCTION("""COMPUTED_VALUE"""),877.0)</f>
        <v>877</v>
      </c>
      <c r="D753" s="3">
        <f>IFERROR(__xludf.DUMMYFUNCTION("""COMPUTED_VALUE"""),322.0)</f>
        <v>322</v>
      </c>
      <c r="E753" s="2"/>
      <c r="F753" s="2"/>
    </row>
    <row r="754">
      <c r="A754" s="2">
        <f>IFERROR(__xludf.DUMMYFUNCTION("""COMPUTED_VALUE"""),97161.0)</f>
        <v>97161</v>
      </c>
      <c r="B754" s="2">
        <f>IFERROR(__xludf.DUMMYFUNCTION("""COMPUTED_VALUE"""),1.0)</f>
        <v>1</v>
      </c>
      <c r="C754" s="2">
        <f>IFERROR(__xludf.DUMMYFUNCTION("""COMPUTED_VALUE"""),815.0)</f>
        <v>815</v>
      </c>
      <c r="D754" s="3">
        <f>IFERROR(__xludf.DUMMYFUNCTION("""COMPUTED_VALUE"""),189.0)</f>
        <v>189</v>
      </c>
      <c r="E754" s="2"/>
      <c r="F754" s="2"/>
    </row>
    <row r="755">
      <c r="A755" s="2">
        <f>IFERROR(__xludf.DUMMYFUNCTION("""COMPUTED_VALUE"""),112842.0)</f>
        <v>112842</v>
      </c>
      <c r="B755" s="2">
        <f>IFERROR(__xludf.DUMMYFUNCTION("""COMPUTED_VALUE"""),0.0)</f>
        <v>0</v>
      </c>
      <c r="C755" s="2">
        <f>IFERROR(__xludf.DUMMYFUNCTION("""COMPUTED_VALUE"""),441.0)</f>
        <v>441</v>
      </c>
      <c r="D755" s="3">
        <f>IFERROR(__xludf.DUMMYFUNCTION("""COMPUTED_VALUE"""),27.0)</f>
        <v>27</v>
      </c>
      <c r="E755" s="2"/>
      <c r="F755" s="2"/>
    </row>
    <row r="756">
      <c r="A756" s="2">
        <f>IFERROR(__xludf.DUMMYFUNCTION("""COMPUTED_VALUE"""),109180.0)</f>
        <v>109180</v>
      </c>
      <c r="B756" s="2">
        <f>IFERROR(__xludf.DUMMYFUNCTION("""COMPUTED_VALUE"""),0.0)</f>
        <v>0</v>
      </c>
      <c r="C756" s="2">
        <f>IFERROR(__xludf.DUMMYFUNCTION("""COMPUTED_VALUE"""),73.0)</f>
        <v>73</v>
      </c>
      <c r="D756" s="3">
        <f>IFERROR(__xludf.DUMMYFUNCTION("""COMPUTED_VALUE"""),23.0)</f>
        <v>23</v>
      </c>
      <c r="E756" s="2"/>
      <c r="F756" s="2"/>
    </row>
    <row r="757">
      <c r="A757" s="2">
        <f>IFERROR(__xludf.DUMMYFUNCTION("""COMPUTED_VALUE"""),46954.0)</f>
        <v>46954</v>
      </c>
      <c r="B757" s="2">
        <f>IFERROR(__xludf.DUMMYFUNCTION("""COMPUTED_VALUE"""),0.0)</f>
        <v>0</v>
      </c>
      <c r="C757" s="2">
        <f>IFERROR(__xludf.DUMMYFUNCTION("""COMPUTED_VALUE"""),640.0)</f>
        <v>640</v>
      </c>
      <c r="D757" s="3">
        <f>IFERROR(__xludf.DUMMYFUNCTION("""COMPUTED_VALUE"""),195.0)</f>
        <v>195</v>
      </c>
      <c r="E757" s="2"/>
      <c r="F757" s="2"/>
    </row>
    <row r="758">
      <c r="A758" s="2">
        <f>IFERROR(__xludf.DUMMYFUNCTION("""COMPUTED_VALUE"""),79500.0)</f>
        <v>79500</v>
      </c>
      <c r="B758" s="2">
        <f>IFERROR(__xludf.DUMMYFUNCTION("""COMPUTED_VALUE"""),0.0)</f>
        <v>0</v>
      </c>
      <c r="C758" s="2">
        <f>IFERROR(__xludf.DUMMYFUNCTION("""COMPUTED_VALUE"""),73.0)</f>
        <v>73</v>
      </c>
      <c r="D758" s="3">
        <f>IFERROR(__xludf.DUMMYFUNCTION("""COMPUTED_VALUE"""),31.0)</f>
        <v>31</v>
      </c>
      <c r="E758" s="2"/>
      <c r="F758" s="2"/>
    </row>
    <row r="759">
      <c r="A759" s="2">
        <f>IFERROR(__xludf.DUMMYFUNCTION("""COMPUTED_VALUE"""),99302.0)</f>
        <v>99302</v>
      </c>
      <c r="B759" s="2">
        <f>IFERROR(__xludf.DUMMYFUNCTION("""COMPUTED_VALUE"""),1.0)</f>
        <v>1</v>
      </c>
      <c r="C759" s="2">
        <f>IFERROR(__xludf.DUMMYFUNCTION("""COMPUTED_VALUE"""),323.0)</f>
        <v>323</v>
      </c>
      <c r="D759" s="3">
        <f>IFERROR(__xludf.DUMMYFUNCTION("""COMPUTED_VALUE"""),75.0)</f>
        <v>75</v>
      </c>
      <c r="E759" s="2"/>
      <c r="F759" s="2"/>
    </row>
    <row r="760">
      <c r="A760" s="2">
        <f>IFERROR(__xludf.DUMMYFUNCTION("""COMPUTED_VALUE"""),105026.0)</f>
        <v>105026</v>
      </c>
      <c r="B760" s="2">
        <f>IFERROR(__xludf.DUMMYFUNCTION("""COMPUTED_VALUE"""),0.0)</f>
        <v>0</v>
      </c>
      <c r="C760" s="2">
        <f>IFERROR(__xludf.DUMMYFUNCTION("""COMPUTED_VALUE"""),210.0)</f>
        <v>210</v>
      </c>
      <c r="D760" s="3">
        <f>IFERROR(__xludf.DUMMYFUNCTION("""COMPUTED_VALUE"""),69.0)</f>
        <v>69</v>
      </c>
      <c r="E760" s="2"/>
      <c r="F760" s="2"/>
    </row>
    <row r="761">
      <c r="A761" s="2">
        <f>IFERROR(__xludf.DUMMYFUNCTION("""COMPUTED_VALUE"""),19972.0)</f>
        <v>19972</v>
      </c>
      <c r="B761" s="2">
        <f>IFERROR(__xludf.DUMMYFUNCTION("""COMPUTED_VALUE"""),1.0)</f>
        <v>1</v>
      </c>
      <c r="C761" s="2">
        <f>IFERROR(__xludf.DUMMYFUNCTION("""COMPUTED_VALUE"""),630.0)</f>
        <v>630</v>
      </c>
      <c r="D761" s="3">
        <f>IFERROR(__xludf.DUMMYFUNCTION("""COMPUTED_VALUE"""),602.0)</f>
        <v>602</v>
      </c>
      <c r="E761" s="2"/>
      <c r="F761" s="2"/>
    </row>
    <row r="762">
      <c r="A762" s="2">
        <f>IFERROR(__xludf.DUMMYFUNCTION("""COMPUTED_VALUE"""),99233.0)</f>
        <v>99233</v>
      </c>
      <c r="B762" s="2">
        <f>IFERROR(__xludf.DUMMYFUNCTION("""COMPUTED_VALUE"""),1.0)</f>
        <v>1</v>
      </c>
      <c r="C762" s="2">
        <f>IFERROR(__xludf.DUMMYFUNCTION("""COMPUTED_VALUE"""),492.0)</f>
        <v>492</v>
      </c>
      <c r="D762" s="3">
        <f>IFERROR(__xludf.DUMMYFUNCTION("""COMPUTED_VALUE"""),68.0)</f>
        <v>68</v>
      </c>
      <c r="E762" s="2"/>
      <c r="F762" s="2"/>
    </row>
    <row r="763">
      <c r="A763" s="2">
        <f>IFERROR(__xludf.DUMMYFUNCTION("""COMPUTED_VALUE"""),118260.0)</f>
        <v>118260</v>
      </c>
      <c r="B763" s="2">
        <f>IFERROR(__xludf.DUMMYFUNCTION("""COMPUTED_VALUE"""),1.0)</f>
        <v>1</v>
      </c>
      <c r="C763" s="2">
        <f>IFERROR(__xludf.DUMMYFUNCTION("""COMPUTED_VALUE"""),920.0)</f>
        <v>920</v>
      </c>
      <c r="D763" s="3">
        <f>IFERROR(__xludf.DUMMYFUNCTION("""COMPUTED_VALUE"""),213.0)</f>
        <v>213</v>
      </c>
      <c r="E763" s="2"/>
      <c r="F763" s="2"/>
    </row>
    <row r="764">
      <c r="A764" s="2">
        <f>IFERROR(__xludf.DUMMYFUNCTION("""COMPUTED_VALUE"""),128398.0)</f>
        <v>128398</v>
      </c>
      <c r="B764" s="2">
        <f>IFERROR(__xludf.DUMMYFUNCTION("""COMPUTED_VALUE"""),0.0)</f>
        <v>0</v>
      </c>
      <c r="C764" s="2">
        <f>IFERROR(__xludf.DUMMYFUNCTION("""COMPUTED_VALUE"""),536.0)</f>
        <v>536</v>
      </c>
      <c r="D764" s="3">
        <f>IFERROR(__xludf.DUMMYFUNCTION("""COMPUTED_VALUE"""),448.0)</f>
        <v>448</v>
      </c>
      <c r="E764" s="2"/>
      <c r="F764" s="2"/>
    </row>
    <row r="765">
      <c r="A765" s="2">
        <f>IFERROR(__xludf.DUMMYFUNCTION("""COMPUTED_VALUE"""),8001.0)</f>
        <v>8001</v>
      </c>
      <c r="B765" s="2">
        <f>IFERROR(__xludf.DUMMYFUNCTION("""COMPUTED_VALUE"""),1.0)</f>
        <v>1</v>
      </c>
      <c r="C765" s="2">
        <f>IFERROR(__xludf.DUMMYFUNCTION("""COMPUTED_VALUE"""),333.0)</f>
        <v>333</v>
      </c>
      <c r="D765" s="3">
        <f>IFERROR(__xludf.DUMMYFUNCTION("""COMPUTED_VALUE"""),196.0)</f>
        <v>196</v>
      </c>
      <c r="E765" s="2"/>
      <c r="F765" s="2"/>
    </row>
    <row r="766">
      <c r="A766" s="2">
        <f>IFERROR(__xludf.DUMMYFUNCTION("""COMPUTED_VALUE"""),106782.0)</f>
        <v>106782</v>
      </c>
      <c r="B766" s="2">
        <f>IFERROR(__xludf.DUMMYFUNCTION("""COMPUTED_VALUE"""),0.0)</f>
        <v>0</v>
      </c>
      <c r="C766" s="2">
        <f>IFERROR(__xludf.DUMMYFUNCTION("""COMPUTED_VALUE"""),764.0)</f>
        <v>764</v>
      </c>
      <c r="D766" s="3">
        <f>IFERROR(__xludf.DUMMYFUNCTION("""COMPUTED_VALUE"""),37.0)</f>
        <v>37</v>
      </c>
      <c r="E766" s="2"/>
      <c r="F766" s="2"/>
    </row>
    <row r="767">
      <c r="A767" s="2">
        <f>IFERROR(__xludf.DUMMYFUNCTION("""COMPUTED_VALUE"""),110793.0)</f>
        <v>110793</v>
      </c>
      <c r="B767" s="2">
        <f>IFERROR(__xludf.DUMMYFUNCTION("""COMPUTED_VALUE"""),0.0)</f>
        <v>0</v>
      </c>
      <c r="C767" s="2">
        <f>IFERROR(__xludf.DUMMYFUNCTION("""COMPUTED_VALUE"""),402.0)</f>
        <v>402</v>
      </c>
      <c r="D767" s="3">
        <f>IFERROR(__xludf.DUMMYFUNCTION("""COMPUTED_VALUE"""),145.0)</f>
        <v>145</v>
      </c>
      <c r="E767" s="2"/>
      <c r="F767" s="2"/>
    </row>
    <row r="768">
      <c r="A768" s="2">
        <f>IFERROR(__xludf.DUMMYFUNCTION("""COMPUTED_VALUE"""),86808.0)</f>
        <v>86808</v>
      </c>
      <c r="B768" s="2">
        <f>IFERROR(__xludf.DUMMYFUNCTION("""COMPUTED_VALUE"""),0.0)</f>
        <v>0</v>
      </c>
      <c r="C768" s="2">
        <f>IFERROR(__xludf.DUMMYFUNCTION("""COMPUTED_VALUE"""),0.0)</f>
        <v>0</v>
      </c>
      <c r="D768" s="3">
        <f>IFERROR(__xludf.DUMMYFUNCTION("""COMPUTED_VALUE"""),0.0)</f>
        <v>0</v>
      </c>
      <c r="E768" s="2"/>
      <c r="F768" s="2"/>
    </row>
    <row r="769">
      <c r="A769" s="2">
        <f>IFERROR(__xludf.DUMMYFUNCTION("""COMPUTED_VALUE"""),50367.0)</f>
        <v>50367</v>
      </c>
      <c r="B769" s="2">
        <f>IFERROR(__xludf.DUMMYFUNCTION("""COMPUTED_VALUE"""),0.0)</f>
        <v>0</v>
      </c>
      <c r="C769" s="2">
        <f>IFERROR(__xludf.DUMMYFUNCTION("""COMPUTED_VALUE"""),549.0)</f>
        <v>549</v>
      </c>
      <c r="D769" s="3">
        <f>IFERROR(__xludf.DUMMYFUNCTION("""COMPUTED_VALUE"""),67.0)</f>
        <v>67</v>
      </c>
      <c r="E769" s="2"/>
      <c r="F769" s="2"/>
    </row>
    <row r="770">
      <c r="A770" s="2">
        <f>IFERROR(__xludf.DUMMYFUNCTION("""COMPUTED_VALUE"""),102750.0)</f>
        <v>102750</v>
      </c>
      <c r="B770" s="2">
        <f>IFERROR(__xludf.DUMMYFUNCTION("""COMPUTED_VALUE"""),0.0)</f>
        <v>0</v>
      </c>
      <c r="C770" s="2">
        <f>IFERROR(__xludf.DUMMYFUNCTION("""COMPUTED_VALUE"""),65.0)</f>
        <v>65</v>
      </c>
      <c r="D770" s="3">
        <f>IFERROR(__xludf.DUMMYFUNCTION("""COMPUTED_VALUE"""),37.0)</f>
        <v>37</v>
      </c>
      <c r="E770" s="2"/>
      <c r="F770" s="2"/>
    </row>
    <row r="771">
      <c r="A771" s="2">
        <f>IFERROR(__xludf.DUMMYFUNCTION("""COMPUTED_VALUE"""),102758.0)</f>
        <v>102758</v>
      </c>
      <c r="B771" s="2">
        <f>IFERROR(__xludf.DUMMYFUNCTION("""COMPUTED_VALUE"""),0.0)</f>
        <v>0</v>
      </c>
      <c r="C771" s="2">
        <f>IFERROR(__xludf.DUMMYFUNCTION("""COMPUTED_VALUE"""),282.0)</f>
        <v>282</v>
      </c>
      <c r="D771" s="3">
        <f>IFERROR(__xludf.DUMMYFUNCTION("""COMPUTED_VALUE"""),278.0)</f>
        <v>278</v>
      </c>
      <c r="E771" s="2"/>
      <c r="F771" s="2"/>
    </row>
    <row r="772">
      <c r="A772" s="2">
        <f>IFERROR(__xludf.DUMMYFUNCTION("""COMPUTED_VALUE"""),86787.0)</f>
        <v>86787</v>
      </c>
      <c r="B772" s="2">
        <f>IFERROR(__xludf.DUMMYFUNCTION("""COMPUTED_VALUE"""),1.0)</f>
        <v>1</v>
      </c>
      <c r="C772" s="2">
        <f>IFERROR(__xludf.DUMMYFUNCTION("""COMPUTED_VALUE"""),807.0)</f>
        <v>807</v>
      </c>
      <c r="D772" s="3">
        <f>IFERROR(__xludf.DUMMYFUNCTION("""COMPUTED_VALUE"""),186.0)</f>
        <v>186</v>
      </c>
      <c r="E772" s="2"/>
      <c r="F772" s="2"/>
    </row>
    <row r="773">
      <c r="A773" s="2">
        <f>IFERROR(__xludf.DUMMYFUNCTION("""COMPUTED_VALUE"""),102740.0)</f>
        <v>102740</v>
      </c>
      <c r="B773" s="2">
        <f>IFERROR(__xludf.DUMMYFUNCTION("""COMPUTED_VALUE"""),1.0)</f>
        <v>1</v>
      </c>
      <c r="C773" s="2">
        <f>IFERROR(__xludf.DUMMYFUNCTION("""COMPUTED_VALUE"""),139.0)</f>
        <v>139</v>
      </c>
      <c r="D773" s="3">
        <f>IFERROR(__xludf.DUMMYFUNCTION("""COMPUTED_VALUE"""),131.0)</f>
        <v>131</v>
      </c>
      <c r="E773" s="2"/>
      <c r="F773" s="2"/>
    </row>
    <row r="774">
      <c r="A774" s="2">
        <f>IFERROR(__xludf.DUMMYFUNCTION("""COMPUTED_VALUE"""),102734.0)</f>
        <v>102734</v>
      </c>
      <c r="B774" s="2">
        <f>IFERROR(__xludf.DUMMYFUNCTION("""COMPUTED_VALUE"""),0.0)</f>
        <v>0</v>
      </c>
      <c r="C774" s="2">
        <f>IFERROR(__xludf.DUMMYFUNCTION("""COMPUTED_VALUE"""),167.0)</f>
        <v>167</v>
      </c>
      <c r="D774" s="3">
        <f>IFERROR(__xludf.DUMMYFUNCTION("""COMPUTED_VALUE"""),85.0)</f>
        <v>85</v>
      </c>
      <c r="E774" s="2"/>
      <c r="F774" s="2"/>
    </row>
    <row r="775">
      <c r="A775" s="2">
        <f>IFERROR(__xludf.DUMMYFUNCTION("""COMPUTED_VALUE"""),102751.0)</f>
        <v>102751</v>
      </c>
      <c r="B775" s="2">
        <f>IFERROR(__xludf.DUMMYFUNCTION("""COMPUTED_VALUE"""),1.0)</f>
        <v>1</v>
      </c>
      <c r="C775" s="2">
        <f>IFERROR(__xludf.DUMMYFUNCTION("""COMPUTED_VALUE"""),432.0)</f>
        <v>432</v>
      </c>
      <c r="D775" s="3">
        <f>IFERROR(__xludf.DUMMYFUNCTION("""COMPUTED_VALUE"""),243.0)</f>
        <v>243</v>
      </c>
      <c r="E775" s="2"/>
      <c r="F775" s="2"/>
    </row>
    <row r="776">
      <c r="A776" s="2">
        <f>IFERROR(__xludf.DUMMYFUNCTION("""COMPUTED_VALUE"""),102752.0)</f>
        <v>102752</v>
      </c>
      <c r="B776" s="2">
        <f>IFERROR(__xludf.DUMMYFUNCTION("""COMPUTED_VALUE"""),1.0)</f>
        <v>1</v>
      </c>
      <c r="C776" s="2">
        <f>IFERROR(__xludf.DUMMYFUNCTION("""COMPUTED_VALUE"""),952.0)</f>
        <v>952</v>
      </c>
      <c r="D776" s="3">
        <f>IFERROR(__xludf.DUMMYFUNCTION("""COMPUTED_VALUE"""),462.0)</f>
        <v>462</v>
      </c>
      <c r="E776" s="2"/>
      <c r="F776" s="2"/>
    </row>
    <row r="777">
      <c r="A777" s="2">
        <f>IFERROR(__xludf.DUMMYFUNCTION("""COMPUTED_VALUE"""),102735.0)</f>
        <v>102735</v>
      </c>
      <c r="B777" s="2">
        <f>IFERROR(__xludf.DUMMYFUNCTION("""COMPUTED_VALUE"""),0.0)</f>
        <v>0</v>
      </c>
      <c r="C777" s="2">
        <f>IFERROR(__xludf.DUMMYFUNCTION("""COMPUTED_VALUE"""),905.0)</f>
        <v>905</v>
      </c>
      <c r="D777" s="3">
        <f>IFERROR(__xludf.DUMMYFUNCTION("""COMPUTED_VALUE"""),574.0)</f>
        <v>574</v>
      </c>
      <c r="E777" s="2"/>
      <c r="F777" s="2"/>
    </row>
    <row r="778">
      <c r="A778" s="2">
        <f>IFERROR(__xludf.DUMMYFUNCTION("""COMPUTED_VALUE"""),86793.0)</f>
        <v>86793</v>
      </c>
      <c r="B778" s="2">
        <f>IFERROR(__xludf.DUMMYFUNCTION("""COMPUTED_VALUE"""),1.0)</f>
        <v>1</v>
      </c>
      <c r="C778" s="2">
        <f>IFERROR(__xludf.DUMMYFUNCTION("""COMPUTED_VALUE"""),617.0)</f>
        <v>617</v>
      </c>
      <c r="D778" s="3">
        <f>IFERROR(__xludf.DUMMYFUNCTION("""COMPUTED_VALUE"""),551.0)</f>
        <v>551</v>
      </c>
      <c r="E778" s="2"/>
      <c r="F778" s="2"/>
    </row>
    <row r="779">
      <c r="A779" s="2">
        <f>IFERROR(__xludf.DUMMYFUNCTION("""COMPUTED_VALUE"""),86792.0)</f>
        <v>86792</v>
      </c>
      <c r="B779" s="2">
        <f>IFERROR(__xludf.DUMMYFUNCTION("""COMPUTED_VALUE"""),1.0)</f>
        <v>1</v>
      </c>
      <c r="C779" s="2">
        <f>IFERROR(__xludf.DUMMYFUNCTION("""COMPUTED_VALUE"""),405.0)</f>
        <v>405</v>
      </c>
      <c r="D779" s="3">
        <f>IFERROR(__xludf.DUMMYFUNCTION("""COMPUTED_VALUE"""),27.0)</f>
        <v>27</v>
      </c>
      <c r="E779" s="2"/>
      <c r="F779" s="2"/>
    </row>
    <row r="780">
      <c r="A780" s="2">
        <f>IFERROR(__xludf.DUMMYFUNCTION("""COMPUTED_VALUE"""),86785.0)</f>
        <v>86785</v>
      </c>
      <c r="B780" s="2">
        <f>IFERROR(__xludf.DUMMYFUNCTION("""COMPUTED_VALUE"""),1.0)</f>
        <v>1</v>
      </c>
      <c r="C780" s="2">
        <f>IFERROR(__xludf.DUMMYFUNCTION("""COMPUTED_VALUE"""),971.0)</f>
        <v>971</v>
      </c>
      <c r="D780" s="3">
        <f>IFERROR(__xludf.DUMMYFUNCTION("""COMPUTED_VALUE"""),312.0)</f>
        <v>312</v>
      </c>
      <c r="E780" s="2"/>
      <c r="F780" s="2"/>
    </row>
    <row r="781">
      <c r="A781" s="2">
        <f>IFERROR(__xludf.DUMMYFUNCTION("""COMPUTED_VALUE"""),102773.0)</f>
        <v>102773</v>
      </c>
      <c r="B781" s="2">
        <f>IFERROR(__xludf.DUMMYFUNCTION("""COMPUTED_VALUE"""),0.0)</f>
        <v>0</v>
      </c>
      <c r="C781" s="2">
        <f>IFERROR(__xludf.DUMMYFUNCTION("""COMPUTED_VALUE"""),719.0)</f>
        <v>719</v>
      </c>
      <c r="D781" s="3">
        <f>IFERROR(__xludf.DUMMYFUNCTION("""COMPUTED_VALUE"""),136.0)</f>
        <v>136</v>
      </c>
      <c r="E781" s="2"/>
      <c r="F781" s="2"/>
    </row>
    <row r="782">
      <c r="A782" s="2">
        <f>IFERROR(__xludf.DUMMYFUNCTION("""COMPUTED_VALUE"""),42807.0)</f>
        <v>42807</v>
      </c>
      <c r="B782" s="2">
        <f>IFERROR(__xludf.DUMMYFUNCTION("""COMPUTED_VALUE"""),1.0)</f>
        <v>1</v>
      </c>
      <c r="C782" s="2">
        <f>IFERROR(__xludf.DUMMYFUNCTION("""COMPUTED_VALUE"""),610.0)</f>
        <v>610</v>
      </c>
      <c r="D782" s="3">
        <f>IFERROR(__xludf.DUMMYFUNCTION("""COMPUTED_VALUE"""),403.0)</f>
        <v>403</v>
      </c>
      <c r="E782" s="2"/>
      <c r="F782" s="2"/>
    </row>
    <row r="783">
      <c r="A783" s="2">
        <f>IFERROR(__xludf.DUMMYFUNCTION("""COMPUTED_VALUE"""),42809.0)</f>
        <v>42809</v>
      </c>
      <c r="B783" s="2">
        <f>IFERROR(__xludf.DUMMYFUNCTION("""COMPUTED_VALUE"""),0.0)</f>
        <v>0</v>
      </c>
      <c r="C783" s="2">
        <f>IFERROR(__xludf.DUMMYFUNCTION("""COMPUTED_VALUE"""),415.0)</f>
        <v>415</v>
      </c>
      <c r="D783" s="3">
        <f>IFERROR(__xludf.DUMMYFUNCTION("""COMPUTED_VALUE"""),69.0)</f>
        <v>69</v>
      </c>
      <c r="E783" s="2"/>
      <c r="F783" s="2"/>
    </row>
    <row r="784">
      <c r="A784" s="2">
        <f>IFERROR(__xludf.DUMMYFUNCTION("""COMPUTED_VALUE"""),86821.0)</f>
        <v>86821</v>
      </c>
      <c r="B784" s="2">
        <f>IFERROR(__xludf.DUMMYFUNCTION("""COMPUTED_VALUE"""),0.0)</f>
        <v>0</v>
      </c>
      <c r="C784" s="2">
        <f>IFERROR(__xludf.DUMMYFUNCTION("""COMPUTED_VALUE"""),995.0)</f>
        <v>995</v>
      </c>
      <c r="D784" s="3">
        <f>IFERROR(__xludf.DUMMYFUNCTION("""COMPUTED_VALUE"""),734.0)</f>
        <v>734</v>
      </c>
      <c r="E784" s="2"/>
      <c r="F784" s="2"/>
    </row>
    <row r="785">
      <c r="A785" s="2">
        <f>IFERROR(__xludf.DUMMYFUNCTION("""COMPUTED_VALUE"""),110719.0)</f>
        <v>110719</v>
      </c>
      <c r="B785" s="2">
        <f>IFERROR(__xludf.DUMMYFUNCTION("""COMPUTED_VALUE"""),1.0)</f>
        <v>1</v>
      </c>
      <c r="C785" s="2">
        <f>IFERROR(__xludf.DUMMYFUNCTION("""COMPUTED_VALUE"""),102.0)</f>
        <v>102</v>
      </c>
      <c r="D785" s="3">
        <f>IFERROR(__xludf.DUMMYFUNCTION("""COMPUTED_VALUE"""),48.0)</f>
        <v>48</v>
      </c>
      <c r="E785" s="2"/>
      <c r="F785" s="2"/>
    </row>
    <row r="786">
      <c r="A786" s="2">
        <f>IFERROR(__xludf.DUMMYFUNCTION("""COMPUTED_VALUE"""),86818.0)</f>
        <v>86818</v>
      </c>
      <c r="B786" s="2">
        <f>IFERROR(__xludf.DUMMYFUNCTION("""COMPUTED_VALUE"""),0.0)</f>
        <v>0</v>
      </c>
      <c r="C786" s="2">
        <f>IFERROR(__xludf.DUMMYFUNCTION("""COMPUTED_VALUE"""),519.0)</f>
        <v>519</v>
      </c>
      <c r="D786" s="3">
        <f>IFERROR(__xludf.DUMMYFUNCTION("""COMPUTED_VALUE"""),440.0)</f>
        <v>440</v>
      </c>
      <c r="E786" s="2"/>
      <c r="F786" s="2"/>
    </row>
    <row r="787">
      <c r="A787" s="2">
        <f>IFERROR(__xludf.DUMMYFUNCTION("""COMPUTED_VALUE"""),71318.0)</f>
        <v>71318</v>
      </c>
      <c r="B787" s="2">
        <f>IFERROR(__xludf.DUMMYFUNCTION("""COMPUTED_VALUE"""),0.0)</f>
        <v>0</v>
      </c>
      <c r="C787" s="2">
        <f>IFERROR(__xludf.DUMMYFUNCTION("""COMPUTED_VALUE"""),475.0)</f>
        <v>475</v>
      </c>
      <c r="D787" s="3">
        <f>IFERROR(__xludf.DUMMYFUNCTION("""COMPUTED_VALUE"""),50.0)</f>
        <v>50</v>
      </c>
      <c r="E787" s="2"/>
      <c r="F787" s="2"/>
    </row>
    <row r="788">
      <c r="A788" s="2">
        <f>IFERROR(__xludf.DUMMYFUNCTION("""COMPUTED_VALUE"""),122303.0)</f>
        <v>122303</v>
      </c>
      <c r="B788" s="2">
        <f>IFERROR(__xludf.DUMMYFUNCTION("""COMPUTED_VALUE"""),1.0)</f>
        <v>1</v>
      </c>
      <c r="C788" s="2">
        <f>IFERROR(__xludf.DUMMYFUNCTION("""COMPUTED_VALUE"""),872.0)</f>
        <v>872</v>
      </c>
      <c r="D788" s="3">
        <f>IFERROR(__xludf.DUMMYFUNCTION("""COMPUTED_VALUE"""),371.0)</f>
        <v>371</v>
      </c>
      <c r="E788" s="2"/>
      <c r="F788" s="2"/>
    </row>
    <row r="789">
      <c r="A789" s="2">
        <f>IFERROR(__xludf.DUMMYFUNCTION("""COMPUTED_VALUE"""),110716.0)</f>
        <v>110716</v>
      </c>
      <c r="B789" s="2">
        <f>IFERROR(__xludf.DUMMYFUNCTION("""COMPUTED_VALUE"""),0.0)</f>
        <v>0</v>
      </c>
      <c r="C789" s="2">
        <f>IFERROR(__xludf.DUMMYFUNCTION("""COMPUTED_VALUE"""),878.0)</f>
        <v>878</v>
      </c>
      <c r="D789" s="3">
        <f>IFERROR(__xludf.DUMMYFUNCTION("""COMPUTED_VALUE"""),558.0)</f>
        <v>558</v>
      </c>
      <c r="E789" s="2"/>
      <c r="F789" s="2"/>
    </row>
    <row r="790">
      <c r="A790" s="2">
        <f>IFERROR(__xludf.DUMMYFUNCTION("""COMPUTED_VALUE"""),9480.0)</f>
        <v>9480</v>
      </c>
      <c r="B790" s="2">
        <f>IFERROR(__xludf.DUMMYFUNCTION("""COMPUTED_VALUE"""),1.0)</f>
        <v>1</v>
      </c>
      <c r="C790" s="2">
        <f>IFERROR(__xludf.DUMMYFUNCTION("""COMPUTED_VALUE"""),716.0)</f>
        <v>716</v>
      </c>
      <c r="D790" s="3">
        <f>IFERROR(__xludf.DUMMYFUNCTION("""COMPUTED_VALUE"""),559.0)</f>
        <v>559</v>
      </c>
      <c r="E790" s="2"/>
      <c r="F790" s="2"/>
    </row>
    <row r="791">
      <c r="A791" s="2">
        <f>IFERROR(__xludf.DUMMYFUNCTION("""COMPUTED_VALUE"""),113920.0)</f>
        <v>113920</v>
      </c>
      <c r="B791" s="2">
        <f>IFERROR(__xludf.DUMMYFUNCTION("""COMPUTED_VALUE"""),0.0)</f>
        <v>0</v>
      </c>
      <c r="C791" s="2">
        <f>IFERROR(__xludf.DUMMYFUNCTION("""COMPUTED_VALUE"""),877.0)</f>
        <v>877</v>
      </c>
      <c r="D791" s="3">
        <f>IFERROR(__xludf.DUMMYFUNCTION("""COMPUTED_VALUE"""),516.0)</f>
        <v>516</v>
      </c>
      <c r="E791" s="2"/>
      <c r="F791" s="2"/>
    </row>
    <row r="792">
      <c r="A792" s="2">
        <f>IFERROR(__xludf.DUMMYFUNCTION("""COMPUTED_VALUE"""),166088.0)</f>
        <v>166088</v>
      </c>
      <c r="B792" s="2">
        <f>IFERROR(__xludf.DUMMYFUNCTION("""COMPUTED_VALUE"""),1.0)</f>
        <v>1</v>
      </c>
      <c r="C792" s="2">
        <f>IFERROR(__xludf.DUMMYFUNCTION("""COMPUTED_VALUE"""),403.0)</f>
        <v>403</v>
      </c>
      <c r="D792" s="3">
        <f>IFERROR(__xludf.DUMMYFUNCTION("""COMPUTED_VALUE"""),386.0)</f>
        <v>386</v>
      </c>
      <c r="E792" s="2"/>
      <c r="F792" s="2"/>
    </row>
    <row r="793">
      <c r="A793" s="2">
        <f>IFERROR(__xludf.DUMMYFUNCTION("""COMPUTED_VALUE"""),122712.0)</f>
        <v>122712</v>
      </c>
      <c r="B793" s="2">
        <f>IFERROR(__xludf.DUMMYFUNCTION("""COMPUTED_VALUE"""),1.0)</f>
        <v>1</v>
      </c>
      <c r="C793" s="2">
        <f>IFERROR(__xludf.DUMMYFUNCTION("""COMPUTED_VALUE"""),911.0)</f>
        <v>911</v>
      </c>
      <c r="D793" s="3">
        <f>IFERROR(__xludf.DUMMYFUNCTION("""COMPUTED_VALUE"""),624.0)</f>
        <v>624</v>
      </c>
      <c r="E793" s="2"/>
      <c r="F793" s="2"/>
    </row>
    <row r="794">
      <c r="A794" s="2">
        <f>IFERROR(__xludf.DUMMYFUNCTION("""COMPUTED_VALUE"""),86523.0)</f>
        <v>86523</v>
      </c>
      <c r="B794" s="2">
        <f>IFERROR(__xludf.DUMMYFUNCTION("""COMPUTED_VALUE"""),0.0)</f>
        <v>0</v>
      </c>
      <c r="C794" s="2">
        <f>IFERROR(__xludf.DUMMYFUNCTION("""COMPUTED_VALUE"""),978.0)</f>
        <v>978</v>
      </c>
      <c r="D794" s="3">
        <f>IFERROR(__xludf.DUMMYFUNCTION("""COMPUTED_VALUE"""),187.0)</f>
        <v>187</v>
      </c>
      <c r="E794" s="2"/>
      <c r="F794" s="2"/>
    </row>
    <row r="795">
      <c r="A795" s="2">
        <f>IFERROR(__xludf.DUMMYFUNCTION("""COMPUTED_VALUE"""),106773.0)</f>
        <v>106773</v>
      </c>
      <c r="B795" s="2">
        <f>IFERROR(__xludf.DUMMYFUNCTION("""COMPUTED_VALUE"""),1.0)</f>
        <v>1</v>
      </c>
      <c r="C795" s="2">
        <f>IFERROR(__xludf.DUMMYFUNCTION("""COMPUTED_VALUE"""),608.0)</f>
        <v>608</v>
      </c>
      <c r="D795" s="3">
        <f>IFERROR(__xludf.DUMMYFUNCTION("""COMPUTED_VALUE"""),497.0)</f>
        <v>497</v>
      </c>
      <c r="E795" s="2"/>
      <c r="F795" s="2"/>
    </row>
    <row r="796">
      <c r="A796" s="2">
        <f>IFERROR(__xludf.DUMMYFUNCTION("""COMPUTED_VALUE"""),128356.0)</f>
        <v>128356</v>
      </c>
      <c r="B796" s="2">
        <f>IFERROR(__xludf.DUMMYFUNCTION("""COMPUTED_VALUE"""),0.0)</f>
        <v>0</v>
      </c>
      <c r="C796" s="2">
        <f>IFERROR(__xludf.DUMMYFUNCTION("""COMPUTED_VALUE"""),712.0)</f>
        <v>712</v>
      </c>
      <c r="D796" s="3">
        <f>IFERROR(__xludf.DUMMYFUNCTION("""COMPUTED_VALUE"""),68.0)</f>
        <v>68</v>
      </c>
      <c r="E796" s="2"/>
      <c r="F796" s="2"/>
    </row>
    <row r="797">
      <c r="A797" s="2">
        <f>IFERROR(__xludf.DUMMYFUNCTION("""COMPUTED_VALUE"""),28897.0)</f>
        <v>28897</v>
      </c>
      <c r="B797" s="2">
        <f>IFERROR(__xludf.DUMMYFUNCTION("""COMPUTED_VALUE"""),1.0)</f>
        <v>1</v>
      </c>
      <c r="C797" s="2">
        <f>IFERROR(__xludf.DUMMYFUNCTION("""COMPUTED_VALUE"""),846.0)</f>
        <v>846</v>
      </c>
      <c r="D797" s="3">
        <f>IFERROR(__xludf.DUMMYFUNCTION("""COMPUTED_VALUE"""),318.0)</f>
        <v>318</v>
      </c>
      <c r="E797" s="2"/>
      <c r="F797" s="2"/>
    </row>
    <row r="798">
      <c r="A798" s="2">
        <f>IFERROR(__xludf.DUMMYFUNCTION("""COMPUTED_VALUE"""),181502.0)</f>
        <v>181502</v>
      </c>
      <c r="B798" s="2">
        <f>IFERROR(__xludf.DUMMYFUNCTION("""COMPUTED_VALUE"""),1.0)</f>
        <v>1</v>
      </c>
      <c r="C798" s="2">
        <f>IFERROR(__xludf.DUMMYFUNCTION("""COMPUTED_VALUE"""),247.0)</f>
        <v>247</v>
      </c>
      <c r="D798" s="3">
        <f>IFERROR(__xludf.DUMMYFUNCTION("""COMPUTED_VALUE"""),52.0)</f>
        <v>52</v>
      </c>
      <c r="E798" s="2"/>
      <c r="F798" s="2"/>
    </row>
    <row r="799">
      <c r="A799" s="2">
        <f>IFERROR(__xludf.DUMMYFUNCTION("""COMPUTED_VALUE"""),13368.0)</f>
        <v>13368</v>
      </c>
      <c r="B799" s="2">
        <f>IFERROR(__xludf.DUMMYFUNCTION("""COMPUTED_VALUE"""),1.0)</f>
        <v>1</v>
      </c>
      <c r="C799" s="2">
        <f>IFERROR(__xludf.DUMMYFUNCTION("""COMPUTED_VALUE"""),338.0)</f>
        <v>338</v>
      </c>
      <c r="D799" s="3">
        <f>IFERROR(__xludf.DUMMYFUNCTION("""COMPUTED_VALUE"""),199.0)</f>
        <v>199</v>
      </c>
      <c r="E799" s="2"/>
      <c r="F799" s="2"/>
    </row>
    <row r="800">
      <c r="A800" s="2">
        <f>IFERROR(__xludf.DUMMYFUNCTION("""COMPUTED_VALUE"""),105178.0)</f>
        <v>105178</v>
      </c>
      <c r="B800" s="2">
        <f>IFERROR(__xludf.DUMMYFUNCTION("""COMPUTED_VALUE"""),0.0)</f>
        <v>0</v>
      </c>
      <c r="C800" s="2">
        <f>IFERROR(__xludf.DUMMYFUNCTION("""COMPUTED_VALUE"""),194.0)</f>
        <v>194</v>
      </c>
      <c r="D800" s="3">
        <f>IFERROR(__xludf.DUMMYFUNCTION("""COMPUTED_VALUE"""),79.0)</f>
        <v>79</v>
      </c>
      <c r="E800" s="2"/>
      <c r="F800" s="2"/>
    </row>
    <row r="801">
      <c r="A801" s="2">
        <f>IFERROR(__xludf.DUMMYFUNCTION("""COMPUTED_VALUE"""),158445.0)</f>
        <v>158445</v>
      </c>
      <c r="B801" s="2">
        <f>IFERROR(__xludf.DUMMYFUNCTION("""COMPUTED_VALUE"""),0.0)</f>
        <v>0</v>
      </c>
      <c r="C801" s="2">
        <f>IFERROR(__xludf.DUMMYFUNCTION("""COMPUTED_VALUE"""),476.0)</f>
        <v>476</v>
      </c>
      <c r="D801" s="3">
        <f>IFERROR(__xludf.DUMMYFUNCTION("""COMPUTED_VALUE"""),352.0)</f>
        <v>352</v>
      </c>
      <c r="E801" s="2"/>
      <c r="F801" s="2"/>
    </row>
    <row r="802">
      <c r="A802" s="2">
        <f>IFERROR(__xludf.DUMMYFUNCTION("""COMPUTED_VALUE"""),105861.0)</f>
        <v>105861</v>
      </c>
      <c r="B802" s="2">
        <f>IFERROR(__xludf.DUMMYFUNCTION("""COMPUTED_VALUE"""),0.0)</f>
        <v>0</v>
      </c>
      <c r="C802" s="2">
        <f>IFERROR(__xludf.DUMMYFUNCTION("""COMPUTED_VALUE"""),896.0)</f>
        <v>896</v>
      </c>
      <c r="D802" s="3">
        <f>IFERROR(__xludf.DUMMYFUNCTION("""COMPUTED_VALUE"""),158.0)</f>
        <v>158</v>
      </c>
      <c r="E802" s="2"/>
      <c r="F802" s="2"/>
    </row>
    <row r="803">
      <c r="A803" s="2">
        <f>IFERROR(__xludf.DUMMYFUNCTION("""COMPUTED_VALUE"""),28668.0)</f>
        <v>28668</v>
      </c>
      <c r="B803" s="2">
        <f>IFERROR(__xludf.DUMMYFUNCTION("""COMPUTED_VALUE"""),1.0)</f>
        <v>1</v>
      </c>
      <c r="C803" s="2">
        <f>IFERROR(__xludf.DUMMYFUNCTION("""COMPUTED_VALUE"""),71.0)</f>
        <v>71</v>
      </c>
      <c r="D803" s="3">
        <f>IFERROR(__xludf.DUMMYFUNCTION("""COMPUTED_VALUE"""),29.0)</f>
        <v>29</v>
      </c>
      <c r="E803" s="2"/>
      <c r="F803" s="2"/>
    </row>
    <row r="804">
      <c r="A804" s="2">
        <f>IFERROR(__xludf.DUMMYFUNCTION("""COMPUTED_VALUE"""),28661.0)</f>
        <v>28661</v>
      </c>
      <c r="B804" s="2">
        <f>IFERROR(__xludf.DUMMYFUNCTION("""COMPUTED_VALUE"""),1.0)</f>
        <v>1</v>
      </c>
      <c r="C804" s="2">
        <f>IFERROR(__xludf.DUMMYFUNCTION("""COMPUTED_VALUE"""),378.0)</f>
        <v>378</v>
      </c>
      <c r="D804" s="3">
        <f>IFERROR(__xludf.DUMMYFUNCTION("""COMPUTED_VALUE"""),45.0)</f>
        <v>45</v>
      </c>
      <c r="E804" s="2"/>
      <c r="F804" s="2"/>
    </row>
    <row r="805">
      <c r="A805" s="2">
        <f>IFERROR(__xludf.DUMMYFUNCTION("""COMPUTED_VALUE"""),13349.0)</f>
        <v>13349</v>
      </c>
      <c r="B805" s="2">
        <f>IFERROR(__xludf.DUMMYFUNCTION("""COMPUTED_VALUE"""),1.0)</f>
        <v>1</v>
      </c>
      <c r="C805" s="2">
        <f>IFERROR(__xludf.DUMMYFUNCTION("""COMPUTED_VALUE"""),467.0)</f>
        <v>467</v>
      </c>
      <c r="D805" s="3">
        <f>IFERROR(__xludf.DUMMYFUNCTION("""COMPUTED_VALUE"""),284.0)</f>
        <v>284</v>
      </c>
      <c r="E805" s="2"/>
      <c r="F805" s="2"/>
    </row>
    <row r="806">
      <c r="A806" s="2">
        <f>IFERROR(__xludf.DUMMYFUNCTION("""COMPUTED_VALUE"""),1634.0)</f>
        <v>1634</v>
      </c>
      <c r="B806" s="2">
        <f>IFERROR(__xludf.DUMMYFUNCTION("""COMPUTED_VALUE"""),0.0)</f>
        <v>0</v>
      </c>
      <c r="C806" s="2">
        <f>IFERROR(__xludf.DUMMYFUNCTION("""COMPUTED_VALUE"""),602.0)</f>
        <v>602</v>
      </c>
      <c r="D806" s="3">
        <f>IFERROR(__xludf.DUMMYFUNCTION("""COMPUTED_VALUE"""),95.0)</f>
        <v>95</v>
      </c>
      <c r="E806" s="2"/>
      <c r="F806" s="2"/>
    </row>
    <row r="807">
      <c r="A807" s="2">
        <f>IFERROR(__xludf.DUMMYFUNCTION("""COMPUTED_VALUE"""),86524.0)</f>
        <v>86524</v>
      </c>
      <c r="B807" s="2">
        <f>IFERROR(__xludf.DUMMYFUNCTION("""COMPUTED_VALUE"""),0.0)</f>
        <v>0</v>
      </c>
      <c r="C807" s="2">
        <f>IFERROR(__xludf.DUMMYFUNCTION("""COMPUTED_VALUE"""),890.0)</f>
        <v>890</v>
      </c>
      <c r="D807" s="3">
        <f>IFERROR(__xludf.DUMMYFUNCTION("""COMPUTED_VALUE"""),654.0)</f>
        <v>654</v>
      </c>
      <c r="E807" s="2"/>
      <c r="F807" s="2"/>
    </row>
    <row r="808">
      <c r="A808" s="2">
        <f>IFERROR(__xludf.DUMMYFUNCTION("""COMPUTED_VALUE"""),86531.0)</f>
        <v>86531</v>
      </c>
      <c r="B808" s="2">
        <f>IFERROR(__xludf.DUMMYFUNCTION("""COMPUTED_VALUE"""),1.0)</f>
        <v>1</v>
      </c>
      <c r="C808" s="2">
        <f>IFERROR(__xludf.DUMMYFUNCTION("""COMPUTED_VALUE"""),639.0)</f>
        <v>639</v>
      </c>
      <c r="D808" s="3">
        <f>IFERROR(__xludf.DUMMYFUNCTION("""COMPUTED_VALUE"""),339.0)</f>
        <v>339</v>
      </c>
      <c r="E808" s="2"/>
      <c r="F808" s="2"/>
    </row>
    <row r="809">
      <c r="A809" s="2">
        <f>IFERROR(__xludf.DUMMYFUNCTION("""COMPUTED_VALUE"""),95210.0)</f>
        <v>95210</v>
      </c>
      <c r="B809" s="2">
        <f>IFERROR(__xludf.DUMMYFUNCTION("""COMPUTED_VALUE"""),1.0)</f>
        <v>1</v>
      </c>
      <c r="C809" s="2">
        <f>IFERROR(__xludf.DUMMYFUNCTION("""COMPUTED_VALUE"""),982.0)</f>
        <v>982</v>
      </c>
      <c r="D809" s="3">
        <f>IFERROR(__xludf.DUMMYFUNCTION("""COMPUTED_VALUE"""),55.0)</f>
        <v>55</v>
      </c>
      <c r="E809" s="2"/>
      <c r="F809" s="2"/>
    </row>
    <row r="810">
      <c r="A810" s="2">
        <f>IFERROR(__xludf.DUMMYFUNCTION("""COMPUTED_VALUE"""),158450.0)</f>
        <v>158450</v>
      </c>
      <c r="B810" s="2">
        <f>IFERROR(__xludf.DUMMYFUNCTION("""COMPUTED_VALUE"""),1.0)</f>
        <v>1</v>
      </c>
      <c r="C810" s="2">
        <f>IFERROR(__xludf.DUMMYFUNCTION("""COMPUTED_VALUE"""),143.0)</f>
        <v>143</v>
      </c>
      <c r="D810" s="3">
        <f>IFERROR(__xludf.DUMMYFUNCTION("""COMPUTED_VALUE"""),124.0)</f>
        <v>124</v>
      </c>
      <c r="E810" s="2"/>
      <c r="F810" s="2"/>
    </row>
    <row r="811">
      <c r="A811" s="2">
        <f>IFERROR(__xludf.DUMMYFUNCTION("""COMPUTED_VALUE"""),103080.0)</f>
        <v>103080</v>
      </c>
      <c r="B811" s="2">
        <f>IFERROR(__xludf.DUMMYFUNCTION("""COMPUTED_VALUE"""),0.0)</f>
        <v>0</v>
      </c>
      <c r="C811" s="2">
        <f>IFERROR(__xludf.DUMMYFUNCTION("""COMPUTED_VALUE"""),637.0)</f>
        <v>637</v>
      </c>
      <c r="D811" s="3">
        <f>IFERROR(__xludf.DUMMYFUNCTION("""COMPUTED_VALUE"""),592.0)</f>
        <v>592</v>
      </c>
      <c r="E811" s="2"/>
      <c r="F811" s="2"/>
    </row>
    <row r="812">
      <c r="A812" s="2">
        <f>IFERROR(__xludf.DUMMYFUNCTION("""COMPUTED_VALUE"""),121067.0)</f>
        <v>121067</v>
      </c>
      <c r="B812" s="2">
        <f>IFERROR(__xludf.DUMMYFUNCTION("""COMPUTED_VALUE"""),0.0)</f>
        <v>0</v>
      </c>
      <c r="C812" s="2">
        <f>IFERROR(__xludf.DUMMYFUNCTION("""COMPUTED_VALUE"""),395.0)</f>
        <v>395</v>
      </c>
      <c r="D812" s="3">
        <f>IFERROR(__xludf.DUMMYFUNCTION("""COMPUTED_VALUE"""),294.0)</f>
        <v>294</v>
      </c>
      <c r="E812" s="2"/>
      <c r="F812" s="2"/>
    </row>
    <row r="813">
      <c r="A813" s="2">
        <f>IFERROR(__xludf.DUMMYFUNCTION("""COMPUTED_VALUE"""),41513.0)</f>
        <v>41513</v>
      </c>
      <c r="B813" s="2">
        <f>IFERROR(__xludf.DUMMYFUNCTION("""COMPUTED_VALUE"""),1.0)</f>
        <v>1</v>
      </c>
      <c r="C813" s="2">
        <f>IFERROR(__xludf.DUMMYFUNCTION("""COMPUTED_VALUE"""),821.0)</f>
        <v>821</v>
      </c>
      <c r="D813" s="3">
        <f>IFERROR(__xludf.DUMMYFUNCTION("""COMPUTED_VALUE"""),50.0)</f>
        <v>50</v>
      </c>
      <c r="E813" s="2"/>
      <c r="F813" s="2"/>
    </row>
    <row r="814">
      <c r="A814" s="2">
        <f>IFERROR(__xludf.DUMMYFUNCTION("""COMPUTED_VALUE"""),166089.0)</f>
        <v>166089</v>
      </c>
      <c r="B814" s="2">
        <f>IFERROR(__xludf.DUMMYFUNCTION("""COMPUTED_VALUE"""),1.0)</f>
        <v>1</v>
      </c>
      <c r="C814" s="2">
        <f>IFERROR(__xludf.DUMMYFUNCTION("""COMPUTED_VALUE"""),138.0)</f>
        <v>138</v>
      </c>
      <c r="D814" s="3">
        <f>IFERROR(__xludf.DUMMYFUNCTION("""COMPUTED_VALUE"""),49.0)</f>
        <v>49</v>
      </c>
      <c r="E814" s="2"/>
      <c r="F814" s="2"/>
    </row>
    <row r="815">
      <c r="A815" s="2">
        <f>IFERROR(__xludf.DUMMYFUNCTION("""COMPUTED_VALUE"""),26446.0)</f>
        <v>26446</v>
      </c>
      <c r="B815" s="2">
        <f>IFERROR(__xludf.DUMMYFUNCTION("""COMPUTED_VALUE"""),1.0)</f>
        <v>1</v>
      </c>
      <c r="C815" s="2">
        <f>IFERROR(__xludf.DUMMYFUNCTION("""COMPUTED_VALUE"""),785.0)</f>
        <v>785</v>
      </c>
      <c r="D815" s="3">
        <f>IFERROR(__xludf.DUMMYFUNCTION("""COMPUTED_VALUE"""),442.0)</f>
        <v>442</v>
      </c>
      <c r="E815" s="2"/>
      <c r="F815" s="2"/>
    </row>
    <row r="816">
      <c r="A816" s="2">
        <f>IFERROR(__xludf.DUMMYFUNCTION("""COMPUTED_VALUE"""),13350.0)</f>
        <v>13350</v>
      </c>
      <c r="B816" s="2">
        <f>IFERROR(__xludf.DUMMYFUNCTION("""COMPUTED_VALUE"""),1.0)</f>
        <v>1</v>
      </c>
      <c r="C816" s="2">
        <f>IFERROR(__xludf.DUMMYFUNCTION("""COMPUTED_VALUE"""),793.0)</f>
        <v>793</v>
      </c>
      <c r="D816" s="3">
        <f>IFERROR(__xludf.DUMMYFUNCTION("""COMPUTED_VALUE"""),603.0)</f>
        <v>603</v>
      </c>
      <c r="E816" s="2"/>
      <c r="F816" s="2"/>
    </row>
    <row r="817">
      <c r="A817" s="2">
        <f>IFERROR(__xludf.DUMMYFUNCTION("""COMPUTED_VALUE"""),111728.0)</f>
        <v>111728</v>
      </c>
      <c r="B817" s="2">
        <f>IFERROR(__xludf.DUMMYFUNCTION("""COMPUTED_VALUE"""),1.0)</f>
        <v>1</v>
      </c>
      <c r="C817" s="2">
        <f>IFERROR(__xludf.DUMMYFUNCTION("""COMPUTED_VALUE"""),897.0)</f>
        <v>897</v>
      </c>
      <c r="D817" s="3">
        <f>IFERROR(__xludf.DUMMYFUNCTION("""COMPUTED_VALUE"""),413.0)</f>
        <v>413</v>
      </c>
      <c r="E817" s="2"/>
      <c r="F817" s="2"/>
    </row>
    <row r="818">
      <c r="A818" s="2">
        <f>IFERROR(__xludf.DUMMYFUNCTION("""COMPUTED_VALUE"""),28883.0)</f>
        <v>28883</v>
      </c>
      <c r="B818" s="2">
        <f>IFERROR(__xludf.DUMMYFUNCTION("""COMPUTED_VALUE"""),0.0)</f>
        <v>0</v>
      </c>
      <c r="C818" s="2">
        <f>IFERROR(__xludf.DUMMYFUNCTION("""COMPUTED_VALUE"""),51.0)</f>
        <v>51</v>
      </c>
      <c r="D818" s="3">
        <f>IFERROR(__xludf.DUMMYFUNCTION("""COMPUTED_VALUE"""),33.0)</f>
        <v>33</v>
      </c>
      <c r="E818" s="2"/>
      <c r="F818" s="2"/>
    </row>
    <row r="819">
      <c r="A819" s="2">
        <f>IFERROR(__xludf.DUMMYFUNCTION("""COMPUTED_VALUE"""),121068.0)</f>
        <v>121068</v>
      </c>
      <c r="B819" s="2">
        <f>IFERROR(__xludf.DUMMYFUNCTION("""COMPUTED_VALUE"""),1.0)</f>
        <v>1</v>
      </c>
      <c r="C819" s="2">
        <f>IFERROR(__xludf.DUMMYFUNCTION("""COMPUTED_VALUE"""),201.0)</f>
        <v>201</v>
      </c>
      <c r="D819" s="3">
        <f>IFERROR(__xludf.DUMMYFUNCTION("""COMPUTED_VALUE"""),196.0)</f>
        <v>196</v>
      </c>
      <c r="E819" s="2"/>
      <c r="F819" s="2"/>
    </row>
    <row r="820">
      <c r="A820" s="2">
        <f>IFERROR(__xludf.DUMMYFUNCTION("""COMPUTED_VALUE"""),181499.0)</f>
        <v>181499</v>
      </c>
      <c r="B820" s="2">
        <f>IFERROR(__xludf.DUMMYFUNCTION("""COMPUTED_VALUE"""),0.0)</f>
        <v>0</v>
      </c>
      <c r="C820" s="2">
        <f>IFERROR(__xludf.DUMMYFUNCTION("""COMPUTED_VALUE"""),91.0)</f>
        <v>91</v>
      </c>
      <c r="D820" s="3">
        <f>IFERROR(__xludf.DUMMYFUNCTION("""COMPUTED_VALUE"""),21.0)</f>
        <v>21</v>
      </c>
      <c r="E820" s="2"/>
      <c r="F820" s="2"/>
    </row>
    <row r="821">
      <c r="A821" s="2">
        <f>IFERROR(__xludf.DUMMYFUNCTION("""COMPUTED_VALUE"""),16097.0)</f>
        <v>16097</v>
      </c>
      <c r="B821" s="2">
        <f>IFERROR(__xludf.DUMMYFUNCTION("""COMPUTED_VALUE"""),0.0)</f>
        <v>0</v>
      </c>
      <c r="C821" s="2">
        <f>IFERROR(__xludf.DUMMYFUNCTION("""COMPUTED_VALUE"""),487.0)</f>
        <v>487</v>
      </c>
      <c r="D821" s="3">
        <f>IFERROR(__xludf.DUMMYFUNCTION("""COMPUTED_VALUE"""),17.0)</f>
        <v>17</v>
      </c>
      <c r="E821" s="2"/>
      <c r="F821" s="2"/>
    </row>
    <row r="822">
      <c r="A822" s="2">
        <f>IFERROR(__xludf.DUMMYFUNCTION("""COMPUTED_VALUE"""),117247.0)</f>
        <v>117247</v>
      </c>
      <c r="B822" s="2">
        <f>IFERROR(__xludf.DUMMYFUNCTION("""COMPUTED_VALUE"""),0.0)</f>
        <v>0</v>
      </c>
      <c r="C822" s="2">
        <f>IFERROR(__xludf.DUMMYFUNCTION("""COMPUTED_VALUE"""),790.0)</f>
        <v>790</v>
      </c>
      <c r="D822" s="3">
        <f>IFERROR(__xludf.DUMMYFUNCTION("""COMPUTED_VALUE"""),485.0)</f>
        <v>485</v>
      </c>
      <c r="E822" s="2"/>
      <c r="F822" s="2"/>
    </row>
    <row r="823">
      <c r="A823" s="2">
        <f>IFERROR(__xludf.DUMMYFUNCTION("""COMPUTED_VALUE"""),1732.0)</f>
        <v>1732</v>
      </c>
      <c r="B823" s="2">
        <f>IFERROR(__xludf.DUMMYFUNCTION("""COMPUTED_VALUE"""),1.0)</f>
        <v>1</v>
      </c>
      <c r="C823" s="2">
        <f>IFERROR(__xludf.DUMMYFUNCTION("""COMPUTED_VALUE"""),852.0)</f>
        <v>852</v>
      </c>
      <c r="D823" s="3">
        <f>IFERROR(__xludf.DUMMYFUNCTION("""COMPUTED_VALUE"""),163.0)</f>
        <v>163</v>
      </c>
      <c r="E823" s="2"/>
      <c r="F823" s="2"/>
    </row>
    <row r="824">
      <c r="A824" s="2">
        <f>IFERROR(__xludf.DUMMYFUNCTION("""COMPUTED_VALUE"""),105174.0)</f>
        <v>105174</v>
      </c>
      <c r="B824" s="2">
        <f>IFERROR(__xludf.DUMMYFUNCTION("""COMPUTED_VALUE"""),1.0)</f>
        <v>1</v>
      </c>
      <c r="C824" s="2">
        <f>IFERROR(__xludf.DUMMYFUNCTION("""COMPUTED_VALUE"""),889.0)</f>
        <v>889</v>
      </c>
      <c r="D824" s="3">
        <f>IFERROR(__xludf.DUMMYFUNCTION("""COMPUTED_VALUE"""),206.0)</f>
        <v>206</v>
      </c>
      <c r="E824" s="2"/>
      <c r="F824" s="2"/>
    </row>
    <row r="825">
      <c r="A825" s="2">
        <f>IFERROR(__xludf.DUMMYFUNCTION("""COMPUTED_VALUE"""),128357.0)</f>
        <v>128357</v>
      </c>
      <c r="B825" s="2">
        <f>IFERROR(__xludf.DUMMYFUNCTION("""COMPUTED_VALUE"""),0.0)</f>
        <v>0</v>
      </c>
      <c r="C825" s="2">
        <f>IFERROR(__xludf.DUMMYFUNCTION("""COMPUTED_VALUE"""),565.0)</f>
        <v>565</v>
      </c>
      <c r="D825" s="3">
        <f>IFERROR(__xludf.DUMMYFUNCTION("""COMPUTED_VALUE"""),398.0)</f>
        <v>398</v>
      </c>
      <c r="E825" s="2"/>
      <c r="F825" s="2"/>
    </row>
    <row r="826">
      <c r="A826" s="2">
        <f>IFERROR(__xludf.DUMMYFUNCTION("""COMPUTED_VALUE"""),166090.0)</f>
        <v>166090</v>
      </c>
      <c r="B826" s="2">
        <f>IFERROR(__xludf.DUMMYFUNCTION("""COMPUTED_VALUE"""),1.0)</f>
        <v>1</v>
      </c>
      <c r="C826" s="2">
        <f>IFERROR(__xludf.DUMMYFUNCTION("""COMPUTED_VALUE"""),811.0)</f>
        <v>811</v>
      </c>
      <c r="D826" s="3">
        <f>IFERROR(__xludf.DUMMYFUNCTION("""COMPUTED_VALUE"""),468.0)</f>
        <v>468</v>
      </c>
      <c r="E826" s="2"/>
      <c r="F826" s="2"/>
    </row>
    <row r="827">
      <c r="A827" s="2">
        <f>IFERROR(__xludf.DUMMYFUNCTION("""COMPUTED_VALUE"""),121070.0)</f>
        <v>121070</v>
      </c>
      <c r="B827" s="2">
        <f>IFERROR(__xludf.DUMMYFUNCTION("""COMPUTED_VALUE"""),1.0)</f>
        <v>1</v>
      </c>
      <c r="C827" s="2">
        <f>IFERROR(__xludf.DUMMYFUNCTION("""COMPUTED_VALUE"""),332.0)</f>
        <v>332</v>
      </c>
      <c r="D827" s="3">
        <f>IFERROR(__xludf.DUMMYFUNCTION("""COMPUTED_VALUE"""),240.0)</f>
        <v>240</v>
      </c>
      <c r="E827" s="2"/>
      <c r="F827" s="2"/>
    </row>
    <row r="828">
      <c r="A828" s="2">
        <f>IFERROR(__xludf.DUMMYFUNCTION("""COMPUTED_VALUE"""),80818.0)</f>
        <v>80818</v>
      </c>
      <c r="B828" s="2">
        <f>IFERROR(__xludf.DUMMYFUNCTION("""COMPUTED_VALUE"""),1.0)</f>
        <v>1</v>
      </c>
      <c r="C828" s="2">
        <f>IFERROR(__xludf.DUMMYFUNCTION("""COMPUTED_VALUE"""),631.0)</f>
        <v>631</v>
      </c>
      <c r="D828" s="3">
        <f>IFERROR(__xludf.DUMMYFUNCTION("""COMPUTED_VALUE"""),206.0)</f>
        <v>206</v>
      </c>
      <c r="E828" s="2"/>
      <c r="F828" s="2"/>
    </row>
    <row r="829">
      <c r="A829" s="2">
        <f>IFERROR(__xludf.DUMMYFUNCTION("""COMPUTED_VALUE"""),13367.0)</f>
        <v>13367</v>
      </c>
      <c r="B829" s="2">
        <f>IFERROR(__xludf.DUMMYFUNCTION("""COMPUTED_VALUE"""),1.0)</f>
        <v>1</v>
      </c>
      <c r="C829" s="2">
        <f>IFERROR(__xludf.DUMMYFUNCTION("""COMPUTED_VALUE"""),992.0)</f>
        <v>992</v>
      </c>
      <c r="D829" s="3">
        <f>IFERROR(__xludf.DUMMYFUNCTION("""COMPUTED_VALUE"""),718.0)</f>
        <v>718</v>
      </c>
      <c r="E829" s="2"/>
      <c r="F829" s="2"/>
    </row>
    <row r="830">
      <c r="A830" s="2">
        <f>IFERROR(__xludf.DUMMYFUNCTION("""COMPUTED_VALUE"""),44329.0)</f>
        <v>44329</v>
      </c>
      <c r="B830" s="2">
        <f>IFERROR(__xludf.DUMMYFUNCTION("""COMPUTED_VALUE"""),0.0)</f>
        <v>0</v>
      </c>
      <c r="C830" s="2">
        <f>IFERROR(__xludf.DUMMYFUNCTION("""COMPUTED_VALUE"""),350.0)</f>
        <v>350</v>
      </c>
      <c r="D830" s="3">
        <f>IFERROR(__xludf.DUMMYFUNCTION("""COMPUTED_VALUE"""),156.0)</f>
        <v>156</v>
      </c>
      <c r="E830" s="2"/>
      <c r="F830" s="2"/>
    </row>
    <row r="831">
      <c r="A831" s="2">
        <f>IFERROR(__xludf.DUMMYFUNCTION("""COMPUTED_VALUE"""),70879.0)</f>
        <v>70879</v>
      </c>
      <c r="B831" s="2">
        <f>IFERROR(__xludf.DUMMYFUNCTION("""COMPUTED_VALUE"""),0.0)</f>
        <v>0</v>
      </c>
      <c r="C831" s="2">
        <f>IFERROR(__xludf.DUMMYFUNCTION("""COMPUTED_VALUE"""),343.0)</f>
        <v>343</v>
      </c>
      <c r="D831" s="3">
        <f>IFERROR(__xludf.DUMMYFUNCTION("""COMPUTED_VALUE"""),152.0)</f>
        <v>152</v>
      </c>
      <c r="E831" s="2"/>
      <c r="F831" s="2"/>
    </row>
    <row r="832">
      <c r="A832" s="2">
        <f>IFERROR(__xludf.DUMMYFUNCTION("""COMPUTED_VALUE"""),99266.0)</f>
        <v>99266</v>
      </c>
      <c r="B832" s="2">
        <f>IFERROR(__xludf.DUMMYFUNCTION("""COMPUTED_VALUE"""),0.0)</f>
        <v>0</v>
      </c>
      <c r="C832" s="2">
        <f>IFERROR(__xludf.DUMMYFUNCTION("""COMPUTED_VALUE"""),964.0)</f>
        <v>964</v>
      </c>
      <c r="D832" s="3">
        <f>IFERROR(__xludf.DUMMYFUNCTION("""COMPUTED_VALUE"""),509.0)</f>
        <v>509</v>
      </c>
      <c r="E832" s="2"/>
      <c r="F832" s="2"/>
    </row>
    <row r="833">
      <c r="A833" s="2">
        <f>IFERROR(__xludf.DUMMYFUNCTION("""COMPUTED_VALUE"""),88216.0)</f>
        <v>88216</v>
      </c>
      <c r="B833" s="2">
        <f>IFERROR(__xludf.DUMMYFUNCTION("""COMPUTED_VALUE"""),1.0)</f>
        <v>1</v>
      </c>
      <c r="C833" s="2">
        <f>IFERROR(__xludf.DUMMYFUNCTION("""COMPUTED_VALUE"""),935.0)</f>
        <v>935</v>
      </c>
      <c r="D833" s="3">
        <f>IFERROR(__xludf.DUMMYFUNCTION("""COMPUTED_VALUE"""),349.0)</f>
        <v>349</v>
      </c>
      <c r="E833" s="2"/>
      <c r="F833" s="2"/>
    </row>
    <row r="834">
      <c r="A834" s="2">
        <f>IFERROR(__xludf.DUMMYFUNCTION("""COMPUTED_VALUE"""),28590.0)</f>
        <v>28590</v>
      </c>
      <c r="B834" s="2">
        <f>IFERROR(__xludf.DUMMYFUNCTION("""COMPUTED_VALUE"""),1.0)</f>
        <v>1</v>
      </c>
      <c r="C834" s="2">
        <f>IFERROR(__xludf.DUMMYFUNCTION("""COMPUTED_VALUE"""),462.0)</f>
        <v>462</v>
      </c>
      <c r="D834" s="3">
        <f>IFERROR(__xludf.DUMMYFUNCTION("""COMPUTED_VALUE"""),233.0)</f>
        <v>233</v>
      </c>
      <c r="E834" s="2"/>
      <c r="F834" s="2"/>
    </row>
    <row r="835">
      <c r="A835" s="2">
        <f>IFERROR(__xludf.DUMMYFUNCTION("""COMPUTED_VALUE"""),88215.0)</f>
        <v>88215</v>
      </c>
      <c r="B835" s="2">
        <f>IFERROR(__xludf.DUMMYFUNCTION("""COMPUTED_VALUE"""),1.0)</f>
        <v>1</v>
      </c>
      <c r="C835" s="2">
        <f>IFERROR(__xludf.DUMMYFUNCTION("""COMPUTED_VALUE"""),380.0)</f>
        <v>380</v>
      </c>
      <c r="D835" s="3">
        <f>IFERROR(__xludf.DUMMYFUNCTION("""COMPUTED_VALUE"""),160.0)</f>
        <v>160</v>
      </c>
      <c r="E835" s="2"/>
      <c r="F835" s="2"/>
    </row>
    <row r="836">
      <c r="A836" s="2">
        <f>IFERROR(__xludf.DUMMYFUNCTION("""COMPUTED_VALUE"""),81771.0)</f>
        <v>81771</v>
      </c>
      <c r="B836" s="2">
        <f>IFERROR(__xludf.DUMMYFUNCTION("""COMPUTED_VALUE"""),1.0)</f>
        <v>1</v>
      </c>
      <c r="C836" s="2">
        <f>IFERROR(__xludf.DUMMYFUNCTION("""COMPUTED_VALUE"""),255.0)</f>
        <v>255</v>
      </c>
      <c r="D836" s="3">
        <f>IFERROR(__xludf.DUMMYFUNCTION("""COMPUTED_VALUE"""),5.0)</f>
        <v>5</v>
      </c>
      <c r="E836" s="2"/>
      <c r="F836" s="2"/>
    </row>
    <row r="837">
      <c r="A837" s="2">
        <f>IFERROR(__xludf.DUMMYFUNCTION("""COMPUTED_VALUE"""),194520.0)</f>
        <v>194520</v>
      </c>
      <c r="B837" s="2">
        <f>IFERROR(__xludf.DUMMYFUNCTION("""COMPUTED_VALUE"""),1.0)</f>
        <v>1</v>
      </c>
      <c r="C837" s="2">
        <f>IFERROR(__xludf.DUMMYFUNCTION("""COMPUTED_VALUE"""),287.0)</f>
        <v>287</v>
      </c>
      <c r="D837" s="3">
        <f>IFERROR(__xludf.DUMMYFUNCTION("""COMPUTED_VALUE"""),237.0)</f>
        <v>237</v>
      </c>
      <c r="E837" s="2"/>
      <c r="F837" s="2"/>
    </row>
    <row r="838">
      <c r="A838" s="2">
        <f>IFERROR(__xludf.DUMMYFUNCTION("""COMPUTED_VALUE"""),5901.0)</f>
        <v>5901</v>
      </c>
      <c r="B838" s="2">
        <f>IFERROR(__xludf.DUMMYFUNCTION("""COMPUTED_VALUE"""),1.0)</f>
        <v>1</v>
      </c>
      <c r="C838" s="2">
        <f>IFERROR(__xludf.DUMMYFUNCTION("""COMPUTED_VALUE"""),748.0)</f>
        <v>748</v>
      </c>
      <c r="D838" s="3">
        <f>IFERROR(__xludf.DUMMYFUNCTION("""COMPUTED_VALUE"""),245.0)</f>
        <v>245</v>
      </c>
      <c r="E838" s="2"/>
      <c r="F838" s="2"/>
    </row>
    <row r="839">
      <c r="A839" s="2">
        <f>IFERROR(__xludf.DUMMYFUNCTION("""COMPUTED_VALUE"""),156054.0)</f>
        <v>156054</v>
      </c>
      <c r="B839" s="2">
        <f>IFERROR(__xludf.DUMMYFUNCTION("""COMPUTED_VALUE"""),0.0)</f>
        <v>0</v>
      </c>
      <c r="C839" s="2">
        <f>IFERROR(__xludf.DUMMYFUNCTION("""COMPUTED_VALUE"""),196.0)</f>
        <v>196</v>
      </c>
      <c r="D839" s="3">
        <f>IFERROR(__xludf.DUMMYFUNCTION("""COMPUTED_VALUE"""),140.0)</f>
        <v>140</v>
      </c>
      <c r="E839" s="2"/>
      <c r="F839" s="2"/>
    </row>
    <row r="840">
      <c r="A840" s="2">
        <f>IFERROR(__xludf.DUMMYFUNCTION("""COMPUTED_VALUE"""),5869.0)</f>
        <v>5869</v>
      </c>
      <c r="B840" s="2">
        <f>IFERROR(__xludf.DUMMYFUNCTION("""COMPUTED_VALUE"""),1.0)</f>
        <v>1</v>
      </c>
      <c r="C840" s="2">
        <f>IFERROR(__xludf.DUMMYFUNCTION("""COMPUTED_VALUE"""),961.0)</f>
        <v>961</v>
      </c>
      <c r="D840" s="3">
        <f>IFERROR(__xludf.DUMMYFUNCTION("""COMPUTED_VALUE"""),651.0)</f>
        <v>651</v>
      </c>
      <c r="E840" s="2"/>
      <c r="F840" s="2"/>
    </row>
    <row r="841">
      <c r="A841" s="2">
        <f>IFERROR(__xludf.DUMMYFUNCTION("""COMPUTED_VALUE"""),7343.0)</f>
        <v>7343</v>
      </c>
      <c r="B841" s="2">
        <f>IFERROR(__xludf.DUMMYFUNCTION("""COMPUTED_VALUE"""),0.0)</f>
        <v>0</v>
      </c>
      <c r="C841" s="2">
        <f>IFERROR(__xludf.DUMMYFUNCTION("""COMPUTED_VALUE"""),96.0)</f>
        <v>96</v>
      </c>
      <c r="D841" s="3">
        <f>IFERROR(__xludf.DUMMYFUNCTION("""COMPUTED_VALUE"""),69.0)</f>
        <v>69</v>
      </c>
      <c r="E841" s="2"/>
      <c r="F841" s="2"/>
    </row>
    <row r="842">
      <c r="A842" s="2">
        <f>IFERROR(__xludf.DUMMYFUNCTION("""COMPUTED_VALUE"""),88218.0)</f>
        <v>88218</v>
      </c>
      <c r="B842" s="2">
        <f>IFERROR(__xludf.DUMMYFUNCTION("""COMPUTED_VALUE"""),0.0)</f>
        <v>0</v>
      </c>
      <c r="C842" s="2">
        <f>IFERROR(__xludf.DUMMYFUNCTION("""COMPUTED_VALUE"""),96.0)</f>
        <v>96</v>
      </c>
      <c r="D842" s="3">
        <f>IFERROR(__xludf.DUMMYFUNCTION("""COMPUTED_VALUE"""),81.0)</f>
        <v>81</v>
      </c>
      <c r="E842" s="2"/>
      <c r="F842" s="2"/>
    </row>
    <row r="843">
      <c r="A843" s="2">
        <f>IFERROR(__xludf.DUMMYFUNCTION("""COMPUTED_VALUE"""),99263.0)</f>
        <v>99263</v>
      </c>
      <c r="B843" s="2">
        <f>IFERROR(__xludf.DUMMYFUNCTION("""COMPUTED_VALUE"""),1.0)</f>
        <v>1</v>
      </c>
      <c r="C843" s="2">
        <f>IFERROR(__xludf.DUMMYFUNCTION("""COMPUTED_VALUE"""),789.0)</f>
        <v>789</v>
      </c>
      <c r="D843" s="3">
        <f>IFERROR(__xludf.DUMMYFUNCTION("""COMPUTED_VALUE"""),641.0)</f>
        <v>641</v>
      </c>
      <c r="E843" s="2"/>
      <c r="F843" s="2"/>
    </row>
    <row r="844">
      <c r="A844" s="2">
        <f>IFERROR(__xludf.DUMMYFUNCTION("""COMPUTED_VALUE"""),7357.0)</f>
        <v>7357</v>
      </c>
      <c r="B844" s="2">
        <f>IFERROR(__xludf.DUMMYFUNCTION("""COMPUTED_VALUE"""),1.0)</f>
        <v>1</v>
      </c>
      <c r="C844" s="2">
        <f>IFERROR(__xludf.DUMMYFUNCTION("""COMPUTED_VALUE"""),208.0)</f>
        <v>208</v>
      </c>
      <c r="D844" s="3">
        <f>IFERROR(__xludf.DUMMYFUNCTION("""COMPUTED_VALUE"""),195.0)</f>
        <v>195</v>
      </c>
      <c r="E844" s="2"/>
      <c r="F844" s="2"/>
    </row>
    <row r="845">
      <c r="A845" s="2">
        <f>IFERROR(__xludf.DUMMYFUNCTION("""COMPUTED_VALUE"""),28591.0)</f>
        <v>28591</v>
      </c>
      <c r="B845" s="2">
        <f>IFERROR(__xludf.DUMMYFUNCTION("""COMPUTED_VALUE"""),1.0)</f>
        <v>1</v>
      </c>
      <c r="C845" s="2">
        <f>IFERROR(__xludf.DUMMYFUNCTION("""COMPUTED_VALUE"""),399.0)</f>
        <v>399</v>
      </c>
      <c r="D845" s="3">
        <f>IFERROR(__xludf.DUMMYFUNCTION("""COMPUTED_VALUE"""),240.0)</f>
        <v>240</v>
      </c>
      <c r="E845" s="2"/>
      <c r="F845" s="2"/>
    </row>
    <row r="846">
      <c r="A846" s="2">
        <f>IFERROR(__xludf.DUMMYFUNCTION("""COMPUTED_VALUE"""),5871.0)</f>
        <v>5871</v>
      </c>
      <c r="B846" s="2">
        <f>IFERROR(__xludf.DUMMYFUNCTION("""COMPUTED_VALUE"""),1.0)</f>
        <v>1</v>
      </c>
      <c r="C846" s="2">
        <f>IFERROR(__xludf.DUMMYFUNCTION("""COMPUTED_VALUE"""),846.0)</f>
        <v>846</v>
      </c>
      <c r="D846" s="3">
        <f>IFERROR(__xludf.DUMMYFUNCTION("""COMPUTED_VALUE"""),214.0)</f>
        <v>214</v>
      </c>
      <c r="E846" s="2"/>
      <c r="F846" s="2"/>
    </row>
    <row r="847">
      <c r="A847" s="2">
        <f>IFERROR(__xludf.DUMMYFUNCTION("""COMPUTED_VALUE"""),81772.0)</f>
        <v>81772</v>
      </c>
      <c r="B847" s="2">
        <f>IFERROR(__xludf.DUMMYFUNCTION("""COMPUTED_VALUE"""),1.0)</f>
        <v>1</v>
      </c>
      <c r="C847" s="2">
        <f>IFERROR(__xludf.DUMMYFUNCTION("""COMPUTED_VALUE"""),889.0)</f>
        <v>889</v>
      </c>
      <c r="D847" s="3">
        <f>IFERROR(__xludf.DUMMYFUNCTION("""COMPUTED_VALUE"""),123.0)</f>
        <v>123</v>
      </c>
      <c r="E847" s="2"/>
      <c r="F847" s="2"/>
    </row>
    <row r="848">
      <c r="A848" s="2">
        <f>IFERROR(__xludf.DUMMYFUNCTION("""COMPUTED_VALUE"""),110587.0)</f>
        <v>110587</v>
      </c>
      <c r="B848" s="2">
        <f>IFERROR(__xludf.DUMMYFUNCTION("""COMPUTED_VALUE"""),0.0)</f>
        <v>0</v>
      </c>
      <c r="C848" s="2">
        <f>IFERROR(__xludf.DUMMYFUNCTION("""COMPUTED_VALUE"""),13.0)</f>
        <v>13</v>
      </c>
      <c r="D848" s="3">
        <f>IFERROR(__xludf.DUMMYFUNCTION("""COMPUTED_VALUE"""),0.0)</f>
        <v>0</v>
      </c>
      <c r="E848" s="2"/>
      <c r="F848" s="2"/>
    </row>
    <row r="849">
      <c r="A849" s="2">
        <f>IFERROR(__xludf.DUMMYFUNCTION("""COMPUTED_VALUE"""),5870.0)</f>
        <v>5870</v>
      </c>
      <c r="B849" s="2">
        <f>IFERROR(__xludf.DUMMYFUNCTION("""COMPUTED_VALUE"""),1.0)</f>
        <v>1</v>
      </c>
      <c r="C849" s="2">
        <f>IFERROR(__xludf.DUMMYFUNCTION("""COMPUTED_VALUE"""),852.0)</f>
        <v>852</v>
      </c>
      <c r="D849" s="3">
        <f>IFERROR(__xludf.DUMMYFUNCTION("""COMPUTED_VALUE"""),294.0)</f>
        <v>294</v>
      </c>
      <c r="E849" s="2"/>
      <c r="F849" s="2"/>
    </row>
    <row r="850">
      <c r="A850" s="2">
        <f>IFERROR(__xludf.DUMMYFUNCTION("""COMPUTED_VALUE"""),158444.0)</f>
        <v>158444</v>
      </c>
      <c r="B850" s="2">
        <f>IFERROR(__xludf.DUMMYFUNCTION("""COMPUTED_VALUE"""),1.0)</f>
        <v>1</v>
      </c>
      <c r="C850" s="2">
        <f>IFERROR(__xludf.DUMMYFUNCTION("""COMPUTED_VALUE"""),846.0)</f>
        <v>846</v>
      </c>
      <c r="D850" s="3">
        <f>IFERROR(__xludf.DUMMYFUNCTION("""COMPUTED_VALUE"""),545.0)</f>
        <v>545</v>
      </c>
      <c r="E850" s="2"/>
      <c r="F850" s="2"/>
    </row>
    <row r="851">
      <c r="A851" s="2">
        <f>IFERROR(__xludf.DUMMYFUNCTION("""COMPUTED_VALUE"""),80785.0)</f>
        <v>80785</v>
      </c>
      <c r="B851" s="2">
        <f>IFERROR(__xludf.DUMMYFUNCTION("""COMPUTED_VALUE"""),0.0)</f>
        <v>0</v>
      </c>
      <c r="C851" s="2">
        <f>IFERROR(__xludf.DUMMYFUNCTION("""COMPUTED_VALUE"""),363.0)</f>
        <v>363</v>
      </c>
      <c r="D851" s="3">
        <f>IFERROR(__xludf.DUMMYFUNCTION("""COMPUTED_VALUE"""),336.0)</f>
        <v>336</v>
      </c>
      <c r="E851" s="2"/>
      <c r="F851" s="2"/>
    </row>
    <row r="852">
      <c r="A852" s="2">
        <f>IFERROR(__xludf.DUMMYFUNCTION("""COMPUTED_VALUE"""),110586.0)</f>
        <v>110586</v>
      </c>
      <c r="B852" s="2">
        <f>IFERROR(__xludf.DUMMYFUNCTION("""COMPUTED_VALUE"""),1.0)</f>
        <v>1</v>
      </c>
      <c r="C852" s="2">
        <f>IFERROR(__xludf.DUMMYFUNCTION("""COMPUTED_VALUE"""),721.0)</f>
        <v>721</v>
      </c>
      <c r="D852" s="3">
        <f>IFERROR(__xludf.DUMMYFUNCTION("""COMPUTED_VALUE"""),95.0)</f>
        <v>95</v>
      </c>
      <c r="E852" s="2"/>
      <c r="F852" s="2"/>
    </row>
    <row r="853">
      <c r="A853" s="2">
        <f>IFERROR(__xludf.DUMMYFUNCTION("""COMPUTED_VALUE"""),99264.0)</f>
        <v>99264</v>
      </c>
      <c r="B853" s="2">
        <f>IFERROR(__xludf.DUMMYFUNCTION("""COMPUTED_VALUE"""),1.0)</f>
        <v>1</v>
      </c>
      <c r="C853" s="2">
        <f>IFERROR(__xludf.DUMMYFUNCTION("""COMPUTED_VALUE"""),697.0)</f>
        <v>697</v>
      </c>
      <c r="D853" s="3">
        <f>IFERROR(__xludf.DUMMYFUNCTION("""COMPUTED_VALUE"""),618.0)</f>
        <v>618</v>
      </c>
      <c r="E853" s="2"/>
      <c r="F853" s="2"/>
    </row>
    <row r="854">
      <c r="A854" s="2">
        <f>IFERROR(__xludf.DUMMYFUNCTION("""COMPUTED_VALUE"""),110977.0)</f>
        <v>110977</v>
      </c>
      <c r="B854" s="2">
        <f>IFERROR(__xludf.DUMMYFUNCTION("""COMPUTED_VALUE"""),0.0)</f>
        <v>0</v>
      </c>
      <c r="C854" s="2">
        <f>IFERROR(__xludf.DUMMYFUNCTION("""COMPUTED_VALUE"""),34.0)</f>
        <v>34</v>
      </c>
      <c r="D854" s="3">
        <f>IFERROR(__xludf.DUMMYFUNCTION("""COMPUTED_VALUE"""),22.0)</f>
        <v>22</v>
      </c>
      <c r="E854" s="2"/>
      <c r="F854" s="2"/>
    </row>
    <row r="855">
      <c r="A855" s="2">
        <f>IFERROR(__xludf.DUMMYFUNCTION("""COMPUTED_VALUE"""),45529.0)</f>
        <v>45529</v>
      </c>
      <c r="B855" s="2">
        <f>IFERROR(__xludf.DUMMYFUNCTION("""COMPUTED_VALUE"""),1.0)</f>
        <v>1</v>
      </c>
      <c r="C855" s="2">
        <f>IFERROR(__xludf.DUMMYFUNCTION("""COMPUTED_VALUE"""),602.0)</f>
        <v>602</v>
      </c>
      <c r="D855" s="3">
        <f>IFERROR(__xludf.DUMMYFUNCTION("""COMPUTED_VALUE"""),469.0)</f>
        <v>469</v>
      </c>
      <c r="E855" s="2"/>
      <c r="F855" s="2"/>
    </row>
    <row r="856">
      <c r="A856" s="2">
        <f>IFERROR(__xludf.DUMMYFUNCTION("""COMPUTED_VALUE"""),84030.0)</f>
        <v>84030</v>
      </c>
      <c r="B856" s="2">
        <f>IFERROR(__xludf.DUMMYFUNCTION("""COMPUTED_VALUE"""),1.0)</f>
        <v>1</v>
      </c>
      <c r="C856" s="2">
        <f>IFERROR(__xludf.DUMMYFUNCTION("""COMPUTED_VALUE"""),974.0)</f>
        <v>974</v>
      </c>
      <c r="D856" s="3">
        <f>IFERROR(__xludf.DUMMYFUNCTION("""COMPUTED_VALUE"""),606.0)</f>
        <v>606</v>
      </c>
      <c r="E856" s="2"/>
      <c r="F856" s="2"/>
    </row>
    <row r="857">
      <c r="A857" s="2">
        <f>IFERROR(__xludf.DUMMYFUNCTION("""COMPUTED_VALUE"""),99262.0)</f>
        <v>99262</v>
      </c>
      <c r="B857" s="2">
        <f>IFERROR(__xludf.DUMMYFUNCTION("""COMPUTED_VALUE"""),1.0)</f>
        <v>1</v>
      </c>
      <c r="C857" s="2">
        <f>IFERROR(__xludf.DUMMYFUNCTION("""COMPUTED_VALUE"""),285.0)</f>
        <v>285</v>
      </c>
      <c r="D857" s="3">
        <f>IFERROR(__xludf.DUMMYFUNCTION("""COMPUTED_VALUE"""),192.0)</f>
        <v>192</v>
      </c>
      <c r="E857" s="2"/>
      <c r="F857" s="2"/>
    </row>
    <row r="858">
      <c r="A858" s="2">
        <f>IFERROR(__xludf.DUMMYFUNCTION("""COMPUTED_VALUE"""),110722.0)</f>
        <v>110722</v>
      </c>
      <c r="B858" s="2">
        <f>IFERROR(__xludf.DUMMYFUNCTION("""COMPUTED_VALUE"""),0.0)</f>
        <v>0</v>
      </c>
      <c r="C858" s="2">
        <f>IFERROR(__xludf.DUMMYFUNCTION("""COMPUTED_VALUE"""),774.0)</f>
        <v>774</v>
      </c>
      <c r="D858" s="3">
        <f>IFERROR(__xludf.DUMMYFUNCTION("""COMPUTED_VALUE"""),330.0)</f>
        <v>330</v>
      </c>
      <c r="E858" s="2"/>
      <c r="F858" s="2"/>
    </row>
    <row r="859">
      <c r="A859" s="2">
        <f>IFERROR(__xludf.DUMMYFUNCTION("""COMPUTED_VALUE"""),80781.0)</f>
        <v>80781</v>
      </c>
      <c r="B859" s="2">
        <f>IFERROR(__xludf.DUMMYFUNCTION("""COMPUTED_VALUE"""),1.0)</f>
        <v>1</v>
      </c>
      <c r="C859" s="2">
        <f>IFERROR(__xludf.DUMMYFUNCTION("""COMPUTED_VALUE"""),787.0)</f>
        <v>787</v>
      </c>
      <c r="D859" s="3">
        <f>IFERROR(__xludf.DUMMYFUNCTION("""COMPUTED_VALUE"""),375.0)</f>
        <v>375</v>
      </c>
      <c r="E859" s="2"/>
      <c r="F859" s="2"/>
    </row>
    <row r="860">
      <c r="A860" s="2">
        <f>IFERROR(__xludf.DUMMYFUNCTION("""COMPUTED_VALUE"""),122700.0)</f>
        <v>122700</v>
      </c>
      <c r="B860" s="2">
        <f>IFERROR(__xludf.DUMMYFUNCTION("""COMPUTED_VALUE"""),0.0)</f>
        <v>0</v>
      </c>
      <c r="C860" s="2">
        <f>IFERROR(__xludf.DUMMYFUNCTION("""COMPUTED_VALUE"""),275.0)</f>
        <v>275</v>
      </c>
      <c r="D860" s="3">
        <f>IFERROR(__xludf.DUMMYFUNCTION("""COMPUTED_VALUE"""),3.0)</f>
        <v>3</v>
      </c>
      <c r="E860" s="2"/>
      <c r="F860" s="2"/>
    </row>
    <row r="861">
      <c r="A861" s="2">
        <f>IFERROR(__xludf.DUMMYFUNCTION("""COMPUTED_VALUE"""),111783.0)</f>
        <v>111783</v>
      </c>
      <c r="B861" s="2">
        <f>IFERROR(__xludf.DUMMYFUNCTION("""COMPUTED_VALUE"""),1.0)</f>
        <v>1</v>
      </c>
      <c r="C861" s="2">
        <f>IFERROR(__xludf.DUMMYFUNCTION("""COMPUTED_VALUE"""),876.0)</f>
        <v>876</v>
      </c>
      <c r="D861" s="3">
        <f>IFERROR(__xludf.DUMMYFUNCTION("""COMPUTED_VALUE"""),616.0)</f>
        <v>616</v>
      </c>
      <c r="E861" s="2"/>
      <c r="F861" s="2"/>
    </row>
    <row r="862">
      <c r="A862" s="2">
        <f>IFERROR(__xludf.DUMMYFUNCTION("""COMPUTED_VALUE"""),110724.0)</f>
        <v>110724</v>
      </c>
      <c r="B862" s="2">
        <f>IFERROR(__xludf.DUMMYFUNCTION("""COMPUTED_VALUE"""),1.0)</f>
        <v>1</v>
      </c>
      <c r="C862" s="2">
        <f>IFERROR(__xludf.DUMMYFUNCTION("""COMPUTED_VALUE"""),246.0)</f>
        <v>246</v>
      </c>
      <c r="D862" s="3">
        <f>IFERROR(__xludf.DUMMYFUNCTION("""COMPUTED_VALUE"""),195.0)</f>
        <v>195</v>
      </c>
      <c r="E862" s="2"/>
      <c r="F862" s="2"/>
    </row>
    <row r="863">
      <c r="A863" s="2">
        <f>IFERROR(__xludf.DUMMYFUNCTION("""COMPUTED_VALUE"""),13348.0)</f>
        <v>13348</v>
      </c>
      <c r="B863" s="2">
        <f>IFERROR(__xludf.DUMMYFUNCTION("""COMPUTED_VALUE"""),1.0)</f>
        <v>1</v>
      </c>
      <c r="C863" s="2">
        <f>IFERROR(__xludf.DUMMYFUNCTION("""COMPUTED_VALUE"""),935.0)</f>
        <v>935</v>
      </c>
      <c r="D863" s="3">
        <f>IFERROR(__xludf.DUMMYFUNCTION("""COMPUTED_VALUE"""),849.0)</f>
        <v>849</v>
      </c>
      <c r="E863" s="2"/>
      <c r="F863" s="2"/>
    </row>
    <row r="864">
      <c r="A864" s="2">
        <f>IFERROR(__xludf.DUMMYFUNCTION("""COMPUTED_VALUE"""),28595.0)</f>
        <v>28595</v>
      </c>
      <c r="B864" s="2">
        <f>IFERROR(__xludf.DUMMYFUNCTION("""COMPUTED_VALUE"""),0.0)</f>
        <v>0</v>
      </c>
      <c r="C864" s="2">
        <f>IFERROR(__xludf.DUMMYFUNCTION("""COMPUTED_VALUE"""),340.0)</f>
        <v>340</v>
      </c>
      <c r="D864" s="3">
        <f>IFERROR(__xludf.DUMMYFUNCTION("""COMPUTED_VALUE"""),201.0)</f>
        <v>201</v>
      </c>
      <c r="E864" s="2"/>
      <c r="F864" s="2"/>
    </row>
    <row r="865">
      <c r="A865" s="2">
        <f>IFERROR(__xludf.DUMMYFUNCTION("""COMPUTED_VALUE"""),81770.0)</f>
        <v>81770</v>
      </c>
      <c r="B865" s="2">
        <f>IFERROR(__xludf.DUMMYFUNCTION("""COMPUTED_VALUE"""),0.0)</f>
        <v>0</v>
      </c>
      <c r="C865" s="2">
        <f>IFERROR(__xludf.DUMMYFUNCTION("""COMPUTED_VALUE"""),346.0)</f>
        <v>346</v>
      </c>
      <c r="D865" s="3">
        <f>IFERROR(__xludf.DUMMYFUNCTION("""COMPUTED_VALUE"""),247.0)</f>
        <v>247</v>
      </c>
      <c r="E865" s="2"/>
      <c r="F865" s="2"/>
    </row>
    <row r="866">
      <c r="A866" s="2">
        <f>IFERROR(__xludf.DUMMYFUNCTION("""COMPUTED_VALUE"""),85059.0)</f>
        <v>85059</v>
      </c>
      <c r="B866" s="2">
        <f>IFERROR(__xludf.DUMMYFUNCTION("""COMPUTED_VALUE"""),1.0)</f>
        <v>1</v>
      </c>
      <c r="C866" s="2">
        <f>IFERROR(__xludf.DUMMYFUNCTION("""COMPUTED_VALUE"""),436.0)</f>
        <v>436</v>
      </c>
      <c r="D866" s="3">
        <f>IFERROR(__xludf.DUMMYFUNCTION("""COMPUTED_VALUE"""),267.0)</f>
        <v>267</v>
      </c>
      <c r="E866" s="2"/>
      <c r="F866" s="2"/>
    </row>
    <row r="867">
      <c r="A867" s="2">
        <f>IFERROR(__xludf.DUMMYFUNCTION("""COMPUTED_VALUE"""),110597.0)</f>
        <v>110597</v>
      </c>
      <c r="B867" s="2">
        <f>IFERROR(__xludf.DUMMYFUNCTION("""COMPUTED_VALUE"""),0.0)</f>
        <v>0</v>
      </c>
      <c r="C867" s="2">
        <f>IFERROR(__xludf.DUMMYFUNCTION("""COMPUTED_VALUE"""),185.0)</f>
        <v>185</v>
      </c>
      <c r="D867" s="3">
        <f>IFERROR(__xludf.DUMMYFUNCTION("""COMPUTED_VALUE"""),104.0)</f>
        <v>104</v>
      </c>
      <c r="E867" s="2"/>
      <c r="F867" s="2"/>
    </row>
    <row r="868">
      <c r="A868" s="2">
        <f>IFERROR(__xludf.DUMMYFUNCTION("""COMPUTED_VALUE"""),7358.0)</f>
        <v>7358</v>
      </c>
      <c r="B868" s="2">
        <f>IFERROR(__xludf.DUMMYFUNCTION("""COMPUTED_VALUE"""),1.0)</f>
        <v>1</v>
      </c>
      <c r="C868" s="2">
        <f>IFERROR(__xludf.DUMMYFUNCTION("""COMPUTED_VALUE"""),837.0)</f>
        <v>837</v>
      </c>
      <c r="D868" s="3">
        <f>IFERROR(__xludf.DUMMYFUNCTION("""COMPUTED_VALUE"""),706.0)</f>
        <v>706</v>
      </c>
      <c r="E868" s="2"/>
      <c r="F868" s="2"/>
    </row>
    <row r="869">
      <c r="A869" s="2">
        <f>IFERROR(__xludf.DUMMYFUNCTION("""COMPUTED_VALUE"""),86583.0)</f>
        <v>86583</v>
      </c>
      <c r="B869" s="2">
        <f>IFERROR(__xludf.DUMMYFUNCTION("""COMPUTED_VALUE"""),1.0)</f>
        <v>1</v>
      </c>
      <c r="C869" s="2">
        <f>IFERROR(__xludf.DUMMYFUNCTION("""COMPUTED_VALUE"""),445.0)</f>
        <v>445</v>
      </c>
      <c r="D869" s="3">
        <f>IFERROR(__xludf.DUMMYFUNCTION("""COMPUTED_VALUE"""),218.0)</f>
        <v>218</v>
      </c>
      <c r="E869" s="2"/>
      <c r="F869" s="2"/>
    </row>
    <row r="870">
      <c r="A870" s="2">
        <f>IFERROR(__xludf.DUMMYFUNCTION("""COMPUTED_VALUE"""),98100.0)</f>
        <v>98100</v>
      </c>
      <c r="B870" s="2">
        <f>IFERROR(__xludf.DUMMYFUNCTION("""COMPUTED_VALUE"""),1.0)</f>
        <v>1</v>
      </c>
      <c r="C870" s="2">
        <f>IFERROR(__xludf.DUMMYFUNCTION("""COMPUTED_VALUE"""),118.0)</f>
        <v>118</v>
      </c>
      <c r="D870" s="3">
        <f>IFERROR(__xludf.DUMMYFUNCTION("""COMPUTED_VALUE"""),43.0)</f>
        <v>43</v>
      </c>
      <c r="E870" s="2"/>
      <c r="F870" s="2"/>
    </row>
    <row r="871">
      <c r="A871" s="2">
        <f>IFERROR(__xludf.DUMMYFUNCTION("""COMPUTED_VALUE"""),118154.0)</f>
        <v>118154</v>
      </c>
      <c r="B871" s="2">
        <f>IFERROR(__xludf.DUMMYFUNCTION("""COMPUTED_VALUE"""),1.0)</f>
        <v>1</v>
      </c>
      <c r="C871" s="2">
        <f>IFERROR(__xludf.DUMMYFUNCTION("""COMPUTED_VALUE"""),60.0)</f>
        <v>60</v>
      </c>
      <c r="D871" s="3">
        <f>IFERROR(__xludf.DUMMYFUNCTION("""COMPUTED_VALUE"""),37.0)</f>
        <v>37</v>
      </c>
      <c r="E871" s="2"/>
      <c r="F871" s="2"/>
    </row>
    <row r="872">
      <c r="A872" s="2">
        <f>IFERROR(__xludf.DUMMYFUNCTION("""COMPUTED_VALUE"""),42840.0)</f>
        <v>42840</v>
      </c>
      <c r="B872" s="2">
        <f>IFERROR(__xludf.DUMMYFUNCTION("""COMPUTED_VALUE"""),0.0)</f>
        <v>0</v>
      </c>
      <c r="C872" s="2">
        <f>IFERROR(__xludf.DUMMYFUNCTION("""COMPUTED_VALUE"""),724.0)</f>
        <v>724</v>
      </c>
      <c r="D872" s="3">
        <f>IFERROR(__xludf.DUMMYFUNCTION("""COMPUTED_VALUE"""),80.0)</f>
        <v>80</v>
      </c>
      <c r="E872" s="2"/>
      <c r="F872" s="2"/>
    </row>
    <row r="873">
      <c r="A873" s="2">
        <f>IFERROR(__xludf.DUMMYFUNCTION("""COMPUTED_VALUE"""),47175.0)</f>
        <v>47175</v>
      </c>
      <c r="B873" s="2">
        <f>IFERROR(__xludf.DUMMYFUNCTION("""COMPUTED_VALUE"""),1.0)</f>
        <v>1</v>
      </c>
      <c r="C873" s="2">
        <f>IFERROR(__xludf.DUMMYFUNCTION("""COMPUTED_VALUE"""),758.0)</f>
        <v>758</v>
      </c>
      <c r="D873" s="3">
        <f>IFERROR(__xludf.DUMMYFUNCTION("""COMPUTED_VALUE"""),428.0)</f>
        <v>428</v>
      </c>
      <c r="E873" s="2"/>
      <c r="F873" s="2"/>
    </row>
    <row r="874">
      <c r="A874" s="2">
        <f>IFERROR(__xludf.DUMMYFUNCTION("""COMPUTED_VALUE"""),112013.0)</f>
        <v>112013</v>
      </c>
      <c r="B874" s="2">
        <f>IFERROR(__xludf.DUMMYFUNCTION("""COMPUTED_VALUE"""),0.0)</f>
        <v>0</v>
      </c>
      <c r="C874" s="2">
        <f>IFERROR(__xludf.DUMMYFUNCTION("""COMPUTED_VALUE"""),811.0)</f>
        <v>811</v>
      </c>
      <c r="D874" s="3">
        <f>IFERROR(__xludf.DUMMYFUNCTION("""COMPUTED_VALUE"""),625.0)</f>
        <v>625</v>
      </c>
      <c r="E874" s="2"/>
      <c r="F874" s="2"/>
    </row>
    <row r="875">
      <c r="A875" s="2">
        <f>IFERROR(__xludf.DUMMYFUNCTION("""COMPUTED_VALUE"""),107953.0)</f>
        <v>107953</v>
      </c>
      <c r="B875" s="2">
        <f>IFERROR(__xludf.DUMMYFUNCTION("""COMPUTED_VALUE"""),1.0)</f>
        <v>1</v>
      </c>
      <c r="C875" s="2">
        <f>IFERROR(__xludf.DUMMYFUNCTION("""COMPUTED_VALUE"""),469.0)</f>
        <v>469</v>
      </c>
      <c r="D875" s="3">
        <f>IFERROR(__xludf.DUMMYFUNCTION("""COMPUTED_VALUE"""),262.0)</f>
        <v>262</v>
      </c>
      <c r="E875" s="2"/>
      <c r="F875" s="2"/>
    </row>
    <row r="876">
      <c r="A876" s="2">
        <f>IFERROR(__xludf.DUMMYFUNCTION("""COMPUTED_VALUE"""),44738.0)</f>
        <v>44738</v>
      </c>
      <c r="B876" s="2">
        <f>IFERROR(__xludf.DUMMYFUNCTION("""COMPUTED_VALUE"""),0.0)</f>
        <v>0</v>
      </c>
      <c r="C876" s="2">
        <f>IFERROR(__xludf.DUMMYFUNCTION("""COMPUTED_VALUE"""),72.0)</f>
        <v>72</v>
      </c>
      <c r="D876" s="3">
        <f>IFERROR(__xludf.DUMMYFUNCTION("""COMPUTED_VALUE"""),70.0)</f>
        <v>70</v>
      </c>
      <c r="E876" s="2"/>
      <c r="F876" s="2"/>
    </row>
    <row r="877">
      <c r="A877" s="2">
        <f>IFERROR(__xludf.DUMMYFUNCTION("""COMPUTED_VALUE"""),103386.0)</f>
        <v>103386</v>
      </c>
      <c r="B877" s="2">
        <f>IFERROR(__xludf.DUMMYFUNCTION("""COMPUTED_VALUE"""),1.0)</f>
        <v>1</v>
      </c>
      <c r="C877" s="2">
        <f>IFERROR(__xludf.DUMMYFUNCTION("""COMPUTED_VALUE"""),676.0)</f>
        <v>676</v>
      </c>
      <c r="D877" s="3">
        <f>IFERROR(__xludf.DUMMYFUNCTION("""COMPUTED_VALUE"""),77.0)</f>
        <v>77</v>
      </c>
      <c r="E877" s="2"/>
      <c r="F877" s="2"/>
    </row>
    <row r="878">
      <c r="A878" s="2">
        <f>IFERROR(__xludf.DUMMYFUNCTION("""COMPUTED_VALUE"""),86815.0)</f>
        <v>86815</v>
      </c>
      <c r="B878" s="2">
        <f>IFERROR(__xludf.DUMMYFUNCTION("""COMPUTED_VALUE"""),1.0)</f>
        <v>1</v>
      </c>
      <c r="C878" s="2">
        <f>IFERROR(__xludf.DUMMYFUNCTION("""COMPUTED_VALUE"""),170.0)</f>
        <v>170</v>
      </c>
      <c r="D878" s="3">
        <f>IFERROR(__xludf.DUMMYFUNCTION("""COMPUTED_VALUE"""),121.0)</f>
        <v>121</v>
      </c>
      <c r="E878" s="2"/>
      <c r="F878" s="2"/>
    </row>
    <row r="879">
      <c r="A879" s="2">
        <f>IFERROR(__xludf.DUMMYFUNCTION("""COMPUTED_VALUE"""),46953.0)</f>
        <v>46953</v>
      </c>
      <c r="B879" s="2">
        <f>IFERROR(__xludf.DUMMYFUNCTION("""COMPUTED_VALUE"""),1.0)</f>
        <v>1</v>
      </c>
      <c r="C879" s="2">
        <f>IFERROR(__xludf.DUMMYFUNCTION("""COMPUTED_VALUE"""),311.0)</f>
        <v>311</v>
      </c>
      <c r="D879" s="3">
        <f>IFERROR(__xludf.DUMMYFUNCTION("""COMPUTED_VALUE"""),78.0)</f>
        <v>78</v>
      </c>
      <c r="E879" s="2"/>
      <c r="F879" s="2"/>
    </row>
    <row r="880">
      <c r="A880" s="2">
        <f>IFERROR(__xludf.DUMMYFUNCTION("""COMPUTED_VALUE"""),108732.0)</f>
        <v>108732</v>
      </c>
      <c r="B880" s="2">
        <f>IFERROR(__xludf.DUMMYFUNCTION("""COMPUTED_VALUE"""),0.0)</f>
        <v>0</v>
      </c>
      <c r="C880" s="2">
        <f>IFERROR(__xludf.DUMMYFUNCTION("""COMPUTED_VALUE"""),254.0)</f>
        <v>254</v>
      </c>
      <c r="D880" s="3">
        <f>IFERROR(__xludf.DUMMYFUNCTION("""COMPUTED_VALUE"""),52.0)</f>
        <v>52</v>
      </c>
      <c r="E880" s="2"/>
      <c r="F880" s="2"/>
    </row>
    <row r="881">
      <c r="A881" s="2">
        <f>IFERROR(__xludf.DUMMYFUNCTION("""COMPUTED_VALUE"""),118227.0)</f>
        <v>118227</v>
      </c>
      <c r="B881" s="2">
        <f>IFERROR(__xludf.DUMMYFUNCTION("""COMPUTED_VALUE"""),1.0)</f>
        <v>1</v>
      </c>
      <c r="C881" s="2">
        <f>IFERROR(__xludf.DUMMYFUNCTION("""COMPUTED_VALUE"""),896.0)</f>
        <v>896</v>
      </c>
      <c r="D881" s="3">
        <f>IFERROR(__xludf.DUMMYFUNCTION("""COMPUTED_VALUE"""),492.0)</f>
        <v>492</v>
      </c>
      <c r="E881" s="2"/>
      <c r="F881" s="2"/>
    </row>
    <row r="882">
      <c r="A882" s="2">
        <f>IFERROR(__xludf.DUMMYFUNCTION("""COMPUTED_VALUE"""),122484.0)</f>
        <v>122484</v>
      </c>
      <c r="B882" s="2">
        <f>IFERROR(__xludf.DUMMYFUNCTION("""COMPUTED_VALUE"""),1.0)</f>
        <v>1</v>
      </c>
      <c r="C882" s="2">
        <f>IFERROR(__xludf.DUMMYFUNCTION("""COMPUTED_VALUE"""),454.0)</f>
        <v>454</v>
      </c>
      <c r="D882" s="3">
        <f>IFERROR(__xludf.DUMMYFUNCTION("""COMPUTED_VALUE"""),437.0)</f>
        <v>437</v>
      </c>
      <c r="E882" s="2"/>
      <c r="F882" s="2"/>
    </row>
    <row r="883">
      <c r="A883" s="2">
        <f>IFERROR(__xludf.DUMMYFUNCTION("""COMPUTED_VALUE"""),71326.0)</f>
        <v>71326</v>
      </c>
      <c r="B883" s="2">
        <f>IFERROR(__xludf.DUMMYFUNCTION("""COMPUTED_VALUE"""),1.0)</f>
        <v>1</v>
      </c>
      <c r="C883" s="2">
        <f>IFERROR(__xludf.DUMMYFUNCTION("""COMPUTED_VALUE"""),934.0)</f>
        <v>934</v>
      </c>
      <c r="D883" s="3">
        <f>IFERROR(__xludf.DUMMYFUNCTION("""COMPUTED_VALUE"""),336.0)</f>
        <v>336</v>
      </c>
      <c r="E883" s="2"/>
      <c r="F883" s="2"/>
    </row>
    <row r="884">
      <c r="A884" s="2">
        <f>IFERROR(__xludf.DUMMYFUNCTION("""COMPUTED_VALUE"""),110794.0)</f>
        <v>110794</v>
      </c>
      <c r="B884" s="2">
        <f>IFERROR(__xludf.DUMMYFUNCTION("""COMPUTED_VALUE"""),1.0)</f>
        <v>1</v>
      </c>
      <c r="C884" s="2">
        <f>IFERROR(__xludf.DUMMYFUNCTION("""COMPUTED_VALUE"""),523.0)</f>
        <v>523</v>
      </c>
      <c r="D884" s="3">
        <f>IFERROR(__xludf.DUMMYFUNCTION("""COMPUTED_VALUE"""),352.0)</f>
        <v>352</v>
      </c>
      <c r="E884" s="2"/>
      <c r="F884" s="2"/>
    </row>
    <row r="885">
      <c r="A885" s="2">
        <f>IFERROR(__xludf.DUMMYFUNCTION("""COMPUTED_VALUE"""),80066.0)</f>
        <v>80066</v>
      </c>
      <c r="B885" s="2">
        <f>IFERROR(__xludf.DUMMYFUNCTION("""COMPUTED_VALUE"""),0.0)</f>
        <v>0</v>
      </c>
      <c r="C885" s="2">
        <f>IFERROR(__xludf.DUMMYFUNCTION("""COMPUTED_VALUE"""),177.0)</f>
        <v>177</v>
      </c>
      <c r="D885" s="3">
        <f>IFERROR(__xludf.DUMMYFUNCTION("""COMPUTED_VALUE"""),26.0)</f>
        <v>26</v>
      </c>
      <c r="E885" s="2"/>
      <c r="F885" s="2"/>
    </row>
    <row r="886">
      <c r="A886" s="2">
        <f>IFERROR(__xludf.DUMMYFUNCTION("""COMPUTED_VALUE"""),106776.0)</f>
        <v>106776</v>
      </c>
      <c r="B886" s="2">
        <f>IFERROR(__xludf.DUMMYFUNCTION("""COMPUTED_VALUE"""),0.0)</f>
        <v>0</v>
      </c>
      <c r="C886" s="2">
        <f>IFERROR(__xludf.DUMMYFUNCTION("""COMPUTED_VALUE"""),605.0)</f>
        <v>605</v>
      </c>
      <c r="D886" s="3">
        <f>IFERROR(__xludf.DUMMYFUNCTION("""COMPUTED_VALUE"""),545.0)</f>
        <v>545</v>
      </c>
      <c r="E886" s="2"/>
      <c r="F886" s="2"/>
    </row>
    <row r="887">
      <c r="A887" s="2">
        <f>IFERROR(__xludf.DUMMYFUNCTION("""COMPUTED_VALUE"""),113608.0)</f>
        <v>113608</v>
      </c>
      <c r="B887" s="2">
        <f>IFERROR(__xludf.DUMMYFUNCTION("""COMPUTED_VALUE"""),0.0)</f>
        <v>0</v>
      </c>
      <c r="C887" s="2">
        <f>IFERROR(__xludf.DUMMYFUNCTION("""COMPUTED_VALUE"""),102.0)</f>
        <v>102</v>
      </c>
      <c r="D887" s="3">
        <f>IFERROR(__xludf.DUMMYFUNCTION("""COMPUTED_VALUE"""),58.0)</f>
        <v>58</v>
      </c>
      <c r="E887" s="2"/>
      <c r="F887" s="2"/>
    </row>
    <row r="888">
      <c r="A888" s="2">
        <f>IFERROR(__xludf.DUMMYFUNCTION("""COMPUTED_VALUE"""),116454.0)</f>
        <v>116454</v>
      </c>
      <c r="B888" s="2">
        <f>IFERROR(__xludf.DUMMYFUNCTION("""COMPUTED_VALUE"""),0.0)</f>
        <v>0</v>
      </c>
      <c r="C888" s="2">
        <f>IFERROR(__xludf.DUMMYFUNCTION("""COMPUTED_VALUE"""),816.0)</f>
        <v>816</v>
      </c>
      <c r="D888" s="3">
        <f>IFERROR(__xludf.DUMMYFUNCTION("""COMPUTED_VALUE"""),656.0)</f>
        <v>656</v>
      </c>
      <c r="E888" s="2"/>
      <c r="F888" s="2"/>
    </row>
    <row r="889">
      <c r="A889" s="2">
        <f>IFERROR(__xludf.DUMMYFUNCTION("""COMPUTED_VALUE"""),108724.0)</f>
        <v>108724</v>
      </c>
      <c r="B889" s="2">
        <f>IFERROR(__xludf.DUMMYFUNCTION("""COMPUTED_VALUE"""),1.0)</f>
        <v>1</v>
      </c>
      <c r="C889" s="2">
        <f>IFERROR(__xludf.DUMMYFUNCTION("""COMPUTED_VALUE"""),54.0)</f>
        <v>54</v>
      </c>
      <c r="D889" s="3">
        <f>IFERROR(__xludf.DUMMYFUNCTION("""COMPUTED_VALUE"""),2.0)</f>
        <v>2</v>
      </c>
      <c r="E889" s="2"/>
      <c r="F889" s="2"/>
    </row>
    <row r="890">
      <c r="A890" s="2">
        <f>IFERROR(__xludf.DUMMYFUNCTION("""COMPUTED_VALUE"""),118253.0)</f>
        <v>118253</v>
      </c>
      <c r="B890" s="2">
        <f>IFERROR(__xludf.DUMMYFUNCTION("""COMPUTED_VALUE"""),0.0)</f>
        <v>0</v>
      </c>
      <c r="C890" s="2">
        <f>IFERROR(__xludf.DUMMYFUNCTION("""COMPUTED_VALUE"""),379.0)</f>
        <v>379</v>
      </c>
      <c r="D890" s="3">
        <f>IFERROR(__xludf.DUMMYFUNCTION("""COMPUTED_VALUE"""),311.0)</f>
        <v>311</v>
      </c>
      <c r="E890" s="2"/>
      <c r="F890" s="2"/>
    </row>
    <row r="891">
      <c r="A891" s="2">
        <f>IFERROR(__xludf.DUMMYFUNCTION("""COMPUTED_VALUE"""),110567.0)</f>
        <v>110567</v>
      </c>
      <c r="B891" s="2">
        <f>IFERROR(__xludf.DUMMYFUNCTION("""COMPUTED_VALUE"""),0.0)</f>
        <v>0</v>
      </c>
      <c r="C891" s="2">
        <f>IFERROR(__xludf.DUMMYFUNCTION("""COMPUTED_VALUE"""),469.0)</f>
        <v>469</v>
      </c>
      <c r="D891" s="3">
        <f>IFERROR(__xludf.DUMMYFUNCTION("""COMPUTED_VALUE"""),152.0)</f>
        <v>152</v>
      </c>
      <c r="E891" s="2"/>
      <c r="F891" s="2"/>
    </row>
    <row r="892">
      <c r="A892" s="2">
        <f>IFERROR(__xludf.DUMMYFUNCTION("""COMPUTED_VALUE"""),122697.0)</f>
        <v>122697</v>
      </c>
      <c r="B892" s="2">
        <f>IFERROR(__xludf.DUMMYFUNCTION("""COMPUTED_VALUE"""),0.0)</f>
        <v>0</v>
      </c>
      <c r="C892" s="2">
        <f>IFERROR(__xludf.DUMMYFUNCTION("""COMPUTED_VALUE"""),409.0)</f>
        <v>409</v>
      </c>
      <c r="D892" s="3">
        <f>IFERROR(__xludf.DUMMYFUNCTION("""COMPUTED_VALUE"""),198.0)</f>
        <v>198</v>
      </c>
      <c r="E892" s="2"/>
      <c r="F892" s="2"/>
    </row>
    <row r="893">
      <c r="A893" s="2">
        <f>IFERROR(__xludf.DUMMYFUNCTION("""COMPUTED_VALUE"""),109190.0)</f>
        <v>109190</v>
      </c>
      <c r="B893" s="2">
        <f>IFERROR(__xludf.DUMMYFUNCTION("""COMPUTED_VALUE"""),1.0)</f>
        <v>1</v>
      </c>
      <c r="C893" s="2">
        <f>IFERROR(__xludf.DUMMYFUNCTION("""COMPUTED_VALUE"""),441.0)</f>
        <v>441</v>
      </c>
      <c r="D893" s="3">
        <f>IFERROR(__xludf.DUMMYFUNCTION("""COMPUTED_VALUE"""),44.0)</f>
        <v>44</v>
      </c>
      <c r="E893" s="2"/>
      <c r="F893" s="2"/>
    </row>
    <row r="894">
      <c r="A894" s="2">
        <f>IFERROR(__xludf.DUMMYFUNCTION("""COMPUTED_VALUE"""),109191.0)</f>
        <v>109191</v>
      </c>
      <c r="B894" s="2">
        <f>IFERROR(__xludf.DUMMYFUNCTION("""COMPUTED_VALUE"""),0.0)</f>
        <v>0</v>
      </c>
      <c r="C894" s="2">
        <f>IFERROR(__xludf.DUMMYFUNCTION("""COMPUTED_VALUE"""),0.0)</f>
        <v>0</v>
      </c>
      <c r="D894" s="3">
        <f>IFERROR(__xludf.DUMMYFUNCTION("""COMPUTED_VALUE"""),0.0)</f>
        <v>0</v>
      </c>
      <c r="E894" s="2"/>
      <c r="F894" s="2"/>
    </row>
    <row r="895">
      <c r="A895" s="2">
        <f>IFERROR(__xludf.DUMMYFUNCTION("""COMPUTED_VALUE"""),44759.0)</f>
        <v>44759</v>
      </c>
      <c r="B895" s="2">
        <f>IFERROR(__xludf.DUMMYFUNCTION("""COMPUTED_VALUE"""),1.0)</f>
        <v>1</v>
      </c>
      <c r="C895" s="2">
        <f>IFERROR(__xludf.DUMMYFUNCTION("""COMPUTED_VALUE"""),402.0)</f>
        <v>402</v>
      </c>
      <c r="D895" s="3">
        <f>IFERROR(__xludf.DUMMYFUNCTION("""COMPUTED_VALUE"""),322.0)</f>
        <v>322</v>
      </c>
      <c r="E895" s="2"/>
      <c r="F895" s="2"/>
    </row>
    <row r="896">
      <c r="A896" s="2">
        <f>IFERROR(__xludf.DUMMYFUNCTION("""COMPUTED_VALUE"""),109192.0)</f>
        <v>109192</v>
      </c>
      <c r="B896" s="2">
        <f>IFERROR(__xludf.DUMMYFUNCTION("""COMPUTED_VALUE"""),0.0)</f>
        <v>0</v>
      </c>
      <c r="C896" s="2">
        <f>IFERROR(__xludf.DUMMYFUNCTION("""COMPUTED_VALUE"""),480.0)</f>
        <v>480</v>
      </c>
      <c r="D896" s="3">
        <f>IFERROR(__xludf.DUMMYFUNCTION("""COMPUTED_VALUE"""),200.0)</f>
        <v>200</v>
      </c>
      <c r="E896" s="2"/>
      <c r="F896" s="2"/>
    </row>
    <row r="897">
      <c r="A897" s="2">
        <f>IFERROR(__xludf.DUMMYFUNCTION("""COMPUTED_VALUE"""),113605.0)</f>
        <v>113605</v>
      </c>
      <c r="B897" s="2">
        <f>IFERROR(__xludf.DUMMYFUNCTION("""COMPUTED_VALUE"""),0.0)</f>
        <v>0</v>
      </c>
      <c r="C897" s="2">
        <f>IFERROR(__xludf.DUMMYFUNCTION("""COMPUTED_VALUE"""),792.0)</f>
        <v>792</v>
      </c>
      <c r="D897" s="3">
        <f>IFERROR(__xludf.DUMMYFUNCTION("""COMPUTED_VALUE"""),110.0)</f>
        <v>110</v>
      </c>
      <c r="E897" s="2"/>
      <c r="F897" s="2"/>
    </row>
    <row r="898">
      <c r="A898" s="2">
        <f>IFERROR(__xludf.DUMMYFUNCTION("""COMPUTED_VALUE"""),147339.0)</f>
        <v>147339</v>
      </c>
      <c r="B898" s="2">
        <f>IFERROR(__xludf.DUMMYFUNCTION("""COMPUTED_VALUE"""),1.0)</f>
        <v>1</v>
      </c>
      <c r="C898" s="2">
        <f>IFERROR(__xludf.DUMMYFUNCTION("""COMPUTED_VALUE"""),861.0)</f>
        <v>861</v>
      </c>
      <c r="D898" s="3">
        <f>IFERROR(__xludf.DUMMYFUNCTION("""COMPUTED_VALUE"""),317.0)</f>
        <v>317</v>
      </c>
      <c r="E898" s="2"/>
      <c r="F898" s="2"/>
    </row>
    <row r="899">
      <c r="A899" s="2">
        <f>IFERROR(__xludf.DUMMYFUNCTION("""COMPUTED_VALUE"""),118068.0)</f>
        <v>118068</v>
      </c>
      <c r="B899" s="2">
        <f>IFERROR(__xludf.DUMMYFUNCTION("""COMPUTED_VALUE"""),0.0)</f>
        <v>0</v>
      </c>
      <c r="C899" s="2">
        <f>IFERROR(__xludf.DUMMYFUNCTION("""COMPUTED_VALUE"""),775.0)</f>
        <v>775</v>
      </c>
      <c r="D899" s="3">
        <f>IFERROR(__xludf.DUMMYFUNCTION("""COMPUTED_VALUE"""),198.0)</f>
        <v>198</v>
      </c>
      <c r="E899" s="2"/>
      <c r="F899" s="2"/>
    </row>
    <row r="900">
      <c r="A900" s="2">
        <f>IFERROR(__xludf.DUMMYFUNCTION("""COMPUTED_VALUE"""),44758.0)</f>
        <v>44758</v>
      </c>
      <c r="B900" s="2">
        <f>IFERROR(__xludf.DUMMYFUNCTION("""COMPUTED_VALUE"""),0.0)</f>
        <v>0</v>
      </c>
      <c r="C900" s="2">
        <f>IFERROR(__xludf.DUMMYFUNCTION("""COMPUTED_VALUE"""),133.0)</f>
        <v>133</v>
      </c>
      <c r="D900" s="3">
        <f>IFERROR(__xludf.DUMMYFUNCTION("""COMPUTED_VALUE"""),83.0)</f>
        <v>83</v>
      </c>
      <c r="E900" s="2"/>
      <c r="F900" s="2"/>
    </row>
    <row r="901">
      <c r="A901" s="2">
        <f>IFERROR(__xludf.DUMMYFUNCTION("""COMPUTED_VALUE"""),110579.0)</f>
        <v>110579</v>
      </c>
      <c r="B901" s="2">
        <f>IFERROR(__xludf.DUMMYFUNCTION("""COMPUTED_VALUE"""),1.0)</f>
        <v>1</v>
      </c>
      <c r="C901" s="2">
        <f>IFERROR(__xludf.DUMMYFUNCTION("""COMPUTED_VALUE"""),336.0)</f>
        <v>336</v>
      </c>
      <c r="D901" s="3">
        <f>IFERROR(__xludf.DUMMYFUNCTION("""COMPUTED_VALUE"""),29.0)</f>
        <v>29</v>
      </c>
      <c r="E901" s="2"/>
      <c r="F901" s="2"/>
    </row>
    <row r="902">
      <c r="A902" s="2">
        <f>IFERROR(__xludf.DUMMYFUNCTION("""COMPUTED_VALUE"""),116437.0)</f>
        <v>116437</v>
      </c>
      <c r="B902" s="2">
        <f>IFERROR(__xludf.DUMMYFUNCTION("""COMPUTED_VALUE"""),0.0)</f>
        <v>0</v>
      </c>
      <c r="C902" s="2">
        <f>IFERROR(__xludf.DUMMYFUNCTION("""COMPUTED_VALUE"""),734.0)</f>
        <v>734</v>
      </c>
      <c r="D902" s="3">
        <f>IFERROR(__xludf.DUMMYFUNCTION("""COMPUTED_VALUE"""),414.0)</f>
        <v>414</v>
      </c>
      <c r="E902" s="2"/>
      <c r="F902" s="2"/>
    </row>
    <row r="903">
      <c r="A903" s="2">
        <f>IFERROR(__xludf.DUMMYFUNCTION("""COMPUTED_VALUE"""),9519.0)</f>
        <v>9519</v>
      </c>
      <c r="B903" s="2">
        <f>IFERROR(__xludf.DUMMYFUNCTION("""COMPUTED_VALUE"""),0.0)</f>
        <v>0</v>
      </c>
      <c r="C903" s="2">
        <f>IFERROR(__xludf.DUMMYFUNCTION("""COMPUTED_VALUE"""),250.0)</f>
        <v>250</v>
      </c>
      <c r="D903" s="3">
        <f>IFERROR(__xludf.DUMMYFUNCTION("""COMPUTED_VALUE"""),171.0)</f>
        <v>171</v>
      </c>
      <c r="E903" s="2"/>
      <c r="F903" s="2"/>
    </row>
    <row r="904">
      <c r="A904" s="2">
        <f>IFERROR(__xludf.DUMMYFUNCTION("""COMPUTED_VALUE"""),147338.0)</f>
        <v>147338</v>
      </c>
      <c r="B904" s="2">
        <f>IFERROR(__xludf.DUMMYFUNCTION("""COMPUTED_VALUE"""),1.0)</f>
        <v>1</v>
      </c>
      <c r="C904" s="2">
        <f>IFERROR(__xludf.DUMMYFUNCTION("""COMPUTED_VALUE"""),435.0)</f>
        <v>435</v>
      </c>
      <c r="D904" s="3">
        <f>IFERROR(__xludf.DUMMYFUNCTION("""COMPUTED_VALUE"""),178.0)</f>
        <v>178</v>
      </c>
      <c r="E904" s="2"/>
      <c r="F904" s="2"/>
    </row>
    <row r="905">
      <c r="A905" s="2">
        <f>IFERROR(__xludf.DUMMYFUNCTION("""COMPUTED_VALUE"""),118250.0)</f>
        <v>118250</v>
      </c>
      <c r="B905" s="2">
        <f>IFERROR(__xludf.DUMMYFUNCTION("""COMPUTED_VALUE"""),0.0)</f>
        <v>0</v>
      </c>
      <c r="C905" s="2">
        <f>IFERROR(__xludf.DUMMYFUNCTION("""COMPUTED_VALUE"""),66.0)</f>
        <v>66</v>
      </c>
      <c r="D905" s="3">
        <f>IFERROR(__xludf.DUMMYFUNCTION("""COMPUTED_VALUE"""),62.0)</f>
        <v>62</v>
      </c>
      <c r="E905" s="2"/>
      <c r="F905" s="2"/>
    </row>
    <row r="906">
      <c r="A906" s="2">
        <f>IFERROR(__xludf.DUMMYFUNCTION("""COMPUTED_VALUE"""),20053.0)</f>
        <v>20053</v>
      </c>
      <c r="B906" s="2">
        <f>IFERROR(__xludf.DUMMYFUNCTION("""COMPUTED_VALUE"""),1.0)</f>
        <v>1</v>
      </c>
      <c r="C906" s="2">
        <f>IFERROR(__xludf.DUMMYFUNCTION("""COMPUTED_VALUE"""),40.0)</f>
        <v>40</v>
      </c>
      <c r="D906" s="3">
        <f>IFERROR(__xludf.DUMMYFUNCTION("""COMPUTED_VALUE"""),9.0)</f>
        <v>9</v>
      </c>
      <c r="E906" s="2"/>
      <c r="F906" s="2"/>
    </row>
    <row r="907">
      <c r="A907" s="2">
        <f>IFERROR(__xludf.DUMMYFUNCTION("""COMPUTED_VALUE"""),71321.0)</f>
        <v>71321</v>
      </c>
      <c r="B907" s="2">
        <f>IFERROR(__xludf.DUMMYFUNCTION("""COMPUTED_VALUE"""),1.0)</f>
        <v>1</v>
      </c>
      <c r="C907" s="2">
        <f>IFERROR(__xludf.DUMMYFUNCTION("""COMPUTED_VALUE"""),942.0)</f>
        <v>942</v>
      </c>
      <c r="D907" s="3">
        <f>IFERROR(__xludf.DUMMYFUNCTION("""COMPUTED_VALUE"""),795.0)</f>
        <v>795</v>
      </c>
      <c r="E907" s="2"/>
      <c r="F907" s="2"/>
    </row>
    <row r="908">
      <c r="A908" s="2">
        <f>IFERROR(__xludf.DUMMYFUNCTION("""COMPUTED_VALUE"""),79503.0)</f>
        <v>79503</v>
      </c>
      <c r="B908" s="2">
        <f>IFERROR(__xludf.DUMMYFUNCTION("""COMPUTED_VALUE"""),0.0)</f>
        <v>0</v>
      </c>
      <c r="C908" s="2">
        <f>IFERROR(__xludf.DUMMYFUNCTION("""COMPUTED_VALUE"""),86.0)</f>
        <v>86</v>
      </c>
      <c r="D908" s="3">
        <f>IFERROR(__xludf.DUMMYFUNCTION("""COMPUTED_VALUE"""),71.0)</f>
        <v>71</v>
      </c>
      <c r="E908" s="2"/>
      <c r="F908" s="2"/>
    </row>
    <row r="909">
      <c r="A909" s="2">
        <f>IFERROR(__xludf.DUMMYFUNCTION("""COMPUTED_VALUE"""),99270.0)</f>
        <v>99270</v>
      </c>
      <c r="B909" s="2">
        <f>IFERROR(__xludf.DUMMYFUNCTION("""COMPUTED_VALUE"""),1.0)</f>
        <v>1</v>
      </c>
      <c r="C909" s="2">
        <f>IFERROR(__xludf.DUMMYFUNCTION("""COMPUTED_VALUE"""),841.0)</f>
        <v>841</v>
      </c>
      <c r="D909" s="3">
        <f>IFERROR(__xludf.DUMMYFUNCTION("""COMPUTED_VALUE"""),218.0)</f>
        <v>218</v>
      </c>
      <c r="E909" s="2"/>
      <c r="F909" s="2"/>
    </row>
    <row r="910">
      <c r="A910" s="2">
        <f>IFERROR(__xludf.DUMMYFUNCTION("""COMPUTED_VALUE"""),112848.0)</f>
        <v>112848</v>
      </c>
      <c r="B910" s="2">
        <f>IFERROR(__xludf.DUMMYFUNCTION("""COMPUTED_VALUE"""),1.0)</f>
        <v>1</v>
      </c>
      <c r="C910" s="2">
        <f>IFERROR(__xludf.DUMMYFUNCTION("""COMPUTED_VALUE"""),696.0)</f>
        <v>696</v>
      </c>
      <c r="D910" s="3">
        <f>IFERROR(__xludf.DUMMYFUNCTION("""COMPUTED_VALUE"""),352.0)</f>
        <v>352</v>
      </c>
      <c r="E910" s="2"/>
      <c r="F910" s="2"/>
    </row>
    <row r="911">
      <c r="A911" s="2">
        <f>IFERROR(__xludf.DUMMYFUNCTION("""COMPUTED_VALUE"""),13369.0)</f>
        <v>13369</v>
      </c>
      <c r="B911" s="2">
        <f>IFERROR(__xludf.DUMMYFUNCTION("""COMPUTED_VALUE"""),0.0)</f>
        <v>0</v>
      </c>
      <c r="C911" s="2">
        <f>IFERROR(__xludf.DUMMYFUNCTION("""COMPUTED_VALUE"""),385.0)</f>
        <v>385</v>
      </c>
      <c r="D911" s="3">
        <f>IFERROR(__xludf.DUMMYFUNCTION("""COMPUTED_VALUE"""),3.0)</f>
        <v>3</v>
      </c>
      <c r="E911" s="2"/>
      <c r="F911" s="2"/>
    </row>
    <row r="912">
      <c r="A912" s="2">
        <f>IFERROR(__xludf.DUMMYFUNCTION("""COMPUTED_VALUE"""),147336.0)</f>
        <v>147336</v>
      </c>
      <c r="B912" s="2">
        <f>IFERROR(__xludf.DUMMYFUNCTION("""COMPUTED_VALUE"""),1.0)</f>
        <v>1</v>
      </c>
      <c r="C912" s="2">
        <f>IFERROR(__xludf.DUMMYFUNCTION("""COMPUTED_VALUE"""),28.0)</f>
        <v>28</v>
      </c>
      <c r="D912" s="3">
        <f>IFERROR(__xludf.DUMMYFUNCTION("""COMPUTED_VALUE"""),0.0)</f>
        <v>0</v>
      </c>
      <c r="E912" s="2"/>
      <c r="F912" s="2"/>
    </row>
    <row r="913">
      <c r="A913" s="2">
        <f>IFERROR(__xludf.DUMMYFUNCTION("""COMPUTED_VALUE"""),114899.0)</f>
        <v>114899</v>
      </c>
      <c r="B913" s="2">
        <f>IFERROR(__xludf.DUMMYFUNCTION("""COMPUTED_VALUE"""),0.0)</f>
        <v>0</v>
      </c>
      <c r="C913" s="2">
        <f>IFERROR(__xludf.DUMMYFUNCTION("""COMPUTED_VALUE"""),983.0)</f>
        <v>983</v>
      </c>
      <c r="D913" s="3">
        <f>IFERROR(__xludf.DUMMYFUNCTION("""COMPUTED_VALUE"""),719.0)</f>
        <v>719</v>
      </c>
      <c r="E913" s="2"/>
      <c r="F913" s="2"/>
    </row>
    <row r="914">
      <c r="A914" s="2">
        <f>IFERROR(__xludf.DUMMYFUNCTION("""COMPUTED_VALUE"""),113607.0)</f>
        <v>113607</v>
      </c>
      <c r="B914" s="2">
        <f>IFERROR(__xludf.DUMMYFUNCTION("""COMPUTED_VALUE"""),1.0)</f>
        <v>1</v>
      </c>
      <c r="C914" s="2">
        <f>IFERROR(__xludf.DUMMYFUNCTION("""COMPUTED_VALUE"""),485.0)</f>
        <v>485</v>
      </c>
      <c r="D914" s="3">
        <f>IFERROR(__xludf.DUMMYFUNCTION("""COMPUTED_VALUE"""),359.0)</f>
        <v>359</v>
      </c>
      <c r="E914" s="2"/>
      <c r="F914" s="2"/>
    </row>
    <row r="915">
      <c r="A915" s="2">
        <f>IFERROR(__xludf.DUMMYFUNCTION("""COMPUTED_VALUE"""),47183.0)</f>
        <v>47183</v>
      </c>
      <c r="B915" s="2">
        <f>IFERROR(__xludf.DUMMYFUNCTION("""COMPUTED_VALUE"""),0.0)</f>
        <v>0</v>
      </c>
      <c r="C915" s="2">
        <f>IFERROR(__xludf.DUMMYFUNCTION("""COMPUTED_VALUE"""),700.0)</f>
        <v>700</v>
      </c>
      <c r="D915" s="3">
        <f>IFERROR(__xludf.DUMMYFUNCTION("""COMPUTED_VALUE"""),215.0)</f>
        <v>215</v>
      </c>
      <c r="E915" s="2"/>
      <c r="F915" s="2"/>
    </row>
    <row r="916">
      <c r="A916" s="2">
        <f>IFERROR(__xludf.DUMMYFUNCTION("""COMPUTED_VALUE"""),78338.0)</f>
        <v>78338</v>
      </c>
      <c r="B916" s="2">
        <f>IFERROR(__xludf.DUMMYFUNCTION("""COMPUTED_VALUE"""),0.0)</f>
        <v>0</v>
      </c>
      <c r="C916" s="2">
        <f>IFERROR(__xludf.DUMMYFUNCTION("""COMPUTED_VALUE"""),469.0)</f>
        <v>469</v>
      </c>
      <c r="D916" s="3">
        <f>IFERROR(__xludf.DUMMYFUNCTION("""COMPUTED_VALUE"""),446.0)</f>
        <v>446</v>
      </c>
      <c r="E916" s="2"/>
      <c r="F916" s="2"/>
    </row>
    <row r="917">
      <c r="A917" s="2">
        <f>IFERROR(__xludf.DUMMYFUNCTION("""COMPUTED_VALUE"""),9526.0)</f>
        <v>9526</v>
      </c>
      <c r="B917" s="2">
        <f>IFERROR(__xludf.DUMMYFUNCTION("""COMPUTED_VALUE"""),0.0)</f>
        <v>0</v>
      </c>
      <c r="C917" s="2">
        <f>IFERROR(__xludf.DUMMYFUNCTION("""COMPUTED_VALUE"""),49.0)</f>
        <v>49</v>
      </c>
      <c r="D917" s="3">
        <f>IFERROR(__xludf.DUMMYFUNCTION("""COMPUTED_VALUE"""),34.0)</f>
        <v>34</v>
      </c>
      <c r="E917" s="2"/>
      <c r="F917" s="2"/>
    </row>
    <row r="918">
      <c r="A918" s="2">
        <f>IFERROR(__xludf.DUMMYFUNCTION("""COMPUTED_VALUE"""),107910.0)</f>
        <v>107910</v>
      </c>
      <c r="B918" s="2">
        <f>IFERROR(__xludf.DUMMYFUNCTION("""COMPUTED_VALUE"""),0.0)</f>
        <v>0</v>
      </c>
      <c r="C918" s="2">
        <f>IFERROR(__xludf.DUMMYFUNCTION("""COMPUTED_VALUE"""),141.0)</f>
        <v>141</v>
      </c>
      <c r="D918" s="3">
        <f>IFERROR(__xludf.DUMMYFUNCTION("""COMPUTED_VALUE"""),16.0)</f>
        <v>16</v>
      </c>
      <c r="E918" s="2"/>
      <c r="F918" s="2"/>
    </row>
    <row r="919">
      <c r="A919" s="2">
        <f>IFERROR(__xludf.DUMMYFUNCTION("""COMPUTED_VALUE"""),20056.0)</f>
        <v>20056</v>
      </c>
      <c r="B919" s="2">
        <f>IFERROR(__xludf.DUMMYFUNCTION("""COMPUTED_VALUE"""),0.0)</f>
        <v>0</v>
      </c>
      <c r="C919" s="2">
        <f>IFERROR(__xludf.DUMMYFUNCTION("""COMPUTED_VALUE"""),186.0)</f>
        <v>186</v>
      </c>
      <c r="D919" s="3">
        <f>IFERROR(__xludf.DUMMYFUNCTION("""COMPUTED_VALUE"""),93.0)</f>
        <v>93</v>
      </c>
      <c r="E919" s="2"/>
      <c r="F919" s="2"/>
    </row>
    <row r="920">
      <c r="A920" s="2">
        <f>IFERROR(__xludf.DUMMYFUNCTION("""COMPUTED_VALUE"""),108951.0)</f>
        <v>108951</v>
      </c>
      <c r="B920" s="2">
        <f>IFERROR(__xludf.DUMMYFUNCTION("""COMPUTED_VALUE"""),0.0)</f>
        <v>0</v>
      </c>
      <c r="C920" s="2">
        <f>IFERROR(__xludf.DUMMYFUNCTION("""COMPUTED_VALUE"""),254.0)</f>
        <v>254</v>
      </c>
      <c r="D920" s="3">
        <f>IFERROR(__xludf.DUMMYFUNCTION("""COMPUTED_VALUE"""),221.0)</f>
        <v>221</v>
      </c>
      <c r="E920" s="2"/>
      <c r="F920" s="2"/>
    </row>
    <row r="921">
      <c r="A921" s="2">
        <f>IFERROR(__xludf.DUMMYFUNCTION("""COMPUTED_VALUE"""),107783.0)</f>
        <v>107783</v>
      </c>
      <c r="B921" s="2">
        <f>IFERROR(__xludf.DUMMYFUNCTION("""COMPUTED_VALUE"""),1.0)</f>
        <v>1</v>
      </c>
      <c r="C921" s="2">
        <f>IFERROR(__xludf.DUMMYFUNCTION("""COMPUTED_VALUE"""),907.0)</f>
        <v>907</v>
      </c>
      <c r="D921" s="3">
        <f>IFERROR(__xludf.DUMMYFUNCTION("""COMPUTED_VALUE"""),346.0)</f>
        <v>346</v>
      </c>
      <c r="E921" s="2"/>
      <c r="F921" s="2"/>
    </row>
    <row r="922">
      <c r="A922" s="2">
        <f>IFERROR(__xludf.DUMMYFUNCTION("""COMPUTED_VALUE"""),80798.0)</f>
        <v>80798</v>
      </c>
      <c r="B922" s="2">
        <f>IFERROR(__xludf.DUMMYFUNCTION("""COMPUTED_VALUE"""),1.0)</f>
        <v>1</v>
      </c>
      <c r="C922" s="2">
        <f>IFERROR(__xludf.DUMMYFUNCTION("""COMPUTED_VALUE"""),849.0)</f>
        <v>849</v>
      </c>
      <c r="D922" s="3">
        <f>IFERROR(__xludf.DUMMYFUNCTION("""COMPUTED_VALUE"""),647.0)</f>
        <v>647</v>
      </c>
      <c r="E922" s="2"/>
      <c r="F922" s="2"/>
    </row>
    <row r="923">
      <c r="A923" s="2">
        <f>IFERROR(__xludf.DUMMYFUNCTION("""COMPUTED_VALUE"""),108950.0)</f>
        <v>108950</v>
      </c>
      <c r="B923" s="2">
        <f>IFERROR(__xludf.DUMMYFUNCTION("""COMPUTED_VALUE"""),0.0)</f>
        <v>0</v>
      </c>
      <c r="C923" s="2">
        <f>IFERROR(__xludf.DUMMYFUNCTION("""COMPUTED_VALUE"""),913.0)</f>
        <v>913</v>
      </c>
      <c r="D923" s="3">
        <f>IFERROR(__xludf.DUMMYFUNCTION("""COMPUTED_VALUE"""),635.0)</f>
        <v>635</v>
      </c>
      <c r="E923" s="2"/>
      <c r="F923" s="2"/>
    </row>
    <row r="924">
      <c r="A924" s="2">
        <f>IFERROR(__xludf.DUMMYFUNCTION("""COMPUTED_VALUE"""),112847.0)</f>
        <v>112847</v>
      </c>
      <c r="B924" s="2">
        <f>IFERROR(__xludf.DUMMYFUNCTION("""COMPUTED_VALUE"""),1.0)</f>
        <v>1</v>
      </c>
      <c r="C924" s="2">
        <f>IFERROR(__xludf.DUMMYFUNCTION("""COMPUTED_VALUE"""),709.0)</f>
        <v>709</v>
      </c>
      <c r="D924" s="3">
        <f>IFERROR(__xludf.DUMMYFUNCTION("""COMPUTED_VALUE"""),174.0)</f>
        <v>174</v>
      </c>
      <c r="E924" s="2"/>
      <c r="F924" s="2"/>
    </row>
    <row r="925">
      <c r="A925" s="2">
        <f>IFERROR(__xludf.DUMMYFUNCTION("""COMPUTED_VALUE"""),109202.0)</f>
        <v>109202</v>
      </c>
      <c r="B925" s="2">
        <f>IFERROR(__xludf.DUMMYFUNCTION("""COMPUTED_VALUE"""),0.0)</f>
        <v>0</v>
      </c>
      <c r="C925" s="2">
        <f>IFERROR(__xludf.DUMMYFUNCTION("""COMPUTED_VALUE"""),883.0)</f>
        <v>883</v>
      </c>
      <c r="D925" s="3">
        <f>IFERROR(__xludf.DUMMYFUNCTION("""COMPUTED_VALUE"""),271.0)</f>
        <v>271</v>
      </c>
      <c r="E925" s="2"/>
      <c r="F925" s="2"/>
    </row>
    <row r="926">
      <c r="A926" s="2">
        <f>IFERROR(__xludf.DUMMYFUNCTION("""COMPUTED_VALUE"""),109198.0)</f>
        <v>109198</v>
      </c>
      <c r="B926" s="2">
        <f>IFERROR(__xludf.DUMMYFUNCTION("""COMPUTED_VALUE"""),0.0)</f>
        <v>0</v>
      </c>
      <c r="C926" s="2">
        <f>IFERROR(__xludf.DUMMYFUNCTION("""COMPUTED_VALUE"""),340.0)</f>
        <v>340</v>
      </c>
      <c r="D926" s="3">
        <f>IFERROR(__xludf.DUMMYFUNCTION("""COMPUTED_VALUE"""),332.0)</f>
        <v>332</v>
      </c>
      <c r="E926" s="2"/>
      <c r="F926" s="2"/>
    </row>
    <row r="927">
      <c r="A927" s="2">
        <f>IFERROR(__xludf.DUMMYFUNCTION("""COMPUTED_VALUE"""),108990.0)</f>
        <v>108990</v>
      </c>
      <c r="B927" s="2">
        <f>IFERROR(__xludf.DUMMYFUNCTION("""COMPUTED_VALUE"""),1.0)</f>
        <v>1</v>
      </c>
      <c r="C927" s="2">
        <f>IFERROR(__xludf.DUMMYFUNCTION("""COMPUTED_VALUE"""),136.0)</f>
        <v>136</v>
      </c>
      <c r="D927" s="3">
        <f>IFERROR(__xludf.DUMMYFUNCTION("""COMPUTED_VALUE"""),86.0)</f>
        <v>86</v>
      </c>
      <c r="E927" s="2"/>
      <c r="F927" s="2"/>
    </row>
    <row r="928">
      <c r="A928" s="2">
        <f>IFERROR(__xludf.DUMMYFUNCTION("""COMPUTED_VALUE"""),72815.0)</f>
        <v>72815</v>
      </c>
      <c r="B928" s="2">
        <f>IFERROR(__xludf.DUMMYFUNCTION("""COMPUTED_VALUE"""),1.0)</f>
        <v>1</v>
      </c>
      <c r="C928" s="2">
        <f>IFERROR(__xludf.DUMMYFUNCTION("""COMPUTED_VALUE"""),241.0)</f>
        <v>241</v>
      </c>
      <c r="D928" s="3">
        <f>IFERROR(__xludf.DUMMYFUNCTION("""COMPUTED_VALUE"""),62.0)</f>
        <v>62</v>
      </c>
      <c r="E928" s="2"/>
      <c r="F928" s="2"/>
    </row>
    <row r="929">
      <c r="A929" s="2">
        <f>IFERROR(__xludf.DUMMYFUNCTION("""COMPUTED_VALUE"""),9479.0)</f>
        <v>9479</v>
      </c>
      <c r="B929" s="2">
        <f>IFERROR(__xludf.DUMMYFUNCTION("""COMPUTED_VALUE"""),1.0)</f>
        <v>1</v>
      </c>
      <c r="C929" s="2">
        <f>IFERROR(__xludf.DUMMYFUNCTION("""COMPUTED_VALUE"""),197.0)</f>
        <v>197</v>
      </c>
      <c r="D929" s="3">
        <f>IFERROR(__xludf.DUMMYFUNCTION("""COMPUTED_VALUE"""),101.0)</f>
        <v>101</v>
      </c>
      <c r="E929" s="2"/>
      <c r="F929" s="2"/>
    </row>
    <row r="930">
      <c r="A930" s="2">
        <f>IFERROR(__xludf.DUMMYFUNCTION("""COMPUTED_VALUE"""),46961.0)</f>
        <v>46961</v>
      </c>
      <c r="B930" s="2">
        <f>IFERROR(__xludf.DUMMYFUNCTION("""COMPUTED_VALUE"""),1.0)</f>
        <v>1</v>
      </c>
      <c r="C930" s="2">
        <f>IFERROR(__xludf.DUMMYFUNCTION("""COMPUTED_VALUE"""),695.0)</f>
        <v>695</v>
      </c>
      <c r="D930" s="3">
        <f>IFERROR(__xludf.DUMMYFUNCTION("""COMPUTED_VALUE"""),237.0)</f>
        <v>237</v>
      </c>
      <c r="E930" s="2"/>
      <c r="F930" s="2"/>
    </row>
    <row r="931">
      <c r="A931" s="2">
        <f>IFERROR(__xludf.DUMMYFUNCTION("""COMPUTED_VALUE"""),122352.0)</f>
        <v>122352</v>
      </c>
      <c r="B931" s="2">
        <f>IFERROR(__xludf.DUMMYFUNCTION("""COMPUTED_VALUE"""),0.0)</f>
        <v>0</v>
      </c>
      <c r="C931" s="2">
        <f>IFERROR(__xludf.DUMMYFUNCTION("""COMPUTED_VALUE"""),274.0)</f>
        <v>274</v>
      </c>
      <c r="D931" s="3">
        <f>IFERROR(__xludf.DUMMYFUNCTION("""COMPUTED_VALUE"""),26.0)</f>
        <v>26</v>
      </c>
      <c r="E931" s="2"/>
      <c r="F931" s="2"/>
    </row>
    <row r="932">
      <c r="A932" s="2">
        <f>IFERROR(__xludf.DUMMYFUNCTION("""COMPUTED_VALUE"""),44750.0)</f>
        <v>44750</v>
      </c>
      <c r="B932" s="2">
        <f>IFERROR(__xludf.DUMMYFUNCTION("""COMPUTED_VALUE"""),1.0)</f>
        <v>1</v>
      </c>
      <c r="C932" s="2">
        <f>IFERROR(__xludf.DUMMYFUNCTION("""COMPUTED_VALUE"""),726.0)</f>
        <v>726</v>
      </c>
      <c r="D932" s="3">
        <f>IFERROR(__xludf.DUMMYFUNCTION("""COMPUTED_VALUE"""),375.0)</f>
        <v>375</v>
      </c>
      <c r="E932" s="2"/>
      <c r="F932" s="2"/>
    </row>
    <row r="933">
      <c r="A933" s="2">
        <f>IFERROR(__xludf.DUMMYFUNCTION("""COMPUTED_VALUE"""),114405.0)</f>
        <v>114405</v>
      </c>
      <c r="B933" s="2">
        <f>IFERROR(__xludf.DUMMYFUNCTION("""COMPUTED_VALUE"""),1.0)</f>
        <v>1</v>
      </c>
      <c r="C933" s="2">
        <f>IFERROR(__xludf.DUMMYFUNCTION("""COMPUTED_VALUE"""),397.0)</f>
        <v>397</v>
      </c>
      <c r="D933" s="3">
        <f>IFERROR(__xludf.DUMMYFUNCTION("""COMPUTED_VALUE"""),204.0)</f>
        <v>204</v>
      </c>
      <c r="E933" s="2"/>
      <c r="F933" s="2"/>
    </row>
    <row r="934">
      <c r="A934" s="2">
        <f>IFERROR(__xludf.DUMMYFUNCTION("""COMPUTED_VALUE"""),2797.0)</f>
        <v>2797</v>
      </c>
      <c r="B934" s="2">
        <f>IFERROR(__xludf.DUMMYFUNCTION("""COMPUTED_VALUE"""),1.0)</f>
        <v>1</v>
      </c>
      <c r="C934" s="2">
        <f>IFERROR(__xludf.DUMMYFUNCTION("""COMPUTED_VALUE"""),920.0)</f>
        <v>920</v>
      </c>
      <c r="D934" s="3">
        <f>IFERROR(__xludf.DUMMYFUNCTION("""COMPUTED_VALUE"""),392.0)</f>
        <v>392</v>
      </c>
      <c r="E934" s="2"/>
      <c r="F934" s="2"/>
    </row>
    <row r="935">
      <c r="A935" s="2">
        <f>IFERROR(__xludf.DUMMYFUNCTION("""COMPUTED_VALUE"""),79499.0)</f>
        <v>79499</v>
      </c>
      <c r="B935" s="2">
        <f>IFERROR(__xludf.DUMMYFUNCTION("""COMPUTED_VALUE"""),1.0)</f>
        <v>1</v>
      </c>
      <c r="C935" s="2">
        <f>IFERROR(__xludf.DUMMYFUNCTION("""COMPUTED_VALUE"""),395.0)</f>
        <v>395</v>
      </c>
      <c r="D935" s="3">
        <f>IFERROR(__xludf.DUMMYFUNCTION("""COMPUTED_VALUE"""),40.0)</f>
        <v>40</v>
      </c>
      <c r="E935" s="2"/>
      <c r="F935" s="2"/>
    </row>
    <row r="936">
      <c r="A936" s="2">
        <f>IFERROR(__xludf.DUMMYFUNCTION("""COMPUTED_VALUE"""),5902.0)</f>
        <v>5902</v>
      </c>
      <c r="B936" s="2">
        <f>IFERROR(__xludf.DUMMYFUNCTION("""COMPUTED_VALUE"""),1.0)</f>
        <v>1</v>
      </c>
      <c r="C936" s="2">
        <f>IFERROR(__xludf.DUMMYFUNCTION("""COMPUTED_VALUE"""),842.0)</f>
        <v>842</v>
      </c>
      <c r="D936" s="3">
        <f>IFERROR(__xludf.DUMMYFUNCTION("""COMPUTED_VALUE"""),145.0)</f>
        <v>145</v>
      </c>
      <c r="E936" s="2"/>
      <c r="F936" s="2"/>
    </row>
    <row r="937">
      <c r="A937" s="2">
        <f>IFERROR(__xludf.DUMMYFUNCTION("""COMPUTED_VALUE"""),46956.0)</f>
        <v>46956</v>
      </c>
      <c r="B937" s="2">
        <f>IFERROR(__xludf.DUMMYFUNCTION("""COMPUTED_VALUE"""),0.0)</f>
        <v>0</v>
      </c>
      <c r="C937" s="2">
        <f>IFERROR(__xludf.DUMMYFUNCTION("""COMPUTED_VALUE"""),214.0)</f>
        <v>214</v>
      </c>
      <c r="D937" s="3">
        <f>IFERROR(__xludf.DUMMYFUNCTION("""COMPUTED_VALUE"""),102.0)</f>
        <v>102</v>
      </c>
      <c r="E937" s="2"/>
      <c r="F937" s="2"/>
    </row>
    <row r="938">
      <c r="A938" s="2">
        <f>IFERROR(__xludf.DUMMYFUNCTION("""COMPUTED_VALUE"""),11490.0)</f>
        <v>11490</v>
      </c>
      <c r="B938" s="2">
        <f>IFERROR(__xludf.DUMMYFUNCTION("""COMPUTED_VALUE"""),1.0)</f>
        <v>1</v>
      </c>
      <c r="C938" s="2">
        <f>IFERROR(__xludf.DUMMYFUNCTION("""COMPUTED_VALUE"""),354.0)</f>
        <v>354</v>
      </c>
      <c r="D938" s="3">
        <f>IFERROR(__xludf.DUMMYFUNCTION("""COMPUTED_VALUE"""),151.0)</f>
        <v>151</v>
      </c>
      <c r="E938" s="2"/>
      <c r="F938" s="2"/>
    </row>
    <row r="939">
      <c r="A939" s="2">
        <f>IFERROR(__xludf.DUMMYFUNCTION("""COMPUTED_VALUE"""),8027.0)</f>
        <v>8027</v>
      </c>
      <c r="B939" s="2">
        <f>IFERROR(__xludf.DUMMYFUNCTION("""COMPUTED_VALUE"""),1.0)</f>
        <v>1</v>
      </c>
      <c r="C939" s="2">
        <f>IFERROR(__xludf.DUMMYFUNCTION("""COMPUTED_VALUE"""),948.0)</f>
        <v>948</v>
      </c>
      <c r="D939" s="3">
        <f>IFERROR(__xludf.DUMMYFUNCTION("""COMPUTED_VALUE"""),39.0)</f>
        <v>39</v>
      </c>
      <c r="E939" s="2"/>
      <c r="F939" s="2"/>
    </row>
    <row r="940">
      <c r="A940" s="2">
        <f>IFERROR(__xludf.DUMMYFUNCTION("""COMPUTED_VALUE"""),121588.0)</f>
        <v>121588</v>
      </c>
      <c r="B940" s="2">
        <f>IFERROR(__xludf.DUMMYFUNCTION("""COMPUTED_VALUE"""),0.0)</f>
        <v>0</v>
      </c>
      <c r="C940" s="2">
        <f>IFERROR(__xludf.DUMMYFUNCTION("""COMPUTED_VALUE"""),627.0)</f>
        <v>627</v>
      </c>
      <c r="D940" s="3">
        <f>IFERROR(__xludf.DUMMYFUNCTION("""COMPUTED_VALUE"""),451.0)</f>
        <v>451</v>
      </c>
      <c r="E940" s="2"/>
      <c r="F940" s="2"/>
    </row>
    <row r="941">
      <c r="A941" s="2">
        <f>IFERROR(__xludf.DUMMYFUNCTION("""COMPUTED_VALUE"""),1279.0)</f>
        <v>1279</v>
      </c>
      <c r="B941" s="2">
        <f>IFERROR(__xludf.DUMMYFUNCTION("""COMPUTED_VALUE"""),0.0)</f>
        <v>0</v>
      </c>
      <c r="C941" s="2">
        <f>IFERROR(__xludf.DUMMYFUNCTION("""COMPUTED_VALUE"""),251.0)</f>
        <v>251</v>
      </c>
      <c r="D941" s="3">
        <f>IFERROR(__xludf.DUMMYFUNCTION("""COMPUTED_VALUE"""),171.0)</f>
        <v>171</v>
      </c>
      <c r="E941" s="2"/>
      <c r="F941" s="2"/>
    </row>
    <row r="942">
      <c r="A942" s="2">
        <f>IFERROR(__xludf.DUMMYFUNCTION("""COMPUTED_VALUE"""),5978.0)</f>
        <v>5978</v>
      </c>
      <c r="B942" s="2">
        <f>IFERROR(__xludf.DUMMYFUNCTION("""COMPUTED_VALUE"""),1.0)</f>
        <v>1</v>
      </c>
      <c r="C942" s="2">
        <f>IFERROR(__xludf.DUMMYFUNCTION("""COMPUTED_VALUE"""),42.0)</f>
        <v>42</v>
      </c>
      <c r="D942" s="3">
        <f>IFERROR(__xludf.DUMMYFUNCTION("""COMPUTED_VALUE"""),19.0)</f>
        <v>19</v>
      </c>
      <c r="E942" s="2"/>
      <c r="F942" s="2"/>
    </row>
    <row r="943">
      <c r="A943" s="2">
        <f>IFERROR(__xludf.DUMMYFUNCTION("""COMPUTED_VALUE"""),72813.0)</f>
        <v>72813</v>
      </c>
      <c r="B943" s="2">
        <f>IFERROR(__xludf.DUMMYFUNCTION("""COMPUTED_VALUE"""),0.0)</f>
        <v>0</v>
      </c>
      <c r="C943" s="2">
        <f>IFERROR(__xludf.DUMMYFUNCTION("""COMPUTED_VALUE"""),202.0)</f>
        <v>202</v>
      </c>
      <c r="D943" s="3">
        <f>IFERROR(__xludf.DUMMYFUNCTION("""COMPUTED_VALUE"""),1.0)</f>
        <v>1</v>
      </c>
      <c r="E943" s="2"/>
      <c r="F943" s="2"/>
    </row>
    <row r="944">
      <c r="A944" s="2">
        <f>IFERROR(__xludf.DUMMYFUNCTION("""COMPUTED_VALUE"""),9486.0)</f>
        <v>9486</v>
      </c>
      <c r="B944" s="2">
        <f>IFERROR(__xludf.DUMMYFUNCTION("""COMPUTED_VALUE"""),1.0)</f>
        <v>1</v>
      </c>
      <c r="C944" s="2">
        <f>IFERROR(__xludf.DUMMYFUNCTION("""COMPUTED_VALUE"""),300.0)</f>
        <v>300</v>
      </c>
      <c r="D944" s="3">
        <f>IFERROR(__xludf.DUMMYFUNCTION("""COMPUTED_VALUE"""),92.0)</f>
        <v>92</v>
      </c>
      <c r="E944" s="2"/>
      <c r="F944" s="2"/>
    </row>
    <row r="945">
      <c r="A945" s="2">
        <f>IFERROR(__xludf.DUMMYFUNCTION("""COMPUTED_VALUE"""),2791.0)</f>
        <v>2791</v>
      </c>
      <c r="B945" s="2">
        <f>IFERROR(__xludf.DUMMYFUNCTION("""COMPUTED_VALUE"""),0.0)</f>
        <v>0</v>
      </c>
      <c r="C945" s="2">
        <f>IFERROR(__xludf.DUMMYFUNCTION("""COMPUTED_VALUE"""),110.0)</f>
        <v>110</v>
      </c>
      <c r="D945" s="3">
        <f>IFERROR(__xludf.DUMMYFUNCTION("""COMPUTED_VALUE"""),23.0)</f>
        <v>23</v>
      </c>
      <c r="E945" s="2"/>
      <c r="F945" s="2"/>
    </row>
    <row r="946">
      <c r="A946" s="2">
        <f>IFERROR(__xludf.DUMMYFUNCTION("""COMPUTED_VALUE"""),109206.0)</f>
        <v>109206</v>
      </c>
      <c r="B946" s="2">
        <f>IFERROR(__xludf.DUMMYFUNCTION("""COMPUTED_VALUE"""),0.0)</f>
        <v>0</v>
      </c>
      <c r="C946" s="2">
        <f>IFERROR(__xludf.DUMMYFUNCTION("""COMPUTED_VALUE"""),207.0)</f>
        <v>207</v>
      </c>
      <c r="D946" s="3">
        <f>IFERROR(__xludf.DUMMYFUNCTION("""COMPUTED_VALUE"""),194.0)</f>
        <v>194</v>
      </c>
      <c r="E946" s="2"/>
      <c r="F946" s="2"/>
    </row>
    <row r="947">
      <c r="A947" s="2">
        <f>IFERROR(__xludf.DUMMYFUNCTION("""COMPUTED_VALUE"""),9478.0)</f>
        <v>9478</v>
      </c>
      <c r="B947" s="2">
        <f>IFERROR(__xludf.DUMMYFUNCTION("""COMPUTED_VALUE"""),1.0)</f>
        <v>1</v>
      </c>
      <c r="C947" s="2">
        <f>IFERROR(__xludf.DUMMYFUNCTION("""COMPUTED_VALUE"""),460.0)</f>
        <v>460</v>
      </c>
      <c r="D947" s="3">
        <f>IFERROR(__xludf.DUMMYFUNCTION("""COMPUTED_VALUE"""),420.0)</f>
        <v>420</v>
      </c>
      <c r="E947" s="2"/>
      <c r="F947" s="2"/>
    </row>
    <row r="948">
      <c r="A948" s="2">
        <f>IFERROR(__xludf.DUMMYFUNCTION("""COMPUTED_VALUE"""),122699.0)</f>
        <v>122699</v>
      </c>
      <c r="B948" s="2">
        <f>IFERROR(__xludf.DUMMYFUNCTION("""COMPUTED_VALUE"""),1.0)</f>
        <v>1</v>
      </c>
      <c r="C948" s="2">
        <f>IFERROR(__xludf.DUMMYFUNCTION("""COMPUTED_VALUE"""),424.0)</f>
        <v>424</v>
      </c>
      <c r="D948" s="3">
        <f>IFERROR(__xludf.DUMMYFUNCTION("""COMPUTED_VALUE"""),39.0)</f>
        <v>39</v>
      </c>
      <c r="E948" s="2"/>
      <c r="F948" s="2"/>
    </row>
    <row r="949">
      <c r="A949" s="2">
        <f>IFERROR(__xludf.DUMMYFUNCTION("""COMPUTED_VALUE"""),2794.0)</f>
        <v>2794</v>
      </c>
      <c r="B949" s="2">
        <f>IFERROR(__xludf.DUMMYFUNCTION("""COMPUTED_VALUE"""),0.0)</f>
        <v>0</v>
      </c>
      <c r="C949" s="2">
        <f>IFERROR(__xludf.DUMMYFUNCTION("""COMPUTED_VALUE"""),712.0)</f>
        <v>712</v>
      </c>
      <c r="D949" s="3">
        <f>IFERROR(__xludf.DUMMYFUNCTION("""COMPUTED_VALUE"""),455.0)</f>
        <v>455</v>
      </c>
      <c r="E949" s="2"/>
      <c r="F949" s="2"/>
    </row>
    <row r="950">
      <c r="A950" s="2">
        <f>IFERROR(__xludf.DUMMYFUNCTION("""COMPUTED_VALUE"""),109200.0)</f>
        <v>109200</v>
      </c>
      <c r="B950" s="2">
        <f>IFERROR(__xludf.DUMMYFUNCTION("""COMPUTED_VALUE"""),1.0)</f>
        <v>1</v>
      </c>
      <c r="C950" s="2">
        <f>IFERROR(__xludf.DUMMYFUNCTION("""COMPUTED_VALUE"""),968.0)</f>
        <v>968</v>
      </c>
      <c r="D950" s="3">
        <f>IFERROR(__xludf.DUMMYFUNCTION("""COMPUTED_VALUE"""),411.0)</f>
        <v>411</v>
      </c>
      <c r="E950" s="2"/>
      <c r="F950" s="2"/>
    </row>
    <row r="951">
      <c r="A951" s="2">
        <f>IFERROR(__xludf.DUMMYFUNCTION("""COMPUTED_VALUE"""),118263.0)</f>
        <v>118263</v>
      </c>
      <c r="B951" s="2">
        <f>IFERROR(__xludf.DUMMYFUNCTION("""COMPUTED_VALUE"""),1.0)</f>
        <v>1</v>
      </c>
      <c r="C951" s="2">
        <f>IFERROR(__xludf.DUMMYFUNCTION("""COMPUTED_VALUE"""),645.0)</f>
        <v>645</v>
      </c>
      <c r="D951" s="3">
        <f>IFERROR(__xludf.DUMMYFUNCTION("""COMPUTED_VALUE"""),425.0)</f>
        <v>425</v>
      </c>
      <c r="E951" s="2"/>
      <c r="F951" s="2"/>
    </row>
    <row r="952">
      <c r="A952" s="2">
        <f>IFERROR(__xludf.DUMMYFUNCTION("""COMPUTED_VALUE"""),71320.0)</f>
        <v>71320</v>
      </c>
      <c r="B952" s="2">
        <f>IFERROR(__xludf.DUMMYFUNCTION("""COMPUTED_VALUE"""),0.0)</f>
        <v>0</v>
      </c>
      <c r="C952" s="2">
        <f>IFERROR(__xludf.DUMMYFUNCTION("""COMPUTED_VALUE"""),725.0)</f>
        <v>725</v>
      </c>
      <c r="D952" s="3">
        <f>IFERROR(__xludf.DUMMYFUNCTION("""COMPUTED_VALUE"""),631.0)</f>
        <v>631</v>
      </c>
      <c r="E952" s="2"/>
      <c r="F952" s="2"/>
    </row>
    <row r="953">
      <c r="A953" s="2">
        <f>IFERROR(__xludf.DUMMYFUNCTION("""COMPUTED_VALUE"""),108944.0)</f>
        <v>108944</v>
      </c>
      <c r="B953" s="2">
        <f>IFERROR(__xludf.DUMMYFUNCTION("""COMPUTED_VALUE"""),1.0)</f>
        <v>1</v>
      </c>
      <c r="C953" s="2">
        <f>IFERROR(__xludf.DUMMYFUNCTION("""COMPUTED_VALUE"""),450.0)</f>
        <v>450</v>
      </c>
      <c r="D953" s="3">
        <f>IFERROR(__xludf.DUMMYFUNCTION("""COMPUTED_VALUE"""),382.0)</f>
        <v>382</v>
      </c>
      <c r="E953" s="2"/>
      <c r="F953" s="2"/>
    </row>
    <row r="954">
      <c r="A954" s="2">
        <f>IFERROR(__xludf.DUMMYFUNCTION("""COMPUTED_VALUE"""),122693.0)</f>
        <v>122693</v>
      </c>
      <c r="B954" s="2">
        <f>IFERROR(__xludf.DUMMYFUNCTION("""COMPUTED_VALUE"""),1.0)</f>
        <v>1</v>
      </c>
      <c r="C954" s="2">
        <f>IFERROR(__xludf.DUMMYFUNCTION("""COMPUTED_VALUE"""),373.0)</f>
        <v>373</v>
      </c>
      <c r="D954" s="3">
        <f>IFERROR(__xludf.DUMMYFUNCTION("""COMPUTED_VALUE"""),47.0)</f>
        <v>47</v>
      </c>
      <c r="E954" s="2"/>
      <c r="F954" s="2"/>
    </row>
    <row r="955">
      <c r="A955" s="2">
        <f>IFERROR(__xludf.DUMMYFUNCTION("""COMPUTED_VALUE"""),20049.0)</f>
        <v>20049</v>
      </c>
      <c r="B955" s="2">
        <f>IFERROR(__xludf.DUMMYFUNCTION("""COMPUTED_VALUE"""),1.0)</f>
        <v>1</v>
      </c>
      <c r="C955" s="2">
        <f>IFERROR(__xludf.DUMMYFUNCTION("""COMPUTED_VALUE"""),918.0)</f>
        <v>918</v>
      </c>
      <c r="D955" s="3">
        <f>IFERROR(__xludf.DUMMYFUNCTION("""COMPUTED_VALUE"""),26.0)</f>
        <v>26</v>
      </c>
      <c r="E955" s="2"/>
      <c r="F955" s="2"/>
    </row>
    <row r="956">
      <c r="A956" s="2">
        <f>IFERROR(__xludf.DUMMYFUNCTION("""COMPUTED_VALUE"""),20055.0)</f>
        <v>20055</v>
      </c>
      <c r="B956" s="2">
        <f>IFERROR(__xludf.DUMMYFUNCTION("""COMPUTED_VALUE"""),0.0)</f>
        <v>0</v>
      </c>
      <c r="C956" s="2">
        <f>IFERROR(__xludf.DUMMYFUNCTION("""COMPUTED_VALUE"""),313.0)</f>
        <v>313</v>
      </c>
      <c r="D956" s="3">
        <f>IFERROR(__xludf.DUMMYFUNCTION("""COMPUTED_VALUE"""),52.0)</f>
        <v>52</v>
      </c>
      <c r="E956" s="2"/>
      <c r="F956" s="2"/>
    </row>
    <row r="957">
      <c r="A957" s="2">
        <f>IFERROR(__xludf.DUMMYFUNCTION("""COMPUTED_VALUE"""),112845.0)</f>
        <v>112845</v>
      </c>
      <c r="B957" s="2">
        <f>IFERROR(__xludf.DUMMYFUNCTION("""COMPUTED_VALUE"""),0.0)</f>
        <v>0</v>
      </c>
      <c r="C957" s="2">
        <f>IFERROR(__xludf.DUMMYFUNCTION("""COMPUTED_VALUE"""),744.0)</f>
        <v>744</v>
      </c>
      <c r="D957" s="3">
        <f>IFERROR(__xludf.DUMMYFUNCTION("""COMPUTED_VALUE"""),667.0)</f>
        <v>667</v>
      </c>
      <c r="E957" s="2"/>
      <c r="F957" s="2"/>
    </row>
    <row r="958">
      <c r="A958" s="2">
        <f>IFERROR(__xludf.DUMMYFUNCTION("""COMPUTED_VALUE"""),9490.0)</f>
        <v>9490</v>
      </c>
      <c r="B958" s="2">
        <f>IFERROR(__xludf.DUMMYFUNCTION("""COMPUTED_VALUE"""),1.0)</f>
        <v>1</v>
      </c>
      <c r="C958" s="2">
        <f>IFERROR(__xludf.DUMMYFUNCTION("""COMPUTED_VALUE"""),744.0)</f>
        <v>744</v>
      </c>
      <c r="D958" s="3">
        <f>IFERROR(__xludf.DUMMYFUNCTION("""COMPUTED_VALUE"""),364.0)</f>
        <v>364</v>
      </c>
      <c r="E958" s="2"/>
      <c r="F958" s="2"/>
    </row>
    <row r="959">
      <c r="A959" s="2">
        <f>IFERROR(__xludf.DUMMYFUNCTION("""COMPUTED_VALUE"""),105034.0)</f>
        <v>105034</v>
      </c>
      <c r="B959" s="2">
        <f>IFERROR(__xludf.DUMMYFUNCTION("""COMPUTED_VALUE"""),1.0)</f>
        <v>1</v>
      </c>
      <c r="C959" s="2">
        <f>IFERROR(__xludf.DUMMYFUNCTION("""COMPUTED_VALUE"""),199.0)</f>
        <v>199</v>
      </c>
      <c r="D959" s="3">
        <f>IFERROR(__xludf.DUMMYFUNCTION("""COMPUTED_VALUE"""),71.0)</f>
        <v>71</v>
      </c>
      <c r="E959" s="2"/>
      <c r="F959" s="2"/>
    </row>
    <row r="960">
      <c r="A960" s="2">
        <f>IFERROR(__xludf.DUMMYFUNCTION("""COMPUTED_VALUE"""),122680.0)</f>
        <v>122680</v>
      </c>
      <c r="B960" s="2">
        <f>IFERROR(__xludf.DUMMYFUNCTION("""COMPUTED_VALUE"""),0.0)</f>
        <v>0</v>
      </c>
      <c r="C960" s="2">
        <f>IFERROR(__xludf.DUMMYFUNCTION("""COMPUTED_VALUE"""),115.0)</f>
        <v>115</v>
      </c>
      <c r="D960" s="3">
        <f>IFERROR(__xludf.DUMMYFUNCTION("""COMPUTED_VALUE"""),25.0)</f>
        <v>25</v>
      </c>
      <c r="E960" s="2"/>
      <c r="F960" s="2"/>
    </row>
    <row r="961">
      <c r="A961" s="2">
        <f>IFERROR(__xludf.DUMMYFUNCTION("""COMPUTED_VALUE"""),112846.0)</f>
        <v>112846</v>
      </c>
      <c r="B961" s="2">
        <f>IFERROR(__xludf.DUMMYFUNCTION("""COMPUTED_VALUE"""),1.0)</f>
        <v>1</v>
      </c>
      <c r="C961" s="2">
        <f>IFERROR(__xludf.DUMMYFUNCTION("""COMPUTED_VALUE"""),845.0)</f>
        <v>845</v>
      </c>
      <c r="D961" s="3">
        <f>IFERROR(__xludf.DUMMYFUNCTION("""COMPUTED_VALUE"""),115.0)</f>
        <v>115</v>
      </c>
      <c r="E961" s="2"/>
      <c r="F961" s="2"/>
    </row>
    <row r="962">
      <c r="A962" s="2">
        <f>IFERROR(__xludf.DUMMYFUNCTION("""COMPUTED_VALUE"""),80816.0)</f>
        <v>80816</v>
      </c>
      <c r="B962" s="2">
        <f>IFERROR(__xludf.DUMMYFUNCTION("""COMPUTED_VALUE"""),1.0)</f>
        <v>1</v>
      </c>
      <c r="C962" s="2">
        <f>IFERROR(__xludf.DUMMYFUNCTION("""COMPUTED_VALUE"""),919.0)</f>
        <v>919</v>
      </c>
      <c r="D962" s="3">
        <f>IFERROR(__xludf.DUMMYFUNCTION("""COMPUTED_VALUE"""),689.0)</f>
        <v>689</v>
      </c>
      <c r="E962" s="2"/>
      <c r="F962" s="2"/>
    </row>
    <row r="963">
      <c r="A963" s="2">
        <f>IFERROR(__xludf.DUMMYFUNCTION("""COMPUTED_VALUE"""),44749.0)</f>
        <v>44749</v>
      </c>
      <c r="B963" s="2">
        <f>IFERROR(__xludf.DUMMYFUNCTION("""COMPUTED_VALUE"""),1.0)</f>
        <v>1</v>
      </c>
      <c r="C963" s="2">
        <f>IFERROR(__xludf.DUMMYFUNCTION("""COMPUTED_VALUE"""),269.0)</f>
        <v>269</v>
      </c>
      <c r="D963" s="3">
        <f>IFERROR(__xludf.DUMMYFUNCTION("""COMPUTED_VALUE"""),53.0)</f>
        <v>53</v>
      </c>
      <c r="E963" s="2"/>
      <c r="F963" s="2"/>
    </row>
    <row r="964">
      <c r="A964" s="2">
        <f>IFERROR(__xludf.DUMMYFUNCTION("""COMPUTED_VALUE"""),79498.0)</f>
        <v>79498</v>
      </c>
      <c r="B964" s="2">
        <f>IFERROR(__xludf.DUMMYFUNCTION("""COMPUTED_VALUE"""),0.0)</f>
        <v>0</v>
      </c>
      <c r="C964" s="2">
        <f>IFERROR(__xludf.DUMMYFUNCTION("""COMPUTED_VALUE"""),209.0)</f>
        <v>209</v>
      </c>
      <c r="D964" s="3">
        <f>IFERROR(__xludf.DUMMYFUNCTION("""COMPUTED_VALUE"""),61.0)</f>
        <v>61</v>
      </c>
      <c r="E964" s="2"/>
      <c r="F964" s="2"/>
    </row>
    <row r="965">
      <c r="A965" s="2">
        <f>IFERROR(__xludf.DUMMYFUNCTION("""COMPUTED_VALUE"""),2799.0)</f>
        <v>2799</v>
      </c>
      <c r="B965" s="2">
        <f>IFERROR(__xludf.DUMMYFUNCTION("""COMPUTED_VALUE"""),1.0)</f>
        <v>1</v>
      </c>
      <c r="C965" s="2">
        <f>IFERROR(__xludf.DUMMYFUNCTION("""COMPUTED_VALUE"""),587.0)</f>
        <v>587</v>
      </c>
      <c r="D965" s="3">
        <f>IFERROR(__xludf.DUMMYFUNCTION("""COMPUTED_VALUE"""),50.0)</f>
        <v>50</v>
      </c>
      <c r="E965" s="2"/>
      <c r="F965" s="2"/>
    </row>
    <row r="966">
      <c r="A966" s="2">
        <f>IFERROR(__xludf.DUMMYFUNCTION("""COMPUTED_VALUE"""),194401.0)</f>
        <v>194401</v>
      </c>
      <c r="B966" s="2">
        <f>IFERROR(__xludf.DUMMYFUNCTION("""COMPUTED_VALUE"""),1.0)</f>
        <v>1</v>
      </c>
      <c r="C966" s="2">
        <f>IFERROR(__xludf.DUMMYFUNCTION("""COMPUTED_VALUE"""),871.0)</f>
        <v>871</v>
      </c>
      <c r="D966" s="3">
        <f>IFERROR(__xludf.DUMMYFUNCTION("""COMPUTED_VALUE"""),454.0)</f>
        <v>454</v>
      </c>
      <c r="E966" s="2"/>
      <c r="F966" s="2"/>
    </row>
    <row r="967">
      <c r="A967" s="2">
        <f>IFERROR(__xludf.DUMMYFUNCTION("""COMPUTED_VALUE"""),5291.0)</f>
        <v>5291</v>
      </c>
      <c r="B967" s="2">
        <f>IFERROR(__xludf.DUMMYFUNCTION("""COMPUTED_VALUE"""),0.0)</f>
        <v>0</v>
      </c>
      <c r="C967" s="2">
        <f>IFERROR(__xludf.DUMMYFUNCTION("""COMPUTED_VALUE"""),721.0)</f>
        <v>721</v>
      </c>
      <c r="D967" s="3">
        <f>IFERROR(__xludf.DUMMYFUNCTION("""COMPUTED_VALUE"""),390.0)</f>
        <v>390</v>
      </c>
      <c r="E967" s="2"/>
      <c r="F967" s="2"/>
    </row>
    <row r="968">
      <c r="A968" s="2">
        <f>IFERROR(__xludf.DUMMYFUNCTION("""COMPUTED_VALUE"""),2796.0)</f>
        <v>2796</v>
      </c>
      <c r="B968" s="2">
        <f>IFERROR(__xludf.DUMMYFUNCTION("""COMPUTED_VALUE"""),1.0)</f>
        <v>1</v>
      </c>
      <c r="C968" s="2">
        <f>IFERROR(__xludf.DUMMYFUNCTION("""COMPUTED_VALUE"""),821.0)</f>
        <v>821</v>
      </c>
      <c r="D968" s="3">
        <f>IFERROR(__xludf.DUMMYFUNCTION("""COMPUTED_VALUE"""),427.0)</f>
        <v>427</v>
      </c>
      <c r="E968" s="2"/>
      <c r="F968" s="2"/>
    </row>
    <row r="969">
      <c r="A969" s="2">
        <f>IFERROR(__xludf.DUMMYFUNCTION("""COMPUTED_VALUE"""),71325.0)</f>
        <v>71325</v>
      </c>
      <c r="B969" s="2">
        <f>IFERROR(__xludf.DUMMYFUNCTION("""COMPUTED_VALUE"""),1.0)</f>
        <v>1</v>
      </c>
      <c r="C969" s="2">
        <f>IFERROR(__xludf.DUMMYFUNCTION("""COMPUTED_VALUE"""),341.0)</f>
        <v>341</v>
      </c>
      <c r="D969" s="3">
        <f>IFERROR(__xludf.DUMMYFUNCTION("""COMPUTED_VALUE"""),327.0)</f>
        <v>327</v>
      </c>
      <c r="E969" s="2"/>
      <c r="F969" s="2"/>
    </row>
    <row r="970">
      <c r="A970" s="2">
        <f>IFERROR(__xludf.DUMMYFUNCTION("""COMPUTED_VALUE"""),2793.0)</f>
        <v>2793</v>
      </c>
      <c r="B970" s="2">
        <f>IFERROR(__xludf.DUMMYFUNCTION("""COMPUTED_VALUE"""),0.0)</f>
        <v>0</v>
      </c>
      <c r="C970" s="2">
        <f>IFERROR(__xludf.DUMMYFUNCTION("""COMPUTED_VALUE"""),72.0)</f>
        <v>72</v>
      </c>
      <c r="D970" s="3">
        <f>IFERROR(__xludf.DUMMYFUNCTION("""COMPUTED_VALUE"""),26.0)</f>
        <v>26</v>
      </c>
      <c r="E970" s="2"/>
      <c r="F970" s="2"/>
    </row>
    <row r="971">
      <c r="A971" s="2">
        <f>IFERROR(__xludf.DUMMYFUNCTION("""COMPUTED_VALUE"""),102781.0)</f>
        <v>102781</v>
      </c>
      <c r="B971" s="2">
        <f>IFERROR(__xludf.DUMMYFUNCTION("""COMPUTED_VALUE"""),1.0)</f>
        <v>1</v>
      </c>
      <c r="C971" s="2">
        <f>IFERROR(__xludf.DUMMYFUNCTION("""COMPUTED_VALUE"""),855.0)</f>
        <v>855</v>
      </c>
      <c r="D971" s="3">
        <f>IFERROR(__xludf.DUMMYFUNCTION("""COMPUTED_VALUE"""),797.0)</f>
        <v>797</v>
      </c>
      <c r="E971" s="2"/>
      <c r="F971" s="2"/>
    </row>
    <row r="972">
      <c r="A972" s="2">
        <f>IFERROR(__xludf.DUMMYFUNCTION("""COMPUTED_VALUE"""),109201.0)</f>
        <v>109201</v>
      </c>
      <c r="B972" s="2">
        <f>IFERROR(__xludf.DUMMYFUNCTION("""COMPUTED_VALUE"""),1.0)</f>
        <v>1</v>
      </c>
      <c r="C972" s="2">
        <f>IFERROR(__xludf.DUMMYFUNCTION("""COMPUTED_VALUE"""),482.0)</f>
        <v>482</v>
      </c>
      <c r="D972" s="3">
        <f>IFERROR(__xludf.DUMMYFUNCTION("""COMPUTED_VALUE"""),297.0)</f>
        <v>297</v>
      </c>
      <c r="E972" s="2"/>
      <c r="F972" s="2"/>
    </row>
    <row r="973">
      <c r="A973" s="2">
        <f>IFERROR(__xludf.DUMMYFUNCTION("""COMPUTED_VALUE"""),72814.0)</f>
        <v>72814</v>
      </c>
      <c r="B973" s="2">
        <f>IFERROR(__xludf.DUMMYFUNCTION("""COMPUTED_VALUE"""),0.0)</f>
        <v>0</v>
      </c>
      <c r="C973" s="2">
        <f>IFERROR(__xludf.DUMMYFUNCTION("""COMPUTED_VALUE"""),854.0)</f>
        <v>854</v>
      </c>
      <c r="D973" s="3">
        <f>IFERROR(__xludf.DUMMYFUNCTION("""COMPUTED_VALUE"""),575.0)</f>
        <v>575</v>
      </c>
      <c r="E973" s="2"/>
      <c r="F973" s="2"/>
    </row>
    <row r="974">
      <c r="A974" s="2">
        <f>IFERROR(__xludf.DUMMYFUNCTION("""COMPUTED_VALUE"""),122351.0)</f>
        <v>122351</v>
      </c>
      <c r="B974" s="2">
        <f>IFERROR(__xludf.DUMMYFUNCTION("""COMPUTED_VALUE"""),1.0)</f>
        <v>1</v>
      </c>
      <c r="C974" s="2">
        <f>IFERROR(__xludf.DUMMYFUNCTION("""COMPUTED_VALUE"""),211.0)</f>
        <v>211</v>
      </c>
      <c r="D974" s="3">
        <f>IFERROR(__xludf.DUMMYFUNCTION("""COMPUTED_VALUE"""),182.0)</f>
        <v>182</v>
      </c>
      <c r="E974" s="2"/>
      <c r="F974" s="2"/>
    </row>
    <row r="975">
      <c r="A975" s="2">
        <f>IFERROR(__xludf.DUMMYFUNCTION("""COMPUTED_VALUE"""),99298.0)</f>
        <v>99298</v>
      </c>
      <c r="B975" s="2">
        <f>IFERROR(__xludf.DUMMYFUNCTION("""COMPUTED_VALUE"""),0.0)</f>
        <v>0</v>
      </c>
      <c r="C975" s="2">
        <f>IFERROR(__xludf.DUMMYFUNCTION("""COMPUTED_VALUE"""),661.0)</f>
        <v>661</v>
      </c>
      <c r="D975" s="3">
        <f>IFERROR(__xludf.DUMMYFUNCTION("""COMPUTED_VALUE"""),88.0)</f>
        <v>88</v>
      </c>
      <c r="E975" s="2"/>
      <c r="F975" s="2"/>
    </row>
    <row r="976">
      <c r="A976" s="2">
        <f>IFERROR(__xludf.DUMMYFUNCTION("""COMPUTED_VALUE"""),3731.0)</f>
        <v>3731</v>
      </c>
      <c r="B976" s="2">
        <f>IFERROR(__xludf.DUMMYFUNCTION("""COMPUTED_VALUE"""),0.0)</f>
        <v>0</v>
      </c>
      <c r="C976" s="2">
        <f>IFERROR(__xludf.DUMMYFUNCTION("""COMPUTED_VALUE"""),618.0)</f>
        <v>618</v>
      </c>
      <c r="D976" s="3">
        <f>IFERROR(__xludf.DUMMYFUNCTION("""COMPUTED_VALUE"""),23.0)</f>
        <v>23</v>
      </c>
      <c r="E976" s="2"/>
      <c r="F976" s="2"/>
    </row>
    <row r="977">
      <c r="A977" s="2">
        <f>IFERROR(__xludf.DUMMYFUNCTION("""COMPUTED_VALUE"""),11489.0)</f>
        <v>11489</v>
      </c>
      <c r="B977" s="2">
        <f>IFERROR(__xludf.DUMMYFUNCTION("""COMPUTED_VALUE"""),0.0)</f>
        <v>0</v>
      </c>
      <c r="C977" s="2">
        <f>IFERROR(__xludf.DUMMYFUNCTION("""COMPUTED_VALUE"""),410.0)</f>
        <v>410</v>
      </c>
      <c r="D977" s="3">
        <f>IFERROR(__xludf.DUMMYFUNCTION("""COMPUTED_VALUE"""),199.0)</f>
        <v>199</v>
      </c>
      <c r="E977" s="2"/>
      <c r="F977" s="2"/>
    </row>
    <row r="978">
      <c r="A978" s="2">
        <f>IFERROR(__xludf.DUMMYFUNCTION("""COMPUTED_VALUE"""),122302.0)</f>
        <v>122302</v>
      </c>
      <c r="B978" s="2">
        <f>IFERROR(__xludf.DUMMYFUNCTION("""COMPUTED_VALUE"""),0.0)</f>
        <v>0</v>
      </c>
      <c r="C978" s="2">
        <f>IFERROR(__xludf.DUMMYFUNCTION("""COMPUTED_VALUE"""),60.0)</f>
        <v>60</v>
      </c>
      <c r="D978" s="3">
        <f>IFERROR(__xludf.DUMMYFUNCTION("""COMPUTED_VALUE"""),51.0)</f>
        <v>51</v>
      </c>
      <c r="E978" s="2"/>
      <c r="F978" s="2"/>
    </row>
    <row r="979">
      <c r="A979" s="2">
        <f>IFERROR(__xludf.DUMMYFUNCTION("""COMPUTED_VALUE"""),28838.0)</f>
        <v>28838</v>
      </c>
      <c r="B979" s="2">
        <f>IFERROR(__xludf.DUMMYFUNCTION("""COMPUTED_VALUE"""),0.0)</f>
        <v>0</v>
      </c>
      <c r="C979" s="2">
        <f>IFERROR(__xludf.DUMMYFUNCTION("""COMPUTED_VALUE"""),416.0)</f>
        <v>416</v>
      </c>
      <c r="D979" s="3">
        <f>IFERROR(__xludf.DUMMYFUNCTION("""COMPUTED_VALUE"""),251.0)</f>
        <v>251</v>
      </c>
      <c r="E979" s="2"/>
      <c r="F979" s="2"/>
    </row>
    <row r="980">
      <c r="A980" s="2">
        <f>IFERROR(__xludf.DUMMYFUNCTION("""COMPUTED_VALUE"""),72843.0)</f>
        <v>72843</v>
      </c>
      <c r="B980" s="2">
        <f>IFERROR(__xludf.DUMMYFUNCTION("""COMPUTED_VALUE"""),1.0)</f>
        <v>1</v>
      </c>
      <c r="C980" s="2">
        <f>IFERROR(__xludf.DUMMYFUNCTION("""COMPUTED_VALUE"""),972.0)</f>
        <v>972</v>
      </c>
      <c r="D980" s="3">
        <f>IFERROR(__xludf.DUMMYFUNCTION("""COMPUTED_VALUE"""),568.0)</f>
        <v>568</v>
      </c>
      <c r="E980" s="2"/>
      <c r="F980" s="2"/>
    </row>
    <row r="981">
      <c r="A981" s="2">
        <f>IFERROR(__xludf.DUMMYFUNCTION("""COMPUTED_VALUE"""),80809.0)</f>
        <v>80809</v>
      </c>
      <c r="B981" s="2">
        <f>IFERROR(__xludf.DUMMYFUNCTION("""COMPUTED_VALUE"""),0.0)</f>
        <v>0</v>
      </c>
      <c r="C981" s="2">
        <f>IFERROR(__xludf.DUMMYFUNCTION("""COMPUTED_VALUE"""),532.0)</f>
        <v>532</v>
      </c>
      <c r="D981" s="3">
        <f>IFERROR(__xludf.DUMMYFUNCTION("""COMPUTED_VALUE"""),20.0)</f>
        <v>20</v>
      </c>
      <c r="E981" s="2"/>
      <c r="F981" s="2"/>
    </row>
    <row r="982">
      <c r="A982" s="2">
        <f>IFERROR(__xludf.DUMMYFUNCTION("""COMPUTED_VALUE"""),127006.0)</f>
        <v>127006</v>
      </c>
      <c r="B982" s="2">
        <f>IFERROR(__xludf.DUMMYFUNCTION("""COMPUTED_VALUE"""),1.0)</f>
        <v>1</v>
      </c>
      <c r="C982" s="2">
        <f>IFERROR(__xludf.DUMMYFUNCTION("""COMPUTED_VALUE"""),615.0)</f>
        <v>615</v>
      </c>
      <c r="D982" s="3">
        <f>IFERROR(__xludf.DUMMYFUNCTION("""COMPUTED_VALUE"""),180.0)</f>
        <v>180</v>
      </c>
      <c r="E982" s="2"/>
      <c r="F982" s="2"/>
    </row>
    <row r="983">
      <c r="A983" s="2">
        <f>IFERROR(__xludf.DUMMYFUNCTION("""COMPUTED_VALUE"""),82448.0)</f>
        <v>82448</v>
      </c>
      <c r="B983" s="2">
        <f>IFERROR(__xludf.DUMMYFUNCTION("""COMPUTED_VALUE"""),1.0)</f>
        <v>1</v>
      </c>
      <c r="C983" s="2">
        <f>IFERROR(__xludf.DUMMYFUNCTION("""COMPUTED_VALUE"""),912.0)</f>
        <v>912</v>
      </c>
      <c r="D983" s="3">
        <f>IFERROR(__xludf.DUMMYFUNCTION("""COMPUTED_VALUE"""),869.0)</f>
        <v>869</v>
      </c>
      <c r="E983" s="2"/>
      <c r="F983" s="2"/>
    </row>
    <row r="984">
      <c r="A984" s="2">
        <f>IFERROR(__xludf.DUMMYFUNCTION("""COMPUTED_VALUE"""),13028.0)</f>
        <v>13028</v>
      </c>
      <c r="B984" s="2">
        <f>IFERROR(__xludf.DUMMYFUNCTION("""COMPUTED_VALUE"""),1.0)</f>
        <v>1</v>
      </c>
      <c r="C984" s="2">
        <f>IFERROR(__xludf.DUMMYFUNCTION("""COMPUTED_VALUE"""),856.0)</f>
        <v>856</v>
      </c>
      <c r="D984" s="3">
        <f>IFERROR(__xludf.DUMMYFUNCTION("""COMPUTED_VALUE"""),665.0)</f>
        <v>665</v>
      </c>
      <c r="E984" s="2"/>
      <c r="F984" s="2"/>
    </row>
    <row r="985">
      <c r="A985" s="2">
        <f>IFERROR(__xludf.DUMMYFUNCTION("""COMPUTED_VALUE"""),118577.0)</f>
        <v>118577</v>
      </c>
      <c r="B985" s="2">
        <f>IFERROR(__xludf.DUMMYFUNCTION("""COMPUTED_VALUE"""),0.0)</f>
        <v>0</v>
      </c>
      <c r="C985" s="2">
        <f>IFERROR(__xludf.DUMMYFUNCTION("""COMPUTED_VALUE"""),946.0)</f>
        <v>946</v>
      </c>
      <c r="D985" s="3">
        <f>IFERROR(__xludf.DUMMYFUNCTION("""COMPUTED_VALUE"""),761.0)</f>
        <v>761</v>
      </c>
      <c r="E985" s="2"/>
      <c r="F985" s="2"/>
    </row>
    <row r="986">
      <c r="A986" s="2">
        <f>IFERROR(__xludf.DUMMYFUNCTION("""COMPUTED_VALUE"""),117890.0)</f>
        <v>117890</v>
      </c>
      <c r="B986" s="2">
        <f>IFERROR(__xludf.DUMMYFUNCTION("""COMPUTED_VALUE"""),1.0)</f>
        <v>1</v>
      </c>
      <c r="C986" s="2">
        <f>IFERROR(__xludf.DUMMYFUNCTION("""COMPUTED_VALUE"""),437.0)</f>
        <v>437</v>
      </c>
      <c r="D986" s="3">
        <f>IFERROR(__xludf.DUMMYFUNCTION("""COMPUTED_VALUE"""),436.0)</f>
        <v>436</v>
      </c>
      <c r="E986" s="2"/>
      <c r="F986" s="2"/>
    </row>
    <row r="987">
      <c r="A987" s="2">
        <f>IFERROR(__xludf.DUMMYFUNCTION("""COMPUTED_VALUE"""),118617.0)</f>
        <v>118617</v>
      </c>
      <c r="B987" s="2">
        <f>IFERROR(__xludf.DUMMYFUNCTION("""COMPUTED_VALUE"""),1.0)</f>
        <v>1</v>
      </c>
      <c r="C987" s="2">
        <f>IFERROR(__xludf.DUMMYFUNCTION("""COMPUTED_VALUE"""),376.0)</f>
        <v>376</v>
      </c>
      <c r="D987" s="3">
        <f>IFERROR(__xludf.DUMMYFUNCTION("""COMPUTED_VALUE"""),90.0)</f>
        <v>90</v>
      </c>
      <c r="E987" s="2"/>
      <c r="F987" s="2"/>
    </row>
    <row r="988">
      <c r="A988" s="2">
        <f>IFERROR(__xludf.DUMMYFUNCTION("""COMPUTED_VALUE"""),109995.0)</f>
        <v>109995</v>
      </c>
      <c r="B988" s="2">
        <f>IFERROR(__xludf.DUMMYFUNCTION("""COMPUTED_VALUE"""),0.0)</f>
        <v>0</v>
      </c>
      <c r="C988" s="2">
        <f>IFERROR(__xludf.DUMMYFUNCTION("""COMPUTED_VALUE"""),421.0)</f>
        <v>421</v>
      </c>
      <c r="D988" s="3">
        <f>IFERROR(__xludf.DUMMYFUNCTION("""COMPUTED_VALUE"""),199.0)</f>
        <v>199</v>
      </c>
      <c r="E988" s="2"/>
      <c r="F988" s="2"/>
    </row>
    <row r="989">
      <c r="A989" s="2">
        <f>IFERROR(__xludf.DUMMYFUNCTION("""COMPUTED_VALUE"""),109996.0)</f>
        <v>109996</v>
      </c>
      <c r="B989" s="2">
        <f>IFERROR(__xludf.DUMMYFUNCTION("""COMPUTED_VALUE"""),0.0)</f>
        <v>0</v>
      </c>
      <c r="C989" s="2">
        <f>IFERROR(__xludf.DUMMYFUNCTION("""COMPUTED_VALUE"""),0.0)</f>
        <v>0</v>
      </c>
      <c r="D989" s="3">
        <f>IFERROR(__xludf.DUMMYFUNCTION("""COMPUTED_VALUE"""),0.0)</f>
        <v>0</v>
      </c>
      <c r="E989" s="2"/>
      <c r="F989" s="2"/>
    </row>
    <row r="990">
      <c r="A990" s="2">
        <f>IFERROR(__xludf.DUMMYFUNCTION("""COMPUTED_VALUE"""),49107.0)</f>
        <v>49107</v>
      </c>
      <c r="B990" s="2">
        <f>IFERROR(__xludf.DUMMYFUNCTION("""COMPUTED_VALUE"""),1.0)</f>
        <v>1</v>
      </c>
      <c r="C990" s="2">
        <f>IFERROR(__xludf.DUMMYFUNCTION("""COMPUTED_VALUE"""),852.0)</f>
        <v>852</v>
      </c>
      <c r="D990" s="3">
        <f>IFERROR(__xludf.DUMMYFUNCTION("""COMPUTED_VALUE"""),329.0)</f>
        <v>329</v>
      </c>
      <c r="E990" s="2"/>
      <c r="F990" s="2"/>
    </row>
    <row r="991">
      <c r="A991" s="2">
        <f>IFERROR(__xludf.DUMMYFUNCTION("""COMPUTED_VALUE"""),29585.0)</f>
        <v>29585</v>
      </c>
      <c r="B991" s="2">
        <f>IFERROR(__xludf.DUMMYFUNCTION("""COMPUTED_VALUE"""),0.0)</f>
        <v>0</v>
      </c>
      <c r="C991" s="2">
        <f>IFERROR(__xludf.DUMMYFUNCTION("""COMPUTED_VALUE"""),116.0)</f>
        <v>116</v>
      </c>
      <c r="D991" s="3">
        <f>IFERROR(__xludf.DUMMYFUNCTION("""COMPUTED_VALUE"""),113.0)</f>
        <v>113</v>
      </c>
      <c r="E991" s="2"/>
      <c r="F991" s="2"/>
    </row>
    <row r="992">
      <c r="A992" s="2">
        <f>IFERROR(__xludf.DUMMYFUNCTION("""COMPUTED_VALUE"""),111677.0)</f>
        <v>111677</v>
      </c>
      <c r="B992" s="2">
        <f>IFERROR(__xludf.DUMMYFUNCTION("""COMPUTED_VALUE"""),1.0)</f>
        <v>1</v>
      </c>
      <c r="C992" s="2">
        <f>IFERROR(__xludf.DUMMYFUNCTION("""COMPUTED_VALUE"""),304.0)</f>
        <v>304</v>
      </c>
      <c r="D992" s="3">
        <f>IFERROR(__xludf.DUMMYFUNCTION("""COMPUTED_VALUE"""),165.0)</f>
        <v>165</v>
      </c>
      <c r="E992" s="2"/>
      <c r="F992" s="2"/>
    </row>
    <row r="993">
      <c r="A993" s="2">
        <f>IFERROR(__xludf.DUMMYFUNCTION("""COMPUTED_VALUE"""),93102.0)</f>
        <v>93102</v>
      </c>
      <c r="B993" s="2">
        <f>IFERROR(__xludf.DUMMYFUNCTION("""COMPUTED_VALUE"""),1.0)</f>
        <v>1</v>
      </c>
      <c r="C993" s="2">
        <f>IFERROR(__xludf.DUMMYFUNCTION("""COMPUTED_VALUE"""),291.0)</f>
        <v>291</v>
      </c>
      <c r="D993" s="3">
        <f>IFERROR(__xludf.DUMMYFUNCTION("""COMPUTED_VALUE"""),139.0)</f>
        <v>139</v>
      </c>
      <c r="E993" s="2"/>
      <c r="F993" s="2"/>
    </row>
    <row r="994">
      <c r="A994" s="2">
        <f>IFERROR(__xludf.DUMMYFUNCTION("""COMPUTED_VALUE"""),30712.0)</f>
        <v>30712</v>
      </c>
      <c r="B994" s="2">
        <f>IFERROR(__xludf.DUMMYFUNCTION("""COMPUTED_VALUE"""),0.0)</f>
        <v>0</v>
      </c>
      <c r="C994" s="2">
        <f>IFERROR(__xludf.DUMMYFUNCTION("""COMPUTED_VALUE"""),524.0)</f>
        <v>524</v>
      </c>
      <c r="D994" s="3">
        <f>IFERROR(__xludf.DUMMYFUNCTION("""COMPUTED_VALUE"""),16.0)</f>
        <v>16</v>
      </c>
      <c r="E994" s="2"/>
      <c r="F994" s="2"/>
    </row>
    <row r="995">
      <c r="A995" s="2">
        <f>IFERROR(__xludf.DUMMYFUNCTION("""COMPUTED_VALUE"""),89128.0)</f>
        <v>89128</v>
      </c>
      <c r="B995" s="2">
        <f>IFERROR(__xludf.DUMMYFUNCTION("""COMPUTED_VALUE"""),1.0)</f>
        <v>1</v>
      </c>
      <c r="C995" s="2">
        <f>IFERROR(__xludf.DUMMYFUNCTION("""COMPUTED_VALUE"""),905.0)</f>
        <v>905</v>
      </c>
      <c r="D995" s="3">
        <f>IFERROR(__xludf.DUMMYFUNCTION("""COMPUTED_VALUE"""),723.0)</f>
        <v>723</v>
      </c>
      <c r="E995" s="2"/>
      <c r="F995" s="2"/>
    </row>
    <row r="996">
      <c r="A996" s="2">
        <f>IFERROR(__xludf.DUMMYFUNCTION("""COMPUTED_VALUE"""),29587.0)</f>
        <v>29587</v>
      </c>
      <c r="B996" s="2">
        <f>IFERROR(__xludf.DUMMYFUNCTION("""COMPUTED_VALUE"""),1.0)</f>
        <v>1</v>
      </c>
      <c r="C996" s="2">
        <f>IFERROR(__xludf.DUMMYFUNCTION("""COMPUTED_VALUE"""),550.0)</f>
        <v>550</v>
      </c>
      <c r="D996" s="3">
        <f>IFERROR(__xludf.DUMMYFUNCTION("""COMPUTED_VALUE"""),410.0)</f>
        <v>410</v>
      </c>
      <c r="E996" s="2"/>
      <c r="F996" s="2"/>
    </row>
    <row r="997">
      <c r="A997" s="2">
        <f>IFERROR(__xludf.DUMMYFUNCTION("""COMPUTED_VALUE"""),30711.0)</f>
        <v>30711</v>
      </c>
      <c r="B997" s="2">
        <f>IFERROR(__xludf.DUMMYFUNCTION("""COMPUTED_VALUE"""),0.0)</f>
        <v>0</v>
      </c>
      <c r="C997" s="2">
        <f>IFERROR(__xludf.DUMMYFUNCTION("""COMPUTED_VALUE"""),683.0)</f>
        <v>683</v>
      </c>
      <c r="D997" s="3">
        <f>IFERROR(__xludf.DUMMYFUNCTION("""COMPUTED_VALUE"""),325.0)</f>
        <v>325</v>
      </c>
      <c r="E997" s="2"/>
      <c r="F997" s="2"/>
    </row>
    <row r="998">
      <c r="A998" s="2">
        <f>IFERROR(__xludf.DUMMYFUNCTION("""COMPUTED_VALUE"""),45306.0)</f>
        <v>45306</v>
      </c>
      <c r="B998" s="2">
        <f>IFERROR(__xludf.DUMMYFUNCTION("""COMPUTED_VALUE"""),1.0)</f>
        <v>1</v>
      </c>
      <c r="C998" s="2">
        <f>IFERROR(__xludf.DUMMYFUNCTION("""COMPUTED_VALUE"""),101.0)</f>
        <v>101</v>
      </c>
      <c r="D998" s="3">
        <f>IFERROR(__xludf.DUMMYFUNCTION("""COMPUTED_VALUE"""),15.0)</f>
        <v>15</v>
      </c>
      <c r="E998" s="2"/>
      <c r="F998" s="2"/>
    </row>
    <row r="999">
      <c r="A999" s="2">
        <f>IFERROR(__xludf.DUMMYFUNCTION("""COMPUTED_VALUE"""),120803.0)</f>
        <v>120803</v>
      </c>
      <c r="B999" s="2">
        <f>IFERROR(__xludf.DUMMYFUNCTION("""COMPUTED_VALUE"""),0.0)</f>
        <v>0</v>
      </c>
      <c r="C999" s="2">
        <f>IFERROR(__xludf.DUMMYFUNCTION("""COMPUTED_VALUE"""),142.0)</f>
        <v>142</v>
      </c>
      <c r="D999" s="3">
        <f>IFERROR(__xludf.DUMMYFUNCTION("""COMPUTED_VALUE"""),32.0)</f>
        <v>32</v>
      </c>
      <c r="E999" s="2"/>
      <c r="F999" s="2"/>
    </row>
    <row r="1000">
      <c r="A1000" s="2">
        <f>IFERROR(__xludf.DUMMYFUNCTION("""COMPUTED_VALUE"""),108004.0)</f>
        <v>108004</v>
      </c>
      <c r="B1000" s="2">
        <f>IFERROR(__xludf.DUMMYFUNCTION("""COMPUTED_VALUE"""),0.0)</f>
        <v>0</v>
      </c>
      <c r="C1000" s="2">
        <f>IFERROR(__xludf.DUMMYFUNCTION("""COMPUTED_VALUE"""),24.0)</f>
        <v>24</v>
      </c>
      <c r="D1000" s="3">
        <f>IFERROR(__xludf.DUMMYFUNCTION("""COMPUTED_VALUE"""),21.0)</f>
        <v>21</v>
      </c>
      <c r="E1000" s="2"/>
      <c r="F1000" s="2"/>
    </row>
    <row r="1001">
      <c r="A1001" s="2">
        <f>IFERROR(__xludf.DUMMYFUNCTION("""COMPUTED_VALUE"""),92205.0)</f>
        <v>92205</v>
      </c>
      <c r="B1001" s="2">
        <f>IFERROR(__xludf.DUMMYFUNCTION("""COMPUTED_VALUE"""),1.0)</f>
        <v>1</v>
      </c>
      <c r="C1001" s="2">
        <f>IFERROR(__xludf.DUMMYFUNCTION("""COMPUTED_VALUE"""),748.0)</f>
        <v>748</v>
      </c>
      <c r="D1001" s="3">
        <f>IFERROR(__xludf.DUMMYFUNCTION("""COMPUTED_VALUE"""),230.0)</f>
        <v>230</v>
      </c>
      <c r="E1001" s="2"/>
      <c r="F1001" s="2"/>
    </row>
    <row r="1002">
      <c r="A1002" s="2">
        <f>IFERROR(__xludf.DUMMYFUNCTION("""COMPUTED_VALUE"""),119509.0)</f>
        <v>119509</v>
      </c>
      <c r="B1002" s="2">
        <f>IFERROR(__xludf.DUMMYFUNCTION("""COMPUTED_VALUE"""),1.0)</f>
        <v>1</v>
      </c>
      <c r="C1002" s="2">
        <f>IFERROR(__xludf.DUMMYFUNCTION("""COMPUTED_VALUE"""),253.0)</f>
        <v>253</v>
      </c>
      <c r="D1002" s="3">
        <f>IFERROR(__xludf.DUMMYFUNCTION("""COMPUTED_VALUE"""),60.0)</f>
        <v>60</v>
      </c>
      <c r="E1002" s="2"/>
      <c r="F1002" s="2"/>
    </row>
    <row r="1003">
      <c r="A1003" s="2">
        <f>IFERROR(__xludf.DUMMYFUNCTION("""COMPUTED_VALUE"""),109056.0)</f>
        <v>109056</v>
      </c>
      <c r="B1003" s="2">
        <f>IFERROR(__xludf.DUMMYFUNCTION("""COMPUTED_VALUE"""),1.0)</f>
        <v>1</v>
      </c>
      <c r="C1003" s="2">
        <f>IFERROR(__xludf.DUMMYFUNCTION("""COMPUTED_VALUE"""),807.0)</f>
        <v>807</v>
      </c>
      <c r="D1003" s="3">
        <f>IFERROR(__xludf.DUMMYFUNCTION("""COMPUTED_VALUE"""),502.0)</f>
        <v>502</v>
      </c>
      <c r="E1003" s="2"/>
      <c r="F1003" s="2"/>
    </row>
    <row r="1004">
      <c r="A1004" s="2">
        <f>IFERROR(__xludf.DUMMYFUNCTION("""COMPUTED_VALUE"""),45305.0)</f>
        <v>45305</v>
      </c>
      <c r="B1004" s="2">
        <f>IFERROR(__xludf.DUMMYFUNCTION("""COMPUTED_VALUE"""),0.0)</f>
        <v>0</v>
      </c>
      <c r="C1004" s="2">
        <f>IFERROR(__xludf.DUMMYFUNCTION("""COMPUTED_VALUE"""),204.0)</f>
        <v>204</v>
      </c>
      <c r="D1004" s="3">
        <f>IFERROR(__xludf.DUMMYFUNCTION("""COMPUTED_VALUE"""),145.0)</f>
        <v>145</v>
      </c>
      <c r="E1004" s="2"/>
      <c r="F1004" s="2"/>
    </row>
    <row r="1005">
      <c r="A1005" s="2">
        <f>IFERROR(__xludf.DUMMYFUNCTION("""COMPUTED_VALUE"""),29582.0)</f>
        <v>29582</v>
      </c>
      <c r="B1005" s="2">
        <f>IFERROR(__xludf.DUMMYFUNCTION("""COMPUTED_VALUE"""),1.0)</f>
        <v>1</v>
      </c>
      <c r="C1005" s="2">
        <f>IFERROR(__xludf.DUMMYFUNCTION("""COMPUTED_VALUE"""),133.0)</f>
        <v>133</v>
      </c>
      <c r="D1005" s="3">
        <f>IFERROR(__xludf.DUMMYFUNCTION("""COMPUTED_VALUE"""),43.0)</f>
        <v>43</v>
      </c>
      <c r="E1005" s="2"/>
      <c r="F1005" s="2"/>
    </row>
    <row r="1006">
      <c r="A1006" s="2">
        <f>IFERROR(__xludf.DUMMYFUNCTION("""COMPUTED_VALUE"""),111676.0)</f>
        <v>111676</v>
      </c>
      <c r="B1006" s="2">
        <f>IFERROR(__xludf.DUMMYFUNCTION("""COMPUTED_VALUE"""),1.0)</f>
        <v>1</v>
      </c>
      <c r="C1006" s="2">
        <f>IFERROR(__xludf.DUMMYFUNCTION("""COMPUTED_VALUE"""),764.0)</f>
        <v>764</v>
      </c>
      <c r="D1006" s="3">
        <f>IFERROR(__xludf.DUMMYFUNCTION("""COMPUTED_VALUE"""),636.0)</f>
        <v>636</v>
      </c>
      <c r="E1006" s="2"/>
      <c r="F1006" s="2"/>
    </row>
    <row r="1007">
      <c r="A1007" s="2">
        <f>IFERROR(__xludf.DUMMYFUNCTION("""COMPUTED_VALUE"""),30578.0)</f>
        <v>30578</v>
      </c>
      <c r="B1007" s="2">
        <f>IFERROR(__xludf.DUMMYFUNCTION("""COMPUTED_VALUE"""),0.0)</f>
        <v>0</v>
      </c>
      <c r="C1007" s="2">
        <f>IFERROR(__xludf.DUMMYFUNCTION("""COMPUTED_VALUE"""),254.0)</f>
        <v>254</v>
      </c>
      <c r="D1007" s="3">
        <f>IFERROR(__xludf.DUMMYFUNCTION("""COMPUTED_VALUE"""),142.0)</f>
        <v>142</v>
      </c>
      <c r="E1007" s="2"/>
      <c r="F1007" s="2"/>
    </row>
    <row r="1008">
      <c r="A1008" s="2">
        <f>IFERROR(__xludf.DUMMYFUNCTION("""COMPUTED_VALUE"""),93095.0)</f>
        <v>93095</v>
      </c>
      <c r="B1008" s="2">
        <f>IFERROR(__xludf.DUMMYFUNCTION("""COMPUTED_VALUE"""),1.0)</f>
        <v>1</v>
      </c>
      <c r="C1008" s="2">
        <f>IFERROR(__xludf.DUMMYFUNCTION("""COMPUTED_VALUE"""),240.0)</f>
        <v>240</v>
      </c>
      <c r="D1008" s="3">
        <f>IFERROR(__xludf.DUMMYFUNCTION("""COMPUTED_VALUE"""),136.0)</f>
        <v>136</v>
      </c>
      <c r="E1008" s="2"/>
      <c r="F1008" s="2"/>
    </row>
    <row r="1009">
      <c r="A1009" s="2">
        <f>IFERROR(__xludf.DUMMYFUNCTION("""COMPUTED_VALUE"""),70036.0)</f>
        <v>70036</v>
      </c>
      <c r="B1009" s="2">
        <f>IFERROR(__xludf.DUMMYFUNCTION("""COMPUTED_VALUE"""),0.0)</f>
        <v>0</v>
      </c>
      <c r="C1009" s="2">
        <f>IFERROR(__xludf.DUMMYFUNCTION("""COMPUTED_VALUE"""),442.0)</f>
        <v>442</v>
      </c>
      <c r="D1009" s="3">
        <f>IFERROR(__xludf.DUMMYFUNCTION("""COMPUTED_VALUE"""),309.0)</f>
        <v>309</v>
      </c>
      <c r="E1009" s="2"/>
      <c r="F1009" s="2"/>
    </row>
    <row r="1010">
      <c r="A1010" s="2">
        <f>IFERROR(__xludf.DUMMYFUNCTION("""COMPUTED_VALUE"""),90498.0)</f>
        <v>90498</v>
      </c>
      <c r="B1010" s="2">
        <f>IFERROR(__xludf.DUMMYFUNCTION("""COMPUTED_VALUE"""),0.0)</f>
        <v>0</v>
      </c>
      <c r="C1010" s="2">
        <f>IFERROR(__xludf.DUMMYFUNCTION("""COMPUTED_VALUE"""),384.0)</f>
        <v>384</v>
      </c>
      <c r="D1010" s="3">
        <f>IFERROR(__xludf.DUMMYFUNCTION("""COMPUTED_VALUE"""),275.0)</f>
        <v>275</v>
      </c>
      <c r="E1010" s="2"/>
      <c r="F1010" s="2"/>
    </row>
    <row r="1011">
      <c r="A1011" s="2">
        <f>IFERROR(__xludf.DUMMYFUNCTION("""COMPUTED_VALUE"""),89127.0)</f>
        <v>89127</v>
      </c>
      <c r="B1011" s="2">
        <f>IFERROR(__xludf.DUMMYFUNCTION("""COMPUTED_VALUE"""),1.0)</f>
        <v>1</v>
      </c>
      <c r="C1011" s="2">
        <f>IFERROR(__xludf.DUMMYFUNCTION("""COMPUTED_VALUE"""),760.0)</f>
        <v>760</v>
      </c>
      <c r="D1011" s="3">
        <f>IFERROR(__xludf.DUMMYFUNCTION("""COMPUTED_VALUE"""),354.0)</f>
        <v>354</v>
      </c>
      <c r="E1011" s="2"/>
      <c r="F1011" s="2"/>
    </row>
    <row r="1012">
      <c r="A1012" s="2">
        <f>IFERROR(__xludf.DUMMYFUNCTION("""COMPUTED_VALUE"""),75215.0)</f>
        <v>75215</v>
      </c>
      <c r="B1012" s="2">
        <f>IFERROR(__xludf.DUMMYFUNCTION("""COMPUTED_VALUE"""),0.0)</f>
        <v>0</v>
      </c>
      <c r="C1012" s="2">
        <f>IFERROR(__xludf.DUMMYFUNCTION("""COMPUTED_VALUE"""),766.0)</f>
        <v>766</v>
      </c>
      <c r="D1012" s="3">
        <f>IFERROR(__xludf.DUMMYFUNCTION("""COMPUTED_VALUE"""),127.0)</f>
        <v>127</v>
      </c>
      <c r="E1012" s="2"/>
      <c r="F1012" s="2"/>
    </row>
    <row r="1013">
      <c r="A1013" s="2">
        <f>IFERROR(__xludf.DUMMYFUNCTION("""COMPUTED_VALUE"""),119566.0)</f>
        <v>119566</v>
      </c>
      <c r="B1013" s="2">
        <f>IFERROR(__xludf.DUMMYFUNCTION("""COMPUTED_VALUE"""),0.0)</f>
        <v>0</v>
      </c>
      <c r="C1013" s="2">
        <f>IFERROR(__xludf.DUMMYFUNCTION("""COMPUTED_VALUE"""),949.0)</f>
        <v>949</v>
      </c>
      <c r="D1013" s="3">
        <f>IFERROR(__xludf.DUMMYFUNCTION("""COMPUTED_VALUE"""),510.0)</f>
        <v>510</v>
      </c>
      <c r="E1013" s="2"/>
      <c r="F1013" s="2"/>
    </row>
    <row r="1014">
      <c r="A1014" s="2">
        <f>IFERROR(__xludf.DUMMYFUNCTION("""COMPUTED_VALUE"""),92208.0)</f>
        <v>92208</v>
      </c>
      <c r="B1014" s="2">
        <f>IFERROR(__xludf.DUMMYFUNCTION("""COMPUTED_VALUE"""),0.0)</f>
        <v>0</v>
      </c>
      <c r="C1014" s="2">
        <f>IFERROR(__xludf.DUMMYFUNCTION("""COMPUTED_VALUE"""),546.0)</f>
        <v>546</v>
      </c>
      <c r="D1014" s="3">
        <f>IFERROR(__xludf.DUMMYFUNCTION("""COMPUTED_VALUE"""),216.0)</f>
        <v>216</v>
      </c>
      <c r="E1014" s="2"/>
      <c r="F1014" s="2"/>
    </row>
    <row r="1015">
      <c r="A1015" s="2">
        <f>IFERROR(__xludf.DUMMYFUNCTION("""COMPUTED_VALUE"""),119579.0)</f>
        <v>119579</v>
      </c>
      <c r="B1015" s="2">
        <f>IFERROR(__xludf.DUMMYFUNCTION("""COMPUTED_VALUE"""),0.0)</f>
        <v>0</v>
      </c>
      <c r="C1015" s="2">
        <f>IFERROR(__xludf.DUMMYFUNCTION("""COMPUTED_VALUE"""),595.0)</f>
        <v>595</v>
      </c>
      <c r="D1015" s="3">
        <f>IFERROR(__xludf.DUMMYFUNCTION("""COMPUTED_VALUE"""),28.0)</f>
        <v>28</v>
      </c>
      <c r="E1015" s="2"/>
      <c r="F1015" s="2"/>
    </row>
    <row r="1016">
      <c r="A1016" s="2">
        <f>IFERROR(__xludf.DUMMYFUNCTION("""COMPUTED_VALUE"""),45309.0)</f>
        <v>45309</v>
      </c>
      <c r="B1016" s="2">
        <f>IFERROR(__xludf.DUMMYFUNCTION("""COMPUTED_VALUE"""),1.0)</f>
        <v>1</v>
      </c>
      <c r="C1016" s="2">
        <f>IFERROR(__xludf.DUMMYFUNCTION("""COMPUTED_VALUE"""),722.0)</f>
        <v>722</v>
      </c>
      <c r="D1016" s="3">
        <f>IFERROR(__xludf.DUMMYFUNCTION("""COMPUTED_VALUE"""),601.0)</f>
        <v>601</v>
      </c>
      <c r="E1016" s="2"/>
      <c r="F1016" s="2"/>
    </row>
    <row r="1017">
      <c r="A1017" s="2">
        <f>IFERROR(__xludf.DUMMYFUNCTION("""COMPUTED_VALUE"""),30743.0)</f>
        <v>30743</v>
      </c>
      <c r="B1017" s="2">
        <f>IFERROR(__xludf.DUMMYFUNCTION("""COMPUTED_VALUE"""),0.0)</f>
        <v>0</v>
      </c>
      <c r="C1017" s="2">
        <f>IFERROR(__xludf.DUMMYFUNCTION("""COMPUTED_VALUE"""),453.0)</f>
        <v>453</v>
      </c>
      <c r="D1017" s="3">
        <f>IFERROR(__xludf.DUMMYFUNCTION("""COMPUTED_VALUE"""),46.0)</f>
        <v>46</v>
      </c>
      <c r="E1017" s="2"/>
      <c r="F1017" s="2"/>
    </row>
    <row r="1018">
      <c r="A1018" s="2">
        <f>IFERROR(__xludf.DUMMYFUNCTION("""COMPUTED_VALUE"""),49108.0)</f>
        <v>49108</v>
      </c>
      <c r="B1018" s="2">
        <f>IFERROR(__xludf.DUMMYFUNCTION("""COMPUTED_VALUE"""),0.0)</f>
        <v>0</v>
      </c>
      <c r="C1018" s="2">
        <f>IFERROR(__xludf.DUMMYFUNCTION("""COMPUTED_VALUE"""),449.0)</f>
        <v>449</v>
      </c>
      <c r="D1018" s="3">
        <f>IFERROR(__xludf.DUMMYFUNCTION("""COMPUTED_VALUE"""),190.0)</f>
        <v>190</v>
      </c>
      <c r="E1018" s="2"/>
      <c r="F1018" s="2"/>
    </row>
    <row r="1019">
      <c r="A1019" s="2">
        <f>IFERROR(__xludf.DUMMYFUNCTION("""COMPUTED_VALUE"""),29584.0)</f>
        <v>29584</v>
      </c>
      <c r="B1019" s="2">
        <f>IFERROR(__xludf.DUMMYFUNCTION("""COMPUTED_VALUE"""),0.0)</f>
        <v>0</v>
      </c>
      <c r="C1019" s="2">
        <f>IFERROR(__xludf.DUMMYFUNCTION("""COMPUTED_VALUE"""),79.0)</f>
        <v>79</v>
      </c>
      <c r="D1019" s="3">
        <f>IFERROR(__xludf.DUMMYFUNCTION("""COMPUTED_VALUE"""),13.0)</f>
        <v>13</v>
      </c>
      <c r="E1019" s="2"/>
      <c r="F1019" s="2"/>
    </row>
    <row r="1020">
      <c r="A1020" s="2">
        <f>IFERROR(__xludf.DUMMYFUNCTION("""COMPUTED_VALUE"""),119501.0)</f>
        <v>119501</v>
      </c>
      <c r="B1020" s="2">
        <f>IFERROR(__xludf.DUMMYFUNCTION("""COMPUTED_VALUE"""),1.0)</f>
        <v>1</v>
      </c>
      <c r="C1020" s="2">
        <f>IFERROR(__xludf.DUMMYFUNCTION("""COMPUTED_VALUE"""),484.0)</f>
        <v>484</v>
      </c>
      <c r="D1020" s="3">
        <f>IFERROR(__xludf.DUMMYFUNCTION("""COMPUTED_VALUE"""),423.0)</f>
        <v>423</v>
      </c>
      <c r="E1020" s="2"/>
      <c r="F1020" s="2"/>
    </row>
    <row r="1021">
      <c r="A1021" s="2">
        <f>IFERROR(__xludf.DUMMYFUNCTION("""COMPUTED_VALUE"""),30504.0)</f>
        <v>30504</v>
      </c>
      <c r="B1021" s="2">
        <f>IFERROR(__xludf.DUMMYFUNCTION("""COMPUTED_VALUE"""),0.0)</f>
        <v>0</v>
      </c>
      <c r="C1021" s="2">
        <f>IFERROR(__xludf.DUMMYFUNCTION("""COMPUTED_VALUE"""),241.0)</f>
        <v>241</v>
      </c>
      <c r="D1021" s="3">
        <f>IFERROR(__xludf.DUMMYFUNCTION("""COMPUTED_VALUE"""),174.0)</f>
        <v>174</v>
      </c>
      <c r="E1021" s="2"/>
      <c r="F1021" s="2"/>
    </row>
    <row r="1022">
      <c r="A1022" s="2">
        <f>IFERROR(__xludf.DUMMYFUNCTION("""COMPUTED_VALUE"""),93101.0)</f>
        <v>93101</v>
      </c>
      <c r="B1022" s="2">
        <f>IFERROR(__xludf.DUMMYFUNCTION("""COMPUTED_VALUE"""),1.0)</f>
        <v>1</v>
      </c>
      <c r="C1022" s="2">
        <f>IFERROR(__xludf.DUMMYFUNCTION("""COMPUTED_VALUE"""),839.0)</f>
        <v>839</v>
      </c>
      <c r="D1022" s="3">
        <f>IFERROR(__xludf.DUMMYFUNCTION("""COMPUTED_VALUE"""),631.0)</f>
        <v>631</v>
      </c>
      <c r="E1022" s="2"/>
      <c r="F1022" s="2"/>
    </row>
    <row r="1023">
      <c r="A1023" s="2">
        <f>IFERROR(__xludf.DUMMYFUNCTION("""COMPUTED_VALUE"""),30749.0)</f>
        <v>30749</v>
      </c>
      <c r="B1023" s="2">
        <f>IFERROR(__xludf.DUMMYFUNCTION("""COMPUTED_VALUE"""),0.0)</f>
        <v>0</v>
      </c>
      <c r="C1023" s="2">
        <f>IFERROR(__xludf.DUMMYFUNCTION("""COMPUTED_VALUE"""),10.0)</f>
        <v>10</v>
      </c>
      <c r="D1023" s="3">
        <f>IFERROR(__xludf.DUMMYFUNCTION("""COMPUTED_VALUE"""),0.0)</f>
        <v>0</v>
      </c>
      <c r="E1023" s="2"/>
      <c r="F1023" s="2"/>
    </row>
    <row r="1024">
      <c r="A1024" s="2">
        <f>IFERROR(__xludf.DUMMYFUNCTION("""COMPUTED_VALUE"""),120813.0)</f>
        <v>120813</v>
      </c>
      <c r="B1024" s="2">
        <f>IFERROR(__xludf.DUMMYFUNCTION("""COMPUTED_VALUE"""),1.0)</f>
        <v>1</v>
      </c>
      <c r="C1024" s="2">
        <f>IFERROR(__xludf.DUMMYFUNCTION("""COMPUTED_VALUE"""),279.0)</f>
        <v>279</v>
      </c>
      <c r="D1024" s="3">
        <f>IFERROR(__xludf.DUMMYFUNCTION("""COMPUTED_VALUE"""),28.0)</f>
        <v>28</v>
      </c>
      <c r="E1024" s="2"/>
      <c r="F1024" s="2"/>
    </row>
    <row r="1025">
      <c r="A1025" s="2">
        <f>IFERROR(__xludf.DUMMYFUNCTION("""COMPUTED_VALUE"""),29590.0)</f>
        <v>29590</v>
      </c>
      <c r="B1025" s="2">
        <f>IFERROR(__xludf.DUMMYFUNCTION("""COMPUTED_VALUE"""),1.0)</f>
        <v>1</v>
      </c>
      <c r="C1025" s="2">
        <f>IFERROR(__xludf.DUMMYFUNCTION("""COMPUTED_VALUE"""),171.0)</f>
        <v>171</v>
      </c>
      <c r="D1025" s="3">
        <f>IFERROR(__xludf.DUMMYFUNCTION("""COMPUTED_VALUE"""),129.0)</f>
        <v>129</v>
      </c>
      <c r="E1025" s="2"/>
      <c r="F1025" s="2"/>
    </row>
    <row r="1026">
      <c r="A1026" s="2">
        <f>IFERROR(__xludf.DUMMYFUNCTION("""COMPUTED_VALUE"""),118662.0)</f>
        <v>118662</v>
      </c>
      <c r="B1026" s="2">
        <f>IFERROR(__xludf.DUMMYFUNCTION("""COMPUTED_VALUE"""),0.0)</f>
        <v>0</v>
      </c>
      <c r="C1026" s="2">
        <f>IFERROR(__xludf.DUMMYFUNCTION("""COMPUTED_VALUE"""),322.0)</f>
        <v>322</v>
      </c>
      <c r="D1026" s="3">
        <f>IFERROR(__xludf.DUMMYFUNCTION("""COMPUTED_VALUE"""),198.0)</f>
        <v>198</v>
      </c>
      <c r="E1026" s="2"/>
      <c r="F1026" s="2"/>
    </row>
    <row r="1027">
      <c r="A1027" s="2">
        <f>IFERROR(__xludf.DUMMYFUNCTION("""COMPUTED_VALUE"""),30478.0)</f>
        <v>30478</v>
      </c>
      <c r="B1027" s="2">
        <f>IFERROR(__xludf.DUMMYFUNCTION("""COMPUTED_VALUE"""),0.0)</f>
        <v>0</v>
      </c>
      <c r="C1027" s="2">
        <f>IFERROR(__xludf.DUMMYFUNCTION("""COMPUTED_VALUE"""),212.0)</f>
        <v>212</v>
      </c>
      <c r="D1027" s="3">
        <f>IFERROR(__xludf.DUMMYFUNCTION("""COMPUTED_VALUE"""),1.0)</f>
        <v>1</v>
      </c>
      <c r="E1027" s="2"/>
      <c r="F1027" s="2"/>
    </row>
    <row r="1028">
      <c r="A1028" s="2">
        <f>IFERROR(__xludf.DUMMYFUNCTION("""COMPUTED_VALUE"""),90475.0)</f>
        <v>90475</v>
      </c>
      <c r="B1028" s="2">
        <f>IFERROR(__xludf.DUMMYFUNCTION("""COMPUTED_VALUE"""),0.0)</f>
        <v>0</v>
      </c>
      <c r="C1028" s="2">
        <f>IFERROR(__xludf.DUMMYFUNCTION("""COMPUTED_VALUE"""),86.0)</f>
        <v>86</v>
      </c>
      <c r="D1028" s="3">
        <f>IFERROR(__xludf.DUMMYFUNCTION("""COMPUTED_VALUE"""),2.0)</f>
        <v>2</v>
      </c>
      <c r="E1028" s="2"/>
      <c r="F1028" s="2"/>
    </row>
    <row r="1029">
      <c r="A1029" s="2">
        <f>IFERROR(__xludf.DUMMYFUNCTION("""COMPUTED_VALUE"""),29530.0)</f>
        <v>29530</v>
      </c>
      <c r="B1029" s="2">
        <f>IFERROR(__xludf.DUMMYFUNCTION("""COMPUTED_VALUE"""),0.0)</f>
        <v>0</v>
      </c>
      <c r="C1029" s="2">
        <f>IFERROR(__xludf.DUMMYFUNCTION("""COMPUTED_VALUE"""),106.0)</f>
        <v>106</v>
      </c>
      <c r="D1029" s="3">
        <f>IFERROR(__xludf.DUMMYFUNCTION("""COMPUTED_VALUE"""),61.0)</f>
        <v>61</v>
      </c>
      <c r="E1029" s="2"/>
      <c r="F1029" s="2"/>
    </row>
    <row r="1030">
      <c r="A1030" s="2">
        <f>IFERROR(__xludf.DUMMYFUNCTION("""COMPUTED_VALUE"""),81528.0)</f>
        <v>81528</v>
      </c>
      <c r="B1030" s="2">
        <f>IFERROR(__xludf.DUMMYFUNCTION("""COMPUTED_VALUE"""),1.0)</f>
        <v>1</v>
      </c>
      <c r="C1030" s="2">
        <f>IFERROR(__xludf.DUMMYFUNCTION("""COMPUTED_VALUE"""),553.0)</f>
        <v>553</v>
      </c>
      <c r="D1030" s="3">
        <f>IFERROR(__xludf.DUMMYFUNCTION("""COMPUTED_VALUE"""),488.0)</f>
        <v>488</v>
      </c>
      <c r="E1030" s="2"/>
      <c r="F1030" s="2"/>
    </row>
    <row r="1031">
      <c r="A1031" s="2">
        <f>IFERROR(__xludf.DUMMYFUNCTION("""COMPUTED_VALUE"""),100436.0)</f>
        <v>100436</v>
      </c>
      <c r="B1031" s="2">
        <f>IFERROR(__xludf.DUMMYFUNCTION("""COMPUTED_VALUE"""),1.0)</f>
        <v>1</v>
      </c>
      <c r="C1031" s="2">
        <f>IFERROR(__xludf.DUMMYFUNCTION("""COMPUTED_VALUE"""),814.0)</f>
        <v>814</v>
      </c>
      <c r="D1031" s="3">
        <f>IFERROR(__xludf.DUMMYFUNCTION("""COMPUTED_VALUE"""),10.0)</f>
        <v>10</v>
      </c>
      <c r="E1031" s="2"/>
      <c r="F1031" s="2"/>
    </row>
    <row r="1032">
      <c r="A1032" s="2">
        <f>IFERROR(__xludf.DUMMYFUNCTION("""COMPUTED_VALUE"""),29499.0)</f>
        <v>29499</v>
      </c>
      <c r="B1032" s="2">
        <f>IFERROR(__xludf.DUMMYFUNCTION("""COMPUTED_VALUE"""),0.0)</f>
        <v>0</v>
      </c>
      <c r="C1032" s="2">
        <f>IFERROR(__xludf.DUMMYFUNCTION("""COMPUTED_VALUE"""),345.0)</f>
        <v>345</v>
      </c>
      <c r="D1032" s="3">
        <f>IFERROR(__xludf.DUMMYFUNCTION("""COMPUTED_VALUE"""),19.0)</f>
        <v>19</v>
      </c>
      <c r="E1032" s="2"/>
      <c r="F1032" s="2"/>
    </row>
    <row r="1033">
      <c r="A1033" s="2">
        <f>IFERROR(__xludf.DUMMYFUNCTION("""COMPUTED_VALUE"""),30683.0)</f>
        <v>30683</v>
      </c>
      <c r="B1033" s="2">
        <f>IFERROR(__xludf.DUMMYFUNCTION("""COMPUTED_VALUE"""),1.0)</f>
        <v>1</v>
      </c>
      <c r="C1033" s="2">
        <f>IFERROR(__xludf.DUMMYFUNCTION("""COMPUTED_VALUE"""),26.0)</f>
        <v>26</v>
      </c>
      <c r="D1033" s="3">
        <f>IFERROR(__xludf.DUMMYFUNCTION("""COMPUTED_VALUE"""),16.0)</f>
        <v>16</v>
      </c>
      <c r="E1033" s="2"/>
      <c r="F1033" s="2"/>
    </row>
    <row r="1034">
      <c r="A1034" s="2">
        <f>IFERROR(__xludf.DUMMYFUNCTION("""COMPUTED_VALUE"""),69906.0)</f>
        <v>69906</v>
      </c>
      <c r="B1034" s="2">
        <f>IFERROR(__xludf.DUMMYFUNCTION("""COMPUTED_VALUE"""),0.0)</f>
        <v>0</v>
      </c>
      <c r="C1034" s="2">
        <f>IFERROR(__xludf.DUMMYFUNCTION("""COMPUTED_VALUE"""),892.0)</f>
        <v>892</v>
      </c>
      <c r="D1034" s="3">
        <f>IFERROR(__xludf.DUMMYFUNCTION("""COMPUTED_VALUE"""),864.0)</f>
        <v>864</v>
      </c>
      <c r="E1034" s="2"/>
      <c r="F1034" s="2"/>
    </row>
    <row r="1035">
      <c r="A1035" s="2">
        <f>IFERROR(__xludf.DUMMYFUNCTION("""COMPUTED_VALUE"""),90174.0)</f>
        <v>90174</v>
      </c>
      <c r="B1035" s="2">
        <f>IFERROR(__xludf.DUMMYFUNCTION("""COMPUTED_VALUE"""),0.0)</f>
        <v>0</v>
      </c>
      <c r="C1035" s="2">
        <f>IFERROR(__xludf.DUMMYFUNCTION("""COMPUTED_VALUE"""),318.0)</f>
        <v>318</v>
      </c>
      <c r="D1035" s="3">
        <f>IFERROR(__xludf.DUMMYFUNCTION("""COMPUTED_VALUE"""),47.0)</f>
        <v>47</v>
      </c>
      <c r="E1035" s="2"/>
      <c r="F1035" s="2"/>
    </row>
    <row r="1036">
      <c r="A1036" s="2">
        <f>IFERROR(__xludf.DUMMYFUNCTION("""COMPUTED_VALUE"""),90168.0)</f>
        <v>90168</v>
      </c>
      <c r="B1036" s="2">
        <f>IFERROR(__xludf.DUMMYFUNCTION("""COMPUTED_VALUE"""),0.0)</f>
        <v>0</v>
      </c>
      <c r="C1036" s="2">
        <f>IFERROR(__xludf.DUMMYFUNCTION("""COMPUTED_VALUE"""),598.0)</f>
        <v>598</v>
      </c>
      <c r="D1036" s="3">
        <f>IFERROR(__xludf.DUMMYFUNCTION("""COMPUTED_VALUE"""),297.0)</f>
        <v>297</v>
      </c>
      <c r="E1036" s="2"/>
      <c r="F1036" s="2"/>
    </row>
    <row r="1037">
      <c r="A1037" s="2">
        <f>IFERROR(__xludf.DUMMYFUNCTION("""COMPUTED_VALUE"""),79488.0)</f>
        <v>79488</v>
      </c>
      <c r="B1037" s="2">
        <f>IFERROR(__xludf.DUMMYFUNCTION("""COMPUTED_VALUE"""),0.0)</f>
        <v>0</v>
      </c>
      <c r="C1037" s="2">
        <f>IFERROR(__xludf.DUMMYFUNCTION("""COMPUTED_VALUE"""),834.0)</f>
        <v>834</v>
      </c>
      <c r="D1037" s="3">
        <f>IFERROR(__xludf.DUMMYFUNCTION("""COMPUTED_VALUE"""),355.0)</f>
        <v>355</v>
      </c>
      <c r="E1037" s="2"/>
      <c r="F1037" s="2"/>
    </row>
    <row r="1038">
      <c r="A1038" s="2">
        <f>IFERROR(__xludf.DUMMYFUNCTION("""COMPUTED_VALUE"""),119640.0)</f>
        <v>119640</v>
      </c>
      <c r="B1038" s="2">
        <f>IFERROR(__xludf.DUMMYFUNCTION("""COMPUTED_VALUE"""),0.0)</f>
        <v>0</v>
      </c>
      <c r="C1038" s="2">
        <f>IFERROR(__xludf.DUMMYFUNCTION("""COMPUTED_VALUE"""),863.0)</f>
        <v>863</v>
      </c>
      <c r="D1038" s="3">
        <f>IFERROR(__xludf.DUMMYFUNCTION("""COMPUTED_VALUE"""),533.0)</f>
        <v>533</v>
      </c>
      <c r="E1038" s="2"/>
      <c r="F1038" s="2"/>
    </row>
    <row r="1039">
      <c r="A1039" s="2">
        <f>IFERROR(__xludf.DUMMYFUNCTION("""COMPUTED_VALUE"""),119515.0)</f>
        <v>119515</v>
      </c>
      <c r="B1039" s="2">
        <f>IFERROR(__xludf.DUMMYFUNCTION("""COMPUTED_VALUE"""),0.0)</f>
        <v>0</v>
      </c>
      <c r="C1039" s="2">
        <f>IFERROR(__xludf.DUMMYFUNCTION("""COMPUTED_VALUE"""),344.0)</f>
        <v>344</v>
      </c>
      <c r="D1039" s="3">
        <f>IFERROR(__xludf.DUMMYFUNCTION("""COMPUTED_VALUE"""),77.0)</f>
        <v>77</v>
      </c>
      <c r="E1039" s="2"/>
      <c r="F1039" s="2"/>
    </row>
    <row r="1040">
      <c r="A1040" s="2">
        <f>IFERROR(__xludf.DUMMYFUNCTION("""COMPUTED_VALUE"""),103685.0)</f>
        <v>103685</v>
      </c>
      <c r="B1040" s="2">
        <f>IFERROR(__xludf.DUMMYFUNCTION("""COMPUTED_VALUE"""),1.0)</f>
        <v>1</v>
      </c>
      <c r="C1040" s="2">
        <f>IFERROR(__xludf.DUMMYFUNCTION("""COMPUTED_VALUE"""),880.0)</f>
        <v>880</v>
      </c>
      <c r="D1040" s="3">
        <f>IFERROR(__xludf.DUMMYFUNCTION("""COMPUTED_VALUE"""),606.0)</f>
        <v>606</v>
      </c>
      <c r="E1040" s="2"/>
      <c r="F1040" s="2"/>
    </row>
    <row r="1041">
      <c r="A1041" s="2">
        <f>IFERROR(__xludf.DUMMYFUNCTION("""COMPUTED_VALUE"""),111617.0)</f>
        <v>111617</v>
      </c>
      <c r="B1041" s="2">
        <f>IFERROR(__xludf.DUMMYFUNCTION("""COMPUTED_VALUE"""),0.0)</f>
        <v>0</v>
      </c>
      <c r="C1041" s="2">
        <f>IFERROR(__xludf.DUMMYFUNCTION("""COMPUTED_VALUE"""),133.0)</f>
        <v>133</v>
      </c>
      <c r="D1041" s="3">
        <f>IFERROR(__xludf.DUMMYFUNCTION("""COMPUTED_VALUE"""),12.0)</f>
        <v>12</v>
      </c>
      <c r="E1041" s="2"/>
      <c r="F1041" s="2"/>
    </row>
    <row r="1042">
      <c r="A1042" s="2">
        <f>IFERROR(__xludf.DUMMYFUNCTION("""COMPUTED_VALUE"""),98637.0)</f>
        <v>98637</v>
      </c>
      <c r="B1042" s="2">
        <f>IFERROR(__xludf.DUMMYFUNCTION("""COMPUTED_VALUE"""),0.0)</f>
        <v>0</v>
      </c>
      <c r="C1042" s="2">
        <f>IFERROR(__xludf.DUMMYFUNCTION("""COMPUTED_VALUE"""),665.0)</f>
        <v>665</v>
      </c>
      <c r="D1042" s="3">
        <f>IFERROR(__xludf.DUMMYFUNCTION("""COMPUTED_VALUE"""),543.0)</f>
        <v>543</v>
      </c>
      <c r="E1042" s="2"/>
      <c r="F1042" s="2"/>
    </row>
    <row r="1043">
      <c r="A1043" s="2">
        <f>IFERROR(__xludf.DUMMYFUNCTION("""COMPUTED_VALUE"""),90159.0)</f>
        <v>90159</v>
      </c>
      <c r="B1043" s="2">
        <f>IFERROR(__xludf.DUMMYFUNCTION("""COMPUTED_VALUE"""),1.0)</f>
        <v>1</v>
      </c>
      <c r="C1043" s="2">
        <f>IFERROR(__xludf.DUMMYFUNCTION("""COMPUTED_VALUE"""),512.0)</f>
        <v>512</v>
      </c>
      <c r="D1043" s="3">
        <f>IFERROR(__xludf.DUMMYFUNCTION("""COMPUTED_VALUE"""),492.0)</f>
        <v>492</v>
      </c>
      <c r="E1043" s="2"/>
      <c r="F1043" s="2"/>
    </row>
    <row r="1044">
      <c r="A1044" s="2">
        <f>IFERROR(__xludf.DUMMYFUNCTION("""COMPUTED_VALUE"""),76651.0)</f>
        <v>76651</v>
      </c>
      <c r="B1044" s="2">
        <f>IFERROR(__xludf.DUMMYFUNCTION("""COMPUTED_VALUE"""),0.0)</f>
        <v>0</v>
      </c>
      <c r="C1044" s="2">
        <f>IFERROR(__xludf.DUMMYFUNCTION("""COMPUTED_VALUE"""),807.0)</f>
        <v>807</v>
      </c>
      <c r="D1044" s="3">
        <f>IFERROR(__xludf.DUMMYFUNCTION("""COMPUTED_VALUE"""),774.0)</f>
        <v>774</v>
      </c>
      <c r="E1044" s="2"/>
      <c r="F1044" s="2"/>
    </row>
    <row r="1045">
      <c r="A1045" s="2">
        <f>IFERROR(__xludf.DUMMYFUNCTION("""COMPUTED_VALUE"""),119531.0)</f>
        <v>119531</v>
      </c>
      <c r="B1045" s="2">
        <f>IFERROR(__xludf.DUMMYFUNCTION("""COMPUTED_VALUE"""),1.0)</f>
        <v>1</v>
      </c>
      <c r="C1045" s="2">
        <f>IFERROR(__xludf.DUMMYFUNCTION("""COMPUTED_VALUE"""),673.0)</f>
        <v>673</v>
      </c>
      <c r="D1045" s="3">
        <f>IFERROR(__xludf.DUMMYFUNCTION("""COMPUTED_VALUE"""),385.0)</f>
        <v>385</v>
      </c>
      <c r="E1045" s="2"/>
      <c r="F1045" s="2"/>
    </row>
    <row r="1046">
      <c r="A1046" s="2">
        <f>IFERROR(__xludf.DUMMYFUNCTION("""COMPUTED_VALUE"""),93884.0)</f>
        <v>93884</v>
      </c>
      <c r="B1046" s="2">
        <f>IFERROR(__xludf.DUMMYFUNCTION("""COMPUTED_VALUE"""),0.0)</f>
        <v>0</v>
      </c>
      <c r="C1046" s="2">
        <f>IFERROR(__xludf.DUMMYFUNCTION("""COMPUTED_VALUE"""),177.0)</f>
        <v>177</v>
      </c>
      <c r="D1046" s="3">
        <f>IFERROR(__xludf.DUMMYFUNCTION("""COMPUTED_VALUE"""),39.0)</f>
        <v>39</v>
      </c>
      <c r="E1046" s="2"/>
      <c r="F1046" s="2"/>
    </row>
    <row r="1047">
      <c r="A1047" s="2">
        <f>IFERROR(__xludf.DUMMYFUNCTION("""COMPUTED_VALUE"""),79467.0)</f>
        <v>79467</v>
      </c>
      <c r="B1047" s="2">
        <f>IFERROR(__xludf.DUMMYFUNCTION("""COMPUTED_VALUE"""),1.0)</f>
        <v>1</v>
      </c>
      <c r="C1047" s="2">
        <f>IFERROR(__xludf.DUMMYFUNCTION("""COMPUTED_VALUE"""),717.0)</f>
        <v>717</v>
      </c>
      <c r="D1047" s="3">
        <f>IFERROR(__xludf.DUMMYFUNCTION("""COMPUTED_VALUE"""),620.0)</f>
        <v>620</v>
      </c>
      <c r="E1047" s="2"/>
      <c r="F1047" s="2"/>
    </row>
    <row r="1048">
      <c r="A1048" s="2">
        <f>IFERROR(__xludf.DUMMYFUNCTION("""COMPUTED_VALUE"""),29532.0)</f>
        <v>29532</v>
      </c>
      <c r="B1048" s="2">
        <f>IFERROR(__xludf.DUMMYFUNCTION("""COMPUTED_VALUE"""),1.0)</f>
        <v>1</v>
      </c>
      <c r="C1048" s="2">
        <f>IFERROR(__xludf.DUMMYFUNCTION("""COMPUTED_VALUE"""),95.0)</f>
        <v>95</v>
      </c>
      <c r="D1048" s="3">
        <f>IFERROR(__xludf.DUMMYFUNCTION("""COMPUTED_VALUE"""),36.0)</f>
        <v>36</v>
      </c>
      <c r="E1048" s="2"/>
      <c r="F1048" s="2"/>
    </row>
    <row r="1049">
      <c r="A1049" s="2">
        <f>IFERROR(__xludf.DUMMYFUNCTION("""COMPUTED_VALUE"""),104063.0)</f>
        <v>104063</v>
      </c>
      <c r="B1049" s="2">
        <f>IFERROR(__xludf.DUMMYFUNCTION("""COMPUTED_VALUE"""),1.0)</f>
        <v>1</v>
      </c>
      <c r="C1049" s="2">
        <f>IFERROR(__xludf.DUMMYFUNCTION("""COMPUTED_VALUE"""),370.0)</f>
        <v>370</v>
      </c>
      <c r="D1049" s="3">
        <f>IFERROR(__xludf.DUMMYFUNCTION("""COMPUTED_VALUE"""),102.0)</f>
        <v>102</v>
      </c>
      <c r="E1049" s="2"/>
      <c r="F1049" s="2"/>
    </row>
    <row r="1050">
      <c r="A1050" s="2">
        <f>IFERROR(__xludf.DUMMYFUNCTION("""COMPUTED_VALUE"""),90166.0)</f>
        <v>90166</v>
      </c>
      <c r="B1050" s="2">
        <f>IFERROR(__xludf.DUMMYFUNCTION("""COMPUTED_VALUE"""),0.0)</f>
        <v>0</v>
      </c>
      <c r="C1050" s="2">
        <f>IFERROR(__xludf.DUMMYFUNCTION("""COMPUTED_VALUE"""),737.0)</f>
        <v>737</v>
      </c>
      <c r="D1050" s="3">
        <f>IFERROR(__xludf.DUMMYFUNCTION("""COMPUTED_VALUE"""),124.0)</f>
        <v>124</v>
      </c>
      <c r="E1050" s="2"/>
      <c r="F1050" s="2"/>
    </row>
    <row r="1051">
      <c r="A1051" s="2">
        <f>IFERROR(__xludf.DUMMYFUNCTION("""COMPUTED_VALUE"""),29538.0)</f>
        <v>29538</v>
      </c>
      <c r="B1051" s="2">
        <f>IFERROR(__xludf.DUMMYFUNCTION("""COMPUTED_VALUE"""),1.0)</f>
        <v>1</v>
      </c>
      <c r="C1051" s="2">
        <f>IFERROR(__xludf.DUMMYFUNCTION("""COMPUTED_VALUE"""),982.0)</f>
        <v>982</v>
      </c>
      <c r="D1051" s="3">
        <f>IFERROR(__xludf.DUMMYFUNCTION("""COMPUTED_VALUE"""),70.0)</f>
        <v>70</v>
      </c>
      <c r="E1051" s="2"/>
      <c r="F1051" s="2"/>
    </row>
    <row r="1052">
      <c r="A1052" s="2">
        <f>IFERROR(__xludf.DUMMYFUNCTION("""COMPUTED_VALUE"""),70538.0)</f>
        <v>70538</v>
      </c>
      <c r="B1052" s="2">
        <f>IFERROR(__xludf.DUMMYFUNCTION("""COMPUTED_VALUE"""),0.0)</f>
        <v>0</v>
      </c>
      <c r="C1052" s="2">
        <f>IFERROR(__xludf.DUMMYFUNCTION("""COMPUTED_VALUE"""),384.0)</f>
        <v>384</v>
      </c>
      <c r="D1052" s="3">
        <f>IFERROR(__xludf.DUMMYFUNCTION("""COMPUTED_VALUE"""),196.0)</f>
        <v>196</v>
      </c>
      <c r="E1052" s="2"/>
      <c r="F1052" s="2"/>
    </row>
    <row r="1053">
      <c r="A1053" s="2">
        <f>IFERROR(__xludf.DUMMYFUNCTION("""COMPUTED_VALUE"""),93893.0)</f>
        <v>93893</v>
      </c>
      <c r="B1053" s="2">
        <f>IFERROR(__xludf.DUMMYFUNCTION("""COMPUTED_VALUE"""),1.0)</f>
        <v>1</v>
      </c>
      <c r="C1053" s="2">
        <f>IFERROR(__xludf.DUMMYFUNCTION("""COMPUTED_VALUE"""),520.0)</f>
        <v>520</v>
      </c>
      <c r="D1053" s="3">
        <f>IFERROR(__xludf.DUMMYFUNCTION("""COMPUTED_VALUE"""),346.0)</f>
        <v>346</v>
      </c>
      <c r="E1053" s="2"/>
      <c r="F1053" s="2"/>
    </row>
    <row r="1054">
      <c r="A1054" s="2">
        <f>IFERROR(__xludf.DUMMYFUNCTION("""COMPUTED_VALUE"""),119518.0)</f>
        <v>119518</v>
      </c>
      <c r="B1054" s="2">
        <f>IFERROR(__xludf.DUMMYFUNCTION("""COMPUTED_VALUE"""),1.0)</f>
        <v>1</v>
      </c>
      <c r="C1054" s="2">
        <f>IFERROR(__xludf.DUMMYFUNCTION("""COMPUTED_VALUE"""),497.0)</f>
        <v>497</v>
      </c>
      <c r="D1054" s="3">
        <f>IFERROR(__xludf.DUMMYFUNCTION("""COMPUTED_VALUE"""),95.0)</f>
        <v>95</v>
      </c>
      <c r="E1054" s="2"/>
      <c r="F1054" s="2"/>
    </row>
    <row r="1055">
      <c r="A1055" s="2">
        <f>IFERROR(__xludf.DUMMYFUNCTION("""COMPUTED_VALUE"""),111338.0)</f>
        <v>111338</v>
      </c>
      <c r="B1055" s="2">
        <f>IFERROR(__xludf.DUMMYFUNCTION("""COMPUTED_VALUE"""),0.0)</f>
        <v>0</v>
      </c>
      <c r="C1055" s="2">
        <f>IFERROR(__xludf.DUMMYFUNCTION("""COMPUTED_VALUE"""),822.0)</f>
        <v>822</v>
      </c>
      <c r="D1055" s="3">
        <f>IFERROR(__xludf.DUMMYFUNCTION("""COMPUTED_VALUE"""),84.0)</f>
        <v>84</v>
      </c>
      <c r="E1055" s="2"/>
      <c r="F1055" s="2"/>
    </row>
    <row r="1056">
      <c r="A1056" s="2">
        <f>IFERROR(__xludf.DUMMYFUNCTION("""COMPUTED_VALUE"""),100435.0)</f>
        <v>100435</v>
      </c>
      <c r="B1056" s="2">
        <f>IFERROR(__xludf.DUMMYFUNCTION("""COMPUTED_VALUE"""),0.0)</f>
        <v>0</v>
      </c>
      <c r="C1056" s="2">
        <f>IFERROR(__xludf.DUMMYFUNCTION("""COMPUTED_VALUE"""),232.0)</f>
        <v>232</v>
      </c>
      <c r="D1056" s="3">
        <f>IFERROR(__xludf.DUMMYFUNCTION("""COMPUTED_VALUE"""),72.0)</f>
        <v>72</v>
      </c>
      <c r="E1056" s="2"/>
      <c r="F1056" s="2"/>
    </row>
    <row r="1057">
      <c r="A1057" s="2">
        <f>IFERROR(__xludf.DUMMYFUNCTION("""COMPUTED_VALUE"""),89130.0)</f>
        <v>89130</v>
      </c>
      <c r="B1057" s="2">
        <f>IFERROR(__xludf.DUMMYFUNCTION("""COMPUTED_VALUE"""),1.0)</f>
        <v>1</v>
      </c>
      <c r="C1057" s="2">
        <f>IFERROR(__xludf.DUMMYFUNCTION("""COMPUTED_VALUE"""),661.0)</f>
        <v>661</v>
      </c>
      <c r="D1057" s="3">
        <f>IFERROR(__xludf.DUMMYFUNCTION("""COMPUTED_VALUE"""),464.0)</f>
        <v>464</v>
      </c>
      <c r="E1057" s="2"/>
      <c r="F1057" s="2"/>
    </row>
    <row r="1058">
      <c r="A1058" s="2">
        <f>IFERROR(__xludf.DUMMYFUNCTION("""COMPUTED_VALUE"""),103695.0)</f>
        <v>103695</v>
      </c>
      <c r="B1058" s="2">
        <f>IFERROR(__xludf.DUMMYFUNCTION("""COMPUTED_VALUE"""),0.0)</f>
        <v>0</v>
      </c>
      <c r="C1058" s="2">
        <f>IFERROR(__xludf.DUMMYFUNCTION("""COMPUTED_VALUE"""),299.0)</f>
        <v>299</v>
      </c>
      <c r="D1058" s="3">
        <f>IFERROR(__xludf.DUMMYFUNCTION("""COMPUTED_VALUE"""),210.0)</f>
        <v>210</v>
      </c>
      <c r="E1058" s="2"/>
      <c r="F1058" s="2"/>
    </row>
    <row r="1059">
      <c r="A1059" s="2">
        <f>IFERROR(__xludf.DUMMYFUNCTION("""COMPUTED_VALUE"""),90201.0)</f>
        <v>90201</v>
      </c>
      <c r="B1059" s="2">
        <f>IFERROR(__xludf.DUMMYFUNCTION("""COMPUTED_VALUE"""),1.0)</f>
        <v>1</v>
      </c>
      <c r="C1059" s="2">
        <f>IFERROR(__xludf.DUMMYFUNCTION("""COMPUTED_VALUE"""),199.0)</f>
        <v>199</v>
      </c>
      <c r="D1059" s="3">
        <f>IFERROR(__xludf.DUMMYFUNCTION("""COMPUTED_VALUE"""),135.0)</f>
        <v>135</v>
      </c>
      <c r="E1059" s="2"/>
      <c r="F1059" s="2"/>
    </row>
    <row r="1060">
      <c r="A1060" s="2">
        <f>IFERROR(__xludf.DUMMYFUNCTION("""COMPUTED_VALUE"""),70025.0)</f>
        <v>70025</v>
      </c>
      <c r="B1060" s="2">
        <f>IFERROR(__xludf.DUMMYFUNCTION("""COMPUTED_VALUE"""),0.0)</f>
        <v>0</v>
      </c>
      <c r="C1060" s="2">
        <f>IFERROR(__xludf.DUMMYFUNCTION("""COMPUTED_VALUE"""),498.0)</f>
        <v>498</v>
      </c>
      <c r="D1060" s="3">
        <f>IFERROR(__xludf.DUMMYFUNCTION("""COMPUTED_VALUE"""),337.0)</f>
        <v>337</v>
      </c>
      <c r="E1060" s="2"/>
      <c r="F1060" s="2"/>
    </row>
    <row r="1061">
      <c r="A1061" s="2">
        <f>IFERROR(__xludf.DUMMYFUNCTION("""COMPUTED_VALUE"""),29485.0)</f>
        <v>29485</v>
      </c>
      <c r="B1061" s="2">
        <f>IFERROR(__xludf.DUMMYFUNCTION("""COMPUTED_VALUE"""),0.0)</f>
        <v>0</v>
      </c>
      <c r="C1061" s="2">
        <f>IFERROR(__xludf.DUMMYFUNCTION("""COMPUTED_VALUE"""),589.0)</f>
        <v>589</v>
      </c>
      <c r="D1061" s="3">
        <f>IFERROR(__xludf.DUMMYFUNCTION("""COMPUTED_VALUE"""),533.0)</f>
        <v>533</v>
      </c>
      <c r="E1061" s="2"/>
      <c r="F1061" s="2"/>
    </row>
    <row r="1062">
      <c r="A1062" s="2">
        <f>IFERROR(__xludf.DUMMYFUNCTION("""COMPUTED_VALUE"""),119530.0)</f>
        <v>119530</v>
      </c>
      <c r="B1062" s="2">
        <f>IFERROR(__xludf.DUMMYFUNCTION("""COMPUTED_VALUE"""),0.0)</f>
        <v>0</v>
      </c>
      <c r="C1062" s="2">
        <f>IFERROR(__xludf.DUMMYFUNCTION("""COMPUTED_VALUE"""),479.0)</f>
        <v>479</v>
      </c>
      <c r="D1062" s="3">
        <f>IFERROR(__xludf.DUMMYFUNCTION("""COMPUTED_VALUE"""),452.0)</f>
        <v>452</v>
      </c>
      <c r="E1062" s="2"/>
      <c r="F1062" s="2"/>
    </row>
    <row r="1063">
      <c r="A1063" s="2">
        <f>IFERROR(__xludf.DUMMYFUNCTION("""COMPUTED_VALUE"""),103671.0)</f>
        <v>103671</v>
      </c>
      <c r="B1063" s="2">
        <f>IFERROR(__xludf.DUMMYFUNCTION("""COMPUTED_VALUE"""),1.0)</f>
        <v>1</v>
      </c>
      <c r="C1063" s="2">
        <f>IFERROR(__xludf.DUMMYFUNCTION("""COMPUTED_VALUE"""),672.0)</f>
        <v>672</v>
      </c>
      <c r="D1063" s="3">
        <f>IFERROR(__xludf.DUMMYFUNCTION("""COMPUTED_VALUE"""),512.0)</f>
        <v>512</v>
      </c>
      <c r="E1063" s="2"/>
      <c r="F1063" s="2"/>
    </row>
    <row r="1064">
      <c r="A1064" s="2">
        <f>IFERROR(__xludf.DUMMYFUNCTION("""COMPUTED_VALUE"""),102803.0)</f>
        <v>102803</v>
      </c>
      <c r="B1064" s="2">
        <f>IFERROR(__xludf.DUMMYFUNCTION("""COMPUTED_VALUE"""),1.0)</f>
        <v>1</v>
      </c>
      <c r="C1064" s="2">
        <f>IFERROR(__xludf.DUMMYFUNCTION("""COMPUTED_VALUE"""),230.0)</f>
        <v>230</v>
      </c>
      <c r="D1064" s="3">
        <f>IFERROR(__xludf.DUMMYFUNCTION("""COMPUTED_VALUE"""),129.0)</f>
        <v>129</v>
      </c>
      <c r="E1064" s="2"/>
      <c r="F1064" s="2"/>
    </row>
    <row r="1065">
      <c r="A1065" s="2">
        <f>IFERROR(__xludf.DUMMYFUNCTION("""COMPUTED_VALUE"""),122156.0)</f>
        <v>122156</v>
      </c>
      <c r="B1065" s="2">
        <f>IFERROR(__xludf.DUMMYFUNCTION("""COMPUTED_VALUE"""),0.0)</f>
        <v>0</v>
      </c>
      <c r="C1065" s="2">
        <f>IFERROR(__xludf.DUMMYFUNCTION("""COMPUTED_VALUE"""),809.0)</f>
        <v>809</v>
      </c>
      <c r="D1065" s="3">
        <f>IFERROR(__xludf.DUMMYFUNCTION("""COMPUTED_VALUE"""),741.0)</f>
        <v>741</v>
      </c>
      <c r="E1065" s="2"/>
      <c r="F1065" s="2"/>
    </row>
    <row r="1066">
      <c r="A1066" s="2">
        <f>IFERROR(__xludf.DUMMYFUNCTION("""COMPUTED_VALUE"""),103688.0)</f>
        <v>103688</v>
      </c>
      <c r="B1066" s="2">
        <f>IFERROR(__xludf.DUMMYFUNCTION("""COMPUTED_VALUE"""),1.0)</f>
        <v>1</v>
      </c>
      <c r="C1066" s="2">
        <f>IFERROR(__xludf.DUMMYFUNCTION("""COMPUTED_VALUE"""),668.0)</f>
        <v>668</v>
      </c>
      <c r="D1066" s="3">
        <f>IFERROR(__xludf.DUMMYFUNCTION("""COMPUTED_VALUE"""),613.0)</f>
        <v>613</v>
      </c>
      <c r="E1066" s="2"/>
      <c r="F1066" s="2"/>
    </row>
    <row r="1067">
      <c r="A1067" s="2">
        <f>IFERROR(__xludf.DUMMYFUNCTION("""COMPUTED_VALUE"""),128303.0)</f>
        <v>128303</v>
      </c>
      <c r="B1067" s="2">
        <f>IFERROR(__xludf.DUMMYFUNCTION("""COMPUTED_VALUE"""),1.0)</f>
        <v>1</v>
      </c>
      <c r="C1067" s="2">
        <f>IFERROR(__xludf.DUMMYFUNCTION("""COMPUTED_VALUE"""),68.0)</f>
        <v>68</v>
      </c>
      <c r="D1067" s="3">
        <f>IFERROR(__xludf.DUMMYFUNCTION("""COMPUTED_VALUE"""),38.0)</f>
        <v>38</v>
      </c>
      <c r="E1067" s="2"/>
      <c r="F1067" s="2"/>
    </row>
    <row r="1068">
      <c r="A1068" s="2">
        <f>IFERROR(__xludf.DUMMYFUNCTION("""COMPUTED_VALUE"""),122164.0)</f>
        <v>122164</v>
      </c>
      <c r="B1068" s="2">
        <f>IFERROR(__xludf.DUMMYFUNCTION("""COMPUTED_VALUE"""),1.0)</f>
        <v>1</v>
      </c>
      <c r="C1068" s="2">
        <f>IFERROR(__xludf.DUMMYFUNCTION("""COMPUTED_VALUE"""),840.0)</f>
        <v>840</v>
      </c>
      <c r="D1068" s="3">
        <f>IFERROR(__xludf.DUMMYFUNCTION("""COMPUTED_VALUE"""),738.0)</f>
        <v>738</v>
      </c>
      <c r="E1068" s="2"/>
      <c r="F1068" s="2"/>
    </row>
    <row r="1069">
      <c r="A1069" s="2">
        <f>IFERROR(__xludf.DUMMYFUNCTION("""COMPUTED_VALUE"""),119629.0)</f>
        <v>119629</v>
      </c>
      <c r="B1069" s="2">
        <f>IFERROR(__xludf.DUMMYFUNCTION("""COMPUTED_VALUE"""),1.0)</f>
        <v>1</v>
      </c>
      <c r="C1069" s="2">
        <f>IFERROR(__xludf.DUMMYFUNCTION("""COMPUTED_VALUE"""),500.0)</f>
        <v>500</v>
      </c>
      <c r="D1069" s="3">
        <f>IFERROR(__xludf.DUMMYFUNCTION("""COMPUTED_VALUE"""),442.0)</f>
        <v>442</v>
      </c>
      <c r="E1069" s="2"/>
      <c r="F1069" s="2"/>
    </row>
    <row r="1070">
      <c r="A1070" s="2">
        <f>IFERROR(__xludf.DUMMYFUNCTION("""COMPUTED_VALUE"""),122238.0)</f>
        <v>122238</v>
      </c>
      <c r="B1070" s="2">
        <f>IFERROR(__xludf.DUMMYFUNCTION("""COMPUTED_VALUE"""),1.0)</f>
        <v>1</v>
      </c>
      <c r="C1070" s="2">
        <f>IFERROR(__xludf.DUMMYFUNCTION("""COMPUTED_VALUE"""),775.0)</f>
        <v>775</v>
      </c>
      <c r="D1070" s="3">
        <f>IFERROR(__xludf.DUMMYFUNCTION("""COMPUTED_VALUE"""),280.0)</f>
        <v>280</v>
      </c>
      <c r="E1070" s="2"/>
      <c r="F1070" s="2"/>
    </row>
    <row r="1071">
      <c r="A1071" s="2">
        <f>IFERROR(__xludf.DUMMYFUNCTION("""COMPUTED_VALUE"""),100106.0)</f>
        <v>100106</v>
      </c>
      <c r="B1071" s="2">
        <f>IFERROR(__xludf.DUMMYFUNCTION("""COMPUTED_VALUE"""),1.0)</f>
        <v>1</v>
      </c>
      <c r="C1071" s="2">
        <f>IFERROR(__xludf.DUMMYFUNCTION("""COMPUTED_VALUE"""),343.0)</f>
        <v>343</v>
      </c>
      <c r="D1071" s="3">
        <f>IFERROR(__xludf.DUMMYFUNCTION("""COMPUTED_VALUE"""),203.0)</f>
        <v>203</v>
      </c>
      <c r="E1071" s="2"/>
      <c r="F1071" s="2"/>
    </row>
    <row r="1072">
      <c r="A1072" s="2">
        <f>IFERROR(__xludf.DUMMYFUNCTION("""COMPUTED_VALUE"""),74260.0)</f>
        <v>74260</v>
      </c>
      <c r="B1072" s="2">
        <f>IFERROR(__xludf.DUMMYFUNCTION("""COMPUTED_VALUE"""),0.0)</f>
        <v>0</v>
      </c>
      <c r="C1072" s="2">
        <f>IFERROR(__xludf.DUMMYFUNCTION("""COMPUTED_VALUE"""),303.0)</f>
        <v>303</v>
      </c>
      <c r="D1072" s="3">
        <f>IFERROR(__xludf.DUMMYFUNCTION("""COMPUTED_VALUE"""),238.0)</f>
        <v>238</v>
      </c>
      <c r="E1072" s="2"/>
      <c r="F1072" s="2"/>
    </row>
    <row r="1073">
      <c r="A1073" s="2">
        <f>IFERROR(__xludf.DUMMYFUNCTION("""COMPUTED_VALUE"""),122159.0)</f>
        <v>122159</v>
      </c>
      <c r="B1073" s="2">
        <f>IFERROR(__xludf.DUMMYFUNCTION("""COMPUTED_VALUE"""),0.0)</f>
        <v>0</v>
      </c>
      <c r="C1073" s="2">
        <f>IFERROR(__xludf.DUMMYFUNCTION("""COMPUTED_VALUE"""),272.0)</f>
        <v>272</v>
      </c>
      <c r="D1073" s="3">
        <f>IFERROR(__xludf.DUMMYFUNCTION("""COMPUTED_VALUE"""),103.0)</f>
        <v>103</v>
      </c>
      <c r="E1073" s="2"/>
      <c r="F1073" s="2"/>
    </row>
    <row r="1074">
      <c r="A1074" s="2">
        <f>IFERROR(__xludf.DUMMYFUNCTION("""COMPUTED_VALUE"""),100104.0)</f>
        <v>100104</v>
      </c>
      <c r="B1074" s="2">
        <f>IFERROR(__xludf.DUMMYFUNCTION("""COMPUTED_VALUE"""),1.0)</f>
        <v>1</v>
      </c>
      <c r="C1074" s="2">
        <f>IFERROR(__xludf.DUMMYFUNCTION("""COMPUTED_VALUE"""),804.0)</f>
        <v>804</v>
      </c>
      <c r="D1074" s="3">
        <f>IFERROR(__xludf.DUMMYFUNCTION("""COMPUTED_VALUE"""),71.0)</f>
        <v>71</v>
      </c>
      <c r="E1074" s="2"/>
      <c r="F1074" s="2"/>
    </row>
    <row r="1075">
      <c r="A1075" s="2">
        <f>IFERROR(__xludf.DUMMYFUNCTION("""COMPUTED_VALUE"""),103702.0)</f>
        <v>103702</v>
      </c>
      <c r="B1075" s="2">
        <f>IFERROR(__xludf.DUMMYFUNCTION("""COMPUTED_VALUE"""),0.0)</f>
        <v>0</v>
      </c>
      <c r="C1075" s="2">
        <f>IFERROR(__xludf.DUMMYFUNCTION("""COMPUTED_VALUE"""),602.0)</f>
        <v>602</v>
      </c>
      <c r="D1075" s="3">
        <f>IFERROR(__xludf.DUMMYFUNCTION("""COMPUTED_VALUE"""),430.0)</f>
        <v>430</v>
      </c>
      <c r="E1075" s="2"/>
      <c r="F1075" s="2"/>
    </row>
    <row r="1076">
      <c r="A1076" s="2">
        <f>IFERROR(__xludf.DUMMYFUNCTION("""COMPUTED_VALUE"""),103696.0)</f>
        <v>103696</v>
      </c>
      <c r="B1076" s="2">
        <f>IFERROR(__xludf.DUMMYFUNCTION("""COMPUTED_VALUE"""),0.0)</f>
        <v>0</v>
      </c>
      <c r="C1076" s="2">
        <f>IFERROR(__xludf.DUMMYFUNCTION("""COMPUTED_VALUE"""),216.0)</f>
        <v>216</v>
      </c>
      <c r="D1076" s="3">
        <f>IFERROR(__xludf.DUMMYFUNCTION("""COMPUTED_VALUE"""),164.0)</f>
        <v>164</v>
      </c>
      <c r="E1076" s="2"/>
      <c r="F1076" s="2"/>
    </row>
    <row r="1077">
      <c r="A1077" s="2">
        <f>IFERROR(__xludf.DUMMYFUNCTION("""COMPUTED_VALUE"""),111083.0)</f>
        <v>111083</v>
      </c>
      <c r="B1077" s="2">
        <f>IFERROR(__xludf.DUMMYFUNCTION("""COMPUTED_VALUE"""),1.0)</f>
        <v>1</v>
      </c>
      <c r="C1077" s="2">
        <f>IFERROR(__xludf.DUMMYFUNCTION("""COMPUTED_VALUE"""),407.0)</f>
        <v>407</v>
      </c>
      <c r="D1077" s="3">
        <f>IFERROR(__xludf.DUMMYFUNCTION("""COMPUTED_VALUE"""),92.0)</f>
        <v>92</v>
      </c>
      <c r="E1077" s="2"/>
      <c r="F1077" s="2"/>
    </row>
    <row r="1078">
      <c r="A1078" s="2">
        <f>IFERROR(__xludf.DUMMYFUNCTION("""COMPUTED_VALUE"""),76658.0)</f>
        <v>76658</v>
      </c>
      <c r="B1078" s="2">
        <f>IFERROR(__xludf.DUMMYFUNCTION("""COMPUTED_VALUE"""),0.0)</f>
        <v>0</v>
      </c>
      <c r="C1078" s="2">
        <f>IFERROR(__xludf.DUMMYFUNCTION("""COMPUTED_VALUE"""),164.0)</f>
        <v>164</v>
      </c>
      <c r="D1078" s="3">
        <f>IFERROR(__xludf.DUMMYFUNCTION("""COMPUTED_VALUE"""),56.0)</f>
        <v>56</v>
      </c>
      <c r="E1078" s="2"/>
      <c r="F1078" s="2"/>
    </row>
    <row r="1079">
      <c r="A1079" s="2">
        <f>IFERROR(__xludf.DUMMYFUNCTION("""COMPUTED_VALUE"""),111339.0)</f>
        <v>111339</v>
      </c>
      <c r="B1079" s="2">
        <f>IFERROR(__xludf.DUMMYFUNCTION("""COMPUTED_VALUE"""),1.0)</f>
        <v>1</v>
      </c>
      <c r="C1079" s="2">
        <f>IFERROR(__xludf.DUMMYFUNCTION("""COMPUTED_VALUE"""),775.0)</f>
        <v>775</v>
      </c>
      <c r="D1079" s="3">
        <f>IFERROR(__xludf.DUMMYFUNCTION("""COMPUTED_VALUE"""),601.0)</f>
        <v>601</v>
      </c>
      <c r="E1079" s="2"/>
      <c r="F1079" s="2"/>
    </row>
    <row r="1080">
      <c r="A1080" s="2">
        <f>IFERROR(__xludf.DUMMYFUNCTION("""COMPUTED_VALUE"""),79491.0)</f>
        <v>79491</v>
      </c>
      <c r="B1080" s="2">
        <f>IFERROR(__xludf.DUMMYFUNCTION("""COMPUTED_VALUE"""),1.0)</f>
        <v>1</v>
      </c>
      <c r="C1080" s="2">
        <f>IFERROR(__xludf.DUMMYFUNCTION("""COMPUTED_VALUE"""),96.0)</f>
        <v>96</v>
      </c>
      <c r="D1080" s="3">
        <f>IFERROR(__xludf.DUMMYFUNCTION("""COMPUTED_VALUE"""),33.0)</f>
        <v>33</v>
      </c>
      <c r="E1080" s="2"/>
      <c r="F1080" s="2"/>
    </row>
    <row r="1081">
      <c r="A1081" s="2">
        <f>IFERROR(__xludf.DUMMYFUNCTION("""COMPUTED_VALUE"""),110380.0)</f>
        <v>110380</v>
      </c>
      <c r="B1081" s="2">
        <f>IFERROR(__xludf.DUMMYFUNCTION("""COMPUTED_VALUE"""),1.0)</f>
        <v>1</v>
      </c>
      <c r="C1081" s="2">
        <f>IFERROR(__xludf.DUMMYFUNCTION("""COMPUTED_VALUE"""),915.0)</f>
        <v>915</v>
      </c>
      <c r="D1081" s="3">
        <f>IFERROR(__xludf.DUMMYFUNCTION("""COMPUTED_VALUE"""),422.0)</f>
        <v>422</v>
      </c>
      <c r="E1081" s="2"/>
      <c r="F1081" s="2"/>
    </row>
    <row r="1082">
      <c r="A1082" s="2">
        <f>IFERROR(__xludf.DUMMYFUNCTION("""COMPUTED_VALUE"""),111341.0)</f>
        <v>111341</v>
      </c>
      <c r="B1082" s="2">
        <f>IFERROR(__xludf.DUMMYFUNCTION("""COMPUTED_VALUE"""),1.0)</f>
        <v>1</v>
      </c>
      <c r="C1082" s="2">
        <f>IFERROR(__xludf.DUMMYFUNCTION("""COMPUTED_VALUE"""),616.0)</f>
        <v>616</v>
      </c>
      <c r="D1082" s="3">
        <f>IFERROR(__xludf.DUMMYFUNCTION("""COMPUTED_VALUE"""),464.0)</f>
        <v>464</v>
      </c>
      <c r="E1082" s="2"/>
      <c r="F1082" s="2"/>
    </row>
    <row r="1083">
      <c r="A1083" s="2">
        <f>IFERROR(__xludf.DUMMYFUNCTION("""COMPUTED_VALUE"""),81785.0)</f>
        <v>81785</v>
      </c>
      <c r="B1083" s="2">
        <f>IFERROR(__xludf.DUMMYFUNCTION("""COMPUTED_VALUE"""),1.0)</f>
        <v>1</v>
      </c>
      <c r="C1083" s="2">
        <f>IFERROR(__xludf.DUMMYFUNCTION("""COMPUTED_VALUE"""),562.0)</f>
        <v>562</v>
      </c>
      <c r="D1083" s="3">
        <f>IFERROR(__xludf.DUMMYFUNCTION("""COMPUTED_VALUE"""),358.0)</f>
        <v>358</v>
      </c>
      <c r="E1083" s="2"/>
      <c r="F1083" s="2"/>
    </row>
    <row r="1084">
      <c r="A1084" s="2">
        <f>IFERROR(__xludf.DUMMYFUNCTION("""COMPUTED_VALUE"""),89155.0)</f>
        <v>89155</v>
      </c>
      <c r="B1084" s="2">
        <f>IFERROR(__xludf.DUMMYFUNCTION("""COMPUTED_VALUE"""),1.0)</f>
        <v>1</v>
      </c>
      <c r="C1084" s="2">
        <f>IFERROR(__xludf.DUMMYFUNCTION("""COMPUTED_VALUE"""),706.0)</f>
        <v>706</v>
      </c>
      <c r="D1084" s="3">
        <f>IFERROR(__xludf.DUMMYFUNCTION("""COMPUTED_VALUE"""),664.0)</f>
        <v>664</v>
      </c>
      <c r="E1084" s="2"/>
      <c r="F1084" s="2"/>
    </row>
    <row r="1085">
      <c r="A1085" s="2">
        <f>IFERROR(__xludf.DUMMYFUNCTION("""COMPUTED_VALUE"""),90253.0)</f>
        <v>90253</v>
      </c>
      <c r="B1085" s="2">
        <f>IFERROR(__xludf.DUMMYFUNCTION("""COMPUTED_VALUE"""),0.0)</f>
        <v>0</v>
      </c>
      <c r="C1085" s="2">
        <f>IFERROR(__xludf.DUMMYFUNCTION("""COMPUTED_VALUE"""),205.0)</f>
        <v>205</v>
      </c>
      <c r="D1085" s="3">
        <f>IFERROR(__xludf.DUMMYFUNCTION("""COMPUTED_VALUE"""),93.0)</f>
        <v>93</v>
      </c>
      <c r="E1085" s="2"/>
      <c r="F1085" s="2"/>
    </row>
    <row r="1086">
      <c r="A1086" s="2">
        <f>IFERROR(__xludf.DUMMYFUNCTION("""COMPUTED_VALUE"""),119544.0)</f>
        <v>119544</v>
      </c>
      <c r="B1086" s="2">
        <f>IFERROR(__xludf.DUMMYFUNCTION("""COMPUTED_VALUE"""),0.0)</f>
        <v>0</v>
      </c>
      <c r="C1086" s="2">
        <f>IFERROR(__xludf.DUMMYFUNCTION("""COMPUTED_VALUE"""),56.0)</f>
        <v>56</v>
      </c>
      <c r="D1086" s="3">
        <f>IFERROR(__xludf.DUMMYFUNCTION("""COMPUTED_VALUE"""),42.0)</f>
        <v>42</v>
      </c>
      <c r="E1086" s="2"/>
      <c r="F1086" s="2"/>
    </row>
    <row r="1087">
      <c r="A1087" s="2">
        <f>IFERROR(__xludf.DUMMYFUNCTION("""COMPUTED_VALUE"""),108675.0)</f>
        <v>108675</v>
      </c>
      <c r="B1087" s="2">
        <f>IFERROR(__xludf.DUMMYFUNCTION("""COMPUTED_VALUE"""),1.0)</f>
        <v>1</v>
      </c>
      <c r="C1087" s="2">
        <f>IFERROR(__xludf.DUMMYFUNCTION("""COMPUTED_VALUE"""),88.0)</f>
        <v>88</v>
      </c>
      <c r="D1087" s="3">
        <f>IFERROR(__xludf.DUMMYFUNCTION("""COMPUTED_VALUE"""),29.0)</f>
        <v>29</v>
      </c>
      <c r="E1087" s="2"/>
      <c r="F1087" s="2"/>
    </row>
    <row r="1088">
      <c r="A1088" s="2">
        <f>IFERROR(__xludf.DUMMYFUNCTION("""COMPUTED_VALUE"""),119542.0)</f>
        <v>119542</v>
      </c>
      <c r="B1088" s="2">
        <f>IFERROR(__xludf.DUMMYFUNCTION("""COMPUTED_VALUE"""),0.0)</f>
        <v>0</v>
      </c>
      <c r="C1088" s="2">
        <f>IFERROR(__xludf.DUMMYFUNCTION("""COMPUTED_VALUE"""),36.0)</f>
        <v>36</v>
      </c>
      <c r="D1088" s="3">
        <f>IFERROR(__xludf.DUMMYFUNCTION("""COMPUTED_VALUE"""),7.0)</f>
        <v>7</v>
      </c>
      <c r="E1088" s="2"/>
      <c r="F1088" s="2"/>
    </row>
    <row r="1089">
      <c r="A1089" s="2">
        <f>IFERROR(__xludf.DUMMYFUNCTION("""COMPUTED_VALUE"""),30752.0)</f>
        <v>30752</v>
      </c>
      <c r="B1089" s="2">
        <f>IFERROR(__xludf.DUMMYFUNCTION("""COMPUTED_VALUE"""),1.0)</f>
        <v>1</v>
      </c>
      <c r="C1089" s="2">
        <f>IFERROR(__xludf.DUMMYFUNCTION("""COMPUTED_VALUE"""),974.0)</f>
        <v>974</v>
      </c>
      <c r="D1089" s="3">
        <f>IFERROR(__xludf.DUMMYFUNCTION("""COMPUTED_VALUE"""),546.0)</f>
        <v>546</v>
      </c>
      <c r="E1089" s="2"/>
      <c r="F1089" s="2"/>
    </row>
    <row r="1090">
      <c r="A1090" s="2">
        <f>IFERROR(__xludf.DUMMYFUNCTION("""COMPUTED_VALUE"""),116180.0)</f>
        <v>116180</v>
      </c>
      <c r="B1090" s="2">
        <f>IFERROR(__xludf.DUMMYFUNCTION("""COMPUTED_VALUE"""),0.0)</f>
        <v>0</v>
      </c>
      <c r="C1090" s="2">
        <f>IFERROR(__xludf.DUMMYFUNCTION("""COMPUTED_VALUE"""),908.0)</f>
        <v>908</v>
      </c>
      <c r="D1090" s="3">
        <f>IFERROR(__xludf.DUMMYFUNCTION("""COMPUTED_VALUE"""),735.0)</f>
        <v>735</v>
      </c>
      <c r="E1090" s="2"/>
      <c r="F1090" s="2"/>
    </row>
    <row r="1091">
      <c r="A1091" s="2">
        <f>IFERROR(__xludf.DUMMYFUNCTION("""COMPUTED_VALUE"""),96953.0)</f>
        <v>96953</v>
      </c>
      <c r="B1091" s="2">
        <f>IFERROR(__xludf.DUMMYFUNCTION("""COMPUTED_VALUE"""),1.0)</f>
        <v>1</v>
      </c>
      <c r="C1091" s="2">
        <f>IFERROR(__xludf.DUMMYFUNCTION("""COMPUTED_VALUE"""),73.0)</f>
        <v>73</v>
      </c>
      <c r="D1091" s="3">
        <f>IFERROR(__xludf.DUMMYFUNCTION("""COMPUTED_VALUE"""),46.0)</f>
        <v>46</v>
      </c>
      <c r="E1091" s="2"/>
      <c r="F1091" s="2"/>
    </row>
    <row r="1092">
      <c r="A1092" s="2">
        <f>IFERROR(__xludf.DUMMYFUNCTION("""COMPUTED_VALUE"""),118303.0)</f>
        <v>118303</v>
      </c>
      <c r="B1092" s="2">
        <f>IFERROR(__xludf.DUMMYFUNCTION("""COMPUTED_VALUE"""),0.0)</f>
        <v>0</v>
      </c>
      <c r="C1092" s="2">
        <f>IFERROR(__xludf.DUMMYFUNCTION("""COMPUTED_VALUE"""),992.0)</f>
        <v>992</v>
      </c>
      <c r="D1092" s="3">
        <f>IFERROR(__xludf.DUMMYFUNCTION("""COMPUTED_VALUE"""),143.0)</f>
        <v>143</v>
      </c>
      <c r="E1092" s="2"/>
      <c r="F1092" s="2"/>
    </row>
    <row r="1093">
      <c r="A1093" s="2">
        <f>IFERROR(__xludf.DUMMYFUNCTION("""COMPUTED_VALUE"""),117222.0)</f>
        <v>117222</v>
      </c>
      <c r="B1093" s="2">
        <f>IFERROR(__xludf.DUMMYFUNCTION("""COMPUTED_VALUE"""),1.0)</f>
        <v>1</v>
      </c>
      <c r="C1093" s="2">
        <f>IFERROR(__xludf.DUMMYFUNCTION("""COMPUTED_VALUE"""),659.0)</f>
        <v>659</v>
      </c>
      <c r="D1093" s="3">
        <f>IFERROR(__xludf.DUMMYFUNCTION("""COMPUTED_VALUE"""),432.0)</f>
        <v>432</v>
      </c>
      <c r="E1093" s="2"/>
      <c r="F1093" s="2"/>
    </row>
    <row r="1094">
      <c r="A1094" s="2">
        <f>IFERROR(__xludf.DUMMYFUNCTION("""COMPUTED_VALUE"""),5620.0)</f>
        <v>5620</v>
      </c>
      <c r="B1094" s="2">
        <f>IFERROR(__xludf.DUMMYFUNCTION("""COMPUTED_VALUE"""),0.0)</f>
        <v>0</v>
      </c>
      <c r="C1094" s="2">
        <f>IFERROR(__xludf.DUMMYFUNCTION("""COMPUTED_VALUE"""),41.0)</f>
        <v>41</v>
      </c>
      <c r="D1094" s="3">
        <f>IFERROR(__xludf.DUMMYFUNCTION("""COMPUTED_VALUE"""),19.0)</f>
        <v>19</v>
      </c>
      <c r="E1094" s="2"/>
      <c r="F1094" s="2"/>
    </row>
    <row r="1095">
      <c r="A1095" s="2">
        <f>IFERROR(__xludf.DUMMYFUNCTION("""COMPUTED_VALUE"""),122346.0)</f>
        <v>122346</v>
      </c>
      <c r="B1095" s="2">
        <f>IFERROR(__xludf.DUMMYFUNCTION("""COMPUTED_VALUE"""),0.0)</f>
        <v>0</v>
      </c>
      <c r="C1095" s="2">
        <f>IFERROR(__xludf.DUMMYFUNCTION("""COMPUTED_VALUE"""),230.0)</f>
        <v>230</v>
      </c>
      <c r="D1095" s="3">
        <f>IFERROR(__xludf.DUMMYFUNCTION("""COMPUTED_VALUE"""),105.0)</f>
        <v>105</v>
      </c>
      <c r="E1095" s="2"/>
      <c r="F1095" s="2"/>
    </row>
    <row r="1096">
      <c r="A1096" s="2">
        <f>IFERROR(__xludf.DUMMYFUNCTION("""COMPUTED_VALUE"""),96968.0)</f>
        <v>96968</v>
      </c>
      <c r="B1096" s="2">
        <f>IFERROR(__xludf.DUMMYFUNCTION("""COMPUTED_VALUE"""),1.0)</f>
        <v>1</v>
      </c>
      <c r="C1096" s="2">
        <f>IFERROR(__xludf.DUMMYFUNCTION("""COMPUTED_VALUE"""),407.0)</f>
        <v>407</v>
      </c>
      <c r="D1096" s="3">
        <f>IFERROR(__xludf.DUMMYFUNCTION("""COMPUTED_VALUE"""),393.0)</f>
        <v>393</v>
      </c>
      <c r="E1096" s="2"/>
      <c r="F1096" s="2"/>
    </row>
    <row r="1097">
      <c r="A1097" s="2">
        <f>IFERROR(__xludf.DUMMYFUNCTION("""COMPUTED_VALUE"""),126578.0)</f>
        <v>126578</v>
      </c>
      <c r="B1097" s="2">
        <f>IFERROR(__xludf.DUMMYFUNCTION("""COMPUTED_VALUE"""),0.0)</f>
        <v>0</v>
      </c>
      <c r="C1097" s="2">
        <f>IFERROR(__xludf.DUMMYFUNCTION("""COMPUTED_VALUE"""),614.0)</f>
        <v>614</v>
      </c>
      <c r="D1097" s="3">
        <f>IFERROR(__xludf.DUMMYFUNCTION("""COMPUTED_VALUE"""),356.0)</f>
        <v>356</v>
      </c>
      <c r="E1097" s="2"/>
      <c r="F1097" s="2"/>
    </row>
    <row r="1098">
      <c r="A1098" s="2">
        <f>IFERROR(__xludf.DUMMYFUNCTION("""COMPUTED_VALUE"""),126581.0)</f>
        <v>126581</v>
      </c>
      <c r="B1098" s="2">
        <f>IFERROR(__xludf.DUMMYFUNCTION("""COMPUTED_VALUE"""),0.0)</f>
        <v>0</v>
      </c>
      <c r="C1098" s="2">
        <f>IFERROR(__xludf.DUMMYFUNCTION("""COMPUTED_VALUE"""),516.0)</f>
        <v>516</v>
      </c>
      <c r="D1098" s="3">
        <f>IFERROR(__xludf.DUMMYFUNCTION("""COMPUTED_VALUE"""),285.0)</f>
        <v>285</v>
      </c>
      <c r="E1098" s="2"/>
      <c r="F1098" s="2"/>
    </row>
    <row r="1099">
      <c r="A1099" s="2">
        <f>IFERROR(__xludf.DUMMYFUNCTION("""COMPUTED_VALUE"""),96956.0)</f>
        <v>96956</v>
      </c>
      <c r="B1099" s="2">
        <f>IFERROR(__xludf.DUMMYFUNCTION("""COMPUTED_VALUE"""),0.0)</f>
        <v>0</v>
      </c>
      <c r="C1099" s="2">
        <f>IFERROR(__xludf.DUMMYFUNCTION("""COMPUTED_VALUE"""),28.0)</f>
        <v>28</v>
      </c>
      <c r="D1099" s="3">
        <f>IFERROR(__xludf.DUMMYFUNCTION("""COMPUTED_VALUE"""),19.0)</f>
        <v>19</v>
      </c>
      <c r="E1099" s="2"/>
      <c r="F1099" s="2"/>
    </row>
    <row r="1100">
      <c r="A1100" s="2">
        <f>IFERROR(__xludf.DUMMYFUNCTION("""COMPUTED_VALUE"""),116774.0)</f>
        <v>116774</v>
      </c>
      <c r="B1100" s="2">
        <f>IFERROR(__xludf.DUMMYFUNCTION("""COMPUTED_VALUE"""),1.0)</f>
        <v>1</v>
      </c>
      <c r="C1100" s="2">
        <f>IFERROR(__xludf.DUMMYFUNCTION("""COMPUTED_VALUE"""),363.0)</f>
        <v>363</v>
      </c>
      <c r="D1100" s="3">
        <f>IFERROR(__xludf.DUMMYFUNCTION("""COMPUTED_VALUE"""),254.0)</f>
        <v>254</v>
      </c>
      <c r="E1100" s="2"/>
      <c r="F1100" s="2"/>
    </row>
    <row r="1101">
      <c r="A1101" s="2">
        <f>IFERROR(__xludf.DUMMYFUNCTION("""COMPUTED_VALUE"""),147293.0)</f>
        <v>147293</v>
      </c>
      <c r="B1101" s="2">
        <f>IFERROR(__xludf.DUMMYFUNCTION("""COMPUTED_VALUE"""),1.0)</f>
        <v>1</v>
      </c>
      <c r="C1101" s="2">
        <f>IFERROR(__xludf.DUMMYFUNCTION("""COMPUTED_VALUE"""),768.0)</f>
        <v>768</v>
      </c>
      <c r="D1101" s="3">
        <f>IFERROR(__xludf.DUMMYFUNCTION("""COMPUTED_VALUE"""),705.0)</f>
        <v>705</v>
      </c>
      <c r="E1101" s="2"/>
      <c r="F1101" s="2"/>
    </row>
    <row r="1102">
      <c r="A1102" s="2">
        <f>IFERROR(__xludf.DUMMYFUNCTION("""COMPUTED_VALUE"""),119228.0)</f>
        <v>119228</v>
      </c>
      <c r="B1102" s="2">
        <f>IFERROR(__xludf.DUMMYFUNCTION("""COMPUTED_VALUE"""),1.0)</f>
        <v>1</v>
      </c>
      <c r="C1102" s="2">
        <f>IFERROR(__xludf.DUMMYFUNCTION("""COMPUTED_VALUE"""),524.0)</f>
        <v>524</v>
      </c>
      <c r="D1102" s="3">
        <f>IFERROR(__xludf.DUMMYFUNCTION("""COMPUTED_VALUE"""),270.0)</f>
        <v>270</v>
      </c>
      <c r="E1102" s="2"/>
      <c r="F1102" s="2"/>
    </row>
    <row r="1103">
      <c r="A1103" s="2">
        <f>IFERROR(__xludf.DUMMYFUNCTION("""COMPUTED_VALUE"""),5618.0)</f>
        <v>5618</v>
      </c>
      <c r="B1103" s="2">
        <f>IFERROR(__xludf.DUMMYFUNCTION("""COMPUTED_VALUE"""),0.0)</f>
        <v>0</v>
      </c>
      <c r="C1103" s="2">
        <f>IFERROR(__xludf.DUMMYFUNCTION("""COMPUTED_VALUE"""),962.0)</f>
        <v>962</v>
      </c>
      <c r="D1103" s="3">
        <f>IFERROR(__xludf.DUMMYFUNCTION("""COMPUTED_VALUE"""),860.0)</f>
        <v>860</v>
      </c>
      <c r="E1103" s="2"/>
      <c r="F1103" s="2"/>
    </row>
    <row r="1104">
      <c r="A1104" s="2">
        <f>IFERROR(__xludf.DUMMYFUNCTION("""COMPUTED_VALUE"""),126579.0)</f>
        <v>126579</v>
      </c>
      <c r="B1104" s="2">
        <f>IFERROR(__xludf.DUMMYFUNCTION("""COMPUTED_VALUE"""),1.0)</f>
        <v>1</v>
      </c>
      <c r="C1104" s="2">
        <f>IFERROR(__xludf.DUMMYFUNCTION("""COMPUTED_VALUE"""),343.0)</f>
        <v>343</v>
      </c>
      <c r="D1104" s="3">
        <f>IFERROR(__xludf.DUMMYFUNCTION("""COMPUTED_VALUE"""),341.0)</f>
        <v>341</v>
      </c>
      <c r="E1104" s="2"/>
      <c r="F1104" s="2"/>
    </row>
    <row r="1105">
      <c r="A1105" s="2">
        <f>IFERROR(__xludf.DUMMYFUNCTION("""COMPUTED_VALUE"""),117219.0)</f>
        <v>117219</v>
      </c>
      <c r="B1105" s="2">
        <f>IFERROR(__xludf.DUMMYFUNCTION("""COMPUTED_VALUE"""),1.0)</f>
        <v>1</v>
      </c>
      <c r="C1105" s="2">
        <f>IFERROR(__xludf.DUMMYFUNCTION("""COMPUTED_VALUE"""),74.0)</f>
        <v>74</v>
      </c>
      <c r="D1105" s="3">
        <f>IFERROR(__xludf.DUMMYFUNCTION("""COMPUTED_VALUE"""),25.0)</f>
        <v>25</v>
      </c>
      <c r="E1105" s="2"/>
      <c r="F1105" s="2"/>
    </row>
    <row r="1106">
      <c r="A1106" s="2">
        <f>IFERROR(__xludf.DUMMYFUNCTION("""COMPUTED_VALUE"""),44110.0)</f>
        <v>44110</v>
      </c>
      <c r="B1106" s="2">
        <f>IFERROR(__xludf.DUMMYFUNCTION("""COMPUTED_VALUE"""),0.0)</f>
        <v>0</v>
      </c>
      <c r="C1106" s="2">
        <f>IFERROR(__xludf.DUMMYFUNCTION("""COMPUTED_VALUE"""),821.0)</f>
        <v>821</v>
      </c>
      <c r="D1106" s="3">
        <f>IFERROR(__xludf.DUMMYFUNCTION("""COMPUTED_VALUE"""),117.0)</f>
        <v>117</v>
      </c>
      <c r="E1106" s="2"/>
      <c r="F1106" s="2"/>
    </row>
    <row r="1107">
      <c r="A1107" s="2">
        <f>IFERROR(__xludf.DUMMYFUNCTION("""COMPUTED_VALUE"""),76223.0)</f>
        <v>76223</v>
      </c>
      <c r="B1107" s="2">
        <f>IFERROR(__xludf.DUMMYFUNCTION("""COMPUTED_VALUE"""),1.0)</f>
        <v>1</v>
      </c>
      <c r="C1107" s="2">
        <f>IFERROR(__xludf.DUMMYFUNCTION("""COMPUTED_VALUE"""),332.0)</f>
        <v>332</v>
      </c>
      <c r="D1107" s="3">
        <f>IFERROR(__xludf.DUMMYFUNCTION("""COMPUTED_VALUE"""),236.0)</f>
        <v>236</v>
      </c>
      <c r="E1107" s="2"/>
      <c r="F1107" s="2"/>
    </row>
    <row r="1108">
      <c r="A1108" s="2">
        <f>IFERROR(__xludf.DUMMYFUNCTION("""COMPUTED_VALUE"""),48406.0)</f>
        <v>48406</v>
      </c>
      <c r="B1108" s="2">
        <f>IFERROR(__xludf.DUMMYFUNCTION("""COMPUTED_VALUE"""),0.0)</f>
        <v>0</v>
      </c>
      <c r="C1108" s="2">
        <f>IFERROR(__xludf.DUMMYFUNCTION("""COMPUTED_VALUE"""),57.0)</f>
        <v>57</v>
      </c>
      <c r="D1108" s="3">
        <f>IFERROR(__xludf.DUMMYFUNCTION("""COMPUTED_VALUE"""),50.0)</f>
        <v>50</v>
      </c>
      <c r="E1108" s="2"/>
      <c r="F1108" s="2"/>
    </row>
    <row r="1109">
      <c r="A1109" s="2">
        <f>IFERROR(__xludf.DUMMYFUNCTION("""COMPUTED_VALUE"""),77514.0)</f>
        <v>77514</v>
      </c>
      <c r="B1109" s="2">
        <f>IFERROR(__xludf.DUMMYFUNCTION("""COMPUTED_VALUE"""),0.0)</f>
        <v>0</v>
      </c>
      <c r="C1109" s="2">
        <f>IFERROR(__xludf.DUMMYFUNCTION("""COMPUTED_VALUE"""),569.0)</f>
        <v>569</v>
      </c>
      <c r="D1109" s="3">
        <f>IFERROR(__xludf.DUMMYFUNCTION("""COMPUTED_VALUE"""),370.0)</f>
        <v>370</v>
      </c>
      <c r="E1109" s="2"/>
      <c r="F1109" s="2"/>
    </row>
    <row r="1110">
      <c r="A1110" s="2">
        <f>IFERROR(__xludf.DUMMYFUNCTION("""COMPUTED_VALUE"""),117221.0)</f>
        <v>117221</v>
      </c>
      <c r="B1110" s="2">
        <f>IFERROR(__xludf.DUMMYFUNCTION("""COMPUTED_VALUE"""),1.0)</f>
        <v>1</v>
      </c>
      <c r="C1110" s="2">
        <f>IFERROR(__xludf.DUMMYFUNCTION("""COMPUTED_VALUE"""),867.0)</f>
        <v>867</v>
      </c>
      <c r="D1110" s="3">
        <f>IFERROR(__xludf.DUMMYFUNCTION("""COMPUTED_VALUE"""),383.0)</f>
        <v>383</v>
      </c>
      <c r="E1110" s="2"/>
      <c r="F1110" s="2"/>
    </row>
    <row r="1111">
      <c r="A1111" s="2">
        <f>IFERROR(__xludf.DUMMYFUNCTION("""COMPUTED_VALUE"""),115602.0)</f>
        <v>115602</v>
      </c>
      <c r="B1111" s="2">
        <f>IFERROR(__xludf.DUMMYFUNCTION("""COMPUTED_VALUE"""),0.0)</f>
        <v>0</v>
      </c>
      <c r="C1111" s="2">
        <f>IFERROR(__xludf.DUMMYFUNCTION("""COMPUTED_VALUE"""),474.0)</f>
        <v>474</v>
      </c>
      <c r="D1111" s="3">
        <f>IFERROR(__xludf.DUMMYFUNCTION("""COMPUTED_VALUE"""),439.0)</f>
        <v>439</v>
      </c>
      <c r="E1111" s="2"/>
      <c r="F1111" s="2"/>
    </row>
    <row r="1112">
      <c r="A1112" s="2">
        <f>IFERROR(__xludf.DUMMYFUNCTION("""COMPUTED_VALUE"""),44107.0)</f>
        <v>44107</v>
      </c>
      <c r="B1112" s="2">
        <f>IFERROR(__xludf.DUMMYFUNCTION("""COMPUTED_VALUE"""),1.0)</f>
        <v>1</v>
      </c>
      <c r="C1112" s="2">
        <f>IFERROR(__xludf.DUMMYFUNCTION("""COMPUTED_VALUE"""),808.0)</f>
        <v>808</v>
      </c>
      <c r="D1112" s="3">
        <f>IFERROR(__xludf.DUMMYFUNCTION("""COMPUTED_VALUE"""),297.0)</f>
        <v>297</v>
      </c>
      <c r="E1112" s="2"/>
      <c r="F1112" s="2"/>
    </row>
    <row r="1113">
      <c r="A1113" s="2">
        <f>IFERROR(__xludf.DUMMYFUNCTION("""COMPUTED_VALUE"""),115604.0)</f>
        <v>115604</v>
      </c>
      <c r="B1113" s="2">
        <f>IFERROR(__xludf.DUMMYFUNCTION("""COMPUTED_VALUE"""),0.0)</f>
        <v>0</v>
      </c>
      <c r="C1113" s="2">
        <f>IFERROR(__xludf.DUMMYFUNCTION("""COMPUTED_VALUE"""),691.0)</f>
        <v>691</v>
      </c>
      <c r="D1113" s="3">
        <f>IFERROR(__xludf.DUMMYFUNCTION("""COMPUTED_VALUE"""),444.0)</f>
        <v>444</v>
      </c>
      <c r="E1113" s="2"/>
      <c r="F1113" s="2"/>
    </row>
    <row r="1114">
      <c r="A1114" s="2">
        <f>IFERROR(__xludf.DUMMYFUNCTION("""COMPUTED_VALUE"""),118926.0)</f>
        <v>118926</v>
      </c>
      <c r="B1114" s="2">
        <f>IFERROR(__xludf.DUMMYFUNCTION("""COMPUTED_VALUE"""),1.0)</f>
        <v>1</v>
      </c>
      <c r="C1114" s="2">
        <f>IFERROR(__xludf.DUMMYFUNCTION("""COMPUTED_VALUE"""),866.0)</f>
        <v>866</v>
      </c>
      <c r="D1114" s="3">
        <f>IFERROR(__xludf.DUMMYFUNCTION("""COMPUTED_VALUE"""),315.0)</f>
        <v>315</v>
      </c>
      <c r="E1114" s="2"/>
      <c r="F1114" s="2"/>
    </row>
    <row r="1115">
      <c r="A1115" s="2">
        <f>IFERROR(__xludf.DUMMYFUNCTION("""COMPUTED_VALUE"""),118304.0)</f>
        <v>118304</v>
      </c>
      <c r="B1115" s="2">
        <f>IFERROR(__xludf.DUMMYFUNCTION("""COMPUTED_VALUE"""),1.0)</f>
        <v>1</v>
      </c>
      <c r="C1115" s="2">
        <f>IFERROR(__xludf.DUMMYFUNCTION("""COMPUTED_VALUE"""),519.0)</f>
        <v>519</v>
      </c>
      <c r="D1115" s="3">
        <f>IFERROR(__xludf.DUMMYFUNCTION("""COMPUTED_VALUE"""),257.0)</f>
        <v>257</v>
      </c>
      <c r="E1115" s="2"/>
      <c r="F1115" s="2"/>
    </row>
    <row r="1116">
      <c r="A1116" s="2">
        <f>IFERROR(__xludf.DUMMYFUNCTION("""COMPUTED_VALUE"""),5621.0)</f>
        <v>5621</v>
      </c>
      <c r="B1116" s="2">
        <f>IFERROR(__xludf.DUMMYFUNCTION("""COMPUTED_VALUE"""),0.0)</f>
        <v>0</v>
      </c>
      <c r="C1116" s="2">
        <f>IFERROR(__xludf.DUMMYFUNCTION("""COMPUTED_VALUE"""),834.0)</f>
        <v>834</v>
      </c>
      <c r="D1116" s="3">
        <f>IFERROR(__xludf.DUMMYFUNCTION("""COMPUTED_VALUE"""),482.0)</f>
        <v>482</v>
      </c>
      <c r="E1116" s="2"/>
      <c r="F1116" s="2"/>
    </row>
    <row r="1117">
      <c r="A1117" s="2">
        <f>IFERROR(__xludf.DUMMYFUNCTION("""COMPUTED_VALUE"""),44105.0)</f>
        <v>44105</v>
      </c>
      <c r="B1117" s="2">
        <f>IFERROR(__xludf.DUMMYFUNCTION("""COMPUTED_VALUE"""),1.0)</f>
        <v>1</v>
      </c>
      <c r="C1117" s="2">
        <f>IFERROR(__xludf.DUMMYFUNCTION("""COMPUTED_VALUE"""),829.0)</f>
        <v>829</v>
      </c>
      <c r="D1117" s="3">
        <f>IFERROR(__xludf.DUMMYFUNCTION("""COMPUTED_VALUE"""),132.0)</f>
        <v>132</v>
      </c>
      <c r="E1117" s="2"/>
      <c r="F1117" s="2"/>
    </row>
    <row r="1118">
      <c r="A1118" s="2">
        <f>IFERROR(__xludf.DUMMYFUNCTION("""COMPUTED_VALUE"""),126580.0)</f>
        <v>126580</v>
      </c>
      <c r="B1118" s="2">
        <f>IFERROR(__xludf.DUMMYFUNCTION("""COMPUTED_VALUE"""),0.0)</f>
        <v>0</v>
      </c>
      <c r="C1118" s="2">
        <f>IFERROR(__xludf.DUMMYFUNCTION("""COMPUTED_VALUE"""),532.0)</f>
        <v>532</v>
      </c>
      <c r="D1118" s="3">
        <f>IFERROR(__xludf.DUMMYFUNCTION("""COMPUTED_VALUE"""),68.0)</f>
        <v>68</v>
      </c>
      <c r="E1118" s="2"/>
      <c r="F1118" s="2"/>
    </row>
    <row r="1119">
      <c r="A1119" s="2">
        <f>IFERROR(__xludf.DUMMYFUNCTION("""COMPUTED_VALUE"""),5624.0)</f>
        <v>5624</v>
      </c>
      <c r="B1119" s="2">
        <f>IFERROR(__xludf.DUMMYFUNCTION("""COMPUTED_VALUE"""),0.0)</f>
        <v>0</v>
      </c>
      <c r="C1119" s="2">
        <f>IFERROR(__xludf.DUMMYFUNCTION("""COMPUTED_VALUE"""),442.0)</f>
        <v>442</v>
      </c>
      <c r="D1119" s="3">
        <f>IFERROR(__xludf.DUMMYFUNCTION("""COMPUTED_VALUE"""),255.0)</f>
        <v>255</v>
      </c>
      <c r="E1119" s="2"/>
      <c r="F1119" s="2"/>
    </row>
    <row r="1120">
      <c r="A1120" s="2">
        <f>IFERROR(__xludf.DUMMYFUNCTION("""COMPUTED_VALUE"""),88679.0)</f>
        <v>88679</v>
      </c>
      <c r="B1120" s="2">
        <f>IFERROR(__xludf.DUMMYFUNCTION("""COMPUTED_VALUE"""),1.0)</f>
        <v>1</v>
      </c>
      <c r="C1120" s="2">
        <f>IFERROR(__xludf.DUMMYFUNCTION("""COMPUTED_VALUE"""),549.0)</f>
        <v>549</v>
      </c>
      <c r="D1120" s="3">
        <f>IFERROR(__xludf.DUMMYFUNCTION("""COMPUTED_VALUE"""),39.0)</f>
        <v>39</v>
      </c>
      <c r="E1120" s="2"/>
      <c r="F1120" s="2"/>
    </row>
    <row r="1121">
      <c r="A1121" s="2">
        <f>IFERROR(__xludf.DUMMYFUNCTION("""COMPUTED_VALUE"""),118305.0)</f>
        <v>118305</v>
      </c>
      <c r="B1121" s="2">
        <f>IFERROR(__xludf.DUMMYFUNCTION("""COMPUTED_VALUE"""),0.0)</f>
        <v>0</v>
      </c>
      <c r="C1121" s="2">
        <f>IFERROR(__xludf.DUMMYFUNCTION("""COMPUTED_VALUE"""),39.0)</f>
        <v>39</v>
      </c>
      <c r="D1121" s="3">
        <f>IFERROR(__xludf.DUMMYFUNCTION("""COMPUTED_VALUE"""),1.0)</f>
        <v>1</v>
      </c>
      <c r="E1121" s="2"/>
      <c r="F1121" s="2"/>
    </row>
    <row r="1122">
      <c r="A1122" s="2">
        <f>IFERROR(__xludf.DUMMYFUNCTION("""COMPUTED_VALUE"""),60380.0)</f>
        <v>60380</v>
      </c>
      <c r="B1122" s="2">
        <f>IFERROR(__xludf.DUMMYFUNCTION("""COMPUTED_VALUE"""),0.0)</f>
        <v>0</v>
      </c>
      <c r="C1122" s="2">
        <f>IFERROR(__xludf.DUMMYFUNCTION("""COMPUTED_VALUE"""),152.0)</f>
        <v>152</v>
      </c>
      <c r="D1122" s="3">
        <f>IFERROR(__xludf.DUMMYFUNCTION("""COMPUTED_VALUE"""),103.0)</f>
        <v>103</v>
      </c>
      <c r="E1122" s="2"/>
      <c r="F1122" s="2"/>
    </row>
    <row r="1123">
      <c r="A1123" s="2">
        <f>IFERROR(__xludf.DUMMYFUNCTION("""COMPUTED_VALUE"""),77475.0)</f>
        <v>77475</v>
      </c>
      <c r="B1123" s="2">
        <f>IFERROR(__xludf.DUMMYFUNCTION("""COMPUTED_VALUE"""),0.0)</f>
        <v>0</v>
      </c>
      <c r="C1123" s="2">
        <f>IFERROR(__xludf.DUMMYFUNCTION("""COMPUTED_VALUE"""),821.0)</f>
        <v>821</v>
      </c>
      <c r="D1123" s="3">
        <f>IFERROR(__xludf.DUMMYFUNCTION("""COMPUTED_VALUE"""),124.0)</f>
        <v>124</v>
      </c>
      <c r="E1123" s="2"/>
      <c r="F1123" s="2"/>
    </row>
    <row r="1124">
      <c r="A1124" s="2">
        <f>IFERROR(__xludf.DUMMYFUNCTION("""COMPUTED_VALUE"""),110577.0)</f>
        <v>110577</v>
      </c>
      <c r="B1124" s="2">
        <f>IFERROR(__xludf.DUMMYFUNCTION("""COMPUTED_VALUE"""),1.0)</f>
        <v>1</v>
      </c>
      <c r="C1124" s="2">
        <f>IFERROR(__xludf.DUMMYFUNCTION("""COMPUTED_VALUE"""),66.0)</f>
        <v>66</v>
      </c>
      <c r="D1124" s="3">
        <f>IFERROR(__xludf.DUMMYFUNCTION("""COMPUTED_VALUE"""),29.0)</f>
        <v>29</v>
      </c>
      <c r="E1124" s="2"/>
      <c r="F1124" s="2"/>
    </row>
    <row r="1125">
      <c r="A1125" s="2">
        <f>IFERROR(__xludf.DUMMYFUNCTION("""COMPUTED_VALUE"""),110571.0)</f>
        <v>110571</v>
      </c>
      <c r="B1125" s="2">
        <f>IFERROR(__xludf.DUMMYFUNCTION("""COMPUTED_VALUE"""),1.0)</f>
        <v>1</v>
      </c>
      <c r="C1125" s="2">
        <f>IFERROR(__xludf.DUMMYFUNCTION("""COMPUTED_VALUE"""),884.0)</f>
        <v>884</v>
      </c>
      <c r="D1125" s="3">
        <f>IFERROR(__xludf.DUMMYFUNCTION("""COMPUTED_VALUE"""),145.0)</f>
        <v>145</v>
      </c>
      <c r="E1125" s="2"/>
      <c r="F1125" s="2"/>
    </row>
    <row r="1126">
      <c r="A1126" s="2">
        <f>IFERROR(__xludf.DUMMYFUNCTION("""COMPUTED_VALUE"""),103835.0)</f>
        <v>103835</v>
      </c>
      <c r="B1126" s="2">
        <f>IFERROR(__xludf.DUMMYFUNCTION("""COMPUTED_VALUE"""),1.0)</f>
        <v>1</v>
      </c>
      <c r="C1126" s="2">
        <f>IFERROR(__xludf.DUMMYFUNCTION("""COMPUTED_VALUE"""),663.0)</f>
        <v>663</v>
      </c>
      <c r="D1126" s="3">
        <f>IFERROR(__xludf.DUMMYFUNCTION("""COMPUTED_VALUE"""),84.0)</f>
        <v>84</v>
      </c>
      <c r="E1126" s="2"/>
      <c r="F1126" s="2"/>
    </row>
    <row r="1127">
      <c r="A1127" s="2">
        <f>IFERROR(__xludf.DUMMYFUNCTION("""COMPUTED_VALUE"""),5646.0)</f>
        <v>5646</v>
      </c>
      <c r="B1127" s="2">
        <f>IFERROR(__xludf.DUMMYFUNCTION("""COMPUTED_VALUE"""),0.0)</f>
        <v>0</v>
      </c>
      <c r="C1127" s="2">
        <f>IFERROR(__xludf.DUMMYFUNCTION("""COMPUTED_VALUE"""),927.0)</f>
        <v>927</v>
      </c>
      <c r="D1127" s="3">
        <f>IFERROR(__xludf.DUMMYFUNCTION("""COMPUTED_VALUE"""),35.0)</f>
        <v>35</v>
      </c>
      <c r="E1127" s="2"/>
      <c r="F1127" s="2"/>
    </row>
    <row r="1128">
      <c r="A1128" s="2">
        <f>IFERROR(__xludf.DUMMYFUNCTION("""COMPUTED_VALUE"""),5649.0)</f>
        <v>5649</v>
      </c>
      <c r="B1128" s="2">
        <f>IFERROR(__xludf.DUMMYFUNCTION("""COMPUTED_VALUE"""),1.0)</f>
        <v>1</v>
      </c>
      <c r="C1128" s="2">
        <f>IFERROR(__xludf.DUMMYFUNCTION("""COMPUTED_VALUE"""),40.0)</f>
        <v>40</v>
      </c>
      <c r="D1128" s="3">
        <f>IFERROR(__xludf.DUMMYFUNCTION("""COMPUTED_VALUE"""),35.0)</f>
        <v>35</v>
      </c>
      <c r="E1128" s="2"/>
      <c r="F1128" s="2"/>
    </row>
    <row r="1129">
      <c r="A1129" s="2">
        <f>IFERROR(__xludf.DUMMYFUNCTION("""COMPUTED_VALUE"""),5647.0)</f>
        <v>5647</v>
      </c>
      <c r="B1129" s="2">
        <f>IFERROR(__xludf.DUMMYFUNCTION("""COMPUTED_VALUE"""),0.0)</f>
        <v>0</v>
      </c>
      <c r="C1129" s="2">
        <f>IFERROR(__xludf.DUMMYFUNCTION("""COMPUTED_VALUE"""),813.0)</f>
        <v>813</v>
      </c>
      <c r="D1129" s="3">
        <f>IFERROR(__xludf.DUMMYFUNCTION("""COMPUTED_VALUE"""),450.0)</f>
        <v>450</v>
      </c>
      <c r="E1129" s="2"/>
      <c r="F1129" s="2"/>
    </row>
    <row r="1130">
      <c r="A1130" s="2">
        <f>IFERROR(__xludf.DUMMYFUNCTION("""COMPUTED_VALUE"""),5648.0)</f>
        <v>5648</v>
      </c>
      <c r="B1130" s="2">
        <f>IFERROR(__xludf.DUMMYFUNCTION("""COMPUTED_VALUE"""),0.0)</f>
        <v>0</v>
      </c>
      <c r="C1130" s="2">
        <f>IFERROR(__xludf.DUMMYFUNCTION("""COMPUTED_VALUE"""),674.0)</f>
        <v>674</v>
      </c>
      <c r="D1130" s="3">
        <f>IFERROR(__xludf.DUMMYFUNCTION("""COMPUTED_VALUE"""),601.0)</f>
        <v>601</v>
      </c>
      <c r="E1130" s="2"/>
      <c r="F1130" s="2"/>
    </row>
    <row r="1131">
      <c r="A1131" s="2">
        <f>IFERROR(__xludf.DUMMYFUNCTION("""COMPUTED_VALUE"""),108292.0)</f>
        <v>108292</v>
      </c>
      <c r="B1131" s="2">
        <f>IFERROR(__xludf.DUMMYFUNCTION("""COMPUTED_VALUE"""),1.0)</f>
        <v>1</v>
      </c>
      <c r="C1131" s="2">
        <f>IFERROR(__xludf.DUMMYFUNCTION("""COMPUTED_VALUE"""),630.0)</f>
        <v>630</v>
      </c>
      <c r="D1131" s="3">
        <f>IFERROR(__xludf.DUMMYFUNCTION("""COMPUTED_VALUE"""),163.0)</f>
        <v>163</v>
      </c>
      <c r="E1131" s="2"/>
      <c r="F1131" s="2"/>
    </row>
    <row r="1132">
      <c r="A1132" s="2">
        <f>IFERROR(__xludf.DUMMYFUNCTION("""COMPUTED_VALUE"""),110572.0)</f>
        <v>110572</v>
      </c>
      <c r="B1132" s="2">
        <f>IFERROR(__xludf.DUMMYFUNCTION("""COMPUTED_VALUE"""),1.0)</f>
        <v>1</v>
      </c>
      <c r="C1132" s="2">
        <f>IFERROR(__xludf.DUMMYFUNCTION("""COMPUTED_VALUE"""),361.0)</f>
        <v>361</v>
      </c>
      <c r="D1132" s="3">
        <f>IFERROR(__xludf.DUMMYFUNCTION("""COMPUTED_VALUE"""),41.0)</f>
        <v>41</v>
      </c>
      <c r="E1132" s="2"/>
      <c r="F1132" s="2"/>
    </row>
    <row r="1133">
      <c r="A1133" s="2">
        <f>IFERROR(__xludf.DUMMYFUNCTION("""COMPUTED_VALUE"""),77456.0)</f>
        <v>77456</v>
      </c>
      <c r="B1133" s="2">
        <f>IFERROR(__xludf.DUMMYFUNCTION("""COMPUTED_VALUE"""),1.0)</f>
        <v>1</v>
      </c>
      <c r="C1133" s="2">
        <f>IFERROR(__xludf.DUMMYFUNCTION("""COMPUTED_VALUE"""),128.0)</f>
        <v>128</v>
      </c>
      <c r="D1133" s="3">
        <f>IFERROR(__xludf.DUMMYFUNCTION("""COMPUTED_VALUE"""),15.0)</f>
        <v>15</v>
      </c>
      <c r="E1133" s="2"/>
      <c r="F1133" s="2"/>
    </row>
    <row r="1134">
      <c r="A1134" s="2">
        <f>IFERROR(__xludf.DUMMYFUNCTION("""COMPUTED_VALUE"""),77454.0)</f>
        <v>77454</v>
      </c>
      <c r="B1134" s="2">
        <f>IFERROR(__xludf.DUMMYFUNCTION("""COMPUTED_VALUE"""),0.0)</f>
        <v>0</v>
      </c>
      <c r="C1134" s="2">
        <f>IFERROR(__xludf.DUMMYFUNCTION("""COMPUTED_VALUE"""),927.0)</f>
        <v>927</v>
      </c>
      <c r="D1134" s="3">
        <f>IFERROR(__xludf.DUMMYFUNCTION("""COMPUTED_VALUE"""),130.0)</f>
        <v>130</v>
      </c>
      <c r="E1134" s="2"/>
      <c r="F1134" s="2"/>
    </row>
    <row r="1135">
      <c r="A1135" s="2">
        <f>IFERROR(__xludf.DUMMYFUNCTION("""COMPUTED_VALUE"""),44095.0)</f>
        <v>44095</v>
      </c>
      <c r="B1135" s="2">
        <f>IFERROR(__xludf.DUMMYFUNCTION("""COMPUTED_VALUE"""),1.0)</f>
        <v>1</v>
      </c>
      <c r="C1135" s="2">
        <f>IFERROR(__xludf.DUMMYFUNCTION("""COMPUTED_VALUE"""),505.0)</f>
        <v>505</v>
      </c>
      <c r="D1135" s="3">
        <f>IFERROR(__xludf.DUMMYFUNCTION("""COMPUTED_VALUE"""),274.0)</f>
        <v>274</v>
      </c>
      <c r="E1135" s="2"/>
      <c r="F1135" s="2"/>
    </row>
    <row r="1136">
      <c r="A1136" s="2">
        <f>IFERROR(__xludf.DUMMYFUNCTION("""COMPUTED_VALUE"""),87419.0)</f>
        <v>87419</v>
      </c>
      <c r="B1136" s="2">
        <f>IFERROR(__xludf.DUMMYFUNCTION("""COMPUTED_VALUE"""),1.0)</f>
        <v>1</v>
      </c>
      <c r="C1136" s="2">
        <f>IFERROR(__xludf.DUMMYFUNCTION("""COMPUTED_VALUE"""),252.0)</f>
        <v>252</v>
      </c>
      <c r="D1136" s="3">
        <f>IFERROR(__xludf.DUMMYFUNCTION("""COMPUTED_VALUE"""),129.0)</f>
        <v>129</v>
      </c>
      <c r="E1136" s="2"/>
      <c r="F1136" s="2"/>
    </row>
    <row r="1137">
      <c r="A1137" s="2">
        <f>IFERROR(__xludf.DUMMYFUNCTION("""COMPUTED_VALUE"""),44087.0)</f>
        <v>44087</v>
      </c>
      <c r="B1137" s="2">
        <f>IFERROR(__xludf.DUMMYFUNCTION("""COMPUTED_VALUE"""),1.0)</f>
        <v>1</v>
      </c>
      <c r="C1137" s="2">
        <f>IFERROR(__xludf.DUMMYFUNCTION("""COMPUTED_VALUE"""),321.0)</f>
        <v>321</v>
      </c>
      <c r="D1137" s="3">
        <f>IFERROR(__xludf.DUMMYFUNCTION("""COMPUTED_VALUE"""),292.0)</f>
        <v>292</v>
      </c>
      <c r="E1137" s="2"/>
      <c r="F1137" s="2"/>
    </row>
    <row r="1138">
      <c r="A1138" s="2">
        <f>IFERROR(__xludf.DUMMYFUNCTION("""COMPUTED_VALUE"""),44129.0)</f>
        <v>44129</v>
      </c>
      <c r="B1138" s="2">
        <f>IFERROR(__xludf.DUMMYFUNCTION("""COMPUTED_VALUE"""),0.0)</f>
        <v>0</v>
      </c>
      <c r="C1138" s="2">
        <f>IFERROR(__xludf.DUMMYFUNCTION("""COMPUTED_VALUE"""),574.0)</f>
        <v>574</v>
      </c>
      <c r="D1138" s="3">
        <f>IFERROR(__xludf.DUMMYFUNCTION("""COMPUTED_VALUE"""),19.0)</f>
        <v>19</v>
      </c>
      <c r="E1138" s="2"/>
      <c r="F1138" s="2"/>
    </row>
    <row r="1139">
      <c r="A1139" s="2">
        <f>IFERROR(__xludf.DUMMYFUNCTION("""COMPUTED_VALUE"""),103832.0)</f>
        <v>103832</v>
      </c>
      <c r="B1139" s="2">
        <f>IFERROR(__xludf.DUMMYFUNCTION("""COMPUTED_VALUE"""),1.0)</f>
        <v>1</v>
      </c>
      <c r="C1139" s="2">
        <f>IFERROR(__xludf.DUMMYFUNCTION("""COMPUTED_VALUE"""),810.0)</f>
        <v>810</v>
      </c>
      <c r="D1139" s="3">
        <f>IFERROR(__xludf.DUMMYFUNCTION("""COMPUTED_VALUE"""),95.0)</f>
        <v>95</v>
      </c>
      <c r="E1139" s="2"/>
      <c r="F1139" s="2"/>
    </row>
    <row r="1140">
      <c r="A1140" s="2">
        <f>IFERROR(__xludf.DUMMYFUNCTION("""COMPUTED_VALUE"""),103819.0)</f>
        <v>103819</v>
      </c>
      <c r="B1140" s="2">
        <f>IFERROR(__xludf.DUMMYFUNCTION("""COMPUTED_VALUE"""),0.0)</f>
        <v>0</v>
      </c>
      <c r="C1140" s="2">
        <f>IFERROR(__xludf.DUMMYFUNCTION("""COMPUTED_VALUE"""),595.0)</f>
        <v>595</v>
      </c>
      <c r="D1140" s="3">
        <f>IFERROR(__xludf.DUMMYFUNCTION("""COMPUTED_VALUE"""),289.0)</f>
        <v>289</v>
      </c>
      <c r="E1140" s="2"/>
      <c r="F1140" s="2"/>
    </row>
    <row r="1141">
      <c r="A1141" s="2">
        <f>IFERROR(__xludf.DUMMYFUNCTION("""COMPUTED_VALUE"""),88683.0)</f>
        <v>88683</v>
      </c>
      <c r="B1141" s="2">
        <f>IFERROR(__xludf.DUMMYFUNCTION("""COMPUTED_VALUE"""),0.0)</f>
        <v>0</v>
      </c>
      <c r="C1141" s="2">
        <f>IFERROR(__xludf.DUMMYFUNCTION("""COMPUTED_VALUE"""),278.0)</f>
        <v>278</v>
      </c>
      <c r="D1141" s="3">
        <f>IFERROR(__xludf.DUMMYFUNCTION("""COMPUTED_VALUE"""),143.0)</f>
        <v>143</v>
      </c>
      <c r="E1141" s="2"/>
      <c r="F1141" s="2"/>
    </row>
    <row r="1142">
      <c r="A1142" s="2">
        <f>IFERROR(__xludf.DUMMYFUNCTION("""COMPUTED_VALUE"""),5676.0)</f>
        <v>5676</v>
      </c>
      <c r="B1142" s="2">
        <f>IFERROR(__xludf.DUMMYFUNCTION("""COMPUTED_VALUE"""),1.0)</f>
        <v>1</v>
      </c>
      <c r="C1142" s="2">
        <f>IFERROR(__xludf.DUMMYFUNCTION("""COMPUTED_VALUE"""),157.0)</f>
        <v>157</v>
      </c>
      <c r="D1142" s="3">
        <f>IFERROR(__xludf.DUMMYFUNCTION("""COMPUTED_VALUE"""),143.0)</f>
        <v>143</v>
      </c>
      <c r="E1142" s="2"/>
      <c r="F1142" s="2"/>
    </row>
    <row r="1143">
      <c r="A1143" s="2">
        <f>IFERROR(__xludf.DUMMYFUNCTION("""COMPUTED_VALUE"""),116776.0)</f>
        <v>116776</v>
      </c>
      <c r="B1143" s="2">
        <f>IFERROR(__xludf.DUMMYFUNCTION("""COMPUTED_VALUE"""),0.0)</f>
        <v>0</v>
      </c>
      <c r="C1143" s="2">
        <f>IFERROR(__xludf.DUMMYFUNCTION("""COMPUTED_VALUE"""),291.0)</f>
        <v>291</v>
      </c>
      <c r="D1143" s="3">
        <f>IFERROR(__xludf.DUMMYFUNCTION("""COMPUTED_VALUE"""),24.0)</f>
        <v>24</v>
      </c>
      <c r="E1143" s="2"/>
      <c r="F1143" s="2"/>
    </row>
    <row r="1144">
      <c r="A1144" s="2">
        <f>IFERROR(__xludf.DUMMYFUNCTION("""COMPUTED_VALUE"""),5668.0)</f>
        <v>5668</v>
      </c>
      <c r="B1144" s="2">
        <f>IFERROR(__xludf.DUMMYFUNCTION("""COMPUTED_VALUE"""),0.0)</f>
        <v>0</v>
      </c>
      <c r="C1144" s="2">
        <f>IFERROR(__xludf.DUMMYFUNCTION("""COMPUTED_VALUE"""),795.0)</f>
        <v>795</v>
      </c>
      <c r="D1144" s="3">
        <f>IFERROR(__xludf.DUMMYFUNCTION("""COMPUTED_VALUE"""),414.0)</f>
        <v>414</v>
      </c>
      <c r="E1144" s="2"/>
      <c r="F1144" s="2"/>
    </row>
    <row r="1145">
      <c r="A1145" s="2">
        <f>IFERROR(__xludf.DUMMYFUNCTION("""COMPUTED_VALUE"""),119052.0)</f>
        <v>119052</v>
      </c>
      <c r="B1145" s="2">
        <f>IFERROR(__xludf.DUMMYFUNCTION("""COMPUTED_VALUE"""),1.0)</f>
        <v>1</v>
      </c>
      <c r="C1145" s="2">
        <f>IFERROR(__xludf.DUMMYFUNCTION("""COMPUTED_VALUE"""),22.0)</f>
        <v>22</v>
      </c>
      <c r="D1145" s="3">
        <f>IFERROR(__xludf.DUMMYFUNCTION("""COMPUTED_VALUE"""),22.0)</f>
        <v>22</v>
      </c>
      <c r="E1145" s="2"/>
      <c r="F1145" s="2"/>
    </row>
    <row r="1146">
      <c r="A1146" s="2">
        <f>IFERROR(__xludf.DUMMYFUNCTION("""COMPUTED_VALUE"""),118920.0)</f>
        <v>118920</v>
      </c>
      <c r="B1146" s="2">
        <f>IFERROR(__xludf.DUMMYFUNCTION("""COMPUTED_VALUE"""),1.0)</f>
        <v>1</v>
      </c>
      <c r="C1146" s="2">
        <f>IFERROR(__xludf.DUMMYFUNCTION("""COMPUTED_VALUE"""),453.0)</f>
        <v>453</v>
      </c>
      <c r="D1146" s="3">
        <f>IFERROR(__xludf.DUMMYFUNCTION("""COMPUTED_VALUE"""),55.0)</f>
        <v>55</v>
      </c>
      <c r="E1146" s="2"/>
      <c r="F1146" s="2"/>
    </row>
    <row r="1147">
      <c r="A1147" s="2">
        <f>IFERROR(__xludf.DUMMYFUNCTION("""COMPUTED_VALUE"""),96003.0)</f>
        <v>96003</v>
      </c>
      <c r="B1147" s="2">
        <f>IFERROR(__xludf.DUMMYFUNCTION("""COMPUTED_VALUE"""),0.0)</f>
        <v>0</v>
      </c>
      <c r="C1147" s="2">
        <f>IFERROR(__xludf.DUMMYFUNCTION("""COMPUTED_VALUE"""),687.0)</f>
        <v>687</v>
      </c>
      <c r="D1147" s="3">
        <f>IFERROR(__xludf.DUMMYFUNCTION("""COMPUTED_VALUE"""),253.0)</f>
        <v>253</v>
      </c>
      <c r="E1147" s="2"/>
      <c r="F1147" s="2"/>
    </row>
    <row r="1148">
      <c r="A1148" s="2">
        <f>IFERROR(__xludf.DUMMYFUNCTION("""COMPUTED_VALUE"""),116380.0)</f>
        <v>116380</v>
      </c>
      <c r="B1148" s="2">
        <f>IFERROR(__xludf.DUMMYFUNCTION("""COMPUTED_VALUE"""),0.0)</f>
        <v>0</v>
      </c>
      <c r="C1148" s="2">
        <f>IFERROR(__xludf.DUMMYFUNCTION("""COMPUTED_VALUE"""),724.0)</f>
        <v>724</v>
      </c>
      <c r="D1148" s="3">
        <f>IFERROR(__xludf.DUMMYFUNCTION("""COMPUTED_VALUE"""),99.0)</f>
        <v>99</v>
      </c>
      <c r="E1148" s="2"/>
      <c r="F1148" s="2"/>
    </row>
    <row r="1149">
      <c r="A1149" s="2">
        <f>IFERROR(__xludf.DUMMYFUNCTION("""COMPUTED_VALUE"""),46291.0)</f>
        <v>46291</v>
      </c>
      <c r="B1149" s="2">
        <f>IFERROR(__xludf.DUMMYFUNCTION("""COMPUTED_VALUE"""),0.0)</f>
        <v>0</v>
      </c>
      <c r="C1149" s="2">
        <f>IFERROR(__xludf.DUMMYFUNCTION("""COMPUTED_VALUE"""),922.0)</f>
        <v>922</v>
      </c>
      <c r="D1149" s="3">
        <f>IFERROR(__xludf.DUMMYFUNCTION("""COMPUTED_VALUE"""),445.0)</f>
        <v>445</v>
      </c>
      <c r="E1149" s="2"/>
      <c r="F1149" s="2"/>
    </row>
    <row r="1150">
      <c r="A1150" s="2">
        <f>IFERROR(__xludf.DUMMYFUNCTION("""COMPUTED_VALUE"""),148742.0)</f>
        <v>148742</v>
      </c>
      <c r="B1150" s="2">
        <f>IFERROR(__xludf.DUMMYFUNCTION("""COMPUTED_VALUE"""),0.0)</f>
        <v>0</v>
      </c>
      <c r="C1150" s="2">
        <f>IFERROR(__xludf.DUMMYFUNCTION("""COMPUTED_VALUE"""),528.0)</f>
        <v>528</v>
      </c>
      <c r="D1150" s="3">
        <f>IFERROR(__xludf.DUMMYFUNCTION("""COMPUTED_VALUE"""),496.0)</f>
        <v>496</v>
      </c>
      <c r="E1150" s="2"/>
      <c r="F1150" s="2"/>
    </row>
    <row r="1151">
      <c r="A1151" s="2">
        <f>IFERROR(__xludf.DUMMYFUNCTION("""COMPUTED_VALUE"""),83634.0)</f>
        <v>83634</v>
      </c>
      <c r="B1151" s="2">
        <f>IFERROR(__xludf.DUMMYFUNCTION("""COMPUTED_VALUE"""),0.0)</f>
        <v>0</v>
      </c>
      <c r="C1151" s="2">
        <f>IFERROR(__xludf.DUMMYFUNCTION("""COMPUTED_VALUE"""),62.0)</f>
        <v>62</v>
      </c>
      <c r="D1151" s="3">
        <f>IFERROR(__xludf.DUMMYFUNCTION("""COMPUTED_VALUE"""),46.0)</f>
        <v>46</v>
      </c>
      <c r="E1151" s="2"/>
      <c r="F1151" s="2"/>
    </row>
    <row r="1152">
      <c r="A1152" s="2">
        <f>IFERROR(__xludf.DUMMYFUNCTION("""COMPUTED_VALUE"""),5657.0)</f>
        <v>5657</v>
      </c>
      <c r="B1152" s="2">
        <f>IFERROR(__xludf.DUMMYFUNCTION("""COMPUTED_VALUE"""),0.0)</f>
        <v>0</v>
      </c>
      <c r="C1152" s="2">
        <f>IFERROR(__xludf.DUMMYFUNCTION("""COMPUTED_VALUE"""),679.0)</f>
        <v>679</v>
      </c>
      <c r="D1152" s="3">
        <f>IFERROR(__xludf.DUMMYFUNCTION("""COMPUTED_VALUE"""),253.0)</f>
        <v>253</v>
      </c>
      <c r="E1152" s="2"/>
      <c r="F1152" s="2"/>
    </row>
    <row r="1153">
      <c r="A1153" s="2">
        <f>IFERROR(__xludf.DUMMYFUNCTION("""COMPUTED_VALUE"""),78856.0)</f>
        <v>78856</v>
      </c>
      <c r="B1153" s="2">
        <f>IFERROR(__xludf.DUMMYFUNCTION("""COMPUTED_VALUE"""),0.0)</f>
        <v>0</v>
      </c>
      <c r="C1153" s="2">
        <f>IFERROR(__xludf.DUMMYFUNCTION("""COMPUTED_VALUE"""),649.0)</f>
        <v>649</v>
      </c>
      <c r="D1153" s="3">
        <f>IFERROR(__xludf.DUMMYFUNCTION("""COMPUTED_VALUE"""),301.0)</f>
        <v>301</v>
      </c>
      <c r="E1153" s="2"/>
      <c r="F1153" s="2"/>
    </row>
    <row r="1154">
      <c r="A1154" s="2">
        <f>IFERROR(__xludf.DUMMYFUNCTION("""COMPUTED_VALUE"""),44123.0)</f>
        <v>44123</v>
      </c>
      <c r="B1154" s="2">
        <f>IFERROR(__xludf.DUMMYFUNCTION("""COMPUTED_VALUE"""),0.0)</f>
        <v>0</v>
      </c>
      <c r="C1154" s="2">
        <f>IFERROR(__xludf.DUMMYFUNCTION("""COMPUTED_VALUE"""),10.0)</f>
        <v>10</v>
      </c>
      <c r="D1154" s="3">
        <f>IFERROR(__xludf.DUMMYFUNCTION("""COMPUTED_VALUE"""),0.0)</f>
        <v>0</v>
      </c>
      <c r="E1154" s="2"/>
      <c r="F1154" s="2"/>
    </row>
    <row r="1155">
      <c r="A1155" s="2">
        <f>IFERROR(__xludf.DUMMYFUNCTION("""COMPUTED_VALUE"""),78855.0)</f>
        <v>78855</v>
      </c>
      <c r="B1155" s="2">
        <f>IFERROR(__xludf.DUMMYFUNCTION("""COMPUTED_VALUE"""),0.0)</f>
        <v>0</v>
      </c>
      <c r="C1155" s="2">
        <f>IFERROR(__xludf.DUMMYFUNCTION("""COMPUTED_VALUE"""),730.0)</f>
        <v>730</v>
      </c>
      <c r="D1155" s="3">
        <f>IFERROR(__xludf.DUMMYFUNCTION("""COMPUTED_VALUE"""),188.0)</f>
        <v>188</v>
      </c>
      <c r="E1155" s="2"/>
      <c r="F1155" s="2"/>
    </row>
    <row r="1156">
      <c r="A1156" s="2">
        <f>IFERROR(__xludf.DUMMYFUNCTION("""COMPUTED_VALUE"""),48408.0)</f>
        <v>48408</v>
      </c>
      <c r="B1156" s="2">
        <f>IFERROR(__xludf.DUMMYFUNCTION("""COMPUTED_VALUE"""),0.0)</f>
        <v>0</v>
      </c>
      <c r="C1156" s="2">
        <f>IFERROR(__xludf.DUMMYFUNCTION("""COMPUTED_VALUE"""),200.0)</f>
        <v>200</v>
      </c>
      <c r="D1156" s="3">
        <f>IFERROR(__xludf.DUMMYFUNCTION("""COMPUTED_VALUE"""),17.0)</f>
        <v>17</v>
      </c>
      <c r="E1156" s="2"/>
      <c r="F1156" s="2"/>
    </row>
    <row r="1157">
      <c r="A1157" s="2">
        <f>IFERROR(__xludf.DUMMYFUNCTION("""COMPUTED_VALUE"""),46303.0)</f>
        <v>46303</v>
      </c>
      <c r="B1157" s="2">
        <f>IFERROR(__xludf.DUMMYFUNCTION("""COMPUTED_VALUE"""),0.0)</f>
        <v>0</v>
      </c>
      <c r="C1157" s="2">
        <f>IFERROR(__xludf.DUMMYFUNCTION("""COMPUTED_VALUE"""),619.0)</f>
        <v>619</v>
      </c>
      <c r="D1157" s="3">
        <f>IFERROR(__xludf.DUMMYFUNCTION("""COMPUTED_VALUE"""),300.0)</f>
        <v>300</v>
      </c>
      <c r="E1157" s="2"/>
      <c r="F1157" s="2"/>
    </row>
    <row r="1158">
      <c r="A1158" s="2">
        <f>IFERROR(__xludf.DUMMYFUNCTION("""COMPUTED_VALUE"""),147274.0)</f>
        <v>147274</v>
      </c>
      <c r="B1158" s="2">
        <f>IFERROR(__xludf.DUMMYFUNCTION("""COMPUTED_VALUE"""),0.0)</f>
        <v>0</v>
      </c>
      <c r="C1158" s="2">
        <f>IFERROR(__xludf.DUMMYFUNCTION("""COMPUTED_VALUE"""),442.0)</f>
        <v>442</v>
      </c>
      <c r="D1158" s="3">
        <f>IFERROR(__xludf.DUMMYFUNCTION("""COMPUTED_VALUE"""),344.0)</f>
        <v>344</v>
      </c>
      <c r="E1158" s="2"/>
      <c r="F1158" s="2"/>
    </row>
    <row r="1159">
      <c r="A1159" s="2">
        <f>IFERROR(__xludf.DUMMYFUNCTION("""COMPUTED_VALUE"""),44144.0)</f>
        <v>44144</v>
      </c>
      <c r="B1159" s="2">
        <f>IFERROR(__xludf.DUMMYFUNCTION("""COMPUTED_VALUE"""),1.0)</f>
        <v>1</v>
      </c>
      <c r="C1159" s="2">
        <f>IFERROR(__xludf.DUMMYFUNCTION("""COMPUTED_VALUE"""),353.0)</f>
        <v>353</v>
      </c>
      <c r="D1159" s="3">
        <f>IFERROR(__xludf.DUMMYFUNCTION("""COMPUTED_VALUE"""),189.0)</f>
        <v>189</v>
      </c>
      <c r="E1159" s="2"/>
      <c r="F1159" s="2"/>
    </row>
    <row r="1160">
      <c r="A1160" s="2">
        <f>IFERROR(__xludf.DUMMYFUNCTION("""COMPUTED_VALUE"""),96972.0)</f>
        <v>96972</v>
      </c>
      <c r="B1160" s="2">
        <f>IFERROR(__xludf.DUMMYFUNCTION("""COMPUTED_VALUE"""),0.0)</f>
        <v>0</v>
      </c>
      <c r="C1160" s="2">
        <f>IFERROR(__xludf.DUMMYFUNCTION("""COMPUTED_VALUE"""),515.0)</f>
        <v>515</v>
      </c>
      <c r="D1160" s="3">
        <f>IFERROR(__xludf.DUMMYFUNCTION("""COMPUTED_VALUE"""),512.0)</f>
        <v>512</v>
      </c>
      <c r="E1160" s="2"/>
      <c r="F1160" s="2"/>
    </row>
    <row r="1161">
      <c r="A1161" s="2">
        <f>IFERROR(__xludf.DUMMYFUNCTION("""COMPUTED_VALUE"""),5665.0)</f>
        <v>5665</v>
      </c>
      <c r="B1161" s="2">
        <f>IFERROR(__xludf.DUMMYFUNCTION("""COMPUTED_VALUE"""),0.0)</f>
        <v>0</v>
      </c>
      <c r="C1161" s="2">
        <f>IFERROR(__xludf.DUMMYFUNCTION("""COMPUTED_VALUE"""),106.0)</f>
        <v>106</v>
      </c>
      <c r="D1161" s="3">
        <f>IFERROR(__xludf.DUMMYFUNCTION("""COMPUTED_VALUE"""),33.0)</f>
        <v>33</v>
      </c>
      <c r="E1161" s="2"/>
      <c r="F1161" s="2"/>
    </row>
    <row r="1162">
      <c r="A1162" s="2">
        <f>IFERROR(__xludf.DUMMYFUNCTION("""COMPUTED_VALUE"""),26072.0)</f>
        <v>26072</v>
      </c>
      <c r="B1162" s="2">
        <f>IFERROR(__xludf.DUMMYFUNCTION("""COMPUTED_VALUE"""),1.0)</f>
        <v>1</v>
      </c>
      <c r="C1162" s="2">
        <f>IFERROR(__xludf.DUMMYFUNCTION("""COMPUTED_VALUE"""),179.0)</f>
        <v>179</v>
      </c>
      <c r="D1162" s="3">
        <f>IFERROR(__xludf.DUMMYFUNCTION("""COMPUTED_VALUE"""),106.0)</f>
        <v>106</v>
      </c>
      <c r="E1162" s="2"/>
      <c r="F1162" s="2"/>
    </row>
    <row r="1163">
      <c r="A1163" s="2">
        <f>IFERROR(__xludf.DUMMYFUNCTION("""COMPUTED_VALUE"""),5631.0)</f>
        <v>5631</v>
      </c>
      <c r="B1163" s="2">
        <f>IFERROR(__xludf.DUMMYFUNCTION("""COMPUTED_VALUE"""),0.0)</f>
        <v>0</v>
      </c>
      <c r="C1163" s="2">
        <f>IFERROR(__xludf.DUMMYFUNCTION("""COMPUTED_VALUE"""),342.0)</f>
        <v>342</v>
      </c>
      <c r="D1163" s="3">
        <f>IFERROR(__xludf.DUMMYFUNCTION("""COMPUTED_VALUE"""),54.0)</f>
        <v>54</v>
      </c>
      <c r="E1163" s="2"/>
      <c r="F1163" s="2"/>
    </row>
    <row r="1164">
      <c r="A1164" s="2">
        <f>IFERROR(__xludf.DUMMYFUNCTION("""COMPUTED_VALUE"""),104316.0)</f>
        <v>104316</v>
      </c>
      <c r="B1164" s="2">
        <f>IFERROR(__xludf.DUMMYFUNCTION("""COMPUTED_VALUE"""),1.0)</f>
        <v>1</v>
      </c>
      <c r="C1164" s="2">
        <f>IFERROR(__xludf.DUMMYFUNCTION("""COMPUTED_VALUE"""),314.0)</f>
        <v>314</v>
      </c>
      <c r="D1164" s="3">
        <f>IFERROR(__xludf.DUMMYFUNCTION("""COMPUTED_VALUE"""),275.0)</f>
        <v>275</v>
      </c>
      <c r="E1164" s="2"/>
      <c r="F1164" s="2"/>
    </row>
    <row r="1165">
      <c r="A1165" s="2">
        <f>IFERROR(__xludf.DUMMYFUNCTION("""COMPUTED_VALUE"""),83612.0)</f>
        <v>83612</v>
      </c>
      <c r="B1165" s="2">
        <f>IFERROR(__xludf.DUMMYFUNCTION("""COMPUTED_VALUE"""),1.0)</f>
        <v>1</v>
      </c>
      <c r="C1165" s="2">
        <f>IFERROR(__xludf.DUMMYFUNCTION("""COMPUTED_VALUE"""),55.0)</f>
        <v>55</v>
      </c>
      <c r="D1165" s="3">
        <f>IFERROR(__xludf.DUMMYFUNCTION("""COMPUTED_VALUE"""),45.0)</f>
        <v>45</v>
      </c>
      <c r="E1165" s="2"/>
      <c r="F1165" s="2"/>
    </row>
    <row r="1166">
      <c r="A1166" s="2">
        <f>IFERROR(__xludf.DUMMYFUNCTION("""COMPUTED_VALUE"""),87425.0)</f>
        <v>87425</v>
      </c>
      <c r="B1166" s="2">
        <f>IFERROR(__xludf.DUMMYFUNCTION("""COMPUTED_VALUE"""),0.0)</f>
        <v>0</v>
      </c>
      <c r="C1166" s="2">
        <f>IFERROR(__xludf.DUMMYFUNCTION("""COMPUTED_VALUE"""),682.0)</f>
        <v>682</v>
      </c>
      <c r="D1166" s="3">
        <f>IFERROR(__xludf.DUMMYFUNCTION("""COMPUTED_VALUE"""),455.0)</f>
        <v>455</v>
      </c>
      <c r="E1166" s="2"/>
      <c r="F1166" s="2"/>
    </row>
    <row r="1167">
      <c r="A1167" s="2">
        <f>IFERROR(__xludf.DUMMYFUNCTION("""COMPUTED_VALUE"""),115611.0)</f>
        <v>115611</v>
      </c>
      <c r="B1167" s="2">
        <f>IFERROR(__xludf.DUMMYFUNCTION("""COMPUTED_VALUE"""),0.0)</f>
        <v>0</v>
      </c>
      <c r="C1167" s="2">
        <f>IFERROR(__xludf.DUMMYFUNCTION("""COMPUTED_VALUE"""),706.0)</f>
        <v>706</v>
      </c>
      <c r="D1167" s="3">
        <f>IFERROR(__xludf.DUMMYFUNCTION("""COMPUTED_VALUE"""),58.0)</f>
        <v>58</v>
      </c>
      <c r="E1167" s="2"/>
      <c r="F1167" s="2"/>
    </row>
    <row r="1168">
      <c r="A1168" s="2">
        <f>IFERROR(__xludf.DUMMYFUNCTION("""COMPUTED_VALUE"""),88688.0)</f>
        <v>88688</v>
      </c>
      <c r="B1168" s="2">
        <f>IFERROR(__xludf.DUMMYFUNCTION("""COMPUTED_VALUE"""),0.0)</f>
        <v>0</v>
      </c>
      <c r="C1168" s="2">
        <f>IFERROR(__xludf.DUMMYFUNCTION("""COMPUTED_VALUE"""),259.0)</f>
        <v>259</v>
      </c>
      <c r="D1168" s="3">
        <f>IFERROR(__xludf.DUMMYFUNCTION("""COMPUTED_VALUE"""),11.0)</f>
        <v>11</v>
      </c>
      <c r="E1168" s="2"/>
      <c r="F1168" s="2"/>
    </row>
    <row r="1169">
      <c r="A1169" s="2">
        <f>IFERROR(__xludf.DUMMYFUNCTION("""COMPUTED_VALUE"""),83605.0)</f>
        <v>83605</v>
      </c>
      <c r="B1169" s="2">
        <f>IFERROR(__xludf.DUMMYFUNCTION("""COMPUTED_VALUE"""),0.0)</f>
        <v>0</v>
      </c>
      <c r="C1169" s="2">
        <f>IFERROR(__xludf.DUMMYFUNCTION("""COMPUTED_VALUE"""),102.0)</f>
        <v>102</v>
      </c>
      <c r="D1169" s="3">
        <f>IFERROR(__xludf.DUMMYFUNCTION("""COMPUTED_VALUE"""),93.0)</f>
        <v>93</v>
      </c>
      <c r="E1169" s="2"/>
      <c r="F1169" s="2"/>
    </row>
    <row r="1170">
      <c r="A1170" s="2">
        <f>IFERROR(__xludf.DUMMYFUNCTION("""COMPUTED_VALUE"""),44125.0)</f>
        <v>44125</v>
      </c>
      <c r="B1170" s="2">
        <f>IFERROR(__xludf.DUMMYFUNCTION("""COMPUTED_VALUE"""),0.0)</f>
        <v>0</v>
      </c>
      <c r="C1170" s="2">
        <f>IFERROR(__xludf.DUMMYFUNCTION("""COMPUTED_VALUE"""),813.0)</f>
        <v>813</v>
      </c>
      <c r="D1170" s="3">
        <f>IFERROR(__xludf.DUMMYFUNCTION("""COMPUTED_VALUE"""),546.0)</f>
        <v>546</v>
      </c>
      <c r="E1170" s="2"/>
      <c r="F1170" s="2"/>
    </row>
    <row r="1171">
      <c r="A1171" s="2">
        <f>IFERROR(__xludf.DUMMYFUNCTION("""COMPUTED_VALUE"""),83639.0)</f>
        <v>83639</v>
      </c>
      <c r="B1171" s="2">
        <f>IFERROR(__xludf.DUMMYFUNCTION("""COMPUTED_VALUE"""),1.0)</f>
        <v>1</v>
      </c>
      <c r="C1171" s="2">
        <f>IFERROR(__xludf.DUMMYFUNCTION("""COMPUTED_VALUE"""),70.0)</f>
        <v>70</v>
      </c>
      <c r="D1171" s="3">
        <f>IFERROR(__xludf.DUMMYFUNCTION("""COMPUTED_VALUE"""),10.0)</f>
        <v>10</v>
      </c>
      <c r="E1171" s="2"/>
      <c r="F1171" s="2"/>
    </row>
    <row r="1172">
      <c r="A1172" s="2">
        <f>IFERROR(__xludf.DUMMYFUNCTION("""COMPUTED_VALUE"""),5656.0)</f>
        <v>5656</v>
      </c>
      <c r="B1172" s="2">
        <f>IFERROR(__xludf.DUMMYFUNCTION("""COMPUTED_VALUE"""),0.0)</f>
        <v>0</v>
      </c>
      <c r="C1172" s="2">
        <f>IFERROR(__xludf.DUMMYFUNCTION("""COMPUTED_VALUE"""),814.0)</f>
        <v>814</v>
      </c>
      <c r="D1172" s="3">
        <f>IFERROR(__xludf.DUMMYFUNCTION("""COMPUTED_VALUE"""),244.0)</f>
        <v>244</v>
      </c>
      <c r="E1172" s="2"/>
      <c r="F1172" s="2"/>
    </row>
    <row r="1173">
      <c r="A1173" s="2">
        <f>IFERROR(__xludf.DUMMYFUNCTION("""COMPUTED_VALUE"""),88686.0)</f>
        <v>88686</v>
      </c>
      <c r="B1173" s="2">
        <f>IFERROR(__xludf.DUMMYFUNCTION("""COMPUTED_VALUE"""),1.0)</f>
        <v>1</v>
      </c>
      <c r="C1173" s="2">
        <f>IFERROR(__xludf.DUMMYFUNCTION("""COMPUTED_VALUE"""),826.0)</f>
        <v>826</v>
      </c>
      <c r="D1173" s="3">
        <f>IFERROR(__xludf.DUMMYFUNCTION("""COMPUTED_VALUE"""),163.0)</f>
        <v>163</v>
      </c>
      <c r="E1173" s="2"/>
      <c r="F1173" s="2"/>
    </row>
    <row r="1174">
      <c r="A1174" s="2">
        <f>IFERROR(__xludf.DUMMYFUNCTION("""COMPUTED_VALUE"""),83601.0)</f>
        <v>83601</v>
      </c>
      <c r="B1174" s="2">
        <f>IFERROR(__xludf.DUMMYFUNCTION("""COMPUTED_VALUE"""),1.0)</f>
        <v>1</v>
      </c>
      <c r="C1174" s="2">
        <f>IFERROR(__xludf.DUMMYFUNCTION("""COMPUTED_VALUE"""),328.0)</f>
        <v>328</v>
      </c>
      <c r="D1174" s="3">
        <f>IFERROR(__xludf.DUMMYFUNCTION("""COMPUTED_VALUE"""),283.0)</f>
        <v>283</v>
      </c>
      <c r="E1174" s="2"/>
      <c r="F1174" s="2"/>
    </row>
    <row r="1175">
      <c r="A1175" s="2">
        <f>IFERROR(__xludf.DUMMYFUNCTION("""COMPUTED_VALUE"""),48407.0)</f>
        <v>48407</v>
      </c>
      <c r="B1175" s="2">
        <f>IFERROR(__xludf.DUMMYFUNCTION("""COMPUTED_VALUE"""),1.0)</f>
        <v>1</v>
      </c>
      <c r="C1175" s="2">
        <f>IFERROR(__xludf.DUMMYFUNCTION("""COMPUTED_VALUE"""),562.0)</f>
        <v>562</v>
      </c>
      <c r="D1175" s="3">
        <f>IFERROR(__xludf.DUMMYFUNCTION("""COMPUTED_VALUE"""),210.0)</f>
        <v>210</v>
      </c>
      <c r="E1175" s="2"/>
      <c r="F1175" s="2"/>
    </row>
    <row r="1176">
      <c r="A1176" s="2">
        <f>IFERROR(__xludf.DUMMYFUNCTION("""COMPUTED_VALUE"""),5692.0)</f>
        <v>5692</v>
      </c>
      <c r="B1176" s="2">
        <f>IFERROR(__xludf.DUMMYFUNCTION("""COMPUTED_VALUE"""),1.0)</f>
        <v>1</v>
      </c>
      <c r="C1176" s="2">
        <f>IFERROR(__xludf.DUMMYFUNCTION("""COMPUTED_VALUE"""),942.0)</f>
        <v>942</v>
      </c>
      <c r="D1176" s="3">
        <f>IFERROR(__xludf.DUMMYFUNCTION("""COMPUTED_VALUE"""),64.0)</f>
        <v>64</v>
      </c>
      <c r="E1176" s="2"/>
      <c r="F1176" s="2"/>
    </row>
    <row r="1177">
      <c r="A1177" s="2">
        <f>IFERROR(__xludf.DUMMYFUNCTION("""COMPUTED_VALUE"""),112803.0)</f>
        <v>112803</v>
      </c>
      <c r="B1177" s="2">
        <f>IFERROR(__xludf.DUMMYFUNCTION("""COMPUTED_VALUE"""),0.0)</f>
        <v>0</v>
      </c>
      <c r="C1177" s="2">
        <f>IFERROR(__xludf.DUMMYFUNCTION("""COMPUTED_VALUE"""),209.0)</f>
        <v>209</v>
      </c>
      <c r="D1177" s="3">
        <f>IFERROR(__xludf.DUMMYFUNCTION("""COMPUTED_VALUE"""),62.0)</f>
        <v>62</v>
      </c>
      <c r="E1177" s="2"/>
      <c r="F1177" s="2"/>
    </row>
    <row r="1178">
      <c r="A1178" s="2">
        <f>IFERROR(__xludf.DUMMYFUNCTION("""COMPUTED_VALUE"""),83600.0)</f>
        <v>83600</v>
      </c>
      <c r="B1178" s="2">
        <f>IFERROR(__xludf.DUMMYFUNCTION("""COMPUTED_VALUE"""),0.0)</f>
        <v>0</v>
      </c>
      <c r="C1178" s="2">
        <f>IFERROR(__xludf.DUMMYFUNCTION("""COMPUTED_VALUE"""),220.0)</f>
        <v>220</v>
      </c>
      <c r="D1178" s="3">
        <f>IFERROR(__xludf.DUMMYFUNCTION("""COMPUTED_VALUE"""),177.0)</f>
        <v>177</v>
      </c>
      <c r="E1178" s="2"/>
      <c r="F1178" s="2"/>
    </row>
    <row r="1179">
      <c r="A1179" s="2">
        <f>IFERROR(__xludf.DUMMYFUNCTION("""COMPUTED_VALUE"""),83621.0)</f>
        <v>83621</v>
      </c>
      <c r="B1179" s="2">
        <f>IFERROR(__xludf.DUMMYFUNCTION("""COMPUTED_VALUE"""),0.0)</f>
        <v>0</v>
      </c>
      <c r="C1179" s="2">
        <f>IFERROR(__xludf.DUMMYFUNCTION("""COMPUTED_VALUE"""),181.0)</f>
        <v>181</v>
      </c>
      <c r="D1179" s="3">
        <f>IFERROR(__xludf.DUMMYFUNCTION("""COMPUTED_VALUE"""),133.0)</f>
        <v>133</v>
      </c>
      <c r="E1179" s="2"/>
      <c r="F1179" s="2"/>
    </row>
    <row r="1180">
      <c r="A1180" s="2">
        <f>IFERROR(__xludf.DUMMYFUNCTION("""COMPUTED_VALUE"""),115599.0)</f>
        <v>115599</v>
      </c>
      <c r="B1180" s="2">
        <f>IFERROR(__xludf.DUMMYFUNCTION("""COMPUTED_VALUE"""),0.0)</f>
        <v>0</v>
      </c>
      <c r="C1180" s="2">
        <f>IFERROR(__xludf.DUMMYFUNCTION("""COMPUTED_VALUE"""),71.0)</f>
        <v>71</v>
      </c>
      <c r="D1180" s="3">
        <f>IFERROR(__xludf.DUMMYFUNCTION("""COMPUTED_VALUE"""),38.0)</f>
        <v>38</v>
      </c>
      <c r="E1180" s="2"/>
      <c r="F1180" s="2"/>
    </row>
    <row r="1181">
      <c r="A1181" s="2">
        <f>IFERROR(__xludf.DUMMYFUNCTION("""COMPUTED_VALUE"""),83598.0)</f>
        <v>83598</v>
      </c>
      <c r="B1181" s="2">
        <f>IFERROR(__xludf.DUMMYFUNCTION("""COMPUTED_VALUE"""),1.0)</f>
        <v>1</v>
      </c>
      <c r="C1181" s="2">
        <f>IFERROR(__xludf.DUMMYFUNCTION("""COMPUTED_VALUE"""),223.0)</f>
        <v>223</v>
      </c>
      <c r="D1181" s="3">
        <f>IFERROR(__xludf.DUMMYFUNCTION("""COMPUTED_VALUE"""),172.0)</f>
        <v>172</v>
      </c>
      <c r="E1181" s="2"/>
      <c r="F1181" s="2"/>
    </row>
    <row r="1182">
      <c r="A1182" s="2">
        <f>IFERROR(__xludf.DUMMYFUNCTION("""COMPUTED_VALUE"""),5652.0)</f>
        <v>5652</v>
      </c>
      <c r="B1182" s="2">
        <f>IFERROR(__xludf.DUMMYFUNCTION("""COMPUTED_VALUE"""),1.0)</f>
        <v>1</v>
      </c>
      <c r="C1182" s="2">
        <f>IFERROR(__xludf.DUMMYFUNCTION("""COMPUTED_VALUE"""),759.0)</f>
        <v>759</v>
      </c>
      <c r="D1182" s="3">
        <f>IFERROR(__xludf.DUMMYFUNCTION("""COMPUTED_VALUE"""),721.0)</f>
        <v>721</v>
      </c>
      <c r="E1182" s="2"/>
      <c r="F1182" s="2"/>
    </row>
    <row r="1183">
      <c r="A1183" s="2">
        <f>IFERROR(__xludf.DUMMYFUNCTION("""COMPUTED_VALUE"""),122661.0)</f>
        <v>122661</v>
      </c>
      <c r="B1183" s="2">
        <f>IFERROR(__xludf.DUMMYFUNCTION("""COMPUTED_VALUE"""),0.0)</f>
        <v>0</v>
      </c>
      <c r="C1183" s="2">
        <f>IFERROR(__xludf.DUMMYFUNCTION("""COMPUTED_VALUE"""),719.0)</f>
        <v>719</v>
      </c>
      <c r="D1183" s="3">
        <f>IFERROR(__xludf.DUMMYFUNCTION("""COMPUTED_VALUE"""),387.0)</f>
        <v>387</v>
      </c>
      <c r="E1183" s="2"/>
      <c r="F1183" s="2"/>
    </row>
    <row r="1184">
      <c r="A1184" s="2">
        <f>IFERROR(__xludf.DUMMYFUNCTION("""COMPUTED_VALUE"""),116384.0)</f>
        <v>116384</v>
      </c>
      <c r="B1184" s="2">
        <f>IFERROR(__xludf.DUMMYFUNCTION("""COMPUTED_VALUE"""),0.0)</f>
        <v>0</v>
      </c>
      <c r="C1184" s="2">
        <f>IFERROR(__xludf.DUMMYFUNCTION("""COMPUTED_VALUE"""),415.0)</f>
        <v>415</v>
      </c>
      <c r="D1184" s="3">
        <f>IFERROR(__xludf.DUMMYFUNCTION("""COMPUTED_VALUE"""),304.0)</f>
        <v>304</v>
      </c>
      <c r="E1184" s="2"/>
      <c r="F1184" s="2"/>
    </row>
    <row r="1185">
      <c r="A1185" s="2">
        <f>IFERROR(__xludf.DUMMYFUNCTION("""COMPUTED_VALUE"""),78859.0)</f>
        <v>78859</v>
      </c>
      <c r="B1185" s="2">
        <f>IFERROR(__xludf.DUMMYFUNCTION("""COMPUTED_VALUE"""),1.0)</f>
        <v>1</v>
      </c>
      <c r="C1185" s="2">
        <f>IFERROR(__xludf.DUMMYFUNCTION("""COMPUTED_VALUE"""),701.0)</f>
        <v>701</v>
      </c>
      <c r="D1185" s="3">
        <f>IFERROR(__xludf.DUMMYFUNCTION("""COMPUTED_VALUE"""),134.0)</f>
        <v>134</v>
      </c>
      <c r="E1185" s="2"/>
      <c r="F1185" s="2"/>
    </row>
    <row r="1186">
      <c r="A1186" s="2">
        <f>IFERROR(__xludf.DUMMYFUNCTION("""COMPUTED_VALUE"""),87096.0)</f>
        <v>87096</v>
      </c>
      <c r="B1186" s="2">
        <f>IFERROR(__xludf.DUMMYFUNCTION("""COMPUTED_VALUE"""),0.0)</f>
        <v>0</v>
      </c>
      <c r="C1186" s="2">
        <f>IFERROR(__xludf.DUMMYFUNCTION("""COMPUTED_VALUE"""),237.0)</f>
        <v>237</v>
      </c>
      <c r="D1186" s="3">
        <f>IFERROR(__xludf.DUMMYFUNCTION("""COMPUTED_VALUE"""),147.0)</f>
        <v>147</v>
      </c>
      <c r="E1186" s="2"/>
      <c r="F1186" s="2"/>
    </row>
    <row r="1187">
      <c r="A1187" s="2">
        <f>IFERROR(__xludf.DUMMYFUNCTION("""COMPUTED_VALUE"""),87428.0)</f>
        <v>87428</v>
      </c>
      <c r="B1187" s="2">
        <f>IFERROR(__xludf.DUMMYFUNCTION("""COMPUTED_VALUE"""),1.0)</f>
        <v>1</v>
      </c>
      <c r="C1187" s="2">
        <f>IFERROR(__xludf.DUMMYFUNCTION("""COMPUTED_VALUE"""),671.0)</f>
        <v>671</v>
      </c>
      <c r="D1187" s="3">
        <f>IFERROR(__xludf.DUMMYFUNCTION("""COMPUTED_VALUE"""),87.0)</f>
        <v>87</v>
      </c>
      <c r="E1187" s="2"/>
      <c r="F1187" s="2"/>
    </row>
    <row r="1188">
      <c r="A1188" s="2">
        <f>IFERROR(__xludf.DUMMYFUNCTION("""COMPUTED_VALUE"""),5690.0)</f>
        <v>5690</v>
      </c>
      <c r="B1188" s="2">
        <f>IFERROR(__xludf.DUMMYFUNCTION("""COMPUTED_VALUE"""),0.0)</f>
        <v>0</v>
      </c>
      <c r="C1188" s="2">
        <f>IFERROR(__xludf.DUMMYFUNCTION("""COMPUTED_VALUE"""),870.0)</f>
        <v>870</v>
      </c>
      <c r="D1188" s="3">
        <f>IFERROR(__xludf.DUMMYFUNCTION("""COMPUTED_VALUE"""),348.0)</f>
        <v>348</v>
      </c>
      <c r="E1188" s="2"/>
      <c r="F1188" s="2"/>
    </row>
    <row r="1189">
      <c r="A1189" s="2">
        <f>IFERROR(__xludf.DUMMYFUNCTION("""COMPUTED_VALUE"""),5663.0)</f>
        <v>5663</v>
      </c>
      <c r="B1189" s="2">
        <f>IFERROR(__xludf.DUMMYFUNCTION("""COMPUTED_VALUE"""),1.0)</f>
        <v>1</v>
      </c>
      <c r="C1189" s="2">
        <f>IFERROR(__xludf.DUMMYFUNCTION("""COMPUTED_VALUE"""),931.0)</f>
        <v>931</v>
      </c>
      <c r="D1189" s="3">
        <f>IFERROR(__xludf.DUMMYFUNCTION("""COMPUTED_VALUE"""),171.0)</f>
        <v>171</v>
      </c>
      <c r="E1189" s="2"/>
      <c r="F1189" s="2"/>
    </row>
    <row r="1190">
      <c r="A1190" s="2">
        <f>IFERROR(__xludf.DUMMYFUNCTION("""COMPUTED_VALUE"""),5654.0)</f>
        <v>5654</v>
      </c>
      <c r="B1190" s="2">
        <f>IFERROR(__xludf.DUMMYFUNCTION("""COMPUTED_VALUE"""),0.0)</f>
        <v>0</v>
      </c>
      <c r="C1190" s="2">
        <f>IFERROR(__xludf.DUMMYFUNCTION("""COMPUTED_VALUE"""),465.0)</f>
        <v>465</v>
      </c>
      <c r="D1190" s="3">
        <f>IFERROR(__xludf.DUMMYFUNCTION("""COMPUTED_VALUE"""),432.0)</f>
        <v>432</v>
      </c>
      <c r="E1190" s="2"/>
      <c r="F1190" s="2"/>
    </row>
    <row r="1191">
      <c r="A1191" s="2">
        <f>IFERROR(__xludf.DUMMYFUNCTION("""COMPUTED_VALUE"""),44607.0)</f>
        <v>44607</v>
      </c>
      <c r="B1191" s="2">
        <f>IFERROR(__xludf.DUMMYFUNCTION("""COMPUTED_VALUE"""),0.0)</f>
        <v>0</v>
      </c>
      <c r="C1191" s="2">
        <f>IFERROR(__xludf.DUMMYFUNCTION("""COMPUTED_VALUE"""),932.0)</f>
        <v>932</v>
      </c>
      <c r="D1191" s="3">
        <f>IFERROR(__xludf.DUMMYFUNCTION("""COMPUTED_VALUE"""),408.0)</f>
        <v>408</v>
      </c>
      <c r="E1191" s="2"/>
      <c r="F1191" s="2"/>
    </row>
    <row r="1192">
      <c r="A1192" s="2">
        <f>IFERROR(__xludf.DUMMYFUNCTION("""COMPUTED_VALUE"""),5662.0)</f>
        <v>5662</v>
      </c>
      <c r="B1192" s="2">
        <f>IFERROR(__xludf.DUMMYFUNCTION("""COMPUTED_VALUE"""),1.0)</f>
        <v>1</v>
      </c>
      <c r="C1192" s="2">
        <f>IFERROR(__xludf.DUMMYFUNCTION("""COMPUTED_VALUE"""),301.0)</f>
        <v>301</v>
      </c>
      <c r="D1192" s="3">
        <f>IFERROR(__xludf.DUMMYFUNCTION("""COMPUTED_VALUE"""),193.0)</f>
        <v>193</v>
      </c>
      <c r="E1192" s="2"/>
      <c r="F1192" s="2"/>
    </row>
    <row r="1193">
      <c r="A1193" s="2">
        <f>IFERROR(__xludf.DUMMYFUNCTION("""COMPUTED_VALUE"""),87426.0)</f>
        <v>87426</v>
      </c>
      <c r="B1193" s="2">
        <f>IFERROR(__xludf.DUMMYFUNCTION("""COMPUTED_VALUE"""),1.0)</f>
        <v>1</v>
      </c>
      <c r="C1193" s="2">
        <f>IFERROR(__xludf.DUMMYFUNCTION("""COMPUTED_VALUE"""),963.0)</f>
        <v>963</v>
      </c>
      <c r="D1193" s="3">
        <f>IFERROR(__xludf.DUMMYFUNCTION("""COMPUTED_VALUE"""),102.0)</f>
        <v>102</v>
      </c>
      <c r="E1193" s="2"/>
      <c r="F1193" s="2"/>
    </row>
    <row r="1194">
      <c r="A1194" s="2">
        <f>IFERROR(__xludf.DUMMYFUNCTION("""COMPUTED_VALUE"""),5680.0)</f>
        <v>5680</v>
      </c>
      <c r="B1194" s="2">
        <f>IFERROR(__xludf.DUMMYFUNCTION("""COMPUTED_VALUE"""),1.0)</f>
        <v>1</v>
      </c>
      <c r="C1194" s="2">
        <f>IFERROR(__xludf.DUMMYFUNCTION("""COMPUTED_VALUE"""),129.0)</f>
        <v>129</v>
      </c>
      <c r="D1194" s="3">
        <f>IFERROR(__xludf.DUMMYFUNCTION("""COMPUTED_VALUE"""),36.0)</f>
        <v>36</v>
      </c>
      <c r="E1194" s="2"/>
      <c r="F1194" s="2"/>
    </row>
    <row r="1195">
      <c r="A1195" s="2">
        <f>IFERROR(__xludf.DUMMYFUNCTION("""COMPUTED_VALUE"""),5661.0)</f>
        <v>5661</v>
      </c>
      <c r="B1195" s="2">
        <f>IFERROR(__xludf.DUMMYFUNCTION("""COMPUTED_VALUE"""),0.0)</f>
        <v>0</v>
      </c>
      <c r="C1195" s="2">
        <f>IFERROR(__xludf.DUMMYFUNCTION("""COMPUTED_VALUE"""),566.0)</f>
        <v>566</v>
      </c>
      <c r="D1195" s="3">
        <f>IFERROR(__xludf.DUMMYFUNCTION("""COMPUTED_VALUE"""),275.0)</f>
        <v>275</v>
      </c>
      <c r="E1195" s="2"/>
      <c r="F1195" s="2"/>
    </row>
    <row r="1196">
      <c r="A1196" s="2">
        <f>IFERROR(__xludf.DUMMYFUNCTION("""COMPUTED_VALUE"""),83629.0)</f>
        <v>83629</v>
      </c>
      <c r="B1196" s="2">
        <f>IFERROR(__xludf.DUMMYFUNCTION("""COMPUTED_VALUE"""),0.0)</f>
        <v>0</v>
      </c>
      <c r="C1196" s="2">
        <f>IFERROR(__xludf.DUMMYFUNCTION("""COMPUTED_VALUE"""),901.0)</f>
        <v>901</v>
      </c>
      <c r="D1196" s="3">
        <f>IFERROR(__xludf.DUMMYFUNCTION("""COMPUTED_VALUE"""),784.0)</f>
        <v>784</v>
      </c>
      <c r="E1196" s="2"/>
      <c r="F1196" s="2"/>
    </row>
    <row r="1197">
      <c r="A1197" s="2">
        <f>IFERROR(__xludf.DUMMYFUNCTION("""COMPUTED_VALUE"""),83599.0)</f>
        <v>83599</v>
      </c>
      <c r="B1197" s="2">
        <f>IFERROR(__xludf.DUMMYFUNCTION("""COMPUTED_VALUE"""),0.0)</f>
        <v>0</v>
      </c>
      <c r="C1197" s="2">
        <f>IFERROR(__xludf.DUMMYFUNCTION("""COMPUTED_VALUE"""),91.0)</f>
        <v>91</v>
      </c>
      <c r="D1197" s="3">
        <f>IFERROR(__xludf.DUMMYFUNCTION("""COMPUTED_VALUE"""),62.0)</f>
        <v>62</v>
      </c>
      <c r="E1197" s="2"/>
      <c r="F1197" s="2"/>
    </row>
    <row r="1198">
      <c r="A1198" s="2">
        <f>IFERROR(__xludf.DUMMYFUNCTION("""COMPUTED_VALUE"""),83625.0)</f>
        <v>83625</v>
      </c>
      <c r="B1198" s="2">
        <f>IFERROR(__xludf.DUMMYFUNCTION("""COMPUTED_VALUE"""),1.0)</f>
        <v>1</v>
      </c>
      <c r="C1198" s="2">
        <f>IFERROR(__xludf.DUMMYFUNCTION("""COMPUTED_VALUE"""),864.0)</f>
        <v>864</v>
      </c>
      <c r="D1198" s="3">
        <f>IFERROR(__xludf.DUMMYFUNCTION("""COMPUTED_VALUE"""),758.0)</f>
        <v>758</v>
      </c>
      <c r="E1198" s="2"/>
      <c r="F1198" s="2"/>
    </row>
    <row r="1199">
      <c r="A1199" s="2">
        <f>IFERROR(__xludf.DUMMYFUNCTION("""COMPUTED_VALUE"""),87887.0)</f>
        <v>87887</v>
      </c>
      <c r="B1199" s="2">
        <f>IFERROR(__xludf.DUMMYFUNCTION("""COMPUTED_VALUE"""),1.0)</f>
        <v>1</v>
      </c>
      <c r="C1199" s="2">
        <f>IFERROR(__xludf.DUMMYFUNCTION("""COMPUTED_VALUE"""),533.0)</f>
        <v>533</v>
      </c>
      <c r="D1199" s="3">
        <f>IFERROR(__xludf.DUMMYFUNCTION("""COMPUTED_VALUE"""),202.0)</f>
        <v>202</v>
      </c>
      <c r="E1199" s="2"/>
      <c r="F1199" s="2"/>
    </row>
    <row r="1200">
      <c r="A1200" s="2">
        <f>IFERROR(__xludf.DUMMYFUNCTION("""COMPUTED_VALUE"""),118923.0)</f>
        <v>118923</v>
      </c>
      <c r="B1200" s="2">
        <f>IFERROR(__xludf.DUMMYFUNCTION("""COMPUTED_VALUE"""),0.0)</f>
        <v>0</v>
      </c>
      <c r="C1200" s="2">
        <f>IFERROR(__xludf.DUMMYFUNCTION("""COMPUTED_VALUE"""),84.0)</f>
        <v>84</v>
      </c>
      <c r="D1200" s="3">
        <f>IFERROR(__xludf.DUMMYFUNCTION("""COMPUTED_VALUE"""),41.0)</f>
        <v>41</v>
      </c>
      <c r="E1200" s="2"/>
      <c r="F1200" s="2"/>
    </row>
    <row r="1201">
      <c r="A1201" s="2">
        <f>IFERROR(__xludf.DUMMYFUNCTION("""COMPUTED_VALUE"""),87421.0)</f>
        <v>87421</v>
      </c>
      <c r="B1201" s="2">
        <f>IFERROR(__xludf.DUMMYFUNCTION("""COMPUTED_VALUE"""),1.0)</f>
        <v>1</v>
      </c>
      <c r="C1201" s="2">
        <f>IFERROR(__xludf.DUMMYFUNCTION("""COMPUTED_VALUE"""),700.0)</f>
        <v>700</v>
      </c>
      <c r="D1201" s="3">
        <f>IFERROR(__xludf.DUMMYFUNCTION("""COMPUTED_VALUE"""),92.0)</f>
        <v>92</v>
      </c>
      <c r="E1201" s="2"/>
      <c r="F1201" s="2"/>
    </row>
    <row r="1202">
      <c r="A1202" s="2">
        <f>IFERROR(__xludf.DUMMYFUNCTION("""COMPUTED_VALUE"""),117531.0)</f>
        <v>117531</v>
      </c>
      <c r="B1202" s="2">
        <f>IFERROR(__xludf.DUMMYFUNCTION("""COMPUTED_VALUE"""),0.0)</f>
        <v>0</v>
      </c>
      <c r="C1202" s="2">
        <f>IFERROR(__xludf.DUMMYFUNCTION("""COMPUTED_VALUE"""),772.0)</f>
        <v>772</v>
      </c>
      <c r="D1202" s="3">
        <f>IFERROR(__xludf.DUMMYFUNCTION("""COMPUTED_VALUE"""),371.0)</f>
        <v>371</v>
      </c>
      <c r="E1202" s="2"/>
      <c r="F1202" s="2"/>
    </row>
    <row r="1203">
      <c r="A1203" s="2">
        <f>IFERROR(__xludf.DUMMYFUNCTION("""COMPUTED_VALUE"""),122267.0)</f>
        <v>122267</v>
      </c>
      <c r="B1203" s="2">
        <f>IFERROR(__xludf.DUMMYFUNCTION("""COMPUTED_VALUE"""),1.0)</f>
        <v>1</v>
      </c>
      <c r="C1203" s="2">
        <f>IFERROR(__xludf.DUMMYFUNCTION("""COMPUTED_VALUE"""),781.0)</f>
        <v>781</v>
      </c>
      <c r="D1203" s="3">
        <f>IFERROR(__xludf.DUMMYFUNCTION("""COMPUTED_VALUE"""),105.0)</f>
        <v>105</v>
      </c>
      <c r="E1203" s="2"/>
      <c r="F1203" s="2"/>
    </row>
    <row r="1204">
      <c r="A1204" s="2">
        <f>IFERROR(__xludf.DUMMYFUNCTION("""COMPUTED_VALUE"""),117527.0)</f>
        <v>117527</v>
      </c>
      <c r="B1204" s="2">
        <f>IFERROR(__xludf.DUMMYFUNCTION("""COMPUTED_VALUE"""),0.0)</f>
        <v>0</v>
      </c>
      <c r="C1204" s="2">
        <f>IFERROR(__xludf.DUMMYFUNCTION("""COMPUTED_VALUE"""),820.0)</f>
        <v>820</v>
      </c>
      <c r="D1204" s="3">
        <f>IFERROR(__xludf.DUMMYFUNCTION("""COMPUTED_VALUE"""),282.0)</f>
        <v>282</v>
      </c>
      <c r="E1204" s="2"/>
      <c r="F1204" s="2"/>
    </row>
    <row r="1205">
      <c r="A1205" s="2">
        <f>IFERROR(__xludf.DUMMYFUNCTION("""COMPUTED_VALUE"""),44138.0)</f>
        <v>44138</v>
      </c>
      <c r="B1205" s="2">
        <f>IFERROR(__xludf.DUMMYFUNCTION("""COMPUTED_VALUE"""),1.0)</f>
        <v>1</v>
      </c>
      <c r="C1205" s="2">
        <f>IFERROR(__xludf.DUMMYFUNCTION("""COMPUTED_VALUE"""),213.0)</f>
        <v>213</v>
      </c>
      <c r="D1205" s="3">
        <f>IFERROR(__xludf.DUMMYFUNCTION("""COMPUTED_VALUE"""),47.0)</f>
        <v>47</v>
      </c>
      <c r="E1205" s="2"/>
      <c r="F1205" s="2"/>
    </row>
    <row r="1206">
      <c r="A1206" s="2">
        <f>IFERROR(__xludf.DUMMYFUNCTION("""COMPUTED_VALUE"""),117529.0)</f>
        <v>117529</v>
      </c>
      <c r="B1206" s="2">
        <f>IFERROR(__xludf.DUMMYFUNCTION("""COMPUTED_VALUE"""),1.0)</f>
        <v>1</v>
      </c>
      <c r="C1206" s="2">
        <f>IFERROR(__xludf.DUMMYFUNCTION("""COMPUTED_VALUE"""),378.0)</f>
        <v>378</v>
      </c>
      <c r="D1206" s="3">
        <f>IFERROR(__xludf.DUMMYFUNCTION("""COMPUTED_VALUE"""),180.0)</f>
        <v>180</v>
      </c>
      <c r="E1206" s="2"/>
      <c r="F1206" s="2"/>
    </row>
    <row r="1207">
      <c r="A1207" s="2">
        <f>IFERROR(__xludf.DUMMYFUNCTION("""COMPUTED_VALUE"""),122269.0)</f>
        <v>122269</v>
      </c>
      <c r="B1207" s="2">
        <f>IFERROR(__xludf.DUMMYFUNCTION("""COMPUTED_VALUE"""),0.0)</f>
        <v>0</v>
      </c>
      <c r="C1207" s="2">
        <f>IFERROR(__xludf.DUMMYFUNCTION("""COMPUTED_VALUE"""),759.0)</f>
        <v>759</v>
      </c>
      <c r="D1207" s="3">
        <f>IFERROR(__xludf.DUMMYFUNCTION("""COMPUTED_VALUE"""),244.0)</f>
        <v>244</v>
      </c>
      <c r="E1207" s="2"/>
      <c r="F1207" s="2"/>
    </row>
    <row r="1208">
      <c r="A1208" s="2">
        <f>IFERROR(__xludf.DUMMYFUNCTION("""COMPUTED_VALUE"""),87886.0)</f>
        <v>87886</v>
      </c>
      <c r="B1208" s="2">
        <f>IFERROR(__xludf.DUMMYFUNCTION("""COMPUTED_VALUE"""),0.0)</f>
        <v>0</v>
      </c>
      <c r="C1208" s="2">
        <f>IFERROR(__xludf.DUMMYFUNCTION("""COMPUTED_VALUE"""),422.0)</f>
        <v>422</v>
      </c>
      <c r="D1208" s="3">
        <f>IFERROR(__xludf.DUMMYFUNCTION("""COMPUTED_VALUE"""),199.0)</f>
        <v>199</v>
      </c>
      <c r="E1208" s="2"/>
      <c r="F1208" s="2"/>
    </row>
    <row r="1209">
      <c r="A1209" s="2">
        <f>IFERROR(__xludf.DUMMYFUNCTION("""COMPUTED_VALUE"""),104317.0)</f>
        <v>104317</v>
      </c>
      <c r="B1209" s="2">
        <f>IFERROR(__xludf.DUMMYFUNCTION("""COMPUTED_VALUE"""),1.0)</f>
        <v>1</v>
      </c>
      <c r="C1209" s="2">
        <f>IFERROR(__xludf.DUMMYFUNCTION("""COMPUTED_VALUE"""),727.0)</f>
        <v>727</v>
      </c>
      <c r="D1209" s="3">
        <f>IFERROR(__xludf.DUMMYFUNCTION("""COMPUTED_VALUE"""),77.0)</f>
        <v>77</v>
      </c>
      <c r="E1209" s="2"/>
      <c r="F1209" s="2"/>
    </row>
    <row r="1210">
      <c r="A1210" s="2">
        <f>IFERROR(__xludf.DUMMYFUNCTION("""COMPUTED_VALUE"""),114943.0)</f>
        <v>114943</v>
      </c>
      <c r="B1210" s="2">
        <f>IFERROR(__xludf.DUMMYFUNCTION("""COMPUTED_VALUE"""),1.0)</f>
        <v>1</v>
      </c>
      <c r="C1210" s="2">
        <f>IFERROR(__xludf.DUMMYFUNCTION("""COMPUTED_VALUE"""),323.0)</f>
        <v>323</v>
      </c>
      <c r="D1210" s="3">
        <f>IFERROR(__xludf.DUMMYFUNCTION("""COMPUTED_VALUE"""),257.0)</f>
        <v>257</v>
      </c>
      <c r="E1210" s="2"/>
      <c r="F1210" s="2"/>
    </row>
    <row r="1211">
      <c r="A1211" s="2">
        <f>IFERROR(__xludf.DUMMYFUNCTION("""COMPUTED_VALUE"""),44134.0)</f>
        <v>44134</v>
      </c>
      <c r="B1211" s="2">
        <f>IFERROR(__xludf.DUMMYFUNCTION("""COMPUTED_VALUE"""),0.0)</f>
        <v>0</v>
      </c>
      <c r="C1211" s="2">
        <f>IFERROR(__xludf.DUMMYFUNCTION("""COMPUTED_VALUE"""),810.0)</f>
        <v>810</v>
      </c>
      <c r="D1211" s="3">
        <f>IFERROR(__xludf.DUMMYFUNCTION("""COMPUTED_VALUE"""),610.0)</f>
        <v>610</v>
      </c>
      <c r="E1211" s="2"/>
      <c r="F1211" s="2"/>
    </row>
    <row r="1212">
      <c r="A1212" s="2">
        <f>IFERROR(__xludf.DUMMYFUNCTION("""COMPUTED_VALUE"""),5637.0)</f>
        <v>5637</v>
      </c>
      <c r="B1212" s="2">
        <f>IFERROR(__xludf.DUMMYFUNCTION("""COMPUTED_VALUE"""),0.0)</f>
        <v>0</v>
      </c>
      <c r="C1212" s="2">
        <f>IFERROR(__xludf.DUMMYFUNCTION("""COMPUTED_VALUE"""),52.0)</f>
        <v>52</v>
      </c>
      <c r="D1212" s="3">
        <f>IFERROR(__xludf.DUMMYFUNCTION("""COMPUTED_VALUE"""),5.0)</f>
        <v>5</v>
      </c>
      <c r="E1212" s="2"/>
      <c r="F1212" s="2"/>
    </row>
    <row r="1213">
      <c r="A1213" s="2">
        <f>IFERROR(__xludf.DUMMYFUNCTION("""COMPUTED_VALUE"""),5641.0)</f>
        <v>5641</v>
      </c>
      <c r="B1213" s="2">
        <f>IFERROR(__xludf.DUMMYFUNCTION("""COMPUTED_VALUE"""),0.0)</f>
        <v>0</v>
      </c>
      <c r="C1213" s="2">
        <f>IFERROR(__xludf.DUMMYFUNCTION("""COMPUTED_VALUE"""),658.0)</f>
        <v>658</v>
      </c>
      <c r="D1213" s="3">
        <f>IFERROR(__xludf.DUMMYFUNCTION("""COMPUTED_VALUE"""),151.0)</f>
        <v>151</v>
      </c>
      <c r="E1213" s="2"/>
      <c r="F1213" s="2"/>
    </row>
    <row r="1214">
      <c r="A1214" s="2">
        <f>IFERROR(__xludf.DUMMYFUNCTION("""COMPUTED_VALUE"""),147323.0)</f>
        <v>147323</v>
      </c>
      <c r="B1214" s="2">
        <f>IFERROR(__xludf.DUMMYFUNCTION("""COMPUTED_VALUE"""),0.0)</f>
        <v>0</v>
      </c>
      <c r="C1214" s="2">
        <f>IFERROR(__xludf.DUMMYFUNCTION("""COMPUTED_VALUE"""),341.0)</f>
        <v>341</v>
      </c>
      <c r="D1214" s="3">
        <f>IFERROR(__xludf.DUMMYFUNCTION("""COMPUTED_VALUE"""),260.0)</f>
        <v>260</v>
      </c>
      <c r="E1214" s="2"/>
      <c r="F1214" s="2"/>
    </row>
    <row r="1215">
      <c r="A1215" s="2">
        <f>IFERROR(__xludf.DUMMYFUNCTION("""COMPUTED_VALUE"""),44118.0)</f>
        <v>44118</v>
      </c>
      <c r="B1215" s="2">
        <f>IFERROR(__xludf.DUMMYFUNCTION("""COMPUTED_VALUE"""),1.0)</f>
        <v>1</v>
      </c>
      <c r="C1215" s="2">
        <f>IFERROR(__xludf.DUMMYFUNCTION("""COMPUTED_VALUE"""),443.0)</f>
        <v>443</v>
      </c>
      <c r="D1215" s="3">
        <f>IFERROR(__xludf.DUMMYFUNCTION("""COMPUTED_VALUE"""),154.0)</f>
        <v>154</v>
      </c>
      <c r="E1215" s="2"/>
      <c r="F1215" s="2"/>
    </row>
    <row r="1216">
      <c r="A1216" s="2">
        <f>IFERROR(__xludf.DUMMYFUNCTION("""COMPUTED_VALUE"""),115608.0)</f>
        <v>115608</v>
      </c>
      <c r="B1216" s="2">
        <f>IFERROR(__xludf.DUMMYFUNCTION("""COMPUTED_VALUE"""),1.0)</f>
        <v>1</v>
      </c>
      <c r="C1216" s="2">
        <f>IFERROR(__xludf.DUMMYFUNCTION("""COMPUTED_VALUE"""),366.0)</f>
        <v>366</v>
      </c>
      <c r="D1216" s="3">
        <f>IFERROR(__xludf.DUMMYFUNCTION("""COMPUTED_VALUE"""),116.0)</f>
        <v>116</v>
      </c>
      <c r="E1216" s="2"/>
      <c r="F1216" s="2"/>
    </row>
    <row r="1217">
      <c r="A1217" s="2">
        <f>IFERROR(__xludf.DUMMYFUNCTION("""COMPUTED_VALUE"""),44127.0)</f>
        <v>44127</v>
      </c>
      <c r="B1217" s="2">
        <f>IFERROR(__xludf.DUMMYFUNCTION("""COMPUTED_VALUE"""),0.0)</f>
        <v>0</v>
      </c>
      <c r="C1217" s="2">
        <f>IFERROR(__xludf.DUMMYFUNCTION("""COMPUTED_VALUE"""),635.0)</f>
        <v>635</v>
      </c>
      <c r="D1217" s="3">
        <f>IFERROR(__xludf.DUMMYFUNCTION("""COMPUTED_VALUE"""),146.0)</f>
        <v>146</v>
      </c>
      <c r="E1217" s="2"/>
      <c r="F1217" s="2"/>
    </row>
    <row r="1218">
      <c r="A1218" s="2">
        <f>IFERROR(__xludf.DUMMYFUNCTION("""COMPUTED_VALUE"""),122348.0)</f>
        <v>122348</v>
      </c>
      <c r="B1218" s="2">
        <f>IFERROR(__xludf.DUMMYFUNCTION("""COMPUTED_VALUE"""),1.0)</f>
        <v>1</v>
      </c>
      <c r="C1218" s="2">
        <f>IFERROR(__xludf.DUMMYFUNCTION("""COMPUTED_VALUE"""),323.0)</f>
        <v>323</v>
      </c>
      <c r="D1218" s="3">
        <f>IFERROR(__xludf.DUMMYFUNCTION("""COMPUTED_VALUE"""),168.0)</f>
        <v>168</v>
      </c>
      <c r="E1218" s="2"/>
      <c r="F1218" s="2"/>
    </row>
    <row r="1219">
      <c r="A1219" s="2">
        <f>IFERROR(__xludf.DUMMYFUNCTION("""COMPUTED_VALUE"""),147304.0)</f>
        <v>147304</v>
      </c>
      <c r="B1219" s="2">
        <f>IFERROR(__xludf.DUMMYFUNCTION("""COMPUTED_VALUE"""),0.0)</f>
        <v>0</v>
      </c>
      <c r="C1219" s="2">
        <f>IFERROR(__xludf.DUMMYFUNCTION("""COMPUTED_VALUE"""),960.0)</f>
        <v>960</v>
      </c>
      <c r="D1219" s="3">
        <f>IFERROR(__xludf.DUMMYFUNCTION("""COMPUTED_VALUE"""),826.0)</f>
        <v>826</v>
      </c>
      <c r="E1219" s="2"/>
      <c r="F1219" s="2"/>
    </row>
    <row r="1220">
      <c r="A1220" s="2">
        <f>IFERROR(__xludf.DUMMYFUNCTION("""COMPUTED_VALUE"""),118310.0)</f>
        <v>118310</v>
      </c>
      <c r="B1220" s="2">
        <f>IFERROR(__xludf.DUMMYFUNCTION("""COMPUTED_VALUE"""),0.0)</f>
        <v>0</v>
      </c>
      <c r="C1220" s="2">
        <f>IFERROR(__xludf.DUMMYFUNCTION("""COMPUTED_VALUE"""),955.0)</f>
        <v>955</v>
      </c>
      <c r="D1220" s="3">
        <f>IFERROR(__xludf.DUMMYFUNCTION("""COMPUTED_VALUE"""),877.0)</f>
        <v>877</v>
      </c>
      <c r="E1220" s="2"/>
      <c r="F1220" s="2"/>
    </row>
    <row r="1221">
      <c r="A1221" s="2">
        <f>IFERROR(__xludf.DUMMYFUNCTION("""COMPUTED_VALUE"""),77175.0)</f>
        <v>77175</v>
      </c>
      <c r="B1221" s="2">
        <f>IFERROR(__xludf.DUMMYFUNCTION("""COMPUTED_VALUE"""),1.0)</f>
        <v>1</v>
      </c>
      <c r="C1221" s="2">
        <f>IFERROR(__xludf.DUMMYFUNCTION("""COMPUTED_VALUE"""),796.0)</f>
        <v>796</v>
      </c>
      <c r="D1221" s="3">
        <f>IFERROR(__xludf.DUMMYFUNCTION("""COMPUTED_VALUE"""),313.0)</f>
        <v>313</v>
      </c>
      <c r="E1221" s="2"/>
      <c r="F1221" s="2"/>
    </row>
    <row r="1222">
      <c r="A1222" s="2">
        <f>IFERROR(__xludf.DUMMYFUNCTION("""COMPUTED_VALUE"""),5645.0)</f>
        <v>5645</v>
      </c>
      <c r="B1222" s="2">
        <f>IFERROR(__xludf.DUMMYFUNCTION("""COMPUTED_VALUE"""),0.0)</f>
        <v>0</v>
      </c>
      <c r="C1222" s="2">
        <f>IFERROR(__xludf.DUMMYFUNCTION("""COMPUTED_VALUE"""),100.0)</f>
        <v>100</v>
      </c>
      <c r="D1222" s="3">
        <f>IFERROR(__xludf.DUMMYFUNCTION("""COMPUTED_VALUE"""),79.0)</f>
        <v>79</v>
      </c>
      <c r="E1222" s="2"/>
      <c r="F1222" s="2"/>
    </row>
    <row r="1223">
      <c r="A1223" s="2">
        <f>IFERROR(__xludf.DUMMYFUNCTION("""COMPUTED_VALUE"""),76679.0)</f>
        <v>76679</v>
      </c>
      <c r="B1223" s="2">
        <f>IFERROR(__xludf.DUMMYFUNCTION("""COMPUTED_VALUE"""),1.0)</f>
        <v>1</v>
      </c>
      <c r="C1223" s="2">
        <f>IFERROR(__xludf.DUMMYFUNCTION("""COMPUTED_VALUE"""),838.0)</f>
        <v>838</v>
      </c>
      <c r="D1223" s="3">
        <f>IFERROR(__xludf.DUMMYFUNCTION("""COMPUTED_VALUE"""),290.0)</f>
        <v>290</v>
      </c>
      <c r="E1223" s="2"/>
      <c r="F1223" s="2"/>
    </row>
    <row r="1224">
      <c r="A1224" s="2">
        <f>IFERROR(__xludf.DUMMYFUNCTION("""COMPUTED_VALUE"""),5635.0)</f>
        <v>5635</v>
      </c>
      <c r="B1224" s="2">
        <f>IFERROR(__xludf.DUMMYFUNCTION("""COMPUTED_VALUE"""),0.0)</f>
        <v>0</v>
      </c>
      <c r="C1224" s="2">
        <f>IFERROR(__xludf.DUMMYFUNCTION("""COMPUTED_VALUE"""),550.0)</f>
        <v>550</v>
      </c>
      <c r="D1224" s="3">
        <f>IFERROR(__xludf.DUMMYFUNCTION("""COMPUTED_VALUE"""),149.0)</f>
        <v>149</v>
      </c>
      <c r="E1224" s="2"/>
      <c r="F1224" s="2"/>
    </row>
    <row r="1225">
      <c r="A1225" s="2">
        <f>IFERROR(__xludf.DUMMYFUNCTION("""COMPUTED_VALUE"""),110960.0)</f>
        <v>110960</v>
      </c>
      <c r="B1225" s="2">
        <f>IFERROR(__xludf.DUMMYFUNCTION("""COMPUTED_VALUE"""),1.0)</f>
        <v>1</v>
      </c>
      <c r="C1225" s="2">
        <f>IFERROR(__xludf.DUMMYFUNCTION("""COMPUTED_VALUE"""),659.0)</f>
        <v>659</v>
      </c>
      <c r="D1225" s="3">
        <f>IFERROR(__xludf.DUMMYFUNCTION("""COMPUTED_VALUE"""),237.0)</f>
        <v>237</v>
      </c>
      <c r="E1225" s="2"/>
      <c r="F1225" s="2"/>
    </row>
    <row r="1226">
      <c r="A1226" s="2">
        <f>IFERROR(__xludf.DUMMYFUNCTION("""COMPUTED_VALUE"""),108290.0)</f>
        <v>108290</v>
      </c>
      <c r="B1226" s="2">
        <f>IFERROR(__xludf.DUMMYFUNCTION("""COMPUTED_VALUE"""),1.0)</f>
        <v>1</v>
      </c>
      <c r="C1226" s="2">
        <f>IFERROR(__xludf.DUMMYFUNCTION("""COMPUTED_VALUE"""),696.0)</f>
        <v>696</v>
      </c>
      <c r="D1226" s="3">
        <f>IFERROR(__xludf.DUMMYFUNCTION("""COMPUTED_VALUE"""),121.0)</f>
        <v>121</v>
      </c>
      <c r="E1226" s="2"/>
      <c r="F1226" s="2"/>
    </row>
    <row r="1227">
      <c r="A1227" s="2">
        <f>IFERROR(__xludf.DUMMYFUNCTION("""COMPUTED_VALUE"""),117680.0)</f>
        <v>117680</v>
      </c>
      <c r="B1227" s="2">
        <f>IFERROR(__xludf.DUMMYFUNCTION("""COMPUTED_VALUE"""),0.0)</f>
        <v>0</v>
      </c>
      <c r="C1227" s="2">
        <f>IFERROR(__xludf.DUMMYFUNCTION("""COMPUTED_VALUE"""),492.0)</f>
        <v>492</v>
      </c>
      <c r="D1227" s="3">
        <f>IFERROR(__xludf.DUMMYFUNCTION("""COMPUTED_VALUE"""),104.0)</f>
        <v>104</v>
      </c>
      <c r="E1227" s="2"/>
      <c r="F1227" s="2"/>
    </row>
    <row r="1228">
      <c r="A1228" s="2">
        <f>IFERROR(__xludf.DUMMYFUNCTION("""COMPUTED_VALUE"""),77183.0)</f>
        <v>77183</v>
      </c>
      <c r="B1228" s="2">
        <f>IFERROR(__xludf.DUMMYFUNCTION("""COMPUTED_VALUE"""),1.0)</f>
        <v>1</v>
      </c>
      <c r="C1228" s="2">
        <f>IFERROR(__xludf.DUMMYFUNCTION("""COMPUTED_VALUE"""),93.0)</f>
        <v>93</v>
      </c>
      <c r="D1228" s="3">
        <f>IFERROR(__xludf.DUMMYFUNCTION("""COMPUTED_VALUE"""),87.0)</f>
        <v>87</v>
      </c>
      <c r="E1228" s="2"/>
      <c r="F1228" s="2"/>
    </row>
    <row r="1229">
      <c r="A1229" s="2">
        <f>IFERROR(__xludf.DUMMYFUNCTION("""COMPUTED_VALUE"""),147322.0)</f>
        <v>147322</v>
      </c>
      <c r="B1229" s="2">
        <f>IFERROR(__xludf.DUMMYFUNCTION("""COMPUTED_VALUE"""),1.0)</f>
        <v>1</v>
      </c>
      <c r="C1229" s="2">
        <f>IFERROR(__xludf.DUMMYFUNCTION("""COMPUTED_VALUE"""),441.0)</f>
        <v>441</v>
      </c>
      <c r="D1229" s="3">
        <f>IFERROR(__xludf.DUMMYFUNCTION("""COMPUTED_VALUE"""),254.0)</f>
        <v>254</v>
      </c>
      <c r="E1229" s="2"/>
      <c r="F1229" s="2"/>
    </row>
    <row r="1230">
      <c r="A1230" s="2">
        <f>IFERROR(__xludf.DUMMYFUNCTION("""COMPUTED_VALUE"""),44120.0)</f>
        <v>44120</v>
      </c>
      <c r="B1230" s="2">
        <f>IFERROR(__xludf.DUMMYFUNCTION("""COMPUTED_VALUE"""),1.0)</f>
        <v>1</v>
      </c>
      <c r="C1230" s="2">
        <f>IFERROR(__xludf.DUMMYFUNCTION("""COMPUTED_VALUE"""),597.0)</f>
        <v>597</v>
      </c>
      <c r="D1230" s="3">
        <f>IFERROR(__xludf.DUMMYFUNCTION("""COMPUTED_VALUE"""),98.0)</f>
        <v>98</v>
      </c>
      <c r="E1230" s="2"/>
      <c r="F1230" s="2"/>
    </row>
    <row r="1231">
      <c r="A1231" s="2">
        <f>IFERROR(__xludf.DUMMYFUNCTION("""COMPUTED_VALUE"""),44115.0)</f>
        <v>44115</v>
      </c>
      <c r="B1231" s="2">
        <f>IFERROR(__xludf.DUMMYFUNCTION("""COMPUTED_VALUE"""),1.0)</f>
        <v>1</v>
      </c>
      <c r="C1231" s="2">
        <f>IFERROR(__xludf.DUMMYFUNCTION("""COMPUTED_VALUE"""),580.0)</f>
        <v>580</v>
      </c>
      <c r="D1231" s="3">
        <f>IFERROR(__xludf.DUMMYFUNCTION("""COMPUTED_VALUE"""),36.0)</f>
        <v>36</v>
      </c>
      <c r="E1231" s="2"/>
      <c r="F1231" s="2"/>
    </row>
    <row r="1232">
      <c r="A1232" s="2">
        <f>IFERROR(__xludf.DUMMYFUNCTION("""COMPUTED_VALUE"""),44117.0)</f>
        <v>44117</v>
      </c>
      <c r="B1232" s="2">
        <f>IFERROR(__xludf.DUMMYFUNCTION("""COMPUTED_VALUE"""),1.0)</f>
        <v>1</v>
      </c>
      <c r="C1232" s="2">
        <f>IFERROR(__xludf.DUMMYFUNCTION("""COMPUTED_VALUE"""),458.0)</f>
        <v>458</v>
      </c>
      <c r="D1232" s="3">
        <f>IFERROR(__xludf.DUMMYFUNCTION("""COMPUTED_VALUE"""),413.0)</f>
        <v>413</v>
      </c>
      <c r="E1232" s="2"/>
      <c r="F1232" s="2"/>
    </row>
    <row r="1233">
      <c r="A1233" s="2">
        <f>IFERROR(__xludf.DUMMYFUNCTION("""COMPUTED_VALUE"""),76670.0)</f>
        <v>76670</v>
      </c>
      <c r="B1233" s="2">
        <f>IFERROR(__xludf.DUMMYFUNCTION("""COMPUTED_VALUE"""),1.0)</f>
        <v>1</v>
      </c>
      <c r="C1233" s="2">
        <f>IFERROR(__xludf.DUMMYFUNCTION("""COMPUTED_VALUE"""),803.0)</f>
        <v>803</v>
      </c>
      <c r="D1233" s="3">
        <f>IFERROR(__xludf.DUMMYFUNCTION("""COMPUTED_VALUE"""),432.0)</f>
        <v>432</v>
      </c>
      <c r="E1233" s="2"/>
      <c r="F1233" s="2"/>
    </row>
    <row r="1234">
      <c r="A1234" s="2">
        <f>IFERROR(__xludf.DUMMYFUNCTION("""COMPUTED_VALUE"""),122347.0)</f>
        <v>122347</v>
      </c>
      <c r="B1234" s="2">
        <f>IFERROR(__xludf.DUMMYFUNCTION("""COMPUTED_VALUE"""),1.0)</f>
        <v>1</v>
      </c>
      <c r="C1234" s="2">
        <f>IFERROR(__xludf.DUMMYFUNCTION("""COMPUTED_VALUE"""),591.0)</f>
        <v>591</v>
      </c>
      <c r="D1234" s="3">
        <f>IFERROR(__xludf.DUMMYFUNCTION("""COMPUTED_VALUE"""),173.0)</f>
        <v>173</v>
      </c>
      <c r="E1234" s="2"/>
      <c r="F1234" s="2"/>
    </row>
    <row r="1235">
      <c r="A1235" s="2">
        <f>IFERROR(__xludf.DUMMYFUNCTION("""COMPUTED_VALUE"""),112462.0)</f>
        <v>112462</v>
      </c>
      <c r="B1235" s="2">
        <f>IFERROR(__xludf.DUMMYFUNCTION("""COMPUTED_VALUE"""),1.0)</f>
        <v>1</v>
      </c>
      <c r="C1235" s="2">
        <f>IFERROR(__xludf.DUMMYFUNCTION("""COMPUTED_VALUE"""),61.0)</f>
        <v>61</v>
      </c>
      <c r="D1235" s="3">
        <f>IFERROR(__xludf.DUMMYFUNCTION("""COMPUTED_VALUE"""),56.0)</f>
        <v>56</v>
      </c>
      <c r="E1235" s="2"/>
      <c r="F1235" s="2"/>
    </row>
    <row r="1236">
      <c r="A1236" s="2">
        <f>IFERROR(__xludf.DUMMYFUNCTION("""COMPUTED_VALUE"""),5636.0)</f>
        <v>5636</v>
      </c>
      <c r="B1236" s="2">
        <f>IFERROR(__xludf.DUMMYFUNCTION("""COMPUTED_VALUE"""),1.0)</f>
        <v>1</v>
      </c>
      <c r="C1236" s="2">
        <f>IFERROR(__xludf.DUMMYFUNCTION("""COMPUTED_VALUE"""),27.0)</f>
        <v>27</v>
      </c>
      <c r="D1236" s="3">
        <f>IFERROR(__xludf.DUMMYFUNCTION("""COMPUTED_VALUE"""),3.0)</f>
        <v>3</v>
      </c>
      <c r="E1236" s="2"/>
      <c r="F1236" s="2"/>
    </row>
    <row r="1237">
      <c r="A1237" s="2">
        <f>IFERROR(__xludf.DUMMYFUNCTION("""COMPUTED_VALUE"""),112464.0)</f>
        <v>112464</v>
      </c>
      <c r="B1237" s="2">
        <f>IFERROR(__xludf.DUMMYFUNCTION("""COMPUTED_VALUE"""),1.0)</f>
        <v>1</v>
      </c>
      <c r="C1237" s="2">
        <f>IFERROR(__xludf.DUMMYFUNCTION("""COMPUTED_VALUE"""),692.0)</f>
        <v>692</v>
      </c>
      <c r="D1237" s="3">
        <f>IFERROR(__xludf.DUMMYFUNCTION("""COMPUTED_VALUE"""),625.0)</f>
        <v>625</v>
      </c>
      <c r="E1237" s="2"/>
      <c r="F1237" s="2"/>
    </row>
    <row r="1238">
      <c r="A1238" s="2">
        <f>IFERROR(__xludf.DUMMYFUNCTION("""COMPUTED_VALUE"""),5639.0)</f>
        <v>5639</v>
      </c>
      <c r="B1238" s="2">
        <f>IFERROR(__xludf.DUMMYFUNCTION("""COMPUTED_VALUE"""),0.0)</f>
        <v>0</v>
      </c>
      <c r="C1238" s="2">
        <f>IFERROR(__xludf.DUMMYFUNCTION("""COMPUTED_VALUE"""),692.0)</f>
        <v>692</v>
      </c>
      <c r="D1238" s="3">
        <f>IFERROR(__xludf.DUMMYFUNCTION("""COMPUTED_VALUE"""),381.0)</f>
        <v>381</v>
      </c>
      <c r="E1238" s="2"/>
      <c r="F1238" s="2"/>
    </row>
    <row r="1239">
      <c r="A1239" s="2">
        <f>IFERROR(__xludf.DUMMYFUNCTION("""COMPUTED_VALUE"""),44147.0)</f>
        <v>44147</v>
      </c>
      <c r="B1239" s="2">
        <f>IFERROR(__xludf.DUMMYFUNCTION("""COMPUTED_VALUE"""),0.0)</f>
        <v>0</v>
      </c>
      <c r="C1239" s="2">
        <f>IFERROR(__xludf.DUMMYFUNCTION("""COMPUTED_VALUE"""),107.0)</f>
        <v>107</v>
      </c>
      <c r="D1239" s="3">
        <f>IFERROR(__xludf.DUMMYFUNCTION("""COMPUTED_VALUE"""),6.0)</f>
        <v>6</v>
      </c>
      <c r="E1239" s="2"/>
      <c r="F1239" s="2"/>
    </row>
    <row r="1240">
      <c r="A1240" s="2">
        <f>IFERROR(__xludf.DUMMYFUNCTION("""COMPUTED_VALUE"""),5638.0)</f>
        <v>5638</v>
      </c>
      <c r="B1240" s="2">
        <f>IFERROR(__xludf.DUMMYFUNCTION("""COMPUTED_VALUE"""),1.0)</f>
        <v>1</v>
      </c>
      <c r="C1240" s="2">
        <f>IFERROR(__xludf.DUMMYFUNCTION("""COMPUTED_VALUE"""),181.0)</f>
        <v>181</v>
      </c>
      <c r="D1240" s="3">
        <f>IFERROR(__xludf.DUMMYFUNCTION("""COMPUTED_VALUE"""),119.0)</f>
        <v>119</v>
      </c>
      <c r="E1240" s="2"/>
      <c r="F1240" s="2"/>
    </row>
    <row r="1241">
      <c r="A1241" s="2">
        <f>IFERROR(__xludf.DUMMYFUNCTION("""COMPUTED_VALUE"""),103074.0)</f>
        <v>103074</v>
      </c>
      <c r="B1241" s="2">
        <f>IFERROR(__xludf.DUMMYFUNCTION("""COMPUTED_VALUE"""),1.0)</f>
        <v>1</v>
      </c>
      <c r="C1241" s="2">
        <f>IFERROR(__xludf.DUMMYFUNCTION("""COMPUTED_VALUE"""),619.0)</f>
        <v>619</v>
      </c>
      <c r="D1241" s="3">
        <f>IFERROR(__xludf.DUMMYFUNCTION("""COMPUTED_VALUE"""),304.0)</f>
        <v>304</v>
      </c>
      <c r="E1241" s="2"/>
      <c r="F1241" s="2"/>
    </row>
    <row r="1242">
      <c r="A1242" s="2">
        <f>IFERROR(__xludf.DUMMYFUNCTION("""COMPUTED_VALUE"""),45913.0)</f>
        <v>45913</v>
      </c>
      <c r="B1242" s="2">
        <f>IFERROR(__xludf.DUMMYFUNCTION("""COMPUTED_VALUE"""),1.0)</f>
        <v>1</v>
      </c>
      <c r="C1242" s="2">
        <f>IFERROR(__xludf.DUMMYFUNCTION("""COMPUTED_VALUE"""),426.0)</f>
        <v>426</v>
      </c>
      <c r="D1242" s="3">
        <f>IFERROR(__xludf.DUMMYFUNCTION("""COMPUTED_VALUE"""),139.0)</f>
        <v>139</v>
      </c>
      <c r="E1242" s="2"/>
      <c r="F1242" s="2"/>
    </row>
    <row r="1243">
      <c r="A1243" s="2">
        <f>IFERROR(__xludf.DUMMYFUNCTION("""COMPUTED_VALUE"""),120044.0)</f>
        <v>120044</v>
      </c>
      <c r="B1243" s="2">
        <f>IFERROR(__xludf.DUMMYFUNCTION("""COMPUTED_VALUE"""),0.0)</f>
        <v>0</v>
      </c>
      <c r="C1243" s="2">
        <f>IFERROR(__xludf.DUMMYFUNCTION("""COMPUTED_VALUE"""),816.0)</f>
        <v>816</v>
      </c>
      <c r="D1243" s="3">
        <f>IFERROR(__xludf.DUMMYFUNCTION("""COMPUTED_VALUE"""),323.0)</f>
        <v>323</v>
      </c>
      <c r="E1243" s="2"/>
      <c r="F1243" s="2"/>
    </row>
    <row r="1244">
      <c r="A1244" s="2">
        <f>IFERROR(__xludf.DUMMYFUNCTION("""COMPUTED_VALUE"""),90973.0)</f>
        <v>90973</v>
      </c>
      <c r="B1244" s="2">
        <f>IFERROR(__xludf.DUMMYFUNCTION("""COMPUTED_VALUE"""),1.0)</f>
        <v>1</v>
      </c>
      <c r="C1244" s="2">
        <f>IFERROR(__xludf.DUMMYFUNCTION("""COMPUTED_VALUE"""),804.0)</f>
        <v>804</v>
      </c>
      <c r="D1244" s="3">
        <f>IFERROR(__xludf.DUMMYFUNCTION("""COMPUTED_VALUE"""),747.0)</f>
        <v>747</v>
      </c>
      <c r="E1244" s="2"/>
      <c r="F1244" s="2"/>
    </row>
    <row r="1245">
      <c r="A1245" s="2">
        <f>IFERROR(__xludf.DUMMYFUNCTION("""COMPUTED_VALUE"""),103830.0)</f>
        <v>103830</v>
      </c>
      <c r="B1245" s="2">
        <f>IFERROR(__xludf.DUMMYFUNCTION("""COMPUTED_VALUE"""),0.0)</f>
        <v>0</v>
      </c>
      <c r="C1245" s="2">
        <f>IFERROR(__xludf.DUMMYFUNCTION("""COMPUTED_VALUE"""),710.0)</f>
        <v>710</v>
      </c>
      <c r="D1245" s="3">
        <f>IFERROR(__xludf.DUMMYFUNCTION("""COMPUTED_VALUE"""),313.0)</f>
        <v>313</v>
      </c>
      <c r="E1245" s="2"/>
      <c r="F1245" s="2"/>
    </row>
    <row r="1246">
      <c r="A1246" s="2">
        <f>IFERROR(__xludf.DUMMYFUNCTION("""COMPUTED_VALUE"""),111765.0)</f>
        <v>111765</v>
      </c>
      <c r="B1246" s="2">
        <f>IFERROR(__xludf.DUMMYFUNCTION("""COMPUTED_VALUE"""),0.0)</f>
        <v>0</v>
      </c>
      <c r="C1246" s="2">
        <f>IFERROR(__xludf.DUMMYFUNCTION("""COMPUTED_VALUE"""),884.0)</f>
        <v>884</v>
      </c>
      <c r="D1246" s="3">
        <f>IFERROR(__xludf.DUMMYFUNCTION("""COMPUTED_VALUE"""),601.0)</f>
        <v>601</v>
      </c>
      <c r="E1246" s="2"/>
      <c r="F1246" s="2"/>
    </row>
    <row r="1247">
      <c r="A1247" s="2">
        <f>IFERROR(__xludf.DUMMYFUNCTION("""COMPUTED_VALUE"""),45952.0)</f>
        <v>45952</v>
      </c>
      <c r="B1247" s="2">
        <f>IFERROR(__xludf.DUMMYFUNCTION("""COMPUTED_VALUE"""),1.0)</f>
        <v>1</v>
      </c>
      <c r="C1247" s="2">
        <f>IFERROR(__xludf.DUMMYFUNCTION("""COMPUTED_VALUE"""),368.0)</f>
        <v>368</v>
      </c>
      <c r="D1247" s="3">
        <f>IFERROR(__xludf.DUMMYFUNCTION("""COMPUTED_VALUE"""),87.0)</f>
        <v>87</v>
      </c>
      <c r="E1247" s="2"/>
      <c r="F1247" s="2"/>
    </row>
    <row r="1248">
      <c r="A1248" s="2">
        <f>IFERROR(__xludf.DUMMYFUNCTION("""COMPUTED_VALUE"""),91749.0)</f>
        <v>91749</v>
      </c>
      <c r="B1248" s="2">
        <f>IFERROR(__xludf.DUMMYFUNCTION("""COMPUTED_VALUE"""),0.0)</f>
        <v>0</v>
      </c>
      <c r="C1248" s="2">
        <f>IFERROR(__xludf.DUMMYFUNCTION("""COMPUTED_VALUE"""),226.0)</f>
        <v>226</v>
      </c>
      <c r="D1248" s="3">
        <f>IFERROR(__xludf.DUMMYFUNCTION("""COMPUTED_VALUE"""),86.0)</f>
        <v>86</v>
      </c>
      <c r="E1248" s="2"/>
      <c r="F1248" s="2"/>
    </row>
    <row r="1249">
      <c r="A1249" s="2">
        <f>IFERROR(__xludf.DUMMYFUNCTION("""COMPUTED_VALUE"""),120040.0)</f>
        <v>120040</v>
      </c>
      <c r="B1249" s="2">
        <f>IFERROR(__xludf.DUMMYFUNCTION("""COMPUTED_VALUE"""),0.0)</f>
        <v>0</v>
      </c>
      <c r="C1249" s="2">
        <f>IFERROR(__xludf.DUMMYFUNCTION("""COMPUTED_VALUE"""),418.0)</f>
        <v>418</v>
      </c>
      <c r="D1249" s="3">
        <f>IFERROR(__xludf.DUMMYFUNCTION("""COMPUTED_VALUE"""),63.0)</f>
        <v>63</v>
      </c>
      <c r="E1249" s="2"/>
      <c r="F1249" s="2"/>
    </row>
    <row r="1250">
      <c r="A1250" s="2">
        <f>IFERROR(__xludf.DUMMYFUNCTION("""COMPUTED_VALUE"""),17143.0)</f>
        <v>17143</v>
      </c>
      <c r="B1250" s="2">
        <f>IFERROR(__xludf.DUMMYFUNCTION("""COMPUTED_VALUE"""),1.0)</f>
        <v>1</v>
      </c>
      <c r="C1250" s="2">
        <f>IFERROR(__xludf.DUMMYFUNCTION("""COMPUTED_VALUE"""),714.0)</f>
        <v>714</v>
      </c>
      <c r="D1250" s="3">
        <f>IFERROR(__xludf.DUMMYFUNCTION("""COMPUTED_VALUE"""),444.0)</f>
        <v>444</v>
      </c>
      <c r="E1250" s="2"/>
      <c r="F1250" s="2"/>
    </row>
    <row r="1251">
      <c r="A1251" s="2">
        <f>IFERROR(__xludf.DUMMYFUNCTION("""COMPUTED_VALUE"""),120515.0)</f>
        <v>120515</v>
      </c>
      <c r="B1251" s="2">
        <f>IFERROR(__xludf.DUMMYFUNCTION("""COMPUTED_VALUE"""),1.0)</f>
        <v>1</v>
      </c>
      <c r="C1251" s="2">
        <f>IFERROR(__xludf.DUMMYFUNCTION("""COMPUTED_VALUE"""),234.0)</f>
        <v>234</v>
      </c>
      <c r="D1251" s="3">
        <f>IFERROR(__xludf.DUMMYFUNCTION("""COMPUTED_VALUE"""),97.0)</f>
        <v>97</v>
      </c>
      <c r="E1251" s="2"/>
      <c r="F1251" s="2"/>
    </row>
    <row r="1252">
      <c r="A1252" s="2">
        <f>IFERROR(__xludf.DUMMYFUNCTION("""COMPUTED_VALUE"""),120045.0)</f>
        <v>120045</v>
      </c>
      <c r="B1252" s="2">
        <f>IFERROR(__xludf.DUMMYFUNCTION("""COMPUTED_VALUE"""),0.0)</f>
        <v>0</v>
      </c>
      <c r="C1252" s="2">
        <f>IFERROR(__xludf.DUMMYFUNCTION("""COMPUTED_VALUE"""),159.0)</f>
        <v>159</v>
      </c>
      <c r="D1252" s="3">
        <f>IFERROR(__xludf.DUMMYFUNCTION("""COMPUTED_VALUE"""),26.0)</f>
        <v>26</v>
      </c>
      <c r="E1252" s="2"/>
      <c r="F1252" s="2"/>
    </row>
    <row r="1253">
      <c r="A1253" s="2">
        <f>IFERROR(__xludf.DUMMYFUNCTION("""COMPUTED_VALUE"""),122268.0)</f>
        <v>122268</v>
      </c>
      <c r="B1253" s="2">
        <f>IFERROR(__xludf.DUMMYFUNCTION("""COMPUTED_VALUE"""),1.0)</f>
        <v>1</v>
      </c>
      <c r="C1253" s="2">
        <f>IFERROR(__xludf.DUMMYFUNCTION("""COMPUTED_VALUE"""),576.0)</f>
        <v>576</v>
      </c>
      <c r="D1253" s="3">
        <f>IFERROR(__xludf.DUMMYFUNCTION("""COMPUTED_VALUE"""),62.0)</f>
        <v>62</v>
      </c>
      <c r="E1253" s="2"/>
      <c r="F1253" s="2"/>
    </row>
    <row r="1254">
      <c r="A1254" s="2">
        <f>IFERROR(__xludf.DUMMYFUNCTION("""COMPUTED_VALUE"""),195737.0)</f>
        <v>195737</v>
      </c>
      <c r="B1254" s="2">
        <f>IFERROR(__xludf.DUMMYFUNCTION("""COMPUTED_VALUE"""),1.0)</f>
        <v>1</v>
      </c>
      <c r="C1254" s="2">
        <f>IFERROR(__xludf.DUMMYFUNCTION("""COMPUTED_VALUE"""),769.0)</f>
        <v>769</v>
      </c>
      <c r="D1254" s="3">
        <f>IFERROR(__xludf.DUMMYFUNCTION("""COMPUTED_VALUE"""),338.0)</f>
        <v>338</v>
      </c>
      <c r="E1254" s="2"/>
      <c r="F1254" s="2"/>
    </row>
    <row r="1255">
      <c r="A1255" s="2">
        <f>IFERROR(__xludf.DUMMYFUNCTION("""COMPUTED_VALUE"""),78759.0)</f>
        <v>78759</v>
      </c>
      <c r="B1255" s="2">
        <f>IFERROR(__xludf.DUMMYFUNCTION("""COMPUTED_VALUE"""),1.0)</f>
        <v>1</v>
      </c>
      <c r="C1255" s="2">
        <f>IFERROR(__xludf.DUMMYFUNCTION("""COMPUTED_VALUE"""),122.0)</f>
        <v>122</v>
      </c>
      <c r="D1255" s="3">
        <f>IFERROR(__xludf.DUMMYFUNCTION("""COMPUTED_VALUE"""),102.0)</f>
        <v>102</v>
      </c>
      <c r="E1255" s="2"/>
      <c r="F1255" s="2"/>
    </row>
    <row r="1256">
      <c r="A1256" s="2">
        <f>IFERROR(__xludf.DUMMYFUNCTION("""COMPUTED_VALUE"""),8857.0)</f>
        <v>8857</v>
      </c>
      <c r="B1256" s="2">
        <f>IFERROR(__xludf.DUMMYFUNCTION("""COMPUTED_VALUE"""),0.0)</f>
        <v>0</v>
      </c>
      <c r="C1256" s="2">
        <f>IFERROR(__xludf.DUMMYFUNCTION("""COMPUTED_VALUE"""),893.0)</f>
        <v>893</v>
      </c>
      <c r="D1256" s="3">
        <f>IFERROR(__xludf.DUMMYFUNCTION("""COMPUTED_VALUE"""),350.0)</f>
        <v>350</v>
      </c>
      <c r="E1256" s="2"/>
      <c r="F1256" s="2"/>
    </row>
    <row r="1257">
      <c r="A1257" s="2">
        <f>IFERROR(__xludf.DUMMYFUNCTION("""COMPUTED_VALUE"""),8860.0)</f>
        <v>8860</v>
      </c>
      <c r="B1257" s="2">
        <f>IFERROR(__xludf.DUMMYFUNCTION("""COMPUTED_VALUE"""),0.0)</f>
        <v>0</v>
      </c>
      <c r="C1257" s="2">
        <f>IFERROR(__xludf.DUMMYFUNCTION("""COMPUTED_VALUE"""),188.0)</f>
        <v>188</v>
      </c>
      <c r="D1257" s="3">
        <f>IFERROR(__xludf.DUMMYFUNCTION("""COMPUTED_VALUE"""),82.0)</f>
        <v>82</v>
      </c>
      <c r="E1257" s="2"/>
      <c r="F1257" s="2"/>
    </row>
    <row r="1258">
      <c r="A1258" s="2">
        <f>IFERROR(__xludf.DUMMYFUNCTION("""COMPUTED_VALUE"""),182790.0)</f>
        <v>182790</v>
      </c>
      <c r="B1258" s="2">
        <f>IFERROR(__xludf.DUMMYFUNCTION("""COMPUTED_VALUE"""),0.0)</f>
        <v>0</v>
      </c>
      <c r="C1258" s="2">
        <f>IFERROR(__xludf.DUMMYFUNCTION("""COMPUTED_VALUE"""),83.0)</f>
        <v>83</v>
      </c>
      <c r="D1258" s="3">
        <f>IFERROR(__xludf.DUMMYFUNCTION("""COMPUTED_VALUE"""),73.0)</f>
        <v>73</v>
      </c>
      <c r="E1258" s="2"/>
      <c r="F1258" s="2"/>
    </row>
    <row r="1259">
      <c r="A1259" s="2">
        <f>IFERROR(__xludf.DUMMYFUNCTION("""COMPUTED_VALUE"""),120042.0)</f>
        <v>120042</v>
      </c>
      <c r="B1259" s="2">
        <f>IFERROR(__xludf.DUMMYFUNCTION("""COMPUTED_VALUE"""),0.0)</f>
        <v>0</v>
      </c>
      <c r="C1259" s="2">
        <f>IFERROR(__xludf.DUMMYFUNCTION("""COMPUTED_VALUE"""),548.0)</f>
        <v>548</v>
      </c>
      <c r="D1259" s="3">
        <f>IFERROR(__xludf.DUMMYFUNCTION("""COMPUTED_VALUE"""),508.0)</f>
        <v>508</v>
      </c>
      <c r="E1259" s="2"/>
      <c r="F1259" s="2"/>
    </row>
    <row r="1260">
      <c r="A1260" s="2">
        <f>IFERROR(__xludf.DUMMYFUNCTION("""COMPUTED_VALUE"""),114941.0)</f>
        <v>114941</v>
      </c>
      <c r="B1260" s="2">
        <f>IFERROR(__xludf.DUMMYFUNCTION("""COMPUTED_VALUE"""),1.0)</f>
        <v>1</v>
      </c>
      <c r="C1260" s="2">
        <f>IFERROR(__xludf.DUMMYFUNCTION("""COMPUTED_VALUE"""),545.0)</f>
        <v>545</v>
      </c>
      <c r="D1260" s="3">
        <f>IFERROR(__xludf.DUMMYFUNCTION("""COMPUTED_VALUE"""),477.0)</f>
        <v>477</v>
      </c>
      <c r="E1260" s="2"/>
      <c r="F1260" s="2"/>
    </row>
    <row r="1261">
      <c r="A1261" s="2">
        <f>IFERROR(__xludf.DUMMYFUNCTION("""COMPUTED_VALUE"""),108473.0)</f>
        <v>108473</v>
      </c>
      <c r="B1261" s="2">
        <f>IFERROR(__xludf.DUMMYFUNCTION("""COMPUTED_VALUE"""),1.0)</f>
        <v>1</v>
      </c>
      <c r="C1261" s="2">
        <f>IFERROR(__xludf.DUMMYFUNCTION("""COMPUTED_VALUE"""),788.0)</f>
        <v>788</v>
      </c>
      <c r="D1261" s="3">
        <f>IFERROR(__xludf.DUMMYFUNCTION("""COMPUTED_VALUE"""),570.0)</f>
        <v>570</v>
      </c>
      <c r="E1261" s="2"/>
      <c r="F1261" s="2"/>
    </row>
    <row r="1262">
      <c r="A1262" s="2">
        <f>IFERROR(__xludf.DUMMYFUNCTION("""COMPUTED_VALUE"""),90968.0)</f>
        <v>90968</v>
      </c>
      <c r="B1262" s="2">
        <f>IFERROR(__xludf.DUMMYFUNCTION("""COMPUTED_VALUE"""),1.0)</f>
        <v>1</v>
      </c>
      <c r="C1262" s="2">
        <f>IFERROR(__xludf.DUMMYFUNCTION("""COMPUTED_VALUE"""),57.0)</f>
        <v>57</v>
      </c>
      <c r="D1262" s="3">
        <f>IFERROR(__xludf.DUMMYFUNCTION("""COMPUTED_VALUE"""),0.0)</f>
        <v>0</v>
      </c>
      <c r="E1262" s="2"/>
      <c r="F1262" s="2"/>
    </row>
    <row r="1263">
      <c r="A1263" s="2">
        <f>IFERROR(__xludf.DUMMYFUNCTION("""COMPUTED_VALUE"""),114929.0)</f>
        <v>114929</v>
      </c>
      <c r="B1263" s="2">
        <f>IFERROR(__xludf.DUMMYFUNCTION("""COMPUTED_VALUE"""),0.0)</f>
        <v>0</v>
      </c>
      <c r="C1263" s="2">
        <f>IFERROR(__xludf.DUMMYFUNCTION("""COMPUTED_VALUE"""),282.0)</f>
        <v>282</v>
      </c>
      <c r="D1263" s="3">
        <f>IFERROR(__xludf.DUMMYFUNCTION("""COMPUTED_VALUE"""),61.0)</f>
        <v>61</v>
      </c>
      <c r="E1263" s="2"/>
      <c r="F1263" s="2"/>
    </row>
    <row r="1264">
      <c r="A1264" s="2">
        <f>IFERROR(__xludf.DUMMYFUNCTION("""COMPUTED_VALUE"""),68868.0)</f>
        <v>68868</v>
      </c>
      <c r="B1264" s="2">
        <f>IFERROR(__xludf.DUMMYFUNCTION("""COMPUTED_VALUE"""),0.0)</f>
        <v>0</v>
      </c>
      <c r="C1264" s="2">
        <f>IFERROR(__xludf.DUMMYFUNCTION("""COMPUTED_VALUE"""),771.0)</f>
        <v>771</v>
      </c>
      <c r="D1264" s="3">
        <f>IFERROR(__xludf.DUMMYFUNCTION("""COMPUTED_VALUE"""),545.0)</f>
        <v>545</v>
      </c>
      <c r="E1264" s="2"/>
      <c r="F1264" s="2"/>
    </row>
    <row r="1265">
      <c r="A1265" s="2">
        <f>IFERROR(__xludf.DUMMYFUNCTION("""COMPUTED_VALUE"""),103831.0)</f>
        <v>103831</v>
      </c>
      <c r="B1265" s="2">
        <f>IFERROR(__xludf.DUMMYFUNCTION("""COMPUTED_VALUE"""),0.0)</f>
        <v>0</v>
      </c>
      <c r="C1265" s="2">
        <f>IFERROR(__xludf.DUMMYFUNCTION("""COMPUTED_VALUE"""),743.0)</f>
        <v>743</v>
      </c>
      <c r="D1265" s="3">
        <f>IFERROR(__xludf.DUMMYFUNCTION("""COMPUTED_VALUE"""),617.0)</f>
        <v>617</v>
      </c>
      <c r="E1265" s="2"/>
      <c r="F1265" s="2"/>
    </row>
    <row r="1266">
      <c r="A1266" s="2">
        <f>IFERROR(__xludf.DUMMYFUNCTION("""COMPUTED_VALUE"""),83272.0)</f>
        <v>83272</v>
      </c>
      <c r="B1266" s="2">
        <f>IFERROR(__xludf.DUMMYFUNCTION("""COMPUTED_VALUE"""),1.0)</f>
        <v>1</v>
      </c>
      <c r="C1266" s="2">
        <f>IFERROR(__xludf.DUMMYFUNCTION("""COMPUTED_VALUE"""),124.0)</f>
        <v>124</v>
      </c>
      <c r="D1266" s="3">
        <f>IFERROR(__xludf.DUMMYFUNCTION("""COMPUTED_VALUE"""),64.0)</f>
        <v>64</v>
      </c>
      <c r="E1266" s="2"/>
      <c r="F1266" s="2"/>
    </row>
    <row r="1267">
      <c r="A1267" s="2">
        <f>IFERROR(__xludf.DUMMYFUNCTION("""COMPUTED_VALUE"""),120046.0)</f>
        <v>120046</v>
      </c>
      <c r="B1267" s="2">
        <f>IFERROR(__xludf.DUMMYFUNCTION("""COMPUTED_VALUE"""),1.0)</f>
        <v>1</v>
      </c>
      <c r="C1267" s="2">
        <f>IFERROR(__xludf.DUMMYFUNCTION("""COMPUTED_VALUE"""),734.0)</f>
        <v>734</v>
      </c>
      <c r="D1267" s="3">
        <f>IFERROR(__xludf.DUMMYFUNCTION("""COMPUTED_VALUE"""),302.0)</f>
        <v>302</v>
      </c>
      <c r="E1267" s="2"/>
      <c r="F1267" s="2"/>
    </row>
    <row r="1268">
      <c r="A1268" s="2">
        <f>IFERROR(__xludf.DUMMYFUNCTION("""COMPUTED_VALUE"""),181989.0)</f>
        <v>181989</v>
      </c>
      <c r="B1268" s="2">
        <f>IFERROR(__xludf.DUMMYFUNCTION("""COMPUTED_VALUE"""),1.0)</f>
        <v>1</v>
      </c>
      <c r="C1268" s="2">
        <f>IFERROR(__xludf.DUMMYFUNCTION("""COMPUTED_VALUE"""),227.0)</f>
        <v>227</v>
      </c>
      <c r="D1268" s="3">
        <f>IFERROR(__xludf.DUMMYFUNCTION("""COMPUTED_VALUE"""),204.0)</f>
        <v>204</v>
      </c>
      <c r="E1268" s="2"/>
      <c r="F1268" s="2"/>
    </row>
    <row r="1269">
      <c r="A1269" s="2">
        <f>IFERROR(__xludf.DUMMYFUNCTION("""COMPUTED_VALUE"""),84359.0)</f>
        <v>84359</v>
      </c>
      <c r="B1269" s="2">
        <f>IFERROR(__xludf.DUMMYFUNCTION("""COMPUTED_VALUE"""),0.0)</f>
        <v>0</v>
      </c>
      <c r="C1269" s="2">
        <f>IFERROR(__xludf.DUMMYFUNCTION("""COMPUTED_VALUE"""),290.0)</f>
        <v>290</v>
      </c>
      <c r="D1269" s="3">
        <f>IFERROR(__xludf.DUMMYFUNCTION("""COMPUTED_VALUE"""),89.0)</f>
        <v>89</v>
      </c>
      <c r="E1269" s="2"/>
      <c r="F1269" s="2"/>
    </row>
    <row r="1270">
      <c r="A1270" s="2">
        <f>IFERROR(__xludf.DUMMYFUNCTION("""COMPUTED_VALUE"""),102939.0)</f>
        <v>102939</v>
      </c>
      <c r="B1270" s="2">
        <f>IFERROR(__xludf.DUMMYFUNCTION("""COMPUTED_VALUE"""),1.0)</f>
        <v>1</v>
      </c>
      <c r="C1270" s="2">
        <f>IFERROR(__xludf.DUMMYFUNCTION("""COMPUTED_VALUE"""),499.0)</f>
        <v>499</v>
      </c>
      <c r="D1270" s="3">
        <f>IFERROR(__xludf.DUMMYFUNCTION("""COMPUTED_VALUE"""),146.0)</f>
        <v>146</v>
      </c>
      <c r="E1270" s="2"/>
      <c r="F1270" s="2"/>
    </row>
    <row r="1271">
      <c r="A1271" s="2">
        <f>IFERROR(__xludf.DUMMYFUNCTION("""COMPUTED_VALUE"""),111504.0)</f>
        <v>111504</v>
      </c>
      <c r="B1271" s="2">
        <f>IFERROR(__xludf.DUMMYFUNCTION("""COMPUTED_VALUE"""),1.0)</f>
        <v>1</v>
      </c>
      <c r="C1271" s="2">
        <f>IFERROR(__xludf.DUMMYFUNCTION("""COMPUTED_VALUE"""),27.0)</f>
        <v>27</v>
      </c>
      <c r="D1271" s="3">
        <f>IFERROR(__xludf.DUMMYFUNCTION("""COMPUTED_VALUE"""),25.0)</f>
        <v>25</v>
      </c>
      <c r="E1271" s="2"/>
      <c r="F1271" s="2"/>
    </row>
    <row r="1272">
      <c r="A1272" s="2">
        <f>IFERROR(__xludf.DUMMYFUNCTION("""COMPUTED_VALUE"""),75678.0)</f>
        <v>75678</v>
      </c>
      <c r="B1272" s="2">
        <f>IFERROR(__xludf.DUMMYFUNCTION("""COMPUTED_VALUE"""),1.0)</f>
        <v>1</v>
      </c>
      <c r="C1272" s="2">
        <f>IFERROR(__xludf.DUMMYFUNCTION("""COMPUTED_VALUE"""),441.0)</f>
        <v>441</v>
      </c>
      <c r="D1272" s="3">
        <f>IFERROR(__xludf.DUMMYFUNCTION("""COMPUTED_VALUE"""),227.0)</f>
        <v>227</v>
      </c>
      <c r="E1272" s="2"/>
      <c r="F1272" s="2"/>
    </row>
    <row r="1273">
      <c r="A1273" s="2">
        <f>IFERROR(__xludf.DUMMYFUNCTION("""COMPUTED_VALUE"""),79005.0)</f>
        <v>79005</v>
      </c>
      <c r="B1273" s="2">
        <f>IFERROR(__xludf.DUMMYFUNCTION("""COMPUTED_VALUE"""),1.0)</f>
        <v>1</v>
      </c>
      <c r="C1273" s="2">
        <f>IFERROR(__xludf.DUMMYFUNCTION("""COMPUTED_VALUE"""),206.0)</f>
        <v>206</v>
      </c>
      <c r="D1273" s="3">
        <f>IFERROR(__xludf.DUMMYFUNCTION("""COMPUTED_VALUE"""),112.0)</f>
        <v>112</v>
      </c>
      <c r="E1273" s="2"/>
      <c r="F1273" s="2"/>
    </row>
    <row r="1274">
      <c r="A1274" s="2">
        <f>IFERROR(__xludf.DUMMYFUNCTION("""COMPUTED_VALUE"""),188360.0)</f>
        <v>188360</v>
      </c>
      <c r="B1274" s="2">
        <f>IFERROR(__xludf.DUMMYFUNCTION("""COMPUTED_VALUE"""),0.0)</f>
        <v>0</v>
      </c>
      <c r="C1274" s="2">
        <f>IFERROR(__xludf.DUMMYFUNCTION("""COMPUTED_VALUE"""),472.0)</f>
        <v>472</v>
      </c>
      <c r="D1274" s="3">
        <f>IFERROR(__xludf.DUMMYFUNCTION("""COMPUTED_VALUE"""),432.0)</f>
        <v>432</v>
      </c>
      <c r="E1274" s="2"/>
      <c r="F1274" s="2"/>
    </row>
    <row r="1275">
      <c r="A1275" s="2">
        <f>IFERROR(__xludf.DUMMYFUNCTION("""COMPUTED_VALUE"""),79695.0)</f>
        <v>79695</v>
      </c>
      <c r="B1275" s="2">
        <f>IFERROR(__xludf.DUMMYFUNCTION("""COMPUTED_VALUE"""),0.0)</f>
        <v>0</v>
      </c>
      <c r="C1275" s="2">
        <f>IFERROR(__xludf.DUMMYFUNCTION("""COMPUTED_VALUE"""),754.0)</f>
        <v>754</v>
      </c>
      <c r="D1275" s="3">
        <f>IFERROR(__xludf.DUMMYFUNCTION("""COMPUTED_VALUE"""),667.0)</f>
        <v>667</v>
      </c>
      <c r="E1275" s="2"/>
      <c r="F1275" s="2"/>
    </row>
    <row r="1276">
      <c r="A1276" s="2">
        <f>IFERROR(__xludf.DUMMYFUNCTION("""COMPUTED_VALUE"""),73768.0)</f>
        <v>73768</v>
      </c>
      <c r="B1276" s="2">
        <f>IFERROR(__xludf.DUMMYFUNCTION("""COMPUTED_VALUE"""),1.0)</f>
        <v>1</v>
      </c>
      <c r="C1276" s="2">
        <f>IFERROR(__xludf.DUMMYFUNCTION("""COMPUTED_VALUE"""),661.0)</f>
        <v>661</v>
      </c>
      <c r="D1276" s="3">
        <f>IFERROR(__xludf.DUMMYFUNCTION("""COMPUTED_VALUE"""),401.0)</f>
        <v>401</v>
      </c>
      <c r="E1276" s="2"/>
      <c r="F1276" s="2"/>
    </row>
    <row r="1277">
      <c r="A1277" s="2">
        <f>IFERROR(__xludf.DUMMYFUNCTION("""COMPUTED_VALUE"""),44663.0)</f>
        <v>44663</v>
      </c>
      <c r="B1277" s="2">
        <f>IFERROR(__xludf.DUMMYFUNCTION("""COMPUTED_VALUE"""),0.0)</f>
        <v>0</v>
      </c>
      <c r="C1277" s="2">
        <f>IFERROR(__xludf.DUMMYFUNCTION("""COMPUTED_VALUE"""),434.0)</f>
        <v>434</v>
      </c>
      <c r="D1277" s="3">
        <f>IFERROR(__xludf.DUMMYFUNCTION("""COMPUTED_VALUE"""),35.0)</f>
        <v>35</v>
      </c>
      <c r="E1277" s="2"/>
      <c r="F1277" s="2"/>
    </row>
    <row r="1278">
      <c r="A1278" s="2">
        <f>IFERROR(__xludf.DUMMYFUNCTION("""COMPUTED_VALUE"""),766.0)</f>
        <v>766</v>
      </c>
      <c r="B1278" s="2">
        <f>IFERROR(__xludf.DUMMYFUNCTION("""COMPUTED_VALUE"""),1.0)</f>
        <v>1</v>
      </c>
      <c r="C1278" s="2">
        <f>IFERROR(__xludf.DUMMYFUNCTION("""COMPUTED_VALUE"""),313.0)</f>
        <v>313</v>
      </c>
      <c r="D1278" s="3">
        <f>IFERROR(__xludf.DUMMYFUNCTION("""COMPUTED_VALUE"""),259.0)</f>
        <v>259</v>
      </c>
      <c r="E1278" s="2"/>
      <c r="F1278" s="2"/>
    </row>
    <row r="1279">
      <c r="A1279" s="2">
        <f>IFERROR(__xludf.DUMMYFUNCTION("""COMPUTED_VALUE"""),109961.0)</f>
        <v>109961</v>
      </c>
      <c r="B1279" s="2">
        <f>IFERROR(__xludf.DUMMYFUNCTION("""COMPUTED_VALUE"""),0.0)</f>
        <v>0</v>
      </c>
      <c r="C1279" s="2">
        <f>IFERROR(__xludf.DUMMYFUNCTION("""COMPUTED_VALUE"""),811.0)</f>
        <v>811</v>
      </c>
      <c r="D1279" s="3">
        <f>IFERROR(__xludf.DUMMYFUNCTION("""COMPUTED_VALUE"""),235.0)</f>
        <v>235</v>
      </c>
      <c r="E1279" s="2"/>
      <c r="F1279" s="2"/>
    </row>
    <row r="1280">
      <c r="A1280" s="2">
        <f>IFERROR(__xludf.DUMMYFUNCTION("""COMPUTED_VALUE"""),109932.0)</f>
        <v>109932</v>
      </c>
      <c r="B1280" s="2">
        <f>IFERROR(__xludf.DUMMYFUNCTION("""COMPUTED_VALUE"""),0.0)</f>
        <v>0</v>
      </c>
      <c r="C1280" s="2">
        <f>IFERROR(__xludf.DUMMYFUNCTION("""COMPUTED_VALUE"""),836.0)</f>
        <v>836</v>
      </c>
      <c r="D1280" s="3">
        <f>IFERROR(__xludf.DUMMYFUNCTION("""COMPUTED_VALUE"""),90.0)</f>
        <v>90</v>
      </c>
      <c r="E1280" s="2"/>
      <c r="F1280" s="2"/>
    </row>
    <row r="1281">
      <c r="A1281" s="2">
        <f>IFERROR(__xludf.DUMMYFUNCTION("""COMPUTED_VALUE"""),109956.0)</f>
        <v>109956</v>
      </c>
      <c r="B1281" s="2">
        <f>IFERROR(__xludf.DUMMYFUNCTION("""COMPUTED_VALUE"""),1.0)</f>
        <v>1</v>
      </c>
      <c r="C1281" s="2">
        <f>IFERROR(__xludf.DUMMYFUNCTION("""COMPUTED_VALUE"""),339.0)</f>
        <v>339</v>
      </c>
      <c r="D1281" s="3">
        <f>IFERROR(__xludf.DUMMYFUNCTION("""COMPUTED_VALUE"""),75.0)</f>
        <v>75</v>
      </c>
      <c r="E1281" s="2"/>
      <c r="F1281" s="2"/>
    </row>
    <row r="1282">
      <c r="A1282" s="2">
        <f>IFERROR(__xludf.DUMMYFUNCTION("""COMPUTED_VALUE"""),109962.0)</f>
        <v>109962</v>
      </c>
      <c r="B1282" s="2">
        <f>IFERROR(__xludf.DUMMYFUNCTION("""COMPUTED_VALUE"""),1.0)</f>
        <v>1</v>
      </c>
      <c r="C1282" s="2">
        <f>IFERROR(__xludf.DUMMYFUNCTION("""COMPUTED_VALUE"""),286.0)</f>
        <v>286</v>
      </c>
      <c r="D1282" s="3">
        <f>IFERROR(__xludf.DUMMYFUNCTION("""COMPUTED_VALUE"""),122.0)</f>
        <v>122</v>
      </c>
      <c r="E1282" s="2"/>
      <c r="F1282" s="2"/>
    </row>
    <row r="1283">
      <c r="A1283" s="2">
        <f>IFERROR(__xludf.DUMMYFUNCTION("""COMPUTED_VALUE"""),101622.0)</f>
        <v>101622</v>
      </c>
      <c r="B1283" s="2">
        <f>IFERROR(__xludf.DUMMYFUNCTION("""COMPUTED_VALUE"""),1.0)</f>
        <v>1</v>
      </c>
      <c r="C1283" s="2">
        <f>IFERROR(__xludf.DUMMYFUNCTION("""COMPUTED_VALUE"""),765.0)</f>
        <v>765</v>
      </c>
      <c r="D1283" s="3">
        <f>IFERROR(__xludf.DUMMYFUNCTION("""COMPUTED_VALUE"""),661.0)</f>
        <v>661</v>
      </c>
      <c r="E1283" s="2"/>
      <c r="F1283" s="2"/>
    </row>
    <row r="1284">
      <c r="A1284" s="2">
        <f>IFERROR(__xludf.DUMMYFUNCTION("""COMPUTED_VALUE"""),101623.0)</f>
        <v>101623</v>
      </c>
      <c r="B1284" s="2">
        <f>IFERROR(__xludf.DUMMYFUNCTION("""COMPUTED_VALUE"""),1.0)</f>
        <v>1</v>
      </c>
      <c r="C1284" s="2">
        <f>IFERROR(__xludf.DUMMYFUNCTION("""COMPUTED_VALUE"""),947.0)</f>
        <v>947</v>
      </c>
      <c r="D1284" s="3">
        <f>IFERROR(__xludf.DUMMYFUNCTION("""COMPUTED_VALUE"""),599.0)</f>
        <v>599</v>
      </c>
      <c r="E1284" s="2"/>
      <c r="F1284" s="2"/>
    </row>
    <row r="1285">
      <c r="A1285" s="2">
        <f>IFERROR(__xludf.DUMMYFUNCTION("""COMPUTED_VALUE"""),4513.0)</f>
        <v>4513</v>
      </c>
      <c r="B1285" s="2">
        <f>IFERROR(__xludf.DUMMYFUNCTION("""COMPUTED_VALUE"""),1.0)</f>
        <v>1</v>
      </c>
      <c r="C1285" s="2">
        <f>IFERROR(__xludf.DUMMYFUNCTION("""COMPUTED_VALUE"""),526.0)</f>
        <v>526</v>
      </c>
      <c r="D1285" s="3">
        <f>IFERROR(__xludf.DUMMYFUNCTION("""COMPUTED_VALUE"""),395.0)</f>
        <v>395</v>
      </c>
      <c r="E1285" s="2"/>
      <c r="F1285" s="2"/>
    </row>
    <row r="1286">
      <c r="A1286" s="2">
        <f>IFERROR(__xludf.DUMMYFUNCTION("""COMPUTED_VALUE"""),24648.0)</f>
        <v>24648</v>
      </c>
      <c r="B1286" s="2">
        <f>IFERROR(__xludf.DUMMYFUNCTION("""COMPUTED_VALUE"""),0.0)</f>
        <v>0</v>
      </c>
      <c r="C1286" s="2">
        <f>IFERROR(__xludf.DUMMYFUNCTION("""COMPUTED_VALUE"""),598.0)</f>
        <v>598</v>
      </c>
      <c r="D1286" s="3">
        <f>IFERROR(__xludf.DUMMYFUNCTION("""COMPUTED_VALUE"""),144.0)</f>
        <v>144</v>
      </c>
      <c r="E1286" s="2"/>
      <c r="F1286" s="2"/>
    </row>
    <row r="1287">
      <c r="A1287" s="2">
        <f>IFERROR(__xludf.DUMMYFUNCTION("""COMPUTED_VALUE"""),16386.0)</f>
        <v>16386</v>
      </c>
      <c r="B1287" s="2">
        <f>IFERROR(__xludf.DUMMYFUNCTION("""COMPUTED_VALUE"""),1.0)</f>
        <v>1</v>
      </c>
      <c r="C1287" s="2">
        <f>IFERROR(__xludf.DUMMYFUNCTION("""COMPUTED_VALUE"""),26.0)</f>
        <v>26</v>
      </c>
      <c r="D1287" s="3">
        <f>IFERROR(__xludf.DUMMYFUNCTION("""COMPUTED_VALUE"""),14.0)</f>
        <v>14</v>
      </c>
      <c r="E1287" s="2"/>
      <c r="F1287" s="2"/>
    </row>
    <row r="1288">
      <c r="A1288" s="2">
        <f>IFERROR(__xludf.DUMMYFUNCTION("""COMPUTED_VALUE"""),16383.0)</f>
        <v>16383</v>
      </c>
      <c r="B1288" s="2">
        <f>IFERROR(__xludf.DUMMYFUNCTION("""COMPUTED_VALUE"""),1.0)</f>
        <v>1</v>
      </c>
      <c r="C1288" s="2">
        <f>IFERROR(__xludf.DUMMYFUNCTION("""COMPUTED_VALUE"""),876.0)</f>
        <v>876</v>
      </c>
      <c r="D1288" s="3">
        <f>IFERROR(__xludf.DUMMYFUNCTION("""COMPUTED_VALUE"""),641.0)</f>
        <v>641</v>
      </c>
      <c r="E1288" s="2"/>
      <c r="F1288" s="2"/>
    </row>
    <row r="1289">
      <c r="A1289" s="2">
        <f>IFERROR(__xludf.DUMMYFUNCTION("""COMPUTED_VALUE"""),113588.0)</f>
        <v>113588</v>
      </c>
      <c r="B1289" s="2">
        <f>IFERROR(__xludf.DUMMYFUNCTION("""COMPUTED_VALUE"""),1.0)</f>
        <v>1</v>
      </c>
      <c r="C1289" s="2">
        <f>IFERROR(__xludf.DUMMYFUNCTION("""COMPUTED_VALUE"""),679.0)</f>
        <v>679</v>
      </c>
      <c r="D1289" s="3">
        <f>IFERROR(__xludf.DUMMYFUNCTION("""COMPUTED_VALUE"""),376.0)</f>
        <v>376</v>
      </c>
      <c r="E1289" s="2"/>
      <c r="F1289" s="2"/>
    </row>
    <row r="1290">
      <c r="A1290" s="2">
        <f>IFERROR(__xludf.DUMMYFUNCTION("""COMPUTED_VALUE"""),99392.0)</f>
        <v>99392</v>
      </c>
      <c r="B1290" s="2">
        <f>IFERROR(__xludf.DUMMYFUNCTION("""COMPUTED_VALUE"""),0.0)</f>
        <v>0</v>
      </c>
      <c r="C1290" s="2">
        <f>IFERROR(__xludf.DUMMYFUNCTION("""COMPUTED_VALUE"""),671.0)</f>
        <v>671</v>
      </c>
      <c r="D1290" s="3">
        <f>IFERROR(__xludf.DUMMYFUNCTION("""COMPUTED_VALUE"""),328.0)</f>
        <v>328</v>
      </c>
      <c r="E1290" s="2"/>
      <c r="F1290" s="2"/>
    </row>
    <row r="1291">
      <c r="A1291" s="2">
        <f>IFERROR(__xludf.DUMMYFUNCTION("""COMPUTED_VALUE"""),99412.0)</f>
        <v>99412</v>
      </c>
      <c r="B1291" s="2">
        <f>IFERROR(__xludf.DUMMYFUNCTION("""COMPUTED_VALUE"""),1.0)</f>
        <v>1</v>
      </c>
      <c r="C1291" s="2">
        <f>IFERROR(__xludf.DUMMYFUNCTION("""COMPUTED_VALUE"""),954.0)</f>
        <v>954</v>
      </c>
      <c r="D1291" s="3">
        <f>IFERROR(__xludf.DUMMYFUNCTION("""COMPUTED_VALUE"""),853.0)</f>
        <v>853</v>
      </c>
      <c r="E1291" s="2"/>
      <c r="F1291" s="2"/>
    </row>
    <row r="1292">
      <c r="A1292" s="2">
        <f>IFERROR(__xludf.DUMMYFUNCTION("""COMPUTED_VALUE"""),25306.0)</f>
        <v>25306</v>
      </c>
      <c r="B1292" s="2">
        <f>IFERROR(__xludf.DUMMYFUNCTION("""COMPUTED_VALUE"""),0.0)</f>
        <v>0</v>
      </c>
      <c r="C1292" s="2">
        <f>IFERROR(__xludf.DUMMYFUNCTION("""COMPUTED_VALUE"""),233.0)</f>
        <v>233</v>
      </c>
      <c r="D1292" s="3">
        <f>IFERROR(__xludf.DUMMYFUNCTION("""COMPUTED_VALUE"""),182.0)</f>
        <v>182</v>
      </c>
      <c r="E1292" s="2"/>
      <c r="F1292" s="2"/>
    </row>
    <row r="1293">
      <c r="A1293" s="2">
        <f>IFERROR(__xludf.DUMMYFUNCTION("""COMPUTED_VALUE"""),99399.0)</f>
        <v>99399</v>
      </c>
      <c r="B1293" s="2">
        <f>IFERROR(__xludf.DUMMYFUNCTION("""COMPUTED_VALUE"""),0.0)</f>
        <v>0</v>
      </c>
      <c r="C1293" s="2">
        <f>IFERROR(__xludf.DUMMYFUNCTION("""COMPUTED_VALUE"""),97.0)</f>
        <v>97</v>
      </c>
      <c r="D1293" s="3">
        <f>IFERROR(__xludf.DUMMYFUNCTION("""COMPUTED_VALUE"""),1.0)</f>
        <v>1</v>
      </c>
      <c r="E1293" s="2"/>
      <c r="F1293" s="2"/>
    </row>
    <row r="1294">
      <c r="A1294" s="2">
        <f>IFERROR(__xludf.DUMMYFUNCTION("""COMPUTED_VALUE"""),25304.0)</f>
        <v>25304</v>
      </c>
      <c r="B1294" s="2">
        <f>IFERROR(__xludf.DUMMYFUNCTION("""COMPUTED_VALUE"""),0.0)</f>
        <v>0</v>
      </c>
      <c r="C1294" s="2">
        <f>IFERROR(__xludf.DUMMYFUNCTION("""COMPUTED_VALUE"""),464.0)</f>
        <v>464</v>
      </c>
      <c r="D1294" s="3">
        <f>IFERROR(__xludf.DUMMYFUNCTION("""COMPUTED_VALUE"""),367.0)</f>
        <v>367</v>
      </c>
      <c r="E1294" s="2"/>
      <c r="F1294" s="2"/>
    </row>
    <row r="1295">
      <c r="A1295" s="2">
        <f>IFERROR(__xludf.DUMMYFUNCTION("""COMPUTED_VALUE"""),99400.0)</f>
        <v>99400</v>
      </c>
      <c r="B1295" s="2">
        <f>IFERROR(__xludf.DUMMYFUNCTION("""COMPUTED_VALUE"""),1.0)</f>
        <v>1</v>
      </c>
      <c r="C1295" s="2">
        <f>IFERROR(__xludf.DUMMYFUNCTION("""COMPUTED_VALUE"""),892.0)</f>
        <v>892</v>
      </c>
      <c r="D1295" s="3">
        <f>IFERROR(__xludf.DUMMYFUNCTION("""COMPUTED_VALUE"""),289.0)</f>
        <v>289</v>
      </c>
      <c r="E1295" s="2"/>
      <c r="F1295" s="2"/>
    </row>
    <row r="1296">
      <c r="A1296" s="2">
        <f>IFERROR(__xludf.DUMMYFUNCTION("""COMPUTED_VALUE"""),80484.0)</f>
        <v>80484</v>
      </c>
      <c r="B1296" s="2">
        <f>IFERROR(__xludf.DUMMYFUNCTION("""COMPUTED_VALUE"""),1.0)</f>
        <v>1</v>
      </c>
      <c r="C1296" s="2">
        <f>IFERROR(__xludf.DUMMYFUNCTION("""COMPUTED_VALUE"""),122.0)</f>
        <v>122</v>
      </c>
      <c r="D1296" s="3">
        <f>IFERROR(__xludf.DUMMYFUNCTION("""COMPUTED_VALUE"""),14.0)</f>
        <v>14</v>
      </c>
      <c r="E1296" s="2"/>
      <c r="F1296" s="2"/>
    </row>
    <row r="1297">
      <c r="A1297" s="2">
        <f>IFERROR(__xludf.DUMMYFUNCTION("""COMPUTED_VALUE"""),14477.0)</f>
        <v>14477</v>
      </c>
      <c r="B1297" s="2">
        <f>IFERROR(__xludf.DUMMYFUNCTION("""COMPUTED_VALUE"""),1.0)</f>
        <v>1</v>
      </c>
      <c r="C1297" s="2">
        <f>IFERROR(__xludf.DUMMYFUNCTION("""COMPUTED_VALUE"""),417.0)</f>
        <v>417</v>
      </c>
      <c r="D1297" s="3">
        <f>IFERROR(__xludf.DUMMYFUNCTION("""COMPUTED_VALUE"""),84.0)</f>
        <v>84</v>
      </c>
      <c r="E1297" s="2"/>
      <c r="F1297" s="2"/>
    </row>
    <row r="1298">
      <c r="A1298" s="2">
        <f>IFERROR(__xludf.DUMMYFUNCTION("""COMPUTED_VALUE"""),95056.0)</f>
        <v>95056</v>
      </c>
      <c r="B1298" s="2">
        <f>IFERROR(__xludf.DUMMYFUNCTION("""COMPUTED_VALUE"""),0.0)</f>
        <v>0</v>
      </c>
      <c r="C1298" s="2">
        <f>IFERROR(__xludf.DUMMYFUNCTION("""COMPUTED_VALUE"""),149.0)</f>
        <v>149</v>
      </c>
      <c r="D1298" s="3">
        <f>IFERROR(__xludf.DUMMYFUNCTION("""COMPUTED_VALUE"""),75.0)</f>
        <v>75</v>
      </c>
      <c r="E1298" s="2"/>
      <c r="F1298" s="2"/>
    </row>
    <row r="1299">
      <c r="A1299" s="2">
        <f>IFERROR(__xludf.DUMMYFUNCTION("""COMPUTED_VALUE"""),78519.0)</f>
        <v>78519</v>
      </c>
      <c r="B1299" s="2">
        <f>IFERROR(__xludf.DUMMYFUNCTION("""COMPUTED_VALUE"""),0.0)</f>
        <v>0</v>
      </c>
      <c r="C1299" s="2">
        <f>IFERROR(__xludf.DUMMYFUNCTION("""COMPUTED_VALUE"""),349.0)</f>
        <v>349</v>
      </c>
      <c r="D1299" s="3">
        <f>IFERROR(__xludf.DUMMYFUNCTION("""COMPUTED_VALUE"""),159.0)</f>
        <v>159</v>
      </c>
      <c r="E1299" s="2"/>
      <c r="F1299" s="2"/>
    </row>
    <row r="1300">
      <c r="A1300" s="2">
        <f>IFERROR(__xludf.DUMMYFUNCTION("""COMPUTED_VALUE"""),90377.0)</f>
        <v>90377</v>
      </c>
      <c r="B1300" s="2">
        <f>IFERROR(__xludf.DUMMYFUNCTION("""COMPUTED_VALUE"""),0.0)</f>
        <v>0</v>
      </c>
      <c r="C1300" s="2">
        <f>IFERROR(__xludf.DUMMYFUNCTION("""COMPUTED_VALUE"""),42.0)</f>
        <v>42</v>
      </c>
      <c r="D1300" s="3">
        <f>IFERROR(__xludf.DUMMYFUNCTION("""COMPUTED_VALUE"""),18.0)</f>
        <v>18</v>
      </c>
      <c r="E1300" s="2"/>
      <c r="F1300" s="2"/>
    </row>
    <row r="1301">
      <c r="A1301" s="2">
        <f>IFERROR(__xludf.DUMMYFUNCTION("""COMPUTED_VALUE"""),90375.0)</f>
        <v>90375</v>
      </c>
      <c r="B1301" s="2">
        <f>IFERROR(__xludf.DUMMYFUNCTION("""COMPUTED_VALUE"""),1.0)</f>
        <v>1</v>
      </c>
      <c r="C1301" s="2">
        <f>IFERROR(__xludf.DUMMYFUNCTION("""COMPUTED_VALUE"""),663.0)</f>
        <v>663</v>
      </c>
      <c r="D1301" s="3">
        <f>IFERROR(__xludf.DUMMYFUNCTION("""COMPUTED_VALUE"""),271.0)</f>
        <v>271</v>
      </c>
      <c r="E1301" s="2"/>
      <c r="F1301" s="2"/>
    </row>
    <row r="1302">
      <c r="A1302" s="2">
        <f>IFERROR(__xludf.DUMMYFUNCTION("""COMPUTED_VALUE"""),112073.0)</f>
        <v>112073</v>
      </c>
      <c r="B1302" s="2">
        <f>IFERROR(__xludf.DUMMYFUNCTION("""COMPUTED_VALUE"""),1.0)</f>
        <v>1</v>
      </c>
      <c r="C1302" s="2">
        <f>IFERROR(__xludf.DUMMYFUNCTION("""COMPUTED_VALUE"""),117.0)</f>
        <v>117</v>
      </c>
      <c r="D1302" s="3">
        <f>IFERROR(__xludf.DUMMYFUNCTION("""COMPUTED_VALUE"""),46.0)</f>
        <v>46</v>
      </c>
      <c r="E1302" s="2"/>
      <c r="F1302" s="2"/>
    </row>
    <row r="1303">
      <c r="A1303" s="2">
        <f>IFERROR(__xludf.DUMMYFUNCTION("""COMPUTED_VALUE"""),101339.0)</f>
        <v>101339</v>
      </c>
      <c r="B1303" s="2">
        <f>IFERROR(__xludf.DUMMYFUNCTION("""COMPUTED_VALUE"""),1.0)</f>
        <v>1</v>
      </c>
      <c r="C1303" s="2">
        <f>IFERROR(__xludf.DUMMYFUNCTION("""COMPUTED_VALUE"""),527.0)</f>
        <v>527</v>
      </c>
      <c r="D1303" s="3">
        <f>IFERROR(__xludf.DUMMYFUNCTION("""COMPUTED_VALUE"""),506.0)</f>
        <v>506</v>
      </c>
      <c r="E1303" s="2"/>
      <c r="F1303" s="2"/>
    </row>
    <row r="1304">
      <c r="A1304" s="2">
        <f>IFERROR(__xludf.DUMMYFUNCTION("""COMPUTED_VALUE"""),92421.0)</f>
        <v>92421</v>
      </c>
      <c r="B1304" s="2">
        <f>IFERROR(__xludf.DUMMYFUNCTION("""COMPUTED_VALUE"""),1.0)</f>
        <v>1</v>
      </c>
      <c r="C1304" s="2">
        <f>IFERROR(__xludf.DUMMYFUNCTION("""COMPUTED_VALUE"""),617.0)</f>
        <v>617</v>
      </c>
      <c r="D1304" s="3">
        <f>IFERROR(__xludf.DUMMYFUNCTION("""COMPUTED_VALUE"""),428.0)</f>
        <v>428</v>
      </c>
      <c r="E1304" s="2"/>
      <c r="F1304" s="2"/>
    </row>
    <row r="1305">
      <c r="A1305" s="2">
        <f>IFERROR(__xludf.DUMMYFUNCTION("""COMPUTED_VALUE"""),112079.0)</f>
        <v>112079</v>
      </c>
      <c r="B1305" s="2">
        <f>IFERROR(__xludf.DUMMYFUNCTION("""COMPUTED_VALUE"""),0.0)</f>
        <v>0</v>
      </c>
      <c r="C1305" s="2">
        <f>IFERROR(__xludf.DUMMYFUNCTION("""COMPUTED_VALUE"""),102.0)</f>
        <v>102</v>
      </c>
      <c r="D1305" s="3">
        <f>IFERROR(__xludf.DUMMYFUNCTION("""COMPUTED_VALUE"""),95.0)</f>
        <v>95</v>
      </c>
      <c r="E1305" s="2"/>
      <c r="F1305" s="2"/>
    </row>
    <row r="1306">
      <c r="A1306" s="2">
        <f>IFERROR(__xludf.DUMMYFUNCTION("""COMPUTED_VALUE"""),44716.0)</f>
        <v>44716</v>
      </c>
      <c r="B1306" s="2">
        <f>IFERROR(__xludf.DUMMYFUNCTION("""COMPUTED_VALUE"""),0.0)</f>
        <v>0</v>
      </c>
      <c r="C1306" s="2">
        <f>IFERROR(__xludf.DUMMYFUNCTION("""COMPUTED_VALUE"""),609.0)</f>
        <v>609</v>
      </c>
      <c r="D1306" s="3">
        <f>IFERROR(__xludf.DUMMYFUNCTION("""COMPUTED_VALUE"""),63.0)</f>
        <v>63</v>
      </c>
      <c r="E1306" s="2"/>
      <c r="F1306" s="2"/>
    </row>
    <row r="1307">
      <c r="A1307" s="2">
        <f>IFERROR(__xludf.DUMMYFUNCTION("""COMPUTED_VALUE"""),89640.0)</f>
        <v>89640</v>
      </c>
      <c r="B1307" s="2">
        <f>IFERROR(__xludf.DUMMYFUNCTION("""COMPUTED_VALUE"""),1.0)</f>
        <v>1</v>
      </c>
      <c r="C1307" s="2">
        <f>IFERROR(__xludf.DUMMYFUNCTION("""COMPUTED_VALUE"""),566.0)</f>
        <v>566</v>
      </c>
      <c r="D1307" s="3">
        <f>IFERROR(__xludf.DUMMYFUNCTION("""COMPUTED_VALUE"""),195.0)</f>
        <v>195</v>
      </c>
      <c r="E1307" s="2"/>
      <c r="F1307" s="2"/>
    </row>
    <row r="1308">
      <c r="A1308" s="2">
        <f>IFERROR(__xludf.DUMMYFUNCTION("""COMPUTED_VALUE"""),112072.0)</f>
        <v>112072</v>
      </c>
      <c r="B1308" s="2">
        <f>IFERROR(__xludf.DUMMYFUNCTION("""COMPUTED_VALUE"""),1.0)</f>
        <v>1</v>
      </c>
      <c r="C1308" s="2">
        <f>IFERROR(__xludf.DUMMYFUNCTION("""COMPUTED_VALUE"""),108.0)</f>
        <v>108</v>
      </c>
      <c r="D1308" s="3">
        <f>IFERROR(__xludf.DUMMYFUNCTION("""COMPUTED_VALUE"""),11.0)</f>
        <v>11</v>
      </c>
      <c r="E1308" s="2"/>
      <c r="F1308" s="2"/>
    </row>
    <row r="1309">
      <c r="A1309" s="2">
        <f>IFERROR(__xludf.DUMMYFUNCTION("""COMPUTED_VALUE"""),112991.0)</f>
        <v>112991</v>
      </c>
      <c r="B1309" s="2">
        <f>IFERROR(__xludf.DUMMYFUNCTION("""COMPUTED_VALUE"""),1.0)</f>
        <v>1</v>
      </c>
      <c r="C1309" s="2">
        <f>IFERROR(__xludf.DUMMYFUNCTION("""COMPUTED_VALUE"""),307.0)</f>
        <v>307</v>
      </c>
      <c r="D1309" s="3">
        <f>IFERROR(__xludf.DUMMYFUNCTION("""COMPUTED_VALUE"""),282.0)</f>
        <v>282</v>
      </c>
      <c r="E1309" s="2"/>
      <c r="F1309" s="2"/>
    </row>
    <row r="1310">
      <c r="A1310" s="2">
        <f>IFERROR(__xludf.DUMMYFUNCTION("""COMPUTED_VALUE"""),101587.0)</f>
        <v>101587</v>
      </c>
      <c r="B1310" s="2">
        <f>IFERROR(__xludf.DUMMYFUNCTION("""COMPUTED_VALUE"""),1.0)</f>
        <v>1</v>
      </c>
      <c r="C1310" s="2">
        <f>IFERROR(__xludf.DUMMYFUNCTION("""COMPUTED_VALUE"""),491.0)</f>
        <v>491</v>
      </c>
      <c r="D1310" s="3">
        <f>IFERROR(__xludf.DUMMYFUNCTION("""COMPUTED_VALUE"""),253.0)</f>
        <v>253</v>
      </c>
      <c r="E1310" s="2"/>
      <c r="F1310" s="2"/>
    </row>
    <row r="1311">
      <c r="A1311" s="2">
        <f>IFERROR(__xludf.DUMMYFUNCTION("""COMPUTED_VALUE"""),10525.0)</f>
        <v>10525</v>
      </c>
      <c r="B1311" s="2">
        <f>IFERROR(__xludf.DUMMYFUNCTION("""COMPUTED_VALUE"""),0.0)</f>
        <v>0</v>
      </c>
      <c r="C1311" s="2">
        <f>IFERROR(__xludf.DUMMYFUNCTION("""COMPUTED_VALUE"""),575.0)</f>
        <v>575</v>
      </c>
      <c r="D1311" s="3">
        <f>IFERROR(__xludf.DUMMYFUNCTION("""COMPUTED_VALUE"""),105.0)</f>
        <v>105</v>
      </c>
      <c r="E1311" s="2"/>
      <c r="F1311" s="2"/>
    </row>
    <row r="1312">
      <c r="A1312" s="2">
        <f>IFERROR(__xludf.DUMMYFUNCTION("""COMPUTED_VALUE"""),121349.0)</f>
        <v>121349</v>
      </c>
      <c r="B1312" s="2">
        <f>IFERROR(__xludf.DUMMYFUNCTION("""COMPUTED_VALUE"""),1.0)</f>
        <v>1</v>
      </c>
      <c r="C1312" s="2">
        <f>IFERROR(__xludf.DUMMYFUNCTION("""COMPUTED_VALUE"""),173.0)</f>
        <v>173</v>
      </c>
      <c r="D1312" s="3">
        <f>IFERROR(__xludf.DUMMYFUNCTION("""COMPUTED_VALUE"""),118.0)</f>
        <v>118</v>
      </c>
      <c r="E1312" s="2"/>
      <c r="F1312" s="2"/>
    </row>
    <row r="1313">
      <c r="A1313" s="2">
        <f>IFERROR(__xludf.DUMMYFUNCTION("""COMPUTED_VALUE"""),127811.0)</f>
        <v>127811</v>
      </c>
      <c r="B1313" s="2">
        <f>IFERROR(__xludf.DUMMYFUNCTION("""COMPUTED_VALUE"""),1.0)</f>
        <v>1</v>
      </c>
      <c r="C1313" s="2">
        <f>IFERROR(__xludf.DUMMYFUNCTION("""COMPUTED_VALUE"""),429.0)</f>
        <v>429</v>
      </c>
      <c r="D1313" s="3">
        <f>IFERROR(__xludf.DUMMYFUNCTION("""COMPUTED_VALUE"""),353.0)</f>
        <v>353</v>
      </c>
      <c r="E1313" s="2"/>
      <c r="F1313" s="2"/>
    </row>
    <row r="1314">
      <c r="A1314" s="2">
        <f>IFERROR(__xludf.DUMMYFUNCTION("""COMPUTED_VALUE"""),81507.0)</f>
        <v>81507</v>
      </c>
      <c r="B1314" s="2">
        <f>IFERROR(__xludf.DUMMYFUNCTION("""COMPUTED_VALUE"""),1.0)</f>
        <v>1</v>
      </c>
      <c r="C1314" s="2">
        <f>IFERROR(__xludf.DUMMYFUNCTION("""COMPUTED_VALUE"""),50.0)</f>
        <v>50</v>
      </c>
      <c r="D1314" s="3">
        <f>IFERROR(__xludf.DUMMYFUNCTION("""COMPUTED_VALUE"""),4.0)</f>
        <v>4</v>
      </c>
      <c r="E1314" s="2"/>
      <c r="F1314" s="2"/>
    </row>
    <row r="1315">
      <c r="A1315" s="2">
        <f>IFERROR(__xludf.DUMMYFUNCTION("""COMPUTED_VALUE"""),78412.0)</f>
        <v>78412</v>
      </c>
      <c r="B1315" s="2">
        <f>IFERROR(__xludf.DUMMYFUNCTION("""COMPUTED_VALUE"""),0.0)</f>
        <v>0</v>
      </c>
      <c r="C1315" s="2">
        <f>IFERROR(__xludf.DUMMYFUNCTION("""COMPUTED_VALUE"""),931.0)</f>
        <v>931</v>
      </c>
      <c r="D1315" s="3">
        <f>IFERROR(__xludf.DUMMYFUNCTION("""COMPUTED_VALUE"""),796.0)</f>
        <v>796</v>
      </c>
      <c r="E1315" s="2"/>
      <c r="F1315" s="2"/>
    </row>
    <row r="1316">
      <c r="A1316" s="2">
        <f>IFERROR(__xludf.DUMMYFUNCTION("""COMPUTED_VALUE"""),109312.0)</f>
        <v>109312</v>
      </c>
      <c r="B1316" s="2">
        <f>IFERROR(__xludf.DUMMYFUNCTION("""COMPUTED_VALUE"""),0.0)</f>
        <v>0</v>
      </c>
      <c r="C1316" s="2">
        <f>IFERROR(__xludf.DUMMYFUNCTION("""COMPUTED_VALUE"""),457.0)</f>
        <v>457</v>
      </c>
      <c r="D1316" s="3">
        <f>IFERROR(__xludf.DUMMYFUNCTION("""COMPUTED_VALUE"""),450.0)</f>
        <v>450</v>
      </c>
      <c r="E1316" s="2"/>
      <c r="F1316" s="2"/>
    </row>
    <row r="1317">
      <c r="A1317" s="2">
        <f>IFERROR(__xludf.DUMMYFUNCTION("""COMPUTED_VALUE"""),78502.0)</f>
        <v>78502</v>
      </c>
      <c r="B1317" s="2">
        <f>IFERROR(__xludf.DUMMYFUNCTION("""COMPUTED_VALUE"""),1.0)</f>
        <v>1</v>
      </c>
      <c r="C1317" s="2">
        <f>IFERROR(__xludf.DUMMYFUNCTION("""COMPUTED_VALUE"""),975.0)</f>
        <v>975</v>
      </c>
      <c r="D1317" s="3">
        <f>IFERROR(__xludf.DUMMYFUNCTION("""COMPUTED_VALUE"""),934.0)</f>
        <v>934</v>
      </c>
      <c r="E1317" s="2"/>
      <c r="F1317" s="2"/>
    </row>
    <row r="1318">
      <c r="A1318" s="2">
        <f>IFERROR(__xludf.DUMMYFUNCTION("""COMPUTED_VALUE"""),111498.0)</f>
        <v>111498</v>
      </c>
      <c r="B1318" s="2">
        <f>IFERROR(__xludf.DUMMYFUNCTION("""COMPUTED_VALUE"""),0.0)</f>
        <v>0</v>
      </c>
      <c r="C1318" s="2">
        <f>IFERROR(__xludf.DUMMYFUNCTION("""COMPUTED_VALUE"""),877.0)</f>
        <v>877</v>
      </c>
      <c r="D1318" s="3">
        <f>IFERROR(__xludf.DUMMYFUNCTION("""COMPUTED_VALUE"""),476.0)</f>
        <v>476</v>
      </c>
      <c r="E1318" s="2"/>
      <c r="F1318" s="2"/>
    </row>
    <row r="1319">
      <c r="A1319" s="2">
        <f>IFERROR(__xludf.DUMMYFUNCTION("""COMPUTED_VALUE"""),87242.0)</f>
        <v>87242</v>
      </c>
      <c r="B1319" s="2">
        <f>IFERROR(__xludf.DUMMYFUNCTION("""COMPUTED_VALUE"""),0.0)</f>
        <v>0</v>
      </c>
      <c r="C1319" s="2">
        <f>IFERROR(__xludf.DUMMYFUNCTION("""COMPUTED_VALUE"""),757.0)</f>
        <v>757</v>
      </c>
      <c r="D1319" s="3">
        <f>IFERROR(__xludf.DUMMYFUNCTION("""COMPUTED_VALUE"""),548.0)</f>
        <v>548</v>
      </c>
      <c r="E1319" s="2"/>
      <c r="F1319" s="2"/>
    </row>
    <row r="1320">
      <c r="A1320" s="2">
        <f>IFERROR(__xludf.DUMMYFUNCTION("""COMPUTED_VALUE"""),139286.0)</f>
        <v>139286</v>
      </c>
      <c r="B1320" s="2">
        <f>IFERROR(__xludf.DUMMYFUNCTION("""COMPUTED_VALUE"""),1.0)</f>
        <v>1</v>
      </c>
      <c r="C1320" s="2">
        <f>IFERROR(__xludf.DUMMYFUNCTION("""COMPUTED_VALUE"""),197.0)</f>
        <v>197</v>
      </c>
      <c r="D1320" s="3">
        <f>IFERROR(__xludf.DUMMYFUNCTION("""COMPUTED_VALUE"""),117.0)</f>
        <v>117</v>
      </c>
      <c r="E1320" s="2"/>
      <c r="F1320" s="2"/>
    </row>
    <row r="1321">
      <c r="A1321" s="2">
        <f>IFERROR(__xludf.DUMMYFUNCTION("""COMPUTED_VALUE"""),10524.0)</f>
        <v>10524</v>
      </c>
      <c r="B1321" s="2">
        <f>IFERROR(__xludf.DUMMYFUNCTION("""COMPUTED_VALUE"""),0.0)</f>
        <v>0</v>
      </c>
      <c r="C1321" s="2">
        <f>IFERROR(__xludf.DUMMYFUNCTION("""COMPUTED_VALUE"""),64.0)</f>
        <v>64</v>
      </c>
      <c r="D1321" s="3">
        <f>IFERROR(__xludf.DUMMYFUNCTION("""COMPUTED_VALUE"""),1.0)</f>
        <v>1</v>
      </c>
      <c r="E1321" s="2"/>
      <c r="F1321" s="2"/>
    </row>
    <row r="1322">
      <c r="A1322" s="2">
        <f>IFERROR(__xludf.DUMMYFUNCTION("""COMPUTED_VALUE"""),78397.0)</f>
        <v>78397</v>
      </c>
      <c r="B1322" s="2">
        <f>IFERROR(__xludf.DUMMYFUNCTION("""COMPUTED_VALUE"""),1.0)</f>
        <v>1</v>
      </c>
      <c r="C1322" s="2">
        <f>IFERROR(__xludf.DUMMYFUNCTION("""COMPUTED_VALUE"""),839.0)</f>
        <v>839</v>
      </c>
      <c r="D1322" s="3">
        <f>IFERROR(__xludf.DUMMYFUNCTION("""COMPUTED_VALUE"""),826.0)</f>
        <v>826</v>
      </c>
      <c r="E1322" s="2"/>
      <c r="F1322" s="2"/>
    </row>
    <row r="1323">
      <c r="A1323" s="2">
        <f>IFERROR(__xludf.DUMMYFUNCTION("""COMPUTED_VALUE"""),78421.0)</f>
        <v>78421</v>
      </c>
      <c r="B1323" s="2">
        <f>IFERROR(__xludf.DUMMYFUNCTION("""COMPUTED_VALUE"""),0.0)</f>
        <v>0</v>
      </c>
      <c r="C1323" s="2">
        <f>IFERROR(__xludf.DUMMYFUNCTION("""COMPUTED_VALUE"""),363.0)</f>
        <v>363</v>
      </c>
      <c r="D1323" s="3">
        <f>IFERROR(__xludf.DUMMYFUNCTION("""COMPUTED_VALUE"""),119.0)</f>
        <v>119</v>
      </c>
      <c r="E1323" s="2"/>
      <c r="F1323" s="2"/>
    </row>
    <row r="1324">
      <c r="A1324" s="2">
        <f>IFERROR(__xludf.DUMMYFUNCTION("""COMPUTED_VALUE"""),23420.0)</f>
        <v>23420</v>
      </c>
      <c r="B1324" s="2">
        <f>IFERROR(__xludf.DUMMYFUNCTION("""COMPUTED_VALUE"""),1.0)</f>
        <v>1</v>
      </c>
      <c r="C1324" s="2">
        <f>IFERROR(__xludf.DUMMYFUNCTION("""COMPUTED_VALUE"""),151.0)</f>
        <v>151</v>
      </c>
      <c r="D1324" s="3">
        <f>IFERROR(__xludf.DUMMYFUNCTION("""COMPUTED_VALUE"""),83.0)</f>
        <v>83</v>
      </c>
      <c r="E1324" s="2"/>
      <c r="F1324" s="2"/>
    </row>
    <row r="1325">
      <c r="A1325" s="2">
        <f>IFERROR(__xludf.DUMMYFUNCTION("""COMPUTED_VALUE"""),78498.0)</f>
        <v>78498</v>
      </c>
      <c r="B1325" s="2">
        <f>IFERROR(__xludf.DUMMYFUNCTION("""COMPUTED_VALUE"""),1.0)</f>
        <v>1</v>
      </c>
      <c r="C1325" s="2">
        <f>IFERROR(__xludf.DUMMYFUNCTION("""COMPUTED_VALUE"""),925.0)</f>
        <v>925</v>
      </c>
      <c r="D1325" s="3">
        <f>IFERROR(__xludf.DUMMYFUNCTION("""COMPUTED_VALUE"""),599.0)</f>
        <v>599</v>
      </c>
      <c r="E1325" s="2"/>
      <c r="F1325" s="2"/>
    </row>
    <row r="1326">
      <c r="A1326" s="2">
        <f>IFERROR(__xludf.DUMMYFUNCTION("""COMPUTED_VALUE"""),78427.0)</f>
        <v>78427</v>
      </c>
      <c r="B1326" s="2">
        <f>IFERROR(__xludf.DUMMYFUNCTION("""COMPUTED_VALUE"""),0.0)</f>
        <v>0</v>
      </c>
      <c r="C1326" s="2">
        <f>IFERROR(__xludf.DUMMYFUNCTION("""COMPUTED_VALUE"""),846.0)</f>
        <v>846</v>
      </c>
      <c r="D1326" s="3">
        <f>IFERROR(__xludf.DUMMYFUNCTION("""COMPUTED_VALUE"""),563.0)</f>
        <v>563</v>
      </c>
      <c r="E1326" s="2"/>
      <c r="F1326" s="2"/>
    </row>
    <row r="1327">
      <c r="A1327" s="2">
        <f>IFERROR(__xludf.DUMMYFUNCTION("""COMPUTED_VALUE"""),119256.0)</f>
        <v>119256</v>
      </c>
      <c r="B1327" s="2">
        <f>IFERROR(__xludf.DUMMYFUNCTION("""COMPUTED_VALUE"""),0.0)</f>
        <v>0</v>
      </c>
      <c r="C1327" s="2">
        <f>IFERROR(__xludf.DUMMYFUNCTION("""COMPUTED_VALUE"""),186.0)</f>
        <v>186</v>
      </c>
      <c r="D1327" s="3">
        <f>IFERROR(__xludf.DUMMYFUNCTION("""COMPUTED_VALUE"""),85.0)</f>
        <v>85</v>
      </c>
      <c r="E1327" s="2"/>
      <c r="F1327" s="2"/>
    </row>
    <row r="1328">
      <c r="A1328" s="2">
        <f>IFERROR(__xludf.DUMMYFUNCTION("""COMPUTED_VALUE"""),44731.0)</f>
        <v>44731</v>
      </c>
      <c r="B1328" s="2">
        <f>IFERROR(__xludf.DUMMYFUNCTION("""COMPUTED_VALUE"""),1.0)</f>
        <v>1</v>
      </c>
      <c r="C1328" s="2">
        <f>IFERROR(__xludf.DUMMYFUNCTION("""COMPUTED_VALUE"""),702.0)</f>
        <v>702</v>
      </c>
      <c r="D1328" s="3">
        <f>IFERROR(__xludf.DUMMYFUNCTION("""COMPUTED_VALUE"""),605.0)</f>
        <v>605</v>
      </c>
      <c r="E1328" s="2"/>
      <c r="F1328" s="2"/>
    </row>
    <row r="1329">
      <c r="A1329" s="2">
        <f>IFERROR(__xludf.DUMMYFUNCTION("""COMPUTED_VALUE"""),86852.0)</f>
        <v>86852</v>
      </c>
      <c r="B1329" s="2">
        <f>IFERROR(__xludf.DUMMYFUNCTION("""COMPUTED_VALUE"""),0.0)</f>
        <v>0</v>
      </c>
      <c r="C1329" s="2">
        <f>IFERROR(__xludf.DUMMYFUNCTION("""COMPUTED_VALUE"""),855.0)</f>
        <v>855</v>
      </c>
      <c r="D1329" s="3">
        <f>IFERROR(__xludf.DUMMYFUNCTION("""COMPUTED_VALUE"""),317.0)</f>
        <v>317</v>
      </c>
      <c r="E1329" s="2"/>
      <c r="F1329" s="2"/>
    </row>
    <row r="1330">
      <c r="A1330" s="2">
        <f>IFERROR(__xludf.DUMMYFUNCTION("""COMPUTED_VALUE"""),103137.0)</f>
        <v>103137</v>
      </c>
      <c r="B1330" s="2">
        <f>IFERROR(__xludf.DUMMYFUNCTION("""COMPUTED_VALUE"""),0.0)</f>
        <v>0</v>
      </c>
      <c r="C1330" s="2">
        <f>IFERROR(__xludf.DUMMYFUNCTION("""COMPUTED_VALUE"""),666.0)</f>
        <v>666</v>
      </c>
      <c r="D1330" s="3">
        <f>IFERROR(__xludf.DUMMYFUNCTION("""COMPUTED_VALUE"""),163.0)</f>
        <v>163</v>
      </c>
      <c r="E1330" s="2"/>
      <c r="F1330" s="2"/>
    </row>
    <row r="1331">
      <c r="A1331" s="2">
        <f>IFERROR(__xludf.DUMMYFUNCTION("""COMPUTED_VALUE"""),95079.0)</f>
        <v>95079</v>
      </c>
      <c r="B1331" s="2">
        <f>IFERROR(__xludf.DUMMYFUNCTION("""COMPUTED_VALUE"""),0.0)</f>
        <v>0</v>
      </c>
      <c r="C1331" s="2">
        <f>IFERROR(__xludf.DUMMYFUNCTION("""COMPUTED_VALUE"""),236.0)</f>
        <v>236</v>
      </c>
      <c r="D1331" s="3">
        <f>IFERROR(__xludf.DUMMYFUNCTION("""COMPUTED_VALUE"""),219.0)</f>
        <v>219</v>
      </c>
      <c r="E1331" s="2"/>
      <c r="F1331" s="2"/>
    </row>
    <row r="1332">
      <c r="A1332" s="2">
        <f>IFERROR(__xludf.DUMMYFUNCTION("""COMPUTED_VALUE"""),121568.0)</f>
        <v>121568</v>
      </c>
      <c r="B1332" s="2">
        <f>IFERROR(__xludf.DUMMYFUNCTION("""COMPUTED_VALUE"""),1.0)</f>
        <v>1</v>
      </c>
      <c r="C1332" s="2">
        <f>IFERROR(__xludf.DUMMYFUNCTION("""COMPUTED_VALUE"""),514.0)</f>
        <v>514</v>
      </c>
      <c r="D1332" s="3">
        <f>IFERROR(__xludf.DUMMYFUNCTION("""COMPUTED_VALUE"""),365.0)</f>
        <v>365</v>
      </c>
      <c r="E1332" s="2"/>
      <c r="F1332" s="2"/>
    </row>
    <row r="1333">
      <c r="A1333" s="2">
        <f>IFERROR(__xludf.DUMMYFUNCTION("""COMPUTED_VALUE"""),89645.0)</f>
        <v>89645</v>
      </c>
      <c r="B1333" s="2">
        <f>IFERROR(__xludf.DUMMYFUNCTION("""COMPUTED_VALUE"""),0.0)</f>
        <v>0</v>
      </c>
      <c r="C1333" s="2">
        <f>IFERROR(__xludf.DUMMYFUNCTION("""COMPUTED_VALUE"""),33.0)</f>
        <v>33</v>
      </c>
      <c r="D1333" s="3">
        <f>IFERROR(__xludf.DUMMYFUNCTION("""COMPUTED_VALUE"""),17.0)</f>
        <v>17</v>
      </c>
      <c r="E1333" s="2"/>
      <c r="F1333" s="2"/>
    </row>
    <row r="1334">
      <c r="A1334" s="2">
        <f>IFERROR(__xludf.DUMMYFUNCTION("""COMPUTED_VALUE"""),44691.0)</f>
        <v>44691</v>
      </c>
      <c r="B1334" s="2">
        <f>IFERROR(__xludf.DUMMYFUNCTION("""COMPUTED_VALUE"""),0.0)</f>
        <v>0</v>
      </c>
      <c r="C1334" s="2">
        <f>IFERROR(__xludf.DUMMYFUNCTION("""COMPUTED_VALUE"""),32.0)</f>
        <v>32</v>
      </c>
      <c r="D1334" s="3">
        <f>IFERROR(__xludf.DUMMYFUNCTION("""COMPUTED_VALUE"""),11.0)</f>
        <v>11</v>
      </c>
      <c r="E1334" s="2"/>
      <c r="F1334" s="2"/>
    </row>
    <row r="1335">
      <c r="A1335" s="2">
        <f>IFERROR(__xludf.DUMMYFUNCTION("""COMPUTED_VALUE"""),94055.0)</f>
        <v>94055</v>
      </c>
      <c r="B1335" s="2">
        <f>IFERROR(__xludf.DUMMYFUNCTION("""COMPUTED_VALUE"""),0.0)</f>
        <v>0</v>
      </c>
      <c r="C1335" s="2">
        <f>IFERROR(__xludf.DUMMYFUNCTION("""COMPUTED_VALUE"""),169.0)</f>
        <v>169</v>
      </c>
      <c r="D1335" s="3">
        <f>IFERROR(__xludf.DUMMYFUNCTION("""COMPUTED_VALUE"""),60.0)</f>
        <v>60</v>
      </c>
      <c r="E1335" s="2"/>
      <c r="F1335" s="2"/>
    </row>
    <row r="1336">
      <c r="A1336" s="2">
        <f>IFERROR(__xludf.DUMMYFUNCTION("""COMPUTED_VALUE"""),101586.0)</f>
        <v>101586</v>
      </c>
      <c r="B1336" s="2">
        <f>IFERROR(__xludf.DUMMYFUNCTION("""COMPUTED_VALUE"""),1.0)</f>
        <v>1</v>
      </c>
      <c r="C1336" s="2">
        <f>IFERROR(__xludf.DUMMYFUNCTION("""COMPUTED_VALUE"""),258.0)</f>
        <v>258</v>
      </c>
      <c r="D1336" s="3">
        <f>IFERROR(__xludf.DUMMYFUNCTION("""COMPUTED_VALUE"""),149.0)</f>
        <v>149</v>
      </c>
      <c r="E1336" s="2"/>
      <c r="F1336" s="2"/>
    </row>
    <row r="1337">
      <c r="A1337" s="2">
        <f>IFERROR(__xludf.DUMMYFUNCTION("""COMPUTED_VALUE"""),106731.0)</f>
        <v>106731</v>
      </c>
      <c r="B1337" s="2">
        <f>IFERROR(__xludf.DUMMYFUNCTION("""COMPUTED_VALUE"""),0.0)</f>
        <v>0</v>
      </c>
      <c r="C1337" s="2">
        <f>IFERROR(__xludf.DUMMYFUNCTION("""COMPUTED_VALUE"""),360.0)</f>
        <v>360</v>
      </c>
      <c r="D1337" s="3">
        <f>IFERROR(__xludf.DUMMYFUNCTION("""COMPUTED_VALUE"""),256.0)</f>
        <v>256</v>
      </c>
      <c r="E1337" s="2"/>
      <c r="F1337" s="2"/>
    </row>
    <row r="1338">
      <c r="A1338" s="2">
        <f>IFERROR(__xludf.DUMMYFUNCTION("""COMPUTED_VALUE"""),87072.0)</f>
        <v>87072</v>
      </c>
      <c r="B1338" s="2">
        <f>IFERROR(__xludf.DUMMYFUNCTION("""COMPUTED_VALUE"""),0.0)</f>
        <v>0</v>
      </c>
      <c r="C1338" s="2">
        <f>IFERROR(__xludf.DUMMYFUNCTION("""COMPUTED_VALUE"""),226.0)</f>
        <v>226</v>
      </c>
      <c r="D1338" s="3">
        <f>IFERROR(__xludf.DUMMYFUNCTION("""COMPUTED_VALUE"""),93.0)</f>
        <v>93</v>
      </c>
      <c r="E1338" s="2"/>
      <c r="F1338" s="2"/>
    </row>
    <row r="1339">
      <c r="A1339" s="2">
        <f>IFERROR(__xludf.DUMMYFUNCTION("""COMPUTED_VALUE"""),44711.0)</f>
        <v>44711</v>
      </c>
      <c r="B1339" s="2">
        <f>IFERROR(__xludf.DUMMYFUNCTION("""COMPUTED_VALUE"""),0.0)</f>
        <v>0</v>
      </c>
      <c r="C1339" s="2">
        <f>IFERROR(__xludf.DUMMYFUNCTION("""COMPUTED_VALUE"""),167.0)</f>
        <v>167</v>
      </c>
      <c r="D1339" s="3">
        <f>IFERROR(__xludf.DUMMYFUNCTION("""COMPUTED_VALUE"""),119.0)</f>
        <v>119</v>
      </c>
      <c r="E1339" s="2"/>
      <c r="F1339" s="2"/>
    </row>
    <row r="1340">
      <c r="A1340" s="2">
        <f>IFERROR(__xludf.DUMMYFUNCTION("""COMPUTED_VALUE"""),78428.0)</f>
        <v>78428</v>
      </c>
      <c r="B1340" s="2">
        <f>IFERROR(__xludf.DUMMYFUNCTION("""COMPUTED_VALUE"""),0.0)</f>
        <v>0</v>
      </c>
      <c r="C1340" s="2">
        <f>IFERROR(__xludf.DUMMYFUNCTION("""COMPUTED_VALUE"""),579.0)</f>
        <v>579</v>
      </c>
      <c r="D1340" s="3">
        <f>IFERROR(__xludf.DUMMYFUNCTION("""COMPUTED_VALUE"""),559.0)</f>
        <v>559</v>
      </c>
      <c r="E1340" s="2"/>
      <c r="F1340" s="2"/>
    </row>
    <row r="1341">
      <c r="A1341" s="2">
        <f>IFERROR(__xludf.DUMMYFUNCTION("""COMPUTED_VALUE"""),10531.0)</f>
        <v>10531</v>
      </c>
      <c r="B1341" s="2">
        <f>IFERROR(__xludf.DUMMYFUNCTION("""COMPUTED_VALUE"""),1.0)</f>
        <v>1</v>
      </c>
      <c r="C1341" s="2">
        <f>IFERROR(__xludf.DUMMYFUNCTION("""COMPUTED_VALUE"""),937.0)</f>
        <v>937</v>
      </c>
      <c r="D1341" s="3">
        <f>IFERROR(__xludf.DUMMYFUNCTION("""COMPUTED_VALUE"""),45.0)</f>
        <v>45</v>
      </c>
      <c r="E1341" s="2"/>
      <c r="F1341" s="2"/>
    </row>
    <row r="1342">
      <c r="A1342" s="2">
        <f>IFERROR(__xludf.DUMMYFUNCTION("""COMPUTED_VALUE"""),158475.0)</f>
        <v>158475</v>
      </c>
      <c r="B1342" s="2">
        <f>IFERROR(__xludf.DUMMYFUNCTION("""COMPUTED_VALUE"""),0.0)</f>
        <v>0</v>
      </c>
      <c r="C1342" s="2">
        <f>IFERROR(__xludf.DUMMYFUNCTION("""COMPUTED_VALUE"""),372.0)</f>
        <v>372</v>
      </c>
      <c r="D1342" s="3">
        <f>IFERROR(__xludf.DUMMYFUNCTION("""COMPUTED_VALUE"""),327.0)</f>
        <v>327</v>
      </c>
      <c r="E1342" s="2"/>
      <c r="F1342" s="2"/>
    </row>
    <row r="1343">
      <c r="A1343" s="2">
        <f>IFERROR(__xludf.DUMMYFUNCTION("""COMPUTED_VALUE"""),89633.0)</f>
        <v>89633</v>
      </c>
      <c r="B1343" s="2">
        <f>IFERROR(__xludf.DUMMYFUNCTION("""COMPUTED_VALUE"""),1.0)</f>
        <v>1</v>
      </c>
      <c r="C1343" s="2">
        <f>IFERROR(__xludf.DUMMYFUNCTION("""COMPUTED_VALUE"""),492.0)</f>
        <v>492</v>
      </c>
      <c r="D1343" s="3">
        <f>IFERROR(__xludf.DUMMYFUNCTION("""COMPUTED_VALUE"""),492.0)</f>
        <v>492</v>
      </c>
      <c r="E1343" s="2"/>
      <c r="F1343" s="2"/>
    </row>
    <row r="1344">
      <c r="A1344" s="2">
        <f>IFERROR(__xludf.DUMMYFUNCTION("""COMPUTED_VALUE"""),86836.0)</f>
        <v>86836</v>
      </c>
      <c r="B1344" s="2">
        <f>IFERROR(__xludf.DUMMYFUNCTION("""COMPUTED_VALUE"""),1.0)</f>
        <v>1</v>
      </c>
      <c r="C1344" s="2">
        <f>IFERROR(__xludf.DUMMYFUNCTION("""COMPUTED_VALUE"""),45.0)</f>
        <v>45</v>
      </c>
      <c r="D1344" s="3">
        <f>IFERROR(__xludf.DUMMYFUNCTION("""COMPUTED_VALUE"""),28.0)</f>
        <v>28</v>
      </c>
      <c r="E1344" s="2"/>
      <c r="F1344" s="2"/>
    </row>
    <row r="1345">
      <c r="A1345" s="2">
        <f>IFERROR(__xludf.DUMMYFUNCTION("""COMPUTED_VALUE"""),44698.0)</f>
        <v>44698</v>
      </c>
      <c r="B1345" s="2">
        <f>IFERROR(__xludf.DUMMYFUNCTION("""COMPUTED_VALUE"""),0.0)</f>
        <v>0</v>
      </c>
      <c r="C1345" s="2">
        <f>IFERROR(__xludf.DUMMYFUNCTION("""COMPUTED_VALUE"""),984.0)</f>
        <v>984</v>
      </c>
      <c r="D1345" s="3">
        <f>IFERROR(__xludf.DUMMYFUNCTION("""COMPUTED_VALUE"""),61.0)</f>
        <v>61</v>
      </c>
      <c r="E1345" s="2"/>
      <c r="F1345" s="2"/>
    </row>
    <row r="1346">
      <c r="A1346" s="2">
        <f>IFERROR(__xludf.DUMMYFUNCTION("""COMPUTED_VALUE"""),127870.0)</f>
        <v>127870</v>
      </c>
      <c r="B1346" s="2">
        <f>IFERROR(__xludf.DUMMYFUNCTION("""COMPUTED_VALUE"""),1.0)</f>
        <v>1</v>
      </c>
      <c r="C1346" s="2">
        <f>IFERROR(__xludf.DUMMYFUNCTION("""COMPUTED_VALUE"""),187.0)</f>
        <v>187</v>
      </c>
      <c r="D1346" s="3">
        <f>IFERROR(__xludf.DUMMYFUNCTION("""COMPUTED_VALUE"""),121.0)</f>
        <v>121</v>
      </c>
      <c r="E1346" s="2"/>
      <c r="F1346" s="2"/>
    </row>
    <row r="1347">
      <c r="A1347" s="2">
        <f>IFERROR(__xludf.DUMMYFUNCTION("""COMPUTED_VALUE"""),141891.0)</f>
        <v>141891</v>
      </c>
      <c r="B1347" s="2">
        <f>IFERROR(__xludf.DUMMYFUNCTION("""COMPUTED_VALUE"""),1.0)</f>
        <v>1</v>
      </c>
      <c r="C1347" s="2">
        <f>IFERROR(__xludf.DUMMYFUNCTION("""COMPUTED_VALUE"""),877.0)</f>
        <v>877</v>
      </c>
      <c r="D1347" s="3">
        <f>IFERROR(__xludf.DUMMYFUNCTION("""COMPUTED_VALUE"""),289.0)</f>
        <v>289</v>
      </c>
      <c r="E1347" s="2"/>
      <c r="F1347" s="2"/>
    </row>
    <row r="1348">
      <c r="A1348" s="2">
        <f>IFERROR(__xludf.DUMMYFUNCTION("""COMPUTED_VALUE"""),78426.0)</f>
        <v>78426</v>
      </c>
      <c r="B1348" s="2">
        <f>IFERROR(__xludf.DUMMYFUNCTION("""COMPUTED_VALUE"""),1.0)</f>
        <v>1</v>
      </c>
      <c r="C1348" s="2">
        <f>IFERROR(__xludf.DUMMYFUNCTION("""COMPUTED_VALUE"""),968.0)</f>
        <v>968</v>
      </c>
      <c r="D1348" s="3">
        <f>IFERROR(__xludf.DUMMYFUNCTION("""COMPUTED_VALUE"""),551.0)</f>
        <v>551</v>
      </c>
      <c r="E1348" s="2"/>
      <c r="F1348" s="2"/>
    </row>
    <row r="1349">
      <c r="A1349" s="2">
        <f>IFERROR(__xludf.DUMMYFUNCTION("""COMPUTED_VALUE"""),77792.0)</f>
        <v>77792</v>
      </c>
      <c r="B1349" s="2">
        <f>IFERROR(__xludf.DUMMYFUNCTION("""COMPUTED_VALUE"""),0.0)</f>
        <v>0</v>
      </c>
      <c r="C1349" s="2">
        <f>IFERROR(__xludf.DUMMYFUNCTION("""COMPUTED_VALUE"""),370.0)</f>
        <v>370</v>
      </c>
      <c r="D1349" s="3">
        <f>IFERROR(__xludf.DUMMYFUNCTION("""COMPUTED_VALUE"""),237.0)</f>
        <v>237</v>
      </c>
      <c r="E1349" s="2"/>
      <c r="F1349" s="2"/>
    </row>
    <row r="1350">
      <c r="A1350" s="2">
        <f>IFERROR(__xludf.DUMMYFUNCTION("""COMPUTED_VALUE"""),21027.0)</f>
        <v>21027</v>
      </c>
      <c r="B1350" s="2">
        <f>IFERROR(__xludf.DUMMYFUNCTION("""COMPUTED_VALUE"""),0.0)</f>
        <v>0</v>
      </c>
      <c r="C1350" s="2">
        <f>IFERROR(__xludf.DUMMYFUNCTION("""COMPUTED_VALUE"""),971.0)</f>
        <v>971</v>
      </c>
      <c r="D1350" s="3">
        <f>IFERROR(__xludf.DUMMYFUNCTION("""COMPUTED_VALUE"""),594.0)</f>
        <v>594</v>
      </c>
      <c r="E1350" s="2"/>
      <c r="F1350" s="2"/>
    </row>
    <row r="1351">
      <c r="A1351" s="2">
        <f>IFERROR(__xludf.DUMMYFUNCTION("""COMPUTED_VALUE"""),95063.0)</f>
        <v>95063</v>
      </c>
      <c r="B1351" s="2">
        <f>IFERROR(__xludf.DUMMYFUNCTION("""COMPUTED_VALUE"""),1.0)</f>
        <v>1</v>
      </c>
      <c r="C1351" s="2">
        <f>IFERROR(__xludf.DUMMYFUNCTION("""COMPUTED_VALUE"""),246.0)</f>
        <v>246</v>
      </c>
      <c r="D1351" s="3">
        <f>IFERROR(__xludf.DUMMYFUNCTION("""COMPUTED_VALUE"""),146.0)</f>
        <v>146</v>
      </c>
      <c r="E1351" s="2"/>
      <c r="F1351" s="2"/>
    </row>
    <row r="1352">
      <c r="A1352" s="2">
        <f>IFERROR(__xludf.DUMMYFUNCTION("""COMPUTED_VALUE"""),30314.0)</f>
        <v>30314</v>
      </c>
      <c r="B1352" s="2">
        <f>IFERROR(__xludf.DUMMYFUNCTION("""COMPUTED_VALUE"""),0.0)</f>
        <v>0</v>
      </c>
      <c r="C1352" s="2">
        <f>IFERROR(__xludf.DUMMYFUNCTION("""COMPUTED_VALUE"""),617.0)</f>
        <v>617</v>
      </c>
      <c r="D1352" s="3">
        <f>IFERROR(__xludf.DUMMYFUNCTION("""COMPUTED_VALUE"""),318.0)</f>
        <v>318</v>
      </c>
      <c r="E1352" s="2"/>
      <c r="F1352" s="2"/>
    </row>
    <row r="1353">
      <c r="A1353" s="2">
        <f>IFERROR(__xludf.DUMMYFUNCTION("""COMPUTED_VALUE"""),19838.0)</f>
        <v>19838</v>
      </c>
      <c r="B1353" s="2">
        <f>IFERROR(__xludf.DUMMYFUNCTION("""COMPUTED_VALUE"""),1.0)</f>
        <v>1</v>
      </c>
      <c r="C1353" s="2">
        <f>IFERROR(__xludf.DUMMYFUNCTION("""COMPUTED_VALUE"""),677.0)</f>
        <v>677</v>
      </c>
      <c r="D1353" s="3">
        <f>IFERROR(__xludf.DUMMYFUNCTION("""COMPUTED_VALUE"""),479.0)</f>
        <v>479</v>
      </c>
      <c r="E1353" s="2"/>
      <c r="F1353" s="2"/>
    </row>
    <row r="1354">
      <c r="A1354" s="2">
        <f>IFERROR(__xludf.DUMMYFUNCTION("""COMPUTED_VALUE"""),111283.0)</f>
        <v>111283</v>
      </c>
      <c r="B1354" s="2">
        <f>IFERROR(__xludf.DUMMYFUNCTION("""COMPUTED_VALUE"""),1.0)</f>
        <v>1</v>
      </c>
      <c r="C1354" s="2">
        <f>IFERROR(__xludf.DUMMYFUNCTION("""COMPUTED_VALUE"""),520.0)</f>
        <v>520</v>
      </c>
      <c r="D1354" s="3">
        <f>IFERROR(__xludf.DUMMYFUNCTION("""COMPUTED_VALUE"""),386.0)</f>
        <v>386</v>
      </c>
      <c r="E1354" s="2"/>
      <c r="F1354" s="2"/>
    </row>
    <row r="1355">
      <c r="A1355" s="2">
        <f>IFERROR(__xludf.DUMMYFUNCTION("""COMPUTED_VALUE"""),87568.0)</f>
        <v>87568</v>
      </c>
      <c r="B1355" s="2">
        <f>IFERROR(__xludf.DUMMYFUNCTION("""COMPUTED_VALUE"""),0.0)</f>
        <v>0</v>
      </c>
      <c r="C1355" s="2">
        <f>IFERROR(__xludf.DUMMYFUNCTION("""COMPUTED_VALUE"""),1.0)</f>
        <v>1</v>
      </c>
      <c r="D1355" s="3">
        <f>IFERROR(__xludf.DUMMYFUNCTION("""COMPUTED_VALUE"""),1.0)</f>
        <v>1</v>
      </c>
      <c r="E1355" s="2"/>
      <c r="F1355" s="2"/>
    </row>
    <row r="1356">
      <c r="A1356" s="2">
        <f>IFERROR(__xludf.DUMMYFUNCTION("""COMPUTED_VALUE"""),78419.0)</f>
        <v>78419</v>
      </c>
      <c r="B1356" s="2">
        <f>IFERROR(__xludf.DUMMYFUNCTION("""COMPUTED_VALUE"""),0.0)</f>
        <v>0</v>
      </c>
      <c r="C1356" s="2">
        <f>IFERROR(__xludf.DUMMYFUNCTION("""COMPUTED_VALUE"""),690.0)</f>
        <v>690</v>
      </c>
      <c r="D1356" s="3">
        <f>IFERROR(__xludf.DUMMYFUNCTION("""COMPUTED_VALUE"""),487.0)</f>
        <v>487</v>
      </c>
      <c r="E1356" s="2"/>
      <c r="F1356" s="2"/>
    </row>
    <row r="1357">
      <c r="A1357" s="2">
        <f>IFERROR(__xludf.DUMMYFUNCTION("""COMPUTED_VALUE"""),106806.0)</f>
        <v>106806</v>
      </c>
      <c r="B1357" s="2">
        <f>IFERROR(__xludf.DUMMYFUNCTION("""COMPUTED_VALUE"""),1.0)</f>
        <v>1</v>
      </c>
      <c r="C1357" s="2">
        <f>IFERROR(__xludf.DUMMYFUNCTION("""COMPUTED_VALUE"""),167.0)</f>
        <v>167</v>
      </c>
      <c r="D1357" s="3">
        <f>IFERROR(__xludf.DUMMYFUNCTION("""COMPUTED_VALUE"""),166.0)</f>
        <v>166</v>
      </c>
      <c r="E1357" s="2"/>
      <c r="F1357" s="2"/>
    </row>
    <row r="1358">
      <c r="A1358" s="2">
        <f>IFERROR(__xludf.DUMMYFUNCTION("""COMPUTED_VALUE"""),78420.0)</f>
        <v>78420</v>
      </c>
      <c r="B1358" s="2">
        <f>IFERROR(__xludf.DUMMYFUNCTION("""COMPUTED_VALUE"""),1.0)</f>
        <v>1</v>
      </c>
      <c r="C1358" s="2">
        <f>IFERROR(__xludf.DUMMYFUNCTION("""COMPUTED_VALUE"""),458.0)</f>
        <v>458</v>
      </c>
      <c r="D1358" s="3">
        <f>IFERROR(__xludf.DUMMYFUNCTION("""COMPUTED_VALUE"""),428.0)</f>
        <v>428</v>
      </c>
      <c r="E1358" s="2"/>
      <c r="F1358" s="2"/>
    </row>
    <row r="1359">
      <c r="A1359" s="2">
        <f>IFERROR(__xludf.DUMMYFUNCTION("""COMPUTED_VALUE"""),78442.0)</f>
        <v>78442</v>
      </c>
      <c r="B1359" s="2">
        <f>IFERROR(__xludf.DUMMYFUNCTION("""COMPUTED_VALUE"""),1.0)</f>
        <v>1</v>
      </c>
      <c r="C1359" s="2">
        <f>IFERROR(__xludf.DUMMYFUNCTION("""COMPUTED_VALUE"""),739.0)</f>
        <v>739</v>
      </c>
      <c r="D1359" s="3">
        <f>IFERROR(__xludf.DUMMYFUNCTION("""COMPUTED_VALUE"""),540.0)</f>
        <v>540</v>
      </c>
      <c r="E1359" s="2"/>
      <c r="F1359" s="2"/>
    </row>
    <row r="1360">
      <c r="A1360" s="2">
        <f>IFERROR(__xludf.DUMMYFUNCTION("""COMPUTED_VALUE"""),78492.0)</f>
        <v>78492</v>
      </c>
      <c r="B1360" s="2">
        <f>IFERROR(__xludf.DUMMYFUNCTION("""COMPUTED_VALUE"""),1.0)</f>
        <v>1</v>
      </c>
      <c r="C1360" s="2">
        <f>IFERROR(__xludf.DUMMYFUNCTION("""COMPUTED_VALUE"""),162.0)</f>
        <v>162</v>
      </c>
      <c r="D1360" s="3">
        <f>IFERROR(__xludf.DUMMYFUNCTION("""COMPUTED_VALUE"""),19.0)</f>
        <v>19</v>
      </c>
      <c r="E1360" s="2"/>
      <c r="F1360" s="2"/>
    </row>
    <row r="1361">
      <c r="A1361" s="2">
        <f>IFERROR(__xludf.DUMMYFUNCTION("""COMPUTED_VALUE"""),80297.0)</f>
        <v>80297</v>
      </c>
      <c r="B1361" s="2">
        <f>IFERROR(__xludf.DUMMYFUNCTION("""COMPUTED_VALUE"""),0.0)</f>
        <v>0</v>
      </c>
      <c r="C1361" s="2">
        <f>IFERROR(__xludf.DUMMYFUNCTION("""COMPUTED_VALUE"""),769.0)</f>
        <v>769</v>
      </c>
      <c r="D1361" s="3">
        <f>IFERROR(__xludf.DUMMYFUNCTION("""COMPUTED_VALUE"""),635.0)</f>
        <v>635</v>
      </c>
      <c r="E1361" s="2"/>
      <c r="F1361" s="2"/>
    </row>
    <row r="1362">
      <c r="A1362" s="2">
        <f>IFERROR(__xludf.DUMMYFUNCTION("""COMPUTED_VALUE"""),44712.0)</f>
        <v>44712</v>
      </c>
      <c r="B1362" s="2">
        <f>IFERROR(__xludf.DUMMYFUNCTION("""COMPUTED_VALUE"""),1.0)</f>
        <v>1</v>
      </c>
      <c r="C1362" s="2">
        <f>IFERROR(__xludf.DUMMYFUNCTION("""COMPUTED_VALUE"""),575.0)</f>
        <v>575</v>
      </c>
      <c r="D1362" s="3">
        <f>IFERROR(__xludf.DUMMYFUNCTION("""COMPUTED_VALUE"""),155.0)</f>
        <v>155</v>
      </c>
      <c r="E1362" s="2"/>
      <c r="F1362" s="2"/>
    </row>
    <row r="1363">
      <c r="A1363" s="2">
        <f>IFERROR(__xludf.DUMMYFUNCTION("""COMPUTED_VALUE"""),89736.0)</f>
        <v>89736</v>
      </c>
      <c r="B1363" s="2">
        <f>IFERROR(__xludf.DUMMYFUNCTION("""COMPUTED_VALUE"""),0.0)</f>
        <v>0</v>
      </c>
      <c r="C1363" s="2">
        <f>IFERROR(__xludf.DUMMYFUNCTION("""COMPUTED_VALUE"""),929.0)</f>
        <v>929</v>
      </c>
      <c r="D1363" s="3">
        <f>IFERROR(__xludf.DUMMYFUNCTION("""COMPUTED_VALUE"""),75.0)</f>
        <v>75</v>
      </c>
      <c r="E1363" s="2"/>
      <c r="F1363" s="2"/>
    </row>
    <row r="1364">
      <c r="A1364" s="2">
        <f>IFERROR(__xludf.DUMMYFUNCTION("""COMPUTED_VALUE"""),83270.0)</f>
        <v>83270</v>
      </c>
      <c r="B1364" s="2">
        <f>IFERROR(__xludf.DUMMYFUNCTION("""COMPUTED_VALUE"""),1.0)</f>
        <v>1</v>
      </c>
      <c r="C1364" s="2">
        <f>IFERROR(__xludf.DUMMYFUNCTION("""COMPUTED_VALUE"""),179.0)</f>
        <v>179</v>
      </c>
      <c r="D1364" s="3">
        <f>IFERROR(__xludf.DUMMYFUNCTION("""COMPUTED_VALUE"""),18.0)</f>
        <v>18</v>
      </c>
      <c r="E1364" s="2"/>
      <c r="F1364" s="2"/>
    </row>
    <row r="1365">
      <c r="A1365" s="2">
        <f>IFERROR(__xludf.DUMMYFUNCTION("""COMPUTED_VALUE"""),101588.0)</f>
        <v>101588</v>
      </c>
      <c r="B1365" s="2">
        <f>IFERROR(__xludf.DUMMYFUNCTION("""COMPUTED_VALUE"""),0.0)</f>
        <v>0</v>
      </c>
      <c r="C1365" s="2">
        <f>IFERROR(__xludf.DUMMYFUNCTION("""COMPUTED_VALUE"""),604.0)</f>
        <v>604</v>
      </c>
      <c r="D1365" s="3">
        <f>IFERROR(__xludf.DUMMYFUNCTION("""COMPUTED_VALUE"""),590.0)</f>
        <v>590</v>
      </c>
      <c r="E1365" s="2"/>
      <c r="F1365" s="2"/>
    </row>
    <row r="1366">
      <c r="A1366" s="2">
        <f>IFERROR(__xludf.DUMMYFUNCTION("""COMPUTED_VALUE"""),104171.0)</f>
        <v>104171</v>
      </c>
      <c r="B1366" s="2">
        <f>IFERROR(__xludf.DUMMYFUNCTION("""COMPUTED_VALUE"""),1.0)</f>
        <v>1</v>
      </c>
      <c r="C1366" s="2">
        <f>IFERROR(__xludf.DUMMYFUNCTION("""COMPUTED_VALUE"""),537.0)</f>
        <v>537</v>
      </c>
      <c r="D1366" s="3">
        <f>IFERROR(__xludf.DUMMYFUNCTION("""COMPUTED_VALUE"""),533.0)</f>
        <v>533</v>
      </c>
      <c r="E1366" s="2"/>
      <c r="F1366" s="2"/>
    </row>
    <row r="1367">
      <c r="A1367" s="2">
        <f>IFERROR(__xludf.DUMMYFUNCTION("""COMPUTED_VALUE"""),101042.0)</f>
        <v>101042</v>
      </c>
      <c r="B1367" s="2">
        <f>IFERROR(__xludf.DUMMYFUNCTION("""COMPUTED_VALUE"""),1.0)</f>
        <v>1</v>
      </c>
      <c r="C1367" s="2">
        <f>IFERROR(__xludf.DUMMYFUNCTION("""COMPUTED_VALUE"""),818.0)</f>
        <v>818</v>
      </c>
      <c r="D1367" s="3">
        <f>IFERROR(__xludf.DUMMYFUNCTION("""COMPUTED_VALUE"""),244.0)</f>
        <v>244</v>
      </c>
      <c r="E1367" s="2"/>
      <c r="F1367" s="2"/>
    </row>
    <row r="1368">
      <c r="A1368" s="2">
        <f>IFERROR(__xludf.DUMMYFUNCTION("""COMPUTED_VALUE"""),108881.0)</f>
        <v>108881</v>
      </c>
      <c r="B1368" s="2">
        <f>IFERROR(__xludf.DUMMYFUNCTION("""COMPUTED_VALUE"""),1.0)</f>
        <v>1</v>
      </c>
      <c r="C1368" s="2">
        <f>IFERROR(__xludf.DUMMYFUNCTION("""COMPUTED_VALUE"""),503.0)</f>
        <v>503</v>
      </c>
      <c r="D1368" s="3">
        <f>IFERROR(__xludf.DUMMYFUNCTION("""COMPUTED_VALUE"""),289.0)</f>
        <v>289</v>
      </c>
      <c r="E1368" s="2"/>
      <c r="F1368" s="2"/>
    </row>
    <row r="1369">
      <c r="A1369" s="2">
        <f>IFERROR(__xludf.DUMMYFUNCTION("""COMPUTED_VALUE"""),87571.0)</f>
        <v>87571</v>
      </c>
      <c r="B1369" s="2">
        <f>IFERROR(__xludf.DUMMYFUNCTION("""COMPUTED_VALUE"""),0.0)</f>
        <v>0</v>
      </c>
      <c r="C1369" s="2">
        <f>IFERROR(__xludf.DUMMYFUNCTION("""COMPUTED_VALUE"""),81.0)</f>
        <v>81</v>
      </c>
      <c r="D1369" s="3">
        <f>IFERROR(__xludf.DUMMYFUNCTION("""COMPUTED_VALUE"""),36.0)</f>
        <v>36</v>
      </c>
      <c r="E1369" s="2"/>
      <c r="F1369" s="2"/>
    </row>
    <row r="1370">
      <c r="A1370" s="2">
        <f>IFERROR(__xludf.DUMMYFUNCTION("""COMPUTED_VALUE"""),44718.0)</f>
        <v>44718</v>
      </c>
      <c r="B1370" s="2">
        <f>IFERROR(__xludf.DUMMYFUNCTION("""COMPUTED_VALUE"""),1.0)</f>
        <v>1</v>
      </c>
      <c r="C1370" s="2">
        <f>IFERROR(__xludf.DUMMYFUNCTION("""COMPUTED_VALUE"""),555.0)</f>
        <v>555</v>
      </c>
      <c r="D1370" s="3">
        <f>IFERROR(__xludf.DUMMYFUNCTION("""COMPUTED_VALUE"""),307.0)</f>
        <v>307</v>
      </c>
      <c r="E1370" s="2"/>
      <c r="F1370" s="2"/>
    </row>
    <row r="1371">
      <c r="A1371" s="2">
        <f>IFERROR(__xludf.DUMMYFUNCTION("""COMPUTED_VALUE"""),44735.0)</f>
        <v>44735</v>
      </c>
      <c r="B1371" s="2">
        <f>IFERROR(__xludf.DUMMYFUNCTION("""COMPUTED_VALUE"""),0.0)</f>
        <v>0</v>
      </c>
      <c r="C1371" s="2">
        <f>IFERROR(__xludf.DUMMYFUNCTION("""COMPUTED_VALUE"""),50.0)</f>
        <v>50</v>
      </c>
      <c r="D1371" s="3">
        <f>IFERROR(__xludf.DUMMYFUNCTION("""COMPUTED_VALUE"""),46.0)</f>
        <v>46</v>
      </c>
      <c r="E1371" s="2"/>
      <c r="F1371" s="2"/>
    </row>
    <row r="1372">
      <c r="A1372" s="2">
        <f>IFERROR(__xludf.DUMMYFUNCTION("""COMPUTED_VALUE"""),21035.0)</f>
        <v>21035</v>
      </c>
      <c r="B1372" s="2">
        <f>IFERROR(__xludf.DUMMYFUNCTION("""COMPUTED_VALUE"""),1.0)</f>
        <v>1</v>
      </c>
      <c r="C1372" s="2">
        <f>IFERROR(__xludf.DUMMYFUNCTION("""COMPUTED_VALUE"""),881.0)</f>
        <v>881</v>
      </c>
      <c r="D1372" s="3">
        <f>IFERROR(__xludf.DUMMYFUNCTION("""COMPUTED_VALUE"""),607.0)</f>
        <v>607</v>
      </c>
      <c r="E1372" s="2"/>
      <c r="F1372" s="2"/>
    </row>
    <row r="1373">
      <c r="A1373" s="2">
        <f>IFERROR(__xludf.DUMMYFUNCTION("""COMPUTED_VALUE"""),30308.0)</f>
        <v>30308</v>
      </c>
      <c r="B1373" s="2">
        <f>IFERROR(__xludf.DUMMYFUNCTION("""COMPUTED_VALUE"""),0.0)</f>
        <v>0</v>
      </c>
      <c r="C1373" s="2">
        <f>IFERROR(__xludf.DUMMYFUNCTION("""COMPUTED_VALUE"""),424.0)</f>
        <v>424</v>
      </c>
      <c r="D1373" s="3">
        <f>IFERROR(__xludf.DUMMYFUNCTION("""COMPUTED_VALUE"""),165.0)</f>
        <v>165</v>
      </c>
      <c r="E1373" s="2"/>
      <c r="F1373" s="2"/>
    </row>
    <row r="1374">
      <c r="A1374" s="2">
        <f>IFERROR(__xludf.DUMMYFUNCTION("""COMPUTED_VALUE"""),44694.0)</f>
        <v>44694</v>
      </c>
      <c r="B1374" s="2">
        <f>IFERROR(__xludf.DUMMYFUNCTION("""COMPUTED_VALUE"""),1.0)</f>
        <v>1</v>
      </c>
      <c r="C1374" s="2">
        <f>IFERROR(__xludf.DUMMYFUNCTION("""COMPUTED_VALUE"""),286.0)</f>
        <v>286</v>
      </c>
      <c r="D1374" s="3">
        <f>IFERROR(__xludf.DUMMYFUNCTION("""COMPUTED_VALUE"""),208.0)</f>
        <v>208</v>
      </c>
      <c r="E1374" s="2"/>
      <c r="F1374" s="2"/>
    </row>
    <row r="1375">
      <c r="A1375" s="2">
        <f>IFERROR(__xludf.DUMMYFUNCTION("""COMPUTED_VALUE"""),78493.0)</f>
        <v>78493</v>
      </c>
      <c r="B1375" s="2">
        <f>IFERROR(__xludf.DUMMYFUNCTION("""COMPUTED_VALUE"""),0.0)</f>
        <v>0</v>
      </c>
      <c r="C1375" s="2">
        <f>IFERROR(__xludf.DUMMYFUNCTION("""COMPUTED_VALUE"""),325.0)</f>
        <v>325</v>
      </c>
      <c r="D1375" s="3">
        <f>IFERROR(__xludf.DUMMYFUNCTION("""COMPUTED_VALUE"""),95.0)</f>
        <v>95</v>
      </c>
      <c r="E1375" s="2"/>
      <c r="F1375" s="2"/>
    </row>
    <row r="1376">
      <c r="A1376" s="2">
        <f>IFERROR(__xludf.DUMMYFUNCTION("""COMPUTED_VALUE"""),78409.0)</f>
        <v>78409</v>
      </c>
      <c r="B1376" s="2">
        <f>IFERROR(__xludf.DUMMYFUNCTION("""COMPUTED_VALUE"""),0.0)</f>
        <v>0</v>
      </c>
      <c r="C1376" s="2">
        <f>IFERROR(__xludf.DUMMYFUNCTION("""COMPUTED_VALUE"""),153.0)</f>
        <v>153</v>
      </c>
      <c r="D1376" s="3">
        <f>IFERROR(__xludf.DUMMYFUNCTION("""COMPUTED_VALUE"""),45.0)</f>
        <v>45</v>
      </c>
      <c r="E1376" s="2"/>
      <c r="F1376" s="2"/>
    </row>
    <row r="1377">
      <c r="A1377" s="2">
        <f>IFERROR(__xludf.DUMMYFUNCTION("""COMPUTED_VALUE"""),86844.0)</f>
        <v>86844</v>
      </c>
      <c r="B1377" s="2">
        <f>IFERROR(__xludf.DUMMYFUNCTION("""COMPUTED_VALUE"""),1.0)</f>
        <v>1</v>
      </c>
      <c r="C1377" s="2">
        <f>IFERROR(__xludf.DUMMYFUNCTION("""COMPUTED_VALUE"""),214.0)</f>
        <v>214</v>
      </c>
      <c r="D1377" s="3">
        <f>IFERROR(__xludf.DUMMYFUNCTION("""COMPUTED_VALUE"""),151.0)</f>
        <v>151</v>
      </c>
      <c r="E1377" s="2"/>
      <c r="F1377" s="2"/>
    </row>
    <row r="1378">
      <c r="A1378" s="2">
        <f>IFERROR(__xludf.DUMMYFUNCTION("""COMPUTED_VALUE"""),86771.0)</f>
        <v>86771</v>
      </c>
      <c r="B1378" s="2">
        <f>IFERROR(__xludf.DUMMYFUNCTION("""COMPUTED_VALUE"""),0.0)</f>
        <v>0</v>
      </c>
      <c r="C1378" s="2">
        <f>IFERROR(__xludf.DUMMYFUNCTION("""COMPUTED_VALUE"""),144.0)</f>
        <v>144</v>
      </c>
      <c r="D1378" s="3">
        <f>IFERROR(__xludf.DUMMYFUNCTION("""COMPUTED_VALUE"""),90.0)</f>
        <v>90</v>
      </c>
      <c r="E1378" s="2"/>
      <c r="F1378" s="2"/>
    </row>
    <row r="1379">
      <c r="A1379" s="2">
        <f>IFERROR(__xludf.DUMMYFUNCTION("""COMPUTED_VALUE"""),78511.0)</f>
        <v>78511</v>
      </c>
      <c r="B1379" s="2">
        <f>IFERROR(__xludf.DUMMYFUNCTION("""COMPUTED_VALUE"""),0.0)</f>
        <v>0</v>
      </c>
      <c r="C1379" s="2">
        <f>IFERROR(__xludf.DUMMYFUNCTION("""COMPUTED_VALUE"""),572.0)</f>
        <v>572</v>
      </c>
      <c r="D1379" s="3">
        <f>IFERROR(__xludf.DUMMYFUNCTION("""COMPUTED_VALUE"""),290.0)</f>
        <v>290</v>
      </c>
      <c r="E1379" s="2"/>
      <c r="F1379" s="2"/>
    </row>
    <row r="1380">
      <c r="A1380" s="2">
        <f>IFERROR(__xludf.DUMMYFUNCTION("""COMPUTED_VALUE"""),83267.0)</f>
        <v>83267</v>
      </c>
      <c r="B1380" s="2">
        <f>IFERROR(__xludf.DUMMYFUNCTION("""COMPUTED_VALUE"""),0.0)</f>
        <v>0</v>
      </c>
      <c r="C1380" s="2">
        <f>IFERROR(__xludf.DUMMYFUNCTION("""COMPUTED_VALUE"""),315.0)</f>
        <v>315</v>
      </c>
      <c r="D1380" s="3">
        <f>IFERROR(__xludf.DUMMYFUNCTION("""COMPUTED_VALUE"""),43.0)</f>
        <v>43</v>
      </c>
      <c r="E1380" s="2"/>
      <c r="F1380" s="2"/>
    </row>
    <row r="1381">
      <c r="A1381" s="2">
        <f>IFERROR(__xludf.DUMMYFUNCTION("""COMPUTED_VALUE"""),78490.0)</f>
        <v>78490</v>
      </c>
      <c r="B1381" s="2">
        <f>IFERROR(__xludf.DUMMYFUNCTION("""COMPUTED_VALUE"""),1.0)</f>
        <v>1</v>
      </c>
      <c r="C1381" s="2">
        <f>IFERROR(__xludf.DUMMYFUNCTION("""COMPUTED_VALUE"""),630.0)</f>
        <v>630</v>
      </c>
      <c r="D1381" s="3">
        <f>IFERROR(__xludf.DUMMYFUNCTION("""COMPUTED_VALUE"""),175.0)</f>
        <v>175</v>
      </c>
      <c r="E1381" s="2"/>
      <c r="F1381" s="2"/>
    </row>
    <row r="1382">
      <c r="A1382" s="2">
        <f>IFERROR(__xludf.DUMMYFUNCTION("""COMPUTED_VALUE"""),73175.0)</f>
        <v>73175</v>
      </c>
      <c r="B1382" s="2">
        <f>IFERROR(__xludf.DUMMYFUNCTION("""COMPUTED_VALUE"""),0.0)</f>
        <v>0</v>
      </c>
      <c r="C1382" s="2">
        <f>IFERROR(__xludf.DUMMYFUNCTION("""COMPUTED_VALUE"""),542.0)</f>
        <v>542</v>
      </c>
      <c r="D1382" s="3">
        <f>IFERROR(__xludf.DUMMYFUNCTION("""COMPUTED_VALUE"""),440.0)</f>
        <v>440</v>
      </c>
      <c r="E1382" s="2"/>
      <c r="F1382" s="2"/>
    </row>
    <row r="1383">
      <c r="A1383" s="2">
        <f>IFERROR(__xludf.DUMMYFUNCTION("""COMPUTED_VALUE"""),44730.0)</f>
        <v>44730</v>
      </c>
      <c r="B1383" s="2">
        <f>IFERROR(__xludf.DUMMYFUNCTION("""COMPUTED_VALUE"""),1.0)</f>
        <v>1</v>
      </c>
      <c r="C1383" s="2">
        <f>IFERROR(__xludf.DUMMYFUNCTION("""COMPUTED_VALUE"""),357.0)</f>
        <v>357</v>
      </c>
      <c r="D1383" s="3">
        <f>IFERROR(__xludf.DUMMYFUNCTION("""COMPUTED_VALUE"""),162.0)</f>
        <v>162</v>
      </c>
      <c r="E1383" s="2"/>
      <c r="F1383" s="2"/>
    </row>
    <row r="1384">
      <c r="A1384" s="2">
        <f>IFERROR(__xludf.DUMMYFUNCTION("""COMPUTED_VALUE"""),10535.0)</f>
        <v>10535</v>
      </c>
      <c r="B1384" s="2">
        <f>IFERROR(__xludf.DUMMYFUNCTION("""COMPUTED_VALUE"""),0.0)</f>
        <v>0</v>
      </c>
      <c r="C1384" s="2">
        <f>IFERROR(__xludf.DUMMYFUNCTION("""COMPUTED_VALUE"""),810.0)</f>
        <v>810</v>
      </c>
      <c r="D1384" s="3">
        <f>IFERROR(__xludf.DUMMYFUNCTION("""COMPUTED_VALUE"""),120.0)</f>
        <v>120</v>
      </c>
      <c r="E1384" s="2"/>
      <c r="F1384" s="2"/>
    </row>
    <row r="1385">
      <c r="A1385" s="2">
        <f>IFERROR(__xludf.DUMMYFUNCTION("""COMPUTED_VALUE"""),80299.0)</f>
        <v>80299</v>
      </c>
      <c r="B1385" s="2">
        <f>IFERROR(__xludf.DUMMYFUNCTION("""COMPUTED_VALUE"""),0.0)</f>
        <v>0</v>
      </c>
      <c r="C1385" s="2">
        <f>IFERROR(__xludf.DUMMYFUNCTION("""COMPUTED_VALUE"""),622.0)</f>
        <v>622</v>
      </c>
      <c r="D1385" s="3">
        <f>IFERROR(__xludf.DUMMYFUNCTION("""COMPUTED_VALUE"""),422.0)</f>
        <v>422</v>
      </c>
      <c r="E1385" s="2"/>
      <c r="F1385" s="2"/>
    </row>
    <row r="1386">
      <c r="A1386" s="2">
        <f>IFERROR(__xludf.DUMMYFUNCTION("""COMPUTED_VALUE"""),121350.0)</f>
        <v>121350</v>
      </c>
      <c r="B1386" s="2">
        <f>IFERROR(__xludf.DUMMYFUNCTION("""COMPUTED_VALUE"""),1.0)</f>
        <v>1</v>
      </c>
      <c r="C1386" s="2">
        <f>IFERROR(__xludf.DUMMYFUNCTION("""COMPUTED_VALUE"""),244.0)</f>
        <v>244</v>
      </c>
      <c r="D1386" s="3">
        <f>IFERROR(__xludf.DUMMYFUNCTION("""COMPUTED_VALUE"""),104.0)</f>
        <v>104</v>
      </c>
      <c r="E1386" s="2"/>
      <c r="F1386" s="2"/>
    </row>
    <row r="1387">
      <c r="A1387" s="2">
        <f>IFERROR(__xludf.DUMMYFUNCTION("""COMPUTED_VALUE"""),79958.0)</f>
        <v>79958</v>
      </c>
      <c r="B1387" s="2">
        <f>IFERROR(__xludf.DUMMYFUNCTION("""COMPUTED_VALUE"""),1.0)</f>
        <v>1</v>
      </c>
      <c r="C1387" s="2">
        <f>IFERROR(__xludf.DUMMYFUNCTION("""COMPUTED_VALUE"""),38.0)</f>
        <v>38</v>
      </c>
      <c r="D1387" s="3">
        <f>IFERROR(__xludf.DUMMYFUNCTION("""COMPUTED_VALUE"""),26.0)</f>
        <v>26</v>
      </c>
      <c r="E1387" s="2"/>
      <c r="F1387" s="2"/>
    </row>
    <row r="1388">
      <c r="A1388" s="2">
        <f>IFERROR(__xludf.DUMMYFUNCTION("""COMPUTED_VALUE"""),95074.0)</f>
        <v>95074</v>
      </c>
      <c r="B1388" s="2">
        <f>IFERROR(__xludf.DUMMYFUNCTION("""COMPUTED_VALUE"""),0.0)</f>
        <v>0</v>
      </c>
      <c r="C1388" s="2">
        <f>IFERROR(__xludf.DUMMYFUNCTION("""COMPUTED_VALUE"""),812.0)</f>
        <v>812</v>
      </c>
      <c r="D1388" s="3">
        <f>IFERROR(__xludf.DUMMYFUNCTION("""COMPUTED_VALUE"""),337.0)</f>
        <v>337</v>
      </c>
      <c r="E1388" s="2"/>
      <c r="F1388" s="2"/>
    </row>
    <row r="1389">
      <c r="A1389" s="2">
        <f>IFERROR(__xludf.DUMMYFUNCTION("""COMPUTED_VALUE"""),87574.0)</f>
        <v>87574</v>
      </c>
      <c r="B1389" s="2">
        <f>IFERROR(__xludf.DUMMYFUNCTION("""COMPUTED_VALUE"""),1.0)</f>
        <v>1</v>
      </c>
      <c r="C1389" s="2">
        <f>IFERROR(__xludf.DUMMYFUNCTION("""COMPUTED_VALUE"""),343.0)</f>
        <v>343</v>
      </c>
      <c r="D1389" s="3">
        <f>IFERROR(__xludf.DUMMYFUNCTION("""COMPUTED_VALUE"""),239.0)</f>
        <v>239</v>
      </c>
      <c r="E1389" s="2"/>
      <c r="F1389" s="2"/>
    </row>
    <row r="1390">
      <c r="A1390" s="2">
        <f>IFERROR(__xludf.DUMMYFUNCTION("""COMPUTED_VALUE"""),77769.0)</f>
        <v>77769</v>
      </c>
      <c r="B1390" s="2">
        <f>IFERROR(__xludf.DUMMYFUNCTION("""COMPUTED_VALUE"""),0.0)</f>
        <v>0</v>
      </c>
      <c r="C1390" s="2">
        <f>IFERROR(__xludf.DUMMYFUNCTION("""COMPUTED_VALUE"""),891.0)</f>
        <v>891</v>
      </c>
      <c r="D1390" s="3">
        <f>IFERROR(__xludf.DUMMYFUNCTION("""COMPUTED_VALUE"""),417.0)</f>
        <v>417</v>
      </c>
      <c r="E1390" s="2"/>
      <c r="F1390" s="2"/>
    </row>
    <row r="1391">
      <c r="A1391" s="2">
        <f>IFERROR(__xludf.DUMMYFUNCTION("""COMPUTED_VALUE"""),141889.0)</f>
        <v>141889</v>
      </c>
      <c r="B1391" s="2">
        <f>IFERROR(__xludf.DUMMYFUNCTION("""COMPUTED_VALUE"""),0.0)</f>
        <v>0</v>
      </c>
      <c r="C1391" s="2">
        <f>IFERROR(__xludf.DUMMYFUNCTION("""COMPUTED_VALUE"""),469.0)</f>
        <v>469</v>
      </c>
      <c r="D1391" s="3">
        <f>IFERROR(__xludf.DUMMYFUNCTION("""COMPUTED_VALUE"""),455.0)</f>
        <v>455</v>
      </c>
      <c r="E1391" s="2"/>
      <c r="F1391" s="2"/>
    </row>
    <row r="1392">
      <c r="A1392" s="2">
        <f>IFERROR(__xludf.DUMMYFUNCTION("""COMPUTED_VALUE"""),83269.0)</f>
        <v>83269</v>
      </c>
      <c r="B1392" s="2">
        <f>IFERROR(__xludf.DUMMYFUNCTION("""COMPUTED_VALUE"""),1.0)</f>
        <v>1</v>
      </c>
      <c r="C1392" s="2">
        <f>IFERROR(__xludf.DUMMYFUNCTION("""COMPUTED_VALUE"""),539.0)</f>
        <v>539</v>
      </c>
      <c r="D1392" s="3">
        <f>IFERROR(__xludf.DUMMYFUNCTION("""COMPUTED_VALUE"""),394.0)</f>
        <v>394</v>
      </c>
      <c r="E1392" s="2"/>
      <c r="F1392" s="2"/>
    </row>
    <row r="1393">
      <c r="A1393" s="2">
        <f>IFERROR(__xludf.DUMMYFUNCTION("""COMPUTED_VALUE"""),89647.0)</f>
        <v>89647</v>
      </c>
      <c r="B1393" s="2">
        <f>IFERROR(__xludf.DUMMYFUNCTION("""COMPUTED_VALUE"""),0.0)</f>
        <v>0</v>
      </c>
      <c r="C1393" s="2">
        <f>IFERROR(__xludf.DUMMYFUNCTION("""COMPUTED_VALUE"""),514.0)</f>
        <v>514</v>
      </c>
      <c r="D1393" s="3">
        <f>IFERROR(__xludf.DUMMYFUNCTION("""COMPUTED_VALUE"""),190.0)</f>
        <v>190</v>
      </c>
      <c r="E1393" s="2"/>
      <c r="F1393" s="2"/>
    </row>
    <row r="1394">
      <c r="A1394" s="2">
        <f>IFERROR(__xludf.DUMMYFUNCTION("""COMPUTED_VALUE"""),77256.0)</f>
        <v>77256</v>
      </c>
      <c r="B1394" s="2">
        <f>IFERROR(__xludf.DUMMYFUNCTION("""COMPUTED_VALUE"""),0.0)</f>
        <v>0</v>
      </c>
      <c r="C1394" s="2">
        <f>IFERROR(__xludf.DUMMYFUNCTION("""COMPUTED_VALUE"""),321.0)</f>
        <v>321</v>
      </c>
      <c r="D1394" s="3">
        <f>IFERROR(__xludf.DUMMYFUNCTION("""COMPUTED_VALUE"""),246.0)</f>
        <v>246</v>
      </c>
      <c r="E1394" s="2"/>
      <c r="F1394" s="2"/>
    </row>
    <row r="1395">
      <c r="A1395" s="2">
        <f>IFERROR(__xludf.DUMMYFUNCTION("""COMPUTED_VALUE"""),86840.0)</f>
        <v>86840</v>
      </c>
      <c r="B1395" s="2">
        <f>IFERROR(__xludf.DUMMYFUNCTION("""COMPUTED_VALUE"""),0.0)</f>
        <v>0</v>
      </c>
      <c r="C1395" s="2">
        <f>IFERROR(__xludf.DUMMYFUNCTION("""COMPUTED_VALUE"""),626.0)</f>
        <v>626</v>
      </c>
      <c r="D1395" s="3">
        <f>IFERROR(__xludf.DUMMYFUNCTION("""COMPUTED_VALUE"""),96.0)</f>
        <v>96</v>
      </c>
      <c r="E1395" s="2"/>
      <c r="F1395" s="2"/>
    </row>
    <row r="1396">
      <c r="A1396" s="2">
        <f>IFERROR(__xludf.DUMMYFUNCTION("""COMPUTED_VALUE"""),30306.0)</f>
        <v>30306</v>
      </c>
      <c r="B1396" s="2">
        <f>IFERROR(__xludf.DUMMYFUNCTION("""COMPUTED_VALUE"""),1.0)</f>
        <v>1</v>
      </c>
      <c r="C1396" s="2">
        <f>IFERROR(__xludf.DUMMYFUNCTION("""COMPUTED_VALUE"""),189.0)</f>
        <v>189</v>
      </c>
      <c r="D1396" s="3">
        <f>IFERROR(__xludf.DUMMYFUNCTION("""COMPUTED_VALUE"""),139.0)</f>
        <v>139</v>
      </c>
      <c r="E1396" s="2"/>
      <c r="F1396" s="2"/>
    </row>
    <row r="1397">
      <c r="A1397" s="2">
        <f>IFERROR(__xludf.DUMMYFUNCTION("""COMPUTED_VALUE"""),76427.0)</f>
        <v>76427</v>
      </c>
      <c r="B1397" s="2">
        <f>IFERROR(__xludf.DUMMYFUNCTION("""COMPUTED_VALUE"""),1.0)</f>
        <v>1</v>
      </c>
      <c r="C1397" s="2">
        <f>IFERROR(__xludf.DUMMYFUNCTION("""COMPUTED_VALUE"""),97.0)</f>
        <v>97</v>
      </c>
      <c r="D1397" s="3">
        <f>IFERROR(__xludf.DUMMYFUNCTION("""COMPUTED_VALUE"""),5.0)</f>
        <v>5</v>
      </c>
      <c r="E1397" s="2"/>
      <c r="F1397" s="2"/>
    </row>
    <row r="1398">
      <c r="A1398" s="2">
        <f>IFERROR(__xludf.DUMMYFUNCTION("""COMPUTED_VALUE"""),44706.0)</f>
        <v>44706</v>
      </c>
      <c r="B1398" s="2">
        <f>IFERROR(__xludf.DUMMYFUNCTION("""COMPUTED_VALUE"""),1.0)</f>
        <v>1</v>
      </c>
      <c r="C1398" s="2">
        <f>IFERROR(__xludf.DUMMYFUNCTION("""COMPUTED_VALUE"""),471.0)</f>
        <v>471</v>
      </c>
      <c r="D1398" s="3">
        <f>IFERROR(__xludf.DUMMYFUNCTION("""COMPUTED_VALUE"""),150.0)</f>
        <v>150</v>
      </c>
      <c r="E1398" s="2"/>
      <c r="F1398" s="2"/>
    </row>
    <row r="1399">
      <c r="A1399" s="2">
        <f>IFERROR(__xludf.DUMMYFUNCTION("""COMPUTED_VALUE"""),44701.0)</f>
        <v>44701</v>
      </c>
      <c r="B1399" s="2">
        <f>IFERROR(__xludf.DUMMYFUNCTION("""COMPUTED_VALUE"""),0.0)</f>
        <v>0</v>
      </c>
      <c r="C1399" s="2">
        <f>IFERROR(__xludf.DUMMYFUNCTION("""COMPUTED_VALUE"""),273.0)</f>
        <v>273</v>
      </c>
      <c r="D1399" s="3">
        <f>IFERROR(__xludf.DUMMYFUNCTION("""COMPUTED_VALUE"""),181.0)</f>
        <v>181</v>
      </c>
      <c r="E1399" s="2"/>
      <c r="F1399" s="2"/>
    </row>
    <row r="1400">
      <c r="A1400" s="2">
        <f>IFERROR(__xludf.DUMMYFUNCTION("""COMPUTED_VALUE"""),10537.0)</f>
        <v>10537</v>
      </c>
      <c r="B1400" s="2">
        <f>IFERROR(__xludf.DUMMYFUNCTION("""COMPUTED_VALUE"""),1.0)</f>
        <v>1</v>
      </c>
      <c r="C1400" s="2">
        <f>IFERROR(__xludf.DUMMYFUNCTION("""COMPUTED_VALUE"""),596.0)</f>
        <v>596</v>
      </c>
      <c r="D1400" s="3">
        <f>IFERROR(__xludf.DUMMYFUNCTION("""COMPUTED_VALUE"""),364.0)</f>
        <v>364</v>
      </c>
      <c r="E1400" s="2"/>
      <c r="F1400" s="2"/>
    </row>
    <row r="1401">
      <c r="A1401" s="2">
        <f>IFERROR(__xludf.DUMMYFUNCTION("""COMPUTED_VALUE"""),10523.0)</f>
        <v>10523</v>
      </c>
      <c r="B1401" s="2">
        <f>IFERROR(__xludf.DUMMYFUNCTION("""COMPUTED_VALUE"""),1.0)</f>
        <v>1</v>
      </c>
      <c r="C1401" s="2">
        <f>IFERROR(__xludf.DUMMYFUNCTION("""COMPUTED_VALUE"""),918.0)</f>
        <v>918</v>
      </c>
      <c r="D1401" s="3">
        <f>IFERROR(__xludf.DUMMYFUNCTION("""COMPUTED_VALUE"""),463.0)</f>
        <v>463</v>
      </c>
      <c r="E1401" s="2"/>
      <c r="F1401" s="2"/>
    </row>
    <row r="1402">
      <c r="A1402" s="2">
        <f>IFERROR(__xludf.DUMMYFUNCTION("""COMPUTED_VALUE"""),76664.0)</f>
        <v>76664</v>
      </c>
      <c r="B1402" s="2">
        <f>IFERROR(__xludf.DUMMYFUNCTION("""COMPUTED_VALUE"""),1.0)</f>
        <v>1</v>
      </c>
      <c r="C1402" s="2">
        <f>IFERROR(__xludf.DUMMYFUNCTION("""COMPUTED_VALUE"""),171.0)</f>
        <v>171</v>
      </c>
      <c r="D1402" s="3">
        <f>IFERROR(__xludf.DUMMYFUNCTION("""COMPUTED_VALUE"""),155.0)</f>
        <v>155</v>
      </c>
      <c r="E1402" s="2"/>
      <c r="F1402" s="2"/>
    </row>
    <row r="1403">
      <c r="A1403" s="2">
        <f>IFERROR(__xludf.DUMMYFUNCTION("""COMPUTED_VALUE"""),78472.0)</f>
        <v>78472</v>
      </c>
      <c r="B1403" s="2">
        <f>IFERROR(__xludf.DUMMYFUNCTION("""COMPUTED_VALUE"""),1.0)</f>
        <v>1</v>
      </c>
      <c r="C1403" s="2">
        <f>IFERROR(__xludf.DUMMYFUNCTION("""COMPUTED_VALUE"""),60.0)</f>
        <v>60</v>
      </c>
      <c r="D1403" s="3">
        <f>IFERROR(__xludf.DUMMYFUNCTION("""COMPUTED_VALUE"""),11.0)</f>
        <v>11</v>
      </c>
      <c r="E1403" s="2"/>
      <c r="F1403" s="2"/>
    </row>
    <row r="1404">
      <c r="A1404" s="2">
        <f>IFERROR(__xludf.DUMMYFUNCTION("""COMPUTED_VALUE"""),44721.0)</f>
        <v>44721</v>
      </c>
      <c r="B1404" s="2">
        <f>IFERROR(__xludf.DUMMYFUNCTION("""COMPUTED_VALUE"""),1.0)</f>
        <v>1</v>
      </c>
      <c r="C1404" s="2">
        <f>IFERROR(__xludf.DUMMYFUNCTION("""COMPUTED_VALUE"""),541.0)</f>
        <v>541</v>
      </c>
      <c r="D1404" s="3">
        <f>IFERROR(__xludf.DUMMYFUNCTION("""COMPUTED_VALUE"""),238.0)</f>
        <v>238</v>
      </c>
      <c r="E1404" s="2"/>
      <c r="F1404" s="2"/>
    </row>
    <row r="1405">
      <c r="A1405" s="2">
        <f>IFERROR(__xludf.DUMMYFUNCTION("""COMPUTED_VALUE"""),121576.0)</f>
        <v>121576</v>
      </c>
      <c r="B1405" s="2">
        <f>IFERROR(__xludf.DUMMYFUNCTION("""COMPUTED_VALUE"""),0.0)</f>
        <v>0</v>
      </c>
      <c r="C1405" s="2">
        <f>IFERROR(__xludf.DUMMYFUNCTION("""COMPUTED_VALUE"""),471.0)</f>
        <v>471</v>
      </c>
      <c r="D1405" s="3">
        <f>IFERROR(__xludf.DUMMYFUNCTION("""COMPUTED_VALUE"""),195.0)</f>
        <v>195</v>
      </c>
      <c r="E1405" s="2"/>
      <c r="F1405" s="2"/>
    </row>
    <row r="1406">
      <c r="A1406" s="2">
        <f>IFERROR(__xludf.DUMMYFUNCTION("""COMPUTED_VALUE"""),117208.0)</f>
        <v>117208</v>
      </c>
      <c r="B1406" s="2">
        <f>IFERROR(__xludf.DUMMYFUNCTION("""COMPUTED_VALUE"""),1.0)</f>
        <v>1</v>
      </c>
      <c r="C1406" s="2">
        <f>IFERROR(__xludf.DUMMYFUNCTION("""COMPUTED_VALUE"""),594.0)</f>
        <v>594</v>
      </c>
      <c r="D1406" s="3">
        <f>IFERROR(__xludf.DUMMYFUNCTION("""COMPUTED_VALUE"""),409.0)</f>
        <v>409</v>
      </c>
      <c r="E1406" s="2"/>
      <c r="F1406" s="2"/>
    </row>
    <row r="1407">
      <c r="A1407" s="2">
        <f>IFERROR(__xludf.DUMMYFUNCTION("""COMPUTED_VALUE"""),78497.0)</f>
        <v>78497</v>
      </c>
      <c r="B1407" s="2">
        <f>IFERROR(__xludf.DUMMYFUNCTION("""COMPUTED_VALUE"""),0.0)</f>
        <v>0</v>
      </c>
      <c r="C1407" s="2">
        <f>IFERROR(__xludf.DUMMYFUNCTION("""COMPUTED_VALUE"""),751.0)</f>
        <v>751</v>
      </c>
      <c r="D1407" s="3">
        <f>IFERROR(__xludf.DUMMYFUNCTION("""COMPUTED_VALUE"""),309.0)</f>
        <v>309</v>
      </c>
      <c r="E1407" s="2"/>
      <c r="F1407" s="2"/>
    </row>
    <row r="1408">
      <c r="A1408" s="2">
        <f>IFERROR(__xludf.DUMMYFUNCTION("""COMPUTED_VALUE"""),44726.0)</f>
        <v>44726</v>
      </c>
      <c r="B1408" s="2">
        <f>IFERROR(__xludf.DUMMYFUNCTION("""COMPUTED_VALUE"""),1.0)</f>
        <v>1</v>
      </c>
      <c r="C1408" s="2">
        <f>IFERROR(__xludf.DUMMYFUNCTION("""COMPUTED_VALUE"""),708.0)</f>
        <v>708</v>
      </c>
      <c r="D1408" s="3">
        <f>IFERROR(__xludf.DUMMYFUNCTION("""COMPUTED_VALUE"""),615.0)</f>
        <v>615</v>
      </c>
      <c r="E1408" s="2"/>
      <c r="F1408" s="2"/>
    </row>
    <row r="1409">
      <c r="A1409" s="2">
        <f>IFERROR(__xludf.DUMMYFUNCTION("""COMPUTED_VALUE"""),117210.0)</f>
        <v>117210</v>
      </c>
      <c r="B1409" s="2">
        <f>IFERROR(__xludf.DUMMYFUNCTION("""COMPUTED_VALUE"""),1.0)</f>
        <v>1</v>
      </c>
      <c r="C1409" s="2">
        <f>IFERROR(__xludf.DUMMYFUNCTION("""COMPUTED_VALUE"""),509.0)</f>
        <v>509</v>
      </c>
      <c r="D1409" s="3">
        <f>IFERROR(__xludf.DUMMYFUNCTION("""COMPUTED_VALUE"""),141.0)</f>
        <v>141</v>
      </c>
      <c r="E1409" s="2"/>
      <c r="F1409" s="2"/>
    </row>
    <row r="1410">
      <c r="A1410" s="2">
        <f>IFERROR(__xludf.DUMMYFUNCTION("""COMPUTED_VALUE"""),87082.0)</f>
        <v>87082</v>
      </c>
      <c r="B1410" s="2">
        <f>IFERROR(__xludf.DUMMYFUNCTION("""COMPUTED_VALUE"""),1.0)</f>
        <v>1</v>
      </c>
      <c r="C1410" s="2">
        <f>IFERROR(__xludf.DUMMYFUNCTION("""COMPUTED_VALUE"""),303.0)</f>
        <v>303</v>
      </c>
      <c r="D1410" s="3">
        <f>IFERROR(__xludf.DUMMYFUNCTION("""COMPUTED_VALUE"""),230.0)</f>
        <v>230</v>
      </c>
      <c r="E1410" s="2"/>
      <c r="F1410" s="2"/>
    </row>
    <row r="1411">
      <c r="A1411" s="2">
        <f>IFERROR(__xludf.DUMMYFUNCTION("""COMPUTED_VALUE"""),10529.0)</f>
        <v>10529</v>
      </c>
      <c r="B1411" s="2">
        <f>IFERROR(__xludf.DUMMYFUNCTION("""COMPUTED_VALUE"""),0.0)</f>
        <v>0</v>
      </c>
      <c r="C1411" s="2">
        <f>IFERROR(__xludf.DUMMYFUNCTION("""COMPUTED_VALUE"""),5.0)</f>
        <v>5</v>
      </c>
      <c r="D1411" s="3">
        <f>IFERROR(__xludf.DUMMYFUNCTION("""COMPUTED_VALUE"""),0.0)</f>
        <v>0</v>
      </c>
      <c r="E1411" s="2"/>
      <c r="F1411" s="2"/>
    </row>
    <row r="1412">
      <c r="A1412" s="2">
        <f>IFERROR(__xludf.DUMMYFUNCTION("""COMPUTED_VALUE"""),44705.0)</f>
        <v>44705</v>
      </c>
      <c r="B1412" s="2">
        <f>IFERROR(__xludf.DUMMYFUNCTION("""COMPUTED_VALUE"""),1.0)</f>
        <v>1</v>
      </c>
      <c r="C1412" s="2">
        <f>IFERROR(__xludf.DUMMYFUNCTION("""COMPUTED_VALUE"""),703.0)</f>
        <v>703</v>
      </c>
      <c r="D1412" s="3">
        <f>IFERROR(__xludf.DUMMYFUNCTION("""COMPUTED_VALUE"""),576.0)</f>
        <v>576</v>
      </c>
      <c r="E1412" s="2"/>
      <c r="F1412" s="2"/>
    </row>
    <row r="1413">
      <c r="A1413" s="2">
        <f>IFERROR(__xludf.DUMMYFUNCTION("""COMPUTED_VALUE"""),100564.0)</f>
        <v>100564</v>
      </c>
      <c r="B1413" s="2">
        <f>IFERROR(__xludf.DUMMYFUNCTION("""COMPUTED_VALUE"""),0.0)</f>
        <v>0</v>
      </c>
      <c r="C1413" s="2">
        <f>IFERROR(__xludf.DUMMYFUNCTION("""COMPUTED_VALUE"""),87.0)</f>
        <v>87</v>
      </c>
      <c r="D1413" s="3">
        <f>IFERROR(__xludf.DUMMYFUNCTION("""COMPUTED_VALUE"""),43.0)</f>
        <v>43</v>
      </c>
      <c r="E1413" s="2"/>
      <c r="F1413" s="2"/>
    </row>
    <row r="1414">
      <c r="A1414" s="2">
        <f>IFERROR(__xludf.DUMMYFUNCTION("""COMPUTED_VALUE"""),87193.0)</f>
        <v>87193</v>
      </c>
      <c r="B1414" s="2">
        <f>IFERROR(__xludf.DUMMYFUNCTION("""COMPUTED_VALUE"""),0.0)</f>
        <v>0</v>
      </c>
      <c r="C1414" s="2">
        <f>IFERROR(__xludf.DUMMYFUNCTION("""COMPUTED_VALUE"""),789.0)</f>
        <v>789</v>
      </c>
      <c r="D1414" s="3">
        <f>IFERROR(__xludf.DUMMYFUNCTION("""COMPUTED_VALUE"""),28.0)</f>
        <v>28</v>
      </c>
      <c r="E1414" s="2"/>
      <c r="F1414" s="2"/>
    </row>
    <row r="1415">
      <c r="A1415" s="2">
        <f>IFERROR(__xludf.DUMMYFUNCTION("""COMPUTED_VALUE"""),76044.0)</f>
        <v>76044</v>
      </c>
      <c r="B1415" s="2">
        <f>IFERROR(__xludf.DUMMYFUNCTION("""COMPUTED_VALUE"""),1.0)</f>
        <v>1</v>
      </c>
      <c r="C1415" s="2">
        <f>IFERROR(__xludf.DUMMYFUNCTION("""COMPUTED_VALUE"""),278.0)</f>
        <v>278</v>
      </c>
      <c r="D1415" s="3">
        <f>IFERROR(__xludf.DUMMYFUNCTION("""COMPUTED_VALUE"""),200.0)</f>
        <v>200</v>
      </c>
      <c r="E1415" s="2"/>
      <c r="F1415" s="2"/>
    </row>
    <row r="1416">
      <c r="A1416" s="2">
        <f>IFERROR(__xludf.DUMMYFUNCTION("""COMPUTED_VALUE"""),121578.0)</f>
        <v>121578</v>
      </c>
      <c r="B1416" s="2">
        <f>IFERROR(__xludf.DUMMYFUNCTION("""COMPUTED_VALUE"""),1.0)</f>
        <v>1</v>
      </c>
      <c r="C1416" s="2">
        <f>IFERROR(__xludf.DUMMYFUNCTION("""COMPUTED_VALUE"""),556.0)</f>
        <v>556</v>
      </c>
      <c r="D1416" s="3">
        <f>IFERROR(__xludf.DUMMYFUNCTION("""COMPUTED_VALUE"""),218.0)</f>
        <v>218</v>
      </c>
      <c r="E1416" s="2"/>
      <c r="F1416" s="2"/>
    </row>
    <row r="1417">
      <c r="A1417" s="2">
        <f>IFERROR(__xludf.DUMMYFUNCTION("""COMPUTED_VALUE"""),117206.0)</f>
        <v>117206</v>
      </c>
      <c r="B1417" s="2">
        <f>IFERROR(__xludf.DUMMYFUNCTION("""COMPUTED_VALUE"""),1.0)</f>
        <v>1</v>
      </c>
      <c r="C1417" s="2">
        <f>IFERROR(__xludf.DUMMYFUNCTION("""COMPUTED_VALUE"""),47.0)</f>
        <v>47</v>
      </c>
      <c r="D1417" s="3">
        <f>IFERROR(__xludf.DUMMYFUNCTION("""COMPUTED_VALUE"""),11.0)</f>
        <v>11</v>
      </c>
      <c r="E1417" s="2"/>
      <c r="F1417" s="2"/>
    </row>
    <row r="1418">
      <c r="A1418" s="2">
        <f>IFERROR(__xludf.DUMMYFUNCTION("""COMPUTED_VALUE"""),81519.0)</f>
        <v>81519</v>
      </c>
      <c r="B1418" s="2">
        <f>IFERROR(__xludf.DUMMYFUNCTION("""COMPUTED_VALUE"""),0.0)</f>
        <v>0</v>
      </c>
      <c r="C1418" s="2">
        <f>IFERROR(__xludf.DUMMYFUNCTION("""COMPUTED_VALUE"""),572.0)</f>
        <v>572</v>
      </c>
      <c r="D1418" s="3">
        <f>IFERROR(__xludf.DUMMYFUNCTION("""COMPUTED_VALUE"""),34.0)</f>
        <v>34</v>
      </c>
      <c r="E1418" s="2"/>
      <c r="F1418" s="2"/>
    </row>
    <row r="1419">
      <c r="A1419" s="2">
        <f>IFERROR(__xludf.DUMMYFUNCTION("""COMPUTED_VALUE"""),44724.0)</f>
        <v>44724</v>
      </c>
      <c r="B1419" s="2">
        <f>IFERROR(__xludf.DUMMYFUNCTION("""COMPUTED_VALUE"""),1.0)</f>
        <v>1</v>
      </c>
      <c r="C1419" s="2">
        <f>IFERROR(__xludf.DUMMYFUNCTION("""COMPUTED_VALUE"""),25.0)</f>
        <v>25</v>
      </c>
      <c r="D1419" s="3">
        <f>IFERROR(__xludf.DUMMYFUNCTION("""COMPUTED_VALUE"""),21.0)</f>
        <v>21</v>
      </c>
      <c r="E1419" s="2"/>
      <c r="F1419" s="2"/>
    </row>
    <row r="1420">
      <c r="A1420" s="2">
        <f>IFERROR(__xludf.DUMMYFUNCTION("""COMPUTED_VALUE"""),82114.0)</f>
        <v>82114</v>
      </c>
      <c r="B1420" s="2">
        <f>IFERROR(__xludf.DUMMYFUNCTION("""COMPUTED_VALUE"""),1.0)</f>
        <v>1</v>
      </c>
      <c r="C1420" s="2">
        <f>IFERROR(__xludf.DUMMYFUNCTION("""COMPUTED_VALUE"""),670.0)</f>
        <v>670</v>
      </c>
      <c r="D1420" s="3">
        <f>IFERROR(__xludf.DUMMYFUNCTION("""COMPUTED_VALUE"""),539.0)</f>
        <v>539</v>
      </c>
      <c r="E1420" s="2"/>
      <c r="F1420" s="2"/>
    </row>
    <row r="1421">
      <c r="A1421" s="2">
        <f>IFERROR(__xludf.DUMMYFUNCTION("""COMPUTED_VALUE"""),82115.0)</f>
        <v>82115</v>
      </c>
      <c r="B1421" s="2">
        <f>IFERROR(__xludf.DUMMYFUNCTION("""COMPUTED_VALUE"""),1.0)</f>
        <v>1</v>
      </c>
      <c r="C1421" s="2">
        <f>IFERROR(__xludf.DUMMYFUNCTION("""COMPUTED_VALUE"""),32.0)</f>
        <v>32</v>
      </c>
      <c r="D1421" s="3">
        <f>IFERROR(__xludf.DUMMYFUNCTION("""COMPUTED_VALUE"""),2.0)</f>
        <v>2</v>
      </c>
      <c r="E1421" s="2"/>
      <c r="F1421" s="2"/>
    </row>
    <row r="1422">
      <c r="A1422" s="2">
        <f>IFERROR(__xludf.DUMMYFUNCTION("""COMPUTED_VALUE"""),109307.0)</f>
        <v>109307</v>
      </c>
      <c r="B1422" s="2">
        <f>IFERROR(__xludf.DUMMYFUNCTION("""COMPUTED_VALUE"""),0.0)</f>
        <v>0</v>
      </c>
      <c r="C1422" s="2">
        <f>IFERROR(__xludf.DUMMYFUNCTION("""COMPUTED_VALUE"""),165.0)</f>
        <v>165</v>
      </c>
      <c r="D1422" s="3">
        <f>IFERROR(__xludf.DUMMYFUNCTION("""COMPUTED_VALUE"""),81.0)</f>
        <v>81</v>
      </c>
      <c r="E1422" s="2"/>
      <c r="F1422" s="2"/>
    </row>
    <row r="1423">
      <c r="A1423" s="2">
        <f>IFERROR(__xludf.DUMMYFUNCTION("""COMPUTED_VALUE"""),76046.0)</f>
        <v>76046</v>
      </c>
      <c r="B1423" s="2">
        <f>IFERROR(__xludf.DUMMYFUNCTION("""COMPUTED_VALUE"""),0.0)</f>
        <v>0</v>
      </c>
      <c r="C1423" s="2">
        <f>IFERROR(__xludf.DUMMYFUNCTION("""COMPUTED_VALUE"""),249.0)</f>
        <v>249</v>
      </c>
      <c r="D1423" s="3">
        <f>IFERROR(__xludf.DUMMYFUNCTION("""COMPUTED_VALUE"""),169.0)</f>
        <v>169</v>
      </c>
      <c r="E1423" s="2"/>
      <c r="F1423" s="2"/>
    </row>
    <row r="1424">
      <c r="A1424" s="2">
        <f>IFERROR(__xludf.DUMMYFUNCTION("""COMPUTED_VALUE"""),117187.0)</f>
        <v>117187</v>
      </c>
      <c r="B1424" s="2">
        <f>IFERROR(__xludf.DUMMYFUNCTION("""COMPUTED_VALUE"""),0.0)</f>
        <v>0</v>
      </c>
      <c r="C1424" s="2">
        <f>IFERROR(__xludf.DUMMYFUNCTION("""COMPUTED_VALUE"""),105.0)</f>
        <v>105</v>
      </c>
      <c r="D1424" s="3">
        <f>IFERROR(__xludf.DUMMYFUNCTION("""COMPUTED_VALUE"""),68.0)</f>
        <v>68</v>
      </c>
      <c r="E1424" s="2"/>
      <c r="F1424" s="2"/>
    </row>
    <row r="1425">
      <c r="A1425" s="2">
        <f>IFERROR(__xludf.DUMMYFUNCTION("""COMPUTED_VALUE"""),10538.0)</f>
        <v>10538</v>
      </c>
      <c r="B1425" s="2">
        <f>IFERROR(__xludf.DUMMYFUNCTION("""COMPUTED_VALUE"""),1.0)</f>
        <v>1</v>
      </c>
      <c r="C1425" s="2">
        <f>IFERROR(__xludf.DUMMYFUNCTION("""COMPUTED_VALUE"""),207.0)</f>
        <v>207</v>
      </c>
      <c r="D1425" s="3">
        <f>IFERROR(__xludf.DUMMYFUNCTION("""COMPUTED_VALUE"""),184.0)</f>
        <v>184</v>
      </c>
      <c r="E1425" s="2"/>
      <c r="F1425" s="2"/>
    </row>
    <row r="1426">
      <c r="A1426" s="2">
        <f>IFERROR(__xludf.DUMMYFUNCTION("""COMPUTED_VALUE"""),78508.0)</f>
        <v>78508</v>
      </c>
      <c r="B1426" s="2">
        <f>IFERROR(__xludf.DUMMYFUNCTION("""COMPUTED_VALUE"""),1.0)</f>
        <v>1</v>
      </c>
      <c r="C1426" s="2">
        <f>IFERROR(__xludf.DUMMYFUNCTION("""COMPUTED_VALUE"""),215.0)</f>
        <v>215</v>
      </c>
      <c r="D1426" s="3">
        <f>IFERROR(__xludf.DUMMYFUNCTION("""COMPUTED_VALUE"""),2.0)</f>
        <v>2</v>
      </c>
      <c r="E1426" s="2"/>
      <c r="F1426" s="2"/>
    </row>
    <row r="1427">
      <c r="A1427" s="2">
        <f>IFERROR(__xludf.DUMMYFUNCTION("""COMPUTED_VALUE"""),44723.0)</f>
        <v>44723</v>
      </c>
      <c r="B1427" s="2">
        <f>IFERROR(__xludf.DUMMYFUNCTION("""COMPUTED_VALUE"""),0.0)</f>
        <v>0</v>
      </c>
      <c r="C1427" s="2">
        <f>IFERROR(__xludf.DUMMYFUNCTION("""COMPUTED_VALUE"""),219.0)</f>
        <v>219</v>
      </c>
      <c r="D1427" s="3">
        <f>IFERROR(__xludf.DUMMYFUNCTION("""COMPUTED_VALUE"""),45.0)</f>
        <v>45</v>
      </c>
      <c r="E1427" s="2"/>
      <c r="F1427" s="2"/>
    </row>
    <row r="1428">
      <c r="A1428" s="2">
        <f>IFERROR(__xludf.DUMMYFUNCTION("""COMPUTED_VALUE"""),109309.0)</f>
        <v>109309</v>
      </c>
      <c r="B1428" s="2">
        <f>IFERROR(__xludf.DUMMYFUNCTION("""COMPUTED_VALUE"""),1.0)</f>
        <v>1</v>
      </c>
      <c r="C1428" s="2">
        <f>IFERROR(__xludf.DUMMYFUNCTION("""COMPUTED_VALUE"""),643.0)</f>
        <v>643</v>
      </c>
      <c r="D1428" s="3">
        <f>IFERROR(__xludf.DUMMYFUNCTION("""COMPUTED_VALUE"""),33.0)</f>
        <v>33</v>
      </c>
      <c r="E1428" s="2"/>
      <c r="F1428" s="2"/>
    </row>
    <row r="1429">
      <c r="A1429" s="2">
        <f>IFERROR(__xludf.DUMMYFUNCTION("""COMPUTED_VALUE"""),76656.0)</f>
        <v>76656</v>
      </c>
      <c r="B1429" s="2">
        <f>IFERROR(__xludf.DUMMYFUNCTION("""COMPUTED_VALUE"""),0.0)</f>
        <v>0</v>
      </c>
      <c r="C1429" s="2">
        <f>IFERROR(__xludf.DUMMYFUNCTION("""COMPUTED_VALUE"""),534.0)</f>
        <v>534</v>
      </c>
      <c r="D1429" s="3">
        <f>IFERROR(__xludf.DUMMYFUNCTION("""COMPUTED_VALUE"""),74.0)</f>
        <v>74</v>
      </c>
      <c r="E1429" s="2"/>
      <c r="F1429" s="2"/>
    </row>
    <row r="1430">
      <c r="A1430" s="2">
        <f>IFERROR(__xludf.DUMMYFUNCTION("""COMPUTED_VALUE"""),80305.0)</f>
        <v>80305</v>
      </c>
      <c r="B1430" s="2">
        <f>IFERROR(__xludf.DUMMYFUNCTION("""COMPUTED_VALUE"""),0.0)</f>
        <v>0</v>
      </c>
      <c r="C1430" s="2">
        <f>IFERROR(__xludf.DUMMYFUNCTION("""COMPUTED_VALUE"""),149.0)</f>
        <v>149</v>
      </c>
      <c r="D1430" s="3">
        <f>IFERROR(__xludf.DUMMYFUNCTION("""COMPUTED_VALUE"""),83.0)</f>
        <v>83</v>
      </c>
      <c r="E1430" s="2"/>
      <c r="F1430" s="2"/>
    </row>
    <row r="1431">
      <c r="A1431" s="2">
        <f>IFERROR(__xludf.DUMMYFUNCTION("""COMPUTED_VALUE"""),78506.0)</f>
        <v>78506</v>
      </c>
      <c r="B1431" s="2">
        <f>IFERROR(__xludf.DUMMYFUNCTION("""COMPUTED_VALUE"""),1.0)</f>
        <v>1</v>
      </c>
      <c r="C1431" s="2">
        <f>IFERROR(__xludf.DUMMYFUNCTION("""COMPUTED_VALUE"""),190.0)</f>
        <v>190</v>
      </c>
      <c r="D1431" s="3">
        <f>IFERROR(__xludf.DUMMYFUNCTION("""COMPUTED_VALUE"""),141.0)</f>
        <v>141</v>
      </c>
      <c r="E1431" s="2"/>
      <c r="F1431" s="2"/>
    </row>
    <row r="1432">
      <c r="A1432" s="2">
        <f>IFERROR(__xludf.DUMMYFUNCTION("""COMPUTED_VALUE"""),82133.0)</f>
        <v>82133</v>
      </c>
      <c r="B1432" s="2">
        <f>IFERROR(__xludf.DUMMYFUNCTION("""COMPUTED_VALUE"""),1.0)</f>
        <v>1</v>
      </c>
      <c r="C1432" s="2">
        <f>IFERROR(__xludf.DUMMYFUNCTION("""COMPUTED_VALUE"""),741.0)</f>
        <v>741</v>
      </c>
      <c r="D1432" s="3">
        <f>IFERROR(__xludf.DUMMYFUNCTION("""COMPUTED_VALUE"""),669.0)</f>
        <v>669</v>
      </c>
      <c r="E1432" s="2"/>
      <c r="F1432" s="2"/>
    </row>
    <row r="1433">
      <c r="A1433" s="2">
        <f>IFERROR(__xludf.DUMMYFUNCTION("""COMPUTED_VALUE"""),188805.0)</f>
        <v>188805</v>
      </c>
      <c r="B1433" s="2">
        <f>IFERROR(__xludf.DUMMYFUNCTION("""COMPUTED_VALUE"""),0.0)</f>
        <v>0</v>
      </c>
      <c r="C1433" s="2">
        <f>IFERROR(__xludf.DUMMYFUNCTION("""COMPUTED_VALUE"""),241.0)</f>
        <v>241</v>
      </c>
      <c r="D1433" s="3">
        <f>IFERROR(__xludf.DUMMYFUNCTION("""COMPUTED_VALUE"""),160.0)</f>
        <v>160</v>
      </c>
      <c r="E1433" s="2"/>
      <c r="F1433" s="2"/>
    </row>
    <row r="1434">
      <c r="A1434" s="2">
        <f>IFERROR(__xludf.DUMMYFUNCTION("""COMPUTED_VALUE"""),78481.0)</f>
        <v>78481</v>
      </c>
      <c r="B1434" s="2">
        <f>IFERROR(__xludf.DUMMYFUNCTION("""COMPUTED_VALUE"""),0.0)</f>
        <v>0</v>
      </c>
      <c r="C1434" s="2">
        <f>IFERROR(__xludf.DUMMYFUNCTION("""COMPUTED_VALUE"""),891.0)</f>
        <v>891</v>
      </c>
      <c r="D1434" s="3">
        <f>IFERROR(__xludf.DUMMYFUNCTION("""COMPUTED_VALUE"""),200.0)</f>
        <v>200</v>
      </c>
      <c r="E1434" s="2"/>
      <c r="F1434" s="2"/>
    </row>
    <row r="1435">
      <c r="A1435" s="2">
        <f>IFERROR(__xludf.DUMMYFUNCTION("""COMPUTED_VALUE"""),109310.0)</f>
        <v>109310</v>
      </c>
      <c r="B1435" s="2">
        <f>IFERROR(__xludf.DUMMYFUNCTION("""COMPUTED_VALUE"""),1.0)</f>
        <v>1</v>
      </c>
      <c r="C1435" s="2">
        <f>IFERROR(__xludf.DUMMYFUNCTION("""COMPUTED_VALUE"""),833.0)</f>
        <v>833</v>
      </c>
      <c r="D1435" s="3">
        <f>IFERROR(__xludf.DUMMYFUNCTION("""COMPUTED_VALUE"""),790.0)</f>
        <v>790</v>
      </c>
      <c r="E1435" s="2"/>
      <c r="F1435" s="2"/>
    </row>
    <row r="1436">
      <c r="A1436" s="2">
        <f>IFERROR(__xludf.DUMMYFUNCTION("""COMPUTED_VALUE"""),120689.0)</f>
        <v>120689</v>
      </c>
      <c r="B1436" s="2">
        <f>IFERROR(__xludf.DUMMYFUNCTION("""COMPUTED_VALUE"""),0.0)</f>
        <v>0</v>
      </c>
      <c r="C1436" s="2">
        <f>IFERROR(__xludf.DUMMYFUNCTION("""COMPUTED_VALUE"""),669.0)</f>
        <v>669</v>
      </c>
      <c r="D1436" s="3">
        <f>IFERROR(__xludf.DUMMYFUNCTION("""COMPUTED_VALUE"""),627.0)</f>
        <v>627</v>
      </c>
      <c r="E1436" s="2"/>
      <c r="F1436" s="2"/>
    </row>
    <row r="1437">
      <c r="A1437" s="2">
        <f>IFERROR(__xludf.DUMMYFUNCTION("""COMPUTED_VALUE"""),10540.0)</f>
        <v>10540</v>
      </c>
      <c r="B1437" s="2">
        <f>IFERROR(__xludf.DUMMYFUNCTION("""COMPUTED_VALUE"""),1.0)</f>
        <v>1</v>
      </c>
      <c r="C1437" s="2">
        <f>IFERROR(__xludf.DUMMYFUNCTION("""COMPUTED_VALUE"""),170.0)</f>
        <v>170</v>
      </c>
      <c r="D1437" s="3">
        <f>IFERROR(__xludf.DUMMYFUNCTION("""COMPUTED_VALUE"""),25.0)</f>
        <v>25</v>
      </c>
      <c r="E1437" s="2"/>
      <c r="F1437" s="2"/>
    </row>
    <row r="1438">
      <c r="A1438" s="2">
        <f>IFERROR(__xludf.DUMMYFUNCTION("""COMPUTED_VALUE"""),44727.0)</f>
        <v>44727</v>
      </c>
      <c r="B1438" s="2">
        <f>IFERROR(__xludf.DUMMYFUNCTION("""COMPUTED_VALUE"""),0.0)</f>
        <v>0</v>
      </c>
      <c r="C1438" s="2">
        <f>IFERROR(__xludf.DUMMYFUNCTION("""COMPUTED_VALUE"""),315.0)</f>
        <v>315</v>
      </c>
      <c r="D1438" s="3">
        <f>IFERROR(__xludf.DUMMYFUNCTION("""COMPUTED_VALUE"""),178.0)</f>
        <v>178</v>
      </c>
      <c r="E1438" s="2"/>
      <c r="F1438" s="2"/>
    </row>
    <row r="1439">
      <c r="A1439" s="2">
        <f>IFERROR(__xludf.DUMMYFUNCTION("""COMPUTED_VALUE"""),73190.0)</f>
        <v>73190</v>
      </c>
      <c r="B1439" s="2">
        <f>IFERROR(__xludf.DUMMYFUNCTION("""COMPUTED_VALUE"""),0.0)</f>
        <v>0</v>
      </c>
      <c r="C1439" s="2">
        <f>IFERROR(__xludf.DUMMYFUNCTION("""COMPUTED_VALUE"""),765.0)</f>
        <v>765</v>
      </c>
      <c r="D1439" s="3">
        <f>IFERROR(__xludf.DUMMYFUNCTION("""COMPUTED_VALUE"""),45.0)</f>
        <v>45</v>
      </c>
      <c r="E1439" s="2"/>
      <c r="F1439" s="2"/>
    </row>
    <row r="1440">
      <c r="A1440" s="2">
        <f>IFERROR(__xludf.DUMMYFUNCTION("""COMPUTED_VALUE"""),112169.0)</f>
        <v>112169</v>
      </c>
      <c r="B1440" s="2">
        <f>IFERROR(__xludf.DUMMYFUNCTION("""COMPUTED_VALUE"""),0.0)</f>
        <v>0</v>
      </c>
      <c r="C1440" s="2">
        <f>IFERROR(__xludf.DUMMYFUNCTION("""COMPUTED_VALUE"""),24.0)</f>
        <v>24</v>
      </c>
      <c r="D1440" s="3">
        <f>IFERROR(__xludf.DUMMYFUNCTION("""COMPUTED_VALUE"""),6.0)</f>
        <v>6</v>
      </c>
      <c r="E1440" s="2"/>
      <c r="F1440" s="2"/>
    </row>
    <row r="1441">
      <c r="A1441" s="2">
        <f>IFERROR(__xludf.DUMMYFUNCTION("""COMPUTED_VALUE"""),120695.0)</f>
        <v>120695</v>
      </c>
      <c r="B1441" s="2">
        <f>IFERROR(__xludf.DUMMYFUNCTION("""COMPUTED_VALUE"""),1.0)</f>
        <v>1</v>
      </c>
      <c r="C1441" s="2">
        <f>IFERROR(__xludf.DUMMYFUNCTION("""COMPUTED_VALUE"""),495.0)</f>
        <v>495</v>
      </c>
      <c r="D1441" s="3">
        <f>IFERROR(__xludf.DUMMYFUNCTION("""COMPUTED_VALUE"""),257.0)</f>
        <v>257</v>
      </c>
      <c r="E1441" s="2"/>
      <c r="F1441" s="2"/>
    </row>
    <row r="1442">
      <c r="A1442" s="2">
        <f>IFERROR(__xludf.DUMMYFUNCTION("""COMPUTED_VALUE"""),80270.0)</f>
        <v>80270</v>
      </c>
      <c r="B1442" s="2">
        <f>IFERROR(__xludf.DUMMYFUNCTION("""COMPUTED_VALUE"""),0.0)</f>
        <v>0</v>
      </c>
      <c r="C1442" s="2">
        <f>IFERROR(__xludf.DUMMYFUNCTION("""COMPUTED_VALUE"""),421.0)</f>
        <v>421</v>
      </c>
      <c r="D1442" s="3">
        <f>IFERROR(__xludf.DUMMYFUNCTION("""COMPUTED_VALUE"""),10.0)</f>
        <v>10</v>
      </c>
      <c r="E1442" s="2"/>
      <c r="F1442" s="2"/>
    </row>
    <row r="1443">
      <c r="A1443" s="2">
        <f>IFERROR(__xludf.DUMMYFUNCTION("""COMPUTED_VALUE"""),5795.0)</f>
        <v>5795</v>
      </c>
      <c r="B1443" s="2">
        <f>IFERROR(__xludf.DUMMYFUNCTION("""COMPUTED_VALUE"""),1.0)</f>
        <v>1</v>
      </c>
      <c r="C1443" s="2">
        <f>IFERROR(__xludf.DUMMYFUNCTION("""COMPUTED_VALUE"""),698.0)</f>
        <v>698</v>
      </c>
      <c r="D1443" s="3">
        <f>IFERROR(__xludf.DUMMYFUNCTION("""COMPUTED_VALUE"""),550.0)</f>
        <v>550</v>
      </c>
      <c r="E1443" s="2"/>
      <c r="F1443" s="2"/>
    </row>
    <row r="1444">
      <c r="A1444" s="2">
        <f>IFERROR(__xludf.DUMMYFUNCTION("""COMPUTED_VALUE"""),107316.0)</f>
        <v>107316</v>
      </c>
      <c r="B1444" s="2">
        <f>IFERROR(__xludf.DUMMYFUNCTION("""COMPUTED_VALUE"""),1.0)</f>
        <v>1</v>
      </c>
      <c r="C1444" s="2">
        <f>IFERROR(__xludf.DUMMYFUNCTION("""COMPUTED_VALUE"""),854.0)</f>
        <v>854</v>
      </c>
      <c r="D1444" s="3">
        <f>IFERROR(__xludf.DUMMYFUNCTION("""COMPUTED_VALUE"""),310.0)</f>
        <v>310</v>
      </c>
      <c r="E1444" s="2"/>
      <c r="F1444" s="2"/>
    </row>
    <row r="1445">
      <c r="A1445" s="2">
        <f>IFERROR(__xludf.DUMMYFUNCTION("""COMPUTED_VALUE"""),78482.0)</f>
        <v>78482</v>
      </c>
      <c r="B1445" s="2">
        <f>IFERROR(__xludf.DUMMYFUNCTION("""COMPUTED_VALUE"""),1.0)</f>
        <v>1</v>
      </c>
      <c r="C1445" s="2">
        <f>IFERROR(__xludf.DUMMYFUNCTION("""COMPUTED_VALUE"""),180.0)</f>
        <v>180</v>
      </c>
      <c r="D1445" s="3">
        <f>IFERROR(__xludf.DUMMYFUNCTION("""COMPUTED_VALUE"""),145.0)</f>
        <v>145</v>
      </c>
      <c r="E1445" s="2"/>
      <c r="F1445" s="2"/>
    </row>
    <row r="1446">
      <c r="A1446" s="2">
        <f>IFERROR(__xludf.DUMMYFUNCTION("""COMPUTED_VALUE"""),158473.0)</f>
        <v>158473</v>
      </c>
      <c r="B1446" s="2">
        <f>IFERROR(__xludf.DUMMYFUNCTION("""COMPUTED_VALUE"""),0.0)</f>
        <v>0</v>
      </c>
      <c r="C1446" s="2">
        <f>IFERROR(__xludf.DUMMYFUNCTION("""COMPUTED_VALUE"""),261.0)</f>
        <v>261</v>
      </c>
      <c r="D1446" s="3">
        <f>IFERROR(__xludf.DUMMYFUNCTION("""COMPUTED_VALUE"""),106.0)</f>
        <v>106</v>
      </c>
      <c r="E1446" s="2"/>
      <c r="F1446" s="2"/>
    </row>
    <row r="1447">
      <c r="A1447" s="2">
        <f>IFERROR(__xludf.DUMMYFUNCTION("""COMPUTED_VALUE"""),109308.0)</f>
        <v>109308</v>
      </c>
      <c r="B1447" s="2">
        <f>IFERROR(__xludf.DUMMYFUNCTION("""COMPUTED_VALUE"""),0.0)</f>
        <v>0</v>
      </c>
      <c r="C1447" s="2">
        <f>IFERROR(__xludf.DUMMYFUNCTION("""COMPUTED_VALUE"""),95.0)</f>
        <v>95</v>
      </c>
      <c r="D1447" s="3">
        <f>IFERROR(__xludf.DUMMYFUNCTION("""COMPUTED_VALUE"""),30.0)</f>
        <v>30</v>
      </c>
      <c r="E1447" s="2"/>
      <c r="F1447" s="2"/>
    </row>
    <row r="1448">
      <c r="A1448" s="2">
        <f>IFERROR(__xludf.DUMMYFUNCTION("""COMPUTED_VALUE"""),78507.0)</f>
        <v>78507</v>
      </c>
      <c r="B1448" s="2">
        <f>IFERROR(__xludf.DUMMYFUNCTION("""COMPUTED_VALUE"""),1.0)</f>
        <v>1</v>
      </c>
      <c r="C1448" s="2">
        <f>IFERROR(__xludf.DUMMYFUNCTION("""COMPUTED_VALUE"""),264.0)</f>
        <v>264</v>
      </c>
      <c r="D1448" s="3">
        <f>IFERROR(__xludf.DUMMYFUNCTION("""COMPUTED_VALUE"""),206.0)</f>
        <v>206</v>
      </c>
      <c r="E1448" s="2"/>
      <c r="F1448" s="2"/>
    </row>
    <row r="1449">
      <c r="A1449" s="2">
        <f>IFERROR(__xludf.DUMMYFUNCTION("""COMPUTED_VALUE"""),100827.0)</f>
        <v>100827</v>
      </c>
      <c r="B1449" s="2">
        <f>IFERROR(__xludf.DUMMYFUNCTION("""COMPUTED_VALUE"""),0.0)</f>
        <v>0</v>
      </c>
      <c r="C1449" s="2">
        <f>IFERROR(__xludf.DUMMYFUNCTION("""COMPUTED_VALUE"""),548.0)</f>
        <v>548</v>
      </c>
      <c r="D1449" s="3">
        <f>IFERROR(__xludf.DUMMYFUNCTION("""COMPUTED_VALUE"""),59.0)</f>
        <v>59</v>
      </c>
      <c r="E1449" s="2"/>
      <c r="F1449" s="2"/>
    </row>
    <row r="1450">
      <c r="A1450" s="2">
        <f>IFERROR(__xludf.DUMMYFUNCTION("""COMPUTED_VALUE"""),102189.0)</f>
        <v>102189</v>
      </c>
      <c r="B1450" s="2">
        <f>IFERROR(__xludf.DUMMYFUNCTION("""COMPUTED_VALUE"""),0.0)</f>
        <v>0</v>
      </c>
      <c r="C1450" s="2">
        <f>IFERROR(__xludf.DUMMYFUNCTION("""COMPUTED_VALUE"""),504.0)</f>
        <v>504</v>
      </c>
      <c r="D1450" s="3">
        <f>IFERROR(__xludf.DUMMYFUNCTION("""COMPUTED_VALUE"""),187.0)</f>
        <v>187</v>
      </c>
      <c r="E1450" s="2"/>
      <c r="F1450" s="2"/>
    </row>
    <row r="1451">
      <c r="A1451" s="2">
        <f>IFERROR(__xludf.DUMMYFUNCTION("""COMPUTED_VALUE"""),10522.0)</f>
        <v>10522</v>
      </c>
      <c r="B1451" s="2">
        <f>IFERROR(__xludf.DUMMYFUNCTION("""COMPUTED_VALUE"""),1.0)</f>
        <v>1</v>
      </c>
      <c r="C1451" s="2">
        <f>IFERROR(__xludf.DUMMYFUNCTION("""COMPUTED_VALUE"""),606.0)</f>
        <v>606</v>
      </c>
      <c r="D1451" s="3">
        <f>IFERROR(__xludf.DUMMYFUNCTION("""COMPUTED_VALUE"""),178.0)</f>
        <v>178</v>
      </c>
      <c r="E1451" s="2"/>
      <c r="F1451" s="2"/>
    </row>
    <row r="1452">
      <c r="A1452" s="2">
        <f>IFERROR(__xludf.DUMMYFUNCTION("""COMPUTED_VALUE"""),78467.0)</f>
        <v>78467</v>
      </c>
      <c r="B1452" s="2">
        <f>IFERROR(__xludf.DUMMYFUNCTION("""COMPUTED_VALUE"""),1.0)</f>
        <v>1</v>
      </c>
      <c r="C1452" s="2">
        <f>IFERROR(__xludf.DUMMYFUNCTION("""COMPUTED_VALUE"""),544.0)</f>
        <v>544</v>
      </c>
      <c r="D1452" s="3">
        <f>IFERROR(__xludf.DUMMYFUNCTION("""COMPUTED_VALUE"""),266.0)</f>
        <v>266</v>
      </c>
      <c r="E1452" s="2"/>
      <c r="F1452" s="2"/>
    </row>
    <row r="1453">
      <c r="A1453" s="2">
        <f>IFERROR(__xludf.DUMMYFUNCTION("""COMPUTED_VALUE"""),84367.0)</f>
        <v>84367</v>
      </c>
      <c r="B1453" s="2">
        <f>IFERROR(__xludf.DUMMYFUNCTION("""COMPUTED_VALUE"""),1.0)</f>
        <v>1</v>
      </c>
      <c r="C1453" s="2">
        <f>IFERROR(__xludf.DUMMYFUNCTION("""COMPUTED_VALUE"""),844.0)</f>
        <v>844</v>
      </c>
      <c r="D1453" s="3">
        <f>IFERROR(__xludf.DUMMYFUNCTION("""COMPUTED_VALUE"""),538.0)</f>
        <v>538</v>
      </c>
      <c r="E1453" s="2"/>
      <c r="F1453" s="2"/>
    </row>
    <row r="1454">
      <c r="A1454" s="2">
        <f>IFERROR(__xludf.DUMMYFUNCTION("""COMPUTED_VALUE"""),87402.0)</f>
        <v>87402</v>
      </c>
      <c r="B1454" s="2">
        <f>IFERROR(__xludf.DUMMYFUNCTION("""COMPUTED_VALUE"""),0.0)</f>
        <v>0</v>
      </c>
      <c r="C1454" s="2">
        <f>IFERROR(__xludf.DUMMYFUNCTION("""COMPUTED_VALUE"""),177.0)</f>
        <v>177</v>
      </c>
      <c r="D1454" s="3">
        <f>IFERROR(__xludf.DUMMYFUNCTION("""COMPUTED_VALUE"""),95.0)</f>
        <v>95</v>
      </c>
      <c r="E1454" s="2"/>
      <c r="F1454" s="2"/>
    </row>
    <row r="1455">
      <c r="A1455" s="2">
        <f>IFERROR(__xludf.DUMMYFUNCTION("""COMPUTED_VALUE"""),44707.0)</f>
        <v>44707</v>
      </c>
      <c r="B1455" s="2">
        <f>IFERROR(__xludf.DUMMYFUNCTION("""COMPUTED_VALUE"""),0.0)</f>
        <v>0</v>
      </c>
      <c r="C1455" s="2">
        <f>IFERROR(__xludf.DUMMYFUNCTION("""COMPUTED_VALUE"""),802.0)</f>
        <v>802</v>
      </c>
      <c r="D1455" s="3">
        <f>IFERROR(__xludf.DUMMYFUNCTION("""COMPUTED_VALUE"""),174.0)</f>
        <v>174</v>
      </c>
      <c r="E1455" s="2"/>
      <c r="F1455" s="2"/>
    </row>
    <row r="1456">
      <c r="A1456" s="2">
        <f>IFERROR(__xludf.DUMMYFUNCTION("""COMPUTED_VALUE"""),78400.0)</f>
        <v>78400</v>
      </c>
      <c r="B1456" s="2">
        <f>IFERROR(__xludf.DUMMYFUNCTION("""COMPUTED_VALUE"""),1.0)</f>
        <v>1</v>
      </c>
      <c r="C1456" s="2">
        <f>IFERROR(__xludf.DUMMYFUNCTION("""COMPUTED_VALUE"""),764.0)</f>
        <v>764</v>
      </c>
      <c r="D1456" s="3">
        <f>IFERROR(__xludf.DUMMYFUNCTION("""COMPUTED_VALUE"""),453.0)</f>
        <v>453</v>
      </c>
      <c r="E1456" s="2"/>
      <c r="F1456" s="2"/>
    </row>
    <row r="1457">
      <c r="A1457" s="2">
        <f>IFERROR(__xludf.DUMMYFUNCTION("""COMPUTED_VALUE"""),102188.0)</f>
        <v>102188</v>
      </c>
      <c r="B1457" s="2">
        <f>IFERROR(__xludf.DUMMYFUNCTION("""COMPUTED_VALUE"""),1.0)</f>
        <v>1</v>
      </c>
      <c r="C1457" s="2">
        <f>IFERROR(__xludf.DUMMYFUNCTION("""COMPUTED_VALUE"""),158.0)</f>
        <v>158</v>
      </c>
      <c r="D1457" s="3">
        <f>IFERROR(__xludf.DUMMYFUNCTION("""COMPUTED_VALUE"""),54.0)</f>
        <v>54</v>
      </c>
      <c r="E1457" s="2"/>
      <c r="F1457" s="2"/>
    </row>
    <row r="1458">
      <c r="A1458" s="2">
        <f>IFERROR(__xludf.DUMMYFUNCTION("""COMPUTED_VALUE"""),73173.0)</f>
        <v>73173</v>
      </c>
      <c r="B1458" s="2">
        <f>IFERROR(__xludf.DUMMYFUNCTION("""COMPUTED_VALUE"""),1.0)</f>
        <v>1</v>
      </c>
      <c r="C1458" s="2">
        <f>IFERROR(__xludf.DUMMYFUNCTION("""COMPUTED_VALUE"""),680.0)</f>
        <v>680</v>
      </c>
      <c r="D1458" s="3">
        <f>IFERROR(__xludf.DUMMYFUNCTION("""COMPUTED_VALUE"""),9.0)</f>
        <v>9</v>
      </c>
      <c r="E1458" s="2"/>
      <c r="F1458" s="2"/>
    </row>
    <row r="1459">
      <c r="A1459" s="2">
        <f>IFERROR(__xludf.DUMMYFUNCTION("""COMPUTED_VALUE"""),76661.0)</f>
        <v>76661</v>
      </c>
      <c r="B1459" s="2">
        <f>IFERROR(__xludf.DUMMYFUNCTION("""COMPUTED_VALUE"""),0.0)</f>
        <v>0</v>
      </c>
      <c r="C1459" s="2">
        <f>IFERROR(__xludf.DUMMYFUNCTION("""COMPUTED_VALUE"""),311.0)</f>
        <v>311</v>
      </c>
      <c r="D1459" s="3">
        <f>IFERROR(__xludf.DUMMYFUNCTION("""COMPUTED_VALUE"""),68.0)</f>
        <v>68</v>
      </c>
      <c r="E1459" s="2"/>
      <c r="F1459" s="2"/>
    </row>
    <row r="1460">
      <c r="A1460" s="2">
        <f>IFERROR(__xludf.DUMMYFUNCTION("""COMPUTED_VALUE"""),78479.0)</f>
        <v>78479</v>
      </c>
      <c r="B1460" s="2">
        <f>IFERROR(__xludf.DUMMYFUNCTION("""COMPUTED_VALUE"""),0.0)</f>
        <v>0</v>
      </c>
      <c r="C1460" s="2">
        <f>IFERROR(__xludf.DUMMYFUNCTION("""COMPUTED_VALUE"""),367.0)</f>
        <v>367</v>
      </c>
      <c r="D1460" s="3">
        <f>IFERROR(__xludf.DUMMYFUNCTION("""COMPUTED_VALUE"""),267.0)</f>
        <v>267</v>
      </c>
      <c r="E1460" s="2"/>
      <c r="F1460" s="2"/>
    </row>
    <row r="1461">
      <c r="A1461" s="2">
        <f>IFERROR(__xludf.DUMMYFUNCTION("""COMPUTED_VALUE"""),103401.0)</f>
        <v>103401</v>
      </c>
      <c r="B1461" s="2">
        <f>IFERROR(__xludf.DUMMYFUNCTION("""COMPUTED_VALUE"""),0.0)</f>
        <v>0</v>
      </c>
      <c r="C1461" s="2">
        <f>IFERROR(__xludf.DUMMYFUNCTION("""COMPUTED_VALUE"""),317.0)</f>
        <v>317</v>
      </c>
      <c r="D1461" s="3">
        <f>IFERROR(__xludf.DUMMYFUNCTION("""COMPUTED_VALUE"""),59.0)</f>
        <v>59</v>
      </c>
      <c r="E1461" s="2"/>
      <c r="F1461" s="2"/>
    </row>
    <row r="1462">
      <c r="A1462" s="2">
        <f>IFERROR(__xludf.DUMMYFUNCTION("""COMPUTED_VALUE"""),83340.0)</f>
        <v>83340</v>
      </c>
      <c r="B1462" s="2">
        <f>IFERROR(__xludf.DUMMYFUNCTION("""COMPUTED_VALUE"""),0.0)</f>
        <v>0</v>
      </c>
      <c r="C1462" s="2">
        <f>IFERROR(__xludf.DUMMYFUNCTION("""COMPUTED_VALUE"""),688.0)</f>
        <v>688</v>
      </c>
      <c r="D1462" s="3">
        <f>IFERROR(__xludf.DUMMYFUNCTION("""COMPUTED_VALUE"""),304.0)</f>
        <v>304</v>
      </c>
      <c r="E1462" s="2"/>
      <c r="F1462" s="2"/>
    </row>
    <row r="1463">
      <c r="A1463" s="2">
        <f>IFERROR(__xludf.DUMMYFUNCTION("""COMPUTED_VALUE"""),44725.0)</f>
        <v>44725</v>
      </c>
      <c r="B1463" s="2">
        <f>IFERROR(__xludf.DUMMYFUNCTION("""COMPUTED_VALUE"""),0.0)</f>
        <v>0</v>
      </c>
      <c r="C1463" s="2">
        <f>IFERROR(__xludf.DUMMYFUNCTION("""COMPUTED_VALUE"""),522.0)</f>
        <v>522</v>
      </c>
      <c r="D1463" s="3">
        <f>IFERROR(__xludf.DUMMYFUNCTION("""COMPUTED_VALUE"""),123.0)</f>
        <v>123</v>
      </c>
      <c r="E1463" s="2"/>
      <c r="F1463" s="2"/>
    </row>
    <row r="1464">
      <c r="A1464" s="2">
        <f>IFERROR(__xludf.DUMMYFUNCTION("""COMPUTED_VALUE"""),109311.0)</f>
        <v>109311</v>
      </c>
      <c r="B1464" s="2">
        <f>IFERROR(__xludf.DUMMYFUNCTION("""COMPUTED_VALUE"""),1.0)</f>
        <v>1</v>
      </c>
      <c r="C1464" s="2">
        <f>IFERROR(__xludf.DUMMYFUNCTION("""COMPUTED_VALUE"""),235.0)</f>
        <v>235</v>
      </c>
      <c r="D1464" s="3">
        <f>IFERROR(__xludf.DUMMYFUNCTION("""COMPUTED_VALUE"""),229.0)</f>
        <v>229</v>
      </c>
      <c r="E1464" s="2"/>
      <c r="F1464" s="2"/>
    </row>
    <row r="1465">
      <c r="A1465" s="2">
        <f>IFERROR(__xludf.DUMMYFUNCTION("""COMPUTED_VALUE"""),133901.0)</f>
        <v>133901</v>
      </c>
      <c r="B1465" s="2">
        <f>IFERROR(__xludf.DUMMYFUNCTION("""COMPUTED_VALUE"""),1.0)</f>
        <v>1</v>
      </c>
      <c r="C1465" s="2">
        <f>IFERROR(__xludf.DUMMYFUNCTION("""COMPUTED_VALUE"""),221.0)</f>
        <v>221</v>
      </c>
      <c r="D1465" s="3">
        <f>IFERROR(__xludf.DUMMYFUNCTION("""COMPUTED_VALUE"""),206.0)</f>
        <v>206</v>
      </c>
      <c r="E1465" s="2"/>
      <c r="F1465" s="2"/>
    </row>
    <row r="1466">
      <c r="A1466" s="2">
        <f>IFERROR(__xludf.DUMMYFUNCTION("""COMPUTED_VALUE"""),92678.0)</f>
        <v>92678</v>
      </c>
      <c r="B1466" s="2">
        <f>IFERROR(__xludf.DUMMYFUNCTION("""COMPUTED_VALUE"""),1.0)</f>
        <v>1</v>
      </c>
      <c r="C1466" s="2">
        <f>IFERROR(__xludf.DUMMYFUNCTION("""COMPUTED_VALUE"""),175.0)</f>
        <v>175</v>
      </c>
      <c r="D1466" s="3">
        <f>IFERROR(__xludf.DUMMYFUNCTION("""COMPUTED_VALUE"""),108.0)</f>
        <v>108</v>
      </c>
      <c r="E1466" s="2"/>
      <c r="F1466" s="2"/>
    </row>
    <row r="1467">
      <c r="A1467" s="2">
        <f>IFERROR(__xludf.DUMMYFUNCTION("""COMPUTED_VALUE"""),82447.0)</f>
        <v>82447</v>
      </c>
      <c r="B1467" s="2">
        <f>IFERROR(__xludf.DUMMYFUNCTION("""COMPUTED_VALUE"""),0.0)</f>
        <v>0</v>
      </c>
      <c r="C1467" s="2">
        <f>IFERROR(__xludf.DUMMYFUNCTION("""COMPUTED_VALUE"""),56.0)</f>
        <v>56</v>
      </c>
      <c r="D1467" s="3">
        <f>IFERROR(__xludf.DUMMYFUNCTION("""COMPUTED_VALUE"""),27.0)</f>
        <v>27</v>
      </c>
      <c r="E1467" s="2"/>
      <c r="F1467" s="2"/>
    </row>
    <row r="1468">
      <c r="A1468" s="2">
        <f>IFERROR(__xludf.DUMMYFUNCTION("""COMPUTED_VALUE"""),110126.0)</f>
        <v>110126</v>
      </c>
      <c r="B1468" s="2">
        <f>IFERROR(__xludf.DUMMYFUNCTION("""COMPUTED_VALUE"""),1.0)</f>
        <v>1</v>
      </c>
      <c r="C1468" s="2">
        <f>IFERROR(__xludf.DUMMYFUNCTION("""COMPUTED_VALUE"""),750.0)</f>
        <v>750</v>
      </c>
      <c r="D1468" s="3">
        <f>IFERROR(__xludf.DUMMYFUNCTION("""COMPUTED_VALUE"""),482.0)</f>
        <v>482</v>
      </c>
      <c r="E1468" s="2"/>
      <c r="F1468" s="2"/>
    </row>
    <row r="1469">
      <c r="A1469" s="2">
        <f>IFERROR(__xludf.DUMMYFUNCTION("""COMPUTED_VALUE"""),3219.0)</f>
        <v>3219</v>
      </c>
      <c r="B1469" s="2">
        <f>IFERROR(__xludf.DUMMYFUNCTION("""COMPUTED_VALUE"""),0.0)</f>
        <v>0</v>
      </c>
      <c r="C1469" s="2">
        <f>IFERROR(__xludf.DUMMYFUNCTION("""COMPUTED_VALUE"""),857.0)</f>
        <v>857</v>
      </c>
      <c r="D1469" s="3">
        <f>IFERROR(__xludf.DUMMYFUNCTION("""COMPUTED_VALUE"""),339.0)</f>
        <v>339</v>
      </c>
      <c r="E1469" s="2"/>
      <c r="F1469" s="2"/>
    </row>
    <row r="1470">
      <c r="A1470" s="2">
        <f>IFERROR(__xludf.DUMMYFUNCTION("""COMPUTED_VALUE"""),127007.0)</f>
        <v>127007</v>
      </c>
      <c r="B1470" s="2">
        <f>IFERROR(__xludf.DUMMYFUNCTION("""COMPUTED_VALUE"""),0.0)</f>
        <v>0</v>
      </c>
      <c r="C1470" s="2">
        <f>IFERROR(__xludf.DUMMYFUNCTION("""COMPUTED_VALUE"""),448.0)</f>
        <v>448</v>
      </c>
      <c r="D1470" s="3">
        <f>IFERROR(__xludf.DUMMYFUNCTION("""COMPUTED_VALUE"""),436.0)</f>
        <v>436</v>
      </c>
      <c r="E1470" s="2"/>
      <c r="F1470" s="2"/>
    </row>
    <row r="1471">
      <c r="A1471" s="2">
        <f>IFERROR(__xludf.DUMMYFUNCTION("""COMPUTED_VALUE"""),102277.0)</f>
        <v>102277</v>
      </c>
      <c r="B1471" s="2">
        <f>IFERROR(__xludf.DUMMYFUNCTION("""COMPUTED_VALUE"""),1.0)</f>
        <v>1</v>
      </c>
      <c r="C1471" s="2">
        <f>IFERROR(__xludf.DUMMYFUNCTION("""COMPUTED_VALUE"""),291.0)</f>
        <v>291</v>
      </c>
      <c r="D1471" s="3">
        <f>IFERROR(__xludf.DUMMYFUNCTION("""COMPUTED_VALUE"""),33.0)</f>
        <v>33</v>
      </c>
      <c r="E1471" s="2"/>
      <c r="F1471" s="2"/>
    </row>
    <row r="1472">
      <c r="A1472" s="2">
        <f>IFERROR(__xludf.DUMMYFUNCTION("""COMPUTED_VALUE"""),122544.0)</f>
        <v>122544</v>
      </c>
      <c r="B1472" s="2">
        <f>IFERROR(__xludf.DUMMYFUNCTION("""COMPUTED_VALUE"""),1.0)</f>
        <v>1</v>
      </c>
      <c r="C1472" s="2">
        <f>IFERROR(__xludf.DUMMYFUNCTION("""COMPUTED_VALUE"""),235.0)</f>
        <v>235</v>
      </c>
      <c r="D1472" s="3">
        <f>IFERROR(__xludf.DUMMYFUNCTION("""COMPUTED_VALUE"""),127.0)</f>
        <v>127</v>
      </c>
      <c r="E1472" s="2"/>
      <c r="F1472" s="2"/>
    </row>
    <row r="1473">
      <c r="A1473" s="2">
        <f>IFERROR(__xludf.DUMMYFUNCTION("""COMPUTED_VALUE"""),91486.0)</f>
        <v>91486</v>
      </c>
      <c r="B1473" s="2">
        <f>IFERROR(__xludf.DUMMYFUNCTION("""COMPUTED_VALUE"""),0.0)</f>
        <v>0</v>
      </c>
      <c r="C1473" s="2">
        <f>IFERROR(__xludf.DUMMYFUNCTION("""COMPUTED_VALUE"""),641.0)</f>
        <v>641</v>
      </c>
      <c r="D1473" s="3">
        <f>IFERROR(__xludf.DUMMYFUNCTION("""COMPUTED_VALUE"""),621.0)</f>
        <v>621</v>
      </c>
      <c r="E1473" s="2"/>
      <c r="F1473" s="2"/>
    </row>
    <row r="1474">
      <c r="A1474" s="2">
        <f>IFERROR(__xludf.DUMMYFUNCTION("""COMPUTED_VALUE"""),28009.0)</f>
        <v>28009</v>
      </c>
      <c r="B1474" s="2">
        <f>IFERROR(__xludf.DUMMYFUNCTION("""COMPUTED_VALUE"""),0.0)</f>
        <v>0</v>
      </c>
      <c r="C1474" s="2">
        <f>IFERROR(__xludf.DUMMYFUNCTION("""COMPUTED_VALUE"""),958.0)</f>
        <v>958</v>
      </c>
      <c r="D1474" s="3">
        <f>IFERROR(__xludf.DUMMYFUNCTION("""COMPUTED_VALUE"""),902.0)</f>
        <v>902</v>
      </c>
      <c r="E1474" s="2"/>
      <c r="F1474" s="2"/>
    </row>
    <row r="1475">
      <c r="A1475" s="2">
        <f>IFERROR(__xludf.DUMMYFUNCTION("""COMPUTED_VALUE"""),110814.0)</f>
        <v>110814</v>
      </c>
      <c r="B1475" s="2">
        <f>IFERROR(__xludf.DUMMYFUNCTION("""COMPUTED_VALUE"""),1.0)</f>
        <v>1</v>
      </c>
      <c r="C1475" s="2">
        <f>IFERROR(__xludf.DUMMYFUNCTION("""COMPUTED_VALUE"""),452.0)</f>
        <v>452</v>
      </c>
      <c r="D1475" s="3">
        <f>IFERROR(__xludf.DUMMYFUNCTION("""COMPUTED_VALUE"""),430.0)</f>
        <v>430</v>
      </c>
      <c r="E1475" s="2"/>
      <c r="F1475" s="2"/>
    </row>
    <row r="1476">
      <c r="A1476" s="2">
        <f>IFERROR(__xludf.DUMMYFUNCTION("""COMPUTED_VALUE"""),117437.0)</f>
        <v>117437</v>
      </c>
      <c r="B1476" s="2">
        <f>IFERROR(__xludf.DUMMYFUNCTION("""COMPUTED_VALUE"""),0.0)</f>
        <v>0</v>
      </c>
      <c r="C1476" s="2">
        <f>IFERROR(__xludf.DUMMYFUNCTION("""COMPUTED_VALUE"""),272.0)</f>
        <v>272</v>
      </c>
      <c r="D1476" s="3">
        <f>IFERROR(__xludf.DUMMYFUNCTION("""COMPUTED_VALUE"""),169.0)</f>
        <v>169</v>
      </c>
      <c r="E1476" s="2"/>
      <c r="F1476" s="2"/>
    </row>
    <row r="1477">
      <c r="A1477" s="2">
        <f>IFERROR(__xludf.DUMMYFUNCTION("""COMPUTED_VALUE"""),23074.0)</f>
        <v>23074</v>
      </c>
      <c r="B1477" s="2">
        <f>IFERROR(__xludf.DUMMYFUNCTION("""COMPUTED_VALUE"""),1.0)</f>
        <v>1</v>
      </c>
      <c r="C1477" s="2">
        <f>IFERROR(__xludf.DUMMYFUNCTION("""COMPUTED_VALUE"""),670.0)</f>
        <v>670</v>
      </c>
      <c r="D1477" s="3">
        <f>IFERROR(__xludf.DUMMYFUNCTION("""COMPUTED_VALUE"""),504.0)</f>
        <v>504</v>
      </c>
      <c r="E1477" s="2"/>
      <c r="F1477" s="2"/>
    </row>
    <row r="1478">
      <c r="A1478" s="2">
        <f>IFERROR(__xludf.DUMMYFUNCTION("""COMPUTED_VALUE"""),8900.0)</f>
        <v>8900</v>
      </c>
      <c r="B1478" s="2">
        <f>IFERROR(__xludf.DUMMYFUNCTION("""COMPUTED_VALUE"""),0.0)</f>
        <v>0</v>
      </c>
      <c r="C1478" s="2">
        <f>IFERROR(__xludf.DUMMYFUNCTION("""COMPUTED_VALUE"""),457.0)</f>
        <v>457</v>
      </c>
      <c r="D1478" s="3">
        <f>IFERROR(__xludf.DUMMYFUNCTION("""COMPUTED_VALUE"""),90.0)</f>
        <v>90</v>
      </c>
      <c r="E1478" s="2"/>
      <c r="F1478" s="2"/>
    </row>
    <row r="1479">
      <c r="A1479" s="2">
        <f>IFERROR(__xludf.DUMMYFUNCTION("""COMPUTED_VALUE"""),92676.0)</f>
        <v>92676</v>
      </c>
      <c r="B1479" s="2">
        <f>IFERROR(__xludf.DUMMYFUNCTION("""COMPUTED_VALUE"""),1.0)</f>
        <v>1</v>
      </c>
      <c r="C1479" s="2">
        <f>IFERROR(__xludf.DUMMYFUNCTION("""COMPUTED_VALUE"""),777.0)</f>
        <v>777</v>
      </c>
      <c r="D1479" s="3">
        <f>IFERROR(__xludf.DUMMYFUNCTION("""COMPUTED_VALUE"""),220.0)</f>
        <v>220</v>
      </c>
      <c r="E1479" s="2"/>
      <c r="F1479" s="2"/>
    </row>
    <row r="1480">
      <c r="A1480" s="2">
        <f>IFERROR(__xludf.DUMMYFUNCTION("""COMPUTED_VALUE"""),117266.0)</f>
        <v>117266</v>
      </c>
      <c r="B1480" s="2">
        <f>IFERROR(__xludf.DUMMYFUNCTION("""COMPUTED_VALUE"""),1.0)</f>
        <v>1</v>
      </c>
      <c r="C1480" s="2">
        <f>IFERROR(__xludf.DUMMYFUNCTION("""COMPUTED_VALUE"""),644.0)</f>
        <v>644</v>
      </c>
      <c r="D1480" s="3">
        <f>IFERROR(__xludf.DUMMYFUNCTION("""COMPUTED_VALUE"""),89.0)</f>
        <v>89</v>
      </c>
      <c r="E1480" s="2"/>
      <c r="F1480" s="2"/>
    </row>
    <row r="1481">
      <c r="A1481" s="2">
        <f>IFERROR(__xludf.DUMMYFUNCTION("""COMPUTED_VALUE"""),14527.0)</f>
        <v>14527</v>
      </c>
      <c r="B1481" s="2">
        <f>IFERROR(__xludf.DUMMYFUNCTION("""COMPUTED_VALUE"""),1.0)</f>
        <v>1</v>
      </c>
      <c r="C1481" s="2">
        <f>IFERROR(__xludf.DUMMYFUNCTION("""COMPUTED_VALUE"""),257.0)</f>
        <v>257</v>
      </c>
      <c r="D1481" s="3">
        <f>IFERROR(__xludf.DUMMYFUNCTION("""COMPUTED_VALUE"""),221.0)</f>
        <v>221</v>
      </c>
      <c r="E1481" s="2"/>
      <c r="F1481" s="2"/>
    </row>
    <row r="1482">
      <c r="A1482" s="2">
        <f>IFERROR(__xludf.DUMMYFUNCTION("""COMPUTED_VALUE"""),27534.0)</f>
        <v>27534</v>
      </c>
      <c r="B1482" s="2">
        <f>IFERROR(__xludf.DUMMYFUNCTION("""COMPUTED_VALUE"""),0.0)</f>
        <v>0</v>
      </c>
      <c r="C1482" s="2">
        <f>IFERROR(__xludf.DUMMYFUNCTION("""COMPUTED_VALUE"""),380.0)</f>
        <v>380</v>
      </c>
      <c r="D1482" s="3">
        <f>IFERROR(__xludf.DUMMYFUNCTION("""COMPUTED_VALUE"""),147.0)</f>
        <v>147</v>
      </c>
      <c r="E1482" s="2"/>
      <c r="F1482" s="2"/>
    </row>
    <row r="1483">
      <c r="A1483" s="2">
        <f>IFERROR(__xludf.DUMMYFUNCTION("""COMPUTED_VALUE"""),91636.0)</f>
        <v>91636</v>
      </c>
      <c r="B1483" s="2">
        <f>IFERROR(__xludf.DUMMYFUNCTION("""COMPUTED_VALUE"""),1.0)</f>
        <v>1</v>
      </c>
      <c r="C1483" s="2">
        <f>IFERROR(__xludf.DUMMYFUNCTION("""COMPUTED_VALUE"""),861.0)</f>
        <v>861</v>
      </c>
      <c r="D1483" s="3">
        <f>IFERROR(__xludf.DUMMYFUNCTION("""COMPUTED_VALUE"""),67.0)</f>
        <v>67</v>
      </c>
      <c r="E1483" s="2"/>
      <c r="F1483" s="2"/>
    </row>
    <row r="1484">
      <c r="A1484" s="2">
        <f>IFERROR(__xludf.DUMMYFUNCTION("""COMPUTED_VALUE"""),120941.0)</f>
        <v>120941</v>
      </c>
      <c r="B1484" s="2">
        <f>IFERROR(__xludf.DUMMYFUNCTION("""COMPUTED_VALUE"""),0.0)</f>
        <v>0</v>
      </c>
      <c r="C1484" s="2">
        <f>IFERROR(__xludf.DUMMYFUNCTION("""COMPUTED_VALUE"""),58.0)</f>
        <v>58</v>
      </c>
      <c r="D1484" s="3">
        <f>IFERROR(__xludf.DUMMYFUNCTION("""COMPUTED_VALUE"""),21.0)</f>
        <v>21</v>
      </c>
      <c r="E1484" s="2"/>
      <c r="F1484" s="2"/>
    </row>
    <row r="1485">
      <c r="A1485" s="2">
        <f>IFERROR(__xludf.DUMMYFUNCTION("""COMPUTED_VALUE"""),111897.0)</f>
        <v>111897</v>
      </c>
      <c r="B1485" s="2">
        <f>IFERROR(__xludf.DUMMYFUNCTION("""COMPUTED_VALUE"""),0.0)</f>
        <v>0</v>
      </c>
      <c r="C1485" s="2">
        <f>IFERROR(__xludf.DUMMYFUNCTION("""COMPUTED_VALUE"""),52.0)</f>
        <v>52</v>
      </c>
      <c r="D1485" s="3">
        <f>IFERROR(__xludf.DUMMYFUNCTION("""COMPUTED_VALUE"""),5.0)</f>
        <v>5</v>
      </c>
      <c r="E1485" s="2"/>
      <c r="F1485" s="2"/>
    </row>
    <row r="1486">
      <c r="A1486" s="2">
        <f>IFERROR(__xludf.DUMMYFUNCTION("""COMPUTED_VALUE"""),158485.0)</f>
        <v>158485</v>
      </c>
      <c r="B1486" s="2">
        <f>IFERROR(__xludf.DUMMYFUNCTION("""COMPUTED_VALUE"""),1.0)</f>
        <v>1</v>
      </c>
      <c r="C1486" s="2">
        <f>IFERROR(__xludf.DUMMYFUNCTION("""COMPUTED_VALUE"""),406.0)</f>
        <v>406</v>
      </c>
      <c r="D1486" s="3">
        <f>IFERROR(__xludf.DUMMYFUNCTION("""COMPUTED_VALUE"""),307.0)</f>
        <v>307</v>
      </c>
      <c r="E1486" s="2"/>
      <c r="F1486" s="2"/>
    </row>
    <row r="1487">
      <c r="A1487" s="2">
        <f>IFERROR(__xludf.DUMMYFUNCTION("""COMPUTED_VALUE"""),199530.0)</f>
        <v>199530</v>
      </c>
      <c r="B1487" s="2">
        <f>IFERROR(__xludf.DUMMYFUNCTION("""COMPUTED_VALUE"""),0.0)</f>
        <v>0</v>
      </c>
      <c r="C1487" s="2">
        <f>IFERROR(__xludf.DUMMYFUNCTION("""COMPUTED_VALUE"""),113.0)</f>
        <v>113</v>
      </c>
      <c r="D1487" s="3">
        <f>IFERROR(__xludf.DUMMYFUNCTION("""COMPUTED_VALUE"""),28.0)</f>
        <v>28</v>
      </c>
      <c r="E1487" s="2"/>
      <c r="F1487" s="2"/>
    </row>
    <row r="1488">
      <c r="A1488" s="2">
        <f>IFERROR(__xludf.DUMMYFUNCTION("""COMPUTED_VALUE"""),120946.0)</f>
        <v>120946</v>
      </c>
      <c r="B1488" s="2">
        <f>IFERROR(__xludf.DUMMYFUNCTION("""COMPUTED_VALUE"""),1.0)</f>
        <v>1</v>
      </c>
      <c r="C1488" s="2">
        <f>IFERROR(__xludf.DUMMYFUNCTION("""COMPUTED_VALUE"""),578.0)</f>
        <v>578</v>
      </c>
      <c r="D1488" s="3">
        <f>IFERROR(__xludf.DUMMYFUNCTION("""COMPUTED_VALUE"""),57.0)</f>
        <v>57</v>
      </c>
      <c r="E1488" s="2"/>
      <c r="F1488" s="2"/>
    </row>
    <row r="1489">
      <c r="A1489" s="2">
        <f>IFERROR(__xludf.DUMMYFUNCTION("""COMPUTED_VALUE"""),82957.0)</f>
        <v>82957</v>
      </c>
      <c r="B1489" s="2">
        <f>IFERROR(__xludf.DUMMYFUNCTION("""COMPUTED_VALUE"""),0.0)</f>
        <v>0</v>
      </c>
      <c r="C1489" s="2">
        <f>IFERROR(__xludf.DUMMYFUNCTION("""COMPUTED_VALUE"""),393.0)</f>
        <v>393</v>
      </c>
      <c r="D1489" s="3">
        <f>IFERROR(__xludf.DUMMYFUNCTION("""COMPUTED_VALUE"""),39.0)</f>
        <v>39</v>
      </c>
      <c r="E1489" s="2"/>
      <c r="F1489" s="2"/>
    </row>
    <row r="1490">
      <c r="A1490" s="2">
        <f>IFERROR(__xludf.DUMMYFUNCTION("""COMPUTED_VALUE"""),109830.0)</f>
        <v>109830</v>
      </c>
      <c r="B1490" s="2">
        <f>IFERROR(__xludf.DUMMYFUNCTION("""COMPUTED_VALUE"""),0.0)</f>
        <v>0</v>
      </c>
      <c r="C1490" s="2">
        <f>IFERROR(__xludf.DUMMYFUNCTION("""COMPUTED_VALUE"""),915.0)</f>
        <v>915</v>
      </c>
      <c r="D1490" s="3">
        <f>IFERROR(__xludf.DUMMYFUNCTION("""COMPUTED_VALUE"""),392.0)</f>
        <v>392</v>
      </c>
      <c r="E1490" s="2"/>
      <c r="F1490" s="2"/>
    </row>
    <row r="1491">
      <c r="A1491" s="2">
        <f>IFERROR(__xludf.DUMMYFUNCTION("""COMPUTED_VALUE"""),109831.0)</f>
        <v>109831</v>
      </c>
      <c r="B1491" s="2">
        <f>IFERROR(__xludf.DUMMYFUNCTION("""COMPUTED_VALUE"""),1.0)</f>
        <v>1</v>
      </c>
      <c r="C1491" s="2">
        <f>IFERROR(__xludf.DUMMYFUNCTION("""COMPUTED_VALUE"""),513.0)</f>
        <v>513</v>
      </c>
      <c r="D1491" s="3">
        <f>IFERROR(__xludf.DUMMYFUNCTION("""COMPUTED_VALUE"""),236.0)</f>
        <v>236</v>
      </c>
      <c r="E1491" s="2"/>
      <c r="F1491" s="2"/>
    </row>
    <row r="1492">
      <c r="A1492" s="2">
        <f>IFERROR(__xludf.DUMMYFUNCTION("""COMPUTED_VALUE"""),107899.0)</f>
        <v>107899</v>
      </c>
      <c r="B1492" s="2">
        <f>IFERROR(__xludf.DUMMYFUNCTION("""COMPUTED_VALUE"""),1.0)</f>
        <v>1</v>
      </c>
      <c r="C1492" s="2">
        <f>IFERROR(__xludf.DUMMYFUNCTION("""COMPUTED_VALUE"""),862.0)</f>
        <v>862</v>
      </c>
      <c r="D1492" s="3">
        <f>IFERROR(__xludf.DUMMYFUNCTION("""COMPUTED_VALUE"""),620.0)</f>
        <v>620</v>
      </c>
      <c r="E1492" s="2"/>
      <c r="F1492" s="2"/>
    </row>
    <row r="1493">
      <c r="A1493" s="2">
        <f>IFERROR(__xludf.DUMMYFUNCTION("""COMPUTED_VALUE"""),139289.0)</f>
        <v>139289</v>
      </c>
      <c r="B1493" s="2">
        <f>IFERROR(__xludf.DUMMYFUNCTION("""COMPUTED_VALUE"""),1.0)</f>
        <v>1</v>
      </c>
      <c r="C1493" s="2">
        <f>IFERROR(__xludf.DUMMYFUNCTION("""COMPUTED_VALUE"""),631.0)</f>
        <v>631</v>
      </c>
      <c r="D1493" s="3">
        <f>IFERROR(__xludf.DUMMYFUNCTION("""COMPUTED_VALUE"""),227.0)</f>
        <v>227</v>
      </c>
      <c r="E1493" s="2"/>
      <c r="F1493" s="2"/>
    </row>
    <row r="1494">
      <c r="A1494" s="2">
        <f>IFERROR(__xludf.DUMMYFUNCTION("""COMPUTED_VALUE"""),72129.0)</f>
        <v>72129</v>
      </c>
      <c r="B1494" s="2">
        <f>IFERROR(__xludf.DUMMYFUNCTION("""COMPUTED_VALUE"""),0.0)</f>
        <v>0</v>
      </c>
      <c r="C1494" s="2">
        <f>IFERROR(__xludf.DUMMYFUNCTION("""COMPUTED_VALUE"""),384.0)</f>
        <v>384</v>
      </c>
      <c r="D1494" s="3">
        <f>IFERROR(__xludf.DUMMYFUNCTION("""COMPUTED_VALUE"""),317.0)</f>
        <v>317</v>
      </c>
      <c r="E1494" s="2"/>
      <c r="F1494" s="2"/>
    </row>
    <row r="1495">
      <c r="A1495" s="2">
        <f>IFERROR(__xludf.DUMMYFUNCTION("""COMPUTED_VALUE"""),106541.0)</f>
        <v>106541</v>
      </c>
      <c r="B1495" s="2">
        <f>IFERROR(__xludf.DUMMYFUNCTION("""COMPUTED_VALUE"""),0.0)</f>
        <v>0</v>
      </c>
      <c r="C1495" s="2">
        <f>IFERROR(__xludf.DUMMYFUNCTION("""COMPUTED_VALUE"""),67.0)</f>
        <v>67</v>
      </c>
      <c r="D1495" s="3">
        <f>IFERROR(__xludf.DUMMYFUNCTION("""COMPUTED_VALUE"""),35.0)</f>
        <v>35</v>
      </c>
      <c r="E1495" s="2"/>
      <c r="F1495" s="2"/>
    </row>
    <row r="1496">
      <c r="A1496" s="2">
        <f>IFERROR(__xludf.DUMMYFUNCTION("""COMPUTED_VALUE"""),43810.0)</f>
        <v>43810</v>
      </c>
      <c r="B1496" s="2">
        <f>IFERROR(__xludf.DUMMYFUNCTION("""COMPUTED_VALUE"""),0.0)</f>
        <v>0</v>
      </c>
      <c r="C1496" s="2">
        <f>IFERROR(__xludf.DUMMYFUNCTION("""COMPUTED_VALUE"""),671.0)</f>
        <v>671</v>
      </c>
      <c r="D1496" s="3">
        <f>IFERROR(__xludf.DUMMYFUNCTION("""COMPUTED_VALUE"""),607.0)</f>
        <v>607</v>
      </c>
      <c r="E1496" s="2"/>
      <c r="F1496" s="2"/>
    </row>
    <row r="1497">
      <c r="A1497" s="2">
        <f>IFERROR(__xludf.DUMMYFUNCTION("""COMPUTED_VALUE"""),83117.0)</f>
        <v>83117</v>
      </c>
      <c r="B1497" s="2">
        <f>IFERROR(__xludf.DUMMYFUNCTION("""COMPUTED_VALUE"""),0.0)</f>
        <v>0</v>
      </c>
      <c r="C1497" s="2">
        <f>IFERROR(__xludf.DUMMYFUNCTION("""COMPUTED_VALUE"""),408.0)</f>
        <v>408</v>
      </c>
      <c r="D1497" s="3">
        <f>IFERROR(__xludf.DUMMYFUNCTION("""COMPUTED_VALUE"""),262.0)</f>
        <v>262</v>
      </c>
      <c r="E1497" s="2"/>
      <c r="F1497" s="2"/>
    </row>
    <row r="1498">
      <c r="A1498" s="2">
        <f>IFERROR(__xludf.DUMMYFUNCTION("""COMPUTED_VALUE"""),78863.0)</f>
        <v>78863</v>
      </c>
      <c r="B1498" s="2">
        <f>IFERROR(__xludf.DUMMYFUNCTION("""COMPUTED_VALUE"""),0.0)</f>
        <v>0</v>
      </c>
      <c r="C1498" s="2">
        <f>IFERROR(__xludf.DUMMYFUNCTION("""COMPUTED_VALUE"""),120.0)</f>
        <v>120</v>
      </c>
      <c r="D1498" s="3">
        <f>IFERROR(__xludf.DUMMYFUNCTION("""COMPUTED_VALUE"""),88.0)</f>
        <v>88</v>
      </c>
      <c r="E1498" s="2"/>
      <c r="F1498" s="2"/>
    </row>
    <row r="1499">
      <c r="A1499" s="2">
        <f>IFERROR(__xludf.DUMMYFUNCTION("""COMPUTED_VALUE"""),107898.0)</f>
        <v>107898</v>
      </c>
      <c r="B1499" s="2">
        <f>IFERROR(__xludf.DUMMYFUNCTION("""COMPUTED_VALUE"""),0.0)</f>
        <v>0</v>
      </c>
      <c r="C1499" s="2">
        <f>IFERROR(__xludf.DUMMYFUNCTION("""COMPUTED_VALUE"""),18.0)</f>
        <v>18</v>
      </c>
      <c r="D1499" s="3">
        <f>IFERROR(__xludf.DUMMYFUNCTION("""COMPUTED_VALUE"""),2.0)</f>
        <v>2</v>
      </c>
      <c r="E1499" s="2"/>
      <c r="F1499" s="2"/>
    </row>
    <row r="1500">
      <c r="A1500" s="2">
        <f>IFERROR(__xludf.DUMMYFUNCTION("""COMPUTED_VALUE"""),80181.0)</f>
        <v>80181</v>
      </c>
      <c r="B1500" s="2">
        <f>IFERROR(__xludf.DUMMYFUNCTION("""COMPUTED_VALUE"""),1.0)</f>
        <v>1</v>
      </c>
      <c r="C1500" s="2">
        <f>IFERROR(__xludf.DUMMYFUNCTION("""COMPUTED_VALUE"""),171.0)</f>
        <v>171</v>
      </c>
      <c r="D1500" s="3">
        <f>IFERROR(__xludf.DUMMYFUNCTION("""COMPUTED_VALUE"""),29.0)</f>
        <v>29</v>
      </c>
      <c r="E1500" s="2"/>
      <c r="F1500" s="2"/>
    </row>
    <row r="1501">
      <c r="A1501" s="2">
        <f>IFERROR(__xludf.DUMMYFUNCTION("""COMPUTED_VALUE"""),150280.0)</f>
        <v>150280</v>
      </c>
      <c r="B1501" s="2">
        <f>IFERROR(__xludf.DUMMYFUNCTION("""COMPUTED_VALUE"""),1.0)</f>
        <v>1</v>
      </c>
      <c r="C1501" s="2">
        <f>IFERROR(__xludf.DUMMYFUNCTION("""COMPUTED_VALUE"""),170.0)</f>
        <v>170</v>
      </c>
      <c r="D1501" s="3">
        <f>IFERROR(__xludf.DUMMYFUNCTION("""COMPUTED_VALUE"""),41.0)</f>
        <v>41</v>
      </c>
      <c r="E1501" s="2"/>
      <c r="F1501" s="2"/>
    </row>
    <row r="1502">
      <c r="A1502" s="2">
        <f>IFERROR(__xludf.DUMMYFUNCTION("""COMPUTED_VALUE"""),80173.0)</f>
        <v>80173</v>
      </c>
      <c r="B1502" s="2">
        <f>IFERROR(__xludf.DUMMYFUNCTION("""COMPUTED_VALUE"""),0.0)</f>
        <v>0</v>
      </c>
      <c r="C1502" s="2">
        <f>IFERROR(__xludf.DUMMYFUNCTION("""COMPUTED_VALUE"""),19.0)</f>
        <v>19</v>
      </c>
      <c r="D1502" s="3">
        <f>IFERROR(__xludf.DUMMYFUNCTION("""COMPUTED_VALUE"""),4.0)</f>
        <v>4</v>
      </c>
      <c r="E1502" s="2"/>
      <c r="F1502" s="2"/>
    </row>
    <row r="1503">
      <c r="A1503" s="2">
        <f>IFERROR(__xludf.DUMMYFUNCTION("""COMPUTED_VALUE"""),100647.0)</f>
        <v>100647</v>
      </c>
      <c r="B1503" s="2">
        <f>IFERROR(__xludf.DUMMYFUNCTION("""COMPUTED_VALUE"""),1.0)</f>
        <v>1</v>
      </c>
      <c r="C1503" s="2">
        <f>IFERROR(__xludf.DUMMYFUNCTION("""COMPUTED_VALUE"""),807.0)</f>
        <v>807</v>
      </c>
      <c r="D1503" s="3">
        <f>IFERROR(__xludf.DUMMYFUNCTION("""COMPUTED_VALUE"""),565.0)</f>
        <v>565</v>
      </c>
      <c r="E1503" s="2"/>
      <c r="F1503" s="2"/>
    </row>
    <row r="1504">
      <c r="A1504" s="2">
        <f>IFERROR(__xludf.DUMMYFUNCTION("""COMPUTED_VALUE"""),147273.0)</f>
        <v>147273</v>
      </c>
      <c r="B1504" s="2">
        <f>IFERROR(__xludf.DUMMYFUNCTION("""COMPUTED_VALUE"""),1.0)</f>
        <v>1</v>
      </c>
      <c r="C1504" s="2">
        <f>IFERROR(__xludf.DUMMYFUNCTION("""COMPUTED_VALUE"""),650.0)</f>
        <v>650</v>
      </c>
      <c r="D1504" s="3">
        <f>IFERROR(__xludf.DUMMYFUNCTION("""COMPUTED_VALUE"""),293.0)</f>
        <v>293</v>
      </c>
      <c r="E1504" s="2"/>
      <c r="F1504" s="2"/>
    </row>
    <row r="1505">
      <c r="A1505" s="2">
        <f>IFERROR(__xludf.DUMMYFUNCTION("""COMPUTED_VALUE"""),83770.0)</f>
        <v>83770</v>
      </c>
      <c r="B1505" s="2">
        <f>IFERROR(__xludf.DUMMYFUNCTION("""COMPUTED_VALUE"""),1.0)</f>
        <v>1</v>
      </c>
      <c r="C1505" s="2">
        <f>IFERROR(__xludf.DUMMYFUNCTION("""COMPUTED_VALUE"""),77.0)</f>
        <v>77</v>
      </c>
      <c r="D1505" s="3">
        <f>IFERROR(__xludf.DUMMYFUNCTION("""COMPUTED_VALUE"""),70.0)</f>
        <v>70</v>
      </c>
      <c r="E1505" s="2"/>
      <c r="F1505" s="2"/>
    </row>
    <row r="1506">
      <c r="A1506" s="2">
        <f>IFERROR(__xludf.DUMMYFUNCTION("""COMPUTED_VALUE"""),180773.0)</f>
        <v>180773</v>
      </c>
      <c r="B1506" s="2">
        <f>IFERROR(__xludf.DUMMYFUNCTION("""COMPUTED_VALUE"""),1.0)</f>
        <v>1</v>
      </c>
      <c r="C1506" s="2">
        <f>IFERROR(__xludf.DUMMYFUNCTION("""COMPUTED_VALUE"""),14.0)</f>
        <v>14</v>
      </c>
      <c r="D1506" s="3">
        <f>IFERROR(__xludf.DUMMYFUNCTION("""COMPUTED_VALUE"""),1.0)</f>
        <v>1</v>
      </c>
      <c r="E1506" s="2"/>
      <c r="F1506" s="2"/>
    </row>
    <row r="1507">
      <c r="A1507" s="2">
        <f>IFERROR(__xludf.DUMMYFUNCTION("""COMPUTED_VALUE"""),80125.0)</f>
        <v>80125</v>
      </c>
      <c r="B1507" s="2">
        <f>IFERROR(__xludf.DUMMYFUNCTION("""COMPUTED_VALUE"""),0.0)</f>
        <v>0</v>
      </c>
      <c r="C1507" s="2">
        <f>IFERROR(__xludf.DUMMYFUNCTION("""COMPUTED_VALUE"""),149.0)</f>
        <v>149</v>
      </c>
      <c r="D1507" s="3">
        <f>IFERROR(__xludf.DUMMYFUNCTION("""COMPUTED_VALUE"""),94.0)</f>
        <v>94</v>
      </c>
      <c r="E1507" s="2"/>
      <c r="F1507" s="2"/>
    </row>
    <row r="1508">
      <c r="A1508" s="2">
        <f>IFERROR(__xludf.DUMMYFUNCTION("""COMPUTED_VALUE"""),89909.0)</f>
        <v>89909</v>
      </c>
      <c r="B1508" s="2">
        <f>IFERROR(__xludf.DUMMYFUNCTION("""COMPUTED_VALUE"""),1.0)</f>
        <v>1</v>
      </c>
      <c r="C1508" s="2">
        <f>IFERROR(__xludf.DUMMYFUNCTION("""COMPUTED_VALUE"""),647.0)</f>
        <v>647</v>
      </c>
      <c r="D1508" s="3">
        <f>IFERROR(__xludf.DUMMYFUNCTION("""COMPUTED_VALUE"""),171.0)</f>
        <v>171</v>
      </c>
      <c r="E1508" s="2"/>
      <c r="F1508" s="2"/>
    </row>
    <row r="1509">
      <c r="A1509" s="2">
        <f>IFERROR(__xludf.DUMMYFUNCTION("""COMPUTED_VALUE"""),80114.0)</f>
        <v>80114</v>
      </c>
      <c r="B1509" s="2">
        <f>IFERROR(__xludf.DUMMYFUNCTION("""COMPUTED_VALUE"""),1.0)</f>
        <v>1</v>
      </c>
      <c r="C1509" s="2">
        <f>IFERROR(__xludf.DUMMYFUNCTION("""COMPUTED_VALUE"""),286.0)</f>
        <v>286</v>
      </c>
      <c r="D1509" s="3">
        <f>IFERROR(__xludf.DUMMYFUNCTION("""COMPUTED_VALUE"""),34.0)</f>
        <v>34</v>
      </c>
      <c r="E1509" s="2"/>
      <c r="F1509" s="2"/>
    </row>
    <row r="1510">
      <c r="A1510" s="2">
        <f>IFERROR(__xludf.DUMMYFUNCTION("""COMPUTED_VALUE"""),73916.0)</f>
        <v>73916</v>
      </c>
      <c r="B1510" s="2">
        <f>IFERROR(__xludf.DUMMYFUNCTION("""COMPUTED_VALUE"""),1.0)</f>
        <v>1</v>
      </c>
      <c r="C1510" s="2">
        <f>IFERROR(__xludf.DUMMYFUNCTION("""COMPUTED_VALUE"""),270.0)</f>
        <v>270</v>
      </c>
      <c r="D1510" s="3">
        <f>IFERROR(__xludf.DUMMYFUNCTION("""COMPUTED_VALUE"""),3.0)</f>
        <v>3</v>
      </c>
      <c r="E1510" s="2"/>
      <c r="F1510" s="2"/>
    </row>
    <row r="1511">
      <c r="A1511" s="2">
        <f>IFERROR(__xludf.DUMMYFUNCTION("""COMPUTED_VALUE"""),80117.0)</f>
        <v>80117</v>
      </c>
      <c r="B1511" s="2">
        <f>IFERROR(__xludf.DUMMYFUNCTION("""COMPUTED_VALUE"""),1.0)</f>
        <v>1</v>
      </c>
      <c r="C1511" s="2">
        <f>IFERROR(__xludf.DUMMYFUNCTION("""COMPUTED_VALUE"""),174.0)</f>
        <v>174</v>
      </c>
      <c r="D1511" s="3">
        <f>IFERROR(__xludf.DUMMYFUNCTION("""COMPUTED_VALUE"""),124.0)</f>
        <v>124</v>
      </c>
      <c r="E1511" s="2"/>
      <c r="F1511" s="2"/>
    </row>
    <row r="1512">
      <c r="A1512" s="2">
        <f>IFERROR(__xludf.DUMMYFUNCTION("""COMPUTED_VALUE"""),22008.0)</f>
        <v>22008</v>
      </c>
      <c r="B1512" s="2">
        <f>IFERROR(__xludf.DUMMYFUNCTION("""COMPUTED_VALUE"""),0.0)</f>
        <v>0</v>
      </c>
      <c r="C1512" s="2">
        <f>IFERROR(__xludf.DUMMYFUNCTION("""COMPUTED_VALUE"""),666.0)</f>
        <v>666</v>
      </c>
      <c r="D1512" s="3">
        <f>IFERROR(__xludf.DUMMYFUNCTION("""COMPUTED_VALUE"""),294.0)</f>
        <v>294</v>
      </c>
      <c r="E1512" s="2"/>
      <c r="F1512" s="2"/>
    </row>
    <row r="1513">
      <c r="A1513" s="2">
        <f>IFERROR(__xludf.DUMMYFUNCTION("""COMPUTED_VALUE"""),76608.0)</f>
        <v>76608</v>
      </c>
      <c r="B1513" s="2">
        <f>IFERROR(__xludf.DUMMYFUNCTION("""COMPUTED_VALUE"""),0.0)</f>
        <v>0</v>
      </c>
      <c r="C1513" s="2">
        <f>IFERROR(__xludf.DUMMYFUNCTION("""COMPUTED_VALUE"""),711.0)</f>
        <v>711</v>
      </c>
      <c r="D1513" s="3">
        <f>IFERROR(__xludf.DUMMYFUNCTION("""COMPUTED_VALUE"""),463.0)</f>
        <v>463</v>
      </c>
      <c r="E1513" s="2"/>
      <c r="F1513" s="2"/>
    </row>
    <row r="1514">
      <c r="A1514" s="2">
        <f>IFERROR(__xludf.DUMMYFUNCTION("""COMPUTED_VALUE"""),80793.0)</f>
        <v>80793</v>
      </c>
      <c r="B1514" s="2">
        <f>IFERROR(__xludf.DUMMYFUNCTION("""COMPUTED_VALUE"""),1.0)</f>
        <v>1</v>
      </c>
      <c r="C1514" s="2">
        <f>IFERROR(__xludf.DUMMYFUNCTION("""COMPUTED_VALUE"""),789.0)</f>
        <v>789</v>
      </c>
      <c r="D1514" s="3">
        <f>IFERROR(__xludf.DUMMYFUNCTION("""COMPUTED_VALUE"""),214.0)</f>
        <v>214</v>
      </c>
      <c r="E1514" s="2"/>
      <c r="F1514" s="2"/>
    </row>
    <row r="1515">
      <c r="A1515" s="2">
        <f>IFERROR(__xludf.DUMMYFUNCTION("""COMPUTED_VALUE"""),102588.0)</f>
        <v>102588</v>
      </c>
      <c r="B1515" s="2">
        <f>IFERROR(__xludf.DUMMYFUNCTION("""COMPUTED_VALUE"""),0.0)</f>
        <v>0</v>
      </c>
      <c r="C1515" s="2">
        <f>IFERROR(__xludf.DUMMYFUNCTION("""COMPUTED_VALUE"""),290.0)</f>
        <v>290</v>
      </c>
      <c r="D1515" s="3">
        <f>IFERROR(__xludf.DUMMYFUNCTION("""COMPUTED_VALUE"""),31.0)</f>
        <v>31</v>
      </c>
      <c r="E1515" s="2"/>
      <c r="F1515" s="2"/>
    </row>
    <row r="1516">
      <c r="A1516" s="2">
        <f>IFERROR(__xludf.DUMMYFUNCTION("""COMPUTED_VALUE"""),80794.0)</f>
        <v>80794</v>
      </c>
      <c r="B1516" s="2">
        <f>IFERROR(__xludf.DUMMYFUNCTION("""COMPUTED_VALUE"""),1.0)</f>
        <v>1</v>
      </c>
      <c r="C1516" s="2">
        <f>IFERROR(__xludf.DUMMYFUNCTION("""COMPUTED_VALUE"""),163.0)</f>
        <v>163</v>
      </c>
      <c r="D1516" s="3">
        <f>IFERROR(__xludf.DUMMYFUNCTION("""COMPUTED_VALUE"""),114.0)</f>
        <v>114</v>
      </c>
      <c r="E1516" s="2"/>
      <c r="F1516" s="2"/>
    </row>
    <row r="1517">
      <c r="A1517" s="2">
        <f>IFERROR(__xludf.DUMMYFUNCTION("""COMPUTED_VALUE"""),80174.0)</f>
        <v>80174</v>
      </c>
      <c r="B1517" s="2">
        <f>IFERROR(__xludf.DUMMYFUNCTION("""COMPUTED_VALUE"""),1.0)</f>
        <v>1</v>
      </c>
      <c r="C1517" s="2">
        <f>IFERROR(__xludf.DUMMYFUNCTION("""COMPUTED_VALUE"""),189.0)</f>
        <v>189</v>
      </c>
      <c r="D1517" s="3">
        <f>IFERROR(__xludf.DUMMYFUNCTION("""COMPUTED_VALUE"""),78.0)</f>
        <v>78</v>
      </c>
      <c r="E1517" s="2"/>
      <c r="F1517" s="2"/>
    </row>
    <row r="1518">
      <c r="A1518" s="2">
        <f>IFERROR(__xludf.DUMMYFUNCTION("""COMPUTED_VALUE"""),114722.0)</f>
        <v>114722</v>
      </c>
      <c r="B1518" s="2">
        <f>IFERROR(__xludf.DUMMYFUNCTION("""COMPUTED_VALUE"""),0.0)</f>
        <v>0</v>
      </c>
      <c r="C1518" s="2">
        <f>IFERROR(__xludf.DUMMYFUNCTION("""COMPUTED_VALUE"""),958.0)</f>
        <v>958</v>
      </c>
      <c r="D1518" s="3">
        <f>IFERROR(__xludf.DUMMYFUNCTION("""COMPUTED_VALUE"""),337.0)</f>
        <v>337</v>
      </c>
      <c r="E1518" s="2"/>
      <c r="F1518" s="2"/>
    </row>
    <row r="1519">
      <c r="A1519" s="2">
        <f>IFERROR(__xludf.DUMMYFUNCTION("""COMPUTED_VALUE"""),180843.0)</f>
        <v>180843</v>
      </c>
      <c r="B1519" s="2">
        <f>IFERROR(__xludf.DUMMYFUNCTION("""COMPUTED_VALUE"""),1.0)</f>
        <v>1</v>
      </c>
      <c r="C1519" s="2">
        <f>IFERROR(__xludf.DUMMYFUNCTION("""COMPUTED_VALUE"""),572.0)</f>
        <v>572</v>
      </c>
      <c r="D1519" s="3">
        <f>IFERROR(__xludf.DUMMYFUNCTION("""COMPUTED_VALUE"""),252.0)</f>
        <v>252</v>
      </c>
      <c r="E1519" s="2"/>
      <c r="F1519" s="2"/>
    </row>
    <row r="1520">
      <c r="A1520" s="2">
        <f>IFERROR(__xludf.DUMMYFUNCTION("""COMPUTED_VALUE"""),22020.0)</f>
        <v>22020</v>
      </c>
      <c r="B1520" s="2">
        <f>IFERROR(__xludf.DUMMYFUNCTION("""COMPUTED_VALUE"""),0.0)</f>
        <v>0</v>
      </c>
      <c r="C1520" s="2">
        <f>IFERROR(__xludf.DUMMYFUNCTION("""COMPUTED_VALUE"""),446.0)</f>
        <v>446</v>
      </c>
      <c r="D1520" s="3">
        <f>IFERROR(__xludf.DUMMYFUNCTION("""COMPUTED_VALUE"""),278.0)</f>
        <v>278</v>
      </c>
      <c r="E1520" s="2"/>
      <c r="F1520" s="2"/>
    </row>
    <row r="1521">
      <c r="A1521" s="2">
        <f>IFERROR(__xludf.DUMMYFUNCTION("""COMPUTED_VALUE"""),111259.0)</f>
        <v>111259</v>
      </c>
      <c r="B1521" s="2">
        <f>IFERROR(__xludf.DUMMYFUNCTION("""COMPUTED_VALUE"""),0.0)</f>
        <v>0</v>
      </c>
      <c r="C1521" s="2">
        <f>IFERROR(__xludf.DUMMYFUNCTION("""COMPUTED_VALUE"""),944.0)</f>
        <v>944</v>
      </c>
      <c r="D1521" s="3">
        <f>IFERROR(__xludf.DUMMYFUNCTION("""COMPUTED_VALUE"""),357.0)</f>
        <v>357</v>
      </c>
      <c r="E1521" s="2"/>
      <c r="F1521" s="2"/>
    </row>
    <row r="1522">
      <c r="A1522" s="2">
        <f>IFERROR(__xludf.DUMMYFUNCTION("""COMPUTED_VALUE"""),89895.0)</f>
        <v>89895</v>
      </c>
      <c r="B1522" s="2">
        <f>IFERROR(__xludf.DUMMYFUNCTION("""COMPUTED_VALUE"""),1.0)</f>
        <v>1</v>
      </c>
      <c r="C1522" s="2">
        <f>IFERROR(__xludf.DUMMYFUNCTION("""COMPUTED_VALUE"""),559.0)</f>
        <v>559</v>
      </c>
      <c r="D1522" s="3">
        <f>IFERROR(__xludf.DUMMYFUNCTION("""COMPUTED_VALUE"""),389.0)</f>
        <v>389</v>
      </c>
      <c r="E1522" s="2"/>
      <c r="F1522" s="2"/>
    </row>
    <row r="1523">
      <c r="A1523" s="2">
        <f>IFERROR(__xludf.DUMMYFUNCTION("""COMPUTED_VALUE"""),22014.0)</f>
        <v>22014</v>
      </c>
      <c r="B1523" s="2">
        <f>IFERROR(__xludf.DUMMYFUNCTION("""COMPUTED_VALUE"""),1.0)</f>
        <v>1</v>
      </c>
      <c r="C1523" s="2">
        <f>IFERROR(__xludf.DUMMYFUNCTION("""COMPUTED_VALUE"""),266.0)</f>
        <v>266</v>
      </c>
      <c r="D1523" s="3">
        <f>IFERROR(__xludf.DUMMYFUNCTION("""COMPUTED_VALUE"""),15.0)</f>
        <v>15</v>
      </c>
      <c r="E1523" s="2"/>
      <c r="F1523" s="2"/>
    </row>
    <row r="1524">
      <c r="A1524" s="2">
        <f>IFERROR(__xludf.DUMMYFUNCTION("""COMPUTED_VALUE"""),44254.0)</f>
        <v>44254</v>
      </c>
      <c r="B1524" s="2">
        <f>IFERROR(__xludf.DUMMYFUNCTION("""COMPUTED_VALUE"""),0.0)</f>
        <v>0</v>
      </c>
      <c r="C1524" s="2">
        <f>IFERROR(__xludf.DUMMYFUNCTION("""COMPUTED_VALUE"""),350.0)</f>
        <v>350</v>
      </c>
      <c r="D1524" s="3">
        <f>IFERROR(__xludf.DUMMYFUNCTION("""COMPUTED_VALUE"""),232.0)</f>
        <v>232</v>
      </c>
      <c r="E1524" s="2"/>
      <c r="F1524" s="2"/>
    </row>
    <row r="1525">
      <c r="A1525" s="2">
        <f>IFERROR(__xludf.DUMMYFUNCTION("""COMPUTED_VALUE"""),22025.0)</f>
        <v>22025</v>
      </c>
      <c r="B1525" s="2">
        <f>IFERROR(__xludf.DUMMYFUNCTION("""COMPUTED_VALUE"""),0.0)</f>
        <v>0</v>
      </c>
      <c r="C1525" s="2">
        <f>IFERROR(__xludf.DUMMYFUNCTION("""COMPUTED_VALUE"""),646.0)</f>
        <v>646</v>
      </c>
      <c r="D1525" s="3">
        <f>IFERROR(__xludf.DUMMYFUNCTION("""COMPUTED_VALUE"""),632.0)</f>
        <v>632</v>
      </c>
      <c r="E1525" s="2"/>
      <c r="F1525" s="2"/>
    </row>
    <row r="1526">
      <c r="A1526" s="2">
        <f>IFERROR(__xludf.DUMMYFUNCTION("""COMPUTED_VALUE"""),83765.0)</f>
        <v>83765</v>
      </c>
      <c r="B1526" s="2">
        <f>IFERROR(__xludf.DUMMYFUNCTION("""COMPUTED_VALUE"""),1.0)</f>
        <v>1</v>
      </c>
      <c r="C1526" s="2">
        <f>IFERROR(__xludf.DUMMYFUNCTION("""COMPUTED_VALUE"""),753.0)</f>
        <v>753</v>
      </c>
      <c r="D1526" s="3">
        <f>IFERROR(__xludf.DUMMYFUNCTION("""COMPUTED_VALUE"""),329.0)</f>
        <v>329</v>
      </c>
      <c r="E1526" s="2"/>
      <c r="F1526" s="2"/>
    </row>
    <row r="1527">
      <c r="A1527" s="2">
        <f>IFERROR(__xludf.DUMMYFUNCTION("""COMPUTED_VALUE"""),89930.0)</f>
        <v>89930</v>
      </c>
      <c r="B1527" s="2">
        <f>IFERROR(__xludf.DUMMYFUNCTION("""COMPUTED_VALUE"""),1.0)</f>
        <v>1</v>
      </c>
      <c r="C1527" s="2">
        <f>IFERROR(__xludf.DUMMYFUNCTION("""COMPUTED_VALUE"""),906.0)</f>
        <v>906</v>
      </c>
      <c r="D1527" s="3">
        <f>IFERROR(__xludf.DUMMYFUNCTION("""COMPUTED_VALUE"""),151.0)</f>
        <v>151</v>
      </c>
      <c r="E1527" s="2"/>
      <c r="F1527" s="2"/>
    </row>
    <row r="1528">
      <c r="A1528" s="2">
        <f>IFERROR(__xludf.DUMMYFUNCTION("""COMPUTED_VALUE"""),83767.0)</f>
        <v>83767</v>
      </c>
      <c r="B1528" s="2">
        <f>IFERROR(__xludf.DUMMYFUNCTION("""COMPUTED_VALUE"""),1.0)</f>
        <v>1</v>
      </c>
      <c r="C1528" s="2">
        <f>IFERROR(__xludf.DUMMYFUNCTION("""COMPUTED_VALUE"""),657.0)</f>
        <v>657</v>
      </c>
      <c r="D1528" s="3">
        <f>IFERROR(__xludf.DUMMYFUNCTION("""COMPUTED_VALUE"""),567.0)</f>
        <v>567</v>
      </c>
      <c r="E1528" s="2"/>
      <c r="F1528" s="2"/>
    </row>
    <row r="1529">
      <c r="A1529" s="2">
        <f>IFERROR(__xludf.DUMMYFUNCTION("""COMPUTED_VALUE"""),83745.0)</f>
        <v>83745</v>
      </c>
      <c r="B1529" s="2">
        <f>IFERROR(__xludf.DUMMYFUNCTION("""COMPUTED_VALUE"""),0.0)</f>
        <v>0</v>
      </c>
      <c r="C1529" s="2">
        <f>IFERROR(__xludf.DUMMYFUNCTION("""COMPUTED_VALUE"""),291.0)</f>
        <v>291</v>
      </c>
      <c r="D1529" s="3">
        <f>IFERROR(__xludf.DUMMYFUNCTION("""COMPUTED_VALUE"""),224.0)</f>
        <v>224</v>
      </c>
      <c r="E1529" s="2"/>
      <c r="F1529" s="2"/>
    </row>
    <row r="1530">
      <c r="A1530" s="2">
        <f>IFERROR(__xludf.DUMMYFUNCTION("""COMPUTED_VALUE"""),78827.0)</f>
        <v>78827</v>
      </c>
      <c r="B1530" s="2">
        <f>IFERROR(__xludf.DUMMYFUNCTION("""COMPUTED_VALUE"""),0.0)</f>
        <v>0</v>
      </c>
      <c r="C1530" s="2">
        <f>IFERROR(__xludf.DUMMYFUNCTION("""COMPUTED_VALUE"""),622.0)</f>
        <v>622</v>
      </c>
      <c r="D1530" s="3">
        <f>IFERROR(__xludf.DUMMYFUNCTION("""COMPUTED_VALUE"""),169.0)</f>
        <v>169</v>
      </c>
      <c r="E1530" s="2"/>
      <c r="F1530" s="2"/>
    </row>
    <row r="1531">
      <c r="A1531" s="2">
        <f>IFERROR(__xludf.DUMMYFUNCTION("""COMPUTED_VALUE"""),122266.0)</f>
        <v>122266</v>
      </c>
      <c r="B1531" s="2">
        <f>IFERROR(__xludf.DUMMYFUNCTION("""COMPUTED_VALUE"""),1.0)</f>
        <v>1</v>
      </c>
      <c r="C1531" s="2">
        <f>IFERROR(__xludf.DUMMYFUNCTION("""COMPUTED_VALUE"""),826.0)</f>
        <v>826</v>
      </c>
      <c r="D1531" s="3">
        <f>IFERROR(__xludf.DUMMYFUNCTION("""COMPUTED_VALUE"""),806.0)</f>
        <v>806</v>
      </c>
      <c r="E1531" s="2"/>
      <c r="F1531" s="2"/>
    </row>
    <row r="1532">
      <c r="A1532" s="2">
        <f>IFERROR(__xludf.DUMMYFUNCTION("""COMPUTED_VALUE"""),949.0)</f>
        <v>949</v>
      </c>
      <c r="B1532" s="2">
        <f>IFERROR(__xludf.DUMMYFUNCTION("""COMPUTED_VALUE"""),1.0)</f>
        <v>1</v>
      </c>
      <c r="C1532" s="2">
        <f>IFERROR(__xludf.DUMMYFUNCTION("""COMPUTED_VALUE"""),355.0)</f>
        <v>355</v>
      </c>
      <c r="D1532" s="3">
        <f>IFERROR(__xludf.DUMMYFUNCTION("""COMPUTED_VALUE"""),339.0)</f>
        <v>339</v>
      </c>
      <c r="E1532" s="2"/>
      <c r="F1532" s="2"/>
    </row>
    <row r="1533">
      <c r="A1533" s="2">
        <f>IFERROR(__xludf.DUMMYFUNCTION("""COMPUTED_VALUE"""),102595.0)</f>
        <v>102595</v>
      </c>
      <c r="B1533" s="2">
        <f>IFERROR(__xludf.DUMMYFUNCTION("""COMPUTED_VALUE"""),0.0)</f>
        <v>0</v>
      </c>
      <c r="C1533" s="2">
        <f>IFERROR(__xludf.DUMMYFUNCTION("""COMPUTED_VALUE"""),403.0)</f>
        <v>403</v>
      </c>
      <c r="D1533" s="3">
        <f>IFERROR(__xludf.DUMMYFUNCTION("""COMPUTED_VALUE"""),321.0)</f>
        <v>321</v>
      </c>
      <c r="E1533" s="2"/>
      <c r="F1533" s="2"/>
    </row>
    <row r="1534">
      <c r="A1534" s="2">
        <f>IFERROR(__xludf.DUMMYFUNCTION("""COMPUTED_VALUE"""),80790.0)</f>
        <v>80790</v>
      </c>
      <c r="B1534" s="2">
        <f>IFERROR(__xludf.DUMMYFUNCTION("""COMPUTED_VALUE"""),1.0)</f>
        <v>1</v>
      </c>
      <c r="C1534" s="2">
        <f>IFERROR(__xludf.DUMMYFUNCTION("""COMPUTED_VALUE"""),888.0)</f>
        <v>888</v>
      </c>
      <c r="D1534" s="3">
        <f>IFERROR(__xludf.DUMMYFUNCTION("""COMPUTED_VALUE"""),253.0)</f>
        <v>253</v>
      </c>
      <c r="E1534" s="2"/>
      <c r="F1534" s="2"/>
    </row>
    <row r="1535">
      <c r="A1535" s="2">
        <f>IFERROR(__xludf.DUMMYFUNCTION("""COMPUTED_VALUE"""),114257.0)</f>
        <v>114257</v>
      </c>
      <c r="B1535" s="2">
        <f>IFERROR(__xludf.DUMMYFUNCTION("""COMPUTED_VALUE"""),1.0)</f>
        <v>1</v>
      </c>
      <c r="C1535" s="2">
        <f>IFERROR(__xludf.DUMMYFUNCTION("""COMPUTED_VALUE"""),659.0)</f>
        <v>659</v>
      </c>
      <c r="D1535" s="3">
        <f>IFERROR(__xludf.DUMMYFUNCTION("""COMPUTED_VALUE"""),327.0)</f>
        <v>327</v>
      </c>
      <c r="E1535" s="2"/>
      <c r="F1535" s="2"/>
    </row>
    <row r="1536">
      <c r="A1536" s="2">
        <f>IFERROR(__xludf.DUMMYFUNCTION("""COMPUTED_VALUE"""),80121.0)</f>
        <v>80121</v>
      </c>
      <c r="B1536" s="2">
        <f>IFERROR(__xludf.DUMMYFUNCTION("""COMPUTED_VALUE"""),0.0)</f>
        <v>0</v>
      </c>
      <c r="C1536" s="2">
        <f>IFERROR(__xludf.DUMMYFUNCTION("""COMPUTED_VALUE"""),94.0)</f>
        <v>94</v>
      </c>
      <c r="D1536" s="3">
        <f>IFERROR(__xludf.DUMMYFUNCTION("""COMPUTED_VALUE"""),26.0)</f>
        <v>26</v>
      </c>
      <c r="E1536" s="2"/>
      <c r="F1536" s="2"/>
    </row>
    <row r="1537">
      <c r="A1537" s="2">
        <f>IFERROR(__xludf.DUMMYFUNCTION("""COMPUTED_VALUE"""),164929.0)</f>
        <v>164929</v>
      </c>
      <c r="B1537" s="2">
        <f>IFERROR(__xludf.DUMMYFUNCTION("""COMPUTED_VALUE"""),1.0)</f>
        <v>1</v>
      </c>
      <c r="C1537" s="2">
        <f>IFERROR(__xludf.DUMMYFUNCTION("""COMPUTED_VALUE"""),574.0)</f>
        <v>574</v>
      </c>
      <c r="D1537" s="3">
        <f>IFERROR(__xludf.DUMMYFUNCTION("""COMPUTED_VALUE"""),259.0)</f>
        <v>259</v>
      </c>
      <c r="E1537" s="2"/>
      <c r="F1537" s="2"/>
    </row>
    <row r="1538">
      <c r="A1538" s="2">
        <f>IFERROR(__xludf.DUMMYFUNCTION("""COMPUTED_VALUE"""),80180.0)</f>
        <v>80180</v>
      </c>
      <c r="B1538" s="2">
        <f>IFERROR(__xludf.DUMMYFUNCTION("""COMPUTED_VALUE"""),1.0)</f>
        <v>1</v>
      </c>
      <c r="C1538" s="2">
        <f>IFERROR(__xludf.DUMMYFUNCTION("""COMPUTED_VALUE"""),900.0)</f>
        <v>900</v>
      </c>
      <c r="D1538" s="3">
        <f>IFERROR(__xludf.DUMMYFUNCTION("""COMPUTED_VALUE"""),772.0)</f>
        <v>772</v>
      </c>
      <c r="E1538" s="2"/>
      <c r="F1538" s="2"/>
    </row>
    <row r="1539">
      <c r="A1539" s="2">
        <f>IFERROR(__xludf.DUMMYFUNCTION("""COMPUTED_VALUE"""),92930.0)</f>
        <v>92930</v>
      </c>
      <c r="B1539" s="2">
        <f>IFERROR(__xludf.DUMMYFUNCTION("""COMPUTED_VALUE"""),0.0)</f>
        <v>0</v>
      </c>
      <c r="C1539" s="2">
        <f>IFERROR(__xludf.DUMMYFUNCTION("""COMPUTED_VALUE"""),308.0)</f>
        <v>308</v>
      </c>
      <c r="D1539" s="3">
        <f>IFERROR(__xludf.DUMMYFUNCTION("""COMPUTED_VALUE"""),235.0)</f>
        <v>235</v>
      </c>
      <c r="E1539" s="2"/>
      <c r="F1539" s="2"/>
    </row>
    <row r="1540">
      <c r="A1540" s="2">
        <f>IFERROR(__xludf.DUMMYFUNCTION("""COMPUTED_VALUE"""),147271.0)</f>
        <v>147271</v>
      </c>
      <c r="B1540" s="2">
        <f>IFERROR(__xludf.DUMMYFUNCTION("""COMPUTED_VALUE"""),0.0)</f>
        <v>0</v>
      </c>
      <c r="C1540" s="2">
        <f>IFERROR(__xludf.DUMMYFUNCTION("""COMPUTED_VALUE"""),891.0)</f>
        <v>891</v>
      </c>
      <c r="D1540" s="3">
        <f>IFERROR(__xludf.DUMMYFUNCTION("""COMPUTED_VALUE"""),696.0)</f>
        <v>696</v>
      </c>
      <c r="E1540" s="2"/>
      <c r="F1540" s="2"/>
    </row>
    <row r="1541">
      <c r="A1541" s="2">
        <f>IFERROR(__xludf.DUMMYFUNCTION("""COMPUTED_VALUE"""),83748.0)</f>
        <v>83748</v>
      </c>
      <c r="B1541" s="2">
        <f>IFERROR(__xludf.DUMMYFUNCTION("""COMPUTED_VALUE"""),0.0)</f>
        <v>0</v>
      </c>
      <c r="C1541" s="2">
        <f>IFERROR(__xludf.DUMMYFUNCTION("""COMPUTED_VALUE"""),111.0)</f>
        <v>111</v>
      </c>
      <c r="D1541" s="3">
        <f>IFERROR(__xludf.DUMMYFUNCTION("""COMPUTED_VALUE"""),60.0)</f>
        <v>60</v>
      </c>
      <c r="E1541" s="2"/>
      <c r="F1541" s="2"/>
    </row>
    <row r="1542">
      <c r="A1542" s="2">
        <f>IFERROR(__xludf.DUMMYFUNCTION("""COMPUTED_VALUE"""),80120.0)</f>
        <v>80120</v>
      </c>
      <c r="B1542" s="2">
        <f>IFERROR(__xludf.DUMMYFUNCTION("""COMPUTED_VALUE"""),1.0)</f>
        <v>1</v>
      </c>
      <c r="C1542" s="2">
        <f>IFERROR(__xludf.DUMMYFUNCTION("""COMPUTED_VALUE"""),174.0)</f>
        <v>174</v>
      </c>
      <c r="D1542" s="3">
        <f>IFERROR(__xludf.DUMMYFUNCTION("""COMPUTED_VALUE"""),40.0)</f>
        <v>40</v>
      </c>
      <c r="E1542" s="2"/>
      <c r="F1542" s="2"/>
    </row>
    <row r="1543">
      <c r="A1543" s="2">
        <f>IFERROR(__xludf.DUMMYFUNCTION("""COMPUTED_VALUE"""),164931.0)</f>
        <v>164931</v>
      </c>
      <c r="B1543" s="2">
        <f>IFERROR(__xludf.DUMMYFUNCTION("""COMPUTED_VALUE"""),1.0)</f>
        <v>1</v>
      </c>
      <c r="C1543" s="2">
        <f>IFERROR(__xludf.DUMMYFUNCTION("""COMPUTED_VALUE"""),621.0)</f>
        <v>621</v>
      </c>
      <c r="D1543" s="3">
        <f>IFERROR(__xludf.DUMMYFUNCTION("""COMPUTED_VALUE"""),503.0)</f>
        <v>503</v>
      </c>
      <c r="E1543" s="2"/>
      <c r="F1543" s="2"/>
    </row>
    <row r="1544">
      <c r="A1544" s="2">
        <f>IFERROR(__xludf.DUMMYFUNCTION("""COMPUTED_VALUE"""),78804.0)</f>
        <v>78804</v>
      </c>
      <c r="B1544" s="2">
        <f>IFERROR(__xludf.DUMMYFUNCTION("""COMPUTED_VALUE"""),1.0)</f>
        <v>1</v>
      </c>
      <c r="C1544" s="2">
        <f>IFERROR(__xludf.DUMMYFUNCTION("""COMPUTED_VALUE"""),724.0)</f>
        <v>724</v>
      </c>
      <c r="D1544" s="3">
        <f>IFERROR(__xludf.DUMMYFUNCTION("""COMPUTED_VALUE"""),705.0)</f>
        <v>705</v>
      </c>
      <c r="E1544" s="2"/>
      <c r="F1544" s="2"/>
    </row>
    <row r="1545">
      <c r="A1545" s="2">
        <f>IFERROR(__xludf.DUMMYFUNCTION("""COMPUTED_VALUE"""),103096.0)</f>
        <v>103096</v>
      </c>
      <c r="B1545" s="2">
        <f>IFERROR(__xludf.DUMMYFUNCTION("""COMPUTED_VALUE"""),0.0)</f>
        <v>0</v>
      </c>
      <c r="C1545" s="2">
        <f>IFERROR(__xludf.DUMMYFUNCTION("""COMPUTED_VALUE"""),444.0)</f>
        <v>444</v>
      </c>
      <c r="D1545" s="3">
        <f>IFERROR(__xludf.DUMMYFUNCTION("""COMPUTED_VALUE"""),81.0)</f>
        <v>81</v>
      </c>
      <c r="E1545" s="2"/>
      <c r="F1545" s="2"/>
    </row>
    <row r="1546">
      <c r="A1546" s="2">
        <f>IFERROR(__xludf.DUMMYFUNCTION("""COMPUTED_VALUE"""),180770.0)</f>
        <v>180770</v>
      </c>
      <c r="B1546" s="2">
        <f>IFERROR(__xludf.DUMMYFUNCTION("""COMPUTED_VALUE"""),1.0)</f>
        <v>1</v>
      </c>
      <c r="C1546" s="2">
        <f>IFERROR(__xludf.DUMMYFUNCTION("""COMPUTED_VALUE"""),872.0)</f>
        <v>872</v>
      </c>
      <c r="D1546" s="3">
        <f>IFERROR(__xludf.DUMMYFUNCTION("""COMPUTED_VALUE"""),358.0)</f>
        <v>358</v>
      </c>
      <c r="E1546" s="2"/>
      <c r="F1546" s="2"/>
    </row>
    <row r="1547">
      <c r="A1547" s="2">
        <f>IFERROR(__xludf.DUMMYFUNCTION("""COMPUTED_VALUE"""),80115.0)</f>
        <v>80115</v>
      </c>
      <c r="B1547" s="2">
        <f>IFERROR(__xludf.DUMMYFUNCTION("""COMPUTED_VALUE"""),1.0)</f>
        <v>1</v>
      </c>
      <c r="C1547" s="2">
        <f>IFERROR(__xludf.DUMMYFUNCTION("""COMPUTED_VALUE"""),468.0)</f>
        <v>468</v>
      </c>
      <c r="D1547" s="3">
        <f>IFERROR(__xludf.DUMMYFUNCTION("""COMPUTED_VALUE"""),127.0)</f>
        <v>127</v>
      </c>
      <c r="E1547" s="2"/>
      <c r="F1547" s="2"/>
    </row>
    <row r="1548">
      <c r="A1548" s="2">
        <f>IFERROR(__xludf.DUMMYFUNCTION("""COMPUTED_VALUE"""),83771.0)</f>
        <v>83771</v>
      </c>
      <c r="B1548" s="2">
        <f>IFERROR(__xludf.DUMMYFUNCTION("""COMPUTED_VALUE"""),0.0)</f>
        <v>0</v>
      </c>
      <c r="C1548" s="2">
        <f>IFERROR(__xludf.DUMMYFUNCTION("""COMPUTED_VALUE"""),236.0)</f>
        <v>236</v>
      </c>
      <c r="D1548" s="3">
        <f>IFERROR(__xludf.DUMMYFUNCTION("""COMPUTED_VALUE"""),77.0)</f>
        <v>77</v>
      </c>
      <c r="E1548" s="2"/>
      <c r="F1548" s="2"/>
    </row>
    <row r="1549">
      <c r="A1549" s="2">
        <f>IFERROR(__xludf.DUMMYFUNCTION("""COMPUTED_VALUE"""),80124.0)</f>
        <v>80124</v>
      </c>
      <c r="B1549" s="2">
        <f>IFERROR(__xludf.DUMMYFUNCTION("""COMPUTED_VALUE"""),0.0)</f>
        <v>0</v>
      </c>
      <c r="C1549" s="2">
        <f>IFERROR(__xludf.DUMMYFUNCTION("""COMPUTED_VALUE"""),352.0)</f>
        <v>352</v>
      </c>
      <c r="D1549" s="3">
        <f>IFERROR(__xludf.DUMMYFUNCTION("""COMPUTED_VALUE"""),18.0)</f>
        <v>18</v>
      </c>
      <c r="E1549" s="2"/>
      <c r="F1549" s="2"/>
    </row>
    <row r="1550">
      <c r="A1550" s="2">
        <f>IFERROR(__xludf.DUMMYFUNCTION("""COMPUTED_VALUE"""),80111.0)</f>
        <v>80111</v>
      </c>
      <c r="B1550" s="2">
        <f>IFERROR(__xludf.DUMMYFUNCTION("""COMPUTED_VALUE"""),1.0)</f>
        <v>1</v>
      </c>
      <c r="C1550" s="2">
        <f>IFERROR(__xludf.DUMMYFUNCTION("""COMPUTED_VALUE"""),594.0)</f>
        <v>594</v>
      </c>
      <c r="D1550" s="3">
        <f>IFERROR(__xludf.DUMMYFUNCTION("""COMPUTED_VALUE"""),218.0)</f>
        <v>218</v>
      </c>
      <c r="E1550" s="2"/>
      <c r="F1550" s="2"/>
    </row>
    <row r="1551">
      <c r="A1551" s="2">
        <f>IFERROR(__xludf.DUMMYFUNCTION("""COMPUTED_VALUE"""),63864.0)</f>
        <v>63864</v>
      </c>
      <c r="B1551" s="2">
        <f>IFERROR(__xludf.DUMMYFUNCTION("""COMPUTED_VALUE"""),1.0)</f>
        <v>1</v>
      </c>
      <c r="C1551" s="2">
        <f>IFERROR(__xludf.DUMMYFUNCTION("""COMPUTED_VALUE"""),19.0)</f>
        <v>19</v>
      </c>
      <c r="D1551" s="3">
        <f>IFERROR(__xludf.DUMMYFUNCTION("""COMPUTED_VALUE"""),0.0)</f>
        <v>0</v>
      </c>
      <c r="E1551" s="2"/>
      <c r="F1551" s="2"/>
    </row>
    <row r="1552">
      <c r="A1552" s="2">
        <f>IFERROR(__xludf.DUMMYFUNCTION("""COMPUTED_VALUE"""),76824.0)</f>
        <v>76824</v>
      </c>
      <c r="B1552" s="2">
        <f>IFERROR(__xludf.DUMMYFUNCTION("""COMPUTED_VALUE"""),0.0)</f>
        <v>0</v>
      </c>
      <c r="C1552" s="2">
        <f>IFERROR(__xludf.DUMMYFUNCTION("""COMPUTED_VALUE"""),164.0)</f>
        <v>164</v>
      </c>
      <c r="D1552" s="3">
        <f>IFERROR(__xludf.DUMMYFUNCTION("""COMPUTED_VALUE"""),5.0)</f>
        <v>5</v>
      </c>
      <c r="E1552" s="2"/>
      <c r="F1552" s="2"/>
    </row>
    <row r="1553">
      <c r="A1553" s="2">
        <f>IFERROR(__xludf.DUMMYFUNCTION("""COMPUTED_VALUE"""),102599.0)</f>
        <v>102599</v>
      </c>
      <c r="B1553" s="2">
        <f>IFERROR(__xludf.DUMMYFUNCTION("""COMPUTED_VALUE"""),0.0)</f>
        <v>0</v>
      </c>
      <c r="C1553" s="2">
        <f>IFERROR(__xludf.DUMMYFUNCTION("""COMPUTED_VALUE"""),378.0)</f>
        <v>378</v>
      </c>
      <c r="D1553" s="3">
        <f>IFERROR(__xludf.DUMMYFUNCTION("""COMPUTED_VALUE"""),28.0)</f>
        <v>28</v>
      </c>
      <c r="E1553" s="2"/>
      <c r="F1553" s="2"/>
    </row>
    <row r="1554">
      <c r="A1554" s="2">
        <f>IFERROR(__xludf.DUMMYFUNCTION("""COMPUTED_VALUE"""),103001.0)</f>
        <v>103001</v>
      </c>
      <c r="B1554" s="2">
        <f>IFERROR(__xludf.DUMMYFUNCTION("""COMPUTED_VALUE"""),1.0)</f>
        <v>1</v>
      </c>
      <c r="C1554" s="2">
        <f>IFERROR(__xludf.DUMMYFUNCTION("""COMPUTED_VALUE"""),12.0)</f>
        <v>12</v>
      </c>
      <c r="D1554" s="3">
        <f>IFERROR(__xludf.DUMMYFUNCTION("""COMPUTED_VALUE"""),5.0)</f>
        <v>5</v>
      </c>
      <c r="E1554" s="2"/>
      <c r="F1554" s="2"/>
    </row>
    <row r="1555">
      <c r="A1555" s="2">
        <f>IFERROR(__xludf.DUMMYFUNCTION("""COMPUTED_VALUE"""),164928.0)</f>
        <v>164928</v>
      </c>
      <c r="B1555" s="2">
        <f>IFERROR(__xludf.DUMMYFUNCTION("""COMPUTED_VALUE"""),1.0)</f>
        <v>1</v>
      </c>
      <c r="C1555" s="2">
        <f>IFERROR(__xludf.DUMMYFUNCTION("""COMPUTED_VALUE"""),377.0)</f>
        <v>377</v>
      </c>
      <c r="D1555" s="3">
        <f>IFERROR(__xludf.DUMMYFUNCTION("""COMPUTED_VALUE"""),326.0)</f>
        <v>326</v>
      </c>
      <c r="E1555" s="2"/>
      <c r="F1555" s="2"/>
    </row>
    <row r="1556">
      <c r="A1556" s="2">
        <f>IFERROR(__xludf.DUMMYFUNCTION("""COMPUTED_VALUE"""),80791.0)</f>
        <v>80791</v>
      </c>
      <c r="B1556" s="2">
        <f>IFERROR(__xludf.DUMMYFUNCTION("""COMPUTED_VALUE"""),1.0)</f>
        <v>1</v>
      </c>
      <c r="C1556" s="2">
        <f>IFERROR(__xludf.DUMMYFUNCTION("""COMPUTED_VALUE"""),403.0)</f>
        <v>403</v>
      </c>
      <c r="D1556" s="3">
        <f>IFERROR(__xludf.DUMMYFUNCTION("""COMPUTED_VALUE"""),183.0)</f>
        <v>183</v>
      </c>
      <c r="E1556" s="2"/>
      <c r="F1556" s="2"/>
    </row>
    <row r="1557">
      <c r="A1557" s="2">
        <f>IFERROR(__xludf.DUMMYFUNCTION("""COMPUTED_VALUE"""),83223.0)</f>
        <v>83223</v>
      </c>
      <c r="B1557" s="2">
        <f>IFERROR(__xludf.DUMMYFUNCTION("""COMPUTED_VALUE"""),0.0)</f>
        <v>0</v>
      </c>
      <c r="C1557" s="2">
        <f>IFERROR(__xludf.DUMMYFUNCTION("""COMPUTED_VALUE"""),954.0)</f>
        <v>954</v>
      </c>
      <c r="D1557" s="3">
        <f>IFERROR(__xludf.DUMMYFUNCTION("""COMPUTED_VALUE"""),654.0)</f>
        <v>654</v>
      </c>
      <c r="E1557" s="2"/>
      <c r="F1557" s="2"/>
    </row>
    <row r="1558">
      <c r="A1558" s="2">
        <f>IFERROR(__xludf.DUMMYFUNCTION("""COMPUTED_VALUE"""),951.0)</f>
        <v>951</v>
      </c>
      <c r="B1558" s="2">
        <f>IFERROR(__xludf.DUMMYFUNCTION("""COMPUTED_VALUE"""),1.0)</f>
        <v>1</v>
      </c>
      <c r="C1558" s="2">
        <f>IFERROR(__xludf.DUMMYFUNCTION("""COMPUTED_VALUE"""),157.0)</f>
        <v>157</v>
      </c>
      <c r="D1558" s="3">
        <f>IFERROR(__xludf.DUMMYFUNCTION("""COMPUTED_VALUE"""),154.0)</f>
        <v>154</v>
      </c>
      <c r="E1558" s="2"/>
      <c r="F1558" s="2"/>
    </row>
    <row r="1559">
      <c r="A1559" s="2">
        <f>IFERROR(__xludf.DUMMYFUNCTION("""COMPUTED_VALUE"""),149928.0)</f>
        <v>149928</v>
      </c>
      <c r="B1559" s="2">
        <f>IFERROR(__xludf.DUMMYFUNCTION("""COMPUTED_VALUE"""),1.0)</f>
        <v>1</v>
      </c>
      <c r="C1559" s="2">
        <f>IFERROR(__xludf.DUMMYFUNCTION("""COMPUTED_VALUE"""),876.0)</f>
        <v>876</v>
      </c>
      <c r="D1559" s="3">
        <f>IFERROR(__xludf.DUMMYFUNCTION("""COMPUTED_VALUE"""),562.0)</f>
        <v>562</v>
      </c>
      <c r="E1559" s="2"/>
      <c r="F1559" s="2"/>
    </row>
    <row r="1560">
      <c r="A1560" s="2">
        <f>IFERROR(__xludf.DUMMYFUNCTION("""COMPUTED_VALUE"""),60375.0)</f>
        <v>60375</v>
      </c>
      <c r="B1560" s="2">
        <f>IFERROR(__xludf.DUMMYFUNCTION("""COMPUTED_VALUE"""),1.0)</f>
        <v>1</v>
      </c>
      <c r="C1560" s="2">
        <f>IFERROR(__xludf.DUMMYFUNCTION("""COMPUTED_VALUE"""),637.0)</f>
        <v>637</v>
      </c>
      <c r="D1560" s="3">
        <f>IFERROR(__xludf.DUMMYFUNCTION("""COMPUTED_VALUE"""),539.0)</f>
        <v>539</v>
      </c>
      <c r="E1560" s="2"/>
      <c r="F1560" s="2"/>
    </row>
    <row r="1561">
      <c r="A1561" s="2">
        <f>IFERROR(__xludf.DUMMYFUNCTION("""COMPUTED_VALUE"""),102594.0)</f>
        <v>102594</v>
      </c>
      <c r="B1561" s="2">
        <f>IFERROR(__xludf.DUMMYFUNCTION("""COMPUTED_VALUE"""),1.0)</f>
        <v>1</v>
      </c>
      <c r="C1561" s="2">
        <f>IFERROR(__xludf.DUMMYFUNCTION("""COMPUTED_VALUE"""),401.0)</f>
        <v>401</v>
      </c>
      <c r="D1561" s="3">
        <f>IFERROR(__xludf.DUMMYFUNCTION("""COMPUTED_VALUE"""),213.0)</f>
        <v>213</v>
      </c>
      <c r="E1561" s="2"/>
      <c r="F1561" s="2"/>
    </row>
    <row r="1562">
      <c r="A1562" s="2">
        <f>IFERROR(__xludf.DUMMYFUNCTION("""COMPUTED_VALUE"""),128218.0)</f>
        <v>128218</v>
      </c>
      <c r="B1562" s="2">
        <f>IFERROR(__xludf.DUMMYFUNCTION("""COMPUTED_VALUE"""),0.0)</f>
        <v>0</v>
      </c>
      <c r="C1562" s="2">
        <f>IFERROR(__xludf.DUMMYFUNCTION("""COMPUTED_VALUE"""),853.0)</f>
        <v>853</v>
      </c>
      <c r="D1562" s="3">
        <f>IFERROR(__xludf.DUMMYFUNCTION("""COMPUTED_VALUE"""),555.0)</f>
        <v>555</v>
      </c>
      <c r="E1562" s="2"/>
      <c r="F1562" s="2"/>
    </row>
    <row r="1563">
      <c r="A1563" s="2">
        <f>IFERROR(__xludf.DUMMYFUNCTION("""COMPUTED_VALUE"""),80178.0)</f>
        <v>80178</v>
      </c>
      <c r="B1563" s="2">
        <f>IFERROR(__xludf.DUMMYFUNCTION("""COMPUTED_VALUE"""),1.0)</f>
        <v>1</v>
      </c>
      <c r="C1563" s="2">
        <f>IFERROR(__xludf.DUMMYFUNCTION("""COMPUTED_VALUE"""),370.0)</f>
        <v>370</v>
      </c>
      <c r="D1563" s="3">
        <f>IFERROR(__xludf.DUMMYFUNCTION("""COMPUTED_VALUE"""),24.0)</f>
        <v>24</v>
      </c>
      <c r="E1563" s="2"/>
      <c r="F1563" s="2"/>
    </row>
    <row r="1564">
      <c r="A1564" s="2">
        <f>IFERROR(__xludf.DUMMYFUNCTION("""COMPUTED_VALUE"""),164932.0)</f>
        <v>164932</v>
      </c>
      <c r="B1564" s="2">
        <f>IFERROR(__xludf.DUMMYFUNCTION("""COMPUTED_VALUE"""),0.0)</f>
        <v>0</v>
      </c>
      <c r="C1564" s="2">
        <f>IFERROR(__xludf.DUMMYFUNCTION("""COMPUTED_VALUE"""),946.0)</f>
        <v>946</v>
      </c>
      <c r="D1564" s="3">
        <f>IFERROR(__xludf.DUMMYFUNCTION("""COMPUTED_VALUE"""),162.0)</f>
        <v>162</v>
      </c>
      <c r="E1564" s="2"/>
      <c r="F1564" s="2"/>
    </row>
    <row r="1565">
      <c r="A1565" s="2">
        <f>IFERROR(__xludf.DUMMYFUNCTION("""COMPUTED_VALUE"""),22036.0)</f>
        <v>22036</v>
      </c>
      <c r="B1565" s="2">
        <f>IFERROR(__xludf.DUMMYFUNCTION("""COMPUTED_VALUE"""),0.0)</f>
        <v>0</v>
      </c>
      <c r="C1565" s="2">
        <f>IFERROR(__xludf.DUMMYFUNCTION("""COMPUTED_VALUE"""),244.0)</f>
        <v>244</v>
      </c>
      <c r="D1565" s="3">
        <f>IFERROR(__xludf.DUMMYFUNCTION("""COMPUTED_VALUE"""),37.0)</f>
        <v>37</v>
      </c>
      <c r="E1565" s="2"/>
      <c r="F1565" s="2"/>
    </row>
    <row r="1566">
      <c r="A1566" s="2">
        <f>IFERROR(__xludf.DUMMYFUNCTION("""COMPUTED_VALUE"""),102585.0)</f>
        <v>102585</v>
      </c>
      <c r="B1566" s="2">
        <f>IFERROR(__xludf.DUMMYFUNCTION("""COMPUTED_VALUE"""),0.0)</f>
        <v>0</v>
      </c>
      <c r="C1566" s="2">
        <f>IFERROR(__xludf.DUMMYFUNCTION("""COMPUTED_VALUE"""),421.0)</f>
        <v>421</v>
      </c>
      <c r="D1566" s="3">
        <f>IFERROR(__xludf.DUMMYFUNCTION("""COMPUTED_VALUE"""),219.0)</f>
        <v>219</v>
      </c>
      <c r="E1566" s="2"/>
      <c r="F1566" s="2"/>
    </row>
    <row r="1567">
      <c r="A1567" s="2">
        <f>IFERROR(__xludf.DUMMYFUNCTION("""COMPUTED_VALUE"""),78816.0)</f>
        <v>78816</v>
      </c>
      <c r="B1567" s="2">
        <f>IFERROR(__xludf.DUMMYFUNCTION("""COMPUTED_VALUE"""),1.0)</f>
        <v>1</v>
      </c>
      <c r="C1567" s="2">
        <f>IFERROR(__xludf.DUMMYFUNCTION("""COMPUTED_VALUE"""),275.0)</f>
        <v>275</v>
      </c>
      <c r="D1567" s="3">
        <f>IFERROR(__xludf.DUMMYFUNCTION("""COMPUTED_VALUE"""),86.0)</f>
        <v>86</v>
      </c>
      <c r="E1567" s="2"/>
      <c r="F1567" s="2"/>
    </row>
    <row r="1568">
      <c r="A1568" s="2">
        <f>IFERROR(__xludf.DUMMYFUNCTION("""COMPUTED_VALUE"""),78822.0)</f>
        <v>78822</v>
      </c>
      <c r="B1568" s="2">
        <f>IFERROR(__xludf.DUMMYFUNCTION("""COMPUTED_VALUE"""),1.0)</f>
        <v>1</v>
      </c>
      <c r="C1568" s="2">
        <f>IFERROR(__xludf.DUMMYFUNCTION("""COMPUTED_VALUE"""),429.0)</f>
        <v>429</v>
      </c>
      <c r="D1568" s="3">
        <f>IFERROR(__xludf.DUMMYFUNCTION("""COMPUTED_VALUE"""),390.0)</f>
        <v>390</v>
      </c>
      <c r="E1568" s="2"/>
      <c r="F1568" s="2"/>
    </row>
    <row r="1569">
      <c r="A1569" s="2">
        <f>IFERROR(__xludf.DUMMYFUNCTION("""COMPUTED_VALUE"""),83773.0)</f>
        <v>83773</v>
      </c>
      <c r="B1569" s="2">
        <f>IFERROR(__xludf.DUMMYFUNCTION("""COMPUTED_VALUE"""),0.0)</f>
        <v>0</v>
      </c>
      <c r="C1569" s="2">
        <f>IFERROR(__xludf.DUMMYFUNCTION("""COMPUTED_VALUE"""),817.0)</f>
        <v>817</v>
      </c>
      <c r="D1569" s="3">
        <f>IFERROR(__xludf.DUMMYFUNCTION("""COMPUTED_VALUE"""),19.0)</f>
        <v>19</v>
      </c>
      <c r="E1569" s="2"/>
      <c r="F1569" s="2"/>
    </row>
    <row r="1570">
      <c r="A1570" s="2">
        <f>IFERROR(__xludf.DUMMYFUNCTION("""COMPUTED_VALUE"""),114720.0)</f>
        <v>114720</v>
      </c>
      <c r="B1570" s="2">
        <f>IFERROR(__xludf.DUMMYFUNCTION("""COMPUTED_VALUE"""),0.0)</f>
        <v>0</v>
      </c>
      <c r="C1570" s="2">
        <f>IFERROR(__xludf.DUMMYFUNCTION("""COMPUTED_VALUE"""),960.0)</f>
        <v>960</v>
      </c>
      <c r="D1570" s="3">
        <f>IFERROR(__xludf.DUMMYFUNCTION("""COMPUTED_VALUE"""),526.0)</f>
        <v>526</v>
      </c>
      <c r="E1570" s="2"/>
      <c r="F1570" s="2"/>
    </row>
    <row r="1571">
      <c r="A1571" s="2">
        <f>IFERROR(__xludf.DUMMYFUNCTION("""COMPUTED_VALUE"""),83777.0)</f>
        <v>83777</v>
      </c>
      <c r="B1571" s="2">
        <f>IFERROR(__xludf.DUMMYFUNCTION("""COMPUTED_VALUE"""),0.0)</f>
        <v>0</v>
      </c>
      <c r="C1571" s="2">
        <f>IFERROR(__xludf.DUMMYFUNCTION("""COMPUTED_VALUE"""),238.0)</f>
        <v>238</v>
      </c>
      <c r="D1571" s="3">
        <f>IFERROR(__xludf.DUMMYFUNCTION("""COMPUTED_VALUE"""),154.0)</f>
        <v>154</v>
      </c>
      <c r="E1571" s="2"/>
      <c r="F1571" s="2"/>
    </row>
    <row r="1572">
      <c r="A1572" s="2">
        <f>IFERROR(__xludf.DUMMYFUNCTION("""COMPUTED_VALUE"""),102593.0)</f>
        <v>102593</v>
      </c>
      <c r="B1572" s="2">
        <f>IFERROR(__xludf.DUMMYFUNCTION("""COMPUTED_VALUE"""),0.0)</f>
        <v>0</v>
      </c>
      <c r="C1572" s="2">
        <f>IFERROR(__xludf.DUMMYFUNCTION("""COMPUTED_VALUE"""),89.0)</f>
        <v>89</v>
      </c>
      <c r="D1572" s="3">
        <f>IFERROR(__xludf.DUMMYFUNCTION("""COMPUTED_VALUE"""),63.0)</f>
        <v>63</v>
      </c>
      <c r="E1572" s="2"/>
      <c r="F1572" s="2"/>
    </row>
    <row r="1573">
      <c r="A1573" s="2">
        <f>IFERROR(__xludf.DUMMYFUNCTION("""COMPUTED_VALUE"""),164930.0)</f>
        <v>164930</v>
      </c>
      <c r="B1573" s="2">
        <f>IFERROR(__xludf.DUMMYFUNCTION("""COMPUTED_VALUE"""),1.0)</f>
        <v>1</v>
      </c>
      <c r="C1573" s="2">
        <f>IFERROR(__xludf.DUMMYFUNCTION("""COMPUTED_VALUE"""),731.0)</f>
        <v>731</v>
      </c>
      <c r="D1573" s="3">
        <f>IFERROR(__xludf.DUMMYFUNCTION("""COMPUTED_VALUE"""),217.0)</f>
        <v>217</v>
      </c>
      <c r="E1573" s="2"/>
      <c r="F1573" s="2"/>
    </row>
    <row r="1574">
      <c r="A1574" s="2">
        <f>IFERROR(__xludf.DUMMYFUNCTION("""COMPUTED_VALUE"""),102584.0)</f>
        <v>102584</v>
      </c>
      <c r="B1574" s="2">
        <f>IFERROR(__xludf.DUMMYFUNCTION("""COMPUTED_VALUE"""),0.0)</f>
        <v>0</v>
      </c>
      <c r="C1574" s="2">
        <f>IFERROR(__xludf.DUMMYFUNCTION("""COMPUTED_VALUE"""),895.0)</f>
        <v>895</v>
      </c>
      <c r="D1574" s="3">
        <f>IFERROR(__xludf.DUMMYFUNCTION("""COMPUTED_VALUE"""),627.0)</f>
        <v>627</v>
      </c>
      <c r="E1574" s="2"/>
      <c r="F1574" s="2"/>
    </row>
    <row r="1575">
      <c r="A1575" s="2">
        <f>IFERROR(__xludf.DUMMYFUNCTION("""COMPUTED_VALUE"""),102586.0)</f>
        <v>102586</v>
      </c>
      <c r="B1575" s="2">
        <f>IFERROR(__xludf.DUMMYFUNCTION("""COMPUTED_VALUE"""),1.0)</f>
        <v>1</v>
      </c>
      <c r="C1575" s="2">
        <f>IFERROR(__xludf.DUMMYFUNCTION("""COMPUTED_VALUE"""),299.0)</f>
        <v>299</v>
      </c>
      <c r="D1575" s="3">
        <f>IFERROR(__xludf.DUMMYFUNCTION("""COMPUTED_VALUE"""),100.0)</f>
        <v>100</v>
      </c>
      <c r="E1575" s="2"/>
      <c r="F1575" s="2"/>
    </row>
    <row r="1576">
      <c r="A1576" s="2">
        <f>IFERROR(__xludf.DUMMYFUNCTION("""COMPUTED_VALUE"""),83758.0)</f>
        <v>83758</v>
      </c>
      <c r="B1576" s="2">
        <f>IFERROR(__xludf.DUMMYFUNCTION("""COMPUTED_VALUE"""),1.0)</f>
        <v>1</v>
      </c>
      <c r="C1576" s="2">
        <f>IFERROR(__xludf.DUMMYFUNCTION("""COMPUTED_VALUE"""),280.0)</f>
        <v>280</v>
      </c>
      <c r="D1576" s="3">
        <f>IFERROR(__xludf.DUMMYFUNCTION("""COMPUTED_VALUE"""),199.0)</f>
        <v>199</v>
      </c>
      <c r="E1576" s="2"/>
      <c r="F1576" s="2"/>
    </row>
    <row r="1577">
      <c r="A1577" s="2">
        <f>IFERROR(__xludf.DUMMYFUNCTION("""COMPUTED_VALUE"""),80189.0)</f>
        <v>80189</v>
      </c>
      <c r="B1577" s="2">
        <f>IFERROR(__xludf.DUMMYFUNCTION("""COMPUTED_VALUE"""),0.0)</f>
        <v>0</v>
      </c>
      <c r="C1577" s="2">
        <f>IFERROR(__xludf.DUMMYFUNCTION("""COMPUTED_VALUE"""),285.0)</f>
        <v>285</v>
      </c>
      <c r="D1577" s="3">
        <f>IFERROR(__xludf.DUMMYFUNCTION("""COMPUTED_VALUE"""),257.0)</f>
        <v>257</v>
      </c>
      <c r="E1577" s="2"/>
      <c r="F1577" s="2"/>
    </row>
    <row r="1578">
      <c r="A1578" s="2">
        <f>IFERROR(__xludf.DUMMYFUNCTION("""COMPUTED_VALUE"""),26148.0)</f>
        <v>26148</v>
      </c>
      <c r="B1578" s="2">
        <f>IFERROR(__xludf.DUMMYFUNCTION("""COMPUTED_VALUE"""),0.0)</f>
        <v>0</v>
      </c>
      <c r="C1578" s="2">
        <f>IFERROR(__xludf.DUMMYFUNCTION("""COMPUTED_VALUE"""),-5.0)</f>
        <v>-5</v>
      </c>
      <c r="D1578" s="3">
        <f>IFERROR(__xludf.DUMMYFUNCTION("""COMPUTED_VALUE"""),-4.0)</f>
        <v>-4</v>
      </c>
      <c r="E1578" s="2"/>
      <c r="F1578" s="2"/>
    </row>
    <row r="1579">
      <c r="A1579" s="2">
        <f>IFERROR(__xludf.DUMMYFUNCTION("""COMPUTED_VALUE"""),121902.0)</f>
        <v>121902</v>
      </c>
      <c r="B1579" s="2">
        <f>IFERROR(__xludf.DUMMYFUNCTION("""COMPUTED_VALUE"""),0.0)</f>
        <v>0</v>
      </c>
      <c r="C1579" s="2">
        <f>IFERROR(__xludf.DUMMYFUNCTION("""COMPUTED_VALUE"""),869.0)</f>
        <v>869</v>
      </c>
      <c r="D1579" s="3">
        <f>IFERROR(__xludf.DUMMYFUNCTION("""COMPUTED_VALUE"""),603.0)</f>
        <v>603</v>
      </c>
      <c r="E1579" s="2"/>
      <c r="F1579" s="2"/>
    </row>
    <row r="1580">
      <c r="A1580" s="2">
        <f>IFERROR(__xludf.DUMMYFUNCTION("""COMPUTED_VALUE"""),21032.0)</f>
        <v>21032</v>
      </c>
      <c r="B1580" s="2">
        <f>IFERROR(__xludf.DUMMYFUNCTION("""COMPUTED_VALUE"""),1.0)</f>
        <v>1</v>
      </c>
      <c r="C1580" s="2">
        <f>IFERROR(__xludf.DUMMYFUNCTION("""COMPUTED_VALUE"""),587.0)</f>
        <v>587</v>
      </c>
      <c r="D1580" s="3">
        <f>IFERROR(__xludf.DUMMYFUNCTION("""COMPUTED_VALUE"""),171.0)</f>
        <v>171</v>
      </c>
      <c r="E1580" s="2"/>
      <c r="F1580" s="2"/>
    </row>
    <row r="1581">
      <c r="A1581" s="2">
        <f>IFERROR(__xludf.DUMMYFUNCTION("""COMPUTED_VALUE"""),22071.0)</f>
        <v>22071</v>
      </c>
      <c r="B1581" s="2">
        <f>IFERROR(__xludf.DUMMYFUNCTION("""COMPUTED_VALUE"""),1.0)</f>
        <v>1</v>
      </c>
      <c r="C1581" s="2">
        <f>IFERROR(__xludf.DUMMYFUNCTION("""COMPUTED_VALUE"""),67.0)</f>
        <v>67</v>
      </c>
      <c r="D1581" s="3">
        <f>IFERROR(__xludf.DUMMYFUNCTION("""COMPUTED_VALUE"""),53.0)</f>
        <v>53</v>
      </c>
      <c r="E1581" s="2"/>
      <c r="F1581" s="2"/>
    </row>
    <row r="1582">
      <c r="A1582" s="2">
        <f>IFERROR(__xludf.DUMMYFUNCTION("""COMPUTED_VALUE"""),87404.0)</f>
        <v>87404</v>
      </c>
      <c r="B1582" s="2">
        <f>IFERROR(__xludf.DUMMYFUNCTION("""COMPUTED_VALUE"""),1.0)</f>
        <v>1</v>
      </c>
      <c r="C1582" s="2">
        <f>IFERROR(__xludf.DUMMYFUNCTION("""COMPUTED_VALUE"""),323.0)</f>
        <v>323</v>
      </c>
      <c r="D1582" s="3">
        <f>IFERROR(__xludf.DUMMYFUNCTION("""COMPUTED_VALUE"""),214.0)</f>
        <v>214</v>
      </c>
      <c r="E1582" s="2"/>
      <c r="F1582" s="2"/>
    </row>
    <row r="1583">
      <c r="A1583" s="2">
        <f>IFERROR(__xludf.DUMMYFUNCTION("""COMPUTED_VALUE"""),42712.0)</f>
        <v>42712</v>
      </c>
      <c r="B1583" s="2">
        <f>IFERROR(__xludf.DUMMYFUNCTION("""COMPUTED_VALUE"""),0.0)</f>
        <v>0</v>
      </c>
      <c r="C1583" s="2">
        <f>IFERROR(__xludf.DUMMYFUNCTION("""COMPUTED_VALUE"""),305.0)</f>
        <v>305</v>
      </c>
      <c r="D1583" s="3">
        <f>IFERROR(__xludf.DUMMYFUNCTION("""COMPUTED_VALUE"""),243.0)</f>
        <v>243</v>
      </c>
      <c r="E1583" s="2"/>
      <c r="F1583" s="2"/>
    </row>
    <row r="1584">
      <c r="A1584" s="2">
        <f>IFERROR(__xludf.DUMMYFUNCTION("""COMPUTED_VALUE"""),76609.0)</f>
        <v>76609</v>
      </c>
      <c r="B1584" s="2">
        <f>IFERROR(__xludf.DUMMYFUNCTION("""COMPUTED_VALUE"""),1.0)</f>
        <v>1</v>
      </c>
      <c r="C1584" s="2">
        <f>IFERROR(__xludf.DUMMYFUNCTION("""COMPUTED_VALUE"""),714.0)</f>
        <v>714</v>
      </c>
      <c r="D1584" s="3">
        <f>IFERROR(__xludf.DUMMYFUNCTION("""COMPUTED_VALUE"""),222.0)</f>
        <v>222</v>
      </c>
      <c r="E1584" s="2"/>
      <c r="F1584" s="2"/>
    </row>
    <row r="1585">
      <c r="A1585" s="2">
        <f>IFERROR(__xludf.DUMMYFUNCTION("""COMPUTED_VALUE"""),952.0)</f>
        <v>952</v>
      </c>
      <c r="B1585" s="2">
        <f>IFERROR(__xludf.DUMMYFUNCTION("""COMPUTED_VALUE"""),0.0)</f>
        <v>0</v>
      </c>
      <c r="C1585" s="2">
        <f>IFERROR(__xludf.DUMMYFUNCTION("""COMPUTED_VALUE"""),917.0)</f>
        <v>917</v>
      </c>
      <c r="D1585" s="3">
        <f>IFERROR(__xludf.DUMMYFUNCTION("""COMPUTED_VALUE"""),697.0)</f>
        <v>697</v>
      </c>
      <c r="E1585" s="2"/>
      <c r="F1585" s="2"/>
    </row>
    <row r="1586">
      <c r="A1586" s="2">
        <f>IFERROR(__xludf.DUMMYFUNCTION("""COMPUTED_VALUE"""),26136.0)</f>
        <v>26136</v>
      </c>
      <c r="B1586" s="2">
        <f>IFERROR(__xludf.DUMMYFUNCTION("""COMPUTED_VALUE"""),0.0)</f>
        <v>0</v>
      </c>
      <c r="C1586" s="2">
        <f>IFERROR(__xludf.DUMMYFUNCTION("""COMPUTED_VALUE"""),722.0)</f>
        <v>722</v>
      </c>
      <c r="D1586" s="3">
        <f>IFERROR(__xludf.DUMMYFUNCTION("""COMPUTED_VALUE"""),136.0)</f>
        <v>136</v>
      </c>
      <c r="E1586" s="2"/>
      <c r="F1586" s="2"/>
    </row>
    <row r="1587">
      <c r="A1587" s="2">
        <f>IFERROR(__xludf.DUMMYFUNCTION("""COMPUTED_VALUE"""),87502.0)</f>
        <v>87502</v>
      </c>
      <c r="B1587" s="2">
        <f>IFERROR(__xludf.DUMMYFUNCTION("""COMPUTED_VALUE"""),0.0)</f>
        <v>0</v>
      </c>
      <c r="C1587" s="2">
        <f>IFERROR(__xludf.DUMMYFUNCTION("""COMPUTED_VALUE"""),383.0)</f>
        <v>383</v>
      </c>
      <c r="D1587" s="3">
        <f>IFERROR(__xludf.DUMMYFUNCTION("""COMPUTED_VALUE"""),213.0)</f>
        <v>213</v>
      </c>
      <c r="E1587" s="2"/>
      <c r="F1587" s="2"/>
    </row>
    <row r="1588">
      <c r="A1588" s="2">
        <f>IFERROR(__xludf.DUMMYFUNCTION("""COMPUTED_VALUE"""),73923.0)</f>
        <v>73923</v>
      </c>
      <c r="B1588" s="2">
        <f>IFERROR(__xludf.DUMMYFUNCTION("""COMPUTED_VALUE"""),0.0)</f>
        <v>0</v>
      </c>
      <c r="C1588" s="2">
        <f>IFERROR(__xludf.DUMMYFUNCTION("""COMPUTED_VALUE"""),364.0)</f>
        <v>364</v>
      </c>
      <c r="D1588" s="3">
        <f>IFERROR(__xludf.DUMMYFUNCTION("""COMPUTED_VALUE"""),45.0)</f>
        <v>45</v>
      </c>
      <c r="E1588" s="2"/>
      <c r="F1588" s="2"/>
    </row>
    <row r="1589">
      <c r="A1589" s="2">
        <f>IFERROR(__xludf.DUMMYFUNCTION("""COMPUTED_VALUE"""),164927.0)</f>
        <v>164927</v>
      </c>
      <c r="B1589" s="2">
        <f>IFERROR(__xludf.DUMMYFUNCTION("""COMPUTED_VALUE"""),0.0)</f>
        <v>0</v>
      </c>
      <c r="C1589" s="2">
        <f>IFERROR(__xludf.DUMMYFUNCTION("""COMPUTED_VALUE"""),961.0)</f>
        <v>961</v>
      </c>
      <c r="D1589" s="3">
        <f>IFERROR(__xludf.DUMMYFUNCTION("""COMPUTED_VALUE"""),848.0)</f>
        <v>848</v>
      </c>
      <c r="E1589" s="2"/>
      <c r="F1589" s="2"/>
    </row>
    <row r="1590">
      <c r="A1590" s="2">
        <f>IFERROR(__xludf.DUMMYFUNCTION("""COMPUTED_VALUE"""),108749.0)</f>
        <v>108749</v>
      </c>
      <c r="B1590" s="2">
        <f>IFERROR(__xludf.DUMMYFUNCTION("""COMPUTED_VALUE"""),1.0)</f>
        <v>1</v>
      </c>
      <c r="C1590" s="2">
        <f>IFERROR(__xludf.DUMMYFUNCTION("""COMPUTED_VALUE"""),353.0)</f>
        <v>353</v>
      </c>
      <c r="D1590" s="3">
        <f>IFERROR(__xludf.DUMMYFUNCTION("""COMPUTED_VALUE"""),145.0)</f>
        <v>145</v>
      </c>
      <c r="E1590" s="2"/>
      <c r="F1590" s="2"/>
    </row>
    <row r="1591">
      <c r="A1591" s="2">
        <f>IFERROR(__xludf.DUMMYFUNCTION("""COMPUTED_VALUE"""),89919.0)</f>
        <v>89919</v>
      </c>
      <c r="B1591" s="2">
        <f>IFERROR(__xludf.DUMMYFUNCTION("""COMPUTED_VALUE"""),0.0)</f>
        <v>0</v>
      </c>
      <c r="C1591" s="2">
        <f>IFERROR(__xludf.DUMMYFUNCTION("""COMPUTED_VALUE"""),395.0)</f>
        <v>395</v>
      </c>
      <c r="D1591" s="3">
        <f>IFERROR(__xludf.DUMMYFUNCTION("""COMPUTED_VALUE"""),145.0)</f>
        <v>145</v>
      </c>
      <c r="E1591" s="2"/>
      <c r="F1591" s="2"/>
    </row>
    <row r="1592">
      <c r="A1592" s="2">
        <f>IFERROR(__xludf.DUMMYFUNCTION("""COMPUTED_VALUE"""),112897.0)</f>
        <v>112897</v>
      </c>
      <c r="B1592" s="2">
        <f>IFERROR(__xludf.DUMMYFUNCTION("""COMPUTED_VALUE"""),0.0)</f>
        <v>0</v>
      </c>
      <c r="C1592" s="2">
        <f>IFERROR(__xludf.DUMMYFUNCTION("""COMPUTED_VALUE"""),817.0)</f>
        <v>817</v>
      </c>
      <c r="D1592" s="3">
        <f>IFERROR(__xludf.DUMMYFUNCTION("""COMPUTED_VALUE"""),579.0)</f>
        <v>579</v>
      </c>
      <c r="E1592" s="2"/>
      <c r="F1592" s="2"/>
    </row>
    <row r="1593">
      <c r="A1593" s="2">
        <f>IFERROR(__xludf.DUMMYFUNCTION("""COMPUTED_VALUE"""),122013.0)</f>
        <v>122013</v>
      </c>
      <c r="B1593" s="2">
        <f>IFERROR(__xludf.DUMMYFUNCTION("""COMPUTED_VALUE"""),1.0)</f>
        <v>1</v>
      </c>
      <c r="C1593" s="2">
        <f>IFERROR(__xludf.DUMMYFUNCTION("""COMPUTED_VALUE"""),512.0)</f>
        <v>512</v>
      </c>
      <c r="D1593" s="3">
        <f>IFERROR(__xludf.DUMMYFUNCTION("""COMPUTED_VALUE"""),106.0)</f>
        <v>106</v>
      </c>
      <c r="E1593" s="2"/>
      <c r="F1593" s="2"/>
    </row>
    <row r="1594">
      <c r="A1594" s="2">
        <f>IFERROR(__xludf.DUMMYFUNCTION("""COMPUTED_VALUE"""),89902.0)</f>
        <v>89902</v>
      </c>
      <c r="B1594" s="2">
        <f>IFERROR(__xludf.DUMMYFUNCTION("""COMPUTED_VALUE"""),0.0)</f>
        <v>0</v>
      </c>
      <c r="C1594" s="2">
        <f>IFERROR(__xludf.DUMMYFUNCTION("""COMPUTED_VALUE"""),716.0)</f>
        <v>716</v>
      </c>
      <c r="D1594" s="3">
        <f>IFERROR(__xludf.DUMMYFUNCTION("""COMPUTED_VALUE"""),5.0)</f>
        <v>5</v>
      </c>
      <c r="E1594" s="2"/>
      <c r="F1594" s="2"/>
    </row>
    <row r="1595">
      <c r="A1595" s="2">
        <f>IFERROR(__xludf.DUMMYFUNCTION("""COMPUTED_VALUE"""),89900.0)</f>
        <v>89900</v>
      </c>
      <c r="B1595" s="2">
        <f>IFERROR(__xludf.DUMMYFUNCTION("""COMPUTED_VALUE"""),0.0)</f>
        <v>0</v>
      </c>
      <c r="C1595" s="2">
        <f>IFERROR(__xludf.DUMMYFUNCTION("""COMPUTED_VALUE"""),683.0)</f>
        <v>683</v>
      </c>
      <c r="D1595" s="3">
        <f>IFERROR(__xludf.DUMMYFUNCTION("""COMPUTED_VALUE"""),459.0)</f>
        <v>459</v>
      </c>
      <c r="E1595" s="2"/>
      <c r="F1595" s="2"/>
    </row>
    <row r="1596">
      <c r="A1596" s="2">
        <f>IFERROR(__xludf.DUMMYFUNCTION("""COMPUTED_VALUE"""),92461.0)</f>
        <v>92461</v>
      </c>
      <c r="B1596" s="2">
        <f>IFERROR(__xludf.DUMMYFUNCTION("""COMPUTED_VALUE"""),0.0)</f>
        <v>0</v>
      </c>
      <c r="C1596" s="2">
        <f>IFERROR(__xludf.DUMMYFUNCTION("""COMPUTED_VALUE"""),258.0)</f>
        <v>258</v>
      </c>
      <c r="D1596" s="3">
        <f>IFERROR(__xludf.DUMMYFUNCTION("""COMPUTED_VALUE"""),235.0)</f>
        <v>235</v>
      </c>
      <c r="E1596" s="2"/>
      <c r="F1596" s="2"/>
    </row>
    <row r="1597">
      <c r="A1597" s="2">
        <f>IFERROR(__xludf.DUMMYFUNCTION("""COMPUTED_VALUE"""),128834.0)</f>
        <v>128834</v>
      </c>
      <c r="B1597" s="2">
        <f>IFERROR(__xludf.DUMMYFUNCTION("""COMPUTED_VALUE"""),0.0)</f>
        <v>0</v>
      </c>
      <c r="C1597" s="2">
        <f>IFERROR(__xludf.DUMMYFUNCTION("""COMPUTED_VALUE"""),620.0)</f>
        <v>620</v>
      </c>
      <c r="D1597" s="3">
        <f>IFERROR(__xludf.DUMMYFUNCTION("""COMPUTED_VALUE"""),414.0)</f>
        <v>414</v>
      </c>
      <c r="E1597" s="2"/>
      <c r="F1597" s="2"/>
    </row>
    <row r="1598">
      <c r="A1598" s="2">
        <f>IFERROR(__xludf.DUMMYFUNCTION("""COMPUTED_VALUE"""),135180.0)</f>
        <v>135180</v>
      </c>
      <c r="B1598" s="2">
        <f>IFERROR(__xludf.DUMMYFUNCTION("""COMPUTED_VALUE"""),1.0)</f>
        <v>1</v>
      </c>
      <c r="C1598" s="2">
        <f>IFERROR(__xludf.DUMMYFUNCTION("""COMPUTED_VALUE"""),577.0)</f>
        <v>577</v>
      </c>
      <c r="D1598" s="3">
        <f>IFERROR(__xludf.DUMMYFUNCTION("""COMPUTED_VALUE"""),537.0)</f>
        <v>537</v>
      </c>
      <c r="E1598" s="2"/>
      <c r="F1598" s="2"/>
    </row>
    <row r="1599">
      <c r="A1599" s="2">
        <f>IFERROR(__xludf.DUMMYFUNCTION("""COMPUTED_VALUE"""),120582.0)</f>
        <v>120582</v>
      </c>
      <c r="B1599" s="2">
        <f>IFERROR(__xludf.DUMMYFUNCTION("""COMPUTED_VALUE"""),1.0)</f>
        <v>1</v>
      </c>
      <c r="C1599" s="2">
        <f>IFERROR(__xludf.DUMMYFUNCTION("""COMPUTED_VALUE"""),650.0)</f>
        <v>650</v>
      </c>
      <c r="D1599" s="3">
        <f>IFERROR(__xludf.DUMMYFUNCTION("""COMPUTED_VALUE"""),591.0)</f>
        <v>591</v>
      </c>
      <c r="E1599" s="2"/>
      <c r="F1599" s="2"/>
    </row>
    <row r="1600">
      <c r="A1600" s="2">
        <f>IFERROR(__xludf.DUMMYFUNCTION("""COMPUTED_VALUE"""),105794.0)</f>
        <v>105794</v>
      </c>
      <c r="B1600" s="2">
        <f>IFERROR(__xludf.DUMMYFUNCTION("""COMPUTED_VALUE"""),0.0)</f>
        <v>0</v>
      </c>
      <c r="C1600" s="2">
        <f>IFERROR(__xludf.DUMMYFUNCTION("""COMPUTED_VALUE"""),610.0)</f>
        <v>610</v>
      </c>
      <c r="D1600" s="3">
        <f>IFERROR(__xludf.DUMMYFUNCTION("""COMPUTED_VALUE"""),91.0)</f>
        <v>91</v>
      </c>
      <c r="E1600" s="2"/>
      <c r="F1600" s="2"/>
    </row>
    <row r="1601">
      <c r="A1601" s="2">
        <f>IFERROR(__xludf.DUMMYFUNCTION("""COMPUTED_VALUE"""),81049.0)</f>
        <v>81049</v>
      </c>
      <c r="B1601" s="2">
        <f>IFERROR(__xludf.DUMMYFUNCTION("""COMPUTED_VALUE"""),1.0)</f>
        <v>1</v>
      </c>
      <c r="C1601" s="2">
        <f>IFERROR(__xludf.DUMMYFUNCTION("""COMPUTED_VALUE"""),976.0)</f>
        <v>976</v>
      </c>
      <c r="D1601" s="3">
        <f>IFERROR(__xludf.DUMMYFUNCTION("""COMPUTED_VALUE"""),907.0)</f>
        <v>907</v>
      </c>
      <c r="E1601" s="2"/>
      <c r="F1601" s="2"/>
    </row>
    <row r="1602">
      <c r="A1602" s="2">
        <f>IFERROR(__xludf.DUMMYFUNCTION("""COMPUTED_VALUE"""),13364.0)</f>
        <v>13364</v>
      </c>
      <c r="B1602" s="2">
        <f>IFERROR(__xludf.DUMMYFUNCTION("""COMPUTED_VALUE"""),1.0)</f>
        <v>1</v>
      </c>
      <c r="C1602" s="2">
        <f>IFERROR(__xludf.DUMMYFUNCTION("""COMPUTED_VALUE"""),306.0)</f>
        <v>306</v>
      </c>
      <c r="D1602" s="3">
        <f>IFERROR(__xludf.DUMMYFUNCTION("""COMPUTED_VALUE"""),175.0)</f>
        <v>175</v>
      </c>
      <c r="E1602" s="2"/>
      <c r="F1602" s="2"/>
    </row>
    <row r="1603">
      <c r="A1603" s="2">
        <f>IFERROR(__xludf.DUMMYFUNCTION("""COMPUTED_VALUE"""),13361.0)</f>
        <v>13361</v>
      </c>
      <c r="B1603" s="2">
        <f>IFERROR(__xludf.DUMMYFUNCTION("""COMPUTED_VALUE"""),1.0)</f>
        <v>1</v>
      </c>
      <c r="C1603" s="2">
        <f>IFERROR(__xludf.DUMMYFUNCTION("""COMPUTED_VALUE"""),4.0)</f>
        <v>4</v>
      </c>
      <c r="D1603" s="3">
        <f>IFERROR(__xludf.DUMMYFUNCTION("""COMPUTED_VALUE"""),3.0)</f>
        <v>3</v>
      </c>
      <c r="E1603" s="2"/>
      <c r="F1603" s="2"/>
    </row>
    <row r="1604">
      <c r="A1604" s="2">
        <f>IFERROR(__xludf.DUMMYFUNCTION("""COMPUTED_VALUE"""),75659.0)</f>
        <v>75659</v>
      </c>
      <c r="B1604" s="2">
        <f>IFERROR(__xludf.DUMMYFUNCTION("""COMPUTED_VALUE"""),0.0)</f>
        <v>0</v>
      </c>
      <c r="C1604" s="2">
        <f>IFERROR(__xludf.DUMMYFUNCTION("""COMPUTED_VALUE"""),685.0)</f>
        <v>685</v>
      </c>
      <c r="D1604" s="3">
        <f>IFERROR(__xludf.DUMMYFUNCTION("""COMPUTED_VALUE"""),48.0)</f>
        <v>48</v>
      </c>
      <c r="E1604" s="2"/>
      <c r="F1604" s="2"/>
    </row>
    <row r="1605">
      <c r="A1605" s="2">
        <f>IFERROR(__xludf.DUMMYFUNCTION("""COMPUTED_VALUE"""),75655.0)</f>
        <v>75655</v>
      </c>
      <c r="B1605" s="2">
        <f>IFERROR(__xludf.DUMMYFUNCTION("""COMPUTED_VALUE"""),1.0)</f>
        <v>1</v>
      </c>
      <c r="C1605" s="2">
        <f>IFERROR(__xludf.DUMMYFUNCTION("""COMPUTED_VALUE"""),277.0)</f>
        <v>277</v>
      </c>
      <c r="D1605" s="3">
        <f>IFERROR(__xludf.DUMMYFUNCTION("""COMPUTED_VALUE"""),90.0)</f>
        <v>90</v>
      </c>
      <c r="E1605" s="2"/>
      <c r="F1605" s="2"/>
    </row>
    <row r="1606">
      <c r="A1606" s="2">
        <f>IFERROR(__xludf.DUMMYFUNCTION("""COMPUTED_VALUE"""),117866.0)</f>
        <v>117866</v>
      </c>
      <c r="B1606" s="2">
        <f>IFERROR(__xludf.DUMMYFUNCTION("""COMPUTED_VALUE"""),0.0)</f>
        <v>0</v>
      </c>
      <c r="C1606" s="2">
        <f>IFERROR(__xludf.DUMMYFUNCTION("""COMPUTED_VALUE"""),270.0)</f>
        <v>270</v>
      </c>
      <c r="D1606" s="3">
        <f>IFERROR(__xludf.DUMMYFUNCTION("""COMPUTED_VALUE"""),174.0)</f>
        <v>174</v>
      </c>
      <c r="E1606" s="2"/>
      <c r="F1606" s="2"/>
    </row>
    <row r="1607">
      <c r="A1607" s="2">
        <f>IFERROR(__xludf.DUMMYFUNCTION("""COMPUTED_VALUE"""),90556.0)</f>
        <v>90556</v>
      </c>
      <c r="B1607" s="2">
        <f>IFERROR(__xludf.DUMMYFUNCTION("""COMPUTED_VALUE"""),0.0)</f>
        <v>0</v>
      </c>
      <c r="C1607" s="2">
        <f>IFERROR(__xludf.DUMMYFUNCTION("""COMPUTED_VALUE"""),409.0)</f>
        <v>409</v>
      </c>
      <c r="D1607" s="3">
        <f>IFERROR(__xludf.DUMMYFUNCTION("""COMPUTED_VALUE"""),77.0)</f>
        <v>77</v>
      </c>
      <c r="E1607" s="2"/>
      <c r="F1607" s="2"/>
    </row>
    <row r="1608">
      <c r="A1608" s="2">
        <f>IFERROR(__xludf.DUMMYFUNCTION("""COMPUTED_VALUE"""),68605.0)</f>
        <v>68605</v>
      </c>
      <c r="B1608" s="2">
        <f>IFERROR(__xludf.DUMMYFUNCTION("""COMPUTED_VALUE"""),1.0)</f>
        <v>1</v>
      </c>
      <c r="C1608" s="2">
        <f>IFERROR(__xludf.DUMMYFUNCTION("""COMPUTED_VALUE"""),283.0)</f>
        <v>283</v>
      </c>
      <c r="D1608" s="3">
        <f>IFERROR(__xludf.DUMMYFUNCTION("""COMPUTED_VALUE"""),270.0)</f>
        <v>270</v>
      </c>
      <c r="E1608" s="2"/>
      <c r="F1608" s="2"/>
    </row>
    <row r="1609">
      <c r="A1609" s="2">
        <f>IFERROR(__xludf.DUMMYFUNCTION("""COMPUTED_VALUE"""),103829.0)</f>
        <v>103829</v>
      </c>
      <c r="B1609" s="2">
        <f>IFERROR(__xludf.DUMMYFUNCTION("""COMPUTED_VALUE"""),0.0)</f>
        <v>0</v>
      </c>
      <c r="C1609" s="2">
        <f>IFERROR(__xludf.DUMMYFUNCTION("""COMPUTED_VALUE"""),525.0)</f>
        <v>525</v>
      </c>
      <c r="D1609" s="3">
        <f>IFERROR(__xludf.DUMMYFUNCTION("""COMPUTED_VALUE"""),230.0)</f>
        <v>230</v>
      </c>
      <c r="E1609" s="2"/>
      <c r="F1609" s="2"/>
    </row>
    <row r="1610">
      <c r="A1610" s="2">
        <f>IFERROR(__xludf.DUMMYFUNCTION("""COMPUTED_VALUE"""),90558.0)</f>
        <v>90558</v>
      </c>
      <c r="B1610" s="2">
        <f>IFERROR(__xludf.DUMMYFUNCTION("""COMPUTED_VALUE"""),0.0)</f>
        <v>0</v>
      </c>
      <c r="C1610" s="2">
        <f>IFERROR(__xludf.DUMMYFUNCTION("""COMPUTED_VALUE"""),399.0)</f>
        <v>399</v>
      </c>
      <c r="D1610" s="3">
        <f>IFERROR(__xludf.DUMMYFUNCTION("""COMPUTED_VALUE"""),178.0)</f>
        <v>178</v>
      </c>
      <c r="E1610" s="2"/>
      <c r="F1610" s="2"/>
    </row>
    <row r="1611">
      <c r="A1611" s="2">
        <f>IFERROR(__xludf.DUMMYFUNCTION("""COMPUTED_VALUE"""),120490.0)</f>
        <v>120490</v>
      </c>
      <c r="B1611" s="2">
        <f>IFERROR(__xludf.DUMMYFUNCTION("""COMPUTED_VALUE"""),1.0)</f>
        <v>1</v>
      </c>
      <c r="C1611" s="2">
        <f>IFERROR(__xludf.DUMMYFUNCTION("""COMPUTED_VALUE"""),919.0)</f>
        <v>919</v>
      </c>
      <c r="D1611" s="3">
        <f>IFERROR(__xludf.DUMMYFUNCTION("""COMPUTED_VALUE"""),253.0)</f>
        <v>253</v>
      </c>
      <c r="E1611" s="2"/>
      <c r="F1611" s="2"/>
    </row>
    <row r="1612">
      <c r="A1612" s="2">
        <f>IFERROR(__xludf.DUMMYFUNCTION("""COMPUTED_VALUE"""),75662.0)</f>
        <v>75662</v>
      </c>
      <c r="B1612" s="2">
        <f>IFERROR(__xludf.DUMMYFUNCTION("""COMPUTED_VALUE"""),1.0)</f>
        <v>1</v>
      </c>
      <c r="C1612" s="2">
        <f>IFERROR(__xludf.DUMMYFUNCTION("""COMPUTED_VALUE"""),719.0)</f>
        <v>719</v>
      </c>
      <c r="D1612" s="3">
        <f>IFERROR(__xludf.DUMMYFUNCTION("""COMPUTED_VALUE"""),424.0)</f>
        <v>424</v>
      </c>
      <c r="E1612" s="2"/>
      <c r="F1612" s="2"/>
    </row>
    <row r="1613">
      <c r="A1613" s="2">
        <f>IFERROR(__xludf.DUMMYFUNCTION("""COMPUTED_VALUE"""),121298.0)</f>
        <v>121298</v>
      </c>
      <c r="B1613" s="2">
        <f>IFERROR(__xludf.DUMMYFUNCTION("""COMPUTED_VALUE"""),0.0)</f>
        <v>0</v>
      </c>
      <c r="C1613" s="2">
        <f>IFERROR(__xludf.DUMMYFUNCTION("""COMPUTED_VALUE"""),6.0)</f>
        <v>6</v>
      </c>
      <c r="D1613" s="3">
        <f>IFERROR(__xludf.DUMMYFUNCTION("""COMPUTED_VALUE"""),3.0)</f>
        <v>3</v>
      </c>
      <c r="E1613" s="2"/>
      <c r="F1613" s="2"/>
    </row>
    <row r="1614">
      <c r="A1614" s="2">
        <f>IFERROR(__xludf.DUMMYFUNCTION("""COMPUTED_VALUE"""),13363.0)</f>
        <v>13363</v>
      </c>
      <c r="B1614" s="2">
        <f>IFERROR(__xludf.DUMMYFUNCTION("""COMPUTED_VALUE"""),0.0)</f>
        <v>0</v>
      </c>
      <c r="C1614" s="2">
        <f>IFERROR(__xludf.DUMMYFUNCTION("""COMPUTED_VALUE"""),877.0)</f>
        <v>877</v>
      </c>
      <c r="D1614" s="3">
        <f>IFERROR(__xludf.DUMMYFUNCTION("""COMPUTED_VALUE"""),152.0)</f>
        <v>152</v>
      </c>
      <c r="E1614" s="2"/>
      <c r="F1614" s="2"/>
    </row>
    <row r="1615">
      <c r="A1615" s="2">
        <f>IFERROR(__xludf.DUMMYFUNCTION("""COMPUTED_VALUE"""),117863.0)</f>
        <v>117863</v>
      </c>
      <c r="B1615" s="2">
        <f>IFERROR(__xludf.DUMMYFUNCTION("""COMPUTED_VALUE"""),1.0)</f>
        <v>1</v>
      </c>
      <c r="C1615" s="2">
        <f>IFERROR(__xludf.DUMMYFUNCTION("""COMPUTED_VALUE"""),849.0)</f>
        <v>849</v>
      </c>
      <c r="D1615" s="3">
        <f>IFERROR(__xludf.DUMMYFUNCTION("""COMPUTED_VALUE"""),837.0)</f>
        <v>837</v>
      </c>
      <c r="E1615" s="2"/>
      <c r="F1615" s="2"/>
    </row>
    <row r="1616">
      <c r="A1616" s="2">
        <f>IFERROR(__xludf.DUMMYFUNCTION("""COMPUTED_VALUE"""),68607.0)</f>
        <v>68607</v>
      </c>
      <c r="B1616" s="2">
        <f>IFERROR(__xludf.DUMMYFUNCTION("""COMPUTED_VALUE"""),1.0)</f>
        <v>1</v>
      </c>
      <c r="C1616" s="2">
        <f>IFERROR(__xludf.DUMMYFUNCTION("""COMPUTED_VALUE"""),832.0)</f>
        <v>832</v>
      </c>
      <c r="D1616" s="3">
        <f>IFERROR(__xludf.DUMMYFUNCTION("""COMPUTED_VALUE"""),407.0)</f>
        <v>407</v>
      </c>
      <c r="E1616" s="2"/>
      <c r="F1616" s="2"/>
    </row>
    <row r="1617">
      <c r="A1617" s="2">
        <f>IFERROR(__xludf.DUMMYFUNCTION("""COMPUTED_VALUE"""),122705.0)</f>
        <v>122705</v>
      </c>
      <c r="B1617" s="2">
        <f>IFERROR(__xludf.DUMMYFUNCTION("""COMPUTED_VALUE"""),0.0)</f>
        <v>0</v>
      </c>
      <c r="C1617" s="2">
        <f>IFERROR(__xludf.DUMMYFUNCTION("""COMPUTED_VALUE"""),416.0)</f>
        <v>416</v>
      </c>
      <c r="D1617" s="3">
        <f>IFERROR(__xludf.DUMMYFUNCTION("""COMPUTED_VALUE"""),399.0)</f>
        <v>399</v>
      </c>
      <c r="E1617" s="2"/>
      <c r="F1617" s="2"/>
    </row>
    <row r="1618">
      <c r="A1618" s="2">
        <f>IFERROR(__xludf.DUMMYFUNCTION("""COMPUTED_VALUE"""),88195.0)</f>
        <v>88195</v>
      </c>
      <c r="B1618" s="2">
        <f>IFERROR(__xludf.DUMMYFUNCTION("""COMPUTED_VALUE"""),0.0)</f>
        <v>0</v>
      </c>
      <c r="C1618" s="2">
        <f>IFERROR(__xludf.DUMMYFUNCTION("""COMPUTED_VALUE"""),665.0)</f>
        <v>665</v>
      </c>
      <c r="D1618" s="3">
        <f>IFERROR(__xludf.DUMMYFUNCTION("""COMPUTED_VALUE"""),94.0)</f>
        <v>94</v>
      </c>
      <c r="E1618" s="2"/>
      <c r="F1618" s="2"/>
    </row>
    <row r="1619">
      <c r="A1619" s="2">
        <f>IFERROR(__xludf.DUMMYFUNCTION("""COMPUTED_VALUE"""),45523.0)</f>
        <v>45523</v>
      </c>
      <c r="B1619" s="2">
        <f>IFERROR(__xludf.DUMMYFUNCTION("""COMPUTED_VALUE"""),1.0)</f>
        <v>1</v>
      </c>
      <c r="C1619" s="2">
        <f>IFERROR(__xludf.DUMMYFUNCTION("""COMPUTED_VALUE"""),882.0)</f>
        <v>882</v>
      </c>
      <c r="D1619" s="3">
        <f>IFERROR(__xludf.DUMMYFUNCTION("""COMPUTED_VALUE"""),863.0)</f>
        <v>863</v>
      </c>
      <c r="E1619" s="2"/>
      <c r="F1619" s="2"/>
    </row>
    <row r="1620">
      <c r="A1620" s="2">
        <f>IFERROR(__xludf.DUMMYFUNCTION("""COMPUTED_VALUE"""),158449.0)</f>
        <v>158449</v>
      </c>
      <c r="B1620" s="2">
        <f>IFERROR(__xludf.DUMMYFUNCTION("""COMPUTED_VALUE"""),1.0)</f>
        <v>1</v>
      </c>
      <c r="C1620" s="2">
        <f>IFERROR(__xludf.DUMMYFUNCTION("""COMPUTED_VALUE"""),494.0)</f>
        <v>494</v>
      </c>
      <c r="D1620" s="3">
        <f>IFERROR(__xludf.DUMMYFUNCTION("""COMPUTED_VALUE"""),460.0)</f>
        <v>460</v>
      </c>
      <c r="E1620" s="2"/>
      <c r="F1620" s="2"/>
    </row>
    <row r="1621">
      <c r="A1621" s="2">
        <f>IFERROR(__xludf.DUMMYFUNCTION("""COMPUTED_VALUE"""),45518.0)</f>
        <v>45518</v>
      </c>
      <c r="B1621" s="2">
        <f>IFERROR(__xludf.DUMMYFUNCTION("""COMPUTED_VALUE"""),1.0)</f>
        <v>1</v>
      </c>
      <c r="C1621" s="2">
        <f>IFERROR(__xludf.DUMMYFUNCTION("""COMPUTED_VALUE"""),670.0)</f>
        <v>670</v>
      </c>
      <c r="D1621" s="3">
        <f>IFERROR(__xludf.DUMMYFUNCTION("""COMPUTED_VALUE"""),269.0)</f>
        <v>269</v>
      </c>
      <c r="E1621" s="2"/>
      <c r="F1621" s="2"/>
    </row>
    <row r="1622">
      <c r="A1622" s="2">
        <f>IFERROR(__xludf.DUMMYFUNCTION("""COMPUTED_VALUE"""),96288.0)</f>
        <v>96288</v>
      </c>
      <c r="B1622" s="2">
        <f>IFERROR(__xludf.DUMMYFUNCTION("""COMPUTED_VALUE"""),1.0)</f>
        <v>1</v>
      </c>
      <c r="C1622" s="2">
        <f>IFERROR(__xludf.DUMMYFUNCTION("""COMPUTED_VALUE"""),875.0)</f>
        <v>875</v>
      </c>
      <c r="D1622" s="3">
        <f>IFERROR(__xludf.DUMMYFUNCTION("""COMPUTED_VALUE"""),464.0)</f>
        <v>464</v>
      </c>
      <c r="E1622" s="2"/>
      <c r="F1622" s="2"/>
    </row>
    <row r="1623">
      <c r="A1623" s="2">
        <f>IFERROR(__xludf.DUMMYFUNCTION("""COMPUTED_VALUE"""),76981.0)</f>
        <v>76981</v>
      </c>
      <c r="B1623" s="2">
        <f>IFERROR(__xludf.DUMMYFUNCTION("""COMPUTED_VALUE"""),1.0)</f>
        <v>1</v>
      </c>
      <c r="C1623" s="2">
        <f>IFERROR(__xludf.DUMMYFUNCTION("""COMPUTED_VALUE"""),277.0)</f>
        <v>277</v>
      </c>
      <c r="D1623" s="3">
        <f>IFERROR(__xludf.DUMMYFUNCTION("""COMPUTED_VALUE"""),266.0)</f>
        <v>266</v>
      </c>
      <c r="E1623" s="2"/>
      <c r="F1623" s="2"/>
    </row>
    <row r="1624">
      <c r="A1624" s="2">
        <f>IFERROR(__xludf.DUMMYFUNCTION("""COMPUTED_VALUE"""),113827.0)</f>
        <v>113827</v>
      </c>
      <c r="B1624" s="2">
        <f>IFERROR(__xludf.DUMMYFUNCTION("""COMPUTED_VALUE"""),0.0)</f>
        <v>0</v>
      </c>
      <c r="C1624" s="2">
        <f>IFERROR(__xludf.DUMMYFUNCTION("""COMPUTED_VALUE"""),727.0)</f>
        <v>727</v>
      </c>
      <c r="D1624" s="3">
        <f>IFERROR(__xludf.DUMMYFUNCTION("""COMPUTED_VALUE"""),306.0)</f>
        <v>306</v>
      </c>
      <c r="E1624" s="2"/>
      <c r="F1624" s="2"/>
    </row>
    <row r="1625">
      <c r="A1625" s="2">
        <f>IFERROR(__xludf.DUMMYFUNCTION("""COMPUTED_VALUE"""),76987.0)</f>
        <v>76987</v>
      </c>
      <c r="B1625" s="2">
        <f>IFERROR(__xludf.DUMMYFUNCTION("""COMPUTED_VALUE"""),1.0)</f>
        <v>1</v>
      </c>
      <c r="C1625" s="2">
        <f>IFERROR(__xludf.DUMMYFUNCTION("""COMPUTED_VALUE"""),33.0)</f>
        <v>33</v>
      </c>
      <c r="D1625" s="3">
        <f>IFERROR(__xludf.DUMMYFUNCTION("""COMPUTED_VALUE"""),7.0)</f>
        <v>7</v>
      </c>
      <c r="E1625" s="2"/>
      <c r="F1625" s="2"/>
    </row>
    <row r="1626">
      <c r="A1626" s="2">
        <f>IFERROR(__xludf.DUMMYFUNCTION("""COMPUTED_VALUE"""),113824.0)</f>
        <v>113824</v>
      </c>
      <c r="B1626" s="2">
        <f>IFERROR(__xludf.DUMMYFUNCTION("""COMPUTED_VALUE"""),1.0)</f>
        <v>1</v>
      </c>
      <c r="C1626" s="2">
        <f>IFERROR(__xludf.DUMMYFUNCTION("""COMPUTED_VALUE"""),47.0)</f>
        <v>47</v>
      </c>
      <c r="D1626" s="3">
        <f>IFERROR(__xludf.DUMMYFUNCTION("""COMPUTED_VALUE"""),18.0)</f>
        <v>18</v>
      </c>
      <c r="E1626" s="2"/>
      <c r="F1626" s="2"/>
    </row>
    <row r="1627">
      <c r="A1627" s="2">
        <f>IFERROR(__xludf.DUMMYFUNCTION("""COMPUTED_VALUE"""),113823.0)</f>
        <v>113823</v>
      </c>
      <c r="B1627" s="2">
        <f>IFERROR(__xludf.DUMMYFUNCTION("""COMPUTED_VALUE"""),0.0)</f>
        <v>0</v>
      </c>
      <c r="C1627" s="2">
        <f>IFERROR(__xludf.DUMMYFUNCTION("""COMPUTED_VALUE"""),857.0)</f>
        <v>857</v>
      </c>
      <c r="D1627" s="3">
        <f>IFERROR(__xludf.DUMMYFUNCTION("""COMPUTED_VALUE"""),256.0)</f>
        <v>256</v>
      </c>
      <c r="E1627" s="2"/>
      <c r="F1627" s="2"/>
    </row>
    <row r="1628">
      <c r="A1628" s="2">
        <f>IFERROR(__xludf.DUMMYFUNCTION("""COMPUTED_VALUE"""),156053.0)</f>
        <v>156053</v>
      </c>
      <c r="B1628" s="2">
        <f>IFERROR(__xludf.DUMMYFUNCTION("""COMPUTED_VALUE"""),0.0)</f>
        <v>0</v>
      </c>
      <c r="C1628" s="2">
        <f>IFERROR(__xludf.DUMMYFUNCTION("""COMPUTED_VALUE"""),93.0)</f>
        <v>93</v>
      </c>
      <c r="D1628" s="3">
        <f>IFERROR(__xludf.DUMMYFUNCTION("""COMPUTED_VALUE"""),55.0)</f>
        <v>55</v>
      </c>
      <c r="E1628" s="2"/>
      <c r="F1628" s="2"/>
    </row>
    <row r="1629">
      <c r="A1629" s="2">
        <f>IFERROR(__xludf.DUMMYFUNCTION("""COMPUTED_VALUE"""),45522.0)</f>
        <v>45522</v>
      </c>
      <c r="B1629" s="2">
        <f>IFERROR(__xludf.DUMMYFUNCTION("""COMPUTED_VALUE"""),0.0)</f>
        <v>0</v>
      </c>
      <c r="C1629" s="2">
        <f>IFERROR(__xludf.DUMMYFUNCTION("""COMPUTED_VALUE"""),671.0)</f>
        <v>671</v>
      </c>
      <c r="D1629" s="3">
        <f>IFERROR(__xludf.DUMMYFUNCTION("""COMPUTED_VALUE"""),282.0)</f>
        <v>282</v>
      </c>
      <c r="E1629" s="2"/>
      <c r="F1629" s="2"/>
    </row>
    <row r="1630">
      <c r="A1630" s="2">
        <f>IFERROR(__xludf.DUMMYFUNCTION("""COMPUTED_VALUE"""),99176.0)</f>
        <v>99176</v>
      </c>
      <c r="B1630" s="2">
        <f>IFERROR(__xludf.DUMMYFUNCTION("""COMPUTED_VALUE"""),0.0)</f>
        <v>0</v>
      </c>
      <c r="C1630" s="2">
        <f>IFERROR(__xludf.DUMMYFUNCTION("""COMPUTED_VALUE"""),260.0)</f>
        <v>260</v>
      </c>
      <c r="D1630" s="3">
        <f>IFERROR(__xludf.DUMMYFUNCTION("""COMPUTED_VALUE"""),56.0)</f>
        <v>56</v>
      </c>
      <c r="E1630" s="2"/>
      <c r="F1630" s="2"/>
    </row>
    <row r="1631">
      <c r="A1631" s="2">
        <f>IFERROR(__xludf.DUMMYFUNCTION("""COMPUTED_VALUE"""),49219.0)</f>
        <v>49219</v>
      </c>
      <c r="B1631" s="2">
        <f>IFERROR(__xludf.DUMMYFUNCTION("""COMPUTED_VALUE"""),0.0)</f>
        <v>0</v>
      </c>
      <c r="C1631" s="2">
        <f>IFERROR(__xludf.DUMMYFUNCTION("""COMPUTED_VALUE"""),450.0)</f>
        <v>450</v>
      </c>
      <c r="D1631" s="3">
        <f>IFERROR(__xludf.DUMMYFUNCTION("""COMPUTED_VALUE"""),18.0)</f>
        <v>18</v>
      </c>
      <c r="E1631" s="2"/>
      <c r="F1631" s="2"/>
    </row>
    <row r="1632">
      <c r="A1632" s="2">
        <f>IFERROR(__xludf.DUMMYFUNCTION("""COMPUTED_VALUE"""),102370.0)</f>
        <v>102370</v>
      </c>
      <c r="B1632" s="2">
        <f>IFERROR(__xludf.DUMMYFUNCTION("""COMPUTED_VALUE"""),0.0)</f>
        <v>0</v>
      </c>
      <c r="C1632" s="2">
        <f>IFERROR(__xludf.DUMMYFUNCTION("""COMPUTED_VALUE"""),766.0)</f>
        <v>766</v>
      </c>
      <c r="D1632" s="3">
        <f>IFERROR(__xludf.DUMMYFUNCTION("""COMPUTED_VALUE"""),239.0)</f>
        <v>239</v>
      </c>
      <c r="E1632" s="2"/>
      <c r="F1632" s="2"/>
    </row>
    <row r="1633">
      <c r="A1633" s="2">
        <f>IFERROR(__xludf.DUMMYFUNCTION("""COMPUTED_VALUE"""),49222.0)</f>
        <v>49222</v>
      </c>
      <c r="B1633" s="2">
        <f>IFERROR(__xludf.DUMMYFUNCTION("""COMPUTED_VALUE"""),1.0)</f>
        <v>1</v>
      </c>
      <c r="C1633" s="2">
        <f>IFERROR(__xludf.DUMMYFUNCTION("""COMPUTED_VALUE"""),510.0)</f>
        <v>510</v>
      </c>
      <c r="D1633" s="3">
        <f>IFERROR(__xludf.DUMMYFUNCTION("""COMPUTED_VALUE"""),142.0)</f>
        <v>142</v>
      </c>
      <c r="E1633" s="2"/>
      <c r="F1633" s="2"/>
    </row>
    <row r="1634">
      <c r="A1634" s="2">
        <f>IFERROR(__xludf.DUMMYFUNCTION("""COMPUTED_VALUE"""),102352.0)</f>
        <v>102352</v>
      </c>
      <c r="B1634" s="2">
        <f>IFERROR(__xludf.DUMMYFUNCTION("""COMPUTED_VALUE"""),0.0)</f>
        <v>0</v>
      </c>
      <c r="C1634" s="2">
        <f>IFERROR(__xludf.DUMMYFUNCTION("""COMPUTED_VALUE"""),301.0)</f>
        <v>301</v>
      </c>
      <c r="D1634" s="3">
        <f>IFERROR(__xludf.DUMMYFUNCTION("""COMPUTED_VALUE"""),9.0)</f>
        <v>9</v>
      </c>
      <c r="E1634" s="2"/>
      <c r="F1634" s="2"/>
    </row>
    <row r="1635">
      <c r="A1635" s="2">
        <f>IFERROR(__xludf.DUMMYFUNCTION("""COMPUTED_VALUE"""),49233.0)</f>
        <v>49233</v>
      </c>
      <c r="B1635" s="2">
        <f>IFERROR(__xludf.DUMMYFUNCTION("""COMPUTED_VALUE"""),0.0)</f>
        <v>0</v>
      </c>
      <c r="C1635" s="2">
        <f>IFERROR(__xludf.DUMMYFUNCTION("""COMPUTED_VALUE"""),329.0)</f>
        <v>329</v>
      </c>
      <c r="D1635" s="3">
        <f>IFERROR(__xludf.DUMMYFUNCTION("""COMPUTED_VALUE"""),87.0)</f>
        <v>87</v>
      </c>
      <c r="E1635" s="2"/>
      <c r="F1635" s="2"/>
    </row>
    <row r="1636">
      <c r="A1636" s="2">
        <f>IFERROR(__xludf.DUMMYFUNCTION("""COMPUTED_VALUE"""),99163.0)</f>
        <v>99163</v>
      </c>
      <c r="B1636" s="2">
        <f>IFERROR(__xludf.DUMMYFUNCTION("""COMPUTED_VALUE"""),1.0)</f>
        <v>1</v>
      </c>
      <c r="C1636" s="2">
        <f>IFERROR(__xludf.DUMMYFUNCTION("""COMPUTED_VALUE"""),211.0)</f>
        <v>211</v>
      </c>
      <c r="D1636" s="3">
        <f>IFERROR(__xludf.DUMMYFUNCTION("""COMPUTED_VALUE"""),42.0)</f>
        <v>42</v>
      </c>
      <c r="E1636" s="2"/>
      <c r="F1636" s="2"/>
    </row>
    <row r="1637">
      <c r="A1637" s="2">
        <f>IFERROR(__xludf.DUMMYFUNCTION("""COMPUTED_VALUE"""),142785.0)</f>
        <v>142785</v>
      </c>
      <c r="B1637" s="2">
        <f>IFERROR(__xludf.DUMMYFUNCTION("""COMPUTED_VALUE"""),1.0)</f>
        <v>1</v>
      </c>
      <c r="C1637" s="2">
        <f>IFERROR(__xludf.DUMMYFUNCTION("""COMPUTED_VALUE"""),24.0)</f>
        <v>24</v>
      </c>
      <c r="D1637" s="3">
        <f>IFERROR(__xludf.DUMMYFUNCTION("""COMPUTED_VALUE"""),14.0)</f>
        <v>14</v>
      </c>
      <c r="E1637" s="2"/>
      <c r="F1637" s="2"/>
    </row>
    <row r="1638">
      <c r="A1638" s="2">
        <f>IFERROR(__xludf.DUMMYFUNCTION("""COMPUTED_VALUE"""),113054.0)</f>
        <v>113054</v>
      </c>
      <c r="B1638" s="2">
        <f>IFERROR(__xludf.DUMMYFUNCTION("""COMPUTED_VALUE"""),0.0)</f>
        <v>0</v>
      </c>
      <c r="C1638" s="2">
        <f>IFERROR(__xludf.DUMMYFUNCTION("""COMPUTED_VALUE"""),477.0)</f>
        <v>477</v>
      </c>
      <c r="D1638" s="3">
        <f>IFERROR(__xludf.DUMMYFUNCTION("""COMPUTED_VALUE"""),417.0)</f>
        <v>417</v>
      </c>
      <c r="E1638" s="2"/>
      <c r="F1638" s="2"/>
    </row>
    <row r="1639">
      <c r="A1639" s="2">
        <f>IFERROR(__xludf.DUMMYFUNCTION("""COMPUTED_VALUE"""),88105.0)</f>
        <v>88105</v>
      </c>
      <c r="B1639" s="2">
        <f>IFERROR(__xludf.DUMMYFUNCTION("""COMPUTED_VALUE"""),0.0)</f>
        <v>0</v>
      </c>
      <c r="C1639" s="2">
        <f>IFERROR(__xludf.DUMMYFUNCTION("""COMPUTED_VALUE"""),30.0)</f>
        <v>30</v>
      </c>
      <c r="D1639" s="3">
        <f>IFERROR(__xludf.DUMMYFUNCTION("""COMPUTED_VALUE"""),9.0)</f>
        <v>9</v>
      </c>
      <c r="E1639" s="2"/>
      <c r="F1639" s="2"/>
    </row>
    <row r="1640">
      <c r="A1640" s="2">
        <f>IFERROR(__xludf.DUMMYFUNCTION("""COMPUTED_VALUE"""),97036.0)</f>
        <v>97036</v>
      </c>
      <c r="B1640" s="2">
        <f>IFERROR(__xludf.DUMMYFUNCTION("""COMPUTED_VALUE"""),1.0)</f>
        <v>1</v>
      </c>
      <c r="C1640" s="2">
        <f>IFERROR(__xludf.DUMMYFUNCTION("""COMPUTED_VALUE"""),301.0)</f>
        <v>301</v>
      </c>
      <c r="D1640" s="3">
        <f>IFERROR(__xludf.DUMMYFUNCTION("""COMPUTED_VALUE"""),62.0)</f>
        <v>62</v>
      </c>
      <c r="E1640" s="2"/>
      <c r="F1640" s="2"/>
    </row>
    <row r="1641">
      <c r="A1641" s="2">
        <f>IFERROR(__xludf.DUMMYFUNCTION("""COMPUTED_VALUE"""),81229.0)</f>
        <v>81229</v>
      </c>
      <c r="B1641" s="2">
        <f>IFERROR(__xludf.DUMMYFUNCTION("""COMPUTED_VALUE"""),1.0)</f>
        <v>1</v>
      </c>
      <c r="C1641" s="2">
        <f>IFERROR(__xludf.DUMMYFUNCTION("""COMPUTED_VALUE"""),677.0)</f>
        <v>677</v>
      </c>
      <c r="D1641" s="3">
        <f>IFERROR(__xludf.DUMMYFUNCTION("""COMPUTED_VALUE"""),240.0)</f>
        <v>240</v>
      </c>
      <c r="E1641" s="2"/>
      <c r="F1641" s="2"/>
    </row>
    <row r="1642">
      <c r="A1642" s="2">
        <f>IFERROR(__xludf.DUMMYFUNCTION("""COMPUTED_VALUE"""),120563.0)</f>
        <v>120563</v>
      </c>
      <c r="B1642" s="2">
        <f>IFERROR(__xludf.DUMMYFUNCTION("""COMPUTED_VALUE"""),1.0)</f>
        <v>1</v>
      </c>
      <c r="C1642" s="2">
        <f>IFERROR(__xludf.DUMMYFUNCTION("""COMPUTED_VALUE"""),193.0)</f>
        <v>193</v>
      </c>
      <c r="D1642" s="3">
        <f>IFERROR(__xludf.DUMMYFUNCTION("""COMPUTED_VALUE"""),111.0)</f>
        <v>111</v>
      </c>
      <c r="E1642" s="2"/>
      <c r="F1642" s="2"/>
    </row>
    <row r="1643">
      <c r="A1643" s="2">
        <f>IFERROR(__xludf.DUMMYFUNCTION("""COMPUTED_VALUE"""),122290.0)</f>
        <v>122290</v>
      </c>
      <c r="B1643" s="2">
        <f>IFERROR(__xludf.DUMMYFUNCTION("""COMPUTED_VALUE"""),1.0)</f>
        <v>1</v>
      </c>
      <c r="C1643" s="2">
        <f>IFERROR(__xludf.DUMMYFUNCTION("""COMPUTED_VALUE"""),297.0)</f>
        <v>297</v>
      </c>
      <c r="D1643" s="3">
        <f>IFERROR(__xludf.DUMMYFUNCTION("""COMPUTED_VALUE"""),144.0)</f>
        <v>144</v>
      </c>
      <c r="E1643" s="2"/>
      <c r="F1643" s="2"/>
    </row>
    <row r="1644">
      <c r="A1644" s="2">
        <f>IFERROR(__xludf.DUMMYFUNCTION("""COMPUTED_VALUE"""),122373.0)</f>
        <v>122373</v>
      </c>
      <c r="B1644" s="2">
        <f>IFERROR(__xludf.DUMMYFUNCTION("""COMPUTED_VALUE"""),0.0)</f>
        <v>0</v>
      </c>
      <c r="C1644" s="2">
        <f>IFERROR(__xludf.DUMMYFUNCTION("""COMPUTED_VALUE"""),747.0)</f>
        <v>747</v>
      </c>
      <c r="D1644" s="3">
        <f>IFERROR(__xludf.DUMMYFUNCTION("""COMPUTED_VALUE"""),169.0)</f>
        <v>169</v>
      </c>
      <c r="E1644" s="2"/>
      <c r="F1644" s="2"/>
    </row>
    <row r="1645">
      <c r="A1645" s="2">
        <f>IFERROR(__xludf.DUMMYFUNCTION("""COMPUTED_VALUE"""),117830.0)</f>
        <v>117830</v>
      </c>
      <c r="B1645" s="2">
        <f>IFERROR(__xludf.DUMMYFUNCTION("""COMPUTED_VALUE"""),0.0)</f>
        <v>0</v>
      </c>
      <c r="C1645" s="2">
        <f>IFERROR(__xludf.DUMMYFUNCTION("""COMPUTED_VALUE"""),761.0)</f>
        <v>761</v>
      </c>
      <c r="D1645" s="3">
        <f>IFERROR(__xludf.DUMMYFUNCTION("""COMPUTED_VALUE"""),13.0)</f>
        <v>13</v>
      </c>
      <c r="E1645" s="2"/>
      <c r="F1645" s="2"/>
    </row>
    <row r="1646">
      <c r="A1646" s="2">
        <f>IFERROR(__xludf.DUMMYFUNCTION("""COMPUTED_VALUE"""),109008.0)</f>
        <v>109008</v>
      </c>
      <c r="B1646" s="2">
        <f>IFERROR(__xludf.DUMMYFUNCTION("""COMPUTED_VALUE"""),0.0)</f>
        <v>0</v>
      </c>
      <c r="C1646" s="2">
        <f>IFERROR(__xludf.DUMMYFUNCTION("""COMPUTED_VALUE"""),30.0)</f>
        <v>30</v>
      </c>
      <c r="D1646" s="3">
        <f>IFERROR(__xludf.DUMMYFUNCTION("""COMPUTED_VALUE"""),11.0)</f>
        <v>11</v>
      </c>
      <c r="E1646" s="2"/>
      <c r="F1646" s="2"/>
    </row>
    <row r="1647">
      <c r="A1647" s="2">
        <f>IFERROR(__xludf.DUMMYFUNCTION("""COMPUTED_VALUE"""),122371.0)</f>
        <v>122371</v>
      </c>
      <c r="B1647" s="2">
        <f>IFERROR(__xludf.DUMMYFUNCTION("""COMPUTED_VALUE"""),1.0)</f>
        <v>1</v>
      </c>
      <c r="C1647" s="2">
        <f>IFERROR(__xludf.DUMMYFUNCTION("""COMPUTED_VALUE"""),957.0)</f>
        <v>957</v>
      </c>
      <c r="D1647" s="3">
        <f>IFERROR(__xludf.DUMMYFUNCTION("""COMPUTED_VALUE"""),493.0)</f>
        <v>493</v>
      </c>
      <c r="E1647" s="2"/>
      <c r="F1647" s="2"/>
    </row>
    <row r="1648">
      <c r="A1648" s="2">
        <f>IFERROR(__xludf.DUMMYFUNCTION("""COMPUTED_VALUE"""),109012.0)</f>
        <v>109012</v>
      </c>
      <c r="B1648" s="2">
        <f>IFERROR(__xludf.DUMMYFUNCTION("""COMPUTED_VALUE"""),1.0)</f>
        <v>1</v>
      </c>
      <c r="C1648" s="2">
        <f>IFERROR(__xludf.DUMMYFUNCTION("""COMPUTED_VALUE"""),624.0)</f>
        <v>624</v>
      </c>
      <c r="D1648" s="3">
        <f>IFERROR(__xludf.DUMMYFUNCTION("""COMPUTED_VALUE"""),536.0)</f>
        <v>536</v>
      </c>
      <c r="E1648" s="2"/>
      <c r="F1648" s="2"/>
    </row>
    <row r="1649">
      <c r="A1649" s="2">
        <f>IFERROR(__xludf.DUMMYFUNCTION("""COMPUTED_VALUE"""),156047.0)</f>
        <v>156047</v>
      </c>
      <c r="B1649" s="2">
        <f>IFERROR(__xludf.DUMMYFUNCTION("""COMPUTED_VALUE"""),0.0)</f>
        <v>0</v>
      </c>
      <c r="C1649" s="2">
        <f>IFERROR(__xludf.DUMMYFUNCTION("""COMPUTED_VALUE"""),773.0)</f>
        <v>773</v>
      </c>
      <c r="D1649" s="3">
        <f>IFERROR(__xludf.DUMMYFUNCTION("""COMPUTED_VALUE"""),509.0)</f>
        <v>509</v>
      </c>
      <c r="E1649" s="2"/>
      <c r="F1649" s="2"/>
    </row>
    <row r="1650">
      <c r="A1650" s="2">
        <f>IFERROR(__xludf.DUMMYFUNCTION("""COMPUTED_VALUE"""),117839.0)</f>
        <v>117839</v>
      </c>
      <c r="B1650" s="2">
        <f>IFERROR(__xludf.DUMMYFUNCTION("""COMPUTED_VALUE"""),0.0)</f>
        <v>0</v>
      </c>
      <c r="C1650" s="2">
        <f>IFERROR(__xludf.DUMMYFUNCTION("""COMPUTED_VALUE"""),416.0)</f>
        <v>416</v>
      </c>
      <c r="D1650" s="3">
        <f>IFERROR(__xludf.DUMMYFUNCTION("""COMPUTED_VALUE"""),190.0)</f>
        <v>190</v>
      </c>
      <c r="E1650" s="2"/>
      <c r="F1650" s="2"/>
    </row>
    <row r="1651">
      <c r="A1651" s="2">
        <f>IFERROR(__xludf.DUMMYFUNCTION("""COMPUTED_VALUE"""),156051.0)</f>
        <v>156051</v>
      </c>
      <c r="B1651" s="2">
        <f>IFERROR(__xludf.DUMMYFUNCTION("""COMPUTED_VALUE"""),0.0)</f>
        <v>0</v>
      </c>
      <c r="C1651" s="2">
        <f>IFERROR(__xludf.DUMMYFUNCTION("""COMPUTED_VALUE"""),25.0)</f>
        <v>25</v>
      </c>
      <c r="D1651" s="3">
        <f>IFERROR(__xludf.DUMMYFUNCTION("""COMPUTED_VALUE"""),20.0)</f>
        <v>20</v>
      </c>
      <c r="E1651" s="2"/>
      <c r="F1651" s="2"/>
    </row>
    <row r="1652">
      <c r="A1652" s="2">
        <f>IFERROR(__xludf.DUMMYFUNCTION("""COMPUTED_VALUE"""),156048.0)</f>
        <v>156048</v>
      </c>
      <c r="B1652" s="2">
        <f>IFERROR(__xludf.DUMMYFUNCTION("""COMPUTED_VALUE"""),0.0)</f>
        <v>0</v>
      </c>
      <c r="C1652" s="2">
        <f>IFERROR(__xludf.DUMMYFUNCTION("""COMPUTED_VALUE"""),44.0)</f>
        <v>44</v>
      </c>
      <c r="D1652" s="3">
        <f>IFERROR(__xludf.DUMMYFUNCTION("""COMPUTED_VALUE"""),31.0)</f>
        <v>31</v>
      </c>
      <c r="E1652" s="2"/>
      <c r="F1652" s="2"/>
    </row>
    <row r="1653">
      <c r="A1653" s="2">
        <f>IFERROR(__xludf.DUMMYFUNCTION("""COMPUTED_VALUE"""),117832.0)</f>
        <v>117832</v>
      </c>
      <c r="B1653" s="2">
        <f>IFERROR(__xludf.DUMMYFUNCTION("""COMPUTED_VALUE"""),0.0)</f>
        <v>0</v>
      </c>
      <c r="C1653" s="2">
        <f>IFERROR(__xludf.DUMMYFUNCTION("""COMPUTED_VALUE"""),951.0)</f>
        <v>951</v>
      </c>
      <c r="D1653" s="3">
        <f>IFERROR(__xludf.DUMMYFUNCTION("""COMPUTED_VALUE"""),411.0)</f>
        <v>411</v>
      </c>
      <c r="E1653" s="2"/>
      <c r="F1653" s="2"/>
    </row>
    <row r="1654">
      <c r="A1654" s="2">
        <f>IFERROR(__xludf.DUMMYFUNCTION("""COMPUTED_VALUE"""),117877.0)</f>
        <v>117877</v>
      </c>
      <c r="B1654" s="2">
        <f>IFERROR(__xludf.DUMMYFUNCTION("""COMPUTED_VALUE"""),1.0)</f>
        <v>1</v>
      </c>
      <c r="C1654" s="2">
        <f>IFERROR(__xludf.DUMMYFUNCTION("""COMPUTED_VALUE"""),817.0)</f>
        <v>817</v>
      </c>
      <c r="D1654" s="3">
        <f>IFERROR(__xludf.DUMMYFUNCTION("""COMPUTED_VALUE"""),624.0)</f>
        <v>624</v>
      </c>
      <c r="E1654" s="2"/>
      <c r="F1654" s="2"/>
    </row>
    <row r="1655">
      <c r="A1655" s="2">
        <f>IFERROR(__xludf.DUMMYFUNCTION("""COMPUTED_VALUE"""),117876.0)</f>
        <v>117876</v>
      </c>
      <c r="B1655" s="2">
        <f>IFERROR(__xludf.DUMMYFUNCTION("""COMPUTED_VALUE"""),0.0)</f>
        <v>0</v>
      </c>
      <c r="C1655" s="2">
        <f>IFERROR(__xludf.DUMMYFUNCTION("""COMPUTED_VALUE"""),396.0)</f>
        <v>396</v>
      </c>
      <c r="D1655" s="3">
        <f>IFERROR(__xludf.DUMMYFUNCTION("""COMPUTED_VALUE"""),284.0)</f>
        <v>284</v>
      </c>
      <c r="E1655" s="2"/>
      <c r="F1655" s="2"/>
    </row>
    <row r="1656">
      <c r="A1656" s="2">
        <f>IFERROR(__xludf.DUMMYFUNCTION("""COMPUTED_VALUE"""),83507.0)</f>
        <v>83507</v>
      </c>
      <c r="B1656" s="2">
        <f>IFERROR(__xludf.DUMMYFUNCTION("""COMPUTED_VALUE"""),0.0)</f>
        <v>0</v>
      </c>
      <c r="C1656" s="2">
        <f>IFERROR(__xludf.DUMMYFUNCTION("""COMPUTED_VALUE"""),609.0)</f>
        <v>609</v>
      </c>
      <c r="D1656" s="3">
        <f>IFERROR(__xludf.DUMMYFUNCTION("""COMPUTED_VALUE"""),353.0)</f>
        <v>353</v>
      </c>
      <c r="E1656" s="2"/>
      <c r="F1656" s="2"/>
    </row>
    <row r="1657">
      <c r="A1657" s="2">
        <f>IFERROR(__xludf.DUMMYFUNCTION("""COMPUTED_VALUE"""),121285.0)</f>
        <v>121285</v>
      </c>
      <c r="B1657" s="2">
        <f>IFERROR(__xludf.DUMMYFUNCTION("""COMPUTED_VALUE"""),0.0)</f>
        <v>0</v>
      </c>
      <c r="C1657" s="2">
        <f>IFERROR(__xludf.DUMMYFUNCTION("""COMPUTED_VALUE"""),770.0)</f>
        <v>770</v>
      </c>
      <c r="D1657" s="3">
        <f>IFERROR(__xludf.DUMMYFUNCTION("""COMPUTED_VALUE"""),401.0)</f>
        <v>401</v>
      </c>
      <c r="E1657" s="2"/>
      <c r="F1657" s="2"/>
    </row>
    <row r="1658">
      <c r="A1658" s="2">
        <f>IFERROR(__xludf.DUMMYFUNCTION("""COMPUTED_VALUE"""),122684.0)</f>
        <v>122684</v>
      </c>
      <c r="B1658" s="2">
        <f>IFERROR(__xludf.DUMMYFUNCTION("""COMPUTED_VALUE"""),1.0)</f>
        <v>1</v>
      </c>
      <c r="C1658" s="2">
        <f>IFERROR(__xludf.DUMMYFUNCTION("""COMPUTED_VALUE"""),418.0)</f>
        <v>418</v>
      </c>
      <c r="D1658" s="3">
        <f>IFERROR(__xludf.DUMMYFUNCTION("""COMPUTED_VALUE"""),118.0)</f>
        <v>118</v>
      </c>
      <c r="E1658" s="2"/>
      <c r="F1658" s="2"/>
    </row>
    <row r="1659">
      <c r="A1659" s="2">
        <f>IFERROR(__xludf.DUMMYFUNCTION("""COMPUTED_VALUE"""),116615.0)</f>
        <v>116615</v>
      </c>
      <c r="B1659" s="2">
        <f>IFERROR(__xludf.DUMMYFUNCTION("""COMPUTED_VALUE"""),1.0)</f>
        <v>1</v>
      </c>
      <c r="C1659" s="2">
        <f>IFERROR(__xludf.DUMMYFUNCTION("""COMPUTED_VALUE"""),720.0)</f>
        <v>720</v>
      </c>
      <c r="D1659" s="3">
        <f>IFERROR(__xludf.DUMMYFUNCTION("""COMPUTED_VALUE"""),93.0)</f>
        <v>93</v>
      </c>
      <c r="E1659" s="2"/>
      <c r="F1659" s="2"/>
    </row>
    <row r="1660">
      <c r="A1660" s="2">
        <f>IFERROR(__xludf.DUMMYFUNCTION("""COMPUTED_VALUE"""),121083.0)</f>
        <v>121083</v>
      </c>
      <c r="B1660" s="2">
        <f>IFERROR(__xludf.DUMMYFUNCTION("""COMPUTED_VALUE"""),0.0)</f>
        <v>0</v>
      </c>
      <c r="C1660" s="2">
        <f>IFERROR(__xludf.DUMMYFUNCTION("""COMPUTED_VALUE"""),659.0)</f>
        <v>659</v>
      </c>
      <c r="D1660" s="3">
        <f>IFERROR(__xludf.DUMMYFUNCTION("""COMPUTED_VALUE"""),416.0)</f>
        <v>416</v>
      </c>
      <c r="E1660" s="2"/>
      <c r="F1660" s="2"/>
    </row>
    <row r="1661">
      <c r="A1661" s="2">
        <f>IFERROR(__xludf.DUMMYFUNCTION("""COMPUTED_VALUE"""),108936.0)</f>
        <v>108936</v>
      </c>
      <c r="B1661" s="2">
        <f>IFERROR(__xludf.DUMMYFUNCTION("""COMPUTED_VALUE"""),0.0)</f>
        <v>0</v>
      </c>
      <c r="C1661" s="2">
        <f>IFERROR(__xludf.DUMMYFUNCTION("""COMPUTED_VALUE"""),379.0)</f>
        <v>379</v>
      </c>
      <c r="D1661" s="3">
        <f>IFERROR(__xludf.DUMMYFUNCTION("""COMPUTED_VALUE"""),365.0)</f>
        <v>365</v>
      </c>
      <c r="E1661" s="2"/>
      <c r="F1661" s="2"/>
    </row>
    <row r="1662">
      <c r="A1662" s="2">
        <f>IFERROR(__xludf.DUMMYFUNCTION("""COMPUTED_VALUE"""),128388.0)</f>
        <v>128388</v>
      </c>
      <c r="B1662" s="2">
        <f>IFERROR(__xludf.DUMMYFUNCTION("""COMPUTED_VALUE"""),1.0)</f>
        <v>1</v>
      </c>
      <c r="C1662" s="2">
        <f>IFERROR(__xludf.DUMMYFUNCTION("""COMPUTED_VALUE"""),885.0)</f>
        <v>885</v>
      </c>
      <c r="D1662" s="3">
        <f>IFERROR(__xludf.DUMMYFUNCTION("""COMPUTED_VALUE"""),770.0)</f>
        <v>770</v>
      </c>
      <c r="E1662" s="2"/>
      <c r="F1662" s="2"/>
    </row>
    <row r="1663">
      <c r="A1663" s="2">
        <f>IFERROR(__xludf.DUMMYFUNCTION("""COMPUTED_VALUE"""),120559.0)</f>
        <v>120559</v>
      </c>
      <c r="B1663" s="2">
        <f>IFERROR(__xludf.DUMMYFUNCTION("""COMPUTED_VALUE"""),0.0)</f>
        <v>0</v>
      </c>
      <c r="C1663" s="2">
        <f>IFERROR(__xludf.DUMMYFUNCTION("""COMPUTED_VALUE"""),732.0)</f>
        <v>732</v>
      </c>
      <c r="D1663" s="3">
        <f>IFERROR(__xludf.DUMMYFUNCTION("""COMPUTED_VALUE"""),596.0)</f>
        <v>596</v>
      </c>
      <c r="E1663" s="2"/>
      <c r="F1663" s="2"/>
    </row>
    <row r="1664">
      <c r="A1664" s="2">
        <f>IFERROR(__xludf.DUMMYFUNCTION("""COMPUTED_VALUE"""),122685.0)</f>
        <v>122685</v>
      </c>
      <c r="B1664" s="2">
        <f>IFERROR(__xludf.DUMMYFUNCTION("""COMPUTED_VALUE"""),1.0)</f>
        <v>1</v>
      </c>
      <c r="C1664" s="2">
        <f>IFERROR(__xludf.DUMMYFUNCTION("""COMPUTED_VALUE"""),560.0)</f>
        <v>560</v>
      </c>
      <c r="D1664" s="3">
        <f>IFERROR(__xludf.DUMMYFUNCTION("""COMPUTED_VALUE"""),19.0)</f>
        <v>19</v>
      </c>
      <c r="E1664" s="2"/>
      <c r="F1664" s="2"/>
    </row>
    <row r="1665">
      <c r="A1665" s="2">
        <f>IFERROR(__xludf.DUMMYFUNCTION("""COMPUTED_VALUE"""),122686.0)</f>
        <v>122686</v>
      </c>
      <c r="B1665" s="2">
        <f>IFERROR(__xludf.DUMMYFUNCTION("""COMPUTED_VALUE"""),0.0)</f>
        <v>0</v>
      </c>
      <c r="C1665" s="2">
        <f>IFERROR(__xludf.DUMMYFUNCTION("""COMPUTED_VALUE"""),29.0)</f>
        <v>29</v>
      </c>
      <c r="D1665" s="3">
        <f>IFERROR(__xludf.DUMMYFUNCTION("""COMPUTED_VALUE"""),4.0)</f>
        <v>4</v>
      </c>
      <c r="E1665" s="2"/>
      <c r="F1665" s="2"/>
    </row>
    <row r="1666">
      <c r="A1666" s="2">
        <f>IFERROR(__xludf.DUMMYFUNCTION("""COMPUTED_VALUE"""),181263.0)</f>
        <v>181263</v>
      </c>
      <c r="B1666" s="2">
        <f>IFERROR(__xludf.DUMMYFUNCTION("""COMPUTED_VALUE"""),0.0)</f>
        <v>0</v>
      </c>
      <c r="C1666" s="2">
        <f>IFERROR(__xludf.DUMMYFUNCTION("""COMPUTED_VALUE"""),878.0)</f>
        <v>878</v>
      </c>
      <c r="D1666" s="3">
        <f>IFERROR(__xludf.DUMMYFUNCTION("""COMPUTED_VALUE"""),405.0)</f>
        <v>405</v>
      </c>
      <c r="E1666" s="2"/>
      <c r="F1666" s="2"/>
    </row>
    <row r="1667">
      <c r="A1667" s="2">
        <f>IFERROR(__xludf.DUMMYFUNCTION("""COMPUTED_VALUE"""),122723.0)</f>
        <v>122723</v>
      </c>
      <c r="B1667" s="2">
        <f>IFERROR(__xludf.DUMMYFUNCTION("""COMPUTED_VALUE"""),0.0)</f>
        <v>0</v>
      </c>
      <c r="C1667" s="2">
        <f>IFERROR(__xludf.DUMMYFUNCTION("""COMPUTED_VALUE"""),711.0)</f>
        <v>711</v>
      </c>
      <c r="D1667" s="3">
        <f>IFERROR(__xludf.DUMMYFUNCTION("""COMPUTED_VALUE"""),132.0)</f>
        <v>132</v>
      </c>
      <c r="E1667" s="2"/>
      <c r="F1667" s="2"/>
    </row>
    <row r="1668">
      <c r="A1668" s="2">
        <f>IFERROR(__xludf.DUMMYFUNCTION("""COMPUTED_VALUE"""),26533.0)</f>
        <v>26533</v>
      </c>
      <c r="B1668" s="2">
        <f>IFERROR(__xludf.DUMMYFUNCTION("""COMPUTED_VALUE"""),1.0)</f>
        <v>1</v>
      </c>
      <c r="C1668" s="2">
        <f>IFERROR(__xludf.DUMMYFUNCTION("""COMPUTED_VALUE"""),13.0)</f>
        <v>13</v>
      </c>
      <c r="D1668" s="3">
        <f>IFERROR(__xludf.DUMMYFUNCTION("""COMPUTED_VALUE"""),7.0)</f>
        <v>7</v>
      </c>
      <c r="E1668" s="2"/>
      <c r="F1668" s="2"/>
    </row>
    <row r="1669">
      <c r="A1669" s="2">
        <f>IFERROR(__xludf.DUMMYFUNCTION("""COMPUTED_VALUE"""),16048.0)</f>
        <v>16048</v>
      </c>
      <c r="B1669" s="2">
        <f>IFERROR(__xludf.DUMMYFUNCTION("""COMPUTED_VALUE"""),1.0)</f>
        <v>1</v>
      </c>
      <c r="C1669" s="2">
        <f>IFERROR(__xludf.DUMMYFUNCTION("""COMPUTED_VALUE"""),936.0)</f>
        <v>936</v>
      </c>
      <c r="D1669" s="3">
        <f>IFERROR(__xludf.DUMMYFUNCTION("""COMPUTED_VALUE"""),478.0)</f>
        <v>478</v>
      </c>
      <c r="E1669" s="2"/>
      <c r="F1669" s="2"/>
    </row>
    <row r="1670">
      <c r="A1670" s="2">
        <f>IFERROR(__xludf.DUMMYFUNCTION("""COMPUTED_VALUE"""),16049.0)</f>
        <v>16049</v>
      </c>
      <c r="B1670" s="2">
        <f>IFERROR(__xludf.DUMMYFUNCTION("""COMPUTED_VALUE"""),1.0)</f>
        <v>1</v>
      </c>
      <c r="C1670" s="2">
        <f>IFERROR(__xludf.DUMMYFUNCTION("""COMPUTED_VALUE"""),290.0)</f>
        <v>290</v>
      </c>
      <c r="D1670" s="3">
        <f>IFERROR(__xludf.DUMMYFUNCTION("""COMPUTED_VALUE"""),58.0)</f>
        <v>58</v>
      </c>
      <c r="E1670" s="2"/>
      <c r="F1670" s="2"/>
    </row>
    <row r="1671">
      <c r="A1671" s="2">
        <f>IFERROR(__xludf.DUMMYFUNCTION("""COMPUTED_VALUE"""),122421.0)</f>
        <v>122421</v>
      </c>
      <c r="B1671" s="2">
        <f>IFERROR(__xludf.DUMMYFUNCTION("""COMPUTED_VALUE"""),1.0)</f>
        <v>1</v>
      </c>
      <c r="C1671" s="2">
        <f>IFERROR(__xludf.DUMMYFUNCTION("""COMPUTED_VALUE"""),694.0)</f>
        <v>694</v>
      </c>
      <c r="D1671" s="3">
        <f>IFERROR(__xludf.DUMMYFUNCTION("""COMPUTED_VALUE"""),569.0)</f>
        <v>569</v>
      </c>
      <c r="E1671" s="2"/>
      <c r="F1671" s="2"/>
    </row>
    <row r="1672">
      <c r="A1672" s="2">
        <f>IFERROR(__xludf.DUMMYFUNCTION("""COMPUTED_VALUE"""),121718.0)</f>
        <v>121718</v>
      </c>
      <c r="B1672" s="2">
        <f>IFERROR(__xludf.DUMMYFUNCTION("""COMPUTED_VALUE"""),1.0)</f>
        <v>1</v>
      </c>
      <c r="C1672" s="2">
        <f>IFERROR(__xludf.DUMMYFUNCTION("""COMPUTED_VALUE"""),826.0)</f>
        <v>826</v>
      </c>
      <c r="D1672" s="3">
        <f>IFERROR(__xludf.DUMMYFUNCTION("""COMPUTED_VALUE"""),297.0)</f>
        <v>297</v>
      </c>
      <c r="E1672" s="2"/>
      <c r="F1672" s="2"/>
    </row>
    <row r="1673">
      <c r="A1673" s="2">
        <f>IFERROR(__xludf.DUMMYFUNCTION("""COMPUTED_VALUE"""),117892.0)</f>
        <v>117892</v>
      </c>
      <c r="B1673" s="2">
        <f>IFERROR(__xludf.DUMMYFUNCTION("""COMPUTED_VALUE"""),0.0)</f>
        <v>0</v>
      </c>
      <c r="C1673" s="2">
        <f>IFERROR(__xludf.DUMMYFUNCTION("""COMPUTED_VALUE"""),59.0)</f>
        <v>59</v>
      </c>
      <c r="D1673" s="3">
        <f>IFERROR(__xludf.DUMMYFUNCTION("""COMPUTED_VALUE"""),4.0)</f>
        <v>4</v>
      </c>
      <c r="E1673" s="2"/>
      <c r="F1673" s="2"/>
    </row>
    <row r="1674">
      <c r="A1674" s="2">
        <f>IFERROR(__xludf.DUMMYFUNCTION("""COMPUTED_VALUE"""),117893.0)</f>
        <v>117893</v>
      </c>
      <c r="B1674" s="2">
        <f>IFERROR(__xludf.DUMMYFUNCTION("""COMPUTED_VALUE"""),0.0)</f>
        <v>0</v>
      </c>
      <c r="C1674" s="2">
        <f>IFERROR(__xludf.DUMMYFUNCTION("""COMPUTED_VALUE"""),885.0)</f>
        <v>885</v>
      </c>
      <c r="D1674" s="3">
        <f>IFERROR(__xludf.DUMMYFUNCTION("""COMPUTED_VALUE"""),316.0)</f>
        <v>316</v>
      </c>
      <c r="E1674" s="2"/>
      <c r="F1674" s="2"/>
    </row>
    <row r="1675">
      <c r="A1675" s="2">
        <f>IFERROR(__xludf.DUMMYFUNCTION("""COMPUTED_VALUE"""),78448.0)</f>
        <v>78448</v>
      </c>
      <c r="B1675" s="2">
        <f>IFERROR(__xludf.DUMMYFUNCTION("""COMPUTED_VALUE"""),1.0)</f>
        <v>1</v>
      </c>
      <c r="C1675" s="2">
        <f>IFERROR(__xludf.DUMMYFUNCTION("""COMPUTED_VALUE"""),302.0)</f>
        <v>302</v>
      </c>
      <c r="D1675" s="3">
        <f>IFERROR(__xludf.DUMMYFUNCTION("""COMPUTED_VALUE"""),115.0)</f>
        <v>115</v>
      </c>
      <c r="E1675" s="2"/>
      <c r="F1675" s="2"/>
    </row>
    <row r="1676">
      <c r="A1676" s="2">
        <f>IFERROR(__xludf.DUMMYFUNCTION("""COMPUTED_VALUE"""),89463.0)</f>
        <v>89463</v>
      </c>
      <c r="B1676" s="2">
        <f>IFERROR(__xludf.DUMMYFUNCTION("""COMPUTED_VALUE"""),1.0)</f>
        <v>1</v>
      </c>
      <c r="C1676" s="2">
        <f>IFERROR(__xludf.DUMMYFUNCTION("""COMPUTED_VALUE"""),832.0)</f>
        <v>832</v>
      </c>
      <c r="D1676" s="3">
        <f>IFERROR(__xludf.DUMMYFUNCTION("""COMPUTED_VALUE"""),427.0)</f>
        <v>427</v>
      </c>
      <c r="E1676" s="2"/>
      <c r="F1676" s="2"/>
    </row>
    <row r="1677">
      <c r="A1677" s="2">
        <f>IFERROR(__xludf.DUMMYFUNCTION("""COMPUTED_VALUE"""),108096.0)</f>
        <v>108096</v>
      </c>
      <c r="B1677" s="2">
        <f>IFERROR(__xludf.DUMMYFUNCTION("""COMPUTED_VALUE"""),1.0)</f>
        <v>1</v>
      </c>
      <c r="C1677" s="2">
        <f>IFERROR(__xludf.DUMMYFUNCTION("""COMPUTED_VALUE"""),764.0)</f>
        <v>764</v>
      </c>
      <c r="D1677" s="3">
        <f>IFERROR(__xludf.DUMMYFUNCTION("""COMPUTED_VALUE"""),96.0)</f>
        <v>96</v>
      </c>
      <c r="E1677" s="2"/>
      <c r="F1677" s="2"/>
    </row>
    <row r="1678">
      <c r="A1678" s="2">
        <f>IFERROR(__xludf.DUMMYFUNCTION("""COMPUTED_VALUE"""),70495.0)</f>
        <v>70495</v>
      </c>
      <c r="B1678" s="2">
        <f>IFERROR(__xludf.DUMMYFUNCTION("""COMPUTED_VALUE"""),0.0)</f>
        <v>0</v>
      </c>
      <c r="C1678" s="2">
        <f>IFERROR(__xludf.DUMMYFUNCTION("""COMPUTED_VALUE"""),272.0)</f>
        <v>272</v>
      </c>
      <c r="D1678" s="3">
        <f>IFERROR(__xludf.DUMMYFUNCTION("""COMPUTED_VALUE"""),43.0)</f>
        <v>43</v>
      </c>
      <c r="E1678" s="2"/>
      <c r="F1678" s="2"/>
    </row>
    <row r="1679">
      <c r="A1679" s="2">
        <f>IFERROR(__xludf.DUMMYFUNCTION("""COMPUTED_VALUE"""),115733.0)</f>
        <v>115733</v>
      </c>
      <c r="B1679" s="2">
        <f>IFERROR(__xludf.DUMMYFUNCTION("""COMPUTED_VALUE"""),1.0)</f>
        <v>1</v>
      </c>
      <c r="C1679" s="2">
        <f>IFERROR(__xludf.DUMMYFUNCTION("""COMPUTED_VALUE"""),405.0)</f>
        <v>405</v>
      </c>
      <c r="D1679" s="3">
        <f>IFERROR(__xludf.DUMMYFUNCTION("""COMPUTED_VALUE"""),62.0)</f>
        <v>62</v>
      </c>
      <c r="E1679" s="2"/>
      <c r="F1679" s="2"/>
    </row>
    <row r="1680">
      <c r="A1680" s="2">
        <f>IFERROR(__xludf.DUMMYFUNCTION("""COMPUTED_VALUE"""),26349.0)</f>
        <v>26349</v>
      </c>
      <c r="B1680" s="2">
        <f>IFERROR(__xludf.DUMMYFUNCTION("""COMPUTED_VALUE"""),1.0)</f>
        <v>1</v>
      </c>
      <c r="C1680" s="2">
        <f>IFERROR(__xludf.DUMMYFUNCTION("""COMPUTED_VALUE"""),736.0)</f>
        <v>736</v>
      </c>
      <c r="D1680" s="3">
        <f>IFERROR(__xludf.DUMMYFUNCTION("""COMPUTED_VALUE"""),311.0)</f>
        <v>311</v>
      </c>
      <c r="E1680" s="2"/>
      <c r="F1680" s="2"/>
    </row>
    <row r="1681">
      <c r="A1681" s="2">
        <f>IFERROR(__xludf.DUMMYFUNCTION("""COMPUTED_VALUE"""),26350.0)</f>
        <v>26350</v>
      </c>
      <c r="B1681" s="2">
        <f>IFERROR(__xludf.DUMMYFUNCTION("""COMPUTED_VALUE"""),0.0)</f>
        <v>0</v>
      </c>
      <c r="C1681" s="2">
        <f>IFERROR(__xludf.DUMMYFUNCTION("""COMPUTED_VALUE"""),783.0)</f>
        <v>783</v>
      </c>
      <c r="D1681" s="3">
        <f>IFERROR(__xludf.DUMMYFUNCTION("""COMPUTED_VALUE"""),74.0)</f>
        <v>74</v>
      </c>
      <c r="E1681" s="2"/>
      <c r="F1681" s="2"/>
    </row>
    <row r="1682">
      <c r="A1682" s="2">
        <f>IFERROR(__xludf.DUMMYFUNCTION("""COMPUTED_VALUE"""),115724.0)</f>
        <v>115724</v>
      </c>
      <c r="B1682" s="2">
        <f>IFERROR(__xludf.DUMMYFUNCTION("""COMPUTED_VALUE"""),1.0)</f>
        <v>1</v>
      </c>
      <c r="C1682" s="2">
        <f>IFERROR(__xludf.DUMMYFUNCTION("""COMPUTED_VALUE"""),946.0)</f>
        <v>946</v>
      </c>
      <c r="D1682" s="3">
        <f>IFERROR(__xludf.DUMMYFUNCTION("""COMPUTED_VALUE"""),551.0)</f>
        <v>551</v>
      </c>
      <c r="E1682" s="2"/>
      <c r="F1682" s="2"/>
    </row>
    <row r="1683">
      <c r="A1683" s="2">
        <f>IFERROR(__xludf.DUMMYFUNCTION("""COMPUTED_VALUE"""),115726.0)</f>
        <v>115726</v>
      </c>
      <c r="B1683" s="2">
        <f>IFERROR(__xludf.DUMMYFUNCTION("""COMPUTED_VALUE"""),0.0)</f>
        <v>0</v>
      </c>
      <c r="C1683" s="2">
        <f>IFERROR(__xludf.DUMMYFUNCTION("""COMPUTED_VALUE"""),318.0)</f>
        <v>318</v>
      </c>
      <c r="D1683" s="3">
        <f>IFERROR(__xludf.DUMMYFUNCTION("""COMPUTED_VALUE"""),17.0)</f>
        <v>17</v>
      </c>
      <c r="E1683" s="2"/>
      <c r="F1683" s="2"/>
    </row>
    <row r="1684">
      <c r="A1684" s="2">
        <f>IFERROR(__xludf.DUMMYFUNCTION("""COMPUTED_VALUE"""),26352.0)</f>
        <v>26352</v>
      </c>
      <c r="B1684" s="2">
        <f>IFERROR(__xludf.DUMMYFUNCTION("""COMPUTED_VALUE"""),0.0)</f>
        <v>0</v>
      </c>
      <c r="C1684" s="2">
        <f>IFERROR(__xludf.DUMMYFUNCTION("""COMPUTED_VALUE"""),667.0)</f>
        <v>667</v>
      </c>
      <c r="D1684" s="3">
        <f>IFERROR(__xludf.DUMMYFUNCTION("""COMPUTED_VALUE"""),359.0)</f>
        <v>359</v>
      </c>
      <c r="E1684" s="2"/>
      <c r="F1684" s="2"/>
    </row>
    <row r="1685">
      <c r="A1685" s="2">
        <f>IFERROR(__xludf.DUMMYFUNCTION("""COMPUTED_VALUE"""),19782.0)</f>
        <v>19782</v>
      </c>
      <c r="B1685" s="2">
        <f>IFERROR(__xludf.DUMMYFUNCTION("""COMPUTED_VALUE"""),1.0)</f>
        <v>1</v>
      </c>
      <c r="C1685" s="2">
        <f>IFERROR(__xludf.DUMMYFUNCTION("""COMPUTED_VALUE"""),640.0)</f>
        <v>640</v>
      </c>
      <c r="D1685" s="3">
        <f>IFERROR(__xludf.DUMMYFUNCTION("""COMPUTED_VALUE"""),445.0)</f>
        <v>445</v>
      </c>
      <c r="E1685" s="2"/>
      <c r="F1685" s="2"/>
    </row>
    <row r="1686">
      <c r="A1686" s="2">
        <f>IFERROR(__xludf.DUMMYFUNCTION("""COMPUTED_VALUE"""),19793.0)</f>
        <v>19793</v>
      </c>
      <c r="B1686" s="2">
        <f>IFERROR(__xludf.DUMMYFUNCTION("""COMPUTED_VALUE"""),1.0)</f>
        <v>1</v>
      </c>
      <c r="C1686" s="2">
        <f>IFERROR(__xludf.DUMMYFUNCTION("""COMPUTED_VALUE"""),807.0)</f>
        <v>807</v>
      </c>
      <c r="D1686" s="3">
        <f>IFERROR(__xludf.DUMMYFUNCTION("""COMPUTED_VALUE"""),194.0)</f>
        <v>194</v>
      </c>
      <c r="E1686" s="2"/>
      <c r="F1686" s="2"/>
    </row>
    <row r="1687">
      <c r="A1687" s="2">
        <f>IFERROR(__xludf.DUMMYFUNCTION("""COMPUTED_VALUE"""),87604.0)</f>
        <v>87604</v>
      </c>
      <c r="B1687" s="2">
        <f>IFERROR(__xludf.DUMMYFUNCTION("""COMPUTED_VALUE"""),1.0)</f>
        <v>1</v>
      </c>
      <c r="C1687" s="2">
        <f>IFERROR(__xludf.DUMMYFUNCTION("""COMPUTED_VALUE"""),671.0)</f>
        <v>671</v>
      </c>
      <c r="D1687" s="3">
        <f>IFERROR(__xludf.DUMMYFUNCTION("""COMPUTED_VALUE"""),269.0)</f>
        <v>269</v>
      </c>
      <c r="E1687" s="2"/>
      <c r="F1687" s="2"/>
    </row>
    <row r="1688">
      <c r="A1688" s="2">
        <f>IFERROR(__xludf.DUMMYFUNCTION("""COMPUTED_VALUE"""),29931.0)</f>
        <v>29931</v>
      </c>
      <c r="B1688" s="2">
        <f>IFERROR(__xludf.DUMMYFUNCTION("""COMPUTED_VALUE"""),0.0)</f>
        <v>0</v>
      </c>
      <c r="C1688" s="2">
        <f>IFERROR(__xludf.DUMMYFUNCTION("""COMPUTED_VALUE"""),385.0)</f>
        <v>385</v>
      </c>
      <c r="D1688" s="3">
        <f>IFERROR(__xludf.DUMMYFUNCTION("""COMPUTED_VALUE"""),67.0)</f>
        <v>67</v>
      </c>
      <c r="E1688" s="2"/>
      <c r="F1688" s="2"/>
    </row>
    <row r="1689">
      <c r="A1689" s="2">
        <f>IFERROR(__xludf.DUMMYFUNCTION("""COMPUTED_VALUE"""),9335.0)</f>
        <v>9335</v>
      </c>
      <c r="B1689" s="2">
        <f>IFERROR(__xludf.DUMMYFUNCTION("""COMPUTED_VALUE"""),1.0)</f>
        <v>1</v>
      </c>
      <c r="C1689" s="2">
        <f>IFERROR(__xludf.DUMMYFUNCTION("""COMPUTED_VALUE"""),917.0)</f>
        <v>917</v>
      </c>
      <c r="D1689" s="3">
        <f>IFERROR(__xludf.DUMMYFUNCTION("""COMPUTED_VALUE"""),51.0)</f>
        <v>51</v>
      </c>
      <c r="E1689" s="2"/>
      <c r="F1689" s="2"/>
    </row>
    <row r="1690">
      <c r="A1690" s="2">
        <f>IFERROR(__xludf.DUMMYFUNCTION("""COMPUTED_VALUE"""),88722.0)</f>
        <v>88722</v>
      </c>
      <c r="B1690" s="2">
        <f>IFERROR(__xludf.DUMMYFUNCTION("""COMPUTED_VALUE"""),1.0)</f>
        <v>1</v>
      </c>
      <c r="C1690" s="2">
        <f>IFERROR(__xludf.DUMMYFUNCTION("""COMPUTED_VALUE"""),968.0)</f>
        <v>968</v>
      </c>
      <c r="D1690" s="3">
        <f>IFERROR(__xludf.DUMMYFUNCTION("""COMPUTED_VALUE"""),190.0)</f>
        <v>190</v>
      </c>
      <c r="E1690" s="2"/>
      <c r="F1690" s="2"/>
    </row>
    <row r="1691">
      <c r="A1691" s="2">
        <f>IFERROR(__xludf.DUMMYFUNCTION("""COMPUTED_VALUE"""),121865.0)</f>
        <v>121865</v>
      </c>
      <c r="B1691" s="2">
        <f>IFERROR(__xludf.DUMMYFUNCTION("""COMPUTED_VALUE"""),0.0)</f>
        <v>0</v>
      </c>
      <c r="C1691" s="2">
        <f>IFERROR(__xludf.DUMMYFUNCTION("""COMPUTED_VALUE"""),154.0)</f>
        <v>154</v>
      </c>
      <c r="D1691" s="3">
        <f>IFERROR(__xludf.DUMMYFUNCTION("""COMPUTED_VALUE"""),105.0)</f>
        <v>105</v>
      </c>
      <c r="E1691" s="2"/>
      <c r="F1691" s="2"/>
    </row>
    <row r="1692">
      <c r="A1692" s="2">
        <f>IFERROR(__xludf.DUMMYFUNCTION("""COMPUTED_VALUE"""),100934.0)</f>
        <v>100934</v>
      </c>
      <c r="B1692" s="2">
        <f>IFERROR(__xludf.DUMMYFUNCTION("""COMPUTED_VALUE"""),0.0)</f>
        <v>0</v>
      </c>
      <c r="C1692" s="2">
        <f>IFERROR(__xludf.DUMMYFUNCTION("""COMPUTED_VALUE"""),913.0)</f>
        <v>913</v>
      </c>
      <c r="D1692" s="3">
        <f>IFERROR(__xludf.DUMMYFUNCTION("""COMPUTED_VALUE"""),330.0)</f>
        <v>330</v>
      </c>
      <c r="E1692" s="2"/>
      <c r="F1692" s="2"/>
    </row>
    <row r="1693">
      <c r="A1693" s="2">
        <f>IFERROR(__xludf.DUMMYFUNCTION("""COMPUTED_VALUE"""),117116.0)</f>
        <v>117116</v>
      </c>
      <c r="B1693" s="2">
        <f>IFERROR(__xludf.DUMMYFUNCTION("""COMPUTED_VALUE"""),0.0)</f>
        <v>0</v>
      </c>
      <c r="C1693" s="2">
        <f>IFERROR(__xludf.DUMMYFUNCTION("""COMPUTED_VALUE"""),857.0)</f>
        <v>857</v>
      </c>
      <c r="D1693" s="3">
        <f>IFERROR(__xludf.DUMMYFUNCTION("""COMPUTED_VALUE"""),266.0)</f>
        <v>266</v>
      </c>
      <c r="E1693" s="2"/>
      <c r="F1693" s="2"/>
    </row>
    <row r="1694">
      <c r="A1694" s="2">
        <f>IFERROR(__xludf.DUMMYFUNCTION("""COMPUTED_VALUE"""),19802.0)</f>
        <v>19802</v>
      </c>
      <c r="B1694" s="2">
        <f>IFERROR(__xludf.DUMMYFUNCTION("""COMPUTED_VALUE"""),1.0)</f>
        <v>1</v>
      </c>
      <c r="C1694" s="2">
        <f>IFERROR(__xludf.DUMMYFUNCTION("""COMPUTED_VALUE"""),212.0)</f>
        <v>212</v>
      </c>
      <c r="D1694" s="3">
        <f>IFERROR(__xludf.DUMMYFUNCTION("""COMPUTED_VALUE"""),113.0)</f>
        <v>113</v>
      </c>
      <c r="E1694" s="2"/>
      <c r="F1694" s="2"/>
    </row>
    <row r="1695">
      <c r="A1695" s="2">
        <f>IFERROR(__xludf.DUMMYFUNCTION("""COMPUTED_VALUE"""),81780.0)</f>
        <v>81780</v>
      </c>
      <c r="B1695" s="2">
        <f>IFERROR(__xludf.DUMMYFUNCTION("""COMPUTED_VALUE"""),1.0)</f>
        <v>1</v>
      </c>
      <c r="C1695" s="2">
        <f>IFERROR(__xludf.DUMMYFUNCTION("""COMPUTED_VALUE"""),509.0)</f>
        <v>509</v>
      </c>
      <c r="D1695" s="3">
        <f>IFERROR(__xludf.DUMMYFUNCTION("""COMPUTED_VALUE"""),110.0)</f>
        <v>110</v>
      </c>
      <c r="E1695" s="2"/>
      <c r="F1695" s="2"/>
    </row>
    <row r="1696">
      <c r="A1696" s="2">
        <f>IFERROR(__xludf.DUMMYFUNCTION("""COMPUTED_VALUE"""),117094.0)</f>
        <v>117094</v>
      </c>
      <c r="B1696" s="2">
        <f>IFERROR(__xludf.DUMMYFUNCTION("""COMPUTED_VALUE"""),0.0)</f>
        <v>0</v>
      </c>
      <c r="C1696" s="2">
        <f>IFERROR(__xludf.DUMMYFUNCTION("""COMPUTED_VALUE"""),961.0)</f>
        <v>961</v>
      </c>
      <c r="D1696" s="3">
        <f>IFERROR(__xludf.DUMMYFUNCTION("""COMPUTED_VALUE"""),341.0)</f>
        <v>341</v>
      </c>
      <c r="E1696" s="2"/>
      <c r="F1696" s="2"/>
    </row>
    <row r="1697">
      <c r="A1697" s="2">
        <f>IFERROR(__xludf.DUMMYFUNCTION("""COMPUTED_VALUE"""),19797.0)</f>
        <v>19797</v>
      </c>
      <c r="B1697" s="2">
        <f>IFERROR(__xludf.DUMMYFUNCTION("""COMPUTED_VALUE"""),0.0)</f>
        <v>0</v>
      </c>
      <c r="C1697" s="2">
        <f>IFERROR(__xludf.DUMMYFUNCTION("""COMPUTED_VALUE"""),744.0)</f>
        <v>744</v>
      </c>
      <c r="D1697" s="3">
        <f>IFERROR(__xludf.DUMMYFUNCTION("""COMPUTED_VALUE"""),680.0)</f>
        <v>680</v>
      </c>
      <c r="E1697" s="2"/>
      <c r="F1697" s="2"/>
    </row>
    <row r="1698">
      <c r="A1698" s="2">
        <f>IFERROR(__xludf.DUMMYFUNCTION("""COMPUTED_VALUE"""),86131.0)</f>
        <v>86131</v>
      </c>
      <c r="B1698" s="2">
        <f>IFERROR(__xludf.DUMMYFUNCTION("""COMPUTED_VALUE"""),1.0)</f>
        <v>1</v>
      </c>
      <c r="C1698" s="2">
        <f>IFERROR(__xludf.DUMMYFUNCTION("""COMPUTED_VALUE"""),309.0)</f>
        <v>309</v>
      </c>
      <c r="D1698" s="3">
        <f>IFERROR(__xludf.DUMMYFUNCTION("""COMPUTED_VALUE"""),275.0)</f>
        <v>275</v>
      </c>
      <c r="E1698" s="2"/>
      <c r="F1698" s="2"/>
    </row>
    <row r="1699">
      <c r="A1699" s="2">
        <f>IFERROR(__xludf.DUMMYFUNCTION("""COMPUTED_VALUE"""),121864.0)</f>
        <v>121864</v>
      </c>
      <c r="B1699" s="2">
        <f>IFERROR(__xludf.DUMMYFUNCTION("""COMPUTED_VALUE"""),1.0)</f>
        <v>1</v>
      </c>
      <c r="C1699" s="2">
        <f>IFERROR(__xludf.DUMMYFUNCTION("""COMPUTED_VALUE"""),190.0)</f>
        <v>190</v>
      </c>
      <c r="D1699" s="3">
        <f>IFERROR(__xludf.DUMMYFUNCTION("""COMPUTED_VALUE"""),174.0)</f>
        <v>174</v>
      </c>
      <c r="E1699" s="2"/>
      <c r="F1699" s="2"/>
    </row>
    <row r="1700">
      <c r="A1700" s="2">
        <f>IFERROR(__xludf.DUMMYFUNCTION("""COMPUTED_VALUE"""),15061.0)</f>
        <v>15061</v>
      </c>
      <c r="B1700" s="2">
        <f>IFERROR(__xludf.DUMMYFUNCTION("""COMPUTED_VALUE"""),0.0)</f>
        <v>0</v>
      </c>
      <c r="C1700" s="2">
        <f>IFERROR(__xludf.DUMMYFUNCTION("""COMPUTED_VALUE"""),267.0)</f>
        <v>267</v>
      </c>
      <c r="D1700" s="3">
        <f>IFERROR(__xludf.DUMMYFUNCTION("""COMPUTED_VALUE"""),100.0)</f>
        <v>100</v>
      </c>
      <c r="E1700" s="2"/>
      <c r="F1700" s="2"/>
    </row>
    <row r="1701">
      <c r="A1701" s="2">
        <f>IFERROR(__xludf.DUMMYFUNCTION("""COMPUTED_VALUE"""),79929.0)</f>
        <v>79929</v>
      </c>
      <c r="B1701" s="2">
        <f>IFERROR(__xludf.DUMMYFUNCTION("""COMPUTED_VALUE"""),0.0)</f>
        <v>0</v>
      </c>
      <c r="C1701" s="2">
        <f>IFERROR(__xludf.DUMMYFUNCTION("""COMPUTED_VALUE"""),631.0)</f>
        <v>631</v>
      </c>
      <c r="D1701" s="3">
        <f>IFERROR(__xludf.DUMMYFUNCTION("""COMPUTED_VALUE"""),616.0)</f>
        <v>616</v>
      </c>
      <c r="E1701" s="2"/>
      <c r="F1701" s="2"/>
    </row>
    <row r="1702">
      <c r="A1702" s="2">
        <f>IFERROR(__xludf.DUMMYFUNCTION("""COMPUTED_VALUE"""),19792.0)</f>
        <v>19792</v>
      </c>
      <c r="B1702" s="2">
        <f>IFERROR(__xludf.DUMMYFUNCTION("""COMPUTED_VALUE"""),0.0)</f>
        <v>0</v>
      </c>
      <c r="C1702" s="2">
        <f>IFERROR(__xludf.DUMMYFUNCTION("""COMPUTED_VALUE"""),744.0)</f>
        <v>744</v>
      </c>
      <c r="D1702" s="3">
        <f>IFERROR(__xludf.DUMMYFUNCTION("""COMPUTED_VALUE"""),109.0)</f>
        <v>109</v>
      </c>
      <c r="E1702" s="2"/>
      <c r="F1702" s="2"/>
    </row>
    <row r="1703">
      <c r="A1703" s="2">
        <f>IFERROR(__xludf.DUMMYFUNCTION("""COMPUTED_VALUE"""),108805.0)</f>
        <v>108805</v>
      </c>
      <c r="B1703" s="2">
        <f>IFERROR(__xludf.DUMMYFUNCTION("""COMPUTED_VALUE"""),0.0)</f>
        <v>0</v>
      </c>
      <c r="C1703" s="2">
        <f>IFERROR(__xludf.DUMMYFUNCTION("""COMPUTED_VALUE"""),120.0)</f>
        <v>120</v>
      </c>
      <c r="D1703" s="3">
        <f>IFERROR(__xludf.DUMMYFUNCTION("""COMPUTED_VALUE"""),43.0)</f>
        <v>43</v>
      </c>
      <c r="E1703" s="2"/>
      <c r="F1703" s="2"/>
    </row>
    <row r="1704">
      <c r="A1704" s="2">
        <f>IFERROR(__xludf.DUMMYFUNCTION("""COMPUTED_VALUE"""),71689.0)</f>
        <v>71689</v>
      </c>
      <c r="B1704" s="2">
        <f>IFERROR(__xludf.DUMMYFUNCTION("""COMPUTED_VALUE"""),0.0)</f>
        <v>0</v>
      </c>
      <c r="C1704" s="2">
        <f>IFERROR(__xludf.DUMMYFUNCTION("""COMPUTED_VALUE"""),443.0)</f>
        <v>443</v>
      </c>
      <c r="D1704" s="3">
        <f>IFERROR(__xludf.DUMMYFUNCTION("""COMPUTED_VALUE"""),4.0)</f>
        <v>4</v>
      </c>
      <c r="E1704" s="2"/>
      <c r="F1704" s="2"/>
    </row>
    <row r="1705">
      <c r="A1705" s="2">
        <f>IFERROR(__xludf.DUMMYFUNCTION("""COMPUTED_VALUE"""),71718.0)</f>
        <v>71718</v>
      </c>
      <c r="B1705" s="2">
        <f>IFERROR(__xludf.DUMMYFUNCTION("""COMPUTED_VALUE"""),0.0)</f>
        <v>0</v>
      </c>
      <c r="C1705" s="2">
        <f>IFERROR(__xludf.DUMMYFUNCTION("""COMPUTED_VALUE"""),225.0)</f>
        <v>225</v>
      </c>
      <c r="D1705" s="3">
        <f>IFERROR(__xludf.DUMMYFUNCTION("""COMPUTED_VALUE"""),22.0)</f>
        <v>22</v>
      </c>
      <c r="E1705" s="2"/>
      <c r="F1705" s="2"/>
    </row>
    <row r="1706">
      <c r="A1706" s="2">
        <f>IFERROR(__xludf.DUMMYFUNCTION("""COMPUTED_VALUE"""),19752.0)</f>
        <v>19752</v>
      </c>
      <c r="B1706" s="2">
        <f>IFERROR(__xludf.DUMMYFUNCTION("""COMPUTED_VALUE"""),0.0)</f>
        <v>0</v>
      </c>
      <c r="C1706" s="2">
        <f>IFERROR(__xludf.DUMMYFUNCTION("""COMPUTED_VALUE"""),598.0)</f>
        <v>598</v>
      </c>
      <c r="D1706" s="3">
        <f>IFERROR(__xludf.DUMMYFUNCTION("""COMPUTED_VALUE"""),259.0)</f>
        <v>259</v>
      </c>
      <c r="E1706" s="2"/>
      <c r="F1706" s="2"/>
    </row>
    <row r="1707">
      <c r="A1707" s="2">
        <f>IFERROR(__xludf.DUMMYFUNCTION("""COMPUTED_VALUE"""),116205.0)</f>
        <v>116205</v>
      </c>
      <c r="B1707" s="2">
        <f>IFERROR(__xludf.DUMMYFUNCTION("""COMPUTED_VALUE"""),0.0)</f>
        <v>0</v>
      </c>
      <c r="C1707" s="2">
        <f>IFERROR(__xludf.DUMMYFUNCTION("""COMPUTED_VALUE"""),872.0)</f>
        <v>872</v>
      </c>
      <c r="D1707" s="3">
        <f>IFERROR(__xludf.DUMMYFUNCTION("""COMPUTED_VALUE"""),802.0)</f>
        <v>802</v>
      </c>
      <c r="E1707" s="2"/>
      <c r="F1707" s="2"/>
    </row>
    <row r="1708">
      <c r="A1708" s="2">
        <f>IFERROR(__xludf.DUMMYFUNCTION("""COMPUTED_VALUE"""),117113.0)</f>
        <v>117113</v>
      </c>
      <c r="B1708" s="2">
        <f>IFERROR(__xludf.DUMMYFUNCTION("""COMPUTED_VALUE"""),1.0)</f>
        <v>1</v>
      </c>
      <c r="C1708" s="2">
        <f>IFERROR(__xludf.DUMMYFUNCTION("""COMPUTED_VALUE"""),239.0)</f>
        <v>239</v>
      </c>
      <c r="D1708" s="3">
        <f>IFERROR(__xludf.DUMMYFUNCTION("""COMPUTED_VALUE"""),144.0)</f>
        <v>144</v>
      </c>
      <c r="E1708" s="2"/>
      <c r="F1708" s="2"/>
    </row>
    <row r="1709">
      <c r="A1709" s="2">
        <f>IFERROR(__xludf.DUMMYFUNCTION("""COMPUTED_VALUE"""),71716.0)</f>
        <v>71716</v>
      </c>
      <c r="B1709" s="2">
        <f>IFERROR(__xludf.DUMMYFUNCTION("""COMPUTED_VALUE"""),0.0)</f>
        <v>0</v>
      </c>
      <c r="C1709" s="2">
        <f>IFERROR(__xludf.DUMMYFUNCTION("""COMPUTED_VALUE"""),443.0)</f>
        <v>443</v>
      </c>
      <c r="D1709" s="3">
        <f>IFERROR(__xludf.DUMMYFUNCTION("""COMPUTED_VALUE"""),228.0)</f>
        <v>228</v>
      </c>
      <c r="E1709" s="2"/>
      <c r="F1709" s="2"/>
    </row>
    <row r="1710">
      <c r="A1710" s="2">
        <f>IFERROR(__xludf.DUMMYFUNCTION("""COMPUTED_VALUE"""),44398.0)</f>
        <v>44398</v>
      </c>
      <c r="B1710" s="2">
        <f>IFERROR(__xludf.DUMMYFUNCTION("""COMPUTED_VALUE"""),0.0)</f>
        <v>0</v>
      </c>
      <c r="C1710" s="2">
        <f>IFERROR(__xludf.DUMMYFUNCTION("""COMPUTED_VALUE"""),795.0)</f>
        <v>795</v>
      </c>
      <c r="D1710" s="3">
        <f>IFERROR(__xludf.DUMMYFUNCTION("""COMPUTED_VALUE"""),461.0)</f>
        <v>461</v>
      </c>
      <c r="E1710" s="2"/>
      <c r="F1710" s="2"/>
    </row>
    <row r="1711">
      <c r="A1711" s="2">
        <f>IFERROR(__xludf.DUMMYFUNCTION("""COMPUTED_VALUE"""),100932.0)</f>
        <v>100932</v>
      </c>
      <c r="B1711" s="2">
        <f>IFERROR(__xludf.DUMMYFUNCTION("""COMPUTED_VALUE"""),0.0)</f>
        <v>0</v>
      </c>
      <c r="C1711" s="2">
        <f>IFERROR(__xludf.DUMMYFUNCTION("""COMPUTED_VALUE"""),582.0)</f>
        <v>582</v>
      </c>
      <c r="D1711" s="3">
        <f>IFERROR(__xludf.DUMMYFUNCTION("""COMPUTED_VALUE"""),42.0)</f>
        <v>42</v>
      </c>
      <c r="E1711" s="2"/>
      <c r="F1711" s="2"/>
    </row>
    <row r="1712">
      <c r="A1712" s="2">
        <f>IFERROR(__xludf.DUMMYFUNCTION("""COMPUTED_VALUE"""),117125.0)</f>
        <v>117125</v>
      </c>
      <c r="B1712" s="2">
        <f>IFERROR(__xludf.DUMMYFUNCTION("""COMPUTED_VALUE"""),1.0)</f>
        <v>1</v>
      </c>
      <c r="C1712" s="2">
        <f>IFERROR(__xludf.DUMMYFUNCTION("""COMPUTED_VALUE"""),630.0)</f>
        <v>630</v>
      </c>
      <c r="D1712" s="3">
        <f>IFERROR(__xludf.DUMMYFUNCTION("""COMPUTED_VALUE"""),370.0)</f>
        <v>370</v>
      </c>
      <c r="E1712" s="2"/>
      <c r="F1712" s="2"/>
    </row>
    <row r="1713">
      <c r="A1713" s="2">
        <f>IFERROR(__xludf.DUMMYFUNCTION("""COMPUTED_VALUE"""),19746.0)</f>
        <v>19746</v>
      </c>
      <c r="B1713" s="2">
        <f>IFERROR(__xludf.DUMMYFUNCTION("""COMPUTED_VALUE"""),1.0)</f>
        <v>1</v>
      </c>
      <c r="C1713" s="2">
        <f>IFERROR(__xludf.DUMMYFUNCTION("""COMPUTED_VALUE"""),726.0)</f>
        <v>726</v>
      </c>
      <c r="D1713" s="3">
        <f>IFERROR(__xludf.DUMMYFUNCTION("""COMPUTED_VALUE"""),556.0)</f>
        <v>556</v>
      </c>
      <c r="E1713" s="2"/>
      <c r="F1713" s="2"/>
    </row>
    <row r="1714">
      <c r="A1714" s="2">
        <f>IFERROR(__xludf.DUMMYFUNCTION("""COMPUTED_VALUE"""),80729.0)</f>
        <v>80729</v>
      </c>
      <c r="B1714" s="2">
        <f>IFERROR(__xludf.DUMMYFUNCTION("""COMPUTED_VALUE"""),1.0)</f>
        <v>1</v>
      </c>
      <c r="C1714" s="2">
        <f>IFERROR(__xludf.DUMMYFUNCTION("""COMPUTED_VALUE"""),258.0)</f>
        <v>258</v>
      </c>
      <c r="D1714" s="3">
        <f>IFERROR(__xludf.DUMMYFUNCTION("""COMPUTED_VALUE"""),243.0)</f>
        <v>243</v>
      </c>
      <c r="E1714" s="2"/>
      <c r="F1714" s="2"/>
    </row>
    <row r="1715">
      <c r="A1715" s="2">
        <f>IFERROR(__xludf.DUMMYFUNCTION("""COMPUTED_VALUE"""),19800.0)</f>
        <v>19800</v>
      </c>
      <c r="B1715" s="2">
        <f>IFERROR(__xludf.DUMMYFUNCTION("""COMPUTED_VALUE"""),1.0)</f>
        <v>1</v>
      </c>
      <c r="C1715" s="2">
        <f>IFERROR(__xludf.DUMMYFUNCTION("""COMPUTED_VALUE"""),65.0)</f>
        <v>65</v>
      </c>
      <c r="D1715" s="3">
        <f>IFERROR(__xludf.DUMMYFUNCTION("""COMPUTED_VALUE"""),57.0)</f>
        <v>57</v>
      </c>
      <c r="E1715" s="2"/>
      <c r="F1715" s="2"/>
    </row>
    <row r="1716">
      <c r="A1716" s="2">
        <f>IFERROR(__xludf.DUMMYFUNCTION("""COMPUTED_VALUE"""),19790.0)</f>
        <v>19790</v>
      </c>
      <c r="B1716" s="2">
        <f>IFERROR(__xludf.DUMMYFUNCTION("""COMPUTED_VALUE"""),0.0)</f>
        <v>0</v>
      </c>
      <c r="C1716" s="2">
        <f>IFERROR(__xludf.DUMMYFUNCTION("""COMPUTED_VALUE"""),264.0)</f>
        <v>264</v>
      </c>
      <c r="D1716" s="3">
        <f>IFERROR(__xludf.DUMMYFUNCTION("""COMPUTED_VALUE"""),127.0)</f>
        <v>127</v>
      </c>
      <c r="E1716" s="2"/>
      <c r="F1716" s="2"/>
    </row>
    <row r="1717">
      <c r="A1717" s="2">
        <f>IFERROR(__xludf.DUMMYFUNCTION("""COMPUTED_VALUE"""),19747.0)</f>
        <v>19747</v>
      </c>
      <c r="B1717" s="2">
        <f>IFERROR(__xludf.DUMMYFUNCTION("""COMPUTED_VALUE"""),1.0)</f>
        <v>1</v>
      </c>
      <c r="C1717" s="2">
        <f>IFERROR(__xludf.DUMMYFUNCTION("""COMPUTED_VALUE"""),195.0)</f>
        <v>195</v>
      </c>
      <c r="D1717" s="3">
        <f>IFERROR(__xludf.DUMMYFUNCTION("""COMPUTED_VALUE"""),172.0)</f>
        <v>172</v>
      </c>
      <c r="E1717" s="2"/>
      <c r="F1717" s="2"/>
    </row>
    <row r="1718">
      <c r="A1718" s="2">
        <f>IFERROR(__xludf.DUMMYFUNCTION("""COMPUTED_VALUE"""),44524.0)</f>
        <v>44524</v>
      </c>
      <c r="B1718" s="2">
        <f>IFERROR(__xludf.DUMMYFUNCTION("""COMPUTED_VALUE"""),1.0)</f>
        <v>1</v>
      </c>
      <c r="C1718" s="2">
        <f>IFERROR(__xludf.DUMMYFUNCTION("""COMPUTED_VALUE"""),306.0)</f>
        <v>306</v>
      </c>
      <c r="D1718" s="3">
        <f>IFERROR(__xludf.DUMMYFUNCTION("""COMPUTED_VALUE"""),28.0)</f>
        <v>28</v>
      </c>
      <c r="E1718" s="2"/>
      <c r="F1718" s="2"/>
    </row>
    <row r="1719">
      <c r="A1719" s="2">
        <f>IFERROR(__xludf.DUMMYFUNCTION("""COMPUTED_VALUE"""),103839.0)</f>
        <v>103839</v>
      </c>
      <c r="B1719" s="2">
        <f>IFERROR(__xludf.DUMMYFUNCTION("""COMPUTED_VALUE"""),0.0)</f>
        <v>0</v>
      </c>
      <c r="C1719" s="2">
        <f>IFERROR(__xludf.DUMMYFUNCTION("""COMPUTED_VALUE"""),325.0)</f>
        <v>325</v>
      </c>
      <c r="D1719" s="3">
        <f>IFERROR(__xludf.DUMMYFUNCTION("""COMPUTED_VALUE"""),73.0)</f>
        <v>73</v>
      </c>
      <c r="E1719" s="2"/>
      <c r="F1719" s="2"/>
    </row>
    <row r="1720">
      <c r="A1720" s="2">
        <f>IFERROR(__xludf.DUMMYFUNCTION("""COMPUTED_VALUE"""),195240.0)</f>
        <v>195240</v>
      </c>
      <c r="B1720" s="2">
        <f>IFERROR(__xludf.DUMMYFUNCTION("""COMPUTED_VALUE"""),0.0)</f>
        <v>0</v>
      </c>
      <c r="C1720" s="2">
        <f>IFERROR(__xludf.DUMMYFUNCTION("""COMPUTED_VALUE"""),659.0)</f>
        <v>659</v>
      </c>
      <c r="D1720" s="3">
        <f>IFERROR(__xludf.DUMMYFUNCTION("""COMPUTED_VALUE"""),393.0)</f>
        <v>393</v>
      </c>
      <c r="E1720" s="2"/>
      <c r="F1720" s="2"/>
    </row>
    <row r="1721">
      <c r="A1721" s="2">
        <f>IFERROR(__xludf.DUMMYFUNCTION("""COMPUTED_VALUE"""),195244.0)</f>
        <v>195244</v>
      </c>
      <c r="B1721" s="2">
        <f>IFERROR(__xludf.DUMMYFUNCTION("""COMPUTED_VALUE"""),1.0)</f>
        <v>1</v>
      </c>
      <c r="C1721" s="2">
        <f>IFERROR(__xludf.DUMMYFUNCTION("""COMPUTED_VALUE"""),247.0)</f>
        <v>247</v>
      </c>
      <c r="D1721" s="3">
        <f>IFERROR(__xludf.DUMMYFUNCTION("""COMPUTED_VALUE"""),178.0)</f>
        <v>178</v>
      </c>
      <c r="E1721" s="2"/>
      <c r="F1721" s="2"/>
    </row>
    <row r="1722">
      <c r="A1722" s="2">
        <f>IFERROR(__xludf.DUMMYFUNCTION("""COMPUTED_VALUE"""),119465.0)</f>
        <v>119465</v>
      </c>
      <c r="B1722" s="2">
        <f>IFERROR(__xludf.DUMMYFUNCTION("""COMPUTED_VALUE"""),1.0)</f>
        <v>1</v>
      </c>
      <c r="C1722" s="2">
        <f>IFERROR(__xludf.DUMMYFUNCTION("""COMPUTED_VALUE"""),630.0)</f>
        <v>630</v>
      </c>
      <c r="D1722" s="3">
        <f>IFERROR(__xludf.DUMMYFUNCTION("""COMPUTED_VALUE"""),486.0)</f>
        <v>486</v>
      </c>
      <c r="E1722" s="2"/>
      <c r="F1722" s="2"/>
    </row>
    <row r="1723">
      <c r="A1723" s="2">
        <f>IFERROR(__xludf.DUMMYFUNCTION("""COMPUTED_VALUE"""),47081.0)</f>
        <v>47081</v>
      </c>
      <c r="B1723" s="2">
        <f>IFERROR(__xludf.DUMMYFUNCTION("""COMPUTED_VALUE"""),0.0)</f>
        <v>0</v>
      </c>
      <c r="C1723" s="2">
        <f>IFERROR(__xludf.DUMMYFUNCTION("""COMPUTED_VALUE"""),380.0)</f>
        <v>380</v>
      </c>
      <c r="D1723" s="3">
        <f>IFERROR(__xludf.DUMMYFUNCTION("""COMPUTED_VALUE"""),275.0)</f>
        <v>275</v>
      </c>
      <c r="E1723" s="2"/>
      <c r="F1723" s="2"/>
    </row>
    <row r="1724">
      <c r="A1724" s="2">
        <f>IFERROR(__xludf.DUMMYFUNCTION("""COMPUTED_VALUE"""),91635.0)</f>
        <v>91635</v>
      </c>
      <c r="B1724" s="2">
        <f>IFERROR(__xludf.DUMMYFUNCTION("""COMPUTED_VALUE"""),1.0)</f>
        <v>1</v>
      </c>
      <c r="C1724" s="2">
        <f>IFERROR(__xludf.DUMMYFUNCTION("""COMPUTED_VALUE"""),852.0)</f>
        <v>852</v>
      </c>
      <c r="D1724" s="3">
        <f>IFERROR(__xludf.DUMMYFUNCTION("""COMPUTED_VALUE"""),174.0)</f>
        <v>174</v>
      </c>
      <c r="E1724" s="2"/>
      <c r="F1724" s="2"/>
    </row>
    <row r="1725">
      <c r="A1725" s="2">
        <f>IFERROR(__xludf.DUMMYFUNCTION("""COMPUTED_VALUE"""),188359.0)</f>
        <v>188359</v>
      </c>
      <c r="B1725" s="2">
        <f>IFERROR(__xludf.DUMMYFUNCTION("""COMPUTED_VALUE"""),1.0)</f>
        <v>1</v>
      </c>
      <c r="C1725" s="2">
        <f>IFERROR(__xludf.DUMMYFUNCTION("""COMPUTED_VALUE"""),580.0)</f>
        <v>580</v>
      </c>
      <c r="D1725" s="3">
        <f>IFERROR(__xludf.DUMMYFUNCTION("""COMPUTED_VALUE"""),107.0)</f>
        <v>107</v>
      </c>
      <c r="E1725" s="2"/>
      <c r="F1725" s="2"/>
    </row>
    <row r="1726">
      <c r="A1726" s="2">
        <f>IFERROR(__xludf.DUMMYFUNCTION("""COMPUTED_VALUE"""),29655.0)</f>
        <v>29655</v>
      </c>
      <c r="B1726" s="2">
        <f>IFERROR(__xludf.DUMMYFUNCTION("""COMPUTED_VALUE"""),1.0)</f>
        <v>1</v>
      </c>
      <c r="C1726" s="2">
        <f>IFERROR(__xludf.DUMMYFUNCTION("""COMPUTED_VALUE"""),307.0)</f>
        <v>307</v>
      </c>
      <c r="D1726" s="3">
        <f>IFERROR(__xludf.DUMMYFUNCTION("""COMPUTED_VALUE"""),192.0)</f>
        <v>192</v>
      </c>
      <c r="E1726" s="2"/>
      <c r="F1726" s="2"/>
    </row>
    <row r="1727">
      <c r="A1727" s="2">
        <f>IFERROR(__xludf.DUMMYFUNCTION("""COMPUTED_VALUE"""),193188.0)</f>
        <v>193188</v>
      </c>
      <c r="B1727" s="2">
        <f>IFERROR(__xludf.DUMMYFUNCTION("""COMPUTED_VALUE"""),1.0)</f>
        <v>1</v>
      </c>
      <c r="C1727" s="2">
        <f>IFERROR(__xludf.DUMMYFUNCTION("""COMPUTED_VALUE"""),305.0)</f>
        <v>305</v>
      </c>
      <c r="D1727" s="3">
        <f>IFERROR(__xludf.DUMMYFUNCTION("""COMPUTED_VALUE"""),292.0)</f>
        <v>292</v>
      </c>
      <c r="E1727" s="2"/>
      <c r="F1727" s="2"/>
    </row>
    <row r="1728">
      <c r="A1728" s="2">
        <f>IFERROR(__xludf.DUMMYFUNCTION("""COMPUTED_VALUE"""),188367.0)</f>
        <v>188367</v>
      </c>
      <c r="B1728" s="2">
        <f>IFERROR(__xludf.DUMMYFUNCTION("""COMPUTED_VALUE"""),1.0)</f>
        <v>1</v>
      </c>
      <c r="C1728" s="2">
        <f>IFERROR(__xludf.DUMMYFUNCTION("""COMPUTED_VALUE"""),17.0)</f>
        <v>17</v>
      </c>
      <c r="D1728" s="3">
        <f>IFERROR(__xludf.DUMMYFUNCTION("""COMPUTED_VALUE"""),0.0)</f>
        <v>0</v>
      </c>
      <c r="E1728" s="2"/>
      <c r="F1728" s="2"/>
    </row>
    <row r="1729">
      <c r="A1729" s="2">
        <f>IFERROR(__xludf.DUMMYFUNCTION("""COMPUTED_VALUE"""),188853.0)</f>
        <v>188853</v>
      </c>
      <c r="B1729" s="2">
        <f>IFERROR(__xludf.DUMMYFUNCTION("""COMPUTED_VALUE"""),1.0)</f>
        <v>1</v>
      </c>
      <c r="C1729" s="2">
        <f>IFERROR(__xludf.DUMMYFUNCTION("""COMPUTED_VALUE"""),20.0)</f>
        <v>20</v>
      </c>
      <c r="D1729" s="3">
        <f>IFERROR(__xludf.DUMMYFUNCTION("""COMPUTED_VALUE"""),0.0)</f>
        <v>0</v>
      </c>
      <c r="E1729" s="2"/>
      <c r="F1729" s="2"/>
    </row>
    <row r="1730">
      <c r="A1730" s="2">
        <f>IFERROR(__xludf.DUMMYFUNCTION("""COMPUTED_VALUE"""),116214.0)</f>
        <v>116214</v>
      </c>
      <c r="B1730" s="2">
        <f>IFERROR(__xludf.DUMMYFUNCTION("""COMPUTED_VALUE"""),1.0)</f>
        <v>1</v>
      </c>
      <c r="C1730" s="2">
        <f>IFERROR(__xludf.DUMMYFUNCTION("""COMPUTED_VALUE"""),180.0)</f>
        <v>180</v>
      </c>
      <c r="D1730" s="3">
        <f>IFERROR(__xludf.DUMMYFUNCTION("""COMPUTED_VALUE"""),17.0)</f>
        <v>17</v>
      </c>
      <c r="E1730" s="2"/>
      <c r="F1730" s="2"/>
    </row>
    <row r="1731">
      <c r="A1731" s="2">
        <f>IFERROR(__xludf.DUMMYFUNCTION("""COMPUTED_VALUE"""),82296.0)</f>
        <v>82296</v>
      </c>
      <c r="B1731" s="2">
        <f>IFERROR(__xludf.DUMMYFUNCTION("""COMPUTED_VALUE"""),1.0)</f>
        <v>1</v>
      </c>
      <c r="C1731" s="2">
        <f>IFERROR(__xludf.DUMMYFUNCTION("""COMPUTED_VALUE"""),686.0)</f>
        <v>686</v>
      </c>
      <c r="D1731" s="3">
        <f>IFERROR(__xludf.DUMMYFUNCTION("""COMPUTED_VALUE"""),296.0)</f>
        <v>296</v>
      </c>
      <c r="E1731" s="2"/>
      <c r="F1731" s="2"/>
    </row>
    <row r="1732">
      <c r="A1732" s="2">
        <f>IFERROR(__xludf.DUMMYFUNCTION("""COMPUTED_VALUE"""),10269.0)</f>
        <v>10269</v>
      </c>
      <c r="B1732" s="2">
        <f>IFERROR(__xludf.DUMMYFUNCTION("""COMPUTED_VALUE"""),0.0)</f>
        <v>0</v>
      </c>
      <c r="C1732" s="2">
        <f>IFERROR(__xludf.DUMMYFUNCTION("""COMPUTED_VALUE"""),430.0)</f>
        <v>430</v>
      </c>
      <c r="D1732" s="3">
        <f>IFERROR(__xludf.DUMMYFUNCTION("""COMPUTED_VALUE"""),167.0)</f>
        <v>167</v>
      </c>
      <c r="E1732" s="2"/>
      <c r="F1732" s="2"/>
    </row>
    <row r="1733">
      <c r="A1733" s="2">
        <f>IFERROR(__xludf.DUMMYFUNCTION("""COMPUTED_VALUE"""),121860.0)</f>
        <v>121860</v>
      </c>
      <c r="B1733" s="2">
        <f>IFERROR(__xludf.DUMMYFUNCTION("""COMPUTED_VALUE"""),1.0)</f>
        <v>1</v>
      </c>
      <c r="C1733" s="2">
        <f>IFERROR(__xludf.DUMMYFUNCTION("""COMPUTED_VALUE"""),597.0)</f>
        <v>597</v>
      </c>
      <c r="D1733" s="3">
        <f>IFERROR(__xludf.DUMMYFUNCTION("""COMPUTED_VALUE"""),106.0)</f>
        <v>106</v>
      </c>
      <c r="E1733" s="2"/>
      <c r="F1733" s="2"/>
    </row>
    <row r="1734">
      <c r="A1734" s="2">
        <f>IFERROR(__xludf.DUMMYFUNCTION("""COMPUTED_VALUE"""),100464.0)</f>
        <v>100464</v>
      </c>
      <c r="B1734" s="2">
        <f>IFERROR(__xludf.DUMMYFUNCTION("""COMPUTED_VALUE"""),1.0)</f>
        <v>1</v>
      </c>
      <c r="C1734" s="2">
        <f>IFERROR(__xludf.DUMMYFUNCTION("""COMPUTED_VALUE"""),106.0)</f>
        <v>106</v>
      </c>
      <c r="D1734" s="3">
        <f>IFERROR(__xludf.DUMMYFUNCTION("""COMPUTED_VALUE"""),91.0)</f>
        <v>91</v>
      </c>
      <c r="E1734" s="2"/>
      <c r="F1734" s="2"/>
    </row>
    <row r="1735">
      <c r="A1735" s="2">
        <f>IFERROR(__xludf.DUMMYFUNCTION("""COMPUTED_VALUE"""),10270.0)</f>
        <v>10270</v>
      </c>
      <c r="B1735" s="2">
        <f>IFERROR(__xludf.DUMMYFUNCTION("""COMPUTED_VALUE"""),1.0)</f>
        <v>1</v>
      </c>
      <c r="C1735" s="2">
        <f>IFERROR(__xludf.DUMMYFUNCTION("""COMPUTED_VALUE"""),700.0)</f>
        <v>700</v>
      </c>
      <c r="D1735" s="3">
        <f>IFERROR(__xludf.DUMMYFUNCTION("""COMPUTED_VALUE"""),537.0)</f>
        <v>537</v>
      </c>
      <c r="E1735" s="2"/>
      <c r="F1735" s="2"/>
    </row>
    <row r="1736">
      <c r="A1736" s="2">
        <f>IFERROR(__xludf.DUMMYFUNCTION("""COMPUTED_VALUE"""),10283.0)</f>
        <v>10283</v>
      </c>
      <c r="B1736" s="2">
        <f>IFERROR(__xludf.DUMMYFUNCTION("""COMPUTED_VALUE"""),1.0)</f>
        <v>1</v>
      </c>
      <c r="C1736" s="2">
        <f>IFERROR(__xludf.DUMMYFUNCTION("""COMPUTED_VALUE"""),838.0)</f>
        <v>838</v>
      </c>
      <c r="D1736" s="3">
        <f>IFERROR(__xludf.DUMMYFUNCTION("""COMPUTED_VALUE"""),122.0)</f>
        <v>122</v>
      </c>
      <c r="E1736" s="2"/>
      <c r="F1736" s="2"/>
    </row>
    <row r="1737">
      <c r="A1737" s="2">
        <f>IFERROR(__xludf.DUMMYFUNCTION("""COMPUTED_VALUE"""),10278.0)</f>
        <v>10278</v>
      </c>
      <c r="B1737" s="2">
        <f>IFERROR(__xludf.DUMMYFUNCTION("""COMPUTED_VALUE"""),0.0)</f>
        <v>0</v>
      </c>
      <c r="C1737" s="2">
        <f>IFERROR(__xludf.DUMMYFUNCTION("""COMPUTED_VALUE"""),53.0)</f>
        <v>53</v>
      </c>
      <c r="D1737" s="3">
        <f>IFERROR(__xludf.DUMMYFUNCTION("""COMPUTED_VALUE"""),24.0)</f>
        <v>24</v>
      </c>
      <c r="E1737" s="2"/>
      <c r="F1737" s="2"/>
    </row>
    <row r="1738">
      <c r="A1738" s="2">
        <f>IFERROR(__xludf.DUMMYFUNCTION("""COMPUTED_VALUE"""),10259.0)</f>
        <v>10259</v>
      </c>
      <c r="B1738" s="2">
        <f>IFERROR(__xludf.DUMMYFUNCTION("""COMPUTED_VALUE"""),1.0)</f>
        <v>1</v>
      </c>
      <c r="C1738" s="2">
        <f>IFERROR(__xludf.DUMMYFUNCTION("""COMPUTED_VALUE"""),115.0)</f>
        <v>115</v>
      </c>
      <c r="D1738" s="3">
        <f>IFERROR(__xludf.DUMMYFUNCTION("""COMPUTED_VALUE"""),53.0)</f>
        <v>53</v>
      </c>
      <c r="E1738" s="2"/>
      <c r="F1738" s="2"/>
    </row>
    <row r="1739">
      <c r="A1739" s="2">
        <f>IFERROR(__xludf.DUMMYFUNCTION("""COMPUTED_VALUE"""),200359.0)</f>
        <v>200359</v>
      </c>
      <c r="B1739" s="2">
        <f>IFERROR(__xludf.DUMMYFUNCTION("""COMPUTED_VALUE"""),1.0)</f>
        <v>1</v>
      </c>
      <c r="C1739" s="2">
        <f>IFERROR(__xludf.DUMMYFUNCTION("""COMPUTED_VALUE"""),586.0)</f>
        <v>586</v>
      </c>
      <c r="D1739" s="3">
        <f>IFERROR(__xludf.DUMMYFUNCTION("""COMPUTED_VALUE"""),274.0)</f>
        <v>274</v>
      </c>
      <c r="E1739" s="2"/>
      <c r="F1739" s="2"/>
    </row>
    <row r="1740">
      <c r="A1740" s="2">
        <f>IFERROR(__xludf.DUMMYFUNCTION("""COMPUTED_VALUE"""),10243.0)</f>
        <v>10243</v>
      </c>
      <c r="B1740" s="2">
        <f>IFERROR(__xludf.DUMMYFUNCTION("""COMPUTED_VALUE"""),0.0)</f>
        <v>0</v>
      </c>
      <c r="C1740" s="2">
        <f>IFERROR(__xludf.DUMMYFUNCTION("""COMPUTED_VALUE"""),237.0)</f>
        <v>237</v>
      </c>
      <c r="D1740" s="3">
        <f>IFERROR(__xludf.DUMMYFUNCTION("""COMPUTED_VALUE"""),66.0)</f>
        <v>66</v>
      </c>
      <c r="E1740" s="2"/>
      <c r="F1740" s="2"/>
    </row>
    <row r="1741">
      <c r="A1741" s="2">
        <f>IFERROR(__xludf.DUMMYFUNCTION("""COMPUTED_VALUE"""),200360.0)</f>
        <v>200360</v>
      </c>
      <c r="B1741" s="2">
        <f>IFERROR(__xludf.DUMMYFUNCTION("""COMPUTED_VALUE"""),1.0)</f>
        <v>1</v>
      </c>
      <c r="C1741" s="2">
        <f>IFERROR(__xludf.DUMMYFUNCTION("""COMPUTED_VALUE"""),931.0)</f>
        <v>931</v>
      </c>
      <c r="D1741" s="3">
        <f>IFERROR(__xludf.DUMMYFUNCTION("""COMPUTED_VALUE"""),913.0)</f>
        <v>913</v>
      </c>
      <c r="E1741" s="2"/>
      <c r="F1741" s="2"/>
    </row>
    <row r="1742">
      <c r="A1742" s="2">
        <f>IFERROR(__xludf.DUMMYFUNCTION("""COMPUTED_VALUE"""),196501.0)</f>
        <v>196501</v>
      </c>
      <c r="B1742" s="2">
        <f>IFERROR(__xludf.DUMMYFUNCTION("""COMPUTED_VALUE"""),1.0)</f>
        <v>1</v>
      </c>
      <c r="C1742" s="2">
        <f>IFERROR(__xludf.DUMMYFUNCTION("""COMPUTED_VALUE"""),731.0)</f>
        <v>731</v>
      </c>
      <c r="D1742" s="3">
        <f>IFERROR(__xludf.DUMMYFUNCTION("""COMPUTED_VALUE"""),254.0)</f>
        <v>254</v>
      </c>
      <c r="E1742" s="2"/>
      <c r="F1742" s="2"/>
    </row>
    <row r="1743">
      <c r="A1743" s="2">
        <f>IFERROR(__xludf.DUMMYFUNCTION("""COMPUTED_VALUE"""),100460.0)</f>
        <v>100460</v>
      </c>
      <c r="B1743" s="2">
        <f>IFERROR(__xludf.DUMMYFUNCTION("""COMPUTED_VALUE"""),0.0)</f>
        <v>0</v>
      </c>
      <c r="C1743" s="2">
        <f>IFERROR(__xludf.DUMMYFUNCTION("""COMPUTED_VALUE"""),516.0)</f>
        <v>516</v>
      </c>
      <c r="D1743" s="3">
        <f>IFERROR(__xludf.DUMMYFUNCTION("""COMPUTED_VALUE"""),146.0)</f>
        <v>146</v>
      </c>
      <c r="E1743" s="2"/>
      <c r="F1743" s="2"/>
    </row>
    <row r="1744">
      <c r="A1744" s="2">
        <f>IFERROR(__xludf.DUMMYFUNCTION("""COMPUTED_VALUE"""),5880.0)</f>
        <v>5880</v>
      </c>
      <c r="B1744" s="2">
        <f>IFERROR(__xludf.DUMMYFUNCTION("""COMPUTED_VALUE"""),0.0)</f>
        <v>0</v>
      </c>
      <c r="C1744" s="2">
        <f>IFERROR(__xludf.DUMMYFUNCTION("""COMPUTED_VALUE"""),922.0)</f>
        <v>922</v>
      </c>
      <c r="D1744" s="3">
        <f>IFERROR(__xludf.DUMMYFUNCTION("""COMPUTED_VALUE"""),112.0)</f>
        <v>112</v>
      </c>
      <c r="E1744" s="2"/>
      <c r="F1744" s="2"/>
    </row>
    <row r="1745">
      <c r="A1745" s="2">
        <f>IFERROR(__xludf.DUMMYFUNCTION("""COMPUTED_VALUE"""),5872.0)</f>
        <v>5872</v>
      </c>
      <c r="B1745" s="2">
        <f>IFERROR(__xludf.DUMMYFUNCTION("""COMPUTED_VALUE"""),0.0)</f>
        <v>0</v>
      </c>
      <c r="C1745" s="2">
        <f>IFERROR(__xludf.DUMMYFUNCTION("""COMPUTED_VALUE"""),801.0)</f>
        <v>801</v>
      </c>
      <c r="D1745" s="3">
        <f>IFERROR(__xludf.DUMMYFUNCTION("""COMPUTED_VALUE"""),556.0)</f>
        <v>556</v>
      </c>
      <c r="E1745" s="2"/>
      <c r="F1745" s="2"/>
    </row>
    <row r="1746">
      <c r="A1746" s="2">
        <f>IFERROR(__xludf.DUMMYFUNCTION("""COMPUTED_VALUE"""),114258.0)</f>
        <v>114258</v>
      </c>
      <c r="B1746" s="2">
        <f>IFERROR(__xludf.DUMMYFUNCTION("""COMPUTED_VALUE"""),0.0)</f>
        <v>0</v>
      </c>
      <c r="C1746" s="2">
        <f>IFERROR(__xludf.DUMMYFUNCTION("""COMPUTED_VALUE"""),855.0)</f>
        <v>855</v>
      </c>
      <c r="D1746" s="3">
        <f>IFERROR(__xludf.DUMMYFUNCTION("""COMPUTED_VALUE"""),689.0)</f>
        <v>689</v>
      </c>
      <c r="E1746" s="2"/>
      <c r="F1746" s="2"/>
    </row>
    <row r="1747">
      <c r="A1747" s="2">
        <f>IFERROR(__xludf.DUMMYFUNCTION("""COMPUTED_VALUE"""),11122.0)</f>
        <v>11122</v>
      </c>
      <c r="B1747" s="2">
        <f>IFERROR(__xludf.DUMMYFUNCTION("""COMPUTED_VALUE"""),1.0)</f>
        <v>1</v>
      </c>
      <c r="C1747" s="2">
        <f>IFERROR(__xludf.DUMMYFUNCTION("""COMPUTED_VALUE"""),353.0)</f>
        <v>353</v>
      </c>
      <c r="D1747" s="3">
        <f>IFERROR(__xludf.DUMMYFUNCTION("""COMPUTED_VALUE"""),73.0)</f>
        <v>73</v>
      </c>
      <c r="E1747" s="2"/>
      <c r="F1747" s="2"/>
    </row>
    <row r="1748">
      <c r="A1748" s="2">
        <f>IFERROR(__xludf.DUMMYFUNCTION("""COMPUTED_VALUE"""),116894.0)</f>
        <v>116894</v>
      </c>
      <c r="B1748" s="2">
        <f>IFERROR(__xludf.DUMMYFUNCTION("""COMPUTED_VALUE"""),0.0)</f>
        <v>0</v>
      </c>
      <c r="C1748" s="2">
        <f>IFERROR(__xludf.DUMMYFUNCTION("""COMPUTED_VALUE"""),586.0)</f>
        <v>586</v>
      </c>
      <c r="D1748" s="3">
        <f>IFERROR(__xludf.DUMMYFUNCTION("""COMPUTED_VALUE"""),472.0)</f>
        <v>472</v>
      </c>
      <c r="E1748" s="2"/>
      <c r="F1748" s="2"/>
    </row>
    <row r="1749">
      <c r="A1749" s="2">
        <f>IFERROR(__xludf.DUMMYFUNCTION("""COMPUTED_VALUE"""),72994.0)</f>
        <v>72994</v>
      </c>
      <c r="B1749" s="2">
        <f>IFERROR(__xludf.DUMMYFUNCTION("""COMPUTED_VALUE"""),0.0)</f>
        <v>0</v>
      </c>
      <c r="C1749" s="2">
        <f>IFERROR(__xludf.DUMMYFUNCTION("""COMPUTED_VALUE"""),478.0)</f>
        <v>478</v>
      </c>
      <c r="D1749" s="3">
        <f>IFERROR(__xludf.DUMMYFUNCTION("""COMPUTED_VALUE"""),146.0)</f>
        <v>146</v>
      </c>
      <c r="E1749" s="2"/>
      <c r="F1749" s="2"/>
    </row>
    <row r="1750">
      <c r="A1750" s="2">
        <f>IFERROR(__xludf.DUMMYFUNCTION("""COMPUTED_VALUE"""),120863.0)</f>
        <v>120863</v>
      </c>
      <c r="B1750" s="2">
        <f>IFERROR(__xludf.DUMMYFUNCTION("""COMPUTED_VALUE"""),1.0)</f>
        <v>1</v>
      </c>
      <c r="C1750" s="2">
        <f>IFERROR(__xludf.DUMMYFUNCTION("""COMPUTED_VALUE"""),130.0)</f>
        <v>130</v>
      </c>
      <c r="D1750" s="3">
        <f>IFERROR(__xludf.DUMMYFUNCTION("""COMPUTED_VALUE"""),2.0)</f>
        <v>2</v>
      </c>
      <c r="E1750" s="2"/>
      <c r="F1750" s="2"/>
    </row>
    <row r="1751">
      <c r="A1751" s="2">
        <f>IFERROR(__xludf.DUMMYFUNCTION("""COMPUTED_VALUE"""),120870.0)</f>
        <v>120870</v>
      </c>
      <c r="B1751" s="2">
        <f>IFERROR(__xludf.DUMMYFUNCTION("""COMPUTED_VALUE"""),1.0)</f>
        <v>1</v>
      </c>
      <c r="C1751" s="2">
        <f>IFERROR(__xludf.DUMMYFUNCTION("""COMPUTED_VALUE"""),440.0)</f>
        <v>440</v>
      </c>
      <c r="D1751" s="3">
        <f>IFERROR(__xludf.DUMMYFUNCTION("""COMPUTED_VALUE"""),48.0)</f>
        <v>48</v>
      </c>
      <c r="E1751" s="2"/>
      <c r="F1751" s="2"/>
    </row>
    <row r="1752">
      <c r="A1752" s="2">
        <f>IFERROR(__xludf.DUMMYFUNCTION("""COMPUTED_VALUE"""),120868.0)</f>
        <v>120868</v>
      </c>
      <c r="B1752" s="2">
        <f>IFERROR(__xludf.DUMMYFUNCTION("""COMPUTED_VALUE"""),1.0)</f>
        <v>1</v>
      </c>
      <c r="C1752" s="2">
        <f>IFERROR(__xludf.DUMMYFUNCTION("""COMPUTED_VALUE"""),62.0)</f>
        <v>62</v>
      </c>
      <c r="D1752" s="3">
        <f>IFERROR(__xludf.DUMMYFUNCTION("""COMPUTED_VALUE"""),56.0)</f>
        <v>56</v>
      </c>
      <c r="E1752" s="2"/>
      <c r="F1752" s="2"/>
    </row>
    <row r="1753">
      <c r="A1753" s="2">
        <f>IFERROR(__xludf.DUMMYFUNCTION("""COMPUTED_VALUE"""),102063.0)</f>
        <v>102063</v>
      </c>
      <c r="B1753" s="2">
        <f>IFERROR(__xludf.DUMMYFUNCTION("""COMPUTED_VALUE"""),1.0)</f>
        <v>1</v>
      </c>
      <c r="C1753" s="2">
        <f>IFERROR(__xludf.DUMMYFUNCTION("""COMPUTED_VALUE"""),504.0)</f>
        <v>504</v>
      </c>
      <c r="D1753" s="3">
        <f>IFERROR(__xludf.DUMMYFUNCTION("""COMPUTED_VALUE"""),190.0)</f>
        <v>190</v>
      </c>
      <c r="E1753" s="2"/>
      <c r="F1753" s="2"/>
    </row>
    <row r="1754">
      <c r="A1754" s="2">
        <f>IFERROR(__xludf.DUMMYFUNCTION("""COMPUTED_VALUE"""),120869.0)</f>
        <v>120869</v>
      </c>
      <c r="B1754" s="2">
        <f>IFERROR(__xludf.DUMMYFUNCTION("""COMPUTED_VALUE"""),0.0)</f>
        <v>0</v>
      </c>
      <c r="C1754" s="2">
        <f>IFERROR(__xludf.DUMMYFUNCTION("""COMPUTED_VALUE"""),528.0)</f>
        <v>528</v>
      </c>
      <c r="D1754" s="3">
        <f>IFERROR(__xludf.DUMMYFUNCTION("""COMPUTED_VALUE"""),483.0)</f>
        <v>483</v>
      </c>
      <c r="E1754" s="2"/>
      <c r="F1754" s="2"/>
    </row>
    <row r="1755">
      <c r="A1755" s="2">
        <f>IFERROR(__xludf.DUMMYFUNCTION("""COMPUTED_VALUE"""),120871.0)</f>
        <v>120871</v>
      </c>
      <c r="B1755" s="2">
        <f>IFERROR(__xludf.DUMMYFUNCTION("""COMPUTED_VALUE"""),0.0)</f>
        <v>0</v>
      </c>
      <c r="C1755" s="2">
        <f>IFERROR(__xludf.DUMMYFUNCTION("""COMPUTED_VALUE"""),799.0)</f>
        <v>799</v>
      </c>
      <c r="D1755" s="3">
        <f>IFERROR(__xludf.DUMMYFUNCTION("""COMPUTED_VALUE"""),338.0)</f>
        <v>338</v>
      </c>
      <c r="E1755" s="2"/>
      <c r="F1755" s="2"/>
    </row>
    <row r="1756">
      <c r="A1756" s="2">
        <f>IFERROR(__xludf.DUMMYFUNCTION("""COMPUTED_VALUE"""),24195.0)</f>
        <v>24195</v>
      </c>
      <c r="B1756" s="2">
        <f>IFERROR(__xludf.DUMMYFUNCTION("""COMPUTED_VALUE"""),1.0)</f>
        <v>1</v>
      </c>
      <c r="C1756" s="2">
        <f>IFERROR(__xludf.DUMMYFUNCTION("""COMPUTED_VALUE"""),528.0)</f>
        <v>528</v>
      </c>
      <c r="D1756" s="3">
        <f>IFERROR(__xludf.DUMMYFUNCTION("""COMPUTED_VALUE"""),46.0)</f>
        <v>46</v>
      </c>
      <c r="E1756" s="2"/>
      <c r="F1756" s="2"/>
    </row>
    <row r="1757">
      <c r="A1757" s="2">
        <f>IFERROR(__xludf.DUMMYFUNCTION("""COMPUTED_VALUE"""),120422.0)</f>
        <v>120422</v>
      </c>
      <c r="B1757" s="2">
        <f>IFERROR(__xludf.DUMMYFUNCTION("""COMPUTED_VALUE"""),1.0)</f>
        <v>1</v>
      </c>
      <c r="C1757" s="2">
        <f>IFERROR(__xludf.DUMMYFUNCTION("""COMPUTED_VALUE"""),273.0)</f>
        <v>273</v>
      </c>
      <c r="D1757" s="3">
        <f>IFERROR(__xludf.DUMMYFUNCTION("""COMPUTED_VALUE"""),134.0)</f>
        <v>134</v>
      </c>
      <c r="E1757" s="2"/>
      <c r="F1757" s="2"/>
    </row>
    <row r="1758">
      <c r="A1758" s="2">
        <f>IFERROR(__xludf.DUMMYFUNCTION("""COMPUTED_VALUE"""),120874.0)</f>
        <v>120874</v>
      </c>
      <c r="B1758" s="2">
        <f>IFERROR(__xludf.DUMMYFUNCTION("""COMPUTED_VALUE"""),0.0)</f>
        <v>0</v>
      </c>
      <c r="C1758" s="2">
        <f>IFERROR(__xludf.DUMMYFUNCTION("""COMPUTED_VALUE"""),0.0)</f>
        <v>0</v>
      </c>
      <c r="D1758" s="3">
        <f>IFERROR(__xludf.DUMMYFUNCTION("""COMPUTED_VALUE"""),0.0)</f>
        <v>0</v>
      </c>
      <c r="E1758" s="2"/>
      <c r="F1758" s="2"/>
    </row>
    <row r="1759">
      <c r="A1759" s="2">
        <f>IFERROR(__xludf.DUMMYFUNCTION("""COMPUTED_VALUE"""),120416.0)</f>
        <v>120416</v>
      </c>
      <c r="B1759" s="2">
        <f>IFERROR(__xludf.DUMMYFUNCTION("""COMPUTED_VALUE"""),1.0)</f>
        <v>1</v>
      </c>
      <c r="C1759" s="2">
        <f>IFERROR(__xludf.DUMMYFUNCTION("""COMPUTED_VALUE"""),891.0)</f>
        <v>891</v>
      </c>
      <c r="D1759" s="3">
        <f>IFERROR(__xludf.DUMMYFUNCTION("""COMPUTED_VALUE"""),200.0)</f>
        <v>200</v>
      </c>
      <c r="E1759" s="2"/>
      <c r="F1759" s="2"/>
    </row>
    <row r="1760">
      <c r="A1760" s="2">
        <f>IFERROR(__xludf.DUMMYFUNCTION("""COMPUTED_VALUE"""),80944.0)</f>
        <v>80944</v>
      </c>
      <c r="B1760" s="2">
        <f>IFERROR(__xludf.DUMMYFUNCTION("""COMPUTED_VALUE"""),1.0)</f>
        <v>1</v>
      </c>
      <c r="C1760" s="2">
        <f>IFERROR(__xludf.DUMMYFUNCTION("""COMPUTED_VALUE"""),910.0)</f>
        <v>910</v>
      </c>
      <c r="D1760" s="3">
        <f>IFERROR(__xludf.DUMMYFUNCTION("""COMPUTED_VALUE"""),474.0)</f>
        <v>474</v>
      </c>
      <c r="E1760" s="2"/>
      <c r="F1760" s="2"/>
    </row>
    <row r="1761">
      <c r="A1761" s="2">
        <f>IFERROR(__xludf.DUMMYFUNCTION("""COMPUTED_VALUE"""),120873.0)</f>
        <v>120873</v>
      </c>
      <c r="B1761" s="2">
        <f>IFERROR(__xludf.DUMMYFUNCTION("""COMPUTED_VALUE"""),1.0)</f>
        <v>1</v>
      </c>
      <c r="C1761" s="2">
        <f>IFERROR(__xludf.DUMMYFUNCTION("""COMPUTED_VALUE"""),938.0)</f>
        <v>938</v>
      </c>
      <c r="D1761" s="3">
        <f>IFERROR(__xludf.DUMMYFUNCTION("""COMPUTED_VALUE"""),145.0)</f>
        <v>145</v>
      </c>
      <c r="E1761" s="2"/>
      <c r="F1761" s="2"/>
    </row>
    <row r="1762">
      <c r="A1762" s="2">
        <f>IFERROR(__xludf.DUMMYFUNCTION("""COMPUTED_VALUE"""),120875.0)</f>
        <v>120875</v>
      </c>
      <c r="B1762" s="2">
        <f>IFERROR(__xludf.DUMMYFUNCTION("""COMPUTED_VALUE"""),0.0)</f>
        <v>0</v>
      </c>
      <c r="C1762" s="2">
        <f>IFERROR(__xludf.DUMMYFUNCTION("""COMPUTED_VALUE"""),574.0)</f>
        <v>574</v>
      </c>
      <c r="D1762" s="3">
        <f>IFERROR(__xludf.DUMMYFUNCTION("""COMPUTED_VALUE"""),403.0)</f>
        <v>403</v>
      </c>
      <c r="E1762" s="2"/>
      <c r="F1762" s="2"/>
    </row>
    <row r="1763">
      <c r="A1763" s="2">
        <f>IFERROR(__xludf.DUMMYFUNCTION("""COMPUTED_VALUE"""),147285.0)</f>
        <v>147285</v>
      </c>
      <c r="B1763" s="2">
        <f>IFERROR(__xludf.DUMMYFUNCTION("""COMPUTED_VALUE"""),0.0)</f>
        <v>0</v>
      </c>
      <c r="C1763" s="2">
        <f>IFERROR(__xludf.DUMMYFUNCTION("""COMPUTED_VALUE"""),374.0)</f>
        <v>374</v>
      </c>
      <c r="D1763" s="3">
        <f>IFERROR(__xludf.DUMMYFUNCTION("""COMPUTED_VALUE"""),60.0)</f>
        <v>60</v>
      </c>
      <c r="E1763" s="2"/>
      <c r="F1763" s="2"/>
    </row>
    <row r="1764">
      <c r="A1764" s="2">
        <f>IFERROR(__xludf.DUMMYFUNCTION("""COMPUTED_VALUE"""),88604.0)</f>
        <v>88604</v>
      </c>
      <c r="B1764" s="2">
        <f>IFERROR(__xludf.DUMMYFUNCTION("""COMPUTED_VALUE"""),1.0)</f>
        <v>1</v>
      </c>
      <c r="C1764" s="2">
        <f>IFERROR(__xludf.DUMMYFUNCTION("""COMPUTED_VALUE"""),584.0)</f>
        <v>584</v>
      </c>
      <c r="D1764" s="3">
        <f>IFERROR(__xludf.DUMMYFUNCTION("""COMPUTED_VALUE"""),95.0)</f>
        <v>95</v>
      </c>
      <c r="E1764" s="2"/>
      <c r="F1764" s="2"/>
    </row>
    <row r="1765">
      <c r="A1765" s="2">
        <f>IFERROR(__xludf.DUMMYFUNCTION("""COMPUTED_VALUE"""),120417.0)</f>
        <v>120417</v>
      </c>
      <c r="B1765" s="2">
        <f>IFERROR(__xludf.DUMMYFUNCTION("""COMPUTED_VALUE"""),0.0)</f>
        <v>0</v>
      </c>
      <c r="C1765" s="2">
        <f>IFERROR(__xludf.DUMMYFUNCTION("""COMPUTED_VALUE"""),630.0)</f>
        <v>630</v>
      </c>
      <c r="D1765" s="3">
        <f>IFERROR(__xludf.DUMMYFUNCTION("""COMPUTED_VALUE"""),197.0)</f>
        <v>197</v>
      </c>
      <c r="E1765" s="2"/>
      <c r="F1765" s="2"/>
    </row>
    <row r="1766">
      <c r="A1766" s="2">
        <f>IFERROR(__xludf.DUMMYFUNCTION("""COMPUTED_VALUE"""),113914.0)</f>
        <v>113914</v>
      </c>
      <c r="B1766" s="2">
        <f>IFERROR(__xludf.DUMMYFUNCTION("""COMPUTED_VALUE"""),0.0)</f>
        <v>0</v>
      </c>
      <c r="C1766" s="2">
        <f>IFERROR(__xludf.DUMMYFUNCTION("""COMPUTED_VALUE"""),828.0)</f>
        <v>828</v>
      </c>
      <c r="D1766" s="3">
        <f>IFERROR(__xludf.DUMMYFUNCTION("""COMPUTED_VALUE"""),24.0)</f>
        <v>24</v>
      </c>
      <c r="E1766" s="2"/>
      <c r="F1766" s="2"/>
    </row>
    <row r="1767">
      <c r="A1767" s="2">
        <f>IFERROR(__xludf.DUMMYFUNCTION("""COMPUTED_VALUE"""),68793.0)</f>
        <v>68793</v>
      </c>
      <c r="B1767" s="2">
        <f>IFERROR(__xludf.DUMMYFUNCTION("""COMPUTED_VALUE"""),0.0)</f>
        <v>0</v>
      </c>
      <c r="C1767" s="2">
        <f>IFERROR(__xludf.DUMMYFUNCTION("""COMPUTED_VALUE"""),108.0)</f>
        <v>108</v>
      </c>
      <c r="D1767" s="3">
        <f>IFERROR(__xludf.DUMMYFUNCTION("""COMPUTED_VALUE"""),29.0)</f>
        <v>29</v>
      </c>
      <c r="E1767" s="2"/>
      <c r="F1767" s="2"/>
    </row>
    <row r="1768">
      <c r="A1768" s="2">
        <f>IFERROR(__xludf.DUMMYFUNCTION("""COMPUTED_VALUE"""),106707.0)</f>
        <v>106707</v>
      </c>
      <c r="B1768" s="2">
        <f>IFERROR(__xludf.DUMMYFUNCTION("""COMPUTED_VALUE"""),1.0)</f>
        <v>1</v>
      </c>
      <c r="C1768" s="2">
        <f>IFERROR(__xludf.DUMMYFUNCTION("""COMPUTED_VALUE"""),556.0)</f>
        <v>556</v>
      </c>
      <c r="D1768" s="3">
        <f>IFERROR(__xludf.DUMMYFUNCTION("""COMPUTED_VALUE"""),516.0)</f>
        <v>516</v>
      </c>
      <c r="E1768" s="2"/>
      <c r="F1768" s="2"/>
    </row>
    <row r="1769">
      <c r="A1769" s="2">
        <f>IFERROR(__xludf.DUMMYFUNCTION("""COMPUTED_VALUE"""),24210.0)</f>
        <v>24210</v>
      </c>
      <c r="B1769" s="2">
        <f>IFERROR(__xludf.DUMMYFUNCTION("""COMPUTED_VALUE"""),1.0)</f>
        <v>1</v>
      </c>
      <c r="C1769" s="2">
        <f>IFERROR(__xludf.DUMMYFUNCTION("""COMPUTED_VALUE"""),457.0)</f>
        <v>457</v>
      </c>
      <c r="D1769" s="3">
        <f>IFERROR(__xludf.DUMMYFUNCTION("""COMPUTED_VALUE"""),11.0)</f>
        <v>11</v>
      </c>
      <c r="E1769" s="2"/>
      <c r="F1769" s="2"/>
    </row>
    <row r="1770">
      <c r="A1770" s="2">
        <f>IFERROR(__xludf.DUMMYFUNCTION("""COMPUTED_VALUE"""),44012.0)</f>
        <v>44012</v>
      </c>
      <c r="B1770" s="2">
        <f>IFERROR(__xludf.DUMMYFUNCTION("""COMPUTED_VALUE"""),0.0)</f>
        <v>0</v>
      </c>
      <c r="C1770" s="2">
        <f>IFERROR(__xludf.DUMMYFUNCTION("""COMPUTED_VALUE"""),806.0)</f>
        <v>806</v>
      </c>
      <c r="D1770" s="3">
        <f>IFERROR(__xludf.DUMMYFUNCTION("""COMPUTED_VALUE"""),348.0)</f>
        <v>348</v>
      </c>
      <c r="E1770" s="2"/>
      <c r="F1770" s="2"/>
    </row>
    <row r="1771">
      <c r="A1771" s="2">
        <f>IFERROR(__xludf.DUMMYFUNCTION("""COMPUTED_VALUE"""),106710.0)</f>
        <v>106710</v>
      </c>
      <c r="B1771" s="2">
        <f>IFERROR(__xludf.DUMMYFUNCTION("""COMPUTED_VALUE"""),1.0)</f>
        <v>1</v>
      </c>
      <c r="C1771" s="2">
        <f>IFERROR(__xludf.DUMMYFUNCTION("""COMPUTED_VALUE"""),855.0)</f>
        <v>855</v>
      </c>
      <c r="D1771" s="3">
        <f>IFERROR(__xludf.DUMMYFUNCTION("""COMPUTED_VALUE"""),826.0)</f>
        <v>826</v>
      </c>
      <c r="E1771" s="2"/>
      <c r="F1771" s="2"/>
    </row>
    <row r="1772">
      <c r="A1772" s="2">
        <f>IFERROR(__xludf.DUMMYFUNCTION("""COMPUTED_VALUE"""),117239.0)</f>
        <v>117239</v>
      </c>
      <c r="B1772" s="2">
        <f>IFERROR(__xludf.DUMMYFUNCTION("""COMPUTED_VALUE"""),0.0)</f>
        <v>0</v>
      </c>
      <c r="C1772" s="2">
        <f>IFERROR(__xludf.DUMMYFUNCTION("""COMPUTED_VALUE"""),752.0)</f>
        <v>752</v>
      </c>
      <c r="D1772" s="3">
        <f>IFERROR(__xludf.DUMMYFUNCTION("""COMPUTED_VALUE"""),454.0)</f>
        <v>454</v>
      </c>
      <c r="E1772" s="2"/>
      <c r="F1772" s="2"/>
    </row>
    <row r="1773">
      <c r="A1773" s="2">
        <f>IFERROR(__xludf.DUMMYFUNCTION("""COMPUTED_VALUE"""),80186.0)</f>
        <v>80186</v>
      </c>
      <c r="B1773" s="2">
        <f>IFERROR(__xludf.DUMMYFUNCTION("""COMPUTED_VALUE"""),1.0)</f>
        <v>1</v>
      </c>
      <c r="C1773" s="2">
        <f>IFERROR(__xludf.DUMMYFUNCTION("""COMPUTED_VALUE"""),691.0)</f>
        <v>691</v>
      </c>
      <c r="D1773" s="3">
        <f>IFERROR(__xludf.DUMMYFUNCTION("""COMPUTED_VALUE"""),22.0)</f>
        <v>22</v>
      </c>
      <c r="E1773" s="2"/>
      <c r="F1773" s="2"/>
    </row>
    <row r="1774">
      <c r="A1774" s="2">
        <f>IFERROR(__xludf.DUMMYFUNCTION("""COMPUTED_VALUE"""),80185.0)</f>
        <v>80185</v>
      </c>
      <c r="B1774" s="2">
        <f>IFERROR(__xludf.DUMMYFUNCTION("""COMPUTED_VALUE"""),0.0)</f>
        <v>0</v>
      </c>
      <c r="C1774" s="2">
        <f>IFERROR(__xludf.DUMMYFUNCTION("""COMPUTED_VALUE"""),435.0)</f>
        <v>435</v>
      </c>
      <c r="D1774" s="3">
        <f>IFERROR(__xludf.DUMMYFUNCTION("""COMPUTED_VALUE"""),206.0)</f>
        <v>206</v>
      </c>
      <c r="E1774" s="2"/>
      <c r="F1774" s="2"/>
    </row>
    <row r="1775">
      <c r="A1775" s="2">
        <f>IFERROR(__xludf.DUMMYFUNCTION("""COMPUTED_VALUE"""),107151.0)</f>
        <v>107151</v>
      </c>
      <c r="B1775" s="2">
        <f>IFERROR(__xludf.DUMMYFUNCTION("""COMPUTED_VALUE"""),1.0)</f>
        <v>1</v>
      </c>
      <c r="C1775" s="2">
        <f>IFERROR(__xludf.DUMMYFUNCTION("""COMPUTED_VALUE"""),491.0)</f>
        <v>491</v>
      </c>
      <c r="D1775" s="3">
        <f>IFERROR(__xludf.DUMMYFUNCTION("""COMPUTED_VALUE"""),102.0)</f>
        <v>102</v>
      </c>
      <c r="E1775" s="2"/>
      <c r="F1775" s="2"/>
    </row>
    <row r="1776">
      <c r="A1776" s="2">
        <f>IFERROR(__xludf.DUMMYFUNCTION("""COMPUTED_VALUE"""),120420.0)</f>
        <v>120420</v>
      </c>
      <c r="B1776" s="2">
        <f>IFERROR(__xludf.DUMMYFUNCTION("""COMPUTED_VALUE"""),1.0)</f>
        <v>1</v>
      </c>
      <c r="C1776" s="2">
        <f>IFERROR(__xludf.DUMMYFUNCTION("""COMPUTED_VALUE"""),371.0)</f>
        <v>371</v>
      </c>
      <c r="D1776" s="3">
        <f>IFERROR(__xludf.DUMMYFUNCTION("""COMPUTED_VALUE"""),122.0)</f>
        <v>122</v>
      </c>
      <c r="E1776" s="2"/>
      <c r="F1776" s="2"/>
    </row>
    <row r="1777">
      <c r="A1777" s="2">
        <f>IFERROR(__xludf.DUMMYFUNCTION("""COMPUTED_VALUE"""),80184.0)</f>
        <v>80184</v>
      </c>
      <c r="B1777" s="2">
        <f>IFERROR(__xludf.DUMMYFUNCTION("""COMPUTED_VALUE"""),1.0)</f>
        <v>1</v>
      </c>
      <c r="C1777" s="2">
        <f>IFERROR(__xludf.DUMMYFUNCTION("""COMPUTED_VALUE"""),428.0)</f>
        <v>428</v>
      </c>
      <c r="D1777" s="3">
        <f>IFERROR(__xludf.DUMMYFUNCTION("""COMPUTED_VALUE"""),150.0)</f>
        <v>150</v>
      </c>
      <c r="E1777" s="2"/>
      <c r="F1777" s="2"/>
    </row>
    <row r="1778">
      <c r="A1778" s="2">
        <f>IFERROR(__xludf.DUMMYFUNCTION("""COMPUTED_VALUE"""),107157.0)</f>
        <v>107157</v>
      </c>
      <c r="B1778" s="2">
        <f>IFERROR(__xludf.DUMMYFUNCTION("""COMPUTED_VALUE"""),0.0)</f>
        <v>0</v>
      </c>
      <c r="C1778" s="2">
        <f>IFERROR(__xludf.DUMMYFUNCTION("""COMPUTED_VALUE"""),592.0)</f>
        <v>592</v>
      </c>
      <c r="D1778" s="3">
        <f>IFERROR(__xludf.DUMMYFUNCTION("""COMPUTED_VALUE"""),569.0)</f>
        <v>569</v>
      </c>
      <c r="E1778" s="2"/>
      <c r="F1778" s="2"/>
    </row>
    <row r="1779">
      <c r="A1779" s="2">
        <f>IFERROR(__xludf.DUMMYFUNCTION("""COMPUTED_VALUE"""),118432.0)</f>
        <v>118432</v>
      </c>
      <c r="B1779" s="2">
        <f>IFERROR(__xludf.DUMMYFUNCTION("""COMPUTED_VALUE"""),0.0)</f>
        <v>0</v>
      </c>
      <c r="C1779" s="2">
        <f>IFERROR(__xludf.DUMMYFUNCTION("""COMPUTED_VALUE"""),787.0)</f>
        <v>787</v>
      </c>
      <c r="D1779" s="3">
        <f>IFERROR(__xludf.DUMMYFUNCTION("""COMPUTED_VALUE"""),377.0)</f>
        <v>377</v>
      </c>
      <c r="E1779" s="2"/>
      <c r="F1779" s="2"/>
    </row>
    <row r="1780">
      <c r="A1780" s="2">
        <f>IFERROR(__xludf.DUMMYFUNCTION("""COMPUTED_VALUE"""),86512.0)</f>
        <v>86512</v>
      </c>
      <c r="B1780" s="2">
        <f>IFERROR(__xludf.DUMMYFUNCTION("""COMPUTED_VALUE"""),1.0)</f>
        <v>1</v>
      </c>
      <c r="C1780" s="2">
        <f>IFERROR(__xludf.DUMMYFUNCTION("""COMPUTED_VALUE"""),763.0)</f>
        <v>763</v>
      </c>
      <c r="D1780" s="3">
        <f>IFERROR(__xludf.DUMMYFUNCTION("""COMPUTED_VALUE"""),539.0)</f>
        <v>539</v>
      </c>
      <c r="E1780" s="2"/>
      <c r="F1780" s="2"/>
    </row>
    <row r="1781">
      <c r="A1781" s="2">
        <f>IFERROR(__xludf.DUMMYFUNCTION("""COMPUTED_VALUE"""),118431.0)</f>
        <v>118431</v>
      </c>
      <c r="B1781" s="2">
        <f>IFERROR(__xludf.DUMMYFUNCTION("""COMPUTED_VALUE"""),1.0)</f>
        <v>1</v>
      </c>
      <c r="C1781" s="2">
        <f>IFERROR(__xludf.DUMMYFUNCTION("""COMPUTED_VALUE"""),863.0)</f>
        <v>863</v>
      </c>
      <c r="D1781" s="3">
        <f>IFERROR(__xludf.DUMMYFUNCTION("""COMPUTED_VALUE"""),240.0)</f>
        <v>240</v>
      </c>
      <c r="E1781" s="2"/>
      <c r="F1781" s="2"/>
    </row>
    <row r="1782">
      <c r="A1782" s="2">
        <f>IFERROR(__xludf.DUMMYFUNCTION("""COMPUTED_VALUE"""),80187.0)</f>
        <v>80187</v>
      </c>
      <c r="B1782" s="2">
        <f>IFERROR(__xludf.DUMMYFUNCTION("""COMPUTED_VALUE"""),1.0)</f>
        <v>1</v>
      </c>
      <c r="C1782" s="2">
        <f>IFERROR(__xludf.DUMMYFUNCTION("""COMPUTED_VALUE"""),24.0)</f>
        <v>24</v>
      </c>
      <c r="D1782" s="3">
        <f>IFERROR(__xludf.DUMMYFUNCTION("""COMPUTED_VALUE"""),21.0)</f>
        <v>21</v>
      </c>
      <c r="E1782" s="2"/>
      <c r="F1782" s="2"/>
    </row>
    <row r="1783">
      <c r="A1783" s="2">
        <f>IFERROR(__xludf.DUMMYFUNCTION("""COMPUTED_VALUE"""),107163.0)</f>
        <v>107163</v>
      </c>
      <c r="B1783" s="2">
        <f>IFERROR(__xludf.DUMMYFUNCTION("""COMPUTED_VALUE"""),0.0)</f>
        <v>0</v>
      </c>
      <c r="C1783" s="2">
        <f>IFERROR(__xludf.DUMMYFUNCTION("""COMPUTED_VALUE"""),674.0)</f>
        <v>674</v>
      </c>
      <c r="D1783" s="3">
        <f>IFERROR(__xludf.DUMMYFUNCTION("""COMPUTED_VALUE"""),66.0)</f>
        <v>66</v>
      </c>
      <c r="E1783" s="2"/>
      <c r="F1783" s="2"/>
    </row>
    <row r="1784">
      <c r="A1784" s="2">
        <f>IFERROR(__xludf.DUMMYFUNCTION("""COMPUTED_VALUE"""),108342.0)</f>
        <v>108342</v>
      </c>
      <c r="B1784" s="2">
        <f>IFERROR(__xludf.DUMMYFUNCTION("""COMPUTED_VALUE"""),1.0)</f>
        <v>1</v>
      </c>
      <c r="C1784" s="2">
        <f>IFERROR(__xludf.DUMMYFUNCTION("""COMPUTED_VALUE"""),902.0)</f>
        <v>902</v>
      </c>
      <c r="D1784" s="3">
        <f>IFERROR(__xludf.DUMMYFUNCTION("""COMPUTED_VALUE"""),169.0)</f>
        <v>169</v>
      </c>
      <c r="E1784" s="2"/>
      <c r="F1784" s="2"/>
    </row>
    <row r="1785">
      <c r="A1785" s="2">
        <f>IFERROR(__xludf.DUMMYFUNCTION("""COMPUTED_VALUE"""),20949.0)</f>
        <v>20949</v>
      </c>
      <c r="B1785" s="2">
        <f>IFERROR(__xludf.DUMMYFUNCTION("""COMPUTED_VALUE"""),0.0)</f>
        <v>0</v>
      </c>
      <c r="C1785" s="2">
        <f>IFERROR(__xludf.DUMMYFUNCTION("""COMPUTED_VALUE"""),297.0)</f>
        <v>297</v>
      </c>
      <c r="D1785" s="3">
        <f>IFERROR(__xludf.DUMMYFUNCTION("""COMPUTED_VALUE"""),97.0)</f>
        <v>97</v>
      </c>
      <c r="E1785" s="2"/>
      <c r="F1785" s="2"/>
    </row>
    <row r="1786">
      <c r="A1786" s="2">
        <f>IFERROR(__xludf.DUMMYFUNCTION("""COMPUTED_VALUE"""),118436.0)</f>
        <v>118436</v>
      </c>
      <c r="B1786" s="2">
        <f>IFERROR(__xludf.DUMMYFUNCTION("""COMPUTED_VALUE"""),1.0)</f>
        <v>1</v>
      </c>
      <c r="C1786" s="2">
        <f>IFERROR(__xludf.DUMMYFUNCTION("""COMPUTED_VALUE"""),527.0)</f>
        <v>527</v>
      </c>
      <c r="D1786" s="3">
        <f>IFERROR(__xludf.DUMMYFUNCTION("""COMPUTED_VALUE"""),108.0)</f>
        <v>108</v>
      </c>
      <c r="E1786" s="2"/>
      <c r="F1786" s="2"/>
    </row>
    <row r="1787">
      <c r="A1787" s="2">
        <f>IFERROR(__xludf.DUMMYFUNCTION("""COMPUTED_VALUE"""),113566.0)</f>
        <v>113566</v>
      </c>
      <c r="B1787" s="2">
        <f>IFERROR(__xludf.DUMMYFUNCTION("""COMPUTED_VALUE"""),0.0)</f>
        <v>0</v>
      </c>
      <c r="C1787" s="2">
        <f>IFERROR(__xludf.DUMMYFUNCTION("""COMPUTED_VALUE"""),781.0)</f>
        <v>781</v>
      </c>
      <c r="D1787" s="3">
        <f>IFERROR(__xludf.DUMMYFUNCTION("""COMPUTED_VALUE"""),223.0)</f>
        <v>223</v>
      </c>
      <c r="E1787" s="2"/>
      <c r="F1787" s="2"/>
    </row>
    <row r="1788">
      <c r="A1788" s="2">
        <f>IFERROR(__xludf.DUMMYFUNCTION("""COMPUTED_VALUE"""),113571.0)</f>
        <v>113571</v>
      </c>
      <c r="B1788" s="2">
        <f>IFERROR(__xludf.DUMMYFUNCTION("""COMPUTED_VALUE"""),1.0)</f>
        <v>1</v>
      </c>
      <c r="C1788" s="2">
        <f>IFERROR(__xludf.DUMMYFUNCTION("""COMPUTED_VALUE"""),768.0)</f>
        <v>768</v>
      </c>
      <c r="D1788" s="3">
        <f>IFERROR(__xludf.DUMMYFUNCTION("""COMPUTED_VALUE"""),595.0)</f>
        <v>595</v>
      </c>
      <c r="E1788" s="2"/>
      <c r="F1788" s="2"/>
    </row>
    <row r="1789">
      <c r="A1789" s="2">
        <f>IFERROR(__xludf.DUMMYFUNCTION("""COMPUTED_VALUE"""),107160.0)</f>
        <v>107160</v>
      </c>
      <c r="B1789" s="2">
        <f>IFERROR(__xludf.DUMMYFUNCTION("""COMPUTED_VALUE"""),0.0)</f>
        <v>0</v>
      </c>
      <c r="C1789" s="2">
        <f>IFERROR(__xludf.DUMMYFUNCTION("""COMPUTED_VALUE"""),296.0)</f>
        <v>296</v>
      </c>
      <c r="D1789" s="3">
        <f>IFERROR(__xludf.DUMMYFUNCTION("""COMPUTED_VALUE"""),32.0)</f>
        <v>32</v>
      </c>
      <c r="E1789" s="2"/>
      <c r="F1789" s="2"/>
    </row>
    <row r="1790">
      <c r="A1790" s="2">
        <f>IFERROR(__xludf.DUMMYFUNCTION("""COMPUTED_VALUE"""),44007.0)</f>
        <v>44007</v>
      </c>
      <c r="B1790" s="2">
        <f>IFERROR(__xludf.DUMMYFUNCTION("""COMPUTED_VALUE"""),1.0)</f>
        <v>1</v>
      </c>
      <c r="C1790" s="2">
        <f>IFERROR(__xludf.DUMMYFUNCTION("""COMPUTED_VALUE"""),339.0)</f>
        <v>339</v>
      </c>
      <c r="D1790" s="3">
        <f>IFERROR(__xludf.DUMMYFUNCTION("""COMPUTED_VALUE"""),20.0)</f>
        <v>20</v>
      </c>
      <c r="E1790" s="2"/>
      <c r="F1790" s="2"/>
    </row>
    <row r="1791">
      <c r="A1791" s="2">
        <f>IFERROR(__xludf.DUMMYFUNCTION("""COMPUTED_VALUE"""),69453.0)</f>
        <v>69453</v>
      </c>
      <c r="B1791" s="2">
        <f>IFERROR(__xludf.DUMMYFUNCTION("""COMPUTED_VALUE"""),0.0)</f>
        <v>0</v>
      </c>
      <c r="C1791" s="2">
        <f>IFERROR(__xludf.DUMMYFUNCTION("""COMPUTED_VALUE"""),405.0)</f>
        <v>405</v>
      </c>
      <c r="D1791" s="3">
        <f>IFERROR(__xludf.DUMMYFUNCTION("""COMPUTED_VALUE"""),73.0)</f>
        <v>73</v>
      </c>
      <c r="E1791" s="2"/>
      <c r="F1791" s="2"/>
    </row>
    <row r="1792">
      <c r="A1792" s="2">
        <f>IFERROR(__xludf.DUMMYFUNCTION("""COMPUTED_VALUE"""),122690.0)</f>
        <v>122690</v>
      </c>
      <c r="B1792" s="2">
        <f>IFERROR(__xludf.DUMMYFUNCTION("""COMPUTED_VALUE"""),1.0)</f>
        <v>1</v>
      </c>
      <c r="C1792" s="2">
        <f>IFERROR(__xludf.DUMMYFUNCTION("""COMPUTED_VALUE"""),620.0)</f>
        <v>620</v>
      </c>
      <c r="D1792" s="3">
        <f>IFERROR(__xludf.DUMMYFUNCTION("""COMPUTED_VALUE"""),310.0)</f>
        <v>310</v>
      </c>
      <c r="E1792" s="2"/>
      <c r="F1792" s="2"/>
    </row>
    <row r="1793">
      <c r="A1793" s="2">
        <f>IFERROR(__xludf.DUMMYFUNCTION("""COMPUTED_VALUE"""),117243.0)</f>
        <v>117243</v>
      </c>
      <c r="B1793" s="2">
        <f>IFERROR(__xludf.DUMMYFUNCTION("""COMPUTED_VALUE"""),0.0)</f>
        <v>0</v>
      </c>
      <c r="C1793" s="2">
        <f>IFERROR(__xludf.DUMMYFUNCTION("""COMPUTED_VALUE"""),554.0)</f>
        <v>554</v>
      </c>
      <c r="D1793" s="3">
        <f>IFERROR(__xludf.DUMMYFUNCTION("""COMPUTED_VALUE"""),498.0)</f>
        <v>498</v>
      </c>
      <c r="E1793" s="2"/>
      <c r="F1793" s="2"/>
    </row>
    <row r="1794">
      <c r="A1794" s="2">
        <f>IFERROR(__xludf.DUMMYFUNCTION("""COMPUTED_VALUE"""),71988.0)</f>
        <v>71988</v>
      </c>
      <c r="B1794" s="2">
        <f>IFERROR(__xludf.DUMMYFUNCTION("""COMPUTED_VALUE"""),1.0)</f>
        <v>1</v>
      </c>
      <c r="C1794" s="2">
        <f>IFERROR(__xludf.DUMMYFUNCTION("""COMPUTED_VALUE"""),617.0)</f>
        <v>617</v>
      </c>
      <c r="D1794" s="3">
        <f>IFERROR(__xludf.DUMMYFUNCTION("""COMPUTED_VALUE"""),193.0)</f>
        <v>193</v>
      </c>
      <c r="E1794" s="2"/>
      <c r="F1794" s="2"/>
    </row>
    <row r="1795">
      <c r="A1795" s="2">
        <f>IFERROR(__xludf.DUMMYFUNCTION("""COMPUTED_VALUE"""),111582.0)</f>
        <v>111582</v>
      </c>
      <c r="B1795" s="2">
        <f>IFERROR(__xludf.DUMMYFUNCTION("""COMPUTED_VALUE"""),0.0)</f>
        <v>0</v>
      </c>
      <c r="C1795" s="2">
        <f>IFERROR(__xludf.DUMMYFUNCTION("""COMPUTED_VALUE"""),650.0)</f>
        <v>650</v>
      </c>
      <c r="D1795" s="3">
        <f>IFERROR(__xludf.DUMMYFUNCTION("""COMPUTED_VALUE"""),128.0)</f>
        <v>128</v>
      </c>
      <c r="E1795" s="2"/>
      <c r="F1795" s="2"/>
    </row>
    <row r="1796">
      <c r="A1796" s="2">
        <f>IFERROR(__xludf.DUMMYFUNCTION("""COMPUTED_VALUE"""),77235.0)</f>
        <v>77235</v>
      </c>
      <c r="B1796" s="2">
        <f>IFERROR(__xludf.DUMMYFUNCTION("""COMPUTED_VALUE"""),1.0)</f>
        <v>1</v>
      </c>
      <c r="C1796" s="2">
        <f>IFERROR(__xludf.DUMMYFUNCTION("""COMPUTED_VALUE"""),293.0)</f>
        <v>293</v>
      </c>
      <c r="D1796" s="3">
        <f>IFERROR(__xludf.DUMMYFUNCTION("""COMPUTED_VALUE"""),64.0)</f>
        <v>64</v>
      </c>
      <c r="E1796" s="2"/>
      <c r="F1796" s="2"/>
    </row>
    <row r="1797">
      <c r="A1797" s="2">
        <f>IFERROR(__xludf.DUMMYFUNCTION("""COMPUTED_VALUE"""),105272.0)</f>
        <v>105272</v>
      </c>
      <c r="B1797" s="2">
        <f>IFERROR(__xludf.DUMMYFUNCTION("""COMPUTED_VALUE"""),0.0)</f>
        <v>0</v>
      </c>
      <c r="C1797" s="2">
        <f>IFERROR(__xludf.DUMMYFUNCTION("""COMPUTED_VALUE"""),453.0)</f>
        <v>453</v>
      </c>
      <c r="D1797" s="3">
        <f>IFERROR(__xludf.DUMMYFUNCTION("""COMPUTED_VALUE"""),204.0)</f>
        <v>204</v>
      </c>
      <c r="E1797" s="2"/>
      <c r="F1797" s="2"/>
    </row>
    <row r="1798">
      <c r="A1798" s="2">
        <f>IFERROR(__xludf.DUMMYFUNCTION("""COMPUTED_VALUE"""),120809.0)</f>
        <v>120809</v>
      </c>
      <c r="B1798" s="2">
        <f>IFERROR(__xludf.DUMMYFUNCTION("""COMPUTED_VALUE"""),1.0)</f>
        <v>1</v>
      </c>
      <c r="C1798" s="2">
        <f>IFERROR(__xludf.DUMMYFUNCTION("""COMPUTED_VALUE"""),174.0)</f>
        <v>174</v>
      </c>
      <c r="D1798" s="3">
        <f>IFERROR(__xludf.DUMMYFUNCTION("""COMPUTED_VALUE"""),120.0)</f>
        <v>120</v>
      </c>
      <c r="E1798" s="2"/>
      <c r="F1798" s="2"/>
    </row>
    <row r="1799">
      <c r="A1799" s="2">
        <f>IFERROR(__xludf.DUMMYFUNCTION("""COMPUTED_VALUE"""),10651.0)</f>
        <v>10651</v>
      </c>
      <c r="B1799" s="2">
        <f>IFERROR(__xludf.DUMMYFUNCTION("""COMPUTED_VALUE"""),1.0)</f>
        <v>1</v>
      </c>
      <c r="C1799" s="2">
        <f>IFERROR(__xludf.DUMMYFUNCTION("""COMPUTED_VALUE"""),355.0)</f>
        <v>355</v>
      </c>
      <c r="D1799" s="3">
        <f>IFERROR(__xludf.DUMMYFUNCTION("""COMPUTED_VALUE"""),218.0)</f>
        <v>218</v>
      </c>
      <c r="E1799" s="2"/>
      <c r="F1799" s="2"/>
    </row>
    <row r="1800">
      <c r="A1800" s="2">
        <f>IFERROR(__xludf.DUMMYFUNCTION("""COMPUTED_VALUE"""),10657.0)</f>
        <v>10657</v>
      </c>
      <c r="B1800" s="2">
        <f>IFERROR(__xludf.DUMMYFUNCTION("""COMPUTED_VALUE"""),1.0)</f>
        <v>1</v>
      </c>
      <c r="C1800" s="2">
        <f>IFERROR(__xludf.DUMMYFUNCTION("""COMPUTED_VALUE"""),265.0)</f>
        <v>265</v>
      </c>
      <c r="D1800" s="3">
        <f>IFERROR(__xludf.DUMMYFUNCTION("""COMPUTED_VALUE"""),244.0)</f>
        <v>244</v>
      </c>
      <c r="E1800" s="2"/>
      <c r="F1800" s="2"/>
    </row>
    <row r="1801">
      <c r="A1801" s="2">
        <f>IFERROR(__xludf.DUMMYFUNCTION("""COMPUTED_VALUE"""),9132.0)</f>
        <v>9132</v>
      </c>
      <c r="B1801" s="2">
        <f>IFERROR(__xludf.DUMMYFUNCTION("""COMPUTED_VALUE"""),1.0)</f>
        <v>1</v>
      </c>
      <c r="C1801" s="2">
        <f>IFERROR(__xludf.DUMMYFUNCTION("""COMPUTED_VALUE"""),26.0)</f>
        <v>26</v>
      </c>
      <c r="D1801" s="3">
        <f>IFERROR(__xludf.DUMMYFUNCTION("""COMPUTED_VALUE"""),8.0)</f>
        <v>8</v>
      </c>
      <c r="E1801" s="2"/>
      <c r="F1801" s="2"/>
    </row>
    <row r="1802">
      <c r="A1802" s="2">
        <f>IFERROR(__xludf.DUMMYFUNCTION("""COMPUTED_VALUE"""),197151.0)</f>
        <v>197151</v>
      </c>
      <c r="B1802" s="2">
        <f>IFERROR(__xludf.DUMMYFUNCTION("""COMPUTED_VALUE"""),1.0)</f>
        <v>1</v>
      </c>
      <c r="C1802" s="2">
        <f>IFERROR(__xludf.DUMMYFUNCTION("""COMPUTED_VALUE"""),836.0)</f>
        <v>836</v>
      </c>
      <c r="D1802" s="3">
        <f>IFERROR(__xludf.DUMMYFUNCTION("""COMPUTED_VALUE"""),416.0)</f>
        <v>416</v>
      </c>
      <c r="E1802" s="2"/>
      <c r="F1802" s="2"/>
    </row>
    <row r="1803">
      <c r="A1803" s="2">
        <f>IFERROR(__xludf.DUMMYFUNCTION("""COMPUTED_VALUE"""),73386.0)</f>
        <v>73386</v>
      </c>
      <c r="B1803" s="2">
        <f>IFERROR(__xludf.DUMMYFUNCTION("""COMPUTED_VALUE"""),1.0)</f>
        <v>1</v>
      </c>
      <c r="C1803" s="2">
        <f>IFERROR(__xludf.DUMMYFUNCTION("""COMPUTED_VALUE"""),499.0)</f>
        <v>499</v>
      </c>
      <c r="D1803" s="3">
        <f>IFERROR(__xludf.DUMMYFUNCTION("""COMPUTED_VALUE"""),212.0)</f>
        <v>212</v>
      </c>
      <c r="E1803" s="2"/>
      <c r="F1803" s="2"/>
    </row>
    <row r="1804">
      <c r="A1804" s="2">
        <f>IFERROR(__xludf.DUMMYFUNCTION("""COMPUTED_VALUE"""),121604.0)</f>
        <v>121604</v>
      </c>
      <c r="B1804" s="2">
        <f>IFERROR(__xludf.DUMMYFUNCTION("""COMPUTED_VALUE"""),1.0)</f>
        <v>1</v>
      </c>
      <c r="C1804" s="2">
        <f>IFERROR(__xludf.DUMMYFUNCTION("""COMPUTED_VALUE"""),695.0)</f>
        <v>695</v>
      </c>
      <c r="D1804" s="3">
        <f>IFERROR(__xludf.DUMMYFUNCTION("""COMPUTED_VALUE"""),103.0)</f>
        <v>103</v>
      </c>
      <c r="E1804" s="2"/>
      <c r="F1804" s="2"/>
    </row>
    <row r="1805">
      <c r="A1805" s="2">
        <f>IFERROR(__xludf.DUMMYFUNCTION("""COMPUTED_VALUE"""),89533.0)</f>
        <v>89533</v>
      </c>
      <c r="B1805" s="2">
        <f>IFERROR(__xludf.DUMMYFUNCTION("""COMPUTED_VALUE"""),1.0)</f>
        <v>1</v>
      </c>
      <c r="C1805" s="2">
        <f>IFERROR(__xludf.DUMMYFUNCTION("""COMPUTED_VALUE"""),427.0)</f>
        <v>427</v>
      </c>
      <c r="D1805" s="3">
        <f>IFERROR(__xludf.DUMMYFUNCTION("""COMPUTED_VALUE"""),132.0)</f>
        <v>132</v>
      </c>
      <c r="E1805" s="2"/>
      <c r="F1805" s="2"/>
    </row>
    <row r="1806">
      <c r="A1806" s="2">
        <f>IFERROR(__xludf.DUMMYFUNCTION("""COMPUTED_VALUE"""),73381.0)</f>
        <v>73381</v>
      </c>
      <c r="B1806" s="2">
        <f>IFERROR(__xludf.DUMMYFUNCTION("""COMPUTED_VALUE"""),1.0)</f>
        <v>1</v>
      </c>
      <c r="C1806" s="2">
        <f>IFERROR(__xludf.DUMMYFUNCTION("""COMPUTED_VALUE"""),449.0)</f>
        <v>449</v>
      </c>
      <c r="D1806" s="3">
        <f>IFERROR(__xludf.DUMMYFUNCTION("""COMPUTED_VALUE"""),209.0)</f>
        <v>209</v>
      </c>
      <c r="E1806" s="2"/>
      <c r="F1806" s="2"/>
    </row>
    <row r="1807">
      <c r="A1807" s="2">
        <f>IFERROR(__xludf.DUMMYFUNCTION("""COMPUTED_VALUE"""),26096.0)</f>
        <v>26096</v>
      </c>
      <c r="B1807" s="2">
        <f>IFERROR(__xludf.DUMMYFUNCTION("""COMPUTED_VALUE"""),0.0)</f>
        <v>0</v>
      </c>
      <c r="C1807" s="2">
        <f>IFERROR(__xludf.DUMMYFUNCTION("""COMPUTED_VALUE"""),620.0)</f>
        <v>620</v>
      </c>
      <c r="D1807" s="3">
        <f>IFERROR(__xludf.DUMMYFUNCTION("""COMPUTED_VALUE"""),437.0)</f>
        <v>437</v>
      </c>
      <c r="E1807" s="2"/>
      <c r="F1807" s="2"/>
    </row>
    <row r="1808">
      <c r="A1808" s="2">
        <f>IFERROR(__xludf.DUMMYFUNCTION("""COMPUTED_VALUE"""),119050.0)</f>
        <v>119050</v>
      </c>
      <c r="B1808" s="2">
        <f>IFERROR(__xludf.DUMMYFUNCTION("""COMPUTED_VALUE"""),0.0)</f>
        <v>0</v>
      </c>
      <c r="C1808" s="2">
        <f>IFERROR(__xludf.DUMMYFUNCTION("""COMPUTED_VALUE"""),788.0)</f>
        <v>788</v>
      </c>
      <c r="D1808" s="3">
        <f>IFERROR(__xludf.DUMMYFUNCTION("""COMPUTED_VALUE"""),182.0)</f>
        <v>182</v>
      </c>
      <c r="E1808" s="2"/>
      <c r="F1808" s="2"/>
    </row>
    <row r="1809">
      <c r="A1809" s="2">
        <f>IFERROR(__xludf.DUMMYFUNCTION("""COMPUTED_VALUE"""),44028.0)</f>
        <v>44028</v>
      </c>
      <c r="B1809" s="2">
        <f>IFERROR(__xludf.DUMMYFUNCTION("""COMPUTED_VALUE"""),1.0)</f>
        <v>1</v>
      </c>
      <c r="C1809" s="2">
        <f>IFERROR(__xludf.DUMMYFUNCTION("""COMPUTED_VALUE"""),813.0)</f>
        <v>813</v>
      </c>
      <c r="D1809" s="3">
        <f>IFERROR(__xludf.DUMMYFUNCTION("""COMPUTED_VALUE"""),494.0)</f>
        <v>494</v>
      </c>
      <c r="E1809" s="2"/>
      <c r="F1809" s="2"/>
    </row>
    <row r="1810">
      <c r="A1810" s="2">
        <f>IFERROR(__xludf.DUMMYFUNCTION("""COMPUTED_VALUE"""),73572.0)</f>
        <v>73572</v>
      </c>
      <c r="B1810" s="2">
        <f>IFERROR(__xludf.DUMMYFUNCTION("""COMPUTED_VALUE"""),0.0)</f>
        <v>0</v>
      </c>
      <c r="C1810" s="2">
        <f>IFERROR(__xludf.DUMMYFUNCTION("""COMPUTED_VALUE"""),768.0)</f>
        <v>768</v>
      </c>
      <c r="D1810" s="3">
        <f>IFERROR(__xludf.DUMMYFUNCTION("""COMPUTED_VALUE"""),361.0)</f>
        <v>361</v>
      </c>
      <c r="E1810" s="2"/>
      <c r="F1810" s="2"/>
    </row>
    <row r="1811">
      <c r="A1811" s="2">
        <f>IFERROR(__xludf.DUMMYFUNCTION("""COMPUTED_VALUE"""),83083.0)</f>
        <v>83083</v>
      </c>
      <c r="B1811" s="2">
        <f>IFERROR(__xludf.DUMMYFUNCTION("""COMPUTED_VALUE"""),0.0)</f>
        <v>0</v>
      </c>
      <c r="C1811" s="2">
        <f>IFERROR(__xludf.DUMMYFUNCTION("""COMPUTED_VALUE"""),482.0)</f>
        <v>482</v>
      </c>
      <c r="D1811" s="3">
        <f>IFERROR(__xludf.DUMMYFUNCTION("""COMPUTED_VALUE"""),328.0)</f>
        <v>328</v>
      </c>
      <c r="E1811" s="2"/>
      <c r="F1811" s="2"/>
    </row>
    <row r="1812">
      <c r="A1812" s="2">
        <f>IFERROR(__xludf.DUMMYFUNCTION("""COMPUTED_VALUE"""),13338.0)</f>
        <v>13338</v>
      </c>
      <c r="B1812" s="2">
        <f>IFERROR(__xludf.DUMMYFUNCTION("""COMPUTED_VALUE"""),1.0)</f>
        <v>1</v>
      </c>
      <c r="C1812" s="2">
        <f>IFERROR(__xludf.DUMMYFUNCTION("""COMPUTED_VALUE"""),475.0)</f>
        <v>475</v>
      </c>
      <c r="D1812" s="3">
        <f>IFERROR(__xludf.DUMMYFUNCTION("""COMPUTED_VALUE"""),262.0)</f>
        <v>262</v>
      </c>
      <c r="E1812" s="2"/>
      <c r="F1812" s="2"/>
    </row>
    <row r="1813">
      <c r="A1813" s="2">
        <f>IFERROR(__xludf.DUMMYFUNCTION("""COMPUTED_VALUE"""),83418.0)</f>
        <v>83418</v>
      </c>
      <c r="B1813" s="2">
        <f>IFERROR(__xludf.DUMMYFUNCTION("""COMPUTED_VALUE"""),1.0)</f>
        <v>1</v>
      </c>
      <c r="C1813" s="2">
        <f>IFERROR(__xludf.DUMMYFUNCTION("""COMPUTED_VALUE"""),486.0)</f>
        <v>486</v>
      </c>
      <c r="D1813" s="3">
        <f>IFERROR(__xludf.DUMMYFUNCTION("""COMPUTED_VALUE"""),386.0)</f>
        <v>386</v>
      </c>
      <c r="E1813" s="2"/>
      <c r="F1813" s="2"/>
    </row>
    <row r="1814">
      <c r="A1814" s="2">
        <f>IFERROR(__xludf.DUMMYFUNCTION("""COMPUTED_VALUE"""),68640.0)</f>
        <v>68640</v>
      </c>
      <c r="B1814" s="2">
        <f>IFERROR(__xludf.DUMMYFUNCTION("""COMPUTED_VALUE"""),0.0)</f>
        <v>0</v>
      </c>
      <c r="C1814" s="2">
        <f>IFERROR(__xludf.DUMMYFUNCTION("""COMPUTED_VALUE"""),943.0)</f>
        <v>943</v>
      </c>
      <c r="D1814" s="3">
        <f>IFERROR(__xludf.DUMMYFUNCTION("""COMPUTED_VALUE"""),167.0)</f>
        <v>167</v>
      </c>
      <c r="E1814" s="2"/>
      <c r="F1814" s="2"/>
    </row>
    <row r="1815">
      <c r="A1815" s="2">
        <f>IFERROR(__xludf.DUMMYFUNCTION("""COMPUTED_VALUE"""),10647.0)</f>
        <v>10647</v>
      </c>
      <c r="B1815" s="2">
        <f>IFERROR(__xludf.DUMMYFUNCTION("""COMPUTED_VALUE"""),1.0)</f>
        <v>1</v>
      </c>
      <c r="C1815" s="2">
        <f>IFERROR(__xludf.DUMMYFUNCTION("""COMPUTED_VALUE"""),462.0)</f>
        <v>462</v>
      </c>
      <c r="D1815" s="3">
        <f>IFERROR(__xludf.DUMMYFUNCTION("""COMPUTED_VALUE"""),387.0)</f>
        <v>387</v>
      </c>
      <c r="E1815" s="2"/>
      <c r="F1815" s="2"/>
    </row>
    <row r="1816">
      <c r="A1816" s="2">
        <f>IFERROR(__xludf.DUMMYFUNCTION("""COMPUTED_VALUE"""),85884.0)</f>
        <v>85884</v>
      </c>
      <c r="B1816" s="2">
        <f>IFERROR(__xludf.DUMMYFUNCTION("""COMPUTED_VALUE"""),0.0)</f>
        <v>0</v>
      </c>
      <c r="C1816" s="2">
        <f>IFERROR(__xludf.DUMMYFUNCTION("""COMPUTED_VALUE"""),865.0)</f>
        <v>865</v>
      </c>
      <c r="D1816" s="3">
        <f>IFERROR(__xludf.DUMMYFUNCTION("""COMPUTED_VALUE"""),494.0)</f>
        <v>494</v>
      </c>
      <c r="E1816" s="2"/>
      <c r="F1816" s="2"/>
    </row>
    <row r="1817">
      <c r="A1817" s="2">
        <f>IFERROR(__xludf.DUMMYFUNCTION("""COMPUTED_VALUE"""),113933.0)</f>
        <v>113933</v>
      </c>
      <c r="B1817" s="2">
        <f>IFERROR(__xludf.DUMMYFUNCTION("""COMPUTED_VALUE"""),0.0)</f>
        <v>0</v>
      </c>
      <c r="C1817" s="2">
        <f>IFERROR(__xludf.DUMMYFUNCTION("""COMPUTED_VALUE"""),809.0)</f>
        <v>809</v>
      </c>
      <c r="D1817" s="3">
        <f>IFERROR(__xludf.DUMMYFUNCTION("""COMPUTED_VALUE"""),41.0)</f>
        <v>41</v>
      </c>
      <c r="E1817" s="2"/>
      <c r="F1817" s="2"/>
    </row>
    <row r="1818">
      <c r="A1818" s="2">
        <f>IFERROR(__xludf.DUMMYFUNCTION("""COMPUTED_VALUE"""),188843.0)</f>
        <v>188843</v>
      </c>
      <c r="B1818" s="2">
        <f>IFERROR(__xludf.DUMMYFUNCTION("""COMPUTED_VALUE"""),1.0)</f>
        <v>1</v>
      </c>
      <c r="C1818" s="2">
        <f>IFERROR(__xludf.DUMMYFUNCTION("""COMPUTED_VALUE"""),375.0)</f>
        <v>375</v>
      </c>
      <c r="D1818" s="3">
        <f>IFERROR(__xludf.DUMMYFUNCTION("""COMPUTED_VALUE"""),106.0)</f>
        <v>106</v>
      </c>
      <c r="E1818" s="2"/>
      <c r="F1818" s="2"/>
    </row>
    <row r="1819">
      <c r="A1819" s="2">
        <f>IFERROR(__xludf.DUMMYFUNCTION("""COMPUTED_VALUE"""),13342.0)</f>
        <v>13342</v>
      </c>
      <c r="B1819" s="2">
        <f>IFERROR(__xludf.DUMMYFUNCTION("""COMPUTED_VALUE"""),0.0)</f>
        <v>0</v>
      </c>
      <c r="C1819" s="2">
        <f>IFERROR(__xludf.DUMMYFUNCTION("""COMPUTED_VALUE"""),857.0)</f>
        <v>857</v>
      </c>
      <c r="D1819" s="3">
        <f>IFERROR(__xludf.DUMMYFUNCTION("""COMPUTED_VALUE"""),14.0)</f>
        <v>14</v>
      </c>
      <c r="E1819" s="2"/>
      <c r="F1819" s="2"/>
    </row>
    <row r="1820">
      <c r="A1820" s="2">
        <f>IFERROR(__xludf.DUMMYFUNCTION("""COMPUTED_VALUE"""),83002.0)</f>
        <v>83002</v>
      </c>
      <c r="B1820" s="2">
        <f>IFERROR(__xludf.DUMMYFUNCTION("""COMPUTED_VALUE"""),0.0)</f>
        <v>0</v>
      </c>
      <c r="C1820" s="2">
        <f>IFERROR(__xludf.DUMMYFUNCTION("""COMPUTED_VALUE"""),571.0)</f>
        <v>571</v>
      </c>
      <c r="D1820" s="3">
        <f>IFERROR(__xludf.DUMMYFUNCTION("""COMPUTED_VALUE"""),142.0)</f>
        <v>142</v>
      </c>
      <c r="E1820" s="2"/>
      <c r="F1820" s="2"/>
    </row>
    <row r="1821">
      <c r="A1821" s="2">
        <f>IFERROR(__xludf.DUMMYFUNCTION("""COMPUTED_VALUE"""),112860.0)</f>
        <v>112860</v>
      </c>
      <c r="B1821" s="2">
        <f>IFERROR(__xludf.DUMMYFUNCTION("""COMPUTED_VALUE"""),1.0)</f>
        <v>1</v>
      </c>
      <c r="C1821" s="2">
        <f>IFERROR(__xludf.DUMMYFUNCTION("""COMPUTED_VALUE"""),381.0)</f>
        <v>381</v>
      </c>
      <c r="D1821" s="3">
        <f>IFERROR(__xludf.DUMMYFUNCTION("""COMPUTED_VALUE"""),179.0)</f>
        <v>179</v>
      </c>
      <c r="E1821" s="2"/>
      <c r="F1821" s="2"/>
    </row>
    <row r="1822">
      <c r="A1822" s="2">
        <f>IFERROR(__xludf.DUMMYFUNCTION("""COMPUTED_VALUE"""),118374.0)</f>
        <v>118374</v>
      </c>
      <c r="B1822" s="2">
        <f>IFERROR(__xludf.DUMMYFUNCTION("""COMPUTED_VALUE"""),1.0)</f>
        <v>1</v>
      </c>
      <c r="C1822" s="2">
        <f>IFERROR(__xludf.DUMMYFUNCTION("""COMPUTED_VALUE"""),517.0)</f>
        <v>517</v>
      </c>
      <c r="D1822" s="3">
        <f>IFERROR(__xludf.DUMMYFUNCTION("""COMPUTED_VALUE"""),339.0)</f>
        <v>339</v>
      </c>
      <c r="E1822" s="2"/>
      <c r="F1822" s="2"/>
    </row>
    <row r="1823">
      <c r="A1823" s="2">
        <f>IFERROR(__xludf.DUMMYFUNCTION("""COMPUTED_VALUE"""),119049.0)</f>
        <v>119049</v>
      </c>
      <c r="B1823" s="2">
        <f>IFERROR(__xludf.DUMMYFUNCTION("""COMPUTED_VALUE"""),0.0)</f>
        <v>0</v>
      </c>
      <c r="C1823" s="2">
        <f>IFERROR(__xludf.DUMMYFUNCTION("""COMPUTED_VALUE"""),633.0)</f>
        <v>633</v>
      </c>
      <c r="D1823" s="3">
        <f>IFERROR(__xludf.DUMMYFUNCTION("""COMPUTED_VALUE"""),310.0)</f>
        <v>310</v>
      </c>
      <c r="E1823" s="2"/>
      <c r="F1823" s="2"/>
    </row>
    <row r="1824">
      <c r="A1824" s="2">
        <f>IFERROR(__xludf.DUMMYFUNCTION("""COMPUTED_VALUE"""),120964.0)</f>
        <v>120964</v>
      </c>
      <c r="B1824" s="2">
        <f>IFERROR(__xludf.DUMMYFUNCTION("""COMPUTED_VALUE"""),1.0)</f>
        <v>1</v>
      </c>
      <c r="C1824" s="2">
        <f>IFERROR(__xludf.DUMMYFUNCTION("""COMPUTED_VALUE"""),406.0)</f>
        <v>406</v>
      </c>
      <c r="D1824" s="3">
        <f>IFERROR(__xludf.DUMMYFUNCTION("""COMPUTED_VALUE"""),61.0)</f>
        <v>61</v>
      </c>
      <c r="E1824" s="2"/>
      <c r="F1824" s="2"/>
    </row>
    <row r="1825">
      <c r="A1825" s="2">
        <f>IFERROR(__xludf.DUMMYFUNCTION("""COMPUTED_VALUE"""),26093.0)</f>
        <v>26093</v>
      </c>
      <c r="B1825" s="2">
        <f>IFERROR(__xludf.DUMMYFUNCTION("""COMPUTED_VALUE"""),0.0)</f>
        <v>0</v>
      </c>
      <c r="C1825" s="2">
        <f>IFERROR(__xludf.DUMMYFUNCTION("""COMPUTED_VALUE"""),113.0)</f>
        <v>113</v>
      </c>
      <c r="D1825" s="3">
        <f>IFERROR(__xludf.DUMMYFUNCTION("""COMPUTED_VALUE"""),76.0)</f>
        <v>76</v>
      </c>
      <c r="E1825" s="2"/>
      <c r="F1825" s="2"/>
    </row>
    <row r="1826">
      <c r="A1826" s="2">
        <f>IFERROR(__xludf.DUMMYFUNCTION("""COMPUTED_VALUE"""),99311.0)</f>
        <v>99311</v>
      </c>
      <c r="B1826" s="2">
        <f>IFERROR(__xludf.DUMMYFUNCTION("""COMPUTED_VALUE"""),1.0)</f>
        <v>1</v>
      </c>
      <c r="C1826" s="2">
        <f>IFERROR(__xludf.DUMMYFUNCTION("""COMPUTED_VALUE"""),213.0)</f>
        <v>213</v>
      </c>
      <c r="D1826" s="3">
        <f>IFERROR(__xludf.DUMMYFUNCTION("""COMPUTED_VALUE"""),125.0)</f>
        <v>125</v>
      </c>
      <c r="E1826" s="2"/>
      <c r="F1826" s="2"/>
    </row>
    <row r="1827">
      <c r="A1827" s="2">
        <f>IFERROR(__xludf.DUMMYFUNCTION("""COMPUTED_VALUE"""),9131.0)</f>
        <v>9131</v>
      </c>
      <c r="B1827" s="2">
        <f>IFERROR(__xludf.DUMMYFUNCTION("""COMPUTED_VALUE"""),1.0)</f>
        <v>1</v>
      </c>
      <c r="C1827" s="2">
        <f>IFERROR(__xludf.DUMMYFUNCTION("""COMPUTED_VALUE"""),687.0)</f>
        <v>687</v>
      </c>
      <c r="D1827" s="3">
        <f>IFERROR(__xludf.DUMMYFUNCTION("""COMPUTED_VALUE"""),300.0)</f>
        <v>300</v>
      </c>
      <c r="E1827" s="2"/>
      <c r="F1827" s="2"/>
    </row>
    <row r="1828">
      <c r="A1828" s="2">
        <f>IFERROR(__xludf.DUMMYFUNCTION("""COMPUTED_VALUE"""),122167.0)</f>
        <v>122167</v>
      </c>
      <c r="B1828" s="2">
        <f>IFERROR(__xludf.DUMMYFUNCTION("""COMPUTED_VALUE"""),1.0)</f>
        <v>1</v>
      </c>
      <c r="C1828" s="2">
        <f>IFERROR(__xludf.DUMMYFUNCTION("""COMPUTED_VALUE"""),840.0)</f>
        <v>840</v>
      </c>
      <c r="D1828" s="3">
        <f>IFERROR(__xludf.DUMMYFUNCTION("""COMPUTED_VALUE"""),733.0)</f>
        <v>733</v>
      </c>
      <c r="E1828" s="2"/>
      <c r="F1828" s="2"/>
    </row>
    <row r="1829">
      <c r="A1829" s="2">
        <f>IFERROR(__xludf.DUMMYFUNCTION("""COMPUTED_VALUE"""),10649.0)</f>
        <v>10649</v>
      </c>
      <c r="B1829" s="2">
        <f>IFERROR(__xludf.DUMMYFUNCTION("""COMPUTED_VALUE"""),1.0)</f>
        <v>1</v>
      </c>
      <c r="C1829" s="2">
        <f>IFERROR(__xludf.DUMMYFUNCTION("""COMPUTED_VALUE"""),739.0)</f>
        <v>739</v>
      </c>
      <c r="D1829" s="3">
        <f>IFERROR(__xludf.DUMMYFUNCTION("""COMPUTED_VALUE"""),737.0)</f>
        <v>737</v>
      </c>
      <c r="E1829" s="2"/>
      <c r="F1829" s="2"/>
    </row>
    <row r="1830">
      <c r="A1830" s="2">
        <f>IFERROR(__xludf.DUMMYFUNCTION("""COMPUTED_VALUE"""),85875.0)</f>
        <v>85875</v>
      </c>
      <c r="B1830" s="2">
        <f>IFERROR(__xludf.DUMMYFUNCTION("""COMPUTED_VALUE"""),1.0)</f>
        <v>1</v>
      </c>
      <c r="C1830" s="2">
        <f>IFERROR(__xludf.DUMMYFUNCTION("""COMPUTED_VALUE"""),504.0)</f>
        <v>504</v>
      </c>
      <c r="D1830" s="3">
        <f>IFERROR(__xludf.DUMMYFUNCTION("""COMPUTED_VALUE"""),185.0)</f>
        <v>185</v>
      </c>
      <c r="E1830" s="2"/>
      <c r="F1830" s="2"/>
    </row>
    <row r="1831">
      <c r="A1831" s="2">
        <f>IFERROR(__xludf.DUMMYFUNCTION("""COMPUTED_VALUE"""),9136.0)</f>
        <v>9136</v>
      </c>
      <c r="B1831" s="2">
        <f>IFERROR(__xludf.DUMMYFUNCTION("""COMPUTED_VALUE"""),1.0)</f>
        <v>1</v>
      </c>
      <c r="C1831" s="2">
        <f>IFERROR(__xludf.DUMMYFUNCTION("""COMPUTED_VALUE"""),589.0)</f>
        <v>589</v>
      </c>
      <c r="D1831" s="3">
        <f>IFERROR(__xludf.DUMMYFUNCTION("""COMPUTED_VALUE"""),14.0)</f>
        <v>14</v>
      </c>
      <c r="E1831" s="2"/>
      <c r="F1831" s="2"/>
    </row>
    <row r="1832">
      <c r="A1832" s="2">
        <f>IFERROR(__xludf.DUMMYFUNCTION("""COMPUTED_VALUE"""),121835.0)</f>
        <v>121835</v>
      </c>
      <c r="B1832" s="2">
        <f>IFERROR(__xludf.DUMMYFUNCTION("""COMPUTED_VALUE"""),1.0)</f>
        <v>1</v>
      </c>
      <c r="C1832" s="2">
        <f>IFERROR(__xludf.DUMMYFUNCTION("""COMPUTED_VALUE"""),345.0)</f>
        <v>345</v>
      </c>
      <c r="D1832" s="3">
        <f>IFERROR(__xludf.DUMMYFUNCTION("""COMPUTED_VALUE"""),133.0)</f>
        <v>133</v>
      </c>
      <c r="E1832" s="2"/>
      <c r="F1832" s="2"/>
    </row>
    <row r="1833">
      <c r="A1833" s="2">
        <f>IFERROR(__xludf.DUMMYFUNCTION("""COMPUTED_VALUE"""),113934.0)</f>
        <v>113934</v>
      </c>
      <c r="B1833" s="2">
        <f>IFERROR(__xludf.DUMMYFUNCTION("""COMPUTED_VALUE"""),0.0)</f>
        <v>0</v>
      </c>
      <c r="C1833" s="2">
        <f>IFERROR(__xludf.DUMMYFUNCTION("""COMPUTED_VALUE"""),577.0)</f>
        <v>577</v>
      </c>
      <c r="D1833" s="3">
        <f>IFERROR(__xludf.DUMMYFUNCTION("""COMPUTED_VALUE"""),254.0)</f>
        <v>254</v>
      </c>
      <c r="E1833" s="2"/>
      <c r="F1833" s="2"/>
    </row>
    <row r="1834">
      <c r="A1834" s="2">
        <f>IFERROR(__xludf.DUMMYFUNCTION("""COMPUTED_VALUE"""),5750.0)</f>
        <v>5750</v>
      </c>
      <c r="B1834" s="2">
        <f>IFERROR(__xludf.DUMMYFUNCTION("""COMPUTED_VALUE"""),0.0)</f>
        <v>0</v>
      </c>
      <c r="C1834" s="2">
        <f>IFERROR(__xludf.DUMMYFUNCTION("""COMPUTED_VALUE"""),904.0)</f>
        <v>904</v>
      </c>
      <c r="D1834" s="3">
        <f>IFERROR(__xludf.DUMMYFUNCTION("""COMPUTED_VALUE"""),490.0)</f>
        <v>490</v>
      </c>
      <c r="E1834" s="2"/>
      <c r="F1834" s="2"/>
    </row>
    <row r="1835">
      <c r="A1835" s="2">
        <f>IFERROR(__xludf.DUMMYFUNCTION("""COMPUTED_VALUE"""),73390.0)</f>
        <v>73390</v>
      </c>
      <c r="B1835" s="2">
        <f>IFERROR(__xludf.DUMMYFUNCTION("""COMPUTED_VALUE"""),0.0)</f>
        <v>0</v>
      </c>
      <c r="C1835" s="2">
        <f>IFERROR(__xludf.DUMMYFUNCTION("""COMPUTED_VALUE"""),684.0)</f>
        <v>684</v>
      </c>
      <c r="D1835" s="3">
        <f>IFERROR(__xludf.DUMMYFUNCTION("""COMPUTED_VALUE"""),419.0)</f>
        <v>419</v>
      </c>
      <c r="E1835" s="2"/>
      <c r="F1835" s="2"/>
    </row>
    <row r="1836">
      <c r="A1836" s="2">
        <f>IFERROR(__xludf.DUMMYFUNCTION("""COMPUTED_VALUE"""),114251.0)</f>
        <v>114251</v>
      </c>
      <c r="B1836" s="2">
        <f>IFERROR(__xludf.DUMMYFUNCTION("""COMPUTED_VALUE"""),1.0)</f>
        <v>1</v>
      </c>
      <c r="C1836" s="2">
        <f>IFERROR(__xludf.DUMMYFUNCTION("""COMPUTED_VALUE"""),61.0)</f>
        <v>61</v>
      </c>
      <c r="D1836" s="3">
        <f>IFERROR(__xludf.DUMMYFUNCTION("""COMPUTED_VALUE"""),28.0)</f>
        <v>28</v>
      </c>
      <c r="E1836" s="2"/>
      <c r="F1836" s="2"/>
    </row>
    <row r="1837">
      <c r="A1837" s="2">
        <f>IFERROR(__xludf.DUMMYFUNCTION("""COMPUTED_VALUE"""),73392.0)</f>
        <v>73392</v>
      </c>
      <c r="B1837" s="2">
        <f>IFERROR(__xludf.DUMMYFUNCTION("""COMPUTED_VALUE"""),1.0)</f>
        <v>1</v>
      </c>
      <c r="C1837" s="2">
        <f>IFERROR(__xludf.DUMMYFUNCTION("""COMPUTED_VALUE"""),591.0)</f>
        <v>591</v>
      </c>
      <c r="D1837" s="3">
        <f>IFERROR(__xludf.DUMMYFUNCTION("""COMPUTED_VALUE"""),53.0)</f>
        <v>53</v>
      </c>
      <c r="E1837" s="2"/>
      <c r="F1837" s="2"/>
    </row>
    <row r="1838">
      <c r="A1838" s="2">
        <f>IFERROR(__xludf.DUMMYFUNCTION("""COMPUTED_VALUE"""),9128.0)</f>
        <v>9128</v>
      </c>
      <c r="B1838" s="2">
        <f>IFERROR(__xludf.DUMMYFUNCTION("""COMPUTED_VALUE"""),1.0)</f>
        <v>1</v>
      </c>
      <c r="C1838" s="2">
        <f>IFERROR(__xludf.DUMMYFUNCTION("""COMPUTED_VALUE"""),87.0)</f>
        <v>87</v>
      </c>
      <c r="D1838" s="3">
        <f>IFERROR(__xludf.DUMMYFUNCTION("""COMPUTED_VALUE"""),49.0)</f>
        <v>49</v>
      </c>
      <c r="E1838" s="2"/>
      <c r="F1838" s="2"/>
    </row>
    <row r="1839">
      <c r="A1839" s="2">
        <f>IFERROR(__xludf.DUMMYFUNCTION("""COMPUTED_VALUE"""),122672.0)</f>
        <v>122672</v>
      </c>
      <c r="B1839" s="2">
        <f>IFERROR(__xludf.DUMMYFUNCTION("""COMPUTED_VALUE"""),0.0)</f>
        <v>0</v>
      </c>
      <c r="C1839" s="2">
        <f>IFERROR(__xludf.DUMMYFUNCTION("""COMPUTED_VALUE"""),860.0)</f>
        <v>860</v>
      </c>
      <c r="D1839" s="3">
        <f>IFERROR(__xludf.DUMMYFUNCTION("""COMPUTED_VALUE"""),161.0)</f>
        <v>161</v>
      </c>
      <c r="E1839" s="2"/>
      <c r="F1839" s="2"/>
    </row>
    <row r="1840">
      <c r="A1840" s="2">
        <f>IFERROR(__xludf.DUMMYFUNCTION("""COMPUTED_VALUE"""),85857.0)</f>
        <v>85857</v>
      </c>
      <c r="B1840" s="2">
        <f>IFERROR(__xludf.DUMMYFUNCTION("""COMPUTED_VALUE"""),0.0)</f>
        <v>0</v>
      </c>
      <c r="C1840" s="2">
        <f>IFERROR(__xludf.DUMMYFUNCTION("""COMPUTED_VALUE"""),283.0)</f>
        <v>283</v>
      </c>
      <c r="D1840" s="3">
        <f>IFERROR(__xludf.DUMMYFUNCTION("""COMPUTED_VALUE"""),194.0)</f>
        <v>194</v>
      </c>
      <c r="E1840" s="2"/>
      <c r="F1840" s="2"/>
    </row>
    <row r="1841">
      <c r="A1841" s="2">
        <f>IFERROR(__xludf.DUMMYFUNCTION("""COMPUTED_VALUE"""),9129.0)</f>
        <v>9129</v>
      </c>
      <c r="B1841" s="2">
        <f>IFERROR(__xludf.DUMMYFUNCTION("""COMPUTED_VALUE"""),1.0)</f>
        <v>1</v>
      </c>
      <c r="C1841" s="2">
        <f>IFERROR(__xludf.DUMMYFUNCTION("""COMPUTED_VALUE"""),953.0)</f>
        <v>953</v>
      </c>
      <c r="D1841" s="3">
        <f>IFERROR(__xludf.DUMMYFUNCTION("""COMPUTED_VALUE"""),891.0)</f>
        <v>891</v>
      </c>
      <c r="E1841" s="2"/>
      <c r="F1841" s="2"/>
    </row>
    <row r="1842">
      <c r="A1842" s="2">
        <f>IFERROR(__xludf.DUMMYFUNCTION("""COMPUTED_VALUE"""),162438.0)</f>
        <v>162438</v>
      </c>
      <c r="B1842" s="2">
        <f>IFERROR(__xludf.DUMMYFUNCTION("""COMPUTED_VALUE"""),1.0)</f>
        <v>1</v>
      </c>
      <c r="C1842" s="2">
        <f>IFERROR(__xludf.DUMMYFUNCTION("""COMPUTED_VALUE"""),502.0)</f>
        <v>502</v>
      </c>
      <c r="D1842" s="3">
        <f>IFERROR(__xludf.DUMMYFUNCTION("""COMPUTED_VALUE"""),484.0)</f>
        <v>484</v>
      </c>
      <c r="E1842" s="2"/>
      <c r="F1842" s="2"/>
    </row>
    <row r="1843">
      <c r="A1843" s="2">
        <f>IFERROR(__xludf.DUMMYFUNCTION("""COMPUTED_VALUE"""),73391.0)</f>
        <v>73391</v>
      </c>
      <c r="B1843" s="2">
        <f>IFERROR(__xludf.DUMMYFUNCTION("""COMPUTED_VALUE"""),0.0)</f>
        <v>0</v>
      </c>
      <c r="C1843" s="2">
        <f>IFERROR(__xludf.DUMMYFUNCTION("""COMPUTED_VALUE"""),924.0)</f>
        <v>924</v>
      </c>
      <c r="D1843" s="3">
        <f>IFERROR(__xludf.DUMMYFUNCTION("""COMPUTED_VALUE"""),193.0)</f>
        <v>193</v>
      </c>
      <c r="E1843" s="2"/>
      <c r="F1843" s="2"/>
    </row>
    <row r="1844">
      <c r="A1844" s="2">
        <f>IFERROR(__xludf.DUMMYFUNCTION("""COMPUTED_VALUE"""),46428.0)</f>
        <v>46428</v>
      </c>
      <c r="B1844" s="2">
        <f>IFERROR(__xludf.DUMMYFUNCTION("""COMPUTED_VALUE"""),0.0)</f>
        <v>0</v>
      </c>
      <c r="C1844" s="2">
        <f>IFERROR(__xludf.DUMMYFUNCTION("""COMPUTED_VALUE"""),770.0)</f>
        <v>770</v>
      </c>
      <c r="D1844" s="3">
        <f>IFERROR(__xludf.DUMMYFUNCTION("""COMPUTED_VALUE"""),405.0)</f>
        <v>405</v>
      </c>
      <c r="E1844" s="2"/>
      <c r="F1844" s="2"/>
    </row>
    <row r="1845">
      <c r="A1845" s="2">
        <f>IFERROR(__xludf.DUMMYFUNCTION("""COMPUTED_VALUE"""),85861.0)</f>
        <v>85861</v>
      </c>
      <c r="B1845" s="2">
        <f>IFERROR(__xludf.DUMMYFUNCTION("""COMPUTED_VALUE"""),0.0)</f>
        <v>0</v>
      </c>
      <c r="C1845" s="2">
        <f>IFERROR(__xludf.DUMMYFUNCTION("""COMPUTED_VALUE"""),779.0)</f>
        <v>779</v>
      </c>
      <c r="D1845" s="3">
        <f>IFERROR(__xludf.DUMMYFUNCTION("""COMPUTED_VALUE"""),170.0)</f>
        <v>170</v>
      </c>
      <c r="E1845" s="2"/>
      <c r="F1845" s="2"/>
    </row>
    <row r="1846">
      <c r="A1846" s="2">
        <f>IFERROR(__xludf.DUMMYFUNCTION("""COMPUTED_VALUE"""),69324.0)</f>
        <v>69324</v>
      </c>
      <c r="B1846" s="2">
        <f>IFERROR(__xludf.DUMMYFUNCTION("""COMPUTED_VALUE"""),1.0)</f>
        <v>1</v>
      </c>
      <c r="C1846" s="2">
        <f>IFERROR(__xludf.DUMMYFUNCTION("""COMPUTED_VALUE"""),169.0)</f>
        <v>169</v>
      </c>
      <c r="D1846" s="3">
        <f>IFERROR(__xludf.DUMMYFUNCTION("""COMPUTED_VALUE"""),8.0)</f>
        <v>8</v>
      </c>
      <c r="E1846" s="2"/>
      <c r="F1846" s="2"/>
    </row>
    <row r="1847">
      <c r="A1847" s="2">
        <f>IFERROR(__xludf.DUMMYFUNCTION("""COMPUTED_VALUE"""),122618.0)</f>
        <v>122618</v>
      </c>
      <c r="B1847" s="2">
        <f>IFERROR(__xludf.DUMMYFUNCTION("""COMPUTED_VALUE"""),1.0)</f>
        <v>1</v>
      </c>
      <c r="C1847" s="2">
        <f>IFERROR(__xludf.DUMMYFUNCTION("""COMPUTED_VALUE"""),860.0)</f>
        <v>860</v>
      </c>
      <c r="D1847" s="3">
        <f>IFERROR(__xludf.DUMMYFUNCTION("""COMPUTED_VALUE"""),426.0)</f>
        <v>426</v>
      </c>
      <c r="E1847" s="2"/>
      <c r="F1847" s="2"/>
    </row>
    <row r="1848">
      <c r="A1848" s="2">
        <f>IFERROR(__xludf.DUMMYFUNCTION("""COMPUTED_VALUE"""),99312.0)</f>
        <v>99312</v>
      </c>
      <c r="B1848" s="2">
        <f>IFERROR(__xludf.DUMMYFUNCTION("""COMPUTED_VALUE"""),0.0)</f>
        <v>0</v>
      </c>
      <c r="C1848" s="2">
        <f>IFERROR(__xludf.DUMMYFUNCTION("""COMPUTED_VALUE"""),307.0)</f>
        <v>307</v>
      </c>
      <c r="D1848" s="3">
        <f>IFERROR(__xludf.DUMMYFUNCTION("""COMPUTED_VALUE"""),105.0)</f>
        <v>105</v>
      </c>
      <c r="E1848" s="2"/>
      <c r="F1848" s="2"/>
    </row>
    <row r="1849">
      <c r="A1849" s="2">
        <f>IFERROR(__xludf.DUMMYFUNCTION("""COMPUTED_VALUE"""),113932.0)</f>
        <v>113932</v>
      </c>
      <c r="B1849" s="2">
        <f>IFERROR(__xludf.DUMMYFUNCTION("""COMPUTED_VALUE"""),0.0)</f>
        <v>0</v>
      </c>
      <c r="C1849" s="2">
        <f>IFERROR(__xludf.DUMMYFUNCTION("""COMPUTED_VALUE"""),377.0)</f>
        <v>377</v>
      </c>
      <c r="D1849" s="3">
        <f>IFERROR(__xludf.DUMMYFUNCTION("""COMPUTED_VALUE"""),77.0)</f>
        <v>77</v>
      </c>
      <c r="E1849" s="2"/>
      <c r="F1849" s="2"/>
    </row>
    <row r="1850">
      <c r="A1850" s="2">
        <f>IFERROR(__xludf.DUMMYFUNCTION("""COMPUTED_VALUE"""),5751.0)</f>
        <v>5751</v>
      </c>
      <c r="B1850" s="2">
        <f>IFERROR(__xludf.DUMMYFUNCTION("""COMPUTED_VALUE"""),0.0)</f>
        <v>0</v>
      </c>
      <c r="C1850" s="2">
        <f>IFERROR(__xludf.DUMMYFUNCTION("""COMPUTED_VALUE"""),532.0)</f>
        <v>532</v>
      </c>
      <c r="D1850" s="3">
        <f>IFERROR(__xludf.DUMMYFUNCTION("""COMPUTED_VALUE"""),226.0)</f>
        <v>226</v>
      </c>
      <c r="E1850" s="2"/>
      <c r="F1850" s="2"/>
    </row>
    <row r="1851">
      <c r="A1851" s="2">
        <f>IFERROR(__xludf.DUMMYFUNCTION("""COMPUTED_VALUE"""),85885.0)</f>
        <v>85885</v>
      </c>
      <c r="B1851" s="2">
        <f>IFERROR(__xludf.DUMMYFUNCTION("""COMPUTED_VALUE"""),0.0)</f>
        <v>0</v>
      </c>
      <c r="C1851" s="2">
        <f>IFERROR(__xludf.DUMMYFUNCTION("""COMPUTED_VALUE"""),229.0)</f>
        <v>229</v>
      </c>
      <c r="D1851" s="3">
        <f>IFERROR(__xludf.DUMMYFUNCTION("""COMPUTED_VALUE"""),154.0)</f>
        <v>154</v>
      </c>
      <c r="E1851" s="2"/>
      <c r="F1851" s="2"/>
    </row>
    <row r="1852">
      <c r="A1852" s="2">
        <f>IFERROR(__xludf.DUMMYFUNCTION("""COMPUTED_VALUE"""),87877.0)</f>
        <v>87877</v>
      </c>
      <c r="B1852" s="2">
        <f>IFERROR(__xludf.DUMMYFUNCTION("""COMPUTED_VALUE"""),1.0)</f>
        <v>1</v>
      </c>
      <c r="C1852" s="2">
        <f>IFERROR(__xludf.DUMMYFUNCTION("""COMPUTED_VALUE"""),577.0)</f>
        <v>577</v>
      </c>
      <c r="D1852" s="3">
        <f>IFERROR(__xludf.DUMMYFUNCTION("""COMPUTED_VALUE"""),412.0)</f>
        <v>412</v>
      </c>
      <c r="E1852" s="2"/>
      <c r="F1852" s="2"/>
    </row>
    <row r="1853">
      <c r="A1853" s="2">
        <f>IFERROR(__xludf.DUMMYFUNCTION("""COMPUTED_VALUE"""),197150.0)</f>
        <v>197150</v>
      </c>
      <c r="B1853" s="2">
        <f>IFERROR(__xludf.DUMMYFUNCTION("""COMPUTED_VALUE"""),0.0)</f>
        <v>0</v>
      </c>
      <c r="C1853" s="2">
        <f>IFERROR(__xludf.DUMMYFUNCTION("""COMPUTED_VALUE"""),400.0)</f>
        <v>400</v>
      </c>
      <c r="D1853" s="3">
        <f>IFERROR(__xludf.DUMMYFUNCTION("""COMPUTED_VALUE"""),247.0)</f>
        <v>247</v>
      </c>
      <c r="E1853" s="2"/>
      <c r="F1853" s="2"/>
    </row>
    <row r="1854">
      <c r="A1854" s="2">
        <f>IFERROR(__xludf.DUMMYFUNCTION("""COMPUTED_VALUE"""),87878.0)</f>
        <v>87878</v>
      </c>
      <c r="B1854" s="2">
        <f>IFERROR(__xludf.DUMMYFUNCTION("""COMPUTED_VALUE"""),1.0)</f>
        <v>1</v>
      </c>
      <c r="C1854" s="2">
        <f>IFERROR(__xludf.DUMMYFUNCTION("""COMPUTED_VALUE"""),878.0)</f>
        <v>878</v>
      </c>
      <c r="D1854" s="3">
        <f>IFERROR(__xludf.DUMMYFUNCTION("""COMPUTED_VALUE"""),162.0)</f>
        <v>162</v>
      </c>
      <c r="E1854" s="2"/>
      <c r="F1854" s="2"/>
    </row>
    <row r="1855">
      <c r="A1855" s="2">
        <f>IFERROR(__xludf.DUMMYFUNCTION("""COMPUTED_VALUE"""),122166.0)</f>
        <v>122166</v>
      </c>
      <c r="B1855" s="2">
        <f>IFERROR(__xludf.DUMMYFUNCTION("""COMPUTED_VALUE"""),1.0)</f>
        <v>1</v>
      </c>
      <c r="C1855" s="2">
        <f>IFERROR(__xludf.DUMMYFUNCTION("""COMPUTED_VALUE"""),721.0)</f>
        <v>721</v>
      </c>
      <c r="D1855" s="3">
        <f>IFERROR(__xludf.DUMMYFUNCTION("""COMPUTED_VALUE"""),657.0)</f>
        <v>657</v>
      </c>
      <c r="E1855" s="2"/>
      <c r="F1855" s="2"/>
    </row>
    <row r="1856">
      <c r="A1856" s="2">
        <f>IFERROR(__xludf.DUMMYFUNCTION("""COMPUTED_VALUE"""),122617.0)</f>
        <v>122617</v>
      </c>
      <c r="B1856" s="2">
        <f>IFERROR(__xludf.DUMMYFUNCTION("""COMPUTED_VALUE"""),0.0)</f>
        <v>0</v>
      </c>
      <c r="C1856" s="2">
        <f>IFERROR(__xludf.DUMMYFUNCTION("""COMPUTED_VALUE"""),697.0)</f>
        <v>697</v>
      </c>
      <c r="D1856" s="3">
        <f>IFERROR(__xludf.DUMMYFUNCTION("""COMPUTED_VALUE"""),144.0)</f>
        <v>144</v>
      </c>
      <c r="E1856" s="2"/>
      <c r="F1856" s="2"/>
    </row>
    <row r="1857">
      <c r="A1857" s="2">
        <f>IFERROR(__xludf.DUMMYFUNCTION("""COMPUTED_VALUE"""),118590.0)</f>
        <v>118590</v>
      </c>
      <c r="B1857" s="2">
        <f>IFERROR(__xludf.DUMMYFUNCTION("""COMPUTED_VALUE"""),0.0)</f>
        <v>0</v>
      </c>
      <c r="C1857" s="2">
        <f>IFERROR(__xludf.DUMMYFUNCTION("""COMPUTED_VALUE"""),364.0)</f>
        <v>364</v>
      </c>
      <c r="D1857" s="3">
        <f>IFERROR(__xludf.DUMMYFUNCTION("""COMPUTED_VALUE"""),138.0)</f>
        <v>138</v>
      </c>
      <c r="E1857" s="2"/>
      <c r="F1857" s="2"/>
    </row>
    <row r="1858">
      <c r="A1858" s="2">
        <f>IFERROR(__xludf.DUMMYFUNCTION("""COMPUTED_VALUE"""),122366.0)</f>
        <v>122366</v>
      </c>
      <c r="B1858" s="2">
        <f>IFERROR(__xludf.DUMMYFUNCTION("""COMPUTED_VALUE"""),1.0)</f>
        <v>1</v>
      </c>
      <c r="C1858" s="2">
        <f>IFERROR(__xludf.DUMMYFUNCTION("""COMPUTED_VALUE"""),770.0)</f>
        <v>770</v>
      </c>
      <c r="D1858" s="3">
        <f>IFERROR(__xludf.DUMMYFUNCTION("""COMPUTED_VALUE"""),261.0)</f>
        <v>261</v>
      </c>
      <c r="E1858" s="2"/>
      <c r="F1858" s="2"/>
    </row>
    <row r="1859">
      <c r="A1859" s="2">
        <f>IFERROR(__xludf.DUMMYFUNCTION("""COMPUTED_VALUE"""),83001.0)</f>
        <v>83001</v>
      </c>
      <c r="B1859" s="2">
        <f>IFERROR(__xludf.DUMMYFUNCTION("""COMPUTED_VALUE"""),0.0)</f>
        <v>0</v>
      </c>
      <c r="C1859" s="2">
        <f>IFERROR(__xludf.DUMMYFUNCTION("""COMPUTED_VALUE"""),279.0)</f>
        <v>279</v>
      </c>
      <c r="D1859" s="3">
        <f>IFERROR(__xludf.DUMMYFUNCTION("""COMPUTED_VALUE"""),133.0)</f>
        <v>133</v>
      </c>
      <c r="E1859" s="2"/>
      <c r="F1859" s="2"/>
    </row>
    <row r="1860">
      <c r="A1860" s="2">
        <f>IFERROR(__xludf.DUMMYFUNCTION("""COMPUTED_VALUE"""),118594.0)</f>
        <v>118594</v>
      </c>
      <c r="B1860" s="2">
        <f>IFERROR(__xludf.DUMMYFUNCTION("""COMPUTED_VALUE"""),0.0)</f>
        <v>0</v>
      </c>
      <c r="C1860" s="2">
        <f>IFERROR(__xludf.DUMMYFUNCTION("""COMPUTED_VALUE"""),295.0)</f>
        <v>295</v>
      </c>
      <c r="D1860" s="3">
        <f>IFERROR(__xludf.DUMMYFUNCTION("""COMPUTED_VALUE"""),75.0)</f>
        <v>75</v>
      </c>
      <c r="E1860" s="2"/>
      <c r="F1860" s="2"/>
    </row>
    <row r="1861">
      <c r="A1861" s="2">
        <f>IFERROR(__xludf.DUMMYFUNCTION("""COMPUTED_VALUE"""),85881.0)</f>
        <v>85881</v>
      </c>
      <c r="B1861" s="2">
        <f>IFERROR(__xludf.DUMMYFUNCTION("""COMPUTED_VALUE"""),0.0)</f>
        <v>0</v>
      </c>
      <c r="C1861" s="2">
        <f>IFERROR(__xludf.DUMMYFUNCTION("""COMPUTED_VALUE"""),207.0)</f>
        <v>207</v>
      </c>
      <c r="D1861" s="3">
        <f>IFERROR(__xludf.DUMMYFUNCTION("""COMPUTED_VALUE"""),108.0)</f>
        <v>108</v>
      </c>
      <c r="E1861" s="2"/>
      <c r="F1861" s="2"/>
    </row>
    <row r="1862">
      <c r="A1862" s="2">
        <f>IFERROR(__xludf.DUMMYFUNCTION("""COMPUTED_VALUE"""),10655.0)</f>
        <v>10655</v>
      </c>
      <c r="B1862" s="2">
        <f>IFERROR(__xludf.DUMMYFUNCTION("""COMPUTED_VALUE"""),1.0)</f>
        <v>1</v>
      </c>
      <c r="C1862" s="2">
        <f>IFERROR(__xludf.DUMMYFUNCTION("""COMPUTED_VALUE"""),530.0)</f>
        <v>530</v>
      </c>
      <c r="D1862" s="3">
        <f>IFERROR(__xludf.DUMMYFUNCTION("""COMPUTED_VALUE"""),195.0)</f>
        <v>195</v>
      </c>
      <c r="E1862" s="2"/>
      <c r="F1862" s="2"/>
    </row>
    <row r="1863">
      <c r="A1863" s="2">
        <f>IFERROR(__xludf.DUMMYFUNCTION("""COMPUTED_VALUE"""),121606.0)</f>
        <v>121606</v>
      </c>
      <c r="B1863" s="2">
        <f>IFERROR(__xludf.DUMMYFUNCTION("""COMPUTED_VALUE"""),0.0)</f>
        <v>0</v>
      </c>
      <c r="C1863" s="2">
        <f>IFERROR(__xludf.DUMMYFUNCTION("""COMPUTED_VALUE"""),956.0)</f>
        <v>956</v>
      </c>
      <c r="D1863" s="3">
        <f>IFERROR(__xludf.DUMMYFUNCTION("""COMPUTED_VALUE"""),487.0)</f>
        <v>487</v>
      </c>
      <c r="E1863" s="2"/>
      <c r="F1863" s="2"/>
    </row>
    <row r="1864">
      <c r="A1864" s="2">
        <f>IFERROR(__xludf.DUMMYFUNCTION("""COMPUTED_VALUE"""),13341.0)</f>
        <v>13341</v>
      </c>
      <c r="B1864" s="2">
        <f>IFERROR(__xludf.DUMMYFUNCTION("""COMPUTED_VALUE"""),1.0)</f>
        <v>1</v>
      </c>
      <c r="C1864" s="2">
        <f>IFERROR(__xludf.DUMMYFUNCTION("""COMPUTED_VALUE"""),273.0)</f>
        <v>273</v>
      </c>
      <c r="D1864" s="3">
        <f>IFERROR(__xludf.DUMMYFUNCTION("""COMPUTED_VALUE"""),42.0)</f>
        <v>42</v>
      </c>
      <c r="E1864" s="2"/>
      <c r="F1864" s="2"/>
    </row>
    <row r="1865">
      <c r="A1865" s="2">
        <f>IFERROR(__xludf.DUMMYFUNCTION("""COMPUTED_VALUE"""),122631.0)</f>
        <v>122631</v>
      </c>
      <c r="B1865" s="2">
        <f>IFERROR(__xludf.DUMMYFUNCTION("""COMPUTED_VALUE"""),0.0)</f>
        <v>0</v>
      </c>
      <c r="C1865" s="2">
        <f>IFERROR(__xludf.DUMMYFUNCTION("""COMPUTED_VALUE"""),824.0)</f>
        <v>824</v>
      </c>
      <c r="D1865" s="3">
        <f>IFERROR(__xludf.DUMMYFUNCTION("""COMPUTED_VALUE"""),251.0)</f>
        <v>251</v>
      </c>
      <c r="E1865" s="2"/>
      <c r="F1865" s="2"/>
    </row>
    <row r="1866">
      <c r="A1866" s="2">
        <f>IFERROR(__xludf.DUMMYFUNCTION("""COMPUTED_VALUE"""),189132.0)</f>
        <v>189132</v>
      </c>
      <c r="B1866" s="2">
        <f>IFERROR(__xludf.DUMMYFUNCTION("""COMPUTED_VALUE"""),0.0)</f>
        <v>0</v>
      </c>
      <c r="C1866" s="2">
        <f>IFERROR(__xludf.DUMMYFUNCTION("""COMPUTED_VALUE"""),859.0)</f>
        <v>859</v>
      </c>
      <c r="D1866" s="3">
        <f>IFERROR(__xludf.DUMMYFUNCTION("""COMPUTED_VALUE"""),274.0)</f>
        <v>274</v>
      </c>
      <c r="E1866" s="2"/>
      <c r="F1866" s="2"/>
    </row>
    <row r="1867">
      <c r="A1867" s="2">
        <f>IFERROR(__xludf.DUMMYFUNCTION("""COMPUTED_VALUE"""),87876.0)</f>
        <v>87876</v>
      </c>
      <c r="B1867" s="2">
        <f>IFERROR(__xludf.DUMMYFUNCTION("""COMPUTED_VALUE"""),1.0)</f>
        <v>1</v>
      </c>
      <c r="C1867" s="2">
        <f>IFERROR(__xludf.DUMMYFUNCTION("""COMPUTED_VALUE"""),699.0)</f>
        <v>699</v>
      </c>
      <c r="D1867" s="3">
        <f>IFERROR(__xludf.DUMMYFUNCTION("""COMPUTED_VALUE"""),129.0)</f>
        <v>129</v>
      </c>
      <c r="E1867" s="2"/>
      <c r="F1867" s="2"/>
    </row>
    <row r="1868">
      <c r="A1868" s="2">
        <f>IFERROR(__xludf.DUMMYFUNCTION("""COMPUTED_VALUE"""),26094.0)</f>
        <v>26094</v>
      </c>
      <c r="B1868" s="2">
        <f>IFERROR(__xludf.DUMMYFUNCTION("""COMPUTED_VALUE"""),1.0)</f>
        <v>1</v>
      </c>
      <c r="C1868" s="2">
        <f>IFERROR(__xludf.DUMMYFUNCTION("""COMPUTED_VALUE"""),770.0)</f>
        <v>770</v>
      </c>
      <c r="D1868" s="3">
        <f>IFERROR(__xludf.DUMMYFUNCTION("""COMPUTED_VALUE"""),726.0)</f>
        <v>726</v>
      </c>
      <c r="E1868" s="2"/>
      <c r="F1868" s="2"/>
    </row>
    <row r="1869">
      <c r="A1869" s="2">
        <f>IFERROR(__xludf.DUMMYFUNCTION("""COMPUTED_VALUE"""),189129.0)</f>
        <v>189129</v>
      </c>
      <c r="B1869" s="2">
        <f>IFERROR(__xludf.DUMMYFUNCTION("""COMPUTED_VALUE"""),1.0)</f>
        <v>1</v>
      </c>
      <c r="C1869" s="2">
        <f>IFERROR(__xludf.DUMMYFUNCTION("""COMPUTED_VALUE"""),539.0)</f>
        <v>539</v>
      </c>
      <c r="D1869" s="3">
        <f>IFERROR(__xludf.DUMMYFUNCTION("""COMPUTED_VALUE"""),359.0)</f>
        <v>359</v>
      </c>
      <c r="E1869" s="2"/>
      <c r="F1869" s="2"/>
    </row>
    <row r="1870">
      <c r="A1870" s="2">
        <f>IFERROR(__xludf.DUMMYFUNCTION("""COMPUTED_VALUE"""),10654.0)</f>
        <v>10654</v>
      </c>
      <c r="B1870" s="2">
        <f>IFERROR(__xludf.DUMMYFUNCTION("""COMPUTED_VALUE"""),1.0)</f>
        <v>1</v>
      </c>
      <c r="C1870" s="2">
        <f>IFERROR(__xludf.DUMMYFUNCTION("""COMPUTED_VALUE"""),936.0)</f>
        <v>936</v>
      </c>
      <c r="D1870" s="3">
        <f>IFERROR(__xludf.DUMMYFUNCTION("""COMPUTED_VALUE"""),315.0)</f>
        <v>315</v>
      </c>
      <c r="E1870" s="2"/>
      <c r="F1870" s="2"/>
    </row>
    <row r="1871">
      <c r="A1871" s="2">
        <f>IFERROR(__xludf.DUMMYFUNCTION("""COMPUTED_VALUE"""),5754.0)</f>
        <v>5754</v>
      </c>
      <c r="B1871" s="2">
        <f>IFERROR(__xludf.DUMMYFUNCTION("""COMPUTED_VALUE"""),0.0)</f>
        <v>0</v>
      </c>
      <c r="C1871" s="2">
        <f>IFERROR(__xludf.DUMMYFUNCTION("""COMPUTED_VALUE"""),131.0)</f>
        <v>131</v>
      </c>
      <c r="D1871" s="3">
        <f>IFERROR(__xludf.DUMMYFUNCTION("""COMPUTED_VALUE"""),6.0)</f>
        <v>6</v>
      </c>
      <c r="E1871" s="2"/>
      <c r="F1871" s="2"/>
    </row>
    <row r="1872">
      <c r="A1872" s="2">
        <f>IFERROR(__xludf.DUMMYFUNCTION("""COMPUTED_VALUE"""),10648.0)</f>
        <v>10648</v>
      </c>
      <c r="B1872" s="2">
        <f>IFERROR(__xludf.DUMMYFUNCTION("""COMPUTED_VALUE"""),0.0)</f>
        <v>0</v>
      </c>
      <c r="C1872" s="2">
        <f>IFERROR(__xludf.DUMMYFUNCTION("""COMPUTED_VALUE"""),891.0)</f>
        <v>891</v>
      </c>
      <c r="D1872" s="3">
        <f>IFERROR(__xludf.DUMMYFUNCTION("""COMPUTED_VALUE"""),437.0)</f>
        <v>437</v>
      </c>
      <c r="E1872" s="2"/>
      <c r="F1872" s="2"/>
    </row>
    <row r="1873">
      <c r="A1873" s="2">
        <f>IFERROR(__xludf.DUMMYFUNCTION("""COMPUTED_VALUE"""),114947.0)</f>
        <v>114947</v>
      </c>
      <c r="B1873" s="2">
        <f>IFERROR(__xludf.DUMMYFUNCTION("""COMPUTED_VALUE"""),0.0)</f>
        <v>0</v>
      </c>
      <c r="C1873" s="2">
        <f>IFERROR(__xludf.DUMMYFUNCTION("""COMPUTED_VALUE"""),839.0)</f>
        <v>839</v>
      </c>
      <c r="D1873" s="3">
        <f>IFERROR(__xludf.DUMMYFUNCTION("""COMPUTED_VALUE"""),28.0)</f>
        <v>28</v>
      </c>
      <c r="E1873" s="2"/>
      <c r="F1873" s="2"/>
    </row>
    <row r="1874">
      <c r="A1874" s="2">
        <f>IFERROR(__xludf.DUMMYFUNCTION("""COMPUTED_VALUE"""),44728.0)</f>
        <v>44728</v>
      </c>
      <c r="B1874" s="2">
        <f>IFERROR(__xludf.DUMMYFUNCTION("""COMPUTED_VALUE"""),1.0)</f>
        <v>1</v>
      </c>
      <c r="C1874" s="2">
        <f>IFERROR(__xludf.DUMMYFUNCTION("""COMPUTED_VALUE"""),327.0)</f>
        <v>327</v>
      </c>
      <c r="D1874" s="3">
        <f>IFERROR(__xludf.DUMMYFUNCTION("""COMPUTED_VALUE"""),100.0)</f>
        <v>100</v>
      </c>
      <c r="E1874" s="2"/>
      <c r="F1874" s="2"/>
    </row>
    <row r="1875">
      <c r="A1875" s="2">
        <f>IFERROR(__xludf.DUMMYFUNCTION("""COMPUTED_VALUE"""),120709.0)</f>
        <v>120709</v>
      </c>
      <c r="B1875" s="2">
        <f>IFERROR(__xludf.DUMMYFUNCTION("""COMPUTED_VALUE"""),1.0)</f>
        <v>1</v>
      </c>
      <c r="C1875" s="2">
        <f>IFERROR(__xludf.DUMMYFUNCTION("""COMPUTED_VALUE"""),542.0)</f>
        <v>542</v>
      </c>
      <c r="D1875" s="3">
        <f>IFERROR(__xludf.DUMMYFUNCTION("""COMPUTED_VALUE"""),453.0)</f>
        <v>453</v>
      </c>
      <c r="E1875" s="2"/>
      <c r="F1875" s="2"/>
    </row>
    <row r="1876">
      <c r="A1876" s="2">
        <f>IFERROR(__xludf.DUMMYFUNCTION("""COMPUTED_VALUE"""),114949.0)</f>
        <v>114949</v>
      </c>
      <c r="B1876" s="2">
        <f>IFERROR(__xludf.DUMMYFUNCTION("""COMPUTED_VALUE"""),0.0)</f>
        <v>0</v>
      </c>
      <c r="C1876" s="2">
        <f>IFERROR(__xludf.DUMMYFUNCTION("""COMPUTED_VALUE"""),902.0)</f>
        <v>902</v>
      </c>
      <c r="D1876" s="3">
        <f>IFERROR(__xludf.DUMMYFUNCTION("""COMPUTED_VALUE"""),337.0)</f>
        <v>337</v>
      </c>
      <c r="E1876" s="2"/>
      <c r="F1876" s="2"/>
    </row>
    <row r="1877">
      <c r="A1877" s="2">
        <f>IFERROR(__xludf.DUMMYFUNCTION("""COMPUTED_VALUE"""),48706.0)</f>
        <v>48706</v>
      </c>
      <c r="B1877" s="2">
        <f>IFERROR(__xludf.DUMMYFUNCTION("""COMPUTED_VALUE"""),1.0)</f>
        <v>1</v>
      </c>
      <c r="C1877" s="2">
        <f>IFERROR(__xludf.DUMMYFUNCTION("""COMPUTED_VALUE"""),374.0)</f>
        <v>374</v>
      </c>
      <c r="D1877" s="3">
        <f>IFERROR(__xludf.DUMMYFUNCTION("""COMPUTED_VALUE"""),191.0)</f>
        <v>191</v>
      </c>
      <c r="E1877" s="2"/>
      <c r="F1877" s="2"/>
    </row>
    <row r="1878">
      <c r="A1878" s="2">
        <f>IFERROR(__xludf.DUMMYFUNCTION("""COMPUTED_VALUE"""),78411.0)</f>
        <v>78411</v>
      </c>
      <c r="B1878" s="2">
        <f>IFERROR(__xludf.DUMMYFUNCTION("""COMPUTED_VALUE"""),0.0)</f>
        <v>0</v>
      </c>
      <c r="C1878" s="2">
        <f>IFERROR(__xludf.DUMMYFUNCTION("""COMPUTED_VALUE"""),780.0)</f>
        <v>780</v>
      </c>
      <c r="D1878" s="3">
        <f>IFERROR(__xludf.DUMMYFUNCTION("""COMPUTED_VALUE"""),100.0)</f>
        <v>100</v>
      </c>
      <c r="E1878" s="2"/>
      <c r="F1878" s="2"/>
    </row>
    <row r="1879">
      <c r="A1879" s="2">
        <f>IFERROR(__xludf.DUMMYFUNCTION("""COMPUTED_VALUE"""),120016.0)</f>
        <v>120016</v>
      </c>
      <c r="B1879" s="2">
        <f>IFERROR(__xludf.DUMMYFUNCTION("""COMPUTED_VALUE"""),1.0)</f>
        <v>1</v>
      </c>
      <c r="C1879" s="2">
        <f>IFERROR(__xludf.DUMMYFUNCTION("""COMPUTED_VALUE"""),545.0)</f>
        <v>545</v>
      </c>
      <c r="D1879" s="3">
        <f>IFERROR(__xludf.DUMMYFUNCTION("""COMPUTED_VALUE"""),344.0)</f>
        <v>344</v>
      </c>
      <c r="E1879" s="2"/>
      <c r="F1879" s="2"/>
    </row>
    <row r="1880">
      <c r="A1880" s="2">
        <f>IFERROR(__xludf.DUMMYFUNCTION("""COMPUTED_VALUE"""),120710.0)</f>
        <v>120710</v>
      </c>
      <c r="B1880" s="2">
        <f>IFERROR(__xludf.DUMMYFUNCTION("""COMPUTED_VALUE"""),1.0)</f>
        <v>1</v>
      </c>
      <c r="C1880" s="2">
        <f>IFERROR(__xludf.DUMMYFUNCTION("""COMPUTED_VALUE"""),326.0)</f>
        <v>326</v>
      </c>
      <c r="D1880" s="3">
        <f>IFERROR(__xludf.DUMMYFUNCTION("""COMPUTED_VALUE"""),263.0)</f>
        <v>263</v>
      </c>
      <c r="E1880" s="2"/>
      <c r="F1880" s="2"/>
    </row>
    <row r="1881">
      <c r="A1881" s="2">
        <f>IFERROR(__xludf.DUMMYFUNCTION("""COMPUTED_VALUE"""),48705.0)</f>
        <v>48705</v>
      </c>
      <c r="B1881" s="2">
        <f>IFERROR(__xludf.DUMMYFUNCTION("""COMPUTED_VALUE"""),1.0)</f>
        <v>1</v>
      </c>
      <c r="C1881" s="2">
        <f>IFERROR(__xludf.DUMMYFUNCTION("""COMPUTED_VALUE"""),489.0)</f>
        <v>489</v>
      </c>
      <c r="D1881" s="3">
        <f>IFERROR(__xludf.DUMMYFUNCTION("""COMPUTED_VALUE"""),67.0)</f>
        <v>67</v>
      </c>
      <c r="E1881" s="2"/>
      <c r="F1881" s="2"/>
    </row>
    <row r="1882">
      <c r="A1882" s="2">
        <f>IFERROR(__xludf.DUMMYFUNCTION("""COMPUTED_VALUE"""),114948.0)</f>
        <v>114948</v>
      </c>
      <c r="B1882" s="2">
        <f>IFERROR(__xludf.DUMMYFUNCTION("""COMPUTED_VALUE"""),0.0)</f>
        <v>0</v>
      </c>
      <c r="C1882" s="2">
        <f>IFERROR(__xludf.DUMMYFUNCTION("""COMPUTED_VALUE"""),950.0)</f>
        <v>950</v>
      </c>
      <c r="D1882" s="3">
        <f>IFERROR(__xludf.DUMMYFUNCTION("""COMPUTED_VALUE"""),237.0)</f>
        <v>237</v>
      </c>
      <c r="E1882" s="2"/>
      <c r="F1882" s="2"/>
    </row>
    <row r="1883">
      <c r="A1883" s="2">
        <f>IFERROR(__xludf.DUMMYFUNCTION("""COMPUTED_VALUE"""),117330.0)</f>
        <v>117330</v>
      </c>
      <c r="B1883" s="2">
        <f>IFERROR(__xludf.DUMMYFUNCTION("""COMPUTED_VALUE"""),1.0)</f>
        <v>1</v>
      </c>
      <c r="C1883" s="2">
        <f>IFERROR(__xludf.DUMMYFUNCTION("""COMPUTED_VALUE"""),218.0)</f>
        <v>218</v>
      </c>
      <c r="D1883" s="3">
        <f>IFERROR(__xludf.DUMMYFUNCTION("""COMPUTED_VALUE"""),100.0)</f>
        <v>100</v>
      </c>
      <c r="E1883" s="2"/>
      <c r="F1883" s="2"/>
    </row>
    <row r="1884">
      <c r="A1884" s="2">
        <f>IFERROR(__xludf.DUMMYFUNCTION("""COMPUTED_VALUE"""),89665.0)</f>
        <v>89665</v>
      </c>
      <c r="B1884" s="2">
        <f>IFERROR(__xludf.DUMMYFUNCTION("""COMPUTED_VALUE"""),0.0)</f>
        <v>0</v>
      </c>
      <c r="C1884" s="2">
        <f>IFERROR(__xludf.DUMMYFUNCTION("""COMPUTED_VALUE"""),780.0)</f>
        <v>780</v>
      </c>
      <c r="D1884" s="3">
        <f>IFERROR(__xludf.DUMMYFUNCTION("""COMPUTED_VALUE"""),456.0)</f>
        <v>456</v>
      </c>
      <c r="E1884" s="2"/>
      <c r="F1884" s="2"/>
    </row>
    <row r="1885">
      <c r="A1885" s="2">
        <f>IFERROR(__xludf.DUMMYFUNCTION("""COMPUTED_VALUE"""),89450.0)</f>
        <v>89450</v>
      </c>
      <c r="B1885" s="2">
        <f>IFERROR(__xludf.DUMMYFUNCTION("""COMPUTED_VALUE"""),0.0)</f>
        <v>0</v>
      </c>
      <c r="C1885" s="2">
        <f>IFERROR(__xludf.DUMMYFUNCTION("""COMPUTED_VALUE"""),562.0)</f>
        <v>562</v>
      </c>
      <c r="D1885" s="3">
        <f>IFERROR(__xludf.DUMMYFUNCTION("""COMPUTED_VALUE"""),393.0)</f>
        <v>393</v>
      </c>
      <c r="E1885" s="2"/>
      <c r="F1885" s="2"/>
    </row>
    <row r="1886">
      <c r="A1886" s="2">
        <f>IFERROR(__xludf.DUMMYFUNCTION("""COMPUTED_VALUE"""),72080.0)</f>
        <v>72080</v>
      </c>
      <c r="B1886" s="2">
        <f>IFERROR(__xludf.DUMMYFUNCTION("""COMPUTED_VALUE"""),0.0)</f>
        <v>0</v>
      </c>
      <c r="C1886" s="2">
        <f>IFERROR(__xludf.DUMMYFUNCTION("""COMPUTED_VALUE"""),152.0)</f>
        <v>152</v>
      </c>
      <c r="D1886" s="3">
        <f>IFERROR(__xludf.DUMMYFUNCTION("""COMPUTED_VALUE"""),32.0)</f>
        <v>32</v>
      </c>
      <c r="E1886" s="2"/>
      <c r="F1886" s="2"/>
    </row>
    <row r="1887">
      <c r="A1887" s="2">
        <f>IFERROR(__xludf.DUMMYFUNCTION("""COMPUTED_VALUE"""),72086.0)</f>
        <v>72086</v>
      </c>
      <c r="B1887" s="2">
        <f>IFERROR(__xludf.DUMMYFUNCTION("""COMPUTED_VALUE"""),1.0)</f>
        <v>1</v>
      </c>
      <c r="C1887" s="2">
        <f>IFERROR(__xludf.DUMMYFUNCTION("""COMPUTED_VALUE"""),871.0)</f>
        <v>871</v>
      </c>
      <c r="D1887" s="3">
        <f>IFERROR(__xludf.DUMMYFUNCTION("""COMPUTED_VALUE"""),736.0)</f>
        <v>736</v>
      </c>
      <c r="E1887" s="2"/>
      <c r="F1887" s="2"/>
    </row>
    <row r="1888">
      <c r="A1888" s="2">
        <f>IFERROR(__xludf.DUMMYFUNCTION("""COMPUTED_VALUE"""),117076.0)</f>
        <v>117076</v>
      </c>
      <c r="B1888" s="2">
        <f>IFERROR(__xludf.DUMMYFUNCTION("""COMPUTED_VALUE"""),0.0)</f>
        <v>0</v>
      </c>
      <c r="C1888" s="2">
        <f>IFERROR(__xludf.DUMMYFUNCTION("""COMPUTED_VALUE"""),216.0)</f>
        <v>216</v>
      </c>
      <c r="D1888" s="3">
        <f>IFERROR(__xludf.DUMMYFUNCTION("""COMPUTED_VALUE"""),208.0)</f>
        <v>208</v>
      </c>
      <c r="E1888" s="2"/>
      <c r="F1888" s="2"/>
    </row>
    <row r="1889">
      <c r="A1889" s="2">
        <f>IFERROR(__xludf.DUMMYFUNCTION("""COMPUTED_VALUE"""),72081.0)</f>
        <v>72081</v>
      </c>
      <c r="B1889" s="2">
        <f>IFERROR(__xludf.DUMMYFUNCTION("""COMPUTED_VALUE"""),1.0)</f>
        <v>1</v>
      </c>
      <c r="C1889" s="2">
        <f>IFERROR(__xludf.DUMMYFUNCTION("""COMPUTED_VALUE"""),735.0)</f>
        <v>735</v>
      </c>
      <c r="D1889" s="3">
        <f>IFERROR(__xludf.DUMMYFUNCTION("""COMPUTED_VALUE"""),53.0)</f>
        <v>53</v>
      </c>
      <c r="E1889" s="2"/>
      <c r="F1889" s="2"/>
    </row>
    <row r="1890">
      <c r="A1890" s="2">
        <f>IFERROR(__xludf.DUMMYFUNCTION("""COMPUTED_VALUE"""),72088.0)</f>
        <v>72088</v>
      </c>
      <c r="B1890" s="2">
        <f>IFERROR(__xludf.DUMMYFUNCTION("""COMPUTED_VALUE"""),1.0)</f>
        <v>1</v>
      </c>
      <c r="C1890" s="2">
        <f>IFERROR(__xludf.DUMMYFUNCTION("""COMPUTED_VALUE"""),889.0)</f>
        <v>889</v>
      </c>
      <c r="D1890" s="3">
        <f>IFERROR(__xludf.DUMMYFUNCTION("""COMPUTED_VALUE"""),313.0)</f>
        <v>313</v>
      </c>
      <c r="E1890" s="2"/>
      <c r="F1890" s="2"/>
    </row>
    <row r="1891">
      <c r="A1891" s="2">
        <f>IFERROR(__xludf.DUMMYFUNCTION("""COMPUTED_VALUE"""),72078.0)</f>
        <v>72078</v>
      </c>
      <c r="B1891" s="2">
        <f>IFERROR(__xludf.DUMMYFUNCTION("""COMPUTED_VALUE"""),0.0)</f>
        <v>0</v>
      </c>
      <c r="C1891" s="2">
        <f>IFERROR(__xludf.DUMMYFUNCTION("""COMPUTED_VALUE"""),544.0)</f>
        <v>544</v>
      </c>
      <c r="D1891" s="3">
        <f>IFERROR(__xludf.DUMMYFUNCTION("""COMPUTED_VALUE"""),437.0)</f>
        <v>437</v>
      </c>
      <c r="E1891" s="2"/>
      <c r="F1891" s="2"/>
    </row>
    <row r="1892">
      <c r="A1892" s="2">
        <f>IFERROR(__xludf.DUMMYFUNCTION("""COMPUTED_VALUE"""),72085.0)</f>
        <v>72085</v>
      </c>
      <c r="B1892" s="2">
        <f>IFERROR(__xludf.DUMMYFUNCTION("""COMPUTED_VALUE"""),0.0)</f>
        <v>0</v>
      </c>
      <c r="C1892" s="2">
        <f>IFERROR(__xludf.DUMMYFUNCTION("""COMPUTED_VALUE"""),191.0)</f>
        <v>191</v>
      </c>
      <c r="D1892" s="3">
        <f>IFERROR(__xludf.DUMMYFUNCTION("""COMPUTED_VALUE"""),69.0)</f>
        <v>69</v>
      </c>
      <c r="E1892" s="2"/>
      <c r="F1892" s="2"/>
    </row>
    <row r="1893">
      <c r="A1893" s="2">
        <f>IFERROR(__xludf.DUMMYFUNCTION("""COMPUTED_VALUE"""),112204.0)</f>
        <v>112204</v>
      </c>
      <c r="B1893" s="2">
        <f>IFERROR(__xludf.DUMMYFUNCTION("""COMPUTED_VALUE"""),1.0)</f>
        <v>1</v>
      </c>
      <c r="C1893" s="2">
        <f>IFERROR(__xludf.DUMMYFUNCTION("""COMPUTED_VALUE"""),167.0)</f>
        <v>167</v>
      </c>
      <c r="D1893" s="3">
        <f>IFERROR(__xludf.DUMMYFUNCTION("""COMPUTED_VALUE"""),117.0)</f>
        <v>117</v>
      </c>
      <c r="E1893" s="2"/>
      <c r="F1893" s="2"/>
    </row>
    <row r="1894">
      <c r="A1894" s="2">
        <f>IFERROR(__xludf.DUMMYFUNCTION("""COMPUTED_VALUE"""),59138.0)</f>
        <v>59138</v>
      </c>
      <c r="B1894" s="2">
        <f>IFERROR(__xludf.DUMMYFUNCTION("""COMPUTED_VALUE"""),1.0)</f>
        <v>1</v>
      </c>
      <c r="C1894" s="2">
        <f>IFERROR(__xludf.DUMMYFUNCTION("""COMPUTED_VALUE"""),221.0)</f>
        <v>221</v>
      </c>
      <c r="D1894" s="3">
        <f>IFERROR(__xludf.DUMMYFUNCTION("""COMPUTED_VALUE"""),89.0)</f>
        <v>89</v>
      </c>
      <c r="E1894" s="2"/>
      <c r="F1894" s="2"/>
    </row>
    <row r="1895">
      <c r="A1895" s="2">
        <f>IFERROR(__xludf.DUMMYFUNCTION("""COMPUTED_VALUE"""),72074.0)</f>
        <v>72074</v>
      </c>
      <c r="B1895" s="2">
        <f>IFERROR(__xludf.DUMMYFUNCTION("""COMPUTED_VALUE"""),0.0)</f>
        <v>0</v>
      </c>
      <c r="C1895" s="2">
        <f>IFERROR(__xludf.DUMMYFUNCTION("""COMPUTED_VALUE"""),661.0)</f>
        <v>661</v>
      </c>
      <c r="D1895" s="3">
        <f>IFERROR(__xludf.DUMMYFUNCTION("""COMPUTED_VALUE"""),86.0)</f>
        <v>86</v>
      </c>
      <c r="E1895" s="2"/>
      <c r="F1895" s="2"/>
    </row>
    <row r="1896">
      <c r="A1896" s="2">
        <f>IFERROR(__xludf.DUMMYFUNCTION("""COMPUTED_VALUE"""),72096.0)</f>
        <v>72096</v>
      </c>
      <c r="B1896" s="2">
        <f>IFERROR(__xludf.DUMMYFUNCTION("""COMPUTED_VALUE"""),1.0)</f>
        <v>1</v>
      </c>
      <c r="C1896" s="2">
        <f>IFERROR(__xludf.DUMMYFUNCTION("""COMPUTED_VALUE"""),952.0)</f>
        <v>952</v>
      </c>
      <c r="D1896" s="3">
        <f>IFERROR(__xludf.DUMMYFUNCTION("""COMPUTED_VALUE"""),139.0)</f>
        <v>139</v>
      </c>
      <c r="E1896" s="2"/>
      <c r="F1896" s="2"/>
    </row>
    <row r="1897">
      <c r="A1897" s="2">
        <f>IFERROR(__xludf.DUMMYFUNCTION("""COMPUTED_VALUE"""),72099.0)</f>
        <v>72099</v>
      </c>
      <c r="B1897" s="2">
        <f>IFERROR(__xludf.DUMMYFUNCTION("""COMPUTED_VALUE"""),1.0)</f>
        <v>1</v>
      </c>
      <c r="C1897" s="2">
        <f>IFERROR(__xludf.DUMMYFUNCTION("""COMPUTED_VALUE"""),717.0)</f>
        <v>717</v>
      </c>
      <c r="D1897" s="3">
        <f>IFERROR(__xludf.DUMMYFUNCTION("""COMPUTED_VALUE"""),66.0)</f>
        <v>66</v>
      </c>
      <c r="E1897" s="2"/>
      <c r="F1897" s="2"/>
    </row>
    <row r="1898">
      <c r="A1898" s="2">
        <f>IFERROR(__xludf.DUMMYFUNCTION("""COMPUTED_VALUE"""),89451.0)</f>
        <v>89451</v>
      </c>
      <c r="B1898" s="2">
        <f>IFERROR(__xludf.DUMMYFUNCTION("""COMPUTED_VALUE"""),0.0)</f>
        <v>0</v>
      </c>
      <c r="C1898" s="2">
        <f>IFERROR(__xludf.DUMMYFUNCTION("""COMPUTED_VALUE"""),730.0)</f>
        <v>730</v>
      </c>
      <c r="D1898" s="3">
        <f>IFERROR(__xludf.DUMMYFUNCTION("""COMPUTED_VALUE"""),114.0)</f>
        <v>114</v>
      </c>
      <c r="E1898" s="2"/>
      <c r="F1898" s="2"/>
    </row>
    <row r="1899">
      <c r="A1899" s="2">
        <f>IFERROR(__xludf.DUMMYFUNCTION("""COMPUTED_VALUE"""),29606.0)</f>
        <v>29606</v>
      </c>
      <c r="B1899" s="2">
        <f>IFERROR(__xludf.DUMMYFUNCTION("""COMPUTED_VALUE"""),0.0)</f>
        <v>0</v>
      </c>
      <c r="C1899" s="2">
        <f>IFERROR(__xludf.DUMMYFUNCTION("""COMPUTED_VALUE"""),522.0)</f>
        <v>522</v>
      </c>
      <c r="D1899" s="3">
        <f>IFERROR(__xludf.DUMMYFUNCTION("""COMPUTED_VALUE"""),276.0)</f>
        <v>276</v>
      </c>
      <c r="E1899" s="2"/>
      <c r="F1899" s="2"/>
    </row>
    <row r="1900">
      <c r="A1900" s="2">
        <f>IFERROR(__xludf.DUMMYFUNCTION("""COMPUTED_VALUE"""),72089.0)</f>
        <v>72089</v>
      </c>
      <c r="B1900" s="2">
        <f>IFERROR(__xludf.DUMMYFUNCTION("""COMPUTED_VALUE"""),1.0)</f>
        <v>1</v>
      </c>
      <c r="C1900" s="2">
        <f>IFERROR(__xludf.DUMMYFUNCTION("""COMPUTED_VALUE"""),336.0)</f>
        <v>336</v>
      </c>
      <c r="D1900" s="3">
        <f>IFERROR(__xludf.DUMMYFUNCTION("""COMPUTED_VALUE"""),294.0)</f>
        <v>294</v>
      </c>
      <c r="E1900" s="2"/>
      <c r="F1900" s="2"/>
    </row>
    <row r="1901">
      <c r="A1901" s="2">
        <f>IFERROR(__xludf.DUMMYFUNCTION("""COMPUTED_VALUE"""),29601.0)</f>
        <v>29601</v>
      </c>
      <c r="B1901" s="2">
        <f>IFERROR(__xludf.DUMMYFUNCTION("""COMPUTED_VALUE"""),1.0)</f>
        <v>1</v>
      </c>
      <c r="C1901" s="2">
        <f>IFERROR(__xludf.DUMMYFUNCTION("""COMPUTED_VALUE"""),609.0)</f>
        <v>609</v>
      </c>
      <c r="D1901" s="3">
        <f>IFERROR(__xludf.DUMMYFUNCTION("""COMPUTED_VALUE"""),417.0)</f>
        <v>417</v>
      </c>
      <c r="E1901" s="2"/>
      <c r="F1901" s="2"/>
    </row>
    <row r="1902">
      <c r="A1902" s="2">
        <f>IFERROR(__xludf.DUMMYFUNCTION("""COMPUTED_VALUE"""),50372.0)</f>
        <v>50372</v>
      </c>
      <c r="B1902" s="2">
        <f>IFERROR(__xludf.DUMMYFUNCTION("""COMPUTED_VALUE"""),1.0)</f>
        <v>1</v>
      </c>
      <c r="C1902" s="2">
        <f>IFERROR(__xludf.DUMMYFUNCTION("""COMPUTED_VALUE"""),125.0)</f>
        <v>125</v>
      </c>
      <c r="D1902" s="3">
        <f>IFERROR(__xludf.DUMMYFUNCTION("""COMPUTED_VALUE"""),66.0)</f>
        <v>66</v>
      </c>
      <c r="E1902" s="2"/>
      <c r="F1902" s="2"/>
    </row>
    <row r="1903">
      <c r="A1903" s="2">
        <f>IFERROR(__xludf.DUMMYFUNCTION("""COMPUTED_VALUE"""),89452.0)</f>
        <v>89452</v>
      </c>
      <c r="B1903" s="2">
        <f>IFERROR(__xludf.DUMMYFUNCTION("""COMPUTED_VALUE"""),0.0)</f>
        <v>0</v>
      </c>
      <c r="C1903" s="2">
        <f>IFERROR(__xludf.DUMMYFUNCTION("""COMPUTED_VALUE"""),882.0)</f>
        <v>882</v>
      </c>
      <c r="D1903" s="3">
        <f>IFERROR(__xludf.DUMMYFUNCTION("""COMPUTED_VALUE"""),203.0)</f>
        <v>203</v>
      </c>
      <c r="E1903" s="2"/>
      <c r="F1903" s="2"/>
    </row>
    <row r="1904">
      <c r="A1904" s="2">
        <f>IFERROR(__xludf.DUMMYFUNCTION("""COMPUTED_VALUE"""),156019.0)</f>
        <v>156019</v>
      </c>
      <c r="B1904" s="2">
        <f>IFERROR(__xludf.DUMMYFUNCTION("""COMPUTED_VALUE"""),0.0)</f>
        <v>0</v>
      </c>
      <c r="C1904" s="2">
        <f>IFERROR(__xludf.DUMMYFUNCTION("""COMPUTED_VALUE"""),207.0)</f>
        <v>207</v>
      </c>
      <c r="D1904" s="3">
        <f>IFERROR(__xludf.DUMMYFUNCTION("""COMPUTED_VALUE"""),53.0)</f>
        <v>53</v>
      </c>
      <c r="E1904" s="2"/>
      <c r="F1904" s="2"/>
    </row>
    <row r="1905">
      <c r="A1905" s="2">
        <f>IFERROR(__xludf.DUMMYFUNCTION("""COMPUTED_VALUE"""),117705.0)</f>
        <v>117705</v>
      </c>
      <c r="B1905" s="2">
        <f>IFERROR(__xludf.DUMMYFUNCTION("""COMPUTED_VALUE"""),1.0)</f>
        <v>1</v>
      </c>
      <c r="C1905" s="2">
        <f>IFERROR(__xludf.DUMMYFUNCTION("""COMPUTED_VALUE"""),727.0)</f>
        <v>727</v>
      </c>
      <c r="D1905" s="3">
        <f>IFERROR(__xludf.DUMMYFUNCTION("""COMPUTED_VALUE"""),337.0)</f>
        <v>337</v>
      </c>
      <c r="E1905" s="2"/>
      <c r="F1905" s="2"/>
    </row>
    <row r="1906">
      <c r="A1906" s="2">
        <f>IFERROR(__xludf.DUMMYFUNCTION("""COMPUTED_VALUE"""),121184.0)</f>
        <v>121184</v>
      </c>
      <c r="B1906" s="2">
        <f>IFERROR(__xludf.DUMMYFUNCTION("""COMPUTED_VALUE"""),1.0)</f>
        <v>1</v>
      </c>
      <c r="C1906" s="2">
        <f>IFERROR(__xludf.DUMMYFUNCTION("""COMPUTED_VALUE"""),43.0)</f>
        <v>43</v>
      </c>
      <c r="D1906" s="3">
        <f>IFERROR(__xludf.DUMMYFUNCTION("""COMPUTED_VALUE"""),43.0)</f>
        <v>43</v>
      </c>
      <c r="E1906" s="2"/>
      <c r="F1906" s="2"/>
    </row>
    <row r="1907">
      <c r="A1907" s="2">
        <f>IFERROR(__xludf.DUMMYFUNCTION("""COMPUTED_VALUE"""),89446.0)</f>
        <v>89446</v>
      </c>
      <c r="B1907" s="2">
        <f>IFERROR(__xludf.DUMMYFUNCTION("""COMPUTED_VALUE"""),1.0)</f>
        <v>1</v>
      </c>
      <c r="C1907" s="2">
        <f>IFERROR(__xludf.DUMMYFUNCTION("""COMPUTED_VALUE"""),191.0)</f>
        <v>191</v>
      </c>
      <c r="D1907" s="3">
        <f>IFERROR(__xludf.DUMMYFUNCTION("""COMPUTED_VALUE"""),90.0)</f>
        <v>90</v>
      </c>
      <c r="E1907" s="2"/>
      <c r="F1907" s="2"/>
    </row>
    <row r="1908">
      <c r="A1908" s="2">
        <f>IFERROR(__xludf.DUMMYFUNCTION("""COMPUTED_VALUE"""),102339.0)</f>
        <v>102339</v>
      </c>
      <c r="B1908" s="2">
        <f>IFERROR(__xludf.DUMMYFUNCTION("""COMPUTED_VALUE"""),0.0)</f>
        <v>0</v>
      </c>
      <c r="C1908" s="2">
        <f>IFERROR(__xludf.DUMMYFUNCTION("""COMPUTED_VALUE"""),595.0)</f>
        <v>595</v>
      </c>
      <c r="D1908" s="3">
        <f>IFERROR(__xludf.DUMMYFUNCTION("""COMPUTED_VALUE"""),233.0)</f>
        <v>233</v>
      </c>
      <c r="E1908" s="2"/>
      <c r="F1908" s="2"/>
    </row>
    <row r="1909">
      <c r="A1909" s="2">
        <f>IFERROR(__xludf.DUMMYFUNCTION("""COMPUTED_VALUE"""),121193.0)</f>
        <v>121193</v>
      </c>
      <c r="B1909" s="2">
        <f>IFERROR(__xludf.DUMMYFUNCTION("""COMPUTED_VALUE"""),1.0)</f>
        <v>1</v>
      </c>
      <c r="C1909" s="2">
        <f>IFERROR(__xludf.DUMMYFUNCTION("""COMPUTED_VALUE"""),183.0)</f>
        <v>183</v>
      </c>
      <c r="D1909" s="3">
        <f>IFERROR(__xludf.DUMMYFUNCTION("""COMPUTED_VALUE"""),10.0)</f>
        <v>10</v>
      </c>
      <c r="E1909" s="2"/>
      <c r="F1909" s="2"/>
    </row>
    <row r="1910">
      <c r="A1910" s="2">
        <f>IFERROR(__xludf.DUMMYFUNCTION("""COMPUTED_VALUE"""),102332.0)</f>
        <v>102332</v>
      </c>
      <c r="B1910" s="2">
        <f>IFERROR(__xludf.DUMMYFUNCTION("""COMPUTED_VALUE"""),1.0)</f>
        <v>1</v>
      </c>
      <c r="C1910" s="2">
        <f>IFERROR(__xludf.DUMMYFUNCTION("""COMPUTED_VALUE"""),437.0)</f>
        <v>437</v>
      </c>
      <c r="D1910" s="3">
        <f>IFERROR(__xludf.DUMMYFUNCTION("""COMPUTED_VALUE"""),359.0)</f>
        <v>359</v>
      </c>
      <c r="E1910" s="2"/>
      <c r="F1910" s="2"/>
    </row>
    <row r="1911">
      <c r="A1911" s="2">
        <f>IFERROR(__xludf.DUMMYFUNCTION("""COMPUTED_VALUE"""),121775.0)</f>
        <v>121775</v>
      </c>
      <c r="B1911" s="2">
        <f>IFERROR(__xludf.DUMMYFUNCTION("""COMPUTED_VALUE"""),1.0)</f>
        <v>1</v>
      </c>
      <c r="C1911" s="2">
        <f>IFERROR(__xludf.DUMMYFUNCTION("""COMPUTED_VALUE"""),202.0)</f>
        <v>202</v>
      </c>
      <c r="D1911" s="3">
        <f>IFERROR(__xludf.DUMMYFUNCTION("""COMPUTED_VALUE"""),185.0)</f>
        <v>185</v>
      </c>
      <c r="E1911" s="2"/>
      <c r="F1911" s="2"/>
    </row>
    <row r="1912">
      <c r="A1912" s="2">
        <f>IFERROR(__xludf.DUMMYFUNCTION("""COMPUTED_VALUE"""),100903.0)</f>
        <v>100903</v>
      </c>
      <c r="B1912" s="2">
        <f>IFERROR(__xludf.DUMMYFUNCTION("""COMPUTED_VALUE"""),0.0)</f>
        <v>0</v>
      </c>
      <c r="C1912" s="2">
        <f>IFERROR(__xludf.DUMMYFUNCTION("""COMPUTED_VALUE"""),509.0)</f>
        <v>509</v>
      </c>
      <c r="D1912" s="3">
        <f>IFERROR(__xludf.DUMMYFUNCTION("""COMPUTED_VALUE"""),9.0)</f>
        <v>9</v>
      </c>
      <c r="E1912" s="2"/>
      <c r="F1912" s="2"/>
    </row>
    <row r="1913">
      <c r="A1913" s="2">
        <f>IFERROR(__xludf.DUMMYFUNCTION("""COMPUTED_VALUE"""),81463.0)</f>
        <v>81463</v>
      </c>
      <c r="B1913" s="2">
        <f>IFERROR(__xludf.DUMMYFUNCTION("""COMPUTED_VALUE"""),1.0)</f>
        <v>1</v>
      </c>
      <c r="C1913" s="2">
        <f>IFERROR(__xludf.DUMMYFUNCTION("""COMPUTED_VALUE"""),951.0)</f>
        <v>951</v>
      </c>
      <c r="D1913" s="3">
        <f>IFERROR(__xludf.DUMMYFUNCTION("""COMPUTED_VALUE"""),880.0)</f>
        <v>880</v>
      </c>
      <c r="E1913" s="2"/>
      <c r="F1913" s="2"/>
    </row>
    <row r="1914">
      <c r="A1914" s="2">
        <f>IFERROR(__xludf.DUMMYFUNCTION("""COMPUTED_VALUE"""),75788.0)</f>
        <v>75788</v>
      </c>
      <c r="B1914" s="2">
        <f>IFERROR(__xludf.DUMMYFUNCTION("""COMPUTED_VALUE"""),0.0)</f>
        <v>0</v>
      </c>
      <c r="C1914" s="2">
        <f>IFERROR(__xludf.DUMMYFUNCTION("""COMPUTED_VALUE"""),494.0)</f>
        <v>494</v>
      </c>
      <c r="D1914" s="3">
        <f>IFERROR(__xludf.DUMMYFUNCTION("""COMPUTED_VALUE"""),262.0)</f>
        <v>262</v>
      </c>
      <c r="E1914" s="2"/>
      <c r="F1914" s="2"/>
    </row>
    <row r="1915">
      <c r="A1915" s="2">
        <f>IFERROR(__xludf.DUMMYFUNCTION("""COMPUTED_VALUE"""),121185.0)</f>
        <v>121185</v>
      </c>
      <c r="B1915" s="2">
        <f>IFERROR(__xludf.DUMMYFUNCTION("""COMPUTED_VALUE"""),0.0)</f>
        <v>0</v>
      </c>
      <c r="C1915" s="2">
        <f>IFERROR(__xludf.DUMMYFUNCTION("""COMPUTED_VALUE"""),454.0)</f>
        <v>454</v>
      </c>
      <c r="D1915" s="3">
        <f>IFERROR(__xludf.DUMMYFUNCTION("""COMPUTED_VALUE"""),324.0)</f>
        <v>324</v>
      </c>
      <c r="E1915" s="2"/>
      <c r="F1915" s="2"/>
    </row>
    <row r="1916">
      <c r="A1916" s="2">
        <f>IFERROR(__xludf.DUMMYFUNCTION("""COMPUTED_VALUE"""),89440.0)</f>
        <v>89440</v>
      </c>
      <c r="B1916" s="2">
        <f>IFERROR(__xludf.DUMMYFUNCTION("""COMPUTED_VALUE"""),0.0)</f>
        <v>0</v>
      </c>
      <c r="C1916" s="2">
        <f>IFERROR(__xludf.DUMMYFUNCTION("""COMPUTED_VALUE"""),559.0)</f>
        <v>559</v>
      </c>
      <c r="D1916" s="3">
        <f>IFERROR(__xludf.DUMMYFUNCTION("""COMPUTED_VALUE"""),133.0)</f>
        <v>133</v>
      </c>
      <c r="E1916" s="2"/>
      <c r="F1916" s="2"/>
    </row>
    <row r="1917">
      <c r="A1917" s="2">
        <f>IFERROR(__xludf.DUMMYFUNCTION("""COMPUTED_VALUE"""),103058.0)</f>
        <v>103058</v>
      </c>
      <c r="B1917" s="2">
        <f>IFERROR(__xludf.DUMMYFUNCTION("""COMPUTED_VALUE"""),0.0)</f>
        <v>0</v>
      </c>
      <c r="C1917" s="2">
        <f>IFERROR(__xludf.DUMMYFUNCTION("""COMPUTED_VALUE"""),778.0)</f>
        <v>778</v>
      </c>
      <c r="D1917" s="3">
        <f>IFERROR(__xludf.DUMMYFUNCTION("""COMPUTED_VALUE"""),152.0)</f>
        <v>152</v>
      </c>
      <c r="E1917" s="2"/>
      <c r="F1917" s="2"/>
    </row>
    <row r="1918">
      <c r="A1918" s="2">
        <f>IFERROR(__xludf.DUMMYFUNCTION("""COMPUTED_VALUE"""),117716.0)</f>
        <v>117716</v>
      </c>
      <c r="B1918" s="2">
        <f>IFERROR(__xludf.DUMMYFUNCTION("""COMPUTED_VALUE"""),0.0)</f>
        <v>0</v>
      </c>
      <c r="C1918" s="2">
        <f>IFERROR(__xludf.DUMMYFUNCTION("""COMPUTED_VALUE"""),172.0)</f>
        <v>172</v>
      </c>
      <c r="D1918" s="3">
        <f>IFERROR(__xludf.DUMMYFUNCTION("""COMPUTED_VALUE"""),116.0)</f>
        <v>116</v>
      </c>
      <c r="E1918" s="2"/>
      <c r="F1918" s="2"/>
    </row>
    <row r="1919">
      <c r="A1919" s="2">
        <f>IFERROR(__xludf.DUMMYFUNCTION("""COMPUTED_VALUE"""),71287.0)</f>
        <v>71287</v>
      </c>
      <c r="B1919" s="2">
        <f>IFERROR(__xludf.DUMMYFUNCTION("""COMPUTED_VALUE"""),0.0)</f>
        <v>0</v>
      </c>
      <c r="C1919" s="2">
        <f>IFERROR(__xludf.DUMMYFUNCTION("""COMPUTED_VALUE"""),429.0)</f>
        <v>429</v>
      </c>
      <c r="D1919" s="3">
        <f>IFERROR(__xludf.DUMMYFUNCTION("""COMPUTED_VALUE"""),195.0)</f>
        <v>195</v>
      </c>
      <c r="E1919" s="2"/>
      <c r="F1919" s="2"/>
    </row>
    <row r="1920">
      <c r="A1920" s="2">
        <f>IFERROR(__xludf.DUMMYFUNCTION("""COMPUTED_VALUE"""),110685.0)</f>
        <v>110685</v>
      </c>
      <c r="B1920" s="2">
        <f>IFERROR(__xludf.DUMMYFUNCTION("""COMPUTED_VALUE"""),1.0)</f>
        <v>1</v>
      </c>
      <c r="C1920" s="2">
        <f>IFERROR(__xludf.DUMMYFUNCTION("""COMPUTED_VALUE"""),511.0)</f>
        <v>511</v>
      </c>
      <c r="D1920" s="3">
        <f>IFERROR(__xludf.DUMMYFUNCTION("""COMPUTED_VALUE"""),292.0)</f>
        <v>292</v>
      </c>
      <c r="E1920" s="2"/>
      <c r="F1920" s="2"/>
    </row>
    <row r="1921">
      <c r="A1921" s="2">
        <f>IFERROR(__xludf.DUMMYFUNCTION("""COMPUTED_VALUE"""),79335.0)</f>
        <v>79335</v>
      </c>
      <c r="B1921" s="2">
        <f>IFERROR(__xludf.DUMMYFUNCTION("""COMPUTED_VALUE"""),0.0)</f>
        <v>0</v>
      </c>
      <c r="C1921" s="2">
        <f>IFERROR(__xludf.DUMMYFUNCTION("""COMPUTED_VALUE"""),94.0)</f>
        <v>94</v>
      </c>
      <c r="D1921" s="3">
        <f>IFERROR(__xludf.DUMMYFUNCTION("""COMPUTED_VALUE"""),66.0)</f>
        <v>66</v>
      </c>
      <c r="E1921" s="2"/>
      <c r="F1921" s="2"/>
    </row>
    <row r="1922">
      <c r="A1922" s="2">
        <f>IFERROR(__xludf.DUMMYFUNCTION("""COMPUTED_VALUE"""),45538.0)</f>
        <v>45538</v>
      </c>
      <c r="B1922" s="2">
        <f>IFERROR(__xludf.DUMMYFUNCTION("""COMPUTED_VALUE"""),0.0)</f>
        <v>0</v>
      </c>
      <c r="C1922" s="2">
        <f>IFERROR(__xludf.DUMMYFUNCTION("""COMPUTED_VALUE"""),425.0)</f>
        <v>425</v>
      </c>
      <c r="D1922" s="3">
        <f>IFERROR(__xludf.DUMMYFUNCTION("""COMPUTED_VALUE"""),224.0)</f>
        <v>224</v>
      </c>
      <c r="E1922" s="2"/>
      <c r="F1922" s="2"/>
    </row>
    <row r="1923">
      <c r="A1923" s="2">
        <f>IFERROR(__xludf.DUMMYFUNCTION("""COMPUTED_VALUE"""),76691.0)</f>
        <v>76691</v>
      </c>
      <c r="B1923" s="2">
        <f>IFERROR(__xludf.DUMMYFUNCTION("""COMPUTED_VALUE"""),1.0)</f>
        <v>1</v>
      </c>
      <c r="C1923" s="2">
        <f>IFERROR(__xludf.DUMMYFUNCTION("""COMPUTED_VALUE"""),543.0)</f>
        <v>543</v>
      </c>
      <c r="D1923" s="3">
        <f>IFERROR(__xludf.DUMMYFUNCTION("""COMPUTED_VALUE"""),321.0)</f>
        <v>321</v>
      </c>
      <c r="E1923" s="2"/>
      <c r="F1923" s="2"/>
    </row>
    <row r="1924">
      <c r="A1924" s="2">
        <f>IFERROR(__xludf.DUMMYFUNCTION("""COMPUTED_VALUE"""),2336.0)</f>
        <v>2336</v>
      </c>
      <c r="B1924" s="2">
        <f>IFERROR(__xludf.DUMMYFUNCTION("""COMPUTED_VALUE"""),0.0)</f>
        <v>0</v>
      </c>
      <c r="C1924" s="2">
        <f>IFERROR(__xludf.DUMMYFUNCTION("""COMPUTED_VALUE"""),239.0)</f>
        <v>239</v>
      </c>
      <c r="D1924" s="3">
        <f>IFERROR(__xludf.DUMMYFUNCTION("""COMPUTED_VALUE"""),62.0)</f>
        <v>62</v>
      </c>
      <c r="E1924" s="2"/>
      <c r="F1924" s="2"/>
    </row>
    <row r="1925">
      <c r="A1925" s="2">
        <f>IFERROR(__xludf.DUMMYFUNCTION("""COMPUTED_VALUE"""),91912.0)</f>
        <v>91912</v>
      </c>
      <c r="B1925" s="2">
        <f>IFERROR(__xludf.DUMMYFUNCTION("""COMPUTED_VALUE"""),0.0)</f>
        <v>0</v>
      </c>
      <c r="C1925" s="2">
        <f>IFERROR(__xludf.DUMMYFUNCTION("""COMPUTED_VALUE"""),106.0)</f>
        <v>106</v>
      </c>
      <c r="D1925" s="3">
        <f>IFERROR(__xludf.DUMMYFUNCTION("""COMPUTED_VALUE"""),31.0)</f>
        <v>31</v>
      </c>
      <c r="E1925" s="2"/>
      <c r="F1925" s="2"/>
    </row>
    <row r="1926">
      <c r="A1926" s="2">
        <f>IFERROR(__xludf.DUMMYFUNCTION("""COMPUTED_VALUE"""),110826.0)</f>
        <v>110826</v>
      </c>
      <c r="B1926" s="2">
        <f>IFERROR(__xludf.DUMMYFUNCTION("""COMPUTED_VALUE"""),0.0)</f>
        <v>0</v>
      </c>
      <c r="C1926" s="2">
        <f>IFERROR(__xludf.DUMMYFUNCTION("""COMPUTED_VALUE"""),196.0)</f>
        <v>196</v>
      </c>
      <c r="D1926" s="3">
        <f>IFERROR(__xludf.DUMMYFUNCTION("""COMPUTED_VALUE"""),26.0)</f>
        <v>26</v>
      </c>
      <c r="E1926" s="2"/>
      <c r="F1926" s="2"/>
    </row>
    <row r="1927">
      <c r="A1927" s="2">
        <f>IFERROR(__xludf.DUMMYFUNCTION("""COMPUTED_VALUE"""),117710.0)</f>
        <v>117710</v>
      </c>
      <c r="B1927" s="2">
        <f>IFERROR(__xludf.DUMMYFUNCTION("""COMPUTED_VALUE"""),1.0)</f>
        <v>1</v>
      </c>
      <c r="C1927" s="2">
        <f>IFERROR(__xludf.DUMMYFUNCTION("""COMPUTED_VALUE"""),479.0)</f>
        <v>479</v>
      </c>
      <c r="D1927" s="3">
        <f>IFERROR(__xludf.DUMMYFUNCTION("""COMPUTED_VALUE"""),212.0)</f>
        <v>212</v>
      </c>
      <c r="E1927" s="2"/>
      <c r="F1927" s="2"/>
    </row>
    <row r="1928">
      <c r="A1928" s="2">
        <f>IFERROR(__xludf.DUMMYFUNCTION("""COMPUTED_VALUE"""),3621.0)</f>
        <v>3621</v>
      </c>
      <c r="B1928" s="2">
        <f>IFERROR(__xludf.DUMMYFUNCTION("""COMPUTED_VALUE"""),0.0)</f>
        <v>0</v>
      </c>
      <c r="C1928" s="2">
        <f>IFERROR(__xludf.DUMMYFUNCTION("""COMPUTED_VALUE"""),745.0)</f>
        <v>745</v>
      </c>
      <c r="D1928" s="3">
        <f>IFERROR(__xludf.DUMMYFUNCTION("""COMPUTED_VALUE"""),353.0)</f>
        <v>353</v>
      </c>
      <c r="E1928" s="2"/>
      <c r="F1928" s="2"/>
    </row>
    <row r="1929">
      <c r="A1929" s="2">
        <f>IFERROR(__xludf.DUMMYFUNCTION("""COMPUTED_VALUE"""),4179.0)</f>
        <v>4179</v>
      </c>
      <c r="B1929" s="2">
        <f>IFERROR(__xludf.DUMMYFUNCTION("""COMPUTED_VALUE"""),1.0)</f>
        <v>1</v>
      </c>
      <c r="C1929" s="2">
        <f>IFERROR(__xludf.DUMMYFUNCTION("""COMPUTED_VALUE"""),534.0)</f>
        <v>534</v>
      </c>
      <c r="D1929" s="3">
        <f>IFERROR(__xludf.DUMMYFUNCTION("""COMPUTED_VALUE"""),246.0)</f>
        <v>246</v>
      </c>
      <c r="E1929" s="2"/>
      <c r="F1929" s="2"/>
    </row>
    <row r="1930">
      <c r="A1930" s="2">
        <f>IFERROR(__xludf.DUMMYFUNCTION("""COMPUTED_VALUE"""),89407.0)</f>
        <v>89407</v>
      </c>
      <c r="B1930" s="2">
        <f>IFERROR(__xludf.DUMMYFUNCTION("""COMPUTED_VALUE"""),1.0)</f>
        <v>1</v>
      </c>
      <c r="C1930" s="2">
        <f>IFERROR(__xludf.DUMMYFUNCTION("""COMPUTED_VALUE"""),230.0)</f>
        <v>230</v>
      </c>
      <c r="D1930" s="3">
        <f>IFERROR(__xludf.DUMMYFUNCTION("""COMPUTED_VALUE"""),211.0)</f>
        <v>211</v>
      </c>
      <c r="E1930" s="2"/>
      <c r="F1930" s="2"/>
    </row>
    <row r="1931">
      <c r="A1931" s="2">
        <f>IFERROR(__xludf.DUMMYFUNCTION("""COMPUTED_VALUE"""),121190.0)</f>
        <v>121190</v>
      </c>
      <c r="B1931" s="2">
        <f>IFERROR(__xludf.DUMMYFUNCTION("""COMPUTED_VALUE"""),1.0)</f>
        <v>1</v>
      </c>
      <c r="C1931" s="2">
        <f>IFERROR(__xludf.DUMMYFUNCTION("""COMPUTED_VALUE"""),204.0)</f>
        <v>204</v>
      </c>
      <c r="D1931" s="3">
        <f>IFERROR(__xludf.DUMMYFUNCTION("""COMPUTED_VALUE"""),172.0)</f>
        <v>172</v>
      </c>
      <c r="E1931" s="2"/>
      <c r="F1931" s="2"/>
    </row>
    <row r="1932">
      <c r="A1932" s="2">
        <f>IFERROR(__xludf.DUMMYFUNCTION("""COMPUTED_VALUE"""),45524.0)</f>
        <v>45524</v>
      </c>
      <c r="B1932" s="2">
        <f>IFERROR(__xludf.DUMMYFUNCTION("""COMPUTED_VALUE"""),1.0)</f>
        <v>1</v>
      </c>
      <c r="C1932" s="2">
        <f>IFERROR(__xludf.DUMMYFUNCTION("""COMPUTED_VALUE"""),342.0)</f>
        <v>342</v>
      </c>
      <c r="D1932" s="3">
        <f>IFERROR(__xludf.DUMMYFUNCTION("""COMPUTED_VALUE"""),140.0)</f>
        <v>140</v>
      </c>
      <c r="E1932" s="2"/>
      <c r="F1932" s="2"/>
    </row>
    <row r="1933">
      <c r="A1933" s="2">
        <f>IFERROR(__xludf.DUMMYFUNCTION("""COMPUTED_VALUE"""),3634.0)</f>
        <v>3634</v>
      </c>
      <c r="B1933" s="2">
        <f>IFERROR(__xludf.DUMMYFUNCTION("""COMPUTED_VALUE"""),0.0)</f>
        <v>0</v>
      </c>
      <c r="C1933" s="2">
        <f>IFERROR(__xludf.DUMMYFUNCTION("""COMPUTED_VALUE"""),871.0)</f>
        <v>871</v>
      </c>
      <c r="D1933" s="3">
        <f>IFERROR(__xludf.DUMMYFUNCTION("""COMPUTED_VALUE"""),397.0)</f>
        <v>397</v>
      </c>
      <c r="E1933" s="2"/>
      <c r="F1933" s="2"/>
    </row>
    <row r="1934">
      <c r="A1934" s="2">
        <f>IFERROR(__xludf.DUMMYFUNCTION("""COMPUTED_VALUE"""),104327.0)</f>
        <v>104327</v>
      </c>
      <c r="B1934" s="2">
        <f>IFERROR(__xludf.DUMMYFUNCTION("""COMPUTED_VALUE"""),0.0)</f>
        <v>0</v>
      </c>
      <c r="C1934" s="2">
        <f>IFERROR(__xludf.DUMMYFUNCTION("""COMPUTED_VALUE"""),170.0)</f>
        <v>170</v>
      </c>
      <c r="D1934" s="3">
        <f>IFERROR(__xludf.DUMMYFUNCTION("""COMPUTED_VALUE"""),50.0)</f>
        <v>50</v>
      </c>
      <c r="E1934" s="2"/>
      <c r="F1934" s="2"/>
    </row>
    <row r="1935">
      <c r="A1935" s="2">
        <f>IFERROR(__xludf.DUMMYFUNCTION("""COMPUTED_VALUE"""),71282.0)</f>
        <v>71282</v>
      </c>
      <c r="B1935" s="2">
        <f>IFERROR(__xludf.DUMMYFUNCTION("""COMPUTED_VALUE"""),1.0)</f>
        <v>1</v>
      </c>
      <c r="C1935" s="2">
        <f>IFERROR(__xludf.DUMMYFUNCTION("""COMPUTED_VALUE"""),780.0)</f>
        <v>780</v>
      </c>
      <c r="D1935" s="3">
        <f>IFERROR(__xludf.DUMMYFUNCTION("""COMPUTED_VALUE"""),748.0)</f>
        <v>748</v>
      </c>
      <c r="E1935" s="2"/>
      <c r="F1935" s="2"/>
    </row>
    <row r="1936">
      <c r="A1936" s="2">
        <f>IFERROR(__xludf.DUMMYFUNCTION("""COMPUTED_VALUE"""),89411.0)</f>
        <v>89411</v>
      </c>
      <c r="B1936" s="2">
        <f>IFERROR(__xludf.DUMMYFUNCTION("""COMPUTED_VALUE"""),1.0)</f>
        <v>1</v>
      </c>
      <c r="C1936" s="2">
        <f>IFERROR(__xludf.DUMMYFUNCTION("""COMPUTED_VALUE"""),562.0)</f>
        <v>562</v>
      </c>
      <c r="D1936" s="3">
        <f>IFERROR(__xludf.DUMMYFUNCTION("""COMPUTED_VALUE"""),186.0)</f>
        <v>186</v>
      </c>
      <c r="E1936" s="2"/>
      <c r="F1936" s="2"/>
    </row>
    <row r="1937">
      <c r="A1937" s="2">
        <f>IFERROR(__xludf.DUMMYFUNCTION("""COMPUTED_VALUE"""),105361.0)</f>
        <v>105361</v>
      </c>
      <c r="B1937" s="2">
        <f>IFERROR(__xludf.DUMMYFUNCTION("""COMPUTED_VALUE"""),1.0)</f>
        <v>1</v>
      </c>
      <c r="C1937" s="2">
        <f>IFERROR(__xludf.DUMMYFUNCTION("""COMPUTED_VALUE"""),797.0)</f>
        <v>797</v>
      </c>
      <c r="D1937" s="3">
        <f>IFERROR(__xludf.DUMMYFUNCTION("""COMPUTED_VALUE"""),75.0)</f>
        <v>75</v>
      </c>
      <c r="E1937" s="2"/>
      <c r="F1937" s="2"/>
    </row>
    <row r="1938">
      <c r="A1938" s="2">
        <f>IFERROR(__xludf.DUMMYFUNCTION("""COMPUTED_VALUE"""),105359.0)</f>
        <v>105359</v>
      </c>
      <c r="B1938" s="2">
        <f>IFERROR(__xludf.DUMMYFUNCTION("""COMPUTED_VALUE"""),0.0)</f>
        <v>0</v>
      </c>
      <c r="C1938" s="2">
        <f>IFERROR(__xludf.DUMMYFUNCTION("""COMPUTED_VALUE"""),718.0)</f>
        <v>718</v>
      </c>
      <c r="D1938" s="3">
        <f>IFERROR(__xludf.DUMMYFUNCTION("""COMPUTED_VALUE"""),659.0)</f>
        <v>659</v>
      </c>
      <c r="E1938" s="2"/>
      <c r="F1938" s="2"/>
    </row>
    <row r="1939">
      <c r="A1939" s="2">
        <f>IFERROR(__xludf.DUMMYFUNCTION("""COMPUTED_VALUE"""),75174.0)</f>
        <v>75174</v>
      </c>
      <c r="B1939" s="2">
        <f>IFERROR(__xludf.DUMMYFUNCTION("""COMPUTED_VALUE"""),1.0)</f>
        <v>1</v>
      </c>
      <c r="C1939" s="2">
        <f>IFERROR(__xludf.DUMMYFUNCTION("""COMPUTED_VALUE"""),52.0)</f>
        <v>52</v>
      </c>
      <c r="D1939" s="3">
        <f>IFERROR(__xludf.DUMMYFUNCTION("""COMPUTED_VALUE"""),29.0)</f>
        <v>29</v>
      </c>
      <c r="E1939" s="2"/>
      <c r="F1939" s="2"/>
    </row>
    <row r="1940">
      <c r="A1940" s="2">
        <f>IFERROR(__xludf.DUMMYFUNCTION("""COMPUTED_VALUE"""),11895.0)</f>
        <v>11895</v>
      </c>
      <c r="B1940" s="2">
        <f>IFERROR(__xludf.DUMMYFUNCTION("""COMPUTED_VALUE"""),0.0)</f>
        <v>0</v>
      </c>
      <c r="C1940" s="2">
        <f>IFERROR(__xludf.DUMMYFUNCTION("""COMPUTED_VALUE"""),385.0)</f>
        <v>385</v>
      </c>
      <c r="D1940" s="3">
        <f>IFERROR(__xludf.DUMMYFUNCTION("""COMPUTED_VALUE"""),108.0)</f>
        <v>108</v>
      </c>
      <c r="E1940" s="2"/>
      <c r="F1940" s="2"/>
    </row>
    <row r="1941">
      <c r="A1941" s="2">
        <f>IFERROR(__xludf.DUMMYFUNCTION("""COMPUTED_VALUE"""),11812.0)</f>
        <v>11812</v>
      </c>
      <c r="B1941" s="2">
        <f>IFERROR(__xludf.DUMMYFUNCTION("""COMPUTED_VALUE"""),0.0)</f>
        <v>0</v>
      </c>
      <c r="C1941" s="2">
        <f>IFERROR(__xludf.DUMMYFUNCTION("""COMPUTED_VALUE"""),476.0)</f>
        <v>476</v>
      </c>
      <c r="D1941" s="3">
        <f>IFERROR(__xludf.DUMMYFUNCTION("""COMPUTED_VALUE"""),148.0)</f>
        <v>148</v>
      </c>
      <c r="E1941" s="2"/>
      <c r="F1941" s="2"/>
    </row>
    <row r="1942">
      <c r="A1942" s="2">
        <f>IFERROR(__xludf.DUMMYFUNCTION("""COMPUTED_VALUE"""),11815.0)</f>
        <v>11815</v>
      </c>
      <c r="B1942" s="2">
        <f>IFERROR(__xludf.DUMMYFUNCTION("""COMPUTED_VALUE"""),1.0)</f>
        <v>1</v>
      </c>
      <c r="C1942" s="2">
        <f>IFERROR(__xludf.DUMMYFUNCTION("""COMPUTED_VALUE"""),401.0)</f>
        <v>401</v>
      </c>
      <c r="D1942" s="3">
        <f>IFERROR(__xludf.DUMMYFUNCTION("""COMPUTED_VALUE"""),198.0)</f>
        <v>198</v>
      </c>
      <c r="E1942" s="2"/>
      <c r="F1942" s="2"/>
    </row>
    <row r="1943">
      <c r="A1943" s="2">
        <f>IFERROR(__xludf.DUMMYFUNCTION("""COMPUTED_VALUE"""),11784.0)</f>
        <v>11784</v>
      </c>
      <c r="B1943" s="2">
        <f>IFERROR(__xludf.DUMMYFUNCTION("""COMPUTED_VALUE"""),1.0)</f>
        <v>1</v>
      </c>
      <c r="C1943" s="2">
        <f>IFERROR(__xludf.DUMMYFUNCTION("""COMPUTED_VALUE"""),765.0)</f>
        <v>765</v>
      </c>
      <c r="D1943" s="3">
        <f>IFERROR(__xludf.DUMMYFUNCTION("""COMPUTED_VALUE"""),151.0)</f>
        <v>151</v>
      </c>
      <c r="E1943" s="2"/>
      <c r="F1943" s="2"/>
    </row>
    <row r="1944">
      <c r="A1944" s="2">
        <f>IFERROR(__xludf.DUMMYFUNCTION("""COMPUTED_VALUE"""),89241.0)</f>
        <v>89241</v>
      </c>
      <c r="B1944" s="2">
        <f>IFERROR(__xludf.DUMMYFUNCTION("""COMPUTED_VALUE"""),1.0)</f>
        <v>1</v>
      </c>
      <c r="C1944" s="2">
        <f>IFERROR(__xludf.DUMMYFUNCTION("""COMPUTED_VALUE"""),748.0)</f>
        <v>748</v>
      </c>
      <c r="D1944" s="3">
        <f>IFERROR(__xludf.DUMMYFUNCTION("""COMPUTED_VALUE"""),379.0)</f>
        <v>379</v>
      </c>
      <c r="E1944" s="2"/>
      <c r="F1944" s="2"/>
    </row>
    <row r="1945">
      <c r="A1945" s="2">
        <f>IFERROR(__xludf.DUMMYFUNCTION("""COMPUTED_VALUE"""),117688.0)</f>
        <v>117688</v>
      </c>
      <c r="B1945" s="2">
        <f>IFERROR(__xludf.DUMMYFUNCTION("""COMPUTED_VALUE"""),1.0)</f>
        <v>1</v>
      </c>
      <c r="C1945" s="2">
        <f>IFERROR(__xludf.DUMMYFUNCTION("""COMPUTED_VALUE"""),591.0)</f>
        <v>591</v>
      </c>
      <c r="D1945" s="3">
        <f>IFERROR(__xludf.DUMMYFUNCTION("""COMPUTED_VALUE"""),83.0)</f>
        <v>83</v>
      </c>
      <c r="E1945" s="2"/>
      <c r="F1945" s="2"/>
    </row>
    <row r="1946">
      <c r="A1946" s="2">
        <f>IFERROR(__xludf.DUMMYFUNCTION("""COMPUTED_VALUE"""),77688.0)</f>
        <v>77688</v>
      </c>
      <c r="B1946" s="2">
        <f>IFERROR(__xludf.DUMMYFUNCTION("""COMPUTED_VALUE"""),0.0)</f>
        <v>0</v>
      </c>
      <c r="C1946" s="2">
        <f>IFERROR(__xludf.DUMMYFUNCTION("""COMPUTED_VALUE"""),898.0)</f>
        <v>898</v>
      </c>
      <c r="D1946" s="3">
        <f>IFERROR(__xludf.DUMMYFUNCTION("""COMPUTED_VALUE"""),694.0)</f>
        <v>694</v>
      </c>
      <c r="E1946" s="2"/>
      <c r="F1946" s="2"/>
    </row>
    <row r="1947">
      <c r="A1947" s="2">
        <f>IFERROR(__xludf.DUMMYFUNCTION("""COMPUTED_VALUE"""),89282.0)</f>
        <v>89282</v>
      </c>
      <c r="B1947" s="2">
        <f>IFERROR(__xludf.DUMMYFUNCTION("""COMPUTED_VALUE"""),0.0)</f>
        <v>0</v>
      </c>
      <c r="C1947" s="2">
        <f>IFERROR(__xludf.DUMMYFUNCTION("""COMPUTED_VALUE"""),895.0)</f>
        <v>895</v>
      </c>
      <c r="D1947" s="3">
        <f>IFERROR(__xludf.DUMMYFUNCTION("""COMPUTED_VALUE"""),530.0)</f>
        <v>530</v>
      </c>
      <c r="E1947" s="2"/>
      <c r="F1947" s="2"/>
    </row>
    <row r="1948">
      <c r="A1948" s="2">
        <f>IFERROR(__xludf.DUMMYFUNCTION("""COMPUTED_VALUE"""),11769.0)</f>
        <v>11769</v>
      </c>
      <c r="B1948" s="2">
        <f>IFERROR(__xludf.DUMMYFUNCTION("""COMPUTED_VALUE"""),1.0)</f>
        <v>1</v>
      </c>
      <c r="C1948" s="2">
        <f>IFERROR(__xludf.DUMMYFUNCTION("""COMPUTED_VALUE"""),765.0)</f>
        <v>765</v>
      </c>
      <c r="D1948" s="3">
        <f>IFERROR(__xludf.DUMMYFUNCTION("""COMPUTED_VALUE"""),524.0)</f>
        <v>524</v>
      </c>
      <c r="E1948" s="2"/>
      <c r="F1948" s="2"/>
    </row>
    <row r="1949">
      <c r="A1949" s="2">
        <f>IFERROR(__xludf.DUMMYFUNCTION("""COMPUTED_VALUE"""),117544.0)</f>
        <v>117544</v>
      </c>
      <c r="B1949" s="2">
        <f>IFERROR(__xludf.DUMMYFUNCTION("""COMPUTED_VALUE"""),1.0)</f>
        <v>1</v>
      </c>
      <c r="C1949" s="2">
        <f>IFERROR(__xludf.DUMMYFUNCTION("""COMPUTED_VALUE"""),112.0)</f>
        <v>112</v>
      </c>
      <c r="D1949" s="3">
        <f>IFERROR(__xludf.DUMMYFUNCTION("""COMPUTED_VALUE"""),98.0)</f>
        <v>98</v>
      </c>
      <c r="E1949" s="2"/>
      <c r="F1949" s="2"/>
    </row>
    <row r="1950">
      <c r="A1950" s="2">
        <f>IFERROR(__xludf.DUMMYFUNCTION("""COMPUTED_VALUE"""),94860.0)</f>
        <v>94860</v>
      </c>
      <c r="B1950" s="2">
        <f>IFERROR(__xludf.DUMMYFUNCTION("""COMPUTED_VALUE"""),1.0)</f>
        <v>1</v>
      </c>
      <c r="C1950" s="2">
        <f>IFERROR(__xludf.DUMMYFUNCTION("""COMPUTED_VALUE"""),628.0)</f>
        <v>628</v>
      </c>
      <c r="D1950" s="3">
        <f>IFERROR(__xludf.DUMMYFUNCTION("""COMPUTED_VALUE"""),563.0)</f>
        <v>563</v>
      </c>
      <c r="E1950" s="2"/>
      <c r="F1950" s="2"/>
    </row>
    <row r="1951">
      <c r="A1951" s="2">
        <f>IFERROR(__xludf.DUMMYFUNCTION("""COMPUTED_VALUE"""),79041.0)</f>
        <v>79041</v>
      </c>
      <c r="B1951" s="2">
        <f>IFERROR(__xludf.DUMMYFUNCTION("""COMPUTED_VALUE"""),0.0)</f>
        <v>0</v>
      </c>
      <c r="C1951" s="2">
        <f>IFERROR(__xludf.DUMMYFUNCTION("""COMPUTED_VALUE"""),235.0)</f>
        <v>235</v>
      </c>
      <c r="D1951" s="3">
        <f>IFERROR(__xludf.DUMMYFUNCTION("""COMPUTED_VALUE"""),8.0)</f>
        <v>8</v>
      </c>
      <c r="E1951" s="2"/>
      <c r="F1951" s="2"/>
    </row>
    <row r="1952">
      <c r="A1952" s="2">
        <f>IFERROR(__xludf.DUMMYFUNCTION("""COMPUTED_VALUE"""),117686.0)</f>
        <v>117686</v>
      </c>
      <c r="B1952" s="2">
        <f>IFERROR(__xludf.DUMMYFUNCTION("""COMPUTED_VALUE"""),0.0)</f>
        <v>0</v>
      </c>
      <c r="C1952" s="2">
        <f>IFERROR(__xludf.DUMMYFUNCTION("""COMPUTED_VALUE"""),419.0)</f>
        <v>419</v>
      </c>
      <c r="D1952" s="3">
        <f>IFERROR(__xludf.DUMMYFUNCTION("""COMPUTED_VALUE"""),265.0)</f>
        <v>265</v>
      </c>
      <c r="E1952" s="2"/>
      <c r="F1952" s="2"/>
    </row>
    <row r="1953">
      <c r="A1953" s="2">
        <f>IFERROR(__xludf.DUMMYFUNCTION("""COMPUTED_VALUE"""),89299.0)</f>
        <v>89299</v>
      </c>
      <c r="B1953" s="2">
        <f>IFERROR(__xludf.DUMMYFUNCTION("""COMPUTED_VALUE"""),0.0)</f>
        <v>0</v>
      </c>
      <c r="C1953" s="2">
        <f>IFERROR(__xludf.DUMMYFUNCTION("""COMPUTED_VALUE"""),970.0)</f>
        <v>970</v>
      </c>
      <c r="D1953" s="3">
        <f>IFERROR(__xludf.DUMMYFUNCTION("""COMPUTED_VALUE"""),207.0)</f>
        <v>207</v>
      </c>
      <c r="E1953" s="2"/>
      <c r="F1953" s="2"/>
    </row>
    <row r="1954">
      <c r="A1954" s="2">
        <f>IFERROR(__xludf.DUMMYFUNCTION("""COMPUTED_VALUE"""),11823.0)</f>
        <v>11823</v>
      </c>
      <c r="B1954" s="2">
        <f>IFERROR(__xludf.DUMMYFUNCTION("""COMPUTED_VALUE"""),1.0)</f>
        <v>1</v>
      </c>
      <c r="C1954" s="2">
        <f>IFERROR(__xludf.DUMMYFUNCTION("""COMPUTED_VALUE"""),335.0)</f>
        <v>335</v>
      </c>
      <c r="D1954" s="3">
        <f>IFERROR(__xludf.DUMMYFUNCTION("""COMPUTED_VALUE"""),89.0)</f>
        <v>89</v>
      </c>
      <c r="E1954" s="2"/>
      <c r="F1954" s="2"/>
    </row>
    <row r="1955">
      <c r="A1955" s="2">
        <f>IFERROR(__xludf.DUMMYFUNCTION("""COMPUTED_VALUE"""),117543.0)</f>
        <v>117543</v>
      </c>
      <c r="B1955" s="2">
        <f>IFERROR(__xludf.DUMMYFUNCTION("""COMPUTED_VALUE"""),0.0)</f>
        <v>0</v>
      </c>
      <c r="C1955" s="2">
        <f>IFERROR(__xludf.DUMMYFUNCTION("""COMPUTED_VALUE"""),422.0)</f>
        <v>422</v>
      </c>
      <c r="D1955" s="3">
        <f>IFERROR(__xludf.DUMMYFUNCTION("""COMPUTED_VALUE"""),303.0)</f>
        <v>303</v>
      </c>
      <c r="E1955" s="2"/>
      <c r="F1955" s="2"/>
    </row>
    <row r="1956">
      <c r="A1956" s="2">
        <f>IFERROR(__xludf.DUMMYFUNCTION("""COMPUTED_VALUE"""),11765.0)</f>
        <v>11765</v>
      </c>
      <c r="B1956" s="2">
        <f>IFERROR(__xludf.DUMMYFUNCTION("""COMPUTED_VALUE"""),1.0)</f>
        <v>1</v>
      </c>
      <c r="C1956" s="2">
        <f>IFERROR(__xludf.DUMMYFUNCTION("""COMPUTED_VALUE"""),475.0)</f>
        <v>475</v>
      </c>
      <c r="D1956" s="3">
        <f>IFERROR(__xludf.DUMMYFUNCTION("""COMPUTED_VALUE"""),269.0)</f>
        <v>269</v>
      </c>
      <c r="E1956" s="2"/>
      <c r="F1956" s="2"/>
    </row>
    <row r="1957">
      <c r="A1957" s="2">
        <f>IFERROR(__xludf.DUMMYFUNCTION("""COMPUTED_VALUE"""),121519.0)</f>
        <v>121519</v>
      </c>
      <c r="B1957" s="2">
        <f>IFERROR(__xludf.DUMMYFUNCTION("""COMPUTED_VALUE"""),1.0)</f>
        <v>1</v>
      </c>
      <c r="C1957" s="2">
        <f>IFERROR(__xludf.DUMMYFUNCTION("""COMPUTED_VALUE"""),636.0)</f>
        <v>636</v>
      </c>
      <c r="D1957" s="3">
        <f>IFERROR(__xludf.DUMMYFUNCTION("""COMPUTED_VALUE"""),251.0)</f>
        <v>251</v>
      </c>
      <c r="E1957" s="2"/>
      <c r="F1957" s="2"/>
    </row>
    <row r="1958">
      <c r="A1958" s="2">
        <f>IFERROR(__xludf.DUMMYFUNCTION("""COMPUTED_VALUE"""),71276.0)</f>
        <v>71276</v>
      </c>
      <c r="B1958" s="2">
        <f>IFERROR(__xludf.DUMMYFUNCTION("""COMPUTED_VALUE"""),1.0)</f>
        <v>1</v>
      </c>
      <c r="C1958" s="2">
        <f>IFERROR(__xludf.DUMMYFUNCTION("""COMPUTED_VALUE"""),466.0)</f>
        <v>466</v>
      </c>
      <c r="D1958" s="3">
        <f>IFERROR(__xludf.DUMMYFUNCTION("""COMPUTED_VALUE"""),460.0)</f>
        <v>460</v>
      </c>
      <c r="E1958" s="2"/>
      <c r="F1958" s="2"/>
    </row>
    <row r="1959">
      <c r="A1959" s="2">
        <f>IFERROR(__xludf.DUMMYFUNCTION("""COMPUTED_VALUE"""),120135.0)</f>
        <v>120135</v>
      </c>
      <c r="B1959" s="2">
        <f>IFERROR(__xludf.DUMMYFUNCTION("""COMPUTED_VALUE"""),0.0)</f>
        <v>0</v>
      </c>
      <c r="C1959" s="2">
        <f>IFERROR(__xludf.DUMMYFUNCTION("""COMPUTED_VALUE"""),255.0)</f>
        <v>255</v>
      </c>
      <c r="D1959" s="3">
        <f>IFERROR(__xludf.DUMMYFUNCTION("""COMPUTED_VALUE"""),42.0)</f>
        <v>42</v>
      </c>
      <c r="E1959" s="2"/>
      <c r="F1959" s="2"/>
    </row>
    <row r="1960">
      <c r="A1960" s="2">
        <f>IFERROR(__xludf.DUMMYFUNCTION("""COMPUTED_VALUE"""),116793.0)</f>
        <v>116793</v>
      </c>
      <c r="B1960" s="2">
        <f>IFERROR(__xludf.DUMMYFUNCTION("""COMPUTED_VALUE"""),1.0)</f>
        <v>1</v>
      </c>
      <c r="C1960" s="2">
        <f>IFERROR(__xludf.DUMMYFUNCTION("""COMPUTED_VALUE"""),842.0)</f>
        <v>842</v>
      </c>
      <c r="D1960" s="3">
        <f>IFERROR(__xludf.DUMMYFUNCTION("""COMPUTED_VALUE"""),713.0)</f>
        <v>713</v>
      </c>
      <c r="E1960" s="2"/>
      <c r="F1960" s="2"/>
    </row>
    <row r="1961">
      <c r="A1961" s="2">
        <f>IFERROR(__xludf.DUMMYFUNCTION("""COMPUTED_VALUE"""),11774.0)</f>
        <v>11774</v>
      </c>
      <c r="B1961" s="2">
        <f>IFERROR(__xludf.DUMMYFUNCTION("""COMPUTED_VALUE"""),0.0)</f>
        <v>0</v>
      </c>
      <c r="C1961" s="2">
        <f>IFERROR(__xludf.DUMMYFUNCTION("""COMPUTED_VALUE"""),654.0)</f>
        <v>654</v>
      </c>
      <c r="D1961" s="3">
        <f>IFERROR(__xludf.DUMMYFUNCTION("""COMPUTED_VALUE"""),587.0)</f>
        <v>587</v>
      </c>
      <c r="E1961" s="2"/>
      <c r="F1961" s="2"/>
    </row>
    <row r="1962">
      <c r="A1962" s="2">
        <f>IFERROR(__xludf.DUMMYFUNCTION("""COMPUTED_VALUE"""),11900.0)</f>
        <v>11900</v>
      </c>
      <c r="B1962" s="2">
        <f>IFERROR(__xludf.DUMMYFUNCTION("""COMPUTED_VALUE"""),0.0)</f>
        <v>0</v>
      </c>
      <c r="C1962" s="2">
        <f>IFERROR(__xludf.DUMMYFUNCTION("""COMPUTED_VALUE"""),902.0)</f>
        <v>902</v>
      </c>
      <c r="D1962" s="3">
        <f>IFERROR(__xludf.DUMMYFUNCTION("""COMPUTED_VALUE"""),180.0)</f>
        <v>180</v>
      </c>
      <c r="E1962" s="2"/>
      <c r="F1962" s="2"/>
    </row>
    <row r="1963">
      <c r="A1963" s="2">
        <f>IFERROR(__xludf.DUMMYFUNCTION("""COMPUTED_VALUE"""),11809.0)</f>
        <v>11809</v>
      </c>
      <c r="B1963" s="2">
        <f>IFERROR(__xludf.DUMMYFUNCTION("""COMPUTED_VALUE"""),1.0)</f>
        <v>1</v>
      </c>
      <c r="C1963" s="2">
        <f>IFERROR(__xludf.DUMMYFUNCTION("""COMPUTED_VALUE"""),641.0)</f>
        <v>641</v>
      </c>
      <c r="D1963" s="3">
        <f>IFERROR(__xludf.DUMMYFUNCTION("""COMPUTED_VALUE"""),314.0)</f>
        <v>314</v>
      </c>
      <c r="E1963" s="2"/>
      <c r="F1963" s="2"/>
    </row>
    <row r="1964">
      <c r="A1964" s="2">
        <f>IFERROR(__xludf.DUMMYFUNCTION("""COMPUTED_VALUE"""),117642.0)</f>
        <v>117642</v>
      </c>
      <c r="B1964" s="2">
        <f>IFERROR(__xludf.DUMMYFUNCTION("""COMPUTED_VALUE"""),1.0)</f>
        <v>1</v>
      </c>
      <c r="C1964" s="2">
        <f>IFERROR(__xludf.DUMMYFUNCTION("""COMPUTED_VALUE"""),168.0)</f>
        <v>168</v>
      </c>
      <c r="D1964" s="3">
        <f>IFERROR(__xludf.DUMMYFUNCTION("""COMPUTED_VALUE"""),148.0)</f>
        <v>148</v>
      </c>
      <c r="E1964" s="2"/>
      <c r="F1964" s="2"/>
    </row>
    <row r="1965">
      <c r="A1965" s="2">
        <f>IFERROR(__xludf.DUMMYFUNCTION("""COMPUTED_VALUE"""),71259.0)</f>
        <v>71259</v>
      </c>
      <c r="B1965" s="2">
        <f>IFERROR(__xludf.DUMMYFUNCTION("""COMPUTED_VALUE"""),0.0)</f>
        <v>0</v>
      </c>
      <c r="C1965" s="2">
        <f>IFERROR(__xludf.DUMMYFUNCTION("""COMPUTED_VALUE"""),557.0)</f>
        <v>557</v>
      </c>
      <c r="D1965" s="3">
        <f>IFERROR(__xludf.DUMMYFUNCTION("""COMPUTED_VALUE"""),267.0)</f>
        <v>267</v>
      </c>
      <c r="E1965" s="2"/>
      <c r="F1965" s="2"/>
    </row>
    <row r="1966">
      <c r="A1966" s="2">
        <f>IFERROR(__xludf.DUMMYFUNCTION("""COMPUTED_VALUE"""),79047.0)</f>
        <v>79047</v>
      </c>
      <c r="B1966" s="2">
        <f>IFERROR(__xludf.DUMMYFUNCTION("""COMPUTED_VALUE"""),0.0)</f>
        <v>0</v>
      </c>
      <c r="C1966" s="2">
        <f>IFERROR(__xludf.DUMMYFUNCTION("""COMPUTED_VALUE"""),650.0)</f>
        <v>650</v>
      </c>
      <c r="D1966" s="3">
        <f>IFERROR(__xludf.DUMMYFUNCTION("""COMPUTED_VALUE"""),598.0)</f>
        <v>598</v>
      </c>
      <c r="E1966" s="2"/>
      <c r="F1966" s="2"/>
    </row>
    <row r="1967">
      <c r="A1967" s="2">
        <f>IFERROR(__xludf.DUMMYFUNCTION("""COMPUTED_VALUE"""),11796.0)</f>
        <v>11796</v>
      </c>
      <c r="B1967" s="2">
        <f>IFERROR(__xludf.DUMMYFUNCTION("""COMPUTED_VALUE"""),1.0)</f>
        <v>1</v>
      </c>
      <c r="C1967" s="2">
        <f>IFERROR(__xludf.DUMMYFUNCTION("""COMPUTED_VALUE"""),496.0)</f>
        <v>496</v>
      </c>
      <c r="D1967" s="3">
        <f>IFERROR(__xludf.DUMMYFUNCTION("""COMPUTED_VALUE"""),374.0)</f>
        <v>374</v>
      </c>
      <c r="E1967" s="2"/>
      <c r="F1967" s="2"/>
    </row>
    <row r="1968">
      <c r="A1968" s="2">
        <f>IFERROR(__xludf.DUMMYFUNCTION("""COMPUTED_VALUE"""),79043.0)</f>
        <v>79043</v>
      </c>
      <c r="B1968" s="2">
        <f>IFERROR(__xludf.DUMMYFUNCTION("""COMPUTED_VALUE"""),1.0)</f>
        <v>1</v>
      </c>
      <c r="C1968" s="2">
        <f>IFERROR(__xludf.DUMMYFUNCTION("""COMPUTED_VALUE"""),160.0)</f>
        <v>160</v>
      </c>
      <c r="D1968" s="3">
        <f>IFERROR(__xludf.DUMMYFUNCTION("""COMPUTED_VALUE"""),1.0)</f>
        <v>1</v>
      </c>
      <c r="E1968" s="2"/>
      <c r="F1968" s="2"/>
    </row>
    <row r="1969">
      <c r="A1969" s="2">
        <f>IFERROR(__xludf.DUMMYFUNCTION("""COMPUTED_VALUE"""),89246.0)</f>
        <v>89246</v>
      </c>
      <c r="B1969" s="2">
        <f>IFERROR(__xludf.DUMMYFUNCTION("""COMPUTED_VALUE"""),1.0)</f>
        <v>1</v>
      </c>
      <c r="C1969" s="2">
        <f>IFERROR(__xludf.DUMMYFUNCTION("""COMPUTED_VALUE"""),179.0)</f>
        <v>179</v>
      </c>
      <c r="D1969" s="3">
        <f>IFERROR(__xludf.DUMMYFUNCTION("""COMPUTED_VALUE"""),145.0)</f>
        <v>145</v>
      </c>
      <c r="E1969" s="2"/>
      <c r="F1969" s="2"/>
    </row>
    <row r="1970">
      <c r="A1970" s="2">
        <f>IFERROR(__xludf.DUMMYFUNCTION("""COMPUTED_VALUE"""),71275.0)</f>
        <v>71275</v>
      </c>
      <c r="B1970" s="2">
        <f>IFERROR(__xludf.DUMMYFUNCTION("""COMPUTED_VALUE"""),0.0)</f>
        <v>0</v>
      </c>
      <c r="C1970" s="2">
        <f>IFERROR(__xludf.DUMMYFUNCTION("""COMPUTED_VALUE"""),263.0)</f>
        <v>263</v>
      </c>
      <c r="D1970" s="3">
        <f>IFERROR(__xludf.DUMMYFUNCTION("""COMPUTED_VALUE"""),107.0)</f>
        <v>107</v>
      </c>
      <c r="E1970" s="2"/>
      <c r="F1970" s="2"/>
    </row>
    <row r="1971">
      <c r="A1971" s="2">
        <f>IFERROR(__xludf.DUMMYFUNCTION("""COMPUTED_VALUE"""),11800.0)</f>
        <v>11800</v>
      </c>
      <c r="B1971" s="2">
        <f>IFERROR(__xludf.DUMMYFUNCTION("""COMPUTED_VALUE"""),0.0)</f>
        <v>0</v>
      </c>
      <c r="C1971" s="2">
        <f>IFERROR(__xludf.DUMMYFUNCTION("""COMPUTED_VALUE"""),703.0)</f>
        <v>703</v>
      </c>
      <c r="D1971" s="3">
        <f>IFERROR(__xludf.DUMMYFUNCTION("""COMPUTED_VALUE"""),498.0)</f>
        <v>498</v>
      </c>
      <c r="E1971" s="2"/>
      <c r="F1971" s="2"/>
    </row>
    <row r="1972">
      <c r="A1972" s="2">
        <f>IFERROR(__xludf.DUMMYFUNCTION("""COMPUTED_VALUE"""),11818.0)</f>
        <v>11818</v>
      </c>
      <c r="B1972" s="2">
        <f>IFERROR(__xludf.DUMMYFUNCTION("""COMPUTED_VALUE"""),0.0)</f>
        <v>0</v>
      </c>
      <c r="C1972" s="2">
        <f>IFERROR(__xludf.DUMMYFUNCTION("""COMPUTED_VALUE"""),404.0)</f>
        <v>404</v>
      </c>
      <c r="D1972" s="3">
        <f>IFERROR(__xludf.DUMMYFUNCTION("""COMPUTED_VALUE"""),101.0)</f>
        <v>101</v>
      </c>
      <c r="E1972" s="2"/>
      <c r="F1972" s="2"/>
    </row>
    <row r="1973">
      <c r="A1973" s="2">
        <f>IFERROR(__xludf.DUMMYFUNCTION("""COMPUTED_VALUE"""),11795.0)</f>
        <v>11795</v>
      </c>
      <c r="B1973" s="2">
        <f>IFERROR(__xludf.DUMMYFUNCTION("""COMPUTED_VALUE"""),1.0)</f>
        <v>1</v>
      </c>
      <c r="C1973" s="2">
        <f>IFERROR(__xludf.DUMMYFUNCTION("""COMPUTED_VALUE"""),788.0)</f>
        <v>788</v>
      </c>
      <c r="D1973" s="3">
        <f>IFERROR(__xludf.DUMMYFUNCTION("""COMPUTED_VALUE"""),481.0)</f>
        <v>481</v>
      </c>
      <c r="E1973" s="2"/>
      <c r="F1973" s="2"/>
    </row>
    <row r="1974">
      <c r="A1974" s="2">
        <f>IFERROR(__xludf.DUMMYFUNCTION("""COMPUTED_VALUE"""),117641.0)</f>
        <v>117641</v>
      </c>
      <c r="B1974" s="2">
        <f>IFERROR(__xludf.DUMMYFUNCTION("""COMPUTED_VALUE"""),0.0)</f>
        <v>0</v>
      </c>
      <c r="C1974" s="2">
        <f>IFERROR(__xludf.DUMMYFUNCTION("""COMPUTED_VALUE"""),788.0)</f>
        <v>788</v>
      </c>
      <c r="D1974" s="3">
        <f>IFERROR(__xludf.DUMMYFUNCTION("""COMPUTED_VALUE"""),699.0)</f>
        <v>699</v>
      </c>
      <c r="E1974" s="2"/>
      <c r="F1974" s="2"/>
    </row>
    <row r="1975">
      <c r="A1975" s="2">
        <f>IFERROR(__xludf.DUMMYFUNCTION("""COMPUTED_VALUE"""),82579.0)</f>
        <v>82579</v>
      </c>
      <c r="B1975" s="2">
        <f>IFERROR(__xludf.DUMMYFUNCTION("""COMPUTED_VALUE"""),0.0)</f>
        <v>0</v>
      </c>
      <c r="C1975" s="2">
        <f>IFERROR(__xludf.DUMMYFUNCTION("""COMPUTED_VALUE"""),583.0)</f>
        <v>583</v>
      </c>
      <c r="D1975" s="3">
        <f>IFERROR(__xludf.DUMMYFUNCTION("""COMPUTED_VALUE"""),473.0)</f>
        <v>473</v>
      </c>
      <c r="E1975" s="2"/>
      <c r="F1975" s="2"/>
    </row>
    <row r="1976">
      <c r="A1976" s="2">
        <f>IFERROR(__xludf.DUMMYFUNCTION("""COMPUTED_VALUE"""),120153.0)</f>
        <v>120153</v>
      </c>
      <c r="B1976" s="2">
        <f>IFERROR(__xludf.DUMMYFUNCTION("""COMPUTED_VALUE"""),1.0)</f>
        <v>1</v>
      </c>
      <c r="C1976" s="2">
        <f>IFERROR(__xludf.DUMMYFUNCTION("""COMPUTED_VALUE"""),380.0)</f>
        <v>380</v>
      </c>
      <c r="D1976" s="3">
        <f>IFERROR(__xludf.DUMMYFUNCTION("""COMPUTED_VALUE"""),116.0)</f>
        <v>116</v>
      </c>
      <c r="E1976" s="2"/>
      <c r="F1976" s="2"/>
    </row>
    <row r="1977">
      <c r="A1977" s="2">
        <f>IFERROR(__xludf.DUMMYFUNCTION("""COMPUTED_VALUE"""),81320.0)</f>
        <v>81320</v>
      </c>
      <c r="B1977" s="2">
        <f>IFERROR(__xludf.DUMMYFUNCTION("""COMPUTED_VALUE"""),0.0)</f>
        <v>0</v>
      </c>
      <c r="C1977" s="2">
        <f>IFERROR(__xludf.DUMMYFUNCTION("""COMPUTED_VALUE"""),508.0)</f>
        <v>508</v>
      </c>
      <c r="D1977" s="3">
        <f>IFERROR(__xludf.DUMMYFUNCTION("""COMPUTED_VALUE"""),436.0)</f>
        <v>436</v>
      </c>
      <c r="E1977" s="2"/>
      <c r="F1977" s="2"/>
    </row>
    <row r="1978">
      <c r="A1978" s="2">
        <f>IFERROR(__xludf.DUMMYFUNCTION("""COMPUTED_VALUE"""),121517.0)</f>
        <v>121517</v>
      </c>
      <c r="B1978" s="2">
        <f>IFERROR(__xludf.DUMMYFUNCTION("""COMPUTED_VALUE"""),1.0)</f>
        <v>1</v>
      </c>
      <c r="C1978" s="2">
        <f>IFERROR(__xludf.DUMMYFUNCTION("""COMPUTED_VALUE"""),989.0)</f>
        <v>989</v>
      </c>
      <c r="D1978" s="3">
        <f>IFERROR(__xludf.DUMMYFUNCTION("""COMPUTED_VALUE"""),37.0)</f>
        <v>37</v>
      </c>
      <c r="E1978" s="2"/>
      <c r="F1978" s="2"/>
    </row>
    <row r="1979">
      <c r="A1979" s="2">
        <f>IFERROR(__xludf.DUMMYFUNCTION("""COMPUTED_VALUE"""),89276.0)</f>
        <v>89276</v>
      </c>
      <c r="B1979" s="2">
        <f>IFERROR(__xludf.DUMMYFUNCTION("""COMPUTED_VALUE"""),1.0)</f>
        <v>1</v>
      </c>
      <c r="C1979" s="2">
        <f>IFERROR(__xludf.DUMMYFUNCTION("""COMPUTED_VALUE"""),261.0)</f>
        <v>261</v>
      </c>
      <c r="D1979" s="3">
        <f>IFERROR(__xludf.DUMMYFUNCTION("""COMPUTED_VALUE"""),14.0)</f>
        <v>14</v>
      </c>
      <c r="E1979" s="2"/>
      <c r="F1979" s="2"/>
    </row>
    <row r="1980">
      <c r="A1980" s="2">
        <f>IFERROR(__xludf.DUMMYFUNCTION("""COMPUTED_VALUE"""),11822.0)</f>
        <v>11822</v>
      </c>
      <c r="B1980" s="2">
        <f>IFERROR(__xludf.DUMMYFUNCTION("""COMPUTED_VALUE"""),1.0)</f>
        <v>1</v>
      </c>
      <c r="C1980" s="2">
        <f>IFERROR(__xludf.DUMMYFUNCTION("""COMPUTED_VALUE"""),533.0)</f>
        <v>533</v>
      </c>
      <c r="D1980" s="3">
        <f>IFERROR(__xludf.DUMMYFUNCTION("""COMPUTED_VALUE"""),246.0)</f>
        <v>246</v>
      </c>
      <c r="E1980" s="2"/>
      <c r="F1980" s="2"/>
    </row>
    <row r="1981">
      <c r="A1981" s="2">
        <f>IFERROR(__xludf.DUMMYFUNCTION("""COMPUTED_VALUE"""),11771.0)</f>
        <v>11771</v>
      </c>
      <c r="B1981" s="2">
        <f>IFERROR(__xludf.DUMMYFUNCTION("""COMPUTED_VALUE"""),1.0)</f>
        <v>1</v>
      </c>
      <c r="C1981" s="2">
        <f>IFERROR(__xludf.DUMMYFUNCTION("""COMPUTED_VALUE"""),951.0)</f>
        <v>951</v>
      </c>
      <c r="D1981" s="3">
        <f>IFERROR(__xludf.DUMMYFUNCTION("""COMPUTED_VALUE"""),867.0)</f>
        <v>867</v>
      </c>
      <c r="E1981" s="2"/>
      <c r="F1981" s="2"/>
    </row>
    <row r="1982">
      <c r="A1982" s="2">
        <f>IFERROR(__xludf.DUMMYFUNCTION("""COMPUTED_VALUE"""),89295.0)</f>
        <v>89295</v>
      </c>
      <c r="B1982" s="2">
        <f>IFERROR(__xludf.DUMMYFUNCTION("""COMPUTED_VALUE"""),0.0)</f>
        <v>0</v>
      </c>
      <c r="C1982" s="2">
        <f>IFERROR(__xludf.DUMMYFUNCTION("""COMPUTED_VALUE"""),119.0)</f>
        <v>119</v>
      </c>
      <c r="D1982" s="3">
        <f>IFERROR(__xludf.DUMMYFUNCTION("""COMPUTED_VALUE"""),98.0)</f>
        <v>98</v>
      </c>
      <c r="E1982" s="2"/>
      <c r="F1982" s="2"/>
    </row>
    <row r="1983">
      <c r="A1983" s="2">
        <f>IFERROR(__xludf.DUMMYFUNCTION("""COMPUTED_VALUE"""),117684.0)</f>
        <v>117684</v>
      </c>
      <c r="B1983" s="2">
        <f>IFERROR(__xludf.DUMMYFUNCTION("""COMPUTED_VALUE"""),1.0)</f>
        <v>1</v>
      </c>
      <c r="C1983" s="2">
        <f>IFERROR(__xludf.DUMMYFUNCTION("""COMPUTED_VALUE"""),247.0)</f>
        <v>247</v>
      </c>
      <c r="D1983" s="3">
        <f>IFERROR(__xludf.DUMMYFUNCTION("""COMPUTED_VALUE"""),159.0)</f>
        <v>159</v>
      </c>
      <c r="E1983" s="2"/>
      <c r="F1983" s="2"/>
    </row>
    <row r="1984">
      <c r="A1984" s="2">
        <f>IFERROR(__xludf.DUMMYFUNCTION("""COMPUTED_VALUE"""),11817.0)</f>
        <v>11817</v>
      </c>
      <c r="B1984" s="2">
        <f>IFERROR(__xludf.DUMMYFUNCTION("""COMPUTED_VALUE"""),0.0)</f>
        <v>0</v>
      </c>
      <c r="C1984" s="2">
        <f>IFERROR(__xludf.DUMMYFUNCTION("""COMPUTED_VALUE"""),207.0)</f>
        <v>207</v>
      </c>
      <c r="D1984" s="3">
        <f>IFERROR(__xludf.DUMMYFUNCTION("""COMPUTED_VALUE"""),206.0)</f>
        <v>206</v>
      </c>
      <c r="E1984" s="2"/>
      <c r="F1984" s="2"/>
    </row>
    <row r="1985">
      <c r="A1985" s="2">
        <f>IFERROR(__xludf.DUMMYFUNCTION("""COMPUTED_VALUE"""),120697.0)</f>
        <v>120697</v>
      </c>
      <c r="B1985" s="2">
        <f>IFERROR(__xludf.DUMMYFUNCTION("""COMPUTED_VALUE"""),0.0)</f>
        <v>0</v>
      </c>
      <c r="C1985" s="2">
        <f>IFERROR(__xludf.DUMMYFUNCTION("""COMPUTED_VALUE"""),301.0)</f>
        <v>301</v>
      </c>
      <c r="D1985" s="3">
        <f>IFERROR(__xludf.DUMMYFUNCTION("""COMPUTED_VALUE"""),274.0)</f>
        <v>274</v>
      </c>
      <c r="E1985" s="2"/>
      <c r="F1985" s="2"/>
    </row>
    <row r="1986">
      <c r="A1986" s="2">
        <f>IFERROR(__xludf.DUMMYFUNCTION("""COMPUTED_VALUE"""),11783.0)</f>
        <v>11783</v>
      </c>
      <c r="B1986" s="2">
        <f>IFERROR(__xludf.DUMMYFUNCTION("""COMPUTED_VALUE"""),1.0)</f>
        <v>1</v>
      </c>
      <c r="C1986" s="2">
        <f>IFERROR(__xludf.DUMMYFUNCTION("""COMPUTED_VALUE"""),663.0)</f>
        <v>663</v>
      </c>
      <c r="D1986" s="3">
        <f>IFERROR(__xludf.DUMMYFUNCTION("""COMPUTED_VALUE"""),88.0)</f>
        <v>88</v>
      </c>
      <c r="E1986" s="2"/>
      <c r="F1986" s="2"/>
    </row>
    <row r="1987">
      <c r="A1987" s="2">
        <f>IFERROR(__xludf.DUMMYFUNCTION("""COMPUTED_VALUE"""),11821.0)</f>
        <v>11821</v>
      </c>
      <c r="B1987" s="2">
        <f>IFERROR(__xludf.DUMMYFUNCTION("""COMPUTED_VALUE"""),1.0)</f>
        <v>1</v>
      </c>
      <c r="C1987" s="2">
        <f>IFERROR(__xludf.DUMMYFUNCTION("""COMPUTED_VALUE"""),261.0)</f>
        <v>261</v>
      </c>
      <c r="D1987" s="3">
        <f>IFERROR(__xludf.DUMMYFUNCTION("""COMPUTED_VALUE"""),10.0)</f>
        <v>10</v>
      </c>
      <c r="E1987" s="2"/>
      <c r="F1987" s="2"/>
    </row>
    <row r="1988">
      <c r="A1988" s="2">
        <f>IFERROR(__xludf.DUMMYFUNCTION("""COMPUTED_VALUE"""),11814.0)</f>
        <v>11814</v>
      </c>
      <c r="B1988" s="2">
        <f>IFERROR(__xludf.DUMMYFUNCTION("""COMPUTED_VALUE"""),1.0)</f>
        <v>1</v>
      </c>
      <c r="C1988" s="2">
        <f>IFERROR(__xludf.DUMMYFUNCTION("""COMPUTED_VALUE"""),529.0)</f>
        <v>529</v>
      </c>
      <c r="D1988" s="3">
        <f>IFERROR(__xludf.DUMMYFUNCTION("""COMPUTED_VALUE"""),84.0)</f>
        <v>84</v>
      </c>
      <c r="E1988" s="2"/>
      <c r="F1988" s="2"/>
    </row>
    <row r="1989">
      <c r="A1989" s="2">
        <f>IFERROR(__xludf.DUMMYFUNCTION("""COMPUTED_VALUE"""),71242.0)</f>
        <v>71242</v>
      </c>
      <c r="B1989" s="2">
        <f>IFERROR(__xludf.DUMMYFUNCTION("""COMPUTED_VALUE"""),1.0)</f>
        <v>1</v>
      </c>
      <c r="C1989" s="2">
        <f>IFERROR(__xludf.DUMMYFUNCTION("""COMPUTED_VALUE"""),685.0)</f>
        <v>685</v>
      </c>
      <c r="D1989" s="3">
        <f>IFERROR(__xludf.DUMMYFUNCTION("""COMPUTED_VALUE"""),605.0)</f>
        <v>605</v>
      </c>
      <c r="E1989" s="2"/>
      <c r="F1989" s="2"/>
    </row>
    <row r="1990">
      <c r="A1990" s="2">
        <f>IFERROR(__xludf.DUMMYFUNCTION("""COMPUTED_VALUE"""),120449.0)</f>
        <v>120449</v>
      </c>
      <c r="B1990" s="2">
        <f>IFERROR(__xludf.DUMMYFUNCTION("""COMPUTED_VALUE"""),0.0)</f>
        <v>0</v>
      </c>
      <c r="C1990" s="2">
        <f>IFERROR(__xludf.DUMMYFUNCTION("""COMPUTED_VALUE"""),134.0)</f>
        <v>134</v>
      </c>
      <c r="D1990" s="3">
        <f>IFERROR(__xludf.DUMMYFUNCTION("""COMPUTED_VALUE"""),23.0)</f>
        <v>23</v>
      </c>
      <c r="E1990" s="2"/>
      <c r="F1990" s="2"/>
    </row>
    <row r="1991">
      <c r="A1991" s="2">
        <f>IFERROR(__xludf.DUMMYFUNCTION("""COMPUTED_VALUE"""),23682.0)</f>
        <v>23682</v>
      </c>
      <c r="B1991" s="2">
        <f>IFERROR(__xludf.DUMMYFUNCTION("""COMPUTED_VALUE"""),1.0)</f>
        <v>1</v>
      </c>
      <c r="C1991" s="2">
        <f>IFERROR(__xludf.DUMMYFUNCTION("""COMPUTED_VALUE"""),953.0)</f>
        <v>953</v>
      </c>
      <c r="D1991" s="3">
        <f>IFERROR(__xludf.DUMMYFUNCTION("""COMPUTED_VALUE"""),116.0)</f>
        <v>116</v>
      </c>
      <c r="E1991" s="2"/>
      <c r="F1991" s="2"/>
    </row>
    <row r="1992">
      <c r="A1992" s="2">
        <f>IFERROR(__xludf.DUMMYFUNCTION("""COMPUTED_VALUE"""),119076.0)</f>
        <v>119076</v>
      </c>
      <c r="B1992" s="2">
        <f>IFERROR(__xludf.DUMMYFUNCTION("""COMPUTED_VALUE"""),0.0)</f>
        <v>0</v>
      </c>
      <c r="C1992" s="2">
        <f>IFERROR(__xludf.DUMMYFUNCTION("""COMPUTED_VALUE"""),157.0)</f>
        <v>157</v>
      </c>
      <c r="D1992" s="3">
        <f>IFERROR(__xludf.DUMMYFUNCTION("""COMPUTED_VALUE"""),28.0)</f>
        <v>28</v>
      </c>
      <c r="E1992" s="2"/>
      <c r="F1992" s="2"/>
    </row>
    <row r="1993">
      <c r="A1993" s="2">
        <f>IFERROR(__xludf.DUMMYFUNCTION("""COMPUTED_VALUE"""),9139.0)</f>
        <v>9139</v>
      </c>
      <c r="B1993" s="2">
        <f>IFERROR(__xludf.DUMMYFUNCTION("""COMPUTED_VALUE"""),1.0)</f>
        <v>1</v>
      </c>
      <c r="C1993" s="2">
        <f>IFERROR(__xludf.DUMMYFUNCTION("""COMPUTED_VALUE"""),345.0)</f>
        <v>345</v>
      </c>
      <c r="D1993" s="3">
        <f>IFERROR(__xludf.DUMMYFUNCTION("""COMPUTED_VALUE"""),130.0)</f>
        <v>130</v>
      </c>
      <c r="E1993" s="2"/>
      <c r="F1993" s="2"/>
    </row>
    <row r="1994">
      <c r="A1994" s="2">
        <f>IFERROR(__xludf.DUMMYFUNCTION("""COMPUTED_VALUE"""),9138.0)</f>
        <v>9138</v>
      </c>
      <c r="B1994" s="2">
        <f>IFERROR(__xludf.DUMMYFUNCTION("""COMPUTED_VALUE"""),0.0)</f>
        <v>0</v>
      </c>
      <c r="C1994" s="2">
        <f>IFERROR(__xludf.DUMMYFUNCTION("""COMPUTED_VALUE"""),366.0)</f>
        <v>366</v>
      </c>
      <c r="D1994" s="3">
        <f>IFERROR(__xludf.DUMMYFUNCTION("""COMPUTED_VALUE"""),296.0)</f>
        <v>296</v>
      </c>
      <c r="E1994" s="2"/>
      <c r="F1994" s="2"/>
    </row>
    <row r="1995">
      <c r="A1995" s="2">
        <f>IFERROR(__xludf.DUMMYFUNCTION("""COMPUTED_VALUE"""),109483.0)</f>
        <v>109483</v>
      </c>
      <c r="B1995" s="2">
        <f>IFERROR(__xludf.DUMMYFUNCTION("""COMPUTED_VALUE"""),1.0)</f>
        <v>1</v>
      </c>
      <c r="C1995" s="2">
        <f>IFERROR(__xludf.DUMMYFUNCTION("""COMPUTED_VALUE"""),764.0)</f>
        <v>764</v>
      </c>
      <c r="D1995" s="3">
        <f>IFERROR(__xludf.DUMMYFUNCTION("""COMPUTED_VALUE"""),442.0)</f>
        <v>442</v>
      </c>
      <c r="E1995" s="2"/>
      <c r="F1995" s="2"/>
    </row>
    <row r="1996">
      <c r="A1996" s="2">
        <f>IFERROR(__xludf.DUMMYFUNCTION("""COMPUTED_VALUE"""),120438.0)</f>
        <v>120438</v>
      </c>
      <c r="B1996" s="2">
        <f>IFERROR(__xludf.DUMMYFUNCTION("""COMPUTED_VALUE"""),1.0)</f>
        <v>1</v>
      </c>
      <c r="C1996" s="2">
        <f>IFERROR(__xludf.DUMMYFUNCTION("""COMPUTED_VALUE"""),340.0)</f>
        <v>340</v>
      </c>
      <c r="D1996" s="3">
        <f>IFERROR(__xludf.DUMMYFUNCTION("""COMPUTED_VALUE"""),112.0)</f>
        <v>112</v>
      </c>
      <c r="E1996" s="2"/>
      <c r="F1996" s="2"/>
    </row>
    <row r="1997">
      <c r="A1997" s="2">
        <f>IFERROR(__xludf.DUMMYFUNCTION("""COMPUTED_VALUE"""),120439.0)</f>
        <v>120439</v>
      </c>
      <c r="B1997" s="2">
        <f>IFERROR(__xludf.DUMMYFUNCTION("""COMPUTED_VALUE"""),1.0)</f>
        <v>1</v>
      </c>
      <c r="C1997" s="2">
        <f>IFERROR(__xludf.DUMMYFUNCTION("""COMPUTED_VALUE"""),353.0)</f>
        <v>353</v>
      </c>
      <c r="D1997" s="3">
        <f>IFERROR(__xludf.DUMMYFUNCTION("""COMPUTED_VALUE"""),88.0)</f>
        <v>88</v>
      </c>
      <c r="E1997" s="2"/>
      <c r="F1997" s="2"/>
    </row>
    <row r="1998">
      <c r="A1998" s="2">
        <f>IFERROR(__xludf.DUMMYFUNCTION("""COMPUTED_VALUE"""),23681.0)</f>
        <v>23681</v>
      </c>
      <c r="B1998" s="2">
        <f>IFERROR(__xludf.DUMMYFUNCTION("""COMPUTED_VALUE"""),1.0)</f>
        <v>1</v>
      </c>
      <c r="C1998" s="2">
        <f>IFERROR(__xludf.DUMMYFUNCTION("""COMPUTED_VALUE"""),748.0)</f>
        <v>748</v>
      </c>
      <c r="D1998" s="3">
        <f>IFERROR(__xludf.DUMMYFUNCTION("""COMPUTED_VALUE"""),469.0)</f>
        <v>469</v>
      </c>
      <c r="E1998" s="2"/>
      <c r="F1998" s="2"/>
    </row>
    <row r="1999">
      <c r="A1999" s="2">
        <f>IFERROR(__xludf.DUMMYFUNCTION("""COMPUTED_VALUE"""),89564.0)</f>
        <v>89564</v>
      </c>
      <c r="B1999" s="2">
        <f>IFERROR(__xludf.DUMMYFUNCTION("""COMPUTED_VALUE"""),1.0)</f>
        <v>1</v>
      </c>
      <c r="C1999" s="2">
        <f>IFERROR(__xludf.DUMMYFUNCTION("""COMPUTED_VALUE"""),151.0)</f>
        <v>151</v>
      </c>
      <c r="D1999" s="3">
        <f>IFERROR(__xludf.DUMMYFUNCTION("""COMPUTED_VALUE"""),101.0)</f>
        <v>101</v>
      </c>
      <c r="E1999" s="2"/>
      <c r="F1999" s="2"/>
    </row>
    <row r="2000">
      <c r="A2000" s="2">
        <f>IFERROR(__xludf.DUMMYFUNCTION("""COMPUTED_VALUE"""),111962.0)</f>
        <v>111962</v>
      </c>
      <c r="B2000" s="2">
        <f>IFERROR(__xludf.DUMMYFUNCTION("""COMPUTED_VALUE"""),0.0)</f>
        <v>0</v>
      </c>
      <c r="C2000" s="2">
        <f>IFERROR(__xludf.DUMMYFUNCTION("""COMPUTED_VALUE"""),644.0)</f>
        <v>644</v>
      </c>
      <c r="D2000" s="3">
        <f>IFERROR(__xludf.DUMMYFUNCTION("""COMPUTED_VALUE"""),619.0)</f>
        <v>619</v>
      </c>
      <c r="E2000" s="2"/>
      <c r="F2000" s="2"/>
    </row>
    <row r="2001">
      <c r="A2001" s="2">
        <f>IFERROR(__xludf.DUMMYFUNCTION("""COMPUTED_VALUE"""),124771.0)</f>
        <v>124771</v>
      </c>
      <c r="B2001" s="2">
        <f>IFERROR(__xludf.DUMMYFUNCTION("""COMPUTED_VALUE"""),1.0)</f>
        <v>1</v>
      </c>
      <c r="C2001" s="2">
        <f>IFERROR(__xludf.DUMMYFUNCTION("""COMPUTED_VALUE"""),70.0)</f>
        <v>70</v>
      </c>
      <c r="D2001" s="3">
        <f>IFERROR(__xludf.DUMMYFUNCTION("""COMPUTED_VALUE"""),31.0)</f>
        <v>31</v>
      </c>
      <c r="E2001" s="2"/>
      <c r="F2001" s="2"/>
    </row>
    <row r="2002">
      <c r="A2002" s="2">
        <f>IFERROR(__xludf.DUMMYFUNCTION("""COMPUTED_VALUE"""),120446.0)</f>
        <v>120446</v>
      </c>
      <c r="B2002" s="2">
        <f>IFERROR(__xludf.DUMMYFUNCTION("""COMPUTED_VALUE"""),1.0)</f>
        <v>1</v>
      </c>
      <c r="C2002" s="2">
        <f>IFERROR(__xludf.DUMMYFUNCTION("""COMPUTED_VALUE"""),811.0)</f>
        <v>811</v>
      </c>
      <c r="D2002" s="3">
        <f>IFERROR(__xludf.DUMMYFUNCTION("""COMPUTED_VALUE"""),398.0)</f>
        <v>398</v>
      </c>
      <c r="E2002" s="2"/>
      <c r="F2002" s="2"/>
    </row>
    <row r="2003">
      <c r="A2003" s="2">
        <f>IFERROR(__xludf.DUMMYFUNCTION("""COMPUTED_VALUE"""),111973.0)</f>
        <v>111973</v>
      </c>
      <c r="B2003" s="2">
        <f>IFERROR(__xludf.DUMMYFUNCTION("""COMPUTED_VALUE"""),1.0)</f>
        <v>1</v>
      </c>
      <c r="C2003" s="2">
        <f>IFERROR(__xludf.DUMMYFUNCTION("""COMPUTED_VALUE"""),570.0)</f>
        <v>570</v>
      </c>
      <c r="D2003" s="3">
        <f>IFERROR(__xludf.DUMMYFUNCTION("""COMPUTED_VALUE"""),381.0)</f>
        <v>381</v>
      </c>
      <c r="E2003" s="2"/>
      <c r="F2003" s="2"/>
    </row>
    <row r="2004">
      <c r="A2004" s="2">
        <f>IFERROR(__xludf.DUMMYFUNCTION("""COMPUTED_VALUE"""),120437.0)</f>
        <v>120437</v>
      </c>
      <c r="B2004" s="2">
        <f>IFERROR(__xludf.DUMMYFUNCTION("""COMPUTED_VALUE"""),0.0)</f>
        <v>0</v>
      </c>
      <c r="C2004" s="2">
        <f>IFERROR(__xludf.DUMMYFUNCTION("""COMPUTED_VALUE"""),121.0)</f>
        <v>121</v>
      </c>
      <c r="D2004" s="3">
        <f>IFERROR(__xludf.DUMMYFUNCTION("""COMPUTED_VALUE"""),43.0)</f>
        <v>43</v>
      </c>
      <c r="E2004" s="2"/>
      <c r="F2004" s="2"/>
    </row>
    <row r="2005">
      <c r="A2005" s="2">
        <f>IFERROR(__xludf.DUMMYFUNCTION("""COMPUTED_VALUE"""),124769.0)</f>
        <v>124769</v>
      </c>
      <c r="B2005" s="2">
        <f>IFERROR(__xludf.DUMMYFUNCTION("""COMPUTED_VALUE"""),1.0)</f>
        <v>1</v>
      </c>
      <c r="C2005" s="2">
        <f>IFERROR(__xludf.DUMMYFUNCTION("""COMPUTED_VALUE"""),410.0)</f>
        <v>410</v>
      </c>
      <c r="D2005" s="3">
        <f>IFERROR(__xludf.DUMMYFUNCTION("""COMPUTED_VALUE"""),127.0)</f>
        <v>127</v>
      </c>
      <c r="E2005" s="2"/>
      <c r="F2005" s="2"/>
    </row>
    <row r="2006">
      <c r="A2006" s="2">
        <f>IFERROR(__xludf.DUMMYFUNCTION("""COMPUTED_VALUE"""),111972.0)</f>
        <v>111972</v>
      </c>
      <c r="B2006" s="2">
        <f>IFERROR(__xludf.DUMMYFUNCTION("""COMPUTED_VALUE"""),0.0)</f>
        <v>0</v>
      </c>
      <c r="C2006" s="2">
        <f>IFERROR(__xludf.DUMMYFUNCTION("""COMPUTED_VALUE"""),132.0)</f>
        <v>132</v>
      </c>
      <c r="D2006" s="3">
        <f>IFERROR(__xludf.DUMMYFUNCTION("""COMPUTED_VALUE"""),105.0)</f>
        <v>105</v>
      </c>
      <c r="E2006" s="2"/>
      <c r="F2006" s="2"/>
    </row>
    <row r="2007">
      <c r="A2007" s="2">
        <f>IFERROR(__xludf.DUMMYFUNCTION("""COMPUTED_VALUE"""),47390.0)</f>
        <v>47390</v>
      </c>
      <c r="B2007" s="2">
        <f>IFERROR(__xludf.DUMMYFUNCTION("""COMPUTED_VALUE"""),0.0)</f>
        <v>0</v>
      </c>
      <c r="C2007" s="2">
        <f>IFERROR(__xludf.DUMMYFUNCTION("""COMPUTED_VALUE"""),961.0)</f>
        <v>961</v>
      </c>
      <c r="D2007" s="3">
        <f>IFERROR(__xludf.DUMMYFUNCTION("""COMPUTED_VALUE"""),119.0)</f>
        <v>119</v>
      </c>
      <c r="E2007" s="2"/>
      <c r="F2007" s="2"/>
    </row>
    <row r="2008">
      <c r="A2008" s="2">
        <f>IFERROR(__xludf.DUMMYFUNCTION("""COMPUTED_VALUE"""),27047.0)</f>
        <v>27047</v>
      </c>
      <c r="B2008" s="2">
        <f>IFERROR(__xludf.DUMMYFUNCTION("""COMPUTED_VALUE"""),0.0)</f>
        <v>0</v>
      </c>
      <c r="C2008" s="2">
        <f>IFERROR(__xludf.DUMMYFUNCTION("""COMPUTED_VALUE"""),347.0)</f>
        <v>347</v>
      </c>
      <c r="D2008" s="3">
        <f>IFERROR(__xludf.DUMMYFUNCTION("""COMPUTED_VALUE"""),66.0)</f>
        <v>66</v>
      </c>
      <c r="E2008" s="2"/>
      <c r="F2008" s="2"/>
    </row>
    <row r="2009">
      <c r="A2009" s="2">
        <f>IFERROR(__xludf.DUMMYFUNCTION("""COMPUTED_VALUE"""),68713.0)</f>
        <v>68713</v>
      </c>
      <c r="B2009" s="2">
        <f>IFERROR(__xludf.DUMMYFUNCTION("""COMPUTED_VALUE"""),1.0)</f>
        <v>1</v>
      </c>
      <c r="C2009" s="2">
        <f>IFERROR(__xludf.DUMMYFUNCTION("""COMPUTED_VALUE"""),581.0)</f>
        <v>581</v>
      </c>
      <c r="D2009" s="3">
        <f>IFERROR(__xludf.DUMMYFUNCTION("""COMPUTED_VALUE"""),534.0)</f>
        <v>534</v>
      </c>
      <c r="E2009" s="2"/>
      <c r="F2009" s="2"/>
    </row>
    <row r="2010">
      <c r="A2010" s="2">
        <f>IFERROR(__xludf.DUMMYFUNCTION("""COMPUTED_VALUE"""),120568.0)</f>
        <v>120568</v>
      </c>
      <c r="B2010" s="2">
        <f>IFERROR(__xludf.DUMMYFUNCTION("""COMPUTED_VALUE"""),1.0)</f>
        <v>1</v>
      </c>
      <c r="C2010" s="2">
        <f>IFERROR(__xludf.DUMMYFUNCTION("""COMPUTED_VALUE"""),948.0)</f>
        <v>948</v>
      </c>
      <c r="D2010" s="3">
        <f>IFERROR(__xludf.DUMMYFUNCTION("""COMPUTED_VALUE"""),38.0)</f>
        <v>38</v>
      </c>
      <c r="E2010" s="2"/>
      <c r="F2010" s="2"/>
    </row>
    <row r="2011">
      <c r="A2011" s="2">
        <f>IFERROR(__xludf.DUMMYFUNCTION("""COMPUTED_VALUE"""),120567.0)</f>
        <v>120567</v>
      </c>
      <c r="B2011" s="2">
        <f>IFERROR(__xludf.DUMMYFUNCTION("""COMPUTED_VALUE"""),1.0)</f>
        <v>1</v>
      </c>
      <c r="C2011" s="2">
        <f>IFERROR(__xludf.DUMMYFUNCTION("""COMPUTED_VALUE"""),682.0)</f>
        <v>682</v>
      </c>
      <c r="D2011" s="3">
        <f>IFERROR(__xludf.DUMMYFUNCTION("""COMPUTED_VALUE"""),46.0)</f>
        <v>46</v>
      </c>
      <c r="E2011" s="2"/>
      <c r="F2011" s="2"/>
    </row>
    <row r="2012">
      <c r="A2012" s="2">
        <f>IFERROR(__xludf.DUMMYFUNCTION("""COMPUTED_VALUE"""),77038.0)</f>
        <v>77038</v>
      </c>
      <c r="B2012" s="2">
        <f>IFERROR(__xludf.DUMMYFUNCTION("""COMPUTED_VALUE"""),1.0)</f>
        <v>1</v>
      </c>
      <c r="C2012" s="2">
        <f>IFERROR(__xludf.DUMMYFUNCTION("""COMPUTED_VALUE"""),579.0)</f>
        <v>579</v>
      </c>
      <c r="D2012" s="3">
        <f>IFERROR(__xludf.DUMMYFUNCTION("""COMPUTED_VALUE"""),468.0)</f>
        <v>468</v>
      </c>
      <c r="E2012" s="2"/>
      <c r="F2012" s="2"/>
    </row>
    <row r="2013">
      <c r="A2013" s="2">
        <f>IFERROR(__xludf.DUMMYFUNCTION("""COMPUTED_VALUE"""),87760.0)</f>
        <v>87760</v>
      </c>
      <c r="B2013" s="2">
        <f>IFERROR(__xludf.DUMMYFUNCTION("""COMPUTED_VALUE"""),1.0)</f>
        <v>1</v>
      </c>
      <c r="C2013" s="2">
        <f>IFERROR(__xludf.DUMMYFUNCTION("""COMPUTED_VALUE"""),892.0)</f>
        <v>892</v>
      </c>
      <c r="D2013" s="3">
        <f>IFERROR(__xludf.DUMMYFUNCTION("""COMPUTED_VALUE"""),338.0)</f>
        <v>338</v>
      </c>
      <c r="E2013" s="2"/>
      <c r="F2013" s="2"/>
    </row>
    <row r="2014">
      <c r="A2014" s="2">
        <f>IFERROR(__xludf.DUMMYFUNCTION("""COMPUTED_VALUE"""),122612.0)</f>
        <v>122612</v>
      </c>
      <c r="B2014" s="2">
        <f>IFERROR(__xludf.DUMMYFUNCTION("""COMPUTED_VALUE"""),0.0)</f>
        <v>0</v>
      </c>
      <c r="C2014" s="2">
        <f>IFERROR(__xludf.DUMMYFUNCTION("""COMPUTED_VALUE"""),482.0)</f>
        <v>482</v>
      </c>
      <c r="D2014" s="3">
        <f>IFERROR(__xludf.DUMMYFUNCTION("""COMPUTED_VALUE"""),235.0)</f>
        <v>235</v>
      </c>
      <c r="E2014" s="2"/>
      <c r="F2014" s="2"/>
    </row>
    <row r="2015">
      <c r="A2015" s="2">
        <f>IFERROR(__xludf.DUMMYFUNCTION("""COMPUTED_VALUE"""),110655.0)</f>
        <v>110655</v>
      </c>
      <c r="B2015" s="2">
        <f>IFERROR(__xludf.DUMMYFUNCTION("""COMPUTED_VALUE"""),1.0)</f>
        <v>1</v>
      </c>
      <c r="C2015" s="2">
        <f>IFERROR(__xludf.DUMMYFUNCTION("""COMPUTED_VALUE"""),191.0)</f>
        <v>191</v>
      </c>
      <c r="D2015" s="3">
        <f>IFERROR(__xludf.DUMMYFUNCTION("""COMPUTED_VALUE"""),183.0)</f>
        <v>183</v>
      </c>
      <c r="E2015" s="2"/>
      <c r="F2015" s="2"/>
    </row>
    <row r="2016">
      <c r="A2016" s="2">
        <f>IFERROR(__xludf.DUMMYFUNCTION("""COMPUTED_VALUE"""),87785.0)</f>
        <v>87785</v>
      </c>
      <c r="B2016" s="2">
        <f>IFERROR(__xludf.DUMMYFUNCTION("""COMPUTED_VALUE"""),0.0)</f>
        <v>0</v>
      </c>
      <c r="C2016" s="2">
        <f>IFERROR(__xludf.DUMMYFUNCTION("""COMPUTED_VALUE"""),314.0)</f>
        <v>314</v>
      </c>
      <c r="D2016" s="3">
        <f>IFERROR(__xludf.DUMMYFUNCTION("""COMPUTED_VALUE"""),256.0)</f>
        <v>256</v>
      </c>
      <c r="E2016" s="2"/>
      <c r="F2016" s="2"/>
    </row>
    <row r="2017">
      <c r="A2017" s="2">
        <f>IFERROR(__xludf.DUMMYFUNCTION("""COMPUTED_VALUE"""),122629.0)</f>
        <v>122629</v>
      </c>
      <c r="B2017" s="2">
        <f>IFERROR(__xludf.DUMMYFUNCTION("""COMPUTED_VALUE"""),1.0)</f>
        <v>1</v>
      </c>
      <c r="C2017" s="2">
        <f>IFERROR(__xludf.DUMMYFUNCTION("""COMPUTED_VALUE"""),150.0)</f>
        <v>150</v>
      </c>
      <c r="D2017" s="3">
        <f>IFERROR(__xludf.DUMMYFUNCTION("""COMPUTED_VALUE"""),147.0)</f>
        <v>147</v>
      </c>
      <c r="E2017" s="2"/>
      <c r="F2017" s="2"/>
    </row>
    <row r="2018">
      <c r="A2018" s="2">
        <f>IFERROR(__xludf.DUMMYFUNCTION("""COMPUTED_VALUE"""),122614.0)</f>
        <v>122614</v>
      </c>
      <c r="B2018" s="2">
        <f>IFERROR(__xludf.DUMMYFUNCTION("""COMPUTED_VALUE"""),1.0)</f>
        <v>1</v>
      </c>
      <c r="C2018" s="2">
        <f>IFERROR(__xludf.DUMMYFUNCTION("""COMPUTED_VALUE"""),904.0)</f>
        <v>904</v>
      </c>
      <c r="D2018" s="3">
        <f>IFERROR(__xludf.DUMMYFUNCTION("""COMPUTED_VALUE"""),671.0)</f>
        <v>671</v>
      </c>
      <c r="E2018" s="2"/>
      <c r="F2018" s="2"/>
    </row>
    <row r="2019">
      <c r="A2019" s="2">
        <f>IFERROR(__xludf.DUMMYFUNCTION("""COMPUTED_VALUE"""),122788.0)</f>
        <v>122788</v>
      </c>
      <c r="B2019" s="2">
        <f>IFERROR(__xludf.DUMMYFUNCTION("""COMPUTED_VALUE"""),1.0)</f>
        <v>1</v>
      </c>
      <c r="C2019" s="2">
        <f>IFERROR(__xludf.DUMMYFUNCTION("""COMPUTED_VALUE"""),158.0)</f>
        <v>158</v>
      </c>
      <c r="D2019" s="3">
        <f>IFERROR(__xludf.DUMMYFUNCTION("""COMPUTED_VALUE"""),148.0)</f>
        <v>148</v>
      </c>
      <c r="E2019" s="2"/>
      <c r="F2019" s="2"/>
    </row>
    <row r="2020">
      <c r="A2020" s="2">
        <f>IFERROR(__xludf.DUMMYFUNCTION("""COMPUTED_VALUE"""),20226.0)</f>
        <v>20226</v>
      </c>
      <c r="B2020" s="2">
        <f>IFERROR(__xludf.DUMMYFUNCTION("""COMPUTED_VALUE"""),1.0)</f>
        <v>1</v>
      </c>
      <c r="C2020" s="2">
        <f>IFERROR(__xludf.DUMMYFUNCTION("""COMPUTED_VALUE"""),167.0)</f>
        <v>167</v>
      </c>
      <c r="D2020" s="3">
        <f>IFERROR(__xludf.DUMMYFUNCTION("""COMPUTED_VALUE"""),29.0)</f>
        <v>29</v>
      </c>
      <c r="E2020" s="2"/>
      <c r="F2020" s="2"/>
    </row>
    <row r="2021">
      <c r="A2021" s="2">
        <f>IFERROR(__xludf.DUMMYFUNCTION("""COMPUTED_VALUE"""),120894.0)</f>
        <v>120894</v>
      </c>
      <c r="B2021" s="2">
        <f>IFERROR(__xludf.DUMMYFUNCTION("""COMPUTED_VALUE"""),1.0)</f>
        <v>1</v>
      </c>
      <c r="C2021" s="2">
        <f>IFERROR(__xludf.DUMMYFUNCTION("""COMPUTED_VALUE"""),59.0)</f>
        <v>59</v>
      </c>
      <c r="D2021" s="3">
        <f>IFERROR(__xludf.DUMMYFUNCTION("""COMPUTED_VALUE"""),10.0)</f>
        <v>10</v>
      </c>
      <c r="E2021" s="2"/>
      <c r="F2021" s="2"/>
    </row>
    <row r="2022">
      <c r="A2022" s="2">
        <f>IFERROR(__xludf.DUMMYFUNCTION("""COMPUTED_VALUE"""),46762.0)</f>
        <v>46762</v>
      </c>
      <c r="B2022" s="2">
        <f>IFERROR(__xludf.DUMMYFUNCTION("""COMPUTED_VALUE"""),0.0)</f>
        <v>0</v>
      </c>
      <c r="C2022" s="2">
        <f>IFERROR(__xludf.DUMMYFUNCTION("""COMPUTED_VALUE"""),653.0)</f>
        <v>653</v>
      </c>
      <c r="D2022" s="3">
        <f>IFERROR(__xludf.DUMMYFUNCTION("""COMPUTED_VALUE"""),38.0)</f>
        <v>38</v>
      </c>
      <c r="E2022" s="2"/>
      <c r="F2022" s="2"/>
    </row>
    <row r="2023">
      <c r="A2023" s="2">
        <f>IFERROR(__xludf.DUMMYFUNCTION("""COMPUTED_VALUE"""),118212.0)</f>
        <v>118212</v>
      </c>
      <c r="B2023" s="2">
        <f>IFERROR(__xludf.DUMMYFUNCTION("""COMPUTED_VALUE"""),0.0)</f>
        <v>0</v>
      </c>
      <c r="C2023" s="2">
        <f>IFERROR(__xludf.DUMMYFUNCTION("""COMPUTED_VALUE"""),704.0)</f>
        <v>704</v>
      </c>
      <c r="D2023" s="3">
        <f>IFERROR(__xludf.DUMMYFUNCTION("""COMPUTED_VALUE"""),310.0)</f>
        <v>310</v>
      </c>
      <c r="E2023" s="2"/>
      <c r="F2023" s="2"/>
    </row>
    <row r="2024">
      <c r="A2024" s="2">
        <f>IFERROR(__xludf.DUMMYFUNCTION("""COMPUTED_VALUE"""),150950.0)</f>
        <v>150950</v>
      </c>
      <c r="B2024" s="2">
        <f>IFERROR(__xludf.DUMMYFUNCTION("""COMPUTED_VALUE"""),1.0)</f>
        <v>1</v>
      </c>
      <c r="C2024" s="2">
        <f>IFERROR(__xludf.DUMMYFUNCTION("""COMPUTED_VALUE"""),138.0)</f>
        <v>138</v>
      </c>
      <c r="D2024" s="3">
        <f>IFERROR(__xludf.DUMMYFUNCTION("""COMPUTED_VALUE"""),68.0)</f>
        <v>68</v>
      </c>
      <c r="E2024" s="2"/>
      <c r="F2024" s="2"/>
    </row>
    <row r="2025">
      <c r="A2025" s="2">
        <f>IFERROR(__xludf.DUMMYFUNCTION("""COMPUTED_VALUE"""),190106.0)</f>
        <v>190106</v>
      </c>
      <c r="B2025" s="2">
        <f>IFERROR(__xludf.DUMMYFUNCTION("""COMPUTED_VALUE"""),1.0)</f>
        <v>1</v>
      </c>
      <c r="C2025" s="2">
        <f>IFERROR(__xludf.DUMMYFUNCTION("""COMPUTED_VALUE"""),833.0)</f>
        <v>833</v>
      </c>
      <c r="D2025" s="3">
        <f>IFERROR(__xludf.DUMMYFUNCTION("""COMPUTED_VALUE"""),200.0)</f>
        <v>200</v>
      </c>
      <c r="E2025" s="2"/>
      <c r="F2025" s="2"/>
    </row>
    <row r="2026">
      <c r="A2026" s="2">
        <f>IFERROR(__xludf.DUMMYFUNCTION("""COMPUTED_VALUE"""),79810.0)</f>
        <v>79810</v>
      </c>
      <c r="B2026" s="2">
        <f>IFERROR(__xludf.DUMMYFUNCTION("""COMPUTED_VALUE"""),1.0)</f>
        <v>1</v>
      </c>
      <c r="C2026" s="2">
        <f>IFERROR(__xludf.DUMMYFUNCTION("""COMPUTED_VALUE"""),31.0)</f>
        <v>31</v>
      </c>
      <c r="D2026" s="3">
        <f>IFERROR(__xludf.DUMMYFUNCTION("""COMPUTED_VALUE"""),14.0)</f>
        <v>14</v>
      </c>
      <c r="E2026" s="2"/>
      <c r="F2026" s="2"/>
    </row>
    <row r="2027">
      <c r="A2027" s="2">
        <f>IFERROR(__xludf.DUMMYFUNCTION("""COMPUTED_VALUE"""),82459.0)</f>
        <v>82459</v>
      </c>
      <c r="B2027" s="2">
        <f>IFERROR(__xludf.DUMMYFUNCTION("""COMPUTED_VALUE"""),0.0)</f>
        <v>0</v>
      </c>
      <c r="C2027" s="2">
        <f>IFERROR(__xludf.DUMMYFUNCTION("""COMPUTED_VALUE"""),704.0)</f>
        <v>704</v>
      </c>
      <c r="D2027" s="3">
        <f>IFERROR(__xludf.DUMMYFUNCTION("""COMPUTED_VALUE"""),567.0)</f>
        <v>567</v>
      </c>
      <c r="E2027" s="2"/>
      <c r="F2027" s="2"/>
    </row>
    <row r="2028">
      <c r="A2028" s="2">
        <f>IFERROR(__xludf.DUMMYFUNCTION("""COMPUTED_VALUE"""),49360.0)</f>
        <v>49360</v>
      </c>
      <c r="B2028" s="2">
        <f>IFERROR(__xludf.DUMMYFUNCTION("""COMPUTED_VALUE"""),1.0)</f>
        <v>1</v>
      </c>
      <c r="C2028" s="2">
        <f>IFERROR(__xludf.DUMMYFUNCTION("""COMPUTED_VALUE"""),804.0)</f>
        <v>804</v>
      </c>
      <c r="D2028" s="3">
        <f>IFERROR(__xludf.DUMMYFUNCTION("""COMPUTED_VALUE"""),234.0)</f>
        <v>234</v>
      </c>
      <c r="E2028" s="2"/>
      <c r="F2028" s="2"/>
    </row>
    <row r="2029">
      <c r="A2029" s="2">
        <f>IFERROR(__xludf.DUMMYFUNCTION("""COMPUTED_VALUE"""),194507.0)</f>
        <v>194507</v>
      </c>
      <c r="B2029" s="2">
        <f>IFERROR(__xludf.DUMMYFUNCTION("""COMPUTED_VALUE"""),0.0)</f>
        <v>0</v>
      </c>
      <c r="C2029" s="2">
        <f>IFERROR(__xludf.DUMMYFUNCTION("""COMPUTED_VALUE"""),384.0)</f>
        <v>384</v>
      </c>
      <c r="D2029" s="3">
        <f>IFERROR(__xludf.DUMMYFUNCTION("""COMPUTED_VALUE"""),113.0)</f>
        <v>113</v>
      </c>
      <c r="E2029" s="2"/>
      <c r="F2029" s="2"/>
    </row>
    <row r="2030">
      <c r="A2030" s="2">
        <f>IFERROR(__xludf.DUMMYFUNCTION("""COMPUTED_VALUE"""),82453.0)</f>
        <v>82453</v>
      </c>
      <c r="B2030" s="2">
        <f>IFERROR(__xludf.DUMMYFUNCTION("""COMPUTED_VALUE"""),1.0)</f>
        <v>1</v>
      </c>
      <c r="C2030" s="2">
        <f>IFERROR(__xludf.DUMMYFUNCTION("""COMPUTED_VALUE"""),381.0)</f>
        <v>381</v>
      </c>
      <c r="D2030" s="3">
        <f>IFERROR(__xludf.DUMMYFUNCTION("""COMPUTED_VALUE"""),269.0)</f>
        <v>269</v>
      </c>
      <c r="E2030" s="2"/>
      <c r="F2030" s="2"/>
    </row>
    <row r="2031">
      <c r="A2031" s="2">
        <f>IFERROR(__xludf.DUMMYFUNCTION("""COMPUTED_VALUE"""),79669.0)</f>
        <v>79669</v>
      </c>
      <c r="B2031" s="2">
        <f>IFERROR(__xludf.DUMMYFUNCTION("""COMPUTED_VALUE"""),1.0)</f>
        <v>1</v>
      </c>
      <c r="C2031" s="2">
        <f>IFERROR(__xludf.DUMMYFUNCTION("""COMPUTED_VALUE"""),498.0)</f>
        <v>498</v>
      </c>
      <c r="D2031" s="3">
        <f>IFERROR(__xludf.DUMMYFUNCTION("""COMPUTED_VALUE"""),394.0)</f>
        <v>394</v>
      </c>
      <c r="E2031" s="2"/>
      <c r="F2031" s="2"/>
    </row>
    <row r="2032">
      <c r="A2032" s="2">
        <f>IFERROR(__xludf.DUMMYFUNCTION("""COMPUTED_VALUE"""),122294.0)</f>
        <v>122294</v>
      </c>
      <c r="B2032" s="2">
        <f>IFERROR(__xludf.DUMMYFUNCTION("""COMPUTED_VALUE"""),0.0)</f>
        <v>0</v>
      </c>
      <c r="C2032" s="2">
        <f>IFERROR(__xludf.DUMMYFUNCTION("""COMPUTED_VALUE"""),859.0)</f>
        <v>859</v>
      </c>
      <c r="D2032" s="3">
        <f>IFERROR(__xludf.DUMMYFUNCTION("""COMPUTED_VALUE"""),797.0)</f>
        <v>797</v>
      </c>
      <c r="E2032" s="2"/>
      <c r="F2032" s="2"/>
    </row>
    <row r="2033">
      <c r="A2033" s="2">
        <f>IFERROR(__xludf.DUMMYFUNCTION("""COMPUTED_VALUE"""),73245.0)</f>
        <v>73245</v>
      </c>
      <c r="B2033" s="2">
        <f>IFERROR(__xludf.DUMMYFUNCTION("""COMPUTED_VALUE"""),0.0)</f>
        <v>0</v>
      </c>
      <c r="C2033" s="2">
        <f>IFERROR(__xludf.DUMMYFUNCTION("""COMPUTED_VALUE"""),44.0)</f>
        <v>44</v>
      </c>
      <c r="D2033" s="3">
        <f>IFERROR(__xludf.DUMMYFUNCTION("""COMPUTED_VALUE"""),44.0)</f>
        <v>44</v>
      </c>
      <c r="E2033" s="2"/>
      <c r="F2033" s="2"/>
    </row>
    <row r="2034">
      <c r="A2034" s="2">
        <f>IFERROR(__xludf.DUMMYFUNCTION("""COMPUTED_VALUE"""),122082.0)</f>
        <v>122082</v>
      </c>
      <c r="B2034" s="2">
        <f>IFERROR(__xludf.DUMMYFUNCTION("""COMPUTED_VALUE"""),0.0)</f>
        <v>0</v>
      </c>
      <c r="C2034" s="2">
        <f>IFERROR(__xludf.DUMMYFUNCTION("""COMPUTED_VALUE"""),684.0)</f>
        <v>684</v>
      </c>
      <c r="D2034" s="3">
        <f>IFERROR(__xludf.DUMMYFUNCTION("""COMPUTED_VALUE"""),273.0)</f>
        <v>273</v>
      </c>
      <c r="E2034" s="2"/>
      <c r="F2034" s="2"/>
    </row>
    <row r="2035">
      <c r="A2035" s="2">
        <f>IFERROR(__xludf.DUMMYFUNCTION("""COMPUTED_VALUE"""),194501.0)</f>
        <v>194501</v>
      </c>
      <c r="B2035" s="2">
        <f>IFERROR(__xludf.DUMMYFUNCTION("""COMPUTED_VALUE"""),0.0)</f>
        <v>0</v>
      </c>
      <c r="C2035" s="2">
        <f>IFERROR(__xludf.DUMMYFUNCTION("""COMPUTED_VALUE"""),372.0)</f>
        <v>372</v>
      </c>
      <c r="D2035" s="3">
        <f>IFERROR(__xludf.DUMMYFUNCTION("""COMPUTED_VALUE"""),148.0)</f>
        <v>148</v>
      </c>
      <c r="E2035" s="2"/>
      <c r="F2035" s="2"/>
    </row>
    <row r="2036">
      <c r="A2036" s="2">
        <f>IFERROR(__xludf.DUMMYFUNCTION("""COMPUTED_VALUE"""),79105.0)</f>
        <v>79105</v>
      </c>
      <c r="B2036" s="2">
        <f>IFERROR(__xludf.DUMMYFUNCTION("""COMPUTED_VALUE"""),1.0)</f>
        <v>1</v>
      </c>
      <c r="C2036" s="2">
        <f>IFERROR(__xludf.DUMMYFUNCTION("""COMPUTED_VALUE"""),785.0)</f>
        <v>785</v>
      </c>
      <c r="D2036" s="3">
        <f>IFERROR(__xludf.DUMMYFUNCTION("""COMPUTED_VALUE"""),90.0)</f>
        <v>90</v>
      </c>
      <c r="E2036" s="2"/>
      <c r="F2036" s="2"/>
    </row>
    <row r="2037">
      <c r="A2037" s="2">
        <f>IFERROR(__xludf.DUMMYFUNCTION("""COMPUTED_VALUE"""),87769.0)</f>
        <v>87769</v>
      </c>
      <c r="B2037" s="2">
        <f>IFERROR(__xludf.DUMMYFUNCTION("""COMPUTED_VALUE"""),1.0)</f>
        <v>1</v>
      </c>
      <c r="C2037" s="2">
        <f>IFERROR(__xludf.DUMMYFUNCTION("""COMPUTED_VALUE"""),603.0)</f>
        <v>603</v>
      </c>
      <c r="D2037" s="3">
        <f>IFERROR(__xludf.DUMMYFUNCTION("""COMPUTED_VALUE"""),82.0)</f>
        <v>82</v>
      </c>
      <c r="E2037" s="2"/>
      <c r="F2037" s="2"/>
    </row>
    <row r="2038">
      <c r="A2038" s="2">
        <f>IFERROR(__xludf.DUMMYFUNCTION("""COMPUTED_VALUE"""),9734.0)</f>
        <v>9734</v>
      </c>
      <c r="B2038" s="2">
        <f>IFERROR(__xludf.DUMMYFUNCTION("""COMPUTED_VALUE"""),0.0)</f>
        <v>0</v>
      </c>
      <c r="C2038" s="2">
        <f>IFERROR(__xludf.DUMMYFUNCTION("""COMPUTED_VALUE"""),997.0)</f>
        <v>997</v>
      </c>
      <c r="D2038" s="3">
        <f>IFERROR(__xludf.DUMMYFUNCTION("""COMPUTED_VALUE"""),970.0)</f>
        <v>970</v>
      </c>
      <c r="E2038" s="2"/>
      <c r="F2038" s="2"/>
    </row>
    <row r="2039">
      <c r="A2039" s="2">
        <f>IFERROR(__xludf.DUMMYFUNCTION("""COMPUTED_VALUE"""),149615.0)</f>
        <v>149615</v>
      </c>
      <c r="B2039" s="2">
        <f>IFERROR(__xludf.DUMMYFUNCTION("""COMPUTED_VALUE"""),1.0)</f>
        <v>1</v>
      </c>
      <c r="C2039" s="2">
        <f>IFERROR(__xludf.DUMMYFUNCTION("""COMPUTED_VALUE"""),847.0)</f>
        <v>847</v>
      </c>
      <c r="D2039" s="3">
        <f>IFERROR(__xludf.DUMMYFUNCTION("""COMPUTED_VALUE"""),309.0)</f>
        <v>309</v>
      </c>
      <c r="E2039" s="2"/>
      <c r="F2039" s="2"/>
    </row>
    <row r="2040">
      <c r="A2040" s="2">
        <f>IFERROR(__xludf.DUMMYFUNCTION("""COMPUTED_VALUE"""),108966.0)</f>
        <v>108966</v>
      </c>
      <c r="B2040" s="2">
        <f>IFERROR(__xludf.DUMMYFUNCTION("""COMPUTED_VALUE"""),1.0)</f>
        <v>1</v>
      </c>
      <c r="C2040" s="2">
        <f>IFERROR(__xludf.DUMMYFUNCTION("""COMPUTED_VALUE"""),882.0)</f>
        <v>882</v>
      </c>
      <c r="D2040" s="3">
        <f>IFERROR(__xludf.DUMMYFUNCTION("""COMPUTED_VALUE"""),178.0)</f>
        <v>178</v>
      </c>
      <c r="E2040" s="2"/>
      <c r="F2040" s="2"/>
    </row>
    <row r="2041">
      <c r="A2041" s="2">
        <f>IFERROR(__xludf.DUMMYFUNCTION("""COMPUTED_VALUE"""),116943.0)</f>
        <v>116943</v>
      </c>
      <c r="B2041" s="2">
        <f>IFERROR(__xludf.DUMMYFUNCTION("""COMPUTED_VALUE"""),1.0)</f>
        <v>1</v>
      </c>
      <c r="C2041" s="2">
        <f>IFERROR(__xludf.DUMMYFUNCTION("""COMPUTED_VALUE"""),283.0)</f>
        <v>283</v>
      </c>
      <c r="D2041" s="3">
        <f>IFERROR(__xludf.DUMMYFUNCTION("""COMPUTED_VALUE"""),126.0)</f>
        <v>126</v>
      </c>
      <c r="E2041" s="2"/>
      <c r="F2041" s="2"/>
    </row>
    <row r="2042">
      <c r="A2042" s="2">
        <f>IFERROR(__xludf.DUMMYFUNCTION("""COMPUTED_VALUE"""),46769.0)</f>
        <v>46769</v>
      </c>
      <c r="B2042" s="2">
        <f>IFERROR(__xludf.DUMMYFUNCTION("""COMPUTED_VALUE"""),0.0)</f>
        <v>0</v>
      </c>
      <c r="C2042" s="2">
        <f>IFERROR(__xludf.DUMMYFUNCTION("""COMPUTED_VALUE"""),273.0)</f>
        <v>273</v>
      </c>
      <c r="D2042" s="3">
        <f>IFERROR(__xludf.DUMMYFUNCTION("""COMPUTED_VALUE"""),129.0)</f>
        <v>129</v>
      </c>
      <c r="E2042" s="2"/>
      <c r="F2042" s="2"/>
    </row>
    <row r="2043">
      <c r="A2043" s="2">
        <f>IFERROR(__xludf.DUMMYFUNCTION("""COMPUTED_VALUE"""),87766.0)</f>
        <v>87766</v>
      </c>
      <c r="B2043" s="2">
        <f>IFERROR(__xludf.DUMMYFUNCTION("""COMPUTED_VALUE"""),1.0)</f>
        <v>1</v>
      </c>
      <c r="C2043" s="2">
        <f>IFERROR(__xludf.DUMMYFUNCTION("""COMPUTED_VALUE"""),636.0)</f>
        <v>636</v>
      </c>
      <c r="D2043" s="3">
        <f>IFERROR(__xludf.DUMMYFUNCTION("""COMPUTED_VALUE"""),52.0)</f>
        <v>52</v>
      </c>
      <c r="E2043" s="2"/>
      <c r="F2043" s="2"/>
    </row>
    <row r="2044">
      <c r="A2044" s="2">
        <f>IFERROR(__xludf.DUMMYFUNCTION("""COMPUTED_VALUE"""),110701.0)</f>
        <v>110701</v>
      </c>
      <c r="B2044" s="2">
        <f>IFERROR(__xludf.DUMMYFUNCTION("""COMPUTED_VALUE"""),1.0)</f>
        <v>1</v>
      </c>
      <c r="C2044" s="2">
        <f>IFERROR(__xludf.DUMMYFUNCTION("""COMPUTED_VALUE"""),641.0)</f>
        <v>641</v>
      </c>
      <c r="D2044" s="3">
        <f>IFERROR(__xludf.DUMMYFUNCTION("""COMPUTED_VALUE"""),46.0)</f>
        <v>46</v>
      </c>
      <c r="E2044" s="2"/>
      <c r="F2044" s="2"/>
    </row>
    <row r="2045">
      <c r="A2045" s="2">
        <f>IFERROR(__xludf.DUMMYFUNCTION("""COMPUTED_VALUE"""),4205.0)</f>
        <v>4205</v>
      </c>
      <c r="B2045" s="2">
        <f>IFERROR(__xludf.DUMMYFUNCTION("""COMPUTED_VALUE"""),1.0)</f>
        <v>1</v>
      </c>
      <c r="C2045" s="2">
        <f>IFERROR(__xludf.DUMMYFUNCTION("""COMPUTED_VALUE"""),202.0)</f>
        <v>202</v>
      </c>
      <c r="D2045" s="3">
        <f>IFERROR(__xludf.DUMMYFUNCTION("""COMPUTED_VALUE"""),172.0)</f>
        <v>172</v>
      </c>
      <c r="E2045" s="2"/>
      <c r="F2045" s="2"/>
    </row>
    <row r="2046">
      <c r="A2046" s="2">
        <f>IFERROR(__xludf.DUMMYFUNCTION("""COMPUTED_VALUE"""),122615.0)</f>
        <v>122615</v>
      </c>
      <c r="B2046" s="2">
        <f>IFERROR(__xludf.DUMMYFUNCTION("""COMPUTED_VALUE"""),0.0)</f>
        <v>0</v>
      </c>
      <c r="C2046" s="2">
        <f>IFERROR(__xludf.DUMMYFUNCTION("""COMPUTED_VALUE"""),349.0)</f>
        <v>349</v>
      </c>
      <c r="D2046" s="3">
        <f>IFERROR(__xludf.DUMMYFUNCTION("""COMPUTED_VALUE"""),271.0)</f>
        <v>271</v>
      </c>
      <c r="E2046" s="2"/>
      <c r="F2046" s="2"/>
    </row>
    <row r="2047">
      <c r="A2047" s="2">
        <f>IFERROR(__xludf.DUMMYFUNCTION("""COMPUTED_VALUE"""),87800.0)</f>
        <v>87800</v>
      </c>
      <c r="B2047" s="2">
        <f>IFERROR(__xludf.DUMMYFUNCTION("""COMPUTED_VALUE"""),1.0)</f>
        <v>1</v>
      </c>
      <c r="C2047" s="2">
        <f>IFERROR(__xludf.DUMMYFUNCTION("""COMPUTED_VALUE"""),918.0)</f>
        <v>918</v>
      </c>
      <c r="D2047" s="3">
        <f>IFERROR(__xludf.DUMMYFUNCTION("""COMPUTED_VALUE"""),369.0)</f>
        <v>369</v>
      </c>
      <c r="E2047" s="2"/>
      <c r="F2047" s="2"/>
    </row>
    <row r="2048">
      <c r="A2048" s="2">
        <f>IFERROR(__xludf.DUMMYFUNCTION("""COMPUTED_VALUE"""),87801.0)</f>
        <v>87801</v>
      </c>
      <c r="B2048" s="2">
        <f>IFERROR(__xludf.DUMMYFUNCTION("""COMPUTED_VALUE"""),1.0)</f>
        <v>1</v>
      </c>
      <c r="C2048" s="2">
        <f>IFERROR(__xludf.DUMMYFUNCTION("""COMPUTED_VALUE"""),271.0)</f>
        <v>271</v>
      </c>
      <c r="D2048" s="3">
        <f>IFERROR(__xludf.DUMMYFUNCTION("""COMPUTED_VALUE"""),248.0)</f>
        <v>248</v>
      </c>
      <c r="E2048" s="2"/>
      <c r="F2048" s="2"/>
    </row>
    <row r="2049">
      <c r="A2049" s="2">
        <f>IFERROR(__xludf.DUMMYFUNCTION("""COMPUTED_VALUE"""),87767.0)</f>
        <v>87767</v>
      </c>
      <c r="B2049" s="2">
        <f>IFERROR(__xludf.DUMMYFUNCTION("""COMPUTED_VALUE"""),0.0)</f>
        <v>0</v>
      </c>
      <c r="C2049" s="2">
        <f>IFERROR(__xludf.DUMMYFUNCTION("""COMPUTED_VALUE"""),513.0)</f>
        <v>513</v>
      </c>
      <c r="D2049" s="3">
        <f>IFERROR(__xludf.DUMMYFUNCTION("""COMPUTED_VALUE"""),168.0)</f>
        <v>168</v>
      </c>
      <c r="E2049" s="2"/>
      <c r="F2049" s="2"/>
    </row>
    <row r="2050">
      <c r="A2050" s="2">
        <f>IFERROR(__xludf.DUMMYFUNCTION("""COMPUTED_VALUE"""),82454.0)</f>
        <v>82454</v>
      </c>
      <c r="B2050" s="2">
        <f>IFERROR(__xludf.DUMMYFUNCTION("""COMPUTED_VALUE"""),1.0)</f>
        <v>1</v>
      </c>
      <c r="C2050" s="2">
        <f>IFERROR(__xludf.DUMMYFUNCTION("""COMPUTED_VALUE"""),259.0)</f>
        <v>259</v>
      </c>
      <c r="D2050" s="3">
        <f>IFERROR(__xludf.DUMMYFUNCTION("""COMPUTED_VALUE"""),233.0)</f>
        <v>233</v>
      </c>
      <c r="E2050" s="2"/>
      <c r="F2050" s="2"/>
    </row>
    <row r="2051">
      <c r="A2051" s="2">
        <f>IFERROR(__xludf.DUMMYFUNCTION("""COMPUTED_VALUE"""),194506.0)</f>
        <v>194506</v>
      </c>
      <c r="B2051" s="2">
        <f>IFERROR(__xludf.DUMMYFUNCTION("""COMPUTED_VALUE"""),1.0)</f>
        <v>1</v>
      </c>
      <c r="C2051" s="2">
        <f>IFERROR(__xludf.DUMMYFUNCTION("""COMPUTED_VALUE"""),256.0)</f>
        <v>256</v>
      </c>
      <c r="D2051" s="3">
        <f>IFERROR(__xludf.DUMMYFUNCTION("""COMPUTED_VALUE"""),16.0)</f>
        <v>16</v>
      </c>
      <c r="E2051" s="2"/>
      <c r="F2051" s="2"/>
    </row>
    <row r="2052">
      <c r="A2052" s="2">
        <f>IFERROR(__xludf.DUMMYFUNCTION("""COMPUTED_VALUE"""),16240.0)</f>
        <v>16240</v>
      </c>
      <c r="B2052" s="2">
        <f>IFERROR(__xludf.DUMMYFUNCTION("""COMPUTED_VALUE"""),1.0)</f>
        <v>1</v>
      </c>
      <c r="C2052" s="2">
        <f>IFERROR(__xludf.DUMMYFUNCTION("""COMPUTED_VALUE"""),82.0)</f>
        <v>82</v>
      </c>
      <c r="D2052" s="3">
        <f>IFERROR(__xludf.DUMMYFUNCTION("""COMPUTED_VALUE"""),17.0)</f>
        <v>17</v>
      </c>
      <c r="E2052" s="2"/>
      <c r="F2052" s="2"/>
    </row>
    <row r="2053">
      <c r="A2053" s="2">
        <f>IFERROR(__xludf.DUMMYFUNCTION("""COMPUTED_VALUE"""),16237.0)</f>
        <v>16237</v>
      </c>
      <c r="B2053" s="2">
        <f>IFERROR(__xludf.DUMMYFUNCTION("""COMPUTED_VALUE"""),0.0)</f>
        <v>0</v>
      </c>
      <c r="C2053" s="2">
        <f>IFERROR(__xludf.DUMMYFUNCTION("""COMPUTED_VALUE"""),870.0)</f>
        <v>870</v>
      </c>
      <c r="D2053" s="3">
        <f>IFERROR(__xludf.DUMMYFUNCTION("""COMPUTED_VALUE"""),170.0)</f>
        <v>170</v>
      </c>
      <c r="E2053" s="2"/>
      <c r="F2053" s="2"/>
    </row>
    <row r="2054">
      <c r="A2054" s="2">
        <f>IFERROR(__xludf.DUMMYFUNCTION("""COMPUTED_VALUE"""),122760.0)</f>
        <v>122760</v>
      </c>
      <c r="B2054" s="2">
        <f>IFERROR(__xludf.DUMMYFUNCTION("""COMPUTED_VALUE"""),1.0)</f>
        <v>1</v>
      </c>
      <c r="C2054" s="2">
        <f>IFERROR(__xludf.DUMMYFUNCTION("""COMPUTED_VALUE"""),352.0)</f>
        <v>352</v>
      </c>
      <c r="D2054" s="3">
        <f>IFERROR(__xludf.DUMMYFUNCTION("""COMPUTED_VALUE"""),218.0)</f>
        <v>218</v>
      </c>
      <c r="E2054" s="2"/>
      <c r="F2054" s="2"/>
    </row>
    <row r="2055">
      <c r="A2055" s="2">
        <f>IFERROR(__xludf.DUMMYFUNCTION("""COMPUTED_VALUE"""),82446.0)</f>
        <v>82446</v>
      </c>
      <c r="B2055" s="2">
        <f>IFERROR(__xludf.DUMMYFUNCTION("""COMPUTED_VALUE"""),0.0)</f>
        <v>0</v>
      </c>
      <c r="C2055" s="2">
        <f>IFERROR(__xludf.DUMMYFUNCTION("""COMPUTED_VALUE"""),101.0)</f>
        <v>101</v>
      </c>
      <c r="D2055" s="3">
        <f>IFERROR(__xludf.DUMMYFUNCTION("""COMPUTED_VALUE"""),97.0)</f>
        <v>97</v>
      </c>
      <c r="E2055" s="2"/>
      <c r="F2055" s="2"/>
    </row>
    <row r="2056">
      <c r="A2056" s="2">
        <f>IFERROR(__xludf.DUMMYFUNCTION("""COMPUTED_VALUE"""),118333.0)</f>
        <v>118333</v>
      </c>
      <c r="B2056" s="2">
        <f>IFERROR(__xludf.DUMMYFUNCTION("""COMPUTED_VALUE"""),0.0)</f>
        <v>0</v>
      </c>
      <c r="C2056" s="2">
        <f>IFERROR(__xludf.DUMMYFUNCTION("""COMPUTED_VALUE"""),34.0)</f>
        <v>34</v>
      </c>
      <c r="D2056" s="3">
        <f>IFERROR(__xludf.DUMMYFUNCTION("""COMPUTED_VALUE"""),1.0)</f>
        <v>1</v>
      </c>
      <c r="E2056" s="2"/>
      <c r="F2056" s="2"/>
    </row>
    <row r="2057">
      <c r="A2057" s="2">
        <f>IFERROR(__xludf.DUMMYFUNCTION("""COMPUTED_VALUE"""),122774.0)</f>
        <v>122774</v>
      </c>
      <c r="B2057" s="2">
        <f>IFERROR(__xludf.DUMMYFUNCTION("""COMPUTED_VALUE"""),0.0)</f>
        <v>0</v>
      </c>
      <c r="C2057" s="2">
        <f>IFERROR(__xludf.DUMMYFUNCTION("""COMPUTED_VALUE"""),627.0)</f>
        <v>627</v>
      </c>
      <c r="D2057" s="3">
        <f>IFERROR(__xludf.DUMMYFUNCTION("""COMPUTED_VALUE"""),210.0)</f>
        <v>210</v>
      </c>
      <c r="E2057" s="2"/>
      <c r="F2057" s="2"/>
    </row>
    <row r="2058">
      <c r="A2058" s="2">
        <f>IFERROR(__xludf.DUMMYFUNCTION("""COMPUTED_VALUE"""),87789.0)</f>
        <v>87789</v>
      </c>
      <c r="B2058" s="2">
        <f>IFERROR(__xludf.DUMMYFUNCTION("""COMPUTED_VALUE"""),0.0)</f>
        <v>0</v>
      </c>
      <c r="C2058" s="2">
        <f>IFERROR(__xludf.DUMMYFUNCTION("""COMPUTED_VALUE"""),448.0)</f>
        <v>448</v>
      </c>
      <c r="D2058" s="3">
        <f>IFERROR(__xludf.DUMMYFUNCTION("""COMPUTED_VALUE"""),310.0)</f>
        <v>310</v>
      </c>
      <c r="E2058" s="2"/>
      <c r="F2058" s="2"/>
    </row>
    <row r="2059">
      <c r="A2059" s="2">
        <f>IFERROR(__xludf.DUMMYFUNCTION("""COMPUTED_VALUE"""),111159.0)</f>
        <v>111159</v>
      </c>
      <c r="B2059" s="2">
        <f>IFERROR(__xludf.DUMMYFUNCTION("""COMPUTED_VALUE"""),0.0)</f>
        <v>0</v>
      </c>
      <c r="C2059" s="2">
        <f>IFERROR(__xludf.DUMMYFUNCTION("""COMPUTED_VALUE"""),396.0)</f>
        <v>396</v>
      </c>
      <c r="D2059" s="3">
        <f>IFERROR(__xludf.DUMMYFUNCTION("""COMPUTED_VALUE"""),219.0)</f>
        <v>219</v>
      </c>
      <c r="E2059" s="2"/>
      <c r="F2059" s="2"/>
    </row>
    <row r="2060">
      <c r="A2060" s="2">
        <f>IFERROR(__xludf.DUMMYFUNCTION("""COMPUTED_VALUE"""),194500.0)</f>
        <v>194500</v>
      </c>
      <c r="B2060" s="2">
        <f>IFERROR(__xludf.DUMMYFUNCTION("""COMPUTED_VALUE"""),1.0)</f>
        <v>1</v>
      </c>
      <c r="C2060" s="2">
        <f>IFERROR(__xludf.DUMMYFUNCTION("""COMPUTED_VALUE"""),458.0)</f>
        <v>458</v>
      </c>
      <c r="D2060" s="3">
        <f>IFERROR(__xludf.DUMMYFUNCTION("""COMPUTED_VALUE"""),384.0)</f>
        <v>384</v>
      </c>
      <c r="E2060" s="2"/>
      <c r="F2060" s="2"/>
    </row>
    <row r="2061">
      <c r="A2061" s="2">
        <f>IFERROR(__xludf.DUMMYFUNCTION("""COMPUTED_VALUE"""),80432.0)</f>
        <v>80432</v>
      </c>
      <c r="B2061" s="2">
        <f>IFERROR(__xludf.DUMMYFUNCTION("""COMPUTED_VALUE"""),0.0)</f>
        <v>0</v>
      </c>
      <c r="C2061" s="2">
        <f>IFERROR(__xludf.DUMMYFUNCTION("""COMPUTED_VALUE"""),17.0)</f>
        <v>17</v>
      </c>
      <c r="D2061" s="3">
        <f>IFERROR(__xludf.DUMMYFUNCTION("""COMPUTED_VALUE"""),9.0)</f>
        <v>9</v>
      </c>
      <c r="E2061" s="2"/>
      <c r="F2061" s="2"/>
    </row>
    <row r="2062">
      <c r="A2062" s="2">
        <f>IFERROR(__xludf.DUMMYFUNCTION("""COMPUTED_VALUE"""),122636.0)</f>
        <v>122636</v>
      </c>
      <c r="B2062" s="2">
        <f>IFERROR(__xludf.DUMMYFUNCTION("""COMPUTED_VALUE"""),1.0)</f>
        <v>1</v>
      </c>
      <c r="C2062" s="2">
        <f>IFERROR(__xludf.DUMMYFUNCTION("""COMPUTED_VALUE"""),157.0)</f>
        <v>157</v>
      </c>
      <c r="D2062" s="3">
        <f>IFERROR(__xludf.DUMMYFUNCTION("""COMPUTED_VALUE"""),139.0)</f>
        <v>139</v>
      </c>
      <c r="E2062" s="2"/>
      <c r="F2062" s="2"/>
    </row>
    <row r="2063">
      <c r="A2063" s="2">
        <f>IFERROR(__xludf.DUMMYFUNCTION("""COMPUTED_VALUE"""),110697.0)</f>
        <v>110697</v>
      </c>
      <c r="B2063" s="2">
        <f>IFERROR(__xludf.DUMMYFUNCTION("""COMPUTED_VALUE"""),0.0)</f>
        <v>0</v>
      </c>
      <c r="C2063" s="2">
        <f>IFERROR(__xludf.DUMMYFUNCTION("""COMPUTED_VALUE"""),904.0)</f>
        <v>904</v>
      </c>
      <c r="D2063" s="3">
        <f>IFERROR(__xludf.DUMMYFUNCTION("""COMPUTED_VALUE"""),894.0)</f>
        <v>894</v>
      </c>
      <c r="E2063" s="2"/>
      <c r="F2063" s="2"/>
    </row>
    <row r="2064">
      <c r="A2064" s="2">
        <f>IFERROR(__xludf.DUMMYFUNCTION("""COMPUTED_VALUE"""),117966.0)</f>
        <v>117966</v>
      </c>
      <c r="B2064" s="2">
        <f>IFERROR(__xludf.DUMMYFUNCTION("""COMPUTED_VALUE"""),0.0)</f>
        <v>0</v>
      </c>
      <c r="C2064" s="2">
        <f>IFERROR(__xludf.DUMMYFUNCTION("""COMPUTED_VALUE"""),936.0)</f>
        <v>936</v>
      </c>
      <c r="D2064" s="3">
        <f>IFERROR(__xludf.DUMMYFUNCTION("""COMPUTED_VALUE"""),632.0)</f>
        <v>632</v>
      </c>
      <c r="E2064" s="2"/>
      <c r="F2064" s="2"/>
    </row>
    <row r="2065">
      <c r="A2065" s="2">
        <f>IFERROR(__xludf.DUMMYFUNCTION("""COMPUTED_VALUE"""),122782.0)</f>
        <v>122782</v>
      </c>
      <c r="B2065" s="2">
        <f>IFERROR(__xludf.DUMMYFUNCTION("""COMPUTED_VALUE"""),0.0)</f>
        <v>0</v>
      </c>
      <c r="C2065" s="2">
        <f>IFERROR(__xludf.DUMMYFUNCTION("""COMPUTED_VALUE"""),742.0)</f>
        <v>742</v>
      </c>
      <c r="D2065" s="3">
        <f>IFERROR(__xludf.DUMMYFUNCTION("""COMPUTED_VALUE"""),58.0)</f>
        <v>58</v>
      </c>
      <c r="E2065" s="2"/>
      <c r="F2065" s="2"/>
    </row>
    <row r="2066">
      <c r="A2066" s="2">
        <f>IFERROR(__xludf.DUMMYFUNCTION("""COMPUTED_VALUE"""),49358.0)</f>
        <v>49358</v>
      </c>
      <c r="B2066" s="2">
        <f>IFERROR(__xludf.DUMMYFUNCTION("""COMPUTED_VALUE"""),1.0)</f>
        <v>1</v>
      </c>
      <c r="C2066" s="2">
        <f>IFERROR(__xludf.DUMMYFUNCTION("""COMPUTED_VALUE"""),352.0)</f>
        <v>352</v>
      </c>
      <c r="D2066" s="3">
        <f>IFERROR(__xludf.DUMMYFUNCTION("""COMPUTED_VALUE"""),126.0)</f>
        <v>126</v>
      </c>
      <c r="E2066" s="2"/>
      <c r="F2066" s="2"/>
    </row>
    <row r="2067">
      <c r="A2067" s="2">
        <f>IFERROR(__xludf.DUMMYFUNCTION("""COMPUTED_VALUE"""),190250.0)</f>
        <v>190250</v>
      </c>
      <c r="B2067" s="2">
        <f>IFERROR(__xludf.DUMMYFUNCTION("""COMPUTED_VALUE"""),0.0)</f>
        <v>0</v>
      </c>
      <c r="C2067" s="2">
        <f>IFERROR(__xludf.DUMMYFUNCTION("""COMPUTED_VALUE"""),175.0)</f>
        <v>175</v>
      </c>
      <c r="D2067" s="3">
        <f>IFERROR(__xludf.DUMMYFUNCTION("""COMPUTED_VALUE"""),90.0)</f>
        <v>90</v>
      </c>
      <c r="E2067" s="2"/>
      <c r="F2067" s="2"/>
    </row>
    <row r="2068">
      <c r="A2068" s="2">
        <f>IFERROR(__xludf.DUMMYFUNCTION("""COMPUTED_VALUE"""),100243.0)</f>
        <v>100243</v>
      </c>
      <c r="B2068" s="2">
        <f>IFERROR(__xludf.DUMMYFUNCTION("""COMPUTED_VALUE"""),1.0)</f>
        <v>1</v>
      </c>
      <c r="C2068" s="2">
        <f>IFERROR(__xludf.DUMMYFUNCTION("""COMPUTED_VALUE"""),573.0)</f>
        <v>573</v>
      </c>
      <c r="D2068" s="3">
        <f>IFERROR(__xludf.DUMMYFUNCTION("""COMPUTED_VALUE"""),188.0)</f>
        <v>188</v>
      </c>
      <c r="E2068" s="2"/>
      <c r="F2068" s="2"/>
    </row>
    <row r="2069">
      <c r="A2069" s="2">
        <f>IFERROR(__xludf.DUMMYFUNCTION("""COMPUTED_VALUE"""),87773.0)</f>
        <v>87773</v>
      </c>
      <c r="B2069" s="2">
        <f>IFERROR(__xludf.DUMMYFUNCTION("""COMPUTED_VALUE"""),1.0)</f>
        <v>1</v>
      </c>
      <c r="C2069" s="2">
        <f>IFERROR(__xludf.DUMMYFUNCTION("""COMPUTED_VALUE"""),946.0)</f>
        <v>946</v>
      </c>
      <c r="D2069" s="3">
        <f>IFERROR(__xludf.DUMMYFUNCTION("""COMPUTED_VALUE"""),743.0)</f>
        <v>743</v>
      </c>
      <c r="E2069" s="2"/>
      <c r="F2069" s="2"/>
    </row>
    <row r="2070">
      <c r="A2070" s="2">
        <f>IFERROR(__xludf.DUMMYFUNCTION("""COMPUTED_VALUE"""),79103.0)</f>
        <v>79103</v>
      </c>
      <c r="B2070" s="2">
        <f>IFERROR(__xludf.DUMMYFUNCTION("""COMPUTED_VALUE"""),0.0)</f>
        <v>0</v>
      </c>
      <c r="C2070" s="2">
        <f>IFERROR(__xludf.DUMMYFUNCTION("""COMPUTED_VALUE"""),77.0)</f>
        <v>77</v>
      </c>
      <c r="D2070" s="3">
        <f>IFERROR(__xludf.DUMMYFUNCTION("""COMPUTED_VALUE"""),28.0)</f>
        <v>28</v>
      </c>
      <c r="E2070" s="2"/>
      <c r="F2070" s="2"/>
    </row>
    <row r="2071">
      <c r="A2071" s="2">
        <f>IFERROR(__xludf.DUMMYFUNCTION("""COMPUTED_VALUE"""),87759.0)</f>
        <v>87759</v>
      </c>
      <c r="B2071" s="2">
        <f>IFERROR(__xludf.DUMMYFUNCTION("""COMPUTED_VALUE"""),1.0)</f>
        <v>1</v>
      </c>
      <c r="C2071" s="2">
        <f>IFERROR(__xludf.DUMMYFUNCTION("""COMPUTED_VALUE"""),26.0)</f>
        <v>26</v>
      </c>
      <c r="D2071" s="3">
        <f>IFERROR(__xludf.DUMMYFUNCTION("""COMPUTED_VALUE"""),18.0)</f>
        <v>18</v>
      </c>
      <c r="E2071" s="2"/>
      <c r="F2071" s="2"/>
    </row>
    <row r="2072">
      <c r="A2072" s="2">
        <f>IFERROR(__xludf.DUMMYFUNCTION("""COMPUTED_VALUE"""),82461.0)</f>
        <v>82461</v>
      </c>
      <c r="B2072" s="2">
        <f>IFERROR(__xludf.DUMMYFUNCTION("""COMPUTED_VALUE"""),1.0)</f>
        <v>1</v>
      </c>
      <c r="C2072" s="2">
        <f>IFERROR(__xludf.DUMMYFUNCTION("""COMPUTED_VALUE"""),425.0)</f>
        <v>425</v>
      </c>
      <c r="D2072" s="3">
        <f>IFERROR(__xludf.DUMMYFUNCTION("""COMPUTED_VALUE"""),159.0)</f>
        <v>159</v>
      </c>
      <c r="E2072" s="2"/>
      <c r="F2072" s="2"/>
    </row>
    <row r="2073">
      <c r="A2073" s="2">
        <f>IFERROR(__xludf.DUMMYFUNCTION("""COMPUTED_VALUE"""),122613.0)</f>
        <v>122613</v>
      </c>
      <c r="B2073" s="2">
        <f>IFERROR(__xludf.DUMMYFUNCTION("""COMPUTED_VALUE"""),0.0)</f>
        <v>0</v>
      </c>
      <c r="C2073" s="2">
        <f>IFERROR(__xludf.DUMMYFUNCTION("""COMPUTED_VALUE"""),322.0)</f>
        <v>322</v>
      </c>
      <c r="D2073" s="3">
        <f>IFERROR(__xludf.DUMMYFUNCTION("""COMPUTED_VALUE"""),196.0)</f>
        <v>196</v>
      </c>
      <c r="E2073" s="2"/>
      <c r="F2073" s="2"/>
    </row>
    <row r="2074">
      <c r="A2074" s="2">
        <f>IFERROR(__xludf.DUMMYFUNCTION("""COMPUTED_VALUE"""),79746.0)</f>
        <v>79746</v>
      </c>
      <c r="B2074" s="2">
        <f>IFERROR(__xludf.DUMMYFUNCTION("""COMPUTED_VALUE"""),0.0)</f>
        <v>0</v>
      </c>
      <c r="C2074" s="2">
        <f>IFERROR(__xludf.DUMMYFUNCTION("""COMPUTED_VALUE"""),264.0)</f>
        <v>264</v>
      </c>
      <c r="D2074" s="3">
        <f>IFERROR(__xludf.DUMMYFUNCTION("""COMPUTED_VALUE"""),155.0)</f>
        <v>155</v>
      </c>
      <c r="E2074" s="2"/>
      <c r="F2074" s="2"/>
    </row>
    <row r="2075">
      <c r="A2075" s="2">
        <f>IFERROR(__xludf.DUMMYFUNCTION("""COMPUTED_VALUE"""),110860.0)</f>
        <v>110860</v>
      </c>
      <c r="B2075" s="2">
        <f>IFERROR(__xludf.DUMMYFUNCTION("""COMPUTED_VALUE"""),1.0)</f>
        <v>1</v>
      </c>
      <c r="C2075" s="2">
        <f>IFERROR(__xludf.DUMMYFUNCTION("""COMPUTED_VALUE"""),275.0)</f>
        <v>275</v>
      </c>
      <c r="D2075" s="3">
        <f>IFERROR(__xludf.DUMMYFUNCTION("""COMPUTED_VALUE"""),205.0)</f>
        <v>205</v>
      </c>
      <c r="E2075" s="2"/>
      <c r="F2075" s="2"/>
    </row>
    <row r="2076">
      <c r="A2076" s="2">
        <f>IFERROR(__xludf.DUMMYFUNCTION("""COMPUTED_VALUE"""),49355.0)</f>
        <v>49355</v>
      </c>
      <c r="B2076" s="2">
        <f>IFERROR(__xludf.DUMMYFUNCTION("""COMPUTED_VALUE"""),0.0)</f>
        <v>0</v>
      </c>
      <c r="C2076" s="2">
        <f>IFERROR(__xludf.DUMMYFUNCTION("""COMPUTED_VALUE"""),384.0)</f>
        <v>384</v>
      </c>
      <c r="D2076" s="3">
        <f>IFERROR(__xludf.DUMMYFUNCTION("""COMPUTED_VALUE"""),141.0)</f>
        <v>141</v>
      </c>
      <c r="E2076" s="2"/>
      <c r="F2076" s="2"/>
    </row>
    <row r="2077">
      <c r="A2077" s="2">
        <f>IFERROR(__xludf.DUMMYFUNCTION("""COMPUTED_VALUE"""),93520.0)</f>
        <v>93520</v>
      </c>
      <c r="B2077" s="2">
        <f>IFERROR(__xludf.DUMMYFUNCTION("""COMPUTED_VALUE"""),1.0)</f>
        <v>1</v>
      </c>
      <c r="C2077" s="2">
        <f>IFERROR(__xludf.DUMMYFUNCTION("""COMPUTED_VALUE"""),453.0)</f>
        <v>453</v>
      </c>
      <c r="D2077" s="3">
        <f>IFERROR(__xludf.DUMMYFUNCTION("""COMPUTED_VALUE"""),156.0)</f>
        <v>156</v>
      </c>
      <c r="E2077" s="2"/>
      <c r="F2077" s="2"/>
    </row>
    <row r="2078">
      <c r="A2078" s="2">
        <f>IFERROR(__xludf.DUMMYFUNCTION("""COMPUTED_VALUE"""),87765.0)</f>
        <v>87765</v>
      </c>
      <c r="B2078" s="2">
        <f>IFERROR(__xludf.DUMMYFUNCTION("""COMPUTED_VALUE"""),0.0)</f>
        <v>0</v>
      </c>
      <c r="C2078" s="2">
        <f>IFERROR(__xludf.DUMMYFUNCTION("""COMPUTED_VALUE"""),26.0)</f>
        <v>26</v>
      </c>
      <c r="D2078" s="3">
        <f>IFERROR(__xludf.DUMMYFUNCTION("""COMPUTED_VALUE"""),10.0)</f>
        <v>10</v>
      </c>
      <c r="E2078" s="2"/>
      <c r="F2078" s="2"/>
    </row>
    <row r="2079">
      <c r="A2079" s="2">
        <f>IFERROR(__xludf.DUMMYFUNCTION("""COMPUTED_VALUE"""),110863.0)</f>
        <v>110863</v>
      </c>
      <c r="B2079" s="2">
        <f>IFERROR(__xludf.DUMMYFUNCTION("""COMPUTED_VALUE"""),1.0)</f>
        <v>1</v>
      </c>
      <c r="C2079" s="2">
        <f>IFERROR(__xludf.DUMMYFUNCTION("""COMPUTED_VALUE"""),551.0)</f>
        <v>551</v>
      </c>
      <c r="D2079" s="3">
        <f>IFERROR(__xludf.DUMMYFUNCTION("""COMPUTED_VALUE"""),296.0)</f>
        <v>296</v>
      </c>
      <c r="E2079" s="2"/>
      <c r="F2079" s="2"/>
    </row>
    <row r="2080">
      <c r="A2080" s="2">
        <f>IFERROR(__xludf.DUMMYFUNCTION("""COMPUTED_VALUE"""),16238.0)</f>
        <v>16238</v>
      </c>
      <c r="B2080" s="2">
        <f>IFERROR(__xludf.DUMMYFUNCTION("""COMPUTED_VALUE"""),1.0)</f>
        <v>1</v>
      </c>
      <c r="C2080" s="2">
        <f>IFERROR(__xludf.DUMMYFUNCTION("""COMPUTED_VALUE"""),863.0)</f>
        <v>863</v>
      </c>
      <c r="D2080" s="3">
        <f>IFERROR(__xludf.DUMMYFUNCTION("""COMPUTED_VALUE"""),253.0)</f>
        <v>253</v>
      </c>
      <c r="E2080" s="2"/>
      <c r="F2080" s="2"/>
    </row>
    <row r="2081">
      <c r="A2081" s="2">
        <f>IFERROR(__xludf.DUMMYFUNCTION("""COMPUTED_VALUE"""),122643.0)</f>
        <v>122643</v>
      </c>
      <c r="B2081" s="2">
        <f>IFERROR(__xludf.DUMMYFUNCTION("""COMPUTED_VALUE"""),0.0)</f>
        <v>0</v>
      </c>
      <c r="C2081" s="2">
        <f>IFERROR(__xludf.DUMMYFUNCTION("""COMPUTED_VALUE"""),934.0)</f>
        <v>934</v>
      </c>
      <c r="D2081" s="3">
        <f>IFERROR(__xludf.DUMMYFUNCTION("""COMPUTED_VALUE"""),651.0)</f>
        <v>651</v>
      </c>
      <c r="E2081" s="2"/>
      <c r="F2081" s="2"/>
    </row>
    <row r="2082">
      <c r="A2082" s="2">
        <f>IFERROR(__xludf.DUMMYFUNCTION("""COMPUTED_VALUE"""),82452.0)</f>
        <v>82452</v>
      </c>
      <c r="B2082" s="2">
        <f>IFERROR(__xludf.DUMMYFUNCTION("""COMPUTED_VALUE"""),1.0)</f>
        <v>1</v>
      </c>
      <c r="C2082" s="2">
        <f>IFERROR(__xludf.DUMMYFUNCTION("""COMPUTED_VALUE"""),423.0)</f>
        <v>423</v>
      </c>
      <c r="D2082" s="3">
        <f>IFERROR(__xludf.DUMMYFUNCTION("""COMPUTED_VALUE"""),422.0)</f>
        <v>422</v>
      </c>
      <c r="E2082" s="2"/>
      <c r="F2082" s="2"/>
    </row>
    <row r="2083">
      <c r="A2083" s="2">
        <f>IFERROR(__xludf.DUMMYFUNCTION("""COMPUTED_VALUE"""),122775.0)</f>
        <v>122775</v>
      </c>
      <c r="B2083" s="2">
        <f>IFERROR(__xludf.DUMMYFUNCTION("""COMPUTED_VALUE"""),0.0)</f>
        <v>0</v>
      </c>
      <c r="C2083" s="2">
        <f>IFERROR(__xludf.DUMMYFUNCTION("""COMPUTED_VALUE"""),472.0)</f>
        <v>472</v>
      </c>
      <c r="D2083" s="3">
        <f>IFERROR(__xludf.DUMMYFUNCTION("""COMPUTED_VALUE"""),192.0)</f>
        <v>192</v>
      </c>
      <c r="E2083" s="2"/>
      <c r="F2083" s="2"/>
    </row>
    <row r="2084">
      <c r="A2084" s="2">
        <f>IFERROR(__xludf.DUMMYFUNCTION("""COMPUTED_VALUE"""),100240.0)</f>
        <v>100240</v>
      </c>
      <c r="B2084" s="2">
        <f>IFERROR(__xludf.DUMMYFUNCTION("""COMPUTED_VALUE"""),0.0)</f>
        <v>0</v>
      </c>
      <c r="C2084" s="2">
        <f>IFERROR(__xludf.DUMMYFUNCTION("""COMPUTED_VALUE"""),950.0)</f>
        <v>950</v>
      </c>
      <c r="D2084" s="3">
        <f>IFERROR(__xludf.DUMMYFUNCTION("""COMPUTED_VALUE"""),779.0)</f>
        <v>779</v>
      </c>
      <c r="E2084" s="2"/>
      <c r="F2084" s="2"/>
    </row>
    <row r="2085">
      <c r="A2085" s="2">
        <f>IFERROR(__xludf.DUMMYFUNCTION("""COMPUTED_VALUE"""),87758.0)</f>
        <v>87758</v>
      </c>
      <c r="B2085" s="2">
        <f>IFERROR(__xludf.DUMMYFUNCTION("""COMPUTED_VALUE"""),0.0)</f>
        <v>0</v>
      </c>
      <c r="C2085" s="2">
        <f>IFERROR(__xludf.DUMMYFUNCTION("""COMPUTED_VALUE"""),752.0)</f>
        <v>752</v>
      </c>
      <c r="D2085" s="3">
        <f>IFERROR(__xludf.DUMMYFUNCTION("""COMPUTED_VALUE"""),472.0)</f>
        <v>472</v>
      </c>
      <c r="E2085" s="2"/>
      <c r="F2085" s="2"/>
    </row>
    <row r="2086">
      <c r="A2086" s="2">
        <f>IFERROR(__xludf.DUMMYFUNCTION("""COMPUTED_VALUE"""),110689.0)</f>
        <v>110689</v>
      </c>
      <c r="B2086" s="2">
        <f>IFERROR(__xludf.DUMMYFUNCTION("""COMPUTED_VALUE"""),0.0)</f>
        <v>0</v>
      </c>
      <c r="C2086" s="2">
        <f>IFERROR(__xludf.DUMMYFUNCTION("""COMPUTED_VALUE"""),624.0)</f>
        <v>624</v>
      </c>
      <c r="D2086" s="3">
        <f>IFERROR(__xludf.DUMMYFUNCTION("""COMPUTED_VALUE"""),198.0)</f>
        <v>198</v>
      </c>
      <c r="E2086" s="2"/>
      <c r="F2086" s="2"/>
    </row>
    <row r="2087">
      <c r="A2087" s="2">
        <f>IFERROR(__xludf.DUMMYFUNCTION("""COMPUTED_VALUE"""),110704.0)</f>
        <v>110704</v>
      </c>
      <c r="B2087" s="2">
        <f>IFERROR(__xludf.DUMMYFUNCTION("""COMPUTED_VALUE"""),0.0)</f>
        <v>0</v>
      </c>
      <c r="C2087" s="2">
        <f>IFERROR(__xludf.DUMMYFUNCTION("""COMPUTED_VALUE"""),929.0)</f>
        <v>929</v>
      </c>
      <c r="D2087" s="3">
        <f>IFERROR(__xludf.DUMMYFUNCTION("""COMPUTED_VALUE"""),879.0)</f>
        <v>879</v>
      </c>
      <c r="E2087" s="2"/>
      <c r="F2087" s="2"/>
    </row>
    <row r="2088">
      <c r="A2088" s="2">
        <f>IFERROR(__xludf.DUMMYFUNCTION("""COMPUTED_VALUE"""),82455.0)</f>
        <v>82455</v>
      </c>
      <c r="B2088" s="2">
        <f>IFERROR(__xludf.DUMMYFUNCTION("""COMPUTED_VALUE"""),1.0)</f>
        <v>1</v>
      </c>
      <c r="C2088" s="2">
        <f>IFERROR(__xludf.DUMMYFUNCTION("""COMPUTED_VALUE"""),396.0)</f>
        <v>396</v>
      </c>
      <c r="D2088" s="3">
        <f>IFERROR(__xludf.DUMMYFUNCTION("""COMPUTED_VALUE"""),244.0)</f>
        <v>244</v>
      </c>
      <c r="E2088" s="2"/>
      <c r="F2088" s="2"/>
    </row>
    <row r="2089">
      <c r="A2089" s="2">
        <f>IFERROR(__xludf.DUMMYFUNCTION("""COMPUTED_VALUE"""),127013.0)</f>
        <v>127013</v>
      </c>
      <c r="B2089" s="2">
        <f>IFERROR(__xludf.DUMMYFUNCTION("""COMPUTED_VALUE"""),1.0)</f>
        <v>1</v>
      </c>
      <c r="C2089" s="2">
        <f>IFERROR(__xludf.DUMMYFUNCTION("""COMPUTED_VALUE"""),166.0)</f>
        <v>166</v>
      </c>
      <c r="D2089" s="3">
        <f>IFERROR(__xludf.DUMMYFUNCTION("""COMPUTED_VALUE"""),66.0)</f>
        <v>66</v>
      </c>
      <c r="E2089" s="2"/>
      <c r="F2089" s="2"/>
    </row>
    <row r="2090">
      <c r="A2090" s="2">
        <f>IFERROR(__xludf.DUMMYFUNCTION("""COMPUTED_VALUE"""),113063.0)</f>
        <v>113063</v>
      </c>
      <c r="B2090" s="2">
        <f>IFERROR(__xludf.DUMMYFUNCTION("""COMPUTED_VALUE"""),1.0)</f>
        <v>1</v>
      </c>
      <c r="C2090" s="2">
        <f>IFERROR(__xludf.DUMMYFUNCTION("""COMPUTED_VALUE"""),855.0)</f>
        <v>855</v>
      </c>
      <c r="D2090" s="3">
        <f>IFERROR(__xludf.DUMMYFUNCTION("""COMPUTED_VALUE"""),157.0)</f>
        <v>157</v>
      </c>
      <c r="E2090" s="2"/>
      <c r="F2090" s="2"/>
    </row>
    <row r="2091">
      <c r="A2091" s="2">
        <f>IFERROR(__xludf.DUMMYFUNCTION("""COMPUTED_VALUE"""),11296.0)</f>
        <v>11296</v>
      </c>
      <c r="B2091" s="2">
        <f>IFERROR(__xludf.DUMMYFUNCTION("""COMPUTED_VALUE"""),0.0)</f>
        <v>0</v>
      </c>
      <c r="C2091" s="2">
        <f>IFERROR(__xludf.DUMMYFUNCTION("""COMPUTED_VALUE"""),349.0)</f>
        <v>349</v>
      </c>
      <c r="D2091" s="3">
        <f>IFERROR(__xludf.DUMMYFUNCTION("""COMPUTED_VALUE"""),75.0)</f>
        <v>75</v>
      </c>
      <c r="E2091" s="2"/>
      <c r="F2091" s="2"/>
    </row>
    <row r="2092">
      <c r="A2092" s="2">
        <f>IFERROR(__xludf.DUMMYFUNCTION("""COMPUTED_VALUE"""),105305.0)</f>
        <v>105305</v>
      </c>
      <c r="B2092" s="2">
        <f>IFERROR(__xludf.DUMMYFUNCTION("""COMPUTED_VALUE"""),1.0)</f>
        <v>1</v>
      </c>
      <c r="C2092" s="2">
        <f>IFERROR(__xludf.DUMMYFUNCTION("""COMPUTED_VALUE"""),196.0)</f>
        <v>196</v>
      </c>
      <c r="D2092" s="3">
        <f>IFERROR(__xludf.DUMMYFUNCTION("""COMPUTED_VALUE"""),169.0)</f>
        <v>169</v>
      </c>
      <c r="E2092" s="2"/>
      <c r="F2092" s="2"/>
    </row>
    <row r="2093">
      <c r="A2093" s="2">
        <f>IFERROR(__xludf.DUMMYFUNCTION("""COMPUTED_VALUE"""),73244.0)</f>
        <v>73244</v>
      </c>
      <c r="B2093" s="2">
        <f>IFERROR(__xludf.DUMMYFUNCTION("""COMPUTED_VALUE"""),1.0)</f>
        <v>1</v>
      </c>
      <c r="C2093" s="2">
        <f>IFERROR(__xludf.DUMMYFUNCTION("""COMPUTED_VALUE"""),133.0)</f>
        <v>133</v>
      </c>
      <c r="D2093" s="3">
        <f>IFERROR(__xludf.DUMMYFUNCTION("""COMPUTED_VALUE"""),68.0)</f>
        <v>68</v>
      </c>
      <c r="E2093" s="2"/>
      <c r="F2093" s="2"/>
    </row>
    <row r="2094">
      <c r="A2094" s="2">
        <f>IFERROR(__xludf.DUMMYFUNCTION("""COMPUTED_VALUE"""),82458.0)</f>
        <v>82458</v>
      </c>
      <c r="B2094" s="2">
        <f>IFERROR(__xludf.DUMMYFUNCTION("""COMPUTED_VALUE"""),1.0)</f>
        <v>1</v>
      </c>
      <c r="C2094" s="2">
        <f>IFERROR(__xludf.DUMMYFUNCTION("""COMPUTED_VALUE"""),-8.0)</f>
        <v>-8</v>
      </c>
      <c r="D2094" s="3">
        <f>IFERROR(__xludf.DUMMYFUNCTION("""COMPUTED_VALUE"""),-8.0)</f>
        <v>-8</v>
      </c>
      <c r="E2094" s="2"/>
      <c r="F2094" s="2"/>
    </row>
    <row r="2095">
      <c r="A2095" s="2">
        <f>IFERROR(__xludf.DUMMYFUNCTION("""COMPUTED_VALUE"""),105302.0)</f>
        <v>105302</v>
      </c>
      <c r="B2095" s="2">
        <f>IFERROR(__xludf.DUMMYFUNCTION("""COMPUTED_VALUE"""),1.0)</f>
        <v>1</v>
      </c>
      <c r="C2095" s="2">
        <f>IFERROR(__xludf.DUMMYFUNCTION("""COMPUTED_VALUE"""),99.0)</f>
        <v>99</v>
      </c>
      <c r="D2095" s="3">
        <f>IFERROR(__xludf.DUMMYFUNCTION("""COMPUTED_VALUE"""),90.0)</f>
        <v>90</v>
      </c>
      <c r="E2095" s="2"/>
      <c r="F2095" s="2"/>
    </row>
    <row r="2096">
      <c r="A2096" s="2">
        <f>IFERROR(__xludf.DUMMYFUNCTION("""COMPUTED_VALUE"""),150951.0)</f>
        <v>150951</v>
      </c>
      <c r="B2096" s="2">
        <f>IFERROR(__xludf.DUMMYFUNCTION("""COMPUTED_VALUE"""),1.0)</f>
        <v>1</v>
      </c>
      <c r="C2096" s="2">
        <f>IFERROR(__xludf.DUMMYFUNCTION("""COMPUTED_VALUE"""),479.0)</f>
        <v>479</v>
      </c>
      <c r="D2096" s="3">
        <f>IFERROR(__xludf.DUMMYFUNCTION("""COMPUTED_VALUE"""),81.0)</f>
        <v>81</v>
      </c>
      <c r="E2096" s="2"/>
      <c r="F2096" s="2"/>
    </row>
    <row r="2097">
      <c r="A2097" s="2">
        <f>IFERROR(__xludf.DUMMYFUNCTION("""COMPUTED_VALUE"""),122492.0)</f>
        <v>122492</v>
      </c>
      <c r="B2097" s="2">
        <f>IFERROR(__xludf.DUMMYFUNCTION("""COMPUTED_VALUE"""),1.0)</f>
        <v>1</v>
      </c>
      <c r="C2097" s="2">
        <f>IFERROR(__xludf.DUMMYFUNCTION("""COMPUTED_VALUE"""),847.0)</f>
        <v>847</v>
      </c>
      <c r="D2097" s="3">
        <f>IFERROR(__xludf.DUMMYFUNCTION("""COMPUTED_VALUE"""),515.0)</f>
        <v>515</v>
      </c>
      <c r="E2097" s="2"/>
      <c r="F2097" s="2"/>
    </row>
    <row r="2098">
      <c r="A2098" s="2">
        <f>IFERROR(__xludf.DUMMYFUNCTION("""COMPUTED_VALUE"""),110436.0)</f>
        <v>110436</v>
      </c>
      <c r="B2098" s="2">
        <f>IFERROR(__xludf.DUMMYFUNCTION("""COMPUTED_VALUE"""),0.0)</f>
        <v>0</v>
      </c>
      <c r="C2098" s="2">
        <f>IFERROR(__xludf.DUMMYFUNCTION("""COMPUTED_VALUE"""),59.0)</f>
        <v>59</v>
      </c>
      <c r="D2098" s="3">
        <f>IFERROR(__xludf.DUMMYFUNCTION("""COMPUTED_VALUE"""),36.0)</f>
        <v>36</v>
      </c>
      <c r="E2098" s="2"/>
      <c r="F2098" s="2"/>
    </row>
    <row r="2099">
      <c r="A2099" s="2">
        <f>IFERROR(__xludf.DUMMYFUNCTION("""COMPUTED_VALUE"""),10674.0)</f>
        <v>10674</v>
      </c>
      <c r="B2099" s="2">
        <f>IFERROR(__xludf.DUMMYFUNCTION("""COMPUTED_VALUE"""),1.0)</f>
        <v>1</v>
      </c>
      <c r="C2099" s="2">
        <f>IFERROR(__xludf.DUMMYFUNCTION("""COMPUTED_VALUE"""),275.0)</f>
        <v>275</v>
      </c>
      <c r="D2099" s="3">
        <f>IFERROR(__xludf.DUMMYFUNCTION("""COMPUTED_VALUE"""),255.0)</f>
        <v>255</v>
      </c>
      <c r="E2099" s="2"/>
      <c r="F2099" s="2"/>
    </row>
    <row r="2100">
      <c r="A2100" s="2">
        <f>IFERROR(__xludf.DUMMYFUNCTION("""COMPUTED_VALUE"""),117166.0)</f>
        <v>117166</v>
      </c>
      <c r="B2100" s="2">
        <f>IFERROR(__xludf.DUMMYFUNCTION("""COMPUTED_VALUE"""),1.0)</f>
        <v>1</v>
      </c>
      <c r="C2100" s="2">
        <f>IFERROR(__xludf.DUMMYFUNCTION("""COMPUTED_VALUE"""),481.0)</f>
        <v>481</v>
      </c>
      <c r="D2100" s="3">
        <f>IFERROR(__xludf.DUMMYFUNCTION("""COMPUTED_VALUE"""),97.0)</f>
        <v>97</v>
      </c>
      <c r="E2100" s="2"/>
      <c r="F2100" s="2"/>
    </row>
    <row r="2101">
      <c r="A2101" s="2">
        <f>IFERROR(__xludf.DUMMYFUNCTION("""COMPUTED_VALUE"""),111776.0)</f>
        <v>111776</v>
      </c>
      <c r="B2101" s="2">
        <f>IFERROR(__xludf.DUMMYFUNCTION("""COMPUTED_VALUE"""),0.0)</f>
        <v>0</v>
      </c>
      <c r="C2101" s="2">
        <f>IFERROR(__xludf.DUMMYFUNCTION("""COMPUTED_VALUE"""),791.0)</f>
        <v>791</v>
      </c>
      <c r="D2101" s="3">
        <f>IFERROR(__xludf.DUMMYFUNCTION("""COMPUTED_VALUE"""),616.0)</f>
        <v>616</v>
      </c>
      <c r="E2101" s="2"/>
      <c r="F2101" s="2"/>
    </row>
    <row r="2102">
      <c r="A2102" s="2">
        <f>IFERROR(__xludf.DUMMYFUNCTION("""COMPUTED_VALUE"""),122388.0)</f>
        <v>122388</v>
      </c>
      <c r="B2102" s="2">
        <f>IFERROR(__xludf.DUMMYFUNCTION("""COMPUTED_VALUE"""),1.0)</f>
        <v>1</v>
      </c>
      <c r="C2102" s="2">
        <f>IFERROR(__xludf.DUMMYFUNCTION("""COMPUTED_VALUE"""),418.0)</f>
        <v>418</v>
      </c>
      <c r="D2102" s="3">
        <f>IFERROR(__xludf.DUMMYFUNCTION("""COMPUTED_VALUE"""),197.0)</f>
        <v>197</v>
      </c>
      <c r="E2102" s="2"/>
      <c r="F2102" s="2"/>
    </row>
    <row r="2103">
      <c r="A2103" s="2">
        <f>IFERROR(__xludf.DUMMYFUNCTION("""COMPUTED_VALUE"""),117160.0)</f>
        <v>117160</v>
      </c>
      <c r="B2103" s="2">
        <f>IFERROR(__xludf.DUMMYFUNCTION("""COMPUTED_VALUE"""),0.0)</f>
        <v>0</v>
      </c>
      <c r="C2103" s="2">
        <f>IFERROR(__xludf.DUMMYFUNCTION("""COMPUTED_VALUE"""),121.0)</f>
        <v>121</v>
      </c>
      <c r="D2103" s="3">
        <f>IFERROR(__xludf.DUMMYFUNCTION("""COMPUTED_VALUE"""),48.0)</f>
        <v>48</v>
      </c>
      <c r="E2103" s="2"/>
      <c r="F2103" s="2"/>
    </row>
    <row r="2104">
      <c r="A2104" s="2">
        <f>IFERROR(__xludf.DUMMYFUNCTION("""COMPUTED_VALUE"""),98795.0)</f>
        <v>98795</v>
      </c>
      <c r="B2104" s="2">
        <f>IFERROR(__xludf.DUMMYFUNCTION("""COMPUTED_VALUE"""),1.0)</f>
        <v>1</v>
      </c>
      <c r="C2104" s="2">
        <f>IFERROR(__xludf.DUMMYFUNCTION("""COMPUTED_VALUE"""),516.0)</f>
        <v>516</v>
      </c>
      <c r="D2104" s="3">
        <f>IFERROR(__xludf.DUMMYFUNCTION("""COMPUTED_VALUE"""),398.0)</f>
        <v>398</v>
      </c>
      <c r="E2104" s="2"/>
      <c r="F2104" s="2"/>
    </row>
    <row r="2105">
      <c r="A2105" s="2">
        <f>IFERROR(__xludf.DUMMYFUNCTION("""COMPUTED_VALUE"""),117150.0)</f>
        <v>117150</v>
      </c>
      <c r="B2105" s="2">
        <f>IFERROR(__xludf.DUMMYFUNCTION("""COMPUTED_VALUE"""),0.0)</f>
        <v>0</v>
      </c>
      <c r="C2105" s="2">
        <f>IFERROR(__xludf.DUMMYFUNCTION("""COMPUTED_VALUE"""),247.0)</f>
        <v>247</v>
      </c>
      <c r="D2105" s="3">
        <f>IFERROR(__xludf.DUMMYFUNCTION("""COMPUTED_VALUE"""),155.0)</f>
        <v>155</v>
      </c>
      <c r="E2105" s="2"/>
      <c r="F2105" s="2"/>
    </row>
    <row r="2106">
      <c r="A2106" s="2">
        <f>IFERROR(__xludf.DUMMYFUNCTION("""COMPUTED_VALUE"""),109416.0)</f>
        <v>109416</v>
      </c>
      <c r="B2106" s="2">
        <f>IFERROR(__xludf.DUMMYFUNCTION("""COMPUTED_VALUE"""),1.0)</f>
        <v>1</v>
      </c>
      <c r="C2106" s="2">
        <f>IFERROR(__xludf.DUMMYFUNCTION("""COMPUTED_VALUE"""),577.0)</f>
        <v>577</v>
      </c>
      <c r="D2106" s="3">
        <f>IFERROR(__xludf.DUMMYFUNCTION("""COMPUTED_VALUE"""),21.0)</f>
        <v>21</v>
      </c>
      <c r="E2106" s="2"/>
      <c r="F2106" s="2"/>
    </row>
    <row r="2107">
      <c r="A2107" s="2">
        <f>IFERROR(__xludf.DUMMYFUNCTION("""COMPUTED_VALUE"""),122291.0)</f>
        <v>122291</v>
      </c>
      <c r="B2107" s="2">
        <f>IFERROR(__xludf.DUMMYFUNCTION("""COMPUTED_VALUE"""),0.0)</f>
        <v>0</v>
      </c>
      <c r="C2107" s="2">
        <f>IFERROR(__xludf.DUMMYFUNCTION("""COMPUTED_VALUE"""),473.0)</f>
        <v>473</v>
      </c>
      <c r="D2107" s="3">
        <f>IFERROR(__xludf.DUMMYFUNCTION("""COMPUTED_VALUE"""),404.0)</f>
        <v>404</v>
      </c>
      <c r="E2107" s="2"/>
      <c r="F2107" s="2"/>
    </row>
    <row r="2108">
      <c r="A2108" s="2">
        <f>IFERROR(__xludf.DUMMYFUNCTION("""COMPUTED_VALUE"""),21820.0)</f>
        <v>21820</v>
      </c>
      <c r="B2108" s="2">
        <f>IFERROR(__xludf.DUMMYFUNCTION("""COMPUTED_VALUE"""),0.0)</f>
        <v>0</v>
      </c>
      <c r="C2108" s="2">
        <f>IFERROR(__xludf.DUMMYFUNCTION("""COMPUTED_VALUE"""),17.0)</f>
        <v>17</v>
      </c>
      <c r="D2108" s="3">
        <f>IFERROR(__xludf.DUMMYFUNCTION("""COMPUTED_VALUE"""),8.0)</f>
        <v>8</v>
      </c>
      <c r="E2108" s="2"/>
      <c r="F2108" s="2"/>
    </row>
    <row r="2109">
      <c r="A2109" s="2">
        <f>IFERROR(__xludf.DUMMYFUNCTION("""COMPUTED_VALUE"""),150105.0)</f>
        <v>150105</v>
      </c>
      <c r="B2109" s="2">
        <f>IFERROR(__xludf.DUMMYFUNCTION("""COMPUTED_VALUE"""),0.0)</f>
        <v>0</v>
      </c>
      <c r="C2109" s="2">
        <f>IFERROR(__xludf.DUMMYFUNCTION("""COMPUTED_VALUE"""),326.0)</f>
        <v>326</v>
      </c>
      <c r="D2109" s="3">
        <f>IFERROR(__xludf.DUMMYFUNCTION("""COMPUTED_VALUE"""),164.0)</f>
        <v>164</v>
      </c>
      <c r="E2109" s="2"/>
      <c r="F2109" s="2"/>
    </row>
    <row r="2110">
      <c r="A2110" s="2">
        <f>IFERROR(__xludf.DUMMYFUNCTION("""COMPUTED_VALUE"""),46474.0)</f>
        <v>46474</v>
      </c>
      <c r="B2110" s="2">
        <f>IFERROR(__xludf.DUMMYFUNCTION("""COMPUTED_VALUE"""),1.0)</f>
        <v>1</v>
      </c>
      <c r="C2110" s="2">
        <f>IFERROR(__xludf.DUMMYFUNCTION("""COMPUTED_VALUE"""),431.0)</f>
        <v>431</v>
      </c>
      <c r="D2110" s="3">
        <f>IFERROR(__xludf.DUMMYFUNCTION("""COMPUTED_VALUE"""),73.0)</f>
        <v>73</v>
      </c>
      <c r="E2110" s="2"/>
      <c r="F2110" s="2"/>
    </row>
    <row r="2111">
      <c r="A2111" s="2">
        <f>IFERROR(__xludf.DUMMYFUNCTION("""COMPUTED_VALUE"""),118207.0)</f>
        <v>118207</v>
      </c>
      <c r="B2111" s="2">
        <f>IFERROR(__xludf.DUMMYFUNCTION("""COMPUTED_VALUE"""),1.0)</f>
        <v>1</v>
      </c>
      <c r="C2111" s="2">
        <f>IFERROR(__xludf.DUMMYFUNCTION("""COMPUTED_VALUE"""),927.0)</f>
        <v>927</v>
      </c>
      <c r="D2111" s="3">
        <f>IFERROR(__xludf.DUMMYFUNCTION("""COMPUTED_VALUE"""),610.0)</f>
        <v>610</v>
      </c>
      <c r="E2111" s="2"/>
      <c r="F2111" s="2"/>
    </row>
    <row r="2112">
      <c r="A2112" s="2">
        <f>IFERROR(__xludf.DUMMYFUNCTION("""COMPUTED_VALUE"""),111007.0)</f>
        <v>111007</v>
      </c>
      <c r="B2112" s="2">
        <f>IFERROR(__xludf.DUMMYFUNCTION("""COMPUTED_VALUE"""),1.0)</f>
        <v>1</v>
      </c>
      <c r="C2112" s="2">
        <f>IFERROR(__xludf.DUMMYFUNCTION("""COMPUTED_VALUE"""),371.0)</f>
        <v>371</v>
      </c>
      <c r="D2112" s="3">
        <f>IFERROR(__xludf.DUMMYFUNCTION("""COMPUTED_VALUE"""),370.0)</f>
        <v>370</v>
      </c>
      <c r="E2112" s="2"/>
      <c r="F2112" s="2"/>
    </row>
    <row r="2113">
      <c r="A2113" s="2">
        <f>IFERROR(__xludf.DUMMYFUNCTION("""COMPUTED_VALUE"""),9727.0)</f>
        <v>9727</v>
      </c>
      <c r="B2113" s="2">
        <f>IFERROR(__xludf.DUMMYFUNCTION("""COMPUTED_VALUE"""),1.0)</f>
        <v>1</v>
      </c>
      <c r="C2113" s="2">
        <f>IFERROR(__xludf.DUMMYFUNCTION("""COMPUTED_VALUE"""),782.0)</f>
        <v>782</v>
      </c>
      <c r="D2113" s="3">
        <f>IFERROR(__xludf.DUMMYFUNCTION("""COMPUTED_VALUE"""),728.0)</f>
        <v>728</v>
      </c>
      <c r="E2113" s="2"/>
      <c r="F2113" s="2"/>
    </row>
    <row r="2114">
      <c r="A2114" s="2">
        <f>IFERROR(__xludf.DUMMYFUNCTION("""COMPUTED_VALUE"""),72321.0)</f>
        <v>72321</v>
      </c>
      <c r="B2114" s="2">
        <f>IFERROR(__xludf.DUMMYFUNCTION("""COMPUTED_VALUE"""),1.0)</f>
        <v>1</v>
      </c>
      <c r="C2114" s="2">
        <f>IFERROR(__xludf.DUMMYFUNCTION("""COMPUTED_VALUE"""),635.0)</f>
        <v>635</v>
      </c>
      <c r="D2114" s="3">
        <f>IFERROR(__xludf.DUMMYFUNCTION("""COMPUTED_VALUE"""),431.0)</f>
        <v>431</v>
      </c>
      <c r="E2114" s="2"/>
      <c r="F2114" s="2"/>
    </row>
    <row r="2115">
      <c r="A2115" s="2">
        <f>IFERROR(__xludf.DUMMYFUNCTION("""COMPUTED_VALUE"""),100063.0)</f>
        <v>100063</v>
      </c>
      <c r="B2115" s="2">
        <f>IFERROR(__xludf.DUMMYFUNCTION("""COMPUTED_VALUE"""),0.0)</f>
        <v>0</v>
      </c>
      <c r="C2115" s="2">
        <f>IFERROR(__xludf.DUMMYFUNCTION("""COMPUTED_VALUE"""),955.0)</f>
        <v>955</v>
      </c>
      <c r="D2115" s="3">
        <f>IFERROR(__xludf.DUMMYFUNCTION("""COMPUTED_VALUE"""),521.0)</f>
        <v>521</v>
      </c>
      <c r="E2115" s="2"/>
      <c r="F2115" s="2"/>
    </row>
    <row r="2116">
      <c r="A2116" s="2">
        <f>IFERROR(__xludf.DUMMYFUNCTION("""COMPUTED_VALUE"""),79818.0)</f>
        <v>79818</v>
      </c>
      <c r="B2116" s="2">
        <f>IFERROR(__xludf.DUMMYFUNCTION("""COMPUTED_VALUE"""),0.0)</f>
        <v>0</v>
      </c>
      <c r="C2116" s="2">
        <f>IFERROR(__xludf.DUMMYFUNCTION("""COMPUTED_VALUE"""),768.0)</f>
        <v>768</v>
      </c>
      <c r="D2116" s="3">
        <f>IFERROR(__xludf.DUMMYFUNCTION("""COMPUTED_VALUE"""),151.0)</f>
        <v>151</v>
      </c>
      <c r="E2116" s="2"/>
      <c r="F2116" s="2"/>
    </row>
    <row r="2117">
      <c r="A2117" s="2">
        <f>IFERROR(__xludf.DUMMYFUNCTION("""COMPUTED_VALUE"""),121731.0)</f>
        <v>121731</v>
      </c>
      <c r="B2117" s="2">
        <f>IFERROR(__xludf.DUMMYFUNCTION("""COMPUTED_VALUE"""),0.0)</f>
        <v>0</v>
      </c>
      <c r="C2117" s="2">
        <f>IFERROR(__xludf.DUMMYFUNCTION("""COMPUTED_VALUE"""),726.0)</f>
        <v>726</v>
      </c>
      <c r="D2117" s="3">
        <f>IFERROR(__xludf.DUMMYFUNCTION("""COMPUTED_VALUE"""),267.0)</f>
        <v>267</v>
      </c>
      <c r="E2117" s="2"/>
      <c r="F2117" s="2"/>
    </row>
    <row r="2118">
      <c r="A2118" s="2">
        <f>IFERROR(__xludf.DUMMYFUNCTION("""COMPUTED_VALUE"""),200584.0)</f>
        <v>200584</v>
      </c>
      <c r="B2118" s="2">
        <f>IFERROR(__xludf.DUMMYFUNCTION("""COMPUTED_VALUE"""),1.0)</f>
        <v>1</v>
      </c>
      <c r="C2118" s="2">
        <f>IFERROR(__xludf.DUMMYFUNCTION("""COMPUTED_VALUE"""),309.0)</f>
        <v>309</v>
      </c>
      <c r="D2118" s="3">
        <f>IFERROR(__xludf.DUMMYFUNCTION("""COMPUTED_VALUE"""),41.0)</f>
        <v>41</v>
      </c>
      <c r="E2118" s="2"/>
      <c r="F2118" s="2"/>
    </row>
    <row r="2119">
      <c r="A2119" s="2">
        <f>IFERROR(__xludf.DUMMYFUNCTION("""COMPUTED_VALUE"""),68600.0)</f>
        <v>68600</v>
      </c>
      <c r="B2119" s="2">
        <f>IFERROR(__xludf.DUMMYFUNCTION("""COMPUTED_VALUE"""),0.0)</f>
        <v>0</v>
      </c>
      <c r="C2119" s="2">
        <f>IFERROR(__xludf.DUMMYFUNCTION("""COMPUTED_VALUE"""),272.0)</f>
        <v>272</v>
      </c>
      <c r="D2119" s="3">
        <f>IFERROR(__xludf.DUMMYFUNCTION("""COMPUTED_VALUE"""),270.0)</f>
        <v>270</v>
      </c>
      <c r="E2119" s="2"/>
      <c r="F2119" s="2"/>
    </row>
    <row r="2120">
      <c r="A2120" s="2">
        <f>IFERROR(__xludf.DUMMYFUNCTION("""COMPUTED_VALUE"""),98788.0)</f>
        <v>98788</v>
      </c>
      <c r="B2120" s="2">
        <f>IFERROR(__xludf.DUMMYFUNCTION("""COMPUTED_VALUE"""),1.0)</f>
        <v>1</v>
      </c>
      <c r="C2120" s="2">
        <f>IFERROR(__xludf.DUMMYFUNCTION("""COMPUTED_VALUE"""),740.0)</f>
        <v>740</v>
      </c>
      <c r="D2120" s="3">
        <f>IFERROR(__xludf.DUMMYFUNCTION("""COMPUTED_VALUE"""),261.0)</f>
        <v>261</v>
      </c>
      <c r="E2120" s="2"/>
      <c r="F2120" s="2"/>
    </row>
    <row r="2121">
      <c r="A2121" s="2">
        <f>IFERROR(__xludf.DUMMYFUNCTION("""COMPUTED_VALUE"""),122390.0)</f>
        <v>122390</v>
      </c>
      <c r="B2121" s="2">
        <f>IFERROR(__xludf.DUMMYFUNCTION("""COMPUTED_VALUE"""),0.0)</f>
        <v>0</v>
      </c>
      <c r="C2121" s="2">
        <f>IFERROR(__xludf.DUMMYFUNCTION("""COMPUTED_VALUE"""),556.0)</f>
        <v>556</v>
      </c>
      <c r="D2121" s="3">
        <f>IFERROR(__xludf.DUMMYFUNCTION("""COMPUTED_VALUE"""),389.0)</f>
        <v>389</v>
      </c>
      <c r="E2121" s="2"/>
      <c r="F2121" s="2"/>
    </row>
    <row r="2122">
      <c r="A2122" s="2">
        <f>IFERROR(__xludf.DUMMYFUNCTION("""COMPUTED_VALUE"""),109930.0)</f>
        <v>109930</v>
      </c>
      <c r="B2122" s="2">
        <f>IFERROR(__xludf.DUMMYFUNCTION("""COMPUTED_VALUE"""),0.0)</f>
        <v>0</v>
      </c>
      <c r="C2122" s="2">
        <f>IFERROR(__xludf.DUMMYFUNCTION("""COMPUTED_VALUE"""),139.0)</f>
        <v>139</v>
      </c>
      <c r="D2122" s="3">
        <f>IFERROR(__xludf.DUMMYFUNCTION("""COMPUTED_VALUE"""),13.0)</f>
        <v>13</v>
      </c>
      <c r="E2122" s="2"/>
      <c r="F2122" s="2"/>
    </row>
    <row r="2123">
      <c r="A2123" s="2">
        <f>IFERROR(__xludf.DUMMYFUNCTION("""COMPUTED_VALUE"""),118299.0)</f>
        <v>118299</v>
      </c>
      <c r="B2123" s="2">
        <f>IFERROR(__xludf.DUMMYFUNCTION("""COMPUTED_VALUE"""),0.0)</f>
        <v>0</v>
      </c>
      <c r="C2123" s="2">
        <f>IFERROR(__xludf.DUMMYFUNCTION("""COMPUTED_VALUE"""),718.0)</f>
        <v>718</v>
      </c>
      <c r="D2123" s="3">
        <f>IFERROR(__xludf.DUMMYFUNCTION("""COMPUTED_VALUE"""),583.0)</f>
        <v>583</v>
      </c>
      <c r="E2123" s="2"/>
      <c r="F2123" s="2"/>
    </row>
    <row r="2124">
      <c r="A2124" s="2">
        <f>IFERROR(__xludf.DUMMYFUNCTION("""COMPUTED_VALUE"""),72320.0)</f>
        <v>72320</v>
      </c>
      <c r="B2124" s="2">
        <f>IFERROR(__xludf.DUMMYFUNCTION("""COMPUTED_VALUE"""),1.0)</f>
        <v>1</v>
      </c>
      <c r="C2124" s="2">
        <f>IFERROR(__xludf.DUMMYFUNCTION("""COMPUTED_VALUE"""),732.0)</f>
        <v>732</v>
      </c>
      <c r="D2124" s="3">
        <f>IFERROR(__xludf.DUMMYFUNCTION("""COMPUTED_VALUE"""),440.0)</f>
        <v>440</v>
      </c>
      <c r="E2124" s="2"/>
      <c r="F2124" s="2"/>
    </row>
    <row r="2125">
      <c r="A2125" s="2">
        <f>IFERROR(__xludf.DUMMYFUNCTION("""COMPUTED_VALUE"""),87839.0)</f>
        <v>87839</v>
      </c>
      <c r="B2125" s="2">
        <f>IFERROR(__xludf.DUMMYFUNCTION("""COMPUTED_VALUE"""),1.0)</f>
        <v>1</v>
      </c>
      <c r="C2125" s="2">
        <f>IFERROR(__xludf.DUMMYFUNCTION("""COMPUTED_VALUE"""),822.0)</f>
        <v>822</v>
      </c>
      <c r="D2125" s="3">
        <f>IFERROR(__xludf.DUMMYFUNCTION("""COMPUTED_VALUE"""),677.0)</f>
        <v>677</v>
      </c>
      <c r="E2125" s="2"/>
      <c r="F2125" s="2"/>
    </row>
    <row r="2126">
      <c r="A2126" s="2">
        <f>IFERROR(__xludf.DUMMYFUNCTION("""COMPUTED_VALUE"""),79819.0)</f>
        <v>79819</v>
      </c>
      <c r="B2126" s="2">
        <f>IFERROR(__xludf.DUMMYFUNCTION("""COMPUTED_VALUE"""),0.0)</f>
        <v>0</v>
      </c>
      <c r="C2126" s="2">
        <f>IFERROR(__xludf.DUMMYFUNCTION("""COMPUTED_VALUE"""),715.0)</f>
        <v>715</v>
      </c>
      <c r="D2126" s="3">
        <f>IFERROR(__xludf.DUMMYFUNCTION("""COMPUTED_VALUE"""),368.0)</f>
        <v>368</v>
      </c>
      <c r="E2126" s="2"/>
      <c r="F2126" s="2"/>
    </row>
    <row r="2127">
      <c r="A2127" s="2">
        <f>IFERROR(__xludf.DUMMYFUNCTION("""COMPUTED_VALUE"""),117169.0)</f>
        <v>117169</v>
      </c>
      <c r="B2127" s="2">
        <f>IFERROR(__xludf.DUMMYFUNCTION("""COMPUTED_VALUE"""),1.0)</f>
        <v>1</v>
      </c>
      <c r="C2127" s="2">
        <f>IFERROR(__xludf.DUMMYFUNCTION("""COMPUTED_VALUE"""),402.0)</f>
        <v>402</v>
      </c>
      <c r="D2127" s="3">
        <f>IFERROR(__xludf.DUMMYFUNCTION("""COMPUTED_VALUE"""),82.0)</f>
        <v>82</v>
      </c>
      <c r="E2127" s="2"/>
      <c r="F2127" s="2"/>
    </row>
    <row r="2128">
      <c r="A2128" s="2">
        <f>IFERROR(__xludf.DUMMYFUNCTION("""COMPUTED_VALUE"""),200585.0)</f>
        <v>200585</v>
      </c>
      <c r="B2128" s="2">
        <f>IFERROR(__xludf.DUMMYFUNCTION("""COMPUTED_VALUE"""),0.0)</f>
        <v>0</v>
      </c>
      <c r="C2128" s="2">
        <f>IFERROR(__xludf.DUMMYFUNCTION("""COMPUTED_VALUE"""),100.0)</f>
        <v>100</v>
      </c>
      <c r="D2128" s="3">
        <f>IFERROR(__xludf.DUMMYFUNCTION("""COMPUTED_VALUE"""),2.0)</f>
        <v>2</v>
      </c>
      <c r="E2128" s="2"/>
      <c r="F2128" s="2"/>
    </row>
    <row r="2129">
      <c r="A2129" s="2">
        <f>IFERROR(__xludf.DUMMYFUNCTION("""COMPUTED_VALUE"""),70339.0)</f>
        <v>70339</v>
      </c>
      <c r="B2129" s="2">
        <f>IFERROR(__xludf.DUMMYFUNCTION("""COMPUTED_VALUE"""),0.0)</f>
        <v>0</v>
      </c>
      <c r="C2129" s="2">
        <f>IFERROR(__xludf.DUMMYFUNCTION("""COMPUTED_VALUE"""),246.0)</f>
        <v>246</v>
      </c>
      <c r="D2129" s="3">
        <f>IFERROR(__xludf.DUMMYFUNCTION("""COMPUTED_VALUE"""),189.0)</f>
        <v>189</v>
      </c>
      <c r="E2129" s="2"/>
      <c r="F2129" s="2"/>
    </row>
    <row r="2130">
      <c r="A2130" s="2">
        <f>IFERROR(__xludf.DUMMYFUNCTION("""COMPUTED_VALUE"""),45597.0)</f>
        <v>45597</v>
      </c>
      <c r="B2130" s="2">
        <f>IFERROR(__xludf.DUMMYFUNCTION("""COMPUTED_VALUE"""),1.0)</f>
        <v>1</v>
      </c>
      <c r="C2130" s="2">
        <f>IFERROR(__xludf.DUMMYFUNCTION("""COMPUTED_VALUE"""),48.0)</f>
        <v>48</v>
      </c>
      <c r="D2130" s="3">
        <f>IFERROR(__xludf.DUMMYFUNCTION("""COMPUTED_VALUE"""),31.0)</f>
        <v>31</v>
      </c>
      <c r="E2130" s="2"/>
      <c r="F2130" s="2"/>
    </row>
    <row r="2131">
      <c r="A2131" s="2">
        <f>IFERROR(__xludf.DUMMYFUNCTION("""COMPUTED_VALUE"""),117147.0)</f>
        <v>117147</v>
      </c>
      <c r="B2131" s="2">
        <f>IFERROR(__xludf.DUMMYFUNCTION("""COMPUTED_VALUE"""),1.0)</f>
        <v>1</v>
      </c>
      <c r="C2131" s="2">
        <f>IFERROR(__xludf.DUMMYFUNCTION("""COMPUTED_VALUE"""),755.0)</f>
        <v>755</v>
      </c>
      <c r="D2131" s="3">
        <f>IFERROR(__xludf.DUMMYFUNCTION("""COMPUTED_VALUE"""),576.0)</f>
        <v>576</v>
      </c>
      <c r="E2131" s="2"/>
      <c r="F2131" s="2"/>
    </row>
    <row r="2132">
      <c r="A2132" s="2">
        <f>IFERROR(__xludf.DUMMYFUNCTION("""COMPUTED_VALUE"""),46309.0)</f>
        <v>46309</v>
      </c>
      <c r="B2132" s="2">
        <f>IFERROR(__xludf.DUMMYFUNCTION("""COMPUTED_VALUE"""),0.0)</f>
        <v>0</v>
      </c>
      <c r="C2132" s="2">
        <f>IFERROR(__xludf.DUMMYFUNCTION("""COMPUTED_VALUE"""),148.0)</f>
        <v>148</v>
      </c>
      <c r="D2132" s="3">
        <f>IFERROR(__xludf.DUMMYFUNCTION("""COMPUTED_VALUE"""),103.0)</f>
        <v>103</v>
      </c>
      <c r="E2132" s="2"/>
      <c r="F2132" s="2"/>
    </row>
    <row r="2133">
      <c r="A2133" s="2">
        <f>IFERROR(__xludf.DUMMYFUNCTION("""COMPUTED_VALUE"""),45595.0)</f>
        <v>45595</v>
      </c>
      <c r="B2133" s="2">
        <f>IFERROR(__xludf.DUMMYFUNCTION("""COMPUTED_VALUE"""),1.0)</f>
        <v>1</v>
      </c>
      <c r="C2133" s="2">
        <f>IFERROR(__xludf.DUMMYFUNCTION("""COMPUTED_VALUE"""),206.0)</f>
        <v>206</v>
      </c>
      <c r="D2133" s="3">
        <f>IFERROR(__xludf.DUMMYFUNCTION("""COMPUTED_VALUE"""),119.0)</f>
        <v>119</v>
      </c>
      <c r="E2133" s="2"/>
      <c r="F2133" s="2"/>
    </row>
    <row r="2134">
      <c r="A2134" s="2">
        <f>IFERROR(__xludf.DUMMYFUNCTION("""COMPUTED_VALUE"""),100311.0)</f>
        <v>100311</v>
      </c>
      <c r="B2134" s="2">
        <f>IFERROR(__xludf.DUMMYFUNCTION("""COMPUTED_VALUE"""),1.0)</f>
        <v>1</v>
      </c>
      <c r="C2134" s="2">
        <f>IFERROR(__xludf.DUMMYFUNCTION("""COMPUTED_VALUE"""),11.0)</f>
        <v>11</v>
      </c>
      <c r="D2134" s="3">
        <f>IFERROR(__xludf.DUMMYFUNCTION("""COMPUTED_VALUE"""),0.0)</f>
        <v>0</v>
      </c>
      <c r="E2134" s="2"/>
      <c r="F2134" s="2"/>
    </row>
    <row r="2135">
      <c r="A2135" s="2">
        <f>IFERROR(__xludf.DUMMYFUNCTION("""COMPUTED_VALUE"""),122491.0)</f>
        <v>122491</v>
      </c>
      <c r="B2135" s="2">
        <f>IFERROR(__xludf.DUMMYFUNCTION("""COMPUTED_VALUE"""),1.0)</f>
        <v>1</v>
      </c>
      <c r="C2135" s="2">
        <f>IFERROR(__xludf.DUMMYFUNCTION("""COMPUTED_VALUE"""),331.0)</f>
        <v>331</v>
      </c>
      <c r="D2135" s="3">
        <f>IFERROR(__xludf.DUMMYFUNCTION("""COMPUTED_VALUE"""),230.0)</f>
        <v>230</v>
      </c>
      <c r="E2135" s="2"/>
      <c r="F2135" s="2"/>
    </row>
    <row r="2136">
      <c r="A2136" s="2">
        <f>IFERROR(__xludf.DUMMYFUNCTION("""COMPUTED_VALUE"""),117466.0)</f>
        <v>117466</v>
      </c>
      <c r="B2136" s="2">
        <f>IFERROR(__xludf.DUMMYFUNCTION("""COMPUTED_VALUE"""),1.0)</f>
        <v>1</v>
      </c>
      <c r="C2136" s="2">
        <f>IFERROR(__xludf.DUMMYFUNCTION("""COMPUTED_VALUE"""),326.0)</f>
        <v>326</v>
      </c>
      <c r="D2136" s="3">
        <f>IFERROR(__xludf.DUMMYFUNCTION("""COMPUTED_VALUE"""),232.0)</f>
        <v>232</v>
      </c>
      <c r="E2136" s="2"/>
      <c r="F2136" s="2"/>
    </row>
    <row r="2137">
      <c r="A2137" s="2">
        <f>IFERROR(__xludf.DUMMYFUNCTION("""COMPUTED_VALUE"""),85107.0)</f>
        <v>85107</v>
      </c>
      <c r="B2137" s="2">
        <f>IFERROR(__xludf.DUMMYFUNCTION("""COMPUTED_VALUE"""),0.0)</f>
        <v>0</v>
      </c>
      <c r="C2137" s="2">
        <f>IFERROR(__xludf.DUMMYFUNCTION("""COMPUTED_VALUE"""),641.0)</f>
        <v>641</v>
      </c>
      <c r="D2137" s="3">
        <f>IFERROR(__xludf.DUMMYFUNCTION("""COMPUTED_VALUE"""),24.0)</f>
        <v>24</v>
      </c>
      <c r="E2137" s="2"/>
      <c r="F2137" s="2"/>
    </row>
    <row r="2138">
      <c r="A2138" s="2">
        <f>IFERROR(__xludf.DUMMYFUNCTION("""COMPUTED_VALUE"""),45594.0)</f>
        <v>45594</v>
      </c>
      <c r="B2138" s="2">
        <f>IFERROR(__xludf.DUMMYFUNCTION("""COMPUTED_VALUE"""),1.0)</f>
        <v>1</v>
      </c>
      <c r="C2138" s="2">
        <f>IFERROR(__xludf.DUMMYFUNCTION("""COMPUTED_VALUE"""),376.0)</f>
        <v>376</v>
      </c>
      <c r="D2138" s="3">
        <f>IFERROR(__xludf.DUMMYFUNCTION("""COMPUTED_VALUE"""),357.0)</f>
        <v>357</v>
      </c>
      <c r="E2138" s="2"/>
      <c r="F2138" s="2"/>
    </row>
    <row r="2139">
      <c r="A2139" s="2">
        <f>IFERROR(__xludf.DUMMYFUNCTION("""COMPUTED_VALUE"""),118298.0)</f>
        <v>118298</v>
      </c>
      <c r="B2139" s="2">
        <f>IFERROR(__xludf.DUMMYFUNCTION("""COMPUTED_VALUE"""),0.0)</f>
        <v>0</v>
      </c>
      <c r="C2139" s="2">
        <f>IFERROR(__xludf.DUMMYFUNCTION("""COMPUTED_VALUE"""),848.0)</f>
        <v>848</v>
      </c>
      <c r="D2139" s="3">
        <f>IFERROR(__xludf.DUMMYFUNCTION("""COMPUTED_VALUE"""),505.0)</f>
        <v>505</v>
      </c>
      <c r="E2139" s="2"/>
      <c r="F2139" s="2"/>
    </row>
    <row r="2140">
      <c r="A2140" s="2">
        <f>IFERROR(__xludf.DUMMYFUNCTION("""COMPUTED_VALUE"""),98802.0)</f>
        <v>98802</v>
      </c>
      <c r="B2140" s="2">
        <f>IFERROR(__xludf.DUMMYFUNCTION("""COMPUTED_VALUE"""),0.0)</f>
        <v>0</v>
      </c>
      <c r="C2140" s="2">
        <f>IFERROR(__xludf.DUMMYFUNCTION("""COMPUTED_VALUE"""),105.0)</f>
        <v>105</v>
      </c>
      <c r="D2140" s="3">
        <f>IFERROR(__xludf.DUMMYFUNCTION("""COMPUTED_VALUE"""),8.0)</f>
        <v>8</v>
      </c>
      <c r="E2140" s="2"/>
      <c r="F2140" s="2"/>
    </row>
    <row r="2141">
      <c r="A2141" s="2">
        <f>IFERROR(__xludf.DUMMYFUNCTION("""COMPUTED_VALUE"""),46985.0)</f>
        <v>46985</v>
      </c>
      <c r="B2141" s="2">
        <f>IFERROR(__xludf.DUMMYFUNCTION("""COMPUTED_VALUE"""),0.0)</f>
        <v>0</v>
      </c>
      <c r="C2141" s="2">
        <f>IFERROR(__xludf.DUMMYFUNCTION("""COMPUTED_VALUE"""),847.0)</f>
        <v>847</v>
      </c>
      <c r="D2141" s="3">
        <f>IFERROR(__xludf.DUMMYFUNCTION("""COMPUTED_VALUE"""),844.0)</f>
        <v>844</v>
      </c>
      <c r="E2141" s="2"/>
      <c r="F2141" s="2"/>
    </row>
    <row r="2142">
      <c r="A2142" s="2">
        <f>IFERROR(__xludf.DUMMYFUNCTION("""COMPUTED_VALUE"""),46476.0)</f>
        <v>46476</v>
      </c>
      <c r="B2142" s="2">
        <f>IFERROR(__xludf.DUMMYFUNCTION("""COMPUTED_VALUE"""),1.0)</f>
        <v>1</v>
      </c>
      <c r="C2142" s="2">
        <f>IFERROR(__xludf.DUMMYFUNCTION("""COMPUTED_VALUE"""),626.0)</f>
        <v>626</v>
      </c>
      <c r="D2142" s="3">
        <f>IFERROR(__xludf.DUMMYFUNCTION("""COMPUTED_VALUE"""),259.0)</f>
        <v>259</v>
      </c>
      <c r="E2142" s="2"/>
      <c r="F2142" s="2"/>
    </row>
    <row r="2143">
      <c r="A2143" s="2">
        <f>IFERROR(__xludf.DUMMYFUNCTION("""COMPUTED_VALUE"""),110187.0)</f>
        <v>110187</v>
      </c>
      <c r="B2143" s="2">
        <f>IFERROR(__xludf.DUMMYFUNCTION("""COMPUTED_VALUE"""),0.0)</f>
        <v>0</v>
      </c>
      <c r="C2143" s="2">
        <f>IFERROR(__xludf.DUMMYFUNCTION("""COMPUTED_VALUE"""),731.0)</f>
        <v>731</v>
      </c>
      <c r="D2143" s="3">
        <f>IFERROR(__xludf.DUMMYFUNCTION("""COMPUTED_VALUE"""),493.0)</f>
        <v>493</v>
      </c>
      <c r="E2143" s="2"/>
      <c r="F2143" s="2"/>
    </row>
    <row r="2144">
      <c r="A2144" s="2">
        <f>IFERROR(__xludf.DUMMYFUNCTION("""COMPUTED_VALUE"""),79988.0)</f>
        <v>79988</v>
      </c>
      <c r="B2144" s="2">
        <f>IFERROR(__xludf.DUMMYFUNCTION("""COMPUTED_VALUE"""),1.0)</f>
        <v>1</v>
      </c>
      <c r="C2144" s="2">
        <f>IFERROR(__xludf.DUMMYFUNCTION("""COMPUTED_VALUE"""),506.0)</f>
        <v>506</v>
      </c>
      <c r="D2144" s="3">
        <f>IFERROR(__xludf.DUMMYFUNCTION("""COMPUTED_VALUE"""),74.0)</f>
        <v>74</v>
      </c>
      <c r="E2144" s="2"/>
      <c r="F2144" s="2"/>
    </row>
    <row r="2145">
      <c r="A2145" s="2">
        <f>IFERROR(__xludf.DUMMYFUNCTION("""COMPUTED_VALUE"""),46970.0)</f>
        <v>46970</v>
      </c>
      <c r="B2145" s="2">
        <f>IFERROR(__xludf.DUMMYFUNCTION("""COMPUTED_VALUE"""),1.0)</f>
        <v>1</v>
      </c>
      <c r="C2145" s="2">
        <f>IFERROR(__xludf.DUMMYFUNCTION("""COMPUTED_VALUE"""),227.0)</f>
        <v>227</v>
      </c>
      <c r="D2145" s="3">
        <f>IFERROR(__xludf.DUMMYFUNCTION("""COMPUTED_VALUE"""),134.0)</f>
        <v>134</v>
      </c>
      <c r="E2145" s="2"/>
      <c r="F2145" s="2"/>
    </row>
    <row r="2146">
      <c r="A2146" s="2">
        <f>IFERROR(__xludf.DUMMYFUNCTION("""COMPUTED_VALUE"""),6519.0)</f>
        <v>6519</v>
      </c>
      <c r="B2146" s="2">
        <f>IFERROR(__xludf.DUMMYFUNCTION("""COMPUTED_VALUE"""),0.0)</f>
        <v>0</v>
      </c>
      <c r="C2146" s="2">
        <f>IFERROR(__xludf.DUMMYFUNCTION("""COMPUTED_VALUE"""),777.0)</f>
        <v>777</v>
      </c>
      <c r="D2146" s="3">
        <f>IFERROR(__xludf.DUMMYFUNCTION("""COMPUTED_VALUE"""),548.0)</f>
        <v>548</v>
      </c>
      <c r="E2146" s="2"/>
      <c r="F2146" s="2"/>
    </row>
    <row r="2147">
      <c r="A2147" s="2">
        <f>IFERROR(__xludf.DUMMYFUNCTION("""COMPUTED_VALUE"""),118205.0)</f>
        <v>118205</v>
      </c>
      <c r="B2147" s="2">
        <f>IFERROR(__xludf.DUMMYFUNCTION("""COMPUTED_VALUE"""),1.0)</f>
        <v>1</v>
      </c>
      <c r="C2147" s="2">
        <f>IFERROR(__xludf.DUMMYFUNCTION("""COMPUTED_VALUE"""),328.0)</f>
        <v>328</v>
      </c>
      <c r="D2147" s="3">
        <f>IFERROR(__xludf.DUMMYFUNCTION("""COMPUTED_VALUE"""),60.0)</f>
        <v>60</v>
      </c>
      <c r="E2147" s="2"/>
      <c r="F2147" s="2"/>
    </row>
    <row r="2148">
      <c r="A2148" s="2">
        <f>IFERROR(__xludf.DUMMYFUNCTION("""COMPUTED_VALUE"""),109412.0)</f>
        <v>109412</v>
      </c>
      <c r="B2148" s="2">
        <f>IFERROR(__xludf.DUMMYFUNCTION("""COMPUTED_VALUE"""),1.0)</f>
        <v>1</v>
      </c>
      <c r="C2148" s="2">
        <f>IFERROR(__xludf.DUMMYFUNCTION("""COMPUTED_VALUE"""),383.0)</f>
        <v>383</v>
      </c>
      <c r="D2148" s="3">
        <f>IFERROR(__xludf.DUMMYFUNCTION("""COMPUTED_VALUE"""),75.0)</f>
        <v>75</v>
      </c>
      <c r="E2148" s="2"/>
      <c r="F2148" s="2"/>
    </row>
    <row r="2149">
      <c r="A2149" s="2">
        <f>IFERROR(__xludf.DUMMYFUNCTION("""COMPUTED_VALUE"""),117931.0)</f>
        <v>117931</v>
      </c>
      <c r="B2149" s="2">
        <f>IFERROR(__xludf.DUMMYFUNCTION("""COMPUTED_VALUE"""),0.0)</f>
        <v>0</v>
      </c>
      <c r="C2149" s="2">
        <f>IFERROR(__xludf.DUMMYFUNCTION("""COMPUTED_VALUE"""),29.0)</f>
        <v>29</v>
      </c>
      <c r="D2149" s="3">
        <f>IFERROR(__xludf.DUMMYFUNCTION("""COMPUTED_VALUE"""),8.0)</f>
        <v>8</v>
      </c>
      <c r="E2149" s="2"/>
      <c r="F2149" s="2"/>
    </row>
    <row r="2150">
      <c r="A2150" s="2">
        <f>IFERROR(__xludf.DUMMYFUNCTION("""COMPUTED_VALUE"""),70042.0)</f>
        <v>70042</v>
      </c>
      <c r="B2150" s="2">
        <f>IFERROR(__xludf.DUMMYFUNCTION("""COMPUTED_VALUE"""),0.0)</f>
        <v>0</v>
      </c>
      <c r="C2150" s="2">
        <f>IFERROR(__xludf.DUMMYFUNCTION("""COMPUTED_VALUE"""),424.0)</f>
        <v>424</v>
      </c>
      <c r="D2150" s="3">
        <f>IFERROR(__xludf.DUMMYFUNCTION("""COMPUTED_VALUE"""),363.0)</f>
        <v>363</v>
      </c>
      <c r="E2150" s="2"/>
      <c r="F2150" s="2"/>
    </row>
    <row r="2151">
      <c r="A2151" s="2">
        <f>IFERROR(__xludf.DUMMYFUNCTION("""COMPUTED_VALUE"""),150104.0)</f>
        <v>150104</v>
      </c>
      <c r="B2151" s="2">
        <f>IFERROR(__xludf.DUMMYFUNCTION("""COMPUTED_VALUE"""),0.0)</f>
        <v>0</v>
      </c>
      <c r="C2151" s="2">
        <f>IFERROR(__xludf.DUMMYFUNCTION("""COMPUTED_VALUE"""),147.0)</f>
        <v>147</v>
      </c>
      <c r="D2151" s="3">
        <f>IFERROR(__xludf.DUMMYFUNCTION("""COMPUTED_VALUE"""),33.0)</f>
        <v>33</v>
      </c>
      <c r="E2151" s="2"/>
      <c r="F2151" s="2"/>
    </row>
    <row r="2152">
      <c r="A2152" s="2">
        <f>IFERROR(__xludf.DUMMYFUNCTION("""COMPUTED_VALUE"""),72319.0)</f>
        <v>72319</v>
      </c>
      <c r="B2152" s="2">
        <f>IFERROR(__xludf.DUMMYFUNCTION("""COMPUTED_VALUE"""),1.0)</f>
        <v>1</v>
      </c>
      <c r="C2152" s="2">
        <f>IFERROR(__xludf.DUMMYFUNCTION("""COMPUTED_VALUE"""),421.0)</f>
        <v>421</v>
      </c>
      <c r="D2152" s="3">
        <f>IFERROR(__xludf.DUMMYFUNCTION("""COMPUTED_VALUE"""),181.0)</f>
        <v>181</v>
      </c>
      <c r="E2152" s="2"/>
      <c r="F2152" s="2"/>
    </row>
    <row r="2153">
      <c r="A2153" s="2">
        <f>IFERROR(__xludf.DUMMYFUNCTION("""COMPUTED_VALUE"""),100060.0)</f>
        <v>100060</v>
      </c>
      <c r="B2153" s="2">
        <f>IFERROR(__xludf.DUMMYFUNCTION("""COMPUTED_VALUE"""),0.0)</f>
        <v>0</v>
      </c>
      <c r="C2153" s="2">
        <f>IFERROR(__xludf.DUMMYFUNCTION("""COMPUTED_VALUE"""),884.0)</f>
        <v>884</v>
      </c>
      <c r="D2153" s="3">
        <f>IFERROR(__xludf.DUMMYFUNCTION("""COMPUTED_VALUE"""),821.0)</f>
        <v>821</v>
      </c>
      <c r="E2153" s="2"/>
      <c r="F2153" s="2"/>
    </row>
    <row r="2154">
      <c r="A2154" s="2">
        <f>IFERROR(__xludf.DUMMYFUNCTION("""COMPUTED_VALUE"""),6521.0)</f>
        <v>6521</v>
      </c>
      <c r="B2154" s="2">
        <f>IFERROR(__xludf.DUMMYFUNCTION("""COMPUTED_VALUE"""),1.0)</f>
        <v>1</v>
      </c>
      <c r="C2154" s="2">
        <f>IFERROR(__xludf.DUMMYFUNCTION("""COMPUTED_VALUE"""),474.0)</f>
        <v>474</v>
      </c>
      <c r="D2154" s="3">
        <f>IFERROR(__xludf.DUMMYFUNCTION("""COMPUTED_VALUE"""),407.0)</f>
        <v>407</v>
      </c>
      <c r="E2154" s="2"/>
      <c r="F2154" s="2"/>
    </row>
    <row r="2155">
      <c r="A2155" s="2">
        <f>IFERROR(__xludf.DUMMYFUNCTION("""COMPUTED_VALUE"""),45058.0)</f>
        <v>45058</v>
      </c>
      <c r="B2155" s="2">
        <f>IFERROR(__xludf.DUMMYFUNCTION("""COMPUTED_VALUE"""),0.0)</f>
        <v>0</v>
      </c>
      <c r="C2155" s="2">
        <f>IFERROR(__xludf.DUMMYFUNCTION("""COMPUTED_VALUE"""),513.0)</f>
        <v>513</v>
      </c>
      <c r="D2155" s="3">
        <f>IFERROR(__xludf.DUMMYFUNCTION("""COMPUTED_VALUE"""),411.0)</f>
        <v>411</v>
      </c>
      <c r="E2155" s="2"/>
      <c r="F2155" s="2"/>
    </row>
    <row r="2156">
      <c r="A2156" s="2">
        <f>IFERROR(__xludf.DUMMYFUNCTION("""COMPUTED_VALUE"""),117139.0)</f>
        <v>117139</v>
      </c>
      <c r="B2156" s="2">
        <f>IFERROR(__xludf.DUMMYFUNCTION("""COMPUTED_VALUE"""),1.0)</f>
        <v>1</v>
      </c>
      <c r="C2156" s="2">
        <f>IFERROR(__xludf.DUMMYFUNCTION("""COMPUTED_VALUE"""),395.0)</f>
        <v>395</v>
      </c>
      <c r="D2156" s="3">
        <f>IFERROR(__xludf.DUMMYFUNCTION("""COMPUTED_VALUE"""),176.0)</f>
        <v>176</v>
      </c>
      <c r="E2156" s="2"/>
      <c r="F2156" s="2"/>
    </row>
    <row r="2157">
      <c r="A2157" s="2">
        <f>IFERROR(__xludf.DUMMYFUNCTION("""COMPUTED_VALUE"""),117464.0)</f>
        <v>117464</v>
      </c>
      <c r="B2157" s="2">
        <f>IFERROR(__xludf.DUMMYFUNCTION("""COMPUTED_VALUE"""),0.0)</f>
        <v>0</v>
      </c>
      <c r="C2157" s="2">
        <f>IFERROR(__xludf.DUMMYFUNCTION("""COMPUTED_VALUE"""),926.0)</f>
        <v>926</v>
      </c>
      <c r="D2157" s="3">
        <f>IFERROR(__xludf.DUMMYFUNCTION("""COMPUTED_VALUE"""),465.0)</f>
        <v>465</v>
      </c>
      <c r="E2157" s="2"/>
      <c r="F2157" s="2"/>
    </row>
    <row r="2158">
      <c r="A2158" s="2">
        <f>IFERROR(__xludf.DUMMYFUNCTION("""COMPUTED_VALUE"""),111777.0)</f>
        <v>111777</v>
      </c>
      <c r="B2158" s="2">
        <f>IFERROR(__xludf.DUMMYFUNCTION("""COMPUTED_VALUE"""),1.0)</f>
        <v>1</v>
      </c>
      <c r="C2158" s="2">
        <f>IFERROR(__xludf.DUMMYFUNCTION("""COMPUTED_VALUE"""),132.0)</f>
        <v>132</v>
      </c>
      <c r="D2158" s="3">
        <f>IFERROR(__xludf.DUMMYFUNCTION("""COMPUTED_VALUE"""),46.0)</f>
        <v>46</v>
      </c>
      <c r="E2158" s="2"/>
      <c r="F2158" s="2"/>
    </row>
    <row r="2159">
      <c r="A2159" s="2">
        <f>IFERROR(__xludf.DUMMYFUNCTION("""COMPUTED_VALUE"""),122375.0)</f>
        <v>122375</v>
      </c>
      <c r="B2159" s="2">
        <f>IFERROR(__xludf.DUMMYFUNCTION("""COMPUTED_VALUE"""),1.0)</f>
        <v>1</v>
      </c>
      <c r="C2159" s="2">
        <f>IFERROR(__xludf.DUMMYFUNCTION("""COMPUTED_VALUE"""),301.0)</f>
        <v>301</v>
      </c>
      <c r="D2159" s="3">
        <f>IFERROR(__xludf.DUMMYFUNCTION("""COMPUTED_VALUE"""),23.0)</f>
        <v>23</v>
      </c>
      <c r="E2159" s="2"/>
      <c r="F2159" s="2"/>
    </row>
    <row r="2160">
      <c r="A2160" s="2">
        <f>IFERROR(__xludf.DUMMYFUNCTION("""COMPUTED_VALUE"""),122282.0)</f>
        <v>122282</v>
      </c>
      <c r="B2160" s="2">
        <f>IFERROR(__xludf.DUMMYFUNCTION("""COMPUTED_VALUE"""),0.0)</f>
        <v>0</v>
      </c>
      <c r="C2160" s="2">
        <f>IFERROR(__xludf.DUMMYFUNCTION("""COMPUTED_VALUE"""),199.0)</f>
        <v>199</v>
      </c>
      <c r="D2160" s="3">
        <f>IFERROR(__xludf.DUMMYFUNCTION("""COMPUTED_VALUE"""),43.0)</f>
        <v>43</v>
      </c>
      <c r="E2160" s="2"/>
      <c r="F2160" s="2"/>
    </row>
    <row r="2161">
      <c r="A2161" s="2">
        <f>IFERROR(__xludf.DUMMYFUNCTION("""COMPUTED_VALUE"""),47161.0)</f>
        <v>47161</v>
      </c>
      <c r="B2161" s="2">
        <f>IFERROR(__xludf.DUMMYFUNCTION("""COMPUTED_VALUE"""),1.0)</f>
        <v>1</v>
      </c>
      <c r="C2161" s="2">
        <f>IFERROR(__xludf.DUMMYFUNCTION("""COMPUTED_VALUE"""),262.0)</f>
        <v>262</v>
      </c>
      <c r="D2161" s="3">
        <f>IFERROR(__xludf.DUMMYFUNCTION("""COMPUTED_VALUE"""),51.0)</f>
        <v>51</v>
      </c>
      <c r="E2161" s="2"/>
      <c r="F2161" s="2"/>
    </row>
    <row r="2162">
      <c r="A2162" s="2">
        <f>IFERROR(__xludf.DUMMYFUNCTION("""COMPUTED_VALUE"""),47159.0)</f>
        <v>47159</v>
      </c>
      <c r="B2162" s="2">
        <f>IFERROR(__xludf.DUMMYFUNCTION("""COMPUTED_VALUE"""),0.0)</f>
        <v>0</v>
      </c>
      <c r="C2162" s="2">
        <f>IFERROR(__xludf.DUMMYFUNCTION("""COMPUTED_VALUE"""),778.0)</f>
        <v>778</v>
      </c>
      <c r="D2162" s="3">
        <f>IFERROR(__xludf.DUMMYFUNCTION("""COMPUTED_VALUE"""),615.0)</f>
        <v>615</v>
      </c>
      <c r="E2162" s="2"/>
      <c r="F2162" s="2"/>
    </row>
    <row r="2163">
      <c r="A2163" s="2">
        <f>IFERROR(__xludf.DUMMYFUNCTION("""COMPUTED_VALUE"""),71327.0)</f>
        <v>71327</v>
      </c>
      <c r="B2163" s="2">
        <f>IFERROR(__xludf.DUMMYFUNCTION("""COMPUTED_VALUE"""),0.0)</f>
        <v>0</v>
      </c>
      <c r="C2163" s="2">
        <f>IFERROR(__xludf.DUMMYFUNCTION("""COMPUTED_VALUE"""),96.0)</f>
        <v>96</v>
      </c>
      <c r="D2163" s="3">
        <f>IFERROR(__xludf.DUMMYFUNCTION("""COMPUTED_VALUE"""),49.0)</f>
        <v>49</v>
      </c>
      <c r="E2163" s="2"/>
      <c r="F2163" s="2"/>
    </row>
    <row r="2164">
      <c r="A2164" s="2">
        <f>IFERROR(__xludf.DUMMYFUNCTION("""COMPUTED_VALUE"""),122276.0)</f>
        <v>122276</v>
      </c>
      <c r="B2164" s="2">
        <f>IFERROR(__xludf.DUMMYFUNCTION("""COMPUTED_VALUE"""),0.0)</f>
        <v>0</v>
      </c>
      <c r="C2164" s="2">
        <f>IFERROR(__xludf.DUMMYFUNCTION("""COMPUTED_VALUE"""),53.0)</f>
        <v>53</v>
      </c>
      <c r="D2164" s="3">
        <f>IFERROR(__xludf.DUMMYFUNCTION("""COMPUTED_VALUE"""),5.0)</f>
        <v>5</v>
      </c>
      <c r="E2164" s="2"/>
      <c r="F2164" s="2"/>
    </row>
    <row r="2165">
      <c r="A2165" s="2">
        <f>IFERROR(__xludf.DUMMYFUNCTION("""COMPUTED_VALUE"""),72806.0)</f>
        <v>72806</v>
      </c>
      <c r="B2165" s="2">
        <f>IFERROR(__xludf.DUMMYFUNCTION("""COMPUTED_VALUE"""),1.0)</f>
        <v>1</v>
      </c>
      <c r="C2165" s="2">
        <f>IFERROR(__xludf.DUMMYFUNCTION("""COMPUTED_VALUE"""),762.0)</f>
        <v>762</v>
      </c>
      <c r="D2165" s="3">
        <f>IFERROR(__xludf.DUMMYFUNCTION("""COMPUTED_VALUE"""),712.0)</f>
        <v>712</v>
      </c>
      <c r="E2165" s="2"/>
      <c r="F2165" s="2"/>
    </row>
    <row r="2166">
      <c r="A2166" s="2">
        <f>IFERROR(__xludf.DUMMYFUNCTION("""COMPUTED_VALUE"""),100248.0)</f>
        <v>100248</v>
      </c>
      <c r="B2166" s="2">
        <f>IFERROR(__xludf.DUMMYFUNCTION("""COMPUTED_VALUE"""),0.0)</f>
        <v>0</v>
      </c>
      <c r="C2166" s="2">
        <f>IFERROR(__xludf.DUMMYFUNCTION("""COMPUTED_VALUE"""),447.0)</f>
        <v>447</v>
      </c>
      <c r="D2166" s="3">
        <f>IFERROR(__xludf.DUMMYFUNCTION("""COMPUTED_VALUE"""),38.0)</f>
        <v>38</v>
      </c>
      <c r="E2166" s="2"/>
      <c r="F2166" s="2"/>
    </row>
    <row r="2167">
      <c r="A2167" s="2">
        <f>IFERROR(__xludf.DUMMYFUNCTION("""COMPUTED_VALUE"""),122378.0)</f>
        <v>122378</v>
      </c>
      <c r="B2167" s="2">
        <f>IFERROR(__xludf.DUMMYFUNCTION("""COMPUTED_VALUE"""),1.0)</f>
        <v>1</v>
      </c>
      <c r="C2167" s="2">
        <f>IFERROR(__xludf.DUMMYFUNCTION("""COMPUTED_VALUE"""),165.0)</f>
        <v>165</v>
      </c>
      <c r="D2167" s="3">
        <f>IFERROR(__xludf.DUMMYFUNCTION("""COMPUTED_VALUE"""),46.0)</f>
        <v>46</v>
      </c>
      <c r="E2167" s="2"/>
      <c r="F2167" s="2"/>
    </row>
    <row r="2168">
      <c r="A2168" s="2">
        <f>IFERROR(__xludf.DUMMYFUNCTION("""COMPUTED_VALUE"""),44762.0)</f>
        <v>44762</v>
      </c>
      <c r="B2168" s="2">
        <f>IFERROR(__xludf.DUMMYFUNCTION("""COMPUTED_VALUE"""),0.0)</f>
        <v>0</v>
      </c>
      <c r="C2168" s="2">
        <f>IFERROR(__xludf.DUMMYFUNCTION("""COMPUTED_VALUE"""),90.0)</f>
        <v>90</v>
      </c>
      <c r="D2168" s="3">
        <f>IFERROR(__xludf.DUMMYFUNCTION("""COMPUTED_VALUE"""),27.0)</f>
        <v>27</v>
      </c>
      <c r="E2168" s="2"/>
      <c r="F2168" s="2"/>
    </row>
    <row r="2169">
      <c r="A2169" s="2">
        <f>IFERROR(__xludf.DUMMYFUNCTION("""COMPUTED_VALUE"""),100247.0)</f>
        <v>100247</v>
      </c>
      <c r="B2169" s="2">
        <f>IFERROR(__xludf.DUMMYFUNCTION("""COMPUTED_VALUE"""),0.0)</f>
        <v>0</v>
      </c>
      <c r="C2169" s="2">
        <f>IFERROR(__xludf.DUMMYFUNCTION("""COMPUTED_VALUE"""),88.0)</f>
        <v>88</v>
      </c>
      <c r="D2169" s="3">
        <f>IFERROR(__xludf.DUMMYFUNCTION("""COMPUTED_VALUE"""),19.0)</f>
        <v>19</v>
      </c>
      <c r="E2169" s="2"/>
      <c r="F2169" s="2"/>
    </row>
    <row r="2170">
      <c r="A2170" s="2">
        <f>IFERROR(__xludf.DUMMYFUNCTION("""COMPUTED_VALUE"""),182272.0)</f>
        <v>182272</v>
      </c>
      <c r="B2170" s="2">
        <f>IFERROR(__xludf.DUMMYFUNCTION("""COMPUTED_VALUE"""),1.0)</f>
        <v>1</v>
      </c>
      <c r="C2170" s="2">
        <f>IFERROR(__xludf.DUMMYFUNCTION("""COMPUTED_VALUE"""),223.0)</f>
        <v>223</v>
      </c>
      <c r="D2170" s="3">
        <f>IFERROR(__xludf.DUMMYFUNCTION("""COMPUTED_VALUE"""),58.0)</f>
        <v>58</v>
      </c>
      <c r="E2170" s="2"/>
      <c r="F2170" s="2"/>
    </row>
    <row r="2171">
      <c r="A2171" s="2">
        <f>IFERROR(__xludf.DUMMYFUNCTION("""COMPUTED_VALUE"""),128297.0)</f>
        <v>128297</v>
      </c>
      <c r="B2171" s="2">
        <f>IFERROR(__xludf.DUMMYFUNCTION("""COMPUTED_VALUE"""),1.0)</f>
        <v>1</v>
      </c>
      <c r="C2171" s="2">
        <f>IFERROR(__xludf.DUMMYFUNCTION("""COMPUTED_VALUE"""),633.0)</f>
        <v>633</v>
      </c>
      <c r="D2171" s="3">
        <f>IFERROR(__xludf.DUMMYFUNCTION("""COMPUTED_VALUE"""),627.0)</f>
        <v>627</v>
      </c>
      <c r="E2171" s="2"/>
      <c r="F2171" s="2"/>
    </row>
    <row r="2172">
      <c r="A2172" s="2">
        <f>IFERROR(__xludf.DUMMYFUNCTION("""COMPUTED_VALUE"""),10673.0)</f>
        <v>10673</v>
      </c>
      <c r="B2172" s="2">
        <f>IFERROR(__xludf.DUMMYFUNCTION("""COMPUTED_VALUE"""),0.0)</f>
        <v>0</v>
      </c>
      <c r="C2172" s="2">
        <f>IFERROR(__xludf.DUMMYFUNCTION("""COMPUTED_VALUE"""),336.0)</f>
        <v>336</v>
      </c>
      <c r="D2172" s="3">
        <f>IFERROR(__xludf.DUMMYFUNCTION("""COMPUTED_VALUE"""),11.0)</f>
        <v>11</v>
      </c>
      <c r="E2172" s="2"/>
      <c r="F2172" s="2"/>
    </row>
    <row r="2173">
      <c r="A2173" s="2">
        <f>IFERROR(__xludf.DUMMYFUNCTION("""COMPUTED_VALUE"""),69332.0)</f>
        <v>69332</v>
      </c>
      <c r="B2173" s="2">
        <f>IFERROR(__xludf.DUMMYFUNCTION("""COMPUTED_VALUE"""),0.0)</f>
        <v>0</v>
      </c>
      <c r="C2173" s="2">
        <f>IFERROR(__xludf.DUMMYFUNCTION("""COMPUTED_VALUE"""),671.0)</f>
        <v>671</v>
      </c>
      <c r="D2173" s="3">
        <f>IFERROR(__xludf.DUMMYFUNCTION("""COMPUTED_VALUE"""),131.0)</f>
        <v>131</v>
      </c>
      <c r="E2173" s="2"/>
      <c r="F2173" s="2"/>
    </row>
    <row r="2174">
      <c r="A2174" s="2">
        <f>IFERROR(__xludf.DUMMYFUNCTION("""COMPUTED_VALUE"""),151239.0)</f>
        <v>151239</v>
      </c>
      <c r="B2174" s="2">
        <f>IFERROR(__xludf.DUMMYFUNCTION("""COMPUTED_VALUE"""),1.0)</f>
        <v>1</v>
      </c>
      <c r="C2174" s="2">
        <f>IFERROR(__xludf.DUMMYFUNCTION("""COMPUTED_VALUE"""),51.0)</f>
        <v>51</v>
      </c>
      <c r="D2174" s="3">
        <f>IFERROR(__xludf.DUMMYFUNCTION("""COMPUTED_VALUE"""),41.0)</f>
        <v>41</v>
      </c>
      <c r="E2174" s="2"/>
      <c r="F2174" s="2"/>
    </row>
    <row r="2175">
      <c r="A2175" s="2">
        <f>IFERROR(__xludf.DUMMYFUNCTION("""COMPUTED_VALUE"""),116667.0)</f>
        <v>116667</v>
      </c>
      <c r="B2175" s="2">
        <f>IFERROR(__xludf.DUMMYFUNCTION("""COMPUTED_VALUE"""),0.0)</f>
        <v>0</v>
      </c>
      <c r="C2175" s="2">
        <f>IFERROR(__xludf.DUMMYFUNCTION("""COMPUTED_VALUE"""),371.0)</f>
        <v>371</v>
      </c>
      <c r="D2175" s="3">
        <f>IFERROR(__xludf.DUMMYFUNCTION("""COMPUTED_VALUE"""),88.0)</f>
        <v>88</v>
      </c>
      <c r="E2175" s="2"/>
      <c r="F2175" s="2"/>
    </row>
    <row r="2176">
      <c r="A2176" s="2">
        <f>IFERROR(__xludf.DUMMYFUNCTION("""COMPUTED_VALUE"""),72809.0)</f>
        <v>72809</v>
      </c>
      <c r="B2176" s="2">
        <f>IFERROR(__xludf.DUMMYFUNCTION("""COMPUTED_VALUE"""),1.0)</f>
        <v>1</v>
      </c>
      <c r="C2176" s="2">
        <f>IFERROR(__xludf.DUMMYFUNCTION("""COMPUTED_VALUE"""),890.0)</f>
        <v>890</v>
      </c>
      <c r="D2176" s="3">
        <f>IFERROR(__xludf.DUMMYFUNCTION("""COMPUTED_VALUE"""),244.0)</f>
        <v>244</v>
      </c>
      <c r="E2176" s="2"/>
      <c r="F2176" s="2"/>
    </row>
    <row r="2177">
      <c r="A2177" s="2">
        <f>IFERROR(__xludf.DUMMYFUNCTION("""COMPUTED_VALUE"""),165917.0)</f>
        <v>165917</v>
      </c>
      <c r="B2177" s="2">
        <f>IFERROR(__xludf.DUMMYFUNCTION("""COMPUTED_VALUE"""),0.0)</f>
        <v>0</v>
      </c>
      <c r="C2177" s="2">
        <f>IFERROR(__xludf.DUMMYFUNCTION("""COMPUTED_VALUE"""),7.0)</f>
        <v>7</v>
      </c>
      <c r="D2177" s="3">
        <f>IFERROR(__xludf.DUMMYFUNCTION("""COMPUTED_VALUE"""),7.0)</f>
        <v>7</v>
      </c>
      <c r="E2177" s="2"/>
      <c r="F2177" s="2"/>
    </row>
    <row r="2178">
      <c r="A2178" s="2">
        <f>IFERROR(__xludf.DUMMYFUNCTION("""COMPUTED_VALUE"""),8746.0)</f>
        <v>8746</v>
      </c>
      <c r="B2178" s="2">
        <f>IFERROR(__xludf.DUMMYFUNCTION("""COMPUTED_VALUE"""),1.0)</f>
        <v>1</v>
      </c>
      <c r="C2178" s="2">
        <f>IFERROR(__xludf.DUMMYFUNCTION("""COMPUTED_VALUE"""),-13.0)</f>
        <v>-13</v>
      </c>
      <c r="D2178" s="3">
        <f>IFERROR(__xludf.DUMMYFUNCTION("""COMPUTED_VALUE"""),0.0)</f>
        <v>0</v>
      </c>
      <c r="E2178" s="2"/>
      <c r="F2178" s="2"/>
    </row>
    <row r="2179">
      <c r="A2179" s="2">
        <f>IFERROR(__xludf.DUMMYFUNCTION("""COMPUTED_VALUE"""),122374.0)</f>
        <v>122374</v>
      </c>
      <c r="B2179" s="2">
        <f>IFERROR(__xludf.DUMMYFUNCTION("""COMPUTED_VALUE"""),0.0)</f>
        <v>0</v>
      </c>
      <c r="C2179" s="2">
        <f>IFERROR(__xludf.DUMMYFUNCTION("""COMPUTED_VALUE"""),733.0)</f>
        <v>733</v>
      </c>
      <c r="D2179" s="3">
        <f>IFERROR(__xludf.DUMMYFUNCTION("""COMPUTED_VALUE"""),682.0)</f>
        <v>682</v>
      </c>
      <c r="E2179" s="2"/>
      <c r="F2179" s="2"/>
    </row>
    <row r="2180">
      <c r="A2180" s="2">
        <f>IFERROR(__xludf.DUMMYFUNCTION("""COMPUTED_VALUE"""),118166.0)</f>
        <v>118166</v>
      </c>
      <c r="B2180" s="2">
        <f>IFERROR(__xludf.DUMMYFUNCTION("""COMPUTED_VALUE"""),0.0)</f>
        <v>0</v>
      </c>
      <c r="C2180" s="2">
        <f>IFERROR(__xludf.DUMMYFUNCTION("""COMPUTED_VALUE"""),204.0)</f>
        <v>204</v>
      </c>
      <c r="D2180" s="3">
        <f>IFERROR(__xludf.DUMMYFUNCTION("""COMPUTED_VALUE"""),108.0)</f>
        <v>108</v>
      </c>
      <c r="E2180" s="2"/>
      <c r="F2180" s="2"/>
    </row>
    <row r="2181">
      <c r="A2181" s="2">
        <f>IFERROR(__xludf.DUMMYFUNCTION("""COMPUTED_VALUE"""),42729.0)</f>
        <v>42729</v>
      </c>
      <c r="B2181" s="2">
        <f>IFERROR(__xludf.DUMMYFUNCTION("""COMPUTED_VALUE"""),0.0)</f>
        <v>0</v>
      </c>
      <c r="C2181" s="2">
        <f>IFERROR(__xludf.DUMMYFUNCTION("""COMPUTED_VALUE"""),374.0)</f>
        <v>374</v>
      </c>
      <c r="D2181" s="3">
        <f>IFERROR(__xludf.DUMMYFUNCTION("""COMPUTED_VALUE"""),58.0)</f>
        <v>58</v>
      </c>
      <c r="E2181" s="2"/>
      <c r="F2181" s="2"/>
    </row>
    <row r="2182">
      <c r="A2182" s="2">
        <f>IFERROR(__xludf.DUMMYFUNCTION("""COMPUTED_VALUE"""),182271.0)</f>
        <v>182271</v>
      </c>
      <c r="B2182" s="2">
        <f>IFERROR(__xludf.DUMMYFUNCTION("""COMPUTED_VALUE"""),1.0)</f>
        <v>1</v>
      </c>
      <c r="C2182" s="2">
        <f>IFERROR(__xludf.DUMMYFUNCTION("""COMPUTED_VALUE"""),856.0)</f>
        <v>856</v>
      </c>
      <c r="D2182" s="3">
        <f>IFERROR(__xludf.DUMMYFUNCTION("""COMPUTED_VALUE"""),554.0)</f>
        <v>554</v>
      </c>
      <c r="E2182" s="2"/>
      <c r="F2182" s="2"/>
    </row>
    <row r="2183">
      <c r="A2183" s="2">
        <f>IFERROR(__xludf.DUMMYFUNCTION("""COMPUTED_VALUE"""),109211.0)</f>
        <v>109211</v>
      </c>
      <c r="B2183" s="2">
        <f>IFERROR(__xludf.DUMMYFUNCTION("""COMPUTED_VALUE"""),0.0)</f>
        <v>0</v>
      </c>
      <c r="C2183" s="2">
        <f>IFERROR(__xludf.DUMMYFUNCTION("""COMPUTED_VALUE"""),359.0)</f>
        <v>359</v>
      </c>
      <c r="D2183" s="3">
        <f>IFERROR(__xludf.DUMMYFUNCTION("""COMPUTED_VALUE"""),269.0)</f>
        <v>269</v>
      </c>
      <c r="E2183" s="2"/>
      <c r="F2183" s="2"/>
    </row>
    <row r="2184">
      <c r="A2184" s="2">
        <f>IFERROR(__xludf.DUMMYFUNCTION("""COMPUTED_VALUE"""),192901.0)</f>
        <v>192901</v>
      </c>
      <c r="B2184" s="2">
        <f>IFERROR(__xludf.DUMMYFUNCTION("""COMPUTED_VALUE"""),1.0)</f>
        <v>1</v>
      </c>
      <c r="C2184" s="2">
        <f>IFERROR(__xludf.DUMMYFUNCTION("""COMPUTED_VALUE"""),25.0)</f>
        <v>25</v>
      </c>
      <c r="D2184" s="3">
        <f>IFERROR(__xludf.DUMMYFUNCTION("""COMPUTED_VALUE"""),7.0)</f>
        <v>7</v>
      </c>
      <c r="E2184" s="2"/>
      <c r="F2184" s="2"/>
    </row>
    <row r="2185">
      <c r="A2185" s="2">
        <f>IFERROR(__xludf.DUMMYFUNCTION("""COMPUTED_VALUE"""),122379.0)</f>
        <v>122379</v>
      </c>
      <c r="B2185" s="2">
        <f>IFERROR(__xludf.DUMMYFUNCTION("""COMPUTED_VALUE"""),1.0)</f>
        <v>1</v>
      </c>
      <c r="C2185" s="2">
        <f>IFERROR(__xludf.DUMMYFUNCTION("""COMPUTED_VALUE"""),361.0)</f>
        <v>361</v>
      </c>
      <c r="D2185" s="3">
        <f>IFERROR(__xludf.DUMMYFUNCTION("""COMPUTED_VALUE"""),119.0)</f>
        <v>119</v>
      </c>
      <c r="E2185" s="2"/>
      <c r="F2185" s="2"/>
    </row>
    <row r="2186">
      <c r="A2186" s="2">
        <f>IFERROR(__xludf.DUMMYFUNCTION("""COMPUTED_VALUE"""),109891.0)</f>
        <v>109891</v>
      </c>
      <c r="B2186" s="2">
        <f>IFERROR(__xludf.DUMMYFUNCTION("""COMPUTED_VALUE"""),0.0)</f>
        <v>0</v>
      </c>
      <c r="C2186" s="2">
        <f>IFERROR(__xludf.DUMMYFUNCTION("""COMPUTED_VALUE"""),106.0)</f>
        <v>106</v>
      </c>
      <c r="D2186" s="3">
        <f>IFERROR(__xludf.DUMMYFUNCTION("""COMPUTED_VALUE"""),7.0)</f>
        <v>7</v>
      </c>
      <c r="E2186" s="2"/>
      <c r="F2186" s="2"/>
    </row>
    <row r="2187">
      <c r="A2187" s="2">
        <f>IFERROR(__xludf.DUMMYFUNCTION("""COMPUTED_VALUE"""),125688.0)</f>
        <v>125688</v>
      </c>
      <c r="B2187" s="2">
        <f>IFERROR(__xludf.DUMMYFUNCTION("""COMPUTED_VALUE"""),1.0)</f>
        <v>1</v>
      </c>
      <c r="C2187" s="2">
        <f>IFERROR(__xludf.DUMMYFUNCTION("""COMPUTED_VALUE"""),272.0)</f>
        <v>272</v>
      </c>
      <c r="D2187" s="3">
        <f>IFERROR(__xludf.DUMMYFUNCTION("""COMPUTED_VALUE"""),54.0)</f>
        <v>54</v>
      </c>
      <c r="E2187" s="2"/>
      <c r="F2187" s="2"/>
    </row>
    <row r="2188">
      <c r="A2188" s="2">
        <f>IFERROR(__xludf.DUMMYFUNCTION("""COMPUTED_VALUE"""),68599.0)</f>
        <v>68599</v>
      </c>
      <c r="B2188" s="2">
        <f>IFERROR(__xludf.DUMMYFUNCTION("""COMPUTED_VALUE"""),1.0)</f>
        <v>1</v>
      </c>
      <c r="C2188" s="2">
        <f>IFERROR(__xludf.DUMMYFUNCTION("""COMPUTED_VALUE"""),216.0)</f>
        <v>216</v>
      </c>
      <c r="D2188" s="3">
        <f>IFERROR(__xludf.DUMMYFUNCTION("""COMPUTED_VALUE"""),207.0)</f>
        <v>207</v>
      </c>
      <c r="E2188" s="2"/>
      <c r="F2188" s="2"/>
    </row>
    <row r="2189">
      <c r="A2189" s="2">
        <f>IFERROR(__xludf.DUMMYFUNCTION("""COMPUTED_VALUE"""),104841.0)</f>
        <v>104841</v>
      </c>
      <c r="B2189" s="2">
        <f>IFERROR(__xludf.DUMMYFUNCTION("""COMPUTED_VALUE"""),0.0)</f>
        <v>0</v>
      </c>
      <c r="C2189" s="2">
        <f>IFERROR(__xludf.DUMMYFUNCTION("""COMPUTED_VALUE"""),956.0)</f>
        <v>956</v>
      </c>
      <c r="D2189" s="3">
        <f>IFERROR(__xludf.DUMMYFUNCTION("""COMPUTED_VALUE"""),640.0)</f>
        <v>640</v>
      </c>
      <c r="E2189" s="2"/>
      <c r="F2189" s="2"/>
    </row>
    <row r="2190">
      <c r="A2190" s="2">
        <f>IFERROR(__xludf.DUMMYFUNCTION("""COMPUTED_VALUE"""),20243.0)</f>
        <v>20243</v>
      </c>
      <c r="B2190" s="2">
        <f>IFERROR(__xludf.DUMMYFUNCTION("""COMPUTED_VALUE"""),0.0)</f>
        <v>0</v>
      </c>
      <c r="C2190" s="2">
        <f>IFERROR(__xludf.DUMMYFUNCTION("""COMPUTED_VALUE"""),951.0)</f>
        <v>951</v>
      </c>
      <c r="D2190" s="3">
        <f>IFERROR(__xludf.DUMMYFUNCTION("""COMPUTED_VALUE"""),516.0)</f>
        <v>516</v>
      </c>
      <c r="E2190" s="2"/>
      <c r="F2190" s="2"/>
    </row>
    <row r="2191">
      <c r="A2191" s="2">
        <f>IFERROR(__xludf.DUMMYFUNCTION("""COMPUTED_VALUE"""),10332.0)</f>
        <v>10332</v>
      </c>
      <c r="B2191" s="2">
        <f>IFERROR(__xludf.DUMMYFUNCTION("""COMPUTED_VALUE"""),0.0)</f>
        <v>0</v>
      </c>
      <c r="C2191" s="2">
        <f>IFERROR(__xludf.DUMMYFUNCTION("""COMPUTED_VALUE"""),954.0)</f>
        <v>954</v>
      </c>
      <c r="D2191" s="3">
        <f>IFERROR(__xludf.DUMMYFUNCTION("""COMPUTED_VALUE"""),936.0)</f>
        <v>936</v>
      </c>
      <c r="E2191" s="2"/>
      <c r="F2191" s="2"/>
    </row>
    <row r="2192">
      <c r="A2192" s="2">
        <f>IFERROR(__xludf.DUMMYFUNCTION("""COMPUTED_VALUE"""),7361.0)</f>
        <v>7361</v>
      </c>
      <c r="B2192" s="2">
        <f>IFERROR(__xludf.DUMMYFUNCTION("""COMPUTED_VALUE"""),1.0)</f>
        <v>1</v>
      </c>
      <c r="C2192" s="2">
        <f>IFERROR(__xludf.DUMMYFUNCTION("""COMPUTED_VALUE"""),102.0)</f>
        <v>102</v>
      </c>
      <c r="D2192" s="3">
        <f>IFERROR(__xludf.DUMMYFUNCTION("""COMPUTED_VALUE"""),100.0)</f>
        <v>100</v>
      </c>
      <c r="E2192" s="2"/>
      <c r="F2192" s="2"/>
    </row>
    <row r="2193">
      <c r="A2193" s="2">
        <f>IFERROR(__xludf.DUMMYFUNCTION("""COMPUTED_VALUE"""),21320.0)</f>
        <v>21320</v>
      </c>
      <c r="B2193" s="2">
        <f>IFERROR(__xludf.DUMMYFUNCTION("""COMPUTED_VALUE"""),1.0)</f>
        <v>1</v>
      </c>
      <c r="C2193" s="2">
        <f>IFERROR(__xludf.DUMMYFUNCTION("""COMPUTED_VALUE"""),461.0)</f>
        <v>461</v>
      </c>
      <c r="D2193" s="3">
        <f>IFERROR(__xludf.DUMMYFUNCTION("""COMPUTED_VALUE"""),204.0)</f>
        <v>204</v>
      </c>
      <c r="E2193" s="2"/>
      <c r="F2193" s="2"/>
    </row>
    <row r="2194">
      <c r="A2194" s="2">
        <f>IFERROR(__xludf.DUMMYFUNCTION("""COMPUTED_VALUE"""),7365.0)</f>
        <v>7365</v>
      </c>
      <c r="B2194" s="2">
        <f>IFERROR(__xludf.DUMMYFUNCTION("""COMPUTED_VALUE"""),0.0)</f>
        <v>0</v>
      </c>
      <c r="C2194" s="2">
        <f>IFERROR(__xludf.DUMMYFUNCTION("""COMPUTED_VALUE"""),719.0)</f>
        <v>719</v>
      </c>
      <c r="D2194" s="3">
        <f>IFERROR(__xludf.DUMMYFUNCTION("""COMPUTED_VALUE"""),661.0)</f>
        <v>661</v>
      </c>
      <c r="E2194" s="2"/>
      <c r="F2194" s="2"/>
    </row>
    <row r="2195">
      <c r="A2195" s="2">
        <f>IFERROR(__xludf.DUMMYFUNCTION("""COMPUTED_VALUE"""),7364.0)</f>
        <v>7364</v>
      </c>
      <c r="B2195" s="2">
        <f>IFERROR(__xludf.DUMMYFUNCTION("""COMPUTED_VALUE"""),0.0)</f>
        <v>0</v>
      </c>
      <c r="C2195" s="2">
        <f>IFERROR(__xludf.DUMMYFUNCTION("""COMPUTED_VALUE"""),699.0)</f>
        <v>699</v>
      </c>
      <c r="D2195" s="3">
        <f>IFERROR(__xludf.DUMMYFUNCTION("""COMPUTED_VALUE"""),282.0)</f>
        <v>282</v>
      </c>
      <c r="E2195" s="2"/>
      <c r="F2195" s="2"/>
    </row>
    <row r="2196">
      <c r="A2196" s="2">
        <f>IFERROR(__xludf.DUMMYFUNCTION("""COMPUTED_VALUE"""),7362.0)</f>
        <v>7362</v>
      </c>
      <c r="B2196" s="2">
        <f>IFERROR(__xludf.DUMMYFUNCTION("""COMPUTED_VALUE"""),0.0)</f>
        <v>0</v>
      </c>
      <c r="C2196" s="2">
        <f>IFERROR(__xludf.DUMMYFUNCTION("""COMPUTED_VALUE"""),826.0)</f>
        <v>826</v>
      </c>
      <c r="D2196" s="3">
        <f>IFERROR(__xludf.DUMMYFUNCTION("""COMPUTED_VALUE"""),764.0)</f>
        <v>764</v>
      </c>
      <c r="E2196" s="2"/>
      <c r="F2196" s="2"/>
    </row>
    <row r="2197">
      <c r="A2197" s="2">
        <f>IFERROR(__xludf.DUMMYFUNCTION("""COMPUTED_VALUE"""),117237.0)</f>
        <v>117237</v>
      </c>
      <c r="B2197" s="2">
        <f>IFERROR(__xludf.DUMMYFUNCTION("""COMPUTED_VALUE"""),0.0)</f>
        <v>0</v>
      </c>
      <c r="C2197" s="2">
        <f>IFERROR(__xludf.DUMMYFUNCTION("""COMPUTED_VALUE"""),236.0)</f>
        <v>236</v>
      </c>
      <c r="D2197" s="3">
        <f>IFERROR(__xludf.DUMMYFUNCTION("""COMPUTED_VALUE"""),118.0)</f>
        <v>118</v>
      </c>
      <c r="E2197" s="2"/>
      <c r="F2197" s="2"/>
    </row>
    <row r="2198">
      <c r="A2198" s="2">
        <f>IFERROR(__xludf.DUMMYFUNCTION("""COMPUTED_VALUE"""),19784.0)</f>
        <v>19784</v>
      </c>
      <c r="B2198" s="2">
        <f>IFERROR(__xludf.DUMMYFUNCTION("""COMPUTED_VALUE"""),0.0)</f>
        <v>0</v>
      </c>
      <c r="C2198" s="2">
        <f>IFERROR(__xludf.DUMMYFUNCTION("""COMPUTED_VALUE"""),886.0)</f>
        <v>886</v>
      </c>
      <c r="D2198" s="3">
        <f>IFERROR(__xludf.DUMMYFUNCTION("""COMPUTED_VALUE"""),766.0)</f>
        <v>766</v>
      </c>
      <c r="E2198" s="2"/>
      <c r="F2198" s="2"/>
    </row>
    <row r="2199">
      <c r="A2199" s="2">
        <f>IFERROR(__xludf.DUMMYFUNCTION("""COMPUTED_VALUE"""),9329.0)</f>
        <v>9329</v>
      </c>
      <c r="B2199" s="2">
        <f>IFERROR(__xludf.DUMMYFUNCTION("""COMPUTED_VALUE"""),1.0)</f>
        <v>1</v>
      </c>
      <c r="C2199" s="2">
        <f>IFERROR(__xludf.DUMMYFUNCTION("""COMPUTED_VALUE"""),270.0)</f>
        <v>270</v>
      </c>
      <c r="D2199" s="3">
        <f>IFERROR(__xludf.DUMMYFUNCTION("""COMPUTED_VALUE"""),145.0)</f>
        <v>145</v>
      </c>
      <c r="E2199" s="2"/>
      <c r="F2199" s="2"/>
    </row>
    <row r="2200">
      <c r="A2200" s="2">
        <f>IFERROR(__xludf.DUMMYFUNCTION("""COMPUTED_VALUE"""),10859.0)</f>
        <v>10859</v>
      </c>
      <c r="B2200" s="2">
        <f>IFERROR(__xludf.DUMMYFUNCTION("""COMPUTED_VALUE"""),1.0)</f>
        <v>1</v>
      </c>
      <c r="C2200" s="2">
        <f>IFERROR(__xludf.DUMMYFUNCTION("""COMPUTED_VALUE"""),977.0)</f>
        <v>977</v>
      </c>
      <c r="D2200" s="3">
        <f>IFERROR(__xludf.DUMMYFUNCTION("""COMPUTED_VALUE"""),151.0)</f>
        <v>151</v>
      </c>
      <c r="E2200" s="2"/>
      <c r="F2200" s="2"/>
    </row>
    <row r="2201">
      <c r="A2201" s="2">
        <f>IFERROR(__xludf.DUMMYFUNCTION("""COMPUTED_VALUE"""),118329.0)</f>
        <v>118329</v>
      </c>
      <c r="B2201" s="2">
        <f>IFERROR(__xludf.DUMMYFUNCTION("""COMPUTED_VALUE"""),0.0)</f>
        <v>0</v>
      </c>
      <c r="C2201" s="2">
        <f>IFERROR(__xludf.DUMMYFUNCTION("""COMPUTED_VALUE"""),706.0)</f>
        <v>706</v>
      </c>
      <c r="D2201" s="3">
        <f>IFERROR(__xludf.DUMMYFUNCTION("""COMPUTED_VALUE"""),91.0)</f>
        <v>91</v>
      </c>
      <c r="E2201" s="2"/>
      <c r="F2201" s="2"/>
    </row>
    <row r="2202">
      <c r="A2202" s="2">
        <f>IFERROR(__xludf.DUMMYFUNCTION("""COMPUTED_VALUE"""),105169.0)</f>
        <v>105169</v>
      </c>
      <c r="B2202" s="2">
        <f>IFERROR(__xludf.DUMMYFUNCTION("""COMPUTED_VALUE"""),1.0)</f>
        <v>1</v>
      </c>
      <c r="C2202" s="2">
        <f>IFERROR(__xludf.DUMMYFUNCTION("""COMPUTED_VALUE"""),682.0)</f>
        <v>682</v>
      </c>
      <c r="D2202" s="3">
        <f>IFERROR(__xludf.DUMMYFUNCTION("""COMPUTED_VALUE"""),214.0)</f>
        <v>214</v>
      </c>
      <c r="E2202" s="2"/>
      <c r="F2202" s="2"/>
    </row>
    <row r="2203">
      <c r="A2203" s="2">
        <f>IFERROR(__xludf.DUMMYFUNCTION("""COMPUTED_VALUE"""),90567.0)</f>
        <v>90567</v>
      </c>
      <c r="B2203" s="2">
        <f>IFERROR(__xludf.DUMMYFUNCTION("""COMPUTED_VALUE"""),1.0)</f>
        <v>1</v>
      </c>
      <c r="C2203" s="2">
        <f>IFERROR(__xludf.DUMMYFUNCTION("""COMPUTED_VALUE"""),575.0)</f>
        <v>575</v>
      </c>
      <c r="D2203" s="3">
        <f>IFERROR(__xludf.DUMMYFUNCTION("""COMPUTED_VALUE"""),356.0)</f>
        <v>356</v>
      </c>
      <c r="E2203" s="2"/>
      <c r="F2203" s="2"/>
    </row>
    <row r="2204">
      <c r="A2204" s="2">
        <f>IFERROR(__xludf.DUMMYFUNCTION("""COMPUTED_VALUE"""),46672.0)</f>
        <v>46672</v>
      </c>
      <c r="B2204" s="2">
        <f>IFERROR(__xludf.DUMMYFUNCTION("""COMPUTED_VALUE"""),0.0)</f>
        <v>0</v>
      </c>
      <c r="C2204" s="2">
        <f>IFERROR(__xludf.DUMMYFUNCTION("""COMPUTED_VALUE"""),79.0)</f>
        <v>79</v>
      </c>
      <c r="D2204" s="3">
        <f>IFERROR(__xludf.DUMMYFUNCTION("""COMPUTED_VALUE"""),11.0)</f>
        <v>11</v>
      </c>
      <c r="E2204" s="2"/>
      <c r="F2204" s="2"/>
    </row>
    <row r="2205">
      <c r="A2205" s="2">
        <f>IFERROR(__xludf.DUMMYFUNCTION("""COMPUTED_VALUE"""),118229.0)</f>
        <v>118229</v>
      </c>
      <c r="B2205" s="2">
        <f>IFERROR(__xludf.DUMMYFUNCTION("""COMPUTED_VALUE"""),1.0)</f>
        <v>1</v>
      </c>
      <c r="C2205" s="2">
        <f>IFERROR(__xludf.DUMMYFUNCTION("""COMPUTED_VALUE"""),658.0)</f>
        <v>658</v>
      </c>
      <c r="D2205" s="3">
        <f>IFERROR(__xludf.DUMMYFUNCTION("""COMPUTED_VALUE"""),60.0)</f>
        <v>60</v>
      </c>
      <c r="E2205" s="2"/>
      <c r="F2205" s="2"/>
    </row>
    <row r="2206">
      <c r="A2206" s="2">
        <f>IFERROR(__xludf.DUMMYFUNCTION("""COMPUTED_VALUE"""),193230.0)</f>
        <v>193230</v>
      </c>
      <c r="B2206" s="2">
        <f>IFERROR(__xludf.DUMMYFUNCTION("""COMPUTED_VALUE"""),1.0)</f>
        <v>1</v>
      </c>
      <c r="C2206" s="2">
        <f>IFERROR(__xludf.DUMMYFUNCTION("""COMPUTED_VALUE"""),696.0)</f>
        <v>696</v>
      </c>
      <c r="D2206" s="3">
        <f>IFERROR(__xludf.DUMMYFUNCTION("""COMPUTED_VALUE"""),165.0)</f>
        <v>165</v>
      </c>
      <c r="E2206" s="2"/>
      <c r="F2206" s="2"/>
    </row>
    <row r="2207">
      <c r="A2207" s="2">
        <f>IFERROR(__xludf.DUMMYFUNCTION("""COMPUTED_VALUE"""),193254.0)</f>
        <v>193254</v>
      </c>
      <c r="B2207" s="2">
        <f>IFERROR(__xludf.DUMMYFUNCTION("""COMPUTED_VALUE"""),0.0)</f>
        <v>0</v>
      </c>
      <c r="C2207" s="2">
        <f>IFERROR(__xludf.DUMMYFUNCTION("""COMPUTED_VALUE"""),325.0)</f>
        <v>325</v>
      </c>
      <c r="D2207" s="3">
        <f>IFERROR(__xludf.DUMMYFUNCTION("""COMPUTED_VALUE"""),35.0)</f>
        <v>35</v>
      </c>
      <c r="E2207" s="2"/>
      <c r="F2207" s="2"/>
    </row>
    <row r="2208">
      <c r="A2208" s="2">
        <f>IFERROR(__xludf.DUMMYFUNCTION("""COMPUTED_VALUE"""),113228.0)</f>
        <v>113228</v>
      </c>
      <c r="B2208" s="2">
        <f>IFERROR(__xludf.DUMMYFUNCTION("""COMPUTED_VALUE"""),1.0)</f>
        <v>1</v>
      </c>
      <c r="C2208" s="2">
        <f>IFERROR(__xludf.DUMMYFUNCTION("""COMPUTED_VALUE"""),664.0)</f>
        <v>664</v>
      </c>
      <c r="D2208" s="3">
        <f>IFERROR(__xludf.DUMMYFUNCTION("""COMPUTED_VALUE"""),592.0)</f>
        <v>592</v>
      </c>
      <c r="E2208" s="2"/>
      <c r="F2208" s="2"/>
    </row>
    <row r="2209">
      <c r="A2209" s="2">
        <f>IFERROR(__xludf.DUMMYFUNCTION("""COMPUTED_VALUE"""),193193.0)</f>
        <v>193193</v>
      </c>
      <c r="B2209" s="2">
        <f>IFERROR(__xludf.DUMMYFUNCTION("""COMPUTED_VALUE"""),1.0)</f>
        <v>1</v>
      </c>
      <c r="C2209" s="2">
        <f>IFERROR(__xludf.DUMMYFUNCTION("""COMPUTED_VALUE"""),912.0)</f>
        <v>912</v>
      </c>
      <c r="D2209" s="3">
        <f>IFERROR(__xludf.DUMMYFUNCTION("""COMPUTED_VALUE"""),115.0)</f>
        <v>115</v>
      </c>
      <c r="E2209" s="2"/>
      <c r="F2209" s="2"/>
    </row>
    <row r="2210">
      <c r="A2210" s="2">
        <f>IFERROR(__xludf.DUMMYFUNCTION("""COMPUTED_VALUE"""),113223.0)</f>
        <v>113223</v>
      </c>
      <c r="B2210" s="2">
        <f>IFERROR(__xludf.DUMMYFUNCTION("""COMPUTED_VALUE"""),0.0)</f>
        <v>0</v>
      </c>
      <c r="C2210" s="2">
        <f>IFERROR(__xludf.DUMMYFUNCTION("""COMPUTED_VALUE"""),319.0)</f>
        <v>319</v>
      </c>
      <c r="D2210" s="3">
        <f>IFERROR(__xludf.DUMMYFUNCTION("""COMPUTED_VALUE"""),209.0)</f>
        <v>209</v>
      </c>
      <c r="E2210" s="2"/>
      <c r="F2210" s="2"/>
    </row>
    <row r="2211">
      <c r="A2211" s="2">
        <f>IFERROR(__xludf.DUMMYFUNCTION("""COMPUTED_VALUE"""),113227.0)</f>
        <v>113227</v>
      </c>
      <c r="B2211" s="2">
        <f>IFERROR(__xludf.DUMMYFUNCTION("""COMPUTED_VALUE"""),0.0)</f>
        <v>0</v>
      </c>
      <c r="C2211" s="2">
        <f>IFERROR(__xludf.DUMMYFUNCTION("""COMPUTED_VALUE"""),384.0)</f>
        <v>384</v>
      </c>
      <c r="D2211" s="3">
        <f>IFERROR(__xludf.DUMMYFUNCTION("""COMPUTED_VALUE"""),125.0)</f>
        <v>125</v>
      </c>
      <c r="E2211" s="2"/>
      <c r="F2211" s="2"/>
    </row>
    <row r="2212">
      <c r="A2212" s="2">
        <f>IFERROR(__xludf.DUMMYFUNCTION("""COMPUTED_VALUE"""),114198.0)</f>
        <v>114198</v>
      </c>
      <c r="B2212" s="2">
        <f>IFERROR(__xludf.DUMMYFUNCTION("""COMPUTED_VALUE"""),0.0)</f>
        <v>0</v>
      </c>
      <c r="C2212" s="2">
        <f>IFERROR(__xludf.DUMMYFUNCTION("""COMPUTED_VALUE"""),432.0)</f>
        <v>432</v>
      </c>
      <c r="D2212" s="3">
        <f>IFERROR(__xludf.DUMMYFUNCTION("""COMPUTED_VALUE"""),105.0)</f>
        <v>105</v>
      </c>
      <c r="E2212" s="2"/>
      <c r="F2212" s="2"/>
    </row>
    <row r="2213">
      <c r="A2213" s="2">
        <f>IFERROR(__xludf.DUMMYFUNCTION("""COMPUTED_VALUE"""),100451.0)</f>
        <v>100451</v>
      </c>
      <c r="B2213" s="2">
        <f>IFERROR(__xludf.DUMMYFUNCTION("""COMPUTED_VALUE"""),0.0)</f>
        <v>0</v>
      </c>
      <c r="C2213" s="2">
        <f>IFERROR(__xludf.DUMMYFUNCTION("""COMPUTED_VALUE"""),296.0)</f>
        <v>296</v>
      </c>
      <c r="D2213" s="3">
        <f>IFERROR(__xludf.DUMMYFUNCTION("""COMPUTED_VALUE"""),287.0)</f>
        <v>287</v>
      </c>
      <c r="E2213" s="2"/>
      <c r="F2213" s="2"/>
    </row>
    <row r="2214">
      <c r="A2214" s="2">
        <f>IFERROR(__xludf.DUMMYFUNCTION("""COMPUTED_VALUE"""),100446.0)</f>
        <v>100446</v>
      </c>
      <c r="B2214" s="2">
        <f>IFERROR(__xludf.DUMMYFUNCTION("""COMPUTED_VALUE"""),1.0)</f>
        <v>1</v>
      </c>
      <c r="C2214" s="2">
        <f>IFERROR(__xludf.DUMMYFUNCTION("""COMPUTED_VALUE"""),749.0)</f>
        <v>749</v>
      </c>
      <c r="D2214" s="3">
        <f>IFERROR(__xludf.DUMMYFUNCTION("""COMPUTED_VALUE"""),626.0)</f>
        <v>626</v>
      </c>
      <c r="E2214" s="2"/>
      <c r="F2214" s="2"/>
    </row>
    <row r="2215">
      <c r="A2215" s="2">
        <f>IFERROR(__xludf.DUMMYFUNCTION("""COMPUTED_VALUE"""),193253.0)</f>
        <v>193253</v>
      </c>
      <c r="B2215" s="2">
        <f>IFERROR(__xludf.DUMMYFUNCTION("""COMPUTED_VALUE"""),1.0)</f>
        <v>1</v>
      </c>
      <c r="C2215" s="2">
        <f>IFERROR(__xludf.DUMMYFUNCTION("""COMPUTED_VALUE"""),915.0)</f>
        <v>915</v>
      </c>
      <c r="D2215" s="3">
        <f>IFERROR(__xludf.DUMMYFUNCTION("""COMPUTED_VALUE"""),279.0)</f>
        <v>279</v>
      </c>
      <c r="E2215" s="2"/>
      <c r="F2215" s="2"/>
    </row>
    <row r="2216">
      <c r="A2216" s="2">
        <f>IFERROR(__xludf.DUMMYFUNCTION("""COMPUTED_VALUE"""),82432.0)</f>
        <v>82432</v>
      </c>
      <c r="B2216" s="2">
        <f>IFERROR(__xludf.DUMMYFUNCTION("""COMPUTED_VALUE"""),1.0)</f>
        <v>1</v>
      </c>
      <c r="C2216" s="2">
        <f>IFERROR(__xludf.DUMMYFUNCTION("""COMPUTED_VALUE"""),673.0)</f>
        <v>673</v>
      </c>
      <c r="D2216" s="3">
        <f>IFERROR(__xludf.DUMMYFUNCTION("""COMPUTED_VALUE"""),670.0)</f>
        <v>670</v>
      </c>
      <c r="E2216" s="2"/>
      <c r="F2216" s="2"/>
    </row>
    <row r="2217">
      <c r="A2217" s="2">
        <f>IFERROR(__xludf.DUMMYFUNCTION("""COMPUTED_VALUE"""),122703.0)</f>
        <v>122703</v>
      </c>
      <c r="B2217" s="2">
        <f>IFERROR(__xludf.DUMMYFUNCTION("""COMPUTED_VALUE"""),0.0)</f>
        <v>0</v>
      </c>
      <c r="C2217" s="2">
        <f>IFERROR(__xludf.DUMMYFUNCTION("""COMPUTED_VALUE"""),812.0)</f>
        <v>812</v>
      </c>
      <c r="D2217" s="3">
        <f>IFERROR(__xludf.DUMMYFUNCTION("""COMPUTED_VALUE"""),75.0)</f>
        <v>75</v>
      </c>
      <c r="E2217" s="2"/>
      <c r="F2217" s="2"/>
    </row>
    <row r="2218">
      <c r="A2218" s="2">
        <f>IFERROR(__xludf.DUMMYFUNCTION("""COMPUTED_VALUE"""),129410.0)</f>
        <v>129410</v>
      </c>
      <c r="B2218" s="2">
        <f>IFERROR(__xludf.DUMMYFUNCTION("""COMPUTED_VALUE"""),0.0)</f>
        <v>0</v>
      </c>
      <c r="C2218" s="2">
        <f>IFERROR(__xludf.DUMMYFUNCTION("""COMPUTED_VALUE"""),413.0)</f>
        <v>413</v>
      </c>
      <c r="D2218" s="3">
        <f>IFERROR(__xludf.DUMMYFUNCTION("""COMPUTED_VALUE"""),306.0)</f>
        <v>306</v>
      </c>
      <c r="E2218" s="2"/>
      <c r="F2218" s="2"/>
    </row>
    <row r="2219">
      <c r="A2219" s="2">
        <f>IFERROR(__xludf.DUMMYFUNCTION("""COMPUTED_VALUE"""),103236.0)</f>
        <v>103236</v>
      </c>
      <c r="B2219" s="2">
        <f>IFERROR(__xludf.DUMMYFUNCTION("""COMPUTED_VALUE"""),1.0)</f>
        <v>1</v>
      </c>
      <c r="C2219" s="2">
        <f>IFERROR(__xludf.DUMMYFUNCTION("""COMPUTED_VALUE"""),760.0)</f>
        <v>760</v>
      </c>
      <c r="D2219" s="3">
        <f>IFERROR(__xludf.DUMMYFUNCTION("""COMPUTED_VALUE"""),680.0)</f>
        <v>680</v>
      </c>
      <c r="E2219" s="2"/>
      <c r="F2219" s="2"/>
    </row>
    <row r="2220">
      <c r="A2220" s="2">
        <f>IFERROR(__xludf.DUMMYFUNCTION("""COMPUTED_VALUE"""),127534.0)</f>
        <v>127534</v>
      </c>
      <c r="B2220" s="2">
        <f>IFERROR(__xludf.DUMMYFUNCTION("""COMPUTED_VALUE"""),1.0)</f>
        <v>1</v>
      </c>
      <c r="C2220" s="2">
        <f>IFERROR(__xludf.DUMMYFUNCTION("""COMPUTED_VALUE"""),342.0)</f>
        <v>342</v>
      </c>
      <c r="D2220" s="3">
        <f>IFERROR(__xludf.DUMMYFUNCTION("""COMPUTED_VALUE"""),52.0)</f>
        <v>52</v>
      </c>
      <c r="E2220" s="2"/>
      <c r="F2220" s="2"/>
    </row>
    <row r="2221">
      <c r="A2221" s="2">
        <f>IFERROR(__xludf.DUMMYFUNCTION("""COMPUTED_VALUE"""),100906.0)</f>
        <v>100906</v>
      </c>
      <c r="B2221" s="2">
        <f>IFERROR(__xludf.DUMMYFUNCTION("""COMPUTED_VALUE"""),1.0)</f>
        <v>1</v>
      </c>
      <c r="C2221" s="2">
        <f>IFERROR(__xludf.DUMMYFUNCTION("""COMPUTED_VALUE"""),695.0)</f>
        <v>695</v>
      </c>
      <c r="D2221" s="3">
        <f>IFERROR(__xludf.DUMMYFUNCTION("""COMPUTED_VALUE"""),687.0)</f>
        <v>687</v>
      </c>
      <c r="E2221" s="2"/>
      <c r="F2221" s="2"/>
    </row>
    <row r="2222">
      <c r="A2222" s="2">
        <f>IFERROR(__xludf.DUMMYFUNCTION("""COMPUTED_VALUE"""),109098.0)</f>
        <v>109098</v>
      </c>
      <c r="B2222" s="2">
        <f>IFERROR(__xludf.DUMMYFUNCTION("""COMPUTED_VALUE"""),0.0)</f>
        <v>0</v>
      </c>
      <c r="C2222" s="2">
        <f>IFERROR(__xludf.DUMMYFUNCTION("""COMPUTED_VALUE"""),565.0)</f>
        <v>565</v>
      </c>
      <c r="D2222" s="3">
        <f>IFERROR(__xludf.DUMMYFUNCTION("""COMPUTED_VALUE"""),97.0)</f>
        <v>97</v>
      </c>
      <c r="E2222" s="2"/>
      <c r="F2222" s="2"/>
    </row>
    <row r="2223">
      <c r="A2223" s="2">
        <f>IFERROR(__xludf.DUMMYFUNCTION("""COMPUTED_VALUE"""),155864.0)</f>
        <v>155864</v>
      </c>
      <c r="B2223" s="2">
        <f>IFERROR(__xludf.DUMMYFUNCTION("""COMPUTED_VALUE"""),1.0)</f>
        <v>1</v>
      </c>
      <c r="C2223" s="2">
        <f>IFERROR(__xludf.DUMMYFUNCTION("""COMPUTED_VALUE"""),348.0)</f>
        <v>348</v>
      </c>
      <c r="D2223" s="3">
        <f>IFERROR(__xludf.DUMMYFUNCTION("""COMPUTED_VALUE"""),221.0)</f>
        <v>221</v>
      </c>
      <c r="E2223" s="2"/>
      <c r="F2223" s="2"/>
    </row>
    <row r="2224">
      <c r="A2224" s="2">
        <f>IFERROR(__xludf.DUMMYFUNCTION("""COMPUTED_VALUE"""),120314.0)</f>
        <v>120314</v>
      </c>
      <c r="B2224" s="2">
        <f>IFERROR(__xludf.DUMMYFUNCTION("""COMPUTED_VALUE"""),1.0)</f>
        <v>1</v>
      </c>
      <c r="C2224" s="2">
        <f>IFERROR(__xludf.DUMMYFUNCTION("""COMPUTED_VALUE"""),56.0)</f>
        <v>56</v>
      </c>
      <c r="D2224" s="3">
        <f>IFERROR(__xludf.DUMMYFUNCTION("""COMPUTED_VALUE"""),2.0)</f>
        <v>2</v>
      </c>
      <c r="E2224" s="2"/>
      <c r="F2224" s="2"/>
    </row>
    <row r="2225">
      <c r="A2225" s="2">
        <f>IFERROR(__xludf.DUMMYFUNCTION("""COMPUTED_VALUE"""),199547.0)</f>
        <v>199547</v>
      </c>
      <c r="B2225" s="2">
        <f>IFERROR(__xludf.DUMMYFUNCTION("""COMPUTED_VALUE"""),0.0)</f>
        <v>0</v>
      </c>
      <c r="C2225" s="2">
        <f>IFERROR(__xludf.DUMMYFUNCTION("""COMPUTED_VALUE"""),566.0)</f>
        <v>566</v>
      </c>
      <c r="D2225" s="3">
        <f>IFERROR(__xludf.DUMMYFUNCTION("""COMPUTED_VALUE"""),382.0)</f>
        <v>382</v>
      </c>
      <c r="E2225" s="2"/>
      <c r="F2225" s="2"/>
    </row>
    <row r="2226">
      <c r="A2226" s="2">
        <f>IFERROR(__xludf.DUMMYFUNCTION("""COMPUTED_VALUE"""),110540.0)</f>
        <v>110540</v>
      </c>
      <c r="B2226" s="2">
        <f>IFERROR(__xludf.DUMMYFUNCTION("""COMPUTED_VALUE"""),0.0)</f>
        <v>0</v>
      </c>
      <c r="C2226" s="2">
        <f>IFERROR(__xludf.DUMMYFUNCTION("""COMPUTED_VALUE"""),959.0)</f>
        <v>959</v>
      </c>
      <c r="D2226" s="3">
        <f>IFERROR(__xludf.DUMMYFUNCTION("""COMPUTED_VALUE"""),480.0)</f>
        <v>480</v>
      </c>
      <c r="E2226" s="2"/>
      <c r="F2226" s="2"/>
    </row>
    <row r="2227">
      <c r="A2227" s="2">
        <f>IFERROR(__xludf.DUMMYFUNCTION("""COMPUTED_VALUE"""),182190.0)</f>
        <v>182190</v>
      </c>
      <c r="B2227" s="2">
        <f>IFERROR(__xludf.DUMMYFUNCTION("""COMPUTED_VALUE"""),1.0)</f>
        <v>1</v>
      </c>
      <c r="C2227" s="2">
        <f>IFERROR(__xludf.DUMMYFUNCTION("""COMPUTED_VALUE"""),511.0)</f>
        <v>511</v>
      </c>
      <c r="D2227" s="3">
        <f>IFERROR(__xludf.DUMMYFUNCTION("""COMPUTED_VALUE"""),53.0)</f>
        <v>53</v>
      </c>
      <c r="E2227" s="2"/>
      <c r="F2227" s="2"/>
    </row>
    <row r="2228">
      <c r="A2228" s="2">
        <f>IFERROR(__xludf.DUMMYFUNCTION("""COMPUTED_VALUE"""),79341.0)</f>
        <v>79341</v>
      </c>
      <c r="B2228" s="2">
        <f>IFERROR(__xludf.DUMMYFUNCTION("""COMPUTED_VALUE"""),0.0)</f>
        <v>0</v>
      </c>
      <c r="C2228" s="2">
        <f>IFERROR(__xludf.DUMMYFUNCTION("""COMPUTED_VALUE"""),319.0)</f>
        <v>319</v>
      </c>
      <c r="D2228" s="3">
        <f>IFERROR(__xludf.DUMMYFUNCTION("""COMPUTED_VALUE"""),300.0)</f>
        <v>300</v>
      </c>
      <c r="E2228" s="2"/>
      <c r="F2228" s="2"/>
    </row>
    <row r="2229">
      <c r="A2229" s="2">
        <f>IFERROR(__xludf.DUMMYFUNCTION("""COMPUTED_VALUE"""),108969.0)</f>
        <v>108969</v>
      </c>
      <c r="B2229" s="2">
        <f>IFERROR(__xludf.DUMMYFUNCTION("""COMPUTED_VALUE"""),1.0)</f>
        <v>1</v>
      </c>
      <c r="C2229" s="2">
        <f>IFERROR(__xludf.DUMMYFUNCTION("""COMPUTED_VALUE"""),823.0)</f>
        <v>823</v>
      </c>
      <c r="D2229" s="3">
        <f>IFERROR(__xludf.DUMMYFUNCTION("""COMPUTED_VALUE"""),569.0)</f>
        <v>569</v>
      </c>
      <c r="E2229" s="2"/>
      <c r="F2229" s="2"/>
    </row>
    <row r="2230">
      <c r="A2230" s="2">
        <f>IFERROR(__xludf.DUMMYFUNCTION("""COMPUTED_VALUE"""),79939.0)</f>
        <v>79939</v>
      </c>
      <c r="B2230" s="2">
        <f>IFERROR(__xludf.DUMMYFUNCTION("""COMPUTED_VALUE"""),1.0)</f>
        <v>1</v>
      </c>
      <c r="C2230" s="2">
        <f>IFERROR(__xludf.DUMMYFUNCTION("""COMPUTED_VALUE"""),515.0)</f>
        <v>515</v>
      </c>
      <c r="D2230" s="3">
        <f>IFERROR(__xludf.DUMMYFUNCTION("""COMPUTED_VALUE"""),258.0)</f>
        <v>258</v>
      </c>
      <c r="E2230" s="2"/>
      <c r="F2230" s="2"/>
    </row>
    <row r="2231">
      <c r="A2231" s="2">
        <f>IFERROR(__xludf.DUMMYFUNCTION("""COMPUTED_VALUE"""),11733.0)</f>
        <v>11733</v>
      </c>
      <c r="B2231" s="2">
        <f>IFERROR(__xludf.DUMMYFUNCTION("""COMPUTED_VALUE"""),1.0)</f>
        <v>1</v>
      </c>
      <c r="C2231" s="2">
        <f>IFERROR(__xludf.DUMMYFUNCTION("""COMPUTED_VALUE"""),934.0)</f>
        <v>934</v>
      </c>
      <c r="D2231" s="3">
        <f>IFERROR(__xludf.DUMMYFUNCTION("""COMPUTED_VALUE"""),757.0)</f>
        <v>757</v>
      </c>
      <c r="E2231" s="2"/>
      <c r="F2231" s="2"/>
    </row>
    <row r="2232">
      <c r="A2232" s="2">
        <f>IFERROR(__xludf.DUMMYFUNCTION("""COMPUTED_VALUE"""),12647.0)</f>
        <v>12647</v>
      </c>
      <c r="B2232" s="2">
        <f>IFERROR(__xludf.DUMMYFUNCTION("""COMPUTED_VALUE"""),1.0)</f>
        <v>1</v>
      </c>
      <c r="C2232" s="2">
        <f>IFERROR(__xludf.DUMMYFUNCTION("""COMPUTED_VALUE"""),330.0)</f>
        <v>330</v>
      </c>
      <c r="D2232" s="3">
        <f>IFERROR(__xludf.DUMMYFUNCTION("""COMPUTED_VALUE"""),147.0)</f>
        <v>147</v>
      </c>
      <c r="E2232" s="2"/>
      <c r="F2232" s="2"/>
    </row>
    <row r="2233">
      <c r="A2233" s="2">
        <f>IFERROR(__xludf.DUMMYFUNCTION("""COMPUTED_VALUE"""),122292.0)</f>
        <v>122292</v>
      </c>
      <c r="B2233" s="2">
        <f>IFERROR(__xludf.DUMMYFUNCTION("""COMPUTED_VALUE"""),1.0)</f>
        <v>1</v>
      </c>
      <c r="C2233" s="2">
        <f>IFERROR(__xludf.DUMMYFUNCTION("""COMPUTED_VALUE"""),918.0)</f>
        <v>918</v>
      </c>
      <c r="D2233" s="3">
        <f>IFERROR(__xludf.DUMMYFUNCTION("""COMPUTED_VALUE"""),316.0)</f>
        <v>316</v>
      </c>
      <c r="E2233" s="2"/>
      <c r="F2233" s="2"/>
    </row>
    <row r="2234">
      <c r="A2234" s="2">
        <f>IFERROR(__xludf.DUMMYFUNCTION("""COMPUTED_VALUE"""),117433.0)</f>
        <v>117433</v>
      </c>
      <c r="B2234" s="2">
        <f>IFERROR(__xludf.DUMMYFUNCTION("""COMPUTED_VALUE"""),0.0)</f>
        <v>0</v>
      </c>
      <c r="C2234" s="2">
        <f>IFERROR(__xludf.DUMMYFUNCTION("""COMPUTED_VALUE"""),788.0)</f>
        <v>788</v>
      </c>
      <c r="D2234" s="3">
        <f>IFERROR(__xludf.DUMMYFUNCTION("""COMPUTED_VALUE"""),523.0)</f>
        <v>523</v>
      </c>
      <c r="E2234" s="2"/>
      <c r="F2234" s="2"/>
    </row>
    <row r="2235">
      <c r="A2235" s="2">
        <f>IFERROR(__xludf.DUMMYFUNCTION("""COMPUTED_VALUE"""),127018.0)</f>
        <v>127018</v>
      </c>
      <c r="B2235" s="2">
        <f>IFERROR(__xludf.DUMMYFUNCTION("""COMPUTED_VALUE"""),1.0)</f>
        <v>1</v>
      </c>
      <c r="C2235" s="2">
        <f>IFERROR(__xludf.DUMMYFUNCTION("""COMPUTED_VALUE"""),657.0)</f>
        <v>657</v>
      </c>
      <c r="D2235" s="3">
        <f>IFERROR(__xludf.DUMMYFUNCTION("""COMPUTED_VALUE"""),384.0)</f>
        <v>384</v>
      </c>
      <c r="E2235" s="2"/>
      <c r="F2235" s="2"/>
    </row>
    <row r="2236">
      <c r="A2236" s="2">
        <f>IFERROR(__xludf.DUMMYFUNCTION("""COMPUTED_VALUE"""),9705.0)</f>
        <v>9705</v>
      </c>
      <c r="B2236" s="2">
        <f>IFERROR(__xludf.DUMMYFUNCTION("""COMPUTED_VALUE"""),0.0)</f>
        <v>0</v>
      </c>
      <c r="C2236" s="2">
        <f>IFERROR(__xludf.DUMMYFUNCTION("""COMPUTED_VALUE"""),567.0)</f>
        <v>567</v>
      </c>
      <c r="D2236" s="3">
        <f>IFERROR(__xludf.DUMMYFUNCTION("""COMPUTED_VALUE"""),29.0)</f>
        <v>29</v>
      </c>
      <c r="E2236" s="2"/>
      <c r="F2236" s="2"/>
    </row>
    <row r="2237">
      <c r="A2237" s="2">
        <f>IFERROR(__xludf.DUMMYFUNCTION("""COMPUTED_VALUE"""),9703.0)</f>
        <v>9703</v>
      </c>
      <c r="B2237" s="2">
        <f>IFERROR(__xludf.DUMMYFUNCTION("""COMPUTED_VALUE"""),1.0)</f>
        <v>1</v>
      </c>
      <c r="C2237" s="2">
        <f>IFERROR(__xludf.DUMMYFUNCTION("""COMPUTED_VALUE"""),880.0)</f>
        <v>880</v>
      </c>
      <c r="D2237" s="3">
        <f>IFERROR(__xludf.DUMMYFUNCTION("""COMPUTED_VALUE"""),415.0)</f>
        <v>415</v>
      </c>
      <c r="E2237" s="2"/>
      <c r="F2237" s="2"/>
    </row>
    <row r="2238">
      <c r="A2238" s="2">
        <f>IFERROR(__xludf.DUMMYFUNCTION("""COMPUTED_VALUE"""),86005.0)</f>
        <v>86005</v>
      </c>
      <c r="B2238" s="2">
        <f>IFERROR(__xludf.DUMMYFUNCTION("""COMPUTED_VALUE"""),0.0)</f>
        <v>0</v>
      </c>
      <c r="C2238" s="2">
        <f>IFERROR(__xludf.DUMMYFUNCTION("""COMPUTED_VALUE"""),-6.0)</f>
        <v>-6</v>
      </c>
      <c r="D2238" s="3">
        <f>IFERROR(__xludf.DUMMYFUNCTION("""COMPUTED_VALUE"""),0.0)</f>
        <v>0</v>
      </c>
      <c r="E2238" s="2"/>
      <c r="F2238" s="2"/>
    </row>
    <row r="2239">
      <c r="A2239" s="2">
        <f>IFERROR(__xludf.DUMMYFUNCTION("""COMPUTED_VALUE"""),9704.0)</f>
        <v>9704</v>
      </c>
      <c r="B2239" s="2">
        <f>IFERROR(__xludf.DUMMYFUNCTION("""COMPUTED_VALUE"""),0.0)</f>
        <v>0</v>
      </c>
      <c r="C2239" s="2">
        <f>IFERROR(__xludf.DUMMYFUNCTION("""COMPUTED_VALUE"""),762.0)</f>
        <v>762</v>
      </c>
      <c r="D2239" s="3">
        <f>IFERROR(__xludf.DUMMYFUNCTION("""COMPUTED_VALUE"""),598.0)</f>
        <v>598</v>
      </c>
      <c r="E2239" s="2"/>
      <c r="F2239" s="2"/>
    </row>
    <row r="2240">
      <c r="A2240" s="2">
        <f>IFERROR(__xludf.DUMMYFUNCTION("""COMPUTED_VALUE"""),182189.0)</f>
        <v>182189</v>
      </c>
      <c r="B2240" s="2">
        <f>IFERROR(__xludf.DUMMYFUNCTION("""COMPUTED_VALUE"""),1.0)</f>
        <v>1</v>
      </c>
      <c r="C2240" s="2">
        <f>IFERROR(__xludf.DUMMYFUNCTION("""COMPUTED_VALUE"""),513.0)</f>
        <v>513</v>
      </c>
      <c r="D2240" s="3">
        <f>IFERROR(__xludf.DUMMYFUNCTION("""COMPUTED_VALUE"""),152.0)</f>
        <v>152</v>
      </c>
      <c r="E2240" s="2"/>
      <c r="F2240" s="2"/>
    </row>
    <row r="2241">
      <c r="A2241" s="2">
        <f>IFERROR(__xludf.DUMMYFUNCTION("""COMPUTED_VALUE"""),29452.0)</f>
        <v>29452</v>
      </c>
      <c r="B2241" s="2">
        <f>IFERROR(__xludf.DUMMYFUNCTION("""COMPUTED_VALUE"""),1.0)</f>
        <v>1</v>
      </c>
      <c r="C2241" s="2">
        <f>IFERROR(__xludf.DUMMYFUNCTION("""COMPUTED_VALUE"""),384.0)</f>
        <v>384</v>
      </c>
      <c r="D2241" s="3">
        <f>IFERROR(__xludf.DUMMYFUNCTION("""COMPUTED_VALUE"""),122.0)</f>
        <v>122</v>
      </c>
      <c r="E2241" s="2"/>
      <c r="F2241" s="2"/>
    </row>
    <row r="2242">
      <c r="A2242" s="2">
        <f>IFERROR(__xludf.DUMMYFUNCTION("""COMPUTED_VALUE"""),122485.0)</f>
        <v>122485</v>
      </c>
      <c r="B2242" s="2">
        <f>IFERROR(__xludf.DUMMYFUNCTION("""COMPUTED_VALUE"""),0.0)</f>
        <v>0</v>
      </c>
      <c r="C2242" s="2">
        <f>IFERROR(__xludf.DUMMYFUNCTION("""COMPUTED_VALUE"""),678.0)</f>
        <v>678</v>
      </c>
      <c r="D2242" s="3">
        <f>IFERROR(__xludf.DUMMYFUNCTION("""COMPUTED_VALUE"""),224.0)</f>
        <v>224</v>
      </c>
      <c r="E2242" s="2"/>
      <c r="F2242" s="2"/>
    </row>
    <row r="2243">
      <c r="A2243" s="2">
        <f>IFERROR(__xludf.DUMMYFUNCTION("""COMPUTED_VALUE"""),9706.0)</f>
        <v>9706</v>
      </c>
      <c r="B2243" s="2">
        <f>IFERROR(__xludf.DUMMYFUNCTION("""COMPUTED_VALUE"""),1.0)</f>
        <v>1</v>
      </c>
      <c r="C2243" s="2">
        <f>IFERROR(__xludf.DUMMYFUNCTION("""COMPUTED_VALUE"""),301.0)</f>
        <v>301</v>
      </c>
      <c r="D2243" s="3">
        <f>IFERROR(__xludf.DUMMYFUNCTION("""COMPUTED_VALUE"""),37.0)</f>
        <v>37</v>
      </c>
      <c r="E2243" s="2"/>
      <c r="F2243" s="2"/>
    </row>
    <row r="2244">
      <c r="A2244" s="2">
        <f>IFERROR(__xludf.DUMMYFUNCTION("""COMPUTED_VALUE"""),12648.0)</f>
        <v>12648</v>
      </c>
      <c r="B2244" s="2">
        <f>IFERROR(__xludf.DUMMYFUNCTION("""COMPUTED_VALUE"""),1.0)</f>
        <v>1</v>
      </c>
      <c r="C2244" s="2">
        <f>IFERROR(__xludf.DUMMYFUNCTION("""COMPUTED_VALUE"""),286.0)</f>
        <v>286</v>
      </c>
      <c r="D2244" s="3">
        <f>IFERROR(__xludf.DUMMYFUNCTION("""COMPUTED_VALUE"""),128.0)</f>
        <v>128</v>
      </c>
      <c r="E2244" s="2"/>
      <c r="F2244" s="2"/>
    </row>
    <row r="2245">
      <c r="A2245" s="2">
        <f>IFERROR(__xludf.DUMMYFUNCTION("""COMPUTED_VALUE"""),93899.0)</f>
        <v>93899</v>
      </c>
      <c r="B2245" s="2">
        <f>IFERROR(__xludf.DUMMYFUNCTION("""COMPUTED_VALUE"""),1.0)</f>
        <v>1</v>
      </c>
      <c r="C2245" s="2">
        <f>IFERROR(__xludf.DUMMYFUNCTION("""COMPUTED_VALUE"""),44.0)</f>
        <v>44</v>
      </c>
      <c r="D2245" s="3">
        <f>IFERROR(__xludf.DUMMYFUNCTION("""COMPUTED_VALUE"""),15.0)</f>
        <v>15</v>
      </c>
      <c r="E2245" s="2"/>
      <c r="F2245" s="2"/>
    </row>
    <row r="2246">
      <c r="A2246" s="2">
        <f>IFERROR(__xludf.DUMMYFUNCTION("""COMPUTED_VALUE"""),28890.0)</f>
        <v>28890</v>
      </c>
      <c r="B2246" s="2">
        <f>IFERROR(__xludf.DUMMYFUNCTION("""COMPUTED_VALUE"""),1.0)</f>
        <v>1</v>
      </c>
      <c r="C2246" s="2">
        <f>IFERROR(__xludf.DUMMYFUNCTION("""COMPUTED_VALUE"""),518.0)</f>
        <v>518</v>
      </c>
      <c r="D2246" s="3">
        <f>IFERROR(__xludf.DUMMYFUNCTION("""COMPUTED_VALUE"""),504.0)</f>
        <v>504</v>
      </c>
      <c r="E2246" s="2"/>
      <c r="F2246" s="2"/>
    </row>
    <row r="2247">
      <c r="A2247" s="2">
        <f>IFERROR(__xludf.DUMMYFUNCTION("""COMPUTED_VALUE"""),17638.0)</f>
        <v>17638</v>
      </c>
      <c r="B2247" s="2">
        <f>IFERROR(__xludf.DUMMYFUNCTION("""COMPUTED_VALUE"""),1.0)</f>
        <v>1</v>
      </c>
      <c r="C2247" s="2">
        <f>IFERROR(__xludf.DUMMYFUNCTION("""COMPUTED_VALUE"""),922.0)</f>
        <v>922</v>
      </c>
      <c r="D2247" s="3">
        <f>IFERROR(__xludf.DUMMYFUNCTION("""COMPUTED_VALUE"""),199.0)</f>
        <v>199</v>
      </c>
      <c r="E2247" s="2"/>
      <c r="F2247" s="2"/>
    </row>
    <row r="2248">
      <c r="A2248" s="2">
        <f>IFERROR(__xludf.DUMMYFUNCTION("""COMPUTED_VALUE"""),28888.0)</f>
        <v>28888</v>
      </c>
      <c r="B2248" s="2">
        <f>IFERROR(__xludf.DUMMYFUNCTION("""COMPUTED_VALUE"""),1.0)</f>
        <v>1</v>
      </c>
      <c r="C2248" s="2">
        <f>IFERROR(__xludf.DUMMYFUNCTION("""COMPUTED_VALUE"""),818.0)</f>
        <v>818</v>
      </c>
      <c r="D2248" s="3">
        <f>IFERROR(__xludf.DUMMYFUNCTION("""COMPUTED_VALUE"""),709.0)</f>
        <v>709</v>
      </c>
      <c r="E2248" s="2"/>
      <c r="F2248" s="2"/>
    </row>
    <row r="2249">
      <c r="A2249" s="2">
        <f>IFERROR(__xludf.DUMMYFUNCTION("""COMPUTED_VALUE"""),29455.0)</f>
        <v>29455</v>
      </c>
      <c r="B2249" s="2">
        <f>IFERROR(__xludf.DUMMYFUNCTION("""COMPUTED_VALUE"""),0.0)</f>
        <v>0</v>
      </c>
      <c r="C2249" s="2">
        <f>IFERROR(__xludf.DUMMYFUNCTION("""COMPUTED_VALUE"""),827.0)</f>
        <v>827</v>
      </c>
      <c r="D2249" s="3">
        <f>IFERROR(__xludf.DUMMYFUNCTION("""COMPUTED_VALUE"""),816.0)</f>
        <v>816</v>
      </c>
      <c r="E2249" s="2"/>
      <c r="F2249" s="2"/>
    </row>
    <row r="2250">
      <c r="A2250" s="2">
        <f>IFERROR(__xludf.DUMMYFUNCTION("""COMPUTED_VALUE"""),93895.0)</f>
        <v>93895</v>
      </c>
      <c r="B2250" s="2">
        <f>IFERROR(__xludf.DUMMYFUNCTION("""COMPUTED_VALUE"""),1.0)</f>
        <v>1</v>
      </c>
      <c r="C2250" s="2">
        <f>IFERROR(__xludf.DUMMYFUNCTION("""COMPUTED_VALUE"""),68.0)</f>
        <v>68</v>
      </c>
      <c r="D2250" s="3">
        <f>IFERROR(__xludf.DUMMYFUNCTION("""COMPUTED_VALUE"""),52.0)</f>
        <v>52</v>
      </c>
      <c r="E2250" s="2"/>
      <c r="F2250" s="2"/>
    </row>
    <row r="2251">
      <c r="A2251" s="2">
        <f>IFERROR(__xludf.DUMMYFUNCTION("""COMPUTED_VALUE"""),116417.0)</f>
        <v>116417</v>
      </c>
      <c r="B2251" s="2">
        <f>IFERROR(__xludf.DUMMYFUNCTION("""COMPUTED_VALUE"""),1.0)</f>
        <v>1</v>
      </c>
      <c r="C2251" s="2">
        <f>IFERROR(__xludf.DUMMYFUNCTION("""COMPUTED_VALUE"""),81.0)</f>
        <v>81</v>
      </c>
      <c r="D2251" s="3">
        <f>IFERROR(__xludf.DUMMYFUNCTION("""COMPUTED_VALUE"""),21.0)</f>
        <v>21</v>
      </c>
      <c r="E2251" s="2"/>
      <c r="F2251" s="2"/>
    </row>
    <row r="2252">
      <c r="A2252" s="2">
        <f>IFERROR(__xludf.DUMMYFUNCTION("""COMPUTED_VALUE"""),1971.0)</f>
        <v>1971</v>
      </c>
      <c r="B2252" s="2">
        <f>IFERROR(__xludf.DUMMYFUNCTION("""COMPUTED_VALUE"""),1.0)</f>
        <v>1</v>
      </c>
      <c r="C2252" s="2">
        <f>IFERROR(__xludf.DUMMYFUNCTION("""COMPUTED_VALUE"""),611.0)</f>
        <v>611</v>
      </c>
      <c r="D2252" s="3">
        <f>IFERROR(__xludf.DUMMYFUNCTION("""COMPUTED_VALUE"""),41.0)</f>
        <v>41</v>
      </c>
      <c r="E2252" s="2"/>
      <c r="F2252" s="2"/>
    </row>
    <row r="2253">
      <c r="A2253" s="2">
        <f>IFERROR(__xludf.DUMMYFUNCTION("""COMPUTED_VALUE"""),12649.0)</f>
        <v>12649</v>
      </c>
      <c r="B2253" s="2">
        <f>IFERROR(__xludf.DUMMYFUNCTION("""COMPUTED_VALUE"""),0.0)</f>
        <v>0</v>
      </c>
      <c r="C2253" s="2">
        <f>IFERROR(__xludf.DUMMYFUNCTION("""COMPUTED_VALUE"""),287.0)</f>
        <v>287</v>
      </c>
      <c r="D2253" s="3">
        <f>IFERROR(__xludf.DUMMYFUNCTION("""COMPUTED_VALUE"""),132.0)</f>
        <v>132</v>
      </c>
      <c r="E2253" s="2"/>
      <c r="F2253" s="2"/>
    </row>
    <row r="2254">
      <c r="A2254" s="2">
        <f>IFERROR(__xludf.DUMMYFUNCTION("""COMPUTED_VALUE"""),93896.0)</f>
        <v>93896</v>
      </c>
      <c r="B2254" s="2">
        <f>IFERROR(__xludf.DUMMYFUNCTION("""COMPUTED_VALUE"""),0.0)</f>
        <v>0</v>
      </c>
      <c r="C2254" s="2">
        <f>IFERROR(__xludf.DUMMYFUNCTION("""COMPUTED_VALUE"""),557.0)</f>
        <v>557</v>
      </c>
      <c r="D2254" s="3">
        <f>IFERROR(__xludf.DUMMYFUNCTION("""COMPUTED_VALUE"""),116.0)</f>
        <v>116</v>
      </c>
      <c r="E2254" s="2"/>
      <c r="F2254" s="2"/>
    </row>
    <row r="2255">
      <c r="A2255" s="2">
        <f>IFERROR(__xludf.DUMMYFUNCTION("""COMPUTED_VALUE"""),44386.0)</f>
        <v>44386</v>
      </c>
      <c r="B2255" s="2">
        <f>IFERROR(__xludf.DUMMYFUNCTION("""COMPUTED_VALUE"""),0.0)</f>
        <v>0</v>
      </c>
      <c r="C2255" s="2">
        <f>IFERROR(__xludf.DUMMYFUNCTION("""COMPUTED_VALUE"""),304.0)</f>
        <v>304</v>
      </c>
      <c r="D2255" s="3">
        <f>IFERROR(__xludf.DUMMYFUNCTION("""COMPUTED_VALUE"""),83.0)</f>
        <v>83</v>
      </c>
      <c r="E2255" s="2"/>
      <c r="F2255" s="2"/>
    </row>
    <row r="2256">
      <c r="A2256" s="2">
        <f>IFERROR(__xludf.DUMMYFUNCTION("""COMPUTED_VALUE"""),188156.0)</f>
        <v>188156</v>
      </c>
      <c r="B2256" s="2">
        <f>IFERROR(__xludf.DUMMYFUNCTION("""COMPUTED_VALUE"""),0.0)</f>
        <v>0</v>
      </c>
      <c r="C2256" s="2">
        <f>IFERROR(__xludf.DUMMYFUNCTION("""COMPUTED_VALUE"""),59.0)</f>
        <v>59</v>
      </c>
      <c r="D2256" s="3">
        <f>IFERROR(__xludf.DUMMYFUNCTION("""COMPUTED_VALUE"""),3.0)</f>
        <v>3</v>
      </c>
      <c r="E2256" s="2"/>
      <c r="F2256" s="2"/>
    </row>
    <row r="2257">
      <c r="A2257" s="2">
        <f>IFERROR(__xludf.DUMMYFUNCTION("""COMPUTED_VALUE"""),7360.0)</f>
        <v>7360</v>
      </c>
      <c r="B2257" s="2">
        <f>IFERROR(__xludf.DUMMYFUNCTION("""COMPUTED_VALUE"""),1.0)</f>
        <v>1</v>
      </c>
      <c r="C2257" s="2">
        <f>IFERROR(__xludf.DUMMYFUNCTION("""COMPUTED_VALUE"""),486.0)</f>
        <v>486</v>
      </c>
      <c r="D2257" s="3">
        <f>IFERROR(__xludf.DUMMYFUNCTION("""COMPUTED_VALUE"""),298.0)</f>
        <v>298</v>
      </c>
      <c r="E2257" s="2"/>
      <c r="F2257" s="2"/>
    </row>
    <row r="2258">
      <c r="A2258" s="2">
        <f>IFERROR(__xludf.DUMMYFUNCTION("""COMPUTED_VALUE"""),79323.0)</f>
        <v>79323</v>
      </c>
      <c r="B2258" s="2">
        <f>IFERROR(__xludf.DUMMYFUNCTION("""COMPUTED_VALUE"""),0.0)</f>
        <v>0</v>
      </c>
      <c r="C2258" s="2">
        <f>IFERROR(__xludf.DUMMYFUNCTION("""COMPUTED_VALUE"""),566.0)</f>
        <v>566</v>
      </c>
      <c r="D2258" s="3">
        <f>IFERROR(__xludf.DUMMYFUNCTION("""COMPUTED_VALUE"""),489.0)</f>
        <v>489</v>
      </c>
      <c r="E2258" s="2"/>
      <c r="F2258" s="2"/>
    </row>
    <row r="2259">
      <c r="A2259" s="2">
        <f>IFERROR(__xludf.DUMMYFUNCTION("""COMPUTED_VALUE"""),72015.0)</f>
        <v>72015</v>
      </c>
      <c r="B2259" s="2">
        <f>IFERROR(__xludf.DUMMYFUNCTION("""COMPUTED_VALUE"""),0.0)</f>
        <v>0</v>
      </c>
      <c r="C2259" s="2">
        <f>IFERROR(__xludf.DUMMYFUNCTION("""COMPUTED_VALUE"""),901.0)</f>
        <v>901</v>
      </c>
      <c r="D2259" s="3">
        <f>IFERROR(__xludf.DUMMYFUNCTION("""COMPUTED_VALUE"""),535.0)</f>
        <v>535</v>
      </c>
      <c r="E2259" s="2"/>
      <c r="F2259" s="2"/>
    </row>
    <row r="2260">
      <c r="A2260" s="2">
        <f>IFERROR(__xludf.DUMMYFUNCTION("""COMPUTED_VALUE"""),44310.0)</f>
        <v>44310</v>
      </c>
      <c r="B2260" s="2">
        <f>IFERROR(__xludf.DUMMYFUNCTION("""COMPUTED_VALUE"""),1.0)</f>
        <v>1</v>
      </c>
      <c r="C2260" s="2">
        <f>IFERROR(__xludf.DUMMYFUNCTION("""COMPUTED_VALUE"""),948.0)</f>
        <v>948</v>
      </c>
      <c r="D2260" s="3">
        <f>IFERROR(__xludf.DUMMYFUNCTION("""COMPUTED_VALUE"""),542.0)</f>
        <v>542</v>
      </c>
      <c r="E2260" s="2"/>
      <c r="F2260" s="2"/>
    </row>
    <row r="2261">
      <c r="A2261" s="2">
        <f>IFERROR(__xludf.DUMMYFUNCTION("""COMPUTED_VALUE"""),77044.0)</f>
        <v>77044</v>
      </c>
      <c r="B2261" s="2">
        <f>IFERROR(__xludf.DUMMYFUNCTION("""COMPUTED_VALUE"""),0.0)</f>
        <v>0</v>
      </c>
      <c r="C2261" s="2">
        <f>IFERROR(__xludf.DUMMYFUNCTION("""COMPUTED_VALUE"""),179.0)</f>
        <v>179</v>
      </c>
      <c r="D2261" s="3">
        <f>IFERROR(__xludf.DUMMYFUNCTION("""COMPUTED_VALUE"""),137.0)</f>
        <v>137</v>
      </c>
      <c r="E2261" s="2"/>
      <c r="F2261" s="2"/>
    </row>
    <row r="2262">
      <c r="A2262" s="2">
        <f>IFERROR(__xludf.DUMMYFUNCTION("""COMPUTED_VALUE"""),120636.0)</f>
        <v>120636</v>
      </c>
      <c r="B2262" s="2">
        <f>IFERROR(__xludf.DUMMYFUNCTION("""COMPUTED_VALUE"""),1.0)</f>
        <v>1</v>
      </c>
      <c r="C2262" s="2">
        <f>IFERROR(__xludf.DUMMYFUNCTION("""COMPUTED_VALUE"""),759.0)</f>
        <v>759</v>
      </c>
      <c r="D2262" s="3">
        <f>IFERROR(__xludf.DUMMYFUNCTION("""COMPUTED_VALUE"""),432.0)</f>
        <v>432</v>
      </c>
      <c r="E2262" s="2"/>
      <c r="F2262" s="2"/>
    </row>
    <row r="2263">
      <c r="A2263" s="2">
        <f>IFERROR(__xludf.DUMMYFUNCTION("""COMPUTED_VALUE"""),92662.0)</f>
        <v>92662</v>
      </c>
      <c r="B2263" s="2">
        <f>IFERROR(__xludf.DUMMYFUNCTION("""COMPUTED_VALUE"""),0.0)</f>
        <v>0</v>
      </c>
      <c r="C2263" s="2">
        <f>IFERROR(__xludf.DUMMYFUNCTION("""COMPUTED_VALUE"""),482.0)</f>
        <v>482</v>
      </c>
      <c r="D2263" s="3">
        <f>IFERROR(__xludf.DUMMYFUNCTION("""COMPUTED_VALUE"""),460.0)</f>
        <v>460</v>
      </c>
      <c r="E2263" s="2"/>
      <c r="F2263" s="2"/>
    </row>
    <row r="2264">
      <c r="A2264" s="2">
        <f>IFERROR(__xludf.DUMMYFUNCTION("""COMPUTED_VALUE"""),117263.0)</f>
        <v>117263</v>
      </c>
      <c r="B2264" s="2">
        <f>IFERROR(__xludf.DUMMYFUNCTION("""COMPUTED_VALUE"""),1.0)</f>
        <v>1</v>
      </c>
      <c r="C2264" s="2">
        <f>IFERROR(__xludf.DUMMYFUNCTION("""COMPUTED_VALUE"""),624.0)</f>
        <v>624</v>
      </c>
      <c r="D2264" s="3">
        <f>IFERROR(__xludf.DUMMYFUNCTION("""COMPUTED_VALUE"""),73.0)</f>
        <v>73</v>
      </c>
      <c r="E2264" s="2"/>
      <c r="F2264" s="2"/>
    </row>
    <row r="2265">
      <c r="A2265" s="2">
        <f>IFERROR(__xludf.DUMMYFUNCTION("""COMPUTED_VALUE"""),117261.0)</f>
        <v>117261</v>
      </c>
      <c r="B2265" s="2">
        <f>IFERROR(__xludf.DUMMYFUNCTION("""COMPUTED_VALUE"""),0.0)</f>
        <v>0</v>
      </c>
      <c r="C2265" s="2">
        <f>IFERROR(__xludf.DUMMYFUNCTION("""COMPUTED_VALUE"""),517.0)</f>
        <v>517</v>
      </c>
      <c r="D2265" s="3">
        <f>IFERROR(__xludf.DUMMYFUNCTION("""COMPUTED_VALUE"""),155.0)</f>
        <v>155</v>
      </c>
      <c r="E2265" s="2"/>
      <c r="F2265" s="2"/>
    </row>
    <row r="2266">
      <c r="A2266" s="2">
        <f>IFERROR(__xludf.DUMMYFUNCTION("""COMPUTED_VALUE"""),10644.0)</f>
        <v>10644</v>
      </c>
      <c r="B2266" s="2">
        <f>IFERROR(__xludf.DUMMYFUNCTION("""COMPUTED_VALUE"""),1.0)</f>
        <v>1</v>
      </c>
      <c r="C2266" s="2">
        <f>IFERROR(__xludf.DUMMYFUNCTION("""COMPUTED_VALUE"""),266.0)</f>
        <v>266</v>
      </c>
      <c r="D2266" s="3">
        <f>IFERROR(__xludf.DUMMYFUNCTION("""COMPUTED_VALUE"""),50.0)</f>
        <v>50</v>
      </c>
      <c r="E2266" s="2"/>
      <c r="F2266" s="2"/>
    </row>
    <row r="2267">
      <c r="A2267" s="2">
        <f>IFERROR(__xludf.DUMMYFUNCTION("""COMPUTED_VALUE"""),102457.0)</f>
        <v>102457</v>
      </c>
      <c r="B2267" s="2">
        <f>IFERROR(__xludf.DUMMYFUNCTION("""COMPUTED_VALUE"""),1.0)</f>
        <v>1</v>
      </c>
      <c r="C2267" s="2">
        <f>IFERROR(__xludf.DUMMYFUNCTION("""COMPUTED_VALUE"""),677.0)</f>
        <v>677</v>
      </c>
      <c r="D2267" s="3">
        <f>IFERROR(__xludf.DUMMYFUNCTION("""COMPUTED_VALUE"""),497.0)</f>
        <v>497</v>
      </c>
      <c r="E2267" s="2"/>
      <c r="F2267" s="2"/>
    </row>
    <row r="2268">
      <c r="A2268" s="2">
        <f>IFERROR(__xludf.DUMMYFUNCTION("""COMPUTED_VALUE"""),117419.0)</f>
        <v>117419</v>
      </c>
      <c r="B2268" s="2">
        <f>IFERROR(__xludf.DUMMYFUNCTION("""COMPUTED_VALUE"""),1.0)</f>
        <v>1</v>
      </c>
      <c r="C2268" s="2">
        <f>IFERROR(__xludf.DUMMYFUNCTION("""COMPUTED_VALUE"""),785.0)</f>
        <v>785</v>
      </c>
      <c r="D2268" s="3">
        <f>IFERROR(__xludf.DUMMYFUNCTION("""COMPUTED_VALUE"""),287.0)</f>
        <v>287</v>
      </c>
      <c r="E2268" s="2"/>
      <c r="F2268" s="2"/>
    </row>
    <row r="2269">
      <c r="A2269" s="2">
        <f>IFERROR(__xludf.DUMMYFUNCTION("""COMPUTED_VALUE"""),150939.0)</f>
        <v>150939</v>
      </c>
      <c r="B2269" s="2">
        <f>IFERROR(__xludf.DUMMYFUNCTION("""COMPUTED_VALUE"""),1.0)</f>
        <v>1</v>
      </c>
      <c r="C2269" s="2">
        <f>IFERROR(__xludf.DUMMYFUNCTION("""COMPUTED_VALUE"""),723.0)</f>
        <v>723</v>
      </c>
      <c r="D2269" s="3">
        <f>IFERROR(__xludf.DUMMYFUNCTION("""COMPUTED_VALUE"""),235.0)</f>
        <v>235</v>
      </c>
      <c r="E2269" s="2"/>
      <c r="F2269" s="2"/>
    </row>
    <row r="2270">
      <c r="A2270" s="2">
        <f>IFERROR(__xludf.DUMMYFUNCTION("""COMPUTED_VALUE"""),10517.0)</f>
        <v>10517</v>
      </c>
      <c r="B2270" s="2">
        <f>IFERROR(__xludf.DUMMYFUNCTION("""COMPUTED_VALUE"""),1.0)</f>
        <v>1</v>
      </c>
      <c r="C2270" s="2">
        <f>IFERROR(__xludf.DUMMYFUNCTION("""COMPUTED_VALUE"""),84.0)</f>
        <v>84</v>
      </c>
      <c r="D2270" s="3">
        <f>IFERROR(__xludf.DUMMYFUNCTION("""COMPUTED_VALUE"""),20.0)</f>
        <v>20</v>
      </c>
      <c r="E2270" s="2"/>
      <c r="F2270" s="2"/>
    </row>
    <row r="2271">
      <c r="A2271" s="2">
        <f>IFERROR(__xludf.DUMMYFUNCTION("""COMPUTED_VALUE"""),79109.0)</f>
        <v>79109</v>
      </c>
      <c r="B2271" s="2">
        <f>IFERROR(__xludf.DUMMYFUNCTION("""COMPUTED_VALUE"""),1.0)</f>
        <v>1</v>
      </c>
      <c r="C2271" s="2">
        <f>IFERROR(__xludf.DUMMYFUNCTION("""COMPUTED_VALUE"""),399.0)</f>
        <v>399</v>
      </c>
      <c r="D2271" s="3">
        <f>IFERROR(__xludf.DUMMYFUNCTION("""COMPUTED_VALUE"""),142.0)</f>
        <v>142</v>
      </c>
      <c r="E2271" s="2"/>
      <c r="F2271" s="2"/>
    </row>
    <row r="2272">
      <c r="A2272" s="2">
        <f>IFERROR(__xludf.DUMMYFUNCTION("""COMPUTED_VALUE"""),118918.0)</f>
        <v>118918</v>
      </c>
      <c r="B2272" s="2">
        <f>IFERROR(__xludf.DUMMYFUNCTION("""COMPUTED_VALUE"""),1.0)</f>
        <v>1</v>
      </c>
      <c r="C2272" s="2">
        <f>IFERROR(__xludf.DUMMYFUNCTION("""COMPUTED_VALUE"""),577.0)</f>
        <v>577</v>
      </c>
      <c r="D2272" s="3">
        <f>IFERROR(__xludf.DUMMYFUNCTION("""COMPUTED_VALUE"""),376.0)</f>
        <v>376</v>
      </c>
      <c r="E2272" s="2"/>
      <c r="F2272" s="2"/>
    </row>
    <row r="2273">
      <c r="A2273" s="2">
        <f>IFERROR(__xludf.DUMMYFUNCTION("""COMPUTED_VALUE"""),102456.0)</f>
        <v>102456</v>
      </c>
      <c r="B2273" s="2">
        <f>IFERROR(__xludf.DUMMYFUNCTION("""COMPUTED_VALUE"""),1.0)</f>
        <v>1</v>
      </c>
      <c r="C2273" s="2">
        <f>IFERROR(__xludf.DUMMYFUNCTION("""COMPUTED_VALUE"""),30.0)</f>
        <v>30</v>
      </c>
      <c r="D2273" s="3">
        <f>IFERROR(__xludf.DUMMYFUNCTION("""COMPUTED_VALUE"""),14.0)</f>
        <v>14</v>
      </c>
      <c r="E2273" s="2"/>
      <c r="F2273" s="2"/>
    </row>
    <row r="2274">
      <c r="A2274" s="2">
        <f>IFERROR(__xludf.DUMMYFUNCTION("""COMPUTED_VALUE"""),155865.0)</f>
        <v>155865</v>
      </c>
      <c r="B2274" s="2">
        <f>IFERROR(__xludf.DUMMYFUNCTION("""COMPUTED_VALUE"""),0.0)</f>
        <v>0</v>
      </c>
      <c r="C2274" s="2">
        <f>IFERROR(__xludf.DUMMYFUNCTION("""COMPUTED_VALUE"""),85.0)</f>
        <v>85</v>
      </c>
      <c r="D2274" s="3">
        <f>IFERROR(__xludf.DUMMYFUNCTION("""COMPUTED_VALUE"""),34.0)</f>
        <v>34</v>
      </c>
      <c r="E2274" s="2"/>
      <c r="F2274" s="2"/>
    </row>
    <row r="2275">
      <c r="A2275" s="2">
        <f>IFERROR(__xludf.DUMMYFUNCTION("""COMPUTED_VALUE"""),100443.0)</f>
        <v>100443</v>
      </c>
      <c r="B2275" s="2">
        <f>IFERROR(__xludf.DUMMYFUNCTION("""COMPUTED_VALUE"""),0.0)</f>
        <v>0</v>
      </c>
      <c r="C2275" s="2">
        <f>IFERROR(__xludf.DUMMYFUNCTION("""COMPUTED_VALUE"""),311.0)</f>
        <v>311</v>
      </c>
      <c r="D2275" s="3">
        <f>IFERROR(__xludf.DUMMYFUNCTION("""COMPUTED_VALUE"""),254.0)</f>
        <v>254</v>
      </c>
      <c r="E2275" s="2"/>
      <c r="F2275" s="2"/>
    </row>
    <row r="2276">
      <c r="A2276" s="2">
        <f>IFERROR(__xludf.DUMMYFUNCTION("""COMPUTED_VALUE"""),93833.0)</f>
        <v>93833</v>
      </c>
      <c r="B2276" s="2">
        <f>IFERROR(__xludf.DUMMYFUNCTION("""COMPUTED_VALUE"""),0.0)</f>
        <v>0</v>
      </c>
      <c r="C2276" s="2">
        <f>IFERROR(__xludf.DUMMYFUNCTION("""COMPUTED_VALUE"""),381.0)</f>
        <v>381</v>
      </c>
      <c r="D2276" s="3">
        <f>IFERROR(__xludf.DUMMYFUNCTION("""COMPUTED_VALUE"""),110.0)</f>
        <v>110</v>
      </c>
      <c r="E2276" s="2"/>
      <c r="F2276" s="2"/>
    </row>
    <row r="2277">
      <c r="A2277" s="2">
        <f>IFERROR(__xludf.DUMMYFUNCTION("""COMPUTED_VALUE"""),76693.0)</f>
        <v>76693</v>
      </c>
      <c r="B2277" s="2">
        <f>IFERROR(__xludf.DUMMYFUNCTION("""COMPUTED_VALUE"""),1.0)</f>
        <v>1</v>
      </c>
      <c r="C2277" s="2">
        <f>IFERROR(__xludf.DUMMYFUNCTION("""COMPUTED_VALUE"""),9.0)</f>
        <v>9</v>
      </c>
      <c r="D2277" s="3">
        <f>IFERROR(__xludf.DUMMYFUNCTION("""COMPUTED_VALUE"""),2.0)</f>
        <v>2</v>
      </c>
      <c r="E2277" s="2"/>
      <c r="F2277" s="2"/>
    </row>
    <row r="2278">
      <c r="A2278" s="2">
        <f>IFERROR(__xludf.DUMMYFUNCTION("""COMPUTED_VALUE"""),100441.0)</f>
        <v>100441</v>
      </c>
      <c r="B2278" s="2">
        <f>IFERROR(__xludf.DUMMYFUNCTION("""COMPUTED_VALUE"""),0.0)</f>
        <v>0</v>
      </c>
      <c r="C2278" s="2">
        <f>IFERROR(__xludf.DUMMYFUNCTION("""COMPUTED_VALUE"""),913.0)</f>
        <v>913</v>
      </c>
      <c r="D2278" s="3">
        <f>IFERROR(__xludf.DUMMYFUNCTION("""COMPUTED_VALUE"""),119.0)</f>
        <v>119</v>
      </c>
      <c r="E2278" s="2"/>
      <c r="F2278" s="2"/>
    </row>
    <row r="2279">
      <c r="A2279" s="2">
        <f>IFERROR(__xludf.DUMMYFUNCTION("""COMPUTED_VALUE"""),103230.0)</f>
        <v>103230</v>
      </c>
      <c r="B2279" s="2">
        <f>IFERROR(__xludf.DUMMYFUNCTION("""COMPUTED_VALUE"""),1.0)</f>
        <v>1</v>
      </c>
      <c r="C2279" s="2">
        <f>IFERROR(__xludf.DUMMYFUNCTION("""COMPUTED_VALUE"""),808.0)</f>
        <v>808</v>
      </c>
      <c r="D2279" s="3">
        <f>IFERROR(__xludf.DUMMYFUNCTION("""COMPUTED_VALUE"""),468.0)</f>
        <v>468</v>
      </c>
      <c r="E2279" s="2"/>
      <c r="F2279" s="2"/>
    </row>
    <row r="2280">
      <c r="A2280" s="2">
        <f>IFERROR(__xludf.DUMMYFUNCTION("""COMPUTED_VALUE"""),117902.0)</f>
        <v>117902</v>
      </c>
      <c r="B2280" s="2">
        <f>IFERROR(__xludf.DUMMYFUNCTION("""COMPUTED_VALUE"""),1.0)</f>
        <v>1</v>
      </c>
      <c r="C2280" s="2">
        <f>IFERROR(__xludf.DUMMYFUNCTION("""COMPUTED_VALUE"""),142.0)</f>
        <v>142</v>
      </c>
      <c r="D2280" s="3">
        <f>IFERROR(__xludf.DUMMYFUNCTION("""COMPUTED_VALUE"""),51.0)</f>
        <v>51</v>
      </c>
      <c r="E2280" s="2"/>
      <c r="F2280" s="2"/>
    </row>
    <row r="2281">
      <c r="A2281" s="2">
        <f>IFERROR(__xludf.DUMMYFUNCTION("""COMPUTED_VALUE"""),105745.0)</f>
        <v>105745</v>
      </c>
      <c r="B2281" s="2">
        <f>IFERROR(__xludf.DUMMYFUNCTION("""COMPUTED_VALUE"""),0.0)</f>
        <v>0</v>
      </c>
      <c r="C2281" s="2">
        <f>IFERROR(__xludf.DUMMYFUNCTION("""COMPUTED_VALUE"""),721.0)</f>
        <v>721</v>
      </c>
      <c r="D2281" s="3">
        <f>IFERROR(__xludf.DUMMYFUNCTION("""COMPUTED_VALUE"""),180.0)</f>
        <v>180</v>
      </c>
      <c r="E2281" s="2"/>
      <c r="F2281" s="2"/>
    </row>
    <row r="2282">
      <c r="A2282" s="2">
        <f>IFERROR(__xludf.DUMMYFUNCTION("""COMPUTED_VALUE"""),100811.0)</f>
        <v>100811</v>
      </c>
      <c r="B2282" s="2">
        <f>IFERROR(__xludf.DUMMYFUNCTION("""COMPUTED_VALUE"""),0.0)</f>
        <v>0</v>
      </c>
      <c r="C2282" s="2">
        <f>IFERROR(__xludf.DUMMYFUNCTION("""COMPUTED_VALUE"""),790.0)</f>
        <v>790</v>
      </c>
      <c r="D2282" s="3">
        <f>IFERROR(__xludf.DUMMYFUNCTION("""COMPUTED_VALUE"""),457.0)</f>
        <v>457</v>
      </c>
      <c r="E2282" s="2"/>
      <c r="F2282" s="2"/>
    </row>
    <row r="2283">
      <c r="A2283" s="2">
        <f>IFERROR(__xludf.DUMMYFUNCTION("""COMPUTED_VALUE"""),102505.0)</f>
        <v>102505</v>
      </c>
      <c r="B2283" s="2">
        <f>IFERROR(__xludf.DUMMYFUNCTION("""COMPUTED_VALUE"""),0.0)</f>
        <v>0</v>
      </c>
      <c r="C2283" s="2">
        <f>IFERROR(__xludf.DUMMYFUNCTION("""COMPUTED_VALUE"""),880.0)</f>
        <v>880</v>
      </c>
      <c r="D2283" s="3">
        <f>IFERROR(__xludf.DUMMYFUNCTION("""COMPUTED_VALUE"""),859.0)</f>
        <v>859</v>
      </c>
      <c r="E2283" s="2"/>
      <c r="F2283" s="2"/>
    </row>
    <row r="2284">
      <c r="A2284" s="2">
        <f>IFERROR(__xludf.DUMMYFUNCTION("""COMPUTED_VALUE"""),121317.0)</f>
        <v>121317</v>
      </c>
      <c r="B2284" s="2">
        <f>IFERROR(__xludf.DUMMYFUNCTION("""COMPUTED_VALUE"""),0.0)</f>
        <v>0</v>
      </c>
      <c r="C2284" s="2">
        <f>IFERROR(__xludf.DUMMYFUNCTION("""COMPUTED_VALUE"""),426.0)</f>
        <v>426</v>
      </c>
      <c r="D2284" s="3">
        <f>IFERROR(__xludf.DUMMYFUNCTION("""COMPUTED_VALUE"""),217.0)</f>
        <v>217</v>
      </c>
      <c r="E2284" s="2"/>
      <c r="F2284" s="2"/>
    </row>
    <row r="2285">
      <c r="A2285" s="2">
        <f>IFERROR(__xludf.DUMMYFUNCTION("""COMPUTED_VALUE"""),121318.0)</f>
        <v>121318</v>
      </c>
      <c r="B2285" s="2">
        <f>IFERROR(__xludf.DUMMYFUNCTION("""COMPUTED_VALUE"""),1.0)</f>
        <v>1</v>
      </c>
      <c r="C2285" s="2">
        <f>IFERROR(__xludf.DUMMYFUNCTION("""COMPUTED_VALUE"""),280.0)</f>
        <v>280</v>
      </c>
      <c r="D2285" s="3">
        <f>IFERROR(__xludf.DUMMYFUNCTION("""COMPUTED_VALUE"""),137.0)</f>
        <v>137</v>
      </c>
      <c r="E2285" s="2"/>
      <c r="F2285" s="2"/>
    </row>
    <row r="2286">
      <c r="A2286" s="2">
        <f>IFERROR(__xludf.DUMMYFUNCTION("""COMPUTED_VALUE"""),95155.0)</f>
        <v>95155</v>
      </c>
      <c r="B2286" s="2">
        <f>IFERROR(__xludf.DUMMYFUNCTION("""COMPUTED_VALUE"""),1.0)</f>
        <v>1</v>
      </c>
      <c r="C2286" s="2">
        <f>IFERROR(__xludf.DUMMYFUNCTION("""COMPUTED_VALUE"""),626.0)</f>
        <v>626</v>
      </c>
      <c r="D2286" s="3">
        <f>IFERROR(__xludf.DUMMYFUNCTION("""COMPUTED_VALUE"""),376.0)</f>
        <v>376</v>
      </c>
      <c r="E2286" s="2"/>
      <c r="F2286" s="2"/>
    </row>
    <row r="2287">
      <c r="A2287" s="2">
        <f>IFERROR(__xludf.DUMMYFUNCTION("""COMPUTED_VALUE"""),25199.0)</f>
        <v>25199</v>
      </c>
      <c r="B2287" s="2">
        <f>IFERROR(__xludf.DUMMYFUNCTION("""COMPUTED_VALUE"""),0.0)</f>
        <v>0</v>
      </c>
      <c r="C2287" s="2">
        <f>IFERROR(__xludf.DUMMYFUNCTION("""COMPUTED_VALUE"""),82.0)</f>
        <v>82</v>
      </c>
      <c r="D2287" s="3">
        <f>IFERROR(__xludf.DUMMYFUNCTION("""COMPUTED_VALUE"""),11.0)</f>
        <v>11</v>
      </c>
      <c r="E2287" s="2"/>
      <c r="F2287" s="2"/>
    </row>
    <row r="2288">
      <c r="A2288" s="2">
        <f>IFERROR(__xludf.DUMMYFUNCTION("""COMPUTED_VALUE"""),156020.0)</f>
        <v>156020</v>
      </c>
      <c r="B2288" s="2">
        <f>IFERROR(__xludf.DUMMYFUNCTION("""COMPUTED_VALUE"""),1.0)</f>
        <v>1</v>
      </c>
      <c r="C2288" s="2">
        <f>IFERROR(__xludf.DUMMYFUNCTION("""COMPUTED_VALUE"""),404.0)</f>
        <v>404</v>
      </c>
      <c r="D2288" s="3">
        <f>IFERROR(__xludf.DUMMYFUNCTION("""COMPUTED_VALUE"""),99.0)</f>
        <v>99</v>
      </c>
      <c r="E2288" s="2"/>
      <c r="F2288" s="2"/>
    </row>
    <row r="2289">
      <c r="A2289" s="2">
        <f>IFERROR(__xludf.DUMMYFUNCTION("""COMPUTED_VALUE"""),28587.0)</f>
        <v>28587</v>
      </c>
      <c r="B2289" s="2">
        <f>IFERROR(__xludf.DUMMYFUNCTION("""COMPUTED_VALUE"""),0.0)</f>
        <v>0</v>
      </c>
      <c r="C2289" s="2">
        <f>IFERROR(__xludf.DUMMYFUNCTION("""COMPUTED_VALUE"""),818.0)</f>
        <v>818</v>
      </c>
      <c r="D2289" s="3">
        <f>IFERROR(__xludf.DUMMYFUNCTION("""COMPUTED_VALUE"""),609.0)</f>
        <v>609</v>
      </c>
      <c r="E2289" s="2"/>
      <c r="F2289" s="2"/>
    </row>
    <row r="2290">
      <c r="A2290" s="2">
        <f>IFERROR(__xludf.DUMMYFUNCTION("""COMPUTED_VALUE"""),16050.0)</f>
        <v>16050</v>
      </c>
      <c r="B2290" s="2">
        <f>IFERROR(__xludf.DUMMYFUNCTION("""COMPUTED_VALUE"""),0.0)</f>
        <v>0</v>
      </c>
      <c r="C2290" s="2">
        <f>IFERROR(__xludf.DUMMYFUNCTION("""COMPUTED_VALUE"""),611.0)</f>
        <v>611</v>
      </c>
      <c r="D2290" s="3">
        <f>IFERROR(__xludf.DUMMYFUNCTION("""COMPUTED_VALUE"""),437.0)</f>
        <v>437</v>
      </c>
      <c r="E2290" s="2"/>
      <c r="F2290" s="2"/>
    </row>
    <row r="2291">
      <c r="A2291" s="2">
        <f>IFERROR(__xludf.DUMMYFUNCTION("""COMPUTED_VALUE"""),119453.0)</f>
        <v>119453</v>
      </c>
      <c r="B2291" s="2">
        <f>IFERROR(__xludf.DUMMYFUNCTION("""COMPUTED_VALUE"""),1.0)</f>
        <v>1</v>
      </c>
      <c r="C2291" s="2">
        <f>IFERROR(__xludf.DUMMYFUNCTION("""COMPUTED_VALUE"""),635.0)</f>
        <v>635</v>
      </c>
      <c r="D2291" s="3">
        <f>IFERROR(__xludf.DUMMYFUNCTION("""COMPUTED_VALUE"""),199.0)</f>
        <v>199</v>
      </c>
      <c r="E2291" s="2"/>
      <c r="F2291" s="2"/>
    </row>
    <row r="2292">
      <c r="A2292" s="2">
        <f>IFERROR(__xludf.DUMMYFUNCTION("""COMPUTED_VALUE"""),113070.0)</f>
        <v>113070</v>
      </c>
      <c r="B2292" s="2">
        <f>IFERROR(__xludf.DUMMYFUNCTION("""COMPUTED_VALUE"""),0.0)</f>
        <v>0</v>
      </c>
      <c r="C2292" s="2">
        <f>IFERROR(__xludf.DUMMYFUNCTION("""COMPUTED_VALUE"""),371.0)</f>
        <v>371</v>
      </c>
      <c r="D2292" s="3">
        <f>IFERROR(__xludf.DUMMYFUNCTION("""COMPUTED_VALUE"""),183.0)</f>
        <v>183</v>
      </c>
      <c r="E2292" s="2"/>
      <c r="F2292" s="2"/>
    </row>
    <row r="2293">
      <c r="A2293" s="2">
        <f>IFERROR(__xludf.DUMMYFUNCTION("""COMPUTED_VALUE"""),99097.0)</f>
        <v>99097</v>
      </c>
      <c r="B2293" s="2">
        <f>IFERROR(__xludf.DUMMYFUNCTION("""COMPUTED_VALUE"""),0.0)</f>
        <v>0</v>
      </c>
      <c r="C2293" s="2">
        <f>IFERROR(__xludf.DUMMYFUNCTION("""COMPUTED_VALUE"""),301.0)</f>
        <v>301</v>
      </c>
      <c r="D2293" s="3">
        <f>IFERROR(__xludf.DUMMYFUNCTION("""COMPUTED_VALUE"""),65.0)</f>
        <v>65</v>
      </c>
      <c r="E2293" s="2"/>
      <c r="F2293" s="2"/>
    </row>
    <row r="2294">
      <c r="A2294" s="2">
        <f>IFERROR(__xludf.DUMMYFUNCTION("""COMPUTED_VALUE"""),99099.0)</f>
        <v>99099</v>
      </c>
      <c r="B2294" s="2">
        <f>IFERROR(__xludf.DUMMYFUNCTION("""COMPUTED_VALUE"""),1.0)</f>
        <v>1</v>
      </c>
      <c r="C2294" s="2">
        <f>IFERROR(__xludf.DUMMYFUNCTION("""COMPUTED_VALUE"""),351.0)</f>
        <v>351</v>
      </c>
      <c r="D2294" s="3">
        <f>IFERROR(__xludf.DUMMYFUNCTION("""COMPUTED_VALUE"""),11.0)</f>
        <v>11</v>
      </c>
      <c r="E2294" s="2"/>
      <c r="F2294" s="2"/>
    </row>
    <row r="2295">
      <c r="A2295" s="2">
        <f>IFERROR(__xludf.DUMMYFUNCTION("""COMPUTED_VALUE"""),104998.0)</f>
        <v>104998</v>
      </c>
      <c r="B2295" s="2">
        <f>IFERROR(__xludf.DUMMYFUNCTION("""COMPUTED_VALUE"""),1.0)</f>
        <v>1</v>
      </c>
      <c r="C2295" s="2">
        <f>IFERROR(__xludf.DUMMYFUNCTION("""COMPUTED_VALUE"""),15.0)</f>
        <v>15</v>
      </c>
      <c r="D2295" s="3">
        <f>IFERROR(__xludf.DUMMYFUNCTION("""COMPUTED_VALUE"""),2.0)</f>
        <v>2</v>
      </c>
      <c r="E2295" s="2"/>
      <c r="F2295" s="2"/>
    </row>
    <row r="2296">
      <c r="A2296" s="2">
        <f>IFERROR(__xludf.DUMMYFUNCTION("""COMPUTED_VALUE"""),110524.0)</f>
        <v>110524</v>
      </c>
      <c r="B2296" s="2">
        <f>IFERROR(__xludf.DUMMYFUNCTION("""COMPUTED_VALUE"""),1.0)</f>
        <v>1</v>
      </c>
      <c r="C2296" s="2">
        <f>IFERROR(__xludf.DUMMYFUNCTION("""COMPUTED_VALUE"""),563.0)</f>
        <v>563</v>
      </c>
      <c r="D2296" s="3">
        <f>IFERROR(__xludf.DUMMYFUNCTION("""COMPUTED_VALUE"""),234.0)</f>
        <v>234</v>
      </c>
      <c r="E2296" s="2"/>
      <c r="F2296" s="2"/>
    </row>
    <row r="2297">
      <c r="A2297" s="2">
        <f>IFERROR(__xludf.DUMMYFUNCTION("""COMPUTED_VALUE"""),117133.0)</f>
        <v>117133</v>
      </c>
      <c r="B2297" s="2">
        <f>IFERROR(__xludf.DUMMYFUNCTION("""COMPUTED_VALUE"""),0.0)</f>
        <v>0</v>
      </c>
      <c r="C2297" s="2">
        <f>IFERROR(__xludf.DUMMYFUNCTION("""COMPUTED_VALUE"""),530.0)</f>
        <v>530</v>
      </c>
      <c r="D2297" s="3">
        <f>IFERROR(__xludf.DUMMYFUNCTION("""COMPUTED_VALUE"""),438.0)</f>
        <v>438</v>
      </c>
      <c r="E2297" s="2"/>
      <c r="F2297" s="2"/>
    </row>
    <row r="2298">
      <c r="A2298" s="2">
        <f>IFERROR(__xludf.DUMMYFUNCTION("""COMPUTED_VALUE"""),70696.0)</f>
        <v>70696</v>
      </c>
      <c r="B2298" s="2">
        <f>IFERROR(__xludf.DUMMYFUNCTION("""COMPUTED_VALUE"""),0.0)</f>
        <v>0</v>
      </c>
      <c r="C2298" s="2">
        <f>IFERROR(__xludf.DUMMYFUNCTION("""COMPUTED_VALUE"""),279.0)</f>
        <v>279</v>
      </c>
      <c r="D2298" s="3">
        <f>IFERROR(__xludf.DUMMYFUNCTION("""COMPUTED_VALUE"""),111.0)</f>
        <v>111</v>
      </c>
      <c r="E2298" s="2"/>
      <c r="F2298" s="2"/>
    </row>
    <row r="2299">
      <c r="A2299" s="2">
        <f>IFERROR(__xludf.DUMMYFUNCTION("""COMPUTED_VALUE"""),121278.0)</f>
        <v>121278</v>
      </c>
      <c r="B2299" s="2">
        <f>IFERROR(__xludf.DUMMYFUNCTION("""COMPUTED_VALUE"""),0.0)</f>
        <v>0</v>
      </c>
      <c r="C2299" s="2">
        <f>IFERROR(__xludf.DUMMYFUNCTION("""COMPUTED_VALUE"""),82.0)</f>
        <v>82</v>
      </c>
      <c r="D2299" s="3">
        <f>IFERROR(__xludf.DUMMYFUNCTION("""COMPUTED_VALUE"""),10.0)</f>
        <v>10</v>
      </c>
      <c r="E2299" s="2"/>
      <c r="F2299" s="2"/>
    </row>
    <row r="2300">
      <c r="A2300" s="2">
        <f>IFERROR(__xludf.DUMMYFUNCTION("""COMPUTED_VALUE"""),74382.0)</f>
        <v>74382</v>
      </c>
      <c r="B2300" s="2">
        <f>IFERROR(__xludf.DUMMYFUNCTION("""COMPUTED_VALUE"""),1.0)</f>
        <v>1</v>
      </c>
      <c r="C2300" s="2">
        <f>IFERROR(__xludf.DUMMYFUNCTION("""COMPUTED_VALUE"""),555.0)</f>
        <v>555</v>
      </c>
      <c r="D2300" s="3">
        <f>IFERROR(__xludf.DUMMYFUNCTION("""COMPUTED_VALUE"""),58.0)</f>
        <v>58</v>
      </c>
      <c r="E2300" s="2"/>
      <c r="F2300" s="2"/>
    </row>
    <row r="2301">
      <c r="A2301" s="2">
        <f>IFERROR(__xludf.DUMMYFUNCTION("""COMPUTED_VALUE"""),121921.0)</f>
        <v>121921</v>
      </c>
      <c r="B2301" s="2">
        <f>IFERROR(__xludf.DUMMYFUNCTION("""COMPUTED_VALUE"""),1.0)</f>
        <v>1</v>
      </c>
      <c r="C2301" s="2">
        <f>IFERROR(__xludf.DUMMYFUNCTION("""COMPUTED_VALUE"""),58.0)</f>
        <v>58</v>
      </c>
      <c r="D2301" s="3">
        <f>IFERROR(__xludf.DUMMYFUNCTION("""COMPUTED_VALUE"""),30.0)</f>
        <v>30</v>
      </c>
      <c r="E2301" s="2"/>
      <c r="F2301" s="2"/>
    </row>
    <row r="2302">
      <c r="A2302" s="2">
        <f>IFERROR(__xludf.DUMMYFUNCTION("""COMPUTED_VALUE"""),83853.0)</f>
        <v>83853</v>
      </c>
      <c r="B2302" s="2">
        <f>IFERROR(__xludf.DUMMYFUNCTION("""COMPUTED_VALUE"""),1.0)</f>
        <v>1</v>
      </c>
      <c r="C2302" s="2">
        <f>IFERROR(__xludf.DUMMYFUNCTION("""COMPUTED_VALUE"""),518.0)</f>
        <v>518</v>
      </c>
      <c r="D2302" s="3">
        <f>IFERROR(__xludf.DUMMYFUNCTION("""COMPUTED_VALUE"""),278.0)</f>
        <v>278</v>
      </c>
      <c r="E2302" s="2"/>
      <c r="F2302" s="2"/>
    </row>
    <row r="2303">
      <c r="A2303" s="2">
        <f>IFERROR(__xludf.DUMMYFUNCTION("""COMPUTED_VALUE"""),111706.0)</f>
        <v>111706</v>
      </c>
      <c r="B2303" s="2">
        <f>IFERROR(__xludf.DUMMYFUNCTION("""COMPUTED_VALUE"""),0.0)</f>
        <v>0</v>
      </c>
      <c r="C2303" s="2">
        <f>IFERROR(__xludf.DUMMYFUNCTION("""COMPUTED_VALUE"""),391.0)</f>
        <v>391</v>
      </c>
      <c r="D2303" s="3">
        <f>IFERROR(__xludf.DUMMYFUNCTION("""COMPUTED_VALUE"""),257.0)</f>
        <v>257</v>
      </c>
      <c r="E2303" s="2"/>
      <c r="F2303" s="2"/>
    </row>
    <row r="2304">
      <c r="A2304" s="2">
        <f>IFERROR(__xludf.DUMMYFUNCTION("""COMPUTED_VALUE"""),15062.0)</f>
        <v>15062</v>
      </c>
      <c r="B2304" s="2">
        <f>IFERROR(__xludf.DUMMYFUNCTION("""COMPUTED_VALUE"""),1.0)</f>
        <v>1</v>
      </c>
      <c r="C2304" s="2">
        <f>IFERROR(__xludf.DUMMYFUNCTION("""COMPUTED_VALUE"""),44.0)</f>
        <v>44</v>
      </c>
      <c r="D2304" s="3">
        <f>IFERROR(__xludf.DUMMYFUNCTION("""COMPUTED_VALUE"""),12.0)</f>
        <v>12</v>
      </c>
      <c r="E2304" s="2"/>
      <c r="F2304" s="2"/>
    </row>
    <row r="2305">
      <c r="A2305" s="2">
        <f>IFERROR(__xludf.DUMMYFUNCTION("""COMPUTED_VALUE"""),79948.0)</f>
        <v>79948</v>
      </c>
      <c r="B2305" s="2">
        <f>IFERROR(__xludf.DUMMYFUNCTION("""COMPUTED_VALUE"""),0.0)</f>
        <v>0</v>
      </c>
      <c r="C2305" s="2">
        <f>IFERROR(__xludf.DUMMYFUNCTION("""COMPUTED_VALUE"""),817.0)</f>
        <v>817</v>
      </c>
      <c r="D2305" s="3">
        <f>IFERROR(__xludf.DUMMYFUNCTION("""COMPUTED_VALUE"""),9.0)</f>
        <v>9</v>
      </c>
      <c r="E2305" s="2"/>
      <c r="F2305" s="2"/>
    </row>
    <row r="2306">
      <c r="A2306" s="2">
        <f>IFERROR(__xludf.DUMMYFUNCTION("""COMPUTED_VALUE"""),84400.0)</f>
        <v>84400</v>
      </c>
      <c r="B2306" s="2">
        <f>IFERROR(__xludf.DUMMYFUNCTION("""COMPUTED_VALUE"""),1.0)</f>
        <v>1</v>
      </c>
      <c r="C2306" s="2">
        <f>IFERROR(__xludf.DUMMYFUNCTION("""COMPUTED_VALUE"""),178.0)</f>
        <v>178</v>
      </c>
      <c r="D2306" s="3">
        <f>IFERROR(__xludf.DUMMYFUNCTION("""COMPUTED_VALUE"""),87.0)</f>
        <v>87</v>
      </c>
      <c r="E2306" s="2"/>
      <c r="F2306" s="2"/>
    </row>
    <row r="2307">
      <c r="A2307" s="2">
        <f>IFERROR(__xludf.DUMMYFUNCTION("""COMPUTED_VALUE"""),79299.0)</f>
        <v>79299</v>
      </c>
      <c r="B2307" s="2">
        <f>IFERROR(__xludf.DUMMYFUNCTION("""COMPUTED_VALUE"""),1.0)</f>
        <v>1</v>
      </c>
      <c r="C2307" s="2">
        <f>IFERROR(__xludf.DUMMYFUNCTION("""COMPUTED_VALUE"""),181.0)</f>
        <v>181</v>
      </c>
      <c r="D2307" s="3">
        <f>IFERROR(__xludf.DUMMYFUNCTION("""COMPUTED_VALUE"""),73.0)</f>
        <v>73</v>
      </c>
      <c r="E2307" s="2"/>
      <c r="F2307" s="2"/>
    </row>
    <row r="2308">
      <c r="A2308" s="2">
        <f>IFERROR(__xludf.DUMMYFUNCTION("""COMPUTED_VALUE"""),19776.0)</f>
        <v>19776</v>
      </c>
      <c r="B2308" s="2">
        <f>IFERROR(__xludf.DUMMYFUNCTION("""COMPUTED_VALUE"""),1.0)</f>
        <v>1</v>
      </c>
      <c r="C2308" s="2">
        <f>IFERROR(__xludf.DUMMYFUNCTION("""COMPUTED_VALUE"""),912.0)</f>
        <v>912</v>
      </c>
      <c r="D2308" s="3">
        <f>IFERROR(__xludf.DUMMYFUNCTION("""COMPUTED_VALUE"""),153.0)</f>
        <v>153</v>
      </c>
      <c r="E2308" s="2"/>
      <c r="F2308" s="2"/>
    </row>
    <row r="2309">
      <c r="A2309" s="2">
        <f>IFERROR(__xludf.DUMMYFUNCTION("""COMPUTED_VALUE"""),74392.0)</f>
        <v>74392</v>
      </c>
      <c r="B2309" s="2">
        <f>IFERROR(__xludf.DUMMYFUNCTION("""COMPUTED_VALUE"""),1.0)</f>
        <v>1</v>
      </c>
      <c r="C2309" s="2">
        <f>IFERROR(__xludf.DUMMYFUNCTION("""COMPUTED_VALUE"""),674.0)</f>
        <v>674</v>
      </c>
      <c r="D2309" s="3">
        <f>IFERROR(__xludf.DUMMYFUNCTION("""COMPUTED_VALUE"""),102.0)</f>
        <v>102</v>
      </c>
      <c r="E2309" s="2"/>
      <c r="F2309" s="2"/>
    </row>
    <row r="2310">
      <c r="A2310" s="2">
        <f>IFERROR(__xludf.DUMMYFUNCTION("""COMPUTED_VALUE"""),83399.0)</f>
        <v>83399</v>
      </c>
      <c r="B2310" s="2">
        <f>IFERROR(__xludf.DUMMYFUNCTION("""COMPUTED_VALUE"""),0.0)</f>
        <v>0</v>
      </c>
      <c r="C2310" s="2">
        <f>IFERROR(__xludf.DUMMYFUNCTION("""COMPUTED_VALUE"""),521.0)</f>
        <v>521</v>
      </c>
      <c r="D2310" s="3">
        <f>IFERROR(__xludf.DUMMYFUNCTION("""COMPUTED_VALUE"""),241.0)</f>
        <v>241</v>
      </c>
      <c r="E2310" s="2"/>
      <c r="F2310" s="2"/>
    </row>
    <row r="2311">
      <c r="A2311" s="2">
        <f>IFERROR(__xludf.DUMMYFUNCTION("""COMPUTED_VALUE"""),74383.0)</f>
        <v>74383</v>
      </c>
      <c r="B2311" s="2">
        <f>IFERROR(__xludf.DUMMYFUNCTION("""COMPUTED_VALUE"""),0.0)</f>
        <v>0</v>
      </c>
      <c r="C2311" s="2">
        <f>IFERROR(__xludf.DUMMYFUNCTION("""COMPUTED_VALUE"""),621.0)</f>
        <v>621</v>
      </c>
      <c r="D2311" s="3">
        <f>IFERROR(__xludf.DUMMYFUNCTION("""COMPUTED_VALUE"""),427.0)</f>
        <v>427</v>
      </c>
      <c r="E2311" s="2"/>
      <c r="F2311" s="2"/>
    </row>
    <row r="2312">
      <c r="A2312" s="2">
        <f>IFERROR(__xludf.DUMMYFUNCTION("""COMPUTED_VALUE"""),100819.0)</f>
        <v>100819</v>
      </c>
      <c r="B2312" s="2">
        <f>IFERROR(__xludf.DUMMYFUNCTION("""COMPUTED_VALUE"""),1.0)</f>
        <v>1</v>
      </c>
      <c r="C2312" s="2">
        <f>IFERROR(__xludf.DUMMYFUNCTION("""COMPUTED_VALUE"""),790.0)</f>
        <v>790</v>
      </c>
      <c r="D2312" s="3">
        <f>IFERROR(__xludf.DUMMYFUNCTION("""COMPUTED_VALUE"""),150.0)</f>
        <v>150</v>
      </c>
      <c r="E2312" s="2"/>
      <c r="F2312" s="2"/>
    </row>
    <row r="2313">
      <c r="A2313" s="2">
        <f>IFERROR(__xludf.DUMMYFUNCTION("""COMPUTED_VALUE"""),190857.0)</f>
        <v>190857</v>
      </c>
      <c r="B2313" s="2">
        <f>IFERROR(__xludf.DUMMYFUNCTION("""COMPUTED_VALUE"""),0.0)</f>
        <v>0</v>
      </c>
      <c r="C2313" s="2">
        <f>IFERROR(__xludf.DUMMYFUNCTION("""COMPUTED_VALUE"""),677.0)</f>
        <v>677</v>
      </c>
      <c r="D2313" s="3">
        <f>IFERROR(__xludf.DUMMYFUNCTION("""COMPUTED_VALUE"""),494.0)</f>
        <v>494</v>
      </c>
      <c r="E2313" s="2"/>
      <c r="F2313" s="2"/>
    </row>
    <row r="2314">
      <c r="A2314" s="2">
        <f>IFERROR(__xludf.DUMMYFUNCTION("""COMPUTED_VALUE"""),120331.0)</f>
        <v>120331</v>
      </c>
      <c r="B2314" s="2">
        <f>IFERROR(__xludf.DUMMYFUNCTION("""COMPUTED_VALUE"""),1.0)</f>
        <v>1</v>
      </c>
      <c r="C2314" s="2">
        <f>IFERROR(__xludf.DUMMYFUNCTION("""COMPUTED_VALUE"""),892.0)</f>
        <v>892</v>
      </c>
      <c r="D2314" s="3">
        <f>IFERROR(__xludf.DUMMYFUNCTION("""COMPUTED_VALUE"""),152.0)</f>
        <v>152</v>
      </c>
      <c r="E2314" s="2"/>
      <c r="F2314" s="2"/>
    </row>
    <row r="2315">
      <c r="A2315" s="2">
        <f>IFERROR(__xludf.DUMMYFUNCTION("""COMPUTED_VALUE"""),87580.0)</f>
        <v>87580</v>
      </c>
      <c r="B2315" s="2">
        <f>IFERROR(__xludf.DUMMYFUNCTION("""COMPUTED_VALUE"""),1.0)</f>
        <v>1</v>
      </c>
      <c r="C2315" s="2">
        <f>IFERROR(__xludf.DUMMYFUNCTION("""COMPUTED_VALUE"""),944.0)</f>
        <v>944</v>
      </c>
      <c r="D2315" s="3">
        <f>IFERROR(__xludf.DUMMYFUNCTION("""COMPUTED_VALUE"""),130.0)</f>
        <v>130</v>
      </c>
      <c r="E2315" s="2"/>
      <c r="F2315" s="2"/>
    </row>
    <row r="2316">
      <c r="A2316" s="2">
        <f>IFERROR(__xludf.DUMMYFUNCTION("""COMPUTED_VALUE"""),79300.0)</f>
        <v>79300</v>
      </c>
      <c r="B2316" s="2">
        <f>IFERROR(__xludf.DUMMYFUNCTION("""COMPUTED_VALUE"""),0.0)</f>
        <v>0</v>
      </c>
      <c r="C2316" s="2">
        <f>IFERROR(__xludf.DUMMYFUNCTION("""COMPUTED_VALUE"""),974.0)</f>
        <v>974</v>
      </c>
      <c r="D2316" s="3">
        <f>IFERROR(__xludf.DUMMYFUNCTION("""COMPUTED_VALUE"""),107.0)</f>
        <v>107</v>
      </c>
      <c r="E2316" s="2"/>
      <c r="F2316" s="2"/>
    </row>
    <row r="2317">
      <c r="A2317" s="2">
        <f>IFERROR(__xludf.DUMMYFUNCTION("""COMPUTED_VALUE"""),79950.0)</f>
        <v>79950</v>
      </c>
      <c r="B2317" s="2">
        <f>IFERROR(__xludf.DUMMYFUNCTION("""COMPUTED_VALUE"""),1.0)</f>
        <v>1</v>
      </c>
      <c r="C2317" s="2">
        <f>IFERROR(__xludf.DUMMYFUNCTION("""COMPUTED_VALUE"""),442.0)</f>
        <v>442</v>
      </c>
      <c r="D2317" s="3">
        <f>IFERROR(__xludf.DUMMYFUNCTION("""COMPUTED_VALUE"""),62.0)</f>
        <v>62</v>
      </c>
      <c r="E2317" s="2"/>
      <c r="F2317" s="2"/>
    </row>
    <row r="2318">
      <c r="A2318" s="2">
        <f>IFERROR(__xludf.DUMMYFUNCTION("""COMPUTED_VALUE"""),84402.0)</f>
        <v>84402</v>
      </c>
      <c r="B2318" s="2">
        <f>IFERROR(__xludf.DUMMYFUNCTION("""COMPUTED_VALUE"""),1.0)</f>
        <v>1</v>
      </c>
      <c r="C2318" s="2">
        <f>IFERROR(__xludf.DUMMYFUNCTION("""COMPUTED_VALUE"""),763.0)</f>
        <v>763</v>
      </c>
      <c r="D2318" s="3">
        <f>IFERROR(__xludf.DUMMYFUNCTION("""COMPUTED_VALUE"""),484.0)</f>
        <v>484</v>
      </c>
      <c r="E2318" s="2"/>
      <c r="F2318" s="2"/>
    </row>
    <row r="2319">
      <c r="A2319" s="2">
        <f>IFERROR(__xludf.DUMMYFUNCTION("""COMPUTED_VALUE"""),79298.0)</f>
        <v>79298</v>
      </c>
      <c r="B2319" s="2">
        <f>IFERROR(__xludf.DUMMYFUNCTION("""COMPUTED_VALUE"""),1.0)</f>
        <v>1</v>
      </c>
      <c r="C2319" s="2">
        <f>IFERROR(__xludf.DUMMYFUNCTION("""COMPUTED_VALUE"""),924.0)</f>
        <v>924</v>
      </c>
      <c r="D2319" s="3">
        <f>IFERROR(__xludf.DUMMYFUNCTION("""COMPUTED_VALUE"""),214.0)</f>
        <v>214</v>
      </c>
      <c r="E2319" s="2"/>
      <c r="F2319" s="2"/>
    </row>
    <row r="2320">
      <c r="A2320" s="2">
        <f>IFERROR(__xludf.DUMMYFUNCTION("""COMPUTED_VALUE"""),145105.0)</f>
        <v>145105</v>
      </c>
      <c r="B2320" s="2">
        <f>IFERROR(__xludf.DUMMYFUNCTION("""COMPUTED_VALUE"""),0.0)</f>
        <v>0</v>
      </c>
      <c r="C2320" s="2">
        <f>IFERROR(__xludf.DUMMYFUNCTION("""COMPUTED_VALUE"""),773.0)</f>
        <v>773</v>
      </c>
      <c r="D2320" s="3">
        <f>IFERROR(__xludf.DUMMYFUNCTION("""COMPUTED_VALUE"""),354.0)</f>
        <v>354</v>
      </c>
      <c r="E2320" s="2"/>
      <c r="F2320" s="2"/>
    </row>
    <row r="2321">
      <c r="A2321" s="2">
        <f>IFERROR(__xludf.DUMMYFUNCTION("""COMPUTED_VALUE"""),92313.0)</f>
        <v>92313</v>
      </c>
      <c r="B2321" s="2">
        <f>IFERROR(__xludf.DUMMYFUNCTION("""COMPUTED_VALUE"""),0.0)</f>
        <v>0</v>
      </c>
      <c r="C2321" s="2">
        <f>IFERROR(__xludf.DUMMYFUNCTION("""COMPUTED_VALUE"""),556.0)</f>
        <v>556</v>
      </c>
      <c r="D2321" s="3">
        <f>IFERROR(__xludf.DUMMYFUNCTION("""COMPUTED_VALUE"""),427.0)</f>
        <v>427</v>
      </c>
      <c r="E2321" s="2"/>
      <c r="F2321" s="2"/>
    </row>
    <row r="2322">
      <c r="A2322" s="2">
        <f>IFERROR(__xludf.DUMMYFUNCTION("""COMPUTED_VALUE"""),121735.0)</f>
        <v>121735</v>
      </c>
      <c r="B2322" s="2">
        <f>IFERROR(__xludf.DUMMYFUNCTION("""COMPUTED_VALUE"""),1.0)</f>
        <v>1</v>
      </c>
      <c r="C2322" s="2">
        <f>IFERROR(__xludf.DUMMYFUNCTION("""COMPUTED_VALUE"""),198.0)</f>
        <v>198</v>
      </c>
      <c r="D2322" s="3">
        <f>IFERROR(__xludf.DUMMYFUNCTION("""COMPUTED_VALUE"""),182.0)</f>
        <v>182</v>
      </c>
      <c r="E2322" s="2"/>
      <c r="F2322" s="2"/>
    </row>
    <row r="2323">
      <c r="A2323" s="2">
        <f>IFERROR(__xludf.DUMMYFUNCTION("""COMPUTED_VALUE"""),47545.0)</f>
        <v>47545</v>
      </c>
      <c r="B2323" s="2">
        <f>IFERROR(__xludf.DUMMYFUNCTION("""COMPUTED_VALUE"""),1.0)</f>
        <v>1</v>
      </c>
      <c r="C2323" s="2">
        <f>IFERROR(__xludf.DUMMYFUNCTION("""COMPUTED_VALUE"""),504.0)</f>
        <v>504</v>
      </c>
      <c r="D2323" s="3">
        <f>IFERROR(__xludf.DUMMYFUNCTION("""COMPUTED_VALUE"""),299.0)</f>
        <v>299</v>
      </c>
      <c r="E2323" s="2"/>
      <c r="F2323" s="2"/>
    </row>
    <row r="2324">
      <c r="A2324" s="2">
        <f>IFERROR(__xludf.DUMMYFUNCTION("""COMPUTED_VALUE"""),122630.0)</f>
        <v>122630</v>
      </c>
      <c r="B2324" s="2">
        <f>IFERROR(__xludf.DUMMYFUNCTION("""COMPUTED_VALUE"""),0.0)</f>
        <v>0</v>
      </c>
      <c r="C2324" s="2">
        <f>IFERROR(__xludf.DUMMYFUNCTION("""COMPUTED_VALUE"""),642.0)</f>
        <v>642</v>
      </c>
      <c r="D2324" s="3">
        <f>IFERROR(__xludf.DUMMYFUNCTION("""COMPUTED_VALUE"""),295.0)</f>
        <v>295</v>
      </c>
      <c r="E2324" s="2"/>
      <c r="F2324" s="2"/>
    </row>
    <row r="2325">
      <c r="A2325" s="2">
        <f>IFERROR(__xludf.DUMMYFUNCTION("""COMPUTED_VALUE"""),159490.0)</f>
        <v>159490</v>
      </c>
      <c r="B2325" s="2">
        <f>IFERROR(__xludf.DUMMYFUNCTION("""COMPUTED_VALUE"""),0.0)</f>
        <v>0</v>
      </c>
      <c r="C2325" s="2">
        <f>IFERROR(__xludf.DUMMYFUNCTION("""COMPUTED_VALUE"""),970.0)</f>
        <v>970</v>
      </c>
      <c r="D2325" s="3">
        <f>IFERROR(__xludf.DUMMYFUNCTION("""COMPUTED_VALUE"""),342.0)</f>
        <v>342</v>
      </c>
      <c r="E2325" s="2"/>
      <c r="F2325" s="2"/>
    </row>
    <row r="2326">
      <c r="A2326" s="2">
        <f>IFERROR(__xludf.DUMMYFUNCTION("""COMPUTED_VALUE"""),120519.0)</f>
        <v>120519</v>
      </c>
      <c r="B2326" s="2">
        <f>IFERROR(__xludf.DUMMYFUNCTION("""COMPUTED_VALUE"""),0.0)</f>
        <v>0</v>
      </c>
      <c r="C2326" s="2">
        <f>IFERROR(__xludf.DUMMYFUNCTION("""COMPUTED_VALUE"""),-14.0)</f>
        <v>-14</v>
      </c>
      <c r="D2326" s="3">
        <f>IFERROR(__xludf.DUMMYFUNCTION("""COMPUTED_VALUE"""),-7.0)</f>
        <v>-7</v>
      </c>
      <c r="E2326" s="2"/>
      <c r="F2326" s="2"/>
    </row>
    <row r="2327">
      <c r="A2327" s="2">
        <f>IFERROR(__xludf.DUMMYFUNCTION("""COMPUTED_VALUE"""),159403.0)</f>
        <v>159403</v>
      </c>
      <c r="B2327" s="2">
        <f>IFERROR(__xludf.DUMMYFUNCTION("""COMPUTED_VALUE"""),0.0)</f>
        <v>0</v>
      </c>
      <c r="C2327" s="2">
        <f>IFERROR(__xludf.DUMMYFUNCTION("""COMPUTED_VALUE"""),394.0)</f>
        <v>394</v>
      </c>
      <c r="D2327" s="3">
        <f>IFERROR(__xludf.DUMMYFUNCTION("""COMPUTED_VALUE"""),0.0)</f>
        <v>0</v>
      </c>
      <c r="E2327" s="2"/>
      <c r="F2327" s="2"/>
    </row>
    <row r="2328">
      <c r="A2328" s="2">
        <f>IFERROR(__xludf.DUMMYFUNCTION("""COMPUTED_VALUE"""),159617.0)</f>
        <v>159617</v>
      </c>
      <c r="B2328" s="2">
        <f>IFERROR(__xludf.DUMMYFUNCTION("""COMPUTED_VALUE"""),1.0)</f>
        <v>1</v>
      </c>
      <c r="C2328" s="2">
        <f>IFERROR(__xludf.DUMMYFUNCTION("""COMPUTED_VALUE"""),416.0)</f>
        <v>416</v>
      </c>
      <c r="D2328" s="3">
        <f>IFERROR(__xludf.DUMMYFUNCTION("""COMPUTED_VALUE"""),262.0)</f>
        <v>262</v>
      </c>
      <c r="E2328" s="2"/>
      <c r="F2328" s="2"/>
    </row>
    <row r="2329">
      <c r="A2329" s="2">
        <f>IFERROR(__xludf.DUMMYFUNCTION("""COMPUTED_VALUE"""),85839.0)</f>
        <v>85839</v>
      </c>
      <c r="B2329" s="2">
        <f>IFERROR(__xludf.DUMMYFUNCTION("""COMPUTED_VALUE"""),1.0)</f>
        <v>1</v>
      </c>
      <c r="C2329" s="2">
        <f>IFERROR(__xludf.DUMMYFUNCTION("""COMPUTED_VALUE"""),86.0)</f>
        <v>86</v>
      </c>
      <c r="D2329" s="3">
        <f>IFERROR(__xludf.DUMMYFUNCTION("""COMPUTED_VALUE"""),77.0)</f>
        <v>77</v>
      </c>
      <c r="E2329" s="2"/>
      <c r="F2329" s="2"/>
    </row>
    <row r="2330">
      <c r="A2330" s="2">
        <f>IFERROR(__xludf.DUMMYFUNCTION("""COMPUTED_VALUE"""),85838.0)</f>
        <v>85838</v>
      </c>
      <c r="B2330" s="2">
        <f>IFERROR(__xludf.DUMMYFUNCTION("""COMPUTED_VALUE"""),1.0)</f>
        <v>1</v>
      </c>
      <c r="C2330" s="2">
        <f>IFERROR(__xludf.DUMMYFUNCTION("""COMPUTED_VALUE"""),265.0)</f>
        <v>265</v>
      </c>
      <c r="D2330" s="3">
        <f>IFERROR(__xludf.DUMMYFUNCTION("""COMPUTED_VALUE"""),11.0)</f>
        <v>11</v>
      </c>
      <c r="E2330" s="2"/>
      <c r="F2330" s="2"/>
    </row>
    <row r="2331">
      <c r="A2331" s="2">
        <f>IFERROR(__xludf.DUMMYFUNCTION("""COMPUTED_VALUE"""),8868.0)</f>
        <v>8868</v>
      </c>
      <c r="B2331" s="2">
        <f>IFERROR(__xludf.DUMMYFUNCTION("""COMPUTED_VALUE"""),0.0)</f>
        <v>0</v>
      </c>
      <c r="C2331" s="2">
        <f>IFERROR(__xludf.DUMMYFUNCTION("""COMPUTED_VALUE"""),193.0)</f>
        <v>193</v>
      </c>
      <c r="D2331" s="3">
        <f>IFERROR(__xludf.DUMMYFUNCTION("""COMPUTED_VALUE"""),135.0)</f>
        <v>135</v>
      </c>
      <c r="E2331" s="2"/>
      <c r="F2331" s="2"/>
    </row>
    <row r="2332">
      <c r="A2332" s="2">
        <f>IFERROR(__xludf.DUMMYFUNCTION("""COMPUTED_VALUE"""),116191.0)</f>
        <v>116191</v>
      </c>
      <c r="B2332" s="2">
        <f>IFERROR(__xludf.DUMMYFUNCTION("""COMPUTED_VALUE"""),0.0)</f>
        <v>0</v>
      </c>
      <c r="C2332" s="2">
        <f>IFERROR(__xludf.DUMMYFUNCTION("""COMPUTED_VALUE"""),505.0)</f>
        <v>505</v>
      </c>
      <c r="D2332" s="3">
        <f>IFERROR(__xludf.DUMMYFUNCTION("""COMPUTED_VALUE"""),169.0)</f>
        <v>169</v>
      </c>
      <c r="E2332" s="2"/>
      <c r="F2332" s="2"/>
    </row>
    <row r="2333">
      <c r="A2333" s="2">
        <f>IFERROR(__xludf.DUMMYFUNCTION("""COMPUTED_VALUE"""),90828.0)</f>
        <v>90828</v>
      </c>
      <c r="B2333" s="2">
        <f>IFERROR(__xludf.DUMMYFUNCTION("""COMPUTED_VALUE"""),1.0)</f>
        <v>1</v>
      </c>
      <c r="C2333" s="2">
        <f>IFERROR(__xludf.DUMMYFUNCTION("""COMPUTED_VALUE"""),122.0)</f>
        <v>122</v>
      </c>
      <c r="D2333" s="3">
        <f>IFERROR(__xludf.DUMMYFUNCTION("""COMPUTED_VALUE"""),88.0)</f>
        <v>88</v>
      </c>
      <c r="E2333" s="2"/>
      <c r="F2333" s="2"/>
    </row>
    <row r="2334">
      <c r="A2334" s="2">
        <f>IFERROR(__xludf.DUMMYFUNCTION("""COMPUTED_VALUE"""),26276.0)</f>
        <v>26276</v>
      </c>
      <c r="B2334" s="2">
        <f>IFERROR(__xludf.DUMMYFUNCTION("""COMPUTED_VALUE"""),1.0)</f>
        <v>1</v>
      </c>
      <c r="C2334" s="2">
        <f>IFERROR(__xludf.DUMMYFUNCTION("""COMPUTED_VALUE"""),-10.0)</f>
        <v>-10</v>
      </c>
      <c r="D2334" s="3">
        <f>IFERROR(__xludf.DUMMYFUNCTION("""COMPUTED_VALUE"""),0.0)</f>
        <v>0</v>
      </c>
      <c r="E2334" s="2"/>
      <c r="F2334" s="2"/>
    </row>
    <row r="2335">
      <c r="A2335" s="2">
        <f>IFERROR(__xludf.DUMMYFUNCTION("""COMPUTED_VALUE"""),29022.0)</f>
        <v>29022</v>
      </c>
      <c r="B2335" s="2">
        <f>IFERROR(__xludf.DUMMYFUNCTION("""COMPUTED_VALUE"""),1.0)</f>
        <v>1</v>
      </c>
      <c r="C2335" s="2">
        <f>IFERROR(__xludf.DUMMYFUNCTION("""COMPUTED_VALUE"""),886.0)</f>
        <v>886</v>
      </c>
      <c r="D2335" s="3">
        <f>IFERROR(__xludf.DUMMYFUNCTION("""COMPUTED_VALUE"""),533.0)</f>
        <v>533</v>
      </c>
      <c r="E2335" s="2"/>
      <c r="F2335" s="2"/>
    </row>
    <row r="2336">
      <c r="A2336" s="2">
        <f>IFERROR(__xludf.DUMMYFUNCTION("""COMPUTED_VALUE"""),111081.0)</f>
        <v>111081</v>
      </c>
      <c r="B2336" s="2">
        <f>IFERROR(__xludf.DUMMYFUNCTION("""COMPUTED_VALUE"""),1.0)</f>
        <v>1</v>
      </c>
      <c r="C2336" s="2">
        <f>IFERROR(__xludf.DUMMYFUNCTION("""COMPUTED_VALUE"""),761.0)</f>
        <v>761</v>
      </c>
      <c r="D2336" s="3">
        <f>IFERROR(__xludf.DUMMYFUNCTION("""COMPUTED_VALUE"""),230.0)</f>
        <v>230</v>
      </c>
      <c r="E2336" s="2"/>
      <c r="F2336" s="2"/>
    </row>
    <row r="2337">
      <c r="A2337" s="2">
        <f>IFERROR(__xludf.DUMMYFUNCTION("""COMPUTED_VALUE"""),26277.0)</f>
        <v>26277</v>
      </c>
      <c r="B2337" s="2">
        <f>IFERROR(__xludf.DUMMYFUNCTION("""COMPUTED_VALUE"""),1.0)</f>
        <v>1</v>
      </c>
      <c r="C2337" s="2">
        <f>IFERROR(__xludf.DUMMYFUNCTION("""COMPUTED_VALUE"""),344.0)</f>
        <v>344</v>
      </c>
      <c r="D2337" s="3">
        <f>IFERROR(__xludf.DUMMYFUNCTION("""COMPUTED_VALUE"""),286.0)</f>
        <v>286</v>
      </c>
      <c r="E2337" s="2"/>
      <c r="F2337" s="2"/>
    </row>
    <row r="2338">
      <c r="A2338" s="2">
        <f>IFERROR(__xludf.DUMMYFUNCTION("""COMPUTED_VALUE"""),100251.0)</f>
        <v>100251</v>
      </c>
      <c r="B2338" s="2">
        <f>IFERROR(__xludf.DUMMYFUNCTION("""COMPUTED_VALUE"""),1.0)</f>
        <v>1</v>
      </c>
      <c r="C2338" s="2">
        <f>IFERROR(__xludf.DUMMYFUNCTION("""COMPUTED_VALUE"""),816.0)</f>
        <v>816</v>
      </c>
      <c r="D2338" s="3">
        <f>IFERROR(__xludf.DUMMYFUNCTION("""COMPUTED_VALUE"""),767.0)</f>
        <v>767</v>
      </c>
      <c r="E2338" s="2"/>
      <c r="F2338" s="2"/>
    </row>
    <row r="2339">
      <c r="A2339" s="2">
        <f>IFERROR(__xludf.DUMMYFUNCTION("""COMPUTED_VALUE"""),87885.0)</f>
        <v>87885</v>
      </c>
      <c r="B2339" s="2">
        <f>IFERROR(__xludf.DUMMYFUNCTION("""COMPUTED_VALUE"""),1.0)</f>
        <v>1</v>
      </c>
      <c r="C2339" s="2">
        <f>IFERROR(__xludf.DUMMYFUNCTION("""COMPUTED_VALUE"""),242.0)</f>
        <v>242</v>
      </c>
      <c r="D2339" s="3">
        <f>IFERROR(__xludf.DUMMYFUNCTION("""COMPUTED_VALUE"""),107.0)</f>
        <v>107</v>
      </c>
      <c r="E2339" s="2"/>
      <c r="F2339" s="2"/>
    </row>
    <row r="2340">
      <c r="A2340" s="2">
        <f>IFERROR(__xludf.DUMMYFUNCTION("""COMPUTED_VALUE"""),29023.0)</f>
        <v>29023</v>
      </c>
      <c r="B2340" s="2">
        <f>IFERROR(__xludf.DUMMYFUNCTION("""COMPUTED_VALUE"""),1.0)</f>
        <v>1</v>
      </c>
      <c r="C2340" s="2">
        <f>IFERROR(__xludf.DUMMYFUNCTION("""COMPUTED_VALUE"""),255.0)</f>
        <v>255</v>
      </c>
      <c r="D2340" s="3">
        <f>IFERROR(__xludf.DUMMYFUNCTION("""COMPUTED_VALUE"""),55.0)</f>
        <v>55</v>
      </c>
      <c r="E2340" s="2"/>
      <c r="F2340" s="2"/>
    </row>
    <row r="2341">
      <c r="A2341" s="2">
        <f>IFERROR(__xludf.DUMMYFUNCTION("""COMPUTED_VALUE"""),100250.0)</f>
        <v>100250</v>
      </c>
      <c r="B2341" s="2">
        <f>IFERROR(__xludf.DUMMYFUNCTION("""COMPUTED_VALUE"""),1.0)</f>
        <v>1</v>
      </c>
      <c r="C2341" s="2">
        <f>IFERROR(__xludf.DUMMYFUNCTION("""COMPUTED_VALUE"""),336.0)</f>
        <v>336</v>
      </c>
      <c r="D2341" s="3">
        <f>IFERROR(__xludf.DUMMYFUNCTION("""COMPUTED_VALUE"""),312.0)</f>
        <v>312</v>
      </c>
      <c r="E2341" s="2"/>
      <c r="F2341" s="2"/>
    </row>
    <row r="2342">
      <c r="A2342" s="2">
        <f>IFERROR(__xludf.DUMMYFUNCTION("""COMPUTED_VALUE"""),116320.0)</f>
        <v>116320</v>
      </c>
      <c r="B2342" s="2">
        <f>IFERROR(__xludf.DUMMYFUNCTION("""COMPUTED_VALUE"""),0.0)</f>
        <v>0</v>
      </c>
      <c r="C2342" s="2">
        <f>IFERROR(__xludf.DUMMYFUNCTION("""COMPUTED_VALUE"""),199.0)</f>
        <v>199</v>
      </c>
      <c r="D2342" s="3">
        <f>IFERROR(__xludf.DUMMYFUNCTION("""COMPUTED_VALUE"""),198.0)</f>
        <v>198</v>
      </c>
      <c r="E2342" s="2"/>
      <c r="F2342" s="2"/>
    </row>
    <row r="2343">
      <c r="A2343" s="2">
        <f>IFERROR(__xludf.DUMMYFUNCTION("""COMPUTED_VALUE"""),122149.0)</f>
        <v>122149</v>
      </c>
      <c r="B2343" s="2">
        <f>IFERROR(__xludf.DUMMYFUNCTION("""COMPUTED_VALUE"""),1.0)</f>
        <v>1</v>
      </c>
      <c r="C2343" s="2">
        <f>IFERROR(__xludf.DUMMYFUNCTION("""COMPUTED_VALUE"""),770.0)</f>
        <v>770</v>
      </c>
      <c r="D2343" s="3">
        <f>IFERROR(__xludf.DUMMYFUNCTION("""COMPUTED_VALUE"""),561.0)</f>
        <v>561</v>
      </c>
      <c r="E2343" s="2"/>
      <c r="F2343" s="2"/>
    </row>
    <row r="2344">
      <c r="A2344" s="2">
        <f>IFERROR(__xludf.DUMMYFUNCTION("""COMPUTED_VALUE"""),107220.0)</f>
        <v>107220</v>
      </c>
      <c r="B2344" s="2">
        <f>IFERROR(__xludf.DUMMYFUNCTION("""COMPUTED_VALUE"""),0.0)</f>
        <v>0</v>
      </c>
      <c r="C2344" s="2">
        <f>IFERROR(__xludf.DUMMYFUNCTION("""COMPUTED_VALUE"""),790.0)</f>
        <v>790</v>
      </c>
      <c r="D2344" s="3">
        <f>IFERROR(__xludf.DUMMYFUNCTION("""COMPUTED_VALUE"""),573.0)</f>
        <v>573</v>
      </c>
      <c r="E2344" s="2"/>
      <c r="F2344" s="2"/>
    </row>
    <row r="2345">
      <c r="A2345" s="2">
        <f>IFERROR(__xludf.DUMMYFUNCTION("""COMPUTED_VALUE"""),122151.0)</f>
        <v>122151</v>
      </c>
      <c r="B2345" s="2">
        <f>IFERROR(__xludf.DUMMYFUNCTION("""COMPUTED_VALUE"""),0.0)</f>
        <v>0</v>
      </c>
      <c r="C2345" s="2">
        <f>IFERROR(__xludf.DUMMYFUNCTION("""COMPUTED_VALUE"""),649.0)</f>
        <v>649</v>
      </c>
      <c r="D2345" s="3">
        <f>IFERROR(__xludf.DUMMYFUNCTION("""COMPUTED_VALUE"""),172.0)</f>
        <v>172</v>
      </c>
      <c r="E2345" s="2"/>
      <c r="F2345" s="2"/>
    </row>
    <row r="2346">
      <c r="A2346" s="2">
        <f>IFERROR(__xludf.DUMMYFUNCTION("""COMPUTED_VALUE"""),115766.0)</f>
        <v>115766</v>
      </c>
      <c r="B2346" s="2">
        <f>IFERROR(__xludf.DUMMYFUNCTION("""COMPUTED_VALUE"""),1.0)</f>
        <v>1</v>
      </c>
      <c r="C2346" s="2">
        <f>IFERROR(__xludf.DUMMYFUNCTION("""COMPUTED_VALUE"""),557.0)</f>
        <v>557</v>
      </c>
      <c r="D2346" s="3">
        <f>IFERROR(__xludf.DUMMYFUNCTION("""COMPUTED_VALUE"""),141.0)</f>
        <v>141</v>
      </c>
      <c r="E2346" s="2"/>
      <c r="F2346" s="2"/>
    </row>
    <row r="2347">
      <c r="A2347" s="2">
        <f>IFERROR(__xludf.DUMMYFUNCTION("""COMPUTED_VALUE"""),114033.0)</f>
        <v>114033</v>
      </c>
      <c r="B2347" s="2">
        <f>IFERROR(__xludf.DUMMYFUNCTION("""COMPUTED_VALUE"""),1.0)</f>
        <v>1</v>
      </c>
      <c r="C2347" s="2">
        <f>IFERROR(__xludf.DUMMYFUNCTION("""COMPUTED_VALUE"""),95.0)</f>
        <v>95</v>
      </c>
      <c r="D2347" s="3">
        <f>IFERROR(__xludf.DUMMYFUNCTION("""COMPUTED_VALUE"""),56.0)</f>
        <v>56</v>
      </c>
      <c r="E2347" s="2"/>
      <c r="F2347" s="2"/>
    </row>
    <row r="2348">
      <c r="A2348" s="2">
        <f>IFERROR(__xludf.DUMMYFUNCTION("""COMPUTED_VALUE"""),149508.0)</f>
        <v>149508</v>
      </c>
      <c r="B2348" s="2">
        <f>IFERROR(__xludf.DUMMYFUNCTION("""COMPUTED_VALUE"""),1.0)</f>
        <v>1</v>
      </c>
      <c r="C2348" s="2">
        <f>IFERROR(__xludf.DUMMYFUNCTION("""COMPUTED_VALUE"""),307.0)</f>
        <v>307</v>
      </c>
      <c r="D2348" s="3">
        <f>IFERROR(__xludf.DUMMYFUNCTION("""COMPUTED_VALUE"""),186.0)</f>
        <v>186</v>
      </c>
      <c r="E2348" s="2"/>
      <c r="F2348" s="2"/>
    </row>
    <row r="2349">
      <c r="A2349" s="2">
        <f>IFERROR(__xludf.DUMMYFUNCTION("""COMPUTED_VALUE"""),107256.0)</f>
        <v>107256</v>
      </c>
      <c r="B2349" s="2">
        <f>IFERROR(__xludf.DUMMYFUNCTION("""COMPUTED_VALUE"""),0.0)</f>
        <v>0</v>
      </c>
      <c r="C2349" s="2">
        <f>IFERROR(__xludf.DUMMYFUNCTION("""COMPUTED_VALUE"""),153.0)</f>
        <v>153</v>
      </c>
      <c r="D2349" s="3">
        <f>IFERROR(__xludf.DUMMYFUNCTION("""COMPUTED_VALUE"""),110.0)</f>
        <v>110</v>
      </c>
      <c r="E2349" s="2"/>
      <c r="F2349" s="2"/>
    </row>
    <row r="2350">
      <c r="A2350" s="2">
        <f>IFERROR(__xludf.DUMMYFUNCTION("""COMPUTED_VALUE"""),121615.0)</f>
        <v>121615</v>
      </c>
      <c r="B2350" s="2">
        <f>IFERROR(__xludf.DUMMYFUNCTION("""COMPUTED_VALUE"""),1.0)</f>
        <v>1</v>
      </c>
      <c r="C2350" s="2">
        <f>IFERROR(__xludf.DUMMYFUNCTION("""COMPUTED_VALUE"""),868.0)</f>
        <v>868</v>
      </c>
      <c r="D2350" s="3">
        <f>IFERROR(__xludf.DUMMYFUNCTION("""COMPUTED_VALUE"""),490.0)</f>
        <v>490</v>
      </c>
      <c r="E2350" s="2"/>
      <c r="F2350" s="2"/>
    </row>
    <row r="2351">
      <c r="A2351" s="2">
        <f>IFERROR(__xludf.DUMMYFUNCTION("""COMPUTED_VALUE"""),107226.0)</f>
        <v>107226</v>
      </c>
      <c r="B2351" s="2">
        <f>IFERROR(__xludf.DUMMYFUNCTION("""COMPUTED_VALUE"""),0.0)</f>
        <v>0</v>
      </c>
      <c r="C2351" s="2">
        <f>IFERROR(__xludf.DUMMYFUNCTION("""COMPUTED_VALUE"""),281.0)</f>
        <v>281</v>
      </c>
      <c r="D2351" s="3">
        <f>IFERROR(__xludf.DUMMYFUNCTION("""COMPUTED_VALUE"""),85.0)</f>
        <v>85</v>
      </c>
      <c r="E2351" s="2"/>
      <c r="F2351" s="2"/>
    </row>
    <row r="2352">
      <c r="A2352" s="2">
        <f>IFERROR(__xludf.DUMMYFUNCTION("""COMPUTED_VALUE"""),120188.0)</f>
        <v>120188</v>
      </c>
      <c r="B2352" s="2">
        <f>IFERROR(__xludf.DUMMYFUNCTION("""COMPUTED_VALUE"""),0.0)</f>
        <v>0</v>
      </c>
      <c r="C2352" s="2">
        <f>IFERROR(__xludf.DUMMYFUNCTION("""COMPUTED_VALUE"""),556.0)</f>
        <v>556</v>
      </c>
      <c r="D2352" s="3">
        <f>IFERROR(__xludf.DUMMYFUNCTION("""COMPUTED_VALUE"""),133.0)</f>
        <v>133</v>
      </c>
      <c r="E2352" s="2"/>
      <c r="F2352" s="2"/>
    </row>
    <row r="2353">
      <c r="A2353" s="2">
        <f>IFERROR(__xludf.DUMMYFUNCTION("""COMPUTED_VALUE"""),107944.0)</f>
        <v>107944</v>
      </c>
      <c r="B2353" s="2">
        <f>IFERROR(__xludf.DUMMYFUNCTION("""COMPUTED_VALUE"""),1.0)</f>
        <v>1</v>
      </c>
      <c r="C2353" s="2">
        <f>IFERROR(__xludf.DUMMYFUNCTION("""COMPUTED_VALUE"""),777.0)</f>
        <v>777</v>
      </c>
      <c r="D2353" s="3">
        <f>IFERROR(__xludf.DUMMYFUNCTION("""COMPUTED_VALUE"""),224.0)</f>
        <v>224</v>
      </c>
      <c r="E2353" s="2"/>
      <c r="F2353" s="2"/>
    </row>
    <row r="2354">
      <c r="A2354" s="2">
        <f>IFERROR(__xludf.DUMMYFUNCTION("""COMPUTED_VALUE"""),70243.0)</f>
        <v>70243</v>
      </c>
      <c r="B2354" s="2">
        <f>IFERROR(__xludf.DUMMYFUNCTION("""COMPUTED_VALUE"""),1.0)</f>
        <v>1</v>
      </c>
      <c r="C2354" s="2">
        <f>IFERROR(__xludf.DUMMYFUNCTION("""COMPUTED_VALUE"""),794.0)</f>
        <v>794</v>
      </c>
      <c r="D2354" s="3">
        <f>IFERROR(__xludf.DUMMYFUNCTION("""COMPUTED_VALUE"""),400.0)</f>
        <v>400</v>
      </c>
      <c r="E2354" s="2"/>
      <c r="F2354" s="2"/>
    </row>
    <row r="2355">
      <c r="A2355" s="2">
        <f>IFERROR(__xludf.DUMMYFUNCTION("""COMPUTED_VALUE"""),149505.0)</f>
        <v>149505</v>
      </c>
      <c r="B2355" s="2">
        <f>IFERROR(__xludf.DUMMYFUNCTION("""COMPUTED_VALUE"""),1.0)</f>
        <v>1</v>
      </c>
      <c r="C2355" s="2">
        <f>IFERROR(__xludf.DUMMYFUNCTION("""COMPUTED_VALUE"""),437.0)</f>
        <v>437</v>
      </c>
      <c r="D2355" s="3">
        <f>IFERROR(__xludf.DUMMYFUNCTION("""COMPUTED_VALUE"""),122.0)</f>
        <v>122</v>
      </c>
      <c r="E2355" s="2"/>
      <c r="F2355" s="2"/>
    </row>
    <row r="2356">
      <c r="A2356" s="2">
        <f>IFERROR(__xludf.DUMMYFUNCTION("""COMPUTED_VALUE"""),101428.0)</f>
        <v>101428</v>
      </c>
      <c r="B2356" s="2">
        <f>IFERROR(__xludf.DUMMYFUNCTION("""COMPUTED_VALUE"""),0.0)</f>
        <v>0</v>
      </c>
      <c r="C2356" s="2">
        <f>IFERROR(__xludf.DUMMYFUNCTION("""COMPUTED_VALUE"""),957.0)</f>
        <v>957</v>
      </c>
      <c r="D2356" s="3">
        <f>IFERROR(__xludf.DUMMYFUNCTION("""COMPUTED_VALUE"""),394.0)</f>
        <v>394</v>
      </c>
      <c r="E2356" s="2"/>
      <c r="F2356" s="2"/>
    </row>
    <row r="2357">
      <c r="A2357" s="2">
        <f>IFERROR(__xludf.DUMMYFUNCTION("""COMPUTED_VALUE"""),121798.0)</f>
        <v>121798</v>
      </c>
      <c r="B2357" s="2">
        <f>IFERROR(__xludf.DUMMYFUNCTION("""COMPUTED_VALUE"""),0.0)</f>
        <v>0</v>
      </c>
      <c r="C2357" s="2">
        <f>IFERROR(__xludf.DUMMYFUNCTION("""COMPUTED_VALUE"""),269.0)</f>
        <v>269</v>
      </c>
      <c r="D2357" s="3">
        <f>IFERROR(__xludf.DUMMYFUNCTION("""COMPUTED_VALUE"""),45.0)</f>
        <v>45</v>
      </c>
      <c r="E2357" s="2"/>
      <c r="F2357" s="2"/>
    </row>
    <row r="2358">
      <c r="A2358" s="2">
        <f>IFERROR(__xludf.DUMMYFUNCTION("""COMPUTED_VALUE"""),88636.0)</f>
        <v>88636</v>
      </c>
      <c r="B2358" s="2">
        <f>IFERROR(__xludf.DUMMYFUNCTION("""COMPUTED_VALUE"""),0.0)</f>
        <v>0</v>
      </c>
      <c r="C2358" s="2">
        <f>IFERROR(__xludf.DUMMYFUNCTION("""COMPUTED_VALUE"""),962.0)</f>
        <v>962</v>
      </c>
      <c r="D2358" s="3">
        <f>IFERROR(__xludf.DUMMYFUNCTION("""COMPUTED_VALUE"""),272.0)</f>
        <v>272</v>
      </c>
      <c r="E2358" s="2"/>
      <c r="F2358" s="2"/>
    </row>
    <row r="2359">
      <c r="A2359" s="2">
        <f>IFERROR(__xludf.DUMMYFUNCTION("""COMPUTED_VALUE"""),111038.0)</f>
        <v>111038</v>
      </c>
      <c r="B2359" s="2">
        <f>IFERROR(__xludf.DUMMYFUNCTION("""COMPUTED_VALUE"""),0.0)</f>
        <v>0</v>
      </c>
      <c r="C2359" s="2">
        <f>IFERROR(__xludf.DUMMYFUNCTION("""COMPUTED_VALUE"""),707.0)</f>
        <v>707</v>
      </c>
      <c r="D2359" s="3">
        <f>IFERROR(__xludf.DUMMYFUNCTION("""COMPUTED_VALUE"""),533.0)</f>
        <v>533</v>
      </c>
      <c r="E2359" s="2"/>
      <c r="F2359" s="2"/>
    </row>
    <row r="2360">
      <c r="A2360" s="2">
        <f>IFERROR(__xludf.DUMMYFUNCTION("""COMPUTED_VALUE"""),75032.0)</f>
        <v>75032</v>
      </c>
      <c r="B2360" s="2">
        <f>IFERROR(__xludf.DUMMYFUNCTION("""COMPUTED_VALUE"""),1.0)</f>
        <v>1</v>
      </c>
      <c r="C2360" s="2">
        <f>IFERROR(__xludf.DUMMYFUNCTION("""COMPUTED_VALUE"""),417.0)</f>
        <v>417</v>
      </c>
      <c r="D2360" s="3">
        <f>IFERROR(__xludf.DUMMYFUNCTION("""COMPUTED_VALUE"""),41.0)</f>
        <v>41</v>
      </c>
      <c r="E2360" s="2"/>
      <c r="F2360" s="2"/>
    </row>
    <row r="2361">
      <c r="A2361" s="2">
        <f>IFERROR(__xludf.DUMMYFUNCTION("""COMPUTED_VALUE"""),70187.0)</f>
        <v>70187</v>
      </c>
      <c r="B2361" s="2">
        <f>IFERROR(__xludf.DUMMYFUNCTION("""COMPUTED_VALUE"""),1.0)</f>
        <v>1</v>
      </c>
      <c r="C2361" s="2">
        <f>IFERROR(__xludf.DUMMYFUNCTION("""COMPUTED_VALUE"""),795.0)</f>
        <v>795</v>
      </c>
      <c r="D2361" s="3">
        <f>IFERROR(__xludf.DUMMYFUNCTION("""COMPUTED_VALUE"""),475.0)</f>
        <v>475</v>
      </c>
      <c r="E2361" s="2"/>
      <c r="F2361" s="2"/>
    </row>
    <row r="2362">
      <c r="A2362" s="2">
        <f>IFERROR(__xludf.DUMMYFUNCTION("""COMPUTED_VALUE"""),147278.0)</f>
        <v>147278</v>
      </c>
      <c r="B2362" s="2">
        <f>IFERROR(__xludf.DUMMYFUNCTION("""COMPUTED_VALUE"""),0.0)</f>
        <v>0</v>
      </c>
      <c r="C2362" s="2">
        <f>IFERROR(__xludf.DUMMYFUNCTION("""COMPUTED_VALUE"""),177.0)</f>
        <v>177</v>
      </c>
      <c r="D2362" s="3">
        <f>IFERROR(__xludf.DUMMYFUNCTION("""COMPUTED_VALUE"""),163.0)</f>
        <v>163</v>
      </c>
      <c r="E2362" s="2"/>
      <c r="F2362" s="2"/>
    </row>
    <row r="2363">
      <c r="A2363" s="2">
        <f>IFERROR(__xludf.DUMMYFUNCTION("""COMPUTED_VALUE"""),114972.0)</f>
        <v>114972</v>
      </c>
      <c r="B2363" s="2">
        <f>IFERROR(__xludf.DUMMYFUNCTION("""COMPUTED_VALUE"""),1.0)</f>
        <v>1</v>
      </c>
      <c r="C2363" s="2">
        <f>IFERROR(__xludf.DUMMYFUNCTION("""COMPUTED_VALUE"""),672.0)</f>
        <v>672</v>
      </c>
      <c r="D2363" s="3">
        <f>IFERROR(__xludf.DUMMYFUNCTION("""COMPUTED_VALUE"""),230.0)</f>
        <v>230</v>
      </c>
      <c r="E2363" s="2"/>
      <c r="F2363" s="2"/>
    </row>
    <row r="2364">
      <c r="A2364" s="2">
        <f>IFERROR(__xludf.DUMMYFUNCTION("""COMPUTED_VALUE"""),75072.0)</f>
        <v>75072</v>
      </c>
      <c r="B2364" s="2">
        <f>IFERROR(__xludf.DUMMYFUNCTION("""COMPUTED_VALUE"""),1.0)</f>
        <v>1</v>
      </c>
      <c r="C2364" s="2">
        <f>IFERROR(__xludf.DUMMYFUNCTION("""COMPUTED_VALUE"""),759.0)</f>
        <v>759</v>
      </c>
      <c r="D2364" s="3">
        <f>IFERROR(__xludf.DUMMYFUNCTION("""COMPUTED_VALUE"""),79.0)</f>
        <v>79</v>
      </c>
      <c r="E2364" s="2"/>
      <c r="F2364" s="2"/>
    </row>
    <row r="2365">
      <c r="A2365" s="2">
        <f>IFERROR(__xludf.DUMMYFUNCTION("""COMPUTED_VALUE"""),114971.0)</f>
        <v>114971</v>
      </c>
      <c r="B2365" s="2">
        <f>IFERROR(__xludf.DUMMYFUNCTION("""COMPUTED_VALUE"""),0.0)</f>
        <v>0</v>
      </c>
      <c r="C2365" s="2">
        <f>IFERROR(__xludf.DUMMYFUNCTION("""COMPUTED_VALUE"""),259.0)</f>
        <v>259</v>
      </c>
      <c r="D2365" s="3">
        <f>IFERROR(__xludf.DUMMYFUNCTION("""COMPUTED_VALUE"""),145.0)</f>
        <v>145</v>
      </c>
      <c r="E2365" s="2"/>
      <c r="F2365" s="2"/>
    </row>
    <row r="2366">
      <c r="A2366" s="2">
        <f>IFERROR(__xludf.DUMMYFUNCTION("""COMPUTED_VALUE"""),99981.0)</f>
        <v>99981</v>
      </c>
      <c r="B2366" s="2">
        <f>IFERROR(__xludf.DUMMYFUNCTION("""COMPUTED_VALUE"""),0.0)</f>
        <v>0</v>
      </c>
      <c r="C2366" s="2">
        <f>IFERROR(__xludf.DUMMYFUNCTION("""COMPUTED_VALUE"""),417.0)</f>
        <v>417</v>
      </c>
      <c r="D2366" s="3">
        <f>IFERROR(__xludf.DUMMYFUNCTION("""COMPUTED_VALUE"""),376.0)</f>
        <v>376</v>
      </c>
      <c r="E2366" s="2"/>
      <c r="F2366" s="2"/>
    </row>
    <row r="2367">
      <c r="A2367" s="2">
        <f>IFERROR(__xludf.DUMMYFUNCTION("""COMPUTED_VALUE"""),86383.0)</f>
        <v>86383</v>
      </c>
      <c r="B2367" s="2">
        <f>IFERROR(__xludf.DUMMYFUNCTION("""COMPUTED_VALUE"""),0.0)</f>
        <v>0</v>
      </c>
      <c r="C2367" s="2">
        <f>IFERROR(__xludf.DUMMYFUNCTION("""COMPUTED_VALUE"""),514.0)</f>
        <v>514</v>
      </c>
      <c r="D2367" s="3">
        <f>IFERROR(__xludf.DUMMYFUNCTION("""COMPUTED_VALUE"""),432.0)</f>
        <v>432</v>
      </c>
      <c r="E2367" s="2"/>
      <c r="F2367" s="2"/>
    </row>
    <row r="2368">
      <c r="A2368" s="2">
        <f>IFERROR(__xludf.DUMMYFUNCTION("""COMPUTED_VALUE"""),89587.0)</f>
        <v>89587</v>
      </c>
      <c r="B2368" s="2">
        <f>IFERROR(__xludf.DUMMYFUNCTION("""COMPUTED_VALUE"""),1.0)</f>
        <v>1</v>
      </c>
      <c r="C2368" s="2">
        <f>IFERROR(__xludf.DUMMYFUNCTION("""COMPUTED_VALUE"""),26.0)</f>
        <v>26</v>
      </c>
      <c r="D2368" s="3">
        <f>IFERROR(__xludf.DUMMYFUNCTION("""COMPUTED_VALUE"""),8.0)</f>
        <v>8</v>
      </c>
      <c r="E2368" s="2"/>
      <c r="F2368" s="2"/>
    </row>
    <row r="2369">
      <c r="A2369" s="2">
        <f>IFERROR(__xludf.DUMMYFUNCTION("""COMPUTED_VALUE"""),89516.0)</f>
        <v>89516</v>
      </c>
      <c r="B2369" s="2">
        <f>IFERROR(__xludf.DUMMYFUNCTION("""COMPUTED_VALUE"""),1.0)</f>
        <v>1</v>
      </c>
      <c r="C2369" s="2">
        <f>IFERROR(__xludf.DUMMYFUNCTION("""COMPUTED_VALUE"""),316.0)</f>
        <v>316</v>
      </c>
      <c r="D2369" s="3">
        <f>IFERROR(__xludf.DUMMYFUNCTION("""COMPUTED_VALUE"""),162.0)</f>
        <v>162</v>
      </c>
      <c r="E2369" s="2"/>
      <c r="F2369" s="2"/>
    </row>
    <row r="2370">
      <c r="A2370" s="2">
        <f>IFERROR(__xludf.DUMMYFUNCTION("""COMPUTED_VALUE"""),89519.0)</f>
        <v>89519</v>
      </c>
      <c r="B2370" s="2">
        <f>IFERROR(__xludf.DUMMYFUNCTION("""COMPUTED_VALUE"""),1.0)</f>
        <v>1</v>
      </c>
      <c r="C2370" s="2">
        <f>IFERROR(__xludf.DUMMYFUNCTION("""COMPUTED_VALUE"""),225.0)</f>
        <v>225</v>
      </c>
      <c r="D2370" s="3">
        <f>IFERROR(__xludf.DUMMYFUNCTION("""COMPUTED_VALUE"""),120.0)</f>
        <v>120</v>
      </c>
      <c r="E2370" s="2"/>
      <c r="F2370" s="2"/>
    </row>
    <row r="2371">
      <c r="A2371" s="2">
        <f>IFERROR(__xludf.DUMMYFUNCTION("""COMPUTED_VALUE"""),75060.0)</f>
        <v>75060</v>
      </c>
      <c r="B2371" s="2">
        <f>IFERROR(__xludf.DUMMYFUNCTION("""COMPUTED_VALUE"""),1.0)</f>
        <v>1</v>
      </c>
      <c r="C2371" s="2">
        <f>IFERROR(__xludf.DUMMYFUNCTION("""COMPUTED_VALUE"""),46.0)</f>
        <v>46</v>
      </c>
      <c r="D2371" s="3">
        <f>IFERROR(__xludf.DUMMYFUNCTION("""COMPUTED_VALUE"""),14.0)</f>
        <v>14</v>
      </c>
      <c r="E2371" s="2"/>
      <c r="F2371" s="2"/>
    </row>
    <row r="2372">
      <c r="A2372" s="2">
        <f>IFERROR(__xludf.DUMMYFUNCTION("""COMPUTED_VALUE"""),111745.0)</f>
        <v>111745</v>
      </c>
      <c r="B2372" s="2">
        <f>IFERROR(__xludf.DUMMYFUNCTION("""COMPUTED_VALUE"""),0.0)</f>
        <v>0</v>
      </c>
      <c r="C2372" s="2">
        <f>IFERROR(__xludf.DUMMYFUNCTION("""COMPUTED_VALUE"""),676.0)</f>
        <v>676</v>
      </c>
      <c r="D2372" s="3">
        <f>IFERROR(__xludf.DUMMYFUNCTION("""COMPUTED_VALUE"""),16.0)</f>
        <v>16</v>
      </c>
      <c r="E2372" s="2"/>
      <c r="F2372" s="2"/>
    </row>
    <row r="2373">
      <c r="A2373" s="2">
        <f>IFERROR(__xludf.DUMMYFUNCTION("""COMPUTED_VALUE"""),70242.0)</f>
        <v>70242</v>
      </c>
      <c r="B2373" s="2">
        <f>IFERROR(__xludf.DUMMYFUNCTION("""COMPUTED_VALUE"""),1.0)</f>
        <v>1</v>
      </c>
      <c r="C2373" s="2">
        <f>IFERROR(__xludf.DUMMYFUNCTION("""COMPUTED_VALUE"""),309.0)</f>
        <v>309</v>
      </c>
      <c r="D2373" s="3">
        <f>IFERROR(__xludf.DUMMYFUNCTION("""COMPUTED_VALUE"""),200.0)</f>
        <v>200</v>
      </c>
      <c r="E2373" s="2"/>
      <c r="F2373" s="2"/>
    </row>
    <row r="2374">
      <c r="A2374" s="2">
        <f>IFERROR(__xludf.DUMMYFUNCTION("""COMPUTED_VALUE"""),75061.0)</f>
        <v>75061</v>
      </c>
      <c r="B2374" s="2">
        <f>IFERROR(__xludf.DUMMYFUNCTION("""COMPUTED_VALUE"""),1.0)</f>
        <v>1</v>
      </c>
      <c r="C2374" s="2">
        <f>IFERROR(__xludf.DUMMYFUNCTION("""COMPUTED_VALUE"""),109.0)</f>
        <v>109</v>
      </c>
      <c r="D2374" s="3">
        <f>IFERROR(__xludf.DUMMYFUNCTION("""COMPUTED_VALUE"""),74.0)</f>
        <v>74</v>
      </c>
      <c r="E2374" s="2"/>
      <c r="F2374" s="2"/>
    </row>
    <row r="2375">
      <c r="A2375" s="2">
        <f>IFERROR(__xludf.DUMMYFUNCTION("""COMPUTED_VALUE"""),69467.0)</f>
        <v>69467</v>
      </c>
      <c r="B2375" s="2">
        <f>IFERROR(__xludf.DUMMYFUNCTION("""COMPUTED_VALUE"""),0.0)</f>
        <v>0</v>
      </c>
      <c r="C2375" s="2">
        <f>IFERROR(__xludf.DUMMYFUNCTION("""COMPUTED_VALUE"""),712.0)</f>
        <v>712</v>
      </c>
      <c r="D2375" s="3">
        <f>IFERROR(__xludf.DUMMYFUNCTION("""COMPUTED_VALUE"""),502.0)</f>
        <v>502</v>
      </c>
      <c r="E2375" s="2"/>
      <c r="F2375" s="2"/>
    </row>
    <row r="2376">
      <c r="A2376" s="2">
        <f>IFERROR(__xludf.DUMMYFUNCTION("""COMPUTED_VALUE"""),121800.0)</f>
        <v>121800</v>
      </c>
      <c r="B2376" s="2">
        <f>IFERROR(__xludf.DUMMYFUNCTION("""COMPUTED_VALUE"""),1.0)</f>
        <v>1</v>
      </c>
      <c r="C2376" s="2">
        <f>IFERROR(__xludf.DUMMYFUNCTION("""COMPUTED_VALUE"""),932.0)</f>
        <v>932</v>
      </c>
      <c r="D2376" s="3">
        <f>IFERROR(__xludf.DUMMYFUNCTION("""COMPUTED_VALUE"""),560.0)</f>
        <v>560</v>
      </c>
      <c r="E2376" s="2"/>
      <c r="F2376" s="2"/>
    </row>
    <row r="2377">
      <c r="A2377" s="2">
        <f>IFERROR(__xludf.DUMMYFUNCTION("""COMPUTED_VALUE"""),110974.0)</f>
        <v>110974</v>
      </c>
      <c r="B2377" s="2">
        <f>IFERROR(__xludf.DUMMYFUNCTION("""COMPUTED_VALUE"""),0.0)</f>
        <v>0</v>
      </c>
      <c r="C2377" s="2">
        <f>IFERROR(__xludf.DUMMYFUNCTION("""COMPUTED_VALUE"""),41.0)</f>
        <v>41</v>
      </c>
      <c r="D2377" s="3">
        <f>IFERROR(__xludf.DUMMYFUNCTION("""COMPUTED_VALUE"""),14.0)</f>
        <v>14</v>
      </c>
      <c r="E2377" s="2"/>
      <c r="F2377" s="2"/>
    </row>
    <row r="2378">
      <c r="A2378" s="2">
        <f>IFERROR(__xludf.DUMMYFUNCTION("""COMPUTED_VALUE"""),114969.0)</f>
        <v>114969</v>
      </c>
      <c r="B2378" s="2">
        <f>IFERROR(__xludf.DUMMYFUNCTION("""COMPUTED_VALUE"""),0.0)</f>
        <v>0</v>
      </c>
      <c r="C2378" s="2">
        <f>IFERROR(__xludf.DUMMYFUNCTION("""COMPUTED_VALUE"""),795.0)</f>
        <v>795</v>
      </c>
      <c r="D2378" s="3">
        <f>IFERROR(__xludf.DUMMYFUNCTION("""COMPUTED_VALUE"""),586.0)</f>
        <v>586</v>
      </c>
      <c r="E2378" s="2"/>
      <c r="F2378" s="2"/>
    </row>
    <row r="2379">
      <c r="A2379" s="2">
        <f>IFERROR(__xludf.DUMMYFUNCTION("""COMPUTED_VALUE"""),111041.0)</f>
        <v>111041</v>
      </c>
      <c r="B2379" s="2">
        <f>IFERROR(__xludf.DUMMYFUNCTION("""COMPUTED_VALUE"""),1.0)</f>
        <v>1</v>
      </c>
      <c r="C2379" s="2">
        <f>IFERROR(__xludf.DUMMYFUNCTION("""COMPUTED_VALUE"""),949.0)</f>
        <v>949</v>
      </c>
      <c r="D2379" s="3">
        <f>IFERROR(__xludf.DUMMYFUNCTION("""COMPUTED_VALUE"""),478.0)</f>
        <v>478</v>
      </c>
      <c r="E2379" s="2"/>
      <c r="F2379" s="2"/>
    </row>
    <row r="2380">
      <c r="A2380" s="2">
        <f>IFERROR(__xludf.DUMMYFUNCTION("""COMPUTED_VALUE"""),82382.0)</f>
        <v>82382</v>
      </c>
      <c r="B2380" s="2">
        <f>IFERROR(__xludf.DUMMYFUNCTION("""COMPUTED_VALUE"""),1.0)</f>
        <v>1</v>
      </c>
      <c r="C2380" s="2">
        <f>IFERROR(__xludf.DUMMYFUNCTION("""COMPUTED_VALUE"""),361.0)</f>
        <v>361</v>
      </c>
      <c r="D2380" s="3">
        <f>IFERROR(__xludf.DUMMYFUNCTION("""COMPUTED_VALUE"""),139.0)</f>
        <v>139</v>
      </c>
      <c r="E2380" s="2"/>
      <c r="F2380" s="2"/>
    </row>
    <row r="2381">
      <c r="A2381" s="2">
        <f>IFERROR(__xludf.DUMMYFUNCTION("""COMPUTED_VALUE"""),89634.0)</f>
        <v>89634</v>
      </c>
      <c r="B2381" s="2">
        <f>IFERROR(__xludf.DUMMYFUNCTION("""COMPUTED_VALUE"""),1.0)</f>
        <v>1</v>
      </c>
      <c r="C2381" s="2">
        <f>IFERROR(__xludf.DUMMYFUNCTION("""COMPUTED_VALUE"""),796.0)</f>
        <v>796</v>
      </c>
      <c r="D2381" s="3">
        <f>IFERROR(__xludf.DUMMYFUNCTION("""COMPUTED_VALUE"""),422.0)</f>
        <v>422</v>
      </c>
      <c r="E2381" s="2"/>
      <c r="F2381" s="2"/>
    </row>
    <row r="2382">
      <c r="A2382" s="2">
        <f>IFERROR(__xludf.DUMMYFUNCTION("""COMPUTED_VALUE"""),82381.0)</f>
        <v>82381</v>
      </c>
      <c r="B2382" s="2">
        <f>IFERROR(__xludf.DUMMYFUNCTION("""COMPUTED_VALUE"""),1.0)</f>
        <v>1</v>
      </c>
      <c r="C2382" s="2">
        <f>IFERROR(__xludf.DUMMYFUNCTION("""COMPUTED_VALUE"""),295.0)</f>
        <v>295</v>
      </c>
      <c r="D2382" s="3">
        <f>IFERROR(__xludf.DUMMYFUNCTION("""COMPUTED_VALUE"""),138.0)</f>
        <v>138</v>
      </c>
      <c r="E2382" s="2"/>
      <c r="F2382" s="2"/>
    </row>
    <row r="2383">
      <c r="A2383" s="2">
        <f>IFERROR(__xludf.DUMMYFUNCTION("""COMPUTED_VALUE"""),107232.0)</f>
        <v>107232</v>
      </c>
      <c r="B2383" s="2">
        <f>IFERROR(__xludf.DUMMYFUNCTION("""COMPUTED_VALUE"""),0.0)</f>
        <v>0</v>
      </c>
      <c r="C2383" s="2">
        <f>IFERROR(__xludf.DUMMYFUNCTION("""COMPUTED_VALUE"""),592.0)</f>
        <v>592</v>
      </c>
      <c r="D2383" s="3">
        <f>IFERROR(__xludf.DUMMYFUNCTION("""COMPUTED_VALUE"""),63.0)</f>
        <v>63</v>
      </c>
      <c r="E2383" s="2"/>
      <c r="F2383" s="2"/>
    </row>
    <row r="2384">
      <c r="A2384" s="2">
        <f>IFERROR(__xludf.DUMMYFUNCTION("""COMPUTED_VALUE"""),70247.0)</f>
        <v>70247</v>
      </c>
      <c r="B2384" s="2">
        <f>IFERROR(__xludf.DUMMYFUNCTION("""COMPUTED_VALUE"""),0.0)</f>
        <v>0</v>
      </c>
      <c r="C2384" s="2">
        <f>IFERROR(__xludf.DUMMYFUNCTION("""COMPUTED_VALUE"""),378.0)</f>
        <v>378</v>
      </c>
      <c r="D2384" s="3">
        <f>IFERROR(__xludf.DUMMYFUNCTION("""COMPUTED_VALUE"""),127.0)</f>
        <v>127</v>
      </c>
      <c r="E2384" s="2"/>
      <c r="F2384" s="2"/>
    </row>
    <row r="2385">
      <c r="A2385" s="2">
        <f>IFERROR(__xludf.DUMMYFUNCTION("""COMPUTED_VALUE"""),107253.0)</f>
        <v>107253</v>
      </c>
      <c r="B2385" s="2">
        <f>IFERROR(__xludf.DUMMYFUNCTION("""COMPUTED_VALUE"""),1.0)</f>
        <v>1</v>
      </c>
      <c r="C2385" s="2">
        <f>IFERROR(__xludf.DUMMYFUNCTION("""COMPUTED_VALUE"""),72.0)</f>
        <v>72</v>
      </c>
      <c r="D2385" s="3">
        <f>IFERROR(__xludf.DUMMYFUNCTION("""COMPUTED_VALUE"""),56.0)</f>
        <v>56</v>
      </c>
      <c r="E2385" s="2"/>
      <c r="F2385" s="2"/>
    </row>
    <row r="2386">
      <c r="A2386" s="2">
        <f>IFERROR(__xludf.DUMMYFUNCTION("""COMPUTED_VALUE"""),102709.0)</f>
        <v>102709</v>
      </c>
      <c r="B2386" s="2">
        <f>IFERROR(__xludf.DUMMYFUNCTION("""COMPUTED_VALUE"""),0.0)</f>
        <v>0</v>
      </c>
      <c r="C2386" s="2">
        <f>IFERROR(__xludf.DUMMYFUNCTION("""COMPUTED_VALUE"""),851.0)</f>
        <v>851</v>
      </c>
      <c r="D2386" s="3">
        <f>IFERROR(__xludf.DUMMYFUNCTION("""COMPUTED_VALUE"""),805.0)</f>
        <v>805</v>
      </c>
      <c r="E2386" s="2"/>
      <c r="F2386" s="2"/>
    </row>
    <row r="2387">
      <c r="A2387" s="2">
        <f>IFERROR(__xludf.DUMMYFUNCTION("""COMPUTED_VALUE"""),75050.0)</f>
        <v>75050</v>
      </c>
      <c r="B2387" s="2">
        <f>IFERROR(__xludf.DUMMYFUNCTION("""COMPUTED_VALUE"""),0.0)</f>
        <v>0</v>
      </c>
      <c r="C2387" s="2">
        <f>IFERROR(__xludf.DUMMYFUNCTION("""COMPUTED_VALUE"""),43.0)</f>
        <v>43</v>
      </c>
      <c r="D2387" s="3">
        <f>IFERROR(__xludf.DUMMYFUNCTION("""COMPUTED_VALUE"""),29.0)</f>
        <v>29</v>
      </c>
      <c r="E2387" s="2"/>
      <c r="F2387" s="2"/>
    </row>
    <row r="2388">
      <c r="A2388" s="2">
        <f>IFERROR(__xludf.DUMMYFUNCTION("""COMPUTED_VALUE"""),111014.0)</f>
        <v>111014</v>
      </c>
      <c r="B2388" s="2">
        <f>IFERROR(__xludf.DUMMYFUNCTION("""COMPUTED_VALUE"""),1.0)</f>
        <v>1</v>
      </c>
      <c r="C2388" s="2">
        <f>IFERROR(__xludf.DUMMYFUNCTION("""COMPUTED_VALUE"""),619.0)</f>
        <v>619</v>
      </c>
      <c r="D2388" s="3">
        <f>IFERROR(__xludf.DUMMYFUNCTION("""COMPUTED_VALUE"""),512.0)</f>
        <v>512</v>
      </c>
      <c r="E2388" s="2"/>
      <c r="F2388" s="2"/>
    </row>
    <row r="2389">
      <c r="A2389" s="2">
        <f>IFERROR(__xludf.DUMMYFUNCTION("""COMPUTED_VALUE"""),120282.0)</f>
        <v>120282</v>
      </c>
      <c r="B2389" s="2">
        <f>IFERROR(__xludf.DUMMYFUNCTION("""COMPUTED_VALUE"""),1.0)</f>
        <v>1</v>
      </c>
      <c r="C2389" s="2">
        <f>IFERROR(__xludf.DUMMYFUNCTION("""COMPUTED_VALUE"""),389.0)</f>
        <v>389</v>
      </c>
      <c r="D2389" s="3">
        <f>IFERROR(__xludf.DUMMYFUNCTION("""COMPUTED_VALUE"""),173.0)</f>
        <v>173</v>
      </c>
      <c r="E2389" s="2"/>
      <c r="F2389" s="2"/>
    </row>
    <row r="2390">
      <c r="A2390" s="2">
        <f>IFERROR(__xludf.DUMMYFUNCTION("""COMPUTED_VALUE"""),84512.0)</f>
        <v>84512</v>
      </c>
      <c r="B2390" s="2">
        <f>IFERROR(__xludf.DUMMYFUNCTION("""COMPUTED_VALUE"""),0.0)</f>
        <v>0</v>
      </c>
      <c r="C2390" s="2">
        <f>IFERROR(__xludf.DUMMYFUNCTION("""COMPUTED_VALUE"""),372.0)</f>
        <v>372</v>
      </c>
      <c r="D2390" s="3">
        <f>IFERROR(__xludf.DUMMYFUNCTION("""COMPUTED_VALUE"""),300.0)</f>
        <v>300</v>
      </c>
      <c r="E2390" s="2"/>
      <c r="F2390" s="2"/>
    </row>
    <row r="2391">
      <c r="A2391" s="2">
        <f>IFERROR(__xludf.DUMMYFUNCTION("""COMPUTED_VALUE"""),77197.0)</f>
        <v>77197</v>
      </c>
      <c r="B2391" s="2">
        <f>IFERROR(__xludf.DUMMYFUNCTION("""COMPUTED_VALUE"""),0.0)</f>
        <v>0</v>
      </c>
      <c r="C2391" s="2">
        <f>IFERROR(__xludf.DUMMYFUNCTION("""COMPUTED_VALUE"""),536.0)</f>
        <v>536</v>
      </c>
      <c r="D2391" s="3">
        <f>IFERROR(__xludf.DUMMYFUNCTION("""COMPUTED_VALUE"""),510.0)</f>
        <v>510</v>
      </c>
      <c r="E2391" s="2"/>
      <c r="F2391" s="2"/>
    </row>
    <row r="2392">
      <c r="A2392" s="2">
        <f>IFERROR(__xludf.DUMMYFUNCTION("""COMPUTED_VALUE"""),29650.0)</f>
        <v>29650</v>
      </c>
      <c r="B2392" s="2">
        <f>IFERROR(__xludf.DUMMYFUNCTION("""COMPUTED_VALUE"""),0.0)</f>
        <v>0</v>
      </c>
      <c r="C2392" s="2">
        <f>IFERROR(__xludf.DUMMYFUNCTION("""COMPUTED_VALUE"""),23.0)</f>
        <v>23</v>
      </c>
      <c r="D2392" s="3">
        <f>IFERROR(__xludf.DUMMYFUNCTION("""COMPUTED_VALUE"""),12.0)</f>
        <v>12</v>
      </c>
      <c r="E2392" s="2"/>
      <c r="F2392" s="2"/>
    </row>
    <row r="2393">
      <c r="A2393" s="2">
        <f>IFERROR(__xludf.DUMMYFUNCTION("""COMPUTED_VALUE"""),4162.0)</f>
        <v>4162</v>
      </c>
      <c r="B2393" s="2">
        <f>IFERROR(__xludf.DUMMYFUNCTION("""COMPUTED_VALUE"""),0.0)</f>
        <v>0</v>
      </c>
      <c r="C2393" s="2">
        <f>IFERROR(__xludf.DUMMYFUNCTION("""COMPUTED_VALUE"""),166.0)</f>
        <v>166</v>
      </c>
      <c r="D2393" s="3">
        <f>IFERROR(__xludf.DUMMYFUNCTION("""COMPUTED_VALUE"""),85.0)</f>
        <v>85</v>
      </c>
      <c r="E2393" s="2"/>
      <c r="F2393" s="2"/>
    </row>
    <row r="2394">
      <c r="A2394" s="2">
        <f>IFERROR(__xludf.DUMMYFUNCTION("""COMPUTED_VALUE"""),88214.0)</f>
        <v>88214</v>
      </c>
      <c r="B2394" s="2">
        <f>IFERROR(__xludf.DUMMYFUNCTION("""COMPUTED_VALUE"""),1.0)</f>
        <v>1</v>
      </c>
      <c r="C2394" s="2">
        <f>IFERROR(__xludf.DUMMYFUNCTION("""COMPUTED_VALUE"""),854.0)</f>
        <v>854</v>
      </c>
      <c r="D2394" s="3">
        <f>IFERROR(__xludf.DUMMYFUNCTION("""COMPUTED_VALUE"""),839.0)</f>
        <v>839</v>
      </c>
      <c r="E2394" s="2"/>
      <c r="F2394" s="2"/>
    </row>
    <row r="2395">
      <c r="A2395" s="2">
        <f>IFERROR(__xludf.DUMMYFUNCTION("""COMPUTED_VALUE"""),73254.0)</f>
        <v>73254</v>
      </c>
      <c r="B2395" s="2">
        <f>IFERROR(__xludf.DUMMYFUNCTION("""COMPUTED_VALUE"""),0.0)</f>
        <v>0</v>
      </c>
      <c r="C2395" s="2">
        <f>IFERROR(__xludf.DUMMYFUNCTION("""COMPUTED_VALUE"""),169.0)</f>
        <v>169</v>
      </c>
      <c r="D2395" s="3">
        <f>IFERROR(__xludf.DUMMYFUNCTION("""COMPUTED_VALUE"""),1.0)</f>
        <v>1</v>
      </c>
      <c r="E2395" s="2"/>
      <c r="F2395" s="2"/>
    </row>
    <row r="2396">
      <c r="A2396" s="2">
        <f>IFERROR(__xludf.DUMMYFUNCTION("""COMPUTED_VALUE"""),108204.0)</f>
        <v>108204</v>
      </c>
      <c r="B2396" s="2">
        <f>IFERROR(__xludf.DUMMYFUNCTION("""COMPUTED_VALUE"""),1.0)</f>
        <v>1</v>
      </c>
      <c r="C2396" s="2">
        <f>IFERROR(__xludf.DUMMYFUNCTION("""COMPUTED_VALUE"""),751.0)</f>
        <v>751</v>
      </c>
      <c r="D2396" s="3">
        <f>IFERROR(__xludf.DUMMYFUNCTION("""COMPUTED_VALUE"""),436.0)</f>
        <v>436</v>
      </c>
      <c r="E2396" s="2"/>
      <c r="F2396" s="2"/>
    </row>
    <row r="2397">
      <c r="A2397" s="2">
        <f>IFERROR(__xludf.DUMMYFUNCTION("""COMPUTED_VALUE"""),9676.0)</f>
        <v>9676</v>
      </c>
      <c r="B2397" s="2">
        <f>IFERROR(__xludf.DUMMYFUNCTION("""COMPUTED_VALUE"""),0.0)</f>
        <v>0</v>
      </c>
      <c r="C2397" s="2">
        <f>IFERROR(__xludf.DUMMYFUNCTION("""COMPUTED_VALUE"""),94.0)</f>
        <v>94</v>
      </c>
      <c r="D2397" s="3">
        <f>IFERROR(__xludf.DUMMYFUNCTION("""COMPUTED_VALUE"""),4.0)</f>
        <v>4</v>
      </c>
      <c r="E2397" s="2"/>
      <c r="F2397" s="2"/>
    </row>
    <row r="2398">
      <c r="A2398" s="2">
        <f>IFERROR(__xludf.DUMMYFUNCTION("""COMPUTED_VALUE"""),44412.0)</f>
        <v>44412</v>
      </c>
      <c r="B2398" s="2">
        <f>IFERROR(__xludf.DUMMYFUNCTION("""COMPUTED_VALUE"""),1.0)</f>
        <v>1</v>
      </c>
      <c r="C2398" s="2">
        <f>IFERROR(__xludf.DUMMYFUNCTION("""COMPUTED_VALUE"""),278.0)</f>
        <v>278</v>
      </c>
      <c r="D2398" s="3">
        <f>IFERROR(__xludf.DUMMYFUNCTION("""COMPUTED_VALUE"""),111.0)</f>
        <v>111</v>
      </c>
      <c r="E2398" s="2"/>
      <c r="F2398" s="2"/>
    </row>
    <row r="2399">
      <c r="A2399" s="2">
        <f>IFERROR(__xludf.DUMMYFUNCTION("""COMPUTED_VALUE"""),73253.0)</f>
        <v>73253</v>
      </c>
      <c r="B2399" s="2">
        <f>IFERROR(__xludf.DUMMYFUNCTION("""COMPUTED_VALUE"""),1.0)</f>
        <v>1</v>
      </c>
      <c r="C2399" s="2">
        <f>IFERROR(__xludf.DUMMYFUNCTION("""COMPUTED_VALUE"""),156.0)</f>
        <v>156</v>
      </c>
      <c r="D2399" s="3">
        <f>IFERROR(__xludf.DUMMYFUNCTION("""COMPUTED_VALUE"""),94.0)</f>
        <v>94</v>
      </c>
      <c r="E2399" s="2"/>
      <c r="F2399" s="2"/>
    </row>
    <row r="2400">
      <c r="A2400" s="2">
        <f>IFERROR(__xludf.DUMMYFUNCTION("""COMPUTED_VALUE"""),122516.0)</f>
        <v>122516</v>
      </c>
      <c r="B2400" s="2">
        <f>IFERROR(__xludf.DUMMYFUNCTION("""COMPUTED_VALUE"""),1.0)</f>
        <v>1</v>
      </c>
      <c r="C2400" s="2">
        <f>IFERROR(__xludf.DUMMYFUNCTION("""COMPUTED_VALUE"""),874.0)</f>
        <v>874</v>
      </c>
      <c r="D2400" s="3">
        <f>IFERROR(__xludf.DUMMYFUNCTION("""COMPUTED_VALUE"""),560.0)</f>
        <v>560</v>
      </c>
      <c r="E2400" s="2"/>
      <c r="F2400" s="2"/>
    </row>
    <row r="2401">
      <c r="A2401" s="2">
        <f>IFERROR(__xludf.DUMMYFUNCTION("""COMPUTED_VALUE"""),70314.0)</f>
        <v>70314</v>
      </c>
      <c r="B2401" s="2">
        <f>IFERROR(__xludf.DUMMYFUNCTION("""COMPUTED_VALUE"""),1.0)</f>
        <v>1</v>
      </c>
      <c r="C2401" s="2">
        <f>IFERROR(__xludf.DUMMYFUNCTION("""COMPUTED_VALUE"""),488.0)</f>
        <v>488</v>
      </c>
      <c r="D2401" s="3">
        <f>IFERROR(__xludf.DUMMYFUNCTION("""COMPUTED_VALUE"""),467.0)</f>
        <v>467</v>
      </c>
      <c r="E2401" s="2"/>
      <c r="F2401" s="2"/>
    </row>
    <row r="2402">
      <c r="A2402" s="2">
        <f>IFERROR(__xludf.DUMMYFUNCTION("""COMPUTED_VALUE"""),17644.0)</f>
        <v>17644</v>
      </c>
      <c r="B2402" s="2">
        <f>IFERROR(__xludf.DUMMYFUNCTION("""COMPUTED_VALUE"""),0.0)</f>
        <v>0</v>
      </c>
      <c r="C2402" s="2">
        <f>IFERROR(__xludf.DUMMYFUNCTION("""COMPUTED_VALUE"""),107.0)</f>
        <v>107</v>
      </c>
      <c r="D2402" s="3">
        <f>IFERROR(__xludf.DUMMYFUNCTION("""COMPUTED_VALUE"""),35.0)</f>
        <v>35</v>
      </c>
      <c r="E2402" s="2"/>
      <c r="F2402" s="2"/>
    </row>
    <row r="2403">
      <c r="A2403" s="2">
        <f>IFERROR(__xludf.DUMMYFUNCTION("""COMPUTED_VALUE"""),118996.0)</f>
        <v>118996</v>
      </c>
      <c r="B2403" s="2">
        <f>IFERROR(__xludf.DUMMYFUNCTION("""COMPUTED_VALUE"""),0.0)</f>
        <v>0</v>
      </c>
      <c r="C2403" s="2">
        <f>IFERROR(__xludf.DUMMYFUNCTION("""COMPUTED_VALUE"""),251.0)</f>
        <v>251</v>
      </c>
      <c r="D2403" s="3">
        <f>IFERROR(__xludf.DUMMYFUNCTION("""COMPUTED_VALUE"""),187.0)</f>
        <v>187</v>
      </c>
      <c r="E2403" s="2"/>
      <c r="F2403" s="2"/>
    </row>
    <row r="2404">
      <c r="A2404" s="2">
        <f>IFERROR(__xludf.DUMMYFUNCTION("""COMPUTED_VALUE"""),79199.0)</f>
        <v>79199</v>
      </c>
      <c r="B2404" s="2">
        <f>IFERROR(__xludf.DUMMYFUNCTION("""COMPUTED_VALUE"""),0.0)</f>
        <v>0</v>
      </c>
      <c r="C2404" s="2">
        <f>IFERROR(__xludf.DUMMYFUNCTION("""COMPUTED_VALUE"""),556.0)</f>
        <v>556</v>
      </c>
      <c r="D2404" s="3">
        <f>IFERROR(__xludf.DUMMYFUNCTION("""COMPUTED_VALUE"""),338.0)</f>
        <v>338</v>
      </c>
      <c r="E2404" s="2"/>
      <c r="F2404" s="2"/>
    </row>
    <row r="2405">
      <c r="A2405" s="2">
        <f>IFERROR(__xludf.DUMMYFUNCTION("""COMPUTED_VALUE"""),128316.0)</f>
        <v>128316</v>
      </c>
      <c r="B2405" s="2">
        <f>IFERROR(__xludf.DUMMYFUNCTION("""COMPUTED_VALUE"""),1.0)</f>
        <v>1</v>
      </c>
      <c r="C2405" s="2">
        <f>IFERROR(__xludf.DUMMYFUNCTION("""COMPUTED_VALUE"""),332.0)</f>
        <v>332</v>
      </c>
      <c r="D2405" s="3">
        <f>IFERROR(__xludf.DUMMYFUNCTION("""COMPUTED_VALUE"""),55.0)</f>
        <v>55</v>
      </c>
      <c r="E2405" s="2"/>
      <c r="F2405" s="2"/>
    </row>
    <row r="2406">
      <c r="A2406" s="2">
        <f>IFERROR(__xludf.DUMMYFUNCTION("""COMPUTED_VALUE"""),7933.0)</f>
        <v>7933</v>
      </c>
      <c r="B2406" s="2">
        <f>IFERROR(__xludf.DUMMYFUNCTION("""COMPUTED_VALUE"""),1.0)</f>
        <v>1</v>
      </c>
      <c r="C2406" s="2">
        <f>IFERROR(__xludf.DUMMYFUNCTION("""COMPUTED_VALUE"""),734.0)</f>
        <v>734</v>
      </c>
      <c r="D2406" s="3">
        <f>IFERROR(__xludf.DUMMYFUNCTION("""COMPUTED_VALUE"""),517.0)</f>
        <v>517</v>
      </c>
      <c r="E2406" s="2"/>
      <c r="F2406" s="2"/>
    </row>
    <row r="2407">
      <c r="A2407" s="2">
        <f>IFERROR(__xludf.DUMMYFUNCTION("""COMPUTED_VALUE"""),85944.0)</f>
        <v>85944</v>
      </c>
      <c r="B2407" s="2">
        <f>IFERROR(__xludf.DUMMYFUNCTION("""COMPUTED_VALUE"""),1.0)</f>
        <v>1</v>
      </c>
      <c r="C2407" s="2">
        <f>IFERROR(__xludf.DUMMYFUNCTION("""COMPUTED_VALUE"""),398.0)</f>
        <v>398</v>
      </c>
      <c r="D2407" s="3">
        <f>IFERROR(__xludf.DUMMYFUNCTION("""COMPUTED_VALUE"""),250.0)</f>
        <v>250</v>
      </c>
      <c r="E2407" s="2"/>
      <c r="F2407" s="2"/>
    </row>
    <row r="2408">
      <c r="A2408" s="2">
        <f>IFERROR(__xludf.DUMMYFUNCTION("""COMPUTED_VALUE"""),76665.0)</f>
        <v>76665</v>
      </c>
      <c r="B2408" s="2">
        <f>IFERROR(__xludf.DUMMYFUNCTION("""COMPUTED_VALUE"""),1.0)</f>
        <v>1</v>
      </c>
      <c r="C2408" s="2">
        <f>IFERROR(__xludf.DUMMYFUNCTION("""COMPUTED_VALUE"""),467.0)</f>
        <v>467</v>
      </c>
      <c r="D2408" s="3">
        <f>IFERROR(__xludf.DUMMYFUNCTION("""COMPUTED_VALUE"""),284.0)</f>
        <v>284</v>
      </c>
      <c r="E2408" s="2"/>
      <c r="F2408" s="2"/>
    </row>
    <row r="2409">
      <c r="A2409" s="2">
        <f>IFERROR(__xludf.DUMMYFUNCTION("""COMPUTED_VALUE"""),102286.0)</f>
        <v>102286</v>
      </c>
      <c r="B2409" s="2">
        <f>IFERROR(__xludf.DUMMYFUNCTION("""COMPUTED_VALUE"""),1.0)</f>
        <v>1</v>
      </c>
      <c r="C2409" s="2">
        <f>IFERROR(__xludf.DUMMYFUNCTION("""COMPUTED_VALUE"""),745.0)</f>
        <v>745</v>
      </c>
      <c r="D2409" s="3">
        <f>IFERROR(__xludf.DUMMYFUNCTION("""COMPUTED_VALUE"""),689.0)</f>
        <v>689</v>
      </c>
      <c r="E2409" s="2"/>
      <c r="F2409" s="2"/>
    </row>
    <row r="2410">
      <c r="A2410" s="2">
        <f>IFERROR(__xludf.DUMMYFUNCTION("""COMPUTED_VALUE"""),77199.0)</f>
        <v>77199</v>
      </c>
      <c r="B2410" s="2">
        <f>IFERROR(__xludf.DUMMYFUNCTION("""COMPUTED_VALUE"""),1.0)</f>
        <v>1</v>
      </c>
      <c r="C2410" s="2">
        <f>IFERROR(__xludf.DUMMYFUNCTION("""COMPUTED_VALUE"""),496.0)</f>
        <v>496</v>
      </c>
      <c r="D2410" s="3">
        <f>IFERROR(__xludf.DUMMYFUNCTION("""COMPUTED_VALUE"""),217.0)</f>
        <v>217</v>
      </c>
      <c r="E2410" s="2"/>
      <c r="F2410" s="2"/>
    </row>
    <row r="2411">
      <c r="A2411" s="2">
        <f>IFERROR(__xludf.DUMMYFUNCTION("""COMPUTED_VALUE"""),11722.0)</f>
        <v>11722</v>
      </c>
      <c r="B2411" s="2">
        <f>IFERROR(__xludf.DUMMYFUNCTION("""COMPUTED_VALUE"""),0.0)</f>
        <v>0</v>
      </c>
      <c r="C2411" s="2">
        <f>IFERROR(__xludf.DUMMYFUNCTION("""COMPUTED_VALUE"""),547.0)</f>
        <v>547</v>
      </c>
      <c r="D2411" s="3">
        <f>IFERROR(__xludf.DUMMYFUNCTION("""COMPUTED_VALUE"""),133.0)</f>
        <v>133</v>
      </c>
      <c r="E2411" s="2"/>
      <c r="F2411" s="2"/>
    </row>
    <row r="2412">
      <c r="A2412" s="2">
        <f>IFERROR(__xludf.DUMMYFUNCTION("""COMPUTED_VALUE"""),97949.0)</f>
        <v>97949</v>
      </c>
      <c r="B2412" s="2">
        <f>IFERROR(__xludf.DUMMYFUNCTION("""COMPUTED_VALUE"""),1.0)</f>
        <v>1</v>
      </c>
      <c r="C2412" s="2">
        <f>IFERROR(__xludf.DUMMYFUNCTION("""COMPUTED_VALUE"""),336.0)</f>
        <v>336</v>
      </c>
      <c r="D2412" s="3">
        <f>IFERROR(__xludf.DUMMYFUNCTION("""COMPUTED_VALUE"""),87.0)</f>
        <v>87</v>
      </c>
      <c r="E2412" s="2"/>
      <c r="F2412" s="2"/>
    </row>
    <row r="2413">
      <c r="A2413" s="2">
        <f>IFERROR(__xludf.DUMMYFUNCTION("""COMPUTED_VALUE"""),9701.0)</f>
        <v>9701</v>
      </c>
      <c r="B2413" s="2">
        <f>IFERROR(__xludf.DUMMYFUNCTION("""COMPUTED_VALUE"""),1.0)</f>
        <v>1</v>
      </c>
      <c r="C2413" s="2">
        <f>IFERROR(__xludf.DUMMYFUNCTION("""COMPUTED_VALUE"""),571.0)</f>
        <v>571</v>
      </c>
      <c r="D2413" s="3">
        <f>IFERROR(__xludf.DUMMYFUNCTION("""COMPUTED_VALUE"""),554.0)</f>
        <v>554</v>
      </c>
      <c r="E2413" s="2"/>
      <c r="F2413" s="2"/>
    </row>
    <row r="2414">
      <c r="A2414" s="2">
        <f>IFERROR(__xludf.DUMMYFUNCTION("""COMPUTED_VALUE"""),117615.0)</f>
        <v>117615</v>
      </c>
      <c r="B2414" s="2">
        <f>IFERROR(__xludf.DUMMYFUNCTION("""COMPUTED_VALUE"""),1.0)</f>
        <v>1</v>
      </c>
      <c r="C2414" s="2">
        <f>IFERROR(__xludf.DUMMYFUNCTION("""COMPUTED_VALUE"""),768.0)</f>
        <v>768</v>
      </c>
      <c r="D2414" s="3">
        <f>IFERROR(__xludf.DUMMYFUNCTION("""COMPUTED_VALUE"""),276.0)</f>
        <v>276</v>
      </c>
      <c r="E2414" s="2"/>
      <c r="F2414" s="2"/>
    </row>
    <row r="2415">
      <c r="A2415" s="2">
        <f>IFERROR(__xludf.DUMMYFUNCTION("""COMPUTED_VALUE"""),10076.0)</f>
        <v>10076</v>
      </c>
      <c r="B2415" s="2">
        <f>IFERROR(__xludf.DUMMYFUNCTION("""COMPUTED_VALUE"""),1.0)</f>
        <v>1</v>
      </c>
      <c r="C2415" s="2">
        <f>IFERROR(__xludf.DUMMYFUNCTION("""COMPUTED_VALUE"""),223.0)</f>
        <v>223</v>
      </c>
      <c r="D2415" s="3">
        <f>IFERROR(__xludf.DUMMYFUNCTION("""COMPUTED_VALUE"""),199.0)</f>
        <v>199</v>
      </c>
      <c r="E2415" s="2"/>
      <c r="F2415" s="2"/>
    </row>
    <row r="2416">
      <c r="A2416" s="2">
        <f>IFERROR(__xludf.DUMMYFUNCTION("""COMPUTED_VALUE"""),106572.0)</f>
        <v>106572</v>
      </c>
      <c r="B2416" s="2">
        <f>IFERROR(__xludf.DUMMYFUNCTION("""COMPUTED_VALUE"""),0.0)</f>
        <v>0</v>
      </c>
      <c r="C2416" s="2">
        <f>IFERROR(__xludf.DUMMYFUNCTION("""COMPUTED_VALUE"""),685.0)</f>
        <v>685</v>
      </c>
      <c r="D2416" s="3">
        <f>IFERROR(__xludf.DUMMYFUNCTION("""COMPUTED_VALUE"""),261.0)</f>
        <v>261</v>
      </c>
      <c r="E2416" s="2"/>
      <c r="F2416" s="2"/>
    </row>
    <row r="2417">
      <c r="A2417" s="2">
        <f>IFERROR(__xludf.DUMMYFUNCTION("""COMPUTED_VALUE"""),10081.0)</f>
        <v>10081</v>
      </c>
      <c r="B2417" s="2">
        <f>IFERROR(__xludf.DUMMYFUNCTION("""COMPUTED_VALUE"""),0.0)</f>
        <v>0</v>
      </c>
      <c r="C2417" s="2">
        <f>IFERROR(__xludf.DUMMYFUNCTION("""COMPUTED_VALUE"""),664.0)</f>
        <v>664</v>
      </c>
      <c r="D2417" s="3">
        <f>IFERROR(__xludf.DUMMYFUNCTION("""COMPUTED_VALUE"""),516.0)</f>
        <v>516</v>
      </c>
      <c r="E2417" s="2"/>
      <c r="F2417" s="2"/>
    </row>
    <row r="2418">
      <c r="A2418" s="2">
        <f>IFERROR(__xludf.DUMMYFUNCTION("""COMPUTED_VALUE"""),46424.0)</f>
        <v>46424</v>
      </c>
      <c r="B2418" s="2">
        <f>IFERROR(__xludf.DUMMYFUNCTION("""COMPUTED_VALUE"""),1.0)</f>
        <v>1</v>
      </c>
      <c r="C2418" s="2">
        <f>IFERROR(__xludf.DUMMYFUNCTION("""COMPUTED_VALUE"""),722.0)</f>
        <v>722</v>
      </c>
      <c r="D2418" s="3">
        <f>IFERROR(__xludf.DUMMYFUNCTION("""COMPUTED_VALUE"""),493.0)</f>
        <v>493</v>
      </c>
      <c r="E2418" s="2"/>
      <c r="F2418" s="2"/>
    </row>
    <row r="2419">
      <c r="A2419" s="2">
        <f>IFERROR(__xludf.DUMMYFUNCTION("""COMPUTED_VALUE"""),118931.0)</f>
        <v>118931</v>
      </c>
      <c r="B2419" s="2">
        <f>IFERROR(__xludf.DUMMYFUNCTION("""COMPUTED_VALUE"""),0.0)</f>
        <v>0</v>
      </c>
      <c r="C2419" s="2">
        <f>IFERROR(__xludf.DUMMYFUNCTION("""COMPUTED_VALUE"""),40.0)</f>
        <v>40</v>
      </c>
      <c r="D2419" s="3">
        <f>IFERROR(__xludf.DUMMYFUNCTION("""COMPUTED_VALUE"""),25.0)</f>
        <v>25</v>
      </c>
      <c r="E2419" s="2"/>
      <c r="F2419" s="2"/>
    </row>
    <row r="2420">
      <c r="A2420" s="2">
        <f>IFERROR(__xludf.DUMMYFUNCTION("""COMPUTED_VALUE"""),10078.0)</f>
        <v>10078</v>
      </c>
      <c r="B2420" s="2">
        <f>IFERROR(__xludf.DUMMYFUNCTION("""COMPUTED_VALUE"""),0.0)</f>
        <v>0</v>
      </c>
      <c r="C2420" s="2">
        <f>IFERROR(__xludf.DUMMYFUNCTION("""COMPUTED_VALUE"""),216.0)</f>
        <v>216</v>
      </c>
      <c r="D2420" s="3">
        <f>IFERROR(__xludf.DUMMYFUNCTION("""COMPUTED_VALUE"""),68.0)</f>
        <v>68</v>
      </c>
      <c r="E2420" s="2"/>
      <c r="F2420" s="2"/>
    </row>
    <row r="2421">
      <c r="A2421" s="2">
        <f>IFERROR(__xludf.DUMMYFUNCTION("""COMPUTED_VALUE"""),75824.0)</f>
        <v>75824</v>
      </c>
      <c r="B2421" s="2">
        <f>IFERROR(__xludf.DUMMYFUNCTION("""COMPUTED_VALUE"""),1.0)</f>
        <v>1</v>
      </c>
      <c r="C2421" s="2">
        <f>IFERROR(__xludf.DUMMYFUNCTION("""COMPUTED_VALUE"""),649.0)</f>
        <v>649</v>
      </c>
      <c r="D2421" s="3">
        <f>IFERROR(__xludf.DUMMYFUNCTION("""COMPUTED_VALUE"""),68.0)</f>
        <v>68</v>
      </c>
      <c r="E2421" s="2"/>
      <c r="F2421" s="2"/>
    </row>
    <row r="2422">
      <c r="A2422" s="2">
        <f>IFERROR(__xludf.DUMMYFUNCTION("""COMPUTED_VALUE"""),80433.0)</f>
        <v>80433</v>
      </c>
      <c r="B2422" s="2">
        <f>IFERROR(__xludf.DUMMYFUNCTION("""COMPUTED_VALUE"""),1.0)</f>
        <v>1</v>
      </c>
      <c r="C2422" s="2">
        <f>IFERROR(__xludf.DUMMYFUNCTION("""COMPUTED_VALUE"""),26.0)</f>
        <v>26</v>
      </c>
      <c r="D2422" s="3">
        <f>IFERROR(__xludf.DUMMYFUNCTION("""COMPUTED_VALUE"""),21.0)</f>
        <v>21</v>
      </c>
      <c r="E2422" s="2"/>
      <c r="F2422" s="2"/>
    </row>
    <row r="2423">
      <c r="A2423" s="2">
        <f>IFERROR(__xludf.DUMMYFUNCTION("""COMPUTED_VALUE"""),106566.0)</f>
        <v>106566</v>
      </c>
      <c r="B2423" s="2">
        <f>IFERROR(__xludf.DUMMYFUNCTION("""COMPUTED_VALUE"""),1.0)</f>
        <v>1</v>
      </c>
      <c r="C2423" s="2">
        <f>IFERROR(__xludf.DUMMYFUNCTION("""COMPUTED_VALUE"""),869.0)</f>
        <v>869</v>
      </c>
      <c r="D2423" s="3">
        <f>IFERROR(__xludf.DUMMYFUNCTION("""COMPUTED_VALUE"""),164.0)</f>
        <v>164</v>
      </c>
      <c r="E2423" s="2"/>
      <c r="F2423" s="2"/>
    </row>
    <row r="2424">
      <c r="A2424" s="2">
        <f>IFERROR(__xludf.DUMMYFUNCTION("""COMPUTED_VALUE"""),9702.0)</f>
        <v>9702</v>
      </c>
      <c r="B2424" s="2">
        <f>IFERROR(__xludf.DUMMYFUNCTION("""COMPUTED_VALUE"""),0.0)</f>
        <v>0</v>
      </c>
      <c r="C2424" s="2">
        <f>IFERROR(__xludf.DUMMYFUNCTION("""COMPUTED_VALUE"""),383.0)</f>
        <v>383</v>
      </c>
      <c r="D2424" s="3">
        <f>IFERROR(__xludf.DUMMYFUNCTION("""COMPUTED_VALUE"""),89.0)</f>
        <v>89</v>
      </c>
      <c r="E2424" s="2"/>
      <c r="F2424" s="2"/>
    </row>
    <row r="2425">
      <c r="A2425" s="2">
        <f>IFERROR(__xludf.DUMMYFUNCTION("""COMPUTED_VALUE"""),122445.0)</f>
        <v>122445</v>
      </c>
      <c r="B2425" s="2">
        <f>IFERROR(__xludf.DUMMYFUNCTION("""COMPUTED_VALUE"""),0.0)</f>
        <v>0</v>
      </c>
      <c r="C2425" s="2">
        <f>IFERROR(__xludf.DUMMYFUNCTION("""COMPUTED_VALUE"""),135.0)</f>
        <v>135</v>
      </c>
      <c r="D2425" s="3">
        <f>IFERROR(__xludf.DUMMYFUNCTION("""COMPUTED_VALUE"""),14.0)</f>
        <v>14</v>
      </c>
      <c r="E2425" s="2"/>
      <c r="F2425" s="2"/>
    </row>
    <row r="2426">
      <c r="A2426" s="2">
        <f>IFERROR(__xludf.DUMMYFUNCTION("""COMPUTED_VALUE"""),77178.0)</f>
        <v>77178</v>
      </c>
      <c r="B2426" s="2">
        <f>IFERROR(__xludf.DUMMYFUNCTION("""COMPUTED_VALUE"""),0.0)</f>
        <v>0</v>
      </c>
      <c r="C2426" s="2">
        <f>IFERROR(__xludf.DUMMYFUNCTION("""COMPUTED_VALUE"""),772.0)</f>
        <v>772</v>
      </c>
      <c r="D2426" s="3">
        <f>IFERROR(__xludf.DUMMYFUNCTION("""COMPUTED_VALUE"""),496.0)</f>
        <v>496</v>
      </c>
      <c r="E2426" s="2"/>
      <c r="F2426" s="2"/>
    </row>
    <row r="2427">
      <c r="A2427" s="2">
        <f>IFERROR(__xludf.DUMMYFUNCTION("""COMPUTED_VALUE"""),10075.0)</f>
        <v>10075</v>
      </c>
      <c r="B2427" s="2">
        <f>IFERROR(__xludf.DUMMYFUNCTION("""COMPUTED_VALUE"""),0.0)</f>
        <v>0</v>
      </c>
      <c r="C2427" s="2">
        <f>IFERROR(__xludf.DUMMYFUNCTION("""COMPUTED_VALUE"""),134.0)</f>
        <v>134</v>
      </c>
      <c r="D2427" s="3">
        <f>IFERROR(__xludf.DUMMYFUNCTION("""COMPUTED_VALUE"""),30.0)</f>
        <v>30</v>
      </c>
      <c r="E2427" s="2"/>
      <c r="F2427" s="2"/>
    </row>
    <row r="2428">
      <c r="A2428" s="2">
        <f>IFERROR(__xludf.DUMMYFUNCTION("""COMPUTED_VALUE"""),10079.0)</f>
        <v>10079</v>
      </c>
      <c r="B2428" s="2">
        <f>IFERROR(__xludf.DUMMYFUNCTION("""COMPUTED_VALUE"""),1.0)</f>
        <v>1</v>
      </c>
      <c r="C2428" s="2">
        <f>IFERROR(__xludf.DUMMYFUNCTION("""COMPUTED_VALUE"""),895.0)</f>
        <v>895</v>
      </c>
      <c r="D2428" s="3">
        <f>IFERROR(__xludf.DUMMYFUNCTION("""COMPUTED_VALUE"""),428.0)</f>
        <v>428</v>
      </c>
      <c r="E2428" s="2"/>
      <c r="F2428" s="2"/>
    </row>
    <row r="2429">
      <c r="A2429" s="2">
        <f>IFERROR(__xludf.DUMMYFUNCTION("""COMPUTED_VALUE"""),111469.0)</f>
        <v>111469</v>
      </c>
      <c r="B2429" s="2">
        <f>IFERROR(__xludf.DUMMYFUNCTION("""COMPUTED_VALUE"""),0.0)</f>
        <v>0</v>
      </c>
      <c r="C2429" s="2">
        <f>IFERROR(__xludf.DUMMYFUNCTION("""COMPUTED_VALUE"""),867.0)</f>
        <v>867</v>
      </c>
      <c r="D2429" s="3">
        <f>IFERROR(__xludf.DUMMYFUNCTION("""COMPUTED_VALUE"""),231.0)</f>
        <v>231</v>
      </c>
      <c r="E2429" s="2"/>
      <c r="F2429" s="2"/>
    </row>
    <row r="2430">
      <c r="A2430" s="2">
        <f>IFERROR(__xludf.DUMMYFUNCTION("""COMPUTED_VALUE"""),166324.0)</f>
        <v>166324</v>
      </c>
      <c r="B2430" s="2">
        <f>IFERROR(__xludf.DUMMYFUNCTION("""COMPUTED_VALUE"""),1.0)</f>
        <v>1</v>
      </c>
      <c r="C2430" s="2">
        <f>IFERROR(__xludf.DUMMYFUNCTION("""COMPUTED_VALUE"""),180.0)</f>
        <v>180</v>
      </c>
      <c r="D2430" s="3">
        <f>IFERROR(__xludf.DUMMYFUNCTION("""COMPUTED_VALUE"""),48.0)</f>
        <v>48</v>
      </c>
      <c r="E2430" s="2"/>
      <c r="F2430" s="2"/>
    </row>
    <row r="2431">
      <c r="A2431" s="2">
        <f>IFERROR(__xludf.DUMMYFUNCTION("""COMPUTED_VALUE"""),7829.0)</f>
        <v>7829</v>
      </c>
      <c r="B2431" s="2">
        <f>IFERROR(__xludf.DUMMYFUNCTION("""COMPUTED_VALUE"""),1.0)</f>
        <v>1</v>
      </c>
      <c r="C2431" s="2">
        <f>IFERROR(__xludf.DUMMYFUNCTION("""COMPUTED_VALUE"""),90.0)</f>
        <v>90</v>
      </c>
      <c r="D2431" s="3">
        <f>IFERROR(__xludf.DUMMYFUNCTION("""COMPUTED_VALUE"""),76.0)</f>
        <v>76</v>
      </c>
      <c r="E2431" s="2"/>
      <c r="F2431" s="2"/>
    </row>
    <row r="2432">
      <c r="A2432" s="2">
        <f>IFERROR(__xludf.DUMMYFUNCTION("""COMPUTED_VALUE"""),105507.0)</f>
        <v>105507</v>
      </c>
      <c r="B2432" s="2">
        <f>IFERROR(__xludf.DUMMYFUNCTION("""COMPUTED_VALUE"""),1.0)</f>
        <v>1</v>
      </c>
      <c r="C2432" s="2">
        <f>IFERROR(__xludf.DUMMYFUNCTION("""COMPUTED_VALUE"""),357.0)</f>
        <v>357</v>
      </c>
      <c r="D2432" s="3">
        <f>IFERROR(__xludf.DUMMYFUNCTION("""COMPUTED_VALUE"""),164.0)</f>
        <v>164</v>
      </c>
      <c r="E2432" s="2"/>
      <c r="F2432" s="2"/>
    </row>
    <row r="2433">
      <c r="A2433" s="2">
        <f>IFERROR(__xludf.DUMMYFUNCTION("""COMPUTED_VALUE"""),12834.0)</f>
        <v>12834</v>
      </c>
      <c r="B2433" s="2">
        <f>IFERROR(__xludf.DUMMYFUNCTION("""COMPUTED_VALUE"""),1.0)</f>
        <v>1</v>
      </c>
      <c r="C2433" s="2">
        <f>IFERROR(__xludf.DUMMYFUNCTION("""COMPUTED_VALUE"""),354.0)</f>
        <v>354</v>
      </c>
      <c r="D2433" s="3">
        <f>IFERROR(__xludf.DUMMYFUNCTION("""COMPUTED_VALUE"""),68.0)</f>
        <v>68</v>
      </c>
      <c r="E2433" s="2"/>
      <c r="F2433" s="2"/>
    </row>
    <row r="2434">
      <c r="A2434" s="2">
        <f>IFERROR(__xludf.DUMMYFUNCTION("""COMPUTED_VALUE"""),27984.0)</f>
        <v>27984</v>
      </c>
      <c r="B2434" s="2">
        <f>IFERROR(__xludf.DUMMYFUNCTION("""COMPUTED_VALUE"""),0.0)</f>
        <v>0</v>
      </c>
      <c r="C2434" s="2">
        <f>IFERROR(__xludf.DUMMYFUNCTION("""COMPUTED_VALUE"""),128.0)</f>
        <v>128</v>
      </c>
      <c r="D2434" s="3">
        <f>IFERROR(__xludf.DUMMYFUNCTION("""COMPUTED_VALUE"""),106.0)</f>
        <v>106</v>
      </c>
      <c r="E2434" s="2"/>
      <c r="F2434" s="2"/>
    </row>
    <row r="2435">
      <c r="A2435" s="2">
        <f>IFERROR(__xludf.DUMMYFUNCTION("""COMPUTED_VALUE"""),29444.0)</f>
        <v>29444</v>
      </c>
      <c r="B2435" s="2">
        <f>IFERROR(__xludf.DUMMYFUNCTION("""COMPUTED_VALUE"""),0.0)</f>
        <v>0</v>
      </c>
      <c r="C2435" s="2">
        <f>IFERROR(__xludf.DUMMYFUNCTION("""COMPUTED_VALUE"""),66.0)</f>
        <v>66</v>
      </c>
      <c r="D2435" s="3">
        <f>IFERROR(__xludf.DUMMYFUNCTION("""COMPUTED_VALUE"""),39.0)</f>
        <v>39</v>
      </c>
      <c r="E2435" s="2"/>
      <c r="F2435" s="2"/>
    </row>
    <row r="2436">
      <c r="A2436" s="2">
        <f>IFERROR(__xludf.DUMMYFUNCTION("""COMPUTED_VALUE"""),107878.0)</f>
        <v>107878</v>
      </c>
      <c r="B2436" s="2">
        <f>IFERROR(__xludf.DUMMYFUNCTION("""COMPUTED_VALUE"""),1.0)</f>
        <v>1</v>
      </c>
      <c r="C2436" s="2">
        <f>IFERROR(__xludf.DUMMYFUNCTION("""COMPUTED_VALUE"""),479.0)</f>
        <v>479</v>
      </c>
      <c r="D2436" s="3">
        <f>IFERROR(__xludf.DUMMYFUNCTION("""COMPUTED_VALUE"""),305.0)</f>
        <v>305</v>
      </c>
      <c r="E2436" s="2"/>
      <c r="F2436" s="2"/>
    </row>
    <row r="2437">
      <c r="A2437" s="2">
        <f>IFERROR(__xludf.DUMMYFUNCTION("""COMPUTED_VALUE"""),122416.0)</f>
        <v>122416</v>
      </c>
      <c r="B2437" s="2">
        <f>IFERROR(__xludf.DUMMYFUNCTION("""COMPUTED_VALUE"""),1.0)</f>
        <v>1</v>
      </c>
      <c r="C2437" s="2">
        <f>IFERROR(__xludf.DUMMYFUNCTION("""COMPUTED_VALUE"""),441.0)</f>
        <v>441</v>
      </c>
      <c r="D2437" s="3">
        <f>IFERROR(__xludf.DUMMYFUNCTION("""COMPUTED_VALUE"""),59.0)</f>
        <v>59</v>
      </c>
      <c r="E2437" s="2"/>
      <c r="F2437" s="2"/>
    </row>
    <row r="2438">
      <c r="A2438" s="2">
        <f>IFERROR(__xludf.DUMMYFUNCTION("""COMPUTED_VALUE"""),95628.0)</f>
        <v>95628</v>
      </c>
      <c r="B2438" s="2">
        <f>IFERROR(__xludf.DUMMYFUNCTION("""COMPUTED_VALUE"""),1.0)</f>
        <v>1</v>
      </c>
      <c r="C2438" s="2">
        <f>IFERROR(__xludf.DUMMYFUNCTION("""COMPUTED_VALUE"""),509.0)</f>
        <v>509</v>
      </c>
      <c r="D2438" s="3">
        <f>IFERROR(__xludf.DUMMYFUNCTION("""COMPUTED_VALUE"""),18.0)</f>
        <v>18</v>
      </c>
      <c r="E2438" s="2"/>
      <c r="F2438" s="2"/>
    </row>
    <row r="2439">
      <c r="A2439" s="2">
        <f>IFERROR(__xludf.DUMMYFUNCTION("""COMPUTED_VALUE"""),9654.0)</f>
        <v>9654</v>
      </c>
      <c r="B2439" s="2">
        <f>IFERROR(__xludf.DUMMYFUNCTION("""COMPUTED_VALUE"""),0.0)</f>
        <v>0</v>
      </c>
      <c r="C2439" s="2">
        <f>IFERROR(__xludf.DUMMYFUNCTION("""COMPUTED_VALUE"""),336.0)</f>
        <v>336</v>
      </c>
      <c r="D2439" s="3">
        <f>IFERROR(__xludf.DUMMYFUNCTION("""COMPUTED_VALUE"""),321.0)</f>
        <v>321</v>
      </c>
      <c r="E2439" s="2"/>
      <c r="F2439" s="2"/>
    </row>
    <row r="2440">
      <c r="A2440" s="2">
        <f>IFERROR(__xludf.DUMMYFUNCTION("""COMPUTED_VALUE"""),105609.0)</f>
        <v>105609</v>
      </c>
      <c r="B2440" s="2">
        <f>IFERROR(__xludf.DUMMYFUNCTION("""COMPUTED_VALUE"""),1.0)</f>
        <v>1</v>
      </c>
      <c r="C2440" s="2">
        <f>IFERROR(__xludf.DUMMYFUNCTION("""COMPUTED_VALUE"""),496.0)</f>
        <v>496</v>
      </c>
      <c r="D2440" s="3">
        <f>IFERROR(__xludf.DUMMYFUNCTION("""COMPUTED_VALUE"""),407.0)</f>
        <v>407</v>
      </c>
      <c r="E2440" s="2"/>
      <c r="F2440" s="2"/>
    </row>
    <row r="2441">
      <c r="A2441" s="2">
        <f>IFERROR(__xludf.DUMMYFUNCTION("""COMPUTED_VALUE"""),118932.0)</f>
        <v>118932</v>
      </c>
      <c r="B2441" s="2">
        <f>IFERROR(__xludf.DUMMYFUNCTION("""COMPUTED_VALUE"""),0.0)</f>
        <v>0</v>
      </c>
      <c r="C2441" s="2">
        <f>IFERROR(__xludf.DUMMYFUNCTION("""COMPUTED_VALUE"""),619.0)</f>
        <v>619</v>
      </c>
      <c r="D2441" s="3">
        <f>IFERROR(__xludf.DUMMYFUNCTION("""COMPUTED_VALUE"""),427.0)</f>
        <v>427</v>
      </c>
      <c r="E2441" s="2"/>
      <c r="F2441" s="2"/>
    </row>
    <row r="2442">
      <c r="A2442" s="2">
        <f>IFERROR(__xludf.DUMMYFUNCTION("""COMPUTED_VALUE"""),103976.0)</f>
        <v>103976</v>
      </c>
      <c r="B2442" s="2">
        <f>IFERROR(__xludf.DUMMYFUNCTION("""COMPUTED_VALUE"""),0.0)</f>
        <v>0</v>
      </c>
      <c r="C2442" s="2">
        <f>IFERROR(__xludf.DUMMYFUNCTION("""COMPUTED_VALUE"""),584.0)</f>
        <v>584</v>
      </c>
      <c r="D2442" s="3">
        <f>IFERROR(__xludf.DUMMYFUNCTION("""COMPUTED_VALUE"""),14.0)</f>
        <v>14</v>
      </c>
      <c r="E2442" s="2"/>
      <c r="F2442" s="2"/>
    </row>
    <row r="2443">
      <c r="A2443" s="2">
        <f>IFERROR(__xludf.DUMMYFUNCTION("""COMPUTED_VALUE"""),107881.0)</f>
        <v>107881</v>
      </c>
      <c r="B2443" s="2">
        <f>IFERROR(__xludf.DUMMYFUNCTION("""COMPUTED_VALUE"""),0.0)</f>
        <v>0</v>
      </c>
      <c r="C2443" s="2">
        <f>IFERROR(__xludf.DUMMYFUNCTION("""COMPUTED_VALUE"""),688.0)</f>
        <v>688</v>
      </c>
      <c r="D2443" s="3">
        <f>IFERROR(__xludf.DUMMYFUNCTION("""COMPUTED_VALUE"""),300.0)</f>
        <v>300</v>
      </c>
      <c r="E2443" s="2"/>
      <c r="F2443" s="2"/>
    </row>
    <row r="2444">
      <c r="A2444" s="2">
        <f>IFERROR(__xludf.DUMMYFUNCTION("""COMPUTED_VALUE"""),7830.0)</f>
        <v>7830</v>
      </c>
      <c r="B2444" s="2">
        <f>IFERROR(__xludf.DUMMYFUNCTION("""COMPUTED_VALUE"""),1.0)</f>
        <v>1</v>
      </c>
      <c r="C2444" s="2">
        <f>IFERROR(__xludf.DUMMYFUNCTION("""COMPUTED_VALUE"""),431.0)</f>
        <v>431</v>
      </c>
      <c r="D2444" s="3">
        <f>IFERROR(__xludf.DUMMYFUNCTION("""COMPUTED_VALUE"""),219.0)</f>
        <v>219</v>
      </c>
      <c r="E2444" s="2"/>
      <c r="F2444" s="2"/>
    </row>
    <row r="2445">
      <c r="A2445" s="2">
        <f>IFERROR(__xludf.DUMMYFUNCTION("""COMPUTED_VALUE"""),159717.0)</f>
        <v>159717</v>
      </c>
      <c r="B2445" s="2">
        <f>IFERROR(__xludf.DUMMYFUNCTION("""COMPUTED_VALUE"""),1.0)</f>
        <v>1</v>
      </c>
      <c r="C2445" s="2">
        <f>IFERROR(__xludf.DUMMYFUNCTION("""COMPUTED_VALUE"""),345.0)</f>
        <v>345</v>
      </c>
      <c r="D2445" s="3">
        <f>IFERROR(__xludf.DUMMYFUNCTION("""COMPUTED_VALUE"""),265.0)</f>
        <v>265</v>
      </c>
      <c r="E2445" s="2"/>
      <c r="F2445" s="2"/>
    </row>
    <row r="2446">
      <c r="A2446" s="2">
        <f>IFERROR(__xludf.DUMMYFUNCTION("""COMPUTED_VALUE"""),113449.0)</f>
        <v>113449</v>
      </c>
      <c r="B2446" s="2">
        <f>IFERROR(__xludf.DUMMYFUNCTION("""COMPUTED_VALUE"""),0.0)</f>
        <v>0</v>
      </c>
      <c r="C2446" s="2">
        <f>IFERROR(__xludf.DUMMYFUNCTION("""COMPUTED_VALUE"""),659.0)</f>
        <v>659</v>
      </c>
      <c r="D2446" s="3">
        <f>IFERROR(__xludf.DUMMYFUNCTION("""COMPUTED_VALUE"""),367.0)</f>
        <v>367</v>
      </c>
      <c r="E2446" s="2"/>
      <c r="F2446" s="2"/>
    </row>
    <row r="2447">
      <c r="A2447" s="2">
        <f>IFERROR(__xludf.DUMMYFUNCTION("""COMPUTED_VALUE"""),79942.0)</f>
        <v>79942</v>
      </c>
      <c r="B2447" s="2">
        <f>IFERROR(__xludf.DUMMYFUNCTION("""COMPUTED_VALUE"""),0.0)</f>
        <v>0</v>
      </c>
      <c r="C2447" s="2">
        <f>IFERROR(__xludf.DUMMYFUNCTION("""COMPUTED_VALUE"""),666.0)</f>
        <v>666</v>
      </c>
      <c r="D2447" s="3">
        <f>IFERROR(__xludf.DUMMYFUNCTION("""COMPUTED_VALUE"""),103.0)</f>
        <v>103</v>
      </c>
      <c r="E2447" s="2"/>
      <c r="F2447" s="2"/>
    </row>
    <row r="2448">
      <c r="A2448" s="2">
        <f>IFERROR(__xludf.DUMMYFUNCTION("""COMPUTED_VALUE"""),29437.0)</f>
        <v>29437</v>
      </c>
      <c r="B2448" s="2">
        <f>IFERROR(__xludf.DUMMYFUNCTION("""COMPUTED_VALUE"""),0.0)</f>
        <v>0</v>
      </c>
      <c r="C2448" s="2">
        <f>IFERROR(__xludf.DUMMYFUNCTION("""COMPUTED_VALUE"""),91.0)</f>
        <v>91</v>
      </c>
      <c r="D2448" s="3">
        <f>IFERROR(__xludf.DUMMYFUNCTION("""COMPUTED_VALUE"""),75.0)</f>
        <v>75</v>
      </c>
      <c r="E2448" s="2"/>
      <c r="F2448" s="2"/>
    </row>
    <row r="2449">
      <c r="A2449" s="2">
        <f>IFERROR(__xludf.DUMMYFUNCTION("""COMPUTED_VALUE"""),99234.0)</f>
        <v>99234</v>
      </c>
      <c r="B2449" s="2">
        <f>IFERROR(__xludf.DUMMYFUNCTION("""COMPUTED_VALUE"""),1.0)</f>
        <v>1</v>
      </c>
      <c r="C2449" s="2">
        <f>IFERROR(__xludf.DUMMYFUNCTION("""COMPUTED_VALUE"""),385.0)</f>
        <v>385</v>
      </c>
      <c r="D2449" s="3">
        <f>IFERROR(__xludf.DUMMYFUNCTION("""COMPUTED_VALUE"""),124.0)</f>
        <v>124</v>
      </c>
      <c r="E2449" s="2"/>
      <c r="F2449" s="2"/>
    </row>
    <row r="2450">
      <c r="A2450" s="2">
        <f>IFERROR(__xludf.DUMMYFUNCTION("""COMPUTED_VALUE"""),103985.0)</f>
        <v>103985</v>
      </c>
      <c r="B2450" s="2">
        <f>IFERROR(__xludf.DUMMYFUNCTION("""COMPUTED_VALUE"""),1.0)</f>
        <v>1</v>
      </c>
      <c r="C2450" s="2">
        <f>IFERROR(__xludf.DUMMYFUNCTION("""COMPUTED_VALUE"""),582.0)</f>
        <v>582</v>
      </c>
      <c r="D2450" s="3">
        <f>IFERROR(__xludf.DUMMYFUNCTION("""COMPUTED_VALUE"""),513.0)</f>
        <v>513</v>
      </c>
      <c r="E2450" s="2"/>
      <c r="F2450" s="2"/>
    </row>
    <row r="2451">
      <c r="A2451" s="2">
        <f>IFERROR(__xludf.DUMMYFUNCTION("""COMPUTED_VALUE"""),97947.0)</f>
        <v>97947</v>
      </c>
      <c r="B2451" s="2">
        <f>IFERROR(__xludf.DUMMYFUNCTION("""COMPUTED_VALUE"""),1.0)</f>
        <v>1</v>
      </c>
      <c r="C2451" s="2">
        <f>IFERROR(__xludf.DUMMYFUNCTION("""COMPUTED_VALUE"""),134.0)</f>
        <v>134</v>
      </c>
      <c r="D2451" s="3">
        <f>IFERROR(__xludf.DUMMYFUNCTION("""COMPUTED_VALUE"""),129.0)</f>
        <v>129</v>
      </c>
      <c r="E2451" s="2"/>
      <c r="F2451" s="2"/>
    </row>
    <row r="2452">
      <c r="A2452" s="2">
        <f>IFERROR(__xludf.DUMMYFUNCTION("""COMPUTED_VALUE"""),101083.0)</f>
        <v>101083</v>
      </c>
      <c r="B2452" s="2">
        <f>IFERROR(__xludf.DUMMYFUNCTION("""COMPUTED_VALUE"""),1.0)</f>
        <v>1</v>
      </c>
      <c r="C2452" s="2">
        <f>IFERROR(__xludf.DUMMYFUNCTION("""COMPUTED_VALUE"""),896.0)</f>
        <v>896</v>
      </c>
      <c r="D2452" s="3">
        <f>IFERROR(__xludf.DUMMYFUNCTION("""COMPUTED_VALUE"""),428.0)</f>
        <v>428</v>
      </c>
      <c r="E2452" s="2"/>
      <c r="F2452" s="2"/>
    </row>
    <row r="2453">
      <c r="A2453" s="2">
        <f>IFERROR(__xludf.DUMMYFUNCTION("""COMPUTED_VALUE"""),111287.0)</f>
        <v>111287</v>
      </c>
      <c r="B2453" s="2">
        <f>IFERROR(__xludf.DUMMYFUNCTION("""COMPUTED_VALUE"""),0.0)</f>
        <v>0</v>
      </c>
      <c r="C2453" s="2">
        <f>IFERROR(__xludf.DUMMYFUNCTION("""COMPUTED_VALUE"""),863.0)</f>
        <v>863</v>
      </c>
      <c r="D2453" s="3">
        <f>IFERROR(__xludf.DUMMYFUNCTION("""COMPUTED_VALUE"""),709.0)</f>
        <v>709</v>
      </c>
      <c r="E2453" s="2"/>
      <c r="F2453" s="2"/>
    </row>
    <row r="2454">
      <c r="A2454" s="2">
        <f>IFERROR(__xludf.DUMMYFUNCTION("""COMPUTED_VALUE"""),11728.0)</f>
        <v>11728</v>
      </c>
      <c r="B2454" s="2">
        <f>IFERROR(__xludf.DUMMYFUNCTION("""COMPUTED_VALUE"""),1.0)</f>
        <v>1</v>
      </c>
      <c r="C2454" s="2">
        <f>IFERROR(__xludf.DUMMYFUNCTION("""COMPUTED_VALUE"""),394.0)</f>
        <v>394</v>
      </c>
      <c r="D2454" s="3">
        <f>IFERROR(__xludf.DUMMYFUNCTION("""COMPUTED_VALUE"""),331.0)</f>
        <v>331</v>
      </c>
      <c r="E2454" s="2"/>
      <c r="F2454" s="2"/>
    </row>
    <row r="2455">
      <c r="A2455" s="2">
        <f>IFERROR(__xludf.DUMMYFUNCTION("""COMPUTED_VALUE"""),111286.0)</f>
        <v>111286</v>
      </c>
      <c r="B2455" s="2">
        <f>IFERROR(__xludf.DUMMYFUNCTION("""COMPUTED_VALUE"""),1.0)</f>
        <v>1</v>
      </c>
      <c r="C2455" s="2">
        <f>IFERROR(__xludf.DUMMYFUNCTION("""COMPUTED_VALUE"""),50.0)</f>
        <v>50</v>
      </c>
      <c r="D2455" s="3">
        <f>IFERROR(__xludf.DUMMYFUNCTION("""COMPUTED_VALUE"""),9.0)</f>
        <v>9</v>
      </c>
      <c r="E2455" s="2"/>
      <c r="F2455" s="2"/>
    </row>
    <row r="2456">
      <c r="A2456" s="2">
        <f>IFERROR(__xludf.DUMMYFUNCTION("""COMPUTED_VALUE"""),29426.0)</f>
        <v>29426</v>
      </c>
      <c r="B2456" s="2">
        <f>IFERROR(__xludf.DUMMYFUNCTION("""COMPUTED_VALUE"""),0.0)</f>
        <v>0</v>
      </c>
      <c r="C2456" s="2">
        <f>IFERROR(__xludf.DUMMYFUNCTION("""COMPUTED_VALUE"""),353.0)</f>
        <v>353</v>
      </c>
      <c r="D2456" s="3">
        <f>IFERROR(__xludf.DUMMYFUNCTION("""COMPUTED_VALUE"""),139.0)</f>
        <v>139</v>
      </c>
      <c r="E2456" s="2"/>
      <c r="F2456" s="2"/>
    </row>
    <row r="2457">
      <c r="A2457" s="2">
        <f>IFERROR(__xludf.DUMMYFUNCTION("""COMPUTED_VALUE"""),93419.0)</f>
        <v>93419</v>
      </c>
      <c r="B2457" s="2">
        <f>IFERROR(__xludf.DUMMYFUNCTION("""COMPUTED_VALUE"""),1.0)</f>
        <v>1</v>
      </c>
      <c r="C2457" s="2">
        <f>IFERROR(__xludf.DUMMYFUNCTION("""COMPUTED_VALUE"""),250.0)</f>
        <v>250</v>
      </c>
      <c r="D2457" s="3">
        <f>IFERROR(__xludf.DUMMYFUNCTION("""COMPUTED_VALUE"""),138.0)</f>
        <v>138</v>
      </c>
      <c r="E2457" s="2"/>
      <c r="F2457" s="2"/>
    </row>
    <row r="2458">
      <c r="A2458" s="2">
        <f>IFERROR(__xludf.DUMMYFUNCTION("""COMPUTED_VALUE"""),93418.0)</f>
        <v>93418</v>
      </c>
      <c r="B2458" s="2">
        <f>IFERROR(__xludf.DUMMYFUNCTION("""COMPUTED_VALUE"""),1.0)</f>
        <v>1</v>
      </c>
      <c r="C2458" s="2">
        <f>IFERROR(__xludf.DUMMYFUNCTION("""COMPUTED_VALUE"""),681.0)</f>
        <v>681</v>
      </c>
      <c r="D2458" s="3">
        <f>IFERROR(__xludf.DUMMYFUNCTION("""COMPUTED_VALUE"""),262.0)</f>
        <v>262</v>
      </c>
      <c r="E2458" s="2"/>
      <c r="F2458" s="2"/>
    </row>
    <row r="2459">
      <c r="A2459" s="2">
        <f>IFERROR(__xludf.DUMMYFUNCTION("""COMPUTED_VALUE"""),79198.0)</f>
        <v>79198</v>
      </c>
      <c r="B2459" s="2">
        <f>IFERROR(__xludf.DUMMYFUNCTION("""COMPUTED_VALUE"""),0.0)</f>
        <v>0</v>
      </c>
      <c r="C2459" s="2">
        <f>IFERROR(__xludf.DUMMYFUNCTION("""COMPUTED_VALUE"""),122.0)</f>
        <v>122</v>
      </c>
      <c r="D2459" s="3">
        <f>IFERROR(__xludf.DUMMYFUNCTION("""COMPUTED_VALUE"""),99.0)</f>
        <v>99</v>
      </c>
      <c r="E2459" s="2"/>
      <c r="F2459" s="2"/>
    </row>
    <row r="2460">
      <c r="A2460" s="2">
        <f>IFERROR(__xludf.DUMMYFUNCTION("""COMPUTED_VALUE"""),11720.0)</f>
        <v>11720</v>
      </c>
      <c r="B2460" s="2">
        <f>IFERROR(__xludf.DUMMYFUNCTION("""COMPUTED_VALUE"""),1.0)</f>
        <v>1</v>
      </c>
      <c r="C2460" s="2">
        <f>IFERROR(__xludf.DUMMYFUNCTION("""COMPUTED_VALUE"""),197.0)</f>
        <v>197</v>
      </c>
      <c r="D2460" s="3">
        <f>IFERROR(__xludf.DUMMYFUNCTION("""COMPUTED_VALUE"""),141.0)</f>
        <v>141</v>
      </c>
      <c r="E2460" s="2"/>
      <c r="F2460" s="2"/>
    </row>
    <row r="2461">
      <c r="A2461" s="2">
        <f>IFERROR(__xludf.DUMMYFUNCTION("""COMPUTED_VALUE"""),122534.0)</f>
        <v>122534</v>
      </c>
      <c r="B2461" s="2">
        <f>IFERROR(__xludf.DUMMYFUNCTION("""COMPUTED_VALUE"""),1.0)</f>
        <v>1</v>
      </c>
      <c r="C2461" s="2">
        <f>IFERROR(__xludf.DUMMYFUNCTION("""COMPUTED_VALUE"""),71.0)</f>
        <v>71</v>
      </c>
      <c r="D2461" s="3">
        <f>IFERROR(__xludf.DUMMYFUNCTION("""COMPUTED_VALUE"""),18.0)</f>
        <v>18</v>
      </c>
      <c r="E2461" s="2"/>
      <c r="F2461" s="2"/>
    </row>
    <row r="2462">
      <c r="A2462" s="2">
        <f>IFERROR(__xludf.DUMMYFUNCTION("""COMPUTED_VALUE"""),92209.0)</f>
        <v>92209</v>
      </c>
      <c r="B2462" s="2">
        <f>IFERROR(__xludf.DUMMYFUNCTION("""COMPUTED_VALUE"""),0.0)</f>
        <v>0</v>
      </c>
      <c r="C2462" s="2">
        <f>IFERROR(__xludf.DUMMYFUNCTION("""COMPUTED_VALUE"""),591.0)</f>
        <v>591</v>
      </c>
      <c r="D2462" s="3">
        <f>IFERROR(__xludf.DUMMYFUNCTION("""COMPUTED_VALUE"""),220.0)</f>
        <v>220</v>
      </c>
      <c r="E2462" s="2"/>
      <c r="F2462" s="2"/>
    </row>
    <row r="2463">
      <c r="A2463" s="2">
        <f>IFERROR(__xludf.DUMMYFUNCTION("""COMPUTED_VALUE"""),93417.0)</f>
        <v>93417</v>
      </c>
      <c r="B2463" s="2">
        <f>IFERROR(__xludf.DUMMYFUNCTION("""COMPUTED_VALUE"""),0.0)</f>
        <v>0</v>
      </c>
      <c r="C2463" s="2">
        <f>IFERROR(__xludf.DUMMYFUNCTION("""COMPUTED_VALUE"""),182.0)</f>
        <v>182</v>
      </c>
      <c r="D2463" s="3">
        <f>IFERROR(__xludf.DUMMYFUNCTION("""COMPUTED_VALUE"""),110.0)</f>
        <v>110</v>
      </c>
      <c r="E2463" s="2"/>
      <c r="F2463" s="2"/>
    </row>
    <row r="2464">
      <c r="A2464" s="2">
        <f>IFERROR(__xludf.DUMMYFUNCTION("""COMPUTED_VALUE"""),103197.0)</f>
        <v>103197</v>
      </c>
      <c r="B2464" s="2">
        <f>IFERROR(__xludf.DUMMYFUNCTION("""COMPUTED_VALUE"""),1.0)</f>
        <v>1</v>
      </c>
      <c r="C2464" s="2">
        <f>IFERROR(__xludf.DUMMYFUNCTION("""COMPUTED_VALUE"""),224.0)</f>
        <v>224</v>
      </c>
      <c r="D2464" s="3">
        <f>IFERROR(__xludf.DUMMYFUNCTION("""COMPUTED_VALUE"""),118.0)</f>
        <v>118</v>
      </c>
      <c r="E2464" s="2"/>
      <c r="F2464" s="2"/>
    </row>
    <row r="2465">
      <c r="A2465" s="2">
        <f>IFERROR(__xludf.DUMMYFUNCTION("""COMPUTED_VALUE"""),118930.0)</f>
        <v>118930</v>
      </c>
      <c r="B2465" s="2">
        <f>IFERROR(__xludf.DUMMYFUNCTION("""COMPUTED_VALUE"""),0.0)</f>
        <v>0</v>
      </c>
      <c r="C2465" s="2">
        <f>IFERROR(__xludf.DUMMYFUNCTION("""COMPUTED_VALUE"""),841.0)</f>
        <v>841</v>
      </c>
      <c r="D2465" s="3">
        <f>IFERROR(__xludf.DUMMYFUNCTION("""COMPUTED_VALUE"""),385.0)</f>
        <v>385</v>
      </c>
      <c r="E2465" s="2"/>
      <c r="F2465" s="2"/>
    </row>
    <row r="2466">
      <c r="A2466" s="2">
        <f>IFERROR(__xludf.DUMMYFUNCTION("""COMPUTED_VALUE"""),92199.0)</f>
        <v>92199</v>
      </c>
      <c r="B2466" s="2">
        <f>IFERROR(__xludf.DUMMYFUNCTION("""COMPUTED_VALUE"""),1.0)</f>
        <v>1</v>
      </c>
      <c r="C2466" s="2">
        <f>IFERROR(__xludf.DUMMYFUNCTION("""COMPUTED_VALUE"""),708.0)</f>
        <v>708</v>
      </c>
      <c r="D2466" s="3">
        <f>IFERROR(__xludf.DUMMYFUNCTION("""COMPUTED_VALUE"""),264.0)</f>
        <v>264</v>
      </c>
      <c r="E2466" s="2"/>
      <c r="F2466" s="2"/>
    </row>
    <row r="2467">
      <c r="A2467" s="2">
        <f>IFERROR(__xludf.DUMMYFUNCTION("""COMPUTED_VALUE"""),29647.0)</f>
        <v>29647</v>
      </c>
      <c r="B2467" s="2">
        <f>IFERROR(__xludf.DUMMYFUNCTION("""COMPUTED_VALUE"""),1.0)</f>
        <v>1</v>
      </c>
      <c r="C2467" s="2">
        <f>IFERROR(__xludf.DUMMYFUNCTION("""COMPUTED_VALUE"""),584.0)</f>
        <v>584</v>
      </c>
      <c r="D2467" s="3">
        <f>IFERROR(__xludf.DUMMYFUNCTION("""COMPUTED_VALUE"""),509.0)</f>
        <v>509</v>
      </c>
      <c r="E2467" s="2"/>
      <c r="F2467" s="2"/>
    </row>
    <row r="2468">
      <c r="A2468" s="2">
        <f>IFERROR(__xludf.DUMMYFUNCTION("""COMPUTED_VALUE"""),121857.0)</f>
        <v>121857</v>
      </c>
      <c r="B2468" s="2">
        <f>IFERROR(__xludf.DUMMYFUNCTION("""COMPUTED_VALUE"""),0.0)</f>
        <v>0</v>
      </c>
      <c r="C2468" s="2">
        <f>IFERROR(__xludf.DUMMYFUNCTION("""COMPUTED_VALUE"""),989.0)</f>
        <v>989</v>
      </c>
      <c r="D2468" s="3">
        <f>IFERROR(__xludf.DUMMYFUNCTION("""COMPUTED_VALUE"""),896.0)</f>
        <v>896</v>
      </c>
      <c r="E2468" s="2"/>
      <c r="F2468" s="2"/>
    </row>
    <row r="2469">
      <c r="A2469" s="2">
        <f>IFERROR(__xludf.DUMMYFUNCTION("""COMPUTED_VALUE"""),129484.0)</f>
        <v>129484</v>
      </c>
      <c r="B2469" s="2">
        <f>IFERROR(__xludf.DUMMYFUNCTION("""COMPUTED_VALUE"""),0.0)</f>
        <v>0</v>
      </c>
      <c r="C2469" s="2">
        <f>IFERROR(__xludf.DUMMYFUNCTION("""COMPUTED_VALUE"""),651.0)</f>
        <v>651</v>
      </c>
      <c r="D2469" s="3">
        <f>IFERROR(__xludf.DUMMYFUNCTION("""COMPUTED_VALUE"""),142.0)</f>
        <v>142</v>
      </c>
      <c r="E2469" s="2"/>
      <c r="F2469" s="2"/>
    </row>
    <row r="2470">
      <c r="A2470" s="2">
        <f>IFERROR(__xludf.DUMMYFUNCTION("""COMPUTED_VALUE"""),122405.0)</f>
        <v>122405</v>
      </c>
      <c r="B2470" s="2">
        <f>IFERROR(__xludf.DUMMYFUNCTION("""COMPUTED_VALUE"""),0.0)</f>
        <v>0</v>
      </c>
      <c r="C2470" s="2">
        <f>IFERROR(__xludf.DUMMYFUNCTION("""COMPUTED_VALUE"""),46.0)</f>
        <v>46</v>
      </c>
      <c r="D2470" s="3">
        <f>IFERROR(__xludf.DUMMYFUNCTION("""COMPUTED_VALUE"""),10.0)</f>
        <v>10</v>
      </c>
      <c r="E2470" s="2"/>
      <c r="F2470" s="2"/>
    </row>
    <row r="2471">
      <c r="A2471" s="2">
        <f>IFERROR(__xludf.DUMMYFUNCTION("""COMPUTED_VALUE"""),108690.0)</f>
        <v>108690</v>
      </c>
      <c r="B2471" s="2">
        <f>IFERROR(__xludf.DUMMYFUNCTION("""COMPUTED_VALUE"""),1.0)</f>
        <v>1</v>
      </c>
      <c r="C2471" s="2">
        <f>IFERROR(__xludf.DUMMYFUNCTION("""COMPUTED_VALUE"""),482.0)</f>
        <v>482</v>
      </c>
      <c r="D2471" s="3">
        <f>IFERROR(__xludf.DUMMYFUNCTION("""COMPUTED_VALUE"""),121.0)</f>
        <v>121</v>
      </c>
      <c r="E2471" s="2"/>
      <c r="F2471" s="2"/>
    </row>
    <row r="2472">
      <c r="A2472" s="2">
        <f>IFERROR(__xludf.DUMMYFUNCTION("""COMPUTED_VALUE"""),11726.0)</f>
        <v>11726</v>
      </c>
      <c r="B2472" s="2">
        <f>IFERROR(__xludf.DUMMYFUNCTION("""COMPUTED_VALUE"""),0.0)</f>
        <v>0</v>
      </c>
      <c r="C2472" s="2">
        <f>IFERROR(__xludf.DUMMYFUNCTION("""COMPUTED_VALUE"""),294.0)</f>
        <v>294</v>
      </c>
      <c r="D2472" s="3">
        <f>IFERROR(__xludf.DUMMYFUNCTION("""COMPUTED_VALUE"""),288.0)</f>
        <v>288</v>
      </c>
      <c r="E2472" s="2"/>
      <c r="F2472" s="2"/>
    </row>
    <row r="2473">
      <c r="A2473" s="2">
        <f>IFERROR(__xludf.DUMMYFUNCTION("""COMPUTED_VALUE"""),109074.0)</f>
        <v>109074</v>
      </c>
      <c r="B2473" s="2">
        <f>IFERROR(__xludf.DUMMYFUNCTION("""COMPUTED_VALUE"""),0.0)</f>
        <v>0</v>
      </c>
      <c r="C2473" s="2">
        <f>IFERROR(__xludf.DUMMYFUNCTION("""COMPUTED_VALUE"""),955.0)</f>
        <v>955</v>
      </c>
      <c r="D2473" s="3">
        <f>IFERROR(__xludf.DUMMYFUNCTION("""COMPUTED_VALUE"""),312.0)</f>
        <v>312</v>
      </c>
      <c r="E2473" s="2"/>
      <c r="F2473" s="2"/>
    </row>
    <row r="2474">
      <c r="A2474" s="2">
        <f>IFERROR(__xludf.DUMMYFUNCTION("""COMPUTED_VALUE"""),75818.0)</f>
        <v>75818</v>
      </c>
      <c r="B2474" s="2">
        <f>IFERROR(__xludf.DUMMYFUNCTION("""COMPUTED_VALUE"""),1.0)</f>
        <v>1</v>
      </c>
      <c r="C2474" s="2">
        <f>IFERROR(__xludf.DUMMYFUNCTION("""COMPUTED_VALUE"""),569.0)</f>
        <v>569</v>
      </c>
      <c r="D2474" s="3">
        <f>IFERROR(__xludf.DUMMYFUNCTION("""COMPUTED_VALUE"""),140.0)</f>
        <v>140</v>
      </c>
      <c r="E2474" s="2"/>
      <c r="F2474" s="2"/>
    </row>
    <row r="2475">
      <c r="A2475" s="2">
        <f>IFERROR(__xludf.DUMMYFUNCTION("""COMPUTED_VALUE"""),10663.0)</f>
        <v>10663</v>
      </c>
      <c r="B2475" s="2">
        <f>IFERROR(__xludf.DUMMYFUNCTION("""COMPUTED_VALUE"""),0.0)</f>
        <v>0</v>
      </c>
      <c r="C2475" s="2">
        <f>IFERROR(__xludf.DUMMYFUNCTION("""COMPUTED_VALUE"""),737.0)</f>
        <v>737</v>
      </c>
      <c r="D2475" s="3">
        <f>IFERROR(__xludf.DUMMYFUNCTION("""COMPUTED_VALUE"""),236.0)</f>
        <v>236</v>
      </c>
      <c r="E2475" s="2"/>
      <c r="F2475" s="2"/>
    </row>
    <row r="2476">
      <c r="A2476" s="2">
        <f>IFERROR(__xludf.DUMMYFUNCTION("""COMPUTED_VALUE"""),9667.0)</f>
        <v>9667</v>
      </c>
      <c r="B2476" s="2">
        <f>IFERROR(__xludf.DUMMYFUNCTION("""COMPUTED_VALUE"""),0.0)</f>
        <v>0</v>
      </c>
      <c r="C2476" s="2">
        <f>IFERROR(__xludf.DUMMYFUNCTION("""COMPUTED_VALUE"""),432.0)</f>
        <v>432</v>
      </c>
      <c r="D2476" s="3">
        <f>IFERROR(__xludf.DUMMYFUNCTION("""COMPUTED_VALUE"""),69.0)</f>
        <v>69</v>
      </c>
      <c r="E2476" s="2"/>
      <c r="F2476" s="2"/>
    </row>
    <row r="2477">
      <c r="A2477" s="2">
        <f>IFERROR(__xludf.DUMMYFUNCTION("""COMPUTED_VALUE"""),109073.0)</f>
        <v>109073</v>
      </c>
      <c r="B2477" s="2">
        <f>IFERROR(__xludf.DUMMYFUNCTION("""COMPUTED_VALUE"""),0.0)</f>
        <v>0</v>
      </c>
      <c r="C2477" s="2">
        <f>IFERROR(__xludf.DUMMYFUNCTION("""COMPUTED_VALUE"""),152.0)</f>
        <v>152</v>
      </c>
      <c r="D2477" s="3">
        <f>IFERROR(__xludf.DUMMYFUNCTION("""COMPUTED_VALUE"""),85.0)</f>
        <v>85</v>
      </c>
      <c r="E2477" s="2"/>
      <c r="F2477" s="2"/>
    </row>
    <row r="2478">
      <c r="A2478" s="2">
        <f>IFERROR(__xludf.DUMMYFUNCTION("""COMPUTED_VALUE"""),11731.0)</f>
        <v>11731</v>
      </c>
      <c r="B2478" s="2">
        <f>IFERROR(__xludf.DUMMYFUNCTION("""COMPUTED_VALUE"""),0.0)</f>
        <v>0</v>
      </c>
      <c r="C2478" s="2">
        <f>IFERROR(__xludf.DUMMYFUNCTION("""COMPUTED_VALUE"""),384.0)</f>
        <v>384</v>
      </c>
      <c r="D2478" s="3">
        <f>IFERROR(__xludf.DUMMYFUNCTION("""COMPUTED_VALUE"""),113.0)</f>
        <v>113</v>
      </c>
      <c r="E2478" s="2"/>
      <c r="F2478" s="2"/>
    </row>
    <row r="2479">
      <c r="A2479" s="2">
        <f>IFERROR(__xludf.DUMMYFUNCTION("""COMPUTED_VALUE"""),155869.0)</f>
        <v>155869</v>
      </c>
      <c r="B2479" s="2">
        <f>IFERROR(__xludf.DUMMYFUNCTION("""COMPUTED_VALUE"""),1.0)</f>
        <v>1</v>
      </c>
      <c r="C2479" s="2">
        <f>IFERROR(__xludf.DUMMYFUNCTION("""COMPUTED_VALUE"""),975.0)</f>
        <v>975</v>
      </c>
      <c r="D2479" s="3">
        <f>IFERROR(__xludf.DUMMYFUNCTION("""COMPUTED_VALUE"""),615.0)</f>
        <v>615</v>
      </c>
      <c r="E2479" s="2"/>
      <c r="F2479" s="2"/>
    </row>
    <row r="2480">
      <c r="A2480" s="2">
        <f>IFERROR(__xludf.DUMMYFUNCTION("""COMPUTED_VALUE"""),118982.0)</f>
        <v>118982</v>
      </c>
      <c r="B2480" s="2">
        <f>IFERROR(__xludf.DUMMYFUNCTION("""COMPUTED_VALUE"""),1.0)</f>
        <v>1</v>
      </c>
      <c r="C2480" s="2">
        <f>IFERROR(__xludf.DUMMYFUNCTION("""COMPUTED_VALUE"""),254.0)</f>
        <v>254</v>
      </c>
      <c r="D2480" s="3">
        <f>IFERROR(__xludf.DUMMYFUNCTION("""COMPUTED_VALUE"""),35.0)</f>
        <v>35</v>
      </c>
      <c r="E2480" s="2"/>
      <c r="F2480" s="2"/>
    </row>
    <row r="2481">
      <c r="A2481" s="2">
        <f>IFERROR(__xludf.DUMMYFUNCTION("""COMPUTED_VALUE"""),29642.0)</f>
        <v>29642</v>
      </c>
      <c r="B2481" s="2">
        <f>IFERROR(__xludf.DUMMYFUNCTION("""COMPUTED_VALUE"""),0.0)</f>
        <v>0</v>
      </c>
      <c r="C2481" s="2">
        <f>IFERROR(__xludf.DUMMYFUNCTION("""COMPUTED_VALUE"""),167.0)</f>
        <v>167</v>
      </c>
      <c r="D2481" s="3">
        <f>IFERROR(__xludf.DUMMYFUNCTION("""COMPUTED_VALUE"""),113.0)</f>
        <v>113</v>
      </c>
      <c r="E2481" s="2"/>
      <c r="F2481" s="2"/>
    </row>
    <row r="2482">
      <c r="A2482" s="2">
        <f>IFERROR(__xludf.DUMMYFUNCTION("""COMPUTED_VALUE"""),111774.0)</f>
        <v>111774</v>
      </c>
      <c r="B2482" s="2">
        <f>IFERROR(__xludf.DUMMYFUNCTION("""COMPUTED_VALUE"""),0.0)</f>
        <v>0</v>
      </c>
      <c r="C2482" s="2">
        <f>IFERROR(__xludf.DUMMYFUNCTION("""COMPUTED_VALUE"""),991.0)</f>
        <v>991</v>
      </c>
      <c r="D2482" s="3">
        <f>IFERROR(__xludf.DUMMYFUNCTION("""COMPUTED_VALUE"""),463.0)</f>
        <v>463</v>
      </c>
      <c r="E2482" s="2"/>
      <c r="F2482" s="2"/>
    </row>
    <row r="2483">
      <c r="A2483" s="2">
        <f>IFERROR(__xludf.DUMMYFUNCTION("""COMPUTED_VALUE"""),117290.0)</f>
        <v>117290</v>
      </c>
      <c r="B2483" s="2">
        <f>IFERROR(__xludf.DUMMYFUNCTION("""COMPUTED_VALUE"""),1.0)</f>
        <v>1</v>
      </c>
      <c r="C2483" s="2">
        <f>IFERROR(__xludf.DUMMYFUNCTION("""COMPUTED_VALUE"""),211.0)</f>
        <v>211</v>
      </c>
      <c r="D2483" s="3">
        <f>IFERROR(__xludf.DUMMYFUNCTION("""COMPUTED_VALUE"""),51.0)</f>
        <v>51</v>
      </c>
      <c r="E2483" s="2"/>
      <c r="F2483" s="2"/>
    </row>
    <row r="2484">
      <c r="A2484" s="2">
        <f>IFERROR(__xludf.DUMMYFUNCTION("""COMPUTED_VALUE"""),105593.0)</f>
        <v>105593</v>
      </c>
      <c r="B2484" s="2">
        <f>IFERROR(__xludf.DUMMYFUNCTION("""COMPUTED_VALUE"""),0.0)</f>
        <v>0</v>
      </c>
      <c r="C2484" s="2">
        <f>IFERROR(__xludf.DUMMYFUNCTION("""COMPUTED_VALUE"""),328.0)</f>
        <v>328</v>
      </c>
      <c r="D2484" s="3">
        <f>IFERROR(__xludf.DUMMYFUNCTION("""COMPUTED_VALUE"""),324.0)</f>
        <v>324</v>
      </c>
      <c r="E2484" s="2"/>
      <c r="F2484" s="2"/>
    </row>
    <row r="2485">
      <c r="A2485" s="2">
        <f>IFERROR(__xludf.DUMMYFUNCTION("""COMPUTED_VALUE"""),70751.0)</f>
        <v>70751</v>
      </c>
      <c r="B2485" s="2">
        <f>IFERROR(__xludf.DUMMYFUNCTION("""COMPUTED_VALUE"""),0.0)</f>
        <v>0</v>
      </c>
      <c r="C2485" s="2">
        <f>IFERROR(__xludf.DUMMYFUNCTION("""COMPUTED_VALUE"""),932.0)</f>
        <v>932</v>
      </c>
      <c r="D2485" s="3">
        <f>IFERROR(__xludf.DUMMYFUNCTION("""COMPUTED_VALUE"""),820.0)</f>
        <v>820</v>
      </c>
      <c r="E2485" s="2"/>
      <c r="F2485" s="2"/>
    </row>
    <row r="2486">
      <c r="A2486" s="2">
        <f>IFERROR(__xludf.DUMMYFUNCTION("""COMPUTED_VALUE"""),118929.0)</f>
        <v>118929</v>
      </c>
      <c r="B2486" s="2">
        <f>IFERROR(__xludf.DUMMYFUNCTION("""COMPUTED_VALUE"""),0.0)</f>
        <v>0</v>
      </c>
      <c r="C2486" s="2">
        <f>IFERROR(__xludf.DUMMYFUNCTION("""COMPUTED_VALUE"""),846.0)</f>
        <v>846</v>
      </c>
      <c r="D2486" s="3">
        <f>IFERROR(__xludf.DUMMYFUNCTION("""COMPUTED_VALUE"""),610.0)</f>
        <v>610</v>
      </c>
      <c r="E2486" s="2"/>
      <c r="F2486" s="2"/>
    </row>
    <row r="2487">
      <c r="A2487" s="2">
        <f>IFERROR(__xludf.DUMMYFUNCTION("""COMPUTED_VALUE"""),70594.0)</f>
        <v>70594</v>
      </c>
      <c r="B2487" s="2">
        <f>IFERROR(__xludf.DUMMYFUNCTION("""COMPUTED_VALUE"""),1.0)</f>
        <v>1</v>
      </c>
      <c r="C2487" s="2">
        <f>IFERROR(__xludf.DUMMYFUNCTION("""COMPUTED_VALUE"""),16.0)</f>
        <v>16</v>
      </c>
      <c r="D2487" s="3">
        <f>IFERROR(__xludf.DUMMYFUNCTION("""COMPUTED_VALUE"""),0.0)</f>
        <v>0</v>
      </c>
      <c r="E2487" s="2"/>
      <c r="F2487" s="2"/>
    </row>
    <row r="2488">
      <c r="A2488" s="2">
        <f>IFERROR(__xludf.DUMMYFUNCTION("""COMPUTED_VALUE"""),118270.0)</f>
        <v>118270</v>
      </c>
      <c r="B2488" s="2">
        <f>IFERROR(__xludf.DUMMYFUNCTION("""COMPUTED_VALUE"""),0.0)</f>
        <v>0</v>
      </c>
      <c r="C2488" s="2">
        <f>IFERROR(__xludf.DUMMYFUNCTION("""COMPUTED_VALUE"""),488.0)</f>
        <v>488</v>
      </c>
      <c r="D2488" s="3">
        <f>IFERROR(__xludf.DUMMYFUNCTION("""COMPUTED_VALUE"""),275.0)</f>
        <v>275</v>
      </c>
      <c r="E2488" s="2"/>
      <c r="F2488" s="2"/>
    </row>
    <row r="2489">
      <c r="A2489" s="2">
        <f>IFERROR(__xludf.DUMMYFUNCTION("""COMPUTED_VALUE"""),20584.0)</f>
        <v>20584</v>
      </c>
      <c r="B2489" s="2">
        <f>IFERROR(__xludf.DUMMYFUNCTION("""COMPUTED_VALUE"""),0.0)</f>
        <v>0</v>
      </c>
      <c r="C2489" s="2">
        <f>IFERROR(__xludf.DUMMYFUNCTION("""COMPUTED_VALUE"""),877.0)</f>
        <v>877</v>
      </c>
      <c r="D2489" s="3">
        <f>IFERROR(__xludf.DUMMYFUNCTION("""COMPUTED_VALUE"""),638.0)</f>
        <v>638</v>
      </c>
      <c r="E2489" s="2"/>
      <c r="F2489" s="2"/>
    </row>
    <row r="2490">
      <c r="A2490" s="2">
        <f>IFERROR(__xludf.DUMMYFUNCTION("""COMPUTED_VALUE"""),150541.0)</f>
        <v>150541</v>
      </c>
      <c r="B2490" s="2">
        <f>IFERROR(__xludf.DUMMYFUNCTION("""COMPUTED_VALUE"""),0.0)</f>
        <v>0</v>
      </c>
      <c r="C2490" s="2">
        <f>IFERROR(__xludf.DUMMYFUNCTION("""COMPUTED_VALUE"""),164.0)</f>
        <v>164</v>
      </c>
      <c r="D2490" s="3">
        <f>IFERROR(__xludf.DUMMYFUNCTION("""COMPUTED_VALUE"""),95.0)</f>
        <v>95</v>
      </c>
      <c r="E2490" s="2"/>
      <c r="F2490" s="2"/>
    </row>
    <row r="2491">
      <c r="A2491" s="2">
        <f>IFERROR(__xludf.DUMMYFUNCTION("""COMPUTED_VALUE"""),12633.0)</f>
        <v>12633</v>
      </c>
      <c r="B2491" s="2">
        <f>IFERROR(__xludf.DUMMYFUNCTION("""COMPUTED_VALUE"""),0.0)</f>
        <v>0</v>
      </c>
      <c r="C2491" s="2">
        <f>IFERROR(__xludf.DUMMYFUNCTION("""COMPUTED_VALUE"""),195.0)</f>
        <v>195</v>
      </c>
      <c r="D2491" s="3">
        <f>IFERROR(__xludf.DUMMYFUNCTION("""COMPUTED_VALUE"""),159.0)</f>
        <v>159</v>
      </c>
      <c r="E2491" s="2"/>
      <c r="F2491" s="2"/>
    </row>
    <row r="2492">
      <c r="A2492" s="2">
        <f>IFERROR(__xludf.DUMMYFUNCTION("""COMPUTED_VALUE"""),9666.0)</f>
        <v>9666</v>
      </c>
      <c r="B2492" s="2">
        <f>IFERROR(__xludf.DUMMYFUNCTION("""COMPUTED_VALUE"""),0.0)</f>
        <v>0</v>
      </c>
      <c r="C2492" s="2">
        <f>IFERROR(__xludf.DUMMYFUNCTION("""COMPUTED_VALUE"""),488.0)</f>
        <v>488</v>
      </c>
      <c r="D2492" s="3">
        <f>IFERROR(__xludf.DUMMYFUNCTION("""COMPUTED_VALUE"""),159.0)</f>
        <v>159</v>
      </c>
      <c r="E2492" s="2"/>
      <c r="F2492" s="2"/>
    </row>
    <row r="2493">
      <c r="A2493" s="2">
        <f>IFERROR(__xludf.DUMMYFUNCTION("""COMPUTED_VALUE"""),79940.0)</f>
        <v>79940</v>
      </c>
      <c r="B2493" s="2">
        <f>IFERROR(__xludf.DUMMYFUNCTION("""COMPUTED_VALUE"""),1.0)</f>
        <v>1</v>
      </c>
      <c r="C2493" s="2">
        <f>IFERROR(__xludf.DUMMYFUNCTION("""COMPUTED_VALUE"""),199.0)</f>
        <v>199</v>
      </c>
      <c r="D2493" s="3">
        <f>IFERROR(__xludf.DUMMYFUNCTION("""COMPUTED_VALUE"""),33.0)</f>
        <v>33</v>
      </c>
      <c r="E2493" s="2"/>
      <c r="F2493" s="2"/>
    </row>
    <row r="2494">
      <c r="A2494" s="2">
        <f>IFERROR(__xludf.DUMMYFUNCTION("""COMPUTED_VALUE"""),201198.0)</f>
        <v>201198</v>
      </c>
      <c r="B2494" s="2">
        <f>IFERROR(__xludf.DUMMYFUNCTION("""COMPUTED_VALUE"""),0.0)</f>
        <v>0</v>
      </c>
      <c r="C2494" s="2">
        <f>IFERROR(__xludf.DUMMYFUNCTION("""COMPUTED_VALUE"""),72.0)</f>
        <v>72</v>
      </c>
      <c r="D2494" s="3">
        <f>IFERROR(__xludf.DUMMYFUNCTION("""COMPUTED_VALUE"""),2.0)</f>
        <v>2</v>
      </c>
      <c r="E2494" s="2"/>
      <c r="F2494" s="2"/>
    </row>
    <row r="2495">
      <c r="A2495" s="2">
        <f>IFERROR(__xludf.DUMMYFUNCTION("""COMPUTED_VALUE"""),117268.0)</f>
        <v>117268</v>
      </c>
      <c r="B2495" s="2">
        <f>IFERROR(__xludf.DUMMYFUNCTION("""COMPUTED_VALUE"""),1.0)</f>
        <v>1</v>
      </c>
      <c r="C2495" s="2">
        <f>IFERROR(__xludf.DUMMYFUNCTION("""COMPUTED_VALUE"""),759.0)</f>
        <v>759</v>
      </c>
      <c r="D2495" s="3">
        <f>IFERROR(__xludf.DUMMYFUNCTION("""COMPUTED_VALUE"""),478.0)</f>
        <v>478</v>
      </c>
      <c r="E2495" s="2"/>
      <c r="F2495" s="2"/>
    </row>
    <row r="2496">
      <c r="A2496" s="2">
        <f>IFERROR(__xludf.DUMMYFUNCTION("""COMPUTED_VALUE"""),80623.0)</f>
        <v>80623</v>
      </c>
      <c r="B2496" s="2">
        <f>IFERROR(__xludf.DUMMYFUNCTION("""COMPUTED_VALUE"""),1.0)</f>
        <v>1</v>
      </c>
      <c r="C2496" s="2">
        <f>IFERROR(__xludf.DUMMYFUNCTION("""COMPUTED_VALUE"""),852.0)</f>
        <v>852</v>
      </c>
      <c r="D2496" s="3">
        <f>IFERROR(__xludf.DUMMYFUNCTION("""COMPUTED_VALUE"""),769.0)</f>
        <v>769</v>
      </c>
      <c r="E2496" s="2"/>
      <c r="F2496" s="2"/>
    </row>
    <row r="2497">
      <c r="A2497" s="2">
        <f>IFERROR(__xludf.DUMMYFUNCTION("""COMPUTED_VALUE"""),9698.0)</f>
        <v>9698</v>
      </c>
      <c r="B2497" s="2">
        <f>IFERROR(__xludf.DUMMYFUNCTION("""COMPUTED_VALUE"""),0.0)</f>
        <v>0</v>
      </c>
      <c r="C2497" s="2">
        <f>IFERROR(__xludf.DUMMYFUNCTION("""COMPUTED_VALUE"""),454.0)</f>
        <v>454</v>
      </c>
      <c r="D2497" s="3">
        <f>IFERROR(__xludf.DUMMYFUNCTION("""COMPUTED_VALUE"""),237.0)</f>
        <v>237</v>
      </c>
      <c r="E2497" s="2"/>
      <c r="F2497" s="2"/>
    </row>
    <row r="2498">
      <c r="A2498" s="2">
        <f>IFERROR(__xludf.DUMMYFUNCTION("""COMPUTED_VALUE"""),83102.0)</f>
        <v>83102</v>
      </c>
      <c r="B2498" s="2">
        <f>IFERROR(__xludf.DUMMYFUNCTION("""COMPUTED_VALUE"""),1.0)</f>
        <v>1</v>
      </c>
      <c r="C2498" s="2">
        <f>IFERROR(__xludf.DUMMYFUNCTION("""COMPUTED_VALUE"""),816.0)</f>
        <v>816</v>
      </c>
      <c r="D2498" s="3">
        <f>IFERROR(__xludf.DUMMYFUNCTION("""COMPUTED_VALUE"""),645.0)</f>
        <v>645</v>
      </c>
      <c r="E2498" s="2"/>
      <c r="F2498" s="2"/>
    </row>
    <row r="2499">
      <c r="A2499" s="2">
        <f>IFERROR(__xludf.DUMMYFUNCTION("""COMPUTED_VALUE"""),118271.0)</f>
        <v>118271</v>
      </c>
      <c r="B2499" s="2">
        <f>IFERROR(__xludf.DUMMYFUNCTION("""COMPUTED_VALUE"""),0.0)</f>
        <v>0</v>
      </c>
      <c r="C2499" s="2">
        <f>IFERROR(__xludf.DUMMYFUNCTION("""COMPUTED_VALUE"""),530.0)</f>
        <v>530</v>
      </c>
      <c r="D2499" s="3">
        <f>IFERROR(__xludf.DUMMYFUNCTION("""COMPUTED_VALUE"""),23.0)</f>
        <v>23</v>
      </c>
      <c r="E2499" s="2"/>
      <c r="F2499" s="2"/>
    </row>
    <row r="2500">
      <c r="A2500" s="2">
        <f>IFERROR(__xludf.DUMMYFUNCTION("""COMPUTED_VALUE"""),41659.0)</f>
        <v>41659</v>
      </c>
      <c r="B2500" s="2">
        <f>IFERROR(__xludf.DUMMYFUNCTION("""COMPUTED_VALUE"""),0.0)</f>
        <v>0</v>
      </c>
      <c r="C2500" s="2">
        <f>IFERROR(__xludf.DUMMYFUNCTION("""COMPUTED_VALUE"""),169.0)</f>
        <v>169</v>
      </c>
      <c r="D2500" s="3">
        <f>IFERROR(__xludf.DUMMYFUNCTION("""COMPUTED_VALUE"""),10.0)</f>
        <v>10</v>
      </c>
      <c r="E2500" s="2"/>
      <c r="F2500" s="2"/>
    </row>
    <row r="2501">
      <c r="A2501" s="2">
        <f>IFERROR(__xludf.DUMMYFUNCTION("""COMPUTED_VALUE"""),81564.0)</f>
        <v>81564</v>
      </c>
      <c r="B2501" s="2">
        <f>IFERROR(__xludf.DUMMYFUNCTION("""COMPUTED_VALUE"""),0.0)</f>
        <v>0</v>
      </c>
      <c r="C2501" s="2">
        <f>IFERROR(__xludf.DUMMYFUNCTION("""COMPUTED_VALUE"""),355.0)</f>
        <v>355</v>
      </c>
      <c r="D2501" s="3">
        <f>IFERROR(__xludf.DUMMYFUNCTION("""COMPUTED_VALUE"""),209.0)</f>
        <v>209</v>
      </c>
      <c r="E2501" s="2"/>
      <c r="F2501" s="2"/>
    </row>
    <row r="2502">
      <c r="A2502" s="2">
        <f>IFERROR(__xludf.DUMMYFUNCTION("""COMPUTED_VALUE"""),110132.0)</f>
        <v>110132</v>
      </c>
      <c r="B2502" s="2">
        <f>IFERROR(__xludf.DUMMYFUNCTION("""COMPUTED_VALUE"""),0.0)</f>
        <v>0</v>
      </c>
      <c r="C2502" s="2">
        <f>IFERROR(__xludf.DUMMYFUNCTION("""COMPUTED_VALUE"""),317.0)</f>
        <v>317</v>
      </c>
      <c r="D2502" s="3">
        <f>IFERROR(__xludf.DUMMYFUNCTION("""COMPUTED_VALUE"""),148.0)</f>
        <v>148</v>
      </c>
      <c r="E2502" s="2"/>
      <c r="F2502" s="2"/>
    </row>
    <row r="2503">
      <c r="A2503" s="2">
        <f>IFERROR(__xludf.DUMMYFUNCTION("""COMPUTED_VALUE"""),17639.0)</f>
        <v>17639</v>
      </c>
      <c r="B2503" s="2">
        <f>IFERROR(__xludf.DUMMYFUNCTION("""COMPUTED_VALUE"""),1.0)</f>
        <v>1</v>
      </c>
      <c r="C2503" s="2">
        <f>IFERROR(__xludf.DUMMYFUNCTION("""COMPUTED_VALUE"""),39.0)</f>
        <v>39</v>
      </c>
      <c r="D2503" s="3">
        <f>IFERROR(__xludf.DUMMYFUNCTION("""COMPUTED_VALUE"""),6.0)</f>
        <v>6</v>
      </c>
      <c r="E2503" s="2"/>
      <c r="F2503" s="2"/>
    </row>
    <row r="2504">
      <c r="A2504" s="2">
        <f>IFERROR(__xludf.DUMMYFUNCTION("""COMPUTED_VALUE"""),201025.0)</f>
        <v>201025</v>
      </c>
      <c r="B2504" s="2">
        <f>IFERROR(__xludf.DUMMYFUNCTION("""COMPUTED_VALUE"""),0.0)</f>
        <v>0</v>
      </c>
      <c r="C2504" s="2">
        <f>IFERROR(__xludf.DUMMYFUNCTION("""COMPUTED_VALUE"""),229.0)</f>
        <v>229</v>
      </c>
      <c r="D2504" s="3">
        <f>IFERROR(__xludf.DUMMYFUNCTION("""COMPUTED_VALUE"""),26.0)</f>
        <v>26</v>
      </c>
      <c r="E2504" s="2"/>
      <c r="F2504" s="2"/>
    </row>
    <row r="2505">
      <c r="A2505" s="2">
        <f>IFERROR(__xludf.DUMMYFUNCTION("""COMPUTED_VALUE"""),70589.0)</f>
        <v>70589</v>
      </c>
      <c r="B2505" s="2">
        <f>IFERROR(__xludf.DUMMYFUNCTION("""COMPUTED_VALUE"""),1.0)</f>
        <v>1</v>
      </c>
      <c r="C2505" s="2">
        <f>IFERROR(__xludf.DUMMYFUNCTION("""COMPUTED_VALUE"""),480.0)</f>
        <v>480</v>
      </c>
      <c r="D2505" s="3">
        <f>IFERROR(__xludf.DUMMYFUNCTION("""COMPUTED_VALUE"""),103.0)</f>
        <v>103</v>
      </c>
      <c r="E2505" s="2"/>
      <c r="F2505" s="2"/>
    </row>
    <row r="2506">
      <c r="A2506" s="2">
        <f>IFERROR(__xludf.DUMMYFUNCTION("""COMPUTED_VALUE"""),75825.0)</f>
        <v>75825</v>
      </c>
      <c r="B2506" s="2">
        <f>IFERROR(__xludf.DUMMYFUNCTION("""COMPUTED_VALUE"""),1.0)</f>
        <v>1</v>
      </c>
      <c r="C2506" s="2">
        <f>IFERROR(__xludf.DUMMYFUNCTION("""COMPUTED_VALUE"""),552.0)</f>
        <v>552</v>
      </c>
      <c r="D2506" s="3">
        <f>IFERROR(__xludf.DUMMYFUNCTION("""COMPUTED_VALUE"""),204.0)</f>
        <v>204</v>
      </c>
      <c r="E2506" s="2"/>
      <c r="F2506" s="2"/>
    </row>
    <row r="2507">
      <c r="A2507" s="2">
        <f>IFERROR(__xludf.DUMMYFUNCTION("""COMPUTED_VALUE"""),9699.0)</f>
        <v>9699</v>
      </c>
      <c r="B2507" s="2">
        <f>IFERROR(__xludf.DUMMYFUNCTION("""COMPUTED_VALUE"""),1.0)</f>
        <v>1</v>
      </c>
      <c r="C2507" s="2">
        <f>IFERROR(__xludf.DUMMYFUNCTION("""COMPUTED_VALUE"""),855.0)</f>
        <v>855</v>
      </c>
      <c r="D2507" s="3">
        <f>IFERROR(__xludf.DUMMYFUNCTION("""COMPUTED_VALUE"""),292.0)</f>
        <v>292</v>
      </c>
      <c r="E2507" s="2"/>
      <c r="F2507" s="2"/>
    </row>
    <row r="2508">
      <c r="A2508" s="2">
        <f>IFERROR(__xludf.DUMMYFUNCTION("""COMPUTED_VALUE"""),122448.0)</f>
        <v>122448</v>
      </c>
      <c r="B2508" s="2">
        <f>IFERROR(__xludf.DUMMYFUNCTION("""COMPUTED_VALUE"""),1.0)</f>
        <v>1</v>
      </c>
      <c r="C2508" s="2">
        <f>IFERROR(__xludf.DUMMYFUNCTION("""COMPUTED_VALUE"""),158.0)</f>
        <v>158</v>
      </c>
      <c r="D2508" s="3">
        <f>IFERROR(__xludf.DUMMYFUNCTION("""COMPUTED_VALUE"""),86.0)</f>
        <v>86</v>
      </c>
      <c r="E2508" s="2"/>
      <c r="F2508" s="2"/>
    </row>
    <row r="2509">
      <c r="A2509" s="2">
        <f>IFERROR(__xludf.DUMMYFUNCTION("""COMPUTED_VALUE"""),105506.0)</f>
        <v>105506</v>
      </c>
      <c r="B2509" s="2">
        <f>IFERROR(__xludf.DUMMYFUNCTION("""COMPUTED_VALUE"""),1.0)</f>
        <v>1</v>
      </c>
      <c r="C2509" s="2">
        <f>IFERROR(__xludf.DUMMYFUNCTION("""COMPUTED_VALUE"""),490.0)</f>
        <v>490</v>
      </c>
      <c r="D2509" s="3">
        <f>IFERROR(__xludf.DUMMYFUNCTION("""COMPUTED_VALUE"""),332.0)</f>
        <v>332</v>
      </c>
      <c r="E2509" s="2"/>
      <c r="F2509" s="2"/>
    </row>
    <row r="2510">
      <c r="A2510" s="2">
        <f>IFERROR(__xludf.DUMMYFUNCTION("""COMPUTED_VALUE"""),142304.0)</f>
        <v>142304</v>
      </c>
      <c r="B2510" s="2">
        <f>IFERROR(__xludf.DUMMYFUNCTION("""COMPUTED_VALUE"""),0.0)</f>
        <v>0</v>
      </c>
      <c r="C2510" s="2">
        <f>IFERROR(__xludf.DUMMYFUNCTION("""COMPUTED_VALUE"""),174.0)</f>
        <v>174</v>
      </c>
      <c r="D2510" s="3">
        <f>IFERROR(__xludf.DUMMYFUNCTION("""COMPUTED_VALUE"""),103.0)</f>
        <v>103</v>
      </c>
      <c r="E2510" s="2"/>
      <c r="F2510" s="2"/>
    </row>
    <row r="2511">
      <c r="A2511" s="2">
        <f>IFERROR(__xludf.DUMMYFUNCTION("""COMPUTED_VALUE"""),105505.0)</f>
        <v>105505</v>
      </c>
      <c r="B2511" s="2">
        <f>IFERROR(__xludf.DUMMYFUNCTION("""COMPUTED_VALUE"""),1.0)</f>
        <v>1</v>
      </c>
      <c r="C2511" s="2">
        <f>IFERROR(__xludf.DUMMYFUNCTION("""COMPUTED_VALUE"""),535.0)</f>
        <v>535</v>
      </c>
      <c r="D2511" s="3">
        <f>IFERROR(__xludf.DUMMYFUNCTION("""COMPUTED_VALUE"""),293.0)</f>
        <v>293</v>
      </c>
      <c r="E2511" s="2"/>
      <c r="F2511" s="2"/>
    </row>
    <row r="2512">
      <c r="A2512" s="2">
        <f>IFERROR(__xludf.DUMMYFUNCTION("""COMPUTED_VALUE"""),122502.0)</f>
        <v>122502</v>
      </c>
      <c r="B2512" s="2">
        <f>IFERROR(__xludf.DUMMYFUNCTION("""COMPUTED_VALUE"""),1.0)</f>
        <v>1</v>
      </c>
      <c r="C2512" s="2">
        <f>IFERROR(__xludf.DUMMYFUNCTION("""COMPUTED_VALUE"""),762.0)</f>
        <v>762</v>
      </c>
      <c r="D2512" s="3">
        <f>IFERROR(__xludf.DUMMYFUNCTION("""COMPUTED_VALUE"""),188.0)</f>
        <v>188</v>
      </c>
      <c r="E2512" s="2"/>
      <c r="F2512" s="2"/>
    </row>
    <row r="2513">
      <c r="A2513" s="2">
        <f>IFERROR(__xludf.DUMMYFUNCTION("""COMPUTED_VALUE"""),118264.0)</f>
        <v>118264</v>
      </c>
      <c r="B2513" s="2">
        <f>IFERROR(__xludf.DUMMYFUNCTION("""COMPUTED_VALUE"""),0.0)</f>
        <v>0</v>
      </c>
      <c r="C2513" s="2">
        <f>IFERROR(__xludf.DUMMYFUNCTION("""COMPUTED_VALUE"""),655.0)</f>
        <v>655</v>
      </c>
      <c r="D2513" s="3">
        <f>IFERROR(__xludf.DUMMYFUNCTION("""COMPUTED_VALUE"""),171.0)</f>
        <v>171</v>
      </c>
      <c r="E2513" s="2"/>
      <c r="F2513" s="2"/>
    </row>
    <row r="2514">
      <c r="A2514" s="2">
        <f>IFERROR(__xludf.DUMMYFUNCTION("""COMPUTED_VALUE"""),17632.0)</f>
        <v>17632</v>
      </c>
      <c r="B2514" s="2">
        <f>IFERROR(__xludf.DUMMYFUNCTION("""COMPUTED_VALUE"""),0.0)</f>
        <v>0</v>
      </c>
      <c r="C2514" s="2">
        <f>IFERROR(__xludf.DUMMYFUNCTION("""COMPUTED_VALUE"""),333.0)</f>
        <v>333</v>
      </c>
      <c r="D2514" s="3">
        <f>IFERROR(__xludf.DUMMYFUNCTION("""COMPUTED_VALUE"""),130.0)</f>
        <v>130</v>
      </c>
      <c r="E2514" s="2"/>
      <c r="F2514" s="2"/>
    </row>
    <row r="2515">
      <c r="A2515" s="2">
        <f>IFERROR(__xludf.DUMMYFUNCTION("""COMPUTED_VALUE"""),108790.0)</f>
        <v>108790</v>
      </c>
      <c r="B2515" s="2">
        <f>IFERROR(__xludf.DUMMYFUNCTION("""COMPUTED_VALUE"""),1.0)</f>
        <v>1</v>
      </c>
      <c r="C2515" s="2">
        <f>IFERROR(__xludf.DUMMYFUNCTION("""COMPUTED_VALUE"""),607.0)</f>
        <v>607</v>
      </c>
      <c r="D2515" s="3">
        <f>IFERROR(__xludf.DUMMYFUNCTION("""COMPUTED_VALUE"""),291.0)</f>
        <v>291</v>
      </c>
      <c r="E2515" s="2"/>
      <c r="F2515" s="2"/>
    </row>
    <row r="2516">
      <c r="A2516" s="2">
        <f>IFERROR(__xludf.DUMMYFUNCTION("""COMPUTED_VALUE"""),92200.0)</f>
        <v>92200</v>
      </c>
      <c r="B2516" s="2">
        <f>IFERROR(__xludf.DUMMYFUNCTION("""COMPUTED_VALUE"""),1.0)</f>
        <v>1</v>
      </c>
      <c r="C2516" s="2">
        <f>IFERROR(__xludf.DUMMYFUNCTION("""COMPUTED_VALUE"""),332.0)</f>
        <v>332</v>
      </c>
      <c r="D2516" s="3">
        <f>IFERROR(__xludf.DUMMYFUNCTION("""COMPUTED_VALUE"""),317.0)</f>
        <v>317</v>
      </c>
      <c r="E2516" s="2"/>
      <c r="F2516" s="2"/>
    </row>
    <row r="2517">
      <c r="A2517" s="2">
        <f>IFERROR(__xludf.DUMMYFUNCTION("""COMPUTED_VALUE"""),17634.0)</f>
        <v>17634</v>
      </c>
      <c r="B2517" s="2">
        <f>IFERROR(__xludf.DUMMYFUNCTION("""COMPUTED_VALUE"""),0.0)</f>
        <v>0</v>
      </c>
      <c r="C2517" s="2">
        <f>IFERROR(__xludf.DUMMYFUNCTION("""COMPUTED_VALUE"""),549.0)</f>
        <v>549</v>
      </c>
      <c r="D2517" s="3">
        <f>IFERROR(__xludf.DUMMYFUNCTION("""COMPUTED_VALUE"""),149.0)</f>
        <v>149</v>
      </c>
      <c r="E2517" s="2"/>
      <c r="F2517" s="2"/>
    </row>
    <row r="2518">
      <c r="A2518" s="2">
        <f>IFERROR(__xludf.DUMMYFUNCTION("""COMPUTED_VALUE"""),122522.0)</f>
        <v>122522</v>
      </c>
      <c r="B2518" s="2">
        <f>IFERROR(__xludf.DUMMYFUNCTION("""COMPUTED_VALUE"""),1.0)</f>
        <v>1</v>
      </c>
      <c r="C2518" s="2">
        <f>IFERROR(__xludf.DUMMYFUNCTION("""COMPUTED_VALUE"""),274.0)</f>
        <v>274</v>
      </c>
      <c r="D2518" s="3">
        <f>IFERROR(__xludf.DUMMYFUNCTION("""COMPUTED_VALUE"""),28.0)</f>
        <v>28</v>
      </c>
      <c r="E2518" s="2"/>
      <c r="F2518" s="2"/>
    </row>
    <row r="2519">
      <c r="A2519" s="2">
        <f>IFERROR(__xludf.DUMMYFUNCTION("""COMPUTED_VALUE"""),122505.0)</f>
        <v>122505</v>
      </c>
      <c r="B2519" s="2">
        <f>IFERROR(__xludf.DUMMYFUNCTION("""COMPUTED_VALUE"""),0.0)</f>
        <v>0</v>
      </c>
      <c r="C2519" s="2">
        <f>IFERROR(__xludf.DUMMYFUNCTION("""COMPUTED_VALUE"""),887.0)</f>
        <v>887</v>
      </c>
      <c r="D2519" s="3">
        <f>IFERROR(__xludf.DUMMYFUNCTION("""COMPUTED_VALUE"""),135.0)</f>
        <v>135</v>
      </c>
      <c r="E2519" s="2"/>
      <c r="F2519" s="2"/>
    </row>
    <row r="2520">
      <c r="A2520" s="2">
        <f>IFERROR(__xludf.DUMMYFUNCTION("""COMPUTED_VALUE"""),93416.0)</f>
        <v>93416</v>
      </c>
      <c r="B2520" s="2">
        <f>IFERROR(__xludf.DUMMYFUNCTION("""COMPUTED_VALUE"""),0.0)</f>
        <v>0</v>
      </c>
      <c r="C2520" s="2">
        <f>IFERROR(__xludf.DUMMYFUNCTION("""COMPUTED_VALUE"""),351.0)</f>
        <v>351</v>
      </c>
      <c r="D2520" s="3">
        <f>IFERROR(__xludf.DUMMYFUNCTION("""COMPUTED_VALUE"""),60.0)</f>
        <v>60</v>
      </c>
      <c r="E2520" s="2"/>
      <c r="F2520" s="2"/>
    </row>
    <row r="2521">
      <c r="A2521" s="2">
        <f>IFERROR(__xludf.DUMMYFUNCTION("""COMPUTED_VALUE"""),93406.0)</f>
        <v>93406</v>
      </c>
      <c r="B2521" s="2">
        <f>IFERROR(__xludf.DUMMYFUNCTION("""COMPUTED_VALUE"""),0.0)</f>
        <v>0</v>
      </c>
      <c r="C2521" s="2">
        <f>IFERROR(__xludf.DUMMYFUNCTION("""COMPUTED_VALUE"""),523.0)</f>
        <v>523</v>
      </c>
      <c r="D2521" s="3">
        <f>IFERROR(__xludf.DUMMYFUNCTION("""COMPUTED_VALUE"""),253.0)</f>
        <v>253</v>
      </c>
      <c r="E2521" s="2"/>
      <c r="F2521" s="2"/>
    </row>
    <row r="2522">
      <c r="A2522" s="2">
        <f>IFERROR(__xludf.DUMMYFUNCTION("""COMPUTED_VALUE"""),69329.0)</f>
        <v>69329</v>
      </c>
      <c r="B2522" s="2">
        <f>IFERROR(__xludf.DUMMYFUNCTION("""COMPUTED_VALUE"""),1.0)</f>
        <v>1</v>
      </c>
      <c r="C2522" s="2">
        <f>IFERROR(__xludf.DUMMYFUNCTION("""COMPUTED_VALUE"""),712.0)</f>
        <v>712</v>
      </c>
      <c r="D2522" s="3">
        <f>IFERROR(__xludf.DUMMYFUNCTION("""COMPUTED_VALUE"""),408.0)</f>
        <v>408</v>
      </c>
      <c r="E2522" s="2"/>
      <c r="F2522" s="2"/>
    </row>
    <row r="2523">
      <c r="A2523" s="2">
        <f>IFERROR(__xludf.DUMMYFUNCTION("""COMPUTED_VALUE"""),155953.0)</f>
        <v>155953</v>
      </c>
      <c r="B2523" s="2">
        <f>IFERROR(__xludf.DUMMYFUNCTION("""COMPUTED_VALUE"""),0.0)</f>
        <v>0</v>
      </c>
      <c r="C2523" s="2">
        <f>IFERROR(__xludf.DUMMYFUNCTION("""COMPUTED_VALUE"""),462.0)</f>
        <v>462</v>
      </c>
      <c r="D2523" s="3">
        <f>IFERROR(__xludf.DUMMYFUNCTION("""COMPUTED_VALUE"""),359.0)</f>
        <v>359</v>
      </c>
      <c r="E2523" s="2"/>
      <c r="F2523" s="2"/>
    </row>
    <row r="2524">
      <c r="A2524" s="2">
        <f>IFERROR(__xludf.DUMMYFUNCTION("""COMPUTED_VALUE"""),11721.0)</f>
        <v>11721</v>
      </c>
      <c r="B2524" s="2">
        <f>IFERROR(__xludf.DUMMYFUNCTION("""COMPUTED_VALUE"""),1.0)</f>
        <v>1</v>
      </c>
      <c r="C2524" s="2">
        <f>IFERROR(__xludf.DUMMYFUNCTION("""COMPUTED_VALUE"""),298.0)</f>
        <v>298</v>
      </c>
      <c r="D2524" s="3">
        <f>IFERROR(__xludf.DUMMYFUNCTION("""COMPUTED_VALUE"""),182.0)</f>
        <v>182</v>
      </c>
      <c r="E2524" s="2"/>
      <c r="F2524" s="2"/>
    </row>
    <row r="2525">
      <c r="A2525" s="2">
        <f>IFERROR(__xludf.DUMMYFUNCTION("""COMPUTED_VALUE"""),41654.0)</f>
        <v>41654</v>
      </c>
      <c r="B2525" s="2">
        <f>IFERROR(__xludf.DUMMYFUNCTION("""COMPUTED_VALUE"""),1.0)</f>
        <v>1</v>
      </c>
      <c r="C2525" s="2">
        <f>IFERROR(__xludf.DUMMYFUNCTION("""COMPUTED_VALUE"""),212.0)</f>
        <v>212</v>
      </c>
      <c r="D2525" s="3">
        <f>IFERROR(__xludf.DUMMYFUNCTION("""COMPUTED_VALUE"""),166.0)</f>
        <v>166</v>
      </c>
      <c r="E2525" s="2"/>
      <c r="F2525" s="2"/>
    </row>
    <row r="2526">
      <c r="A2526" s="2">
        <f>IFERROR(__xludf.DUMMYFUNCTION("""COMPUTED_VALUE"""),92204.0)</f>
        <v>92204</v>
      </c>
      <c r="B2526" s="2">
        <f>IFERROR(__xludf.DUMMYFUNCTION("""COMPUTED_VALUE"""),0.0)</f>
        <v>0</v>
      </c>
      <c r="C2526" s="2">
        <f>IFERROR(__xludf.DUMMYFUNCTION("""COMPUTED_VALUE"""),469.0)</f>
        <v>469</v>
      </c>
      <c r="D2526" s="3">
        <f>IFERROR(__xludf.DUMMYFUNCTION("""COMPUTED_VALUE"""),225.0)</f>
        <v>225</v>
      </c>
      <c r="E2526" s="2"/>
      <c r="F2526" s="2"/>
    </row>
    <row r="2527">
      <c r="A2527" s="2">
        <f>IFERROR(__xludf.DUMMYFUNCTION("""COMPUTED_VALUE"""),105572.0)</f>
        <v>105572</v>
      </c>
      <c r="B2527" s="2">
        <f>IFERROR(__xludf.DUMMYFUNCTION("""COMPUTED_VALUE"""),1.0)</f>
        <v>1</v>
      </c>
      <c r="C2527" s="2">
        <f>IFERROR(__xludf.DUMMYFUNCTION("""COMPUTED_VALUE"""),137.0)</f>
        <v>137</v>
      </c>
      <c r="D2527" s="3">
        <f>IFERROR(__xludf.DUMMYFUNCTION("""COMPUTED_VALUE"""),33.0)</f>
        <v>33</v>
      </c>
      <c r="E2527" s="2"/>
      <c r="F2527" s="2"/>
    </row>
    <row r="2528">
      <c r="A2528" s="2">
        <f>IFERROR(__xludf.DUMMYFUNCTION("""COMPUTED_VALUE"""),110141.0)</f>
        <v>110141</v>
      </c>
      <c r="B2528" s="2">
        <f>IFERROR(__xludf.DUMMYFUNCTION("""COMPUTED_VALUE"""),1.0)</f>
        <v>1</v>
      </c>
      <c r="C2528" s="2">
        <f>IFERROR(__xludf.DUMMYFUNCTION("""COMPUTED_VALUE"""),423.0)</f>
        <v>423</v>
      </c>
      <c r="D2528" s="3">
        <f>IFERROR(__xludf.DUMMYFUNCTION("""COMPUTED_VALUE"""),21.0)</f>
        <v>21</v>
      </c>
      <c r="E2528" s="2"/>
      <c r="F2528" s="2"/>
    </row>
    <row r="2529">
      <c r="A2529" s="2">
        <f>IFERROR(__xludf.DUMMYFUNCTION("""COMPUTED_VALUE"""),158471.0)</f>
        <v>158471</v>
      </c>
      <c r="B2529" s="2">
        <f>IFERROR(__xludf.DUMMYFUNCTION("""COMPUTED_VALUE"""),1.0)</f>
        <v>1</v>
      </c>
      <c r="C2529" s="2">
        <f>IFERROR(__xludf.DUMMYFUNCTION("""COMPUTED_VALUE"""),385.0)</f>
        <v>385</v>
      </c>
      <c r="D2529" s="3">
        <f>IFERROR(__xludf.DUMMYFUNCTION("""COMPUTED_VALUE"""),98.0)</f>
        <v>98</v>
      </c>
      <c r="E2529" s="2"/>
      <c r="F2529" s="2"/>
    </row>
    <row r="2530">
      <c r="A2530" s="2">
        <f>IFERROR(__xludf.DUMMYFUNCTION("""COMPUTED_VALUE"""),120876.0)</f>
        <v>120876</v>
      </c>
      <c r="B2530" s="2">
        <f>IFERROR(__xludf.DUMMYFUNCTION("""COMPUTED_VALUE"""),0.0)</f>
        <v>0</v>
      </c>
      <c r="C2530" s="2">
        <f>IFERROR(__xludf.DUMMYFUNCTION("""COMPUTED_VALUE"""),519.0)</f>
        <v>519</v>
      </c>
      <c r="D2530" s="3">
        <f>IFERROR(__xludf.DUMMYFUNCTION("""COMPUTED_VALUE"""),145.0)</f>
        <v>145</v>
      </c>
      <c r="E2530" s="2"/>
      <c r="F2530" s="2"/>
    </row>
    <row r="2531">
      <c r="A2531" s="2">
        <f>IFERROR(__xludf.DUMMYFUNCTION("""COMPUTED_VALUE"""),87437.0)</f>
        <v>87437</v>
      </c>
      <c r="B2531" s="2">
        <f>IFERROR(__xludf.DUMMYFUNCTION("""COMPUTED_VALUE"""),1.0)</f>
        <v>1</v>
      </c>
      <c r="C2531" s="2">
        <f>IFERROR(__xludf.DUMMYFUNCTION("""COMPUTED_VALUE"""),277.0)</f>
        <v>277</v>
      </c>
      <c r="D2531" s="3">
        <f>IFERROR(__xludf.DUMMYFUNCTION("""COMPUTED_VALUE"""),147.0)</f>
        <v>147</v>
      </c>
      <c r="E2531" s="2"/>
      <c r="F2531" s="2"/>
    </row>
    <row r="2532">
      <c r="A2532" s="2">
        <f>IFERROR(__xludf.DUMMYFUNCTION("""COMPUTED_VALUE"""),121462.0)</f>
        <v>121462</v>
      </c>
      <c r="B2532" s="2">
        <f>IFERROR(__xludf.DUMMYFUNCTION("""COMPUTED_VALUE"""),1.0)</f>
        <v>1</v>
      </c>
      <c r="C2532" s="2">
        <f>IFERROR(__xludf.DUMMYFUNCTION("""COMPUTED_VALUE"""),933.0)</f>
        <v>933</v>
      </c>
      <c r="D2532" s="3">
        <f>IFERROR(__xludf.DUMMYFUNCTION("""COMPUTED_VALUE"""),537.0)</f>
        <v>537</v>
      </c>
      <c r="E2532" s="2"/>
      <c r="F2532" s="2"/>
    </row>
    <row r="2533">
      <c r="A2533" s="2">
        <f>IFERROR(__xludf.DUMMYFUNCTION("""COMPUTED_VALUE"""),69471.0)</f>
        <v>69471</v>
      </c>
      <c r="B2533" s="2">
        <f>IFERROR(__xludf.DUMMYFUNCTION("""COMPUTED_VALUE"""),0.0)</f>
        <v>0</v>
      </c>
      <c r="C2533" s="2">
        <f>IFERROR(__xludf.DUMMYFUNCTION("""COMPUTED_VALUE"""),600.0)</f>
        <v>600</v>
      </c>
      <c r="D2533" s="3">
        <f>IFERROR(__xludf.DUMMYFUNCTION("""COMPUTED_VALUE"""),391.0)</f>
        <v>391</v>
      </c>
      <c r="E2533" s="2"/>
      <c r="F2533" s="2"/>
    </row>
    <row r="2534">
      <c r="A2534" s="2">
        <f>IFERROR(__xludf.DUMMYFUNCTION("""COMPUTED_VALUE"""),114904.0)</f>
        <v>114904</v>
      </c>
      <c r="B2534" s="2">
        <f>IFERROR(__xludf.DUMMYFUNCTION("""COMPUTED_VALUE"""),0.0)</f>
        <v>0</v>
      </c>
      <c r="C2534" s="2">
        <f>IFERROR(__xludf.DUMMYFUNCTION("""COMPUTED_VALUE"""),726.0)</f>
        <v>726</v>
      </c>
      <c r="D2534" s="3">
        <f>IFERROR(__xludf.DUMMYFUNCTION("""COMPUTED_VALUE"""),635.0)</f>
        <v>635</v>
      </c>
      <c r="E2534" s="2"/>
      <c r="F2534" s="2"/>
    </row>
    <row r="2535">
      <c r="A2535" s="2">
        <f>IFERROR(__xludf.DUMMYFUNCTION("""COMPUTED_VALUE"""),113910.0)</f>
        <v>113910</v>
      </c>
      <c r="B2535" s="2">
        <f>IFERROR(__xludf.DUMMYFUNCTION("""COMPUTED_VALUE"""),0.0)</f>
        <v>0</v>
      </c>
      <c r="C2535" s="2">
        <f>IFERROR(__xludf.DUMMYFUNCTION("""COMPUTED_VALUE"""),453.0)</f>
        <v>453</v>
      </c>
      <c r="D2535" s="3">
        <f>IFERROR(__xludf.DUMMYFUNCTION("""COMPUTED_VALUE"""),258.0)</f>
        <v>258</v>
      </c>
      <c r="E2535" s="2"/>
      <c r="F2535" s="2"/>
    </row>
    <row r="2536">
      <c r="A2536" s="2">
        <f>IFERROR(__xludf.DUMMYFUNCTION("""COMPUTED_VALUE"""),18100.0)</f>
        <v>18100</v>
      </c>
      <c r="B2536" s="2">
        <f>IFERROR(__xludf.DUMMYFUNCTION("""COMPUTED_VALUE"""),1.0)</f>
        <v>1</v>
      </c>
      <c r="C2536" s="2">
        <f>IFERROR(__xludf.DUMMYFUNCTION("""COMPUTED_VALUE"""),520.0)</f>
        <v>520</v>
      </c>
      <c r="D2536" s="3">
        <f>IFERROR(__xludf.DUMMYFUNCTION("""COMPUTED_VALUE"""),228.0)</f>
        <v>228</v>
      </c>
      <c r="E2536" s="2"/>
      <c r="F2536" s="2"/>
    </row>
    <row r="2537">
      <c r="A2537" s="2">
        <f>IFERROR(__xludf.DUMMYFUNCTION("""COMPUTED_VALUE"""),114963.0)</f>
        <v>114963</v>
      </c>
      <c r="B2537" s="2">
        <f>IFERROR(__xludf.DUMMYFUNCTION("""COMPUTED_VALUE"""),0.0)</f>
        <v>0</v>
      </c>
      <c r="C2537" s="2">
        <f>IFERROR(__xludf.DUMMYFUNCTION("""COMPUTED_VALUE"""),186.0)</f>
        <v>186</v>
      </c>
      <c r="D2537" s="3">
        <f>IFERROR(__xludf.DUMMYFUNCTION("""COMPUTED_VALUE"""),56.0)</f>
        <v>56</v>
      </c>
      <c r="E2537" s="2"/>
      <c r="F2537" s="2"/>
    </row>
    <row r="2538">
      <c r="A2538" s="2">
        <f>IFERROR(__xludf.DUMMYFUNCTION("""COMPUTED_VALUE"""),121495.0)</f>
        <v>121495</v>
      </c>
      <c r="B2538" s="2">
        <f>IFERROR(__xludf.DUMMYFUNCTION("""COMPUTED_VALUE"""),1.0)</f>
        <v>1</v>
      </c>
      <c r="C2538" s="2">
        <f>IFERROR(__xludf.DUMMYFUNCTION("""COMPUTED_VALUE"""),944.0)</f>
        <v>944</v>
      </c>
      <c r="D2538" s="3">
        <f>IFERROR(__xludf.DUMMYFUNCTION("""COMPUTED_VALUE"""),852.0)</f>
        <v>852</v>
      </c>
      <c r="E2538" s="2"/>
      <c r="F2538" s="2"/>
    </row>
    <row r="2539">
      <c r="A2539" s="2">
        <f>IFERROR(__xludf.DUMMYFUNCTION("""COMPUTED_VALUE"""),83041.0)</f>
        <v>83041</v>
      </c>
      <c r="B2539" s="2">
        <f>IFERROR(__xludf.DUMMYFUNCTION("""COMPUTED_VALUE"""),1.0)</f>
        <v>1</v>
      </c>
      <c r="C2539" s="2">
        <f>IFERROR(__xludf.DUMMYFUNCTION("""COMPUTED_VALUE"""),972.0)</f>
        <v>972</v>
      </c>
      <c r="D2539" s="3">
        <f>IFERROR(__xludf.DUMMYFUNCTION("""COMPUTED_VALUE"""),955.0)</f>
        <v>955</v>
      </c>
      <c r="E2539" s="2"/>
      <c r="F2539" s="2"/>
    </row>
    <row r="2540">
      <c r="A2540" s="2">
        <f>IFERROR(__xludf.DUMMYFUNCTION("""COMPUTED_VALUE"""),121499.0)</f>
        <v>121499</v>
      </c>
      <c r="B2540" s="2">
        <f>IFERROR(__xludf.DUMMYFUNCTION("""COMPUTED_VALUE"""),1.0)</f>
        <v>1</v>
      </c>
      <c r="C2540" s="2">
        <f>IFERROR(__xludf.DUMMYFUNCTION("""COMPUTED_VALUE"""),562.0)</f>
        <v>562</v>
      </c>
      <c r="D2540" s="3">
        <f>IFERROR(__xludf.DUMMYFUNCTION("""COMPUTED_VALUE"""),28.0)</f>
        <v>28</v>
      </c>
      <c r="E2540" s="2"/>
      <c r="F2540" s="2"/>
    </row>
    <row r="2541">
      <c r="A2541" s="2">
        <f>IFERROR(__xludf.DUMMYFUNCTION("""COMPUTED_VALUE"""),108528.0)</f>
        <v>108528</v>
      </c>
      <c r="B2541" s="2">
        <f>IFERROR(__xludf.DUMMYFUNCTION("""COMPUTED_VALUE"""),0.0)</f>
        <v>0</v>
      </c>
      <c r="C2541" s="2">
        <f>IFERROR(__xludf.DUMMYFUNCTION("""COMPUTED_VALUE"""),112.0)</f>
        <v>112</v>
      </c>
      <c r="D2541" s="3">
        <f>IFERROR(__xludf.DUMMYFUNCTION("""COMPUTED_VALUE"""),21.0)</f>
        <v>21</v>
      </c>
      <c r="E2541" s="2"/>
      <c r="F2541" s="2"/>
    </row>
    <row r="2542">
      <c r="A2542" s="2">
        <f>IFERROR(__xludf.DUMMYFUNCTION("""COMPUTED_VALUE"""),69547.0)</f>
        <v>69547</v>
      </c>
      <c r="B2542" s="2">
        <f>IFERROR(__xludf.DUMMYFUNCTION("""COMPUTED_VALUE"""),1.0)</f>
        <v>1</v>
      </c>
      <c r="C2542" s="2">
        <f>IFERROR(__xludf.DUMMYFUNCTION("""COMPUTED_VALUE"""),879.0)</f>
        <v>879</v>
      </c>
      <c r="D2542" s="3">
        <f>IFERROR(__xludf.DUMMYFUNCTION("""COMPUTED_VALUE"""),309.0)</f>
        <v>309</v>
      </c>
      <c r="E2542" s="2"/>
      <c r="F2542" s="2"/>
    </row>
    <row r="2543">
      <c r="A2543" s="2">
        <f>IFERROR(__xludf.DUMMYFUNCTION("""COMPUTED_VALUE"""),18126.0)</f>
        <v>18126</v>
      </c>
      <c r="B2543" s="2">
        <f>IFERROR(__xludf.DUMMYFUNCTION("""COMPUTED_VALUE"""),0.0)</f>
        <v>0</v>
      </c>
      <c r="C2543" s="2">
        <f>IFERROR(__xludf.DUMMYFUNCTION("""COMPUTED_VALUE"""),832.0)</f>
        <v>832</v>
      </c>
      <c r="D2543" s="3">
        <f>IFERROR(__xludf.DUMMYFUNCTION("""COMPUTED_VALUE"""),95.0)</f>
        <v>95</v>
      </c>
      <c r="E2543" s="2"/>
      <c r="F2543" s="2"/>
    </row>
    <row r="2544">
      <c r="A2544" s="2">
        <f>IFERROR(__xludf.DUMMYFUNCTION("""COMPUTED_VALUE"""),121812.0)</f>
        <v>121812</v>
      </c>
      <c r="B2544" s="2">
        <f>IFERROR(__xludf.DUMMYFUNCTION("""COMPUTED_VALUE"""),0.0)</f>
        <v>0</v>
      </c>
      <c r="C2544" s="2">
        <f>IFERROR(__xludf.DUMMYFUNCTION("""COMPUTED_VALUE"""),672.0)</f>
        <v>672</v>
      </c>
      <c r="D2544" s="3">
        <f>IFERROR(__xludf.DUMMYFUNCTION("""COMPUTED_VALUE"""),160.0)</f>
        <v>160</v>
      </c>
      <c r="E2544" s="2"/>
      <c r="F2544" s="2"/>
    </row>
    <row r="2545">
      <c r="A2545" s="2">
        <f>IFERROR(__xludf.DUMMYFUNCTION("""COMPUTED_VALUE"""),81497.0)</f>
        <v>81497</v>
      </c>
      <c r="B2545" s="2">
        <f>IFERROR(__xludf.DUMMYFUNCTION("""COMPUTED_VALUE"""),0.0)</f>
        <v>0</v>
      </c>
      <c r="C2545" s="2">
        <f>IFERROR(__xludf.DUMMYFUNCTION("""COMPUTED_VALUE"""),279.0)</f>
        <v>279</v>
      </c>
      <c r="D2545" s="3">
        <f>IFERROR(__xludf.DUMMYFUNCTION("""COMPUTED_VALUE"""),241.0)</f>
        <v>241</v>
      </c>
      <c r="E2545" s="2"/>
      <c r="F2545" s="2"/>
    </row>
    <row r="2546">
      <c r="A2546" s="2">
        <f>IFERROR(__xludf.DUMMYFUNCTION("""COMPUTED_VALUE"""),121500.0)</f>
        <v>121500</v>
      </c>
      <c r="B2546" s="2">
        <f>IFERROR(__xludf.DUMMYFUNCTION("""COMPUTED_VALUE"""),0.0)</f>
        <v>0</v>
      </c>
      <c r="C2546" s="2">
        <f>IFERROR(__xludf.DUMMYFUNCTION("""COMPUTED_VALUE"""),690.0)</f>
        <v>690</v>
      </c>
      <c r="D2546" s="3">
        <f>IFERROR(__xludf.DUMMYFUNCTION("""COMPUTED_VALUE"""),96.0)</f>
        <v>96</v>
      </c>
      <c r="E2546" s="2"/>
      <c r="F2546" s="2"/>
    </row>
    <row r="2547">
      <c r="A2547" s="2">
        <f>IFERROR(__xludf.DUMMYFUNCTION("""COMPUTED_VALUE"""),45903.0)</f>
        <v>45903</v>
      </c>
      <c r="B2547" s="2">
        <f>IFERROR(__xludf.DUMMYFUNCTION("""COMPUTED_VALUE"""),0.0)</f>
        <v>0</v>
      </c>
      <c r="C2547" s="2">
        <f>IFERROR(__xludf.DUMMYFUNCTION("""COMPUTED_VALUE"""),792.0)</f>
        <v>792</v>
      </c>
      <c r="D2547" s="3">
        <f>IFERROR(__xludf.DUMMYFUNCTION("""COMPUTED_VALUE"""),335.0)</f>
        <v>335</v>
      </c>
      <c r="E2547" s="2"/>
      <c r="F2547" s="2"/>
    </row>
    <row r="2548">
      <c r="A2548" s="2">
        <f>IFERROR(__xludf.DUMMYFUNCTION("""COMPUTED_VALUE"""),121813.0)</f>
        <v>121813</v>
      </c>
      <c r="B2548" s="2">
        <f>IFERROR(__xludf.DUMMYFUNCTION("""COMPUTED_VALUE"""),0.0)</f>
        <v>0</v>
      </c>
      <c r="C2548" s="2">
        <f>IFERROR(__xludf.DUMMYFUNCTION("""COMPUTED_VALUE"""),259.0)</f>
        <v>259</v>
      </c>
      <c r="D2548" s="3">
        <f>IFERROR(__xludf.DUMMYFUNCTION("""COMPUTED_VALUE"""),131.0)</f>
        <v>131</v>
      </c>
      <c r="E2548" s="2"/>
      <c r="F2548" s="2"/>
    </row>
    <row r="2549">
      <c r="A2549" s="2">
        <f>IFERROR(__xludf.DUMMYFUNCTION("""COMPUTED_VALUE"""),108512.0)</f>
        <v>108512</v>
      </c>
      <c r="B2549" s="2">
        <f>IFERROR(__xludf.DUMMYFUNCTION("""COMPUTED_VALUE"""),0.0)</f>
        <v>0</v>
      </c>
      <c r="C2549" s="2">
        <f>IFERROR(__xludf.DUMMYFUNCTION("""COMPUTED_VALUE"""),272.0)</f>
        <v>272</v>
      </c>
      <c r="D2549" s="3">
        <f>IFERROR(__xludf.DUMMYFUNCTION("""COMPUTED_VALUE"""),17.0)</f>
        <v>17</v>
      </c>
      <c r="E2549" s="2"/>
      <c r="F2549" s="2"/>
    </row>
    <row r="2550">
      <c r="A2550" s="2">
        <f>IFERROR(__xludf.DUMMYFUNCTION("""COMPUTED_VALUE"""),70189.0)</f>
        <v>70189</v>
      </c>
      <c r="B2550" s="2">
        <f>IFERROR(__xludf.DUMMYFUNCTION("""COMPUTED_VALUE"""),1.0)</f>
        <v>1</v>
      </c>
      <c r="C2550" s="2">
        <f>IFERROR(__xludf.DUMMYFUNCTION("""COMPUTED_VALUE"""),668.0)</f>
        <v>668</v>
      </c>
      <c r="D2550" s="3">
        <f>IFERROR(__xludf.DUMMYFUNCTION("""COMPUTED_VALUE"""),309.0)</f>
        <v>309</v>
      </c>
      <c r="E2550" s="2"/>
      <c r="F2550" s="2"/>
    </row>
    <row r="2551">
      <c r="A2551" s="2">
        <f>IFERROR(__xludf.DUMMYFUNCTION("""COMPUTED_VALUE"""),194057.0)</f>
        <v>194057</v>
      </c>
      <c r="B2551" s="2">
        <f>IFERROR(__xludf.DUMMYFUNCTION("""COMPUTED_VALUE"""),0.0)</f>
        <v>0</v>
      </c>
      <c r="C2551" s="2">
        <f>IFERROR(__xludf.DUMMYFUNCTION("""COMPUTED_VALUE"""),719.0)</f>
        <v>719</v>
      </c>
      <c r="D2551" s="3">
        <f>IFERROR(__xludf.DUMMYFUNCTION("""COMPUTED_VALUE"""),163.0)</f>
        <v>163</v>
      </c>
      <c r="E2551" s="2"/>
      <c r="F2551" s="2"/>
    </row>
    <row r="2552">
      <c r="A2552" s="2">
        <f>IFERROR(__xludf.DUMMYFUNCTION("""COMPUTED_VALUE"""),121460.0)</f>
        <v>121460</v>
      </c>
      <c r="B2552" s="2">
        <f>IFERROR(__xludf.DUMMYFUNCTION("""COMPUTED_VALUE"""),0.0)</f>
        <v>0</v>
      </c>
      <c r="C2552" s="2">
        <f>IFERROR(__xludf.DUMMYFUNCTION("""COMPUTED_VALUE"""),76.0)</f>
        <v>76</v>
      </c>
      <c r="D2552" s="3">
        <f>IFERROR(__xludf.DUMMYFUNCTION("""COMPUTED_VALUE"""),76.0)</f>
        <v>76</v>
      </c>
      <c r="E2552" s="2"/>
      <c r="F2552" s="2"/>
    </row>
    <row r="2553">
      <c r="A2553" s="2">
        <f>IFERROR(__xludf.DUMMYFUNCTION("""COMPUTED_VALUE"""),121950.0)</f>
        <v>121950</v>
      </c>
      <c r="B2553" s="2">
        <f>IFERROR(__xludf.DUMMYFUNCTION("""COMPUTED_VALUE"""),1.0)</f>
        <v>1</v>
      </c>
      <c r="C2553" s="2">
        <f>IFERROR(__xludf.DUMMYFUNCTION("""COMPUTED_VALUE"""),662.0)</f>
        <v>662</v>
      </c>
      <c r="D2553" s="3">
        <f>IFERROR(__xludf.DUMMYFUNCTION("""COMPUTED_VALUE"""),104.0)</f>
        <v>104</v>
      </c>
      <c r="E2553" s="2"/>
      <c r="F2553" s="2"/>
    </row>
    <row r="2554">
      <c r="A2554" s="2">
        <f>IFERROR(__xludf.DUMMYFUNCTION("""COMPUTED_VALUE"""),121811.0)</f>
        <v>121811</v>
      </c>
      <c r="B2554" s="2">
        <f>IFERROR(__xludf.DUMMYFUNCTION("""COMPUTED_VALUE"""),0.0)</f>
        <v>0</v>
      </c>
      <c r="C2554" s="2">
        <f>IFERROR(__xludf.DUMMYFUNCTION("""COMPUTED_VALUE"""),546.0)</f>
        <v>546</v>
      </c>
      <c r="D2554" s="3">
        <f>IFERROR(__xludf.DUMMYFUNCTION("""COMPUTED_VALUE"""),8.0)</f>
        <v>8</v>
      </c>
      <c r="E2554" s="2"/>
      <c r="F2554" s="2"/>
    </row>
    <row r="2555">
      <c r="A2555" s="2">
        <f>IFERROR(__xludf.DUMMYFUNCTION("""COMPUTED_VALUE"""),86400.0)</f>
        <v>86400</v>
      </c>
      <c r="B2555" s="2">
        <f>IFERROR(__xludf.DUMMYFUNCTION("""COMPUTED_VALUE"""),1.0)</f>
        <v>1</v>
      </c>
      <c r="C2555" s="2">
        <f>IFERROR(__xludf.DUMMYFUNCTION("""COMPUTED_VALUE"""),272.0)</f>
        <v>272</v>
      </c>
      <c r="D2555" s="3">
        <f>IFERROR(__xludf.DUMMYFUNCTION("""COMPUTED_VALUE"""),44.0)</f>
        <v>44</v>
      </c>
      <c r="E2555" s="2"/>
      <c r="F2555" s="2"/>
    </row>
    <row r="2556">
      <c r="A2556" s="2">
        <f>IFERROR(__xludf.DUMMYFUNCTION("""COMPUTED_VALUE"""),108527.0)</f>
        <v>108527</v>
      </c>
      <c r="B2556" s="2">
        <f>IFERROR(__xludf.DUMMYFUNCTION("""COMPUTED_VALUE"""),0.0)</f>
        <v>0</v>
      </c>
      <c r="C2556" s="2">
        <f>IFERROR(__xludf.DUMMYFUNCTION("""COMPUTED_VALUE"""),660.0)</f>
        <v>660</v>
      </c>
      <c r="D2556" s="3">
        <f>IFERROR(__xludf.DUMMYFUNCTION("""COMPUTED_VALUE"""),374.0)</f>
        <v>374</v>
      </c>
      <c r="E2556" s="2"/>
      <c r="F2556" s="2"/>
    </row>
    <row r="2557">
      <c r="A2557" s="2">
        <f>IFERROR(__xludf.DUMMYFUNCTION("""COMPUTED_VALUE"""),88622.0)</f>
        <v>88622</v>
      </c>
      <c r="B2557" s="2">
        <f>IFERROR(__xludf.DUMMYFUNCTION("""COMPUTED_VALUE"""),1.0)</f>
        <v>1</v>
      </c>
      <c r="C2557" s="2">
        <f>IFERROR(__xludf.DUMMYFUNCTION("""COMPUTED_VALUE"""),516.0)</f>
        <v>516</v>
      </c>
      <c r="D2557" s="3">
        <f>IFERROR(__xludf.DUMMYFUNCTION("""COMPUTED_VALUE"""),24.0)</f>
        <v>24</v>
      </c>
      <c r="E2557" s="2"/>
      <c r="F2557" s="2"/>
    </row>
    <row r="2558">
      <c r="A2558" s="2">
        <f>IFERROR(__xludf.DUMMYFUNCTION("""COMPUTED_VALUE"""),121803.0)</f>
        <v>121803</v>
      </c>
      <c r="B2558" s="2">
        <f>IFERROR(__xludf.DUMMYFUNCTION("""COMPUTED_VALUE"""),0.0)</f>
        <v>0</v>
      </c>
      <c r="C2558" s="2">
        <f>IFERROR(__xludf.DUMMYFUNCTION("""COMPUTED_VALUE"""),467.0)</f>
        <v>467</v>
      </c>
      <c r="D2558" s="3">
        <f>IFERROR(__xludf.DUMMYFUNCTION("""COMPUTED_VALUE"""),304.0)</f>
        <v>304</v>
      </c>
      <c r="E2558" s="2"/>
      <c r="F2558" s="2"/>
    </row>
    <row r="2559">
      <c r="A2559" s="2">
        <f>IFERROR(__xludf.DUMMYFUNCTION("""COMPUTED_VALUE"""),87418.0)</f>
        <v>87418</v>
      </c>
      <c r="B2559" s="2">
        <f>IFERROR(__xludf.DUMMYFUNCTION("""COMPUTED_VALUE"""),1.0)</f>
        <v>1</v>
      </c>
      <c r="C2559" s="2">
        <f>IFERROR(__xludf.DUMMYFUNCTION("""COMPUTED_VALUE"""),787.0)</f>
        <v>787</v>
      </c>
      <c r="D2559" s="3">
        <f>IFERROR(__xludf.DUMMYFUNCTION("""COMPUTED_VALUE"""),380.0)</f>
        <v>380</v>
      </c>
      <c r="E2559" s="2"/>
      <c r="F2559" s="2"/>
    </row>
    <row r="2560">
      <c r="A2560" s="2">
        <f>IFERROR(__xludf.DUMMYFUNCTION("""COMPUTED_VALUE"""),26275.0)</f>
        <v>26275</v>
      </c>
      <c r="B2560" s="2">
        <f>IFERROR(__xludf.DUMMYFUNCTION("""COMPUTED_VALUE"""),0.0)</f>
        <v>0</v>
      </c>
      <c r="C2560" s="2">
        <f>IFERROR(__xludf.DUMMYFUNCTION("""COMPUTED_VALUE"""),162.0)</f>
        <v>162</v>
      </c>
      <c r="D2560" s="3">
        <f>IFERROR(__xludf.DUMMYFUNCTION("""COMPUTED_VALUE"""),25.0)</f>
        <v>25</v>
      </c>
      <c r="E2560" s="2"/>
      <c r="F2560" s="2"/>
    </row>
    <row r="2561">
      <c r="A2561" s="2">
        <f>IFERROR(__xludf.DUMMYFUNCTION("""COMPUTED_VALUE"""),119229.0)</f>
        <v>119229</v>
      </c>
      <c r="B2561" s="2">
        <f>IFERROR(__xludf.DUMMYFUNCTION("""COMPUTED_VALUE"""),1.0)</f>
        <v>1</v>
      </c>
      <c r="C2561" s="2">
        <f>IFERROR(__xludf.DUMMYFUNCTION("""COMPUTED_VALUE"""),230.0)</f>
        <v>230</v>
      </c>
      <c r="D2561" s="3">
        <f>IFERROR(__xludf.DUMMYFUNCTION("""COMPUTED_VALUE"""),108.0)</f>
        <v>108</v>
      </c>
      <c r="E2561" s="2"/>
      <c r="F2561" s="2"/>
    </row>
    <row r="2562">
      <c r="A2562" s="2">
        <f>IFERROR(__xludf.DUMMYFUNCTION("""COMPUTED_VALUE"""),74881.0)</f>
        <v>74881</v>
      </c>
      <c r="B2562" s="2">
        <f>IFERROR(__xludf.DUMMYFUNCTION("""COMPUTED_VALUE"""),1.0)</f>
        <v>1</v>
      </c>
      <c r="C2562" s="2">
        <f>IFERROR(__xludf.DUMMYFUNCTION("""COMPUTED_VALUE"""),70.0)</f>
        <v>70</v>
      </c>
      <c r="D2562" s="3">
        <f>IFERROR(__xludf.DUMMYFUNCTION("""COMPUTED_VALUE"""),40.0)</f>
        <v>40</v>
      </c>
      <c r="E2562" s="2"/>
      <c r="F2562" s="2"/>
    </row>
    <row r="2563">
      <c r="A2563" s="2">
        <f>IFERROR(__xludf.DUMMYFUNCTION("""COMPUTED_VALUE"""),86469.0)</f>
        <v>86469</v>
      </c>
      <c r="B2563" s="2">
        <f>IFERROR(__xludf.DUMMYFUNCTION("""COMPUTED_VALUE"""),1.0)</f>
        <v>1</v>
      </c>
      <c r="C2563" s="2">
        <f>IFERROR(__xludf.DUMMYFUNCTION("""COMPUTED_VALUE"""),56.0)</f>
        <v>56</v>
      </c>
      <c r="D2563" s="3">
        <f>IFERROR(__xludf.DUMMYFUNCTION("""COMPUTED_VALUE"""),27.0)</f>
        <v>27</v>
      </c>
      <c r="E2563" s="2"/>
      <c r="F2563" s="2"/>
    </row>
    <row r="2564">
      <c r="A2564" s="2">
        <f>IFERROR(__xludf.DUMMYFUNCTION("""COMPUTED_VALUE"""),120798.0)</f>
        <v>120798</v>
      </c>
      <c r="B2564" s="2">
        <f>IFERROR(__xludf.DUMMYFUNCTION("""COMPUTED_VALUE"""),0.0)</f>
        <v>0</v>
      </c>
      <c r="C2564" s="2">
        <f>IFERROR(__xludf.DUMMYFUNCTION("""COMPUTED_VALUE"""),165.0)</f>
        <v>165</v>
      </c>
      <c r="D2564" s="3">
        <f>IFERROR(__xludf.DUMMYFUNCTION("""COMPUTED_VALUE"""),159.0)</f>
        <v>159</v>
      </c>
      <c r="E2564" s="2"/>
      <c r="F2564" s="2"/>
    </row>
    <row r="2565">
      <c r="A2565" s="2">
        <f>IFERROR(__xludf.DUMMYFUNCTION("""COMPUTED_VALUE"""),86479.0)</f>
        <v>86479</v>
      </c>
      <c r="B2565" s="2">
        <f>IFERROR(__xludf.DUMMYFUNCTION("""COMPUTED_VALUE"""),0.0)</f>
        <v>0</v>
      </c>
      <c r="C2565" s="2">
        <f>IFERROR(__xludf.DUMMYFUNCTION("""COMPUTED_VALUE"""),850.0)</f>
        <v>850</v>
      </c>
      <c r="D2565" s="3">
        <f>IFERROR(__xludf.DUMMYFUNCTION("""COMPUTED_VALUE"""),25.0)</f>
        <v>25</v>
      </c>
      <c r="E2565" s="2"/>
      <c r="F2565" s="2"/>
    </row>
    <row r="2566">
      <c r="A2566" s="2">
        <f>IFERROR(__xludf.DUMMYFUNCTION("""COMPUTED_VALUE"""),80411.0)</f>
        <v>80411</v>
      </c>
      <c r="B2566" s="2">
        <f>IFERROR(__xludf.DUMMYFUNCTION("""COMPUTED_VALUE"""),0.0)</f>
        <v>0</v>
      </c>
      <c r="C2566" s="2">
        <f>IFERROR(__xludf.DUMMYFUNCTION("""COMPUTED_VALUE"""),417.0)</f>
        <v>417</v>
      </c>
      <c r="D2566" s="3">
        <f>IFERROR(__xludf.DUMMYFUNCTION("""COMPUTED_VALUE"""),28.0)</f>
        <v>28</v>
      </c>
      <c r="E2566" s="2"/>
      <c r="F2566" s="2"/>
    </row>
    <row r="2567">
      <c r="A2567" s="2">
        <f>IFERROR(__xludf.DUMMYFUNCTION("""COMPUTED_VALUE"""),120797.0)</f>
        <v>120797</v>
      </c>
      <c r="B2567" s="2">
        <f>IFERROR(__xludf.DUMMYFUNCTION("""COMPUTED_VALUE"""),0.0)</f>
        <v>0</v>
      </c>
      <c r="C2567" s="2">
        <f>IFERROR(__xludf.DUMMYFUNCTION("""COMPUTED_VALUE"""),43.0)</f>
        <v>43</v>
      </c>
      <c r="D2567" s="3">
        <f>IFERROR(__xludf.DUMMYFUNCTION("""COMPUTED_VALUE"""),1.0)</f>
        <v>1</v>
      </c>
      <c r="E2567" s="2"/>
      <c r="F2567" s="2"/>
    </row>
    <row r="2568">
      <c r="A2568" s="2">
        <f>IFERROR(__xludf.DUMMYFUNCTION("""COMPUTED_VALUE"""),86480.0)</f>
        <v>86480</v>
      </c>
      <c r="B2568" s="2">
        <f>IFERROR(__xludf.DUMMYFUNCTION("""COMPUTED_VALUE"""),1.0)</f>
        <v>1</v>
      </c>
      <c r="C2568" s="2">
        <f>IFERROR(__xludf.DUMMYFUNCTION("""COMPUTED_VALUE"""),464.0)</f>
        <v>464</v>
      </c>
      <c r="D2568" s="3">
        <f>IFERROR(__xludf.DUMMYFUNCTION("""COMPUTED_VALUE"""),212.0)</f>
        <v>212</v>
      </c>
      <c r="E2568" s="2"/>
      <c r="F2568" s="2"/>
    </row>
    <row r="2569">
      <c r="A2569" s="2">
        <f>IFERROR(__xludf.DUMMYFUNCTION("""COMPUTED_VALUE"""),86478.0)</f>
        <v>86478</v>
      </c>
      <c r="B2569" s="2">
        <f>IFERROR(__xludf.DUMMYFUNCTION("""COMPUTED_VALUE"""),1.0)</f>
        <v>1</v>
      </c>
      <c r="C2569" s="2">
        <f>IFERROR(__xludf.DUMMYFUNCTION("""COMPUTED_VALUE"""),35.0)</f>
        <v>35</v>
      </c>
      <c r="D2569" s="3">
        <f>IFERROR(__xludf.DUMMYFUNCTION("""COMPUTED_VALUE"""),8.0)</f>
        <v>8</v>
      </c>
      <c r="E2569" s="2"/>
      <c r="F2569" s="2"/>
    </row>
    <row r="2570">
      <c r="A2570" s="2">
        <f>IFERROR(__xludf.DUMMYFUNCTION("""COMPUTED_VALUE"""),118887.0)</f>
        <v>118887</v>
      </c>
      <c r="B2570" s="2">
        <f>IFERROR(__xludf.DUMMYFUNCTION("""COMPUTED_VALUE"""),1.0)</f>
        <v>1</v>
      </c>
      <c r="C2570" s="2">
        <f>IFERROR(__xludf.DUMMYFUNCTION("""COMPUTED_VALUE"""),979.0)</f>
        <v>979</v>
      </c>
      <c r="D2570" s="3">
        <f>IFERROR(__xludf.DUMMYFUNCTION("""COMPUTED_VALUE"""),528.0)</f>
        <v>528</v>
      </c>
      <c r="E2570" s="2"/>
      <c r="F2570" s="2"/>
    </row>
    <row r="2571">
      <c r="A2571" s="2">
        <f>IFERROR(__xludf.DUMMYFUNCTION("""COMPUTED_VALUE"""),121802.0)</f>
        <v>121802</v>
      </c>
      <c r="B2571" s="2">
        <f>IFERROR(__xludf.DUMMYFUNCTION("""COMPUTED_VALUE"""),0.0)</f>
        <v>0</v>
      </c>
      <c r="C2571" s="2">
        <f>IFERROR(__xludf.DUMMYFUNCTION("""COMPUTED_VALUE"""),634.0)</f>
        <v>634</v>
      </c>
      <c r="D2571" s="3">
        <f>IFERROR(__xludf.DUMMYFUNCTION("""COMPUTED_VALUE"""),547.0)</f>
        <v>547</v>
      </c>
      <c r="E2571" s="2"/>
      <c r="F2571" s="2"/>
    </row>
    <row r="2572">
      <c r="A2572" s="2">
        <f>IFERROR(__xludf.DUMMYFUNCTION("""COMPUTED_VALUE"""),87440.0)</f>
        <v>87440</v>
      </c>
      <c r="B2572" s="2">
        <f>IFERROR(__xludf.DUMMYFUNCTION("""COMPUTED_VALUE"""),0.0)</f>
        <v>0</v>
      </c>
      <c r="C2572" s="2">
        <f>IFERROR(__xludf.DUMMYFUNCTION("""COMPUTED_VALUE"""),476.0)</f>
        <v>476</v>
      </c>
      <c r="D2572" s="3">
        <f>IFERROR(__xludf.DUMMYFUNCTION("""COMPUTED_VALUE"""),87.0)</f>
        <v>87</v>
      </c>
      <c r="E2572" s="2"/>
      <c r="F2572" s="2"/>
    </row>
    <row r="2573">
      <c r="A2573" s="2">
        <f>IFERROR(__xludf.DUMMYFUNCTION("""COMPUTED_VALUE"""),86477.0)</f>
        <v>86477</v>
      </c>
      <c r="B2573" s="2">
        <f>IFERROR(__xludf.DUMMYFUNCTION("""COMPUTED_VALUE"""),0.0)</f>
        <v>0</v>
      </c>
      <c r="C2573" s="2">
        <f>IFERROR(__xludf.DUMMYFUNCTION("""COMPUTED_VALUE"""),39.0)</f>
        <v>39</v>
      </c>
      <c r="D2573" s="3">
        <f>IFERROR(__xludf.DUMMYFUNCTION("""COMPUTED_VALUE"""),8.0)</f>
        <v>8</v>
      </c>
      <c r="E2573" s="2"/>
      <c r="F2573" s="2"/>
    </row>
    <row r="2574">
      <c r="A2574" s="2">
        <f>IFERROR(__xludf.DUMMYFUNCTION("""COMPUTED_VALUE"""),83059.0)</f>
        <v>83059</v>
      </c>
      <c r="B2574" s="2">
        <f>IFERROR(__xludf.DUMMYFUNCTION("""COMPUTED_VALUE"""),0.0)</f>
        <v>0</v>
      </c>
      <c r="C2574" s="2">
        <f>IFERROR(__xludf.DUMMYFUNCTION("""COMPUTED_VALUE"""),318.0)</f>
        <v>318</v>
      </c>
      <c r="D2574" s="3">
        <f>IFERROR(__xludf.DUMMYFUNCTION("""COMPUTED_VALUE"""),240.0)</f>
        <v>240</v>
      </c>
      <c r="E2574" s="2"/>
      <c r="F2574" s="2"/>
    </row>
    <row r="2575">
      <c r="A2575" s="2">
        <f>IFERROR(__xludf.DUMMYFUNCTION("""COMPUTED_VALUE"""),86449.0)</f>
        <v>86449</v>
      </c>
      <c r="B2575" s="2">
        <f>IFERROR(__xludf.DUMMYFUNCTION("""COMPUTED_VALUE"""),1.0)</f>
        <v>1</v>
      </c>
      <c r="C2575" s="2">
        <f>IFERROR(__xludf.DUMMYFUNCTION("""COMPUTED_VALUE"""),17.0)</f>
        <v>17</v>
      </c>
      <c r="D2575" s="3">
        <f>IFERROR(__xludf.DUMMYFUNCTION("""COMPUTED_VALUE"""),4.0)</f>
        <v>4</v>
      </c>
      <c r="E2575" s="2"/>
      <c r="F2575" s="2"/>
    </row>
    <row r="2576">
      <c r="A2576" s="2">
        <f>IFERROR(__xludf.DUMMYFUNCTION("""COMPUTED_VALUE"""),86416.0)</f>
        <v>86416</v>
      </c>
      <c r="B2576" s="2">
        <f>IFERROR(__xludf.DUMMYFUNCTION("""COMPUTED_VALUE"""),0.0)</f>
        <v>0</v>
      </c>
      <c r="C2576" s="2">
        <f>IFERROR(__xludf.DUMMYFUNCTION("""COMPUTED_VALUE"""),618.0)</f>
        <v>618</v>
      </c>
      <c r="D2576" s="3">
        <f>IFERROR(__xludf.DUMMYFUNCTION("""COMPUTED_VALUE"""),174.0)</f>
        <v>174</v>
      </c>
      <c r="E2576" s="2"/>
      <c r="F2576" s="2"/>
    </row>
    <row r="2577">
      <c r="A2577" s="2">
        <f>IFERROR(__xludf.DUMMYFUNCTION("""COMPUTED_VALUE"""),83064.0)</f>
        <v>83064</v>
      </c>
      <c r="B2577" s="2">
        <f>IFERROR(__xludf.DUMMYFUNCTION("""COMPUTED_VALUE"""),0.0)</f>
        <v>0</v>
      </c>
      <c r="C2577" s="2">
        <f>IFERROR(__xludf.DUMMYFUNCTION("""COMPUTED_VALUE"""),20.0)</f>
        <v>20</v>
      </c>
      <c r="D2577" s="3">
        <f>IFERROR(__xludf.DUMMYFUNCTION("""COMPUTED_VALUE"""),1.0)</f>
        <v>1</v>
      </c>
      <c r="E2577" s="2"/>
      <c r="F2577" s="2"/>
    </row>
    <row r="2578">
      <c r="A2578" s="2">
        <f>IFERROR(__xludf.DUMMYFUNCTION("""COMPUTED_VALUE"""),108514.0)</f>
        <v>108514</v>
      </c>
      <c r="B2578" s="2">
        <f>IFERROR(__xludf.DUMMYFUNCTION("""COMPUTED_VALUE"""),0.0)</f>
        <v>0</v>
      </c>
      <c r="C2578" s="2">
        <f>IFERROR(__xludf.DUMMYFUNCTION("""COMPUTED_VALUE"""),133.0)</f>
        <v>133</v>
      </c>
      <c r="D2578" s="3">
        <f>IFERROR(__xludf.DUMMYFUNCTION("""COMPUTED_VALUE"""),70.0)</f>
        <v>70</v>
      </c>
      <c r="E2578" s="2"/>
      <c r="F2578" s="2"/>
    </row>
    <row r="2579">
      <c r="A2579" s="2">
        <f>IFERROR(__xludf.DUMMYFUNCTION("""COMPUTED_VALUE"""),86454.0)</f>
        <v>86454</v>
      </c>
      <c r="B2579" s="2">
        <f>IFERROR(__xludf.DUMMYFUNCTION("""COMPUTED_VALUE"""),0.0)</f>
        <v>0</v>
      </c>
      <c r="C2579" s="2">
        <f>IFERROR(__xludf.DUMMYFUNCTION("""COMPUTED_VALUE"""),108.0)</f>
        <v>108</v>
      </c>
      <c r="D2579" s="3">
        <f>IFERROR(__xludf.DUMMYFUNCTION("""COMPUTED_VALUE"""),99.0)</f>
        <v>99</v>
      </c>
      <c r="E2579" s="2"/>
      <c r="F2579" s="2"/>
    </row>
    <row r="2580">
      <c r="A2580" s="2">
        <f>IFERROR(__xludf.DUMMYFUNCTION("""COMPUTED_VALUE"""),143238.0)</f>
        <v>143238</v>
      </c>
      <c r="B2580" s="2">
        <f>IFERROR(__xludf.DUMMYFUNCTION("""COMPUTED_VALUE"""),0.0)</f>
        <v>0</v>
      </c>
      <c r="C2580" s="2">
        <f>IFERROR(__xludf.DUMMYFUNCTION("""COMPUTED_VALUE"""),331.0)</f>
        <v>331</v>
      </c>
      <c r="D2580" s="3">
        <f>IFERROR(__xludf.DUMMYFUNCTION("""COMPUTED_VALUE"""),222.0)</f>
        <v>222</v>
      </c>
      <c r="E2580" s="2"/>
      <c r="F2580" s="2"/>
    </row>
    <row r="2581">
      <c r="A2581" s="2">
        <f>IFERROR(__xludf.DUMMYFUNCTION("""COMPUTED_VALUE"""),107070.0)</f>
        <v>107070</v>
      </c>
      <c r="B2581" s="2">
        <f>IFERROR(__xludf.DUMMYFUNCTION("""COMPUTED_VALUE"""),0.0)</f>
        <v>0</v>
      </c>
      <c r="C2581" s="2">
        <f>IFERROR(__xludf.DUMMYFUNCTION("""COMPUTED_VALUE"""),934.0)</f>
        <v>934</v>
      </c>
      <c r="D2581" s="3">
        <f>IFERROR(__xludf.DUMMYFUNCTION("""COMPUTED_VALUE"""),930.0)</f>
        <v>930</v>
      </c>
      <c r="E2581" s="2"/>
      <c r="F2581" s="2"/>
    </row>
    <row r="2582">
      <c r="A2582" s="2">
        <f>IFERROR(__xludf.DUMMYFUNCTION("""COMPUTED_VALUE"""),114467.0)</f>
        <v>114467</v>
      </c>
      <c r="B2582" s="2">
        <f>IFERROR(__xludf.DUMMYFUNCTION("""COMPUTED_VALUE"""),1.0)</f>
        <v>1</v>
      </c>
      <c r="C2582" s="2">
        <f>IFERROR(__xludf.DUMMYFUNCTION("""COMPUTED_VALUE"""),233.0)</f>
        <v>233</v>
      </c>
      <c r="D2582" s="3">
        <f>IFERROR(__xludf.DUMMYFUNCTION("""COMPUTED_VALUE"""),58.0)</f>
        <v>58</v>
      </c>
      <c r="E2582" s="2"/>
      <c r="F2582" s="2"/>
    </row>
    <row r="2583">
      <c r="A2583" s="2">
        <f>IFERROR(__xludf.DUMMYFUNCTION("""COMPUTED_VALUE"""),143237.0)</f>
        <v>143237</v>
      </c>
      <c r="B2583" s="2">
        <f>IFERROR(__xludf.DUMMYFUNCTION("""COMPUTED_VALUE"""),0.0)</f>
        <v>0</v>
      </c>
      <c r="C2583" s="2">
        <f>IFERROR(__xludf.DUMMYFUNCTION("""COMPUTED_VALUE"""),540.0)</f>
        <v>540</v>
      </c>
      <c r="D2583" s="3">
        <f>IFERROR(__xludf.DUMMYFUNCTION("""COMPUTED_VALUE"""),96.0)</f>
        <v>96</v>
      </c>
      <c r="E2583" s="2"/>
      <c r="F2583" s="2"/>
    </row>
    <row r="2584">
      <c r="A2584" s="2">
        <f>IFERROR(__xludf.DUMMYFUNCTION("""COMPUTED_VALUE"""),86417.0)</f>
        <v>86417</v>
      </c>
      <c r="B2584" s="2">
        <f>IFERROR(__xludf.DUMMYFUNCTION("""COMPUTED_VALUE"""),1.0)</f>
        <v>1</v>
      </c>
      <c r="C2584" s="2">
        <f>IFERROR(__xludf.DUMMYFUNCTION("""COMPUTED_VALUE"""),305.0)</f>
        <v>305</v>
      </c>
      <c r="D2584" s="3">
        <f>IFERROR(__xludf.DUMMYFUNCTION("""COMPUTED_VALUE"""),261.0)</f>
        <v>261</v>
      </c>
      <c r="E2584" s="2"/>
      <c r="F2584" s="2"/>
    </row>
    <row r="2585">
      <c r="A2585" s="2">
        <f>IFERROR(__xludf.DUMMYFUNCTION("""COMPUTED_VALUE"""),147317.0)</f>
        <v>147317</v>
      </c>
      <c r="B2585" s="2">
        <f>IFERROR(__xludf.DUMMYFUNCTION("""COMPUTED_VALUE"""),0.0)</f>
        <v>0</v>
      </c>
      <c r="C2585" s="2">
        <f>IFERROR(__xludf.DUMMYFUNCTION("""COMPUTED_VALUE"""),671.0)</f>
        <v>671</v>
      </c>
      <c r="D2585" s="3">
        <f>IFERROR(__xludf.DUMMYFUNCTION("""COMPUTED_VALUE"""),218.0)</f>
        <v>218</v>
      </c>
      <c r="E2585" s="2"/>
      <c r="F2585" s="2"/>
    </row>
    <row r="2586">
      <c r="A2586" s="2">
        <f>IFERROR(__xludf.DUMMYFUNCTION("""COMPUTED_VALUE"""),122177.0)</f>
        <v>122177</v>
      </c>
      <c r="B2586" s="2">
        <f>IFERROR(__xludf.DUMMYFUNCTION("""COMPUTED_VALUE"""),0.0)</f>
        <v>0</v>
      </c>
      <c r="C2586" s="2">
        <f>IFERROR(__xludf.DUMMYFUNCTION("""COMPUTED_VALUE"""),485.0)</f>
        <v>485</v>
      </c>
      <c r="D2586" s="3">
        <f>IFERROR(__xludf.DUMMYFUNCTION("""COMPUTED_VALUE"""),221.0)</f>
        <v>221</v>
      </c>
      <c r="E2586" s="2"/>
      <c r="F2586" s="2"/>
    </row>
    <row r="2587">
      <c r="A2587" s="2">
        <f>IFERROR(__xludf.DUMMYFUNCTION("""COMPUTED_VALUE"""),114909.0)</f>
        <v>114909</v>
      </c>
      <c r="B2587" s="2">
        <f>IFERROR(__xludf.DUMMYFUNCTION("""COMPUTED_VALUE"""),0.0)</f>
        <v>0</v>
      </c>
      <c r="C2587" s="2">
        <f>IFERROR(__xludf.DUMMYFUNCTION("""COMPUTED_VALUE"""),960.0)</f>
        <v>960</v>
      </c>
      <c r="D2587" s="3">
        <f>IFERROR(__xludf.DUMMYFUNCTION("""COMPUTED_VALUE"""),76.0)</f>
        <v>76</v>
      </c>
      <c r="E2587" s="2"/>
      <c r="F2587" s="2"/>
    </row>
    <row r="2588">
      <c r="A2588" s="2">
        <f>IFERROR(__xludf.DUMMYFUNCTION("""COMPUTED_VALUE"""),119230.0)</f>
        <v>119230</v>
      </c>
      <c r="B2588" s="2">
        <f>IFERROR(__xludf.DUMMYFUNCTION("""COMPUTED_VALUE"""),0.0)</f>
        <v>0</v>
      </c>
      <c r="C2588" s="2">
        <f>IFERROR(__xludf.DUMMYFUNCTION("""COMPUTED_VALUE"""),715.0)</f>
        <v>715</v>
      </c>
      <c r="D2588" s="3">
        <f>IFERROR(__xludf.DUMMYFUNCTION("""COMPUTED_VALUE"""),382.0)</f>
        <v>382</v>
      </c>
      <c r="E2588" s="2"/>
      <c r="F2588" s="2"/>
    </row>
    <row r="2589">
      <c r="A2589" s="2">
        <f>IFERROR(__xludf.DUMMYFUNCTION("""COMPUTED_VALUE"""),107109.0)</f>
        <v>107109</v>
      </c>
      <c r="B2589" s="2">
        <f>IFERROR(__xludf.DUMMYFUNCTION("""COMPUTED_VALUE"""),0.0)</f>
        <v>0</v>
      </c>
      <c r="C2589" s="2">
        <f>IFERROR(__xludf.DUMMYFUNCTION("""COMPUTED_VALUE"""),779.0)</f>
        <v>779</v>
      </c>
      <c r="D2589" s="3">
        <f>IFERROR(__xludf.DUMMYFUNCTION("""COMPUTED_VALUE"""),76.0)</f>
        <v>76</v>
      </c>
      <c r="E2589" s="2"/>
      <c r="F2589" s="2"/>
    </row>
    <row r="2590">
      <c r="A2590" s="2">
        <f>IFERROR(__xludf.DUMMYFUNCTION("""COMPUTED_VALUE"""),121461.0)</f>
        <v>121461</v>
      </c>
      <c r="B2590" s="2">
        <f>IFERROR(__xludf.DUMMYFUNCTION("""COMPUTED_VALUE"""),0.0)</f>
        <v>0</v>
      </c>
      <c r="C2590" s="2">
        <f>IFERROR(__xludf.DUMMYFUNCTION("""COMPUTED_VALUE"""),551.0)</f>
        <v>551</v>
      </c>
      <c r="D2590" s="3">
        <f>IFERROR(__xludf.DUMMYFUNCTION("""COMPUTED_VALUE"""),62.0)</f>
        <v>62</v>
      </c>
      <c r="E2590" s="2"/>
      <c r="F2590" s="2"/>
    </row>
    <row r="2591">
      <c r="A2591" s="2">
        <f>IFERROR(__xludf.DUMMYFUNCTION("""COMPUTED_VALUE"""),86413.0)</f>
        <v>86413</v>
      </c>
      <c r="B2591" s="2">
        <f>IFERROR(__xludf.DUMMYFUNCTION("""COMPUTED_VALUE"""),1.0)</f>
        <v>1</v>
      </c>
      <c r="C2591" s="2">
        <f>IFERROR(__xludf.DUMMYFUNCTION("""COMPUTED_VALUE"""),665.0)</f>
        <v>665</v>
      </c>
      <c r="D2591" s="3">
        <f>IFERROR(__xludf.DUMMYFUNCTION("""COMPUTED_VALUE"""),299.0)</f>
        <v>299</v>
      </c>
      <c r="E2591" s="2"/>
      <c r="F2591" s="2"/>
    </row>
    <row r="2592">
      <c r="A2592" s="2">
        <f>IFERROR(__xludf.DUMMYFUNCTION("""COMPUTED_VALUE"""),108511.0)</f>
        <v>108511</v>
      </c>
      <c r="B2592" s="2">
        <f>IFERROR(__xludf.DUMMYFUNCTION("""COMPUTED_VALUE"""),1.0)</f>
        <v>1</v>
      </c>
      <c r="C2592" s="2">
        <f>IFERROR(__xludf.DUMMYFUNCTION("""COMPUTED_VALUE"""),134.0)</f>
        <v>134</v>
      </c>
      <c r="D2592" s="3">
        <f>IFERROR(__xludf.DUMMYFUNCTION("""COMPUTED_VALUE"""),92.0)</f>
        <v>92</v>
      </c>
      <c r="E2592" s="2"/>
      <c r="F2592" s="2"/>
    </row>
    <row r="2593">
      <c r="A2593" s="2">
        <f>IFERROR(__xludf.DUMMYFUNCTION("""COMPUTED_VALUE"""),120877.0)</f>
        <v>120877</v>
      </c>
      <c r="B2593" s="2">
        <f>IFERROR(__xludf.DUMMYFUNCTION("""COMPUTED_VALUE"""),1.0)</f>
        <v>1</v>
      </c>
      <c r="C2593" s="2">
        <f>IFERROR(__xludf.DUMMYFUNCTION("""COMPUTED_VALUE"""),579.0)</f>
        <v>579</v>
      </c>
      <c r="D2593" s="3">
        <f>IFERROR(__xludf.DUMMYFUNCTION("""COMPUTED_VALUE"""),564.0)</f>
        <v>564</v>
      </c>
      <c r="E2593" s="2"/>
      <c r="F2593" s="2"/>
    </row>
    <row r="2594">
      <c r="A2594" s="2">
        <f>IFERROR(__xludf.DUMMYFUNCTION("""COMPUTED_VALUE"""),194052.0)</f>
        <v>194052</v>
      </c>
      <c r="B2594" s="2">
        <f>IFERROR(__xludf.DUMMYFUNCTION("""COMPUTED_VALUE"""),0.0)</f>
        <v>0</v>
      </c>
      <c r="C2594" s="2">
        <f>IFERROR(__xludf.DUMMYFUNCTION("""COMPUTED_VALUE"""),848.0)</f>
        <v>848</v>
      </c>
      <c r="D2594" s="3">
        <f>IFERROR(__xludf.DUMMYFUNCTION("""COMPUTED_VALUE"""),259.0)</f>
        <v>259</v>
      </c>
      <c r="E2594" s="2"/>
      <c r="F2594" s="2"/>
    </row>
    <row r="2595">
      <c r="A2595" s="2">
        <f>IFERROR(__xludf.DUMMYFUNCTION("""COMPUTED_VALUE"""),121493.0)</f>
        <v>121493</v>
      </c>
      <c r="B2595" s="2">
        <f>IFERROR(__xludf.DUMMYFUNCTION("""COMPUTED_VALUE"""),1.0)</f>
        <v>1</v>
      </c>
      <c r="C2595" s="2">
        <f>IFERROR(__xludf.DUMMYFUNCTION("""COMPUTED_VALUE"""),405.0)</f>
        <v>405</v>
      </c>
      <c r="D2595" s="3">
        <f>IFERROR(__xludf.DUMMYFUNCTION("""COMPUTED_VALUE"""),350.0)</f>
        <v>350</v>
      </c>
      <c r="E2595" s="2"/>
      <c r="F2595" s="2"/>
    </row>
    <row r="2596">
      <c r="A2596" s="2">
        <f>IFERROR(__xludf.DUMMYFUNCTION("""COMPUTED_VALUE"""),121479.0)</f>
        <v>121479</v>
      </c>
      <c r="B2596" s="2">
        <f>IFERROR(__xludf.DUMMYFUNCTION("""COMPUTED_VALUE"""),1.0)</f>
        <v>1</v>
      </c>
      <c r="C2596" s="2">
        <f>IFERROR(__xludf.DUMMYFUNCTION("""COMPUTED_VALUE"""),407.0)</f>
        <v>407</v>
      </c>
      <c r="D2596" s="3">
        <f>IFERROR(__xludf.DUMMYFUNCTION("""COMPUTED_VALUE"""),101.0)</f>
        <v>101</v>
      </c>
      <c r="E2596" s="2"/>
      <c r="F2596" s="2"/>
    </row>
    <row r="2597">
      <c r="A2597" s="2">
        <f>IFERROR(__xludf.DUMMYFUNCTION("""COMPUTED_VALUE"""),79011.0)</f>
        <v>79011</v>
      </c>
      <c r="B2597" s="2">
        <f>IFERROR(__xludf.DUMMYFUNCTION("""COMPUTED_VALUE"""),1.0)</f>
        <v>1</v>
      </c>
      <c r="C2597" s="2">
        <f>IFERROR(__xludf.DUMMYFUNCTION("""COMPUTED_VALUE"""),916.0)</f>
        <v>916</v>
      </c>
      <c r="D2597" s="3">
        <f>IFERROR(__xludf.DUMMYFUNCTION("""COMPUTED_VALUE"""),731.0)</f>
        <v>731</v>
      </c>
      <c r="E2597" s="2"/>
      <c r="F2597" s="2"/>
    </row>
    <row r="2598">
      <c r="A2598" s="2">
        <f>IFERROR(__xludf.DUMMYFUNCTION("""COMPUTED_VALUE"""),86470.0)</f>
        <v>86470</v>
      </c>
      <c r="B2598" s="2">
        <f>IFERROR(__xludf.DUMMYFUNCTION("""COMPUTED_VALUE"""),1.0)</f>
        <v>1</v>
      </c>
      <c r="C2598" s="2">
        <f>IFERROR(__xludf.DUMMYFUNCTION("""COMPUTED_VALUE"""),46.0)</f>
        <v>46</v>
      </c>
      <c r="D2598" s="3">
        <f>IFERROR(__xludf.DUMMYFUNCTION("""COMPUTED_VALUE"""),45.0)</f>
        <v>45</v>
      </c>
      <c r="E2598" s="2"/>
      <c r="F2598" s="2"/>
    </row>
    <row r="2599">
      <c r="A2599" s="2">
        <f>IFERROR(__xludf.DUMMYFUNCTION("""COMPUTED_VALUE"""),194997.0)</f>
        <v>194997</v>
      </c>
      <c r="B2599" s="2">
        <f>IFERROR(__xludf.DUMMYFUNCTION("""COMPUTED_VALUE"""),0.0)</f>
        <v>0</v>
      </c>
      <c r="C2599" s="2">
        <f>IFERROR(__xludf.DUMMYFUNCTION("""COMPUTED_VALUE"""),529.0)</f>
        <v>529</v>
      </c>
      <c r="D2599" s="3">
        <f>IFERROR(__xludf.DUMMYFUNCTION("""COMPUTED_VALUE"""),244.0)</f>
        <v>244</v>
      </c>
      <c r="E2599" s="2"/>
      <c r="F2599" s="2"/>
    </row>
    <row r="2600">
      <c r="A2600" s="2">
        <f>IFERROR(__xludf.DUMMYFUNCTION("""COMPUTED_VALUE"""),108515.0)</f>
        <v>108515</v>
      </c>
      <c r="B2600" s="2">
        <f>IFERROR(__xludf.DUMMYFUNCTION("""COMPUTED_VALUE"""),0.0)</f>
        <v>0</v>
      </c>
      <c r="C2600" s="2">
        <f>IFERROR(__xludf.DUMMYFUNCTION("""COMPUTED_VALUE"""),24.0)</f>
        <v>24</v>
      </c>
      <c r="D2600" s="3">
        <f>IFERROR(__xludf.DUMMYFUNCTION("""COMPUTED_VALUE"""),9.0)</f>
        <v>9</v>
      </c>
      <c r="E2600" s="2"/>
      <c r="F2600" s="2"/>
    </row>
    <row r="2601">
      <c r="A2601" s="2">
        <f>IFERROR(__xludf.DUMMYFUNCTION("""COMPUTED_VALUE"""),69346.0)</f>
        <v>69346</v>
      </c>
      <c r="B2601" s="2">
        <f>IFERROR(__xludf.DUMMYFUNCTION("""COMPUTED_VALUE"""),1.0)</f>
        <v>1</v>
      </c>
      <c r="C2601" s="2">
        <f>IFERROR(__xludf.DUMMYFUNCTION("""COMPUTED_VALUE"""),108.0)</f>
        <v>108</v>
      </c>
      <c r="D2601" s="3">
        <f>IFERROR(__xludf.DUMMYFUNCTION("""COMPUTED_VALUE"""),89.0)</f>
        <v>89</v>
      </c>
      <c r="E2601" s="2"/>
      <c r="F2601" s="2"/>
    </row>
    <row r="2602">
      <c r="A2602" s="2">
        <f>IFERROR(__xludf.DUMMYFUNCTION("""COMPUTED_VALUE"""),119971.0)</f>
        <v>119971</v>
      </c>
      <c r="B2602" s="2">
        <f>IFERROR(__xludf.DUMMYFUNCTION("""COMPUTED_VALUE"""),0.0)</f>
        <v>0</v>
      </c>
      <c r="C2602" s="2">
        <f>IFERROR(__xludf.DUMMYFUNCTION("""COMPUTED_VALUE"""),165.0)</f>
        <v>165</v>
      </c>
      <c r="D2602" s="3">
        <f>IFERROR(__xludf.DUMMYFUNCTION("""COMPUTED_VALUE"""),62.0)</f>
        <v>62</v>
      </c>
      <c r="E2602" s="2"/>
      <c r="F2602" s="2"/>
    </row>
    <row r="2603">
      <c r="A2603" s="2">
        <f>IFERROR(__xludf.DUMMYFUNCTION("""COMPUTED_VALUE"""),107274.0)</f>
        <v>107274</v>
      </c>
      <c r="B2603" s="2">
        <f>IFERROR(__xludf.DUMMYFUNCTION("""COMPUTED_VALUE"""),0.0)</f>
        <v>0</v>
      </c>
      <c r="C2603" s="2">
        <f>IFERROR(__xludf.DUMMYFUNCTION("""COMPUTED_VALUE"""),571.0)</f>
        <v>571</v>
      </c>
      <c r="D2603" s="3">
        <f>IFERROR(__xludf.DUMMYFUNCTION("""COMPUTED_VALUE"""),40.0)</f>
        <v>40</v>
      </c>
      <c r="E2603" s="2"/>
      <c r="F2603" s="2"/>
    </row>
    <row r="2604">
      <c r="A2604" s="2">
        <f>IFERROR(__xludf.DUMMYFUNCTION("""COMPUTED_VALUE"""),69451.0)</f>
        <v>69451</v>
      </c>
      <c r="B2604" s="2">
        <f>IFERROR(__xludf.DUMMYFUNCTION("""COMPUTED_VALUE"""),0.0)</f>
        <v>0</v>
      </c>
      <c r="C2604" s="2">
        <f>IFERROR(__xludf.DUMMYFUNCTION("""COMPUTED_VALUE"""),478.0)</f>
        <v>478</v>
      </c>
      <c r="D2604" s="3">
        <f>IFERROR(__xludf.DUMMYFUNCTION("""COMPUTED_VALUE"""),406.0)</f>
        <v>406</v>
      </c>
      <c r="E2604" s="2"/>
      <c r="F2604" s="2"/>
    </row>
    <row r="2605">
      <c r="A2605" s="2">
        <f>IFERROR(__xludf.DUMMYFUNCTION("""COMPUTED_VALUE"""),87416.0)</f>
        <v>87416</v>
      </c>
      <c r="B2605" s="2">
        <f>IFERROR(__xludf.DUMMYFUNCTION("""COMPUTED_VALUE"""),1.0)</f>
        <v>1</v>
      </c>
      <c r="C2605" s="2">
        <f>IFERROR(__xludf.DUMMYFUNCTION("""COMPUTED_VALUE"""),876.0)</f>
        <v>876</v>
      </c>
      <c r="D2605" s="3">
        <f>IFERROR(__xludf.DUMMYFUNCTION("""COMPUTED_VALUE"""),359.0)</f>
        <v>359</v>
      </c>
      <c r="E2605" s="2"/>
      <c r="F2605" s="2"/>
    </row>
    <row r="2606">
      <c r="A2606" s="2">
        <f>IFERROR(__xludf.DUMMYFUNCTION("""COMPUTED_VALUE"""),23667.0)</f>
        <v>23667</v>
      </c>
      <c r="B2606" s="2">
        <f>IFERROR(__xludf.DUMMYFUNCTION("""COMPUTED_VALUE"""),0.0)</f>
        <v>0</v>
      </c>
      <c r="C2606" s="2">
        <f>IFERROR(__xludf.DUMMYFUNCTION("""COMPUTED_VALUE"""),528.0)</f>
        <v>528</v>
      </c>
      <c r="D2606" s="3">
        <f>IFERROR(__xludf.DUMMYFUNCTION("""COMPUTED_VALUE"""),447.0)</f>
        <v>447</v>
      </c>
      <c r="E2606" s="2"/>
      <c r="F2606" s="2"/>
    </row>
    <row r="2607">
      <c r="A2607" s="2">
        <f>IFERROR(__xludf.DUMMYFUNCTION("""COMPUTED_VALUE"""),112770.0)</f>
        <v>112770</v>
      </c>
      <c r="B2607" s="2">
        <f>IFERROR(__xludf.DUMMYFUNCTION("""COMPUTED_VALUE"""),1.0)</f>
        <v>1</v>
      </c>
      <c r="C2607" s="2">
        <f>IFERROR(__xludf.DUMMYFUNCTION("""COMPUTED_VALUE"""),765.0)</f>
        <v>765</v>
      </c>
      <c r="D2607" s="3">
        <f>IFERROR(__xludf.DUMMYFUNCTION("""COMPUTED_VALUE"""),540.0)</f>
        <v>540</v>
      </c>
      <c r="E2607" s="2"/>
      <c r="F2607" s="2"/>
    </row>
    <row r="2608">
      <c r="A2608" s="2">
        <f>IFERROR(__xludf.DUMMYFUNCTION("""COMPUTED_VALUE"""),116186.0)</f>
        <v>116186</v>
      </c>
      <c r="B2608" s="2">
        <f>IFERROR(__xludf.DUMMYFUNCTION("""COMPUTED_VALUE"""),1.0)</f>
        <v>1</v>
      </c>
      <c r="C2608" s="2">
        <f>IFERROR(__xludf.DUMMYFUNCTION("""COMPUTED_VALUE"""),115.0)</f>
        <v>115</v>
      </c>
      <c r="D2608" s="3">
        <f>IFERROR(__xludf.DUMMYFUNCTION("""COMPUTED_VALUE"""),97.0)</f>
        <v>97</v>
      </c>
      <c r="E2608" s="2"/>
      <c r="F2608" s="2"/>
    </row>
    <row r="2609">
      <c r="A2609" s="2">
        <f>IFERROR(__xludf.DUMMYFUNCTION("""COMPUTED_VALUE"""),95413.0)</f>
        <v>95413</v>
      </c>
      <c r="B2609" s="2">
        <f>IFERROR(__xludf.DUMMYFUNCTION("""COMPUTED_VALUE"""),0.0)</f>
        <v>0</v>
      </c>
      <c r="C2609" s="2">
        <f>IFERROR(__xludf.DUMMYFUNCTION("""COMPUTED_VALUE"""),273.0)</f>
        <v>273</v>
      </c>
      <c r="D2609" s="3">
        <f>IFERROR(__xludf.DUMMYFUNCTION("""COMPUTED_VALUE"""),2.0)</f>
        <v>2</v>
      </c>
      <c r="E2609" s="2"/>
      <c r="F2609" s="2"/>
    </row>
    <row r="2610">
      <c r="A2610" s="2">
        <f>IFERROR(__xludf.DUMMYFUNCTION("""COMPUTED_VALUE"""),116184.0)</f>
        <v>116184</v>
      </c>
      <c r="B2610" s="2">
        <f>IFERROR(__xludf.DUMMYFUNCTION("""COMPUTED_VALUE"""),0.0)</f>
        <v>0</v>
      </c>
      <c r="C2610" s="2">
        <f>IFERROR(__xludf.DUMMYFUNCTION("""COMPUTED_VALUE"""),633.0)</f>
        <v>633</v>
      </c>
      <c r="D2610" s="3">
        <f>IFERROR(__xludf.DUMMYFUNCTION("""COMPUTED_VALUE"""),439.0)</f>
        <v>439</v>
      </c>
      <c r="E2610" s="2"/>
      <c r="F2610" s="2"/>
    </row>
    <row r="2611">
      <c r="A2611" s="2">
        <f>IFERROR(__xludf.DUMMYFUNCTION("""COMPUTED_VALUE"""),95412.0)</f>
        <v>95412</v>
      </c>
      <c r="B2611" s="2">
        <f>IFERROR(__xludf.DUMMYFUNCTION("""COMPUTED_VALUE"""),0.0)</f>
        <v>0</v>
      </c>
      <c r="C2611" s="2">
        <f>IFERROR(__xludf.DUMMYFUNCTION("""COMPUTED_VALUE"""),23.0)</f>
        <v>23</v>
      </c>
      <c r="D2611" s="3">
        <f>IFERROR(__xludf.DUMMYFUNCTION("""COMPUTED_VALUE"""),13.0)</f>
        <v>13</v>
      </c>
      <c r="E2611" s="2"/>
      <c r="F2611" s="2"/>
    </row>
    <row r="2612">
      <c r="A2612" s="2">
        <f>IFERROR(__xludf.DUMMYFUNCTION("""COMPUTED_VALUE"""),95414.0)</f>
        <v>95414</v>
      </c>
      <c r="B2612" s="2">
        <f>IFERROR(__xludf.DUMMYFUNCTION("""COMPUTED_VALUE"""),1.0)</f>
        <v>1</v>
      </c>
      <c r="C2612" s="2">
        <f>IFERROR(__xludf.DUMMYFUNCTION("""COMPUTED_VALUE"""),289.0)</f>
        <v>289</v>
      </c>
      <c r="D2612" s="3">
        <f>IFERROR(__xludf.DUMMYFUNCTION("""COMPUTED_VALUE"""),123.0)</f>
        <v>123</v>
      </c>
      <c r="E2612" s="2"/>
      <c r="F2612" s="2"/>
    </row>
    <row r="2613">
      <c r="A2613" s="2">
        <f>IFERROR(__xludf.DUMMYFUNCTION("""COMPUTED_VALUE"""),24088.0)</f>
        <v>24088</v>
      </c>
      <c r="B2613" s="2">
        <f>IFERROR(__xludf.DUMMYFUNCTION("""COMPUTED_VALUE"""),1.0)</f>
        <v>1</v>
      </c>
      <c r="C2613" s="2">
        <f>IFERROR(__xludf.DUMMYFUNCTION("""COMPUTED_VALUE"""),162.0)</f>
        <v>162</v>
      </c>
      <c r="D2613" s="3">
        <f>IFERROR(__xludf.DUMMYFUNCTION("""COMPUTED_VALUE"""),54.0)</f>
        <v>54</v>
      </c>
      <c r="E2613" s="2"/>
      <c r="F2613" s="2"/>
    </row>
    <row r="2614">
      <c r="A2614" s="2">
        <f>IFERROR(__xludf.DUMMYFUNCTION("""COMPUTED_VALUE"""),75156.0)</f>
        <v>75156</v>
      </c>
      <c r="B2614" s="2">
        <f>IFERROR(__xludf.DUMMYFUNCTION("""COMPUTED_VALUE"""),1.0)</f>
        <v>1</v>
      </c>
      <c r="C2614" s="2">
        <f>IFERROR(__xludf.DUMMYFUNCTION("""COMPUTED_VALUE"""),663.0)</f>
        <v>663</v>
      </c>
      <c r="D2614" s="3">
        <f>IFERROR(__xludf.DUMMYFUNCTION("""COMPUTED_VALUE"""),222.0)</f>
        <v>222</v>
      </c>
      <c r="E2614" s="2"/>
      <c r="F2614" s="2"/>
    </row>
    <row r="2615">
      <c r="A2615" s="2">
        <f>IFERROR(__xludf.DUMMYFUNCTION("""COMPUTED_VALUE"""),6216.0)</f>
        <v>6216</v>
      </c>
      <c r="B2615" s="2">
        <f>IFERROR(__xludf.DUMMYFUNCTION("""COMPUTED_VALUE"""),1.0)</f>
        <v>1</v>
      </c>
      <c r="C2615" s="2">
        <f>IFERROR(__xludf.DUMMYFUNCTION("""COMPUTED_VALUE"""),367.0)</f>
        <v>367</v>
      </c>
      <c r="D2615" s="3">
        <f>IFERROR(__xludf.DUMMYFUNCTION("""COMPUTED_VALUE"""),3.0)</f>
        <v>3</v>
      </c>
      <c r="E2615" s="2"/>
      <c r="F2615" s="2"/>
    </row>
    <row r="2616">
      <c r="A2616" s="2">
        <f>IFERROR(__xludf.DUMMYFUNCTION("""COMPUTED_VALUE"""),149867.0)</f>
        <v>149867</v>
      </c>
      <c r="B2616" s="2">
        <f>IFERROR(__xludf.DUMMYFUNCTION("""COMPUTED_VALUE"""),1.0)</f>
        <v>1</v>
      </c>
      <c r="C2616" s="2">
        <f>IFERROR(__xludf.DUMMYFUNCTION("""COMPUTED_VALUE"""),216.0)</f>
        <v>216</v>
      </c>
      <c r="D2616" s="3">
        <f>IFERROR(__xludf.DUMMYFUNCTION("""COMPUTED_VALUE"""),156.0)</f>
        <v>156</v>
      </c>
      <c r="E2616" s="2"/>
      <c r="F2616" s="2"/>
    </row>
    <row r="2617">
      <c r="A2617" s="2">
        <f>IFERROR(__xludf.DUMMYFUNCTION("""COMPUTED_VALUE"""),44037.0)</f>
        <v>44037</v>
      </c>
      <c r="B2617" s="2">
        <f>IFERROR(__xludf.DUMMYFUNCTION("""COMPUTED_VALUE"""),1.0)</f>
        <v>1</v>
      </c>
      <c r="C2617" s="2">
        <f>IFERROR(__xludf.DUMMYFUNCTION("""COMPUTED_VALUE"""),52.0)</f>
        <v>52</v>
      </c>
      <c r="D2617" s="3">
        <f>IFERROR(__xludf.DUMMYFUNCTION("""COMPUTED_VALUE"""),43.0)</f>
        <v>43</v>
      </c>
      <c r="E2617" s="2"/>
      <c r="F2617" s="2"/>
    </row>
    <row r="2618">
      <c r="A2618" s="2">
        <f>IFERROR(__xludf.DUMMYFUNCTION("""COMPUTED_VALUE"""),83029.0)</f>
        <v>83029</v>
      </c>
      <c r="B2618" s="2">
        <f>IFERROR(__xludf.DUMMYFUNCTION("""COMPUTED_VALUE"""),0.0)</f>
        <v>0</v>
      </c>
      <c r="C2618" s="2">
        <f>IFERROR(__xludf.DUMMYFUNCTION("""COMPUTED_VALUE"""),216.0)</f>
        <v>216</v>
      </c>
      <c r="D2618" s="3">
        <f>IFERROR(__xludf.DUMMYFUNCTION("""COMPUTED_VALUE"""),35.0)</f>
        <v>35</v>
      </c>
      <c r="E2618" s="2"/>
      <c r="F2618" s="2"/>
    </row>
    <row r="2619">
      <c r="A2619" s="2">
        <f>IFERROR(__xludf.DUMMYFUNCTION("""COMPUTED_VALUE"""),100395.0)</f>
        <v>100395</v>
      </c>
      <c r="B2619" s="2">
        <f>IFERROR(__xludf.DUMMYFUNCTION("""COMPUTED_VALUE"""),1.0)</f>
        <v>1</v>
      </c>
      <c r="C2619" s="2">
        <f>IFERROR(__xludf.DUMMYFUNCTION("""COMPUTED_VALUE"""),727.0)</f>
        <v>727</v>
      </c>
      <c r="D2619" s="3">
        <f>IFERROR(__xludf.DUMMYFUNCTION("""COMPUTED_VALUE"""),182.0)</f>
        <v>182</v>
      </c>
      <c r="E2619" s="2"/>
      <c r="F2619" s="2"/>
    </row>
    <row r="2620">
      <c r="A2620" s="2">
        <f>IFERROR(__xludf.DUMMYFUNCTION("""COMPUTED_VALUE"""),110437.0)</f>
        <v>110437</v>
      </c>
      <c r="B2620" s="2">
        <f>IFERROR(__xludf.DUMMYFUNCTION("""COMPUTED_VALUE"""),1.0)</f>
        <v>1</v>
      </c>
      <c r="C2620" s="2">
        <f>IFERROR(__xludf.DUMMYFUNCTION("""COMPUTED_VALUE"""),724.0)</f>
        <v>724</v>
      </c>
      <c r="D2620" s="3">
        <f>IFERROR(__xludf.DUMMYFUNCTION("""COMPUTED_VALUE"""),79.0)</f>
        <v>79</v>
      </c>
      <c r="E2620" s="2"/>
      <c r="F2620" s="2"/>
    </row>
    <row r="2621">
      <c r="A2621" s="2">
        <f>IFERROR(__xludf.DUMMYFUNCTION("""COMPUTED_VALUE"""),29430.0)</f>
        <v>29430</v>
      </c>
      <c r="B2621" s="2">
        <f>IFERROR(__xludf.DUMMYFUNCTION("""COMPUTED_VALUE"""),0.0)</f>
        <v>0</v>
      </c>
      <c r="C2621" s="2">
        <f>IFERROR(__xludf.DUMMYFUNCTION("""COMPUTED_VALUE"""),836.0)</f>
        <v>836</v>
      </c>
      <c r="D2621" s="3">
        <f>IFERROR(__xludf.DUMMYFUNCTION("""COMPUTED_VALUE"""),301.0)</f>
        <v>301</v>
      </c>
      <c r="E2621" s="2"/>
      <c r="F2621" s="2"/>
    </row>
    <row r="2622">
      <c r="A2622" s="2">
        <f>IFERROR(__xludf.DUMMYFUNCTION("""COMPUTED_VALUE"""),95416.0)</f>
        <v>95416</v>
      </c>
      <c r="B2622" s="2">
        <f>IFERROR(__xludf.DUMMYFUNCTION("""COMPUTED_VALUE"""),1.0)</f>
        <v>1</v>
      </c>
      <c r="C2622" s="2">
        <f>IFERROR(__xludf.DUMMYFUNCTION("""COMPUTED_VALUE"""),877.0)</f>
        <v>877</v>
      </c>
      <c r="D2622" s="3">
        <f>IFERROR(__xludf.DUMMYFUNCTION("""COMPUTED_VALUE"""),311.0)</f>
        <v>311</v>
      </c>
      <c r="E2622" s="2"/>
      <c r="F2622" s="2"/>
    </row>
    <row r="2623">
      <c r="A2623" s="2">
        <f>IFERROR(__xludf.DUMMYFUNCTION("""COMPUTED_VALUE"""),108493.0)</f>
        <v>108493</v>
      </c>
      <c r="B2623" s="2">
        <f>IFERROR(__xludf.DUMMYFUNCTION("""COMPUTED_VALUE"""),0.0)</f>
        <v>0</v>
      </c>
      <c r="C2623" s="2">
        <f>IFERROR(__xludf.DUMMYFUNCTION("""COMPUTED_VALUE"""),911.0)</f>
        <v>911</v>
      </c>
      <c r="D2623" s="3">
        <f>IFERROR(__xludf.DUMMYFUNCTION("""COMPUTED_VALUE"""),866.0)</f>
        <v>866</v>
      </c>
      <c r="E2623" s="2"/>
      <c r="F2623" s="2"/>
    </row>
    <row r="2624">
      <c r="A2624" s="2">
        <f>IFERROR(__xludf.DUMMYFUNCTION("""COMPUTED_VALUE"""),109293.0)</f>
        <v>109293</v>
      </c>
      <c r="B2624" s="2">
        <f>IFERROR(__xludf.DUMMYFUNCTION("""COMPUTED_VALUE"""),0.0)</f>
        <v>0</v>
      </c>
      <c r="C2624" s="2">
        <f>IFERROR(__xludf.DUMMYFUNCTION("""COMPUTED_VALUE"""),134.0)</f>
        <v>134</v>
      </c>
      <c r="D2624" s="3">
        <f>IFERROR(__xludf.DUMMYFUNCTION("""COMPUTED_VALUE"""),27.0)</f>
        <v>27</v>
      </c>
      <c r="E2624" s="2"/>
      <c r="F2624" s="2"/>
    </row>
    <row r="2625">
      <c r="A2625" s="2">
        <f>IFERROR(__xludf.DUMMYFUNCTION("""COMPUTED_VALUE"""),73581.0)</f>
        <v>73581</v>
      </c>
      <c r="B2625" s="2">
        <f>IFERROR(__xludf.DUMMYFUNCTION("""COMPUTED_VALUE"""),0.0)</f>
        <v>0</v>
      </c>
      <c r="C2625" s="2">
        <f>IFERROR(__xludf.DUMMYFUNCTION("""COMPUTED_VALUE"""),316.0)</f>
        <v>316</v>
      </c>
      <c r="D2625" s="3">
        <f>IFERROR(__xludf.DUMMYFUNCTION("""COMPUTED_VALUE"""),291.0)</f>
        <v>291</v>
      </c>
      <c r="E2625" s="2"/>
      <c r="F2625" s="2"/>
    </row>
    <row r="2626">
      <c r="A2626" s="2">
        <f>IFERROR(__xludf.DUMMYFUNCTION("""COMPUTED_VALUE"""),100396.0)</f>
        <v>100396</v>
      </c>
      <c r="B2626" s="2">
        <f>IFERROR(__xludf.DUMMYFUNCTION("""COMPUTED_VALUE"""),1.0)</f>
        <v>1</v>
      </c>
      <c r="C2626" s="2">
        <f>IFERROR(__xludf.DUMMYFUNCTION("""COMPUTED_VALUE"""),452.0)</f>
        <v>452</v>
      </c>
      <c r="D2626" s="3">
        <f>IFERROR(__xludf.DUMMYFUNCTION("""COMPUTED_VALUE"""),314.0)</f>
        <v>314</v>
      </c>
      <c r="E2626" s="2"/>
      <c r="F2626" s="2"/>
    </row>
    <row r="2627">
      <c r="A2627" s="2">
        <f>IFERROR(__xludf.DUMMYFUNCTION("""COMPUTED_VALUE"""),45917.0)</f>
        <v>45917</v>
      </c>
      <c r="B2627" s="2">
        <f>IFERROR(__xludf.DUMMYFUNCTION("""COMPUTED_VALUE"""),0.0)</f>
        <v>0</v>
      </c>
      <c r="C2627" s="2">
        <f>IFERROR(__xludf.DUMMYFUNCTION("""COMPUTED_VALUE"""),0.0)</f>
        <v>0</v>
      </c>
      <c r="D2627" s="3">
        <f>IFERROR(__xludf.DUMMYFUNCTION("""COMPUTED_VALUE"""),0.0)</f>
        <v>0</v>
      </c>
      <c r="E2627" s="2"/>
      <c r="F2627" s="2"/>
    </row>
    <row r="2628">
      <c r="A2628" s="2">
        <f>IFERROR(__xludf.DUMMYFUNCTION("""COMPUTED_VALUE"""),83420.0)</f>
        <v>83420</v>
      </c>
      <c r="B2628" s="2">
        <f>IFERROR(__xludf.DUMMYFUNCTION("""COMPUTED_VALUE"""),0.0)</f>
        <v>0</v>
      </c>
      <c r="C2628" s="2">
        <f>IFERROR(__xludf.DUMMYFUNCTION("""COMPUTED_VALUE"""),306.0)</f>
        <v>306</v>
      </c>
      <c r="D2628" s="3">
        <f>IFERROR(__xludf.DUMMYFUNCTION("""COMPUTED_VALUE"""),195.0)</f>
        <v>195</v>
      </c>
      <c r="E2628" s="2"/>
      <c r="F2628" s="2"/>
    </row>
    <row r="2629">
      <c r="A2629" s="2">
        <f>IFERROR(__xludf.DUMMYFUNCTION("""COMPUTED_VALUE"""),101591.0)</f>
        <v>101591</v>
      </c>
      <c r="B2629" s="2">
        <f>IFERROR(__xludf.DUMMYFUNCTION("""COMPUTED_VALUE"""),0.0)</f>
        <v>0</v>
      </c>
      <c r="C2629" s="2">
        <f>IFERROR(__xludf.DUMMYFUNCTION("""COMPUTED_VALUE"""),131.0)</f>
        <v>131</v>
      </c>
      <c r="D2629" s="3">
        <f>IFERROR(__xludf.DUMMYFUNCTION("""COMPUTED_VALUE"""),96.0)</f>
        <v>96</v>
      </c>
      <c r="E2629" s="2"/>
      <c r="F2629" s="2"/>
    </row>
    <row r="2630">
      <c r="A2630" s="2">
        <f>IFERROR(__xludf.DUMMYFUNCTION("""COMPUTED_VALUE"""),116181.0)</f>
        <v>116181</v>
      </c>
      <c r="B2630" s="2">
        <f>IFERROR(__xludf.DUMMYFUNCTION("""COMPUTED_VALUE"""),1.0)</f>
        <v>1</v>
      </c>
      <c r="C2630" s="2">
        <f>IFERROR(__xludf.DUMMYFUNCTION("""COMPUTED_VALUE"""),362.0)</f>
        <v>362</v>
      </c>
      <c r="D2630" s="3">
        <f>IFERROR(__xludf.DUMMYFUNCTION("""COMPUTED_VALUE"""),347.0)</f>
        <v>347</v>
      </c>
      <c r="E2630" s="2"/>
      <c r="F2630" s="2"/>
    </row>
    <row r="2631">
      <c r="A2631" s="2">
        <f>IFERROR(__xludf.DUMMYFUNCTION("""COMPUTED_VALUE"""),109300.0)</f>
        <v>109300</v>
      </c>
      <c r="B2631" s="2">
        <f>IFERROR(__xludf.DUMMYFUNCTION("""COMPUTED_VALUE"""),0.0)</f>
        <v>0</v>
      </c>
      <c r="C2631" s="2">
        <f>IFERROR(__xludf.DUMMYFUNCTION("""COMPUTED_VALUE"""),827.0)</f>
        <v>827</v>
      </c>
      <c r="D2631" s="3">
        <f>IFERROR(__xludf.DUMMYFUNCTION("""COMPUTED_VALUE"""),642.0)</f>
        <v>642</v>
      </c>
      <c r="E2631" s="2"/>
      <c r="F2631" s="2"/>
    </row>
    <row r="2632">
      <c r="A2632" s="2">
        <f>IFERROR(__xludf.DUMMYFUNCTION("""COMPUTED_VALUE"""),46160.0)</f>
        <v>46160</v>
      </c>
      <c r="B2632" s="2">
        <f>IFERROR(__xludf.DUMMYFUNCTION("""COMPUTED_VALUE"""),1.0)</f>
        <v>1</v>
      </c>
      <c r="C2632" s="2">
        <f>IFERROR(__xludf.DUMMYFUNCTION("""COMPUTED_VALUE"""),445.0)</f>
        <v>445</v>
      </c>
      <c r="D2632" s="3">
        <f>IFERROR(__xludf.DUMMYFUNCTION("""COMPUTED_VALUE"""),43.0)</f>
        <v>43</v>
      </c>
      <c r="E2632" s="2"/>
      <c r="F2632" s="2"/>
    </row>
    <row r="2633">
      <c r="A2633" s="2">
        <f>IFERROR(__xludf.DUMMYFUNCTION("""COMPUTED_VALUE"""),116202.0)</f>
        <v>116202</v>
      </c>
      <c r="B2633" s="2">
        <f>IFERROR(__xludf.DUMMYFUNCTION("""COMPUTED_VALUE"""),0.0)</f>
        <v>0</v>
      </c>
      <c r="C2633" s="2">
        <f>IFERROR(__xludf.DUMMYFUNCTION("""COMPUTED_VALUE"""),845.0)</f>
        <v>845</v>
      </c>
      <c r="D2633" s="3">
        <f>IFERROR(__xludf.DUMMYFUNCTION("""COMPUTED_VALUE"""),561.0)</f>
        <v>561</v>
      </c>
      <c r="E2633" s="2"/>
      <c r="F2633" s="2"/>
    </row>
    <row r="2634">
      <c r="A2634" s="2">
        <f>IFERROR(__xludf.DUMMYFUNCTION("""COMPUTED_VALUE"""),106884.0)</f>
        <v>106884</v>
      </c>
      <c r="B2634" s="2">
        <f>IFERROR(__xludf.DUMMYFUNCTION("""COMPUTED_VALUE"""),0.0)</f>
        <v>0</v>
      </c>
      <c r="C2634" s="2">
        <f>IFERROR(__xludf.DUMMYFUNCTION("""COMPUTED_VALUE"""),60.0)</f>
        <v>60</v>
      </c>
      <c r="D2634" s="3">
        <f>IFERROR(__xludf.DUMMYFUNCTION("""COMPUTED_VALUE"""),29.0)</f>
        <v>29</v>
      </c>
      <c r="E2634" s="2"/>
      <c r="F2634" s="2"/>
    </row>
    <row r="2635">
      <c r="A2635" s="2">
        <f>IFERROR(__xludf.DUMMYFUNCTION("""COMPUTED_VALUE"""),98598.0)</f>
        <v>98598</v>
      </c>
      <c r="B2635" s="2">
        <f>IFERROR(__xludf.DUMMYFUNCTION("""COMPUTED_VALUE"""),0.0)</f>
        <v>0</v>
      </c>
      <c r="C2635" s="2">
        <f>IFERROR(__xludf.DUMMYFUNCTION("""COMPUTED_VALUE"""),963.0)</f>
        <v>963</v>
      </c>
      <c r="D2635" s="3">
        <f>IFERROR(__xludf.DUMMYFUNCTION("""COMPUTED_VALUE"""),370.0)</f>
        <v>370</v>
      </c>
      <c r="E2635" s="2"/>
      <c r="F2635" s="2"/>
    </row>
    <row r="2636">
      <c r="A2636" s="2">
        <f>IFERROR(__xludf.DUMMYFUNCTION("""COMPUTED_VALUE"""),78515.0)</f>
        <v>78515</v>
      </c>
      <c r="B2636" s="2">
        <f>IFERROR(__xludf.DUMMYFUNCTION("""COMPUTED_VALUE"""),0.0)</f>
        <v>0</v>
      </c>
      <c r="C2636" s="2">
        <f>IFERROR(__xludf.DUMMYFUNCTION("""COMPUTED_VALUE"""),941.0)</f>
        <v>941</v>
      </c>
      <c r="D2636" s="3">
        <f>IFERROR(__xludf.DUMMYFUNCTION("""COMPUTED_VALUE"""),726.0)</f>
        <v>726</v>
      </c>
      <c r="E2636" s="2"/>
      <c r="F2636" s="2"/>
    </row>
    <row r="2637">
      <c r="A2637" s="2">
        <f>IFERROR(__xludf.DUMMYFUNCTION("""COMPUTED_VALUE"""),46154.0)</f>
        <v>46154</v>
      </c>
      <c r="B2637" s="2">
        <f>IFERROR(__xludf.DUMMYFUNCTION("""COMPUTED_VALUE"""),0.0)</f>
        <v>0</v>
      </c>
      <c r="C2637" s="2">
        <f>IFERROR(__xludf.DUMMYFUNCTION("""COMPUTED_VALUE"""),175.0)</f>
        <v>175</v>
      </c>
      <c r="D2637" s="3">
        <f>IFERROR(__xludf.DUMMYFUNCTION("""COMPUTED_VALUE"""),154.0)</f>
        <v>154</v>
      </c>
      <c r="E2637" s="2"/>
      <c r="F2637" s="2"/>
    </row>
    <row r="2638">
      <c r="A2638" s="2">
        <f>IFERROR(__xludf.DUMMYFUNCTION("""COMPUTED_VALUE"""),23668.0)</f>
        <v>23668</v>
      </c>
      <c r="B2638" s="2">
        <f>IFERROR(__xludf.DUMMYFUNCTION("""COMPUTED_VALUE"""),1.0)</f>
        <v>1</v>
      </c>
      <c r="C2638" s="2">
        <f>IFERROR(__xludf.DUMMYFUNCTION("""COMPUTED_VALUE"""),697.0)</f>
        <v>697</v>
      </c>
      <c r="D2638" s="3">
        <f>IFERROR(__xludf.DUMMYFUNCTION("""COMPUTED_VALUE"""),583.0)</f>
        <v>583</v>
      </c>
      <c r="E2638" s="2"/>
      <c r="F2638" s="2"/>
    </row>
    <row r="2639">
      <c r="A2639" s="2">
        <f>IFERROR(__xludf.DUMMYFUNCTION("""COMPUTED_VALUE"""),107900.0)</f>
        <v>107900</v>
      </c>
      <c r="B2639" s="2">
        <f>IFERROR(__xludf.DUMMYFUNCTION("""COMPUTED_VALUE"""),1.0)</f>
        <v>1</v>
      </c>
      <c r="C2639" s="2">
        <f>IFERROR(__xludf.DUMMYFUNCTION("""COMPUTED_VALUE"""),771.0)</f>
        <v>771</v>
      </c>
      <c r="D2639" s="3">
        <f>IFERROR(__xludf.DUMMYFUNCTION("""COMPUTED_VALUE"""),317.0)</f>
        <v>317</v>
      </c>
      <c r="E2639" s="2"/>
      <c r="F2639" s="2"/>
    </row>
    <row r="2640">
      <c r="A2640" s="2">
        <f>IFERROR(__xludf.DUMMYFUNCTION("""COMPUTED_VALUE"""),85037.0)</f>
        <v>85037</v>
      </c>
      <c r="B2640" s="2">
        <f>IFERROR(__xludf.DUMMYFUNCTION("""COMPUTED_VALUE"""),0.0)</f>
        <v>0</v>
      </c>
      <c r="C2640" s="2">
        <f>IFERROR(__xludf.DUMMYFUNCTION("""COMPUTED_VALUE"""),915.0)</f>
        <v>915</v>
      </c>
      <c r="D2640" s="3">
        <f>IFERROR(__xludf.DUMMYFUNCTION("""COMPUTED_VALUE"""),50.0)</f>
        <v>50</v>
      </c>
      <c r="E2640" s="2"/>
      <c r="F2640" s="2"/>
    </row>
    <row r="2641">
      <c r="A2641" s="2">
        <f>IFERROR(__xludf.DUMMYFUNCTION("""COMPUTED_VALUE"""),49182.0)</f>
        <v>49182</v>
      </c>
      <c r="B2641" s="2">
        <f>IFERROR(__xludf.DUMMYFUNCTION("""COMPUTED_VALUE"""),1.0)</f>
        <v>1</v>
      </c>
      <c r="C2641" s="2">
        <f>IFERROR(__xludf.DUMMYFUNCTION("""COMPUTED_VALUE"""),145.0)</f>
        <v>145</v>
      </c>
      <c r="D2641" s="3">
        <f>IFERROR(__xludf.DUMMYFUNCTION("""COMPUTED_VALUE"""),15.0)</f>
        <v>15</v>
      </c>
      <c r="E2641" s="2"/>
      <c r="F2641" s="2"/>
    </row>
    <row r="2642">
      <c r="A2642" s="2">
        <f>IFERROR(__xludf.DUMMYFUNCTION("""COMPUTED_VALUE"""),69111.0)</f>
        <v>69111</v>
      </c>
      <c r="B2642" s="2">
        <f>IFERROR(__xludf.DUMMYFUNCTION("""COMPUTED_VALUE"""),1.0)</f>
        <v>1</v>
      </c>
      <c r="C2642" s="2">
        <f>IFERROR(__xludf.DUMMYFUNCTION("""COMPUTED_VALUE"""),226.0)</f>
        <v>226</v>
      </c>
      <c r="D2642" s="3">
        <f>IFERROR(__xludf.DUMMYFUNCTION("""COMPUTED_VALUE"""),55.0)</f>
        <v>55</v>
      </c>
      <c r="E2642" s="2"/>
      <c r="F2642" s="2"/>
    </row>
    <row r="2643">
      <c r="A2643" s="2">
        <f>IFERROR(__xludf.DUMMYFUNCTION("""COMPUTED_VALUE"""),80054.0)</f>
        <v>80054</v>
      </c>
      <c r="B2643" s="2">
        <f>IFERROR(__xludf.DUMMYFUNCTION("""COMPUTED_VALUE"""),1.0)</f>
        <v>1</v>
      </c>
      <c r="C2643" s="2">
        <f>IFERROR(__xludf.DUMMYFUNCTION("""COMPUTED_VALUE"""),402.0)</f>
        <v>402</v>
      </c>
      <c r="D2643" s="3">
        <f>IFERROR(__xludf.DUMMYFUNCTION("""COMPUTED_VALUE"""),157.0)</f>
        <v>157</v>
      </c>
      <c r="E2643" s="2"/>
      <c r="F2643" s="2"/>
    </row>
    <row r="2644">
      <c r="A2644" s="2">
        <f>IFERROR(__xludf.DUMMYFUNCTION("""COMPUTED_VALUE"""),79782.0)</f>
        <v>79782</v>
      </c>
      <c r="B2644" s="2">
        <f>IFERROR(__xludf.DUMMYFUNCTION("""COMPUTED_VALUE"""),1.0)</f>
        <v>1</v>
      </c>
      <c r="C2644" s="2">
        <f>IFERROR(__xludf.DUMMYFUNCTION("""COMPUTED_VALUE"""),426.0)</f>
        <v>426</v>
      </c>
      <c r="D2644" s="3">
        <f>IFERROR(__xludf.DUMMYFUNCTION("""COMPUTED_VALUE"""),252.0)</f>
        <v>252</v>
      </c>
      <c r="E2644" s="2"/>
      <c r="F2644" s="2"/>
    </row>
    <row r="2645">
      <c r="A2645" s="2">
        <f>IFERROR(__xludf.DUMMYFUNCTION("""COMPUTED_VALUE"""),80045.0)</f>
        <v>80045</v>
      </c>
      <c r="B2645" s="2">
        <f>IFERROR(__xludf.DUMMYFUNCTION("""COMPUTED_VALUE"""),1.0)</f>
        <v>1</v>
      </c>
      <c r="C2645" s="2">
        <f>IFERROR(__xludf.DUMMYFUNCTION("""COMPUTED_VALUE"""),75.0)</f>
        <v>75</v>
      </c>
      <c r="D2645" s="3">
        <f>IFERROR(__xludf.DUMMYFUNCTION("""COMPUTED_VALUE"""),7.0)</f>
        <v>7</v>
      </c>
      <c r="E2645" s="2"/>
      <c r="F2645" s="2"/>
    </row>
    <row r="2646">
      <c r="A2646" s="2">
        <f>IFERROR(__xludf.DUMMYFUNCTION("""COMPUTED_VALUE"""),69108.0)</f>
        <v>69108</v>
      </c>
      <c r="B2646" s="2">
        <f>IFERROR(__xludf.DUMMYFUNCTION("""COMPUTED_VALUE"""),0.0)</f>
        <v>0</v>
      </c>
      <c r="C2646" s="2">
        <f>IFERROR(__xludf.DUMMYFUNCTION("""COMPUTED_VALUE"""),572.0)</f>
        <v>572</v>
      </c>
      <c r="D2646" s="3">
        <f>IFERROR(__xludf.DUMMYFUNCTION("""COMPUTED_VALUE"""),4.0)</f>
        <v>4</v>
      </c>
      <c r="E2646" s="2"/>
      <c r="F2646" s="2"/>
    </row>
    <row r="2647">
      <c r="A2647" s="2">
        <f>IFERROR(__xludf.DUMMYFUNCTION("""COMPUTED_VALUE"""),69112.0)</f>
        <v>69112</v>
      </c>
      <c r="B2647" s="2">
        <f>IFERROR(__xludf.DUMMYFUNCTION("""COMPUTED_VALUE"""),1.0)</f>
        <v>1</v>
      </c>
      <c r="C2647" s="2">
        <f>IFERROR(__xludf.DUMMYFUNCTION("""COMPUTED_VALUE"""),139.0)</f>
        <v>139</v>
      </c>
      <c r="D2647" s="3">
        <f>IFERROR(__xludf.DUMMYFUNCTION("""COMPUTED_VALUE"""),94.0)</f>
        <v>94</v>
      </c>
      <c r="E2647" s="2"/>
      <c r="F2647" s="2"/>
    </row>
    <row r="2648">
      <c r="A2648" s="2">
        <f>IFERROR(__xludf.DUMMYFUNCTION("""COMPUTED_VALUE"""),121992.0)</f>
        <v>121992</v>
      </c>
      <c r="B2648" s="2">
        <f>IFERROR(__xludf.DUMMYFUNCTION("""COMPUTED_VALUE"""),0.0)</f>
        <v>0</v>
      </c>
      <c r="C2648" s="2">
        <f>IFERROR(__xludf.DUMMYFUNCTION("""COMPUTED_VALUE"""),822.0)</f>
        <v>822</v>
      </c>
      <c r="D2648" s="3">
        <f>IFERROR(__xludf.DUMMYFUNCTION("""COMPUTED_VALUE"""),378.0)</f>
        <v>378</v>
      </c>
      <c r="E2648" s="2"/>
      <c r="F2648" s="2"/>
    </row>
    <row r="2649">
      <c r="A2649" s="2">
        <f>IFERROR(__xludf.DUMMYFUNCTION("""COMPUTED_VALUE"""),80048.0)</f>
        <v>80048</v>
      </c>
      <c r="B2649" s="2">
        <f>IFERROR(__xludf.DUMMYFUNCTION("""COMPUTED_VALUE"""),0.0)</f>
        <v>0</v>
      </c>
      <c r="C2649" s="2">
        <f>IFERROR(__xludf.DUMMYFUNCTION("""COMPUTED_VALUE"""),834.0)</f>
        <v>834</v>
      </c>
      <c r="D2649" s="3">
        <f>IFERROR(__xludf.DUMMYFUNCTION("""COMPUTED_VALUE"""),734.0)</f>
        <v>734</v>
      </c>
      <c r="E2649" s="2"/>
      <c r="F2649" s="2"/>
    </row>
    <row r="2650">
      <c r="A2650" s="2">
        <f>IFERROR(__xludf.DUMMYFUNCTION("""COMPUTED_VALUE"""),121982.0)</f>
        <v>121982</v>
      </c>
      <c r="B2650" s="2">
        <f>IFERROR(__xludf.DUMMYFUNCTION("""COMPUTED_VALUE"""),0.0)</f>
        <v>0</v>
      </c>
      <c r="C2650" s="2">
        <f>IFERROR(__xludf.DUMMYFUNCTION("""COMPUTED_VALUE"""),443.0)</f>
        <v>443</v>
      </c>
      <c r="D2650" s="3">
        <f>IFERROR(__xludf.DUMMYFUNCTION("""COMPUTED_VALUE"""),13.0)</f>
        <v>13</v>
      </c>
      <c r="E2650" s="2"/>
      <c r="F2650" s="2"/>
    </row>
    <row r="2651">
      <c r="A2651" s="2">
        <f>IFERROR(__xludf.DUMMYFUNCTION("""COMPUTED_VALUE"""),121974.0)</f>
        <v>121974</v>
      </c>
      <c r="B2651" s="2">
        <f>IFERROR(__xludf.DUMMYFUNCTION("""COMPUTED_VALUE"""),1.0)</f>
        <v>1</v>
      </c>
      <c r="C2651" s="2">
        <f>IFERROR(__xludf.DUMMYFUNCTION("""COMPUTED_VALUE"""),5.0)</f>
        <v>5</v>
      </c>
      <c r="D2651" s="3">
        <f>IFERROR(__xludf.DUMMYFUNCTION("""COMPUTED_VALUE"""),1.0)</f>
        <v>1</v>
      </c>
      <c r="E2651" s="2"/>
      <c r="F2651" s="2"/>
    </row>
    <row r="2652">
      <c r="A2652" s="2">
        <f>IFERROR(__xludf.DUMMYFUNCTION("""COMPUTED_VALUE"""),69110.0)</f>
        <v>69110</v>
      </c>
      <c r="B2652" s="2">
        <f>IFERROR(__xludf.DUMMYFUNCTION("""COMPUTED_VALUE"""),0.0)</f>
        <v>0</v>
      </c>
      <c r="C2652" s="2">
        <f>IFERROR(__xludf.DUMMYFUNCTION("""COMPUTED_VALUE"""),235.0)</f>
        <v>235</v>
      </c>
      <c r="D2652" s="3">
        <f>IFERROR(__xludf.DUMMYFUNCTION("""COMPUTED_VALUE"""),54.0)</f>
        <v>54</v>
      </c>
      <c r="E2652" s="2"/>
      <c r="F2652" s="2"/>
    </row>
    <row r="2653">
      <c r="A2653" s="2">
        <f>IFERROR(__xludf.DUMMYFUNCTION("""COMPUTED_VALUE"""),23540.0)</f>
        <v>23540</v>
      </c>
      <c r="B2653" s="2">
        <f>IFERROR(__xludf.DUMMYFUNCTION("""COMPUTED_VALUE"""),0.0)</f>
        <v>0</v>
      </c>
      <c r="C2653" s="2">
        <f>IFERROR(__xludf.DUMMYFUNCTION("""COMPUTED_VALUE"""),718.0)</f>
        <v>718</v>
      </c>
      <c r="D2653" s="3">
        <f>IFERROR(__xludf.DUMMYFUNCTION("""COMPUTED_VALUE"""),225.0)</f>
        <v>225</v>
      </c>
      <c r="E2653" s="2"/>
      <c r="F2653" s="2"/>
    </row>
    <row r="2654">
      <c r="A2654" s="2">
        <f>IFERROR(__xludf.DUMMYFUNCTION("""COMPUTED_VALUE"""),69123.0)</f>
        <v>69123</v>
      </c>
      <c r="B2654" s="2">
        <f>IFERROR(__xludf.DUMMYFUNCTION("""COMPUTED_VALUE"""),1.0)</f>
        <v>1</v>
      </c>
      <c r="C2654" s="2">
        <f>IFERROR(__xludf.DUMMYFUNCTION("""COMPUTED_VALUE"""),740.0)</f>
        <v>740</v>
      </c>
      <c r="D2654" s="3">
        <f>IFERROR(__xludf.DUMMYFUNCTION("""COMPUTED_VALUE"""),9.0)</f>
        <v>9</v>
      </c>
      <c r="E2654" s="2"/>
      <c r="F2654" s="2"/>
    </row>
    <row r="2655">
      <c r="A2655" s="2">
        <f>IFERROR(__xludf.DUMMYFUNCTION("""COMPUTED_VALUE"""),121984.0)</f>
        <v>121984</v>
      </c>
      <c r="B2655" s="2">
        <f>IFERROR(__xludf.DUMMYFUNCTION("""COMPUTED_VALUE"""),1.0)</f>
        <v>1</v>
      </c>
      <c r="C2655" s="2">
        <f>IFERROR(__xludf.DUMMYFUNCTION("""COMPUTED_VALUE"""),457.0)</f>
        <v>457</v>
      </c>
      <c r="D2655" s="3">
        <f>IFERROR(__xludf.DUMMYFUNCTION("""COMPUTED_VALUE"""),109.0)</f>
        <v>109</v>
      </c>
      <c r="E2655" s="2"/>
      <c r="F2655" s="2"/>
    </row>
    <row r="2656">
      <c r="A2656" s="2">
        <f>IFERROR(__xludf.DUMMYFUNCTION("""COMPUTED_VALUE"""),121979.0)</f>
        <v>121979</v>
      </c>
      <c r="B2656" s="2">
        <f>IFERROR(__xludf.DUMMYFUNCTION("""COMPUTED_VALUE"""),0.0)</f>
        <v>0</v>
      </c>
      <c r="C2656" s="2">
        <f>IFERROR(__xludf.DUMMYFUNCTION("""COMPUTED_VALUE"""),723.0)</f>
        <v>723</v>
      </c>
      <c r="D2656" s="3">
        <f>IFERROR(__xludf.DUMMYFUNCTION("""COMPUTED_VALUE"""),258.0)</f>
        <v>258</v>
      </c>
      <c r="E2656" s="2"/>
      <c r="F2656" s="2"/>
    </row>
    <row r="2657">
      <c r="A2657" s="2">
        <f>IFERROR(__xludf.DUMMYFUNCTION("""COMPUTED_VALUE"""),80043.0)</f>
        <v>80043</v>
      </c>
      <c r="B2657" s="2">
        <f>IFERROR(__xludf.DUMMYFUNCTION("""COMPUTED_VALUE"""),1.0)</f>
        <v>1</v>
      </c>
      <c r="C2657" s="2">
        <f>IFERROR(__xludf.DUMMYFUNCTION("""COMPUTED_VALUE"""),391.0)</f>
        <v>391</v>
      </c>
      <c r="D2657" s="3">
        <f>IFERROR(__xludf.DUMMYFUNCTION("""COMPUTED_VALUE"""),173.0)</f>
        <v>173</v>
      </c>
      <c r="E2657" s="2"/>
      <c r="F2657" s="2"/>
    </row>
    <row r="2658">
      <c r="A2658" s="2">
        <f>IFERROR(__xludf.DUMMYFUNCTION("""COMPUTED_VALUE"""),100326.0)</f>
        <v>100326</v>
      </c>
      <c r="B2658" s="2">
        <f>IFERROR(__xludf.DUMMYFUNCTION("""COMPUTED_VALUE"""),1.0)</f>
        <v>1</v>
      </c>
      <c r="C2658" s="2">
        <f>IFERROR(__xludf.DUMMYFUNCTION("""COMPUTED_VALUE"""),592.0)</f>
        <v>592</v>
      </c>
      <c r="D2658" s="3">
        <f>IFERROR(__xludf.DUMMYFUNCTION("""COMPUTED_VALUE"""),208.0)</f>
        <v>208</v>
      </c>
      <c r="E2658" s="2"/>
      <c r="F2658" s="2"/>
    </row>
    <row r="2659">
      <c r="A2659" s="2">
        <f>IFERROR(__xludf.DUMMYFUNCTION("""COMPUTED_VALUE"""),69117.0)</f>
        <v>69117</v>
      </c>
      <c r="B2659" s="2">
        <f>IFERROR(__xludf.DUMMYFUNCTION("""COMPUTED_VALUE"""),0.0)</f>
        <v>0</v>
      </c>
      <c r="C2659" s="2">
        <f>IFERROR(__xludf.DUMMYFUNCTION("""COMPUTED_VALUE"""),510.0)</f>
        <v>510</v>
      </c>
      <c r="D2659" s="3">
        <f>IFERROR(__xludf.DUMMYFUNCTION("""COMPUTED_VALUE"""),208.0)</f>
        <v>208</v>
      </c>
      <c r="E2659" s="2"/>
      <c r="F2659" s="2"/>
    </row>
    <row r="2660">
      <c r="A2660" s="2">
        <f>IFERROR(__xludf.DUMMYFUNCTION("""COMPUTED_VALUE"""),100334.0)</f>
        <v>100334</v>
      </c>
      <c r="B2660" s="2">
        <f>IFERROR(__xludf.DUMMYFUNCTION("""COMPUTED_VALUE"""),1.0)</f>
        <v>1</v>
      </c>
      <c r="C2660" s="2">
        <f>IFERROR(__xludf.DUMMYFUNCTION("""COMPUTED_VALUE"""),347.0)</f>
        <v>347</v>
      </c>
      <c r="D2660" s="3">
        <f>IFERROR(__xludf.DUMMYFUNCTION("""COMPUTED_VALUE"""),132.0)</f>
        <v>132</v>
      </c>
      <c r="E2660" s="2"/>
      <c r="F2660" s="2"/>
    </row>
    <row r="2661">
      <c r="A2661" s="2">
        <f>IFERROR(__xludf.DUMMYFUNCTION("""COMPUTED_VALUE"""),69120.0)</f>
        <v>69120</v>
      </c>
      <c r="B2661" s="2">
        <f>IFERROR(__xludf.DUMMYFUNCTION("""COMPUTED_VALUE"""),0.0)</f>
        <v>0</v>
      </c>
      <c r="C2661" s="2">
        <f>IFERROR(__xludf.DUMMYFUNCTION("""COMPUTED_VALUE"""),710.0)</f>
        <v>710</v>
      </c>
      <c r="D2661" s="3">
        <f>IFERROR(__xludf.DUMMYFUNCTION("""COMPUTED_VALUE"""),638.0)</f>
        <v>638</v>
      </c>
      <c r="E2661" s="2"/>
      <c r="F2661" s="2"/>
    </row>
    <row r="2662">
      <c r="A2662" s="2">
        <f>IFERROR(__xludf.DUMMYFUNCTION("""COMPUTED_VALUE"""),69119.0)</f>
        <v>69119</v>
      </c>
      <c r="B2662" s="2">
        <f>IFERROR(__xludf.DUMMYFUNCTION("""COMPUTED_VALUE"""),0.0)</f>
        <v>0</v>
      </c>
      <c r="C2662" s="2">
        <f>IFERROR(__xludf.DUMMYFUNCTION("""COMPUTED_VALUE"""),781.0)</f>
        <v>781</v>
      </c>
      <c r="D2662" s="3">
        <f>IFERROR(__xludf.DUMMYFUNCTION("""COMPUTED_VALUE"""),131.0)</f>
        <v>131</v>
      </c>
      <c r="E2662" s="2"/>
      <c r="F2662" s="2"/>
    </row>
    <row r="2663">
      <c r="A2663" s="2">
        <f>IFERROR(__xludf.DUMMYFUNCTION("""COMPUTED_VALUE"""),69118.0)</f>
        <v>69118</v>
      </c>
      <c r="B2663" s="2">
        <f>IFERROR(__xludf.DUMMYFUNCTION("""COMPUTED_VALUE"""),1.0)</f>
        <v>1</v>
      </c>
      <c r="C2663" s="2">
        <f>IFERROR(__xludf.DUMMYFUNCTION("""COMPUTED_VALUE"""),385.0)</f>
        <v>385</v>
      </c>
      <c r="D2663" s="3">
        <f>IFERROR(__xludf.DUMMYFUNCTION("""COMPUTED_VALUE"""),164.0)</f>
        <v>164</v>
      </c>
      <c r="E2663" s="2"/>
      <c r="F2663" s="2"/>
    </row>
    <row r="2664">
      <c r="A2664" s="2">
        <f>IFERROR(__xludf.DUMMYFUNCTION("""COMPUTED_VALUE"""),80044.0)</f>
        <v>80044</v>
      </c>
      <c r="B2664" s="2">
        <f>IFERROR(__xludf.DUMMYFUNCTION("""COMPUTED_VALUE"""),0.0)</f>
        <v>0</v>
      </c>
      <c r="C2664" s="2">
        <f>IFERROR(__xludf.DUMMYFUNCTION("""COMPUTED_VALUE"""),197.0)</f>
        <v>197</v>
      </c>
      <c r="D2664" s="3">
        <f>IFERROR(__xludf.DUMMYFUNCTION("""COMPUTED_VALUE"""),125.0)</f>
        <v>125</v>
      </c>
      <c r="E2664" s="2"/>
      <c r="F2664" s="2"/>
    </row>
    <row r="2665">
      <c r="A2665" s="2">
        <f>IFERROR(__xludf.DUMMYFUNCTION("""COMPUTED_VALUE"""),23556.0)</f>
        <v>23556</v>
      </c>
      <c r="B2665" s="2">
        <f>IFERROR(__xludf.DUMMYFUNCTION("""COMPUTED_VALUE"""),0.0)</f>
        <v>0</v>
      </c>
      <c r="C2665" s="2">
        <f>IFERROR(__xludf.DUMMYFUNCTION("""COMPUTED_VALUE"""),-14.0)</f>
        <v>-14</v>
      </c>
      <c r="D2665" s="3">
        <f>IFERROR(__xludf.DUMMYFUNCTION("""COMPUTED_VALUE"""),0.0)</f>
        <v>0</v>
      </c>
      <c r="E2665" s="2"/>
      <c r="F2665" s="2"/>
    </row>
    <row r="2666">
      <c r="A2666" s="2">
        <f>IFERROR(__xludf.DUMMYFUNCTION("""COMPUTED_VALUE"""),69114.0)</f>
        <v>69114</v>
      </c>
      <c r="B2666" s="2">
        <f>IFERROR(__xludf.DUMMYFUNCTION("""COMPUTED_VALUE"""),0.0)</f>
        <v>0</v>
      </c>
      <c r="C2666" s="2">
        <f>IFERROR(__xludf.DUMMYFUNCTION("""COMPUTED_VALUE"""),322.0)</f>
        <v>322</v>
      </c>
      <c r="D2666" s="3">
        <f>IFERROR(__xludf.DUMMYFUNCTION("""COMPUTED_VALUE"""),118.0)</f>
        <v>118</v>
      </c>
      <c r="E2666" s="2"/>
      <c r="F2666" s="2"/>
    </row>
    <row r="2667">
      <c r="A2667" s="2">
        <f>IFERROR(__xludf.DUMMYFUNCTION("""COMPUTED_VALUE"""),79778.0)</f>
        <v>79778</v>
      </c>
      <c r="B2667" s="2">
        <f>IFERROR(__xludf.DUMMYFUNCTION("""COMPUTED_VALUE"""),0.0)</f>
        <v>0</v>
      </c>
      <c r="C2667" s="2">
        <f>IFERROR(__xludf.DUMMYFUNCTION("""COMPUTED_VALUE"""),488.0)</f>
        <v>488</v>
      </c>
      <c r="D2667" s="3">
        <f>IFERROR(__xludf.DUMMYFUNCTION("""COMPUTED_VALUE"""),37.0)</f>
        <v>37</v>
      </c>
      <c r="E2667" s="2"/>
      <c r="F2667" s="2"/>
    </row>
    <row r="2668">
      <c r="A2668" s="2">
        <f>IFERROR(__xludf.DUMMYFUNCTION("""COMPUTED_VALUE"""),100323.0)</f>
        <v>100323</v>
      </c>
      <c r="B2668" s="2">
        <f>IFERROR(__xludf.DUMMYFUNCTION("""COMPUTED_VALUE"""),1.0)</f>
        <v>1</v>
      </c>
      <c r="C2668" s="2">
        <f>IFERROR(__xludf.DUMMYFUNCTION("""COMPUTED_VALUE"""),471.0)</f>
        <v>471</v>
      </c>
      <c r="D2668" s="3">
        <f>IFERROR(__xludf.DUMMYFUNCTION("""COMPUTED_VALUE"""),12.0)</f>
        <v>12</v>
      </c>
      <c r="E2668" s="2"/>
      <c r="F2668" s="2"/>
    </row>
    <row r="2669">
      <c r="A2669" s="2">
        <f>IFERROR(__xludf.DUMMYFUNCTION("""COMPUTED_VALUE"""),69116.0)</f>
        <v>69116</v>
      </c>
      <c r="B2669" s="2">
        <f>IFERROR(__xludf.DUMMYFUNCTION("""COMPUTED_VALUE"""),0.0)</f>
        <v>0</v>
      </c>
      <c r="C2669" s="2">
        <f>IFERROR(__xludf.DUMMYFUNCTION("""COMPUTED_VALUE"""),254.0)</f>
        <v>254</v>
      </c>
      <c r="D2669" s="3">
        <f>IFERROR(__xludf.DUMMYFUNCTION("""COMPUTED_VALUE"""),212.0)</f>
        <v>212</v>
      </c>
      <c r="E2669" s="2"/>
      <c r="F2669" s="2"/>
    </row>
    <row r="2670">
      <c r="A2670" s="2">
        <f>IFERROR(__xludf.DUMMYFUNCTION("""COMPUTED_VALUE"""),68938.0)</f>
        <v>68938</v>
      </c>
      <c r="B2670" s="2">
        <f>IFERROR(__xludf.DUMMYFUNCTION("""COMPUTED_VALUE"""),1.0)</f>
        <v>1</v>
      </c>
      <c r="C2670" s="2">
        <f>IFERROR(__xludf.DUMMYFUNCTION("""COMPUTED_VALUE"""),858.0)</f>
        <v>858</v>
      </c>
      <c r="D2670" s="3">
        <f>IFERROR(__xludf.DUMMYFUNCTION("""COMPUTED_VALUE"""),818.0)</f>
        <v>818</v>
      </c>
      <c r="E2670" s="2"/>
      <c r="F2670" s="2"/>
    </row>
    <row r="2671">
      <c r="A2671" s="2">
        <f>IFERROR(__xludf.DUMMYFUNCTION("""COMPUTED_VALUE"""),121987.0)</f>
        <v>121987</v>
      </c>
      <c r="B2671" s="2">
        <f>IFERROR(__xludf.DUMMYFUNCTION("""COMPUTED_VALUE"""),0.0)</f>
        <v>0</v>
      </c>
      <c r="C2671" s="2">
        <f>IFERROR(__xludf.DUMMYFUNCTION("""COMPUTED_VALUE"""),785.0)</f>
        <v>785</v>
      </c>
      <c r="D2671" s="3">
        <f>IFERROR(__xludf.DUMMYFUNCTION("""COMPUTED_VALUE"""),65.0)</f>
        <v>65</v>
      </c>
      <c r="E2671" s="2"/>
      <c r="F2671" s="2"/>
    </row>
    <row r="2672">
      <c r="A2672" s="2">
        <f>IFERROR(__xludf.DUMMYFUNCTION("""COMPUTED_VALUE"""),69113.0)</f>
        <v>69113</v>
      </c>
      <c r="B2672" s="2">
        <f>IFERROR(__xludf.DUMMYFUNCTION("""COMPUTED_VALUE"""),1.0)</f>
        <v>1</v>
      </c>
      <c r="C2672" s="2">
        <f>IFERROR(__xludf.DUMMYFUNCTION("""COMPUTED_VALUE"""),13.0)</f>
        <v>13</v>
      </c>
      <c r="D2672" s="3">
        <f>IFERROR(__xludf.DUMMYFUNCTION("""COMPUTED_VALUE"""),6.0)</f>
        <v>6</v>
      </c>
      <c r="E2672" s="2"/>
      <c r="F2672" s="2"/>
    </row>
    <row r="2673">
      <c r="A2673" s="2">
        <f>IFERROR(__xludf.DUMMYFUNCTION("""COMPUTED_VALUE"""),80053.0)</f>
        <v>80053</v>
      </c>
      <c r="B2673" s="2">
        <f>IFERROR(__xludf.DUMMYFUNCTION("""COMPUTED_VALUE"""),1.0)</f>
        <v>1</v>
      </c>
      <c r="C2673" s="2">
        <f>IFERROR(__xludf.DUMMYFUNCTION("""COMPUTED_VALUE"""),593.0)</f>
        <v>593</v>
      </c>
      <c r="D2673" s="3">
        <f>IFERROR(__xludf.DUMMYFUNCTION("""COMPUTED_VALUE"""),403.0)</f>
        <v>403</v>
      </c>
      <c r="E2673" s="2"/>
      <c r="F2673" s="2"/>
    </row>
    <row r="2674">
      <c r="A2674" s="2">
        <f>IFERROR(__xludf.DUMMYFUNCTION("""COMPUTED_VALUE"""),121986.0)</f>
        <v>121986</v>
      </c>
      <c r="B2674" s="2">
        <f>IFERROR(__xludf.DUMMYFUNCTION("""COMPUTED_VALUE"""),0.0)</f>
        <v>0</v>
      </c>
      <c r="C2674" s="2">
        <f>IFERROR(__xludf.DUMMYFUNCTION("""COMPUTED_VALUE"""),397.0)</f>
        <v>397</v>
      </c>
      <c r="D2674" s="3">
        <f>IFERROR(__xludf.DUMMYFUNCTION("""COMPUTED_VALUE"""),5.0)</f>
        <v>5</v>
      </c>
      <c r="E2674" s="2"/>
      <c r="F2674" s="2"/>
    </row>
    <row r="2675">
      <c r="A2675" s="2">
        <f>IFERROR(__xludf.DUMMYFUNCTION("""COMPUTED_VALUE"""),121988.0)</f>
        <v>121988</v>
      </c>
      <c r="B2675" s="2">
        <f>IFERROR(__xludf.DUMMYFUNCTION("""COMPUTED_VALUE"""),0.0)</f>
        <v>0</v>
      </c>
      <c r="C2675" s="2">
        <f>IFERROR(__xludf.DUMMYFUNCTION("""COMPUTED_VALUE"""),57.0)</f>
        <v>57</v>
      </c>
      <c r="D2675" s="3">
        <f>IFERROR(__xludf.DUMMYFUNCTION("""COMPUTED_VALUE"""),29.0)</f>
        <v>29</v>
      </c>
      <c r="E2675" s="2"/>
      <c r="F2675" s="2"/>
    </row>
    <row r="2676">
      <c r="A2676" s="2">
        <f>IFERROR(__xludf.DUMMYFUNCTION("""COMPUTED_VALUE"""),121990.0)</f>
        <v>121990</v>
      </c>
      <c r="B2676" s="2">
        <f>IFERROR(__xludf.DUMMYFUNCTION("""COMPUTED_VALUE"""),0.0)</f>
        <v>0</v>
      </c>
      <c r="C2676" s="2">
        <f>IFERROR(__xludf.DUMMYFUNCTION("""COMPUTED_VALUE"""),672.0)</f>
        <v>672</v>
      </c>
      <c r="D2676" s="3">
        <f>IFERROR(__xludf.DUMMYFUNCTION("""COMPUTED_VALUE"""),69.0)</f>
        <v>69</v>
      </c>
      <c r="E2676" s="2"/>
      <c r="F2676" s="2"/>
    </row>
    <row r="2677">
      <c r="A2677" s="2">
        <f>IFERROR(__xludf.DUMMYFUNCTION("""COMPUTED_VALUE"""),68941.0)</f>
        <v>68941</v>
      </c>
      <c r="B2677" s="2">
        <f>IFERROR(__xludf.DUMMYFUNCTION("""COMPUTED_VALUE"""),0.0)</f>
        <v>0</v>
      </c>
      <c r="C2677" s="2">
        <f>IFERROR(__xludf.DUMMYFUNCTION("""COMPUTED_VALUE"""),495.0)</f>
        <v>495</v>
      </c>
      <c r="D2677" s="3">
        <f>IFERROR(__xludf.DUMMYFUNCTION("""COMPUTED_VALUE"""),451.0)</f>
        <v>451</v>
      </c>
      <c r="E2677" s="2"/>
      <c r="F2677" s="2"/>
    </row>
    <row r="2678">
      <c r="A2678" s="2">
        <f>IFERROR(__xludf.DUMMYFUNCTION("""COMPUTED_VALUE"""),69122.0)</f>
        <v>69122</v>
      </c>
      <c r="B2678" s="2">
        <f>IFERROR(__xludf.DUMMYFUNCTION("""COMPUTED_VALUE"""),0.0)</f>
        <v>0</v>
      </c>
      <c r="C2678" s="2">
        <f>IFERROR(__xludf.DUMMYFUNCTION("""COMPUTED_VALUE"""),258.0)</f>
        <v>258</v>
      </c>
      <c r="D2678" s="3">
        <f>IFERROR(__xludf.DUMMYFUNCTION("""COMPUTED_VALUE"""),235.0)</f>
        <v>235</v>
      </c>
      <c r="E2678" s="2"/>
      <c r="F2678" s="2"/>
    </row>
    <row r="2679">
      <c r="A2679" s="2">
        <f>IFERROR(__xludf.DUMMYFUNCTION("""COMPUTED_VALUE"""),80049.0)</f>
        <v>80049</v>
      </c>
      <c r="B2679" s="2">
        <f>IFERROR(__xludf.DUMMYFUNCTION("""COMPUTED_VALUE"""),0.0)</f>
        <v>0</v>
      </c>
      <c r="C2679" s="2">
        <f>IFERROR(__xludf.DUMMYFUNCTION("""COMPUTED_VALUE"""),76.0)</f>
        <v>76</v>
      </c>
      <c r="D2679" s="3">
        <f>IFERROR(__xludf.DUMMYFUNCTION("""COMPUTED_VALUE"""),17.0)</f>
        <v>17</v>
      </c>
      <c r="E2679" s="2"/>
      <c r="F2679" s="2"/>
    </row>
    <row r="2680">
      <c r="A2680" s="2">
        <f>IFERROR(__xludf.DUMMYFUNCTION("""COMPUTED_VALUE"""),121971.0)</f>
        <v>121971</v>
      </c>
      <c r="B2680" s="2">
        <f>IFERROR(__xludf.DUMMYFUNCTION("""COMPUTED_VALUE"""),1.0)</f>
        <v>1</v>
      </c>
      <c r="C2680" s="2">
        <f>IFERROR(__xludf.DUMMYFUNCTION("""COMPUTED_VALUE"""),652.0)</f>
        <v>652</v>
      </c>
      <c r="D2680" s="3">
        <f>IFERROR(__xludf.DUMMYFUNCTION("""COMPUTED_VALUE"""),527.0)</f>
        <v>527</v>
      </c>
      <c r="E2680" s="2"/>
      <c r="F2680" s="2"/>
    </row>
    <row r="2681">
      <c r="A2681" s="2">
        <f>IFERROR(__xludf.DUMMYFUNCTION("""COMPUTED_VALUE"""),68945.0)</f>
        <v>68945</v>
      </c>
      <c r="B2681" s="2">
        <f>IFERROR(__xludf.DUMMYFUNCTION("""COMPUTED_VALUE"""),1.0)</f>
        <v>1</v>
      </c>
      <c r="C2681" s="2">
        <f>IFERROR(__xludf.DUMMYFUNCTION("""COMPUTED_VALUE"""),415.0)</f>
        <v>415</v>
      </c>
      <c r="D2681" s="3">
        <f>IFERROR(__xludf.DUMMYFUNCTION("""COMPUTED_VALUE"""),193.0)</f>
        <v>193</v>
      </c>
      <c r="E2681" s="2"/>
      <c r="F2681" s="2"/>
    </row>
    <row r="2682">
      <c r="A2682" s="2">
        <f>IFERROR(__xludf.DUMMYFUNCTION("""COMPUTED_VALUE"""),79780.0)</f>
        <v>79780</v>
      </c>
      <c r="B2682" s="2">
        <f>IFERROR(__xludf.DUMMYFUNCTION("""COMPUTED_VALUE"""),1.0)</f>
        <v>1</v>
      </c>
      <c r="C2682" s="2">
        <f>IFERROR(__xludf.DUMMYFUNCTION("""COMPUTED_VALUE"""),823.0)</f>
        <v>823</v>
      </c>
      <c r="D2682" s="3">
        <f>IFERROR(__xludf.DUMMYFUNCTION("""COMPUTED_VALUE"""),265.0)</f>
        <v>265</v>
      </c>
      <c r="E2682" s="2"/>
      <c r="F2682" s="2"/>
    </row>
    <row r="2683">
      <c r="A2683" s="2">
        <f>IFERROR(__xludf.DUMMYFUNCTION("""COMPUTED_VALUE"""),80056.0)</f>
        <v>80056</v>
      </c>
      <c r="B2683" s="2">
        <f>IFERROR(__xludf.DUMMYFUNCTION("""COMPUTED_VALUE"""),0.0)</f>
        <v>0</v>
      </c>
      <c r="C2683" s="2">
        <f>IFERROR(__xludf.DUMMYFUNCTION("""COMPUTED_VALUE"""),427.0)</f>
        <v>427</v>
      </c>
      <c r="D2683" s="3">
        <f>IFERROR(__xludf.DUMMYFUNCTION("""COMPUTED_VALUE"""),344.0)</f>
        <v>344</v>
      </c>
      <c r="E2683" s="2"/>
      <c r="F2683" s="2"/>
    </row>
    <row r="2684">
      <c r="A2684" s="2">
        <f>IFERROR(__xludf.DUMMYFUNCTION("""COMPUTED_VALUE"""),80040.0)</f>
        <v>80040</v>
      </c>
      <c r="B2684" s="2">
        <f>IFERROR(__xludf.DUMMYFUNCTION("""COMPUTED_VALUE"""),1.0)</f>
        <v>1</v>
      </c>
      <c r="C2684" s="2">
        <f>IFERROR(__xludf.DUMMYFUNCTION("""COMPUTED_VALUE"""),828.0)</f>
        <v>828</v>
      </c>
      <c r="D2684" s="3">
        <f>IFERROR(__xludf.DUMMYFUNCTION("""COMPUTED_VALUE"""),716.0)</f>
        <v>716</v>
      </c>
      <c r="E2684" s="2"/>
      <c r="F2684" s="2"/>
    </row>
    <row r="2685">
      <c r="A2685" s="2">
        <f>IFERROR(__xludf.DUMMYFUNCTION("""COMPUTED_VALUE"""),114480.0)</f>
        <v>114480</v>
      </c>
      <c r="B2685" s="2">
        <f>IFERROR(__xludf.DUMMYFUNCTION("""COMPUTED_VALUE"""),0.0)</f>
        <v>0</v>
      </c>
      <c r="C2685" s="2">
        <f>IFERROR(__xludf.DUMMYFUNCTION("""COMPUTED_VALUE"""),26.0)</f>
        <v>26</v>
      </c>
      <c r="D2685" s="3">
        <f>IFERROR(__xludf.DUMMYFUNCTION("""COMPUTED_VALUE"""),26.0)</f>
        <v>26</v>
      </c>
      <c r="E2685" s="2"/>
      <c r="F2685" s="2"/>
    </row>
    <row r="2686">
      <c r="A2686" s="2">
        <f>IFERROR(__xludf.DUMMYFUNCTION("""COMPUTED_VALUE"""),111922.0)</f>
        <v>111922</v>
      </c>
      <c r="B2686" s="2">
        <f>IFERROR(__xludf.DUMMYFUNCTION("""COMPUTED_VALUE"""),1.0)</f>
        <v>1</v>
      </c>
      <c r="C2686" s="2">
        <f>IFERROR(__xludf.DUMMYFUNCTION("""COMPUTED_VALUE"""),107.0)</f>
        <v>107</v>
      </c>
      <c r="D2686" s="3">
        <f>IFERROR(__xludf.DUMMYFUNCTION("""COMPUTED_VALUE"""),68.0)</f>
        <v>68</v>
      </c>
      <c r="E2686" s="2"/>
      <c r="F2686" s="2"/>
    </row>
    <row r="2687">
      <c r="A2687" s="2">
        <f>IFERROR(__xludf.DUMMYFUNCTION("""COMPUTED_VALUE"""),111924.0)</f>
        <v>111924</v>
      </c>
      <c r="B2687" s="2">
        <f>IFERROR(__xludf.DUMMYFUNCTION("""COMPUTED_VALUE"""),0.0)</f>
        <v>0</v>
      </c>
      <c r="C2687" s="2">
        <f>IFERROR(__xludf.DUMMYFUNCTION("""COMPUTED_VALUE"""),202.0)</f>
        <v>202</v>
      </c>
      <c r="D2687" s="3">
        <f>IFERROR(__xludf.DUMMYFUNCTION("""COMPUTED_VALUE"""),155.0)</f>
        <v>155</v>
      </c>
      <c r="E2687" s="2"/>
      <c r="F2687" s="2"/>
    </row>
    <row r="2688">
      <c r="A2688" s="2">
        <f>IFERROR(__xludf.DUMMYFUNCTION("""COMPUTED_VALUE"""),80047.0)</f>
        <v>80047</v>
      </c>
      <c r="B2688" s="2">
        <f>IFERROR(__xludf.DUMMYFUNCTION("""COMPUTED_VALUE"""),0.0)</f>
        <v>0</v>
      </c>
      <c r="C2688" s="2">
        <f>IFERROR(__xludf.DUMMYFUNCTION("""COMPUTED_VALUE"""),687.0)</f>
        <v>687</v>
      </c>
      <c r="D2688" s="3">
        <f>IFERROR(__xludf.DUMMYFUNCTION("""COMPUTED_VALUE"""),504.0)</f>
        <v>504</v>
      </c>
      <c r="E2688" s="2"/>
      <c r="F2688" s="2"/>
    </row>
    <row r="2689">
      <c r="A2689" s="2">
        <f>IFERROR(__xludf.DUMMYFUNCTION("""COMPUTED_VALUE"""),69121.0)</f>
        <v>69121</v>
      </c>
      <c r="B2689" s="2">
        <f>IFERROR(__xludf.DUMMYFUNCTION("""COMPUTED_VALUE"""),0.0)</f>
        <v>0</v>
      </c>
      <c r="C2689" s="2">
        <f>IFERROR(__xludf.DUMMYFUNCTION("""COMPUTED_VALUE"""),126.0)</f>
        <v>126</v>
      </c>
      <c r="D2689" s="3">
        <f>IFERROR(__xludf.DUMMYFUNCTION("""COMPUTED_VALUE"""),79.0)</f>
        <v>79</v>
      </c>
      <c r="E2689" s="2"/>
      <c r="F2689" s="2"/>
    </row>
    <row r="2690">
      <c r="A2690" s="2">
        <f>IFERROR(__xludf.DUMMYFUNCTION("""COMPUTED_VALUE"""),68939.0)</f>
        <v>68939</v>
      </c>
      <c r="B2690" s="2">
        <f>IFERROR(__xludf.DUMMYFUNCTION("""COMPUTED_VALUE"""),1.0)</f>
        <v>1</v>
      </c>
      <c r="C2690" s="2">
        <f>IFERROR(__xludf.DUMMYFUNCTION("""COMPUTED_VALUE"""),821.0)</f>
        <v>821</v>
      </c>
      <c r="D2690" s="3">
        <f>IFERROR(__xludf.DUMMYFUNCTION("""COMPUTED_VALUE"""),55.0)</f>
        <v>55</v>
      </c>
      <c r="E2690" s="2"/>
      <c r="F2690" s="2"/>
    </row>
    <row r="2691">
      <c r="A2691" s="2">
        <f>IFERROR(__xludf.DUMMYFUNCTION("""COMPUTED_VALUE"""),69124.0)</f>
        <v>69124</v>
      </c>
      <c r="B2691" s="2">
        <f>IFERROR(__xludf.DUMMYFUNCTION("""COMPUTED_VALUE"""),0.0)</f>
        <v>0</v>
      </c>
      <c r="C2691" s="2">
        <f>IFERROR(__xludf.DUMMYFUNCTION("""COMPUTED_VALUE"""),966.0)</f>
        <v>966</v>
      </c>
      <c r="D2691" s="3">
        <f>IFERROR(__xludf.DUMMYFUNCTION("""COMPUTED_VALUE"""),696.0)</f>
        <v>696</v>
      </c>
      <c r="E2691" s="2"/>
      <c r="F2691" s="2"/>
    </row>
    <row r="2692">
      <c r="A2692" s="2">
        <f>IFERROR(__xludf.DUMMYFUNCTION("""COMPUTED_VALUE"""),23552.0)</f>
        <v>23552</v>
      </c>
      <c r="B2692" s="2">
        <f>IFERROR(__xludf.DUMMYFUNCTION("""COMPUTED_VALUE"""),1.0)</f>
        <v>1</v>
      </c>
      <c r="C2692" s="2">
        <f>IFERROR(__xludf.DUMMYFUNCTION("""COMPUTED_VALUE"""),251.0)</f>
        <v>251</v>
      </c>
      <c r="D2692" s="3">
        <f>IFERROR(__xludf.DUMMYFUNCTION("""COMPUTED_VALUE"""),1.0)</f>
        <v>1</v>
      </c>
      <c r="E2692" s="2"/>
      <c r="F2692" s="2"/>
    </row>
    <row r="2693">
      <c r="A2693" s="2">
        <f>IFERROR(__xludf.DUMMYFUNCTION("""COMPUTED_VALUE"""),68943.0)</f>
        <v>68943</v>
      </c>
      <c r="B2693" s="2">
        <f>IFERROR(__xludf.DUMMYFUNCTION("""COMPUTED_VALUE"""),1.0)</f>
        <v>1</v>
      </c>
      <c r="C2693" s="2">
        <f>IFERROR(__xludf.DUMMYFUNCTION("""COMPUTED_VALUE"""),684.0)</f>
        <v>684</v>
      </c>
      <c r="D2693" s="3">
        <f>IFERROR(__xludf.DUMMYFUNCTION("""COMPUTED_VALUE"""),474.0)</f>
        <v>474</v>
      </c>
      <c r="E2693" s="2"/>
      <c r="F2693" s="2"/>
    </row>
    <row r="2694">
      <c r="A2694" s="2">
        <f>IFERROR(__xludf.DUMMYFUNCTION("""COMPUTED_VALUE"""),69115.0)</f>
        <v>69115</v>
      </c>
      <c r="B2694" s="2">
        <f>IFERROR(__xludf.DUMMYFUNCTION("""COMPUTED_VALUE"""),0.0)</f>
        <v>0</v>
      </c>
      <c r="C2694" s="2">
        <f>IFERROR(__xludf.DUMMYFUNCTION("""COMPUTED_VALUE"""),367.0)</f>
        <v>367</v>
      </c>
      <c r="D2694" s="3">
        <f>IFERROR(__xludf.DUMMYFUNCTION("""COMPUTED_VALUE"""),270.0)</f>
        <v>270</v>
      </c>
      <c r="E2694" s="2"/>
      <c r="F2694" s="2"/>
    </row>
    <row r="2695">
      <c r="A2695" s="2">
        <f>IFERROR(__xludf.DUMMYFUNCTION("""COMPUTED_VALUE"""),81122.0)</f>
        <v>81122</v>
      </c>
      <c r="B2695" s="2">
        <f>IFERROR(__xludf.DUMMYFUNCTION("""COMPUTED_VALUE"""),1.0)</f>
        <v>1</v>
      </c>
      <c r="C2695" s="2">
        <f>IFERROR(__xludf.DUMMYFUNCTION("""COMPUTED_VALUE"""),423.0)</f>
        <v>423</v>
      </c>
      <c r="D2695" s="3">
        <f>IFERROR(__xludf.DUMMYFUNCTION("""COMPUTED_VALUE"""),422.0)</f>
        <v>422</v>
      </c>
      <c r="E2695" s="2"/>
      <c r="F2695" s="2"/>
    </row>
    <row r="2696">
      <c r="A2696" s="2">
        <f>IFERROR(__xludf.DUMMYFUNCTION("""COMPUTED_VALUE"""),84672.0)</f>
        <v>84672</v>
      </c>
      <c r="B2696" s="2">
        <f>IFERROR(__xludf.DUMMYFUNCTION("""COMPUTED_VALUE"""),1.0)</f>
        <v>1</v>
      </c>
      <c r="C2696" s="2">
        <f>IFERROR(__xludf.DUMMYFUNCTION("""COMPUTED_VALUE"""),166.0)</f>
        <v>166</v>
      </c>
      <c r="D2696" s="3">
        <f>IFERROR(__xludf.DUMMYFUNCTION("""COMPUTED_VALUE"""),116.0)</f>
        <v>116</v>
      </c>
      <c r="E2696" s="2"/>
      <c r="F2696" s="2"/>
    </row>
    <row r="2697">
      <c r="A2697" s="2">
        <f>IFERROR(__xludf.DUMMYFUNCTION("""COMPUTED_VALUE"""),81127.0)</f>
        <v>81127</v>
      </c>
      <c r="B2697" s="2">
        <f>IFERROR(__xludf.DUMMYFUNCTION("""COMPUTED_VALUE"""),0.0)</f>
        <v>0</v>
      </c>
      <c r="C2697" s="2">
        <f>IFERROR(__xludf.DUMMYFUNCTION("""COMPUTED_VALUE"""),785.0)</f>
        <v>785</v>
      </c>
      <c r="D2697" s="3">
        <f>IFERROR(__xludf.DUMMYFUNCTION("""COMPUTED_VALUE"""),447.0)</f>
        <v>447</v>
      </c>
      <c r="E2697" s="2"/>
      <c r="F2697" s="2"/>
    </row>
    <row r="2698">
      <c r="A2698" s="2">
        <f>IFERROR(__xludf.DUMMYFUNCTION("""COMPUTED_VALUE"""),87858.0)</f>
        <v>87858</v>
      </c>
      <c r="B2698" s="2">
        <f>IFERROR(__xludf.DUMMYFUNCTION("""COMPUTED_VALUE"""),0.0)</f>
        <v>0</v>
      </c>
      <c r="C2698" s="2">
        <f>IFERROR(__xludf.DUMMYFUNCTION("""COMPUTED_VALUE"""),60.0)</f>
        <v>60</v>
      </c>
      <c r="D2698" s="3">
        <f>IFERROR(__xludf.DUMMYFUNCTION("""COMPUTED_VALUE"""),20.0)</f>
        <v>20</v>
      </c>
      <c r="E2698" s="2"/>
      <c r="F2698" s="2"/>
    </row>
    <row r="2699">
      <c r="A2699" s="2">
        <f>IFERROR(__xludf.DUMMYFUNCTION("""COMPUTED_VALUE"""),84673.0)</f>
        <v>84673</v>
      </c>
      <c r="B2699" s="2">
        <f>IFERROR(__xludf.DUMMYFUNCTION("""COMPUTED_VALUE"""),0.0)</f>
        <v>0</v>
      </c>
      <c r="C2699" s="2">
        <f>IFERROR(__xludf.DUMMYFUNCTION("""COMPUTED_VALUE"""),125.0)</f>
        <v>125</v>
      </c>
      <c r="D2699" s="3">
        <f>IFERROR(__xludf.DUMMYFUNCTION("""COMPUTED_VALUE"""),64.0)</f>
        <v>64</v>
      </c>
      <c r="E2699" s="2"/>
      <c r="F2699" s="2"/>
    </row>
    <row r="2700">
      <c r="A2700" s="2">
        <f>IFERROR(__xludf.DUMMYFUNCTION("""COMPUTED_VALUE"""),81064.0)</f>
        <v>81064</v>
      </c>
      <c r="B2700" s="2">
        <f>IFERROR(__xludf.DUMMYFUNCTION("""COMPUTED_VALUE"""),1.0)</f>
        <v>1</v>
      </c>
      <c r="C2700" s="2">
        <f>IFERROR(__xludf.DUMMYFUNCTION("""COMPUTED_VALUE"""),425.0)</f>
        <v>425</v>
      </c>
      <c r="D2700" s="3">
        <f>IFERROR(__xludf.DUMMYFUNCTION("""COMPUTED_VALUE"""),381.0)</f>
        <v>381</v>
      </c>
      <c r="E2700" s="2"/>
      <c r="F2700" s="2"/>
    </row>
    <row r="2701">
      <c r="A2701" s="2">
        <f>IFERROR(__xludf.DUMMYFUNCTION("""COMPUTED_VALUE"""),81139.0)</f>
        <v>81139</v>
      </c>
      <c r="B2701" s="2">
        <f>IFERROR(__xludf.DUMMYFUNCTION("""COMPUTED_VALUE"""),1.0)</f>
        <v>1</v>
      </c>
      <c r="C2701" s="2">
        <f>IFERROR(__xludf.DUMMYFUNCTION("""COMPUTED_VALUE"""),227.0)</f>
        <v>227</v>
      </c>
      <c r="D2701" s="3">
        <f>IFERROR(__xludf.DUMMYFUNCTION("""COMPUTED_VALUE"""),4.0)</f>
        <v>4</v>
      </c>
      <c r="E2701" s="2"/>
      <c r="F2701" s="2"/>
    </row>
    <row r="2702">
      <c r="A2702" s="2">
        <f>IFERROR(__xludf.DUMMYFUNCTION("""COMPUTED_VALUE"""),81141.0)</f>
        <v>81141</v>
      </c>
      <c r="B2702" s="2">
        <f>IFERROR(__xludf.DUMMYFUNCTION("""COMPUTED_VALUE"""),1.0)</f>
        <v>1</v>
      </c>
      <c r="C2702" s="2">
        <f>IFERROR(__xludf.DUMMYFUNCTION("""COMPUTED_VALUE"""),268.0)</f>
        <v>268</v>
      </c>
      <c r="D2702" s="3">
        <f>IFERROR(__xludf.DUMMYFUNCTION("""COMPUTED_VALUE"""),251.0)</f>
        <v>251</v>
      </c>
      <c r="E2702" s="2"/>
      <c r="F2702" s="2"/>
    </row>
    <row r="2703">
      <c r="A2703" s="2">
        <f>IFERROR(__xludf.DUMMYFUNCTION("""COMPUTED_VALUE"""),81054.0)</f>
        <v>81054</v>
      </c>
      <c r="B2703" s="2">
        <f>IFERROR(__xludf.DUMMYFUNCTION("""COMPUTED_VALUE"""),1.0)</f>
        <v>1</v>
      </c>
      <c r="C2703" s="2">
        <f>IFERROR(__xludf.DUMMYFUNCTION("""COMPUTED_VALUE"""),676.0)</f>
        <v>676</v>
      </c>
      <c r="D2703" s="3">
        <f>IFERROR(__xludf.DUMMYFUNCTION("""COMPUTED_VALUE"""),487.0)</f>
        <v>487</v>
      </c>
      <c r="E2703" s="2"/>
      <c r="F2703" s="2"/>
    </row>
    <row r="2704">
      <c r="A2704" s="2">
        <f>IFERROR(__xludf.DUMMYFUNCTION("""COMPUTED_VALUE"""),118352.0)</f>
        <v>118352</v>
      </c>
      <c r="B2704" s="2">
        <f>IFERROR(__xludf.DUMMYFUNCTION("""COMPUTED_VALUE"""),0.0)</f>
        <v>0</v>
      </c>
      <c r="C2704" s="2">
        <f>IFERROR(__xludf.DUMMYFUNCTION("""COMPUTED_VALUE"""),478.0)</f>
        <v>478</v>
      </c>
      <c r="D2704" s="3">
        <f>IFERROR(__xludf.DUMMYFUNCTION("""COMPUTED_VALUE"""),112.0)</f>
        <v>112</v>
      </c>
      <c r="E2704" s="2"/>
      <c r="F2704" s="2"/>
    </row>
    <row r="2705">
      <c r="A2705" s="2">
        <f>IFERROR(__xludf.DUMMYFUNCTION("""COMPUTED_VALUE"""),81091.0)</f>
        <v>81091</v>
      </c>
      <c r="B2705" s="2">
        <f>IFERROR(__xludf.DUMMYFUNCTION("""COMPUTED_VALUE"""),0.0)</f>
        <v>0</v>
      </c>
      <c r="C2705" s="2">
        <f>IFERROR(__xludf.DUMMYFUNCTION("""COMPUTED_VALUE"""),387.0)</f>
        <v>387</v>
      </c>
      <c r="D2705" s="3">
        <f>IFERROR(__xludf.DUMMYFUNCTION("""COMPUTED_VALUE"""),210.0)</f>
        <v>210</v>
      </c>
      <c r="E2705" s="2"/>
      <c r="F2705" s="2"/>
    </row>
    <row r="2706">
      <c r="A2706" s="2">
        <f>IFERROR(__xludf.DUMMYFUNCTION("""COMPUTED_VALUE"""),81025.0)</f>
        <v>81025</v>
      </c>
      <c r="B2706" s="2">
        <f>IFERROR(__xludf.DUMMYFUNCTION("""COMPUTED_VALUE"""),0.0)</f>
        <v>0</v>
      </c>
      <c r="C2706" s="2">
        <f>IFERROR(__xludf.DUMMYFUNCTION("""COMPUTED_VALUE"""),370.0)</f>
        <v>370</v>
      </c>
      <c r="D2706" s="3">
        <f>IFERROR(__xludf.DUMMYFUNCTION("""COMPUTED_VALUE"""),250.0)</f>
        <v>250</v>
      </c>
      <c r="E2706" s="2"/>
      <c r="F2706" s="2"/>
    </row>
    <row r="2707">
      <c r="A2707" s="2">
        <f>IFERROR(__xludf.DUMMYFUNCTION("""COMPUTED_VALUE"""),81129.0)</f>
        <v>81129</v>
      </c>
      <c r="B2707" s="2">
        <f>IFERROR(__xludf.DUMMYFUNCTION("""COMPUTED_VALUE"""),0.0)</f>
        <v>0</v>
      </c>
      <c r="C2707" s="2">
        <f>IFERROR(__xludf.DUMMYFUNCTION("""COMPUTED_VALUE"""),746.0)</f>
        <v>746</v>
      </c>
      <c r="D2707" s="3">
        <f>IFERROR(__xludf.DUMMYFUNCTION("""COMPUTED_VALUE"""),581.0)</f>
        <v>581</v>
      </c>
      <c r="E2707" s="2"/>
      <c r="F2707" s="2"/>
    </row>
    <row r="2708">
      <c r="A2708" s="2">
        <f>IFERROR(__xludf.DUMMYFUNCTION("""COMPUTED_VALUE"""),81043.0)</f>
        <v>81043</v>
      </c>
      <c r="B2708" s="2">
        <f>IFERROR(__xludf.DUMMYFUNCTION("""COMPUTED_VALUE"""),0.0)</f>
        <v>0</v>
      </c>
      <c r="C2708" s="2">
        <f>IFERROR(__xludf.DUMMYFUNCTION("""COMPUTED_VALUE"""),90.0)</f>
        <v>90</v>
      </c>
      <c r="D2708" s="3">
        <f>IFERROR(__xludf.DUMMYFUNCTION("""COMPUTED_VALUE"""),33.0)</f>
        <v>33</v>
      </c>
      <c r="E2708" s="2"/>
      <c r="F2708" s="2"/>
    </row>
    <row r="2709">
      <c r="A2709" s="2">
        <f>IFERROR(__xludf.DUMMYFUNCTION("""COMPUTED_VALUE"""),81120.0)</f>
        <v>81120</v>
      </c>
      <c r="B2709" s="2">
        <f>IFERROR(__xludf.DUMMYFUNCTION("""COMPUTED_VALUE"""),1.0)</f>
        <v>1</v>
      </c>
      <c r="C2709" s="2">
        <f>IFERROR(__xludf.DUMMYFUNCTION("""COMPUTED_VALUE"""),261.0)</f>
        <v>261</v>
      </c>
      <c r="D2709" s="3">
        <f>IFERROR(__xludf.DUMMYFUNCTION("""COMPUTED_VALUE"""),232.0)</f>
        <v>232</v>
      </c>
      <c r="E2709" s="2"/>
      <c r="F2709" s="2"/>
    </row>
    <row r="2710">
      <c r="A2710" s="2">
        <f>IFERROR(__xludf.DUMMYFUNCTION("""COMPUTED_VALUE"""),81109.0)</f>
        <v>81109</v>
      </c>
      <c r="B2710" s="2">
        <f>IFERROR(__xludf.DUMMYFUNCTION("""COMPUTED_VALUE"""),1.0)</f>
        <v>1</v>
      </c>
      <c r="C2710" s="2">
        <f>IFERROR(__xludf.DUMMYFUNCTION("""COMPUTED_VALUE"""),743.0)</f>
        <v>743</v>
      </c>
      <c r="D2710" s="3">
        <f>IFERROR(__xludf.DUMMYFUNCTION("""COMPUTED_VALUE"""),413.0)</f>
        <v>413</v>
      </c>
      <c r="E2710" s="2"/>
      <c r="F2710" s="2"/>
    </row>
    <row r="2711">
      <c r="A2711" s="2">
        <f>IFERROR(__xludf.DUMMYFUNCTION("""COMPUTED_VALUE"""),81082.0)</f>
        <v>81082</v>
      </c>
      <c r="B2711" s="2">
        <f>IFERROR(__xludf.DUMMYFUNCTION("""COMPUTED_VALUE"""),1.0)</f>
        <v>1</v>
      </c>
      <c r="C2711" s="2">
        <f>IFERROR(__xludf.DUMMYFUNCTION("""COMPUTED_VALUE"""),-3.0)</f>
        <v>-3</v>
      </c>
      <c r="D2711" s="3">
        <f>IFERROR(__xludf.DUMMYFUNCTION("""COMPUTED_VALUE"""),0.0)</f>
        <v>0</v>
      </c>
      <c r="E2711" s="2"/>
      <c r="F2711" s="2"/>
    </row>
    <row r="2712">
      <c r="A2712" s="2">
        <f>IFERROR(__xludf.DUMMYFUNCTION("""COMPUTED_VALUE"""),81036.0)</f>
        <v>81036</v>
      </c>
      <c r="B2712" s="2">
        <f>IFERROR(__xludf.DUMMYFUNCTION("""COMPUTED_VALUE"""),1.0)</f>
        <v>1</v>
      </c>
      <c r="C2712" s="2">
        <f>IFERROR(__xludf.DUMMYFUNCTION("""COMPUTED_VALUE"""),383.0)</f>
        <v>383</v>
      </c>
      <c r="D2712" s="3">
        <f>IFERROR(__xludf.DUMMYFUNCTION("""COMPUTED_VALUE"""),359.0)</f>
        <v>359</v>
      </c>
      <c r="E2712" s="2"/>
      <c r="F2712" s="2"/>
    </row>
    <row r="2713">
      <c r="A2713" s="2">
        <f>IFERROR(__xludf.DUMMYFUNCTION("""COMPUTED_VALUE"""),81690.0)</f>
        <v>81690</v>
      </c>
      <c r="B2713" s="2">
        <f>IFERROR(__xludf.DUMMYFUNCTION("""COMPUTED_VALUE"""),1.0)</f>
        <v>1</v>
      </c>
      <c r="C2713" s="2">
        <f>IFERROR(__xludf.DUMMYFUNCTION("""COMPUTED_VALUE"""),428.0)</f>
        <v>428</v>
      </c>
      <c r="D2713" s="3">
        <f>IFERROR(__xludf.DUMMYFUNCTION("""COMPUTED_VALUE"""),98.0)</f>
        <v>98</v>
      </c>
      <c r="E2713" s="2"/>
      <c r="F2713" s="2"/>
    </row>
    <row r="2714">
      <c r="A2714" s="2">
        <f>IFERROR(__xludf.DUMMYFUNCTION("""COMPUTED_VALUE"""),87849.0)</f>
        <v>87849</v>
      </c>
      <c r="B2714" s="2">
        <f>IFERROR(__xludf.DUMMYFUNCTION("""COMPUTED_VALUE"""),1.0)</f>
        <v>1</v>
      </c>
      <c r="C2714" s="2">
        <f>IFERROR(__xludf.DUMMYFUNCTION("""COMPUTED_VALUE"""),804.0)</f>
        <v>804</v>
      </c>
      <c r="D2714" s="3">
        <f>IFERROR(__xludf.DUMMYFUNCTION("""COMPUTED_VALUE"""),722.0)</f>
        <v>722</v>
      </c>
      <c r="E2714" s="2"/>
      <c r="F2714" s="2"/>
    </row>
    <row r="2715">
      <c r="A2715" s="2">
        <f>IFERROR(__xludf.DUMMYFUNCTION("""COMPUTED_VALUE"""),81094.0)</f>
        <v>81094</v>
      </c>
      <c r="B2715" s="2">
        <f>IFERROR(__xludf.DUMMYFUNCTION("""COMPUTED_VALUE"""),0.0)</f>
        <v>0</v>
      </c>
      <c r="C2715" s="2">
        <f>IFERROR(__xludf.DUMMYFUNCTION("""COMPUTED_VALUE"""),85.0)</f>
        <v>85</v>
      </c>
      <c r="D2715" s="3">
        <f>IFERROR(__xludf.DUMMYFUNCTION("""COMPUTED_VALUE"""),76.0)</f>
        <v>76</v>
      </c>
      <c r="E2715" s="2"/>
      <c r="F2715" s="2"/>
    </row>
    <row r="2716">
      <c r="A2716" s="2">
        <f>IFERROR(__xludf.DUMMYFUNCTION("""COMPUTED_VALUE"""),202726.0)</f>
        <v>202726</v>
      </c>
      <c r="B2716" s="2">
        <f>IFERROR(__xludf.DUMMYFUNCTION("""COMPUTED_VALUE"""),0.0)</f>
        <v>0</v>
      </c>
      <c r="C2716" s="2">
        <f>IFERROR(__xludf.DUMMYFUNCTION("""COMPUTED_VALUE"""),374.0)</f>
        <v>374</v>
      </c>
      <c r="D2716" s="3">
        <f>IFERROR(__xludf.DUMMYFUNCTION("""COMPUTED_VALUE"""),4.0)</f>
        <v>4</v>
      </c>
      <c r="E2716" s="2"/>
      <c r="F2716" s="2"/>
    </row>
    <row r="2717">
      <c r="A2717" s="2">
        <f>IFERROR(__xludf.DUMMYFUNCTION("""COMPUTED_VALUE"""),101516.0)</f>
        <v>101516</v>
      </c>
      <c r="B2717" s="2">
        <f>IFERROR(__xludf.DUMMYFUNCTION("""COMPUTED_VALUE"""),1.0)</f>
        <v>1</v>
      </c>
      <c r="C2717" s="2">
        <f>IFERROR(__xludf.DUMMYFUNCTION("""COMPUTED_VALUE"""),594.0)</f>
        <v>594</v>
      </c>
      <c r="D2717" s="3">
        <f>IFERROR(__xludf.DUMMYFUNCTION("""COMPUTED_VALUE"""),296.0)</f>
        <v>296</v>
      </c>
      <c r="E2717" s="2"/>
      <c r="F2717" s="2"/>
    </row>
    <row r="2718">
      <c r="A2718" s="2">
        <f>IFERROR(__xludf.DUMMYFUNCTION("""COMPUTED_VALUE"""),84332.0)</f>
        <v>84332</v>
      </c>
      <c r="B2718" s="2">
        <f>IFERROR(__xludf.DUMMYFUNCTION("""COMPUTED_VALUE"""),0.0)</f>
        <v>0</v>
      </c>
      <c r="C2718" s="2">
        <f>IFERROR(__xludf.DUMMYFUNCTION("""COMPUTED_VALUE"""),337.0)</f>
        <v>337</v>
      </c>
      <c r="D2718" s="3">
        <f>IFERROR(__xludf.DUMMYFUNCTION("""COMPUTED_VALUE"""),39.0)</f>
        <v>39</v>
      </c>
      <c r="E2718" s="2"/>
      <c r="F2718" s="2"/>
    </row>
    <row r="2719">
      <c r="A2719" s="2">
        <f>IFERROR(__xludf.DUMMYFUNCTION("""COMPUTED_VALUE"""),16959.0)</f>
        <v>16959</v>
      </c>
      <c r="B2719" s="2">
        <f>IFERROR(__xludf.DUMMYFUNCTION("""COMPUTED_VALUE"""),1.0)</f>
        <v>1</v>
      </c>
      <c r="C2719" s="2">
        <f>IFERROR(__xludf.DUMMYFUNCTION("""COMPUTED_VALUE"""),410.0)</f>
        <v>410</v>
      </c>
      <c r="D2719" s="3">
        <f>IFERROR(__xludf.DUMMYFUNCTION("""COMPUTED_VALUE"""),18.0)</f>
        <v>18</v>
      </c>
      <c r="E2719" s="2"/>
      <c r="F2719" s="2"/>
    </row>
    <row r="2720">
      <c r="A2720" s="2">
        <f>IFERROR(__xludf.DUMMYFUNCTION("""COMPUTED_VALUE"""),87762.0)</f>
        <v>87762</v>
      </c>
      <c r="B2720" s="2">
        <f>IFERROR(__xludf.DUMMYFUNCTION("""COMPUTED_VALUE"""),1.0)</f>
        <v>1</v>
      </c>
      <c r="C2720" s="2">
        <f>IFERROR(__xludf.DUMMYFUNCTION("""COMPUTED_VALUE"""),776.0)</f>
        <v>776</v>
      </c>
      <c r="D2720" s="3">
        <f>IFERROR(__xludf.DUMMYFUNCTION("""COMPUTED_VALUE"""),159.0)</f>
        <v>159</v>
      </c>
      <c r="E2720" s="2"/>
      <c r="F2720" s="2"/>
    </row>
    <row r="2721">
      <c r="A2721" s="2">
        <f>IFERROR(__xludf.DUMMYFUNCTION("""COMPUTED_VALUE"""),16952.0)</f>
        <v>16952</v>
      </c>
      <c r="B2721" s="2">
        <f>IFERROR(__xludf.DUMMYFUNCTION("""COMPUTED_VALUE"""),1.0)</f>
        <v>1</v>
      </c>
      <c r="C2721" s="2">
        <f>IFERROR(__xludf.DUMMYFUNCTION("""COMPUTED_VALUE"""),117.0)</f>
        <v>117</v>
      </c>
      <c r="D2721" s="3">
        <f>IFERROR(__xludf.DUMMYFUNCTION("""COMPUTED_VALUE"""),3.0)</f>
        <v>3</v>
      </c>
      <c r="E2721" s="2"/>
      <c r="F2721" s="2"/>
    </row>
    <row r="2722">
      <c r="A2722" s="2">
        <f>IFERROR(__xludf.DUMMYFUNCTION("""COMPUTED_VALUE"""),16958.0)</f>
        <v>16958</v>
      </c>
      <c r="B2722" s="2">
        <f>IFERROR(__xludf.DUMMYFUNCTION("""COMPUTED_VALUE"""),1.0)</f>
        <v>1</v>
      </c>
      <c r="C2722" s="2">
        <f>IFERROR(__xludf.DUMMYFUNCTION("""COMPUTED_VALUE"""),217.0)</f>
        <v>217</v>
      </c>
      <c r="D2722" s="3">
        <f>IFERROR(__xludf.DUMMYFUNCTION("""COMPUTED_VALUE"""),143.0)</f>
        <v>143</v>
      </c>
      <c r="E2722" s="2"/>
      <c r="F2722" s="2"/>
    </row>
    <row r="2723">
      <c r="A2723" s="2">
        <f>IFERROR(__xludf.DUMMYFUNCTION("""COMPUTED_VALUE"""),16950.0)</f>
        <v>16950</v>
      </c>
      <c r="B2723" s="2">
        <f>IFERROR(__xludf.DUMMYFUNCTION("""COMPUTED_VALUE"""),0.0)</f>
        <v>0</v>
      </c>
      <c r="C2723" s="2">
        <f>IFERROR(__xludf.DUMMYFUNCTION("""COMPUTED_VALUE"""),143.0)</f>
        <v>143</v>
      </c>
      <c r="D2723" s="3">
        <f>IFERROR(__xludf.DUMMYFUNCTION("""COMPUTED_VALUE"""),131.0)</f>
        <v>131</v>
      </c>
      <c r="E2723" s="2"/>
      <c r="F2723" s="2"/>
    </row>
    <row r="2724">
      <c r="A2724" s="2">
        <f>IFERROR(__xludf.DUMMYFUNCTION("""COMPUTED_VALUE"""),102266.0)</f>
        <v>102266</v>
      </c>
      <c r="B2724" s="2">
        <f>IFERROR(__xludf.DUMMYFUNCTION("""COMPUTED_VALUE"""),1.0)</f>
        <v>1</v>
      </c>
      <c r="C2724" s="2">
        <f>IFERROR(__xludf.DUMMYFUNCTION("""COMPUTED_VALUE"""),505.0)</f>
        <v>505</v>
      </c>
      <c r="D2724" s="3">
        <f>IFERROR(__xludf.DUMMYFUNCTION("""COMPUTED_VALUE"""),419.0)</f>
        <v>419</v>
      </c>
      <c r="E2724" s="2"/>
      <c r="F2724" s="2"/>
    </row>
    <row r="2725">
      <c r="A2725" s="2">
        <f>IFERROR(__xludf.DUMMYFUNCTION("""COMPUTED_VALUE"""),202746.0)</f>
        <v>202746</v>
      </c>
      <c r="B2725" s="2">
        <f>IFERROR(__xludf.DUMMYFUNCTION("""COMPUTED_VALUE"""),0.0)</f>
        <v>0</v>
      </c>
      <c r="C2725" s="2">
        <f>IFERROR(__xludf.DUMMYFUNCTION("""COMPUTED_VALUE"""),496.0)</f>
        <v>496</v>
      </c>
      <c r="D2725" s="3">
        <f>IFERROR(__xludf.DUMMYFUNCTION("""COMPUTED_VALUE"""),482.0)</f>
        <v>482</v>
      </c>
      <c r="E2725" s="2"/>
      <c r="F2725" s="2"/>
    </row>
    <row r="2726">
      <c r="A2726" s="2">
        <f>IFERROR(__xludf.DUMMYFUNCTION("""COMPUTED_VALUE"""),101519.0)</f>
        <v>101519</v>
      </c>
      <c r="B2726" s="2">
        <f>IFERROR(__xludf.DUMMYFUNCTION("""COMPUTED_VALUE"""),1.0)</f>
        <v>1</v>
      </c>
      <c r="C2726" s="2">
        <f>IFERROR(__xludf.DUMMYFUNCTION("""COMPUTED_VALUE"""),600.0)</f>
        <v>600</v>
      </c>
      <c r="D2726" s="3">
        <f>IFERROR(__xludf.DUMMYFUNCTION("""COMPUTED_VALUE"""),504.0)</f>
        <v>504</v>
      </c>
      <c r="E2726" s="2"/>
      <c r="F2726" s="2"/>
    </row>
    <row r="2727">
      <c r="A2727" s="2">
        <f>IFERROR(__xludf.DUMMYFUNCTION("""COMPUTED_VALUE"""),81688.0)</f>
        <v>81688</v>
      </c>
      <c r="B2727" s="2">
        <f>IFERROR(__xludf.DUMMYFUNCTION("""COMPUTED_VALUE"""),1.0)</f>
        <v>1</v>
      </c>
      <c r="C2727" s="2">
        <f>IFERROR(__xludf.DUMMYFUNCTION("""COMPUTED_VALUE"""),539.0)</f>
        <v>539</v>
      </c>
      <c r="D2727" s="3">
        <f>IFERROR(__xludf.DUMMYFUNCTION("""COMPUTED_VALUE"""),307.0)</f>
        <v>307</v>
      </c>
      <c r="E2727" s="2"/>
      <c r="F2727" s="2"/>
    </row>
    <row r="2728">
      <c r="A2728" s="2">
        <f>IFERROR(__xludf.DUMMYFUNCTION("""COMPUTED_VALUE"""),120365.0)</f>
        <v>120365</v>
      </c>
      <c r="B2728" s="2">
        <f>IFERROR(__xludf.DUMMYFUNCTION("""COMPUTED_VALUE"""),1.0)</f>
        <v>1</v>
      </c>
      <c r="C2728" s="2">
        <f>IFERROR(__xludf.DUMMYFUNCTION("""COMPUTED_VALUE"""),279.0)</f>
        <v>279</v>
      </c>
      <c r="D2728" s="3">
        <f>IFERROR(__xludf.DUMMYFUNCTION("""COMPUTED_VALUE"""),141.0)</f>
        <v>141</v>
      </c>
      <c r="E2728" s="2"/>
      <c r="F2728" s="2"/>
    </row>
    <row r="2729">
      <c r="A2729" s="2">
        <f>IFERROR(__xludf.DUMMYFUNCTION("""COMPUTED_VALUE"""),3438.0)</f>
        <v>3438</v>
      </c>
      <c r="B2729" s="2">
        <f>IFERROR(__xludf.DUMMYFUNCTION("""COMPUTED_VALUE"""),1.0)</f>
        <v>1</v>
      </c>
      <c r="C2729" s="2">
        <f>IFERROR(__xludf.DUMMYFUNCTION("""COMPUTED_VALUE"""),724.0)</f>
        <v>724</v>
      </c>
      <c r="D2729" s="3">
        <f>IFERROR(__xludf.DUMMYFUNCTION("""COMPUTED_VALUE"""),668.0)</f>
        <v>668</v>
      </c>
      <c r="E2729" s="2"/>
      <c r="F2729" s="2"/>
    </row>
    <row r="2730">
      <c r="A2730" s="2">
        <f>IFERROR(__xludf.DUMMYFUNCTION("""COMPUTED_VALUE"""),102262.0)</f>
        <v>102262</v>
      </c>
      <c r="B2730" s="2">
        <f>IFERROR(__xludf.DUMMYFUNCTION("""COMPUTED_VALUE"""),1.0)</f>
        <v>1</v>
      </c>
      <c r="C2730" s="2">
        <f>IFERROR(__xludf.DUMMYFUNCTION("""COMPUTED_VALUE"""),252.0)</f>
        <v>252</v>
      </c>
      <c r="D2730" s="3">
        <f>IFERROR(__xludf.DUMMYFUNCTION("""COMPUTED_VALUE"""),101.0)</f>
        <v>101</v>
      </c>
      <c r="E2730" s="2"/>
      <c r="F2730" s="2"/>
    </row>
    <row r="2731">
      <c r="A2731" s="2">
        <f>IFERROR(__xludf.DUMMYFUNCTION("""COMPUTED_VALUE"""),87764.0)</f>
        <v>87764</v>
      </c>
      <c r="B2731" s="2">
        <f>IFERROR(__xludf.DUMMYFUNCTION("""COMPUTED_VALUE"""),0.0)</f>
        <v>0</v>
      </c>
      <c r="C2731" s="2">
        <f>IFERROR(__xludf.DUMMYFUNCTION("""COMPUTED_VALUE"""),618.0)</f>
        <v>618</v>
      </c>
      <c r="D2731" s="3">
        <f>IFERROR(__xludf.DUMMYFUNCTION("""COMPUTED_VALUE"""),280.0)</f>
        <v>280</v>
      </c>
      <c r="E2731" s="2"/>
      <c r="F2731" s="2"/>
    </row>
    <row r="2732">
      <c r="A2732" s="2">
        <f>IFERROR(__xludf.DUMMYFUNCTION("""COMPUTED_VALUE"""),3437.0)</f>
        <v>3437</v>
      </c>
      <c r="B2732" s="2">
        <f>IFERROR(__xludf.DUMMYFUNCTION("""COMPUTED_VALUE"""),0.0)</f>
        <v>0</v>
      </c>
      <c r="C2732" s="2">
        <f>IFERROR(__xludf.DUMMYFUNCTION("""COMPUTED_VALUE"""),867.0)</f>
        <v>867</v>
      </c>
      <c r="D2732" s="3">
        <f>IFERROR(__xludf.DUMMYFUNCTION("""COMPUTED_VALUE"""),674.0)</f>
        <v>674</v>
      </c>
      <c r="E2732" s="2"/>
      <c r="F2732" s="2"/>
    </row>
    <row r="2733">
      <c r="A2733" s="2">
        <f>IFERROR(__xludf.DUMMYFUNCTION("""COMPUTED_VALUE"""),111017.0)</f>
        <v>111017</v>
      </c>
      <c r="B2733" s="2">
        <f>IFERROR(__xludf.DUMMYFUNCTION("""COMPUTED_VALUE"""),1.0)</f>
        <v>1</v>
      </c>
      <c r="C2733" s="2">
        <f>IFERROR(__xludf.DUMMYFUNCTION("""COMPUTED_VALUE"""),139.0)</f>
        <v>139</v>
      </c>
      <c r="D2733" s="3">
        <f>IFERROR(__xludf.DUMMYFUNCTION("""COMPUTED_VALUE"""),110.0)</f>
        <v>110</v>
      </c>
      <c r="E2733" s="2"/>
      <c r="F2733" s="2"/>
    </row>
    <row r="2734">
      <c r="A2734" s="2">
        <f>IFERROR(__xludf.DUMMYFUNCTION("""COMPUTED_VALUE"""),102264.0)</f>
        <v>102264</v>
      </c>
      <c r="B2734" s="2">
        <f>IFERROR(__xludf.DUMMYFUNCTION("""COMPUTED_VALUE"""),1.0)</f>
        <v>1</v>
      </c>
      <c r="C2734" s="2">
        <f>IFERROR(__xludf.DUMMYFUNCTION("""COMPUTED_VALUE"""),802.0)</f>
        <v>802</v>
      </c>
      <c r="D2734" s="3">
        <f>IFERROR(__xludf.DUMMYFUNCTION("""COMPUTED_VALUE"""),163.0)</f>
        <v>163</v>
      </c>
      <c r="E2734" s="2"/>
      <c r="F2734" s="2"/>
    </row>
    <row r="2735">
      <c r="A2735" s="2">
        <f>IFERROR(__xludf.DUMMYFUNCTION("""COMPUTED_VALUE"""),18088.0)</f>
        <v>18088</v>
      </c>
      <c r="B2735" s="2">
        <f>IFERROR(__xludf.DUMMYFUNCTION("""COMPUTED_VALUE"""),1.0)</f>
        <v>1</v>
      </c>
      <c r="C2735" s="2">
        <f>IFERROR(__xludf.DUMMYFUNCTION("""COMPUTED_VALUE"""),259.0)</f>
        <v>259</v>
      </c>
      <c r="D2735" s="3">
        <f>IFERROR(__xludf.DUMMYFUNCTION("""COMPUTED_VALUE"""),1.0)</f>
        <v>1</v>
      </c>
      <c r="E2735" s="2"/>
      <c r="F2735" s="2"/>
    </row>
    <row r="2736">
      <c r="A2736" s="2">
        <f>IFERROR(__xludf.DUMMYFUNCTION("""COMPUTED_VALUE"""),87836.0)</f>
        <v>87836</v>
      </c>
      <c r="B2736" s="2">
        <f>IFERROR(__xludf.DUMMYFUNCTION("""COMPUTED_VALUE"""),1.0)</f>
        <v>1</v>
      </c>
      <c r="C2736" s="2">
        <f>IFERROR(__xludf.DUMMYFUNCTION("""COMPUTED_VALUE"""),827.0)</f>
        <v>827</v>
      </c>
      <c r="D2736" s="3">
        <f>IFERROR(__xludf.DUMMYFUNCTION("""COMPUTED_VALUE"""),808.0)</f>
        <v>808</v>
      </c>
      <c r="E2736" s="2"/>
      <c r="F2736" s="2"/>
    </row>
    <row r="2737">
      <c r="A2737" s="2">
        <f>IFERROR(__xludf.DUMMYFUNCTION("""COMPUTED_VALUE"""),87804.0)</f>
        <v>87804</v>
      </c>
      <c r="B2737" s="2">
        <f>IFERROR(__xludf.DUMMYFUNCTION("""COMPUTED_VALUE"""),0.0)</f>
        <v>0</v>
      </c>
      <c r="C2737" s="2">
        <f>IFERROR(__xludf.DUMMYFUNCTION("""COMPUTED_VALUE"""),719.0)</f>
        <v>719</v>
      </c>
      <c r="D2737" s="3">
        <f>IFERROR(__xludf.DUMMYFUNCTION("""COMPUTED_VALUE"""),157.0)</f>
        <v>157</v>
      </c>
      <c r="E2737" s="2"/>
      <c r="F2737" s="2"/>
    </row>
    <row r="2738">
      <c r="A2738" s="2">
        <f>IFERROR(__xludf.DUMMYFUNCTION("""COMPUTED_VALUE"""),108207.0)</f>
        <v>108207</v>
      </c>
      <c r="B2738" s="2">
        <f>IFERROR(__xludf.DUMMYFUNCTION("""COMPUTED_VALUE"""),1.0)</f>
        <v>1</v>
      </c>
      <c r="C2738" s="2">
        <f>IFERROR(__xludf.DUMMYFUNCTION("""COMPUTED_VALUE"""),533.0)</f>
        <v>533</v>
      </c>
      <c r="D2738" s="3">
        <f>IFERROR(__xludf.DUMMYFUNCTION("""COMPUTED_VALUE"""),209.0)</f>
        <v>209</v>
      </c>
      <c r="E2738" s="2"/>
      <c r="F2738" s="2"/>
    </row>
    <row r="2739">
      <c r="A2739" s="2">
        <f>IFERROR(__xludf.DUMMYFUNCTION("""COMPUTED_VALUE"""),111043.0)</f>
        <v>111043</v>
      </c>
      <c r="B2739" s="2">
        <f>IFERROR(__xludf.DUMMYFUNCTION("""COMPUTED_VALUE"""),0.0)</f>
        <v>0</v>
      </c>
      <c r="C2739" s="2">
        <f>IFERROR(__xludf.DUMMYFUNCTION("""COMPUTED_VALUE"""),241.0)</f>
        <v>241</v>
      </c>
      <c r="D2739" s="3">
        <f>IFERROR(__xludf.DUMMYFUNCTION("""COMPUTED_VALUE"""),226.0)</f>
        <v>226</v>
      </c>
      <c r="E2739" s="2"/>
      <c r="F2739" s="2"/>
    </row>
    <row r="2740">
      <c r="A2740" s="2">
        <f>IFERROR(__xludf.DUMMYFUNCTION("""COMPUTED_VALUE"""),100223.0)</f>
        <v>100223</v>
      </c>
      <c r="B2740" s="2">
        <f>IFERROR(__xludf.DUMMYFUNCTION("""COMPUTED_VALUE"""),0.0)</f>
        <v>0</v>
      </c>
      <c r="C2740" s="2">
        <f>IFERROR(__xludf.DUMMYFUNCTION("""COMPUTED_VALUE"""),419.0)</f>
        <v>419</v>
      </c>
      <c r="D2740" s="3">
        <f>IFERROR(__xludf.DUMMYFUNCTION("""COMPUTED_VALUE"""),230.0)</f>
        <v>230</v>
      </c>
      <c r="E2740" s="2"/>
      <c r="F2740" s="2"/>
    </row>
    <row r="2741">
      <c r="A2741" s="2">
        <f>IFERROR(__xludf.DUMMYFUNCTION("""COMPUTED_VALUE"""),92161.0)</f>
        <v>92161</v>
      </c>
      <c r="B2741" s="2">
        <f>IFERROR(__xludf.DUMMYFUNCTION("""COMPUTED_VALUE"""),0.0)</f>
        <v>0</v>
      </c>
      <c r="C2741" s="2">
        <f>IFERROR(__xludf.DUMMYFUNCTION("""COMPUTED_VALUE"""),571.0)</f>
        <v>571</v>
      </c>
      <c r="D2741" s="3">
        <f>IFERROR(__xludf.DUMMYFUNCTION("""COMPUTED_VALUE"""),515.0)</f>
        <v>515</v>
      </c>
      <c r="E2741" s="2"/>
      <c r="F2741" s="2"/>
    </row>
    <row r="2742">
      <c r="A2742" s="2">
        <f>IFERROR(__xludf.DUMMYFUNCTION("""COMPUTED_VALUE"""),113405.0)</f>
        <v>113405</v>
      </c>
      <c r="B2742" s="2">
        <f>IFERROR(__xludf.DUMMYFUNCTION("""COMPUTED_VALUE"""),0.0)</f>
        <v>0</v>
      </c>
      <c r="C2742" s="2">
        <f>IFERROR(__xludf.DUMMYFUNCTION("""COMPUTED_VALUE"""),128.0)</f>
        <v>128</v>
      </c>
      <c r="D2742" s="3">
        <f>IFERROR(__xludf.DUMMYFUNCTION("""COMPUTED_VALUE"""),118.0)</f>
        <v>118</v>
      </c>
      <c r="E2742" s="2"/>
      <c r="F2742" s="2"/>
    </row>
    <row r="2743">
      <c r="A2743" s="2">
        <f>IFERROR(__xludf.DUMMYFUNCTION("""COMPUTED_VALUE"""),120817.0)</f>
        <v>120817</v>
      </c>
      <c r="B2743" s="2">
        <f>IFERROR(__xludf.DUMMYFUNCTION("""COMPUTED_VALUE"""),0.0)</f>
        <v>0</v>
      </c>
      <c r="C2743" s="2">
        <f>IFERROR(__xludf.DUMMYFUNCTION("""COMPUTED_VALUE"""),454.0)</f>
        <v>454</v>
      </c>
      <c r="D2743" s="3">
        <f>IFERROR(__xludf.DUMMYFUNCTION("""COMPUTED_VALUE"""),110.0)</f>
        <v>110</v>
      </c>
      <c r="E2743" s="2"/>
      <c r="F2743" s="2"/>
    </row>
    <row r="2744">
      <c r="A2744" s="2">
        <f>IFERROR(__xludf.DUMMYFUNCTION("""COMPUTED_VALUE"""),14520.0)</f>
        <v>14520</v>
      </c>
      <c r="B2744" s="2">
        <f>IFERROR(__xludf.DUMMYFUNCTION("""COMPUTED_VALUE"""),0.0)</f>
        <v>0</v>
      </c>
      <c r="C2744" s="2">
        <f>IFERROR(__xludf.DUMMYFUNCTION("""COMPUTED_VALUE"""),225.0)</f>
        <v>225</v>
      </c>
      <c r="D2744" s="3">
        <f>IFERROR(__xludf.DUMMYFUNCTION("""COMPUTED_VALUE"""),145.0)</f>
        <v>145</v>
      </c>
      <c r="E2744" s="2"/>
      <c r="F2744" s="2"/>
    </row>
    <row r="2745">
      <c r="A2745" s="2">
        <f>IFERROR(__xludf.DUMMYFUNCTION("""COMPUTED_VALUE"""),104928.0)</f>
        <v>104928</v>
      </c>
      <c r="B2745" s="2">
        <f>IFERROR(__xludf.DUMMYFUNCTION("""COMPUTED_VALUE"""),1.0)</f>
        <v>1</v>
      </c>
      <c r="C2745" s="2">
        <f>IFERROR(__xludf.DUMMYFUNCTION("""COMPUTED_VALUE"""),-7.0)</f>
        <v>-7</v>
      </c>
      <c r="D2745" s="3">
        <f>IFERROR(__xludf.DUMMYFUNCTION("""COMPUTED_VALUE"""),-7.0)</f>
        <v>-7</v>
      </c>
      <c r="E2745" s="2"/>
      <c r="F2745" s="2"/>
    </row>
    <row r="2746">
      <c r="A2746" s="2">
        <f>IFERROR(__xludf.DUMMYFUNCTION("""COMPUTED_VALUE"""),14517.0)</f>
        <v>14517</v>
      </c>
      <c r="B2746" s="2">
        <f>IFERROR(__xludf.DUMMYFUNCTION("""COMPUTED_VALUE"""),0.0)</f>
        <v>0</v>
      </c>
      <c r="C2746" s="2">
        <f>IFERROR(__xludf.DUMMYFUNCTION("""COMPUTED_VALUE"""),657.0)</f>
        <v>657</v>
      </c>
      <c r="D2746" s="3">
        <f>IFERROR(__xludf.DUMMYFUNCTION("""COMPUTED_VALUE"""),497.0)</f>
        <v>497</v>
      </c>
      <c r="E2746" s="2"/>
      <c r="F2746" s="2"/>
    </row>
    <row r="2747">
      <c r="A2747" s="2">
        <f>IFERROR(__xludf.DUMMYFUNCTION("""COMPUTED_VALUE"""),122563.0)</f>
        <v>122563</v>
      </c>
      <c r="B2747" s="2">
        <f>IFERROR(__xludf.DUMMYFUNCTION("""COMPUTED_VALUE"""),0.0)</f>
        <v>0</v>
      </c>
      <c r="C2747" s="2">
        <f>IFERROR(__xludf.DUMMYFUNCTION("""COMPUTED_VALUE"""),897.0)</f>
        <v>897</v>
      </c>
      <c r="D2747" s="3">
        <f>IFERROR(__xludf.DUMMYFUNCTION("""COMPUTED_VALUE"""),866.0)</f>
        <v>866</v>
      </c>
      <c r="E2747" s="2"/>
      <c r="F2747" s="2"/>
    </row>
    <row r="2748">
      <c r="A2748" s="2">
        <f>IFERROR(__xludf.DUMMYFUNCTION("""COMPUTED_VALUE"""),96404.0)</f>
        <v>96404</v>
      </c>
      <c r="B2748" s="2">
        <f>IFERROR(__xludf.DUMMYFUNCTION("""COMPUTED_VALUE"""),1.0)</f>
        <v>1</v>
      </c>
      <c r="C2748" s="2">
        <f>IFERROR(__xludf.DUMMYFUNCTION("""COMPUTED_VALUE"""),631.0)</f>
        <v>631</v>
      </c>
      <c r="D2748" s="3">
        <f>IFERROR(__xludf.DUMMYFUNCTION("""COMPUTED_VALUE"""),322.0)</f>
        <v>322</v>
      </c>
      <c r="E2748" s="2"/>
      <c r="F2748" s="2"/>
    </row>
    <row r="2749">
      <c r="A2749" s="2">
        <f>IFERROR(__xludf.DUMMYFUNCTION("""COMPUTED_VALUE"""),121469.0)</f>
        <v>121469</v>
      </c>
      <c r="B2749" s="2">
        <f>IFERROR(__xludf.DUMMYFUNCTION("""COMPUTED_VALUE"""),1.0)</f>
        <v>1</v>
      </c>
      <c r="C2749" s="2">
        <f>IFERROR(__xludf.DUMMYFUNCTION("""COMPUTED_VALUE"""),457.0)</f>
        <v>457</v>
      </c>
      <c r="D2749" s="3">
        <f>IFERROR(__xludf.DUMMYFUNCTION("""COMPUTED_VALUE"""),258.0)</f>
        <v>258</v>
      </c>
      <c r="E2749" s="2"/>
      <c r="F2749" s="2"/>
    </row>
    <row r="2750">
      <c r="A2750" s="2">
        <f>IFERROR(__xludf.DUMMYFUNCTION("""COMPUTED_VALUE"""),122579.0)</f>
        <v>122579</v>
      </c>
      <c r="B2750" s="2">
        <f>IFERROR(__xludf.DUMMYFUNCTION("""COMPUTED_VALUE"""),1.0)</f>
        <v>1</v>
      </c>
      <c r="C2750" s="2">
        <f>IFERROR(__xludf.DUMMYFUNCTION("""COMPUTED_VALUE"""),409.0)</f>
        <v>409</v>
      </c>
      <c r="D2750" s="3">
        <f>IFERROR(__xludf.DUMMYFUNCTION("""COMPUTED_VALUE"""),354.0)</f>
        <v>354</v>
      </c>
      <c r="E2750" s="2"/>
      <c r="F2750" s="2"/>
    </row>
    <row r="2751">
      <c r="A2751" s="2">
        <f>IFERROR(__xludf.DUMMYFUNCTION("""COMPUTED_VALUE"""),113407.0)</f>
        <v>113407</v>
      </c>
      <c r="B2751" s="2">
        <f>IFERROR(__xludf.DUMMYFUNCTION("""COMPUTED_VALUE"""),0.0)</f>
        <v>0</v>
      </c>
      <c r="C2751" s="2">
        <f>IFERROR(__xludf.DUMMYFUNCTION("""COMPUTED_VALUE"""),199.0)</f>
        <v>199</v>
      </c>
      <c r="D2751" s="3">
        <f>IFERROR(__xludf.DUMMYFUNCTION("""COMPUTED_VALUE"""),110.0)</f>
        <v>110</v>
      </c>
      <c r="E2751" s="2"/>
      <c r="F2751" s="2"/>
    </row>
    <row r="2752">
      <c r="A2752" s="2">
        <f>IFERROR(__xludf.DUMMYFUNCTION("""COMPUTED_VALUE"""),91995.0)</f>
        <v>91995</v>
      </c>
      <c r="B2752" s="2">
        <f>IFERROR(__xludf.DUMMYFUNCTION("""COMPUTED_VALUE"""),0.0)</f>
        <v>0</v>
      </c>
      <c r="C2752" s="2">
        <f>IFERROR(__xludf.DUMMYFUNCTION("""COMPUTED_VALUE"""),397.0)</f>
        <v>397</v>
      </c>
      <c r="D2752" s="3">
        <f>IFERROR(__xludf.DUMMYFUNCTION("""COMPUTED_VALUE"""),234.0)</f>
        <v>234</v>
      </c>
      <c r="E2752" s="2"/>
      <c r="F2752" s="2"/>
    </row>
    <row r="2753">
      <c r="A2753" s="2">
        <f>IFERROR(__xludf.DUMMYFUNCTION("""COMPUTED_VALUE"""),81178.0)</f>
        <v>81178</v>
      </c>
      <c r="B2753" s="2">
        <f>IFERROR(__xludf.DUMMYFUNCTION("""COMPUTED_VALUE"""),1.0)</f>
        <v>1</v>
      </c>
      <c r="C2753" s="2">
        <f>IFERROR(__xludf.DUMMYFUNCTION("""COMPUTED_VALUE"""),14.0)</f>
        <v>14</v>
      </c>
      <c r="D2753" s="3">
        <f>IFERROR(__xludf.DUMMYFUNCTION("""COMPUTED_VALUE"""),11.0)</f>
        <v>11</v>
      </c>
      <c r="E2753" s="2"/>
      <c r="F2753" s="2"/>
    </row>
    <row r="2754">
      <c r="A2754" s="2">
        <f>IFERROR(__xludf.DUMMYFUNCTION("""COMPUTED_VALUE"""),12918.0)</f>
        <v>12918</v>
      </c>
      <c r="B2754" s="2">
        <f>IFERROR(__xludf.DUMMYFUNCTION("""COMPUTED_VALUE"""),0.0)</f>
        <v>0</v>
      </c>
      <c r="C2754" s="2">
        <f>IFERROR(__xludf.DUMMYFUNCTION("""COMPUTED_VALUE"""),248.0)</f>
        <v>248</v>
      </c>
      <c r="D2754" s="3">
        <f>IFERROR(__xludf.DUMMYFUNCTION("""COMPUTED_VALUE"""),209.0)</f>
        <v>209</v>
      </c>
      <c r="E2754" s="2"/>
      <c r="F2754" s="2"/>
    </row>
    <row r="2755">
      <c r="A2755" s="2">
        <f>IFERROR(__xludf.DUMMYFUNCTION("""COMPUTED_VALUE"""),122411.0)</f>
        <v>122411</v>
      </c>
      <c r="B2755" s="2">
        <f>IFERROR(__xludf.DUMMYFUNCTION("""COMPUTED_VALUE"""),1.0)</f>
        <v>1</v>
      </c>
      <c r="C2755" s="2">
        <f>IFERROR(__xludf.DUMMYFUNCTION("""COMPUTED_VALUE"""),271.0)</f>
        <v>271</v>
      </c>
      <c r="D2755" s="3">
        <f>IFERROR(__xludf.DUMMYFUNCTION("""COMPUTED_VALUE"""),245.0)</f>
        <v>245</v>
      </c>
      <c r="E2755" s="2"/>
      <c r="F2755" s="2"/>
    </row>
    <row r="2756">
      <c r="A2756" s="2">
        <f>IFERROR(__xludf.DUMMYFUNCTION("""COMPUTED_VALUE"""),81194.0)</f>
        <v>81194</v>
      </c>
      <c r="B2756" s="2">
        <f>IFERROR(__xludf.DUMMYFUNCTION("""COMPUTED_VALUE"""),0.0)</f>
        <v>0</v>
      </c>
      <c r="C2756" s="2">
        <f>IFERROR(__xludf.DUMMYFUNCTION("""COMPUTED_VALUE"""),303.0)</f>
        <v>303</v>
      </c>
      <c r="D2756" s="3">
        <f>IFERROR(__xludf.DUMMYFUNCTION("""COMPUTED_VALUE"""),249.0)</f>
        <v>249</v>
      </c>
      <c r="E2756" s="2"/>
      <c r="F2756" s="2"/>
    </row>
    <row r="2757">
      <c r="A2757" s="2">
        <f>IFERROR(__xludf.DUMMYFUNCTION("""COMPUTED_VALUE"""),71876.0)</f>
        <v>71876</v>
      </c>
      <c r="B2757" s="2">
        <f>IFERROR(__xludf.DUMMYFUNCTION("""COMPUTED_VALUE"""),0.0)</f>
        <v>0</v>
      </c>
      <c r="C2757" s="2">
        <f>IFERROR(__xludf.DUMMYFUNCTION("""COMPUTED_VALUE"""),427.0)</f>
        <v>427</v>
      </c>
      <c r="D2757" s="3">
        <f>IFERROR(__xludf.DUMMYFUNCTION("""COMPUTED_VALUE"""),94.0)</f>
        <v>94</v>
      </c>
      <c r="E2757" s="2"/>
      <c r="F2757" s="2"/>
    </row>
    <row r="2758">
      <c r="A2758" s="2">
        <f>IFERROR(__xludf.DUMMYFUNCTION("""COMPUTED_VALUE"""),129493.0)</f>
        <v>129493</v>
      </c>
      <c r="B2758" s="2">
        <f>IFERROR(__xludf.DUMMYFUNCTION("""COMPUTED_VALUE"""),1.0)</f>
        <v>1</v>
      </c>
      <c r="C2758" s="2">
        <f>IFERROR(__xludf.DUMMYFUNCTION("""COMPUTED_VALUE"""),427.0)</f>
        <v>427</v>
      </c>
      <c r="D2758" s="3">
        <f>IFERROR(__xludf.DUMMYFUNCTION("""COMPUTED_VALUE"""),5.0)</f>
        <v>5</v>
      </c>
      <c r="E2758" s="2"/>
      <c r="F2758" s="2"/>
    </row>
    <row r="2759">
      <c r="A2759" s="2">
        <f>IFERROR(__xludf.DUMMYFUNCTION("""COMPUTED_VALUE"""),81190.0)</f>
        <v>81190</v>
      </c>
      <c r="B2759" s="2">
        <f>IFERROR(__xludf.DUMMYFUNCTION("""COMPUTED_VALUE"""),0.0)</f>
        <v>0</v>
      </c>
      <c r="C2759" s="2">
        <f>IFERROR(__xludf.DUMMYFUNCTION("""COMPUTED_VALUE"""),774.0)</f>
        <v>774</v>
      </c>
      <c r="D2759" s="3">
        <f>IFERROR(__xludf.DUMMYFUNCTION("""COMPUTED_VALUE"""),218.0)</f>
        <v>218</v>
      </c>
      <c r="E2759" s="2"/>
      <c r="F2759" s="2"/>
    </row>
    <row r="2760">
      <c r="A2760" s="2">
        <f>IFERROR(__xludf.DUMMYFUNCTION("""COMPUTED_VALUE"""),71875.0)</f>
        <v>71875</v>
      </c>
      <c r="B2760" s="2">
        <f>IFERROR(__xludf.DUMMYFUNCTION("""COMPUTED_VALUE"""),0.0)</f>
        <v>0</v>
      </c>
      <c r="C2760" s="2">
        <f>IFERROR(__xludf.DUMMYFUNCTION("""COMPUTED_VALUE"""),961.0)</f>
        <v>961</v>
      </c>
      <c r="D2760" s="3">
        <f>IFERROR(__xludf.DUMMYFUNCTION("""COMPUTED_VALUE"""),787.0)</f>
        <v>787</v>
      </c>
      <c r="E2760" s="2"/>
      <c r="F2760" s="2"/>
    </row>
    <row r="2761">
      <c r="A2761" s="2">
        <f>IFERROR(__xludf.DUMMYFUNCTION("""COMPUTED_VALUE"""),81198.0)</f>
        <v>81198</v>
      </c>
      <c r="B2761" s="2">
        <f>IFERROR(__xludf.DUMMYFUNCTION("""COMPUTED_VALUE"""),0.0)</f>
        <v>0</v>
      </c>
      <c r="C2761" s="2">
        <f>IFERROR(__xludf.DUMMYFUNCTION("""COMPUTED_VALUE"""),487.0)</f>
        <v>487</v>
      </c>
      <c r="D2761" s="3">
        <f>IFERROR(__xludf.DUMMYFUNCTION("""COMPUTED_VALUE"""),85.0)</f>
        <v>85</v>
      </c>
      <c r="E2761" s="2"/>
      <c r="F2761" s="2"/>
    </row>
    <row r="2762">
      <c r="A2762" s="2">
        <f>IFERROR(__xludf.DUMMYFUNCTION("""COMPUTED_VALUE"""),188723.0)</f>
        <v>188723</v>
      </c>
      <c r="B2762" s="2">
        <f>IFERROR(__xludf.DUMMYFUNCTION("""COMPUTED_VALUE"""),0.0)</f>
        <v>0</v>
      </c>
      <c r="C2762" s="2">
        <f>IFERROR(__xludf.DUMMYFUNCTION("""COMPUTED_VALUE"""),655.0)</f>
        <v>655</v>
      </c>
      <c r="D2762" s="3">
        <f>IFERROR(__xludf.DUMMYFUNCTION("""COMPUTED_VALUE"""),245.0)</f>
        <v>245</v>
      </c>
      <c r="E2762" s="2"/>
      <c r="F2762" s="2"/>
    </row>
    <row r="2763">
      <c r="A2763" s="2">
        <f>IFERROR(__xludf.DUMMYFUNCTION("""COMPUTED_VALUE"""),115053.0)</f>
        <v>115053</v>
      </c>
      <c r="B2763" s="2">
        <f>IFERROR(__xludf.DUMMYFUNCTION("""COMPUTED_VALUE"""),1.0)</f>
        <v>1</v>
      </c>
      <c r="C2763" s="2">
        <f>IFERROR(__xludf.DUMMYFUNCTION("""COMPUTED_VALUE"""),926.0)</f>
        <v>926</v>
      </c>
      <c r="D2763" s="3">
        <f>IFERROR(__xludf.DUMMYFUNCTION("""COMPUTED_VALUE"""),828.0)</f>
        <v>828</v>
      </c>
      <c r="E2763" s="2"/>
      <c r="F2763" s="2"/>
    </row>
    <row r="2764">
      <c r="A2764" s="2">
        <f>IFERROR(__xludf.DUMMYFUNCTION("""COMPUTED_VALUE"""),104609.0)</f>
        <v>104609</v>
      </c>
      <c r="B2764" s="2">
        <f>IFERROR(__xludf.DUMMYFUNCTION("""COMPUTED_VALUE"""),0.0)</f>
        <v>0</v>
      </c>
      <c r="C2764" s="2">
        <f>IFERROR(__xludf.DUMMYFUNCTION("""COMPUTED_VALUE"""),607.0)</f>
        <v>607</v>
      </c>
      <c r="D2764" s="3">
        <f>IFERROR(__xludf.DUMMYFUNCTION("""COMPUTED_VALUE"""),1.0)</f>
        <v>1</v>
      </c>
      <c r="E2764" s="2"/>
      <c r="F2764" s="2"/>
    </row>
    <row r="2765">
      <c r="A2765" s="2">
        <f>IFERROR(__xludf.DUMMYFUNCTION("""COMPUTED_VALUE"""),12916.0)</f>
        <v>12916</v>
      </c>
      <c r="B2765" s="2">
        <f>IFERROR(__xludf.DUMMYFUNCTION("""COMPUTED_VALUE"""),0.0)</f>
        <v>0</v>
      </c>
      <c r="C2765" s="2">
        <f>IFERROR(__xludf.DUMMYFUNCTION("""COMPUTED_VALUE"""),618.0)</f>
        <v>618</v>
      </c>
      <c r="D2765" s="3">
        <f>IFERROR(__xludf.DUMMYFUNCTION("""COMPUTED_VALUE"""),41.0)</f>
        <v>41</v>
      </c>
      <c r="E2765" s="2"/>
      <c r="F2765" s="2"/>
    </row>
    <row r="2766">
      <c r="A2766" s="2">
        <f>IFERROR(__xludf.DUMMYFUNCTION("""COMPUTED_VALUE"""),129488.0)</f>
        <v>129488</v>
      </c>
      <c r="B2766" s="2">
        <f>IFERROR(__xludf.DUMMYFUNCTION("""COMPUTED_VALUE"""),0.0)</f>
        <v>0</v>
      </c>
      <c r="C2766" s="2">
        <f>IFERROR(__xludf.DUMMYFUNCTION("""COMPUTED_VALUE"""),570.0)</f>
        <v>570</v>
      </c>
      <c r="D2766" s="3">
        <f>IFERROR(__xludf.DUMMYFUNCTION("""COMPUTED_VALUE"""),130.0)</f>
        <v>130</v>
      </c>
      <c r="E2766" s="2"/>
      <c r="F2766" s="2"/>
    </row>
    <row r="2767">
      <c r="A2767" s="2">
        <f>IFERROR(__xludf.DUMMYFUNCTION("""COMPUTED_VALUE"""),78566.0)</f>
        <v>78566</v>
      </c>
      <c r="B2767" s="2">
        <f>IFERROR(__xludf.DUMMYFUNCTION("""COMPUTED_VALUE"""),1.0)</f>
        <v>1</v>
      </c>
      <c r="C2767" s="2">
        <f>IFERROR(__xludf.DUMMYFUNCTION("""COMPUTED_VALUE"""),359.0)</f>
        <v>359</v>
      </c>
      <c r="D2767" s="3">
        <f>IFERROR(__xludf.DUMMYFUNCTION("""COMPUTED_VALUE"""),116.0)</f>
        <v>116</v>
      </c>
      <c r="E2767" s="2"/>
      <c r="F2767" s="2"/>
    </row>
    <row r="2768">
      <c r="A2768" s="2">
        <f>IFERROR(__xludf.DUMMYFUNCTION("""COMPUTED_VALUE"""),15090.0)</f>
        <v>15090</v>
      </c>
      <c r="B2768" s="2">
        <f>IFERROR(__xludf.DUMMYFUNCTION("""COMPUTED_VALUE"""),1.0)</f>
        <v>1</v>
      </c>
      <c r="C2768" s="2">
        <f>IFERROR(__xludf.DUMMYFUNCTION("""COMPUTED_VALUE"""),494.0)</f>
        <v>494</v>
      </c>
      <c r="D2768" s="3">
        <f>IFERROR(__xludf.DUMMYFUNCTION("""COMPUTED_VALUE"""),347.0)</f>
        <v>347</v>
      </c>
      <c r="E2768" s="2"/>
      <c r="F2768" s="2"/>
    </row>
    <row r="2769">
      <c r="A2769" s="2">
        <f>IFERROR(__xludf.DUMMYFUNCTION("""COMPUTED_VALUE"""),81209.0)</f>
        <v>81209</v>
      </c>
      <c r="B2769" s="2">
        <f>IFERROR(__xludf.DUMMYFUNCTION("""COMPUTED_VALUE"""),0.0)</f>
        <v>0</v>
      </c>
      <c r="C2769" s="2">
        <f>IFERROR(__xludf.DUMMYFUNCTION("""COMPUTED_VALUE"""),609.0)</f>
        <v>609</v>
      </c>
      <c r="D2769" s="3">
        <f>IFERROR(__xludf.DUMMYFUNCTION("""COMPUTED_VALUE"""),144.0)</f>
        <v>144</v>
      </c>
      <c r="E2769" s="2"/>
      <c r="F2769" s="2"/>
    </row>
    <row r="2770">
      <c r="A2770" s="2">
        <f>IFERROR(__xludf.DUMMYFUNCTION("""COMPUTED_VALUE"""),108141.0)</f>
        <v>108141</v>
      </c>
      <c r="B2770" s="2">
        <f>IFERROR(__xludf.DUMMYFUNCTION("""COMPUTED_VALUE"""),1.0)</f>
        <v>1</v>
      </c>
      <c r="C2770" s="2">
        <f>IFERROR(__xludf.DUMMYFUNCTION("""COMPUTED_VALUE"""),780.0)</f>
        <v>780</v>
      </c>
      <c r="D2770" s="3">
        <f>IFERROR(__xludf.DUMMYFUNCTION("""COMPUTED_VALUE"""),78.0)</f>
        <v>78</v>
      </c>
      <c r="E2770" s="2"/>
      <c r="F2770" s="2"/>
    </row>
    <row r="2771">
      <c r="A2771" s="2">
        <f>IFERROR(__xludf.DUMMYFUNCTION("""COMPUTED_VALUE"""),12914.0)</f>
        <v>12914</v>
      </c>
      <c r="B2771" s="2">
        <f>IFERROR(__xludf.DUMMYFUNCTION("""COMPUTED_VALUE"""),0.0)</f>
        <v>0</v>
      </c>
      <c r="C2771" s="2">
        <f>IFERROR(__xludf.DUMMYFUNCTION("""COMPUTED_VALUE"""),528.0)</f>
        <v>528</v>
      </c>
      <c r="D2771" s="3">
        <f>IFERROR(__xludf.DUMMYFUNCTION("""COMPUTED_VALUE"""),447.0)</f>
        <v>447</v>
      </c>
      <c r="E2771" s="2"/>
      <c r="F2771" s="2"/>
    </row>
    <row r="2772">
      <c r="A2772" s="2">
        <f>IFERROR(__xludf.DUMMYFUNCTION("""COMPUTED_VALUE"""),129492.0)</f>
        <v>129492</v>
      </c>
      <c r="B2772" s="2">
        <f>IFERROR(__xludf.DUMMYFUNCTION("""COMPUTED_VALUE"""),1.0)</f>
        <v>1</v>
      </c>
      <c r="C2772" s="2">
        <f>IFERROR(__xludf.DUMMYFUNCTION("""COMPUTED_VALUE"""),252.0)</f>
        <v>252</v>
      </c>
      <c r="D2772" s="3">
        <f>IFERROR(__xludf.DUMMYFUNCTION("""COMPUTED_VALUE"""),140.0)</f>
        <v>140</v>
      </c>
      <c r="E2772" s="2"/>
      <c r="F2772" s="2"/>
    </row>
    <row r="2773">
      <c r="A2773" s="2">
        <f>IFERROR(__xludf.DUMMYFUNCTION("""COMPUTED_VALUE"""),120473.0)</f>
        <v>120473</v>
      </c>
      <c r="B2773" s="2">
        <f>IFERROR(__xludf.DUMMYFUNCTION("""COMPUTED_VALUE"""),0.0)</f>
        <v>0</v>
      </c>
      <c r="C2773" s="2">
        <f>IFERROR(__xludf.DUMMYFUNCTION("""COMPUTED_VALUE"""),21.0)</f>
        <v>21</v>
      </c>
      <c r="D2773" s="3">
        <f>IFERROR(__xludf.DUMMYFUNCTION("""COMPUTED_VALUE"""),1.0)</f>
        <v>1</v>
      </c>
      <c r="E2773" s="2"/>
      <c r="F2773" s="2"/>
    </row>
    <row r="2774">
      <c r="A2774" s="2">
        <f>IFERROR(__xludf.DUMMYFUNCTION("""COMPUTED_VALUE"""),12924.0)</f>
        <v>12924</v>
      </c>
      <c r="B2774" s="2">
        <f>IFERROR(__xludf.DUMMYFUNCTION("""COMPUTED_VALUE"""),0.0)</f>
        <v>0</v>
      </c>
      <c r="C2774" s="2">
        <f>IFERROR(__xludf.DUMMYFUNCTION("""COMPUTED_VALUE"""),798.0)</f>
        <v>798</v>
      </c>
      <c r="D2774" s="3">
        <f>IFERROR(__xludf.DUMMYFUNCTION("""COMPUTED_VALUE"""),408.0)</f>
        <v>408</v>
      </c>
      <c r="E2774" s="2"/>
      <c r="F2774" s="2"/>
    </row>
    <row r="2775">
      <c r="A2775" s="2">
        <f>IFERROR(__xludf.DUMMYFUNCTION("""COMPUTED_VALUE"""),12920.0)</f>
        <v>12920</v>
      </c>
      <c r="B2775" s="2">
        <f>IFERROR(__xludf.DUMMYFUNCTION("""COMPUTED_VALUE"""),0.0)</f>
        <v>0</v>
      </c>
      <c r="C2775" s="2">
        <f>IFERROR(__xludf.DUMMYFUNCTION("""COMPUTED_VALUE"""),140.0)</f>
        <v>140</v>
      </c>
      <c r="D2775" s="3">
        <f>IFERROR(__xludf.DUMMYFUNCTION("""COMPUTED_VALUE"""),78.0)</f>
        <v>78</v>
      </c>
      <c r="E2775" s="2"/>
      <c r="F2775" s="2"/>
    </row>
    <row r="2776">
      <c r="A2776" s="2">
        <f>IFERROR(__xludf.DUMMYFUNCTION("""COMPUTED_VALUE"""),81200.0)</f>
        <v>81200</v>
      </c>
      <c r="B2776" s="2">
        <f>IFERROR(__xludf.DUMMYFUNCTION("""COMPUTED_VALUE"""),1.0)</f>
        <v>1</v>
      </c>
      <c r="C2776" s="2">
        <f>IFERROR(__xludf.DUMMYFUNCTION("""COMPUTED_VALUE"""),965.0)</f>
        <v>965</v>
      </c>
      <c r="D2776" s="3">
        <f>IFERROR(__xludf.DUMMYFUNCTION("""COMPUTED_VALUE"""),189.0)</f>
        <v>189</v>
      </c>
      <c r="E2776" s="2"/>
      <c r="F2776" s="2"/>
    </row>
    <row r="2777">
      <c r="A2777" s="2">
        <f>IFERROR(__xludf.DUMMYFUNCTION("""COMPUTED_VALUE"""),122410.0)</f>
        <v>122410</v>
      </c>
      <c r="B2777" s="2">
        <f>IFERROR(__xludf.DUMMYFUNCTION("""COMPUTED_VALUE"""),1.0)</f>
        <v>1</v>
      </c>
      <c r="C2777" s="2">
        <f>IFERROR(__xludf.DUMMYFUNCTION("""COMPUTED_VALUE"""),183.0)</f>
        <v>183</v>
      </c>
      <c r="D2777" s="3">
        <f>IFERROR(__xludf.DUMMYFUNCTION("""COMPUTED_VALUE"""),109.0)</f>
        <v>109</v>
      </c>
      <c r="E2777" s="2"/>
      <c r="F2777" s="2"/>
    </row>
    <row r="2778">
      <c r="A2778" s="2">
        <f>IFERROR(__xludf.DUMMYFUNCTION("""COMPUTED_VALUE"""),81720.0)</f>
        <v>81720</v>
      </c>
      <c r="B2778" s="2">
        <f>IFERROR(__xludf.DUMMYFUNCTION("""COMPUTED_VALUE"""),0.0)</f>
        <v>0</v>
      </c>
      <c r="C2778" s="2">
        <f>IFERROR(__xludf.DUMMYFUNCTION("""COMPUTED_VALUE"""),977.0)</f>
        <v>977</v>
      </c>
      <c r="D2778" s="3">
        <f>IFERROR(__xludf.DUMMYFUNCTION("""COMPUTED_VALUE"""),951.0)</f>
        <v>951</v>
      </c>
      <c r="E2778" s="2"/>
      <c r="F2778" s="2"/>
    </row>
    <row r="2779">
      <c r="A2779" s="2">
        <f>IFERROR(__xludf.DUMMYFUNCTION("""COMPUTED_VALUE"""),12923.0)</f>
        <v>12923</v>
      </c>
      <c r="B2779" s="2">
        <f>IFERROR(__xludf.DUMMYFUNCTION("""COMPUTED_VALUE"""),0.0)</f>
        <v>0</v>
      </c>
      <c r="C2779" s="2">
        <f>IFERROR(__xludf.DUMMYFUNCTION("""COMPUTED_VALUE"""),263.0)</f>
        <v>263</v>
      </c>
      <c r="D2779" s="3">
        <f>IFERROR(__xludf.DUMMYFUNCTION("""COMPUTED_VALUE"""),40.0)</f>
        <v>40</v>
      </c>
      <c r="E2779" s="2"/>
      <c r="F2779" s="2"/>
    </row>
    <row r="2780">
      <c r="A2780" s="2">
        <f>IFERROR(__xludf.DUMMYFUNCTION("""COMPUTED_VALUE"""),81173.0)</f>
        <v>81173</v>
      </c>
      <c r="B2780" s="2">
        <f>IFERROR(__xludf.DUMMYFUNCTION("""COMPUTED_VALUE"""),1.0)</f>
        <v>1</v>
      </c>
      <c r="C2780" s="2">
        <f>IFERROR(__xludf.DUMMYFUNCTION("""COMPUTED_VALUE"""),851.0)</f>
        <v>851</v>
      </c>
      <c r="D2780" s="3">
        <f>IFERROR(__xludf.DUMMYFUNCTION("""COMPUTED_VALUE"""),331.0)</f>
        <v>331</v>
      </c>
      <c r="E2780" s="2"/>
      <c r="F2780" s="2"/>
    </row>
    <row r="2781">
      <c r="A2781" s="2">
        <f>IFERROR(__xludf.DUMMYFUNCTION("""COMPUTED_VALUE"""),12910.0)</f>
        <v>12910</v>
      </c>
      <c r="B2781" s="2">
        <f>IFERROR(__xludf.DUMMYFUNCTION("""COMPUTED_VALUE"""),1.0)</f>
        <v>1</v>
      </c>
      <c r="C2781" s="2">
        <f>IFERROR(__xludf.DUMMYFUNCTION("""COMPUTED_VALUE"""),736.0)</f>
        <v>736</v>
      </c>
      <c r="D2781" s="3">
        <f>IFERROR(__xludf.DUMMYFUNCTION("""COMPUTED_VALUE"""),373.0)</f>
        <v>373</v>
      </c>
      <c r="E2781" s="2"/>
      <c r="F2781" s="2"/>
    </row>
    <row r="2782">
      <c r="A2782" s="2">
        <f>IFERROR(__xludf.DUMMYFUNCTION("""COMPUTED_VALUE"""),81193.0)</f>
        <v>81193</v>
      </c>
      <c r="B2782" s="2">
        <f>IFERROR(__xludf.DUMMYFUNCTION("""COMPUTED_VALUE"""),1.0)</f>
        <v>1</v>
      </c>
      <c r="C2782" s="2">
        <f>IFERROR(__xludf.DUMMYFUNCTION("""COMPUTED_VALUE"""),132.0)</f>
        <v>132</v>
      </c>
      <c r="D2782" s="3">
        <f>IFERROR(__xludf.DUMMYFUNCTION("""COMPUTED_VALUE"""),23.0)</f>
        <v>23</v>
      </c>
      <c r="E2782" s="2"/>
      <c r="F2782" s="2"/>
    </row>
    <row r="2783">
      <c r="A2783" s="2">
        <f>IFERROR(__xludf.DUMMYFUNCTION("""COMPUTED_VALUE"""),12917.0)</f>
        <v>12917</v>
      </c>
      <c r="B2783" s="2">
        <f>IFERROR(__xludf.DUMMYFUNCTION("""COMPUTED_VALUE"""),0.0)</f>
        <v>0</v>
      </c>
      <c r="C2783" s="2">
        <f>IFERROR(__xludf.DUMMYFUNCTION("""COMPUTED_VALUE"""),308.0)</f>
        <v>308</v>
      </c>
      <c r="D2783" s="3">
        <f>IFERROR(__xludf.DUMMYFUNCTION("""COMPUTED_VALUE"""),188.0)</f>
        <v>188</v>
      </c>
      <c r="E2783" s="2"/>
      <c r="F2783" s="2"/>
    </row>
    <row r="2784">
      <c r="A2784" s="2">
        <f>IFERROR(__xludf.DUMMYFUNCTION("""COMPUTED_VALUE"""),129491.0)</f>
        <v>129491</v>
      </c>
      <c r="B2784" s="2">
        <f>IFERROR(__xludf.DUMMYFUNCTION("""COMPUTED_VALUE"""),0.0)</f>
        <v>0</v>
      </c>
      <c r="C2784" s="2">
        <f>IFERROR(__xludf.DUMMYFUNCTION("""COMPUTED_VALUE"""),911.0)</f>
        <v>911</v>
      </c>
      <c r="D2784" s="3">
        <f>IFERROR(__xludf.DUMMYFUNCTION("""COMPUTED_VALUE"""),232.0)</f>
        <v>232</v>
      </c>
      <c r="E2784" s="2"/>
      <c r="F2784" s="2"/>
    </row>
    <row r="2785">
      <c r="A2785" s="2">
        <f>IFERROR(__xludf.DUMMYFUNCTION("""COMPUTED_VALUE"""),15104.0)</f>
        <v>15104</v>
      </c>
      <c r="B2785" s="2">
        <f>IFERROR(__xludf.DUMMYFUNCTION("""COMPUTED_VALUE"""),1.0)</f>
        <v>1</v>
      </c>
      <c r="C2785" s="2">
        <f>IFERROR(__xludf.DUMMYFUNCTION("""COMPUTED_VALUE"""),213.0)</f>
        <v>213</v>
      </c>
      <c r="D2785" s="3">
        <f>IFERROR(__xludf.DUMMYFUNCTION("""COMPUTED_VALUE"""),212.0)</f>
        <v>212</v>
      </c>
      <c r="E2785" s="2"/>
      <c r="F2785" s="2"/>
    </row>
    <row r="2786">
      <c r="A2786" s="2">
        <f>IFERROR(__xludf.DUMMYFUNCTION("""COMPUTED_VALUE"""),122407.0)</f>
        <v>122407</v>
      </c>
      <c r="B2786" s="2">
        <f>IFERROR(__xludf.DUMMYFUNCTION("""COMPUTED_VALUE"""),1.0)</f>
        <v>1</v>
      </c>
      <c r="C2786" s="2">
        <f>IFERROR(__xludf.DUMMYFUNCTION("""COMPUTED_VALUE"""),130.0)</f>
        <v>130</v>
      </c>
      <c r="D2786" s="3">
        <f>IFERROR(__xludf.DUMMYFUNCTION("""COMPUTED_VALUE"""),8.0)</f>
        <v>8</v>
      </c>
      <c r="E2786" s="2"/>
      <c r="F2786" s="2"/>
    </row>
    <row r="2787">
      <c r="A2787" s="2">
        <f>IFERROR(__xludf.DUMMYFUNCTION("""COMPUTED_VALUE"""),81191.0)</f>
        <v>81191</v>
      </c>
      <c r="B2787" s="2">
        <f>IFERROR(__xludf.DUMMYFUNCTION("""COMPUTED_VALUE"""),0.0)</f>
        <v>0</v>
      </c>
      <c r="C2787" s="2">
        <f>IFERROR(__xludf.DUMMYFUNCTION("""COMPUTED_VALUE"""),84.0)</f>
        <v>84</v>
      </c>
      <c r="D2787" s="3">
        <f>IFERROR(__xludf.DUMMYFUNCTION("""COMPUTED_VALUE"""),14.0)</f>
        <v>14</v>
      </c>
      <c r="E2787" s="2"/>
      <c r="F2787" s="2"/>
    </row>
    <row r="2788">
      <c r="A2788" s="2">
        <f>IFERROR(__xludf.DUMMYFUNCTION("""COMPUTED_VALUE"""),188725.0)</f>
        <v>188725</v>
      </c>
      <c r="B2788" s="2">
        <f>IFERROR(__xludf.DUMMYFUNCTION("""COMPUTED_VALUE"""),1.0)</f>
        <v>1</v>
      </c>
      <c r="C2788" s="2">
        <f>IFERROR(__xludf.DUMMYFUNCTION("""COMPUTED_VALUE"""),189.0)</f>
        <v>189</v>
      </c>
      <c r="D2788" s="3">
        <f>IFERROR(__xludf.DUMMYFUNCTION("""COMPUTED_VALUE"""),27.0)</f>
        <v>27</v>
      </c>
      <c r="E2788" s="2"/>
      <c r="F2788" s="2"/>
    </row>
    <row r="2789">
      <c r="A2789" s="2">
        <f>IFERROR(__xludf.DUMMYFUNCTION("""COMPUTED_VALUE"""),188724.0)</f>
        <v>188724</v>
      </c>
      <c r="B2789" s="2">
        <f>IFERROR(__xludf.DUMMYFUNCTION("""COMPUTED_VALUE"""),0.0)</f>
        <v>0</v>
      </c>
      <c r="C2789" s="2">
        <f>IFERROR(__xludf.DUMMYFUNCTION("""COMPUTED_VALUE"""),906.0)</f>
        <v>906</v>
      </c>
      <c r="D2789" s="3">
        <f>IFERROR(__xludf.DUMMYFUNCTION("""COMPUTED_VALUE"""),507.0)</f>
        <v>507</v>
      </c>
      <c r="E2789" s="2"/>
      <c r="F2789" s="2"/>
    </row>
    <row r="2790">
      <c r="A2790" s="2">
        <f>IFERROR(__xludf.DUMMYFUNCTION("""COMPUTED_VALUE"""),12911.0)</f>
        <v>12911</v>
      </c>
      <c r="B2790" s="2">
        <f>IFERROR(__xludf.DUMMYFUNCTION("""COMPUTED_VALUE"""),1.0)</f>
        <v>1</v>
      </c>
      <c r="C2790" s="2">
        <f>IFERROR(__xludf.DUMMYFUNCTION("""COMPUTED_VALUE"""),126.0)</f>
        <v>126</v>
      </c>
      <c r="D2790" s="3">
        <f>IFERROR(__xludf.DUMMYFUNCTION("""COMPUTED_VALUE"""),111.0)</f>
        <v>111</v>
      </c>
      <c r="E2790" s="2"/>
      <c r="F2790" s="2"/>
    </row>
    <row r="2791">
      <c r="A2791" s="2">
        <f>IFERROR(__xludf.DUMMYFUNCTION("""COMPUTED_VALUE"""),21612.0)</f>
        <v>21612</v>
      </c>
      <c r="B2791" s="2">
        <f>IFERROR(__xludf.DUMMYFUNCTION("""COMPUTED_VALUE"""),1.0)</f>
        <v>1</v>
      </c>
      <c r="C2791" s="2">
        <f>IFERROR(__xludf.DUMMYFUNCTION("""COMPUTED_VALUE"""),591.0)</f>
        <v>591</v>
      </c>
      <c r="D2791" s="3">
        <f>IFERROR(__xludf.DUMMYFUNCTION("""COMPUTED_VALUE"""),367.0)</f>
        <v>367</v>
      </c>
      <c r="E2791" s="2"/>
      <c r="F2791" s="2"/>
    </row>
    <row r="2792">
      <c r="A2792" s="2">
        <f>IFERROR(__xludf.DUMMYFUNCTION("""COMPUTED_VALUE"""),21603.0)</f>
        <v>21603</v>
      </c>
      <c r="B2792" s="2">
        <f>IFERROR(__xludf.DUMMYFUNCTION("""COMPUTED_VALUE"""),1.0)</f>
        <v>1</v>
      </c>
      <c r="C2792" s="2">
        <f>IFERROR(__xludf.DUMMYFUNCTION("""COMPUTED_VALUE"""),349.0)</f>
        <v>349</v>
      </c>
      <c r="D2792" s="3">
        <f>IFERROR(__xludf.DUMMYFUNCTION("""COMPUTED_VALUE"""),42.0)</f>
        <v>42</v>
      </c>
      <c r="E2792" s="2"/>
      <c r="F2792" s="2"/>
    </row>
    <row r="2793">
      <c r="A2793" s="2">
        <f>IFERROR(__xludf.DUMMYFUNCTION("""COMPUTED_VALUE"""),81218.0)</f>
        <v>81218</v>
      </c>
      <c r="B2793" s="2">
        <f>IFERROR(__xludf.DUMMYFUNCTION("""COMPUTED_VALUE"""),0.0)</f>
        <v>0</v>
      </c>
      <c r="C2793" s="2">
        <f>IFERROR(__xludf.DUMMYFUNCTION("""COMPUTED_VALUE"""),723.0)</f>
        <v>723</v>
      </c>
      <c r="D2793" s="3">
        <f>IFERROR(__xludf.DUMMYFUNCTION("""COMPUTED_VALUE"""),432.0)</f>
        <v>432</v>
      </c>
      <c r="E2793" s="2"/>
      <c r="F2793" s="2"/>
    </row>
    <row r="2794">
      <c r="A2794" s="2">
        <f>IFERROR(__xludf.DUMMYFUNCTION("""COMPUTED_VALUE"""),70543.0)</f>
        <v>70543</v>
      </c>
      <c r="B2794" s="2">
        <f>IFERROR(__xludf.DUMMYFUNCTION("""COMPUTED_VALUE"""),0.0)</f>
        <v>0</v>
      </c>
      <c r="C2794" s="2">
        <f>IFERROR(__xludf.DUMMYFUNCTION("""COMPUTED_VALUE"""),665.0)</f>
        <v>665</v>
      </c>
      <c r="D2794" s="3">
        <f>IFERROR(__xludf.DUMMYFUNCTION("""COMPUTED_VALUE"""),480.0)</f>
        <v>480</v>
      </c>
      <c r="E2794" s="2"/>
      <c r="F2794" s="2"/>
    </row>
    <row r="2795">
      <c r="A2795" s="2">
        <f>IFERROR(__xludf.DUMMYFUNCTION("""COMPUTED_VALUE"""),80549.0)</f>
        <v>80549</v>
      </c>
      <c r="B2795" s="2">
        <f>IFERROR(__xludf.DUMMYFUNCTION("""COMPUTED_VALUE"""),0.0)</f>
        <v>0</v>
      </c>
      <c r="C2795" s="2">
        <f>IFERROR(__xludf.DUMMYFUNCTION("""COMPUTED_VALUE"""),184.0)</f>
        <v>184</v>
      </c>
      <c r="D2795" s="3">
        <f>IFERROR(__xludf.DUMMYFUNCTION("""COMPUTED_VALUE"""),129.0)</f>
        <v>129</v>
      </c>
      <c r="E2795" s="2"/>
      <c r="F2795" s="2"/>
    </row>
    <row r="2796">
      <c r="A2796" s="2">
        <f>IFERROR(__xludf.DUMMYFUNCTION("""COMPUTED_VALUE"""),79404.0)</f>
        <v>79404</v>
      </c>
      <c r="B2796" s="2">
        <f>IFERROR(__xludf.DUMMYFUNCTION("""COMPUTED_VALUE"""),0.0)</f>
        <v>0</v>
      </c>
      <c r="C2796" s="2">
        <f>IFERROR(__xludf.DUMMYFUNCTION("""COMPUTED_VALUE"""),673.0)</f>
        <v>673</v>
      </c>
      <c r="D2796" s="3">
        <f>IFERROR(__xludf.DUMMYFUNCTION("""COMPUTED_VALUE"""),448.0)</f>
        <v>448</v>
      </c>
      <c r="E2796" s="2"/>
      <c r="F2796" s="2"/>
    </row>
    <row r="2797">
      <c r="A2797" s="2">
        <f>IFERROR(__xludf.DUMMYFUNCTION("""COMPUTED_VALUE"""),110596.0)</f>
        <v>110596</v>
      </c>
      <c r="B2797" s="2">
        <f>IFERROR(__xludf.DUMMYFUNCTION("""COMPUTED_VALUE"""),0.0)</f>
        <v>0</v>
      </c>
      <c r="C2797" s="2">
        <f>IFERROR(__xludf.DUMMYFUNCTION("""COMPUTED_VALUE"""),519.0)</f>
        <v>519</v>
      </c>
      <c r="D2797" s="3">
        <f>IFERROR(__xludf.DUMMYFUNCTION("""COMPUTED_VALUE"""),78.0)</f>
        <v>78</v>
      </c>
      <c r="E2797" s="2"/>
      <c r="F2797" s="2"/>
    </row>
    <row r="2798">
      <c r="A2798" s="2">
        <f>IFERROR(__xludf.DUMMYFUNCTION("""COMPUTED_VALUE"""),70547.0)</f>
        <v>70547</v>
      </c>
      <c r="B2798" s="2">
        <f>IFERROR(__xludf.DUMMYFUNCTION("""COMPUTED_VALUE"""),1.0)</f>
        <v>1</v>
      </c>
      <c r="C2798" s="2">
        <f>IFERROR(__xludf.DUMMYFUNCTION("""COMPUTED_VALUE"""),966.0)</f>
        <v>966</v>
      </c>
      <c r="D2798" s="3">
        <f>IFERROR(__xludf.DUMMYFUNCTION("""COMPUTED_VALUE"""),551.0)</f>
        <v>551</v>
      </c>
      <c r="E2798" s="2"/>
      <c r="F2798" s="2"/>
    </row>
    <row r="2799">
      <c r="A2799" s="2">
        <f>IFERROR(__xludf.DUMMYFUNCTION("""COMPUTED_VALUE"""),11410.0)</f>
        <v>11410</v>
      </c>
      <c r="B2799" s="2">
        <f>IFERROR(__xludf.DUMMYFUNCTION("""COMPUTED_VALUE"""),1.0)</f>
        <v>1</v>
      </c>
      <c r="C2799" s="2">
        <f>IFERROR(__xludf.DUMMYFUNCTION("""COMPUTED_VALUE"""),507.0)</f>
        <v>507</v>
      </c>
      <c r="D2799" s="3">
        <f>IFERROR(__xludf.DUMMYFUNCTION("""COMPUTED_VALUE"""),437.0)</f>
        <v>437</v>
      </c>
      <c r="E2799" s="2"/>
      <c r="F2799" s="2"/>
    </row>
    <row r="2800">
      <c r="A2800" s="2">
        <f>IFERROR(__xludf.DUMMYFUNCTION("""COMPUTED_VALUE"""),116632.0)</f>
        <v>116632</v>
      </c>
      <c r="B2800" s="2">
        <f>IFERROR(__xludf.DUMMYFUNCTION("""COMPUTED_VALUE"""),0.0)</f>
        <v>0</v>
      </c>
      <c r="C2800" s="2">
        <f>IFERROR(__xludf.DUMMYFUNCTION("""COMPUTED_VALUE"""),614.0)</f>
        <v>614</v>
      </c>
      <c r="D2800" s="3">
        <f>IFERROR(__xludf.DUMMYFUNCTION("""COMPUTED_VALUE"""),250.0)</f>
        <v>250</v>
      </c>
      <c r="E2800" s="2"/>
      <c r="F2800" s="2"/>
    </row>
    <row r="2801">
      <c r="A2801" s="2">
        <f>IFERROR(__xludf.DUMMYFUNCTION("""COMPUTED_VALUE"""),80546.0)</f>
        <v>80546</v>
      </c>
      <c r="B2801" s="2">
        <f>IFERROR(__xludf.DUMMYFUNCTION("""COMPUTED_VALUE"""),1.0)</f>
        <v>1</v>
      </c>
      <c r="C2801" s="2">
        <f>IFERROR(__xludf.DUMMYFUNCTION("""COMPUTED_VALUE"""),157.0)</f>
        <v>157</v>
      </c>
      <c r="D2801" s="3">
        <f>IFERROR(__xludf.DUMMYFUNCTION("""COMPUTED_VALUE"""),128.0)</f>
        <v>128</v>
      </c>
      <c r="E2801" s="2"/>
      <c r="F2801" s="2"/>
    </row>
    <row r="2802">
      <c r="A2802" s="2">
        <f>IFERROR(__xludf.DUMMYFUNCTION("""COMPUTED_VALUE"""),80572.0)</f>
        <v>80572</v>
      </c>
      <c r="B2802" s="2">
        <f>IFERROR(__xludf.DUMMYFUNCTION("""COMPUTED_VALUE"""),1.0)</f>
        <v>1</v>
      </c>
      <c r="C2802" s="2">
        <f>IFERROR(__xludf.DUMMYFUNCTION("""COMPUTED_VALUE"""),715.0)</f>
        <v>715</v>
      </c>
      <c r="D2802" s="3">
        <f>IFERROR(__xludf.DUMMYFUNCTION("""COMPUTED_VALUE"""),493.0)</f>
        <v>493</v>
      </c>
      <c r="E2802" s="2"/>
      <c r="F2802" s="2"/>
    </row>
    <row r="2803">
      <c r="A2803" s="2">
        <f>IFERROR(__xludf.DUMMYFUNCTION("""COMPUTED_VALUE"""),70558.0)</f>
        <v>70558</v>
      </c>
      <c r="B2803" s="2">
        <f>IFERROR(__xludf.DUMMYFUNCTION("""COMPUTED_VALUE"""),1.0)</f>
        <v>1</v>
      </c>
      <c r="C2803" s="2">
        <f>IFERROR(__xludf.DUMMYFUNCTION("""COMPUTED_VALUE"""),601.0)</f>
        <v>601</v>
      </c>
      <c r="D2803" s="3">
        <f>IFERROR(__xludf.DUMMYFUNCTION("""COMPUTED_VALUE"""),59.0)</f>
        <v>59</v>
      </c>
      <c r="E2803" s="2"/>
      <c r="F2803" s="2"/>
    </row>
    <row r="2804">
      <c r="A2804" s="2">
        <f>IFERROR(__xludf.DUMMYFUNCTION("""COMPUTED_VALUE"""),79405.0)</f>
        <v>79405</v>
      </c>
      <c r="B2804" s="2">
        <f>IFERROR(__xludf.DUMMYFUNCTION("""COMPUTED_VALUE"""),1.0)</f>
        <v>1</v>
      </c>
      <c r="C2804" s="2">
        <f>IFERROR(__xludf.DUMMYFUNCTION("""COMPUTED_VALUE"""),866.0)</f>
        <v>866</v>
      </c>
      <c r="D2804" s="3">
        <f>IFERROR(__xludf.DUMMYFUNCTION("""COMPUTED_VALUE"""),208.0)</f>
        <v>208</v>
      </c>
      <c r="E2804" s="2"/>
      <c r="F2804" s="2"/>
    </row>
    <row r="2805">
      <c r="A2805" s="2">
        <f>IFERROR(__xludf.DUMMYFUNCTION("""COMPUTED_VALUE"""),80543.0)</f>
        <v>80543</v>
      </c>
      <c r="B2805" s="2">
        <f>IFERROR(__xludf.DUMMYFUNCTION("""COMPUTED_VALUE"""),1.0)</f>
        <v>1</v>
      </c>
      <c r="C2805" s="2">
        <f>IFERROR(__xludf.DUMMYFUNCTION("""COMPUTED_VALUE"""),665.0)</f>
        <v>665</v>
      </c>
      <c r="D2805" s="3">
        <f>IFERROR(__xludf.DUMMYFUNCTION("""COMPUTED_VALUE"""),180.0)</f>
        <v>180</v>
      </c>
      <c r="E2805" s="2"/>
      <c r="F2805" s="2"/>
    </row>
    <row r="2806">
      <c r="A2806" s="2">
        <f>IFERROR(__xludf.DUMMYFUNCTION("""COMPUTED_VALUE"""),14041.0)</f>
        <v>14041</v>
      </c>
      <c r="B2806" s="2">
        <f>IFERROR(__xludf.DUMMYFUNCTION("""COMPUTED_VALUE"""),0.0)</f>
        <v>0</v>
      </c>
      <c r="C2806" s="2">
        <f>IFERROR(__xludf.DUMMYFUNCTION("""COMPUTED_VALUE"""),536.0)</f>
        <v>536</v>
      </c>
      <c r="D2806" s="3">
        <f>IFERROR(__xludf.DUMMYFUNCTION("""COMPUTED_VALUE"""),434.0)</f>
        <v>434</v>
      </c>
      <c r="E2806" s="2"/>
      <c r="F2806" s="2"/>
    </row>
    <row r="2807">
      <c r="A2807" s="2">
        <f>IFERROR(__xludf.DUMMYFUNCTION("""COMPUTED_VALUE"""),70559.0)</f>
        <v>70559</v>
      </c>
      <c r="B2807" s="2">
        <f>IFERROR(__xludf.DUMMYFUNCTION("""COMPUTED_VALUE"""),1.0)</f>
        <v>1</v>
      </c>
      <c r="C2807" s="2">
        <f>IFERROR(__xludf.DUMMYFUNCTION("""COMPUTED_VALUE"""),816.0)</f>
        <v>816</v>
      </c>
      <c r="D2807" s="3">
        <f>IFERROR(__xludf.DUMMYFUNCTION("""COMPUTED_VALUE"""),314.0)</f>
        <v>314</v>
      </c>
      <c r="E2807" s="2"/>
      <c r="F2807" s="2"/>
    </row>
    <row r="2808">
      <c r="A2808" s="2">
        <f>IFERROR(__xludf.DUMMYFUNCTION("""COMPUTED_VALUE"""),80582.0)</f>
        <v>80582</v>
      </c>
      <c r="B2808" s="2">
        <f>IFERROR(__xludf.DUMMYFUNCTION("""COMPUTED_VALUE"""),0.0)</f>
        <v>0</v>
      </c>
      <c r="C2808" s="2">
        <f>IFERROR(__xludf.DUMMYFUNCTION("""COMPUTED_VALUE"""),674.0)</f>
        <v>674</v>
      </c>
      <c r="D2808" s="3">
        <f>IFERROR(__xludf.DUMMYFUNCTION("""COMPUTED_VALUE"""),97.0)</f>
        <v>97</v>
      </c>
      <c r="E2808" s="2"/>
      <c r="F2808" s="2"/>
    </row>
    <row r="2809">
      <c r="A2809" s="2">
        <f>IFERROR(__xludf.DUMMYFUNCTION("""COMPUTED_VALUE"""),90004.0)</f>
        <v>90004</v>
      </c>
      <c r="B2809" s="2">
        <f>IFERROR(__xludf.DUMMYFUNCTION("""COMPUTED_VALUE"""),1.0)</f>
        <v>1</v>
      </c>
      <c r="C2809" s="2">
        <f>IFERROR(__xludf.DUMMYFUNCTION("""COMPUTED_VALUE"""),773.0)</f>
        <v>773</v>
      </c>
      <c r="D2809" s="3">
        <f>IFERROR(__xludf.DUMMYFUNCTION("""COMPUTED_VALUE"""),18.0)</f>
        <v>18</v>
      </c>
      <c r="E2809" s="2"/>
      <c r="F2809" s="2"/>
    </row>
    <row r="2810">
      <c r="A2810" s="2">
        <f>IFERROR(__xludf.DUMMYFUNCTION("""COMPUTED_VALUE"""),117907.0)</f>
        <v>117907</v>
      </c>
      <c r="B2810" s="2">
        <f>IFERROR(__xludf.DUMMYFUNCTION("""COMPUTED_VALUE"""),1.0)</f>
        <v>1</v>
      </c>
      <c r="C2810" s="2">
        <f>IFERROR(__xludf.DUMMYFUNCTION("""COMPUTED_VALUE"""),457.0)</f>
        <v>457</v>
      </c>
      <c r="D2810" s="3">
        <f>IFERROR(__xludf.DUMMYFUNCTION("""COMPUTED_VALUE"""),94.0)</f>
        <v>94</v>
      </c>
      <c r="E2810" s="2"/>
      <c r="F2810" s="2"/>
    </row>
    <row r="2811">
      <c r="A2811" s="2">
        <f>IFERROR(__xludf.DUMMYFUNCTION("""COMPUTED_VALUE"""),70542.0)</f>
        <v>70542</v>
      </c>
      <c r="B2811" s="2">
        <f>IFERROR(__xludf.DUMMYFUNCTION("""COMPUTED_VALUE"""),1.0)</f>
        <v>1</v>
      </c>
      <c r="C2811" s="2">
        <f>IFERROR(__xludf.DUMMYFUNCTION("""COMPUTED_VALUE"""),935.0)</f>
        <v>935</v>
      </c>
      <c r="D2811" s="3">
        <f>IFERROR(__xludf.DUMMYFUNCTION("""COMPUTED_VALUE"""),521.0)</f>
        <v>521</v>
      </c>
      <c r="E2811" s="2"/>
      <c r="F2811" s="2"/>
    </row>
    <row r="2812">
      <c r="A2812" s="2">
        <f>IFERROR(__xludf.DUMMYFUNCTION("""COMPUTED_VALUE"""),81210.0)</f>
        <v>81210</v>
      </c>
      <c r="B2812" s="2">
        <f>IFERROR(__xludf.DUMMYFUNCTION("""COMPUTED_VALUE"""),0.0)</f>
        <v>0</v>
      </c>
      <c r="C2812" s="2">
        <f>IFERROR(__xludf.DUMMYFUNCTION("""COMPUTED_VALUE"""),955.0)</f>
        <v>955</v>
      </c>
      <c r="D2812" s="3">
        <f>IFERROR(__xludf.DUMMYFUNCTION("""COMPUTED_VALUE"""),321.0)</f>
        <v>321</v>
      </c>
      <c r="E2812" s="2"/>
      <c r="F2812" s="2"/>
    </row>
    <row r="2813">
      <c r="A2813" s="2">
        <f>IFERROR(__xludf.DUMMYFUNCTION("""COMPUTED_VALUE"""),81211.0)</f>
        <v>81211</v>
      </c>
      <c r="B2813" s="2">
        <f>IFERROR(__xludf.DUMMYFUNCTION("""COMPUTED_VALUE"""),0.0)</f>
        <v>0</v>
      </c>
      <c r="C2813" s="2">
        <f>IFERROR(__xludf.DUMMYFUNCTION("""COMPUTED_VALUE"""),160.0)</f>
        <v>160</v>
      </c>
      <c r="D2813" s="3">
        <f>IFERROR(__xludf.DUMMYFUNCTION("""COMPUTED_VALUE"""),97.0)</f>
        <v>97</v>
      </c>
      <c r="E2813" s="2"/>
      <c r="F2813" s="2"/>
    </row>
    <row r="2814">
      <c r="A2814" s="2">
        <f>IFERROR(__xludf.DUMMYFUNCTION("""COMPUTED_VALUE"""),80573.0)</f>
        <v>80573</v>
      </c>
      <c r="B2814" s="2">
        <f>IFERROR(__xludf.DUMMYFUNCTION("""COMPUTED_VALUE"""),1.0)</f>
        <v>1</v>
      </c>
      <c r="C2814" s="2">
        <f>IFERROR(__xludf.DUMMYFUNCTION("""COMPUTED_VALUE"""),736.0)</f>
        <v>736</v>
      </c>
      <c r="D2814" s="3">
        <f>IFERROR(__xludf.DUMMYFUNCTION("""COMPUTED_VALUE"""),696.0)</f>
        <v>696</v>
      </c>
      <c r="E2814" s="2"/>
      <c r="F2814" s="2"/>
    </row>
    <row r="2815">
      <c r="A2815" s="2">
        <f>IFERROR(__xludf.DUMMYFUNCTION("""COMPUTED_VALUE"""),117909.0)</f>
        <v>117909</v>
      </c>
      <c r="B2815" s="2">
        <f>IFERROR(__xludf.DUMMYFUNCTION("""COMPUTED_VALUE"""),1.0)</f>
        <v>1</v>
      </c>
      <c r="C2815" s="2">
        <f>IFERROR(__xludf.DUMMYFUNCTION("""COMPUTED_VALUE"""),330.0)</f>
        <v>330</v>
      </c>
      <c r="D2815" s="3">
        <f>IFERROR(__xludf.DUMMYFUNCTION("""COMPUTED_VALUE"""),39.0)</f>
        <v>39</v>
      </c>
      <c r="E2815" s="2"/>
      <c r="F2815" s="2"/>
    </row>
    <row r="2816">
      <c r="A2816" s="2">
        <f>IFERROR(__xludf.DUMMYFUNCTION("""COMPUTED_VALUE"""),80584.0)</f>
        <v>80584</v>
      </c>
      <c r="B2816" s="2">
        <f>IFERROR(__xludf.DUMMYFUNCTION("""COMPUTED_VALUE"""),0.0)</f>
        <v>0</v>
      </c>
      <c r="C2816" s="2">
        <f>IFERROR(__xludf.DUMMYFUNCTION("""COMPUTED_VALUE"""),36.0)</f>
        <v>36</v>
      </c>
      <c r="D2816" s="3">
        <f>IFERROR(__xludf.DUMMYFUNCTION("""COMPUTED_VALUE"""),9.0)</f>
        <v>9</v>
      </c>
      <c r="E2816" s="2"/>
      <c r="F2816" s="2"/>
    </row>
    <row r="2817">
      <c r="A2817" s="2">
        <f>IFERROR(__xludf.DUMMYFUNCTION("""COMPUTED_VALUE"""),80550.0)</f>
        <v>80550</v>
      </c>
      <c r="B2817" s="2">
        <f>IFERROR(__xludf.DUMMYFUNCTION("""COMPUTED_VALUE"""),1.0)</f>
        <v>1</v>
      </c>
      <c r="C2817" s="2">
        <f>IFERROR(__xludf.DUMMYFUNCTION("""COMPUTED_VALUE"""),889.0)</f>
        <v>889</v>
      </c>
      <c r="D2817" s="3">
        <f>IFERROR(__xludf.DUMMYFUNCTION("""COMPUTED_VALUE"""),873.0)</f>
        <v>873</v>
      </c>
      <c r="E2817" s="2"/>
      <c r="F2817" s="2"/>
    </row>
    <row r="2818">
      <c r="A2818" s="2">
        <f>IFERROR(__xludf.DUMMYFUNCTION("""COMPUTED_VALUE"""),81227.0)</f>
        <v>81227</v>
      </c>
      <c r="B2818" s="2">
        <f>IFERROR(__xludf.DUMMYFUNCTION("""COMPUTED_VALUE"""),0.0)</f>
        <v>0</v>
      </c>
      <c r="C2818" s="2">
        <f>IFERROR(__xludf.DUMMYFUNCTION("""COMPUTED_VALUE"""),162.0)</f>
        <v>162</v>
      </c>
      <c r="D2818" s="3">
        <f>IFERROR(__xludf.DUMMYFUNCTION("""COMPUTED_VALUE"""),47.0)</f>
        <v>47</v>
      </c>
      <c r="E2818" s="2"/>
      <c r="F2818" s="2"/>
    </row>
    <row r="2819">
      <c r="A2819" s="2">
        <f>IFERROR(__xludf.DUMMYFUNCTION("""COMPUTED_VALUE"""),80578.0)</f>
        <v>80578</v>
      </c>
      <c r="B2819" s="2">
        <f>IFERROR(__xludf.DUMMYFUNCTION("""COMPUTED_VALUE"""),0.0)</f>
        <v>0</v>
      </c>
      <c r="C2819" s="2">
        <f>IFERROR(__xludf.DUMMYFUNCTION("""COMPUTED_VALUE"""),27.0)</f>
        <v>27</v>
      </c>
      <c r="D2819" s="3">
        <f>IFERROR(__xludf.DUMMYFUNCTION("""COMPUTED_VALUE"""),24.0)</f>
        <v>24</v>
      </c>
      <c r="E2819" s="2"/>
      <c r="F2819" s="2"/>
    </row>
    <row r="2820">
      <c r="A2820" s="2">
        <f>IFERROR(__xludf.DUMMYFUNCTION("""COMPUTED_VALUE"""),110595.0)</f>
        <v>110595</v>
      </c>
      <c r="B2820" s="2">
        <f>IFERROR(__xludf.DUMMYFUNCTION("""COMPUTED_VALUE"""),0.0)</f>
        <v>0</v>
      </c>
      <c r="C2820" s="2">
        <f>IFERROR(__xludf.DUMMYFUNCTION("""COMPUTED_VALUE"""),965.0)</f>
        <v>965</v>
      </c>
      <c r="D2820" s="3">
        <f>IFERROR(__xludf.DUMMYFUNCTION("""COMPUTED_VALUE"""),898.0)</f>
        <v>898</v>
      </c>
      <c r="E2820" s="2"/>
      <c r="F2820" s="2"/>
    </row>
    <row r="2821">
      <c r="A2821" s="2">
        <f>IFERROR(__xludf.DUMMYFUNCTION("""COMPUTED_VALUE"""),70557.0)</f>
        <v>70557</v>
      </c>
      <c r="B2821" s="2">
        <f>IFERROR(__xludf.DUMMYFUNCTION("""COMPUTED_VALUE"""),0.0)</f>
        <v>0</v>
      </c>
      <c r="C2821" s="2">
        <f>IFERROR(__xludf.DUMMYFUNCTION("""COMPUTED_VALUE"""),291.0)</f>
        <v>291</v>
      </c>
      <c r="D2821" s="3">
        <f>IFERROR(__xludf.DUMMYFUNCTION("""COMPUTED_VALUE"""),269.0)</f>
        <v>269</v>
      </c>
      <c r="E2821" s="2"/>
      <c r="F2821" s="2"/>
    </row>
    <row r="2822">
      <c r="A2822" s="2">
        <f>IFERROR(__xludf.DUMMYFUNCTION("""COMPUTED_VALUE"""),147284.0)</f>
        <v>147284</v>
      </c>
      <c r="B2822" s="2">
        <f>IFERROR(__xludf.DUMMYFUNCTION("""COMPUTED_VALUE"""),1.0)</f>
        <v>1</v>
      </c>
      <c r="C2822" s="2">
        <f>IFERROR(__xludf.DUMMYFUNCTION("""COMPUTED_VALUE"""),744.0)</f>
        <v>744</v>
      </c>
      <c r="D2822" s="3">
        <f>IFERROR(__xludf.DUMMYFUNCTION("""COMPUTED_VALUE"""),89.0)</f>
        <v>89</v>
      </c>
      <c r="E2822" s="2"/>
      <c r="F2822" s="2"/>
    </row>
    <row r="2823">
      <c r="A2823" s="2">
        <f>IFERROR(__xludf.DUMMYFUNCTION("""COMPUTED_VALUE"""),70553.0)</f>
        <v>70553</v>
      </c>
      <c r="B2823" s="2">
        <f>IFERROR(__xludf.DUMMYFUNCTION("""COMPUTED_VALUE"""),0.0)</f>
        <v>0</v>
      </c>
      <c r="C2823" s="2">
        <f>IFERROR(__xludf.DUMMYFUNCTION("""COMPUTED_VALUE"""),319.0)</f>
        <v>319</v>
      </c>
      <c r="D2823" s="3">
        <f>IFERROR(__xludf.DUMMYFUNCTION("""COMPUTED_VALUE"""),314.0)</f>
        <v>314</v>
      </c>
      <c r="E2823" s="2"/>
      <c r="F2823" s="2"/>
    </row>
    <row r="2824">
      <c r="A2824" s="2">
        <f>IFERROR(__xludf.DUMMYFUNCTION("""COMPUTED_VALUE"""),81212.0)</f>
        <v>81212</v>
      </c>
      <c r="B2824" s="2">
        <f>IFERROR(__xludf.DUMMYFUNCTION("""COMPUTED_VALUE"""),0.0)</f>
        <v>0</v>
      </c>
      <c r="C2824" s="2">
        <f>IFERROR(__xludf.DUMMYFUNCTION("""COMPUTED_VALUE"""),234.0)</f>
        <v>234</v>
      </c>
      <c r="D2824" s="3">
        <f>IFERROR(__xludf.DUMMYFUNCTION("""COMPUTED_VALUE"""),10.0)</f>
        <v>10</v>
      </c>
      <c r="E2824" s="2"/>
      <c r="F2824" s="2"/>
    </row>
    <row r="2825">
      <c r="A2825" s="2">
        <f>IFERROR(__xludf.DUMMYFUNCTION("""COMPUTED_VALUE"""),120427.0)</f>
        <v>120427</v>
      </c>
      <c r="B2825" s="2">
        <f>IFERROR(__xludf.DUMMYFUNCTION("""COMPUTED_VALUE"""),1.0)</f>
        <v>1</v>
      </c>
      <c r="C2825" s="2">
        <f>IFERROR(__xludf.DUMMYFUNCTION("""COMPUTED_VALUE"""),701.0)</f>
        <v>701</v>
      </c>
      <c r="D2825" s="3">
        <f>IFERROR(__xludf.DUMMYFUNCTION("""COMPUTED_VALUE"""),565.0)</f>
        <v>565</v>
      </c>
      <c r="E2825" s="2"/>
      <c r="F2825" s="2"/>
    </row>
    <row r="2826">
      <c r="A2826" s="2">
        <f>IFERROR(__xludf.DUMMYFUNCTION("""COMPUTED_VALUE"""),46049.0)</f>
        <v>46049</v>
      </c>
      <c r="B2826" s="2">
        <f>IFERROR(__xludf.DUMMYFUNCTION("""COMPUTED_VALUE"""),1.0)</f>
        <v>1</v>
      </c>
      <c r="C2826" s="2">
        <f>IFERROR(__xludf.DUMMYFUNCTION("""COMPUTED_VALUE"""),830.0)</f>
        <v>830</v>
      </c>
      <c r="D2826" s="3">
        <f>IFERROR(__xludf.DUMMYFUNCTION("""COMPUTED_VALUE"""),608.0)</f>
        <v>608</v>
      </c>
      <c r="E2826" s="2"/>
      <c r="F2826" s="2"/>
    </row>
    <row r="2827">
      <c r="A2827" s="2">
        <f>IFERROR(__xludf.DUMMYFUNCTION("""COMPUTED_VALUE"""),46039.0)</f>
        <v>46039</v>
      </c>
      <c r="B2827" s="2">
        <f>IFERROR(__xludf.DUMMYFUNCTION("""COMPUTED_VALUE"""),1.0)</f>
        <v>1</v>
      </c>
      <c r="C2827" s="2">
        <f>IFERROR(__xludf.DUMMYFUNCTION("""COMPUTED_VALUE"""),408.0)</f>
        <v>408</v>
      </c>
      <c r="D2827" s="3">
        <f>IFERROR(__xludf.DUMMYFUNCTION("""COMPUTED_VALUE"""),248.0)</f>
        <v>248</v>
      </c>
      <c r="E2827" s="2"/>
      <c r="F2827" s="2"/>
    </row>
    <row r="2828">
      <c r="A2828" s="2">
        <f>IFERROR(__xludf.DUMMYFUNCTION("""COMPUTED_VALUE"""),46037.0)</f>
        <v>46037</v>
      </c>
      <c r="B2828" s="2">
        <f>IFERROR(__xludf.DUMMYFUNCTION("""COMPUTED_VALUE"""),0.0)</f>
        <v>0</v>
      </c>
      <c r="C2828" s="2">
        <f>IFERROR(__xludf.DUMMYFUNCTION("""COMPUTED_VALUE"""),825.0)</f>
        <v>825</v>
      </c>
      <c r="D2828" s="3">
        <f>IFERROR(__xludf.DUMMYFUNCTION("""COMPUTED_VALUE"""),597.0)</f>
        <v>597</v>
      </c>
      <c r="E2828" s="2"/>
      <c r="F2828" s="2"/>
    </row>
    <row r="2829">
      <c r="A2829" s="2">
        <f>IFERROR(__xludf.DUMMYFUNCTION("""COMPUTED_VALUE"""),88965.0)</f>
        <v>88965</v>
      </c>
      <c r="B2829" s="2">
        <f>IFERROR(__xludf.DUMMYFUNCTION("""COMPUTED_VALUE"""),1.0)</f>
        <v>1</v>
      </c>
      <c r="C2829" s="2">
        <f>IFERROR(__xludf.DUMMYFUNCTION("""COMPUTED_VALUE"""),905.0)</f>
        <v>905</v>
      </c>
      <c r="D2829" s="3">
        <f>IFERROR(__xludf.DUMMYFUNCTION("""COMPUTED_VALUE"""),664.0)</f>
        <v>664</v>
      </c>
      <c r="E2829" s="2"/>
      <c r="F2829" s="2"/>
    </row>
    <row r="2830">
      <c r="A2830" s="2">
        <f>IFERROR(__xludf.DUMMYFUNCTION("""COMPUTED_VALUE"""),102614.0)</f>
        <v>102614</v>
      </c>
      <c r="B2830" s="2">
        <f>IFERROR(__xludf.DUMMYFUNCTION("""COMPUTED_VALUE"""),0.0)</f>
        <v>0</v>
      </c>
      <c r="C2830" s="2">
        <f>IFERROR(__xludf.DUMMYFUNCTION("""COMPUTED_VALUE"""),781.0)</f>
        <v>781</v>
      </c>
      <c r="D2830" s="3">
        <f>IFERROR(__xludf.DUMMYFUNCTION("""COMPUTED_VALUE"""),133.0)</f>
        <v>133</v>
      </c>
      <c r="E2830" s="2"/>
      <c r="F2830" s="2"/>
    </row>
    <row r="2831">
      <c r="A2831" s="2">
        <f>IFERROR(__xludf.DUMMYFUNCTION("""COMPUTED_VALUE"""),122704.0)</f>
        <v>122704</v>
      </c>
      <c r="B2831" s="2">
        <f>IFERROR(__xludf.DUMMYFUNCTION("""COMPUTED_VALUE"""),0.0)</f>
        <v>0</v>
      </c>
      <c r="C2831" s="2">
        <f>IFERROR(__xludf.DUMMYFUNCTION("""COMPUTED_VALUE"""),415.0)</f>
        <v>415</v>
      </c>
      <c r="D2831" s="3">
        <f>IFERROR(__xludf.DUMMYFUNCTION("""COMPUTED_VALUE"""),409.0)</f>
        <v>409</v>
      </c>
      <c r="E2831" s="2"/>
      <c r="F2831" s="2"/>
    </row>
    <row r="2832">
      <c r="A2832" s="2">
        <f>IFERROR(__xludf.DUMMYFUNCTION("""COMPUTED_VALUE"""),164902.0)</f>
        <v>164902</v>
      </c>
      <c r="B2832" s="2">
        <f>IFERROR(__xludf.DUMMYFUNCTION("""COMPUTED_VALUE"""),0.0)</f>
        <v>0</v>
      </c>
      <c r="C2832" s="2">
        <f>IFERROR(__xludf.DUMMYFUNCTION("""COMPUTED_VALUE"""),123.0)</f>
        <v>123</v>
      </c>
      <c r="D2832" s="3">
        <f>IFERROR(__xludf.DUMMYFUNCTION("""COMPUTED_VALUE"""),98.0)</f>
        <v>98</v>
      </c>
      <c r="E2832" s="2"/>
      <c r="F2832" s="2"/>
    </row>
    <row r="2833">
      <c r="A2833" s="2">
        <f>IFERROR(__xludf.DUMMYFUNCTION("""COMPUTED_VALUE"""),117783.0)</f>
        <v>117783</v>
      </c>
      <c r="B2833" s="2">
        <f>IFERROR(__xludf.DUMMYFUNCTION("""COMPUTED_VALUE"""),0.0)</f>
        <v>0</v>
      </c>
      <c r="C2833" s="2">
        <f>IFERROR(__xludf.DUMMYFUNCTION("""COMPUTED_VALUE"""),137.0)</f>
        <v>137</v>
      </c>
      <c r="D2833" s="3">
        <f>IFERROR(__xludf.DUMMYFUNCTION("""COMPUTED_VALUE"""),110.0)</f>
        <v>110</v>
      </c>
      <c r="E2833" s="2"/>
      <c r="F2833" s="2"/>
    </row>
    <row r="2834">
      <c r="A2834" s="2">
        <f>IFERROR(__xludf.DUMMYFUNCTION("""COMPUTED_VALUE"""),114278.0)</f>
        <v>114278</v>
      </c>
      <c r="B2834" s="2">
        <f>IFERROR(__xludf.DUMMYFUNCTION("""COMPUTED_VALUE"""),0.0)</f>
        <v>0</v>
      </c>
      <c r="C2834" s="2">
        <f>IFERROR(__xludf.DUMMYFUNCTION("""COMPUTED_VALUE"""),418.0)</f>
        <v>418</v>
      </c>
      <c r="D2834" s="3">
        <f>IFERROR(__xludf.DUMMYFUNCTION("""COMPUTED_VALUE"""),199.0)</f>
        <v>199</v>
      </c>
      <c r="E2834" s="2"/>
      <c r="F2834" s="2"/>
    </row>
    <row r="2835">
      <c r="A2835" s="2">
        <f>IFERROR(__xludf.DUMMYFUNCTION("""COMPUTED_VALUE"""),46056.0)</f>
        <v>46056</v>
      </c>
      <c r="B2835" s="2">
        <f>IFERROR(__xludf.DUMMYFUNCTION("""COMPUTED_VALUE"""),0.0)</f>
        <v>0</v>
      </c>
      <c r="C2835" s="2">
        <f>IFERROR(__xludf.DUMMYFUNCTION("""COMPUTED_VALUE"""),259.0)</f>
        <v>259</v>
      </c>
      <c r="D2835" s="3">
        <f>IFERROR(__xludf.DUMMYFUNCTION("""COMPUTED_VALUE"""),197.0)</f>
        <v>197</v>
      </c>
      <c r="E2835" s="2"/>
      <c r="F2835" s="2"/>
    </row>
    <row r="2836">
      <c r="A2836" s="2">
        <f>IFERROR(__xludf.DUMMYFUNCTION("""COMPUTED_VALUE"""),5703.0)</f>
        <v>5703</v>
      </c>
      <c r="B2836" s="2">
        <f>IFERROR(__xludf.DUMMYFUNCTION("""COMPUTED_VALUE"""),1.0)</f>
        <v>1</v>
      </c>
      <c r="C2836" s="2">
        <f>IFERROR(__xludf.DUMMYFUNCTION("""COMPUTED_VALUE"""),25.0)</f>
        <v>25</v>
      </c>
      <c r="D2836" s="3">
        <f>IFERROR(__xludf.DUMMYFUNCTION("""COMPUTED_VALUE"""),20.0)</f>
        <v>20</v>
      </c>
      <c r="E2836" s="2"/>
      <c r="F2836" s="2"/>
    </row>
    <row r="2837">
      <c r="A2837" s="2">
        <f>IFERROR(__xludf.DUMMYFUNCTION("""COMPUTED_VALUE"""),102607.0)</f>
        <v>102607</v>
      </c>
      <c r="B2837" s="2">
        <f>IFERROR(__xludf.DUMMYFUNCTION("""COMPUTED_VALUE"""),0.0)</f>
        <v>0</v>
      </c>
      <c r="C2837" s="2">
        <f>IFERROR(__xludf.DUMMYFUNCTION("""COMPUTED_VALUE"""),133.0)</f>
        <v>133</v>
      </c>
      <c r="D2837" s="3">
        <f>IFERROR(__xludf.DUMMYFUNCTION("""COMPUTED_VALUE"""),16.0)</f>
        <v>16</v>
      </c>
      <c r="E2837" s="2"/>
      <c r="F2837" s="2"/>
    </row>
    <row r="2838">
      <c r="A2838" s="2">
        <f>IFERROR(__xludf.DUMMYFUNCTION("""COMPUTED_VALUE"""),87913.0)</f>
        <v>87913</v>
      </c>
      <c r="B2838" s="2">
        <f>IFERROR(__xludf.DUMMYFUNCTION("""COMPUTED_VALUE"""),1.0)</f>
        <v>1</v>
      </c>
      <c r="C2838" s="2">
        <f>IFERROR(__xludf.DUMMYFUNCTION("""COMPUTED_VALUE"""),221.0)</f>
        <v>221</v>
      </c>
      <c r="D2838" s="3">
        <f>IFERROR(__xludf.DUMMYFUNCTION("""COMPUTED_VALUE"""),174.0)</f>
        <v>174</v>
      </c>
      <c r="E2838" s="2"/>
      <c r="F2838" s="2"/>
    </row>
    <row r="2839">
      <c r="A2839" s="2">
        <f>IFERROR(__xludf.DUMMYFUNCTION("""COMPUTED_VALUE"""),149513.0)</f>
        <v>149513</v>
      </c>
      <c r="B2839" s="2">
        <f>IFERROR(__xludf.DUMMYFUNCTION("""COMPUTED_VALUE"""),1.0)</f>
        <v>1</v>
      </c>
      <c r="C2839" s="2">
        <f>IFERROR(__xludf.DUMMYFUNCTION("""COMPUTED_VALUE"""),359.0)</f>
        <v>359</v>
      </c>
      <c r="D2839" s="3">
        <f>IFERROR(__xludf.DUMMYFUNCTION("""COMPUTED_VALUE"""),151.0)</f>
        <v>151</v>
      </c>
      <c r="E2839" s="2"/>
      <c r="F2839" s="2"/>
    </row>
    <row r="2840">
      <c r="A2840" s="2">
        <f>IFERROR(__xludf.DUMMYFUNCTION("""COMPUTED_VALUE"""),87909.0)</f>
        <v>87909</v>
      </c>
      <c r="B2840" s="2">
        <f>IFERROR(__xludf.DUMMYFUNCTION("""COMPUTED_VALUE"""),1.0)</f>
        <v>1</v>
      </c>
      <c r="C2840" s="2">
        <f>IFERROR(__xludf.DUMMYFUNCTION("""COMPUTED_VALUE"""),668.0)</f>
        <v>668</v>
      </c>
      <c r="D2840" s="3">
        <f>IFERROR(__xludf.DUMMYFUNCTION("""COMPUTED_VALUE"""),256.0)</f>
        <v>256</v>
      </c>
      <c r="E2840" s="2"/>
      <c r="F2840" s="2"/>
    </row>
    <row r="2841">
      <c r="A2841" s="2">
        <f>IFERROR(__xludf.DUMMYFUNCTION("""COMPUTED_VALUE"""),101897.0)</f>
        <v>101897</v>
      </c>
      <c r="B2841" s="2">
        <f>IFERROR(__xludf.DUMMYFUNCTION("""COMPUTED_VALUE"""),0.0)</f>
        <v>0</v>
      </c>
      <c r="C2841" s="2">
        <f>IFERROR(__xludf.DUMMYFUNCTION("""COMPUTED_VALUE"""),68.0)</f>
        <v>68</v>
      </c>
      <c r="D2841" s="3">
        <f>IFERROR(__xludf.DUMMYFUNCTION("""COMPUTED_VALUE"""),37.0)</f>
        <v>37</v>
      </c>
      <c r="E2841" s="2"/>
      <c r="F2841" s="2"/>
    </row>
    <row r="2842">
      <c r="A2842" s="2">
        <f>IFERROR(__xludf.DUMMYFUNCTION("""COMPUTED_VALUE"""),121675.0)</f>
        <v>121675</v>
      </c>
      <c r="B2842" s="2">
        <f>IFERROR(__xludf.DUMMYFUNCTION("""COMPUTED_VALUE"""),0.0)</f>
        <v>0</v>
      </c>
      <c r="C2842" s="2">
        <f>IFERROR(__xludf.DUMMYFUNCTION("""COMPUTED_VALUE"""),549.0)</f>
        <v>549</v>
      </c>
      <c r="D2842" s="3">
        <f>IFERROR(__xludf.DUMMYFUNCTION("""COMPUTED_VALUE"""),255.0)</f>
        <v>255</v>
      </c>
      <c r="E2842" s="2"/>
      <c r="F2842" s="2"/>
    </row>
    <row r="2843">
      <c r="A2843" s="2">
        <f>IFERROR(__xludf.DUMMYFUNCTION("""COMPUTED_VALUE"""),99349.0)</f>
        <v>99349</v>
      </c>
      <c r="B2843" s="2">
        <f>IFERROR(__xludf.DUMMYFUNCTION("""COMPUTED_VALUE"""),1.0)</f>
        <v>1</v>
      </c>
      <c r="C2843" s="2">
        <f>IFERROR(__xludf.DUMMYFUNCTION("""COMPUTED_VALUE"""),425.0)</f>
        <v>425</v>
      </c>
      <c r="D2843" s="3">
        <f>IFERROR(__xludf.DUMMYFUNCTION("""COMPUTED_VALUE"""),357.0)</f>
        <v>357</v>
      </c>
      <c r="E2843" s="2"/>
      <c r="F2843" s="2"/>
    </row>
    <row r="2844">
      <c r="A2844" s="2">
        <f>IFERROR(__xludf.DUMMYFUNCTION("""COMPUTED_VALUE"""),117785.0)</f>
        <v>117785</v>
      </c>
      <c r="B2844" s="2">
        <f>IFERROR(__xludf.DUMMYFUNCTION("""COMPUTED_VALUE"""),1.0)</f>
        <v>1</v>
      </c>
      <c r="C2844" s="2">
        <f>IFERROR(__xludf.DUMMYFUNCTION("""COMPUTED_VALUE"""),523.0)</f>
        <v>523</v>
      </c>
      <c r="D2844" s="3">
        <f>IFERROR(__xludf.DUMMYFUNCTION("""COMPUTED_VALUE"""),216.0)</f>
        <v>216</v>
      </c>
      <c r="E2844" s="2"/>
      <c r="F2844" s="2"/>
    </row>
    <row r="2845">
      <c r="A2845" s="2">
        <f>IFERROR(__xludf.DUMMYFUNCTION("""COMPUTED_VALUE"""),120558.0)</f>
        <v>120558</v>
      </c>
      <c r="B2845" s="2">
        <f>IFERROR(__xludf.DUMMYFUNCTION("""COMPUTED_VALUE"""),0.0)</f>
        <v>0</v>
      </c>
      <c r="C2845" s="2">
        <f>IFERROR(__xludf.DUMMYFUNCTION("""COMPUTED_VALUE"""),784.0)</f>
        <v>784</v>
      </c>
      <c r="D2845" s="3">
        <f>IFERROR(__xludf.DUMMYFUNCTION("""COMPUTED_VALUE"""),617.0)</f>
        <v>617</v>
      </c>
      <c r="E2845" s="2"/>
      <c r="F2845" s="2"/>
    </row>
    <row r="2846">
      <c r="A2846" s="2">
        <f>IFERROR(__xludf.DUMMYFUNCTION("""COMPUTED_VALUE"""),99351.0)</f>
        <v>99351</v>
      </c>
      <c r="B2846" s="2">
        <f>IFERROR(__xludf.DUMMYFUNCTION("""COMPUTED_VALUE"""),0.0)</f>
        <v>0</v>
      </c>
      <c r="C2846" s="2">
        <f>IFERROR(__xludf.DUMMYFUNCTION("""COMPUTED_VALUE"""),721.0)</f>
        <v>721</v>
      </c>
      <c r="D2846" s="3">
        <f>IFERROR(__xludf.DUMMYFUNCTION("""COMPUTED_VALUE"""),400.0)</f>
        <v>400</v>
      </c>
      <c r="E2846" s="2"/>
      <c r="F2846" s="2"/>
    </row>
    <row r="2847">
      <c r="A2847" s="2">
        <f>IFERROR(__xludf.DUMMYFUNCTION("""COMPUTED_VALUE"""),113058.0)</f>
        <v>113058</v>
      </c>
      <c r="B2847" s="2">
        <f>IFERROR(__xludf.DUMMYFUNCTION("""COMPUTED_VALUE"""),1.0)</f>
        <v>1</v>
      </c>
      <c r="C2847" s="2">
        <f>IFERROR(__xludf.DUMMYFUNCTION("""COMPUTED_VALUE"""),0.0)</f>
        <v>0</v>
      </c>
      <c r="D2847" s="3">
        <f>IFERROR(__xludf.DUMMYFUNCTION("""COMPUTED_VALUE"""),0.0)</f>
        <v>0</v>
      </c>
      <c r="E2847" s="2"/>
      <c r="F2847" s="2"/>
    </row>
    <row r="2848">
      <c r="A2848" s="2">
        <f>IFERROR(__xludf.DUMMYFUNCTION("""COMPUTED_VALUE"""),118917.0)</f>
        <v>118917</v>
      </c>
      <c r="B2848" s="2">
        <f>IFERROR(__xludf.DUMMYFUNCTION("""COMPUTED_VALUE"""),1.0)</f>
        <v>1</v>
      </c>
      <c r="C2848" s="2">
        <f>IFERROR(__xludf.DUMMYFUNCTION("""COMPUTED_VALUE"""),374.0)</f>
        <v>374</v>
      </c>
      <c r="D2848" s="3">
        <f>IFERROR(__xludf.DUMMYFUNCTION("""COMPUTED_VALUE"""),208.0)</f>
        <v>208</v>
      </c>
      <c r="E2848" s="2"/>
      <c r="F2848" s="2"/>
    </row>
    <row r="2849">
      <c r="A2849" s="2">
        <f>IFERROR(__xludf.DUMMYFUNCTION("""COMPUTED_VALUE"""),164891.0)</f>
        <v>164891</v>
      </c>
      <c r="B2849" s="2">
        <f>IFERROR(__xludf.DUMMYFUNCTION("""COMPUTED_VALUE"""),0.0)</f>
        <v>0</v>
      </c>
      <c r="C2849" s="2">
        <f>IFERROR(__xludf.DUMMYFUNCTION("""COMPUTED_VALUE"""),322.0)</f>
        <v>322</v>
      </c>
      <c r="D2849" s="3">
        <f>IFERROR(__xludf.DUMMYFUNCTION("""COMPUTED_VALUE"""),219.0)</f>
        <v>219</v>
      </c>
      <c r="E2849" s="2"/>
      <c r="F2849" s="2"/>
    </row>
    <row r="2850">
      <c r="A2850" s="2">
        <f>IFERROR(__xludf.DUMMYFUNCTION("""COMPUTED_VALUE"""),101901.0)</f>
        <v>101901</v>
      </c>
      <c r="B2850" s="2">
        <f>IFERROR(__xludf.DUMMYFUNCTION("""COMPUTED_VALUE"""),1.0)</f>
        <v>1</v>
      </c>
      <c r="C2850" s="2">
        <f>IFERROR(__xludf.DUMMYFUNCTION("""COMPUTED_VALUE"""),646.0)</f>
        <v>646</v>
      </c>
      <c r="D2850" s="3">
        <f>IFERROR(__xludf.DUMMYFUNCTION("""COMPUTED_VALUE"""),589.0)</f>
        <v>589</v>
      </c>
      <c r="E2850" s="2"/>
      <c r="F2850" s="2"/>
    </row>
    <row r="2851">
      <c r="A2851" s="2">
        <f>IFERROR(__xludf.DUMMYFUNCTION("""COMPUTED_VALUE"""),197164.0)</f>
        <v>197164</v>
      </c>
      <c r="B2851" s="2">
        <f>IFERROR(__xludf.DUMMYFUNCTION("""COMPUTED_VALUE"""),1.0)</f>
        <v>1</v>
      </c>
      <c r="C2851" s="2">
        <f>IFERROR(__xludf.DUMMYFUNCTION("""COMPUTED_VALUE"""),762.0)</f>
        <v>762</v>
      </c>
      <c r="D2851" s="3">
        <f>IFERROR(__xludf.DUMMYFUNCTION("""COMPUTED_VALUE"""),79.0)</f>
        <v>79</v>
      </c>
      <c r="E2851" s="2"/>
      <c r="F2851" s="2"/>
    </row>
    <row r="2852">
      <c r="A2852" s="2">
        <f>IFERROR(__xludf.DUMMYFUNCTION("""COMPUTED_VALUE"""),114277.0)</f>
        <v>114277</v>
      </c>
      <c r="B2852" s="2">
        <f>IFERROR(__xludf.DUMMYFUNCTION("""COMPUTED_VALUE"""),1.0)</f>
        <v>1</v>
      </c>
      <c r="C2852" s="2">
        <f>IFERROR(__xludf.DUMMYFUNCTION("""COMPUTED_VALUE"""),626.0)</f>
        <v>626</v>
      </c>
      <c r="D2852" s="3">
        <f>IFERROR(__xludf.DUMMYFUNCTION("""COMPUTED_VALUE"""),117.0)</f>
        <v>117</v>
      </c>
      <c r="E2852" s="2"/>
      <c r="F2852" s="2"/>
    </row>
    <row r="2853">
      <c r="A2853" s="2">
        <f>IFERROR(__xludf.DUMMYFUNCTION("""COMPUTED_VALUE"""),86913.0)</f>
        <v>86913</v>
      </c>
      <c r="B2853" s="2">
        <f>IFERROR(__xludf.DUMMYFUNCTION("""COMPUTED_VALUE"""),0.0)</f>
        <v>0</v>
      </c>
      <c r="C2853" s="2">
        <f>IFERROR(__xludf.DUMMYFUNCTION("""COMPUTED_VALUE"""),697.0)</f>
        <v>697</v>
      </c>
      <c r="D2853" s="3">
        <f>IFERROR(__xludf.DUMMYFUNCTION("""COMPUTED_VALUE"""),219.0)</f>
        <v>219</v>
      </c>
      <c r="E2853" s="2"/>
      <c r="F2853" s="2"/>
    </row>
    <row r="2854">
      <c r="A2854" s="2">
        <f>IFERROR(__xludf.DUMMYFUNCTION("""COMPUTED_VALUE"""),88971.0)</f>
        <v>88971</v>
      </c>
      <c r="B2854" s="2">
        <f>IFERROR(__xludf.DUMMYFUNCTION("""COMPUTED_VALUE"""),0.0)</f>
        <v>0</v>
      </c>
      <c r="C2854" s="2">
        <f>IFERROR(__xludf.DUMMYFUNCTION("""COMPUTED_VALUE"""),928.0)</f>
        <v>928</v>
      </c>
      <c r="D2854" s="3">
        <f>IFERROR(__xludf.DUMMYFUNCTION("""COMPUTED_VALUE"""),519.0)</f>
        <v>519</v>
      </c>
      <c r="E2854" s="2"/>
      <c r="F2854" s="2"/>
    </row>
    <row r="2855">
      <c r="A2855" s="2">
        <f>IFERROR(__xludf.DUMMYFUNCTION("""COMPUTED_VALUE"""),188840.0)</f>
        <v>188840</v>
      </c>
      <c r="B2855" s="2">
        <f>IFERROR(__xludf.DUMMYFUNCTION("""COMPUTED_VALUE"""),1.0)</f>
        <v>1</v>
      </c>
      <c r="C2855" s="2">
        <f>IFERROR(__xludf.DUMMYFUNCTION("""COMPUTED_VALUE"""),734.0)</f>
        <v>734</v>
      </c>
      <c r="D2855" s="3">
        <f>IFERROR(__xludf.DUMMYFUNCTION("""COMPUTED_VALUE"""),539.0)</f>
        <v>539</v>
      </c>
      <c r="E2855" s="2"/>
      <c r="F2855" s="2"/>
    </row>
    <row r="2856">
      <c r="A2856" s="2">
        <f>IFERROR(__xludf.DUMMYFUNCTION("""COMPUTED_VALUE"""),95652.0)</f>
        <v>95652</v>
      </c>
      <c r="B2856" s="2">
        <f>IFERROR(__xludf.DUMMYFUNCTION("""COMPUTED_VALUE"""),1.0)</f>
        <v>1</v>
      </c>
      <c r="C2856" s="2">
        <f>IFERROR(__xludf.DUMMYFUNCTION("""COMPUTED_VALUE"""),711.0)</f>
        <v>711</v>
      </c>
      <c r="D2856" s="3">
        <f>IFERROR(__xludf.DUMMYFUNCTION("""COMPUTED_VALUE"""),322.0)</f>
        <v>322</v>
      </c>
      <c r="E2856" s="2"/>
      <c r="F2856" s="2"/>
    </row>
    <row r="2857">
      <c r="A2857" s="2">
        <f>IFERROR(__xludf.DUMMYFUNCTION("""COMPUTED_VALUE"""),68627.0)</f>
        <v>68627</v>
      </c>
      <c r="B2857" s="2">
        <f>IFERROR(__xludf.DUMMYFUNCTION("""COMPUTED_VALUE"""),0.0)</f>
        <v>0</v>
      </c>
      <c r="C2857" s="2">
        <f>IFERROR(__xludf.DUMMYFUNCTION("""COMPUTED_VALUE"""),732.0)</f>
        <v>732</v>
      </c>
      <c r="D2857" s="3">
        <f>IFERROR(__xludf.DUMMYFUNCTION("""COMPUTED_VALUE"""),49.0)</f>
        <v>49</v>
      </c>
      <c r="E2857" s="2"/>
      <c r="F2857" s="2"/>
    </row>
    <row r="2858">
      <c r="A2858" s="2">
        <f>IFERROR(__xludf.DUMMYFUNCTION("""COMPUTED_VALUE"""),46043.0)</f>
        <v>46043</v>
      </c>
      <c r="B2858" s="2">
        <f>IFERROR(__xludf.DUMMYFUNCTION("""COMPUTED_VALUE"""),1.0)</f>
        <v>1</v>
      </c>
      <c r="C2858" s="2">
        <f>IFERROR(__xludf.DUMMYFUNCTION("""COMPUTED_VALUE"""),266.0)</f>
        <v>266</v>
      </c>
      <c r="D2858" s="3">
        <f>IFERROR(__xludf.DUMMYFUNCTION("""COMPUTED_VALUE"""),35.0)</f>
        <v>35</v>
      </c>
      <c r="E2858" s="2"/>
      <c r="F2858" s="2"/>
    </row>
    <row r="2859">
      <c r="A2859" s="2">
        <f>IFERROR(__xludf.DUMMYFUNCTION("""COMPUTED_VALUE"""),60592.0)</f>
        <v>60592</v>
      </c>
      <c r="B2859" s="2">
        <f>IFERROR(__xludf.DUMMYFUNCTION("""COMPUTED_VALUE"""),0.0)</f>
        <v>0</v>
      </c>
      <c r="C2859" s="2">
        <f>IFERROR(__xludf.DUMMYFUNCTION("""COMPUTED_VALUE"""),213.0)</f>
        <v>213</v>
      </c>
      <c r="D2859" s="3">
        <f>IFERROR(__xludf.DUMMYFUNCTION("""COMPUTED_VALUE"""),190.0)</f>
        <v>190</v>
      </c>
      <c r="E2859" s="2"/>
      <c r="F2859" s="2"/>
    </row>
    <row r="2860">
      <c r="A2860" s="2">
        <f>IFERROR(__xludf.DUMMYFUNCTION("""COMPUTED_VALUE"""),99350.0)</f>
        <v>99350</v>
      </c>
      <c r="B2860" s="2">
        <f>IFERROR(__xludf.DUMMYFUNCTION("""COMPUTED_VALUE"""),0.0)</f>
        <v>0</v>
      </c>
      <c r="C2860" s="2">
        <f>IFERROR(__xludf.DUMMYFUNCTION("""COMPUTED_VALUE"""),452.0)</f>
        <v>452</v>
      </c>
      <c r="D2860" s="3">
        <f>IFERROR(__xludf.DUMMYFUNCTION("""COMPUTED_VALUE"""),180.0)</f>
        <v>180</v>
      </c>
      <c r="E2860" s="2"/>
      <c r="F2860" s="2"/>
    </row>
    <row r="2861">
      <c r="A2861" s="2">
        <f>IFERROR(__xludf.DUMMYFUNCTION("""COMPUTED_VALUE"""),78983.0)</f>
        <v>78983</v>
      </c>
      <c r="B2861" s="2">
        <f>IFERROR(__xludf.DUMMYFUNCTION("""COMPUTED_VALUE"""),0.0)</f>
        <v>0</v>
      </c>
      <c r="C2861" s="2">
        <f>IFERROR(__xludf.DUMMYFUNCTION("""COMPUTED_VALUE"""),401.0)</f>
        <v>401</v>
      </c>
      <c r="D2861" s="3">
        <f>IFERROR(__xludf.DUMMYFUNCTION("""COMPUTED_VALUE"""),134.0)</f>
        <v>134</v>
      </c>
      <c r="E2861" s="2"/>
      <c r="F2861" s="2"/>
    </row>
    <row r="2862">
      <c r="A2862" s="2">
        <f>IFERROR(__xludf.DUMMYFUNCTION("""COMPUTED_VALUE"""),188845.0)</f>
        <v>188845</v>
      </c>
      <c r="B2862" s="2">
        <f>IFERROR(__xludf.DUMMYFUNCTION("""COMPUTED_VALUE"""),0.0)</f>
        <v>0</v>
      </c>
      <c r="C2862" s="2">
        <f>IFERROR(__xludf.DUMMYFUNCTION("""COMPUTED_VALUE"""),644.0)</f>
        <v>644</v>
      </c>
      <c r="D2862" s="3">
        <f>IFERROR(__xludf.DUMMYFUNCTION("""COMPUTED_VALUE"""),123.0)</f>
        <v>123</v>
      </c>
      <c r="E2862" s="2"/>
      <c r="F2862" s="2"/>
    </row>
    <row r="2863">
      <c r="A2863" s="2">
        <f>IFERROR(__xludf.DUMMYFUNCTION("""COMPUTED_VALUE"""),117787.0)</f>
        <v>117787</v>
      </c>
      <c r="B2863" s="2">
        <f>IFERROR(__xludf.DUMMYFUNCTION("""COMPUTED_VALUE"""),0.0)</f>
        <v>0</v>
      </c>
      <c r="C2863" s="2">
        <f>IFERROR(__xludf.DUMMYFUNCTION("""COMPUTED_VALUE"""),109.0)</f>
        <v>109</v>
      </c>
      <c r="D2863" s="3">
        <f>IFERROR(__xludf.DUMMYFUNCTION("""COMPUTED_VALUE"""),100.0)</f>
        <v>100</v>
      </c>
      <c r="E2863" s="2"/>
      <c r="F2863" s="2"/>
    </row>
    <row r="2864">
      <c r="A2864" s="2">
        <f>IFERROR(__xludf.DUMMYFUNCTION("""COMPUTED_VALUE"""),119986.0)</f>
        <v>119986</v>
      </c>
      <c r="B2864" s="2">
        <f>IFERROR(__xludf.DUMMYFUNCTION("""COMPUTED_VALUE"""),1.0)</f>
        <v>1</v>
      </c>
      <c r="C2864" s="2">
        <f>IFERROR(__xludf.DUMMYFUNCTION("""COMPUTED_VALUE"""),767.0)</f>
        <v>767</v>
      </c>
      <c r="D2864" s="3">
        <f>IFERROR(__xludf.DUMMYFUNCTION("""COMPUTED_VALUE"""),650.0)</f>
        <v>650</v>
      </c>
      <c r="E2864" s="2"/>
      <c r="F2864" s="2"/>
    </row>
    <row r="2865">
      <c r="A2865" s="2">
        <f>IFERROR(__xludf.DUMMYFUNCTION("""COMPUTED_VALUE"""),188841.0)</f>
        <v>188841</v>
      </c>
      <c r="B2865" s="2">
        <f>IFERROR(__xludf.DUMMYFUNCTION("""COMPUTED_VALUE"""),1.0)</f>
        <v>1</v>
      </c>
      <c r="C2865" s="2">
        <f>IFERROR(__xludf.DUMMYFUNCTION("""COMPUTED_VALUE"""),169.0)</f>
        <v>169</v>
      </c>
      <c r="D2865" s="3">
        <f>IFERROR(__xludf.DUMMYFUNCTION("""COMPUTED_VALUE"""),44.0)</f>
        <v>44</v>
      </c>
      <c r="E2865" s="2"/>
      <c r="F2865" s="2"/>
    </row>
    <row r="2866">
      <c r="A2866" s="2">
        <f>IFERROR(__xludf.DUMMYFUNCTION("""COMPUTED_VALUE"""),99348.0)</f>
        <v>99348</v>
      </c>
      <c r="B2866" s="2">
        <f>IFERROR(__xludf.DUMMYFUNCTION("""COMPUTED_VALUE"""),1.0)</f>
        <v>1</v>
      </c>
      <c r="C2866" s="2">
        <f>IFERROR(__xludf.DUMMYFUNCTION("""COMPUTED_VALUE"""),0.0)</f>
        <v>0</v>
      </c>
      <c r="D2866" s="3">
        <f>IFERROR(__xludf.DUMMYFUNCTION("""COMPUTED_VALUE"""),0.0)</f>
        <v>0</v>
      </c>
      <c r="E2866" s="2"/>
      <c r="F2866" s="2"/>
    </row>
    <row r="2867">
      <c r="A2867" s="2">
        <f>IFERROR(__xludf.DUMMYFUNCTION("""COMPUTED_VALUE"""),78978.0)</f>
        <v>78978</v>
      </c>
      <c r="B2867" s="2">
        <f>IFERROR(__xludf.DUMMYFUNCTION("""COMPUTED_VALUE"""),0.0)</f>
        <v>0</v>
      </c>
      <c r="C2867" s="2">
        <f>IFERROR(__xludf.DUMMYFUNCTION("""COMPUTED_VALUE"""),221.0)</f>
        <v>221</v>
      </c>
      <c r="D2867" s="3">
        <f>IFERROR(__xludf.DUMMYFUNCTION("""COMPUTED_VALUE"""),194.0)</f>
        <v>194</v>
      </c>
      <c r="E2867" s="2"/>
      <c r="F2867" s="2"/>
    </row>
    <row r="2868">
      <c r="A2868" s="2">
        <f>IFERROR(__xludf.DUMMYFUNCTION("""COMPUTED_VALUE"""),120556.0)</f>
        <v>120556</v>
      </c>
      <c r="B2868" s="2">
        <f>IFERROR(__xludf.DUMMYFUNCTION("""COMPUTED_VALUE"""),1.0)</f>
        <v>1</v>
      </c>
      <c r="C2868" s="2">
        <f>IFERROR(__xludf.DUMMYFUNCTION("""COMPUTED_VALUE"""),348.0)</f>
        <v>348</v>
      </c>
      <c r="D2868" s="3">
        <f>IFERROR(__xludf.DUMMYFUNCTION("""COMPUTED_VALUE"""),308.0)</f>
        <v>308</v>
      </c>
      <c r="E2868" s="2"/>
      <c r="F2868" s="2"/>
    </row>
    <row r="2869">
      <c r="A2869" s="2">
        <f>IFERROR(__xludf.DUMMYFUNCTION("""COMPUTED_VALUE"""),80254.0)</f>
        <v>80254</v>
      </c>
      <c r="B2869" s="2">
        <f>IFERROR(__xludf.DUMMYFUNCTION("""COMPUTED_VALUE"""),0.0)</f>
        <v>0</v>
      </c>
      <c r="C2869" s="2">
        <f>IFERROR(__xludf.DUMMYFUNCTION("""COMPUTED_VALUE"""),302.0)</f>
        <v>302</v>
      </c>
      <c r="D2869" s="3">
        <f>IFERROR(__xludf.DUMMYFUNCTION("""COMPUTED_VALUE"""),121.0)</f>
        <v>121</v>
      </c>
      <c r="E2869" s="2"/>
      <c r="F2869" s="2"/>
    </row>
    <row r="2870">
      <c r="A2870" s="2">
        <f>IFERROR(__xludf.DUMMYFUNCTION("""COMPUTED_VALUE"""),121911.0)</f>
        <v>121911</v>
      </c>
      <c r="B2870" s="2">
        <f>IFERROR(__xludf.DUMMYFUNCTION("""COMPUTED_VALUE"""),1.0)</f>
        <v>1</v>
      </c>
      <c r="C2870" s="2">
        <f>IFERROR(__xludf.DUMMYFUNCTION("""COMPUTED_VALUE"""),324.0)</f>
        <v>324</v>
      </c>
      <c r="D2870" s="3">
        <f>IFERROR(__xludf.DUMMYFUNCTION("""COMPUTED_VALUE"""),109.0)</f>
        <v>109</v>
      </c>
      <c r="E2870" s="2"/>
      <c r="F2870" s="2"/>
    </row>
    <row r="2871">
      <c r="A2871" s="2">
        <f>IFERROR(__xludf.DUMMYFUNCTION("""COMPUTED_VALUE"""),120328.0)</f>
        <v>120328</v>
      </c>
      <c r="B2871" s="2">
        <f>IFERROR(__xludf.DUMMYFUNCTION("""COMPUTED_VALUE"""),1.0)</f>
        <v>1</v>
      </c>
      <c r="C2871" s="2">
        <f>IFERROR(__xludf.DUMMYFUNCTION("""COMPUTED_VALUE"""),783.0)</f>
        <v>783</v>
      </c>
      <c r="D2871" s="3">
        <f>IFERROR(__xludf.DUMMYFUNCTION("""COMPUTED_VALUE"""),768.0)</f>
        <v>768</v>
      </c>
      <c r="E2871" s="2"/>
      <c r="F2871" s="2"/>
    </row>
    <row r="2872">
      <c r="A2872" s="2">
        <f>IFERROR(__xludf.DUMMYFUNCTION("""COMPUTED_VALUE"""),122702.0)</f>
        <v>122702</v>
      </c>
      <c r="B2872" s="2">
        <f>IFERROR(__xludf.DUMMYFUNCTION("""COMPUTED_VALUE"""),0.0)</f>
        <v>0</v>
      </c>
      <c r="C2872" s="2">
        <f>IFERROR(__xludf.DUMMYFUNCTION("""COMPUTED_VALUE"""),276.0)</f>
        <v>276</v>
      </c>
      <c r="D2872" s="3">
        <f>IFERROR(__xludf.DUMMYFUNCTION("""COMPUTED_VALUE"""),224.0)</f>
        <v>224</v>
      </c>
      <c r="E2872" s="2"/>
      <c r="F2872" s="2"/>
    </row>
    <row r="2873">
      <c r="A2873" s="2">
        <f>IFERROR(__xludf.DUMMYFUNCTION("""COMPUTED_VALUE"""),92542.0)</f>
        <v>92542</v>
      </c>
      <c r="B2873" s="2">
        <f>IFERROR(__xludf.DUMMYFUNCTION("""COMPUTED_VALUE"""),0.0)</f>
        <v>0</v>
      </c>
      <c r="C2873" s="2">
        <f>IFERROR(__xludf.DUMMYFUNCTION("""COMPUTED_VALUE"""),248.0)</f>
        <v>248</v>
      </c>
      <c r="D2873" s="3">
        <f>IFERROR(__xludf.DUMMYFUNCTION("""COMPUTED_VALUE"""),44.0)</f>
        <v>44</v>
      </c>
      <c r="E2873" s="2"/>
      <c r="F2873" s="2"/>
    </row>
    <row r="2874">
      <c r="A2874" s="2">
        <f>IFERROR(__xludf.DUMMYFUNCTION("""COMPUTED_VALUE"""),15423.0)</f>
        <v>15423</v>
      </c>
      <c r="B2874" s="2">
        <f>IFERROR(__xludf.DUMMYFUNCTION("""COMPUTED_VALUE"""),1.0)</f>
        <v>1</v>
      </c>
      <c r="C2874" s="2">
        <f>IFERROR(__xludf.DUMMYFUNCTION("""COMPUTED_VALUE"""),862.0)</f>
        <v>862</v>
      </c>
      <c r="D2874" s="3">
        <f>IFERROR(__xludf.DUMMYFUNCTION("""COMPUTED_VALUE"""),390.0)</f>
        <v>390</v>
      </c>
      <c r="E2874" s="2"/>
      <c r="F2874" s="2"/>
    </row>
    <row r="2875">
      <c r="A2875" s="2">
        <f>IFERROR(__xludf.DUMMYFUNCTION("""COMPUTED_VALUE"""),111797.0)</f>
        <v>111797</v>
      </c>
      <c r="B2875" s="2">
        <f>IFERROR(__xludf.DUMMYFUNCTION("""COMPUTED_VALUE"""),1.0)</f>
        <v>1</v>
      </c>
      <c r="C2875" s="2">
        <f>IFERROR(__xludf.DUMMYFUNCTION("""COMPUTED_VALUE"""),37.0)</f>
        <v>37</v>
      </c>
      <c r="D2875" s="3">
        <f>IFERROR(__xludf.DUMMYFUNCTION("""COMPUTED_VALUE"""),37.0)</f>
        <v>37</v>
      </c>
      <c r="E2875" s="2"/>
      <c r="F2875" s="2"/>
    </row>
    <row r="2876">
      <c r="A2876" s="2">
        <f>IFERROR(__xludf.DUMMYFUNCTION("""COMPUTED_VALUE"""),112626.0)</f>
        <v>112626</v>
      </c>
      <c r="B2876" s="2">
        <f>IFERROR(__xludf.DUMMYFUNCTION("""COMPUTED_VALUE"""),1.0)</f>
        <v>1</v>
      </c>
      <c r="C2876" s="2">
        <f>IFERROR(__xludf.DUMMYFUNCTION("""COMPUTED_VALUE"""),496.0)</f>
        <v>496</v>
      </c>
      <c r="D2876" s="3">
        <f>IFERROR(__xludf.DUMMYFUNCTION("""COMPUTED_VALUE"""),54.0)</f>
        <v>54</v>
      </c>
      <c r="E2876" s="2"/>
      <c r="F2876" s="2"/>
    </row>
    <row r="2877">
      <c r="A2877" s="2">
        <f>IFERROR(__xludf.DUMMYFUNCTION("""COMPUTED_VALUE"""),12925.0)</f>
        <v>12925</v>
      </c>
      <c r="B2877" s="2">
        <f>IFERROR(__xludf.DUMMYFUNCTION("""COMPUTED_VALUE"""),1.0)</f>
        <v>1</v>
      </c>
      <c r="C2877" s="2">
        <f>IFERROR(__xludf.DUMMYFUNCTION("""COMPUTED_VALUE"""),586.0)</f>
        <v>586</v>
      </c>
      <c r="D2877" s="3">
        <f>IFERROR(__xludf.DUMMYFUNCTION("""COMPUTED_VALUE"""),23.0)</f>
        <v>23</v>
      </c>
      <c r="E2877" s="2"/>
      <c r="F2877" s="2"/>
    </row>
    <row r="2878">
      <c r="A2878" s="2">
        <f>IFERROR(__xludf.DUMMYFUNCTION("""COMPUTED_VALUE"""),107034.0)</f>
        <v>107034</v>
      </c>
      <c r="B2878" s="2">
        <f>IFERROR(__xludf.DUMMYFUNCTION("""COMPUTED_VALUE"""),0.0)</f>
        <v>0</v>
      </c>
      <c r="C2878" s="2">
        <f>IFERROR(__xludf.DUMMYFUNCTION("""COMPUTED_VALUE"""),804.0)</f>
        <v>804</v>
      </c>
      <c r="D2878" s="3">
        <f>IFERROR(__xludf.DUMMYFUNCTION("""COMPUTED_VALUE"""),15.0)</f>
        <v>15</v>
      </c>
      <c r="E2878" s="2"/>
      <c r="F2878" s="2"/>
    </row>
    <row r="2879">
      <c r="A2879" s="2">
        <f>IFERROR(__xludf.DUMMYFUNCTION("""COMPUTED_VALUE"""),88319.0)</f>
        <v>88319</v>
      </c>
      <c r="B2879" s="2">
        <f>IFERROR(__xludf.DUMMYFUNCTION("""COMPUTED_VALUE"""),1.0)</f>
        <v>1</v>
      </c>
      <c r="C2879" s="2">
        <f>IFERROR(__xludf.DUMMYFUNCTION("""COMPUTED_VALUE"""),555.0)</f>
        <v>555</v>
      </c>
      <c r="D2879" s="3">
        <f>IFERROR(__xludf.DUMMYFUNCTION("""COMPUTED_VALUE"""),286.0)</f>
        <v>286</v>
      </c>
      <c r="E2879" s="2"/>
      <c r="F2879" s="2"/>
    </row>
    <row r="2880">
      <c r="A2880" s="2">
        <f>IFERROR(__xludf.DUMMYFUNCTION("""COMPUTED_VALUE"""),3453.0)</f>
        <v>3453</v>
      </c>
      <c r="B2880" s="2">
        <f>IFERROR(__xludf.DUMMYFUNCTION("""COMPUTED_VALUE"""),1.0)</f>
        <v>1</v>
      </c>
      <c r="C2880" s="2">
        <f>IFERROR(__xludf.DUMMYFUNCTION("""COMPUTED_VALUE"""),432.0)</f>
        <v>432</v>
      </c>
      <c r="D2880" s="3">
        <f>IFERROR(__xludf.DUMMYFUNCTION("""COMPUTED_VALUE"""),25.0)</f>
        <v>25</v>
      </c>
      <c r="E2880" s="2"/>
      <c r="F2880" s="2"/>
    </row>
    <row r="2881">
      <c r="A2881" s="2">
        <f>IFERROR(__xludf.DUMMYFUNCTION("""COMPUTED_VALUE"""),121425.0)</f>
        <v>121425</v>
      </c>
      <c r="B2881" s="2">
        <f>IFERROR(__xludf.DUMMYFUNCTION("""COMPUTED_VALUE"""),0.0)</f>
        <v>0</v>
      </c>
      <c r="C2881" s="2">
        <f>IFERROR(__xludf.DUMMYFUNCTION("""COMPUTED_VALUE"""),384.0)</f>
        <v>384</v>
      </c>
      <c r="D2881" s="3">
        <f>IFERROR(__xludf.DUMMYFUNCTION("""COMPUTED_VALUE"""),81.0)</f>
        <v>81</v>
      </c>
      <c r="E2881" s="2"/>
      <c r="F2881" s="2"/>
    </row>
    <row r="2882">
      <c r="A2882" s="2">
        <f>IFERROR(__xludf.DUMMYFUNCTION("""COMPUTED_VALUE"""),10561.0)</f>
        <v>10561</v>
      </c>
      <c r="B2882" s="2">
        <f>IFERROR(__xludf.DUMMYFUNCTION("""COMPUTED_VALUE"""),0.0)</f>
        <v>0</v>
      </c>
      <c r="C2882" s="2">
        <f>IFERROR(__xludf.DUMMYFUNCTION("""COMPUTED_VALUE"""),654.0)</f>
        <v>654</v>
      </c>
      <c r="D2882" s="3">
        <f>IFERROR(__xludf.DUMMYFUNCTION("""COMPUTED_VALUE"""),208.0)</f>
        <v>208</v>
      </c>
      <c r="E2882" s="2"/>
      <c r="F2882" s="2"/>
    </row>
    <row r="2883">
      <c r="A2883" s="2">
        <f>IFERROR(__xludf.DUMMYFUNCTION("""COMPUTED_VALUE"""),90294.0)</f>
        <v>90294</v>
      </c>
      <c r="B2883" s="2">
        <f>IFERROR(__xludf.DUMMYFUNCTION("""COMPUTED_VALUE"""),0.0)</f>
        <v>0</v>
      </c>
      <c r="C2883" s="2">
        <f>IFERROR(__xludf.DUMMYFUNCTION("""COMPUTED_VALUE"""),933.0)</f>
        <v>933</v>
      </c>
      <c r="D2883" s="3">
        <f>IFERROR(__xludf.DUMMYFUNCTION("""COMPUTED_VALUE"""),544.0)</f>
        <v>544</v>
      </c>
      <c r="E2883" s="2"/>
      <c r="F2883" s="2"/>
    </row>
    <row r="2884">
      <c r="A2884" s="2">
        <f>IFERROR(__xludf.DUMMYFUNCTION("""COMPUTED_VALUE"""),70804.0)</f>
        <v>70804</v>
      </c>
      <c r="B2884" s="2">
        <f>IFERROR(__xludf.DUMMYFUNCTION("""COMPUTED_VALUE"""),0.0)</f>
        <v>0</v>
      </c>
      <c r="C2884" s="2">
        <f>IFERROR(__xludf.DUMMYFUNCTION("""COMPUTED_VALUE"""),718.0)</f>
        <v>718</v>
      </c>
      <c r="D2884" s="3">
        <f>IFERROR(__xludf.DUMMYFUNCTION("""COMPUTED_VALUE"""),5.0)</f>
        <v>5</v>
      </c>
      <c r="E2884" s="2"/>
      <c r="F2884" s="2"/>
    </row>
    <row r="2885">
      <c r="A2885" s="2">
        <f>IFERROR(__xludf.DUMMYFUNCTION("""COMPUTED_VALUE"""),81237.0)</f>
        <v>81237</v>
      </c>
      <c r="B2885" s="2">
        <f>IFERROR(__xludf.DUMMYFUNCTION("""COMPUTED_VALUE"""),1.0)</f>
        <v>1</v>
      </c>
      <c r="C2885" s="2">
        <f>IFERROR(__xludf.DUMMYFUNCTION("""COMPUTED_VALUE"""),284.0)</f>
        <v>284</v>
      </c>
      <c r="D2885" s="3">
        <f>IFERROR(__xludf.DUMMYFUNCTION("""COMPUTED_VALUE"""),44.0)</f>
        <v>44</v>
      </c>
      <c r="E2885" s="2"/>
      <c r="F2885" s="2"/>
    </row>
    <row r="2886">
      <c r="A2886" s="2">
        <f>IFERROR(__xludf.DUMMYFUNCTION("""COMPUTED_VALUE"""),47564.0)</f>
        <v>47564</v>
      </c>
      <c r="B2886" s="2">
        <f>IFERROR(__xludf.DUMMYFUNCTION("""COMPUTED_VALUE"""),1.0)</f>
        <v>1</v>
      </c>
      <c r="C2886" s="2">
        <f>IFERROR(__xludf.DUMMYFUNCTION("""COMPUTED_VALUE"""),548.0)</f>
        <v>548</v>
      </c>
      <c r="D2886" s="3">
        <f>IFERROR(__xludf.DUMMYFUNCTION("""COMPUTED_VALUE"""),387.0)</f>
        <v>387</v>
      </c>
      <c r="E2886" s="2"/>
      <c r="F2886" s="2"/>
    </row>
    <row r="2887">
      <c r="A2887" s="2">
        <f>IFERROR(__xludf.DUMMYFUNCTION("""COMPUTED_VALUE"""),24055.0)</f>
        <v>24055</v>
      </c>
      <c r="B2887" s="2">
        <f>IFERROR(__xludf.DUMMYFUNCTION("""COMPUTED_VALUE"""),1.0)</f>
        <v>1</v>
      </c>
      <c r="C2887" s="2">
        <f>IFERROR(__xludf.DUMMYFUNCTION("""COMPUTED_VALUE"""),164.0)</f>
        <v>164</v>
      </c>
      <c r="D2887" s="3">
        <f>IFERROR(__xludf.DUMMYFUNCTION("""COMPUTED_VALUE"""),125.0)</f>
        <v>125</v>
      </c>
      <c r="E2887" s="2"/>
      <c r="F2887" s="2"/>
    </row>
    <row r="2888">
      <c r="A2888" s="2">
        <f>IFERROR(__xludf.DUMMYFUNCTION("""COMPUTED_VALUE"""),48637.0)</f>
        <v>48637</v>
      </c>
      <c r="B2888" s="2">
        <f>IFERROR(__xludf.DUMMYFUNCTION("""COMPUTED_VALUE"""),1.0)</f>
        <v>1</v>
      </c>
      <c r="C2888" s="2">
        <f>IFERROR(__xludf.DUMMYFUNCTION("""COMPUTED_VALUE"""),900.0)</f>
        <v>900</v>
      </c>
      <c r="D2888" s="3">
        <f>IFERROR(__xludf.DUMMYFUNCTION("""COMPUTED_VALUE"""),438.0)</f>
        <v>438</v>
      </c>
      <c r="E2888" s="2"/>
      <c r="F2888" s="2"/>
    </row>
    <row r="2889">
      <c r="A2889" s="2">
        <f>IFERROR(__xludf.DUMMYFUNCTION("""COMPUTED_VALUE"""),3447.0)</f>
        <v>3447</v>
      </c>
      <c r="B2889" s="2">
        <f>IFERROR(__xludf.DUMMYFUNCTION("""COMPUTED_VALUE"""),1.0)</f>
        <v>1</v>
      </c>
      <c r="C2889" s="2">
        <f>IFERROR(__xludf.DUMMYFUNCTION("""COMPUTED_VALUE"""),39.0)</f>
        <v>39</v>
      </c>
      <c r="D2889" s="3">
        <f>IFERROR(__xludf.DUMMYFUNCTION("""COMPUTED_VALUE"""),35.0)</f>
        <v>35</v>
      </c>
      <c r="E2889" s="2"/>
      <c r="F2889" s="2"/>
    </row>
    <row r="2890">
      <c r="A2890" s="2">
        <f>IFERROR(__xludf.DUMMYFUNCTION("""COMPUTED_VALUE"""),117921.0)</f>
        <v>117921</v>
      </c>
      <c r="B2890" s="2">
        <f>IFERROR(__xludf.DUMMYFUNCTION("""COMPUTED_VALUE"""),0.0)</f>
        <v>0</v>
      </c>
      <c r="C2890" s="2">
        <f>IFERROR(__xludf.DUMMYFUNCTION("""COMPUTED_VALUE"""),334.0)</f>
        <v>334</v>
      </c>
      <c r="D2890" s="3">
        <f>IFERROR(__xludf.DUMMYFUNCTION("""COMPUTED_VALUE"""),147.0)</f>
        <v>147</v>
      </c>
      <c r="E2890" s="2"/>
      <c r="F2890" s="2"/>
    </row>
    <row r="2891">
      <c r="A2891" s="2">
        <f>IFERROR(__xludf.DUMMYFUNCTION("""COMPUTED_VALUE"""),128322.0)</f>
        <v>128322</v>
      </c>
      <c r="B2891" s="2">
        <f>IFERROR(__xludf.DUMMYFUNCTION("""COMPUTED_VALUE"""),0.0)</f>
        <v>0</v>
      </c>
      <c r="C2891" s="2">
        <f>IFERROR(__xludf.DUMMYFUNCTION("""COMPUTED_VALUE"""),947.0)</f>
        <v>947</v>
      </c>
      <c r="D2891" s="3">
        <f>IFERROR(__xludf.DUMMYFUNCTION("""COMPUTED_VALUE"""),252.0)</f>
        <v>252</v>
      </c>
      <c r="E2891" s="2"/>
      <c r="F2891" s="2"/>
    </row>
    <row r="2892">
      <c r="A2892" s="2">
        <f>IFERROR(__xludf.DUMMYFUNCTION("""COMPUTED_VALUE"""),42207.0)</f>
        <v>42207</v>
      </c>
      <c r="B2892" s="2">
        <f>IFERROR(__xludf.DUMMYFUNCTION("""COMPUTED_VALUE"""),1.0)</f>
        <v>1</v>
      </c>
      <c r="C2892" s="2">
        <f>IFERROR(__xludf.DUMMYFUNCTION("""COMPUTED_VALUE"""),661.0)</f>
        <v>661</v>
      </c>
      <c r="D2892" s="3">
        <f>IFERROR(__xludf.DUMMYFUNCTION("""COMPUTED_VALUE"""),330.0)</f>
        <v>330</v>
      </c>
      <c r="E2892" s="2"/>
      <c r="F2892" s="2"/>
    </row>
    <row r="2893">
      <c r="A2893" s="2">
        <f>IFERROR(__xludf.DUMMYFUNCTION("""COMPUTED_VALUE"""),108394.0)</f>
        <v>108394</v>
      </c>
      <c r="B2893" s="2">
        <f>IFERROR(__xludf.DUMMYFUNCTION("""COMPUTED_VALUE"""),1.0)</f>
        <v>1</v>
      </c>
      <c r="C2893" s="2">
        <f>IFERROR(__xludf.DUMMYFUNCTION("""COMPUTED_VALUE"""),492.0)</f>
        <v>492</v>
      </c>
      <c r="D2893" s="3">
        <f>IFERROR(__xludf.DUMMYFUNCTION("""COMPUTED_VALUE"""),197.0)</f>
        <v>197</v>
      </c>
      <c r="E2893" s="2"/>
      <c r="F2893" s="2"/>
    </row>
    <row r="2894">
      <c r="A2894" s="2">
        <f>IFERROR(__xludf.DUMMYFUNCTION("""COMPUTED_VALUE"""),119967.0)</f>
        <v>119967</v>
      </c>
      <c r="B2894" s="2">
        <f>IFERROR(__xludf.DUMMYFUNCTION("""COMPUTED_VALUE"""),1.0)</f>
        <v>1</v>
      </c>
      <c r="C2894" s="2">
        <f>IFERROR(__xludf.DUMMYFUNCTION("""COMPUTED_VALUE"""),813.0)</f>
        <v>813</v>
      </c>
      <c r="D2894" s="3">
        <f>IFERROR(__xludf.DUMMYFUNCTION("""COMPUTED_VALUE"""),366.0)</f>
        <v>366</v>
      </c>
      <c r="E2894" s="2"/>
      <c r="F2894" s="2"/>
    </row>
    <row r="2895">
      <c r="A2895" s="2">
        <f>IFERROR(__xludf.DUMMYFUNCTION("""COMPUTED_VALUE"""),81235.0)</f>
        <v>81235</v>
      </c>
      <c r="B2895" s="2">
        <f>IFERROR(__xludf.DUMMYFUNCTION("""COMPUTED_VALUE"""),0.0)</f>
        <v>0</v>
      </c>
      <c r="C2895" s="2">
        <f>IFERROR(__xludf.DUMMYFUNCTION("""COMPUTED_VALUE"""),910.0)</f>
        <v>910</v>
      </c>
      <c r="D2895" s="3">
        <f>IFERROR(__xludf.DUMMYFUNCTION("""COMPUTED_VALUE"""),111.0)</f>
        <v>111</v>
      </c>
      <c r="E2895" s="2"/>
      <c r="F2895" s="2"/>
    </row>
    <row r="2896">
      <c r="A2896" s="2">
        <f>IFERROR(__xludf.DUMMYFUNCTION("""COMPUTED_VALUE"""),24053.0)</f>
        <v>24053</v>
      </c>
      <c r="B2896" s="2">
        <f>IFERROR(__xludf.DUMMYFUNCTION("""COMPUTED_VALUE"""),1.0)</f>
        <v>1</v>
      </c>
      <c r="C2896" s="2">
        <f>IFERROR(__xludf.DUMMYFUNCTION("""COMPUTED_VALUE"""),93.0)</f>
        <v>93</v>
      </c>
      <c r="D2896" s="3">
        <f>IFERROR(__xludf.DUMMYFUNCTION("""COMPUTED_VALUE"""),34.0)</f>
        <v>34</v>
      </c>
      <c r="E2896" s="2"/>
      <c r="F2896" s="2"/>
    </row>
    <row r="2897">
      <c r="A2897" s="2">
        <f>IFERROR(__xludf.DUMMYFUNCTION("""COMPUTED_VALUE"""),116936.0)</f>
        <v>116936</v>
      </c>
      <c r="B2897" s="2">
        <f>IFERROR(__xludf.DUMMYFUNCTION("""COMPUTED_VALUE"""),0.0)</f>
        <v>0</v>
      </c>
      <c r="C2897" s="2">
        <f>IFERROR(__xludf.DUMMYFUNCTION("""COMPUTED_VALUE"""),560.0)</f>
        <v>560</v>
      </c>
      <c r="D2897" s="3">
        <f>IFERROR(__xludf.DUMMYFUNCTION("""COMPUTED_VALUE"""),142.0)</f>
        <v>142</v>
      </c>
      <c r="E2897" s="2"/>
      <c r="F2897" s="2"/>
    </row>
    <row r="2898">
      <c r="A2898" s="2">
        <f>IFERROR(__xludf.DUMMYFUNCTION("""COMPUTED_VALUE"""),44268.0)</f>
        <v>44268</v>
      </c>
      <c r="B2898" s="2">
        <f>IFERROR(__xludf.DUMMYFUNCTION("""COMPUTED_VALUE"""),1.0)</f>
        <v>1</v>
      </c>
      <c r="C2898" s="2">
        <f>IFERROR(__xludf.DUMMYFUNCTION("""COMPUTED_VALUE"""),96.0)</f>
        <v>96</v>
      </c>
      <c r="D2898" s="3">
        <f>IFERROR(__xludf.DUMMYFUNCTION("""COMPUTED_VALUE"""),17.0)</f>
        <v>17</v>
      </c>
      <c r="E2898" s="2"/>
      <c r="F2898" s="2"/>
    </row>
    <row r="2899">
      <c r="A2899" s="2">
        <f>IFERROR(__xludf.DUMMYFUNCTION("""COMPUTED_VALUE"""),111946.0)</f>
        <v>111946</v>
      </c>
      <c r="B2899" s="2">
        <f>IFERROR(__xludf.DUMMYFUNCTION("""COMPUTED_VALUE"""),1.0)</f>
        <v>1</v>
      </c>
      <c r="C2899" s="2">
        <f>IFERROR(__xludf.DUMMYFUNCTION("""COMPUTED_VALUE"""),431.0)</f>
        <v>431</v>
      </c>
      <c r="D2899" s="3">
        <f>IFERROR(__xludf.DUMMYFUNCTION("""COMPUTED_VALUE"""),419.0)</f>
        <v>419</v>
      </c>
      <c r="E2899" s="2"/>
      <c r="F2899" s="2"/>
    </row>
    <row r="2900">
      <c r="A2900" s="2">
        <f>IFERROR(__xludf.DUMMYFUNCTION("""COMPUTED_VALUE"""),81234.0)</f>
        <v>81234</v>
      </c>
      <c r="B2900" s="2">
        <f>IFERROR(__xludf.DUMMYFUNCTION("""COMPUTED_VALUE"""),1.0)</f>
        <v>1</v>
      </c>
      <c r="C2900" s="2">
        <f>IFERROR(__xludf.DUMMYFUNCTION("""COMPUTED_VALUE"""),327.0)</f>
        <v>327</v>
      </c>
      <c r="D2900" s="3">
        <f>IFERROR(__xludf.DUMMYFUNCTION("""COMPUTED_VALUE"""),131.0)</f>
        <v>131</v>
      </c>
      <c r="E2900" s="2"/>
      <c r="F2900" s="2"/>
    </row>
    <row r="2901">
      <c r="A2901" s="2">
        <f>IFERROR(__xludf.DUMMYFUNCTION("""COMPUTED_VALUE"""),24038.0)</f>
        <v>24038</v>
      </c>
      <c r="B2901" s="2">
        <f>IFERROR(__xludf.DUMMYFUNCTION("""COMPUTED_VALUE"""),0.0)</f>
        <v>0</v>
      </c>
      <c r="C2901" s="2">
        <f>IFERROR(__xludf.DUMMYFUNCTION("""COMPUTED_VALUE"""),205.0)</f>
        <v>205</v>
      </c>
      <c r="D2901" s="3">
        <f>IFERROR(__xludf.DUMMYFUNCTION("""COMPUTED_VALUE"""),73.0)</f>
        <v>73</v>
      </c>
      <c r="E2901" s="2"/>
      <c r="F2901" s="2"/>
    </row>
    <row r="2902">
      <c r="A2902" s="2">
        <f>IFERROR(__xludf.DUMMYFUNCTION("""COMPUTED_VALUE"""),44882.0)</f>
        <v>44882</v>
      </c>
      <c r="B2902" s="2">
        <f>IFERROR(__xludf.DUMMYFUNCTION("""COMPUTED_VALUE"""),0.0)</f>
        <v>0</v>
      </c>
      <c r="C2902" s="2">
        <f>IFERROR(__xludf.DUMMYFUNCTION("""COMPUTED_VALUE"""),254.0)</f>
        <v>254</v>
      </c>
      <c r="D2902" s="3">
        <f>IFERROR(__xludf.DUMMYFUNCTION("""COMPUTED_VALUE"""),242.0)</f>
        <v>242</v>
      </c>
      <c r="E2902" s="2"/>
      <c r="F2902" s="2"/>
    </row>
    <row r="2903">
      <c r="A2903" s="2">
        <f>IFERROR(__xludf.DUMMYFUNCTION("""COMPUTED_VALUE"""),44266.0)</f>
        <v>44266</v>
      </c>
      <c r="B2903" s="2">
        <f>IFERROR(__xludf.DUMMYFUNCTION("""COMPUTED_VALUE"""),0.0)</f>
        <v>0</v>
      </c>
      <c r="C2903" s="2">
        <f>IFERROR(__xludf.DUMMYFUNCTION("""COMPUTED_VALUE"""),30.0)</f>
        <v>30</v>
      </c>
      <c r="D2903" s="3">
        <f>IFERROR(__xludf.DUMMYFUNCTION("""COMPUTED_VALUE"""),9.0)</f>
        <v>9</v>
      </c>
      <c r="E2903" s="2"/>
      <c r="F2903" s="2"/>
    </row>
    <row r="2904">
      <c r="A2904" s="2">
        <f>IFERROR(__xludf.DUMMYFUNCTION("""COMPUTED_VALUE"""),3452.0)</f>
        <v>3452</v>
      </c>
      <c r="B2904" s="2">
        <f>IFERROR(__xludf.DUMMYFUNCTION("""COMPUTED_VALUE"""),1.0)</f>
        <v>1</v>
      </c>
      <c r="C2904" s="2">
        <f>IFERROR(__xludf.DUMMYFUNCTION("""COMPUTED_VALUE"""),448.0)</f>
        <v>448</v>
      </c>
      <c r="D2904" s="3">
        <f>IFERROR(__xludf.DUMMYFUNCTION("""COMPUTED_VALUE"""),331.0)</f>
        <v>331</v>
      </c>
      <c r="E2904" s="2"/>
      <c r="F2904" s="2"/>
    </row>
    <row r="2905">
      <c r="A2905" s="2">
        <f>IFERROR(__xludf.DUMMYFUNCTION("""COMPUTED_VALUE"""),118569.0)</f>
        <v>118569</v>
      </c>
      <c r="B2905" s="2">
        <f>IFERROR(__xludf.DUMMYFUNCTION("""COMPUTED_VALUE"""),0.0)</f>
        <v>0</v>
      </c>
      <c r="C2905" s="2">
        <f>IFERROR(__xludf.DUMMYFUNCTION("""COMPUTED_VALUE"""),936.0)</f>
        <v>936</v>
      </c>
      <c r="D2905" s="3">
        <f>IFERROR(__xludf.DUMMYFUNCTION("""COMPUTED_VALUE"""),629.0)</f>
        <v>629</v>
      </c>
      <c r="E2905" s="2"/>
      <c r="F2905" s="2"/>
    </row>
    <row r="2906">
      <c r="A2906" s="2">
        <f>IFERROR(__xludf.DUMMYFUNCTION("""COMPUTED_VALUE"""),84378.0)</f>
        <v>84378</v>
      </c>
      <c r="B2906" s="2">
        <f>IFERROR(__xludf.DUMMYFUNCTION("""COMPUTED_VALUE"""),0.0)</f>
        <v>0</v>
      </c>
      <c r="C2906" s="2">
        <f>IFERROR(__xludf.DUMMYFUNCTION("""COMPUTED_VALUE"""),511.0)</f>
        <v>511</v>
      </c>
      <c r="D2906" s="3">
        <f>IFERROR(__xludf.DUMMYFUNCTION("""COMPUTED_VALUE"""),56.0)</f>
        <v>56</v>
      </c>
      <c r="E2906" s="2"/>
      <c r="F2906" s="2"/>
    </row>
    <row r="2907">
      <c r="A2907" s="2">
        <f>IFERROR(__xludf.DUMMYFUNCTION("""COMPUTED_VALUE"""),112731.0)</f>
        <v>112731</v>
      </c>
      <c r="B2907" s="2">
        <f>IFERROR(__xludf.DUMMYFUNCTION("""COMPUTED_VALUE"""),0.0)</f>
        <v>0</v>
      </c>
      <c r="C2907" s="2">
        <f>IFERROR(__xludf.DUMMYFUNCTION("""COMPUTED_VALUE"""),860.0)</f>
        <v>860</v>
      </c>
      <c r="D2907" s="3">
        <f>IFERROR(__xludf.DUMMYFUNCTION("""COMPUTED_VALUE"""),542.0)</f>
        <v>542</v>
      </c>
      <c r="E2907" s="2"/>
      <c r="F2907" s="2"/>
    </row>
    <row r="2908">
      <c r="A2908" s="2">
        <f>IFERROR(__xludf.DUMMYFUNCTION("""COMPUTED_VALUE"""),166201.0)</f>
        <v>166201</v>
      </c>
      <c r="B2908" s="2">
        <f>IFERROR(__xludf.DUMMYFUNCTION("""COMPUTED_VALUE"""),1.0)</f>
        <v>1</v>
      </c>
      <c r="C2908" s="2">
        <f>IFERROR(__xludf.DUMMYFUNCTION("""COMPUTED_VALUE"""),795.0)</f>
        <v>795</v>
      </c>
      <c r="D2908" s="3">
        <f>IFERROR(__xludf.DUMMYFUNCTION("""COMPUTED_VALUE"""),108.0)</f>
        <v>108</v>
      </c>
      <c r="E2908" s="2"/>
      <c r="F2908" s="2"/>
    </row>
    <row r="2909">
      <c r="A2909" s="2">
        <f>IFERROR(__xludf.DUMMYFUNCTION("""COMPUTED_VALUE"""),48495.0)</f>
        <v>48495</v>
      </c>
      <c r="B2909" s="2">
        <f>IFERROR(__xludf.DUMMYFUNCTION("""COMPUTED_VALUE"""),0.0)</f>
        <v>0</v>
      </c>
      <c r="C2909" s="2">
        <f>IFERROR(__xludf.DUMMYFUNCTION("""COMPUTED_VALUE"""),895.0)</f>
        <v>895</v>
      </c>
      <c r="D2909" s="3">
        <f>IFERROR(__xludf.DUMMYFUNCTION("""COMPUTED_VALUE"""),610.0)</f>
        <v>610</v>
      </c>
      <c r="E2909" s="2"/>
      <c r="F2909" s="2"/>
    </row>
    <row r="2910">
      <c r="A2910" s="2">
        <f>IFERROR(__xludf.DUMMYFUNCTION("""COMPUTED_VALUE"""),10383.0)</f>
        <v>10383</v>
      </c>
      <c r="B2910" s="2">
        <f>IFERROR(__xludf.DUMMYFUNCTION("""COMPUTED_VALUE"""),1.0)</f>
        <v>1</v>
      </c>
      <c r="C2910" s="2">
        <f>IFERROR(__xludf.DUMMYFUNCTION("""COMPUTED_VALUE"""),511.0)</f>
        <v>511</v>
      </c>
      <c r="D2910" s="3">
        <f>IFERROR(__xludf.DUMMYFUNCTION("""COMPUTED_VALUE"""),58.0)</f>
        <v>58</v>
      </c>
      <c r="E2910" s="2"/>
      <c r="F2910" s="2"/>
    </row>
    <row r="2911">
      <c r="A2911" s="2">
        <f>IFERROR(__xludf.DUMMYFUNCTION("""COMPUTED_VALUE"""),116284.0)</f>
        <v>116284</v>
      </c>
      <c r="B2911" s="2">
        <f>IFERROR(__xludf.DUMMYFUNCTION("""COMPUTED_VALUE"""),1.0)</f>
        <v>1</v>
      </c>
      <c r="C2911" s="2">
        <f>IFERROR(__xludf.DUMMYFUNCTION("""COMPUTED_VALUE"""),919.0)</f>
        <v>919</v>
      </c>
      <c r="D2911" s="3">
        <f>IFERROR(__xludf.DUMMYFUNCTION("""COMPUTED_VALUE"""),895.0)</f>
        <v>895</v>
      </c>
      <c r="E2911" s="2"/>
      <c r="F2911" s="2"/>
    </row>
    <row r="2912">
      <c r="A2912" s="2">
        <f>IFERROR(__xludf.DUMMYFUNCTION("""COMPUTED_VALUE"""),86543.0)</f>
        <v>86543</v>
      </c>
      <c r="B2912" s="2">
        <f>IFERROR(__xludf.DUMMYFUNCTION("""COMPUTED_VALUE"""),1.0)</f>
        <v>1</v>
      </c>
      <c r="C2912" s="2">
        <f>IFERROR(__xludf.DUMMYFUNCTION("""COMPUTED_VALUE"""),675.0)</f>
        <v>675</v>
      </c>
      <c r="D2912" s="3">
        <f>IFERROR(__xludf.DUMMYFUNCTION("""COMPUTED_VALUE"""),406.0)</f>
        <v>406</v>
      </c>
      <c r="E2912" s="2"/>
      <c r="F2912" s="2"/>
    </row>
    <row r="2913">
      <c r="A2913" s="2">
        <f>IFERROR(__xludf.DUMMYFUNCTION("""COMPUTED_VALUE"""),21165.0)</f>
        <v>21165</v>
      </c>
      <c r="B2913" s="2">
        <f>IFERROR(__xludf.DUMMYFUNCTION("""COMPUTED_VALUE"""),1.0)</f>
        <v>1</v>
      </c>
      <c r="C2913" s="2">
        <f>IFERROR(__xludf.DUMMYFUNCTION("""COMPUTED_VALUE"""),226.0)</f>
        <v>226</v>
      </c>
      <c r="D2913" s="3">
        <f>IFERROR(__xludf.DUMMYFUNCTION("""COMPUTED_VALUE"""),157.0)</f>
        <v>157</v>
      </c>
      <c r="E2913" s="2"/>
      <c r="F2913" s="2"/>
    </row>
    <row r="2914">
      <c r="A2914" s="2">
        <f>IFERROR(__xludf.DUMMYFUNCTION("""COMPUTED_VALUE"""),10309.0)</f>
        <v>10309</v>
      </c>
      <c r="B2914" s="2">
        <f>IFERROR(__xludf.DUMMYFUNCTION("""COMPUTED_VALUE"""),0.0)</f>
        <v>0</v>
      </c>
      <c r="C2914" s="2">
        <f>IFERROR(__xludf.DUMMYFUNCTION("""COMPUTED_VALUE"""),380.0)</f>
        <v>380</v>
      </c>
      <c r="D2914" s="3">
        <f>IFERROR(__xludf.DUMMYFUNCTION("""COMPUTED_VALUE"""),186.0)</f>
        <v>186</v>
      </c>
      <c r="E2914" s="2"/>
      <c r="F2914" s="2"/>
    </row>
    <row r="2915">
      <c r="A2915" s="2">
        <f>IFERROR(__xludf.DUMMYFUNCTION("""COMPUTED_VALUE"""),10367.0)</f>
        <v>10367</v>
      </c>
      <c r="B2915" s="2">
        <f>IFERROR(__xludf.DUMMYFUNCTION("""COMPUTED_VALUE"""),1.0)</f>
        <v>1</v>
      </c>
      <c r="C2915" s="2">
        <f>IFERROR(__xludf.DUMMYFUNCTION("""COMPUTED_VALUE"""),940.0)</f>
        <v>940</v>
      </c>
      <c r="D2915" s="3">
        <f>IFERROR(__xludf.DUMMYFUNCTION("""COMPUTED_VALUE"""),476.0)</f>
        <v>476</v>
      </c>
      <c r="E2915" s="2"/>
      <c r="F2915" s="2"/>
    </row>
    <row r="2916">
      <c r="A2916" s="2">
        <f>IFERROR(__xludf.DUMMYFUNCTION("""COMPUTED_VALUE"""),86545.0)</f>
        <v>86545</v>
      </c>
      <c r="B2916" s="2">
        <f>IFERROR(__xludf.DUMMYFUNCTION("""COMPUTED_VALUE"""),1.0)</f>
        <v>1</v>
      </c>
      <c r="C2916" s="2">
        <f>IFERROR(__xludf.DUMMYFUNCTION("""COMPUTED_VALUE"""),842.0)</f>
        <v>842</v>
      </c>
      <c r="D2916" s="3">
        <f>IFERROR(__xludf.DUMMYFUNCTION("""COMPUTED_VALUE"""),21.0)</f>
        <v>21</v>
      </c>
      <c r="E2916" s="2"/>
      <c r="F2916" s="2"/>
    </row>
    <row r="2917">
      <c r="A2917" s="2">
        <f>IFERROR(__xludf.DUMMYFUNCTION("""COMPUTED_VALUE"""),86544.0)</f>
        <v>86544</v>
      </c>
      <c r="B2917" s="2">
        <f>IFERROR(__xludf.DUMMYFUNCTION("""COMPUTED_VALUE"""),1.0)</f>
        <v>1</v>
      </c>
      <c r="C2917" s="2">
        <f>IFERROR(__xludf.DUMMYFUNCTION("""COMPUTED_VALUE"""),648.0)</f>
        <v>648</v>
      </c>
      <c r="D2917" s="3">
        <f>IFERROR(__xludf.DUMMYFUNCTION("""COMPUTED_VALUE"""),220.0)</f>
        <v>220</v>
      </c>
      <c r="E2917" s="2"/>
      <c r="F2917" s="2"/>
    </row>
    <row r="2918">
      <c r="A2918" s="2">
        <f>IFERROR(__xludf.DUMMYFUNCTION("""COMPUTED_VALUE"""),10384.0)</f>
        <v>10384</v>
      </c>
      <c r="B2918" s="2">
        <f>IFERROR(__xludf.DUMMYFUNCTION("""COMPUTED_VALUE"""),0.0)</f>
        <v>0</v>
      </c>
      <c r="C2918" s="2">
        <f>IFERROR(__xludf.DUMMYFUNCTION("""COMPUTED_VALUE"""),31.0)</f>
        <v>31</v>
      </c>
      <c r="D2918" s="3">
        <f>IFERROR(__xludf.DUMMYFUNCTION("""COMPUTED_VALUE"""),10.0)</f>
        <v>10</v>
      </c>
      <c r="E2918" s="2"/>
      <c r="F2918" s="2"/>
    </row>
    <row r="2919">
      <c r="A2919" s="2">
        <f>IFERROR(__xludf.DUMMYFUNCTION("""COMPUTED_VALUE"""),79314.0)</f>
        <v>79314</v>
      </c>
      <c r="B2919" s="2">
        <f>IFERROR(__xludf.DUMMYFUNCTION("""COMPUTED_VALUE"""),1.0)</f>
        <v>1</v>
      </c>
      <c r="C2919" s="2">
        <f>IFERROR(__xludf.DUMMYFUNCTION("""COMPUTED_VALUE"""),219.0)</f>
        <v>219</v>
      </c>
      <c r="D2919" s="3">
        <f>IFERROR(__xludf.DUMMYFUNCTION("""COMPUTED_VALUE"""),180.0)</f>
        <v>180</v>
      </c>
      <c r="E2919" s="2"/>
      <c r="F2919" s="2"/>
    </row>
    <row r="2920">
      <c r="A2920" s="2">
        <f>IFERROR(__xludf.DUMMYFUNCTION("""COMPUTED_VALUE"""),79311.0)</f>
        <v>79311</v>
      </c>
      <c r="B2920" s="2">
        <f>IFERROR(__xludf.DUMMYFUNCTION("""COMPUTED_VALUE"""),0.0)</f>
        <v>0</v>
      </c>
      <c r="C2920" s="2">
        <f>IFERROR(__xludf.DUMMYFUNCTION("""COMPUTED_VALUE"""),778.0)</f>
        <v>778</v>
      </c>
      <c r="D2920" s="3">
        <f>IFERROR(__xludf.DUMMYFUNCTION("""COMPUTED_VALUE"""),515.0)</f>
        <v>515</v>
      </c>
      <c r="E2920" s="2"/>
      <c r="F2920" s="2"/>
    </row>
    <row r="2921">
      <c r="A2921" s="2">
        <f>IFERROR(__xludf.DUMMYFUNCTION("""COMPUTED_VALUE"""),118249.0)</f>
        <v>118249</v>
      </c>
      <c r="B2921" s="2">
        <f>IFERROR(__xludf.DUMMYFUNCTION("""COMPUTED_VALUE"""),1.0)</f>
        <v>1</v>
      </c>
      <c r="C2921" s="2">
        <f>IFERROR(__xludf.DUMMYFUNCTION("""COMPUTED_VALUE"""),769.0)</f>
        <v>769</v>
      </c>
      <c r="D2921" s="3">
        <f>IFERROR(__xludf.DUMMYFUNCTION("""COMPUTED_VALUE"""),159.0)</f>
        <v>159</v>
      </c>
      <c r="E2921" s="2"/>
      <c r="F2921" s="2"/>
    </row>
    <row r="2922">
      <c r="A2922" s="2">
        <f>IFERROR(__xludf.DUMMYFUNCTION("""COMPUTED_VALUE"""),128420.0)</f>
        <v>128420</v>
      </c>
      <c r="B2922" s="2">
        <f>IFERROR(__xludf.DUMMYFUNCTION("""COMPUTED_VALUE"""),0.0)</f>
        <v>0</v>
      </c>
      <c r="C2922" s="2">
        <f>IFERROR(__xludf.DUMMYFUNCTION("""COMPUTED_VALUE"""),906.0)</f>
        <v>906</v>
      </c>
      <c r="D2922" s="3">
        <f>IFERROR(__xludf.DUMMYFUNCTION("""COMPUTED_VALUE"""),335.0)</f>
        <v>335</v>
      </c>
      <c r="E2922" s="2"/>
      <c r="F2922" s="2"/>
    </row>
    <row r="2923">
      <c r="A2923" s="2">
        <f>IFERROR(__xludf.DUMMYFUNCTION("""COMPUTED_VALUE"""),120692.0)</f>
        <v>120692</v>
      </c>
      <c r="B2923" s="2">
        <f>IFERROR(__xludf.DUMMYFUNCTION("""COMPUTED_VALUE"""),0.0)</f>
        <v>0</v>
      </c>
      <c r="C2923" s="2">
        <f>IFERROR(__xludf.DUMMYFUNCTION("""COMPUTED_VALUE"""),864.0)</f>
        <v>864</v>
      </c>
      <c r="D2923" s="3">
        <f>IFERROR(__xludf.DUMMYFUNCTION("""COMPUTED_VALUE"""),111.0)</f>
        <v>111</v>
      </c>
      <c r="E2923" s="2"/>
      <c r="F2923" s="2"/>
    </row>
    <row r="2924">
      <c r="A2924" s="2">
        <f>IFERROR(__xludf.DUMMYFUNCTION("""COMPUTED_VALUE"""),122464.0)</f>
        <v>122464</v>
      </c>
      <c r="B2924" s="2">
        <f>IFERROR(__xludf.DUMMYFUNCTION("""COMPUTED_VALUE"""),1.0)</f>
        <v>1</v>
      </c>
      <c r="C2924" s="2">
        <f>IFERROR(__xludf.DUMMYFUNCTION("""COMPUTED_VALUE"""),709.0)</f>
        <v>709</v>
      </c>
      <c r="D2924" s="3">
        <f>IFERROR(__xludf.DUMMYFUNCTION("""COMPUTED_VALUE"""),436.0)</f>
        <v>436</v>
      </c>
      <c r="E2924" s="2"/>
      <c r="F2924" s="2"/>
    </row>
    <row r="2925">
      <c r="A2925" s="2">
        <f>IFERROR(__xludf.DUMMYFUNCTION("""COMPUTED_VALUE"""),79762.0)</f>
        <v>79762</v>
      </c>
      <c r="B2925" s="2">
        <f>IFERROR(__xludf.DUMMYFUNCTION("""COMPUTED_VALUE"""),1.0)</f>
        <v>1</v>
      </c>
      <c r="C2925" s="2">
        <f>IFERROR(__xludf.DUMMYFUNCTION("""COMPUTED_VALUE"""),534.0)</f>
        <v>534</v>
      </c>
      <c r="D2925" s="3">
        <f>IFERROR(__xludf.DUMMYFUNCTION("""COMPUTED_VALUE"""),86.0)</f>
        <v>86</v>
      </c>
      <c r="E2925" s="2"/>
      <c r="F2925" s="2"/>
    </row>
    <row r="2926">
      <c r="A2926" s="2">
        <f>IFERROR(__xludf.DUMMYFUNCTION("""COMPUTED_VALUE"""),79315.0)</f>
        <v>79315</v>
      </c>
      <c r="B2926" s="2">
        <f>IFERROR(__xludf.DUMMYFUNCTION("""COMPUTED_VALUE"""),1.0)</f>
        <v>1</v>
      </c>
      <c r="C2926" s="2">
        <f>IFERROR(__xludf.DUMMYFUNCTION("""COMPUTED_VALUE"""),75.0)</f>
        <v>75</v>
      </c>
      <c r="D2926" s="3">
        <f>IFERROR(__xludf.DUMMYFUNCTION("""COMPUTED_VALUE"""),49.0)</f>
        <v>49</v>
      </c>
      <c r="E2926" s="2"/>
      <c r="F2926" s="2"/>
    </row>
    <row r="2927">
      <c r="A2927" s="2">
        <f>IFERROR(__xludf.DUMMYFUNCTION("""COMPUTED_VALUE"""),98941.0)</f>
        <v>98941</v>
      </c>
      <c r="B2927" s="2">
        <f>IFERROR(__xludf.DUMMYFUNCTION("""COMPUTED_VALUE"""),1.0)</f>
        <v>1</v>
      </c>
      <c r="C2927" s="2">
        <f>IFERROR(__xludf.DUMMYFUNCTION("""COMPUTED_VALUE"""),221.0)</f>
        <v>221</v>
      </c>
      <c r="D2927" s="3">
        <f>IFERROR(__xludf.DUMMYFUNCTION("""COMPUTED_VALUE"""),30.0)</f>
        <v>30</v>
      </c>
      <c r="E2927" s="2"/>
      <c r="F2927" s="2"/>
    </row>
    <row r="2928">
      <c r="A2928" s="2">
        <f>IFERROR(__xludf.DUMMYFUNCTION("""COMPUTED_VALUE"""),118245.0)</f>
        <v>118245</v>
      </c>
      <c r="B2928" s="2">
        <f>IFERROR(__xludf.DUMMYFUNCTION("""COMPUTED_VALUE"""),0.0)</f>
        <v>0</v>
      </c>
      <c r="C2928" s="2">
        <f>IFERROR(__xludf.DUMMYFUNCTION("""COMPUTED_VALUE"""),645.0)</f>
        <v>645</v>
      </c>
      <c r="D2928" s="3">
        <f>IFERROR(__xludf.DUMMYFUNCTION("""COMPUTED_VALUE"""),583.0)</f>
        <v>583</v>
      </c>
      <c r="E2928" s="2"/>
      <c r="F2928" s="2"/>
    </row>
    <row r="2929">
      <c r="A2929" s="2">
        <f>IFERROR(__xludf.DUMMYFUNCTION("""COMPUTED_VALUE"""),122333.0)</f>
        <v>122333</v>
      </c>
      <c r="B2929" s="2">
        <f>IFERROR(__xludf.DUMMYFUNCTION("""COMPUTED_VALUE"""),0.0)</f>
        <v>0</v>
      </c>
      <c r="C2929" s="2">
        <f>IFERROR(__xludf.DUMMYFUNCTION("""COMPUTED_VALUE"""),910.0)</f>
        <v>910</v>
      </c>
      <c r="D2929" s="3">
        <f>IFERROR(__xludf.DUMMYFUNCTION("""COMPUTED_VALUE"""),709.0)</f>
        <v>709</v>
      </c>
      <c r="E2929" s="2"/>
      <c r="F2929" s="2"/>
    </row>
    <row r="2930">
      <c r="A2930" s="2">
        <f>IFERROR(__xludf.DUMMYFUNCTION("""COMPUTED_VALUE"""),121901.0)</f>
        <v>121901</v>
      </c>
      <c r="B2930" s="2">
        <f>IFERROR(__xludf.DUMMYFUNCTION("""COMPUTED_VALUE"""),0.0)</f>
        <v>0</v>
      </c>
      <c r="C2930" s="2">
        <f>IFERROR(__xludf.DUMMYFUNCTION("""COMPUTED_VALUE"""),761.0)</f>
        <v>761</v>
      </c>
      <c r="D2930" s="3">
        <f>IFERROR(__xludf.DUMMYFUNCTION("""COMPUTED_VALUE"""),270.0)</f>
        <v>270</v>
      </c>
      <c r="E2930" s="2"/>
      <c r="F2930" s="2"/>
    </row>
    <row r="2931">
      <c r="A2931" s="2">
        <f>IFERROR(__xludf.DUMMYFUNCTION("""COMPUTED_VALUE"""),79316.0)</f>
        <v>79316</v>
      </c>
      <c r="B2931" s="2">
        <f>IFERROR(__xludf.DUMMYFUNCTION("""COMPUTED_VALUE"""),1.0)</f>
        <v>1</v>
      </c>
      <c r="C2931" s="2">
        <f>IFERROR(__xludf.DUMMYFUNCTION("""COMPUTED_VALUE"""),707.0)</f>
        <v>707</v>
      </c>
      <c r="D2931" s="3">
        <f>IFERROR(__xludf.DUMMYFUNCTION("""COMPUTED_VALUE"""),0.0)</f>
        <v>0</v>
      </c>
      <c r="E2931" s="2"/>
      <c r="F2931" s="2"/>
    </row>
    <row r="2932">
      <c r="A2932" s="2">
        <f>IFERROR(__xludf.DUMMYFUNCTION("""COMPUTED_VALUE"""),109899.0)</f>
        <v>109899</v>
      </c>
      <c r="B2932" s="2">
        <f>IFERROR(__xludf.DUMMYFUNCTION("""COMPUTED_VALUE"""),1.0)</f>
        <v>1</v>
      </c>
      <c r="C2932" s="2">
        <f>IFERROR(__xludf.DUMMYFUNCTION("""COMPUTED_VALUE"""),703.0)</f>
        <v>703</v>
      </c>
      <c r="D2932" s="3">
        <f>IFERROR(__xludf.DUMMYFUNCTION("""COMPUTED_VALUE"""),555.0)</f>
        <v>555</v>
      </c>
      <c r="E2932" s="2"/>
      <c r="F2932" s="2"/>
    </row>
    <row r="2933">
      <c r="A2933" s="2">
        <f>IFERROR(__xludf.DUMMYFUNCTION("""COMPUTED_VALUE"""),70570.0)</f>
        <v>70570</v>
      </c>
      <c r="B2933" s="2">
        <f>IFERROR(__xludf.DUMMYFUNCTION("""COMPUTED_VALUE"""),1.0)</f>
        <v>1</v>
      </c>
      <c r="C2933" s="2">
        <f>IFERROR(__xludf.DUMMYFUNCTION("""COMPUTED_VALUE"""),929.0)</f>
        <v>929</v>
      </c>
      <c r="D2933" s="3">
        <f>IFERROR(__xludf.DUMMYFUNCTION("""COMPUTED_VALUE"""),240.0)</f>
        <v>240</v>
      </c>
      <c r="E2933" s="2"/>
      <c r="F2933" s="2"/>
    </row>
    <row r="2934">
      <c r="A2934" s="2">
        <f>IFERROR(__xludf.DUMMYFUNCTION("""COMPUTED_VALUE"""),79364.0)</f>
        <v>79364</v>
      </c>
      <c r="B2934" s="2">
        <f>IFERROR(__xludf.DUMMYFUNCTION("""COMPUTED_VALUE"""),0.0)</f>
        <v>0</v>
      </c>
      <c r="C2934" s="2">
        <f>IFERROR(__xludf.DUMMYFUNCTION("""COMPUTED_VALUE"""),122.0)</f>
        <v>122</v>
      </c>
      <c r="D2934" s="3">
        <f>IFERROR(__xludf.DUMMYFUNCTION("""COMPUTED_VALUE"""),86.0)</f>
        <v>86</v>
      </c>
      <c r="E2934" s="2"/>
      <c r="F2934" s="2"/>
    </row>
    <row r="2935">
      <c r="A2935" s="2">
        <f>IFERROR(__xludf.DUMMYFUNCTION("""COMPUTED_VALUE"""),113103.0)</f>
        <v>113103</v>
      </c>
      <c r="B2935" s="2">
        <f>IFERROR(__xludf.DUMMYFUNCTION("""COMPUTED_VALUE"""),1.0)</f>
        <v>1</v>
      </c>
      <c r="C2935" s="2">
        <f>IFERROR(__xludf.DUMMYFUNCTION("""COMPUTED_VALUE"""),502.0)</f>
        <v>502</v>
      </c>
      <c r="D2935" s="3">
        <f>IFERROR(__xludf.DUMMYFUNCTION("""COMPUTED_VALUE"""),118.0)</f>
        <v>118</v>
      </c>
      <c r="E2935" s="2"/>
      <c r="F2935" s="2"/>
    </row>
    <row r="2936">
      <c r="A2936" s="2">
        <f>IFERROR(__xludf.DUMMYFUNCTION("""COMPUTED_VALUE"""),200581.0)</f>
        <v>200581</v>
      </c>
      <c r="B2936" s="2">
        <f>IFERROR(__xludf.DUMMYFUNCTION("""COMPUTED_VALUE"""),0.0)</f>
        <v>0</v>
      </c>
      <c r="C2936" s="2">
        <f>IFERROR(__xludf.DUMMYFUNCTION("""COMPUTED_VALUE"""),290.0)</f>
        <v>290</v>
      </c>
      <c r="D2936" s="3">
        <f>IFERROR(__xludf.DUMMYFUNCTION("""COMPUTED_VALUE"""),79.0)</f>
        <v>79</v>
      </c>
      <c r="E2936" s="2"/>
      <c r="F2936" s="2"/>
    </row>
    <row r="2937">
      <c r="A2937" s="2">
        <f>IFERROR(__xludf.DUMMYFUNCTION("""COMPUTED_VALUE"""),91490.0)</f>
        <v>91490</v>
      </c>
      <c r="B2937" s="2">
        <f>IFERROR(__xludf.DUMMYFUNCTION("""COMPUTED_VALUE"""),0.0)</f>
        <v>0</v>
      </c>
      <c r="C2937" s="2">
        <f>IFERROR(__xludf.DUMMYFUNCTION("""COMPUTED_VALUE"""),567.0)</f>
        <v>567</v>
      </c>
      <c r="D2937" s="3">
        <f>IFERROR(__xludf.DUMMYFUNCTION("""COMPUTED_VALUE"""),197.0)</f>
        <v>197</v>
      </c>
      <c r="E2937" s="2"/>
      <c r="F2937" s="2"/>
    </row>
    <row r="2938">
      <c r="A2938" s="2">
        <f>IFERROR(__xludf.DUMMYFUNCTION("""COMPUTED_VALUE"""),79320.0)</f>
        <v>79320</v>
      </c>
      <c r="B2938" s="2">
        <f>IFERROR(__xludf.DUMMYFUNCTION("""COMPUTED_VALUE"""),1.0)</f>
        <v>1</v>
      </c>
      <c r="C2938" s="2">
        <f>IFERROR(__xludf.DUMMYFUNCTION("""COMPUTED_VALUE"""),560.0)</f>
        <v>560</v>
      </c>
      <c r="D2938" s="3">
        <f>IFERROR(__xludf.DUMMYFUNCTION("""COMPUTED_VALUE"""),70.0)</f>
        <v>70</v>
      </c>
      <c r="E2938" s="2"/>
      <c r="F2938" s="2"/>
    </row>
    <row r="2939">
      <c r="A2939" s="2">
        <f>IFERROR(__xludf.DUMMYFUNCTION("""COMPUTED_VALUE"""),122331.0)</f>
        <v>122331</v>
      </c>
      <c r="B2939" s="2">
        <f>IFERROR(__xludf.DUMMYFUNCTION("""COMPUTED_VALUE"""),0.0)</f>
        <v>0</v>
      </c>
      <c r="C2939" s="2">
        <f>IFERROR(__xludf.DUMMYFUNCTION("""COMPUTED_VALUE"""),614.0)</f>
        <v>614</v>
      </c>
      <c r="D2939" s="3">
        <f>IFERROR(__xludf.DUMMYFUNCTION("""COMPUTED_VALUE"""),356.0)</f>
        <v>356</v>
      </c>
      <c r="E2939" s="2"/>
      <c r="F2939" s="2"/>
    </row>
    <row r="2940">
      <c r="A2940" s="2">
        <f>IFERROR(__xludf.DUMMYFUNCTION("""COMPUTED_VALUE"""),79921.0)</f>
        <v>79921</v>
      </c>
      <c r="B2940" s="2">
        <f>IFERROR(__xludf.DUMMYFUNCTION("""COMPUTED_VALUE"""),0.0)</f>
        <v>0</v>
      </c>
      <c r="C2940" s="2">
        <f>IFERROR(__xludf.DUMMYFUNCTION("""COMPUTED_VALUE"""),371.0)</f>
        <v>371</v>
      </c>
      <c r="D2940" s="3">
        <f>IFERROR(__xludf.DUMMYFUNCTION("""COMPUTED_VALUE"""),248.0)</f>
        <v>248</v>
      </c>
      <c r="E2940" s="2"/>
      <c r="F2940" s="2"/>
    </row>
    <row r="2941">
      <c r="A2941" s="2">
        <f>IFERROR(__xludf.DUMMYFUNCTION("""COMPUTED_VALUE"""),128421.0)</f>
        <v>128421</v>
      </c>
      <c r="B2941" s="2">
        <f>IFERROR(__xludf.DUMMYFUNCTION("""COMPUTED_VALUE"""),1.0)</f>
        <v>1</v>
      </c>
      <c r="C2941" s="2">
        <f>IFERROR(__xludf.DUMMYFUNCTION("""COMPUTED_VALUE"""),526.0)</f>
        <v>526</v>
      </c>
      <c r="D2941" s="3">
        <f>IFERROR(__xludf.DUMMYFUNCTION("""COMPUTED_VALUE"""),43.0)</f>
        <v>43</v>
      </c>
      <c r="E2941" s="2"/>
      <c r="F2941" s="2"/>
    </row>
    <row r="2942">
      <c r="A2942" s="2">
        <f>IFERROR(__xludf.DUMMYFUNCTION("""COMPUTED_VALUE"""),80421.0)</f>
        <v>80421</v>
      </c>
      <c r="B2942" s="2">
        <f>IFERROR(__xludf.DUMMYFUNCTION("""COMPUTED_VALUE"""),1.0)</f>
        <v>1</v>
      </c>
      <c r="C2942" s="2">
        <f>IFERROR(__xludf.DUMMYFUNCTION("""COMPUTED_VALUE"""),312.0)</f>
        <v>312</v>
      </c>
      <c r="D2942" s="3">
        <f>IFERROR(__xludf.DUMMYFUNCTION("""COMPUTED_VALUE"""),212.0)</f>
        <v>212</v>
      </c>
      <c r="E2942" s="2"/>
      <c r="F2942" s="2"/>
    </row>
    <row r="2943">
      <c r="A2943" s="2">
        <f>IFERROR(__xludf.DUMMYFUNCTION("""COMPUTED_VALUE"""),121867.0)</f>
        <v>121867</v>
      </c>
      <c r="B2943" s="2">
        <f>IFERROR(__xludf.DUMMYFUNCTION("""COMPUTED_VALUE"""),0.0)</f>
        <v>0</v>
      </c>
      <c r="C2943" s="2">
        <f>IFERROR(__xludf.DUMMYFUNCTION("""COMPUTED_VALUE"""),520.0)</f>
        <v>520</v>
      </c>
      <c r="D2943" s="3">
        <f>IFERROR(__xludf.DUMMYFUNCTION("""COMPUTED_VALUE"""),237.0)</f>
        <v>237</v>
      </c>
      <c r="E2943" s="2"/>
      <c r="F2943" s="2"/>
    </row>
    <row r="2944">
      <c r="A2944" s="2">
        <f>IFERROR(__xludf.DUMMYFUNCTION("""COMPUTED_VALUE"""),122501.0)</f>
        <v>122501</v>
      </c>
      <c r="B2944" s="2">
        <f>IFERROR(__xludf.DUMMYFUNCTION("""COMPUTED_VALUE"""),0.0)</f>
        <v>0</v>
      </c>
      <c r="C2944" s="2">
        <f>IFERROR(__xludf.DUMMYFUNCTION("""COMPUTED_VALUE"""),981.0)</f>
        <v>981</v>
      </c>
      <c r="D2944" s="3">
        <f>IFERROR(__xludf.DUMMYFUNCTION("""COMPUTED_VALUE"""),79.0)</f>
        <v>79</v>
      </c>
      <c r="E2944" s="2"/>
      <c r="F2944" s="2"/>
    </row>
    <row r="2945">
      <c r="A2945" s="2">
        <f>IFERROR(__xludf.DUMMYFUNCTION("""COMPUTED_VALUE"""),44531.0)</f>
        <v>44531</v>
      </c>
      <c r="B2945" s="2">
        <f>IFERROR(__xludf.DUMMYFUNCTION("""COMPUTED_VALUE"""),1.0)</f>
        <v>1</v>
      </c>
      <c r="C2945" s="2">
        <f>IFERROR(__xludf.DUMMYFUNCTION("""COMPUTED_VALUE"""),540.0)</f>
        <v>540</v>
      </c>
      <c r="D2945" s="3">
        <f>IFERROR(__xludf.DUMMYFUNCTION("""COMPUTED_VALUE"""),342.0)</f>
        <v>342</v>
      </c>
      <c r="E2945" s="2"/>
      <c r="F2945" s="2"/>
    </row>
    <row r="2946">
      <c r="A2946" s="2">
        <f>IFERROR(__xludf.DUMMYFUNCTION("""COMPUTED_VALUE"""),118153.0)</f>
        <v>118153</v>
      </c>
      <c r="B2946" s="2">
        <f>IFERROR(__xludf.DUMMYFUNCTION("""COMPUTED_VALUE"""),1.0)</f>
        <v>1</v>
      </c>
      <c r="C2946" s="2">
        <f>IFERROR(__xludf.DUMMYFUNCTION("""COMPUTED_VALUE"""),529.0)</f>
        <v>529</v>
      </c>
      <c r="D2946" s="3">
        <f>IFERROR(__xludf.DUMMYFUNCTION("""COMPUTED_VALUE"""),95.0)</f>
        <v>95</v>
      </c>
      <c r="E2946" s="2"/>
      <c r="F2946" s="2"/>
    </row>
    <row r="2947">
      <c r="A2947" s="2">
        <f>IFERROR(__xludf.DUMMYFUNCTION("""COMPUTED_VALUE"""),118244.0)</f>
        <v>118244</v>
      </c>
      <c r="B2947" s="2">
        <f>IFERROR(__xludf.DUMMYFUNCTION("""COMPUTED_VALUE"""),1.0)</f>
        <v>1</v>
      </c>
      <c r="C2947" s="2">
        <f>IFERROR(__xludf.DUMMYFUNCTION("""COMPUTED_VALUE"""),468.0)</f>
        <v>468</v>
      </c>
      <c r="D2947" s="3">
        <f>IFERROR(__xludf.DUMMYFUNCTION("""COMPUTED_VALUE"""),100.0)</f>
        <v>100</v>
      </c>
      <c r="E2947" s="2"/>
      <c r="F2947" s="2"/>
    </row>
    <row r="2948">
      <c r="A2948" s="2">
        <f>IFERROR(__xludf.DUMMYFUNCTION("""COMPUTED_VALUE"""),46974.0)</f>
        <v>46974</v>
      </c>
      <c r="B2948" s="2">
        <f>IFERROR(__xludf.DUMMYFUNCTION("""COMPUTED_VALUE"""),0.0)</f>
        <v>0</v>
      </c>
      <c r="C2948" s="2">
        <f>IFERROR(__xludf.DUMMYFUNCTION("""COMPUTED_VALUE"""),525.0)</f>
        <v>525</v>
      </c>
      <c r="D2948" s="3">
        <f>IFERROR(__xludf.DUMMYFUNCTION("""COMPUTED_VALUE"""),270.0)</f>
        <v>270</v>
      </c>
      <c r="E2948" s="2"/>
      <c r="F2948" s="2"/>
    </row>
    <row r="2949">
      <c r="A2949" s="2">
        <f>IFERROR(__xludf.DUMMYFUNCTION("""COMPUTED_VALUE"""),69232.0)</f>
        <v>69232</v>
      </c>
      <c r="B2949" s="2">
        <f>IFERROR(__xludf.DUMMYFUNCTION("""COMPUTED_VALUE"""),1.0)</f>
        <v>1</v>
      </c>
      <c r="C2949" s="2">
        <f>IFERROR(__xludf.DUMMYFUNCTION("""COMPUTED_VALUE"""),449.0)</f>
        <v>449</v>
      </c>
      <c r="D2949" s="3">
        <f>IFERROR(__xludf.DUMMYFUNCTION("""COMPUTED_VALUE"""),44.0)</f>
        <v>44</v>
      </c>
      <c r="E2949" s="2"/>
      <c r="F2949" s="2"/>
    </row>
    <row r="2950">
      <c r="A2950" s="2">
        <f>IFERROR(__xludf.DUMMYFUNCTION("""COMPUTED_VALUE"""),117461.0)</f>
        <v>117461</v>
      </c>
      <c r="B2950" s="2">
        <f>IFERROR(__xludf.DUMMYFUNCTION("""COMPUTED_VALUE"""),0.0)</f>
        <v>0</v>
      </c>
      <c r="C2950" s="2">
        <f>IFERROR(__xludf.DUMMYFUNCTION("""COMPUTED_VALUE"""),540.0)</f>
        <v>540</v>
      </c>
      <c r="D2950" s="3">
        <f>IFERROR(__xludf.DUMMYFUNCTION("""COMPUTED_VALUE"""),514.0)</f>
        <v>514</v>
      </c>
      <c r="E2950" s="2"/>
      <c r="F2950" s="2"/>
    </row>
    <row r="2951">
      <c r="A2951" s="2">
        <f>IFERROR(__xludf.DUMMYFUNCTION("""COMPUTED_VALUE"""),122324.0)</f>
        <v>122324</v>
      </c>
      <c r="B2951" s="2">
        <f>IFERROR(__xludf.DUMMYFUNCTION("""COMPUTED_VALUE"""),0.0)</f>
        <v>0</v>
      </c>
      <c r="C2951" s="2">
        <f>IFERROR(__xludf.DUMMYFUNCTION("""COMPUTED_VALUE"""),654.0)</f>
        <v>654</v>
      </c>
      <c r="D2951" s="3">
        <f>IFERROR(__xludf.DUMMYFUNCTION("""COMPUTED_VALUE"""),168.0)</f>
        <v>168</v>
      </c>
      <c r="E2951" s="2"/>
      <c r="F2951" s="2"/>
    </row>
    <row r="2952">
      <c r="A2952" s="2">
        <f>IFERROR(__xludf.DUMMYFUNCTION("""COMPUTED_VALUE"""),119023.0)</f>
        <v>119023</v>
      </c>
      <c r="B2952" s="2">
        <f>IFERROR(__xludf.DUMMYFUNCTION("""COMPUTED_VALUE"""),0.0)</f>
        <v>0</v>
      </c>
      <c r="C2952" s="2">
        <f>IFERROR(__xludf.DUMMYFUNCTION("""COMPUTED_VALUE"""),375.0)</f>
        <v>375</v>
      </c>
      <c r="D2952" s="3">
        <f>IFERROR(__xludf.DUMMYFUNCTION("""COMPUTED_VALUE"""),12.0)</f>
        <v>12</v>
      </c>
      <c r="E2952" s="2"/>
      <c r="F2952" s="2"/>
    </row>
    <row r="2953">
      <c r="A2953" s="2">
        <f>IFERROR(__xludf.DUMMYFUNCTION("""COMPUTED_VALUE"""),70600.0)</f>
        <v>70600</v>
      </c>
      <c r="B2953" s="2">
        <f>IFERROR(__xludf.DUMMYFUNCTION("""COMPUTED_VALUE"""),1.0)</f>
        <v>1</v>
      </c>
      <c r="C2953" s="2">
        <f>IFERROR(__xludf.DUMMYFUNCTION("""COMPUTED_VALUE"""),642.0)</f>
        <v>642</v>
      </c>
      <c r="D2953" s="3">
        <f>IFERROR(__xludf.DUMMYFUNCTION("""COMPUTED_VALUE"""),591.0)</f>
        <v>591</v>
      </c>
      <c r="E2953" s="2"/>
      <c r="F2953" s="2"/>
    </row>
    <row r="2954">
      <c r="A2954" s="2">
        <f>IFERROR(__xludf.DUMMYFUNCTION("""COMPUTED_VALUE"""),10689.0)</f>
        <v>10689</v>
      </c>
      <c r="B2954" s="2">
        <f>IFERROR(__xludf.DUMMYFUNCTION("""COMPUTED_VALUE"""),0.0)</f>
        <v>0</v>
      </c>
      <c r="C2954" s="2">
        <f>IFERROR(__xludf.DUMMYFUNCTION("""COMPUTED_VALUE"""),507.0)</f>
        <v>507</v>
      </c>
      <c r="D2954" s="3">
        <f>IFERROR(__xludf.DUMMYFUNCTION("""COMPUTED_VALUE"""),235.0)</f>
        <v>235</v>
      </c>
      <c r="E2954" s="2"/>
      <c r="F2954" s="2"/>
    </row>
    <row r="2955">
      <c r="A2955" s="2">
        <f>IFERROR(__xludf.DUMMYFUNCTION("""COMPUTED_VALUE"""),158427.0)</f>
        <v>158427</v>
      </c>
      <c r="B2955" s="2">
        <f>IFERROR(__xludf.DUMMYFUNCTION("""COMPUTED_VALUE"""),1.0)</f>
        <v>1</v>
      </c>
      <c r="C2955" s="2">
        <f>IFERROR(__xludf.DUMMYFUNCTION("""COMPUTED_VALUE"""),868.0)</f>
        <v>868</v>
      </c>
      <c r="D2955" s="3">
        <f>IFERROR(__xludf.DUMMYFUNCTION("""COMPUTED_VALUE"""),0.0)</f>
        <v>0</v>
      </c>
      <c r="E2955" s="2"/>
      <c r="F2955" s="2"/>
    </row>
    <row r="2956">
      <c r="A2956" s="2">
        <f>IFERROR(__xludf.DUMMYFUNCTION("""COMPUTED_VALUE"""),122462.0)</f>
        <v>122462</v>
      </c>
      <c r="B2956" s="2">
        <f>IFERROR(__xludf.DUMMYFUNCTION("""COMPUTED_VALUE"""),1.0)</f>
        <v>1</v>
      </c>
      <c r="C2956" s="2">
        <f>IFERROR(__xludf.DUMMYFUNCTION("""COMPUTED_VALUE"""),533.0)</f>
        <v>533</v>
      </c>
      <c r="D2956" s="3">
        <f>IFERROR(__xludf.DUMMYFUNCTION("""COMPUTED_VALUE"""),69.0)</f>
        <v>69</v>
      </c>
      <c r="E2956" s="2"/>
      <c r="F2956" s="2"/>
    </row>
    <row r="2957">
      <c r="A2957" s="2">
        <f>IFERROR(__xludf.DUMMYFUNCTION("""COMPUTED_VALUE"""),155951.0)</f>
        <v>155951</v>
      </c>
      <c r="B2957" s="2">
        <f>IFERROR(__xludf.DUMMYFUNCTION("""COMPUTED_VALUE"""),0.0)</f>
        <v>0</v>
      </c>
      <c r="C2957" s="2">
        <f>IFERROR(__xludf.DUMMYFUNCTION("""COMPUTED_VALUE"""),598.0)</f>
        <v>598</v>
      </c>
      <c r="D2957" s="3">
        <f>IFERROR(__xludf.DUMMYFUNCTION("""COMPUTED_VALUE"""),247.0)</f>
        <v>247</v>
      </c>
      <c r="E2957" s="2"/>
      <c r="F2957" s="2"/>
    </row>
    <row r="2958">
      <c r="A2958" s="2">
        <f>IFERROR(__xludf.DUMMYFUNCTION("""COMPUTED_VALUE"""),79338.0)</f>
        <v>79338</v>
      </c>
      <c r="B2958" s="2">
        <f>IFERROR(__xludf.DUMMYFUNCTION("""COMPUTED_VALUE"""),0.0)</f>
        <v>0</v>
      </c>
      <c r="C2958" s="2">
        <f>IFERROR(__xludf.DUMMYFUNCTION("""COMPUTED_VALUE"""),775.0)</f>
        <v>775</v>
      </c>
      <c r="D2958" s="3">
        <f>IFERROR(__xludf.DUMMYFUNCTION("""COMPUTED_VALUE"""),189.0)</f>
        <v>189</v>
      </c>
      <c r="E2958" s="2"/>
      <c r="F2958" s="2"/>
    </row>
    <row r="2959">
      <c r="A2959" s="2">
        <f>IFERROR(__xludf.DUMMYFUNCTION("""COMPUTED_VALUE"""),79919.0)</f>
        <v>79919</v>
      </c>
      <c r="B2959" s="2">
        <f>IFERROR(__xludf.DUMMYFUNCTION("""COMPUTED_VALUE"""),1.0)</f>
        <v>1</v>
      </c>
      <c r="C2959" s="2">
        <f>IFERROR(__xludf.DUMMYFUNCTION("""COMPUTED_VALUE"""),848.0)</f>
        <v>848</v>
      </c>
      <c r="D2959" s="3">
        <f>IFERROR(__xludf.DUMMYFUNCTION("""COMPUTED_VALUE"""),755.0)</f>
        <v>755</v>
      </c>
      <c r="E2959" s="2"/>
      <c r="F2959" s="2"/>
    </row>
    <row r="2960">
      <c r="A2960" s="2">
        <f>IFERROR(__xludf.DUMMYFUNCTION("""COMPUTED_VALUE"""),117057.0)</f>
        <v>117057</v>
      </c>
      <c r="B2960" s="2">
        <f>IFERROR(__xludf.DUMMYFUNCTION("""COMPUTED_VALUE"""),0.0)</f>
        <v>0</v>
      </c>
      <c r="C2960" s="2">
        <f>IFERROR(__xludf.DUMMYFUNCTION("""COMPUTED_VALUE"""),442.0)</f>
        <v>442</v>
      </c>
      <c r="D2960" s="3">
        <f>IFERROR(__xludf.DUMMYFUNCTION("""COMPUTED_VALUE"""),420.0)</f>
        <v>420</v>
      </c>
      <c r="E2960" s="2"/>
      <c r="F2960" s="2"/>
    </row>
    <row r="2961">
      <c r="A2961" s="2">
        <f>IFERROR(__xludf.DUMMYFUNCTION("""COMPUTED_VALUE"""),122334.0)</f>
        <v>122334</v>
      </c>
      <c r="B2961" s="2">
        <f>IFERROR(__xludf.DUMMYFUNCTION("""COMPUTED_VALUE"""),0.0)</f>
        <v>0</v>
      </c>
      <c r="C2961" s="2">
        <f>IFERROR(__xludf.DUMMYFUNCTION("""COMPUTED_VALUE"""),702.0)</f>
        <v>702</v>
      </c>
      <c r="D2961" s="3">
        <f>IFERROR(__xludf.DUMMYFUNCTION("""COMPUTED_VALUE"""),86.0)</f>
        <v>86</v>
      </c>
      <c r="E2961" s="2"/>
      <c r="F2961" s="2"/>
    </row>
    <row r="2962">
      <c r="A2962" s="2">
        <f>IFERROR(__xludf.DUMMYFUNCTION("""COMPUTED_VALUE"""),122648.0)</f>
        <v>122648</v>
      </c>
      <c r="B2962" s="2">
        <f>IFERROR(__xludf.DUMMYFUNCTION("""COMPUTED_VALUE"""),0.0)</f>
        <v>0</v>
      </c>
      <c r="C2962" s="2">
        <f>IFERROR(__xludf.DUMMYFUNCTION("""COMPUTED_VALUE"""),655.0)</f>
        <v>655</v>
      </c>
      <c r="D2962" s="3">
        <f>IFERROR(__xludf.DUMMYFUNCTION("""COMPUTED_VALUE"""),528.0)</f>
        <v>528</v>
      </c>
      <c r="E2962" s="2"/>
      <c r="F2962" s="2"/>
    </row>
    <row r="2963">
      <c r="A2963" s="2">
        <f>IFERROR(__xludf.DUMMYFUNCTION("""COMPUTED_VALUE"""),128418.0)</f>
        <v>128418</v>
      </c>
      <c r="B2963" s="2">
        <f>IFERROR(__xludf.DUMMYFUNCTION("""COMPUTED_VALUE"""),0.0)</f>
        <v>0</v>
      </c>
      <c r="C2963" s="2">
        <f>IFERROR(__xludf.DUMMYFUNCTION("""COMPUTED_VALUE"""),643.0)</f>
        <v>643</v>
      </c>
      <c r="D2963" s="3">
        <f>IFERROR(__xludf.DUMMYFUNCTION("""COMPUTED_VALUE"""),491.0)</f>
        <v>491</v>
      </c>
      <c r="E2963" s="2"/>
      <c r="F2963" s="2"/>
    </row>
    <row r="2964">
      <c r="A2964" s="2">
        <f>IFERROR(__xludf.DUMMYFUNCTION("""COMPUTED_VALUE"""),109883.0)</f>
        <v>109883</v>
      </c>
      <c r="B2964" s="2">
        <f>IFERROR(__xludf.DUMMYFUNCTION("""COMPUTED_VALUE"""),1.0)</f>
        <v>1</v>
      </c>
      <c r="C2964" s="2">
        <f>IFERROR(__xludf.DUMMYFUNCTION("""COMPUTED_VALUE"""),579.0)</f>
        <v>579</v>
      </c>
      <c r="D2964" s="3">
        <f>IFERROR(__xludf.DUMMYFUNCTION("""COMPUTED_VALUE"""),299.0)</f>
        <v>299</v>
      </c>
      <c r="E2964" s="2"/>
      <c r="F2964" s="2"/>
    </row>
    <row r="2965">
      <c r="A2965" s="2">
        <f>IFERROR(__xludf.DUMMYFUNCTION("""COMPUTED_VALUE"""),119027.0)</f>
        <v>119027</v>
      </c>
      <c r="B2965" s="2">
        <f>IFERROR(__xludf.DUMMYFUNCTION("""COMPUTED_VALUE"""),0.0)</f>
        <v>0</v>
      </c>
      <c r="C2965" s="2">
        <f>IFERROR(__xludf.DUMMYFUNCTION("""COMPUTED_VALUE"""),973.0)</f>
        <v>973</v>
      </c>
      <c r="D2965" s="3">
        <f>IFERROR(__xludf.DUMMYFUNCTION("""COMPUTED_VALUE"""),775.0)</f>
        <v>775</v>
      </c>
      <c r="E2965" s="2"/>
      <c r="F2965" s="2"/>
    </row>
    <row r="2966">
      <c r="A2966" s="2">
        <f>IFERROR(__xludf.DUMMYFUNCTION("""COMPUTED_VALUE"""),30522.0)</f>
        <v>30522</v>
      </c>
      <c r="B2966" s="2">
        <f>IFERROR(__xludf.DUMMYFUNCTION("""COMPUTED_VALUE"""),1.0)</f>
        <v>1</v>
      </c>
      <c r="C2966" s="2">
        <f>IFERROR(__xludf.DUMMYFUNCTION("""COMPUTED_VALUE"""),961.0)</f>
        <v>961</v>
      </c>
      <c r="D2966" s="3">
        <f>IFERROR(__xludf.DUMMYFUNCTION("""COMPUTED_VALUE"""),105.0)</f>
        <v>105</v>
      </c>
      <c r="E2966" s="2"/>
      <c r="F2966" s="2"/>
    </row>
    <row r="2967">
      <c r="A2967" s="2">
        <f>IFERROR(__xludf.DUMMYFUNCTION("""COMPUTED_VALUE"""),118155.0)</f>
        <v>118155</v>
      </c>
      <c r="B2967" s="2">
        <f>IFERROR(__xludf.DUMMYFUNCTION("""COMPUTED_VALUE"""),1.0)</f>
        <v>1</v>
      </c>
      <c r="C2967" s="2">
        <f>IFERROR(__xludf.DUMMYFUNCTION("""COMPUTED_VALUE"""),246.0)</f>
        <v>246</v>
      </c>
      <c r="D2967" s="3">
        <f>IFERROR(__xludf.DUMMYFUNCTION("""COMPUTED_VALUE"""),136.0)</f>
        <v>136</v>
      </c>
      <c r="E2967" s="2"/>
      <c r="F2967" s="2"/>
    </row>
    <row r="2968">
      <c r="A2968" s="2">
        <f>IFERROR(__xludf.DUMMYFUNCTION("""COMPUTED_VALUE"""),188068.0)</f>
        <v>188068</v>
      </c>
      <c r="B2968" s="2">
        <f>IFERROR(__xludf.DUMMYFUNCTION("""COMPUTED_VALUE"""),0.0)</f>
        <v>0</v>
      </c>
      <c r="C2968" s="2">
        <f>IFERROR(__xludf.DUMMYFUNCTION("""COMPUTED_VALUE"""),795.0)</f>
        <v>795</v>
      </c>
      <c r="D2968" s="3">
        <f>IFERROR(__xludf.DUMMYFUNCTION("""COMPUTED_VALUE"""),454.0)</f>
        <v>454</v>
      </c>
      <c r="E2968" s="2"/>
      <c r="F2968" s="2"/>
    </row>
    <row r="2969">
      <c r="A2969" s="2">
        <f>IFERROR(__xludf.DUMMYFUNCTION("""COMPUTED_VALUE"""),92613.0)</f>
        <v>92613</v>
      </c>
      <c r="B2969" s="2">
        <f>IFERROR(__xludf.DUMMYFUNCTION("""COMPUTED_VALUE"""),1.0)</f>
        <v>1</v>
      </c>
      <c r="C2969" s="2">
        <f>IFERROR(__xludf.DUMMYFUNCTION("""COMPUTED_VALUE"""),780.0)</f>
        <v>780</v>
      </c>
      <c r="D2969" s="3">
        <f>IFERROR(__xludf.DUMMYFUNCTION("""COMPUTED_VALUE"""),198.0)</f>
        <v>198</v>
      </c>
      <c r="E2969" s="2"/>
      <c r="F2969" s="2"/>
    </row>
    <row r="2970">
      <c r="A2970" s="2">
        <f>IFERROR(__xludf.DUMMYFUNCTION("""COMPUTED_VALUE"""),69234.0)</f>
        <v>69234</v>
      </c>
      <c r="B2970" s="2">
        <f>IFERROR(__xludf.DUMMYFUNCTION("""COMPUTED_VALUE"""),0.0)</f>
        <v>0</v>
      </c>
      <c r="C2970" s="2">
        <f>IFERROR(__xludf.DUMMYFUNCTION("""COMPUTED_VALUE"""),324.0)</f>
        <v>324</v>
      </c>
      <c r="D2970" s="3">
        <f>IFERROR(__xludf.DUMMYFUNCTION("""COMPUTED_VALUE"""),115.0)</f>
        <v>115</v>
      </c>
      <c r="E2970" s="2"/>
      <c r="F2970" s="2"/>
    </row>
    <row r="2971">
      <c r="A2971" s="2">
        <f>IFERROR(__xludf.DUMMYFUNCTION("""COMPUTED_VALUE"""),109938.0)</f>
        <v>109938</v>
      </c>
      <c r="B2971" s="2">
        <f>IFERROR(__xludf.DUMMYFUNCTION("""COMPUTED_VALUE"""),1.0)</f>
        <v>1</v>
      </c>
      <c r="C2971" s="2">
        <f>IFERROR(__xludf.DUMMYFUNCTION("""COMPUTED_VALUE"""),632.0)</f>
        <v>632</v>
      </c>
      <c r="D2971" s="3">
        <f>IFERROR(__xludf.DUMMYFUNCTION("""COMPUTED_VALUE"""),391.0)</f>
        <v>391</v>
      </c>
      <c r="E2971" s="2"/>
      <c r="F2971" s="2"/>
    </row>
    <row r="2972">
      <c r="A2972" s="2">
        <f>IFERROR(__xludf.DUMMYFUNCTION("""COMPUTED_VALUE"""),120307.0)</f>
        <v>120307</v>
      </c>
      <c r="B2972" s="2">
        <f>IFERROR(__xludf.DUMMYFUNCTION("""COMPUTED_VALUE"""),0.0)</f>
        <v>0</v>
      </c>
      <c r="C2972" s="2">
        <f>IFERROR(__xludf.DUMMYFUNCTION("""COMPUTED_VALUE"""),429.0)</f>
        <v>429</v>
      </c>
      <c r="D2972" s="3">
        <f>IFERROR(__xludf.DUMMYFUNCTION("""COMPUTED_VALUE"""),313.0)</f>
        <v>313</v>
      </c>
      <c r="E2972" s="2"/>
      <c r="F2972" s="2"/>
    </row>
    <row r="2973">
      <c r="A2973" s="2">
        <f>IFERROR(__xludf.DUMMYFUNCTION("""COMPUTED_VALUE"""),118906.0)</f>
        <v>118906</v>
      </c>
      <c r="B2973" s="2">
        <f>IFERROR(__xludf.DUMMYFUNCTION("""COMPUTED_VALUE"""),0.0)</f>
        <v>0</v>
      </c>
      <c r="C2973" s="2">
        <f>IFERROR(__xludf.DUMMYFUNCTION("""COMPUTED_VALUE"""),544.0)</f>
        <v>544</v>
      </c>
      <c r="D2973" s="3">
        <f>IFERROR(__xludf.DUMMYFUNCTION("""COMPUTED_VALUE"""),516.0)</f>
        <v>516</v>
      </c>
      <c r="E2973" s="2"/>
      <c r="F2973" s="2"/>
    </row>
    <row r="2974">
      <c r="A2974" s="2">
        <f>IFERROR(__xludf.DUMMYFUNCTION("""COMPUTED_VALUE"""),128309.0)</f>
        <v>128309</v>
      </c>
      <c r="B2974" s="2">
        <f>IFERROR(__xludf.DUMMYFUNCTION("""COMPUTED_VALUE"""),0.0)</f>
        <v>0</v>
      </c>
      <c r="C2974" s="2">
        <f>IFERROR(__xludf.DUMMYFUNCTION("""COMPUTED_VALUE"""),914.0)</f>
        <v>914</v>
      </c>
      <c r="D2974" s="3">
        <f>IFERROR(__xludf.DUMMYFUNCTION("""COMPUTED_VALUE"""),393.0)</f>
        <v>393</v>
      </c>
      <c r="E2974" s="2"/>
      <c r="F2974" s="2"/>
    </row>
    <row r="2975">
      <c r="A2975" s="2">
        <f>IFERROR(__xludf.DUMMYFUNCTION("""COMPUTED_VALUE"""),1986.0)</f>
        <v>1986</v>
      </c>
      <c r="B2975" s="2">
        <f>IFERROR(__xludf.DUMMYFUNCTION("""COMPUTED_VALUE"""),0.0)</f>
        <v>0</v>
      </c>
      <c r="C2975" s="2">
        <f>IFERROR(__xludf.DUMMYFUNCTION("""COMPUTED_VALUE"""),587.0)</f>
        <v>587</v>
      </c>
      <c r="D2975" s="3">
        <f>IFERROR(__xludf.DUMMYFUNCTION("""COMPUTED_VALUE"""),25.0)</f>
        <v>25</v>
      </c>
      <c r="E2975" s="2"/>
      <c r="F2975" s="2"/>
    </row>
    <row r="2976">
      <c r="A2976" s="2">
        <f>IFERROR(__xludf.DUMMYFUNCTION("""COMPUTED_VALUE"""),117749.0)</f>
        <v>117749</v>
      </c>
      <c r="B2976" s="2">
        <f>IFERROR(__xludf.DUMMYFUNCTION("""COMPUTED_VALUE"""),1.0)</f>
        <v>1</v>
      </c>
      <c r="C2976" s="2">
        <f>IFERROR(__xludf.DUMMYFUNCTION("""COMPUTED_VALUE"""),295.0)</f>
        <v>295</v>
      </c>
      <c r="D2976" s="3">
        <f>IFERROR(__xludf.DUMMYFUNCTION("""COMPUTED_VALUE"""),22.0)</f>
        <v>22</v>
      </c>
      <c r="E2976" s="2"/>
      <c r="F2976" s="2"/>
    </row>
    <row r="2977">
      <c r="A2977" s="2">
        <f>IFERROR(__xludf.DUMMYFUNCTION("""COMPUTED_VALUE"""),117748.0)</f>
        <v>117748</v>
      </c>
      <c r="B2977" s="2">
        <f>IFERROR(__xludf.DUMMYFUNCTION("""COMPUTED_VALUE"""),1.0)</f>
        <v>1</v>
      </c>
      <c r="C2977" s="2">
        <f>IFERROR(__xludf.DUMMYFUNCTION("""COMPUTED_VALUE"""),562.0)</f>
        <v>562</v>
      </c>
      <c r="D2977" s="3">
        <f>IFERROR(__xludf.DUMMYFUNCTION("""COMPUTED_VALUE"""),394.0)</f>
        <v>394</v>
      </c>
      <c r="E2977" s="2"/>
      <c r="F2977" s="2"/>
    </row>
    <row r="2978">
      <c r="A2978" s="2">
        <f>IFERROR(__xludf.DUMMYFUNCTION("""COMPUTED_VALUE"""),1962.0)</f>
        <v>1962</v>
      </c>
      <c r="B2978" s="2">
        <f>IFERROR(__xludf.DUMMYFUNCTION("""COMPUTED_VALUE"""),0.0)</f>
        <v>0</v>
      </c>
      <c r="C2978" s="2">
        <f>IFERROR(__xludf.DUMMYFUNCTION("""COMPUTED_VALUE"""),148.0)</f>
        <v>148</v>
      </c>
      <c r="D2978" s="3">
        <f>IFERROR(__xludf.DUMMYFUNCTION("""COMPUTED_VALUE"""),62.0)</f>
        <v>62</v>
      </c>
      <c r="E2978" s="2"/>
      <c r="F2978" s="2"/>
    </row>
    <row r="2979">
      <c r="A2979" s="2">
        <f>IFERROR(__xludf.DUMMYFUNCTION("""COMPUTED_VALUE"""),109994.0)</f>
        <v>109994</v>
      </c>
      <c r="B2979" s="2">
        <f>IFERROR(__xludf.DUMMYFUNCTION("""COMPUTED_VALUE"""),0.0)</f>
        <v>0</v>
      </c>
      <c r="C2979" s="2">
        <f>IFERROR(__xludf.DUMMYFUNCTION("""COMPUTED_VALUE"""),719.0)</f>
        <v>719</v>
      </c>
      <c r="D2979" s="3">
        <f>IFERROR(__xludf.DUMMYFUNCTION("""COMPUTED_VALUE"""),596.0)</f>
        <v>596</v>
      </c>
      <c r="E2979" s="2"/>
      <c r="F2979" s="2"/>
    </row>
    <row r="2980">
      <c r="A2980" s="2">
        <f>IFERROR(__xludf.DUMMYFUNCTION("""COMPUTED_VALUE"""),69364.0)</f>
        <v>69364</v>
      </c>
      <c r="B2980" s="2">
        <f>IFERROR(__xludf.DUMMYFUNCTION("""COMPUTED_VALUE"""),1.0)</f>
        <v>1</v>
      </c>
      <c r="C2980" s="2">
        <f>IFERROR(__xludf.DUMMYFUNCTION("""COMPUTED_VALUE"""),232.0)</f>
        <v>232</v>
      </c>
      <c r="D2980" s="3">
        <f>IFERROR(__xludf.DUMMYFUNCTION("""COMPUTED_VALUE"""),55.0)</f>
        <v>55</v>
      </c>
      <c r="E2980" s="2"/>
      <c r="F2980" s="2"/>
    </row>
    <row r="2981">
      <c r="A2981" s="2">
        <f>IFERROR(__xludf.DUMMYFUNCTION("""COMPUTED_VALUE"""),69365.0)</f>
        <v>69365</v>
      </c>
      <c r="B2981" s="2">
        <f>IFERROR(__xludf.DUMMYFUNCTION("""COMPUTED_VALUE"""),1.0)</f>
        <v>1</v>
      </c>
      <c r="C2981" s="2">
        <f>IFERROR(__xludf.DUMMYFUNCTION("""COMPUTED_VALUE"""),472.0)</f>
        <v>472</v>
      </c>
      <c r="D2981" s="3">
        <f>IFERROR(__xludf.DUMMYFUNCTION("""COMPUTED_VALUE"""),455.0)</f>
        <v>455</v>
      </c>
      <c r="E2981" s="2"/>
      <c r="F2981" s="2"/>
    </row>
    <row r="2982">
      <c r="A2982" s="2">
        <f>IFERROR(__xludf.DUMMYFUNCTION("""COMPUTED_VALUE"""),46990.0)</f>
        <v>46990</v>
      </c>
      <c r="B2982" s="2">
        <f>IFERROR(__xludf.DUMMYFUNCTION("""COMPUTED_VALUE"""),0.0)</f>
        <v>0</v>
      </c>
      <c r="C2982" s="2">
        <f>IFERROR(__xludf.DUMMYFUNCTION("""COMPUTED_VALUE"""),758.0)</f>
        <v>758</v>
      </c>
      <c r="D2982" s="3">
        <f>IFERROR(__xludf.DUMMYFUNCTION("""COMPUTED_VALUE"""),10.0)</f>
        <v>10</v>
      </c>
      <c r="E2982" s="2"/>
      <c r="F2982" s="2"/>
    </row>
    <row r="2983">
      <c r="A2983" s="2">
        <f>IFERROR(__xludf.DUMMYFUNCTION("""COMPUTED_VALUE"""),11428.0)</f>
        <v>11428</v>
      </c>
      <c r="B2983" s="2">
        <f>IFERROR(__xludf.DUMMYFUNCTION("""COMPUTED_VALUE"""),1.0)</f>
        <v>1</v>
      </c>
      <c r="C2983" s="2">
        <f>IFERROR(__xludf.DUMMYFUNCTION("""COMPUTED_VALUE"""),646.0)</f>
        <v>646</v>
      </c>
      <c r="D2983" s="3">
        <f>IFERROR(__xludf.DUMMYFUNCTION("""COMPUTED_VALUE"""),192.0)</f>
        <v>192</v>
      </c>
      <c r="E2983" s="2"/>
      <c r="F2983" s="2"/>
    </row>
    <row r="2984">
      <c r="A2984" s="2">
        <f>IFERROR(__xludf.DUMMYFUNCTION("""COMPUTED_VALUE"""),122318.0)</f>
        <v>122318</v>
      </c>
      <c r="B2984" s="2">
        <f>IFERROR(__xludf.DUMMYFUNCTION("""COMPUTED_VALUE"""),0.0)</f>
        <v>0</v>
      </c>
      <c r="C2984" s="2">
        <f>IFERROR(__xludf.DUMMYFUNCTION("""COMPUTED_VALUE"""),442.0)</f>
        <v>442</v>
      </c>
      <c r="D2984" s="3">
        <f>IFERROR(__xludf.DUMMYFUNCTION("""COMPUTED_VALUE"""),47.0)</f>
        <v>47</v>
      </c>
      <c r="E2984" s="2"/>
      <c r="F2984" s="2"/>
    </row>
    <row r="2985">
      <c r="A2985" s="2">
        <f>IFERROR(__xludf.DUMMYFUNCTION("""COMPUTED_VALUE"""),182194.0)</f>
        <v>182194</v>
      </c>
      <c r="B2985" s="2">
        <f>IFERROR(__xludf.DUMMYFUNCTION("""COMPUTED_VALUE"""),0.0)</f>
        <v>0</v>
      </c>
      <c r="C2985" s="2">
        <f>IFERROR(__xludf.DUMMYFUNCTION("""COMPUTED_VALUE"""),155.0)</f>
        <v>155</v>
      </c>
      <c r="D2985" s="3">
        <f>IFERROR(__xludf.DUMMYFUNCTION("""COMPUTED_VALUE"""),150.0)</f>
        <v>150</v>
      </c>
      <c r="E2985" s="2"/>
      <c r="F2985" s="2"/>
    </row>
    <row r="2986">
      <c r="A2986" s="2">
        <f>IFERROR(__xludf.DUMMYFUNCTION("""COMPUTED_VALUE"""),147256.0)</f>
        <v>147256</v>
      </c>
      <c r="B2986" s="2">
        <f>IFERROR(__xludf.DUMMYFUNCTION("""COMPUTED_VALUE"""),0.0)</f>
        <v>0</v>
      </c>
      <c r="C2986" s="2">
        <f>IFERROR(__xludf.DUMMYFUNCTION("""COMPUTED_VALUE"""),836.0)</f>
        <v>836</v>
      </c>
      <c r="D2986" s="3">
        <f>IFERROR(__xludf.DUMMYFUNCTION("""COMPUTED_VALUE"""),333.0)</f>
        <v>333</v>
      </c>
      <c r="E2986" s="2"/>
      <c r="F2986" s="2"/>
    </row>
    <row r="2987">
      <c r="A2987" s="2">
        <f>IFERROR(__xludf.DUMMYFUNCTION("""COMPUTED_VALUE"""),5079.0)</f>
        <v>5079</v>
      </c>
      <c r="B2987" s="2">
        <f>IFERROR(__xludf.DUMMYFUNCTION("""COMPUTED_VALUE"""),1.0)</f>
        <v>1</v>
      </c>
      <c r="C2987" s="2">
        <f>IFERROR(__xludf.DUMMYFUNCTION("""COMPUTED_VALUE"""),976.0)</f>
        <v>976</v>
      </c>
      <c r="D2987" s="3">
        <f>IFERROR(__xludf.DUMMYFUNCTION("""COMPUTED_VALUE"""),884.0)</f>
        <v>884</v>
      </c>
      <c r="E2987" s="2"/>
      <c r="F2987" s="2"/>
    </row>
    <row r="2988">
      <c r="A2988" s="2">
        <f>IFERROR(__xludf.DUMMYFUNCTION("""COMPUTED_VALUE"""),92621.0)</f>
        <v>92621</v>
      </c>
      <c r="B2988" s="2">
        <f>IFERROR(__xludf.DUMMYFUNCTION("""COMPUTED_VALUE"""),0.0)</f>
        <v>0</v>
      </c>
      <c r="C2988" s="2">
        <f>IFERROR(__xludf.DUMMYFUNCTION("""COMPUTED_VALUE"""),725.0)</f>
        <v>725</v>
      </c>
      <c r="D2988" s="3">
        <f>IFERROR(__xludf.DUMMYFUNCTION("""COMPUTED_VALUE"""),145.0)</f>
        <v>145</v>
      </c>
      <c r="E2988" s="2"/>
      <c r="F2988" s="2"/>
    </row>
    <row r="2989">
      <c r="A2989" s="2">
        <f>IFERROR(__xludf.DUMMYFUNCTION("""COMPUTED_VALUE"""),11003.0)</f>
        <v>11003</v>
      </c>
      <c r="B2989" s="2">
        <f>IFERROR(__xludf.DUMMYFUNCTION("""COMPUTED_VALUE"""),0.0)</f>
        <v>0</v>
      </c>
      <c r="C2989" s="2">
        <f>IFERROR(__xludf.DUMMYFUNCTION("""COMPUTED_VALUE"""),614.0)</f>
        <v>614</v>
      </c>
      <c r="D2989" s="3">
        <f>IFERROR(__xludf.DUMMYFUNCTION("""COMPUTED_VALUE"""),180.0)</f>
        <v>180</v>
      </c>
      <c r="E2989" s="2"/>
      <c r="F2989" s="2"/>
    </row>
    <row r="2990">
      <c r="A2990" s="2">
        <f>IFERROR(__xludf.DUMMYFUNCTION("""COMPUTED_VALUE"""),117560.0)</f>
        <v>117560</v>
      </c>
      <c r="B2990" s="2">
        <f>IFERROR(__xludf.DUMMYFUNCTION("""COMPUTED_VALUE"""),1.0)</f>
        <v>1</v>
      </c>
      <c r="C2990" s="2">
        <f>IFERROR(__xludf.DUMMYFUNCTION("""COMPUTED_VALUE"""),535.0)</f>
        <v>535</v>
      </c>
      <c r="D2990" s="3">
        <f>IFERROR(__xludf.DUMMYFUNCTION("""COMPUTED_VALUE"""),320.0)</f>
        <v>320</v>
      </c>
      <c r="E2990" s="2"/>
      <c r="F2990" s="2"/>
    </row>
    <row r="2991">
      <c r="A2991" s="2">
        <f>IFERROR(__xludf.DUMMYFUNCTION("""COMPUTED_VALUE"""),188368.0)</f>
        <v>188368</v>
      </c>
      <c r="B2991" s="2">
        <f>IFERROR(__xludf.DUMMYFUNCTION("""COMPUTED_VALUE"""),0.0)</f>
        <v>0</v>
      </c>
      <c r="C2991" s="2">
        <f>IFERROR(__xludf.DUMMYFUNCTION("""COMPUTED_VALUE"""),193.0)</f>
        <v>193</v>
      </c>
      <c r="D2991" s="3">
        <f>IFERROR(__xludf.DUMMYFUNCTION("""COMPUTED_VALUE"""),69.0)</f>
        <v>69</v>
      </c>
      <c r="E2991" s="2"/>
      <c r="F2991" s="2"/>
    </row>
    <row r="2992">
      <c r="A2992" s="2">
        <f>IFERROR(__xludf.DUMMYFUNCTION("""COMPUTED_VALUE"""),124765.0)</f>
        <v>124765</v>
      </c>
      <c r="B2992" s="2">
        <f>IFERROR(__xludf.DUMMYFUNCTION("""COMPUTED_VALUE"""),0.0)</f>
        <v>0</v>
      </c>
      <c r="C2992" s="2">
        <f>IFERROR(__xludf.DUMMYFUNCTION("""COMPUTED_VALUE"""),120.0)</f>
        <v>120</v>
      </c>
      <c r="D2992" s="3">
        <f>IFERROR(__xludf.DUMMYFUNCTION("""COMPUTED_VALUE"""),62.0)</f>
        <v>62</v>
      </c>
      <c r="E2992" s="2"/>
      <c r="F2992" s="2"/>
    </row>
    <row r="2993">
      <c r="A2993" s="2">
        <f>IFERROR(__xludf.DUMMYFUNCTION("""COMPUTED_VALUE"""),8726.0)</f>
        <v>8726</v>
      </c>
      <c r="B2993" s="2">
        <f>IFERROR(__xludf.DUMMYFUNCTION("""COMPUTED_VALUE"""),1.0)</f>
        <v>1</v>
      </c>
      <c r="C2993" s="2">
        <f>IFERROR(__xludf.DUMMYFUNCTION("""COMPUTED_VALUE"""),252.0)</f>
        <v>252</v>
      </c>
      <c r="D2993" s="3">
        <f>IFERROR(__xludf.DUMMYFUNCTION("""COMPUTED_VALUE"""),186.0)</f>
        <v>186</v>
      </c>
      <c r="E2993" s="2"/>
      <c r="F2993" s="2"/>
    </row>
    <row r="2994">
      <c r="A2994" s="2">
        <f>IFERROR(__xludf.DUMMYFUNCTION("""COMPUTED_VALUE"""),118158.0)</f>
        <v>118158</v>
      </c>
      <c r="B2994" s="2">
        <f>IFERROR(__xludf.DUMMYFUNCTION("""COMPUTED_VALUE"""),0.0)</f>
        <v>0</v>
      </c>
      <c r="C2994" s="2">
        <f>IFERROR(__xludf.DUMMYFUNCTION("""COMPUTED_VALUE"""),137.0)</f>
        <v>137</v>
      </c>
      <c r="D2994" s="3">
        <f>IFERROR(__xludf.DUMMYFUNCTION("""COMPUTED_VALUE"""),100.0)</f>
        <v>100</v>
      </c>
      <c r="E2994" s="2"/>
      <c r="F2994" s="2"/>
    </row>
    <row r="2995">
      <c r="A2995" s="2">
        <f>IFERROR(__xludf.DUMMYFUNCTION("""COMPUTED_VALUE"""),121871.0)</f>
        <v>121871</v>
      </c>
      <c r="B2995" s="2">
        <f>IFERROR(__xludf.DUMMYFUNCTION("""COMPUTED_VALUE"""),1.0)</f>
        <v>1</v>
      </c>
      <c r="C2995" s="2">
        <f>IFERROR(__xludf.DUMMYFUNCTION("""COMPUTED_VALUE"""),518.0)</f>
        <v>518</v>
      </c>
      <c r="D2995" s="3">
        <f>IFERROR(__xludf.DUMMYFUNCTION("""COMPUTED_VALUE"""),83.0)</f>
        <v>83</v>
      </c>
      <c r="E2995" s="2"/>
      <c r="F2995" s="2"/>
    </row>
    <row r="2996">
      <c r="A2996" s="2">
        <f>IFERROR(__xludf.DUMMYFUNCTION("""COMPUTED_VALUE"""),121876.0)</f>
        <v>121876</v>
      </c>
      <c r="B2996" s="2">
        <f>IFERROR(__xludf.DUMMYFUNCTION("""COMPUTED_VALUE"""),1.0)</f>
        <v>1</v>
      </c>
      <c r="C2996" s="2">
        <f>IFERROR(__xludf.DUMMYFUNCTION("""COMPUTED_VALUE"""),314.0)</f>
        <v>314</v>
      </c>
      <c r="D2996" s="3">
        <f>IFERROR(__xludf.DUMMYFUNCTION("""COMPUTED_VALUE"""),148.0)</f>
        <v>148</v>
      </c>
      <c r="E2996" s="2"/>
      <c r="F2996" s="2"/>
    </row>
    <row r="2997">
      <c r="A2997" s="2">
        <f>IFERROR(__xludf.DUMMYFUNCTION("""COMPUTED_VALUE"""),121877.0)</f>
        <v>121877</v>
      </c>
      <c r="B2997" s="2">
        <f>IFERROR(__xludf.DUMMYFUNCTION("""COMPUTED_VALUE"""),1.0)</f>
        <v>1</v>
      </c>
      <c r="C2997" s="2">
        <f>IFERROR(__xludf.DUMMYFUNCTION("""COMPUTED_VALUE"""),891.0)</f>
        <v>891</v>
      </c>
      <c r="D2997" s="3">
        <f>IFERROR(__xludf.DUMMYFUNCTION("""COMPUTED_VALUE"""),662.0)</f>
        <v>662</v>
      </c>
      <c r="E2997" s="2"/>
      <c r="F2997" s="2"/>
    </row>
    <row r="2998">
      <c r="A2998" s="2">
        <f>IFERROR(__xludf.DUMMYFUNCTION("""COMPUTED_VALUE"""),121879.0)</f>
        <v>121879</v>
      </c>
      <c r="B2998" s="2">
        <f>IFERROR(__xludf.DUMMYFUNCTION("""COMPUTED_VALUE"""),0.0)</f>
        <v>0</v>
      </c>
      <c r="C2998" s="2">
        <f>IFERROR(__xludf.DUMMYFUNCTION("""COMPUTED_VALUE"""),594.0)</f>
        <v>594</v>
      </c>
      <c r="D2998" s="3">
        <f>IFERROR(__xludf.DUMMYFUNCTION("""COMPUTED_VALUE"""),474.0)</f>
        <v>474</v>
      </c>
      <c r="E2998" s="2"/>
      <c r="F2998" s="2"/>
    </row>
    <row r="2999">
      <c r="A2999" s="2">
        <f>IFERROR(__xludf.DUMMYFUNCTION("""COMPUTED_VALUE"""),121874.0)</f>
        <v>121874</v>
      </c>
      <c r="B2999" s="2">
        <f>IFERROR(__xludf.DUMMYFUNCTION("""COMPUTED_VALUE"""),1.0)</f>
        <v>1</v>
      </c>
      <c r="C2999" s="2">
        <f>IFERROR(__xludf.DUMMYFUNCTION("""COMPUTED_VALUE"""),64.0)</f>
        <v>64</v>
      </c>
      <c r="D2999" s="3">
        <f>IFERROR(__xludf.DUMMYFUNCTION("""COMPUTED_VALUE"""),41.0)</f>
        <v>41</v>
      </c>
      <c r="E2999" s="2"/>
      <c r="F2999" s="2"/>
    </row>
    <row r="3000">
      <c r="A3000" s="2">
        <f>IFERROR(__xludf.DUMMYFUNCTION("""COMPUTED_VALUE"""),121893.0)</f>
        <v>121893</v>
      </c>
      <c r="B3000" s="2">
        <f>IFERROR(__xludf.DUMMYFUNCTION("""COMPUTED_VALUE"""),1.0)</f>
        <v>1</v>
      </c>
      <c r="C3000" s="2">
        <f>IFERROR(__xludf.DUMMYFUNCTION("""COMPUTED_VALUE"""),8.0)</f>
        <v>8</v>
      </c>
      <c r="D3000" s="3">
        <f>IFERROR(__xludf.DUMMYFUNCTION("""COMPUTED_VALUE"""),1.0)</f>
        <v>1</v>
      </c>
      <c r="E3000" s="2"/>
      <c r="F3000" s="2"/>
    </row>
    <row r="3001">
      <c r="A3001" s="2">
        <f>IFERROR(__xludf.DUMMYFUNCTION("""COMPUTED_VALUE"""),121892.0)</f>
        <v>121892</v>
      </c>
      <c r="B3001" s="2">
        <f>IFERROR(__xludf.DUMMYFUNCTION("""COMPUTED_VALUE"""),0.0)</f>
        <v>0</v>
      </c>
      <c r="C3001" s="2">
        <f>IFERROR(__xludf.DUMMYFUNCTION("""COMPUTED_VALUE"""),237.0)</f>
        <v>237</v>
      </c>
      <c r="D3001" s="3">
        <f>IFERROR(__xludf.DUMMYFUNCTION("""COMPUTED_VALUE"""),112.0)</f>
        <v>112</v>
      </c>
      <c r="E3001" s="2"/>
      <c r="F3001" s="2"/>
    </row>
    <row r="3002">
      <c r="A3002" s="2">
        <f>IFERROR(__xludf.DUMMYFUNCTION("""COMPUTED_VALUE"""),102678.0)</f>
        <v>102678</v>
      </c>
      <c r="B3002" s="2">
        <f>IFERROR(__xludf.DUMMYFUNCTION("""COMPUTED_VALUE"""),0.0)</f>
        <v>0</v>
      </c>
      <c r="C3002" s="2">
        <f>IFERROR(__xludf.DUMMYFUNCTION("""COMPUTED_VALUE"""),224.0)</f>
        <v>224</v>
      </c>
      <c r="D3002" s="3">
        <f>IFERROR(__xludf.DUMMYFUNCTION("""COMPUTED_VALUE"""),9.0)</f>
        <v>9</v>
      </c>
      <c r="E3002" s="2"/>
      <c r="F3002" s="2"/>
    </row>
    <row r="3003">
      <c r="A3003" s="2">
        <f>IFERROR(__xludf.DUMMYFUNCTION("""COMPUTED_VALUE"""),121887.0)</f>
        <v>121887</v>
      </c>
      <c r="B3003" s="2">
        <f>IFERROR(__xludf.DUMMYFUNCTION("""COMPUTED_VALUE"""),0.0)</f>
        <v>0</v>
      </c>
      <c r="C3003" s="2">
        <f>IFERROR(__xludf.DUMMYFUNCTION("""COMPUTED_VALUE"""),552.0)</f>
        <v>552</v>
      </c>
      <c r="D3003" s="3">
        <f>IFERROR(__xludf.DUMMYFUNCTION("""COMPUTED_VALUE"""),98.0)</f>
        <v>98</v>
      </c>
      <c r="E3003" s="2"/>
      <c r="F3003" s="2"/>
    </row>
    <row r="3004">
      <c r="A3004" s="2">
        <f>IFERROR(__xludf.DUMMYFUNCTION("""COMPUTED_VALUE"""),21344.0)</f>
        <v>21344</v>
      </c>
      <c r="B3004" s="2">
        <f>IFERROR(__xludf.DUMMYFUNCTION("""COMPUTED_VALUE"""),0.0)</f>
        <v>0</v>
      </c>
      <c r="C3004" s="2">
        <f>IFERROR(__xludf.DUMMYFUNCTION("""COMPUTED_VALUE"""),833.0)</f>
        <v>833</v>
      </c>
      <c r="D3004" s="3">
        <f>IFERROR(__xludf.DUMMYFUNCTION("""COMPUTED_VALUE"""),211.0)</f>
        <v>211</v>
      </c>
      <c r="E3004" s="2"/>
      <c r="F3004" s="2"/>
    </row>
    <row r="3005">
      <c r="A3005" s="2">
        <f>IFERROR(__xludf.DUMMYFUNCTION("""COMPUTED_VALUE"""),121873.0)</f>
        <v>121873</v>
      </c>
      <c r="B3005" s="2">
        <f>IFERROR(__xludf.DUMMYFUNCTION("""COMPUTED_VALUE"""),0.0)</f>
        <v>0</v>
      </c>
      <c r="C3005" s="2">
        <f>IFERROR(__xludf.DUMMYFUNCTION("""COMPUTED_VALUE"""),55.0)</f>
        <v>55</v>
      </c>
      <c r="D3005" s="3">
        <f>IFERROR(__xludf.DUMMYFUNCTION("""COMPUTED_VALUE"""),11.0)</f>
        <v>11</v>
      </c>
      <c r="E3005" s="2"/>
      <c r="F3005" s="2"/>
    </row>
    <row r="3006">
      <c r="A3006" s="2">
        <f>IFERROR(__xludf.DUMMYFUNCTION("""COMPUTED_VALUE"""),108833.0)</f>
        <v>108833</v>
      </c>
      <c r="B3006" s="2">
        <f>IFERROR(__xludf.DUMMYFUNCTION("""COMPUTED_VALUE"""),0.0)</f>
        <v>0</v>
      </c>
      <c r="C3006" s="2">
        <f>IFERROR(__xludf.DUMMYFUNCTION("""COMPUTED_VALUE"""),970.0)</f>
        <v>970</v>
      </c>
      <c r="D3006" s="3">
        <f>IFERROR(__xludf.DUMMYFUNCTION("""COMPUTED_VALUE"""),764.0)</f>
        <v>764</v>
      </c>
      <c r="E3006" s="2"/>
      <c r="F3006" s="2"/>
    </row>
    <row r="3007">
      <c r="A3007" s="2">
        <f>IFERROR(__xludf.DUMMYFUNCTION("""COMPUTED_VALUE"""),121882.0)</f>
        <v>121882</v>
      </c>
      <c r="B3007" s="2">
        <f>IFERROR(__xludf.DUMMYFUNCTION("""COMPUTED_VALUE"""),0.0)</f>
        <v>0</v>
      </c>
      <c r="C3007" s="2">
        <f>IFERROR(__xludf.DUMMYFUNCTION("""COMPUTED_VALUE"""),971.0)</f>
        <v>971</v>
      </c>
      <c r="D3007" s="3">
        <f>IFERROR(__xludf.DUMMYFUNCTION("""COMPUTED_VALUE"""),491.0)</f>
        <v>491</v>
      </c>
      <c r="E3007" s="2"/>
      <c r="F3007" s="2"/>
    </row>
    <row r="3008">
      <c r="A3008" s="2">
        <f>IFERROR(__xludf.DUMMYFUNCTION("""COMPUTED_VALUE"""),91492.0)</f>
        <v>91492</v>
      </c>
      <c r="B3008" s="2">
        <f>IFERROR(__xludf.DUMMYFUNCTION("""COMPUTED_VALUE"""),0.0)</f>
        <v>0</v>
      </c>
      <c r="C3008" s="2">
        <f>IFERROR(__xludf.DUMMYFUNCTION("""COMPUTED_VALUE"""),418.0)</f>
        <v>418</v>
      </c>
      <c r="D3008" s="3">
        <f>IFERROR(__xludf.DUMMYFUNCTION("""COMPUTED_VALUE"""),417.0)</f>
        <v>417</v>
      </c>
      <c r="E3008" s="2"/>
      <c r="F3008" s="2"/>
    </row>
    <row r="3009">
      <c r="A3009" s="2">
        <f>IFERROR(__xludf.DUMMYFUNCTION("""COMPUTED_VALUE"""),111392.0)</f>
        <v>111392</v>
      </c>
      <c r="B3009" s="2">
        <f>IFERROR(__xludf.DUMMYFUNCTION("""COMPUTED_VALUE"""),1.0)</f>
        <v>1</v>
      </c>
      <c r="C3009" s="2">
        <f>IFERROR(__xludf.DUMMYFUNCTION("""COMPUTED_VALUE"""),851.0)</f>
        <v>851</v>
      </c>
      <c r="D3009" s="3">
        <f>IFERROR(__xludf.DUMMYFUNCTION("""COMPUTED_VALUE"""),717.0)</f>
        <v>717</v>
      </c>
      <c r="E3009" s="2"/>
      <c r="F3009" s="2"/>
    </row>
    <row r="3010">
      <c r="A3010" s="2">
        <f>IFERROR(__xludf.DUMMYFUNCTION("""COMPUTED_VALUE"""),108835.0)</f>
        <v>108835</v>
      </c>
      <c r="B3010" s="2">
        <f>IFERROR(__xludf.DUMMYFUNCTION("""COMPUTED_VALUE"""),1.0)</f>
        <v>1</v>
      </c>
      <c r="C3010" s="2">
        <f>IFERROR(__xludf.DUMMYFUNCTION("""COMPUTED_VALUE"""),467.0)</f>
        <v>467</v>
      </c>
      <c r="D3010" s="3">
        <f>IFERROR(__xludf.DUMMYFUNCTION("""COMPUTED_VALUE"""),422.0)</f>
        <v>422</v>
      </c>
      <c r="E3010" s="2"/>
      <c r="F3010" s="2"/>
    </row>
    <row r="3011">
      <c r="A3011" s="2">
        <f>IFERROR(__xludf.DUMMYFUNCTION("""COMPUTED_VALUE"""),118111.0)</f>
        <v>118111</v>
      </c>
      <c r="B3011" s="2">
        <f>IFERROR(__xludf.DUMMYFUNCTION("""COMPUTED_VALUE"""),0.0)</f>
        <v>0</v>
      </c>
      <c r="C3011" s="2">
        <f>IFERROR(__xludf.DUMMYFUNCTION("""COMPUTED_VALUE"""),310.0)</f>
        <v>310</v>
      </c>
      <c r="D3011" s="3">
        <f>IFERROR(__xludf.DUMMYFUNCTION("""COMPUTED_VALUE"""),276.0)</f>
        <v>276</v>
      </c>
      <c r="E3011" s="2"/>
      <c r="F3011" s="2"/>
    </row>
    <row r="3012">
      <c r="A3012" s="2">
        <f>IFERROR(__xludf.DUMMYFUNCTION("""COMPUTED_VALUE"""),121872.0)</f>
        <v>121872</v>
      </c>
      <c r="B3012" s="2">
        <f>IFERROR(__xludf.DUMMYFUNCTION("""COMPUTED_VALUE"""),0.0)</f>
        <v>0</v>
      </c>
      <c r="C3012" s="2">
        <f>IFERROR(__xludf.DUMMYFUNCTION("""COMPUTED_VALUE"""),597.0)</f>
        <v>597</v>
      </c>
      <c r="D3012" s="3">
        <f>IFERROR(__xludf.DUMMYFUNCTION("""COMPUTED_VALUE"""),412.0)</f>
        <v>412</v>
      </c>
      <c r="E3012" s="2"/>
      <c r="F3012" s="2"/>
    </row>
    <row r="3013">
      <c r="A3013" s="2">
        <f>IFERROR(__xludf.DUMMYFUNCTION("""COMPUTED_VALUE"""),112885.0)</f>
        <v>112885</v>
      </c>
      <c r="B3013" s="2">
        <f>IFERROR(__xludf.DUMMYFUNCTION("""COMPUTED_VALUE"""),1.0)</f>
        <v>1</v>
      </c>
      <c r="C3013" s="2">
        <f>IFERROR(__xludf.DUMMYFUNCTION("""COMPUTED_VALUE"""),700.0)</f>
        <v>700</v>
      </c>
      <c r="D3013" s="3">
        <f>IFERROR(__xludf.DUMMYFUNCTION("""COMPUTED_VALUE"""),185.0)</f>
        <v>185</v>
      </c>
      <c r="E3013" s="2"/>
      <c r="F3013" s="2"/>
    </row>
    <row r="3014">
      <c r="A3014" s="2">
        <f>IFERROR(__xludf.DUMMYFUNCTION("""COMPUTED_VALUE"""),108738.0)</f>
        <v>108738</v>
      </c>
      <c r="B3014" s="2">
        <f>IFERROR(__xludf.DUMMYFUNCTION("""COMPUTED_VALUE"""),1.0)</f>
        <v>1</v>
      </c>
      <c r="C3014" s="2">
        <f>IFERROR(__xludf.DUMMYFUNCTION("""COMPUTED_VALUE"""),789.0)</f>
        <v>789</v>
      </c>
      <c r="D3014" s="3">
        <f>IFERROR(__xludf.DUMMYFUNCTION("""COMPUTED_VALUE"""),636.0)</f>
        <v>636</v>
      </c>
      <c r="E3014" s="2"/>
      <c r="F3014" s="2"/>
    </row>
    <row r="3015">
      <c r="A3015" s="2">
        <f>IFERROR(__xludf.DUMMYFUNCTION("""COMPUTED_VALUE"""),21338.0)</f>
        <v>21338</v>
      </c>
      <c r="B3015" s="2">
        <f>IFERROR(__xludf.DUMMYFUNCTION("""COMPUTED_VALUE"""),1.0)</f>
        <v>1</v>
      </c>
      <c r="C3015" s="2">
        <f>IFERROR(__xludf.DUMMYFUNCTION("""COMPUTED_VALUE"""),820.0)</f>
        <v>820</v>
      </c>
      <c r="D3015" s="3">
        <f>IFERROR(__xludf.DUMMYFUNCTION("""COMPUTED_VALUE"""),492.0)</f>
        <v>492</v>
      </c>
      <c r="E3015" s="2"/>
      <c r="F3015" s="2"/>
    </row>
    <row r="3016">
      <c r="A3016" s="2">
        <f>IFERROR(__xludf.DUMMYFUNCTION("""COMPUTED_VALUE"""),76513.0)</f>
        <v>76513</v>
      </c>
      <c r="B3016" s="2">
        <f>IFERROR(__xludf.DUMMYFUNCTION("""COMPUTED_VALUE"""),0.0)</f>
        <v>0</v>
      </c>
      <c r="C3016" s="2">
        <f>IFERROR(__xludf.DUMMYFUNCTION("""COMPUTED_VALUE"""),923.0)</f>
        <v>923</v>
      </c>
      <c r="D3016" s="3">
        <f>IFERROR(__xludf.DUMMYFUNCTION("""COMPUTED_VALUE"""),544.0)</f>
        <v>544</v>
      </c>
      <c r="E3016" s="2"/>
      <c r="F3016" s="2"/>
    </row>
    <row r="3017">
      <c r="A3017" s="2">
        <f>IFERROR(__xludf.DUMMYFUNCTION("""COMPUTED_VALUE"""),76514.0)</f>
        <v>76514</v>
      </c>
      <c r="B3017" s="2">
        <f>IFERROR(__xludf.DUMMYFUNCTION("""COMPUTED_VALUE"""),0.0)</f>
        <v>0</v>
      </c>
      <c r="C3017" s="2">
        <f>IFERROR(__xludf.DUMMYFUNCTION("""COMPUTED_VALUE"""),557.0)</f>
        <v>557</v>
      </c>
      <c r="D3017" s="3">
        <f>IFERROR(__xludf.DUMMYFUNCTION("""COMPUTED_VALUE"""),412.0)</f>
        <v>412</v>
      </c>
      <c r="E3017" s="2"/>
      <c r="F3017" s="2"/>
    </row>
    <row r="3018">
      <c r="A3018" s="2">
        <f>IFERROR(__xludf.DUMMYFUNCTION("""COMPUTED_VALUE"""),21339.0)</f>
        <v>21339</v>
      </c>
      <c r="B3018" s="2">
        <f>IFERROR(__xludf.DUMMYFUNCTION("""COMPUTED_VALUE"""),1.0)</f>
        <v>1</v>
      </c>
      <c r="C3018" s="2">
        <f>IFERROR(__xludf.DUMMYFUNCTION("""COMPUTED_VALUE"""),625.0)</f>
        <v>625</v>
      </c>
      <c r="D3018" s="3">
        <f>IFERROR(__xludf.DUMMYFUNCTION("""COMPUTED_VALUE"""),546.0)</f>
        <v>546</v>
      </c>
      <c r="E3018" s="2"/>
      <c r="F3018" s="2"/>
    </row>
    <row r="3019">
      <c r="A3019" s="2">
        <f>IFERROR(__xludf.DUMMYFUNCTION("""COMPUTED_VALUE"""),75436.0)</f>
        <v>75436</v>
      </c>
      <c r="B3019" s="2">
        <f>IFERROR(__xludf.DUMMYFUNCTION("""COMPUTED_VALUE"""),1.0)</f>
        <v>1</v>
      </c>
      <c r="C3019" s="2">
        <f>IFERROR(__xludf.DUMMYFUNCTION("""COMPUTED_VALUE"""),734.0)</f>
        <v>734</v>
      </c>
      <c r="D3019" s="3">
        <f>IFERROR(__xludf.DUMMYFUNCTION("""COMPUTED_VALUE"""),177.0)</f>
        <v>177</v>
      </c>
      <c r="E3019" s="2"/>
      <c r="F3019" s="2"/>
    </row>
    <row r="3020">
      <c r="A3020" s="2">
        <f>IFERROR(__xludf.DUMMYFUNCTION("""COMPUTED_VALUE"""),84092.0)</f>
        <v>84092</v>
      </c>
      <c r="B3020" s="2">
        <f>IFERROR(__xludf.DUMMYFUNCTION("""COMPUTED_VALUE"""),0.0)</f>
        <v>0</v>
      </c>
      <c r="C3020" s="2">
        <f>IFERROR(__xludf.DUMMYFUNCTION("""COMPUTED_VALUE"""),470.0)</f>
        <v>470</v>
      </c>
      <c r="D3020" s="3">
        <f>IFERROR(__xludf.DUMMYFUNCTION("""COMPUTED_VALUE"""),403.0)</f>
        <v>403</v>
      </c>
      <c r="E3020" s="2"/>
      <c r="F3020" s="2"/>
    </row>
    <row r="3021">
      <c r="A3021" s="2">
        <f>IFERROR(__xludf.DUMMYFUNCTION("""COMPUTED_VALUE"""),86943.0)</f>
        <v>86943</v>
      </c>
      <c r="B3021" s="2">
        <f>IFERROR(__xludf.DUMMYFUNCTION("""COMPUTED_VALUE"""),0.0)</f>
        <v>0</v>
      </c>
      <c r="C3021" s="2">
        <f>IFERROR(__xludf.DUMMYFUNCTION("""COMPUTED_VALUE"""),209.0)</f>
        <v>209</v>
      </c>
      <c r="D3021" s="3">
        <f>IFERROR(__xludf.DUMMYFUNCTION("""COMPUTED_VALUE"""),167.0)</f>
        <v>167</v>
      </c>
      <c r="E3021" s="2"/>
      <c r="F3021" s="2"/>
    </row>
    <row r="3022">
      <c r="A3022" s="2">
        <f>IFERROR(__xludf.DUMMYFUNCTION("""COMPUTED_VALUE"""),8688.0)</f>
        <v>8688</v>
      </c>
      <c r="B3022" s="2">
        <f>IFERROR(__xludf.DUMMYFUNCTION("""COMPUTED_VALUE"""),1.0)</f>
        <v>1</v>
      </c>
      <c r="C3022" s="2">
        <f>IFERROR(__xludf.DUMMYFUNCTION("""COMPUTED_VALUE"""),727.0)</f>
        <v>727</v>
      </c>
      <c r="D3022" s="3">
        <f>IFERROR(__xludf.DUMMYFUNCTION("""COMPUTED_VALUE"""),539.0)</f>
        <v>539</v>
      </c>
      <c r="E3022" s="2"/>
      <c r="F3022" s="2"/>
    </row>
    <row r="3023">
      <c r="A3023" s="2">
        <f>IFERROR(__xludf.DUMMYFUNCTION("""COMPUTED_VALUE"""),117967.0)</f>
        <v>117967</v>
      </c>
      <c r="B3023" s="2">
        <f>IFERROR(__xludf.DUMMYFUNCTION("""COMPUTED_VALUE"""),1.0)</f>
        <v>1</v>
      </c>
      <c r="C3023" s="2">
        <f>IFERROR(__xludf.DUMMYFUNCTION("""COMPUTED_VALUE"""),415.0)</f>
        <v>415</v>
      </c>
      <c r="D3023" s="3">
        <f>IFERROR(__xludf.DUMMYFUNCTION("""COMPUTED_VALUE"""),166.0)</f>
        <v>166</v>
      </c>
      <c r="E3023" s="2"/>
      <c r="F3023" s="2"/>
    </row>
    <row r="3024">
      <c r="A3024" s="2">
        <f>IFERROR(__xludf.DUMMYFUNCTION("""COMPUTED_VALUE"""),23061.0)</f>
        <v>23061</v>
      </c>
      <c r="B3024" s="2">
        <f>IFERROR(__xludf.DUMMYFUNCTION("""COMPUTED_VALUE"""),0.0)</f>
        <v>0</v>
      </c>
      <c r="C3024" s="2">
        <f>IFERROR(__xludf.DUMMYFUNCTION("""COMPUTED_VALUE"""),207.0)</f>
        <v>207</v>
      </c>
      <c r="D3024" s="3">
        <f>IFERROR(__xludf.DUMMYFUNCTION("""COMPUTED_VALUE"""),6.0)</f>
        <v>6</v>
      </c>
      <c r="E3024" s="2"/>
      <c r="F3024" s="2"/>
    </row>
    <row r="3025">
      <c r="A3025" s="2">
        <f>IFERROR(__xludf.DUMMYFUNCTION("""COMPUTED_VALUE"""),10688.0)</f>
        <v>10688</v>
      </c>
      <c r="B3025" s="2">
        <f>IFERROR(__xludf.DUMMYFUNCTION("""COMPUTED_VALUE"""),1.0)</f>
        <v>1</v>
      </c>
      <c r="C3025" s="2">
        <f>IFERROR(__xludf.DUMMYFUNCTION("""COMPUTED_VALUE"""),617.0)</f>
        <v>617</v>
      </c>
      <c r="D3025" s="3">
        <f>IFERROR(__xludf.DUMMYFUNCTION("""COMPUTED_VALUE"""),419.0)</f>
        <v>419</v>
      </c>
      <c r="E3025" s="2"/>
      <c r="F3025" s="2"/>
    </row>
    <row r="3026">
      <c r="A3026" s="2">
        <f>IFERROR(__xludf.DUMMYFUNCTION("""COMPUTED_VALUE"""),8690.0)</f>
        <v>8690</v>
      </c>
      <c r="B3026" s="2">
        <f>IFERROR(__xludf.DUMMYFUNCTION("""COMPUTED_VALUE"""),1.0)</f>
        <v>1</v>
      </c>
      <c r="C3026" s="2">
        <f>IFERROR(__xludf.DUMMYFUNCTION("""COMPUTED_VALUE"""),122.0)</f>
        <v>122</v>
      </c>
      <c r="D3026" s="3">
        <f>IFERROR(__xludf.DUMMYFUNCTION("""COMPUTED_VALUE"""),96.0)</f>
        <v>96</v>
      </c>
      <c r="E3026" s="2"/>
      <c r="F3026" s="2"/>
    </row>
    <row r="3027">
      <c r="A3027" s="2">
        <f>IFERROR(__xludf.DUMMYFUNCTION("""COMPUTED_VALUE"""),79808.0)</f>
        <v>79808</v>
      </c>
      <c r="B3027" s="2">
        <f>IFERROR(__xludf.DUMMYFUNCTION("""COMPUTED_VALUE"""),1.0)</f>
        <v>1</v>
      </c>
      <c r="C3027" s="2">
        <f>IFERROR(__xludf.DUMMYFUNCTION("""COMPUTED_VALUE"""),28.0)</f>
        <v>28</v>
      </c>
      <c r="D3027" s="3">
        <f>IFERROR(__xludf.DUMMYFUNCTION("""COMPUTED_VALUE"""),18.0)</f>
        <v>18</v>
      </c>
      <c r="E3027" s="2"/>
      <c r="F3027" s="2"/>
    </row>
    <row r="3028">
      <c r="A3028" s="2">
        <f>IFERROR(__xludf.DUMMYFUNCTION("""COMPUTED_VALUE"""),44797.0)</f>
        <v>44797</v>
      </c>
      <c r="B3028" s="2">
        <f>IFERROR(__xludf.DUMMYFUNCTION("""COMPUTED_VALUE"""),1.0)</f>
        <v>1</v>
      </c>
      <c r="C3028" s="2">
        <f>IFERROR(__xludf.DUMMYFUNCTION("""COMPUTED_VALUE"""),335.0)</f>
        <v>335</v>
      </c>
      <c r="D3028" s="3">
        <f>IFERROR(__xludf.DUMMYFUNCTION("""COMPUTED_VALUE"""),305.0)</f>
        <v>305</v>
      </c>
      <c r="E3028" s="2"/>
      <c r="F3028" s="2"/>
    </row>
    <row r="3029">
      <c r="A3029" s="2">
        <f>IFERROR(__xludf.DUMMYFUNCTION("""COMPUTED_VALUE"""),79807.0)</f>
        <v>79807</v>
      </c>
      <c r="B3029" s="2">
        <f>IFERROR(__xludf.DUMMYFUNCTION("""COMPUTED_VALUE"""),0.0)</f>
        <v>0</v>
      </c>
      <c r="C3029" s="2">
        <f>IFERROR(__xludf.DUMMYFUNCTION("""COMPUTED_VALUE"""),25.0)</f>
        <v>25</v>
      </c>
      <c r="D3029" s="3">
        <f>IFERROR(__xludf.DUMMYFUNCTION("""COMPUTED_VALUE"""),5.0)</f>
        <v>5</v>
      </c>
      <c r="E3029" s="2"/>
      <c r="F3029" s="2"/>
    </row>
    <row r="3030">
      <c r="A3030" s="2">
        <f>IFERROR(__xludf.DUMMYFUNCTION("""COMPUTED_VALUE"""),11426.0)</f>
        <v>11426</v>
      </c>
      <c r="B3030" s="2">
        <f>IFERROR(__xludf.DUMMYFUNCTION("""COMPUTED_VALUE"""),0.0)</f>
        <v>0</v>
      </c>
      <c r="C3030" s="2">
        <f>IFERROR(__xludf.DUMMYFUNCTION("""COMPUTED_VALUE"""),540.0)</f>
        <v>540</v>
      </c>
      <c r="D3030" s="3">
        <f>IFERROR(__xludf.DUMMYFUNCTION("""COMPUTED_VALUE"""),204.0)</f>
        <v>204</v>
      </c>
      <c r="E3030" s="2"/>
      <c r="F3030" s="2"/>
    </row>
    <row r="3031">
      <c r="A3031" s="2">
        <f>IFERROR(__xludf.DUMMYFUNCTION("""COMPUTED_VALUE"""),45059.0)</f>
        <v>45059</v>
      </c>
      <c r="B3031" s="2">
        <f>IFERROR(__xludf.DUMMYFUNCTION("""COMPUTED_VALUE"""),1.0)</f>
        <v>1</v>
      </c>
      <c r="C3031" s="2">
        <f>IFERROR(__xludf.DUMMYFUNCTION("""COMPUTED_VALUE"""),270.0)</f>
        <v>270</v>
      </c>
      <c r="D3031" s="3">
        <f>IFERROR(__xludf.DUMMYFUNCTION("""COMPUTED_VALUE"""),244.0)</f>
        <v>244</v>
      </c>
      <c r="E3031" s="2"/>
      <c r="F3031" s="2"/>
    </row>
    <row r="3032">
      <c r="A3032" s="2">
        <f>IFERROR(__xludf.DUMMYFUNCTION("""COMPUTED_VALUE"""),200582.0)</f>
        <v>200582</v>
      </c>
      <c r="B3032" s="2">
        <f>IFERROR(__xludf.DUMMYFUNCTION("""COMPUTED_VALUE"""),1.0)</f>
        <v>1</v>
      </c>
      <c r="C3032" s="2">
        <f>IFERROR(__xludf.DUMMYFUNCTION("""COMPUTED_VALUE"""),287.0)</f>
        <v>287</v>
      </c>
      <c r="D3032" s="3">
        <f>IFERROR(__xludf.DUMMYFUNCTION("""COMPUTED_VALUE"""),214.0)</f>
        <v>214</v>
      </c>
      <c r="E3032" s="2"/>
      <c r="F3032" s="2"/>
    </row>
    <row r="3033">
      <c r="A3033" s="2">
        <f>IFERROR(__xludf.DUMMYFUNCTION("""COMPUTED_VALUE"""),143825.0)</f>
        <v>143825</v>
      </c>
      <c r="B3033" s="2">
        <f>IFERROR(__xludf.DUMMYFUNCTION("""COMPUTED_VALUE"""),0.0)</f>
        <v>0</v>
      </c>
      <c r="C3033" s="2">
        <f>IFERROR(__xludf.DUMMYFUNCTION("""COMPUTED_VALUE"""),385.0)</f>
        <v>385</v>
      </c>
      <c r="D3033" s="3">
        <f>IFERROR(__xludf.DUMMYFUNCTION("""COMPUTED_VALUE"""),303.0)</f>
        <v>303</v>
      </c>
      <c r="E3033" s="2"/>
      <c r="F3033" s="2"/>
    </row>
    <row r="3034">
      <c r="A3034" s="2">
        <f>IFERROR(__xludf.DUMMYFUNCTION("""COMPUTED_VALUE"""),85232.0)</f>
        <v>85232</v>
      </c>
      <c r="B3034" s="2">
        <f>IFERROR(__xludf.DUMMYFUNCTION("""COMPUTED_VALUE"""),0.0)</f>
        <v>0</v>
      </c>
      <c r="C3034" s="2">
        <f>IFERROR(__xludf.DUMMYFUNCTION("""COMPUTED_VALUE"""),314.0)</f>
        <v>314</v>
      </c>
      <c r="D3034" s="3">
        <f>IFERROR(__xludf.DUMMYFUNCTION("""COMPUTED_VALUE"""),119.0)</f>
        <v>119</v>
      </c>
      <c r="E3034" s="2"/>
      <c r="F3034" s="2"/>
    </row>
    <row r="3035">
      <c r="A3035" s="2">
        <f>IFERROR(__xludf.DUMMYFUNCTION("""COMPUTED_VALUE"""),79806.0)</f>
        <v>79806</v>
      </c>
      <c r="B3035" s="2">
        <f>IFERROR(__xludf.DUMMYFUNCTION("""COMPUTED_VALUE"""),0.0)</f>
        <v>0</v>
      </c>
      <c r="C3035" s="2">
        <f>IFERROR(__xludf.DUMMYFUNCTION("""COMPUTED_VALUE"""),773.0)</f>
        <v>773</v>
      </c>
      <c r="D3035" s="3">
        <f>IFERROR(__xludf.DUMMYFUNCTION("""COMPUTED_VALUE"""),456.0)</f>
        <v>456</v>
      </c>
      <c r="E3035" s="2"/>
      <c r="F3035" s="2"/>
    </row>
    <row r="3036">
      <c r="A3036" s="2">
        <f>IFERROR(__xludf.DUMMYFUNCTION("""COMPUTED_VALUE"""),46991.0)</f>
        <v>46991</v>
      </c>
      <c r="B3036" s="2">
        <f>IFERROR(__xludf.DUMMYFUNCTION("""COMPUTED_VALUE"""),0.0)</f>
        <v>0</v>
      </c>
      <c r="C3036" s="2">
        <f>IFERROR(__xludf.DUMMYFUNCTION("""COMPUTED_VALUE"""),106.0)</f>
        <v>106</v>
      </c>
      <c r="D3036" s="3">
        <f>IFERROR(__xludf.DUMMYFUNCTION("""COMPUTED_VALUE"""),37.0)</f>
        <v>37</v>
      </c>
      <c r="E3036" s="2"/>
      <c r="F3036" s="2"/>
    </row>
    <row r="3037">
      <c r="A3037" s="2">
        <f>IFERROR(__xludf.DUMMYFUNCTION("""COMPUTED_VALUE"""),69360.0)</f>
        <v>69360</v>
      </c>
      <c r="B3037" s="2">
        <f>IFERROR(__xludf.DUMMYFUNCTION("""COMPUTED_VALUE"""),1.0)</f>
        <v>1</v>
      </c>
      <c r="C3037" s="2">
        <f>IFERROR(__xludf.DUMMYFUNCTION("""COMPUTED_VALUE"""),375.0)</f>
        <v>375</v>
      </c>
      <c r="D3037" s="3">
        <f>IFERROR(__xludf.DUMMYFUNCTION("""COMPUTED_VALUE"""),32.0)</f>
        <v>32</v>
      </c>
      <c r="E3037" s="2"/>
      <c r="F3037" s="2"/>
    </row>
    <row r="3038">
      <c r="A3038" s="2">
        <f>IFERROR(__xludf.DUMMYFUNCTION("""COMPUTED_VALUE"""),110441.0)</f>
        <v>110441</v>
      </c>
      <c r="B3038" s="2">
        <f>IFERROR(__xludf.DUMMYFUNCTION("""COMPUTED_VALUE"""),1.0)</f>
        <v>1</v>
      </c>
      <c r="C3038" s="2">
        <f>IFERROR(__xludf.DUMMYFUNCTION("""COMPUTED_VALUE"""),606.0)</f>
        <v>606</v>
      </c>
      <c r="D3038" s="3">
        <f>IFERROR(__xludf.DUMMYFUNCTION("""COMPUTED_VALUE"""),56.0)</f>
        <v>56</v>
      </c>
      <c r="E3038" s="2"/>
      <c r="F3038" s="2"/>
    </row>
    <row r="3039">
      <c r="A3039" s="2">
        <f>IFERROR(__xludf.DUMMYFUNCTION("""COMPUTED_VALUE"""),120781.0)</f>
        <v>120781</v>
      </c>
      <c r="B3039" s="2">
        <f>IFERROR(__xludf.DUMMYFUNCTION("""COMPUTED_VALUE"""),1.0)</f>
        <v>1</v>
      </c>
      <c r="C3039" s="2">
        <f>IFERROR(__xludf.DUMMYFUNCTION("""COMPUTED_VALUE"""),708.0)</f>
        <v>708</v>
      </c>
      <c r="D3039" s="3">
        <f>IFERROR(__xludf.DUMMYFUNCTION("""COMPUTED_VALUE"""),331.0)</f>
        <v>331</v>
      </c>
      <c r="E3039" s="2"/>
      <c r="F3039" s="2"/>
    </row>
    <row r="3040">
      <c r="A3040" s="2">
        <f>IFERROR(__xludf.DUMMYFUNCTION("""COMPUTED_VALUE"""),79809.0)</f>
        <v>79809</v>
      </c>
      <c r="B3040" s="2">
        <f>IFERROR(__xludf.DUMMYFUNCTION("""COMPUTED_VALUE"""),1.0)</f>
        <v>1</v>
      </c>
      <c r="C3040" s="2">
        <f>IFERROR(__xludf.DUMMYFUNCTION("""COMPUTED_VALUE"""),287.0)</f>
        <v>287</v>
      </c>
      <c r="D3040" s="3">
        <f>IFERROR(__xludf.DUMMYFUNCTION("""COMPUTED_VALUE"""),152.0)</f>
        <v>152</v>
      </c>
      <c r="E3040" s="2"/>
      <c r="F3040" s="2"/>
    </row>
    <row r="3041">
      <c r="A3041" s="2">
        <f>IFERROR(__xludf.DUMMYFUNCTION("""COMPUTED_VALUE"""),45057.0)</f>
        <v>45057</v>
      </c>
      <c r="B3041" s="2">
        <f>IFERROR(__xludf.DUMMYFUNCTION("""COMPUTED_VALUE"""),1.0)</f>
        <v>1</v>
      </c>
      <c r="C3041" s="2">
        <f>IFERROR(__xludf.DUMMYFUNCTION("""COMPUTED_VALUE"""),892.0)</f>
        <v>892</v>
      </c>
      <c r="D3041" s="3">
        <f>IFERROR(__xludf.DUMMYFUNCTION("""COMPUTED_VALUE"""),676.0)</f>
        <v>676</v>
      </c>
      <c r="E3041" s="2"/>
      <c r="F3041" s="2"/>
    </row>
    <row r="3042">
      <c r="A3042" s="2">
        <f>IFERROR(__xludf.DUMMYFUNCTION("""COMPUTED_VALUE"""),79805.0)</f>
        <v>79805</v>
      </c>
      <c r="B3042" s="2">
        <f>IFERROR(__xludf.DUMMYFUNCTION("""COMPUTED_VALUE"""),1.0)</f>
        <v>1</v>
      </c>
      <c r="C3042" s="2">
        <f>IFERROR(__xludf.DUMMYFUNCTION("""COMPUTED_VALUE"""),227.0)</f>
        <v>227</v>
      </c>
      <c r="D3042" s="3">
        <f>IFERROR(__xludf.DUMMYFUNCTION("""COMPUTED_VALUE"""),194.0)</f>
        <v>194</v>
      </c>
      <c r="E3042" s="2"/>
      <c r="F3042" s="2"/>
    </row>
    <row r="3043">
      <c r="A3043" s="2">
        <f>IFERROR(__xludf.DUMMYFUNCTION("""COMPUTED_VALUE"""),45707.0)</f>
        <v>45707</v>
      </c>
      <c r="B3043" s="2">
        <f>IFERROR(__xludf.DUMMYFUNCTION("""COMPUTED_VALUE"""),1.0)</f>
        <v>1</v>
      </c>
      <c r="C3043" s="2">
        <f>IFERROR(__xludf.DUMMYFUNCTION("""COMPUTED_VALUE"""),222.0)</f>
        <v>222</v>
      </c>
      <c r="D3043" s="3">
        <f>IFERROR(__xludf.DUMMYFUNCTION("""COMPUTED_VALUE"""),90.0)</f>
        <v>90</v>
      </c>
      <c r="E3043" s="2"/>
      <c r="F3043" s="2"/>
    </row>
    <row r="3044">
      <c r="A3044" s="2">
        <f>IFERROR(__xludf.DUMMYFUNCTION("""COMPUTED_VALUE"""),117282.0)</f>
        <v>117282</v>
      </c>
      <c r="B3044" s="2">
        <f>IFERROR(__xludf.DUMMYFUNCTION("""COMPUTED_VALUE"""),1.0)</f>
        <v>1</v>
      </c>
      <c r="C3044" s="2">
        <f>IFERROR(__xludf.DUMMYFUNCTION("""COMPUTED_VALUE"""),227.0)</f>
        <v>227</v>
      </c>
      <c r="D3044" s="3">
        <f>IFERROR(__xludf.DUMMYFUNCTION("""COMPUTED_VALUE"""),155.0)</f>
        <v>155</v>
      </c>
      <c r="E3044" s="2"/>
      <c r="F3044" s="2"/>
    </row>
    <row r="3045">
      <c r="A3045" s="2">
        <f>IFERROR(__xludf.DUMMYFUNCTION("""COMPUTED_VALUE"""),30503.0)</f>
        <v>30503</v>
      </c>
      <c r="B3045" s="2">
        <f>IFERROR(__xludf.DUMMYFUNCTION("""COMPUTED_VALUE"""),1.0)</f>
        <v>1</v>
      </c>
      <c r="C3045" s="2">
        <f>IFERROR(__xludf.DUMMYFUNCTION("""COMPUTED_VALUE"""),767.0)</f>
        <v>767</v>
      </c>
      <c r="D3045" s="3">
        <f>IFERROR(__xludf.DUMMYFUNCTION("""COMPUTED_VALUE"""),36.0)</f>
        <v>36</v>
      </c>
      <c r="E3045" s="2"/>
      <c r="F3045" s="2"/>
    </row>
    <row r="3046">
      <c r="A3046" s="2">
        <f>IFERROR(__xludf.DUMMYFUNCTION("""COMPUTED_VALUE"""),187336.0)</f>
        <v>187336</v>
      </c>
      <c r="B3046" s="2">
        <f>IFERROR(__xludf.DUMMYFUNCTION("""COMPUTED_VALUE"""),1.0)</f>
        <v>1</v>
      </c>
      <c r="C3046" s="2">
        <f>IFERROR(__xludf.DUMMYFUNCTION("""COMPUTED_VALUE"""),111.0)</f>
        <v>111</v>
      </c>
      <c r="D3046" s="3">
        <f>IFERROR(__xludf.DUMMYFUNCTION("""COMPUTED_VALUE"""),4.0)</f>
        <v>4</v>
      </c>
      <c r="E3046" s="2"/>
      <c r="F3046" s="2"/>
    </row>
    <row r="3047">
      <c r="A3047" s="2">
        <f>IFERROR(__xludf.DUMMYFUNCTION("""COMPUTED_VALUE"""),82427.0)</f>
        <v>82427</v>
      </c>
      <c r="B3047" s="2">
        <f>IFERROR(__xludf.DUMMYFUNCTION("""COMPUTED_VALUE"""),1.0)</f>
        <v>1</v>
      </c>
      <c r="C3047" s="2">
        <f>IFERROR(__xludf.DUMMYFUNCTION("""COMPUTED_VALUE"""),399.0)</f>
        <v>399</v>
      </c>
      <c r="D3047" s="3">
        <f>IFERROR(__xludf.DUMMYFUNCTION("""COMPUTED_VALUE"""),88.0)</f>
        <v>88</v>
      </c>
      <c r="E3047" s="2"/>
      <c r="F3047" s="2"/>
    </row>
    <row r="3048">
      <c r="A3048" s="2">
        <f>IFERROR(__xludf.DUMMYFUNCTION("""COMPUTED_VALUE"""),11000.0)</f>
        <v>11000</v>
      </c>
      <c r="B3048" s="2">
        <f>IFERROR(__xludf.DUMMYFUNCTION("""COMPUTED_VALUE"""),0.0)</f>
        <v>0</v>
      </c>
      <c r="C3048" s="2">
        <f>IFERROR(__xludf.DUMMYFUNCTION("""COMPUTED_VALUE"""),49.0)</f>
        <v>49</v>
      </c>
      <c r="D3048" s="3">
        <f>IFERROR(__xludf.DUMMYFUNCTION("""COMPUTED_VALUE"""),6.0)</f>
        <v>6</v>
      </c>
      <c r="E3048" s="2"/>
      <c r="F3048" s="2"/>
    </row>
    <row r="3049">
      <c r="A3049" s="2">
        <f>IFERROR(__xludf.DUMMYFUNCTION("""COMPUTED_VALUE"""),117274.0)</f>
        <v>117274</v>
      </c>
      <c r="B3049" s="2">
        <f>IFERROR(__xludf.DUMMYFUNCTION("""COMPUTED_VALUE"""),0.0)</f>
        <v>0</v>
      </c>
      <c r="C3049" s="2">
        <f>IFERROR(__xludf.DUMMYFUNCTION("""COMPUTED_VALUE"""),153.0)</f>
        <v>153</v>
      </c>
      <c r="D3049" s="3">
        <f>IFERROR(__xludf.DUMMYFUNCTION("""COMPUTED_VALUE"""),62.0)</f>
        <v>62</v>
      </c>
      <c r="E3049" s="2"/>
      <c r="F3049" s="2"/>
    </row>
    <row r="3050">
      <c r="A3050" s="2">
        <f>IFERROR(__xludf.DUMMYFUNCTION("""COMPUTED_VALUE"""),117445.0)</f>
        <v>117445</v>
      </c>
      <c r="B3050" s="2">
        <f>IFERROR(__xludf.DUMMYFUNCTION("""COMPUTED_VALUE"""),1.0)</f>
        <v>1</v>
      </c>
      <c r="C3050" s="2">
        <f>IFERROR(__xludf.DUMMYFUNCTION("""COMPUTED_VALUE"""),735.0)</f>
        <v>735</v>
      </c>
      <c r="D3050" s="3">
        <f>IFERROR(__xludf.DUMMYFUNCTION("""COMPUTED_VALUE"""),572.0)</f>
        <v>572</v>
      </c>
      <c r="E3050" s="2"/>
      <c r="F3050" s="2"/>
    </row>
    <row r="3051">
      <c r="A3051" s="2">
        <f>IFERROR(__xludf.DUMMYFUNCTION("""COMPUTED_VALUE"""),103246.0)</f>
        <v>103246</v>
      </c>
      <c r="B3051" s="2">
        <f>IFERROR(__xludf.DUMMYFUNCTION("""COMPUTED_VALUE"""),0.0)</f>
        <v>0</v>
      </c>
      <c r="C3051" s="2">
        <f>IFERROR(__xludf.DUMMYFUNCTION("""COMPUTED_VALUE"""),282.0)</f>
        <v>282</v>
      </c>
      <c r="D3051" s="3">
        <f>IFERROR(__xludf.DUMMYFUNCTION("""COMPUTED_VALUE"""),185.0)</f>
        <v>185</v>
      </c>
      <c r="E3051" s="2"/>
      <c r="F3051" s="2"/>
    </row>
    <row r="3052">
      <c r="A3052" s="2">
        <f>IFERROR(__xludf.DUMMYFUNCTION("""COMPUTED_VALUE"""),92626.0)</f>
        <v>92626</v>
      </c>
      <c r="B3052" s="2">
        <f>IFERROR(__xludf.DUMMYFUNCTION("""COMPUTED_VALUE"""),1.0)</f>
        <v>1</v>
      </c>
      <c r="C3052" s="2">
        <f>IFERROR(__xludf.DUMMYFUNCTION("""COMPUTED_VALUE"""),151.0)</f>
        <v>151</v>
      </c>
      <c r="D3052" s="3">
        <f>IFERROR(__xludf.DUMMYFUNCTION("""COMPUTED_VALUE"""),138.0)</f>
        <v>138</v>
      </c>
      <c r="E3052" s="2"/>
      <c r="F3052" s="2"/>
    </row>
    <row r="3053">
      <c r="A3053" s="2">
        <f>IFERROR(__xludf.DUMMYFUNCTION("""COMPUTED_VALUE"""),79352.0)</f>
        <v>79352</v>
      </c>
      <c r="B3053" s="2">
        <f>IFERROR(__xludf.DUMMYFUNCTION("""COMPUTED_VALUE"""),0.0)</f>
        <v>0</v>
      </c>
      <c r="C3053" s="2">
        <f>IFERROR(__xludf.DUMMYFUNCTION("""COMPUTED_VALUE"""),9.0)</f>
        <v>9</v>
      </c>
      <c r="D3053" s="3">
        <f>IFERROR(__xludf.DUMMYFUNCTION("""COMPUTED_VALUE"""),4.0)</f>
        <v>4</v>
      </c>
      <c r="E3053" s="2"/>
      <c r="F3053" s="2"/>
    </row>
    <row r="3054">
      <c r="A3054" s="2">
        <f>IFERROR(__xludf.DUMMYFUNCTION("""COMPUTED_VALUE"""),128315.0)</f>
        <v>128315</v>
      </c>
      <c r="B3054" s="2">
        <f>IFERROR(__xludf.DUMMYFUNCTION("""COMPUTED_VALUE"""),1.0)</f>
        <v>1</v>
      </c>
      <c r="C3054" s="2">
        <f>IFERROR(__xludf.DUMMYFUNCTION("""COMPUTED_VALUE"""),506.0)</f>
        <v>506</v>
      </c>
      <c r="D3054" s="3">
        <f>IFERROR(__xludf.DUMMYFUNCTION("""COMPUTED_VALUE"""),97.0)</f>
        <v>97</v>
      </c>
      <c r="E3054" s="2"/>
      <c r="F3054" s="2"/>
    </row>
    <row r="3055">
      <c r="A3055" s="2">
        <f>IFERROR(__xludf.DUMMYFUNCTION("""COMPUTED_VALUE"""),117272.0)</f>
        <v>117272</v>
      </c>
      <c r="B3055" s="2">
        <f>IFERROR(__xludf.DUMMYFUNCTION("""COMPUTED_VALUE"""),1.0)</f>
        <v>1</v>
      </c>
      <c r="C3055" s="2">
        <f>IFERROR(__xludf.DUMMYFUNCTION("""COMPUTED_VALUE"""),783.0)</f>
        <v>783</v>
      </c>
      <c r="D3055" s="3">
        <f>IFERROR(__xludf.DUMMYFUNCTION("""COMPUTED_VALUE"""),402.0)</f>
        <v>402</v>
      </c>
      <c r="E3055" s="2"/>
      <c r="F3055" s="2"/>
    </row>
    <row r="3056">
      <c r="A3056" s="2">
        <f>IFERROR(__xludf.DUMMYFUNCTION("""COMPUTED_VALUE"""),116770.0)</f>
        <v>116770</v>
      </c>
      <c r="B3056" s="2">
        <f>IFERROR(__xludf.DUMMYFUNCTION("""COMPUTED_VALUE"""),1.0)</f>
        <v>1</v>
      </c>
      <c r="C3056" s="2">
        <f>IFERROR(__xludf.DUMMYFUNCTION("""COMPUTED_VALUE"""),354.0)</f>
        <v>354</v>
      </c>
      <c r="D3056" s="3">
        <f>IFERROR(__xludf.DUMMYFUNCTION("""COMPUTED_VALUE"""),124.0)</f>
        <v>124</v>
      </c>
      <c r="E3056" s="2"/>
      <c r="F3056" s="2"/>
    </row>
    <row r="3057">
      <c r="A3057" s="2">
        <f>IFERROR(__xludf.DUMMYFUNCTION("""COMPUTED_VALUE"""),118012.0)</f>
        <v>118012</v>
      </c>
      <c r="B3057" s="2">
        <f>IFERROR(__xludf.DUMMYFUNCTION("""COMPUTED_VALUE"""),1.0)</f>
        <v>1</v>
      </c>
      <c r="C3057" s="2">
        <f>IFERROR(__xludf.DUMMYFUNCTION("""COMPUTED_VALUE"""),513.0)</f>
        <v>513</v>
      </c>
      <c r="D3057" s="3">
        <f>IFERROR(__xludf.DUMMYFUNCTION("""COMPUTED_VALUE"""),375.0)</f>
        <v>375</v>
      </c>
      <c r="E3057" s="2"/>
      <c r="F3057" s="2"/>
    </row>
    <row r="3058">
      <c r="A3058" s="2">
        <f>IFERROR(__xludf.DUMMYFUNCTION("""COMPUTED_VALUE"""),117306.0)</f>
        <v>117306</v>
      </c>
      <c r="B3058" s="2">
        <f>IFERROR(__xludf.DUMMYFUNCTION("""COMPUTED_VALUE"""),0.0)</f>
        <v>0</v>
      </c>
      <c r="C3058" s="2">
        <f>IFERROR(__xludf.DUMMYFUNCTION("""COMPUTED_VALUE"""),820.0)</f>
        <v>820</v>
      </c>
      <c r="D3058" s="3">
        <f>IFERROR(__xludf.DUMMYFUNCTION("""COMPUTED_VALUE"""),438.0)</f>
        <v>438</v>
      </c>
      <c r="E3058" s="2"/>
      <c r="F3058" s="2"/>
    </row>
    <row r="3059">
      <c r="A3059" s="2">
        <f>IFERROR(__xludf.DUMMYFUNCTION("""COMPUTED_VALUE"""),117056.0)</f>
        <v>117056</v>
      </c>
      <c r="B3059" s="2">
        <f>IFERROR(__xludf.DUMMYFUNCTION("""COMPUTED_VALUE"""),1.0)</f>
        <v>1</v>
      </c>
      <c r="C3059" s="2">
        <f>IFERROR(__xludf.DUMMYFUNCTION("""COMPUTED_VALUE"""),407.0)</f>
        <v>407</v>
      </c>
      <c r="D3059" s="3">
        <f>IFERROR(__xludf.DUMMYFUNCTION("""COMPUTED_VALUE"""),342.0)</f>
        <v>342</v>
      </c>
      <c r="E3059" s="2"/>
      <c r="F3059" s="2"/>
    </row>
    <row r="3060">
      <c r="A3060" s="2">
        <f>IFERROR(__xludf.DUMMYFUNCTION("""COMPUTED_VALUE"""),188066.0)</f>
        <v>188066</v>
      </c>
      <c r="B3060" s="2">
        <f>IFERROR(__xludf.DUMMYFUNCTION("""COMPUTED_VALUE"""),1.0)</f>
        <v>1</v>
      </c>
      <c r="C3060" s="2">
        <f>IFERROR(__xludf.DUMMYFUNCTION("""COMPUTED_VALUE"""),329.0)</f>
        <v>329</v>
      </c>
      <c r="D3060" s="3">
        <f>IFERROR(__xludf.DUMMYFUNCTION("""COMPUTED_VALUE"""),214.0)</f>
        <v>214</v>
      </c>
      <c r="E3060" s="2"/>
      <c r="F3060" s="2"/>
    </row>
    <row r="3061">
      <c r="A3061" s="2">
        <f>IFERROR(__xludf.DUMMYFUNCTION("""COMPUTED_VALUE"""),181147.0)</f>
        <v>181147</v>
      </c>
      <c r="B3061" s="2">
        <f>IFERROR(__xludf.DUMMYFUNCTION("""COMPUTED_VALUE"""),1.0)</f>
        <v>1</v>
      </c>
      <c r="C3061" s="2">
        <f>IFERROR(__xludf.DUMMYFUNCTION("""COMPUTED_VALUE"""),426.0)</f>
        <v>426</v>
      </c>
      <c r="D3061" s="3">
        <f>IFERROR(__xludf.DUMMYFUNCTION("""COMPUTED_VALUE"""),97.0)</f>
        <v>97</v>
      </c>
      <c r="E3061" s="2"/>
      <c r="F3061" s="2"/>
    </row>
    <row r="3062">
      <c r="A3062" s="2">
        <f>IFERROR(__xludf.DUMMYFUNCTION("""COMPUTED_VALUE"""),79917.0)</f>
        <v>79917</v>
      </c>
      <c r="B3062" s="2">
        <f>IFERROR(__xludf.DUMMYFUNCTION("""COMPUTED_VALUE"""),1.0)</f>
        <v>1</v>
      </c>
      <c r="C3062" s="2">
        <f>IFERROR(__xludf.DUMMYFUNCTION("""COMPUTED_VALUE"""),434.0)</f>
        <v>434</v>
      </c>
      <c r="D3062" s="3">
        <f>IFERROR(__xludf.DUMMYFUNCTION("""COMPUTED_VALUE"""),268.0)</f>
        <v>268</v>
      </c>
      <c r="E3062" s="2"/>
      <c r="F3062" s="2"/>
    </row>
    <row r="3063">
      <c r="A3063" s="2">
        <f>IFERROR(__xludf.DUMMYFUNCTION("""COMPUTED_VALUE"""),110282.0)</f>
        <v>110282</v>
      </c>
      <c r="B3063" s="2">
        <f>IFERROR(__xludf.DUMMYFUNCTION("""COMPUTED_VALUE"""),0.0)</f>
        <v>0</v>
      </c>
      <c r="C3063" s="2">
        <f>IFERROR(__xludf.DUMMYFUNCTION("""COMPUTED_VALUE"""),85.0)</f>
        <v>85</v>
      </c>
      <c r="D3063" s="3">
        <f>IFERROR(__xludf.DUMMYFUNCTION("""COMPUTED_VALUE"""),31.0)</f>
        <v>31</v>
      </c>
      <c r="E3063" s="2"/>
      <c r="F3063" s="2"/>
    </row>
    <row r="3064">
      <c r="A3064" s="2">
        <f>IFERROR(__xludf.DUMMYFUNCTION("""COMPUTED_VALUE"""),200526.0)</f>
        <v>200526</v>
      </c>
      <c r="B3064" s="2">
        <f>IFERROR(__xludf.DUMMYFUNCTION("""COMPUTED_VALUE"""),1.0)</f>
        <v>1</v>
      </c>
      <c r="C3064" s="2">
        <f>IFERROR(__xludf.DUMMYFUNCTION("""COMPUTED_VALUE"""),35.0)</f>
        <v>35</v>
      </c>
      <c r="D3064" s="3">
        <f>IFERROR(__xludf.DUMMYFUNCTION("""COMPUTED_VALUE"""),5.0)</f>
        <v>5</v>
      </c>
      <c r="E3064" s="2"/>
      <c r="F3064" s="2"/>
    </row>
    <row r="3065">
      <c r="A3065" s="2">
        <f>IFERROR(__xludf.DUMMYFUNCTION("""COMPUTED_VALUE"""),193197.0)</f>
        <v>193197</v>
      </c>
      <c r="B3065" s="2">
        <f>IFERROR(__xludf.DUMMYFUNCTION("""COMPUTED_VALUE"""),0.0)</f>
        <v>0</v>
      </c>
      <c r="C3065" s="2">
        <f>IFERROR(__xludf.DUMMYFUNCTION("""COMPUTED_VALUE"""),51.0)</f>
        <v>51</v>
      </c>
      <c r="D3065" s="3">
        <f>IFERROR(__xludf.DUMMYFUNCTION("""COMPUTED_VALUE"""),32.0)</f>
        <v>32</v>
      </c>
      <c r="E3065" s="2"/>
      <c r="F3065" s="2"/>
    </row>
    <row r="3066">
      <c r="A3066" s="2">
        <f>IFERROR(__xludf.DUMMYFUNCTION("""COMPUTED_VALUE"""),79820.0)</f>
        <v>79820</v>
      </c>
      <c r="B3066" s="2">
        <f>IFERROR(__xludf.DUMMYFUNCTION("""COMPUTED_VALUE"""),1.0)</f>
        <v>1</v>
      </c>
      <c r="C3066" s="2">
        <f>IFERROR(__xludf.DUMMYFUNCTION("""COMPUTED_VALUE"""),882.0)</f>
        <v>882</v>
      </c>
      <c r="D3066" s="3">
        <f>IFERROR(__xludf.DUMMYFUNCTION("""COMPUTED_VALUE"""),280.0)</f>
        <v>280</v>
      </c>
      <c r="E3066" s="2"/>
      <c r="F3066" s="2"/>
    </row>
    <row r="3067">
      <c r="A3067" s="2">
        <f>IFERROR(__xludf.DUMMYFUNCTION("""COMPUTED_VALUE"""),122327.0)</f>
        <v>122327</v>
      </c>
      <c r="B3067" s="2">
        <f>IFERROR(__xludf.DUMMYFUNCTION("""COMPUTED_VALUE"""),1.0)</f>
        <v>1</v>
      </c>
      <c r="C3067" s="2">
        <f>IFERROR(__xludf.DUMMYFUNCTION("""COMPUTED_VALUE"""),545.0)</f>
        <v>545</v>
      </c>
      <c r="D3067" s="3">
        <f>IFERROR(__xludf.DUMMYFUNCTION("""COMPUTED_VALUE"""),326.0)</f>
        <v>326</v>
      </c>
      <c r="E3067" s="2"/>
      <c r="F3067" s="2"/>
    </row>
    <row r="3068">
      <c r="A3068" s="2">
        <f>IFERROR(__xludf.DUMMYFUNCTION("""COMPUTED_VALUE"""),117956.0)</f>
        <v>117956</v>
      </c>
      <c r="B3068" s="2">
        <f>IFERROR(__xludf.DUMMYFUNCTION("""COMPUTED_VALUE"""),0.0)</f>
        <v>0</v>
      </c>
      <c r="C3068" s="2">
        <f>IFERROR(__xludf.DUMMYFUNCTION("""COMPUTED_VALUE"""),37.0)</f>
        <v>37</v>
      </c>
      <c r="D3068" s="3">
        <f>IFERROR(__xludf.DUMMYFUNCTION("""COMPUTED_VALUE"""),31.0)</f>
        <v>31</v>
      </c>
      <c r="E3068" s="2"/>
      <c r="F3068" s="2"/>
    </row>
    <row r="3069">
      <c r="A3069" s="2">
        <f>IFERROR(__xludf.DUMMYFUNCTION("""COMPUTED_VALUE"""),86182.0)</f>
        <v>86182</v>
      </c>
      <c r="B3069" s="2">
        <f>IFERROR(__xludf.DUMMYFUNCTION("""COMPUTED_VALUE"""),1.0)</f>
        <v>1</v>
      </c>
      <c r="C3069" s="2">
        <f>IFERROR(__xludf.DUMMYFUNCTION("""COMPUTED_VALUE"""),387.0)</f>
        <v>387</v>
      </c>
      <c r="D3069" s="3">
        <f>IFERROR(__xludf.DUMMYFUNCTION("""COMPUTED_VALUE"""),177.0)</f>
        <v>177</v>
      </c>
      <c r="E3069" s="2"/>
      <c r="F3069" s="2"/>
    </row>
    <row r="3070">
      <c r="A3070" s="2">
        <f>IFERROR(__xludf.DUMMYFUNCTION("""COMPUTED_VALUE"""),46989.0)</f>
        <v>46989</v>
      </c>
      <c r="B3070" s="2">
        <f>IFERROR(__xludf.DUMMYFUNCTION("""COMPUTED_VALUE"""),1.0)</f>
        <v>1</v>
      </c>
      <c r="C3070" s="2">
        <f>IFERROR(__xludf.DUMMYFUNCTION("""COMPUTED_VALUE"""),799.0)</f>
        <v>799</v>
      </c>
      <c r="D3070" s="3">
        <f>IFERROR(__xludf.DUMMYFUNCTION("""COMPUTED_VALUE"""),55.0)</f>
        <v>55</v>
      </c>
      <c r="E3070" s="2"/>
      <c r="F3070" s="2"/>
    </row>
    <row r="3071">
      <c r="A3071" s="2">
        <f>IFERROR(__xludf.DUMMYFUNCTION("""COMPUTED_VALUE"""),46976.0)</f>
        <v>46976</v>
      </c>
      <c r="B3071" s="2">
        <f>IFERROR(__xludf.DUMMYFUNCTION("""COMPUTED_VALUE"""),0.0)</f>
        <v>0</v>
      </c>
      <c r="C3071" s="2">
        <f>IFERROR(__xludf.DUMMYFUNCTION("""COMPUTED_VALUE"""),333.0)</f>
        <v>333</v>
      </c>
      <c r="D3071" s="3">
        <f>IFERROR(__xludf.DUMMYFUNCTION("""COMPUTED_VALUE"""),274.0)</f>
        <v>274</v>
      </c>
      <c r="E3071" s="2"/>
      <c r="F3071" s="2"/>
    </row>
    <row r="3072">
      <c r="A3072" s="2">
        <f>IFERROR(__xludf.DUMMYFUNCTION("""COMPUTED_VALUE"""),79354.0)</f>
        <v>79354</v>
      </c>
      <c r="B3072" s="2">
        <f>IFERROR(__xludf.DUMMYFUNCTION("""COMPUTED_VALUE"""),0.0)</f>
        <v>0</v>
      </c>
      <c r="C3072" s="2">
        <f>IFERROR(__xludf.DUMMYFUNCTION("""COMPUTED_VALUE"""),302.0)</f>
        <v>302</v>
      </c>
      <c r="D3072" s="3">
        <f>IFERROR(__xludf.DUMMYFUNCTION("""COMPUTED_VALUE"""),88.0)</f>
        <v>88</v>
      </c>
      <c r="E3072" s="2"/>
      <c r="F3072" s="2"/>
    </row>
    <row r="3073">
      <c r="A3073" s="2">
        <f>IFERROR(__xludf.DUMMYFUNCTION("""COMPUTED_VALUE"""),114268.0)</f>
        <v>114268</v>
      </c>
      <c r="B3073" s="2">
        <f>IFERROR(__xludf.DUMMYFUNCTION("""COMPUTED_VALUE"""),1.0)</f>
        <v>1</v>
      </c>
      <c r="C3073" s="2">
        <f>IFERROR(__xludf.DUMMYFUNCTION("""COMPUTED_VALUE"""),203.0)</f>
        <v>203</v>
      </c>
      <c r="D3073" s="3">
        <f>IFERROR(__xludf.DUMMYFUNCTION("""COMPUTED_VALUE"""),133.0)</f>
        <v>133</v>
      </c>
      <c r="E3073" s="2"/>
      <c r="F3073" s="2"/>
    </row>
    <row r="3074">
      <c r="A3074" s="2">
        <f>IFERROR(__xludf.DUMMYFUNCTION("""COMPUTED_VALUE"""),10685.0)</f>
        <v>10685</v>
      </c>
      <c r="B3074" s="2">
        <f>IFERROR(__xludf.DUMMYFUNCTION("""COMPUTED_VALUE"""),0.0)</f>
        <v>0</v>
      </c>
      <c r="C3074" s="2">
        <f>IFERROR(__xludf.DUMMYFUNCTION("""COMPUTED_VALUE"""),162.0)</f>
        <v>162</v>
      </c>
      <c r="D3074" s="3">
        <f>IFERROR(__xludf.DUMMYFUNCTION("""COMPUTED_VALUE"""),24.0)</f>
        <v>24</v>
      </c>
      <c r="E3074" s="2"/>
      <c r="F3074" s="2"/>
    </row>
    <row r="3075">
      <c r="A3075" s="2">
        <f>IFERROR(__xludf.DUMMYFUNCTION("""COMPUTED_VALUE"""),118157.0)</f>
        <v>118157</v>
      </c>
      <c r="B3075" s="2">
        <f>IFERROR(__xludf.DUMMYFUNCTION("""COMPUTED_VALUE"""),1.0)</f>
        <v>1</v>
      </c>
      <c r="C3075" s="2">
        <f>IFERROR(__xludf.DUMMYFUNCTION("""COMPUTED_VALUE"""),861.0)</f>
        <v>861</v>
      </c>
      <c r="D3075" s="3">
        <f>IFERROR(__xludf.DUMMYFUNCTION("""COMPUTED_VALUE"""),157.0)</f>
        <v>157</v>
      </c>
      <c r="E3075" s="2"/>
      <c r="F3075" s="2"/>
    </row>
    <row r="3076">
      <c r="A3076" s="2">
        <f>IFERROR(__xludf.DUMMYFUNCTION("""COMPUTED_VALUE"""),122322.0)</f>
        <v>122322</v>
      </c>
      <c r="B3076" s="2">
        <f>IFERROR(__xludf.DUMMYFUNCTION("""COMPUTED_VALUE"""),0.0)</f>
        <v>0</v>
      </c>
      <c r="C3076" s="2">
        <f>IFERROR(__xludf.DUMMYFUNCTION("""COMPUTED_VALUE"""),78.0)</f>
        <v>78</v>
      </c>
      <c r="D3076" s="3">
        <f>IFERROR(__xludf.DUMMYFUNCTION("""COMPUTED_VALUE"""),13.0)</f>
        <v>13</v>
      </c>
      <c r="E3076" s="2"/>
      <c r="F3076" s="2"/>
    </row>
    <row r="3077">
      <c r="A3077" s="2">
        <f>IFERROR(__xludf.DUMMYFUNCTION("""COMPUTED_VALUE"""),27509.0)</f>
        <v>27509</v>
      </c>
      <c r="B3077" s="2">
        <f>IFERROR(__xludf.DUMMYFUNCTION("""COMPUTED_VALUE"""),1.0)</f>
        <v>1</v>
      </c>
      <c r="C3077" s="2">
        <f>IFERROR(__xludf.DUMMYFUNCTION("""COMPUTED_VALUE"""),658.0)</f>
        <v>658</v>
      </c>
      <c r="D3077" s="3">
        <f>IFERROR(__xludf.DUMMYFUNCTION("""COMPUTED_VALUE"""),136.0)</f>
        <v>136</v>
      </c>
      <c r="E3077" s="2"/>
      <c r="F3077" s="2"/>
    </row>
    <row r="3078">
      <c r="A3078" s="2">
        <f>IFERROR(__xludf.DUMMYFUNCTION("""COMPUTED_VALUE"""),110852.0)</f>
        <v>110852</v>
      </c>
      <c r="B3078" s="2">
        <f>IFERROR(__xludf.DUMMYFUNCTION("""COMPUTED_VALUE"""),1.0)</f>
        <v>1</v>
      </c>
      <c r="C3078" s="2">
        <f>IFERROR(__xludf.DUMMYFUNCTION("""COMPUTED_VALUE"""),98.0)</f>
        <v>98</v>
      </c>
      <c r="D3078" s="3">
        <f>IFERROR(__xludf.DUMMYFUNCTION("""COMPUTED_VALUE"""),64.0)</f>
        <v>64</v>
      </c>
      <c r="E3078" s="2"/>
      <c r="F3078" s="2"/>
    </row>
    <row r="3079">
      <c r="A3079" s="2">
        <f>IFERROR(__xludf.DUMMYFUNCTION("""COMPUTED_VALUE"""),128312.0)</f>
        <v>128312</v>
      </c>
      <c r="B3079" s="2">
        <f>IFERROR(__xludf.DUMMYFUNCTION("""COMPUTED_VALUE"""),0.0)</f>
        <v>0</v>
      </c>
      <c r="C3079" s="2">
        <f>IFERROR(__xludf.DUMMYFUNCTION("""COMPUTED_VALUE"""),576.0)</f>
        <v>576</v>
      </c>
      <c r="D3079" s="3">
        <f>IFERROR(__xludf.DUMMYFUNCTION("""COMPUTED_VALUE"""),484.0)</f>
        <v>484</v>
      </c>
      <c r="E3079" s="2"/>
      <c r="F3079" s="2"/>
    </row>
    <row r="3080">
      <c r="A3080" s="2">
        <f>IFERROR(__xludf.DUMMYFUNCTION("""COMPUTED_VALUE"""),79355.0)</f>
        <v>79355</v>
      </c>
      <c r="B3080" s="2">
        <f>IFERROR(__xludf.DUMMYFUNCTION("""COMPUTED_VALUE"""),1.0)</f>
        <v>1</v>
      </c>
      <c r="C3080" s="2">
        <f>IFERROR(__xludf.DUMMYFUNCTION("""COMPUTED_VALUE"""),492.0)</f>
        <v>492</v>
      </c>
      <c r="D3080" s="3">
        <f>IFERROR(__xludf.DUMMYFUNCTION("""COMPUTED_VALUE"""),144.0)</f>
        <v>144</v>
      </c>
      <c r="E3080" s="2"/>
      <c r="F3080" s="2"/>
    </row>
    <row r="3081">
      <c r="A3081" s="2">
        <f>IFERROR(__xludf.DUMMYFUNCTION("""COMPUTED_VALUE"""),86185.0)</f>
        <v>86185</v>
      </c>
      <c r="B3081" s="2">
        <f>IFERROR(__xludf.DUMMYFUNCTION("""COMPUTED_VALUE"""),0.0)</f>
        <v>0</v>
      </c>
      <c r="C3081" s="2">
        <f>IFERROR(__xludf.DUMMYFUNCTION("""COMPUTED_VALUE"""),289.0)</f>
        <v>289</v>
      </c>
      <c r="D3081" s="3">
        <f>IFERROR(__xludf.DUMMYFUNCTION("""COMPUTED_VALUE"""),128.0)</f>
        <v>128</v>
      </c>
      <c r="E3081" s="2"/>
      <c r="F3081" s="2"/>
    </row>
    <row r="3082">
      <c r="A3082" s="2">
        <f>IFERROR(__xludf.DUMMYFUNCTION("""COMPUTED_VALUE"""),77138.0)</f>
        <v>77138</v>
      </c>
      <c r="B3082" s="2">
        <f>IFERROR(__xludf.DUMMYFUNCTION("""COMPUTED_VALUE"""),0.0)</f>
        <v>0</v>
      </c>
      <c r="C3082" s="2">
        <f>IFERROR(__xludf.DUMMYFUNCTION("""COMPUTED_VALUE"""),171.0)</f>
        <v>171</v>
      </c>
      <c r="D3082" s="3">
        <f>IFERROR(__xludf.DUMMYFUNCTION("""COMPUTED_VALUE"""),109.0)</f>
        <v>109</v>
      </c>
      <c r="E3082" s="2"/>
      <c r="F3082" s="2"/>
    </row>
    <row r="3083">
      <c r="A3083" s="2">
        <f>IFERROR(__xludf.DUMMYFUNCTION("""COMPUTED_VALUE"""),86183.0)</f>
        <v>86183</v>
      </c>
      <c r="B3083" s="2">
        <f>IFERROR(__xludf.DUMMYFUNCTION("""COMPUTED_VALUE"""),0.0)</f>
        <v>0</v>
      </c>
      <c r="C3083" s="2">
        <f>IFERROR(__xludf.DUMMYFUNCTION("""COMPUTED_VALUE"""),873.0)</f>
        <v>873</v>
      </c>
      <c r="D3083" s="3">
        <f>IFERROR(__xludf.DUMMYFUNCTION("""COMPUTED_VALUE"""),151.0)</f>
        <v>151</v>
      </c>
      <c r="E3083" s="2"/>
      <c r="F3083" s="2"/>
    </row>
    <row r="3084">
      <c r="A3084" s="2">
        <f>IFERROR(__xludf.DUMMYFUNCTION("""COMPUTED_VALUE"""),122595.0)</f>
        <v>122595</v>
      </c>
      <c r="B3084" s="2">
        <f>IFERROR(__xludf.DUMMYFUNCTION("""COMPUTED_VALUE"""),1.0)</f>
        <v>1</v>
      </c>
      <c r="C3084" s="2">
        <f>IFERROR(__xludf.DUMMYFUNCTION("""COMPUTED_VALUE"""),668.0)</f>
        <v>668</v>
      </c>
      <c r="D3084" s="3">
        <f>IFERROR(__xludf.DUMMYFUNCTION("""COMPUTED_VALUE"""),58.0)</f>
        <v>58</v>
      </c>
      <c r="E3084" s="2"/>
      <c r="F3084" s="2"/>
    </row>
    <row r="3085">
      <c r="A3085" s="2">
        <f>IFERROR(__xludf.DUMMYFUNCTION("""COMPUTED_VALUE"""),70338.0)</f>
        <v>70338</v>
      </c>
      <c r="B3085" s="2">
        <f>IFERROR(__xludf.DUMMYFUNCTION("""COMPUTED_VALUE"""),1.0)</f>
        <v>1</v>
      </c>
      <c r="C3085" s="2">
        <f>IFERROR(__xludf.DUMMYFUNCTION("""COMPUTED_VALUE"""),985.0)</f>
        <v>985</v>
      </c>
      <c r="D3085" s="3">
        <f>IFERROR(__xludf.DUMMYFUNCTION("""COMPUTED_VALUE"""),377.0)</f>
        <v>377</v>
      </c>
      <c r="E3085" s="2"/>
      <c r="F3085" s="2"/>
    </row>
    <row r="3086">
      <c r="A3086" s="2">
        <f>IFERROR(__xludf.DUMMYFUNCTION("""COMPUTED_VALUE"""),114273.0)</f>
        <v>114273</v>
      </c>
      <c r="B3086" s="2">
        <f>IFERROR(__xludf.DUMMYFUNCTION("""COMPUTED_VALUE"""),1.0)</f>
        <v>1</v>
      </c>
      <c r="C3086" s="2">
        <f>IFERROR(__xludf.DUMMYFUNCTION("""COMPUTED_VALUE"""),53.0)</f>
        <v>53</v>
      </c>
      <c r="D3086" s="3">
        <f>IFERROR(__xludf.DUMMYFUNCTION("""COMPUTED_VALUE"""),3.0)</f>
        <v>3</v>
      </c>
      <c r="E3086" s="2"/>
      <c r="F3086" s="2"/>
    </row>
    <row r="3087">
      <c r="A3087" s="2">
        <f>IFERROR(__xludf.DUMMYFUNCTION("""COMPUTED_VALUE"""),110849.0)</f>
        <v>110849</v>
      </c>
      <c r="B3087" s="2">
        <f>IFERROR(__xludf.DUMMYFUNCTION("""COMPUTED_VALUE"""),1.0)</f>
        <v>1</v>
      </c>
      <c r="C3087" s="2">
        <f>IFERROR(__xludf.DUMMYFUNCTION("""COMPUTED_VALUE"""),560.0)</f>
        <v>560</v>
      </c>
      <c r="D3087" s="3">
        <f>IFERROR(__xludf.DUMMYFUNCTION("""COMPUTED_VALUE"""),499.0)</f>
        <v>499</v>
      </c>
      <c r="E3087" s="2"/>
      <c r="F3087" s="2"/>
    </row>
    <row r="3088">
      <c r="A3088" s="2">
        <f>IFERROR(__xludf.DUMMYFUNCTION("""COMPUTED_VALUE"""),45056.0)</f>
        <v>45056</v>
      </c>
      <c r="B3088" s="2">
        <f>IFERROR(__xludf.DUMMYFUNCTION("""COMPUTED_VALUE"""),1.0)</f>
        <v>1</v>
      </c>
      <c r="C3088" s="2">
        <f>IFERROR(__xludf.DUMMYFUNCTION("""COMPUTED_VALUE"""),932.0)</f>
        <v>932</v>
      </c>
      <c r="D3088" s="3">
        <f>IFERROR(__xludf.DUMMYFUNCTION("""COMPUTED_VALUE"""),70.0)</f>
        <v>70</v>
      </c>
      <c r="E3088" s="2"/>
      <c r="F3088" s="2"/>
    </row>
    <row r="3089">
      <c r="A3089" s="2">
        <f>IFERROR(__xludf.DUMMYFUNCTION("""COMPUTED_VALUE"""),92633.0)</f>
        <v>92633</v>
      </c>
      <c r="B3089" s="2">
        <f>IFERROR(__xludf.DUMMYFUNCTION("""COMPUTED_VALUE"""),1.0)</f>
        <v>1</v>
      </c>
      <c r="C3089" s="2">
        <f>IFERROR(__xludf.DUMMYFUNCTION("""COMPUTED_VALUE"""),330.0)</f>
        <v>330</v>
      </c>
      <c r="D3089" s="3">
        <f>IFERROR(__xludf.DUMMYFUNCTION("""COMPUTED_VALUE"""),251.0)</f>
        <v>251</v>
      </c>
      <c r="E3089" s="2"/>
      <c r="F3089" s="2"/>
    </row>
    <row r="3090">
      <c r="A3090" s="2">
        <f>IFERROR(__xludf.DUMMYFUNCTION("""COMPUTED_VALUE"""),111011.0)</f>
        <v>111011</v>
      </c>
      <c r="B3090" s="2">
        <f>IFERROR(__xludf.DUMMYFUNCTION("""COMPUTED_VALUE"""),0.0)</f>
        <v>0</v>
      </c>
      <c r="C3090" s="2">
        <f>IFERROR(__xludf.DUMMYFUNCTION("""COMPUTED_VALUE"""),896.0)</f>
        <v>896</v>
      </c>
      <c r="D3090" s="3">
        <f>IFERROR(__xludf.DUMMYFUNCTION("""COMPUTED_VALUE"""),241.0)</f>
        <v>241</v>
      </c>
      <c r="E3090" s="2"/>
      <c r="F3090" s="2"/>
    </row>
    <row r="3091">
      <c r="A3091" s="2">
        <f>IFERROR(__xludf.DUMMYFUNCTION("""COMPUTED_VALUE"""),11002.0)</f>
        <v>11002</v>
      </c>
      <c r="B3091" s="2">
        <f>IFERROR(__xludf.DUMMYFUNCTION("""COMPUTED_VALUE"""),0.0)</f>
        <v>0</v>
      </c>
      <c r="C3091" s="2">
        <f>IFERROR(__xludf.DUMMYFUNCTION("""COMPUTED_VALUE"""),724.0)</f>
        <v>724</v>
      </c>
      <c r="D3091" s="3">
        <f>IFERROR(__xludf.DUMMYFUNCTION("""COMPUTED_VALUE"""),451.0)</f>
        <v>451</v>
      </c>
      <c r="E3091" s="2"/>
      <c r="F3091" s="2"/>
    </row>
    <row r="3092">
      <c r="A3092" s="2">
        <f>IFERROR(__xludf.DUMMYFUNCTION("""COMPUTED_VALUE"""),80661.0)</f>
        <v>80661</v>
      </c>
      <c r="B3092" s="2">
        <f>IFERROR(__xludf.DUMMYFUNCTION("""COMPUTED_VALUE"""),1.0)</f>
        <v>1</v>
      </c>
      <c r="C3092" s="2">
        <f>IFERROR(__xludf.DUMMYFUNCTION("""COMPUTED_VALUE"""),842.0)</f>
        <v>842</v>
      </c>
      <c r="D3092" s="3">
        <f>IFERROR(__xludf.DUMMYFUNCTION("""COMPUTED_VALUE"""),446.0)</f>
        <v>446</v>
      </c>
      <c r="E3092" s="2"/>
      <c r="F3092" s="2"/>
    </row>
    <row r="3093">
      <c r="A3093" s="2">
        <f>IFERROR(__xludf.DUMMYFUNCTION("""COMPUTED_VALUE"""),128310.0)</f>
        <v>128310</v>
      </c>
      <c r="B3093" s="2">
        <f>IFERROR(__xludf.DUMMYFUNCTION("""COMPUTED_VALUE"""),0.0)</f>
        <v>0</v>
      </c>
      <c r="C3093" s="2">
        <f>IFERROR(__xludf.DUMMYFUNCTION("""COMPUTED_VALUE"""),541.0)</f>
        <v>541</v>
      </c>
      <c r="D3093" s="3">
        <f>IFERROR(__xludf.DUMMYFUNCTION("""COMPUTED_VALUE"""),221.0)</f>
        <v>221</v>
      </c>
      <c r="E3093" s="2"/>
      <c r="F3093" s="2"/>
    </row>
    <row r="3094">
      <c r="A3094" s="2">
        <f>IFERROR(__xludf.DUMMYFUNCTION("""COMPUTED_VALUE"""),182193.0)</f>
        <v>182193</v>
      </c>
      <c r="B3094" s="2">
        <f>IFERROR(__xludf.DUMMYFUNCTION("""COMPUTED_VALUE"""),1.0)</f>
        <v>1</v>
      </c>
      <c r="C3094" s="2">
        <f>IFERROR(__xludf.DUMMYFUNCTION("""COMPUTED_VALUE"""),339.0)</f>
        <v>339</v>
      </c>
      <c r="D3094" s="3">
        <f>IFERROR(__xludf.DUMMYFUNCTION("""COMPUTED_VALUE"""),286.0)</f>
        <v>286</v>
      </c>
      <c r="E3094" s="2"/>
      <c r="F3094" s="2"/>
    </row>
    <row r="3095">
      <c r="A3095" s="2">
        <f>IFERROR(__xludf.DUMMYFUNCTION("""COMPUTED_VALUE"""),116771.0)</f>
        <v>116771</v>
      </c>
      <c r="B3095" s="2">
        <f>IFERROR(__xludf.DUMMYFUNCTION("""COMPUTED_VALUE"""),1.0)</f>
        <v>1</v>
      </c>
      <c r="C3095" s="2">
        <f>IFERROR(__xludf.DUMMYFUNCTION("""COMPUTED_VALUE"""),0.0)</f>
        <v>0</v>
      </c>
      <c r="D3095" s="3">
        <f>IFERROR(__xludf.DUMMYFUNCTION("""COMPUTED_VALUE"""),0.0)</f>
        <v>0</v>
      </c>
      <c r="E3095" s="2"/>
      <c r="F3095" s="2"/>
    </row>
    <row r="3096">
      <c r="A3096" s="2">
        <f>IFERROR(__xludf.DUMMYFUNCTION("""COMPUTED_VALUE"""),103245.0)</f>
        <v>103245</v>
      </c>
      <c r="B3096" s="2">
        <f>IFERROR(__xludf.DUMMYFUNCTION("""COMPUTED_VALUE"""),0.0)</f>
        <v>0</v>
      </c>
      <c r="C3096" s="2">
        <f>IFERROR(__xludf.DUMMYFUNCTION("""COMPUTED_VALUE"""),327.0)</f>
        <v>327</v>
      </c>
      <c r="D3096" s="3">
        <f>IFERROR(__xludf.DUMMYFUNCTION("""COMPUTED_VALUE"""),126.0)</f>
        <v>126</v>
      </c>
      <c r="E3096" s="2"/>
      <c r="F3096" s="2"/>
    </row>
    <row r="3097">
      <c r="A3097" s="2">
        <f>IFERROR(__xludf.DUMMYFUNCTION("""COMPUTED_VALUE"""),1961.0)</f>
        <v>1961</v>
      </c>
      <c r="B3097" s="2">
        <f>IFERROR(__xludf.DUMMYFUNCTION("""COMPUTED_VALUE"""),0.0)</f>
        <v>0</v>
      </c>
      <c r="C3097" s="2">
        <f>IFERROR(__xludf.DUMMYFUNCTION("""COMPUTED_VALUE"""),371.0)</f>
        <v>371</v>
      </c>
      <c r="D3097" s="3">
        <f>IFERROR(__xludf.DUMMYFUNCTION("""COMPUTED_VALUE"""),85.0)</f>
        <v>85</v>
      </c>
      <c r="E3097" s="2"/>
      <c r="F3097" s="2"/>
    </row>
    <row r="3098">
      <c r="A3098" s="2">
        <f>IFERROR(__xludf.DUMMYFUNCTION("""COMPUTED_VALUE"""),128314.0)</f>
        <v>128314</v>
      </c>
      <c r="B3098" s="2">
        <f>IFERROR(__xludf.DUMMYFUNCTION("""COMPUTED_VALUE"""),1.0)</f>
        <v>1</v>
      </c>
      <c r="C3098" s="2">
        <f>IFERROR(__xludf.DUMMYFUNCTION("""COMPUTED_VALUE"""),475.0)</f>
        <v>475</v>
      </c>
      <c r="D3098" s="3">
        <f>IFERROR(__xludf.DUMMYFUNCTION("""COMPUTED_VALUE"""),296.0)</f>
        <v>296</v>
      </c>
      <c r="E3098" s="2"/>
      <c r="F3098" s="2"/>
    </row>
    <row r="3099">
      <c r="A3099" s="2">
        <f>IFERROR(__xludf.DUMMYFUNCTION("""COMPUTED_VALUE"""),109993.0)</f>
        <v>109993</v>
      </c>
      <c r="B3099" s="2">
        <f>IFERROR(__xludf.DUMMYFUNCTION("""COMPUTED_VALUE"""),0.0)</f>
        <v>0</v>
      </c>
      <c r="C3099" s="2">
        <f>IFERROR(__xludf.DUMMYFUNCTION("""COMPUTED_VALUE"""),2.0)</f>
        <v>2</v>
      </c>
      <c r="D3099" s="3">
        <f>IFERROR(__xludf.DUMMYFUNCTION("""COMPUTED_VALUE"""),0.0)</f>
        <v>0</v>
      </c>
      <c r="E3099" s="2"/>
      <c r="F3099" s="2"/>
    </row>
    <row r="3100">
      <c r="A3100" s="2">
        <f>IFERROR(__xludf.DUMMYFUNCTION("""COMPUTED_VALUE"""),117270.0)</f>
        <v>117270</v>
      </c>
      <c r="B3100" s="2">
        <f>IFERROR(__xludf.DUMMYFUNCTION("""COMPUTED_VALUE"""),1.0)</f>
        <v>1</v>
      </c>
      <c r="C3100" s="2">
        <f>IFERROR(__xludf.DUMMYFUNCTION("""COMPUTED_VALUE"""),186.0)</f>
        <v>186</v>
      </c>
      <c r="D3100" s="3">
        <f>IFERROR(__xludf.DUMMYFUNCTION("""COMPUTED_VALUE"""),168.0)</f>
        <v>168</v>
      </c>
      <c r="E3100" s="2"/>
      <c r="F3100" s="2"/>
    </row>
    <row r="3101">
      <c r="A3101" s="2">
        <f>IFERROR(__xludf.DUMMYFUNCTION("""COMPUTED_VALUE"""),42748.0)</f>
        <v>42748</v>
      </c>
      <c r="B3101" s="2">
        <f>IFERROR(__xludf.DUMMYFUNCTION("""COMPUTED_VALUE"""),1.0)</f>
        <v>1</v>
      </c>
      <c r="C3101" s="2">
        <f>IFERROR(__xludf.DUMMYFUNCTION("""COMPUTED_VALUE"""),207.0)</f>
        <v>207</v>
      </c>
      <c r="D3101" s="3">
        <f>IFERROR(__xludf.DUMMYFUNCTION("""COMPUTED_VALUE"""),82.0)</f>
        <v>82</v>
      </c>
      <c r="E3101" s="2"/>
      <c r="F3101" s="2"/>
    </row>
    <row r="3102">
      <c r="A3102" s="2">
        <f>IFERROR(__xludf.DUMMYFUNCTION("""COMPUTED_VALUE"""),110447.0)</f>
        <v>110447</v>
      </c>
      <c r="B3102" s="2">
        <f>IFERROR(__xludf.DUMMYFUNCTION("""COMPUTED_VALUE"""),1.0)</f>
        <v>1</v>
      </c>
      <c r="C3102" s="2">
        <f>IFERROR(__xludf.DUMMYFUNCTION("""COMPUTED_VALUE"""),468.0)</f>
        <v>468</v>
      </c>
      <c r="D3102" s="3">
        <f>IFERROR(__xludf.DUMMYFUNCTION("""COMPUTED_VALUE"""),255.0)</f>
        <v>255</v>
      </c>
      <c r="E3102" s="2"/>
      <c r="F3102" s="2"/>
    </row>
    <row r="3103">
      <c r="A3103" s="2">
        <f>IFERROR(__xludf.DUMMYFUNCTION("""COMPUTED_VALUE"""),46979.0)</f>
        <v>46979</v>
      </c>
      <c r="B3103" s="2">
        <f>IFERROR(__xludf.DUMMYFUNCTION("""COMPUTED_VALUE"""),1.0)</f>
        <v>1</v>
      </c>
      <c r="C3103" s="2">
        <f>IFERROR(__xludf.DUMMYFUNCTION("""COMPUTED_VALUE"""),937.0)</f>
        <v>937</v>
      </c>
      <c r="D3103" s="3">
        <f>IFERROR(__xludf.DUMMYFUNCTION("""COMPUTED_VALUE"""),352.0)</f>
        <v>352</v>
      </c>
      <c r="E3103" s="2"/>
      <c r="F3103" s="2"/>
    </row>
    <row r="3104">
      <c r="A3104" s="2">
        <f>IFERROR(__xludf.DUMMYFUNCTION("""COMPUTED_VALUE"""),1296.0)</f>
        <v>1296</v>
      </c>
      <c r="B3104" s="2">
        <f>IFERROR(__xludf.DUMMYFUNCTION("""COMPUTED_VALUE"""),1.0)</f>
        <v>1</v>
      </c>
      <c r="C3104" s="2">
        <f>IFERROR(__xludf.DUMMYFUNCTION("""COMPUTED_VALUE"""),922.0)</f>
        <v>922</v>
      </c>
      <c r="D3104" s="3">
        <f>IFERROR(__xludf.DUMMYFUNCTION("""COMPUTED_VALUE"""),690.0)</f>
        <v>690</v>
      </c>
      <c r="E3104" s="2"/>
      <c r="F3104" s="2"/>
    </row>
    <row r="3105">
      <c r="A3105" s="2">
        <f>IFERROR(__xludf.DUMMYFUNCTION("""COMPUTED_VALUE"""),109973.0)</f>
        <v>109973</v>
      </c>
      <c r="B3105" s="2">
        <f>IFERROR(__xludf.DUMMYFUNCTION("""COMPUTED_VALUE"""),0.0)</f>
        <v>0</v>
      </c>
      <c r="C3105" s="2">
        <f>IFERROR(__xludf.DUMMYFUNCTION("""COMPUTED_VALUE"""),532.0)</f>
        <v>532</v>
      </c>
      <c r="D3105" s="3">
        <f>IFERROR(__xludf.DUMMYFUNCTION("""COMPUTED_VALUE"""),114.0)</f>
        <v>114</v>
      </c>
      <c r="E3105" s="2"/>
      <c r="F3105" s="2"/>
    </row>
    <row r="3106">
      <c r="A3106" s="2">
        <f>IFERROR(__xludf.DUMMYFUNCTION("""COMPUTED_VALUE"""),155949.0)</f>
        <v>155949</v>
      </c>
      <c r="B3106" s="2">
        <f>IFERROR(__xludf.DUMMYFUNCTION("""COMPUTED_VALUE"""),1.0)</f>
        <v>1</v>
      </c>
      <c r="C3106" s="2">
        <f>IFERROR(__xludf.DUMMYFUNCTION("""COMPUTED_VALUE"""),637.0)</f>
        <v>637</v>
      </c>
      <c r="D3106" s="3">
        <f>IFERROR(__xludf.DUMMYFUNCTION("""COMPUTED_VALUE"""),455.0)</f>
        <v>455</v>
      </c>
      <c r="E3106" s="2"/>
      <c r="F3106" s="2"/>
    </row>
    <row r="3107">
      <c r="A3107" s="2">
        <f>IFERROR(__xludf.DUMMYFUNCTION("""COMPUTED_VALUE"""),187346.0)</f>
        <v>187346</v>
      </c>
      <c r="B3107" s="2">
        <f>IFERROR(__xludf.DUMMYFUNCTION("""COMPUTED_VALUE"""),1.0)</f>
        <v>1</v>
      </c>
      <c r="C3107" s="2">
        <f>IFERROR(__xludf.DUMMYFUNCTION("""COMPUTED_VALUE"""),845.0)</f>
        <v>845</v>
      </c>
      <c r="D3107" s="3">
        <f>IFERROR(__xludf.DUMMYFUNCTION("""COMPUTED_VALUE"""),331.0)</f>
        <v>331</v>
      </c>
      <c r="E3107" s="2"/>
      <c r="F3107" s="2"/>
    </row>
    <row r="3108">
      <c r="A3108" s="2">
        <f>IFERROR(__xludf.DUMMYFUNCTION("""COMPUTED_VALUE"""),46978.0)</f>
        <v>46978</v>
      </c>
      <c r="B3108" s="2">
        <f>IFERROR(__xludf.DUMMYFUNCTION("""COMPUTED_VALUE"""),1.0)</f>
        <v>1</v>
      </c>
      <c r="C3108" s="2">
        <f>IFERROR(__xludf.DUMMYFUNCTION("""COMPUTED_VALUE"""),958.0)</f>
        <v>958</v>
      </c>
      <c r="D3108" s="3">
        <f>IFERROR(__xludf.DUMMYFUNCTION("""COMPUTED_VALUE"""),272.0)</f>
        <v>272</v>
      </c>
      <c r="E3108" s="2"/>
      <c r="F3108" s="2"/>
    </row>
    <row r="3109">
      <c r="A3109" s="2">
        <f>IFERROR(__xludf.DUMMYFUNCTION("""COMPUTED_VALUE"""),110283.0)</f>
        <v>110283</v>
      </c>
      <c r="B3109" s="2">
        <f>IFERROR(__xludf.DUMMYFUNCTION("""COMPUTED_VALUE"""),1.0)</f>
        <v>1</v>
      </c>
      <c r="C3109" s="2">
        <f>IFERROR(__xludf.DUMMYFUNCTION("""COMPUTED_VALUE"""),731.0)</f>
        <v>731</v>
      </c>
      <c r="D3109" s="3">
        <f>IFERROR(__xludf.DUMMYFUNCTION("""COMPUTED_VALUE"""),646.0)</f>
        <v>646</v>
      </c>
      <c r="E3109" s="2"/>
      <c r="F3109" s="2"/>
    </row>
    <row r="3110">
      <c r="A3110" s="2">
        <f>IFERROR(__xludf.DUMMYFUNCTION("""COMPUTED_VALUE"""),147257.0)</f>
        <v>147257</v>
      </c>
      <c r="B3110" s="2">
        <f>IFERROR(__xludf.DUMMYFUNCTION("""COMPUTED_VALUE"""),1.0)</f>
        <v>1</v>
      </c>
      <c r="C3110" s="2">
        <f>IFERROR(__xludf.DUMMYFUNCTION("""COMPUTED_VALUE"""),642.0)</f>
        <v>642</v>
      </c>
      <c r="D3110" s="3">
        <f>IFERROR(__xludf.DUMMYFUNCTION("""COMPUTED_VALUE"""),491.0)</f>
        <v>491</v>
      </c>
      <c r="E3110" s="2"/>
      <c r="F3110" s="2"/>
    </row>
    <row r="3111">
      <c r="A3111" s="2">
        <f>IFERROR(__xludf.DUMMYFUNCTION("""COMPUTED_VALUE"""),182191.0)</f>
        <v>182191</v>
      </c>
      <c r="B3111" s="2">
        <f>IFERROR(__xludf.DUMMYFUNCTION("""COMPUTED_VALUE"""),0.0)</f>
        <v>0</v>
      </c>
      <c r="C3111" s="2">
        <f>IFERROR(__xludf.DUMMYFUNCTION("""COMPUTED_VALUE"""),99.0)</f>
        <v>99</v>
      </c>
      <c r="D3111" s="3">
        <f>IFERROR(__xludf.DUMMYFUNCTION("""COMPUTED_VALUE"""),23.0)</f>
        <v>23</v>
      </c>
      <c r="E3111" s="2"/>
      <c r="F3111" s="2"/>
    </row>
    <row r="3112">
      <c r="A3112" s="2">
        <f>IFERROR(__xludf.DUMMYFUNCTION("""COMPUTED_VALUE"""),9722.0)</f>
        <v>9722</v>
      </c>
      <c r="B3112" s="2">
        <f>IFERROR(__xludf.DUMMYFUNCTION("""COMPUTED_VALUE"""),1.0)</f>
        <v>1</v>
      </c>
      <c r="C3112" s="2">
        <f>IFERROR(__xludf.DUMMYFUNCTION("""COMPUTED_VALUE"""),815.0)</f>
        <v>815</v>
      </c>
      <c r="D3112" s="3">
        <f>IFERROR(__xludf.DUMMYFUNCTION("""COMPUTED_VALUE"""),651.0)</f>
        <v>651</v>
      </c>
      <c r="E3112" s="2"/>
      <c r="F3112" s="2"/>
    </row>
    <row r="3113">
      <c r="A3113" s="2">
        <f>IFERROR(__xludf.DUMMYFUNCTION("""COMPUTED_VALUE"""),124772.0)</f>
        <v>124772</v>
      </c>
      <c r="B3113" s="2">
        <f>IFERROR(__xludf.DUMMYFUNCTION("""COMPUTED_VALUE"""),1.0)</f>
        <v>1</v>
      </c>
      <c r="C3113" s="2">
        <f>IFERROR(__xludf.DUMMYFUNCTION("""COMPUTED_VALUE"""),206.0)</f>
        <v>206</v>
      </c>
      <c r="D3113" s="3">
        <f>IFERROR(__xludf.DUMMYFUNCTION("""COMPUTED_VALUE"""),92.0)</f>
        <v>92</v>
      </c>
      <c r="E3113" s="2"/>
      <c r="F3113" s="2"/>
    </row>
    <row r="3114">
      <c r="A3114" s="2">
        <f>IFERROR(__xludf.DUMMYFUNCTION("""COMPUTED_VALUE"""),8681.0)</f>
        <v>8681</v>
      </c>
      <c r="B3114" s="2">
        <f>IFERROR(__xludf.DUMMYFUNCTION("""COMPUTED_VALUE"""),0.0)</f>
        <v>0</v>
      </c>
      <c r="C3114" s="2">
        <f>IFERROR(__xludf.DUMMYFUNCTION("""COMPUTED_VALUE"""),947.0)</f>
        <v>947</v>
      </c>
      <c r="D3114" s="3">
        <f>IFERROR(__xludf.DUMMYFUNCTION("""COMPUTED_VALUE"""),275.0)</f>
        <v>275</v>
      </c>
      <c r="E3114" s="2"/>
      <c r="F3114" s="2"/>
    </row>
    <row r="3115">
      <c r="A3115" s="2">
        <f>IFERROR(__xludf.DUMMYFUNCTION("""COMPUTED_VALUE"""),5077.0)</f>
        <v>5077</v>
      </c>
      <c r="B3115" s="2">
        <f>IFERROR(__xludf.DUMMYFUNCTION("""COMPUTED_VALUE"""),0.0)</f>
        <v>0</v>
      </c>
      <c r="C3115" s="2">
        <f>IFERROR(__xludf.DUMMYFUNCTION("""COMPUTED_VALUE"""),842.0)</f>
        <v>842</v>
      </c>
      <c r="D3115" s="3">
        <f>IFERROR(__xludf.DUMMYFUNCTION("""COMPUTED_VALUE"""),496.0)</f>
        <v>496</v>
      </c>
      <c r="E3115" s="2"/>
      <c r="F3115" s="2"/>
    </row>
    <row r="3116">
      <c r="A3116" s="2">
        <f>IFERROR(__xludf.DUMMYFUNCTION("""COMPUTED_VALUE"""),114274.0)</f>
        <v>114274</v>
      </c>
      <c r="B3116" s="2">
        <f>IFERROR(__xludf.DUMMYFUNCTION("""COMPUTED_VALUE"""),1.0)</f>
        <v>1</v>
      </c>
      <c r="C3116" s="2">
        <f>IFERROR(__xludf.DUMMYFUNCTION("""COMPUTED_VALUE"""),660.0)</f>
        <v>660</v>
      </c>
      <c r="D3116" s="3">
        <f>IFERROR(__xludf.DUMMYFUNCTION("""COMPUTED_VALUE"""),266.0)</f>
        <v>266</v>
      </c>
      <c r="E3116" s="2"/>
      <c r="F3116" s="2"/>
    </row>
    <row r="3117">
      <c r="A3117" s="2">
        <f>IFERROR(__xludf.DUMMYFUNCTION("""COMPUTED_VALUE"""),1297.0)</f>
        <v>1297</v>
      </c>
      <c r="B3117" s="2">
        <f>IFERROR(__xludf.DUMMYFUNCTION("""COMPUTED_VALUE"""),1.0)</f>
        <v>1</v>
      </c>
      <c r="C3117" s="2">
        <f>IFERROR(__xludf.DUMMYFUNCTION("""COMPUTED_VALUE"""),582.0)</f>
        <v>582</v>
      </c>
      <c r="D3117" s="3">
        <f>IFERROR(__xludf.DUMMYFUNCTION("""COMPUTED_VALUE"""),202.0)</f>
        <v>202</v>
      </c>
      <c r="E3117" s="2"/>
      <c r="F3117" s="2"/>
    </row>
    <row r="3118">
      <c r="A3118" s="2">
        <f>IFERROR(__xludf.DUMMYFUNCTION("""COMPUTED_VALUE"""),46988.0)</f>
        <v>46988</v>
      </c>
      <c r="B3118" s="2">
        <f>IFERROR(__xludf.DUMMYFUNCTION("""COMPUTED_VALUE"""),0.0)</f>
        <v>0</v>
      </c>
      <c r="C3118" s="2">
        <f>IFERROR(__xludf.DUMMYFUNCTION("""COMPUTED_VALUE"""),880.0)</f>
        <v>880</v>
      </c>
      <c r="D3118" s="3">
        <f>IFERROR(__xludf.DUMMYFUNCTION("""COMPUTED_VALUE"""),333.0)</f>
        <v>333</v>
      </c>
      <c r="E3118" s="2"/>
      <c r="F3118" s="2"/>
    </row>
    <row r="3119">
      <c r="A3119" s="2">
        <f>IFERROR(__xludf.DUMMYFUNCTION("""COMPUTED_VALUE"""),92623.0)</f>
        <v>92623</v>
      </c>
      <c r="B3119" s="2">
        <f>IFERROR(__xludf.DUMMYFUNCTION("""COMPUTED_VALUE"""),1.0)</f>
        <v>1</v>
      </c>
      <c r="C3119" s="2">
        <f>IFERROR(__xludf.DUMMYFUNCTION("""COMPUTED_VALUE"""),701.0)</f>
        <v>701</v>
      </c>
      <c r="D3119" s="3">
        <f>IFERROR(__xludf.DUMMYFUNCTION("""COMPUTED_VALUE"""),486.0)</f>
        <v>486</v>
      </c>
      <c r="E3119" s="2"/>
      <c r="F3119" s="2"/>
    </row>
    <row r="3120">
      <c r="A3120" s="2">
        <f>IFERROR(__xludf.DUMMYFUNCTION("""COMPUTED_VALUE"""),79761.0)</f>
        <v>79761</v>
      </c>
      <c r="B3120" s="2">
        <f>IFERROR(__xludf.DUMMYFUNCTION("""COMPUTED_VALUE"""),1.0)</f>
        <v>1</v>
      </c>
      <c r="C3120" s="2">
        <f>IFERROR(__xludf.DUMMYFUNCTION("""COMPUTED_VALUE"""),527.0)</f>
        <v>527</v>
      </c>
      <c r="D3120" s="3">
        <f>IFERROR(__xludf.DUMMYFUNCTION("""COMPUTED_VALUE"""),41.0)</f>
        <v>41</v>
      </c>
      <c r="E3120" s="2"/>
      <c r="F3120" s="2"/>
    </row>
    <row r="3121">
      <c r="A3121" s="2">
        <f>IFERROR(__xludf.DUMMYFUNCTION("""COMPUTED_VALUE"""),11001.0)</f>
        <v>11001</v>
      </c>
      <c r="B3121" s="2">
        <f>IFERROR(__xludf.DUMMYFUNCTION("""COMPUTED_VALUE"""),1.0)</f>
        <v>1</v>
      </c>
      <c r="C3121" s="2">
        <f>IFERROR(__xludf.DUMMYFUNCTION("""COMPUTED_VALUE"""),618.0)</f>
        <v>618</v>
      </c>
      <c r="D3121" s="3">
        <f>IFERROR(__xludf.DUMMYFUNCTION("""COMPUTED_VALUE"""),211.0)</f>
        <v>211</v>
      </c>
      <c r="E3121" s="2"/>
      <c r="F3121" s="2"/>
    </row>
    <row r="3122">
      <c r="A3122" s="2">
        <f>IFERROR(__xludf.DUMMYFUNCTION("""COMPUTED_VALUE"""),9731.0)</f>
        <v>9731</v>
      </c>
      <c r="B3122" s="2">
        <f>IFERROR(__xludf.DUMMYFUNCTION("""COMPUTED_VALUE"""),0.0)</f>
        <v>0</v>
      </c>
      <c r="C3122" s="2">
        <f>IFERROR(__xludf.DUMMYFUNCTION("""COMPUTED_VALUE"""),649.0)</f>
        <v>649</v>
      </c>
      <c r="D3122" s="3">
        <f>IFERROR(__xludf.DUMMYFUNCTION("""COMPUTED_VALUE"""),609.0)</f>
        <v>609</v>
      </c>
      <c r="E3122" s="2"/>
      <c r="F3122" s="2"/>
    </row>
    <row r="3123">
      <c r="A3123" s="2">
        <f>IFERROR(__xludf.DUMMYFUNCTION("""COMPUTED_VALUE"""),122316.0)</f>
        <v>122316</v>
      </c>
      <c r="B3123" s="2">
        <f>IFERROR(__xludf.DUMMYFUNCTION("""COMPUTED_VALUE"""),1.0)</f>
        <v>1</v>
      </c>
      <c r="C3123" s="2">
        <f>IFERROR(__xludf.DUMMYFUNCTION("""COMPUTED_VALUE"""),757.0)</f>
        <v>757</v>
      </c>
      <c r="D3123" s="3">
        <f>IFERROR(__xludf.DUMMYFUNCTION("""COMPUTED_VALUE"""),140.0)</f>
        <v>140</v>
      </c>
      <c r="E3123" s="2"/>
      <c r="F3123" s="2"/>
    </row>
    <row r="3124">
      <c r="A3124" s="2">
        <f>IFERROR(__xludf.DUMMYFUNCTION("""COMPUTED_VALUE"""),147255.0)</f>
        <v>147255</v>
      </c>
      <c r="B3124" s="2">
        <f>IFERROR(__xludf.DUMMYFUNCTION("""COMPUTED_VALUE"""),1.0)</f>
        <v>1</v>
      </c>
      <c r="C3124" s="2">
        <f>IFERROR(__xludf.DUMMYFUNCTION("""COMPUTED_VALUE"""),623.0)</f>
        <v>623</v>
      </c>
      <c r="D3124" s="3">
        <f>IFERROR(__xludf.DUMMYFUNCTION("""COMPUTED_VALUE"""),61.0)</f>
        <v>61</v>
      </c>
      <c r="E3124" s="2"/>
      <c r="F3124" s="2"/>
    </row>
    <row r="3125">
      <c r="A3125" s="2">
        <f>IFERROR(__xludf.DUMMYFUNCTION("""COMPUTED_VALUE"""),8675.0)</f>
        <v>8675</v>
      </c>
      <c r="B3125" s="2">
        <f>IFERROR(__xludf.DUMMYFUNCTION("""COMPUTED_VALUE"""),0.0)</f>
        <v>0</v>
      </c>
      <c r="C3125" s="2">
        <f>IFERROR(__xludf.DUMMYFUNCTION("""COMPUTED_VALUE"""),376.0)</f>
        <v>376</v>
      </c>
      <c r="D3125" s="3">
        <f>IFERROR(__xludf.DUMMYFUNCTION("""COMPUTED_VALUE"""),23.0)</f>
        <v>23</v>
      </c>
      <c r="E3125" s="2"/>
      <c r="F3125" s="2"/>
    </row>
    <row r="3126">
      <c r="A3126" s="2">
        <f>IFERROR(__xludf.DUMMYFUNCTION("""COMPUTED_VALUE"""),121900.0)</f>
        <v>121900</v>
      </c>
      <c r="B3126" s="2">
        <f>IFERROR(__xludf.DUMMYFUNCTION("""COMPUTED_VALUE"""),1.0)</f>
        <v>1</v>
      </c>
      <c r="C3126" s="2">
        <f>IFERROR(__xludf.DUMMYFUNCTION("""COMPUTED_VALUE"""),657.0)</f>
        <v>657</v>
      </c>
      <c r="D3126" s="3">
        <f>IFERROR(__xludf.DUMMYFUNCTION("""COMPUTED_VALUE"""),376.0)</f>
        <v>376</v>
      </c>
      <c r="E3126" s="2"/>
      <c r="F3126" s="2"/>
    </row>
    <row r="3127">
      <c r="A3127" s="2">
        <f>IFERROR(__xludf.DUMMYFUNCTION("""COMPUTED_VALUE"""),124764.0)</f>
        <v>124764</v>
      </c>
      <c r="B3127" s="2">
        <f>IFERROR(__xludf.DUMMYFUNCTION("""COMPUTED_VALUE"""),1.0)</f>
        <v>1</v>
      </c>
      <c r="C3127" s="2">
        <f>IFERROR(__xludf.DUMMYFUNCTION("""COMPUTED_VALUE"""),865.0)</f>
        <v>865</v>
      </c>
      <c r="D3127" s="3">
        <f>IFERROR(__xludf.DUMMYFUNCTION("""COMPUTED_VALUE"""),221.0)</f>
        <v>221</v>
      </c>
      <c r="E3127" s="2"/>
      <c r="F3127" s="2"/>
    </row>
    <row r="3128">
      <c r="A3128" s="2">
        <f>IFERROR(__xludf.DUMMYFUNCTION("""COMPUTED_VALUE"""),124774.0)</f>
        <v>124774</v>
      </c>
      <c r="B3128" s="2">
        <f>IFERROR(__xludf.DUMMYFUNCTION("""COMPUTED_VALUE"""),0.0)</f>
        <v>0</v>
      </c>
      <c r="C3128" s="2">
        <f>IFERROR(__xludf.DUMMYFUNCTION("""COMPUTED_VALUE"""),181.0)</f>
        <v>181</v>
      </c>
      <c r="D3128" s="3">
        <f>IFERROR(__xludf.DUMMYFUNCTION("""COMPUTED_VALUE"""),124.0)</f>
        <v>124</v>
      </c>
      <c r="E3128" s="2"/>
      <c r="F3128" s="2"/>
    </row>
    <row r="3129">
      <c r="A3129" s="2">
        <f>IFERROR(__xludf.DUMMYFUNCTION("""COMPUTED_VALUE"""),79353.0)</f>
        <v>79353</v>
      </c>
      <c r="B3129" s="2">
        <f>IFERROR(__xludf.DUMMYFUNCTION("""COMPUTED_VALUE"""),1.0)</f>
        <v>1</v>
      </c>
      <c r="C3129" s="2">
        <f>IFERROR(__xludf.DUMMYFUNCTION("""COMPUTED_VALUE"""),92.0)</f>
        <v>92</v>
      </c>
      <c r="D3129" s="3">
        <f>IFERROR(__xludf.DUMMYFUNCTION("""COMPUTED_VALUE"""),5.0)</f>
        <v>5</v>
      </c>
      <c r="E3129" s="2"/>
      <c r="F3129" s="2"/>
    </row>
    <row r="3130">
      <c r="A3130" s="2">
        <f>IFERROR(__xludf.DUMMYFUNCTION("""COMPUTED_VALUE"""),82703.0)</f>
        <v>82703</v>
      </c>
      <c r="B3130" s="2">
        <f>IFERROR(__xludf.DUMMYFUNCTION("""COMPUTED_VALUE"""),0.0)</f>
        <v>0</v>
      </c>
      <c r="C3130" s="2">
        <f>IFERROR(__xludf.DUMMYFUNCTION("""COMPUTED_VALUE"""),964.0)</f>
        <v>964</v>
      </c>
      <c r="D3130" s="3">
        <f>IFERROR(__xludf.DUMMYFUNCTION("""COMPUTED_VALUE"""),186.0)</f>
        <v>186</v>
      </c>
      <c r="E3130" s="2"/>
      <c r="F3130" s="2"/>
    </row>
    <row r="3131">
      <c r="A3131" s="2">
        <f>IFERROR(__xludf.DUMMYFUNCTION("""COMPUTED_VALUE"""),71820.0)</f>
        <v>71820</v>
      </c>
      <c r="B3131" s="2">
        <f>IFERROR(__xludf.DUMMYFUNCTION("""COMPUTED_VALUE"""),1.0)</f>
        <v>1</v>
      </c>
      <c r="C3131" s="2">
        <f>IFERROR(__xludf.DUMMYFUNCTION("""COMPUTED_VALUE"""),597.0)</f>
        <v>597</v>
      </c>
      <c r="D3131" s="3">
        <f>IFERROR(__xludf.DUMMYFUNCTION("""COMPUTED_VALUE"""),127.0)</f>
        <v>127</v>
      </c>
      <c r="E3131" s="2"/>
      <c r="F3131" s="2"/>
    </row>
    <row r="3132">
      <c r="A3132" s="2">
        <f>IFERROR(__xludf.DUMMYFUNCTION("""COMPUTED_VALUE"""),128311.0)</f>
        <v>128311</v>
      </c>
      <c r="B3132" s="2">
        <f>IFERROR(__xludf.DUMMYFUNCTION("""COMPUTED_VALUE"""),0.0)</f>
        <v>0</v>
      </c>
      <c r="C3132" s="2">
        <f>IFERROR(__xludf.DUMMYFUNCTION("""COMPUTED_VALUE"""),376.0)</f>
        <v>376</v>
      </c>
      <c r="D3132" s="3">
        <f>IFERROR(__xludf.DUMMYFUNCTION("""COMPUTED_VALUE"""),113.0)</f>
        <v>113</v>
      </c>
      <c r="E3132" s="2"/>
      <c r="F3132" s="2"/>
    </row>
    <row r="3133">
      <c r="A3133" s="2">
        <f>IFERROR(__xludf.DUMMYFUNCTION("""COMPUTED_VALUE"""),70595.0)</f>
        <v>70595</v>
      </c>
      <c r="B3133" s="2">
        <f>IFERROR(__xludf.DUMMYFUNCTION("""COMPUTED_VALUE"""),1.0)</f>
        <v>1</v>
      </c>
      <c r="C3133" s="2">
        <f>IFERROR(__xludf.DUMMYFUNCTION("""COMPUTED_VALUE"""),857.0)</f>
        <v>857</v>
      </c>
      <c r="D3133" s="3">
        <f>IFERROR(__xludf.DUMMYFUNCTION("""COMPUTED_VALUE"""),38.0)</f>
        <v>38</v>
      </c>
      <c r="E3133" s="2"/>
      <c r="F3133" s="2"/>
    </row>
    <row r="3134">
      <c r="A3134" s="2">
        <f>IFERROR(__xludf.DUMMYFUNCTION("""COMPUTED_VALUE"""),8676.0)</f>
        <v>8676</v>
      </c>
      <c r="B3134" s="2">
        <f>IFERROR(__xludf.DUMMYFUNCTION("""COMPUTED_VALUE"""),0.0)</f>
        <v>0</v>
      </c>
      <c r="C3134" s="2">
        <f>IFERROR(__xludf.DUMMYFUNCTION("""COMPUTED_VALUE"""),286.0)</f>
        <v>286</v>
      </c>
      <c r="D3134" s="3">
        <f>IFERROR(__xludf.DUMMYFUNCTION("""COMPUTED_VALUE"""),118.0)</f>
        <v>118</v>
      </c>
      <c r="E3134" s="2"/>
      <c r="F3134" s="2"/>
    </row>
    <row r="3135">
      <c r="A3135" s="2">
        <f>IFERROR(__xludf.DUMMYFUNCTION("""COMPUTED_VALUE"""),128313.0)</f>
        <v>128313</v>
      </c>
      <c r="B3135" s="2">
        <f>IFERROR(__xludf.DUMMYFUNCTION("""COMPUTED_VALUE"""),0.0)</f>
        <v>0</v>
      </c>
      <c r="C3135" s="2">
        <f>IFERROR(__xludf.DUMMYFUNCTION("""COMPUTED_VALUE"""),14.0)</f>
        <v>14</v>
      </c>
      <c r="D3135" s="3">
        <f>IFERROR(__xludf.DUMMYFUNCTION("""COMPUTED_VALUE"""),11.0)</f>
        <v>11</v>
      </c>
      <c r="E3135" s="2"/>
      <c r="F3135" s="2"/>
    </row>
    <row r="3136">
      <c r="A3136" s="2">
        <f>IFERROR(__xludf.DUMMYFUNCTION("""COMPUTED_VALUE"""),45479.0)</f>
        <v>45479</v>
      </c>
      <c r="B3136" s="2">
        <f>IFERROR(__xludf.DUMMYFUNCTION("""COMPUTED_VALUE"""),0.0)</f>
        <v>0</v>
      </c>
      <c r="C3136" s="2">
        <f>IFERROR(__xludf.DUMMYFUNCTION("""COMPUTED_VALUE"""),800.0)</f>
        <v>800</v>
      </c>
      <c r="D3136" s="3">
        <f>IFERROR(__xludf.DUMMYFUNCTION("""COMPUTED_VALUE"""),305.0)</f>
        <v>305</v>
      </c>
      <c r="E3136" s="2"/>
      <c r="F3136" s="2"/>
    </row>
    <row r="3137">
      <c r="A3137" s="2">
        <f>IFERROR(__xludf.DUMMYFUNCTION("""COMPUTED_VALUE"""),45481.0)</f>
        <v>45481</v>
      </c>
      <c r="B3137" s="2">
        <f>IFERROR(__xludf.DUMMYFUNCTION("""COMPUTED_VALUE"""),1.0)</f>
        <v>1</v>
      </c>
      <c r="C3137" s="2">
        <f>IFERROR(__xludf.DUMMYFUNCTION("""COMPUTED_VALUE"""),571.0)</f>
        <v>571</v>
      </c>
      <c r="D3137" s="3">
        <f>IFERROR(__xludf.DUMMYFUNCTION("""COMPUTED_VALUE"""),494.0)</f>
        <v>494</v>
      </c>
      <c r="E3137" s="2"/>
      <c r="F3137" s="2"/>
    </row>
    <row r="3138">
      <c r="A3138" s="2">
        <f>IFERROR(__xludf.DUMMYFUNCTION("""COMPUTED_VALUE"""),80001.0)</f>
        <v>80001</v>
      </c>
      <c r="B3138" s="2">
        <f>IFERROR(__xludf.DUMMYFUNCTION("""COMPUTED_VALUE"""),0.0)</f>
        <v>0</v>
      </c>
      <c r="C3138" s="2">
        <f>IFERROR(__xludf.DUMMYFUNCTION("""COMPUTED_VALUE"""),637.0)</f>
        <v>637</v>
      </c>
      <c r="D3138" s="3">
        <f>IFERROR(__xludf.DUMMYFUNCTION("""COMPUTED_VALUE"""),61.0)</f>
        <v>61</v>
      </c>
      <c r="E3138" s="2"/>
      <c r="F3138" s="2"/>
    </row>
    <row r="3139">
      <c r="A3139" s="2">
        <f>IFERROR(__xludf.DUMMYFUNCTION("""COMPUTED_VALUE"""),10068.0)</f>
        <v>10068</v>
      </c>
      <c r="B3139" s="2">
        <f>IFERROR(__xludf.DUMMYFUNCTION("""COMPUTED_VALUE"""),0.0)</f>
        <v>0</v>
      </c>
      <c r="C3139" s="2">
        <f>IFERROR(__xludf.DUMMYFUNCTION("""COMPUTED_VALUE"""),505.0)</f>
        <v>505</v>
      </c>
      <c r="D3139" s="3">
        <f>IFERROR(__xludf.DUMMYFUNCTION("""COMPUTED_VALUE"""),191.0)</f>
        <v>191</v>
      </c>
      <c r="E3139" s="2"/>
      <c r="F3139" s="2"/>
    </row>
    <row r="3140">
      <c r="A3140" s="2">
        <f>IFERROR(__xludf.DUMMYFUNCTION("""COMPUTED_VALUE"""),10054.0)</f>
        <v>10054</v>
      </c>
      <c r="B3140" s="2">
        <f>IFERROR(__xludf.DUMMYFUNCTION("""COMPUTED_VALUE"""),0.0)</f>
        <v>0</v>
      </c>
      <c r="C3140" s="2">
        <f>IFERROR(__xludf.DUMMYFUNCTION("""COMPUTED_VALUE"""),550.0)</f>
        <v>550</v>
      </c>
      <c r="D3140" s="3">
        <f>IFERROR(__xludf.DUMMYFUNCTION("""COMPUTED_VALUE"""),403.0)</f>
        <v>403</v>
      </c>
      <c r="E3140" s="2"/>
      <c r="F3140" s="2"/>
    </row>
    <row r="3141">
      <c r="A3141" s="2">
        <f>IFERROR(__xludf.DUMMYFUNCTION("""COMPUTED_VALUE"""),10070.0)</f>
        <v>10070</v>
      </c>
      <c r="B3141" s="2">
        <f>IFERROR(__xludf.DUMMYFUNCTION("""COMPUTED_VALUE"""),0.0)</f>
        <v>0</v>
      </c>
      <c r="C3141" s="2">
        <f>IFERROR(__xludf.DUMMYFUNCTION("""COMPUTED_VALUE"""),721.0)</f>
        <v>721</v>
      </c>
      <c r="D3141" s="3">
        <f>IFERROR(__xludf.DUMMYFUNCTION("""COMPUTED_VALUE"""),82.0)</f>
        <v>82</v>
      </c>
      <c r="E3141" s="2"/>
      <c r="F3141" s="2"/>
    </row>
    <row r="3142">
      <c r="A3142" s="2">
        <f>IFERROR(__xludf.DUMMYFUNCTION("""COMPUTED_VALUE"""),45480.0)</f>
        <v>45480</v>
      </c>
      <c r="B3142" s="2">
        <f>IFERROR(__xludf.DUMMYFUNCTION("""COMPUTED_VALUE"""),1.0)</f>
        <v>1</v>
      </c>
      <c r="C3142" s="2">
        <f>IFERROR(__xludf.DUMMYFUNCTION("""COMPUTED_VALUE"""),50.0)</f>
        <v>50</v>
      </c>
      <c r="D3142" s="3">
        <f>IFERROR(__xludf.DUMMYFUNCTION("""COMPUTED_VALUE"""),1.0)</f>
        <v>1</v>
      </c>
      <c r="E3142" s="2"/>
      <c r="F3142" s="2"/>
    </row>
    <row r="3143">
      <c r="A3143" s="2">
        <f>IFERROR(__xludf.DUMMYFUNCTION("""COMPUTED_VALUE"""),92791.0)</f>
        <v>92791</v>
      </c>
      <c r="B3143" s="2">
        <f>IFERROR(__xludf.DUMMYFUNCTION("""COMPUTED_VALUE"""),0.0)</f>
        <v>0</v>
      </c>
      <c r="C3143" s="2">
        <f>IFERROR(__xludf.DUMMYFUNCTION("""COMPUTED_VALUE"""),289.0)</f>
        <v>289</v>
      </c>
      <c r="D3143" s="3">
        <f>IFERROR(__xludf.DUMMYFUNCTION("""COMPUTED_VALUE"""),5.0)</f>
        <v>5</v>
      </c>
      <c r="E3143" s="2"/>
      <c r="F3143" s="2"/>
    </row>
    <row r="3144">
      <c r="A3144" s="2">
        <f>IFERROR(__xludf.DUMMYFUNCTION("""COMPUTED_VALUE"""),188722.0)</f>
        <v>188722</v>
      </c>
      <c r="B3144" s="2">
        <f>IFERROR(__xludf.DUMMYFUNCTION("""COMPUTED_VALUE"""),1.0)</f>
        <v>1</v>
      </c>
      <c r="C3144" s="2">
        <f>IFERROR(__xludf.DUMMYFUNCTION("""COMPUTED_VALUE"""),281.0)</f>
        <v>281</v>
      </c>
      <c r="D3144" s="3">
        <f>IFERROR(__xludf.DUMMYFUNCTION("""COMPUTED_VALUE"""),281.0)</f>
        <v>281</v>
      </c>
      <c r="E3144" s="2"/>
      <c r="F3144" s="2"/>
    </row>
    <row r="3145">
      <c r="A3145" s="2">
        <f>IFERROR(__xludf.DUMMYFUNCTION("""COMPUTED_VALUE"""),10061.0)</f>
        <v>10061</v>
      </c>
      <c r="B3145" s="2">
        <f>IFERROR(__xludf.DUMMYFUNCTION("""COMPUTED_VALUE"""),0.0)</f>
        <v>0</v>
      </c>
      <c r="C3145" s="2">
        <f>IFERROR(__xludf.DUMMYFUNCTION("""COMPUTED_VALUE"""),752.0)</f>
        <v>752</v>
      </c>
      <c r="D3145" s="3">
        <f>IFERROR(__xludf.DUMMYFUNCTION("""COMPUTED_VALUE"""),148.0)</f>
        <v>148</v>
      </c>
      <c r="E3145" s="2"/>
      <c r="F3145" s="2"/>
    </row>
    <row r="3146">
      <c r="A3146" s="2">
        <f>IFERROR(__xludf.DUMMYFUNCTION("""COMPUTED_VALUE"""),188708.0)</f>
        <v>188708</v>
      </c>
      <c r="B3146" s="2">
        <f>IFERROR(__xludf.DUMMYFUNCTION("""COMPUTED_VALUE"""),1.0)</f>
        <v>1</v>
      </c>
      <c r="C3146" s="2">
        <f>IFERROR(__xludf.DUMMYFUNCTION("""COMPUTED_VALUE"""),720.0)</f>
        <v>720</v>
      </c>
      <c r="D3146" s="3">
        <f>IFERROR(__xludf.DUMMYFUNCTION("""COMPUTED_VALUE"""),600.0)</f>
        <v>600</v>
      </c>
      <c r="E3146" s="2"/>
      <c r="F3146" s="2"/>
    </row>
    <row r="3147">
      <c r="A3147" s="2">
        <f>IFERROR(__xludf.DUMMYFUNCTION("""COMPUTED_VALUE"""),110927.0)</f>
        <v>110927</v>
      </c>
      <c r="B3147" s="2">
        <f>IFERROR(__xludf.DUMMYFUNCTION("""COMPUTED_VALUE"""),1.0)</f>
        <v>1</v>
      </c>
      <c r="C3147" s="2">
        <f>IFERROR(__xludf.DUMMYFUNCTION("""COMPUTED_VALUE"""),603.0)</f>
        <v>603</v>
      </c>
      <c r="D3147" s="3">
        <f>IFERROR(__xludf.DUMMYFUNCTION("""COMPUTED_VALUE"""),50.0)</f>
        <v>50</v>
      </c>
      <c r="E3147" s="2"/>
      <c r="F3147" s="2"/>
    </row>
    <row r="3148">
      <c r="A3148" s="2">
        <f>IFERROR(__xludf.DUMMYFUNCTION("""COMPUTED_VALUE"""),188729.0)</f>
        <v>188729</v>
      </c>
      <c r="B3148" s="2">
        <f>IFERROR(__xludf.DUMMYFUNCTION("""COMPUTED_VALUE"""),1.0)</f>
        <v>1</v>
      </c>
      <c r="C3148" s="2">
        <f>IFERROR(__xludf.DUMMYFUNCTION("""COMPUTED_VALUE"""),219.0)</f>
        <v>219</v>
      </c>
      <c r="D3148" s="3">
        <f>IFERROR(__xludf.DUMMYFUNCTION("""COMPUTED_VALUE"""),179.0)</f>
        <v>179</v>
      </c>
      <c r="E3148" s="2"/>
      <c r="F3148" s="2"/>
    </row>
    <row r="3149">
      <c r="A3149" s="2">
        <f>IFERROR(__xludf.DUMMYFUNCTION("""COMPUTED_VALUE"""),120969.0)</f>
        <v>120969</v>
      </c>
      <c r="B3149" s="2">
        <f>IFERROR(__xludf.DUMMYFUNCTION("""COMPUTED_VALUE"""),0.0)</f>
        <v>0</v>
      </c>
      <c r="C3149" s="2">
        <f>IFERROR(__xludf.DUMMYFUNCTION("""COMPUTED_VALUE"""),136.0)</f>
        <v>136</v>
      </c>
      <c r="D3149" s="3">
        <f>IFERROR(__xludf.DUMMYFUNCTION("""COMPUTED_VALUE"""),47.0)</f>
        <v>47</v>
      </c>
      <c r="E3149" s="2"/>
      <c r="F3149" s="2"/>
    </row>
    <row r="3150">
      <c r="A3150" s="2">
        <f>IFERROR(__xludf.DUMMYFUNCTION("""COMPUTED_VALUE"""),188728.0)</f>
        <v>188728</v>
      </c>
      <c r="B3150" s="2">
        <f>IFERROR(__xludf.DUMMYFUNCTION("""COMPUTED_VALUE"""),1.0)</f>
        <v>1</v>
      </c>
      <c r="C3150" s="2">
        <f>IFERROR(__xludf.DUMMYFUNCTION("""COMPUTED_VALUE"""),676.0)</f>
        <v>676</v>
      </c>
      <c r="D3150" s="3">
        <f>IFERROR(__xludf.DUMMYFUNCTION("""COMPUTED_VALUE"""),477.0)</f>
        <v>477</v>
      </c>
      <c r="E3150" s="2"/>
      <c r="F3150" s="2"/>
    </row>
    <row r="3151">
      <c r="A3151" s="2">
        <f>IFERROR(__xludf.DUMMYFUNCTION("""COMPUTED_VALUE"""),188663.0)</f>
        <v>188663</v>
      </c>
      <c r="B3151" s="2">
        <f>IFERROR(__xludf.DUMMYFUNCTION("""COMPUTED_VALUE"""),0.0)</f>
        <v>0</v>
      </c>
      <c r="C3151" s="2">
        <f>IFERROR(__xludf.DUMMYFUNCTION("""COMPUTED_VALUE"""),289.0)</f>
        <v>289</v>
      </c>
      <c r="D3151" s="3">
        <f>IFERROR(__xludf.DUMMYFUNCTION("""COMPUTED_VALUE"""),175.0)</f>
        <v>175</v>
      </c>
      <c r="E3151" s="2"/>
      <c r="F3151" s="2"/>
    </row>
    <row r="3152">
      <c r="A3152" s="2">
        <f>IFERROR(__xludf.DUMMYFUNCTION("""COMPUTED_VALUE"""),188727.0)</f>
        <v>188727</v>
      </c>
      <c r="B3152" s="2">
        <f>IFERROR(__xludf.DUMMYFUNCTION("""COMPUTED_VALUE"""),0.0)</f>
        <v>0</v>
      </c>
      <c r="C3152" s="2">
        <f>IFERROR(__xludf.DUMMYFUNCTION("""COMPUTED_VALUE"""),417.0)</f>
        <v>417</v>
      </c>
      <c r="D3152" s="3">
        <f>IFERROR(__xludf.DUMMYFUNCTION("""COMPUTED_VALUE"""),131.0)</f>
        <v>131</v>
      </c>
      <c r="E3152" s="2"/>
      <c r="F3152" s="2"/>
    </row>
    <row r="3153">
      <c r="A3153" s="2">
        <f>IFERROR(__xludf.DUMMYFUNCTION("""COMPUTED_VALUE"""),9741.0)</f>
        <v>9741</v>
      </c>
      <c r="B3153" s="2">
        <f>IFERROR(__xludf.DUMMYFUNCTION("""COMPUTED_VALUE"""),1.0)</f>
        <v>1</v>
      </c>
      <c r="C3153" s="2">
        <f>IFERROR(__xludf.DUMMYFUNCTION("""COMPUTED_VALUE"""),800.0)</f>
        <v>800</v>
      </c>
      <c r="D3153" s="3">
        <f>IFERROR(__xludf.DUMMYFUNCTION("""COMPUTED_VALUE"""),492.0)</f>
        <v>492</v>
      </c>
      <c r="E3153" s="2"/>
      <c r="F3153" s="2"/>
    </row>
    <row r="3154">
      <c r="A3154" s="2">
        <f>IFERROR(__xludf.DUMMYFUNCTION("""COMPUTED_VALUE"""),70406.0)</f>
        <v>70406</v>
      </c>
      <c r="B3154" s="2">
        <f>IFERROR(__xludf.DUMMYFUNCTION("""COMPUTED_VALUE"""),1.0)</f>
        <v>1</v>
      </c>
      <c r="C3154" s="2">
        <f>IFERROR(__xludf.DUMMYFUNCTION("""COMPUTED_VALUE"""),784.0)</f>
        <v>784</v>
      </c>
      <c r="D3154" s="3">
        <f>IFERROR(__xludf.DUMMYFUNCTION("""COMPUTED_VALUE"""),333.0)</f>
        <v>333</v>
      </c>
      <c r="E3154" s="2"/>
      <c r="F3154" s="2"/>
    </row>
    <row r="3155">
      <c r="A3155" s="2">
        <f>IFERROR(__xludf.DUMMYFUNCTION("""COMPUTED_VALUE"""),112114.0)</f>
        <v>112114</v>
      </c>
      <c r="B3155" s="2">
        <f>IFERROR(__xludf.DUMMYFUNCTION("""COMPUTED_VALUE"""),0.0)</f>
        <v>0</v>
      </c>
      <c r="C3155" s="2">
        <f>IFERROR(__xludf.DUMMYFUNCTION("""COMPUTED_VALUE"""),383.0)</f>
        <v>383</v>
      </c>
      <c r="D3155" s="3">
        <f>IFERROR(__xludf.DUMMYFUNCTION("""COMPUTED_VALUE"""),206.0)</f>
        <v>206</v>
      </c>
      <c r="E3155" s="2"/>
      <c r="F3155" s="2"/>
    </row>
    <row r="3156">
      <c r="A3156" s="2">
        <f>IFERROR(__xludf.DUMMYFUNCTION("""COMPUTED_VALUE"""),70405.0)</f>
        <v>70405</v>
      </c>
      <c r="B3156" s="2">
        <f>IFERROR(__xludf.DUMMYFUNCTION("""COMPUTED_VALUE"""),0.0)</f>
        <v>0</v>
      </c>
      <c r="C3156" s="2">
        <f>IFERROR(__xludf.DUMMYFUNCTION("""COMPUTED_VALUE"""),900.0)</f>
        <v>900</v>
      </c>
      <c r="D3156" s="3">
        <f>IFERROR(__xludf.DUMMYFUNCTION("""COMPUTED_VALUE"""),523.0)</f>
        <v>523</v>
      </c>
      <c r="E3156" s="2"/>
      <c r="F3156" s="2"/>
    </row>
    <row r="3157">
      <c r="A3157" s="2">
        <f>IFERROR(__xludf.DUMMYFUNCTION("""COMPUTED_VALUE"""),20405.0)</f>
        <v>20405</v>
      </c>
      <c r="B3157" s="2">
        <f>IFERROR(__xludf.DUMMYFUNCTION("""COMPUTED_VALUE"""),1.0)</f>
        <v>1</v>
      </c>
      <c r="C3157" s="2">
        <f>IFERROR(__xludf.DUMMYFUNCTION("""COMPUTED_VALUE"""),523.0)</f>
        <v>523</v>
      </c>
      <c r="D3157" s="3">
        <f>IFERROR(__xludf.DUMMYFUNCTION("""COMPUTED_VALUE"""),226.0)</f>
        <v>226</v>
      </c>
      <c r="E3157" s="2"/>
      <c r="F3157" s="2"/>
    </row>
    <row r="3158">
      <c r="A3158" s="2">
        <f>IFERROR(__xludf.DUMMYFUNCTION("""COMPUTED_VALUE"""),121308.0)</f>
        <v>121308</v>
      </c>
      <c r="B3158" s="2">
        <f>IFERROR(__xludf.DUMMYFUNCTION("""COMPUTED_VALUE"""),1.0)</f>
        <v>1</v>
      </c>
      <c r="C3158" s="2">
        <f>IFERROR(__xludf.DUMMYFUNCTION("""COMPUTED_VALUE"""),10.0)</f>
        <v>10</v>
      </c>
      <c r="D3158" s="3">
        <f>IFERROR(__xludf.DUMMYFUNCTION("""COMPUTED_VALUE"""),5.0)</f>
        <v>5</v>
      </c>
      <c r="E3158" s="2"/>
      <c r="F3158" s="2"/>
    </row>
    <row r="3159">
      <c r="A3159" s="2">
        <f>IFERROR(__xludf.DUMMYFUNCTION("""COMPUTED_VALUE"""),121311.0)</f>
        <v>121311</v>
      </c>
      <c r="B3159" s="2">
        <f>IFERROR(__xludf.DUMMYFUNCTION("""COMPUTED_VALUE"""),0.0)</f>
        <v>0</v>
      </c>
      <c r="C3159" s="2">
        <f>IFERROR(__xludf.DUMMYFUNCTION("""COMPUTED_VALUE"""),393.0)</f>
        <v>393</v>
      </c>
      <c r="D3159" s="3">
        <f>IFERROR(__xludf.DUMMYFUNCTION("""COMPUTED_VALUE"""),256.0)</f>
        <v>256</v>
      </c>
      <c r="E3159" s="2"/>
      <c r="F3159" s="2"/>
    </row>
    <row r="3160">
      <c r="A3160" s="2">
        <f>IFERROR(__xludf.DUMMYFUNCTION("""COMPUTED_VALUE"""),124748.0)</f>
        <v>124748</v>
      </c>
      <c r="B3160" s="2">
        <f>IFERROR(__xludf.DUMMYFUNCTION("""COMPUTED_VALUE"""),0.0)</f>
        <v>0</v>
      </c>
      <c r="C3160" s="2">
        <f>IFERROR(__xludf.DUMMYFUNCTION("""COMPUTED_VALUE"""),748.0)</f>
        <v>748</v>
      </c>
      <c r="D3160" s="3">
        <f>IFERROR(__xludf.DUMMYFUNCTION("""COMPUTED_VALUE"""),511.0)</f>
        <v>511</v>
      </c>
      <c r="E3160" s="2"/>
      <c r="F3160" s="2"/>
    </row>
    <row r="3161">
      <c r="A3161" s="2">
        <f>IFERROR(__xludf.DUMMYFUNCTION("""COMPUTED_VALUE"""),104315.0)</f>
        <v>104315</v>
      </c>
      <c r="B3161" s="2">
        <f>IFERROR(__xludf.DUMMYFUNCTION("""COMPUTED_VALUE"""),0.0)</f>
        <v>0</v>
      </c>
      <c r="C3161" s="2">
        <f>IFERROR(__xludf.DUMMYFUNCTION("""COMPUTED_VALUE"""),36.0)</f>
        <v>36</v>
      </c>
      <c r="D3161" s="3">
        <f>IFERROR(__xludf.DUMMYFUNCTION("""COMPUTED_VALUE"""),18.0)</f>
        <v>18</v>
      </c>
      <c r="E3161" s="2"/>
      <c r="F3161" s="2"/>
    </row>
    <row r="3162">
      <c r="A3162" s="2">
        <f>IFERROR(__xludf.DUMMYFUNCTION("""COMPUTED_VALUE"""),104314.0)</f>
        <v>104314</v>
      </c>
      <c r="B3162" s="2">
        <f>IFERROR(__xludf.DUMMYFUNCTION("""COMPUTED_VALUE"""),1.0)</f>
        <v>1</v>
      </c>
      <c r="C3162" s="2">
        <f>IFERROR(__xludf.DUMMYFUNCTION("""COMPUTED_VALUE"""),984.0)</f>
        <v>984</v>
      </c>
      <c r="D3162" s="3">
        <f>IFERROR(__xludf.DUMMYFUNCTION("""COMPUTED_VALUE"""),602.0)</f>
        <v>602</v>
      </c>
      <c r="E3162" s="2"/>
      <c r="F3162" s="2"/>
    </row>
    <row r="3163">
      <c r="A3163" s="2">
        <f>IFERROR(__xludf.DUMMYFUNCTION("""COMPUTED_VALUE"""),69287.0)</f>
        <v>69287</v>
      </c>
      <c r="B3163" s="2">
        <f>IFERROR(__xludf.DUMMYFUNCTION("""COMPUTED_VALUE"""),0.0)</f>
        <v>0</v>
      </c>
      <c r="C3163" s="2">
        <f>IFERROR(__xludf.DUMMYFUNCTION("""COMPUTED_VALUE"""),903.0)</f>
        <v>903</v>
      </c>
      <c r="D3163" s="3">
        <f>IFERROR(__xludf.DUMMYFUNCTION("""COMPUTED_VALUE"""),363.0)</f>
        <v>363</v>
      </c>
      <c r="E3163" s="2"/>
      <c r="F3163" s="2"/>
    </row>
    <row r="3164">
      <c r="A3164" s="2">
        <f>IFERROR(__xludf.DUMMYFUNCTION("""COMPUTED_VALUE"""),5789.0)</f>
        <v>5789</v>
      </c>
      <c r="B3164" s="2">
        <f>IFERROR(__xludf.DUMMYFUNCTION("""COMPUTED_VALUE"""),1.0)</f>
        <v>1</v>
      </c>
      <c r="C3164" s="2">
        <f>IFERROR(__xludf.DUMMYFUNCTION("""COMPUTED_VALUE"""),255.0)</f>
        <v>255</v>
      </c>
      <c r="D3164" s="3">
        <f>IFERROR(__xludf.DUMMYFUNCTION("""COMPUTED_VALUE"""),116.0)</f>
        <v>116</v>
      </c>
      <c r="E3164" s="2"/>
      <c r="F3164" s="2"/>
    </row>
    <row r="3165">
      <c r="A3165" s="2">
        <f>IFERROR(__xludf.DUMMYFUNCTION("""COMPUTED_VALUE"""),14013.0)</f>
        <v>14013</v>
      </c>
      <c r="B3165" s="2">
        <f>IFERROR(__xludf.DUMMYFUNCTION("""COMPUTED_VALUE"""),1.0)</f>
        <v>1</v>
      </c>
      <c r="C3165" s="2">
        <f>IFERROR(__xludf.DUMMYFUNCTION("""COMPUTED_VALUE"""),750.0)</f>
        <v>750</v>
      </c>
      <c r="D3165" s="3">
        <f>IFERROR(__xludf.DUMMYFUNCTION("""COMPUTED_VALUE"""),503.0)</f>
        <v>503</v>
      </c>
      <c r="E3165" s="2"/>
      <c r="F3165" s="2"/>
    </row>
    <row r="3166">
      <c r="A3166" s="2">
        <f>IFERROR(__xludf.DUMMYFUNCTION("""COMPUTED_VALUE"""),14015.0)</f>
        <v>14015</v>
      </c>
      <c r="B3166" s="2">
        <f>IFERROR(__xludf.DUMMYFUNCTION("""COMPUTED_VALUE"""),1.0)</f>
        <v>1</v>
      </c>
      <c r="C3166" s="2">
        <f>IFERROR(__xludf.DUMMYFUNCTION("""COMPUTED_VALUE"""),36.0)</f>
        <v>36</v>
      </c>
      <c r="D3166" s="3">
        <f>IFERROR(__xludf.DUMMYFUNCTION("""COMPUTED_VALUE"""),30.0)</f>
        <v>30</v>
      </c>
      <c r="E3166" s="2"/>
      <c r="F3166" s="2"/>
    </row>
    <row r="3167">
      <c r="A3167" s="2">
        <f>IFERROR(__xludf.DUMMYFUNCTION("""COMPUTED_VALUE"""),69291.0)</f>
        <v>69291</v>
      </c>
      <c r="B3167" s="2">
        <f>IFERROR(__xludf.DUMMYFUNCTION("""COMPUTED_VALUE"""),1.0)</f>
        <v>1</v>
      </c>
      <c r="C3167" s="2">
        <f>IFERROR(__xludf.DUMMYFUNCTION("""COMPUTED_VALUE"""),59.0)</f>
        <v>59</v>
      </c>
      <c r="D3167" s="3">
        <f>IFERROR(__xludf.DUMMYFUNCTION("""COMPUTED_VALUE"""),42.0)</f>
        <v>42</v>
      </c>
      <c r="E3167" s="2"/>
      <c r="F3167" s="2"/>
    </row>
    <row r="3168">
      <c r="A3168" s="2">
        <f>IFERROR(__xludf.DUMMYFUNCTION("""COMPUTED_VALUE"""),26057.0)</f>
        <v>26057</v>
      </c>
      <c r="B3168" s="2">
        <f>IFERROR(__xludf.DUMMYFUNCTION("""COMPUTED_VALUE"""),1.0)</f>
        <v>1</v>
      </c>
      <c r="C3168" s="2">
        <f>IFERROR(__xludf.DUMMYFUNCTION("""COMPUTED_VALUE"""),547.0)</f>
        <v>547</v>
      </c>
      <c r="D3168" s="3">
        <f>IFERROR(__xludf.DUMMYFUNCTION("""COMPUTED_VALUE"""),65.0)</f>
        <v>65</v>
      </c>
      <c r="E3168" s="2"/>
      <c r="F3168" s="2"/>
    </row>
    <row r="3169">
      <c r="A3169" s="2">
        <f>IFERROR(__xludf.DUMMYFUNCTION("""COMPUTED_VALUE"""),14022.0)</f>
        <v>14022</v>
      </c>
      <c r="B3169" s="2">
        <f>IFERROR(__xludf.DUMMYFUNCTION("""COMPUTED_VALUE"""),0.0)</f>
        <v>0</v>
      </c>
      <c r="C3169" s="2">
        <f>IFERROR(__xludf.DUMMYFUNCTION("""COMPUTED_VALUE"""),503.0)</f>
        <v>503</v>
      </c>
      <c r="D3169" s="3">
        <f>IFERROR(__xludf.DUMMYFUNCTION("""COMPUTED_VALUE"""),121.0)</f>
        <v>121</v>
      </c>
      <c r="E3169" s="2"/>
      <c r="F3169" s="2"/>
    </row>
    <row r="3170">
      <c r="A3170" s="2">
        <f>IFERROR(__xludf.DUMMYFUNCTION("""COMPUTED_VALUE"""),80109.0)</f>
        <v>80109</v>
      </c>
      <c r="B3170" s="2">
        <f>IFERROR(__xludf.DUMMYFUNCTION("""COMPUTED_VALUE"""),1.0)</f>
        <v>1</v>
      </c>
      <c r="C3170" s="2">
        <f>IFERROR(__xludf.DUMMYFUNCTION("""COMPUTED_VALUE"""),42.0)</f>
        <v>42</v>
      </c>
      <c r="D3170" s="3">
        <f>IFERROR(__xludf.DUMMYFUNCTION("""COMPUTED_VALUE"""),16.0)</f>
        <v>16</v>
      </c>
      <c r="E3170" s="2"/>
      <c r="F3170" s="2"/>
    </row>
    <row r="3171">
      <c r="A3171" s="2">
        <f>IFERROR(__xludf.DUMMYFUNCTION("""COMPUTED_VALUE"""),121686.0)</f>
        <v>121686</v>
      </c>
      <c r="B3171" s="2">
        <f>IFERROR(__xludf.DUMMYFUNCTION("""COMPUTED_VALUE"""),0.0)</f>
        <v>0</v>
      </c>
      <c r="C3171" s="2">
        <f>IFERROR(__xludf.DUMMYFUNCTION("""COMPUTED_VALUE"""),866.0)</f>
        <v>866</v>
      </c>
      <c r="D3171" s="3">
        <f>IFERROR(__xludf.DUMMYFUNCTION("""COMPUTED_VALUE"""),637.0)</f>
        <v>637</v>
      </c>
      <c r="E3171" s="2"/>
      <c r="F3171" s="2"/>
    </row>
    <row r="3172">
      <c r="A3172" s="2">
        <f>IFERROR(__xludf.DUMMYFUNCTION("""COMPUTED_VALUE"""),60365.0)</f>
        <v>60365</v>
      </c>
      <c r="B3172" s="2">
        <f>IFERROR(__xludf.DUMMYFUNCTION("""COMPUTED_VALUE"""),0.0)</f>
        <v>0</v>
      </c>
      <c r="C3172" s="2">
        <f>IFERROR(__xludf.DUMMYFUNCTION("""COMPUTED_VALUE"""),26.0)</f>
        <v>26</v>
      </c>
      <c r="D3172" s="3">
        <f>IFERROR(__xludf.DUMMYFUNCTION("""COMPUTED_VALUE"""),8.0)</f>
        <v>8</v>
      </c>
      <c r="E3172" s="2"/>
      <c r="F3172" s="2"/>
    </row>
    <row r="3173">
      <c r="A3173" s="2">
        <f>IFERROR(__xludf.DUMMYFUNCTION("""COMPUTED_VALUE"""),86488.0)</f>
        <v>86488</v>
      </c>
      <c r="B3173" s="2">
        <f>IFERROR(__xludf.DUMMYFUNCTION("""COMPUTED_VALUE"""),0.0)</f>
        <v>0</v>
      </c>
      <c r="C3173" s="2">
        <f>IFERROR(__xludf.DUMMYFUNCTION("""COMPUTED_VALUE"""),356.0)</f>
        <v>356</v>
      </c>
      <c r="D3173" s="3">
        <f>IFERROR(__xludf.DUMMYFUNCTION("""COMPUTED_VALUE"""),258.0)</f>
        <v>258</v>
      </c>
      <c r="E3173" s="2"/>
      <c r="F3173" s="2"/>
    </row>
    <row r="3174">
      <c r="A3174" s="2">
        <f>IFERROR(__xludf.DUMMYFUNCTION("""COMPUTED_VALUE"""),122530.0)</f>
        <v>122530</v>
      </c>
      <c r="B3174" s="2">
        <f>IFERROR(__xludf.DUMMYFUNCTION("""COMPUTED_VALUE"""),1.0)</f>
        <v>1</v>
      </c>
      <c r="C3174" s="2">
        <f>IFERROR(__xludf.DUMMYFUNCTION("""COMPUTED_VALUE"""),24.0)</f>
        <v>24</v>
      </c>
      <c r="D3174" s="3">
        <f>IFERROR(__xludf.DUMMYFUNCTION("""COMPUTED_VALUE"""),2.0)</f>
        <v>2</v>
      </c>
      <c r="E3174" s="2"/>
      <c r="F3174" s="2"/>
    </row>
    <row r="3175">
      <c r="A3175" s="2">
        <f>IFERROR(__xludf.DUMMYFUNCTION("""COMPUTED_VALUE"""),60526.0)</f>
        <v>60526</v>
      </c>
      <c r="B3175" s="2">
        <f>IFERROR(__xludf.DUMMYFUNCTION("""COMPUTED_VALUE"""),0.0)</f>
        <v>0</v>
      </c>
      <c r="C3175" s="2">
        <f>IFERROR(__xludf.DUMMYFUNCTION("""COMPUTED_VALUE"""),35.0)</f>
        <v>35</v>
      </c>
      <c r="D3175" s="3">
        <f>IFERROR(__xludf.DUMMYFUNCTION("""COMPUTED_VALUE"""),20.0)</f>
        <v>20</v>
      </c>
      <c r="E3175" s="2"/>
      <c r="F3175" s="2"/>
    </row>
    <row r="3176">
      <c r="A3176" s="2">
        <f>IFERROR(__xludf.DUMMYFUNCTION("""COMPUTED_VALUE"""),116807.0)</f>
        <v>116807</v>
      </c>
      <c r="B3176" s="2">
        <f>IFERROR(__xludf.DUMMYFUNCTION("""COMPUTED_VALUE"""),0.0)</f>
        <v>0</v>
      </c>
      <c r="C3176" s="2">
        <f>IFERROR(__xludf.DUMMYFUNCTION("""COMPUTED_VALUE"""),669.0)</f>
        <v>669</v>
      </c>
      <c r="D3176" s="3">
        <f>IFERROR(__xludf.DUMMYFUNCTION("""COMPUTED_VALUE"""),408.0)</f>
        <v>408</v>
      </c>
      <c r="E3176" s="2"/>
      <c r="F3176" s="2"/>
    </row>
    <row r="3177">
      <c r="A3177" s="2">
        <f>IFERROR(__xludf.DUMMYFUNCTION("""COMPUTED_VALUE"""),80030.0)</f>
        <v>80030</v>
      </c>
      <c r="B3177" s="2">
        <f>IFERROR(__xludf.DUMMYFUNCTION("""COMPUTED_VALUE"""),1.0)</f>
        <v>1</v>
      </c>
      <c r="C3177" s="2">
        <f>IFERROR(__xludf.DUMMYFUNCTION("""COMPUTED_VALUE"""),576.0)</f>
        <v>576</v>
      </c>
      <c r="D3177" s="3">
        <f>IFERROR(__xludf.DUMMYFUNCTION("""COMPUTED_VALUE"""),535.0)</f>
        <v>535</v>
      </c>
      <c r="E3177" s="2"/>
      <c r="F3177" s="2"/>
    </row>
    <row r="3178">
      <c r="A3178" s="2">
        <f>IFERROR(__xludf.DUMMYFUNCTION("""COMPUTED_VALUE"""),122529.0)</f>
        <v>122529</v>
      </c>
      <c r="B3178" s="2">
        <f>IFERROR(__xludf.DUMMYFUNCTION("""COMPUTED_VALUE"""),0.0)</f>
        <v>0</v>
      </c>
      <c r="C3178" s="2">
        <f>IFERROR(__xludf.DUMMYFUNCTION("""COMPUTED_VALUE"""),679.0)</f>
        <v>679</v>
      </c>
      <c r="D3178" s="3">
        <f>IFERROR(__xludf.DUMMYFUNCTION("""COMPUTED_VALUE"""),537.0)</f>
        <v>537</v>
      </c>
      <c r="E3178" s="2"/>
      <c r="F3178" s="2"/>
    </row>
    <row r="3179">
      <c r="A3179" s="2">
        <f>IFERROR(__xludf.DUMMYFUNCTION("""COMPUTED_VALUE"""),14042.0)</f>
        <v>14042</v>
      </c>
      <c r="B3179" s="2">
        <f>IFERROR(__xludf.DUMMYFUNCTION("""COMPUTED_VALUE"""),1.0)</f>
        <v>1</v>
      </c>
      <c r="C3179" s="2">
        <f>IFERROR(__xludf.DUMMYFUNCTION("""COMPUTED_VALUE"""),728.0)</f>
        <v>728</v>
      </c>
      <c r="D3179" s="3">
        <f>IFERROR(__xludf.DUMMYFUNCTION("""COMPUTED_VALUE"""),81.0)</f>
        <v>81</v>
      </c>
      <c r="E3179" s="2"/>
      <c r="F3179" s="2"/>
    </row>
    <row r="3180">
      <c r="A3180" s="2">
        <f>IFERROR(__xludf.DUMMYFUNCTION("""COMPUTED_VALUE"""),14043.0)</f>
        <v>14043</v>
      </c>
      <c r="B3180" s="2">
        <f>IFERROR(__xludf.DUMMYFUNCTION("""COMPUTED_VALUE"""),0.0)</f>
        <v>0</v>
      </c>
      <c r="C3180" s="2">
        <f>IFERROR(__xludf.DUMMYFUNCTION("""COMPUTED_VALUE"""),627.0)</f>
        <v>627</v>
      </c>
      <c r="D3180" s="3">
        <f>IFERROR(__xludf.DUMMYFUNCTION("""COMPUTED_VALUE"""),72.0)</f>
        <v>72</v>
      </c>
      <c r="E3180" s="2"/>
      <c r="F3180" s="2"/>
    </row>
    <row r="3181">
      <c r="A3181" s="2">
        <f>IFERROR(__xludf.DUMMYFUNCTION("""COMPUTED_VALUE"""),9157.0)</f>
        <v>9157</v>
      </c>
      <c r="B3181" s="2">
        <f>IFERROR(__xludf.DUMMYFUNCTION("""COMPUTED_VALUE"""),1.0)</f>
        <v>1</v>
      </c>
      <c r="C3181" s="2">
        <f>IFERROR(__xludf.DUMMYFUNCTION("""COMPUTED_VALUE"""),781.0)</f>
        <v>781</v>
      </c>
      <c r="D3181" s="3">
        <f>IFERROR(__xludf.DUMMYFUNCTION("""COMPUTED_VALUE"""),216.0)</f>
        <v>216</v>
      </c>
      <c r="E3181" s="2"/>
      <c r="F3181" s="2"/>
    </row>
    <row r="3182">
      <c r="A3182" s="2">
        <f>IFERROR(__xludf.DUMMYFUNCTION("""COMPUTED_VALUE"""),149968.0)</f>
        <v>149968</v>
      </c>
      <c r="B3182" s="2">
        <f>IFERROR(__xludf.DUMMYFUNCTION("""COMPUTED_VALUE"""),0.0)</f>
        <v>0</v>
      </c>
      <c r="C3182" s="2">
        <f>IFERROR(__xludf.DUMMYFUNCTION("""COMPUTED_VALUE"""),92.0)</f>
        <v>92</v>
      </c>
      <c r="D3182" s="3">
        <f>IFERROR(__xludf.DUMMYFUNCTION("""COMPUTED_VALUE"""),88.0)</f>
        <v>88</v>
      </c>
      <c r="E3182" s="2"/>
      <c r="F3182" s="2"/>
    </row>
    <row r="3183">
      <c r="A3183" s="2">
        <f>IFERROR(__xludf.DUMMYFUNCTION("""COMPUTED_VALUE"""),47299.0)</f>
        <v>47299</v>
      </c>
      <c r="B3183" s="2">
        <f>IFERROR(__xludf.DUMMYFUNCTION("""COMPUTED_VALUE"""),0.0)</f>
        <v>0</v>
      </c>
      <c r="C3183" s="2">
        <f>IFERROR(__xludf.DUMMYFUNCTION("""COMPUTED_VALUE"""),834.0)</f>
        <v>834</v>
      </c>
      <c r="D3183" s="3">
        <f>IFERROR(__xludf.DUMMYFUNCTION("""COMPUTED_VALUE"""),496.0)</f>
        <v>496</v>
      </c>
      <c r="E3183" s="2"/>
      <c r="F3183" s="2"/>
    </row>
    <row r="3184">
      <c r="A3184" s="2">
        <f>IFERROR(__xludf.DUMMYFUNCTION("""COMPUTED_VALUE"""),109275.0)</f>
        <v>109275</v>
      </c>
      <c r="B3184" s="2">
        <f>IFERROR(__xludf.DUMMYFUNCTION("""COMPUTED_VALUE"""),0.0)</f>
        <v>0</v>
      </c>
      <c r="C3184" s="2">
        <f>IFERROR(__xludf.DUMMYFUNCTION("""COMPUTED_VALUE"""),288.0)</f>
        <v>288</v>
      </c>
      <c r="D3184" s="3">
        <f>IFERROR(__xludf.DUMMYFUNCTION("""COMPUTED_VALUE"""),244.0)</f>
        <v>244</v>
      </c>
      <c r="E3184" s="2"/>
      <c r="F3184" s="2"/>
    </row>
    <row r="3185">
      <c r="A3185" s="2">
        <f>IFERROR(__xludf.DUMMYFUNCTION("""COMPUTED_VALUE"""),122768.0)</f>
        <v>122768</v>
      </c>
      <c r="B3185" s="2">
        <f>IFERROR(__xludf.DUMMYFUNCTION("""COMPUTED_VALUE"""),1.0)</f>
        <v>1</v>
      </c>
      <c r="C3185" s="2">
        <f>IFERROR(__xludf.DUMMYFUNCTION("""COMPUTED_VALUE"""),916.0)</f>
        <v>916</v>
      </c>
      <c r="D3185" s="3">
        <f>IFERROR(__xludf.DUMMYFUNCTION("""COMPUTED_VALUE"""),365.0)</f>
        <v>365</v>
      </c>
      <c r="E3185" s="2"/>
      <c r="F3185" s="2"/>
    </row>
    <row r="3186">
      <c r="A3186" s="2">
        <f>IFERROR(__xludf.DUMMYFUNCTION("""COMPUTED_VALUE"""),80400.0)</f>
        <v>80400</v>
      </c>
      <c r="B3186" s="2">
        <f>IFERROR(__xludf.DUMMYFUNCTION("""COMPUTED_VALUE"""),1.0)</f>
        <v>1</v>
      </c>
      <c r="C3186" s="2">
        <f>IFERROR(__xludf.DUMMYFUNCTION("""COMPUTED_VALUE"""),287.0)</f>
        <v>287</v>
      </c>
      <c r="D3186" s="3">
        <f>IFERROR(__xludf.DUMMYFUNCTION("""COMPUTED_VALUE"""),12.0)</f>
        <v>12</v>
      </c>
      <c r="E3186" s="2"/>
      <c r="F3186" s="2"/>
    </row>
    <row r="3187">
      <c r="A3187" s="2">
        <f>IFERROR(__xludf.DUMMYFUNCTION("""COMPUTED_VALUE"""),8803.0)</f>
        <v>8803</v>
      </c>
      <c r="B3187" s="2">
        <f>IFERROR(__xludf.DUMMYFUNCTION("""COMPUTED_VALUE"""),0.0)</f>
        <v>0</v>
      </c>
      <c r="C3187" s="2">
        <f>IFERROR(__xludf.DUMMYFUNCTION("""COMPUTED_VALUE"""),176.0)</f>
        <v>176</v>
      </c>
      <c r="D3187" s="3">
        <f>IFERROR(__xludf.DUMMYFUNCTION("""COMPUTED_VALUE"""),32.0)</f>
        <v>32</v>
      </c>
      <c r="E3187" s="2"/>
      <c r="F3187" s="2"/>
    </row>
    <row r="3188">
      <c r="A3188" s="2">
        <f>IFERROR(__xludf.DUMMYFUNCTION("""COMPUTED_VALUE"""),80085.0)</f>
        <v>80085</v>
      </c>
      <c r="B3188" s="2">
        <f>IFERROR(__xludf.DUMMYFUNCTION("""COMPUTED_VALUE"""),0.0)</f>
        <v>0</v>
      </c>
      <c r="C3188" s="2">
        <f>IFERROR(__xludf.DUMMYFUNCTION("""COMPUTED_VALUE"""),286.0)</f>
        <v>286</v>
      </c>
      <c r="D3188" s="3">
        <f>IFERROR(__xludf.DUMMYFUNCTION("""COMPUTED_VALUE"""),17.0)</f>
        <v>17</v>
      </c>
      <c r="E3188" s="2"/>
      <c r="F3188" s="2"/>
    </row>
    <row r="3189">
      <c r="A3189" s="2">
        <f>IFERROR(__xludf.DUMMYFUNCTION("""COMPUTED_VALUE"""),47379.0)</f>
        <v>47379</v>
      </c>
      <c r="B3189" s="2">
        <f>IFERROR(__xludf.DUMMYFUNCTION("""COMPUTED_VALUE"""),0.0)</f>
        <v>0</v>
      </c>
      <c r="C3189" s="2">
        <f>IFERROR(__xludf.DUMMYFUNCTION("""COMPUTED_VALUE"""),263.0)</f>
        <v>263</v>
      </c>
      <c r="D3189" s="3">
        <f>IFERROR(__xludf.DUMMYFUNCTION("""COMPUTED_VALUE"""),55.0)</f>
        <v>55</v>
      </c>
      <c r="E3189" s="2"/>
      <c r="F3189" s="2"/>
    </row>
    <row r="3190">
      <c r="A3190" s="2">
        <f>IFERROR(__xludf.DUMMYFUNCTION("""COMPUTED_VALUE"""),47366.0)</f>
        <v>47366</v>
      </c>
      <c r="B3190" s="2">
        <f>IFERROR(__xludf.DUMMYFUNCTION("""COMPUTED_VALUE"""),1.0)</f>
        <v>1</v>
      </c>
      <c r="C3190" s="2">
        <f>IFERROR(__xludf.DUMMYFUNCTION("""COMPUTED_VALUE"""),691.0)</f>
        <v>691</v>
      </c>
      <c r="D3190" s="3">
        <f>IFERROR(__xludf.DUMMYFUNCTION("""COMPUTED_VALUE"""),278.0)</f>
        <v>278</v>
      </c>
      <c r="E3190" s="2"/>
      <c r="F3190" s="2"/>
    </row>
    <row r="3191">
      <c r="A3191" s="2">
        <f>IFERROR(__xludf.DUMMYFUNCTION("""COMPUTED_VALUE"""),47376.0)</f>
        <v>47376</v>
      </c>
      <c r="B3191" s="2">
        <f>IFERROR(__xludf.DUMMYFUNCTION("""COMPUTED_VALUE"""),0.0)</f>
        <v>0</v>
      </c>
      <c r="C3191" s="2">
        <f>IFERROR(__xludf.DUMMYFUNCTION("""COMPUTED_VALUE"""),33.0)</f>
        <v>33</v>
      </c>
      <c r="D3191" s="3">
        <f>IFERROR(__xludf.DUMMYFUNCTION("""COMPUTED_VALUE"""),2.0)</f>
        <v>2</v>
      </c>
      <c r="E3191" s="2"/>
      <c r="F3191" s="2"/>
    </row>
    <row r="3192">
      <c r="A3192" s="2">
        <f>IFERROR(__xludf.DUMMYFUNCTION("""COMPUTED_VALUE"""),95799.0)</f>
        <v>95799</v>
      </c>
      <c r="B3192" s="2">
        <f>IFERROR(__xludf.DUMMYFUNCTION("""COMPUTED_VALUE"""),0.0)</f>
        <v>0</v>
      </c>
      <c r="C3192" s="2">
        <f>IFERROR(__xludf.DUMMYFUNCTION("""COMPUTED_VALUE"""),31.0)</f>
        <v>31</v>
      </c>
      <c r="D3192" s="3">
        <f>IFERROR(__xludf.DUMMYFUNCTION("""COMPUTED_VALUE"""),21.0)</f>
        <v>21</v>
      </c>
      <c r="E3192" s="2"/>
      <c r="F3192" s="2"/>
    </row>
    <row r="3193">
      <c r="A3193" s="2">
        <f>IFERROR(__xludf.DUMMYFUNCTION("""COMPUTED_VALUE"""),112733.0)</f>
        <v>112733</v>
      </c>
      <c r="B3193" s="2">
        <f>IFERROR(__xludf.DUMMYFUNCTION("""COMPUTED_VALUE"""),1.0)</f>
        <v>1</v>
      </c>
      <c r="C3193" s="2">
        <f>IFERROR(__xludf.DUMMYFUNCTION("""COMPUTED_VALUE"""),630.0)</f>
        <v>630</v>
      </c>
      <c r="D3193" s="3">
        <f>IFERROR(__xludf.DUMMYFUNCTION("""COMPUTED_VALUE"""),533.0)</f>
        <v>533</v>
      </c>
      <c r="E3193" s="2"/>
      <c r="F3193" s="2"/>
    </row>
    <row r="3194">
      <c r="A3194" s="2">
        <f>IFERROR(__xludf.DUMMYFUNCTION("""COMPUTED_VALUE"""),47050.0)</f>
        <v>47050</v>
      </c>
      <c r="B3194" s="2">
        <f>IFERROR(__xludf.DUMMYFUNCTION("""COMPUTED_VALUE"""),1.0)</f>
        <v>1</v>
      </c>
      <c r="C3194" s="2">
        <f>IFERROR(__xludf.DUMMYFUNCTION("""COMPUTED_VALUE"""),526.0)</f>
        <v>526</v>
      </c>
      <c r="D3194" s="3">
        <f>IFERROR(__xludf.DUMMYFUNCTION("""COMPUTED_VALUE"""),506.0)</f>
        <v>506</v>
      </c>
      <c r="E3194" s="2"/>
      <c r="F3194" s="2"/>
    </row>
    <row r="3195">
      <c r="A3195" s="2">
        <f>IFERROR(__xludf.DUMMYFUNCTION("""COMPUTED_VALUE"""),112449.0)</f>
        <v>112449</v>
      </c>
      <c r="B3195" s="2">
        <f>IFERROR(__xludf.DUMMYFUNCTION("""COMPUTED_VALUE"""),0.0)</f>
        <v>0</v>
      </c>
      <c r="C3195" s="2">
        <f>IFERROR(__xludf.DUMMYFUNCTION("""COMPUTED_VALUE"""),336.0)</f>
        <v>336</v>
      </c>
      <c r="D3195" s="3">
        <f>IFERROR(__xludf.DUMMYFUNCTION("""COMPUTED_VALUE"""),38.0)</f>
        <v>38</v>
      </c>
      <c r="E3195" s="2"/>
      <c r="F3195" s="2"/>
    </row>
    <row r="3196">
      <c r="A3196" s="2">
        <f>IFERROR(__xludf.DUMMYFUNCTION("""COMPUTED_VALUE"""),14025.0)</f>
        <v>14025</v>
      </c>
      <c r="B3196" s="2">
        <f>IFERROR(__xludf.DUMMYFUNCTION("""COMPUTED_VALUE"""),1.0)</f>
        <v>1</v>
      </c>
      <c r="C3196" s="2">
        <f>IFERROR(__xludf.DUMMYFUNCTION("""COMPUTED_VALUE"""),498.0)</f>
        <v>498</v>
      </c>
      <c r="D3196" s="3">
        <f>IFERROR(__xludf.DUMMYFUNCTION("""COMPUTED_VALUE"""),15.0)</f>
        <v>15</v>
      </c>
      <c r="E3196" s="2"/>
      <c r="F3196" s="2"/>
    </row>
    <row r="3197">
      <c r="A3197" s="2">
        <f>IFERROR(__xludf.DUMMYFUNCTION("""COMPUTED_VALUE"""),26054.0)</f>
        <v>26054</v>
      </c>
      <c r="B3197" s="2">
        <f>IFERROR(__xludf.DUMMYFUNCTION("""COMPUTED_VALUE"""),0.0)</f>
        <v>0</v>
      </c>
      <c r="C3197" s="2">
        <f>IFERROR(__xludf.DUMMYFUNCTION("""COMPUTED_VALUE"""),776.0)</f>
        <v>776</v>
      </c>
      <c r="D3197" s="3">
        <f>IFERROR(__xludf.DUMMYFUNCTION("""COMPUTED_VALUE"""),10.0)</f>
        <v>10</v>
      </c>
      <c r="E3197" s="2"/>
      <c r="F3197" s="2"/>
    </row>
    <row r="3198">
      <c r="A3198" s="2">
        <f>IFERROR(__xludf.DUMMYFUNCTION("""COMPUTED_VALUE"""),60366.0)</f>
        <v>60366</v>
      </c>
      <c r="B3198" s="2">
        <f>IFERROR(__xludf.DUMMYFUNCTION("""COMPUTED_VALUE"""),0.0)</f>
        <v>0</v>
      </c>
      <c r="C3198" s="2">
        <f>IFERROR(__xludf.DUMMYFUNCTION("""COMPUTED_VALUE"""),358.0)</f>
        <v>358</v>
      </c>
      <c r="D3198" s="3">
        <f>IFERROR(__xludf.DUMMYFUNCTION("""COMPUTED_VALUE"""),276.0)</f>
        <v>276</v>
      </c>
      <c r="E3198" s="2"/>
      <c r="F3198" s="2"/>
    </row>
    <row r="3199">
      <c r="A3199" s="2">
        <f>IFERROR(__xludf.DUMMYFUNCTION("""COMPUTED_VALUE"""),116805.0)</f>
        <v>116805</v>
      </c>
      <c r="B3199" s="2">
        <f>IFERROR(__xludf.DUMMYFUNCTION("""COMPUTED_VALUE"""),1.0)</f>
        <v>1</v>
      </c>
      <c r="C3199" s="2">
        <f>IFERROR(__xludf.DUMMYFUNCTION("""COMPUTED_VALUE"""),752.0)</f>
        <v>752</v>
      </c>
      <c r="D3199" s="3">
        <f>IFERROR(__xludf.DUMMYFUNCTION("""COMPUTED_VALUE"""),141.0)</f>
        <v>141</v>
      </c>
      <c r="E3199" s="2"/>
      <c r="F3199" s="2"/>
    </row>
    <row r="3200">
      <c r="A3200" s="2">
        <f>IFERROR(__xludf.DUMMYFUNCTION("""COMPUTED_VALUE"""),8804.0)</f>
        <v>8804</v>
      </c>
      <c r="B3200" s="2">
        <f>IFERROR(__xludf.DUMMYFUNCTION("""COMPUTED_VALUE"""),1.0)</f>
        <v>1</v>
      </c>
      <c r="C3200" s="2">
        <f>IFERROR(__xludf.DUMMYFUNCTION("""COMPUTED_VALUE"""),438.0)</f>
        <v>438</v>
      </c>
      <c r="D3200" s="3">
        <f>IFERROR(__xludf.DUMMYFUNCTION("""COMPUTED_VALUE"""),435.0)</f>
        <v>435</v>
      </c>
      <c r="E3200" s="2"/>
      <c r="F3200" s="2"/>
    </row>
    <row r="3201">
      <c r="A3201" s="2">
        <f>IFERROR(__xludf.DUMMYFUNCTION("""COMPUTED_VALUE"""),48470.0)</f>
        <v>48470</v>
      </c>
      <c r="B3201" s="2">
        <f>IFERROR(__xludf.DUMMYFUNCTION("""COMPUTED_VALUE"""),1.0)</f>
        <v>1</v>
      </c>
      <c r="C3201" s="2">
        <f>IFERROR(__xludf.DUMMYFUNCTION("""COMPUTED_VALUE"""),206.0)</f>
        <v>206</v>
      </c>
      <c r="D3201" s="3">
        <f>IFERROR(__xludf.DUMMYFUNCTION("""COMPUTED_VALUE"""),193.0)</f>
        <v>193</v>
      </c>
      <c r="E3201" s="2"/>
      <c r="F3201" s="2"/>
    </row>
    <row r="3202">
      <c r="A3202" s="2">
        <f>IFERROR(__xludf.DUMMYFUNCTION("""COMPUTED_VALUE"""),86485.0)</f>
        <v>86485</v>
      </c>
      <c r="B3202" s="2">
        <f>IFERROR(__xludf.DUMMYFUNCTION("""COMPUTED_VALUE"""),1.0)</f>
        <v>1</v>
      </c>
      <c r="C3202" s="2">
        <f>IFERROR(__xludf.DUMMYFUNCTION("""COMPUTED_VALUE"""),141.0)</f>
        <v>141</v>
      </c>
      <c r="D3202" s="3">
        <f>IFERROR(__xludf.DUMMYFUNCTION("""COMPUTED_VALUE"""),41.0)</f>
        <v>41</v>
      </c>
      <c r="E3202" s="2"/>
      <c r="F3202" s="2"/>
    </row>
    <row r="3203">
      <c r="A3203" s="2">
        <f>IFERROR(__xludf.DUMMYFUNCTION("""COMPUTED_VALUE"""),73872.0)</f>
        <v>73872</v>
      </c>
      <c r="B3203" s="2">
        <f>IFERROR(__xludf.DUMMYFUNCTION("""COMPUTED_VALUE"""),1.0)</f>
        <v>1</v>
      </c>
      <c r="C3203" s="2">
        <f>IFERROR(__xludf.DUMMYFUNCTION("""COMPUTED_VALUE"""),46.0)</f>
        <v>46</v>
      </c>
      <c r="D3203" s="3">
        <f>IFERROR(__xludf.DUMMYFUNCTION("""COMPUTED_VALUE"""),28.0)</f>
        <v>28</v>
      </c>
      <c r="E3203" s="2"/>
      <c r="F3203" s="2"/>
    </row>
    <row r="3204">
      <c r="A3204" s="2">
        <f>IFERROR(__xludf.DUMMYFUNCTION("""COMPUTED_VALUE"""),72852.0)</f>
        <v>72852</v>
      </c>
      <c r="B3204" s="2">
        <f>IFERROR(__xludf.DUMMYFUNCTION("""COMPUTED_VALUE"""),0.0)</f>
        <v>0</v>
      </c>
      <c r="C3204" s="2">
        <f>IFERROR(__xludf.DUMMYFUNCTION("""COMPUTED_VALUE"""),876.0)</f>
        <v>876</v>
      </c>
      <c r="D3204" s="3">
        <f>IFERROR(__xludf.DUMMYFUNCTION("""COMPUTED_VALUE"""),657.0)</f>
        <v>657</v>
      </c>
      <c r="E3204" s="2"/>
      <c r="F3204" s="2"/>
    </row>
    <row r="3205">
      <c r="A3205" s="2">
        <f>IFERROR(__xludf.DUMMYFUNCTION("""COMPUTED_VALUE"""),85856.0)</f>
        <v>85856</v>
      </c>
      <c r="B3205" s="2">
        <f>IFERROR(__xludf.DUMMYFUNCTION("""COMPUTED_VALUE"""),1.0)</f>
        <v>1</v>
      </c>
      <c r="C3205" s="2">
        <f>IFERROR(__xludf.DUMMYFUNCTION("""COMPUTED_VALUE"""),838.0)</f>
        <v>838</v>
      </c>
      <c r="D3205" s="3">
        <f>IFERROR(__xludf.DUMMYFUNCTION("""COMPUTED_VALUE"""),389.0)</f>
        <v>389</v>
      </c>
      <c r="E3205" s="2"/>
      <c r="F3205" s="2"/>
    </row>
    <row r="3206">
      <c r="A3206" s="2">
        <f>IFERROR(__xludf.DUMMYFUNCTION("""COMPUTED_VALUE"""),14018.0)</f>
        <v>14018</v>
      </c>
      <c r="B3206" s="2">
        <f>IFERROR(__xludf.DUMMYFUNCTION("""COMPUTED_VALUE"""),0.0)</f>
        <v>0</v>
      </c>
      <c r="C3206" s="2">
        <f>IFERROR(__xludf.DUMMYFUNCTION("""COMPUTED_VALUE"""),213.0)</f>
        <v>213</v>
      </c>
      <c r="D3206" s="3">
        <f>IFERROR(__xludf.DUMMYFUNCTION("""COMPUTED_VALUE"""),110.0)</f>
        <v>110</v>
      </c>
      <c r="E3206" s="2"/>
      <c r="F3206" s="2"/>
    </row>
    <row r="3207">
      <c r="A3207" s="2">
        <f>IFERROR(__xludf.DUMMYFUNCTION("""COMPUTED_VALUE"""),100262.0)</f>
        <v>100262</v>
      </c>
      <c r="B3207" s="2">
        <f>IFERROR(__xludf.DUMMYFUNCTION("""COMPUTED_VALUE"""),1.0)</f>
        <v>1</v>
      </c>
      <c r="C3207" s="2">
        <f>IFERROR(__xludf.DUMMYFUNCTION("""COMPUTED_VALUE"""),225.0)</f>
        <v>225</v>
      </c>
      <c r="D3207" s="3">
        <f>IFERROR(__xludf.DUMMYFUNCTION("""COMPUTED_VALUE"""),76.0)</f>
        <v>76</v>
      </c>
      <c r="E3207" s="2"/>
      <c r="F3207" s="2"/>
    </row>
    <row r="3208">
      <c r="A3208" s="2">
        <f>IFERROR(__xludf.DUMMYFUNCTION("""COMPUTED_VALUE"""),114657.0)</f>
        <v>114657</v>
      </c>
      <c r="B3208" s="2">
        <f>IFERROR(__xludf.DUMMYFUNCTION("""COMPUTED_VALUE"""),1.0)</f>
        <v>1</v>
      </c>
      <c r="C3208" s="2">
        <f>IFERROR(__xludf.DUMMYFUNCTION("""COMPUTED_VALUE"""),564.0)</f>
        <v>564</v>
      </c>
      <c r="D3208" s="3">
        <f>IFERROR(__xludf.DUMMYFUNCTION("""COMPUTED_VALUE"""),389.0)</f>
        <v>389</v>
      </c>
      <c r="E3208" s="2"/>
      <c r="F3208" s="2"/>
    </row>
    <row r="3209">
      <c r="A3209" s="2">
        <f>IFERROR(__xludf.DUMMYFUNCTION("""COMPUTED_VALUE"""),150281.0)</f>
        <v>150281</v>
      </c>
      <c r="B3209" s="2">
        <f>IFERROR(__xludf.DUMMYFUNCTION("""COMPUTED_VALUE"""),1.0)</f>
        <v>1</v>
      </c>
      <c r="C3209" s="2">
        <f>IFERROR(__xludf.DUMMYFUNCTION("""COMPUTED_VALUE"""),335.0)</f>
        <v>335</v>
      </c>
      <c r="D3209" s="3">
        <f>IFERROR(__xludf.DUMMYFUNCTION("""COMPUTED_VALUE"""),304.0)</f>
        <v>304</v>
      </c>
      <c r="E3209" s="2"/>
      <c r="F3209" s="2"/>
    </row>
    <row r="3210">
      <c r="A3210" s="2">
        <f>IFERROR(__xludf.DUMMYFUNCTION("""COMPUTED_VALUE"""),81491.0)</f>
        <v>81491</v>
      </c>
      <c r="B3210" s="2">
        <f>IFERROR(__xludf.DUMMYFUNCTION("""COMPUTED_VALUE"""),0.0)</f>
        <v>0</v>
      </c>
      <c r="C3210" s="2">
        <f>IFERROR(__xludf.DUMMYFUNCTION("""COMPUTED_VALUE"""),225.0)</f>
        <v>225</v>
      </c>
      <c r="D3210" s="3">
        <f>IFERROR(__xludf.DUMMYFUNCTION("""COMPUTED_VALUE"""),126.0)</f>
        <v>126</v>
      </c>
      <c r="E3210" s="2"/>
      <c r="F3210" s="2"/>
    </row>
    <row r="3211">
      <c r="A3211" s="2">
        <f>IFERROR(__xludf.DUMMYFUNCTION("""COMPUTED_VALUE"""),88519.0)</f>
        <v>88519</v>
      </c>
      <c r="B3211" s="2">
        <f>IFERROR(__xludf.DUMMYFUNCTION("""COMPUTED_VALUE"""),0.0)</f>
        <v>0</v>
      </c>
      <c r="C3211" s="2">
        <f>IFERROR(__xludf.DUMMYFUNCTION("""COMPUTED_VALUE"""),831.0)</f>
        <v>831</v>
      </c>
      <c r="D3211" s="3">
        <f>IFERROR(__xludf.DUMMYFUNCTION("""COMPUTED_VALUE"""),437.0)</f>
        <v>437</v>
      </c>
      <c r="E3211" s="2"/>
      <c r="F3211" s="2"/>
    </row>
    <row r="3212">
      <c r="A3212" s="2">
        <f>IFERROR(__xludf.DUMMYFUNCTION("""COMPUTED_VALUE"""),116800.0)</f>
        <v>116800</v>
      </c>
      <c r="B3212" s="2">
        <f>IFERROR(__xludf.DUMMYFUNCTION("""COMPUTED_VALUE"""),0.0)</f>
        <v>0</v>
      </c>
      <c r="C3212" s="2">
        <f>IFERROR(__xludf.DUMMYFUNCTION("""COMPUTED_VALUE"""),692.0)</f>
        <v>692</v>
      </c>
      <c r="D3212" s="3">
        <f>IFERROR(__xludf.DUMMYFUNCTION("""COMPUTED_VALUE"""),26.0)</f>
        <v>26</v>
      </c>
      <c r="E3212" s="2"/>
      <c r="F3212" s="2"/>
    </row>
    <row r="3213">
      <c r="A3213" s="2">
        <f>IFERROR(__xludf.DUMMYFUNCTION("""COMPUTED_VALUE"""),117675.0)</f>
        <v>117675</v>
      </c>
      <c r="B3213" s="2">
        <f>IFERROR(__xludf.DUMMYFUNCTION("""COMPUTED_VALUE"""),1.0)</f>
        <v>1</v>
      </c>
      <c r="C3213" s="2">
        <f>IFERROR(__xludf.DUMMYFUNCTION("""COMPUTED_VALUE"""),305.0)</f>
        <v>305</v>
      </c>
      <c r="D3213" s="3">
        <f>IFERROR(__xludf.DUMMYFUNCTION("""COMPUTED_VALUE"""),264.0)</f>
        <v>264</v>
      </c>
      <c r="E3213" s="2"/>
      <c r="F3213" s="2"/>
    </row>
    <row r="3214">
      <c r="A3214" s="2">
        <f>IFERROR(__xludf.DUMMYFUNCTION("""COMPUTED_VALUE"""),47051.0)</f>
        <v>47051</v>
      </c>
      <c r="B3214" s="2">
        <f>IFERROR(__xludf.DUMMYFUNCTION("""COMPUTED_VALUE"""),1.0)</f>
        <v>1</v>
      </c>
      <c r="C3214" s="2">
        <f>IFERROR(__xludf.DUMMYFUNCTION("""COMPUTED_VALUE"""),94.0)</f>
        <v>94</v>
      </c>
      <c r="D3214" s="3">
        <f>IFERROR(__xludf.DUMMYFUNCTION("""COMPUTED_VALUE"""),45.0)</f>
        <v>45</v>
      </c>
      <c r="E3214" s="2"/>
      <c r="F3214" s="2"/>
    </row>
    <row r="3215">
      <c r="A3215" s="2">
        <f>IFERROR(__xludf.DUMMYFUNCTION("""COMPUTED_VALUE"""),103171.0)</f>
        <v>103171</v>
      </c>
      <c r="B3215" s="2">
        <f>IFERROR(__xludf.DUMMYFUNCTION("""COMPUTED_VALUE"""),0.0)</f>
        <v>0</v>
      </c>
      <c r="C3215" s="2">
        <f>IFERROR(__xludf.DUMMYFUNCTION("""COMPUTED_VALUE"""),76.0)</f>
        <v>76</v>
      </c>
      <c r="D3215" s="3">
        <f>IFERROR(__xludf.DUMMYFUNCTION("""COMPUTED_VALUE"""),74.0)</f>
        <v>74</v>
      </c>
      <c r="E3215" s="2"/>
      <c r="F3215" s="2"/>
    </row>
    <row r="3216">
      <c r="A3216" s="2">
        <f>IFERROR(__xludf.DUMMYFUNCTION("""COMPUTED_VALUE"""),47049.0)</f>
        <v>47049</v>
      </c>
      <c r="B3216" s="2">
        <f>IFERROR(__xludf.DUMMYFUNCTION("""COMPUTED_VALUE"""),1.0)</f>
        <v>1</v>
      </c>
      <c r="C3216" s="2">
        <f>IFERROR(__xludf.DUMMYFUNCTION("""COMPUTED_VALUE"""),360.0)</f>
        <v>360</v>
      </c>
      <c r="D3216" s="3">
        <f>IFERROR(__xludf.DUMMYFUNCTION("""COMPUTED_VALUE"""),54.0)</f>
        <v>54</v>
      </c>
      <c r="E3216" s="2"/>
      <c r="F3216" s="2"/>
    </row>
    <row r="3217">
      <c r="A3217" s="2">
        <f>IFERROR(__xludf.DUMMYFUNCTION("""COMPUTED_VALUE"""),47351.0)</f>
        <v>47351</v>
      </c>
      <c r="B3217" s="2">
        <f>IFERROR(__xludf.DUMMYFUNCTION("""COMPUTED_VALUE"""),0.0)</f>
        <v>0</v>
      </c>
      <c r="C3217" s="2">
        <f>IFERROR(__xludf.DUMMYFUNCTION("""COMPUTED_VALUE"""),929.0)</f>
        <v>929</v>
      </c>
      <c r="D3217" s="3">
        <f>IFERROR(__xludf.DUMMYFUNCTION("""COMPUTED_VALUE"""),519.0)</f>
        <v>519</v>
      </c>
      <c r="E3217" s="2"/>
      <c r="F3217" s="2"/>
    </row>
    <row r="3218">
      <c r="A3218" s="2">
        <f>IFERROR(__xludf.DUMMYFUNCTION("""COMPUTED_VALUE"""),47575.0)</f>
        <v>47575</v>
      </c>
      <c r="B3218" s="2">
        <f>IFERROR(__xludf.DUMMYFUNCTION("""COMPUTED_VALUE"""),0.0)</f>
        <v>0</v>
      </c>
      <c r="C3218" s="2">
        <f>IFERROR(__xludf.DUMMYFUNCTION("""COMPUTED_VALUE"""),377.0)</f>
        <v>377</v>
      </c>
      <c r="D3218" s="3">
        <f>IFERROR(__xludf.DUMMYFUNCTION("""COMPUTED_VALUE"""),105.0)</f>
        <v>105</v>
      </c>
      <c r="E3218" s="2"/>
      <c r="F3218" s="2"/>
    </row>
    <row r="3219">
      <c r="A3219" s="2">
        <f>IFERROR(__xludf.DUMMYFUNCTION("""COMPUTED_VALUE"""),80088.0)</f>
        <v>80088</v>
      </c>
      <c r="B3219" s="2">
        <f>IFERROR(__xludf.DUMMYFUNCTION("""COMPUTED_VALUE"""),1.0)</f>
        <v>1</v>
      </c>
      <c r="C3219" s="2">
        <f>IFERROR(__xludf.DUMMYFUNCTION("""COMPUTED_VALUE"""),332.0)</f>
        <v>332</v>
      </c>
      <c r="D3219" s="3">
        <f>IFERROR(__xludf.DUMMYFUNCTION("""COMPUTED_VALUE"""),24.0)</f>
        <v>24</v>
      </c>
      <c r="E3219" s="2"/>
      <c r="F3219" s="2"/>
    </row>
    <row r="3220">
      <c r="A3220" s="2">
        <f>IFERROR(__xludf.DUMMYFUNCTION("""COMPUTED_VALUE"""),47298.0)</f>
        <v>47298</v>
      </c>
      <c r="B3220" s="2">
        <f>IFERROR(__xludf.DUMMYFUNCTION("""COMPUTED_VALUE"""),0.0)</f>
        <v>0</v>
      </c>
      <c r="C3220" s="2">
        <f>IFERROR(__xludf.DUMMYFUNCTION("""COMPUTED_VALUE"""),386.0)</f>
        <v>386</v>
      </c>
      <c r="D3220" s="3">
        <f>IFERROR(__xludf.DUMMYFUNCTION("""COMPUTED_VALUE"""),364.0)</f>
        <v>364</v>
      </c>
      <c r="E3220" s="2"/>
      <c r="F3220" s="2"/>
    </row>
    <row r="3221">
      <c r="A3221" s="2">
        <f>IFERROR(__xludf.DUMMYFUNCTION("""COMPUTED_VALUE"""),100271.0)</f>
        <v>100271</v>
      </c>
      <c r="B3221" s="2">
        <f>IFERROR(__xludf.DUMMYFUNCTION("""COMPUTED_VALUE"""),0.0)</f>
        <v>0</v>
      </c>
      <c r="C3221" s="2">
        <f>IFERROR(__xludf.DUMMYFUNCTION("""COMPUTED_VALUE"""),556.0)</f>
        <v>556</v>
      </c>
      <c r="D3221" s="3">
        <f>IFERROR(__xludf.DUMMYFUNCTION("""COMPUTED_VALUE"""),177.0)</f>
        <v>177</v>
      </c>
      <c r="E3221" s="2"/>
      <c r="F3221" s="2"/>
    </row>
    <row r="3222">
      <c r="A3222" s="2">
        <f>IFERROR(__xludf.DUMMYFUNCTION("""COMPUTED_VALUE"""),47621.0)</f>
        <v>47621</v>
      </c>
      <c r="B3222" s="2">
        <f>IFERROR(__xludf.DUMMYFUNCTION("""COMPUTED_VALUE"""),0.0)</f>
        <v>0</v>
      </c>
      <c r="C3222" s="2">
        <f>IFERROR(__xludf.DUMMYFUNCTION("""COMPUTED_VALUE"""),797.0)</f>
        <v>797</v>
      </c>
      <c r="D3222" s="3">
        <f>IFERROR(__xludf.DUMMYFUNCTION("""COMPUTED_VALUE"""),781.0)</f>
        <v>781</v>
      </c>
      <c r="E3222" s="2"/>
      <c r="F3222" s="2"/>
    </row>
    <row r="3223">
      <c r="A3223" s="2">
        <f>IFERROR(__xludf.DUMMYFUNCTION("""COMPUTED_VALUE"""),117609.0)</f>
        <v>117609</v>
      </c>
      <c r="B3223" s="2">
        <f>IFERROR(__xludf.DUMMYFUNCTION("""COMPUTED_VALUE"""),0.0)</f>
        <v>0</v>
      </c>
      <c r="C3223" s="2">
        <f>IFERROR(__xludf.DUMMYFUNCTION("""COMPUTED_VALUE"""),797.0)</f>
        <v>797</v>
      </c>
      <c r="D3223" s="3">
        <f>IFERROR(__xludf.DUMMYFUNCTION("""COMPUTED_VALUE"""),260.0)</f>
        <v>260</v>
      </c>
      <c r="E3223" s="2"/>
      <c r="F3223" s="2"/>
    </row>
    <row r="3224">
      <c r="A3224" s="2">
        <f>IFERROR(__xludf.DUMMYFUNCTION("""COMPUTED_VALUE"""),103873.0)</f>
        <v>103873</v>
      </c>
      <c r="B3224" s="2">
        <f>IFERROR(__xludf.DUMMYFUNCTION("""COMPUTED_VALUE"""),1.0)</f>
        <v>1</v>
      </c>
      <c r="C3224" s="2">
        <f>IFERROR(__xludf.DUMMYFUNCTION("""COMPUTED_VALUE"""),498.0)</f>
        <v>498</v>
      </c>
      <c r="D3224" s="3">
        <f>IFERROR(__xludf.DUMMYFUNCTION("""COMPUTED_VALUE"""),153.0)</f>
        <v>153</v>
      </c>
      <c r="E3224" s="2"/>
      <c r="F3224" s="2"/>
    </row>
    <row r="3225">
      <c r="A3225" s="2">
        <f>IFERROR(__xludf.DUMMYFUNCTION("""COMPUTED_VALUE"""),14026.0)</f>
        <v>14026</v>
      </c>
      <c r="B3225" s="2">
        <f>IFERROR(__xludf.DUMMYFUNCTION("""COMPUTED_VALUE"""),1.0)</f>
        <v>1</v>
      </c>
      <c r="C3225" s="2">
        <f>IFERROR(__xludf.DUMMYFUNCTION("""COMPUTED_VALUE"""),217.0)</f>
        <v>217</v>
      </c>
      <c r="D3225" s="3">
        <f>IFERROR(__xludf.DUMMYFUNCTION("""COMPUTED_VALUE"""),59.0)</f>
        <v>59</v>
      </c>
      <c r="E3225" s="2"/>
      <c r="F3225" s="2"/>
    </row>
    <row r="3226">
      <c r="A3226" s="2">
        <f>IFERROR(__xludf.DUMMYFUNCTION("""COMPUTED_VALUE"""),95951.0)</f>
        <v>95951</v>
      </c>
      <c r="B3226" s="2">
        <f>IFERROR(__xludf.DUMMYFUNCTION("""COMPUTED_VALUE"""),0.0)</f>
        <v>0</v>
      </c>
      <c r="C3226" s="2">
        <f>IFERROR(__xludf.DUMMYFUNCTION("""COMPUTED_VALUE"""),66.0)</f>
        <v>66</v>
      </c>
      <c r="D3226" s="3">
        <f>IFERROR(__xludf.DUMMYFUNCTION("""COMPUTED_VALUE"""),59.0)</f>
        <v>59</v>
      </c>
      <c r="E3226" s="2"/>
      <c r="F3226" s="2"/>
    </row>
    <row r="3227">
      <c r="A3227" s="2">
        <f>IFERROR(__xludf.DUMMYFUNCTION("""COMPUTED_VALUE"""),9162.0)</f>
        <v>9162</v>
      </c>
      <c r="B3227" s="2">
        <f>IFERROR(__xludf.DUMMYFUNCTION("""COMPUTED_VALUE"""),0.0)</f>
        <v>0</v>
      </c>
      <c r="C3227" s="2">
        <f>IFERROR(__xludf.DUMMYFUNCTION("""COMPUTED_VALUE"""),499.0)</f>
        <v>499</v>
      </c>
      <c r="D3227" s="3">
        <f>IFERROR(__xludf.DUMMYFUNCTION("""COMPUTED_VALUE"""),236.0)</f>
        <v>236</v>
      </c>
      <c r="E3227" s="2"/>
      <c r="F3227" s="2"/>
    </row>
    <row r="3228">
      <c r="A3228" s="2">
        <f>IFERROR(__xludf.DUMMYFUNCTION("""COMPUTED_VALUE"""),80089.0)</f>
        <v>80089</v>
      </c>
      <c r="B3228" s="2">
        <f>IFERROR(__xludf.DUMMYFUNCTION("""COMPUTED_VALUE"""),0.0)</f>
        <v>0</v>
      </c>
      <c r="C3228" s="2">
        <f>IFERROR(__xludf.DUMMYFUNCTION("""COMPUTED_VALUE"""),876.0)</f>
        <v>876</v>
      </c>
      <c r="D3228" s="3">
        <f>IFERROR(__xludf.DUMMYFUNCTION("""COMPUTED_VALUE"""),607.0)</f>
        <v>607</v>
      </c>
      <c r="E3228" s="2"/>
      <c r="F3228" s="2"/>
    </row>
    <row r="3229">
      <c r="A3229" s="2">
        <f>IFERROR(__xludf.DUMMYFUNCTION("""COMPUTED_VALUE"""),122521.0)</f>
        <v>122521</v>
      </c>
      <c r="B3229" s="2">
        <f>IFERROR(__xludf.DUMMYFUNCTION("""COMPUTED_VALUE"""),1.0)</f>
        <v>1</v>
      </c>
      <c r="C3229" s="2">
        <f>IFERROR(__xludf.DUMMYFUNCTION("""COMPUTED_VALUE"""),905.0)</f>
        <v>905</v>
      </c>
      <c r="D3229" s="3">
        <f>IFERROR(__xludf.DUMMYFUNCTION("""COMPUTED_VALUE"""),782.0)</f>
        <v>782</v>
      </c>
      <c r="E3229" s="2"/>
      <c r="F3229" s="2"/>
    </row>
    <row r="3230">
      <c r="A3230" s="2">
        <f>IFERROR(__xludf.DUMMYFUNCTION("""COMPUTED_VALUE"""),69300.0)</f>
        <v>69300</v>
      </c>
      <c r="B3230" s="2">
        <f>IFERROR(__xludf.DUMMYFUNCTION("""COMPUTED_VALUE"""),1.0)</f>
        <v>1</v>
      </c>
      <c r="C3230" s="2">
        <f>IFERROR(__xludf.DUMMYFUNCTION("""COMPUTED_VALUE"""),335.0)</f>
        <v>335</v>
      </c>
      <c r="D3230" s="3">
        <f>IFERROR(__xludf.DUMMYFUNCTION("""COMPUTED_VALUE"""),193.0)</f>
        <v>193</v>
      </c>
      <c r="E3230" s="2"/>
      <c r="F3230" s="2"/>
    </row>
    <row r="3231">
      <c r="A3231" s="2">
        <f>IFERROR(__xludf.DUMMYFUNCTION("""COMPUTED_VALUE"""),80417.0)</f>
        <v>80417</v>
      </c>
      <c r="B3231" s="2">
        <f>IFERROR(__xludf.DUMMYFUNCTION("""COMPUTED_VALUE"""),0.0)</f>
        <v>0</v>
      </c>
      <c r="C3231" s="2">
        <f>IFERROR(__xludf.DUMMYFUNCTION("""COMPUTED_VALUE"""),389.0)</f>
        <v>389</v>
      </c>
      <c r="D3231" s="3">
        <f>IFERROR(__xludf.DUMMYFUNCTION("""COMPUTED_VALUE"""),140.0)</f>
        <v>140</v>
      </c>
      <c r="E3231" s="2"/>
      <c r="F3231" s="2"/>
    </row>
    <row r="3232">
      <c r="A3232" s="2">
        <f>IFERROR(__xludf.DUMMYFUNCTION("""COMPUTED_VALUE"""),128323.0)</f>
        <v>128323</v>
      </c>
      <c r="B3232" s="2">
        <f>IFERROR(__xludf.DUMMYFUNCTION("""COMPUTED_VALUE"""),0.0)</f>
        <v>0</v>
      </c>
      <c r="C3232" s="2">
        <f>IFERROR(__xludf.DUMMYFUNCTION("""COMPUTED_VALUE"""),849.0)</f>
        <v>849</v>
      </c>
      <c r="D3232" s="3">
        <f>IFERROR(__xludf.DUMMYFUNCTION("""COMPUTED_VALUE"""),53.0)</f>
        <v>53</v>
      </c>
      <c r="E3232" s="2"/>
      <c r="F3232" s="2"/>
    </row>
    <row r="3233">
      <c r="A3233" s="2">
        <f>IFERROR(__xludf.DUMMYFUNCTION("""COMPUTED_VALUE"""),80091.0)</f>
        <v>80091</v>
      </c>
      <c r="B3233" s="2">
        <f>IFERROR(__xludf.DUMMYFUNCTION("""COMPUTED_VALUE"""),1.0)</f>
        <v>1</v>
      </c>
      <c r="C3233" s="2">
        <f>IFERROR(__xludf.DUMMYFUNCTION("""COMPUTED_VALUE"""),351.0)</f>
        <v>351</v>
      </c>
      <c r="D3233" s="3">
        <f>IFERROR(__xludf.DUMMYFUNCTION("""COMPUTED_VALUE"""),172.0)</f>
        <v>172</v>
      </c>
      <c r="E3233" s="2"/>
      <c r="F3233" s="2"/>
    </row>
    <row r="3234">
      <c r="A3234" s="2">
        <f>IFERROR(__xludf.DUMMYFUNCTION("""COMPUTED_VALUE"""),92927.0)</f>
        <v>92927</v>
      </c>
      <c r="B3234" s="2">
        <f>IFERROR(__xludf.DUMMYFUNCTION("""COMPUTED_VALUE"""),0.0)</f>
        <v>0</v>
      </c>
      <c r="C3234" s="2">
        <f>IFERROR(__xludf.DUMMYFUNCTION("""COMPUTED_VALUE"""),176.0)</f>
        <v>176</v>
      </c>
      <c r="D3234" s="3">
        <f>IFERROR(__xludf.DUMMYFUNCTION("""COMPUTED_VALUE"""),103.0)</f>
        <v>103</v>
      </c>
      <c r="E3234" s="2"/>
      <c r="F3234" s="2"/>
    </row>
    <row r="3235">
      <c r="A3235" s="2">
        <f>IFERROR(__xludf.DUMMYFUNCTION("""COMPUTED_VALUE"""),9158.0)</f>
        <v>9158</v>
      </c>
      <c r="B3235" s="2">
        <f>IFERROR(__xludf.DUMMYFUNCTION("""COMPUTED_VALUE"""),1.0)</f>
        <v>1</v>
      </c>
      <c r="C3235" s="2">
        <f>IFERROR(__xludf.DUMMYFUNCTION("""COMPUTED_VALUE"""),555.0)</f>
        <v>555</v>
      </c>
      <c r="D3235" s="3">
        <f>IFERROR(__xludf.DUMMYFUNCTION("""COMPUTED_VALUE"""),183.0)</f>
        <v>183</v>
      </c>
      <c r="E3235" s="2"/>
      <c r="F3235" s="2"/>
    </row>
    <row r="3236">
      <c r="A3236" s="2">
        <f>IFERROR(__xludf.DUMMYFUNCTION("""COMPUTED_VALUE"""),103872.0)</f>
        <v>103872</v>
      </c>
      <c r="B3236" s="2">
        <f>IFERROR(__xludf.DUMMYFUNCTION("""COMPUTED_VALUE"""),1.0)</f>
        <v>1</v>
      </c>
      <c r="C3236" s="2">
        <f>IFERROR(__xludf.DUMMYFUNCTION("""COMPUTED_VALUE"""),876.0)</f>
        <v>876</v>
      </c>
      <c r="D3236" s="3">
        <f>IFERROR(__xludf.DUMMYFUNCTION("""COMPUTED_VALUE"""),702.0)</f>
        <v>702</v>
      </c>
      <c r="E3236" s="2"/>
      <c r="F3236" s="2"/>
    </row>
    <row r="3237">
      <c r="A3237" s="2">
        <f>IFERROR(__xludf.DUMMYFUNCTION("""COMPUTED_VALUE"""),116809.0)</f>
        <v>116809</v>
      </c>
      <c r="B3237" s="2">
        <f>IFERROR(__xludf.DUMMYFUNCTION("""COMPUTED_VALUE"""),0.0)</f>
        <v>0</v>
      </c>
      <c r="C3237" s="2">
        <f>IFERROR(__xludf.DUMMYFUNCTION("""COMPUTED_VALUE"""),73.0)</f>
        <v>73</v>
      </c>
      <c r="D3237" s="3">
        <f>IFERROR(__xludf.DUMMYFUNCTION("""COMPUTED_VALUE"""),32.0)</f>
        <v>32</v>
      </c>
      <c r="E3237" s="2"/>
      <c r="F3237" s="2"/>
    </row>
    <row r="3238">
      <c r="A3238" s="2">
        <f>IFERROR(__xludf.DUMMYFUNCTION("""COMPUTED_VALUE"""),114655.0)</f>
        <v>114655</v>
      </c>
      <c r="B3238" s="2">
        <f>IFERROR(__xludf.DUMMYFUNCTION("""COMPUTED_VALUE"""),1.0)</f>
        <v>1</v>
      </c>
      <c r="C3238" s="2">
        <f>IFERROR(__xludf.DUMMYFUNCTION("""COMPUTED_VALUE"""),728.0)</f>
        <v>728</v>
      </c>
      <c r="D3238" s="3">
        <f>IFERROR(__xludf.DUMMYFUNCTION("""COMPUTED_VALUE"""),405.0)</f>
        <v>405</v>
      </c>
      <c r="E3238" s="2"/>
      <c r="F3238" s="2"/>
    </row>
    <row r="3239">
      <c r="A3239" s="2">
        <f>IFERROR(__xludf.DUMMYFUNCTION("""COMPUTED_VALUE"""),80228.0)</f>
        <v>80228</v>
      </c>
      <c r="B3239" s="2">
        <f>IFERROR(__xludf.DUMMYFUNCTION("""COMPUTED_VALUE"""),0.0)</f>
        <v>0</v>
      </c>
      <c r="C3239" s="2">
        <f>IFERROR(__xludf.DUMMYFUNCTION("""COMPUTED_VALUE"""),472.0)</f>
        <v>472</v>
      </c>
      <c r="D3239" s="3">
        <f>IFERROR(__xludf.DUMMYFUNCTION("""COMPUTED_VALUE"""),98.0)</f>
        <v>98</v>
      </c>
      <c r="E3239" s="2"/>
      <c r="F3239" s="2"/>
    </row>
    <row r="3240">
      <c r="A3240" s="2">
        <f>IFERROR(__xludf.DUMMYFUNCTION("""COMPUTED_VALUE"""),47207.0)</f>
        <v>47207</v>
      </c>
      <c r="B3240" s="2">
        <f>IFERROR(__xludf.DUMMYFUNCTION("""COMPUTED_VALUE"""),0.0)</f>
        <v>0</v>
      </c>
      <c r="C3240" s="2">
        <f>IFERROR(__xludf.DUMMYFUNCTION("""COMPUTED_VALUE"""),743.0)</f>
        <v>743</v>
      </c>
      <c r="D3240" s="3">
        <f>IFERROR(__xludf.DUMMYFUNCTION("""COMPUTED_VALUE"""),653.0)</f>
        <v>653</v>
      </c>
      <c r="E3240" s="2"/>
      <c r="F3240" s="2"/>
    </row>
    <row r="3241">
      <c r="A3241" s="2">
        <f>IFERROR(__xludf.DUMMYFUNCTION("""COMPUTED_VALUE"""),116402.0)</f>
        <v>116402</v>
      </c>
      <c r="B3241" s="2">
        <f>IFERROR(__xludf.DUMMYFUNCTION("""COMPUTED_VALUE"""),1.0)</f>
        <v>1</v>
      </c>
      <c r="C3241" s="2">
        <f>IFERROR(__xludf.DUMMYFUNCTION("""COMPUTED_VALUE"""),393.0)</f>
        <v>393</v>
      </c>
      <c r="D3241" s="3">
        <f>IFERROR(__xludf.DUMMYFUNCTION("""COMPUTED_VALUE"""),90.0)</f>
        <v>90</v>
      </c>
      <c r="E3241" s="2"/>
      <c r="F3241" s="2"/>
    </row>
    <row r="3242">
      <c r="A3242" s="2">
        <f>IFERROR(__xludf.DUMMYFUNCTION("""COMPUTED_VALUE"""),116408.0)</f>
        <v>116408</v>
      </c>
      <c r="B3242" s="2">
        <f>IFERROR(__xludf.DUMMYFUNCTION("""COMPUTED_VALUE"""),0.0)</f>
        <v>0</v>
      </c>
      <c r="C3242" s="2">
        <f>IFERROR(__xludf.DUMMYFUNCTION("""COMPUTED_VALUE"""),66.0)</f>
        <v>66</v>
      </c>
      <c r="D3242" s="3">
        <f>IFERROR(__xludf.DUMMYFUNCTION("""COMPUTED_VALUE"""),6.0)</f>
        <v>6</v>
      </c>
      <c r="E3242" s="2"/>
      <c r="F3242" s="2"/>
    </row>
    <row r="3243">
      <c r="A3243" s="2">
        <f>IFERROR(__xludf.DUMMYFUNCTION("""COMPUTED_VALUE"""),83592.0)</f>
        <v>83592</v>
      </c>
      <c r="B3243" s="2">
        <f>IFERROR(__xludf.DUMMYFUNCTION("""COMPUTED_VALUE"""),1.0)</f>
        <v>1</v>
      </c>
      <c r="C3243" s="2">
        <f>IFERROR(__xludf.DUMMYFUNCTION("""COMPUTED_VALUE"""),72.0)</f>
        <v>72</v>
      </c>
      <c r="D3243" s="3">
        <f>IFERROR(__xludf.DUMMYFUNCTION("""COMPUTED_VALUE"""),69.0)</f>
        <v>69</v>
      </c>
      <c r="E3243" s="2"/>
      <c r="F3243" s="2"/>
    </row>
    <row r="3244">
      <c r="A3244" s="2">
        <f>IFERROR(__xludf.DUMMYFUNCTION("""COMPUTED_VALUE"""),122241.0)</f>
        <v>122241</v>
      </c>
      <c r="B3244" s="2">
        <f>IFERROR(__xludf.DUMMYFUNCTION("""COMPUTED_VALUE"""),1.0)</f>
        <v>1</v>
      </c>
      <c r="C3244" s="2">
        <f>IFERROR(__xludf.DUMMYFUNCTION("""COMPUTED_VALUE"""),761.0)</f>
        <v>761</v>
      </c>
      <c r="D3244" s="3">
        <f>IFERROR(__xludf.DUMMYFUNCTION("""COMPUTED_VALUE"""),521.0)</f>
        <v>521</v>
      </c>
      <c r="E3244" s="2"/>
      <c r="F3244" s="2"/>
    </row>
    <row r="3245">
      <c r="A3245" s="2">
        <f>IFERROR(__xludf.DUMMYFUNCTION("""COMPUTED_VALUE"""),112799.0)</f>
        <v>112799</v>
      </c>
      <c r="B3245" s="2">
        <f>IFERROR(__xludf.DUMMYFUNCTION("""COMPUTED_VALUE"""),0.0)</f>
        <v>0</v>
      </c>
      <c r="C3245" s="2">
        <f>IFERROR(__xludf.DUMMYFUNCTION("""COMPUTED_VALUE"""),473.0)</f>
        <v>473</v>
      </c>
      <c r="D3245" s="3">
        <f>IFERROR(__xludf.DUMMYFUNCTION("""COMPUTED_VALUE"""),431.0)</f>
        <v>431</v>
      </c>
      <c r="E3245" s="2"/>
      <c r="F3245" s="2"/>
    </row>
    <row r="3246">
      <c r="A3246" s="2">
        <f>IFERROR(__xludf.DUMMYFUNCTION("""COMPUTED_VALUE"""),122659.0)</f>
        <v>122659</v>
      </c>
      <c r="B3246" s="2">
        <f>IFERROR(__xludf.DUMMYFUNCTION("""COMPUTED_VALUE"""),1.0)</f>
        <v>1</v>
      </c>
      <c r="C3246" s="2">
        <f>IFERROR(__xludf.DUMMYFUNCTION("""COMPUTED_VALUE"""),230.0)</f>
        <v>230</v>
      </c>
      <c r="D3246" s="3">
        <f>IFERROR(__xludf.DUMMYFUNCTION("""COMPUTED_VALUE"""),102.0)</f>
        <v>102</v>
      </c>
      <c r="E3246" s="2"/>
      <c r="F3246" s="2"/>
    </row>
    <row r="3247">
      <c r="A3247" s="2">
        <f>IFERROR(__xludf.DUMMYFUNCTION("""COMPUTED_VALUE"""),112797.0)</f>
        <v>112797</v>
      </c>
      <c r="B3247" s="2">
        <f>IFERROR(__xludf.DUMMYFUNCTION("""COMPUTED_VALUE"""),1.0)</f>
        <v>1</v>
      </c>
      <c r="C3247" s="2">
        <f>IFERROR(__xludf.DUMMYFUNCTION("""COMPUTED_VALUE"""),836.0)</f>
        <v>836</v>
      </c>
      <c r="D3247" s="3">
        <f>IFERROR(__xludf.DUMMYFUNCTION("""COMPUTED_VALUE"""),561.0)</f>
        <v>561</v>
      </c>
      <c r="E3247" s="2"/>
      <c r="F3247" s="2"/>
    </row>
    <row r="3248">
      <c r="A3248" s="2">
        <f>IFERROR(__xludf.DUMMYFUNCTION("""COMPUTED_VALUE"""),122663.0)</f>
        <v>122663</v>
      </c>
      <c r="B3248" s="2">
        <f>IFERROR(__xludf.DUMMYFUNCTION("""COMPUTED_VALUE"""),0.0)</f>
        <v>0</v>
      </c>
      <c r="C3248" s="2">
        <f>IFERROR(__xludf.DUMMYFUNCTION("""COMPUTED_VALUE"""),561.0)</f>
        <v>561</v>
      </c>
      <c r="D3248" s="3">
        <f>IFERROR(__xludf.DUMMYFUNCTION("""COMPUTED_VALUE"""),374.0)</f>
        <v>374</v>
      </c>
      <c r="E3248" s="2"/>
      <c r="F3248" s="2"/>
    </row>
    <row r="3249">
      <c r="A3249" s="2">
        <f>IFERROR(__xludf.DUMMYFUNCTION("""COMPUTED_VALUE"""),112809.0)</f>
        <v>112809</v>
      </c>
      <c r="B3249" s="2">
        <f>IFERROR(__xludf.DUMMYFUNCTION("""COMPUTED_VALUE"""),1.0)</f>
        <v>1</v>
      </c>
      <c r="C3249" s="2">
        <f>IFERROR(__xludf.DUMMYFUNCTION("""COMPUTED_VALUE"""),35.0)</f>
        <v>35</v>
      </c>
      <c r="D3249" s="3">
        <f>IFERROR(__xludf.DUMMYFUNCTION("""COMPUTED_VALUE"""),22.0)</f>
        <v>22</v>
      </c>
      <c r="E3249" s="2"/>
      <c r="F3249" s="2"/>
    </row>
    <row r="3250">
      <c r="A3250" s="2">
        <f>IFERROR(__xludf.DUMMYFUNCTION("""COMPUTED_VALUE"""),80220.0)</f>
        <v>80220</v>
      </c>
      <c r="B3250" s="2">
        <f>IFERROR(__xludf.DUMMYFUNCTION("""COMPUTED_VALUE"""),0.0)</f>
        <v>0</v>
      </c>
      <c r="C3250" s="2">
        <f>IFERROR(__xludf.DUMMYFUNCTION("""COMPUTED_VALUE"""),852.0)</f>
        <v>852</v>
      </c>
      <c r="D3250" s="3">
        <f>IFERROR(__xludf.DUMMYFUNCTION("""COMPUTED_VALUE"""),670.0)</f>
        <v>670</v>
      </c>
      <c r="E3250" s="2"/>
      <c r="F3250" s="2"/>
    </row>
    <row r="3251">
      <c r="A3251" s="2">
        <f>IFERROR(__xludf.DUMMYFUNCTION("""COMPUTED_VALUE"""),112732.0)</f>
        <v>112732</v>
      </c>
      <c r="B3251" s="2">
        <f>IFERROR(__xludf.DUMMYFUNCTION("""COMPUTED_VALUE"""),0.0)</f>
        <v>0</v>
      </c>
      <c r="C3251" s="2">
        <f>IFERROR(__xludf.DUMMYFUNCTION("""COMPUTED_VALUE"""),672.0)</f>
        <v>672</v>
      </c>
      <c r="D3251" s="3">
        <f>IFERROR(__xludf.DUMMYFUNCTION("""COMPUTED_VALUE"""),534.0)</f>
        <v>534</v>
      </c>
      <c r="E3251" s="2"/>
      <c r="F3251" s="2"/>
    </row>
    <row r="3252">
      <c r="A3252" s="2">
        <f>IFERROR(__xludf.DUMMYFUNCTION("""COMPUTED_VALUE"""),83354.0)</f>
        <v>83354</v>
      </c>
      <c r="B3252" s="2">
        <f>IFERROR(__xludf.DUMMYFUNCTION("""COMPUTED_VALUE"""),1.0)</f>
        <v>1</v>
      </c>
      <c r="C3252" s="2">
        <f>IFERROR(__xludf.DUMMYFUNCTION("""COMPUTED_VALUE"""),355.0)</f>
        <v>355</v>
      </c>
      <c r="D3252" s="3">
        <f>IFERROR(__xludf.DUMMYFUNCTION("""COMPUTED_VALUE"""),229.0)</f>
        <v>229</v>
      </c>
      <c r="E3252" s="2"/>
      <c r="F3252" s="2"/>
    </row>
    <row r="3253">
      <c r="A3253" s="2">
        <f>IFERROR(__xludf.DUMMYFUNCTION("""COMPUTED_VALUE"""),116410.0)</f>
        <v>116410</v>
      </c>
      <c r="B3253" s="2">
        <f>IFERROR(__xludf.DUMMYFUNCTION("""COMPUTED_VALUE"""),0.0)</f>
        <v>0</v>
      </c>
      <c r="C3253" s="2">
        <f>IFERROR(__xludf.DUMMYFUNCTION("""COMPUTED_VALUE"""),101.0)</f>
        <v>101</v>
      </c>
      <c r="D3253" s="3">
        <f>IFERROR(__xludf.DUMMYFUNCTION("""COMPUTED_VALUE"""),93.0)</f>
        <v>93</v>
      </c>
      <c r="E3253" s="2"/>
      <c r="F3253" s="2"/>
    </row>
    <row r="3254">
      <c r="A3254" s="2">
        <f>IFERROR(__xludf.DUMMYFUNCTION("""COMPUTED_VALUE"""),103841.0)</f>
        <v>103841</v>
      </c>
      <c r="B3254" s="2">
        <f>IFERROR(__xludf.DUMMYFUNCTION("""COMPUTED_VALUE"""),1.0)</f>
        <v>1</v>
      </c>
      <c r="C3254" s="2">
        <f>IFERROR(__xludf.DUMMYFUNCTION("""COMPUTED_VALUE"""),522.0)</f>
        <v>522</v>
      </c>
      <c r="D3254" s="3">
        <f>IFERROR(__xludf.DUMMYFUNCTION("""COMPUTED_VALUE"""),43.0)</f>
        <v>43</v>
      </c>
      <c r="E3254" s="2"/>
      <c r="F3254" s="2"/>
    </row>
    <row r="3255">
      <c r="A3255" s="2">
        <f>IFERROR(__xludf.DUMMYFUNCTION("""COMPUTED_VALUE"""),116746.0)</f>
        <v>116746</v>
      </c>
      <c r="B3255" s="2">
        <f>IFERROR(__xludf.DUMMYFUNCTION("""COMPUTED_VALUE"""),1.0)</f>
        <v>1</v>
      </c>
      <c r="C3255" s="2">
        <f>IFERROR(__xludf.DUMMYFUNCTION("""COMPUTED_VALUE"""),753.0)</f>
        <v>753</v>
      </c>
      <c r="D3255" s="3">
        <f>IFERROR(__xludf.DUMMYFUNCTION("""COMPUTED_VALUE"""),458.0)</f>
        <v>458</v>
      </c>
      <c r="E3255" s="2"/>
      <c r="F3255" s="2"/>
    </row>
    <row r="3256">
      <c r="A3256" s="2">
        <f>IFERROR(__xludf.DUMMYFUNCTION("""COMPUTED_VALUE"""),116405.0)</f>
        <v>116405</v>
      </c>
      <c r="B3256" s="2">
        <f>IFERROR(__xludf.DUMMYFUNCTION("""COMPUTED_VALUE"""),0.0)</f>
        <v>0</v>
      </c>
      <c r="C3256" s="2">
        <f>IFERROR(__xludf.DUMMYFUNCTION("""COMPUTED_VALUE"""),497.0)</f>
        <v>497</v>
      </c>
      <c r="D3256" s="3">
        <f>IFERROR(__xludf.DUMMYFUNCTION("""COMPUTED_VALUE"""),166.0)</f>
        <v>166</v>
      </c>
      <c r="E3256" s="2"/>
      <c r="F3256" s="2"/>
    </row>
    <row r="3257">
      <c r="A3257" s="2">
        <f>IFERROR(__xludf.DUMMYFUNCTION("""COMPUTED_VALUE"""),112810.0)</f>
        <v>112810</v>
      </c>
      <c r="B3257" s="2">
        <f>IFERROR(__xludf.DUMMYFUNCTION("""COMPUTED_VALUE"""),1.0)</f>
        <v>1</v>
      </c>
      <c r="C3257" s="2">
        <f>IFERROR(__xludf.DUMMYFUNCTION("""COMPUTED_VALUE"""),905.0)</f>
        <v>905</v>
      </c>
      <c r="D3257" s="3">
        <f>IFERROR(__xludf.DUMMYFUNCTION("""COMPUTED_VALUE"""),460.0)</f>
        <v>460</v>
      </c>
      <c r="E3257" s="2"/>
      <c r="F3257" s="2"/>
    </row>
    <row r="3258">
      <c r="A3258" s="2">
        <f>IFERROR(__xludf.DUMMYFUNCTION("""COMPUTED_VALUE"""),47347.0)</f>
        <v>47347</v>
      </c>
      <c r="B3258" s="2">
        <f>IFERROR(__xludf.DUMMYFUNCTION("""COMPUTED_VALUE"""),1.0)</f>
        <v>1</v>
      </c>
      <c r="C3258" s="2">
        <f>IFERROR(__xludf.DUMMYFUNCTION("""COMPUTED_VALUE"""),369.0)</f>
        <v>369</v>
      </c>
      <c r="D3258" s="3">
        <f>IFERROR(__xludf.DUMMYFUNCTION("""COMPUTED_VALUE"""),317.0)</f>
        <v>317</v>
      </c>
      <c r="E3258" s="2"/>
      <c r="F3258" s="2"/>
    </row>
    <row r="3259">
      <c r="A3259" s="2">
        <f>IFERROR(__xludf.DUMMYFUNCTION("""COMPUTED_VALUE"""),101902.0)</f>
        <v>101902</v>
      </c>
      <c r="B3259" s="2">
        <f>IFERROR(__xludf.DUMMYFUNCTION("""COMPUTED_VALUE"""),0.0)</f>
        <v>0</v>
      </c>
      <c r="C3259" s="2">
        <f>IFERROR(__xludf.DUMMYFUNCTION("""COMPUTED_VALUE"""),425.0)</f>
        <v>425</v>
      </c>
      <c r="D3259" s="3">
        <f>IFERROR(__xludf.DUMMYFUNCTION("""COMPUTED_VALUE"""),120.0)</f>
        <v>120</v>
      </c>
      <c r="E3259" s="2"/>
      <c r="F3259" s="2"/>
    </row>
    <row r="3260">
      <c r="A3260" s="2">
        <f>IFERROR(__xludf.DUMMYFUNCTION("""COMPUTED_VALUE"""),92926.0)</f>
        <v>92926</v>
      </c>
      <c r="B3260" s="2">
        <f>IFERROR(__xludf.DUMMYFUNCTION("""COMPUTED_VALUE"""),0.0)</f>
        <v>0</v>
      </c>
      <c r="C3260" s="2">
        <f>IFERROR(__xludf.DUMMYFUNCTION("""COMPUTED_VALUE"""),828.0)</f>
        <v>828</v>
      </c>
      <c r="D3260" s="3">
        <f>IFERROR(__xludf.DUMMYFUNCTION("""COMPUTED_VALUE"""),104.0)</f>
        <v>104</v>
      </c>
      <c r="E3260" s="2"/>
      <c r="F3260" s="2"/>
    </row>
    <row r="3261">
      <c r="A3261" s="2">
        <f>IFERROR(__xludf.DUMMYFUNCTION("""COMPUTED_VALUE"""),47345.0)</f>
        <v>47345</v>
      </c>
      <c r="B3261" s="2">
        <f>IFERROR(__xludf.DUMMYFUNCTION("""COMPUTED_VALUE"""),0.0)</f>
        <v>0</v>
      </c>
      <c r="C3261" s="2">
        <f>IFERROR(__xludf.DUMMYFUNCTION("""COMPUTED_VALUE"""),292.0)</f>
        <v>292</v>
      </c>
      <c r="D3261" s="3">
        <f>IFERROR(__xludf.DUMMYFUNCTION("""COMPUTED_VALUE"""),262.0)</f>
        <v>262</v>
      </c>
      <c r="E3261" s="2"/>
      <c r="F3261" s="2"/>
    </row>
    <row r="3262">
      <c r="A3262" s="2">
        <f>IFERROR(__xludf.DUMMYFUNCTION("""COMPUTED_VALUE"""),121611.0)</f>
        <v>121611</v>
      </c>
      <c r="B3262" s="2">
        <f>IFERROR(__xludf.DUMMYFUNCTION("""COMPUTED_VALUE"""),1.0)</f>
        <v>1</v>
      </c>
      <c r="C3262" s="2">
        <f>IFERROR(__xludf.DUMMYFUNCTION("""COMPUTED_VALUE"""),766.0)</f>
        <v>766</v>
      </c>
      <c r="D3262" s="3">
        <f>IFERROR(__xludf.DUMMYFUNCTION("""COMPUTED_VALUE"""),57.0)</f>
        <v>57</v>
      </c>
      <c r="E3262" s="2"/>
      <c r="F3262" s="2"/>
    </row>
    <row r="3263">
      <c r="A3263" s="2">
        <f>IFERROR(__xludf.DUMMYFUNCTION("""COMPUTED_VALUE"""),73310.0)</f>
        <v>73310</v>
      </c>
      <c r="B3263" s="2">
        <f>IFERROR(__xludf.DUMMYFUNCTION("""COMPUTED_VALUE"""),1.0)</f>
        <v>1</v>
      </c>
      <c r="C3263" s="2">
        <f>IFERROR(__xludf.DUMMYFUNCTION("""COMPUTED_VALUE"""),186.0)</f>
        <v>186</v>
      </c>
      <c r="D3263" s="3">
        <f>IFERROR(__xludf.DUMMYFUNCTION("""COMPUTED_VALUE"""),63.0)</f>
        <v>63</v>
      </c>
      <c r="E3263" s="2"/>
      <c r="F3263" s="2"/>
    </row>
    <row r="3264">
      <c r="A3264" s="2">
        <f>IFERROR(__xludf.DUMMYFUNCTION("""COMPUTED_VALUE"""),80102.0)</f>
        <v>80102</v>
      </c>
      <c r="B3264" s="2">
        <f>IFERROR(__xludf.DUMMYFUNCTION("""COMPUTED_VALUE"""),1.0)</f>
        <v>1</v>
      </c>
      <c r="C3264" s="2">
        <f>IFERROR(__xludf.DUMMYFUNCTION("""COMPUTED_VALUE"""),430.0)</f>
        <v>430</v>
      </c>
      <c r="D3264" s="3">
        <f>IFERROR(__xludf.DUMMYFUNCTION("""COMPUTED_VALUE"""),252.0)</f>
        <v>252</v>
      </c>
      <c r="E3264" s="2"/>
      <c r="F3264" s="2"/>
    </row>
    <row r="3265">
      <c r="A3265" s="2">
        <f>IFERROR(__xludf.DUMMYFUNCTION("""COMPUTED_VALUE"""),122773.0)</f>
        <v>122773</v>
      </c>
      <c r="B3265" s="2">
        <f>IFERROR(__xludf.DUMMYFUNCTION("""COMPUTED_VALUE"""),0.0)</f>
        <v>0</v>
      </c>
      <c r="C3265" s="2">
        <f>IFERROR(__xludf.DUMMYFUNCTION("""COMPUTED_VALUE"""),258.0)</f>
        <v>258</v>
      </c>
      <c r="D3265" s="3">
        <f>IFERROR(__xludf.DUMMYFUNCTION("""COMPUTED_VALUE"""),162.0)</f>
        <v>162</v>
      </c>
      <c r="E3265" s="2"/>
      <c r="F3265" s="2"/>
    </row>
    <row r="3266">
      <c r="A3266" s="2">
        <f>IFERROR(__xludf.DUMMYFUNCTION("""COMPUTED_VALUE"""),119421.0)</f>
        <v>119421</v>
      </c>
      <c r="B3266" s="2">
        <f>IFERROR(__xludf.DUMMYFUNCTION("""COMPUTED_VALUE"""),1.0)</f>
        <v>1</v>
      </c>
      <c r="C3266" s="2">
        <f>IFERROR(__xludf.DUMMYFUNCTION("""COMPUTED_VALUE"""),492.0)</f>
        <v>492</v>
      </c>
      <c r="D3266" s="3">
        <f>IFERROR(__xludf.DUMMYFUNCTION("""COMPUTED_VALUE"""),313.0)</f>
        <v>313</v>
      </c>
      <c r="E3266" s="2"/>
      <c r="F3266" s="2"/>
    </row>
    <row r="3267">
      <c r="A3267" s="2">
        <f>IFERROR(__xludf.DUMMYFUNCTION("""COMPUTED_VALUE"""),118276.0)</f>
        <v>118276</v>
      </c>
      <c r="B3267" s="2">
        <f>IFERROR(__xludf.DUMMYFUNCTION("""COMPUTED_VALUE"""),1.0)</f>
        <v>1</v>
      </c>
      <c r="C3267" s="2">
        <f>IFERROR(__xludf.DUMMYFUNCTION("""COMPUTED_VALUE"""),202.0)</f>
        <v>202</v>
      </c>
      <c r="D3267" s="3">
        <f>IFERROR(__xludf.DUMMYFUNCTION("""COMPUTED_VALUE"""),18.0)</f>
        <v>18</v>
      </c>
      <c r="E3267" s="2"/>
      <c r="F3267" s="2"/>
    </row>
    <row r="3268">
      <c r="A3268" s="2">
        <f>IFERROR(__xludf.DUMMYFUNCTION("""COMPUTED_VALUE"""),47314.0)</f>
        <v>47314</v>
      </c>
      <c r="B3268" s="2">
        <f>IFERROR(__xludf.DUMMYFUNCTION("""COMPUTED_VALUE"""),0.0)</f>
        <v>0</v>
      </c>
      <c r="C3268" s="2">
        <f>IFERROR(__xludf.DUMMYFUNCTION("""COMPUTED_VALUE"""),629.0)</f>
        <v>629</v>
      </c>
      <c r="D3268" s="3">
        <f>IFERROR(__xludf.DUMMYFUNCTION("""COMPUTED_VALUE"""),345.0)</f>
        <v>345</v>
      </c>
      <c r="E3268" s="2"/>
      <c r="F3268" s="2"/>
    </row>
    <row r="3269">
      <c r="A3269" s="2">
        <f>IFERROR(__xludf.DUMMYFUNCTION("""COMPUTED_VALUE"""),122771.0)</f>
        <v>122771</v>
      </c>
      <c r="B3269" s="2">
        <f>IFERROR(__xludf.DUMMYFUNCTION("""COMPUTED_VALUE"""),0.0)</f>
        <v>0</v>
      </c>
      <c r="C3269" s="2">
        <f>IFERROR(__xludf.DUMMYFUNCTION("""COMPUTED_VALUE"""),479.0)</f>
        <v>479</v>
      </c>
      <c r="D3269" s="3">
        <f>IFERROR(__xludf.DUMMYFUNCTION("""COMPUTED_VALUE"""),322.0)</f>
        <v>322</v>
      </c>
      <c r="E3269" s="2"/>
      <c r="F3269" s="2"/>
    </row>
    <row r="3270">
      <c r="A3270" s="2">
        <f>IFERROR(__xludf.DUMMYFUNCTION("""COMPUTED_VALUE"""),47380.0)</f>
        <v>47380</v>
      </c>
      <c r="B3270" s="2">
        <f>IFERROR(__xludf.DUMMYFUNCTION("""COMPUTED_VALUE"""),0.0)</f>
        <v>0</v>
      </c>
      <c r="C3270" s="2">
        <f>IFERROR(__xludf.DUMMYFUNCTION("""COMPUTED_VALUE"""),232.0)</f>
        <v>232</v>
      </c>
      <c r="D3270" s="3">
        <f>IFERROR(__xludf.DUMMYFUNCTION("""COMPUTED_VALUE"""),156.0)</f>
        <v>156</v>
      </c>
      <c r="E3270" s="2"/>
      <c r="F3270" s="2"/>
    </row>
    <row r="3271">
      <c r="A3271" s="2">
        <f>IFERROR(__xludf.DUMMYFUNCTION("""COMPUTED_VALUE"""),98329.0)</f>
        <v>98329</v>
      </c>
      <c r="B3271" s="2">
        <f>IFERROR(__xludf.DUMMYFUNCTION("""COMPUTED_VALUE"""),0.0)</f>
        <v>0</v>
      </c>
      <c r="C3271" s="2">
        <f>IFERROR(__xludf.DUMMYFUNCTION("""COMPUTED_VALUE"""),791.0)</f>
        <v>791</v>
      </c>
      <c r="D3271" s="3">
        <f>IFERROR(__xludf.DUMMYFUNCTION("""COMPUTED_VALUE"""),253.0)</f>
        <v>253</v>
      </c>
      <c r="E3271" s="2"/>
      <c r="F3271" s="2"/>
    </row>
    <row r="3272">
      <c r="A3272" s="2">
        <f>IFERROR(__xludf.DUMMYFUNCTION("""COMPUTED_VALUE"""),81485.0)</f>
        <v>81485</v>
      </c>
      <c r="B3272" s="2">
        <f>IFERROR(__xludf.DUMMYFUNCTION("""COMPUTED_VALUE"""),0.0)</f>
        <v>0</v>
      </c>
      <c r="C3272" s="2">
        <f>IFERROR(__xludf.DUMMYFUNCTION("""COMPUTED_VALUE"""),41.0)</f>
        <v>41</v>
      </c>
      <c r="D3272" s="3">
        <f>IFERROR(__xludf.DUMMYFUNCTION("""COMPUTED_VALUE"""),36.0)</f>
        <v>36</v>
      </c>
      <c r="E3272" s="2"/>
      <c r="F3272" s="2"/>
    </row>
    <row r="3273">
      <c r="A3273" s="2">
        <f>IFERROR(__xludf.DUMMYFUNCTION("""COMPUTED_VALUE"""),77847.0)</f>
        <v>77847</v>
      </c>
      <c r="B3273" s="2">
        <f>IFERROR(__xludf.DUMMYFUNCTION("""COMPUTED_VALUE"""),0.0)</f>
        <v>0</v>
      </c>
      <c r="C3273" s="2">
        <f>IFERROR(__xludf.DUMMYFUNCTION("""COMPUTED_VALUE"""),629.0)</f>
        <v>629</v>
      </c>
      <c r="D3273" s="3">
        <f>IFERROR(__xludf.DUMMYFUNCTION("""COMPUTED_VALUE"""),544.0)</f>
        <v>544</v>
      </c>
      <c r="E3273" s="2"/>
      <c r="F3273" s="2"/>
    </row>
    <row r="3274">
      <c r="A3274" s="2">
        <f>IFERROR(__xludf.DUMMYFUNCTION("""COMPUTED_VALUE"""),77290.0)</f>
        <v>77290</v>
      </c>
      <c r="B3274" s="2">
        <f>IFERROR(__xludf.DUMMYFUNCTION("""COMPUTED_VALUE"""),0.0)</f>
        <v>0</v>
      </c>
      <c r="C3274" s="2">
        <f>IFERROR(__xludf.DUMMYFUNCTION("""COMPUTED_VALUE"""),268.0)</f>
        <v>268</v>
      </c>
      <c r="D3274" s="3">
        <f>IFERROR(__xludf.DUMMYFUNCTION("""COMPUTED_VALUE"""),225.0)</f>
        <v>225</v>
      </c>
      <c r="E3274" s="2"/>
      <c r="F3274" s="2"/>
    </row>
    <row r="3275">
      <c r="A3275" s="2">
        <f>IFERROR(__xludf.DUMMYFUNCTION("""COMPUTED_VALUE"""),114656.0)</f>
        <v>114656</v>
      </c>
      <c r="B3275" s="2">
        <f>IFERROR(__xludf.DUMMYFUNCTION("""COMPUTED_VALUE"""),0.0)</f>
        <v>0</v>
      </c>
      <c r="C3275" s="2">
        <f>IFERROR(__xludf.DUMMYFUNCTION("""COMPUTED_VALUE"""),324.0)</f>
        <v>324</v>
      </c>
      <c r="D3275" s="3">
        <f>IFERROR(__xludf.DUMMYFUNCTION("""COMPUTED_VALUE"""),151.0)</f>
        <v>151</v>
      </c>
      <c r="E3275" s="2"/>
      <c r="F3275" s="2"/>
    </row>
    <row r="3276">
      <c r="A3276" s="2">
        <f>IFERROR(__xludf.DUMMYFUNCTION("""COMPUTED_VALUE"""),118486.0)</f>
        <v>118486</v>
      </c>
      <c r="B3276" s="2">
        <f>IFERROR(__xludf.DUMMYFUNCTION("""COMPUTED_VALUE"""),1.0)</f>
        <v>1</v>
      </c>
      <c r="C3276" s="2">
        <f>IFERROR(__xludf.DUMMYFUNCTION("""COMPUTED_VALUE"""),865.0)</f>
        <v>865</v>
      </c>
      <c r="D3276" s="3">
        <f>IFERROR(__xludf.DUMMYFUNCTION("""COMPUTED_VALUE"""),118.0)</f>
        <v>118</v>
      </c>
      <c r="E3276" s="2"/>
      <c r="F3276" s="2"/>
    </row>
    <row r="3277">
      <c r="A3277" s="2">
        <f>IFERROR(__xludf.DUMMYFUNCTION("""COMPUTED_VALUE"""),101889.0)</f>
        <v>101889</v>
      </c>
      <c r="B3277" s="2">
        <f>IFERROR(__xludf.DUMMYFUNCTION("""COMPUTED_VALUE"""),0.0)</f>
        <v>0</v>
      </c>
      <c r="C3277" s="2">
        <f>IFERROR(__xludf.DUMMYFUNCTION("""COMPUTED_VALUE"""),473.0)</f>
        <v>473</v>
      </c>
      <c r="D3277" s="3">
        <f>IFERROR(__xludf.DUMMYFUNCTION("""COMPUTED_VALUE"""),348.0)</f>
        <v>348</v>
      </c>
      <c r="E3277" s="2"/>
      <c r="F3277" s="2"/>
    </row>
    <row r="3278">
      <c r="A3278" s="2">
        <f>IFERROR(__xludf.DUMMYFUNCTION("""COMPUTED_VALUE"""),14030.0)</f>
        <v>14030</v>
      </c>
      <c r="B3278" s="2">
        <f>IFERROR(__xludf.DUMMYFUNCTION("""COMPUTED_VALUE"""),0.0)</f>
        <v>0</v>
      </c>
      <c r="C3278" s="2">
        <f>IFERROR(__xludf.DUMMYFUNCTION("""COMPUTED_VALUE"""),463.0)</f>
        <v>463</v>
      </c>
      <c r="D3278" s="3">
        <f>IFERROR(__xludf.DUMMYFUNCTION("""COMPUTED_VALUE"""),177.0)</f>
        <v>177</v>
      </c>
      <c r="E3278" s="2"/>
      <c r="F3278" s="2"/>
    </row>
    <row r="3279">
      <c r="A3279" s="2">
        <f>IFERROR(__xludf.DUMMYFUNCTION("""COMPUTED_VALUE"""),47381.0)</f>
        <v>47381</v>
      </c>
      <c r="B3279" s="2">
        <f>IFERROR(__xludf.DUMMYFUNCTION("""COMPUTED_VALUE"""),1.0)</f>
        <v>1</v>
      </c>
      <c r="C3279" s="2">
        <f>IFERROR(__xludf.DUMMYFUNCTION("""COMPUTED_VALUE"""),383.0)</f>
        <v>383</v>
      </c>
      <c r="D3279" s="3">
        <f>IFERROR(__xludf.DUMMYFUNCTION("""COMPUTED_VALUE"""),293.0)</f>
        <v>293</v>
      </c>
      <c r="E3279" s="2"/>
      <c r="F3279" s="2"/>
    </row>
    <row r="3280">
      <c r="A3280" s="2">
        <f>IFERROR(__xludf.DUMMYFUNCTION("""COMPUTED_VALUE"""),101888.0)</f>
        <v>101888</v>
      </c>
      <c r="B3280" s="2">
        <f>IFERROR(__xludf.DUMMYFUNCTION("""COMPUTED_VALUE"""),0.0)</f>
        <v>0</v>
      </c>
      <c r="C3280" s="2">
        <f>IFERROR(__xludf.DUMMYFUNCTION("""COMPUTED_VALUE"""),94.0)</f>
        <v>94</v>
      </c>
      <c r="D3280" s="3">
        <f>IFERROR(__xludf.DUMMYFUNCTION("""COMPUTED_VALUE"""),54.0)</f>
        <v>54</v>
      </c>
      <c r="E3280" s="2"/>
      <c r="F3280" s="2"/>
    </row>
    <row r="3281">
      <c r="A3281" s="2">
        <f>IFERROR(__xludf.DUMMYFUNCTION("""COMPUTED_VALUE"""),98328.0)</f>
        <v>98328</v>
      </c>
      <c r="B3281" s="2">
        <f>IFERROR(__xludf.DUMMYFUNCTION("""COMPUTED_VALUE"""),0.0)</f>
        <v>0</v>
      </c>
      <c r="C3281" s="2">
        <f>IFERROR(__xludf.DUMMYFUNCTION("""COMPUTED_VALUE"""),360.0)</f>
        <v>360</v>
      </c>
      <c r="D3281" s="3">
        <f>IFERROR(__xludf.DUMMYFUNCTION("""COMPUTED_VALUE"""),225.0)</f>
        <v>225</v>
      </c>
      <c r="E3281" s="2"/>
      <c r="F3281" s="2"/>
    </row>
    <row r="3282">
      <c r="A3282" s="2">
        <f>IFERROR(__xludf.DUMMYFUNCTION("""COMPUTED_VALUE"""),79775.0)</f>
        <v>79775</v>
      </c>
      <c r="B3282" s="2">
        <f>IFERROR(__xludf.DUMMYFUNCTION("""COMPUTED_VALUE"""),0.0)</f>
        <v>0</v>
      </c>
      <c r="C3282" s="2">
        <f>IFERROR(__xludf.DUMMYFUNCTION("""COMPUTED_VALUE"""),902.0)</f>
        <v>902</v>
      </c>
      <c r="D3282" s="3">
        <f>IFERROR(__xludf.DUMMYFUNCTION("""COMPUTED_VALUE"""),581.0)</f>
        <v>581</v>
      </c>
      <c r="E3282" s="2"/>
      <c r="F3282" s="2"/>
    </row>
    <row r="3283">
      <c r="A3283" s="2">
        <f>IFERROR(__xludf.DUMMYFUNCTION("""COMPUTED_VALUE"""),122616.0)</f>
        <v>122616</v>
      </c>
      <c r="B3283" s="2">
        <f>IFERROR(__xludf.DUMMYFUNCTION("""COMPUTED_VALUE"""),1.0)</f>
        <v>1</v>
      </c>
      <c r="C3283" s="2">
        <f>IFERROR(__xludf.DUMMYFUNCTION("""COMPUTED_VALUE"""),122.0)</f>
        <v>122</v>
      </c>
      <c r="D3283" s="3">
        <f>IFERROR(__xludf.DUMMYFUNCTION("""COMPUTED_VALUE"""),0.0)</f>
        <v>0</v>
      </c>
      <c r="E3283" s="2"/>
      <c r="F3283" s="2"/>
    </row>
    <row r="3284">
      <c r="A3284" s="2">
        <f>IFERROR(__xludf.DUMMYFUNCTION("""COMPUTED_VALUE"""),101950.0)</f>
        <v>101950</v>
      </c>
      <c r="B3284" s="2">
        <f>IFERROR(__xludf.DUMMYFUNCTION("""COMPUTED_VALUE"""),0.0)</f>
        <v>0</v>
      </c>
      <c r="C3284" s="2">
        <f>IFERROR(__xludf.DUMMYFUNCTION("""COMPUTED_VALUE"""),934.0)</f>
        <v>934</v>
      </c>
      <c r="D3284" s="3">
        <f>IFERROR(__xludf.DUMMYFUNCTION("""COMPUTED_VALUE"""),522.0)</f>
        <v>522</v>
      </c>
      <c r="E3284" s="2"/>
      <c r="F3284" s="2"/>
    </row>
    <row r="3285">
      <c r="A3285" s="2">
        <f>IFERROR(__xludf.DUMMYFUNCTION("""COMPUTED_VALUE"""),9163.0)</f>
        <v>9163</v>
      </c>
      <c r="B3285" s="2">
        <f>IFERROR(__xludf.DUMMYFUNCTION("""COMPUTED_VALUE"""),1.0)</f>
        <v>1</v>
      </c>
      <c r="C3285" s="2">
        <f>IFERROR(__xludf.DUMMYFUNCTION("""COMPUTED_VALUE"""),601.0)</f>
        <v>601</v>
      </c>
      <c r="D3285" s="3">
        <f>IFERROR(__xludf.DUMMYFUNCTION("""COMPUTED_VALUE"""),418.0)</f>
        <v>418</v>
      </c>
      <c r="E3285" s="2"/>
      <c r="F3285" s="2"/>
    </row>
    <row r="3286">
      <c r="A3286" s="2">
        <f>IFERROR(__xludf.DUMMYFUNCTION("""COMPUTED_VALUE"""),110106.0)</f>
        <v>110106</v>
      </c>
      <c r="B3286" s="2">
        <f>IFERROR(__xludf.DUMMYFUNCTION("""COMPUTED_VALUE"""),0.0)</f>
        <v>0</v>
      </c>
      <c r="C3286" s="2">
        <f>IFERROR(__xludf.DUMMYFUNCTION("""COMPUTED_VALUE"""),524.0)</f>
        <v>524</v>
      </c>
      <c r="D3286" s="3">
        <f>IFERROR(__xludf.DUMMYFUNCTION("""COMPUTED_VALUE"""),437.0)</f>
        <v>437</v>
      </c>
      <c r="E3286" s="2"/>
      <c r="F3286" s="2"/>
    </row>
    <row r="3287">
      <c r="A3287" s="2">
        <f>IFERROR(__xludf.DUMMYFUNCTION("""COMPUTED_VALUE"""),14045.0)</f>
        <v>14045</v>
      </c>
      <c r="B3287" s="2">
        <f>IFERROR(__xludf.DUMMYFUNCTION("""COMPUTED_VALUE"""),0.0)</f>
        <v>0</v>
      </c>
      <c r="C3287" s="2">
        <f>IFERROR(__xludf.DUMMYFUNCTION("""COMPUTED_VALUE"""),403.0)</f>
        <v>403</v>
      </c>
      <c r="D3287" s="3">
        <f>IFERROR(__xludf.DUMMYFUNCTION("""COMPUTED_VALUE"""),384.0)</f>
        <v>384</v>
      </c>
      <c r="E3287" s="2"/>
      <c r="F3287" s="2"/>
    </row>
    <row r="3288">
      <c r="A3288" s="2">
        <f>IFERROR(__xludf.DUMMYFUNCTION("""COMPUTED_VALUE"""),95993.0)</f>
        <v>95993</v>
      </c>
      <c r="B3288" s="2">
        <f>IFERROR(__xludf.DUMMYFUNCTION("""COMPUTED_VALUE"""),1.0)</f>
        <v>1</v>
      </c>
      <c r="C3288" s="2">
        <f>IFERROR(__xludf.DUMMYFUNCTION("""COMPUTED_VALUE"""),340.0)</f>
        <v>340</v>
      </c>
      <c r="D3288" s="3">
        <f>IFERROR(__xludf.DUMMYFUNCTION("""COMPUTED_VALUE"""),276.0)</f>
        <v>276</v>
      </c>
      <c r="E3288" s="2"/>
      <c r="F3288" s="2"/>
    </row>
    <row r="3289">
      <c r="A3289" s="2">
        <f>IFERROR(__xludf.DUMMYFUNCTION("""COMPUTED_VALUE"""),81488.0)</f>
        <v>81488</v>
      </c>
      <c r="B3289" s="2">
        <f>IFERROR(__xludf.DUMMYFUNCTION("""COMPUTED_VALUE"""),0.0)</f>
        <v>0</v>
      </c>
      <c r="C3289" s="2">
        <f>IFERROR(__xludf.DUMMYFUNCTION("""COMPUTED_VALUE"""),320.0)</f>
        <v>320</v>
      </c>
      <c r="D3289" s="3">
        <f>IFERROR(__xludf.DUMMYFUNCTION("""COMPUTED_VALUE"""),118.0)</f>
        <v>118</v>
      </c>
      <c r="E3289" s="2"/>
      <c r="F3289" s="2"/>
    </row>
    <row r="3290">
      <c r="A3290" s="2">
        <f>IFERROR(__xludf.DUMMYFUNCTION("""COMPUTED_VALUE"""),14049.0)</f>
        <v>14049</v>
      </c>
      <c r="B3290" s="2">
        <f>IFERROR(__xludf.DUMMYFUNCTION("""COMPUTED_VALUE"""),0.0)</f>
        <v>0</v>
      </c>
      <c r="C3290" s="2">
        <f>IFERROR(__xludf.DUMMYFUNCTION("""COMPUTED_VALUE"""),288.0)</f>
        <v>288</v>
      </c>
      <c r="D3290" s="3">
        <f>IFERROR(__xludf.DUMMYFUNCTION("""COMPUTED_VALUE"""),241.0)</f>
        <v>241</v>
      </c>
      <c r="E3290" s="2"/>
      <c r="F3290" s="2"/>
    </row>
    <row r="3291">
      <c r="A3291" s="2">
        <f>IFERROR(__xludf.DUMMYFUNCTION("""COMPUTED_VALUE"""),121749.0)</f>
        <v>121749</v>
      </c>
      <c r="B3291" s="2">
        <f>IFERROR(__xludf.DUMMYFUNCTION("""COMPUTED_VALUE"""),0.0)</f>
        <v>0</v>
      </c>
      <c r="C3291" s="2">
        <f>IFERROR(__xludf.DUMMYFUNCTION("""COMPUTED_VALUE"""),427.0)</f>
        <v>427</v>
      </c>
      <c r="D3291" s="3">
        <f>IFERROR(__xludf.DUMMYFUNCTION("""COMPUTED_VALUE"""),128.0)</f>
        <v>128</v>
      </c>
      <c r="E3291" s="2"/>
      <c r="F3291" s="2"/>
    </row>
    <row r="3292">
      <c r="A3292" s="2">
        <f>IFERROR(__xludf.DUMMYFUNCTION("""COMPUTED_VALUE"""),101927.0)</f>
        <v>101927</v>
      </c>
      <c r="B3292" s="2">
        <f>IFERROR(__xludf.DUMMYFUNCTION("""COMPUTED_VALUE"""),0.0)</f>
        <v>0</v>
      </c>
      <c r="C3292" s="2">
        <f>IFERROR(__xludf.DUMMYFUNCTION("""COMPUTED_VALUE"""),199.0)</f>
        <v>199</v>
      </c>
      <c r="D3292" s="3">
        <f>IFERROR(__xludf.DUMMYFUNCTION("""COMPUTED_VALUE"""),57.0)</f>
        <v>57</v>
      </c>
      <c r="E3292" s="2"/>
      <c r="F3292" s="2"/>
    </row>
    <row r="3293">
      <c r="A3293" s="2">
        <f>IFERROR(__xludf.DUMMYFUNCTION("""COMPUTED_VALUE"""),103864.0)</f>
        <v>103864</v>
      </c>
      <c r="B3293" s="2">
        <f>IFERROR(__xludf.DUMMYFUNCTION("""COMPUTED_VALUE"""),0.0)</f>
        <v>0</v>
      </c>
      <c r="C3293" s="2">
        <f>IFERROR(__xludf.DUMMYFUNCTION("""COMPUTED_VALUE"""),195.0)</f>
        <v>195</v>
      </c>
      <c r="D3293" s="3">
        <f>IFERROR(__xludf.DUMMYFUNCTION("""COMPUTED_VALUE"""),146.0)</f>
        <v>146</v>
      </c>
      <c r="E3293" s="2"/>
      <c r="F3293" s="2"/>
    </row>
    <row r="3294">
      <c r="A3294" s="2">
        <f>IFERROR(__xludf.DUMMYFUNCTION("""COMPUTED_VALUE"""),85862.0)</f>
        <v>85862</v>
      </c>
      <c r="B3294" s="2">
        <f>IFERROR(__xludf.DUMMYFUNCTION("""COMPUTED_VALUE"""),1.0)</f>
        <v>1</v>
      </c>
      <c r="C3294" s="2">
        <f>IFERROR(__xludf.DUMMYFUNCTION("""COMPUTED_VALUE"""),303.0)</f>
        <v>303</v>
      </c>
      <c r="D3294" s="3">
        <f>IFERROR(__xludf.DUMMYFUNCTION("""COMPUTED_VALUE"""),222.0)</f>
        <v>222</v>
      </c>
      <c r="E3294" s="2"/>
      <c r="F3294" s="2"/>
    </row>
    <row r="3295">
      <c r="A3295" s="2">
        <f>IFERROR(__xludf.DUMMYFUNCTION("""COMPUTED_VALUE"""),46124.0)</f>
        <v>46124</v>
      </c>
      <c r="B3295" s="2">
        <f>IFERROR(__xludf.DUMMYFUNCTION("""COMPUTED_VALUE"""),1.0)</f>
        <v>1</v>
      </c>
      <c r="C3295" s="2">
        <f>IFERROR(__xludf.DUMMYFUNCTION("""COMPUTED_VALUE"""),367.0)</f>
        <v>367</v>
      </c>
      <c r="D3295" s="3">
        <f>IFERROR(__xludf.DUMMYFUNCTION("""COMPUTED_VALUE"""),136.0)</f>
        <v>136</v>
      </c>
      <c r="E3295" s="2"/>
      <c r="F3295" s="2"/>
    </row>
    <row r="3296">
      <c r="A3296" s="2">
        <f>IFERROR(__xludf.DUMMYFUNCTION("""COMPUTED_VALUE"""),114346.0)</f>
        <v>114346</v>
      </c>
      <c r="B3296" s="2">
        <f>IFERROR(__xludf.DUMMYFUNCTION("""COMPUTED_VALUE"""),1.0)</f>
        <v>1</v>
      </c>
      <c r="C3296" s="2">
        <f>IFERROR(__xludf.DUMMYFUNCTION("""COMPUTED_VALUE"""),931.0)</f>
        <v>931</v>
      </c>
      <c r="D3296" s="3">
        <f>IFERROR(__xludf.DUMMYFUNCTION("""COMPUTED_VALUE"""),402.0)</f>
        <v>402</v>
      </c>
      <c r="E3296" s="2"/>
      <c r="F3296" s="2"/>
    </row>
    <row r="3297">
      <c r="A3297" s="2">
        <f>IFERROR(__xludf.DUMMYFUNCTION("""COMPUTED_VALUE"""),80194.0)</f>
        <v>80194</v>
      </c>
      <c r="B3297" s="2">
        <f>IFERROR(__xludf.DUMMYFUNCTION("""COMPUTED_VALUE"""),1.0)</f>
        <v>1</v>
      </c>
      <c r="C3297" s="2">
        <f>IFERROR(__xludf.DUMMYFUNCTION("""COMPUTED_VALUE"""),236.0)</f>
        <v>236</v>
      </c>
      <c r="D3297" s="3">
        <f>IFERROR(__xludf.DUMMYFUNCTION("""COMPUTED_VALUE"""),177.0)</f>
        <v>177</v>
      </c>
      <c r="E3297" s="2"/>
      <c r="F3297" s="2"/>
    </row>
    <row r="3298">
      <c r="A3298" s="2">
        <f>IFERROR(__xludf.DUMMYFUNCTION("""COMPUTED_VALUE"""),80192.0)</f>
        <v>80192</v>
      </c>
      <c r="B3298" s="2">
        <f>IFERROR(__xludf.DUMMYFUNCTION("""COMPUTED_VALUE"""),1.0)</f>
        <v>1</v>
      </c>
      <c r="C3298" s="2">
        <f>IFERROR(__xludf.DUMMYFUNCTION("""COMPUTED_VALUE"""),722.0)</f>
        <v>722</v>
      </c>
      <c r="D3298" s="3">
        <f>IFERROR(__xludf.DUMMYFUNCTION("""COMPUTED_VALUE"""),244.0)</f>
        <v>244</v>
      </c>
      <c r="E3298" s="2"/>
      <c r="F3298" s="2"/>
    </row>
    <row r="3299">
      <c r="A3299" s="2">
        <f>IFERROR(__xludf.DUMMYFUNCTION("""COMPUTED_VALUE"""),46109.0)</f>
        <v>46109</v>
      </c>
      <c r="B3299" s="2">
        <f>IFERROR(__xludf.DUMMYFUNCTION("""COMPUTED_VALUE"""),1.0)</f>
        <v>1</v>
      </c>
      <c r="C3299" s="2">
        <f>IFERROR(__xludf.DUMMYFUNCTION("""COMPUTED_VALUE"""),881.0)</f>
        <v>881</v>
      </c>
      <c r="D3299" s="3">
        <f>IFERROR(__xludf.DUMMYFUNCTION("""COMPUTED_VALUE"""),147.0)</f>
        <v>147</v>
      </c>
      <c r="E3299" s="2"/>
      <c r="F3299" s="2"/>
    </row>
    <row r="3300">
      <c r="A3300" s="2">
        <f>IFERROR(__xludf.DUMMYFUNCTION("""COMPUTED_VALUE"""),80196.0)</f>
        <v>80196</v>
      </c>
      <c r="B3300" s="2">
        <f>IFERROR(__xludf.DUMMYFUNCTION("""COMPUTED_VALUE"""),0.0)</f>
        <v>0</v>
      </c>
      <c r="C3300" s="2">
        <f>IFERROR(__xludf.DUMMYFUNCTION("""COMPUTED_VALUE"""),773.0)</f>
        <v>773</v>
      </c>
      <c r="D3300" s="3">
        <f>IFERROR(__xludf.DUMMYFUNCTION("""COMPUTED_VALUE"""),760.0)</f>
        <v>760</v>
      </c>
      <c r="E3300" s="2"/>
      <c r="F3300" s="2"/>
    </row>
    <row r="3301">
      <c r="A3301" s="2">
        <f>IFERROR(__xludf.DUMMYFUNCTION("""COMPUTED_VALUE"""),149602.0)</f>
        <v>149602</v>
      </c>
      <c r="B3301" s="2">
        <f>IFERROR(__xludf.DUMMYFUNCTION("""COMPUTED_VALUE"""),0.0)</f>
        <v>0</v>
      </c>
      <c r="C3301" s="2">
        <f>IFERROR(__xludf.DUMMYFUNCTION("""COMPUTED_VALUE"""),796.0)</f>
        <v>796</v>
      </c>
      <c r="D3301" s="3">
        <f>IFERROR(__xludf.DUMMYFUNCTION("""COMPUTED_VALUE"""),103.0)</f>
        <v>103</v>
      </c>
      <c r="E3301" s="2"/>
      <c r="F3301" s="2"/>
    </row>
    <row r="3302">
      <c r="A3302" s="2">
        <f>IFERROR(__xludf.DUMMYFUNCTION("""COMPUTED_VALUE"""),46123.0)</f>
        <v>46123</v>
      </c>
      <c r="B3302" s="2">
        <f>IFERROR(__xludf.DUMMYFUNCTION("""COMPUTED_VALUE"""),0.0)</f>
        <v>0</v>
      </c>
      <c r="C3302" s="2">
        <f>IFERROR(__xludf.DUMMYFUNCTION("""COMPUTED_VALUE"""),674.0)</f>
        <v>674</v>
      </c>
      <c r="D3302" s="3">
        <f>IFERROR(__xludf.DUMMYFUNCTION("""COMPUTED_VALUE"""),647.0)</f>
        <v>647</v>
      </c>
      <c r="E3302" s="2"/>
      <c r="F3302" s="2"/>
    </row>
    <row r="3303">
      <c r="A3303" s="2">
        <f>IFERROR(__xludf.DUMMYFUNCTION("""COMPUTED_VALUE"""),46113.0)</f>
        <v>46113</v>
      </c>
      <c r="B3303" s="2">
        <f>IFERROR(__xludf.DUMMYFUNCTION("""COMPUTED_VALUE"""),1.0)</f>
        <v>1</v>
      </c>
      <c r="C3303" s="2">
        <f>IFERROR(__xludf.DUMMYFUNCTION("""COMPUTED_VALUE"""),53.0)</f>
        <v>53</v>
      </c>
      <c r="D3303" s="3">
        <f>IFERROR(__xludf.DUMMYFUNCTION("""COMPUTED_VALUE"""),53.0)</f>
        <v>53</v>
      </c>
      <c r="E3303" s="2"/>
      <c r="F3303" s="2"/>
    </row>
    <row r="3304">
      <c r="A3304" s="2">
        <f>IFERROR(__xludf.DUMMYFUNCTION("""COMPUTED_VALUE"""),46116.0)</f>
        <v>46116</v>
      </c>
      <c r="B3304" s="2">
        <f>IFERROR(__xludf.DUMMYFUNCTION("""COMPUTED_VALUE"""),0.0)</f>
        <v>0</v>
      </c>
      <c r="C3304" s="2">
        <f>IFERROR(__xludf.DUMMYFUNCTION("""COMPUTED_VALUE"""),99.0)</f>
        <v>99</v>
      </c>
      <c r="D3304" s="3">
        <f>IFERROR(__xludf.DUMMYFUNCTION("""COMPUTED_VALUE"""),15.0)</f>
        <v>15</v>
      </c>
      <c r="E3304" s="2"/>
      <c r="F3304" s="2"/>
    </row>
    <row r="3305">
      <c r="A3305" s="2">
        <f>IFERROR(__xludf.DUMMYFUNCTION("""COMPUTED_VALUE"""),46119.0)</f>
        <v>46119</v>
      </c>
      <c r="B3305" s="2">
        <f>IFERROR(__xludf.DUMMYFUNCTION("""COMPUTED_VALUE"""),1.0)</f>
        <v>1</v>
      </c>
      <c r="C3305" s="2">
        <f>IFERROR(__xludf.DUMMYFUNCTION("""COMPUTED_VALUE"""),482.0)</f>
        <v>482</v>
      </c>
      <c r="D3305" s="3">
        <f>IFERROR(__xludf.DUMMYFUNCTION("""COMPUTED_VALUE"""),465.0)</f>
        <v>465</v>
      </c>
      <c r="E3305" s="2"/>
      <c r="F3305" s="2"/>
    </row>
    <row r="3306">
      <c r="A3306" s="2">
        <f>IFERROR(__xludf.DUMMYFUNCTION("""COMPUTED_VALUE"""),63867.0)</f>
        <v>63867</v>
      </c>
      <c r="B3306" s="2">
        <f>IFERROR(__xludf.DUMMYFUNCTION("""COMPUTED_VALUE"""),1.0)</f>
        <v>1</v>
      </c>
      <c r="C3306" s="2">
        <f>IFERROR(__xludf.DUMMYFUNCTION("""COMPUTED_VALUE"""),264.0)</f>
        <v>264</v>
      </c>
      <c r="D3306" s="3">
        <f>IFERROR(__xludf.DUMMYFUNCTION("""COMPUTED_VALUE"""),239.0)</f>
        <v>239</v>
      </c>
      <c r="E3306" s="2"/>
      <c r="F3306" s="2"/>
    </row>
    <row r="3307">
      <c r="A3307" s="2">
        <f>IFERROR(__xludf.DUMMYFUNCTION("""COMPUTED_VALUE"""),80190.0)</f>
        <v>80190</v>
      </c>
      <c r="B3307" s="2">
        <f>IFERROR(__xludf.DUMMYFUNCTION("""COMPUTED_VALUE"""),0.0)</f>
        <v>0</v>
      </c>
      <c r="C3307" s="2">
        <f>IFERROR(__xludf.DUMMYFUNCTION("""COMPUTED_VALUE"""),556.0)</f>
        <v>556</v>
      </c>
      <c r="D3307" s="3">
        <f>IFERROR(__xludf.DUMMYFUNCTION("""COMPUTED_VALUE"""),209.0)</f>
        <v>209</v>
      </c>
      <c r="E3307" s="2"/>
      <c r="F3307" s="2"/>
    </row>
    <row r="3308">
      <c r="A3308" s="2">
        <f>IFERROR(__xludf.DUMMYFUNCTION("""COMPUTED_VALUE"""),48485.0)</f>
        <v>48485</v>
      </c>
      <c r="B3308" s="2">
        <f>IFERROR(__xludf.DUMMYFUNCTION("""COMPUTED_VALUE"""),1.0)</f>
        <v>1</v>
      </c>
      <c r="C3308" s="2">
        <f>IFERROR(__xludf.DUMMYFUNCTION("""COMPUTED_VALUE"""),837.0)</f>
        <v>837</v>
      </c>
      <c r="D3308" s="3">
        <f>IFERROR(__xludf.DUMMYFUNCTION("""COMPUTED_VALUE"""),295.0)</f>
        <v>295</v>
      </c>
      <c r="E3308" s="2"/>
      <c r="F3308" s="2"/>
    </row>
    <row r="3309">
      <c r="A3309" s="2">
        <f>IFERROR(__xludf.DUMMYFUNCTION("""COMPUTED_VALUE"""),80203.0)</f>
        <v>80203</v>
      </c>
      <c r="B3309" s="2">
        <f>IFERROR(__xludf.DUMMYFUNCTION("""COMPUTED_VALUE"""),1.0)</f>
        <v>1</v>
      </c>
      <c r="C3309" s="2">
        <f>IFERROR(__xludf.DUMMYFUNCTION("""COMPUTED_VALUE"""),787.0)</f>
        <v>787</v>
      </c>
      <c r="D3309" s="3">
        <f>IFERROR(__xludf.DUMMYFUNCTION("""COMPUTED_VALUE"""),696.0)</f>
        <v>696</v>
      </c>
      <c r="E3309" s="2"/>
      <c r="F3309" s="2"/>
    </row>
    <row r="3310">
      <c r="A3310" s="2">
        <f>IFERROR(__xludf.DUMMYFUNCTION("""COMPUTED_VALUE"""),100670.0)</f>
        <v>100670</v>
      </c>
      <c r="B3310" s="2">
        <f>IFERROR(__xludf.DUMMYFUNCTION("""COMPUTED_VALUE"""),1.0)</f>
        <v>1</v>
      </c>
      <c r="C3310" s="2">
        <f>IFERROR(__xludf.DUMMYFUNCTION("""COMPUTED_VALUE"""),182.0)</f>
        <v>182</v>
      </c>
      <c r="D3310" s="3">
        <f>IFERROR(__xludf.DUMMYFUNCTION("""COMPUTED_VALUE"""),10.0)</f>
        <v>10</v>
      </c>
      <c r="E3310" s="2"/>
      <c r="F3310" s="2"/>
    </row>
    <row r="3311">
      <c r="A3311" s="2">
        <f>IFERROR(__xludf.DUMMYFUNCTION("""COMPUTED_VALUE"""),16546.0)</f>
        <v>16546</v>
      </c>
      <c r="B3311" s="2">
        <f>IFERROR(__xludf.DUMMYFUNCTION("""COMPUTED_VALUE"""),1.0)</f>
        <v>1</v>
      </c>
      <c r="C3311" s="2">
        <f>IFERROR(__xludf.DUMMYFUNCTION("""COMPUTED_VALUE"""),580.0)</f>
        <v>580</v>
      </c>
      <c r="D3311" s="3">
        <f>IFERROR(__xludf.DUMMYFUNCTION("""COMPUTED_VALUE"""),165.0)</f>
        <v>165</v>
      </c>
      <c r="E3311" s="2"/>
      <c r="F3311" s="2"/>
    </row>
    <row r="3312">
      <c r="A3312" s="2">
        <f>IFERROR(__xludf.DUMMYFUNCTION("""COMPUTED_VALUE"""),121622.0)</f>
        <v>121622</v>
      </c>
      <c r="B3312" s="2">
        <f>IFERROR(__xludf.DUMMYFUNCTION("""COMPUTED_VALUE"""),1.0)</f>
        <v>1</v>
      </c>
      <c r="C3312" s="2">
        <f>IFERROR(__xludf.DUMMYFUNCTION("""COMPUTED_VALUE"""),192.0)</f>
        <v>192</v>
      </c>
      <c r="D3312" s="3">
        <f>IFERROR(__xludf.DUMMYFUNCTION("""COMPUTED_VALUE"""),164.0)</f>
        <v>164</v>
      </c>
      <c r="E3312" s="2"/>
      <c r="F3312" s="2"/>
    </row>
    <row r="3313">
      <c r="A3313" s="2">
        <f>IFERROR(__xludf.DUMMYFUNCTION("""COMPUTED_VALUE"""),80202.0)</f>
        <v>80202</v>
      </c>
      <c r="B3313" s="2">
        <f>IFERROR(__xludf.DUMMYFUNCTION("""COMPUTED_VALUE"""),1.0)</f>
        <v>1</v>
      </c>
      <c r="C3313" s="2">
        <f>IFERROR(__xludf.DUMMYFUNCTION("""COMPUTED_VALUE"""),776.0)</f>
        <v>776</v>
      </c>
      <c r="D3313" s="3">
        <f>IFERROR(__xludf.DUMMYFUNCTION("""COMPUTED_VALUE"""),205.0)</f>
        <v>205</v>
      </c>
      <c r="E3313" s="2"/>
      <c r="F3313" s="2"/>
    </row>
    <row r="3314">
      <c r="A3314" s="2">
        <f>IFERROR(__xludf.DUMMYFUNCTION("""COMPUTED_VALUE"""),24263.0)</f>
        <v>24263</v>
      </c>
      <c r="B3314" s="2">
        <f>IFERROR(__xludf.DUMMYFUNCTION("""COMPUTED_VALUE"""),0.0)</f>
        <v>0</v>
      </c>
      <c r="C3314" s="2">
        <f>IFERROR(__xludf.DUMMYFUNCTION("""COMPUTED_VALUE"""),716.0)</f>
        <v>716</v>
      </c>
      <c r="D3314" s="3">
        <f>IFERROR(__xludf.DUMMYFUNCTION("""COMPUTED_VALUE"""),606.0)</f>
        <v>606</v>
      </c>
      <c r="E3314" s="2"/>
      <c r="F3314" s="2"/>
    </row>
    <row r="3315">
      <c r="A3315" s="2">
        <f>IFERROR(__xludf.DUMMYFUNCTION("""COMPUTED_VALUE"""),16552.0)</f>
        <v>16552</v>
      </c>
      <c r="B3315" s="2">
        <f>IFERROR(__xludf.DUMMYFUNCTION("""COMPUTED_VALUE"""),1.0)</f>
        <v>1</v>
      </c>
      <c r="C3315" s="2">
        <f>IFERROR(__xludf.DUMMYFUNCTION("""COMPUTED_VALUE"""),203.0)</f>
        <v>203</v>
      </c>
      <c r="D3315" s="3">
        <f>IFERROR(__xludf.DUMMYFUNCTION("""COMPUTED_VALUE"""),25.0)</f>
        <v>25</v>
      </c>
      <c r="E3315" s="2"/>
      <c r="F3315" s="2"/>
    </row>
    <row r="3316">
      <c r="A3316" s="2">
        <f>IFERROR(__xludf.DUMMYFUNCTION("""COMPUTED_VALUE"""),112771.0)</f>
        <v>112771</v>
      </c>
      <c r="B3316" s="2">
        <f>IFERROR(__xludf.DUMMYFUNCTION("""COMPUTED_VALUE"""),1.0)</f>
        <v>1</v>
      </c>
      <c r="C3316" s="2">
        <f>IFERROR(__xludf.DUMMYFUNCTION("""COMPUTED_VALUE"""),459.0)</f>
        <v>459</v>
      </c>
      <c r="D3316" s="3">
        <f>IFERROR(__xludf.DUMMYFUNCTION("""COMPUTED_VALUE"""),111.0)</f>
        <v>111</v>
      </c>
      <c r="E3316" s="2"/>
      <c r="F3316" s="2"/>
    </row>
    <row r="3317">
      <c r="A3317" s="2">
        <f>IFERROR(__xludf.DUMMYFUNCTION("""COMPUTED_VALUE"""),116197.0)</f>
        <v>116197</v>
      </c>
      <c r="B3317" s="2">
        <f>IFERROR(__xludf.DUMMYFUNCTION("""COMPUTED_VALUE"""),1.0)</f>
        <v>1</v>
      </c>
      <c r="C3317" s="2">
        <f>IFERROR(__xludf.DUMMYFUNCTION("""COMPUTED_VALUE"""),356.0)</f>
        <v>356</v>
      </c>
      <c r="D3317" s="3">
        <f>IFERROR(__xludf.DUMMYFUNCTION("""COMPUTED_VALUE"""),129.0)</f>
        <v>129</v>
      </c>
      <c r="E3317" s="2"/>
      <c r="F3317" s="2"/>
    </row>
    <row r="3318">
      <c r="A3318" s="2">
        <f>IFERROR(__xludf.DUMMYFUNCTION("""COMPUTED_VALUE"""),46138.0)</f>
        <v>46138</v>
      </c>
      <c r="B3318" s="2">
        <f>IFERROR(__xludf.DUMMYFUNCTION("""COMPUTED_VALUE"""),0.0)</f>
        <v>0</v>
      </c>
      <c r="C3318" s="2">
        <f>IFERROR(__xludf.DUMMYFUNCTION("""COMPUTED_VALUE"""),873.0)</f>
        <v>873</v>
      </c>
      <c r="D3318" s="3">
        <f>IFERROR(__xludf.DUMMYFUNCTION("""COMPUTED_VALUE"""),638.0)</f>
        <v>638</v>
      </c>
      <c r="E3318" s="2"/>
      <c r="F3318" s="2"/>
    </row>
    <row r="3319">
      <c r="A3319" s="2">
        <f>IFERROR(__xludf.DUMMYFUNCTION("""COMPUTED_VALUE"""),109546.0)</f>
        <v>109546</v>
      </c>
      <c r="B3319" s="2">
        <f>IFERROR(__xludf.DUMMYFUNCTION("""COMPUTED_VALUE"""),0.0)</f>
        <v>0</v>
      </c>
      <c r="C3319" s="2">
        <f>IFERROR(__xludf.DUMMYFUNCTION("""COMPUTED_VALUE"""),349.0)</f>
        <v>349</v>
      </c>
      <c r="D3319" s="3">
        <f>IFERROR(__xludf.DUMMYFUNCTION("""COMPUTED_VALUE"""),272.0)</f>
        <v>272</v>
      </c>
      <c r="E3319" s="2"/>
      <c r="F3319" s="2"/>
    </row>
    <row r="3320">
      <c r="A3320" s="2">
        <f>IFERROR(__xludf.DUMMYFUNCTION("""COMPUTED_VALUE"""),199475.0)</f>
        <v>199475</v>
      </c>
      <c r="B3320" s="2">
        <f>IFERROR(__xludf.DUMMYFUNCTION("""COMPUTED_VALUE"""),0.0)</f>
        <v>0</v>
      </c>
      <c r="C3320" s="2">
        <f>IFERROR(__xludf.DUMMYFUNCTION("""COMPUTED_VALUE"""),819.0)</f>
        <v>819</v>
      </c>
      <c r="D3320" s="3">
        <f>IFERROR(__xludf.DUMMYFUNCTION("""COMPUTED_VALUE"""),330.0)</f>
        <v>330</v>
      </c>
      <c r="E3320" s="2"/>
      <c r="F3320" s="2"/>
    </row>
    <row r="3321">
      <c r="A3321" s="2">
        <f>IFERROR(__xludf.DUMMYFUNCTION("""COMPUTED_VALUE"""),199479.0)</f>
        <v>199479</v>
      </c>
      <c r="B3321" s="2">
        <f>IFERROR(__xludf.DUMMYFUNCTION("""COMPUTED_VALUE"""),1.0)</f>
        <v>1</v>
      </c>
      <c r="C3321" s="2">
        <f>IFERROR(__xludf.DUMMYFUNCTION("""COMPUTED_VALUE"""),161.0)</f>
        <v>161</v>
      </c>
      <c r="D3321" s="3">
        <f>IFERROR(__xludf.DUMMYFUNCTION("""COMPUTED_VALUE"""),116.0)</f>
        <v>116</v>
      </c>
      <c r="E3321" s="2"/>
      <c r="F3321" s="2"/>
    </row>
    <row r="3322">
      <c r="A3322" s="2">
        <f>IFERROR(__xludf.DUMMYFUNCTION("""COMPUTED_VALUE"""),48180.0)</f>
        <v>48180</v>
      </c>
      <c r="B3322" s="2">
        <f>IFERROR(__xludf.DUMMYFUNCTION("""COMPUTED_VALUE"""),1.0)</f>
        <v>1</v>
      </c>
      <c r="C3322" s="2">
        <f>IFERROR(__xludf.DUMMYFUNCTION("""COMPUTED_VALUE"""),136.0)</f>
        <v>136</v>
      </c>
      <c r="D3322" s="3">
        <f>IFERROR(__xludf.DUMMYFUNCTION("""COMPUTED_VALUE"""),133.0)</f>
        <v>133</v>
      </c>
      <c r="E3322" s="2"/>
      <c r="F3322" s="2"/>
    </row>
    <row r="3323">
      <c r="A3323" s="2">
        <f>IFERROR(__xludf.DUMMYFUNCTION("""COMPUTED_VALUE"""),90374.0)</f>
        <v>90374</v>
      </c>
      <c r="B3323" s="2">
        <f>IFERROR(__xludf.DUMMYFUNCTION("""COMPUTED_VALUE"""),0.0)</f>
        <v>0</v>
      </c>
      <c r="C3323" s="2">
        <f>IFERROR(__xludf.DUMMYFUNCTION("""COMPUTED_VALUE"""),963.0)</f>
        <v>963</v>
      </c>
      <c r="D3323" s="3">
        <f>IFERROR(__xludf.DUMMYFUNCTION("""COMPUTED_VALUE"""),696.0)</f>
        <v>696</v>
      </c>
      <c r="E3323" s="2"/>
      <c r="F3323" s="2"/>
    </row>
    <row r="3324">
      <c r="A3324" s="2">
        <f>IFERROR(__xludf.DUMMYFUNCTION("""COMPUTED_VALUE"""),80318.0)</f>
        <v>80318</v>
      </c>
      <c r="B3324" s="2">
        <f>IFERROR(__xludf.DUMMYFUNCTION("""COMPUTED_VALUE"""),1.0)</f>
        <v>1</v>
      </c>
      <c r="C3324" s="2">
        <f>IFERROR(__xludf.DUMMYFUNCTION("""COMPUTED_VALUE"""),167.0)</f>
        <v>167</v>
      </c>
      <c r="D3324" s="3">
        <f>IFERROR(__xludf.DUMMYFUNCTION("""COMPUTED_VALUE"""),154.0)</f>
        <v>154</v>
      </c>
      <c r="E3324" s="2"/>
      <c r="F3324" s="2"/>
    </row>
    <row r="3325">
      <c r="A3325" s="2">
        <f>IFERROR(__xludf.DUMMYFUNCTION("""COMPUTED_VALUE"""),6206.0)</f>
        <v>6206</v>
      </c>
      <c r="B3325" s="2">
        <f>IFERROR(__xludf.DUMMYFUNCTION("""COMPUTED_VALUE"""),1.0)</f>
        <v>1</v>
      </c>
      <c r="C3325" s="2">
        <f>IFERROR(__xludf.DUMMYFUNCTION("""COMPUTED_VALUE"""),394.0)</f>
        <v>394</v>
      </c>
      <c r="D3325" s="3">
        <f>IFERROR(__xludf.DUMMYFUNCTION("""COMPUTED_VALUE"""),140.0)</f>
        <v>140</v>
      </c>
      <c r="E3325" s="2"/>
      <c r="F3325" s="2"/>
    </row>
    <row r="3326">
      <c r="A3326" s="2">
        <f>IFERROR(__xludf.DUMMYFUNCTION("""COMPUTED_VALUE"""),181492.0)</f>
        <v>181492</v>
      </c>
      <c r="B3326" s="2">
        <f>IFERROR(__xludf.DUMMYFUNCTION("""COMPUTED_VALUE"""),0.0)</f>
        <v>0</v>
      </c>
      <c r="C3326" s="2">
        <f>IFERROR(__xludf.DUMMYFUNCTION("""COMPUTED_VALUE"""),136.0)</f>
        <v>136</v>
      </c>
      <c r="D3326" s="3">
        <f>IFERROR(__xludf.DUMMYFUNCTION("""COMPUTED_VALUE"""),17.0)</f>
        <v>17</v>
      </c>
      <c r="E3326" s="2"/>
      <c r="F3326" s="2"/>
    </row>
    <row r="3327">
      <c r="A3327" s="2">
        <f>IFERROR(__xludf.DUMMYFUNCTION("""COMPUTED_VALUE"""),148738.0)</f>
        <v>148738</v>
      </c>
      <c r="B3327" s="2">
        <f>IFERROR(__xludf.DUMMYFUNCTION("""COMPUTED_VALUE"""),0.0)</f>
        <v>0</v>
      </c>
      <c r="C3327" s="2">
        <f>IFERROR(__xludf.DUMMYFUNCTION("""COMPUTED_VALUE"""),81.0)</f>
        <v>81</v>
      </c>
      <c r="D3327" s="3">
        <f>IFERROR(__xludf.DUMMYFUNCTION("""COMPUTED_VALUE"""),21.0)</f>
        <v>21</v>
      </c>
      <c r="E3327" s="2"/>
      <c r="F3327" s="2"/>
    </row>
    <row r="3328">
      <c r="A3328" s="2">
        <f>IFERROR(__xludf.DUMMYFUNCTION("""COMPUTED_VALUE"""),100692.0)</f>
        <v>100692</v>
      </c>
      <c r="B3328" s="2">
        <f>IFERROR(__xludf.DUMMYFUNCTION("""COMPUTED_VALUE"""),1.0)</f>
        <v>1</v>
      </c>
      <c r="C3328" s="2">
        <f>IFERROR(__xludf.DUMMYFUNCTION("""COMPUTED_VALUE"""),746.0)</f>
        <v>746</v>
      </c>
      <c r="D3328" s="3">
        <f>IFERROR(__xludf.DUMMYFUNCTION("""COMPUTED_VALUE"""),564.0)</f>
        <v>564</v>
      </c>
      <c r="E3328" s="2"/>
      <c r="F3328" s="2"/>
    </row>
    <row r="3329">
      <c r="A3329" s="2">
        <f>IFERROR(__xludf.DUMMYFUNCTION("""COMPUTED_VALUE"""),121708.0)</f>
        <v>121708</v>
      </c>
      <c r="B3329" s="2">
        <f>IFERROR(__xludf.DUMMYFUNCTION("""COMPUTED_VALUE"""),1.0)</f>
        <v>1</v>
      </c>
      <c r="C3329" s="2">
        <f>IFERROR(__xludf.DUMMYFUNCTION("""COMPUTED_VALUE"""),900.0)</f>
        <v>900</v>
      </c>
      <c r="D3329" s="3">
        <f>IFERROR(__xludf.DUMMYFUNCTION("""COMPUTED_VALUE"""),598.0)</f>
        <v>598</v>
      </c>
      <c r="E3329" s="2"/>
      <c r="F3329" s="2"/>
    </row>
    <row r="3330">
      <c r="A3330" s="2">
        <f>IFERROR(__xludf.DUMMYFUNCTION("""COMPUTED_VALUE"""),47508.0)</f>
        <v>47508</v>
      </c>
      <c r="B3330" s="2">
        <f>IFERROR(__xludf.DUMMYFUNCTION("""COMPUTED_VALUE"""),0.0)</f>
        <v>0</v>
      </c>
      <c r="C3330" s="2">
        <f>IFERROR(__xludf.DUMMYFUNCTION("""COMPUTED_VALUE"""),192.0)</f>
        <v>192</v>
      </c>
      <c r="D3330" s="3">
        <f>IFERROR(__xludf.DUMMYFUNCTION("""COMPUTED_VALUE"""),41.0)</f>
        <v>41</v>
      </c>
      <c r="E3330" s="2"/>
      <c r="F3330" s="2"/>
    </row>
    <row r="3331">
      <c r="A3331" s="2">
        <f>IFERROR(__xludf.DUMMYFUNCTION("""COMPUTED_VALUE"""),89514.0)</f>
        <v>89514</v>
      </c>
      <c r="B3331" s="2">
        <f>IFERROR(__xludf.DUMMYFUNCTION("""COMPUTED_VALUE"""),1.0)</f>
        <v>1</v>
      </c>
      <c r="C3331" s="2">
        <f>IFERROR(__xludf.DUMMYFUNCTION("""COMPUTED_VALUE"""),935.0)</f>
        <v>935</v>
      </c>
      <c r="D3331" s="3">
        <f>IFERROR(__xludf.DUMMYFUNCTION("""COMPUTED_VALUE"""),131.0)</f>
        <v>131</v>
      </c>
      <c r="E3331" s="2"/>
      <c r="F3331" s="2"/>
    </row>
    <row r="3332">
      <c r="A3332" s="2">
        <f>IFERROR(__xludf.DUMMYFUNCTION("""COMPUTED_VALUE"""),117918.0)</f>
        <v>117918</v>
      </c>
      <c r="B3332" s="2">
        <f>IFERROR(__xludf.DUMMYFUNCTION("""COMPUTED_VALUE"""),0.0)</f>
        <v>0</v>
      </c>
      <c r="C3332" s="2">
        <f>IFERROR(__xludf.DUMMYFUNCTION("""COMPUTED_VALUE"""),8.0)</f>
        <v>8</v>
      </c>
      <c r="D3332" s="3">
        <f>IFERROR(__xludf.DUMMYFUNCTION("""COMPUTED_VALUE"""),7.0)</f>
        <v>7</v>
      </c>
      <c r="E3332" s="2"/>
      <c r="F3332" s="2"/>
    </row>
    <row r="3333">
      <c r="A3333" s="2">
        <f>IFERROR(__xludf.DUMMYFUNCTION("""COMPUTED_VALUE"""),16645.0)</f>
        <v>16645</v>
      </c>
      <c r="B3333" s="2">
        <f>IFERROR(__xludf.DUMMYFUNCTION("""COMPUTED_VALUE"""),0.0)</f>
        <v>0</v>
      </c>
      <c r="C3333" s="2">
        <f>IFERROR(__xludf.DUMMYFUNCTION("""COMPUTED_VALUE"""),521.0)</f>
        <v>521</v>
      </c>
      <c r="D3333" s="3">
        <f>IFERROR(__xludf.DUMMYFUNCTION("""COMPUTED_VALUE"""),391.0)</f>
        <v>391</v>
      </c>
      <c r="E3333" s="2"/>
      <c r="F3333" s="2"/>
    </row>
    <row r="3334">
      <c r="A3334" s="2">
        <f>IFERROR(__xludf.DUMMYFUNCTION("""COMPUTED_VALUE"""),148740.0)</f>
        <v>148740</v>
      </c>
      <c r="B3334" s="2">
        <f>IFERROR(__xludf.DUMMYFUNCTION("""COMPUTED_VALUE"""),0.0)</f>
        <v>0</v>
      </c>
      <c r="C3334" s="2">
        <f>IFERROR(__xludf.DUMMYFUNCTION("""COMPUTED_VALUE"""),54.0)</f>
        <v>54</v>
      </c>
      <c r="D3334" s="3">
        <f>IFERROR(__xludf.DUMMYFUNCTION("""COMPUTED_VALUE"""),50.0)</f>
        <v>50</v>
      </c>
      <c r="E3334" s="2"/>
      <c r="F3334" s="2"/>
    </row>
    <row r="3335">
      <c r="A3335" s="2">
        <f>IFERROR(__xludf.DUMMYFUNCTION("""COMPUTED_VALUE"""),100688.0)</f>
        <v>100688</v>
      </c>
      <c r="B3335" s="2">
        <f>IFERROR(__xludf.DUMMYFUNCTION("""COMPUTED_VALUE"""),0.0)</f>
        <v>0</v>
      </c>
      <c r="C3335" s="2">
        <f>IFERROR(__xludf.DUMMYFUNCTION("""COMPUTED_VALUE"""),21.0)</f>
        <v>21</v>
      </c>
      <c r="D3335" s="3">
        <f>IFERROR(__xludf.DUMMYFUNCTION("""COMPUTED_VALUE"""),20.0)</f>
        <v>20</v>
      </c>
      <c r="E3335" s="2"/>
      <c r="F3335" s="2"/>
    </row>
    <row r="3336">
      <c r="A3336" s="2">
        <f>IFERROR(__xludf.DUMMYFUNCTION("""COMPUTED_VALUE"""),148741.0)</f>
        <v>148741</v>
      </c>
      <c r="B3336" s="2">
        <f>IFERROR(__xludf.DUMMYFUNCTION("""COMPUTED_VALUE"""),1.0)</f>
        <v>1</v>
      </c>
      <c r="C3336" s="2">
        <f>IFERROR(__xludf.DUMMYFUNCTION("""COMPUTED_VALUE"""),729.0)</f>
        <v>729</v>
      </c>
      <c r="D3336" s="3">
        <f>IFERROR(__xludf.DUMMYFUNCTION("""COMPUTED_VALUE"""),723.0)</f>
        <v>723</v>
      </c>
      <c r="E3336" s="2"/>
      <c r="F3336" s="2"/>
    </row>
    <row r="3337">
      <c r="A3337" s="2">
        <f>IFERROR(__xludf.DUMMYFUNCTION("""COMPUTED_VALUE"""),109299.0)</f>
        <v>109299</v>
      </c>
      <c r="B3337" s="2">
        <f>IFERROR(__xludf.DUMMYFUNCTION("""COMPUTED_VALUE"""),1.0)</f>
        <v>1</v>
      </c>
      <c r="C3337" s="2">
        <f>IFERROR(__xludf.DUMMYFUNCTION("""COMPUTED_VALUE"""),425.0)</f>
        <v>425</v>
      </c>
      <c r="D3337" s="3">
        <f>IFERROR(__xludf.DUMMYFUNCTION("""COMPUTED_VALUE"""),173.0)</f>
        <v>173</v>
      </c>
      <c r="E3337" s="2"/>
      <c r="F3337" s="2"/>
    </row>
    <row r="3338">
      <c r="A3338" s="2">
        <f>IFERROR(__xludf.DUMMYFUNCTION("""COMPUTED_VALUE"""),196109.0)</f>
        <v>196109</v>
      </c>
      <c r="B3338" s="2">
        <f>IFERROR(__xludf.DUMMYFUNCTION("""COMPUTED_VALUE"""),0.0)</f>
        <v>0</v>
      </c>
      <c r="C3338" s="2">
        <f>IFERROR(__xludf.DUMMYFUNCTION("""COMPUTED_VALUE"""),33.0)</f>
        <v>33</v>
      </c>
      <c r="D3338" s="3">
        <f>IFERROR(__xludf.DUMMYFUNCTION("""COMPUTED_VALUE"""),17.0)</f>
        <v>17</v>
      </c>
      <c r="E3338" s="2"/>
      <c r="F3338" s="2"/>
    </row>
    <row r="3339">
      <c r="A3339" s="2">
        <f>IFERROR(__xludf.DUMMYFUNCTION("""COMPUTED_VALUE"""),72155.0)</f>
        <v>72155</v>
      </c>
      <c r="B3339" s="2">
        <f>IFERROR(__xludf.DUMMYFUNCTION("""COMPUTED_VALUE"""),1.0)</f>
        <v>1</v>
      </c>
      <c r="C3339" s="2">
        <f>IFERROR(__xludf.DUMMYFUNCTION("""COMPUTED_VALUE"""),189.0)</f>
        <v>189</v>
      </c>
      <c r="D3339" s="3">
        <f>IFERROR(__xludf.DUMMYFUNCTION("""COMPUTED_VALUE"""),85.0)</f>
        <v>85</v>
      </c>
      <c r="E3339" s="2"/>
      <c r="F3339" s="2"/>
    </row>
    <row r="3340">
      <c r="A3340" s="2">
        <f>IFERROR(__xludf.DUMMYFUNCTION("""COMPUTED_VALUE"""),80245.0)</f>
        <v>80245</v>
      </c>
      <c r="B3340" s="2">
        <f>IFERROR(__xludf.DUMMYFUNCTION("""COMPUTED_VALUE"""),1.0)</f>
        <v>1</v>
      </c>
      <c r="C3340" s="2">
        <f>IFERROR(__xludf.DUMMYFUNCTION("""COMPUTED_VALUE"""),313.0)</f>
        <v>313</v>
      </c>
      <c r="D3340" s="3">
        <f>IFERROR(__xludf.DUMMYFUNCTION("""COMPUTED_VALUE"""),95.0)</f>
        <v>95</v>
      </c>
      <c r="E3340" s="2"/>
      <c r="F3340" s="2"/>
    </row>
    <row r="3341">
      <c r="A3341" s="2">
        <f>IFERROR(__xludf.DUMMYFUNCTION("""COMPUTED_VALUE"""),6215.0)</f>
        <v>6215</v>
      </c>
      <c r="B3341" s="2">
        <f>IFERROR(__xludf.DUMMYFUNCTION("""COMPUTED_VALUE"""),1.0)</f>
        <v>1</v>
      </c>
      <c r="C3341" s="2">
        <f>IFERROR(__xludf.DUMMYFUNCTION("""COMPUTED_VALUE"""),5.0)</f>
        <v>5</v>
      </c>
      <c r="D3341" s="3">
        <f>IFERROR(__xludf.DUMMYFUNCTION("""COMPUTED_VALUE"""),0.0)</f>
        <v>0</v>
      </c>
      <c r="E3341" s="2"/>
      <c r="F3341" s="2"/>
    </row>
    <row r="3342">
      <c r="A3342" s="2">
        <f>IFERROR(__xludf.DUMMYFUNCTION("""COMPUTED_VALUE"""),45810.0)</f>
        <v>45810</v>
      </c>
      <c r="B3342" s="2">
        <f>IFERROR(__xludf.DUMMYFUNCTION("""COMPUTED_VALUE"""),1.0)</f>
        <v>1</v>
      </c>
      <c r="C3342" s="2">
        <f>IFERROR(__xludf.DUMMYFUNCTION("""COMPUTED_VALUE"""),71.0)</f>
        <v>71</v>
      </c>
      <c r="D3342" s="3">
        <f>IFERROR(__xludf.DUMMYFUNCTION("""COMPUTED_VALUE"""),38.0)</f>
        <v>38</v>
      </c>
      <c r="E3342" s="2"/>
      <c r="F3342" s="2"/>
    </row>
    <row r="3343">
      <c r="A3343" s="2">
        <f>IFERROR(__xludf.DUMMYFUNCTION("""COMPUTED_VALUE"""),80205.0)</f>
        <v>80205</v>
      </c>
      <c r="B3343" s="2">
        <f>IFERROR(__xludf.DUMMYFUNCTION("""COMPUTED_VALUE"""),1.0)</f>
        <v>1</v>
      </c>
      <c r="C3343" s="2">
        <f>IFERROR(__xludf.DUMMYFUNCTION("""COMPUTED_VALUE"""),865.0)</f>
        <v>865</v>
      </c>
      <c r="D3343" s="3">
        <f>IFERROR(__xludf.DUMMYFUNCTION("""COMPUTED_VALUE"""),198.0)</f>
        <v>198</v>
      </c>
      <c r="E3343" s="2"/>
      <c r="F3343" s="2"/>
    </row>
    <row r="3344">
      <c r="A3344" s="2">
        <f>IFERROR(__xludf.DUMMYFUNCTION("""COMPUTED_VALUE"""),107064.0)</f>
        <v>107064</v>
      </c>
      <c r="B3344" s="2">
        <f>IFERROR(__xludf.DUMMYFUNCTION("""COMPUTED_VALUE"""),0.0)</f>
        <v>0</v>
      </c>
      <c r="C3344" s="2">
        <f>IFERROR(__xludf.DUMMYFUNCTION("""COMPUTED_VALUE"""),105.0)</f>
        <v>105</v>
      </c>
      <c r="D3344" s="3">
        <f>IFERROR(__xludf.DUMMYFUNCTION("""COMPUTED_VALUE"""),59.0)</f>
        <v>59</v>
      </c>
      <c r="E3344" s="2"/>
      <c r="F3344" s="2"/>
    </row>
    <row r="3345">
      <c r="A3345" s="2">
        <f>IFERROR(__xludf.DUMMYFUNCTION("""COMPUTED_VALUE"""),6211.0)</f>
        <v>6211</v>
      </c>
      <c r="B3345" s="2">
        <f>IFERROR(__xludf.DUMMYFUNCTION("""COMPUTED_VALUE"""),0.0)</f>
        <v>0</v>
      </c>
      <c r="C3345" s="2">
        <f>IFERROR(__xludf.DUMMYFUNCTION("""COMPUTED_VALUE"""),332.0)</f>
        <v>332</v>
      </c>
      <c r="D3345" s="3">
        <f>IFERROR(__xludf.DUMMYFUNCTION("""COMPUTED_VALUE"""),75.0)</f>
        <v>75</v>
      </c>
      <c r="E3345" s="2"/>
      <c r="F3345" s="2"/>
    </row>
    <row r="3346">
      <c r="A3346" s="2">
        <f>IFERROR(__xludf.DUMMYFUNCTION("""COMPUTED_VALUE"""),44036.0)</f>
        <v>44036</v>
      </c>
      <c r="B3346" s="2">
        <f>IFERROR(__xludf.DUMMYFUNCTION("""COMPUTED_VALUE"""),0.0)</f>
        <v>0</v>
      </c>
      <c r="C3346" s="2">
        <f>IFERROR(__xludf.DUMMYFUNCTION("""COMPUTED_VALUE"""),720.0)</f>
        <v>720</v>
      </c>
      <c r="D3346" s="3">
        <f>IFERROR(__xludf.DUMMYFUNCTION("""COMPUTED_VALUE"""),30.0)</f>
        <v>30</v>
      </c>
      <c r="E3346" s="2"/>
      <c r="F3346" s="2"/>
    </row>
    <row r="3347">
      <c r="A3347" s="2">
        <f>IFERROR(__xludf.DUMMYFUNCTION("""COMPUTED_VALUE"""),181493.0)</f>
        <v>181493</v>
      </c>
      <c r="B3347" s="2">
        <f>IFERROR(__xludf.DUMMYFUNCTION("""COMPUTED_VALUE"""),0.0)</f>
        <v>0</v>
      </c>
      <c r="C3347" s="2">
        <f>IFERROR(__xludf.DUMMYFUNCTION("""COMPUTED_VALUE"""),944.0)</f>
        <v>944</v>
      </c>
      <c r="D3347" s="3">
        <f>IFERROR(__xludf.DUMMYFUNCTION("""COMPUTED_VALUE"""),289.0)</f>
        <v>289</v>
      </c>
      <c r="E3347" s="2"/>
      <c r="F3347" s="2"/>
    </row>
    <row r="3348">
      <c r="A3348" s="2">
        <f>IFERROR(__xludf.DUMMYFUNCTION("""COMPUTED_VALUE"""),6210.0)</f>
        <v>6210</v>
      </c>
      <c r="B3348" s="2">
        <f>IFERROR(__xludf.DUMMYFUNCTION("""COMPUTED_VALUE"""),1.0)</f>
        <v>1</v>
      </c>
      <c r="C3348" s="2">
        <f>IFERROR(__xludf.DUMMYFUNCTION("""COMPUTED_VALUE"""),548.0)</f>
        <v>548</v>
      </c>
      <c r="D3348" s="3">
        <f>IFERROR(__xludf.DUMMYFUNCTION("""COMPUTED_VALUE"""),475.0)</f>
        <v>475</v>
      </c>
      <c r="E3348" s="2"/>
      <c r="F3348" s="2"/>
    </row>
    <row r="3349">
      <c r="A3349" s="2">
        <f>IFERROR(__xludf.DUMMYFUNCTION("""COMPUTED_VALUE"""),110431.0)</f>
        <v>110431</v>
      </c>
      <c r="B3349" s="2">
        <f>IFERROR(__xludf.DUMMYFUNCTION("""COMPUTED_VALUE"""),1.0)</f>
        <v>1</v>
      </c>
      <c r="C3349" s="2">
        <f>IFERROR(__xludf.DUMMYFUNCTION("""COMPUTED_VALUE"""),112.0)</f>
        <v>112</v>
      </c>
      <c r="D3349" s="3">
        <f>IFERROR(__xludf.DUMMYFUNCTION("""COMPUTED_VALUE"""),51.0)</f>
        <v>51</v>
      </c>
      <c r="E3349" s="2"/>
      <c r="F3349" s="2"/>
    </row>
    <row r="3350">
      <c r="A3350" s="2">
        <f>IFERROR(__xludf.DUMMYFUNCTION("""COMPUTED_VALUE"""),122878.0)</f>
        <v>122878</v>
      </c>
      <c r="B3350" s="2">
        <f>IFERROR(__xludf.DUMMYFUNCTION("""COMPUTED_VALUE"""),0.0)</f>
        <v>0</v>
      </c>
      <c r="C3350" s="2">
        <f>IFERROR(__xludf.DUMMYFUNCTION("""COMPUTED_VALUE"""),882.0)</f>
        <v>882</v>
      </c>
      <c r="D3350" s="3">
        <f>IFERROR(__xludf.DUMMYFUNCTION("""COMPUTED_VALUE"""),47.0)</f>
        <v>47</v>
      </c>
      <c r="E3350" s="2"/>
      <c r="F3350" s="2"/>
    </row>
    <row r="3351">
      <c r="A3351" s="2">
        <f>IFERROR(__xludf.DUMMYFUNCTION("""COMPUTED_VALUE"""),14092.0)</f>
        <v>14092</v>
      </c>
      <c r="B3351" s="2">
        <f>IFERROR(__xludf.DUMMYFUNCTION("""COMPUTED_VALUE"""),0.0)</f>
        <v>0</v>
      </c>
      <c r="C3351" s="2">
        <f>IFERROR(__xludf.DUMMYFUNCTION("""COMPUTED_VALUE"""),567.0)</f>
        <v>567</v>
      </c>
      <c r="D3351" s="3">
        <f>IFERROR(__xludf.DUMMYFUNCTION("""COMPUTED_VALUE"""),428.0)</f>
        <v>428</v>
      </c>
      <c r="E3351" s="2"/>
      <c r="F3351" s="2"/>
    </row>
    <row r="3352">
      <c r="A3352" s="2">
        <f>IFERROR(__xludf.DUMMYFUNCTION("""COMPUTED_VALUE"""),121621.0)</f>
        <v>121621</v>
      </c>
      <c r="B3352" s="2">
        <f>IFERROR(__xludf.DUMMYFUNCTION("""COMPUTED_VALUE"""),1.0)</f>
        <v>1</v>
      </c>
      <c r="C3352" s="2">
        <f>IFERROR(__xludf.DUMMYFUNCTION("""COMPUTED_VALUE"""),350.0)</f>
        <v>350</v>
      </c>
      <c r="D3352" s="3">
        <f>IFERROR(__xludf.DUMMYFUNCTION("""COMPUTED_VALUE"""),6.0)</f>
        <v>6</v>
      </c>
      <c r="E3352" s="2"/>
      <c r="F3352" s="2"/>
    </row>
    <row r="3353">
      <c r="A3353" s="2">
        <f>IFERROR(__xludf.DUMMYFUNCTION("""COMPUTED_VALUE"""),120511.0)</f>
        <v>120511</v>
      </c>
      <c r="B3353" s="2">
        <f>IFERROR(__xludf.DUMMYFUNCTION("""COMPUTED_VALUE"""),1.0)</f>
        <v>1</v>
      </c>
      <c r="C3353" s="2">
        <f>IFERROR(__xludf.DUMMYFUNCTION("""COMPUTED_VALUE"""),197.0)</f>
        <v>197</v>
      </c>
      <c r="D3353" s="3">
        <f>IFERROR(__xludf.DUMMYFUNCTION("""COMPUTED_VALUE"""),132.0)</f>
        <v>132</v>
      </c>
      <c r="E3353" s="2"/>
      <c r="F3353" s="2"/>
    </row>
    <row r="3354">
      <c r="A3354" s="2">
        <f>IFERROR(__xludf.DUMMYFUNCTION("""COMPUTED_VALUE"""),46132.0)</f>
        <v>46132</v>
      </c>
      <c r="B3354" s="2">
        <f>IFERROR(__xludf.DUMMYFUNCTION("""COMPUTED_VALUE"""),0.0)</f>
        <v>0</v>
      </c>
      <c r="C3354" s="2">
        <f>IFERROR(__xludf.DUMMYFUNCTION("""COMPUTED_VALUE"""),780.0)</f>
        <v>780</v>
      </c>
      <c r="D3354" s="3">
        <f>IFERROR(__xludf.DUMMYFUNCTION("""COMPUTED_VALUE"""),572.0)</f>
        <v>572</v>
      </c>
      <c r="E3354" s="2"/>
      <c r="F3354" s="2"/>
    </row>
    <row r="3355">
      <c r="A3355" s="2">
        <f>IFERROR(__xludf.DUMMYFUNCTION("""COMPUTED_VALUE"""),83014.0)</f>
        <v>83014</v>
      </c>
      <c r="B3355" s="2">
        <f>IFERROR(__xludf.DUMMYFUNCTION("""COMPUTED_VALUE"""),1.0)</f>
        <v>1</v>
      </c>
      <c r="C3355" s="2">
        <f>IFERROR(__xludf.DUMMYFUNCTION("""COMPUTED_VALUE"""),704.0)</f>
        <v>704</v>
      </c>
      <c r="D3355" s="3">
        <f>IFERROR(__xludf.DUMMYFUNCTION("""COMPUTED_VALUE"""),679.0)</f>
        <v>679</v>
      </c>
      <c r="E3355" s="2"/>
      <c r="F3355" s="2"/>
    </row>
    <row r="3356">
      <c r="A3356" s="2">
        <f>IFERROR(__xludf.DUMMYFUNCTION("""COMPUTED_VALUE"""),80199.0)</f>
        <v>80199</v>
      </c>
      <c r="B3356" s="2">
        <f>IFERROR(__xludf.DUMMYFUNCTION("""COMPUTED_VALUE"""),0.0)</f>
        <v>0</v>
      </c>
      <c r="C3356" s="2">
        <f>IFERROR(__xludf.DUMMYFUNCTION("""COMPUTED_VALUE"""),571.0)</f>
        <v>571</v>
      </c>
      <c r="D3356" s="3">
        <f>IFERROR(__xludf.DUMMYFUNCTION("""COMPUTED_VALUE"""),183.0)</f>
        <v>183</v>
      </c>
      <c r="E3356" s="2"/>
      <c r="F3356" s="2"/>
    </row>
    <row r="3357">
      <c r="A3357" s="2">
        <f>IFERROR(__xludf.DUMMYFUNCTION("""COMPUTED_VALUE"""),80201.0)</f>
        <v>80201</v>
      </c>
      <c r="B3357" s="2">
        <f>IFERROR(__xludf.DUMMYFUNCTION("""COMPUTED_VALUE"""),0.0)</f>
        <v>0</v>
      </c>
      <c r="C3357" s="2">
        <f>IFERROR(__xludf.DUMMYFUNCTION("""COMPUTED_VALUE"""),929.0)</f>
        <v>929</v>
      </c>
      <c r="D3357" s="3">
        <f>IFERROR(__xludf.DUMMYFUNCTION("""COMPUTED_VALUE"""),510.0)</f>
        <v>510</v>
      </c>
      <c r="E3357" s="2"/>
      <c r="F3357" s="2"/>
    </row>
    <row r="3358">
      <c r="A3358" s="2">
        <f>IFERROR(__xludf.DUMMYFUNCTION("""COMPUTED_VALUE"""),46131.0)</f>
        <v>46131</v>
      </c>
      <c r="B3358" s="2">
        <f>IFERROR(__xludf.DUMMYFUNCTION("""COMPUTED_VALUE"""),0.0)</f>
        <v>0</v>
      </c>
      <c r="C3358" s="2">
        <f>IFERROR(__xludf.DUMMYFUNCTION("""COMPUTED_VALUE"""),765.0)</f>
        <v>765</v>
      </c>
      <c r="D3358" s="3">
        <f>IFERROR(__xludf.DUMMYFUNCTION("""COMPUTED_VALUE"""),507.0)</f>
        <v>507</v>
      </c>
      <c r="E3358" s="2"/>
      <c r="F3358" s="2"/>
    </row>
    <row r="3359">
      <c r="A3359" s="2">
        <f>IFERROR(__xludf.DUMMYFUNCTION("""COMPUTED_VALUE"""),102346.0)</f>
        <v>102346</v>
      </c>
      <c r="B3359" s="2">
        <f>IFERROR(__xludf.DUMMYFUNCTION("""COMPUTED_VALUE"""),1.0)</f>
        <v>1</v>
      </c>
      <c r="C3359" s="2">
        <f>IFERROR(__xludf.DUMMYFUNCTION("""COMPUTED_VALUE"""),788.0)</f>
        <v>788</v>
      </c>
      <c r="D3359" s="3">
        <f>IFERROR(__xludf.DUMMYFUNCTION("""COMPUTED_VALUE"""),28.0)</f>
        <v>28</v>
      </c>
      <c r="E3359" s="2"/>
      <c r="F3359" s="2"/>
    </row>
    <row r="3360">
      <c r="A3360" s="2">
        <f>IFERROR(__xludf.DUMMYFUNCTION("""COMPUTED_VALUE"""),14094.0)</f>
        <v>14094</v>
      </c>
      <c r="B3360" s="2">
        <f>IFERROR(__xludf.DUMMYFUNCTION("""COMPUTED_VALUE"""),1.0)</f>
        <v>1</v>
      </c>
      <c r="C3360" s="2">
        <f>IFERROR(__xludf.DUMMYFUNCTION("""COMPUTED_VALUE"""),615.0)</f>
        <v>615</v>
      </c>
      <c r="D3360" s="3">
        <f>IFERROR(__xludf.DUMMYFUNCTION("""COMPUTED_VALUE"""),562.0)</f>
        <v>562</v>
      </c>
      <c r="E3360" s="2"/>
      <c r="F3360" s="2"/>
    </row>
    <row r="3361">
      <c r="A3361" s="2">
        <f>IFERROR(__xludf.DUMMYFUNCTION("""COMPUTED_VALUE"""),100679.0)</f>
        <v>100679</v>
      </c>
      <c r="B3361" s="2">
        <f>IFERROR(__xludf.DUMMYFUNCTION("""COMPUTED_VALUE"""),0.0)</f>
        <v>0</v>
      </c>
      <c r="C3361" s="2">
        <f>IFERROR(__xludf.DUMMYFUNCTION("""COMPUTED_VALUE"""),532.0)</f>
        <v>532</v>
      </c>
      <c r="D3361" s="3">
        <f>IFERROR(__xludf.DUMMYFUNCTION("""COMPUTED_VALUE"""),315.0)</f>
        <v>315</v>
      </c>
      <c r="E3361" s="2"/>
      <c r="F3361" s="2"/>
    </row>
    <row r="3362">
      <c r="A3362" s="2">
        <f>IFERROR(__xludf.DUMMYFUNCTION("""COMPUTED_VALUE"""),102345.0)</f>
        <v>102345</v>
      </c>
      <c r="B3362" s="2">
        <f>IFERROR(__xludf.DUMMYFUNCTION("""COMPUTED_VALUE"""),1.0)</f>
        <v>1</v>
      </c>
      <c r="C3362" s="2">
        <f>IFERROR(__xludf.DUMMYFUNCTION("""COMPUTED_VALUE"""),742.0)</f>
        <v>742</v>
      </c>
      <c r="D3362" s="3">
        <f>IFERROR(__xludf.DUMMYFUNCTION("""COMPUTED_VALUE"""),599.0)</f>
        <v>599</v>
      </c>
      <c r="E3362" s="2"/>
      <c r="F3362" s="2"/>
    </row>
    <row r="3363">
      <c r="A3363" s="2">
        <f>IFERROR(__xludf.DUMMYFUNCTION("""COMPUTED_VALUE"""),121695.0)</f>
        <v>121695</v>
      </c>
      <c r="B3363" s="2">
        <f>IFERROR(__xludf.DUMMYFUNCTION("""COMPUTED_VALUE"""),0.0)</f>
        <v>0</v>
      </c>
      <c r="C3363" s="2">
        <f>IFERROR(__xludf.DUMMYFUNCTION("""COMPUTED_VALUE"""),683.0)</f>
        <v>683</v>
      </c>
      <c r="D3363" s="3">
        <f>IFERROR(__xludf.DUMMYFUNCTION("""COMPUTED_VALUE"""),340.0)</f>
        <v>340</v>
      </c>
      <c r="E3363" s="2"/>
      <c r="F3363" s="2"/>
    </row>
    <row r="3364">
      <c r="A3364" s="2">
        <f>IFERROR(__xludf.DUMMYFUNCTION("""COMPUTED_VALUE"""),6204.0)</f>
        <v>6204</v>
      </c>
      <c r="B3364" s="2">
        <f>IFERROR(__xludf.DUMMYFUNCTION("""COMPUTED_VALUE"""),0.0)</f>
        <v>0</v>
      </c>
      <c r="C3364" s="2">
        <f>IFERROR(__xludf.DUMMYFUNCTION("""COMPUTED_VALUE"""),162.0)</f>
        <v>162</v>
      </c>
      <c r="D3364" s="3">
        <f>IFERROR(__xludf.DUMMYFUNCTION("""COMPUTED_VALUE"""),107.0)</f>
        <v>107</v>
      </c>
      <c r="E3364" s="2"/>
      <c r="F3364" s="2"/>
    </row>
    <row r="3365">
      <c r="A3365" s="2">
        <f>IFERROR(__xludf.DUMMYFUNCTION("""COMPUTED_VALUE"""),16571.0)</f>
        <v>16571</v>
      </c>
      <c r="B3365" s="2">
        <f>IFERROR(__xludf.DUMMYFUNCTION("""COMPUTED_VALUE"""),1.0)</f>
        <v>1</v>
      </c>
      <c r="C3365" s="2">
        <f>IFERROR(__xludf.DUMMYFUNCTION("""COMPUTED_VALUE"""),902.0)</f>
        <v>902</v>
      </c>
      <c r="D3365" s="3">
        <f>IFERROR(__xludf.DUMMYFUNCTION("""COMPUTED_VALUE"""),805.0)</f>
        <v>805</v>
      </c>
      <c r="E3365" s="2"/>
      <c r="F3365" s="2"/>
    </row>
    <row r="3366">
      <c r="A3366" s="2">
        <f>IFERROR(__xludf.DUMMYFUNCTION("""COMPUTED_VALUE"""),181494.0)</f>
        <v>181494</v>
      </c>
      <c r="B3366" s="2">
        <f>IFERROR(__xludf.DUMMYFUNCTION("""COMPUTED_VALUE"""),1.0)</f>
        <v>1</v>
      </c>
      <c r="C3366" s="2">
        <f>IFERROR(__xludf.DUMMYFUNCTION("""COMPUTED_VALUE"""),892.0)</f>
        <v>892</v>
      </c>
      <c r="D3366" s="3">
        <f>IFERROR(__xludf.DUMMYFUNCTION("""COMPUTED_VALUE"""),460.0)</f>
        <v>460</v>
      </c>
      <c r="E3366" s="2"/>
      <c r="F3366" s="2"/>
    </row>
    <row r="3367">
      <c r="A3367" s="2">
        <f>IFERROR(__xludf.DUMMYFUNCTION("""COMPUTED_VALUE"""),80315.0)</f>
        <v>80315</v>
      </c>
      <c r="B3367" s="2">
        <f>IFERROR(__xludf.DUMMYFUNCTION("""COMPUTED_VALUE"""),1.0)</f>
        <v>1</v>
      </c>
      <c r="C3367" s="2">
        <f>IFERROR(__xludf.DUMMYFUNCTION("""COMPUTED_VALUE"""),309.0)</f>
        <v>309</v>
      </c>
      <c r="D3367" s="3">
        <f>IFERROR(__xludf.DUMMYFUNCTION("""COMPUTED_VALUE"""),256.0)</f>
        <v>256</v>
      </c>
      <c r="E3367" s="2"/>
      <c r="F3367" s="2"/>
    </row>
    <row r="3368">
      <c r="A3368" s="2">
        <f>IFERROR(__xludf.DUMMYFUNCTION("""COMPUTED_VALUE"""),83054.0)</f>
        <v>83054</v>
      </c>
      <c r="B3368" s="2">
        <f>IFERROR(__xludf.DUMMYFUNCTION("""COMPUTED_VALUE"""),0.0)</f>
        <v>0</v>
      </c>
      <c r="C3368" s="2">
        <f>IFERROR(__xludf.DUMMYFUNCTION("""COMPUTED_VALUE"""),382.0)</f>
        <v>382</v>
      </c>
      <c r="D3368" s="3">
        <f>IFERROR(__xludf.DUMMYFUNCTION("""COMPUTED_VALUE"""),242.0)</f>
        <v>242</v>
      </c>
      <c r="E3368" s="2"/>
      <c r="F3368" s="2"/>
    </row>
    <row r="3369">
      <c r="A3369" s="2">
        <f>IFERROR(__xludf.DUMMYFUNCTION("""COMPUTED_VALUE"""),83056.0)</f>
        <v>83056</v>
      </c>
      <c r="B3369" s="2">
        <f>IFERROR(__xludf.DUMMYFUNCTION("""COMPUTED_VALUE"""),0.0)</f>
        <v>0</v>
      </c>
      <c r="C3369" s="2">
        <f>IFERROR(__xludf.DUMMYFUNCTION("""COMPUTED_VALUE"""),383.0)</f>
        <v>383</v>
      </c>
      <c r="D3369" s="3">
        <f>IFERROR(__xludf.DUMMYFUNCTION("""COMPUTED_VALUE"""),233.0)</f>
        <v>233</v>
      </c>
      <c r="E3369" s="2"/>
      <c r="F3369" s="2"/>
    </row>
    <row r="3370">
      <c r="A3370" s="2">
        <f>IFERROR(__xludf.DUMMYFUNCTION("""COMPUTED_VALUE"""),83055.0)</f>
        <v>83055</v>
      </c>
      <c r="B3370" s="2">
        <f>IFERROR(__xludf.DUMMYFUNCTION("""COMPUTED_VALUE"""),1.0)</f>
        <v>1</v>
      </c>
      <c r="C3370" s="2">
        <f>IFERROR(__xludf.DUMMYFUNCTION("""COMPUTED_VALUE"""),775.0)</f>
        <v>775</v>
      </c>
      <c r="D3370" s="3">
        <f>IFERROR(__xludf.DUMMYFUNCTION("""COMPUTED_VALUE"""),548.0)</f>
        <v>548</v>
      </c>
      <c r="E3370" s="2"/>
      <c r="F3370" s="2"/>
    </row>
    <row r="3371">
      <c r="A3371" s="2">
        <f>IFERROR(__xludf.DUMMYFUNCTION("""COMPUTED_VALUE"""),46134.0)</f>
        <v>46134</v>
      </c>
      <c r="B3371" s="2">
        <f>IFERROR(__xludf.DUMMYFUNCTION("""COMPUTED_VALUE"""),0.0)</f>
        <v>0</v>
      </c>
      <c r="C3371" s="2">
        <f>IFERROR(__xludf.DUMMYFUNCTION("""COMPUTED_VALUE"""),39.0)</f>
        <v>39</v>
      </c>
      <c r="D3371" s="3">
        <f>IFERROR(__xludf.DUMMYFUNCTION("""COMPUTED_VALUE"""),9.0)</f>
        <v>9</v>
      </c>
      <c r="E3371" s="2"/>
      <c r="F3371" s="2"/>
    </row>
    <row r="3372">
      <c r="A3372" s="2">
        <f>IFERROR(__xludf.DUMMYFUNCTION("""COMPUTED_VALUE"""),121693.0)</f>
        <v>121693</v>
      </c>
      <c r="B3372" s="2">
        <f>IFERROR(__xludf.DUMMYFUNCTION("""COMPUTED_VALUE"""),0.0)</f>
        <v>0</v>
      </c>
      <c r="C3372" s="2">
        <f>IFERROR(__xludf.DUMMYFUNCTION("""COMPUTED_VALUE"""),220.0)</f>
        <v>220</v>
      </c>
      <c r="D3372" s="3">
        <f>IFERROR(__xludf.DUMMYFUNCTION("""COMPUTED_VALUE"""),80.0)</f>
        <v>80</v>
      </c>
      <c r="E3372" s="2"/>
      <c r="F3372" s="2"/>
    </row>
    <row r="3373">
      <c r="A3373" s="2">
        <f>IFERROR(__xludf.DUMMYFUNCTION("""COMPUTED_VALUE"""),102344.0)</f>
        <v>102344</v>
      </c>
      <c r="B3373" s="2">
        <f>IFERROR(__xludf.DUMMYFUNCTION("""COMPUTED_VALUE"""),0.0)</f>
        <v>0</v>
      </c>
      <c r="C3373" s="2">
        <f>IFERROR(__xludf.DUMMYFUNCTION("""COMPUTED_VALUE"""),192.0)</f>
        <v>192</v>
      </c>
      <c r="D3373" s="3">
        <f>IFERROR(__xludf.DUMMYFUNCTION("""COMPUTED_VALUE"""),89.0)</f>
        <v>89</v>
      </c>
      <c r="E3373" s="2"/>
      <c r="F3373" s="2"/>
    </row>
    <row r="3374">
      <c r="A3374" s="2">
        <f>IFERROR(__xludf.DUMMYFUNCTION("""COMPUTED_VALUE"""),100687.0)</f>
        <v>100687</v>
      </c>
      <c r="B3374" s="2">
        <f>IFERROR(__xludf.DUMMYFUNCTION("""COMPUTED_VALUE"""),0.0)</f>
        <v>0</v>
      </c>
      <c r="C3374" s="2">
        <f>IFERROR(__xludf.DUMMYFUNCTION("""COMPUTED_VALUE"""),885.0)</f>
        <v>885</v>
      </c>
      <c r="D3374" s="3">
        <f>IFERROR(__xludf.DUMMYFUNCTION("""COMPUTED_VALUE"""),467.0)</f>
        <v>467</v>
      </c>
      <c r="E3374" s="2"/>
      <c r="F3374" s="2"/>
    </row>
    <row r="3375">
      <c r="A3375" s="2">
        <f>IFERROR(__xludf.DUMMYFUNCTION("""COMPUTED_VALUE"""),70327.0)</f>
        <v>70327</v>
      </c>
      <c r="B3375" s="2">
        <f>IFERROR(__xludf.DUMMYFUNCTION("""COMPUTED_VALUE"""),1.0)</f>
        <v>1</v>
      </c>
      <c r="C3375" s="2">
        <f>IFERROR(__xludf.DUMMYFUNCTION("""COMPUTED_VALUE"""),196.0)</f>
        <v>196</v>
      </c>
      <c r="D3375" s="3">
        <f>IFERROR(__xludf.DUMMYFUNCTION("""COMPUTED_VALUE"""),170.0)</f>
        <v>170</v>
      </c>
      <c r="E3375" s="2"/>
      <c r="F3375" s="2"/>
    </row>
    <row r="3376">
      <c r="A3376" s="2">
        <f>IFERROR(__xludf.DUMMYFUNCTION("""COMPUTED_VALUE"""),80191.0)</f>
        <v>80191</v>
      </c>
      <c r="B3376" s="2">
        <f>IFERROR(__xludf.DUMMYFUNCTION("""COMPUTED_VALUE"""),0.0)</f>
        <v>0</v>
      </c>
      <c r="C3376" s="2">
        <f>IFERROR(__xludf.DUMMYFUNCTION("""COMPUTED_VALUE"""),447.0)</f>
        <v>447</v>
      </c>
      <c r="D3376" s="3">
        <f>IFERROR(__xludf.DUMMYFUNCTION("""COMPUTED_VALUE"""),175.0)</f>
        <v>175</v>
      </c>
      <c r="E3376" s="2"/>
      <c r="F3376" s="2"/>
    </row>
    <row r="3377">
      <c r="A3377" s="2">
        <f>IFERROR(__xludf.DUMMYFUNCTION("""COMPUTED_VALUE"""),103037.0)</f>
        <v>103037</v>
      </c>
      <c r="B3377" s="2">
        <f>IFERROR(__xludf.DUMMYFUNCTION("""COMPUTED_VALUE"""),0.0)</f>
        <v>0</v>
      </c>
      <c r="C3377" s="2">
        <f>IFERROR(__xludf.DUMMYFUNCTION("""COMPUTED_VALUE"""),146.0)</f>
        <v>146</v>
      </c>
      <c r="D3377" s="3">
        <f>IFERROR(__xludf.DUMMYFUNCTION("""COMPUTED_VALUE"""),119.0)</f>
        <v>119</v>
      </c>
      <c r="E3377" s="2"/>
      <c r="F3377" s="2"/>
    </row>
    <row r="3378">
      <c r="A3378" s="2">
        <f>IFERROR(__xludf.DUMMYFUNCTION("""COMPUTED_VALUE"""),6205.0)</f>
        <v>6205</v>
      </c>
      <c r="B3378" s="2">
        <f>IFERROR(__xludf.DUMMYFUNCTION("""COMPUTED_VALUE"""),0.0)</f>
        <v>0</v>
      </c>
      <c r="C3378" s="2">
        <f>IFERROR(__xludf.DUMMYFUNCTION("""COMPUTED_VALUE"""),830.0)</f>
        <v>830</v>
      </c>
      <c r="D3378" s="3">
        <f>IFERROR(__xludf.DUMMYFUNCTION("""COMPUTED_VALUE"""),455.0)</f>
        <v>455</v>
      </c>
      <c r="E3378" s="2"/>
      <c r="F3378" s="2"/>
    </row>
    <row r="3379">
      <c r="A3379" s="2">
        <f>IFERROR(__xludf.DUMMYFUNCTION("""COMPUTED_VALUE"""),70387.0)</f>
        <v>70387</v>
      </c>
      <c r="B3379" s="2">
        <f>IFERROR(__xludf.DUMMYFUNCTION("""COMPUTED_VALUE"""),0.0)</f>
        <v>0</v>
      </c>
      <c r="C3379" s="2">
        <f>IFERROR(__xludf.DUMMYFUNCTION("""COMPUTED_VALUE"""),18.0)</f>
        <v>18</v>
      </c>
      <c r="D3379" s="3">
        <f>IFERROR(__xludf.DUMMYFUNCTION("""COMPUTED_VALUE"""),10.0)</f>
        <v>10</v>
      </c>
      <c r="E3379" s="2"/>
      <c r="F3379" s="2"/>
    </row>
    <row r="3380">
      <c r="A3380" s="2">
        <f>IFERROR(__xludf.DUMMYFUNCTION("""COMPUTED_VALUE"""),122278.0)</f>
        <v>122278</v>
      </c>
      <c r="B3380" s="2">
        <f>IFERROR(__xludf.DUMMYFUNCTION("""COMPUTED_VALUE"""),1.0)</f>
        <v>1</v>
      </c>
      <c r="C3380" s="2">
        <f>IFERROR(__xludf.DUMMYFUNCTION("""COMPUTED_VALUE"""),456.0)</f>
        <v>456</v>
      </c>
      <c r="D3380" s="3">
        <f>IFERROR(__xludf.DUMMYFUNCTION("""COMPUTED_VALUE"""),424.0)</f>
        <v>424</v>
      </c>
      <c r="E3380" s="2"/>
      <c r="F3380" s="2"/>
    </row>
    <row r="3381">
      <c r="A3381" s="2">
        <f>IFERROR(__xludf.DUMMYFUNCTION("""COMPUTED_VALUE"""),29365.0)</f>
        <v>29365</v>
      </c>
      <c r="B3381" s="2">
        <f>IFERROR(__xludf.DUMMYFUNCTION("""COMPUTED_VALUE"""),0.0)</f>
        <v>0</v>
      </c>
      <c r="C3381" s="2">
        <f>IFERROR(__xludf.DUMMYFUNCTION("""COMPUTED_VALUE"""),852.0)</f>
        <v>852</v>
      </c>
      <c r="D3381" s="3">
        <f>IFERROR(__xludf.DUMMYFUNCTION("""COMPUTED_VALUE"""),268.0)</f>
        <v>268</v>
      </c>
      <c r="E3381" s="2"/>
      <c r="F3381" s="2"/>
    </row>
    <row r="3382">
      <c r="A3382" s="2">
        <f>IFERROR(__xludf.DUMMYFUNCTION("""COMPUTED_VALUE"""),17769.0)</f>
        <v>17769</v>
      </c>
      <c r="B3382" s="2">
        <f>IFERROR(__xludf.DUMMYFUNCTION("""COMPUTED_VALUE"""),0.0)</f>
        <v>0</v>
      </c>
      <c r="C3382" s="2">
        <f>IFERROR(__xludf.DUMMYFUNCTION("""COMPUTED_VALUE"""),441.0)</f>
        <v>441</v>
      </c>
      <c r="D3382" s="3">
        <f>IFERROR(__xludf.DUMMYFUNCTION("""COMPUTED_VALUE"""),227.0)</f>
        <v>227</v>
      </c>
      <c r="E3382" s="2"/>
      <c r="F3382" s="2"/>
    </row>
    <row r="3383">
      <c r="A3383" s="2">
        <f>IFERROR(__xludf.DUMMYFUNCTION("""COMPUTED_VALUE"""),23144.0)</f>
        <v>23144</v>
      </c>
      <c r="B3383" s="2">
        <f>IFERROR(__xludf.DUMMYFUNCTION("""COMPUTED_VALUE"""),1.0)</f>
        <v>1</v>
      </c>
      <c r="C3383" s="2">
        <f>IFERROR(__xludf.DUMMYFUNCTION("""COMPUTED_VALUE"""),424.0)</f>
        <v>424</v>
      </c>
      <c r="D3383" s="3">
        <f>IFERROR(__xludf.DUMMYFUNCTION("""COMPUTED_VALUE"""),375.0)</f>
        <v>375</v>
      </c>
      <c r="E3383" s="2"/>
      <c r="F3383" s="2"/>
    </row>
    <row r="3384">
      <c r="A3384" s="2">
        <f>IFERROR(__xludf.DUMMYFUNCTION("""COMPUTED_VALUE"""),120115.0)</f>
        <v>120115</v>
      </c>
      <c r="B3384" s="2">
        <f>IFERROR(__xludf.DUMMYFUNCTION("""COMPUTED_VALUE"""),1.0)</f>
        <v>1</v>
      </c>
      <c r="C3384" s="2">
        <f>IFERROR(__xludf.DUMMYFUNCTION("""COMPUTED_VALUE"""),744.0)</f>
        <v>744</v>
      </c>
      <c r="D3384" s="3">
        <f>IFERROR(__xludf.DUMMYFUNCTION("""COMPUTED_VALUE"""),482.0)</f>
        <v>482</v>
      </c>
      <c r="E3384" s="2"/>
      <c r="F3384" s="2"/>
    </row>
    <row r="3385">
      <c r="A3385" s="2">
        <f>IFERROR(__xludf.DUMMYFUNCTION("""COMPUTED_VALUE"""),29384.0)</f>
        <v>29384</v>
      </c>
      <c r="B3385" s="2">
        <f>IFERROR(__xludf.DUMMYFUNCTION("""COMPUTED_VALUE"""),0.0)</f>
        <v>0</v>
      </c>
      <c r="C3385" s="2">
        <f>IFERROR(__xludf.DUMMYFUNCTION("""COMPUTED_VALUE"""),502.0)</f>
        <v>502</v>
      </c>
      <c r="D3385" s="3">
        <f>IFERROR(__xludf.DUMMYFUNCTION("""COMPUTED_VALUE"""),479.0)</f>
        <v>479</v>
      </c>
      <c r="E3385" s="2"/>
      <c r="F3385" s="2"/>
    </row>
    <row r="3386">
      <c r="A3386" s="2">
        <f>IFERROR(__xludf.DUMMYFUNCTION("""COMPUTED_VALUE"""),17746.0)</f>
        <v>17746</v>
      </c>
      <c r="B3386" s="2">
        <f>IFERROR(__xludf.DUMMYFUNCTION("""COMPUTED_VALUE"""),0.0)</f>
        <v>0</v>
      </c>
      <c r="C3386" s="2">
        <f>IFERROR(__xludf.DUMMYFUNCTION("""COMPUTED_VALUE"""),617.0)</f>
        <v>617</v>
      </c>
      <c r="D3386" s="3">
        <f>IFERROR(__xludf.DUMMYFUNCTION("""COMPUTED_VALUE"""),104.0)</f>
        <v>104</v>
      </c>
      <c r="E3386" s="2"/>
      <c r="F3386" s="2"/>
    </row>
    <row r="3387">
      <c r="A3387" s="2">
        <f>IFERROR(__xludf.DUMMYFUNCTION("""COMPUTED_VALUE"""),121630.0)</f>
        <v>121630</v>
      </c>
      <c r="B3387" s="2">
        <f>IFERROR(__xludf.DUMMYFUNCTION("""COMPUTED_VALUE"""),0.0)</f>
        <v>0</v>
      </c>
      <c r="C3387" s="2">
        <f>IFERROR(__xludf.DUMMYFUNCTION("""COMPUTED_VALUE"""),34.0)</f>
        <v>34</v>
      </c>
      <c r="D3387" s="3">
        <f>IFERROR(__xludf.DUMMYFUNCTION("""COMPUTED_VALUE"""),22.0)</f>
        <v>22</v>
      </c>
      <c r="E3387" s="2"/>
      <c r="F3387" s="2"/>
    </row>
    <row r="3388">
      <c r="A3388" s="2">
        <f>IFERROR(__xludf.DUMMYFUNCTION("""COMPUTED_VALUE"""),29385.0)</f>
        <v>29385</v>
      </c>
      <c r="B3388" s="2">
        <f>IFERROR(__xludf.DUMMYFUNCTION("""COMPUTED_VALUE"""),0.0)</f>
        <v>0</v>
      </c>
      <c r="C3388" s="2">
        <f>IFERROR(__xludf.DUMMYFUNCTION("""COMPUTED_VALUE"""),355.0)</f>
        <v>355</v>
      </c>
      <c r="D3388" s="3">
        <f>IFERROR(__xludf.DUMMYFUNCTION("""COMPUTED_VALUE"""),124.0)</f>
        <v>124</v>
      </c>
      <c r="E3388" s="2"/>
      <c r="F3388" s="2"/>
    </row>
    <row r="3389">
      <c r="A3389" s="2">
        <f>IFERROR(__xludf.DUMMYFUNCTION("""COMPUTED_VALUE"""),17767.0)</f>
        <v>17767</v>
      </c>
      <c r="B3389" s="2">
        <f>IFERROR(__xludf.DUMMYFUNCTION("""COMPUTED_VALUE"""),0.0)</f>
        <v>0</v>
      </c>
      <c r="C3389" s="2">
        <f>IFERROR(__xludf.DUMMYFUNCTION("""COMPUTED_VALUE"""),797.0)</f>
        <v>797</v>
      </c>
      <c r="D3389" s="3">
        <f>IFERROR(__xludf.DUMMYFUNCTION("""COMPUTED_VALUE"""),689.0)</f>
        <v>689</v>
      </c>
      <c r="E3389" s="2"/>
      <c r="F3389" s="2"/>
    </row>
    <row r="3390">
      <c r="A3390" s="2">
        <f>IFERROR(__xludf.DUMMYFUNCTION("""COMPUTED_VALUE"""),103047.0)</f>
        <v>103047</v>
      </c>
      <c r="B3390" s="2">
        <f>IFERROR(__xludf.DUMMYFUNCTION("""COMPUTED_VALUE"""),1.0)</f>
        <v>1</v>
      </c>
      <c r="C3390" s="2">
        <f>IFERROR(__xludf.DUMMYFUNCTION("""COMPUTED_VALUE"""),160.0)</f>
        <v>160</v>
      </c>
      <c r="D3390" s="3">
        <f>IFERROR(__xludf.DUMMYFUNCTION("""COMPUTED_VALUE"""),85.0)</f>
        <v>85</v>
      </c>
      <c r="E3390" s="2"/>
      <c r="F3390" s="2"/>
    </row>
    <row r="3391">
      <c r="A3391" s="2">
        <f>IFERROR(__xludf.DUMMYFUNCTION("""COMPUTED_VALUE"""),70209.0)</f>
        <v>70209</v>
      </c>
      <c r="B3391" s="2">
        <f>IFERROR(__xludf.DUMMYFUNCTION("""COMPUTED_VALUE"""),0.0)</f>
        <v>0</v>
      </c>
      <c r="C3391" s="2">
        <f>IFERROR(__xludf.DUMMYFUNCTION("""COMPUTED_VALUE"""),834.0)</f>
        <v>834</v>
      </c>
      <c r="D3391" s="3">
        <f>IFERROR(__xludf.DUMMYFUNCTION("""COMPUTED_VALUE"""),701.0)</f>
        <v>701</v>
      </c>
      <c r="E3391" s="2"/>
      <c r="F3391" s="2"/>
    </row>
    <row r="3392">
      <c r="A3392" s="2">
        <f>IFERROR(__xludf.DUMMYFUNCTION("""COMPUTED_VALUE"""),29372.0)</f>
        <v>29372</v>
      </c>
      <c r="B3392" s="2">
        <f>IFERROR(__xludf.DUMMYFUNCTION("""COMPUTED_VALUE"""),0.0)</f>
        <v>0</v>
      </c>
      <c r="C3392" s="2">
        <f>IFERROR(__xludf.DUMMYFUNCTION("""COMPUTED_VALUE"""),446.0)</f>
        <v>446</v>
      </c>
      <c r="D3392" s="3">
        <f>IFERROR(__xludf.DUMMYFUNCTION("""COMPUTED_VALUE"""),285.0)</f>
        <v>285</v>
      </c>
      <c r="E3392" s="2"/>
      <c r="F3392" s="2"/>
    </row>
    <row r="3393">
      <c r="A3393" s="2">
        <f>IFERROR(__xludf.DUMMYFUNCTION("""COMPUTED_VALUE"""),120485.0)</f>
        <v>120485</v>
      </c>
      <c r="B3393" s="2">
        <f>IFERROR(__xludf.DUMMYFUNCTION("""COMPUTED_VALUE"""),0.0)</f>
        <v>0</v>
      </c>
      <c r="C3393" s="2">
        <f>IFERROR(__xludf.DUMMYFUNCTION("""COMPUTED_VALUE"""),232.0)</f>
        <v>232</v>
      </c>
      <c r="D3393" s="3">
        <f>IFERROR(__xludf.DUMMYFUNCTION("""COMPUTED_VALUE"""),91.0)</f>
        <v>91</v>
      </c>
      <c r="E3393" s="2"/>
      <c r="F3393" s="2"/>
    </row>
    <row r="3394">
      <c r="A3394" s="2">
        <f>IFERROR(__xludf.DUMMYFUNCTION("""COMPUTED_VALUE"""),120486.0)</f>
        <v>120486</v>
      </c>
      <c r="B3394" s="2">
        <f>IFERROR(__xludf.DUMMYFUNCTION("""COMPUTED_VALUE"""),1.0)</f>
        <v>1</v>
      </c>
      <c r="C3394" s="2">
        <f>IFERROR(__xludf.DUMMYFUNCTION("""COMPUTED_VALUE"""),569.0)</f>
        <v>569</v>
      </c>
      <c r="D3394" s="3">
        <f>IFERROR(__xludf.DUMMYFUNCTION("""COMPUTED_VALUE"""),148.0)</f>
        <v>148</v>
      </c>
      <c r="E3394" s="2"/>
      <c r="F3394" s="2"/>
    </row>
    <row r="3395">
      <c r="A3395" s="2">
        <f>IFERROR(__xludf.DUMMYFUNCTION("""COMPUTED_VALUE"""),70293.0)</f>
        <v>70293</v>
      </c>
      <c r="B3395" s="2">
        <f>IFERROR(__xludf.DUMMYFUNCTION("""COMPUTED_VALUE"""),1.0)</f>
        <v>1</v>
      </c>
      <c r="C3395" s="2">
        <f>IFERROR(__xludf.DUMMYFUNCTION("""COMPUTED_VALUE"""),946.0)</f>
        <v>946</v>
      </c>
      <c r="D3395" s="3">
        <f>IFERROR(__xludf.DUMMYFUNCTION("""COMPUTED_VALUE"""),427.0)</f>
        <v>427</v>
      </c>
      <c r="E3395" s="2"/>
      <c r="F3395" s="2"/>
    </row>
    <row r="3396">
      <c r="A3396" s="2">
        <f>IFERROR(__xludf.DUMMYFUNCTION("""COMPUTED_VALUE"""),71772.0)</f>
        <v>71772</v>
      </c>
      <c r="B3396" s="2">
        <f>IFERROR(__xludf.DUMMYFUNCTION("""COMPUTED_VALUE"""),0.0)</f>
        <v>0</v>
      </c>
      <c r="C3396" s="2">
        <f>IFERROR(__xludf.DUMMYFUNCTION("""COMPUTED_VALUE"""),324.0)</f>
        <v>324</v>
      </c>
      <c r="D3396" s="3">
        <f>IFERROR(__xludf.DUMMYFUNCTION("""COMPUTED_VALUE"""),36.0)</f>
        <v>36</v>
      </c>
      <c r="E3396" s="2"/>
      <c r="F3396" s="2"/>
    </row>
    <row r="3397">
      <c r="A3397" s="2">
        <f>IFERROR(__xludf.DUMMYFUNCTION("""COMPUTED_VALUE"""),86111.0)</f>
        <v>86111</v>
      </c>
      <c r="B3397" s="2">
        <f>IFERROR(__xludf.DUMMYFUNCTION("""COMPUTED_VALUE"""),0.0)</f>
        <v>0</v>
      </c>
      <c r="C3397" s="2">
        <f>IFERROR(__xludf.DUMMYFUNCTION("""COMPUTED_VALUE"""),148.0)</f>
        <v>148</v>
      </c>
      <c r="D3397" s="3">
        <f>IFERROR(__xludf.DUMMYFUNCTION("""COMPUTED_VALUE"""),144.0)</f>
        <v>144</v>
      </c>
      <c r="E3397" s="2"/>
      <c r="F3397" s="2"/>
    </row>
    <row r="3398">
      <c r="A3398" s="2">
        <f>IFERROR(__xludf.DUMMYFUNCTION("""COMPUTED_VALUE"""),71840.0)</f>
        <v>71840</v>
      </c>
      <c r="B3398" s="2">
        <f>IFERROR(__xludf.DUMMYFUNCTION("""COMPUTED_VALUE"""),0.0)</f>
        <v>0</v>
      </c>
      <c r="C3398" s="2">
        <f>IFERROR(__xludf.DUMMYFUNCTION("""COMPUTED_VALUE"""),148.0)</f>
        <v>148</v>
      </c>
      <c r="D3398" s="3">
        <f>IFERROR(__xludf.DUMMYFUNCTION("""COMPUTED_VALUE"""),66.0)</f>
        <v>66</v>
      </c>
      <c r="E3398" s="2"/>
      <c r="F3398" s="2"/>
    </row>
    <row r="3399">
      <c r="A3399" s="2">
        <f>IFERROR(__xludf.DUMMYFUNCTION("""COMPUTED_VALUE"""),28533.0)</f>
        <v>28533</v>
      </c>
      <c r="B3399" s="2">
        <f>IFERROR(__xludf.DUMMYFUNCTION("""COMPUTED_VALUE"""),0.0)</f>
        <v>0</v>
      </c>
      <c r="C3399" s="2">
        <f>IFERROR(__xludf.DUMMYFUNCTION("""COMPUTED_VALUE"""),63.0)</f>
        <v>63</v>
      </c>
      <c r="D3399" s="3">
        <f>IFERROR(__xludf.DUMMYFUNCTION("""COMPUTED_VALUE"""),54.0)</f>
        <v>54</v>
      </c>
      <c r="E3399" s="2"/>
      <c r="F3399" s="2"/>
    </row>
    <row r="3400">
      <c r="A3400" s="2">
        <f>IFERROR(__xludf.DUMMYFUNCTION("""COMPUTED_VALUE"""),86994.0)</f>
        <v>86994</v>
      </c>
      <c r="B3400" s="2">
        <f>IFERROR(__xludf.DUMMYFUNCTION("""COMPUTED_VALUE"""),0.0)</f>
        <v>0</v>
      </c>
      <c r="C3400" s="2">
        <f>IFERROR(__xludf.DUMMYFUNCTION("""COMPUTED_VALUE"""),690.0)</f>
        <v>690</v>
      </c>
      <c r="D3400" s="3">
        <f>IFERROR(__xludf.DUMMYFUNCTION("""COMPUTED_VALUE"""),577.0)</f>
        <v>577</v>
      </c>
      <c r="E3400" s="2"/>
      <c r="F3400" s="2"/>
    </row>
    <row r="3401">
      <c r="A3401" s="2">
        <f>IFERROR(__xludf.DUMMYFUNCTION("""COMPUTED_VALUE"""),124881.0)</f>
        <v>124881</v>
      </c>
      <c r="B3401" s="2">
        <f>IFERROR(__xludf.DUMMYFUNCTION("""COMPUTED_VALUE"""),0.0)</f>
        <v>0</v>
      </c>
      <c r="C3401" s="2">
        <f>IFERROR(__xludf.DUMMYFUNCTION("""COMPUTED_VALUE"""),667.0)</f>
        <v>667</v>
      </c>
      <c r="D3401" s="3">
        <f>IFERROR(__xludf.DUMMYFUNCTION("""COMPUTED_VALUE"""),381.0)</f>
        <v>381</v>
      </c>
      <c r="E3401" s="2"/>
      <c r="F3401" s="2"/>
    </row>
    <row r="3402">
      <c r="A3402" s="2">
        <f>IFERROR(__xludf.DUMMYFUNCTION("""COMPUTED_VALUE"""),119280.0)</f>
        <v>119280</v>
      </c>
      <c r="B3402" s="2">
        <f>IFERROR(__xludf.DUMMYFUNCTION("""COMPUTED_VALUE"""),0.0)</f>
        <v>0</v>
      </c>
      <c r="C3402" s="2">
        <f>IFERROR(__xludf.DUMMYFUNCTION("""COMPUTED_VALUE"""),607.0)</f>
        <v>607</v>
      </c>
      <c r="D3402" s="3">
        <f>IFERROR(__xludf.DUMMYFUNCTION("""COMPUTED_VALUE"""),124.0)</f>
        <v>124</v>
      </c>
      <c r="E3402" s="2"/>
      <c r="F3402" s="2"/>
    </row>
    <row r="3403">
      <c r="A3403" s="2">
        <f>IFERROR(__xludf.DUMMYFUNCTION("""COMPUTED_VALUE"""),87001.0)</f>
        <v>87001</v>
      </c>
      <c r="B3403" s="2">
        <f>IFERROR(__xludf.DUMMYFUNCTION("""COMPUTED_VALUE"""),0.0)</f>
        <v>0</v>
      </c>
      <c r="C3403" s="2">
        <f>IFERROR(__xludf.DUMMYFUNCTION("""COMPUTED_VALUE"""),258.0)</f>
        <v>258</v>
      </c>
      <c r="D3403" s="3">
        <f>IFERROR(__xludf.DUMMYFUNCTION("""COMPUTED_VALUE"""),193.0)</f>
        <v>193</v>
      </c>
      <c r="E3403" s="2"/>
      <c r="F3403" s="2"/>
    </row>
    <row r="3404">
      <c r="A3404" s="2">
        <f>IFERROR(__xludf.DUMMYFUNCTION("""COMPUTED_VALUE"""),71839.0)</f>
        <v>71839</v>
      </c>
      <c r="B3404" s="2">
        <f>IFERROR(__xludf.DUMMYFUNCTION("""COMPUTED_VALUE"""),1.0)</f>
        <v>1</v>
      </c>
      <c r="C3404" s="2">
        <f>IFERROR(__xludf.DUMMYFUNCTION("""COMPUTED_VALUE"""),143.0)</f>
        <v>143</v>
      </c>
      <c r="D3404" s="3">
        <f>IFERROR(__xludf.DUMMYFUNCTION("""COMPUTED_VALUE"""),136.0)</f>
        <v>136</v>
      </c>
      <c r="E3404" s="2"/>
      <c r="F3404" s="2"/>
    </row>
    <row r="3405">
      <c r="A3405" s="2">
        <f>IFERROR(__xludf.DUMMYFUNCTION("""COMPUTED_VALUE"""),119288.0)</f>
        <v>119288</v>
      </c>
      <c r="B3405" s="2">
        <f>IFERROR(__xludf.DUMMYFUNCTION("""COMPUTED_VALUE"""),0.0)</f>
        <v>0</v>
      </c>
      <c r="C3405" s="2">
        <f>IFERROR(__xludf.DUMMYFUNCTION("""COMPUTED_VALUE"""),331.0)</f>
        <v>331</v>
      </c>
      <c r="D3405" s="3">
        <f>IFERROR(__xludf.DUMMYFUNCTION("""COMPUTED_VALUE"""),331.0)</f>
        <v>331</v>
      </c>
      <c r="E3405" s="2"/>
      <c r="F3405" s="2"/>
    </row>
    <row r="3406">
      <c r="A3406" s="2">
        <f>IFERROR(__xludf.DUMMYFUNCTION("""COMPUTED_VALUE"""),71770.0)</f>
        <v>71770</v>
      </c>
      <c r="B3406" s="2">
        <f>IFERROR(__xludf.DUMMYFUNCTION("""COMPUTED_VALUE"""),1.0)</f>
        <v>1</v>
      </c>
      <c r="C3406" s="2">
        <f>IFERROR(__xludf.DUMMYFUNCTION("""COMPUTED_VALUE"""),103.0)</f>
        <v>103</v>
      </c>
      <c r="D3406" s="3">
        <f>IFERROR(__xludf.DUMMYFUNCTION("""COMPUTED_VALUE"""),2.0)</f>
        <v>2</v>
      </c>
      <c r="E3406" s="2"/>
      <c r="F3406" s="2"/>
    </row>
    <row r="3407">
      <c r="A3407" s="2">
        <f>IFERROR(__xludf.DUMMYFUNCTION("""COMPUTED_VALUE"""),28536.0)</f>
        <v>28536</v>
      </c>
      <c r="B3407" s="2">
        <f>IFERROR(__xludf.DUMMYFUNCTION("""COMPUTED_VALUE"""),1.0)</f>
        <v>1</v>
      </c>
      <c r="C3407" s="2">
        <f>IFERROR(__xludf.DUMMYFUNCTION("""COMPUTED_VALUE"""),33.0)</f>
        <v>33</v>
      </c>
      <c r="D3407" s="3">
        <f>IFERROR(__xludf.DUMMYFUNCTION("""COMPUTED_VALUE"""),9.0)</f>
        <v>9</v>
      </c>
      <c r="E3407" s="2"/>
      <c r="F3407" s="2"/>
    </row>
    <row r="3408">
      <c r="A3408" s="2">
        <f>IFERROR(__xludf.DUMMYFUNCTION("""COMPUTED_VALUE"""),90007.0)</f>
        <v>90007</v>
      </c>
      <c r="B3408" s="2">
        <f>IFERROR(__xludf.DUMMYFUNCTION("""COMPUTED_VALUE"""),1.0)</f>
        <v>1</v>
      </c>
      <c r="C3408" s="2">
        <f>IFERROR(__xludf.DUMMYFUNCTION("""COMPUTED_VALUE"""),676.0)</f>
        <v>676</v>
      </c>
      <c r="D3408" s="3">
        <f>IFERROR(__xludf.DUMMYFUNCTION("""COMPUTED_VALUE"""),317.0)</f>
        <v>317</v>
      </c>
      <c r="E3408" s="2"/>
      <c r="F3408" s="2"/>
    </row>
    <row r="3409">
      <c r="A3409" s="2">
        <f>IFERROR(__xludf.DUMMYFUNCTION("""COMPUTED_VALUE"""),71830.0)</f>
        <v>71830</v>
      </c>
      <c r="B3409" s="2">
        <f>IFERROR(__xludf.DUMMYFUNCTION("""COMPUTED_VALUE"""),1.0)</f>
        <v>1</v>
      </c>
      <c r="C3409" s="2">
        <f>IFERROR(__xludf.DUMMYFUNCTION("""COMPUTED_VALUE"""),713.0)</f>
        <v>713</v>
      </c>
      <c r="D3409" s="3">
        <f>IFERROR(__xludf.DUMMYFUNCTION("""COMPUTED_VALUE"""),580.0)</f>
        <v>580</v>
      </c>
      <c r="E3409" s="2"/>
      <c r="F3409" s="2"/>
    </row>
    <row r="3410">
      <c r="A3410" s="2">
        <f>IFERROR(__xludf.DUMMYFUNCTION("""COMPUTED_VALUE"""),71837.0)</f>
        <v>71837</v>
      </c>
      <c r="B3410" s="2">
        <f>IFERROR(__xludf.DUMMYFUNCTION("""COMPUTED_VALUE"""),0.0)</f>
        <v>0</v>
      </c>
      <c r="C3410" s="2">
        <f>IFERROR(__xludf.DUMMYFUNCTION("""COMPUTED_VALUE"""),207.0)</f>
        <v>207</v>
      </c>
      <c r="D3410" s="3">
        <f>IFERROR(__xludf.DUMMYFUNCTION("""COMPUTED_VALUE"""),120.0)</f>
        <v>120</v>
      </c>
      <c r="E3410" s="2"/>
      <c r="F3410" s="2"/>
    </row>
    <row r="3411">
      <c r="A3411" s="2">
        <f>IFERROR(__xludf.DUMMYFUNCTION("""COMPUTED_VALUE"""),83640.0)</f>
        <v>83640</v>
      </c>
      <c r="B3411" s="2">
        <f>IFERROR(__xludf.DUMMYFUNCTION("""COMPUTED_VALUE"""),1.0)</f>
        <v>1</v>
      </c>
      <c r="C3411" s="2">
        <f>IFERROR(__xludf.DUMMYFUNCTION("""COMPUTED_VALUE"""),24.0)</f>
        <v>24</v>
      </c>
      <c r="D3411" s="3">
        <f>IFERROR(__xludf.DUMMYFUNCTION("""COMPUTED_VALUE"""),8.0)</f>
        <v>8</v>
      </c>
      <c r="E3411" s="2"/>
      <c r="F3411" s="2"/>
    </row>
    <row r="3412">
      <c r="A3412" s="2">
        <f>IFERROR(__xludf.DUMMYFUNCTION("""COMPUTED_VALUE"""),111191.0)</f>
        <v>111191</v>
      </c>
      <c r="B3412" s="2">
        <f>IFERROR(__xludf.DUMMYFUNCTION("""COMPUTED_VALUE"""),0.0)</f>
        <v>0</v>
      </c>
      <c r="C3412" s="2">
        <f>IFERROR(__xludf.DUMMYFUNCTION("""COMPUTED_VALUE"""),332.0)</f>
        <v>332</v>
      </c>
      <c r="D3412" s="3">
        <f>IFERROR(__xludf.DUMMYFUNCTION("""COMPUTED_VALUE"""),61.0)</f>
        <v>61</v>
      </c>
      <c r="E3412" s="2"/>
      <c r="F3412" s="2"/>
    </row>
    <row r="3413">
      <c r="A3413" s="2">
        <f>IFERROR(__xludf.DUMMYFUNCTION("""COMPUTED_VALUE"""),70442.0)</f>
        <v>70442</v>
      </c>
      <c r="B3413" s="2">
        <f>IFERROR(__xludf.DUMMYFUNCTION("""COMPUTED_VALUE"""),1.0)</f>
        <v>1</v>
      </c>
      <c r="C3413" s="2">
        <f>IFERROR(__xludf.DUMMYFUNCTION("""COMPUTED_VALUE"""),705.0)</f>
        <v>705</v>
      </c>
      <c r="D3413" s="3">
        <f>IFERROR(__xludf.DUMMYFUNCTION("""COMPUTED_VALUE"""),285.0)</f>
        <v>285</v>
      </c>
      <c r="E3413" s="2"/>
      <c r="F3413" s="2"/>
    </row>
    <row r="3414">
      <c r="A3414" s="2">
        <f>IFERROR(__xludf.DUMMYFUNCTION("""COMPUTED_VALUE"""),122228.0)</f>
        <v>122228</v>
      </c>
      <c r="B3414" s="2">
        <f>IFERROR(__xludf.DUMMYFUNCTION("""COMPUTED_VALUE"""),0.0)</f>
        <v>0</v>
      </c>
      <c r="C3414" s="2">
        <f>IFERROR(__xludf.DUMMYFUNCTION("""COMPUTED_VALUE"""),470.0)</f>
        <v>470</v>
      </c>
      <c r="D3414" s="3">
        <f>IFERROR(__xludf.DUMMYFUNCTION("""COMPUTED_VALUE"""),77.0)</f>
        <v>77</v>
      </c>
      <c r="E3414" s="2"/>
      <c r="F3414" s="2"/>
    </row>
    <row r="3415">
      <c r="A3415" s="2">
        <f>IFERROR(__xludf.DUMMYFUNCTION("""COMPUTED_VALUE"""),46822.0)</f>
        <v>46822</v>
      </c>
      <c r="B3415" s="2">
        <f>IFERROR(__xludf.DUMMYFUNCTION("""COMPUTED_VALUE"""),0.0)</f>
        <v>0</v>
      </c>
      <c r="C3415" s="2">
        <f>IFERROR(__xludf.DUMMYFUNCTION("""COMPUTED_VALUE"""),380.0)</f>
        <v>380</v>
      </c>
      <c r="D3415" s="3">
        <f>IFERROR(__xludf.DUMMYFUNCTION("""COMPUTED_VALUE"""),331.0)</f>
        <v>331</v>
      </c>
      <c r="E3415" s="2"/>
      <c r="F3415" s="2"/>
    </row>
    <row r="3416">
      <c r="A3416" s="2">
        <f>IFERROR(__xludf.DUMMYFUNCTION("""COMPUTED_VALUE"""),71769.0)</f>
        <v>71769</v>
      </c>
      <c r="B3416" s="2">
        <f>IFERROR(__xludf.DUMMYFUNCTION("""COMPUTED_VALUE"""),0.0)</f>
        <v>0</v>
      </c>
      <c r="C3416" s="2">
        <f>IFERROR(__xludf.DUMMYFUNCTION("""COMPUTED_VALUE"""),776.0)</f>
        <v>776</v>
      </c>
      <c r="D3416" s="3">
        <f>IFERROR(__xludf.DUMMYFUNCTION("""COMPUTED_VALUE"""),366.0)</f>
        <v>366</v>
      </c>
      <c r="E3416" s="2"/>
      <c r="F3416" s="2"/>
    </row>
    <row r="3417">
      <c r="A3417" s="2">
        <f>IFERROR(__xludf.DUMMYFUNCTION("""COMPUTED_VALUE"""),9302.0)</f>
        <v>9302</v>
      </c>
      <c r="B3417" s="2">
        <f>IFERROR(__xludf.DUMMYFUNCTION("""COMPUTED_VALUE"""),1.0)</f>
        <v>1</v>
      </c>
      <c r="C3417" s="2">
        <f>IFERROR(__xludf.DUMMYFUNCTION("""COMPUTED_VALUE"""),940.0)</f>
        <v>940</v>
      </c>
      <c r="D3417" s="3">
        <f>IFERROR(__xludf.DUMMYFUNCTION("""COMPUTED_VALUE"""),614.0)</f>
        <v>614</v>
      </c>
      <c r="E3417" s="2"/>
      <c r="F3417" s="2"/>
    </row>
    <row r="3418">
      <c r="A3418" s="2">
        <f>IFERROR(__xludf.DUMMYFUNCTION("""COMPUTED_VALUE"""),90006.0)</f>
        <v>90006</v>
      </c>
      <c r="B3418" s="2">
        <f>IFERROR(__xludf.DUMMYFUNCTION("""COMPUTED_VALUE"""),1.0)</f>
        <v>1</v>
      </c>
      <c r="C3418" s="2">
        <f>IFERROR(__xludf.DUMMYFUNCTION("""COMPUTED_VALUE"""),238.0)</f>
        <v>238</v>
      </c>
      <c r="D3418" s="3">
        <f>IFERROR(__xludf.DUMMYFUNCTION("""COMPUTED_VALUE"""),122.0)</f>
        <v>122</v>
      </c>
      <c r="E3418" s="2"/>
      <c r="F3418" s="2"/>
    </row>
    <row r="3419">
      <c r="A3419" s="2">
        <f>IFERROR(__xludf.DUMMYFUNCTION("""COMPUTED_VALUE"""),80673.0)</f>
        <v>80673</v>
      </c>
      <c r="B3419" s="2">
        <f>IFERROR(__xludf.DUMMYFUNCTION("""COMPUTED_VALUE"""),1.0)</f>
        <v>1</v>
      </c>
      <c r="C3419" s="2">
        <f>IFERROR(__xludf.DUMMYFUNCTION("""COMPUTED_VALUE"""),695.0)</f>
        <v>695</v>
      </c>
      <c r="D3419" s="3">
        <f>IFERROR(__xludf.DUMMYFUNCTION("""COMPUTED_VALUE"""),572.0)</f>
        <v>572</v>
      </c>
      <c r="E3419" s="2"/>
      <c r="F3419" s="2"/>
    </row>
    <row r="3420">
      <c r="A3420" s="2">
        <f>IFERROR(__xludf.DUMMYFUNCTION("""COMPUTED_VALUE"""),71834.0)</f>
        <v>71834</v>
      </c>
      <c r="B3420" s="2">
        <f>IFERROR(__xludf.DUMMYFUNCTION("""COMPUTED_VALUE"""),0.0)</f>
        <v>0</v>
      </c>
      <c r="C3420" s="2">
        <f>IFERROR(__xludf.DUMMYFUNCTION("""COMPUTED_VALUE"""),242.0)</f>
        <v>242</v>
      </c>
      <c r="D3420" s="3">
        <f>IFERROR(__xludf.DUMMYFUNCTION("""COMPUTED_VALUE"""),168.0)</f>
        <v>168</v>
      </c>
      <c r="E3420" s="2"/>
      <c r="F3420" s="2"/>
    </row>
    <row r="3421">
      <c r="A3421" s="2">
        <f>IFERROR(__xludf.DUMMYFUNCTION("""COMPUTED_VALUE"""),107310.0)</f>
        <v>107310</v>
      </c>
      <c r="B3421" s="2">
        <f>IFERROR(__xludf.DUMMYFUNCTION("""COMPUTED_VALUE"""),0.0)</f>
        <v>0</v>
      </c>
      <c r="C3421" s="2">
        <f>IFERROR(__xludf.DUMMYFUNCTION("""COMPUTED_VALUE"""),200.0)</f>
        <v>200</v>
      </c>
      <c r="D3421" s="3">
        <f>IFERROR(__xludf.DUMMYFUNCTION("""COMPUTED_VALUE"""),128.0)</f>
        <v>128</v>
      </c>
      <c r="E3421" s="2"/>
      <c r="F3421" s="2"/>
    </row>
    <row r="3422">
      <c r="A3422" s="2">
        <f>IFERROR(__xludf.DUMMYFUNCTION("""COMPUTED_VALUE"""),71843.0)</f>
        <v>71843</v>
      </c>
      <c r="B3422" s="2">
        <f>IFERROR(__xludf.DUMMYFUNCTION("""COMPUTED_VALUE"""),0.0)</f>
        <v>0</v>
      </c>
      <c r="C3422" s="2">
        <f>IFERROR(__xludf.DUMMYFUNCTION("""COMPUTED_VALUE"""),779.0)</f>
        <v>779</v>
      </c>
      <c r="D3422" s="3">
        <f>IFERROR(__xludf.DUMMYFUNCTION("""COMPUTED_VALUE"""),733.0)</f>
        <v>733</v>
      </c>
      <c r="E3422" s="2"/>
      <c r="F3422" s="2"/>
    </row>
    <row r="3423">
      <c r="A3423" s="2">
        <f>IFERROR(__xludf.DUMMYFUNCTION("""COMPUTED_VALUE"""),107358.0)</f>
        <v>107358</v>
      </c>
      <c r="B3423" s="2">
        <f>IFERROR(__xludf.DUMMYFUNCTION("""COMPUTED_VALUE"""),1.0)</f>
        <v>1</v>
      </c>
      <c r="C3423" s="2">
        <f>IFERROR(__xludf.DUMMYFUNCTION("""COMPUTED_VALUE"""),258.0)</f>
        <v>258</v>
      </c>
      <c r="D3423" s="3">
        <f>IFERROR(__xludf.DUMMYFUNCTION("""COMPUTED_VALUE"""),27.0)</f>
        <v>27</v>
      </c>
      <c r="E3423" s="2"/>
      <c r="F3423" s="2"/>
    </row>
    <row r="3424">
      <c r="A3424" s="2">
        <f>IFERROR(__xludf.DUMMYFUNCTION("""COMPUTED_VALUE"""),44842.0)</f>
        <v>44842</v>
      </c>
      <c r="B3424" s="2">
        <f>IFERROR(__xludf.DUMMYFUNCTION("""COMPUTED_VALUE"""),0.0)</f>
        <v>0</v>
      </c>
      <c r="C3424" s="2">
        <f>IFERROR(__xludf.DUMMYFUNCTION("""COMPUTED_VALUE"""),395.0)</f>
        <v>395</v>
      </c>
      <c r="D3424" s="3">
        <f>IFERROR(__xludf.DUMMYFUNCTION("""COMPUTED_VALUE"""),176.0)</f>
        <v>176</v>
      </c>
      <c r="E3424" s="2"/>
      <c r="F3424" s="2"/>
    </row>
    <row r="3425">
      <c r="A3425" s="2">
        <f>IFERROR(__xludf.DUMMYFUNCTION("""COMPUTED_VALUE"""),111181.0)</f>
        <v>111181</v>
      </c>
      <c r="B3425" s="2">
        <f>IFERROR(__xludf.DUMMYFUNCTION("""COMPUTED_VALUE"""),0.0)</f>
        <v>0</v>
      </c>
      <c r="C3425" s="2">
        <f>IFERROR(__xludf.DUMMYFUNCTION("""COMPUTED_VALUE"""),114.0)</f>
        <v>114</v>
      </c>
      <c r="D3425" s="3">
        <f>IFERROR(__xludf.DUMMYFUNCTION("""COMPUTED_VALUE"""),6.0)</f>
        <v>6</v>
      </c>
      <c r="E3425" s="2"/>
      <c r="F3425" s="2"/>
    </row>
    <row r="3426">
      <c r="A3426" s="2">
        <f>IFERROR(__xludf.DUMMYFUNCTION("""COMPUTED_VALUE"""),71773.0)</f>
        <v>71773</v>
      </c>
      <c r="B3426" s="2">
        <f>IFERROR(__xludf.DUMMYFUNCTION("""COMPUTED_VALUE"""),1.0)</f>
        <v>1</v>
      </c>
      <c r="C3426" s="2">
        <f>IFERROR(__xludf.DUMMYFUNCTION("""COMPUTED_VALUE"""),668.0)</f>
        <v>668</v>
      </c>
      <c r="D3426" s="3">
        <f>IFERROR(__xludf.DUMMYFUNCTION("""COMPUTED_VALUE"""),160.0)</f>
        <v>160</v>
      </c>
      <c r="E3426" s="2"/>
      <c r="F3426" s="2"/>
    </row>
    <row r="3427">
      <c r="A3427" s="2">
        <f>IFERROR(__xludf.DUMMYFUNCTION("""COMPUTED_VALUE"""),71836.0)</f>
        <v>71836</v>
      </c>
      <c r="B3427" s="2">
        <f>IFERROR(__xludf.DUMMYFUNCTION("""COMPUTED_VALUE"""),0.0)</f>
        <v>0</v>
      </c>
      <c r="C3427" s="2">
        <f>IFERROR(__xludf.DUMMYFUNCTION("""COMPUTED_VALUE"""),212.0)</f>
        <v>212</v>
      </c>
      <c r="D3427" s="3">
        <f>IFERROR(__xludf.DUMMYFUNCTION("""COMPUTED_VALUE"""),210.0)</f>
        <v>210</v>
      </c>
      <c r="E3427" s="2"/>
      <c r="F3427" s="2"/>
    </row>
    <row r="3428">
      <c r="A3428" s="2">
        <f>IFERROR(__xludf.DUMMYFUNCTION("""COMPUTED_VALUE"""),70276.0)</f>
        <v>70276</v>
      </c>
      <c r="B3428" s="2">
        <f>IFERROR(__xludf.DUMMYFUNCTION("""COMPUTED_VALUE"""),1.0)</f>
        <v>1</v>
      </c>
      <c r="C3428" s="2">
        <f>IFERROR(__xludf.DUMMYFUNCTION("""COMPUTED_VALUE"""),537.0)</f>
        <v>537</v>
      </c>
      <c r="D3428" s="3">
        <f>IFERROR(__xludf.DUMMYFUNCTION("""COMPUTED_VALUE"""),326.0)</f>
        <v>326</v>
      </c>
      <c r="E3428" s="2"/>
      <c r="F3428" s="2"/>
    </row>
    <row r="3429">
      <c r="A3429" s="2">
        <f>IFERROR(__xludf.DUMMYFUNCTION("""COMPUTED_VALUE"""),71775.0)</f>
        <v>71775</v>
      </c>
      <c r="B3429" s="2">
        <f>IFERROR(__xludf.DUMMYFUNCTION("""COMPUTED_VALUE"""),0.0)</f>
        <v>0</v>
      </c>
      <c r="C3429" s="2">
        <f>IFERROR(__xludf.DUMMYFUNCTION("""COMPUTED_VALUE"""),862.0)</f>
        <v>862</v>
      </c>
      <c r="D3429" s="3">
        <f>IFERROR(__xludf.DUMMYFUNCTION("""COMPUTED_VALUE"""),307.0)</f>
        <v>307</v>
      </c>
      <c r="E3429" s="2"/>
      <c r="F3429" s="2"/>
    </row>
    <row r="3430">
      <c r="A3430" s="2">
        <f>IFERROR(__xludf.DUMMYFUNCTION("""COMPUTED_VALUE"""),44844.0)</f>
        <v>44844</v>
      </c>
      <c r="B3430" s="2">
        <f>IFERROR(__xludf.DUMMYFUNCTION("""COMPUTED_VALUE"""),1.0)</f>
        <v>1</v>
      </c>
      <c r="C3430" s="2">
        <f>IFERROR(__xludf.DUMMYFUNCTION("""COMPUTED_VALUE"""),178.0)</f>
        <v>178</v>
      </c>
      <c r="D3430" s="3">
        <f>IFERROR(__xludf.DUMMYFUNCTION("""COMPUTED_VALUE"""),117.0)</f>
        <v>117</v>
      </c>
      <c r="E3430" s="2"/>
      <c r="F3430" s="2"/>
    </row>
    <row r="3431">
      <c r="A3431" s="2">
        <f>IFERROR(__xludf.DUMMYFUNCTION("""COMPUTED_VALUE"""),156181.0)</f>
        <v>156181</v>
      </c>
      <c r="B3431" s="2">
        <f>IFERROR(__xludf.DUMMYFUNCTION("""COMPUTED_VALUE"""),0.0)</f>
        <v>0</v>
      </c>
      <c r="C3431" s="2">
        <f>IFERROR(__xludf.DUMMYFUNCTION("""COMPUTED_VALUE"""),96.0)</f>
        <v>96</v>
      </c>
      <c r="D3431" s="3">
        <f>IFERROR(__xludf.DUMMYFUNCTION("""COMPUTED_VALUE"""),80.0)</f>
        <v>80</v>
      </c>
      <c r="E3431" s="2"/>
      <c r="F3431" s="2"/>
    </row>
    <row r="3432">
      <c r="A3432" s="2">
        <f>IFERROR(__xludf.DUMMYFUNCTION("""COMPUTED_VALUE"""),102898.0)</f>
        <v>102898</v>
      </c>
      <c r="B3432" s="2">
        <f>IFERROR(__xludf.DUMMYFUNCTION("""COMPUTED_VALUE"""),1.0)</f>
        <v>1</v>
      </c>
      <c r="C3432" s="2">
        <f>IFERROR(__xludf.DUMMYFUNCTION("""COMPUTED_VALUE"""),544.0)</f>
        <v>544</v>
      </c>
      <c r="D3432" s="3">
        <f>IFERROR(__xludf.DUMMYFUNCTION("""COMPUTED_VALUE"""),299.0)</f>
        <v>299</v>
      </c>
      <c r="E3432" s="2"/>
      <c r="F3432" s="2"/>
    </row>
    <row r="3433">
      <c r="A3433" s="2">
        <f>IFERROR(__xludf.DUMMYFUNCTION("""COMPUTED_VALUE"""),47600.0)</f>
        <v>47600</v>
      </c>
      <c r="B3433" s="2">
        <f>IFERROR(__xludf.DUMMYFUNCTION("""COMPUTED_VALUE"""),1.0)</f>
        <v>1</v>
      </c>
      <c r="C3433" s="2">
        <f>IFERROR(__xludf.DUMMYFUNCTION("""COMPUTED_VALUE"""),117.0)</f>
        <v>117</v>
      </c>
      <c r="D3433" s="3">
        <f>IFERROR(__xludf.DUMMYFUNCTION("""COMPUTED_VALUE"""),20.0)</f>
        <v>20</v>
      </c>
      <c r="E3433" s="2"/>
      <c r="F3433" s="2"/>
    </row>
    <row r="3434">
      <c r="A3434" s="2">
        <f>IFERROR(__xludf.DUMMYFUNCTION("""COMPUTED_VALUE"""),111173.0)</f>
        <v>111173</v>
      </c>
      <c r="B3434" s="2">
        <f>IFERROR(__xludf.DUMMYFUNCTION("""COMPUTED_VALUE"""),0.0)</f>
        <v>0</v>
      </c>
      <c r="C3434" s="2">
        <f>IFERROR(__xludf.DUMMYFUNCTION("""COMPUTED_VALUE"""),601.0)</f>
        <v>601</v>
      </c>
      <c r="D3434" s="3">
        <f>IFERROR(__xludf.DUMMYFUNCTION("""COMPUTED_VALUE"""),406.0)</f>
        <v>406</v>
      </c>
      <c r="E3434" s="2"/>
      <c r="F3434" s="2"/>
    </row>
    <row r="3435">
      <c r="A3435" s="2">
        <f>IFERROR(__xludf.DUMMYFUNCTION("""COMPUTED_VALUE"""),70201.0)</f>
        <v>70201</v>
      </c>
      <c r="B3435" s="2">
        <f>IFERROR(__xludf.DUMMYFUNCTION("""COMPUTED_VALUE"""),0.0)</f>
        <v>0</v>
      </c>
      <c r="C3435" s="2">
        <f>IFERROR(__xludf.DUMMYFUNCTION("""COMPUTED_VALUE"""),685.0)</f>
        <v>685</v>
      </c>
      <c r="D3435" s="3">
        <f>IFERROR(__xludf.DUMMYFUNCTION("""COMPUTED_VALUE"""),175.0)</f>
        <v>175</v>
      </c>
      <c r="E3435" s="2"/>
      <c r="F3435" s="2"/>
    </row>
    <row r="3436">
      <c r="A3436" s="2">
        <f>IFERROR(__xludf.DUMMYFUNCTION("""COMPUTED_VALUE"""),71842.0)</f>
        <v>71842</v>
      </c>
      <c r="B3436" s="2">
        <f>IFERROR(__xludf.DUMMYFUNCTION("""COMPUTED_VALUE"""),1.0)</f>
        <v>1</v>
      </c>
      <c r="C3436" s="2">
        <f>IFERROR(__xludf.DUMMYFUNCTION("""COMPUTED_VALUE"""),563.0)</f>
        <v>563</v>
      </c>
      <c r="D3436" s="3">
        <f>IFERROR(__xludf.DUMMYFUNCTION("""COMPUTED_VALUE"""),218.0)</f>
        <v>218</v>
      </c>
      <c r="E3436" s="2"/>
      <c r="F3436" s="2"/>
    </row>
    <row r="3437">
      <c r="A3437" s="2">
        <f>IFERROR(__xludf.DUMMYFUNCTION("""COMPUTED_VALUE"""),47601.0)</f>
        <v>47601</v>
      </c>
      <c r="B3437" s="2">
        <f>IFERROR(__xludf.DUMMYFUNCTION("""COMPUTED_VALUE"""),1.0)</f>
        <v>1</v>
      </c>
      <c r="C3437" s="2">
        <f>IFERROR(__xludf.DUMMYFUNCTION("""COMPUTED_VALUE"""),152.0)</f>
        <v>152</v>
      </c>
      <c r="D3437" s="3">
        <f>IFERROR(__xludf.DUMMYFUNCTION("""COMPUTED_VALUE"""),33.0)</f>
        <v>33</v>
      </c>
      <c r="E3437" s="2"/>
      <c r="F3437" s="2"/>
    </row>
    <row r="3438">
      <c r="A3438" s="2">
        <f>IFERROR(__xludf.DUMMYFUNCTION("""COMPUTED_VALUE"""),87000.0)</f>
        <v>87000</v>
      </c>
      <c r="B3438" s="2">
        <f>IFERROR(__xludf.DUMMYFUNCTION("""COMPUTED_VALUE"""),1.0)</f>
        <v>1</v>
      </c>
      <c r="C3438" s="2">
        <f>IFERROR(__xludf.DUMMYFUNCTION("""COMPUTED_VALUE"""),514.0)</f>
        <v>514</v>
      </c>
      <c r="D3438" s="3">
        <f>IFERROR(__xludf.DUMMYFUNCTION("""COMPUTED_VALUE"""),42.0)</f>
        <v>42</v>
      </c>
      <c r="E3438" s="2"/>
      <c r="F3438" s="2"/>
    </row>
    <row r="3439">
      <c r="A3439" s="2">
        <f>IFERROR(__xludf.DUMMYFUNCTION("""COMPUTED_VALUE"""),103457.0)</f>
        <v>103457</v>
      </c>
      <c r="B3439" s="2">
        <f>IFERROR(__xludf.DUMMYFUNCTION("""COMPUTED_VALUE"""),1.0)</f>
        <v>1</v>
      </c>
      <c r="C3439" s="2">
        <f>IFERROR(__xludf.DUMMYFUNCTION("""COMPUTED_VALUE"""),988.0)</f>
        <v>988</v>
      </c>
      <c r="D3439" s="3">
        <f>IFERROR(__xludf.DUMMYFUNCTION("""COMPUTED_VALUE"""),77.0)</f>
        <v>77</v>
      </c>
      <c r="E3439" s="2"/>
      <c r="F3439" s="2"/>
    </row>
    <row r="3440">
      <c r="A3440" s="2">
        <f>IFERROR(__xludf.DUMMYFUNCTION("""COMPUTED_VALUE"""),42198.0)</f>
        <v>42198</v>
      </c>
      <c r="B3440" s="2">
        <f>IFERROR(__xludf.DUMMYFUNCTION("""COMPUTED_VALUE"""),1.0)</f>
        <v>1</v>
      </c>
      <c r="C3440" s="2">
        <f>IFERROR(__xludf.DUMMYFUNCTION("""COMPUTED_VALUE"""),910.0)</f>
        <v>910</v>
      </c>
      <c r="D3440" s="3">
        <f>IFERROR(__xludf.DUMMYFUNCTION("""COMPUTED_VALUE"""),345.0)</f>
        <v>345</v>
      </c>
      <c r="E3440" s="2"/>
      <c r="F3440" s="2"/>
    </row>
    <row r="3441">
      <c r="A3441" s="2">
        <f>IFERROR(__xludf.DUMMYFUNCTION("""COMPUTED_VALUE"""),46823.0)</f>
        <v>46823</v>
      </c>
      <c r="B3441" s="2">
        <f>IFERROR(__xludf.DUMMYFUNCTION("""COMPUTED_VALUE"""),0.0)</f>
        <v>0</v>
      </c>
      <c r="C3441" s="2">
        <f>IFERROR(__xludf.DUMMYFUNCTION("""COMPUTED_VALUE"""),152.0)</f>
        <v>152</v>
      </c>
      <c r="D3441" s="3">
        <f>IFERROR(__xludf.DUMMYFUNCTION("""COMPUTED_VALUE"""),91.0)</f>
        <v>91</v>
      </c>
      <c r="E3441" s="2"/>
      <c r="F3441" s="2"/>
    </row>
    <row r="3442">
      <c r="A3442" s="2">
        <f>IFERROR(__xludf.DUMMYFUNCTION("""COMPUTED_VALUE"""),116196.0)</f>
        <v>116196</v>
      </c>
      <c r="B3442" s="2">
        <f>IFERROR(__xludf.DUMMYFUNCTION("""COMPUTED_VALUE"""),1.0)</f>
        <v>1</v>
      </c>
      <c r="C3442" s="2">
        <f>IFERROR(__xludf.DUMMYFUNCTION("""COMPUTED_VALUE"""),858.0)</f>
        <v>858</v>
      </c>
      <c r="D3442" s="3">
        <f>IFERROR(__xludf.DUMMYFUNCTION("""COMPUTED_VALUE"""),663.0)</f>
        <v>663</v>
      </c>
      <c r="E3442" s="2"/>
      <c r="F3442" s="2"/>
    </row>
    <row r="3443">
      <c r="A3443" s="2">
        <f>IFERROR(__xludf.DUMMYFUNCTION("""COMPUTED_VALUE"""),111177.0)</f>
        <v>111177</v>
      </c>
      <c r="B3443" s="2">
        <f>IFERROR(__xludf.DUMMYFUNCTION("""COMPUTED_VALUE"""),0.0)</f>
        <v>0</v>
      </c>
      <c r="C3443" s="2">
        <f>IFERROR(__xludf.DUMMYFUNCTION("""COMPUTED_VALUE"""),143.0)</f>
        <v>143</v>
      </c>
      <c r="D3443" s="3">
        <f>IFERROR(__xludf.DUMMYFUNCTION("""COMPUTED_VALUE"""),2.0)</f>
        <v>2</v>
      </c>
      <c r="E3443" s="2"/>
      <c r="F3443" s="2"/>
    </row>
    <row r="3444">
      <c r="A3444" s="2">
        <f>IFERROR(__xludf.DUMMYFUNCTION("""COMPUTED_VALUE"""),70292.0)</f>
        <v>70292</v>
      </c>
      <c r="B3444" s="2">
        <f>IFERROR(__xludf.DUMMYFUNCTION("""COMPUTED_VALUE"""),1.0)</f>
        <v>1</v>
      </c>
      <c r="C3444" s="2">
        <f>IFERROR(__xludf.DUMMYFUNCTION("""COMPUTED_VALUE"""),92.0)</f>
        <v>92</v>
      </c>
      <c r="D3444" s="3">
        <f>IFERROR(__xludf.DUMMYFUNCTION("""COMPUTED_VALUE"""),80.0)</f>
        <v>80</v>
      </c>
      <c r="E3444" s="2"/>
      <c r="F3444" s="2"/>
    </row>
    <row r="3445">
      <c r="A3445" s="2">
        <f>IFERROR(__xludf.DUMMYFUNCTION("""COMPUTED_VALUE"""),90008.0)</f>
        <v>90008</v>
      </c>
      <c r="B3445" s="2">
        <f>IFERROR(__xludf.DUMMYFUNCTION("""COMPUTED_VALUE"""),0.0)</f>
        <v>0</v>
      </c>
      <c r="C3445" s="2">
        <f>IFERROR(__xludf.DUMMYFUNCTION("""COMPUTED_VALUE"""),695.0)</f>
        <v>695</v>
      </c>
      <c r="D3445" s="3">
        <f>IFERROR(__xludf.DUMMYFUNCTION("""COMPUTED_VALUE"""),549.0)</f>
        <v>549</v>
      </c>
      <c r="E3445" s="2"/>
      <c r="F3445" s="2"/>
    </row>
    <row r="3446">
      <c r="A3446" s="2">
        <f>IFERROR(__xludf.DUMMYFUNCTION("""COMPUTED_VALUE"""),71768.0)</f>
        <v>71768</v>
      </c>
      <c r="B3446" s="2">
        <f>IFERROR(__xludf.DUMMYFUNCTION("""COMPUTED_VALUE"""),1.0)</f>
        <v>1</v>
      </c>
      <c r="C3446" s="2">
        <f>IFERROR(__xludf.DUMMYFUNCTION("""COMPUTED_VALUE"""),856.0)</f>
        <v>856</v>
      </c>
      <c r="D3446" s="3">
        <f>IFERROR(__xludf.DUMMYFUNCTION("""COMPUTED_VALUE"""),472.0)</f>
        <v>472</v>
      </c>
      <c r="E3446" s="2"/>
      <c r="F3446" s="2"/>
    </row>
    <row r="3447">
      <c r="A3447" s="2">
        <f>IFERROR(__xludf.DUMMYFUNCTION("""COMPUTED_VALUE"""),86972.0)</f>
        <v>86972</v>
      </c>
      <c r="B3447" s="2">
        <f>IFERROR(__xludf.DUMMYFUNCTION("""COMPUTED_VALUE"""),1.0)</f>
        <v>1</v>
      </c>
      <c r="C3447" s="2">
        <f>IFERROR(__xludf.DUMMYFUNCTION("""COMPUTED_VALUE"""),554.0)</f>
        <v>554</v>
      </c>
      <c r="D3447" s="3">
        <f>IFERROR(__xludf.DUMMYFUNCTION("""COMPUTED_VALUE"""),391.0)</f>
        <v>391</v>
      </c>
      <c r="E3447" s="2"/>
      <c r="F3447" s="2"/>
    </row>
    <row r="3448">
      <c r="A3448" s="2">
        <f>IFERROR(__xludf.DUMMYFUNCTION("""COMPUTED_VALUE"""),111179.0)</f>
        <v>111179</v>
      </c>
      <c r="B3448" s="2">
        <f>IFERROR(__xludf.DUMMYFUNCTION("""COMPUTED_VALUE"""),0.0)</f>
        <v>0</v>
      </c>
      <c r="C3448" s="2">
        <f>IFERROR(__xludf.DUMMYFUNCTION("""COMPUTED_VALUE"""),591.0)</f>
        <v>591</v>
      </c>
      <c r="D3448" s="3">
        <f>IFERROR(__xludf.DUMMYFUNCTION("""COMPUTED_VALUE"""),131.0)</f>
        <v>131</v>
      </c>
      <c r="E3448" s="2"/>
      <c r="F3448" s="2"/>
    </row>
    <row r="3449">
      <c r="A3449" s="2">
        <f>IFERROR(__xludf.DUMMYFUNCTION("""COMPUTED_VALUE"""),81726.0)</f>
        <v>81726</v>
      </c>
      <c r="B3449" s="2">
        <f>IFERROR(__xludf.DUMMYFUNCTION("""COMPUTED_VALUE"""),0.0)</f>
        <v>0</v>
      </c>
      <c r="C3449" s="2">
        <f>IFERROR(__xludf.DUMMYFUNCTION("""COMPUTED_VALUE"""),817.0)</f>
        <v>817</v>
      </c>
      <c r="D3449" s="3">
        <f>IFERROR(__xludf.DUMMYFUNCTION("""COMPUTED_VALUE"""),81.0)</f>
        <v>81</v>
      </c>
      <c r="E3449" s="2"/>
      <c r="F3449" s="2"/>
    </row>
    <row r="3450">
      <c r="A3450" s="2">
        <f>IFERROR(__xludf.DUMMYFUNCTION("""COMPUTED_VALUE"""),28535.0)</f>
        <v>28535</v>
      </c>
      <c r="B3450" s="2">
        <f>IFERROR(__xludf.DUMMYFUNCTION("""COMPUTED_VALUE"""),1.0)</f>
        <v>1</v>
      </c>
      <c r="C3450" s="2">
        <f>IFERROR(__xludf.DUMMYFUNCTION("""COMPUTED_VALUE"""),779.0)</f>
        <v>779</v>
      </c>
      <c r="D3450" s="3">
        <f>IFERROR(__xludf.DUMMYFUNCTION("""COMPUTED_VALUE"""),747.0)</f>
        <v>747</v>
      </c>
      <c r="E3450" s="2"/>
      <c r="F3450" s="2"/>
    </row>
    <row r="3451">
      <c r="A3451" s="2">
        <f>IFERROR(__xludf.DUMMYFUNCTION("""COMPUTED_VALUE"""),80682.0)</f>
        <v>80682</v>
      </c>
      <c r="B3451" s="2">
        <f>IFERROR(__xludf.DUMMYFUNCTION("""COMPUTED_VALUE"""),0.0)</f>
        <v>0</v>
      </c>
      <c r="C3451" s="2">
        <f>IFERROR(__xludf.DUMMYFUNCTION("""COMPUTED_VALUE"""),845.0)</f>
        <v>845</v>
      </c>
      <c r="D3451" s="3">
        <f>IFERROR(__xludf.DUMMYFUNCTION("""COMPUTED_VALUE"""),483.0)</f>
        <v>483</v>
      </c>
      <c r="E3451" s="2"/>
      <c r="F3451" s="2"/>
    </row>
    <row r="3452">
      <c r="A3452" s="2">
        <f>IFERROR(__xludf.DUMMYFUNCTION("""COMPUTED_VALUE"""),144008.0)</f>
        <v>144008</v>
      </c>
      <c r="B3452" s="2">
        <f>IFERROR(__xludf.DUMMYFUNCTION("""COMPUTED_VALUE"""),0.0)</f>
        <v>0</v>
      </c>
      <c r="C3452" s="2">
        <f>IFERROR(__xludf.DUMMYFUNCTION("""COMPUTED_VALUE"""),943.0)</f>
        <v>943</v>
      </c>
      <c r="D3452" s="3">
        <f>IFERROR(__xludf.DUMMYFUNCTION("""COMPUTED_VALUE"""),348.0)</f>
        <v>348</v>
      </c>
      <c r="E3452" s="2"/>
      <c r="F3452" s="2"/>
    </row>
    <row r="3453">
      <c r="A3453" s="2">
        <f>IFERROR(__xludf.DUMMYFUNCTION("""COMPUTED_VALUE"""),111129.0)</f>
        <v>111129</v>
      </c>
      <c r="B3453" s="2">
        <f>IFERROR(__xludf.DUMMYFUNCTION("""COMPUTED_VALUE"""),1.0)</f>
        <v>1</v>
      </c>
      <c r="C3453" s="2">
        <f>IFERROR(__xludf.DUMMYFUNCTION("""COMPUTED_VALUE"""),807.0)</f>
        <v>807</v>
      </c>
      <c r="D3453" s="3">
        <f>IFERROR(__xludf.DUMMYFUNCTION("""COMPUTED_VALUE"""),276.0)</f>
        <v>276</v>
      </c>
      <c r="E3453" s="2"/>
      <c r="F3453" s="2"/>
    </row>
    <row r="3454">
      <c r="A3454" s="2">
        <f>IFERROR(__xludf.DUMMYFUNCTION("""COMPUTED_VALUE"""),107307.0)</f>
        <v>107307</v>
      </c>
      <c r="B3454" s="2">
        <f>IFERROR(__xludf.DUMMYFUNCTION("""COMPUTED_VALUE"""),1.0)</f>
        <v>1</v>
      </c>
      <c r="C3454" s="2">
        <f>IFERROR(__xludf.DUMMYFUNCTION("""COMPUTED_VALUE"""),588.0)</f>
        <v>588</v>
      </c>
      <c r="D3454" s="3">
        <f>IFERROR(__xludf.DUMMYFUNCTION("""COMPUTED_VALUE"""),336.0)</f>
        <v>336</v>
      </c>
      <c r="E3454" s="2"/>
      <c r="F3454" s="2"/>
    </row>
    <row r="3455">
      <c r="A3455" s="2">
        <f>IFERROR(__xludf.DUMMYFUNCTION("""COMPUTED_VALUE"""),70206.0)</f>
        <v>70206</v>
      </c>
      <c r="B3455" s="2">
        <f>IFERROR(__xludf.DUMMYFUNCTION("""COMPUTED_VALUE"""),0.0)</f>
        <v>0</v>
      </c>
      <c r="C3455" s="2">
        <f>IFERROR(__xludf.DUMMYFUNCTION("""COMPUTED_VALUE"""),852.0)</f>
        <v>852</v>
      </c>
      <c r="D3455" s="3">
        <f>IFERROR(__xludf.DUMMYFUNCTION("""COMPUTED_VALUE"""),823.0)</f>
        <v>823</v>
      </c>
      <c r="E3455" s="2"/>
      <c r="F3455" s="2"/>
    </row>
    <row r="3456">
      <c r="A3456" s="2">
        <f>IFERROR(__xludf.DUMMYFUNCTION("""COMPUTED_VALUE"""),107349.0)</f>
        <v>107349</v>
      </c>
      <c r="B3456" s="2">
        <f>IFERROR(__xludf.DUMMYFUNCTION("""COMPUTED_VALUE"""),0.0)</f>
        <v>0</v>
      </c>
      <c r="C3456" s="2">
        <f>IFERROR(__xludf.DUMMYFUNCTION("""COMPUTED_VALUE"""),442.0)</f>
        <v>442</v>
      </c>
      <c r="D3456" s="3">
        <f>IFERROR(__xludf.DUMMYFUNCTION("""COMPUTED_VALUE"""),139.0)</f>
        <v>139</v>
      </c>
      <c r="E3456" s="2"/>
      <c r="F3456" s="2"/>
    </row>
    <row r="3457">
      <c r="A3457" s="2">
        <f>IFERROR(__xludf.DUMMYFUNCTION("""COMPUTED_VALUE"""),122231.0)</f>
        <v>122231</v>
      </c>
      <c r="B3457" s="2">
        <f>IFERROR(__xludf.DUMMYFUNCTION("""COMPUTED_VALUE"""),0.0)</f>
        <v>0</v>
      </c>
      <c r="C3457" s="2">
        <f>IFERROR(__xludf.DUMMYFUNCTION("""COMPUTED_VALUE"""),11.0)</f>
        <v>11</v>
      </c>
      <c r="D3457" s="3">
        <f>IFERROR(__xludf.DUMMYFUNCTION("""COMPUTED_VALUE"""),4.0)</f>
        <v>4</v>
      </c>
      <c r="E3457" s="2"/>
      <c r="F3457" s="2"/>
    </row>
    <row r="3458">
      <c r="A3458" s="2">
        <f>IFERROR(__xludf.DUMMYFUNCTION("""COMPUTED_VALUE"""),103458.0)</f>
        <v>103458</v>
      </c>
      <c r="B3458" s="2">
        <f>IFERROR(__xludf.DUMMYFUNCTION("""COMPUTED_VALUE"""),0.0)</f>
        <v>0</v>
      </c>
      <c r="C3458" s="2">
        <f>IFERROR(__xludf.DUMMYFUNCTION("""COMPUTED_VALUE"""),978.0)</f>
        <v>978</v>
      </c>
      <c r="D3458" s="3">
        <f>IFERROR(__xludf.DUMMYFUNCTION("""COMPUTED_VALUE"""),19.0)</f>
        <v>19</v>
      </c>
      <c r="E3458" s="2"/>
      <c r="F3458" s="2"/>
    </row>
    <row r="3459">
      <c r="A3459" s="2">
        <f>IFERROR(__xludf.DUMMYFUNCTION("""COMPUTED_VALUE"""),71838.0)</f>
        <v>71838</v>
      </c>
      <c r="B3459" s="2">
        <f>IFERROR(__xludf.DUMMYFUNCTION("""COMPUTED_VALUE"""),0.0)</f>
        <v>0</v>
      </c>
      <c r="C3459" s="2">
        <f>IFERROR(__xludf.DUMMYFUNCTION("""COMPUTED_VALUE"""),857.0)</f>
        <v>857</v>
      </c>
      <c r="D3459" s="3">
        <f>IFERROR(__xludf.DUMMYFUNCTION("""COMPUTED_VALUE"""),179.0)</f>
        <v>179</v>
      </c>
      <c r="E3459" s="2"/>
      <c r="F3459" s="2"/>
    </row>
    <row r="3460">
      <c r="A3460" s="2">
        <f>IFERROR(__xludf.DUMMYFUNCTION("""COMPUTED_VALUE"""),104671.0)</f>
        <v>104671</v>
      </c>
      <c r="B3460" s="2">
        <f>IFERROR(__xludf.DUMMYFUNCTION("""COMPUTED_VALUE"""),1.0)</f>
        <v>1</v>
      </c>
      <c r="C3460" s="2">
        <f>IFERROR(__xludf.DUMMYFUNCTION("""COMPUTED_VALUE"""),648.0)</f>
        <v>648</v>
      </c>
      <c r="D3460" s="3">
        <f>IFERROR(__xludf.DUMMYFUNCTION("""COMPUTED_VALUE"""),42.0)</f>
        <v>42</v>
      </c>
      <c r="E3460" s="2"/>
      <c r="F3460" s="2"/>
    </row>
    <row r="3461">
      <c r="A3461" s="2">
        <f>IFERROR(__xludf.DUMMYFUNCTION("""COMPUTED_VALUE"""),83793.0)</f>
        <v>83793</v>
      </c>
      <c r="B3461" s="2">
        <f>IFERROR(__xludf.DUMMYFUNCTION("""COMPUTED_VALUE"""),1.0)</f>
        <v>1</v>
      </c>
      <c r="C3461" s="2">
        <f>IFERROR(__xludf.DUMMYFUNCTION("""COMPUTED_VALUE"""),778.0)</f>
        <v>778</v>
      </c>
      <c r="D3461" s="3">
        <f>IFERROR(__xludf.DUMMYFUNCTION("""COMPUTED_VALUE"""),400.0)</f>
        <v>400</v>
      </c>
      <c r="E3461" s="2"/>
      <c r="F3461" s="2"/>
    </row>
    <row r="3462">
      <c r="A3462" s="2">
        <f>IFERROR(__xludf.DUMMYFUNCTION("""COMPUTED_VALUE"""),50478.0)</f>
        <v>50478</v>
      </c>
      <c r="B3462" s="2">
        <f>IFERROR(__xludf.DUMMYFUNCTION("""COMPUTED_VALUE"""),0.0)</f>
        <v>0</v>
      </c>
      <c r="C3462" s="2">
        <f>IFERROR(__xludf.DUMMYFUNCTION("""COMPUTED_VALUE"""),380.0)</f>
        <v>380</v>
      </c>
      <c r="D3462" s="3">
        <f>IFERROR(__xludf.DUMMYFUNCTION("""COMPUTED_VALUE"""),49.0)</f>
        <v>49</v>
      </c>
      <c r="E3462" s="2"/>
      <c r="F3462" s="2"/>
    </row>
    <row r="3463">
      <c r="A3463" s="2">
        <f>IFERROR(__xludf.DUMMYFUNCTION("""COMPUTED_VALUE"""),118891.0)</f>
        <v>118891</v>
      </c>
      <c r="B3463" s="2">
        <f>IFERROR(__xludf.DUMMYFUNCTION("""COMPUTED_VALUE"""),0.0)</f>
        <v>0</v>
      </c>
      <c r="C3463" s="2">
        <f>IFERROR(__xludf.DUMMYFUNCTION("""COMPUTED_VALUE"""),420.0)</f>
        <v>420</v>
      </c>
      <c r="D3463" s="3">
        <f>IFERROR(__xludf.DUMMYFUNCTION("""COMPUTED_VALUE"""),170.0)</f>
        <v>170</v>
      </c>
      <c r="E3463" s="2"/>
      <c r="F3463" s="2"/>
    </row>
    <row r="3464">
      <c r="A3464" s="2">
        <f>IFERROR(__xludf.DUMMYFUNCTION("""COMPUTED_VALUE"""),70440.0)</f>
        <v>70440</v>
      </c>
      <c r="B3464" s="2">
        <f>IFERROR(__xludf.DUMMYFUNCTION("""COMPUTED_VALUE"""),0.0)</f>
        <v>0</v>
      </c>
      <c r="C3464" s="2">
        <f>IFERROR(__xludf.DUMMYFUNCTION("""COMPUTED_VALUE"""),361.0)</f>
        <v>361</v>
      </c>
      <c r="D3464" s="3">
        <f>IFERROR(__xludf.DUMMYFUNCTION("""COMPUTED_VALUE"""),339.0)</f>
        <v>339</v>
      </c>
      <c r="E3464" s="2"/>
      <c r="F3464" s="2"/>
    </row>
    <row r="3465">
      <c r="A3465" s="2">
        <f>IFERROR(__xludf.DUMMYFUNCTION("""COMPUTED_VALUE"""),44840.0)</f>
        <v>44840</v>
      </c>
      <c r="B3465" s="2">
        <f>IFERROR(__xludf.DUMMYFUNCTION("""COMPUTED_VALUE"""),1.0)</f>
        <v>1</v>
      </c>
      <c r="C3465" s="2">
        <f>IFERROR(__xludf.DUMMYFUNCTION("""COMPUTED_VALUE"""),247.0)</f>
        <v>247</v>
      </c>
      <c r="D3465" s="3">
        <f>IFERROR(__xludf.DUMMYFUNCTION("""COMPUTED_VALUE"""),188.0)</f>
        <v>188</v>
      </c>
      <c r="E3465" s="2"/>
      <c r="F3465" s="2"/>
    </row>
    <row r="3466">
      <c r="A3466" s="2">
        <f>IFERROR(__xludf.DUMMYFUNCTION("""COMPUTED_VALUE"""),107304.0)</f>
        <v>107304</v>
      </c>
      <c r="B3466" s="2">
        <f>IFERROR(__xludf.DUMMYFUNCTION("""COMPUTED_VALUE"""),0.0)</f>
        <v>0</v>
      </c>
      <c r="C3466" s="2">
        <f>IFERROR(__xludf.DUMMYFUNCTION("""COMPUTED_VALUE"""),97.0)</f>
        <v>97</v>
      </c>
      <c r="D3466" s="3">
        <f>IFERROR(__xludf.DUMMYFUNCTION("""COMPUTED_VALUE"""),12.0)</f>
        <v>12</v>
      </c>
      <c r="E3466" s="2"/>
      <c r="F3466" s="2"/>
    </row>
    <row r="3467">
      <c r="A3467" s="2">
        <f>IFERROR(__xludf.DUMMYFUNCTION("""COMPUTED_VALUE"""),116195.0)</f>
        <v>116195</v>
      </c>
      <c r="B3467" s="2">
        <f>IFERROR(__xludf.DUMMYFUNCTION("""COMPUTED_VALUE"""),1.0)</f>
        <v>1</v>
      </c>
      <c r="C3467" s="2">
        <f>IFERROR(__xludf.DUMMYFUNCTION("""COMPUTED_VALUE"""),432.0)</f>
        <v>432</v>
      </c>
      <c r="D3467" s="3">
        <f>IFERROR(__xludf.DUMMYFUNCTION("""COMPUTED_VALUE"""),221.0)</f>
        <v>221</v>
      </c>
      <c r="E3467" s="2"/>
      <c r="F3467" s="2"/>
    </row>
    <row r="3468">
      <c r="A3468" s="2">
        <f>IFERROR(__xludf.DUMMYFUNCTION("""COMPUTED_VALUE"""),86980.0)</f>
        <v>86980</v>
      </c>
      <c r="B3468" s="2">
        <f>IFERROR(__xludf.DUMMYFUNCTION("""COMPUTED_VALUE"""),1.0)</f>
        <v>1</v>
      </c>
      <c r="C3468" s="2">
        <f>IFERROR(__xludf.DUMMYFUNCTION("""COMPUTED_VALUE"""),535.0)</f>
        <v>535</v>
      </c>
      <c r="D3468" s="3">
        <f>IFERROR(__xludf.DUMMYFUNCTION("""COMPUTED_VALUE"""),45.0)</f>
        <v>45</v>
      </c>
      <c r="E3468" s="2"/>
      <c r="F3468" s="2"/>
    </row>
    <row r="3469">
      <c r="A3469" s="2">
        <f>IFERROR(__xludf.DUMMYFUNCTION("""COMPUTED_VALUE"""),122230.0)</f>
        <v>122230</v>
      </c>
      <c r="B3469" s="2">
        <f>IFERROR(__xludf.DUMMYFUNCTION("""COMPUTED_VALUE"""),0.0)</f>
        <v>0</v>
      </c>
      <c r="C3469" s="2">
        <f>IFERROR(__xludf.DUMMYFUNCTION("""COMPUTED_VALUE"""),14.0)</f>
        <v>14</v>
      </c>
      <c r="D3469" s="3">
        <f>IFERROR(__xludf.DUMMYFUNCTION("""COMPUTED_VALUE"""),2.0)</f>
        <v>2</v>
      </c>
      <c r="E3469" s="2"/>
      <c r="F3469" s="2"/>
    </row>
    <row r="3470">
      <c r="A3470" s="2">
        <f>IFERROR(__xludf.DUMMYFUNCTION("""COMPUTED_VALUE"""),47602.0)</f>
        <v>47602</v>
      </c>
      <c r="B3470" s="2">
        <f>IFERROR(__xludf.DUMMYFUNCTION("""COMPUTED_VALUE"""),1.0)</f>
        <v>1</v>
      </c>
      <c r="C3470" s="2">
        <f>IFERROR(__xludf.DUMMYFUNCTION("""COMPUTED_VALUE"""),1.0)</f>
        <v>1</v>
      </c>
      <c r="D3470" s="3">
        <f>IFERROR(__xludf.DUMMYFUNCTION("""COMPUTED_VALUE"""),1.0)</f>
        <v>1</v>
      </c>
      <c r="E3470" s="2"/>
      <c r="F3470" s="2"/>
    </row>
    <row r="3471">
      <c r="A3471" s="2">
        <f>IFERROR(__xludf.DUMMYFUNCTION("""COMPUTED_VALUE"""),42190.0)</f>
        <v>42190</v>
      </c>
      <c r="B3471" s="2">
        <f>IFERROR(__xludf.DUMMYFUNCTION("""COMPUTED_VALUE"""),0.0)</f>
        <v>0</v>
      </c>
      <c r="C3471" s="2">
        <f>IFERROR(__xludf.DUMMYFUNCTION("""COMPUTED_VALUE"""),390.0)</f>
        <v>390</v>
      </c>
      <c r="D3471" s="3">
        <f>IFERROR(__xludf.DUMMYFUNCTION("""COMPUTED_VALUE"""),226.0)</f>
        <v>226</v>
      </c>
      <c r="E3471" s="2"/>
      <c r="F3471" s="2"/>
    </row>
    <row r="3472">
      <c r="A3472" s="2">
        <f>IFERROR(__xludf.DUMMYFUNCTION("""COMPUTED_VALUE"""),111130.0)</f>
        <v>111130</v>
      </c>
      <c r="B3472" s="2">
        <f>IFERROR(__xludf.DUMMYFUNCTION("""COMPUTED_VALUE"""),1.0)</f>
        <v>1</v>
      </c>
      <c r="C3472" s="2">
        <f>IFERROR(__xludf.DUMMYFUNCTION("""COMPUTED_VALUE"""),778.0)</f>
        <v>778</v>
      </c>
      <c r="D3472" s="3">
        <f>IFERROR(__xludf.DUMMYFUNCTION("""COMPUTED_VALUE"""),366.0)</f>
        <v>366</v>
      </c>
      <c r="E3472" s="2"/>
      <c r="F3472" s="2"/>
    </row>
    <row r="3473">
      <c r="A3473" s="2">
        <f>IFERROR(__xludf.DUMMYFUNCTION("""COMPUTED_VALUE"""),71774.0)</f>
        <v>71774</v>
      </c>
      <c r="B3473" s="2">
        <f>IFERROR(__xludf.DUMMYFUNCTION("""COMPUTED_VALUE"""),0.0)</f>
        <v>0</v>
      </c>
      <c r="C3473" s="2">
        <f>IFERROR(__xludf.DUMMYFUNCTION("""COMPUTED_VALUE"""),933.0)</f>
        <v>933</v>
      </c>
      <c r="D3473" s="3">
        <f>IFERROR(__xludf.DUMMYFUNCTION("""COMPUTED_VALUE"""),485.0)</f>
        <v>485</v>
      </c>
      <c r="E3473" s="2"/>
      <c r="F3473" s="2"/>
    </row>
    <row r="3474">
      <c r="A3474" s="2">
        <f>IFERROR(__xludf.DUMMYFUNCTION("""COMPUTED_VALUE"""),75010.0)</f>
        <v>75010</v>
      </c>
      <c r="B3474" s="2">
        <f>IFERROR(__xludf.DUMMYFUNCTION("""COMPUTED_VALUE"""),1.0)</f>
        <v>1</v>
      </c>
      <c r="C3474" s="2">
        <f>IFERROR(__xludf.DUMMYFUNCTION("""COMPUTED_VALUE"""),997.0)</f>
        <v>997</v>
      </c>
      <c r="D3474" s="3">
        <f>IFERROR(__xludf.DUMMYFUNCTION("""COMPUTED_VALUE"""),887.0)</f>
        <v>887</v>
      </c>
      <c r="E3474" s="2"/>
      <c r="F3474" s="2"/>
    </row>
    <row r="3475">
      <c r="A3475" s="2">
        <f>IFERROR(__xludf.DUMMYFUNCTION("""COMPUTED_VALUE"""),119276.0)</f>
        <v>119276</v>
      </c>
      <c r="B3475" s="2">
        <f>IFERROR(__xludf.DUMMYFUNCTION("""COMPUTED_VALUE"""),1.0)</f>
        <v>1</v>
      </c>
      <c r="C3475" s="2">
        <f>IFERROR(__xludf.DUMMYFUNCTION("""COMPUTED_VALUE"""),-1.0)</f>
        <v>-1</v>
      </c>
      <c r="D3475" s="3">
        <f>IFERROR(__xludf.DUMMYFUNCTION("""COMPUTED_VALUE"""),0.0)</f>
        <v>0</v>
      </c>
      <c r="E3475" s="2"/>
      <c r="F3475" s="2"/>
    </row>
    <row r="3476">
      <c r="A3476" s="2">
        <f>IFERROR(__xludf.DUMMYFUNCTION("""COMPUTED_VALUE"""),83789.0)</f>
        <v>83789</v>
      </c>
      <c r="B3476" s="2">
        <f>IFERROR(__xludf.DUMMYFUNCTION("""COMPUTED_VALUE"""),1.0)</f>
        <v>1</v>
      </c>
      <c r="C3476" s="2">
        <f>IFERROR(__xludf.DUMMYFUNCTION("""COMPUTED_VALUE"""),119.0)</f>
        <v>119</v>
      </c>
      <c r="D3476" s="3">
        <f>IFERROR(__xludf.DUMMYFUNCTION("""COMPUTED_VALUE"""),14.0)</f>
        <v>14</v>
      </c>
      <c r="E3476" s="2"/>
      <c r="F3476" s="2"/>
    </row>
    <row r="3477">
      <c r="A3477" s="2">
        <f>IFERROR(__xludf.DUMMYFUNCTION("""COMPUTED_VALUE"""),86999.0)</f>
        <v>86999</v>
      </c>
      <c r="B3477" s="2">
        <f>IFERROR(__xludf.DUMMYFUNCTION("""COMPUTED_VALUE"""),0.0)</f>
        <v>0</v>
      </c>
      <c r="C3477" s="2">
        <f>IFERROR(__xludf.DUMMYFUNCTION("""COMPUTED_VALUE"""),316.0)</f>
        <v>316</v>
      </c>
      <c r="D3477" s="3">
        <f>IFERROR(__xludf.DUMMYFUNCTION("""COMPUTED_VALUE"""),295.0)</f>
        <v>295</v>
      </c>
      <c r="E3477" s="2"/>
      <c r="F3477" s="2"/>
    </row>
    <row r="3478">
      <c r="A3478" s="2">
        <f>IFERROR(__xludf.DUMMYFUNCTION("""COMPUTED_VALUE"""),80678.0)</f>
        <v>80678</v>
      </c>
      <c r="B3478" s="2">
        <f>IFERROR(__xludf.DUMMYFUNCTION("""COMPUTED_VALUE"""),1.0)</f>
        <v>1</v>
      </c>
      <c r="C3478" s="2">
        <f>IFERROR(__xludf.DUMMYFUNCTION("""COMPUTED_VALUE"""),147.0)</f>
        <v>147</v>
      </c>
      <c r="D3478" s="3">
        <f>IFERROR(__xludf.DUMMYFUNCTION("""COMPUTED_VALUE"""),15.0)</f>
        <v>15</v>
      </c>
      <c r="E3478" s="2"/>
      <c r="F3478" s="2"/>
    </row>
    <row r="3479">
      <c r="A3479" s="2">
        <f>IFERROR(__xludf.DUMMYFUNCTION("""COMPUTED_VALUE"""),86973.0)</f>
        <v>86973</v>
      </c>
      <c r="B3479" s="2">
        <f>IFERROR(__xludf.DUMMYFUNCTION("""COMPUTED_VALUE"""),0.0)</f>
        <v>0</v>
      </c>
      <c r="C3479" s="2">
        <f>IFERROR(__xludf.DUMMYFUNCTION("""COMPUTED_VALUE"""),899.0)</f>
        <v>899</v>
      </c>
      <c r="D3479" s="3">
        <f>IFERROR(__xludf.DUMMYFUNCTION("""COMPUTED_VALUE"""),463.0)</f>
        <v>463</v>
      </c>
      <c r="E3479" s="2"/>
      <c r="F3479" s="2"/>
    </row>
    <row r="3480">
      <c r="A3480" s="2">
        <f>IFERROR(__xludf.DUMMYFUNCTION("""COMPUTED_VALUE"""),81724.0)</f>
        <v>81724</v>
      </c>
      <c r="B3480" s="2">
        <f>IFERROR(__xludf.DUMMYFUNCTION("""COMPUTED_VALUE"""),1.0)</f>
        <v>1</v>
      </c>
      <c r="C3480" s="2">
        <f>IFERROR(__xludf.DUMMYFUNCTION("""COMPUTED_VALUE"""),601.0)</f>
        <v>601</v>
      </c>
      <c r="D3480" s="3">
        <f>IFERROR(__xludf.DUMMYFUNCTION("""COMPUTED_VALUE"""),476.0)</f>
        <v>476</v>
      </c>
      <c r="E3480" s="2"/>
      <c r="F3480" s="2"/>
    </row>
    <row r="3481">
      <c r="A3481" s="2">
        <f>IFERROR(__xludf.DUMMYFUNCTION("""COMPUTED_VALUE"""),104678.0)</f>
        <v>104678</v>
      </c>
      <c r="B3481" s="2">
        <f>IFERROR(__xludf.DUMMYFUNCTION("""COMPUTED_VALUE"""),0.0)</f>
        <v>0</v>
      </c>
      <c r="C3481" s="2">
        <f>IFERROR(__xludf.DUMMYFUNCTION("""COMPUTED_VALUE"""),915.0)</f>
        <v>915</v>
      </c>
      <c r="D3481" s="3">
        <f>IFERROR(__xludf.DUMMYFUNCTION("""COMPUTED_VALUE"""),56.0)</f>
        <v>56</v>
      </c>
      <c r="E3481" s="2"/>
      <c r="F3481" s="2"/>
    </row>
    <row r="3482">
      <c r="A3482" s="2">
        <f>IFERROR(__xludf.DUMMYFUNCTION("""COMPUTED_VALUE"""),71844.0)</f>
        <v>71844</v>
      </c>
      <c r="B3482" s="2">
        <f>IFERROR(__xludf.DUMMYFUNCTION("""COMPUTED_VALUE"""),1.0)</f>
        <v>1</v>
      </c>
      <c r="C3482" s="2">
        <f>IFERROR(__xludf.DUMMYFUNCTION("""COMPUTED_VALUE"""),155.0)</f>
        <v>155</v>
      </c>
      <c r="D3482" s="3">
        <f>IFERROR(__xludf.DUMMYFUNCTION("""COMPUTED_VALUE"""),116.0)</f>
        <v>116</v>
      </c>
      <c r="E3482" s="2"/>
      <c r="F3482" s="2"/>
    </row>
    <row r="3483">
      <c r="A3483" s="2">
        <f>IFERROR(__xludf.DUMMYFUNCTION("""COMPUTED_VALUE"""),42287.0)</f>
        <v>42287</v>
      </c>
      <c r="B3483" s="2">
        <f>IFERROR(__xludf.DUMMYFUNCTION("""COMPUTED_VALUE"""),0.0)</f>
        <v>0</v>
      </c>
      <c r="C3483" s="2">
        <f>IFERROR(__xludf.DUMMYFUNCTION("""COMPUTED_VALUE"""),937.0)</f>
        <v>937</v>
      </c>
      <c r="D3483" s="3">
        <f>IFERROR(__xludf.DUMMYFUNCTION("""COMPUTED_VALUE"""),615.0)</f>
        <v>615</v>
      </c>
      <c r="E3483" s="2"/>
      <c r="F3483" s="2"/>
    </row>
    <row r="3484">
      <c r="A3484" s="2">
        <f>IFERROR(__xludf.DUMMYFUNCTION("""COMPUTED_VALUE"""),116678.0)</f>
        <v>116678</v>
      </c>
      <c r="B3484" s="2">
        <f>IFERROR(__xludf.DUMMYFUNCTION("""COMPUTED_VALUE"""),1.0)</f>
        <v>1</v>
      </c>
      <c r="C3484" s="2">
        <f>IFERROR(__xludf.DUMMYFUNCTION("""COMPUTED_VALUE"""),97.0)</f>
        <v>97</v>
      </c>
      <c r="D3484" s="3">
        <f>IFERROR(__xludf.DUMMYFUNCTION("""COMPUTED_VALUE"""),49.0)</f>
        <v>49</v>
      </c>
      <c r="E3484" s="2"/>
      <c r="F3484" s="2"/>
    </row>
    <row r="3485">
      <c r="A3485" s="2">
        <f>IFERROR(__xludf.DUMMYFUNCTION("""COMPUTED_VALUE"""),116845.0)</f>
        <v>116845</v>
      </c>
      <c r="B3485" s="2">
        <f>IFERROR(__xludf.DUMMYFUNCTION("""COMPUTED_VALUE"""),1.0)</f>
        <v>1</v>
      </c>
      <c r="C3485" s="2">
        <f>IFERROR(__xludf.DUMMYFUNCTION("""COMPUTED_VALUE"""),516.0)</f>
        <v>516</v>
      </c>
      <c r="D3485" s="3">
        <f>IFERROR(__xludf.DUMMYFUNCTION("""COMPUTED_VALUE"""),81.0)</f>
        <v>81</v>
      </c>
      <c r="E3485" s="2"/>
      <c r="F3485" s="2"/>
    </row>
    <row r="3486">
      <c r="A3486" s="2">
        <f>IFERROR(__xludf.DUMMYFUNCTION("""COMPUTED_VALUE"""),114252.0)</f>
        <v>114252</v>
      </c>
      <c r="B3486" s="2">
        <f>IFERROR(__xludf.DUMMYFUNCTION("""COMPUTED_VALUE"""),1.0)</f>
        <v>1</v>
      </c>
      <c r="C3486" s="2">
        <f>IFERROR(__xludf.DUMMYFUNCTION("""COMPUTED_VALUE"""),509.0)</f>
        <v>509</v>
      </c>
      <c r="D3486" s="3">
        <f>IFERROR(__xludf.DUMMYFUNCTION("""COMPUTED_VALUE"""),148.0)</f>
        <v>148</v>
      </c>
      <c r="E3486" s="2"/>
      <c r="F3486" s="2"/>
    </row>
    <row r="3487">
      <c r="A3487" s="2">
        <f>IFERROR(__xludf.DUMMYFUNCTION("""COMPUTED_VALUE"""),117595.0)</f>
        <v>117595</v>
      </c>
      <c r="B3487" s="2">
        <f>IFERROR(__xludf.DUMMYFUNCTION("""COMPUTED_VALUE"""),0.0)</f>
        <v>0</v>
      </c>
      <c r="C3487" s="2">
        <f>IFERROR(__xludf.DUMMYFUNCTION("""COMPUTED_VALUE"""),612.0)</f>
        <v>612</v>
      </c>
      <c r="D3487" s="3">
        <f>IFERROR(__xludf.DUMMYFUNCTION("""COMPUTED_VALUE"""),558.0)</f>
        <v>558</v>
      </c>
      <c r="E3487" s="2"/>
      <c r="F3487" s="2"/>
    </row>
    <row r="3488">
      <c r="A3488" s="2">
        <f>IFERROR(__xludf.DUMMYFUNCTION("""COMPUTED_VALUE"""),109579.0)</f>
        <v>109579</v>
      </c>
      <c r="B3488" s="2">
        <f>IFERROR(__xludf.DUMMYFUNCTION("""COMPUTED_VALUE"""),0.0)</f>
        <v>0</v>
      </c>
      <c r="C3488" s="2">
        <f>IFERROR(__xludf.DUMMYFUNCTION("""COMPUTED_VALUE"""),869.0)</f>
        <v>869</v>
      </c>
      <c r="D3488" s="3">
        <f>IFERROR(__xludf.DUMMYFUNCTION("""COMPUTED_VALUE"""),529.0)</f>
        <v>529</v>
      </c>
      <c r="E3488" s="2"/>
      <c r="F3488" s="2"/>
    </row>
    <row r="3489">
      <c r="A3489" s="2">
        <f>IFERROR(__xludf.DUMMYFUNCTION("""COMPUTED_VALUE"""),117597.0)</f>
        <v>117597</v>
      </c>
      <c r="B3489" s="2">
        <f>IFERROR(__xludf.DUMMYFUNCTION("""COMPUTED_VALUE"""),0.0)</f>
        <v>0</v>
      </c>
      <c r="C3489" s="2">
        <f>IFERROR(__xludf.DUMMYFUNCTION("""COMPUTED_VALUE"""),941.0)</f>
        <v>941</v>
      </c>
      <c r="D3489" s="3">
        <f>IFERROR(__xludf.DUMMYFUNCTION("""COMPUTED_VALUE"""),245.0)</f>
        <v>245</v>
      </c>
      <c r="E3489" s="2"/>
      <c r="F3489" s="2"/>
    </row>
    <row r="3490">
      <c r="A3490" s="2">
        <f>IFERROR(__xludf.DUMMYFUNCTION("""COMPUTED_VALUE"""),14401.0)</f>
        <v>14401</v>
      </c>
      <c r="B3490" s="2">
        <f>IFERROR(__xludf.DUMMYFUNCTION("""COMPUTED_VALUE"""),1.0)</f>
        <v>1</v>
      </c>
      <c r="C3490" s="2">
        <f>IFERROR(__xludf.DUMMYFUNCTION("""COMPUTED_VALUE"""),435.0)</f>
        <v>435</v>
      </c>
      <c r="D3490" s="3">
        <f>IFERROR(__xludf.DUMMYFUNCTION("""COMPUTED_VALUE"""),380.0)</f>
        <v>380</v>
      </c>
      <c r="E3490" s="2"/>
      <c r="F3490" s="2"/>
    </row>
    <row r="3491">
      <c r="A3491" s="2">
        <f>IFERROR(__xludf.DUMMYFUNCTION("""COMPUTED_VALUE"""),109290.0)</f>
        <v>109290</v>
      </c>
      <c r="B3491" s="2">
        <f>IFERROR(__xludf.DUMMYFUNCTION("""COMPUTED_VALUE"""),0.0)</f>
        <v>0</v>
      </c>
      <c r="C3491" s="2">
        <f>IFERROR(__xludf.DUMMYFUNCTION("""COMPUTED_VALUE"""),541.0)</f>
        <v>541</v>
      </c>
      <c r="D3491" s="3">
        <f>IFERROR(__xludf.DUMMYFUNCTION("""COMPUTED_VALUE"""),473.0)</f>
        <v>473</v>
      </c>
      <c r="E3491" s="2"/>
      <c r="F3491" s="2"/>
    </row>
    <row r="3492">
      <c r="A3492" s="2">
        <f>IFERROR(__xludf.DUMMYFUNCTION("""COMPUTED_VALUE"""),117665.0)</f>
        <v>117665</v>
      </c>
      <c r="B3492" s="2">
        <f>IFERROR(__xludf.DUMMYFUNCTION("""COMPUTED_VALUE"""),0.0)</f>
        <v>0</v>
      </c>
      <c r="C3492" s="2">
        <f>IFERROR(__xludf.DUMMYFUNCTION("""COMPUTED_VALUE"""),143.0)</f>
        <v>143</v>
      </c>
      <c r="D3492" s="3">
        <f>IFERROR(__xludf.DUMMYFUNCTION("""COMPUTED_VALUE"""),4.0)</f>
        <v>4</v>
      </c>
      <c r="E3492" s="2"/>
      <c r="F3492" s="2"/>
    </row>
    <row r="3493">
      <c r="A3493" s="2">
        <f>IFERROR(__xludf.DUMMYFUNCTION("""COMPUTED_VALUE"""),117681.0)</f>
        <v>117681</v>
      </c>
      <c r="B3493" s="2">
        <f>IFERROR(__xludf.DUMMYFUNCTION("""COMPUTED_VALUE"""),0.0)</f>
        <v>0</v>
      </c>
      <c r="C3493" s="2">
        <f>IFERROR(__xludf.DUMMYFUNCTION("""COMPUTED_VALUE"""),501.0)</f>
        <v>501</v>
      </c>
      <c r="D3493" s="3">
        <f>IFERROR(__xludf.DUMMYFUNCTION("""COMPUTED_VALUE"""),203.0)</f>
        <v>203</v>
      </c>
      <c r="E3493" s="2"/>
      <c r="F3493" s="2"/>
    </row>
    <row r="3494">
      <c r="A3494" s="2">
        <f>IFERROR(__xludf.DUMMYFUNCTION("""COMPUTED_VALUE"""),119406.0)</f>
        <v>119406</v>
      </c>
      <c r="B3494" s="2">
        <f>IFERROR(__xludf.DUMMYFUNCTION("""COMPUTED_VALUE"""),0.0)</f>
        <v>0</v>
      </c>
      <c r="C3494" s="2">
        <f>IFERROR(__xludf.DUMMYFUNCTION("""COMPUTED_VALUE"""),726.0)</f>
        <v>726</v>
      </c>
      <c r="D3494" s="3">
        <f>IFERROR(__xludf.DUMMYFUNCTION("""COMPUTED_VALUE"""),670.0)</f>
        <v>670</v>
      </c>
      <c r="E3494" s="2"/>
      <c r="F3494" s="2"/>
    </row>
    <row r="3495">
      <c r="A3495" s="2">
        <f>IFERROR(__xludf.DUMMYFUNCTION("""COMPUTED_VALUE"""),117676.0)</f>
        <v>117676</v>
      </c>
      <c r="B3495" s="2">
        <f>IFERROR(__xludf.DUMMYFUNCTION("""COMPUTED_VALUE"""),0.0)</f>
        <v>0</v>
      </c>
      <c r="C3495" s="2">
        <f>IFERROR(__xludf.DUMMYFUNCTION("""COMPUTED_VALUE"""),727.0)</f>
        <v>727</v>
      </c>
      <c r="D3495" s="3">
        <f>IFERROR(__xludf.DUMMYFUNCTION("""COMPUTED_VALUE"""),345.0)</f>
        <v>345</v>
      </c>
      <c r="E3495" s="2"/>
      <c r="F3495" s="2"/>
    </row>
    <row r="3496">
      <c r="A3496" s="2">
        <f>IFERROR(__xludf.DUMMYFUNCTION("""COMPUTED_VALUE"""),109571.0)</f>
        <v>109571</v>
      </c>
      <c r="B3496" s="2">
        <f>IFERROR(__xludf.DUMMYFUNCTION("""COMPUTED_VALUE"""),1.0)</f>
        <v>1</v>
      </c>
      <c r="C3496" s="2">
        <f>IFERROR(__xludf.DUMMYFUNCTION("""COMPUTED_VALUE"""),397.0)</f>
        <v>397</v>
      </c>
      <c r="D3496" s="3">
        <f>IFERROR(__xludf.DUMMYFUNCTION("""COMPUTED_VALUE"""),233.0)</f>
        <v>233</v>
      </c>
      <c r="E3496" s="2"/>
      <c r="F3496" s="2"/>
    </row>
    <row r="3497">
      <c r="A3497" s="2">
        <f>IFERROR(__xludf.DUMMYFUNCTION("""COMPUTED_VALUE"""),116676.0)</f>
        <v>116676</v>
      </c>
      <c r="B3497" s="2">
        <f>IFERROR(__xludf.DUMMYFUNCTION("""COMPUTED_VALUE"""),0.0)</f>
        <v>0</v>
      </c>
      <c r="C3497" s="2">
        <f>IFERROR(__xludf.DUMMYFUNCTION("""COMPUTED_VALUE"""),107.0)</f>
        <v>107</v>
      </c>
      <c r="D3497" s="3">
        <f>IFERROR(__xludf.DUMMYFUNCTION("""COMPUTED_VALUE"""),94.0)</f>
        <v>94</v>
      </c>
      <c r="E3497" s="2"/>
      <c r="F3497" s="2"/>
    </row>
    <row r="3498">
      <c r="A3498" s="2">
        <f>IFERROR(__xludf.DUMMYFUNCTION("""COMPUTED_VALUE"""),116816.0)</f>
        <v>116816</v>
      </c>
      <c r="B3498" s="2">
        <f>IFERROR(__xludf.DUMMYFUNCTION("""COMPUTED_VALUE"""),0.0)</f>
        <v>0</v>
      </c>
      <c r="C3498" s="2">
        <f>IFERROR(__xludf.DUMMYFUNCTION("""COMPUTED_VALUE"""),187.0)</f>
        <v>187</v>
      </c>
      <c r="D3498" s="3">
        <f>IFERROR(__xludf.DUMMYFUNCTION("""COMPUTED_VALUE"""),109.0)</f>
        <v>109</v>
      </c>
      <c r="E3498" s="2"/>
      <c r="F3498" s="2"/>
    </row>
    <row r="3499">
      <c r="A3499" s="2">
        <f>IFERROR(__xludf.DUMMYFUNCTION("""COMPUTED_VALUE"""),117663.0)</f>
        <v>117663</v>
      </c>
      <c r="B3499" s="2">
        <f>IFERROR(__xludf.DUMMYFUNCTION("""COMPUTED_VALUE"""),1.0)</f>
        <v>1</v>
      </c>
      <c r="C3499" s="2">
        <f>IFERROR(__xludf.DUMMYFUNCTION("""COMPUTED_VALUE"""),562.0)</f>
        <v>562</v>
      </c>
      <c r="D3499" s="3">
        <f>IFERROR(__xludf.DUMMYFUNCTION("""COMPUTED_VALUE"""),43.0)</f>
        <v>43</v>
      </c>
      <c r="E3499" s="2"/>
      <c r="F3499" s="2"/>
    </row>
    <row r="3500">
      <c r="A3500" s="2">
        <f>IFERROR(__xludf.DUMMYFUNCTION("""COMPUTED_VALUE"""),117652.0)</f>
        <v>117652</v>
      </c>
      <c r="B3500" s="2">
        <f>IFERROR(__xludf.DUMMYFUNCTION("""COMPUTED_VALUE"""),0.0)</f>
        <v>0</v>
      </c>
      <c r="C3500" s="2">
        <f>IFERROR(__xludf.DUMMYFUNCTION("""COMPUTED_VALUE"""),562.0)</f>
        <v>562</v>
      </c>
      <c r="D3500" s="3">
        <f>IFERROR(__xludf.DUMMYFUNCTION("""COMPUTED_VALUE"""),504.0)</f>
        <v>504</v>
      </c>
      <c r="E3500" s="2"/>
      <c r="F3500" s="2"/>
    </row>
    <row r="3501">
      <c r="A3501" s="2">
        <f>IFERROR(__xludf.DUMMYFUNCTION("""COMPUTED_VALUE"""),109289.0)</f>
        <v>109289</v>
      </c>
      <c r="B3501" s="2">
        <f>IFERROR(__xludf.DUMMYFUNCTION("""COMPUTED_VALUE"""),1.0)</f>
        <v>1</v>
      </c>
      <c r="C3501" s="2">
        <f>IFERROR(__xludf.DUMMYFUNCTION("""COMPUTED_VALUE"""),260.0)</f>
        <v>260</v>
      </c>
      <c r="D3501" s="3">
        <f>IFERROR(__xludf.DUMMYFUNCTION("""COMPUTED_VALUE"""),167.0)</f>
        <v>167</v>
      </c>
      <c r="E3501" s="2"/>
      <c r="F3501" s="2"/>
    </row>
    <row r="3502">
      <c r="A3502" s="2">
        <f>IFERROR(__xludf.DUMMYFUNCTION("""COMPUTED_VALUE"""),117656.0)</f>
        <v>117656</v>
      </c>
      <c r="B3502" s="2">
        <f>IFERROR(__xludf.DUMMYFUNCTION("""COMPUTED_VALUE"""),0.0)</f>
        <v>0</v>
      </c>
      <c r="C3502" s="2">
        <f>IFERROR(__xludf.DUMMYFUNCTION("""COMPUTED_VALUE"""),438.0)</f>
        <v>438</v>
      </c>
      <c r="D3502" s="3">
        <f>IFERROR(__xludf.DUMMYFUNCTION("""COMPUTED_VALUE"""),135.0)</f>
        <v>135</v>
      </c>
      <c r="E3502" s="2"/>
      <c r="F3502" s="2"/>
    </row>
    <row r="3503">
      <c r="A3503" s="2">
        <f>IFERROR(__xludf.DUMMYFUNCTION("""COMPUTED_VALUE"""),117677.0)</f>
        <v>117677</v>
      </c>
      <c r="B3503" s="2">
        <f>IFERROR(__xludf.DUMMYFUNCTION("""COMPUTED_VALUE"""),1.0)</f>
        <v>1</v>
      </c>
      <c r="C3503" s="2">
        <f>IFERROR(__xludf.DUMMYFUNCTION("""COMPUTED_VALUE"""),397.0)</f>
        <v>397</v>
      </c>
      <c r="D3503" s="3">
        <f>IFERROR(__xludf.DUMMYFUNCTION("""COMPUTED_VALUE"""),379.0)</f>
        <v>379</v>
      </c>
      <c r="E3503" s="2"/>
      <c r="F3503" s="2"/>
    </row>
    <row r="3504">
      <c r="A3504" s="2">
        <f>IFERROR(__xludf.DUMMYFUNCTION("""COMPUTED_VALUE"""),116677.0)</f>
        <v>116677</v>
      </c>
      <c r="B3504" s="2">
        <f>IFERROR(__xludf.DUMMYFUNCTION("""COMPUTED_VALUE"""),1.0)</f>
        <v>1</v>
      </c>
      <c r="C3504" s="2">
        <f>IFERROR(__xludf.DUMMYFUNCTION("""COMPUTED_VALUE"""),0.0)</f>
        <v>0</v>
      </c>
      <c r="D3504" s="3">
        <f>IFERROR(__xludf.DUMMYFUNCTION("""COMPUTED_VALUE"""),0.0)</f>
        <v>0</v>
      </c>
      <c r="E3504" s="2"/>
      <c r="F3504" s="2"/>
    </row>
    <row r="3505">
      <c r="A3505" s="2">
        <f>IFERROR(__xludf.DUMMYFUNCTION("""COMPUTED_VALUE"""),117256.0)</f>
        <v>117256</v>
      </c>
      <c r="B3505" s="2">
        <f>IFERROR(__xludf.DUMMYFUNCTION("""COMPUTED_VALUE"""),1.0)</f>
        <v>1</v>
      </c>
      <c r="C3505" s="2">
        <f>IFERROR(__xludf.DUMMYFUNCTION("""COMPUTED_VALUE"""),732.0)</f>
        <v>732</v>
      </c>
      <c r="D3505" s="3">
        <f>IFERROR(__xludf.DUMMYFUNCTION("""COMPUTED_VALUE"""),294.0)</f>
        <v>294</v>
      </c>
      <c r="E3505" s="2"/>
      <c r="F3505" s="2"/>
    </row>
    <row r="3506">
      <c r="A3506" s="2">
        <f>IFERROR(__xludf.DUMMYFUNCTION("""COMPUTED_VALUE"""),122738.0)</f>
        <v>122738</v>
      </c>
      <c r="B3506" s="2">
        <f>IFERROR(__xludf.DUMMYFUNCTION("""COMPUTED_VALUE"""),1.0)</f>
        <v>1</v>
      </c>
      <c r="C3506" s="2">
        <f>IFERROR(__xludf.DUMMYFUNCTION("""COMPUTED_VALUE"""),229.0)</f>
        <v>229</v>
      </c>
      <c r="D3506" s="3">
        <f>IFERROR(__xludf.DUMMYFUNCTION("""COMPUTED_VALUE"""),110.0)</f>
        <v>110</v>
      </c>
      <c r="E3506" s="2"/>
      <c r="F3506" s="2"/>
    </row>
    <row r="3507">
      <c r="A3507" s="2">
        <f>IFERROR(__xludf.DUMMYFUNCTION("""COMPUTED_VALUE"""),116679.0)</f>
        <v>116679</v>
      </c>
      <c r="B3507" s="2">
        <f>IFERROR(__xludf.DUMMYFUNCTION("""COMPUTED_VALUE"""),1.0)</f>
        <v>1</v>
      </c>
      <c r="C3507" s="2">
        <f>IFERROR(__xludf.DUMMYFUNCTION("""COMPUTED_VALUE"""),705.0)</f>
        <v>705</v>
      </c>
      <c r="D3507" s="3">
        <f>IFERROR(__xludf.DUMMYFUNCTION("""COMPUTED_VALUE"""),606.0)</f>
        <v>606</v>
      </c>
      <c r="E3507" s="2"/>
      <c r="F3507" s="2"/>
    </row>
    <row r="3508">
      <c r="A3508" s="2">
        <f>IFERROR(__xludf.DUMMYFUNCTION("""COMPUTED_VALUE"""),116831.0)</f>
        <v>116831</v>
      </c>
      <c r="B3508" s="2">
        <f>IFERROR(__xludf.DUMMYFUNCTION("""COMPUTED_VALUE"""),1.0)</f>
        <v>1</v>
      </c>
      <c r="C3508" s="2">
        <f>IFERROR(__xludf.DUMMYFUNCTION("""COMPUTED_VALUE"""),692.0)</f>
        <v>692</v>
      </c>
      <c r="D3508" s="3">
        <f>IFERROR(__xludf.DUMMYFUNCTION("""COMPUTED_VALUE"""),621.0)</f>
        <v>621</v>
      </c>
      <c r="E3508" s="2"/>
      <c r="F3508" s="2"/>
    </row>
    <row r="3509">
      <c r="A3509" s="2">
        <f>IFERROR(__xludf.DUMMYFUNCTION("""COMPUTED_VALUE"""),109577.0)</f>
        <v>109577</v>
      </c>
      <c r="B3509" s="2">
        <f>IFERROR(__xludf.DUMMYFUNCTION("""COMPUTED_VALUE"""),0.0)</f>
        <v>0</v>
      </c>
      <c r="C3509" s="2">
        <f>IFERROR(__xludf.DUMMYFUNCTION("""COMPUTED_VALUE"""),974.0)</f>
        <v>974</v>
      </c>
      <c r="D3509" s="3">
        <f>IFERROR(__xludf.DUMMYFUNCTION("""COMPUTED_VALUE"""),698.0)</f>
        <v>698</v>
      </c>
      <c r="E3509" s="2"/>
      <c r="F3509" s="2"/>
    </row>
    <row r="3510">
      <c r="A3510" s="2">
        <f>IFERROR(__xludf.DUMMYFUNCTION("""COMPUTED_VALUE"""),77790.0)</f>
        <v>77790</v>
      </c>
      <c r="B3510" s="2">
        <f>IFERROR(__xludf.DUMMYFUNCTION("""COMPUTED_VALUE"""),1.0)</f>
        <v>1</v>
      </c>
      <c r="C3510" s="2">
        <f>IFERROR(__xludf.DUMMYFUNCTION("""COMPUTED_VALUE"""),39.0)</f>
        <v>39</v>
      </c>
      <c r="D3510" s="3">
        <f>IFERROR(__xludf.DUMMYFUNCTION("""COMPUTED_VALUE"""),28.0)</f>
        <v>28</v>
      </c>
      <c r="E3510" s="2"/>
      <c r="F3510" s="2"/>
    </row>
    <row r="3511">
      <c r="A3511" s="2">
        <f>IFERROR(__xludf.DUMMYFUNCTION("""COMPUTED_VALUE"""),101172.0)</f>
        <v>101172</v>
      </c>
      <c r="B3511" s="2">
        <f>IFERROR(__xludf.DUMMYFUNCTION("""COMPUTED_VALUE"""),0.0)</f>
        <v>0</v>
      </c>
      <c r="C3511" s="2">
        <f>IFERROR(__xludf.DUMMYFUNCTION("""COMPUTED_VALUE"""),471.0)</f>
        <v>471</v>
      </c>
      <c r="D3511" s="3">
        <f>IFERROR(__xludf.DUMMYFUNCTION("""COMPUTED_VALUE"""),389.0)</f>
        <v>389</v>
      </c>
      <c r="E3511" s="2"/>
      <c r="F3511" s="2"/>
    </row>
    <row r="3512">
      <c r="A3512" s="2">
        <f>IFERROR(__xludf.DUMMYFUNCTION("""COMPUTED_VALUE"""),87023.0)</f>
        <v>87023</v>
      </c>
      <c r="B3512" s="2">
        <f>IFERROR(__xludf.DUMMYFUNCTION("""COMPUTED_VALUE"""),1.0)</f>
        <v>1</v>
      </c>
      <c r="C3512" s="2">
        <f>IFERROR(__xludf.DUMMYFUNCTION("""COMPUTED_VALUE"""),656.0)</f>
        <v>656</v>
      </c>
      <c r="D3512" s="3">
        <f>IFERROR(__xludf.DUMMYFUNCTION("""COMPUTED_VALUE"""),440.0)</f>
        <v>440</v>
      </c>
      <c r="E3512" s="2"/>
      <c r="F3512" s="2"/>
    </row>
    <row r="3513">
      <c r="A3513" s="2">
        <f>IFERROR(__xludf.DUMMYFUNCTION("""COMPUTED_VALUE"""),101520.0)</f>
        <v>101520</v>
      </c>
      <c r="B3513" s="2">
        <f>IFERROR(__xludf.DUMMYFUNCTION("""COMPUTED_VALUE"""),1.0)</f>
        <v>1</v>
      </c>
      <c r="C3513" s="2">
        <f>IFERROR(__xludf.DUMMYFUNCTION("""COMPUTED_VALUE"""),626.0)</f>
        <v>626</v>
      </c>
      <c r="D3513" s="3">
        <f>IFERROR(__xludf.DUMMYFUNCTION("""COMPUTED_VALUE"""),52.0)</f>
        <v>52</v>
      </c>
      <c r="E3513" s="2"/>
      <c r="F3513" s="2"/>
    </row>
    <row r="3514">
      <c r="A3514" s="2">
        <f>IFERROR(__xludf.DUMMYFUNCTION("""COMPUTED_VALUE"""),118362.0)</f>
        <v>118362</v>
      </c>
      <c r="B3514" s="2">
        <f>IFERROR(__xludf.DUMMYFUNCTION("""COMPUTED_VALUE"""),0.0)</f>
        <v>0</v>
      </c>
      <c r="C3514" s="2">
        <f>IFERROR(__xludf.DUMMYFUNCTION("""COMPUTED_VALUE"""),943.0)</f>
        <v>943</v>
      </c>
      <c r="D3514" s="3">
        <f>IFERROR(__xludf.DUMMYFUNCTION("""COMPUTED_VALUE"""),155.0)</f>
        <v>155</v>
      </c>
      <c r="E3514" s="2"/>
      <c r="F3514" s="2"/>
    </row>
    <row r="3515">
      <c r="A3515" s="2">
        <f>IFERROR(__xludf.DUMMYFUNCTION("""COMPUTED_VALUE"""),87313.0)</f>
        <v>87313</v>
      </c>
      <c r="B3515" s="2">
        <f>IFERROR(__xludf.DUMMYFUNCTION("""COMPUTED_VALUE"""),0.0)</f>
        <v>0</v>
      </c>
      <c r="C3515" s="2">
        <f>IFERROR(__xludf.DUMMYFUNCTION("""COMPUTED_VALUE"""),388.0)</f>
        <v>388</v>
      </c>
      <c r="D3515" s="3">
        <f>IFERROR(__xludf.DUMMYFUNCTION("""COMPUTED_VALUE"""),170.0)</f>
        <v>170</v>
      </c>
      <c r="E3515" s="2"/>
      <c r="F3515" s="2"/>
    </row>
    <row r="3516">
      <c r="A3516" s="2">
        <f>IFERROR(__xludf.DUMMYFUNCTION("""COMPUTED_VALUE"""),111015.0)</f>
        <v>111015</v>
      </c>
      <c r="B3516" s="2">
        <f>IFERROR(__xludf.DUMMYFUNCTION("""COMPUTED_VALUE"""),0.0)</f>
        <v>0</v>
      </c>
      <c r="C3516" s="2">
        <f>IFERROR(__xludf.DUMMYFUNCTION("""COMPUTED_VALUE"""),962.0)</f>
        <v>962</v>
      </c>
      <c r="D3516" s="3">
        <f>IFERROR(__xludf.DUMMYFUNCTION("""COMPUTED_VALUE"""),557.0)</f>
        <v>557</v>
      </c>
      <c r="E3516" s="2"/>
      <c r="F3516" s="2"/>
    </row>
    <row r="3517">
      <c r="A3517" s="2">
        <f>IFERROR(__xludf.DUMMYFUNCTION("""COMPUTED_VALUE"""),87312.0)</f>
        <v>87312</v>
      </c>
      <c r="B3517" s="2">
        <f>IFERROR(__xludf.DUMMYFUNCTION("""COMPUTED_VALUE"""),1.0)</f>
        <v>1</v>
      </c>
      <c r="C3517" s="2">
        <f>IFERROR(__xludf.DUMMYFUNCTION("""COMPUTED_VALUE"""),176.0)</f>
        <v>176</v>
      </c>
      <c r="D3517" s="3">
        <f>IFERROR(__xludf.DUMMYFUNCTION("""COMPUTED_VALUE"""),62.0)</f>
        <v>62</v>
      </c>
      <c r="E3517" s="2"/>
      <c r="F3517" s="2"/>
    </row>
    <row r="3518">
      <c r="A3518" s="2">
        <f>IFERROR(__xludf.DUMMYFUNCTION("""COMPUTED_VALUE"""),87025.0)</f>
        <v>87025</v>
      </c>
      <c r="B3518" s="2">
        <f>IFERROR(__xludf.DUMMYFUNCTION("""COMPUTED_VALUE"""),1.0)</f>
        <v>1</v>
      </c>
      <c r="C3518" s="2">
        <f>IFERROR(__xludf.DUMMYFUNCTION("""COMPUTED_VALUE"""),668.0)</f>
        <v>668</v>
      </c>
      <c r="D3518" s="3">
        <f>IFERROR(__xludf.DUMMYFUNCTION("""COMPUTED_VALUE"""),548.0)</f>
        <v>548</v>
      </c>
      <c r="E3518" s="2"/>
      <c r="F3518" s="2"/>
    </row>
    <row r="3519">
      <c r="A3519" s="2">
        <f>IFERROR(__xludf.DUMMYFUNCTION("""COMPUTED_VALUE"""),111587.0)</f>
        <v>111587</v>
      </c>
      <c r="B3519" s="2">
        <f>IFERROR(__xludf.DUMMYFUNCTION("""COMPUTED_VALUE"""),0.0)</f>
        <v>0</v>
      </c>
      <c r="C3519" s="2">
        <f>IFERROR(__xludf.DUMMYFUNCTION("""COMPUTED_VALUE"""),38.0)</f>
        <v>38</v>
      </c>
      <c r="D3519" s="3">
        <f>IFERROR(__xludf.DUMMYFUNCTION("""COMPUTED_VALUE"""),5.0)</f>
        <v>5</v>
      </c>
      <c r="E3519" s="2"/>
      <c r="F3519" s="2"/>
    </row>
    <row r="3520">
      <c r="A3520" s="2">
        <f>IFERROR(__xludf.DUMMYFUNCTION("""COMPUTED_VALUE"""),114934.0)</f>
        <v>114934</v>
      </c>
      <c r="B3520" s="2">
        <f>IFERROR(__xludf.DUMMYFUNCTION("""COMPUTED_VALUE"""),1.0)</f>
        <v>1</v>
      </c>
      <c r="C3520" s="2">
        <f>IFERROR(__xludf.DUMMYFUNCTION("""COMPUTED_VALUE"""),229.0)</f>
        <v>229</v>
      </c>
      <c r="D3520" s="3">
        <f>IFERROR(__xludf.DUMMYFUNCTION("""COMPUTED_VALUE"""),161.0)</f>
        <v>161</v>
      </c>
      <c r="E3520" s="2"/>
      <c r="F3520" s="2"/>
    </row>
    <row r="3521">
      <c r="A3521" s="2">
        <f>IFERROR(__xludf.DUMMYFUNCTION("""COMPUTED_VALUE"""),116519.0)</f>
        <v>116519</v>
      </c>
      <c r="B3521" s="2">
        <f>IFERROR(__xludf.DUMMYFUNCTION("""COMPUTED_VALUE"""),0.0)</f>
        <v>0</v>
      </c>
      <c r="C3521" s="2">
        <f>IFERROR(__xludf.DUMMYFUNCTION("""COMPUTED_VALUE"""),613.0)</f>
        <v>613</v>
      </c>
      <c r="D3521" s="3">
        <f>IFERROR(__xludf.DUMMYFUNCTION("""COMPUTED_VALUE"""),140.0)</f>
        <v>140</v>
      </c>
      <c r="E3521" s="2"/>
      <c r="F3521" s="2"/>
    </row>
    <row r="3522">
      <c r="A3522" s="2">
        <f>IFERROR(__xludf.DUMMYFUNCTION("""COMPUTED_VALUE"""),116516.0)</f>
        <v>116516</v>
      </c>
      <c r="B3522" s="2">
        <f>IFERROR(__xludf.DUMMYFUNCTION("""COMPUTED_VALUE"""),0.0)</f>
        <v>0</v>
      </c>
      <c r="C3522" s="2">
        <f>IFERROR(__xludf.DUMMYFUNCTION("""COMPUTED_VALUE"""),805.0)</f>
        <v>805</v>
      </c>
      <c r="D3522" s="3">
        <f>IFERROR(__xludf.DUMMYFUNCTION("""COMPUTED_VALUE"""),280.0)</f>
        <v>280</v>
      </c>
      <c r="E3522" s="2"/>
      <c r="F3522" s="2"/>
    </row>
    <row r="3523">
      <c r="A3523" s="2">
        <f>IFERROR(__xludf.DUMMYFUNCTION("""COMPUTED_VALUE"""),104931.0)</f>
        <v>104931</v>
      </c>
      <c r="B3523" s="2">
        <f>IFERROR(__xludf.DUMMYFUNCTION("""COMPUTED_VALUE"""),0.0)</f>
        <v>0</v>
      </c>
      <c r="C3523" s="2">
        <f>IFERROR(__xludf.DUMMYFUNCTION("""COMPUTED_VALUE"""),900.0)</f>
        <v>900</v>
      </c>
      <c r="D3523" s="3">
        <f>IFERROR(__xludf.DUMMYFUNCTION("""COMPUTED_VALUE"""),618.0)</f>
        <v>618</v>
      </c>
      <c r="E3523" s="2"/>
      <c r="F3523" s="2"/>
    </row>
    <row r="3524">
      <c r="A3524" s="2">
        <f>IFERROR(__xludf.DUMMYFUNCTION("""COMPUTED_VALUE"""),105656.0)</f>
        <v>105656</v>
      </c>
      <c r="B3524" s="2">
        <f>IFERROR(__xludf.DUMMYFUNCTION("""COMPUTED_VALUE"""),0.0)</f>
        <v>0</v>
      </c>
      <c r="C3524" s="2">
        <f>IFERROR(__xludf.DUMMYFUNCTION("""COMPUTED_VALUE"""),602.0)</f>
        <v>602</v>
      </c>
      <c r="D3524" s="3">
        <f>IFERROR(__xludf.DUMMYFUNCTION("""COMPUTED_VALUE"""),144.0)</f>
        <v>144</v>
      </c>
      <c r="E3524" s="2"/>
      <c r="F3524" s="2"/>
    </row>
    <row r="3525">
      <c r="A3525" s="2">
        <f>IFERROR(__xludf.DUMMYFUNCTION("""COMPUTED_VALUE"""),117702.0)</f>
        <v>117702</v>
      </c>
      <c r="B3525" s="2">
        <f>IFERROR(__xludf.DUMMYFUNCTION("""COMPUTED_VALUE"""),1.0)</f>
        <v>1</v>
      </c>
      <c r="C3525" s="2">
        <f>IFERROR(__xludf.DUMMYFUNCTION("""COMPUTED_VALUE"""),931.0)</f>
        <v>931</v>
      </c>
      <c r="D3525" s="3">
        <f>IFERROR(__xludf.DUMMYFUNCTION("""COMPUTED_VALUE"""),910.0)</f>
        <v>910</v>
      </c>
      <c r="E3525" s="2"/>
      <c r="F3525" s="2"/>
    </row>
    <row r="3526">
      <c r="A3526" s="2">
        <f>IFERROR(__xludf.DUMMYFUNCTION("""COMPUTED_VALUE"""),88385.0)</f>
        <v>88385</v>
      </c>
      <c r="B3526" s="2">
        <f>IFERROR(__xludf.DUMMYFUNCTION("""COMPUTED_VALUE"""),1.0)</f>
        <v>1</v>
      </c>
      <c r="C3526" s="2">
        <f>IFERROR(__xludf.DUMMYFUNCTION("""COMPUTED_VALUE"""),513.0)</f>
        <v>513</v>
      </c>
      <c r="D3526" s="3">
        <f>IFERROR(__xludf.DUMMYFUNCTION("""COMPUTED_VALUE"""),65.0)</f>
        <v>65</v>
      </c>
      <c r="E3526" s="2"/>
      <c r="F3526" s="2"/>
    </row>
    <row r="3527">
      <c r="A3527" s="2">
        <f>IFERROR(__xludf.DUMMYFUNCTION("""COMPUTED_VALUE"""),76451.0)</f>
        <v>76451</v>
      </c>
      <c r="B3527" s="2">
        <f>IFERROR(__xludf.DUMMYFUNCTION("""COMPUTED_VALUE"""),1.0)</f>
        <v>1</v>
      </c>
      <c r="C3527" s="2">
        <f>IFERROR(__xludf.DUMMYFUNCTION("""COMPUTED_VALUE"""),480.0)</f>
        <v>480</v>
      </c>
      <c r="D3527" s="3">
        <f>IFERROR(__xludf.DUMMYFUNCTION("""COMPUTED_VALUE"""),208.0)</f>
        <v>208</v>
      </c>
      <c r="E3527" s="2"/>
      <c r="F3527" s="2"/>
    </row>
    <row r="3528">
      <c r="A3528" s="2">
        <f>IFERROR(__xludf.DUMMYFUNCTION("""COMPUTED_VALUE"""),199950.0)</f>
        <v>199950</v>
      </c>
      <c r="B3528" s="2">
        <f>IFERROR(__xludf.DUMMYFUNCTION("""COMPUTED_VALUE"""),1.0)</f>
        <v>1</v>
      </c>
      <c r="C3528" s="2">
        <f>IFERROR(__xludf.DUMMYFUNCTION("""COMPUTED_VALUE"""),518.0)</f>
        <v>518</v>
      </c>
      <c r="D3528" s="3">
        <f>IFERROR(__xludf.DUMMYFUNCTION("""COMPUTED_VALUE"""),498.0)</f>
        <v>498</v>
      </c>
      <c r="E3528" s="2"/>
      <c r="F3528" s="2"/>
    </row>
    <row r="3529">
      <c r="A3529" s="2">
        <f>IFERROR(__xludf.DUMMYFUNCTION("""COMPUTED_VALUE"""),121167.0)</f>
        <v>121167</v>
      </c>
      <c r="B3529" s="2">
        <f>IFERROR(__xludf.DUMMYFUNCTION("""COMPUTED_VALUE"""),1.0)</f>
        <v>1</v>
      </c>
      <c r="C3529" s="2">
        <f>IFERROR(__xludf.DUMMYFUNCTION("""COMPUTED_VALUE"""),926.0)</f>
        <v>926</v>
      </c>
      <c r="D3529" s="3">
        <f>IFERROR(__xludf.DUMMYFUNCTION("""COMPUTED_VALUE"""),917.0)</f>
        <v>917</v>
      </c>
      <c r="E3529" s="2"/>
      <c r="F3529" s="2"/>
    </row>
    <row r="3530">
      <c r="A3530" s="2">
        <f>IFERROR(__xludf.DUMMYFUNCTION("""COMPUTED_VALUE"""),199954.0)</f>
        <v>199954</v>
      </c>
      <c r="B3530" s="2">
        <f>IFERROR(__xludf.DUMMYFUNCTION("""COMPUTED_VALUE"""),1.0)</f>
        <v>1</v>
      </c>
      <c r="C3530" s="2">
        <f>IFERROR(__xludf.DUMMYFUNCTION("""COMPUTED_VALUE"""),664.0)</f>
        <v>664</v>
      </c>
      <c r="D3530" s="3">
        <f>IFERROR(__xludf.DUMMYFUNCTION("""COMPUTED_VALUE"""),254.0)</f>
        <v>254</v>
      </c>
      <c r="E3530" s="2"/>
      <c r="F3530" s="2"/>
    </row>
    <row r="3531">
      <c r="A3531" s="2">
        <f>IFERROR(__xludf.DUMMYFUNCTION("""COMPUTED_VALUE"""),190713.0)</f>
        <v>190713</v>
      </c>
      <c r="B3531" s="2">
        <f>IFERROR(__xludf.DUMMYFUNCTION("""COMPUTED_VALUE"""),0.0)</f>
        <v>0</v>
      </c>
      <c r="C3531" s="2">
        <f>IFERROR(__xludf.DUMMYFUNCTION("""COMPUTED_VALUE"""),262.0)</f>
        <v>262</v>
      </c>
      <c r="D3531" s="3">
        <f>IFERROR(__xludf.DUMMYFUNCTION("""COMPUTED_VALUE"""),15.0)</f>
        <v>15</v>
      </c>
      <c r="E3531" s="2"/>
      <c r="F3531" s="2"/>
    </row>
    <row r="3532">
      <c r="A3532" s="2">
        <f>IFERROR(__xludf.DUMMYFUNCTION("""COMPUTED_VALUE"""),199951.0)</f>
        <v>199951</v>
      </c>
      <c r="B3532" s="2">
        <f>IFERROR(__xludf.DUMMYFUNCTION("""COMPUTED_VALUE"""),0.0)</f>
        <v>0</v>
      </c>
      <c r="C3532" s="2">
        <f>IFERROR(__xludf.DUMMYFUNCTION("""COMPUTED_VALUE"""),591.0)</f>
        <v>591</v>
      </c>
      <c r="D3532" s="3">
        <f>IFERROR(__xludf.DUMMYFUNCTION("""COMPUTED_VALUE"""),566.0)</f>
        <v>566</v>
      </c>
      <c r="E3532" s="2"/>
      <c r="F3532" s="2"/>
    </row>
    <row r="3533">
      <c r="A3533" s="2">
        <f>IFERROR(__xludf.DUMMYFUNCTION("""COMPUTED_VALUE"""),85263.0)</f>
        <v>85263</v>
      </c>
      <c r="B3533" s="2">
        <f>IFERROR(__xludf.DUMMYFUNCTION("""COMPUTED_VALUE"""),1.0)</f>
        <v>1</v>
      </c>
      <c r="C3533" s="2">
        <f>IFERROR(__xludf.DUMMYFUNCTION("""COMPUTED_VALUE"""),602.0)</f>
        <v>602</v>
      </c>
      <c r="D3533" s="3">
        <f>IFERROR(__xludf.DUMMYFUNCTION("""COMPUTED_VALUE"""),460.0)</f>
        <v>460</v>
      </c>
      <c r="E3533" s="2"/>
      <c r="F3533" s="2"/>
    </row>
    <row r="3534">
      <c r="A3534" s="2">
        <f>IFERROR(__xludf.DUMMYFUNCTION("""COMPUTED_VALUE"""),180016.0)</f>
        <v>180016</v>
      </c>
      <c r="B3534" s="2">
        <f>IFERROR(__xludf.DUMMYFUNCTION("""COMPUTED_VALUE"""),0.0)</f>
        <v>0</v>
      </c>
      <c r="C3534" s="2">
        <f>IFERROR(__xludf.DUMMYFUNCTION("""COMPUTED_VALUE"""),725.0)</f>
        <v>725</v>
      </c>
      <c r="D3534" s="3">
        <f>IFERROR(__xludf.DUMMYFUNCTION("""COMPUTED_VALUE"""),422.0)</f>
        <v>422</v>
      </c>
      <c r="E3534" s="2"/>
      <c r="F3534" s="2"/>
    </row>
    <row r="3535">
      <c r="A3535" s="2">
        <f>IFERROR(__xludf.DUMMYFUNCTION("""COMPUTED_VALUE"""),129432.0)</f>
        <v>129432</v>
      </c>
      <c r="B3535" s="2">
        <f>IFERROR(__xludf.DUMMYFUNCTION("""COMPUTED_VALUE"""),0.0)</f>
        <v>0</v>
      </c>
      <c r="C3535" s="2">
        <f>IFERROR(__xludf.DUMMYFUNCTION("""COMPUTED_VALUE"""),30.0)</f>
        <v>30</v>
      </c>
      <c r="D3535" s="3">
        <f>IFERROR(__xludf.DUMMYFUNCTION("""COMPUTED_VALUE"""),3.0)</f>
        <v>3</v>
      </c>
      <c r="E3535" s="2"/>
      <c r="F3535" s="2"/>
    </row>
    <row r="3536">
      <c r="A3536" s="2">
        <f>IFERROR(__xludf.DUMMYFUNCTION("""COMPUTED_VALUE"""),120052.0)</f>
        <v>120052</v>
      </c>
      <c r="B3536" s="2">
        <f>IFERROR(__xludf.DUMMYFUNCTION("""COMPUTED_VALUE"""),1.0)</f>
        <v>1</v>
      </c>
      <c r="C3536" s="2">
        <f>IFERROR(__xludf.DUMMYFUNCTION("""COMPUTED_VALUE"""),498.0)</f>
        <v>498</v>
      </c>
      <c r="D3536" s="3">
        <f>IFERROR(__xludf.DUMMYFUNCTION("""COMPUTED_VALUE"""),413.0)</f>
        <v>413</v>
      </c>
      <c r="E3536" s="2"/>
      <c r="F3536" s="2"/>
    </row>
    <row r="3537">
      <c r="A3537" s="2">
        <f>IFERROR(__xludf.DUMMYFUNCTION("""COMPUTED_VALUE"""),111876.0)</f>
        <v>111876</v>
      </c>
      <c r="B3537" s="2">
        <f>IFERROR(__xludf.DUMMYFUNCTION("""COMPUTED_VALUE"""),0.0)</f>
        <v>0</v>
      </c>
      <c r="C3537" s="2">
        <f>IFERROR(__xludf.DUMMYFUNCTION("""COMPUTED_VALUE"""),721.0)</f>
        <v>721</v>
      </c>
      <c r="D3537" s="3">
        <f>IFERROR(__xludf.DUMMYFUNCTION("""COMPUTED_VALUE"""),673.0)</f>
        <v>673</v>
      </c>
      <c r="E3537" s="2"/>
      <c r="F3537" s="2"/>
    </row>
    <row r="3538">
      <c r="A3538" s="2">
        <f>IFERROR(__xludf.DUMMYFUNCTION("""COMPUTED_VALUE"""),85092.0)</f>
        <v>85092</v>
      </c>
      <c r="B3538" s="2">
        <f>IFERROR(__xludf.DUMMYFUNCTION("""COMPUTED_VALUE"""),0.0)</f>
        <v>0</v>
      </c>
      <c r="C3538" s="2">
        <f>IFERROR(__xludf.DUMMYFUNCTION("""COMPUTED_VALUE"""),221.0)</f>
        <v>221</v>
      </c>
      <c r="D3538" s="3">
        <f>IFERROR(__xludf.DUMMYFUNCTION("""COMPUTED_VALUE"""),184.0)</f>
        <v>184</v>
      </c>
      <c r="E3538" s="2"/>
      <c r="F3538" s="2"/>
    </row>
    <row r="3539">
      <c r="A3539" s="2">
        <f>IFERROR(__xludf.DUMMYFUNCTION("""COMPUTED_VALUE"""),121046.0)</f>
        <v>121046</v>
      </c>
      <c r="B3539" s="2">
        <f>IFERROR(__xludf.DUMMYFUNCTION("""COMPUTED_VALUE"""),1.0)</f>
        <v>1</v>
      </c>
      <c r="C3539" s="2">
        <f>IFERROR(__xludf.DUMMYFUNCTION("""COMPUTED_VALUE"""),360.0)</f>
        <v>360</v>
      </c>
      <c r="D3539" s="3">
        <f>IFERROR(__xludf.DUMMYFUNCTION("""COMPUTED_VALUE"""),359.0)</f>
        <v>359</v>
      </c>
      <c r="E3539" s="2"/>
      <c r="F3539" s="2"/>
    </row>
    <row r="3540">
      <c r="A3540" s="2">
        <f>IFERROR(__xludf.DUMMYFUNCTION("""COMPUTED_VALUE"""),849.0)</f>
        <v>849</v>
      </c>
      <c r="B3540" s="2">
        <f>IFERROR(__xludf.DUMMYFUNCTION("""COMPUTED_VALUE"""),0.0)</f>
        <v>0</v>
      </c>
      <c r="C3540" s="2">
        <f>IFERROR(__xludf.DUMMYFUNCTION("""COMPUTED_VALUE"""),134.0)</f>
        <v>134</v>
      </c>
      <c r="D3540" s="3">
        <f>IFERROR(__xludf.DUMMYFUNCTION("""COMPUTED_VALUE"""),118.0)</f>
        <v>118</v>
      </c>
      <c r="E3540" s="2"/>
      <c r="F3540" s="2"/>
    </row>
    <row r="3541">
      <c r="A3541" s="2">
        <f>IFERROR(__xludf.DUMMYFUNCTION("""COMPUTED_VALUE"""),21662.0)</f>
        <v>21662</v>
      </c>
      <c r="B3541" s="2">
        <f>IFERROR(__xludf.DUMMYFUNCTION("""COMPUTED_VALUE"""),0.0)</f>
        <v>0</v>
      </c>
      <c r="C3541" s="2">
        <f>IFERROR(__xludf.DUMMYFUNCTION("""COMPUTED_VALUE"""),915.0)</f>
        <v>915</v>
      </c>
      <c r="D3541" s="3">
        <f>IFERROR(__xludf.DUMMYFUNCTION("""COMPUTED_VALUE"""),905.0)</f>
        <v>905</v>
      </c>
      <c r="E3541" s="2"/>
      <c r="F3541" s="2"/>
    </row>
    <row r="3542">
      <c r="A3542" s="2">
        <f>IFERROR(__xludf.DUMMYFUNCTION("""COMPUTED_VALUE"""),127038.0)</f>
        <v>127038</v>
      </c>
      <c r="B3542" s="2">
        <f>IFERROR(__xludf.DUMMYFUNCTION("""COMPUTED_VALUE"""),0.0)</f>
        <v>0</v>
      </c>
      <c r="C3542" s="2">
        <f>IFERROR(__xludf.DUMMYFUNCTION("""COMPUTED_VALUE"""),841.0)</f>
        <v>841</v>
      </c>
      <c r="D3542" s="3">
        <f>IFERROR(__xludf.DUMMYFUNCTION("""COMPUTED_VALUE"""),555.0)</f>
        <v>555</v>
      </c>
      <c r="E3542" s="2"/>
      <c r="F3542" s="2"/>
    </row>
    <row r="3543">
      <c r="A3543" s="2">
        <f>IFERROR(__xludf.DUMMYFUNCTION("""COMPUTED_VALUE"""),91954.0)</f>
        <v>91954</v>
      </c>
      <c r="B3543" s="2">
        <f>IFERROR(__xludf.DUMMYFUNCTION("""COMPUTED_VALUE"""),1.0)</f>
        <v>1</v>
      </c>
      <c r="C3543" s="2">
        <f>IFERROR(__xludf.DUMMYFUNCTION("""COMPUTED_VALUE"""),755.0)</f>
        <v>755</v>
      </c>
      <c r="D3543" s="3">
        <f>IFERROR(__xludf.DUMMYFUNCTION("""COMPUTED_VALUE"""),102.0)</f>
        <v>102</v>
      </c>
      <c r="E3543" s="2"/>
      <c r="F3543" s="2"/>
    </row>
    <row r="3544">
      <c r="A3544" s="2">
        <f>IFERROR(__xludf.DUMMYFUNCTION("""COMPUTED_VALUE"""),96365.0)</f>
        <v>96365</v>
      </c>
      <c r="B3544" s="2">
        <f>IFERROR(__xludf.DUMMYFUNCTION("""COMPUTED_VALUE"""),1.0)</f>
        <v>1</v>
      </c>
      <c r="C3544" s="2">
        <f>IFERROR(__xludf.DUMMYFUNCTION("""COMPUTED_VALUE"""),170.0)</f>
        <v>170</v>
      </c>
      <c r="D3544" s="3">
        <f>IFERROR(__xludf.DUMMYFUNCTION("""COMPUTED_VALUE"""),21.0)</f>
        <v>21</v>
      </c>
      <c r="E3544" s="2"/>
      <c r="F3544" s="2"/>
    </row>
    <row r="3545">
      <c r="A3545" s="2">
        <f>IFERROR(__xludf.DUMMYFUNCTION("""COMPUTED_VALUE"""),121172.0)</f>
        <v>121172</v>
      </c>
      <c r="B3545" s="2">
        <f>IFERROR(__xludf.DUMMYFUNCTION("""COMPUTED_VALUE"""),0.0)</f>
        <v>0</v>
      </c>
      <c r="C3545" s="2">
        <f>IFERROR(__xludf.DUMMYFUNCTION("""COMPUTED_VALUE"""),565.0)</f>
        <v>565</v>
      </c>
      <c r="D3545" s="3">
        <f>IFERROR(__xludf.DUMMYFUNCTION("""COMPUTED_VALUE"""),67.0)</f>
        <v>67</v>
      </c>
      <c r="E3545" s="2"/>
      <c r="F3545" s="2"/>
    </row>
    <row r="3546">
      <c r="A3546" s="2">
        <f>IFERROR(__xludf.DUMMYFUNCTION("""COMPUTED_VALUE"""),74331.0)</f>
        <v>74331</v>
      </c>
      <c r="B3546" s="2">
        <f>IFERROR(__xludf.DUMMYFUNCTION("""COMPUTED_VALUE"""),1.0)</f>
        <v>1</v>
      </c>
      <c r="C3546" s="2">
        <f>IFERROR(__xludf.DUMMYFUNCTION("""COMPUTED_VALUE"""),15.0)</f>
        <v>15</v>
      </c>
      <c r="D3546" s="3">
        <f>IFERROR(__xludf.DUMMYFUNCTION("""COMPUTED_VALUE"""),9.0)</f>
        <v>9</v>
      </c>
      <c r="E3546" s="2"/>
      <c r="F3546" s="2"/>
    </row>
    <row r="3547">
      <c r="A3547" s="2">
        <f>IFERROR(__xludf.DUMMYFUNCTION("""COMPUTED_VALUE"""),105657.0)</f>
        <v>105657</v>
      </c>
      <c r="B3547" s="2">
        <f>IFERROR(__xludf.DUMMYFUNCTION("""COMPUTED_VALUE"""),1.0)</f>
        <v>1</v>
      </c>
      <c r="C3547" s="2">
        <f>IFERROR(__xludf.DUMMYFUNCTION("""COMPUTED_VALUE"""),206.0)</f>
        <v>206</v>
      </c>
      <c r="D3547" s="3">
        <f>IFERROR(__xludf.DUMMYFUNCTION("""COMPUTED_VALUE"""),108.0)</f>
        <v>108</v>
      </c>
      <c r="E3547" s="2"/>
      <c r="F3547" s="2"/>
    </row>
    <row r="3548">
      <c r="A3548" s="2">
        <f>IFERROR(__xludf.DUMMYFUNCTION("""COMPUTED_VALUE"""),113716.0)</f>
        <v>113716</v>
      </c>
      <c r="B3548" s="2">
        <f>IFERROR(__xludf.DUMMYFUNCTION("""COMPUTED_VALUE"""),1.0)</f>
        <v>1</v>
      </c>
      <c r="C3548" s="2">
        <f>IFERROR(__xludf.DUMMYFUNCTION("""COMPUTED_VALUE"""),144.0)</f>
        <v>144</v>
      </c>
      <c r="D3548" s="3">
        <f>IFERROR(__xludf.DUMMYFUNCTION("""COMPUTED_VALUE"""),120.0)</f>
        <v>120</v>
      </c>
      <c r="E3548" s="2"/>
      <c r="F3548" s="2"/>
    </row>
    <row r="3549">
      <c r="A3549" s="2">
        <f>IFERROR(__xludf.DUMMYFUNCTION("""COMPUTED_VALUE"""),104510.0)</f>
        <v>104510</v>
      </c>
      <c r="B3549" s="2">
        <f>IFERROR(__xludf.DUMMYFUNCTION("""COMPUTED_VALUE"""),0.0)</f>
        <v>0</v>
      </c>
      <c r="C3549" s="2">
        <f>IFERROR(__xludf.DUMMYFUNCTION("""COMPUTED_VALUE"""),881.0)</f>
        <v>881</v>
      </c>
      <c r="D3549" s="3">
        <f>IFERROR(__xludf.DUMMYFUNCTION("""COMPUTED_VALUE"""),456.0)</f>
        <v>456</v>
      </c>
      <c r="E3549" s="2"/>
      <c r="F3549" s="2"/>
    </row>
    <row r="3550">
      <c r="A3550" s="2">
        <f>IFERROR(__xludf.DUMMYFUNCTION("""COMPUTED_VALUE"""),105059.0)</f>
        <v>105059</v>
      </c>
      <c r="B3550" s="2">
        <f>IFERROR(__xludf.DUMMYFUNCTION("""COMPUTED_VALUE"""),1.0)</f>
        <v>1</v>
      </c>
      <c r="C3550" s="2">
        <f>IFERROR(__xludf.DUMMYFUNCTION("""COMPUTED_VALUE"""),683.0)</f>
        <v>683</v>
      </c>
      <c r="D3550" s="3">
        <f>IFERROR(__xludf.DUMMYFUNCTION("""COMPUTED_VALUE"""),472.0)</f>
        <v>472</v>
      </c>
      <c r="E3550" s="2"/>
      <c r="F3550" s="2"/>
    </row>
    <row r="3551">
      <c r="A3551" s="2">
        <f>IFERROR(__xludf.DUMMYFUNCTION("""COMPUTED_VALUE"""),63608.0)</f>
        <v>63608</v>
      </c>
      <c r="B3551" s="2">
        <f>IFERROR(__xludf.DUMMYFUNCTION("""COMPUTED_VALUE"""),0.0)</f>
        <v>0</v>
      </c>
      <c r="C3551" s="2">
        <f>IFERROR(__xludf.DUMMYFUNCTION("""COMPUTED_VALUE"""),293.0)</f>
        <v>293</v>
      </c>
      <c r="D3551" s="3">
        <f>IFERROR(__xludf.DUMMYFUNCTION("""COMPUTED_VALUE"""),144.0)</f>
        <v>144</v>
      </c>
      <c r="E3551" s="2"/>
      <c r="F3551" s="2"/>
    </row>
    <row r="3552">
      <c r="A3552" s="2">
        <f>IFERROR(__xludf.DUMMYFUNCTION("""COMPUTED_VALUE"""),121095.0)</f>
        <v>121095</v>
      </c>
      <c r="B3552" s="2">
        <f>IFERROR(__xludf.DUMMYFUNCTION("""COMPUTED_VALUE"""),0.0)</f>
        <v>0</v>
      </c>
      <c r="C3552" s="2">
        <f>IFERROR(__xludf.DUMMYFUNCTION("""COMPUTED_VALUE"""),500.0)</f>
        <v>500</v>
      </c>
      <c r="D3552" s="3">
        <f>IFERROR(__xludf.DUMMYFUNCTION("""COMPUTED_VALUE"""),266.0)</f>
        <v>266</v>
      </c>
      <c r="E3552" s="2"/>
      <c r="F3552" s="2"/>
    </row>
    <row r="3553">
      <c r="A3553" s="2">
        <f>IFERROR(__xludf.DUMMYFUNCTION("""COMPUTED_VALUE"""),76450.0)</f>
        <v>76450</v>
      </c>
      <c r="B3553" s="2">
        <f>IFERROR(__xludf.DUMMYFUNCTION("""COMPUTED_VALUE"""),0.0)</f>
        <v>0</v>
      </c>
      <c r="C3553" s="2">
        <f>IFERROR(__xludf.DUMMYFUNCTION("""COMPUTED_VALUE"""),168.0)</f>
        <v>168</v>
      </c>
      <c r="D3553" s="3">
        <f>IFERROR(__xludf.DUMMYFUNCTION("""COMPUTED_VALUE"""),7.0)</f>
        <v>7</v>
      </c>
      <c r="E3553" s="2"/>
      <c r="F3553" s="2"/>
    </row>
    <row r="3554">
      <c r="A3554" s="2">
        <f>IFERROR(__xludf.DUMMYFUNCTION("""COMPUTED_VALUE"""),121012.0)</f>
        <v>121012</v>
      </c>
      <c r="B3554" s="2">
        <f>IFERROR(__xludf.DUMMYFUNCTION("""COMPUTED_VALUE"""),0.0)</f>
        <v>0</v>
      </c>
      <c r="C3554" s="2">
        <f>IFERROR(__xludf.DUMMYFUNCTION("""COMPUTED_VALUE"""),791.0)</f>
        <v>791</v>
      </c>
      <c r="D3554" s="3">
        <f>IFERROR(__xludf.DUMMYFUNCTION("""COMPUTED_VALUE"""),83.0)</f>
        <v>83</v>
      </c>
      <c r="E3554" s="2"/>
      <c r="F3554" s="2"/>
    </row>
    <row r="3555">
      <c r="A3555" s="2">
        <f>IFERROR(__xludf.DUMMYFUNCTION("""COMPUTED_VALUE"""),113187.0)</f>
        <v>113187</v>
      </c>
      <c r="B3555" s="2">
        <f>IFERROR(__xludf.DUMMYFUNCTION("""COMPUTED_VALUE"""),0.0)</f>
        <v>0</v>
      </c>
      <c r="C3555" s="2">
        <f>IFERROR(__xludf.DUMMYFUNCTION("""COMPUTED_VALUE"""),798.0)</f>
        <v>798</v>
      </c>
      <c r="D3555" s="3">
        <f>IFERROR(__xludf.DUMMYFUNCTION("""COMPUTED_VALUE"""),665.0)</f>
        <v>665</v>
      </c>
      <c r="E3555" s="2"/>
      <c r="F3555" s="2"/>
    </row>
    <row r="3556">
      <c r="A3556" s="2">
        <f>IFERROR(__xludf.DUMMYFUNCTION("""COMPUTED_VALUE"""),101946.0)</f>
        <v>101946</v>
      </c>
      <c r="B3556" s="2">
        <f>IFERROR(__xludf.DUMMYFUNCTION("""COMPUTED_VALUE"""),0.0)</f>
        <v>0</v>
      </c>
      <c r="C3556" s="2">
        <f>IFERROR(__xludf.DUMMYFUNCTION("""COMPUTED_VALUE"""),353.0)</f>
        <v>353</v>
      </c>
      <c r="D3556" s="3">
        <f>IFERROR(__xludf.DUMMYFUNCTION("""COMPUTED_VALUE"""),41.0)</f>
        <v>41</v>
      </c>
      <c r="E3556" s="2"/>
      <c r="F3556" s="2"/>
    </row>
    <row r="3557">
      <c r="A3557" s="2">
        <f>IFERROR(__xludf.DUMMYFUNCTION("""COMPUTED_VALUE"""),117275.0)</f>
        <v>117275</v>
      </c>
      <c r="B3557" s="2">
        <f>IFERROR(__xludf.DUMMYFUNCTION("""COMPUTED_VALUE"""),0.0)</f>
        <v>0</v>
      </c>
      <c r="C3557" s="2">
        <f>IFERROR(__xludf.DUMMYFUNCTION("""COMPUTED_VALUE"""),596.0)</f>
        <v>596</v>
      </c>
      <c r="D3557" s="3">
        <f>IFERROR(__xludf.DUMMYFUNCTION("""COMPUTED_VALUE"""),539.0)</f>
        <v>539</v>
      </c>
      <c r="E3557" s="2"/>
      <c r="F3557" s="2"/>
    </row>
    <row r="3558">
      <c r="A3558" s="2">
        <f>IFERROR(__xludf.DUMMYFUNCTION("""COMPUTED_VALUE"""),117695.0)</f>
        <v>117695</v>
      </c>
      <c r="B3558" s="2">
        <f>IFERROR(__xludf.DUMMYFUNCTION("""COMPUTED_VALUE"""),0.0)</f>
        <v>0</v>
      </c>
      <c r="C3558" s="2">
        <f>IFERROR(__xludf.DUMMYFUNCTION("""COMPUTED_VALUE"""),718.0)</f>
        <v>718</v>
      </c>
      <c r="D3558" s="3">
        <f>IFERROR(__xludf.DUMMYFUNCTION("""COMPUTED_VALUE"""),586.0)</f>
        <v>586</v>
      </c>
      <c r="E3558" s="2"/>
      <c r="F3558" s="2"/>
    </row>
    <row r="3559">
      <c r="A3559" s="2">
        <f>IFERROR(__xludf.DUMMYFUNCTION("""COMPUTED_VALUE"""),74398.0)</f>
        <v>74398</v>
      </c>
      <c r="B3559" s="2">
        <f>IFERROR(__xludf.DUMMYFUNCTION("""COMPUTED_VALUE"""),1.0)</f>
        <v>1</v>
      </c>
      <c r="C3559" s="2">
        <f>IFERROR(__xludf.DUMMYFUNCTION("""COMPUTED_VALUE"""),782.0)</f>
        <v>782</v>
      </c>
      <c r="D3559" s="3">
        <f>IFERROR(__xludf.DUMMYFUNCTION("""COMPUTED_VALUE"""),722.0)</f>
        <v>722</v>
      </c>
      <c r="E3559" s="2"/>
      <c r="F3559" s="2"/>
    </row>
    <row r="3560">
      <c r="A3560" s="2">
        <f>IFERROR(__xludf.DUMMYFUNCTION("""COMPUTED_VALUE"""),105230.0)</f>
        <v>105230</v>
      </c>
      <c r="B3560" s="2">
        <f>IFERROR(__xludf.DUMMYFUNCTION("""COMPUTED_VALUE"""),0.0)</f>
        <v>0</v>
      </c>
      <c r="C3560" s="2">
        <f>IFERROR(__xludf.DUMMYFUNCTION("""COMPUTED_VALUE"""),288.0)</f>
        <v>288</v>
      </c>
      <c r="D3560" s="3">
        <f>IFERROR(__xludf.DUMMYFUNCTION("""COMPUTED_VALUE"""),218.0)</f>
        <v>218</v>
      </c>
      <c r="E3560" s="2"/>
      <c r="F3560" s="2"/>
    </row>
    <row r="3561">
      <c r="A3561" s="2">
        <f>IFERROR(__xludf.DUMMYFUNCTION("""COMPUTED_VALUE"""),112776.0)</f>
        <v>112776</v>
      </c>
      <c r="B3561" s="2">
        <f>IFERROR(__xludf.DUMMYFUNCTION("""COMPUTED_VALUE"""),0.0)</f>
        <v>0</v>
      </c>
      <c r="C3561" s="2">
        <f>IFERROR(__xludf.DUMMYFUNCTION("""COMPUTED_VALUE"""),276.0)</f>
        <v>276</v>
      </c>
      <c r="D3561" s="3">
        <f>IFERROR(__xludf.DUMMYFUNCTION("""COMPUTED_VALUE"""),80.0)</f>
        <v>80</v>
      </c>
      <c r="E3561" s="2"/>
      <c r="F3561" s="2"/>
    </row>
    <row r="3562">
      <c r="A3562" s="2">
        <f>IFERROR(__xludf.DUMMYFUNCTION("""COMPUTED_VALUE"""),23968.0)</f>
        <v>23968</v>
      </c>
      <c r="B3562" s="2">
        <f>IFERROR(__xludf.DUMMYFUNCTION("""COMPUTED_VALUE"""),0.0)</f>
        <v>0</v>
      </c>
      <c r="C3562" s="2">
        <f>IFERROR(__xludf.DUMMYFUNCTION("""COMPUTED_VALUE"""),819.0)</f>
        <v>819</v>
      </c>
      <c r="D3562" s="3">
        <f>IFERROR(__xludf.DUMMYFUNCTION("""COMPUTED_VALUE"""),600.0)</f>
        <v>600</v>
      </c>
      <c r="E3562" s="2"/>
      <c r="F3562" s="2"/>
    </row>
    <row r="3563">
      <c r="A3563" s="2">
        <f>IFERROR(__xludf.DUMMYFUNCTION("""COMPUTED_VALUE"""),127025.0)</f>
        <v>127025</v>
      </c>
      <c r="B3563" s="2">
        <f>IFERROR(__xludf.DUMMYFUNCTION("""COMPUTED_VALUE"""),1.0)</f>
        <v>1</v>
      </c>
      <c r="C3563" s="2">
        <f>IFERROR(__xludf.DUMMYFUNCTION("""COMPUTED_VALUE"""),934.0)</f>
        <v>934</v>
      </c>
      <c r="D3563" s="3">
        <f>IFERROR(__xludf.DUMMYFUNCTION("""COMPUTED_VALUE"""),654.0)</f>
        <v>654</v>
      </c>
      <c r="E3563" s="2"/>
      <c r="F3563" s="2"/>
    </row>
    <row r="3564">
      <c r="A3564" s="2">
        <f>IFERROR(__xludf.DUMMYFUNCTION("""COMPUTED_VALUE"""),118956.0)</f>
        <v>118956</v>
      </c>
      <c r="B3564" s="2">
        <f>IFERROR(__xludf.DUMMYFUNCTION("""COMPUTED_VALUE"""),0.0)</f>
        <v>0</v>
      </c>
      <c r="C3564" s="2">
        <f>IFERROR(__xludf.DUMMYFUNCTION("""COMPUTED_VALUE"""),525.0)</f>
        <v>525</v>
      </c>
      <c r="D3564" s="3">
        <f>IFERROR(__xludf.DUMMYFUNCTION("""COMPUTED_VALUE"""),258.0)</f>
        <v>258</v>
      </c>
      <c r="E3564" s="2"/>
      <c r="F3564" s="2"/>
    </row>
    <row r="3565">
      <c r="A3565" s="2">
        <f>IFERROR(__xludf.DUMMYFUNCTION("""COMPUTED_VALUE"""),118947.0)</f>
        <v>118947</v>
      </c>
      <c r="B3565" s="2">
        <f>IFERROR(__xludf.DUMMYFUNCTION("""COMPUTED_VALUE"""),1.0)</f>
        <v>1</v>
      </c>
      <c r="C3565" s="2">
        <f>IFERROR(__xludf.DUMMYFUNCTION("""COMPUTED_VALUE"""),13.0)</f>
        <v>13</v>
      </c>
      <c r="D3565" s="3">
        <f>IFERROR(__xludf.DUMMYFUNCTION("""COMPUTED_VALUE"""),8.0)</f>
        <v>8</v>
      </c>
      <c r="E3565" s="2"/>
      <c r="F3565" s="2"/>
    </row>
    <row r="3566">
      <c r="A3566" s="2">
        <f>IFERROR(__xludf.DUMMYFUNCTION("""COMPUTED_VALUE"""),95873.0)</f>
        <v>95873</v>
      </c>
      <c r="B3566" s="2">
        <f>IFERROR(__xludf.DUMMYFUNCTION("""COMPUTED_VALUE"""),0.0)</f>
        <v>0</v>
      </c>
      <c r="C3566" s="2">
        <f>IFERROR(__xludf.DUMMYFUNCTION("""COMPUTED_VALUE"""),540.0)</f>
        <v>540</v>
      </c>
      <c r="D3566" s="3">
        <f>IFERROR(__xludf.DUMMYFUNCTION("""COMPUTED_VALUE"""),457.0)</f>
        <v>457</v>
      </c>
      <c r="E3566" s="2"/>
      <c r="F3566" s="2"/>
    </row>
    <row r="3567">
      <c r="A3567" s="2">
        <f>IFERROR(__xludf.DUMMYFUNCTION("""COMPUTED_VALUE"""),118946.0)</f>
        <v>118946</v>
      </c>
      <c r="B3567" s="2">
        <f>IFERROR(__xludf.DUMMYFUNCTION("""COMPUTED_VALUE"""),0.0)</f>
        <v>0</v>
      </c>
      <c r="C3567" s="2">
        <f>IFERROR(__xludf.DUMMYFUNCTION("""COMPUTED_VALUE"""),716.0)</f>
        <v>716</v>
      </c>
      <c r="D3567" s="3">
        <f>IFERROR(__xludf.DUMMYFUNCTION("""COMPUTED_VALUE"""),54.0)</f>
        <v>54</v>
      </c>
      <c r="E3567" s="2"/>
      <c r="F3567" s="2"/>
    </row>
    <row r="3568">
      <c r="A3568" s="2">
        <f>IFERROR(__xludf.DUMMYFUNCTION("""COMPUTED_VALUE"""),44991.0)</f>
        <v>44991</v>
      </c>
      <c r="B3568" s="2">
        <f>IFERROR(__xludf.DUMMYFUNCTION("""COMPUTED_VALUE"""),0.0)</f>
        <v>0</v>
      </c>
      <c r="C3568" s="2">
        <f>IFERROR(__xludf.DUMMYFUNCTION("""COMPUTED_VALUE"""),616.0)</f>
        <v>616</v>
      </c>
      <c r="D3568" s="3">
        <f>IFERROR(__xludf.DUMMYFUNCTION("""COMPUTED_VALUE"""),40.0)</f>
        <v>40</v>
      </c>
      <c r="E3568" s="2"/>
      <c r="F3568" s="2"/>
    </row>
    <row r="3569">
      <c r="A3569" s="2">
        <f>IFERROR(__xludf.DUMMYFUNCTION("""COMPUTED_VALUE"""),122398.0)</f>
        <v>122398</v>
      </c>
      <c r="B3569" s="2">
        <f>IFERROR(__xludf.DUMMYFUNCTION("""COMPUTED_VALUE"""),1.0)</f>
        <v>1</v>
      </c>
      <c r="C3569" s="2">
        <f>IFERROR(__xludf.DUMMYFUNCTION("""COMPUTED_VALUE"""),734.0)</f>
        <v>734</v>
      </c>
      <c r="D3569" s="3">
        <f>IFERROR(__xludf.DUMMYFUNCTION("""COMPUTED_VALUE"""),708.0)</f>
        <v>708</v>
      </c>
      <c r="E3569" s="2"/>
      <c r="F3569" s="2"/>
    </row>
    <row r="3570">
      <c r="A3570" s="2">
        <f>IFERROR(__xludf.DUMMYFUNCTION("""COMPUTED_VALUE"""),108638.0)</f>
        <v>108638</v>
      </c>
      <c r="B3570" s="2">
        <f>IFERROR(__xludf.DUMMYFUNCTION("""COMPUTED_VALUE"""),0.0)</f>
        <v>0</v>
      </c>
      <c r="C3570" s="2">
        <f>IFERROR(__xludf.DUMMYFUNCTION("""COMPUTED_VALUE"""),500.0)</f>
        <v>500</v>
      </c>
      <c r="D3570" s="3">
        <f>IFERROR(__xludf.DUMMYFUNCTION("""COMPUTED_VALUE"""),238.0)</f>
        <v>238</v>
      </c>
      <c r="E3570" s="2"/>
      <c r="F3570" s="2"/>
    </row>
    <row r="3571">
      <c r="A3571" s="2">
        <f>IFERROR(__xludf.DUMMYFUNCTION("""COMPUTED_VALUE"""),113633.0)</f>
        <v>113633</v>
      </c>
      <c r="B3571" s="2">
        <f>IFERROR(__xludf.DUMMYFUNCTION("""COMPUTED_VALUE"""),1.0)</f>
        <v>1</v>
      </c>
      <c r="C3571" s="2">
        <f>IFERROR(__xludf.DUMMYFUNCTION("""COMPUTED_VALUE"""),416.0)</f>
        <v>416</v>
      </c>
      <c r="D3571" s="3">
        <f>IFERROR(__xludf.DUMMYFUNCTION("""COMPUTED_VALUE"""),214.0)</f>
        <v>214</v>
      </c>
      <c r="E3571" s="2"/>
      <c r="F3571" s="2"/>
    </row>
    <row r="3572">
      <c r="A3572" s="2">
        <f>IFERROR(__xludf.DUMMYFUNCTION("""COMPUTED_VALUE"""),113649.0)</f>
        <v>113649</v>
      </c>
      <c r="B3572" s="2">
        <f>IFERROR(__xludf.DUMMYFUNCTION("""COMPUTED_VALUE"""),0.0)</f>
        <v>0</v>
      </c>
      <c r="C3572" s="2">
        <f>IFERROR(__xludf.DUMMYFUNCTION("""COMPUTED_VALUE"""),774.0)</f>
        <v>774</v>
      </c>
      <c r="D3572" s="3">
        <f>IFERROR(__xludf.DUMMYFUNCTION("""COMPUTED_VALUE"""),347.0)</f>
        <v>347</v>
      </c>
      <c r="E3572" s="2"/>
      <c r="F3572" s="2"/>
    </row>
    <row r="3573">
      <c r="A3573" s="2">
        <f>IFERROR(__xludf.DUMMYFUNCTION("""COMPUTED_VALUE"""),113619.0)</f>
        <v>113619</v>
      </c>
      <c r="B3573" s="2">
        <f>IFERROR(__xludf.DUMMYFUNCTION("""COMPUTED_VALUE"""),0.0)</f>
        <v>0</v>
      </c>
      <c r="C3573" s="2">
        <f>IFERROR(__xludf.DUMMYFUNCTION("""COMPUTED_VALUE"""),65.0)</f>
        <v>65</v>
      </c>
      <c r="D3573" s="3">
        <f>IFERROR(__xludf.DUMMYFUNCTION("""COMPUTED_VALUE"""),2.0)</f>
        <v>2</v>
      </c>
      <c r="E3573" s="2"/>
      <c r="F3573" s="2"/>
    </row>
    <row r="3574">
      <c r="A3574" s="2">
        <f>IFERROR(__xludf.DUMMYFUNCTION("""COMPUTED_VALUE"""),113648.0)</f>
        <v>113648</v>
      </c>
      <c r="B3574" s="2">
        <f>IFERROR(__xludf.DUMMYFUNCTION("""COMPUTED_VALUE"""),0.0)</f>
        <v>0</v>
      </c>
      <c r="C3574" s="2">
        <f>IFERROR(__xludf.DUMMYFUNCTION("""COMPUTED_VALUE"""),258.0)</f>
        <v>258</v>
      </c>
      <c r="D3574" s="3">
        <f>IFERROR(__xludf.DUMMYFUNCTION("""COMPUTED_VALUE"""),141.0)</f>
        <v>141</v>
      </c>
      <c r="E3574" s="2"/>
      <c r="F3574" s="2"/>
    </row>
    <row r="3575">
      <c r="A3575" s="2">
        <f>IFERROR(__xludf.DUMMYFUNCTION("""COMPUTED_VALUE"""),120889.0)</f>
        <v>120889</v>
      </c>
      <c r="B3575" s="2">
        <f>IFERROR(__xludf.DUMMYFUNCTION("""COMPUTED_VALUE"""),0.0)</f>
        <v>0</v>
      </c>
      <c r="C3575" s="2">
        <f>IFERROR(__xludf.DUMMYFUNCTION("""COMPUTED_VALUE"""),618.0)</f>
        <v>618</v>
      </c>
      <c r="D3575" s="3">
        <f>IFERROR(__xludf.DUMMYFUNCTION("""COMPUTED_VALUE"""),51.0)</f>
        <v>51</v>
      </c>
      <c r="E3575" s="2"/>
      <c r="F3575" s="2"/>
    </row>
    <row r="3576">
      <c r="A3576" s="2">
        <f>IFERROR(__xludf.DUMMYFUNCTION("""COMPUTED_VALUE"""),113620.0)</f>
        <v>113620</v>
      </c>
      <c r="B3576" s="2">
        <f>IFERROR(__xludf.DUMMYFUNCTION("""COMPUTED_VALUE"""),1.0)</f>
        <v>1</v>
      </c>
      <c r="C3576" s="2">
        <f>IFERROR(__xludf.DUMMYFUNCTION("""COMPUTED_VALUE"""),962.0)</f>
        <v>962</v>
      </c>
      <c r="D3576" s="3">
        <f>IFERROR(__xludf.DUMMYFUNCTION("""COMPUTED_VALUE"""),21.0)</f>
        <v>21</v>
      </c>
      <c r="E3576" s="2"/>
      <c r="F3576" s="2"/>
    </row>
    <row r="3577">
      <c r="A3577" s="2">
        <f>IFERROR(__xludf.DUMMYFUNCTION("""COMPUTED_VALUE"""),113626.0)</f>
        <v>113626</v>
      </c>
      <c r="B3577" s="2">
        <f>IFERROR(__xludf.DUMMYFUNCTION("""COMPUTED_VALUE"""),1.0)</f>
        <v>1</v>
      </c>
      <c r="C3577" s="2">
        <f>IFERROR(__xludf.DUMMYFUNCTION("""COMPUTED_VALUE"""),95.0)</f>
        <v>95</v>
      </c>
      <c r="D3577" s="3">
        <f>IFERROR(__xludf.DUMMYFUNCTION("""COMPUTED_VALUE"""),38.0)</f>
        <v>38</v>
      </c>
      <c r="E3577" s="2"/>
      <c r="F3577" s="2"/>
    </row>
    <row r="3578">
      <c r="A3578" s="2">
        <f>IFERROR(__xludf.DUMMYFUNCTION("""COMPUTED_VALUE"""),113657.0)</f>
        <v>113657</v>
      </c>
      <c r="B3578" s="2">
        <f>IFERROR(__xludf.DUMMYFUNCTION("""COMPUTED_VALUE"""),1.0)</f>
        <v>1</v>
      </c>
      <c r="C3578" s="2">
        <f>IFERROR(__xludf.DUMMYFUNCTION("""COMPUTED_VALUE"""),11.0)</f>
        <v>11</v>
      </c>
      <c r="D3578" s="3">
        <f>IFERROR(__xludf.DUMMYFUNCTION("""COMPUTED_VALUE"""),10.0)</f>
        <v>10</v>
      </c>
      <c r="E3578" s="2"/>
      <c r="F3578" s="2"/>
    </row>
    <row r="3579">
      <c r="A3579" s="2">
        <f>IFERROR(__xludf.DUMMYFUNCTION("""COMPUTED_VALUE"""),113645.0)</f>
        <v>113645</v>
      </c>
      <c r="B3579" s="2">
        <f>IFERROR(__xludf.DUMMYFUNCTION("""COMPUTED_VALUE"""),1.0)</f>
        <v>1</v>
      </c>
      <c r="C3579" s="2">
        <f>IFERROR(__xludf.DUMMYFUNCTION("""COMPUTED_VALUE"""),746.0)</f>
        <v>746</v>
      </c>
      <c r="D3579" s="3">
        <f>IFERROR(__xludf.DUMMYFUNCTION("""COMPUTED_VALUE"""),136.0)</f>
        <v>136</v>
      </c>
      <c r="E3579" s="2"/>
      <c r="F3579" s="2"/>
    </row>
    <row r="3580">
      <c r="A3580" s="2">
        <f>IFERROR(__xludf.DUMMYFUNCTION("""COMPUTED_VALUE"""),18247.0)</f>
        <v>18247</v>
      </c>
      <c r="B3580" s="2">
        <f>IFERROR(__xludf.DUMMYFUNCTION("""COMPUTED_VALUE"""),1.0)</f>
        <v>1</v>
      </c>
      <c r="C3580" s="2">
        <f>IFERROR(__xludf.DUMMYFUNCTION("""COMPUTED_VALUE"""),457.0)</f>
        <v>457</v>
      </c>
      <c r="D3580" s="3">
        <f>IFERROR(__xludf.DUMMYFUNCTION("""COMPUTED_VALUE"""),170.0)</f>
        <v>170</v>
      </c>
      <c r="E3580" s="2"/>
      <c r="F3580" s="2"/>
    </row>
    <row r="3581">
      <c r="A3581" s="2">
        <f>IFERROR(__xludf.DUMMYFUNCTION("""COMPUTED_VALUE"""),121249.0)</f>
        <v>121249</v>
      </c>
      <c r="B3581" s="2">
        <f>IFERROR(__xludf.DUMMYFUNCTION("""COMPUTED_VALUE"""),1.0)</f>
        <v>1</v>
      </c>
      <c r="C3581" s="2">
        <f>IFERROR(__xludf.DUMMYFUNCTION("""COMPUTED_VALUE"""),213.0)</f>
        <v>213</v>
      </c>
      <c r="D3581" s="3">
        <f>IFERROR(__xludf.DUMMYFUNCTION("""COMPUTED_VALUE"""),108.0)</f>
        <v>108</v>
      </c>
      <c r="E3581" s="2"/>
      <c r="F3581" s="2"/>
    </row>
    <row r="3582">
      <c r="A3582" s="2">
        <f>IFERROR(__xludf.DUMMYFUNCTION("""COMPUTED_VALUE"""),104912.0)</f>
        <v>104912</v>
      </c>
      <c r="B3582" s="2">
        <f>IFERROR(__xludf.DUMMYFUNCTION("""COMPUTED_VALUE"""),1.0)</f>
        <v>1</v>
      </c>
      <c r="C3582" s="2">
        <f>IFERROR(__xludf.DUMMYFUNCTION("""COMPUTED_VALUE"""),139.0)</f>
        <v>139</v>
      </c>
      <c r="D3582" s="3">
        <f>IFERROR(__xludf.DUMMYFUNCTION("""COMPUTED_VALUE"""),13.0)</f>
        <v>13</v>
      </c>
      <c r="E3582" s="2"/>
      <c r="F3582" s="2"/>
    </row>
    <row r="3583">
      <c r="A3583" s="2">
        <f>IFERROR(__xludf.DUMMYFUNCTION("""COMPUTED_VALUE"""),73222.0)</f>
        <v>73222</v>
      </c>
      <c r="B3583" s="2">
        <f>IFERROR(__xludf.DUMMYFUNCTION("""COMPUTED_VALUE"""),1.0)</f>
        <v>1</v>
      </c>
      <c r="C3583" s="2">
        <f>IFERROR(__xludf.DUMMYFUNCTION("""COMPUTED_VALUE"""),29.0)</f>
        <v>29</v>
      </c>
      <c r="D3583" s="3">
        <f>IFERROR(__xludf.DUMMYFUNCTION("""COMPUTED_VALUE"""),18.0)</f>
        <v>18</v>
      </c>
      <c r="E3583" s="2"/>
      <c r="F3583" s="2"/>
    </row>
    <row r="3584">
      <c r="A3584" s="2">
        <f>IFERROR(__xludf.DUMMYFUNCTION("""COMPUTED_VALUE"""),78834.0)</f>
        <v>78834</v>
      </c>
      <c r="B3584" s="2">
        <f>IFERROR(__xludf.DUMMYFUNCTION("""COMPUTED_VALUE"""),0.0)</f>
        <v>0</v>
      </c>
      <c r="C3584" s="2">
        <f>IFERROR(__xludf.DUMMYFUNCTION("""COMPUTED_VALUE"""),446.0)</f>
        <v>446</v>
      </c>
      <c r="D3584" s="3">
        <f>IFERROR(__xludf.DUMMYFUNCTION("""COMPUTED_VALUE"""),195.0)</f>
        <v>195</v>
      </c>
      <c r="E3584" s="2"/>
      <c r="F3584" s="2"/>
    </row>
    <row r="3585">
      <c r="A3585" s="2">
        <f>IFERROR(__xludf.DUMMYFUNCTION("""COMPUTED_VALUE"""),15109.0)</f>
        <v>15109</v>
      </c>
      <c r="B3585" s="2">
        <f>IFERROR(__xludf.DUMMYFUNCTION("""COMPUTED_VALUE"""),0.0)</f>
        <v>0</v>
      </c>
      <c r="C3585" s="2">
        <f>IFERROR(__xludf.DUMMYFUNCTION("""COMPUTED_VALUE"""),147.0)</f>
        <v>147</v>
      </c>
      <c r="D3585" s="3">
        <f>IFERROR(__xludf.DUMMYFUNCTION("""COMPUTED_VALUE"""),84.0)</f>
        <v>84</v>
      </c>
      <c r="E3585" s="2"/>
      <c r="F3585" s="2"/>
    </row>
    <row r="3586">
      <c r="A3586" s="2">
        <f>IFERROR(__xludf.DUMMYFUNCTION("""COMPUTED_VALUE"""),26126.0)</f>
        <v>26126</v>
      </c>
      <c r="B3586" s="2">
        <f>IFERROR(__xludf.DUMMYFUNCTION("""COMPUTED_VALUE"""),0.0)</f>
        <v>0</v>
      </c>
      <c r="C3586" s="2">
        <f>IFERROR(__xludf.DUMMYFUNCTION("""COMPUTED_VALUE"""),801.0)</f>
        <v>801</v>
      </c>
      <c r="D3586" s="3">
        <f>IFERROR(__xludf.DUMMYFUNCTION("""COMPUTED_VALUE"""),216.0)</f>
        <v>216</v>
      </c>
      <c r="E3586" s="2"/>
      <c r="F3586" s="2"/>
    </row>
    <row r="3587">
      <c r="A3587" s="2">
        <f>IFERROR(__xludf.DUMMYFUNCTION("""COMPUTED_VALUE"""),48724.0)</f>
        <v>48724</v>
      </c>
      <c r="B3587" s="2">
        <f>IFERROR(__xludf.DUMMYFUNCTION("""COMPUTED_VALUE"""),0.0)</f>
        <v>0</v>
      </c>
      <c r="C3587" s="2">
        <f>IFERROR(__xludf.DUMMYFUNCTION("""COMPUTED_VALUE"""),202.0)</f>
        <v>202</v>
      </c>
      <c r="D3587" s="3">
        <f>IFERROR(__xludf.DUMMYFUNCTION("""COMPUTED_VALUE"""),60.0)</f>
        <v>60</v>
      </c>
      <c r="E3587" s="2"/>
      <c r="F3587" s="2"/>
    </row>
    <row r="3588">
      <c r="A3588" s="2">
        <f>IFERROR(__xludf.DUMMYFUNCTION("""COMPUTED_VALUE"""),98888.0)</f>
        <v>98888</v>
      </c>
      <c r="B3588" s="2">
        <f>IFERROR(__xludf.DUMMYFUNCTION("""COMPUTED_VALUE"""),1.0)</f>
        <v>1</v>
      </c>
      <c r="C3588" s="2">
        <f>IFERROR(__xludf.DUMMYFUNCTION("""COMPUTED_VALUE"""),907.0)</f>
        <v>907</v>
      </c>
      <c r="D3588" s="3">
        <f>IFERROR(__xludf.DUMMYFUNCTION("""COMPUTED_VALUE"""),163.0)</f>
        <v>163</v>
      </c>
      <c r="E3588" s="2"/>
      <c r="F3588" s="2"/>
    </row>
    <row r="3589">
      <c r="A3589" s="2">
        <f>IFERROR(__xludf.DUMMYFUNCTION("""COMPUTED_VALUE"""),48605.0)</f>
        <v>48605</v>
      </c>
      <c r="B3589" s="2">
        <f>IFERROR(__xludf.DUMMYFUNCTION("""COMPUTED_VALUE"""),0.0)</f>
        <v>0</v>
      </c>
      <c r="C3589" s="2">
        <f>IFERROR(__xludf.DUMMYFUNCTION("""COMPUTED_VALUE"""),246.0)</f>
        <v>246</v>
      </c>
      <c r="D3589" s="3">
        <f>IFERROR(__xludf.DUMMYFUNCTION("""COMPUTED_VALUE"""),34.0)</f>
        <v>34</v>
      </c>
      <c r="E3589" s="2"/>
      <c r="F3589" s="2"/>
    </row>
    <row r="3590">
      <c r="A3590" s="2">
        <f>IFERROR(__xludf.DUMMYFUNCTION("""COMPUTED_VALUE"""),119243.0)</f>
        <v>119243</v>
      </c>
      <c r="B3590" s="2">
        <f>IFERROR(__xludf.DUMMYFUNCTION("""COMPUTED_VALUE"""),1.0)</f>
        <v>1</v>
      </c>
      <c r="C3590" s="2">
        <f>IFERROR(__xludf.DUMMYFUNCTION("""COMPUTED_VALUE"""),227.0)</f>
        <v>227</v>
      </c>
      <c r="D3590" s="3">
        <f>IFERROR(__xludf.DUMMYFUNCTION("""COMPUTED_VALUE"""),178.0)</f>
        <v>178</v>
      </c>
      <c r="E3590" s="2"/>
      <c r="F3590" s="2"/>
    </row>
    <row r="3591">
      <c r="A3591" s="2">
        <f>IFERROR(__xludf.DUMMYFUNCTION("""COMPUTED_VALUE"""),22045.0)</f>
        <v>22045</v>
      </c>
      <c r="B3591" s="2">
        <f>IFERROR(__xludf.DUMMYFUNCTION("""COMPUTED_VALUE"""),0.0)</f>
        <v>0</v>
      </c>
      <c r="C3591" s="2">
        <f>IFERROR(__xludf.DUMMYFUNCTION("""COMPUTED_VALUE"""),944.0)</f>
        <v>944</v>
      </c>
      <c r="D3591" s="3">
        <f>IFERROR(__xludf.DUMMYFUNCTION("""COMPUTED_VALUE"""),296.0)</f>
        <v>296</v>
      </c>
      <c r="E3591" s="2"/>
      <c r="F3591" s="2"/>
    </row>
    <row r="3592">
      <c r="A3592" s="2">
        <f>IFERROR(__xludf.DUMMYFUNCTION("""COMPUTED_VALUE"""),73221.0)</f>
        <v>73221</v>
      </c>
      <c r="B3592" s="2">
        <f>IFERROR(__xludf.DUMMYFUNCTION("""COMPUTED_VALUE"""),0.0)</f>
        <v>0</v>
      </c>
      <c r="C3592" s="2">
        <f>IFERROR(__xludf.DUMMYFUNCTION("""COMPUTED_VALUE"""),830.0)</f>
        <v>830</v>
      </c>
      <c r="D3592" s="3">
        <f>IFERROR(__xludf.DUMMYFUNCTION("""COMPUTED_VALUE"""),789.0)</f>
        <v>789</v>
      </c>
      <c r="E3592" s="2"/>
      <c r="F3592" s="2"/>
    </row>
    <row r="3593">
      <c r="A3593" s="2">
        <f>IFERROR(__xludf.DUMMYFUNCTION("""COMPUTED_VALUE"""),72168.0)</f>
        <v>72168</v>
      </c>
      <c r="B3593" s="2">
        <f>IFERROR(__xludf.DUMMYFUNCTION("""COMPUTED_VALUE"""),1.0)</f>
        <v>1</v>
      </c>
      <c r="C3593" s="2">
        <f>IFERROR(__xludf.DUMMYFUNCTION("""COMPUTED_VALUE"""),315.0)</f>
        <v>315</v>
      </c>
      <c r="D3593" s="3">
        <f>IFERROR(__xludf.DUMMYFUNCTION("""COMPUTED_VALUE"""),76.0)</f>
        <v>76</v>
      </c>
      <c r="E3593" s="2"/>
      <c r="F3593" s="2"/>
    </row>
    <row r="3594">
      <c r="A3594" s="2">
        <f>IFERROR(__xludf.DUMMYFUNCTION("""COMPUTED_VALUE"""),127039.0)</f>
        <v>127039</v>
      </c>
      <c r="B3594" s="2">
        <f>IFERROR(__xludf.DUMMYFUNCTION("""COMPUTED_VALUE"""),1.0)</f>
        <v>1</v>
      </c>
      <c r="C3594" s="2">
        <f>IFERROR(__xludf.DUMMYFUNCTION("""COMPUTED_VALUE"""),925.0)</f>
        <v>925</v>
      </c>
      <c r="D3594" s="3">
        <f>IFERROR(__xludf.DUMMYFUNCTION("""COMPUTED_VALUE"""),483.0)</f>
        <v>483</v>
      </c>
      <c r="E3594" s="2"/>
      <c r="F3594" s="2"/>
    </row>
    <row r="3595">
      <c r="A3595" s="2">
        <f>IFERROR(__xludf.DUMMYFUNCTION("""COMPUTED_VALUE"""),155861.0)</f>
        <v>155861</v>
      </c>
      <c r="B3595" s="2">
        <f>IFERROR(__xludf.DUMMYFUNCTION("""COMPUTED_VALUE"""),0.0)</f>
        <v>0</v>
      </c>
      <c r="C3595" s="2">
        <f>IFERROR(__xludf.DUMMYFUNCTION("""COMPUTED_VALUE"""),120.0)</f>
        <v>120</v>
      </c>
      <c r="D3595" s="3">
        <f>IFERROR(__xludf.DUMMYFUNCTION("""COMPUTED_VALUE"""),30.0)</f>
        <v>30</v>
      </c>
      <c r="E3595" s="2"/>
      <c r="F3595" s="2"/>
    </row>
    <row r="3596">
      <c r="A3596" s="2">
        <f>IFERROR(__xludf.DUMMYFUNCTION("""COMPUTED_VALUE"""),6213.0)</f>
        <v>6213</v>
      </c>
      <c r="B3596" s="2">
        <f>IFERROR(__xludf.DUMMYFUNCTION("""COMPUTED_VALUE"""),0.0)</f>
        <v>0</v>
      </c>
      <c r="C3596" s="2">
        <f>IFERROR(__xludf.DUMMYFUNCTION("""COMPUTED_VALUE"""),733.0)</f>
        <v>733</v>
      </c>
      <c r="D3596" s="3">
        <f>IFERROR(__xludf.DUMMYFUNCTION("""COMPUTED_VALUE"""),349.0)</f>
        <v>349</v>
      </c>
      <c r="E3596" s="2"/>
      <c r="F3596" s="2"/>
    </row>
    <row r="3597">
      <c r="A3597" s="2">
        <f>IFERROR(__xludf.DUMMYFUNCTION("""COMPUTED_VALUE"""),6476.0)</f>
        <v>6476</v>
      </c>
      <c r="B3597" s="2">
        <f>IFERROR(__xludf.DUMMYFUNCTION("""COMPUTED_VALUE"""),1.0)</f>
        <v>1</v>
      </c>
      <c r="C3597" s="2">
        <f>IFERROR(__xludf.DUMMYFUNCTION("""COMPUTED_VALUE"""),590.0)</f>
        <v>590</v>
      </c>
      <c r="D3597" s="3">
        <f>IFERROR(__xludf.DUMMYFUNCTION("""COMPUTED_VALUE"""),269.0)</f>
        <v>269</v>
      </c>
      <c r="E3597" s="2"/>
      <c r="F3597" s="2"/>
    </row>
    <row r="3598">
      <c r="A3598" s="2">
        <f>IFERROR(__xludf.DUMMYFUNCTION("""COMPUTED_VALUE"""),114933.0)</f>
        <v>114933</v>
      </c>
      <c r="B3598" s="2">
        <f>IFERROR(__xludf.DUMMYFUNCTION("""COMPUTED_VALUE"""),1.0)</f>
        <v>1</v>
      </c>
      <c r="C3598" s="2">
        <f>IFERROR(__xludf.DUMMYFUNCTION("""COMPUTED_VALUE"""),633.0)</f>
        <v>633</v>
      </c>
      <c r="D3598" s="3">
        <f>IFERROR(__xludf.DUMMYFUNCTION("""COMPUTED_VALUE"""),83.0)</f>
        <v>83</v>
      </c>
      <c r="E3598" s="2"/>
      <c r="F3598" s="2"/>
    </row>
    <row r="3599">
      <c r="A3599" s="2">
        <f>IFERROR(__xludf.DUMMYFUNCTION("""COMPUTED_VALUE"""),6473.0)</f>
        <v>6473</v>
      </c>
      <c r="B3599" s="2">
        <f>IFERROR(__xludf.DUMMYFUNCTION("""COMPUTED_VALUE"""),0.0)</f>
        <v>0</v>
      </c>
      <c r="C3599" s="2">
        <f>IFERROR(__xludf.DUMMYFUNCTION("""COMPUTED_VALUE"""),970.0)</f>
        <v>970</v>
      </c>
      <c r="D3599" s="3">
        <f>IFERROR(__xludf.DUMMYFUNCTION("""COMPUTED_VALUE"""),110.0)</f>
        <v>110</v>
      </c>
      <c r="E3599" s="2"/>
      <c r="F3599" s="2"/>
    </row>
    <row r="3600">
      <c r="A3600" s="2">
        <f>IFERROR(__xludf.DUMMYFUNCTION("""COMPUTED_VALUE"""),99248.0)</f>
        <v>99248</v>
      </c>
      <c r="B3600" s="2">
        <f>IFERROR(__xludf.DUMMYFUNCTION("""COMPUTED_VALUE"""),1.0)</f>
        <v>1</v>
      </c>
      <c r="C3600" s="2">
        <f>IFERROR(__xludf.DUMMYFUNCTION("""COMPUTED_VALUE"""),743.0)</f>
        <v>743</v>
      </c>
      <c r="D3600" s="3">
        <f>IFERROR(__xludf.DUMMYFUNCTION("""COMPUTED_VALUE"""),587.0)</f>
        <v>587</v>
      </c>
      <c r="E3600" s="2"/>
      <c r="F3600" s="2"/>
    </row>
    <row r="3601">
      <c r="A3601" s="2">
        <f>IFERROR(__xludf.DUMMYFUNCTION("""COMPUTED_VALUE"""),6477.0)</f>
        <v>6477</v>
      </c>
      <c r="B3601" s="2">
        <f>IFERROR(__xludf.DUMMYFUNCTION("""COMPUTED_VALUE"""),0.0)</f>
        <v>0</v>
      </c>
      <c r="C3601" s="2">
        <f>IFERROR(__xludf.DUMMYFUNCTION("""COMPUTED_VALUE"""),131.0)</f>
        <v>131</v>
      </c>
      <c r="D3601" s="3">
        <f>IFERROR(__xludf.DUMMYFUNCTION("""COMPUTED_VALUE"""),111.0)</f>
        <v>111</v>
      </c>
      <c r="E3601" s="2"/>
      <c r="F3601" s="2"/>
    </row>
    <row r="3602">
      <c r="A3602" s="2">
        <f>IFERROR(__xludf.DUMMYFUNCTION("""COMPUTED_VALUE"""),6478.0)</f>
        <v>6478</v>
      </c>
      <c r="B3602" s="2">
        <f>IFERROR(__xludf.DUMMYFUNCTION("""COMPUTED_VALUE"""),1.0)</f>
        <v>1</v>
      </c>
      <c r="C3602" s="2">
        <f>IFERROR(__xludf.DUMMYFUNCTION("""COMPUTED_VALUE"""),597.0)</f>
        <v>597</v>
      </c>
      <c r="D3602" s="3">
        <f>IFERROR(__xludf.DUMMYFUNCTION("""COMPUTED_VALUE"""),139.0)</f>
        <v>139</v>
      </c>
      <c r="E3602" s="2"/>
      <c r="F3602" s="2"/>
    </row>
    <row r="3603">
      <c r="A3603" s="2">
        <f>IFERROR(__xludf.DUMMYFUNCTION("""COMPUTED_VALUE"""),6474.0)</f>
        <v>6474</v>
      </c>
      <c r="B3603" s="2">
        <f>IFERROR(__xludf.DUMMYFUNCTION("""COMPUTED_VALUE"""),1.0)</f>
        <v>1</v>
      </c>
      <c r="C3603" s="2">
        <f>IFERROR(__xludf.DUMMYFUNCTION("""COMPUTED_VALUE"""),790.0)</f>
        <v>790</v>
      </c>
      <c r="D3603" s="3">
        <f>IFERROR(__xludf.DUMMYFUNCTION("""COMPUTED_VALUE"""),206.0)</f>
        <v>206</v>
      </c>
      <c r="E3603" s="2"/>
      <c r="F3603" s="2"/>
    </row>
    <row r="3604">
      <c r="A3604" s="2">
        <f>IFERROR(__xludf.DUMMYFUNCTION("""COMPUTED_VALUE"""),70574.0)</f>
        <v>70574</v>
      </c>
      <c r="B3604" s="2">
        <f>IFERROR(__xludf.DUMMYFUNCTION("""COMPUTED_VALUE"""),1.0)</f>
        <v>1</v>
      </c>
      <c r="C3604" s="2">
        <f>IFERROR(__xludf.DUMMYFUNCTION("""COMPUTED_VALUE"""),589.0)</f>
        <v>589</v>
      </c>
      <c r="D3604" s="3">
        <f>IFERROR(__xludf.DUMMYFUNCTION("""COMPUTED_VALUE"""),215.0)</f>
        <v>215</v>
      </c>
      <c r="E3604" s="2"/>
      <c r="F3604" s="2"/>
    </row>
    <row r="3605">
      <c r="A3605" s="2">
        <f>IFERROR(__xludf.DUMMYFUNCTION("""COMPUTED_VALUE"""),101302.0)</f>
        <v>101302</v>
      </c>
      <c r="B3605" s="2">
        <f>IFERROR(__xludf.DUMMYFUNCTION("""COMPUTED_VALUE"""),1.0)</f>
        <v>1</v>
      </c>
      <c r="C3605" s="2">
        <f>IFERROR(__xludf.DUMMYFUNCTION("""COMPUTED_VALUE"""),540.0)</f>
        <v>540</v>
      </c>
      <c r="D3605" s="3">
        <f>IFERROR(__xludf.DUMMYFUNCTION("""COMPUTED_VALUE"""),109.0)</f>
        <v>109</v>
      </c>
      <c r="E3605" s="2"/>
      <c r="F3605" s="2"/>
    </row>
    <row r="3606">
      <c r="A3606" s="2">
        <f>IFERROR(__xludf.DUMMYFUNCTION("""COMPUTED_VALUE"""),104475.0)</f>
        <v>104475</v>
      </c>
      <c r="B3606" s="2">
        <f>IFERROR(__xludf.DUMMYFUNCTION("""COMPUTED_VALUE"""),1.0)</f>
        <v>1</v>
      </c>
      <c r="C3606" s="2">
        <f>IFERROR(__xludf.DUMMYFUNCTION("""COMPUTED_VALUE"""),169.0)</f>
        <v>169</v>
      </c>
      <c r="D3606" s="3">
        <f>IFERROR(__xludf.DUMMYFUNCTION("""COMPUTED_VALUE"""),14.0)</f>
        <v>14</v>
      </c>
      <c r="E3606" s="2"/>
      <c r="F3606" s="2"/>
    </row>
    <row r="3607">
      <c r="A3607" s="2">
        <f>IFERROR(__xludf.DUMMYFUNCTION("""COMPUTED_VALUE"""),101296.0)</f>
        <v>101296</v>
      </c>
      <c r="B3607" s="2">
        <f>IFERROR(__xludf.DUMMYFUNCTION("""COMPUTED_VALUE"""),1.0)</f>
        <v>1</v>
      </c>
      <c r="C3607" s="2">
        <f>IFERROR(__xludf.DUMMYFUNCTION("""COMPUTED_VALUE"""),280.0)</f>
        <v>280</v>
      </c>
      <c r="D3607" s="3">
        <f>IFERROR(__xludf.DUMMYFUNCTION("""COMPUTED_VALUE"""),201.0)</f>
        <v>201</v>
      </c>
      <c r="E3607" s="2"/>
      <c r="F3607" s="2"/>
    </row>
    <row r="3608">
      <c r="A3608" s="2">
        <f>IFERROR(__xludf.DUMMYFUNCTION("""COMPUTED_VALUE"""),122029.0)</f>
        <v>122029</v>
      </c>
      <c r="B3608" s="2">
        <f>IFERROR(__xludf.DUMMYFUNCTION("""COMPUTED_VALUE"""),1.0)</f>
        <v>1</v>
      </c>
      <c r="C3608" s="2">
        <f>IFERROR(__xludf.DUMMYFUNCTION("""COMPUTED_VALUE"""),874.0)</f>
        <v>874</v>
      </c>
      <c r="D3608" s="3">
        <f>IFERROR(__xludf.DUMMYFUNCTION("""COMPUTED_VALUE"""),464.0)</f>
        <v>464</v>
      </c>
      <c r="E3608" s="2"/>
      <c r="F3608" s="2"/>
    </row>
    <row r="3609">
      <c r="A3609" s="2">
        <f>IFERROR(__xludf.DUMMYFUNCTION("""COMPUTED_VALUE"""),102549.0)</f>
        <v>102549</v>
      </c>
      <c r="B3609" s="2">
        <f>IFERROR(__xludf.DUMMYFUNCTION("""COMPUTED_VALUE"""),1.0)</f>
        <v>1</v>
      </c>
      <c r="C3609" s="2">
        <f>IFERROR(__xludf.DUMMYFUNCTION("""COMPUTED_VALUE"""),448.0)</f>
        <v>448</v>
      </c>
      <c r="D3609" s="3">
        <f>IFERROR(__xludf.DUMMYFUNCTION("""COMPUTED_VALUE"""),225.0)</f>
        <v>225</v>
      </c>
      <c r="E3609" s="2"/>
      <c r="F3609" s="2"/>
    </row>
    <row r="3610">
      <c r="A3610" s="2">
        <f>IFERROR(__xludf.DUMMYFUNCTION("""COMPUTED_VALUE"""),122026.0)</f>
        <v>122026</v>
      </c>
      <c r="B3610" s="2">
        <f>IFERROR(__xludf.DUMMYFUNCTION("""COMPUTED_VALUE"""),1.0)</f>
        <v>1</v>
      </c>
      <c r="C3610" s="2">
        <f>IFERROR(__xludf.DUMMYFUNCTION("""COMPUTED_VALUE"""),385.0)</f>
        <v>385</v>
      </c>
      <c r="D3610" s="3">
        <f>IFERROR(__xludf.DUMMYFUNCTION("""COMPUTED_VALUE"""),171.0)</f>
        <v>171</v>
      </c>
      <c r="E3610" s="2"/>
      <c r="F3610" s="2"/>
    </row>
    <row r="3611">
      <c r="A3611" s="2">
        <f>IFERROR(__xludf.DUMMYFUNCTION("""COMPUTED_VALUE"""),101303.0)</f>
        <v>101303</v>
      </c>
      <c r="B3611" s="2">
        <f>IFERROR(__xludf.DUMMYFUNCTION("""COMPUTED_VALUE"""),0.0)</f>
        <v>0</v>
      </c>
      <c r="C3611" s="2">
        <f>IFERROR(__xludf.DUMMYFUNCTION("""COMPUTED_VALUE"""),114.0)</f>
        <v>114</v>
      </c>
      <c r="D3611" s="3">
        <f>IFERROR(__xludf.DUMMYFUNCTION("""COMPUTED_VALUE"""),43.0)</f>
        <v>43</v>
      </c>
      <c r="E3611" s="2"/>
      <c r="F3611" s="2"/>
    </row>
    <row r="3612">
      <c r="A3612" s="2">
        <f>IFERROR(__xludf.DUMMYFUNCTION("""COMPUTED_VALUE"""),102548.0)</f>
        <v>102548</v>
      </c>
      <c r="B3612" s="2">
        <f>IFERROR(__xludf.DUMMYFUNCTION("""COMPUTED_VALUE"""),0.0)</f>
        <v>0</v>
      </c>
      <c r="C3612" s="2">
        <f>IFERROR(__xludf.DUMMYFUNCTION("""COMPUTED_VALUE"""),304.0)</f>
        <v>304</v>
      </c>
      <c r="D3612" s="3">
        <f>IFERROR(__xludf.DUMMYFUNCTION("""COMPUTED_VALUE"""),132.0)</f>
        <v>132</v>
      </c>
      <c r="E3612" s="2"/>
      <c r="F3612" s="2"/>
    </row>
    <row r="3613">
      <c r="A3613" s="2">
        <f>IFERROR(__xludf.DUMMYFUNCTION("""COMPUTED_VALUE"""),122027.0)</f>
        <v>122027</v>
      </c>
      <c r="B3613" s="2">
        <f>IFERROR(__xludf.DUMMYFUNCTION("""COMPUTED_VALUE"""),1.0)</f>
        <v>1</v>
      </c>
      <c r="C3613" s="2">
        <f>IFERROR(__xludf.DUMMYFUNCTION("""COMPUTED_VALUE"""),797.0)</f>
        <v>797</v>
      </c>
      <c r="D3613" s="3">
        <f>IFERROR(__xludf.DUMMYFUNCTION("""COMPUTED_VALUE"""),387.0)</f>
        <v>387</v>
      </c>
      <c r="E3613" s="2"/>
      <c r="F3613" s="2"/>
    </row>
    <row r="3614">
      <c r="A3614" s="2">
        <f>IFERROR(__xludf.DUMMYFUNCTION("""COMPUTED_VALUE"""),46963.0)</f>
        <v>46963</v>
      </c>
      <c r="B3614" s="2">
        <f>IFERROR(__xludf.DUMMYFUNCTION("""COMPUTED_VALUE"""),0.0)</f>
        <v>0</v>
      </c>
      <c r="C3614" s="2">
        <f>IFERROR(__xludf.DUMMYFUNCTION("""COMPUTED_VALUE"""),527.0)</f>
        <v>527</v>
      </c>
      <c r="D3614" s="3">
        <f>IFERROR(__xludf.DUMMYFUNCTION("""COMPUTED_VALUE"""),482.0)</f>
        <v>482</v>
      </c>
      <c r="E3614" s="2"/>
      <c r="F3614" s="2"/>
    </row>
    <row r="3615">
      <c r="A3615" s="2">
        <f>IFERROR(__xludf.DUMMYFUNCTION("""COMPUTED_VALUE"""),102268.0)</f>
        <v>102268</v>
      </c>
      <c r="B3615" s="2">
        <f>IFERROR(__xludf.DUMMYFUNCTION("""COMPUTED_VALUE"""),1.0)</f>
        <v>1</v>
      </c>
      <c r="C3615" s="2">
        <f>IFERROR(__xludf.DUMMYFUNCTION("""COMPUTED_VALUE"""),827.0)</f>
        <v>827</v>
      </c>
      <c r="D3615" s="3">
        <f>IFERROR(__xludf.DUMMYFUNCTION("""COMPUTED_VALUE"""),225.0)</f>
        <v>225</v>
      </c>
      <c r="E3615" s="2"/>
      <c r="F3615" s="2"/>
    </row>
    <row r="3616">
      <c r="A3616" s="2">
        <f>IFERROR(__xludf.DUMMYFUNCTION("""COMPUTED_VALUE"""),26649.0)</f>
        <v>26649</v>
      </c>
      <c r="B3616" s="2">
        <f>IFERROR(__xludf.DUMMYFUNCTION("""COMPUTED_VALUE"""),1.0)</f>
        <v>1</v>
      </c>
      <c r="C3616" s="2">
        <f>IFERROR(__xludf.DUMMYFUNCTION("""COMPUTED_VALUE"""),324.0)</f>
        <v>324</v>
      </c>
      <c r="D3616" s="3">
        <f>IFERROR(__xludf.DUMMYFUNCTION("""COMPUTED_VALUE"""),310.0)</f>
        <v>310</v>
      </c>
      <c r="E3616" s="2"/>
      <c r="F3616" s="2"/>
    </row>
    <row r="3617">
      <c r="A3617" s="2">
        <f>IFERROR(__xludf.DUMMYFUNCTION("""COMPUTED_VALUE"""),102275.0)</f>
        <v>102275</v>
      </c>
      <c r="B3617" s="2">
        <f>IFERROR(__xludf.DUMMYFUNCTION("""COMPUTED_VALUE"""),1.0)</f>
        <v>1</v>
      </c>
      <c r="C3617" s="2">
        <f>IFERROR(__xludf.DUMMYFUNCTION("""COMPUTED_VALUE"""),896.0)</f>
        <v>896</v>
      </c>
      <c r="D3617" s="3">
        <f>IFERROR(__xludf.DUMMYFUNCTION("""COMPUTED_VALUE"""),776.0)</f>
        <v>776</v>
      </c>
      <c r="E3617" s="2"/>
      <c r="F3617" s="2"/>
    </row>
    <row r="3618">
      <c r="A3618" s="2">
        <f>IFERROR(__xludf.DUMMYFUNCTION("""COMPUTED_VALUE"""),43943.0)</f>
        <v>43943</v>
      </c>
      <c r="B3618" s="2">
        <f>IFERROR(__xludf.DUMMYFUNCTION("""COMPUTED_VALUE"""),0.0)</f>
        <v>0</v>
      </c>
      <c r="C3618" s="2">
        <f>IFERROR(__xludf.DUMMYFUNCTION("""COMPUTED_VALUE"""),351.0)</f>
        <v>351</v>
      </c>
      <c r="D3618" s="3">
        <f>IFERROR(__xludf.DUMMYFUNCTION("""COMPUTED_VALUE"""),315.0)</f>
        <v>315</v>
      </c>
      <c r="E3618" s="2"/>
      <c r="F3618" s="2"/>
    </row>
    <row r="3619">
      <c r="A3619" s="2">
        <f>IFERROR(__xludf.DUMMYFUNCTION("""COMPUTED_VALUE"""),102550.0)</f>
        <v>102550</v>
      </c>
      <c r="B3619" s="2">
        <f>IFERROR(__xludf.DUMMYFUNCTION("""COMPUTED_VALUE"""),0.0)</f>
        <v>0</v>
      </c>
      <c r="C3619" s="2">
        <f>IFERROR(__xludf.DUMMYFUNCTION("""COMPUTED_VALUE"""),868.0)</f>
        <v>868</v>
      </c>
      <c r="D3619" s="3">
        <f>IFERROR(__xludf.DUMMYFUNCTION("""COMPUTED_VALUE"""),30.0)</f>
        <v>30</v>
      </c>
      <c r="E3619" s="2"/>
      <c r="F3619" s="2"/>
    </row>
    <row r="3620">
      <c r="A3620" s="2">
        <f>IFERROR(__xludf.DUMMYFUNCTION("""COMPUTED_VALUE"""),26650.0)</f>
        <v>26650</v>
      </c>
      <c r="B3620" s="2">
        <f>IFERROR(__xludf.DUMMYFUNCTION("""COMPUTED_VALUE"""),1.0)</f>
        <v>1</v>
      </c>
      <c r="C3620" s="2">
        <f>IFERROR(__xludf.DUMMYFUNCTION("""COMPUTED_VALUE"""),525.0)</f>
        <v>525</v>
      </c>
      <c r="D3620" s="3">
        <f>IFERROR(__xludf.DUMMYFUNCTION("""COMPUTED_VALUE"""),292.0)</f>
        <v>292</v>
      </c>
      <c r="E3620" s="2"/>
      <c r="F3620" s="2"/>
    </row>
    <row r="3621">
      <c r="A3621" s="2">
        <f>IFERROR(__xludf.DUMMYFUNCTION("""COMPUTED_VALUE"""),117728.0)</f>
        <v>117728</v>
      </c>
      <c r="B3621" s="2">
        <f>IFERROR(__xludf.DUMMYFUNCTION("""COMPUTED_VALUE"""),0.0)</f>
        <v>0</v>
      </c>
      <c r="C3621" s="2">
        <f>IFERROR(__xludf.DUMMYFUNCTION("""COMPUTED_VALUE"""),892.0)</f>
        <v>892</v>
      </c>
      <c r="D3621" s="3">
        <f>IFERROR(__xludf.DUMMYFUNCTION("""COMPUTED_VALUE"""),382.0)</f>
        <v>382</v>
      </c>
      <c r="E3621" s="2"/>
      <c r="F3621" s="2"/>
    </row>
    <row r="3622">
      <c r="A3622" s="2">
        <f>IFERROR(__xludf.DUMMYFUNCTION("""COMPUTED_VALUE"""),103588.0)</f>
        <v>103588</v>
      </c>
      <c r="B3622" s="2">
        <f>IFERROR(__xludf.DUMMYFUNCTION("""COMPUTED_VALUE"""),1.0)</f>
        <v>1</v>
      </c>
      <c r="C3622" s="2">
        <f>IFERROR(__xludf.DUMMYFUNCTION("""COMPUTED_VALUE"""),386.0)</f>
        <v>386</v>
      </c>
      <c r="D3622" s="3">
        <f>IFERROR(__xludf.DUMMYFUNCTION("""COMPUTED_VALUE"""),354.0)</f>
        <v>354</v>
      </c>
      <c r="E3622" s="2"/>
      <c r="F3622" s="2"/>
    </row>
    <row r="3623">
      <c r="A3623" s="2">
        <f>IFERROR(__xludf.DUMMYFUNCTION("""COMPUTED_VALUE"""),101297.0)</f>
        <v>101297</v>
      </c>
      <c r="B3623" s="2">
        <f>IFERROR(__xludf.DUMMYFUNCTION("""COMPUTED_VALUE"""),1.0)</f>
        <v>1</v>
      </c>
      <c r="C3623" s="2">
        <f>IFERROR(__xludf.DUMMYFUNCTION("""COMPUTED_VALUE"""),165.0)</f>
        <v>165</v>
      </c>
      <c r="D3623" s="3">
        <f>IFERROR(__xludf.DUMMYFUNCTION("""COMPUTED_VALUE"""),33.0)</f>
        <v>33</v>
      </c>
      <c r="E3623" s="2"/>
      <c r="F3623" s="2"/>
    </row>
    <row r="3624">
      <c r="A3624" s="2">
        <f>IFERROR(__xludf.DUMMYFUNCTION("""COMPUTED_VALUE"""),101298.0)</f>
        <v>101298</v>
      </c>
      <c r="B3624" s="2">
        <f>IFERROR(__xludf.DUMMYFUNCTION("""COMPUTED_VALUE"""),1.0)</f>
        <v>1</v>
      </c>
      <c r="C3624" s="2">
        <f>IFERROR(__xludf.DUMMYFUNCTION("""COMPUTED_VALUE"""),754.0)</f>
        <v>754</v>
      </c>
      <c r="D3624" s="3">
        <f>IFERROR(__xludf.DUMMYFUNCTION("""COMPUTED_VALUE"""),246.0)</f>
        <v>246</v>
      </c>
      <c r="E3624" s="2"/>
      <c r="F3624" s="2"/>
    </row>
    <row r="3625">
      <c r="A3625" s="2">
        <f>IFERROR(__xludf.DUMMYFUNCTION("""COMPUTED_VALUE"""),113129.0)</f>
        <v>113129</v>
      </c>
      <c r="B3625" s="2">
        <f>IFERROR(__xludf.DUMMYFUNCTION("""COMPUTED_VALUE"""),1.0)</f>
        <v>1</v>
      </c>
      <c r="C3625" s="2">
        <f>IFERROR(__xludf.DUMMYFUNCTION("""COMPUTED_VALUE"""),642.0)</f>
        <v>642</v>
      </c>
      <c r="D3625" s="3">
        <f>IFERROR(__xludf.DUMMYFUNCTION("""COMPUTED_VALUE"""),300.0)</f>
        <v>300</v>
      </c>
      <c r="E3625" s="2"/>
      <c r="F3625" s="2"/>
    </row>
    <row r="3626">
      <c r="A3626" s="2">
        <f>IFERROR(__xludf.DUMMYFUNCTION("""COMPUTED_VALUE"""),102551.0)</f>
        <v>102551</v>
      </c>
      <c r="B3626" s="2">
        <f>IFERROR(__xludf.DUMMYFUNCTION("""COMPUTED_VALUE"""),0.0)</f>
        <v>0</v>
      </c>
      <c r="C3626" s="2">
        <f>IFERROR(__xludf.DUMMYFUNCTION("""COMPUTED_VALUE"""),692.0)</f>
        <v>692</v>
      </c>
      <c r="D3626" s="3">
        <f>IFERROR(__xludf.DUMMYFUNCTION("""COMPUTED_VALUE"""),203.0)</f>
        <v>203</v>
      </c>
      <c r="E3626" s="2"/>
      <c r="F3626" s="2"/>
    </row>
    <row r="3627">
      <c r="A3627" s="2">
        <f>IFERROR(__xludf.DUMMYFUNCTION("""COMPUTED_VALUE"""),117735.0)</f>
        <v>117735</v>
      </c>
      <c r="B3627" s="2">
        <f>IFERROR(__xludf.DUMMYFUNCTION("""COMPUTED_VALUE"""),1.0)</f>
        <v>1</v>
      </c>
      <c r="C3627" s="2">
        <f>IFERROR(__xludf.DUMMYFUNCTION("""COMPUTED_VALUE"""),760.0)</f>
        <v>760</v>
      </c>
      <c r="D3627" s="3">
        <f>IFERROR(__xludf.DUMMYFUNCTION("""COMPUTED_VALUE"""),546.0)</f>
        <v>546</v>
      </c>
      <c r="E3627" s="2"/>
      <c r="F3627" s="2"/>
    </row>
    <row r="3628">
      <c r="A3628" s="2">
        <f>IFERROR(__xludf.DUMMYFUNCTION("""COMPUTED_VALUE"""),101299.0)</f>
        <v>101299</v>
      </c>
      <c r="B3628" s="2">
        <f>IFERROR(__xludf.DUMMYFUNCTION("""COMPUTED_VALUE"""),1.0)</f>
        <v>1</v>
      </c>
      <c r="C3628" s="2">
        <f>IFERROR(__xludf.DUMMYFUNCTION("""COMPUTED_VALUE"""),1.0)</f>
        <v>1</v>
      </c>
      <c r="D3628" s="3">
        <f>IFERROR(__xludf.DUMMYFUNCTION("""COMPUTED_VALUE"""),1.0)</f>
        <v>1</v>
      </c>
      <c r="E3628" s="2"/>
      <c r="F3628" s="2"/>
    </row>
    <row r="3629">
      <c r="A3629" s="2">
        <f>IFERROR(__xludf.DUMMYFUNCTION("""COMPUTED_VALUE"""),103590.0)</f>
        <v>103590</v>
      </c>
      <c r="B3629" s="2">
        <f>IFERROR(__xludf.DUMMYFUNCTION("""COMPUTED_VALUE"""),1.0)</f>
        <v>1</v>
      </c>
      <c r="C3629" s="2">
        <f>IFERROR(__xludf.DUMMYFUNCTION("""COMPUTED_VALUE"""),808.0)</f>
        <v>808</v>
      </c>
      <c r="D3629" s="3">
        <f>IFERROR(__xludf.DUMMYFUNCTION("""COMPUTED_VALUE"""),690.0)</f>
        <v>690</v>
      </c>
      <c r="E3629" s="2"/>
      <c r="F3629" s="2"/>
    </row>
    <row r="3630">
      <c r="A3630" s="2">
        <f>IFERROR(__xludf.DUMMYFUNCTION("""COMPUTED_VALUE"""),43944.0)</f>
        <v>43944</v>
      </c>
      <c r="B3630" s="2">
        <f>IFERROR(__xludf.DUMMYFUNCTION("""COMPUTED_VALUE"""),0.0)</f>
        <v>0</v>
      </c>
      <c r="C3630" s="2">
        <f>IFERROR(__xludf.DUMMYFUNCTION("""COMPUTED_VALUE"""),273.0)</f>
        <v>273</v>
      </c>
      <c r="D3630" s="3">
        <f>IFERROR(__xludf.DUMMYFUNCTION("""COMPUTED_VALUE"""),54.0)</f>
        <v>54</v>
      </c>
      <c r="E3630" s="2"/>
      <c r="F3630" s="2"/>
    </row>
    <row r="3631">
      <c r="A3631" s="2">
        <f>IFERROR(__xludf.DUMMYFUNCTION("""COMPUTED_VALUE"""),113128.0)</f>
        <v>113128</v>
      </c>
      <c r="B3631" s="2">
        <f>IFERROR(__xludf.DUMMYFUNCTION("""COMPUTED_VALUE"""),0.0)</f>
        <v>0</v>
      </c>
      <c r="C3631" s="2">
        <f>IFERROR(__xludf.DUMMYFUNCTION("""COMPUTED_VALUE"""),308.0)</f>
        <v>308</v>
      </c>
      <c r="D3631" s="3">
        <f>IFERROR(__xludf.DUMMYFUNCTION("""COMPUTED_VALUE"""),134.0)</f>
        <v>134</v>
      </c>
      <c r="E3631" s="2"/>
      <c r="F3631" s="2"/>
    </row>
    <row r="3632">
      <c r="A3632" s="2">
        <f>IFERROR(__xludf.DUMMYFUNCTION("""COMPUTED_VALUE"""),102553.0)</f>
        <v>102553</v>
      </c>
      <c r="B3632" s="2">
        <f>IFERROR(__xludf.DUMMYFUNCTION("""COMPUTED_VALUE"""),0.0)</f>
        <v>0</v>
      </c>
      <c r="C3632" s="2">
        <f>IFERROR(__xludf.DUMMYFUNCTION("""COMPUTED_VALUE"""),826.0)</f>
        <v>826</v>
      </c>
      <c r="D3632" s="3">
        <f>IFERROR(__xludf.DUMMYFUNCTION("""COMPUTED_VALUE"""),563.0)</f>
        <v>563</v>
      </c>
      <c r="E3632" s="2"/>
      <c r="F3632" s="2"/>
    </row>
    <row r="3633">
      <c r="A3633" s="2">
        <f>IFERROR(__xludf.DUMMYFUNCTION("""COMPUTED_VALUE"""),114230.0)</f>
        <v>114230</v>
      </c>
      <c r="B3633" s="2">
        <f>IFERROR(__xludf.DUMMYFUNCTION("""COMPUTED_VALUE"""),0.0)</f>
        <v>0</v>
      </c>
      <c r="C3633" s="2">
        <f>IFERROR(__xludf.DUMMYFUNCTION("""COMPUTED_VALUE"""),572.0)</f>
        <v>572</v>
      </c>
      <c r="D3633" s="3">
        <f>IFERROR(__xludf.DUMMYFUNCTION("""COMPUTED_VALUE"""),504.0)</f>
        <v>504</v>
      </c>
      <c r="E3633" s="2"/>
      <c r="F3633" s="2"/>
    </row>
    <row r="3634">
      <c r="A3634" s="2">
        <f>IFERROR(__xludf.DUMMYFUNCTION("""COMPUTED_VALUE"""),122028.0)</f>
        <v>122028</v>
      </c>
      <c r="B3634" s="2">
        <f>IFERROR(__xludf.DUMMYFUNCTION("""COMPUTED_VALUE"""),0.0)</f>
        <v>0</v>
      </c>
      <c r="C3634" s="2">
        <f>IFERROR(__xludf.DUMMYFUNCTION("""COMPUTED_VALUE"""),346.0)</f>
        <v>346</v>
      </c>
      <c r="D3634" s="3">
        <f>IFERROR(__xludf.DUMMYFUNCTION("""COMPUTED_VALUE"""),155.0)</f>
        <v>155</v>
      </c>
      <c r="E3634" s="2"/>
      <c r="F3634" s="2"/>
    </row>
    <row r="3635">
      <c r="A3635" s="2">
        <f>IFERROR(__xludf.DUMMYFUNCTION("""COMPUTED_VALUE"""),102269.0)</f>
        <v>102269</v>
      </c>
      <c r="B3635" s="2">
        <f>IFERROR(__xludf.DUMMYFUNCTION("""COMPUTED_VALUE"""),1.0)</f>
        <v>1</v>
      </c>
      <c r="C3635" s="2">
        <f>IFERROR(__xludf.DUMMYFUNCTION("""COMPUTED_VALUE"""),836.0)</f>
        <v>836</v>
      </c>
      <c r="D3635" s="3">
        <f>IFERROR(__xludf.DUMMYFUNCTION("""COMPUTED_VALUE"""),602.0)</f>
        <v>602</v>
      </c>
      <c r="E3635" s="2"/>
      <c r="F3635" s="2"/>
    </row>
    <row r="3636">
      <c r="A3636" s="2">
        <f>IFERROR(__xludf.DUMMYFUNCTION("""COMPUTED_VALUE"""),26651.0)</f>
        <v>26651</v>
      </c>
      <c r="B3636" s="2">
        <f>IFERROR(__xludf.DUMMYFUNCTION("""COMPUTED_VALUE"""),1.0)</f>
        <v>1</v>
      </c>
      <c r="C3636" s="2">
        <f>IFERROR(__xludf.DUMMYFUNCTION("""COMPUTED_VALUE"""),737.0)</f>
        <v>737</v>
      </c>
      <c r="D3636" s="3">
        <f>IFERROR(__xludf.DUMMYFUNCTION("""COMPUTED_VALUE"""),609.0)</f>
        <v>609</v>
      </c>
      <c r="E3636" s="2"/>
      <c r="F3636" s="2"/>
    </row>
    <row r="3637">
      <c r="A3637" s="2">
        <f>IFERROR(__xludf.DUMMYFUNCTION("""COMPUTED_VALUE"""),101316.0)</f>
        <v>101316</v>
      </c>
      <c r="B3637" s="2">
        <f>IFERROR(__xludf.DUMMYFUNCTION("""COMPUTED_VALUE"""),1.0)</f>
        <v>1</v>
      </c>
      <c r="C3637" s="2">
        <f>IFERROR(__xludf.DUMMYFUNCTION("""COMPUTED_VALUE"""),135.0)</f>
        <v>135</v>
      </c>
      <c r="D3637" s="3">
        <f>IFERROR(__xludf.DUMMYFUNCTION("""COMPUTED_VALUE"""),96.0)</f>
        <v>96</v>
      </c>
      <c r="E3637" s="2"/>
      <c r="F3637" s="2"/>
    </row>
    <row r="3638">
      <c r="A3638" s="2">
        <f>IFERROR(__xludf.DUMMYFUNCTION("""COMPUTED_VALUE"""),117742.0)</f>
        <v>117742</v>
      </c>
      <c r="B3638" s="2">
        <f>IFERROR(__xludf.DUMMYFUNCTION("""COMPUTED_VALUE"""),1.0)</f>
        <v>1</v>
      </c>
      <c r="C3638" s="2">
        <f>IFERROR(__xludf.DUMMYFUNCTION("""COMPUTED_VALUE"""),234.0)</f>
        <v>234</v>
      </c>
      <c r="D3638" s="3">
        <f>IFERROR(__xludf.DUMMYFUNCTION("""COMPUTED_VALUE"""),234.0)</f>
        <v>234</v>
      </c>
      <c r="E3638" s="2"/>
      <c r="F3638" s="2"/>
    </row>
    <row r="3639">
      <c r="A3639" s="2">
        <f>IFERROR(__xludf.DUMMYFUNCTION("""COMPUTED_VALUE"""),101315.0)</f>
        <v>101315</v>
      </c>
      <c r="B3639" s="2">
        <f>IFERROR(__xludf.DUMMYFUNCTION("""COMPUTED_VALUE"""),0.0)</f>
        <v>0</v>
      </c>
      <c r="C3639" s="2">
        <f>IFERROR(__xludf.DUMMYFUNCTION("""COMPUTED_VALUE"""),518.0)</f>
        <v>518</v>
      </c>
      <c r="D3639" s="3">
        <f>IFERROR(__xludf.DUMMYFUNCTION("""COMPUTED_VALUE"""),387.0)</f>
        <v>387</v>
      </c>
      <c r="E3639" s="2"/>
      <c r="F3639" s="2"/>
    </row>
    <row r="3640">
      <c r="A3640" s="2">
        <f>IFERROR(__xludf.DUMMYFUNCTION("""COMPUTED_VALUE"""),43945.0)</f>
        <v>43945</v>
      </c>
      <c r="B3640" s="2">
        <f>IFERROR(__xludf.DUMMYFUNCTION("""COMPUTED_VALUE"""),0.0)</f>
        <v>0</v>
      </c>
      <c r="C3640" s="2">
        <f>IFERROR(__xludf.DUMMYFUNCTION("""COMPUTED_VALUE"""),974.0)</f>
        <v>974</v>
      </c>
      <c r="D3640" s="3">
        <f>IFERROR(__xludf.DUMMYFUNCTION("""COMPUTED_VALUE"""),935.0)</f>
        <v>935</v>
      </c>
      <c r="E3640" s="2"/>
      <c r="F3640" s="2"/>
    </row>
    <row r="3641">
      <c r="A3641" s="2">
        <f>IFERROR(__xludf.DUMMYFUNCTION("""COMPUTED_VALUE"""),103589.0)</f>
        <v>103589</v>
      </c>
      <c r="B3641" s="2">
        <f>IFERROR(__xludf.DUMMYFUNCTION("""COMPUTED_VALUE"""),0.0)</f>
        <v>0</v>
      </c>
      <c r="C3641" s="2">
        <f>IFERROR(__xludf.DUMMYFUNCTION("""COMPUTED_VALUE"""),799.0)</f>
        <v>799</v>
      </c>
      <c r="D3641" s="3">
        <f>IFERROR(__xludf.DUMMYFUNCTION("""COMPUTED_VALUE"""),759.0)</f>
        <v>759</v>
      </c>
      <c r="E3641" s="2"/>
      <c r="F3641" s="2"/>
    </row>
    <row r="3642">
      <c r="A3642" s="2">
        <f>IFERROR(__xludf.DUMMYFUNCTION("""COMPUTED_VALUE"""),88896.0)</f>
        <v>88896</v>
      </c>
      <c r="B3642" s="2">
        <f>IFERROR(__xludf.DUMMYFUNCTION("""COMPUTED_VALUE"""),1.0)</f>
        <v>1</v>
      </c>
      <c r="C3642" s="2">
        <f>IFERROR(__xludf.DUMMYFUNCTION("""COMPUTED_VALUE"""),482.0)</f>
        <v>482</v>
      </c>
      <c r="D3642" s="3">
        <f>IFERROR(__xludf.DUMMYFUNCTION("""COMPUTED_VALUE"""),243.0)</f>
        <v>243</v>
      </c>
      <c r="E3642" s="2"/>
      <c r="F3642" s="2"/>
    </row>
    <row r="3643">
      <c r="A3643" s="2">
        <f>IFERROR(__xludf.DUMMYFUNCTION("""COMPUTED_VALUE"""),103595.0)</f>
        <v>103595</v>
      </c>
      <c r="B3643" s="2">
        <f>IFERROR(__xludf.DUMMYFUNCTION("""COMPUTED_VALUE"""),1.0)</f>
        <v>1</v>
      </c>
      <c r="C3643" s="2">
        <f>IFERROR(__xludf.DUMMYFUNCTION("""COMPUTED_VALUE"""),448.0)</f>
        <v>448</v>
      </c>
      <c r="D3643" s="3">
        <f>IFERROR(__xludf.DUMMYFUNCTION("""COMPUTED_VALUE"""),67.0)</f>
        <v>67</v>
      </c>
      <c r="E3643" s="2"/>
      <c r="F3643" s="2"/>
    </row>
    <row r="3644">
      <c r="A3644" s="2">
        <f>IFERROR(__xludf.DUMMYFUNCTION("""COMPUTED_VALUE"""),101300.0)</f>
        <v>101300</v>
      </c>
      <c r="B3644" s="2">
        <f>IFERROR(__xludf.DUMMYFUNCTION("""COMPUTED_VALUE"""),1.0)</f>
        <v>1</v>
      </c>
      <c r="C3644" s="2">
        <f>IFERROR(__xludf.DUMMYFUNCTION("""COMPUTED_VALUE"""),117.0)</f>
        <v>117</v>
      </c>
      <c r="D3644" s="3">
        <f>IFERROR(__xludf.DUMMYFUNCTION("""COMPUTED_VALUE"""),56.0)</f>
        <v>56</v>
      </c>
      <c r="E3644" s="2"/>
      <c r="F3644" s="2"/>
    </row>
    <row r="3645">
      <c r="A3645" s="2">
        <f>IFERROR(__xludf.DUMMYFUNCTION("""COMPUTED_VALUE"""),113130.0)</f>
        <v>113130</v>
      </c>
      <c r="B3645" s="2">
        <f>IFERROR(__xludf.DUMMYFUNCTION("""COMPUTED_VALUE"""),1.0)</f>
        <v>1</v>
      </c>
      <c r="C3645" s="2">
        <f>IFERROR(__xludf.DUMMYFUNCTION("""COMPUTED_VALUE"""),419.0)</f>
        <v>419</v>
      </c>
      <c r="D3645" s="3">
        <f>IFERROR(__xludf.DUMMYFUNCTION("""COMPUTED_VALUE"""),114.0)</f>
        <v>114</v>
      </c>
      <c r="E3645" s="2"/>
      <c r="F3645" s="2"/>
    </row>
    <row r="3646">
      <c r="A3646" s="2">
        <f>IFERROR(__xludf.DUMMYFUNCTION("""COMPUTED_VALUE"""),102272.0)</f>
        <v>102272</v>
      </c>
      <c r="B3646" s="2">
        <f>IFERROR(__xludf.DUMMYFUNCTION("""COMPUTED_VALUE"""),0.0)</f>
        <v>0</v>
      </c>
      <c r="C3646" s="2">
        <f>IFERROR(__xludf.DUMMYFUNCTION("""COMPUTED_VALUE"""),327.0)</f>
        <v>327</v>
      </c>
      <c r="D3646" s="3">
        <f>IFERROR(__xludf.DUMMYFUNCTION("""COMPUTED_VALUE"""),129.0)</f>
        <v>129</v>
      </c>
      <c r="E3646" s="2"/>
      <c r="F3646" s="2"/>
    </row>
    <row r="3647">
      <c r="A3647" s="2">
        <f>IFERROR(__xludf.DUMMYFUNCTION("""COMPUTED_VALUE"""),43947.0)</f>
        <v>43947</v>
      </c>
      <c r="B3647" s="2">
        <f>IFERROR(__xludf.DUMMYFUNCTION("""COMPUTED_VALUE"""),1.0)</f>
        <v>1</v>
      </c>
      <c r="C3647" s="2">
        <f>IFERROR(__xludf.DUMMYFUNCTION("""COMPUTED_VALUE"""),748.0)</f>
        <v>748</v>
      </c>
      <c r="D3647" s="3">
        <f>IFERROR(__xludf.DUMMYFUNCTION("""COMPUTED_VALUE"""),599.0)</f>
        <v>599</v>
      </c>
      <c r="E3647" s="2"/>
      <c r="F3647" s="2"/>
    </row>
    <row r="3648">
      <c r="A3648" s="2">
        <f>IFERROR(__xludf.DUMMYFUNCTION("""COMPUTED_VALUE"""),102271.0)</f>
        <v>102271</v>
      </c>
      <c r="B3648" s="2">
        <f>IFERROR(__xludf.DUMMYFUNCTION("""COMPUTED_VALUE"""),0.0)</f>
        <v>0</v>
      </c>
      <c r="C3648" s="2">
        <f>IFERROR(__xludf.DUMMYFUNCTION("""COMPUTED_VALUE"""),621.0)</f>
        <v>621</v>
      </c>
      <c r="D3648" s="3">
        <f>IFERROR(__xludf.DUMMYFUNCTION("""COMPUTED_VALUE"""),25.0)</f>
        <v>25</v>
      </c>
      <c r="E3648" s="2"/>
      <c r="F3648" s="2"/>
    </row>
    <row r="3649">
      <c r="A3649" s="2">
        <f>IFERROR(__xludf.DUMMYFUNCTION("""COMPUTED_VALUE"""),103592.0)</f>
        <v>103592</v>
      </c>
      <c r="B3649" s="2">
        <f>IFERROR(__xludf.DUMMYFUNCTION("""COMPUTED_VALUE"""),1.0)</f>
        <v>1</v>
      </c>
      <c r="C3649" s="2">
        <f>IFERROR(__xludf.DUMMYFUNCTION("""COMPUTED_VALUE"""),31.0)</f>
        <v>31</v>
      </c>
      <c r="D3649" s="3">
        <f>IFERROR(__xludf.DUMMYFUNCTION("""COMPUTED_VALUE"""),22.0)</f>
        <v>22</v>
      </c>
      <c r="E3649" s="2"/>
      <c r="F3649" s="2"/>
    </row>
    <row r="3650">
      <c r="A3650" s="2">
        <f>IFERROR(__xludf.DUMMYFUNCTION("""COMPUTED_VALUE"""),26652.0)</f>
        <v>26652</v>
      </c>
      <c r="B3650" s="2">
        <f>IFERROR(__xludf.DUMMYFUNCTION("""COMPUTED_VALUE"""),1.0)</f>
        <v>1</v>
      </c>
      <c r="C3650" s="2">
        <f>IFERROR(__xludf.DUMMYFUNCTION("""COMPUTED_VALUE"""),233.0)</f>
        <v>233</v>
      </c>
      <c r="D3650" s="3">
        <f>IFERROR(__xludf.DUMMYFUNCTION("""COMPUTED_VALUE"""),139.0)</f>
        <v>139</v>
      </c>
      <c r="E3650" s="2"/>
      <c r="F3650" s="2"/>
    </row>
    <row r="3651">
      <c r="A3651" s="2">
        <f>IFERROR(__xludf.DUMMYFUNCTION("""COMPUTED_VALUE"""),43946.0)</f>
        <v>43946</v>
      </c>
      <c r="B3651" s="2">
        <f>IFERROR(__xludf.DUMMYFUNCTION("""COMPUTED_VALUE"""),0.0)</f>
        <v>0</v>
      </c>
      <c r="C3651" s="2">
        <f>IFERROR(__xludf.DUMMYFUNCTION("""COMPUTED_VALUE"""),76.0)</f>
        <v>76</v>
      </c>
      <c r="D3651" s="3">
        <f>IFERROR(__xludf.DUMMYFUNCTION("""COMPUTED_VALUE"""),48.0)</f>
        <v>48</v>
      </c>
      <c r="E3651" s="2"/>
      <c r="F3651" s="2"/>
    </row>
    <row r="3652">
      <c r="A3652" s="2">
        <f>IFERROR(__xludf.DUMMYFUNCTION("""COMPUTED_VALUE"""),101301.0)</f>
        <v>101301</v>
      </c>
      <c r="B3652" s="2">
        <f>IFERROR(__xludf.DUMMYFUNCTION("""COMPUTED_VALUE"""),0.0)</f>
        <v>0</v>
      </c>
      <c r="C3652" s="2">
        <f>IFERROR(__xludf.DUMMYFUNCTION("""COMPUTED_VALUE"""),60.0)</f>
        <v>60</v>
      </c>
      <c r="D3652" s="3">
        <f>IFERROR(__xludf.DUMMYFUNCTION("""COMPUTED_VALUE"""),38.0)</f>
        <v>38</v>
      </c>
      <c r="E3652" s="2"/>
      <c r="F3652" s="2"/>
    </row>
    <row r="3653">
      <c r="A3653" s="2">
        <f>IFERROR(__xludf.DUMMYFUNCTION("""COMPUTED_VALUE"""),108458.0)</f>
        <v>108458</v>
      </c>
      <c r="B3653" s="2">
        <f>IFERROR(__xludf.DUMMYFUNCTION("""COMPUTED_VALUE"""),1.0)</f>
        <v>1</v>
      </c>
      <c r="C3653" s="2">
        <f>IFERROR(__xludf.DUMMYFUNCTION("""COMPUTED_VALUE"""),132.0)</f>
        <v>132</v>
      </c>
      <c r="D3653" s="3">
        <f>IFERROR(__xludf.DUMMYFUNCTION("""COMPUTED_VALUE"""),33.0)</f>
        <v>33</v>
      </c>
      <c r="E3653" s="2"/>
      <c r="F3653" s="2"/>
    </row>
    <row r="3654">
      <c r="A3654" s="2">
        <f>IFERROR(__xludf.DUMMYFUNCTION("""COMPUTED_VALUE"""),117736.0)</f>
        <v>117736</v>
      </c>
      <c r="B3654" s="2">
        <f>IFERROR(__xludf.DUMMYFUNCTION("""COMPUTED_VALUE"""),0.0)</f>
        <v>0</v>
      </c>
      <c r="C3654" s="2">
        <f>IFERROR(__xludf.DUMMYFUNCTION("""COMPUTED_VALUE"""),87.0)</f>
        <v>87</v>
      </c>
      <c r="D3654" s="3">
        <f>IFERROR(__xludf.DUMMYFUNCTION("""COMPUTED_VALUE"""),29.0)</f>
        <v>29</v>
      </c>
      <c r="E3654" s="2"/>
      <c r="F3654" s="2"/>
    </row>
    <row r="3655">
      <c r="A3655" s="2">
        <f>IFERROR(__xludf.DUMMYFUNCTION("""COMPUTED_VALUE"""),49606.0)</f>
        <v>49606</v>
      </c>
      <c r="B3655" s="2">
        <f>IFERROR(__xludf.DUMMYFUNCTION("""COMPUTED_VALUE"""),0.0)</f>
        <v>0</v>
      </c>
      <c r="C3655" s="2">
        <f>IFERROR(__xludf.DUMMYFUNCTION("""COMPUTED_VALUE"""),167.0)</f>
        <v>167</v>
      </c>
      <c r="D3655" s="3">
        <f>IFERROR(__xludf.DUMMYFUNCTION("""COMPUTED_VALUE"""),20.0)</f>
        <v>20</v>
      </c>
      <c r="E3655" s="2"/>
      <c r="F3655" s="2"/>
    </row>
    <row r="3656">
      <c r="A3656" s="2">
        <f>IFERROR(__xludf.DUMMYFUNCTION("""COMPUTED_VALUE"""),106297.0)</f>
        <v>106297</v>
      </c>
      <c r="B3656" s="2">
        <f>IFERROR(__xludf.DUMMYFUNCTION("""COMPUTED_VALUE"""),1.0)</f>
        <v>1</v>
      </c>
      <c r="C3656" s="2">
        <f>IFERROR(__xludf.DUMMYFUNCTION("""COMPUTED_VALUE"""),436.0)</f>
        <v>436</v>
      </c>
      <c r="D3656" s="3">
        <f>IFERROR(__xludf.DUMMYFUNCTION("""COMPUTED_VALUE"""),24.0)</f>
        <v>24</v>
      </c>
      <c r="E3656" s="2"/>
      <c r="F3656" s="2"/>
    </row>
    <row r="3657">
      <c r="A3657" s="2">
        <f>IFERROR(__xludf.DUMMYFUNCTION("""COMPUTED_VALUE"""),15556.0)</f>
        <v>15556</v>
      </c>
      <c r="B3657" s="2">
        <f>IFERROR(__xludf.DUMMYFUNCTION("""COMPUTED_VALUE"""),1.0)</f>
        <v>1</v>
      </c>
      <c r="C3657" s="2">
        <f>IFERROR(__xludf.DUMMYFUNCTION("""COMPUTED_VALUE"""),772.0)</f>
        <v>772</v>
      </c>
      <c r="D3657" s="3">
        <f>IFERROR(__xludf.DUMMYFUNCTION("""COMPUTED_VALUE"""),705.0)</f>
        <v>705</v>
      </c>
      <c r="E3657" s="2"/>
      <c r="F3657" s="2"/>
    </row>
    <row r="3658">
      <c r="A3658" s="2">
        <f>IFERROR(__xludf.DUMMYFUNCTION("""COMPUTED_VALUE"""),49605.0)</f>
        <v>49605</v>
      </c>
      <c r="B3658" s="2">
        <f>IFERROR(__xludf.DUMMYFUNCTION("""COMPUTED_VALUE"""),0.0)</f>
        <v>0</v>
      </c>
      <c r="C3658" s="2">
        <f>IFERROR(__xludf.DUMMYFUNCTION("""COMPUTED_VALUE"""),949.0)</f>
        <v>949</v>
      </c>
      <c r="D3658" s="3">
        <f>IFERROR(__xludf.DUMMYFUNCTION("""COMPUTED_VALUE"""),560.0)</f>
        <v>560</v>
      </c>
      <c r="E3658" s="2"/>
      <c r="F3658" s="2"/>
    </row>
    <row r="3659">
      <c r="A3659" s="2">
        <f>IFERROR(__xludf.DUMMYFUNCTION("""COMPUTED_VALUE"""),102312.0)</f>
        <v>102312</v>
      </c>
      <c r="B3659" s="2">
        <f>IFERROR(__xludf.DUMMYFUNCTION("""COMPUTED_VALUE"""),1.0)</f>
        <v>1</v>
      </c>
      <c r="C3659" s="2">
        <f>IFERROR(__xludf.DUMMYFUNCTION("""COMPUTED_VALUE"""),758.0)</f>
        <v>758</v>
      </c>
      <c r="D3659" s="3">
        <f>IFERROR(__xludf.DUMMYFUNCTION("""COMPUTED_VALUE"""),237.0)</f>
        <v>237</v>
      </c>
      <c r="E3659" s="2"/>
      <c r="F3659" s="2"/>
    </row>
    <row r="3660">
      <c r="A3660" s="2">
        <f>IFERROR(__xludf.DUMMYFUNCTION("""COMPUTED_VALUE"""),121125.0)</f>
        <v>121125</v>
      </c>
      <c r="B3660" s="2">
        <f>IFERROR(__xludf.DUMMYFUNCTION("""COMPUTED_VALUE"""),1.0)</f>
        <v>1</v>
      </c>
      <c r="C3660" s="2">
        <f>IFERROR(__xludf.DUMMYFUNCTION("""COMPUTED_VALUE"""),564.0)</f>
        <v>564</v>
      </c>
      <c r="D3660" s="3">
        <f>IFERROR(__xludf.DUMMYFUNCTION("""COMPUTED_VALUE"""),468.0)</f>
        <v>468</v>
      </c>
      <c r="E3660" s="2"/>
      <c r="F3660" s="2"/>
    </row>
    <row r="3661">
      <c r="A3661" s="2">
        <f>IFERROR(__xludf.DUMMYFUNCTION("""COMPUTED_VALUE"""),106401.0)</f>
        <v>106401</v>
      </c>
      <c r="B3661" s="2">
        <f>IFERROR(__xludf.DUMMYFUNCTION("""COMPUTED_VALUE"""),0.0)</f>
        <v>0</v>
      </c>
      <c r="C3661" s="2">
        <f>IFERROR(__xludf.DUMMYFUNCTION("""COMPUTED_VALUE"""),136.0)</f>
        <v>136</v>
      </c>
      <c r="D3661" s="3">
        <f>IFERROR(__xludf.DUMMYFUNCTION("""COMPUTED_VALUE"""),65.0)</f>
        <v>65</v>
      </c>
      <c r="E3661" s="2"/>
      <c r="F3661" s="2"/>
    </row>
    <row r="3662">
      <c r="A3662" s="2">
        <f>IFERROR(__xludf.DUMMYFUNCTION("""COMPUTED_VALUE"""),116834.0)</f>
        <v>116834</v>
      </c>
      <c r="B3662" s="2">
        <f>IFERROR(__xludf.DUMMYFUNCTION("""COMPUTED_VALUE"""),0.0)</f>
        <v>0</v>
      </c>
      <c r="C3662" s="2">
        <f>IFERROR(__xludf.DUMMYFUNCTION("""COMPUTED_VALUE"""),856.0)</f>
        <v>856</v>
      </c>
      <c r="D3662" s="3">
        <f>IFERROR(__xludf.DUMMYFUNCTION("""COMPUTED_VALUE"""),267.0)</f>
        <v>267</v>
      </c>
      <c r="E3662" s="2"/>
      <c r="F3662" s="2"/>
    </row>
    <row r="3663">
      <c r="A3663" s="2">
        <f>IFERROR(__xludf.DUMMYFUNCTION("""COMPUTED_VALUE"""),1953.0)</f>
        <v>1953</v>
      </c>
      <c r="B3663" s="2">
        <f>IFERROR(__xludf.DUMMYFUNCTION("""COMPUTED_VALUE"""),0.0)</f>
        <v>0</v>
      </c>
      <c r="C3663" s="2">
        <f>IFERROR(__xludf.DUMMYFUNCTION("""COMPUTED_VALUE"""),553.0)</f>
        <v>553</v>
      </c>
      <c r="D3663" s="3">
        <f>IFERROR(__xludf.DUMMYFUNCTION("""COMPUTED_VALUE"""),131.0)</f>
        <v>131</v>
      </c>
      <c r="E3663" s="2"/>
      <c r="F3663" s="2"/>
    </row>
    <row r="3664">
      <c r="A3664" s="2">
        <f>IFERROR(__xludf.DUMMYFUNCTION("""COMPUTED_VALUE"""),106305.0)</f>
        <v>106305</v>
      </c>
      <c r="B3664" s="2">
        <f>IFERROR(__xludf.DUMMYFUNCTION("""COMPUTED_VALUE"""),0.0)</f>
        <v>0</v>
      </c>
      <c r="C3664" s="2">
        <f>IFERROR(__xludf.DUMMYFUNCTION("""COMPUTED_VALUE"""),885.0)</f>
        <v>885</v>
      </c>
      <c r="D3664" s="3">
        <f>IFERROR(__xludf.DUMMYFUNCTION("""COMPUTED_VALUE"""),451.0)</f>
        <v>451</v>
      </c>
      <c r="E3664" s="2"/>
      <c r="F3664" s="2"/>
    </row>
    <row r="3665">
      <c r="A3665" s="2">
        <f>IFERROR(__xludf.DUMMYFUNCTION("""COMPUTED_VALUE"""),108278.0)</f>
        <v>108278</v>
      </c>
      <c r="B3665" s="2">
        <f>IFERROR(__xludf.DUMMYFUNCTION("""COMPUTED_VALUE"""),0.0)</f>
        <v>0</v>
      </c>
      <c r="C3665" s="2">
        <f>IFERROR(__xludf.DUMMYFUNCTION("""COMPUTED_VALUE"""),383.0)</f>
        <v>383</v>
      </c>
      <c r="D3665" s="3">
        <f>IFERROR(__xludf.DUMMYFUNCTION("""COMPUTED_VALUE"""),73.0)</f>
        <v>73</v>
      </c>
      <c r="E3665" s="2"/>
      <c r="F3665" s="2"/>
    </row>
    <row r="3666">
      <c r="A3666" s="2">
        <f>IFERROR(__xludf.DUMMYFUNCTION("""COMPUTED_VALUE"""),47660.0)</f>
        <v>47660</v>
      </c>
      <c r="B3666" s="2">
        <f>IFERROR(__xludf.DUMMYFUNCTION("""COMPUTED_VALUE"""),0.0)</f>
        <v>0</v>
      </c>
      <c r="C3666" s="2">
        <f>IFERROR(__xludf.DUMMYFUNCTION("""COMPUTED_VALUE"""),552.0)</f>
        <v>552</v>
      </c>
      <c r="D3666" s="3">
        <f>IFERROR(__xludf.DUMMYFUNCTION("""COMPUTED_VALUE"""),481.0)</f>
        <v>481</v>
      </c>
      <c r="E3666" s="2"/>
      <c r="F3666" s="2"/>
    </row>
    <row r="3667">
      <c r="A3667" s="2">
        <f>IFERROR(__xludf.DUMMYFUNCTION("""COMPUTED_VALUE"""),47657.0)</f>
        <v>47657</v>
      </c>
      <c r="B3667" s="2">
        <f>IFERROR(__xludf.DUMMYFUNCTION("""COMPUTED_VALUE"""),0.0)</f>
        <v>0</v>
      </c>
      <c r="C3667" s="2">
        <f>IFERROR(__xludf.DUMMYFUNCTION("""COMPUTED_VALUE"""),696.0)</f>
        <v>696</v>
      </c>
      <c r="D3667" s="3">
        <f>IFERROR(__xludf.DUMMYFUNCTION("""COMPUTED_VALUE"""),181.0)</f>
        <v>181</v>
      </c>
      <c r="E3667" s="2"/>
      <c r="F3667" s="2"/>
    </row>
    <row r="3668">
      <c r="A3668" s="2">
        <f>IFERROR(__xludf.DUMMYFUNCTION("""COMPUTED_VALUE"""),64185.0)</f>
        <v>64185</v>
      </c>
      <c r="B3668" s="2">
        <f>IFERROR(__xludf.DUMMYFUNCTION("""COMPUTED_VALUE"""),1.0)</f>
        <v>1</v>
      </c>
      <c r="C3668" s="2">
        <f>IFERROR(__xludf.DUMMYFUNCTION("""COMPUTED_VALUE"""),486.0)</f>
        <v>486</v>
      </c>
      <c r="D3668" s="3">
        <f>IFERROR(__xludf.DUMMYFUNCTION("""COMPUTED_VALUE"""),439.0)</f>
        <v>439</v>
      </c>
      <c r="E3668" s="2"/>
      <c r="F3668" s="2"/>
    </row>
    <row r="3669">
      <c r="A3669" s="2">
        <f>IFERROR(__xludf.DUMMYFUNCTION("""COMPUTED_VALUE"""),108256.0)</f>
        <v>108256</v>
      </c>
      <c r="B3669" s="2">
        <f>IFERROR(__xludf.DUMMYFUNCTION("""COMPUTED_VALUE"""),1.0)</f>
        <v>1</v>
      </c>
      <c r="C3669" s="2">
        <f>IFERROR(__xludf.DUMMYFUNCTION("""COMPUTED_VALUE"""),98.0)</f>
        <v>98</v>
      </c>
      <c r="D3669" s="3">
        <f>IFERROR(__xludf.DUMMYFUNCTION("""COMPUTED_VALUE"""),69.0)</f>
        <v>69</v>
      </c>
      <c r="E3669" s="2"/>
      <c r="F3669" s="2"/>
    </row>
    <row r="3670">
      <c r="A3670" s="2">
        <f>IFERROR(__xludf.DUMMYFUNCTION("""COMPUTED_VALUE"""),62597.0)</f>
        <v>62597</v>
      </c>
      <c r="B3670" s="2">
        <f>IFERROR(__xludf.DUMMYFUNCTION("""COMPUTED_VALUE"""),0.0)</f>
        <v>0</v>
      </c>
      <c r="C3670" s="2">
        <f>IFERROR(__xludf.DUMMYFUNCTION("""COMPUTED_VALUE"""),195.0)</f>
        <v>195</v>
      </c>
      <c r="D3670" s="3">
        <f>IFERROR(__xludf.DUMMYFUNCTION("""COMPUTED_VALUE"""),51.0)</f>
        <v>51</v>
      </c>
      <c r="E3670" s="2"/>
      <c r="F3670" s="2"/>
    </row>
    <row r="3671">
      <c r="A3671" s="2">
        <f>IFERROR(__xludf.DUMMYFUNCTION("""COMPUTED_VALUE"""),102304.0)</f>
        <v>102304</v>
      </c>
      <c r="B3671" s="2">
        <f>IFERROR(__xludf.DUMMYFUNCTION("""COMPUTED_VALUE"""),1.0)</f>
        <v>1</v>
      </c>
      <c r="C3671" s="2">
        <f>IFERROR(__xludf.DUMMYFUNCTION("""COMPUTED_VALUE"""),195.0)</f>
        <v>195</v>
      </c>
      <c r="D3671" s="3">
        <f>IFERROR(__xludf.DUMMYFUNCTION("""COMPUTED_VALUE"""),88.0)</f>
        <v>88</v>
      </c>
      <c r="E3671" s="2"/>
      <c r="F3671" s="2"/>
    </row>
    <row r="3672">
      <c r="A3672" s="2">
        <f>IFERROR(__xludf.DUMMYFUNCTION("""COMPUTED_VALUE"""),118242.0)</f>
        <v>118242</v>
      </c>
      <c r="B3672" s="2">
        <f>IFERROR(__xludf.DUMMYFUNCTION("""COMPUTED_VALUE"""),1.0)</f>
        <v>1</v>
      </c>
      <c r="C3672" s="2">
        <f>IFERROR(__xludf.DUMMYFUNCTION("""COMPUTED_VALUE"""),823.0)</f>
        <v>823</v>
      </c>
      <c r="D3672" s="3">
        <f>IFERROR(__xludf.DUMMYFUNCTION("""COMPUTED_VALUE"""),76.0)</f>
        <v>76</v>
      </c>
      <c r="E3672" s="2"/>
      <c r="F3672" s="2"/>
    </row>
    <row r="3673">
      <c r="A3673" s="2">
        <f>IFERROR(__xludf.DUMMYFUNCTION("""COMPUTED_VALUE"""),121743.0)</f>
        <v>121743</v>
      </c>
      <c r="B3673" s="2">
        <f>IFERROR(__xludf.DUMMYFUNCTION("""COMPUTED_VALUE"""),0.0)</f>
        <v>0</v>
      </c>
      <c r="C3673" s="2">
        <f>IFERROR(__xludf.DUMMYFUNCTION("""COMPUTED_VALUE"""),954.0)</f>
        <v>954</v>
      </c>
      <c r="D3673" s="3">
        <f>IFERROR(__xludf.DUMMYFUNCTION("""COMPUTED_VALUE"""),291.0)</f>
        <v>291</v>
      </c>
      <c r="E3673" s="2"/>
      <c r="F3673" s="2"/>
    </row>
    <row r="3674">
      <c r="A3674" s="2">
        <f>IFERROR(__xludf.DUMMYFUNCTION("""COMPUTED_VALUE"""),108257.0)</f>
        <v>108257</v>
      </c>
      <c r="B3674" s="2">
        <f>IFERROR(__xludf.DUMMYFUNCTION("""COMPUTED_VALUE"""),0.0)</f>
        <v>0</v>
      </c>
      <c r="C3674" s="2">
        <f>IFERROR(__xludf.DUMMYFUNCTION("""COMPUTED_VALUE"""),64.0)</f>
        <v>64</v>
      </c>
      <c r="D3674" s="3">
        <f>IFERROR(__xludf.DUMMYFUNCTION("""COMPUTED_VALUE"""),11.0)</f>
        <v>11</v>
      </c>
      <c r="E3674" s="2"/>
      <c r="F3674" s="2"/>
    </row>
    <row r="3675">
      <c r="A3675" s="2">
        <f>IFERROR(__xludf.DUMMYFUNCTION("""COMPUTED_VALUE"""),117756.0)</f>
        <v>117756</v>
      </c>
      <c r="B3675" s="2">
        <f>IFERROR(__xludf.DUMMYFUNCTION("""COMPUTED_VALUE"""),1.0)</f>
        <v>1</v>
      </c>
      <c r="C3675" s="2">
        <f>IFERROR(__xludf.DUMMYFUNCTION("""COMPUTED_VALUE"""),549.0)</f>
        <v>549</v>
      </c>
      <c r="D3675" s="3">
        <f>IFERROR(__xludf.DUMMYFUNCTION("""COMPUTED_VALUE"""),97.0)</f>
        <v>97</v>
      </c>
      <c r="E3675" s="2"/>
      <c r="F3675" s="2"/>
    </row>
    <row r="3676">
      <c r="A3676" s="2">
        <f>IFERROR(__xludf.DUMMYFUNCTION("""COMPUTED_VALUE"""),110334.0)</f>
        <v>110334</v>
      </c>
      <c r="B3676" s="2">
        <f>IFERROR(__xludf.DUMMYFUNCTION("""COMPUTED_VALUE"""),1.0)</f>
        <v>1</v>
      </c>
      <c r="C3676" s="2">
        <f>IFERROR(__xludf.DUMMYFUNCTION("""COMPUTED_VALUE"""),74.0)</f>
        <v>74</v>
      </c>
      <c r="D3676" s="3">
        <f>IFERROR(__xludf.DUMMYFUNCTION("""COMPUTED_VALUE"""),35.0)</f>
        <v>35</v>
      </c>
      <c r="E3676" s="2"/>
      <c r="F3676" s="2"/>
    </row>
    <row r="3677">
      <c r="A3677" s="2">
        <f>IFERROR(__xludf.DUMMYFUNCTION("""COMPUTED_VALUE"""),102307.0)</f>
        <v>102307</v>
      </c>
      <c r="B3677" s="2">
        <f>IFERROR(__xludf.DUMMYFUNCTION("""COMPUTED_VALUE"""),1.0)</f>
        <v>1</v>
      </c>
      <c r="C3677" s="2">
        <f>IFERROR(__xludf.DUMMYFUNCTION("""COMPUTED_VALUE"""),882.0)</f>
        <v>882</v>
      </c>
      <c r="D3677" s="3">
        <f>IFERROR(__xludf.DUMMYFUNCTION("""COMPUTED_VALUE"""),548.0)</f>
        <v>548</v>
      </c>
      <c r="E3677" s="2"/>
      <c r="F3677" s="2"/>
    </row>
    <row r="3678">
      <c r="A3678" s="2">
        <f>IFERROR(__xludf.DUMMYFUNCTION("""COMPUTED_VALUE"""),117750.0)</f>
        <v>117750</v>
      </c>
      <c r="B3678" s="2">
        <f>IFERROR(__xludf.DUMMYFUNCTION("""COMPUTED_VALUE"""),1.0)</f>
        <v>1</v>
      </c>
      <c r="C3678" s="2">
        <f>IFERROR(__xludf.DUMMYFUNCTION("""COMPUTED_VALUE"""),127.0)</f>
        <v>127</v>
      </c>
      <c r="D3678" s="3">
        <f>IFERROR(__xludf.DUMMYFUNCTION("""COMPUTED_VALUE"""),32.0)</f>
        <v>32</v>
      </c>
      <c r="E3678" s="2"/>
      <c r="F3678" s="2"/>
    </row>
    <row r="3679">
      <c r="A3679" s="2">
        <f>IFERROR(__xludf.DUMMYFUNCTION("""COMPUTED_VALUE"""),181976.0)</f>
        <v>181976</v>
      </c>
      <c r="B3679" s="2">
        <f>IFERROR(__xludf.DUMMYFUNCTION("""COMPUTED_VALUE"""),1.0)</f>
        <v>1</v>
      </c>
      <c r="C3679" s="2">
        <f>IFERROR(__xludf.DUMMYFUNCTION("""COMPUTED_VALUE"""),160.0)</f>
        <v>160</v>
      </c>
      <c r="D3679" s="3">
        <f>IFERROR(__xludf.DUMMYFUNCTION("""COMPUTED_VALUE"""),38.0)</f>
        <v>38</v>
      </c>
      <c r="E3679" s="2"/>
      <c r="F3679" s="2"/>
    </row>
    <row r="3680">
      <c r="A3680" s="2">
        <f>IFERROR(__xludf.DUMMYFUNCTION("""COMPUTED_VALUE"""),108258.0)</f>
        <v>108258</v>
      </c>
      <c r="B3680" s="2">
        <f>IFERROR(__xludf.DUMMYFUNCTION("""COMPUTED_VALUE"""),1.0)</f>
        <v>1</v>
      </c>
      <c r="C3680" s="2">
        <f>IFERROR(__xludf.DUMMYFUNCTION("""COMPUTED_VALUE"""),416.0)</f>
        <v>416</v>
      </c>
      <c r="D3680" s="3">
        <f>IFERROR(__xludf.DUMMYFUNCTION("""COMPUTED_VALUE"""),93.0)</f>
        <v>93</v>
      </c>
      <c r="E3680" s="2"/>
      <c r="F3680" s="2"/>
    </row>
    <row r="3681">
      <c r="A3681" s="2">
        <f>IFERROR(__xludf.DUMMYFUNCTION("""COMPUTED_VALUE"""),110241.0)</f>
        <v>110241</v>
      </c>
      <c r="B3681" s="2">
        <f>IFERROR(__xludf.DUMMYFUNCTION("""COMPUTED_VALUE"""),1.0)</f>
        <v>1</v>
      </c>
      <c r="C3681" s="2">
        <f>IFERROR(__xludf.DUMMYFUNCTION("""COMPUTED_VALUE"""),249.0)</f>
        <v>249</v>
      </c>
      <c r="D3681" s="3">
        <f>IFERROR(__xludf.DUMMYFUNCTION("""COMPUTED_VALUE"""),9.0)</f>
        <v>9</v>
      </c>
      <c r="E3681" s="2"/>
      <c r="F3681" s="2"/>
    </row>
    <row r="3682">
      <c r="A3682" s="2">
        <f>IFERROR(__xludf.DUMMYFUNCTION("""COMPUTED_VALUE"""),110337.0)</f>
        <v>110337</v>
      </c>
      <c r="B3682" s="2">
        <f>IFERROR(__xludf.DUMMYFUNCTION("""COMPUTED_VALUE"""),1.0)</f>
        <v>1</v>
      </c>
      <c r="C3682" s="2">
        <f>IFERROR(__xludf.DUMMYFUNCTION("""COMPUTED_VALUE"""),666.0)</f>
        <v>666</v>
      </c>
      <c r="D3682" s="3">
        <f>IFERROR(__xludf.DUMMYFUNCTION("""COMPUTED_VALUE"""),9.0)</f>
        <v>9</v>
      </c>
      <c r="E3682" s="2"/>
      <c r="F3682" s="2"/>
    </row>
    <row r="3683">
      <c r="A3683" s="2">
        <f>IFERROR(__xludf.DUMMYFUNCTION("""COMPUTED_VALUE"""),118243.0)</f>
        <v>118243</v>
      </c>
      <c r="B3683" s="2">
        <f>IFERROR(__xludf.DUMMYFUNCTION("""COMPUTED_VALUE"""),1.0)</f>
        <v>1</v>
      </c>
      <c r="C3683" s="2">
        <f>IFERROR(__xludf.DUMMYFUNCTION("""COMPUTED_VALUE"""),558.0)</f>
        <v>558</v>
      </c>
      <c r="D3683" s="3">
        <f>IFERROR(__xludf.DUMMYFUNCTION("""COMPUTED_VALUE"""),58.0)</f>
        <v>58</v>
      </c>
      <c r="E3683" s="2"/>
      <c r="F3683" s="2"/>
    </row>
    <row r="3684">
      <c r="A3684" s="2">
        <f>IFERROR(__xludf.DUMMYFUNCTION("""COMPUTED_VALUE"""),102305.0)</f>
        <v>102305</v>
      </c>
      <c r="B3684" s="2">
        <f>IFERROR(__xludf.DUMMYFUNCTION("""COMPUTED_VALUE"""),0.0)</f>
        <v>0</v>
      </c>
      <c r="C3684" s="2">
        <f>IFERROR(__xludf.DUMMYFUNCTION("""COMPUTED_VALUE"""),735.0)</f>
        <v>735</v>
      </c>
      <c r="D3684" s="3">
        <f>IFERROR(__xludf.DUMMYFUNCTION("""COMPUTED_VALUE"""),58.0)</f>
        <v>58</v>
      </c>
      <c r="E3684" s="2"/>
      <c r="F3684" s="2"/>
    </row>
    <row r="3685">
      <c r="A3685" s="2">
        <f>IFERROR(__xludf.DUMMYFUNCTION("""COMPUTED_VALUE"""),110342.0)</f>
        <v>110342</v>
      </c>
      <c r="B3685" s="2">
        <f>IFERROR(__xludf.DUMMYFUNCTION("""COMPUTED_VALUE"""),1.0)</f>
        <v>1</v>
      </c>
      <c r="C3685" s="2">
        <f>IFERROR(__xludf.DUMMYFUNCTION("""COMPUTED_VALUE"""),208.0)</f>
        <v>208</v>
      </c>
      <c r="D3685" s="3">
        <f>IFERROR(__xludf.DUMMYFUNCTION("""COMPUTED_VALUE"""),85.0)</f>
        <v>85</v>
      </c>
      <c r="E3685" s="2"/>
      <c r="F3685" s="2"/>
    </row>
    <row r="3686">
      <c r="A3686" s="2">
        <f>IFERROR(__xludf.DUMMYFUNCTION("""COMPUTED_VALUE"""),102306.0)</f>
        <v>102306</v>
      </c>
      <c r="B3686" s="2">
        <f>IFERROR(__xludf.DUMMYFUNCTION("""COMPUTED_VALUE"""),1.0)</f>
        <v>1</v>
      </c>
      <c r="C3686" s="2">
        <f>IFERROR(__xludf.DUMMYFUNCTION("""COMPUTED_VALUE"""),859.0)</f>
        <v>859</v>
      </c>
      <c r="D3686" s="3">
        <f>IFERROR(__xludf.DUMMYFUNCTION("""COMPUTED_VALUE"""),210.0)</f>
        <v>210</v>
      </c>
      <c r="E3686" s="2"/>
      <c r="F3686" s="2"/>
    </row>
    <row r="3687">
      <c r="A3687" s="2">
        <f>IFERROR(__xludf.DUMMYFUNCTION("""COMPUTED_VALUE"""),194045.0)</f>
        <v>194045</v>
      </c>
      <c r="B3687" s="2">
        <f>IFERROR(__xludf.DUMMYFUNCTION("""COMPUTED_VALUE"""),1.0)</f>
        <v>1</v>
      </c>
      <c r="C3687" s="2">
        <f>IFERROR(__xludf.DUMMYFUNCTION("""COMPUTED_VALUE"""),652.0)</f>
        <v>652</v>
      </c>
      <c r="D3687" s="3">
        <f>IFERROR(__xludf.DUMMYFUNCTION("""COMPUTED_VALUE"""),91.0)</f>
        <v>91</v>
      </c>
      <c r="E3687" s="2"/>
      <c r="F3687" s="2"/>
    </row>
    <row r="3688">
      <c r="A3688" s="2">
        <f>IFERROR(__xludf.DUMMYFUNCTION("""COMPUTED_VALUE"""),96009.0)</f>
        <v>96009</v>
      </c>
      <c r="B3688" s="2">
        <f>IFERROR(__xludf.DUMMYFUNCTION("""COMPUTED_VALUE"""),0.0)</f>
        <v>0</v>
      </c>
      <c r="C3688" s="2">
        <f>IFERROR(__xludf.DUMMYFUNCTION("""COMPUTED_VALUE"""),254.0)</f>
        <v>254</v>
      </c>
      <c r="D3688" s="3">
        <f>IFERROR(__xludf.DUMMYFUNCTION("""COMPUTED_VALUE"""),175.0)</f>
        <v>175</v>
      </c>
      <c r="E3688" s="2"/>
      <c r="F3688" s="2"/>
    </row>
    <row r="3689">
      <c r="A3689" s="2">
        <f>IFERROR(__xludf.DUMMYFUNCTION("""COMPUTED_VALUE"""),104087.0)</f>
        <v>104087</v>
      </c>
      <c r="B3689" s="2">
        <f>IFERROR(__xludf.DUMMYFUNCTION("""COMPUTED_VALUE"""),0.0)</f>
        <v>0</v>
      </c>
      <c r="C3689" s="2">
        <f>IFERROR(__xludf.DUMMYFUNCTION("""COMPUTED_VALUE"""),515.0)</f>
        <v>515</v>
      </c>
      <c r="D3689" s="3">
        <f>IFERROR(__xludf.DUMMYFUNCTION("""COMPUTED_VALUE"""),309.0)</f>
        <v>309</v>
      </c>
      <c r="E3689" s="2"/>
      <c r="F3689" s="2"/>
    </row>
    <row r="3690">
      <c r="A3690" s="2">
        <f>IFERROR(__xludf.DUMMYFUNCTION("""COMPUTED_VALUE"""),77448.0)</f>
        <v>77448</v>
      </c>
      <c r="B3690" s="2">
        <f>IFERROR(__xludf.DUMMYFUNCTION("""COMPUTED_VALUE"""),1.0)</f>
        <v>1</v>
      </c>
      <c r="C3690" s="2">
        <f>IFERROR(__xludf.DUMMYFUNCTION("""COMPUTED_VALUE"""),885.0)</f>
        <v>885</v>
      </c>
      <c r="D3690" s="3">
        <f>IFERROR(__xludf.DUMMYFUNCTION("""COMPUTED_VALUE"""),225.0)</f>
        <v>225</v>
      </c>
      <c r="E3690" s="2"/>
      <c r="F3690" s="2"/>
    </row>
    <row r="3691">
      <c r="A3691" s="2">
        <f>IFERROR(__xludf.DUMMYFUNCTION("""COMPUTED_VALUE"""),5801.0)</f>
        <v>5801</v>
      </c>
      <c r="B3691" s="2">
        <f>IFERROR(__xludf.DUMMYFUNCTION("""COMPUTED_VALUE"""),0.0)</f>
        <v>0</v>
      </c>
      <c r="C3691" s="2">
        <f>IFERROR(__xludf.DUMMYFUNCTION("""COMPUTED_VALUE"""),913.0)</f>
        <v>913</v>
      </c>
      <c r="D3691" s="3">
        <f>IFERROR(__xludf.DUMMYFUNCTION("""COMPUTED_VALUE"""),580.0)</f>
        <v>580</v>
      </c>
      <c r="E3691" s="2"/>
      <c r="F3691" s="2"/>
    </row>
    <row r="3692">
      <c r="A3692" s="2">
        <f>IFERROR(__xludf.DUMMYFUNCTION("""COMPUTED_VALUE"""),90650.0)</f>
        <v>90650</v>
      </c>
      <c r="B3692" s="2">
        <f>IFERROR(__xludf.DUMMYFUNCTION("""COMPUTED_VALUE"""),0.0)</f>
        <v>0</v>
      </c>
      <c r="C3692" s="2">
        <f>IFERROR(__xludf.DUMMYFUNCTION("""COMPUTED_VALUE"""),560.0)</f>
        <v>560</v>
      </c>
      <c r="D3692" s="3">
        <f>IFERROR(__xludf.DUMMYFUNCTION("""COMPUTED_VALUE"""),426.0)</f>
        <v>426</v>
      </c>
      <c r="E3692" s="2"/>
      <c r="F3692" s="2"/>
    </row>
    <row r="3693">
      <c r="A3693" s="2">
        <f>IFERROR(__xludf.DUMMYFUNCTION("""COMPUTED_VALUE"""),6395.0)</f>
        <v>6395</v>
      </c>
      <c r="B3693" s="2">
        <f>IFERROR(__xludf.DUMMYFUNCTION("""COMPUTED_VALUE"""),1.0)</f>
        <v>1</v>
      </c>
      <c r="C3693" s="2">
        <f>IFERROR(__xludf.DUMMYFUNCTION("""COMPUTED_VALUE"""),706.0)</f>
        <v>706</v>
      </c>
      <c r="D3693" s="3">
        <f>IFERROR(__xludf.DUMMYFUNCTION("""COMPUTED_VALUE"""),18.0)</f>
        <v>18</v>
      </c>
      <c r="E3693" s="2"/>
      <c r="F3693" s="2"/>
    </row>
    <row r="3694">
      <c r="A3694" s="2">
        <f>IFERROR(__xludf.DUMMYFUNCTION("""COMPUTED_VALUE"""),77444.0)</f>
        <v>77444</v>
      </c>
      <c r="B3694" s="2">
        <f>IFERROR(__xludf.DUMMYFUNCTION("""COMPUTED_VALUE"""),1.0)</f>
        <v>1</v>
      </c>
      <c r="C3694" s="2">
        <f>IFERROR(__xludf.DUMMYFUNCTION("""COMPUTED_VALUE"""),941.0)</f>
        <v>941</v>
      </c>
      <c r="D3694" s="3">
        <f>IFERROR(__xludf.DUMMYFUNCTION("""COMPUTED_VALUE"""),918.0)</f>
        <v>918</v>
      </c>
      <c r="E3694" s="2"/>
      <c r="F3694" s="2"/>
    </row>
    <row r="3695">
      <c r="A3695" s="2">
        <f>IFERROR(__xludf.DUMMYFUNCTION("""COMPUTED_VALUE"""),20389.0)</f>
        <v>20389</v>
      </c>
      <c r="B3695" s="2">
        <f>IFERROR(__xludf.DUMMYFUNCTION("""COMPUTED_VALUE"""),0.0)</f>
        <v>0</v>
      </c>
      <c r="C3695" s="2">
        <f>IFERROR(__xludf.DUMMYFUNCTION("""COMPUTED_VALUE"""),161.0)</f>
        <v>161</v>
      </c>
      <c r="D3695" s="3">
        <f>IFERROR(__xludf.DUMMYFUNCTION("""COMPUTED_VALUE"""),86.0)</f>
        <v>86</v>
      </c>
      <c r="E3695" s="2"/>
      <c r="F3695" s="2"/>
    </row>
    <row r="3696">
      <c r="A3696" s="2">
        <f>IFERROR(__xludf.DUMMYFUNCTION("""COMPUTED_VALUE"""),68293.0)</f>
        <v>68293</v>
      </c>
      <c r="B3696" s="2">
        <f>IFERROR(__xludf.DUMMYFUNCTION("""COMPUTED_VALUE"""),0.0)</f>
        <v>0</v>
      </c>
      <c r="C3696" s="2">
        <f>IFERROR(__xludf.DUMMYFUNCTION("""COMPUTED_VALUE"""),592.0)</f>
        <v>592</v>
      </c>
      <c r="D3696" s="3">
        <f>IFERROR(__xludf.DUMMYFUNCTION("""COMPUTED_VALUE"""),545.0)</f>
        <v>545</v>
      </c>
      <c r="E3696" s="2"/>
      <c r="F3696" s="2"/>
    </row>
    <row r="3697">
      <c r="A3697" s="2">
        <f>IFERROR(__xludf.DUMMYFUNCTION("""COMPUTED_VALUE"""),90982.0)</f>
        <v>90982</v>
      </c>
      <c r="B3697" s="2">
        <f>IFERROR(__xludf.DUMMYFUNCTION("""COMPUTED_VALUE"""),1.0)</f>
        <v>1</v>
      </c>
      <c r="C3697" s="2">
        <f>IFERROR(__xludf.DUMMYFUNCTION("""COMPUTED_VALUE"""),564.0)</f>
        <v>564</v>
      </c>
      <c r="D3697" s="3">
        <f>IFERROR(__xludf.DUMMYFUNCTION("""COMPUTED_VALUE"""),388.0)</f>
        <v>388</v>
      </c>
      <c r="E3697" s="2"/>
      <c r="F3697" s="2"/>
    </row>
    <row r="3698">
      <c r="A3698" s="2">
        <f>IFERROR(__xludf.DUMMYFUNCTION("""COMPUTED_VALUE"""),48279.0)</f>
        <v>48279</v>
      </c>
      <c r="B3698" s="2">
        <f>IFERROR(__xludf.DUMMYFUNCTION("""COMPUTED_VALUE"""),1.0)</f>
        <v>1</v>
      </c>
      <c r="C3698" s="2">
        <f>IFERROR(__xludf.DUMMYFUNCTION("""COMPUTED_VALUE"""),756.0)</f>
        <v>756</v>
      </c>
      <c r="D3698" s="3">
        <f>IFERROR(__xludf.DUMMYFUNCTION("""COMPUTED_VALUE"""),566.0)</f>
        <v>566</v>
      </c>
      <c r="E3698" s="2"/>
      <c r="F3698" s="2"/>
    </row>
    <row r="3699">
      <c r="A3699" s="2">
        <f>IFERROR(__xludf.DUMMYFUNCTION("""COMPUTED_VALUE"""),77447.0)</f>
        <v>77447</v>
      </c>
      <c r="B3699" s="2">
        <f>IFERROR(__xludf.DUMMYFUNCTION("""COMPUTED_VALUE"""),1.0)</f>
        <v>1</v>
      </c>
      <c r="C3699" s="2">
        <f>IFERROR(__xludf.DUMMYFUNCTION("""COMPUTED_VALUE"""),912.0)</f>
        <v>912</v>
      </c>
      <c r="D3699" s="3">
        <f>IFERROR(__xludf.DUMMYFUNCTION("""COMPUTED_VALUE"""),577.0)</f>
        <v>577</v>
      </c>
      <c r="E3699" s="2"/>
      <c r="F3699" s="2"/>
    </row>
    <row r="3700">
      <c r="A3700" s="2">
        <f>IFERROR(__xludf.DUMMYFUNCTION("""COMPUTED_VALUE"""),5710.0)</f>
        <v>5710</v>
      </c>
      <c r="B3700" s="2">
        <f>IFERROR(__xludf.DUMMYFUNCTION("""COMPUTED_VALUE"""),1.0)</f>
        <v>1</v>
      </c>
      <c r="C3700" s="2">
        <f>IFERROR(__xludf.DUMMYFUNCTION("""COMPUTED_VALUE"""),492.0)</f>
        <v>492</v>
      </c>
      <c r="D3700" s="3">
        <f>IFERROR(__xludf.DUMMYFUNCTION("""COMPUTED_VALUE"""),126.0)</f>
        <v>126</v>
      </c>
      <c r="E3700" s="2"/>
      <c r="F3700" s="2"/>
    </row>
    <row r="3701">
      <c r="A3701" s="2">
        <f>IFERROR(__xludf.DUMMYFUNCTION("""COMPUTED_VALUE"""),90906.0)</f>
        <v>90906</v>
      </c>
      <c r="B3701" s="2">
        <f>IFERROR(__xludf.DUMMYFUNCTION("""COMPUTED_VALUE"""),0.0)</f>
        <v>0</v>
      </c>
      <c r="C3701" s="2">
        <f>IFERROR(__xludf.DUMMYFUNCTION("""COMPUTED_VALUE"""),278.0)</f>
        <v>278</v>
      </c>
      <c r="D3701" s="3">
        <f>IFERROR(__xludf.DUMMYFUNCTION("""COMPUTED_VALUE"""),90.0)</f>
        <v>90</v>
      </c>
      <c r="E3701" s="2"/>
      <c r="F3701" s="2"/>
    </row>
    <row r="3702">
      <c r="A3702" s="2">
        <f>IFERROR(__xludf.DUMMYFUNCTION("""COMPUTED_VALUE"""),90883.0)</f>
        <v>90883</v>
      </c>
      <c r="B3702" s="2">
        <f>IFERROR(__xludf.DUMMYFUNCTION("""COMPUTED_VALUE"""),1.0)</f>
        <v>1</v>
      </c>
      <c r="C3702" s="2">
        <f>IFERROR(__xludf.DUMMYFUNCTION("""COMPUTED_VALUE"""),495.0)</f>
        <v>495</v>
      </c>
      <c r="D3702" s="3">
        <f>IFERROR(__xludf.DUMMYFUNCTION("""COMPUTED_VALUE"""),315.0)</f>
        <v>315</v>
      </c>
      <c r="E3702" s="2"/>
      <c r="F3702" s="2"/>
    </row>
    <row r="3703">
      <c r="A3703" s="2">
        <f>IFERROR(__xludf.DUMMYFUNCTION("""COMPUTED_VALUE"""),113093.0)</f>
        <v>113093</v>
      </c>
      <c r="B3703" s="2">
        <f>IFERROR(__xludf.DUMMYFUNCTION("""COMPUTED_VALUE"""),0.0)</f>
        <v>0</v>
      </c>
      <c r="C3703" s="2">
        <f>IFERROR(__xludf.DUMMYFUNCTION("""COMPUTED_VALUE"""),112.0)</f>
        <v>112</v>
      </c>
      <c r="D3703" s="3">
        <f>IFERROR(__xludf.DUMMYFUNCTION("""COMPUTED_VALUE"""),92.0)</f>
        <v>92</v>
      </c>
      <c r="E3703" s="2"/>
      <c r="F3703" s="2"/>
    </row>
    <row r="3704">
      <c r="A3704" s="2">
        <f>IFERROR(__xludf.DUMMYFUNCTION("""COMPUTED_VALUE"""),73926.0)</f>
        <v>73926</v>
      </c>
      <c r="B3704" s="2">
        <f>IFERROR(__xludf.DUMMYFUNCTION("""COMPUTED_VALUE"""),0.0)</f>
        <v>0</v>
      </c>
      <c r="C3704" s="2">
        <f>IFERROR(__xludf.DUMMYFUNCTION("""COMPUTED_VALUE"""),138.0)</f>
        <v>138</v>
      </c>
      <c r="D3704" s="3">
        <f>IFERROR(__xludf.DUMMYFUNCTION("""COMPUTED_VALUE"""),111.0)</f>
        <v>111</v>
      </c>
      <c r="E3704" s="2"/>
      <c r="F3704" s="2"/>
    </row>
    <row r="3705">
      <c r="A3705" s="2">
        <f>IFERROR(__xludf.DUMMYFUNCTION("""COMPUTED_VALUE"""),110083.0)</f>
        <v>110083</v>
      </c>
      <c r="B3705" s="2">
        <f>IFERROR(__xludf.DUMMYFUNCTION("""COMPUTED_VALUE"""),0.0)</f>
        <v>0</v>
      </c>
      <c r="C3705" s="2">
        <f>IFERROR(__xludf.DUMMYFUNCTION("""COMPUTED_VALUE"""),775.0)</f>
        <v>775</v>
      </c>
      <c r="D3705" s="3">
        <f>IFERROR(__xludf.DUMMYFUNCTION("""COMPUTED_VALUE"""),417.0)</f>
        <v>417</v>
      </c>
      <c r="E3705" s="2"/>
      <c r="F3705" s="2"/>
    </row>
    <row r="3706">
      <c r="A3706" s="2">
        <f>IFERROR(__xludf.DUMMYFUNCTION("""COMPUTED_VALUE"""),76313.0)</f>
        <v>76313</v>
      </c>
      <c r="B3706" s="2">
        <f>IFERROR(__xludf.DUMMYFUNCTION("""COMPUTED_VALUE"""),0.0)</f>
        <v>0</v>
      </c>
      <c r="C3706" s="2">
        <f>IFERROR(__xludf.DUMMYFUNCTION("""COMPUTED_VALUE"""),790.0)</f>
        <v>790</v>
      </c>
      <c r="D3706" s="3">
        <f>IFERROR(__xludf.DUMMYFUNCTION("""COMPUTED_VALUE"""),155.0)</f>
        <v>155</v>
      </c>
      <c r="E3706" s="2"/>
      <c r="F3706" s="2"/>
    </row>
    <row r="3707">
      <c r="A3707" s="2">
        <f>IFERROR(__xludf.DUMMYFUNCTION("""COMPUTED_VALUE"""),68404.0)</f>
        <v>68404</v>
      </c>
      <c r="B3707" s="2">
        <f>IFERROR(__xludf.DUMMYFUNCTION("""COMPUTED_VALUE"""),1.0)</f>
        <v>1</v>
      </c>
      <c r="C3707" s="2">
        <f>IFERROR(__xludf.DUMMYFUNCTION("""COMPUTED_VALUE"""),921.0)</f>
        <v>921</v>
      </c>
      <c r="D3707" s="3">
        <f>IFERROR(__xludf.DUMMYFUNCTION("""COMPUTED_VALUE"""),548.0)</f>
        <v>548</v>
      </c>
      <c r="E3707" s="2"/>
      <c r="F3707" s="2"/>
    </row>
    <row r="3708">
      <c r="A3708" s="2">
        <f>IFERROR(__xludf.DUMMYFUNCTION("""COMPUTED_VALUE"""),68322.0)</f>
        <v>68322</v>
      </c>
      <c r="B3708" s="2">
        <f>IFERROR(__xludf.DUMMYFUNCTION("""COMPUTED_VALUE"""),1.0)</f>
        <v>1</v>
      </c>
      <c r="C3708" s="2">
        <f>IFERROR(__xludf.DUMMYFUNCTION("""COMPUTED_VALUE"""),52.0)</f>
        <v>52</v>
      </c>
      <c r="D3708" s="3">
        <f>IFERROR(__xludf.DUMMYFUNCTION("""COMPUTED_VALUE"""),21.0)</f>
        <v>21</v>
      </c>
      <c r="E3708" s="2"/>
      <c r="F3708" s="2"/>
    </row>
    <row r="3709">
      <c r="A3709" s="2">
        <f>IFERROR(__xludf.DUMMYFUNCTION("""COMPUTED_VALUE"""),73947.0)</f>
        <v>73947</v>
      </c>
      <c r="B3709" s="2">
        <f>IFERROR(__xludf.DUMMYFUNCTION("""COMPUTED_VALUE"""),0.0)</f>
        <v>0</v>
      </c>
      <c r="C3709" s="2">
        <f>IFERROR(__xludf.DUMMYFUNCTION("""COMPUTED_VALUE"""),584.0)</f>
        <v>584</v>
      </c>
      <c r="D3709" s="3">
        <f>IFERROR(__xludf.DUMMYFUNCTION("""COMPUTED_VALUE"""),424.0)</f>
        <v>424</v>
      </c>
      <c r="E3709" s="2"/>
      <c r="F3709" s="2"/>
    </row>
    <row r="3710">
      <c r="A3710" s="2">
        <f>IFERROR(__xludf.DUMMYFUNCTION("""COMPUTED_VALUE"""),29116.0)</f>
        <v>29116</v>
      </c>
      <c r="B3710" s="2">
        <f>IFERROR(__xludf.DUMMYFUNCTION("""COMPUTED_VALUE"""),1.0)</f>
        <v>1</v>
      </c>
      <c r="C3710" s="2">
        <f>IFERROR(__xludf.DUMMYFUNCTION("""COMPUTED_VALUE"""),408.0)</f>
        <v>408</v>
      </c>
      <c r="D3710" s="3">
        <f>IFERROR(__xludf.DUMMYFUNCTION("""COMPUTED_VALUE"""),3.0)</f>
        <v>3</v>
      </c>
      <c r="E3710" s="2"/>
      <c r="F3710" s="2"/>
    </row>
    <row r="3711">
      <c r="A3711" s="2">
        <f>IFERROR(__xludf.DUMMYFUNCTION("""COMPUTED_VALUE"""),90846.0)</f>
        <v>90846</v>
      </c>
      <c r="B3711" s="2">
        <f>IFERROR(__xludf.DUMMYFUNCTION("""COMPUTED_VALUE"""),0.0)</f>
        <v>0</v>
      </c>
      <c r="C3711" s="2">
        <f>IFERROR(__xludf.DUMMYFUNCTION("""COMPUTED_VALUE"""),784.0)</f>
        <v>784</v>
      </c>
      <c r="D3711" s="3">
        <f>IFERROR(__xludf.DUMMYFUNCTION("""COMPUTED_VALUE"""),653.0)</f>
        <v>653</v>
      </c>
      <c r="E3711" s="2"/>
      <c r="F3711" s="2"/>
    </row>
    <row r="3712">
      <c r="A3712" s="2">
        <f>IFERROR(__xludf.DUMMYFUNCTION("""COMPUTED_VALUE"""),110084.0)</f>
        <v>110084</v>
      </c>
      <c r="B3712" s="2">
        <f>IFERROR(__xludf.DUMMYFUNCTION("""COMPUTED_VALUE"""),0.0)</f>
        <v>0</v>
      </c>
      <c r="C3712" s="2">
        <f>IFERROR(__xludf.DUMMYFUNCTION("""COMPUTED_VALUE"""),636.0)</f>
        <v>636</v>
      </c>
      <c r="D3712" s="3">
        <f>IFERROR(__xludf.DUMMYFUNCTION("""COMPUTED_VALUE"""),17.0)</f>
        <v>17</v>
      </c>
      <c r="E3712" s="2"/>
      <c r="F3712" s="2"/>
    </row>
    <row r="3713">
      <c r="A3713" s="2">
        <f>IFERROR(__xludf.DUMMYFUNCTION("""COMPUTED_VALUE"""),73925.0)</f>
        <v>73925</v>
      </c>
      <c r="B3713" s="2">
        <f>IFERROR(__xludf.DUMMYFUNCTION("""COMPUTED_VALUE"""),1.0)</f>
        <v>1</v>
      </c>
      <c r="C3713" s="2">
        <f>IFERROR(__xludf.DUMMYFUNCTION("""COMPUTED_VALUE"""),227.0)</f>
        <v>227</v>
      </c>
      <c r="D3713" s="3">
        <f>IFERROR(__xludf.DUMMYFUNCTION("""COMPUTED_VALUE"""),132.0)</f>
        <v>132</v>
      </c>
      <c r="E3713" s="2"/>
      <c r="F3713" s="2"/>
    </row>
    <row r="3714">
      <c r="A3714" s="2">
        <f>IFERROR(__xludf.DUMMYFUNCTION("""COMPUTED_VALUE"""),68296.0)</f>
        <v>68296</v>
      </c>
      <c r="B3714" s="2">
        <f>IFERROR(__xludf.DUMMYFUNCTION("""COMPUTED_VALUE"""),0.0)</f>
        <v>0</v>
      </c>
      <c r="C3714" s="2">
        <f>IFERROR(__xludf.DUMMYFUNCTION("""COMPUTED_VALUE"""),848.0)</f>
        <v>848</v>
      </c>
      <c r="D3714" s="3">
        <f>IFERROR(__xludf.DUMMYFUNCTION("""COMPUTED_VALUE"""),511.0)</f>
        <v>511</v>
      </c>
      <c r="E3714" s="2"/>
      <c r="F3714" s="2"/>
    </row>
    <row r="3715">
      <c r="A3715" s="2">
        <f>IFERROR(__xludf.DUMMYFUNCTION("""COMPUTED_VALUE"""),90873.0)</f>
        <v>90873</v>
      </c>
      <c r="B3715" s="2">
        <f>IFERROR(__xludf.DUMMYFUNCTION("""COMPUTED_VALUE"""),0.0)</f>
        <v>0</v>
      </c>
      <c r="C3715" s="2">
        <f>IFERROR(__xludf.DUMMYFUNCTION("""COMPUTED_VALUE"""),649.0)</f>
        <v>649</v>
      </c>
      <c r="D3715" s="3">
        <f>IFERROR(__xludf.DUMMYFUNCTION("""COMPUTED_VALUE"""),76.0)</f>
        <v>76</v>
      </c>
      <c r="E3715" s="2"/>
      <c r="F3715" s="2"/>
    </row>
    <row r="3716">
      <c r="A3716" s="2">
        <f>IFERROR(__xludf.DUMMYFUNCTION("""COMPUTED_VALUE"""),90874.0)</f>
        <v>90874</v>
      </c>
      <c r="B3716" s="2">
        <f>IFERROR(__xludf.DUMMYFUNCTION("""COMPUTED_VALUE"""),0.0)</f>
        <v>0</v>
      </c>
      <c r="C3716" s="2">
        <f>IFERROR(__xludf.DUMMYFUNCTION("""COMPUTED_VALUE"""),938.0)</f>
        <v>938</v>
      </c>
      <c r="D3716" s="3">
        <f>IFERROR(__xludf.DUMMYFUNCTION("""COMPUTED_VALUE"""),258.0)</f>
        <v>258</v>
      </c>
      <c r="E3716" s="2"/>
      <c r="F3716" s="2"/>
    </row>
    <row r="3717">
      <c r="A3717" s="2">
        <f>IFERROR(__xludf.DUMMYFUNCTION("""COMPUTED_VALUE"""),90842.0)</f>
        <v>90842</v>
      </c>
      <c r="B3717" s="2">
        <f>IFERROR(__xludf.DUMMYFUNCTION("""COMPUTED_VALUE"""),0.0)</f>
        <v>0</v>
      </c>
      <c r="C3717" s="2">
        <f>IFERROR(__xludf.DUMMYFUNCTION("""COMPUTED_VALUE"""),63.0)</f>
        <v>63</v>
      </c>
      <c r="D3717" s="3">
        <f>IFERROR(__xludf.DUMMYFUNCTION("""COMPUTED_VALUE"""),53.0)</f>
        <v>53</v>
      </c>
      <c r="E3717" s="2"/>
      <c r="F3717" s="2"/>
    </row>
    <row r="3718">
      <c r="A3718" s="2">
        <f>IFERROR(__xludf.DUMMYFUNCTION("""COMPUTED_VALUE"""),5709.0)</f>
        <v>5709</v>
      </c>
      <c r="B3718" s="2">
        <f>IFERROR(__xludf.DUMMYFUNCTION("""COMPUTED_VALUE"""),0.0)</f>
        <v>0</v>
      </c>
      <c r="C3718" s="2">
        <f>IFERROR(__xludf.DUMMYFUNCTION("""COMPUTED_VALUE"""),91.0)</f>
        <v>91</v>
      </c>
      <c r="D3718" s="3">
        <f>IFERROR(__xludf.DUMMYFUNCTION("""COMPUTED_VALUE"""),14.0)</f>
        <v>14</v>
      </c>
      <c r="E3718" s="2"/>
      <c r="F3718" s="2"/>
    </row>
    <row r="3719">
      <c r="A3719" s="2">
        <f>IFERROR(__xludf.DUMMYFUNCTION("""COMPUTED_VALUE"""),76341.0)</f>
        <v>76341</v>
      </c>
      <c r="B3719" s="2">
        <f>IFERROR(__xludf.DUMMYFUNCTION("""COMPUTED_VALUE"""),0.0)</f>
        <v>0</v>
      </c>
      <c r="C3719" s="2">
        <f>IFERROR(__xludf.DUMMYFUNCTION("""COMPUTED_VALUE"""),455.0)</f>
        <v>455</v>
      </c>
      <c r="D3719" s="3">
        <f>IFERROR(__xludf.DUMMYFUNCTION("""COMPUTED_VALUE"""),244.0)</f>
        <v>244</v>
      </c>
      <c r="E3719" s="2"/>
      <c r="F3719" s="2"/>
    </row>
    <row r="3720">
      <c r="A3720" s="2">
        <f>IFERROR(__xludf.DUMMYFUNCTION("""COMPUTED_VALUE"""),113094.0)</f>
        <v>113094</v>
      </c>
      <c r="B3720" s="2">
        <f>IFERROR(__xludf.DUMMYFUNCTION("""COMPUTED_VALUE"""),0.0)</f>
        <v>0</v>
      </c>
      <c r="C3720" s="2">
        <f>IFERROR(__xludf.DUMMYFUNCTION("""COMPUTED_VALUE"""),685.0)</f>
        <v>685</v>
      </c>
      <c r="D3720" s="3">
        <f>IFERROR(__xludf.DUMMYFUNCTION("""COMPUTED_VALUE"""),254.0)</f>
        <v>254</v>
      </c>
      <c r="E3720" s="2"/>
      <c r="F3720" s="2"/>
    </row>
    <row r="3721">
      <c r="A3721" s="2">
        <f>IFERROR(__xludf.DUMMYFUNCTION("""COMPUTED_VALUE"""),76301.0)</f>
        <v>76301</v>
      </c>
      <c r="B3721" s="2">
        <f>IFERROR(__xludf.DUMMYFUNCTION("""COMPUTED_VALUE"""),0.0)</f>
        <v>0</v>
      </c>
      <c r="C3721" s="2">
        <f>IFERROR(__xludf.DUMMYFUNCTION("""COMPUTED_VALUE"""),207.0)</f>
        <v>207</v>
      </c>
      <c r="D3721" s="3">
        <f>IFERROR(__xludf.DUMMYFUNCTION("""COMPUTED_VALUE"""),122.0)</f>
        <v>122</v>
      </c>
      <c r="E3721" s="2"/>
      <c r="F3721" s="2"/>
    </row>
    <row r="3722">
      <c r="A3722" s="2">
        <f>IFERROR(__xludf.DUMMYFUNCTION("""COMPUTED_VALUE"""),90844.0)</f>
        <v>90844</v>
      </c>
      <c r="B3722" s="2">
        <f>IFERROR(__xludf.DUMMYFUNCTION("""COMPUTED_VALUE"""),1.0)</f>
        <v>1</v>
      </c>
      <c r="C3722" s="2">
        <f>IFERROR(__xludf.DUMMYFUNCTION("""COMPUTED_VALUE"""),330.0)</f>
        <v>330</v>
      </c>
      <c r="D3722" s="3">
        <f>IFERROR(__xludf.DUMMYFUNCTION("""COMPUTED_VALUE"""),324.0)</f>
        <v>324</v>
      </c>
      <c r="E3722" s="2"/>
      <c r="F3722" s="2"/>
    </row>
    <row r="3723">
      <c r="A3723" s="2">
        <f>IFERROR(__xludf.DUMMYFUNCTION("""COMPUTED_VALUE"""),90848.0)</f>
        <v>90848</v>
      </c>
      <c r="B3723" s="2">
        <f>IFERROR(__xludf.DUMMYFUNCTION("""COMPUTED_VALUE"""),0.0)</f>
        <v>0</v>
      </c>
      <c r="C3723" s="2">
        <f>IFERROR(__xludf.DUMMYFUNCTION("""COMPUTED_VALUE"""),724.0)</f>
        <v>724</v>
      </c>
      <c r="D3723" s="3">
        <f>IFERROR(__xludf.DUMMYFUNCTION("""COMPUTED_VALUE"""),81.0)</f>
        <v>81</v>
      </c>
      <c r="E3723" s="2"/>
      <c r="F3723" s="2"/>
    </row>
    <row r="3724">
      <c r="A3724" s="2">
        <f>IFERROR(__xludf.DUMMYFUNCTION("""COMPUTED_VALUE"""),76318.0)</f>
        <v>76318</v>
      </c>
      <c r="B3724" s="2">
        <f>IFERROR(__xludf.DUMMYFUNCTION("""COMPUTED_VALUE"""),0.0)</f>
        <v>0</v>
      </c>
      <c r="C3724" s="2">
        <f>IFERROR(__xludf.DUMMYFUNCTION("""COMPUTED_VALUE"""),474.0)</f>
        <v>474</v>
      </c>
      <c r="D3724" s="3">
        <f>IFERROR(__xludf.DUMMYFUNCTION("""COMPUTED_VALUE"""),133.0)</f>
        <v>133</v>
      </c>
      <c r="E3724" s="2"/>
      <c r="F3724" s="2"/>
    </row>
    <row r="3725">
      <c r="A3725" s="2">
        <f>IFERROR(__xludf.DUMMYFUNCTION("""COMPUTED_VALUE"""),118885.0)</f>
        <v>118885</v>
      </c>
      <c r="B3725" s="2">
        <f>IFERROR(__xludf.DUMMYFUNCTION("""COMPUTED_VALUE"""),1.0)</f>
        <v>1</v>
      </c>
      <c r="C3725" s="2">
        <f>IFERROR(__xludf.DUMMYFUNCTION("""COMPUTED_VALUE"""),271.0)</f>
        <v>271</v>
      </c>
      <c r="D3725" s="3">
        <f>IFERROR(__xludf.DUMMYFUNCTION("""COMPUTED_VALUE"""),102.0)</f>
        <v>102</v>
      </c>
      <c r="E3725" s="2"/>
      <c r="F3725" s="2"/>
    </row>
    <row r="3726">
      <c r="A3726" s="2">
        <f>IFERROR(__xludf.DUMMYFUNCTION("""COMPUTED_VALUE"""),76349.0)</f>
        <v>76349</v>
      </c>
      <c r="B3726" s="2">
        <f>IFERROR(__xludf.DUMMYFUNCTION("""COMPUTED_VALUE"""),1.0)</f>
        <v>1</v>
      </c>
      <c r="C3726" s="2">
        <f>IFERROR(__xludf.DUMMYFUNCTION("""COMPUTED_VALUE"""),402.0)</f>
        <v>402</v>
      </c>
      <c r="D3726" s="3">
        <f>IFERROR(__xludf.DUMMYFUNCTION("""COMPUTED_VALUE"""),346.0)</f>
        <v>346</v>
      </c>
      <c r="E3726" s="2"/>
      <c r="F3726" s="2"/>
    </row>
    <row r="3727">
      <c r="A3727" s="2">
        <f>IFERROR(__xludf.DUMMYFUNCTION("""COMPUTED_VALUE"""),30878.0)</f>
        <v>30878</v>
      </c>
      <c r="B3727" s="2">
        <f>IFERROR(__xludf.DUMMYFUNCTION("""COMPUTED_VALUE"""),1.0)</f>
        <v>1</v>
      </c>
      <c r="C3727" s="2">
        <f>IFERROR(__xludf.DUMMYFUNCTION("""COMPUTED_VALUE"""),909.0)</f>
        <v>909</v>
      </c>
      <c r="D3727" s="3">
        <f>IFERROR(__xludf.DUMMYFUNCTION("""COMPUTED_VALUE"""),213.0)</f>
        <v>213</v>
      </c>
      <c r="E3727" s="2"/>
      <c r="F3727" s="2"/>
    </row>
    <row r="3728">
      <c r="A3728" s="2">
        <f>IFERROR(__xludf.DUMMYFUNCTION("""COMPUTED_VALUE"""),104176.0)</f>
        <v>104176</v>
      </c>
      <c r="B3728" s="2">
        <f>IFERROR(__xludf.DUMMYFUNCTION("""COMPUTED_VALUE"""),0.0)</f>
        <v>0</v>
      </c>
      <c r="C3728" s="2">
        <f>IFERROR(__xludf.DUMMYFUNCTION("""COMPUTED_VALUE"""),496.0)</f>
        <v>496</v>
      </c>
      <c r="D3728" s="3">
        <f>IFERROR(__xludf.DUMMYFUNCTION("""COMPUTED_VALUE"""),231.0)</f>
        <v>231</v>
      </c>
      <c r="E3728" s="2"/>
      <c r="F3728" s="2"/>
    </row>
    <row r="3729">
      <c r="A3729" s="2">
        <f>IFERROR(__xludf.DUMMYFUNCTION("""COMPUTED_VALUE"""),78516.0)</f>
        <v>78516</v>
      </c>
      <c r="B3729" s="2">
        <f>IFERROR(__xludf.DUMMYFUNCTION("""COMPUTED_VALUE"""),1.0)</f>
        <v>1</v>
      </c>
      <c r="C3729" s="2">
        <f>IFERROR(__xludf.DUMMYFUNCTION("""COMPUTED_VALUE"""),895.0)</f>
        <v>895</v>
      </c>
      <c r="D3729" s="3">
        <f>IFERROR(__xludf.DUMMYFUNCTION("""COMPUTED_VALUE"""),366.0)</f>
        <v>366</v>
      </c>
      <c r="E3729" s="2"/>
      <c r="F3729" s="2"/>
    </row>
    <row r="3730">
      <c r="A3730" s="2">
        <f>IFERROR(__xludf.DUMMYFUNCTION("""COMPUTED_VALUE"""),118884.0)</f>
        <v>118884</v>
      </c>
      <c r="B3730" s="2">
        <f>IFERROR(__xludf.DUMMYFUNCTION("""COMPUTED_VALUE"""),0.0)</f>
        <v>0</v>
      </c>
      <c r="C3730" s="2">
        <f>IFERROR(__xludf.DUMMYFUNCTION("""COMPUTED_VALUE"""),407.0)</f>
        <v>407</v>
      </c>
      <c r="D3730" s="3">
        <f>IFERROR(__xludf.DUMMYFUNCTION("""COMPUTED_VALUE"""),84.0)</f>
        <v>84</v>
      </c>
      <c r="E3730" s="2"/>
      <c r="F3730" s="2"/>
    </row>
    <row r="3731">
      <c r="A3731" s="2">
        <f>IFERROR(__xludf.DUMMYFUNCTION("""COMPUTED_VALUE"""),119239.0)</f>
        <v>119239</v>
      </c>
      <c r="B3731" s="2">
        <f>IFERROR(__xludf.DUMMYFUNCTION("""COMPUTED_VALUE"""),1.0)</f>
        <v>1</v>
      </c>
      <c r="C3731" s="2">
        <f>IFERROR(__xludf.DUMMYFUNCTION("""COMPUTED_VALUE"""),439.0)</f>
        <v>439</v>
      </c>
      <c r="D3731" s="3">
        <f>IFERROR(__xludf.DUMMYFUNCTION("""COMPUTED_VALUE"""),312.0)</f>
        <v>312</v>
      </c>
      <c r="E3731" s="2"/>
      <c r="F3731" s="2"/>
    </row>
    <row r="3732">
      <c r="A3732" s="2">
        <f>IFERROR(__xludf.DUMMYFUNCTION("""COMPUTED_VALUE"""),30875.0)</f>
        <v>30875</v>
      </c>
      <c r="B3732" s="2">
        <f>IFERROR(__xludf.DUMMYFUNCTION("""COMPUTED_VALUE"""),1.0)</f>
        <v>1</v>
      </c>
      <c r="C3732" s="2">
        <f>IFERROR(__xludf.DUMMYFUNCTION("""COMPUTED_VALUE"""),81.0)</f>
        <v>81</v>
      </c>
      <c r="D3732" s="3">
        <f>IFERROR(__xludf.DUMMYFUNCTION("""COMPUTED_VALUE"""),5.0)</f>
        <v>5</v>
      </c>
      <c r="E3732" s="2"/>
      <c r="F3732" s="2"/>
    </row>
    <row r="3733">
      <c r="A3733" s="2">
        <f>IFERROR(__xludf.DUMMYFUNCTION("""COMPUTED_VALUE"""),73946.0)</f>
        <v>73946</v>
      </c>
      <c r="B3733" s="2">
        <f>IFERROR(__xludf.DUMMYFUNCTION("""COMPUTED_VALUE"""),1.0)</f>
        <v>1</v>
      </c>
      <c r="C3733" s="2">
        <f>IFERROR(__xludf.DUMMYFUNCTION("""COMPUTED_VALUE"""),335.0)</f>
        <v>335</v>
      </c>
      <c r="D3733" s="3">
        <f>IFERROR(__xludf.DUMMYFUNCTION("""COMPUTED_VALUE"""),103.0)</f>
        <v>103</v>
      </c>
      <c r="E3733" s="2"/>
      <c r="F3733" s="2"/>
    </row>
    <row r="3734">
      <c r="A3734" s="2">
        <f>IFERROR(__xludf.DUMMYFUNCTION("""COMPUTED_VALUE"""),90690.0)</f>
        <v>90690</v>
      </c>
      <c r="B3734" s="2">
        <f>IFERROR(__xludf.DUMMYFUNCTION("""COMPUTED_VALUE"""),0.0)</f>
        <v>0</v>
      </c>
      <c r="C3734" s="2">
        <f>IFERROR(__xludf.DUMMYFUNCTION("""COMPUTED_VALUE"""),702.0)</f>
        <v>702</v>
      </c>
      <c r="D3734" s="3">
        <f>IFERROR(__xludf.DUMMYFUNCTION("""COMPUTED_VALUE"""),305.0)</f>
        <v>305</v>
      </c>
      <c r="E3734" s="2"/>
      <c r="F3734" s="2"/>
    </row>
    <row r="3735">
      <c r="A3735" s="2">
        <f>IFERROR(__xludf.DUMMYFUNCTION("""COMPUTED_VALUE"""),101380.0)</f>
        <v>101380</v>
      </c>
      <c r="B3735" s="2">
        <f>IFERROR(__xludf.DUMMYFUNCTION("""COMPUTED_VALUE"""),0.0)</f>
        <v>0</v>
      </c>
      <c r="C3735" s="2">
        <f>IFERROR(__xludf.DUMMYFUNCTION("""COMPUTED_VALUE"""),843.0)</f>
        <v>843</v>
      </c>
      <c r="D3735" s="3">
        <f>IFERROR(__xludf.DUMMYFUNCTION("""COMPUTED_VALUE"""),811.0)</f>
        <v>811</v>
      </c>
      <c r="E3735" s="2"/>
      <c r="F3735" s="2"/>
    </row>
    <row r="3736">
      <c r="A3736" s="2">
        <f>IFERROR(__xludf.DUMMYFUNCTION("""COMPUTED_VALUE"""),5804.0)</f>
        <v>5804</v>
      </c>
      <c r="B3736" s="2">
        <f>IFERROR(__xludf.DUMMYFUNCTION("""COMPUTED_VALUE"""),0.0)</f>
        <v>0</v>
      </c>
      <c r="C3736" s="2">
        <f>IFERROR(__xludf.DUMMYFUNCTION("""COMPUTED_VALUE"""),466.0)</f>
        <v>466</v>
      </c>
      <c r="D3736" s="3">
        <f>IFERROR(__xludf.DUMMYFUNCTION("""COMPUTED_VALUE"""),409.0)</f>
        <v>409</v>
      </c>
      <c r="E3736" s="2"/>
      <c r="F3736" s="2"/>
    </row>
    <row r="3737">
      <c r="A3737" s="2">
        <f>IFERROR(__xludf.DUMMYFUNCTION("""COMPUTED_VALUE"""),82372.0)</f>
        <v>82372</v>
      </c>
      <c r="B3737" s="2">
        <f>IFERROR(__xludf.DUMMYFUNCTION("""COMPUTED_VALUE"""),1.0)</f>
        <v>1</v>
      </c>
      <c r="C3737" s="2">
        <f>IFERROR(__xludf.DUMMYFUNCTION("""COMPUTED_VALUE"""),435.0)</f>
        <v>435</v>
      </c>
      <c r="D3737" s="3">
        <f>IFERROR(__xludf.DUMMYFUNCTION("""COMPUTED_VALUE"""),270.0)</f>
        <v>270</v>
      </c>
      <c r="E3737" s="2"/>
      <c r="F3737" s="2"/>
    </row>
    <row r="3738">
      <c r="A3738" s="2">
        <f>IFERROR(__xludf.DUMMYFUNCTION("""COMPUTED_VALUE"""),90643.0)</f>
        <v>90643</v>
      </c>
      <c r="B3738" s="2">
        <f>IFERROR(__xludf.DUMMYFUNCTION("""COMPUTED_VALUE"""),0.0)</f>
        <v>0</v>
      </c>
      <c r="C3738" s="2">
        <f>IFERROR(__xludf.DUMMYFUNCTION("""COMPUTED_VALUE"""),349.0)</f>
        <v>349</v>
      </c>
      <c r="D3738" s="3">
        <f>IFERROR(__xludf.DUMMYFUNCTION("""COMPUTED_VALUE"""),58.0)</f>
        <v>58</v>
      </c>
      <c r="E3738" s="2"/>
      <c r="F3738" s="2"/>
    </row>
    <row r="3739">
      <c r="A3739" s="2">
        <f>IFERROR(__xludf.DUMMYFUNCTION("""COMPUTED_VALUE"""),68412.0)</f>
        <v>68412</v>
      </c>
      <c r="B3739" s="2">
        <f>IFERROR(__xludf.DUMMYFUNCTION("""COMPUTED_VALUE"""),0.0)</f>
        <v>0</v>
      </c>
      <c r="C3739" s="2">
        <f>IFERROR(__xludf.DUMMYFUNCTION("""COMPUTED_VALUE"""),841.0)</f>
        <v>841</v>
      </c>
      <c r="D3739" s="3">
        <f>IFERROR(__xludf.DUMMYFUNCTION("""COMPUTED_VALUE"""),31.0)</f>
        <v>31</v>
      </c>
      <c r="E3739" s="2"/>
      <c r="F3739" s="2"/>
    </row>
    <row r="3740">
      <c r="A3740" s="2">
        <f>IFERROR(__xludf.DUMMYFUNCTION("""COMPUTED_VALUE"""),82393.0)</f>
        <v>82393</v>
      </c>
      <c r="B3740" s="2">
        <f>IFERROR(__xludf.DUMMYFUNCTION("""COMPUTED_VALUE"""),1.0)</f>
        <v>1</v>
      </c>
      <c r="C3740" s="2">
        <f>IFERROR(__xludf.DUMMYFUNCTION("""COMPUTED_VALUE"""),986.0)</f>
        <v>986</v>
      </c>
      <c r="D3740" s="3">
        <f>IFERROR(__xludf.DUMMYFUNCTION("""COMPUTED_VALUE"""),971.0)</f>
        <v>971</v>
      </c>
      <c r="E3740" s="2"/>
      <c r="F3740" s="2"/>
    </row>
    <row r="3741">
      <c r="A3741" s="2">
        <f>IFERROR(__xludf.DUMMYFUNCTION("""COMPUTED_VALUE"""),5803.0)</f>
        <v>5803</v>
      </c>
      <c r="B3741" s="2">
        <f>IFERROR(__xludf.DUMMYFUNCTION("""COMPUTED_VALUE"""),0.0)</f>
        <v>0</v>
      </c>
      <c r="C3741" s="2">
        <f>IFERROR(__xludf.DUMMYFUNCTION("""COMPUTED_VALUE"""),37.0)</f>
        <v>37</v>
      </c>
      <c r="D3741" s="3">
        <f>IFERROR(__xludf.DUMMYFUNCTION("""COMPUTED_VALUE"""),37.0)</f>
        <v>37</v>
      </c>
      <c r="E3741" s="2"/>
      <c r="F3741" s="2"/>
    </row>
    <row r="3742">
      <c r="A3742" s="2">
        <f>IFERROR(__xludf.DUMMYFUNCTION("""COMPUTED_VALUE"""),121706.0)</f>
        <v>121706</v>
      </c>
      <c r="B3742" s="2">
        <f>IFERROR(__xludf.DUMMYFUNCTION("""COMPUTED_VALUE"""),1.0)</f>
        <v>1</v>
      </c>
      <c r="C3742" s="2">
        <f>IFERROR(__xludf.DUMMYFUNCTION("""COMPUTED_VALUE"""),295.0)</f>
        <v>295</v>
      </c>
      <c r="D3742" s="3">
        <f>IFERROR(__xludf.DUMMYFUNCTION("""COMPUTED_VALUE"""),162.0)</f>
        <v>162</v>
      </c>
      <c r="E3742" s="2"/>
      <c r="F3742" s="2"/>
    </row>
    <row r="3743">
      <c r="A3743" s="2">
        <f>IFERROR(__xludf.DUMMYFUNCTION("""COMPUTED_VALUE"""),68374.0)</f>
        <v>68374</v>
      </c>
      <c r="B3743" s="2">
        <f>IFERROR(__xludf.DUMMYFUNCTION("""COMPUTED_VALUE"""),0.0)</f>
        <v>0</v>
      </c>
      <c r="C3743" s="2">
        <f>IFERROR(__xludf.DUMMYFUNCTION("""COMPUTED_VALUE"""),74.0)</f>
        <v>74</v>
      </c>
      <c r="D3743" s="3">
        <f>IFERROR(__xludf.DUMMYFUNCTION("""COMPUTED_VALUE"""),56.0)</f>
        <v>56</v>
      </c>
      <c r="E3743" s="2"/>
      <c r="F3743" s="2"/>
    </row>
    <row r="3744">
      <c r="A3744" s="2">
        <f>IFERROR(__xludf.DUMMYFUNCTION("""COMPUTED_VALUE"""),90946.0)</f>
        <v>90946</v>
      </c>
      <c r="B3744" s="2">
        <f>IFERROR(__xludf.DUMMYFUNCTION("""COMPUTED_VALUE"""),0.0)</f>
        <v>0</v>
      </c>
      <c r="C3744" s="2">
        <f>IFERROR(__xludf.DUMMYFUNCTION("""COMPUTED_VALUE"""),764.0)</f>
        <v>764</v>
      </c>
      <c r="D3744" s="3">
        <f>IFERROR(__xludf.DUMMYFUNCTION("""COMPUTED_VALUE"""),464.0)</f>
        <v>464</v>
      </c>
      <c r="E3744" s="2"/>
      <c r="F3744" s="2"/>
    </row>
    <row r="3745">
      <c r="A3745" s="2">
        <f>IFERROR(__xludf.DUMMYFUNCTION("""COMPUTED_VALUE"""),69312.0)</f>
        <v>69312</v>
      </c>
      <c r="B3745" s="2">
        <f>IFERROR(__xludf.DUMMYFUNCTION("""COMPUTED_VALUE"""),1.0)</f>
        <v>1</v>
      </c>
      <c r="C3745" s="2">
        <f>IFERROR(__xludf.DUMMYFUNCTION("""COMPUTED_VALUE"""),78.0)</f>
        <v>78</v>
      </c>
      <c r="D3745" s="3">
        <f>IFERROR(__xludf.DUMMYFUNCTION("""COMPUTED_VALUE"""),64.0)</f>
        <v>64</v>
      </c>
      <c r="E3745" s="2"/>
      <c r="F3745" s="2"/>
    </row>
    <row r="3746">
      <c r="A3746" s="2">
        <f>IFERROR(__xludf.DUMMYFUNCTION("""COMPUTED_VALUE"""),87128.0)</f>
        <v>87128</v>
      </c>
      <c r="B3746" s="2">
        <f>IFERROR(__xludf.DUMMYFUNCTION("""COMPUTED_VALUE"""),0.0)</f>
        <v>0</v>
      </c>
      <c r="C3746" s="2">
        <f>IFERROR(__xludf.DUMMYFUNCTION("""COMPUTED_VALUE"""),594.0)</f>
        <v>594</v>
      </c>
      <c r="D3746" s="3">
        <f>IFERROR(__xludf.DUMMYFUNCTION("""COMPUTED_VALUE"""),339.0)</f>
        <v>339</v>
      </c>
      <c r="E3746" s="2"/>
      <c r="F3746" s="2"/>
    </row>
    <row r="3747">
      <c r="A3747" s="2">
        <f>IFERROR(__xludf.DUMMYFUNCTION("""COMPUTED_VALUE"""),149506.0)</f>
        <v>149506</v>
      </c>
      <c r="B3747" s="2">
        <f>IFERROR(__xludf.DUMMYFUNCTION("""COMPUTED_VALUE"""),0.0)</f>
        <v>0</v>
      </c>
      <c r="C3747" s="2">
        <f>IFERROR(__xludf.DUMMYFUNCTION("""COMPUTED_VALUE"""),12.0)</f>
        <v>12</v>
      </c>
      <c r="D3747" s="3">
        <f>IFERROR(__xludf.DUMMYFUNCTION("""COMPUTED_VALUE"""),3.0)</f>
        <v>3</v>
      </c>
      <c r="E3747" s="2"/>
      <c r="F3747" s="2"/>
    </row>
    <row r="3748">
      <c r="A3748" s="2">
        <f>IFERROR(__xludf.DUMMYFUNCTION("""COMPUTED_VALUE"""),5722.0)</f>
        <v>5722</v>
      </c>
      <c r="B3748" s="2">
        <f>IFERROR(__xludf.DUMMYFUNCTION("""COMPUTED_VALUE"""),0.0)</f>
        <v>0</v>
      </c>
      <c r="C3748" s="2">
        <f>IFERROR(__xludf.DUMMYFUNCTION("""COMPUTED_VALUE"""),202.0)</f>
        <v>202</v>
      </c>
      <c r="D3748" s="3">
        <f>IFERROR(__xludf.DUMMYFUNCTION("""COMPUTED_VALUE"""),154.0)</f>
        <v>154</v>
      </c>
      <c r="E3748" s="2"/>
      <c r="F3748" s="2"/>
    </row>
    <row r="3749">
      <c r="A3749" s="2">
        <f>IFERROR(__xludf.DUMMYFUNCTION("""COMPUTED_VALUE"""),5697.0)</f>
        <v>5697</v>
      </c>
      <c r="B3749" s="2">
        <f>IFERROR(__xludf.DUMMYFUNCTION("""COMPUTED_VALUE"""),0.0)</f>
        <v>0</v>
      </c>
      <c r="C3749" s="2">
        <f>IFERROR(__xludf.DUMMYFUNCTION("""COMPUTED_VALUE"""),960.0)</f>
        <v>960</v>
      </c>
      <c r="D3749" s="3">
        <f>IFERROR(__xludf.DUMMYFUNCTION("""COMPUTED_VALUE"""),647.0)</f>
        <v>647</v>
      </c>
      <c r="E3749" s="2"/>
      <c r="F3749" s="2"/>
    </row>
    <row r="3750">
      <c r="A3750" s="2">
        <f>IFERROR(__xludf.DUMMYFUNCTION("""COMPUTED_VALUE"""),29117.0)</f>
        <v>29117</v>
      </c>
      <c r="B3750" s="2">
        <f>IFERROR(__xludf.DUMMYFUNCTION("""COMPUTED_VALUE"""),1.0)</f>
        <v>1</v>
      </c>
      <c r="C3750" s="2">
        <f>IFERROR(__xludf.DUMMYFUNCTION("""COMPUTED_VALUE"""),790.0)</f>
        <v>790</v>
      </c>
      <c r="D3750" s="3">
        <f>IFERROR(__xludf.DUMMYFUNCTION("""COMPUTED_VALUE"""),159.0)</f>
        <v>159</v>
      </c>
      <c r="E3750" s="2"/>
      <c r="F3750" s="2"/>
    </row>
    <row r="3751">
      <c r="A3751" s="2">
        <f>IFERROR(__xludf.DUMMYFUNCTION("""COMPUTED_VALUE"""),68305.0)</f>
        <v>68305</v>
      </c>
      <c r="B3751" s="2">
        <f>IFERROR(__xludf.DUMMYFUNCTION("""COMPUTED_VALUE"""),1.0)</f>
        <v>1</v>
      </c>
      <c r="C3751" s="2">
        <f>IFERROR(__xludf.DUMMYFUNCTION("""COMPUTED_VALUE"""),345.0)</f>
        <v>345</v>
      </c>
      <c r="D3751" s="3">
        <f>IFERROR(__xludf.DUMMYFUNCTION("""COMPUTED_VALUE"""),313.0)</f>
        <v>313</v>
      </c>
      <c r="E3751" s="2"/>
      <c r="F3751" s="2"/>
    </row>
    <row r="3752">
      <c r="A3752" s="2">
        <f>IFERROR(__xludf.DUMMYFUNCTION("""COMPUTED_VALUE"""),5714.0)</f>
        <v>5714</v>
      </c>
      <c r="B3752" s="2">
        <f>IFERROR(__xludf.DUMMYFUNCTION("""COMPUTED_VALUE"""),1.0)</f>
        <v>1</v>
      </c>
      <c r="C3752" s="2">
        <f>IFERROR(__xludf.DUMMYFUNCTION("""COMPUTED_VALUE"""),809.0)</f>
        <v>809</v>
      </c>
      <c r="D3752" s="3">
        <f>IFERROR(__xludf.DUMMYFUNCTION("""COMPUTED_VALUE"""),260.0)</f>
        <v>260</v>
      </c>
      <c r="E3752" s="2"/>
      <c r="F3752" s="2"/>
    </row>
    <row r="3753">
      <c r="A3753" s="2">
        <f>IFERROR(__xludf.DUMMYFUNCTION("""COMPUTED_VALUE"""),73951.0)</f>
        <v>73951</v>
      </c>
      <c r="B3753" s="2">
        <f>IFERROR(__xludf.DUMMYFUNCTION("""COMPUTED_VALUE"""),1.0)</f>
        <v>1</v>
      </c>
      <c r="C3753" s="2">
        <f>IFERROR(__xludf.DUMMYFUNCTION("""COMPUTED_VALUE"""),253.0)</f>
        <v>253</v>
      </c>
      <c r="D3753" s="3">
        <f>IFERROR(__xludf.DUMMYFUNCTION("""COMPUTED_VALUE"""),60.0)</f>
        <v>60</v>
      </c>
      <c r="E3753" s="2"/>
      <c r="F3753" s="2"/>
    </row>
    <row r="3754">
      <c r="A3754" s="2">
        <f>IFERROR(__xludf.DUMMYFUNCTION("""COMPUTED_VALUE"""),68337.0)</f>
        <v>68337</v>
      </c>
      <c r="B3754" s="2">
        <f>IFERROR(__xludf.DUMMYFUNCTION("""COMPUTED_VALUE"""),0.0)</f>
        <v>0</v>
      </c>
      <c r="C3754" s="2">
        <f>IFERROR(__xludf.DUMMYFUNCTION("""COMPUTED_VALUE"""),950.0)</f>
        <v>950</v>
      </c>
      <c r="D3754" s="3">
        <f>IFERROR(__xludf.DUMMYFUNCTION("""COMPUTED_VALUE"""),112.0)</f>
        <v>112</v>
      </c>
      <c r="E3754" s="2"/>
      <c r="F3754" s="2"/>
    </row>
    <row r="3755">
      <c r="A3755" s="2">
        <f>IFERROR(__xludf.DUMMYFUNCTION("""COMPUTED_VALUE"""),76338.0)</f>
        <v>76338</v>
      </c>
      <c r="B3755" s="2">
        <f>IFERROR(__xludf.DUMMYFUNCTION("""COMPUTED_VALUE"""),0.0)</f>
        <v>0</v>
      </c>
      <c r="C3755" s="2">
        <f>IFERROR(__xludf.DUMMYFUNCTION("""COMPUTED_VALUE"""),910.0)</f>
        <v>910</v>
      </c>
      <c r="D3755" s="3">
        <f>IFERROR(__xludf.DUMMYFUNCTION("""COMPUTED_VALUE"""),615.0)</f>
        <v>615</v>
      </c>
      <c r="E3755" s="2"/>
      <c r="F3755" s="2"/>
    </row>
    <row r="3756">
      <c r="A3756" s="2">
        <f>IFERROR(__xludf.DUMMYFUNCTION("""COMPUTED_VALUE"""),202592.0)</f>
        <v>202592</v>
      </c>
      <c r="B3756" s="2">
        <f>IFERROR(__xludf.DUMMYFUNCTION("""COMPUTED_VALUE"""),1.0)</f>
        <v>1</v>
      </c>
      <c r="C3756" s="2">
        <f>IFERROR(__xludf.DUMMYFUNCTION("""COMPUTED_VALUE"""),267.0)</f>
        <v>267</v>
      </c>
      <c r="D3756" s="3">
        <f>IFERROR(__xludf.DUMMYFUNCTION("""COMPUTED_VALUE"""),51.0)</f>
        <v>51</v>
      </c>
      <c r="E3756" s="2"/>
      <c r="F3756" s="2"/>
    </row>
    <row r="3757">
      <c r="A3757" s="2">
        <f>IFERROR(__xludf.DUMMYFUNCTION("""COMPUTED_VALUE"""),69578.0)</f>
        <v>69578</v>
      </c>
      <c r="B3757" s="2">
        <f>IFERROR(__xludf.DUMMYFUNCTION("""COMPUTED_VALUE"""),0.0)</f>
        <v>0</v>
      </c>
      <c r="C3757" s="2">
        <f>IFERROR(__xludf.DUMMYFUNCTION("""COMPUTED_VALUE"""),503.0)</f>
        <v>503</v>
      </c>
      <c r="D3757" s="3">
        <f>IFERROR(__xludf.DUMMYFUNCTION("""COMPUTED_VALUE"""),478.0)</f>
        <v>478</v>
      </c>
      <c r="E3757" s="2"/>
      <c r="F3757" s="2"/>
    </row>
    <row r="3758">
      <c r="A3758" s="2">
        <f>IFERROR(__xludf.DUMMYFUNCTION("""COMPUTED_VALUE"""),76383.0)</f>
        <v>76383</v>
      </c>
      <c r="B3758" s="2">
        <f>IFERROR(__xludf.DUMMYFUNCTION("""COMPUTED_VALUE"""),0.0)</f>
        <v>0</v>
      </c>
      <c r="C3758" s="2">
        <f>IFERROR(__xludf.DUMMYFUNCTION("""COMPUTED_VALUE"""),801.0)</f>
        <v>801</v>
      </c>
      <c r="D3758" s="3">
        <f>IFERROR(__xludf.DUMMYFUNCTION("""COMPUTED_VALUE"""),26.0)</f>
        <v>26</v>
      </c>
      <c r="E3758" s="2"/>
      <c r="F3758" s="2"/>
    </row>
    <row r="3759">
      <c r="A3759" s="2">
        <f>IFERROR(__xludf.DUMMYFUNCTION("""COMPUTED_VALUE"""),5696.0)</f>
        <v>5696</v>
      </c>
      <c r="B3759" s="2">
        <f>IFERROR(__xludf.DUMMYFUNCTION("""COMPUTED_VALUE"""),0.0)</f>
        <v>0</v>
      </c>
      <c r="C3759" s="2">
        <f>IFERROR(__xludf.DUMMYFUNCTION("""COMPUTED_VALUE"""),31.0)</f>
        <v>31</v>
      </c>
      <c r="D3759" s="3">
        <f>IFERROR(__xludf.DUMMYFUNCTION("""COMPUTED_VALUE"""),16.0)</f>
        <v>16</v>
      </c>
      <c r="E3759" s="2"/>
      <c r="F3759" s="2"/>
    </row>
    <row r="3760">
      <c r="A3760" s="2">
        <f>IFERROR(__xludf.DUMMYFUNCTION("""COMPUTED_VALUE"""),90929.0)</f>
        <v>90929</v>
      </c>
      <c r="B3760" s="2">
        <f>IFERROR(__xludf.DUMMYFUNCTION("""COMPUTED_VALUE"""),0.0)</f>
        <v>0</v>
      </c>
      <c r="C3760" s="2">
        <f>IFERROR(__xludf.DUMMYFUNCTION("""COMPUTED_VALUE"""),243.0)</f>
        <v>243</v>
      </c>
      <c r="D3760" s="3">
        <f>IFERROR(__xludf.DUMMYFUNCTION("""COMPUTED_VALUE"""),219.0)</f>
        <v>219</v>
      </c>
      <c r="E3760" s="2"/>
      <c r="F3760" s="2"/>
    </row>
    <row r="3761">
      <c r="A3761" s="2">
        <f>IFERROR(__xludf.DUMMYFUNCTION("""COMPUTED_VALUE"""),90926.0)</f>
        <v>90926</v>
      </c>
      <c r="B3761" s="2">
        <f>IFERROR(__xludf.DUMMYFUNCTION("""COMPUTED_VALUE"""),1.0)</f>
        <v>1</v>
      </c>
      <c r="C3761" s="2">
        <f>IFERROR(__xludf.DUMMYFUNCTION("""COMPUTED_VALUE"""),440.0)</f>
        <v>440</v>
      </c>
      <c r="D3761" s="3">
        <f>IFERROR(__xludf.DUMMYFUNCTION("""COMPUTED_VALUE"""),21.0)</f>
        <v>21</v>
      </c>
      <c r="E3761" s="2"/>
      <c r="F3761" s="2"/>
    </row>
    <row r="3762">
      <c r="A3762" s="2">
        <f>IFERROR(__xludf.DUMMYFUNCTION("""COMPUTED_VALUE"""),76364.0)</f>
        <v>76364</v>
      </c>
      <c r="B3762" s="2">
        <f>IFERROR(__xludf.DUMMYFUNCTION("""COMPUTED_VALUE"""),1.0)</f>
        <v>1</v>
      </c>
      <c r="C3762" s="2">
        <f>IFERROR(__xludf.DUMMYFUNCTION("""COMPUTED_VALUE"""),199.0)</f>
        <v>199</v>
      </c>
      <c r="D3762" s="3">
        <f>IFERROR(__xludf.DUMMYFUNCTION("""COMPUTED_VALUE"""),171.0)</f>
        <v>171</v>
      </c>
      <c r="E3762" s="2"/>
      <c r="F3762" s="2"/>
    </row>
    <row r="3763">
      <c r="A3763" s="2">
        <f>IFERROR(__xludf.DUMMYFUNCTION("""COMPUTED_VALUE"""),79152.0)</f>
        <v>79152</v>
      </c>
      <c r="B3763" s="2">
        <f>IFERROR(__xludf.DUMMYFUNCTION("""COMPUTED_VALUE"""),0.0)</f>
        <v>0</v>
      </c>
      <c r="C3763" s="2">
        <f>IFERROR(__xludf.DUMMYFUNCTION("""COMPUTED_VALUE"""),414.0)</f>
        <v>414</v>
      </c>
      <c r="D3763" s="3">
        <f>IFERROR(__xludf.DUMMYFUNCTION("""COMPUTED_VALUE"""),205.0)</f>
        <v>205</v>
      </c>
      <c r="E3763" s="2"/>
      <c r="F3763" s="2"/>
    </row>
    <row r="3764">
      <c r="A3764" s="2">
        <f>IFERROR(__xludf.DUMMYFUNCTION("""COMPUTED_VALUE"""),30874.0)</f>
        <v>30874</v>
      </c>
      <c r="B3764" s="2">
        <f>IFERROR(__xludf.DUMMYFUNCTION("""COMPUTED_VALUE"""),0.0)</f>
        <v>0</v>
      </c>
      <c r="C3764" s="2">
        <f>IFERROR(__xludf.DUMMYFUNCTION("""COMPUTED_VALUE"""),95.0)</f>
        <v>95</v>
      </c>
      <c r="D3764" s="3">
        <f>IFERROR(__xludf.DUMMYFUNCTION("""COMPUTED_VALUE"""),19.0)</f>
        <v>19</v>
      </c>
      <c r="E3764" s="2"/>
      <c r="F3764" s="2"/>
    </row>
    <row r="3765">
      <c r="A3765" s="2">
        <f>IFERROR(__xludf.DUMMYFUNCTION("""COMPUTED_VALUE"""),5718.0)</f>
        <v>5718</v>
      </c>
      <c r="B3765" s="2">
        <f>IFERROR(__xludf.DUMMYFUNCTION("""COMPUTED_VALUE"""),1.0)</f>
        <v>1</v>
      </c>
      <c r="C3765" s="2">
        <f>IFERROR(__xludf.DUMMYFUNCTION("""COMPUTED_VALUE"""),383.0)</f>
        <v>383</v>
      </c>
      <c r="D3765" s="3">
        <f>IFERROR(__xludf.DUMMYFUNCTION("""COMPUTED_VALUE"""),220.0)</f>
        <v>220</v>
      </c>
      <c r="E3765" s="2"/>
      <c r="F3765" s="2"/>
    </row>
    <row r="3766">
      <c r="A3766" s="2">
        <f>IFERROR(__xludf.DUMMYFUNCTION("""COMPUTED_VALUE"""),126542.0)</f>
        <v>126542</v>
      </c>
      <c r="B3766" s="2">
        <f>IFERROR(__xludf.DUMMYFUNCTION("""COMPUTED_VALUE"""),1.0)</f>
        <v>1</v>
      </c>
      <c r="C3766" s="2">
        <f>IFERROR(__xludf.DUMMYFUNCTION("""COMPUTED_VALUE"""),326.0)</f>
        <v>326</v>
      </c>
      <c r="D3766" s="3">
        <f>IFERROR(__xludf.DUMMYFUNCTION("""COMPUTED_VALUE"""),179.0)</f>
        <v>179</v>
      </c>
      <c r="E3766" s="2"/>
      <c r="F3766" s="2"/>
    </row>
    <row r="3767">
      <c r="A3767" s="2">
        <f>IFERROR(__xludf.DUMMYFUNCTION("""COMPUTED_VALUE"""),90852.0)</f>
        <v>90852</v>
      </c>
      <c r="B3767" s="2">
        <f>IFERROR(__xludf.DUMMYFUNCTION("""COMPUTED_VALUE"""),1.0)</f>
        <v>1</v>
      </c>
      <c r="C3767" s="2">
        <f>IFERROR(__xludf.DUMMYFUNCTION("""COMPUTED_VALUE"""),196.0)</f>
        <v>196</v>
      </c>
      <c r="D3767" s="3">
        <f>IFERROR(__xludf.DUMMYFUNCTION("""COMPUTED_VALUE"""),153.0)</f>
        <v>153</v>
      </c>
      <c r="E3767" s="2"/>
      <c r="F3767" s="2"/>
    </row>
    <row r="3768">
      <c r="A3768" s="2">
        <f>IFERROR(__xludf.DUMMYFUNCTION("""COMPUTED_VALUE"""),122139.0)</f>
        <v>122139</v>
      </c>
      <c r="B3768" s="2">
        <f>IFERROR(__xludf.DUMMYFUNCTION("""COMPUTED_VALUE"""),0.0)</f>
        <v>0</v>
      </c>
      <c r="C3768" s="2">
        <f>IFERROR(__xludf.DUMMYFUNCTION("""COMPUTED_VALUE"""),522.0)</f>
        <v>522</v>
      </c>
      <c r="D3768" s="3">
        <f>IFERROR(__xludf.DUMMYFUNCTION("""COMPUTED_VALUE"""),74.0)</f>
        <v>74</v>
      </c>
      <c r="E3768" s="2"/>
      <c r="F3768" s="2"/>
    </row>
    <row r="3769">
      <c r="A3769" s="2">
        <f>IFERROR(__xludf.DUMMYFUNCTION("""COMPUTED_VALUE"""),126975.0)</f>
        <v>126975</v>
      </c>
      <c r="B3769" s="2">
        <f>IFERROR(__xludf.DUMMYFUNCTION("""COMPUTED_VALUE"""),1.0)</f>
        <v>1</v>
      </c>
      <c r="C3769" s="2">
        <f>IFERROR(__xludf.DUMMYFUNCTION("""COMPUTED_VALUE"""),401.0)</f>
        <v>401</v>
      </c>
      <c r="D3769" s="3">
        <f>IFERROR(__xludf.DUMMYFUNCTION("""COMPUTED_VALUE"""),159.0)</f>
        <v>159</v>
      </c>
      <c r="E3769" s="2"/>
      <c r="F3769" s="2"/>
    </row>
    <row r="3770">
      <c r="A3770" s="2">
        <f>IFERROR(__xludf.DUMMYFUNCTION("""COMPUTED_VALUE"""),202593.0)</f>
        <v>202593</v>
      </c>
      <c r="B3770" s="2">
        <f>IFERROR(__xludf.DUMMYFUNCTION("""COMPUTED_VALUE"""),1.0)</f>
        <v>1</v>
      </c>
      <c r="C3770" s="2">
        <f>IFERROR(__xludf.DUMMYFUNCTION("""COMPUTED_VALUE"""),337.0)</f>
        <v>337</v>
      </c>
      <c r="D3770" s="3">
        <f>IFERROR(__xludf.DUMMYFUNCTION("""COMPUTED_VALUE"""),321.0)</f>
        <v>321</v>
      </c>
      <c r="E3770" s="2"/>
      <c r="F3770" s="2"/>
    </row>
    <row r="3771">
      <c r="A3771" s="2">
        <f>IFERROR(__xludf.DUMMYFUNCTION("""COMPUTED_VALUE"""),73940.0)</f>
        <v>73940</v>
      </c>
      <c r="B3771" s="2">
        <f>IFERROR(__xludf.DUMMYFUNCTION("""COMPUTED_VALUE"""),0.0)</f>
        <v>0</v>
      </c>
      <c r="C3771" s="2">
        <f>IFERROR(__xludf.DUMMYFUNCTION("""COMPUTED_VALUE"""),930.0)</f>
        <v>930</v>
      </c>
      <c r="D3771" s="3">
        <f>IFERROR(__xludf.DUMMYFUNCTION("""COMPUTED_VALUE"""),900.0)</f>
        <v>900</v>
      </c>
      <c r="E3771" s="2"/>
      <c r="F3771" s="2"/>
    </row>
    <row r="3772">
      <c r="A3772" s="2">
        <f>IFERROR(__xludf.DUMMYFUNCTION("""COMPUTED_VALUE"""),76360.0)</f>
        <v>76360</v>
      </c>
      <c r="B3772" s="2">
        <f>IFERROR(__xludf.DUMMYFUNCTION("""COMPUTED_VALUE"""),0.0)</f>
        <v>0</v>
      </c>
      <c r="C3772" s="2">
        <f>IFERROR(__xludf.DUMMYFUNCTION("""COMPUTED_VALUE"""),274.0)</f>
        <v>274</v>
      </c>
      <c r="D3772" s="3">
        <f>IFERROR(__xludf.DUMMYFUNCTION("""COMPUTED_VALUE"""),206.0)</f>
        <v>206</v>
      </c>
      <c r="E3772" s="2"/>
      <c r="F3772" s="2"/>
    </row>
    <row r="3773">
      <c r="A3773" s="2">
        <f>IFERROR(__xludf.DUMMYFUNCTION("""COMPUTED_VALUE"""),118876.0)</f>
        <v>118876</v>
      </c>
      <c r="B3773" s="2">
        <f>IFERROR(__xludf.DUMMYFUNCTION("""COMPUTED_VALUE"""),1.0)</f>
        <v>1</v>
      </c>
      <c r="C3773" s="2">
        <f>IFERROR(__xludf.DUMMYFUNCTION("""COMPUTED_VALUE"""),690.0)</f>
        <v>690</v>
      </c>
      <c r="D3773" s="3">
        <f>IFERROR(__xludf.DUMMYFUNCTION("""COMPUTED_VALUE"""),688.0)</f>
        <v>688</v>
      </c>
      <c r="E3773" s="2"/>
      <c r="F3773" s="2"/>
    </row>
    <row r="3774">
      <c r="A3774" s="2">
        <f>IFERROR(__xludf.DUMMYFUNCTION("""COMPUTED_VALUE"""),76366.0)</f>
        <v>76366</v>
      </c>
      <c r="B3774" s="2">
        <f>IFERROR(__xludf.DUMMYFUNCTION("""COMPUTED_VALUE"""),1.0)</f>
        <v>1</v>
      </c>
      <c r="C3774" s="2">
        <f>IFERROR(__xludf.DUMMYFUNCTION("""COMPUTED_VALUE"""),570.0)</f>
        <v>570</v>
      </c>
      <c r="D3774" s="3">
        <f>IFERROR(__xludf.DUMMYFUNCTION("""COMPUTED_VALUE"""),558.0)</f>
        <v>558</v>
      </c>
      <c r="E3774" s="2"/>
      <c r="F3774" s="2"/>
    </row>
    <row r="3775">
      <c r="A3775" s="2">
        <f>IFERROR(__xludf.DUMMYFUNCTION("""COMPUTED_VALUE"""),122645.0)</f>
        <v>122645</v>
      </c>
      <c r="B3775" s="2">
        <f>IFERROR(__xludf.DUMMYFUNCTION("""COMPUTED_VALUE"""),0.0)</f>
        <v>0</v>
      </c>
      <c r="C3775" s="2">
        <f>IFERROR(__xludf.DUMMYFUNCTION("""COMPUTED_VALUE"""),696.0)</f>
        <v>696</v>
      </c>
      <c r="D3775" s="3">
        <f>IFERROR(__xludf.DUMMYFUNCTION("""COMPUTED_VALUE"""),33.0)</f>
        <v>33</v>
      </c>
      <c r="E3775" s="2"/>
      <c r="F3775" s="2"/>
    </row>
    <row r="3776">
      <c r="A3776" s="2">
        <f>IFERROR(__xludf.DUMMYFUNCTION("""COMPUTED_VALUE"""),76372.0)</f>
        <v>76372</v>
      </c>
      <c r="B3776" s="2">
        <f>IFERROR(__xludf.DUMMYFUNCTION("""COMPUTED_VALUE"""),1.0)</f>
        <v>1</v>
      </c>
      <c r="C3776" s="2">
        <f>IFERROR(__xludf.DUMMYFUNCTION("""COMPUTED_VALUE"""),685.0)</f>
        <v>685</v>
      </c>
      <c r="D3776" s="3">
        <f>IFERROR(__xludf.DUMMYFUNCTION("""COMPUTED_VALUE"""),476.0)</f>
        <v>476</v>
      </c>
      <c r="E3776" s="2"/>
      <c r="F3776" s="2"/>
    </row>
    <row r="3777">
      <c r="A3777" s="2">
        <f>IFERROR(__xludf.DUMMYFUNCTION("""COMPUTED_VALUE"""),5720.0)</f>
        <v>5720</v>
      </c>
      <c r="B3777" s="2">
        <f>IFERROR(__xludf.DUMMYFUNCTION("""COMPUTED_VALUE"""),0.0)</f>
        <v>0</v>
      </c>
      <c r="C3777" s="2">
        <f>IFERROR(__xludf.DUMMYFUNCTION("""COMPUTED_VALUE"""),809.0)</f>
        <v>809</v>
      </c>
      <c r="D3777" s="3">
        <f>IFERROR(__xludf.DUMMYFUNCTION("""COMPUTED_VALUE"""),80.0)</f>
        <v>80</v>
      </c>
      <c r="E3777" s="2"/>
      <c r="F3777" s="2"/>
    </row>
    <row r="3778">
      <c r="A3778" s="2">
        <f>IFERROR(__xludf.DUMMYFUNCTION("""COMPUTED_VALUE"""),5695.0)</f>
        <v>5695</v>
      </c>
      <c r="B3778" s="2">
        <f>IFERROR(__xludf.DUMMYFUNCTION("""COMPUTED_VALUE"""),0.0)</f>
        <v>0</v>
      </c>
      <c r="C3778" s="2">
        <f>IFERROR(__xludf.DUMMYFUNCTION("""COMPUTED_VALUE"""),328.0)</f>
        <v>328</v>
      </c>
      <c r="D3778" s="3">
        <f>IFERROR(__xludf.DUMMYFUNCTION("""COMPUTED_VALUE"""),49.0)</f>
        <v>49</v>
      </c>
      <c r="E3778" s="2"/>
      <c r="F3778" s="2"/>
    </row>
    <row r="3779">
      <c r="A3779" s="2">
        <f>IFERROR(__xludf.DUMMYFUNCTION("""COMPUTED_VALUE"""),90931.0)</f>
        <v>90931</v>
      </c>
      <c r="B3779" s="2">
        <f>IFERROR(__xludf.DUMMYFUNCTION("""COMPUTED_VALUE"""),0.0)</f>
        <v>0</v>
      </c>
      <c r="C3779" s="2">
        <f>IFERROR(__xludf.DUMMYFUNCTION("""COMPUTED_VALUE"""),118.0)</f>
        <v>118</v>
      </c>
      <c r="D3779" s="3">
        <f>IFERROR(__xludf.DUMMYFUNCTION("""COMPUTED_VALUE"""),92.0)</f>
        <v>92</v>
      </c>
      <c r="E3779" s="2"/>
      <c r="F3779" s="2"/>
    </row>
    <row r="3780">
      <c r="A3780" s="2">
        <f>IFERROR(__xludf.DUMMYFUNCTION("""COMPUTED_VALUE"""),110085.0)</f>
        <v>110085</v>
      </c>
      <c r="B3780" s="2">
        <f>IFERROR(__xludf.DUMMYFUNCTION("""COMPUTED_VALUE"""),1.0)</f>
        <v>1</v>
      </c>
      <c r="C3780" s="2">
        <f>IFERROR(__xludf.DUMMYFUNCTION("""COMPUTED_VALUE"""),560.0)</f>
        <v>560</v>
      </c>
      <c r="D3780" s="3">
        <f>IFERROR(__xludf.DUMMYFUNCTION("""COMPUTED_VALUE"""),70.0)</f>
        <v>70</v>
      </c>
      <c r="E3780" s="2"/>
      <c r="F3780" s="2"/>
    </row>
    <row r="3781">
      <c r="A3781" s="2">
        <f>IFERROR(__xludf.DUMMYFUNCTION("""COMPUTED_VALUE"""),113096.0)</f>
        <v>113096</v>
      </c>
      <c r="B3781" s="2">
        <f>IFERROR(__xludf.DUMMYFUNCTION("""COMPUTED_VALUE"""),0.0)</f>
        <v>0</v>
      </c>
      <c r="C3781" s="2">
        <f>IFERROR(__xludf.DUMMYFUNCTION("""COMPUTED_VALUE"""),72.0)</f>
        <v>72</v>
      </c>
      <c r="D3781" s="3">
        <f>IFERROR(__xludf.DUMMYFUNCTION("""COMPUTED_VALUE"""),44.0)</f>
        <v>44</v>
      </c>
      <c r="E3781" s="2"/>
      <c r="F3781" s="2"/>
    </row>
    <row r="3782">
      <c r="A3782" s="2">
        <f>IFERROR(__xludf.DUMMYFUNCTION("""COMPUTED_VALUE"""),90878.0)</f>
        <v>90878</v>
      </c>
      <c r="B3782" s="2">
        <f>IFERROR(__xludf.DUMMYFUNCTION("""COMPUTED_VALUE"""),1.0)</f>
        <v>1</v>
      </c>
      <c r="C3782" s="2">
        <f>IFERROR(__xludf.DUMMYFUNCTION("""COMPUTED_VALUE"""),455.0)</f>
        <v>455</v>
      </c>
      <c r="D3782" s="3">
        <f>IFERROR(__xludf.DUMMYFUNCTION("""COMPUTED_VALUE"""),381.0)</f>
        <v>381</v>
      </c>
      <c r="E3782" s="2"/>
      <c r="F3782" s="2"/>
    </row>
    <row r="3783">
      <c r="A3783" s="2">
        <f>IFERROR(__xludf.DUMMYFUNCTION("""COMPUTED_VALUE"""),73938.0)</f>
        <v>73938</v>
      </c>
      <c r="B3783" s="2">
        <f>IFERROR(__xludf.DUMMYFUNCTION("""COMPUTED_VALUE"""),1.0)</f>
        <v>1</v>
      </c>
      <c r="C3783" s="2">
        <f>IFERROR(__xludf.DUMMYFUNCTION("""COMPUTED_VALUE"""),754.0)</f>
        <v>754</v>
      </c>
      <c r="D3783" s="3">
        <f>IFERROR(__xludf.DUMMYFUNCTION("""COMPUTED_VALUE"""),312.0)</f>
        <v>312</v>
      </c>
      <c r="E3783" s="2"/>
      <c r="F3783" s="2"/>
    </row>
    <row r="3784">
      <c r="A3784" s="2">
        <f>IFERROR(__xludf.DUMMYFUNCTION("""COMPUTED_VALUE"""),5698.0)</f>
        <v>5698</v>
      </c>
      <c r="B3784" s="2">
        <f>IFERROR(__xludf.DUMMYFUNCTION("""COMPUTED_VALUE"""),0.0)</f>
        <v>0</v>
      </c>
      <c r="C3784" s="2">
        <f>IFERROR(__xludf.DUMMYFUNCTION("""COMPUTED_VALUE"""),873.0)</f>
        <v>873</v>
      </c>
      <c r="D3784" s="3">
        <f>IFERROR(__xludf.DUMMYFUNCTION("""COMPUTED_VALUE"""),483.0)</f>
        <v>483</v>
      </c>
      <c r="E3784" s="2"/>
      <c r="F3784" s="2"/>
    </row>
    <row r="3785">
      <c r="A3785" s="2">
        <f>IFERROR(__xludf.DUMMYFUNCTION("""COMPUTED_VALUE"""),76373.0)</f>
        <v>76373</v>
      </c>
      <c r="B3785" s="2">
        <f>IFERROR(__xludf.DUMMYFUNCTION("""COMPUTED_VALUE"""),1.0)</f>
        <v>1</v>
      </c>
      <c r="C3785" s="2">
        <f>IFERROR(__xludf.DUMMYFUNCTION("""COMPUTED_VALUE"""),115.0)</f>
        <v>115</v>
      </c>
      <c r="D3785" s="3">
        <f>IFERROR(__xludf.DUMMYFUNCTION("""COMPUTED_VALUE"""),75.0)</f>
        <v>75</v>
      </c>
      <c r="E3785" s="2"/>
      <c r="F3785" s="2"/>
    </row>
    <row r="3786">
      <c r="A3786" s="2">
        <f>IFERROR(__xludf.DUMMYFUNCTION("""COMPUTED_VALUE"""),73945.0)</f>
        <v>73945</v>
      </c>
      <c r="B3786" s="2">
        <f>IFERROR(__xludf.DUMMYFUNCTION("""COMPUTED_VALUE"""),0.0)</f>
        <v>0</v>
      </c>
      <c r="C3786" s="2">
        <f>IFERROR(__xludf.DUMMYFUNCTION("""COMPUTED_VALUE"""),529.0)</f>
        <v>529</v>
      </c>
      <c r="D3786" s="3">
        <f>IFERROR(__xludf.DUMMYFUNCTION("""COMPUTED_VALUE"""),383.0)</f>
        <v>383</v>
      </c>
      <c r="E3786" s="2"/>
      <c r="F3786" s="2"/>
    </row>
    <row r="3787">
      <c r="A3787" s="2">
        <f>IFERROR(__xludf.DUMMYFUNCTION("""COMPUTED_VALUE"""),159200.0)</f>
        <v>159200</v>
      </c>
      <c r="B3787" s="2">
        <f>IFERROR(__xludf.DUMMYFUNCTION("""COMPUTED_VALUE"""),1.0)</f>
        <v>1</v>
      </c>
      <c r="C3787" s="2">
        <f>IFERROR(__xludf.DUMMYFUNCTION("""COMPUTED_VALUE"""),695.0)</f>
        <v>695</v>
      </c>
      <c r="D3787" s="3">
        <f>IFERROR(__xludf.DUMMYFUNCTION("""COMPUTED_VALUE"""),486.0)</f>
        <v>486</v>
      </c>
      <c r="E3787" s="2"/>
      <c r="F3787" s="2"/>
    </row>
    <row r="3788">
      <c r="A3788" s="2">
        <f>IFERROR(__xludf.DUMMYFUNCTION("""COMPUTED_VALUE"""),68354.0)</f>
        <v>68354</v>
      </c>
      <c r="B3788" s="2">
        <f>IFERROR(__xludf.DUMMYFUNCTION("""COMPUTED_VALUE"""),1.0)</f>
        <v>1</v>
      </c>
      <c r="C3788" s="2">
        <f>IFERROR(__xludf.DUMMYFUNCTION("""COMPUTED_VALUE"""),248.0)</f>
        <v>248</v>
      </c>
      <c r="D3788" s="3">
        <f>IFERROR(__xludf.DUMMYFUNCTION("""COMPUTED_VALUE"""),191.0)</f>
        <v>191</v>
      </c>
      <c r="E3788" s="2"/>
      <c r="F3788" s="2"/>
    </row>
    <row r="3789">
      <c r="A3789" s="2">
        <f>IFERROR(__xludf.DUMMYFUNCTION("""COMPUTED_VALUE"""),5712.0)</f>
        <v>5712</v>
      </c>
      <c r="B3789" s="2">
        <f>IFERROR(__xludf.DUMMYFUNCTION("""COMPUTED_VALUE"""),1.0)</f>
        <v>1</v>
      </c>
      <c r="C3789" s="2">
        <f>IFERROR(__xludf.DUMMYFUNCTION("""COMPUTED_VALUE"""),538.0)</f>
        <v>538</v>
      </c>
      <c r="D3789" s="3">
        <f>IFERROR(__xludf.DUMMYFUNCTION("""COMPUTED_VALUE"""),194.0)</f>
        <v>194</v>
      </c>
      <c r="E3789" s="2"/>
      <c r="F3789" s="2"/>
    </row>
    <row r="3790">
      <c r="A3790" s="2">
        <f>IFERROR(__xludf.DUMMYFUNCTION("""COMPUTED_VALUE"""),114471.0)</f>
        <v>114471</v>
      </c>
      <c r="B3790" s="2">
        <f>IFERROR(__xludf.DUMMYFUNCTION("""COMPUTED_VALUE"""),0.0)</f>
        <v>0</v>
      </c>
      <c r="C3790" s="2">
        <f>IFERROR(__xludf.DUMMYFUNCTION("""COMPUTED_VALUE"""),245.0)</f>
        <v>245</v>
      </c>
      <c r="D3790" s="3">
        <f>IFERROR(__xludf.DUMMYFUNCTION("""COMPUTED_VALUE"""),99.0)</f>
        <v>99</v>
      </c>
      <c r="E3790" s="2"/>
      <c r="F3790" s="2"/>
    </row>
    <row r="3791">
      <c r="A3791" s="2">
        <f>IFERROR(__xludf.DUMMYFUNCTION("""COMPUTED_VALUE"""),90934.0)</f>
        <v>90934</v>
      </c>
      <c r="B3791" s="2">
        <f>IFERROR(__xludf.DUMMYFUNCTION("""COMPUTED_VALUE"""),0.0)</f>
        <v>0</v>
      </c>
      <c r="C3791" s="2">
        <f>IFERROR(__xludf.DUMMYFUNCTION("""COMPUTED_VALUE"""),271.0)</f>
        <v>271</v>
      </c>
      <c r="D3791" s="3">
        <f>IFERROR(__xludf.DUMMYFUNCTION("""COMPUTED_VALUE"""),92.0)</f>
        <v>92</v>
      </c>
      <c r="E3791" s="2"/>
      <c r="F3791" s="2"/>
    </row>
    <row r="3792">
      <c r="A3792" s="2">
        <f>IFERROR(__xludf.DUMMYFUNCTION("""COMPUTED_VALUE"""),87851.0)</f>
        <v>87851</v>
      </c>
      <c r="B3792" s="2">
        <f>IFERROR(__xludf.DUMMYFUNCTION("""COMPUTED_VALUE"""),0.0)</f>
        <v>0</v>
      </c>
      <c r="C3792" s="2">
        <f>IFERROR(__xludf.DUMMYFUNCTION("""COMPUTED_VALUE"""),26.0)</f>
        <v>26</v>
      </c>
      <c r="D3792" s="3">
        <f>IFERROR(__xludf.DUMMYFUNCTION("""COMPUTED_VALUE"""),19.0)</f>
        <v>19</v>
      </c>
      <c r="E3792" s="2"/>
      <c r="F3792" s="2"/>
    </row>
    <row r="3793">
      <c r="A3793" s="2">
        <f>IFERROR(__xludf.DUMMYFUNCTION("""COMPUTED_VALUE"""),90891.0)</f>
        <v>90891</v>
      </c>
      <c r="B3793" s="2">
        <f>IFERROR(__xludf.DUMMYFUNCTION("""COMPUTED_VALUE"""),1.0)</f>
        <v>1</v>
      </c>
      <c r="C3793" s="2">
        <f>IFERROR(__xludf.DUMMYFUNCTION("""COMPUTED_VALUE"""),11.0)</f>
        <v>11</v>
      </c>
      <c r="D3793" s="3">
        <f>IFERROR(__xludf.DUMMYFUNCTION("""COMPUTED_VALUE"""),8.0)</f>
        <v>8</v>
      </c>
      <c r="E3793" s="2"/>
      <c r="F3793" s="2"/>
    </row>
    <row r="3794">
      <c r="A3794" s="2">
        <f>IFERROR(__xludf.DUMMYFUNCTION("""COMPUTED_VALUE"""),69579.0)</f>
        <v>69579</v>
      </c>
      <c r="B3794" s="2">
        <f>IFERROR(__xludf.DUMMYFUNCTION("""COMPUTED_VALUE"""),1.0)</f>
        <v>1</v>
      </c>
      <c r="C3794" s="2">
        <f>IFERROR(__xludf.DUMMYFUNCTION("""COMPUTED_VALUE"""),574.0)</f>
        <v>574</v>
      </c>
      <c r="D3794" s="3">
        <f>IFERROR(__xludf.DUMMYFUNCTION("""COMPUTED_VALUE"""),386.0)</f>
        <v>386</v>
      </c>
      <c r="E3794" s="2"/>
      <c r="F3794" s="2"/>
    </row>
    <row r="3795">
      <c r="A3795" s="2">
        <f>IFERROR(__xludf.DUMMYFUNCTION("""COMPUTED_VALUE"""),90924.0)</f>
        <v>90924</v>
      </c>
      <c r="B3795" s="2">
        <f>IFERROR(__xludf.DUMMYFUNCTION("""COMPUTED_VALUE"""),1.0)</f>
        <v>1</v>
      </c>
      <c r="C3795" s="2">
        <f>IFERROR(__xludf.DUMMYFUNCTION("""COMPUTED_VALUE"""),924.0)</f>
        <v>924</v>
      </c>
      <c r="D3795" s="3">
        <f>IFERROR(__xludf.DUMMYFUNCTION("""COMPUTED_VALUE"""),333.0)</f>
        <v>333</v>
      </c>
      <c r="E3795" s="2"/>
      <c r="F3795" s="2"/>
    </row>
    <row r="3796">
      <c r="A3796" s="2">
        <f>IFERROR(__xludf.DUMMYFUNCTION("""COMPUTED_VALUE"""),69311.0)</f>
        <v>69311</v>
      </c>
      <c r="B3796" s="2">
        <f>IFERROR(__xludf.DUMMYFUNCTION("""COMPUTED_VALUE"""),0.0)</f>
        <v>0</v>
      </c>
      <c r="C3796" s="2">
        <f>IFERROR(__xludf.DUMMYFUNCTION("""COMPUTED_VALUE"""),648.0)</f>
        <v>648</v>
      </c>
      <c r="D3796" s="3">
        <f>IFERROR(__xludf.DUMMYFUNCTION("""COMPUTED_VALUE"""),473.0)</f>
        <v>473</v>
      </c>
      <c r="E3796" s="2"/>
      <c r="F3796" s="2"/>
    </row>
    <row r="3797">
      <c r="A3797" s="2">
        <f>IFERROR(__xludf.DUMMYFUNCTION("""COMPUTED_VALUE"""),90923.0)</f>
        <v>90923</v>
      </c>
      <c r="B3797" s="2">
        <f>IFERROR(__xludf.DUMMYFUNCTION("""COMPUTED_VALUE"""),1.0)</f>
        <v>1</v>
      </c>
      <c r="C3797" s="2">
        <f>IFERROR(__xludf.DUMMYFUNCTION("""COMPUTED_VALUE"""),717.0)</f>
        <v>717</v>
      </c>
      <c r="D3797" s="3">
        <f>IFERROR(__xludf.DUMMYFUNCTION("""COMPUTED_VALUE"""),156.0)</f>
        <v>156</v>
      </c>
      <c r="E3797" s="2"/>
      <c r="F3797" s="2"/>
    </row>
    <row r="3798">
      <c r="A3798" s="2">
        <f>IFERROR(__xludf.DUMMYFUNCTION("""COMPUTED_VALUE"""),159197.0)</f>
        <v>159197</v>
      </c>
      <c r="B3798" s="2">
        <f>IFERROR(__xludf.DUMMYFUNCTION("""COMPUTED_VALUE"""),0.0)</f>
        <v>0</v>
      </c>
      <c r="C3798" s="2">
        <f>IFERROR(__xludf.DUMMYFUNCTION("""COMPUTED_VALUE"""),529.0)</f>
        <v>529</v>
      </c>
      <c r="D3798" s="3">
        <f>IFERROR(__xludf.DUMMYFUNCTION("""COMPUTED_VALUE"""),375.0)</f>
        <v>375</v>
      </c>
      <c r="E3798" s="2"/>
      <c r="F3798" s="2"/>
    </row>
    <row r="3799">
      <c r="A3799" s="2">
        <f>IFERROR(__xludf.DUMMYFUNCTION("""COMPUTED_VALUE"""),88268.0)</f>
        <v>88268</v>
      </c>
      <c r="B3799" s="2">
        <f>IFERROR(__xludf.DUMMYFUNCTION("""COMPUTED_VALUE"""),1.0)</f>
        <v>1</v>
      </c>
      <c r="C3799" s="2">
        <f>IFERROR(__xludf.DUMMYFUNCTION("""COMPUTED_VALUE"""),627.0)</f>
        <v>627</v>
      </c>
      <c r="D3799" s="3">
        <f>IFERROR(__xludf.DUMMYFUNCTION("""COMPUTED_VALUE"""),518.0)</f>
        <v>518</v>
      </c>
      <c r="E3799" s="2"/>
      <c r="F3799" s="2"/>
    </row>
    <row r="3800">
      <c r="A3800" s="2">
        <f>IFERROR(__xludf.DUMMYFUNCTION("""COMPUTED_VALUE"""),90913.0)</f>
        <v>90913</v>
      </c>
      <c r="B3800" s="2">
        <f>IFERROR(__xludf.DUMMYFUNCTION("""COMPUTED_VALUE"""),0.0)</f>
        <v>0</v>
      </c>
      <c r="C3800" s="2">
        <f>IFERROR(__xludf.DUMMYFUNCTION("""COMPUTED_VALUE"""),295.0)</f>
        <v>295</v>
      </c>
      <c r="D3800" s="3">
        <f>IFERROR(__xludf.DUMMYFUNCTION("""COMPUTED_VALUE"""),236.0)</f>
        <v>236</v>
      </c>
      <c r="E3800" s="2"/>
      <c r="F3800" s="2"/>
    </row>
    <row r="3801">
      <c r="A3801" s="2">
        <f>IFERROR(__xludf.DUMMYFUNCTION("""COMPUTED_VALUE"""),76365.0)</f>
        <v>76365</v>
      </c>
      <c r="B3801" s="2">
        <f>IFERROR(__xludf.DUMMYFUNCTION("""COMPUTED_VALUE"""),1.0)</f>
        <v>1</v>
      </c>
      <c r="C3801" s="2">
        <f>IFERROR(__xludf.DUMMYFUNCTION("""COMPUTED_VALUE"""),971.0)</f>
        <v>971</v>
      </c>
      <c r="D3801" s="3">
        <f>IFERROR(__xludf.DUMMYFUNCTION("""COMPUTED_VALUE"""),654.0)</f>
        <v>654</v>
      </c>
      <c r="E3801" s="2"/>
      <c r="F3801" s="2"/>
    </row>
    <row r="3802">
      <c r="A3802" s="2">
        <f>IFERROR(__xludf.DUMMYFUNCTION("""COMPUTED_VALUE"""),9205.0)</f>
        <v>9205</v>
      </c>
      <c r="B3802" s="2">
        <f>IFERROR(__xludf.DUMMYFUNCTION("""COMPUTED_VALUE"""),0.0)</f>
        <v>0</v>
      </c>
      <c r="C3802" s="2">
        <f>IFERROR(__xludf.DUMMYFUNCTION("""COMPUTED_VALUE"""),38.0)</f>
        <v>38</v>
      </c>
      <c r="D3802" s="3">
        <f>IFERROR(__xludf.DUMMYFUNCTION("""COMPUTED_VALUE"""),13.0)</f>
        <v>13</v>
      </c>
      <c r="E3802" s="2"/>
      <c r="F3802" s="2"/>
    </row>
    <row r="3803">
      <c r="A3803" s="2">
        <f>IFERROR(__xludf.DUMMYFUNCTION("""COMPUTED_VALUE"""),76363.0)</f>
        <v>76363</v>
      </c>
      <c r="B3803" s="2">
        <f>IFERROR(__xludf.DUMMYFUNCTION("""COMPUTED_VALUE"""),0.0)</f>
        <v>0</v>
      </c>
      <c r="C3803" s="2">
        <f>IFERROR(__xludf.DUMMYFUNCTION("""COMPUTED_VALUE"""),525.0)</f>
        <v>525</v>
      </c>
      <c r="D3803" s="3">
        <f>IFERROR(__xludf.DUMMYFUNCTION("""COMPUTED_VALUE"""),115.0)</f>
        <v>115</v>
      </c>
      <c r="E3803" s="2"/>
      <c r="F3803" s="2"/>
    </row>
    <row r="3804">
      <c r="A3804" s="2">
        <f>IFERROR(__xludf.DUMMYFUNCTION("""COMPUTED_VALUE"""),121967.0)</f>
        <v>121967</v>
      </c>
      <c r="B3804" s="2">
        <f>IFERROR(__xludf.DUMMYFUNCTION("""COMPUTED_VALUE"""),1.0)</f>
        <v>1</v>
      </c>
      <c r="C3804" s="2">
        <f>IFERROR(__xludf.DUMMYFUNCTION("""COMPUTED_VALUE"""),556.0)</f>
        <v>556</v>
      </c>
      <c r="D3804" s="3">
        <f>IFERROR(__xludf.DUMMYFUNCTION("""COMPUTED_VALUE"""),125.0)</f>
        <v>125</v>
      </c>
      <c r="E3804" s="2"/>
      <c r="F3804" s="2"/>
    </row>
    <row r="3805">
      <c r="A3805" s="2">
        <f>IFERROR(__xludf.DUMMYFUNCTION("""COMPUTED_VALUE"""),90935.0)</f>
        <v>90935</v>
      </c>
      <c r="B3805" s="2">
        <f>IFERROR(__xludf.DUMMYFUNCTION("""COMPUTED_VALUE"""),0.0)</f>
        <v>0</v>
      </c>
      <c r="C3805" s="2">
        <f>IFERROR(__xludf.DUMMYFUNCTION("""COMPUTED_VALUE"""),197.0)</f>
        <v>197</v>
      </c>
      <c r="D3805" s="3">
        <f>IFERROR(__xludf.DUMMYFUNCTION("""COMPUTED_VALUE"""),170.0)</f>
        <v>170</v>
      </c>
      <c r="E3805" s="2"/>
      <c r="F3805" s="2"/>
    </row>
    <row r="3806">
      <c r="A3806" s="2">
        <f>IFERROR(__xludf.DUMMYFUNCTION("""COMPUTED_VALUE"""),87126.0)</f>
        <v>87126</v>
      </c>
      <c r="B3806" s="2">
        <f>IFERROR(__xludf.DUMMYFUNCTION("""COMPUTED_VALUE"""),0.0)</f>
        <v>0</v>
      </c>
      <c r="C3806" s="2">
        <f>IFERROR(__xludf.DUMMYFUNCTION("""COMPUTED_VALUE"""),61.0)</f>
        <v>61</v>
      </c>
      <c r="D3806" s="3">
        <f>IFERROR(__xludf.DUMMYFUNCTION("""COMPUTED_VALUE"""),43.0)</f>
        <v>43</v>
      </c>
      <c r="E3806" s="2"/>
      <c r="F3806" s="2"/>
    </row>
    <row r="3807">
      <c r="A3807" s="2">
        <f>IFERROR(__xludf.DUMMYFUNCTION("""COMPUTED_VALUE"""),90928.0)</f>
        <v>90928</v>
      </c>
      <c r="B3807" s="2">
        <f>IFERROR(__xludf.DUMMYFUNCTION("""COMPUTED_VALUE"""),0.0)</f>
        <v>0</v>
      </c>
      <c r="C3807" s="2">
        <f>IFERROR(__xludf.DUMMYFUNCTION("""COMPUTED_VALUE"""),592.0)</f>
        <v>592</v>
      </c>
      <c r="D3807" s="3">
        <f>IFERROR(__xludf.DUMMYFUNCTION("""COMPUTED_VALUE"""),514.0)</f>
        <v>514</v>
      </c>
      <c r="E3807" s="2"/>
      <c r="F3807" s="2"/>
    </row>
    <row r="3808">
      <c r="A3808" s="2">
        <f>IFERROR(__xludf.DUMMYFUNCTION("""COMPUTED_VALUE"""),90912.0)</f>
        <v>90912</v>
      </c>
      <c r="B3808" s="2">
        <f>IFERROR(__xludf.DUMMYFUNCTION("""COMPUTED_VALUE"""),1.0)</f>
        <v>1</v>
      </c>
      <c r="C3808" s="2">
        <f>IFERROR(__xludf.DUMMYFUNCTION("""COMPUTED_VALUE"""),847.0)</f>
        <v>847</v>
      </c>
      <c r="D3808" s="3">
        <f>IFERROR(__xludf.DUMMYFUNCTION("""COMPUTED_VALUE"""),622.0)</f>
        <v>622</v>
      </c>
      <c r="E3808" s="2"/>
      <c r="F3808" s="2"/>
    </row>
    <row r="3809">
      <c r="A3809" s="2">
        <f>IFERROR(__xludf.DUMMYFUNCTION("""COMPUTED_VALUE"""),48508.0)</f>
        <v>48508</v>
      </c>
      <c r="B3809" s="2">
        <f>IFERROR(__xludf.DUMMYFUNCTION("""COMPUTED_VALUE"""),1.0)</f>
        <v>1</v>
      </c>
      <c r="C3809" s="2">
        <f>IFERROR(__xludf.DUMMYFUNCTION("""COMPUTED_VALUE"""),80.0)</f>
        <v>80</v>
      </c>
      <c r="D3809" s="3">
        <f>IFERROR(__xludf.DUMMYFUNCTION("""COMPUTED_VALUE"""),10.0)</f>
        <v>10</v>
      </c>
      <c r="E3809" s="2"/>
      <c r="F3809" s="2"/>
    </row>
    <row r="3810">
      <c r="A3810" s="2">
        <f>IFERROR(__xludf.DUMMYFUNCTION("""COMPUTED_VALUE"""),90853.0)</f>
        <v>90853</v>
      </c>
      <c r="B3810" s="2">
        <f>IFERROR(__xludf.DUMMYFUNCTION("""COMPUTED_VALUE"""),0.0)</f>
        <v>0</v>
      </c>
      <c r="C3810" s="2">
        <f>IFERROR(__xludf.DUMMYFUNCTION("""COMPUTED_VALUE"""),247.0)</f>
        <v>247</v>
      </c>
      <c r="D3810" s="3">
        <f>IFERROR(__xludf.DUMMYFUNCTION("""COMPUTED_VALUE"""),15.0)</f>
        <v>15</v>
      </c>
      <c r="E3810" s="2"/>
      <c r="F3810" s="2"/>
    </row>
    <row r="3811">
      <c r="A3811" s="2">
        <f>IFERROR(__xludf.DUMMYFUNCTION("""COMPUTED_VALUE"""),117628.0)</f>
        <v>117628</v>
      </c>
      <c r="B3811" s="2">
        <f>IFERROR(__xludf.DUMMYFUNCTION("""COMPUTED_VALUE"""),0.0)</f>
        <v>0</v>
      </c>
      <c r="C3811" s="2">
        <f>IFERROR(__xludf.DUMMYFUNCTION("""COMPUTED_VALUE"""),309.0)</f>
        <v>309</v>
      </c>
      <c r="D3811" s="3">
        <f>IFERROR(__xludf.DUMMYFUNCTION("""COMPUTED_VALUE"""),89.0)</f>
        <v>89</v>
      </c>
      <c r="E3811" s="2"/>
      <c r="F3811" s="2"/>
    </row>
    <row r="3812">
      <c r="A3812" s="2">
        <f>IFERROR(__xludf.DUMMYFUNCTION("""COMPUTED_VALUE"""),5699.0)</f>
        <v>5699</v>
      </c>
      <c r="B3812" s="2">
        <f>IFERROR(__xludf.DUMMYFUNCTION("""COMPUTED_VALUE"""),0.0)</f>
        <v>0</v>
      </c>
      <c r="C3812" s="2">
        <f>IFERROR(__xludf.DUMMYFUNCTION("""COMPUTED_VALUE"""),111.0)</f>
        <v>111</v>
      </c>
      <c r="D3812" s="3">
        <f>IFERROR(__xludf.DUMMYFUNCTION("""COMPUTED_VALUE"""),4.0)</f>
        <v>4</v>
      </c>
      <c r="E3812" s="2"/>
      <c r="F3812" s="2"/>
    </row>
    <row r="3813">
      <c r="A3813" s="2">
        <f>IFERROR(__xludf.DUMMYFUNCTION("""COMPUTED_VALUE"""),5735.0)</f>
        <v>5735</v>
      </c>
      <c r="B3813" s="2">
        <f>IFERROR(__xludf.DUMMYFUNCTION("""COMPUTED_VALUE"""),0.0)</f>
        <v>0</v>
      </c>
      <c r="C3813" s="2">
        <f>IFERROR(__xludf.DUMMYFUNCTION("""COMPUTED_VALUE"""),413.0)</f>
        <v>413</v>
      </c>
      <c r="D3813" s="3">
        <f>IFERROR(__xludf.DUMMYFUNCTION("""COMPUTED_VALUE"""),197.0)</f>
        <v>197</v>
      </c>
      <c r="E3813" s="2"/>
      <c r="F3813" s="2"/>
    </row>
    <row r="3814">
      <c r="A3814" s="2">
        <f>IFERROR(__xludf.DUMMYFUNCTION("""COMPUTED_VALUE"""),109832.0)</f>
        <v>109832</v>
      </c>
      <c r="B3814" s="2">
        <f>IFERROR(__xludf.DUMMYFUNCTION("""COMPUTED_VALUE"""),1.0)</f>
        <v>1</v>
      </c>
      <c r="C3814" s="2">
        <f>IFERROR(__xludf.DUMMYFUNCTION("""COMPUTED_VALUE"""),172.0)</f>
        <v>172</v>
      </c>
      <c r="D3814" s="3">
        <f>IFERROR(__xludf.DUMMYFUNCTION("""COMPUTED_VALUE"""),122.0)</f>
        <v>122</v>
      </c>
      <c r="E3814" s="2"/>
      <c r="F3814" s="2"/>
    </row>
    <row r="3815">
      <c r="A3815" s="2">
        <f>IFERROR(__xludf.DUMMYFUNCTION("""COMPUTED_VALUE"""),122675.0)</f>
        <v>122675</v>
      </c>
      <c r="B3815" s="2">
        <f>IFERROR(__xludf.DUMMYFUNCTION("""COMPUTED_VALUE"""),0.0)</f>
        <v>0</v>
      </c>
      <c r="C3815" s="2">
        <f>IFERROR(__xludf.DUMMYFUNCTION("""COMPUTED_VALUE"""),25.0)</f>
        <v>25</v>
      </c>
      <c r="D3815" s="3">
        <f>IFERROR(__xludf.DUMMYFUNCTION("""COMPUTED_VALUE"""),7.0)</f>
        <v>7</v>
      </c>
      <c r="E3815" s="2"/>
      <c r="F3815" s="2"/>
    </row>
    <row r="3816">
      <c r="A3816" s="2">
        <f>IFERROR(__xludf.DUMMYFUNCTION("""COMPUTED_VALUE"""),87225.0)</f>
        <v>87225</v>
      </c>
      <c r="B3816" s="2">
        <f>IFERROR(__xludf.DUMMYFUNCTION("""COMPUTED_VALUE"""),0.0)</f>
        <v>0</v>
      </c>
      <c r="C3816" s="2">
        <f>IFERROR(__xludf.DUMMYFUNCTION("""COMPUTED_VALUE"""),494.0)</f>
        <v>494</v>
      </c>
      <c r="D3816" s="3">
        <f>IFERROR(__xludf.DUMMYFUNCTION("""COMPUTED_VALUE"""),419.0)</f>
        <v>419</v>
      </c>
      <c r="E3816" s="2"/>
      <c r="F3816" s="2"/>
    </row>
    <row r="3817">
      <c r="A3817" s="2">
        <f>IFERROR(__xludf.DUMMYFUNCTION("""COMPUTED_VALUE"""),82373.0)</f>
        <v>82373</v>
      </c>
      <c r="B3817" s="2">
        <f>IFERROR(__xludf.DUMMYFUNCTION("""COMPUTED_VALUE"""),1.0)</f>
        <v>1</v>
      </c>
      <c r="C3817" s="2">
        <f>IFERROR(__xludf.DUMMYFUNCTION("""COMPUTED_VALUE"""),204.0)</f>
        <v>204</v>
      </c>
      <c r="D3817" s="3">
        <f>IFERROR(__xludf.DUMMYFUNCTION("""COMPUTED_VALUE"""),87.0)</f>
        <v>87</v>
      </c>
      <c r="E3817" s="2"/>
      <c r="F3817" s="2"/>
    </row>
    <row r="3818">
      <c r="A3818" s="2">
        <f>IFERROR(__xludf.DUMMYFUNCTION("""COMPUTED_VALUE"""),77254.0)</f>
        <v>77254</v>
      </c>
      <c r="B3818" s="2">
        <f>IFERROR(__xludf.DUMMYFUNCTION("""COMPUTED_VALUE"""),1.0)</f>
        <v>1</v>
      </c>
      <c r="C3818" s="2">
        <f>IFERROR(__xludf.DUMMYFUNCTION("""COMPUTED_VALUE"""),562.0)</f>
        <v>562</v>
      </c>
      <c r="D3818" s="3">
        <f>IFERROR(__xludf.DUMMYFUNCTION("""COMPUTED_VALUE"""),484.0)</f>
        <v>484</v>
      </c>
      <c r="E3818" s="2"/>
      <c r="F3818" s="2"/>
    </row>
    <row r="3819">
      <c r="A3819" s="2">
        <f>IFERROR(__xludf.DUMMYFUNCTION("""COMPUTED_VALUE"""),5742.0)</f>
        <v>5742</v>
      </c>
      <c r="B3819" s="2">
        <f>IFERROR(__xludf.DUMMYFUNCTION("""COMPUTED_VALUE"""),1.0)</f>
        <v>1</v>
      </c>
      <c r="C3819" s="2">
        <f>IFERROR(__xludf.DUMMYFUNCTION("""COMPUTED_VALUE"""),972.0)</f>
        <v>972</v>
      </c>
      <c r="D3819" s="3">
        <f>IFERROR(__xludf.DUMMYFUNCTION("""COMPUTED_VALUE"""),182.0)</f>
        <v>182</v>
      </c>
      <c r="E3819" s="2"/>
      <c r="F3819" s="2"/>
    </row>
    <row r="3820">
      <c r="A3820" s="2">
        <f>IFERROR(__xludf.DUMMYFUNCTION("""COMPUTED_VALUE"""),117622.0)</f>
        <v>117622</v>
      </c>
      <c r="B3820" s="2">
        <f>IFERROR(__xludf.DUMMYFUNCTION("""COMPUTED_VALUE"""),1.0)</f>
        <v>1</v>
      </c>
      <c r="C3820" s="2">
        <f>IFERROR(__xludf.DUMMYFUNCTION("""COMPUTED_VALUE"""),516.0)</f>
        <v>516</v>
      </c>
      <c r="D3820" s="3">
        <f>IFERROR(__xludf.DUMMYFUNCTION("""COMPUTED_VALUE"""),347.0)</f>
        <v>347</v>
      </c>
      <c r="E3820" s="2"/>
      <c r="F3820" s="2"/>
    </row>
    <row r="3821">
      <c r="A3821" s="2">
        <f>IFERROR(__xludf.DUMMYFUNCTION("""COMPUTED_VALUE"""),77255.0)</f>
        <v>77255</v>
      </c>
      <c r="B3821" s="2">
        <f>IFERROR(__xludf.DUMMYFUNCTION("""COMPUTED_VALUE"""),1.0)</f>
        <v>1</v>
      </c>
      <c r="C3821" s="2">
        <f>IFERROR(__xludf.DUMMYFUNCTION("""COMPUTED_VALUE"""),618.0)</f>
        <v>618</v>
      </c>
      <c r="D3821" s="3">
        <f>IFERROR(__xludf.DUMMYFUNCTION("""COMPUTED_VALUE"""),187.0)</f>
        <v>187</v>
      </c>
      <c r="E3821" s="2"/>
      <c r="F3821" s="2"/>
    </row>
    <row r="3822">
      <c r="A3822" s="2">
        <f>IFERROR(__xludf.DUMMYFUNCTION("""COMPUTED_VALUE"""),101964.0)</f>
        <v>101964</v>
      </c>
      <c r="B3822" s="2">
        <f>IFERROR(__xludf.DUMMYFUNCTION("""COMPUTED_VALUE"""),1.0)</f>
        <v>1</v>
      </c>
      <c r="C3822" s="2">
        <f>IFERROR(__xludf.DUMMYFUNCTION("""COMPUTED_VALUE"""),147.0)</f>
        <v>147</v>
      </c>
      <c r="D3822" s="3">
        <f>IFERROR(__xludf.DUMMYFUNCTION("""COMPUTED_VALUE"""),66.0)</f>
        <v>66</v>
      </c>
      <c r="E3822" s="2"/>
      <c r="F3822" s="2"/>
    </row>
    <row r="3823">
      <c r="A3823" s="2">
        <f>IFERROR(__xludf.DUMMYFUNCTION("""COMPUTED_VALUE"""),48491.0)</f>
        <v>48491</v>
      </c>
      <c r="B3823" s="2">
        <f>IFERROR(__xludf.DUMMYFUNCTION("""COMPUTED_VALUE"""),1.0)</f>
        <v>1</v>
      </c>
      <c r="C3823" s="2">
        <f>IFERROR(__xludf.DUMMYFUNCTION("""COMPUTED_VALUE"""),254.0)</f>
        <v>254</v>
      </c>
      <c r="D3823" s="3">
        <f>IFERROR(__xludf.DUMMYFUNCTION("""COMPUTED_VALUE"""),103.0)</f>
        <v>103</v>
      </c>
      <c r="E3823" s="2"/>
      <c r="F3823" s="2"/>
    </row>
    <row r="3824">
      <c r="A3824" s="2">
        <f>IFERROR(__xludf.DUMMYFUNCTION("""COMPUTED_VALUE"""),82368.0)</f>
        <v>82368</v>
      </c>
      <c r="B3824" s="2">
        <f>IFERROR(__xludf.DUMMYFUNCTION("""COMPUTED_VALUE"""),0.0)</f>
        <v>0</v>
      </c>
      <c r="C3824" s="2">
        <f>IFERROR(__xludf.DUMMYFUNCTION("""COMPUTED_VALUE"""),374.0)</f>
        <v>374</v>
      </c>
      <c r="D3824" s="3">
        <f>IFERROR(__xludf.DUMMYFUNCTION("""COMPUTED_VALUE"""),341.0)</f>
        <v>341</v>
      </c>
      <c r="E3824" s="2"/>
      <c r="F3824" s="2"/>
    </row>
    <row r="3825">
      <c r="A3825" s="2">
        <f>IFERROR(__xludf.DUMMYFUNCTION("""COMPUTED_VALUE"""),82367.0)</f>
        <v>82367</v>
      </c>
      <c r="B3825" s="2">
        <f>IFERROR(__xludf.DUMMYFUNCTION("""COMPUTED_VALUE"""),1.0)</f>
        <v>1</v>
      </c>
      <c r="C3825" s="2">
        <f>IFERROR(__xludf.DUMMYFUNCTION("""COMPUTED_VALUE"""),399.0)</f>
        <v>399</v>
      </c>
      <c r="D3825" s="3">
        <f>IFERROR(__xludf.DUMMYFUNCTION("""COMPUTED_VALUE"""),64.0)</f>
        <v>64</v>
      </c>
      <c r="E3825" s="2"/>
      <c r="F3825" s="2"/>
    </row>
    <row r="3826">
      <c r="A3826" s="2">
        <f>IFERROR(__xludf.DUMMYFUNCTION("""COMPUTED_VALUE"""),118426.0)</f>
        <v>118426</v>
      </c>
      <c r="B3826" s="2">
        <f>IFERROR(__xludf.DUMMYFUNCTION("""COMPUTED_VALUE"""),1.0)</f>
        <v>1</v>
      </c>
      <c r="C3826" s="2">
        <f>IFERROR(__xludf.DUMMYFUNCTION("""COMPUTED_VALUE"""),747.0)</f>
        <v>747</v>
      </c>
      <c r="D3826" s="3">
        <f>IFERROR(__xludf.DUMMYFUNCTION("""COMPUTED_VALUE"""),55.0)</f>
        <v>55</v>
      </c>
      <c r="E3826" s="2"/>
      <c r="F3826" s="2"/>
    </row>
    <row r="3827">
      <c r="A3827" s="2">
        <f>IFERROR(__xludf.DUMMYFUNCTION("""COMPUTED_VALUE"""),5068.0)</f>
        <v>5068</v>
      </c>
      <c r="B3827" s="2">
        <f>IFERROR(__xludf.DUMMYFUNCTION("""COMPUTED_VALUE"""),0.0)</f>
        <v>0</v>
      </c>
      <c r="C3827" s="2">
        <f>IFERROR(__xludf.DUMMYFUNCTION("""COMPUTED_VALUE"""),205.0)</f>
        <v>205</v>
      </c>
      <c r="D3827" s="3">
        <f>IFERROR(__xludf.DUMMYFUNCTION("""COMPUTED_VALUE"""),112.0)</f>
        <v>112</v>
      </c>
      <c r="E3827" s="2"/>
      <c r="F3827" s="2"/>
    </row>
    <row r="3828">
      <c r="A3828" s="2">
        <f>IFERROR(__xludf.DUMMYFUNCTION("""COMPUTED_VALUE"""),84660.0)</f>
        <v>84660</v>
      </c>
      <c r="B3828" s="2">
        <f>IFERROR(__xludf.DUMMYFUNCTION("""COMPUTED_VALUE"""),1.0)</f>
        <v>1</v>
      </c>
      <c r="C3828" s="2">
        <f>IFERROR(__xludf.DUMMYFUNCTION("""COMPUTED_VALUE"""),514.0)</f>
        <v>514</v>
      </c>
      <c r="D3828" s="3">
        <f>IFERROR(__xludf.DUMMYFUNCTION("""COMPUTED_VALUE"""),270.0)</f>
        <v>270</v>
      </c>
      <c r="E3828" s="2"/>
      <c r="F3828" s="2"/>
    </row>
    <row r="3829">
      <c r="A3829" s="2">
        <f>IFERROR(__xludf.DUMMYFUNCTION("""COMPUTED_VALUE"""),5070.0)</f>
        <v>5070</v>
      </c>
      <c r="B3829" s="2">
        <f>IFERROR(__xludf.DUMMYFUNCTION("""COMPUTED_VALUE"""),0.0)</f>
        <v>0</v>
      </c>
      <c r="C3829" s="2">
        <f>IFERROR(__xludf.DUMMYFUNCTION("""COMPUTED_VALUE"""),17.0)</f>
        <v>17</v>
      </c>
      <c r="D3829" s="3">
        <f>IFERROR(__xludf.DUMMYFUNCTION("""COMPUTED_VALUE"""),14.0)</f>
        <v>14</v>
      </c>
      <c r="E3829" s="2"/>
      <c r="F3829" s="2"/>
    </row>
    <row r="3830">
      <c r="A3830" s="2">
        <f>IFERROR(__xludf.DUMMYFUNCTION("""COMPUTED_VALUE"""),84681.0)</f>
        <v>84681</v>
      </c>
      <c r="B3830" s="2">
        <f>IFERROR(__xludf.DUMMYFUNCTION("""COMPUTED_VALUE"""),1.0)</f>
        <v>1</v>
      </c>
      <c r="C3830" s="2">
        <f>IFERROR(__xludf.DUMMYFUNCTION("""COMPUTED_VALUE"""),918.0)</f>
        <v>918</v>
      </c>
      <c r="D3830" s="3">
        <f>IFERROR(__xludf.DUMMYFUNCTION("""COMPUTED_VALUE"""),13.0)</f>
        <v>13</v>
      </c>
      <c r="E3830" s="2"/>
      <c r="F3830" s="2"/>
    </row>
    <row r="3831">
      <c r="A3831" s="2">
        <f>IFERROR(__xludf.DUMMYFUNCTION("""COMPUTED_VALUE"""),102596.0)</f>
        <v>102596</v>
      </c>
      <c r="B3831" s="2">
        <f>IFERROR(__xludf.DUMMYFUNCTION("""COMPUTED_VALUE"""),1.0)</f>
        <v>1</v>
      </c>
      <c r="C3831" s="2">
        <f>IFERROR(__xludf.DUMMYFUNCTION("""COMPUTED_VALUE"""),924.0)</f>
        <v>924</v>
      </c>
      <c r="D3831" s="3">
        <f>IFERROR(__xludf.DUMMYFUNCTION("""COMPUTED_VALUE"""),469.0)</f>
        <v>469</v>
      </c>
      <c r="E3831" s="2"/>
      <c r="F3831" s="2"/>
    </row>
    <row r="3832">
      <c r="A3832" s="2">
        <f>IFERROR(__xludf.DUMMYFUNCTION("""COMPUTED_VALUE"""),5037.0)</f>
        <v>5037</v>
      </c>
      <c r="B3832" s="2">
        <f>IFERROR(__xludf.DUMMYFUNCTION("""COMPUTED_VALUE"""),0.0)</f>
        <v>0</v>
      </c>
      <c r="C3832" s="2">
        <f>IFERROR(__xludf.DUMMYFUNCTION("""COMPUTED_VALUE"""),669.0)</f>
        <v>669</v>
      </c>
      <c r="D3832" s="3">
        <f>IFERROR(__xludf.DUMMYFUNCTION("""COMPUTED_VALUE"""),8.0)</f>
        <v>8</v>
      </c>
      <c r="E3832" s="2"/>
      <c r="F3832" s="2"/>
    </row>
    <row r="3833">
      <c r="A3833" s="2">
        <f>IFERROR(__xludf.DUMMYFUNCTION("""COMPUTED_VALUE"""),5052.0)</f>
        <v>5052</v>
      </c>
      <c r="B3833" s="2">
        <f>IFERROR(__xludf.DUMMYFUNCTION("""COMPUTED_VALUE"""),1.0)</f>
        <v>1</v>
      </c>
      <c r="C3833" s="2">
        <f>IFERROR(__xludf.DUMMYFUNCTION("""COMPUTED_VALUE"""),109.0)</f>
        <v>109</v>
      </c>
      <c r="D3833" s="3">
        <f>IFERROR(__xludf.DUMMYFUNCTION("""COMPUTED_VALUE"""),65.0)</f>
        <v>65</v>
      </c>
      <c r="E3833" s="2"/>
      <c r="F3833" s="2"/>
    </row>
    <row r="3834">
      <c r="A3834" s="2">
        <f>IFERROR(__xludf.DUMMYFUNCTION("""COMPUTED_VALUE"""),5051.0)</f>
        <v>5051</v>
      </c>
      <c r="B3834" s="2">
        <f>IFERROR(__xludf.DUMMYFUNCTION("""COMPUTED_VALUE"""),0.0)</f>
        <v>0</v>
      </c>
      <c r="C3834" s="2">
        <f>IFERROR(__xludf.DUMMYFUNCTION("""COMPUTED_VALUE"""),688.0)</f>
        <v>688</v>
      </c>
      <c r="D3834" s="3">
        <f>IFERROR(__xludf.DUMMYFUNCTION("""COMPUTED_VALUE"""),80.0)</f>
        <v>80</v>
      </c>
      <c r="E3834" s="2"/>
      <c r="F3834" s="2"/>
    </row>
    <row r="3835">
      <c r="A3835" s="2">
        <f>IFERROR(__xludf.DUMMYFUNCTION("""COMPUTED_VALUE"""),102647.0)</f>
        <v>102647</v>
      </c>
      <c r="B3835" s="2">
        <f>IFERROR(__xludf.DUMMYFUNCTION("""COMPUTED_VALUE"""),0.0)</f>
        <v>0</v>
      </c>
      <c r="C3835" s="2">
        <f>IFERROR(__xludf.DUMMYFUNCTION("""COMPUTED_VALUE"""),969.0)</f>
        <v>969</v>
      </c>
      <c r="D3835" s="3">
        <f>IFERROR(__xludf.DUMMYFUNCTION("""COMPUTED_VALUE"""),798.0)</f>
        <v>798</v>
      </c>
      <c r="E3835" s="2"/>
      <c r="F3835" s="2"/>
    </row>
    <row r="3836">
      <c r="A3836" s="2">
        <f>IFERROR(__xludf.DUMMYFUNCTION("""COMPUTED_VALUE"""),5061.0)</f>
        <v>5061</v>
      </c>
      <c r="B3836" s="2">
        <f>IFERROR(__xludf.DUMMYFUNCTION("""COMPUTED_VALUE"""),0.0)</f>
        <v>0</v>
      </c>
      <c r="C3836" s="2">
        <f>IFERROR(__xludf.DUMMYFUNCTION("""COMPUTED_VALUE"""),637.0)</f>
        <v>637</v>
      </c>
      <c r="D3836" s="3">
        <f>IFERROR(__xludf.DUMMYFUNCTION("""COMPUTED_VALUE"""),297.0)</f>
        <v>297</v>
      </c>
      <c r="E3836" s="2"/>
      <c r="F3836" s="2"/>
    </row>
    <row r="3837">
      <c r="A3837" s="2">
        <f>IFERROR(__xludf.DUMMYFUNCTION("""COMPUTED_VALUE"""),102649.0)</f>
        <v>102649</v>
      </c>
      <c r="B3837" s="2">
        <f>IFERROR(__xludf.DUMMYFUNCTION("""COMPUTED_VALUE"""),1.0)</f>
        <v>1</v>
      </c>
      <c r="C3837" s="2">
        <f>IFERROR(__xludf.DUMMYFUNCTION("""COMPUTED_VALUE"""),667.0)</f>
        <v>667</v>
      </c>
      <c r="D3837" s="3">
        <f>IFERROR(__xludf.DUMMYFUNCTION("""COMPUTED_VALUE"""),444.0)</f>
        <v>444</v>
      </c>
      <c r="E3837" s="2"/>
      <c r="F3837" s="2"/>
    </row>
    <row r="3838">
      <c r="A3838" s="2">
        <f>IFERROR(__xludf.DUMMYFUNCTION("""COMPUTED_VALUE"""),102662.0)</f>
        <v>102662</v>
      </c>
      <c r="B3838" s="2">
        <f>IFERROR(__xludf.DUMMYFUNCTION("""COMPUTED_VALUE"""),0.0)</f>
        <v>0</v>
      </c>
      <c r="C3838" s="2">
        <f>IFERROR(__xludf.DUMMYFUNCTION("""COMPUTED_VALUE"""),145.0)</f>
        <v>145</v>
      </c>
      <c r="D3838" s="3">
        <f>IFERROR(__xludf.DUMMYFUNCTION("""COMPUTED_VALUE"""),106.0)</f>
        <v>106</v>
      </c>
      <c r="E3838" s="2"/>
      <c r="F3838" s="2"/>
    </row>
    <row r="3839">
      <c r="A3839" s="2">
        <f>IFERROR(__xludf.DUMMYFUNCTION("""COMPUTED_VALUE"""),108337.0)</f>
        <v>108337</v>
      </c>
      <c r="B3839" s="2">
        <f>IFERROR(__xludf.DUMMYFUNCTION("""COMPUTED_VALUE"""),1.0)</f>
        <v>1</v>
      </c>
      <c r="C3839" s="2">
        <f>IFERROR(__xludf.DUMMYFUNCTION("""COMPUTED_VALUE"""),655.0)</f>
        <v>655</v>
      </c>
      <c r="D3839" s="3">
        <f>IFERROR(__xludf.DUMMYFUNCTION("""COMPUTED_VALUE"""),606.0)</f>
        <v>606</v>
      </c>
      <c r="E3839" s="2"/>
      <c r="F3839" s="2"/>
    </row>
    <row r="3840">
      <c r="A3840" s="2">
        <f>IFERROR(__xludf.DUMMYFUNCTION("""COMPUTED_VALUE"""),188352.0)</f>
        <v>188352</v>
      </c>
      <c r="B3840" s="2">
        <f>IFERROR(__xludf.DUMMYFUNCTION("""COMPUTED_VALUE"""),1.0)</f>
        <v>1</v>
      </c>
      <c r="C3840" s="2">
        <f>IFERROR(__xludf.DUMMYFUNCTION("""COMPUTED_VALUE"""),654.0)</f>
        <v>654</v>
      </c>
      <c r="D3840" s="3">
        <f>IFERROR(__xludf.DUMMYFUNCTION("""COMPUTED_VALUE"""),198.0)</f>
        <v>198</v>
      </c>
      <c r="E3840" s="2"/>
      <c r="F3840" s="2"/>
    </row>
    <row r="3841">
      <c r="A3841" s="2">
        <f>IFERROR(__xludf.DUMMYFUNCTION("""COMPUTED_VALUE"""),11459.0)</f>
        <v>11459</v>
      </c>
      <c r="B3841" s="2">
        <f>IFERROR(__xludf.DUMMYFUNCTION("""COMPUTED_VALUE"""),1.0)</f>
        <v>1</v>
      </c>
      <c r="C3841" s="2">
        <f>IFERROR(__xludf.DUMMYFUNCTION("""COMPUTED_VALUE"""),223.0)</f>
        <v>223</v>
      </c>
      <c r="D3841" s="3">
        <f>IFERROR(__xludf.DUMMYFUNCTION("""COMPUTED_VALUE"""),125.0)</f>
        <v>125</v>
      </c>
      <c r="E3841" s="2"/>
      <c r="F3841" s="2"/>
    </row>
    <row r="3842">
      <c r="A3842" s="2">
        <f>IFERROR(__xludf.DUMMYFUNCTION("""COMPUTED_VALUE"""),11443.0)</f>
        <v>11443</v>
      </c>
      <c r="B3842" s="2">
        <f>IFERROR(__xludf.DUMMYFUNCTION("""COMPUTED_VALUE"""),1.0)</f>
        <v>1</v>
      </c>
      <c r="C3842" s="2">
        <f>IFERROR(__xludf.DUMMYFUNCTION("""COMPUTED_VALUE"""),74.0)</f>
        <v>74</v>
      </c>
      <c r="D3842" s="3">
        <f>IFERROR(__xludf.DUMMYFUNCTION("""COMPUTED_VALUE"""),21.0)</f>
        <v>21</v>
      </c>
      <c r="E3842" s="2"/>
      <c r="F3842" s="2"/>
    </row>
    <row r="3843">
      <c r="A3843" s="2">
        <f>IFERROR(__xludf.DUMMYFUNCTION("""COMPUTED_VALUE"""),70560.0)</f>
        <v>70560</v>
      </c>
      <c r="B3843" s="2">
        <f>IFERROR(__xludf.DUMMYFUNCTION("""COMPUTED_VALUE"""),0.0)</f>
        <v>0</v>
      </c>
      <c r="C3843" s="2">
        <f>IFERROR(__xludf.DUMMYFUNCTION("""COMPUTED_VALUE"""),127.0)</f>
        <v>127</v>
      </c>
      <c r="D3843" s="3">
        <f>IFERROR(__xludf.DUMMYFUNCTION("""COMPUTED_VALUE"""),8.0)</f>
        <v>8</v>
      </c>
      <c r="E3843" s="2"/>
      <c r="F3843" s="2"/>
    </row>
    <row r="3844">
      <c r="A3844" s="2">
        <f>IFERROR(__xludf.DUMMYFUNCTION("""COMPUTED_VALUE"""),110363.0)</f>
        <v>110363</v>
      </c>
      <c r="B3844" s="2">
        <f>IFERROR(__xludf.DUMMYFUNCTION("""COMPUTED_VALUE"""),0.0)</f>
        <v>0</v>
      </c>
      <c r="C3844" s="2">
        <f>IFERROR(__xludf.DUMMYFUNCTION("""COMPUTED_VALUE"""),743.0)</f>
        <v>743</v>
      </c>
      <c r="D3844" s="3">
        <f>IFERROR(__xludf.DUMMYFUNCTION("""COMPUTED_VALUE"""),435.0)</f>
        <v>435</v>
      </c>
      <c r="E3844" s="2"/>
      <c r="F3844" s="2"/>
    </row>
    <row r="3845">
      <c r="A3845" s="2">
        <f>IFERROR(__xludf.DUMMYFUNCTION("""COMPUTED_VALUE"""),11449.0)</f>
        <v>11449</v>
      </c>
      <c r="B3845" s="2">
        <f>IFERROR(__xludf.DUMMYFUNCTION("""COMPUTED_VALUE"""),1.0)</f>
        <v>1</v>
      </c>
      <c r="C3845" s="2">
        <f>IFERROR(__xludf.DUMMYFUNCTION("""COMPUTED_VALUE"""),941.0)</f>
        <v>941</v>
      </c>
      <c r="D3845" s="3">
        <f>IFERROR(__xludf.DUMMYFUNCTION("""COMPUTED_VALUE"""),927.0)</f>
        <v>927</v>
      </c>
      <c r="E3845" s="2"/>
      <c r="F3845" s="2"/>
    </row>
    <row r="3846">
      <c r="A3846" s="2">
        <f>IFERROR(__xludf.DUMMYFUNCTION("""COMPUTED_VALUE"""),119793.0)</f>
        <v>119793</v>
      </c>
      <c r="B3846" s="2">
        <f>IFERROR(__xludf.DUMMYFUNCTION("""COMPUTED_VALUE"""),1.0)</f>
        <v>1</v>
      </c>
      <c r="C3846" s="2">
        <f>IFERROR(__xludf.DUMMYFUNCTION("""COMPUTED_VALUE"""),28.0)</f>
        <v>28</v>
      </c>
      <c r="D3846" s="3">
        <f>IFERROR(__xludf.DUMMYFUNCTION("""COMPUTED_VALUE"""),23.0)</f>
        <v>23</v>
      </c>
      <c r="E3846" s="2"/>
      <c r="F3846" s="2"/>
    </row>
    <row r="3847">
      <c r="A3847" s="2">
        <f>IFERROR(__xludf.DUMMYFUNCTION("""COMPUTED_VALUE"""),41107.0)</f>
        <v>41107</v>
      </c>
      <c r="B3847" s="2">
        <f>IFERROR(__xludf.DUMMYFUNCTION("""COMPUTED_VALUE"""),1.0)</f>
        <v>1</v>
      </c>
      <c r="C3847" s="2">
        <f>IFERROR(__xludf.DUMMYFUNCTION("""COMPUTED_VALUE"""),749.0)</f>
        <v>749</v>
      </c>
      <c r="D3847" s="3">
        <f>IFERROR(__xludf.DUMMYFUNCTION("""COMPUTED_VALUE"""),565.0)</f>
        <v>565</v>
      </c>
      <c r="E3847" s="2"/>
      <c r="F3847" s="2"/>
    </row>
    <row r="3848">
      <c r="A3848" s="2">
        <f>IFERROR(__xludf.DUMMYFUNCTION("""COMPUTED_VALUE"""),78358.0)</f>
        <v>78358</v>
      </c>
      <c r="B3848" s="2">
        <f>IFERROR(__xludf.DUMMYFUNCTION("""COMPUTED_VALUE"""),0.0)</f>
        <v>0</v>
      </c>
      <c r="C3848" s="2">
        <f>IFERROR(__xludf.DUMMYFUNCTION("""COMPUTED_VALUE"""),708.0)</f>
        <v>708</v>
      </c>
      <c r="D3848" s="3">
        <f>IFERROR(__xludf.DUMMYFUNCTION("""COMPUTED_VALUE"""),694.0)</f>
        <v>694</v>
      </c>
      <c r="E3848" s="2"/>
      <c r="F3848" s="2"/>
    </row>
    <row r="3849">
      <c r="A3849" s="2">
        <f>IFERROR(__xludf.DUMMYFUNCTION("""COMPUTED_VALUE"""),77048.0)</f>
        <v>77048</v>
      </c>
      <c r="B3849" s="2">
        <f>IFERROR(__xludf.DUMMYFUNCTION("""COMPUTED_VALUE"""),1.0)</f>
        <v>1</v>
      </c>
      <c r="C3849" s="2">
        <f>IFERROR(__xludf.DUMMYFUNCTION("""COMPUTED_VALUE"""),391.0)</f>
        <v>391</v>
      </c>
      <c r="D3849" s="3">
        <f>IFERROR(__xludf.DUMMYFUNCTION("""COMPUTED_VALUE"""),254.0)</f>
        <v>254</v>
      </c>
      <c r="E3849" s="2"/>
      <c r="F3849" s="2"/>
    </row>
    <row r="3850">
      <c r="A3850" s="2">
        <f>IFERROR(__xludf.DUMMYFUNCTION("""COMPUTED_VALUE"""),27428.0)</f>
        <v>27428</v>
      </c>
      <c r="B3850" s="2">
        <f>IFERROR(__xludf.DUMMYFUNCTION("""COMPUTED_VALUE"""),0.0)</f>
        <v>0</v>
      </c>
      <c r="C3850" s="2">
        <f>IFERROR(__xludf.DUMMYFUNCTION("""COMPUTED_VALUE"""),924.0)</f>
        <v>924</v>
      </c>
      <c r="D3850" s="3">
        <f>IFERROR(__xludf.DUMMYFUNCTION("""COMPUTED_VALUE"""),138.0)</f>
        <v>138</v>
      </c>
      <c r="E3850" s="2"/>
      <c r="F3850" s="2"/>
    </row>
    <row r="3851">
      <c r="A3851" s="2">
        <f>IFERROR(__xludf.DUMMYFUNCTION("""COMPUTED_VALUE"""),8530.0)</f>
        <v>8530</v>
      </c>
      <c r="B3851" s="2">
        <f>IFERROR(__xludf.DUMMYFUNCTION("""COMPUTED_VALUE"""),1.0)</f>
        <v>1</v>
      </c>
      <c r="C3851" s="2">
        <f>IFERROR(__xludf.DUMMYFUNCTION("""COMPUTED_VALUE"""),912.0)</f>
        <v>912</v>
      </c>
      <c r="D3851" s="3">
        <f>IFERROR(__xludf.DUMMYFUNCTION("""COMPUTED_VALUE"""),185.0)</f>
        <v>185</v>
      </c>
      <c r="E3851" s="2"/>
      <c r="F3851" s="2"/>
    </row>
    <row r="3852">
      <c r="A3852" s="2">
        <f>IFERROR(__xludf.DUMMYFUNCTION("""COMPUTED_VALUE"""),14281.0)</f>
        <v>14281</v>
      </c>
      <c r="B3852" s="2">
        <f>IFERROR(__xludf.DUMMYFUNCTION("""COMPUTED_VALUE"""),1.0)</f>
        <v>1</v>
      </c>
      <c r="C3852" s="2">
        <f>IFERROR(__xludf.DUMMYFUNCTION("""COMPUTED_VALUE"""),691.0)</f>
        <v>691</v>
      </c>
      <c r="D3852" s="3">
        <f>IFERROR(__xludf.DUMMYFUNCTION("""COMPUTED_VALUE"""),36.0)</f>
        <v>36</v>
      </c>
      <c r="E3852" s="2"/>
      <c r="F3852" s="2"/>
    </row>
    <row r="3853">
      <c r="A3853" s="2">
        <f>IFERROR(__xludf.DUMMYFUNCTION("""COMPUTED_VALUE"""),140582.0)</f>
        <v>140582</v>
      </c>
      <c r="B3853" s="2">
        <f>IFERROR(__xludf.DUMMYFUNCTION("""COMPUTED_VALUE"""),0.0)</f>
        <v>0</v>
      </c>
      <c r="C3853" s="2">
        <f>IFERROR(__xludf.DUMMYFUNCTION("""COMPUTED_VALUE"""),90.0)</f>
        <v>90</v>
      </c>
      <c r="D3853" s="3">
        <f>IFERROR(__xludf.DUMMYFUNCTION("""COMPUTED_VALUE"""),62.0)</f>
        <v>62</v>
      </c>
      <c r="E3853" s="2"/>
      <c r="F3853" s="2"/>
    </row>
    <row r="3854">
      <c r="A3854" s="2">
        <f>IFERROR(__xludf.DUMMYFUNCTION("""COMPUTED_VALUE"""),98895.0)</f>
        <v>98895</v>
      </c>
      <c r="B3854" s="2">
        <f>IFERROR(__xludf.DUMMYFUNCTION("""COMPUTED_VALUE"""),1.0)</f>
        <v>1</v>
      </c>
      <c r="C3854" s="2">
        <f>IFERROR(__xludf.DUMMYFUNCTION("""COMPUTED_VALUE"""),514.0)</f>
        <v>514</v>
      </c>
      <c r="D3854" s="3">
        <f>IFERROR(__xludf.DUMMYFUNCTION("""COMPUTED_VALUE"""),72.0)</f>
        <v>72</v>
      </c>
      <c r="E3854" s="2"/>
      <c r="F3854" s="2"/>
    </row>
    <row r="3855">
      <c r="A3855" s="2">
        <f>IFERROR(__xludf.DUMMYFUNCTION("""COMPUTED_VALUE"""),77491.0)</f>
        <v>77491</v>
      </c>
      <c r="B3855" s="2">
        <f>IFERROR(__xludf.DUMMYFUNCTION("""COMPUTED_VALUE"""),0.0)</f>
        <v>0</v>
      </c>
      <c r="C3855" s="2">
        <f>IFERROR(__xludf.DUMMYFUNCTION("""COMPUTED_VALUE"""),424.0)</f>
        <v>424</v>
      </c>
      <c r="D3855" s="3">
        <f>IFERROR(__xludf.DUMMYFUNCTION("""COMPUTED_VALUE"""),59.0)</f>
        <v>59</v>
      </c>
      <c r="E3855" s="2"/>
      <c r="F3855" s="2"/>
    </row>
    <row r="3856">
      <c r="A3856" s="2">
        <f>IFERROR(__xludf.DUMMYFUNCTION("""COMPUTED_VALUE"""),81704.0)</f>
        <v>81704</v>
      </c>
      <c r="B3856" s="2">
        <f>IFERROR(__xludf.DUMMYFUNCTION("""COMPUTED_VALUE"""),0.0)</f>
        <v>0</v>
      </c>
      <c r="C3856" s="2">
        <f>IFERROR(__xludf.DUMMYFUNCTION("""COMPUTED_VALUE"""),232.0)</f>
        <v>232</v>
      </c>
      <c r="D3856" s="3">
        <f>IFERROR(__xludf.DUMMYFUNCTION("""COMPUTED_VALUE"""),12.0)</f>
        <v>12</v>
      </c>
      <c r="E3856" s="2"/>
      <c r="F3856" s="2"/>
    </row>
    <row r="3857">
      <c r="A3857" s="2">
        <f>IFERROR(__xludf.DUMMYFUNCTION("""COMPUTED_VALUE"""),111565.0)</f>
        <v>111565</v>
      </c>
      <c r="B3857" s="2">
        <f>IFERROR(__xludf.DUMMYFUNCTION("""COMPUTED_VALUE"""),1.0)</f>
        <v>1</v>
      </c>
      <c r="C3857" s="2">
        <f>IFERROR(__xludf.DUMMYFUNCTION("""COMPUTED_VALUE"""),86.0)</f>
        <v>86</v>
      </c>
      <c r="D3857" s="3">
        <f>IFERROR(__xludf.DUMMYFUNCTION("""COMPUTED_VALUE"""),61.0)</f>
        <v>61</v>
      </c>
      <c r="E3857" s="2"/>
      <c r="F3857" s="2"/>
    </row>
    <row r="3858">
      <c r="A3858" s="2">
        <f>IFERROR(__xludf.DUMMYFUNCTION("""COMPUTED_VALUE"""),5774.0)</f>
        <v>5774</v>
      </c>
      <c r="B3858" s="2">
        <f>IFERROR(__xludf.DUMMYFUNCTION("""COMPUTED_VALUE"""),1.0)</f>
        <v>1</v>
      </c>
      <c r="C3858" s="2">
        <f>IFERROR(__xludf.DUMMYFUNCTION("""COMPUTED_VALUE"""),621.0)</f>
        <v>621</v>
      </c>
      <c r="D3858" s="3">
        <f>IFERROR(__xludf.DUMMYFUNCTION("""COMPUTED_VALUE"""),203.0)</f>
        <v>203</v>
      </c>
      <c r="E3858" s="2"/>
      <c r="F3858" s="2"/>
    </row>
    <row r="3859">
      <c r="A3859" s="2">
        <f>IFERROR(__xludf.DUMMYFUNCTION("""COMPUTED_VALUE"""),112075.0)</f>
        <v>112075</v>
      </c>
      <c r="B3859" s="2">
        <f>IFERROR(__xludf.DUMMYFUNCTION("""COMPUTED_VALUE"""),0.0)</f>
        <v>0</v>
      </c>
      <c r="C3859" s="2">
        <f>IFERROR(__xludf.DUMMYFUNCTION("""COMPUTED_VALUE"""),845.0)</f>
        <v>845</v>
      </c>
      <c r="D3859" s="3">
        <f>IFERROR(__xludf.DUMMYFUNCTION("""COMPUTED_VALUE"""),768.0)</f>
        <v>768</v>
      </c>
      <c r="E3859" s="2"/>
      <c r="F3859" s="2"/>
    </row>
    <row r="3860">
      <c r="A3860" s="2">
        <f>IFERROR(__xludf.DUMMYFUNCTION("""COMPUTED_VALUE"""),88469.0)</f>
        <v>88469</v>
      </c>
      <c r="B3860" s="2">
        <f>IFERROR(__xludf.DUMMYFUNCTION("""COMPUTED_VALUE"""),0.0)</f>
        <v>0</v>
      </c>
      <c r="C3860" s="2">
        <f>IFERROR(__xludf.DUMMYFUNCTION("""COMPUTED_VALUE"""),218.0)</f>
        <v>218</v>
      </c>
      <c r="D3860" s="3">
        <f>IFERROR(__xludf.DUMMYFUNCTION("""COMPUTED_VALUE"""),58.0)</f>
        <v>58</v>
      </c>
      <c r="E3860" s="2"/>
      <c r="F3860" s="2"/>
    </row>
    <row r="3861">
      <c r="A3861" s="2">
        <f>IFERROR(__xludf.DUMMYFUNCTION("""COMPUTED_VALUE"""),112249.0)</f>
        <v>112249</v>
      </c>
      <c r="B3861" s="2">
        <f>IFERROR(__xludf.DUMMYFUNCTION("""COMPUTED_VALUE"""),1.0)</f>
        <v>1</v>
      </c>
      <c r="C3861" s="2">
        <f>IFERROR(__xludf.DUMMYFUNCTION("""COMPUTED_VALUE"""),409.0)</f>
        <v>409</v>
      </c>
      <c r="D3861" s="3">
        <f>IFERROR(__xludf.DUMMYFUNCTION("""COMPUTED_VALUE"""),133.0)</f>
        <v>133</v>
      </c>
      <c r="E3861" s="2"/>
      <c r="F3861" s="2"/>
    </row>
    <row r="3862">
      <c r="A3862" s="2">
        <f>IFERROR(__xludf.DUMMYFUNCTION("""COMPUTED_VALUE"""),5775.0)</f>
        <v>5775</v>
      </c>
      <c r="B3862" s="2">
        <f>IFERROR(__xludf.DUMMYFUNCTION("""COMPUTED_VALUE"""),1.0)</f>
        <v>1</v>
      </c>
      <c r="C3862" s="2">
        <f>IFERROR(__xludf.DUMMYFUNCTION("""COMPUTED_VALUE"""),454.0)</f>
        <v>454</v>
      </c>
      <c r="D3862" s="3">
        <f>IFERROR(__xludf.DUMMYFUNCTION("""COMPUTED_VALUE"""),319.0)</f>
        <v>319</v>
      </c>
      <c r="E3862" s="2"/>
      <c r="F3862" s="2"/>
    </row>
    <row r="3863">
      <c r="A3863" s="2">
        <f>IFERROR(__xludf.DUMMYFUNCTION("""COMPUTED_VALUE"""),77506.0)</f>
        <v>77506</v>
      </c>
      <c r="B3863" s="2">
        <f>IFERROR(__xludf.DUMMYFUNCTION("""COMPUTED_VALUE"""),0.0)</f>
        <v>0</v>
      </c>
      <c r="C3863" s="2">
        <f>IFERROR(__xludf.DUMMYFUNCTION("""COMPUTED_VALUE"""),486.0)</f>
        <v>486</v>
      </c>
      <c r="D3863" s="3">
        <f>IFERROR(__xludf.DUMMYFUNCTION("""COMPUTED_VALUE"""),221.0)</f>
        <v>221</v>
      </c>
      <c r="E3863" s="2"/>
      <c r="F3863" s="2"/>
    </row>
    <row r="3864">
      <c r="A3864" s="2">
        <f>IFERROR(__xludf.DUMMYFUNCTION("""COMPUTED_VALUE"""),83646.0)</f>
        <v>83646</v>
      </c>
      <c r="B3864" s="2">
        <f>IFERROR(__xludf.DUMMYFUNCTION("""COMPUTED_VALUE"""),1.0)</f>
        <v>1</v>
      </c>
      <c r="C3864" s="2">
        <f>IFERROR(__xludf.DUMMYFUNCTION("""COMPUTED_VALUE"""),421.0)</f>
        <v>421</v>
      </c>
      <c r="D3864" s="3">
        <f>IFERROR(__xludf.DUMMYFUNCTION("""COMPUTED_VALUE"""),329.0)</f>
        <v>329</v>
      </c>
      <c r="E3864" s="2"/>
      <c r="F3864" s="2"/>
    </row>
    <row r="3865">
      <c r="A3865" s="2">
        <f>IFERROR(__xludf.DUMMYFUNCTION("""COMPUTED_VALUE"""),77484.0)</f>
        <v>77484</v>
      </c>
      <c r="B3865" s="2">
        <f>IFERROR(__xludf.DUMMYFUNCTION("""COMPUTED_VALUE"""),0.0)</f>
        <v>0</v>
      </c>
      <c r="C3865" s="2">
        <f>IFERROR(__xludf.DUMMYFUNCTION("""COMPUTED_VALUE"""),241.0)</f>
        <v>241</v>
      </c>
      <c r="D3865" s="3">
        <f>IFERROR(__xludf.DUMMYFUNCTION("""COMPUTED_VALUE"""),54.0)</f>
        <v>54</v>
      </c>
      <c r="E3865" s="2"/>
      <c r="F3865" s="2"/>
    </row>
    <row r="3866">
      <c r="A3866" s="2">
        <f>IFERROR(__xludf.DUMMYFUNCTION("""COMPUTED_VALUE"""),77481.0)</f>
        <v>77481</v>
      </c>
      <c r="B3866" s="2">
        <f>IFERROR(__xludf.DUMMYFUNCTION("""COMPUTED_VALUE"""),0.0)</f>
        <v>0</v>
      </c>
      <c r="C3866" s="2">
        <f>IFERROR(__xludf.DUMMYFUNCTION("""COMPUTED_VALUE"""),668.0)</f>
        <v>668</v>
      </c>
      <c r="D3866" s="3">
        <f>IFERROR(__xludf.DUMMYFUNCTION("""COMPUTED_VALUE"""),630.0)</f>
        <v>630</v>
      </c>
      <c r="E3866" s="2"/>
      <c r="F3866" s="2"/>
    </row>
    <row r="3867">
      <c r="A3867" s="2">
        <f>IFERROR(__xludf.DUMMYFUNCTION("""COMPUTED_VALUE"""),17075.0)</f>
        <v>17075</v>
      </c>
      <c r="B3867" s="2">
        <f>IFERROR(__xludf.DUMMYFUNCTION("""COMPUTED_VALUE"""),0.0)</f>
        <v>0</v>
      </c>
      <c r="C3867" s="2">
        <f>IFERROR(__xludf.DUMMYFUNCTION("""COMPUTED_VALUE"""),424.0)</f>
        <v>424</v>
      </c>
      <c r="D3867" s="3">
        <f>IFERROR(__xludf.DUMMYFUNCTION("""COMPUTED_VALUE"""),21.0)</f>
        <v>21</v>
      </c>
      <c r="E3867" s="2"/>
      <c r="F3867" s="2"/>
    </row>
    <row r="3868">
      <c r="A3868" s="2">
        <f>IFERROR(__xludf.DUMMYFUNCTION("""COMPUTED_VALUE"""),77492.0)</f>
        <v>77492</v>
      </c>
      <c r="B3868" s="2">
        <f>IFERROR(__xludf.DUMMYFUNCTION("""COMPUTED_VALUE"""),0.0)</f>
        <v>0</v>
      </c>
      <c r="C3868" s="2">
        <f>IFERROR(__xludf.DUMMYFUNCTION("""COMPUTED_VALUE"""),738.0)</f>
        <v>738</v>
      </c>
      <c r="D3868" s="3">
        <f>IFERROR(__xludf.DUMMYFUNCTION("""COMPUTED_VALUE"""),600.0)</f>
        <v>600</v>
      </c>
      <c r="E3868" s="2"/>
      <c r="F3868" s="2"/>
    </row>
    <row r="3869">
      <c r="A3869" s="2">
        <f>IFERROR(__xludf.DUMMYFUNCTION("""COMPUTED_VALUE"""),112084.0)</f>
        <v>112084</v>
      </c>
      <c r="B3869" s="2">
        <f>IFERROR(__xludf.DUMMYFUNCTION("""COMPUTED_VALUE"""),0.0)</f>
        <v>0</v>
      </c>
      <c r="C3869" s="2">
        <f>IFERROR(__xludf.DUMMYFUNCTION("""COMPUTED_VALUE"""),357.0)</f>
        <v>357</v>
      </c>
      <c r="D3869" s="3">
        <f>IFERROR(__xludf.DUMMYFUNCTION("""COMPUTED_VALUE"""),83.0)</f>
        <v>83</v>
      </c>
      <c r="E3869" s="2"/>
      <c r="F3869" s="2"/>
    </row>
    <row r="3870">
      <c r="A3870" s="2">
        <f>IFERROR(__xludf.DUMMYFUNCTION("""COMPUTED_VALUE"""),12041.0)</f>
        <v>12041</v>
      </c>
      <c r="B3870" s="2">
        <f>IFERROR(__xludf.DUMMYFUNCTION("""COMPUTED_VALUE"""),0.0)</f>
        <v>0</v>
      </c>
      <c r="C3870" s="2">
        <f>IFERROR(__xludf.DUMMYFUNCTION("""COMPUTED_VALUE"""),558.0)</f>
        <v>558</v>
      </c>
      <c r="D3870" s="3">
        <f>IFERROR(__xludf.DUMMYFUNCTION("""COMPUTED_VALUE"""),173.0)</f>
        <v>173</v>
      </c>
      <c r="E3870" s="2"/>
      <c r="F3870" s="2"/>
    </row>
    <row r="3871">
      <c r="A3871" s="2">
        <f>IFERROR(__xludf.DUMMYFUNCTION("""COMPUTED_VALUE"""),83042.0)</f>
        <v>83042</v>
      </c>
      <c r="B3871" s="2">
        <f>IFERROR(__xludf.DUMMYFUNCTION("""COMPUTED_VALUE"""),1.0)</f>
        <v>1</v>
      </c>
      <c r="C3871" s="2">
        <f>IFERROR(__xludf.DUMMYFUNCTION("""COMPUTED_VALUE"""),439.0)</f>
        <v>439</v>
      </c>
      <c r="D3871" s="3">
        <f>IFERROR(__xludf.DUMMYFUNCTION("""COMPUTED_VALUE"""),93.0)</f>
        <v>93</v>
      </c>
      <c r="E3871" s="2"/>
      <c r="F3871" s="2"/>
    </row>
    <row r="3872">
      <c r="A3872" s="2">
        <f>IFERROR(__xludf.DUMMYFUNCTION("""COMPUTED_VALUE"""),77490.0)</f>
        <v>77490</v>
      </c>
      <c r="B3872" s="2">
        <f>IFERROR(__xludf.DUMMYFUNCTION("""COMPUTED_VALUE"""),1.0)</f>
        <v>1</v>
      </c>
      <c r="C3872" s="2">
        <f>IFERROR(__xludf.DUMMYFUNCTION("""COMPUTED_VALUE"""),158.0)</f>
        <v>158</v>
      </c>
      <c r="D3872" s="3">
        <f>IFERROR(__xludf.DUMMYFUNCTION("""COMPUTED_VALUE"""),122.0)</f>
        <v>122</v>
      </c>
      <c r="E3872" s="2"/>
      <c r="F3872" s="2"/>
    </row>
    <row r="3873">
      <c r="A3873" s="2">
        <f>IFERROR(__xludf.DUMMYFUNCTION("""COMPUTED_VALUE"""),43336.0)</f>
        <v>43336</v>
      </c>
      <c r="B3873" s="2">
        <f>IFERROR(__xludf.DUMMYFUNCTION("""COMPUTED_VALUE"""),0.0)</f>
        <v>0</v>
      </c>
      <c r="C3873" s="2">
        <f>IFERROR(__xludf.DUMMYFUNCTION("""COMPUTED_VALUE"""),582.0)</f>
        <v>582</v>
      </c>
      <c r="D3873" s="3">
        <f>IFERROR(__xludf.DUMMYFUNCTION("""COMPUTED_VALUE"""),579.0)</f>
        <v>579</v>
      </c>
      <c r="E3873" s="2"/>
      <c r="F3873" s="2"/>
    </row>
    <row r="3874">
      <c r="A3874" s="2">
        <f>IFERROR(__xludf.DUMMYFUNCTION("""COMPUTED_VALUE"""),48609.0)</f>
        <v>48609</v>
      </c>
      <c r="B3874" s="2">
        <f>IFERROR(__xludf.DUMMYFUNCTION("""COMPUTED_VALUE"""),0.0)</f>
        <v>0</v>
      </c>
      <c r="C3874" s="2">
        <f>IFERROR(__xludf.DUMMYFUNCTION("""COMPUTED_VALUE"""),306.0)</f>
        <v>306</v>
      </c>
      <c r="D3874" s="3">
        <f>IFERROR(__xludf.DUMMYFUNCTION("""COMPUTED_VALUE"""),9.0)</f>
        <v>9</v>
      </c>
      <c r="E3874" s="2"/>
      <c r="F3874" s="2"/>
    </row>
    <row r="3875">
      <c r="A3875" s="2">
        <f>IFERROR(__xludf.DUMMYFUNCTION("""COMPUTED_VALUE"""),117074.0)</f>
        <v>117074</v>
      </c>
      <c r="B3875" s="2">
        <f>IFERROR(__xludf.DUMMYFUNCTION("""COMPUTED_VALUE"""),0.0)</f>
        <v>0</v>
      </c>
      <c r="C3875" s="2">
        <f>IFERROR(__xludf.DUMMYFUNCTION("""COMPUTED_VALUE"""),633.0)</f>
        <v>633</v>
      </c>
      <c r="D3875" s="3">
        <f>IFERROR(__xludf.DUMMYFUNCTION("""COMPUTED_VALUE"""),196.0)</f>
        <v>196</v>
      </c>
      <c r="E3875" s="2"/>
      <c r="F3875" s="2"/>
    </row>
    <row r="3876">
      <c r="A3876" s="2">
        <f>IFERROR(__xludf.DUMMYFUNCTION("""COMPUTED_VALUE"""),112085.0)</f>
        <v>112085</v>
      </c>
      <c r="B3876" s="2">
        <f>IFERROR(__xludf.DUMMYFUNCTION("""COMPUTED_VALUE"""),1.0)</f>
        <v>1</v>
      </c>
      <c r="C3876" s="2">
        <f>IFERROR(__xludf.DUMMYFUNCTION("""COMPUTED_VALUE"""),245.0)</f>
        <v>245</v>
      </c>
      <c r="D3876" s="3">
        <f>IFERROR(__xludf.DUMMYFUNCTION("""COMPUTED_VALUE"""),206.0)</f>
        <v>206</v>
      </c>
      <c r="E3876" s="2"/>
      <c r="F3876" s="2"/>
    </row>
    <row r="3877">
      <c r="A3877" s="2">
        <f>IFERROR(__xludf.DUMMYFUNCTION("""COMPUTED_VALUE"""),106656.0)</f>
        <v>106656</v>
      </c>
      <c r="B3877" s="2">
        <f>IFERROR(__xludf.DUMMYFUNCTION("""COMPUTED_VALUE"""),1.0)</f>
        <v>1</v>
      </c>
      <c r="C3877" s="2">
        <f>IFERROR(__xludf.DUMMYFUNCTION("""COMPUTED_VALUE"""),325.0)</f>
        <v>325</v>
      </c>
      <c r="D3877" s="3">
        <f>IFERROR(__xludf.DUMMYFUNCTION("""COMPUTED_VALUE"""),294.0)</f>
        <v>294</v>
      </c>
      <c r="E3877" s="2"/>
      <c r="F3877" s="2"/>
    </row>
    <row r="3878">
      <c r="A3878" s="2">
        <f>IFERROR(__xludf.DUMMYFUNCTION("""COMPUTED_VALUE"""),119244.0)</f>
        <v>119244</v>
      </c>
      <c r="B3878" s="2">
        <f>IFERROR(__xludf.DUMMYFUNCTION("""COMPUTED_VALUE"""),0.0)</f>
        <v>0</v>
      </c>
      <c r="C3878" s="2">
        <f>IFERROR(__xludf.DUMMYFUNCTION("""COMPUTED_VALUE"""),639.0)</f>
        <v>639</v>
      </c>
      <c r="D3878" s="3">
        <f>IFERROR(__xludf.DUMMYFUNCTION("""COMPUTED_VALUE"""),550.0)</f>
        <v>550</v>
      </c>
      <c r="E3878" s="2"/>
      <c r="F3878" s="2"/>
    </row>
    <row r="3879">
      <c r="A3879" s="2">
        <f>IFERROR(__xludf.DUMMYFUNCTION("""COMPUTED_VALUE"""),73236.0)</f>
        <v>73236</v>
      </c>
      <c r="B3879" s="2">
        <f>IFERROR(__xludf.DUMMYFUNCTION("""COMPUTED_VALUE"""),1.0)</f>
        <v>1</v>
      </c>
      <c r="C3879" s="2">
        <f>IFERROR(__xludf.DUMMYFUNCTION("""COMPUTED_VALUE"""),507.0)</f>
        <v>507</v>
      </c>
      <c r="D3879" s="3">
        <f>IFERROR(__xludf.DUMMYFUNCTION("""COMPUTED_VALUE"""),388.0)</f>
        <v>388</v>
      </c>
      <c r="E3879" s="2"/>
      <c r="F3879" s="2"/>
    </row>
    <row r="3880">
      <c r="A3880" s="2">
        <f>IFERROR(__xludf.DUMMYFUNCTION("""COMPUTED_VALUE"""),127582.0)</f>
        <v>127582</v>
      </c>
      <c r="B3880" s="2">
        <f>IFERROR(__xludf.DUMMYFUNCTION("""COMPUTED_VALUE"""),0.0)</f>
        <v>0</v>
      </c>
      <c r="C3880" s="2">
        <f>IFERROR(__xludf.DUMMYFUNCTION("""COMPUTED_VALUE"""),365.0)</f>
        <v>365</v>
      </c>
      <c r="D3880" s="3">
        <f>IFERROR(__xludf.DUMMYFUNCTION("""COMPUTED_VALUE"""),68.0)</f>
        <v>68</v>
      </c>
      <c r="E3880" s="2"/>
      <c r="F3880" s="2"/>
    </row>
    <row r="3881">
      <c r="A3881" s="2">
        <f>IFERROR(__xludf.DUMMYFUNCTION("""COMPUTED_VALUE"""),128210.0)</f>
        <v>128210</v>
      </c>
      <c r="B3881" s="2">
        <f>IFERROR(__xludf.DUMMYFUNCTION("""COMPUTED_VALUE"""),1.0)</f>
        <v>1</v>
      </c>
      <c r="C3881" s="2">
        <f>IFERROR(__xludf.DUMMYFUNCTION("""COMPUTED_VALUE"""),499.0)</f>
        <v>499</v>
      </c>
      <c r="D3881" s="3">
        <f>IFERROR(__xludf.DUMMYFUNCTION("""COMPUTED_VALUE"""),45.0)</f>
        <v>45</v>
      </c>
      <c r="E3881" s="2"/>
      <c r="F3881" s="2"/>
    </row>
    <row r="3882">
      <c r="A3882" s="2">
        <f>IFERROR(__xludf.DUMMYFUNCTION("""COMPUTED_VALUE"""),73187.0)</f>
        <v>73187</v>
      </c>
      <c r="B3882" s="2">
        <f>IFERROR(__xludf.DUMMYFUNCTION("""COMPUTED_VALUE"""),1.0)</f>
        <v>1</v>
      </c>
      <c r="C3882" s="2">
        <f>IFERROR(__xludf.DUMMYFUNCTION("""COMPUTED_VALUE"""),89.0)</f>
        <v>89</v>
      </c>
      <c r="D3882" s="3">
        <f>IFERROR(__xludf.DUMMYFUNCTION("""COMPUTED_VALUE"""),51.0)</f>
        <v>51</v>
      </c>
      <c r="E3882" s="2"/>
      <c r="F3882" s="2"/>
    </row>
    <row r="3883">
      <c r="A3883" s="2">
        <f>IFERROR(__xludf.DUMMYFUNCTION("""COMPUTED_VALUE"""),41681.0)</f>
        <v>41681</v>
      </c>
      <c r="B3883" s="2">
        <f>IFERROR(__xludf.DUMMYFUNCTION("""COMPUTED_VALUE"""),0.0)</f>
        <v>0</v>
      </c>
      <c r="C3883" s="2">
        <f>IFERROR(__xludf.DUMMYFUNCTION("""COMPUTED_VALUE"""),693.0)</f>
        <v>693</v>
      </c>
      <c r="D3883" s="3">
        <f>IFERROR(__xludf.DUMMYFUNCTION("""COMPUTED_VALUE"""),387.0)</f>
        <v>387</v>
      </c>
      <c r="E3883" s="2"/>
      <c r="F3883" s="2"/>
    </row>
    <row r="3884">
      <c r="A3884" s="2">
        <f>IFERROR(__xludf.DUMMYFUNCTION("""COMPUTED_VALUE"""),30624.0)</f>
        <v>30624</v>
      </c>
      <c r="B3884" s="2">
        <f>IFERROR(__xludf.DUMMYFUNCTION("""COMPUTED_VALUE"""),0.0)</f>
        <v>0</v>
      </c>
      <c r="C3884" s="2">
        <f>IFERROR(__xludf.DUMMYFUNCTION("""COMPUTED_VALUE"""),582.0)</f>
        <v>582</v>
      </c>
      <c r="D3884" s="3">
        <f>IFERROR(__xludf.DUMMYFUNCTION("""COMPUTED_VALUE"""),547.0)</f>
        <v>547</v>
      </c>
      <c r="E3884" s="2"/>
      <c r="F3884" s="2"/>
    </row>
    <row r="3885">
      <c r="A3885" s="2">
        <f>IFERROR(__xludf.DUMMYFUNCTION("""COMPUTED_VALUE"""),114267.0)</f>
        <v>114267</v>
      </c>
      <c r="B3885" s="2">
        <f>IFERROR(__xludf.DUMMYFUNCTION("""COMPUTED_VALUE"""),0.0)</f>
        <v>0</v>
      </c>
      <c r="C3885" s="2">
        <f>IFERROR(__xludf.DUMMYFUNCTION("""COMPUTED_VALUE"""),781.0)</f>
        <v>781</v>
      </c>
      <c r="D3885" s="3">
        <f>IFERROR(__xludf.DUMMYFUNCTION("""COMPUTED_VALUE"""),17.0)</f>
        <v>17</v>
      </c>
      <c r="E3885" s="2"/>
      <c r="F3885" s="2"/>
    </row>
    <row r="3886">
      <c r="A3886" s="2">
        <f>IFERROR(__xludf.DUMMYFUNCTION("""COMPUTED_VALUE"""),77441.0)</f>
        <v>77441</v>
      </c>
      <c r="B3886" s="2">
        <f>IFERROR(__xludf.DUMMYFUNCTION("""COMPUTED_VALUE"""),1.0)</f>
        <v>1</v>
      </c>
      <c r="C3886" s="2">
        <f>IFERROR(__xludf.DUMMYFUNCTION("""COMPUTED_VALUE"""),483.0)</f>
        <v>483</v>
      </c>
      <c r="D3886" s="3">
        <f>IFERROR(__xludf.DUMMYFUNCTION("""COMPUTED_VALUE"""),90.0)</f>
        <v>90</v>
      </c>
      <c r="E3886" s="2"/>
      <c r="F3886" s="2"/>
    </row>
    <row r="3887">
      <c r="A3887" s="2">
        <f>IFERROR(__xludf.DUMMYFUNCTION("""COMPUTED_VALUE"""),116636.0)</f>
        <v>116636</v>
      </c>
      <c r="B3887" s="2">
        <f>IFERROR(__xludf.DUMMYFUNCTION("""COMPUTED_VALUE"""),0.0)</f>
        <v>0</v>
      </c>
      <c r="C3887" s="2">
        <f>IFERROR(__xludf.DUMMYFUNCTION("""COMPUTED_VALUE"""),789.0)</f>
        <v>789</v>
      </c>
      <c r="D3887" s="3">
        <f>IFERROR(__xludf.DUMMYFUNCTION("""COMPUTED_VALUE"""),66.0)</f>
        <v>66</v>
      </c>
      <c r="E3887" s="2"/>
      <c r="F3887" s="2"/>
    </row>
    <row r="3888">
      <c r="A3888" s="2">
        <f>IFERROR(__xludf.DUMMYFUNCTION("""COMPUTED_VALUE"""),115198.0)</f>
        <v>115198</v>
      </c>
      <c r="B3888" s="2">
        <f>IFERROR(__xludf.DUMMYFUNCTION("""COMPUTED_VALUE"""),1.0)</f>
        <v>1</v>
      </c>
      <c r="C3888" s="2">
        <f>IFERROR(__xludf.DUMMYFUNCTION("""COMPUTED_VALUE"""),241.0)</f>
        <v>241</v>
      </c>
      <c r="D3888" s="3">
        <f>IFERROR(__xludf.DUMMYFUNCTION("""COMPUTED_VALUE"""),133.0)</f>
        <v>133</v>
      </c>
      <c r="E3888" s="2"/>
      <c r="F3888" s="2"/>
    </row>
    <row r="3889">
      <c r="A3889" s="2">
        <f>IFERROR(__xludf.DUMMYFUNCTION("""COMPUTED_VALUE"""),89845.0)</f>
        <v>89845</v>
      </c>
      <c r="B3889" s="2">
        <f>IFERROR(__xludf.DUMMYFUNCTION("""COMPUTED_VALUE"""),0.0)</f>
        <v>0</v>
      </c>
      <c r="C3889" s="2">
        <f>IFERROR(__xludf.DUMMYFUNCTION("""COMPUTED_VALUE"""),114.0)</f>
        <v>114</v>
      </c>
      <c r="D3889" s="3">
        <f>IFERROR(__xludf.DUMMYFUNCTION("""COMPUTED_VALUE"""),18.0)</f>
        <v>18</v>
      </c>
      <c r="E3889" s="2"/>
      <c r="F3889" s="2"/>
    </row>
    <row r="3890">
      <c r="A3890" s="2">
        <f>IFERROR(__xludf.DUMMYFUNCTION("""COMPUTED_VALUE"""),112248.0)</f>
        <v>112248</v>
      </c>
      <c r="B3890" s="2">
        <f>IFERROR(__xludf.DUMMYFUNCTION("""COMPUTED_VALUE"""),0.0)</f>
        <v>0</v>
      </c>
      <c r="C3890" s="2">
        <f>IFERROR(__xludf.DUMMYFUNCTION("""COMPUTED_VALUE"""),322.0)</f>
        <v>322</v>
      </c>
      <c r="D3890" s="3">
        <f>IFERROR(__xludf.DUMMYFUNCTION("""COMPUTED_VALUE"""),44.0)</f>
        <v>44</v>
      </c>
      <c r="E3890" s="2"/>
      <c r="F3890" s="2"/>
    </row>
    <row r="3891">
      <c r="A3891" s="2">
        <f>IFERROR(__xludf.DUMMYFUNCTION("""COMPUTED_VALUE"""),89849.0)</f>
        <v>89849</v>
      </c>
      <c r="B3891" s="2">
        <f>IFERROR(__xludf.DUMMYFUNCTION("""COMPUTED_VALUE"""),1.0)</f>
        <v>1</v>
      </c>
      <c r="C3891" s="2">
        <f>IFERROR(__xludf.DUMMYFUNCTION("""COMPUTED_VALUE"""),739.0)</f>
        <v>739</v>
      </c>
      <c r="D3891" s="3">
        <f>IFERROR(__xludf.DUMMYFUNCTION("""COMPUTED_VALUE"""),677.0)</f>
        <v>677</v>
      </c>
      <c r="E3891" s="2"/>
      <c r="F3891" s="2"/>
    </row>
    <row r="3892">
      <c r="A3892" s="2">
        <f>IFERROR(__xludf.DUMMYFUNCTION("""COMPUTED_VALUE"""),121709.0)</f>
        <v>121709</v>
      </c>
      <c r="B3892" s="2">
        <f>IFERROR(__xludf.DUMMYFUNCTION("""COMPUTED_VALUE"""),0.0)</f>
        <v>0</v>
      </c>
      <c r="C3892" s="2">
        <f>IFERROR(__xludf.DUMMYFUNCTION("""COMPUTED_VALUE"""),137.0)</f>
        <v>137</v>
      </c>
      <c r="D3892" s="3">
        <f>IFERROR(__xludf.DUMMYFUNCTION("""COMPUTED_VALUE"""),86.0)</f>
        <v>86</v>
      </c>
      <c r="E3892" s="2"/>
      <c r="F3892" s="2"/>
    </row>
    <row r="3893">
      <c r="A3893" s="2">
        <f>IFERROR(__xludf.DUMMYFUNCTION("""COMPUTED_VALUE"""),122653.0)</f>
        <v>122653</v>
      </c>
      <c r="B3893" s="2">
        <f>IFERROR(__xludf.DUMMYFUNCTION("""COMPUTED_VALUE"""),1.0)</f>
        <v>1</v>
      </c>
      <c r="C3893" s="2">
        <f>IFERROR(__xludf.DUMMYFUNCTION("""COMPUTED_VALUE"""),302.0)</f>
        <v>302</v>
      </c>
      <c r="D3893" s="3">
        <f>IFERROR(__xludf.DUMMYFUNCTION("""COMPUTED_VALUE"""),268.0)</f>
        <v>268</v>
      </c>
      <c r="E3893" s="2"/>
      <c r="F3893" s="2"/>
    </row>
    <row r="3894">
      <c r="A3894" s="2">
        <f>IFERROR(__xludf.DUMMYFUNCTION("""COMPUTED_VALUE"""),9759.0)</f>
        <v>9759</v>
      </c>
      <c r="B3894" s="2">
        <f>IFERROR(__xludf.DUMMYFUNCTION("""COMPUTED_VALUE"""),0.0)</f>
        <v>0</v>
      </c>
      <c r="C3894" s="2">
        <f>IFERROR(__xludf.DUMMYFUNCTION("""COMPUTED_VALUE"""),723.0)</f>
        <v>723</v>
      </c>
      <c r="D3894" s="3">
        <f>IFERROR(__xludf.DUMMYFUNCTION("""COMPUTED_VALUE"""),113.0)</f>
        <v>113</v>
      </c>
      <c r="E3894" s="2"/>
      <c r="F3894" s="2"/>
    </row>
    <row r="3895">
      <c r="A3895" s="2">
        <f>IFERROR(__xludf.DUMMYFUNCTION("""COMPUTED_VALUE"""),86782.0)</f>
        <v>86782</v>
      </c>
      <c r="B3895" s="2">
        <f>IFERROR(__xludf.DUMMYFUNCTION("""COMPUTED_VALUE"""),0.0)</f>
        <v>0</v>
      </c>
      <c r="C3895" s="2">
        <f>IFERROR(__xludf.DUMMYFUNCTION("""COMPUTED_VALUE"""),151.0)</f>
        <v>151</v>
      </c>
      <c r="D3895" s="3">
        <f>IFERROR(__xludf.DUMMYFUNCTION("""COMPUTED_VALUE"""),27.0)</f>
        <v>27</v>
      </c>
      <c r="E3895" s="2"/>
      <c r="F3895" s="2"/>
    </row>
    <row r="3896">
      <c r="A3896" s="2">
        <f>IFERROR(__xludf.DUMMYFUNCTION("""COMPUTED_VALUE"""),119246.0)</f>
        <v>119246</v>
      </c>
      <c r="B3896" s="2">
        <f>IFERROR(__xludf.DUMMYFUNCTION("""COMPUTED_VALUE"""),0.0)</f>
        <v>0</v>
      </c>
      <c r="C3896" s="2">
        <f>IFERROR(__xludf.DUMMYFUNCTION("""COMPUTED_VALUE"""),83.0)</f>
        <v>83</v>
      </c>
      <c r="D3896" s="3">
        <f>IFERROR(__xludf.DUMMYFUNCTION("""COMPUTED_VALUE"""),1.0)</f>
        <v>1</v>
      </c>
      <c r="E3896" s="2"/>
      <c r="F3896" s="2"/>
    </row>
    <row r="3897">
      <c r="A3897" s="2">
        <f>IFERROR(__xludf.DUMMYFUNCTION("""COMPUTED_VALUE"""),6047.0)</f>
        <v>6047</v>
      </c>
      <c r="B3897" s="2">
        <f>IFERROR(__xludf.DUMMYFUNCTION("""COMPUTED_VALUE"""),0.0)</f>
        <v>0</v>
      </c>
      <c r="C3897" s="2">
        <f>IFERROR(__xludf.DUMMYFUNCTION("""COMPUTED_VALUE"""),587.0)</f>
        <v>587</v>
      </c>
      <c r="D3897" s="3">
        <f>IFERROR(__xludf.DUMMYFUNCTION("""COMPUTED_VALUE"""),252.0)</f>
        <v>252</v>
      </c>
      <c r="E3897" s="2"/>
      <c r="F3897" s="2"/>
    </row>
    <row r="3898">
      <c r="A3898" s="2">
        <f>IFERROR(__xludf.DUMMYFUNCTION("""COMPUTED_VALUE"""),117526.0)</f>
        <v>117526</v>
      </c>
      <c r="B3898" s="2">
        <f>IFERROR(__xludf.DUMMYFUNCTION("""COMPUTED_VALUE"""),0.0)</f>
        <v>0</v>
      </c>
      <c r="C3898" s="2">
        <f>IFERROR(__xludf.DUMMYFUNCTION("""COMPUTED_VALUE"""),635.0)</f>
        <v>635</v>
      </c>
      <c r="D3898" s="3">
        <f>IFERROR(__xludf.DUMMYFUNCTION("""COMPUTED_VALUE"""),52.0)</f>
        <v>52</v>
      </c>
      <c r="E3898" s="2"/>
      <c r="F3898" s="2"/>
    </row>
    <row r="3899">
      <c r="A3899" s="2">
        <f>IFERROR(__xludf.DUMMYFUNCTION("""COMPUTED_VALUE"""),106671.0)</f>
        <v>106671</v>
      </c>
      <c r="B3899" s="2">
        <f>IFERROR(__xludf.DUMMYFUNCTION("""COMPUTED_VALUE"""),0.0)</f>
        <v>0</v>
      </c>
      <c r="C3899" s="2">
        <f>IFERROR(__xludf.DUMMYFUNCTION("""COMPUTED_VALUE"""),581.0)</f>
        <v>581</v>
      </c>
      <c r="D3899" s="3">
        <f>IFERROR(__xludf.DUMMYFUNCTION("""COMPUTED_VALUE"""),425.0)</f>
        <v>425</v>
      </c>
      <c r="E3899" s="2"/>
      <c r="F3899" s="2"/>
    </row>
    <row r="3900">
      <c r="A3900" s="2">
        <f>IFERROR(__xludf.DUMMYFUNCTION("""COMPUTED_VALUE"""),30889.0)</f>
        <v>30889</v>
      </c>
      <c r="B3900" s="2">
        <f>IFERROR(__xludf.DUMMYFUNCTION("""COMPUTED_VALUE"""),1.0)</f>
        <v>1</v>
      </c>
      <c r="C3900" s="2">
        <f>IFERROR(__xludf.DUMMYFUNCTION("""COMPUTED_VALUE"""),136.0)</f>
        <v>136</v>
      </c>
      <c r="D3900" s="3">
        <f>IFERROR(__xludf.DUMMYFUNCTION("""COMPUTED_VALUE"""),122.0)</f>
        <v>122</v>
      </c>
      <c r="E3900" s="2"/>
      <c r="F3900" s="2"/>
    </row>
    <row r="3901">
      <c r="A3901" s="2">
        <f>IFERROR(__xludf.DUMMYFUNCTION("""COMPUTED_VALUE"""),80634.0)</f>
        <v>80634</v>
      </c>
      <c r="B3901" s="2">
        <f>IFERROR(__xludf.DUMMYFUNCTION("""COMPUTED_VALUE"""),1.0)</f>
        <v>1</v>
      </c>
      <c r="C3901" s="2">
        <f>IFERROR(__xludf.DUMMYFUNCTION("""COMPUTED_VALUE"""),468.0)</f>
        <v>468</v>
      </c>
      <c r="D3901" s="3">
        <f>IFERROR(__xludf.DUMMYFUNCTION("""COMPUTED_VALUE"""),79.0)</f>
        <v>79</v>
      </c>
      <c r="E3901" s="2"/>
      <c r="F3901" s="2"/>
    </row>
    <row r="3902">
      <c r="A3902" s="2">
        <f>IFERROR(__xludf.DUMMYFUNCTION("""COMPUTED_VALUE"""),114269.0)</f>
        <v>114269</v>
      </c>
      <c r="B3902" s="2">
        <f>IFERROR(__xludf.DUMMYFUNCTION("""COMPUTED_VALUE"""),1.0)</f>
        <v>1</v>
      </c>
      <c r="C3902" s="2">
        <f>IFERROR(__xludf.DUMMYFUNCTION("""COMPUTED_VALUE"""),634.0)</f>
        <v>634</v>
      </c>
      <c r="D3902" s="3">
        <f>IFERROR(__xludf.DUMMYFUNCTION("""COMPUTED_VALUE"""),463.0)</f>
        <v>463</v>
      </c>
      <c r="E3902" s="2"/>
      <c r="F3902" s="2"/>
    </row>
    <row r="3903">
      <c r="A3903" s="2">
        <f>IFERROR(__xludf.DUMMYFUNCTION("""COMPUTED_VALUE"""),84034.0)</f>
        <v>84034</v>
      </c>
      <c r="B3903" s="2">
        <f>IFERROR(__xludf.DUMMYFUNCTION("""COMPUTED_VALUE"""),1.0)</f>
        <v>1</v>
      </c>
      <c r="C3903" s="2">
        <f>IFERROR(__xludf.DUMMYFUNCTION("""COMPUTED_VALUE"""),510.0)</f>
        <v>510</v>
      </c>
      <c r="D3903" s="3">
        <f>IFERROR(__xludf.DUMMYFUNCTION("""COMPUTED_VALUE"""),496.0)</f>
        <v>496</v>
      </c>
      <c r="E3903" s="2"/>
      <c r="F3903" s="2"/>
    </row>
    <row r="3904">
      <c r="A3904" s="2">
        <f>IFERROR(__xludf.DUMMYFUNCTION("""COMPUTED_VALUE"""),103271.0)</f>
        <v>103271</v>
      </c>
      <c r="B3904" s="2">
        <f>IFERROR(__xludf.DUMMYFUNCTION("""COMPUTED_VALUE"""),1.0)</f>
        <v>1</v>
      </c>
      <c r="C3904" s="2">
        <f>IFERROR(__xludf.DUMMYFUNCTION("""COMPUTED_VALUE"""),883.0)</f>
        <v>883</v>
      </c>
      <c r="D3904" s="3">
        <f>IFERROR(__xludf.DUMMYFUNCTION("""COMPUTED_VALUE"""),188.0)</f>
        <v>188</v>
      </c>
      <c r="E3904" s="2"/>
      <c r="F3904" s="2"/>
    </row>
    <row r="3905">
      <c r="A3905" s="2">
        <f>IFERROR(__xludf.DUMMYFUNCTION("""COMPUTED_VALUE"""),72248.0)</f>
        <v>72248</v>
      </c>
      <c r="B3905" s="2">
        <f>IFERROR(__xludf.DUMMYFUNCTION("""COMPUTED_VALUE"""),1.0)</f>
        <v>1</v>
      </c>
      <c r="C3905" s="2">
        <f>IFERROR(__xludf.DUMMYFUNCTION("""COMPUTED_VALUE"""),937.0)</f>
        <v>937</v>
      </c>
      <c r="D3905" s="3">
        <f>IFERROR(__xludf.DUMMYFUNCTION("""COMPUTED_VALUE"""),63.0)</f>
        <v>63</v>
      </c>
      <c r="E3905" s="2"/>
      <c r="F3905" s="2"/>
    </row>
    <row r="3906">
      <c r="A3906" s="2">
        <f>IFERROR(__xludf.DUMMYFUNCTION("""COMPUTED_VALUE"""),7672.0)</f>
        <v>7672</v>
      </c>
      <c r="B3906" s="2">
        <f>IFERROR(__xludf.DUMMYFUNCTION("""COMPUTED_VALUE"""),0.0)</f>
        <v>0</v>
      </c>
      <c r="C3906" s="2">
        <f>IFERROR(__xludf.DUMMYFUNCTION("""COMPUTED_VALUE"""),706.0)</f>
        <v>706</v>
      </c>
      <c r="D3906" s="3">
        <f>IFERROR(__xludf.DUMMYFUNCTION("""COMPUTED_VALUE"""),676.0)</f>
        <v>676</v>
      </c>
      <c r="E3906" s="2"/>
      <c r="F3906" s="2"/>
    </row>
    <row r="3907">
      <c r="A3907" s="2">
        <f>IFERROR(__xludf.DUMMYFUNCTION("""COMPUTED_VALUE"""),82844.0)</f>
        <v>82844</v>
      </c>
      <c r="B3907" s="2">
        <f>IFERROR(__xludf.DUMMYFUNCTION("""COMPUTED_VALUE"""),1.0)</f>
        <v>1</v>
      </c>
      <c r="C3907" s="2">
        <f>IFERROR(__xludf.DUMMYFUNCTION("""COMPUTED_VALUE"""),340.0)</f>
        <v>340</v>
      </c>
      <c r="D3907" s="3">
        <f>IFERROR(__xludf.DUMMYFUNCTION("""COMPUTED_VALUE"""),280.0)</f>
        <v>280</v>
      </c>
      <c r="E3907" s="2"/>
      <c r="F3907" s="2"/>
    </row>
    <row r="3908">
      <c r="A3908" s="2">
        <f>IFERROR(__xludf.DUMMYFUNCTION("""COMPUTED_VALUE"""),7685.0)</f>
        <v>7685</v>
      </c>
      <c r="B3908" s="2">
        <f>IFERROR(__xludf.DUMMYFUNCTION("""COMPUTED_VALUE"""),1.0)</f>
        <v>1</v>
      </c>
      <c r="C3908" s="2">
        <f>IFERROR(__xludf.DUMMYFUNCTION("""COMPUTED_VALUE"""),615.0)</f>
        <v>615</v>
      </c>
      <c r="D3908" s="3">
        <f>IFERROR(__xludf.DUMMYFUNCTION("""COMPUTED_VALUE"""),405.0)</f>
        <v>405</v>
      </c>
      <c r="E3908" s="2"/>
      <c r="F3908" s="2"/>
    </row>
    <row r="3909">
      <c r="A3909" s="2">
        <f>IFERROR(__xludf.DUMMYFUNCTION("""COMPUTED_VALUE"""),7673.0)</f>
        <v>7673</v>
      </c>
      <c r="B3909" s="2">
        <f>IFERROR(__xludf.DUMMYFUNCTION("""COMPUTED_VALUE"""),0.0)</f>
        <v>0</v>
      </c>
      <c r="C3909" s="2">
        <f>IFERROR(__xludf.DUMMYFUNCTION("""COMPUTED_VALUE"""),73.0)</f>
        <v>73</v>
      </c>
      <c r="D3909" s="3">
        <f>IFERROR(__xludf.DUMMYFUNCTION("""COMPUTED_VALUE"""),24.0)</f>
        <v>24</v>
      </c>
      <c r="E3909" s="2"/>
      <c r="F3909" s="2"/>
    </row>
    <row r="3910">
      <c r="A3910" s="2">
        <f>IFERROR(__xludf.DUMMYFUNCTION("""COMPUTED_VALUE"""),72328.0)</f>
        <v>72328</v>
      </c>
      <c r="B3910" s="2">
        <f>IFERROR(__xludf.DUMMYFUNCTION("""COMPUTED_VALUE"""),1.0)</f>
        <v>1</v>
      </c>
      <c r="C3910" s="2">
        <f>IFERROR(__xludf.DUMMYFUNCTION("""COMPUTED_VALUE"""),216.0)</f>
        <v>216</v>
      </c>
      <c r="D3910" s="3">
        <f>IFERROR(__xludf.DUMMYFUNCTION("""COMPUTED_VALUE"""),215.0)</f>
        <v>215</v>
      </c>
      <c r="E3910" s="2"/>
      <c r="F3910" s="2"/>
    </row>
    <row r="3911">
      <c r="A3911" s="2">
        <f>IFERROR(__xludf.DUMMYFUNCTION("""COMPUTED_VALUE"""),87967.0)</f>
        <v>87967</v>
      </c>
      <c r="B3911" s="2">
        <f>IFERROR(__xludf.DUMMYFUNCTION("""COMPUTED_VALUE"""),1.0)</f>
        <v>1</v>
      </c>
      <c r="C3911" s="2">
        <f>IFERROR(__xludf.DUMMYFUNCTION("""COMPUTED_VALUE"""),560.0)</f>
        <v>560</v>
      </c>
      <c r="D3911" s="3">
        <f>IFERROR(__xludf.DUMMYFUNCTION("""COMPUTED_VALUE"""),321.0)</f>
        <v>321</v>
      </c>
      <c r="E3911" s="2"/>
      <c r="F3911" s="2"/>
    </row>
    <row r="3912">
      <c r="A3912" s="2">
        <f>IFERROR(__xludf.DUMMYFUNCTION("""COMPUTED_VALUE"""),113193.0)</f>
        <v>113193</v>
      </c>
      <c r="B3912" s="2">
        <f>IFERROR(__xludf.DUMMYFUNCTION("""COMPUTED_VALUE"""),0.0)</f>
        <v>0</v>
      </c>
      <c r="C3912" s="2">
        <f>IFERROR(__xludf.DUMMYFUNCTION("""COMPUTED_VALUE"""),63.0)</f>
        <v>63</v>
      </c>
      <c r="D3912" s="3">
        <f>IFERROR(__xludf.DUMMYFUNCTION("""COMPUTED_VALUE"""),58.0)</f>
        <v>58</v>
      </c>
      <c r="E3912" s="2"/>
      <c r="F3912" s="2"/>
    </row>
    <row r="3913">
      <c r="A3913" s="2">
        <f>IFERROR(__xludf.DUMMYFUNCTION("""COMPUTED_VALUE"""),82821.0)</f>
        <v>82821</v>
      </c>
      <c r="B3913" s="2">
        <f>IFERROR(__xludf.DUMMYFUNCTION("""COMPUTED_VALUE"""),0.0)</f>
        <v>0</v>
      </c>
      <c r="C3913" s="2">
        <f>IFERROR(__xludf.DUMMYFUNCTION("""COMPUTED_VALUE"""),299.0)</f>
        <v>299</v>
      </c>
      <c r="D3913" s="3">
        <f>IFERROR(__xludf.DUMMYFUNCTION("""COMPUTED_VALUE"""),219.0)</f>
        <v>219</v>
      </c>
      <c r="E3913" s="2"/>
      <c r="F3913" s="2"/>
    </row>
    <row r="3914">
      <c r="A3914" s="2">
        <f>IFERROR(__xludf.DUMMYFUNCTION("""COMPUTED_VALUE"""),87964.0)</f>
        <v>87964</v>
      </c>
      <c r="B3914" s="2">
        <f>IFERROR(__xludf.DUMMYFUNCTION("""COMPUTED_VALUE"""),1.0)</f>
        <v>1</v>
      </c>
      <c r="C3914" s="2">
        <f>IFERROR(__xludf.DUMMYFUNCTION("""COMPUTED_VALUE"""),79.0)</f>
        <v>79</v>
      </c>
      <c r="D3914" s="3">
        <f>IFERROR(__xludf.DUMMYFUNCTION("""COMPUTED_VALUE"""),42.0)</f>
        <v>42</v>
      </c>
      <c r="E3914" s="2"/>
      <c r="F3914" s="2"/>
    </row>
    <row r="3915">
      <c r="A3915" s="2">
        <f>IFERROR(__xludf.DUMMYFUNCTION("""COMPUTED_VALUE"""),201751.0)</f>
        <v>201751</v>
      </c>
      <c r="B3915" s="2">
        <f>IFERROR(__xludf.DUMMYFUNCTION("""COMPUTED_VALUE"""),1.0)</f>
        <v>1</v>
      </c>
      <c r="C3915" s="2">
        <f>IFERROR(__xludf.DUMMYFUNCTION("""COMPUTED_VALUE"""),588.0)</f>
        <v>588</v>
      </c>
      <c r="D3915" s="3">
        <f>IFERROR(__xludf.DUMMYFUNCTION("""COMPUTED_VALUE"""),437.0)</f>
        <v>437</v>
      </c>
      <c r="E3915" s="2"/>
      <c r="F3915" s="2"/>
    </row>
    <row r="3916">
      <c r="A3916" s="2">
        <f>IFERROR(__xludf.DUMMYFUNCTION("""COMPUTED_VALUE"""),79057.0)</f>
        <v>79057</v>
      </c>
      <c r="B3916" s="2">
        <f>IFERROR(__xludf.DUMMYFUNCTION("""COMPUTED_VALUE"""),1.0)</f>
        <v>1</v>
      </c>
      <c r="C3916" s="2">
        <f>IFERROR(__xludf.DUMMYFUNCTION("""COMPUTED_VALUE"""),460.0)</f>
        <v>460</v>
      </c>
      <c r="D3916" s="3">
        <f>IFERROR(__xludf.DUMMYFUNCTION("""COMPUTED_VALUE"""),402.0)</f>
        <v>402</v>
      </c>
      <c r="E3916" s="2"/>
      <c r="F3916" s="2"/>
    </row>
    <row r="3917">
      <c r="A3917" s="2">
        <f>IFERROR(__xludf.DUMMYFUNCTION("""COMPUTED_VALUE"""),41225.0)</f>
        <v>41225</v>
      </c>
      <c r="B3917" s="2">
        <f>IFERROR(__xludf.DUMMYFUNCTION("""COMPUTED_VALUE"""),1.0)</f>
        <v>1</v>
      </c>
      <c r="C3917" s="2">
        <f>IFERROR(__xludf.DUMMYFUNCTION("""COMPUTED_VALUE"""),416.0)</f>
        <v>416</v>
      </c>
      <c r="D3917" s="3">
        <f>IFERROR(__xludf.DUMMYFUNCTION("""COMPUTED_VALUE"""),29.0)</f>
        <v>29</v>
      </c>
      <c r="E3917" s="2"/>
      <c r="F3917" s="2"/>
    </row>
    <row r="3918">
      <c r="A3918" s="2">
        <f>IFERROR(__xludf.DUMMYFUNCTION("""COMPUTED_VALUE"""),113300.0)</f>
        <v>113300</v>
      </c>
      <c r="B3918" s="2">
        <f>IFERROR(__xludf.DUMMYFUNCTION("""COMPUTED_VALUE"""),1.0)</f>
        <v>1</v>
      </c>
      <c r="C3918" s="2">
        <f>IFERROR(__xludf.DUMMYFUNCTION("""COMPUTED_VALUE"""),778.0)</f>
        <v>778</v>
      </c>
      <c r="D3918" s="3">
        <f>IFERROR(__xludf.DUMMYFUNCTION("""COMPUTED_VALUE"""),362.0)</f>
        <v>362</v>
      </c>
      <c r="E3918" s="2"/>
      <c r="F3918" s="2"/>
    </row>
    <row r="3919">
      <c r="A3919" s="2">
        <f>IFERROR(__xludf.DUMMYFUNCTION("""COMPUTED_VALUE"""),113299.0)</f>
        <v>113299</v>
      </c>
      <c r="B3919" s="2">
        <f>IFERROR(__xludf.DUMMYFUNCTION("""COMPUTED_VALUE"""),1.0)</f>
        <v>1</v>
      </c>
      <c r="C3919" s="2">
        <f>IFERROR(__xludf.DUMMYFUNCTION("""COMPUTED_VALUE"""),226.0)</f>
        <v>226</v>
      </c>
      <c r="D3919" s="3">
        <f>IFERROR(__xludf.DUMMYFUNCTION("""COMPUTED_VALUE"""),109.0)</f>
        <v>109</v>
      </c>
      <c r="E3919" s="2"/>
      <c r="F3919" s="2"/>
    </row>
    <row r="3920">
      <c r="A3920" s="2">
        <f>IFERROR(__xludf.DUMMYFUNCTION("""COMPUTED_VALUE"""),105475.0)</f>
        <v>105475</v>
      </c>
      <c r="B3920" s="2">
        <f>IFERROR(__xludf.DUMMYFUNCTION("""COMPUTED_VALUE"""),0.0)</f>
        <v>0</v>
      </c>
      <c r="C3920" s="2">
        <f>IFERROR(__xludf.DUMMYFUNCTION("""COMPUTED_VALUE"""),150.0)</f>
        <v>150</v>
      </c>
      <c r="D3920" s="3">
        <f>IFERROR(__xludf.DUMMYFUNCTION("""COMPUTED_VALUE"""),27.0)</f>
        <v>27</v>
      </c>
      <c r="E3920" s="2"/>
      <c r="F3920" s="2"/>
    </row>
    <row r="3921">
      <c r="A3921" s="2">
        <f>IFERROR(__xludf.DUMMYFUNCTION("""COMPUTED_VALUE"""),114724.0)</f>
        <v>114724</v>
      </c>
      <c r="B3921" s="2">
        <f>IFERROR(__xludf.DUMMYFUNCTION("""COMPUTED_VALUE"""),0.0)</f>
        <v>0</v>
      </c>
      <c r="C3921" s="2">
        <f>IFERROR(__xludf.DUMMYFUNCTION("""COMPUTED_VALUE"""),220.0)</f>
        <v>220</v>
      </c>
      <c r="D3921" s="3">
        <f>IFERROR(__xludf.DUMMYFUNCTION("""COMPUTED_VALUE"""),91.0)</f>
        <v>91</v>
      </c>
      <c r="E3921" s="2"/>
      <c r="F3921" s="2"/>
    </row>
    <row r="3922">
      <c r="A3922" s="2">
        <f>IFERROR(__xludf.DUMMYFUNCTION("""COMPUTED_VALUE"""),113298.0)</f>
        <v>113298</v>
      </c>
      <c r="B3922" s="2">
        <f>IFERROR(__xludf.DUMMYFUNCTION("""COMPUTED_VALUE"""),1.0)</f>
        <v>1</v>
      </c>
      <c r="C3922" s="2">
        <f>IFERROR(__xludf.DUMMYFUNCTION("""COMPUTED_VALUE"""),584.0)</f>
        <v>584</v>
      </c>
      <c r="D3922" s="3">
        <f>IFERROR(__xludf.DUMMYFUNCTION("""COMPUTED_VALUE"""),301.0)</f>
        <v>301</v>
      </c>
      <c r="E3922" s="2"/>
      <c r="F3922" s="2"/>
    </row>
    <row r="3923">
      <c r="A3923" s="2">
        <f>IFERROR(__xludf.DUMMYFUNCTION("""COMPUTED_VALUE"""),82838.0)</f>
        <v>82838</v>
      </c>
      <c r="B3923" s="2">
        <f>IFERROR(__xludf.DUMMYFUNCTION("""COMPUTED_VALUE"""),0.0)</f>
        <v>0</v>
      </c>
      <c r="C3923" s="2">
        <f>IFERROR(__xludf.DUMMYFUNCTION("""COMPUTED_VALUE"""),336.0)</f>
        <v>336</v>
      </c>
      <c r="D3923" s="3">
        <f>IFERROR(__xludf.DUMMYFUNCTION("""COMPUTED_VALUE"""),302.0)</f>
        <v>302</v>
      </c>
      <c r="E3923" s="2"/>
      <c r="F3923" s="2"/>
    </row>
    <row r="3924">
      <c r="A3924" s="2">
        <f>IFERROR(__xludf.DUMMYFUNCTION("""COMPUTED_VALUE"""),111960.0)</f>
        <v>111960</v>
      </c>
      <c r="B3924" s="2">
        <f>IFERROR(__xludf.DUMMYFUNCTION("""COMPUTED_VALUE"""),0.0)</f>
        <v>0</v>
      </c>
      <c r="C3924" s="2">
        <f>IFERROR(__xludf.DUMMYFUNCTION("""COMPUTED_VALUE"""),56.0)</f>
        <v>56</v>
      </c>
      <c r="D3924" s="3">
        <f>IFERROR(__xludf.DUMMYFUNCTION("""COMPUTED_VALUE"""),37.0)</f>
        <v>37</v>
      </c>
      <c r="E3924" s="2"/>
      <c r="F3924" s="2"/>
    </row>
    <row r="3925">
      <c r="A3925" s="2">
        <f>IFERROR(__xludf.DUMMYFUNCTION("""COMPUTED_VALUE"""),108840.0)</f>
        <v>108840</v>
      </c>
      <c r="B3925" s="2">
        <f>IFERROR(__xludf.DUMMYFUNCTION("""COMPUTED_VALUE"""),0.0)</f>
        <v>0</v>
      </c>
      <c r="C3925" s="2">
        <f>IFERROR(__xludf.DUMMYFUNCTION("""COMPUTED_VALUE"""),971.0)</f>
        <v>971</v>
      </c>
      <c r="D3925" s="3">
        <f>IFERROR(__xludf.DUMMYFUNCTION("""COMPUTED_VALUE"""),650.0)</f>
        <v>650</v>
      </c>
      <c r="E3925" s="2"/>
      <c r="F3925" s="2"/>
    </row>
    <row r="3926">
      <c r="A3926" s="2">
        <f>IFERROR(__xludf.DUMMYFUNCTION("""COMPUTED_VALUE"""),201044.0)</f>
        <v>201044</v>
      </c>
      <c r="B3926" s="2">
        <f>IFERROR(__xludf.DUMMYFUNCTION("""COMPUTED_VALUE"""),1.0)</f>
        <v>1</v>
      </c>
      <c r="C3926" s="2">
        <f>IFERROR(__xludf.DUMMYFUNCTION("""COMPUTED_VALUE"""),533.0)</f>
        <v>533</v>
      </c>
      <c r="D3926" s="3">
        <f>IFERROR(__xludf.DUMMYFUNCTION("""COMPUTED_VALUE"""),106.0)</f>
        <v>106</v>
      </c>
      <c r="E3926" s="2"/>
      <c r="F3926" s="2"/>
    </row>
    <row r="3927">
      <c r="A3927" s="2">
        <f>IFERROR(__xludf.DUMMYFUNCTION("""COMPUTED_VALUE"""),81880.0)</f>
        <v>81880</v>
      </c>
      <c r="B3927" s="2">
        <f>IFERROR(__xludf.DUMMYFUNCTION("""COMPUTED_VALUE"""),0.0)</f>
        <v>0</v>
      </c>
      <c r="C3927" s="2">
        <f>IFERROR(__xludf.DUMMYFUNCTION("""COMPUTED_VALUE"""),193.0)</f>
        <v>193</v>
      </c>
      <c r="D3927" s="3">
        <f>IFERROR(__xludf.DUMMYFUNCTION("""COMPUTED_VALUE"""),2.0)</f>
        <v>2</v>
      </c>
      <c r="E3927" s="2"/>
      <c r="F3927" s="2"/>
    </row>
    <row r="3928">
      <c r="A3928" s="2">
        <f>IFERROR(__xludf.DUMMYFUNCTION("""COMPUTED_VALUE"""),81873.0)</f>
        <v>81873</v>
      </c>
      <c r="B3928" s="2">
        <f>IFERROR(__xludf.DUMMYFUNCTION("""COMPUTED_VALUE"""),1.0)</f>
        <v>1</v>
      </c>
      <c r="C3928" s="2">
        <f>IFERROR(__xludf.DUMMYFUNCTION("""COMPUTED_VALUE"""),353.0)</f>
        <v>353</v>
      </c>
      <c r="D3928" s="3">
        <f>IFERROR(__xludf.DUMMYFUNCTION("""COMPUTED_VALUE"""),325.0)</f>
        <v>325</v>
      </c>
      <c r="E3928" s="2"/>
      <c r="F3928" s="2"/>
    </row>
    <row r="3929">
      <c r="A3929" s="2">
        <f>IFERROR(__xludf.DUMMYFUNCTION("""COMPUTED_VALUE"""),117613.0)</f>
        <v>117613</v>
      </c>
      <c r="B3929" s="2">
        <f>IFERROR(__xludf.DUMMYFUNCTION("""COMPUTED_VALUE"""),0.0)</f>
        <v>0</v>
      </c>
      <c r="C3929" s="2">
        <f>IFERROR(__xludf.DUMMYFUNCTION("""COMPUTED_VALUE"""),587.0)</f>
        <v>587</v>
      </c>
      <c r="D3929" s="3">
        <f>IFERROR(__xludf.DUMMYFUNCTION("""COMPUTED_VALUE"""),570.0)</f>
        <v>570</v>
      </c>
      <c r="E3929" s="2"/>
      <c r="F3929" s="2"/>
    </row>
    <row r="3930">
      <c r="A3930" s="2">
        <f>IFERROR(__xludf.DUMMYFUNCTION("""COMPUTED_VALUE"""),81876.0)</f>
        <v>81876</v>
      </c>
      <c r="B3930" s="2">
        <f>IFERROR(__xludf.DUMMYFUNCTION("""COMPUTED_VALUE"""),0.0)</f>
        <v>0</v>
      </c>
      <c r="C3930" s="2">
        <f>IFERROR(__xludf.DUMMYFUNCTION("""COMPUTED_VALUE"""),753.0)</f>
        <v>753</v>
      </c>
      <c r="D3930" s="3">
        <f>IFERROR(__xludf.DUMMYFUNCTION("""COMPUTED_VALUE"""),691.0)</f>
        <v>691</v>
      </c>
      <c r="E3930" s="2"/>
      <c r="F3930" s="2"/>
    </row>
    <row r="3931">
      <c r="A3931" s="2">
        <f>IFERROR(__xludf.DUMMYFUNCTION("""COMPUTED_VALUE"""),104050.0)</f>
        <v>104050</v>
      </c>
      <c r="B3931" s="2">
        <f>IFERROR(__xludf.DUMMYFUNCTION("""COMPUTED_VALUE"""),1.0)</f>
        <v>1</v>
      </c>
      <c r="C3931" s="2">
        <f>IFERROR(__xludf.DUMMYFUNCTION("""COMPUTED_VALUE"""),176.0)</f>
        <v>176</v>
      </c>
      <c r="D3931" s="3">
        <f>IFERROR(__xludf.DUMMYFUNCTION("""COMPUTED_VALUE"""),143.0)</f>
        <v>143</v>
      </c>
      <c r="E3931" s="2"/>
      <c r="F3931" s="2"/>
    </row>
    <row r="3932">
      <c r="A3932" s="2">
        <f>IFERROR(__xludf.DUMMYFUNCTION("""COMPUTED_VALUE"""),111934.0)</f>
        <v>111934</v>
      </c>
      <c r="B3932" s="2">
        <f>IFERROR(__xludf.DUMMYFUNCTION("""COMPUTED_VALUE"""),0.0)</f>
        <v>0</v>
      </c>
      <c r="C3932" s="2">
        <f>IFERROR(__xludf.DUMMYFUNCTION("""COMPUTED_VALUE"""),677.0)</f>
        <v>677</v>
      </c>
      <c r="D3932" s="3">
        <f>IFERROR(__xludf.DUMMYFUNCTION("""COMPUTED_VALUE"""),593.0)</f>
        <v>593</v>
      </c>
      <c r="E3932" s="2"/>
      <c r="F3932" s="2"/>
    </row>
    <row r="3933">
      <c r="A3933" s="2">
        <f>IFERROR(__xludf.DUMMYFUNCTION("""COMPUTED_VALUE"""),29819.0)</f>
        <v>29819</v>
      </c>
      <c r="B3933" s="2">
        <f>IFERROR(__xludf.DUMMYFUNCTION("""COMPUTED_VALUE"""),0.0)</f>
        <v>0</v>
      </c>
      <c r="C3933" s="2">
        <f>IFERROR(__xludf.DUMMYFUNCTION("""COMPUTED_VALUE"""),375.0)</f>
        <v>375</v>
      </c>
      <c r="D3933" s="3">
        <f>IFERROR(__xludf.DUMMYFUNCTION("""COMPUTED_VALUE"""),40.0)</f>
        <v>40</v>
      </c>
      <c r="E3933" s="2"/>
      <c r="F3933" s="2"/>
    </row>
    <row r="3934">
      <c r="A3934" s="2">
        <f>IFERROR(__xludf.DUMMYFUNCTION("""COMPUTED_VALUE"""),120392.0)</f>
        <v>120392</v>
      </c>
      <c r="B3934" s="2">
        <f>IFERROR(__xludf.DUMMYFUNCTION("""COMPUTED_VALUE"""),0.0)</f>
        <v>0</v>
      </c>
      <c r="C3934" s="2">
        <f>IFERROR(__xludf.DUMMYFUNCTION("""COMPUTED_VALUE"""),375.0)</f>
        <v>375</v>
      </c>
      <c r="D3934" s="3">
        <f>IFERROR(__xludf.DUMMYFUNCTION("""COMPUTED_VALUE"""),146.0)</f>
        <v>146</v>
      </c>
      <c r="E3934" s="2"/>
      <c r="F3934" s="2"/>
    </row>
    <row r="3935">
      <c r="A3935" s="2">
        <f>IFERROR(__xludf.DUMMYFUNCTION("""COMPUTED_VALUE"""),29820.0)</f>
        <v>29820</v>
      </c>
      <c r="B3935" s="2">
        <f>IFERROR(__xludf.DUMMYFUNCTION("""COMPUTED_VALUE"""),1.0)</f>
        <v>1</v>
      </c>
      <c r="C3935" s="2">
        <f>IFERROR(__xludf.DUMMYFUNCTION("""COMPUTED_VALUE"""),376.0)</f>
        <v>376</v>
      </c>
      <c r="D3935" s="3">
        <f>IFERROR(__xludf.DUMMYFUNCTION("""COMPUTED_VALUE"""),340.0)</f>
        <v>340</v>
      </c>
      <c r="E3935" s="2"/>
      <c r="F3935" s="2"/>
    </row>
    <row r="3936">
      <c r="A3936" s="2">
        <f>IFERROR(__xludf.DUMMYFUNCTION("""COMPUTED_VALUE"""),83755.0)</f>
        <v>83755</v>
      </c>
      <c r="B3936" s="2">
        <f>IFERROR(__xludf.DUMMYFUNCTION("""COMPUTED_VALUE"""),0.0)</f>
        <v>0</v>
      </c>
      <c r="C3936" s="2">
        <f>IFERROR(__xludf.DUMMYFUNCTION("""COMPUTED_VALUE"""),103.0)</f>
        <v>103</v>
      </c>
      <c r="D3936" s="3">
        <f>IFERROR(__xludf.DUMMYFUNCTION("""COMPUTED_VALUE"""),59.0)</f>
        <v>59</v>
      </c>
      <c r="E3936" s="2"/>
      <c r="F3936" s="2"/>
    </row>
    <row r="3937">
      <c r="A3937" s="2">
        <f>IFERROR(__xludf.DUMMYFUNCTION("""COMPUTED_VALUE"""),111941.0)</f>
        <v>111941</v>
      </c>
      <c r="B3937" s="2">
        <f>IFERROR(__xludf.DUMMYFUNCTION("""COMPUTED_VALUE"""),0.0)</f>
        <v>0</v>
      </c>
      <c r="C3937" s="2">
        <f>IFERROR(__xludf.DUMMYFUNCTION("""COMPUTED_VALUE"""),406.0)</f>
        <v>406</v>
      </c>
      <c r="D3937" s="3">
        <f>IFERROR(__xludf.DUMMYFUNCTION("""COMPUTED_VALUE"""),379.0)</f>
        <v>379</v>
      </c>
      <c r="E3937" s="2"/>
      <c r="F3937" s="2"/>
    </row>
    <row r="3938">
      <c r="A3938" s="2">
        <f>IFERROR(__xludf.DUMMYFUNCTION("""COMPUTED_VALUE"""),80858.0)</f>
        <v>80858</v>
      </c>
      <c r="B3938" s="2">
        <f>IFERROR(__xludf.DUMMYFUNCTION("""COMPUTED_VALUE"""),1.0)</f>
        <v>1</v>
      </c>
      <c r="C3938" s="2">
        <f>IFERROR(__xludf.DUMMYFUNCTION("""COMPUTED_VALUE"""),105.0)</f>
        <v>105</v>
      </c>
      <c r="D3938" s="3">
        <f>IFERROR(__xludf.DUMMYFUNCTION("""COMPUTED_VALUE"""),75.0)</f>
        <v>75</v>
      </c>
      <c r="E3938" s="2"/>
      <c r="F3938" s="2"/>
    </row>
    <row r="3939">
      <c r="A3939" s="2">
        <f>IFERROR(__xludf.DUMMYFUNCTION("""COMPUTED_VALUE"""),81902.0)</f>
        <v>81902</v>
      </c>
      <c r="B3939" s="2">
        <f>IFERROR(__xludf.DUMMYFUNCTION("""COMPUTED_VALUE"""),0.0)</f>
        <v>0</v>
      </c>
      <c r="C3939" s="2">
        <f>IFERROR(__xludf.DUMMYFUNCTION("""COMPUTED_VALUE"""),890.0)</f>
        <v>890</v>
      </c>
      <c r="D3939" s="3">
        <f>IFERROR(__xludf.DUMMYFUNCTION("""COMPUTED_VALUE"""),750.0)</f>
        <v>750</v>
      </c>
      <c r="E3939" s="2"/>
      <c r="F3939" s="2"/>
    </row>
    <row r="3940">
      <c r="A3940" s="2">
        <f>IFERROR(__xludf.DUMMYFUNCTION("""COMPUTED_VALUE"""),83754.0)</f>
        <v>83754</v>
      </c>
      <c r="B3940" s="2">
        <f>IFERROR(__xludf.DUMMYFUNCTION("""COMPUTED_VALUE"""),1.0)</f>
        <v>1</v>
      </c>
      <c r="C3940" s="2">
        <f>IFERROR(__xludf.DUMMYFUNCTION("""COMPUTED_VALUE"""),609.0)</f>
        <v>609</v>
      </c>
      <c r="D3940" s="3">
        <f>IFERROR(__xludf.DUMMYFUNCTION("""COMPUTED_VALUE"""),469.0)</f>
        <v>469</v>
      </c>
      <c r="E3940" s="2"/>
      <c r="F3940" s="2"/>
    </row>
    <row r="3941">
      <c r="A3941" s="2">
        <f>IFERROR(__xludf.DUMMYFUNCTION("""COMPUTED_VALUE"""),116233.0)</f>
        <v>116233</v>
      </c>
      <c r="B3941" s="2">
        <f>IFERROR(__xludf.DUMMYFUNCTION("""COMPUTED_VALUE"""),0.0)</f>
        <v>0</v>
      </c>
      <c r="C3941" s="2">
        <f>IFERROR(__xludf.DUMMYFUNCTION("""COMPUTED_VALUE"""),68.0)</f>
        <v>68</v>
      </c>
      <c r="D3941" s="3">
        <f>IFERROR(__xludf.DUMMYFUNCTION("""COMPUTED_VALUE"""),19.0)</f>
        <v>19</v>
      </c>
      <c r="E3941" s="2"/>
      <c r="F3941" s="2"/>
    </row>
    <row r="3942">
      <c r="A3942" s="2">
        <f>IFERROR(__xludf.DUMMYFUNCTION("""COMPUTED_VALUE"""),112192.0)</f>
        <v>112192</v>
      </c>
      <c r="B3942" s="2">
        <f>IFERROR(__xludf.DUMMYFUNCTION("""COMPUTED_VALUE"""),0.0)</f>
        <v>0</v>
      </c>
      <c r="C3942" s="2">
        <f>IFERROR(__xludf.DUMMYFUNCTION("""COMPUTED_VALUE"""),483.0)</f>
        <v>483</v>
      </c>
      <c r="D3942" s="3">
        <f>IFERROR(__xludf.DUMMYFUNCTION("""COMPUTED_VALUE"""),286.0)</f>
        <v>286</v>
      </c>
      <c r="E3942" s="2"/>
      <c r="F3942" s="2"/>
    </row>
    <row r="3943">
      <c r="A3943" s="2">
        <f>IFERROR(__xludf.DUMMYFUNCTION("""COMPUTED_VALUE"""),119728.0)</f>
        <v>119728</v>
      </c>
      <c r="B3943" s="2">
        <f>IFERROR(__xludf.DUMMYFUNCTION("""COMPUTED_VALUE"""),1.0)</f>
        <v>1</v>
      </c>
      <c r="C3943" s="2">
        <f>IFERROR(__xludf.DUMMYFUNCTION("""COMPUTED_VALUE"""),125.0)</f>
        <v>125</v>
      </c>
      <c r="D3943" s="3">
        <f>IFERROR(__xludf.DUMMYFUNCTION("""COMPUTED_VALUE"""),14.0)</f>
        <v>14</v>
      </c>
      <c r="E3943" s="2"/>
      <c r="F3943" s="2"/>
    </row>
    <row r="3944">
      <c r="A3944" s="2">
        <f>IFERROR(__xludf.DUMMYFUNCTION("""COMPUTED_VALUE"""),81901.0)</f>
        <v>81901</v>
      </c>
      <c r="B3944" s="2">
        <f>IFERROR(__xludf.DUMMYFUNCTION("""COMPUTED_VALUE"""),0.0)</f>
        <v>0</v>
      </c>
      <c r="C3944" s="2">
        <f>IFERROR(__xludf.DUMMYFUNCTION("""COMPUTED_VALUE"""),819.0)</f>
        <v>819</v>
      </c>
      <c r="D3944" s="3">
        <f>IFERROR(__xludf.DUMMYFUNCTION("""COMPUTED_VALUE"""),588.0)</f>
        <v>588</v>
      </c>
      <c r="E3944" s="2"/>
      <c r="F3944" s="2"/>
    </row>
    <row r="3945">
      <c r="A3945" s="2">
        <f>IFERROR(__xludf.DUMMYFUNCTION("""COMPUTED_VALUE"""),141878.0)</f>
        <v>141878</v>
      </c>
      <c r="B3945" s="2">
        <f>IFERROR(__xludf.DUMMYFUNCTION("""COMPUTED_VALUE"""),0.0)</f>
        <v>0</v>
      </c>
      <c r="C3945" s="2">
        <f>IFERROR(__xludf.DUMMYFUNCTION("""COMPUTED_VALUE"""),272.0)</f>
        <v>272</v>
      </c>
      <c r="D3945" s="3">
        <f>IFERROR(__xludf.DUMMYFUNCTION("""COMPUTED_VALUE"""),123.0)</f>
        <v>123</v>
      </c>
      <c r="E3945" s="2"/>
      <c r="F3945" s="2"/>
    </row>
    <row r="3946">
      <c r="A3946" s="2">
        <f>IFERROR(__xludf.DUMMYFUNCTION("""COMPUTED_VALUE"""),116236.0)</f>
        <v>116236</v>
      </c>
      <c r="B3946" s="2">
        <f>IFERROR(__xludf.DUMMYFUNCTION("""COMPUTED_VALUE"""),0.0)</f>
        <v>0</v>
      </c>
      <c r="C3946" s="2">
        <f>IFERROR(__xludf.DUMMYFUNCTION("""COMPUTED_VALUE"""),443.0)</f>
        <v>443</v>
      </c>
      <c r="D3946" s="3">
        <f>IFERROR(__xludf.DUMMYFUNCTION("""COMPUTED_VALUE"""),65.0)</f>
        <v>65</v>
      </c>
      <c r="E3946" s="2"/>
      <c r="F3946" s="2"/>
    </row>
    <row r="3947">
      <c r="A3947" s="2">
        <f>IFERROR(__xludf.DUMMYFUNCTION("""COMPUTED_VALUE"""),120751.0)</f>
        <v>120751</v>
      </c>
      <c r="B3947" s="2">
        <f>IFERROR(__xludf.DUMMYFUNCTION("""COMPUTED_VALUE"""),0.0)</f>
        <v>0</v>
      </c>
      <c r="C3947" s="2">
        <f>IFERROR(__xludf.DUMMYFUNCTION("""COMPUTED_VALUE"""),278.0)</f>
        <v>278</v>
      </c>
      <c r="D3947" s="3">
        <f>IFERROR(__xludf.DUMMYFUNCTION("""COMPUTED_VALUE"""),31.0)</f>
        <v>31</v>
      </c>
      <c r="E3947" s="2"/>
      <c r="F3947" s="2"/>
    </row>
    <row r="3948">
      <c r="A3948" s="2">
        <f>IFERROR(__xludf.DUMMYFUNCTION("""COMPUTED_VALUE"""),80756.0)</f>
        <v>80756</v>
      </c>
      <c r="B3948" s="2">
        <f>IFERROR(__xludf.DUMMYFUNCTION("""COMPUTED_VALUE"""),1.0)</f>
        <v>1</v>
      </c>
      <c r="C3948" s="2">
        <f>IFERROR(__xludf.DUMMYFUNCTION("""COMPUTED_VALUE"""),311.0)</f>
        <v>311</v>
      </c>
      <c r="D3948" s="3">
        <f>IFERROR(__xludf.DUMMYFUNCTION("""COMPUTED_VALUE"""),242.0)</f>
        <v>242</v>
      </c>
      <c r="E3948" s="2"/>
      <c r="F3948" s="2"/>
    </row>
    <row r="3949">
      <c r="A3949" s="2">
        <f>IFERROR(__xludf.DUMMYFUNCTION("""COMPUTED_VALUE"""),119729.0)</f>
        <v>119729</v>
      </c>
      <c r="B3949" s="2">
        <f>IFERROR(__xludf.DUMMYFUNCTION("""COMPUTED_VALUE"""),1.0)</f>
        <v>1</v>
      </c>
      <c r="C3949" s="2">
        <f>IFERROR(__xludf.DUMMYFUNCTION("""COMPUTED_VALUE"""),255.0)</f>
        <v>255</v>
      </c>
      <c r="D3949" s="3">
        <f>IFERROR(__xludf.DUMMYFUNCTION("""COMPUTED_VALUE"""),181.0)</f>
        <v>181</v>
      </c>
      <c r="E3949" s="2"/>
      <c r="F3949" s="2"/>
    </row>
    <row r="3950">
      <c r="A3950" s="2">
        <f>IFERROR(__xludf.DUMMYFUNCTION("""COMPUTED_VALUE"""),119028.0)</f>
        <v>119028</v>
      </c>
      <c r="B3950" s="2">
        <f>IFERROR(__xludf.DUMMYFUNCTION("""COMPUTED_VALUE"""),1.0)</f>
        <v>1</v>
      </c>
      <c r="C3950" s="2">
        <f>IFERROR(__xludf.DUMMYFUNCTION("""COMPUTED_VALUE"""),867.0)</f>
        <v>867</v>
      </c>
      <c r="D3950" s="3">
        <f>IFERROR(__xludf.DUMMYFUNCTION("""COMPUTED_VALUE"""),649.0)</f>
        <v>649</v>
      </c>
      <c r="E3950" s="2"/>
      <c r="F3950" s="2"/>
    </row>
    <row r="3951">
      <c r="A3951" s="2">
        <f>IFERROR(__xludf.DUMMYFUNCTION("""COMPUTED_VALUE"""),116957.0)</f>
        <v>116957</v>
      </c>
      <c r="B3951" s="2">
        <f>IFERROR(__xludf.DUMMYFUNCTION("""COMPUTED_VALUE"""),0.0)</f>
        <v>0</v>
      </c>
      <c r="C3951" s="2">
        <f>IFERROR(__xludf.DUMMYFUNCTION("""COMPUTED_VALUE"""),820.0)</f>
        <v>820</v>
      </c>
      <c r="D3951" s="3">
        <f>IFERROR(__xludf.DUMMYFUNCTION("""COMPUTED_VALUE"""),92.0)</f>
        <v>92</v>
      </c>
      <c r="E3951" s="2"/>
      <c r="F3951" s="2"/>
    </row>
    <row r="3952">
      <c r="A3952" s="2">
        <f>IFERROR(__xludf.DUMMYFUNCTION("""COMPUTED_VALUE"""),78235.0)</f>
        <v>78235</v>
      </c>
      <c r="B3952" s="2">
        <f>IFERROR(__xludf.DUMMYFUNCTION("""COMPUTED_VALUE"""),0.0)</f>
        <v>0</v>
      </c>
      <c r="C3952" s="2">
        <f>IFERROR(__xludf.DUMMYFUNCTION("""COMPUTED_VALUE"""),642.0)</f>
        <v>642</v>
      </c>
      <c r="D3952" s="3">
        <f>IFERROR(__xludf.DUMMYFUNCTION("""COMPUTED_VALUE"""),577.0)</f>
        <v>577</v>
      </c>
      <c r="E3952" s="2"/>
      <c r="F3952" s="2"/>
    </row>
    <row r="3953">
      <c r="A3953" s="2">
        <f>IFERROR(__xludf.DUMMYFUNCTION("""COMPUTED_VALUE"""),119803.0)</f>
        <v>119803</v>
      </c>
      <c r="B3953" s="2">
        <f>IFERROR(__xludf.DUMMYFUNCTION("""COMPUTED_VALUE"""),0.0)</f>
        <v>0</v>
      </c>
      <c r="C3953" s="2">
        <f>IFERROR(__xludf.DUMMYFUNCTION("""COMPUTED_VALUE"""),417.0)</f>
        <v>417</v>
      </c>
      <c r="D3953" s="3">
        <f>IFERROR(__xludf.DUMMYFUNCTION("""COMPUTED_VALUE"""),222.0)</f>
        <v>222</v>
      </c>
      <c r="E3953" s="2"/>
      <c r="F3953" s="2"/>
    </row>
    <row r="3954">
      <c r="A3954" s="2">
        <f>IFERROR(__xludf.DUMMYFUNCTION("""COMPUTED_VALUE"""),7669.0)</f>
        <v>7669</v>
      </c>
      <c r="B3954" s="2">
        <f>IFERROR(__xludf.DUMMYFUNCTION("""COMPUTED_VALUE"""),0.0)</f>
        <v>0</v>
      </c>
      <c r="C3954" s="2">
        <f>IFERROR(__xludf.DUMMYFUNCTION("""COMPUTED_VALUE"""),793.0)</f>
        <v>793</v>
      </c>
      <c r="D3954" s="3">
        <f>IFERROR(__xludf.DUMMYFUNCTION("""COMPUTED_VALUE"""),716.0)</f>
        <v>716</v>
      </c>
      <c r="E3954" s="2"/>
      <c r="F3954" s="2"/>
    </row>
    <row r="3955">
      <c r="A3955" s="2">
        <f>IFERROR(__xludf.DUMMYFUNCTION("""COMPUTED_VALUE"""),139312.0)</f>
        <v>139312</v>
      </c>
      <c r="B3955" s="2">
        <f>IFERROR(__xludf.DUMMYFUNCTION("""COMPUTED_VALUE"""),0.0)</f>
        <v>0</v>
      </c>
      <c r="C3955" s="2">
        <f>IFERROR(__xludf.DUMMYFUNCTION("""COMPUTED_VALUE"""),403.0)</f>
        <v>403</v>
      </c>
      <c r="D3955" s="3">
        <f>IFERROR(__xludf.DUMMYFUNCTION("""COMPUTED_VALUE"""),218.0)</f>
        <v>218</v>
      </c>
      <c r="E3955" s="2"/>
      <c r="F3955" s="2"/>
    </row>
    <row r="3956">
      <c r="A3956" s="2">
        <f>IFERROR(__xludf.DUMMYFUNCTION("""COMPUTED_VALUE"""),77773.0)</f>
        <v>77773</v>
      </c>
      <c r="B3956" s="2">
        <f>IFERROR(__xludf.DUMMYFUNCTION("""COMPUTED_VALUE"""),1.0)</f>
        <v>1</v>
      </c>
      <c r="C3956" s="2">
        <f>IFERROR(__xludf.DUMMYFUNCTION("""COMPUTED_VALUE"""),523.0)</f>
        <v>523</v>
      </c>
      <c r="D3956" s="3">
        <f>IFERROR(__xludf.DUMMYFUNCTION("""COMPUTED_VALUE"""),310.0)</f>
        <v>310</v>
      </c>
      <c r="E3956" s="2"/>
      <c r="F3956" s="2"/>
    </row>
    <row r="3957">
      <c r="A3957" s="2">
        <f>IFERROR(__xludf.DUMMYFUNCTION("""COMPUTED_VALUE"""),73442.0)</f>
        <v>73442</v>
      </c>
      <c r="B3957" s="2">
        <f>IFERROR(__xludf.DUMMYFUNCTION("""COMPUTED_VALUE"""),0.0)</f>
        <v>0</v>
      </c>
      <c r="C3957" s="2">
        <f>IFERROR(__xludf.DUMMYFUNCTION("""COMPUTED_VALUE"""),851.0)</f>
        <v>851</v>
      </c>
      <c r="D3957" s="3">
        <f>IFERROR(__xludf.DUMMYFUNCTION("""COMPUTED_VALUE"""),533.0)</f>
        <v>533</v>
      </c>
      <c r="E3957" s="2"/>
      <c r="F3957" s="2"/>
    </row>
    <row r="3958">
      <c r="A3958" s="2">
        <f>IFERROR(__xludf.DUMMYFUNCTION("""COMPUTED_VALUE"""),3974.0)</f>
        <v>3974</v>
      </c>
      <c r="B3958" s="2">
        <f>IFERROR(__xludf.DUMMYFUNCTION("""COMPUTED_VALUE"""),0.0)</f>
        <v>0</v>
      </c>
      <c r="C3958" s="2">
        <f>IFERROR(__xludf.DUMMYFUNCTION("""COMPUTED_VALUE"""),514.0)</f>
        <v>514</v>
      </c>
      <c r="D3958" s="3">
        <f>IFERROR(__xludf.DUMMYFUNCTION("""COMPUTED_VALUE"""),304.0)</f>
        <v>304</v>
      </c>
      <c r="E3958" s="2"/>
      <c r="F3958" s="2"/>
    </row>
    <row r="3959">
      <c r="A3959" s="2">
        <f>IFERROR(__xludf.DUMMYFUNCTION("""COMPUTED_VALUE"""),104032.0)</f>
        <v>104032</v>
      </c>
      <c r="B3959" s="2">
        <f>IFERROR(__xludf.DUMMYFUNCTION("""COMPUTED_VALUE"""),0.0)</f>
        <v>0</v>
      </c>
      <c r="C3959" s="2">
        <f>IFERROR(__xludf.DUMMYFUNCTION("""COMPUTED_VALUE"""),724.0)</f>
        <v>724</v>
      </c>
      <c r="D3959" s="3">
        <f>IFERROR(__xludf.DUMMYFUNCTION("""COMPUTED_VALUE"""),138.0)</f>
        <v>138</v>
      </c>
      <c r="E3959" s="2"/>
      <c r="F3959" s="2"/>
    </row>
    <row r="3960">
      <c r="A3960" s="2">
        <f>IFERROR(__xludf.DUMMYFUNCTION("""COMPUTED_VALUE"""),24162.0)</f>
        <v>24162</v>
      </c>
      <c r="B3960" s="2">
        <f>IFERROR(__xludf.DUMMYFUNCTION("""COMPUTED_VALUE"""),1.0)</f>
        <v>1</v>
      </c>
      <c r="C3960" s="2">
        <f>IFERROR(__xludf.DUMMYFUNCTION("""COMPUTED_VALUE"""),811.0)</f>
        <v>811</v>
      </c>
      <c r="D3960" s="3">
        <f>IFERROR(__xludf.DUMMYFUNCTION("""COMPUTED_VALUE"""),429.0)</f>
        <v>429</v>
      </c>
      <c r="E3960" s="2"/>
      <c r="F3960" s="2"/>
    </row>
    <row r="3961">
      <c r="A3961" s="2">
        <f>IFERROR(__xludf.DUMMYFUNCTION("""COMPUTED_VALUE"""),24167.0)</f>
        <v>24167</v>
      </c>
      <c r="B3961" s="2">
        <f>IFERROR(__xludf.DUMMYFUNCTION("""COMPUTED_VALUE"""),1.0)</f>
        <v>1</v>
      </c>
      <c r="C3961" s="2">
        <f>IFERROR(__xludf.DUMMYFUNCTION("""COMPUTED_VALUE"""),517.0)</f>
        <v>517</v>
      </c>
      <c r="D3961" s="3">
        <f>IFERROR(__xludf.DUMMYFUNCTION("""COMPUTED_VALUE"""),446.0)</f>
        <v>446</v>
      </c>
      <c r="E3961" s="2"/>
      <c r="F3961" s="2"/>
    </row>
    <row r="3962">
      <c r="A3962" s="2">
        <f>IFERROR(__xludf.DUMMYFUNCTION("""COMPUTED_VALUE"""),24174.0)</f>
        <v>24174</v>
      </c>
      <c r="B3962" s="2">
        <f>IFERROR(__xludf.DUMMYFUNCTION("""COMPUTED_VALUE"""),0.0)</f>
        <v>0</v>
      </c>
      <c r="C3962" s="2">
        <f>IFERROR(__xludf.DUMMYFUNCTION("""COMPUTED_VALUE"""),530.0)</f>
        <v>530</v>
      </c>
      <c r="D3962" s="3">
        <f>IFERROR(__xludf.DUMMYFUNCTION("""COMPUTED_VALUE"""),491.0)</f>
        <v>491</v>
      </c>
      <c r="E3962" s="2"/>
      <c r="F3962" s="2"/>
    </row>
    <row r="3963">
      <c r="A3963" s="2">
        <f>IFERROR(__xludf.DUMMYFUNCTION("""COMPUTED_VALUE"""),24161.0)</f>
        <v>24161</v>
      </c>
      <c r="B3963" s="2">
        <f>IFERROR(__xludf.DUMMYFUNCTION("""COMPUTED_VALUE"""),0.0)</f>
        <v>0</v>
      </c>
      <c r="C3963" s="2">
        <f>IFERROR(__xludf.DUMMYFUNCTION("""COMPUTED_VALUE"""),948.0)</f>
        <v>948</v>
      </c>
      <c r="D3963" s="3">
        <f>IFERROR(__xludf.DUMMYFUNCTION("""COMPUTED_VALUE"""),162.0)</f>
        <v>162</v>
      </c>
      <c r="E3963" s="2"/>
      <c r="F3963" s="2"/>
    </row>
    <row r="3964">
      <c r="A3964" s="2">
        <f>IFERROR(__xludf.DUMMYFUNCTION("""COMPUTED_VALUE"""),88594.0)</f>
        <v>88594</v>
      </c>
      <c r="B3964" s="2">
        <f>IFERROR(__xludf.DUMMYFUNCTION("""COMPUTED_VALUE"""),0.0)</f>
        <v>0</v>
      </c>
      <c r="C3964" s="2">
        <f>IFERROR(__xludf.DUMMYFUNCTION("""COMPUTED_VALUE"""),890.0)</f>
        <v>890</v>
      </c>
      <c r="D3964" s="3">
        <f>IFERROR(__xludf.DUMMYFUNCTION("""COMPUTED_VALUE"""),874.0)</f>
        <v>874</v>
      </c>
      <c r="E3964" s="2"/>
      <c r="F3964" s="2"/>
    </row>
    <row r="3965">
      <c r="A3965" s="2">
        <f>IFERROR(__xludf.DUMMYFUNCTION("""COMPUTED_VALUE"""),118818.0)</f>
        <v>118818</v>
      </c>
      <c r="B3965" s="2">
        <f>IFERROR(__xludf.DUMMYFUNCTION("""COMPUTED_VALUE"""),1.0)</f>
        <v>1</v>
      </c>
      <c r="C3965" s="2">
        <f>IFERROR(__xludf.DUMMYFUNCTION("""COMPUTED_VALUE"""),883.0)</f>
        <v>883</v>
      </c>
      <c r="D3965" s="3">
        <f>IFERROR(__xludf.DUMMYFUNCTION("""COMPUTED_VALUE"""),194.0)</f>
        <v>194</v>
      </c>
      <c r="E3965" s="2"/>
      <c r="F3965" s="2"/>
    </row>
    <row r="3966">
      <c r="A3966" s="2">
        <f>IFERROR(__xludf.DUMMYFUNCTION("""COMPUTED_VALUE"""),24166.0)</f>
        <v>24166</v>
      </c>
      <c r="B3966" s="2">
        <f>IFERROR(__xludf.DUMMYFUNCTION("""COMPUTED_VALUE"""),1.0)</f>
        <v>1</v>
      </c>
      <c r="C3966" s="2">
        <f>IFERROR(__xludf.DUMMYFUNCTION("""COMPUTED_VALUE"""),158.0)</f>
        <v>158</v>
      </c>
      <c r="D3966" s="3">
        <f>IFERROR(__xludf.DUMMYFUNCTION("""COMPUTED_VALUE"""),26.0)</f>
        <v>26</v>
      </c>
      <c r="E3966" s="2"/>
      <c r="F3966" s="2"/>
    </row>
    <row r="3967">
      <c r="A3967" s="2">
        <f>IFERROR(__xludf.DUMMYFUNCTION("""COMPUTED_VALUE"""),118828.0)</f>
        <v>118828</v>
      </c>
      <c r="B3967" s="2">
        <f>IFERROR(__xludf.DUMMYFUNCTION("""COMPUTED_VALUE"""),0.0)</f>
        <v>0</v>
      </c>
      <c r="C3967" s="2">
        <f>IFERROR(__xludf.DUMMYFUNCTION("""COMPUTED_VALUE"""),494.0)</f>
        <v>494</v>
      </c>
      <c r="D3967" s="3">
        <f>IFERROR(__xludf.DUMMYFUNCTION("""COMPUTED_VALUE"""),317.0)</f>
        <v>317</v>
      </c>
      <c r="E3967" s="2"/>
      <c r="F3967" s="2"/>
    </row>
    <row r="3968">
      <c r="A3968" s="2">
        <f>IFERROR(__xludf.DUMMYFUNCTION("""COMPUTED_VALUE"""),86169.0)</f>
        <v>86169</v>
      </c>
      <c r="B3968" s="2">
        <f>IFERROR(__xludf.DUMMYFUNCTION("""COMPUTED_VALUE"""),1.0)</f>
        <v>1</v>
      </c>
      <c r="C3968" s="2">
        <f>IFERROR(__xludf.DUMMYFUNCTION("""COMPUTED_VALUE"""),922.0)</f>
        <v>922</v>
      </c>
      <c r="D3968" s="3">
        <f>IFERROR(__xludf.DUMMYFUNCTION("""COMPUTED_VALUE"""),48.0)</f>
        <v>48</v>
      </c>
      <c r="E3968" s="2"/>
      <c r="F3968" s="2"/>
    </row>
    <row r="3969">
      <c r="A3969" s="2">
        <f>IFERROR(__xludf.DUMMYFUNCTION("""COMPUTED_VALUE"""),118851.0)</f>
        <v>118851</v>
      </c>
      <c r="B3969" s="2">
        <f>IFERROR(__xludf.DUMMYFUNCTION("""COMPUTED_VALUE"""),0.0)</f>
        <v>0</v>
      </c>
      <c r="C3969" s="2">
        <f>IFERROR(__xludf.DUMMYFUNCTION("""COMPUTED_VALUE"""),398.0)</f>
        <v>398</v>
      </c>
      <c r="D3969" s="3">
        <f>IFERROR(__xludf.DUMMYFUNCTION("""COMPUTED_VALUE"""),358.0)</f>
        <v>358</v>
      </c>
      <c r="E3969" s="2"/>
      <c r="F3969" s="2"/>
    </row>
    <row r="3970">
      <c r="A3970" s="2">
        <f>IFERROR(__xludf.DUMMYFUNCTION("""COMPUTED_VALUE"""),118824.0)</f>
        <v>118824</v>
      </c>
      <c r="B3970" s="2">
        <f>IFERROR(__xludf.DUMMYFUNCTION("""COMPUTED_VALUE"""),1.0)</f>
        <v>1</v>
      </c>
      <c r="C3970" s="2">
        <f>IFERROR(__xludf.DUMMYFUNCTION("""COMPUTED_VALUE"""),69.0)</f>
        <v>69</v>
      </c>
      <c r="D3970" s="3">
        <f>IFERROR(__xludf.DUMMYFUNCTION("""COMPUTED_VALUE"""),42.0)</f>
        <v>42</v>
      </c>
      <c r="E3970" s="2"/>
      <c r="F3970" s="2"/>
    </row>
    <row r="3971">
      <c r="A3971" s="2">
        <f>IFERROR(__xludf.DUMMYFUNCTION("""COMPUTED_VALUE"""),122728.0)</f>
        <v>122728</v>
      </c>
      <c r="B3971" s="2">
        <f>IFERROR(__xludf.DUMMYFUNCTION("""COMPUTED_VALUE"""),0.0)</f>
        <v>0</v>
      </c>
      <c r="C3971" s="2">
        <f>IFERROR(__xludf.DUMMYFUNCTION("""COMPUTED_VALUE"""),669.0)</f>
        <v>669</v>
      </c>
      <c r="D3971" s="3">
        <f>IFERROR(__xludf.DUMMYFUNCTION("""COMPUTED_VALUE"""),122.0)</f>
        <v>122</v>
      </c>
      <c r="E3971" s="2"/>
      <c r="F3971" s="2"/>
    </row>
    <row r="3972">
      <c r="A3972" s="2">
        <f>IFERROR(__xludf.DUMMYFUNCTION("""COMPUTED_VALUE"""),103474.0)</f>
        <v>103474</v>
      </c>
      <c r="B3972" s="2">
        <f>IFERROR(__xludf.DUMMYFUNCTION("""COMPUTED_VALUE"""),0.0)</f>
        <v>0</v>
      </c>
      <c r="C3972" s="2">
        <f>IFERROR(__xludf.DUMMYFUNCTION("""COMPUTED_VALUE"""),432.0)</f>
        <v>432</v>
      </c>
      <c r="D3972" s="3">
        <f>IFERROR(__xludf.DUMMYFUNCTION("""COMPUTED_VALUE"""),34.0)</f>
        <v>34</v>
      </c>
      <c r="E3972" s="2"/>
      <c r="F3972" s="2"/>
    </row>
    <row r="3973">
      <c r="A3973" s="2">
        <f>IFERROR(__xludf.DUMMYFUNCTION("""COMPUTED_VALUE"""),120635.0)</f>
        <v>120635</v>
      </c>
      <c r="B3973" s="2">
        <f>IFERROR(__xludf.DUMMYFUNCTION("""COMPUTED_VALUE"""),0.0)</f>
        <v>0</v>
      </c>
      <c r="C3973" s="2">
        <f>IFERROR(__xludf.DUMMYFUNCTION("""COMPUTED_VALUE"""),236.0)</f>
        <v>236</v>
      </c>
      <c r="D3973" s="3">
        <f>IFERROR(__xludf.DUMMYFUNCTION("""COMPUTED_VALUE"""),119.0)</f>
        <v>119</v>
      </c>
      <c r="E3973" s="2"/>
      <c r="F3973" s="2"/>
    </row>
    <row r="3974">
      <c r="A3974" s="2">
        <f>IFERROR(__xludf.DUMMYFUNCTION("""COMPUTED_VALUE"""),120633.0)</f>
        <v>120633</v>
      </c>
      <c r="B3974" s="2">
        <f>IFERROR(__xludf.DUMMYFUNCTION("""COMPUTED_VALUE"""),1.0)</f>
        <v>1</v>
      </c>
      <c r="C3974" s="2">
        <f>IFERROR(__xludf.DUMMYFUNCTION("""COMPUTED_VALUE"""),333.0)</f>
        <v>333</v>
      </c>
      <c r="D3974" s="3">
        <f>IFERROR(__xludf.DUMMYFUNCTION("""COMPUTED_VALUE"""),162.0)</f>
        <v>162</v>
      </c>
      <c r="E3974" s="2"/>
      <c r="F3974" s="2"/>
    </row>
    <row r="3975">
      <c r="A3975" s="2">
        <f>IFERROR(__xludf.DUMMYFUNCTION("""COMPUTED_VALUE"""),121477.0)</f>
        <v>121477</v>
      </c>
      <c r="B3975" s="2">
        <f>IFERROR(__xludf.DUMMYFUNCTION("""COMPUTED_VALUE"""),1.0)</f>
        <v>1</v>
      </c>
      <c r="C3975" s="2">
        <f>IFERROR(__xludf.DUMMYFUNCTION("""COMPUTED_VALUE"""),836.0)</f>
        <v>836</v>
      </c>
      <c r="D3975" s="3">
        <f>IFERROR(__xludf.DUMMYFUNCTION("""COMPUTED_VALUE"""),686.0)</f>
        <v>686</v>
      </c>
      <c r="E3975" s="2"/>
      <c r="F3975" s="2"/>
    </row>
    <row r="3976">
      <c r="A3976" s="2">
        <f>IFERROR(__xludf.DUMMYFUNCTION("""COMPUTED_VALUE"""),156024.0)</f>
        <v>156024</v>
      </c>
      <c r="B3976" s="2">
        <f>IFERROR(__xludf.DUMMYFUNCTION("""COMPUTED_VALUE"""),1.0)</f>
        <v>1</v>
      </c>
      <c r="C3976" s="2">
        <f>IFERROR(__xludf.DUMMYFUNCTION("""COMPUTED_VALUE"""),628.0)</f>
        <v>628</v>
      </c>
      <c r="D3976" s="3">
        <f>IFERROR(__xludf.DUMMYFUNCTION("""COMPUTED_VALUE"""),385.0)</f>
        <v>385</v>
      </c>
      <c r="E3976" s="2"/>
      <c r="F3976" s="2"/>
    </row>
    <row r="3977">
      <c r="A3977" s="2">
        <f>IFERROR(__xludf.DUMMYFUNCTION("""COMPUTED_VALUE"""),70191.0)</f>
        <v>70191</v>
      </c>
      <c r="B3977" s="2">
        <f>IFERROR(__xludf.DUMMYFUNCTION("""COMPUTED_VALUE"""),0.0)</f>
        <v>0</v>
      </c>
      <c r="C3977" s="2">
        <f>IFERROR(__xludf.DUMMYFUNCTION("""COMPUTED_VALUE"""),317.0)</f>
        <v>317</v>
      </c>
      <c r="D3977" s="3">
        <f>IFERROR(__xludf.DUMMYFUNCTION("""COMPUTED_VALUE"""),14.0)</f>
        <v>14</v>
      </c>
      <c r="E3977" s="2"/>
      <c r="F3977" s="2"/>
    </row>
    <row r="3978">
      <c r="A3978" s="2">
        <f>IFERROR(__xludf.DUMMYFUNCTION("""COMPUTED_VALUE"""),19822.0)</f>
        <v>19822</v>
      </c>
      <c r="B3978" s="2">
        <f>IFERROR(__xludf.DUMMYFUNCTION("""COMPUTED_VALUE"""),0.0)</f>
        <v>0</v>
      </c>
      <c r="C3978" s="2">
        <f>IFERROR(__xludf.DUMMYFUNCTION("""COMPUTED_VALUE"""),657.0)</f>
        <v>657</v>
      </c>
      <c r="D3978" s="3">
        <f>IFERROR(__xludf.DUMMYFUNCTION("""COMPUTED_VALUE"""),512.0)</f>
        <v>512</v>
      </c>
      <c r="E3978" s="2"/>
      <c r="F3978" s="2"/>
    </row>
    <row r="3979">
      <c r="A3979" s="2">
        <f>IFERROR(__xludf.DUMMYFUNCTION("""COMPUTED_VALUE"""),156023.0)</f>
        <v>156023</v>
      </c>
      <c r="B3979" s="2">
        <f>IFERROR(__xludf.DUMMYFUNCTION("""COMPUTED_VALUE"""),1.0)</f>
        <v>1</v>
      </c>
      <c r="C3979" s="2">
        <f>IFERROR(__xludf.DUMMYFUNCTION("""COMPUTED_VALUE"""),295.0)</f>
        <v>295</v>
      </c>
      <c r="D3979" s="3">
        <f>IFERROR(__xludf.DUMMYFUNCTION("""COMPUTED_VALUE"""),96.0)</f>
        <v>96</v>
      </c>
      <c r="E3979" s="2"/>
      <c r="F3979" s="2"/>
    </row>
    <row r="3980">
      <c r="A3980" s="2">
        <f>IFERROR(__xludf.DUMMYFUNCTION("""COMPUTED_VALUE"""),120628.0)</f>
        <v>120628</v>
      </c>
      <c r="B3980" s="2">
        <f>IFERROR(__xludf.DUMMYFUNCTION("""COMPUTED_VALUE"""),0.0)</f>
        <v>0</v>
      </c>
      <c r="C3980" s="2">
        <f>IFERROR(__xludf.DUMMYFUNCTION("""COMPUTED_VALUE"""),551.0)</f>
        <v>551</v>
      </c>
      <c r="D3980" s="3">
        <f>IFERROR(__xludf.DUMMYFUNCTION("""COMPUTED_VALUE"""),57.0)</f>
        <v>57</v>
      </c>
      <c r="E3980" s="2"/>
      <c r="F3980" s="2"/>
    </row>
    <row r="3981">
      <c r="A3981" s="2">
        <f>IFERROR(__xludf.DUMMYFUNCTION("""COMPUTED_VALUE"""),45830.0)</f>
        <v>45830</v>
      </c>
      <c r="B3981" s="2">
        <f>IFERROR(__xludf.DUMMYFUNCTION("""COMPUTED_VALUE"""),0.0)</f>
        <v>0</v>
      </c>
      <c r="C3981" s="2">
        <f>IFERROR(__xludf.DUMMYFUNCTION("""COMPUTED_VALUE"""),362.0)</f>
        <v>362</v>
      </c>
      <c r="D3981" s="3">
        <f>IFERROR(__xludf.DUMMYFUNCTION("""COMPUTED_VALUE"""),36.0)</f>
        <v>36</v>
      </c>
      <c r="E3981" s="2"/>
      <c r="F3981" s="2"/>
    </row>
    <row r="3982">
      <c r="A3982" s="2">
        <f>IFERROR(__xludf.DUMMYFUNCTION("""COMPUTED_VALUE"""),86192.0)</f>
        <v>86192</v>
      </c>
      <c r="B3982" s="2">
        <f>IFERROR(__xludf.DUMMYFUNCTION("""COMPUTED_VALUE"""),0.0)</f>
        <v>0</v>
      </c>
      <c r="C3982" s="2">
        <f>IFERROR(__xludf.DUMMYFUNCTION("""COMPUTED_VALUE"""),19.0)</f>
        <v>19</v>
      </c>
      <c r="D3982" s="3">
        <f>IFERROR(__xludf.DUMMYFUNCTION("""COMPUTED_VALUE"""),13.0)</f>
        <v>13</v>
      </c>
      <c r="E3982" s="2"/>
      <c r="F3982" s="2"/>
    </row>
    <row r="3983">
      <c r="A3983" s="2">
        <f>IFERROR(__xludf.DUMMYFUNCTION("""COMPUTED_VALUE"""),127372.0)</f>
        <v>127372</v>
      </c>
      <c r="B3983" s="2">
        <f>IFERROR(__xludf.DUMMYFUNCTION("""COMPUTED_VALUE"""),0.0)</f>
        <v>0</v>
      </c>
      <c r="C3983" s="2">
        <f>IFERROR(__xludf.DUMMYFUNCTION("""COMPUTED_VALUE"""),735.0)</f>
        <v>735</v>
      </c>
      <c r="D3983" s="3">
        <f>IFERROR(__xludf.DUMMYFUNCTION("""COMPUTED_VALUE"""),285.0)</f>
        <v>285</v>
      </c>
      <c r="E3983" s="2"/>
      <c r="F3983" s="2"/>
    </row>
    <row r="3984">
      <c r="A3984" s="2">
        <f>IFERROR(__xludf.DUMMYFUNCTION("""COMPUTED_VALUE"""),113902.0)</f>
        <v>113902</v>
      </c>
      <c r="B3984" s="2">
        <f>IFERROR(__xludf.DUMMYFUNCTION("""COMPUTED_VALUE"""),0.0)</f>
        <v>0</v>
      </c>
      <c r="C3984" s="2">
        <f>IFERROR(__xludf.DUMMYFUNCTION("""COMPUTED_VALUE"""),477.0)</f>
        <v>477</v>
      </c>
      <c r="D3984" s="3">
        <f>IFERROR(__xludf.DUMMYFUNCTION("""COMPUTED_VALUE"""),405.0)</f>
        <v>405</v>
      </c>
      <c r="E3984" s="2"/>
      <c r="F3984" s="2"/>
    </row>
    <row r="3985">
      <c r="A3985" s="2">
        <f>IFERROR(__xludf.DUMMYFUNCTION("""COMPUTED_VALUE"""),119133.0)</f>
        <v>119133</v>
      </c>
      <c r="B3985" s="2">
        <f>IFERROR(__xludf.DUMMYFUNCTION("""COMPUTED_VALUE"""),0.0)</f>
        <v>0</v>
      </c>
      <c r="C3985" s="2">
        <f>IFERROR(__xludf.DUMMYFUNCTION("""COMPUTED_VALUE"""),337.0)</f>
        <v>337</v>
      </c>
      <c r="D3985" s="3">
        <f>IFERROR(__xludf.DUMMYFUNCTION("""COMPUTED_VALUE"""),17.0)</f>
        <v>17</v>
      </c>
      <c r="E3985" s="2"/>
      <c r="F3985" s="2"/>
    </row>
    <row r="3986">
      <c r="A3986" s="2">
        <f>IFERROR(__xludf.DUMMYFUNCTION("""COMPUTED_VALUE"""),114946.0)</f>
        <v>114946</v>
      </c>
      <c r="B3986" s="2">
        <f>IFERROR(__xludf.DUMMYFUNCTION("""COMPUTED_VALUE"""),0.0)</f>
        <v>0</v>
      </c>
      <c r="C3986" s="2">
        <f>IFERROR(__xludf.DUMMYFUNCTION("""COMPUTED_VALUE"""),939.0)</f>
        <v>939</v>
      </c>
      <c r="D3986" s="3">
        <f>IFERROR(__xludf.DUMMYFUNCTION("""COMPUTED_VALUE"""),490.0)</f>
        <v>490</v>
      </c>
      <c r="E3986" s="2"/>
      <c r="F3986" s="2"/>
    </row>
    <row r="3987">
      <c r="A3987" s="2">
        <f>IFERROR(__xludf.DUMMYFUNCTION("""COMPUTED_VALUE"""),118832.0)</f>
        <v>118832</v>
      </c>
      <c r="B3987" s="2">
        <f>IFERROR(__xludf.DUMMYFUNCTION("""COMPUTED_VALUE"""),1.0)</f>
        <v>1</v>
      </c>
      <c r="C3987" s="2">
        <f>IFERROR(__xludf.DUMMYFUNCTION("""COMPUTED_VALUE"""),908.0)</f>
        <v>908</v>
      </c>
      <c r="D3987" s="3">
        <f>IFERROR(__xludf.DUMMYFUNCTION("""COMPUTED_VALUE"""),578.0)</f>
        <v>578</v>
      </c>
      <c r="E3987" s="2"/>
      <c r="F3987" s="2"/>
    </row>
    <row r="3988">
      <c r="A3988" s="2">
        <f>IFERROR(__xludf.DUMMYFUNCTION("""COMPUTED_VALUE"""),86499.0)</f>
        <v>86499</v>
      </c>
      <c r="B3988" s="2">
        <f>IFERROR(__xludf.DUMMYFUNCTION("""COMPUTED_VALUE"""),0.0)</f>
        <v>0</v>
      </c>
      <c r="C3988" s="2">
        <f>IFERROR(__xludf.DUMMYFUNCTION("""COMPUTED_VALUE"""),366.0)</f>
        <v>366</v>
      </c>
      <c r="D3988" s="3">
        <f>IFERROR(__xludf.DUMMYFUNCTION("""COMPUTED_VALUE"""),245.0)</f>
        <v>245</v>
      </c>
      <c r="E3988" s="2"/>
      <c r="F3988" s="2"/>
    </row>
    <row r="3989">
      <c r="A3989" s="2">
        <f>IFERROR(__xludf.DUMMYFUNCTION("""COMPUTED_VALUE"""),81790.0)</f>
        <v>81790</v>
      </c>
      <c r="B3989" s="2">
        <f>IFERROR(__xludf.DUMMYFUNCTION("""COMPUTED_VALUE"""),0.0)</f>
        <v>0</v>
      </c>
      <c r="C3989" s="2">
        <f>IFERROR(__xludf.DUMMYFUNCTION("""COMPUTED_VALUE"""),587.0)</f>
        <v>587</v>
      </c>
      <c r="D3989" s="3">
        <f>IFERROR(__xludf.DUMMYFUNCTION("""COMPUTED_VALUE"""),488.0)</f>
        <v>488</v>
      </c>
      <c r="E3989" s="2"/>
      <c r="F3989" s="2"/>
    </row>
    <row r="3990">
      <c r="A3990" s="2">
        <f>IFERROR(__xludf.DUMMYFUNCTION("""COMPUTED_VALUE"""),45898.0)</f>
        <v>45898</v>
      </c>
      <c r="B3990" s="2">
        <f>IFERROR(__xludf.DUMMYFUNCTION("""COMPUTED_VALUE"""),0.0)</f>
        <v>0</v>
      </c>
      <c r="C3990" s="2">
        <f>IFERROR(__xludf.DUMMYFUNCTION("""COMPUTED_VALUE"""),232.0)</f>
        <v>232</v>
      </c>
      <c r="D3990" s="3">
        <f>IFERROR(__xludf.DUMMYFUNCTION("""COMPUTED_VALUE"""),189.0)</f>
        <v>189</v>
      </c>
      <c r="E3990" s="2"/>
      <c r="F3990" s="2"/>
    </row>
    <row r="3991">
      <c r="A3991" s="2">
        <f>IFERROR(__xludf.DUMMYFUNCTION("""COMPUTED_VALUE"""),24144.0)</f>
        <v>24144</v>
      </c>
      <c r="B3991" s="2">
        <f>IFERROR(__xludf.DUMMYFUNCTION("""COMPUTED_VALUE"""),1.0)</f>
        <v>1</v>
      </c>
      <c r="C3991" s="2">
        <f>IFERROR(__xludf.DUMMYFUNCTION("""COMPUTED_VALUE"""),859.0)</f>
        <v>859</v>
      </c>
      <c r="D3991" s="3">
        <f>IFERROR(__xludf.DUMMYFUNCTION("""COMPUTED_VALUE"""),278.0)</f>
        <v>278</v>
      </c>
      <c r="E3991" s="2"/>
      <c r="F3991" s="2"/>
    </row>
    <row r="3992">
      <c r="A3992" s="2">
        <f>IFERROR(__xludf.DUMMYFUNCTION("""COMPUTED_VALUE"""),98351.0)</f>
        <v>98351</v>
      </c>
      <c r="B3992" s="2">
        <f>IFERROR(__xludf.DUMMYFUNCTION("""COMPUTED_VALUE"""),1.0)</f>
        <v>1</v>
      </c>
      <c r="C3992" s="2">
        <f>IFERROR(__xludf.DUMMYFUNCTION("""COMPUTED_VALUE"""),578.0)</f>
        <v>578</v>
      </c>
      <c r="D3992" s="3">
        <f>IFERROR(__xludf.DUMMYFUNCTION("""COMPUTED_VALUE"""),362.0)</f>
        <v>362</v>
      </c>
      <c r="E3992" s="2"/>
      <c r="F3992" s="2"/>
    </row>
    <row r="3993">
      <c r="A3993" s="2">
        <f>IFERROR(__xludf.DUMMYFUNCTION("""COMPUTED_VALUE"""),86481.0)</f>
        <v>86481</v>
      </c>
      <c r="B3993" s="2">
        <f>IFERROR(__xludf.DUMMYFUNCTION("""COMPUTED_VALUE"""),0.0)</f>
        <v>0</v>
      </c>
      <c r="C3993" s="2">
        <f>IFERROR(__xludf.DUMMYFUNCTION("""COMPUTED_VALUE"""),676.0)</f>
        <v>676</v>
      </c>
      <c r="D3993" s="3">
        <f>IFERROR(__xludf.DUMMYFUNCTION("""COMPUTED_VALUE"""),659.0)</f>
        <v>659</v>
      </c>
      <c r="E3993" s="2"/>
      <c r="F3993" s="2"/>
    </row>
    <row r="3994">
      <c r="A3994" s="2">
        <f>IFERROR(__xludf.DUMMYFUNCTION("""COMPUTED_VALUE"""),115747.0)</f>
        <v>115747</v>
      </c>
      <c r="B3994" s="2">
        <f>IFERROR(__xludf.DUMMYFUNCTION("""COMPUTED_VALUE"""),0.0)</f>
        <v>0</v>
      </c>
      <c r="C3994" s="2">
        <f>IFERROR(__xludf.DUMMYFUNCTION("""COMPUTED_VALUE"""),710.0)</f>
        <v>710</v>
      </c>
      <c r="D3994" s="3">
        <f>IFERROR(__xludf.DUMMYFUNCTION("""COMPUTED_VALUE"""),597.0)</f>
        <v>597</v>
      </c>
      <c r="E3994" s="2"/>
      <c r="F3994" s="2"/>
    </row>
    <row r="3995">
      <c r="A3995" s="2">
        <f>IFERROR(__xludf.DUMMYFUNCTION("""COMPUTED_VALUE"""),116187.0)</f>
        <v>116187</v>
      </c>
      <c r="B3995" s="2">
        <f>IFERROR(__xludf.DUMMYFUNCTION("""COMPUTED_VALUE"""),0.0)</f>
        <v>0</v>
      </c>
      <c r="C3995" s="2">
        <f>IFERROR(__xludf.DUMMYFUNCTION("""COMPUTED_VALUE"""),733.0)</f>
        <v>733</v>
      </c>
      <c r="D3995" s="3">
        <f>IFERROR(__xludf.DUMMYFUNCTION("""COMPUTED_VALUE"""),489.0)</f>
        <v>489</v>
      </c>
      <c r="E3995" s="2"/>
      <c r="F3995" s="2"/>
    </row>
    <row r="3996">
      <c r="A3996" s="2">
        <f>IFERROR(__xludf.DUMMYFUNCTION("""COMPUTED_VALUE"""),86162.0)</f>
        <v>86162</v>
      </c>
      <c r="B3996" s="2">
        <f>IFERROR(__xludf.DUMMYFUNCTION("""COMPUTED_VALUE"""),1.0)</f>
        <v>1</v>
      </c>
      <c r="C3996" s="2">
        <f>IFERROR(__xludf.DUMMYFUNCTION("""COMPUTED_VALUE"""),247.0)</f>
        <v>247</v>
      </c>
      <c r="D3996" s="3">
        <f>IFERROR(__xludf.DUMMYFUNCTION("""COMPUTED_VALUE"""),55.0)</f>
        <v>55</v>
      </c>
      <c r="E3996" s="2"/>
      <c r="F3996" s="2"/>
    </row>
    <row r="3997">
      <c r="A3997" s="2">
        <f>IFERROR(__xludf.DUMMYFUNCTION("""COMPUTED_VALUE"""),90654.0)</f>
        <v>90654</v>
      </c>
      <c r="B3997" s="2">
        <f>IFERROR(__xludf.DUMMYFUNCTION("""COMPUTED_VALUE"""),1.0)</f>
        <v>1</v>
      </c>
      <c r="C3997" s="2">
        <f>IFERROR(__xludf.DUMMYFUNCTION("""COMPUTED_VALUE"""),961.0)</f>
        <v>961</v>
      </c>
      <c r="D3997" s="3">
        <f>IFERROR(__xludf.DUMMYFUNCTION("""COMPUTED_VALUE"""),946.0)</f>
        <v>946</v>
      </c>
      <c r="E3997" s="2"/>
      <c r="F3997" s="2"/>
    </row>
    <row r="3998">
      <c r="A3998" s="2">
        <f>IFERROR(__xludf.DUMMYFUNCTION("""COMPUTED_VALUE"""),71743.0)</f>
        <v>71743</v>
      </c>
      <c r="B3998" s="2">
        <f>IFERROR(__xludf.DUMMYFUNCTION("""COMPUTED_VALUE"""),1.0)</f>
        <v>1</v>
      </c>
      <c r="C3998" s="2">
        <f>IFERROR(__xludf.DUMMYFUNCTION("""COMPUTED_VALUE"""),549.0)</f>
        <v>549</v>
      </c>
      <c r="D3998" s="3">
        <f>IFERROR(__xludf.DUMMYFUNCTION("""COMPUTED_VALUE"""),527.0)</f>
        <v>527</v>
      </c>
      <c r="E3998" s="2"/>
      <c r="F3998" s="2"/>
    </row>
    <row r="3999">
      <c r="A3999" s="2">
        <f>IFERROR(__xludf.DUMMYFUNCTION("""COMPUTED_VALUE"""),71744.0)</f>
        <v>71744</v>
      </c>
      <c r="B3999" s="2">
        <f>IFERROR(__xludf.DUMMYFUNCTION("""COMPUTED_VALUE"""),1.0)</f>
        <v>1</v>
      </c>
      <c r="C3999" s="2">
        <f>IFERROR(__xludf.DUMMYFUNCTION("""COMPUTED_VALUE"""),675.0)</f>
        <v>675</v>
      </c>
      <c r="D3999" s="3">
        <f>IFERROR(__xludf.DUMMYFUNCTION("""COMPUTED_VALUE"""),311.0)</f>
        <v>311</v>
      </c>
      <c r="E3999" s="2"/>
      <c r="F3999" s="2"/>
    </row>
    <row r="4000">
      <c r="A4000" s="2">
        <f>IFERROR(__xludf.DUMMYFUNCTION("""COMPUTED_VALUE"""),88590.0)</f>
        <v>88590</v>
      </c>
      <c r="B4000" s="2">
        <f>IFERROR(__xludf.DUMMYFUNCTION("""COMPUTED_VALUE"""),1.0)</f>
        <v>1</v>
      </c>
      <c r="C4000" s="2">
        <f>IFERROR(__xludf.DUMMYFUNCTION("""COMPUTED_VALUE"""),397.0)</f>
        <v>397</v>
      </c>
      <c r="D4000" s="3">
        <f>IFERROR(__xludf.DUMMYFUNCTION("""COMPUTED_VALUE"""),325.0)</f>
        <v>325</v>
      </c>
      <c r="E4000" s="2"/>
      <c r="F4000" s="2"/>
    </row>
    <row r="4001">
      <c r="A4001" s="2">
        <f>IFERROR(__xludf.DUMMYFUNCTION("""COMPUTED_VALUE"""),78940.0)</f>
        <v>78940</v>
      </c>
      <c r="B4001" s="2">
        <f>IFERROR(__xludf.DUMMYFUNCTION("""COMPUTED_VALUE"""),1.0)</f>
        <v>1</v>
      </c>
      <c r="C4001" s="2">
        <f>IFERROR(__xludf.DUMMYFUNCTION("""COMPUTED_VALUE"""),876.0)</f>
        <v>876</v>
      </c>
      <c r="D4001" s="3">
        <f>IFERROR(__xludf.DUMMYFUNCTION("""COMPUTED_VALUE"""),313.0)</f>
        <v>313</v>
      </c>
      <c r="E4001" s="2"/>
      <c r="F4001" s="2"/>
    </row>
    <row r="4002">
      <c r="A4002" s="2">
        <f>IFERROR(__xludf.DUMMYFUNCTION("""COMPUTED_VALUE"""),194752.0)</f>
        <v>194752</v>
      </c>
      <c r="B4002" s="2">
        <f>IFERROR(__xludf.DUMMYFUNCTION("""COMPUTED_VALUE"""),0.0)</f>
        <v>0</v>
      </c>
      <c r="C4002" s="2">
        <f>IFERROR(__xludf.DUMMYFUNCTION("""COMPUTED_VALUE"""),703.0)</f>
        <v>703</v>
      </c>
      <c r="D4002" s="3">
        <f>IFERROR(__xludf.DUMMYFUNCTION("""COMPUTED_VALUE"""),478.0)</f>
        <v>478</v>
      </c>
      <c r="E4002" s="2"/>
      <c r="F4002" s="2"/>
    </row>
    <row r="4003">
      <c r="A4003" s="2">
        <f>IFERROR(__xludf.DUMMYFUNCTION("""COMPUTED_VALUE"""),194748.0)</f>
        <v>194748</v>
      </c>
      <c r="B4003" s="2">
        <f>IFERROR(__xludf.DUMMYFUNCTION("""COMPUTED_VALUE"""),0.0)</f>
        <v>0</v>
      </c>
      <c r="C4003" s="2">
        <f>IFERROR(__xludf.DUMMYFUNCTION("""COMPUTED_VALUE"""),18.0)</f>
        <v>18</v>
      </c>
      <c r="D4003" s="3">
        <f>IFERROR(__xludf.DUMMYFUNCTION("""COMPUTED_VALUE"""),12.0)</f>
        <v>12</v>
      </c>
      <c r="E4003" s="2"/>
      <c r="F4003" s="2"/>
    </row>
    <row r="4004">
      <c r="A4004" s="2">
        <f>IFERROR(__xludf.DUMMYFUNCTION("""COMPUTED_VALUE"""),111580.0)</f>
        <v>111580</v>
      </c>
      <c r="B4004" s="2">
        <f>IFERROR(__xludf.DUMMYFUNCTION("""COMPUTED_VALUE"""),1.0)</f>
        <v>1</v>
      </c>
      <c r="C4004" s="2">
        <f>IFERROR(__xludf.DUMMYFUNCTION("""COMPUTED_VALUE"""),27.0)</f>
        <v>27</v>
      </c>
      <c r="D4004" s="3">
        <f>IFERROR(__xludf.DUMMYFUNCTION("""COMPUTED_VALUE"""),7.0)</f>
        <v>7</v>
      </c>
      <c r="E4004" s="2"/>
      <c r="F4004" s="2"/>
    </row>
    <row r="4005">
      <c r="A4005" s="2">
        <f>IFERROR(__xludf.DUMMYFUNCTION("""COMPUTED_VALUE"""),194741.0)</f>
        <v>194741</v>
      </c>
      <c r="B4005" s="2">
        <f>IFERROR(__xludf.DUMMYFUNCTION("""COMPUTED_VALUE"""),1.0)</f>
        <v>1</v>
      </c>
      <c r="C4005" s="2">
        <f>IFERROR(__xludf.DUMMYFUNCTION("""COMPUTED_VALUE"""),397.0)</f>
        <v>397</v>
      </c>
      <c r="D4005" s="3">
        <f>IFERROR(__xludf.DUMMYFUNCTION("""COMPUTED_VALUE"""),227.0)</f>
        <v>227</v>
      </c>
      <c r="E4005" s="2"/>
      <c r="F4005" s="2"/>
    </row>
    <row r="4006">
      <c r="A4006" s="2">
        <f>IFERROR(__xludf.DUMMYFUNCTION("""COMPUTED_VALUE"""),107082.0)</f>
        <v>107082</v>
      </c>
      <c r="B4006" s="2">
        <f>IFERROR(__xludf.DUMMYFUNCTION("""COMPUTED_VALUE"""),0.0)</f>
        <v>0</v>
      </c>
      <c r="C4006" s="2">
        <f>IFERROR(__xludf.DUMMYFUNCTION("""COMPUTED_VALUE"""),133.0)</f>
        <v>133</v>
      </c>
      <c r="D4006" s="3">
        <f>IFERROR(__xludf.DUMMYFUNCTION("""COMPUTED_VALUE"""),42.0)</f>
        <v>42</v>
      </c>
      <c r="E4006" s="2"/>
      <c r="F4006" s="2"/>
    </row>
    <row r="4007">
      <c r="A4007" s="2">
        <f>IFERROR(__xludf.DUMMYFUNCTION("""COMPUTED_VALUE"""),83092.0)</f>
        <v>83092</v>
      </c>
      <c r="B4007" s="2">
        <f>IFERROR(__xludf.DUMMYFUNCTION("""COMPUTED_VALUE"""),0.0)</f>
        <v>0</v>
      </c>
      <c r="C4007" s="2">
        <f>IFERROR(__xludf.DUMMYFUNCTION("""COMPUTED_VALUE"""),182.0)</f>
        <v>182</v>
      </c>
      <c r="D4007" s="3">
        <f>IFERROR(__xludf.DUMMYFUNCTION("""COMPUTED_VALUE"""),114.0)</f>
        <v>114</v>
      </c>
      <c r="E4007" s="2"/>
      <c r="F4007" s="2"/>
    </row>
    <row r="4008">
      <c r="A4008" s="2">
        <f>IFERROR(__xludf.DUMMYFUNCTION("""COMPUTED_VALUE"""),111581.0)</f>
        <v>111581</v>
      </c>
      <c r="B4008" s="2">
        <f>IFERROR(__xludf.DUMMYFUNCTION("""COMPUTED_VALUE"""),0.0)</f>
        <v>0</v>
      </c>
      <c r="C4008" s="2">
        <f>IFERROR(__xludf.DUMMYFUNCTION("""COMPUTED_VALUE"""),548.0)</f>
        <v>548</v>
      </c>
      <c r="D4008" s="3">
        <f>IFERROR(__xludf.DUMMYFUNCTION("""COMPUTED_VALUE"""),234.0)</f>
        <v>234</v>
      </c>
      <c r="E4008" s="2"/>
      <c r="F4008" s="2"/>
    </row>
    <row r="4009">
      <c r="A4009" s="2">
        <f>IFERROR(__xludf.DUMMYFUNCTION("""COMPUTED_VALUE"""),88402.0)</f>
        <v>88402</v>
      </c>
      <c r="B4009" s="2">
        <f>IFERROR(__xludf.DUMMYFUNCTION("""COMPUTED_VALUE"""),0.0)</f>
        <v>0</v>
      </c>
      <c r="C4009" s="2">
        <f>IFERROR(__xludf.DUMMYFUNCTION("""COMPUTED_VALUE"""),114.0)</f>
        <v>114</v>
      </c>
      <c r="D4009" s="3">
        <f>IFERROR(__xludf.DUMMYFUNCTION("""COMPUTED_VALUE"""),49.0)</f>
        <v>49</v>
      </c>
      <c r="E4009" s="2"/>
      <c r="F4009" s="2"/>
    </row>
    <row r="4010">
      <c r="A4010" s="2">
        <f>IFERROR(__xludf.DUMMYFUNCTION("""COMPUTED_VALUE"""),88413.0)</f>
        <v>88413</v>
      </c>
      <c r="B4010" s="2">
        <f>IFERROR(__xludf.DUMMYFUNCTION("""COMPUTED_VALUE"""),0.0)</f>
        <v>0</v>
      </c>
      <c r="C4010" s="2">
        <f>IFERROR(__xludf.DUMMYFUNCTION("""COMPUTED_VALUE"""),501.0)</f>
        <v>501</v>
      </c>
      <c r="D4010" s="3">
        <f>IFERROR(__xludf.DUMMYFUNCTION("""COMPUTED_VALUE"""),443.0)</f>
        <v>443</v>
      </c>
      <c r="E4010" s="2"/>
      <c r="F4010" s="2"/>
    </row>
    <row r="4011">
      <c r="A4011" s="2">
        <f>IFERROR(__xludf.DUMMYFUNCTION("""COMPUTED_VALUE"""),86560.0)</f>
        <v>86560</v>
      </c>
      <c r="B4011" s="2">
        <f>IFERROR(__xludf.DUMMYFUNCTION("""COMPUTED_VALUE"""),0.0)</f>
        <v>0</v>
      </c>
      <c r="C4011" s="2">
        <f>IFERROR(__xludf.DUMMYFUNCTION("""COMPUTED_VALUE"""),35.0)</f>
        <v>35</v>
      </c>
      <c r="D4011" s="3">
        <f>IFERROR(__xludf.DUMMYFUNCTION("""COMPUTED_VALUE"""),0.0)</f>
        <v>0</v>
      </c>
      <c r="E4011" s="2"/>
      <c r="F4011" s="2"/>
    </row>
    <row r="4012">
      <c r="A4012" s="2">
        <f>IFERROR(__xludf.DUMMYFUNCTION("""COMPUTED_VALUE"""),127584.0)</f>
        <v>127584</v>
      </c>
      <c r="B4012" s="2">
        <f>IFERROR(__xludf.DUMMYFUNCTION("""COMPUTED_VALUE"""),0.0)</f>
        <v>0</v>
      </c>
      <c r="C4012" s="2">
        <f>IFERROR(__xludf.DUMMYFUNCTION("""COMPUTED_VALUE"""),795.0)</f>
        <v>795</v>
      </c>
      <c r="D4012" s="3">
        <f>IFERROR(__xludf.DUMMYFUNCTION("""COMPUTED_VALUE"""),152.0)</f>
        <v>152</v>
      </c>
      <c r="E4012" s="2"/>
      <c r="F4012" s="2"/>
    </row>
    <row r="4013">
      <c r="A4013" s="2">
        <f>IFERROR(__xludf.DUMMYFUNCTION("""COMPUTED_VALUE"""),122254.0)</f>
        <v>122254</v>
      </c>
      <c r="B4013" s="2">
        <f>IFERROR(__xludf.DUMMYFUNCTION("""COMPUTED_VALUE"""),1.0)</f>
        <v>1</v>
      </c>
      <c r="C4013" s="2">
        <f>IFERROR(__xludf.DUMMYFUNCTION("""COMPUTED_VALUE"""),537.0)</f>
        <v>537</v>
      </c>
      <c r="D4013" s="3">
        <f>IFERROR(__xludf.DUMMYFUNCTION("""COMPUTED_VALUE"""),23.0)</f>
        <v>23</v>
      </c>
      <c r="E4013" s="2"/>
      <c r="F4013" s="2"/>
    </row>
    <row r="4014">
      <c r="A4014" s="2">
        <f>IFERROR(__xludf.DUMMYFUNCTION("""COMPUTED_VALUE"""),118849.0)</f>
        <v>118849</v>
      </c>
      <c r="B4014" s="2">
        <f>IFERROR(__xludf.DUMMYFUNCTION("""COMPUTED_VALUE"""),0.0)</f>
        <v>0</v>
      </c>
      <c r="C4014" s="2">
        <f>IFERROR(__xludf.DUMMYFUNCTION("""COMPUTED_VALUE"""),770.0)</f>
        <v>770</v>
      </c>
      <c r="D4014" s="3">
        <f>IFERROR(__xludf.DUMMYFUNCTION("""COMPUTED_VALUE"""),642.0)</f>
        <v>642</v>
      </c>
      <c r="E4014" s="2"/>
      <c r="F4014" s="2"/>
    </row>
    <row r="4015">
      <c r="A4015" s="2">
        <f>IFERROR(__xludf.DUMMYFUNCTION("""COMPUTED_VALUE"""),107187.0)</f>
        <v>107187</v>
      </c>
      <c r="B4015" s="2">
        <f>IFERROR(__xludf.DUMMYFUNCTION("""COMPUTED_VALUE"""),1.0)</f>
        <v>1</v>
      </c>
      <c r="C4015" s="2">
        <f>IFERROR(__xludf.DUMMYFUNCTION("""COMPUTED_VALUE"""),82.0)</f>
        <v>82</v>
      </c>
      <c r="D4015" s="3">
        <f>IFERROR(__xludf.DUMMYFUNCTION("""COMPUTED_VALUE"""),57.0)</f>
        <v>57</v>
      </c>
      <c r="E4015" s="2"/>
      <c r="F4015" s="2"/>
    </row>
    <row r="4016">
      <c r="A4016" s="2">
        <f>IFERROR(__xludf.DUMMYFUNCTION("""COMPUTED_VALUE"""),119932.0)</f>
        <v>119932</v>
      </c>
      <c r="B4016" s="2">
        <f>IFERROR(__xludf.DUMMYFUNCTION("""COMPUTED_VALUE"""),1.0)</f>
        <v>1</v>
      </c>
      <c r="C4016" s="2">
        <f>IFERROR(__xludf.DUMMYFUNCTION("""COMPUTED_VALUE"""),473.0)</f>
        <v>473</v>
      </c>
      <c r="D4016" s="3">
        <f>IFERROR(__xludf.DUMMYFUNCTION("""COMPUTED_VALUE"""),313.0)</f>
        <v>313</v>
      </c>
      <c r="E4016" s="2"/>
      <c r="F4016" s="2"/>
    </row>
    <row r="4017">
      <c r="A4017" s="2">
        <f>IFERROR(__xludf.DUMMYFUNCTION("""COMPUTED_VALUE"""),92045.0)</f>
        <v>92045</v>
      </c>
      <c r="B4017" s="2">
        <f>IFERROR(__xludf.DUMMYFUNCTION("""COMPUTED_VALUE"""),1.0)</f>
        <v>1</v>
      </c>
      <c r="C4017" s="2">
        <f>IFERROR(__xludf.DUMMYFUNCTION("""COMPUTED_VALUE"""),387.0)</f>
        <v>387</v>
      </c>
      <c r="D4017" s="3">
        <f>IFERROR(__xludf.DUMMYFUNCTION("""COMPUTED_VALUE"""),197.0)</f>
        <v>197</v>
      </c>
      <c r="E4017" s="2"/>
      <c r="F4017" s="2"/>
    </row>
    <row r="4018">
      <c r="A4018" s="2">
        <f>IFERROR(__xludf.DUMMYFUNCTION("""COMPUTED_VALUE"""),82168.0)</f>
        <v>82168</v>
      </c>
      <c r="B4018" s="2">
        <f>IFERROR(__xludf.DUMMYFUNCTION("""COMPUTED_VALUE"""),0.0)</f>
        <v>0</v>
      </c>
      <c r="C4018" s="2">
        <f>IFERROR(__xludf.DUMMYFUNCTION("""COMPUTED_VALUE"""),96.0)</f>
        <v>96</v>
      </c>
      <c r="D4018" s="3">
        <f>IFERROR(__xludf.DUMMYFUNCTION("""COMPUTED_VALUE"""),96.0)</f>
        <v>96</v>
      </c>
      <c r="E4018" s="2"/>
      <c r="F4018" s="2"/>
    </row>
    <row r="4019">
      <c r="A4019" s="2">
        <f>IFERROR(__xludf.DUMMYFUNCTION("""COMPUTED_VALUE"""),79263.0)</f>
        <v>79263</v>
      </c>
      <c r="B4019" s="2">
        <f>IFERROR(__xludf.DUMMYFUNCTION("""COMPUTED_VALUE"""),0.0)</f>
        <v>0</v>
      </c>
      <c r="C4019" s="2">
        <f>IFERROR(__xludf.DUMMYFUNCTION("""COMPUTED_VALUE"""),72.0)</f>
        <v>72</v>
      </c>
      <c r="D4019" s="3">
        <f>IFERROR(__xludf.DUMMYFUNCTION("""COMPUTED_VALUE"""),5.0)</f>
        <v>5</v>
      </c>
      <c r="E4019" s="2"/>
      <c r="F4019" s="2"/>
    </row>
    <row r="4020">
      <c r="A4020" s="2">
        <f>IFERROR(__xludf.DUMMYFUNCTION("""COMPUTED_VALUE"""),92044.0)</f>
        <v>92044</v>
      </c>
      <c r="B4020" s="2">
        <f>IFERROR(__xludf.DUMMYFUNCTION("""COMPUTED_VALUE"""),1.0)</f>
        <v>1</v>
      </c>
      <c r="C4020" s="2">
        <f>IFERROR(__xludf.DUMMYFUNCTION("""COMPUTED_VALUE"""),90.0)</f>
        <v>90</v>
      </c>
      <c r="D4020" s="3">
        <f>IFERROR(__xludf.DUMMYFUNCTION("""COMPUTED_VALUE"""),36.0)</f>
        <v>36</v>
      </c>
      <c r="E4020" s="2"/>
      <c r="F4020" s="2"/>
    </row>
    <row r="4021">
      <c r="A4021" s="2">
        <f>IFERROR(__xludf.DUMMYFUNCTION("""COMPUTED_VALUE"""),114725.0)</f>
        <v>114725</v>
      </c>
      <c r="B4021" s="2">
        <f>IFERROR(__xludf.DUMMYFUNCTION("""COMPUTED_VALUE"""),1.0)</f>
        <v>1</v>
      </c>
      <c r="C4021" s="2">
        <f>IFERROR(__xludf.DUMMYFUNCTION("""COMPUTED_VALUE"""),780.0)</f>
        <v>780</v>
      </c>
      <c r="D4021" s="3">
        <f>IFERROR(__xludf.DUMMYFUNCTION("""COMPUTED_VALUE"""),142.0)</f>
        <v>142</v>
      </c>
      <c r="E4021" s="2"/>
      <c r="F4021" s="2"/>
    </row>
    <row r="4022">
      <c r="A4022" s="2">
        <f>IFERROR(__xludf.DUMMYFUNCTION("""COMPUTED_VALUE"""),50684.0)</f>
        <v>50684</v>
      </c>
      <c r="B4022" s="2">
        <f>IFERROR(__xludf.DUMMYFUNCTION("""COMPUTED_VALUE"""),0.0)</f>
        <v>0</v>
      </c>
      <c r="C4022" s="2">
        <f>IFERROR(__xludf.DUMMYFUNCTION("""COMPUTED_VALUE"""),425.0)</f>
        <v>425</v>
      </c>
      <c r="D4022" s="3">
        <f>IFERROR(__xludf.DUMMYFUNCTION("""COMPUTED_VALUE"""),36.0)</f>
        <v>36</v>
      </c>
      <c r="E4022" s="2"/>
      <c r="F4022" s="2"/>
    </row>
    <row r="4023">
      <c r="A4023" s="2">
        <f>IFERROR(__xludf.DUMMYFUNCTION("""COMPUTED_VALUE"""),82167.0)</f>
        <v>82167</v>
      </c>
      <c r="B4023" s="2">
        <f>IFERROR(__xludf.DUMMYFUNCTION("""COMPUTED_VALUE"""),1.0)</f>
        <v>1</v>
      </c>
      <c r="C4023" s="2">
        <f>IFERROR(__xludf.DUMMYFUNCTION("""COMPUTED_VALUE"""),74.0)</f>
        <v>74</v>
      </c>
      <c r="D4023" s="3">
        <f>IFERROR(__xludf.DUMMYFUNCTION("""COMPUTED_VALUE"""),0.0)</f>
        <v>0</v>
      </c>
      <c r="E4023" s="2"/>
      <c r="F4023" s="2"/>
    </row>
    <row r="4024">
      <c r="A4024" s="2">
        <f>IFERROR(__xludf.DUMMYFUNCTION("""COMPUTED_VALUE"""),68513.0)</f>
        <v>68513</v>
      </c>
      <c r="B4024" s="2">
        <f>IFERROR(__xludf.DUMMYFUNCTION("""COMPUTED_VALUE"""),0.0)</f>
        <v>0</v>
      </c>
      <c r="C4024" s="2">
        <f>IFERROR(__xludf.DUMMYFUNCTION("""COMPUTED_VALUE"""),394.0)</f>
        <v>394</v>
      </c>
      <c r="D4024" s="3">
        <f>IFERROR(__xludf.DUMMYFUNCTION("""COMPUTED_VALUE"""),313.0)</f>
        <v>313</v>
      </c>
      <c r="E4024" s="2"/>
      <c r="F4024" s="2"/>
    </row>
    <row r="4025">
      <c r="A4025" s="2">
        <f>IFERROR(__xludf.DUMMYFUNCTION("""COMPUTED_VALUE"""),76566.0)</f>
        <v>76566</v>
      </c>
      <c r="B4025" s="2">
        <f>IFERROR(__xludf.DUMMYFUNCTION("""COMPUTED_VALUE"""),1.0)</f>
        <v>1</v>
      </c>
      <c r="C4025" s="2">
        <f>IFERROR(__xludf.DUMMYFUNCTION("""COMPUTED_VALUE"""),468.0)</f>
        <v>468</v>
      </c>
      <c r="D4025" s="3">
        <f>IFERROR(__xludf.DUMMYFUNCTION("""COMPUTED_VALUE"""),420.0)</f>
        <v>420</v>
      </c>
      <c r="E4025" s="2"/>
      <c r="F4025" s="2"/>
    </row>
    <row r="4026">
      <c r="A4026" s="2">
        <f>IFERROR(__xludf.DUMMYFUNCTION("""COMPUTED_VALUE"""),119088.0)</f>
        <v>119088</v>
      </c>
      <c r="B4026" s="2">
        <f>IFERROR(__xludf.DUMMYFUNCTION("""COMPUTED_VALUE"""),1.0)</f>
        <v>1</v>
      </c>
      <c r="C4026" s="2">
        <f>IFERROR(__xludf.DUMMYFUNCTION("""COMPUTED_VALUE"""),371.0)</f>
        <v>371</v>
      </c>
      <c r="D4026" s="3">
        <f>IFERROR(__xludf.DUMMYFUNCTION("""COMPUTED_VALUE"""),30.0)</f>
        <v>30</v>
      </c>
      <c r="E4026" s="2"/>
      <c r="F4026" s="2"/>
    </row>
    <row r="4027">
      <c r="A4027" s="2">
        <f>IFERROR(__xludf.DUMMYFUNCTION("""COMPUTED_VALUE"""),119431.0)</f>
        <v>119431</v>
      </c>
      <c r="B4027" s="2">
        <f>IFERROR(__xludf.DUMMYFUNCTION("""COMPUTED_VALUE"""),0.0)</f>
        <v>0</v>
      </c>
      <c r="C4027" s="2">
        <f>IFERROR(__xludf.DUMMYFUNCTION("""COMPUTED_VALUE"""),47.0)</f>
        <v>47</v>
      </c>
      <c r="D4027" s="3">
        <f>IFERROR(__xludf.DUMMYFUNCTION("""COMPUTED_VALUE"""),21.0)</f>
        <v>21</v>
      </c>
      <c r="E4027" s="2"/>
      <c r="F4027" s="2"/>
    </row>
    <row r="4028">
      <c r="A4028" s="2">
        <f>IFERROR(__xludf.DUMMYFUNCTION("""COMPUTED_VALUE"""),101279.0)</f>
        <v>101279</v>
      </c>
      <c r="B4028" s="2">
        <f>IFERROR(__xludf.DUMMYFUNCTION("""COMPUTED_VALUE"""),1.0)</f>
        <v>1</v>
      </c>
      <c r="C4028" s="2">
        <f>IFERROR(__xludf.DUMMYFUNCTION("""COMPUTED_VALUE"""),533.0)</f>
        <v>533</v>
      </c>
      <c r="D4028" s="3">
        <f>IFERROR(__xludf.DUMMYFUNCTION("""COMPUTED_VALUE"""),235.0)</f>
        <v>235</v>
      </c>
      <c r="E4028" s="2"/>
      <c r="F4028" s="2"/>
    </row>
    <row r="4029">
      <c r="A4029" s="2">
        <f>IFERROR(__xludf.DUMMYFUNCTION("""COMPUTED_VALUE"""),101270.0)</f>
        <v>101270</v>
      </c>
      <c r="B4029" s="2">
        <f>IFERROR(__xludf.DUMMYFUNCTION("""COMPUTED_VALUE"""),0.0)</f>
        <v>0</v>
      </c>
      <c r="C4029" s="2">
        <f>IFERROR(__xludf.DUMMYFUNCTION("""COMPUTED_VALUE"""),513.0)</f>
        <v>513</v>
      </c>
      <c r="D4029" s="3">
        <f>IFERROR(__xludf.DUMMYFUNCTION("""COMPUTED_VALUE"""),99.0)</f>
        <v>99</v>
      </c>
      <c r="E4029" s="2"/>
      <c r="F4029" s="2"/>
    </row>
    <row r="4030">
      <c r="A4030" s="2">
        <f>IFERROR(__xludf.DUMMYFUNCTION("""COMPUTED_VALUE"""),101282.0)</f>
        <v>101282</v>
      </c>
      <c r="B4030" s="2">
        <f>IFERROR(__xludf.DUMMYFUNCTION("""COMPUTED_VALUE"""),0.0)</f>
        <v>0</v>
      </c>
      <c r="C4030" s="2">
        <f>IFERROR(__xludf.DUMMYFUNCTION("""COMPUTED_VALUE"""),287.0)</f>
        <v>287</v>
      </c>
      <c r="D4030" s="3">
        <f>IFERROR(__xludf.DUMMYFUNCTION("""COMPUTED_VALUE"""),163.0)</f>
        <v>163</v>
      </c>
      <c r="E4030" s="2"/>
      <c r="F4030" s="2"/>
    </row>
    <row r="4031">
      <c r="A4031" s="2">
        <f>IFERROR(__xludf.DUMMYFUNCTION("""COMPUTED_VALUE"""),70291.0)</f>
        <v>70291</v>
      </c>
      <c r="B4031" s="2">
        <f>IFERROR(__xludf.DUMMYFUNCTION("""COMPUTED_VALUE"""),1.0)</f>
        <v>1</v>
      </c>
      <c r="C4031" s="2">
        <f>IFERROR(__xludf.DUMMYFUNCTION("""COMPUTED_VALUE"""),509.0)</f>
        <v>509</v>
      </c>
      <c r="D4031" s="3">
        <f>IFERROR(__xludf.DUMMYFUNCTION("""COMPUTED_VALUE"""),123.0)</f>
        <v>123</v>
      </c>
      <c r="E4031" s="2"/>
      <c r="F4031" s="2"/>
    </row>
    <row r="4032">
      <c r="A4032" s="2">
        <f>IFERROR(__xludf.DUMMYFUNCTION("""COMPUTED_VALUE"""),70290.0)</f>
        <v>70290</v>
      </c>
      <c r="B4032" s="2">
        <f>IFERROR(__xludf.DUMMYFUNCTION("""COMPUTED_VALUE"""),1.0)</f>
        <v>1</v>
      </c>
      <c r="C4032" s="2">
        <f>IFERROR(__xludf.DUMMYFUNCTION("""COMPUTED_VALUE"""),990.0)</f>
        <v>990</v>
      </c>
      <c r="D4032" s="3">
        <f>IFERROR(__xludf.DUMMYFUNCTION("""COMPUTED_VALUE"""),856.0)</f>
        <v>856</v>
      </c>
      <c r="E4032" s="2"/>
      <c r="F4032" s="2"/>
    </row>
    <row r="4033">
      <c r="A4033" s="2">
        <f>IFERROR(__xludf.DUMMYFUNCTION("""COMPUTED_VALUE"""),19188.0)</f>
        <v>19188</v>
      </c>
      <c r="B4033" s="2">
        <f>IFERROR(__xludf.DUMMYFUNCTION("""COMPUTED_VALUE"""),1.0)</f>
        <v>1</v>
      </c>
      <c r="C4033" s="2">
        <f>IFERROR(__xludf.DUMMYFUNCTION("""COMPUTED_VALUE"""),22.0)</f>
        <v>22</v>
      </c>
      <c r="D4033" s="3">
        <f>IFERROR(__xludf.DUMMYFUNCTION("""COMPUTED_VALUE"""),22.0)</f>
        <v>22</v>
      </c>
      <c r="E4033" s="2"/>
      <c r="F4033" s="2"/>
    </row>
    <row r="4034">
      <c r="A4034" s="2">
        <f>IFERROR(__xludf.DUMMYFUNCTION("""COMPUTED_VALUE"""),41117.0)</f>
        <v>41117</v>
      </c>
      <c r="B4034" s="2">
        <f>IFERROR(__xludf.DUMMYFUNCTION("""COMPUTED_VALUE"""),0.0)</f>
        <v>0</v>
      </c>
      <c r="C4034" s="2">
        <f>IFERROR(__xludf.DUMMYFUNCTION("""COMPUTED_VALUE"""),391.0)</f>
        <v>391</v>
      </c>
      <c r="D4034" s="3">
        <f>IFERROR(__xludf.DUMMYFUNCTION("""COMPUTED_VALUE"""),342.0)</f>
        <v>342</v>
      </c>
      <c r="E4034" s="2"/>
      <c r="F4034" s="2"/>
    </row>
    <row r="4035">
      <c r="A4035" s="2">
        <f>IFERROR(__xludf.DUMMYFUNCTION("""COMPUTED_VALUE"""),30625.0)</f>
        <v>30625</v>
      </c>
      <c r="B4035" s="2">
        <f>IFERROR(__xludf.DUMMYFUNCTION("""COMPUTED_VALUE"""),0.0)</f>
        <v>0</v>
      </c>
      <c r="C4035" s="2">
        <f>IFERROR(__xludf.DUMMYFUNCTION("""COMPUTED_VALUE"""),882.0)</f>
        <v>882</v>
      </c>
      <c r="D4035" s="3">
        <f>IFERROR(__xludf.DUMMYFUNCTION("""COMPUTED_VALUE"""),398.0)</f>
        <v>398</v>
      </c>
      <c r="E4035" s="2"/>
      <c r="F4035" s="2"/>
    </row>
    <row r="4036">
      <c r="A4036" s="2">
        <f>IFERROR(__xludf.DUMMYFUNCTION("""COMPUTED_VALUE"""),11462.0)</f>
        <v>11462</v>
      </c>
      <c r="B4036" s="2">
        <f>IFERROR(__xludf.DUMMYFUNCTION("""COMPUTED_VALUE"""),0.0)</f>
        <v>0</v>
      </c>
      <c r="C4036" s="2">
        <f>IFERROR(__xludf.DUMMYFUNCTION("""COMPUTED_VALUE"""),144.0)</f>
        <v>144</v>
      </c>
      <c r="D4036" s="3">
        <f>IFERROR(__xludf.DUMMYFUNCTION("""COMPUTED_VALUE"""),72.0)</f>
        <v>72</v>
      </c>
      <c r="E4036" s="2"/>
      <c r="F4036" s="2"/>
    </row>
    <row r="4037">
      <c r="A4037" s="2">
        <f>IFERROR(__xludf.DUMMYFUNCTION("""COMPUTED_VALUE"""),120733.0)</f>
        <v>120733</v>
      </c>
      <c r="B4037" s="2">
        <f>IFERROR(__xludf.DUMMYFUNCTION("""COMPUTED_VALUE"""),0.0)</f>
        <v>0</v>
      </c>
      <c r="C4037" s="2">
        <f>IFERROR(__xludf.DUMMYFUNCTION("""COMPUTED_VALUE"""),605.0)</f>
        <v>605</v>
      </c>
      <c r="D4037" s="3">
        <f>IFERROR(__xludf.DUMMYFUNCTION("""COMPUTED_VALUE"""),118.0)</f>
        <v>118</v>
      </c>
      <c r="E4037" s="2"/>
      <c r="F4037" s="2"/>
    </row>
    <row r="4038">
      <c r="A4038" s="2">
        <f>IFERROR(__xludf.DUMMYFUNCTION("""COMPUTED_VALUE"""),83487.0)</f>
        <v>83487</v>
      </c>
      <c r="B4038" s="2">
        <f>IFERROR(__xludf.DUMMYFUNCTION("""COMPUTED_VALUE"""),1.0)</f>
        <v>1</v>
      </c>
      <c r="C4038" s="2">
        <f>IFERROR(__xludf.DUMMYFUNCTION("""COMPUTED_VALUE"""),755.0)</f>
        <v>755</v>
      </c>
      <c r="D4038" s="3">
        <f>IFERROR(__xludf.DUMMYFUNCTION("""COMPUTED_VALUE"""),155.0)</f>
        <v>155</v>
      </c>
      <c r="E4038" s="2"/>
      <c r="F4038" s="2"/>
    </row>
    <row r="4039">
      <c r="A4039" s="2">
        <f>IFERROR(__xludf.DUMMYFUNCTION("""COMPUTED_VALUE"""),117610.0)</f>
        <v>117610</v>
      </c>
      <c r="B4039" s="2">
        <f>IFERROR(__xludf.DUMMYFUNCTION("""COMPUTED_VALUE"""),0.0)</f>
        <v>0</v>
      </c>
      <c r="C4039" s="2">
        <f>IFERROR(__xludf.DUMMYFUNCTION("""COMPUTED_VALUE"""),485.0)</f>
        <v>485</v>
      </c>
      <c r="D4039" s="3">
        <f>IFERROR(__xludf.DUMMYFUNCTION("""COMPUTED_VALUE"""),136.0)</f>
        <v>136</v>
      </c>
      <c r="E4039" s="2"/>
      <c r="F4039" s="2"/>
    </row>
    <row r="4040">
      <c r="A4040" s="2">
        <f>IFERROR(__xludf.DUMMYFUNCTION("""COMPUTED_VALUE"""),112177.0)</f>
        <v>112177</v>
      </c>
      <c r="B4040" s="2">
        <f>IFERROR(__xludf.DUMMYFUNCTION("""COMPUTED_VALUE"""),1.0)</f>
        <v>1</v>
      </c>
      <c r="C4040" s="2">
        <f>IFERROR(__xludf.DUMMYFUNCTION("""COMPUTED_VALUE"""),670.0)</f>
        <v>670</v>
      </c>
      <c r="D4040" s="3">
        <f>IFERROR(__xludf.DUMMYFUNCTION("""COMPUTED_VALUE"""),391.0)</f>
        <v>391</v>
      </c>
      <c r="E4040" s="2"/>
      <c r="F4040" s="2"/>
    </row>
    <row r="4041">
      <c r="A4041" s="2">
        <f>IFERROR(__xludf.DUMMYFUNCTION("""COMPUTED_VALUE"""),11412.0)</f>
        <v>11412</v>
      </c>
      <c r="B4041" s="2">
        <f>IFERROR(__xludf.DUMMYFUNCTION("""COMPUTED_VALUE"""),0.0)</f>
        <v>0</v>
      </c>
      <c r="C4041" s="2">
        <f>IFERROR(__xludf.DUMMYFUNCTION("""COMPUTED_VALUE"""),76.0)</f>
        <v>76</v>
      </c>
      <c r="D4041" s="3">
        <f>IFERROR(__xludf.DUMMYFUNCTION("""COMPUTED_VALUE"""),11.0)</f>
        <v>11</v>
      </c>
      <c r="E4041" s="2"/>
      <c r="F4041" s="2"/>
    </row>
    <row r="4042">
      <c r="A4042" s="2">
        <f>IFERROR(__xludf.DUMMYFUNCTION("""COMPUTED_VALUE"""),76842.0)</f>
        <v>76842</v>
      </c>
      <c r="B4042" s="2">
        <f>IFERROR(__xludf.DUMMYFUNCTION("""COMPUTED_VALUE"""),1.0)</f>
        <v>1</v>
      </c>
      <c r="C4042" s="2">
        <f>IFERROR(__xludf.DUMMYFUNCTION("""COMPUTED_VALUE"""),883.0)</f>
        <v>883</v>
      </c>
      <c r="D4042" s="3">
        <f>IFERROR(__xludf.DUMMYFUNCTION("""COMPUTED_VALUE"""),20.0)</f>
        <v>20</v>
      </c>
      <c r="E4042" s="2"/>
      <c r="F4042" s="2"/>
    </row>
    <row r="4043">
      <c r="A4043" s="2">
        <f>IFERROR(__xludf.DUMMYFUNCTION("""COMPUTED_VALUE"""),78366.0)</f>
        <v>78366</v>
      </c>
      <c r="B4043" s="2">
        <f>IFERROR(__xludf.DUMMYFUNCTION("""COMPUTED_VALUE"""),0.0)</f>
        <v>0</v>
      </c>
      <c r="C4043" s="2">
        <f>IFERROR(__xludf.DUMMYFUNCTION("""COMPUTED_VALUE"""),423.0)</f>
        <v>423</v>
      </c>
      <c r="D4043" s="3">
        <f>IFERROR(__xludf.DUMMYFUNCTION("""COMPUTED_VALUE"""),324.0)</f>
        <v>324</v>
      </c>
      <c r="E4043" s="2"/>
      <c r="F4043" s="2"/>
    </row>
    <row r="4044">
      <c r="A4044" s="2">
        <f>IFERROR(__xludf.DUMMYFUNCTION("""COMPUTED_VALUE"""),98984.0)</f>
        <v>98984</v>
      </c>
      <c r="B4044" s="2">
        <f>IFERROR(__xludf.DUMMYFUNCTION("""COMPUTED_VALUE"""),0.0)</f>
        <v>0</v>
      </c>
      <c r="C4044" s="2">
        <f>IFERROR(__xludf.DUMMYFUNCTION("""COMPUTED_VALUE"""),32.0)</f>
        <v>32</v>
      </c>
      <c r="D4044" s="3">
        <f>IFERROR(__xludf.DUMMYFUNCTION("""COMPUTED_VALUE"""),30.0)</f>
        <v>30</v>
      </c>
      <c r="E4044" s="2"/>
      <c r="F4044" s="2"/>
    </row>
    <row r="4045">
      <c r="A4045" s="2">
        <f>IFERROR(__xludf.DUMMYFUNCTION("""COMPUTED_VALUE"""),120310.0)</f>
        <v>120310</v>
      </c>
      <c r="B4045" s="2">
        <f>IFERROR(__xludf.DUMMYFUNCTION("""COMPUTED_VALUE"""),0.0)</f>
        <v>0</v>
      </c>
      <c r="C4045" s="2">
        <f>IFERROR(__xludf.DUMMYFUNCTION("""COMPUTED_VALUE"""),86.0)</f>
        <v>86</v>
      </c>
      <c r="D4045" s="3">
        <f>IFERROR(__xludf.DUMMYFUNCTION("""COMPUTED_VALUE"""),55.0)</f>
        <v>55</v>
      </c>
      <c r="E4045" s="2"/>
      <c r="F4045" s="2"/>
    </row>
    <row r="4046">
      <c r="A4046" s="2">
        <f>IFERROR(__xludf.DUMMYFUNCTION("""COMPUTED_VALUE"""),116277.0)</f>
        <v>116277</v>
      </c>
      <c r="B4046" s="2">
        <f>IFERROR(__xludf.DUMMYFUNCTION("""COMPUTED_VALUE"""),0.0)</f>
        <v>0</v>
      </c>
      <c r="C4046" s="2">
        <f>IFERROR(__xludf.DUMMYFUNCTION("""COMPUTED_VALUE"""),763.0)</f>
        <v>763</v>
      </c>
      <c r="D4046" s="3">
        <f>IFERROR(__xludf.DUMMYFUNCTION("""COMPUTED_VALUE"""),367.0)</f>
        <v>367</v>
      </c>
      <c r="E4046" s="2"/>
      <c r="F4046" s="2"/>
    </row>
    <row r="4047">
      <c r="A4047" s="2">
        <f>IFERROR(__xludf.DUMMYFUNCTION("""COMPUTED_VALUE"""),77670.0)</f>
        <v>77670</v>
      </c>
      <c r="B4047" s="2">
        <f>IFERROR(__xludf.DUMMYFUNCTION("""COMPUTED_VALUE"""),0.0)</f>
        <v>0</v>
      </c>
      <c r="C4047" s="2">
        <f>IFERROR(__xludf.DUMMYFUNCTION("""COMPUTED_VALUE"""),968.0)</f>
        <v>968</v>
      </c>
      <c r="D4047" s="3">
        <f>IFERROR(__xludf.DUMMYFUNCTION("""COMPUTED_VALUE"""),921.0)</f>
        <v>921</v>
      </c>
      <c r="E4047" s="2"/>
      <c r="F4047" s="2"/>
    </row>
    <row r="4048">
      <c r="A4048" s="2">
        <f>IFERROR(__xludf.DUMMYFUNCTION("""COMPUTED_VALUE"""),78363.0)</f>
        <v>78363</v>
      </c>
      <c r="B4048" s="2">
        <f>IFERROR(__xludf.DUMMYFUNCTION("""COMPUTED_VALUE"""),1.0)</f>
        <v>1</v>
      </c>
      <c r="C4048" s="2">
        <f>IFERROR(__xludf.DUMMYFUNCTION("""COMPUTED_VALUE"""),412.0)</f>
        <v>412</v>
      </c>
      <c r="D4048" s="3">
        <f>IFERROR(__xludf.DUMMYFUNCTION("""COMPUTED_VALUE"""),0.0)</f>
        <v>0</v>
      </c>
      <c r="E4048" s="2"/>
      <c r="F4048" s="2"/>
    </row>
    <row r="4049">
      <c r="A4049" s="2">
        <f>IFERROR(__xludf.DUMMYFUNCTION("""COMPUTED_VALUE"""),11458.0)</f>
        <v>11458</v>
      </c>
      <c r="B4049" s="2">
        <f>IFERROR(__xludf.DUMMYFUNCTION("""COMPUTED_VALUE"""),0.0)</f>
        <v>0</v>
      </c>
      <c r="C4049" s="2">
        <f>IFERROR(__xludf.DUMMYFUNCTION("""COMPUTED_VALUE"""),858.0)</f>
        <v>858</v>
      </c>
      <c r="D4049" s="3">
        <f>IFERROR(__xludf.DUMMYFUNCTION("""COMPUTED_VALUE"""),221.0)</f>
        <v>221</v>
      </c>
      <c r="E4049" s="2"/>
      <c r="F4049" s="2"/>
    </row>
    <row r="4050">
      <c r="A4050" s="2">
        <f>IFERROR(__xludf.DUMMYFUNCTION("""COMPUTED_VALUE"""),11456.0)</f>
        <v>11456</v>
      </c>
      <c r="B4050" s="2">
        <f>IFERROR(__xludf.DUMMYFUNCTION("""COMPUTED_VALUE"""),1.0)</f>
        <v>1</v>
      </c>
      <c r="C4050" s="2">
        <f>IFERROR(__xludf.DUMMYFUNCTION("""COMPUTED_VALUE"""),885.0)</f>
        <v>885</v>
      </c>
      <c r="D4050" s="3">
        <f>IFERROR(__xludf.DUMMYFUNCTION("""COMPUTED_VALUE"""),200.0)</f>
        <v>200</v>
      </c>
      <c r="E4050" s="2"/>
      <c r="F4050" s="2"/>
    </row>
    <row r="4051">
      <c r="A4051" s="2">
        <f>IFERROR(__xludf.DUMMYFUNCTION("""COMPUTED_VALUE"""),120726.0)</f>
        <v>120726</v>
      </c>
      <c r="B4051" s="2">
        <f>IFERROR(__xludf.DUMMYFUNCTION("""COMPUTED_VALUE"""),1.0)</f>
        <v>1</v>
      </c>
      <c r="C4051" s="2">
        <f>IFERROR(__xludf.DUMMYFUNCTION("""COMPUTED_VALUE"""),514.0)</f>
        <v>514</v>
      </c>
      <c r="D4051" s="3">
        <f>IFERROR(__xludf.DUMMYFUNCTION("""COMPUTED_VALUE"""),45.0)</f>
        <v>45</v>
      </c>
      <c r="E4051" s="2"/>
      <c r="F4051" s="2"/>
    </row>
    <row r="4052">
      <c r="A4052" s="2">
        <f>IFERROR(__xludf.DUMMYFUNCTION("""COMPUTED_VALUE"""),11404.0)</f>
        <v>11404</v>
      </c>
      <c r="B4052" s="2">
        <f>IFERROR(__xludf.DUMMYFUNCTION("""COMPUTED_VALUE"""),1.0)</f>
        <v>1</v>
      </c>
      <c r="C4052" s="2">
        <f>IFERROR(__xludf.DUMMYFUNCTION("""COMPUTED_VALUE"""),64.0)</f>
        <v>64</v>
      </c>
      <c r="D4052" s="3">
        <f>IFERROR(__xludf.DUMMYFUNCTION("""COMPUTED_VALUE"""),64.0)</f>
        <v>64</v>
      </c>
      <c r="E4052" s="2"/>
      <c r="F4052" s="2"/>
    </row>
    <row r="4053">
      <c r="A4053" s="2">
        <f>IFERROR(__xludf.DUMMYFUNCTION("""COMPUTED_VALUE"""),11408.0)</f>
        <v>11408</v>
      </c>
      <c r="B4053" s="2">
        <f>IFERROR(__xludf.DUMMYFUNCTION("""COMPUTED_VALUE"""),0.0)</f>
        <v>0</v>
      </c>
      <c r="C4053" s="2">
        <f>IFERROR(__xludf.DUMMYFUNCTION("""COMPUTED_VALUE"""),725.0)</f>
        <v>725</v>
      </c>
      <c r="D4053" s="3">
        <f>IFERROR(__xludf.DUMMYFUNCTION("""COMPUTED_VALUE"""),252.0)</f>
        <v>252</v>
      </c>
      <c r="E4053" s="2"/>
      <c r="F4053" s="2"/>
    </row>
    <row r="4054">
      <c r="A4054" s="2">
        <f>IFERROR(__xludf.DUMMYFUNCTION("""COMPUTED_VALUE"""),120708.0)</f>
        <v>120708</v>
      </c>
      <c r="B4054" s="2">
        <f>IFERROR(__xludf.DUMMYFUNCTION("""COMPUTED_VALUE"""),1.0)</f>
        <v>1</v>
      </c>
      <c r="C4054" s="2">
        <f>IFERROR(__xludf.DUMMYFUNCTION("""COMPUTED_VALUE"""),439.0)</f>
        <v>439</v>
      </c>
      <c r="D4054" s="3">
        <f>IFERROR(__xludf.DUMMYFUNCTION("""COMPUTED_VALUE"""),279.0)</f>
        <v>279</v>
      </c>
      <c r="E4054" s="2"/>
      <c r="F4054" s="2"/>
    </row>
    <row r="4055">
      <c r="A4055" s="2">
        <f>IFERROR(__xludf.DUMMYFUNCTION("""COMPUTED_VALUE"""),74419.0)</f>
        <v>74419</v>
      </c>
      <c r="B4055" s="2">
        <f>IFERROR(__xludf.DUMMYFUNCTION("""COMPUTED_VALUE"""),0.0)</f>
        <v>0</v>
      </c>
      <c r="C4055" s="2">
        <f>IFERROR(__xludf.DUMMYFUNCTION("""COMPUTED_VALUE"""),338.0)</f>
        <v>338</v>
      </c>
      <c r="D4055" s="3">
        <f>IFERROR(__xludf.DUMMYFUNCTION("""COMPUTED_VALUE"""),262.0)</f>
        <v>262</v>
      </c>
      <c r="E4055" s="2"/>
      <c r="F4055" s="2"/>
    </row>
    <row r="4056">
      <c r="A4056" s="2">
        <f>IFERROR(__xludf.DUMMYFUNCTION("""COMPUTED_VALUE"""),113278.0)</f>
        <v>113278</v>
      </c>
      <c r="B4056" s="2">
        <f>IFERROR(__xludf.DUMMYFUNCTION("""COMPUTED_VALUE"""),0.0)</f>
        <v>0</v>
      </c>
      <c r="C4056" s="2">
        <f>IFERROR(__xludf.DUMMYFUNCTION("""COMPUTED_VALUE"""),183.0)</f>
        <v>183</v>
      </c>
      <c r="D4056" s="3">
        <f>IFERROR(__xludf.DUMMYFUNCTION("""COMPUTED_VALUE"""),146.0)</f>
        <v>146</v>
      </c>
      <c r="E4056" s="2"/>
      <c r="F4056" s="2"/>
    </row>
    <row r="4057">
      <c r="A4057" s="2">
        <f>IFERROR(__xludf.DUMMYFUNCTION("""COMPUTED_VALUE"""),83486.0)</f>
        <v>83486</v>
      </c>
      <c r="B4057" s="2">
        <f>IFERROR(__xludf.DUMMYFUNCTION("""COMPUTED_VALUE"""),0.0)</f>
        <v>0</v>
      </c>
      <c r="C4057" s="2">
        <f>IFERROR(__xludf.DUMMYFUNCTION("""COMPUTED_VALUE"""),765.0)</f>
        <v>765</v>
      </c>
      <c r="D4057" s="3">
        <f>IFERROR(__xludf.DUMMYFUNCTION("""COMPUTED_VALUE"""),31.0)</f>
        <v>31</v>
      </c>
      <c r="E4057" s="2"/>
      <c r="F4057" s="2"/>
    </row>
    <row r="4058">
      <c r="A4058" s="2">
        <f>IFERROR(__xludf.DUMMYFUNCTION("""COMPUTED_VALUE"""),11452.0)</f>
        <v>11452</v>
      </c>
      <c r="B4058" s="2">
        <f>IFERROR(__xludf.DUMMYFUNCTION("""COMPUTED_VALUE"""),1.0)</f>
        <v>1</v>
      </c>
      <c r="C4058" s="2">
        <f>IFERROR(__xludf.DUMMYFUNCTION("""COMPUTED_VALUE"""),310.0)</f>
        <v>310</v>
      </c>
      <c r="D4058" s="3">
        <f>IFERROR(__xludf.DUMMYFUNCTION("""COMPUTED_VALUE"""),136.0)</f>
        <v>136</v>
      </c>
      <c r="E4058" s="2"/>
      <c r="F4058" s="2"/>
    </row>
    <row r="4059">
      <c r="A4059" s="2">
        <f>IFERROR(__xludf.DUMMYFUNCTION("""COMPUTED_VALUE"""),116803.0)</f>
        <v>116803</v>
      </c>
      <c r="B4059" s="2">
        <f>IFERROR(__xludf.DUMMYFUNCTION("""COMPUTED_VALUE"""),1.0)</f>
        <v>1</v>
      </c>
      <c r="C4059" s="2">
        <f>IFERROR(__xludf.DUMMYFUNCTION("""COMPUTED_VALUE"""),592.0)</f>
        <v>592</v>
      </c>
      <c r="D4059" s="3">
        <f>IFERROR(__xludf.DUMMYFUNCTION("""COMPUTED_VALUE"""),323.0)</f>
        <v>323</v>
      </c>
      <c r="E4059" s="2"/>
      <c r="F4059" s="2"/>
    </row>
    <row r="4060">
      <c r="A4060" s="2">
        <f>IFERROR(__xludf.DUMMYFUNCTION("""COMPUTED_VALUE"""),77657.0)</f>
        <v>77657</v>
      </c>
      <c r="B4060" s="2">
        <f>IFERROR(__xludf.DUMMYFUNCTION("""COMPUTED_VALUE"""),1.0)</f>
        <v>1</v>
      </c>
      <c r="C4060" s="2">
        <f>IFERROR(__xludf.DUMMYFUNCTION("""COMPUTED_VALUE"""),811.0)</f>
        <v>811</v>
      </c>
      <c r="D4060" s="3">
        <f>IFERROR(__xludf.DUMMYFUNCTION("""COMPUTED_VALUE"""),413.0)</f>
        <v>413</v>
      </c>
      <c r="E4060" s="2"/>
      <c r="F4060" s="2"/>
    </row>
    <row r="4061">
      <c r="A4061" s="2">
        <f>IFERROR(__xludf.DUMMYFUNCTION("""COMPUTED_VALUE"""),120309.0)</f>
        <v>120309</v>
      </c>
      <c r="B4061" s="2">
        <f>IFERROR(__xludf.DUMMYFUNCTION("""COMPUTED_VALUE"""),0.0)</f>
        <v>0</v>
      </c>
      <c r="C4061" s="2">
        <f>IFERROR(__xludf.DUMMYFUNCTION("""COMPUTED_VALUE"""),492.0)</f>
        <v>492</v>
      </c>
      <c r="D4061" s="3">
        <f>IFERROR(__xludf.DUMMYFUNCTION("""COMPUTED_VALUE"""),111.0)</f>
        <v>111</v>
      </c>
      <c r="E4061" s="2"/>
      <c r="F4061" s="2"/>
    </row>
    <row r="4062">
      <c r="A4062" s="2">
        <f>IFERROR(__xludf.DUMMYFUNCTION("""COMPUTED_VALUE"""),116276.0)</f>
        <v>116276</v>
      </c>
      <c r="B4062" s="2">
        <f>IFERROR(__xludf.DUMMYFUNCTION("""COMPUTED_VALUE"""),1.0)</f>
        <v>1</v>
      </c>
      <c r="C4062" s="2">
        <f>IFERROR(__xludf.DUMMYFUNCTION("""COMPUTED_VALUE"""),767.0)</f>
        <v>767</v>
      </c>
      <c r="D4062" s="3">
        <f>IFERROR(__xludf.DUMMYFUNCTION("""COMPUTED_VALUE"""),562.0)</f>
        <v>562</v>
      </c>
      <c r="E4062" s="2"/>
      <c r="F4062" s="2"/>
    </row>
    <row r="4063">
      <c r="A4063" s="2">
        <f>IFERROR(__xludf.DUMMYFUNCTION("""COMPUTED_VALUE"""),104623.0)</f>
        <v>104623</v>
      </c>
      <c r="B4063" s="2">
        <f>IFERROR(__xludf.DUMMYFUNCTION("""COMPUTED_VALUE"""),0.0)</f>
        <v>0</v>
      </c>
      <c r="C4063" s="2">
        <f>IFERROR(__xludf.DUMMYFUNCTION("""COMPUTED_VALUE"""),447.0)</f>
        <v>447</v>
      </c>
      <c r="D4063" s="3">
        <f>IFERROR(__xludf.DUMMYFUNCTION("""COMPUTED_VALUE"""),313.0)</f>
        <v>313</v>
      </c>
      <c r="E4063" s="2"/>
      <c r="F4063" s="2"/>
    </row>
    <row r="4064">
      <c r="A4064" s="2">
        <f>IFERROR(__xludf.DUMMYFUNCTION("""COMPUTED_VALUE"""),78364.0)</f>
        <v>78364</v>
      </c>
      <c r="B4064" s="2">
        <f>IFERROR(__xludf.DUMMYFUNCTION("""COMPUTED_VALUE"""),0.0)</f>
        <v>0</v>
      </c>
      <c r="C4064" s="2">
        <f>IFERROR(__xludf.DUMMYFUNCTION("""COMPUTED_VALUE"""),965.0)</f>
        <v>965</v>
      </c>
      <c r="D4064" s="3">
        <f>IFERROR(__xludf.DUMMYFUNCTION("""COMPUTED_VALUE"""),198.0)</f>
        <v>198</v>
      </c>
      <c r="E4064" s="2"/>
      <c r="F4064" s="2"/>
    </row>
    <row r="4065">
      <c r="A4065" s="2">
        <f>IFERROR(__xludf.DUMMYFUNCTION("""COMPUTED_VALUE"""),76837.0)</f>
        <v>76837</v>
      </c>
      <c r="B4065" s="2">
        <f>IFERROR(__xludf.DUMMYFUNCTION("""COMPUTED_VALUE"""),1.0)</f>
        <v>1</v>
      </c>
      <c r="C4065" s="2">
        <f>IFERROR(__xludf.DUMMYFUNCTION("""COMPUTED_VALUE"""),740.0)</f>
        <v>740</v>
      </c>
      <c r="D4065" s="3">
        <f>IFERROR(__xludf.DUMMYFUNCTION("""COMPUTED_VALUE"""),733.0)</f>
        <v>733</v>
      </c>
      <c r="E4065" s="2"/>
      <c r="F4065" s="2"/>
    </row>
    <row r="4066">
      <c r="A4066" s="2">
        <f>IFERROR(__xludf.DUMMYFUNCTION("""COMPUTED_VALUE"""),82873.0)</f>
        <v>82873</v>
      </c>
      <c r="B4066" s="2">
        <f>IFERROR(__xludf.DUMMYFUNCTION("""COMPUTED_VALUE"""),1.0)</f>
        <v>1</v>
      </c>
      <c r="C4066" s="2">
        <f>IFERROR(__xludf.DUMMYFUNCTION("""COMPUTED_VALUE"""),232.0)</f>
        <v>232</v>
      </c>
      <c r="D4066" s="3">
        <f>IFERROR(__xludf.DUMMYFUNCTION("""COMPUTED_VALUE"""),129.0)</f>
        <v>129</v>
      </c>
      <c r="E4066" s="2"/>
      <c r="F4066" s="2"/>
    </row>
    <row r="4067">
      <c r="A4067" s="2">
        <f>IFERROR(__xludf.DUMMYFUNCTION("""COMPUTED_VALUE"""),110341.0)</f>
        <v>110341</v>
      </c>
      <c r="B4067" s="2">
        <f>IFERROR(__xludf.DUMMYFUNCTION("""COMPUTED_VALUE"""),1.0)</f>
        <v>1</v>
      </c>
      <c r="C4067" s="2">
        <f>IFERROR(__xludf.DUMMYFUNCTION("""COMPUTED_VALUE"""),214.0)</f>
        <v>214</v>
      </c>
      <c r="D4067" s="3">
        <f>IFERROR(__xludf.DUMMYFUNCTION("""COMPUTED_VALUE"""),103.0)</f>
        <v>103</v>
      </c>
      <c r="E4067" s="2"/>
      <c r="F4067" s="2"/>
    </row>
    <row r="4068">
      <c r="A4068" s="2">
        <f>IFERROR(__xludf.DUMMYFUNCTION("""COMPUTED_VALUE"""),76874.0)</f>
        <v>76874</v>
      </c>
      <c r="B4068" s="2">
        <f>IFERROR(__xludf.DUMMYFUNCTION("""COMPUTED_VALUE"""),1.0)</f>
        <v>1</v>
      </c>
      <c r="C4068" s="2">
        <f>IFERROR(__xludf.DUMMYFUNCTION("""COMPUTED_VALUE"""),5.0)</f>
        <v>5</v>
      </c>
      <c r="D4068" s="3">
        <f>IFERROR(__xludf.DUMMYFUNCTION("""COMPUTED_VALUE"""),3.0)</f>
        <v>3</v>
      </c>
      <c r="E4068" s="2"/>
      <c r="F4068" s="2"/>
    </row>
    <row r="4069">
      <c r="A4069" s="2">
        <f>IFERROR(__xludf.DUMMYFUNCTION("""COMPUTED_VALUE"""),110340.0)</f>
        <v>110340</v>
      </c>
      <c r="B4069" s="2">
        <f>IFERROR(__xludf.DUMMYFUNCTION("""COMPUTED_VALUE"""),1.0)</f>
        <v>1</v>
      </c>
      <c r="C4069" s="2">
        <f>IFERROR(__xludf.DUMMYFUNCTION("""COMPUTED_VALUE"""),450.0)</f>
        <v>450</v>
      </c>
      <c r="D4069" s="3">
        <f>IFERROR(__xludf.DUMMYFUNCTION("""COMPUTED_VALUE"""),362.0)</f>
        <v>362</v>
      </c>
      <c r="E4069" s="2"/>
      <c r="F4069" s="2"/>
    </row>
    <row r="4070">
      <c r="A4070" s="2">
        <f>IFERROR(__xludf.DUMMYFUNCTION("""COMPUTED_VALUE"""),44409.0)</f>
        <v>44409</v>
      </c>
      <c r="B4070" s="2">
        <f>IFERROR(__xludf.DUMMYFUNCTION("""COMPUTED_VALUE"""),0.0)</f>
        <v>0</v>
      </c>
      <c r="C4070" s="2">
        <f>IFERROR(__xludf.DUMMYFUNCTION("""COMPUTED_VALUE"""),821.0)</f>
        <v>821</v>
      </c>
      <c r="D4070" s="3">
        <f>IFERROR(__xludf.DUMMYFUNCTION("""COMPUTED_VALUE"""),504.0)</f>
        <v>504</v>
      </c>
      <c r="E4070" s="2"/>
      <c r="F4070" s="2"/>
    </row>
    <row r="4071">
      <c r="A4071" s="2">
        <f>IFERROR(__xludf.DUMMYFUNCTION("""COMPUTED_VALUE"""),73831.0)</f>
        <v>73831</v>
      </c>
      <c r="B4071" s="2">
        <f>IFERROR(__xludf.DUMMYFUNCTION("""COMPUTED_VALUE"""),1.0)</f>
        <v>1</v>
      </c>
      <c r="C4071" s="2">
        <f>IFERROR(__xludf.DUMMYFUNCTION("""COMPUTED_VALUE"""),148.0)</f>
        <v>148</v>
      </c>
      <c r="D4071" s="3">
        <f>IFERROR(__xludf.DUMMYFUNCTION("""COMPUTED_VALUE"""),125.0)</f>
        <v>125</v>
      </c>
      <c r="E4071" s="2"/>
      <c r="F4071" s="2"/>
    </row>
    <row r="4072">
      <c r="A4072" s="2">
        <f>IFERROR(__xludf.DUMMYFUNCTION("""COMPUTED_VALUE"""),79035.0)</f>
        <v>79035</v>
      </c>
      <c r="B4072" s="2">
        <f>IFERROR(__xludf.DUMMYFUNCTION("""COMPUTED_VALUE"""),0.0)</f>
        <v>0</v>
      </c>
      <c r="C4072" s="2">
        <f>IFERROR(__xludf.DUMMYFUNCTION("""COMPUTED_VALUE"""),945.0)</f>
        <v>945</v>
      </c>
      <c r="D4072" s="3">
        <f>IFERROR(__xludf.DUMMYFUNCTION("""COMPUTED_VALUE"""),62.0)</f>
        <v>62</v>
      </c>
      <c r="E4072" s="2"/>
      <c r="F4072" s="2"/>
    </row>
    <row r="4073">
      <c r="A4073" s="2">
        <f>IFERROR(__xludf.DUMMYFUNCTION("""COMPUTED_VALUE"""),94951.0)</f>
        <v>94951</v>
      </c>
      <c r="B4073" s="2">
        <f>IFERROR(__xludf.DUMMYFUNCTION("""COMPUTED_VALUE"""),1.0)</f>
        <v>1</v>
      </c>
      <c r="C4073" s="2">
        <f>IFERROR(__xludf.DUMMYFUNCTION("""COMPUTED_VALUE"""),418.0)</f>
        <v>418</v>
      </c>
      <c r="D4073" s="3">
        <f>IFERROR(__xludf.DUMMYFUNCTION("""COMPUTED_VALUE"""),26.0)</f>
        <v>26</v>
      </c>
      <c r="E4073" s="2"/>
      <c r="F4073" s="2"/>
    </row>
    <row r="4074">
      <c r="A4074" s="2">
        <f>IFERROR(__xludf.DUMMYFUNCTION("""COMPUTED_VALUE"""),22248.0)</f>
        <v>22248</v>
      </c>
      <c r="B4074" s="2">
        <f>IFERROR(__xludf.DUMMYFUNCTION("""COMPUTED_VALUE"""),1.0)</f>
        <v>1</v>
      </c>
      <c r="C4074" s="2">
        <f>IFERROR(__xludf.DUMMYFUNCTION("""COMPUTED_VALUE"""),-17.0)</f>
        <v>-17</v>
      </c>
      <c r="D4074" s="3">
        <f>IFERROR(__xludf.DUMMYFUNCTION("""COMPUTED_VALUE"""),0.0)</f>
        <v>0</v>
      </c>
      <c r="E4074" s="2"/>
      <c r="F4074" s="2"/>
    </row>
    <row r="4075">
      <c r="A4075" s="2">
        <f>IFERROR(__xludf.DUMMYFUNCTION("""COMPUTED_VALUE"""),16088.0)</f>
        <v>16088</v>
      </c>
      <c r="B4075" s="2">
        <f>IFERROR(__xludf.DUMMYFUNCTION("""COMPUTED_VALUE"""),1.0)</f>
        <v>1</v>
      </c>
      <c r="C4075" s="2">
        <f>IFERROR(__xludf.DUMMYFUNCTION("""COMPUTED_VALUE"""),710.0)</f>
        <v>710</v>
      </c>
      <c r="D4075" s="3">
        <f>IFERROR(__xludf.DUMMYFUNCTION("""COMPUTED_VALUE"""),155.0)</f>
        <v>155</v>
      </c>
      <c r="E4075" s="2"/>
      <c r="F4075" s="2"/>
    </row>
    <row r="4076">
      <c r="A4076" s="2">
        <f>IFERROR(__xludf.DUMMYFUNCTION("""COMPUTED_VALUE"""),10571.0)</f>
        <v>10571</v>
      </c>
      <c r="B4076" s="2">
        <f>IFERROR(__xludf.DUMMYFUNCTION("""COMPUTED_VALUE"""),1.0)</f>
        <v>1</v>
      </c>
      <c r="C4076" s="2">
        <f>IFERROR(__xludf.DUMMYFUNCTION("""COMPUTED_VALUE"""),926.0)</f>
        <v>926</v>
      </c>
      <c r="D4076" s="3">
        <f>IFERROR(__xludf.DUMMYFUNCTION("""COMPUTED_VALUE"""),513.0)</f>
        <v>513</v>
      </c>
      <c r="E4076" s="2"/>
      <c r="F4076" s="2"/>
    </row>
    <row r="4077">
      <c r="A4077" s="2">
        <f>IFERROR(__xludf.DUMMYFUNCTION("""COMPUTED_VALUE"""),182012.0)</f>
        <v>182012</v>
      </c>
      <c r="B4077" s="2">
        <f>IFERROR(__xludf.DUMMYFUNCTION("""COMPUTED_VALUE"""),1.0)</f>
        <v>1</v>
      </c>
      <c r="C4077" s="2">
        <f>IFERROR(__xludf.DUMMYFUNCTION("""COMPUTED_VALUE"""),330.0)</f>
        <v>330</v>
      </c>
      <c r="D4077" s="3">
        <f>IFERROR(__xludf.DUMMYFUNCTION("""COMPUTED_VALUE"""),53.0)</f>
        <v>53</v>
      </c>
      <c r="E4077" s="2"/>
      <c r="F4077" s="2"/>
    </row>
    <row r="4078">
      <c r="A4078" s="2">
        <f>IFERROR(__xludf.DUMMYFUNCTION("""COMPUTED_VALUE"""),182013.0)</f>
        <v>182013</v>
      </c>
      <c r="B4078" s="2">
        <f>IFERROR(__xludf.DUMMYFUNCTION("""COMPUTED_VALUE"""),1.0)</f>
        <v>1</v>
      </c>
      <c r="C4078" s="2">
        <f>IFERROR(__xludf.DUMMYFUNCTION("""COMPUTED_VALUE"""),490.0)</f>
        <v>490</v>
      </c>
      <c r="D4078" s="3">
        <f>IFERROR(__xludf.DUMMYFUNCTION("""COMPUTED_VALUE"""),487.0)</f>
        <v>487</v>
      </c>
      <c r="E4078" s="2"/>
      <c r="F4078" s="2"/>
    </row>
    <row r="4079">
      <c r="A4079" s="2">
        <f>IFERROR(__xludf.DUMMYFUNCTION("""COMPUTED_VALUE"""),107400.0)</f>
        <v>107400</v>
      </c>
      <c r="B4079" s="2">
        <f>IFERROR(__xludf.DUMMYFUNCTION("""COMPUTED_VALUE"""),0.0)</f>
        <v>0</v>
      </c>
      <c r="C4079" s="2">
        <f>IFERROR(__xludf.DUMMYFUNCTION("""COMPUTED_VALUE"""),266.0)</f>
        <v>266</v>
      </c>
      <c r="D4079" s="3">
        <f>IFERROR(__xludf.DUMMYFUNCTION("""COMPUTED_VALUE"""),139.0)</f>
        <v>139</v>
      </c>
      <c r="E4079" s="2"/>
      <c r="F4079" s="2"/>
    </row>
    <row r="4080">
      <c r="A4080" s="2">
        <f>IFERROR(__xludf.DUMMYFUNCTION("""COMPUTED_VALUE"""),48623.0)</f>
        <v>48623</v>
      </c>
      <c r="B4080" s="2">
        <f>IFERROR(__xludf.DUMMYFUNCTION("""COMPUTED_VALUE"""),0.0)</f>
        <v>0</v>
      </c>
      <c r="C4080" s="2">
        <f>IFERROR(__xludf.DUMMYFUNCTION("""COMPUTED_VALUE"""),393.0)</f>
        <v>393</v>
      </c>
      <c r="D4080" s="3">
        <f>IFERROR(__xludf.DUMMYFUNCTION("""COMPUTED_VALUE"""),131.0)</f>
        <v>131</v>
      </c>
      <c r="E4080" s="2"/>
      <c r="F4080" s="2"/>
    </row>
    <row r="4081">
      <c r="A4081" s="2">
        <f>IFERROR(__xludf.DUMMYFUNCTION("""COMPUTED_VALUE"""),48616.0)</f>
        <v>48616</v>
      </c>
      <c r="B4081" s="2">
        <f>IFERROR(__xludf.DUMMYFUNCTION("""COMPUTED_VALUE"""),0.0)</f>
        <v>0</v>
      </c>
      <c r="C4081" s="2">
        <f>IFERROR(__xludf.DUMMYFUNCTION("""COMPUTED_VALUE"""),248.0)</f>
        <v>248</v>
      </c>
      <c r="D4081" s="3">
        <f>IFERROR(__xludf.DUMMYFUNCTION("""COMPUTED_VALUE"""),121.0)</f>
        <v>121</v>
      </c>
      <c r="E4081" s="2"/>
      <c r="F4081" s="2"/>
    </row>
    <row r="4082">
      <c r="A4082" s="2">
        <f>IFERROR(__xludf.DUMMYFUNCTION("""COMPUTED_VALUE"""),47515.0)</f>
        <v>47515</v>
      </c>
      <c r="B4082" s="2">
        <f>IFERROR(__xludf.DUMMYFUNCTION("""COMPUTED_VALUE"""),0.0)</f>
        <v>0</v>
      </c>
      <c r="C4082" s="2">
        <f>IFERROR(__xludf.DUMMYFUNCTION("""COMPUTED_VALUE"""),414.0)</f>
        <v>414</v>
      </c>
      <c r="D4082" s="3">
        <f>IFERROR(__xludf.DUMMYFUNCTION("""COMPUTED_VALUE"""),197.0)</f>
        <v>197</v>
      </c>
      <c r="E4082" s="2"/>
      <c r="F4082" s="2"/>
    </row>
    <row r="4083">
      <c r="A4083" s="2">
        <f>IFERROR(__xludf.DUMMYFUNCTION("""COMPUTED_VALUE"""),81915.0)</f>
        <v>81915</v>
      </c>
      <c r="B4083" s="2">
        <f>IFERROR(__xludf.DUMMYFUNCTION("""COMPUTED_VALUE"""),1.0)</f>
        <v>1</v>
      </c>
      <c r="C4083" s="2">
        <f>IFERROR(__xludf.DUMMYFUNCTION("""COMPUTED_VALUE"""),264.0)</f>
        <v>264</v>
      </c>
      <c r="D4083" s="3">
        <f>IFERROR(__xludf.DUMMYFUNCTION("""COMPUTED_VALUE"""),204.0)</f>
        <v>204</v>
      </c>
      <c r="E4083" s="2"/>
      <c r="F4083" s="2"/>
    </row>
    <row r="4084">
      <c r="A4084" s="2">
        <f>IFERROR(__xludf.DUMMYFUNCTION("""COMPUTED_VALUE"""),108920.0)</f>
        <v>108920</v>
      </c>
      <c r="B4084" s="2">
        <f>IFERROR(__xludf.DUMMYFUNCTION("""COMPUTED_VALUE"""),1.0)</f>
        <v>1</v>
      </c>
      <c r="C4084" s="2">
        <f>IFERROR(__xludf.DUMMYFUNCTION("""COMPUTED_VALUE"""),571.0)</f>
        <v>571</v>
      </c>
      <c r="D4084" s="3">
        <f>IFERROR(__xludf.DUMMYFUNCTION("""COMPUTED_VALUE"""),20.0)</f>
        <v>20</v>
      </c>
      <c r="E4084" s="2"/>
      <c r="F4084" s="2"/>
    </row>
    <row r="4085">
      <c r="A4085" s="2">
        <f>IFERROR(__xludf.DUMMYFUNCTION("""COMPUTED_VALUE"""),107406.0)</f>
        <v>107406</v>
      </c>
      <c r="B4085" s="2">
        <f>IFERROR(__xludf.DUMMYFUNCTION("""COMPUTED_VALUE"""),1.0)</f>
        <v>1</v>
      </c>
      <c r="C4085" s="2">
        <f>IFERROR(__xludf.DUMMYFUNCTION("""COMPUTED_VALUE"""),425.0)</f>
        <v>425</v>
      </c>
      <c r="D4085" s="3">
        <f>IFERROR(__xludf.DUMMYFUNCTION("""COMPUTED_VALUE"""),411.0)</f>
        <v>411</v>
      </c>
      <c r="E4085" s="2"/>
      <c r="F4085" s="2"/>
    </row>
    <row r="4086">
      <c r="A4086" s="2">
        <f>IFERROR(__xludf.DUMMYFUNCTION("""COMPUTED_VALUE"""),24074.0)</f>
        <v>24074</v>
      </c>
      <c r="B4086" s="2">
        <f>IFERROR(__xludf.DUMMYFUNCTION("""COMPUTED_VALUE"""),1.0)</f>
        <v>1</v>
      </c>
      <c r="C4086" s="2">
        <f>IFERROR(__xludf.DUMMYFUNCTION("""COMPUTED_VALUE"""),192.0)</f>
        <v>192</v>
      </c>
      <c r="D4086" s="3">
        <f>IFERROR(__xludf.DUMMYFUNCTION("""COMPUTED_VALUE"""),42.0)</f>
        <v>42</v>
      </c>
      <c r="E4086" s="2"/>
      <c r="F4086" s="2"/>
    </row>
    <row r="4087">
      <c r="A4087" s="2">
        <f>IFERROR(__xludf.DUMMYFUNCTION("""COMPUTED_VALUE"""),107388.0)</f>
        <v>107388</v>
      </c>
      <c r="B4087" s="2">
        <f>IFERROR(__xludf.DUMMYFUNCTION("""COMPUTED_VALUE"""),0.0)</f>
        <v>0</v>
      </c>
      <c r="C4087" s="2">
        <f>IFERROR(__xludf.DUMMYFUNCTION("""COMPUTED_VALUE"""),455.0)</f>
        <v>455</v>
      </c>
      <c r="D4087" s="3">
        <f>IFERROR(__xludf.DUMMYFUNCTION("""COMPUTED_VALUE"""),75.0)</f>
        <v>75</v>
      </c>
      <c r="E4087" s="2"/>
      <c r="F4087" s="2"/>
    </row>
    <row r="4088">
      <c r="A4088" s="2">
        <f>IFERROR(__xludf.DUMMYFUNCTION("""COMPUTED_VALUE"""),24075.0)</f>
        <v>24075</v>
      </c>
      <c r="B4088" s="2">
        <f>IFERROR(__xludf.DUMMYFUNCTION("""COMPUTED_VALUE"""),0.0)</f>
        <v>0</v>
      </c>
      <c r="C4088" s="2">
        <f>IFERROR(__xludf.DUMMYFUNCTION("""COMPUTED_VALUE"""),271.0)</f>
        <v>271</v>
      </c>
      <c r="D4088" s="3">
        <f>IFERROR(__xludf.DUMMYFUNCTION("""COMPUTED_VALUE"""),35.0)</f>
        <v>35</v>
      </c>
      <c r="E4088" s="2"/>
      <c r="F4088" s="2"/>
    </row>
    <row r="4089">
      <c r="A4089" s="2">
        <f>IFERROR(__xludf.DUMMYFUNCTION("""COMPUTED_VALUE"""),27639.0)</f>
        <v>27639</v>
      </c>
      <c r="B4089" s="2">
        <f>IFERROR(__xludf.DUMMYFUNCTION("""COMPUTED_VALUE"""),0.0)</f>
        <v>0</v>
      </c>
      <c r="C4089" s="2">
        <f>IFERROR(__xludf.DUMMYFUNCTION("""COMPUTED_VALUE"""),837.0)</f>
        <v>837</v>
      </c>
      <c r="D4089" s="3">
        <f>IFERROR(__xludf.DUMMYFUNCTION("""COMPUTED_VALUE"""),837.0)</f>
        <v>837</v>
      </c>
      <c r="E4089" s="2"/>
      <c r="F4089" s="2"/>
    </row>
    <row r="4090">
      <c r="A4090" s="2">
        <f>IFERROR(__xludf.DUMMYFUNCTION("""COMPUTED_VALUE"""),103632.0)</f>
        <v>103632</v>
      </c>
      <c r="B4090" s="2">
        <f>IFERROR(__xludf.DUMMYFUNCTION("""COMPUTED_VALUE"""),0.0)</f>
        <v>0</v>
      </c>
      <c r="C4090" s="2">
        <f>IFERROR(__xludf.DUMMYFUNCTION("""COMPUTED_VALUE"""),839.0)</f>
        <v>839</v>
      </c>
      <c r="D4090" s="3">
        <f>IFERROR(__xludf.DUMMYFUNCTION("""COMPUTED_VALUE"""),831.0)</f>
        <v>831</v>
      </c>
      <c r="E4090" s="2"/>
      <c r="F4090" s="2"/>
    </row>
    <row r="4091">
      <c r="A4091" s="2">
        <f>IFERROR(__xludf.DUMMYFUNCTION("""COMPUTED_VALUE"""),10569.0)</f>
        <v>10569</v>
      </c>
      <c r="B4091" s="2">
        <f>IFERROR(__xludf.DUMMYFUNCTION("""COMPUTED_VALUE"""),1.0)</f>
        <v>1</v>
      </c>
      <c r="C4091" s="2">
        <f>IFERROR(__xludf.DUMMYFUNCTION("""COMPUTED_VALUE"""),303.0)</f>
        <v>303</v>
      </c>
      <c r="D4091" s="3">
        <f>IFERROR(__xludf.DUMMYFUNCTION("""COMPUTED_VALUE"""),188.0)</f>
        <v>188</v>
      </c>
      <c r="E4091" s="2"/>
      <c r="F4091" s="2"/>
    </row>
    <row r="4092">
      <c r="A4092" s="2">
        <f>IFERROR(__xludf.DUMMYFUNCTION("""COMPUTED_VALUE"""),182007.0)</f>
        <v>182007</v>
      </c>
      <c r="B4092" s="2">
        <f>IFERROR(__xludf.DUMMYFUNCTION("""COMPUTED_VALUE"""),0.0)</f>
        <v>0</v>
      </c>
      <c r="C4092" s="2">
        <f>IFERROR(__xludf.DUMMYFUNCTION("""COMPUTED_VALUE"""),122.0)</f>
        <v>122</v>
      </c>
      <c r="D4092" s="3">
        <f>IFERROR(__xludf.DUMMYFUNCTION("""COMPUTED_VALUE"""),108.0)</f>
        <v>108</v>
      </c>
      <c r="E4092" s="2"/>
      <c r="F4092" s="2"/>
    </row>
    <row r="4093">
      <c r="A4093" s="2">
        <f>IFERROR(__xludf.DUMMYFUNCTION("""COMPUTED_VALUE"""),182009.0)</f>
        <v>182009</v>
      </c>
      <c r="B4093" s="2">
        <f>IFERROR(__xludf.DUMMYFUNCTION("""COMPUTED_VALUE"""),1.0)</f>
        <v>1</v>
      </c>
      <c r="C4093" s="2">
        <f>IFERROR(__xludf.DUMMYFUNCTION("""COMPUTED_VALUE"""),501.0)</f>
        <v>501</v>
      </c>
      <c r="D4093" s="3">
        <f>IFERROR(__xludf.DUMMYFUNCTION("""COMPUTED_VALUE"""),274.0)</f>
        <v>274</v>
      </c>
      <c r="E4093" s="2"/>
      <c r="F4093" s="2"/>
    </row>
    <row r="4094">
      <c r="A4094" s="2">
        <f>IFERROR(__xludf.DUMMYFUNCTION("""COMPUTED_VALUE"""),103630.0)</f>
        <v>103630</v>
      </c>
      <c r="B4094" s="2">
        <f>IFERROR(__xludf.DUMMYFUNCTION("""COMPUTED_VALUE"""),0.0)</f>
        <v>0</v>
      </c>
      <c r="C4094" s="2">
        <f>IFERROR(__xludf.DUMMYFUNCTION("""COMPUTED_VALUE"""),450.0)</f>
        <v>450</v>
      </c>
      <c r="D4094" s="3">
        <f>IFERROR(__xludf.DUMMYFUNCTION("""COMPUTED_VALUE"""),223.0)</f>
        <v>223</v>
      </c>
      <c r="E4094" s="2"/>
      <c r="F4094" s="2"/>
    </row>
    <row r="4095">
      <c r="A4095" s="2">
        <f>IFERROR(__xludf.DUMMYFUNCTION("""COMPUTED_VALUE"""),47514.0)</f>
        <v>47514</v>
      </c>
      <c r="B4095" s="2">
        <f>IFERROR(__xludf.DUMMYFUNCTION("""COMPUTED_VALUE"""),1.0)</f>
        <v>1</v>
      </c>
      <c r="C4095" s="2">
        <f>IFERROR(__xludf.DUMMYFUNCTION("""COMPUTED_VALUE"""),541.0)</f>
        <v>541</v>
      </c>
      <c r="D4095" s="3">
        <f>IFERROR(__xludf.DUMMYFUNCTION("""COMPUTED_VALUE"""),449.0)</f>
        <v>449</v>
      </c>
      <c r="E4095" s="2"/>
      <c r="F4095" s="2"/>
    </row>
    <row r="4096">
      <c r="A4096" s="2">
        <f>IFERROR(__xludf.DUMMYFUNCTION("""COMPUTED_VALUE"""),86370.0)</f>
        <v>86370</v>
      </c>
      <c r="B4096" s="2">
        <f>IFERROR(__xludf.DUMMYFUNCTION("""COMPUTED_VALUE"""),0.0)</f>
        <v>0</v>
      </c>
      <c r="C4096" s="2">
        <f>IFERROR(__xludf.DUMMYFUNCTION("""COMPUTED_VALUE"""),779.0)</f>
        <v>779</v>
      </c>
      <c r="D4096" s="3">
        <f>IFERROR(__xludf.DUMMYFUNCTION("""COMPUTED_VALUE"""),213.0)</f>
        <v>213</v>
      </c>
      <c r="E4096" s="2"/>
      <c r="F4096" s="2"/>
    </row>
    <row r="4097">
      <c r="A4097" s="2">
        <f>IFERROR(__xludf.DUMMYFUNCTION("""COMPUTED_VALUE"""),86368.0)</f>
        <v>86368</v>
      </c>
      <c r="B4097" s="2">
        <f>IFERROR(__xludf.DUMMYFUNCTION("""COMPUTED_VALUE"""),0.0)</f>
        <v>0</v>
      </c>
      <c r="C4097" s="2">
        <f>IFERROR(__xludf.DUMMYFUNCTION("""COMPUTED_VALUE"""),982.0)</f>
        <v>982</v>
      </c>
      <c r="D4097" s="3">
        <f>IFERROR(__xludf.DUMMYFUNCTION("""COMPUTED_VALUE"""),124.0)</f>
        <v>124</v>
      </c>
      <c r="E4097" s="2"/>
      <c r="F4097" s="2"/>
    </row>
    <row r="4098">
      <c r="A4098" s="2">
        <f>IFERROR(__xludf.DUMMYFUNCTION("""COMPUTED_VALUE"""),103174.0)</f>
        <v>103174</v>
      </c>
      <c r="B4098" s="2">
        <f>IFERROR(__xludf.DUMMYFUNCTION("""COMPUTED_VALUE"""),0.0)</f>
        <v>0</v>
      </c>
      <c r="C4098" s="2">
        <f>IFERROR(__xludf.DUMMYFUNCTION("""COMPUTED_VALUE"""),410.0)</f>
        <v>410</v>
      </c>
      <c r="D4098" s="3">
        <f>IFERROR(__xludf.DUMMYFUNCTION("""COMPUTED_VALUE"""),99.0)</f>
        <v>99</v>
      </c>
      <c r="E4098" s="2"/>
      <c r="F4098" s="2"/>
    </row>
    <row r="4099">
      <c r="A4099" s="2">
        <f>IFERROR(__xludf.DUMMYFUNCTION("""COMPUTED_VALUE"""),48632.0)</f>
        <v>48632</v>
      </c>
      <c r="B4099" s="2">
        <f>IFERROR(__xludf.DUMMYFUNCTION("""COMPUTED_VALUE"""),1.0)</f>
        <v>1</v>
      </c>
      <c r="C4099" s="2">
        <f>IFERROR(__xludf.DUMMYFUNCTION("""COMPUTED_VALUE"""),739.0)</f>
        <v>739</v>
      </c>
      <c r="D4099" s="3">
        <f>IFERROR(__xludf.DUMMYFUNCTION("""COMPUTED_VALUE"""),22.0)</f>
        <v>22</v>
      </c>
      <c r="E4099" s="2"/>
      <c r="F4099" s="2"/>
    </row>
    <row r="4100">
      <c r="A4100" s="2">
        <f>IFERROR(__xludf.DUMMYFUNCTION("""COMPUTED_VALUE"""),48630.0)</f>
        <v>48630</v>
      </c>
      <c r="B4100" s="2">
        <f>IFERROR(__xludf.DUMMYFUNCTION("""COMPUTED_VALUE"""),0.0)</f>
        <v>0</v>
      </c>
      <c r="C4100" s="2">
        <f>IFERROR(__xludf.DUMMYFUNCTION("""COMPUTED_VALUE"""),66.0)</f>
        <v>66</v>
      </c>
      <c r="D4100" s="3">
        <f>IFERROR(__xludf.DUMMYFUNCTION("""COMPUTED_VALUE"""),39.0)</f>
        <v>39</v>
      </c>
      <c r="E4100" s="2"/>
      <c r="F4100" s="2"/>
    </row>
    <row r="4101">
      <c r="A4101" s="2">
        <f>IFERROR(__xludf.DUMMYFUNCTION("""COMPUTED_VALUE"""),48624.0)</f>
        <v>48624</v>
      </c>
      <c r="B4101" s="2">
        <f>IFERROR(__xludf.DUMMYFUNCTION("""COMPUTED_VALUE"""),1.0)</f>
        <v>1</v>
      </c>
      <c r="C4101" s="2">
        <f>IFERROR(__xludf.DUMMYFUNCTION("""COMPUTED_VALUE"""),685.0)</f>
        <v>685</v>
      </c>
      <c r="D4101" s="3">
        <f>IFERROR(__xludf.DUMMYFUNCTION("""COMPUTED_VALUE"""),246.0)</f>
        <v>246</v>
      </c>
      <c r="E4101" s="2"/>
      <c r="F4101" s="2"/>
    </row>
    <row r="4102">
      <c r="A4102" s="2">
        <f>IFERROR(__xludf.DUMMYFUNCTION("""COMPUTED_VALUE"""),10573.0)</f>
        <v>10573</v>
      </c>
      <c r="B4102" s="2">
        <f>IFERROR(__xludf.DUMMYFUNCTION("""COMPUTED_VALUE"""),1.0)</f>
        <v>1</v>
      </c>
      <c r="C4102" s="2">
        <f>IFERROR(__xludf.DUMMYFUNCTION("""COMPUTED_VALUE"""),918.0)</f>
        <v>918</v>
      </c>
      <c r="D4102" s="3">
        <f>IFERROR(__xludf.DUMMYFUNCTION("""COMPUTED_VALUE"""),485.0)</f>
        <v>485</v>
      </c>
      <c r="E4102" s="2"/>
      <c r="F4102" s="2"/>
    </row>
    <row r="4103">
      <c r="A4103" s="2">
        <f>IFERROR(__xludf.DUMMYFUNCTION("""COMPUTED_VALUE"""),18115.0)</f>
        <v>18115</v>
      </c>
      <c r="B4103" s="2">
        <f>IFERROR(__xludf.DUMMYFUNCTION("""COMPUTED_VALUE"""),0.0)</f>
        <v>0</v>
      </c>
      <c r="C4103" s="2">
        <f>IFERROR(__xludf.DUMMYFUNCTION("""COMPUTED_VALUE"""),818.0)</f>
        <v>818</v>
      </c>
      <c r="D4103" s="3">
        <f>IFERROR(__xludf.DUMMYFUNCTION("""COMPUTED_VALUE"""),395.0)</f>
        <v>395</v>
      </c>
      <c r="E4103" s="2"/>
      <c r="F4103" s="2"/>
    </row>
    <row r="4104">
      <c r="A4104" s="2">
        <f>IFERROR(__xludf.DUMMYFUNCTION("""COMPUTED_VALUE"""),83057.0)</f>
        <v>83057</v>
      </c>
      <c r="B4104" s="2">
        <f>IFERROR(__xludf.DUMMYFUNCTION("""COMPUTED_VALUE"""),0.0)</f>
        <v>0</v>
      </c>
      <c r="C4104" s="2">
        <f>IFERROR(__xludf.DUMMYFUNCTION("""COMPUTED_VALUE"""),494.0)</f>
        <v>494</v>
      </c>
      <c r="D4104" s="3">
        <f>IFERROR(__xludf.DUMMYFUNCTION("""COMPUTED_VALUE"""),315.0)</f>
        <v>315</v>
      </c>
      <c r="E4104" s="2"/>
      <c r="F4104" s="2"/>
    </row>
    <row r="4105">
      <c r="A4105" s="2">
        <f>IFERROR(__xludf.DUMMYFUNCTION("""COMPUTED_VALUE"""),26727.0)</f>
        <v>26727</v>
      </c>
      <c r="B4105" s="2">
        <f>IFERROR(__xludf.DUMMYFUNCTION("""COMPUTED_VALUE"""),0.0)</f>
        <v>0</v>
      </c>
      <c r="C4105" s="2">
        <f>IFERROR(__xludf.DUMMYFUNCTION("""COMPUTED_VALUE"""),372.0)</f>
        <v>372</v>
      </c>
      <c r="D4105" s="3">
        <f>IFERROR(__xludf.DUMMYFUNCTION("""COMPUTED_VALUE"""),145.0)</f>
        <v>145</v>
      </c>
      <c r="E4105" s="2"/>
      <c r="F4105" s="2"/>
    </row>
    <row r="4106">
      <c r="A4106" s="2">
        <f>IFERROR(__xludf.DUMMYFUNCTION("""COMPUTED_VALUE"""),85779.0)</f>
        <v>85779</v>
      </c>
      <c r="B4106" s="2">
        <f>IFERROR(__xludf.DUMMYFUNCTION("""COMPUTED_VALUE"""),1.0)</f>
        <v>1</v>
      </c>
      <c r="C4106" s="2">
        <f>IFERROR(__xludf.DUMMYFUNCTION("""COMPUTED_VALUE"""),436.0)</f>
        <v>436</v>
      </c>
      <c r="D4106" s="3">
        <f>IFERROR(__xludf.DUMMYFUNCTION("""COMPUTED_VALUE"""),151.0)</f>
        <v>151</v>
      </c>
      <c r="E4106" s="2"/>
      <c r="F4106" s="2"/>
    </row>
    <row r="4107">
      <c r="A4107" s="2">
        <f>IFERROR(__xludf.DUMMYFUNCTION("""COMPUTED_VALUE"""),84396.0)</f>
        <v>84396</v>
      </c>
      <c r="B4107" s="2">
        <f>IFERROR(__xludf.DUMMYFUNCTION("""COMPUTED_VALUE"""),1.0)</f>
        <v>1</v>
      </c>
      <c r="C4107" s="2">
        <f>IFERROR(__xludf.DUMMYFUNCTION("""COMPUTED_VALUE"""),549.0)</f>
        <v>549</v>
      </c>
      <c r="D4107" s="3">
        <f>IFERROR(__xludf.DUMMYFUNCTION("""COMPUTED_VALUE"""),319.0)</f>
        <v>319</v>
      </c>
      <c r="E4107" s="2"/>
      <c r="F4107" s="2"/>
    </row>
    <row r="4108">
      <c r="A4108" s="2">
        <f>IFERROR(__xludf.DUMMYFUNCTION("""COMPUTED_VALUE"""),42676.0)</f>
        <v>42676</v>
      </c>
      <c r="B4108" s="2">
        <f>IFERROR(__xludf.DUMMYFUNCTION("""COMPUTED_VALUE"""),1.0)</f>
        <v>1</v>
      </c>
      <c r="C4108" s="2">
        <f>IFERROR(__xludf.DUMMYFUNCTION("""COMPUTED_VALUE"""),569.0)</f>
        <v>569</v>
      </c>
      <c r="D4108" s="3">
        <f>IFERROR(__xludf.DUMMYFUNCTION("""COMPUTED_VALUE"""),528.0)</f>
        <v>528</v>
      </c>
      <c r="E4108" s="2"/>
      <c r="F4108" s="2"/>
    </row>
    <row r="4109">
      <c r="A4109" s="2">
        <f>IFERROR(__xludf.DUMMYFUNCTION("""COMPUTED_VALUE"""),108380.0)</f>
        <v>108380</v>
      </c>
      <c r="B4109" s="2">
        <f>IFERROR(__xludf.DUMMYFUNCTION("""COMPUTED_VALUE"""),1.0)</f>
        <v>1</v>
      </c>
      <c r="C4109" s="2">
        <f>IFERROR(__xludf.DUMMYFUNCTION("""COMPUTED_VALUE"""),767.0)</f>
        <v>767</v>
      </c>
      <c r="D4109" s="3">
        <f>IFERROR(__xludf.DUMMYFUNCTION("""COMPUTED_VALUE"""),169.0)</f>
        <v>169</v>
      </c>
      <c r="E4109" s="2"/>
      <c r="F4109" s="2"/>
    </row>
    <row r="4110">
      <c r="A4110" s="2">
        <f>IFERROR(__xludf.DUMMYFUNCTION("""COMPUTED_VALUE"""),10565.0)</f>
        <v>10565</v>
      </c>
      <c r="B4110" s="2">
        <f>IFERROR(__xludf.DUMMYFUNCTION("""COMPUTED_VALUE"""),0.0)</f>
        <v>0</v>
      </c>
      <c r="C4110" s="2">
        <f>IFERROR(__xludf.DUMMYFUNCTION("""COMPUTED_VALUE"""),542.0)</f>
        <v>542</v>
      </c>
      <c r="D4110" s="3">
        <f>IFERROR(__xludf.DUMMYFUNCTION("""COMPUTED_VALUE"""),510.0)</f>
        <v>510</v>
      </c>
      <c r="E4110" s="2"/>
      <c r="F4110" s="2"/>
    </row>
    <row r="4111">
      <c r="A4111" s="2">
        <f>IFERROR(__xludf.DUMMYFUNCTION("""COMPUTED_VALUE"""),107631.0)</f>
        <v>107631</v>
      </c>
      <c r="B4111" s="2">
        <f>IFERROR(__xludf.DUMMYFUNCTION("""COMPUTED_VALUE"""),0.0)</f>
        <v>0</v>
      </c>
      <c r="C4111" s="2">
        <f>IFERROR(__xludf.DUMMYFUNCTION("""COMPUTED_VALUE"""),996.0)</f>
        <v>996</v>
      </c>
      <c r="D4111" s="3">
        <f>IFERROR(__xludf.DUMMYFUNCTION("""COMPUTED_VALUE"""),246.0)</f>
        <v>246</v>
      </c>
      <c r="E4111" s="2"/>
      <c r="F4111" s="2"/>
    </row>
    <row r="4112">
      <c r="A4112" s="2">
        <f>IFERROR(__xludf.DUMMYFUNCTION("""COMPUTED_VALUE"""),24061.0)</f>
        <v>24061</v>
      </c>
      <c r="B4112" s="2">
        <f>IFERROR(__xludf.DUMMYFUNCTION("""COMPUTED_VALUE"""),1.0)</f>
        <v>1</v>
      </c>
      <c r="C4112" s="2">
        <f>IFERROR(__xludf.DUMMYFUNCTION("""COMPUTED_VALUE"""),212.0)</f>
        <v>212</v>
      </c>
      <c r="D4112" s="3">
        <f>IFERROR(__xludf.DUMMYFUNCTION("""COMPUTED_VALUE"""),206.0)</f>
        <v>206</v>
      </c>
      <c r="E4112" s="2"/>
      <c r="F4112" s="2"/>
    </row>
    <row r="4113">
      <c r="A4113" s="2">
        <f>IFERROR(__xludf.DUMMYFUNCTION("""COMPUTED_VALUE"""),182051.0)</f>
        <v>182051</v>
      </c>
      <c r="B4113" s="2">
        <f>IFERROR(__xludf.DUMMYFUNCTION("""COMPUTED_VALUE"""),1.0)</f>
        <v>1</v>
      </c>
      <c r="C4113" s="2">
        <f>IFERROR(__xludf.DUMMYFUNCTION("""COMPUTED_VALUE"""),932.0)</f>
        <v>932</v>
      </c>
      <c r="D4113" s="3">
        <f>IFERROR(__xludf.DUMMYFUNCTION("""COMPUTED_VALUE"""),499.0)</f>
        <v>499</v>
      </c>
      <c r="E4113" s="2"/>
      <c r="F4113" s="2"/>
    </row>
    <row r="4114">
      <c r="A4114" s="2">
        <f>IFERROR(__xludf.DUMMYFUNCTION("""COMPUTED_VALUE"""),86360.0)</f>
        <v>86360</v>
      </c>
      <c r="B4114" s="2">
        <f>IFERROR(__xludf.DUMMYFUNCTION("""COMPUTED_VALUE"""),0.0)</f>
        <v>0</v>
      </c>
      <c r="C4114" s="2">
        <f>IFERROR(__xludf.DUMMYFUNCTION("""COMPUTED_VALUE"""),399.0)</f>
        <v>399</v>
      </c>
      <c r="D4114" s="3">
        <f>IFERROR(__xludf.DUMMYFUNCTION("""COMPUTED_VALUE"""),305.0)</f>
        <v>305</v>
      </c>
      <c r="E4114" s="2"/>
      <c r="F4114" s="2"/>
    </row>
    <row r="4115">
      <c r="A4115" s="2">
        <f>IFERROR(__xludf.DUMMYFUNCTION("""COMPUTED_VALUE"""),10566.0)</f>
        <v>10566</v>
      </c>
      <c r="B4115" s="2">
        <f>IFERROR(__xludf.DUMMYFUNCTION("""COMPUTED_VALUE"""),1.0)</f>
        <v>1</v>
      </c>
      <c r="C4115" s="2">
        <f>IFERROR(__xludf.DUMMYFUNCTION("""COMPUTED_VALUE"""),278.0)</f>
        <v>278</v>
      </c>
      <c r="D4115" s="3">
        <f>IFERROR(__xludf.DUMMYFUNCTION("""COMPUTED_VALUE"""),221.0)</f>
        <v>221</v>
      </c>
      <c r="E4115" s="2"/>
      <c r="F4115" s="2"/>
    </row>
    <row r="4116">
      <c r="A4116" s="2">
        <f>IFERROR(__xludf.DUMMYFUNCTION("""COMPUTED_VALUE"""),182014.0)</f>
        <v>182014</v>
      </c>
      <c r="B4116" s="2">
        <f>IFERROR(__xludf.DUMMYFUNCTION("""COMPUTED_VALUE"""),1.0)</f>
        <v>1</v>
      </c>
      <c r="C4116" s="2">
        <f>IFERROR(__xludf.DUMMYFUNCTION("""COMPUTED_VALUE"""),320.0)</f>
        <v>320</v>
      </c>
      <c r="D4116" s="3">
        <f>IFERROR(__xludf.DUMMYFUNCTION("""COMPUTED_VALUE"""),139.0)</f>
        <v>139</v>
      </c>
      <c r="E4116" s="2"/>
      <c r="F4116" s="2"/>
    </row>
    <row r="4117">
      <c r="A4117" s="2">
        <f>IFERROR(__xludf.DUMMYFUNCTION("""COMPUTED_VALUE"""),182010.0)</f>
        <v>182010</v>
      </c>
      <c r="B4117" s="2">
        <f>IFERROR(__xludf.DUMMYFUNCTION("""COMPUTED_VALUE"""),1.0)</f>
        <v>1</v>
      </c>
      <c r="C4117" s="2">
        <f>IFERROR(__xludf.DUMMYFUNCTION("""COMPUTED_VALUE"""),46.0)</f>
        <v>46</v>
      </c>
      <c r="D4117" s="3">
        <f>IFERROR(__xludf.DUMMYFUNCTION("""COMPUTED_VALUE"""),5.0)</f>
        <v>5</v>
      </c>
      <c r="E4117" s="2"/>
      <c r="F4117" s="2"/>
    </row>
    <row r="4118">
      <c r="A4118" s="2">
        <f>IFERROR(__xludf.DUMMYFUNCTION("""COMPUTED_VALUE"""),24076.0)</f>
        <v>24076</v>
      </c>
      <c r="B4118" s="2">
        <f>IFERROR(__xludf.DUMMYFUNCTION("""COMPUTED_VALUE"""),1.0)</f>
        <v>1</v>
      </c>
      <c r="C4118" s="2">
        <f>IFERROR(__xludf.DUMMYFUNCTION("""COMPUTED_VALUE"""),894.0)</f>
        <v>894</v>
      </c>
      <c r="D4118" s="3">
        <f>IFERROR(__xludf.DUMMYFUNCTION("""COMPUTED_VALUE"""),800.0)</f>
        <v>800</v>
      </c>
      <c r="E4118" s="2"/>
      <c r="F4118" s="2"/>
    </row>
    <row r="4119">
      <c r="A4119" s="2">
        <f>IFERROR(__xludf.DUMMYFUNCTION("""COMPUTED_VALUE"""),10572.0)</f>
        <v>10572</v>
      </c>
      <c r="B4119" s="2">
        <f>IFERROR(__xludf.DUMMYFUNCTION("""COMPUTED_VALUE"""),1.0)</f>
        <v>1</v>
      </c>
      <c r="C4119" s="2">
        <f>IFERROR(__xludf.DUMMYFUNCTION("""COMPUTED_VALUE"""),513.0)</f>
        <v>513</v>
      </c>
      <c r="D4119" s="3">
        <f>IFERROR(__xludf.DUMMYFUNCTION("""COMPUTED_VALUE"""),112.0)</f>
        <v>112</v>
      </c>
      <c r="E4119" s="2"/>
      <c r="F4119" s="2"/>
    </row>
    <row r="4120">
      <c r="A4120" s="2">
        <f>IFERROR(__xludf.DUMMYFUNCTION("""COMPUTED_VALUE"""),47527.0)</f>
        <v>47527</v>
      </c>
      <c r="B4120" s="2">
        <f>IFERROR(__xludf.DUMMYFUNCTION("""COMPUTED_VALUE"""),1.0)</f>
        <v>1</v>
      </c>
      <c r="C4120" s="2">
        <f>IFERROR(__xludf.DUMMYFUNCTION("""COMPUTED_VALUE"""),552.0)</f>
        <v>552</v>
      </c>
      <c r="D4120" s="3">
        <f>IFERROR(__xludf.DUMMYFUNCTION("""COMPUTED_VALUE"""),521.0)</f>
        <v>521</v>
      </c>
      <c r="E4120" s="2"/>
      <c r="F4120" s="2"/>
    </row>
    <row r="4121">
      <c r="A4121" s="2">
        <f>IFERROR(__xludf.DUMMYFUNCTION("""COMPUTED_VALUE"""),10577.0)</f>
        <v>10577</v>
      </c>
      <c r="B4121" s="2">
        <f>IFERROR(__xludf.DUMMYFUNCTION("""COMPUTED_VALUE"""),1.0)</f>
        <v>1</v>
      </c>
      <c r="C4121" s="2">
        <f>IFERROR(__xludf.DUMMYFUNCTION("""COMPUTED_VALUE"""),205.0)</f>
        <v>205</v>
      </c>
      <c r="D4121" s="3">
        <f>IFERROR(__xludf.DUMMYFUNCTION("""COMPUTED_VALUE"""),30.0)</f>
        <v>30</v>
      </c>
      <c r="E4121" s="2"/>
      <c r="F4121" s="2"/>
    </row>
    <row r="4122">
      <c r="A4122" s="2">
        <f>IFERROR(__xludf.DUMMYFUNCTION("""COMPUTED_VALUE"""),81914.0)</f>
        <v>81914</v>
      </c>
      <c r="B4122" s="2">
        <f>IFERROR(__xludf.DUMMYFUNCTION("""COMPUTED_VALUE"""),0.0)</f>
        <v>0</v>
      </c>
      <c r="C4122" s="2">
        <f>IFERROR(__xludf.DUMMYFUNCTION("""COMPUTED_VALUE"""),542.0)</f>
        <v>542</v>
      </c>
      <c r="D4122" s="3">
        <f>IFERROR(__xludf.DUMMYFUNCTION("""COMPUTED_VALUE"""),151.0)</f>
        <v>151</v>
      </c>
      <c r="E4122" s="2"/>
      <c r="F4122" s="2"/>
    </row>
    <row r="4123">
      <c r="A4123" s="2">
        <f>IFERROR(__xludf.DUMMYFUNCTION("""COMPUTED_VALUE"""),120186.0)</f>
        <v>120186</v>
      </c>
      <c r="B4123" s="2">
        <f>IFERROR(__xludf.DUMMYFUNCTION("""COMPUTED_VALUE"""),0.0)</f>
        <v>0</v>
      </c>
      <c r="C4123" s="2">
        <f>IFERROR(__xludf.DUMMYFUNCTION("""COMPUTED_VALUE"""),374.0)</f>
        <v>374</v>
      </c>
      <c r="D4123" s="3">
        <f>IFERROR(__xludf.DUMMYFUNCTION("""COMPUTED_VALUE"""),26.0)</f>
        <v>26</v>
      </c>
      <c r="E4123" s="2"/>
      <c r="F4123" s="2"/>
    </row>
    <row r="4124">
      <c r="A4124" s="2">
        <f>IFERROR(__xludf.DUMMYFUNCTION("""COMPUTED_VALUE"""),182015.0)</f>
        <v>182015</v>
      </c>
      <c r="B4124" s="2">
        <f>IFERROR(__xludf.DUMMYFUNCTION("""COMPUTED_VALUE"""),1.0)</f>
        <v>1</v>
      </c>
      <c r="C4124" s="2">
        <f>IFERROR(__xludf.DUMMYFUNCTION("""COMPUTED_VALUE"""),883.0)</f>
        <v>883</v>
      </c>
      <c r="D4124" s="3">
        <f>IFERROR(__xludf.DUMMYFUNCTION("""COMPUTED_VALUE"""),308.0)</f>
        <v>308</v>
      </c>
      <c r="E4124" s="2"/>
      <c r="F4124" s="2"/>
    </row>
    <row r="4125">
      <c r="A4125" s="2">
        <f>IFERROR(__xludf.DUMMYFUNCTION("""COMPUTED_VALUE"""),117919.0)</f>
        <v>117919</v>
      </c>
      <c r="B4125" s="2">
        <f>IFERROR(__xludf.DUMMYFUNCTION("""COMPUTED_VALUE"""),0.0)</f>
        <v>0</v>
      </c>
      <c r="C4125" s="2">
        <f>IFERROR(__xludf.DUMMYFUNCTION("""COMPUTED_VALUE"""),30.0)</f>
        <v>30</v>
      </c>
      <c r="D4125" s="3">
        <f>IFERROR(__xludf.DUMMYFUNCTION("""COMPUTED_VALUE"""),14.0)</f>
        <v>14</v>
      </c>
      <c r="E4125" s="2"/>
      <c r="F4125" s="2"/>
    </row>
    <row r="4126">
      <c r="A4126" s="2">
        <f>IFERROR(__xludf.DUMMYFUNCTION("""COMPUTED_VALUE"""),71228.0)</f>
        <v>71228</v>
      </c>
      <c r="B4126" s="2">
        <f>IFERROR(__xludf.DUMMYFUNCTION("""COMPUTED_VALUE"""),0.0)</f>
        <v>0</v>
      </c>
      <c r="C4126" s="2">
        <f>IFERROR(__xludf.DUMMYFUNCTION("""COMPUTED_VALUE"""),680.0)</f>
        <v>680</v>
      </c>
      <c r="D4126" s="3">
        <f>IFERROR(__xludf.DUMMYFUNCTION("""COMPUTED_VALUE"""),522.0)</f>
        <v>522</v>
      </c>
      <c r="E4126" s="2"/>
      <c r="F4126" s="2"/>
    </row>
    <row r="4127">
      <c r="A4127" s="2">
        <f>IFERROR(__xludf.DUMMYFUNCTION("""COMPUTED_VALUE"""),67264.0)</f>
        <v>67264</v>
      </c>
      <c r="B4127" s="2">
        <f>IFERROR(__xludf.DUMMYFUNCTION("""COMPUTED_VALUE"""),1.0)</f>
        <v>1</v>
      </c>
      <c r="C4127" s="2">
        <f>IFERROR(__xludf.DUMMYFUNCTION("""COMPUTED_VALUE"""),68.0)</f>
        <v>68</v>
      </c>
      <c r="D4127" s="3">
        <f>IFERROR(__xludf.DUMMYFUNCTION("""COMPUTED_VALUE"""),44.0)</f>
        <v>44</v>
      </c>
      <c r="E4127" s="2"/>
      <c r="F4127" s="2"/>
    </row>
    <row r="4128">
      <c r="A4128" s="2">
        <f>IFERROR(__xludf.DUMMYFUNCTION("""COMPUTED_VALUE"""),82984.0)</f>
        <v>82984</v>
      </c>
      <c r="B4128" s="2">
        <f>IFERROR(__xludf.DUMMYFUNCTION("""COMPUTED_VALUE"""),1.0)</f>
        <v>1</v>
      </c>
      <c r="C4128" s="2">
        <f>IFERROR(__xludf.DUMMYFUNCTION("""COMPUTED_VALUE"""),503.0)</f>
        <v>503</v>
      </c>
      <c r="D4128" s="3">
        <f>IFERROR(__xludf.DUMMYFUNCTION("""COMPUTED_VALUE"""),292.0)</f>
        <v>292</v>
      </c>
      <c r="E4128" s="2"/>
      <c r="F4128" s="2"/>
    </row>
    <row r="4129">
      <c r="A4129" s="2">
        <f>IFERROR(__xludf.DUMMYFUNCTION("""COMPUTED_VALUE"""),86420.0)</f>
        <v>86420</v>
      </c>
      <c r="B4129" s="2">
        <f>IFERROR(__xludf.DUMMYFUNCTION("""COMPUTED_VALUE"""),0.0)</f>
        <v>0</v>
      </c>
      <c r="C4129" s="2">
        <f>IFERROR(__xludf.DUMMYFUNCTION("""COMPUTED_VALUE"""),877.0)</f>
        <v>877</v>
      </c>
      <c r="D4129" s="3">
        <f>IFERROR(__xludf.DUMMYFUNCTION("""COMPUTED_VALUE"""),235.0)</f>
        <v>235</v>
      </c>
      <c r="E4129" s="2"/>
      <c r="F4129" s="2"/>
    </row>
    <row r="4130">
      <c r="A4130" s="2">
        <f>IFERROR(__xludf.DUMMYFUNCTION("""COMPUTED_VALUE"""),71227.0)</f>
        <v>71227</v>
      </c>
      <c r="B4130" s="2">
        <f>IFERROR(__xludf.DUMMYFUNCTION("""COMPUTED_VALUE"""),1.0)</f>
        <v>1</v>
      </c>
      <c r="C4130" s="2">
        <f>IFERROR(__xludf.DUMMYFUNCTION("""COMPUTED_VALUE"""),893.0)</f>
        <v>893</v>
      </c>
      <c r="D4130" s="3">
        <f>IFERROR(__xludf.DUMMYFUNCTION("""COMPUTED_VALUE"""),537.0)</f>
        <v>537</v>
      </c>
      <c r="E4130" s="2"/>
      <c r="F4130" s="2"/>
    </row>
    <row r="4131">
      <c r="A4131" s="2">
        <f>IFERROR(__xludf.DUMMYFUNCTION("""COMPUTED_VALUE"""),18055.0)</f>
        <v>18055</v>
      </c>
      <c r="B4131" s="2">
        <f>IFERROR(__xludf.DUMMYFUNCTION("""COMPUTED_VALUE"""),1.0)</f>
        <v>1</v>
      </c>
      <c r="C4131" s="2">
        <f>IFERROR(__xludf.DUMMYFUNCTION("""COMPUTED_VALUE"""),733.0)</f>
        <v>733</v>
      </c>
      <c r="D4131" s="3">
        <f>IFERROR(__xludf.DUMMYFUNCTION("""COMPUTED_VALUE"""),270.0)</f>
        <v>270</v>
      </c>
      <c r="E4131" s="2"/>
      <c r="F4131" s="2"/>
    </row>
    <row r="4132">
      <c r="A4132" s="2">
        <f>IFERROR(__xludf.DUMMYFUNCTION("""COMPUTED_VALUE"""),82989.0)</f>
        <v>82989</v>
      </c>
      <c r="B4132" s="2">
        <f>IFERROR(__xludf.DUMMYFUNCTION("""COMPUTED_VALUE"""),0.0)</f>
        <v>0</v>
      </c>
      <c r="C4132" s="2">
        <f>IFERROR(__xludf.DUMMYFUNCTION("""COMPUTED_VALUE"""),106.0)</f>
        <v>106</v>
      </c>
      <c r="D4132" s="3">
        <f>IFERROR(__xludf.DUMMYFUNCTION("""COMPUTED_VALUE"""),61.0)</f>
        <v>61</v>
      </c>
      <c r="E4132" s="2"/>
      <c r="F4132" s="2"/>
    </row>
    <row r="4133">
      <c r="A4133" s="2">
        <f>IFERROR(__xludf.DUMMYFUNCTION("""COMPUTED_VALUE"""),86438.0)</f>
        <v>86438</v>
      </c>
      <c r="B4133" s="2">
        <f>IFERROR(__xludf.DUMMYFUNCTION("""COMPUTED_VALUE"""),1.0)</f>
        <v>1</v>
      </c>
      <c r="C4133" s="2">
        <f>IFERROR(__xludf.DUMMYFUNCTION("""COMPUTED_VALUE"""),494.0)</f>
        <v>494</v>
      </c>
      <c r="D4133" s="3">
        <f>IFERROR(__xludf.DUMMYFUNCTION("""COMPUTED_VALUE"""),223.0)</f>
        <v>223</v>
      </c>
      <c r="E4133" s="2"/>
      <c r="F4133" s="2"/>
    </row>
    <row r="4134">
      <c r="A4134" s="2">
        <f>IFERROR(__xludf.DUMMYFUNCTION("""COMPUTED_VALUE"""),18061.0)</f>
        <v>18061</v>
      </c>
      <c r="B4134" s="2">
        <f>IFERROR(__xludf.DUMMYFUNCTION("""COMPUTED_VALUE"""),1.0)</f>
        <v>1</v>
      </c>
      <c r="C4134" s="2">
        <f>IFERROR(__xludf.DUMMYFUNCTION("""COMPUTED_VALUE"""),246.0)</f>
        <v>246</v>
      </c>
      <c r="D4134" s="3">
        <f>IFERROR(__xludf.DUMMYFUNCTION("""COMPUTED_VALUE"""),206.0)</f>
        <v>206</v>
      </c>
      <c r="E4134" s="2"/>
      <c r="F4134" s="2"/>
    </row>
    <row r="4135">
      <c r="A4135" s="2">
        <f>IFERROR(__xludf.DUMMYFUNCTION("""COMPUTED_VALUE"""),67265.0)</f>
        <v>67265</v>
      </c>
      <c r="B4135" s="2">
        <f>IFERROR(__xludf.DUMMYFUNCTION("""COMPUTED_VALUE"""),1.0)</f>
        <v>1</v>
      </c>
      <c r="C4135" s="2">
        <f>IFERROR(__xludf.DUMMYFUNCTION("""COMPUTED_VALUE"""),288.0)</f>
        <v>288</v>
      </c>
      <c r="D4135" s="3">
        <f>IFERROR(__xludf.DUMMYFUNCTION("""COMPUTED_VALUE"""),144.0)</f>
        <v>144</v>
      </c>
      <c r="E4135" s="2"/>
      <c r="F4135" s="2"/>
    </row>
    <row r="4136">
      <c r="A4136" s="2">
        <f>IFERROR(__xludf.DUMMYFUNCTION("""COMPUTED_VALUE"""),69552.0)</f>
        <v>69552</v>
      </c>
      <c r="B4136" s="2">
        <f>IFERROR(__xludf.DUMMYFUNCTION("""COMPUTED_VALUE"""),1.0)</f>
        <v>1</v>
      </c>
      <c r="C4136" s="2">
        <f>IFERROR(__xludf.DUMMYFUNCTION("""COMPUTED_VALUE"""),939.0)</f>
        <v>939</v>
      </c>
      <c r="D4136" s="3">
        <f>IFERROR(__xludf.DUMMYFUNCTION("""COMPUTED_VALUE"""),297.0)</f>
        <v>297</v>
      </c>
      <c r="E4136" s="2"/>
      <c r="F4136" s="2"/>
    </row>
    <row r="4137">
      <c r="A4137" s="2">
        <f>IFERROR(__xludf.DUMMYFUNCTION("""COMPUTED_VALUE"""),110955.0)</f>
        <v>110955</v>
      </c>
      <c r="B4137" s="2">
        <f>IFERROR(__xludf.DUMMYFUNCTION("""COMPUTED_VALUE"""),1.0)</f>
        <v>1</v>
      </c>
      <c r="C4137" s="2">
        <f>IFERROR(__xludf.DUMMYFUNCTION("""COMPUTED_VALUE"""),948.0)</f>
        <v>948</v>
      </c>
      <c r="D4137" s="3">
        <f>IFERROR(__xludf.DUMMYFUNCTION("""COMPUTED_VALUE"""),844.0)</f>
        <v>844</v>
      </c>
      <c r="E4137" s="2"/>
      <c r="F4137" s="2"/>
    </row>
    <row r="4138">
      <c r="A4138" s="2">
        <f>IFERROR(__xludf.DUMMYFUNCTION("""COMPUTED_VALUE"""),79505.0)</f>
        <v>79505</v>
      </c>
      <c r="B4138" s="2">
        <f>IFERROR(__xludf.DUMMYFUNCTION("""COMPUTED_VALUE"""),1.0)</f>
        <v>1</v>
      </c>
      <c r="C4138" s="2">
        <f>IFERROR(__xludf.DUMMYFUNCTION("""COMPUTED_VALUE"""),880.0)</f>
        <v>880</v>
      </c>
      <c r="D4138" s="3">
        <f>IFERROR(__xludf.DUMMYFUNCTION("""COMPUTED_VALUE"""),201.0)</f>
        <v>201</v>
      </c>
      <c r="E4138" s="2"/>
      <c r="F4138" s="2"/>
    </row>
    <row r="4139">
      <c r="A4139" s="2">
        <f>IFERROR(__xludf.DUMMYFUNCTION("""COMPUTED_VALUE"""),110943.0)</f>
        <v>110943</v>
      </c>
      <c r="B4139" s="2">
        <f>IFERROR(__xludf.DUMMYFUNCTION("""COMPUTED_VALUE"""),0.0)</f>
        <v>0</v>
      </c>
      <c r="C4139" s="2">
        <f>IFERROR(__xludf.DUMMYFUNCTION("""COMPUTED_VALUE"""),80.0)</f>
        <v>80</v>
      </c>
      <c r="D4139" s="3">
        <f>IFERROR(__xludf.DUMMYFUNCTION("""COMPUTED_VALUE"""),22.0)</f>
        <v>22</v>
      </c>
      <c r="E4139" s="2"/>
      <c r="F4139" s="2"/>
    </row>
    <row r="4140">
      <c r="A4140" s="2">
        <f>IFERROR(__xludf.DUMMYFUNCTION("""COMPUTED_VALUE"""),119048.0)</f>
        <v>119048</v>
      </c>
      <c r="B4140" s="2">
        <f>IFERROR(__xludf.DUMMYFUNCTION("""COMPUTED_VALUE"""),0.0)</f>
        <v>0</v>
      </c>
      <c r="C4140" s="2">
        <f>IFERROR(__xludf.DUMMYFUNCTION("""COMPUTED_VALUE"""),202.0)</f>
        <v>202</v>
      </c>
      <c r="D4140" s="3">
        <f>IFERROR(__xludf.DUMMYFUNCTION("""COMPUTED_VALUE"""),155.0)</f>
        <v>155</v>
      </c>
      <c r="E4140" s="2"/>
      <c r="F4140" s="2"/>
    </row>
    <row r="4141">
      <c r="A4141" s="2">
        <f>IFERROR(__xludf.DUMMYFUNCTION("""COMPUTED_VALUE"""),42695.0)</f>
        <v>42695</v>
      </c>
      <c r="B4141" s="2">
        <f>IFERROR(__xludf.DUMMYFUNCTION("""COMPUTED_VALUE"""),1.0)</f>
        <v>1</v>
      </c>
      <c r="C4141" s="2">
        <f>IFERROR(__xludf.DUMMYFUNCTION("""COMPUTED_VALUE"""),360.0)</f>
        <v>360</v>
      </c>
      <c r="D4141" s="3">
        <f>IFERROR(__xludf.DUMMYFUNCTION("""COMPUTED_VALUE"""),39.0)</f>
        <v>39</v>
      </c>
      <c r="E4141" s="2"/>
      <c r="F4141" s="2"/>
    </row>
    <row r="4142">
      <c r="A4142" s="2">
        <f>IFERROR(__xludf.DUMMYFUNCTION("""COMPUTED_VALUE"""),88980.0)</f>
        <v>88980</v>
      </c>
      <c r="B4142" s="2">
        <f>IFERROR(__xludf.DUMMYFUNCTION("""COMPUTED_VALUE"""),0.0)</f>
        <v>0</v>
      </c>
      <c r="C4142" s="2">
        <f>IFERROR(__xludf.DUMMYFUNCTION("""COMPUTED_VALUE"""),101.0)</f>
        <v>101</v>
      </c>
      <c r="D4142" s="3">
        <f>IFERROR(__xludf.DUMMYFUNCTION("""COMPUTED_VALUE"""),28.0)</f>
        <v>28</v>
      </c>
      <c r="E4142" s="2"/>
      <c r="F4142" s="2"/>
    </row>
    <row r="4143">
      <c r="A4143" s="2">
        <f>IFERROR(__xludf.DUMMYFUNCTION("""COMPUTED_VALUE"""),149507.0)</f>
        <v>149507</v>
      </c>
      <c r="B4143" s="2">
        <f>IFERROR(__xludf.DUMMYFUNCTION("""COMPUTED_VALUE"""),0.0)</f>
        <v>0</v>
      </c>
      <c r="C4143" s="2">
        <f>IFERROR(__xludf.DUMMYFUNCTION("""COMPUTED_VALUE"""),503.0)</f>
        <v>503</v>
      </c>
      <c r="D4143" s="3">
        <f>IFERROR(__xludf.DUMMYFUNCTION("""COMPUTED_VALUE"""),396.0)</f>
        <v>396</v>
      </c>
      <c r="E4143" s="2"/>
      <c r="F4143" s="2"/>
    </row>
    <row r="4144">
      <c r="A4144" s="2">
        <f>IFERROR(__xludf.DUMMYFUNCTION("""COMPUTED_VALUE"""),86988.0)</f>
        <v>86988</v>
      </c>
      <c r="B4144" s="2">
        <f>IFERROR(__xludf.DUMMYFUNCTION("""COMPUTED_VALUE"""),1.0)</f>
        <v>1</v>
      </c>
      <c r="C4144" s="2">
        <f>IFERROR(__xludf.DUMMYFUNCTION("""COMPUTED_VALUE"""),401.0)</f>
        <v>401</v>
      </c>
      <c r="D4144" s="3">
        <f>IFERROR(__xludf.DUMMYFUNCTION("""COMPUTED_VALUE"""),140.0)</f>
        <v>140</v>
      </c>
      <c r="E4144" s="2"/>
      <c r="F4144" s="2"/>
    </row>
    <row r="4145">
      <c r="A4145" s="2">
        <f>IFERROR(__xludf.DUMMYFUNCTION("""COMPUTED_VALUE"""),73836.0)</f>
        <v>73836</v>
      </c>
      <c r="B4145" s="2">
        <f>IFERROR(__xludf.DUMMYFUNCTION("""COMPUTED_VALUE"""),1.0)</f>
        <v>1</v>
      </c>
      <c r="C4145" s="2">
        <f>IFERROR(__xludf.DUMMYFUNCTION("""COMPUTED_VALUE"""),181.0)</f>
        <v>181</v>
      </c>
      <c r="D4145" s="3">
        <f>IFERROR(__xludf.DUMMYFUNCTION("""COMPUTED_VALUE"""),77.0)</f>
        <v>77</v>
      </c>
      <c r="E4145" s="2"/>
      <c r="F4145" s="2"/>
    </row>
    <row r="4146">
      <c r="A4146" s="2">
        <f>IFERROR(__xludf.DUMMYFUNCTION("""COMPUTED_VALUE"""),69322.0)</f>
        <v>69322</v>
      </c>
      <c r="B4146" s="2">
        <f>IFERROR(__xludf.DUMMYFUNCTION("""COMPUTED_VALUE"""),1.0)</f>
        <v>1</v>
      </c>
      <c r="C4146" s="2">
        <f>IFERROR(__xludf.DUMMYFUNCTION("""COMPUTED_VALUE"""),415.0)</f>
        <v>415</v>
      </c>
      <c r="D4146" s="3">
        <f>IFERROR(__xludf.DUMMYFUNCTION("""COMPUTED_VALUE"""),192.0)</f>
        <v>192</v>
      </c>
      <c r="E4146" s="2"/>
      <c r="F4146" s="2"/>
    </row>
    <row r="4147">
      <c r="A4147" s="2">
        <f>IFERROR(__xludf.DUMMYFUNCTION("""COMPUTED_VALUE"""),8696.0)</f>
        <v>8696</v>
      </c>
      <c r="B4147" s="2">
        <f>IFERROR(__xludf.DUMMYFUNCTION("""COMPUTED_VALUE"""),0.0)</f>
        <v>0</v>
      </c>
      <c r="C4147" s="2">
        <f>IFERROR(__xludf.DUMMYFUNCTION("""COMPUTED_VALUE"""),788.0)</f>
        <v>788</v>
      </c>
      <c r="D4147" s="3">
        <f>IFERROR(__xludf.DUMMYFUNCTION("""COMPUTED_VALUE"""),333.0)</f>
        <v>333</v>
      </c>
      <c r="E4147" s="2"/>
      <c r="F4147" s="2"/>
    </row>
    <row r="4148">
      <c r="A4148" s="2">
        <f>IFERROR(__xludf.DUMMYFUNCTION("""COMPUTED_VALUE"""),119062.0)</f>
        <v>119062</v>
      </c>
      <c r="B4148" s="2">
        <f>IFERROR(__xludf.DUMMYFUNCTION("""COMPUTED_VALUE"""),0.0)</f>
        <v>0</v>
      </c>
      <c r="C4148" s="2">
        <f>IFERROR(__xludf.DUMMYFUNCTION("""COMPUTED_VALUE"""),-10.0)</f>
        <v>-10</v>
      </c>
      <c r="D4148" s="3">
        <f>IFERROR(__xludf.DUMMYFUNCTION("""COMPUTED_VALUE"""),-8.0)</f>
        <v>-8</v>
      </c>
      <c r="E4148" s="2"/>
      <c r="F4148" s="2"/>
    </row>
    <row r="4149">
      <c r="A4149" s="2">
        <f>IFERROR(__xludf.DUMMYFUNCTION("""COMPUTED_VALUE"""),188931.0)</f>
        <v>188931</v>
      </c>
      <c r="B4149" s="2">
        <f>IFERROR(__xludf.DUMMYFUNCTION("""COMPUTED_VALUE"""),1.0)</f>
        <v>1</v>
      </c>
      <c r="C4149" s="2">
        <f>IFERROR(__xludf.DUMMYFUNCTION("""COMPUTED_VALUE"""),315.0)</f>
        <v>315</v>
      </c>
      <c r="D4149" s="3">
        <f>IFERROR(__xludf.DUMMYFUNCTION("""COMPUTED_VALUE"""),297.0)</f>
        <v>297</v>
      </c>
      <c r="E4149" s="2"/>
      <c r="F4149" s="2"/>
    </row>
    <row r="4150">
      <c r="A4150" s="2">
        <f>IFERROR(__xludf.DUMMYFUNCTION("""COMPUTED_VALUE"""),100238.0)</f>
        <v>100238</v>
      </c>
      <c r="B4150" s="2">
        <f>IFERROR(__xludf.DUMMYFUNCTION("""COMPUTED_VALUE"""),1.0)</f>
        <v>1</v>
      </c>
      <c r="C4150" s="2">
        <f>IFERROR(__xludf.DUMMYFUNCTION("""COMPUTED_VALUE"""),466.0)</f>
        <v>466</v>
      </c>
      <c r="D4150" s="3">
        <f>IFERROR(__xludf.DUMMYFUNCTION("""COMPUTED_VALUE"""),17.0)</f>
        <v>17</v>
      </c>
      <c r="E4150" s="2"/>
      <c r="F4150" s="2"/>
    </row>
    <row r="4151">
      <c r="A4151" s="2">
        <f>IFERROR(__xludf.DUMMYFUNCTION("""COMPUTED_VALUE"""),47010.0)</f>
        <v>47010</v>
      </c>
      <c r="B4151" s="2">
        <f>IFERROR(__xludf.DUMMYFUNCTION("""COMPUTED_VALUE"""),0.0)</f>
        <v>0</v>
      </c>
      <c r="C4151" s="2">
        <f>IFERROR(__xludf.DUMMYFUNCTION("""COMPUTED_VALUE"""),496.0)</f>
        <v>496</v>
      </c>
      <c r="D4151" s="3">
        <f>IFERROR(__xludf.DUMMYFUNCTION("""COMPUTED_VALUE"""),37.0)</f>
        <v>37</v>
      </c>
      <c r="E4151" s="2"/>
      <c r="F4151" s="2"/>
    </row>
    <row r="4152">
      <c r="A4152" s="2">
        <f>IFERROR(__xludf.DUMMYFUNCTION("""COMPUTED_VALUE"""),104605.0)</f>
        <v>104605</v>
      </c>
      <c r="B4152" s="2">
        <f>IFERROR(__xludf.DUMMYFUNCTION("""COMPUTED_VALUE"""),0.0)</f>
        <v>0</v>
      </c>
      <c r="C4152" s="2">
        <f>IFERROR(__xludf.DUMMYFUNCTION("""COMPUTED_VALUE"""),379.0)</f>
        <v>379</v>
      </c>
      <c r="D4152" s="3">
        <f>IFERROR(__xludf.DUMMYFUNCTION("""COMPUTED_VALUE"""),24.0)</f>
        <v>24</v>
      </c>
      <c r="E4152" s="2"/>
      <c r="F4152" s="2"/>
    </row>
    <row r="4153">
      <c r="A4153" s="2">
        <f>IFERROR(__xludf.DUMMYFUNCTION("""COMPUTED_VALUE"""),42694.0)</f>
        <v>42694</v>
      </c>
      <c r="B4153" s="2">
        <f>IFERROR(__xludf.DUMMYFUNCTION("""COMPUTED_VALUE"""),0.0)</f>
        <v>0</v>
      </c>
      <c r="C4153" s="2">
        <f>IFERROR(__xludf.DUMMYFUNCTION("""COMPUTED_VALUE"""),827.0)</f>
        <v>827</v>
      </c>
      <c r="D4153" s="3">
        <f>IFERROR(__xludf.DUMMYFUNCTION("""COMPUTED_VALUE"""),414.0)</f>
        <v>414</v>
      </c>
      <c r="E4153" s="2"/>
      <c r="F4153" s="2"/>
    </row>
    <row r="4154">
      <c r="A4154" s="2">
        <f>IFERROR(__xludf.DUMMYFUNCTION("""COMPUTED_VALUE"""),8697.0)</f>
        <v>8697</v>
      </c>
      <c r="B4154" s="2">
        <f>IFERROR(__xludf.DUMMYFUNCTION("""COMPUTED_VALUE"""),1.0)</f>
        <v>1</v>
      </c>
      <c r="C4154" s="2">
        <f>IFERROR(__xludf.DUMMYFUNCTION("""COMPUTED_VALUE"""),594.0)</f>
        <v>594</v>
      </c>
      <c r="D4154" s="3">
        <f>IFERROR(__xludf.DUMMYFUNCTION("""COMPUTED_VALUE"""),444.0)</f>
        <v>444</v>
      </c>
      <c r="E4154" s="2"/>
      <c r="F4154" s="2"/>
    </row>
    <row r="4155">
      <c r="A4155" s="2">
        <f>IFERROR(__xludf.DUMMYFUNCTION("""COMPUTED_VALUE"""),110957.0)</f>
        <v>110957</v>
      </c>
      <c r="B4155" s="2">
        <f>IFERROR(__xludf.DUMMYFUNCTION("""COMPUTED_VALUE"""),0.0)</f>
        <v>0</v>
      </c>
      <c r="C4155" s="2">
        <f>IFERROR(__xludf.DUMMYFUNCTION("""COMPUTED_VALUE"""),809.0)</f>
        <v>809</v>
      </c>
      <c r="D4155" s="3">
        <f>IFERROR(__xludf.DUMMYFUNCTION("""COMPUTED_VALUE"""),270.0)</f>
        <v>270</v>
      </c>
      <c r="E4155" s="2"/>
      <c r="F4155" s="2"/>
    </row>
    <row r="4156">
      <c r="A4156" s="2">
        <f>IFERROR(__xludf.DUMMYFUNCTION("""COMPUTED_VALUE"""),86989.0)</f>
        <v>86989</v>
      </c>
      <c r="B4156" s="2">
        <f>IFERROR(__xludf.DUMMYFUNCTION("""COMPUTED_VALUE"""),0.0)</f>
        <v>0</v>
      </c>
      <c r="C4156" s="2">
        <f>IFERROR(__xludf.DUMMYFUNCTION("""COMPUTED_VALUE"""),492.0)</f>
        <v>492</v>
      </c>
      <c r="D4156" s="3">
        <f>IFERROR(__xludf.DUMMYFUNCTION("""COMPUTED_VALUE"""),0.0)</f>
        <v>0</v>
      </c>
      <c r="E4156" s="2"/>
      <c r="F4156" s="2"/>
    </row>
    <row r="4157">
      <c r="A4157" s="2">
        <f>IFERROR(__xludf.DUMMYFUNCTION("""COMPUTED_VALUE"""),8695.0)</f>
        <v>8695</v>
      </c>
      <c r="B4157" s="2">
        <f>IFERROR(__xludf.DUMMYFUNCTION("""COMPUTED_VALUE"""),1.0)</f>
        <v>1</v>
      </c>
      <c r="C4157" s="2">
        <f>IFERROR(__xludf.DUMMYFUNCTION("""COMPUTED_VALUE"""),655.0)</f>
        <v>655</v>
      </c>
      <c r="D4157" s="3">
        <f>IFERROR(__xludf.DUMMYFUNCTION("""COMPUTED_VALUE"""),144.0)</f>
        <v>144</v>
      </c>
      <c r="E4157" s="2"/>
      <c r="F4157" s="2"/>
    </row>
    <row r="4158">
      <c r="A4158" s="2">
        <f>IFERROR(__xludf.DUMMYFUNCTION("""COMPUTED_VALUE"""),122792.0)</f>
        <v>122792</v>
      </c>
      <c r="B4158" s="2">
        <f>IFERROR(__xludf.DUMMYFUNCTION("""COMPUTED_VALUE"""),0.0)</f>
        <v>0</v>
      </c>
      <c r="C4158" s="2">
        <f>IFERROR(__xludf.DUMMYFUNCTION("""COMPUTED_VALUE"""),924.0)</f>
        <v>924</v>
      </c>
      <c r="D4158" s="3">
        <f>IFERROR(__xludf.DUMMYFUNCTION("""COMPUTED_VALUE"""),158.0)</f>
        <v>158</v>
      </c>
      <c r="E4158" s="2"/>
      <c r="F4158" s="2"/>
    </row>
    <row r="4159">
      <c r="A4159" s="2">
        <f>IFERROR(__xludf.DUMMYFUNCTION("""COMPUTED_VALUE"""),8698.0)</f>
        <v>8698</v>
      </c>
      <c r="B4159" s="2">
        <f>IFERROR(__xludf.DUMMYFUNCTION("""COMPUTED_VALUE"""),1.0)</f>
        <v>1</v>
      </c>
      <c r="C4159" s="2">
        <f>IFERROR(__xludf.DUMMYFUNCTION("""COMPUTED_VALUE"""),941.0)</f>
        <v>941</v>
      </c>
      <c r="D4159" s="3">
        <f>IFERROR(__xludf.DUMMYFUNCTION("""COMPUTED_VALUE"""),117.0)</f>
        <v>117</v>
      </c>
      <c r="E4159" s="2"/>
      <c r="F4159" s="2"/>
    </row>
    <row r="4160">
      <c r="A4160" s="2">
        <f>IFERROR(__xludf.DUMMYFUNCTION("""COMPUTED_VALUE"""),103866.0)</f>
        <v>103866</v>
      </c>
      <c r="B4160" s="2">
        <f>IFERROR(__xludf.DUMMYFUNCTION("""COMPUTED_VALUE"""),1.0)</f>
        <v>1</v>
      </c>
      <c r="C4160" s="2">
        <f>IFERROR(__xludf.DUMMYFUNCTION("""COMPUTED_VALUE"""),50.0)</f>
        <v>50</v>
      </c>
      <c r="D4160" s="3">
        <f>IFERROR(__xludf.DUMMYFUNCTION("""COMPUTED_VALUE"""),32.0)</f>
        <v>32</v>
      </c>
      <c r="E4160" s="2"/>
      <c r="F4160" s="2"/>
    </row>
    <row r="4161">
      <c r="A4161" s="2">
        <f>IFERROR(__xludf.DUMMYFUNCTION("""COMPUTED_VALUE"""),103865.0)</f>
        <v>103865</v>
      </c>
      <c r="B4161" s="2">
        <f>IFERROR(__xludf.DUMMYFUNCTION("""COMPUTED_VALUE"""),0.0)</f>
        <v>0</v>
      </c>
      <c r="C4161" s="2">
        <f>IFERROR(__xludf.DUMMYFUNCTION("""COMPUTED_VALUE"""),278.0)</f>
        <v>278</v>
      </c>
      <c r="D4161" s="3">
        <f>IFERROR(__xludf.DUMMYFUNCTION("""COMPUTED_VALUE"""),207.0)</f>
        <v>207</v>
      </c>
      <c r="E4161" s="2"/>
      <c r="F4161" s="2"/>
    </row>
    <row r="4162">
      <c r="A4162" s="2">
        <f>IFERROR(__xludf.DUMMYFUNCTION("""COMPUTED_VALUE"""),110945.0)</f>
        <v>110945</v>
      </c>
      <c r="B4162" s="2">
        <f>IFERROR(__xludf.DUMMYFUNCTION("""COMPUTED_VALUE"""),1.0)</f>
        <v>1</v>
      </c>
      <c r="C4162" s="2">
        <f>IFERROR(__xludf.DUMMYFUNCTION("""COMPUTED_VALUE"""),598.0)</f>
        <v>598</v>
      </c>
      <c r="D4162" s="3">
        <f>IFERROR(__xludf.DUMMYFUNCTION("""COMPUTED_VALUE"""),408.0)</f>
        <v>408</v>
      </c>
      <c r="E4162" s="2"/>
      <c r="F4162" s="2"/>
    </row>
    <row r="4163">
      <c r="A4163" s="2">
        <f>IFERROR(__xludf.DUMMYFUNCTION("""COMPUTED_VALUE"""),158671.0)</f>
        <v>158671</v>
      </c>
      <c r="B4163" s="2">
        <f>IFERROR(__xludf.DUMMYFUNCTION("""COMPUTED_VALUE"""),0.0)</f>
        <v>0</v>
      </c>
      <c r="C4163" s="2">
        <f>IFERROR(__xludf.DUMMYFUNCTION("""COMPUTED_VALUE"""),628.0)</f>
        <v>628</v>
      </c>
      <c r="D4163" s="3">
        <f>IFERROR(__xludf.DUMMYFUNCTION("""COMPUTED_VALUE"""),202.0)</f>
        <v>202</v>
      </c>
      <c r="E4163" s="2"/>
      <c r="F4163" s="2"/>
    </row>
    <row r="4164">
      <c r="A4164" s="2">
        <f>IFERROR(__xludf.DUMMYFUNCTION("""COMPUTED_VALUE"""),118915.0)</f>
        <v>118915</v>
      </c>
      <c r="B4164" s="2">
        <f>IFERROR(__xludf.DUMMYFUNCTION("""COMPUTED_VALUE"""),1.0)</f>
        <v>1</v>
      </c>
      <c r="C4164" s="2">
        <f>IFERROR(__xludf.DUMMYFUNCTION("""COMPUTED_VALUE"""),545.0)</f>
        <v>545</v>
      </c>
      <c r="D4164" s="3">
        <f>IFERROR(__xludf.DUMMYFUNCTION("""COMPUTED_VALUE"""),155.0)</f>
        <v>155</v>
      </c>
      <c r="E4164" s="2"/>
      <c r="F4164" s="2"/>
    </row>
    <row r="4165">
      <c r="A4165" s="2">
        <f>IFERROR(__xludf.DUMMYFUNCTION("""COMPUTED_VALUE"""),88990.0)</f>
        <v>88990</v>
      </c>
      <c r="B4165" s="2">
        <f>IFERROR(__xludf.DUMMYFUNCTION("""COMPUTED_VALUE"""),1.0)</f>
        <v>1</v>
      </c>
      <c r="C4165" s="2">
        <f>IFERROR(__xludf.DUMMYFUNCTION("""COMPUTED_VALUE"""),179.0)</f>
        <v>179</v>
      </c>
      <c r="D4165" s="3">
        <f>IFERROR(__xludf.DUMMYFUNCTION("""COMPUTED_VALUE"""),108.0)</f>
        <v>108</v>
      </c>
      <c r="E4165" s="2"/>
      <c r="F4165" s="2"/>
    </row>
    <row r="4166">
      <c r="A4166" s="2">
        <f>IFERROR(__xludf.DUMMYFUNCTION("""COMPUTED_VALUE"""),73835.0)</f>
        <v>73835</v>
      </c>
      <c r="B4166" s="2">
        <f>IFERROR(__xludf.DUMMYFUNCTION("""COMPUTED_VALUE"""),1.0)</f>
        <v>1</v>
      </c>
      <c r="C4166" s="2">
        <f>IFERROR(__xludf.DUMMYFUNCTION("""COMPUTED_VALUE"""),602.0)</f>
        <v>602</v>
      </c>
      <c r="D4166" s="3">
        <f>IFERROR(__xludf.DUMMYFUNCTION("""COMPUTED_VALUE"""),585.0)</f>
        <v>585</v>
      </c>
      <c r="E4166" s="2"/>
      <c r="F4166" s="2"/>
    </row>
    <row r="4167">
      <c r="A4167" s="2">
        <f>IFERROR(__xludf.DUMMYFUNCTION("""COMPUTED_VALUE"""),8699.0)</f>
        <v>8699</v>
      </c>
      <c r="B4167" s="2">
        <f>IFERROR(__xludf.DUMMYFUNCTION("""COMPUTED_VALUE"""),0.0)</f>
        <v>0</v>
      </c>
      <c r="C4167" s="2">
        <f>IFERROR(__xludf.DUMMYFUNCTION("""COMPUTED_VALUE"""),130.0)</f>
        <v>130</v>
      </c>
      <c r="D4167" s="3">
        <f>IFERROR(__xludf.DUMMYFUNCTION("""COMPUTED_VALUE"""),79.0)</f>
        <v>79</v>
      </c>
      <c r="E4167" s="2"/>
      <c r="F4167" s="2"/>
    </row>
    <row r="4168">
      <c r="A4168" s="2">
        <f>IFERROR(__xludf.DUMMYFUNCTION("""COMPUTED_VALUE"""),81494.0)</f>
        <v>81494</v>
      </c>
      <c r="B4168" s="2">
        <f>IFERROR(__xludf.DUMMYFUNCTION("""COMPUTED_VALUE"""),0.0)</f>
        <v>0</v>
      </c>
      <c r="C4168" s="2">
        <f>IFERROR(__xludf.DUMMYFUNCTION("""COMPUTED_VALUE"""),264.0)</f>
        <v>264</v>
      </c>
      <c r="D4168" s="3">
        <f>IFERROR(__xludf.DUMMYFUNCTION("""COMPUTED_VALUE"""),25.0)</f>
        <v>25</v>
      </c>
      <c r="E4168" s="2"/>
      <c r="F4168" s="2"/>
    </row>
    <row r="4169">
      <c r="A4169" s="2">
        <f>IFERROR(__xludf.DUMMYFUNCTION("""COMPUTED_VALUE"""),89821.0)</f>
        <v>89821</v>
      </c>
      <c r="B4169" s="2">
        <f>IFERROR(__xludf.DUMMYFUNCTION("""COMPUTED_VALUE"""),1.0)</f>
        <v>1</v>
      </c>
      <c r="C4169" s="2">
        <f>IFERROR(__xludf.DUMMYFUNCTION("""COMPUTED_VALUE"""),785.0)</f>
        <v>785</v>
      </c>
      <c r="D4169" s="3">
        <f>IFERROR(__xludf.DUMMYFUNCTION("""COMPUTED_VALUE"""),285.0)</f>
        <v>285</v>
      </c>
      <c r="E4169" s="2"/>
      <c r="F4169" s="2"/>
    </row>
    <row r="4170">
      <c r="A4170" s="2">
        <f>IFERROR(__xludf.DUMMYFUNCTION("""COMPUTED_VALUE"""),83567.0)</f>
        <v>83567</v>
      </c>
      <c r="B4170" s="2">
        <f>IFERROR(__xludf.DUMMYFUNCTION("""COMPUTED_VALUE"""),0.0)</f>
        <v>0</v>
      </c>
      <c r="C4170" s="2">
        <f>IFERROR(__xludf.DUMMYFUNCTION("""COMPUTED_VALUE"""),826.0)</f>
        <v>826</v>
      </c>
      <c r="D4170" s="3">
        <f>IFERROR(__xludf.DUMMYFUNCTION("""COMPUTED_VALUE"""),330.0)</f>
        <v>330</v>
      </c>
      <c r="E4170" s="2"/>
      <c r="F4170" s="2"/>
    </row>
    <row r="4171">
      <c r="A4171" s="2">
        <f>IFERROR(__xludf.DUMMYFUNCTION("""COMPUTED_VALUE"""),69323.0)</f>
        <v>69323</v>
      </c>
      <c r="B4171" s="2">
        <f>IFERROR(__xludf.DUMMYFUNCTION("""COMPUTED_VALUE"""),1.0)</f>
        <v>1</v>
      </c>
      <c r="C4171" s="2">
        <f>IFERROR(__xludf.DUMMYFUNCTION("""COMPUTED_VALUE"""),799.0)</f>
        <v>799</v>
      </c>
      <c r="D4171" s="3">
        <f>IFERROR(__xludf.DUMMYFUNCTION("""COMPUTED_VALUE"""),722.0)</f>
        <v>722</v>
      </c>
      <c r="E4171" s="2"/>
      <c r="F4171" s="2"/>
    </row>
    <row r="4172">
      <c r="A4172" s="2">
        <f>IFERROR(__xludf.DUMMYFUNCTION("""COMPUTED_VALUE"""),88976.0)</f>
        <v>88976</v>
      </c>
      <c r="B4172" s="2">
        <f>IFERROR(__xludf.DUMMYFUNCTION("""COMPUTED_VALUE"""),0.0)</f>
        <v>0</v>
      </c>
      <c r="C4172" s="2">
        <f>IFERROR(__xludf.DUMMYFUNCTION("""COMPUTED_VALUE"""),358.0)</f>
        <v>358</v>
      </c>
      <c r="D4172" s="3">
        <f>IFERROR(__xludf.DUMMYFUNCTION("""COMPUTED_VALUE"""),129.0)</f>
        <v>129</v>
      </c>
      <c r="E4172" s="2"/>
      <c r="F4172" s="2"/>
    </row>
    <row r="4173">
      <c r="A4173" s="2">
        <f>IFERROR(__xludf.DUMMYFUNCTION("""COMPUTED_VALUE"""),199415.0)</f>
        <v>199415</v>
      </c>
      <c r="B4173" s="2">
        <f>IFERROR(__xludf.DUMMYFUNCTION("""COMPUTED_VALUE"""),0.0)</f>
        <v>0</v>
      </c>
      <c r="C4173" s="2">
        <f>IFERROR(__xludf.DUMMYFUNCTION("""COMPUTED_VALUE"""),802.0)</f>
        <v>802</v>
      </c>
      <c r="D4173" s="3">
        <f>IFERROR(__xludf.DUMMYFUNCTION("""COMPUTED_VALUE"""),381.0)</f>
        <v>381</v>
      </c>
      <c r="E4173" s="2"/>
      <c r="F4173" s="2"/>
    </row>
    <row r="4174">
      <c r="A4174" s="2">
        <f>IFERROR(__xludf.DUMMYFUNCTION("""COMPUTED_VALUE"""),112792.0)</f>
        <v>112792</v>
      </c>
      <c r="B4174" s="2">
        <f>IFERROR(__xludf.DUMMYFUNCTION("""COMPUTED_VALUE"""),1.0)</f>
        <v>1</v>
      </c>
      <c r="C4174" s="2">
        <f>IFERROR(__xludf.DUMMYFUNCTION("""COMPUTED_VALUE"""),615.0)</f>
        <v>615</v>
      </c>
      <c r="D4174" s="3">
        <f>IFERROR(__xludf.DUMMYFUNCTION("""COMPUTED_VALUE"""),513.0)</f>
        <v>513</v>
      </c>
      <c r="E4174" s="2"/>
      <c r="F4174" s="2"/>
    </row>
    <row r="4175">
      <c r="A4175" s="2">
        <f>IFERROR(__xludf.DUMMYFUNCTION("""COMPUTED_VALUE"""),104322.0)</f>
        <v>104322</v>
      </c>
      <c r="B4175" s="2">
        <f>IFERROR(__xludf.DUMMYFUNCTION("""COMPUTED_VALUE"""),0.0)</f>
        <v>0</v>
      </c>
      <c r="C4175" s="2">
        <f>IFERROR(__xludf.DUMMYFUNCTION("""COMPUTED_VALUE"""),514.0)</f>
        <v>514</v>
      </c>
      <c r="D4175" s="3">
        <f>IFERROR(__xludf.DUMMYFUNCTION("""COMPUTED_VALUE"""),124.0)</f>
        <v>124</v>
      </c>
      <c r="E4175" s="2"/>
      <c r="F4175" s="2"/>
    </row>
    <row r="4176">
      <c r="A4176" s="2">
        <f>IFERROR(__xludf.DUMMYFUNCTION("""COMPUTED_VALUE"""),69321.0)</f>
        <v>69321</v>
      </c>
      <c r="B4176" s="2">
        <f>IFERROR(__xludf.DUMMYFUNCTION("""COMPUTED_VALUE"""),1.0)</f>
        <v>1</v>
      </c>
      <c r="C4176" s="2">
        <f>IFERROR(__xludf.DUMMYFUNCTION("""COMPUTED_VALUE"""),857.0)</f>
        <v>857</v>
      </c>
      <c r="D4176" s="3">
        <f>IFERROR(__xludf.DUMMYFUNCTION("""COMPUTED_VALUE"""),506.0)</f>
        <v>506</v>
      </c>
      <c r="E4176" s="2"/>
      <c r="F4176" s="2"/>
    </row>
    <row r="4177">
      <c r="A4177" s="2">
        <f>IFERROR(__xludf.DUMMYFUNCTION("""COMPUTED_VALUE"""),110948.0)</f>
        <v>110948</v>
      </c>
      <c r="B4177" s="2">
        <f>IFERROR(__xludf.DUMMYFUNCTION("""COMPUTED_VALUE"""),1.0)</f>
        <v>1</v>
      </c>
      <c r="C4177" s="2">
        <f>IFERROR(__xludf.DUMMYFUNCTION("""COMPUTED_VALUE"""),73.0)</f>
        <v>73</v>
      </c>
      <c r="D4177" s="3">
        <f>IFERROR(__xludf.DUMMYFUNCTION("""COMPUTED_VALUE"""),47.0)</f>
        <v>47</v>
      </c>
      <c r="E4177" s="2"/>
      <c r="F4177" s="2"/>
    </row>
    <row r="4178">
      <c r="A4178" s="2">
        <f>IFERROR(__xludf.DUMMYFUNCTION("""COMPUTED_VALUE"""),82008.0)</f>
        <v>82008</v>
      </c>
      <c r="B4178" s="2">
        <f>IFERROR(__xludf.DUMMYFUNCTION("""COMPUTED_VALUE"""),1.0)</f>
        <v>1</v>
      </c>
      <c r="C4178" s="2">
        <f>IFERROR(__xludf.DUMMYFUNCTION("""COMPUTED_VALUE"""),522.0)</f>
        <v>522</v>
      </c>
      <c r="D4178" s="3">
        <f>IFERROR(__xludf.DUMMYFUNCTION("""COMPUTED_VALUE"""),91.0)</f>
        <v>91</v>
      </c>
      <c r="E4178" s="2"/>
      <c r="F4178" s="2"/>
    </row>
    <row r="4179">
      <c r="A4179" s="2">
        <f>IFERROR(__xludf.DUMMYFUNCTION("""COMPUTED_VALUE"""),86987.0)</f>
        <v>86987</v>
      </c>
      <c r="B4179" s="2">
        <f>IFERROR(__xludf.DUMMYFUNCTION("""COMPUTED_VALUE"""),1.0)</f>
        <v>1</v>
      </c>
      <c r="C4179" s="2">
        <f>IFERROR(__xludf.DUMMYFUNCTION("""COMPUTED_VALUE"""),417.0)</f>
        <v>417</v>
      </c>
      <c r="D4179" s="3">
        <f>IFERROR(__xludf.DUMMYFUNCTION("""COMPUTED_VALUE"""),318.0)</f>
        <v>318</v>
      </c>
      <c r="E4179" s="2"/>
      <c r="F4179" s="2"/>
    </row>
    <row r="4180">
      <c r="A4180" s="2">
        <f>IFERROR(__xludf.DUMMYFUNCTION("""COMPUTED_VALUE"""),118912.0)</f>
        <v>118912</v>
      </c>
      <c r="B4180" s="2">
        <f>IFERROR(__xludf.DUMMYFUNCTION("""COMPUTED_VALUE"""),1.0)</f>
        <v>1</v>
      </c>
      <c r="C4180" s="2">
        <f>IFERROR(__xludf.DUMMYFUNCTION("""COMPUTED_VALUE"""),301.0)</f>
        <v>301</v>
      </c>
      <c r="D4180" s="3">
        <f>IFERROR(__xludf.DUMMYFUNCTION("""COMPUTED_VALUE"""),9.0)</f>
        <v>9</v>
      </c>
      <c r="E4180" s="2"/>
      <c r="F4180" s="2"/>
    </row>
    <row r="4181">
      <c r="A4181" s="2">
        <f>IFERROR(__xludf.DUMMYFUNCTION("""COMPUTED_VALUE"""),47048.0)</f>
        <v>47048</v>
      </c>
      <c r="B4181" s="2">
        <f>IFERROR(__xludf.DUMMYFUNCTION("""COMPUTED_VALUE"""),0.0)</f>
        <v>0</v>
      </c>
      <c r="C4181" s="2">
        <f>IFERROR(__xludf.DUMMYFUNCTION("""COMPUTED_VALUE"""),444.0)</f>
        <v>444</v>
      </c>
      <c r="D4181" s="3">
        <f>IFERROR(__xludf.DUMMYFUNCTION("""COMPUTED_VALUE"""),332.0)</f>
        <v>332</v>
      </c>
      <c r="E4181" s="2"/>
      <c r="F4181" s="2"/>
    </row>
    <row r="4182">
      <c r="A4182" s="2">
        <f>IFERROR(__xludf.DUMMYFUNCTION("""COMPUTED_VALUE"""),103870.0)</f>
        <v>103870</v>
      </c>
      <c r="B4182" s="2">
        <f>IFERROR(__xludf.DUMMYFUNCTION("""COMPUTED_VALUE"""),0.0)</f>
        <v>0</v>
      </c>
      <c r="C4182" s="2">
        <f>IFERROR(__xludf.DUMMYFUNCTION("""COMPUTED_VALUE"""),29.0)</f>
        <v>29</v>
      </c>
      <c r="D4182" s="3">
        <f>IFERROR(__xludf.DUMMYFUNCTION("""COMPUTED_VALUE"""),18.0)</f>
        <v>18</v>
      </c>
      <c r="E4182" s="2"/>
      <c r="F4182" s="2"/>
    </row>
    <row r="4183">
      <c r="A4183" s="2">
        <f>IFERROR(__xludf.DUMMYFUNCTION("""COMPUTED_VALUE"""),86985.0)</f>
        <v>86985</v>
      </c>
      <c r="B4183" s="2">
        <f>IFERROR(__xludf.DUMMYFUNCTION("""COMPUTED_VALUE"""),1.0)</f>
        <v>1</v>
      </c>
      <c r="C4183" s="2">
        <f>IFERROR(__xludf.DUMMYFUNCTION("""COMPUTED_VALUE"""),780.0)</f>
        <v>780</v>
      </c>
      <c r="D4183" s="3">
        <f>IFERROR(__xludf.DUMMYFUNCTION("""COMPUTED_VALUE"""),697.0)</f>
        <v>697</v>
      </c>
      <c r="E4183" s="2"/>
      <c r="F4183" s="2"/>
    </row>
    <row r="4184">
      <c r="A4184" s="2">
        <f>IFERROR(__xludf.DUMMYFUNCTION("""COMPUTED_VALUE"""),82005.0)</f>
        <v>82005</v>
      </c>
      <c r="B4184" s="2">
        <f>IFERROR(__xludf.DUMMYFUNCTION("""COMPUTED_VALUE"""),1.0)</f>
        <v>1</v>
      </c>
      <c r="C4184" s="2">
        <f>IFERROR(__xludf.DUMMYFUNCTION("""COMPUTED_VALUE"""),44.0)</f>
        <v>44</v>
      </c>
      <c r="D4184" s="3">
        <f>IFERROR(__xludf.DUMMYFUNCTION("""COMPUTED_VALUE"""),17.0)</f>
        <v>17</v>
      </c>
      <c r="E4184" s="2"/>
      <c r="F4184" s="2"/>
    </row>
    <row r="4185">
      <c r="A4185" s="2">
        <f>IFERROR(__xludf.DUMMYFUNCTION("""COMPUTED_VALUE"""),119053.0)</f>
        <v>119053</v>
      </c>
      <c r="B4185" s="2">
        <f>IFERROR(__xludf.DUMMYFUNCTION("""COMPUTED_VALUE"""),0.0)</f>
        <v>0</v>
      </c>
      <c r="C4185" s="2">
        <f>IFERROR(__xludf.DUMMYFUNCTION("""COMPUTED_VALUE"""),668.0)</f>
        <v>668</v>
      </c>
      <c r="D4185" s="3">
        <f>IFERROR(__xludf.DUMMYFUNCTION("""COMPUTED_VALUE"""),554.0)</f>
        <v>554</v>
      </c>
      <c r="E4185" s="2"/>
      <c r="F4185" s="2"/>
    </row>
    <row r="4186">
      <c r="A4186" s="2">
        <f>IFERROR(__xludf.DUMMYFUNCTION("""COMPUTED_VALUE"""),102015.0)</f>
        <v>102015</v>
      </c>
      <c r="B4186" s="2">
        <f>IFERROR(__xludf.DUMMYFUNCTION("""COMPUTED_VALUE"""),1.0)</f>
        <v>1</v>
      </c>
      <c r="C4186" s="2">
        <f>IFERROR(__xludf.DUMMYFUNCTION("""COMPUTED_VALUE"""),14.0)</f>
        <v>14</v>
      </c>
      <c r="D4186" s="3">
        <f>IFERROR(__xludf.DUMMYFUNCTION("""COMPUTED_VALUE"""),6.0)</f>
        <v>6</v>
      </c>
      <c r="E4186" s="2"/>
      <c r="F4186" s="2"/>
    </row>
    <row r="4187">
      <c r="A4187" s="2">
        <f>IFERROR(__xludf.DUMMYFUNCTION("""COMPUTED_VALUE"""),92823.0)</f>
        <v>92823</v>
      </c>
      <c r="B4187" s="2">
        <f>IFERROR(__xludf.DUMMYFUNCTION("""COMPUTED_VALUE"""),0.0)</f>
        <v>0</v>
      </c>
      <c r="C4187" s="2">
        <f>IFERROR(__xludf.DUMMYFUNCTION("""COMPUTED_VALUE"""),73.0)</f>
        <v>73</v>
      </c>
      <c r="D4187" s="3">
        <f>IFERROR(__xludf.DUMMYFUNCTION("""COMPUTED_VALUE"""),32.0)</f>
        <v>32</v>
      </c>
      <c r="E4187" s="2"/>
      <c r="F4187" s="2"/>
    </row>
    <row r="4188">
      <c r="A4188" s="2">
        <f>IFERROR(__xludf.DUMMYFUNCTION("""COMPUTED_VALUE"""),108060.0)</f>
        <v>108060</v>
      </c>
      <c r="B4188" s="2">
        <f>IFERROR(__xludf.DUMMYFUNCTION("""COMPUTED_VALUE"""),0.0)</f>
        <v>0</v>
      </c>
      <c r="C4188" s="2">
        <f>IFERROR(__xludf.DUMMYFUNCTION("""COMPUTED_VALUE"""),803.0)</f>
        <v>803</v>
      </c>
      <c r="D4188" s="3">
        <f>IFERROR(__xludf.DUMMYFUNCTION("""COMPUTED_VALUE"""),421.0)</f>
        <v>421</v>
      </c>
      <c r="E4188" s="2"/>
      <c r="F4188" s="2"/>
    </row>
    <row r="4189">
      <c r="A4189" s="2">
        <f>IFERROR(__xludf.DUMMYFUNCTION("""COMPUTED_VALUE"""),4214.0)</f>
        <v>4214</v>
      </c>
      <c r="B4189" s="2">
        <f>IFERROR(__xludf.DUMMYFUNCTION("""COMPUTED_VALUE"""),0.0)</f>
        <v>0</v>
      </c>
      <c r="C4189" s="2">
        <f>IFERROR(__xludf.DUMMYFUNCTION("""COMPUTED_VALUE"""),95.0)</f>
        <v>95</v>
      </c>
      <c r="D4189" s="3">
        <f>IFERROR(__xludf.DUMMYFUNCTION("""COMPUTED_VALUE"""),7.0)</f>
        <v>7</v>
      </c>
      <c r="E4189" s="2"/>
      <c r="F4189" s="2"/>
    </row>
    <row r="4190">
      <c r="A4190" s="2">
        <f>IFERROR(__xludf.DUMMYFUNCTION("""COMPUTED_VALUE"""),14715.0)</f>
        <v>14715</v>
      </c>
      <c r="B4190" s="2">
        <f>IFERROR(__xludf.DUMMYFUNCTION("""COMPUTED_VALUE"""),1.0)</f>
        <v>1</v>
      </c>
      <c r="C4190" s="2">
        <f>IFERROR(__xludf.DUMMYFUNCTION("""COMPUTED_VALUE"""),854.0)</f>
        <v>854</v>
      </c>
      <c r="D4190" s="3">
        <f>IFERROR(__xludf.DUMMYFUNCTION("""COMPUTED_VALUE"""),105.0)</f>
        <v>105</v>
      </c>
      <c r="E4190" s="2"/>
      <c r="F4190" s="2"/>
    </row>
    <row r="4191">
      <c r="A4191" s="2">
        <f>IFERROR(__xludf.DUMMYFUNCTION("""COMPUTED_VALUE"""),16771.0)</f>
        <v>16771</v>
      </c>
      <c r="B4191" s="2">
        <f>IFERROR(__xludf.DUMMYFUNCTION("""COMPUTED_VALUE"""),0.0)</f>
        <v>0</v>
      </c>
      <c r="C4191" s="2">
        <f>IFERROR(__xludf.DUMMYFUNCTION("""COMPUTED_VALUE"""),662.0)</f>
        <v>662</v>
      </c>
      <c r="D4191" s="3">
        <f>IFERROR(__xludf.DUMMYFUNCTION("""COMPUTED_VALUE"""),291.0)</f>
        <v>291</v>
      </c>
      <c r="E4191" s="2"/>
      <c r="F4191" s="2"/>
    </row>
    <row r="4192">
      <c r="A4192" s="2">
        <f>IFERROR(__xludf.DUMMYFUNCTION("""COMPUTED_VALUE"""),97945.0)</f>
        <v>97945</v>
      </c>
      <c r="B4192" s="2">
        <f>IFERROR(__xludf.DUMMYFUNCTION("""COMPUTED_VALUE"""),1.0)</f>
        <v>1</v>
      </c>
      <c r="C4192" s="2">
        <f>IFERROR(__xludf.DUMMYFUNCTION("""COMPUTED_VALUE"""),13.0)</f>
        <v>13</v>
      </c>
      <c r="D4192" s="3">
        <f>IFERROR(__xludf.DUMMYFUNCTION("""COMPUTED_VALUE"""),0.0)</f>
        <v>0</v>
      </c>
      <c r="E4192" s="2"/>
      <c r="F4192" s="2"/>
    </row>
    <row r="4193">
      <c r="A4193" s="2">
        <f>IFERROR(__xludf.DUMMYFUNCTION("""COMPUTED_VALUE"""),144740.0)</f>
        <v>144740</v>
      </c>
      <c r="B4193" s="2">
        <f>IFERROR(__xludf.DUMMYFUNCTION("""COMPUTED_VALUE"""),1.0)</f>
        <v>1</v>
      </c>
      <c r="C4193" s="2">
        <f>IFERROR(__xludf.DUMMYFUNCTION("""COMPUTED_VALUE"""),516.0)</f>
        <v>516</v>
      </c>
      <c r="D4193" s="3">
        <f>IFERROR(__xludf.DUMMYFUNCTION("""COMPUTED_VALUE"""),383.0)</f>
        <v>383</v>
      </c>
      <c r="E4193" s="2"/>
      <c r="F4193" s="2"/>
    </row>
    <row r="4194">
      <c r="A4194" s="2">
        <f>IFERROR(__xludf.DUMMYFUNCTION("""COMPUTED_VALUE"""),75342.0)</f>
        <v>75342</v>
      </c>
      <c r="B4194" s="2">
        <f>IFERROR(__xludf.DUMMYFUNCTION("""COMPUTED_VALUE"""),0.0)</f>
        <v>0</v>
      </c>
      <c r="C4194" s="2">
        <f>IFERROR(__xludf.DUMMYFUNCTION("""COMPUTED_VALUE"""),288.0)</f>
        <v>288</v>
      </c>
      <c r="D4194" s="3">
        <f>IFERROR(__xludf.DUMMYFUNCTION("""COMPUTED_VALUE"""),118.0)</f>
        <v>118</v>
      </c>
      <c r="E4194" s="2"/>
      <c r="F4194" s="2"/>
    </row>
    <row r="4195">
      <c r="A4195" s="2">
        <f>IFERROR(__xludf.DUMMYFUNCTION("""COMPUTED_VALUE"""),88189.0)</f>
        <v>88189</v>
      </c>
      <c r="B4195" s="2">
        <f>IFERROR(__xludf.DUMMYFUNCTION("""COMPUTED_VALUE"""),1.0)</f>
        <v>1</v>
      </c>
      <c r="C4195" s="2">
        <f>IFERROR(__xludf.DUMMYFUNCTION("""COMPUTED_VALUE"""),26.0)</f>
        <v>26</v>
      </c>
      <c r="D4195" s="3">
        <f>IFERROR(__xludf.DUMMYFUNCTION("""COMPUTED_VALUE"""),4.0)</f>
        <v>4</v>
      </c>
      <c r="E4195" s="2"/>
      <c r="F4195" s="2"/>
    </row>
    <row r="4196">
      <c r="A4196" s="2">
        <f>IFERROR(__xludf.DUMMYFUNCTION("""COMPUTED_VALUE"""),70677.0)</f>
        <v>70677</v>
      </c>
      <c r="B4196" s="2">
        <f>IFERROR(__xludf.DUMMYFUNCTION("""COMPUTED_VALUE"""),0.0)</f>
        <v>0</v>
      </c>
      <c r="C4196" s="2">
        <f>IFERROR(__xludf.DUMMYFUNCTION("""COMPUTED_VALUE"""),875.0)</f>
        <v>875</v>
      </c>
      <c r="D4196" s="3">
        <f>IFERROR(__xludf.DUMMYFUNCTION("""COMPUTED_VALUE"""),680.0)</f>
        <v>680</v>
      </c>
      <c r="E4196" s="2"/>
      <c r="F4196" s="2"/>
    </row>
    <row r="4197">
      <c r="A4197" s="2">
        <f>IFERROR(__xludf.DUMMYFUNCTION("""COMPUTED_VALUE"""),86506.0)</f>
        <v>86506</v>
      </c>
      <c r="B4197" s="2">
        <f>IFERROR(__xludf.DUMMYFUNCTION("""COMPUTED_VALUE"""),1.0)</f>
        <v>1</v>
      </c>
      <c r="C4197" s="2">
        <f>IFERROR(__xludf.DUMMYFUNCTION("""COMPUTED_VALUE"""),33.0)</f>
        <v>33</v>
      </c>
      <c r="D4197" s="3">
        <f>IFERROR(__xludf.DUMMYFUNCTION("""COMPUTED_VALUE"""),28.0)</f>
        <v>28</v>
      </c>
      <c r="E4197" s="2"/>
      <c r="F4197" s="2"/>
    </row>
    <row r="4198">
      <c r="A4198" s="2">
        <f>IFERROR(__xludf.DUMMYFUNCTION("""COMPUTED_VALUE"""),17360.0)</f>
        <v>17360</v>
      </c>
      <c r="B4198" s="2">
        <f>IFERROR(__xludf.DUMMYFUNCTION("""COMPUTED_VALUE"""),0.0)</f>
        <v>0</v>
      </c>
      <c r="C4198" s="2">
        <f>IFERROR(__xludf.DUMMYFUNCTION("""COMPUTED_VALUE"""),356.0)</f>
        <v>356</v>
      </c>
      <c r="D4198" s="3">
        <f>IFERROR(__xludf.DUMMYFUNCTION("""COMPUTED_VALUE"""),289.0)</f>
        <v>289</v>
      </c>
      <c r="E4198" s="2"/>
      <c r="F4198" s="2"/>
    </row>
    <row r="4199">
      <c r="A4199" s="2">
        <f>IFERROR(__xludf.DUMMYFUNCTION("""COMPUTED_VALUE"""),9819.0)</f>
        <v>9819</v>
      </c>
      <c r="B4199" s="2">
        <f>IFERROR(__xludf.DUMMYFUNCTION("""COMPUTED_VALUE"""),1.0)</f>
        <v>1</v>
      </c>
      <c r="C4199" s="2">
        <f>IFERROR(__xludf.DUMMYFUNCTION("""COMPUTED_VALUE"""),5.0)</f>
        <v>5</v>
      </c>
      <c r="D4199" s="3">
        <f>IFERROR(__xludf.DUMMYFUNCTION("""COMPUTED_VALUE"""),2.0)</f>
        <v>2</v>
      </c>
      <c r="E4199" s="2"/>
      <c r="F4199" s="2"/>
    </row>
    <row r="4200">
      <c r="A4200" s="2">
        <f>IFERROR(__xludf.DUMMYFUNCTION("""COMPUTED_VALUE"""),28574.0)</f>
        <v>28574</v>
      </c>
      <c r="B4200" s="2">
        <f>IFERROR(__xludf.DUMMYFUNCTION("""COMPUTED_VALUE"""),1.0)</f>
        <v>1</v>
      </c>
      <c r="C4200" s="2">
        <f>IFERROR(__xludf.DUMMYFUNCTION("""COMPUTED_VALUE"""),535.0)</f>
        <v>535</v>
      </c>
      <c r="D4200" s="3">
        <f>IFERROR(__xludf.DUMMYFUNCTION("""COMPUTED_VALUE"""),501.0)</f>
        <v>501</v>
      </c>
      <c r="E4200" s="2"/>
      <c r="F4200" s="2"/>
    </row>
    <row r="4201">
      <c r="A4201" s="2">
        <f>IFERROR(__xludf.DUMMYFUNCTION("""COMPUTED_VALUE"""),102395.0)</f>
        <v>102395</v>
      </c>
      <c r="B4201" s="2">
        <f>IFERROR(__xludf.DUMMYFUNCTION("""COMPUTED_VALUE"""),1.0)</f>
        <v>1</v>
      </c>
      <c r="C4201" s="2">
        <f>IFERROR(__xludf.DUMMYFUNCTION("""COMPUTED_VALUE"""),40.0)</f>
        <v>40</v>
      </c>
      <c r="D4201" s="3">
        <f>IFERROR(__xludf.DUMMYFUNCTION("""COMPUTED_VALUE"""),15.0)</f>
        <v>15</v>
      </c>
      <c r="E4201" s="2"/>
      <c r="F4201" s="2"/>
    </row>
    <row r="4202">
      <c r="A4202" s="2">
        <f>IFERROR(__xludf.DUMMYFUNCTION("""COMPUTED_VALUE"""),147302.0)</f>
        <v>147302</v>
      </c>
      <c r="B4202" s="2">
        <f>IFERROR(__xludf.DUMMYFUNCTION("""COMPUTED_VALUE"""),0.0)</f>
        <v>0</v>
      </c>
      <c r="C4202" s="2">
        <f>IFERROR(__xludf.DUMMYFUNCTION("""COMPUTED_VALUE"""),480.0)</f>
        <v>480</v>
      </c>
      <c r="D4202" s="3">
        <f>IFERROR(__xludf.DUMMYFUNCTION("""COMPUTED_VALUE"""),266.0)</f>
        <v>266</v>
      </c>
      <c r="E4202" s="2"/>
      <c r="F4202" s="2"/>
    </row>
    <row r="4203">
      <c r="A4203" s="2">
        <f>IFERROR(__xludf.DUMMYFUNCTION("""COMPUTED_VALUE"""),85049.0)</f>
        <v>85049</v>
      </c>
      <c r="B4203" s="2">
        <f>IFERROR(__xludf.DUMMYFUNCTION("""COMPUTED_VALUE"""),1.0)</f>
        <v>1</v>
      </c>
      <c r="C4203" s="2">
        <f>IFERROR(__xludf.DUMMYFUNCTION("""COMPUTED_VALUE"""),72.0)</f>
        <v>72</v>
      </c>
      <c r="D4203" s="3">
        <f>IFERROR(__xludf.DUMMYFUNCTION("""COMPUTED_VALUE"""),26.0)</f>
        <v>26</v>
      </c>
      <c r="E4203" s="2"/>
      <c r="F4203" s="2"/>
    </row>
    <row r="4204">
      <c r="A4204" s="2">
        <f>IFERROR(__xludf.DUMMYFUNCTION("""COMPUTED_VALUE"""),1683.0)</f>
        <v>1683</v>
      </c>
      <c r="B4204" s="2">
        <f>IFERROR(__xludf.DUMMYFUNCTION("""COMPUTED_VALUE"""),1.0)</f>
        <v>1</v>
      </c>
      <c r="C4204" s="2">
        <f>IFERROR(__xludf.DUMMYFUNCTION("""COMPUTED_VALUE"""),306.0)</f>
        <v>306</v>
      </c>
      <c r="D4204" s="3">
        <f>IFERROR(__xludf.DUMMYFUNCTION("""COMPUTED_VALUE"""),128.0)</f>
        <v>128</v>
      </c>
      <c r="E4204" s="2"/>
      <c r="F4204" s="2"/>
    </row>
    <row r="4205">
      <c r="A4205" s="2">
        <f>IFERROR(__xludf.DUMMYFUNCTION("""COMPUTED_VALUE"""),1685.0)</f>
        <v>1685</v>
      </c>
      <c r="B4205" s="2">
        <f>IFERROR(__xludf.DUMMYFUNCTION("""COMPUTED_VALUE"""),0.0)</f>
        <v>0</v>
      </c>
      <c r="C4205" s="2">
        <f>IFERROR(__xludf.DUMMYFUNCTION("""COMPUTED_VALUE"""),506.0)</f>
        <v>506</v>
      </c>
      <c r="D4205" s="3">
        <f>IFERROR(__xludf.DUMMYFUNCTION("""COMPUTED_VALUE"""),99.0)</f>
        <v>99</v>
      </c>
      <c r="E4205" s="2"/>
      <c r="F4205" s="2"/>
    </row>
    <row r="4206">
      <c r="A4206" s="2">
        <f>IFERROR(__xludf.DUMMYFUNCTION("""COMPUTED_VALUE"""),22193.0)</f>
        <v>22193</v>
      </c>
      <c r="B4206" s="2">
        <f>IFERROR(__xludf.DUMMYFUNCTION("""COMPUTED_VALUE"""),1.0)</f>
        <v>1</v>
      </c>
      <c r="C4206" s="2">
        <f>IFERROR(__xludf.DUMMYFUNCTION("""COMPUTED_VALUE"""),762.0)</f>
        <v>762</v>
      </c>
      <c r="D4206" s="3">
        <f>IFERROR(__xludf.DUMMYFUNCTION("""COMPUTED_VALUE"""),715.0)</f>
        <v>715</v>
      </c>
      <c r="E4206" s="2"/>
      <c r="F4206" s="2"/>
    </row>
    <row r="4207">
      <c r="A4207" s="2">
        <f>IFERROR(__xludf.DUMMYFUNCTION("""COMPUTED_VALUE"""),9786.0)</f>
        <v>9786</v>
      </c>
      <c r="B4207" s="2">
        <f>IFERROR(__xludf.DUMMYFUNCTION("""COMPUTED_VALUE"""),0.0)</f>
        <v>0</v>
      </c>
      <c r="C4207" s="2">
        <f>IFERROR(__xludf.DUMMYFUNCTION("""COMPUTED_VALUE"""),646.0)</f>
        <v>646</v>
      </c>
      <c r="D4207" s="3">
        <f>IFERROR(__xludf.DUMMYFUNCTION("""COMPUTED_VALUE"""),627.0)</f>
        <v>627</v>
      </c>
      <c r="E4207" s="2"/>
      <c r="F4207" s="2"/>
    </row>
    <row r="4208">
      <c r="A4208" s="2">
        <f>IFERROR(__xludf.DUMMYFUNCTION("""COMPUTED_VALUE"""),108770.0)</f>
        <v>108770</v>
      </c>
      <c r="B4208" s="2">
        <f>IFERROR(__xludf.DUMMYFUNCTION("""COMPUTED_VALUE"""),1.0)</f>
        <v>1</v>
      </c>
      <c r="C4208" s="2">
        <f>IFERROR(__xludf.DUMMYFUNCTION("""COMPUTED_VALUE"""),633.0)</f>
        <v>633</v>
      </c>
      <c r="D4208" s="3">
        <f>IFERROR(__xludf.DUMMYFUNCTION("""COMPUTED_VALUE"""),159.0)</f>
        <v>159</v>
      </c>
      <c r="E4208" s="2"/>
      <c r="F4208" s="2"/>
    </row>
    <row r="4209">
      <c r="A4209" s="2">
        <f>IFERROR(__xludf.DUMMYFUNCTION("""COMPUTED_VALUE"""),109536.0)</f>
        <v>109536</v>
      </c>
      <c r="B4209" s="2">
        <f>IFERROR(__xludf.DUMMYFUNCTION("""COMPUTED_VALUE"""),1.0)</f>
        <v>1</v>
      </c>
      <c r="C4209" s="2">
        <f>IFERROR(__xludf.DUMMYFUNCTION("""COMPUTED_VALUE"""),197.0)</f>
        <v>197</v>
      </c>
      <c r="D4209" s="3">
        <f>IFERROR(__xludf.DUMMYFUNCTION("""COMPUTED_VALUE"""),49.0)</f>
        <v>49</v>
      </c>
      <c r="E4209" s="2"/>
      <c r="F4209" s="2"/>
    </row>
    <row r="4210">
      <c r="A4210" s="2">
        <f>IFERROR(__xludf.DUMMYFUNCTION("""COMPUTED_VALUE"""),111743.0)</f>
        <v>111743</v>
      </c>
      <c r="B4210" s="2">
        <f>IFERROR(__xludf.DUMMYFUNCTION("""COMPUTED_VALUE"""),1.0)</f>
        <v>1</v>
      </c>
      <c r="C4210" s="2">
        <f>IFERROR(__xludf.DUMMYFUNCTION("""COMPUTED_VALUE"""),251.0)</f>
        <v>251</v>
      </c>
      <c r="D4210" s="3">
        <f>IFERROR(__xludf.DUMMYFUNCTION("""COMPUTED_VALUE"""),209.0)</f>
        <v>209</v>
      </c>
      <c r="E4210" s="2"/>
      <c r="F4210" s="2"/>
    </row>
    <row r="4211">
      <c r="A4211" s="2">
        <f>IFERROR(__xludf.DUMMYFUNCTION("""COMPUTED_VALUE"""),108769.0)</f>
        <v>108769</v>
      </c>
      <c r="B4211" s="2">
        <f>IFERROR(__xludf.DUMMYFUNCTION("""COMPUTED_VALUE"""),0.0)</f>
        <v>0</v>
      </c>
      <c r="C4211" s="2">
        <f>IFERROR(__xludf.DUMMYFUNCTION("""COMPUTED_VALUE"""),66.0)</f>
        <v>66</v>
      </c>
      <c r="D4211" s="3">
        <f>IFERROR(__xludf.DUMMYFUNCTION("""COMPUTED_VALUE"""),16.0)</f>
        <v>16</v>
      </c>
      <c r="E4211" s="2"/>
      <c r="F4211" s="2"/>
    </row>
    <row r="4212">
      <c r="A4212" s="2">
        <f>IFERROR(__xludf.DUMMYFUNCTION("""COMPUTED_VALUE"""),111742.0)</f>
        <v>111742</v>
      </c>
      <c r="B4212" s="2">
        <f>IFERROR(__xludf.DUMMYFUNCTION("""COMPUTED_VALUE"""),0.0)</f>
        <v>0</v>
      </c>
      <c r="C4212" s="2">
        <f>IFERROR(__xludf.DUMMYFUNCTION("""COMPUTED_VALUE"""),26.0)</f>
        <v>26</v>
      </c>
      <c r="D4212" s="3">
        <f>IFERROR(__xludf.DUMMYFUNCTION("""COMPUTED_VALUE"""),18.0)</f>
        <v>18</v>
      </c>
      <c r="E4212" s="2"/>
      <c r="F4212" s="2"/>
    </row>
    <row r="4213">
      <c r="A4213" s="2">
        <f>IFERROR(__xludf.DUMMYFUNCTION("""COMPUTED_VALUE"""),88989.0)</f>
        <v>88989</v>
      </c>
      <c r="B4213" s="2">
        <f>IFERROR(__xludf.DUMMYFUNCTION("""COMPUTED_VALUE"""),1.0)</f>
        <v>1</v>
      </c>
      <c r="C4213" s="2">
        <f>IFERROR(__xludf.DUMMYFUNCTION("""COMPUTED_VALUE"""),184.0)</f>
        <v>184</v>
      </c>
      <c r="D4213" s="3">
        <f>IFERROR(__xludf.DUMMYFUNCTION("""COMPUTED_VALUE"""),8.0)</f>
        <v>8</v>
      </c>
      <c r="E4213" s="2"/>
      <c r="F4213" s="2"/>
    </row>
    <row r="4214">
      <c r="A4214" s="2">
        <f>IFERROR(__xludf.DUMMYFUNCTION("""COMPUTED_VALUE"""),88987.0)</f>
        <v>88987</v>
      </c>
      <c r="B4214" s="2">
        <f>IFERROR(__xludf.DUMMYFUNCTION("""COMPUTED_VALUE"""),1.0)</f>
        <v>1</v>
      </c>
      <c r="C4214" s="2">
        <f>IFERROR(__xludf.DUMMYFUNCTION("""COMPUTED_VALUE"""),659.0)</f>
        <v>659</v>
      </c>
      <c r="D4214" s="3">
        <f>IFERROR(__xludf.DUMMYFUNCTION("""COMPUTED_VALUE"""),465.0)</f>
        <v>465</v>
      </c>
      <c r="E4214" s="2"/>
      <c r="F4214" s="2"/>
    </row>
    <row r="4215">
      <c r="A4215" s="2">
        <f>IFERROR(__xludf.DUMMYFUNCTION("""COMPUTED_VALUE"""),88988.0)</f>
        <v>88988</v>
      </c>
      <c r="B4215" s="2">
        <f>IFERROR(__xludf.DUMMYFUNCTION("""COMPUTED_VALUE"""),1.0)</f>
        <v>1</v>
      </c>
      <c r="C4215" s="2">
        <f>IFERROR(__xludf.DUMMYFUNCTION("""COMPUTED_VALUE"""),613.0)</f>
        <v>613</v>
      </c>
      <c r="D4215" s="3">
        <f>IFERROR(__xludf.DUMMYFUNCTION("""COMPUTED_VALUE"""),1.0)</f>
        <v>1</v>
      </c>
      <c r="E4215" s="2"/>
      <c r="F4215" s="2"/>
    </row>
    <row r="4216">
      <c r="A4216" s="2">
        <f>IFERROR(__xludf.DUMMYFUNCTION("""COMPUTED_VALUE"""),102816.0)</f>
        <v>102816</v>
      </c>
      <c r="B4216" s="2">
        <f>IFERROR(__xludf.DUMMYFUNCTION("""COMPUTED_VALUE"""),0.0)</f>
        <v>0</v>
      </c>
      <c r="C4216" s="2">
        <f>IFERROR(__xludf.DUMMYFUNCTION("""COMPUTED_VALUE"""),151.0)</f>
        <v>151</v>
      </c>
      <c r="D4216" s="3">
        <f>IFERROR(__xludf.DUMMYFUNCTION("""COMPUTED_VALUE"""),75.0)</f>
        <v>75</v>
      </c>
      <c r="E4216" s="2"/>
      <c r="F4216" s="2"/>
    </row>
    <row r="4217">
      <c r="A4217" s="2">
        <f>IFERROR(__xludf.DUMMYFUNCTION("""COMPUTED_VALUE"""),49803.0)</f>
        <v>49803</v>
      </c>
      <c r="B4217" s="2">
        <f>IFERROR(__xludf.DUMMYFUNCTION("""COMPUTED_VALUE"""),1.0)</f>
        <v>1</v>
      </c>
      <c r="C4217" s="2">
        <f>IFERROR(__xludf.DUMMYFUNCTION("""COMPUTED_VALUE"""),245.0)</f>
        <v>245</v>
      </c>
      <c r="D4217" s="3">
        <f>IFERROR(__xludf.DUMMYFUNCTION("""COMPUTED_VALUE"""),0.0)</f>
        <v>0</v>
      </c>
      <c r="E4217" s="2"/>
      <c r="F4217" s="2"/>
    </row>
    <row r="4218">
      <c r="A4218" s="2">
        <f>IFERROR(__xludf.DUMMYFUNCTION("""COMPUTED_VALUE"""),77302.0)</f>
        <v>77302</v>
      </c>
      <c r="B4218" s="2">
        <f>IFERROR(__xludf.DUMMYFUNCTION("""COMPUTED_VALUE"""),0.0)</f>
        <v>0</v>
      </c>
      <c r="C4218" s="2">
        <f>IFERROR(__xludf.DUMMYFUNCTION("""COMPUTED_VALUE"""),379.0)</f>
        <v>379</v>
      </c>
      <c r="D4218" s="3">
        <f>IFERROR(__xludf.DUMMYFUNCTION("""COMPUTED_VALUE"""),295.0)</f>
        <v>295</v>
      </c>
      <c r="E4218" s="2"/>
      <c r="F4218" s="2"/>
    </row>
    <row r="4219">
      <c r="A4219" s="2">
        <f>IFERROR(__xludf.DUMMYFUNCTION("""COMPUTED_VALUE"""),94000.0)</f>
        <v>94000</v>
      </c>
      <c r="B4219" s="2">
        <f>IFERROR(__xludf.DUMMYFUNCTION("""COMPUTED_VALUE"""),0.0)</f>
        <v>0</v>
      </c>
      <c r="C4219" s="2">
        <f>IFERROR(__xludf.DUMMYFUNCTION("""COMPUTED_VALUE"""),888.0)</f>
        <v>888</v>
      </c>
      <c r="D4219" s="3">
        <f>IFERROR(__xludf.DUMMYFUNCTION("""COMPUTED_VALUE"""),727.0)</f>
        <v>727</v>
      </c>
      <c r="E4219" s="2"/>
      <c r="F4219" s="2"/>
    </row>
    <row r="4220">
      <c r="A4220" s="2">
        <f>IFERROR(__xludf.DUMMYFUNCTION("""COMPUTED_VALUE"""),9616.0)</f>
        <v>9616</v>
      </c>
      <c r="B4220" s="2">
        <f>IFERROR(__xludf.DUMMYFUNCTION("""COMPUTED_VALUE"""),1.0)</f>
        <v>1</v>
      </c>
      <c r="C4220" s="2">
        <f>IFERROR(__xludf.DUMMYFUNCTION("""COMPUTED_VALUE"""),277.0)</f>
        <v>277</v>
      </c>
      <c r="D4220" s="3">
        <f>IFERROR(__xludf.DUMMYFUNCTION("""COMPUTED_VALUE"""),191.0)</f>
        <v>191</v>
      </c>
      <c r="E4220" s="2"/>
      <c r="F4220" s="2"/>
    </row>
    <row r="4221">
      <c r="A4221" s="2">
        <f>IFERROR(__xludf.DUMMYFUNCTION("""COMPUTED_VALUE"""),115135.0)</f>
        <v>115135</v>
      </c>
      <c r="B4221" s="2">
        <f>IFERROR(__xludf.DUMMYFUNCTION("""COMPUTED_VALUE"""),1.0)</f>
        <v>1</v>
      </c>
      <c r="C4221" s="2">
        <f>IFERROR(__xludf.DUMMYFUNCTION("""COMPUTED_VALUE"""),373.0)</f>
        <v>373</v>
      </c>
      <c r="D4221" s="3">
        <f>IFERROR(__xludf.DUMMYFUNCTION("""COMPUTED_VALUE"""),18.0)</f>
        <v>18</v>
      </c>
      <c r="E4221" s="2"/>
      <c r="F4221" s="2"/>
    </row>
    <row r="4222">
      <c r="A4222" s="2">
        <f>IFERROR(__xludf.DUMMYFUNCTION("""COMPUTED_VALUE"""),90727.0)</f>
        <v>90727</v>
      </c>
      <c r="B4222" s="2">
        <f>IFERROR(__xludf.DUMMYFUNCTION("""COMPUTED_VALUE"""),0.0)</f>
        <v>0</v>
      </c>
      <c r="C4222" s="2">
        <f>IFERROR(__xludf.DUMMYFUNCTION("""COMPUTED_VALUE"""),103.0)</f>
        <v>103</v>
      </c>
      <c r="D4222" s="3">
        <f>IFERROR(__xludf.DUMMYFUNCTION("""COMPUTED_VALUE"""),16.0)</f>
        <v>16</v>
      </c>
      <c r="E4222" s="2"/>
      <c r="F4222" s="2"/>
    </row>
    <row r="4223">
      <c r="A4223" s="2">
        <f>IFERROR(__xludf.DUMMYFUNCTION("""COMPUTED_VALUE"""),24060.0)</f>
        <v>24060</v>
      </c>
      <c r="B4223" s="2">
        <f>IFERROR(__xludf.DUMMYFUNCTION("""COMPUTED_VALUE"""),0.0)</f>
        <v>0</v>
      </c>
      <c r="C4223" s="2">
        <f>IFERROR(__xludf.DUMMYFUNCTION("""COMPUTED_VALUE"""),210.0)</f>
        <v>210</v>
      </c>
      <c r="D4223" s="3">
        <f>IFERROR(__xludf.DUMMYFUNCTION("""COMPUTED_VALUE"""),87.0)</f>
        <v>87</v>
      </c>
      <c r="E4223" s="2"/>
      <c r="F4223" s="2"/>
    </row>
    <row r="4224">
      <c r="A4224" s="2">
        <f>IFERROR(__xludf.DUMMYFUNCTION("""COMPUTED_VALUE"""),112086.0)</f>
        <v>112086</v>
      </c>
      <c r="B4224" s="2">
        <f>IFERROR(__xludf.DUMMYFUNCTION("""COMPUTED_VALUE"""),0.0)</f>
        <v>0</v>
      </c>
      <c r="C4224" s="2">
        <f>IFERROR(__xludf.DUMMYFUNCTION("""COMPUTED_VALUE"""),290.0)</f>
        <v>290</v>
      </c>
      <c r="D4224" s="3">
        <f>IFERROR(__xludf.DUMMYFUNCTION("""COMPUTED_VALUE"""),52.0)</f>
        <v>52</v>
      </c>
      <c r="E4224" s="2"/>
      <c r="F4224" s="2"/>
    </row>
    <row r="4225">
      <c r="A4225" s="2">
        <f>IFERROR(__xludf.DUMMYFUNCTION("""COMPUTED_VALUE"""),90723.0)</f>
        <v>90723</v>
      </c>
      <c r="B4225" s="2">
        <f>IFERROR(__xludf.DUMMYFUNCTION("""COMPUTED_VALUE"""),0.0)</f>
        <v>0</v>
      </c>
      <c r="C4225" s="2">
        <f>IFERROR(__xludf.DUMMYFUNCTION("""COMPUTED_VALUE"""),458.0)</f>
        <v>458</v>
      </c>
      <c r="D4225" s="3">
        <f>IFERROR(__xludf.DUMMYFUNCTION("""COMPUTED_VALUE"""),436.0)</f>
        <v>436</v>
      </c>
      <c r="E4225" s="2"/>
      <c r="F4225" s="2"/>
    </row>
    <row r="4226">
      <c r="A4226" s="2">
        <f>IFERROR(__xludf.DUMMYFUNCTION("""COMPUTED_VALUE"""),77601.0)</f>
        <v>77601</v>
      </c>
      <c r="B4226" s="2">
        <f>IFERROR(__xludf.DUMMYFUNCTION("""COMPUTED_VALUE"""),1.0)</f>
        <v>1</v>
      </c>
      <c r="C4226" s="2">
        <f>IFERROR(__xludf.DUMMYFUNCTION("""COMPUTED_VALUE"""),277.0)</f>
        <v>277</v>
      </c>
      <c r="D4226" s="3">
        <f>IFERROR(__xludf.DUMMYFUNCTION("""COMPUTED_VALUE"""),87.0)</f>
        <v>87</v>
      </c>
      <c r="E4226" s="2"/>
      <c r="F4226" s="2"/>
    </row>
    <row r="4227">
      <c r="A4227" s="2">
        <f>IFERROR(__xludf.DUMMYFUNCTION("""COMPUTED_VALUE"""),12005.0)</f>
        <v>12005</v>
      </c>
      <c r="B4227" s="2">
        <f>IFERROR(__xludf.DUMMYFUNCTION("""COMPUTED_VALUE"""),0.0)</f>
        <v>0</v>
      </c>
      <c r="C4227" s="2">
        <f>IFERROR(__xludf.DUMMYFUNCTION("""COMPUTED_VALUE"""),838.0)</f>
        <v>838</v>
      </c>
      <c r="D4227" s="3">
        <f>IFERROR(__xludf.DUMMYFUNCTION("""COMPUTED_VALUE"""),535.0)</f>
        <v>535</v>
      </c>
      <c r="E4227" s="2"/>
      <c r="F4227" s="2"/>
    </row>
    <row r="4228">
      <c r="A4228" s="2">
        <f>IFERROR(__xludf.DUMMYFUNCTION("""COMPUTED_VALUE"""),41680.0)</f>
        <v>41680</v>
      </c>
      <c r="B4228" s="2">
        <f>IFERROR(__xludf.DUMMYFUNCTION("""COMPUTED_VALUE"""),0.0)</f>
        <v>0</v>
      </c>
      <c r="C4228" s="2">
        <f>IFERROR(__xludf.DUMMYFUNCTION("""COMPUTED_VALUE"""),634.0)</f>
        <v>634</v>
      </c>
      <c r="D4228" s="3">
        <f>IFERROR(__xludf.DUMMYFUNCTION("""COMPUTED_VALUE"""),532.0)</f>
        <v>532</v>
      </c>
      <c r="E4228" s="2"/>
      <c r="F4228" s="2"/>
    </row>
    <row r="4229">
      <c r="A4229" s="2">
        <f>IFERROR(__xludf.DUMMYFUNCTION("""COMPUTED_VALUE"""),12000.0)</f>
        <v>12000</v>
      </c>
      <c r="B4229" s="2">
        <f>IFERROR(__xludf.DUMMYFUNCTION("""COMPUTED_VALUE"""),0.0)</f>
        <v>0</v>
      </c>
      <c r="C4229" s="2">
        <f>IFERROR(__xludf.DUMMYFUNCTION("""COMPUTED_VALUE"""),752.0)</f>
        <v>752</v>
      </c>
      <c r="D4229" s="3">
        <f>IFERROR(__xludf.DUMMYFUNCTION("""COMPUTED_VALUE"""),451.0)</f>
        <v>451</v>
      </c>
      <c r="E4229" s="2"/>
      <c r="F4229" s="2"/>
    </row>
    <row r="4230">
      <c r="A4230" s="2">
        <f>IFERROR(__xludf.DUMMYFUNCTION("""COMPUTED_VALUE"""),12022.0)</f>
        <v>12022</v>
      </c>
      <c r="B4230" s="2">
        <f>IFERROR(__xludf.DUMMYFUNCTION("""COMPUTED_VALUE"""),0.0)</f>
        <v>0</v>
      </c>
      <c r="C4230" s="2">
        <f>IFERROR(__xludf.DUMMYFUNCTION("""COMPUTED_VALUE"""),8.0)</f>
        <v>8</v>
      </c>
      <c r="D4230" s="3">
        <f>IFERROR(__xludf.DUMMYFUNCTION("""COMPUTED_VALUE"""),7.0)</f>
        <v>7</v>
      </c>
      <c r="E4230" s="2"/>
      <c r="F4230" s="2"/>
    </row>
    <row r="4231">
      <c r="A4231" s="2">
        <f>IFERROR(__xludf.DUMMYFUNCTION("""COMPUTED_VALUE"""),113596.0)</f>
        <v>113596</v>
      </c>
      <c r="B4231" s="2">
        <f>IFERROR(__xludf.DUMMYFUNCTION("""COMPUTED_VALUE"""),0.0)</f>
        <v>0</v>
      </c>
      <c r="C4231" s="2">
        <f>IFERROR(__xludf.DUMMYFUNCTION("""COMPUTED_VALUE"""),988.0)</f>
        <v>988</v>
      </c>
      <c r="D4231" s="3">
        <f>IFERROR(__xludf.DUMMYFUNCTION("""COMPUTED_VALUE"""),383.0)</f>
        <v>383</v>
      </c>
      <c r="E4231" s="2"/>
      <c r="F4231" s="2"/>
    </row>
    <row r="4232">
      <c r="A4232" s="2">
        <f>IFERROR(__xludf.DUMMYFUNCTION("""COMPUTED_VALUE"""),11998.0)</f>
        <v>11998</v>
      </c>
      <c r="B4232" s="2">
        <f>IFERROR(__xludf.DUMMYFUNCTION("""COMPUTED_VALUE"""),0.0)</f>
        <v>0</v>
      </c>
      <c r="C4232" s="2">
        <f>IFERROR(__xludf.DUMMYFUNCTION("""COMPUTED_VALUE"""),436.0)</f>
        <v>436</v>
      </c>
      <c r="D4232" s="3">
        <f>IFERROR(__xludf.DUMMYFUNCTION("""COMPUTED_VALUE"""),414.0)</f>
        <v>414</v>
      </c>
      <c r="E4232" s="2"/>
      <c r="F4232" s="2"/>
    </row>
    <row r="4233">
      <c r="A4233" s="2">
        <f>IFERROR(__xludf.DUMMYFUNCTION("""COMPUTED_VALUE"""),12063.0)</f>
        <v>12063</v>
      </c>
      <c r="B4233" s="2">
        <f>IFERROR(__xludf.DUMMYFUNCTION("""COMPUTED_VALUE"""),0.0)</f>
        <v>0</v>
      </c>
      <c r="C4233" s="2">
        <f>IFERROR(__xludf.DUMMYFUNCTION("""COMPUTED_VALUE"""),904.0)</f>
        <v>904</v>
      </c>
      <c r="D4233" s="3">
        <f>IFERROR(__xludf.DUMMYFUNCTION("""COMPUTED_VALUE"""),240.0)</f>
        <v>240</v>
      </c>
      <c r="E4233" s="2"/>
      <c r="F4233" s="2"/>
    </row>
    <row r="4234">
      <c r="A4234" s="2">
        <f>IFERROR(__xludf.DUMMYFUNCTION("""COMPUTED_VALUE"""),96069.0)</f>
        <v>96069</v>
      </c>
      <c r="B4234" s="2">
        <f>IFERROR(__xludf.DUMMYFUNCTION("""COMPUTED_VALUE"""),1.0)</f>
        <v>1</v>
      </c>
      <c r="C4234" s="2">
        <f>IFERROR(__xludf.DUMMYFUNCTION("""COMPUTED_VALUE"""),327.0)</f>
        <v>327</v>
      </c>
      <c r="D4234" s="3">
        <f>IFERROR(__xludf.DUMMYFUNCTION("""COMPUTED_VALUE"""),21.0)</f>
        <v>21</v>
      </c>
      <c r="E4234" s="2"/>
      <c r="F4234" s="2"/>
    </row>
    <row r="4235">
      <c r="A4235" s="2">
        <f>IFERROR(__xludf.DUMMYFUNCTION("""COMPUTED_VALUE"""),12007.0)</f>
        <v>12007</v>
      </c>
      <c r="B4235" s="2">
        <f>IFERROR(__xludf.DUMMYFUNCTION("""COMPUTED_VALUE"""),0.0)</f>
        <v>0</v>
      </c>
      <c r="C4235" s="2">
        <f>IFERROR(__xludf.DUMMYFUNCTION("""COMPUTED_VALUE"""),353.0)</f>
        <v>353</v>
      </c>
      <c r="D4235" s="3">
        <f>IFERROR(__xludf.DUMMYFUNCTION("""COMPUTED_VALUE"""),133.0)</f>
        <v>133</v>
      </c>
      <c r="E4235" s="2"/>
      <c r="F4235" s="2"/>
    </row>
    <row r="4236">
      <c r="A4236" s="2">
        <f>IFERROR(__xludf.DUMMYFUNCTION("""COMPUTED_VALUE"""),113592.0)</f>
        <v>113592</v>
      </c>
      <c r="B4236" s="2">
        <f>IFERROR(__xludf.DUMMYFUNCTION("""COMPUTED_VALUE"""),0.0)</f>
        <v>0</v>
      </c>
      <c r="C4236" s="2">
        <f>IFERROR(__xludf.DUMMYFUNCTION("""COMPUTED_VALUE"""),530.0)</f>
        <v>530</v>
      </c>
      <c r="D4236" s="3">
        <f>IFERROR(__xludf.DUMMYFUNCTION("""COMPUTED_VALUE"""),108.0)</f>
        <v>108</v>
      </c>
      <c r="E4236" s="2"/>
      <c r="F4236" s="2"/>
    </row>
    <row r="4237">
      <c r="A4237" s="2">
        <f>IFERROR(__xludf.DUMMYFUNCTION("""COMPUTED_VALUE"""),147308.0)</f>
        <v>147308</v>
      </c>
      <c r="B4237" s="2">
        <f>IFERROR(__xludf.DUMMYFUNCTION("""COMPUTED_VALUE"""),0.0)</f>
        <v>0</v>
      </c>
      <c r="C4237" s="2">
        <f>IFERROR(__xludf.DUMMYFUNCTION("""COMPUTED_VALUE"""),462.0)</f>
        <v>462</v>
      </c>
      <c r="D4237" s="3">
        <f>IFERROR(__xludf.DUMMYFUNCTION("""COMPUTED_VALUE"""),240.0)</f>
        <v>240</v>
      </c>
      <c r="E4237" s="2"/>
      <c r="F4237" s="2"/>
    </row>
    <row r="4238">
      <c r="A4238" s="2">
        <f>IFERROR(__xludf.DUMMYFUNCTION("""COMPUTED_VALUE"""),41679.0)</f>
        <v>41679</v>
      </c>
      <c r="B4238" s="2">
        <f>IFERROR(__xludf.DUMMYFUNCTION("""COMPUTED_VALUE"""),1.0)</f>
        <v>1</v>
      </c>
      <c r="C4238" s="2">
        <f>IFERROR(__xludf.DUMMYFUNCTION("""COMPUTED_VALUE"""),564.0)</f>
        <v>564</v>
      </c>
      <c r="D4238" s="3">
        <f>IFERROR(__xludf.DUMMYFUNCTION("""COMPUTED_VALUE"""),261.0)</f>
        <v>261</v>
      </c>
      <c r="E4238" s="2"/>
      <c r="F4238" s="2"/>
    </row>
    <row r="4239">
      <c r="A4239" s="2">
        <f>IFERROR(__xludf.DUMMYFUNCTION("""COMPUTED_VALUE"""),112077.0)</f>
        <v>112077</v>
      </c>
      <c r="B4239" s="2">
        <f>IFERROR(__xludf.DUMMYFUNCTION("""COMPUTED_VALUE"""),0.0)</f>
        <v>0</v>
      </c>
      <c r="C4239" s="2">
        <f>IFERROR(__xludf.DUMMYFUNCTION("""COMPUTED_VALUE"""),221.0)</f>
        <v>221</v>
      </c>
      <c r="D4239" s="3">
        <f>IFERROR(__xludf.DUMMYFUNCTION("""COMPUTED_VALUE"""),153.0)</f>
        <v>153</v>
      </c>
      <c r="E4239" s="2"/>
      <c r="F4239" s="2"/>
    </row>
    <row r="4240">
      <c r="A4240" s="2">
        <f>IFERROR(__xludf.DUMMYFUNCTION("""COMPUTED_VALUE"""),115133.0)</f>
        <v>115133</v>
      </c>
      <c r="B4240" s="2">
        <f>IFERROR(__xludf.DUMMYFUNCTION("""COMPUTED_VALUE"""),1.0)</f>
        <v>1</v>
      </c>
      <c r="C4240" s="2">
        <f>IFERROR(__xludf.DUMMYFUNCTION("""COMPUTED_VALUE"""),840.0)</f>
        <v>840</v>
      </c>
      <c r="D4240" s="3">
        <f>IFERROR(__xludf.DUMMYFUNCTION("""COMPUTED_VALUE"""),326.0)</f>
        <v>326</v>
      </c>
      <c r="E4240" s="2"/>
      <c r="F4240" s="2"/>
    </row>
    <row r="4241">
      <c r="A4241" s="2">
        <f>IFERROR(__xludf.DUMMYFUNCTION("""COMPUTED_VALUE"""),30465.0)</f>
        <v>30465</v>
      </c>
      <c r="B4241" s="2">
        <f>IFERROR(__xludf.DUMMYFUNCTION("""COMPUTED_VALUE"""),1.0)</f>
        <v>1</v>
      </c>
      <c r="C4241" s="2">
        <f>IFERROR(__xludf.DUMMYFUNCTION("""COMPUTED_VALUE"""),115.0)</f>
        <v>115</v>
      </c>
      <c r="D4241" s="3">
        <f>IFERROR(__xludf.DUMMYFUNCTION("""COMPUTED_VALUE"""),6.0)</f>
        <v>6</v>
      </c>
      <c r="E4241" s="2"/>
      <c r="F4241" s="2"/>
    </row>
    <row r="4242">
      <c r="A4242" s="2">
        <f>IFERROR(__xludf.DUMMYFUNCTION("""COMPUTED_VALUE"""),87405.0)</f>
        <v>87405</v>
      </c>
      <c r="B4242" s="2">
        <f>IFERROR(__xludf.DUMMYFUNCTION("""COMPUTED_VALUE"""),1.0)</f>
        <v>1</v>
      </c>
      <c r="C4242" s="2">
        <f>IFERROR(__xludf.DUMMYFUNCTION("""COMPUTED_VALUE"""),434.0)</f>
        <v>434</v>
      </c>
      <c r="D4242" s="3">
        <f>IFERROR(__xludf.DUMMYFUNCTION("""COMPUTED_VALUE"""),29.0)</f>
        <v>29</v>
      </c>
      <c r="E4242" s="2"/>
      <c r="F4242" s="2"/>
    </row>
    <row r="4243">
      <c r="A4243" s="2">
        <f>IFERROR(__xludf.DUMMYFUNCTION("""COMPUTED_VALUE"""),77602.0)</f>
        <v>77602</v>
      </c>
      <c r="B4243" s="2">
        <f>IFERROR(__xludf.DUMMYFUNCTION("""COMPUTED_VALUE"""),0.0)</f>
        <v>0</v>
      </c>
      <c r="C4243" s="2">
        <f>IFERROR(__xludf.DUMMYFUNCTION("""COMPUTED_VALUE"""),422.0)</f>
        <v>422</v>
      </c>
      <c r="D4243" s="3">
        <f>IFERROR(__xludf.DUMMYFUNCTION("""COMPUTED_VALUE"""),164.0)</f>
        <v>164</v>
      </c>
      <c r="E4243" s="2"/>
      <c r="F4243" s="2"/>
    </row>
    <row r="4244">
      <c r="A4244" s="2">
        <f>IFERROR(__xludf.DUMMYFUNCTION("""COMPUTED_VALUE"""),107058.0)</f>
        <v>107058</v>
      </c>
      <c r="B4244" s="2">
        <f>IFERROR(__xludf.DUMMYFUNCTION("""COMPUTED_VALUE"""),1.0)</f>
        <v>1</v>
      </c>
      <c r="C4244" s="2">
        <f>IFERROR(__xludf.DUMMYFUNCTION("""COMPUTED_VALUE"""),664.0)</f>
        <v>664</v>
      </c>
      <c r="D4244" s="3">
        <f>IFERROR(__xludf.DUMMYFUNCTION("""COMPUTED_VALUE"""),156.0)</f>
        <v>156</v>
      </c>
      <c r="E4244" s="2"/>
      <c r="F4244" s="2"/>
    </row>
    <row r="4245">
      <c r="A4245" s="2">
        <f>IFERROR(__xludf.DUMMYFUNCTION("""COMPUTED_VALUE"""),5807.0)</f>
        <v>5807</v>
      </c>
      <c r="B4245" s="2">
        <f>IFERROR(__xludf.DUMMYFUNCTION("""COMPUTED_VALUE"""),0.0)</f>
        <v>0</v>
      </c>
      <c r="C4245" s="2">
        <f>IFERROR(__xludf.DUMMYFUNCTION("""COMPUTED_VALUE"""),916.0)</f>
        <v>916</v>
      </c>
      <c r="D4245" s="3">
        <f>IFERROR(__xludf.DUMMYFUNCTION("""COMPUTED_VALUE"""),90.0)</f>
        <v>90</v>
      </c>
      <c r="E4245" s="2"/>
      <c r="F4245" s="2"/>
    </row>
    <row r="4246">
      <c r="A4246" s="2">
        <f>IFERROR(__xludf.DUMMYFUNCTION("""COMPUTED_VALUE"""),87061.0)</f>
        <v>87061</v>
      </c>
      <c r="B4246" s="2">
        <f>IFERROR(__xludf.DUMMYFUNCTION("""COMPUTED_VALUE"""),0.0)</f>
        <v>0</v>
      </c>
      <c r="C4246" s="2">
        <f>IFERROR(__xludf.DUMMYFUNCTION("""COMPUTED_VALUE"""),374.0)</f>
        <v>374</v>
      </c>
      <c r="D4246" s="3">
        <f>IFERROR(__xludf.DUMMYFUNCTION("""COMPUTED_VALUE"""),101.0)</f>
        <v>101</v>
      </c>
      <c r="E4246" s="2"/>
      <c r="F4246" s="2"/>
    </row>
    <row r="4247">
      <c r="A4247" s="2">
        <f>IFERROR(__xludf.DUMMYFUNCTION("""COMPUTED_VALUE"""),108039.0)</f>
        <v>108039</v>
      </c>
      <c r="B4247" s="2">
        <f>IFERROR(__xludf.DUMMYFUNCTION("""COMPUTED_VALUE"""),1.0)</f>
        <v>1</v>
      </c>
      <c r="C4247" s="2">
        <f>IFERROR(__xludf.DUMMYFUNCTION("""COMPUTED_VALUE"""),508.0)</f>
        <v>508</v>
      </c>
      <c r="D4247" s="3">
        <f>IFERROR(__xludf.DUMMYFUNCTION("""COMPUTED_VALUE"""),158.0)</f>
        <v>158</v>
      </c>
      <c r="E4247" s="2"/>
      <c r="F4247" s="2"/>
    </row>
    <row r="4248">
      <c r="A4248" s="2">
        <f>IFERROR(__xludf.DUMMYFUNCTION("""COMPUTED_VALUE"""),90837.0)</f>
        <v>90837</v>
      </c>
      <c r="B4248" s="2">
        <f>IFERROR(__xludf.DUMMYFUNCTION("""COMPUTED_VALUE"""),1.0)</f>
        <v>1</v>
      </c>
      <c r="C4248" s="2">
        <f>IFERROR(__xludf.DUMMYFUNCTION("""COMPUTED_VALUE"""),676.0)</f>
        <v>676</v>
      </c>
      <c r="D4248" s="3">
        <f>IFERROR(__xludf.DUMMYFUNCTION("""COMPUTED_VALUE"""),286.0)</f>
        <v>286</v>
      </c>
      <c r="E4248" s="2"/>
      <c r="F4248" s="2"/>
    </row>
    <row r="4249">
      <c r="A4249" s="2">
        <f>IFERROR(__xludf.DUMMYFUNCTION("""COMPUTED_VALUE"""),88461.0)</f>
        <v>88461</v>
      </c>
      <c r="B4249" s="2">
        <f>IFERROR(__xludf.DUMMYFUNCTION("""COMPUTED_VALUE"""),1.0)</f>
        <v>1</v>
      </c>
      <c r="C4249" s="2">
        <f>IFERROR(__xludf.DUMMYFUNCTION("""COMPUTED_VALUE"""),830.0)</f>
        <v>830</v>
      </c>
      <c r="D4249" s="3">
        <f>IFERROR(__xludf.DUMMYFUNCTION("""COMPUTED_VALUE"""),503.0)</f>
        <v>503</v>
      </c>
      <c r="E4249" s="2"/>
      <c r="F4249" s="2"/>
    </row>
    <row r="4250">
      <c r="A4250" s="2">
        <f>IFERROR(__xludf.DUMMYFUNCTION("""COMPUTED_VALUE"""),81504.0)</f>
        <v>81504</v>
      </c>
      <c r="B4250" s="2">
        <f>IFERROR(__xludf.DUMMYFUNCTION("""COMPUTED_VALUE"""),1.0)</f>
        <v>1</v>
      </c>
      <c r="C4250" s="2">
        <f>IFERROR(__xludf.DUMMYFUNCTION("""COMPUTED_VALUE"""),887.0)</f>
        <v>887</v>
      </c>
      <c r="D4250" s="3">
        <f>IFERROR(__xludf.DUMMYFUNCTION("""COMPUTED_VALUE"""),33.0)</f>
        <v>33</v>
      </c>
      <c r="E4250" s="2"/>
      <c r="F4250" s="2"/>
    </row>
    <row r="4251">
      <c r="A4251" s="2">
        <f>IFERROR(__xludf.DUMMYFUNCTION("""COMPUTED_VALUE"""),12027.0)</f>
        <v>12027</v>
      </c>
      <c r="B4251" s="2">
        <f>IFERROR(__xludf.DUMMYFUNCTION("""COMPUTED_VALUE"""),0.0)</f>
        <v>0</v>
      </c>
      <c r="C4251" s="2">
        <f>IFERROR(__xludf.DUMMYFUNCTION("""COMPUTED_VALUE"""),578.0)</f>
        <v>578</v>
      </c>
      <c r="D4251" s="3">
        <f>IFERROR(__xludf.DUMMYFUNCTION("""COMPUTED_VALUE"""),210.0)</f>
        <v>210</v>
      </c>
      <c r="E4251" s="2"/>
      <c r="F4251" s="2"/>
    </row>
    <row r="4252">
      <c r="A4252" s="2">
        <f>IFERROR(__xludf.DUMMYFUNCTION("""COMPUTED_VALUE"""),8883.0)</f>
        <v>8883</v>
      </c>
      <c r="B4252" s="2">
        <f>IFERROR(__xludf.DUMMYFUNCTION("""COMPUTED_VALUE"""),0.0)</f>
        <v>0</v>
      </c>
      <c r="C4252" s="2">
        <f>IFERROR(__xludf.DUMMYFUNCTION("""COMPUTED_VALUE"""),202.0)</f>
        <v>202</v>
      </c>
      <c r="D4252" s="3">
        <f>IFERROR(__xludf.DUMMYFUNCTION("""COMPUTED_VALUE"""),22.0)</f>
        <v>22</v>
      </c>
      <c r="E4252" s="2"/>
      <c r="F4252" s="2"/>
    </row>
    <row r="4253">
      <c r="A4253" s="2">
        <f>IFERROR(__xludf.DUMMYFUNCTION("""COMPUTED_VALUE"""),112082.0)</f>
        <v>112082</v>
      </c>
      <c r="B4253" s="2">
        <f>IFERROR(__xludf.DUMMYFUNCTION("""COMPUTED_VALUE"""),0.0)</f>
        <v>0</v>
      </c>
      <c r="C4253" s="2">
        <f>IFERROR(__xludf.DUMMYFUNCTION("""COMPUTED_VALUE"""),657.0)</f>
        <v>657</v>
      </c>
      <c r="D4253" s="3">
        <f>IFERROR(__xludf.DUMMYFUNCTION("""COMPUTED_VALUE"""),313.0)</f>
        <v>313</v>
      </c>
      <c r="E4253" s="2"/>
      <c r="F4253" s="2"/>
    </row>
    <row r="4254">
      <c r="A4254" s="2">
        <f>IFERROR(__xludf.DUMMYFUNCTION("""COMPUTED_VALUE"""),114961.0)</f>
        <v>114961</v>
      </c>
      <c r="B4254" s="2">
        <f>IFERROR(__xludf.DUMMYFUNCTION("""COMPUTED_VALUE"""),1.0)</f>
        <v>1</v>
      </c>
      <c r="C4254" s="2">
        <f>IFERROR(__xludf.DUMMYFUNCTION("""COMPUTED_VALUE"""),976.0)</f>
        <v>976</v>
      </c>
      <c r="D4254" s="3">
        <f>IFERROR(__xludf.DUMMYFUNCTION("""COMPUTED_VALUE"""),505.0)</f>
        <v>505</v>
      </c>
      <c r="E4254" s="2"/>
      <c r="F4254" s="2"/>
    </row>
    <row r="4255">
      <c r="A4255" s="2">
        <f>IFERROR(__xludf.DUMMYFUNCTION("""COMPUTED_VALUE"""),112078.0)</f>
        <v>112078</v>
      </c>
      <c r="B4255" s="2">
        <f>IFERROR(__xludf.DUMMYFUNCTION("""COMPUTED_VALUE"""),0.0)</f>
        <v>0</v>
      </c>
      <c r="C4255" s="2">
        <f>IFERROR(__xludf.DUMMYFUNCTION("""COMPUTED_VALUE"""),444.0)</f>
        <v>444</v>
      </c>
      <c r="D4255" s="3">
        <f>IFERROR(__xludf.DUMMYFUNCTION("""COMPUTED_VALUE"""),108.0)</f>
        <v>108</v>
      </c>
      <c r="E4255" s="2"/>
      <c r="F4255" s="2"/>
    </row>
    <row r="4256">
      <c r="A4256" s="2">
        <f>IFERROR(__xludf.DUMMYFUNCTION("""COMPUTED_VALUE"""),12025.0)</f>
        <v>12025</v>
      </c>
      <c r="B4256" s="2">
        <f>IFERROR(__xludf.DUMMYFUNCTION("""COMPUTED_VALUE"""),0.0)</f>
        <v>0</v>
      </c>
      <c r="C4256" s="2">
        <f>IFERROR(__xludf.DUMMYFUNCTION("""COMPUTED_VALUE"""),594.0)</f>
        <v>594</v>
      </c>
      <c r="D4256" s="3">
        <f>IFERROR(__xludf.DUMMYFUNCTION("""COMPUTED_VALUE"""),213.0)</f>
        <v>213</v>
      </c>
      <c r="E4256" s="2"/>
      <c r="F4256" s="2"/>
    </row>
    <row r="4257">
      <c r="A4257" s="2">
        <f>IFERROR(__xludf.DUMMYFUNCTION("""COMPUTED_VALUE"""),11992.0)</f>
        <v>11992</v>
      </c>
      <c r="B4257" s="2">
        <f>IFERROR(__xludf.DUMMYFUNCTION("""COMPUTED_VALUE"""),1.0)</f>
        <v>1</v>
      </c>
      <c r="C4257" s="2">
        <f>IFERROR(__xludf.DUMMYFUNCTION("""COMPUTED_VALUE"""),808.0)</f>
        <v>808</v>
      </c>
      <c r="D4257" s="3">
        <f>IFERROR(__xludf.DUMMYFUNCTION("""COMPUTED_VALUE"""),403.0)</f>
        <v>403</v>
      </c>
      <c r="E4257" s="2"/>
      <c r="F4257" s="2"/>
    </row>
    <row r="4258">
      <c r="A4258" s="2">
        <f>IFERROR(__xludf.DUMMYFUNCTION("""COMPUTED_VALUE"""),188850.0)</f>
        <v>188850</v>
      </c>
      <c r="B4258" s="2">
        <f>IFERROR(__xludf.DUMMYFUNCTION("""COMPUTED_VALUE"""),0.0)</f>
        <v>0</v>
      </c>
      <c r="C4258" s="2">
        <f>IFERROR(__xludf.DUMMYFUNCTION("""COMPUTED_VALUE"""),234.0)</f>
        <v>234</v>
      </c>
      <c r="D4258" s="3">
        <f>IFERROR(__xludf.DUMMYFUNCTION("""COMPUTED_VALUE"""),127.0)</f>
        <v>127</v>
      </c>
      <c r="E4258" s="2"/>
      <c r="F4258" s="2"/>
    </row>
    <row r="4259">
      <c r="A4259" s="2">
        <f>IFERROR(__xludf.DUMMYFUNCTION("""COMPUTED_VALUE"""),69296.0)</f>
        <v>69296</v>
      </c>
      <c r="B4259" s="2">
        <f>IFERROR(__xludf.DUMMYFUNCTION("""COMPUTED_VALUE"""),0.0)</f>
        <v>0</v>
      </c>
      <c r="C4259" s="2">
        <f>IFERROR(__xludf.DUMMYFUNCTION("""COMPUTED_VALUE"""),62.0)</f>
        <v>62</v>
      </c>
      <c r="D4259" s="3">
        <f>IFERROR(__xludf.DUMMYFUNCTION("""COMPUTED_VALUE"""),33.0)</f>
        <v>33</v>
      </c>
      <c r="E4259" s="2"/>
      <c r="F4259" s="2"/>
    </row>
    <row r="4260">
      <c r="A4260" s="2">
        <f>IFERROR(__xludf.DUMMYFUNCTION("""COMPUTED_VALUE"""),115141.0)</f>
        <v>115141</v>
      </c>
      <c r="B4260" s="2">
        <f>IFERROR(__xludf.DUMMYFUNCTION("""COMPUTED_VALUE"""),0.0)</f>
        <v>0</v>
      </c>
      <c r="C4260" s="2">
        <f>IFERROR(__xludf.DUMMYFUNCTION("""COMPUTED_VALUE"""),308.0)</f>
        <v>308</v>
      </c>
      <c r="D4260" s="3">
        <f>IFERROR(__xludf.DUMMYFUNCTION("""COMPUTED_VALUE"""),165.0)</f>
        <v>165</v>
      </c>
      <c r="E4260" s="2"/>
      <c r="F4260" s="2"/>
    </row>
    <row r="4261">
      <c r="A4261" s="2">
        <f>IFERROR(__xludf.DUMMYFUNCTION("""COMPUTED_VALUE"""),112081.0)</f>
        <v>112081</v>
      </c>
      <c r="B4261" s="2">
        <f>IFERROR(__xludf.DUMMYFUNCTION("""COMPUTED_VALUE"""),1.0)</f>
        <v>1</v>
      </c>
      <c r="C4261" s="2">
        <f>IFERROR(__xludf.DUMMYFUNCTION("""COMPUTED_VALUE"""),584.0)</f>
        <v>584</v>
      </c>
      <c r="D4261" s="3">
        <f>IFERROR(__xludf.DUMMYFUNCTION("""COMPUTED_VALUE"""),369.0)</f>
        <v>369</v>
      </c>
      <c r="E4261" s="2"/>
      <c r="F4261" s="2"/>
    </row>
    <row r="4262">
      <c r="A4262" s="2">
        <f>IFERROR(__xludf.DUMMYFUNCTION("""COMPUTED_VALUE"""),77611.0)</f>
        <v>77611</v>
      </c>
      <c r="B4262" s="2">
        <f>IFERROR(__xludf.DUMMYFUNCTION("""COMPUTED_VALUE"""),1.0)</f>
        <v>1</v>
      </c>
      <c r="C4262" s="2">
        <f>IFERROR(__xludf.DUMMYFUNCTION("""COMPUTED_VALUE"""),683.0)</f>
        <v>683</v>
      </c>
      <c r="D4262" s="3">
        <f>IFERROR(__xludf.DUMMYFUNCTION("""COMPUTED_VALUE"""),326.0)</f>
        <v>326</v>
      </c>
      <c r="E4262" s="2"/>
      <c r="F4262" s="2"/>
    </row>
    <row r="4263">
      <c r="A4263" s="2">
        <f>IFERROR(__xludf.DUMMYFUNCTION("""COMPUTED_VALUE"""),111722.0)</f>
        <v>111722</v>
      </c>
      <c r="B4263" s="2">
        <f>IFERROR(__xludf.DUMMYFUNCTION("""COMPUTED_VALUE"""),1.0)</f>
        <v>1</v>
      </c>
      <c r="C4263" s="2">
        <f>IFERROR(__xludf.DUMMYFUNCTION("""COMPUTED_VALUE"""),186.0)</f>
        <v>186</v>
      </c>
      <c r="D4263" s="3">
        <f>IFERROR(__xludf.DUMMYFUNCTION("""COMPUTED_VALUE"""),100.0)</f>
        <v>100</v>
      </c>
      <c r="E4263" s="2"/>
      <c r="F4263" s="2"/>
    </row>
    <row r="4264">
      <c r="A4264" s="2">
        <f>IFERROR(__xludf.DUMMYFUNCTION("""COMPUTED_VALUE"""),81503.0)</f>
        <v>81503</v>
      </c>
      <c r="B4264" s="2">
        <f>IFERROR(__xludf.DUMMYFUNCTION("""COMPUTED_VALUE"""),0.0)</f>
        <v>0</v>
      </c>
      <c r="C4264" s="2">
        <f>IFERROR(__xludf.DUMMYFUNCTION("""COMPUTED_VALUE"""),475.0)</f>
        <v>475</v>
      </c>
      <c r="D4264" s="3">
        <f>IFERROR(__xludf.DUMMYFUNCTION("""COMPUTED_VALUE"""),436.0)</f>
        <v>436</v>
      </c>
      <c r="E4264" s="2"/>
      <c r="F4264" s="2"/>
    </row>
    <row r="4265">
      <c r="A4265" s="2">
        <f>IFERROR(__xludf.DUMMYFUNCTION("""COMPUTED_VALUE"""),117559.0)</f>
        <v>117559</v>
      </c>
      <c r="B4265" s="2">
        <f>IFERROR(__xludf.DUMMYFUNCTION("""COMPUTED_VALUE"""),1.0)</f>
        <v>1</v>
      </c>
      <c r="C4265" s="2">
        <f>IFERROR(__xludf.DUMMYFUNCTION("""COMPUTED_VALUE"""),245.0)</f>
        <v>245</v>
      </c>
      <c r="D4265" s="3">
        <f>IFERROR(__xludf.DUMMYFUNCTION("""COMPUTED_VALUE"""),79.0)</f>
        <v>79</v>
      </c>
      <c r="E4265" s="2"/>
      <c r="F4265" s="2"/>
    </row>
    <row r="4266">
      <c r="A4266" s="2">
        <f>IFERROR(__xludf.DUMMYFUNCTION("""COMPUTED_VALUE"""),110230.0)</f>
        <v>110230</v>
      </c>
      <c r="B4266" s="2">
        <f>IFERROR(__xludf.DUMMYFUNCTION("""COMPUTED_VALUE"""),1.0)</f>
        <v>1</v>
      </c>
      <c r="C4266" s="2">
        <f>IFERROR(__xludf.DUMMYFUNCTION("""COMPUTED_VALUE"""),399.0)</f>
        <v>399</v>
      </c>
      <c r="D4266" s="3">
        <f>IFERROR(__xludf.DUMMYFUNCTION("""COMPUTED_VALUE"""),316.0)</f>
        <v>316</v>
      </c>
      <c r="E4266" s="2"/>
      <c r="F4266" s="2"/>
    </row>
    <row r="4267">
      <c r="A4267" s="2">
        <f>IFERROR(__xludf.DUMMYFUNCTION("""COMPUTED_VALUE"""),122854.0)</f>
        <v>122854</v>
      </c>
      <c r="B4267" s="2">
        <f>IFERROR(__xludf.DUMMYFUNCTION("""COMPUTED_VALUE"""),0.0)</f>
        <v>0</v>
      </c>
      <c r="C4267" s="2">
        <f>IFERROR(__xludf.DUMMYFUNCTION("""COMPUTED_VALUE"""),370.0)</f>
        <v>370</v>
      </c>
      <c r="D4267" s="3">
        <f>IFERROR(__xludf.DUMMYFUNCTION("""COMPUTED_VALUE"""),36.0)</f>
        <v>36</v>
      </c>
      <c r="E4267" s="2"/>
      <c r="F4267" s="2"/>
    </row>
    <row r="4268">
      <c r="A4268" s="2">
        <f>IFERROR(__xludf.DUMMYFUNCTION("""COMPUTED_VALUE"""),95371.0)</f>
        <v>95371</v>
      </c>
      <c r="B4268" s="2">
        <f>IFERROR(__xludf.DUMMYFUNCTION("""COMPUTED_VALUE"""),0.0)</f>
        <v>0</v>
      </c>
      <c r="C4268" s="2">
        <f>IFERROR(__xludf.DUMMYFUNCTION("""COMPUTED_VALUE"""),721.0)</f>
        <v>721</v>
      </c>
      <c r="D4268" s="3">
        <f>IFERROR(__xludf.DUMMYFUNCTION("""COMPUTED_VALUE"""),670.0)</f>
        <v>670</v>
      </c>
      <c r="E4268" s="2"/>
      <c r="F4268" s="2"/>
    </row>
    <row r="4269">
      <c r="A4269" s="2">
        <f>IFERROR(__xludf.DUMMYFUNCTION("""COMPUTED_VALUE"""),101190.0)</f>
        <v>101190</v>
      </c>
      <c r="B4269" s="2">
        <f>IFERROR(__xludf.DUMMYFUNCTION("""COMPUTED_VALUE"""),1.0)</f>
        <v>1</v>
      </c>
      <c r="C4269" s="2">
        <f>IFERROR(__xludf.DUMMYFUNCTION("""COMPUTED_VALUE"""),460.0)</f>
        <v>460</v>
      </c>
      <c r="D4269" s="3">
        <f>IFERROR(__xludf.DUMMYFUNCTION("""COMPUTED_VALUE"""),206.0)</f>
        <v>206</v>
      </c>
      <c r="E4269" s="2"/>
      <c r="F4269" s="2"/>
    </row>
    <row r="4270">
      <c r="A4270" s="2">
        <f>IFERROR(__xludf.DUMMYFUNCTION("""COMPUTED_VALUE"""),121532.0)</f>
        <v>121532</v>
      </c>
      <c r="B4270" s="2">
        <f>IFERROR(__xludf.DUMMYFUNCTION("""COMPUTED_VALUE"""),1.0)</f>
        <v>1</v>
      </c>
      <c r="C4270" s="2">
        <f>IFERROR(__xludf.DUMMYFUNCTION("""COMPUTED_VALUE"""),848.0)</f>
        <v>848</v>
      </c>
      <c r="D4270" s="3">
        <f>IFERROR(__xludf.DUMMYFUNCTION("""COMPUTED_VALUE"""),843.0)</f>
        <v>843</v>
      </c>
      <c r="E4270" s="2"/>
      <c r="F4270" s="2"/>
    </row>
    <row r="4271">
      <c r="A4271" s="2">
        <f>IFERROR(__xludf.DUMMYFUNCTION("""COMPUTED_VALUE"""),6614.0)</f>
        <v>6614</v>
      </c>
      <c r="B4271" s="2">
        <f>IFERROR(__xludf.DUMMYFUNCTION("""COMPUTED_VALUE"""),0.0)</f>
        <v>0</v>
      </c>
      <c r="C4271" s="2">
        <f>IFERROR(__xludf.DUMMYFUNCTION("""COMPUTED_VALUE"""),877.0)</f>
        <v>877</v>
      </c>
      <c r="D4271" s="3">
        <f>IFERROR(__xludf.DUMMYFUNCTION("""COMPUTED_VALUE"""),721.0)</f>
        <v>721</v>
      </c>
      <c r="E4271" s="2"/>
      <c r="F4271" s="2"/>
    </row>
    <row r="4272">
      <c r="A4272" s="2">
        <f>IFERROR(__xludf.DUMMYFUNCTION("""COMPUTED_VALUE"""),6618.0)</f>
        <v>6618</v>
      </c>
      <c r="B4272" s="2">
        <f>IFERROR(__xludf.DUMMYFUNCTION("""COMPUTED_VALUE"""),1.0)</f>
        <v>1</v>
      </c>
      <c r="C4272" s="2">
        <f>IFERROR(__xludf.DUMMYFUNCTION("""COMPUTED_VALUE"""),43.0)</f>
        <v>43</v>
      </c>
      <c r="D4272" s="3">
        <f>IFERROR(__xludf.DUMMYFUNCTION("""COMPUTED_VALUE"""),36.0)</f>
        <v>36</v>
      </c>
      <c r="E4272" s="2"/>
      <c r="F4272" s="2"/>
    </row>
    <row r="4273">
      <c r="A4273" s="2">
        <f>IFERROR(__xludf.DUMMYFUNCTION("""COMPUTED_VALUE"""),96096.0)</f>
        <v>96096</v>
      </c>
      <c r="B4273" s="2">
        <f>IFERROR(__xludf.DUMMYFUNCTION("""COMPUTED_VALUE"""),0.0)</f>
        <v>0</v>
      </c>
      <c r="C4273" s="2">
        <f>IFERROR(__xludf.DUMMYFUNCTION("""COMPUTED_VALUE"""),257.0)</f>
        <v>257</v>
      </c>
      <c r="D4273" s="3">
        <f>IFERROR(__xludf.DUMMYFUNCTION("""COMPUTED_VALUE"""),69.0)</f>
        <v>69</v>
      </c>
      <c r="E4273" s="2"/>
      <c r="F4273" s="2"/>
    </row>
    <row r="4274">
      <c r="A4274" s="2">
        <f>IFERROR(__xludf.DUMMYFUNCTION("""COMPUTED_VALUE"""),105977.0)</f>
        <v>105977</v>
      </c>
      <c r="B4274" s="2">
        <f>IFERROR(__xludf.DUMMYFUNCTION("""COMPUTED_VALUE"""),0.0)</f>
        <v>0</v>
      </c>
      <c r="C4274" s="2">
        <f>IFERROR(__xludf.DUMMYFUNCTION("""COMPUTED_VALUE"""),862.0)</f>
        <v>862</v>
      </c>
      <c r="D4274" s="3">
        <f>IFERROR(__xludf.DUMMYFUNCTION("""COMPUTED_VALUE"""),724.0)</f>
        <v>724</v>
      </c>
      <c r="E4274" s="2"/>
      <c r="F4274" s="2"/>
    </row>
    <row r="4275">
      <c r="A4275" s="2">
        <f>IFERROR(__xludf.DUMMYFUNCTION("""COMPUTED_VALUE"""),105901.0)</f>
        <v>105901</v>
      </c>
      <c r="B4275" s="2">
        <f>IFERROR(__xludf.DUMMYFUNCTION("""COMPUTED_VALUE"""),0.0)</f>
        <v>0</v>
      </c>
      <c r="C4275" s="2">
        <f>IFERROR(__xludf.DUMMYFUNCTION("""COMPUTED_VALUE"""),425.0)</f>
        <v>425</v>
      </c>
      <c r="D4275" s="3">
        <f>IFERROR(__xludf.DUMMYFUNCTION("""COMPUTED_VALUE"""),336.0)</f>
        <v>336</v>
      </c>
      <c r="E4275" s="2"/>
      <c r="F4275" s="2"/>
    </row>
    <row r="4276">
      <c r="A4276" s="2">
        <f>IFERROR(__xludf.DUMMYFUNCTION("""COMPUTED_VALUE"""),180823.0)</f>
        <v>180823</v>
      </c>
      <c r="B4276" s="2">
        <f>IFERROR(__xludf.DUMMYFUNCTION("""COMPUTED_VALUE"""),1.0)</f>
        <v>1</v>
      </c>
      <c r="C4276" s="2">
        <f>IFERROR(__xludf.DUMMYFUNCTION("""COMPUTED_VALUE"""),834.0)</f>
        <v>834</v>
      </c>
      <c r="D4276" s="3">
        <f>IFERROR(__xludf.DUMMYFUNCTION("""COMPUTED_VALUE"""),113.0)</f>
        <v>113</v>
      </c>
      <c r="E4276" s="2"/>
      <c r="F4276" s="2"/>
    </row>
    <row r="4277">
      <c r="A4277" s="2">
        <f>IFERROR(__xludf.DUMMYFUNCTION("""COMPUTED_VALUE"""),118979.0)</f>
        <v>118979</v>
      </c>
      <c r="B4277" s="2">
        <f>IFERROR(__xludf.DUMMYFUNCTION("""COMPUTED_VALUE"""),0.0)</f>
        <v>0</v>
      </c>
      <c r="C4277" s="2">
        <f>IFERROR(__xludf.DUMMYFUNCTION("""COMPUTED_VALUE"""),650.0)</f>
        <v>650</v>
      </c>
      <c r="D4277" s="3">
        <f>IFERROR(__xludf.DUMMYFUNCTION("""COMPUTED_VALUE"""),379.0)</f>
        <v>379</v>
      </c>
      <c r="E4277" s="2"/>
      <c r="F4277" s="2"/>
    </row>
    <row r="4278">
      <c r="A4278" s="2">
        <f>IFERROR(__xludf.DUMMYFUNCTION("""COMPUTED_VALUE"""),111502.0)</f>
        <v>111502</v>
      </c>
      <c r="B4278" s="2">
        <f>IFERROR(__xludf.DUMMYFUNCTION("""COMPUTED_VALUE"""),1.0)</f>
        <v>1</v>
      </c>
      <c r="C4278" s="2">
        <f>IFERROR(__xludf.DUMMYFUNCTION("""COMPUTED_VALUE"""),381.0)</f>
        <v>381</v>
      </c>
      <c r="D4278" s="3">
        <f>IFERROR(__xludf.DUMMYFUNCTION("""COMPUTED_VALUE"""),64.0)</f>
        <v>64</v>
      </c>
      <c r="E4278" s="2"/>
      <c r="F4278" s="2"/>
    </row>
    <row r="4279">
      <c r="A4279" s="2">
        <f>IFERROR(__xludf.DUMMYFUNCTION("""COMPUTED_VALUE"""),180822.0)</f>
        <v>180822</v>
      </c>
      <c r="B4279" s="2">
        <f>IFERROR(__xludf.DUMMYFUNCTION("""COMPUTED_VALUE"""),0.0)</f>
        <v>0</v>
      </c>
      <c r="C4279" s="2">
        <f>IFERROR(__xludf.DUMMYFUNCTION("""COMPUTED_VALUE"""),209.0)</f>
        <v>209</v>
      </c>
      <c r="D4279" s="3">
        <f>IFERROR(__xludf.DUMMYFUNCTION("""COMPUTED_VALUE"""),198.0)</f>
        <v>198</v>
      </c>
      <c r="E4279" s="2"/>
      <c r="F4279" s="2"/>
    </row>
    <row r="4280">
      <c r="A4280" s="2">
        <f>IFERROR(__xludf.DUMMYFUNCTION("""COMPUTED_VALUE"""),101196.0)</f>
        <v>101196</v>
      </c>
      <c r="B4280" s="2">
        <f>IFERROR(__xludf.DUMMYFUNCTION("""COMPUTED_VALUE"""),1.0)</f>
        <v>1</v>
      </c>
      <c r="C4280" s="2">
        <f>IFERROR(__xludf.DUMMYFUNCTION("""COMPUTED_VALUE"""),839.0)</f>
        <v>839</v>
      </c>
      <c r="D4280" s="3">
        <f>IFERROR(__xludf.DUMMYFUNCTION("""COMPUTED_VALUE"""),709.0)</f>
        <v>709</v>
      </c>
      <c r="E4280" s="2"/>
      <c r="F4280" s="2"/>
    </row>
    <row r="4281">
      <c r="A4281" s="2">
        <f>IFERROR(__xludf.DUMMYFUNCTION("""COMPUTED_VALUE"""),180824.0)</f>
        <v>180824</v>
      </c>
      <c r="B4281" s="2">
        <f>IFERROR(__xludf.DUMMYFUNCTION("""COMPUTED_VALUE"""),0.0)</f>
        <v>0</v>
      </c>
      <c r="C4281" s="2">
        <f>IFERROR(__xludf.DUMMYFUNCTION("""COMPUTED_VALUE"""),434.0)</f>
        <v>434</v>
      </c>
      <c r="D4281" s="3">
        <f>IFERROR(__xludf.DUMMYFUNCTION("""COMPUTED_VALUE"""),342.0)</f>
        <v>342</v>
      </c>
      <c r="E4281" s="2"/>
      <c r="F4281" s="2"/>
    </row>
    <row r="4282">
      <c r="A4282" s="2">
        <f>IFERROR(__xludf.DUMMYFUNCTION("""COMPUTED_VALUE"""),105905.0)</f>
        <v>105905</v>
      </c>
      <c r="B4282" s="2">
        <f>IFERROR(__xludf.DUMMYFUNCTION("""COMPUTED_VALUE"""),1.0)</f>
        <v>1</v>
      </c>
      <c r="C4282" s="2">
        <f>IFERROR(__xludf.DUMMYFUNCTION("""COMPUTED_VALUE"""),277.0)</f>
        <v>277</v>
      </c>
      <c r="D4282" s="3">
        <f>IFERROR(__xludf.DUMMYFUNCTION("""COMPUTED_VALUE"""),132.0)</f>
        <v>132</v>
      </c>
      <c r="E4282" s="2"/>
      <c r="F4282" s="2"/>
    </row>
    <row r="4283">
      <c r="A4283" s="2">
        <f>IFERROR(__xludf.DUMMYFUNCTION("""COMPUTED_VALUE"""),101194.0)</f>
        <v>101194</v>
      </c>
      <c r="B4283" s="2">
        <f>IFERROR(__xludf.DUMMYFUNCTION("""COMPUTED_VALUE"""),0.0)</f>
        <v>0</v>
      </c>
      <c r="C4283" s="2">
        <f>IFERROR(__xludf.DUMMYFUNCTION("""COMPUTED_VALUE"""),362.0)</f>
        <v>362</v>
      </c>
      <c r="D4283" s="3">
        <f>IFERROR(__xludf.DUMMYFUNCTION("""COMPUTED_VALUE"""),267.0)</f>
        <v>267</v>
      </c>
      <c r="E4283" s="2"/>
      <c r="F4283" s="2"/>
    </row>
    <row r="4284">
      <c r="A4284" s="2">
        <f>IFERROR(__xludf.DUMMYFUNCTION("""COMPUTED_VALUE"""),113719.0)</f>
        <v>113719</v>
      </c>
      <c r="B4284" s="2">
        <f>IFERROR(__xludf.DUMMYFUNCTION("""COMPUTED_VALUE"""),0.0)</f>
        <v>0</v>
      </c>
      <c r="C4284" s="2">
        <f>IFERROR(__xludf.DUMMYFUNCTION("""COMPUTED_VALUE"""),226.0)</f>
        <v>226</v>
      </c>
      <c r="D4284" s="3">
        <f>IFERROR(__xludf.DUMMYFUNCTION("""COMPUTED_VALUE"""),53.0)</f>
        <v>53</v>
      </c>
      <c r="E4284" s="2"/>
      <c r="F4284" s="2"/>
    </row>
    <row r="4285">
      <c r="A4285" s="2">
        <f>IFERROR(__xludf.DUMMYFUNCTION("""COMPUTED_VALUE"""),111330.0)</f>
        <v>111330</v>
      </c>
      <c r="B4285" s="2">
        <f>IFERROR(__xludf.DUMMYFUNCTION("""COMPUTED_VALUE"""),0.0)</f>
        <v>0</v>
      </c>
      <c r="C4285" s="2">
        <f>IFERROR(__xludf.DUMMYFUNCTION("""COMPUTED_VALUE"""),203.0)</f>
        <v>203</v>
      </c>
      <c r="D4285" s="3">
        <f>IFERROR(__xludf.DUMMYFUNCTION("""COMPUTED_VALUE"""),32.0)</f>
        <v>32</v>
      </c>
      <c r="E4285" s="2"/>
      <c r="F4285" s="2"/>
    </row>
    <row r="4286">
      <c r="A4286" s="2">
        <f>IFERROR(__xludf.DUMMYFUNCTION("""COMPUTED_VALUE"""),102089.0)</f>
        <v>102089</v>
      </c>
      <c r="B4286" s="2">
        <f>IFERROR(__xludf.DUMMYFUNCTION("""COMPUTED_VALUE"""),0.0)</f>
        <v>0</v>
      </c>
      <c r="C4286" s="2">
        <f>IFERROR(__xludf.DUMMYFUNCTION("""COMPUTED_VALUE"""),589.0)</f>
        <v>589</v>
      </c>
      <c r="D4286" s="3">
        <f>IFERROR(__xludf.DUMMYFUNCTION("""COMPUTED_VALUE"""),583.0)</f>
        <v>583</v>
      </c>
      <c r="E4286" s="2"/>
      <c r="F4286" s="2"/>
    </row>
    <row r="4287">
      <c r="A4287" s="2">
        <f>IFERROR(__xludf.DUMMYFUNCTION("""COMPUTED_VALUE"""),116867.0)</f>
        <v>116867</v>
      </c>
      <c r="B4287" s="2">
        <f>IFERROR(__xludf.DUMMYFUNCTION("""COMPUTED_VALUE"""),1.0)</f>
        <v>1</v>
      </c>
      <c r="C4287" s="2">
        <f>IFERROR(__xludf.DUMMYFUNCTION("""COMPUTED_VALUE"""),844.0)</f>
        <v>844</v>
      </c>
      <c r="D4287" s="3">
        <f>IFERROR(__xludf.DUMMYFUNCTION("""COMPUTED_VALUE"""),387.0)</f>
        <v>387</v>
      </c>
      <c r="E4287" s="2"/>
      <c r="F4287" s="2"/>
    </row>
    <row r="4288">
      <c r="A4288" s="2">
        <f>IFERROR(__xludf.DUMMYFUNCTION("""COMPUTED_VALUE"""),150297.0)</f>
        <v>150297</v>
      </c>
      <c r="B4288" s="2">
        <f>IFERROR(__xludf.DUMMYFUNCTION("""COMPUTED_VALUE"""),0.0)</f>
        <v>0</v>
      </c>
      <c r="C4288" s="2">
        <f>IFERROR(__xludf.DUMMYFUNCTION("""COMPUTED_VALUE"""),418.0)</f>
        <v>418</v>
      </c>
      <c r="D4288" s="3">
        <f>IFERROR(__xludf.DUMMYFUNCTION("""COMPUTED_VALUE"""),89.0)</f>
        <v>89</v>
      </c>
      <c r="E4288" s="2"/>
      <c r="F4288" s="2"/>
    </row>
    <row r="4289">
      <c r="A4289" s="2">
        <f>IFERROR(__xludf.DUMMYFUNCTION("""COMPUTED_VALUE"""),23628.0)</f>
        <v>23628</v>
      </c>
      <c r="B4289" s="2">
        <f>IFERROR(__xludf.DUMMYFUNCTION("""COMPUTED_VALUE"""),0.0)</f>
        <v>0</v>
      </c>
      <c r="C4289" s="2">
        <f>IFERROR(__xludf.DUMMYFUNCTION("""COMPUTED_VALUE"""),672.0)</f>
        <v>672</v>
      </c>
      <c r="D4289" s="3">
        <f>IFERROR(__xludf.DUMMYFUNCTION("""COMPUTED_VALUE"""),75.0)</f>
        <v>75</v>
      </c>
      <c r="E4289" s="2"/>
      <c r="F4289" s="2"/>
    </row>
    <row r="4290">
      <c r="A4290" s="2">
        <f>IFERROR(__xludf.DUMMYFUNCTION("""COMPUTED_VALUE"""),120369.0)</f>
        <v>120369</v>
      </c>
      <c r="B4290" s="2">
        <f>IFERROR(__xludf.DUMMYFUNCTION("""COMPUTED_VALUE"""),0.0)</f>
        <v>0</v>
      </c>
      <c r="C4290" s="2">
        <f>IFERROR(__xludf.DUMMYFUNCTION("""COMPUTED_VALUE"""),846.0)</f>
        <v>846</v>
      </c>
      <c r="D4290" s="3">
        <f>IFERROR(__xludf.DUMMYFUNCTION("""COMPUTED_VALUE"""),63.0)</f>
        <v>63</v>
      </c>
      <c r="E4290" s="2"/>
      <c r="F4290" s="2"/>
    </row>
    <row r="4291">
      <c r="A4291" s="2">
        <f>IFERROR(__xludf.DUMMYFUNCTION("""COMPUTED_VALUE"""),114175.0)</f>
        <v>114175</v>
      </c>
      <c r="B4291" s="2">
        <f>IFERROR(__xludf.DUMMYFUNCTION("""COMPUTED_VALUE"""),1.0)</f>
        <v>1</v>
      </c>
      <c r="C4291" s="2">
        <f>IFERROR(__xludf.DUMMYFUNCTION("""COMPUTED_VALUE"""),109.0)</f>
        <v>109</v>
      </c>
      <c r="D4291" s="3">
        <f>IFERROR(__xludf.DUMMYFUNCTION("""COMPUTED_VALUE"""),10.0)</f>
        <v>10</v>
      </c>
      <c r="E4291" s="2"/>
      <c r="F4291" s="2"/>
    </row>
    <row r="4292">
      <c r="A4292" s="2">
        <f>IFERROR(__xludf.DUMMYFUNCTION("""COMPUTED_VALUE"""),23649.0)</f>
        <v>23649</v>
      </c>
      <c r="B4292" s="2">
        <f>IFERROR(__xludf.DUMMYFUNCTION("""COMPUTED_VALUE"""),0.0)</f>
        <v>0</v>
      </c>
      <c r="C4292" s="2">
        <f>IFERROR(__xludf.DUMMYFUNCTION("""COMPUTED_VALUE"""),695.0)</f>
        <v>695</v>
      </c>
      <c r="D4292" s="3">
        <f>IFERROR(__xludf.DUMMYFUNCTION("""COMPUTED_VALUE"""),33.0)</f>
        <v>33</v>
      </c>
      <c r="E4292" s="2"/>
      <c r="F4292" s="2"/>
    </row>
    <row r="4293">
      <c r="A4293" s="2">
        <f>IFERROR(__xludf.DUMMYFUNCTION("""COMPUTED_VALUE"""),80419.0)</f>
        <v>80419</v>
      </c>
      <c r="B4293" s="2">
        <f>IFERROR(__xludf.DUMMYFUNCTION("""COMPUTED_VALUE"""),0.0)</f>
        <v>0</v>
      </c>
      <c r="C4293" s="2">
        <f>IFERROR(__xludf.DUMMYFUNCTION("""COMPUTED_VALUE"""),253.0)</f>
        <v>253</v>
      </c>
      <c r="D4293" s="3">
        <f>IFERROR(__xludf.DUMMYFUNCTION("""COMPUTED_VALUE"""),127.0)</f>
        <v>127</v>
      </c>
      <c r="E4293" s="2"/>
      <c r="F4293" s="2"/>
    </row>
    <row r="4294">
      <c r="A4294" s="2">
        <f>IFERROR(__xludf.DUMMYFUNCTION("""COMPUTED_VALUE"""),114173.0)</f>
        <v>114173</v>
      </c>
      <c r="B4294" s="2">
        <f>IFERROR(__xludf.DUMMYFUNCTION("""COMPUTED_VALUE"""),1.0)</f>
        <v>1</v>
      </c>
      <c r="C4294" s="2">
        <f>IFERROR(__xludf.DUMMYFUNCTION("""COMPUTED_VALUE"""),57.0)</f>
        <v>57</v>
      </c>
      <c r="D4294" s="3">
        <f>IFERROR(__xludf.DUMMYFUNCTION("""COMPUTED_VALUE"""),49.0)</f>
        <v>49</v>
      </c>
      <c r="E4294" s="2"/>
      <c r="F4294" s="2"/>
    </row>
    <row r="4295">
      <c r="A4295" s="2">
        <f>IFERROR(__xludf.DUMMYFUNCTION("""COMPUTED_VALUE"""),91562.0)</f>
        <v>91562</v>
      </c>
      <c r="B4295" s="2">
        <f>IFERROR(__xludf.DUMMYFUNCTION("""COMPUTED_VALUE"""),1.0)</f>
        <v>1</v>
      </c>
      <c r="C4295" s="2">
        <f>IFERROR(__xludf.DUMMYFUNCTION("""COMPUTED_VALUE"""),692.0)</f>
        <v>692</v>
      </c>
      <c r="D4295" s="3">
        <f>IFERROR(__xludf.DUMMYFUNCTION("""COMPUTED_VALUE"""),14.0)</f>
        <v>14</v>
      </c>
      <c r="E4295" s="2"/>
      <c r="F4295" s="2"/>
    </row>
    <row r="4296">
      <c r="A4296" s="2">
        <f>IFERROR(__xludf.DUMMYFUNCTION("""COMPUTED_VALUE"""),23662.0)</f>
        <v>23662</v>
      </c>
      <c r="B4296" s="2">
        <f>IFERROR(__xludf.DUMMYFUNCTION("""COMPUTED_VALUE"""),1.0)</f>
        <v>1</v>
      </c>
      <c r="C4296" s="2">
        <f>IFERROR(__xludf.DUMMYFUNCTION("""COMPUTED_VALUE"""),766.0)</f>
        <v>766</v>
      </c>
      <c r="D4296" s="3">
        <f>IFERROR(__xludf.DUMMYFUNCTION("""COMPUTED_VALUE"""),756.0)</f>
        <v>756</v>
      </c>
      <c r="E4296" s="2"/>
      <c r="F4296" s="2"/>
    </row>
    <row r="4297">
      <c r="A4297" s="2">
        <f>IFERROR(__xludf.DUMMYFUNCTION("""COMPUTED_VALUE"""),76466.0)</f>
        <v>76466</v>
      </c>
      <c r="B4297" s="2">
        <f>IFERROR(__xludf.DUMMYFUNCTION("""COMPUTED_VALUE"""),0.0)</f>
        <v>0</v>
      </c>
      <c r="C4297" s="2">
        <f>IFERROR(__xludf.DUMMYFUNCTION("""COMPUTED_VALUE"""),114.0)</f>
        <v>114</v>
      </c>
      <c r="D4297" s="3">
        <f>IFERROR(__xludf.DUMMYFUNCTION("""COMPUTED_VALUE"""),38.0)</f>
        <v>38</v>
      </c>
      <c r="E4297" s="2"/>
      <c r="F4297" s="2"/>
    </row>
    <row r="4298">
      <c r="A4298" s="2">
        <f>IFERROR(__xludf.DUMMYFUNCTION("""COMPUTED_VALUE"""),76465.0)</f>
        <v>76465</v>
      </c>
      <c r="B4298" s="2">
        <f>IFERROR(__xludf.DUMMYFUNCTION("""COMPUTED_VALUE"""),0.0)</f>
        <v>0</v>
      </c>
      <c r="C4298" s="2">
        <f>IFERROR(__xludf.DUMMYFUNCTION("""COMPUTED_VALUE"""),323.0)</f>
        <v>323</v>
      </c>
      <c r="D4298" s="3">
        <f>IFERROR(__xludf.DUMMYFUNCTION("""COMPUTED_VALUE"""),38.0)</f>
        <v>38</v>
      </c>
      <c r="E4298" s="2"/>
      <c r="F4298" s="2"/>
    </row>
    <row r="4299">
      <c r="A4299" s="2">
        <f>IFERROR(__xludf.DUMMYFUNCTION("""COMPUTED_VALUE"""),68329.0)</f>
        <v>68329</v>
      </c>
      <c r="B4299" s="2">
        <f>IFERROR(__xludf.DUMMYFUNCTION("""COMPUTED_VALUE"""),0.0)</f>
        <v>0</v>
      </c>
      <c r="C4299" s="2">
        <f>IFERROR(__xludf.DUMMYFUNCTION("""COMPUTED_VALUE"""),770.0)</f>
        <v>770</v>
      </c>
      <c r="D4299" s="3">
        <f>IFERROR(__xludf.DUMMYFUNCTION("""COMPUTED_VALUE"""),64.0)</f>
        <v>64</v>
      </c>
      <c r="E4299" s="2"/>
      <c r="F4299" s="2"/>
    </row>
    <row r="4300">
      <c r="A4300" s="2">
        <f>IFERROR(__xludf.DUMMYFUNCTION("""COMPUTED_VALUE"""),114470.0)</f>
        <v>114470</v>
      </c>
      <c r="B4300" s="2">
        <f>IFERROR(__xludf.DUMMYFUNCTION("""COMPUTED_VALUE"""),1.0)</f>
        <v>1</v>
      </c>
      <c r="C4300" s="2">
        <f>IFERROR(__xludf.DUMMYFUNCTION("""COMPUTED_VALUE"""),849.0)</f>
        <v>849</v>
      </c>
      <c r="D4300" s="3">
        <f>IFERROR(__xludf.DUMMYFUNCTION("""COMPUTED_VALUE"""),305.0)</f>
        <v>305</v>
      </c>
      <c r="E4300" s="2"/>
      <c r="F4300" s="2"/>
    </row>
    <row r="4301">
      <c r="A4301" s="2">
        <f>IFERROR(__xludf.DUMMYFUNCTION("""COMPUTED_VALUE"""),110568.0)</f>
        <v>110568</v>
      </c>
      <c r="B4301" s="2">
        <f>IFERROR(__xludf.DUMMYFUNCTION("""COMPUTED_VALUE"""),1.0)</f>
        <v>1</v>
      </c>
      <c r="C4301" s="2">
        <f>IFERROR(__xludf.DUMMYFUNCTION("""COMPUTED_VALUE"""),787.0)</f>
        <v>787</v>
      </c>
      <c r="D4301" s="3">
        <f>IFERROR(__xludf.DUMMYFUNCTION("""COMPUTED_VALUE"""),296.0)</f>
        <v>296</v>
      </c>
      <c r="E4301" s="2"/>
      <c r="F4301" s="2"/>
    </row>
    <row r="4302">
      <c r="A4302" s="2">
        <f>IFERROR(__xludf.DUMMYFUNCTION("""COMPUTED_VALUE"""),76470.0)</f>
        <v>76470</v>
      </c>
      <c r="B4302" s="2">
        <f>IFERROR(__xludf.DUMMYFUNCTION("""COMPUTED_VALUE"""),0.0)</f>
        <v>0</v>
      </c>
      <c r="C4302" s="2">
        <f>IFERROR(__xludf.DUMMYFUNCTION("""COMPUTED_VALUE"""),75.0)</f>
        <v>75</v>
      </c>
      <c r="D4302" s="3">
        <f>IFERROR(__xludf.DUMMYFUNCTION("""COMPUTED_VALUE"""),21.0)</f>
        <v>21</v>
      </c>
      <c r="E4302" s="2"/>
      <c r="F4302" s="2"/>
    </row>
    <row r="4303">
      <c r="A4303" s="2">
        <f>IFERROR(__xludf.DUMMYFUNCTION("""COMPUTED_VALUE"""),5604.0)</f>
        <v>5604</v>
      </c>
      <c r="B4303" s="2">
        <f>IFERROR(__xludf.DUMMYFUNCTION("""COMPUTED_VALUE"""),1.0)</f>
        <v>1</v>
      </c>
      <c r="C4303" s="2">
        <f>IFERROR(__xludf.DUMMYFUNCTION("""COMPUTED_VALUE"""),190.0)</f>
        <v>190</v>
      </c>
      <c r="D4303" s="3">
        <f>IFERROR(__xludf.DUMMYFUNCTION("""COMPUTED_VALUE"""),11.0)</f>
        <v>11</v>
      </c>
      <c r="E4303" s="2"/>
      <c r="F4303" s="2"/>
    </row>
    <row r="4304">
      <c r="A4304" s="2">
        <f>IFERROR(__xludf.DUMMYFUNCTION("""COMPUTED_VALUE"""),28613.0)</f>
        <v>28613</v>
      </c>
      <c r="B4304" s="2">
        <f>IFERROR(__xludf.DUMMYFUNCTION("""COMPUTED_VALUE"""),1.0)</f>
        <v>1</v>
      </c>
      <c r="C4304" s="2">
        <f>IFERROR(__xludf.DUMMYFUNCTION("""COMPUTED_VALUE"""),617.0)</f>
        <v>617</v>
      </c>
      <c r="D4304" s="3">
        <f>IFERROR(__xludf.DUMMYFUNCTION("""COMPUTED_VALUE"""),443.0)</f>
        <v>443</v>
      </c>
      <c r="E4304" s="2"/>
      <c r="F4304" s="2"/>
    </row>
    <row r="4305">
      <c r="A4305" s="2">
        <f>IFERROR(__xludf.DUMMYFUNCTION("""COMPUTED_VALUE"""),159402.0)</f>
        <v>159402</v>
      </c>
      <c r="B4305" s="2">
        <f>IFERROR(__xludf.DUMMYFUNCTION("""COMPUTED_VALUE"""),0.0)</f>
        <v>0</v>
      </c>
      <c r="C4305" s="2">
        <f>IFERROR(__xludf.DUMMYFUNCTION("""COMPUTED_VALUE"""),228.0)</f>
        <v>228</v>
      </c>
      <c r="D4305" s="3">
        <f>IFERROR(__xludf.DUMMYFUNCTION("""COMPUTED_VALUE"""),58.0)</f>
        <v>58</v>
      </c>
      <c r="E4305" s="2"/>
      <c r="F4305" s="2"/>
    </row>
    <row r="4306">
      <c r="A4306" s="2">
        <f>IFERROR(__xludf.DUMMYFUNCTION("""COMPUTED_VALUE"""),68379.0)</f>
        <v>68379</v>
      </c>
      <c r="B4306" s="2">
        <f>IFERROR(__xludf.DUMMYFUNCTION("""COMPUTED_VALUE"""),0.0)</f>
        <v>0</v>
      </c>
      <c r="C4306" s="2">
        <f>IFERROR(__xludf.DUMMYFUNCTION("""COMPUTED_VALUE"""),592.0)</f>
        <v>592</v>
      </c>
      <c r="D4306" s="3">
        <f>IFERROR(__xludf.DUMMYFUNCTION("""COMPUTED_VALUE"""),162.0)</f>
        <v>162</v>
      </c>
      <c r="E4306" s="2"/>
      <c r="F4306" s="2"/>
    </row>
    <row r="4307">
      <c r="A4307" s="2">
        <f>IFERROR(__xludf.DUMMYFUNCTION("""COMPUTED_VALUE"""),91069.0)</f>
        <v>91069</v>
      </c>
      <c r="B4307" s="2">
        <f>IFERROR(__xludf.DUMMYFUNCTION("""COMPUTED_VALUE"""),0.0)</f>
        <v>0</v>
      </c>
      <c r="C4307" s="2">
        <f>IFERROR(__xludf.DUMMYFUNCTION("""COMPUTED_VALUE"""),428.0)</f>
        <v>428</v>
      </c>
      <c r="D4307" s="3">
        <f>IFERROR(__xludf.DUMMYFUNCTION("""COMPUTED_VALUE"""),154.0)</f>
        <v>154</v>
      </c>
      <c r="E4307" s="2"/>
      <c r="F4307" s="2"/>
    </row>
    <row r="4308">
      <c r="A4308" s="2">
        <f>IFERROR(__xludf.DUMMYFUNCTION("""COMPUTED_VALUE"""),91060.0)</f>
        <v>91060</v>
      </c>
      <c r="B4308" s="2">
        <f>IFERROR(__xludf.DUMMYFUNCTION("""COMPUTED_VALUE"""),0.0)</f>
        <v>0</v>
      </c>
      <c r="C4308" s="2">
        <f>IFERROR(__xludf.DUMMYFUNCTION("""COMPUTED_VALUE"""),437.0)</f>
        <v>437</v>
      </c>
      <c r="D4308" s="3">
        <f>IFERROR(__xludf.DUMMYFUNCTION("""COMPUTED_VALUE"""),26.0)</f>
        <v>26</v>
      </c>
      <c r="E4308" s="2"/>
      <c r="F4308" s="2"/>
    </row>
    <row r="4309">
      <c r="A4309" s="2">
        <f>IFERROR(__xludf.DUMMYFUNCTION("""COMPUTED_VALUE"""),182274.0)</f>
        <v>182274</v>
      </c>
      <c r="B4309" s="2">
        <f>IFERROR(__xludf.DUMMYFUNCTION("""COMPUTED_VALUE"""),0.0)</f>
        <v>0</v>
      </c>
      <c r="C4309" s="2">
        <f>IFERROR(__xludf.DUMMYFUNCTION("""COMPUTED_VALUE"""),416.0)</f>
        <v>416</v>
      </c>
      <c r="D4309" s="3">
        <f>IFERROR(__xludf.DUMMYFUNCTION("""COMPUTED_VALUE"""),230.0)</f>
        <v>230</v>
      </c>
      <c r="E4309" s="2"/>
      <c r="F4309" s="2"/>
    </row>
    <row r="4310">
      <c r="A4310" s="2">
        <f>IFERROR(__xludf.DUMMYFUNCTION("""COMPUTED_VALUE"""),110566.0)</f>
        <v>110566</v>
      </c>
      <c r="B4310" s="2">
        <f>IFERROR(__xludf.DUMMYFUNCTION("""COMPUTED_VALUE"""),1.0)</f>
        <v>1</v>
      </c>
      <c r="C4310" s="2">
        <f>IFERROR(__xludf.DUMMYFUNCTION("""COMPUTED_VALUE"""),587.0)</f>
        <v>587</v>
      </c>
      <c r="D4310" s="3">
        <f>IFERROR(__xludf.DUMMYFUNCTION("""COMPUTED_VALUE"""),258.0)</f>
        <v>258</v>
      </c>
      <c r="E4310" s="2"/>
      <c r="F4310" s="2"/>
    </row>
    <row r="4311">
      <c r="A4311" s="2">
        <f>IFERROR(__xludf.DUMMYFUNCTION("""COMPUTED_VALUE"""),78877.0)</f>
        <v>78877</v>
      </c>
      <c r="B4311" s="2">
        <f>IFERROR(__xludf.DUMMYFUNCTION("""COMPUTED_VALUE"""),0.0)</f>
        <v>0</v>
      </c>
      <c r="C4311" s="2">
        <f>IFERROR(__xludf.DUMMYFUNCTION("""COMPUTED_VALUE"""),373.0)</f>
        <v>373</v>
      </c>
      <c r="D4311" s="3">
        <f>IFERROR(__xludf.DUMMYFUNCTION("""COMPUTED_VALUE"""),65.0)</f>
        <v>65</v>
      </c>
      <c r="E4311" s="2"/>
      <c r="F4311" s="2"/>
    </row>
    <row r="4312">
      <c r="A4312" s="2">
        <f>IFERROR(__xludf.DUMMYFUNCTION("""COMPUTED_VALUE"""),5490.0)</f>
        <v>5490</v>
      </c>
      <c r="B4312" s="2">
        <f>IFERROR(__xludf.DUMMYFUNCTION("""COMPUTED_VALUE"""),1.0)</f>
        <v>1</v>
      </c>
      <c r="C4312" s="2">
        <f>IFERROR(__xludf.DUMMYFUNCTION("""COMPUTED_VALUE"""),638.0)</f>
        <v>638</v>
      </c>
      <c r="D4312" s="3">
        <f>IFERROR(__xludf.DUMMYFUNCTION("""COMPUTED_VALUE"""),244.0)</f>
        <v>244</v>
      </c>
      <c r="E4312" s="2"/>
      <c r="F4312" s="2"/>
    </row>
    <row r="4313">
      <c r="A4313" s="2">
        <f>IFERROR(__xludf.DUMMYFUNCTION("""COMPUTED_VALUE"""),68382.0)</f>
        <v>68382</v>
      </c>
      <c r="B4313" s="2">
        <f>IFERROR(__xludf.DUMMYFUNCTION("""COMPUTED_VALUE"""),0.0)</f>
        <v>0</v>
      </c>
      <c r="C4313" s="2">
        <f>IFERROR(__xludf.DUMMYFUNCTION("""COMPUTED_VALUE"""),450.0)</f>
        <v>450</v>
      </c>
      <c r="D4313" s="3">
        <f>IFERROR(__xludf.DUMMYFUNCTION("""COMPUTED_VALUE"""),168.0)</f>
        <v>168</v>
      </c>
      <c r="E4313" s="2"/>
      <c r="F4313" s="2"/>
    </row>
    <row r="4314">
      <c r="A4314" s="2">
        <f>IFERROR(__xludf.DUMMYFUNCTION("""COMPUTED_VALUE"""),114663.0)</f>
        <v>114663</v>
      </c>
      <c r="B4314" s="2">
        <f>IFERROR(__xludf.DUMMYFUNCTION("""COMPUTED_VALUE"""),0.0)</f>
        <v>0</v>
      </c>
      <c r="C4314" s="2">
        <f>IFERROR(__xludf.DUMMYFUNCTION("""COMPUTED_VALUE"""),296.0)</f>
        <v>296</v>
      </c>
      <c r="D4314" s="3">
        <f>IFERROR(__xludf.DUMMYFUNCTION("""COMPUTED_VALUE"""),48.0)</f>
        <v>48</v>
      </c>
      <c r="E4314" s="2"/>
      <c r="F4314" s="2"/>
    </row>
    <row r="4315">
      <c r="A4315" s="2">
        <f>IFERROR(__xludf.DUMMYFUNCTION("""COMPUTED_VALUE"""),76474.0)</f>
        <v>76474</v>
      </c>
      <c r="B4315" s="2">
        <f>IFERROR(__xludf.DUMMYFUNCTION("""COMPUTED_VALUE"""),1.0)</f>
        <v>1</v>
      </c>
      <c r="C4315" s="2">
        <f>IFERROR(__xludf.DUMMYFUNCTION("""COMPUTED_VALUE"""),55.0)</f>
        <v>55</v>
      </c>
      <c r="D4315" s="3">
        <f>IFERROR(__xludf.DUMMYFUNCTION("""COMPUTED_VALUE"""),52.0)</f>
        <v>52</v>
      </c>
      <c r="E4315" s="2"/>
      <c r="F4315" s="2"/>
    </row>
    <row r="4316">
      <c r="A4316" s="2">
        <f>IFERROR(__xludf.DUMMYFUNCTION("""COMPUTED_VALUE"""),76455.0)</f>
        <v>76455</v>
      </c>
      <c r="B4316" s="2">
        <f>IFERROR(__xludf.DUMMYFUNCTION("""COMPUTED_VALUE"""),1.0)</f>
        <v>1</v>
      </c>
      <c r="C4316" s="2">
        <f>IFERROR(__xludf.DUMMYFUNCTION("""COMPUTED_VALUE"""),917.0)</f>
        <v>917</v>
      </c>
      <c r="D4316" s="3">
        <f>IFERROR(__xludf.DUMMYFUNCTION("""COMPUTED_VALUE"""),581.0)</f>
        <v>581</v>
      </c>
      <c r="E4316" s="2"/>
      <c r="F4316" s="2"/>
    </row>
    <row r="4317">
      <c r="A4317" s="2">
        <f>IFERROR(__xludf.DUMMYFUNCTION("""COMPUTED_VALUE"""),46337.0)</f>
        <v>46337</v>
      </c>
      <c r="B4317" s="2">
        <f>IFERROR(__xludf.DUMMYFUNCTION("""COMPUTED_VALUE"""),0.0)</f>
        <v>0</v>
      </c>
      <c r="C4317" s="2">
        <f>IFERROR(__xludf.DUMMYFUNCTION("""COMPUTED_VALUE"""),146.0)</f>
        <v>146</v>
      </c>
      <c r="D4317" s="3">
        <f>IFERROR(__xludf.DUMMYFUNCTION("""COMPUTED_VALUE"""),85.0)</f>
        <v>85</v>
      </c>
      <c r="E4317" s="2"/>
      <c r="F4317" s="2"/>
    </row>
    <row r="4318">
      <c r="A4318" s="2">
        <f>IFERROR(__xludf.DUMMYFUNCTION("""COMPUTED_VALUE"""),78430.0)</f>
        <v>78430</v>
      </c>
      <c r="B4318" s="2">
        <f>IFERROR(__xludf.DUMMYFUNCTION("""COMPUTED_VALUE"""),1.0)</f>
        <v>1</v>
      </c>
      <c r="C4318" s="2">
        <f>IFERROR(__xludf.DUMMYFUNCTION("""COMPUTED_VALUE"""),101.0)</f>
        <v>101</v>
      </c>
      <c r="D4318" s="3">
        <f>IFERROR(__xludf.DUMMYFUNCTION("""COMPUTED_VALUE"""),99.0)</f>
        <v>99</v>
      </c>
      <c r="E4318" s="2"/>
      <c r="F4318" s="2"/>
    </row>
    <row r="4319">
      <c r="A4319" s="2">
        <f>IFERROR(__xludf.DUMMYFUNCTION("""COMPUTED_VALUE"""),5605.0)</f>
        <v>5605</v>
      </c>
      <c r="B4319" s="2">
        <f>IFERROR(__xludf.DUMMYFUNCTION("""COMPUTED_VALUE"""),1.0)</f>
        <v>1</v>
      </c>
      <c r="C4319" s="2">
        <f>IFERROR(__xludf.DUMMYFUNCTION("""COMPUTED_VALUE"""),124.0)</f>
        <v>124</v>
      </c>
      <c r="D4319" s="3">
        <f>IFERROR(__xludf.DUMMYFUNCTION("""COMPUTED_VALUE"""),18.0)</f>
        <v>18</v>
      </c>
      <c r="E4319" s="2"/>
      <c r="F4319" s="2"/>
    </row>
    <row r="4320">
      <c r="A4320" s="2">
        <f>IFERROR(__xludf.DUMMYFUNCTION("""COMPUTED_VALUE"""),77419.0)</f>
        <v>77419</v>
      </c>
      <c r="B4320" s="2">
        <f>IFERROR(__xludf.DUMMYFUNCTION("""COMPUTED_VALUE"""),0.0)</f>
        <v>0</v>
      </c>
      <c r="C4320" s="2">
        <f>IFERROR(__xludf.DUMMYFUNCTION("""COMPUTED_VALUE"""),142.0)</f>
        <v>142</v>
      </c>
      <c r="D4320" s="3">
        <f>IFERROR(__xludf.DUMMYFUNCTION("""COMPUTED_VALUE"""),89.0)</f>
        <v>89</v>
      </c>
      <c r="E4320" s="2"/>
      <c r="F4320" s="2"/>
    </row>
    <row r="4321">
      <c r="A4321" s="2">
        <f>IFERROR(__xludf.DUMMYFUNCTION("""COMPUTED_VALUE"""),121701.0)</f>
        <v>121701</v>
      </c>
      <c r="B4321" s="2">
        <f>IFERROR(__xludf.DUMMYFUNCTION("""COMPUTED_VALUE"""),1.0)</f>
        <v>1</v>
      </c>
      <c r="C4321" s="2">
        <f>IFERROR(__xludf.DUMMYFUNCTION("""COMPUTED_VALUE"""),101.0)</f>
        <v>101</v>
      </c>
      <c r="D4321" s="3">
        <f>IFERROR(__xludf.DUMMYFUNCTION("""COMPUTED_VALUE"""),55.0)</f>
        <v>55</v>
      </c>
      <c r="E4321" s="2"/>
      <c r="F4321" s="2"/>
    </row>
    <row r="4322">
      <c r="A4322" s="2">
        <f>IFERROR(__xludf.DUMMYFUNCTION("""COMPUTED_VALUE"""),91072.0)</f>
        <v>91072</v>
      </c>
      <c r="B4322" s="2">
        <f>IFERROR(__xludf.DUMMYFUNCTION("""COMPUTED_VALUE"""),1.0)</f>
        <v>1</v>
      </c>
      <c r="C4322" s="2">
        <f>IFERROR(__xludf.DUMMYFUNCTION("""COMPUTED_VALUE"""),331.0)</f>
        <v>331</v>
      </c>
      <c r="D4322" s="3">
        <f>IFERROR(__xludf.DUMMYFUNCTION("""COMPUTED_VALUE"""),72.0)</f>
        <v>72</v>
      </c>
      <c r="E4322" s="2"/>
      <c r="F4322" s="2"/>
    </row>
    <row r="4323">
      <c r="A4323" s="2">
        <f>IFERROR(__xludf.DUMMYFUNCTION("""COMPUTED_VALUE"""),68486.0)</f>
        <v>68486</v>
      </c>
      <c r="B4323" s="2">
        <f>IFERROR(__xludf.DUMMYFUNCTION("""COMPUTED_VALUE"""),0.0)</f>
        <v>0</v>
      </c>
      <c r="C4323" s="2">
        <f>IFERROR(__xludf.DUMMYFUNCTION("""COMPUTED_VALUE"""),39.0)</f>
        <v>39</v>
      </c>
      <c r="D4323" s="3">
        <f>IFERROR(__xludf.DUMMYFUNCTION("""COMPUTED_VALUE"""),1.0)</f>
        <v>1</v>
      </c>
      <c r="E4323" s="2"/>
      <c r="F4323" s="2"/>
    </row>
    <row r="4324">
      <c r="A4324" s="2">
        <f>IFERROR(__xludf.DUMMYFUNCTION("""COMPUTED_VALUE"""),110576.0)</f>
        <v>110576</v>
      </c>
      <c r="B4324" s="2">
        <f>IFERROR(__xludf.DUMMYFUNCTION("""COMPUTED_VALUE"""),0.0)</f>
        <v>0</v>
      </c>
      <c r="C4324" s="2">
        <f>IFERROR(__xludf.DUMMYFUNCTION("""COMPUTED_VALUE"""),547.0)</f>
        <v>547</v>
      </c>
      <c r="D4324" s="3">
        <f>IFERROR(__xludf.DUMMYFUNCTION("""COMPUTED_VALUE"""),394.0)</f>
        <v>394</v>
      </c>
      <c r="E4324" s="2"/>
      <c r="F4324" s="2"/>
    </row>
    <row r="4325">
      <c r="A4325" s="2">
        <f>IFERROR(__xludf.DUMMYFUNCTION("""COMPUTED_VALUE"""),78503.0)</f>
        <v>78503</v>
      </c>
      <c r="B4325" s="2">
        <f>IFERROR(__xludf.DUMMYFUNCTION("""COMPUTED_VALUE"""),1.0)</f>
        <v>1</v>
      </c>
      <c r="C4325" s="2">
        <f>IFERROR(__xludf.DUMMYFUNCTION("""COMPUTED_VALUE"""),652.0)</f>
        <v>652</v>
      </c>
      <c r="D4325" s="3">
        <f>IFERROR(__xludf.DUMMYFUNCTION("""COMPUTED_VALUE"""),42.0)</f>
        <v>42</v>
      </c>
      <c r="E4325" s="2"/>
      <c r="F4325" s="2"/>
    </row>
    <row r="4326">
      <c r="A4326" s="2">
        <f>IFERROR(__xludf.DUMMYFUNCTION("""COMPUTED_VALUE"""),77439.0)</f>
        <v>77439</v>
      </c>
      <c r="B4326" s="2">
        <f>IFERROR(__xludf.DUMMYFUNCTION("""COMPUTED_VALUE"""),1.0)</f>
        <v>1</v>
      </c>
      <c r="C4326" s="2">
        <f>IFERROR(__xludf.DUMMYFUNCTION("""COMPUTED_VALUE"""),442.0)</f>
        <v>442</v>
      </c>
      <c r="D4326" s="3">
        <f>IFERROR(__xludf.DUMMYFUNCTION("""COMPUTED_VALUE"""),242.0)</f>
        <v>242</v>
      </c>
      <c r="E4326" s="2"/>
      <c r="F4326" s="2"/>
    </row>
    <row r="4327">
      <c r="A4327" s="2">
        <f>IFERROR(__xludf.DUMMYFUNCTION("""COMPUTED_VALUE"""),5615.0)</f>
        <v>5615</v>
      </c>
      <c r="B4327" s="2">
        <f>IFERROR(__xludf.DUMMYFUNCTION("""COMPUTED_VALUE"""),1.0)</f>
        <v>1</v>
      </c>
      <c r="C4327" s="2">
        <f>IFERROR(__xludf.DUMMYFUNCTION("""COMPUTED_VALUE"""),641.0)</f>
        <v>641</v>
      </c>
      <c r="D4327" s="3">
        <f>IFERROR(__xludf.DUMMYFUNCTION("""COMPUTED_VALUE"""),340.0)</f>
        <v>340</v>
      </c>
      <c r="E4327" s="2"/>
      <c r="F4327" s="2"/>
    </row>
    <row r="4328">
      <c r="A4328" s="2">
        <f>IFERROR(__xludf.DUMMYFUNCTION("""COMPUTED_VALUE"""),5602.0)</f>
        <v>5602</v>
      </c>
      <c r="B4328" s="2">
        <f>IFERROR(__xludf.DUMMYFUNCTION("""COMPUTED_VALUE"""),0.0)</f>
        <v>0</v>
      </c>
      <c r="C4328" s="2">
        <f>IFERROR(__xludf.DUMMYFUNCTION("""COMPUTED_VALUE"""),13.0)</f>
        <v>13</v>
      </c>
      <c r="D4328" s="3">
        <f>IFERROR(__xludf.DUMMYFUNCTION("""COMPUTED_VALUE"""),8.0)</f>
        <v>8</v>
      </c>
      <c r="E4328" s="2"/>
      <c r="F4328" s="2"/>
    </row>
    <row r="4329">
      <c r="A4329" s="2">
        <f>IFERROR(__xludf.DUMMYFUNCTION("""COMPUTED_VALUE"""),28612.0)</f>
        <v>28612</v>
      </c>
      <c r="B4329" s="2">
        <f>IFERROR(__xludf.DUMMYFUNCTION("""COMPUTED_VALUE"""),1.0)</f>
        <v>1</v>
      </c>
      <c r="C4329" s="2">
        <f>IFERROR(__xludf.DUMMYFUNCTION("""COMPUTED_VALUE"""),320.0)</f>
        <v>320</v>
      </c>
      <c r="D4329" s="3">
        <f>IFERROR(__xludf.DUMMYFUNCTION("""COMPUTED_VALUE"""),80.0)</f>
        <v>80</v>
      </c>
      <c r="E4329" s="2"/>
      <c r="F4329" s="2"/>
    </row>
    <row r="4330">
      <c r="A4330" s="2">
        <f>IFERROR(__xludf.DUMMYFUNCTION("""COMPUTED_VALUE"""),72247.0)</f>
        <v>72247</v>
      </c>
      <c r="B4330" s="2">
        <f>IFERROR(__xludf.DUMMYFUNCTION("""COMPUTED_VALUE"""),0.0)</f>
        <v>0</v>
      </c>
      <c r="C4330" s="2">
        <f>IFERROR(__xludf.DUMMYFUNCTION("""COMPUTED_VALUE"""),50.0)</f>
        <v>50</v>
      </c>
      <c r="D4330" s="3">
        <f>IFERROR(__xludf.DUMMYFUNCTION("""COMPUTED_VALUE"""),14.0)</f>
        <v>14</v>
      </c>
      <c r="E4330" s="2"/>
      <c r="F4330" s="2"/>
    </row>
    <row r="4331">
      <c r="A4331" s="2">
        <f>IFERROR(__xludf.DUMMYFUNCTION("""COMPUTED_VALUE"""),76469.0)</f>
        <v>76469</v>
      </c>
      <c r="B4331" s="2">
        <f>IFERROR(__xludf.DUMMYFUNCTION("""COMPUTED_VALUE"""),1.0)</f>
        <v>1</v>
      </c>
      <c r="C4331" s="2">
        <f>IFERROR(__xludf.DUMMYFUNCTION("""COMPUTED_VALUE"""),799.0)</f>
        <v>799</v>
      </c>
      <c r="D4331" s="3">
        <f>IFERROR(__xludf.DUMMYFUNCTION("""COMPUTED_VALUE"""),379.0)</f>
        <v>379</v>
      </c>
      <c r="E4331" s="2"/>
      <c r="F4331" s="2"/>
    </row>
    <row r="4332">
      <c r="A4332" s="2">
        <f>IFERROR(__xludf.DUMMYFUNCTION("""COMPUTED_VALUE"""),78876.0)</f>
        <v>78876</v>
      </c>
      <c r="B4332" s="2">
        <f>IFERROR(__xludf.DUMMYFUNCTION("""COMPUTED_VALUE"""),0.0)</f>
        <v>0</v>
      </c>
      <c r="C4332" s="2">
        <f>IFERROR(__xludf.DUMMYFUNCTION("""COMPUTED_VALUE"""),516.0)</f>
        <v>516</v>
      </c>
      <c r="D4332" s="3">
        <f>IFERROR(__xludf.DUMMYFUNCTION("""COMPUTED_VALUE"""),371.0)</f>
        <v>371</v>
      </c>
      <c r="E4332" s="2"/>
      <c r="F4332" s="2"/>
    </row>
    <row r="4333">
      <c r="A4333" s="2">
        <f>IFERROR(__xludf.DUMMYFUNCTION("""COMPUTED_VALUE"""),91064.0)</f>
        <v>91064</v>
      </c>
      <c r="B4333" s="2">
        <f>IFERROR(__xludf.DUMMYFUNCTION("""COMPUTED_VALUE"""),0.0)</f>
        <v>0</v>
      </c>
      <c r="C4333" s="2">
        <f>IFERROR(__xludf.DUMMYFUNCTION("""COMPUTED_VALUE"""),733.0)</f>
        <v>733</v>
      </c>
      <c r="D4333" s="3">
        <f>IFERROR(__xludf.DUMMYFUNCTION("""COMPUTED_VALUE"""),719.0)</f>
        <v>719</v>
      </c>
      <c r="E4333" s="2"/>
      <c r="F4333" s="2"/>
    </row>
    <row r="4334">
      <c r="A4334" s="2">
        <f>IFERROR(__xludf.DUMMYFUNCTION("""COMPUTED_VALUE"""),5603.0)</f>
        <v>5603</v>
      </c>
      <c r="B4334" s="2">
        <f>IFERROR(__xludf.DUMMYFUNCTION("""COMPUTED_VALUE"""),1.0)</f>
        <v>1</v>
      </c>
      <c r="C4334" s="2">
        <f>IFERROR(__xludf.DUMMYFUNCTION("""COMPUTED_VALUE"""),34.0)</f>
        <v>34</v>
      </c>
      <c r="D4334" s="3">
        <f>IFERROR(__xludf.DUMMYFUNCTION("""COMPUTED_VALUE"""),33.0)</f>
        <v>33</v>
      </c>
      <c r="E4334" s="2"/>
      <c r="F4334" s="2"/>
    </row>
    <row r="4335">
      <c r="A4335" s="2">
        <f>IFERROR(__xludf.DUMMYFUNCTION("""COMPUTED_VALUE"""),5612.0)</f>
        <v>5612</v>
      </c>
      <c r="B4335" s="2">
        <f>IFERROR(__xludf.DUMMYFUNCTION("""COMPUTED_VALUE"""),0.0)</f>
        <v>0</v>
      </c>
      <c r="C4335" s="2">
        <f>IFERROR(__xludf.DUMMYFUNCTION("""COMPUTED_VALUE"""),831.0)</f>
        <v>831</v>
      </c>
      <c r="D4335" s="3">
        <f>IFERROR(__xludf.DUMMYFUNCTION("""COMPUTED_VALUE"""),198.0)</f>
        <v>198</v>
      </c>
      <c r="E4335" s="2"/>
      <c r="F4335" s="2"/>
    </row>
    <row r="4336">
      <c r="A4336" s="2">
        <f>IFERROR(__xludf.DUMMYFUNCTION("""COMPUTED_VALUE"""),43897.0)</f>
        <v>43897</v>
      </c>
      <c r="B4336" s="2">
        <f>IFERROR(__xludf.DUMMYFUNCTION("""COMPUTED_VALUE"""),1.0)</f>
        <v>1</v>
      </c>
      <c r="C4336" s="2">
        <f>IFERROR(__xludf.DUMMYFUNCTION("""COMPUTED_VALUE"""),767.0)</f>
        <v>767</v>
      </c>
      <c r="D4336" s="3">
        <f>IFERROR(__xludf.DUMMYFUNCTION("""COMPUTED_VALUE"""),222.0)</f>
        <v>222</v>
      </c>
      <c r="E4336" s="2"/>
      <c r="F4336" s="2"/>
    </row>
    <row r="4337">
      <c r="A4337" s="2">
        <f>IFERROR(__xludf.DUMMYFUNCTION("""COMPUTED_VALUE"""),91058.0)</f>
        <v>91058</v>
      </c>
      <c r="B4337" s="2">
        <f>IFERROR(__xludf.DUMMYFUNCTION("""COMPUTED_VALUE"""),1.0)</f>
        <v>1</v>
      </c>
      <c r="C4337" s="2">
        <f>IFERROR(__xludf.DUMMYFUNCTION("""COMPUTED_VALUE"""),961.0)</f>
        <v>961</v>
      </c>
      <c r="D4337" s="3">
        <f>IFERROR(__xludf.DUMMYFUNCTION("""COMPUTED_VALUE"""),550.0)</f>
        <v>550</v>
      </c>
      <c r="E4337" s="2"/>
      <c r="F4337" s="2"/>
    </row>
    <row r="4338">
      <c r="A4338" s="2">
        <f>IFERROR(__xludf.DUMMYFUNCTION("""COMPUTED_VALUE"""),107998.0)</f>
        <v>107998</v>
      </c>
      <c r="B4338" s="2">
        <f>IFERROR(__xludf.DUMMYFUNCTION("""COMPUTED_VALUE"""),0.0)</f>
        <v>0</v>
      </c>
      <c r="C4338" s="2">
        <f>IFERROR(__xludf.DUMMYFUNCTION("""COMPUTED_VALUE"""),66.0)</f>
        <v>66</v>
      </c>
      <c r="D4338" s="3">
        <f>IFERROR(__xludf.DUMMYFUNCTION("""COMPUTED_VALUE"""),53.0)</f>
        <v>53</v>
      </c>
      <c r="E4338" s="2"/>
      <c r="F4338" s="2"/>
    </row>
    <row r="4339">
      <c r="A4339" s="2">
        <f>IFERROR(__xludf.DUMMYFUNCTION("""COMPUTED_VALUE"""),112194.0)</f>
        <v>112194</v>
      </c>
      <c r="B4339" s="2">
        <f>IFERROR(__xludf.DUMMYFUNCTION("""COMPUTED_VALUE"""),0.0)</f>
        <v>0</v>
      </c>
      <c r="C4339" s="2">
        <f>IFERROR(__xludf.DUMMYFUNCTION("""COMPUTED_VALUE"""),747.0)</f>
        <v>747</v>
      </c>
      <c r="D4339" s="3">
        <f>IFERROR(__xludf.DUMMYFUNCTION("""COMPUTED_VALUE"""),632.0)</f>
        <v>632</v>
      </c>
      <c r="E4339" s="2"/>
      <c r="F4339" s="2"/>
    </row>
    <row r="4340">
      <c r="A4340" s="2">
        <f>IFERROR(__xludf.DUMMYFUNCTION("""COMPUTED_VALUE"""),68232.0)</f>
        <v>68232</v>
      </c>
      <c r="B4340" s="2">
        <f>IFERROR(__xludf.DUMMYFUNCTION("""COMPUTED_VALUE"""),1.0)</f>
        <v>1</v>
      </c>
      <c r="C4340" s="2">
        <f>IFERROR(__xludf.DUMMYFUNCTION("""COMPUTED_VALUE"""),630.0)</f>
        <v>630</v>
      </c>
      <c r="D4340" s="3">
        <f>IFERROR(__xludf.DUMMYFUNCTION("""COMPUTED_VALUE"""),381.0)</f>
        <v>381</v>
      </c>
      <c r="E4340" s="2"/>
      <c r="F4340" s="2"/>
    </row>
    <row r="4341">
      <c r="A4341" s="2">
        <f>IFERROR(__xludf.DUMMYFUNCTION("""COMPUTED_VALUE"""),159386.0)</f>
        <v>159386</v>
      </c>
      <c r="B4341" s="2">
        <f>IFERROR(__xludf.DUMMYFUNCTION("""COMPUTED_VALUE"""),0.0)</f>
        <v>0</v>
      </c>
      <c r="C4341" s="2">
        <f>IFERROR(__xludf.DUMMYFUNCTION("""COMPUTED_VALUE"""),466.0)</f>
        <v>466</v>
      </c>
      <c r="D4341" s="3">
        <f>IFERROR(__xludf.DUMMYFUNCTION("""COMPUTED_VALUE"""),296.0)</f>
        <v>296</v>
      </c>
      <c r="E4341" s="2"/>
      <c r="F4341" s="2"/>
    </row>
    <row r="4342">
      <c r="A4342" s="2">
        <f>IFERROR(__xludf.DUMMYFUNCTION("""COMPUTED_VALUE"""),76471.0)</f>
        <v>76471</v>
      </c>
      <c r="B4342" s="2">
        <f>IFERROR(__xludf.DUMMYFUNCTION("""COMPUTED_VALUE"""),1.0)</f>
        <v>1</v>
      </c>
      <c r="C4342" s="2">
        <f>IFERROR(__xludf.DUMMYFUNCTION("""COMPUTED_VALUE"""),422.0)</f>
        <v>422</v>
      </c>
      <c r="D4342" s="3">
        <f>IFERROR(__xludf.DUMMYFUNCTION("""COMPUTED_VALUE"""),341.0)</f>
        <v>341</v>
      </c>
      <c r="E4342" s="2"/>
      <c r="F4342" s="2"/>
    </row>
    <row r="4343">
      <c r="A4343" s="2">
        <f>IFERROR(__xludf.DUMMYFUNCTION("""COMPUTED_VALUE"""),68357.0)</f>
        <v>68357</v>
      </c>
      <c r="B4343" s="2">
        <f>IFERROR(__xludf.DUMMYFUNCTION("""COMPUTED_VALUE"""),1.0)</f>
        <v>1</v>
      </c>
      <c r="C4343" s="2">
        <f>IFERROR(__xludf.DUMMYFUNCTION("""COMPUTED_VALUE"""),303.0)</f>
        <v>303</v>
      </c>
      <c r="D4343" s="3">
        <f>IFERROR(__xludf.DUMMYFUNCTION("""COMPUTED_VALUE"""),165.0)</f>
        <v>165</v>
      </c>
      <c r="E4343" s="2"/>
      <c r="F4343" s="2"/>
    </row>
    <row r="4344">
      <c r="A4344" s="2">
        <f>IFERROR(__xludf.DUMMYFUNCTION("""COMPUTED_VALUE"""),68303.0)</f>
        <v>68303</v>
      </c>
      <c r="B4344" s="2">
        <f>IFERROR(__xludf.DUMMYFUNCTION("""COMPUTED_VALUE"""),0.0)</f>
        <v>0</v>
      </c>
      <c r="C4344" s="2">
        <f>IFERROR(__xludf.DUMMYFUNCTION("""COMPUTED_VALUE"""),262.0)</f>
        <v>262</v>
      </c>
      <c r="D4344" s="3">
        <f>IFERROR(__xludf.DUMMYFUNCTION("""COMPUTED_VALUE"""),55.0)</f>
        <v>55</v>
      </c>
      <c r="E4344" s="2"/>
      <c r="F4344" s="2"/>
    </row>
    <row r="4345">
      <c r="A4345" s="2">
        <f>IFERROR(__xludf.DUMMYFUNCTION("""COMPUTED_VALUE"""),68325.0)</f>
        <v>68325</v>
      </c>
      <c r="B4345" s="2">
        <f>IFERROR(__xludf.DUMMYFUNCTION("""COMPUTED_VALUE"""),0.0)</f>
        <v>0</v>
      </c>
      <c r="C4345" s="2">
        <f>IFERROR(__xludf.DUMMYFUNCTION("""COMPUTED_VALUE"""),225.0)</f>
        <v>225</v>
      </c>
      <c r="D4345" s="3">
        <f>IFERROR(__xludf.DUMMYFUNCTION("""COMPUTED_VALUE"""),50.0)</f>
        <v>50</v>
      </c>
      <c r="E4345" s="2"/>
      <c r="F4345" s="2"/>
    </row>
    <row r="4346">
      <c r="A4346" s="2">
        <f>IFERROR(__xludf.DUMMYFUNCTION("""COMPUTED_VALUE"""),68515.0)</f>
        <v>68515</v>
      </c>
      <c r="B4346" s="2">
        <f>IFERROR(__xludf.DUMMYFUNCTION("""COMPUTED_VALUE"""),0.0)</f>
        <v>0</v>
      </c>
      <c r="C4346" s="2">
        <f>IFERROR(__xludf.DUMMYFUNCTION("""COMPUTED_VALUE"""),592.0)</f>
        <v>592</v>
      </c>
      <c r="D4346" s="3">
        <f>IFERROR(__xludf.DUMMYFUNCTION("""COMPUTED_VALUE"""),515.0)</f>
        <v>515</v>
      </c>
      <c r="E4346" s="2"/>
      <c r="F4346" s="2"/>
    </row>
    <row r="4347">
      <c r="A4347" s="2">
        <f>IFERROR(__xludf.DUMMYFUNCTION("""COMPUTED_VALUE"""),107989.0)</f>
        <v>107989</v>
      </c>
      <c r="B4347" s="2">
        <f>IFERROR(__xludf.DUMMYFUNCTION("""COMPUTED_VALUE"""),1.0)</f>
        <v>1</v>
      </c>
      <c r="C4347" s="2">
        <f>IFERROR(__xludf.DUMMYFUNCTION("""COMPUTED_VALUE"""),958.0)</f>
        <v>958</v>
      </c>
      <c r="D4347" s="3">
        <f>IFERROR(__xludf.DUMMYFUNCTION("""COMPUTED_VALUE"""),103.0)</f>
        <v>103</v>
      </c>
      <c r="E4347" s="2"/>
      <c r="F4347" s="2"/>
    </row>
    <row r="4348">
      <c r="A4348" s="2">
        <f>IFERROR(__xludf.DUMMYFUNCTION("""COMPUTED_VALUE"""),76732.0)</f>
        <v>76732</v>
      </c>
      <c r="B4348" s="2">
        <f>IFERROR(__xludf.DUMMYFUNCTION("""COMPUTED_VALUE"""),0.0)</f>
        <v>0</v>
      </c>
      <c r="C4348" s="2">
        <f>IFERROR(__xludf.DUMMYFUNCTION("""COMPUTED_VALUE"""),47.0)</f>
        <v>47</v>
      </c>
      <c r="D4348" s="3">
        <f>IFERROR(__xludf.DUMMYFUNCTION("""COMPUTED_VALUE"""),21.0)</f>
        <v>21</v>
      </c>
      <c r="E4348" s="2"/>
      <c r="F4348" s="2"/>
    </row>
    <row r="4349">
      <c r="A4349" s="2">
        <f>IFERROR(__xludf.DUMMYFUNCTION("""COMPUTED_VALUE"""),14711.0)</f>
        <v>14711</v>
      </c>
      <c r="B4349" s="2">
        <f>IFERROR(__xludf.DUMMYFUNCTION("""COMPUTED_VALUE"""),0.0)</f>
        <v>0</v>
      </c>
      <c r="C4349" s="2">
        <f>IFERROR(__xludf.DUMMYFUNCTION("""COMPUTED_VALUE"""),197.0)</f>
        <v>197</v>
      </c>
      <c r="D4349" s="3">
        <f>IFERROR(__xludf.DUMMYFUNCTION("""COMPUTED_VALUE"""),77.0)</f>
        <v>77</v>
      </c>
      <c r="E4349" s="2"/>
      <c r="F4349" s="2"/>
    </row>
    <row r="4350">
      <c r="A4350" s="2">
        <f>IFERROR(__xludf.DUMMYFUNCTION("""COMPUTED_VALUE"""),14706.0)</f>
        <v>14706</v>
      </c>
      <c r="B4350" s="2">
        <f>IFERROR(__xludf.DUMMYFUNCTION("""COMPUTED_VALUE"""),1.0)</f>
        <v>1</v>
      </c>
      <c r="C4350" s="2">
        <f>IFERROR(__xludf.DUMMYFUNCTION("""COMPUTED_VALUE"""),339.0)</f>
        <v>339</v>
      </c>
      <c r="D4350" s="3">
        <f>IFERROR(__xludf.DUMMYFUNCTION("""COMPUTED_VALUE"""),289.0)</f>
        <v>289</v>
      </c>
      <c r="E4350" s="2"/>
      <c r="F4350" s="2"/>
    </row>
    <row r="4351">
      <c r="A4351" s="2">
        <f>IFERROR(__xludf.DUMMYFUNCTION("""COMPUTED_VALUE"""),23975.0)</f>
        <v>23975</v>
      </c>
      <c r="B4351" s="2">
        <f>IFERROR(__xludf.DUMMYFUNCTION("""COMPUTED_VALUE"""),0.0)</f>
        <v>0</v>
      </c>
      <c r="C4351" s="2">
        <f>IFERROR(__xludf.DUMMYFUNCTION("""COMPUTED_VALUE"""),339.0)</f>
        <v>339</v>
      </c>
      <c r="D4351" s="3">
        <f>IFERROR(__xludf.DUMMYFUNCTION("""COMPUTED_VALUE"""),136.0)</f>
        <v>136</v>
      </c>
      <c r="E4351" s="2"/>
      <c r="F4351" s="2"/>
    </row>
    <row r="4352">
      <c r="A4352" s="2">
        <f>IFERROR(__xludf.DUMMYFUNCTION("""COMPUTED_VALUE"""),90665.0)</f>
        <v>90665</v>
      </c>
      <c r="B4352" s="2">
        <f>IFERROR(__xludf.DUMMYFUNCTION("""COMPUTED_VALUE"""),0.0)</f>
        <v>0</v>
      </c>
      <c r="C4352" s="2">
        <f>IFERROR(__xludf.DUMMYFUNCTION("""COMPUTED_VALUE"""),437.0)</f>
        <v>437</v>
      </c>
      <c r="D4352" s="3">
        <f>IFERROR(__xludf.DUMMYFUNCTION("""COMPUTED_VALUE"""),92.0)</f>
        <v>92</v>
      </c>
      <c r="E4352" s="2"/>
      <c r="F4352" s="2"/>
    </row>
    <row r="4353">
      <c r="A4353" s="2">
        <f>IFERROR(__xludf.DUMMYFUNCTION("""COMPUTED_VALUE"""),69551.0)</f>
        <v>69551</v>
      </c>
      <c r="B4353" s="2">
        <f>IFERROR(__xludf.DUMMYFUNCTION("""COMPUTED_VALUE"""),1.0)</f>
        <v>1</v>
      </c>
      <c r="C4353" s="2">
        <f>IFERROR(__xludf.DUMMYFUNCTION("""COMPUTED_VALUE"""),420.0)</f>
        <v>420</v>
      </c>
      <c r="D4353" s="3">
        <f>IFERROR(__xludf.DUMMYFUNCTION("""COMPUTED_VALUE"""),99.0)</f>
        <v>99</v>
      </c>
      <c r="E4353" s="2"/>
      <c r="F4353" s="2"/>
    </row>
    <row r="4354">
      <c r="A4354" s="2">
        <f>IFERROR(__xludf.DUMMYFUNCTION("""COMPUTED_VALUE"""),69503.0)</f>
        <v>69503</v>
      </c>
      <c r="B4354" s="2">
        <f>IFERROR(__xludf.DUMMYFUNCTION("""COMPUTED_VALUE"""),0.0)</f>
        <v>0</v>
      </c>
      <c r="C4354" s="2">
        <f>IFERROR(__xludf.DUMMYFUNCTION("""COMPUTED_VALUE"""),769.0)</f>
        <v>769</v>
      </c>
      <c r="D4354" s="3">
        <f>IFERROR(__xludf.DUMMYFUNCTION("""COMPUTED_VALUE"""),273.0)</f>
        <v>273</v>
      </c>
      <c r="E4354" s="2"/>
      <c r="F4354" s="2"/>
    </row>
    <row r="4355">
      <c r="A4355" s="2">
        <f>IFERROR(__xludf.DUMMYFUNCTION("""COMPUTED_VALUE"""),23473.0)</f>
        <v>23473</v>
      </c>
      <c r="B4355" s="2">
        <f>IFERROR(__xludf.DUMMYFUNCTION("""COMPUTED_VALUE"""),1.0)</f>
        <v>1</v>
      </c>
      <c r="C4355" s="2">
        <f>IFERROR(__xludf.DUMMYFUNCTION("""COMPUTED_VALUE"""),798.0)</f>
        <v>798</v>
      </c>
      <c r="D4355" s="3">
        <f>IFERROR(__xludf.DUMMYFUNCTION("""COMPUTED_VALUE"""),426.0)</f>
        <v>426</v>
      </c>
      <c r="E4355" s="2"/>
      <c r="F4355" s="2"/>
    </row>
    <row r="4356">
      <c r="A4356" s="2">
        <f>IFERROR(__xludf.DUMMYFUNCTION("""COMPUTED_VALUE"""),69500.0)</f>
        <v>69500</v>
      </c>
      <c r="B4356" s="2">
        <f>IFERROR(__xludf.DUMMYFUNCTION("""COMPUTED_VALUE"""),0.0)</f>
        <v>0</v>
      </c>
      <c r="C4356" s="2">
        <f>IFERROR(__xludf.DUMMYFUNCTION("""COMPUTED_VALUE"""),175.0)</f>
        <v>175</v>
      </c>
      <c r="D4356" s="3">
        <f>IFERROR(__xludf.DUMMYFUNCTION("""COMPUTED_VALUE"""),68.0)</f>
        <v>68</v>
      </c>
      <c r="E4356" s="2"/>
      <c r="F4356" s="2"/>
    </row>
    <row r="4357">
      <c r="A4357" s="2">
        <f>IFERROR(__xludf.DUMMYFUNCTION("""COMPUTED_VALUE"""),14689.0)</f>
        <v>14689</v>
      </c>
      <c r="B4357" s="2">
        <f>IFERROR(__xludf.DUMMYFUNCTION("""COMPUTED_VALUE"""),1.0)</f>
        <v>1</v>
      </c>
      <c r="C4357" s="2">
        <f>IFERROR(__xludf.DUMMYFUNCTION("""COMPUTED_VALUE"""),359.0)</f>
        <v>359</v>
      </c>
      <c r="D4357" s="3">
        <f>IFERROR(__xludf.DUMMYFUNCTION("""COMPUTED_VALUE"""),118.0)</f>
        <v>118</v>
      </c>
      <c r="E4357" s="2"/>
      <c r="F4357" s="2"/>
    </row>
    <row r="4358">
      <c r="A4358" s="2">
        <f>IFERROR(__xludf.DUMMYFUNCTION("""COMPUTED_VALUE"""),19409.0)</f>
        <v>19409</v>
      </c>
      <c r="B4358" s="2">
        <f>IFERROR(__xludf.DUMMYFUNCTION("""COMPUTED_VALUE"""),1.0)</f>
        <v>1</v>
      </c>
      <c r="C4358" s="2">
        <f>IFERROR(__xludf.DUMMYFUNCTION("""COMPUTED_VALUE"""),313.0)</f>
        <v>313</v>
      </c>
      <c r="D4358" s="3">
        <f>IFERROR(__xludf.DUMMYFUNCTION("""COMPUTED_VALUE"""),271.0)</f>
        <v>271</v>
      </c>
      <c r="E4358" s="2"/>
      <c r="F4358" s="2"/>
    </row>
    <row r="4359">
      <c r="A4359" s="2">
        <f>IFERROR(__xludf.DUMMYFUNCTION("""COMPUTED_VALUE"""),69526.0)</f>
        <v>69526</v>
      </c>
      <c r="B4359" s="2">
        <f>IFERROR(__xludf.DUMMYFUNCTION("""COMPUTED_VALUE"""),1.0)</f>
        <v>1</v>
      </c>
      <c r="C4359" s="2">
        <f>IFERROR(__xludf.DUMMYFUNCTION("""COMPUTED_VALUE"""),685.0)</f>
        <v>685</v>
      </c>
      <c r="D4359" s="3">
        <f>IFERROR(__xludf.DUMMYFUNCTION("""COMPUTED_VALUE"""),50.0)</f>
        <v>50</v>
      </c>
      <c r="E4359" s="2"/>
      <c r="F4359" s="2"/>
    </row>
    <row r="4360">
      <c r="A4360" s="2">
        <f>IFERROR(__xludf.DUMMYFUNCTION("""COMPUTED_VALUE"""),19412.0)</f>
        <v>19412</v>
      </c>
      <c r="B4360" s="2">
        <f>IFERROR(__xludf.DUMMYFUNCTION("""COMPUTED_VALUE"""),1.0)</f>
        <v>1</v>
      </c>
      <c r="C4360" s="2">
        <f>IFERROR(__xludf.DUMMYFUNCTION("""COMPUTED_VALUE"""),663.0)</f>
        <v>663</v>
      </c>
      <c r="D4360" s="3">
        <f>IFERROR(__xludf.DUMMYFUNCTION("""COMPUTED_VALUE"""),647.0)</f>
        <v>647</v>
      </c>
      <c r="E4360" s="2"/>
      <c r="F4360" s="2"/>
    </row>
    <row r="4361">
      <c r="A4361" s="2">
        <f>IFERROR(__xludf.DUMMYFUNCTION("""COMPUTED_VALUE"""),23471.0)</f>
        <v>23471</v>
      </c>
      <c r="B4361" s="2">
        <f>IFERROR(__xludf.DUMMYFUNCTION("""COMPUTED_VALUE"""),1.0)</f>
        <v>1</v>
      </c>
      <c r="C4361" s="2">
        <f>IFERROR(__xludf.DUMMYFUNCTION("""COMPUTED_VALUE"""),338.0)</f>
        <v>338</v>
      </c>
      <c r="D4361" s="3">
        <f>IFERROR(__xludf.DUMMYFUNCTION("""COMPUTED_VALUE"""),76.0)</f>
        <v>76</v>
      </c>
      <c r="E4361" s="2"/>
      <c r="F4361" s="2"/>
    </row>
    <row r="4362">
      <c r="A4362" s="2">
        <f>IFERROR(__xludf.DUMMYFUNCTION("""COMPUTED_VALUE"""),14670.0)</f>
        <v>14670</v>
      </c>
      <c r="B4362" s="2">
        <f>IFERROR(__xludf.DUMMYFUNCTION("""COMPUTED_VALUE"""),0.0)</f>
        <v>0</v>
      </c>
      <c r="C4362" s="2">
        <f>IFERROR(__xludf.DUMMYFUNCTION("""COMPUTED_VALUE"""),369.0)</f>
        <v>369</v>
      </c>
      <c r="D4362" s="3">
        <f>IFERROR(__xludf.DUMMYFUNCTION("""COMPUTED_VALUE"""),323.0)</f>
        <v>323</v>
      </c>
      <c r="E4362" s="2"/>
      <c r="F4362" s="2"/>
    </row>
    <row r="4363">
      <c r="A4363" s="2">
        <f>IFERROR(__xludf.DUMMYFUNCTION("""COMPUTED_VALUE"""),69499.0)</f>
        <v>69499</v>
      </c>
      <c r="B4363" s="2">
        <f>IFERROR(__xludf.DUMMYFUNCTION("""COMPUTED_VALUE"""),1.0)</f>
        <v>1</v>
      </c>
      <c r="C4363" s="2">
        <f>IFERROR(__xludf.DUMMYFUNCTION("""COMPUTED_VALUE"""),450.0)</f>
        <v>450</v>
      </c>
      <c r="D4363" s="3">
        <f>IFERROR(__xludf.DUMMYFUNCTION("""COMPUTED_VALUE"""),190.0)</f>
        <v>190</v>
      </c>
      <c r="E4363" s="2"/>
      <c r="F4363" s="2"/>
    </row>
    <row r="4364">
      <c r="A4364" s="2">
        <f>IFERROR(__xludf.DUMMYFUNCTION("""COMPUTED_VALUE"""),90686.0)</f>
        <v>90686</v>
      </c>
      <c r="B4364" s="2">
        <f>IFERROR(__xludf.DUMMYFUNCTION("""COMPUTED_VALUE"""),1.0)</f>
        <v>1</v>
      </c>
      <c r="C4364" s="2">
        <f>IFERROR(__xludf.DUMMYFUNCTION("""COMPUTED_VALUE"""),508.0)</f>
        <v>508</v>
      </c>
      <c r="D4364" s="3">
        <f>IFERROR(__xludf.DUMMYFUNCTION("""COMPUTED_VALUE"""),408.0)</f>
        <v>408</v>
      </c>
      <c r="E4364" s="2"/>
      <c r="F4364" s="2"/>
    </row>
    <row r="4365">
      <c r="A4365" s="2">
        <f>IFERROR(__xludf.DUMMYFUNCTION("""COMPUTED_VALUE"""),111872.0)</f>
        <v>111872</v>
      </c>
      <c r="B4365" s="2">
        <f>IFERROR(__xludf.DUMMYFUNCTION("""COMPUTED_VALUE"""),1.0)</f>
        <v>1</v>
      </c>
      <c r="C4365" s="2">
        <f>IFERROR(__xludf.DUMMYFUNCTION("""COMPUTED_VALUE"""),754.0)</f>
        <v>754</v>
      </c>
      <c r="D4365" s="3">
        <f>IFERROR(__xludf.DUMMYFUNCTION("""COMPUTED_VALUE"""),272.0)</f>
        <v>272</v>
      </c>
      <c r="E4365" s="2"/>
      <c r="F4365" s="2"/>
    </row>
    <row r="4366">
      <c r="A4366" s="2">
        <f>IFERROR(__xludf.DUMMYFUNCTION("""COMPUTED_VALUE"""),23964.0)</f>
        <v>23964</v>
      </c>
      <c r="B4366" s="2">
        <f>IFERROR(__xludf.DUMMYFUNCTION("""COMPUTED_VALUE"""),0.0)</f>
        <v>0</v>
      </c>
      <c r="C4366" s="2">
        <f>IFERROR(__xludf.DUMMYFUNCTION("""COMPUTED_VALUE"""),320.0)</f>
        <v>320</v>
      </c>
      <c r="D4366" s="3">
        <f>IFERROR(__xludf.DUMMYFUNCTION("""COMPUTED_VALUE"""),178.0)</f>
        <v>178</v>
      </c>
      <c r="E4366" s="2"/>
      <c r="F4366" s="2"/>
    </row>
    <row r="4367">
      <c r="A4367" s="2">
        <f>IFERROR(__xludf.DUMMYFUNCTION("""COMPUTED_VALUE"""),111837.0)</f>
        <v>111837</v>
      </c>
      <c r="B4367" s="2">
        <f>IFERROR(__xludf.DUMMYFUNCTION("""COMPUTED_VALUE"""),0.0)</f>
        <v>0</v>
      </c>
      <c r="C4367" s="2">
        <f>IFERROR(__xludf.DUMMYFUNCTION("""COMPUTED_VALUE"""),422.0)</f>
        <v>422</v>
      </c>
      <c r="D4367" s="3">
        <f>IFERROR(__xludf.DUMMYFUNCTION("""COMPUTED_VALUE"""),172.0)</f>
        <v>172</v>
      </c>
      <c r="E4367" s="2"/>
      <c r="F4367" s="2"/>
    </row>
    <row r="4368">
      <c r="A4368" s="2">
        <f>IFERROR(__xludf.DUMMYFUNCTION("""COMPUTED_VALUE"""),19377.0)</f>
        <v>19377</v>
      </c>
      <c r="B4368" s="2">
        <f>IFERROR(__xludf.DUMMYFUNCTION("""COMPUTED_VALUE"""),1.0)</f>
        <v>1</v>
      </c>
      <c r="C4368" s="2">
        <f>IFERROR(__xludf.DUMMYFUNCTION("""COMPUTED_VALUE"""),379.0)</f>
        <v>379</v>
      </c>
      <c r="D4368" s="3">
        <f>IFERROR(__xludf.DUMMYFUNCTION("""COMPUTED_VALUE"""),349.0)</f>
        <v>349</v>
      </c>
      <c r="E4368" s="2"/>
      <c r="F4368" s="2"/>
    </row>
    <row r="4369">
      <c r="A4369" s="2">
        <f>IFERROR(__xludf.DUMMYFUNCTION("""COMPUTED_VALUE"""),111836.0)</f>
        <v>111836</v>
      </c>
      <c r="B4369" s="2">
        <f>IFERROR(__xludf.DUMMYFUNCTION("""COMPUTED_VALUE"""),1.0)</f>
        <v>1</v>
      </c>
      <c r="C4369" s="2">
        <f>IFERROR(__xludf.DUMMYFUNCTION("""COMPUTED_VALUE"""),706.0)</f>
        <v>706</v>
      </c>
      <c r="D4369" s="3">
        <f>IFERROR(__xludf.DUMMYFUNCTION("""COMPUTED_VALUE"""),192.0)</f>
        <v>192</v>
      </c>
      <c r="E4369" s="2"/>
      <c r="F4369" s="2"/>
    </row>
    <row r="4370">
      <c r="A4370" s="2">
        <f>IFERROR(__xludf.DUMMYFUNCTION("""COMPUTED_VALUE"""),190103.0)</f>
        <v>190103</v>
      </c>
      <c r="B4370" s="2">
        <f>IFERROR(__xludf.DUMMYFUNCTION("""COMPUTED_VALUE"""),0.0)</f>
        <v>0</v>
      </c>
      <c r="C4370" s="2">
        <f>IFERROR(__xludf.DUMMYFUNCTION("""COMPUTED_VALUE"""),912.0)</f>
        <v>912</v>
      </c>
      <c r="D4370" s="3">
        <f>IFERROR(__xludf.DUMMYFUNCTION("""COMPUTED_VALUE"""),454.0)</f>
        <v>454</v>
      </c>
      <c r="E4370" s="2"/>
      <c r="F4370" s="2"/>
    </row>
    <row r="4371">
      <c r="A4371" s="2">
        <f>IFERROR(__xludf.DUMMYFUNCTION("""COMPUTED_VALUE"""),19408.0)</f>
        <v>19408</v>
      </c>
      <c r="B4371" s="2">
        <f>IFERROR(__xludf.DUMMYFUNCTION("""COMPUTED_VALUE"""),0.0)</f>
        <v>0</v>
      </c>
      <c r="C4371" s="2">
        <f>IFERROR(__xludf.DUMMYFUNCTION("""COMPUTED_VALUE"""),695.0)</f>
        <v>695</v>
      </c>
      <c r="D4371" s="3">
        <f>IFERROR(__xludf.DUMMYFUNCTION("""COMPUTED_VALUE"""),385.0)</f>
        <v>385</v>
      </c>
      <c r="E4371" s="2"/>
      <c r="F4371" s="2"/>
    </row>
    <row r="4372">
      <c r="A4372" s="2">
        <f>IFERROR(__xludf.DUMMYFUNCTION("""COMPUTED_VALUE"""),14694.0)</f>
        <v>14694</v>
      </c>
      <c r="B4372" s="2">
        <f>IFERROR(__xludf.DUMMYFUNCTION("""COMPUTED_VALUE"""),0.0)</f>
        <v>0</v>
      </c>
      <c r="C4372" s="2">
        <f>IFERROR(__xludf.DUMMYFUNCTION("""COMPUTED_VALUE"""),484.0)</f>
        <v>484</v>
      </c>
      <c r="D4372" s="3">
        <f>IFERROR(__xludf.DUMMYFUNCTION("""COMPUTED_VALUE"""),114.0)</f>
        <v>114</v>
      </c>
      <c r="E4372" s="2"/>
      <c r="F4372" s="2"/>
    </row>
    <row r="4373">
      <c r="A4373" s="2">
        <f>IFERROR(__xludf.DUMMYFUNCTION("""COMPUTED_VALUE"""),5686.0)</f>
        <v>5686</v>
      </c>
      <c r="B4373" s="2">
        <f>IFERROR(__xludf.DUMMYFUNCTION("""COMPUTED_VALUE"""),0.0)</f>
        <v>0</v>
      </c>
      <c r="C4373" s="2">
        <f>IFERROR(__xludf.DUMMYFUNCTION("""COMPUTED_VALUE"""),674.0)</f>
        <v>674</v>
      </c>
      <c r="D4373" s="3">
        <f>IFERROR(__xludf.DUMMYFUNCTION("""COMPUTED_VALUE"""),324.0)</f>
        <v>324</v>
      </c>
      <c r="E4373" s="2"/>
      <c r="F4373" s="2"/>
    </row>
    <row r="4374">
      <c r="A4374" s="2">
        <f>IFERROR(__xludf.DUMMYFUNCTION("""COMPUTED_VALUE"""),111842.0)</f>
        <v>111842</v>
      </c>
      <c r="B4374" s="2">
        <f>IFERROR(__xludf.DUMMYFUNCTION("""COMPUTED_VALUE"""),1.0)</f>
        <v>1</v>
      </c>
      <c r="C4374" s="2">
        <f>IFERROR(__xludf.DUMMYFUNCTION("""COMPUTED_VALUE"""),662.0)</f>
        <v>662</v>
      </c>
      <c r="D4374" s="3">
        <f>IFERROR(__xludf.DUMMYFUNCTION("""COMPUTED_VALUE"""),308.0)</f>
        <v>308</v>
      </c>
      <c r="E4374" s="2"/>
      <c r="F4374" s="2"/>
    </row>
    <row r="4375">
      <c r="A4375" s="2">
        <f>IFERROR(__xludf.DUMMYFUNCTION("""COMPUTED_VALUE"""),23978.0)</f>
        <v>23978</v>
      </c>
      <c r="B4375" s="2">
        <f>IFERROR(__xludf.DUMMYFUNCTION("""COMPUTED_VALUE"""),1.0)</f>
        <v>1</v>
      </c>
      <c r="C4375" s="2">
        <f>IFERROR(__xludf.DUMMYFUNCTION("""COMPUTED_VALUE"""),811.0)</f>
        <v>811</v>
      </c>
      <c r="D4375" s="3">
        <f>IFERROR(__xludf.DUMMYFUNCTION("""COMPUTED_VALUE"""),234.0)</f>
        <v>234</v>
      </c>
      <c r="E4375" s="2"/>
      <c r="F4375" s="2"/>
    </row>
    <row r="4376">
      <c r="A4376" s="2">
        <f>IFERROR(__xludf.DUMMYFUNCTION("""COMPUTED_VALUE"""),14682.0)</f>
        <v>14682</v>
      </c>
      <c r="B4376" s="2">
        <f>IFERROR(__xludf.DUMMYFUNCTION("""COMPUTED_VALUE"""),1.0)</f>
        <v>1</v>
      </c>
      <c r="C4376" s="2">
        <f>IFERROR(__xludf.DUMMYFUNCTION("""COMPUTED_VALUE"""),78.0)</f>
        <v>78</v>
      </c>
      <c r="D4376" s="3">
        <f>IFERROR(__xludf.DUMMYFUNCTION("""COMPUTED_VALUE"""),71.0)</f>
        <v>71</v>
      </c>
      <c r="E4376" s="2"/>
      <c r="F4376" s="2"/>
    </row>
    <row r="4377">
      <c r="A4377" s="2">
        <f>IFERROR(__xludf.DUMMYFUNCTION("""COMPUTED_VALUE"""),111873.0)</f>
        <v>111873</v>
      </c>
      <c r="B4377" s="2">
        <f>IFERROR(__xludf.DUMMYFUNCTION("""COMPUTED_VALUE"""),1.0)</f>
        <v>1</v>
      </c>
      <c r="C4377" s="2">
        <f>IFERROR(__xludf.DUMMYFUNCTION("""COMPUTED_VALUE"""),167.0)</f>
        <v>167</v>
      </c>
      <c r="D4377" s="3">
        <f>IFERROR(__xludf.DUMMYFUNCTION("""COMPUTED_VALUE"""),137.0)</f>
        <v>137</v>
      </c>
      <c r="E4377" s="2"/>
      <c r="F4377" s="2"/>
    </row>
    <row r="4378">
      <c r="A4378" s="2">
        <f>IFERROR(__xludf.DUMMYFUNCTION("""COMPUTED_VALUE"""),23454.0)</f>
        <v>23454</v>
      </c>
      <c r="B4378" s="2">
        <f>IFERROR(__xludf.DUMMYFUNCTION("""COMPUTED_VALUE"""),0.0)</f>
        <v>0</v>
      </c>
      <c r="C4378" s="2">
        <f>IFERROR(__xludf.DUMMYFUNCTION("""COMPUTED_VALUE"""),294.0)</f>
        <v>294</v>
      </c>
      <c r="D4378" s="3">
        <f>IFERROR(__xludf.DUMMYFUNCTION("""COMPUTED_VALUE"""),74.0)</f>
        <v>74</v>
      </c>
      <c r="E4378" s="2"/>
      <c r="F4378" s="2"/>
    </row>
    <row r="4379">
      <c r="A4379" s="2">
        <f>IFERROR(__xludf.DUMMYFUNCTION("""COMPUTED_VALUE"""),16760.0)</f>
        <v>16760</v>
      </c>
      <c r="B4379" s="2">
        <f>IFERROR(__xludf.DUMMYFUNCTION("""COMPUTED_VALUE"""),0.0)</f>
        <v>0</v>
      </c>
      <c r="C4379" s="2">
        <f>IFERROR(__xludf.DUMMYFUNCTION("""COMPUTED_VALUE"""),254.0)</f>
        <v>254</v>
      </c>
      <c r="D4379" s="3">
        <f>IFERROR(__xludf.DUMMYFUNCTION("""COMPUTED_VALUE"""),148.0)</f>
        <v>148</v>
      </c>
      <c r="E4379" s="2"/>
      <c r="F4379" s="2"/>
    </row>
    <row r="4380">
      <c r="A4380" s="2">
        <f>IFERROR(__xludf.DUMMYFUNCTION("""COMPUTED_VALUE"""),14709.0)</f>
        <v>14709</v>
      </c>
      <c r="B4380" s="2">
        <f>IFERROR(__xludf.DUMMYFUNCTION("""COMPUTED_VALUE"""),1.0)</f>
        <v>1</v>
      </c>
      <c r="C4380" s="2">
        <f>IFERROR(__xludf.DUMMYFUNCTION("""COMPUTED_VALUE"""),490.0)</f>
        <v>490</v>
      </c>
      <c r="D4380" s="3">
        <f>IFERROR(__xludf.DUMMYFUNCTION("""COMPUTED_VALUE"""),119.0)</f>
        <v>119</v>
      </c>
      <c r="E4380" s="2"/>
      <c r="F4380" s="2"/>
    </row>
    <row r="4381">
      <c r="A4381" s="2">
        <f>IFERROR(__xludf.DUMMYFUNCTION("""COMPUTED_VALUE"""),14665.0)</f>
        <v>14665</v>
      </c>
      <c r="B4381" s="2">
        <f>IFERROR(__xludf.DUMMYFUNCTION("""COMPUTED_VALUE"""),1.0)</f>
        <v>1</v>
      </c>
      <c r="C4381" s="2">
        <f>IFERROR(__xludf.DUMMYFUNCTION("""COMPUTED_VALUE"""),82.0)</f>
        <v>82</v>
      </c>
      <c r="D4381" s="3">
        <f>IFERROR(__xludf.DUMMYFUNCTION("""COMPUTED_VALUE"""),18.0)</f>
        <v>18</v>
      </c>
      <c r="E4381" s="2"/>
      <c r="F4381" s="2"/>
    </row>
    <row r="4382">
      <c r="A4382" s="2">
        <f>IFERROR(__xludf.DUMMYFUNCTION("""COMPUTED_VALUE"""),8869.0)</f>
        <v>8869</v>
      </c>
      <c r="B4382" s="2">
        <f>IFERROR(__xludf.DUMMYFUNCTION("""COMPUTED_VALUE"""),1.0)</f>
        <v>1</v>
      </c>
      <c r="C4382" s="2">
        <f>IFERROR(__xludf.DUMMYFUNCTION("""COMPUTED_VALUE"""),672.0)</f>
        <v>672</v>
      </c>
      <c r="D4382" s="3">
        <f>IFERROR(__xludf.DUMMYFUNCTION("""COMPUTED_VALUE"""),341.0)</f>
        <v>341</v>
      </c>
      <c r="E4382" s="2"/>
      <c r="F4382" s="2"/>
    </row>
    <row r="4383">
      <c r="A4383" s="2">
        <f>IFERROR(__xludf.DUMMYFUNCTION("""COMPUTED_VALUE"""),68520.0)</f>
        <v>68520</v>
      </c>
      <c r="B4383" s="2">
        <f>IFERROR(__xludf.DUMMYFUNCTION("""COMPUTED_VALUE"""),0.0)</f>
        <v>0</v>
      </c>
      <c r="C4383" s="2">
        <f>IFERROR(__xludf.DUMMYFUNCTION("""COMPUTED_VALUE"""),278.0)</f>
        <v>278</v>
      </c>
      <c r="D4383" s="3">
        <f>IFERROR(__xludf.DUMMYFUNCTION("""COMPUTED_VALUE"""),18.0)</f>
        <v>18</v>
      </c>
      <c r="E4383" s="2"/>
      <c r="F4383" s="2"/>
    </row>
    <row r="4384">
      <c r="A4384" s="2">
        <f>IFERROR(__xludf.DUMMYFUNCTION("""COMPUTED_VALUE"""),107331.0)</f>
        <v>107331</v>
      </c>
      <c r="B4384" s="2">
        <f>IFERROR(__xludf.DUMMYFUNCTION("""COMPUTED_VALUE"""),1.0)</f>
        <v>1</v>
      </c>
      <c r="C4384" s="2">
        <f>IFERROR(__xludf.DUMMYFUNCTION("""COMPUTED_VALUE"""),868.0)</f>
        <v>868</v>
      </c>
      <c r="D4384" s="3">
        <f>IFERROR(__xludf.DUMMYFUNCTION("""COMPUTED_VALUE"""),804.0)</f>
        <v>804</v>
      </c>
      <c r="E4384" s="2"/>
      <c r="F4384" s="2"/>
    </row>
    <row r="4385">
      <c r="A4385" s="2">
        <f>IFERROR(__xludf.DUMMYFUNCTION("""COMPUTED_VALUE"""),107325.0)</f>
        <v>107325</v>
      </c>
      <c r="B4385" s="2">
        <f>IFERROR(__xludf.DUMMYFUNCTION("""COMPUTED_VALUE"""),0.0)</f>
        <v>0</v>
      </c>
      <c r="C4385" s="2">
        <f>IFERROR(__xludf.DUMMYFUNCTION("""COMPUTED_VALUE"""),413.0)</f>
        <v>413</v>
      </c>
      <c r="D4385" s="3">
        <f>IFERROR(__xludf.DUMMYFUNCTION("""COMPUTED_VALUE"""),97.0)</f>
        <v>97</v>
      </c>
      <c r="E4385" s="2"/>
      <c r="F4385" s="2"/>
    </row>
    <row r="4386">
      <c r="A4386" s="2">
        <f>IFERROR(__xludf.DUMMYFUNCTION("""COMPUTED_VALUE"""),8871.0)</f>
        <v>8871</v>
      </c>
      <c r="B4386" s="2">
        <f>IFERROR(__xludf.DUMMYFUNCTION("""COMPUTED_VALUE"""),1.0)</f>
        <v>1</v>
      </c>
      <c r="C4386" s="2">
        <f>IFERROR(__xludf.DUMMYFUNCTION("""COMPUTED_VALUE"""),883.0)</f>
        <v>883</v>
      </c>
      <c r="D4386" s="3">
        <f>IFERROR(__xludf.DUMMYFUNCTION("""COMPUTED_VALUE"""),818.0)</f>
        <v>818</v>
      </c>
      <c r="E4386" s="2"/>
      <c r="F4386" s="2"/>
    </row>
    <row r="4387">
      <c r="A4387" s="2">
        <f>IFERROR(__xludf.DUMMYFUNCTION("""COMPUTED_VALUE"""),107334.0)</f>
        <v>107334</v>
      </c>
      <c r="B4387" s="2">
        <f>IFERROR(__xludf.DUMMYFUNCTION("""COMPUTED_VALUE"""),0.0)</f>
        <v>0</v>
      </c>
      <c r="C4387" s="2">
        <f>IFERROR(__xludf.DUMMYFUNCTION("""COMPUTED_VALUE"""),571.0)</f>
        <v>571</v>
      </c>
      <c r="D4387" s="3">
        <f>IFERROR(__xludf.DUMMYFUNCTION("""COMPUTED_VALUE"""),443.0)</f>
        <v>443</v>
      </c>
      <c r="E4387" s="2"/>
      <c r="F4387" s="2"/>
    </row>
    <row r="4388">
      <c r="A4388" s="2">
        <f>IFERROR(__xludf.DUMMYFUNCTION("""COMPUTED_VALUE"""),120302.0)</f>
        <v>120302</v>
      </c>
      <c r="B4388" s="2">
        <f>IFERROR(__xludf.DUMMYFUNCTION("""COMPUTED_VALUE"""),0.0)</f>
        <v>0</v>
      </c>
      <c r="C4388" s="2">
        <f>IFERROR(__xludf.DUMMYFUNCTION("""COMPUTED_VALUE"""),623.0)</f>
        <v>623</v>
      </c>
      <c r="D4388" s="3">
        <f>IFERROR(__xludf.DUMMYFUNCTION("""COMPUTED_VALUE"""),595.0)</f>
        <v>595</v>
      </c>
      <c r="E4388" s="2"/>
      <c r="F4388" s="2"/>
    </row>
    <row r="4389">
      <c r="A4389" s="2">
        <f>IFERROR(__xludf.DUMMYFUNCTION("""COMPUTED_VALUE"""),117661.0)</f>
        <v>117661</v>
      </c>
      <c r="B4389" s="2">
        <f>IFERROR(__xludf.DUMMYFUNCTION("""COMPUTED_VALUE"""),1.0)</f>
        <v>1</v>
      </c>
      <c r="C4389" s="2">
        <f>IFERROR(__xludf.DUMMYFUNCTION("""COMPUTED_VALUE"""),584.0)</f>
        <v>584</v>
      </c>
      <c r="D4389" s="3">
        <f>IFERROR(__xludf.DUMMYFUNCTION("""COMPUTED_VALUE"""),306.0)</f>
        <v>306</v>
      </c>
      <c r="E4389" s="2"/>
      <c r="F4389" s="2"/>
    </row>
    <row r="4390">
      <c r="A4390" s="2">
        <f>IFERROR(__xludf.DUMMYFUNCTION("""COMPUTED_VALUE"""),79006.0)</f>
        <v>79006</v>
      </c>
      <c r="B4390" s="2">
        <f>IFERROR(__xludf.DUMMYFUNCTION("""COMPUTED_VALUE"""),0.0)</f>
        <v>0</v>
      </c>
      <c r="C4390" s="2">
        <f>IFERROR(__xludf.DUMMYFUNCTION("""COMPUTED_VALUE"""),739.0)</f>
        <v>739</v>
      </c>
      <c r="D4390" s="3">
        <f>IFERROR(__xludf.DUMMYFUNCTION("""COMPUTED_VALUE"""),112.0)</f>
        <v>112</v>
      </c>
      <c r="E4390" s="2"/>
      <c r="F4390" s="2"/>
    </row>
    <row r="4391">
      <c r="A4391" s="2">
        <f>IFERROR(__xludf.DUMMYFUNCTION("""COMPUTED_VALUE"""),17133.0)</f>
        <v>17133</v>
      </c>
      <c r="B4391" s="2">
        <f>IFERROR(__xludf.DUMMYFUNCTION("""COMPUTED_VALUE"""),0.0)</f>
        <v>0</v>
      </c>
      <c r="C4391" s="2">
        <f>IFERROR(__xludf.DUMMYFUNCTION("""COMPUTED_VALUE"""),538.0)</f>
        <v>538</v>
      </c>
      <c r="D4391" s="3">
        <f>IFERROR(__xludf.DUMMYFUNCTION("""COMPUTED_VALUE"""),12.0)</f>
        <v>12</v>
      </c>
      <c r="E4391" s="2"/>
      <c r="F4391" s="2"/>
    </row>
    <row r="4392">
      <c r="A4392" s="2">
        <f>IFERROR(__xludf.DUMMYFUNCTION("""COMPUTED_VALUE"""),76818.0)</f>
        <v>76818</v>
      </c>
      <c r="B4392" s="2">
        <f>IFERROR(__xludf.DUMMYFUNCTION("""COMPUTED_VALUE"""),1.0)</f>
        <v>1</v>
      </c>
      <c r="C4392" s="2">
        <f>IFERROR(__xludf.DUMMYFUNCTION("""COMPUTED_VALUE"""),465.0)</f>
        <v>465</v>
      </c>
      <c r="D4392" s="3">
        <f>IFERROR(__xludf.DUMMYFUNCTION("""COMPUTED_VALUE"""),31.0)</f>
        <v>31</v>
      </c>
      <c r="E4392" s="2"/>
      <c r="F4392" s="2"/>
    </row>
    <row r="4393">
      <c r="A4393" s="2">
        <f>IFERROR(__xludf.DUMMYFUNCTION("""COMPUTED_VALUE"""),70236.0)</f>
        <v>70236</v>
      </c>
      <c r="B4393" s="2">
        <f>IFERROR(__xludf.DUMMYFUNCTION("""COMPUTED_VALUE"""),0.0)</f>
        <v>0</v>
      </c>
      <c r="C4393" s="2">
        <f>IFERROR(__xludf.DUMMYFUNCTION("""COMPUTED_VALUE"""),242.0)</f>
        <v>242</v>
      </c>
      <c r="D4393" s="3">
        <f>IFERROR(__xludf.DUMMYFUNCTION("""COMPUTED_VALUE"""),199.0)</f>
        <v>199</v>
      </c>
      <c r="E4393" s="2"/>
      <c r="F4393" s="2"/>
    </row>
    <row r="4394">
      <c r="A4394" s="2">
        <f>IFERROR(__xludf.DUMMYFUNCTION("""COMPUTED_VALUE"""),91342.0)</f>
        <v>91342</v>
      </c>
      <c r="B4394" s="2">
        <f>IFERROR(__xludf.DUMMYFUNCTION("""COMPUTED_VALUE"""),0.0)</f>
        <v>0</v>
      </c>
      <c r="C4394" s="2">
        <f>IFERROR(__xludf.DUMMYFUNCTION("""COMPUTED_VALUE"""),458.0)</f>
        <v>458</v>
      </c>
      <c r="D4394" s="3">
        <f>IFERROR(__xludf.DUMMYFUNCTION("""COMPUTED_VALUE"""),332.0)</f>
        <v>332</v>
      </c>
      <c r="E4394" s="2"/>
      <c r="F4394" s="2"/>
    </row>
    <row r="4395">
      <c r="A4395" s="2">
        <f>IFERROR(__xludf.DUMMYFUNCTION("""COMPUTED_VALUE"""),121782.0)</f>
        <v>121782</v>
      </c>
      <c r="B4395" s="2">
        <f>IFERROR(__xludf.DUMMYFUNCTION("""COMPUTED_VALUE"""),0.0)</f>
        <v>0</v>
      </c>
      <c r="C4395" s="2">
        <f>IFERROR(__xludf.DUMMYFUNCTION("""COMPUTED_VALUE"""),646.0)</f>
        <v>646</v>
      </c>
      <c r="D4395" s="3">
        <f>IFERROR(__xludf.DUMMYFUNCTION("""COMPUTED_VALUE"""),505.0)</f>
        <v>505</v>
      </c>
      <c r="E4395" s="2"/>
      <c r="F4395" s="2"/>
    </row>
    <row r="4396">
      <c r="A4396" s="2">
        <f>IFERROR(__xludf.DUMMYFUNCTION("""COMPUTED_VALUE"""),76822.0)</f>
        <v>76822</v>
      </c>
      <c r="B4396" s="2">
        <f>IFERROR(__xludf.DUMMYFUNCTION("""COMPUTED_VALUE"""),0.0)</f>
        <v>0</v>
      </c>
      <c r="C4396" s="2">
        <f>IFERROR(__xludf.DUMMYFUNCTION("""COMPUTED_VALUE"""),818.0)</f>
        <v>818</v>
      </c>
      <c r="D4396" s="3">
        <f>IFERROR(__xludf.DUMMYFUNCTION("""COMPUTED_VALUE"""),296.0)</f>
        <v>296</v>
      </c>
      <c r="E4396" s="2"/>
      <c r="F4396" s="2"/>
    </row>
    <row r="4397">
      <c r="A4397" s="2">
        <f>IFERROR(__xludf.DUMMYFUNCTION("""COMPUTED_VALUE"""),100278.0)</f>
        <v>100278</v>
      </c>
      <c r="B4397" s="2">
        <f>IFERROR(__xludf.DUMMYFUNCTION("""COMPUTED_VALUE"""),1.0)</f>
        <v>1</v>
      </c>
      <c r="C4397" s="2">
        <f>IFERROR(__xludf.DUMMYFUNCTION("""COMPUTED_VALUE"""),621.0)</f>
        <v>621</v>
      </c>
      <c r="D4397" s="3">
        <f>IFERROR(__xludf.DUMMYFUNCTION("""COMPUTED_VALUE"""),262.0)</f>
        <v>262</v>
      </c>
      <c r="E4397" s="2"/>
      <c r="F4397" s="2"/>
    </row>
    <row r="4398">
      <c r="A4398" s="2">
        <f>IFERROR(__xludf.DUMMYFUNCTION("""COMPUTED_VALUE"""),122795.0)</f>
        <v>122795</v>
      </c>
      <c r="B4398" s="2">
        <f>IFERROR(__xludf.DUMMYFUNCTION("""COMPUTED_VALUE"""),0.0)</f>
        <v>0</v>
      </c>
      <c r="C4398" s="2">
        <f>IFERROR(__xludf.DUMMYFUNCTION("""COMPUTED_VALUE"""),493.0)</f>
        <v>493</v>
      </c>
      <c r="D4398" s="3">
        <f>IFERROR(__xludf.DUMMYFUNCTION("""COMPUTED_VALUE"""),269.0)</f>
        <v>269</v>
      </c>
      <c r="E4398" s="2"/>
      <c r="F4398" s="2"/>
    </row>
    <row r="4399">
      <c r="A4399" s="2">
        <f>IFERROR(__xludf.DUMMYFUNCTION("""COMPUTED_VALUE"""),100282.0)</f>
        <v>100282</v>
      </c>
      <c r="B4399" s="2">
        <f>IFERROR(__xludf.DUMMYFUNCTION("""COMPUTED_VALUE"""),0.0)</f>
        <v>0</v>
      </c>
      <c r="C4399" s="2">
        <f>IFERROR(__xludf.DUMMYFUNCTION("""COMPUTED_VALUE"""),300.0)</f>
        <v>300</v>
      </c>
      <c r="D4399" s="3">
        <f>IFERROR(__xludf.DUMMYFUNCTION("""COMPUTED_VALUE"""),54.0)</f>
        <v>54</v>
      </c>
      <c r="E4399" s="2"/>
      <c r="F4399" s="2"/>
    </row>
    <row r="4400">
      <c r="A4400" s="2">
        <f>IFERROR(__xludf.DUMMYFUNCTION("""COMPUTED_VALUE"""),68867.0)</f>
        <v>68867</v>
      </c>
      <c r="B4400" s="2">
        <f>IFERROR(__xludf.DUMMYFUNCTION("""COMPUTED_VALUE"""),0.0)</f>
        <v>0</v>
      </c>
      <c r="C4400" s="2">
        <f>IFERROR(__xludf.DUMMYFUNCTION("""COMPUTED_VALUE"""),211.0)</f>
        <v>211</v>
      </c>
      <c r="D4400" s="3">
        <f>IFERROR(__xludf.DUMMYFUNCTION("""COMPUTED_VALUE"""),85.0)</f>
        <v>85</v>
      </c>
      <c r="E4400" s="2"/>
      <c r="F4400" s="2"/>
    </row>
    <row r="4401">
      <c r="A4401" s="2">
        <f>IFERROR(__xludf.DUMMYFUNCTION("""COMPUTED_VALUE"""),8862.0)</f>
        <v>8862</v>
      </c>
      <c r="B4401" s="2">
        <f>IFERROR(__xludf.DUMMYFUNCTION("""COMPUTED_VALUE"""),0.0)</f>
        <v>0</v>
      </c>
      <c r="C4401" s="2">
        <f>IFERROR(__xludf.DUMMYFUNCTION("""COMPUTED_VALUE"""),601.0)</f>
        <v>601</v>
      </c>
      <c r="D4401" s="3">
        <f>IFERROR(__xludf.DUMMYFUNCTION("""COMPUTED_VALUE"""),265.0)</f>
        <v>265</v>
      </c>
      <c r="E4401" s="2"/>
      <c r="F4401" s="2"/>
    </row>
    <row r="4402">
      <c r="A4402" s="2">
        <f>IFERROR(__xludf.DUMMYFUNCTION("""COMPUTED_VALUE"""),72131.0)</f>
        <v>72131</v>
      </c>
      <c r="B4402" s="2">
        <f>IFERROR(__xludf.DUMMYFUNCTION("""COMPUTED_VALUE"""),1.0)</f>
        <v>1</v>
      </c>
      <c r="C4402" s="2">
        <f>IFERROR(__xludf.DUMMYFUNCTION("""COMPUTED_VALUE"""),651.0)</f>
        <v>651</v>
      </c>
      <c r="D4402" s="3">
        <f>IFERROR(__xludf.DUMMYFUNCTION("""COMPUTED_VALUE"""),474.0)</f>
        <v>474</v>
      </c>
      <c r="E4402" s="2"/>
      <c r="F4402" s="2"/>
    </row>
    <row r="4403">
      <c r="A4403" s="2">
        <f>IFERROR(__xludf.DUMMYFUNCTION("""COMPUTED_VALUE"""),12047.0)</f>
        <v>12047</v>
      </c>
      <c r="B4403" s="2">
        <f>IFERROR(__xludf.DUMMYFUNCTION("""COMPUTED_VALUE"""),0.0)</f>
        <v>0</v>
      </c>
      <c r="C4403" s="2">
        <f>IFERROR(__xludf.DUMMYFUNCTION("""COMPUTED_VALUE"""),588.0)</f>
        <v>588</v>
      </c>
      <c r="D4403" s="3">
        <f>IFERROR(__xludf.DUMMYFUNCTION("""COMPUTED_VALUE"""),211.0)</f>
        <v>211</v>
      </c>
      <c r="E4403" s="2"/>
      <c r="F4403" s="2"/>
    </row>
    <row r="4404">
      <c r="A4404" s="2">
        <f>IFERROR(__xludf.DUMMYFUNCTION("""COMPUTED_VALUE"""),121790.0)</f>
        <v>121790</v>
      </c>
      <c r="B4404" s="2">
        <f>IFERROR(__xludf.DUMMYFUNCTION("""COMPUTED_VALUE"""),1.0)</f>
        <v>1</v>
      </c>
      <c r="C4404" s="2">
        <f>IFERROR(__xludf.DUMMYFUNCTION("""COMPUTED_VALUE"""),376.0)</f>
        <v>376</v>
      </c>
      <c r="D4404" s="3">
        <f>IFERROR(__xludf.DUMMYFUNCTION("""COMPUTED_VALUE"""),182.0)</f>
        <v>182</v>
      </c>
      <c r="E4404" s="2"/>
      <c r="F4404" s="2"/>
    </row>
    <row r="4405">
      <c r="A4405" s="2">
        <f>IFERROR(__xludf.DUMMYFUNCTION("""COMPUTED_VALUE"""),121787.0)</f>
        <v>121787</v>
      </c>
      <c r="B4405" s="2">
        <f>IFERROR(__xludf.DUMMYFUNCTION("""COMPUTED_VALUE"""),1.0)</f>
        <v>1</v>
      </c>
      <c r="C4405" s="2">
        <f>IFERROR(__xludf.DUMMYFUNCTION("""COMPUTED_VALUE"""),75.0)</f>
        <v>75</v>
      </c>
      <c r="D4405" s="3">
        <f>IFERROR(__xludf.DUMMYFUNCTION("""COMPUTED_VALUE"""),34.0)</f>
        <v>34</v>
      </c>
      <c r="E4405" s="2"/>
      <c r="F4405" s="2"/>
    </row>
    <row r="4406">
      <c r="A4406" s="2">
        <f>IFERROR(__xludf.DUMMYFUNCTION("""COMPUTED_VALUE"""),70239.0)</f>
        <v>70239</v>
      </c>
      <c r="B4406" s="2">
        <f>IFERROR(__xludf.DUMMYFUNCTION("""COMPUTED_VALUE"""),1.0)</f>
        <v>1</v>
      </c>
      <c r="C4406" s="2">
        <f>IFERROR(__xludf.DUMMYFUNCTION("""COMPUTED_VALUE"""),924.0)</f>
        <v>924</v>
      </c>
      <c r="D4406" s="3">
        <f>IFERROR(__xludf.DUMMYFUNCTION("""COMPUTED_VALUE"""),81.0)</f>
        <v>81</v>
      </c>
      <c r="E4406" s="2"/>
      <c r="F4406" s="2"/>
    </row>
    <row r="4407">
      <c r="A4407" s="2">
        <f>IFERROR(__xludf.DUMMYFUNCTION("""COMPUTED_VALUE"""),113942.0)</f>
        <v>113942</v>
      </c>
      <c r="B4407" s="2">
        <f>IFERROR(__xludf.DUMMYFUNCTION("""COMPUTED_VALUE"""),1.0)</f>
        <v>1</v>
      </c>
      <c r="C4407" s="2">
        <f>IFERROR(__xludf.DUMMYFUNCTION("""COMPUTED_VALUE"""),770.0)</f>
        <v>770</v>
      </c>
      <c r="D4407" s="3">
        <f>IFERROR(__xludf.DUMMYFUNCTION("""COMPUTED_VALUE"""),758.0)</f>
        <v>758</v>
      </c>
      <c r="E4407" s="2"/>
      <c r="F4407" s="2"/>
    </row>
    <row r="4408">
      <c r="A4408" s="2">
        <f>IFERROR(__xludf.DUMMYFUNCTION("""COMPUTED_VALUE"""),119134.0)</f>
        <v>119134</v>
      </c>
      <c r="B4408" s="2">
        <f>IFERROR(__xludf.DUMMYFUNCTION("""COMPUTED_VALUE"""),0.0)</f>
        <v>0</v>
      </c>
      <c r="C4408" s="2">
        <f>IFERROR(__xludf.DUMMYFUNCTION("""COMPUTED_VALUE"""),602.0)</f>
        <v>602</v>
      </c>
      <c r="D4408" s="3">
        <f>IFERROR(__xludf.DUMMYFUNCTION("""COMPUTED_VALUE"""),326.0)</f>
        <v>326</v>
      </c>
      <c r="E4408" s="2"/>
      <c r="F4408" s="2"/>
    </row>
    <row r="4409">
      <c r="A4409" s="2">
        <f>IFERROR(__xludf.DUMMYFUNCTION("""COMPUTED_VALUE"""),76813.0)</f>
        <v>76813</v>
      </c>
      <c r="B4409" s="2">
        <f>IFERROR(__xludf.DUMMYFUNCTION("""COMPUTED_VALUE"""),0.0)</f>
        <v>0</v>
      </c>
      <c r="C4409" s="2">
        <f>IFERROR(__xludf.DUMMYFUNCTION("""COMPUTED_VALUE"""),795.0)</f>
        <v>795</v>
      </c>
      <c r="D4409" s="3">
        <f>IFERROR(__xludf.DUMMYFUNCTION("""COMPUTED_VALUE"""),125.0)</f>
        <v>125</v>
      </c>
      <c r="E4409" s="2"/>
      <c r="F4409" s="2"/>
    </row>
    <row r="4410">
      <c r="A4410" s="2">
        <f>IFERROR(__xludf.DUMMYFUNCTION("""COMPUTED_VALUE"""),121793.0)</f>
        <v>121793</v>
      </c>
      <c r="B4410" s="2">
        <f>IFERROR(__xludf.DUMMYFUNCTION("""COMPUTED_VALUE"""),0.0)</f>
        <v>0</v>
      </c>
      <c r="C4410" s="2">
        <f>IFERROR(__xludf.DUMMYFUNCTION("""COMPUTED_VALUE"""),366.0)</f>
        <v>366</v>
      </c>
      <c r="D4410" s="3">
        <f>IFERROR(__xludf.DUMMYFUNCTION("""COMPUTED_VALUE"""),100.0)</f>
        <v>100</v>
      </c>
      <c r="E4410" s="2"/>
      <c r="F4410" s="2"/>
    </row>
    <row r="4411">
      <c r="A4411" s="2">
        <f>IFERROR(__xludf.DUMMYFUNCTION("""COMPUTED_VALUE"""),100283.0)</f>
        <v>100283</v>
      </c>
      <c r="B4411" s="2">
        <f>IFERROR(__xludf.DUMMYFUNCTION("""COMPUTED_VALUE"""),1.0)</f>
        <v>1</v>
      </c>
      <c r="C4411" s="2">
        <f>IFERROR(__xludf.DUMMYFUNCTION("""COMPUTED_VALUE"""),961.0)</f>
        <v>961</v>
      </c>
      <c r="D4411" s="3">
        <f>IFERROR(__xludf.DUMMYFUNCTION("""COMPUTED_VALUE"""),203.0)</f>
        <v>203</v>
      </c>
      <c r="E4411" s="2"/>
      <c r="F4411" s="2"/>
    </row>
    <row r="4412">
      <c r="A4412" s="2">
        <f>IFERROR(__xludf.DUMMYFUNCTION("""COMPUTED_VALUE"""),75028.0)</f>
        <v>75028</v>
      </c>
      <c r="B4412" s="2">
        <f>IFERROR(__xludf.DUMMYFUNCTION("""COMPUTED_VALUE"""),1.0)</f>
        <v>1</v>
      </c>
      <c r="C4412" s="2">
        <f>IFERROR(__xludf.DUMMYFUNCTION("""COMPUTED_VALUE"""),24.0)</f>
        <v>24</v>
      </c>
      <c r="D4412" s="3">
        <f>IFERROR(__xludf.DUMMYFUNCTION("""COMPUTED_VALUE"""),21.0)</f>
        <v>21</v>
      </c>
      <c r="E4412" s="2"/>
      <c r="F4412" s="2"/>
    </row>
    <row r="4413">
      <c r="A4413" s="2">
        <f>IFERROR(__xludf.DUMMYFUNCTION("""COMPUTED_VALUE"""),113946.0)</f>
        <v>113946</v>
      </c>
      <c r="B4413" s="2">
        <f>IFERROR(__xludf.DUMMYFUNCTION("""COMPUTED_VALUE"""),1.0)</f>
        <v>1</v>
      </c>
      <c r="C4413" s="2">
        <f>IFERROR(__xludf.DUMMYFUNCTION("""COMPUTED_VALUE"""),482.0)</f>
        <v>482</v>
      </c>
      <c r="D4413" s="3">
        <f>IFERROR(__xludf.DUMMYFUNCTION("""COMPUTED_VALUE"""),327.0)</f>
        <v>327</v>
      </c>
      <c r="E4413" s="2"/>
      <c r="F4413" s="2"/>
    </row>
    <row r="4414">
      <c r="A4414" s="2">
        <f>IFERROR(__xludf.DUMMYFUNCTION("""COMPUTED_VALUE"""),12050.0)</f>
        <v>12050</v>
      </c>
      <c r="B4414" s="2">
        <f>IFERROR(__xludf.DUMMYFUNCTION("""COMPUTED_VALUE"""),0.0)</f>
        <v>0</v>
      </c>
      <c r="C4414" s="2">
        <f>IFERROR(__xludf.DUMMYFUNCTION("""COMPUTED_VALUE"""),917.0)</f>
        <v>917</v>
      </c>
      <c r="D4414" s="3">
        <f>IFERROR(__xludf.DUMMYFUNCTION("""COMPUTED_VALUE"""),205.0)</f>
        <v>205</v>
      </c>
      <c r="E4414" s="2"/>
      <c r="F4414" s="2"/>
    </row>
    <row r="4415">
      <c r="A4415" s="2">
        <f>IFERROR(__xludf.DUMMYFUNCTION("""COMPUTED_VALUE"""),104312.0)</f>
        <v>104312</v>
      </c>
      <c r="B4415" s="2">
        <f>IFERROR(__xludf.DUMMYFUNCTION("""COMPUTED_VALUE"""),1.0)</f>
        <v>1</v>
      </c>
      <c r="C4415" s="2">
        <f>IFERROR(__xludf.DUMMYFUNCTION("""COMPUTED_VALUE"""),49.0)</f>
        <v>49</v>
      </c>
      <c r="D4415" s="3">
        <f>IFERROR(__xludf.DUMMYFUNCTION("""COMPUTED_VALUE"""),33.0)</f>
        <v>33</v>
      </c>
      <c r="E4415" s="2"/>
      <c r="F4415" s="2"/>
    </row>
    <row r="4416">
      <c r="A4416" s="2">
        <f>IFERROR(__xludf.DUMMYFUNCTION("""COMPUTED_VALUE"""),121780.0)</f>
        <v>121780</v>
      </c>
      <c r="B4416" s="2">
        <f>IFERROR(__xludf.DUMMYFUNCTION("""COMPUTED_VALUE"""),1.0)</f>
        <v>1</v>
      </c>
      <c r="C4416" s="2">
        <f>IFERROR(__xludf.DUMMYFUNCTION("""COMPUTED_VALUE"""),940.0)</f>
        <v>940</v>
      </c>
      <c r="D4416" s="3">
        <f>IFERROR(__xludf.DUMMYFUNCTION("""COMPUTED_VALUE"""),22.0)</f>
        <v>22</v>
      </c>
      <c r="E4416" s="2"/>
      <c r="F4416" s="2"/>
    </row>
    <row r="4417">
      <c r="A4417" s="2">
        <f>IFERROR(__xludf.DUMMYFUNCTION("""COMPUTED_VALUE"""),88638.0)</f>
        <v>88638</v>
      </c>
      <c r="B4417" s="2">
        <f>IFERROR(__xludf.DUMMYFUNCTION("""COMPUTED_VALUE"""),1.0)</f>
        <v>1</v>
      </c>
      <c r="C4417" s="2">
        <f>IFERROR(__xludf.DUMMYFUNCTION("""COMPUTED_VALUE"""),694.0)</f>
        <v>694</v>
      </c>
      <c r="D4417" s="3">
        <f>IFERROR(__xludf.DUMMYFUNCTION("""COMPUTED_VALUE"""),256.0)</f>
        <v>256</v>
      </c>
      <c r="E4417" s="2"/>
      <c r="F4417" s="2"/>
    </row>
    <row r="4418">
      <c r="A4418" s="2">
        <f>IFERROR(__xludf.DUMMYFUNCTION("""COMPUTED_VALUE"""),70238.0)</f>
        <v>70238</v>
      </c>
      <c r="B4418" s="2">
        <f>IFERROR(__xludf.DUMMYFUNCTION("""COMPUTED_VALUE"""),0.0)</f>
        <v>0</v>
      </c>
      <c r="C4418" s="2">
        <f>IFERROR(__xludf.DUMMYFUNCTION("""COMPUTED_VALUE"""),925.0)</f>
        <v>925</v>
      </c>
      <c r="D4418" s="3">
        <f>IFERROR(__xludf.DUMMYFUNCTION("""COMPUTED_VALUE"""),620.0)</f>
        <v>620</v>
      </c>
      <c r="E4418" s="2"/>
      <c r="F4418" s="2"/>
    </row>
    <row r="4419">
      <c r="A4419" s="2">
        <f>IFERROR(__xludf.DUMMYFUNCTION("""COMPUTED_VALUE"""),121839.0)</f>
        <v>121839</v>
      </c>
      <c r="B4419" s="2">
        <f>IFERROR(__xludf.DUMMYFUNCTION("""COMPUTED_VALUE"""),1.0)</f>
        <v>1</v>
      </c>
      <c r="C4419" s="2">
        <f>IFERROR(__xludf.DUMMYFUNCTION("""COMPUTED_VALUE"""),560.0)</f>
        <v>560</v>
      </c>
      <c r="D4419" s="3">
        <f>IFERROR(__xludf.DUMMYFUNCTION("""COMPUTED_VALUE"""),232.0)</f>
        <v>232</v>
      </c>
      <c r="E4419" s="2"/>
      <c r="F4419" s="2"/>
    </row>
    <row r="4420">
      <c r="A4420" s="2">
        <f>IFERROR(__xludf.DUMMYFUNCTION("""COMPUTED_VALUE"""),77621.0)</f>
        <v>77621</v>
      </c>
      <c r="B4420" s="2">
        <f>IFERROR(__xludf.DUMMYFUNCTION("""COMPUTED_VALUE"""),1.0)</f>
        <v>1</v>
      </c>
      <c r="C4420" s="2">
        <f>IFERROR(__xludf.DUMMYFUNCTION("""COMPUTED_VALUE"""),50.0)</f>
        <v>50</v>
      </c>
      <c r="D4420" s="3">
        <f>IFERROR(__xludf.DUMMYFUNCTION("""COMPUTED_VALUE"""),9.0)</f>
        <v>9</v>
      </c>
      <c r="E4420" s="2"/>
      <c r="F4420" s="2"/>
    </row>
    <row r="4421">
      <c r="A4421" s="2">
        <f>IFERROR(__xludf.DUMMYFUNCTION("""COMPUTED_VALUE"""),121783.0)</f>
        <v>121783</v>
      </c>
      <c r="B4421" s="2">
        <f>IFERROR(__xludf.DUMMYFUNCTION("""COMPUTED_VALUE"""),0.0)</f>
        <v>0</v>
      </c>
      <c r="C4421" s="2">
        <f>IFERROR(__xludf.DUMMYFUNCTION("""COMPUTED_VALUE"""),487.0)</f>
        <v>487</v>
      </c>
      <c r="D4421" s="3">
        <f>IFERROR(__xludf.DUMMYFUNCTION("""COMPUTED_VALUE"""),198.0)</f>
        <v>198</v>
      </c>
      <c r="E4421" s="2"/>
      <c r="F4421" s="2"/>
    </row>
    <row r="4422">
      <c r="A4422" s="2">
        <f>IFERROR(__xludf.DUMMYFUNCTION("""COMPUTED_VALUE"""),75033.0)</f>
        <v>75033</v>
      </c>
      <c r="B4422" s="2">
        <f>IFERROR(__xludf.DUMMYFUNCTION("""COMPUTED_VALUE"""),1.0)</f>
        <v>1</v>
      </c>
      <c r="C4422" s="2">
        <f>IFERROR(__xludf.DUMMYFUNCTION("""COMPUTED_VALUE"""),411.0)</f>
        <v>411</v>
      </c>
      <c r="D4422" s="3">
        <f>IFERROR(__xludf.DUMMYFUNCTION("""COMPUTED_VALUE"""),196.0)</f>
        <v>196</v>
      </c>
      <c r="E4422" s="2"/>
      <c r="F4422" s="2"/>
    </row>
    <row r="4423">
      <c r="A4423" s="2">
        <f>IFERROR(__xludf.DUMMYFUNCTION("""COMPUTED_VALUE"""),12053.0)</f>
        <v>12053</v>
      </c>
      <c r="B4423" s="2">
        <f>IFERROR(__xludf.DUMMYFUNCTION("""COMPUTED_VALUE"""),1.0)</f>
        <v>1</v>
      </c>
      <c r="C4423" s="2">
        <f>IFERROR(__xludf.DUMMYFUNCTION("""COMPUTED_VALUE"""),969.0)</f>
        <v>969</v>
      </c>
      <c r="D4423" s="3">
        <f>IFERROR(__xludf.DUMMYFUNCTION("""COMPUTED_VALUE"""),373.0)</f>
        <v>373</v>
      </c>
      <c r="E4423" s="2"/>
      <c r="F4423" s="2"/>
    </row>
    <row r="4424">
      <c r="A4424" s="2">
        <f>IFERROR(__xludf.DUMMYFUNCTION("""COMPUTED_VALUE"""),113954.0)</f>
        <v>113954</v>
      </c>
      <c r="B4424" s="2">
        <f>IFERROR(__xludf.DUMMYFUNCTION("""COMPUTED_VALUE"""),0.0)</f>
        <v>0</v>
      </c>
      <c r="C4424" s="2">
        <f>IFERROR(__xludf.DUMMYFUNCTION("""COMPUTED_VALUE"""),969.0)</f>
        <v>969</v>
      </c>
      <c r="D4424" s="3">
        <f>IFERROR(__xludf.DUMMYFUNCTION("""COMPUTED_VALUE"""),784.0)</f>
        <v>784</v>
      </c>
      <c r="E4424" s="2"/>
      <c r="F4424" s="2"/>
    </row>
    <row r="4425">
      <c r="A4425" s="2">
        <f>IFERROR(__xludf.DUMMYFUNCTION("""COMPUTED_VALUE"""),5782.0)</f>
        <v>5782</v>
      </c>
      <c r="B4425" s="2">
        <f>IFERROR(__xludf.DUMMYFUNCTION("""COMPUTED_VALUE"""),1.0)</f>
        <v>1</v>
      </c>
      <c r="C4425" s="2">
        <f>IFERROR(__xludf.DUMMYFUNCTION("""COMPUTED_VALUE"""),223.0)</f>
        <v>223</v>
      </c>
      <c r="D4425" s="3">
        <f>IFERROR(__xludf.DUMMYFUNCTION("""COMPUTED_VALUE"""),104.0)</f>
        <v>104</v>
      </c>
      <c r="E4425" s="2"/>
      <c r="F4425" s="2"/>
    </row>
    <row r="4426">
      <c r="A4426" s="2">
        <f>IFERROR(__xludf.DUMMYFUNCTION("""COMPUTED_VALUE"""),107915.0)</f>
        <v>107915</v>
      </c>
      <c r="B4426" s="2">
        <f>IFERROR(__xludf.DUMMYFUNCTION("""COMPUTED_VALUE"""),0.0)</f>
        <v>0</v>
      </c>
      <c r="C4426" s="2">
        <f>IFERROR(__xludf.DUMMYFUNCTION("""COMPUTED_VALUE"""),439.0)</f>
        <v>439</v>
      </c>
      <c r="D4426" s="3">
        <f>IFERROR(__xludf.DUMMYFUNCTION("""COMPUTED_VALUE"""),379.0)</f>
        <v>379</v>
      </c>
      <c r="E4426" s="2"/>
      <c r="F4426" s="2"/>
    </row>
    <row r="4427">
      <c r="A4427" s="2">
        <f>IFERROR(__xludf.DUMMYFUNCTION("""COMPUTED_VALUE"""),68866.0)</f>
        <v>68866</v>
      </c>
      <c r="B4427" s="2">
        <f>IFERROR(__xludf.DUMMYFUNCTION("""COMPUTED_VALUE"""),0.0)</f>
        <v>0</v>
      </c>
      <c r="C4427" s="2">
        <f>IFERROR(__xludf.DUMMYFUNCTION("""COMPUTED_VALUE"""),2.0)</f>
        <v>2</v>
      </c>
      <c r="D4427" s="3">
        <f>IFERROR(__xludf.DUMMYFUNCTION("""COMPUTED_VALUE"""),0.0)</f>
        <v>0</v>
      </c>
      <c r="E4427" s="2"/>
      <c r="F4427" s="2"/>
    </row>
    <row r="4428">
      <c r="A4428" s="2">
        <f>IFERROR(__xludf.DUMMYFUNCTION("""COMPUTED_VALUE"""),121837.0)</f>
        <v>121837</v>
      </c>
      <c r="B4428" s="2">
        <f>IFERROR(__xludf.DUMMYFUNCTION("""COMPUTED_VALUE"""),1.0)</f>
        <v>1</v>
      </c>
      <c r="C4428" s="2">
        <f>IFERROR(__xludf.DUMMYFUNCTION("""COMPUTED_VALUE"""),615.0)</f>
        <v>615</v>
      </c>
      <c r="D4428" s="3">
        <f>IFERROR(__xludf.DUMMYFUNCTION("""COMPUTED_VALUE"""),455.0)</f>
        <v>455</v>
      </c>
      <c r="E4428" s="2"/>
      <c r="F4428" s="2"/>
    </row>
    <row r="4429">
      <c r="A4429" s="2">
        <f>IFERROR(__xludf.DUMMYFUNCTION("""COMPUTED_VALUE"""),121840.0)</f>
        <v>121840</v>
      </c>
      <c r="B4429" s="2">
        <f>IFERROR(__xludf.DUMMYFUNCTION("""COMPUTED_VALUE"""),1.0)</f>
        <v>1</v>
      </c>
      <c r="C4429" s="2">
        <f>IFERROR(__xludf.DUMMYFUNCTION("""COMPUTED_VALUE"""),920.0)</f>
        <v>920</v>
      </c>
      <c r="D4429" s="3">
        <f>IFERROR(__xludf.DUMMYFUNCTION("""COMPUTED_VALUE"""),471.0)</f>
        <v>471</v>
      </c>
      <c r="E4429" s="2"/>
      <c r="F4429" s="2"/>
    </row>
    <row r="4430">
      <c r="A4430" s="2">
        <f>IFERROR(__xludf.DUMMYFUNCTION("""COMPUTED_VALUE"""),90979.0)</f>
        <v>90979</v>
      </c>
      <c r="B4430" s="2">
        <f>IFERROR(__xludf.DUMMYFUNCTION("""COMPUTED_VALUE"""),1.0)</f>
        <v>1</v>
      </c>
      <c r="C4430" s="2">
        <f>IFERROR(__xludf.DUMMYFUNCTION("""COMPUTED_VALUE"""),50.0)</f>
        <v>50</v>
      </c>
      <c r="D4430" s="3">
        <f>IFERROR(__xludf.DUMMYFUNCTION("""COMPUTED_VALUE"""),50.0)</f>
        <v>50</v>
      </c>
      <c r="E4430" s="2"/>
      <c r="F4430" s="2"/>
    </row>
    <row r="4431">
      <c r="A4431" s="2">
        <f>IFERROR(__xludf.DUMMYFUNCTION("""COMPUTED_VALUE"""),114350.0)</f>
        <v>114350</v>
      </c>
      <c r="B4431" s="2">
        <f>IFERROR(__xludf.DUMMYFUNCTION("""COMPUTED_VALUE"""),0.0)</f>
        <v>0</v>
      </c>
      <c r="C4431" s="2">
        <f>IFERROR(__xludf.DUMMYFUNCTION("""COMPUTED_VALUE"""),948.0)</f>
        <v>948</v>
      </c>
      <c r="D4431" s="3">
        <f>IFERROR(__xludf.DUMMYFUNCTION("""COMPUTED_VALUE"""),301.0)</f>
        <v>301</v>
      </c>
      <c r="E4431" s="2"/>
      <c r="F4431" s="2"/>
    </row>
    <row r="4432">
      <c r="A4432" s="2">
        <f>IFERROR(__xludf.DUMMYFUNCTION("""COMPUTED_VALUE"""),47539.0)</f>
        <v>47539</v>
      </c>
      <c r="B4432" s="2">
        <f>IFERROR(__xludf.DUMMYFUNCTION("""COMPUTED_VALUE"""),0.0)</f>
        <v>0</v>
      </c>
      <c r="C4432" s="2">
        <f>IFERROR(__xludf.DUMMYFUNCTION("""COMPUTED_VALUE"""),653.0)</f>
        <v>653</v>
      </c>
      <c r="D4432" s="3">
        <f>IFERROR(__xludf.DUMMYFUNCTION("""COMPUTED_VALUE"""),318.0)</f>
        <v>318</v>
      </c>
      <c r="E4432" s="2"/>
      <c r="F4432" s="2"/>
    </row>
    <row r="4433">
      <c r="A4433" s="2">
        <f>IFERROR(__xludf.DUMMYFUNCTION("""COMPUTED_VALUE"""),83948.0)</f>
        <v>83948</v>
      </c>
      <c r="B4433" s="2">
        <f>IFERROR(__xludf.DUMMYFUNCTION("""COMPUTED_VALUE"""),1.0)</f>
        <v>1</v>
      </c>
      <c r="C4433" s="2">
        <f>IFERROR(__xludf.DUMMYFUNCTION("""COMPUTED_VALUE"""),26.0)</f>
        <v>26</v>
      </c>
      <c r="D4433" s="3">
        <f>IFERROR(__xludf.DUMMYFUNCTION("""COMPUTED_VALUE"""),0.0)</f>
        <v>0</v>
      </c>
      <c r="E4433" s="2"/>
      <c r="F4433" s="2"/>
    </row>
    <row r="4434">
      <c r="A4434" s="2">
        <f>IFERROR(__xludf.DUMMYFUNCTION("""COMPUTED_VALUE"""),17139.0)</f>
        <v>17139</v>
      </c>
      <c r="B4434" s="2">
        <f>IFERROR(__xludf.DUMMYFUNCTION("""COMPUTED_VALUE"""),0.0)</f>
        <v>0</v>
      </c>
      <c r="C4434" s="2">
        <f>IFERROR(__xludf.DUMMYFUNCTION("""COMPUTED_VALUE"""),-11.0)</f>
        <v>-11</v>
      </c>
      <c r="D4434" s="3">
        <f>IFERROR(__xludf.DUMMYFUNCTION("""COMPUTED_VALUE"""),-11.0)</f>
        <v>-11</v>
      </c>
      <c r="E4434" s="2"/>
      <c r="F4434" s="2"/>
    </row>
    <row r="4435">
      <c r="A4435" s="2">
        <f>IFERROR(__xludf.DUMMYFUNCTION("""COMPUTED_VALUE"""),12051.0)</f>
        <v>12051</v>
      </c>
      <c r="B4435" s="2">
        <f>IFERROR(__xludf.DUMMYFUNCTION("""COMPUTED_VALUE"""),1.0)</f>
        <v>1</v>
      </c>
      <c r="C4435" s="2">
        <f>IFERROR(__xludf.DUMMYFUNCTION("""COMPUTED_VALUE"""),112.0)</f>
        <v>112</v>
      </c>
      <c r="D4435" s="3">
        <f>IFERROR(__xludf.DUMMYFUNCTION("""COMPUTED_VALUE"""),106.0)</f>
        <v>106</v>
      </c>
      <c r="E4435" s="2"/>
      <c r="F4435" s="2"/>
    </row>
    <row r="4436">
      <c r="A4436" s="2">
        <f>IFERROR(__xludf.DUMMYFUNCTION("""COMPUTED_VALUE"""),12052.0)</f>
        <v>12052</v>
      </c>
      <c r="B4436" s="2">
        <f>IFERROR(__xludf.DUMMYFUNCTION("""COMPUTED_VALUE"""),1.0)</f>
        <v>1</v>
      </c>
      <c r="C4436" s="2">
        <f>IFERROR(__xludf.DUMMYFUNCTION("""COMPUTED_VALUE"""),257.0)</f>
        <v>257</v>
      </c>
      <c r="D4436" s="3">
        <f>IFERROR(__xludf.DUMMYFUNCTION("""COMPUTED_VALUE"""),96.0)</f>
        <v>96</v>
      </c>
      <c r="E4436" s="2"/>
      <c r="F4436" s="2"/>
    </row>
    <row r="4437">
      <c r="A4437" s="2">
        <f>IFERROR(__xludf.DUMMYFUNCTION("""COMPUTED_VALUE"""),121838.0)</f>
        <v>121838</v>
      </c>
      <c r="B4437" s="2">
        <f>IFERROR(__xludf.DUMMYFUNCTION("""COMPUTED_VALUE"""),1.0)</f>
        <v>1</v>
      </c>
      <c r="C4437" s="2">
        <f>IFERROR(__xludf.DUMMYFUNCTION("""COMPUTED_VALUE"""),428.0)</f>
        <v>428</v>
      </c>
      <c r="D4437" s="3">
        <f>IFERROR(__xludf.DUMMYFUNCTION("""COMPUTED_VALUE"""),275.0)</f>
        <v>275</v>
      </c>
      <c r="E4437" s="2"/>
      <c r="F4437" s="2"/>
    </row>
    <row r="4438">
      <c r="A4438" s="2">
        <f>IFERROR(__xludf.DUMMYFUNCTION("""COMPUTED_VALUE"""),107917.0)</f>
        <v>107917</v>
      </c>
      <c r="B4438" s="2">
        <f>IFERROR(__xludf.DUMMYFUNCTION("""COMPUTED_VALUE"""),1.0)</f>
        <v>1</v>
      </c>
      <c r="C4438" s="2">
        <f>IFERROR(__xludf.DUMMYFUNCTION("""COMPUTED_VALUE"""),41.0)</f>
        <v>41</v>
      </c>
      <c r="D4438" s="3">
        <f>IFERROR(__xludf.DUMMYFUNCTION("""COMPUTED_VALUE"""),4.0)</f>
        <v>4</v>
      </c>
      <c r="E4438" s="2"/>
      <c r="F4438" s="2"/>
    </row>
    <row r="4439">
      <c r="A4439" s="2">
        <f>IFERROR(__xludf.DUMMYFUNCTION("""COMPUTED_VALUE"""),5779.0)</f>
        <v>5779</v>
      </c>
      <c r="B4439" s="2">
        <f>IFERROR(__xludf.DUMMYFUNCTION("""COMPUTED_VALUE"""),1.0)</f>
        <v>1</v>
      </c>
      <c r="C4439" s="2">
        <f>IFERROR(__xludf.DUMMYFUNCTION("""COMPUTED_VALUE"""),409.0)</f>
        <v>409</v>
      </c>
      <c r="D4439" s="3">
        <f>IFERROR(__xludf.DUMMYFUNCTION("""COMPUTED_VALUE"""),184.0)</f>
        <v>184</v>
      </c>
      <c r="E4439" s="2"/>
      <c r="F4439" s="2"/>
    </row>
    <row r="4440">
      <c r="A4440" s="2">
        <f>IFERROR(__xludf.DUMMYFUNCTION("""COMPUTED_VALUE"""),120303.0)</f>
        <v>120303</v>
      </c>
      <c r="B4440" s="2">
        <f>IFERROR(__xludf.DUMMYFUNCTION("""COMPUTED_VALUE"""),0.0)</f>
        <v>0</v>
      </c>
      <c r="C4440" s="2">
        <f>IFERROR(__xludf.DUMMYFUNCTION("""COMPUTED_VALUE"""),798.0)</f>
        <v>798</v>
      </c>
      <c r="D4440" s="3">
        <f>IFERROR(__xludf.DUMMYFUNCTION("""COMPUTED_VALUE"""),30.0)</f>
        <v>30</v>
      </c>
      <c r="E4440" s="2"/>
      <c r="F4440" s="2"/>
    </row>
    <row r="4441">
      <c r="A4441" s="2">
        <f>IFERROR(__xludf.DUMMYFUNCTION("""COMPUTED_VALUE"""),121784.0)</f>
        <v>121784</v>
      </c>
      <c r="B4441" s="2">
        <f>IFERROR(__xludf.DUMMYFUNCTION("""COMPUTED_VALUE"""),1.0)</f>
        <v>1</v>
      </c>
      <c r="C4441" s="2">
        <f>IFERROR(__xludf.DUMMYFUNCTION("""COMPUTED_VALUE"""),430.0)</f>
        <v>430</v>
      </c>
      <c r="D4441" s="3">
        <f>IFERROR(__xludf.DUMMYFUNCTION("""COMPUTED_VALUE"""),352.0)</f>
        <v>352</v>
      </c>
      <c r="E4441" s="2"/>
      <c r="F4441" s="2"/>
    </row>
    <row r="4442">
      <c r="A4442" s="2">
        <f>IFERROR(__xludf.DUMMYFUNCTION("""COMPUTED_VALUE"""),107913.0)</f>
        <v>107913</v>
      </c>
      <c r="B4442" s="2">
        <f>IFERROR(__xludf.DUMMYFUNCTION("""COMPUTED_VALUE"""),1.0)</f>
        <v>1</v>
      </c>
      <c r="C4442" s="2">
        <f>IFERROR(__xludf.DUMMYFUNCTION("""COMPUTED_VALUE"""),949.0)</f>
        <v>949</v>
      </c>
      <c r="D4442" s="3">
        <f>IFERROR(__xludf.DUMMYFUNCTION("""COMPUTED_VALUE"""),841.0)</f>
        <v>841</v>
      </c>
      <c r="E4442" s="2"/>
      <c r="F4442" s="2"/>
    </row>
    <row r="4443">
      <c r="A4443" s="2">
        <f>IFERROR(__xludf.DUMMYFUNCTION("""COMPUTED_VALUE"""),58759.0)</f>
        <v>58759</v>
      </c>
      <c r="B4443" s="2">
        <f>IFERROR(__xludf.DUMMYFUNCTION("""COMPUTED_VALUE"""),1.0)</f>
        <v>1</v>
      </c>
      <c r="C4443" s="2">
        <f>IFERROR(__xludf.DUMMYFUNCTION("""COMPUTED_VALUE"""),118.0)</f>
        <v>118</v>
      </c>
      <c r="D4443" s="3">
        <f>IFERROR(__xludf.DUMMYFUNCTION("""COMPUTED_VALUE"""),108.0)</f>
        <v>108</v>
      </c>
      <c r="E4443" s="2"/>
      <c r="F4443" s="2"/>
    </row>
    <row r="4444">
      <c r="A4444" s="2">
        <f>IFERROR(__xludf.DUMMYFUNCTION("""COMPUTED_VALUE"""),158697.0)</f>
        <v>158697</v>
      </c>
      <c r="B4444" s="2">
        <f>IFERROR(__xludf.DUMMYFUNCTION("""COMPUTED_VALUE"""),0.0)</f>
        <v>0</v>
      </c>
      <c r="C4444" s="2">
        <f>IFERROR(__xludf.DUMMYFUNCTION("""COMPUTED_VALUE"""),811.0)</f>
        <v>811</v>
      </c>
      <c r="D4444" s="3">
        <f>IFERROR(__xludf.DUMMYFUNCTION("""COMPUTED_VALUE"""),693.0)</f>
        <v>693</v>
      </c>
      <c r="E4444" s="2"/>
      <c r="F4444" s="2"/>
    </row>
    <row r="4445">
      <c r="A4445" s="2">
        <f>IFERROR(__xludf.DUMMYFUNCTION("""COMPUTED_VALUE"""),87160.0)</f>
        <v>87160</v>
      </c>
      <c r="B4445" s="2">
        <f>IFERROR(__xludf.DUMMYFUNCTION("""COMPUTED_VALUE"""),0.0)</f>
        <v>0</v>
      </c>
      <c r="C4445" s="2">
        <f>IFERROR(__xludf.DUMMYFUNCTION("""COMPUTED_VALUE"""),192.0)</f>
        <v>192</v>
      </c>
      <c r="D4445" s="3">
        <f>IFERROR(__xludf.DUMMYFUNCTION("""COMPUTED_VALUE"""),110.0)</f>
        <v>110</v>
      </c>
      <c r="E4445" s="2"/>
      <c r="F4445" s="2"/>
    </row>
    <row r="4446">
      <c r="A4446" s="2">
        <f>IFERROR(__xludf.DUMMYFUNCTION("""COMPUTED_VALUE"""),88694.0)</f>
        <v>88694</v>
      </c>
      <c r="B4446" s="2">
        <f>IFERROR(__xludf.DUMMYFUNCTION("""COMPUTED_VALUE"""),0.0)</f>
        <v>0</v>
      </c>
      <c r="C4446" s="2">
        <f>IFERROR(__xludf.DUMMYFUNCTION("""COMPUTED_VALUE"""),796.0)</f>
        <v>796</v>
      </c>
      <c r="D4446" s="3">
        <f>IFERROR(__xludf.DUMMYFUNCTION("""COMPUTED_VALUE"""),581.0)</f>
        <v>581</v>
      </c>
      <c r="E4446" s="2"/>
      <c r="F4446" s="2"/>
    </row>
    <row r="4447">
      <c r="A4447" s="2">
        <f>IFERROR(__xludf.DUMMYFUNCTION("""COMPUTED_VALUE"""),120393.0)</f>
        <v>120393</v>
      </c>
      <c r="B4447" s="2">
        <f>IFERROR(__xludf.DUMMYFUNCTION("""COMPUTED_VALUE"""),0.0)</f>
        <v>0</v>
      </c>
      <c r="C4447" s="2">
        <f>IFERROR(__xludf.DUMMYFUNCTION("""COMPUTED_VALUE"""),823.0)</f>
        <v>823</v>
      </c>
      <c r="D4447" s="3">
        <f>IFERROR(__xludf.DUMMYFUNCTION("""COMPUTED_VALUE"""),550.0)</f>
        <v>550</v>
      </c>
      <c r="E4447" s="2"/>
      <c r="F4447" s="2"/>
    </row>
    <row r="4448">
      <c r="A4448" s="2">
        <f>IFERROR(__xludf.DUMMYFUNCTION("""COMPUTED_VALUE"""),89581.0)</f>
        <v>89581</v>
      </c>
      <c r="B4448" s="2">
        <f>IFERROR(__xludf.DUMMYFUNCTION("""COMPUTED_VALUE"""),1.0)</f>
        <v>1</v>
      </c>
      <c r="C4448" s="2">
        <f>IFERROR(__xludf.DUMMYFUNCTION("""COMPUTED_VALUE"""),44.0)</f>
        <v>44</v>
      </c>
      <c r="D4448" s="3">
        <f>IFERROR(__xludf.DUMMYFUNCTION("""COMPUTED_VALUE"""),8.0)</f>
        <v>8</v>
      </c>
      <c r="E4448" s="2"/>
      <c r="F4448" s="2"/>
    </row>
    <row r="4449">
      <c r="A4449" s="2">
        <f>IFERROR(__xludf.DUMMYFUNCTION("""COMPUTED_VALUE"""),6514.0)</f>
        <v>6514</v>
      </c>
      <c r="B4449" s="2">
        <f>IFERROR(__xludf.DUMMYFUNCTION("""COMPUTED_VALUE"""),1.0)</f>
        <v>1</v>
      </c>
      <c r="C4449" s="2">
        <f>IFERROR(__xludf.DUMMYFUNCTION("""COMPUTED_VALUE"""),715.0)</f>
        <v>715</v>
      </c>
      <c r="D4449" s="3">
        <f>IFERROR(__xludf.DUMMYFUNCTION("""COMPUTED_VALUE"""),474.0)</f>
        <v>474</v>
      </c>
      <c r="E4449" s="2"/>
      <c r="F4449" s="2"/>
    </row>
    <row r="4450">
      <c r="A4450" s="2">
        <f>IFERROR(__xludf.DUMMYFUNCTION("""COMPUTED_VALUE"""),105340.0)</f>
        <v>105340</v>
      </c>
      <c r="B4450" s="2">
        <f>IFERROR(__xludf.DUMMYFUNCTION("""COMPUTED_VALUE"""),0.0)</f>
        <v>0</v>
      </c>
      <c r="C4450" s="2">
        <f>IFERROR(__xludf.DUMMYFUNCTION("""COMPUTED_VALUE"""),83.0)</f>
        <v>83</v>
      </c>
      <c r="D4450" s="3">
        <f>IFERROR(__xludf.DUMMYFUNCTION("""COMPUTED_VALUE"""),9.0)</f>
        <v>9</v>
      </c>
      <c r="E4450" s="2"/>
      <c r="F4450" s="2"/>
    </row>
    <row r="4451">
      <c r="A4451" s="2">
        <f>IFERROR(__xludf.DUMMYFUNCTION("""COMPUTED_VALUE"""),120865.0)</f>
        <v>120865</v>
      </c>
      <c r="B4451" s="2">
        <f>IFERROR(__xludf.DUMMYFUNCTION("""COMPUTED_VALUE"""),1.0)</f>
        <v>1</v>
      </c>
      <c r="C4451" s="2">
        <f>IFERROR(__xludf.DUMMYFUNCTION("""COMPUTED_VALUE"""),72.0)</f>
        <v>72</v>
      </c>
      <c r="D4451" s="3">
        <f>IFERROR(__xludf.DUMMYFUNCTION("""COMPUTED_VALUE"""),39.0)</f>
        <v>39</v>
      </c>
      <c r="E4451" s="2"/>
      <c r="F4451" s="2"/>
    </row>
    <row r="4452">
      <c r="A4452" s="2">
        <f>IFERROR(__xludf.DUMMYFUNCTION("""COMPUTED_VALUE"""),110078.0)</f>
        <v>110078</v>
      </c>
      <c r="B4452" s="2">
        <f>IFERROR(__xludf.DUMMYFUNCTION("""COMPUTED_VALUE"""),0.0)</f>
        <v>0</v>
      </c>
      <c r="C4452" s="2">
        <f>IFERROR(__xludf.DUMMYFUNCTION("""COMPUTED_VALUE"""),45.0)</f>
        <v>45</v>
      </c>
      <c r="D4452" s="3">
        <f>IFERROR(__xludf.DUMMYFUNCTION("""COMPUTED_VALUE"""),35.0)</f>
        <v>35</v>
      </c>
      <c r="E4452" s="2"/>
      <c r="F4452" s="2"/>
    </row>
    <row r="4453">
      <c r="A4453" s="2">
        <f>IFERROR(__xludf.DUMMYFUNCTION("""COMPUTED_VALUE"""),122343.0)</f>
        <v>122343</v>
      </c>
      <c r="B4453" s="2">
        <f>IFERROR(__xludf.DUMMYFUNCTION("""COMPUTED_VALUE"""),0.0)</f>
        <v>0</v>
      </c>
      <c r="C4453" s="2">
        <f>IFERROR(__xludf.DUMMYFUNCTION("""COMPUTED_VALUE"""),482.0)</f>
        <v>482</v>
      </c>
      <c r="D4453" s="3">
        <f>IFERROR(__xludf.DUMMYFUNCTION("""COMPUTED_VALUE"""),418.0)</f>
        <v>418</v>
      </c>
      <c r="E4453" s="2"/>
      <c r="F4453" s="2"/>
    </row>
    <row r="4454">
      <c r="A4454" s="2">
        <f>IFERROR(__xludf.DUMMYFUNCTION("""COMPUTED_VALUE"""),12296.0)</f>
        <v>12296</v>
      </c>
      <c r="B4454" s="2">
        <f>IFERROR(__xludf.DUMMYFUNCTION("""COMPUTED_VALUE"""),0.0)</f>
        <v>0</v>
      </c>
      <c r="C4454" s="2">
        <f>IFERROR(__xludf.DUMMYFUNCTION("""COMPUTED_VALUE"""),696.0)</f>
        <v>696</v>
      </c>
      <c r="D4454" s="3">
        <f>IFERROR(__xludf.DUMMYFUNCTION("""COMPUTED_VALUE"""),357.0)</f>
        <v>357</v>
      </c>
      <c r="E4454" s="2"/>
      <c r="F4454" s="2"/>
    </row>
    <row r="4455">
      <c r="A4455" s="2">
        <f>IFERROR(__xludf.DUMMYFUNCTION("""COMPUTED_VALUE"""),96952.0)</f>
        <v>96952</v>
      </c>
      <c r="B4455" s="2">
        <f>IFERROR(__xludf.DUMMYFUNCTION("""COMPUTED_VALUE"""),0.0)</f>
        <v>0</v>
      </c>
      <c r="C4455" s="2">
        <f>IFERROR(__xludf.DUMMYFUNCTION("""COMPUTED_VALUE"""),814.0)</f>
        <v>814</v>
      </c>
      <c r="D4455" s="3">
        <f>IFERROR(__xludf.DUMMYFUNCTION("""COMPUTED_VALUE"""),269.0)</f>
        <v>269</v>
      </c>
      <c r="E4455" s="2"/>
      <c r="F4455" s="2"/>
    </row>
    <row r="4456">
      <c r="A4456" s="2">
        <f>IFERROR(__xludf.DUMMYFUNCTION("""COMPUTED_VALUE"""),82193.0)</f>
        <v>82193</v>
      </c>
      <c r="B4456" s="2">
        <f>IFERROR(__xludf.DUMMYFUNCTION("""COMPUTED_VALUE"""),1.0)</f>
        <v>1</v>
      </c>
      <c r="C4456" s="2">
        <f>IFERROR(__xludf.DUMMYFUNCTION("""COMPUTED_VALUE"""),813.0)</f>
        <v>813</v>
      </c>
      <c r="D4456" s="3">
        <f>IFERROR(__xludf.DUMMYFUNCTION("""COMPUTED_VALUE"""),660.0)</f>
        <v>660</v>
      </c>
      <c r="E4456" s="2"/>
      <c r="F4456" s="2"/>
    </row>
    <row r="4457">
      <c r="A4457" s="2">
        <f>IFERROR(__xludf.DUMMYFUNCTION("""COMPUTED_VALUE"""),89802.0)</f>
        <v>89802</v>
      </c>
      <c r="B4457" s="2">
        <f>IFERROR(__xludf.DUMMYFUNCTION("""COMPUTED_VALUE"""),0.0)</f>
        <v>0</v>
      </c>
      <c r="C4457" s="2">
        <f>IFERROR(__xludf.DUMMYFUNCTION("""COMPUTED_VALUE"""),-15.0)</f>
        <v>-15</v>
      </c>
      <c r="D4457" s="3">
        <f>IFERROR(__xludf.DUMMYFUNCTION("""COMPUTED_VALUE"""),-4.0)</f>
        <v>-4</v>
      </c>
      <c r="E4457" s="2"/>
      <c r="F4457" s="2"/>
    </row>
    <row r="4458">
      <c r="A4458" s="2">
        <f>IFERROR(__xludf.DUMMYFUNCTION("""COMPUTED_VALUE"""),87044.0)</f>
        <v>87044</v>
      </c>
      <c r="B4458" s="2">
        <f>IFERROR(__xludf.DUMMYFUNCTION("""COMPUTED_VALUE"""),0.0)</f>
        <v>0</v>
      </c>
      <c r="C4458" s="2">
        <f>IFERROR(__xludf.DUMMYFUNCTION("""COMPUTED_VALUE"""),659.0)</f>
        <v>659</v>
      </c>
      <c r="D4458" s="3">
        <f>IFERROR(__xludf.DUMMYFUNCTION("""COMPUTED_VALUE"""),579.0)</f>
        <v>579</v>
      </c>
      <c r="E4458" s="2"/>
      <c r="F4458" s="2"/>
    </row>
    <row r="4459">
      <c r="A4459" s="2">
        <f>IFERROR(__xludf.DUMMYFUNCTION("""COMPUTED_VALUE"""),87042.0)</f>
        <v>87042</v>
      </c>
      <c r="B4459" s="2">
        <f>IFERROR(__xludf.DUMMYFUNCTION("""COMPUTED_VALUE"""),1.0)</f>
        <v>1</v>
      </c>
      <c r="C4459" s="2">
        <f>IFERROR(__xludf.DUMMYFUNCTION("""COMPUTED_VALUE"""),230.0)</f>
        <v>230</v>
      </c>
      <c r="D4459" s="3">
        <f>IFERROR(__xludf.DUMMYFUNCTION("""COMPUTED_VALUE"""),115.0)</f>
        <v>115</v>
      </c>
      <c r="E4459" s="2"/>
      <c r="F4459" s="2"/>
    </row>
    <row r="4460">
      <c r="A4460" s="2">
        <f>IFERROR(__xludf.DUMMYFUNCTION("""COMPUTED_VALUE"""),116274.0)</f>
        <v>116274</v>
      </c>
      <c r="B4460" s="2">
        <f>IFERROR(__xludf.DUMMYFUNCTION("""COMPUTED_VALUE"""),0.0)</f>
        <v>0</v>
      </c>
      <c r="C4460" s="2">
        <f>IFERROR(__xludf.DUMMYFUNCTION("""COMPUTED_VALUE"""),634.0)</f>
        <v>634</v>
      </c>
      <c r="D4460" s="3">
        <f>IFERROR(__xludf.DUMMYFUNCTION("""COMPUTED_VALUE"""),470.0)</f>
        <v>470</v>
      </c>
      <c r="E4460" s="2"/>
      <c r="F4460" s="2"/>
    </row>
    <row r="4461">
      <c r="A4461" s="2">
        <f>IFERROR(__xludf.DUMMYFUNCTION("""COMPUTED_VALUE"""),122344.0)</f>
        <v>122344</v>
      </c>
      <c r="B4461" s="2">
        <f>IFERROR(__xludf.DUMMYFUNCTION("""COMPUTED_VALUE"""),1.0)</f>
        <v>1</v>
      </c>
      <c r="C4461" s="2">
        <f>IFERROR(__xludf.DUMMYFUNCTION("""COMPUTED_VALUE"""),970.0)</f>
        <v>970</v>
      </c>
      <c r="D4461" s="3">
        <f>IFERROR(__xludf.DUMMYFUNCTION("""COMPUTED_VALUE"""),305.0)</f>
        <v>305</v>
      </c>
      <c r="E4461" s="2"/>
      <c r="F4461" s="2"/>
    </row>
    <row r="4462">
      <c r="A4462" s="2">
        <f>IFERROR(__xludf.DUMMYFUNCTION("""COMPUTED_VALUE"""),122345.0)</f>
        <v>122345</v>
      </c>
      <c r="B4462" s="2">
        <f>IFERROR(__xludf.DUMMYFUNCTION("""COMPUTED_VALUE"""),0.0)</f>
        <v>0</v>
      </c>
      <c r="C4462" s="2">
        <f>IFERROR(__xludf.DUMMYFUNCTION("""COMPUTED_VALUE"""),77.0)</f>
        <v>77</v>
      </c>
      <c r="D4462" s="3">
        <f>IFERROR(__xludf.DUMMYFUNCTION("""COMPUTED_VALUE"""),11.0)</f>
        <v>11</v>
      </c>
      <c r="E4462" s="2"/>
      <c r="F4462" s="2"/>
    </row>
    <row r="4463">
      <c r="A4463" s="2">
        <f>IFERROR(__xludf.DUMMYFUNCTION("""COMPUTED_VALUE"""),120867.0)</f>
        <v>120867</v>
      </c>
      <c r="B4463" s="2">
        <f>IFERROR(__xludf.DUMMYFUNCTION("""COMPUTED_VALUE"""),0.0)</f>
        <v>0</v>
      </c>
      <c r="C4463" s="2">
        <f>IFERROR(__xludf.DUMMYFUNCTION("""COMPUTED_VALUE"""),319.0)</f>
        <v>319</v>
      </c>
      <c r="D4463" s="3">
        <f>IFERROR(__xludf.DUMMYFUNCTION("""COMPUTED_VALUE"""),183.0)</f>
        <v>183</v>
      </c>
      <c r="E4463" s="2"/>
      <c r="F4463" s="2"/>
    </row>
    <row r="4464">
      <c r="A4464" s="2">
        <f>IFERROR(__xludf.DUMMYFUNCTION("""COMPUTED_VALUE"""),28494.0)</f>
        <v>28494</v>
      </c>
      <c r="B4464" s="2">
        <f>IFERROR(__xludf.DUMMYFUNCTION("""COMPUTED_VALUE"""),0.0)</f>
        <v>0</v>
      </c>
      <c r="C4464" s="2">
        <f>IFERROR(__xludf.DUMMYFUNCTION("""COMPUTED_VALUE"""),284.0)</f>
        <v>284</v>
      </c>
      <c r="D4464" s="3">
        <f>IFERROR(__xludf.DUMMYFUNCTION("""COMPUTED_VALUE"""),190.0)</f>
        <v>190</v>
      </c>
      <c r="E4464" s="2"/>
      <c r="F4464" s="2"/>
    </row>
    <row r="4465">
      <c r="A4465" s="2">
        <f>IFERROR(__xludf.DUMMYFUNCTION("""COMPUTED_VALUE"""),8882.0)</f>
        <v>8882</v>
      </c>
      <c r="B4465" s="2">
        <f>IFERROR(__xludf.DUMMYFUNCTION("""COMPUTED_VALUE"""),1.0)</f>
        <v>1</v>
      </c>
      <c r="C4465" s="2">
        <f>IFERROR(__xludf.DUMMYFUNCTION("""COMPUTED_VALUE"""),884.0)</f>
        <v>884</v>
      </c>
      <c r="D4465" s="3">
        <f>IFERROR(__xludf.DUMMYFUNCTION("""COMPUTED_VALUE"""),666.0)</f>
        <v>666</v>
      </c>
      <c r="E4465" s="2"/>
      <c r="F4465" s="2"/>
    </row>
    <row r="4466">
      <c r="A4466" s="2">
        <f>IFERROR(__xludf.DUMMYFUNCTION("""COMPUTED_VALUE"""),116275.0)</f>
        <v>116275</v>
      </c>
      <c r="B4466" s="2">
        <f>IFERROR(__xludf.DUMMYFUNCTION("""COMPUTED_VALUE"""),0.0)</f>
        <v>0</v>
      </c>
      <c r="C4466" s="2">
        <f>IFERROR(__xludf.DUMMYFUNCTION("""COMPUTED_VALUE"""),781.0)</f>
        <v>781</v>
      </c>
      <c r="D4466" s="3">
        <f>IFERROR(__xludf.DUMMYFUNCTION("""COMPUTED_VALUE"""),2.0)</f>
        <v>2</v>
      </c>
      <c r="E4466" s="2"/>
      <c r="F4466" s="2"/>
    </row>
    <row r="4467">
      <c r="A4467" s="2">
        <f>IFERROR(__xludf.DUMMYFUNCTION("""COMPUTED_VALUE"""),121424.0)</f>
        <v>121424</v>
      </c>
      <c r="B4467" s="2">
        <f>IFERROR(__xludf.DUMMYFUNCTION("""COMPUTED_VALUE"""),0.0)</f>
        <v>0</v>
      </c>
      <c r="C4467" s="2">
        <f>IFERROR(__xludf.DUMMYFUNCTION("""COMPUTED_VALUE"""),875.0)</f>
        <v>875</v>
      </c>
      <c r="D4467" s="3">
        <f>IFERROR(__xludf.DUMMYFUNCTION("""COMPUTED_VALUE"""),277.0)</f>
        <v>277</v>
      </c>
      <c r="E4467" s="2"/>
      <c r="F4467" s="2"/>
    </row>
    <row r="4468">
      <c r="A4468" s="2">
        <f>IFERROR(__xludf.DUMMYFUNCTION("""COMPUTED_VALUE"""),75058.0)</f>
        <v>75058</v>
      </c>
      <c r="B4468" s="2">
        <f>IFERROR(__xludf.DUMMYFUNCTION("""COMPUTED_VALUE"""),0.0)</f>
        <v>0</v>
      </c>
      <c r="C4468" s="2">
        <f>IFERROR(__xludf.DUMMYFUNCTION("""COMPUTED_VALUE"""),492.0)</f>
        <v>492</v>
      </c>
      <c r="D4468" s="3">
        <f>IFERROR(__xludf.DUMMYFUNCTION("""COMPUTED_VALUE"""),62.0)</f>
        <v>62</v>
      </c>
      <c r="E4468" s="2"/>
      <c r="F4468" s="2"/>
    </row>
    <row r="4469">
      <c r="A4469" s="2">
        <f>IFERROR(__xludf.DUMMYFUNCTION("""COMPUTED_VALUE"""),75056.0)</f>
        <v>75056</v>
      </c>
      <c r="B4469" s="2">
        <f>IFERROR(__xludf.DUMMYFUNCTION("""COMPUTED_VALUE"""),1.0)</f>
        <v>1</v>
      </c>
      <c r="C4469" s="2">
        <f>IFERROR(__xludf.DUMMYFUNCTION("""COMPUTED_VALUE"""),668.0)</f>
        <v>668</v>
      </c>
      <c r="D4469" s="3">
        <f>IFERROR(__xludf.DUMMYFUNCTION("""COMPUTED_VALUE"""),625.0)</f>
        <v>625</v>
      </c>
      <c r="E4469" s="2"/>
      <c r="F4469" s="2"/>
    </row>
    <row r="4470">
      <c r="A4470" s="2">
        <f>IFERROR(__xludf.DUMMYFUNCTION("""COMPUTED_VALUE"""),42239.0)</f>
        <v>42239</v>
      </c>
      <c r="B4470" s="2">
        <f>IFERROR(__xludf.DUMMYFUNCTION("""COMPUTED_VALUE"""),1.0)</f>
        <v>1</v>
      </c>
      <c r="C4470" s="2">
        <f>IFERROR(__xludf.DUMMYFUNCTION("""COMPUTED_VALUE"""),729.0)</f>
        <v>729</v>
      </c>
      <c r="D4470" s="3">
        <f>IFERROR(__xludf.DUMMYFUNCTION("""COMPUTED_VALUE"""),167.0)</f>
        <v>167</v>
      </c>
      <c r="E4470" s="2"/>
      <c r="F4470" s="2"/>
    </row>
    <row r="4471">
      <c r="A4471" s="2">
        <f>IFERROR(__xludf.DUMMYFUNCTION("""COMPUTED_VALUE"""),42237.0)</f>
        <v>42237</v>
      </c>
      <c r="B4471" s="2">
        <f>IFERROR(__xludf.DUMMYFUNCTION("""COMPUTED_VALUE"""),1.0)</f>
        <v>1</v>
      </c>
      <c r="C4471" s="2">
        <f>IFERROR(__xludf.DUMMYFUNCTION("""COMPUTED_VALUE"""),24.0)</f>
        <v>24</v>
      </c>
      <c r="D4471" s="3">
        <f>IFERROR(__xludf.DUMMYFUNCTION("""COMPUTED_VALUE"""),24.0)</f>
        <v>24</v>
      </c>
      <c r="E4471" s="2"/>
      <c r="F4471" s="2"/>
    </row>
    <row r="4472">
      <c r="A4472" s="2">
        <f>IFERROR(__xludf.DUMMYFUNCTION("""COMPUTED_VALUE"""),69457.0)</f>
        <v>69457</v>
      </c>
      <c r="B4472" s="2">
        <f>IFERROR(__xludf.DUMMYFUNCTION("""COMPUTED_VALUE"""),0.0)</f>
        <v>0</v>
      </c>
      <c r="C4472" s="2">
        <f>IFERROR(__xludf.DUMMYFUNCTION("""COMPUTED_VALUE"""),792.0)</f>
        <v>792</v>
      </c>
      <c r="D4472" s="3">
        <f>IFERROR(__xludf.DUMMYFUNCTION("""COMPUTED_VALUE"""),607.0)</f>
        <v>607</v>
      </c>
      <c r="E4472" s="2"/>
      <c r="F4472" s="2"/>
    </row>
    <row r="4473">
      <c r="A4473" s="2">
        <f>IFERROR(__xludf.DUMMYFUNCTION("""COMPUTED_VALUE"""),69328.0)</f>
        <v>69328</v>
      </c>
      <c r="B4473" s="2">
        <f>IFERROR(__xludf.DUMMYFUNCTION("""COMPUTED_VALUE"""),1.0)</f>
        <v>1</v>
      </c>
      <c r="C4473" s="2">
        <f>IFERROR(__xludf.DUMMYFUNCTION("""COMPUTED_VALUE"""),598.0)</f>
        <v>598</v>
      </c>
      <c r="D4473" s="3">
        <f>IFERROR(__xludf.DUMMYFUNCTION("""COMPUTED_VALUE"""),208.0)</f>
        <v>208</v>
      </c>
      <c r="E4473" s="2"/>
      <c r="F4473" s="2"/>
    </row>
    <row r="4474">
      <c r="A4474" s="2">
        <f>IFERROR(__xludf.DUMMYFUNCTION("""COMPUTED_VALUE"""),69454.0)</f>
        <v>69454</v>
      </c>
      <c r="B4474" s="2">
        <f>IFERROR(__xludf.DUMMYFUNCTION("""COMPUTED_VALUE"""),1.0)</f>
        <v>1</v>
      </c>
      <c r="C4474" s="2">
        <f>IFERROR(__xludf.DUMMYFUNCTION("""COMPUTED_VALUE"""),220.0)</f>
        <v>220</v>
      </c>
      <c r="D4474" s="3">
        <f>IFERROR(__xludf.DUMMYFUNCTION("""COMPUTED_VALUE"""),209.0)</f>
        <v>209</v>
      </c>
      <c r="E4474" s="2"/>
      <c r="F4474" s="2"/>
    </row>
    <row r="4475">
      <c r="A4475" s="2">
        <f>IFERROR(__xludf.DUMMYFUNCTION("""COMPUTED_VALUE"""),69469.0)</f>
        <v>69469</v>
      </c>
      <c r="B4475" s="2">
        <f>IFERROR(__xludf.DUMMYFUNCTION("""COMPUTED_VALUE"""),1.0)</f>
        <v>1</v>
      </c>
      <c r="C4475" s="2">
        <f>IFERROR(__xludf.DUMMYFUNCTION("""COMPUTED_VALUE"""),274.0)</f>
        <v>274</v>
      </c>
      <c r="D4475" s="3">
        <f>IFERROR(__xludf.DUMMYFUNCTION("""COMPUTED_VALUE"""),136.0)</f>
        <v>136</v>
      </c>
      <c r="E4475" s="2"/>
      <c r="F4475" s="2"/>
    </row>
    <row r="4476">
      <c r="A4476" s="2">
        <f>IFERROR(__xludf.DUMMYFUNCTION("""COMPUTED_VALUE"""),193264.0)</f>
        <v>193264</v>
      </c>
      <c r="B4476" s="2">
        <f>IFERROR(__xludf.DUMMYFUNCTION("""COMPUTED_VALUE"""),1.0)</f>
        <v>1</v>
      </c>
      <c r="C4476" s="2">
        <f>IFERROR(__xludf.DUMMYFUNCTION("""COMPUTED_VALUE"""),679.0)</f>
        <v>679</v>
      </c>
      <c r="D4476" s="3">
        <f>IFERROR(__xludf.DUMMYFUNCTION("""COMPUTED_VALUE"""),561.0)</f>
        <v>561</v>
      </c>
      <c r="E4476" s="2"/>
      <c r="F4476" s="2"/>
    </row>
    <row r="4477">
      <c r="A4477" s="2">
        <f>IFERROR(__xludf.DUMMYFUNCTION("""COMPUTED_VALUE"""),115763.0)</f>
        <v>115763</v>
      </c>
      <c r="B4477" s="2">
        <f>IFERROR(__xludf.DUMMYFUNCTION("""COMPUTED_VALUE"""),0.0)</f>
        <v>0</v>
      </c>
      <c r="C4477" s="2">
        <f>IFERROR(__xludf.DUMMYFUNCTION("""COMPUTED_VALUE"""),358.0)</f>
        <v>358</v>
      </c>
      <c r="D4477" s="3">
        <f>IFERROR(__xludf.DUMMYFUNCTION("""COMPUTED_VALUE"""),174.0)</f>
        <v>174</v>
      </c>
      <c r="E4477" s="2"/>
      <c r="F4477" s="2"/>
    </row>
    <row r="4478">
      <c r="A4478" s="2">
        <f>IFERROR(__xludf.DUMMYFUNCTION("""COMPUTED_VALUE"""),69463.0)</f>
        <v>69463</v>
      </c>
      <c r="B4478" s="2">
        <f>IFERROR(__xludf.DUMMYFUNCTION("""COMPUTED_VALUE"""),1.0)</f>
        <v>1</v>
      </c>
      <c r="C4478" s="2">
        <f>IFERROR(__xludf.DUMMYFUNCTION("""COMPUTED_VALUE"""),517.0)</f>
        <v>517</v>
      </c>
      <c r="D4478" s="3">
        <f>IFERROR(__xludf.DUMMYFUNCTION("""COMPUTED_VALUE"""),279.0)</f>
        <v>279</v>
      </c>
      <c r="E4478" s="2"/>
      <c r="F4478" s="2"/>
    </row>
    <row r="4479">
      <c r="A4479" s="2">
        <f>IFERROR(__xludf.DUMMYFUNCTION("""COMPUTED_VALUE"""),84168.0)</f>
        <v>84168</v>
      </c>
      <c r="B4479" s="2">
        <f>IFERROR(__xludf.DUMMYFUNCTION("""COMPUTED_VALUE"""),1.0)</f>
        <v>1</v>
      </c>
      <c r="C4479" s="2">
        <f>IFERROR(__xludf.DUMMYFUNCTION("""COMPUTED_VALUE"""),44.0)</f>
        <v>44</v>
      </c>
      <c r="D4479" s="3">
        <f>IFERROR(__xludf.DUMMYFUNCTION("""COMPUTED_VALUE"""),39.0)</f>
        <v>39</v>
      </c>
      <c r="E4479" s="2"/>
      <c r="F4479" s="2"/>
    </row>
    <row r="4480">
      <c r="A4480" s="2">
        <f>IFERROR(__xludf.DUMMYFUNCTION("""COMPUTED_VALUE"""),75077.0)</f>
        <v>75077</v>
      </c>
      <c r="B4480" s="2">
        <f>IFERROR(__xludf.DUMMYFUNCTION("""COMPUTED_VALUE"""),0.0)</f>
        <v>0</v>
      </c>
      <c r="C4480" s="2">
        <f>IFERROR(__xludf.DUMMYFUNCTION("""COMPUTED_VALUE"""),965.0)</f>
        <v>965</v>
      </c>
      <c r="D4480" s="3">
        <f>IFERROR(__xludf.DUMMYFUNCTION("""COMPUTED_VALUE"""),8.0)</f>
        <v>8</v>
      </c>
      <c r="E4480" s="2"/>
      <c r="F4480" s="2"/>
    </row>
    <row r="4481">
      <c r="A4481" s="2">
        <f>IFERROR(__xludf.DUMMYFUNCTION("""COMPUTED_VALUE"""),42229.0)</f>
        <v>42229</v>
      </c>
      <c r="B4481" s="2">
        <f>IFERROR(__xludf.DUMMYFUNCTION("""COMPUTED_VALUE"""),0.0)</f>
        <v>0</v>
      </c>
      <c r="C4481" s="2">
        <f>IFERROR(__xludf.DUMMYFUNCTION("""COMPUTED_VALUE"""),629.0)</f>
        <v>629</v>
      </c>
      <c r="D4481" s="3">
        <f>IFERROR(__xludf.DUMMYFUNCTION("""COMPUTED_VALUE"""),3.0)</f>
        <v>3</v>
      </c>
      <c r="E4481" s="2"/>
      <c r="F4481" s="2"/>
    </row>
    <row r="4482">
      <c r="A4482" s="2">
        <f>IFERROR(__xludf.DUMMYFUNCTION("""COMPUTED_VALUE"""),89588.0)</f>
        <v>89588</v>
      </c>
      <c r="B4482" s="2">
        <f>IFERROR(__xludf.DUMMYFUNCTION("""COMPUTED_VALUE"""),1.0)</f>
        <v>1</v>
      </c>
      <c r="C4482" s="2">
        <f>IFERROR(__xludf.DUMMYFUNCTION("""COMPUTED_VALUE"""),699.0)</f>
        <v>699</v>
      </c>
      <c r="D4482" s="3">
        <f>IFERROR(__xludf.DUMMYFUNCTION("""COMPUTED_VALUE"""),218.0)</f>
        <v>218</v>
      </c>
      <c r="E4482" s="2"/>
      <c r="F4482" s="2"/>
    </row>
    <row r="4483">
      <c r="A4483" s="2">
        <f>IFERROR(__xludf.DUMMYFUNCTION("""COMPUTED_VALUE"""),99973.0)</f>
        <v>99973</v>
      </c>
      <c r="B4483" s="2">
        <f>IFERROR(__xludf.DUMMYFUNCTION("""COMPUTED_VALUE"""),0.0)</f>
        <v>0</v>
      </c>
      <c r="C4483" s="2">
        <f>IFERROR(__xludf.DUMMYFUNCTION("""COMPUTED_VALUE"""),571.0)</f>
        <v>571</v>
      </c>
      <c r="D4483" s="3">
        <f>IFERROR(__xludf.DUMMYFUNCTION("""COMPUTED_VALUE"""),419.0)</f>
        <v>419</v>
      </c>
      <c r="E4483" s="2"/>
      <c r="F4483" s="2"/>
    </row>
    <row r="4484">
      <c r="A4484" s="2">
        <f>IFERROR(__xludf.DUMMYFUNCTION("""COMPUTED_VALUE"""),70241.0)</f>
        <v>70241</v>
      </c>
      <c r="B4484" s="2">
        <f>IFERROR(__xludf.DUMMYFUNCTION("""COMPUTED_VALUE"""),0.0)</f>
        <v>0</v>
      </c>
      <c r="C4484" s="2">
        <f>IFERROR(__xludf.DUMMYFUNCTION("""COMPUTED_VALUE"""),679.0)</f>
        <v>679</v>
      </c>
      <c r="D4484" s="3">
        <f>IFERROR(__xludf.DUMMYFUNCTION("""COMPUTED_VALUE"""),483.0)</f>
        <v>483</v>
      </c>
      <c r="E4484" s="2"/>
      <c r="F4484" s="2"/>
    </row>
    <row r="4485">
      <c r="A4485" s="2">
        <f>IFERROR(__xludf.DUMMYFUNCTION("""COMPUTED_VALUE"""),129479.0)</f>
        <v>129479</v>
      </c>
      <c r="B4485" s="2">
        <f>IFERROR(__xludf.DUMMYFUNCTION("""COMPUTED_VALUE"""),1.0)</f>
        <v>1</v>
      </c>
      <c r="C4485" s="2">
        <f>IFERROR(__xludf.DUMMYFUNCTION("""COMPUTED_VALUE"""),925.0)</f>
        <v>925</v>
      </c>
      <c r="D4485" s="3">
        <f>IFERROR(__xludf.DUMMYFUNCTION("""COMPUTED_VALUE"""),677.0)</f>
        <v>677</v>
      </c>
      <c r="E4485" s="2"/>
      <c r="F4485" s="2"/>
    </row>
    <row r="4486">
      <c r="A4486" s="2">
        <f>IFERROR(__xludf.DUMMYFUNCTION("""COMPUTED_VALUE"""),107926.0)</f>
        <v>107926</v>
      </c>
      <c r="B4486" s="2">
        <f>IFERROR(__xludf.DUMMYFUNCTION("""COMPUTED_VALUE"""),0.0)</f>
        <v>0</v>
      </c>
      <c r="C4486" s="2">
        <f>IFERROR(__xludf.DUMMYFUNCTION("""COMPUTED_VALUE"""),-6.0)</f>
        <v>-6</v>
      </c>
      <c r="D4486" s="3">
        <f>IFERROR(__xludf.DUMMYFUNCTION("""COMPUTED_VALUE"""),-4.0)</f>
        <v>-4</v>
      </c>
      <c r="E4486" s="2"/>
      <c r="F4486" s="2"/>
    </row>
    <row r="4487">
      <c r="A4487" s="2">
        <f>IFERROR(__xludf.DUMMYFUNCTION("""COMPUTED_VALUE"""),42232.0)</f>
        <v>42232</v>
      </c>
      <c r="B4487" s="2">
        <f>IFERROR(__xludf.DUMMYFUNCTION("""COMPUTED_VALUE"""),0.0)</f>
        <v>0</v>
      </c>
      <c r="C4487" s="2">
        <f>IFERROR(__xludf.DUMMYFUNCTION("""COMPUTED_VALUE"""),456.0)</f>
        <v>456</v>
      </c>
      <c r="D4487" s="3">
        <f>IFERROR(__xludf.DUMMYFUNCTION("""COMPUTED_VALUE"""),445.0)</f>
        <v>445</v>
      </c>
      <c r="E4487" s="2"/>
      <c r="F4487" s="2"/>
    </row>
    <row r="4488">
      <c r="A4488" s="2">
        <f>IFERROR(__xludf.DUMMYFUNCTION("""COMPUTED_VALUE"""),122106.0)</f>
        <v>122106</v>
      </c>
      <c r="B4488" s="2">
        <f>IFERROR(__xludf.DUMMYFUNCTION("""COMPUTED_VALUE"""),1.0)</f>
        <v>1</v>
      </c>
      <c r="C4488" s="2">
        <f>IFERROR(__xludf.DUMMYFUNCTION("""COMPUTED_VALUE"""),602.0)</f>
        <v>602</v>
      </c>
      <c r="D4488" s="3">
        <f>IFERROR(__xludf.DUMMYFUNCTION("""COMPUTED_VALUE"""),400.0)</f>
        <v>400</v>
      </c>
      <c r="E4488" s="2"/>
      <c r="F4488" s="2"/>
    </row>
    <row r="4489">
      <c r="A4489" s="2">
        <f>IFERROR(__xludf.DUMMYFUNCTION("""COMPUTED_VALUE"""),69456.0)</f>
        <v>69456</v>
      </c>
      <c r="B4489" s="2">
        <f>IFERROR(__xludf.DUMMYFUNCTION("""COMPUTED_VALUE"""),0.0)</f>
        <v>0</v>
      </c>
      <c r="C4489" s="2">
        <f>IFERROR(__xludf.DUMMYFUNCTION("""COMPUTED_VALUE"""),860.0)</f>
        <v>860</v>
      </c>
      <c r="D4489" s="3">
        <f>IFERROR(__xludf.DUMMYFUNCTION("""COMPUTED_VALUE"""),691.0)</f>
        <v>691</v>
      </c>
      <c r="E4489" s="2"/>
      <c r="F4489" s="2"/>
    </row>
    <row r="4490">
      <c r="A4490" s="2">
        <f>IFERROR(__xludf.DUMMYFUNCTION("""COMPUTED_VALUE"""),118888.0)</f>
        <v>118888</v>
      </c>
      <c r="B4490" s="2">
        <f>IFERROR(__xludf.DUMMYFUNCTION("""COMPUTED_VALUE"""),1.0)</f>
        <v>1</v>
      </c>
      <c r="C4490" s="2">
        <f>IFERROR(__xludf.DUMMYFUNCTION("""COMPUTED_VALUE"""),862.0)</f>
        <v>862</v>
      </c>
      <c r="D4490" s="3">
        <f>IFERROR(__xludf.DUMMYFUNCTION("""COMPUTED_VALUE"""),392.0)</f>
        <v>392</v>
      </c>
      <c r="E4490" s="2"/>
      <c r="F4490" s="2"/>
    </row>
    <row r="4491">
      <c r="A4491" s="2">
        <f>IFERROR(__xludf.DUMMYFUNCTION("""COMPUTED_VALUE"""),69468.0)</f>
        <v>69468</v>
      </c>
      <c r="B4491" s="2">
        <f>IFERROR(__xludf.DUMMYFUNCTION("""COMPUTED_VALUE"""),1.0)</f>
        <v>1</v>
      </c>
      <c r="C4491" s="2">
        <f>IFERROR(__xludf.DUMMYFUNCTION("""COMPUTED_VALUE"""),667.0)</f>
        <v>667</v>
      </c>
      <c r="D4491" s="3">
        <f>IFERROR(__xludf.DUMMYFUNCTION("""COMPUTED_VALUE"""),481.0)</f>
        <v>481</v>
      </c>
      <c r="E4491" s="2"/>
      <c r="F4491" s="2"/>
    </row>
    <row r="4492">
      <c r="A4492" s="2">
        <f>IFERROR(__xludf.DUMMYFUNCTION("""COMPUTED_VALUE"""),117629.0)</f>
        <v>117629</v>
      </c>
      <c r="B4492" s="2">
        <f>IFERROR(__xludf.DUMMYFUNCTION("""COMPUTED_VALUE"""),0.0)</f>
        <v>0</v>
      </c>
      <c r="C4492" s="2">
        <f>IFERROR(__xludf.DUMMYFUNCTION("""COMPUTED_VALUE"""),905.0)</f>
        <v>905</v>
      </c>
      <c r="D4492" s="3">
        <f>IFERROR(__xludf.DUMMYFUNCTION("""COMPUTED_VALUE"""),694.0)</f>
        <v>694</v>
      </c>
      <c r="E4492" s="2"/>
      <c r="F4492" s="2"/>
    </row>
    <row r="4493">
      <c r="A4493" s="2">
        <f>IFERROR(__xludf.DUMMYFUNCTION("""COMPUTED_VALUE"""),121475.0)</f>
        <v>121475</v>
      </c>
      <c r="B4493" s="2">
        <f>IFERROR(__xludf.DUMMYFUNCTION("""COMPUTED_VALUE"""),0.0)</f>
        <v>0</v>
      </c>
      <c r="C4493" s="2">
        <f>IFERROR(__xludf.DUMMYFUNCTION("""COMPUTED_VALUE"""),509.0)</f>
        <v>509</v>
      </c>
      <c r="D4493" s="3">
        <f>IFERROR(__xludf.DUMMYFUNCTION("""COMPUTED_VALUE"""),499.0)</f>
        <v>499</v>
      </c>
      <c r="E4493" s="2"/>
      <c r="F4493" s="2"/>
    </row>
    <row r="4494">
      <c r="A4494" s="2">
        <f>IFERROR(__xludf.DUMMYFUNCTION("""COMPUTED_VALUE"""),80412.0)</f>
        <v>80412</v>
      </c>
      <c r="B4494" s="2">
        <f>IFERROR(__xludf.DUMMYFUNCTION("""COMPUTED_VALUE"""),1.0)</f>
        <v>1</v>
      </c>
      <c r="C4494" s="2">
        <f>IFERROR(__xludf.DUMMYFUNCTION("""COMPUTED_VALUE"""),745.0)</f>
        <v>745</v>
      </c>
      <c r="D4494" s="3">
        <f>IFERROR(__xludf.DUMMYFUNCTION("""COMPUTED_VALUE"""),323.0)</f>
        <v>323</v>
      </c>
      <c r="E4494" s="2"/>
      <c r="F4494" s="2"/>
    </row>
    <row r="4495">
      <c r="A4495" s="2">
        <f>IFERROR(__xludf.DUMMYFUNCTION("""COMPUTED_VALUE"""),122857.0)</f>
        <v>122857</v>
      </c>
      <c r="B4495" s="2">
        <f>IFERROR(__xludf.DUMMYFUNCTION("""COMPUTED_VALUE"""),0.0)</f>
        <v>0</v>
      </c>
      <c r="C4495" s="2">
        <f>IFERROR(__xludf.DUMMYFUNCTION("""COMPUTED_VALUE"""),569.0)</f>
        <v>569</v>
      </c>
      <c r="D4495" s="3">
        <f>IFERROR(__xludf.DUMMYFUNCTION("""COMPUTED_VALUE"""),448.0)</f>
        <v>448</v>
      </c>
      <c r="E4495" s="2"/>
      <c r="F4495" s="2"/>
    </row>
    <row r="4496">
      <c r="A4496" s="2">
        <f>IFERROR(__xludf.DUMMYFUNCTION("""COMPUTED_VALUE"""),115769.0)</f>
        <v>115769</v>
      </c>
      <c r="B4496" s="2">
        <f>IFERROR(__xludf.DUMMYFUNCTION("""COMPUTED_VALUE"""),0.0)</f>
        <v>0</v>
      </c>
      <c r="C4496" s="2">
        <f>IFERROR(__xludf.DUMMYFUNCTION("""COMPUTED_VALUE"""),45.0)</f>
        <v>45</v>
      </c>
      <c r="D4496" s="3">
        <f>IFERROR(__xludf.DUMMYFUNCTION("""COMPUTED_VALUE"""),9.0)</f>
        <v>9</v>
      </c>
      <c r="E4496" s="2"/>
      <c r="F4496" s="2"/>
    </row>
    <row r="4497">
      <c r="A4497" s="2">
        <f>IFERROR(__xludf.DUMMYFUNCTION("""COMPUTED_VALUE"""),115774.0)</f>
        <v>115774</v>
      </c>
      <c r="B4497" s="2">
        <f>IFERROR(__xludf.DUMMYFUNCTION("""COMPUTED_VALUE"""),0.0)</f>
        <v>0</v>
      </c>
      <c r="C4497" s="2">
        <f>IFERROR(__xludf.DUMMYFUNCTION("""COMPUTED_VALUE"""),446.0)</f>
        <v>446</v>
      </c>
      <c r="D4497" s="3">
        <f>IFERROR(__xludf.DUMMYFUNCTION("""COMPUTED_VALUE"""),292.0)</f>
        <v>292</v>
      </c>
      <c r="E4497" s="2"/>
      <c r="F4497" s="2"/>
    </row>
    <row r="4498">
      <c r="A4498" s="2">
        <f>IFERROR(__xludf.DUMMYFUNCTION("""COMPUTED_VALUE"""),118889.0)</f>
        <v>118889</v>
      </c>
      <c r="B4498" s="2">
        <f>IFERROR(__xludf.DUMMYFUNCTION("""COMPUTED_VALUE"""),0.0)</f>
        <v>0</v>
      </c>
      <c r="C4498" s="2">
        <f>IFERROR(__xludf.DUMMYFUNCTION("""COMPUTED_VALUE"""),136.0)</f>
        <v>136</v>
      </c>
      <c r="D4498" s="3">
        <f>IFERROR(__xludf.DUMMYFUNCTION("""COMPUTED_VALUE"""),21.0)</f>
        <v>21</v>
      </c>
      <c r="E4498" s="2"/>
      <c r="F4498" s="2"/>
    </row>
    <row r="4499">
      <c r="A4499" s="2">
        <f>IFERROR(__xludf.DUMMYFUNCTION("""COMPUTED_VALUE"""),115758.0)</f>
        <v>115758</v>
      </c>
      <c r="B4499" s="2">
        <f>IFERROR(__xludf.DUMMYFUNCTION("""COMPUTED_VALUE"""),1.0)</f>
        <v>1</v>
      </c>
      <c r="C4499" s="2">
        <f>IFERROR(__xludf.DUMMYFUNCTION("""COMPUTED_VALUE"""),344.0)</f>
        <v>344</v>
      </c>
      <c r="D4499" s="3">
        <f>IFERROR(__xludf.DUMMYFUNCTION("""COMPUTED_VALUE"""),181.0)</f>
        <v>181</v>
      </c>
      <c r="E4499" s="2"/>
      <c r="F4499" s="2"/>
    </row>
    <row r="4500">
      <c r="A4500" s="2">
        <f>IFERROR(__xludf.DUMMYFUNCTION("""COMPUTED_VALUE"""),115755.0)</f>
        <v>115755</v>
      </c>
      <c r="B4500" s="2">
        <f>IFERROR(__xludf.DUMMYFUNCTION("""COMPUTED_VALUE"""),0.0)</f>
        <v>0</v>
      </c>
      <c r="C4500" s="2">
        <f>IFERROR(__xludf.DUMMYFUNCTION("""COMPUTED_VALUE"""),481.0)</f>
        <v>481</v>
      </c>
      <c r="D4500" s="3">
        <f>IFERROR(__xludf.DUMMYFUNCTION("""COMPUTED_VALUE"""),50.0)</f>
        <v>50</v>
      </c>
      <c r="E4500" s="2"/>
      <c r="F4500" s="2"/>
    </row>
    <row r="4501">
      <c r="A4501" s="2">
        <f>IFERROR(__xludf.DUMMYFUNCTION("""COMPUTED_VALUE"""),114964.0)</f>
        <v>114964</v>
      </c>
      <c r="B4501" s="2">
        <f>IFERROR(__xludf.DUMMYFUNCTION("""COMPUTED_VALUE"""),0.0)</f>
        <v>0</v>
      </c>
      <c r="C4501" s="2">
        <f>IFERROR(__xludf.DUMMYFUNCTION("""COMPUTED_VALUE"""),896.0)</f>
        <v>896</v>
      </c>
      <c r="D4501" s="3">
        <f>IFERROR(__xludf.DUMMYFUNCTION("""COMPUTED_VALUE"""),533.0)</f>
        <v>533</v>
      </c>
      <c r="E4501" s="2"/>
      <c r="F4501" s="2"/>
    </row>
    <row r="4502">
      <c r="A4502" s="2">
        <f>IFERROR(__xludf.DUMMYFUNCTION("""COMPUTED_VALUE"""),87617.0)</f>
        <v>87617</v>
      </c>
      <c r="B4502" s="2">
        <f>IFERROR(__xludf.DUMMYFUNCTION("""COMPUTED_VALUE"""),1.0)</f>
        <v>1</v>
      </c>
      <c r="C4502" s="2">
        <f>IFERROR(__xludf.DUMMYFUNCTION("""COMPUTED_VALUE"""),781.0)</f>
        <v>781</v>
      </c>
      <c r="D4502" s="3">
        <f>IFERROR(__xludf.DUMMYFUNCTION("""COMPUTED_VALUE"""),159.0)</f>
        <v>159</v>
      </c>
      <c r="E4502" s="2"/>
      <c r="F4502" s="2"/>
    </row>
    <row r="4503">
      <c r="A4503" s="2">
        <f>IFERROR(__xludf.DUMMYFUNCTION("""COMPUTED_VALUE"""),118542.0)</f>
        <v>118542</v>
      </c>
      <c r="B4503" s="2">
        <f>IFERROR(__xludf.DUMMYFUNCTION("""COMPUTED_VALUE"""),1.0)</f>
        <v>1</v>
      </c>
      <c r="C4503" s="2">
        <f>IFERROR(__xludf.DUMMYFUNCTION("""COMPUTED_VALUE"""),172.0)</f>
        <v>172</v>
      </c>
      <c r="D4503" s="3">
        <f>IFERROR(__xludf.DUMMYFUNCTION("""COMPUTED_VALUE"""),63.0)</f>
        <v>63</v>
      </c>
      <c r="E4503" s="2"/>
      <c r="F4503" s="2"/>
    </row>
    <row r="4504">
      <c r="A4504" s="2">
        <f>IFERROR(__xludf.DUMMYFUNCTION("""COMPUTED_VALUE"""),122845.0)</f>
        <v>122845</v>
      </c>
      <c r="B4504" s="2">
        <f>IFERROR(__xludf.DUMMYFUNCTION("""COMPUTED_VALUE"""),0.0)</f>
        <v>0</v>
      </c>
      <c r="C4504" s="2">
        <f>IFERROR(__xludf.DUMMYFUNCTION("""COMPUTED_VALUE"""),689.0)</f>
        <v>689</v>
      </c>
      <c r="D4504" s="3">
        <f>IFERROR(__xludf.DUMMYFUNCTION("""COMPUTED_VALUE"""),269.0)</f>
        <v>269</v>
      </c>
      <c r="E4504" s="2"/>
      <c r="F4504" s="2"/>
    </row>
    <row r="4505">
      <c r="A4505" s="2">
        <f>IFERROR(__xludf.DUMMYFUNCTION("""COMPUTED_VALUE"""),114967.0)</f>
        <v>114967</v>
      </c>
      <c r="B4505" s="2">
        <f>IFERROR(__xludf.DUMMYFUNCTION("""COMPUTED_VALUE"""),0.0)</f>
        <v>0</v>
      </c>
      <c r="C4505" s="2">
        <f>IFERROR(__xludf.DUMMYFUNCTION("""COMPUTED_VALUE"""),393.0)</f>
        <v>393</v>
      </c>
      <c r="D4505" s="3">
        <f>IFERROR(__xludf.DUMMYFUNCTION("""COMPUTED_VALUE"""),335.0)</f>
        <v>335</v>
      </c>
      <c r="E4505" s="2"/>
      <c r="F4505" s="2"/>
    </row>
    <row r="4506">
      <c r="A4506" s="2">
        <f>IFERROR(__xludf.DUMMYFUNCTION("""COMPUTED_VALUE"""),121476.0)</f>
        <v>121476</v>
      </c>
      <c r="B4506" s="2">
        <f>IFERROR(__xludf.DUMMYFUNCTION("""COMPUTED_VALUE"""),1.0)</f>
        <v>1</v>
      </c>
      <c r="C4506" s="2">
        <f>IFERROR(__xludf.DUMMYFUNCTION("""COMPUTED_VALUE"""),876.0)</f>
        <v>876</v>
      </c>
      <c r="D4506" s="3">
        <f>IFERROR(__xludf.DUMMYFUNCTION("""COMPUTED_VALUE"""),364.0)</f>
        <v>364</v>
      </c>
      <c r="E4506" s="2"/>
      <c r="F4506" s="2"/>
    </row>
    <row r="4507">
      <c r="A4507" s="2">
        <f>IFERROR(__xludf.DUMMYFUNCTION("""COMPUTED_VALUE"""),120529.0)</f>
        <v>120529</v>
      </c>
      <c r="B4507" s="2">
        <f>IFERROR(__xludf.DUMMYFUNCTION("""COMPUTED_VALUE"""),1.0)</f>
        <v>1</v>
      </c>
      <c r="C4507" s="2">
        <f>IFERROR(__xludf.DUMMYFUNCTION("""COMPUTED_VALUE"""),977.0)</f>
        <v>977</v>
      </c>
      <c r="D4507" s="3">
        <f>IFERROR(__xludf.DUMMYFUNCTION("""COMPUTED_VALUE"""),673.0)</f>
        <v>673</v>
      </c>
      <c r="E4507" s="2"/>
      <c r="F4507" s="2"/>
    </row>
    <row r="4508">
      <c r="A4508" s="2">
        <f>IFERROR(__xludf.DUMMYFUNCTION("""COMPUTED_VALUE"""),120530.0)</f>
        <v>120530</v>
      </c>
      <c r="B4508" s="2">
        <f>IFERROR(__xludf.DUMMYFUNCTION("""COMPUTED_VALUE"""),0.0)</f>
        <v>0</v>
      </c>
      <c r="C4508" s="2">
        <f>IFERROR(__xludf.DUMMYFUNCTION("""COMPUTED_VALUE"""),13.0)</f>
        <v>13</v>
      </c>
      <c r="D4508" s="3">
        <f>IFERROR(__xludf.DUMMYFUNCTION("""COMPUTED_VALUE"""),0.0)</f>
        <v>0</v>
      </c>
      <c r="E4508" s="2"/>
      <c r="F4508" s="2"/>
    </row>
    <row r="4509">
      <c r="A4509" s="2">
        <f>IFERROR(__xludf.DUMMYFUNCTION("""COMPUTED_VALUE"""),117638.0)</f>
        <v>117638</v>
      </c>
      <c r="B4509" s="2">
        <f>IFERROR(__xludf.DUMMYFUNCTION("""COMPUTED_VALUE"""),0.0)</f>
        <v>0</v>
      </c>
      <c r="C4509" s="2">
        <f>IFERROR(__xludf.DUMMYFUNCTION("""COMPUTED_VALUE"""),297.0)</f>
        <v>297</v>
      </c>
      <c r="D4509" s="3">
        <f>IFERROR(__xludf.DUMMYFUNCTION("""COMPUTED_VALUE"""),146.0)</f>
        <v>146</v>
      </c>
      <c r="E4509" s="2"/>
      <c r="F4509" s="2"/>
    </row>
    <row r="4510">
      <c r="A4510" s="2">
        <f>IFERROR(__xludf.DUMMYFUNCTION("""COMPUTED_VALUE"""),108240.0)</f>
        <v>108240</v>
      </c>
      <c r="B4510" s="2">
        <f>IFERROR(__xludf.DUMMYFUNCTION("""COMPUTED_VALUE"""),0.0)</f>
        <v>0</v>
      </c>
      <c r="C4510" s="2">
        <f>IFERROR(__xludf.DUMMYFUNCTION("""COMPUTED_VALUE"""),381.0)</f>
        <v>381</v>
      </c>
      <c r="D4510" s="3">
        <f>IFERROR(__xludf.DUMMYFUNCTION("""COMPUTED_VALUE"""),209.0)</f>
        <v>209</v>
      </c>
      <c r="E4510" s="2"/>
      <c r="F4510" s="2"/>
    </row>
    <row r="4511">
      <c r="A4511" s="2">
        <f>IFERROR(__xludf.DUMMYFUNCTION("""COMPUTED_VALUE"""),88635.0)</f>
        <v>88635</v>
      </c>
      <c r="B4511" s="2">
        <f>IFERROR(__xludf.DUMMYFUNCTION("""COMPUTED_VALUE"""),0.0)</f>
        <v>0</v>
      </c>
      <c r="C4511" s="2">
        <f>IFERROR(__xludf.DUMMYFUNCTION("""COMPUTED_VALUE"""),467.0)</f>
        <v>467</v>
      </c>
      <c r="D4511" s="3">
        <f>IFERROR(__xludf.DUMMYFUNCTION("""COMPUTED_VALUE"""),120.0)</f>
        <v>120</v>
      </c>
      <c r="E4511" s="2"/>
      <c r="F4511" s="2"/>
    </row>
    <row r="4512">
      <c r="A4512" s="2">
        <f>IFERROR(__xludf.DUMMYFUNCTION("""COMPUTED_VALUE"""),69340.0)</f>
        <v>69340</v>
      </c>
      <c r="B4512" s="2">
        <f>IFERROR(__xludf.DUMMYFUNCTION("""COMPUTED_VALUE"""),0.0)</f>
        <v>0</v>
      </c>
      <c r="C4512" s="2">
        <f>IFERROR(__xludf.DUMMYFUNCTION("""COMPUTED_VALUE"""),573.0)</f>
        <v>573</v>
      </c>
      <c r="D4512" s="3">
        <f>IFERROR(__xludf.DUMMYFUNCTION("""COMPUTED_VALUE"""),292.0)</f>
        <v>292</v>
      </c>
      <c r="E4512" s="2"/>
      <c r="F4512" s="2"/>
    </row>
    <row r="4513">
      <c r="A4513" s="2">
        <f>IFERROR(__xludf.DUMMYFUNCTION("""COMPUTED_VALUE"""),199472.0)</f>
        <v>199472</v>
      </c>
      <c r="B4513" s="2">
        <f>IFERROR(__xludf.DUMMYFUNCTION("""COMPUTED_VALUE"""),0.0)</f>
        <v>0</v>
      </c>
      <c r="C4513" s="2">
        <f>IFERROR(__xludf.DUMMYFUNCTION("""COMPUTED_VALUE"""),648.0)</f>
        <v>648</v>
      </c>
      <c r="D4513" s="3">
        <f>IFERROR(__xludf.DUMMYFUNCTION("""COMPUTED_VALUE"""),47.0)</f>
        <v>47</v>
      </c>
      <c r="E4513" s="2"/>
      <c r="F4513" s="2"/>
    </row>
    <row r="4514">
      <c r="A4514" s="2">
        <f>IFERROR(__xludf.DUMMYFUNCTION("""COMPUTED_VALUE"""),117646.0)</f>
        <v>117646</v>
      </c>
      <c r="B4514" s="2">
        <f>IFERROR(__xludf.DUMMYFUNCTION("""COMPUTED_VALUE"""),0.0)</f>
        <v>0</v>
      </c>
      <c r="C4514" s="2">
        <f>IFERROR(__xludf.DUMMYFUNCTION("""COMPUTED_VALUE"""),184.0)</f>
        <v>184</v>
      </c>
      <c r="D4514" s="3">
        <f>IFERROR(__xludf.DUMMYFUNCTION("""COMPUTED_VALUE"""),153.0)</f>
        <v>153</v>
      </c>
      <c r="E4514" s="2"/>
      <c r="F4514" s="2"/>
    </row>
    <row r="4515">
      <c r="A4515" s="2">
        <f>IFERROR(__xludf.DUMMYFUNCTION("""COMPUTED_VALUE"""),84167.0)</f>
        <v>84167</v>
      </c>
      <c r="B4515" s="2">
        <f>IFERROR(__xludf.DUMMYFUNCTION("""COMPUTED_VALUE"""),1.0)</f>
        <v>1</v>
      </c>
      <c r="C4515" s="2">
        <f>IFERROR(__xludf.DUMMYFUNCTION("""COMPUTED_VALUE"""),367.0)</f>
        <v>367</v>
      </c>
      <c r="D4515" s="3">
        <f>IFERROR(__xludf.DUMMYFUNCTION("""COMPUTED_VALUE"""),191.0)</f>
        <v>191</v>
      </c>
      <c r="E4515" s="2"/>
      <c r="F4515" s="2"/>
    </row>
    <row r="4516">
      <c r="A4516" s="2">
        <f>IFERROR(__xludf.DUMMYFUNCTION("""COMPUTED_VALUE"""),81742.0)</f>
        <v>81742</v>
      </c>
      <c r="B4516" s="2">
        <f>IFERROR(__xludf.DUMMYFUNCTION("""COMPUTED_VALUE"""),0.0)</f>
        <v>0</v>
      </c>
      <c r="C4516" s="2">
        <f>IFERROR(__xludf.DUMMYFUNCTION("""COMPUTED_VALUE"""),382.0)</f>
        <v>382</v>
      </c>
      <c r="D4516" s="3">
        <f>IFERROR(__xludf.DUMMYFUNCTION("""COMPUTED_VALUE"""),300.0)</f>
        <v>300</v>
      </c>
      <c r="E4516" s="2"/>
      <c r="F4516" s="2"/>
    </row>
    <row r="4517">
      <c r="A4517" s="2">
        <f>IFERROR(__xludf.DUMMYFUNCTION("""COMPUTED_VALUE"""),115754.0)</f>
        <v>115754</v>
      </c>
      <c r="B4517" s="2">
        <f>IFERROR(__xludf.DUMMYFUNCTION("""COMPUTED_VALUE"""),0.0)</f>
        <v>0</v>
      </c>
      <c r="C4517" s="2">
        <f>IFERROR(__xludf.DUMMYFUNCTION("""COMPUTED_VALUE"""),120.0)</f>
        <v>120</v>
      </c>
      <c r="D4517" s="3">
        <f>IFERROR(__xludf.DUMMYFUNCTION("""COMPUTED_VALUE"""),102.0)</f>
        <v>102</v>
      </c>
      <c r="E4517" s="2"/>
      <c r="F4517" s="2"/>
    </row>
    <row r="4518">
      <c r="A4518" s="2">
        <f>IFERROR(__xludf.DUMMYFUNCTION("""COMPUTED_VALUE"""),69334.0)</f>
        <v>69334</v>
      </c>
      <c r="B4518" s="2">
        <f>IFERROR(__xludf.DUMMYFUNCTION("""COMPUTED_VALUE"""),0.0)</f>
        <v>0</v>
      </c>
      <c r="C4518" s="2">
        <f>IFERROR(__xludf.DUMMYFUNCTION("""COMPUTED_VALUE"""),524.0)</f>
        <v>524</v>
      </c>
      <c r="D4518" s="3">
        <f>IFERROR(__xludf.DUMMYFUNCTION("""COMPUTED_VALUE"""),307.0)</f>
        <v>307</v>
      </c>
      <c r="E4518" s="2"/>
      <c r="F4518" s="2"/>
    </row>
    <row r="4519">
      <c r="A4519" s="2">
        <f>IFERROR(__xludf.DUMMYFUNCTION("""COMPUTED_VALUE"""),117753.0)</f>
        <v>117753</v>
      </c>
      <c r="B4519" s="2">
        <f>IFERROR(__xludf.DUMMYFUNCTION("""COMPUTED_VALUE"""),0.0)</f>
        <v>0</v>
      </c>
      <c r="C4519" s="2">
        <f>IFERROR(__xludf.DUMMYFUNCTION("""COMPUTED_VALUE"""),492.0)</f>
        <v>492</v>
      </c>
      <c r="D4519" s="3">
        <f>IFERROR(__xludf.DUMMYFUNCTION("""COMPUTED_VALUE"""),199.0)</f>
        <v>199</v>
      </c>
      <c r="E4519" s="2"/>
      <c r="F4519" s="2"/>
    </row>
    <row r="4520">
      <c r="A4520" s="2">
        <f>IFERROR(__xludf.DUMMYFUNCTION("""COMPUTED_VALUE"""),129482.0)</f>
        <v>129482</v>
      </c>
      <c r="B4520" s="2">
        <f>IFERROR(__xludf.DUMMYFUNCTION("""COMPUTED_VALUE"""),0.0)</f>
        <v>0</v>
      </c>
      <c r="C4520" s="2">
        <f>IFERROR(__xludf.DUMMYFUNCTION("""COMPUTED_VALUE"""),556.0)</f>
        <v>556</v>
      </c>
      <c r="D4520" s="3">
        <f>IFERROR(__xludf.DUMMYFUNCTION("""COMPUTED_VALUE"""),213.0)</f>
        <v>213</v>
      </c>
      <c r="E4520" s="2"/>
      <c r="F4520" s="2"/>
    </row>
    <row r="4521">
      <c r="A4521" s="2">
        <f>IFERROR(__xludf.DUMMYFUNCTION("""COMPUTED_VALUE"""),117634.0)</f>
        <v>117634</v>
      </c>
      <c r="B4521" s="2">
        <f>IFERROR(__xludf.DUMMYFUNCTION("""COMPUTED_VALUE"""),1.0)</f>
        <v>1</v>
      </c>
      <c r="C4521" s="2">
        <f>IFERROR(__xludf.DUMMYFUNCTION("""COMPUTED_VALUE"""),530.0)</f>
        <v>530</v>
      </c>
      <c r="D4521" s="3">
        <f>IFERROR(__xludf.DUMMYFUNCTION("""COMPUTED_VALUE"""),354.0)</f>
        <v>354</v>
      </c>
      <c r="E4521" s="2"/>
      <c r="F4521" s="2"/>
    </row>
    <row r="4522">
      <c r="A4522" s="2">
        <f>IFERROR(__xludf.DUMMYFUNCTION("""COMPUTED_VALUE"""),111027.0)</f>
        <v>111027</v>
      </c>
      <c r="B4522" s="2">
        <f>IFERROR(__xludf.DUMMYFUNCTION("""COMPUTED_VALUE"""),0.0)</f>
        <v>0</v>
      </c>
      <c r="C4522" s="2">
        <f>IFERROR(__xludf.DUMMYFUNCTION("""COMPUTED_VALUE"""),773.0)</f>
        <v>773</v>
      </c>
      <c r="D4522" s="3">
        <f>IFERROR(__xludf.DUMMYFUNCTION("""COMPUTED_VALUE"""),130.0)</f>
        <v>130</v>
      </c>
      <c r="E4522" s="2"/>
      <c r="F4522" s="2"/>
    </row>
    <row r="4523">
      <c r="A4523" s="2">
        <f>IFERROR(__xludf.DUMMYFUNCTION("""COMPUTED_VALUE"""),115772.0)</f>
        <v>115772</v>
      </c>
      <c r="B4523" s="2">
        <f>IFERROR(__xludf.DUMMYFUNCTION("""COMPUTED_VALUE"""),0.0)</f>
        <v>0</v>
      </c>
      <c r="C4523" s="2">
        <f>IFERROR(__xludf.DUMMYFUNCTION("""COMPUTED_VALUE"""),63.0)</f>
        <v>63</v>
      </c>
      <c r="D4523" s="3">
        <f>IFERROR(__xludf.DUMMYFUNCTION("""COMPUTED_VALUE"""),12.0)</f>
        <v>12</v>
      </c>
      <c r="E4523" s="2"/>
      <c r="F4523" s="2"/>
    </row>
    <row r="4524">
      <c r="A4524" s="2">
        <f>IFERROR(__xludf.DUMMYFUNCTION("""COMPUTED_VALUE"""),115768.0)</f>
        <v>115768</v>
      </c>
      <c r="B4524" s="2">
        <f>IFERROR(__xludf.DUMMYFUNCTION("""COMPUTED_VALUE"""),0.0)</f>
        <v>0</v>
      </c>
      <c r="C4524" s="2">
        <f>IFERROR(__xludf.DUMMYFUNCTION("""COMPUTED_VALUE"""),434.0)</f>
        <v>434</v>
      </c>
      <c r="D4524" s="3">
        <f>IFERROR(__xludf.DUMMYFUNCTION("""COMPUTED_VALUE"""),85.0)</f>
        <v>85</v>
      </c>
      <c r="E4524" s="2"/>
      <c r="F4524" s="2"/>
    </row>
    <row r="4525">
      <c r="A4525" s="2">
        <f>IFERROR(__xludf.DUMMYFUNCTION("""COMPUTED_VALUE"""),69476.0)</f>
        <v>69476</v>
      </c>
      <c r="B4525" s="2">
        <f>IFERROR(__xludf.DUMMYFUNCTION("""COMPUTED_VALUE"""),1.0)</f>
        <v>1</v>
      </c>
      <c r="C4525" s="2">
        <f>IFERROR(__xludf.DUMMYFUNCTION("""COMPUTED_VALUE"""),250.0)</f>
        <v>250</v>
      </c>
      <c r="D4525" s="3">
        <f>IFERROR(__xludf.DUMMYFUNCTION("""COMPUTED_VALUE"""),129.0)</f>
        <v>129</v>
      </c>
      <c r="E4525" s="2"/>
      <c r="F4525" s="2"/>
    </row>
    <row r="4526">
      <c r="A4526" s="2">
        <f>IFERROR(__xludf.DUMMYFUNCTION("""COMPUTED_VALUE"""),122118.0)</f>
        <v>122118</v>
      </c>
      <c r="B4526" s="2">
        <f>IFERROR(__xludf.DUMMYFUNCTION("""COMPUTED_VALUE"""),0.0)</f>
        <v>0</v>
      </c>
      <c r="C4526" s="2">
        <f>IFERROR(__xludf.DUMMYFUNCTION("""COMPUTED_VALUE"""),452.0)</f>
        <v>452</v>
      </c>
      <c r="D4526" s="3">
        <f>IFERROR(__xludf.DUMMYFUNCTION("""COMPUTED_VALUE"""),302.0)</f>
        <v>302</v>
      </c>
      <c r="E4526" s="2"/>
      <c r="F4526" s="2"/>
    </row>
    <row r="4527">
      <c r="A4527" s="2">
        <f>IFERROR(__xludf.DUMMYFUNCTION("""COMPUTED_VALUE"""),87447.0)</f>
        <v>87447</v>
      </c>
      <c r="B4527" s="2">
        <f>IFERROR(__xludf.DUMMYFUNCTION("""COMPUTED_VALUE"""),1.0)</f>
        <v>1</v>
      </c>
      <c r="C4527" s="2">
        <f>IFERROR(__xludf.DUMMYFUNCTION("""COMPUTED_VALUE"""),927.0)</f>
        <v>927</v>
      </c>
      <c r="D4527" s="3">
        <f>IFERROR(__xludf.DUMMYFUNCTION("""COMPUTED_VALUE"""),200.0)</f>
        <v>200</v>
      </c>
      <c r="E4527" s="2"/>
      <c r="F4527" s="2"/>
    </row>
    <row r="4528">
      <c r="A4528" s="2">
        <f>IFERROR(__xludf.DUMMYFUNCTION("""COMPUTED_VALUE"""),129480.0)</f>
        <v>129480</v>
      </c>
      <c r="B4528" s="2">
        <f>IFERROR(__xludf.DUMMYFUNCTION("""COMPUTED_VALUE"""),1.0)</f>
        <v>1</v>
      </c>
      <c r="C4528" s="2">
        <f>IFERROR(__xludf.DUMMYFUNCTION("""COMPUTED_VALUE"""),389.0)</f>
        <v>389</v>
      </c>
      <c r="D4528" s="3">
        <f>IFERROR(__xludf.DUMMYFUNCTION("""COMPUTED_VALUE"""),179.0)</f>
        <v>179</v>
      </c>
      <c r="E4528" s="2"/>
      <c r="F4528" s="2"/>
    </row>
    <row r="4529">
      <c r="A4529" s="2">
        <f>IFERROR(__xludf.DUMMYFUNCTION("""COMPUTED_VALUE"""),84164.0)</f>
        <v>84164</v>
      </c>
      <c r="B4529" s="2">
        <f>IFERROR(__xludf.DUMMYFUNCTION("""COMPUTED_VALUE"""),1.0)</f>
        <v>1</v>
      </c>
      <c r="C4529" s="2">
        <f>IFERROR(__xludf.DUMMYFUNCTION("""COMPUTED_VALUE"""),58.0)</f>
        <v>58</v>
      </c>
      <c r="D4529" s="3">
        <f>IFERROR(__xludf.DUMMYFUNCTION("""COMPUTED_VALUE"""),22.0)</f>
        <v>22</v>
      </c>
      <c r="E4529" s="2"/>
      <c r="F4529" s="2"/>
    </row>
    <row r="4530">
      <c r="A4530" s="2">
        <f>IFERROR(__xludf.DUMMYFUNCTION("""COMPUTED_VALUE"""),69338.0)</f>
        <v>69338</v>
      </c>
      <c r="B4530" s="2">
        <f>IFERROR(__xludf.DUMMYFUNCTION("""COMPUTED_VALUE"""),0.0)</f>
        <v>0</v>
      </c>
      <c r="C4530" s="2">
        <f>IFERROR(__xludf.DUMMYFUNCTION("""COMPUTED_VALUE"""),746.0)</f>
        <v>746</v>
      </c>
      <c r="D4530" s="3">
        <f>IFERROR(__xludf.DUMMYFUNCTION("""COMPUTED_VALUE"""),19.0)</f>
        <v>19</v>
      </c>
      <c r="E4530" s="2"/>
      <c r="F4530" s="2"/>
    </row>
    <row r="4531">
      <c r="A4531" s="2">
        <f>IFERROR(__xludf.DUMMYFUNCTION("""COMPUTED_VALUE"""),120531.0)</f>
        <v>120531</v>
      </c>
      <c r="B4531" s="2">
        <f>IFERROR(__xludf.DUMMYFUNCTION("""COMPUTED_VALUE"""),1.0)</f>
        <v>1</v>
      </c>
      <c r="C4531" s="2">
        <f>IFERROR(__xludf.DUMMYFUNCTION("""COMPUTED_VALUE"""),10.0)</f>
        <v>10</v>
      </c>
      <c r="D4531" s="3">
        <f>IFERROR(__xludf.DUMMYFUNCTION("""COMPUTED_VALUE"""),7.0)</f>
        <v>7</v>
      </c>
      <c r="E4531" s="2"/>
      <c r="F4531" s="2"/>
    </row>
    <row r="4532">
      <c r="A4532" s="2">
        <f>IFERROR(__xludf.DUMMYFUNCTION("""COMPUTED_VALUE"""),120524.0)</f>
        <v>120524</v>
      </c>
      <c r="B4532" s="2">
        <f>IFERROR(__xludf.DUMMYFUNCTION("""COMPUTED_VALUE"""),1.0)</f>
        <v>1</v>
      </c>
      <c r="C4532" s="2">
        <f>IFERROR(__xludf.DUMMYFUNCTION("""COMPUTED_VALUE"""),320.0)</f>
        <v>320</v>
      </c>
      <c r="D4532" s="3">
        <f>IFERROR(__xludf.DUMMYFUNCTION("""COMPUTED_VALUE"""),319.0)</f>
        <v>319</v>
      </c>
      <c r="E4532" s="2"/>
      <c r="F4532" s="2"/>
    </row>
    <row r="4533">
      <c r="A4533" s="2">
        <f>IFERROR(__xludf.DUMMYFUNCTION("""COMPUTED_VALUE"""),117631.0)</f>
        <v>117631</v>
      </c>
      <c r="B4533" s="2">
        <f>IFERROR(__xludf.DUMMYFUNCTION("""COMPUTED_VALUE"""),1.0)</f>
        <v>1</v>
      </c>
      <c r="C4533" s="2">
        <f>IFERROR(__xludf.DUMMYFUNCTION("""COMPUTED_VALUE"""),169.0)</f>
        <v>169</v>
      </c>
      <c r="D4533" s="3">
        <f>IFERROR(__xludf.DUMMYFUNCTION("""COMPUTED_VALUE"""),152.0)</f>
        <v>152</v>
      </c>
      <c r="E4533" s="2"/>
      <c r="F4533" s="2"/>
    </row>
    <row r="4534">
      <c r="A4534" s="2">
        <f>IFERROR(__xludf.DUMMYFUNCTION("""COMPUTED_VALUE"""),115757.0)</f>
        <v>115757</v>
      </c>
      <c r="B4534" s="2">
        <f>IFERROR(__xludf.DUMMYFUNCTION("""COMPUTED_VALUE"""),0.0)</f>
        <v>0</v>
      </c>
      <c r="C4534" s="2">
        <f>IFERROR(__xludf.DUMMYFUNCTION("""COMPUTED_VALUE"""),211.0)</f>
        <v>211</v>
      </c>
      <c r="D4534" s="3">
        <f>IFERROR(__xludf.DUMMYFUNCTION("""COMPUTED_VALUE"""),180.0)</f>
        <v>180</v>
      </c>
      <c r="E4534" s="2"/>
      <c r="F4534" s="2"/>
    </row>
    <row r="4535">
      <c r="A4535" s="2">
        <f>IFERROR(__xludf.DUMMYFUNCTION("""COMPUTED_VALUE"""),42243.0)</f>
        <v>42243</v>
      </c>
      <c r="B4535" s="2">
        <f>IFERROR(__xludf.DUMMYFUNCTION("""COMPUTED_VALUE"""),0.0)</f>
        <v>0</v>
      </c>
      <c r="C4535" s="2">
        <f>IFERROR(__xludf.DUMMYFUNCTION("""COMPUTED_VALUE"""),933.0)</f>
        <v>933</v>
      </c>
      <c r="D4535" s="3">
        <f>IFERROR(__xludf.DUMMYFUNCTION("""COMPUTED_VALUE"""),287.0)</f>
        <v>287</v>
      </c>
      <c r="E4535" s="2"/>
      <c r="F4535" s="2"/>
    </row>
    <row r="4536">
      <c r="A4536" s="2">
        <f>IFERROR(__xludf.DUMMYFUNCTION("""COMPUTED_VALUE"""),115761.0)</f>
        <v>115761</v>
      </c>
      <c r="B4536" s="2">
        <f>IFERROR(__xludf.DUMMYFUNCTION("""COMPUTED_VALUE"""),0.0)</f>
        <v>0</v>
      </c>
      <c r="C4536" s="2">
        <f>IFERROR(__xludf.DUMMYFUNCTION("""COMPUTED_VALUE"""),494.0)</f>
        <v>494</v>
      </c>
      <c r="D4536" s="3">
        <f>IFERROR(__xludf.DUMMYFUNCTION("""COMPUTED_VALUE"""),480.0)</f>
        <v>480</v>
      </c>
      <c r="E4536" s="2"/>
      <c r="F4536" s="2"/>
    </row>
    <row r="4537">
      <c r="A4537" s="2">
        <f>IFERROR(__xludf.DUMMYFUNCTION("""COMPUTED_VALUE"""),113960.0)</f>
        <v>113960</v>
      </c>
      <c r="B4537" s="2">
        <f>IFERROR(__xludf.DUMMYFUNCTION("""COMPUTED_VALUE"""),0.0)</f>
        <v>0</v>
      </c>
      <c r="C4537" s="2">
        <f>IFERROR(__xludf.DUMMYFUNCTION("""COMPUTED_VALUE"""),304.0)</f>
        <v>304</v>
      </c>
      <c r="D4537" s="3">
        <f>IFERROR(__xludf.DUMMYFUNCTION("""COMPUTED_VALUE"""),259.0)</f>
        <v>259</v>
      </c>
      <c r="E4537" s="2"/>
      <c r="F4537" s="2"/>
    </row>
    <row r="4538">
      <c r="A4538" s="2">
        <f>IFERROR(__xludf.DUMMYFUNCTION("""COMPUTED_VALUE"""),42241.0)</f>
        <v>42241</v>
      </c>
      <c r="B4538" s="2">
        <f>IFERROR(__xludf.DUMMYFUNCTION("""COMPUTED_VALUE"""),1.0)</f>
        <v>1</v>
      </c>
      <c r="C4538" s="2">
        <f>IFERROR(__xludf.DUMMYFUNCTION("""COMPUTED_VALUE"""),756.0)</f>
        <v>756</v>
      </c>
      <c r="D4538" s="3">
        <f>IFERROR(__xludf.DUMMYFUNCTION("""COMPUTED_VALUE"""),570.0)</f>
        <v>570</v>
      </c>
      <c r="E4538" s="2"/>
      <c r="F4538" s="2"/>
    </row>
    <row r="4539">
      <c r="A4539" s="2">
        <f>IFERROR(__xludf.DUMMYFUNCTION("""COMPUTED_VALUE"""),115770.0)</f>
        <v>115770</v>
      </c>
      <c r="B4539" s="2">
        <f>IFERROR(__xludf.DUMMYFUNCTION("""COMPUTED_VALUE"""),0.0)</f>
        <v>0</v>
      </c>
      <c r="C4539" s="2">
        <f>IFERROR(__xludf.DUMMYFUNCTION("""COMPUTED_VALUE"""),11.0)</f>
        <v>11</v>
      </c>
      <c r="D4539" s="3">
        <f>IFERROR(__xludf.DUMMYFUNCTION("""COMPUTED_VALUE"""),6.0)</f>
        <v>6</v>
      </c>
      <c r="E4539" s="2"/>
      <c r="F4539" s="2"/>
    </row>
    <row r="4540">
      <c r="A4540" s="2">
        <f>IFERROR(__xludf.DUMMYFUNCTION("""COMPUTED_VALUE"""),118541.0)</f>
        <v>118541</v>
      </c>
      <c r="B4540" s="2">
        <f>IFERROR(__xludf.DUMMYFUNCTION("""COMPUTED_VALUE"""),0.0)</f>
        <v>0</v>
      </c>
      <c r="C4540" s="2">
        <f>IFERROR(__xludf.DUMMYFUNCTION("""COMPUTED_VALUE"""),462.0)</f>
        <v>462</v>
      </c>
      <c r="D4540" s="3">
        <f>IFERROR(__xludf.DUMMYFUNCTION("""COMPUTED_VALUE"""),317.0)</f>
        <v>317</v>
      </c>
      <c r="E4540" s="2"/>
      <c r="F4540" s="2"/>
    </row>
    <row r="4541">
      <c r="A4541" s="2">
        <f>IFERROR(__xludf.DUMMYFUNCTION("""COMPUTED_VALUE"""),115750.0)</f>
        <v>115750</v>
      </c>
      <c r="B4541" s="2">
        <f>IFERROR(__xludf.DUMMYFUNCTION("""COMPUTED_VALUE"""),1.0)</f>
        <v>1</v>
      </c>
      <c r="C4541" s="2">
        <f>IFERROR(__xludf.DUMMYFUNCTION("""COMPUTED_VALUE"""),170.0)</f>
        <v>170</v>
      </c>
      <c r="D4541" s="3">
        <f>IFERROR(__xludf.DUMMYFUNCTION("""COMPUTED_VALUE"""),32.0)</f>
        <v>32</v>
      </c>
      <c r="E4541" s="2"/>
      <c r="F4541" s="2"/>
    </row>
    <row r="4542">
      <c r="A4542" s="2">
        <f>IFERROR(__xludf.DUMMYFUNCTION("""COMPUTED_VALUE"""),99969.0)</f>
        <v>99969</v>
      </c>
      <c r="B4542" s="2">
        <f>IFERROR(__xludf.DUMMYFUNCTION("""COMPUTED_VALUE"""),1.0)</f>
        <v>1</v>
      </c>
      <c r="C4542" s="2">
        <f>IFERROR(__xludf.DUMMYFUNCTION("""COMPUTED_VALUE"""),185.0)</f>
        <v>185</v>
      </c>
      <c r="D4542" s="3">
        <f>IFERROR(__xludf.DUMMYFUNCTION("""COMPUTED_VALUE"""),157.0)</f>
        <v>157</v>
      </c>
      <c r="E4542" s="2"/>
      <c r="F4542" s="2"/>
    </row>
    <row r="4543">
      <c r="A4543" s="2">
        <f>IFERROR(__xludf.DUMMYFUNCTION("""COMPUTED_VALUE"""),129483.0)</f>
        <v>129483</v>
      </c>
      <c r="B4543" s="2">
        <f>IFERROR(__xludf.DUMMYFUNCTION("""COMPUTED_VALUE"""),1.0)</f>
        <v>1</v>
      </c>
      <c r="C4543" s="2">
        <f>IFERROR(__xludf.DUMMYFUNCTION("""COMPUTED_VALUE"""),196.0)</f>
        <v>196</v>
      </c>
      <c r="D4543" s="3">
        <f>IFERROR(__xludf.DUMMYFUNCTION("""COMPUTED_VALUE"""),151.0)</f>
        <v>151</v>
      </c>
      <c r="E4543" s="2"/>
      <c r="F4543" s="2"/>
    </row>
    <row r="4544">
      <c r="A4544" s="2">
        <f>IFERROR(__xludf.DUMMYFUNCTION("""COMPUTED_VALUE"""),42255.0)</f>
        <v>42255</v>
      </c>
      <c r="B4544" s="2">
        <f>IFERROR(__xludf.DUMMYFUNCTION("""COMPUTED_VALUE"""),0.0)</f>
        <v>0</v>
      </c>
      <c r="C4544" s="2">
        <f>IFERROR(__xludf.DUMMYFUNCTION("""COMPUTED_VALUE"""),594.0)</f>
        <v>594</v>
      </c>
      <c r="D4544" s="3">
        <f>IFERROR(__xludf.DUMMYFUNCTION("""COMPUTED_VALUE"""),115.0)</f>
        <v>115</v>
      </c>
      <c r="E4544" s="2"/>
      <c r="F4544" s="2"/>
    </row>
    <row r="4545">
      <c r="A4545" s="2">
        <f>IFERROR(__xludf.DUMMYFUNCTION("""COMPUTED_VALUE"""),100235.0)</f>
        <v>100235</v>
      </c>
      <c r="B4545" s="2">
        <f>IFERROR(__xludf.DUMMYFUNCTION("""COMPUTED_VALUE"""),0.0)</f>
        <v>0</v>
      </c>
      <c r="C4545" s="2">
        <f>IFERROR(__xludf.DUMMYFUNCTION("""COMPUTED_VALUE"""),595.0)</f>
        <v>595</v>
      </c>
      <c r="D4545" s="3">
        <f>IFERROR(__xludf.DUMMYFUNCTION("""COMPUTED_VALUE"""),294.0)</f>
        <v>294</v>
      </c>
      <c r="E4545" s="2"/>
      <c r="F4545" s="2"/>
    </row>
    <row r="4546">
      <c r="A4546" s="2">
        <f>IFERROR(__xludf.DUMMYFUNCTION("""COMPUTED_VALUE"""),129481.0)</f>
        <v>129481</v>
      </c>
      <c r="B4546" s="2">
        <f>IFERROR(__xludf.DUMMYFUNCTION("""COMPUTED_VALUE"""),0.0)</f>
        <v>0</v>
      </c>
      <c r="C4546" s="2">
        <f>IFERROR(__xludf.DUMMYFUNCTION("""COMPUTED_VALUE"""),970.0)</f>
        <v>970</v>
      </c>
      <c r="D4546" s="3">
        <f>IFERROR(__xludf.DUMMYFUNCTION("""COMPUTED_VALUE"""),2.0)</f>
        <v>2</v>
      </c>
      <c r="E4546" s="2"/>
      <c r="F4546" s="2"/>
    </row>
    <row r="4547">
      <c r="A4547" s="2">
        <f>IFERROR(__xludf.DUMMYFUNCTION("""COMPUTED_VALUE"""),87455.0)</f>
        <v>87455</v>
      </c>
      <c r="B4547" s="2">
        <f>IFERROR(__xludf.DUMMYFUNCTION("""COMPUTED_VALUE"""),0.0)</f>
        <v>0</v>
      </c>
      <c r="C4547" s="2">
        <f>IFERROR(__xludf.DUMMYFUNCTION("""COMPUTED_VALUE"""),38.0)</f>
        <v>38</v>
      </c>
      <c r="D4547" s="3">
        <f>IFERROR(__xludf.DUMMYFUNCTION("""COMPUTED_VALUE"""),35.0)</f>
        <v>35</v>
      </c>
      <c r="E4547" s="2"/>
      <c r="F4547" s="2"/>
    </row>
    <row r="4548">
      <c r="A4548" s="2">
        <f>IFERROR(__xludf.DUMMYFUNCTION("""COMPUTED_VALUE"""),120257.0)</f>
        <v>120257</v>
      </c>
      <c r="B4548" s="2">
        <f>IFERROR(__xludf.DUMMYFUNCTION("""COMPUTED_VALUE"""),1.0)</f>
        <v>1</v>
      </c>
      <c r="C4548" s="2">
        <f>IFERROR(__xludf.DUMMYFUNCTION("""COMPUTED_VALUE"""),369.0)</f>
        <v>369</v>
      </c>
      <c r="D4548" s="3">
        <f>IFERROR(__xludf.DUMMYFUNCTION("""COMPUTED_VALUE"""),162.0)</f>
        <v>162</v>
      </c>
      <c r="E4548" s="2"/>
      <c r="F4548" s="2"/>
    </row>
    <row r="4549">
      <c r="A4549" s="2">
        <f>IFERROR(__xludf.DUMMYFUNCTION("""COMPUTED_VALUE"""),122221.0)</f>
        <v>122221</v>
      </c>
      <c r="B4549" s="2">
        <f>IFERROR(__xludf.DUMMYFUNCTION("""COMPUTED_VALUE"""),0.0)</f>
        <v>0</v>
      </c>
      <c r="C4549" s="2">
        <f>IFERROR(__xludf.DUMMYFUNCTION("""COMPUTED_VALUE"""),467.0)</f>
        <v>467</v>
      </c>
      <c r="D4549" s="3">
        <f>IFERROR(__xludf.DUMMYFUNCTION("""COMPUTED_VALUE"""),190.0)</f>
        <v>190</v>
      </c>
      <c r="E4549" s="2"/>
      <c r="F4549" s="2"/>
    </row>
    <row r="4550">
      <c r="A4550" s="2">
        <f>IFERROR(__xludf.DUMMYFUNCTION("""COMPUTED_VALUE"""),122216.0)</f>
        <v>122216</v>
      </c>
      <c r="B4550" s="2">
        <f>IFERROR(__xludf.DUMMYFUNCTION("""COMPUTED_VALUE"""),0.0)</f>
        <v>0</v>
      </c>
      <c r="C4550" s="2">
        <f>IFERROR(__xludf.DUMMYFUNCTION("""COMPUTED_VALUE"""),955.0)</f>
        <v>955</v>
      </c>
      <c r="D4550" s="3">
        <f>IFERROR(__xludf.DUMMYFUNCTION("""COMPUTED_VALUE"""),548.0)</f>
        <v>548</v>
      </c>
      <c r="E4550" s="2"/>
      <c r="F4550" s="2"/>
    </row>
    <row r="4551">
      <c r="A4551" s="2">
        <f>IFERROR(__xludf.DUMMYFUNCTION("""COMPUTED_VALUE"""),140598.0)</f>
        <v>140598</v>
      </c>
      <c r="B4551" s="2">
        <f>IFERROR(__xludf.DUMMYFUNCTION("""COMPUTED_VALUE"""),0.0)</f>
        <v>0</v>
      </c>
      <c r="C4551" s="2">
        <f>IFERROR(__xludf.DUMMYFUNCTION("""COMPUTED_VALUE"""),454.0)</f>
        <v>454</v>
      </c>
      <c r="D4551" s="3">
        <f>IFERROR(__xludf.DUMMYFUNCTION("""COMPUTED_VALUE"""),435.0)</f>
        <v>435</v>
      </c>
      <c r="E4551" s="2"/>
      <c r="F4551" s="2"/>
    </row>
    <row r="4552">
      <c r="A4552" s="2">
        <f>IFERROR(__xludf.DUMMYFUNCTION("""COMPUTED_VALUE"""),112123.0)</f>
        <v>112123</v>
      </c>
      <c r="B4552" s="2">
        <f>IFERROR(__xludf.DUMMYFUNCTION("""COMPUTED_VALUE"""),0.0)</f>
        <v>0</v>
      </c>
      <c r="C4552" s="2">
        <f>IFERROR(__xludf.DUMMYFUNCTION("""COMPUTED_VALUE"""),172.0)</f>
        <v>172</v>
      </c>
      <c r="D4552" s="3">
        <f>IFERROR(__xludf.DUMMYFUNCTION("""COMPUTED_VALUE"""),26.0)</f>
        <v>26</v>
      </c>
      <c r="E4552" s="2"/>
      <c r="F4552" s="2"/>
    </row>
    <row r="4553">
      <c r="A4553" s="2">
        <f>IFERROR(__xludf.DUMMYFUNCTION("""COMPUTED_VALUE"""),70402.0)</f>
        <v>70402</v>
      </c>
      <c r="B4553" s="2">
        <f>IFERROR(__xludf.DUMMYFUNCTION("""COMPUTED_VALUE"""),1.0)</f>
        <v>1</v>
      </c>
      <c r="C4553" s="2">
        <f>IFERROR(__xludf.DUMMYFUNCTION("""COMPUTED_VALUE"""),797.0)</f>
        <v>797</v>
      </c>
      <c r="D4553" s="3">
        <f>IFERROR(__xludf.DUMMYFUNCTION("""COMPUTED_VALUE"""),522.0)</f>
        <v>522</v>
      </c>
      <c r="E4553" s="2"/>
      <c r="F4553" s="2"/>
    </row>
    <row r="4554">
      <c r="A4554" s="2">
        <f>IFERROR(__xludf.DUMMYFUNCTION("""COMPUTED_VALUE"""),119110.0)</f>
        <v>119110</v>
      </c>
      <c r="B4554" s="2">
        <f>IFERROR(__xludf.DUMMYFUNCTION("""COMPUTED_VALUE"""),1.0)</f>
        <v>1</v>
      </c>
      <c r="C4554" s="2">
        <f>IFERROR(__xludf.DUMMYFUNCTION("""COMPUTED_VALUE"""),802.0)</f>
        <v>802</v>
      </c>
      <c r="D4554" s="3">
        <f>IFERROR(__xludf.DUMMYFUNCTION("""COMPUTED_VALUE"""),439.0)</f>
        <v>439</v>
      </c>
      <c r="E4554" s="2"/>
      <c r="F4554" s="2"/>
    </row>
    <row r="4555">
      <c r="A4555" s="2">
        <f>IFERROR(__xludf.DUMMYFUNCTION("""COMPUTED_VALUE"""),139295.0)</f>
        <v>139295</v>
      </c>
      <c r="B4555" s="2">
        <f>IFERROR(__xludf.DUMMYFUNCTION("""COMPUTED_VALUE"""),1.0)</f>
        <v>1</v>
      </c>
      <c r="C4555" s="2">
        <f>IFERROR(__xludf.DUMMYFUNCTION("""COMPUTED_VALUE"""),658.0)</f>
        <v>658</v>
      </c>
      <c r="D4555" s="3">
        <f>IFERROR(__xludf.DUMMYFUNCTION("""COMPUTED_VALUE"""),201.0)</f>
        <v>201</v>
      </c>
      <c r="E4555" s="2"/>
      <c r="F4555" s="2"/>
    </row>
    <row r="4556">
      <c r="A4556" s="2">
        <f>IFERROR(__xludf.DUMMYFUNCTION("""COMPUTED_VALUE"""),71056.0)</f>
        <v>71056</v>
      </c>
      <c r="B4556" s="2">
        <f>IFERROR(__xludf.DUMMYFUNCTION("""COMPUTED_VALUE"""),0.0)</f>
        <v>0</v>
      </c>
      <c r="C4556" s="2">
        <f>IFERROR(__xludf.DUMMYFUNCTION("""COMPUTED_VALUE"""),466.0)</f>
        <v>466</v>
      </c>
      <c r="D4556" s="3">
        <f>IFERROR(__xludf.DUMMYFUNCTION("""COMPUTED_VALUE"""),8.0)</f>
        <v>8</v>
      </c>
      <c r="E4556" s="2"/>
      <c r="F4556" s="2"/>
    </row>
    <row r="4557">
      <c r="A4557" s="2">
        <f>IFERROR(__xludf.DUMMYFUNCTION("""COMPUTED_VALUE"""),122218.0)</f>
        <v>122218</v>
      </c>
      <c r="B4557" s="2">
        <f>IFERROR(__xludf.DUMMYFUNCTION("""COMPUTED_VALUE"""),0.0)</f>
        <v>0</v>
      </c>
      <c r="C4557" s="2">
        <f>IFERROR(__xludf.DUMMYFUNCTION("""COMPUTED_VALUE"""),151.0)</f>
        <v>151</v>
      </c>
      <c r="D4557" s="3">
        <f>IFERROR(__xludf.DUMMYFUNCTION("""COMPUTED_VALUE"""),66.0)</f>
        <v>66</v>
      </c>
      <c r="E4557" s="2"/>
      <c r="F4557" s="2"/>
    </row>
    <row r="4558">
      <c r="A4558" s="2">
        <f>IFERROR(__xludf.DUMMYFUNCTION("""COMPUTED_VALUE"""),122217.0)</f>
        <v>122217</v>
      </c>
      <c r="B4558" s="2">
        <f>IFERROR(__xludf.DUMMYFUNCTION("""COMPUTED_VALUE"""),0.0)</f>
        <v>0</v>
      </c>
      <c r="C4558" s="2">
        <f>IFERROR(__xludf.DUMMYFUNCTION("""COMPUTED_VALUE"""),737.0)</f>
        <v>737</v>
      </c>
      <c r="D4558" s="3">
        <f>IFERROR(__xludf.DUMMYFUNCTION("""COMPUTED_VALUE"""),365.0)</f>
        <v>365</v>
      </c>
      <c r="E4558" s="2"/>
      <c r="F4558" s="2"/>
    </row>
    <row r="4559">
      <c r="A4559" s="2">
        <f>IFERROR(__xludf.DUMMYFUNCTION("""COMPUTED_VALUE"""),119119.0)</f>
        <v>119119</v>
      </c>
      <c r="B4559" s="2">
        <f>IFERROR(__xludf.DUMMYFUNCTION("""COMPUTED_VALUE"""),0.0)</f>
        <v>0</v>
      </c>
      <c r="C4559" s="2">
        <f>IFERROR(__xludf.DUMMYFUNCTION("""COMPUTED_VALUE"""),27.0)</f>
        <v>27</v>
      </c>
      <c r="D4559" s="3">
        <f>IFERROR(__xludf.DUMMYFUNCTION("""COMPUTED_VALUE"""),4.0)</f>
        <v>4</v>
      </c>
      <c r="E4559" s="2"/>
      <c r="F4559" s="2"/>
    </row>
    <row r="4560">
      <c r="A4560" s="2">
        <f>IFERROR(__xludf.DUMMYFUNCTION("""COMPUTED_VALUE"""),46933.0)</f>
        <v>46933</v>
      </c>
      <c r="B4560" s="2">
        <f>IFERROR(__xludf.DUMMYFUNCTION("""COMPUTED_VALUE"""),0.0)</f>
        <v>0</v>
      </c>
      <c r="C4560" s="2">
        <f>IFERROR(__xludf.DUMMYFUNCTION("""COMPUTED_VALUE"""),855.0)</f>
        <v>855</v>
      </c>
      <c r="D4560" s="3">
        <f>IFERROR(__xludf.DUMMYFUNCTION("""COMPUTED_VALUE"""),297.0)</f>
        <v>297</v>
      </c>
      <c r="E4560" s="2"/>
      <c r="F4560" s="2"/>
    </row>
    <row r="4561">
      <c r="A4561" s="2">
        <f>IFERROR(__xludf.DUMMYFUNCTION("""COMPUTED_VALUE"""),119118.0)</f>
        <v>119118</v>
      </c>
      <c r="B4561" s="2">
        <f>IFERROR(__xludf.DUMMYFUNCTION("""COMPUTED_VALUE"""),1.0)</f>
        <v>1</v>
      </c>
      <c r="C4561" s="2">
        <f>IFERROR(__xludf.DUMMYFUNCTION("""COMPUTED_VALUE"""),348.0)</f>
        <v>348</v>
      </c>
      <c r="D4561" s="3">
        <f>IFERROR(__xludf.DUMMYFUNCTION("""COMPUTED_VALUE"""),43.0)</f>
        <v>43</v>
      </c>
      <c r="E4561" s="2"/>
      <c r="F4561" s="2"/>
    </row>
    <row r="4562">
      <c r="A4562" s="2">
        <f>IFERROR(__xludf.DUMMYFUNCTION("""COMPUTED_VALUE"""),41035.0)</f>
        <v>41035</v>
      </c>
      <c r="B4562" s="2">
        <f>IFERROR(__xludf.DUMMYFUNCTION("""COMPUTED_VALUE"""),1.0)</f>
        <v>1</v>
      </c>
      <c r="C4562" s="2">
        <f>IFERROR(__xludf.DUMMYFUNCTION("""COMPUTED_VALUE"""),561.0)</f>
        <v>561</v>
      </c>
      <c r="D4562" s="3">
        <f>IFERROR(__xludf.DUMMYFUNCTION("""COMPUTED_VALUE"""),167.0)</f>
        <v>167</v>
      </c>
      <c r="E4562" s="2"/>
      <c r="F4562" s="2"/>
    </row>
    <row r="4563">
      <c r="A4563" s="2">
        <f>IFERROR(__xludf.DUMMYFUNCTION("""COMPUTED_VALUE"""),139303.0)</f>
        <v>139303</v>
      </c>
      <c r="B4563" s="2">
        <f>IFERROR(__xludf.DUMMYFUNCTION("""COMPUTED_VALUE"""),1.0)</f>
        <v>1</v>
      </c>
      <c r="C4563" s="2">
        <f>IFERROR(__xludf.DUMMYFUNCTION("""COMPUTED_VALUE"""),535.0)</f>
        <v>535</v>
      </c>
      <c r="D4563" s="3">
        <f>IFERROR(__xludf.DUMMYFUNCTION("""COMPUTED_VALUE"""),101.0)</f>
        <v>101</v>
      </c>
      <c r="E4563" s="2"/>
      <c r="F4563" s="2"/>
    </row>
    <row r="4564">
      <c r="A4564" s="2">
        <f>IFERROR(__xludf.DUMMYFUNCTION("""COMPUTED_VALUE"""),101784.0)</f>
        <v>101784</v>
      </c>
      <c r="B4564" s="2">
        <f>IFERROR(__xludf.DUMMYFUNCTION("""COMPUTED_VALUE"""),0.0)</f>
        <v>0</v>
      </c>
      <c r="C4564" s="2">
        <f>IFERROR(__xludf.DUMMYFUNCTION("""COMPUTED_VALUE"""),687.0)</f>
        <v>687</v>
      </c>
      <c r="D4564" s="3">
        <f>IFERROR(__xludf.DUMMYFUNCTION("""COMPUTED_VALUE"""),177.0)</f>
        <v>177</v>
      </c>
      <c r="E4564" s="2"/>
      <c r="F4564" s="2"/>
    </row>
    <row r="4565">
      <c r="A4565" s="2">
        <f>IFERROR(__xludf.DUMMYFUNCTION("""COMPUTED_VALUE"""),122219.0)</f>
        <v>122219</v>
      </c>
      <c r="B4565" s="2">
        <f>IFERROR(__xludf.DUMMYFUNCTION("""COMPUTED_VALUE"""),0.0)</f>
        <v>0</v>
      </c>
      <c r="C4565" s="2">
        <f>IFERROR(__xludf.DUMMYFUNCTION("""COMPUTED_VALUE"""),93.0)</f>
        <v>93</v>
      </c>
      <c r="D4565" s="3">
        <f>IFERROR(__xludf.DUMMYFUNCTION("""COMPUTED_VALUE"""),8.0)</f>
        <v>8</v>
      </c>
      <c r="E4565" s="2"/>
      <c r="F4565" s="2"/>
    </row>
    <row r="4566">
      <c r="A4566" s="2">
        <f>IFERROR(__xludf.DUMMYFUNCTION("""COMPUTED_VALUE"""),122215.0)</f>
        <v>122215</v>
      </c>
      <c r="B4566" s="2">
        <f>IFERROR(__xludf.DUMMYFUNCTION("""COMPUTED_VALUE"""),1.0)</f>
        <v>1</v>
      </c>
      <c r="C4566" s="2">
        <f>IFERROR(__xludf.DUMMYFUNCTION("""COMPUTED_VALUE"""),767.0)</f>
        <v>767</v>
      </c>
      <c r="D4566" s="3">
        <f>IFERROR(__xludf.DUMMYFUNCTION("""COMPUTED_VALUE"""),247.0)</f>
        <v>247</v>
      </c>
      <c r="E4566" s="2"/>
      <c r="F4566" s="2"/>
    </row>
    <row r="4567">
      <c r="A4567" s="2">
        <f>IFERROR(__xludf.DUMMYFUNCTION("""COMPUTED_VALUE"""),111154.0)</f>
        <v>111154</v>
      </c>
      <c r="B4567" s="2">
        <f>IFERROR(__xludf.DUMMYFUNCTION("""COMPUTED_VALUE"""),1.0)</f>
        <v>1</v>
      </c>
      <c r="C4567" s="2">
        <f>IFERROR(__xludf.DUMMYFUNCTION("""COMPUTED_VALUE"""),258.0)</f>
        <v>258</v>
      </c>
      <c r="D4567" s="3">
        <f>IFERROR(__xludf.DUMMYFUNCTION("""COMPUTED_VALUE"""),145.0)</f>
        <v>145</v>
      </c>
      <c r="E4567" s="2"/>
      <c r="F4567" s="2"/>
    </row>
    <row r="4568">
      <c r="A4568" s="2">
        <f>IFERROR(__xludf.DUMMYFUNCTION("""COMPUTED_VALUE"""),119117.0)</f>
        <v>119117</v>
      </c>
      <c r="B4568" s="2">
        <f>IFERROR(__xludf.DUMMYFUNCTION("""COMPUTED_VALUE"""),0.0)</f>
        <v>0</v>
      </c>
      <c r="C4568" s="2">
        <f>IFERROR(__xludf.DUMMYFUNCTION("""COMPUTED_VALUE"""),659.0)</f>
        <v>659</v>
      </c>
      <c r="D4568" s="3">
        <f>IFERROR(__xludf.DUMMYFUNCTION("""COMPUTED_VALUE"""),204.0)</f>
        <v>204</v>
      </c>
      <c r="E4568" s="2"/>
      <c r="F4568" s="2"/>
    </row>
    <row r="4569">
      <c r="A4569" s="2">
        <f>IFERROR(__xludf.DUMMYFUNCTION("""COMPUTED_VALUE"""),20419.0)</f>
        <v>20419</v>
      </c>
      <c r="B4569" s="2">
        <f>IFERROR(__xludf.DUMMYFUNCTION("""COMPUTED_VALUE"""),1.0)</f>
        <v>1</v>
      </c>
      <c r="C4569" s="2">
        <f>IFERROR(__xludf.DUMMYFUNCTION("""COMPUTED_VALUE"""),892.0)</f>
        <v>892</v>
      </c>
      <c r="D4569" s="3">
        <f>IFERROR(__xludf.DUMMYFUNCTION("""COMPUTED_VALUE"""),359.0)</f>
        <v>359</v>
      </c>
      <c r="E4569" s="2"/>
      <c r="F4569" s="2"/>
    </row>
    <row r="4570">
      <c r="A4570" s="2">
        <f>IFERROR(__xludf.DUMMYFUNCTION("""COMPUTED_VALUE"""),122220.0)</f>
        <v>122220</v>
      </c>
      <c r="B4570" s="2">
        <f>IFERROR(__xludf.DUMMYFUNCTION("""COMPUTED_VALUE"""),1.0)</f>
        <v>1</v>
      </c>
      <c r="C4570" s="2">
        <f>IFERROR(__xludf.DUMMYFUNCTION("""COMPUTED_VALUE"""),930.0)</f>
        <v>930</v>
      </c>
      <c r="D4570" s="3">
        <f>IFERROR(__xludf.DUMMYFUNCTION("""COMPUTED_VALUE"""),580.0)</f>
        <v>580</v>
      </c>
      <c r="E4570" s="2"/>
      <c r="F4570" s="2"/>
    </row>
    <row r="4571">
      <c r="A4571" s="2">
        <f>IFERROR(__xludf.DUMMYFUNCTION("""COMPUTED_VALUE"""),122214.0)</f>
        <v>122214</v>
      </c>
      <c r="B4571" s="2">
        <f>IFERROR(__xludf.DUMMYFUNCTION("""COMPUTED_VALUE"""),1.0)</f>
        <v>1</v>
      </c>
      <c r="C4571" s="2">
        <f>IFERROR(__xludf.DUMMYFUNCTION("""COMPUTED_VALUE"""),117.0)</f>
        <v>117</v>
      </c>
      <c r="D4571" s="3">
        <f>IFERROR(__xludf.DUMMYFUNCTION("""COMPUTED_VALUE"""),79.0)</f>
        <v>79</v>
      </c>
      <c r="E4571" s="2"/>
      <c r="F4571" s="2"/>
    </row>
    <row r="4572">
      <c r="A4572" s="2">
        <f>IFERROR(__xludf.DUMMYFUNCTION("""COMPUTED_VALUE"""),46936.0)</f>
        <v>46936</v>
      </c>
      <c r="B4572" s="2">
        <f>IFERROR(__xludf.DUMMYFUNCTION("""COMPUTED_VALUE"""),1.0)</f>
        <v>1</v>
      </c>
      <c r="C4572" s="2">
        <f>IFERROR(__xludf.DUMMYFUNCTION("""COMPUTED_VALUE"""),640.0)</f>
        <v>640</v>
      </c>
      <c r="D4572" s="3">
        <f>IFERROR(__xludf.DUMMYFUNCTION("""COMPUTED_VALUE"""),329.0)</f>
        <v>329</v>
      </c>
      <c r="E4572" s="2"/>
      <c r="F4572" s="2"/>
    </row>
    <row r="4573">
      <c r="A4573" s="2">
        <f>IFERROR(__xludf.DUMMYFUNCTION("""COMPUTED_VALUE"""),112122.0)</f>
        <v>112122</v>
      </c>
      <c r="B4573" s="2">
        <f>IFERROR(__xludf.DUMMYFUNCTION("""COMPUTED_VALUE"""),1.0)</f>
        <v>1</v>
      </c>
      <c r="C4573" s="2">
        <f>IFERROR(__xludf.DUMMYFUNCTION("""COMPUTED_VALUE"""),216.0)</f>
        <v>216</v>
      </c>
      <c r="D4573" s="3">
        <f>IFERROR(__xludf.DUMMYFUNCTION("""COMPUTED_VALUE"""),210.0)</f>
        <v>210</v>
      </c>
      <c r="E4573" s="2"/>
      <c r="F4573" s="2"/>
    </row>
    <row r="4574">
      <c r="A4574" s="2">
        <f>IFERROR(__xludf.DUMMYFUNCTION("""COMPUTED_VALUE"""),71055.0)</f>
        <v>71055</v>
      </c>
      <c r="B4574" s="2">
        <f>IFERROR(__xludf.DUMMYFUNCTION("""COMPUTED_VALUE"""),1.0)</f>
        <v>1</v>
      </c>
      <c r="C4574" s="2">
        <f>IFERROR(__xludf.DUMMYFUNCTION("""COMPUTED_VALUE"""),246.0)</f>
        <v>246</v>
      </c>
      <c r="D4574" s="3">
        <f>IFERROR(__xludf.DUMMYFUNCTION("""COMPUTED_VALUE"""),200.0)</f>
        <v>200</v>
      </c>
      <c r="E4574" s="2"/>
      <c r="F4574" s="2"/>
    </row>
    <row r="4575">
      <c r="A4575" s="2">
        <f>IFERROR(__xludf.DUMMYFUNCTION("""COMPUTED_VALUE"""),41034.0)</f>
        <v>41034</v>
      </c>
      <c r="B4575" s="2">
        <f>IFERROR(__xludf.DUMMYFUNCTION("""COMPUTED_VALUE"""),0.0)</f>
        <v>0</v>
      </c>
      <c r="C4575" s="2">
        <f>IFERROR(__xludf.DUMMYFUNCTION("""COMPUTED_VALUE"""),973.0)</f>
        <v>973</v>
      </c>
      <c r="D4575" s="3">
        <f>IFERROR(__xludf.DUMMYFUNCTION("""COMPUTED_VALUE"""),676.0)</f>
        <v>676</v>
      </c>
      <c r="E4575" s="2"/>
      <c r="F4575" s="2"/>
    </row>
    <row r="4576">
      <c r="A4576" s="2">
        <f>IFERROR(__xludf.DUMMYFUNCTION("""COMPUTED_VALUE"""),111153.0)</f>
        <v>111153</v>
      </c>
      <c r="B4576" s="2">
        <f>IFERROR(__xludf.DUMMYFUNCTION("""COMPUTED_VALUE"""),1.0)</f>
        <v>1</v>
      </c>
      <c r="C4576" s="2">
        <f>IFERROR(__xludf.DUMMYFUNCTION("""COMPUTED_VALUE"""),800.0)</f>
        <v>800</v>
      </c>
      <c r="D4576" s="3">
        <f>IFERROR(__xludf.DUMMYFUNCTION("""COMPUTED_VALUE"""),116.0)</f>
        <v>116</v>
      </c>
      <c r="E4576" s="2"/>
      <c r="F4576" s="2"/>
    </row>
    <row r="4577">
      <c r="A4577" s="2">
        <f>IFERROR(__xludf.DUMMYFUNCTION("""COMPUTED_VALUE"""),119120.0)</f>
        <v>119120</v>
      </c>
      <c r="B4577" s="2">
        <f>IFERROR(__xludf.DUMMYFUNCTION("""COMPUTED_VALUE"""),0.0)</f>
        <v>0</v>
      </c>
      <c r="C4577" s="2">
        <f>IFERROR(__xludf.DUMMYFUNCTION("""COMPUTED_VALUE"""),516.0)</f>
        <v>516</v>
      </c>
      <c r="D4577" s="3">
        <f>IFERROR(__xludf.DUMMYFUNCTION("""COMPUTED_VALUE"""),140.0)</f>
        <v>140</v>
      </c>
      <c r="E4577" s="2"/>
      <c r="F4577" s="2"/>
    </row>
    <row r="4578">
      <c r="A4578" s="2">
        <f>IFERROR(__xludf.DUMMYFUNCTION("""COMPUTED_VALUE"""),139297.0)</f>
        <v>139297</v>
      </c>
      <c r="B4578" s="2">
        <f>IFERROR(__xludf.DUMMYFUNCTION("""COMPUTED_VALUE"""),1.0)</f>
        <v>1</v>
      </c>
      <c r="C4578" s="2">
        <f>IFERROR(__xludf.DUMMYFUNCTION("""COMPUTED_VALUE"""),691.0)</f>
        <v>691</v>
      </c>
      <c r="D4578" s="3">
        <f>IFERROR(__xludf.DUMMYFUNCTION("""COMPUTED_VALUE"""),270.0)</f>
        <v>270</v>
      </c>
      <c r="E4578" s="2"/>
      <c r="F4578" s="2"/>
    </row>
    <row r="4579">
      <c r="A4579" s="2">
        <f>IFERROR(__xludf.DUMMYFUNCTION("""COMPUTED_VALUE"""),48476.0)</f>
        <v>48476</v>
      </c>
      <c r="B4579" s="2">
        <f>IFERROR(__xludf.DUMMYFUNCTION("""COMPUTED_VALUE"""),0.0)</f>
        <v>0</v>
      </c>
      <c r="C4579" s="2">
        <f>IFERROR(__xludf.DUMMYFUNCTION("""COMPUTED_VALUE"""),824.0)</f>
        <v>824</v>
      </c>
      <c r="D4579" s="3">
        <f>IFERROR(__xludf.DUMMYFUNCTION("""COMPUTED_VALUE"""),285.0)</f>
        <v>285</v>
      </c>
      <c r="E4579" s="2"/>
      <c r="F4579" s="2"/>
    </row>
    <row r="4580">
      <c r="A4580" s="2">
        <f>IFERROR(__xludf.DUMMYFUNCTION("""COMPUTED_VALUE"""),103454.0)</f>
        <v>103454</v>
      </c>
      <c r="B4580" s="2">
        <f>IFERROR(__xludf.DUMMYFUNCTION("""COMPUTED_VALUE"""),1.0)</f>
        <v>1</v>
      </c>
      <c r="C4580" s="2">
        <f>IFERROR(__xludf.DUMMYFUNCTION("""COMPUTED_VALUE"""),92.0)</f>
        <v>92</v>
      </c>
      <c r="D4580" s="3">
        <f>IFERROR(__xludf.DUMMYFUNCTION("""COMPUTED_VALUE"""),76.0)</f>
        <v>76</v>
      </c>
      <c r="E4580" s="2"/>
      <c r="F4580" s="2"/>
    </row>
    <row r="4581">
      <c r="A4581" s="2">
        <f>IFERROR(__xludf.DUMMYFUNCTION("""COMPUTED_VALUE"""),103456.0)</f>
        <v>103456</v>
      </c>
      <c r="B4581" s="2">
        <f>IFERROR(__xludf.DUMMYFUNCTION("""COMPUTED_VALUE"""),1.0)</f>
        <v>1</v>
      </c>
      <c r="C4581" s="2">
        <f>IFERROR(__xludf.DUMMYFUNCTION("""COMPUTED_VALUE"""),896.0)</f>
        <v>896</v>
      </c>
      <c r="D4581" s="3">
        <f>IFERROR(__xludf.DUMMYFUNCTION("""COMPUTED_VALUE"""),468.0)</f>
        <v>468</v>
      </c>
      <c r="E4581" s="2"/>
      <c r="F4581" s="2"/>
    </row>
    <row r="4582">
      <c r="A4582" s="2">
        <f>IFERROR(__xludf.DUMMYFUNCTION("""COMPUTED_VALUE"""),139304.0)</f>
        <v>139304</v>
      </c>
      <c r="B4582" s="2">
        <f>IFERROR(__xludf.DUMMYFUNCTION("""COMPUTED_VALUE"""),1.0)</f>
        <v>1</v>
      </c>
      <c r="C4582" s="2">
        <f>IFERROR(__xludf.DUMMYFUNCTION("""COMPUTED_VALUE"""),795.0)</f>
        <v>795</v>
      </c>
      <c r="D4582" s="3">
        <f>IFERROR(__xludf.DUMMYFUNCTION("""COMPUTED_VALUE"""),574.0)</f>
        <v>574</v>
      </c>
      <c r="E4582" s="2"/>
      <c r="F4582" s="2"/>
    </row>
    <row r="4583">
      <c r="A4583" s="2">
        <f>IFERROR(__xludf.DUMMYFUNCTION("""COMPUTED_VALUE"""),158661.0)</f>
        <v>158661</v>
      </c>
      <c r="B4583" s="2">
        <f>IFERROR(__xludf.DUMMYFUNCTION("""COMPUTED_VALUE"""),1.0)</f>
        <v>1</v>
      </c>
      <c r="C4583" s="2">
        <f>IFERROR(__xludf.DUMMYFUNCTION("""COMPUTED_VALUE"""),155.0)</f>
        <v>155</v>
      </c>
      <c r="D4583" s="3">
        <f>IFERROR(__xludf.DUMMYFUNCTION("""COMPUTED_VALUE"""),115.0)</f>
        <v>115</v>
      </c>
      <c r="E4583" s="2"/>
      <c r="F4583" s="2"/>
    </row>
    <row r="4584">
      <c r="A4584" s="2">
        <f>IFERROR(__xludf.DUMMYFUNCTION("""COMPUTED_VALUE"""),162441.0)</f>
        <v>162441</v>
      </c>
      <c r="B4584" s="2">
        <f>IFERROR(__xludf.DUMMYFUNCTION("""COMPUTED_VALUE"""),0.0)</f>
        <v>0</v>
      </c>
      <c r="C4584" s="2">
        <f>IFERROR(__xludf.DUMMYFUNCTION("""COMPUTED_VALUE"""),185.0)</f>
        <v>185</v>
      </c>
      <c r="D4584" s="3">
        <f>IFERROR(__xludf.DUMMYFUNCTION("""COMPUTED_VALUE"""),56.0)</f>
        <v>56</v>
      </c>
      <c r="E4584" s="2"/>
      <c r="F4584" s="2"/>
    </row>
    <row r="4585">
      <c r="A4585" s="2">
        <f>IFERROR(__xludf.DUMMYFUNCTION("""COMPUTED_VALUE"""),102695.0)</f>
        <v>102695</v>
      </c>
      <c r="B4585" s="2">
        <f>IFERROR(__xludf.DUMMYFUNCTION("""COMPUTED_VALUE"""),1.0)</f>
        <v>1</v>
      </c>
      <c r="C4585" s="2">
        <f>IFERROR(__xludf.DUMMYFUNCTION("""COMPUTED_VALUE"""),645.0)</f>
        <v>645</v>
      </c>
      <c r="D4585" s="3">
        <f>IFERROR(__xludf.DUMMYFUNCTION("""COMPUTED_VALUE"""),407.0)</f>
        <v>407</v>
      </c>
      <c r="E4585" s="2"/>
      <c r="F4585" s="2"/>
    </row>
    <row r="4586">
      <c r="A4586" s="2">
        <f>IFERROR(__xludf.DUMMYFUNCTION("""COMPUTED_VALUE"""),78913.0)</f>
        <v>78913</v>
      </c>
      <c r="B4586" s="2">
        <f>IFERROR(__xludf.DUMMYFUNCTION("""COMPUTED_VALUE"""),1.0)</f>
        <v>1</v>
      </c>
      <c r="C4586" s="2">
        <f>IFERROR(__xludf.DUMMYFUNCTION("""COMPUTED_VALUE"""),141.0)</f>
        <v>141</v>
      </c>
      <c r="D4586" s="3">
        <f>IFERROR(__xludf.DUMMYFUNCTION("""COMPUTED_VALUE"""),52.0)</f>
        <v>52</v>
      </c>
      <c r="E4586" s="2"/>
      <c r="F4586" s="2"/>
    </row>
    <row r="4587">
      <c r="A4587" s="2">
        <f>IFERROR(__xludf.DUMMYFUNCTION("""COMPUTED_VALUE"""),71397.0)</f>
        <v>71397</v>
      </c>
      <c r="B4587" s="2">
        <f>IFERROR(__xludf.DUMMYFUNCTION("""COMPUTED_VALUE"""),0.0)</f>
        <v>0</v>
      </c>
      <c r="C4587" s="2">
        <f>IFERROR(__xludf.DUMMYFUNCTION("""COMPUTED_VALUE"""),458.0)</f>
        <v>458</v>
      </c>
      <c r="D4587" s="3">
        <f>IFERROR(__xludf.DUMMYFUNCTION("""COMPUTED_VALUE"""),211.0)</f>
        <v>211</v>
      </c>
      <c r="E4587" s="2"/>
      <c r="F4587" s="2"/>
    </row>
    <row r="4588">
      <c r="A4588" s="2">
        <f>IFERROR(__xludf.DUMMYFUNCTION("""COMPUTED_VALUE"""),17596.0)</f>
        <v>17596</v>
      </c>
      <c r="B4588" s="2">
        <f>IFERROR(__xludf.DUMMYFUNCTION("""COMPUTED_VALUE"""),0.0)</f>
        <v>0</v>
      </c>
      <c r="C4588" s="2">
        <f>IFERROR(__xludf.DUMMYFUNCTION("""COMPUTED_VALUE"""),789.0)</f>
        <v>789</v>
      </c>
      <c r="D4588" s="3">
        <f>IFERROR(__xludf.DUMMYFUNCTION("""COMPUTED_VALUE"""),553.0)</f>
        <v>553</v>
      </c>
      <c r="E4588" s="2"/>
      <c r="F4588" s="2"/>
    </row>
    <row r="4589">
      <c r="A4589" s="2">
        <f>IFERROR(__xludf.DUMMYFUNCTION("""COMPUTED_VALUE"""),71398.0)</f>
        <v>71398</v>
      </c>
      <c r="B4589" s="2">
        <f>IFERROR(__xludf.DUMMYFUNCTION("""COMPUTED_VALUE"""),0.0)</f>
        <v>0</v>
      </c>
      <c r="C4589" s="2">
        <f>IFERROR(__xludf.DUMMYFUNCTION("""COMPUTED_VALUE"""),320.0)</f>
        <v>320</v>
      </c>
      <c r="D4589" s="3">
        <f>IFERROR(__xludf.DUMMYFUNCTION("""COMPUTED_VALUE"""),200.0)</f>
        <v>200</v>
      </c>
      <c r="E4589" s="2"/>
      <c r="F4589" s="2"/>
    </row>
    <row r="4590">
      <c r="A4590" s="2">
        <f>IFERROR(__xludf.DUMMYFUNCTION("""COMPUTED_VALUE"""),17627.0)</f>
        <v>17627</v>
      </c>
      <c r="B4590" s="2">
        <f>IFERROR(__xludf.DUMMYFUNCTION("""COMPUTED_VALUE"""),1.0)</f>
        <v>1</v>
      </c>
      <c r="C4590" s="2">
        <f>IFERROR(__xludf.DUMMYFUNCTION("""COMPUTED_VALUE"""),204.0)</f>
        <v>204</v>
      </c>
      <c r="D4590" s="3">
        <f>IFERROR(__xludf.DUMMYFUNCTION("""COMPUTED_VALUE"""),22.0)</f>
        <v>22</v>
      </c>
      <c r="E4590" s="2"/>
      <c r="F4590" s="2"/>
    </row>
    <row r="4591">
      <c r="A4591" s="2">
        <f>IFERROR(__xludf.DUMMYFUNCTION("""COMPUTED_VALUE"""),86166.0)</f>
        <v>86166</v>
      </c>
      <c r="B4591" s="2">
        <f>IFERROR(__xludf.DUMMYFUNCTION("""COMPUTED_VALUE"""),0.0)</f>
        <v>0</v>
      </c>
      <c r="C4591" s="2">
        <f>IFERROR(__xludf.DUMMYFUNCTION("""COMPUTED_VALUE"""),290.0)</f>
        <v>290</v>
      </c>
      <c r="D4591" s="3">
        <f>IFERROR(__xludf.DUMMYFUNCTION("""COMPUTED_VALUE"""),198.0)</f>
        <v>198</v>
      </c>
      <c r="E4591" s="2"/>
      <c r="F4591" s="2"/>
    </row>
    <row r="4592">
      <c r="A4592" s="2">
        <f>IFERROR(__xludf.DUMMYFUNCTION("""COMPUTED_VALUE"""),71409.0)</f>
        <v>71409</v>
      </c>
      <c r="B4592" s="2">
        <f>IFERROR(__xludf.DUMMYFUNCTION("""COMPUTED_VALUE"""),1.0)</f>
        <v>1</v>
      </c>
      <c r="C4592" s="2">
        <f>IFERROR(__xludf.DUMMYFUNCTION("""COMPUTED_VALUE"""),880.0)</f>
        <v>880</v>
      </c>
      <c r="D4592" s="3">
        <f>IFERROR(__xludf.DUMMYFUNCTION("""COMPUTED_VALUE"""),173.0)</f>
        <v>173</v>
      </c>
      <c r="E4592" s="2"/>
      <c r="F4592" s="2"/>
    </row>
    <row r="4593">
      <c r="A4593" s="2">
        <f>IFERROR(__xludf.DUMMYFUNCTION("""COMPUTED_VALUE"""),12877.0)</f>
        <v>12877</v>
      </c>
      <c r="B4593" s="2">
        <f>IFERROR(__xludf.DUMMYFUNCTION("""COMPUTED_VALUE"""),1.0)</f>
        <v>1</v>
      </c>
      <c r="C4593" s="2">
        <f>IFERROR(__xludf.DUMMYFUNCTION("""COMPUTED_VALUE"""),671.0)</f>
        <v>671</v>
      </c>
      <c r="D4593" s="3">
        <f>IFERROR(__xludf.DUMMYFUNCTION("""COMPUTED_VALUE"""),416.0)</f>
        <v>416</v>
      </c>
      <c r="E4593" s="2"/>
      <c r="F4593" s="2"/>
    </row>
    <row r="4594">
      <c r="A4594" s="2">
        <f>IFERROR(__xludf.DUMMYFUNCTION("""COMPUTED_VALUE"""),121868.0)</f>
        <v>121868</v>
      </c>
      <c r="B4594" s="2">
        <f>IFERROR(__xludf.DUMMYFUNCTION("""COMPUTED_VALUE"""),0.0)</f>
        <v>0</v>
      </c>
      <c r="C4594" s="2">
        <f>IFERROR(__xludf.DUMMYFUNCTION("""COMPUTED_VALUE"""),516.0)</f>
        <v>516</v>
      </c>
      <c r="D4594" s="3">
        <f>IFERROR(__xludf.DUMMYFUNCTION("""COMPUTED_VALUE"""),447.0)</f>
        <v>447</v>
      </c>
      <c r="E4594" s="2"/>
      <c r="F4594" s="2"/>
    </row>
    <row r="4595">
      <c r="A4595" s="2">
        <f>IFERROR(__xludf.DUMMYFUNCTION("""COMPUTED_VALUE"""),17626.0)</f>
        <v>17626</v>
      </c>
      <c r="B4595" s="2">
        <f>IFERROR(__xludf.DUMMYFUNCTION("""COMPUTED_VALUE"""),0.0)</f>
        <v>0</v>
      </c>
      <c r="C4595" s="2">
        <f>IFERROR(__xludf.DUMMYFUNCTION("""COMPUTED_VALUE"""),541.0)</f>
        <v>541</v>
      </c>
      <c r="D4595" s="3">
        <f>IFERROR(__xludf.DUMMYFUNCTION("""COMPUTED_VALUE"""),142.0)</f>
        <v>142</v>
      </c>
      <c r="E4595" s="2"/>
      <c r="F4595" s="2"/>
    </row>
    <row r="4596">
      <c r="A4596" s="2">
        <f>IFERROR(__xludf.DUMMYFUNCTION("""COMPUTED_VALUE"""),71394.0)</f>
        <v>71394</v>
      </c>
      <c r="B4596" s="2">
        <f>IFERROR(__xludf.DUMMYFUNCTION("""COMPUTED_VALUE"""),1.0)</f>
        <v>1</v>
      </c>
      <c r="C4596" s="2">
        <f>IFERROR(__xludf.DUMMYFUNCTION("""COMPUTED_VALUE"""),20.0)</f>
        <v>20</v>
      </c>
      <c r="D4596" s="3">
        <f>IFERROR(__xludf.DUMMYFUNCTION("""COMPUTED_VALUE"""),16.0)</f>
        <v>16</v>
      </c>
      <c r="E4596" s="2"/>
      <c r="F4596" s="2"/>
    </row>
    <row r="4597">
      <c r="A4597" s="2">
        <f>IFERROR(__xludf.DUMMYFUNCTION("""COMPUTED_VALUE"""),17620.0)</f>
        <v>17620</v>
      </c>
      <c r="B4597" s="2">
        <f>IFERROR(__xludf.DUMMYFUNCTION("""COMPUTED_VALUE"""),1.0)</f>
        <v>1</v>
      </c>
      <c r="C4597" s="2">
        <f>IFERROR(__xludf.DUMMYFUNCTION("""COMPUTED_VALUE"""),22.0)</f>
        <v>22</v>
      </c>
      <c r="D4597" s="3">
        <f>IFERROR(__xludf.DUMMYFUNCTION("""COMPUTED_VALUE"""),13.0)</f>
        <v>13</v>
      </c>
      <c r="E4597" s="2"/>
      <c r="F4597" s="2"/>
    </row>
    <row r="4598">
      <c r="A4598" s="2">
        <f>IFERROR(__xludf.DUMMYFUNCTION("""COMPUTED_VALUE"""),86186.0)</f>
        <v>86186</v>
      </c>
      <c r="B4598" s="2">
        <f>IFERROR(__xludf.DUMMYFUNCTION("""COMPUTED_VALUE"""),0.0)</f>
        <v>0</v>
      </c>
      <c r="C4598" s="2">
        <f>IFERROR(__xludf.DUMMYFUNCTION("""COMPUTED_VALUE"""),746.0)</f>
        <v>746</v>
      </c>
      <c r="D4598" s="3">
        <f>IFERROR(__xludf.DUMMYFUNCTION("""COMPUTED_VALUE"""),470.0)</f>
        <v>470</v>
      </c>
      <c r="E4598" s="2"/>
      <c r="F4598" s="2"/>
    </row>
    <row r="4599">
      <c r="A4599" s="2">
        <f>IFERROR(__xludf.DUMMYFUNCTION("""COMPUTED_VALUE"""),71410.0)</f>
        <v>71410</v>
      </c>
      <c r="B4599" s="2">
        <f>IFERROR(__xludf.DUMMYFUNCTION("""COMPUTED_VALUE"""),1.0)</f>
        <v>1</v>
      </c>
      <c r="C4599" s="2">
        <f>IFERROR(__xludf.DUMMYFUNCTION("""COMPUTED_VALUE"""),766.0)</f>
        <v>766</v>
      </c>
      <c r="D4599" s="3">
        <f>IFERROR(__xludf.DUMMYFUNCTION("""COMPUTED_VALUE"""),355.0)</f>
        <v>355</v>
      </c>
      <c r="E4599" s="2"/>
      <c r="F4599" s="2"/>
    </row>
    <row r="4600">
      <c r="A4600" s="2">
        <f>IFERROR(__xludf.DUMMYFUNCTION("""COMPUTED_VALUE"""),121869.0)</f>
        <v>121869</v>
      </c>
      <c r="B4600" s="2">
        <f>IFERROR(__xludf.DUMMYFUNCTION("""COMPUTED_VALUE"""),0.0)</f>
        <v>0</v>
      </c>
      <c r="C4600" s="2">
        <f>IFERROR(__xludf.DUMMYFUNCTION("""COMPUTED_VALUE"""),510.0)</f>
        <v>510</v>
      </c>
      <c r="D4600" s="3">
        <f>IFERROR(__xludf.DUMMYFUNCTION("""COMPUTED_VALUE"""),280.0)</f>
        <v>280</v>
      </c>
      <c r="E4600" s="2"/>
      <c r="F4600" s="2"/>
    </row>
    <row r="4601">
      <c r="A4601" s="2">
        <f>IFERROR(__xludf.DUMMYFUNCTION("""COMPUTED_VALUE"""),17624.0)</f>
        <v>17624</v>
      </c>
      <c r="B4601" s="2">
        <f>IFERROR(__xludf.DUMMYFUNCTION("""COMPUTED_VALUE"""),1.0)</f>
        <v>1</v>
      </c>
      <c r="C4601" s="2">
        <f>IFERROR(__xludf.DUMMYFUNCTION("""COMPUTED_VALUE"""),547.0)</f>
        <v>547</v>
      </c>
      <c r="D4601" s="3">
        <f>IFERROR(__xludf.DUMMYFUNCTION("""COMPUTED_VALUE"""),236.0)</f>
        <v>236</v>
      </c>
      <c r="E4601" s="2"/>
      <c r="F4601" s="2"/>
    </row>
    <row r="4602">
      <c r="A4602" s="2">
        <f>IFERROR(__xludf.DUMMYFUNCTION("""COMPUTED_VALUE"""),119737.0)</f>
        <v>119737</v>
      </c>
      <c r="B4602" s="2">
        <f>IFERROR(__xludf.DUMMYFUNCTION("""COMPUTED_VALUE"""),0.0)</f>
        <v>0</v>
      </c>
      <c r="C4602" s="2">
        <f>IFERROR(__xludf.DUMMYFUNCTION("""COMPUTED_VALUE"""),524.0)</f>
        <v>524</v>
      </c>
      <c r="D4602" s="3">
        <f>IFERROR(__xludf.DUMMYFUNCTION("""COMPUTED_VALUE"""),422.0)</f>
        <v>422</v>
      </c>
      <c r="E4602" s="2"/>
      <c r="F4602" s="2"/>
    </row>
    <row r="4603">
      <c r="A4603" s="2">
        <f>IFERROR(__xludf.DUMMYFUNCTION("""COMPUTED_VALUE"""),17618.0)</f>
        <v>17618</v>
      </c>
      <c r="B4603" s="2">
        <f>IFERROR(__xludf.DUMMYFUNCTION("""COMPUTED_VALUE"""),0.0)</f>
        <v>0</v>
      </c>
      <c r="C4603" s="2">
        <f>IFERROR(__xludf.DUMMYFUNCTION("""COMPUTED_VALUE"""),848.0)</f>
        <v>848</v>
      </c>
      <c r="D4603" s="3">
        <f>IFERROR(__xludf.DUMMYFUNCTION("""COMPUTED_VALUE"""),567.0)</f>
        <v>567</v>
      </c>
      <c r="E4603" s="2"/>
      <c r="F4603" s="2"/>
    </row>
    <row r="4604">
      <c r="A4604" s="2">
        <f>IFERROR(__xludf.DUMMYFUNCTION("""COMPUTED_VALUE"""),78741.0)</f>
        <v>78741</v>
      </c>
      <c r="B4604" s="2">
        <f>IFERROR(__xludf.DUMMYFUNCTION("""COMPUTED_VALUE"""),0.0)</f>
        <v>0</v>
      </c>
      <c r="C4604" s="2">
        <f>IFERROR(__xludf.DUMMYFUNCTION("""COMPUTED_VALUE"""),246.0)</f>
        <v>246</v>
      </c>
      <c r="D4604" s="3">
        <f>IFERROR(__xludf.DUMMYFUNCTION("""COMPUTED_VALUE"""),240.0)</f>
        <v>240</v>
      </c>
      <c r="E4604" s="2"/>
      <c r="F4604" s="2"/>
    </row>
    <row r="4605">
      <c r="A4605" s="2">
        <f>IFERROR(__xludf.DUMMYFUNCTION("""COMPUTED_VALUE"""),86864.0)</f>
        <v>86864</v>
      </c>
      <c r="B4605" s="2">
        <f>IFERROR(__xludf.DUMMYFUNCTION("""COMPUTED_VALUE"""),1.0)</f>
        <v>1</v>
      </c>
      <c r="C4605" s="2">
        <f>IFERROR(__xludf.DUMMYFUNCTION("""COMPUTED_VALUE"""),85.0)</f>
        <v>85</v>
      </c>
      <c r="D4605" s="3">
        <f>IFERROR(__xludf.DUMMYFUNCTION("""COMPUTED_VALUE"""),43.0)</f>
        <v>43</v>
      </c>
      <c r="E4605" s="2"/>
      <c r="F4605" s="2"/>
    </row>
    <row r="4606">
      <c r="A4606" s="2">
        <f>IFERROR(__xludf.DUMMYFUNCTION("""COMPUTED_VALUE"""),71421.0)</f>
        <v>71421</v>
      </c>
      <c r="B4606" s="2">
        <f>IFERROR(__xludf.DUMMYFUNCTION("""COMPUTED_VALUE"""),0.0)</f>
        <v>0</v>
      </c>
      <c r="C4606" s="2">
        <f>IFERROR(__xludf.DUMMYFUNCTION("""COMPUTED_VALUE"""),55.0)</f>
        <v>55</v>
      </c>
      <c r="D4606" s="3">
        <f>IFERROR(__xludf.DUMMYFUNCTION("""COMPUTED_VALUE"""),24.0)</f>
        <v>24</v>
      </c>
      <c r="E4606" s="2"/>
      <c r="F4606" s="2"/>
    </row>
    <row r="4607">
      <c r="A4607" s="2">
        <f>IFERROR(__xludf.DUMMYFUNCTION("""COMPUTED_VALUE"""),115776.0)</f>
        <v>115776</v>
      </c>
      <c r="B4607" s="2">
        <f>IFERROR(__xludf.DUMMYFUNCTION("""COMPUTED_VALUE"""),0.0)</f>
        <v>0</v>
      </c>
      <c r="C4607" s="2">
        <f>IFERROR(__xludf.DUMMYFUNCTION("""COMPUTED_VALUE"""),764.0)</f>
        <v>764</v>
      </c>
      <c r="D4607" s="3">
        <f>IFERROR(__xludf.DUMMYFUNCTION("""COMPUTED_VALUE"""),34.0)</f>
        <v>34</v>
      </c>
      <c r="E4607" s="2"/>
      <c r="F4607" s="2"/>
    </row>
    <row r="4608">
      <c r="A4608" s="2">
        <f>IFERROR(__xludf.DUMMYFUNCTION("""COMPUTED_VALUE"""),71393.0)</f>
        <v>71393</v>
      </c>
      <c r="B4608" s="2">
        <f>IFERROR(__xludf.DUMMYFUNCTION("""COMPUTED_VALUE"""),0.0)</f>
        <v>0</v>
      </c>
      <c r="C4608" s="2">
        <f>IFERROR(__xludf.DUMMYFUNCTION("""COMPUTED_VALUE"""),496.0)</f>
        <v>496</v>
      </c>
      <c r="D4608" s="3">
        <f>IFERROR(__xludf.DUMMYFUNCTION("""COMPUTED_VALUE"""),217.0)</f>
        <v>217</v>
      </c>
      <c r="E4608" s="2"/>
      <c r="F4608" s="2"/>
    </row>
    <row r="4609">
      <c r="A4609" s="2">
        <f>IFERROR(__xludf.DUMMYFUNCTION("""COMPUTED_VALUE"""),78739.0)</f>
        <v>78739</v>
      </c>
      <c r="B4609" s="2">
        <f>IFERROR(__xludf.DUMMYFUNCTION("""COMPUTED_VALUE"""),1.0)</f>
        <v>1</v>
      </c>
      <c r="C4609" s="2">
        <f>IFERROR(__xludf.DUMMYFUNCTION("""COMPUTED_VALUE"""),976.0)</f>
        <v>976</v>
      </c>
      <c r="D4609" s="3">
        <f>IFERROR(__xludf.DUMMYFUNCTION("""COMPUTED_VALUE"""),435.0)</f>
        <v>435</v>
      </c>
      <c r="E4609" s="2"/>
      <c r="F4609" s="2"/>
    </row>
    <row r="4610">
      <c r="A4610" s="2">
        <f>IFERROR(__xludf.DUMMYFUNCTION("""COMPUTED_VALUE"""),71408.0)</f>
        <v>71408</v>
      </c>
      <c r="B4610" s="2">
        <f>IFERROR(__xludf.DUMMYFUNCTION("""COMPUTED_VALUE"""),1.0)</f>
        <v>1</v>
      </c>
      <c r="C4610" s="2">
        <f>IFERROR(__xludf.DUMMYFUNCTION("""COMPUTED_VALUE"""),601.0)</f>
        <v>601</v>
      </c>
      <c r="D4610" s="3">
        <f>IFERROR(__xludf.DUMMYFUNCTION("""COMPUTED_VALUE"""),333.0)</f>
        <v>333</v>
      </c>
      <c r="E4610" s="2"/>
      <c r="F4610" s="2"/>
    </row>
    <row r="4611">
      <c r="A4611" s="2">
        <f>IFERROR(__xludf.DUMMYFUNCTION("""COMPUTED_VALUE"""),109194.0)</f>
        <v>109194</v>
      </c>
      <c r="B4611" s="2">
        <f>IFERROR(__xludf.DUMMYFUNCTION("""COMPUTED_VALUE"""),1.0)</f>
        <v>1</v>
      </c>
      <c r="C4611" s="2">
        <f>IFERROR(__xludf.DUMMYFUNCTION("""COMPUTED_VALUE"""),460.0)</f>
        <v>460</v>
      </c>
      <c r="D4611" s="3">
        <f>IFERROR(__xludf.DUMMYFUNCTION("""COMPUTED_VALUE"""),341.0)</f>
        <v>341</v>
      </c>
      <c r="E4611" s="2"/>
      <c r="F4611" s="2"/>
    </row>
    <row r="4612">
      <c r="A4612" s="2">
        <f>IFERROR(__xludf.DUMMYFUNCTION("""COMPUTED_VALUE"""),84448.0)</f>
        <v>84448</v>
      </c>
      <c r="B4612" s="2">
        <f>IFERROR(__xludf.DUMMYFUNCTION("""COMPUTED_VALUE"""),1.0)</f>
        <v>1</v>
      </c>
      <c r="C4612" s="2">
        <f>IFERROR(__xludf.DUMMYFUNCTION("""COMPUTED_VALUE"""),88.0)</f>
        <v>88</v>
      </c>
      <c r="D4612" s="3">
        <f>IFERROR(__xludf.DUMMYFUNCTION("""COMPUTED_VALUE"""),10.0)</f>
        <v>10</v>
      </c>
      <c r="E4612" s="2"/>
      <c r="F4612" s="2"/>
    </row>
    <row r="4613">
      <c r="A4613" s="2">
        <f>IFERROR(__xludf.DUMMYFUNCTION("""COMPUTED_VALUE"""),140575.0)</f>
        <v>140575</v>
      </c>
      <c r="B4613" s="2">
        <f>IFERROR(__xludf.DUMMYFUNCTION("""COMPUTED_VALUE"""),0.0)</f>
        <v>0</v>
      </c>
      <c r="C4613" s="2">
        <f>IFERROR(__xludf.DUMMYFUNCTION("""COMPUTED_VALUE"""),535.0)</f>
        <v>535</v>
      </c>
      <c r="D4613" s="3">
        <f>IFERROR(__xludf.DUMMYFUNCTION("""COMPUTED_VALUE"""),23.0)</f>
        <v>23</v>
      </c>
      <c r="E4613" s="2"/>
      <c r="F4613" s="2"/>
    </row>
    <row r="4614">
      <c r="A4614" s="2">
        <f>IFERROR(__xludf.DUMMYFUNCTION("""COMPUTED_VALUE"""),71420.0)</f>
        <v>71420</v>
      </c>
      <c r="B4614" s="2">
        <f>IFERROR(__xludf.DUMMYFUNCTION("""COMPUTED_VALUE"""),0.0)</f>
        <v>0</v>
      </c>
      <c r="C4614" s="2">
        <f>IFERROR(__xludf.DUMMYFUNCTION("""COMPUTED_VALUE"""),592.0)</f>
        <v>592</v>
      </c>
      <c r="D4614" s="3">
        <f>IFERROR(__xludf.DUMMYFUNCTION("""COMPUTED_VALUE"""),550.0)</f>
        <v>550</v>
      </c>
      <c r="E4614" s="2"/>
      <c r="F4614" s="2"/>
    </row>
    <row r="4615">
      <c r="A4615" s="2">
        <f>IFERROR(__xludf.DUMMYFUNCTION("""COMPUTED_VALUE"""),71375.0)</f>
        <v>71375</v>
      </c>
      <c r="B4615" s="2">
        <f>IFERROR(__xludf.DUMMYFUNCTION("""COMPUTED_VALUE"""),1.0)</f>
        <v>1</v>
      </c>
      <c r="C4615" s="2">
        <f>IFERROR(__xludf.DUMMYFUNCTION("""COMPUTED_VALUE"""),924.0)</f>
        <v>924</v>
      </c>
      <c r="D4615" s="3">
        <f>IFERROR(__xludf.DUMMYFUNCTION("""COMPUTED_VALUE"""),393.0)</f>
        <v>393</v>
      </c>
      <c r="E4615" s="2"/>
      <c r="F4615" s="2"/>
    </row>
    <row r="4616">
      <c r="A4616" s="2">
        <f>IFERROR(__xludf.DUMMYFUNCTION("""COMPUTED_VALUE"""),71376.0)</f>
        <v>71376</v>
      </c>
      <c r="B4616" s="2">
        <f>IFERROR(__xludf.DUMMYFUNCTION("""COMPUTED_VALUE"""),0.0)</f>
        <v>0</v>
      </c>
      <c r="C4616" s="2">
        <f>IFERROR(__xludf.DUMMYFUNCTION("""COMPUTED_VALUE"""),742.0)</f>
        <v>742</v>
      </c>
      <c r="D4616" s="3">
        <f>IFERROR(__xludf.DUMMYFUNCTION("""COMPUTED_VALUE"""),368.0)</f>
        <v>368</v>
      </c>
      <c r="E4616" s="2"/>
      <c r="F4616" s="2"/>
    </row>
    <row r="4617">
      <c r="A4617" s="2">
        <f>IFERROR(__xludf.DUMMYFUNCTION("""COMPUTED_VALUE"""),110975.0)</f>
        <v>110975</v>
      </c>
      <c r="B4617" s="2">
        <f>IFERROR(__xludf.DUMMYFUNCTION("""COMPUTED_VALUE"""),0.0)</f>
        <v>0</v>
      </c>
      <c r="C4617" s="2">
        <f>IFERROR(__xludf.DUMMYFUNCTION("""COMPUTED_VALUE"""),770.0)</f>
        <v>770</v>
      </c>
      <c r="D4617" s="3">
        <f>IFERROR(__xludf.DUMMYFUNCTION("""COMPUTED_VALUE"""),382.0)</f>
        <v>382</v>
      </c>
      <c r="E4617" s="2"/>
      <c r="F4617" s="2"/>
    </row>
    <row r="4618">
      <c r="A4618" s="2">
        <f>IFERROR(__xludf.DUMMYFUNCTION("""COMPUTED_VALUE"""),86170.0)</f>
        <v>86170</v>
      </c>
      <c r="B4618" s="2">
        <f>IFERROR(__xludf.DUMMYFUNCTION("""COMPUTED_VALUE"""),1.0)</f>
        <v>1</v>
      </c>
      <c r="C4618" s="2">
        <f>IFERROR(__xludf.DUMMYFUNCTION("""COMPUTED_VALUE"""),117.0)</f>
        <v>117</v>
      </c>
      <c r="D4618" s="3">
        <f>IFERROR(__xludf.DUMMYFUNCTION("""COMPUTED_VALUE"""),24.0)</f>
        <v>24</v>
      </c>
      <c r="E4618" s="2"/>
      <c r="F4618" s="2"/>
    </row>
    <row r="4619">
      <c r="A4619" s="2">
        <f>IFERROR(__xludf.DUMMYFUNCTION("""COMPUTED_VALUE"""),142787.0)</f>
        <v>142787</v>
      </c>
      <c r="B4619" s="2">
        <f>IFERROR(__xludf.DUMMYFUNCTION("""COMPUTED_VALUE"""),1.0)</f>
        <v>1</v>
      </c>
      <c r="C4619" s="2">
        <f>IFERROR(__xludf.DUMMYFUNCTION("""COMPUTED_VALUE"""),731.0)</f>
        <v>731</v>
      </c>
      <c r="D4619" s="3">
        <f>IFERROR(__xludf.DUMMYFUNCTION("""COMPUTED_VALUE"""),430.0)</f>
        <v>430</v>
      </c>
      <c r="E4619" s="2"/>
      <c r="F4619" s="2"/>
    </row>
    <row r="4620">
      <c r="A4620" s="2">
        <f>IFERROR(__xludf.DUMMYFUNCTION("""COMPUTED_VALUE"""),109185.0)</f>
        <v>109185</v>
      </c>
      <c r="B4620" s="2">
        <f>IFERROR(__xludf.DUMMYFUNCTION("""COMPUTED_VALUE"""),1.0)</f>
        <v>1</v>
      </c>
      <c r="C4620" s="2">
        <f>IFERROR(__xludf.DUMMYFUNCTION("""COMPUTED_VALUE"""),334.0)</f>
        <v>334</v>
      </c>
      <c r="D4620" s="3">
        <f>IFERROR(__xludf.DUMMYFUNCTION("""COMPUTED_VALUE"""),111.0)</f>
        <v>111</v>
      </c>
      <c r="E4620" s="2"/>
      <c r="F4620" s="2"/>
    </row>
    <row r="4621">
      <c r="A4621" s="2">
        <f>IFERROR(__xludf.DUMMYFUNCTION("""COMPUTED_VALUE"""),109184.0)</f>
        <v>109184</v>
      </c>
      <c r="B4621" s="2">
        <f>IFERROR(__xludf.DUMMYFUNCTION("""COMPUTED_VALUE"""),1.0)</f>
        <v>1</v>
      </c>
      <c r="C4621" s="2">
        <f>IFERROR(__xludf.DUMMYFUNCTION("""COMPUTED_VALUE"""),898.0)</f>
        <v>898</v>
      </c>
      <c r="D4621" s="3">
        <f>IFERROR(__xludf.DUMMYFUNCTION("""COMPUTED_VALUE"""),442.0)</f>
        <v>442</v>
      </c>
      <c r="E4621" s="2"/>
      <c r="F4621" s="2"/>
    </row>
    <row r="4622">
      <c r="A4622" s="2">
        <f>IFERROR(__xludf.DUMMYFUNCTION("""COMPUTED_VALUE"""),72575.0)</f>
        <v>72575</v>
      </c>
      <c r="B4622" s="2">
        <f>IFERROR(__xludf.DUMMYFUNCTION("""COMPUTED_VALUE"""),0.0)</f>
        <v>0</v>
      </c>
      <c r="C4622" s="2">
        <f>IFERROR(__xludf.DUMMYFUNCTION("""COMPUTED_VALUE"""),527.0)</f>
        <v>527</v>
      </c>
      <c r="D4622" s="3">
        <f>IFERROR(__xludf.DUMMYFUNCTION("""COMPUTED_VALUE"""),113.0)</f>
        <v>113</v>
      </c>
      <c r="E4622" s="2"/>
      <c r="F4622" s="2"/>
    </row>
    <row r="4623">
      <c r="A4623" s="2">
        <f>IFERROR(__xludf.DUMMYFUNCTION("""COMPUTED_VALUE"""),78909.0)</f>
        <v>78909</v>
      </c>
      <c r="B4623" s="2">
        <f>IFERROR(__xludf.DUMMYFUNCTION("""COMPUTED_VALUE"""),1.0)</f>
        <v>1</v>
      </c>
      <c r="C4623" s="2">
        <f>IFERROR(__xludf.DUMMYFUNCTION("""COMPUTED_VALUE"""),548.0)</f>
        <v>548</v>
      </c>
      <c r="D4623" s="3">
        <f>IFERROR(__xludf.DUMMYFUNCTION("""COMPUTED_VALUE"""),508.0)</f>
        <v>508</v>
      </c>
      <c r="E4623" s="2"/>
      <c r="F4623" s="2"/>
    </row>
    <row r="4624">
      <c r="A4624" s="2">
        <f>IFERROR(__xludf.DUMMYFUNCTION("""COMPUTED_VALUE"""),17630.0)</f>
        <v>17630</v>
      </c>
      <c r="B4624" s="2">
        <f>IFERROR(__xludf.DUMMYFUNCTION("""COMPUTED_VALUE"""),1.0)</f>
        <v>1</v>
      </c>
      <c r="C4624" s="2">
        <f>IFERROR(__xludf.DUMMYFUNCTION("""COMPUTED_VALUE"""),736.0)</f>
        <v>736</v>
      </c>
      <c r="D4624" s="3">
        <f>IFERROR(__xludf.DUMMYFUNCTION("""COMPUTED_VALUE"""),558.0)</f>
        <v>558</v>
      </c>
      <c r="E4624" s="2"/>
      <c r="F4624" s="2"/>
    </row>
    <row r="4625">
      <c r="A4625" s="2">
        <f>IFERROR(__xludf.DUMMYFUNCTION("""COMPUTED_VALUE"""),78924.0)</f>
        <v>78924</v>
      </c>
      <c r="B4625" s="2">
        <f>IFERROR(__xludf.DUMMYFUNCTION("""COMPUTED_VALUE"""),0.0)</f>
        <v>0</v>
      </c>
      <c r="C4625" s="2">
        <f>IFERROR(__xludf.DUMMYFUNCTION("""COMPUTED_VALUE"""),746.0)</f>
        <v>746</v>
      </c>
      <c r="D4625" s="3">
        <f>IFERROR(__xludf.DUMMYFUNCTION("""COMPUTED_VALUE"""),330.0)</f>
        <v>330</v>
      </c>
      <c r="E4625" s="2"/>
      <c r="F4625" s="2"/>
    </row>
    <row r="4626">
      <c r="A4626" s="2">
        <f>IFERROR(__xludf.DUMMYFUNCTION("""COMPUTED_VALUE"""),82196.0)</f>
        <v>82196</v>
      </c>
      <c r="B4626" s="2">
        <f>IFERROR(__xludf.DUMMYFUNCTION("""COMPUTED_VALUE"""),0.0)</f>
        <v>0</v>
      </c>
      <c r="C4626" s="2">
        <f>IFERROR(__xludf.DUMMYFUNCTION("""COMPUTED_VALUE"""),686.0)</f>
        <v>686</v>
      </c>
      <c r="D4626" s="3">
        <f>IFERROR(__xludf.DUMMYFUNCTION("""COMPUTED_VALUE"""),130.0)</f>
        <v>130</v>
      </c>
      <c r="E4626" s="2"/>
      <c r="F4626" s="2"/>
    </row>
    <row r="4627">
      <c r="A4627" s="2">
        <f>IFERROR(__xludf.DUMMYFUNCTION("""COMPUTED_VALUE"""),86184.0)</f>
        <v>86184</v>
      </c>
      <c r="B4627" s="2">
        <f>IFERROR(__xludf.DUMMYFUNCTION("""COMPUTED_VALUE"""),1.0)</f>
        <v>1</v>
      </c>
      <c r="C4627" s="2">
        <f>IFERROR(__xludf.DUMMYFUNCTION("""COMPUTED_VALUE"""),431.0)</f>
        <v>431</v>
      </c>
      <c r="D4627" s="3">
        <f>IFERROR(__xludf.DUMMYFUNCTION("""COMPUTED_VALUE"""),283.0)</f>
        <v>283</v>
      </c>
      <c r="E4627" s="2"/>
      <c r="F4627" s="2"/>
    </row>
    <row r="4628">
      <c r="A4628" s="2">
        <f>IFERROR(__xludf.DUMMYFUNCTION("""COMPUTED_VALUE"""),6219.0)</f>
        <v>6219</v>
      </c>
      <c r="B4628" s="2">
        <f>IFERROR(__xludf.DUMMYFUNCTION("""COMPUTED_VALUE"""),1.0)</f>
        <v>1</v>
      </c>
      <c r="C4628" s="2">
        <f>IFERROR(__xludf.DUMMYFUNCTION("""COMPUTED_VALUE"""),958.0)</f>
        <v>958</v>
      </c>
      <c r="D4628" s="3">
        <f>IFERROR(__xludf.DUMMYFUNCTION("""COMPUTED_VALUE"""),0.0)</f>
        <v>0</v>
      </c>
      <c r="E4628" s="2"/>
      <c r="F4628" s="2"/>
    </row>
    <row r="4629">
      <c r="A4629" s="2">
        <f>IFERROR(__xludf.DUMMYFUNCTION("""COMPUTED_VALUE"""),116185.0)</f>
        <v>116185</v>
      </c>
      <c r="B4629" s="2">
        <f>IFERROR(__xludf.DUMMYFUNCTION("""COMPUTED_VALUE"""),1.0)</f>
        <v>1</v>
      </c>
      <c r="C4629" s="2">
        <f>IFERROR(__xludf.DUMMYFUNCTION("""COMPUTED_VALUE"""),386.0)</f>
        <v>386</v>
      </c>
      <c r="D4629" s="3">
        <f>IFERROR(__xludf.DUMMYFUNCTION("""COMPUTED_VALUE"""),187.0)</f>
        <v>187</v>
      </c>
      <c r="E4629" s="2"/>
      <c r="F4629" s="2"/>
    </row>
    <row r="4630">
      <c r="A4630" s="2">
        <f>IFERROR(__xludf.DUMMYFUNCTION("""COMPUTED_VALUE"""),12873.0)</f>
        <v>12873</v>
      </c>
      <c r="B4630" s="2">
        <f>IFERROR(__xludf.DUMMYFUNCTION("""COMPUTED_VALUE"""),1.0)</f>
        <v>1</v>
      </c>
      <c r="C4630" s="2">
        <f>IFERROR(__xludf.DUMMYFUNCTION("""COMPUTED_VALUE"""),831.0)</f>
        <v>831</v>
      </c>
      <c r="D4630" s="3">
        <f>IFERROR(__xludf.DUMMYFUNCTION("""COMPUTED_VALUE"""),344.0)</f>
        <v>344</v>
      </c>
      <c r="E4630" s="2"/>
      <c r="F4630" s="2"/>
    </row>
    <row r="4631">
      <c r="A4631" s="2">
        <f>IFERROR(__xludf.DUMMYFUNCTION("""COMPUTED_VALUE"""),71413.0)</f>
        <v>71413</v>
      </c>
      <c r="B4631" s="2">
        <f>IFERROR(__xludf.DUMMYFUNCTION("""COMPUTED_VALUE"""),0.0)</f>
        <v>0</v>
      </c>
      <c r="C4631" s="2">
        <f>IFERROR(__xludf.DUMMYFUNCTION("""COMPUTED_VALUE"""),0.0)</f>
        <v>0</v>
      </c>
      <c r="D4631" s="3">
        <f>IFERROR(__xludf.DUMMYFUNCTION("""COMPUTED_VALUE"""),0.0)</f>
        <v>0</v>
      </c>
      <c r="E4631" s="2"/>
      <c r="F4631" s="2"/>
    </row>
    <row r="4632">
      <c r="A4632" s="2">
        <f>IFERROR(__xludf.DUMMYFUNCTION("""COMPUTED_VALUE"""),128352.0)</f>
        <v>128352</v>
      </c>
      <c r="B4632" s="2">
        <f>IFERROR(__xludf.DUMMYFUNCTION("""COMPUTED_VALUE"""),1.0)</f>
        <v>1</v>
      </c>
      <c r="C4632" s="2">
        <f>IFERROR(__xludf.DUMMYFUNCTION("""COMPUTED_VALUE"""),128.0)</f>
        <v>128</v>
      </c>
      <c r="D4632" s="3">
        <f>IFERROR(__xludf.DUMMYFUNCTION("""COMPUTED_VALUE"""),35.0)</f>
        <v>35</v>
      </c>
      <c r="E4632" s="2"/>
      <c r="F4632" s="2"/>
    </row>
    <row r="4633">
      <c r="A4633" s="2">
        <f>IFERROR(__xludf.DUMMYFUNCTION("""COMPUTED_VALUE"""),17594.0)</f>
        <v>17594</v>
      </c>
      <c r="B4633" s="2">
        <f>IFERROR(__xludf.DUMMYFUNCTION("""COMPUTED_VALUE"""),0.0)</f>
        <v>0</v>
      </c>
      <c r="C4633" s="2">
        <f>IFERROR(__xludf.DUMMYFUNCTION("""COMPUTED_VALUE"""),314.0)</f>
        <v>314</v>
      </c>
      <c r="D4633" s="3">
        <f>IFERROR(__xludf.DUMMYFUNCTION("""COMPUTED_VALUE"""),6.0)</f>
        <v>6</v>
      </c>
      <c r="E4633" s="2"/>
      <c r="F4633" s="2"/>
    </row>
    <row r="4634">
      <c r="A4634" s="2">
        <f>IFERROR(__xludf.DUMMYFUNCTION("""COMPUTED_VALUE"""),71404.0)</f>
        <v>71404</v>
      </c>
      <c r="B4634" s="2">
        <f>IFERROR(__xludf.DUMMYFUNCTION("""COMPUTED_VALUE"""),0.0)</f>
        <v>0</v>
      </c>
      <c r="C4634" s="2">
        <f>IFERROR(__xludf.DUMMYFUNCTION("""COMPUTED_VALUE"""),644.0)</f>
        <v>644</v>
      </c>
      <c r="D4634" s="3">
        <f>IFERROR(__xludf.DUMMYFUNCTION("""COMPUTED_VALUE"""),236.0)</f>
        <v>236</v>
      </c>
      <c r="E4634" s="2"/>
      <c r="F4634" s="2"/>
    </row>
    <row r="4635">
      <c r="A4635" s="2">
        <f>IFERROR(__xludf.DUMMYFUNCTION("""COMPUTED_VALUE"""),129473.0)</f>
        <v>129473</v>
      </c>
      <c r="B4635" s="2">
        <f>IFERROR(__xludf.DUMMYFUNCTION("""COMPUTED_VALUE"""),1.0)</f>
        <v>1</v>
      </c>
      <c r="C4635" s="2">
        <f>IFERROR(__xludf.DUMMYFUNCTION("""COMPUTED_VALUE"""),-16.0)</f>
        <v>-16</v>
      </c>
      <c r="D4635" s="3">
        <f>IFERROR(__xludf.DUMMYFUNCTION("""COMPUTED_VALUE"""),-8.0)</f>
        <v>-8</v>
      </c>
      <c r="E4635" s="2"/>
      <c r="F4635" s="2"/>
    </row>
    <row r="4636">
      <c r="A4636" s="2">
        <f>IFERROR(__xludf.DUMMYFUNCTION("""COMPUTED_VALUE"""),78904.0)</f>
        <v>78904</v>
      </c>
      <c r="B4636" s="2">
        <f>IFERROR(__xludf.DUMMYFUNCTION("""COMPUTED_VALUE"""),0.0)</f>
        <v>0</v>
      </c>
      <c r="C4636" s="2">
        <f>IFERROR(__xludf.DUMMYFUNCTION("""COMPUTED_VALUE"""),911.0)</f>
        <v>911</v>
      </c>
      <c r="D4636" s="3">
        <f>IFERROR(__xludf.DUMMYFUNCTION("""COMPUTED_VALUE"""),518.0)</f>
        <v>518</v>
      </c>
      <c r="E4636" s="2"/>
      <c r="F4636" s="2"/>
    </row>
    <row r="4637">
      <c r="A4637" s="2">
        <f>IFERROR(__xludf.DUMMYFUNCTION("""COMPUTED_VALUE"""),122311.0)</f>
        <v>122311</v>
      </c>
      <c r="B4637" s="2">
        <f>IFERROR(__xludf.DUMMYFUNCTION("""COMPUTED_VALUE"""),1.0)</f>
        <v>1</v>
      </c>
      <c r="C4637" s="2">
        <f>IFERROR(__xludf.DUMMYFUNCTION("""COMPUTED_VALUE"""),525.0)</f>
        <v>525</v>
      </c>
      <c r="D4637" s="3">
        <f>IFERROR(__xludf.DUMMYFUNCTION("""COMPUTED_VALUE"""),340.0)</f>
        <v>340</v>
      </c>
      <c r="E4637" s="2"/>
      <c r="F4637" s="2"/>
    </row>
    <row r="4638">
      <c r="A4638" s="2">
        <f>IFERROR(__xludf.DUMMYFUNCTION("""COMPUTED_VALUE"""),86172.0)</f>
        <v>86172</v>
      </c>
      <c r="B4638" s="2">
        <f>IFERROR(__xludf.DUMMYFUNCTION("""COMPUTED_VALUE"""),1.0)</f>
        <v>1</v>
      </c>
      <c r="C4638" s="2">
        <f>IFERROR(__xludf.DUMMYFUNCTION("""COMPUTED_VALUE"""),211.0)</f>
        <v>211</v>
      </c>
      <c r="D4638" s="3">
        <f>IFERROR(__xludf.DUMMYFUNCTION("""COMPUTED_VALUE"""),114.0)</f>
        <v>114</v>
      </c>
      <c r="E4638" s="2"/>
      <c r="F4638" s="2"/>
    </row>
    <row r="4639">
      <c r="A4639" s="2">
        <f>IFERROR(__xludf.DUMMYFUNCTION("""COMPUTED_VALUE"""),17592.0)</f>
        <v>17592</v>
      </c>
      <c r="B4639" s="2">
        <f>IFERROR(__xludf.DUMMYFUNCTION("""COMPUTED_VALUE"""),1.0)</f>
        <v>1</v>
      </c>
      <c r="C4639" s="2">
        <f>IFERROR(__xludf.DUMMYFUNCTION("""COMPUTED_VALUE"""),670.0)</f>
        <v>670</v>
      </c>
      <c r="D4639" s="3">
        <f>IFERROR(__xludf.DUMMYFUNCTION("""COMPUTED_VALUE"""),647.0)</f>
        <v>647</v>
      </c>
      <c r="E4639" s="2"/>
      <c r="F4639" s="2"/>
    </row>
    <row r="4640">
      <c r="A4640" s="2">
        <f>IFERROR(__xludf.DUMMYFUNCTION("""COMPUTED_VALUE"""),89981.0)</f>
        <v>89981</v>
      </c>
      <c r="B4640" s="2">
        <f>IFERROR(__xludf.DUMMYFUNCTION("""COMPUTED_VALUE"""),0.0)</f>
        <v>0</v>
      </c>
      <c r="C4640" s="2">
        <f>IFERROR(__xludf.DUMMYFUNCTION("""COMPUTED_VALUE"""),50.0)</f>
        <v>50</v>
      </c>
      <c r="D4640" s="3">
        <f>IFERROR(__xludf.DUMMYFUNCTION("""COMPUTED_VALUE"""),15.0)</f>
        <v>15</v>
      </c>
      <c r="E4640" s="2"/>
      <c r="F4640" s="2"/>
    </row>
    <row r="4641">
      <c r="A4641" s="2">
        <f>IFERROR(__xludf.DUMMYFUNCTION("""COMPUTED_VALUE"""),71399.0)</f>
        <v>71399</v>
      </c>
      <c r="B4641" s="2">
        <f>IFERROR(__xludf.DUMMYFUNCTION("""COMPUTED_VALUE"""),1.0)</f>
        <v>1</v>
      </c>
      <c r="C4641" s="2">
        <f>IFERROR(__xludf.DUMMYFUNCTION("""COMPUTED_VALUE"""),74.0)</f>
        <v>74</v>
      </c>
      <c r="D4641" s="3">
        <f>IFERROR(__xludf.DUMMYFUNCTION("""COMPUTED_VALUE"""),61.0)</f>
        <v>61</v>
      </c>
      <c r="E4641" s="2"/>
      <c r="F4641" s="2"/>
    </row>
    <row r="4642">
      <c r="A4642" s="2">
        <f>IFERROR(__xludf.DUMMYFUNCTION("""COMPUTED_VALUE"""),17587.0)</f>
        <v>17587</v>
      </c>
      <c r="B4642" s="2">
        <f>IFERROR(__xludf.DUMMYFUNCTION("""COMPUTED_VALUE"""),1.0)</f>
        <v>1</v>
      </c>
      <c r="C4642" s="2">
        <f>IFERROR(__xludf.DUMMYFUNCTION("""COMPUTED_VALUE"""),447.0)</f>
        <v>447</v>
      </c>
      <c r="D4642" s="3">
        <f>IFERROR(__xludf.DUMMYFUNCTION("""COMPUTED_VALUE"""),9.0)</f>
        <v>9</v>
      </c>
      <c r="E4642" s="2"/>
      <c r="F4642" s="2"/>
    </row>
    <row r="4643">
      <c r="A4643" s="2">
        <f>IFERROR(__xludf.DUMMYFUNCTION("""COMPUTED_VALUE"""),17647.0)</f>
        <v>17647</v>
      </c>
      <c r="B4643" s="2">
        <f>IFERROR(__xludf.DUMMYFUNCTION("""COMPUTED_VALUE"""),1.0)</f>
        <v>1</v>
      </c>
      <c r="C4643" s="2">
        <f>IFERROR(__xludf.DUMMYFUNCTION("""COMPUTED_VALUE"""),24.0)</f>
        <v>24</v>
      </c>
      <c r="D4643" s="3">
        <f>IFERROR(__xludf.DUMMYFUNCTION("""COMPUTED_VALUE"""),0.0)</f>
        <v>0</v>
      </c>
      <c r="E4643" s="2"/>
      <c r="F4643" s="2"/>
    </row>
    <row r="4644">
      <c r="A4644" s="2">
        <f>IFERROR(__xludf.DUMMYFUNCTION("""COMPUTED_VALUE"""),107364.0)</f>
        <v>107364</v>
      </c>
      <c r="B4644" s="2">
        <f>IFERROR(__xludf.DUMMYFUNCTION("""COMPUTED_VALUE"""),0.0)</f>
        <v>0</v>
      </c>
      <c r="C4644" s="2">
        <f>IFERROR(__xludf.DUMMYFUNCTION("""COMPUTED_VALUE"""),50.0)</f>
        <v>50</v>
      </c>
      <c r="D4644" s="3">
        <f>IFERROR(__xludf.DUMMYFUNCTION("""COMPUTED_VALUE"""),46.0)</f>
        <v>46</v>
      </c>
      <c r="E4644" s="2"/>
      <c r="F4644" s="2"/>
    </row>
    <row r="4645">
      <c r="A4645" s="2">
        <f>IFERROR(__xludf.DUMMYFUNCTION("""COMPUTED_VALUE"""),24118.0)</f>
        <v>24118</v>
      </c>
      <c r="B4645" s="2">
        <f>IFERROR(__xludf.DUMMYFUNCTION("""COMPUTED_VALUE"""),0.0)</f>
        <v>0</v>
      </c>
      <c r="C4645" s="2">
        <f>IFERROR(__xludf.DUMMYFUNCTION("""COMPUTED_VALUE"""),657.0)</f>
        <v>657</v>
      </c>
      <c r="D4645" s="3">
        <f>IFERROR(__xludf.DUMMYFUNCTION("""COMPUTED_VALUE"""),68.0)</f>
        <v>68</v>
      </c>
      <c r="E4645" s="2"/>
      <c r="F4645" s="2"/>
    </row>
    <row r="4646">
      <c r="A4646" s="2">
        <f>IFERROR(__xludf.DUMMYFUNCTION("""COMPUTED_VALUE"""),86181.0)</f>
        <v>86181</v>
      </c>
      <c r="B4646" s="2">
        <f>IFERROR(__xludf.DUMMYFUNCTION("""COMPUTED_VALUE"""),1.0)</f>
        <v>1</v>
      </c>
      <c r="C4646" s="2">
        <f>IFERROR(__xludf.DUMMYFUNCTION("""COMPUTED_VALUE"""),638.0)</f>
        <v>638</v>
      </c>
      <c r="D4646" s="3">
        <f>IFERROR(__xludf.DUMMYFUNCTION("""COMPUTED_VALUE"""),414.0)</f>
        <v>414</v>
      </c>
      <c r="E4646" s="2"/>
      <c r="F4646" s="2"/>
    </row>
    <row r="4647">
      <c r="A4647" s="2">
        <f>IFERROR(__xludf.DUMMYFUNCTION("""COMPUTED_VALUE"""),129474.0)</f>
        <v>129474</v>
      </c>
      <c r="B4647" s="2">
        <f>IFERROR(__xludf.DUMMYFUNCTION("""COMPUTED_VALUE"""),1.0)</f>
        <v>1</v>
      </c>
      <c r="C4647" s="2">
        <f>IFERROR(__xludf.DUMMYFUNCTION("""COMPUTED_VALUE"""),412.0)</f>
        <v>412</v>
      </c>
      <c r="D4647" s="3">
        <f>IFERROR(__xludf.DUMMYFUNCTION("""COMPUTED_VALUE"""),134.0)</f>
        <v>134</v>
      </c>
      <c r="E4647" s="2"/>
      <c r="F4647" s="2"/>
    </row>
    <row r="4648">
      <c r="A4648" s="2">
        <f>IFERROR(__xludf.DUMMYFUNCTION("""COMPUTED_VALUE"""),17601.0)</f>
        <v>17601</v>
      </c>
      <c r="B4648" s="2">
        <f>IFERROR(__xludf.DUMMYFUNCTION("""COMPUTED_VALUE"""),1.0)</f>
        <v>1</v>
      </c>
      <c r="C4648" s="2">
        <f>IFERROR(__xludf.DUMMYFUNCTION("""COMPUTED_VALUE"""),932.0)</f>
        <v>932</v>
      </c>
      <c r="D4648" s="3">
        <f>IFERROR(__xludf.DUMMYFUNCTION("""COMPUTED_VALUE"""),251.0)</f>
        <v>251</v>
      </c>
      <c r="E4648" s="2"/>
      <c r="F4648" s="2"/>
    </row>
    <row r="4649">
      <c r="A4649" s="2">
        <f>IFERROR(__xludf.DUMMYFUNCTION("""COMPUTED_VALUE"""),78938.0)</f>
        <v>78938</v>
      </c>
      <c r="B4649" s="2">
        <f>IFERROR(__xludf.DUMMYFUNCTION("""COMPUTED_VALUE"""),1.0)</f>
        <v>1</v>
      </c>
      <c r="C4649" s="2">
        <f>IFERROR(__xludf.DUMMYFUNCTION("""COMPUTED_VALUE"""),909.0)</f>
        <v>909</v>
      </c>
      <c r="D4649" s="3">
        <f>IFERROR(__xludf.DUMMYFUNCTION("""COMPUTED_VALUE"""),232.0)</f>
        <v>232</v>
      </c>
      <c r="E4649" s="2"/>
      <c r="F4649" s="2"/>
    </row>
    <row r="4650">
      <c r="A4650" s="2">
        <f>IFERROR(__xludf.DUMMYFUNCTION("""COMPUTED_VALUE"""),17609.0)</f>
        <v>17609</v>
      </c>
      <c r="B4650" s="2">
        <f>IFERROR(__xludf.DUMMYFUNCTION("""COMPUTED_VALUE"""),0.0)</f>
        <v>0</v>
      </c>
      <c r="C4650" s="2">
        <f>IFERROR(__xludf.DUMMYFUNCTION("""COMPUTED_VALUE"""),519.0)</f>
        <v>519</v>
      </c>
      <c r="D4650" s="3">
        <f>IFERROR(__xludf.DUMMYFUNCTION("""COMPUTED_VALUE"""),212.0)</f>
        <v>212</v>
      </c>
      <c r="E4650" s="2"/>
      <c r="F4650" s="2"/>
    </row>
    <row r="4651">
      <c r="A4651" s="2">
        <f>IFERROR(__xludf.DUMMYFUNCTION("""COMPUTED_VALUE"""),129452.0)</f>
        <v>129452</v>
      </c>
      <c r="B4651" s="2">
        <f>IFERROR(__xludf.DUMMYFUNCTION("""COMPUTED_VALUE"""),1.0)</f>
        <v>1</v>
      </c>
      <c r="C4651" s="2">
        <f>IFERROR(__xludf.DUMMYFUNCTION("""COMPUTED_VALUE"""),860.0)</f>
        <v>860</v>
      </c>
      <c r="D4651" s="3">
        <f>IFERROR(__xludf.DUMMYFUNCTION("""COMPUTED_VALUE"""),208.0)</f>
        <v>208</v>
      </c>
      <c r="E4651" s="2"/>
      <c r="F4651" s="2"/>
    </row>
    <row r="4652">
      <c r="A4652" s="2">
        <f>IFERROR(__xludf.DUMMYFUNCTION("""COMPUTED_VALUE"""),88587.0)</f>
        <v>88587</v>
      </c>
      <c r="B4652" s="2">
        <f>IFERROR(__xludf.DUMMYFUNCTION("""COMPUTED_VALUE"""),0.0)</f>
        <v>0</v>
      </c>
      <c r="C4652" s="2">
        <f>IFERROR(__xludf.DUMMYFUNCTION("""COMPUTED_VALUE"""),94.0)</f>
        <v>94</v>
      </c>
      <c r="D4652" s="3">
        <f>IFERROR(__xludf.DUMMYFUNCTION("""COMPUTED_VALUE"""),73.0)</f>
        <v>73</v>
      </c>
      <c r="E4652" s="2"/>
      <c r="F4652" s="2"/>
    </row>
    <row r="4653">
      <c r="A4653" s="2">
        <f>IFERROR(__xludf.DUMMYFUNCTION("""COMPUTED_VALUE"""),17645.0)</f>
        <v>17645</v>
      </c>
      <c r="B4653" s="2">
        <f>IFERROR(__xludf.DUMMYFUNCTION("""COMPUTED_VALUE"""),1.0)</f>
        <v>1</v>
      </c>
      <c r="C4653" s="2">
        <f>IFERROR(__xludf.DUMMYFUNCTION("""COMPUTED_VALUE"""),387.0)</f>
        <v>387</v>
      </c>
      <c r="D4653" s="3">
        <f>IFERROR(__xludf.DUMMYFUNCTION("""COMPUTED_VALUE"""),385.0)</f>
        <v>385</v>
      </c>
      <c r="E4653" s="2"/>
      <c r="F4653" s="2"/>
    </row>
    <row r="4654">
      <c r="A4654" s="2">
        <f>IFERROR(__xludf.DUMMYFUNCTION("""COMPUTED_VALUE"""),78899.0)</f>
        <v>78899</v>
      </c>
      <c r="B4654" s="2">
        <f>IFERROR(__xludf.DUMMYFUNCTION("""COMPUTED_VALUE"""),1.0)</f>
        <v>1</v>
      </c>
      <c r="C4654" s="2">
        <f>IFERROR(__xludf.DUMMYFUNCTION("""COMPUTED_VALUE"""),90.0)</f>
        <v>90</v>
      </c>
      <c r="D4654" s="3">
        <f>IFERROR(__xludf.DUMMYFUNCTION("""COMPUTED_VALUE"""),32.0)</f>
        <v>32</v>
      </c>
      <c r="E4654" s="2"/>
      <c r="F4654" s="2"/>
    </row>
    <row r="4655">
      <c r="A4655" s="2">
        <f>IFERROR(__xludf.DUMMYFUNCTION("""COMPUTED_VALUE"""),71402.0)</f>
        <v>71402</v>
      </c>
      <c r="B4655" s="2">
        <f>IFERROR(__xludf.DUMMYFUNCTION("""COMPUTED_VALUE"""),0.0)</f>
        <v>0</v>
      </c>
      <c r="C4655" s="2">
        <f>IFERROR(__xludf.DUMMYFUNCTION("""COMPUTED_VALUE"""),210.0)</f>
        <v>210</v>
      </c>
      <c r="D4655" s="3">
        <f>IFERROR(__xludf.DUMMYFUNCTION("""COMPUTED_VALUE"""),47.0)</f>
        <v>47</v>
      </c>
      <c r="E4655" s="2"/>
      <c r="F4655" s="2"/>
    </row>
    <row r="4656">
      <c r="A4656" s="2">
        <f>IFERROR(__xludf.DUMMYFUNCTION("""COMPUTED_VALUE"""),12875.0)</f>
        <v>12875</v>
      </c>
      <c r="B4656" s="2">
        <f>IFERROR(__xludf.DUMMYFUNCTION("""COMPUTED_VALUE"""),0.0)</f>
        <v>0</v>
      </c>
      <c r="C4656" s="2">
        <f>IFERROR(__xludf.DUMMYFUNCTION("""COMPUTED_VALUE"""),784.0)</f>
        <v>784</v>
      </c>
      <c r="D4656" s="3">
        <f>IFERROR(__xludf.DUMMYFUNCTION("""COMPUTED_VALUE"""),183.0)</f>
        <v>183</v>
      </c>
      <c r="E4656" s="2"/>
      <c r="F4656" s="2"/>
    </row>
    <row r="4657">
      <c r="A4657" s="2">
        <f>IFERROR(__xludf.DUMMYFUNCTION("""COMPUTED_VALUE"""),17615.0)</f>
        <v>17615</v>
      </c>
      <c r="B4657" s="2">
        <f>IFERROR(__xludf.DUMMYFUNCTION("""COMPUTED_VALUE"""),0.0)</f>
        <v>0</v>
      </c>
      <c r="C4657" s="2">
        <f>IFERROR(__xludf.DUMMYFUNCTION("""COMPUTED_VALUE"""),553.0)</f>
        <v>553</v>
      </c>
      <c r="D4657" s="3">
        <f>IFERROR(__xludf.DUMMYFUNCTION("""COMPUTED_VALUE"""),269.0)</f>
        <v>269</v>
      </c>
      <c r="E4657" s="2"/>
      <c r="F4657" s="2"/>
    </row>
    <row r="4658">
      <c r="A4658" s="2">
        <f>IFERROR(__xludf.DUMMYFUNCTION("""COMPUTED_VALUE"""),193116.0)</f>
        <v>193116</v>
      </c>
      <c r="B4658" s="2">
        <f>IFERROR(__xludf.DUMMYFUNCTION("""COMPUTED_VALUE"""),1.0)</f>
        <v>1</v>
      </c>
      <c r="C4658" s="2">
        <f>IFERROR(__xludf.DUMMYFUNCTION("""COMPUTED_VALUE"""),647.0)</f>
        <v>647</v>
      </c>
      <c r="D4658" s="3">
        <f>IFERROR(__xludf.DUMMYFUNCTION("""COMPUTED_VALUE"""),365.0)</f>
        <v>365</v>
      </c>
      <c r="E4658" s="2"/>
      <c r="F4658" s="2"/>
    </row>
    <row r="4659">
      <c r="A4659" s="2">
        <f>IFERROR(__xludf.DUMMYFUNCTION("""COMPUTED_VALUE"""),72577.0)</f>
        <v>72577</v>
      </c>
      <c r="B4659" s="2">
        <f>IFERROR(__xludf.DUMMYFUNCTION("""COMPUTED_VALUE"""),0.0)</f>
        <v>0</v>
      </c>
      <c r="C4659" s="2">
        <f>IFERROR(__xludf.DUMMYFUNCTION("""COMPUTED_VALUE"""),435.0)</f>
        <v>435</v>
      </c>
      <c r="D4659" s="3">
        <f>IFERROR(__xludf.DUMMYFUNCTION("""COMPUTED_VALUE"""),402.0)</f>
        <v>402</v>
      </c>
      <c r="E4659" s="2"/>
      <c r="F4659" s="2"/>
    </row>
    <row r="4660">
      <c r="A4660" s="2">
        <f>IFERROR(__xludf.DUMMYFUNCTION("""COMPUTED_VALUE"""),78916.0)</f>
        <v>78916</v>
      </c>
      <c r="B4660" s="2">
        <f>IFERROR(__xludf.DUMMYFUNCTION("""COMPUTED_VALUE"""),0.0)</f>
        <v>0</v>
      </c>
      <c r="C4660" s="2">
        <f>IFERROR(__xludf.DUMMYFUNCTION("""COMPUTED_VALUE"""),87.0)</f>
        <v>87</v>
      </c>
      <c r="D4660" s="3">
        <f>IFERROR(__xludf.DUMMYFUNCTION("""COMPUTED_VALUE"""),58.0)</f>
        <v>58</v>
      </c>
      <c r="E4660" s="2"/>
      <c r="F4660" s="2"/>
    </row>
    <row r="4661">
      <c r="A4661" s="2">
        <f>IFERROR(__xludf.DUMMYFUNCTION("""COMPUTED_VALUE"""),71419.0)</f>
        <v>71419</v>
      </c>
      <c r="B4661" s="2">
        <f>IFERROR(__xludf.DUMMYFUNCTION("""COMPUTED_VALUE"""),0.0)</f>
        <v>0</v>
      </c>
      <c r="C4661" s="2">
        <f>IFERROR(__xludf.DUMMYFUNCTION("""COMPUTED_VALUE"""),139.0)</f>
        <v>139</v>
      </c>
      <c r="D4661" s="3">
        <f>IFERROR(__xludf.DUMMYFUNCTION("""COMPUTED_VALUE"""),103.0)</f>
        <v>103</v>
      </c>
      <c r="E4661" s="2"/>
      <c r="F4661" s="2"/>
    </row>
    <row r="4662">
      <c r="A4662" s="2">
        <f>IFERROR(__xludf.DUMMYFUNCTION("""COMPUTED_VALUE"""),188223.0)</f>
        <v>188223</v>
      </c>
      <c r="B4662" s="2">
        <f>IFERROR(__xludf.DUMMYFUNCTION("""COMPUTED_VALUE"""),0.0)</f>
        <v>0</v>
      </c>
      <c r="C4662" s="2">
        <f>IFERROR(__xludf.DUMMYFUNCTION("""COMPUTED_VALUE"""),617.0)</f>
        <v>617</v>
      </c>
      <c r="D4662" s="3">
        <f>IFERROR(__xludf.DUMMYFUNCTION("""COMPUTED_VALUE"""),71.0)</f>
        <v>71</v>
      </c>
      <c r="E4662" s="2"/>
      <c r="F4662" s="2"/>
    </row>
    <row r="4663">
      <c r="A4663" s="2">
        <f>IFERROR(__xludf.DUMMYFUNCTION("""COMPUTED_VALUE"""),71417.0)</f>
        <v>71417</v>
      </c>
      <c r="B4663" s="2">
        <f>IFERROR(__xludf.DUMMYFUNCTION("""COMPUTED_VALUE"""),1.0)</f>
        <v>1</v>
      </c>
      <c r="C4663" s="2">
        <f>IFERROR(__xludf.DUMMYFUNCTION("""COMPUTED_VALUE"""),308.0)</f>
        <v>308</v>
      </c>
      <c r="D4663" s="3">
        <f>IFERROR(__xludf.DUMMYFUNCTION("""COMPUTED_VALUE"""),297.0)</f>
        <v>297</v>
      </c>
      <c r="E4663" s="2"/>
      <c r="F4663" s="2"/>
    </row>
    <row r="4664">
      <c r="A4664" s="2">
        <f>IFERROR(__xludf.DUMMYFUNCTION("""COMPUTED_VALUE"""),46895.0)</f>
        <v>46895</v>
      </c>
      <c r="B4664" s="2">
        <f>IFERROR(__xludf.DUMMYFUNCTION("""COMPUTED_VALUE"""),0.0)</f>
        <v>0</v>
      </c>
      <c r="C4664" s="2">
        <f>IFERROR(__xludf.DUMMYFUNCTION("""COMPUTED_VALUE"""),453.0)</f>
        <v>453</v>
      </c>
      <c r="D4664" s="3">
        <f>IFERROR(__xludf.DUMMYFUNCTION("""COMPUTED_VALUE"""),369.0)</f>
        <v>369</v>
      </c>
      <c r="E4664" s="2"/>
      <c r="F4664" s="2"/>
    </row>
    <row r="4665">
      <c r="A4665" s="2">
        <f>IFERROR(__xludf.DUMMYFUNCTION("""COMPUTED_VALUE"""),86157.0)</f>
        <v>86157</v>
      </c>
      <c r="B4665" s="2">
        <f>IFERROR(__xludf.DUMMYFUNCTION("""COMPUTED_VALUE"""),1.0)</f>
        <v>1</v>
      </c>
      <c r="C4665" s="2">
        <f>IFERROR(__xludf.DUMMYFUNCTION("""COMPUTED_VALUE"""),132.0)</f>
        <v>132</v>
      </c>
      <c r="D4665" s="3">
        <f>IFERROR(__xludf.DUMMYFUNCTION("""COMPUTED_VALUE"""),46.0)</f>
        <v>46</v>
      </c>
      <c r="E4665" s="2"/>
      <c r="F4665" s="2"/>
    </row>
    <row r="4666">
      <c r="A4666" s="2">
        <f>IFERROR(__xludf.DUMMYFUNCTION("""COMPUTED_VALUE"""),159110.0)</f>
        <v>159110</v>
      </c>
      <c r="B4666" s="2">
        <f>IFERROR(__xludf.DUMMYFUNCTION("""COMPUTED_VALUE"""),1.0)</f>
        <v>1</v>
      </c>
      <c r="C4666" s="2">
        <f>IFERROR(__xludf.DUMMYFUNCTION("""COMPUTED_VALUE"""),361.0)</f>
        <v>361</v>
      </c>
      <c r="D4666" s="3">
        <f>IFERROR(__xludf.DUMMYFUNCTION("""COMPUTED_VALUE"""),351.0)</f>
        <v>351</v>
      </c>
      <c r="E4666" s="2"/>
      <c r="F4666" s="2"/>
    </row>
    <row r="4667">
      <c r="A4667" s="2">
        <f>IFERROR(__xludf.DUMMYFUNCTION("""COMPUTED_VALUE"""),46913.0)</f>
        <v>46913</v>
      </c>
      <c r="B4667" s="2">
        <f>IFERROR(__xludf.DUMMYFUNCTION("""COMPUTED_VALUE"""),0.0)</f>
        <v>0</v>
      </c>
      <c r="C4667" s="2">
        <f>IFERROR(__xludf.DUMMYFUNCTION("""COMPUTED_VALUE"""),597.0)</f>
        <v>597</v>
      </c>
      <c r="D4667" s="3">
        <f>IFERROR(__xludf.DUMMYFUNCTION("""COMPUTED_VALUE"""),80.0)</f>
        <v>80</v>
      </c>
      <c r="E4667" s="2"/>
      <c r="F4667" s="2"/>
    </row>
    <row r="4668">
      <c r="A4668" s="2">
        <f>IFERROR(__xludf.DUMMYFUNCTION("""COMPUTED_VALUE"""),71400.0)</f>
        <v>71400</v>
      </c>
      <c r="B4668" s="2">
        <f>IFERROR(__xludf.DUMMYFUNCTION("""COMPUTED_VALUE"""),1.0)</f>
        <v>1</v>
      </c>
      <c r="C4668" s="2">
        <f>IFERROR(__xludf.DUMMYFUNCTION("""COMPUTED_VALUE"""),200.0)</f>
        <v>200</v>
      </c>
      <c r="D4668" s="3">
        <f>IFERROR(__xludf.DUMMYFUNCTION("""COMPUTED_VALUE"""),89.0)</f>
        <v>89</v>
      </c>
      <c r="E4668" s="2"/>
      <c r="F4668" s="2"/>
    </row>
    <row r="4669">
      <c r="A4669" s="2">
        <f>IFERROR(__xludf.DUMMYFUNCTION("""COMPUTED_VALUE"""),46914.0)</f>
        <v>46914</v>
      </c>
      <c r="B4669" s="2">
        <f>IFERROR(__xludf.DUMMYFUNCTION("""COMPUTED_VALUE"""),0.0)</f>
        <v>0</v>
      </c>
      <c r="C4669" s="2">
        <f>IFERROR(__xludf.DUMMYFUNCTION("""COMPUTED_VALUE"""),177.0)</f>
        <v>177</v>
      </c>
      <c r="D4669" s="3">
        <f>IFERROR(__xludf.DUMMYFUNCTION("""COMPUTED_VALUE"""),93.0)</f>
        <v>93</v>
      </c>
      <c r="E4669" s="2"/>
      <c r="F4669" s="2"/>
    </row>
    <row r="4670">
      <c r="A4670" s="2">
        <f>IFERROR(__xludf.DUMMYFUNCTION("""COMPUTED_VALUE"""),120300.0)</f>
        <v>120300</v>
      </c>
      <c r="B4670" s="2">
        <f>IFERROR(__xludf.DUMMYFUNCTION("""COMPUTED_VALUE"""),0.0)</f>
        <v>0</v>
      </c>
      <c r="C4670" s="2">
        <f>IFERROR(__xludf.DUMMYFUNCTION("""COMPUTED_VALUE"""),325.0)</f>
        <v>325</v>
      </c>
      <c r="D4670" s="3">
        <f>IFERROR(__xludf.DUMMYFUNCTION("""COMPUTED_VALUE"""),285.0)</f>
        <v>285</v>
      </c>
      <c r="E4670" s="2"/>
      <c r="F4670" s="2"/>
    </row>
    <row r="4671">
      <c r="A4671" s="2">
        <f>IFERROR(__xludf.DUMMYFUNCTION("""COMPUTED_VALUE"""),71412.0)</f>
        <v>71412</v>
      </c>
      <c r="B4671" s="2">
        <f>IFERROR(__xludf.DUMMYFUNCTION("""COMPUTED_VALUE"""),1.0)</f>
        <v>1</v>
      </c>
      <c r="C4671" s="2">
        <f>IFERROR(__xludf.DUMMYFUNCTION("""COMPUTED_VALUE"""),739.0)</f>
        <v>739</v>
      </c>
      <c r="D4671" s="3">
        <f>IFERROR(__xludf.DUMMYFUNCTION("""COMPUTED_VALUE"""),437.0)</f>
        <v>437</v>
      </c>
      <c r="E4671" s="2"/>
      <c r="F4671" s="2"/>
    </row>
    <row r="4672">
      <c r="A4672" s="2">
        <f>IFERROR(__xludf.DUMMYFUNCTION("""COMPUTED_VALUE"""),71415.0)</f>
        <v>71415</v>
      </c>
      <c r="B4672" s="2">
        <f>IFERROR(__xludf.DUMMYFUNCTION("""COMPUTED_VALUE"""),0.0)</f>
        <v>0</v>
      </c>
      <c r="C4672" s="2">
        <f>IFERROR(__xludf.DUMMYFUNCTION("""COMPUTED_VALUE"""),744.0)</f>
        <v>744</v>
      </c>
      <c r="D4672" s="3">
        <f>IFERROR(__xludf.DUMMYFUNCTION("""COMPUTED_VALUE"""),259.0)</f>
        <v>259</v>
      </c>
      <c r="E4672" s="2"/>
      <c r="F4672" s="2"/>
    </row>
    <row r="4673">
      <c r="A4673" s="2">
        <f>IFERROR(__xludf.DUMMYFUNCTION("""COMPUTED_VALUE"""),71414.0)</f>
        <v>71414</v>
      </c>
      <c r="B4673" s="2">
        <f>IFERROR(__xludf.DUMMYFUNCTION("""COMPUTED_VALUE"""),0.0)</f>
        <v>0</v>
      </c>
      <c r="C4673" s="2">
        <f>IFERROR(__xludf.DUMMYFUNCTION("""COMPUTED_VALUE"""),196.0)</f>
        <v>196</v>
      </c>
      <c r="D4673" s="3">
        <f>IFERROR(__xludf.DUMMYFUNCTION("""COMPUTED_VALUE"""),112.0)</f>
        <v>112</v>
      </c>
      <c r="E4673" s="2"/>
      <c r="F4673" s="2"/>
    </row>
    <row r="4674">
      <c r="A4674" s="2">
        <f>IFERROR(__xludf.DUMMYFUNCTION("""COMPUTED_VALUE"""),10336.0)</f>
        <v>10336</v>
      </c>
      <c r="B4674" s="2">
        <f>IFERROR(__xludf.DUMMYFUNCTION("""COMPUTED_VALUE"""),0.0)</f>
        <v>0</v>
      </c>
      <c r="C4674" s="2">
        <f>IFERROR(__xludf.DUMMYFUNCTION("""COMPUTED_VALUE"""),300.0)</f>
        <v>300</v>
      </c>
      <c r="D4674" s="3">
        <f>IFERROR(__xludf.DUMMYFUNCTION("""COMPUTED_VALUE"""),40.0)</f>
        <v>40</v>
      </c>
      <c r="E4674" s="2"/>
      <c r="F4674" s="2"/>
    </row>
    <row r="4675">
      <c r="A4675" s="2">
        <f>IFERROR(__xludf.DUMMYFUNCTION("""COMPUTED_VALUE"""),125173.0)</f>
        <v>125173</v>
      </c>
      <c r="B4675" s="2">
        <f>IFERROR(__xludf.DUMMYFUNCTION("""COMPUTED_VALUE"""),0.0)</f>
        <v>0</v>
      </c>
      <c r="C4675" s="2">
        <f>IFERROR(__xludf.DUMMYFUNCTION("""COMPUTED_VALUE"""),264.0)</f>
        <v>264</v>
      </c>
      <c r="D4675" s="3">
        <f>IFERROR(__xludf.DUMMYFUNCTION("""COMPUTED_VALUE"""),138.0)</f>
        <v>138</v>
      </c>
      <c r="E4675" s="2"/>
      <c r="F4675" s="2"/>
    </row>
    <row r="4676">
      <c r="A4676" s="2">
        <f>IFERROR(__xludf.DUMMYFUNCTION("""COMPUTED_VALUE"""),112994.0)</f>
        <v>112994</v>
      </c>
      <c r="B4676" s="2">
        <f>IFERROR(__xludf.DUMMYFUNCTION("""COMPUTED_VALUE"""),0.0)</f>
        <v>0</v>
      </c>
      <c r="C4676" s="2">
        <f>IFERROR(__xludf.DUMMYFUNCTION("""COMPUTED_VALUE"""),56.0)</f>
        <v>56</v>
      </c>
      <c r="D4676" s="3">
        <f>IFERROR(__xludf.DUMMYFUNCTION("""COMPUTED_VALUE"""),12.0)</f>
        <v>12</v>
      </c>
      <c r="E4676" s="2"/>
      <c r="F4676" s="2"/>
    </row>
    <row r="4677">
      <c r="A4677" s="2">
        <f>IFERROR(__xludf.DUMMYFUNCTION("""COMPUTED_VALUE"""),125182.0)</f>
        <v>125182</v>
      </c>
      <c r="B4677" s="2">
        <f>IFERROR(__xludf.DUMMYFUNCTION("""COMPUTED_VALUE"""),1.0)</f>
        <v>1</v>
      </c>
      <c r="C4677" s="2">
        <f>IFERROR(__xludf.DUMMYFUNCTION("""COMPUTED_VALUE"""),892.0)</f>
        <v>892</v>
      </c>
      <c r="D4677" s="3">
        <f>IFERROR(__xludf.DUMMYFUNCTION("""COMPUTED_VALUE"""),864.0)</f>
        <v>864</v>
      </c>
      <c r="E4677" s="2"/>
      <c r="F4677" s="2"/>
    </row>
    <row r="4678">
      <c r="A4678" s="2">
        <f>IFERROR(__xludf.DUMMYFUNCTION("""COMPUTED_VALUE"""),121112.0)</f>
        <v>121112</v>
      </c>
      <c r="B4678" s="2">
        <f>IFERROR(__xludf.DUMMYFUNCTION("""COMPUTED_VALUE"""),1.0)</f>
        <v>1</v>
      </c>
      <c r="C4678" s="2">
        <f>IFERROR(__xludf.DUMMYFUNCTION("""COMPUTED_VALUE"""),794.0)</f>
        <v>794</v>
      </c>
      <c r="D4678" s="3">
        <f>IFERROR(__xludf.DUMMYFUNCTION("""COMPUTED_VALUE"""),124.0)</f>
        <v>124</v>
      </c>
      <c r="E4678" s="2"/>
      <c r="F4678" s="2"/>
    </row>
    <row r="4679">
      <c r="A4679" s="2">
        <f>IFERROR(__xludf.DUMMYFUNCTION("""COMPUTED_VALUE"""),125172.0)</f>
        <v>125172</v>
      </c>
      <c r="B4679" s="2">
        <f>IFERROR(__xludf.DUMMYFUNCTION("""COMPUTED_VALUE"""),0.0)</f>
        <v>0</v>
      </c>
      <c r="C4679" s="2">
        <f>IFERROR(__xludf.DUMMYFUNCTION("""COMPUTED_VALUE"""),182.0)</f>
        <v>182</v>
      </c>
      <c r="D4679" s="3">
        <f>IFERROR(__xludf.DUMMYFUNCTION("""COMPUTED_VALUE"""),169.0)</f>
        <v>169</v>
      </c>
      <c r="E4679" s="2"/>
      <c r="F4679" s="2"/>
    </row>
    <row r="4680">
      <c r="A4680" s="2">
        <f>IFERROR(__xludf.DUMMYFUNCTION("""COMPUTED_VALUE"""),125196.0)</f>
        <v>125196</v>
      </c>
      <c r="B4680" s="2">
        <f>IFERROR(__xludf.DUMMYFUNCTION("""COMPUTED_VALUE"""),0.0)</f>
        <v>0</v>
      </c>
      <c r="C4680" s="2">
        <f>IFERROR(__xludf.DUMMYFUNCTION("""COMPUTED_VALUE"""),393.0)</f>
        <v>393</v>
      </c>
      <c r="D4680" s="3">
        <f>IFERROR(__xludf.DUMMYFUNCTION("""COMPUTED_VALUE"""),152.0)</f>
        <v>152</v>
      </c>
      <c r="E4680" s="2"/>
      <c r="F4680" s="2"/>
    </row>
    <row r="4681">
      <c r="A4681" s="2">
        <f>IFERROR(__xludf.DUMMYFUNCTION("""COMPUTED_VALUE"""),125192.0)</f>
        <v>125192</v>
      </c>
      <c r="B4681" s="2">
        <f>IFERROR(__xludf.DUMMYFUNCTION("""COMPUTED_VALUE"""),1.0)</f>
        <v>1</v>
      </c>
      <c r="C4681" s="2">
        <f>IFERROR(__xludf.DUMMYFUNCTION("""COMPUTED_VALUE"""),864.0)</f>
        <v>864</v>
      </c>
      <c r="D4681" s="3">
        <f>IFERROR(__xludf.DUMMYFUNCTION("""COMPUTED_VALUE"""),560.0)</f>
        <v>560</v>
      </c>
      <c r="E4681" s="2"/>
      <c r="F4681" s="2"/>
    </row>
    <row r="4682">
      <c r="A4682" s="2">
        <f>IFERROR(__xludf.DUMMYFUNCTION("""COMPUTED_VALUE"""),125194.0)</f>
        <v>125194</v>
      </c>
      <c r="B4682" s="2">
        <f>IFERROR(__xludf.DUMMYFUNCTION("""COMPUTED_VALUE"""),0.0)</f>
        <v>0</v>
      </c>
      <c r="C4682" s="2">
        <f>IFERROR(__xludf.DUMMYFUNCTION("""COMPUTED_VALUE"""),627.0)</f>
        <v>627</v>
      </c>
      <c r="D4682" s="3">
        <f>IFERROR(__xludf.DUMMYFUNCTION("""COMPUTED_VALUE"""),167.0)</f>
        <v>167</v>
      </c>
      <c r="E4682" s="2"/>
      <c r="F4682" s="2"/>
    </row>
    <row r="4683">
      <c r="A4683" s="2">
        <f>IFERROR(__xludf.DUMMYFUNCTION("""COMPUTED_VALUE"""),125198.0)</f>
        <v>125198</v>
      </c>
      <c r="B4683" s="2">
        <f>IFERROR(__xludf.DUMMYFUNCTION("""COMPUTED_VALUE"""),1.0)</f>
        <v>1</v>
      </c>
      <c r="C4683" s="2">
        <f>IFERROR(__xludf.DUMMYFUNCTION("""COMPUTED_VALUE"""),399.0)</f>
        <v>399</v>
      </c>
      <c r="D4683" s="3">
        <f>IFERROR(__xludf.DUMMYFUNCTION("""COMPUTED_VALUE"""),126.0)</f>
        <v>126</v>
      </c>
      <c r="E4683" s="2"/>
      <c r="F4683" s="2"/>
    </row>
    <row r="4684">
      <c r="A4684" s="2">
        <f>IFERROR(__xludf.DUMMYFUNCTION("""COMPUTED_VALUE"""),111220.0)</f>
        <v>111220</v>
      </c>
      <c r="B4684" s="2">
        <f>IFERROR(__xludf.DUMMYFUNCTION("""COMPUTED_VALUE"""),0.0)</f>
        <v>0</v>
      </c>
      <c r="C4684" s="2">
        <f>IFERROR(__xludf.DUMMYFUNCTION("""COMPUTED_VALUE"""),170.0)</f>
        <v>170</v>
      </c>
      <c r="D4684" s="3">
        <f>IFERROR(__xludf.DUMMYFUNCTION("""COMPUTED_VALUE"""),37.0)</f>
        <v>37</v>
      </c>
      <c r="E4684" s="2"/>
      <c r="F4684" s="2"/>
    </row>
    <row r="4685">
      <c r="A4685" s="2">
        <f>IFERROR(__xludf.DUMMYFUNCTION("""COMPUTED_VALUE"""),105969.0)</f>
        <v>105969</v>
      </c>
      <c r="B4685" s="2">
        <f>IFERROR(__xludf.DUMMYFUNCTION("""COMPUTED_VALUE"""),1.0)</f>
        <v>1</v>
      </c>
      <c r="C4685" s="2">
        <f>IFERROR(__xludf.DUMMYFUNCTION("""COMPUTED_VALUE"""),122.0)</f>
        <v>122</v>
      </c>
      <c r="D4685" s="3">
        <f>IFERROR(__xludf.DUMMYFUNCTION("""COMPUTED_VALUE"""),49.0)</f>
        <v>49</v>
      </c>
      <c r="E4685" s="2"/>
      <c r="F4685" s="2"/>
    </row>
    <row r="4686">
      <c r="A4686" s="2">
        <f>IFERROR(__xludf.DUMMYFUNCTION("""COMPUTED_VALUE"""),105981.0)</f>
        <v>105981</v>
      </c>
      <c r="B4686" s="2">
        <f>IFERROR(__xludf.DUMMYFUNCTION("""COMPUTED_VALUE"""),0.0)</f>
        <v>0</v>
      </c>
      <c r="C4686" s="2">
        <f>IFERROR(__xludf.DUMMYFUNCTION("""COMPUTED_VALUE"""),660.0)</f>
        <v>660</v>
      </c>
      <c r="D4686" s="3">
        <f>IFERROR(__xludf.DUMMYFUNCTION("""COMPUTED_VALUE"""),56.0)</f>
        <v>56</v>
      </c>
      <c r="E4686" s="2"/>
      <c r="F4686" s="2"/>
    </row>
    <row r="4687">
      <c r="A4687" s="2">
        <f>IFERROR(__xludf.DUMMYFUNCTION("""COMPUTED_VALUE"""),125185.0)</f>
        <v>125185</v>
      </c>
      <c r="B4687" s="2">
        <f>IFERROR(__xludf.DUMMYFUNCTION("""COMPUTED_VALUE"""),1.0)</f>
        <v>1</v>
      </c>
      <c r="C4687" s="2">
        <f>IFERROR(__xludf.DUMMYFUNCTION("""COMPUTED_VALUE"""),218.0)</f>
        <v>218</v>
      </c>
      <c r="D4687" s="3">
        <f>IFERROR(__xludf.DUMMYFUNCTION("""COMPUTED_VALUE"""),158.0)</f>
        <v>158</v>
      </c>
      <c r="E4687" s="2"/>
      <c r="F4687" s="2"/>
    </row>
    <row r="4688">
      <c r="A4688" s="2">
        <f>IFERROR(__xludf.DUMMYFUNCTION("""COMPUTED_VALUE"""),111605.0)</f>
        <v>111605</v>
      </c>
      <c r="B4688" s="2">
        <f>IFERROR(__xludf.DUMMYFUNCTION("""COMPUTED_VALUE"""),0.0)</f>
        <v>0</v>
      </c>
      <c r="C4688" s="2">
        <f>IFERROR(__xludf.DUMMYFUNCTION("""COMPUTED_VALUE"""),246.0)</f>
        <v>246</v>
      </c>
      <c r="D4688" s="3">
        <f>IFERROR(__xludf.DUMMYFUNCTION("""COMPUTED_VALUE"""),208.0)</f>
        <v>208</v>
      </c>
      <c r="E4688" s="2"/>
      <c r="F4688" s="2"/>
    </row>
    <row r="4689">
      <c r="A4689" s="2">
        <f>IFERROR(__xludf.DUMMYFUNCTION("""COMPUTED_VALUE"""),111608.0)</f>
        <v>111608</v>
      </c>
      <c r="B4689" s="2">
        <f>IFERROR(__xludf.DUMMYFUNCTION("""COMPUTED_VALUE"""),1.0)</f>
        <v>1</v>
      </c>
      <c r="C4689" s="2">
        <f>IFERROR(__xludf.DUMMYFUNCTION("""COMPUTED_VALUE"""),459.0)</f>
        <v>459</v>
      </c>
      <c r="D4689" s="3">
        <f>IFERROR(__xludf.DUMMYFUNCTION("""COMPUTED_VALUE"""),38.0)</f>
        <v>38</v>
      </c>
      <c r="E4689" s="2"/>
      <c r="F4689" s="2"/>
    </row>
    <row r="4690">
      <c r="A4690" s="2">
        <f>IFERROR(__xludf.DUMMYFUNCTION("""COMPUTED_VALUE"""),97023.0)</f>
        <v>97023</v>
      </c>
      <c r="B4690" s="2">
        <f>IFERROR(__xludf.DUMMYFUNCTION("""COMPUTED_VALUE"""),1.0)</f>
        <v>1</v>
      </c>
      <c r="C4690" s="2">
        <f>IFERROR(__xludf.DUMMYFUNCTION("""COMPUTED_VALUE"""),80.0)</f>
        <v>80</v>
      </c>
      <c r="D4690" s="3">
        <f>IFERROR(__xludf.DUMMYFUNCTION("""COMPUTED_VALUE"""),10.0)</f>
        <v>10</v>
      </c>
      <c r="E4690" s="2"/>
      <c r="F4690" s="2"/>
    </row>
    <row r="4691">
      <c r="A4691" s="2">
        <f>IFERROR(__xludf.DUMMYFUNCTION("""COMPUTED_VALUE"""),111607.0)</f>
        <v>111607</v>
      </c>
      <c r="B4691" s="2">
        <f>IFERROR(__xludf.DUMMYFUNCTION("""COMPUTED_VALUE"""),1.0)</f>
        <v>1</v>
      </c>
      <c r="C4691" s="2">
        <f>IFERROR(__xludf.DUMMYFUNCTION("""COMPUTED_VALUE"""),35.0)</f>
        <v>35</v>
      </c>
      <c r="D4691" s="3">
        <f>IFERROR(__xludf.DUMMYFUNCTION("""COMPUTED_VALUE"""),27.0)</f>
        <v>27</v>
      </c>
      <c r="E4691" s="2"/>
      <c r="F4691" s="2"/>
    </row>
    <row r="4692">
      <c r="A4692" s="2">
        <f>IFERROR(__xludf.DUMMYFUNCTION("""COMPUTED_VALUE"""),71083.0)</f>
        <v>71083</v>
      </c>
      <c r="B4692" s="2">
        <f>IFERROR(__xludf.DUMMYFUNCTION("""COMPUTED_VALUE"""),1.0)</f>
        <v>1</v>
      </c>
      <c r="C4692" s="2">
        <f>IFERROR(__xludf.DUMMYFUNCTION("""COMPUTED_VALUE"""),659.0)</f>
        <v>659</v>
      </c>
      <c r="D4692" s="3">
        <f>IFERROR(__xludf.DUMMYFUNCTION("""COMPUTED_VALUE"""),247.0)</f>
        <v>247</v>
      </c>
      <c r="E4692" s="2"/>
      <c r="F4692" s="2"/>
    </row>
    <row r="4693">
      <c r="A4693" s="2">
        <f>IFERROR(__xludf.DUMMYFUNCTION("""COMPUTED_VALUE"""),118178.0)</f>
        <v>118178</v>
      </c>
      <c r="B4693" s="2">
        <f>IFERROR(__xludf.DUMMYFUNCTION("""COMPUTED_VALUE"""),0.0)</f>
        <v>0</v>
      </c>
      <c r="C4693" s="2">
        <f>IFERROR(__xludf.DUMMYFUNCTION("""COMPUTED_VALUE"""),634.0)</f>
        <v>634</v>
      </c>
      <c r="D4693" s="3">
        <f>IFERROR(__xludf.DUMMYFUNCTION("""COMPUTED_VALUE"""),0.0)</f>
        <v>0</v>
      </c>
      <c r="E4693" s="2"/>
      <c r="F4693" s="2"/>
    </row>
    <row r="4694">
      <c r="A4694" s="2">
        <f>IFERROR(__xludf.DUMMYFUNCTION("""COMPUTED_VALUE"""),81767.0)</f>
        <v>81767</v>
      </c>
      <c r="B4694" s="2">
        <f>IFERROR(__xludf.DUMMYFUNCTION("""COMPUTED_VALUE"""),0.0)</f>
        <v>0</v>
      </c>
      <c r="C4694" s="2">
        <f>IFERROR(__xludf.DUMMYFUNCTION("""COMPUTED_VALUE"""),848.0)</f>
        <v>848</v>
      </c>
      <c r="D4694" s="3">
        <f>IFERROR(__xludf.DUMMYFUNCTION("""COMPUTED_VALUE"""),129.0)</f>
        <v>129</v>
      </c>
      <c r="E4694" s="2"/>
      <c r="F4694" s="2"/>
    </row>
    <row r="4695">
      <c r="A4695" s="2">
        <f>IFERROR(__xludf.DUMMYFUNCTION("""COMPUTED_VALUE"""),118186.0)</f>
        <v>118186</v>
      </c>
      <c r="B4695" s="2">
        <f>IFERROR(__xludf.DUMMYFUNCTION("""COMPUTED_VALUE"""),0.0)</f>
        <v>0</v>
      </c>
      <c r="C4695" s="2">
        <f>IFERROR(__xludf.DUMMYFUNCTION("""COMPUTED_VALUE"""),636.0)</f>
        <v>636</v>
      </c>
      <c r="D4695" s="3">
        <f>IFERROR(__xludf.DUMMYFUNCTION("""COMPUTED_VALUE"""),306.0)</f>
        <v>306</v>
      </c>
      <c r="E4695" s="2"/>
      <c r="F4695" s="2"/>
    </row>
    <row r="4696">
      <c r="A4696" s="2">
        <f>IFERROR(__xludf.DUMMYFUNCTION("""COMPUTED_VALUE"""),43228.0)</f>
        <v>43228</v>
      </c>
      <c r="B4696" s="2">
        <f>IFERROR(__xludf.DUMMYFUNCTION("""COMPUTED_VALUE"""),1.0)</f>
        <v>1</v>
      </c>
      <c r="C4696" s="2">
        <f>IFERROR(__xludf.DUMMYFUNCTION("""COMPUTED_VALUE"""),655.0)</f>
        <v>655</v>
      </c>
      <c r="D4696" s="3">
        <f>IFERROR(__xludf.DUMMYFUNCTION("""COMPUTED_VALUE"""),246.0)</f>
        <v>246</v>
      </c>
      <c r="E4696" s="2"/>
      <c r="F4696" s="2"/>
    </row>
    <row r="4697">
      <c r="A4697" s="2">
        <f>IFERROR(__xludf.DUMMYFUNCTION("""COMPUTED_VALUE"""),199268.0)</f>
        <v>199268</v>
      </c>
      <c r="B4697" s="2">
        <f>IFERROR(__xludf.DUMMYFUNCTION("""COMPUTED_VALUE"""),1.0)</f>
        <v>1</v>
      </c>
      <c r="C4697" s="2">
        <f>IFERROR(__xludf.DUMMYFUNCTION("""COMPUTED_VALUE"""),363.0)</f>
        <v>363</v>
      </c>
      <c r="D4697" s="3">
        <f>IFERROR(__xludf.DUMMYFUNCTION("""COMPUTED_VALUE"""),289.0)</f>
        <v>289</v>
      </c>
      <c r="E4697" s="2"/>
      <c r="F4697" s="2"/>
    </row>
    <row r="4698">
      <c r="A4698" s="2">
        <f>IFERROR(__xludf.DUMMYFUNCTION("""COMPUTED_VALUE"""),118196.0)</f>
        <v>118196</v>
      </c>
      <c r="B4698" s="2">
        <f>IFERROR(__xludf.DUMMYFUNCTION("""COMPUTED_VALUE"""),0.0)</f>
        <v>0</v>
      </c>
      <c r="C4698" s="2">
        <f>IFERROR(__xludf.DUMMYFUNCTION("""COMPUTED_VALUE"""),312.0)</f>
        <v>312</v>
      </c>
      <c r="D4698" s="3">
        <f>IFERROR(__xludf.DUMMYFUNCTION("""COMPUTED_VALUE"""),143.0)</f>
        <v>143</v>
      </c>
      <c r="E4698" s="2"/>
      <c r="F4698" s="2"/>
    </row>
    <row r="4699">
      <c r="A4699" s="2">
        <f>IFERROR(__xludf.DUMMYFUNCTION("""COMPUTED_VALUE"""),71084.0)</f>
        <v>71084</v>
      </c>
      <c r="B4699" s="2">
        <f>IFERROR(__xludf.DUMMYFUNCTION("""COMPUTED_VALUE"""),1.0)</f>
        <v>1</v>
      </c>
      <c r="C4699" s="2">
        <f>IFERROR(__xludf.DUMMYFUNCTION("""COMPUTED_VALUE"""),906.0)</f>
        <v>906</v>
      </c>
      <c r="D4699" s="3">
        <f>IFERROR(__xludf.DUMMYFUNCTION("""COMPUTED_VALUE"""),253.0)</f>
        <v>253</v>
      </c>
      <c r="E4699" s="2"/>
      <c r="F4699" s="2"/>
    </row>
    <row r="4700">
      <c r="A4700" s="2">
        <f>IFERROR(__xludf.DUMMYFUNCTION("""COMPUTED_VALUE"""),120587.0)</f>
        <v>120587</v>
      </c>
      <c r="B4700" s="2">
        <f>IFERROR(__xludf.DUMMYFUNCTION("""COMPUTED_VALUE"""),1.0)</f>
        <v>1</v>
      </c>
      <c r="C4700" s="2">
        <f>IFERROR(__xludf.DUMMYFUNCTION("""COMPUTED_VALUE"""),881.0)</f>
        <v>881</v>
      </c>
      <c r="D4700" s="3">
        <f>IFERROR(__xludf.DUMMYFUNCTION("""COMPUTED_VALUE"""),816.0)</f>
        <v>816</v>
      </c>
      <c r="E4700" s="2"/>
      <c r="F4700" s="2"/>
    </row>
    <row r="4701">
      <c r="A4701" s="2">
        <f>IFERROR(__xludf.DUMMYFUNCTION("""COMPUTED_VALUE"""),80952.0)</f>
        <v>80952</v>
      </c>
      <c r="B4701" s="2">
        <f>IFERROR(__xludf.DUMMYFUNCTION("""COMPUTED_VALUE"""),0.0)</f>
        <v>0</v>
      </c>
      <c r="C4701" s="2">
        <f>IFERROR(__xludf.DUMMYFUNCTION("""COMPUTED_VALUE"""),705.0)</f>
        <v>705</v>
      </c>
      <c r="D4701" s="3">
        <f>IFERROR(__xludf.DUMMYFUNCTION("""COMPUTED_VALUE"""),180.0)</f>
        <v>180</v>
      </c>
      <c r="E4701" s="2"/>
      <c r="F4701" s="2"/>
    </row>
    <row r="4702">
      <c r="A4702" s="2">
        <f>IFERROR(__xludf.DUMMYFUNCTION("""COMPUTED_VALUE"""),120575.0)</f>
        <v>120575</v>
      </c>
      <c r="B4702" s="2">
        <f>IFERROR(__xludf.DUMMYFUNCTION("""COMPUTED_VALUE"""),0.0)</f>
        <v>0</v>
      </c>
      <c r="C4702" s="2">
        <f>IFERROR(__xludf.DUMMYFUNCTION("""COMPUTED_VALUE"""),422.0)</f>
        <v>422</v>
      </c>
      <c r="D4702" s="3">
        <f>IFERROR(__xludf.DUMMYFUNCTION("""COMPUTED_VALUE"""),279.0)</f>
        <v>279</v>
      </c>
      <c r="E4702" s="2"/>
      <c r="F4702" s="2"/>
    </row>
    <row r="4703">
      <c r="A4703" s="2">
        <f>IFERROR(__xludf.DUMMYFUNCTION("""COMPUTED_VALUE"""),43244.0)</f>
        <v>43244</v>
      </c>
      <c r="B4703" s="2">
        <f>IFERROR(__xludf.DUMMYFUNCTION("""COMPUTED_VALUE"""),1.0)</f>
        <v>1</v>
      </c>
      <c r="C4703" s="2">
        <f>IFERROR(__xludf.DUMMYFUNCTION("""COMPUTED_VALUE"""),771.0)</f>
        <v>771</v>
      </c>
      <c r="D4703" s="3">
        <f>IFERROR(__xludf.DUMMYFUNCTION("""COMPUTED_VALUE"""),532.0)</f>
        <v>532</v>
      </c>
      <c r="E4703" s="2"/>
      <c r="F4703" s="2"/>
    </row>
    <row r="4704">
      <c r="A4704" s="2">
        <f>IFERROR(__xludf.DUMMYFUNCTION("""COMPUTED_VALUE"""),116477.0)</f>
        <v>116477</v>
      </c>
      <c r="B4704" s="2">
        <f>IFERROR(__xludf.DUMMYFUNCTION("""COMPUTED_VALUE"""),1.0)</f>
        <v>1</v>
      </c>
      <c r="C4704" s="2">
        <f>IFERROR(__xludf.DUMMYFUNCTION("""COMPUTED_VALUE"""),218.0)</f>
        <v>218</v>
      </c>
      <c r="D4704" s="3">
        <f>IFERROR(__xludf.DUMMYFUNCTION("""COMPUTED_VALUE"""),162.0)</f>
        <v>162</v>
      </c>
      <c r="E4704" s="2"/>
      <c r="F4704" s="2"/>
    </row>
    <row r="4705">
      <c r="A4705" s="2">
        <f>IFERROR(__xludf.DUMMYFUNCTION("""COMPUTED_VALUE"""),110480.0)</f>
        <v>110480</v>
      </c>
      <c r="B4705" s="2">
        <f>IFERROR(__xludf.DUMMYFUNCTION("""COMPUTED_VALUE"""),0.0)</f>
        <v>0</v>
      </c>
      <c r="C4705" s="2">
        <f>IFERROR(__xludf.DUMMYFUNCTION("""COMPUTED_VALUE"""),537.0)</f>
        <v>537</v>
      </c>
      <c r="D4705" s="3">
        <f>IFERROR(__xludf.DUMMYFUNCTION("""COMPUTED_VALUE"""),412.0)</f>
        <v>412</v>
      </c>
      <c r="E4705" s="2"/>
      <c r="F4705" s="2"/>
    </row>
    <row r="4706">
      <c r="A4706" s="2">
        <f>IFERROR(__xludf.DUMMYFUNCTION("""COMPUTED_VALUE"""),87548.0)</f>
        <v>87548</v>
      </c>
      <c r="B4706" s="2">
        <f>IFERROR(__xludf.DUMMYFUNCTION("""COMPUTED_VALUE"""),1.0)</f>
        <v>1</v>
      </c>
      <c r="C4706" s="2">
        <f>IFERROR(__xludf.DUMMYFUNCTION("""COMPUTED_VALUE"""),831.0)</f>
        <v>831</v>
      </c>
      <c r="D4706" s="3">
        <f>IFERROR(__xludf.DUMMYFUNCTION("""COMPUTED_VALUE"""),382.0)</f>
        <v>382</v>
      </c>
      <c r="E4706" s="2"/>
      <c r="F4706" s="2"/>
    </row>
    <row r="4707">
      <c r="A4707" s="2">
        <f>IFERROR(__xludf.DUMMYFUNCTION("""COMPUTED_VALUE"""),77223.0)</f>
        <v>77223</v>
      </c>
      <c r="B4707" s="2">
        <f>IFERROR(__xludf.DUMMYFUNCTION("""COMPUTED_VALUE"""),1.0)</f>
        <v>1</v>
      </c>
      <c r="C4707" s="2">
        <f>IFERROR(__xludf.DUMMYFUNCTION("""COMPUTED_VALUE"""),956.0)</f>
        <v>956</v>
      </c>
      <c r="D4707" s="3">
        <f>IFERROR(__xludf.DUMMYFUNCTION("""COMPUTED_VALUE"""),493.0)</f>
        <v>493</v>
      </c>
      <c r="E4707" s="2"/>
      <c r="F4707" s="2"/>
    </row>
    <row r="4708">
      <c r="A4708" s="2">
        <f>IFERROR(__xludf.DUMMYFUNCTION("""COMPUTED_VALUE"""),43241.0)</f>
        <v>43241</v>
      </c>
      <c r="B4708" s="2">
        <f>IFERROR(__xludf.DUMMYFUNCTION("""COMPUTED_VALUE"""),1.0)</f>
        <v>1</v>
      </c>
      <c r="C4708" s="2">
        <f>IFERROR(__xludf.DUMMYFUNCTION("""COMPUTED_VALUE"""),208.0)</f>
        <v>208</v>
      </c>
      <c r="D4708" s="3">
        <f>IFERROR(__xludf.DUMMYFUNCTION("""COMPUTED_VALUE"""),74.0)</f>
        <v>74</v>
      </c>
      <c r="E4708" s="2"/>
      <c r="F4708" s="2"/>
    </row>
    <row r="4709">
      <c r="A4709" s="2">
        <f>IFERROR(__xludf.DUMMYFUNCTION("""COMPUTED_VALUE"""),71161.0)</f>
        <v>71161</v>
      </c>
      <c r="B4709" s="2">
        <f>IFERROR(__xludf.DUMMYFUNCTION("""COMPUTED_VALUE"""),1.0)</f>
        <v>1</v>
      </c>
      <c r="C4709" s="2">
        <f>IFERROR(__xludf.DUMMYFUNCTION("""COMPUTED_VALUE"""),661.0)</f>
        <v>661</v>
      </c>
      <c r="D4709" s="3">
        <f>IFERROR(__xludf.DUMMYFUNCTION("""COMPUTED_VALUE"""),253.0)</f>
        <v>253</v>
      </c>
      <c r="E4709" s="2"/>
      <c r="F4709" s="2"/>
    </row>
    <row r="4710">
      <c r="A4710" s="2">
        <f>IFERROR(__xludf.DUMMYFUNCTION("""COMPUTED_VALUE"""),77224.0)</f>
        <v>77224</v>
      </c>
      <c r="B4710" s="2">
        <f>IFERROR(__xludf.DUMMYFUNCTION("""COMPUTED_VALUE"""),0.0)</f>
        <v>0</v>
      </c>
      <c r="C4710" s="2">
        <f>IFERROR(__xludf.DUMMYFUNCTION("""COMPUTED_VALUE"""),698.0)</f>
        <v>698</v>
      </c>
      <c r="D4710" s="3">
        <f>IFERROR(__xludf.DUMMYFUNCTION("""COMPUTED_VALUE"""),73.0)</f>
        <v>73</v>
      </c>
      <c r="E4710" s="2"/>
      <c r="F4710" s="2"/>
    </row>
    <row r="4711">
      <c r="A4711" s="2">
        <f>IFERROR(__xludf.DUMMYFUNCTION("""COMPUTED_VALUE"""),113992.0)</f>
        <v>113992</v>
      </c>
      <c r="B4711" s="2">
        <f>IFERROR(__xludf.DUMMYFUNCTION("""COMPUTED_VALUE"""),0.0)</f>
        <v>0</v>
      </c>
      <c r="C4711" s="2">
        <f>IFERROR(__xludf.DUMMYFUNCTION("""COMPUTED_VALUE"""),186.0)</f>
        <v>186</v>
      </c>
      <c r="D4711" s="3">
        <f>IFERROR(__xludf.DUMMYFUNCTION("""COMPUTED_VALUE"""),96.0)</f>
        <v>96</v>
      </c>
      <c r="E4711" s="2"/>
      <c r="F4711" s="2"/>
    </row>
    <row r="4712">
      <c r="A4712" s="2">
        <f>IFERROR(__xludf.DUMMYFUNCTION("""COMPUTED_VALUE"""),112611.0)</f>
        <v>112611</v>
      </c>
      <c r="B4712" s="2">
        <f>IFERROR(__xludf.DUMMYFUNCTION("""COMPUTED_VALUE"""),1.0)</f>
        <v>1</v>
      </c>
      <c r="C4712" s="2">
        <f>IFERROR(__xludf.DUMMYFUNCTION("""COMPUTED_VALUE"""),345.0)</f>
        <v>345</v>
      </c>
      <c r="D4712" s="3">
        <f>IFERROR(__xludf.DUMMYFUNCTION("""COMPUTED_VALUE"""),99.0)</f>
        <v>99</v>
      </c>
      <c r="E4712" s="2"/>
      <c r="F4712" s="2"/>
    </row>
    <row r="4713">
      <c r="A4713" s="2">
        <f>IFERROR(__xludf.DUMMYFUNCTION("""COMPUTED_VALUE"""),116482.0)</f>
        <v>116482</v>
      </c>
      <c r="B4713" s="2">
        <f>IFERROR(__xludf.DUMMYFUNCTION("""COMPUTED_VALUE"""),0.0)</f>
        <v>0</v>
      </c>
      <c r="C4713" s="2">
        <f>IFERROR(__xludf.DUMMYFUNCTION("""COMPUTED_VALUE"""),539.0)</f>
        <v>539</v>
      </c>
      <c r="D4713" s="3">
        <f>IFERROR(__xludf.DUMMYFUNCTION("""COMPUTED_VALUE"""),146.0)</f>
        <v>146</v>
      </c>
      <c r="E4713" s="2"/>
      <c r="F4713" s="2"/>
    </row>
    <row r="4714">
      <c r="A4714" s="2">
        <f>IFERROR(__xludf.DUMMYFUNCTION("""COMPUTED_VALUE"""),77246.0)</f>
        <v>77246</v>
      </c>
      <c r="B4714" s="2">
        <f>IFERROR(__xludf.DUMMYFUNCTION("""COMPUTED_VALUE"""),1.0)</f>
        <v>1</v>
      </c>
      <c r="C4714" s="2">
        <f>IFERROR(__xludf.DUMMYFUNCTION("""COMPUTED_VALUE"""),153.0)</f>
        <v>153</v>
      </c>
      <c r="D4714" s="3">
        <f>IFERROR(__xludf.DUMMYFUNCTION("""COMPUTED_VALUE"""),68.0)</f>
        <v>68</v>
      </c>
      <c r="E4714" s="2"/>
      <c r="F4714" s="2"/>
    </row>
    <row r="4715">
      <c r="A4715" s="2">
        <f>IFERROR(__xludf.DUMMYFUNCTION("""COMPUTED_VALUE"""),122798.0)</f>
        <v>122798</v>
      </c>
      <c r="B4715" s="2">
        <f>IFERROR(__xludf.DUMMYFUNCTION("""COMPUTED_VALUE"""),1.0)</f>
        <v>1</v>
      </c>
      <c r="C4715" s="2">
        <f>IFERROR(__xludf.DUMMYFUNCTION("""COMPUTED_VALUE"""),301.0)</f>
        <v>301</v>
      </c>
      <c r="D4715" s="3">
        <f>IFERROR(__xludf.DUMMYFUNCTION("""COMPUTED_VALUE"""),67.0)</f>
        <v>67</v>
      </c>
      <c r="E4715" s="2"/>
      <c r="F4715" s="2"/>
    </row>
    <row r="4716">
      <c r="A4716" s="2">
        <f>IFERROR(__xludf.DUMMYFUNCTION("""COMPUTED_VALUE"""),120590.0)</f>
        <v>120590</v>
      </c>
      <c r="B4716" s="2">
        <f>IFERROR(__xludf.DUMMYFUNCTION("""COMPUTED_VALUE"""),0.0)</f>
        <v>0</v>
      </c>
      <c r="C4716" s="2">
        <f>IFERROR(__xludf.DUMMYFUNCTION("""COMPUTED_VALUE"""),172.0)</f>
        <v>172</v>
      </c>
      <c r="D4716" s="3">
        <f>IFERROR(__xludf.DUMMYFUNCTION("""COMPUTED_VALUE"""),74.0)</f>
        <v>74</v>
      </c>
      <c r="E4716" s="2"/>
      <c r="F4716" s="2"/>
    </row>
    <row r="4717">
      <c r="A4717" s="2">
        <f>IFERROR(__xludf.DUMMYFUNCTION("""COMPUTED_VALUE"""),71914.0)</f>
        <v>71914</v>
      </c>
      <c r="B4717" s="2">
        <f>IFERROR(__xludf.DUMMYFUNCTION("""COMPUTED_VALUE"""),0.0)</f>
        <v>0</v>
      </c>
      <c r="C4717" s="2">
        <f>IFERROR(__xludf.DUMMYFUNCTION("""COMPUTED_VALUE"""),955.0)</f>
        <v>955</v>
      </c>
      <c r="D4717" s="3">
        <f>IFERROR(__xludf.DUMMYFUNCTION("""COMPUTED_VALUE"""),722.0)</f>
        <v>722</v>
      </c>
      <c r="E4717" s="2"/>
      <c r="F4717" s="2"/>
    </row>
    <row r="4718">
      <c r="A4718" s="2">
        <f>IFERROR(__xludf.DUMMYFUNCTION("""COMPUTED_VALUE"""),118206.0)</f>
        <v>118206</v>
      </c>
      <c r="B4718" s="2">
        <f>IFERROR(__xludf.DUMMYFUNCTION("""COMPUTED_VALUE"""),1.0)</f>
        <v>1</v>
      </c>
      <c r="C4718" s="2">
        <f>IFERROR(__xludf.DUMMYFUNCTION("""COMPUTED_VALUE"""),194.0)</f>
        <v>194</v>
      </c>
      <c r="D4718" s="3">
        <f>IFERROR(__xludf.DUMMYFUNCTION("""COMPUTED_VALUE"""),190.0)</f>
        <v>190</v>
      </c>
      <c r="E4718" s="2"/>
      <c r="F4718" s="2"/>
    </row>
    <row r="4719">
      <c r="A4719" s="2">
        <f>IFERROR(__xludf.DUMMYFUNCTION("""COMPUTED_VALUE"""),118179.0)</f>
        <v>118179</v>
      </c>
      <c r="B4719" s="2">
        <f>IFERROR(__xludf.DUMMYFUNCTION("""COMPUTED_VALUE"""),0.0)</f>
        <v>0</v>
      </c>
      <c r="C4719" s="2">
        <f>IFERROR(__xludf.DUMMYFUNCTION("""COMPUTED_VALUE"""),564.0)</f>
        <v>564</v>
      </c>
      <c r="D4719" s="3">
        <f>IFERROR(__xludf.DUMMYFUNCTION("""COMPUTED_VALUE"""),100.0)</f>
        <v>100</v>
      </c>
      <c r="E4719" s="2"/>
      <c r="F4719" s="2"/>
    </row>
    <row r="4720">
      <c r="A4720" s="2">
        <f>IFERROR(__xludf.DUMMYFUNCTION("""COMPUTED_VALUE"""),43247.0)</f>
        <v>43247</v>
      </c>
      <c r="B4720" s="2">
        <f>IFERROR(__xludf.DUMMYFUNCTION("""COMPUTED_VALUE"""),1.0)</f>
        <v>1</v>
      </c>
      <c r="C4720" s="2">
        <f>IFERROR(__xludf.DUMMYFUNCTION("""COMPUTED_VALUE"""),505.0)</f>
        <v>505</v>
      </c>
      <c r="D4720" s="3">
        <f>IFERROR(__xludf.DUMMYFUNCTION("""COMPUTED_VALUE"""),365.0)</f>
        <v>365</v>
      </c>
      <c r="E4720" s="2"/>
      <c r="F4720" s="2"/>
    </row>
    <row r="4721">
      <c r="A4721" s="2">
        <f>IFERROR(__xludf.DUMMYFUNCTION("""COMPUTED_VALUE"""),71166.0)</f>
        <v>71166</v>
      </c>
      <c r="B4721" s="2">
        <f>IFERROR(__xludf.DUMMYFUNCTION("""COMPUTED_VALUE"""),1.0)</f>
        <v>1</v>
      </c>
      <c r="C4721" s="2">
        <f>IFERROR(__xludf.DUMMYFUNCTION("""COMPUTED_VALUE"""),636.0)</f>
        <v>636</v>
      </c>
      <c r="D4721" s="3">
        <f>IFERROR(__xludf.DUMMYFUNCTION("""COMPUTED_VALUE"""),180.0)</f>
        <v>180</v>
      </c>
      <c r="E4721" s="2"/>
      <c r="F4721" s="2"/>
    </row>
    <row r="4722">
      <c r="A4722" s="2">
        <f>IFERROR(__xludf.DUMMYFUNCTION("""COMPUTED_VALUE"""),43238.0)</f>
        <v>43238</v>
      </c>
      <c r="B4722" s="2">
        <f>IFERROR(__xludf.DUMMYFUNCTION("""COMPUTED_VALUE"""),1.0)</f>
        <v>1</v>
      </c>
      <c r="C4722" s="2">
        <f>IFERROR(__xludf.DUMMYFUNCTION("""COMPUTED_VALUE"""),524.0)</f>
        <v>524</v>
      </c>
      <c r="D4722" s="3">
        <f>IFERROR(__xludf.DUMMYFUNCTION("""COMPUTED_VALUE"""),282.0)</f>
        <v>282</v>
      </c>
      <c r="E4722" s="2"/>
      <c r="F4722" s="2"/>
    </row>
    <row r="4723">
      <c r="A4723" s="2">
        <f>IFERROR(__xludf.DUMMYFUNCTION("""COMPUTED_VALUE"""),114003.0)</f>
        <v>114003</v>
      </c>
      <c r="B4723" s="2">
        <f>IFERROR(__xludf.DUMMYFUNCTION("""COMPUTED_VALUE"""),0.0)</f>
        <v>0</v>
      </c>
      <c r="C4723" s="2">
        <f>IFERROR(__xludf.DUMMYFUNCTION("""COMPUTED_VALUE"""),516.0)</f>
        <v>516</v>
      </c>
      <c r="D4723" s="3">
        <f>IFERROR(__xludf.DUMMYFUNCTION("""COMPUTED_VALUE"""),307.0)</f>
        <v>307</v>
      </c>
      <c r="E4723" s="2"/>
      <c r="F4723" s="2"/>
    </row>
    <row r="4724">
      <c r="A4724" s="2">
        <f>IFERROR(__xludf.DUMMYFUNCTION("""COMPUTED_VALUE"""),87540.0)</f>
        <v>87540</v>
      </c>
      <c r="B4724" s="2">
        <f>IFERROR(__xludf.DUMMYFUNCTION("""COMPUTED_VALUE"""),1.0)</f>
        <v>1</v>
      </c>
      <c r="C4724" s="2">
        <f>IFERROR(__xludf.DUMMYFUNCTION("""COMPUTED_VALUE"""),46.0)</f>
        <v>46</v>
      </c>
      <c r="D4724" s="3">
        <f>IFERROR(__xludf.DUMMYFUNCTION("""COMPUTED_VALUE"""),7.0)</f>
        <v>7</v>
      </c>
      <c r="E4724" s="2"/>
      <c r="F4724" s="2"/>
    </row>
    <row r="4725">
      <c r="A4725" s="2">
        <f>IFERROR(__xludf.DUMMYFUNCTION("""COMPUTED_VALUE"""),77229.0)</f>
        <v>77229</v>
      </c>
      <c r="B4725" s="2">
        <f>IFERROR(__xludf.DUMMYFUNCTION("""COMPUTED_VALUE"""),1.0)</f>
        <v>1</v>
      </c>
      <c r="C4725" s="2">
        <f>IFERROR(__xludf.DUMMYFUNCTION("""COMPUTED_VALUE"""),732.0)</f>
        <v>732</v>
      </c>
      <c r="D4725" s="3">
        <f>IFERROR(__xludf.DUMMYFUNCTION("""COMPUTED_VALUE"""),358.0)</f>
        <v>358</v>
      </c>
      <c r="E4725" s="2"/>
      <c r="F4725" s="2"/>
    </row>
    <row r="4726">
      <c r="A4726" s="2">
        <f>IFERROR(__xludf.DUMMYFUNCTION("""COMPUTED_VALUE"""),113994.0)</f>
        <v>113994</v>
      </c>
      <c r="B4726" s="2">
        <f>IFERROR(__xludf.DUMMYFUNCTION("""COMPUTED_VALUE"""),1.0)</f>
        <v>1</v>
      </c>
      <c r="C4726" s="2">
        <f>IFERROR(__xludf.DUMMYFUNCTION("""COMPUTED_VALUE"""),372.0)</f>
        <v>372</v>
      </c>
      <c r="D4726" s="3">
        <f>IFERROR(__xludf.DUMMYFUNCTION("""COMPUTED_VALUE"""),269.0)</f>
        <v>269</v>
      </c>
      <c r="E4726" s="2"/>
      <c r="F4726" s="2"/>
    </row>
    <row r="4727">
      <c r="A4727" s="2">
        <f>IFERROR(__xludf.DUMMYFUNCTION("""COMPUTED_VALUE"""),106725.0)</f>
        <v>106725</v>
      </c>
      <c r="B4727" s="2">
        <f>IFERROR(__xludf.DUMMYFUNCTION("""COMPUTED_VALUE"""),1.0)</f>
        <v>1</v>
      </c>
      <c r="C4727" s="2">
        <f>IFERROR(__xludf.DUMMYFUNCTION("""COMPUTED_VALUE"""),182.0)</f>
        <v>182</v>
      </c>
      <c r="D4727" s="3">
        <f>IFERROR(__xludf.DUMMYFUNCTION("""COMPUTED_VALUE"""),112.0)</f>
        <v>112</v>
      </c>
      <c r="E4727" s="2"/>
      <c r="F4727" s="2"/>
    </row>
    <row r="4728">
      <c r="A4728" s="2">
        <f>IFERROR(__xludf.DUMMYFUNCTION("""COMPUTED_VALUE"""),43235.0)</f>
        <v>43235</v>
      </c>
      <c r="B4728" s="2">
        <f>IFERROR(__xludf.DUMMYFUNCTION("""COMPUTED_VALUE"""),0.0)</f>
        <v>0</v>
      </c>
      <c r="C4728" s="2">
        <f>IFERROR(__xludf.DUMMYFUNCTION("""COMPUTED_VALUE"""),611.0)</f>
        <v>611</v>
      </c>
      <c r="D4728" s="3">
        <f>IFERROR(__xludf.DUMMYFUNCTION("""COMPUTED_VALUE"""),536.0)</f>
        <v>536</v>
      </c>
      <c r="E4728" s="2"/>
      <c r="F4728" s="2"/>
    </row>
    <row r="4729">
      <c r="A4729" s="2">
        <f>IFERROR(__xludf.DUMMYFUNCTION("""COMPUTED_VALUE"""),118176.0)</f>
        <v>118176</v>
      </c>
      <c r="B4729" s="2">
        <f>IFERROR(__xludf.DUMMYFUNCTION("""COMPUTED_VALUE"""),0.0)</f>
        <v>0</v>
      </c>
      <c r="C4729" s="2">
        <f>IFERROR(__xludf.DUMMYFUNCTION("""COMPUTED_VALUE"""),567.0)</f>
        <v>567</v>
      </c>
      <c r="D4729" s="3">
        <f>IFERROR(__xludf.DUMMYFUNCTION("""COMPUTED_VALUE"""),483.0)</f>
        <v>483</v>
      </c>
      <c r="E4729" s="2"/>
      <c r="F4729" s="2"/>
    </row>
    <row r="4730">
      <c r="A4730" s="2">
        <f>IFERROR(__xludf.DUMMYFUNCTION("""COMPUTED_VALUE"""),114018.0)</f>
        <v>114018</v>
      </c>
      <c r="B4730" s="2">
        <f>IFERROR(__xludf.DUMMYFUNCTION("""COMPUTED_VALUE"""),0.0)</f>
        <v>0</v>
      </c>
      <c r="C4730" s="2">
        <f>IFERROR(__xludf.DUMMYFUNCTION("""COMPUTED_VALUE"""),290.0)</f>
        <v>290</v>
      </c>
      <c r="D4730" s="3">
        <f>IFERROR(__xludf.DUMMYFUNCTION("""COMPUTED_VALUE"""),251.0)</f>
        <v>251</v>
      </c>
      <c r="E4730" s="2"/>
      <c r="F4730" s="2"/>
    </row>
    <row r="4731">
      <c r="A4731" s="2">
        <f>IFERROR(__xludf.DUMMYFUNCTION("""COMPUTED_VALUE"""),116480.0)</f>
        <v>116480</v>
      </c>
      <c r="B4731" s="2">
        <f>IFERROR(__xludf.DUMMYFUNCTION("""COMPUTED_VALUE"""),0.0)</f>
        <v>0</v>
      </c>
      <c r="C4731" s="2">
        <f>IFERROR(__xludf.DUMMYFUNCTION("""COMPUTED_VALUE"""),265.0)</f>
        <v>265</v>
      </c>
      <c r="D4731" s="3">
        <f>IFERROR(__xludf.DUMMYFUNCTION("""COMPUTED_VALUE"""),89.0)</f>
        <v>89</v>
      </c>
      <c r="E4731" s="2"/>
      <c r="F4731" s="2"/>
    </row>
    <row r="4732">
      <c r="A4732" s="2">
        <f>IFERROR(__xludf.DUMMYFUNCTION("""COMPUTED_VALUE"""),120577.0)</f>
        <v>120577</v>
      </c>
      <c r="B4732" s="2">
        <f>IFERROR(__xludf.DUMMYFUNCTION("""COMPUTED_VALUE"""),0.0)</f>
        <v>0</v>
      </c>
      <c r="C4732" s="2">
        <f>IFERROR(__xludf.DUMMYFUNCTION("""COMPUTED_VALUE"""),342.0)</f>
        <v>342</v>
      </c>
      <c r="D4732" s="3">
        <f>IFERROR(__xludf.DUMMYFUNCTION("""COMPUTED_VALUE"""),339.0)</f>
        <v>339</v>
      </c>
      <c r="E4732" s="2"/>
      <c r="F4732" s="2"/>
    </row>
    <row r="4733">
      <c r="A4733" s="2">
        <f>IFERROR(__xludf.DUMMYFUNCTION("""COMPUTED_VALUE"""),118201.0)</f>
        <v>118201</v>
      </c>
      <c r="B4733" s="2">
        <f>IFERROR(__xludf.DUMMYFUNCTION("""COMPUTED_VALUE"""),1.0)</f>
        <v>1</v>
      </c>
      <c r="C4733" s="2">
        <f>IFERROR(__xludf.DUMMYFUNCTION("""COMPUTED_VALUE"""),215.0)</f>
        <v>215</v>
      </c>
      <c r="D4733" s="3">
        <f>IFERROR(__xludf.DUMMYFUNCTION("""COMPUTED_VALUE"""),140.0)</f>
        <v>140</v>
      </c>
      <c r="E4733" s="2"/>
      <c r="F4733" s="2"/>
    </row>
    <row r="4734">
      <c r="A4734" s="2">
        <f>IFERROR(__xludf.DUMMYFUNCTION("""COMPUTED_VALUE"""),77245.0)</f>
        <v>77245</v>
      </c>
      <c r="B4734" s="2">
        <f>IFERROR(__xludf.DUMMYFUNCTION("""COMPUTED_VALUE"""),1.0)</f>
        <v>1</v>
      </c>
      <c r="C4734" s="2">
        <f>IFERROR(__xludf.DUMMYFUNCTION("""COMPUTED_VALUE"""),543.0)</f>
        <v>543</v>
      </c>
      <c r="D4734" s="3">
        <f>IFERROR(__xludf.DUMMYFUNCTION("""COMPUTED_VALUE"""),480.0)</f>
        <v>480</v>
      </c>
      <c r="E4734" s="2"/>
      <c r="F4734" s="2"/>
    </row>
    <row r="4735">
      <c r="A4735" s="2">
        <f>IFERROR(__xludf.DUMMYFUNCTION("""COMPUTED_VALUE"""),118195.0)</f>
        <v>118195</v>
      </c>
      <c r="B4735" s="2">
        <f>IFERROR(__xludf.DUMMYFUNCTION("""COMPUTED_VALUE"""),1.0)</f>
        <v>1</v>
      </c>
      <c r="C4735" s="2">
        <f>IFERROR(__xludf.DUMMYFUNCTION("""COMPUTED_VALUE"""),294.0)</f>
        <v>294</v>
      </c>
      <c r="D4735" s="3">
        <f>IFERROR(__xludf.DUMMYFUNCTION("""COMPUTED_VALUE"""),21.0)</f>
        <v>21</v>
      </c>
      <c r="E4735" s="2"/>
      <c r="F4735" s="2"/>
    </row>
    <row r="4736">
      <c r="A4736" s="2">
        <f>IFERROR(__xludf.DUMMYFUNCTION("""COMPUTED_VALUE"""),118197.0)</f>
        <v>118197</v>
      </c>
      <c r="B4736" s="2">
        <f>IFERROR(__xludf.DUMMYFUNCTION("""COMPUTED_VALUE"""),1.0)</f>
        <v>1</v>
      </c>
      <c r="C4736" s="2">
        <f>IFERROR(__xludf.DUMMYFUNCTION("""COMPUTED_VALUE"""),434.0)</f>
        <v>434</v>
      </c>
      <c r="D4736" s="3">
        <f>IFERROR(__xludf.DUMMYFUNCTION("""COMPUTED_VALUE"""),58.0)</f>
        <v>58</v>
      </c>
      <c r="E4736" s="2"/>
      <c r="F4736" s="2"/>
    </row>
    <row r="4737">
      <c r="A4737" s="2">
        <f>IFERROR(__xludf.DUMMYFUNCTION("""COMPUTED_VALUE"""),187317.0)</f>
        <v>187317</v>
      </c>
      <c r="B4737" s="2">
        <f>IFERROR(__xludf.DUMMYFUNCTION("""COMPUTED_VALUE"""),0.0)</f>
        <v>0</v>
      </c>
      <c r="C4737" s="2">
        <f>IFERROR(__xludf.DUMMYFUNCTION("""COMPUTED_VALUE"""),474.0)</f>
        <v>474</v>
      </c>
      <c r="D4737" s="3">
        <f>IFERROR(__xludf.DUMMYFUNCTION("""COMPUTED_VALUE"""),273.0)</f>
        <v>273</v>
      </c>
      <c r="E4737" s="2"/>
      <c r="F4737" s="2"/>
    </row>
    <row r="4738">
      <c r="A4738" s="2">
        <f>IFERROR(__xludf.DUMMYFUNCTION("""COMPUTED_VALUE"""),199484.0)</f>
        <v>199484</v>
      </c>
      <c r="B4738" s="2">
        <f>IFERROR(__xludf.DUMMYFUNCTION("""COMPUTED_VALUE"""),1.0)</f>
        <v>1</v>
      </c>
      <c r="C4738" s="2">
        <f>IFERROR(__xludf.DUMMYFUNCTION("""COMPUTED_VALUE"""),852.0)</f>
        <v>852</v>
      </c>
      <c r="D4738" s="3">
        <f>IFERROR(__xludf.DUMMYFUNCTION("""COMPUTED_VALUE"""),770.0)</f>
        <v>770</v>
      </c>
      <c r="E4738" s="2"/>
      <c r="F4738" s="2"/>
    </row>
    <row r="4739">
      <c r="A4739" s="2">
        <f>IFERROR(__xludf.DUMMYFUNCTION("""COMPUTED_VALUE"""),113995.0)</f>
        <v>113995</v>
      </c>
      <c r="B4739" s="2">
        <f>IFERROR(__xludf.DUMMYFUNCTION("""COMPUTED_VALUE"""),0.0)</f>
        <v>0</v>
      </c>
      <c r="C4739" s="2">
        <f>IFERROR(__xludf.DUMMYFUNCTION("""COMPUTED_VALUE"""),896.0)</f>
        <v>896</v>
      </c>
      <c r="D4739" s="3">
        <f>IFERROR(__xludf.DUMMYFUNCTION("""COMPUTED_VALUE"""),781.0)</f>
        <v>781</v>
      </c>
      <c r="E4739" s="2"/>
      <c r="F4739" s="2"/>
    </row>
    <row r="4740">
      <c r="A4740" s="2">
        <f>IFERROR(__xludf.DUMMYFUNCTION("""COMPUTED_VALUE"""),113669.0)</f>
        <v>113669</v>
      </c>
      <c r="B4740" s="2">
        <f>IFERROR(__xludf.DUMMYFUNCTION("""COMPUTED_VALUE"""),0.0)</f>
        <v>0</v>
      </c>
      <c r="C4740" s="2">
        <f>IFERROR(__xludf.DUMMYFUNCTION("""COMPUTED_VALUE"""),418.0)</f>
        <v>418</v>
      </c>
      <c r="D4740" s="3">
        <f>IFERROR(__xludf.DUMMYFUNCTION("""COMPUTED_VALUE"""),229.0)</f>
        <v>229</v>
      </c>
      <c r="E4740" s="2"/>
      <c r="F4740" s="2"/>
    </row>
    <row r="4741">
      <c r="A4741" s="2">
        <f>IFERROR(__xludf.DUMMYFUNCTION("""COMPUTED_VALUE"""),111584.0)</f>
        <v>111584</v>
      </c>
      <c r="B4741" s="2">
        <f>IFERROR(__xludf.DUMMYFUNCTION("""COMPUTED_VALUE"""),0.0)</f>
        <v>0</v>
      </c>
      <c r="C4741" s="2">
        <f>IFERROR(__xludf.DUMMYFUNCTION("""COMPUTED_VALUE"""),747.0)</f>
        <v>747</v>
      </c>
      <c r="D4741" s="3">
        <f>IFERROR(__xludf.DUMMYFUNCTION("""COMPUTED_VALUE"""),611.0)</f>
        <v>611</v>
      </c>
      <c r="E4741" s="2"/>
      <c r="F4741" s="2"/>
    </row>
    <row r="4742">
      <c r="A4742" s="2">
        <f>IFERROR(__xludf.DUMMYFUNCTION("""COMPUTED_VALUE"""),26123.0)</f>
        <v>26123</v>
      </c>
      <c r="B4742" s="2">
        <f>IFERROR(__xludf.DUMMYFUNCTION("""COMPUTED_VALUE"""),0.0)</f>
        <v>0</v>
      </c>
      <c r="C4742" s="2">
        <f>IFERROR(__xludf.DUMMYFUNCTION("""COMPUTED_VALUE"""),135.0)</f>
        <v>135</v>
      </c>
      <c r="D4742" s="3">
        <f>IFERROR(__xludf.DUMMYFUNCTION("""COMPUTED_VALUE"""),79.0)</f>
        <v>79</v>
      </c>
      <c r="E4742" s="2"/>
      <c r="F4742" s="2"/>
    </row>
    <row r="4743">
      <c r="A4743" s="2">
        <f>IFERROR(__xludf.DUMMYFUNCTION("""COMPUTED_VALUE"""),113665.0)</f>
        <v>113665</v>
      </c>
      <c r="B4743" s="2">
        <f>IFERROR(__xludf.DUMMYFUNCTION("""COMPUTED_VALUE"""),0.0)</f>
        <v>0</v>
      </c>
      <c r="C4743" s="2">
        <f>IFERROR(__xludf.DUMMYFUNCTION("""COMPUTED_VALUE"""),888.0)</f>
        <v>888</v>
      </c>
      <c r="D4743" s="3">
        <f>IFERROR(__xludf.DUMMYFUNCTION("""COMPUTED_VALUE"""),697.0)</f>
        <v>697</v>
      </c>
      <c r="E4743" s="2"/>
      <c r="F4743" s="2"/>
    </row>
    <row r="4744">
      <c r="A4744" s="2">
        <f>IFERROR(__xludf.DUMMYFUNCTION("""COMPUTED_VALUE"""),181241.0)</f>
        <v>181241</v>
      </c>
      <c r="B4744" s="2">
        <f>IFERROR(__xludf.DUMMYFUNCTION("""COMPUTED_VALUE"""),1.0)</f>
        <v>1</v>
      </c>
      <c r="C4744" s="2">
        <f>IFERROR(__xludf.DUMMYFUNCTION("""COMPUTED_VALUE"""),779.0)</f>
        <v>779</v>
      </c>
      <c r="D4744" s="3">
        <f>IFERROR(__xludf.DUMMYFUNCTION("""COMPUTED_VALUE"""),505.0)</f>
        <v>505</v>
      </c>
      <c r="E4744" s="2"/>
      <c r="F4744" s="2"/>
    </row>
    <row r="4745">
      <c r="A4745" s="2">
        <f>IFERROR(__xludf.DUMMYFUNCTION("""COMPUTED_VALUE"""),113664.0)</f>
        <v>113664</v>
      </c>
      <c r="B4745" s="2">
        <f>IFERROR(__xludf.DUMMYFUNCTION("""COMPUTED_VALUE"""),1.0)</f>
        <v>1</v>
      </c>
      <c r="C4745" s="2">
        <f>IFERROR(__xludf.DUMMYFUNCTION("""COMPUTED_VALUE"""),217.0)</f>
        <v>217</v>
      </c>
      <c r="D4745" s="3">
        <f>IFERROR(__xludf.DUMMYFUNCTION("""COMPUTED_VALUE"""),105.0)</f>
        <v>105</v>
      </c>
      <c r="E4745" s="2"/>
      <c r="F4745" s="2"/>
    </row>
    <row r="4746">
      <c r="A4746" s="2">
        <f>IFERROR(__xludf.DUMMYFUNCTION("""COMPUTED_VALUE"""),113677.0)</f>
        <v>113677</v>
      </c>
      <c r="B4746" s="2">
        <f>IFERROR(__xludf.DUMMYFUNCTION("""COMPUTED_VALUE"""),0.0)</f>
        <v>0</v>
      </c>
      <c r="C4746" s="2">
        <f>IFERROR(__xludf.DUMMYFUNCTION("""COMPUTED_VALUE"""),425.0)</f>
        <v>425</v>
      </c>
      <c r="D4746" s="3">
        <f>IFERROR(__xludf.DUMMYFUNCTION("""COMPUTED_VALUE"""),333.0)</f>
        <v>333</v>
      </c>
      <c r="E4746" s="2"/>
      <c r="F4746" s="2"/>
    </row>
    <row r="4747">
      <c r="A4747" s="2">
        <f>IFERROR(__xludf.DUMMYFUNCTION("""COMPUTED_VALUE"""),120343.0)</f>
        <v>120343</v>
      </c>
      <c r="B4747" s="2">
        <f>IFERROR(__xludf.DUMMYFUNCTION("""COMPUTED_VALUE"""),1.0)</f>
        <v>1</v>
      </c>
      <c r="C4747" s="2">
        <f>IFERROR(__xludf.DUMMYFUNCTION("""COMPUTED_VALUE"""),511.0)</f>
        <v>511</v>
      </c>
      <c r="D4747" s="3">
        <f>IFERROR(__xludf.DUMMYFUNCTION("""COMPUTED_VALUE"""),134.0)</f>
        <v>134</v>
      </c>
      <c r="E4747" s="2"/>
      <c r="F4747" s="2"/>
    </row>
    <row r="4748">
      <c r="A4748" s="2">
        <f>IFERROR(__xludf.DUMMYFUNCTION("""COMPUTED_VALUE"""),113666.0)</f>
        <v>113666</v>
      </c>
      <c r="B4748" s="2">
        <f>IFERROR(__xludf.DUMMYFUNCTION("""COMPUTED_VALUE"""),1.0)</f>
        <v>1</v>
      </c>
      <c r="C4748" s="2">
        <f>IFERROR(__xludf.DUMMYFUNCTION("""COMPUTED_VALUE"""),819.0)</f>
        <v>819</v>
      </c>
      <c r="D4748" s="3">
        <f>IFERROR(__xludf.DUMMYFUNCTION("""COMPUTED_VALUE"""),516.0)</f>
        <v>516</v>
      </c>
      <c r="E4748" s="2"/>
      <c r="F4748" s="2"/>
    </row>
    <row r="4749">
      <c r="A4749" s="2">
        <f>IFERROR(__xludf.DUMMYFUNCTION("""COMPUTED_VALUE"""),113663.0)</f>
        <v>113663</v>
      </c>
      <c r="B4749" s="2">
        <f>IFERROR(__xludf.DUMMYFUNCTION("""COMPUTED_VALUE"""),1.0)</f>
        <v>1</v>
      </c>
      <c r="C4749" s="2">
        <f>IFERROR(__xludf.DUMMYFUNCTION("""COMPUTED_VALUE"""),408.0)</f>
        <v>408</v>
      </c>
      <c r="D4749" s="3">
        <f>IFERROR(__xludf.DUMMYFUNCTION("""COMPUTED_VALUE"""),375.0)</f>
        <v>375</v>
      </c>
      <c r="E4749" s="2"/>
      <c r="F4749" s="2"/>
    </row>
    <row r="4750">
      <c r="A4750" s="2">
        <f>IFERROR(__xludf.DUMMYFUNCTION("""COMPUTED_VALUE"""),116983.0)</f>
        <v>116983</v>
      </c>
      <c r="B4750" s="2">
        <f>IFERROR(__xludf.DUMMYFUNCTION("""COMPUTED_VALUE"""),1.0)</f>
        <v>1</v>
      </c>
      <c r="C4750" s="2">
        <f>IFERROR(__xludf.DUMMYFUNCTION("""COMPUTED_VALUE"""),160.0)</f>
        <v>160</v>
      </c>
      <c r="D4750" s="3">
        <f>IFERROR(__xludf.DUMMYFUNCTION("""COMPUTED_VALUE"""),144.0)</f>
        <v>144</v>
      </c>
      <c r="E4750" s="2"/>
      <c r="F4750" s="2"/>
    </row>
    <row r="4751">
      <c r="A4751" s="2">
        <f>IFERROR(__xludf.DUMMYFUNCTION("""COMPUTED_VALUE"""),94043.0)</f>
        <v>94043</v>
      </c>
      <c r="B4751" s="2">
        <f>IFERROR(__xludf.DUMMYFUNCTION("""COMPUTED_VALUE"""),0.0)</f>
        <v>0</v>
      </c>
      <c r="C4751" s="2">
        <f>IFERROR(__xludf.DUMMYFUNCTION("""COMPUTED_VALUE"""),249.0)</f>
        <v>249</v>
      </c>
      <c r="D4751" s="3">
        <f>IFERROR(__xludf.DUMMYFUNCTION("""COMPUTED_VALUE"""),223.0)</f>
        <v>223</v>
      </c>
      <c r="E4751" s="2"/>
      <c r="F4751" s="2"/>
    </row>
    <row r="4752">
      <c r="A4752" s="2">
        <f>IFERROR(__xludf.DUMMYFUNCTION("""COMPUTED_VALUE"""),68216.0)</f>
        <v>68216</v>
      </c>
      <c r="B4752" s="2">
        <f>IFERROR(__xludf.DUMMYFUNCTION("""COMPUTED_VALUE"""),0.0)</f>
        <v>0</v>
      </c>
      <c r="C4752" s="2">
        <f>IFERROR(__xludf.DUMMYFUNCTION("""COMPUTED_VALUE"""),614.0)</f>
        <v>614</v>
      </c>
      <c r="D4752" s="3">
        <f>IFERROR(__xludf.DUMMYFUNCTION("""COMPUTED_VALUE"""),390.0)</f>
        <v>390</v>
      </c>
      <c r="E4752" s="2"/>
      <c r="F4752" s="2"/>
    </row>
    <row r="4753">
      <c r="A4753" s="2">
        <f>IFERROR(__xludf.DUMMYFUNCTION("""COMPUTED_VALUE"""),80131.0)</f>
        <v>80131</v>
      </c>
      <c r="B4753" s="2">
        <f>IFERROR(__xludf.DUMMYFUNCTION("""COMPUTED_VALUE"""),0.0)</f>
        <v>0</v>
      </c>
      <c r="C4753" s="2">
        <f>IFERROR(__xludf.DUMMYFUNCTION("""COMPUTED_VALUE"""),821.0)</f>
        <v>821</v>
      </c>
      <c r="D4753" s="3">
        <f>IFERROR(__xludf.DUMMYFUNCTION("""COMPUTED_VALUE"""),731.0)</f>
        <v>731</v>
      </c>
      <c r="E4753" s="2"/>
      <c r="F4753" s="2"/>
    </row>
    <row r="4754">
      <c r="A4754" s="2">
        <f>IFERROR(__xludf.DUMMYFUNCTION("""COMPUTED_VALUE"""),80998.0)</f>
        <v>80998</v>
      </c>
      <c r="B4754" s="2">
        <f>IFERROR(__xludf.DUMMYFUNCTION("""COMPUTED_VALUE"""),0.0)</f>
        <v>0</v>
      </c>
      <c r="C4754" s="2">
        <f>IFERROR(__xludf.DUMMYFUNCTION("""COMPUTED_VALUE"""),715.0)</f>
        <v>715</v>
      </c>
      <c r="D4754" s="3">
        <f>IFERROR(__xludf.DUMMYFUNCTION("""COMPUTED_VALUE"""),480.0)</f>
        <v>480</v>
      </c>
      <c r="E4754" s="2"/>
      <c r="F4754" s="2"/>
    </row>
    <row r="4755">
      <c r="A4755" s="2">
        <f>IFERROR(__xludf.DUMMYFUNCTION("""COMPUTED_VALUE"""),87014.0)</f>
        <v>87014</v>
      </c>
      <c r="B4755" s="2">
        <f>IFERROR(__xludf.DUMMYFUNCTION("""COMPUTED_VALUE"""),0.0)</f>
        <v>0</v>
      </c>
      <c r="C4755" s="2">
        <f>IFERROR(__xludf.DUMMYFUNCTION("""COMPUTED_VALUE"""),847.0)</f>
        <v>847</v>
      </c>
      <c r="D4755" s="3">
        <f>IFERROR(__xludf.DUMMYFUNCTION("""COMPUTED_VALUE"""),672.0)</f>
        <v>672</v>
      </c>
      <c r="E4755" s="2"/>
      <c r="F4755" s="2"/>
    </row>
    <row r="4756">
      <c r="A4756" s="2">
        <f>IFERROR(__xludf.DUMMYFUNCTION("""COMPUTED_VALUE"""),102900.0)</f>
        <v>102900</v>
      </c>
      <c r="B4756" s="2">
        <f>IFERROR(__xludf.DUMMYFUNCTION("""COMPUTED_VALUE"""),0.0)</f>
        <v>0</v>
      </c>
      <c r="C4756" s="2">
        <f>IFERROR(__xludf.DUMMYFUNCTION("""COMPUTED_VALUE"""),895.0)</f>
        <v>895</v>
      </c>
      <c r="D4756" s="3">
        <f>IFERROR(__xludf.DUMMYFUNCTION("""COMPUTED_VALUE"""),376.0)</f>
        <v>376</v>
      </c>
      <c r="E4756" s="2"/>
      <c r="F4756" s="2"/>
    </row>
    <row r="4757">
      <c r="A4757" s="2">
        <f>IFERROR(__xludf.DUMMYFUNCTION("""COMPUTED_VALUE"""),80997.0)</f>
        <v>80997</v>
      </c>
      <c r="B4757" s="2">
        <f>IFERROR(__xludf.DUMMYFUNCTION("""COMPUTED_VALUE"""),1.0)</f>
        <v>1</v>
      </c>
      <c r="C4757" s="2">
        <f>IFERROR(__xludf.DUMMYFUNCTION("""COMPUTED_VALUE"""),34.0)</f>
        <v>34</v>
      </c>
      <c r="D4757" s="3">
        <f>IFERROR(__xludf.DUMMYFUNCTION("""COMPUTED_VALUE"""),21.0)</f>
        <v>21</v>
      </c>
      <c r="E4757" s="2"/>
      <c r="F4757" s="2"/>
    </row>
    <row r="4758">
      <c r="A4758" s="2">
        <f>IFERROR(__xludf.DUMMYFUNCTION("""COMPUTED_VALUE"""),116989.0)</f>
        <v>116989</v>
      </c>
      <c r="B4758" s="2">
        <f>IFERROR(__xludf.DUMMYFUNCTION("""COMPUTED_VALUE"""),1.0)</f>
        <v>1</v>
      </c>
      <c r="C4758" s="2">
        <f>IFERROR(__xludf.DUMMYFUNCTION("""COMPUTED_VALUE"""),44.0)</f>
        <v>44</v>
      </c>
      <c r="D4758" s="3">
        <f>IFERROR(__xludf.DUMMYFUNCTION("""COMPUTED_VALUE"""),40.0)</f>
        <v>40</v>
      </c>
      <c r="E4758" s="2"/>
      <c r="F4758" s="2"/>
    </row>
    <row r="4759">
      <c r="A4759" s="2">
        <f>IFERROR(__xludf.DUMMYFUNCTION("""COMPUTED_VALUE"""),43826.0)</f>
        <v>43826</v>
      </c>
      <c r="B4759" s="2">
        <f>IFERROR(__xludf.DUMMYFUNCTION("""COMPUTED_VALUE"""),0.0)</f>
        <v>0</v>
      </c>
      <c r="C4759" s="2">
        <f>IFERROR(__xludf.DUMMYFUNCTION("""COMPUTED_VALUE"""),481.0)</f>
        <v>481</v>
      </c>
      <c r="D4759" s="3">
        <f>IFERROR(__xludf.DUMMYFUNCTION("""COMPUTED_VALUE"""),106.0)</f>
        <v>106</v>
      </c>
      <c r="E4759" s="2"/>
      <c r="F4759" s="2"/>
    </row>
    <row r="4760">
      <c r="A4760" s="2">
        <f>IFERROR(__xludf.DUMMYFUNCTION("""COMPUTED_VALUE"""),8769.0)</f>
        <v>8769</v>
      </c>
      <c r="B4760" s="2">
        <f>IFERROR(__xludf.DUMMYFUNCTION("""COMPUTED_VALUE"""),1.0)</f>
        <v>1</v>
      </c>
      <c r="C4760" s="2">
        <f>IFERROR(__xludf.DUMMYFUNCTION("""COMPUTED_VALUE"""),776.0)</f>
        <v>776</v>
      </c>
      <c r="D4760" s="3">
        <f>IFERROR(__xludf.DUMMYFUNCTION("""COMPUTED_VALUE"""),205.0)</f>
        <v>205</v>
      </c>
      <c r="E4760" s="2"/>
      <c r="F4760" s="2"/>
    </row>
    <row r="4761">
      <c r="A4761" s="2">
        <f>IFERROR(__xludf.DUMMYFUNCTION("""COMPUTED_VALUE"""),104427.0)</f>
        <v>104427</v>
      </c>
      <c r="B4761" s="2">
        <f>IFERROR(__xludf.DUMMYFUNCTION("""COMPUTED_VALUE"""),0.0)</f>
        <v>0</v>
      </c>
      <c r="C4761" s="2">
        <f>IFERROR(__xludf.DUMMYFUNCTION("""COMPUTED_VALUE"""),259.0)</f>
        <v>259</v>
      </c>
      <c r="D4761" s="3">
        <f>IFERROR(__xludf.DUMMYFUNCTION("""COMPUTED_VALUE"""),25.0)</f>
        <v>25</v>
      </c>
      <c r="E4761" s="2"/>
      <c r="F4761" s="2"/>
    </row>
    <row r="4762">
      <c r="A4762" s="2">
        <f>IFERROR(__xludf.DUMMYFUNCTION("""COMPUTED_VALUE"""),8770.0)</f>
        <v>8770</v>
      </c>
      <c r="B4762" s="2">
        <f>IFERROR(__xludf.DUMMYFUNCTION("""COMPUTED_VALUE"""),0.0)</f>
        <v>0</v>
      </c>
      <c r="C4762" s="2">
        <f>IFERROR(__xludf.DUMMYFUNCTION("""COMPUTED_VALUE"""),175.0)</f>
        <v>175</v>
      </c>
      <c r="D4762" s="3">
        <f>IFERROR(__xludf.DUMMYFUNCTION("""COMPUTED_VALUE"""),109.0)</f>
        <v>109</v>
      </c>
      <c r="E4762" s="2"/>
      <c r="F4762" s="2"/>
    </row>
    <row r="4763">
      <c r="A4763" s="2">
        <f>IFERROR(__xludf.DUMMYFUNCTION("""COMPUTED_VALUE"""),94930.0)</f>
        <v>94930</v>
      </c>
      <c r="B4763" s="2">
        <f>IFERROR(__xludf.DUMMYFUNCTION("""COMPUTED_VALUE"""),0.0)</f>
        <v>0</v>
      </c>
      <c r="C4763" s="2">
        <f>IFERROR(__xludf.DUMMYFUNCTION("""COMPUTED_VALUE"""),184.0)</f>
        <v>184</v>
      </c>
      <c r="D4763" s="3">
        <f>IFERROR(__xludf.DUMMYFUNCTION("""COMPUTED_VALUE"""),62.0)</f>
        <v>62</v>
      </c>
      <c r="E4763" s="2"/>
      <c r="F4763" s="2"/>
    </row>
    <row r="4764">
      <c r="A4764" s="2">
        <f>IFERROR(__xludf.DUMMYFUNCTION("""COMPUTED_VALUE"""),111576.0)</f>
        <v>111576</v>
      </c>
      <c r="B4764" s="2">
        <f>IFERROR(__xludf.DUMMYFUNCTION("""COMPUTED_VALUE"""),1.0)</f>
        <v>1</v>
      </c>
      <c r="C4764" s="2">
        <f>IFERROR(__xludf.DUMMYFUNCTION("""COMPUTED_VALUE"""),372.0)</f>
        <v>372</v>
      </c>
      <c r="D4764" s="3">
        <f>IFERROR(__xludf.DUMMYFUNCTION("""COMPUTED_VALUE"""),12.0)</f>
        <v>12</v>
      </c>
      <c r="E4764" s="2"/>
      <c r="F4764" s="2"/>
    </row>
    <row r="4765">
      <c r="A4765" s="2">
        <f>IFERROR(__xludf.DUMMYFUNCTION("""COMPUTED_VALUE"""),71715.0)</f>
        <v>71715</v>
      </c>
      <c r="B4765" s="2">
        <f>IFERROR(__xludf.DUMMYFUNCTION("""COMPUTED_VALUE"""),0.0)</f>
        <v>0</v>
      </c>
      <c r="C4765" s="2">
        <f>IFERROR(__xludf.DUMMYFUNCTION("""COMPUTED_VALUE"""),859.0)</f>
        <v>859</v>
      </c>
      <c r="D4765" s="3">
        <f>IFERROR(__xludf.DUMMYFUNCTION("""COMPUTED_VALUE"""),380.0)</f>
        <v>380</v>
      </c>
      <c r="E4765" s="2"/>
      <c r="F4765" s="2"/>
    </row>
    <row r="4766">
      <c r="A4766" s="2">
        <f>IFERROR(__xludf.DUMMYFUNCTION("""COMPUTED_VALUE"""),71710.0)</f>
        <v>71710</v>
      </c>
      <c r="B4766" s="2">
        <f>IFERROR(__xludf.DUMMYFUNCTION("""COMPUTED_VALUE"""),1.0)</f>
        <v>1</v>
      </c>
      <c r="C4766" s="2">
        <f>IFERROR(__xludf.DUMMYFUNCTION("""COMPUTED_VALUE"""),428.0)</f>
        <v>428</v>
      </c>
      <c r="D4766" s="3">
        <f>IFERROR(__xludf.DUMMYFUNCTION("""COMPUTED_VALUE"""),61.0)</f>
        <v>61</v>
      </c>
      <c r="E4766" s="2"/>
      <c r="F4766" s="2"/>
    </row>
    <row r="4767">
      <c r="A4767" s="2">
        <f>IFERROR(__xludf.DUMMYFUNCTION("""COMPUTED_VALUE"""),102790.0)</f>
        <v>102790</v>
      </c>
      <c r="B4767" s="2">
        <f>IFERROR(__xludf.DUMMYFUNCTION("""COMPUTED_VALUE"""),1.0)</f>
        <v>1</v>
      </c>
      <c r="C4767" s="2">
        <f>IFERROR(__xludf.DUMMYFUNCTION("""COMPUTED_VALUE"""),913.0)</f>
        <v>913</v>
      </c>
      <c r="D4767" s="3">
        <f>IFERROR(__xludf.DUMMYFUNCTION("""COMPUTED_VALUE"""),538.0)</f>
        <v>538</v>
      </c>
      <c r="E4767" s="2"/>
      <c r="F4767" s="2"/>
    </row>
    <row r="4768">
      <c r="A4768" s="2">
        <f>IFERROR(__xludf.DUMMYFUNCTION("""COMPUTED_VALUE"""),3518.0)</f>
        <v>3518</v>
      </c>
      <c r="B4768" s="2">
        <f>IFERROR(__xludf.DUMMYFUNCTION("""COMPUTED_VALUE"""),1.0)</f>
        <v>1</v>
      </c>
      <c r="C4768" s="2">
        <f>IFERROR(__xludf.DUMMYFUNCTION("""COMPUTED_VALUE"""),642.0)</f>
        <v>642</v>
      </c>
      <c r="D4768" s="3">
        <f>IFERROR(__xludf.DUMMYFUNCTION("""COMPUTED_VALUE"""),637.0)</f>
        <v>637</v>
      </c>
      <c r="E4768" s="2"/>
      <c r="F4768" s="2"/>
    </row>
    <row r="4769">
      <c r="A4769" s="2">
        <f>IFERROR(__xludf.DUMMYFUNCTION("""COMPUTED_VALUE"""),18318.0)</f>
        <v>18318</v>
      </c>
      <c r="B4769" s="2">
        <f>IFERROR(__xludf.DUMMYFUNCTION("""COMPUTED_VALUE"""),1.0)</f>
        <v>1</v>
      </c>
      <c r="C4769" s="2">
        <f>IFERROR(__xludf.DUMMYFUNCTION("""COMPUTED_VALUE"""),508.0)</f>
        <v>508</v>
      </c>
      <c r="D4769" s="3">
        <f>IFERROR(__xludf.DUMMYFUNCTION("""COMPUTED_VALUE"""),504.0)</f>
        <v>504</v>
      </c>
      <c r="E4769" s="2"/>
      <c r="F4769" s="2"/>
    </row>
    <row r="4770">
      <c r="A4770" s="2">
        <f>IFERROR(__xludf.DUMMYFUNCTION("""COMPUTED_VALUE"""),104220.0)</f>
        <v>104220</v>
      </c>
      <c r="B4770" s="2">
        <f>IFERROR(__xludf.DUMMYFUNCTION("""COMPUTED_VALUE"""),0.0)</f>
        <v>0</v>
      </c>
      <c r="C4770" s="2">
        <f>IFERROR(__xludf.DUMMYFUNCTION("""COMPUTED_VALUE"""),977.0)</f>
        <v>977</v>
      </c>
      <c r="D4770" s="3">
        <f>IFERROR(__xludf.DUMMYFUNCTION("""COMPUTED_VALUE"""),486.0)</f>
        <v>486</v>
      </c>
      <c r="E4770" s="2"/>
      <c r="F4770" s="2"/>
    </row>
    <row r="4771">
      <c r="A4771" s="2">
        <f>IFERROR(__xludf.DUMMYFUNCTION("""COMPUTED_VALUE"""),106109.0)</f>
        <v>106109</v>
      </c>
      <c r="B4771" s="2">
        <f>IFERROR(__xludf.DUMMYFUNCTION("""COMPUTED_VALUE"""),1.0)</f>
        <v>1</v>
      </c>
      <c r="C4771" s="2">
        <f>IFERROR(__xludf.DUMMYFUNCTION("""COMPUTED_VALUE"""),595.0)</f>
        <v>595</v>
      </c>
      <c r="D4771" s="3">
        <f>IFERROR(__xludf.DUMMYFUNCTION("""COMPUTED_VALUE"""),542.0)</f>
        <v>542</v>
      </c>
      <c r="E4771" s="2"/>
      <c r="F4771" s="2"/>
    </row>
    <row r="4772">
      <c r="A4772" s="2">
        <f>IFERROR(__xludf.DUMMYFUNCTION("""COMPUTED_VALUE"""),72162.0)</f>
        <v>72162</v>
      </c>
      <c r="B4772" s="2">
        <f>IFERROR(__xludf.DUMMYFUNCTION("""COMPUTED_VALUE"""),1.0)</f>
        <v>1</v>
      </c>
      <c r="C4772" s="2">
        <f>IFERROR(__xludf.DUMMYFUNCTION("""COMPUTED_VALUE"""),360.0)</f>
        <v>360</v>
      </c>
      <c r="D4772" s="3">
        <f>IFERROR(__xludf.DUMMYFUNCTION("""COMPUTED_VALUE"""),317.0)</f>
        <v>317</v>
      </c>
      <c r="E4772" s="2"/>
      <c r="F4772" s="2"/>
    </row>
    <row r="4773">
      <c r="A4773" s="2">
        <f>IFERROR(__xludf.DUMMYFUNCTION("""COMPUTED_VALUE"""),104410.0)</f>
        <v>104410</v>
      </c>
      <c r="B4773" s="2">
        <f>IFERROR(__xludf.DUMMYFUNCTION("""COMPUTED_VALUE"""),0.0)</f>
        <v>0</v>
      </c>
      <c r="C4773" s="2">
        <f>IFERROR(__xludf.DUMMYFUNCTION("""COMPUTED_VALUE"""),448.0)</f>
        <v>448</v>
      </c>
      <c r="D4773" s="3">
        <f>IFERROR(__xludf.DUMMYFUNCTION("""COMPUTED_VALUE"""),48.0)</f>
        <v>48</v>
      </c>
      <c r="E4773" s="2"/>
      <c r="F4773" s="2"/>
    </row>
    <row r="4774">
      <c r="A4774" s="2">
        <f>IFERROR(__xludf.DUMMYFUNCTION("""COMPUTED_VALUE"""),88825.0)</f>
        <v>88825</v>
      </c>
      <c r="B4774" s="2">
        <f>IFERROR(__xludf.DUMMYFUNCTION("""COMPUTED_VALUE"""),1.0)</f>
        <v>1</v>
      </c>
      <c r="C4774" s="2">
        <f>IFERROR(__xludf.DUMMYFUNCTION("""COMPUTED_VALUE"""),536.0)</f>
        <v>536</v>
      </c>
      <c r="D4774" s="3">
        <f>IFERROR(__xludf.DUMMYFUNCTION("""COMPUTED_VALUE"""),153.0)</f>
        <v>153</v>
      </c>
      <c r="E4774" s="2"/>
      <c r="F4774" s="2"/>
    </row>
    <row r="4775">
      <c r="A4775" s="2">
        <f>IFERROR(__xludf.DUMMYFUNCTION("""COMPUTED_VALUE"""),13928.0)</f>
        <v>13928</v>
      </c>
      <c r="B4775" s="2">
        <f>IFERROR(__xludf.DUMMYFUNCTION("""COMPUTED_VALUE"""),0.0)</f>
        <v>0</v>
      </c>
      <c r="C4775" s="2">
        <f>IFERROR(__xludf.DUMMYFUNCTION("""COMPUTED_VALUE"""),186.0)</f>
        <v>186</v>
      </c>
      <c r="D4775" s="3">
        <f>IFERROR(__xludf.DUMMYFUNCTION("""COMPUTED_VALUE"""),141.0)</f>
        <v>141</v>
      </c>
      <c r="E4775" s="2"/>
      <c r="F4775" s="2"/>
    </row>
    <row r="4776">
      <c r="A4776" s="2">
        <f>IFERROR(__xludf.DUMMYFUNCTION("""COMPUTED_VALUE"""),45368.0)</f>
        <v>45368</v>
      </c>
      <c r="B4776" s="2">
        <f>IFERROR(__xludf.DUMMYFUNCTION("""COMPUTED_VALUE"""),1.0)</f>
        <v>1</v>
      </c>
      <c r="C4776" s="2">
        <f>IFERROR(__xludf.DUMMYFUNCTION("""COMPUTED_VALUE"""),4.0)</f>
        <v>4</v>
      </c>
      <c r="D4776" s="3">
        <f>IFERROR(__xludf.DUMMYFUNCTION("""COMPUTED_VALUE"""),1.0)</f>
        <v>1</v>
      </c>
      <c r="E4776" s="2"/>
      <c r="F4776" s="2"/>
    </row>
    <row r="4777">
      <c r="A4777" s="2">
        <f>IFERROR(__xludf.DUMMYFUNCTION("""COMPUTED_VALUE"""),119732.0)</f>
        <v>119732</v>
      </c>
      <c r="B4777" s="2">
        <f>IFERROR(__xludf.DUMMYFUNCTION("""COMPUTED_VALUE"""),1.0)</f>
        <v>1</v>
      </c>
      <c r="C4777" s="2">
        <f>IFERROR(__xludf.DUMMYFUNCTION("""COMPUTED_VALUE"""),290.0)</f>
        <v>290</v>
      </c>
      <c r="D4777" s="3">
        <f>IFERROR(__xludf.DUMMYFUNCTION("""COMPUTED_VALUE"""),249.0)</f>
        <v>249</v>
      </c>
      <c r="E4777" s="2"/>
      <c r="F4777" s="2"/>
    </row>
    <row r="4778">
      <c r="A4778" s="2">
        <f>IFERROR(__xludf.DUMMYFUNCTION("""COMPUTED_VALUE"""),90467.0)</f>
        <v>90467</v>
      </c>
      <c r="B4778" s="2">
        <f>IFERROR(__xludf.DUMMYFUNCTION("""COMPUTED_VALUE"""),0.0)</f>
        <v>0</v>
      </c>
      <c r="C4778" s="2">
        <f>IFERROR(__xludf.DUMMYFUNCTION("""COMPUTED_VALUE"""),102.0)</f>
        <v>102</v>
      </c>
      <c r="D4778" s="3">
        <f>IFERROR(__xludf.DUMMYFUNCTION("""COMPUTED_VALUE"""),80.0)</f>
        <v>80</v>
      </c>
      <c r="E4778" s="2"/>
      <c r="F4778" s="2"/>
    </row>
    <row r="4779">
      <c r="A4779" s="2">
        <f>IFERROR(__xludf.DUMMYFUNCTION("""COMPUTED_VALUE"""),119874.0)</f>
        <v>119874</v>
      </c>
      <c r="B4779" s="2">
        <f>IFERROR(__xludf.DUMMYFUNCTION("""COMPUTED_VALUE"""),0.0)</f>
        <v>0</v>
      </c>
      <c r="C4779" s="2">
        <f>IFERROR(__xludf.DUMMYFUNCTION("""COMPUTED_VALUE"""),720.0)</f>
        <v>720</v>
      </c>
      <c r="D4779" s="3">
        <f>IFERROR(__xludf.DUMMYFUNCTION("""COMPUTED_VALUE"""),34.0)</f>
        <v>34</v>
      </c>
      <c r="E4779" s="2"/>
      <c r="F4779" s="2"/>
    </row>
    <row r="4780">
      <c r="A4780" s="2">
        <f>IFERROR(__xludf.DUMMYFUNCTION("""COMPUTED_VALUE"""),121316.0)</f>
        <v>121316</v>
      </c>
      <c r="B4780" s="2">
        <f>IFERROR(__xludf.DUMMYFUNCTION("""COMPUTED_VALUE"""),1.0)</f>
        <v>1</v>
      </c>
      <c r="C4780" s="2">
        <f>IFERROR(__xludf.DUMMYFUNCTION("""COMPUTED_VALUE"""),879.0)</f>
        <v>879</v>
      </c>
      <c r="D4780" s="3">
        <f>IFERROR(__xludf.DUMMYFUNCTION("""COMPUTED_VALUE"""),406.0)</f>
        <v>406</v>
      </c>
      <c r="E4780" s="2"/>
      <c r="F4780" s="2"/>
    </row>
    <row r="4781">
      <c r="A4781" s="2">
        <f>IFERROR(__xludf.DUMMYFUNCTION("""COMPUTED_VALUE"""),77390.0)</f>
        <v>77390</v>
      </c>
      <c r="B4781" s="2">
        <f>IFERROR(__xludf.DUMMYFUNCTION("""COMPUTED_VALUE"""),0.0)</f>
        <v>0</v>
      </c>
      <c r="C4781" s="2">
        <f>IFERROR(__xludf.DUMMYFUNCTION("""COMPUTED_VALUE"""),661.0)</f>
        <v>661</v>
      </c>
      <c r="D4781" s="3">
        <f>IFERROR(__xludf.DUMMYFUNCTION("""COMPUTED_VALUE"""),496.0)</f>
        <v>496</v>
      </c>
      <c r="E4781" s="2"/>
      <c r="F4781" s="2"/>
    </row>
    <row r="4782">
      <c r="A4782" s="2">
        <f>IFERROR(__xludf.DUMMYFUNCTION("""COMPUTED_VALUE"""),11444.0)</f>
        <v>11444</v>
      </c>
      <c r="B4782" s="2">
        <f>IFERROR(__xludf.DUMMYFUNCTION("""COMPUTED_VALUE"""),0.0)</f>
        <v>0</v>
      </c>
      <c r="C4782" s="2">
        <f>IFERROR(__xludf.DUMMYFUNCTION("""COMPUTED_VALUE"""),894.0)</f>
        <v>894</v>
      </c>
      <c r="D4782" s="3">
        <f>IFERROR(__xludf.DUMMYFUNCTION("""COMPUTED_VALUE"""),613.0)</f>
        <v>613</v>
      </c>
      <c r="E4782" s="2"/>
      <c r="F4782" s="2"/>
    </row>
    <row r="4783">
      <c r="A4783" s="2">
        <f>IFERROR(__xludf.DUMMYFUNCTION("""COMPUTED_VALUE"""),74416.0)</f>
        <v>74416</v>
      </c>
      <c r="B4783" s="2">
        <f>IFERROR(__xludf.DUMMYFUNCTION("""COMPUTED_VALUE"""),0.0)</f>
        <v>0</v>
      </c>
      <c r="C4783" s="2">
        <f>IFERROR(__xludf.DUMMYFUNCTION("""COMPUTED_VALUE"""),743.0)</f>
        <v>743</v>
      </c>
      <c r="D4783" s="3">
        <f>IFERROR(__xludf.DUMMYFUNCTION("""COMPUTED_VALUE"""),159.0)</f>
        <v>159</v>
      </c>
      <c r="E4783" s="2"/>
      <c r="F4783" s="2"/>
    </row>
    <row r="4784">
      <c r="A4784" s="2">
        <f>IFERROR(__xludf.DUMMYFUNCTION("""COMPUTED_VALUE"""),75323.0)</f>
        <v>75323</v>
      </c>
      <c r="B4784" s="2">
        <f>IFERROR(__xludf.DUMMYFUNCTION("""COMPUTED_VALUE"""),1.0)</f>
        <v>1</v>
      </c>
      <c r="C4784" s="2">
        <f>IFERROR(__xludf.DUMMYFUNCTION("""COMPUTED_VALUE"""),321.0)</f>
        <v>321</v>
      </c>
      <c r="D4784" s="3">
        <f>IFERROR(__xludf.DUMMYFUNCTION("""COMPUTED_VALUE"""),161.0)</f>
        <v>161</v>
      </c>
      <c r="E4784" s="2"/>
      <c r="F4784" s="2"/>
    </row>
    <row r="4785">
      <c r="A4785" s="2">
        <f>IFERROR(__xludf.DUMMYFUNCTION("""COMPUTED_VALUE"""),86619.0)</f>
        <v>86619</v>
      </c>
      <c r="B4785" s="2">
        <f>IFERROR(__xludf.DUMMYFUNCTION("""COMPUTED_VALUE"""),0.0)</f>
        <v>0</v>
      </c>
      <c r="C4785" s="2">
        <f>IFERROR(__xludf.DUMMYFUNCTION("""COMPUTED_VALUE"""),21.0)</f>
        <v>21</v>
      </c>
      <c r="D4785" s="3">
        <f>IFERROR(__xludf.DUMMYFUNCTION("""COMPUTED_VALUE"""),1.0)</f>
        <v>1</v>
      </c>
      <c r="E4785" s="2"/>
      <c r="F4785" s="2"/>
    </row>
    <row r="4786">
      <c r="A4786" s="2">
        <f>IFERROR(__xludf.DUMMYFUNCTION("""COMPUTED_VALUE"""),119801.0)</f>
        <v>119801</v>
      </c>
      <c r="B4786" s="2">
        <f>IFERROR(__xludf.DUMMYFUNCTION("""COMPUTED_VALUE"""),1.0)</f>
        <v>1</v>
      </c>
      <c r="C4786" s="2">
        <f>IFERROR(__xludf.DUMMYFUNCTION("""COMPUTED_VALUE"""),561.0)</f>
        <v>561</v>
      </c>
      <c r="D4786" s="3">
        <f>IFERROR(__xludf.DUMMYFUNCTION("""COMPUTED_VALUE"""),278.0)</f>
        <v>278</v>
      </c>
      <c r="E4786" s="2"/>
      <c r="F4786" s="2"/>
    </row>
    <row r="4787">
      <c r="A4787" s="2">
        <f>IFERROR(__xludf.DUMMYFUNCTION("""COMPUTED_VALUE"""),126576.0)</f>
        <v>126576</v>
      </c>
      <c r="B4787" s="2">
        <f>IFERROR(__xludf.DUMMYFUNCTION("""COMPUTED_VALUE"""),0.0)</f>
        <v>0</v>
      </c>
      <c r="C4787" s="2">
        <f>IFERROR(__xludf.DUMMYFUNCTION("""COMPUTED_VALUE"""),794.0)</f>
        <v>794</v>
      </c>
      <c r="D4787" s="3">
        <f>IFERROR(__xludf.DUMMYFUNCTION("""COMPUTED_VALUE"""),721.0)</f>
        <v>721</v>
      </c>
      <c r="E4787" s="2"/>
      <c r="F4787" s="2"/>
    </row>
    <row r="4788">
      <c r="A4788" s="2">
        <f>IFERROR(__xludf.DUMMYFUNCTION("""COMPUTED_VALUE"""),108841.0)</f>
        <v>108841</v>
      </c>
      <c r="B4788" s="2">
        <f>IFERROR(__xludf.DUMMYFUNCTION("""COMPUTED_VALUE"""),1.0)</f>
        <v>1</v>
      </c>
      <c r="C4788" s="2">
        <f>IFERROR(__xludf.DUMMYFUNCTION("""COMPUTED_VALUE"""),114.0)</f>
        <v>114</v>
      </c>
      <c r="D4788" s="3">
        <f>IFERROR(__xludf.DUMMYFUNCTION("""COMPUTED_VALUE"""),68.0)</f>
        <v>68</v>
      </c>
      <c r="E4788" s="2"/>
      <c r="F4788" s="2"/>
    </row>
    <row r="4789">
      <c r="A4789" s="2">
        <f>IFERROR(__xludf.DUMMYFUNCTION("""COMPUTED_VALUE"""),82820.0)</f>
        <v>82820</v>
      </c>
      <c r="B4789" s="2">
        <f>IFERROR(__xludf.DUMMYFUNCTION("""COMPUTED_VALUE"""),1.0)</f>
        <v>1</v>
      </c>
      <c r="C4789" s="2">
        <f>IFERROR(__xludf.DUMMYFUNCTION("""COMPUTED_VALUE"""),413.0)</f>
        <v>413</v>
      </c>
      <c r="D4789" s="3">
        <f>IFERROR(__xludf.DUMMYFUNCTION("""COMPUTED_VALUE"""),217.0)</f>
        <v>217</v>
      </c>
      <c r="E4789" s="2"/>
      <c r="F4789" s="2"/>
    </row>
    <row r="4790">
      <c r="A4790" s="2">
        <f>IFERROR(__xludf.DUMMYFUNCTION("""COMPUTED_VALUE"""),116826.0)</f>
        <v>116826</v>
      </c>
      <c r="B4790" s="2">
        <f>IFERROR(__xludf.DUMMYFUNCTION("""COMPUTED_VALUE"""),1.0)</f>
        <v>1</v>
      </c>
      <c r="C4790" s="2">
        <f>IFERROR(__xludf.DUMMYFUNCTION("""COMPUTED_VALUE"""),846.0)</f>
        <v>846</v>
      </c>
      <c r="D4790" s="3">
        <f>IFERROR(__xludf.DUMMYFUNCTION("""COMPUTED_VALUE"""),269.0)</f>
        <v>269</v>
      </c>
      <c r="E4790" s="2"/>
      <c r="F4790" s="2"/>
    </row>
    <row r="4791">
      <c r="A4791" s="2">
        <f>IFERROR(__xludf.DUMMYFUNCTION("""COMPUTED_VALUE"""),126965.0)</f>
        <v>126965</v>
      </c>
      <c r="B4791" s="2">
        <f>IFERROR(__xludf.DUMMYFUNCTION("""COMPUTED_VALUE"""),1.0)</f>
        <v>1</v>
      </c>
      <c r="C4791" s="2">
        <f>IFERROR(__xludf.DUMMYFUNCTION("""COMPUTED_VALUE"""),543.0)</f>
        <v>543</v>
      </c>
      <c r="D4791" s="3">
        <f>IFERROR(__xludf.DUMMYFUNCTION("""COMPUTED_VALUE"""),208.0)</f>
        <v>208</v>
      </c>
      <c r="E4791" s="2"/>
      <c r="F4791" s="2"/>
    </row>
    <row r="4792">
      <c r="A4792" s="2">
        <f>IFERROR(__xludf.DUMMYFUNCTION("""COMPUTED_VALUE"""),103795.0)</f>
        <v>103795</v>
      </c>
      <c r="B4792" s="2">
        <f>IFERROR(__xludf.DUMMYFUNCTION("""COMPUTED_VALUE"""),0.0)</f>
        <v>0</v>
      </c>
      <c r="C4792" s="2">
        <f>IFERROR(__xludf.DUMMYFUNCTION("""COMPUTED_VALUE"""),333.0)</f>
        <v>333</v>
      </c>
      <c r="D4792" s="3">
        <f>IFERROR(__xludf.DUMMYFUNCTION("""COMPUTED_VALUE"""),54.0)</f>
        <v>54</v>
      </c>
      <c r="E4792" s="2"/>
      <c r="F4792" s="2"/>
    </row>
    <row r="4793">
      <c r="A4793" s="2">
        <f>IFERROR(__xludf.DUMMYFUNCTION("""COMPUTED_VALUE"""),116821.0)</f>
        <v>116821</v>
      </c>
      <c r="B4793" s="2">
        <f>IFERROR(__xludf.DUMMYFUNCTION("""COMPUTED_VALUE"""),0.0)</f>
        <v>0</v>
      </c>
      <c r="C4793" s="2">
        <f>IFERROR(__xludf.DUMMYFUNCTION("""COMPUTED_VALUE"""),273.0)</f>
        <v>273</v>
      </c>
      <c r="D4793" s="3">
        <f>IFERROR(__xludf.DUMMYFUNCTION("""COMPUTED_VALUE"""),81.0)</f>
        <v>81</v>
      </c>
      <c r="E4793" s="2"/>
      <c r="F4793" s="2"/>
    </row>
    <row r="4794">
      <c r="A4794" s="2">
        <f>IFERROR(__xludf.DUMMYFUNCTION("""COMPUTED_VALUE"""),126577.0)</f>
        <v>126577</v>
      </c>
      <c r="B4794" s="2">
        <f>IFERROR(__xludf.DUMMYFUNCTION("""COMPUTED_VALUE"""),0.0)</f>
        <v>0</v>
      </c>
      <c r="C4794" s="2">
        <f>IFERROR(__xludf.DUMMYFUNCTION("""COMPUTED_VALUE"""),-2.0)</f>
        <v>-2</v>
      </c>
      <c r="D4794" s="3">
        <f>IFERROR(__xludf.DUMMYFUNCTION("""COMPUTED_VALUE"""),-1.0)</f>
        <v>-1</v>
      </c>
      <c r="E4794" s="2"/>
      <c r="F4794" s="2"/>
    </row>
    <row r="4795">
      <c r="A4795" s="2">
        <f>IFERROR(__xludf.DUMMYFUNCTION("""COMPUTED_VALUE"""),82806.0)</f>
        <v>82806</v>
      </c>
      <c r="B4795" s="2">
        <f>IFERROR(__xludf.DUMMYFUNCTION("""COMPUTED_VALUE"""),0.0)</f>
        <v>0</v>
      </c>
      <c r="C4795" s="2">
        <f>IFERROR(__xludf.DUMMYFUNCTION("""COMPUTED_VALUE"""),807.0)</f>
        <v>807</v>
      </c>
      <c r="D4795" s="3">
        <f>IFERROR(__xludf.DUMMYFUNCTION("""COMPUTED_VALUE"""),193.0)</f>
        <v>193</v>
      </c>
      <c r="E4795" s="2"/>
      <c r="F4795" s="2"/>
    </row>
    <row r="4796">
      <c r="A4796" s="2">
        <f>IFERROR(__xludf.DUMMYFUNCTION("""COMPUTED_VALUE"""),68099.0)</f>
        <v>68099</v>
      </c>
      <c r="B4796" s="2">
        <f>IFERROR(__xludf.DUMMYFUNCTION("""COMPUTED_VALUE"""),1.0)</f>
        <v>1</v>
      </c>
      <c r="C4796" s="2">
        <f>IFERROR(__xludf.DUMMYFUNCTION("""COMPUTED_VALUE"""),147.0)</f>
        <v>147</v>
      </c>
      <c r="D4796" s="3">
        <f>IFERROR(__xludf.DUMMYFUNCTION("""COMPUTED_VALUE"""),26.0)</f>
        <v>26</v>
      </c>
      <c r="E4796" s="2"/>
      <c r="F4796" s="2"/>
    </row>
    <row r="4797">
      <c r="A4797" s="2">
        <f>IFERROR(__xludf.DUMMYFUNCTION("""COMPUTED_VALUE"""),82827.0)</f>
        <v>82827</v>
      </c>
      <c r="B4797" s="2">
        <f>IFERROR(__xludf.DUMMYFUNCTION("""COMPUTED_VALUE"""),0.0)</f>
        <v>0</v>
      </c>
      <c r="C4797" s="2">
        <f>IFERROR(__xludf.DUMMYFUNCTION("""COMPUTED_VALUE"""),648.0)</f>
        <v>648</v>
      </c>
      <c r="D4797" s="3">
        <f>IFERROR(__xludf.DUMMYFUNCTION("""COMPUTED_VALUE"""),187.0)</f>
        <v>187</v>
      </c>
      <c r="E4797" s="2"/>
      <c r="F4797" s="2"/>
    </row>
    <row r="4798">
      <c r="A4798" s="2">
        <f>IFERROR(__xludf.DUMMYFUNCTION("""COMPUTED_VALUE"""),77127.0)</f>
        <v>77127</v>
      </c>
      <c r="B4798" s="2">
        <f>IFERROR(__xludf.DUMMYFUNCTION("""COMPUTED_VALUE"""),1.0)</f>
        <v>1</v>
      </c>
      <c r="C4798" s="2">
        <f>IFERROR(__xludf.DUMMYFUNCTION("""COMPUTED_VALUE"""),768.0)</f>
        <v>768</v>
      </c>
      <c r="D4798" s="3">
        <f>IFERROR(__xludf.DUMMYFUNCTION("""COMPUTED_VALUE"""),508.0)</f>
        <v>508</v>
      </c>
      <c r="E4798" s="2"/>
      <c r="F4798" s="2"/>
    </row>
    <row r="4799">
      <c r="A4799" s="2">
        <f>IFERROR(__xludf.DUMMYFUNCTION("""COMPUTED_VALUE"""),69002.0)</f>
        <v>69002</v>
      </c>
      <c r="B4799" s="2">
        <f>IFERROR(__xludf.DUMMYFUNCTION("""COMPUTED_VALUE"""),1.0)</f>
        <v>1</v>
      </c>
      <c r="C4799" s="2">
        <f>IFERROR(__xludf.DUMMYFUNCTION("""COMPUTED_VALUE"""),48.0)</f>
        <v>48</v>
      </c>
      <c r="D4799" s="3">
        <f>IFERROR(__xludf.DUMMYFUNCTION("""COMPUTED_VALUE"""),46.0)</f>
        <v>46</v>
      </c>
      <c r="E4799" s="2"/>
      <c r="F4799" s="2"/>
    </row>
    <row r="4800">
      <c r="A4800" s="2">
        <f>IFERROR(__xludf.DUMMYFUNCTION("""COMPUTED_VALUE"""),119847.0)</f>
        <v>119847</v>
      </c>
      <c r="B4800" s="2">
        <f>IFERROR(__xludf.DUMMYFUNCTION("""COMPUTED_VALUE"""),0.0)</f>
        <v>0</v>
      </c>
      <c r="C4800" s="2">
        <f>IFERROR(__xludf.DUMMYFUNCTION("""COMPUTED_VALUE"""),158.0)</f>
        <v>158</v>
      </c>
      <c r="D4800" s="3">
        <f>IFERROR(__xludf.DUMMYFUNCTION("""COMPUTED_VALUE"""),92.0)</f>
        <v>92</v>
      </c>
      <c r="E4800" s="2"/>
      <c r="F4800" s="2"/>
    </row>
    <row r="4801">
      <c r="A4801" s="2">
        <f>IFERROR(__xludf.DUMMYFUNCTION("""COMPUTED_VALUE"""),11446.0)</f>
        <v>11446</v>
      </c>
      <c r="B4801" s="2">
        <f>IFERROR(__xludf.DUMMYFUNCTION("""COMPUTED_VALUE"""),1.0)</f>
        <v>1</v>
      </c>
      <c r="C4801" s="2">
        <f>IFERROR(__xludf.DUMMYFUNCTION("""COMPUTED_VALUE"""),951.0)</f>
        <v>951</v>
      </c>
      <c r="D4801" s="3">
        <f>IFERROR(__xludf.DUMMYFUNCTION("""COMPUTED_VALUE"""),683.0)</f>
        <v>683</v>
      </c>
      <c r="E4801" s="2"/>
      <c r="F4801" s="2"/>
    </row>
    <row r="4802">
      <c r="A4802" s="2">
        <f>IFERROR(__xludf.DUMMYFUNCTION("""COMPUTED_VALUE"""),30628.0)</f>
        <v>30628</v>
      </c>
      <c r="B4802" s="2">
        <f>IFERROR(__xludf.DUMMYFUNCTION("""COMPUTED_VALUE"""),0.0)</f>
        <v>0</v>
      </c>
      <c r="C4802" s="2">
        <f>IFERROR(__xludf.DUMMYFUNCTION("""COMPUTED_VALUE"""),488.0)</f>
        <v>488</v>
      </c>
      <c r="D4802" s="3">
        <f>IFERROR(__xludf.DUMMYFUNCTION("""COMPUTED_VALUE"""),285.0)</f>
        <v>285</v>
      </c>
      <c r="E4802" s="2"/>
      <c r="F4802" s="2"/>
    </row>
    <row r="4803">
      <c r="A4803" s="2">
        <f>IFERROR(__xludf.DUMMYFUNCTION("""COMPUTED_VALUE"""),113003.0)</f>
        <v>113003</v>
      </c>
      <c r="B4803" s="2">
        <f>IFERROR(__xludf.DUMMYFUNCTION("""COMPUTED_VALUE"""),0.0)</f>
        <v>0</v>
      </c>
      <c r="C4803" s="2">
        <f>IFERROR(__xludf.DUMMYFUNCTION("""COMPUTED_VALUE"""),643.0)</f>
        <v>643</v>
      </c>
      <c r="D4803" s="3">
        <f>IFERROR(__xludf.DUMMYFUNCTION("""COMPUTED_VALUE"""),394.0)</f>
        <v>394</v>
      </c>
      <c r="E4803" s="2"/>
      <c r="F4803" s="2"/>
    </row>
    <row r="4804">
      <c r="A4804" s="2">
        <f>IFERROR(__xludf.DUMMYFUNCTION("""COMPUTED_VALUE"""),30631.0)</f>
        <v>30631</v>
      </c>
      <c r="B4804" s="2">
        <f>IFERROR(__xludf.DUMMYFUNCTION("""COMPUTED_VALUE"""),1.0)</f>
        <v>1</v>
      </c>
      <c r="C4804" s="2">
        <f>IFERROR(__xludf.DUMMYFUNCTION("""COMPUTED_VALUE"""),908.0)</f>
        <v>908</v>
      </c>
      <c r="D4804" s="3">
        <f>IFERROR(__xludf.DUMMYFUNCTION("""COMPUTED_VALUE"""),862.0)</f>
        <v>862</v>
      </c>
      <c r="E4804" s="2"/>
      <c r="F4804" s="2"/>
    </row>
    <row r="4805">
      <c r="A4805" s="2">
        <f>IFERROR(__xludf.DUMMYFUNCTION("""COMPUTED_VALUE"""),188351.0)</f>
        <v>188351</v>
      </c>
      <c r="B4805" s="2">
        <f>IFERROR(__xludf.DUMMYFUNCTION("""COMPUTED_VALUE"""),0.0)</f>
        <v>0</v>
      </c>
      <c r="C4805" s="2">
        <f>IFERROR(__xludf.DUMMYFUNCTION("""COMPUTED_VALUE"""),503.0)</f>
        <v>503</v>
      </c>
      <c r="D4805" s="3">
        <f>IFERROR(__xludf.DUMMYFUNCTION("""COMPUTED_VALUE"""),137.0)</f>
        <v>137</v>
      </c>
      <c r="E4805" s="2"/>
      <c r="F4805" s="2"/>
    </row>
    <row r="4806">
      <c r="A4806" s="2">
        <f>IFERROR(__xludf.DUMMYFUNCTION("""COMPUTED_VALUE"""),67025.0)</f>
        <v>67025</v>
      </c>
      <c r="B4806" s="2">
        <f>IFERROR(__xludf.DUMMYFUNCTION("""COMPUTED_VALUE"""),0.0)</f>
        <v>0</v>
      </c>
      <c r="C4806" s="2">
        <f>IFERROR(__xludf.DUMMYFUNCTION("""COMPUTED_VALUE"""),67.0)</f>
        <v>67</v>
      </c>
      <c r="D4806" s="3">
        <f>IFERROR(__xludf.DUMMYFUNCTION("""COMPUTED_VALUE"""),58.0)</f>
        <v>58</v>
      </c>
      <c r="E4806" s="2"/>
      <c r="F4806" s="2"/>
    </row>
    <row r="4807">
      <c r="A4807" s="2">
        <f>IFERROR(__xludf.DUMMYFUNCTION("""COMPUTED_VALUE"""),119797.0)</f>
        <v>119797</v>
      </c>
      <c r="B4807" s="2">
        <f>IFERROR(__xludf.DUMMYFUNCTION("""COMPUTED_VALUE"""),1.0)</f>
        <v>1</v>
      </c>
      <c r="C4807" s="2">
        <f>IFERROR(__xludf.DUMMYFUNCTION("""COMPUTED_VALUE"""),876.0)</f>
        <v>876</v>
      </c>
      <c r="D4807" s="3">
        <f>IFERROR(__xludf.DUMMYFUNCTION("""COMPUTED_VALUE"""),352.0)</f>
        <v>352</v>
      </c>
      <c r="E4807" s="2"/>
      <c r="F4807" s="2"/>
    </row>
    <row r="4808">
      <c r="A4808" s="2">
        <f>IFERROR(__xludf.DUMMYFUNCTION("""COMPUTED_VALUE"""),3592.0)</f>
        <v>3592</v>
      </c>
      <c r="B4808" s="2">
        <f>IFERROR(__xludf.DUMMYFUNCTION("""COMPUTED_VALUE"""),1.0)</f>
        <v>1</v>
      </c>
      <c r="C4808" s="2">
        <f>IFERROR(__xludf.DUMMYFUNCTION("""COMPUTED_VALUE"""),143.0)</f>
        <v>143</v>
      </c>
      <c r="D4808" s="3">
        <f>IFERROR(__xludf.DUMMYFUNCTION("""COMPUTED_VALUE"""),105.0)</f>
        <v>105</v>
      </c>
      <c r="E4808" s="2"/>
      <c r="F4808" s="2"/>
    </row>
    <row r="4809">
      <c r="A4809" s="2">
        <f>IFERROR(__xludf.DUMMYFUNCTION("""COMPUTED_VALUE"""),3586.0)</f>
        <v>3586</v>
      </c>
      <c r="B4809" s="2">
        <f>IFERROR(__xludf.DUMMYFUNCTION("""COMPUTED_VALUE"""),0.0)</f>
        <v>0</v>
      </c>
      <c r="C4809" s="2">
        <f>IFERROR(__xludf.DUMMYFUNCTION("""COMPUTED_VALUE"""),36.0)</f>
        <v>36</v>
      </c>
      <c r="D4809" s="3">
        <f>IFERROR(__xludf.DUMMYFUNCTION("""COMPUTED_VALUE"""),35.0)</f>
        <v>35</v>
      </c>
      <c r="E4809" s="2"/>
      <c r="F4809" s="2"/>
    </row>
    <row r="4810">
      <c r="A4810" s="2">
        <f>IFERROR(__xludf.DUMMYFUNCTION("""COMPUTED_VALUE"""),3591.0)</f>
        <v>3591</v>
      </c>
      <c r="B4810" s="2">
        <f>IFERROR(__xludf.DUMMYFUNCTION("""COMPUTED_VALUE"""),0.0)</f>
        <v>0</v>
      </c>
      <c r="C4810" s="2">
        <f>IFERROR(__xludf.DUMMYFUNCTION("""COMPUTED_VALUE"""),766.0)</f>
        <v>766</v>
      </c>
      <c r="D4810" s="3">
        <f>IFERROR(__xludf.DUMMYFUNCTION("""COMPUTED_VALUE"""),104.0)</f>
        <v>104</v>
      </c>
      <c r="E4810" s="2"/>
      <c r="F4810" s="2"/>
    </row>
    <row r="4811">
      <c r="A4811" s="2">
        <f>IFERROR(__xludf.DUMMYFUNCTION("""COMPUTED_VALUE"""),73847.0)</f>
        <v>73847</v>
      </c>
      <c r="B4811" s="2">
        <f>IFERROR(__xludf.DUMMYFUNCTION("""COMPUTED_VALUE"""),1.0)</f>
        <v>1</v>
      </c>
      <c r="C4811" s="2">
        <f>IFERROR(__xludf.DUMMYFUNCTION("""COMPUTED_VALUE"""),501.0)</f>
        <v>501</v>
      </c>
      <c r="D4811" s="3">
        <f>IFERROR(__xludf.DUMMYFUNCTION("""COMPUTED_VALUE"""),277.0)</f>
        <v>277</v>
      </c>
      <c r="E4811" s="2"/>
      <c r="F4811" s="2"/>
    </row>
    <row r="4812">
      <c r="A4812" s="2">
        <f>IFERROR(__xludf.DUMMYFUNCTION("""COMPUTED_VALUE"""),3590.0)</f>
        <v>3590</v>
      </c>
      <c r="B4812" s="2">
        <f>IFERROR(__xludf.DUMMYFUNCTION("""COMPUTED_VALUE"""),0.0)</f>
        <v>0</v>
      </c>
      <c r="C4812" s="2">
        <f>IFERROR(__xludf.DUMMYFUNCTION("""COMPUTED_VALUE"""),174.0)</f>
        <v>174</v>
      </c>
      <c r="D4812" s="3">
        <f>IFERROR(__xludf.DUMMYFUNCTION("""COMPUTED_VALUE"""),161.0)</f>
        <v>161</v>
      </c>
      <c r="E4812" s="2"/>
      <c r="F4812" s="2"/>
    </row>
    <row r="4813">
      <c r="A4813" s="2">
        <f>IFERROR(__xludf.DUMMYFUNCTION("""COMPUTED_VALUE"""),116903.0)</f>
        <v>116903</v>
      </c>
      <c r="B4813" s="2">
        <f>IFERROR(__xludf.DUMMYFUNCTION("""COMPUTED_VALUE"""),0.0)</f>
        <v>0</v>
      </c>
      <c r="C4813" s="2">
        <f>IFERROR(__xludf.DUMMYFUNCTION("""COMPUTED_VALUE"""),427.0)</f>
        <v>427</v>
      </c>
      <c r="D4813" s="3">
        <f>IFERROR(__xludf.DUMMYFUNCTION("""COMPUTED_VALUE"""),326.0)</f>
        <v>326</v>
      </c>
      <c r="E4813" s="2"/>
      <c r="F4813" s="2"/>
    </row>
    <row r="4814">
      <c r="A4814" s="2">
        <f>IFERROR(__xludf.DUMMYFUNCTION("""COMPUTED_VALUE"""),116780.0)</f>
        <v>116780</v>
      </c>
      <c r="B4814" s="2">
        <f>IFERROR(__xludf.DUMMYFUNCTION("""COMPUTED_VALUE"""),0.0)</f>
        <v>0</v>
      </c>
      <c r="C4814" s="2">
        <f>IFERROR(__xludf.DUMMYFUNCTION("""COMPUTED_VALUE"""),434.0)</f>
        <v>434</v>
      </c>
      <c r="D4814" s="3">
        <f>IFERROR(__xludf.DUMMYFUNCTION("""COMPUTED_VALUE"""),332.0)</f>
        <v>332</v>
      </c>
      <c r="E4814" s="2"/>
      <c r="F4814" s="2"/>
    </row>
    <row r="4815">
      <c r="A4815" s="2">
        <f>IFERROR(__xludf.DUMMYFUNCTION("""COMPUTED_VALUE"""),114912.0)</f>
        <v>114912</v>
      </c>
      <c r="B4815" s="2">
        <f>IFERROR(__xludf.DUMMYFUNCTION("""COMPUTED_VALUE"""),1.0)</f>
        <v>1</v>
      </c>
      <c r="C4815" s="2">
        <f>IFERROR(__xludf.DUMMYFUNCTION("""COMPUTED_VALUE"""),637.0)</f>
        <v>637</v>
      </c>
      <c r="D4815" s="3">
        <f>IFERROR(__xludf.DUMMYFUNCTION("""COMPUTED_VALUE"""),634.0)</f>
        <v>634</v>
      </c>
      <c r="E4815" s="2"/>
      <c r="F4815" s="2"/>
    </row>
    <row r="4816">
      <c r="A4816" s="2">
        <f>IFERROR(__xludf.DUMMYFUNCTION("""COMPUTED_VALUE"""),111970.0)</f>
        <v>111970</v>
      </c>
      <c r="B4816" s="2">
        <f>IFERROR(__xludf.DUMMYFUNCTION("""COMPUTED_VALUE"""),1.0)</f>
        <v>1</v>
      </c>
      <c r="C4816" s="2">
        <f>IFERROR(__xludf.DUMMYFUNCTION("""COMPUTED_VALUE"""),548.0)</f>
        <v>548</v>
      </c>
      <c r="D4816" s="3">
        <f>IFERROR(__xludf.DUMMYFUNCTION("""COMPUTED_VALUE"""),538.0)</f>
        <v>538</v>
      </c>
      <c r="E4816" s="2"/>
      <c r="F4816" s="2"/>
    </row>
    <row r="4817">
      <c r="A4817" s="2">
        <f>IFERROR(__xludf.DUMMYFUNCTION("""COMPUTED_VALUE"""),126973.0)</f>
        <v>126973</v>
      </c>
      <c r="B4817" s="2">
        <f>IFERROR(__xludf.DUMMYFUNCTION("""COMPUTED_VALUE"""),1.0)</f>
        <v>1</v>
      </c>
      <c r="C4817" s="2">
        <f>IFERROR(__xludf.DUMMYFUNCTION("""COMPUTED_VALUE"""),820.0)</f>
        <v>820</v>
      </c>
      <c r="D4817" s="3">
        <f>IFERROR(__xludf.DUMMYFUNCTION("""COMPUTED_VALUE"""),677.0)</f>
        <v>677</v>
      </c>
      <c r="E4817" s="2"/>
      <c r="F4817" s="2"/>
    </row>
    <row r="4818">
      <c r="A4818" s="2">
        <f>IFERROR(__xludf.DUMMYFUNCTION("""COMPUTED_VALUE"""),116964.0)</f>
        <v>116964</v>
      </c>
      <c r="B4818" s="2">
        <f>IFERROR(__xludf.DUMMYFUNCTION("""COMPUTED_VALUE"""),0.0)</f>
        <v>0</v>
      </c>
      <c r="C4818" s="2">
        <f>IFERROR(__xludf.DUMMYFUNCTION("""COMPUTED_VALUE"""),120.0)</f>
        <v>120</v>
      </c>
      <c r="D4818" s="3">
        <f>IFERROR(__xludf.DUMMYFUNCTION("""COMPUTED_VALUE"""),100.0)</f>
        <v>100</v>
      </c>
      <c r="E4818" s="2"/>
      <c r="F4818" s="2"/>
    </row>
    <row r="4819">
      <c r="A4819" s="2">
        <f>IFERROR(__xludf.DUMMYFUNCTION("""COMPUTED_VALUE"""),122340.0)</f>
        <v>122340</v>
      </c>
      <c r="B4819" s="2">
        <f>IFERROR(__xludf.DUMMYFUNCTION("""COMPUTED_VALUE"""),0.0)</f>
        <v>0</v>
      </c>
      <c r="C4819" s="2">
        <f>IFERROR(__xludf.DUMMYFUNCTION("""COMPUTED_VALUE"""),323.0)</f>
        <v>323</v>
      </c>
      <c r="D4819" s="3">
        <f>IFERROR(__xludf.DUMMYFUNCTION("""COMPUTED_VALUE"""),156.0)</f>
        <v>156</v>
      </c>
      <c r="E4819" s="2"/>
      <c r="F4819" s="2"/>
    </row>
    <row r="4820">
      <c r="A4820" s="2">
        <f>IFERROR(__xludf.DUMMYFUNCTION("""COMPUTED_VALUE"""),116963.0)</f>
        <v>116963</v>
      </c>
      <c r="B4820" s="2">
        <f>IFERROR(__xludf.DUMMYFUNCTION("""COMPUTED_VALUE"""),0.0)</f>
        <v>0</v>
      </c>
      <c r="C4820" s="2">
        <f>IFERROR(__xludf.DUMMYFUNCTION("""COMPUTED_VALUE"""),354.0)</f>
        <v>354</v>
      </c>
      <c r="D4820" s="3">
        <f>IFERROR(__xludf.DUMMYFUNCTION("""COMPUTED_VALUE"""),144.0)</f>
        <v>144</v>
      </c>
      <c r="E4820" s="2"/>
      <c r="F4820" s="2"/>
    </row>
    <row r="4821">
      <c r="A4821" s="2">
        <f>IFERROR(__xludf.DUMMYFUNCTION("""COMPUTED_VALUE"""),120241.0)</f>
        <v>120241</v>
      </c>
      <c r="B4821" s="2">
        <f>IFERROR(__xludf.DUMMYFUNCTION("""COMPUTED_VALUE"""),1.0)</f>
        <v>1</v>
      </c>
      <c r="C4821" s="2">
        <f>IFERROR(__xludf.DUMMYFUNCTION("""COMPUTED_VALUE"""),910.0)</f>
        <v>910</v>
      </c>
      <c r="D4821" s="3">
        <f>IFERROR(__xludf.DUMMYFUNCTION("""COMPUTED_VALUE"""),803.0)</f>
        <v>803</v>
      </c>
      <c r="E4821" s="2"/>
      <c r="F4821" s="2"/>
    </row>
    <row r="4822">
      <c r="A4822" s="2">
        <f>IFERROR(__xludf.DUMMYFUNCTION("""COMPUTED_VALUE"""),120205.0)</f>
        <v>120205</v>
      </c>
      <c r="B4822" s="2">
        <f>IFERROR(__xludf.DUMMYFUNCTION("""COMPUTED_VALUE"""),0.0)</f>
        <v>0</v>
      </c>
      <c r="C4822" s="2">
        <f>IFERROR(__xludf.DUMMYFUNCTION("""COMPUTED_VALUE"""),849.0)</f>
        <v>849</v>
      </c>
      <c r="D4822" s="3">
        <f>IFERROR(__xludf.DUMMYFUNCTION("""COMPUTED_VALUE"""),245.0)</f>
        <v>245</v>
      </c>
      <c r="E4822" s="2"/>
      <c r="F4822" s="2"/>
    </row>
    <row r="4823">
      <c r="A4823" s="2">
        <f>IFERROR(__xludf.DUMMYFUNCTION("""COMPUTED_VALUE"""),104162.0)</f>
        <v>104162</v>
      </c>
      <c r="B4823" s="2">
        <f>IFERROR(__xludf.DUMMYFUNCTION("""COMPUTED_VALUE"""),1.0)</f>
        <v>1</v>
      </c>
      <c r="C4823" s="2">
        <f>IFERROR(__xludf.DUMMYFUNCTION("""COMPUTED_VALUE"""),488.0)</f>
        <v>488</v>
      </c>
      <c r="D4823" s="3">
        <f>IFERROR(__xludf.DUMMYFUNCTION("""COMPUTED_VALUE"""),336.0)</f>
        <v>336</v>
      </c>
      <c r="E4823" s="2"/>
      <c r="F4823" s="2"/>
    </row>
    <row r="4824">
      <c r="A4824" s="2">
        <f>IFERROR(__xludf.DUMMYFUNCTION("""COMPUTED_VALUE"""),110792.0)</f>
        <v>110792</v>
      </c>
      <c r="B4824" s="2">
        <f>IFERROR(__xludf.DUMMYFUNCTION("""COMPUTED_VALUE"""),0.0)</f>
        <v>0</v>
      </c>
      <c r="C4824" s="2">
        <f>IFERROR(__xludf.DUMMYFUNCTION("""COMPUTED_VALUE"""),423.0)</f>
        <v>423</v>
      </c>
      <c r="D4824" s="3">
        <f>IFERROR(__xludf.DUMMYFUNCTION("""COMPUTED_VALUE"""),330.0)</f>
        <v>330</v>
      </c>
      <c r="E4824" s="2"/>
      <c r="F4824" s="2"/>
    </row>
    <row r="4825">
      <c r="A4825" s="2">
        <f>IFERROR(__xludf.DUMMYFUNCTION("""COMPUTED_VALUE"""),104169.0)</f>
        <v>104169</v>
      </c>
      <c r="B4825" s="2">
        <f>IFERROR(__xludf.DUMMYFUNCTION("""COMPUTED_VALUE"""),0.0)</f>
        <v>0</v>
      </c>
      <c r="C4825" s="2">
        <f>IFERROR(__xludf.DUMMYFUNCTION("""COMPUTED_VALUE"""),330.0)</f>
        <v>330</v>
      </c>
      <c r="D4825" s="3">
        <f>IFERROR(__xludf.DUMMYFUNCTION("""COMPUTED_VALUE"""),248.0)</f>
        <v>248</v>
      </c>
      <c r="E4825" s="2"/>
      <c r="F4825" s="2"/>
    </row>
    <row r="4826">
      <c r="A4826" s="2">
        <f>IFERROR(__xludf.DUMMYFUNCTION("""COMPUTED_VALUE"""),111957.0)</f>
        <v>111957</v>
      </c>
      <c r="B4826" s="2">
        <f>IFERROR(__xludf.DUMMYFUNCTION("""COMPUTED_VALUE"""),0.0)</f>
        <v>0</v>
      </c>
      <c r="C4826" s="2">
        <f>IFERROR(__xludf.DUMMYFUNCTION("""COMPUTED_VALUE"""),515.0)</f>
        <v>515</v>
      </c>
      <c r="D4826" s="3">
        <f>IFERROR(__xludf.DUMMYFUNCTION("""COMPUTED_VALUE"""),221.0)</f>
        <v>221</v>
      </c>
      <c r="E4826" s="2"/>
      <c r="F4826" s="2"/>
    </row>
    <row r="4827">
      <c r="A4827" s="2">
        <f>IFERROR(__xludf.DUMMYFUNCTION("""COMPUTED_VALUE"""),89201.0)</f>
        <v>89201</v>
      </c>
      <c r="B4827" s="2">
        <f>IFERROR(__xludf.DUMMYFUNCTION("""COMPUTED_VALUE"""),0.0)</f>
        <v>0</v>
      </c>
      <c r="C4827" s="2">
        <f>IFERROR(__xludf.DUMMYFUNCTION("""COMPUTED_VALUE"""),626.0)</f>
        <v>626</v>
      </c>
      <c r="D4827" s="3">
        <f>IFERROR(__xludf.DUMMYFUNCTION("""COMPUTED_VALUE"""),381.0)</f>
        <v>381</v>
      </c>
      <c r="E4827" s="2"/>
      <c r="F4827" s="2"/>
    </row>
    <row r="4828">
      <c r="A4828" s="2">
        <f>IFERROR(__xludf.DUMMYFUNCTION("""COMPUTED_VALUE"""),87305.0)</f>
        <v>87305</v>
      </c>
      <c r="B4828" s="2">
        <f>IFERROR(__xludf.DUMMYFUNCTION("""COMPUTED_VALUE"""),1.0)</f>
        <v>1</v>
      </c>
      <c r="C4828" s="2">
        <f>IFERROR(__xludf.DUMMYFUNCTION("""COMPUTED_VALUE"""),507.0)</f>
        <v>507</v>
      </c>
      <c r="D4828" s="3">
        <f>IFERROR(__xludf.DUMMYFUNCTION("""COMPUTED_VALUE"""),424.0)</f>
        <v>424</v>
      </c>
      <c r="E4828" s="2"/>
      <c r="F4828" s="2"/>
    </row>
    <row r="4829">
      <c r="A4829" s="2">
        <f>IFERROR(__xludf.DUMMYFUNCTION("""COMPUTED_VALUE"""),3480.0)</f>
        <v>3480</v>
      </c>
      <c r="B4829" s="2">
        <f>IFERROR(__xludf.DUMMYFUNCTION("""COMPUTED_VALUE"""),1.0)</f>
        <v>1</v>
      </c>
      <c r="C4829" s="2">
        <f>IFERROR(__xludf.DUMMYFUNCTION("""COMPUTED_VALUE"""),643.0)</f>
        <v>643</v>
      </c>
      <c r="D4829" s="3">
        <f>IFERROR(__xludf.DUMMYFUNCTION("""COMPUTED_VALUE"""),14.0)</f>
        <v>14</v>
      </c>
      <c r="E4829" s="2"/>
      <c r="F4829" s="2"/>
    </row>
    <row r="4830">
      <c r="A4830" s="2">
        <f>IFERROR(__xludf.DUMMYFUNCTION("""COMPUTED_VALUE"""),116817.0)</f>
        <v>116817</v>
      </c>
      <c r="B4830" s="2">
        <f>IFERROR(__xludf.DUMMYFUNCTION("""COMPUTED_VALUE"""),0.0)</f>
        <v>0</v>
      </c>
      <c r="C4830" s="2">
        <f>IFERROR(__xludf.DUMMYFUNCTION("""COMPUTED_VALUE"""),356.0)</f>
        <v>356</v>
      </c>
      <c r="D4830" s="3">
        <f>IFERROR(__xludf.DUMMYFUNCTION("""COMPUTED_VALUE"""),194.0)</f>
        <v>194</v>
      </c>
      <c r="E4830" s="2"/>
      <c r="F4830" s="2"/>
    </row>
    <row r="4831">
      <c r="A4831" s="2">
        <f>IFERROR(__xludf.DUMMYFUNCTION("""COMPUTED_VALUE"""),47209.0)</f>
        <v>47209</v>
      </c>
      <c r="B4831" s="2">
        <f>IFERROR(__xludf.DUMMYFUNCTION("""COMPUTED_VALUE"""),0.0)</f>
        <v>0</v>
      </c>
      <c r="C4831" s="2">
        <f>IFERROR(__xludf.DUMMYFUNCTION("""COMPUTED_VALUE"""),454.0)</f>
        <v>454</v>
      </c>
      <c r="D4831" s="3">
        <f>IFERROR(__xludf.DUMMYFUNCTION("""COMPUTED_VALUE"""),373.0)</f>
        <v>373</v>
      </c>
      <c r="E4831" s="2"/>
      <c r="F4831" s="2"/>
    </row>
    <row r="4832">
      <c r="A4832" s="2">
        <f>IFERROR(__xludf.DUMMYFUNCTION("""COMPUTED_VALUE"""),68213.0)</f>
        <v>68213</v>
      </c>
      <c r="B4832" s="2">
        <f>IFERROR(__xludf.DUMMYFUNCTION("""COMPUTED_VALUE"""),1.0)</f>
        <v>1</v>
      </c>
      <c r="C4832" s="2">
        <f>IFERROR(__xludf.DUMMYFUNCTION("""COMPUTED_VALUE"""),583.0)</f>
        <v>583</v>
      </c>
      <c r="D4832" s="3">
        <f>IFERROR(__xludf.DUMMYFUNCTION("""COMPUTED_VALUE"""),96.0)</f>
        <v>96</v>
      </c>
      <c r="E4832" s="2"/>
      <c r="F4832" s="2"/>
    </row>
    <row r="4833">
      <c r="A4833" s="2">
        <f>IFERROR(__xludf.DUMMYFUNCTION("""COMPUTED_VALUE"""),100999.0)</f>
        <v>100999</v>
      </c>
      <c r="B4833" s="2">
        <f>IFERROR(__xludf.DUMMYFUNCTION("""COMPUTED_VALUE"""),0.0)</f>
        <v>0</v>
      </c>
      <c r="C4833" s="2">
        <f>IFERROR(__xludf.DUMMYFUNCTION("""COMPUTED_VALUE"""),721.0)</f>
        <v>721</v>
      </c>
      <c r="D4833" s="3">
        <f>IFERROR(__xludf.DUMMYFUNCTION("""COMPUTED_VALUE"""),243.0)</f>
        <v>243</v>
      </c>
      <c r="E4833" s="2"/>
      <c r="F4833" s="2"/>
    </row>
    <row r="4834">
      <c r="A4834" s="2">
        <f>IFERROR(__xludf.DUMMYFUNCTION("""COMPUTED_VALUE"""),119241.0)</f>
        <v>119241</v>
      </c>
      <c r="B4834" s="2">
        <f>IFERROR(__xludf.DUMMYFUNCTION("""COMPUTED_VALUE"""),1.0)</f>
        <v>1</v>
      </c>
      <c r="C4834" s="2">
        <f>IFERROR(__xludf.DUMMYFUNCTION("""COMPUTED_VALUE"""),759.0)</f>
        <v>759</v>
      </c>
      <c r="D4834" s="3">
        <f>IFERROR(__xludf.DUMMYFUNCTION("""COMPUTED_VALUE"""),172.0)</f>
        <v>172</v>
      </c>
      <c r="E4834" s="2"/>
      <c r="F4834" s="2"/>
    </row>
    <row r="4835">
      <c r="A4835" s="2">
        <f>IFERROR(__xludf.DUMMYFUNCTION("""COMPUTED_VALUE"""),133917.0)</f>
        <v>133917</v>
      </c>
      <c r="B4835" s="2">
        <f>IFERROR(__xludf.DUMMYFUNCTION("""COMPUTED_VALUE"""),1.0)</f>
        <v>1</v>
      </c>
      <c r="C4835" s="2">
        <f>IFERROR(__xludf.DUMMYFUNCTION("""COMPUTED_VALUE"""),142.0)</f>
        <v>142</v>
      </c>
      <c r="D4835" s="3">
        <f>IFERROR(__xludf.DUMMYFUNCTION("""COMPUTED_VALUE"""),17.0)</f>
        <v>17</v>
      </c>
      <c r="E4835" s="2"/>
      <c r="F4835" s="2"/>
    </row>
    <row r="4836">
      <c r="A4836" s="2">
        <f>IFERROR(__xludf.DUMMYFUNCTION("""COMPUTED_VALUE"""),128334.0)</f>
        <v>128334</v>
      </c>
      <c r="B4836" s="2">
        <f>IFERROR(__xludf.DUMMYFUNCTION("""COMPUTED_VALUE"""),1.0)</f>
        <v>1</v>
      </c>
      <c r="C4836" s="2">
        <f>IFERROR(__xludf.DUMMYFUNCTION("""COMPUTED_VALUE"""),604.0)</f>
        <v>604</v>
      </c>
      <c r="D4836" s="3">
        <f>IFERROR(__xludf.DUMMYFUNCTION("""COMPUTED_VALUE"""),434.0)</f>
        <v>434</v>
      </c>
      <c r="E4836" s="2"/>
      <c r="F4836" s="2"/>
    </row>
    <row r="4837">
      <c r="A4837" s="2">
        <f>IFERROR(__xludf.DUMMYFUNCTION("""COMPUTED_VALUE"""),113235.0)</f>
        <v>113235</v>
      </c>
      <c r="B4837" s="2">
        <f>IFERROR(__xludf.DUMMYFUNCTION("""COMPUTED_VALUE"""),1.0)</f>
        <v>1</v>
      </c>
      <c r="C4837" s="2">
        <f>IFERROR(__xludf.DUMMYFUNCTION("""COMPUTED_VALUE"""),752.0)</f>
        <v>752</v>
      </c>
      <c r="D4837" s="3">
        <f>IFERROR(__xludf.DUMMYFUNCTION("""COMPUTED_VALUE"""),439.0)</f>
        <v>439</v>
      </c>
      <c r="E4837" s="2"/>
      <c r="F4837" s="2"/>
    </row>
    <row r="4838">
      <c r="A4838" s="2">
        <f>IFERROR(__xludf.DUMMYFUNCTION("""COMPUTED_VALUE"""),113249.0)</f>
        <v>113249</v>
      </c>
      <c r="B4838" s="2">
        <f>IFERROR(__xludf.DUMMYFUNCTION("""COMPUTED_VALUE"""),0.0)</f>
        <v>0</v>
      </c>
      <c r="C4838" s="2">
        <f>IFERROR(__xludf.DUMMYFUNCTION("""COMPUTED_VALUE"""),566.0)</f>
        <v>566</v>
      </c>
      <c r="D4838" s="3">
        <f>IFERROR(__xludf.DUMMYFUNCTION("""COMPUTED_VALUE"""),290.0)</f>
        <v>290</v>
      </c>
      <c r="E4838" s="2"/>
      <c r="F4838" s="2"/>
    </row>
    <row r="4839">
      <c r="A4839" s="2">
        <f>IFERROR(__xludf.DUMMYFUNCTION("""COMPUTED_VALUE"""),89210.0)</f>
        <v>89210</v>
      </c>
      <c r="B4839" s="2">
        <f>IFERROR(__xludf.DUMMYFUNCTION("""COMPUTED_VALUE"""),1.0)</f>
        <v>1</v>
      </c>
      <c r="C4839" s="2">
        <f>IFERROR(__xludf.DUMMYFUNCTION("""COMPUTED_VALUE"""),301.0)</f>
        <v>301</v>
      </c>
      <c r="D4839" s="3">
        <f>IFERROR(__xludf.DUMMYFUNCTION("""COMPUTED_VALUE"""),167.0)</f>
        <v>167</v>
      </c>
      <c r="E4839" s="2"/>
      <c r="F4839" s="2"/>
    </row>
    <row r="4840">
      <c r="A4840" s="2">
        <f>IFERROR(__xludf.DUMMYFUNCTION("""COMPUTED_VALUE"""),104170.0)</f>
        <v>104170</v>
      </c>
      <c r="B4840" s="2">
        <f>IFERROR(__xludf.DUMMYFUNCTION("""COMPUTED_VALUE"""),1.0)</f>
        <v>1</v>
      </c>
      <c r="C4840" s="2">
        <f>IFERROR(__xludf.DUMMYFUNCTION("""COMPUTED_VALUE"""),283.0)</f>
        <v>283</v>
      </c>
      <c r="D4840" s="3">
        <f>IFERROR(__xludf.DUMMYFUNCTION("""COMPUTED_VALUE"""),44.0)</f>
        <v>44</v>
      </c>
      <c r="E4840" s="2"/>
      <c r="F4840" s="2"/>
    </row>
    <row r="4841">
      <c r="A4841" s="2">
        <f>IFERROR(__xludf.DUMMYFUNCTION("""COMPUTED_VALUE"""),18671.0)</f>
        <v>18671</v>
      </c>
      <c r="B4841" s="2">
        <f>IFERROR(__xludf.DUMMYFUNCTION("""COMPUTED_VALUE"""),1.0)</f>
        <v>1</v>
      </c>
      <c r="C4841" s="2">
        <f>IFERROR(__xludf.DUMMYFUNCTION("""COMPUTED_VALUE"""),521.0)</f>
        <v>521</v>
      </c>
      <c r="D4841" s="3">
        <f>IFERROR(__xludf.DUMMYFUNCTION("""COMPUTED_VALUE"""),86.0)</f>
        <v>86</v>
      </c>
      <c r="E4841" s="2"/>
      <c r="F4841" s="2"/>
    </row>
    <row r="4842">
      <c r="A4842" s="2">
        <f>IFERROR(__xludf.DUMMYFUNCTION("""COMPUTED_VALUE"""),83804.0)</f>
        <v>83804</v>
      </c>
      <c r="B4842" s="2">
        <f>IFERROR(__xludf.DUMMYFUNCTION("""COMPUTED_VALUE"""),0.0)</f>
        <v>0</v>
      </c>
      <c r="C4842" s="2">
        <f>IFERROR(__xludf.DUMMYFUNCTION("""COMPUTED_VALUE"""),181.0)</f>
        <v>181</v>
      </c>
      <c r="D4842" s="3">
        <f>IFERROR(__xludf.DUMMYFUNCTION("""COMPUTED_VALUE"""),77.0)</f>
        <v>77</v>
      </c>
      <c r="E4842" s="2"/>
      <c r="F4842" s="2"/>
    </row>
    <row r="4843">
      <c r="A4843" s="2">
        <f>IFERROR(__xludf.DUMMYFUNCTION("""COMPUTED_VALUE"""),104415.0)</f>
        <v>104415</v>
      </c>
      <c r="B4843" s="2">
        <f>IFERROR(__xludf.DUMMYFUNCTION("""COMPUTED_VALUE"""),0.0)</f>
        <v>0</v>
      </c>
      <c r="C4843" s="2">
        <f>IFERROR(__xludf.DUMMYFUNCTION("""COMPUTED_VALUE"""),490.0)</f>
        <v>490</v>
      </c>
      <c r="D4843" s="3">
        <f>IFERROR(__xludf.DUMMYFUNCTION("""COMPUTED_VALUE"""),205.0)</f>
        <v>205</v>
      </c>
      <c r="E4843" s="2"/>
      <c r="F4843" s="2"/>
    </row>
    <row r="4844">
      <c r="A4844" s="2">
        <f>IFERROR(__xludf.DUMMYFUNCTION("""COMPUTED_VALUE"""),78351.0)</f>
        <v>78351</v>
      </c>
      <c r="B4844" s="2">
        <f>IFERROR(__xludf.DUMMYFUNCTION("""COMPUTED_VALUE"""),1.0)</f>
        <v>1</v>
      </c>
      <c r="C4844" s="2">
        <f>IFERROR(__xludf.DUMMYFUNCTION("""COMPUTED_VALUE"""),918.0)</f>
        <v>918</v>
      </c>
      <c r="D4844" s="3">
        <f>IFERROR(__xludf.DUMMYFUNCTION("""COMPUTED_VALUE"""),479.0)</f>
        <v>479</v>
      </c>
      <c r="E4844" s="2"/>
      <c r="F4844" s="2"/>
    </row>
    <row r="4845">
      <c r="A4845" s="2">
        <f>IFERROR(__xludf.DUMMYFUNCTION("""COMPUTED_VALUE"""),112174.0)</f>
        <v>112174</v>
      </c>
      <c r="B4845" s="2">
        <f>IFERROR(__xludf.DUMMYFUNCTION("""COMPUTED_VALUE"""),1.0)</f>
        <v>1</v>
      </c>
      <c r="C4845" s="2">
        <f>IFERROR(__xludf.DUMMYFUNCTION("""COMPUTED_VALUE"""),256.0)</f>
        <v>256</v>
      </c>
      <c r="D4845" s="3">
        <f>IFERROR(__xludf.DUMMYFUNCTION("""COMPUTED_VALUE"""),254.0)</f>
        <v>254</v>
      </c>
      <c r="E4845" s="2"/>
      <c r="F4845" s="2"/>
    </row>
    <row r="4846">
      <c r="A4846" s="2">
        <f>IFERROR(__xludf.DUMMYFUNCTION("""COMPUTED_VALUE"""),120248.0)</f>
        <v>120248</v>
      </c>
      <c r="B4846" s="2">
        <f>IFERROR(__xludf.DUMMYFUNCTION("""COMPUTED_VALUE"""),0.0)</f>
        <v>0</v>
      </c>
      <c r="C4846" s="2">
        <f>IFERROR(__xludf.DUMMYFUNCTION("""COMPUTED_VALUE"""),311.0)</f>
        <v>311</v>
      </c>
      <c r="D4846" s="3">
        <f>IFERROR(__xludf.DUMMYFUNCTION("""COMPUTED_VALUE"""),15.0)</f>
        <v>15</v>
      </c>
      <c r="E4846" s="2"/>
      <c r="F4846" s="2"/>
    </row>
    <row r="4847">
      <c r="A4847" s="2">
        <f>IFERROR(__xludf.DUMMYFUNCTION("""COMPUTED_VALUE"""),18672.0)</f>
        <v>18672</v>
      </c>
      <c r="B4847" s="2">
        <f>IFERROR(__xludf.DUMMYFUNCTION("""COMPUTED_VALUE"""),0.0)</f>
        <v>0</v>
      </c>
      <c r="C4847" s="2">
        <f>IFERROR(__xludf.DUMMYFUNCTION("""COMPUTED_VALUE"""),827.0)</f>
        <v>827</v>
      </c>
      <c r="D4847" s="3">
        <f>IFERROR(__xludf.DUMMYFUNCTION("""COMPUTED_VALUE"""),246.0)</f>
        <v>246</v>
      </c>
      <c r="E4847" s="2"/>
      <c r="F4847" s="2"/>
    </row>
    <row r="4848">
      <c r="A4848" s="2">
        <f>IFERROR(__xludf.DUMMYFUNCTION("""COMPUTED_VALUE"""),13517.0)</f>
        <v>13517</v>
      </c>
      <c r="B4848" s="2">
        <f>IFERROR(__xludf.DUMMYFUNCTION("""COMPUTED_VALUE"""),1.0)</f>
        <v>1</v>
      </c>
      <c r="C4848" s="2">
        <f>IFERROR(__xludf.DUMMYFUNCTION("""COMPUTED_VALUE"""),234.0)</f>
        <v>234</v>
      </c>
      <c r="D4848" s="3">
        <f>IFERROR(__xludf.DUMMYFUNCTION("""COMPUTED_VALUE"""),75.0)</f>
        <v>75</v>
      </c>
      <c r="E4848" s="2"/>
      <c r="F4848" s="2"/>
    </row>
    <row r="4849">
      <c r="A4849" s="2">
        <f>IFERROR(__xludf.DUMMYFUNCTION("""COMPUTED_VALUE"""),119896.0)</f>
        <v>119896</v>
      </c>
      <c r="B4849" s="2">
        <f>IFERROR(__xludf.DUMMYFUNCTION("""COMPUTED_VALUE"""),1.0)</f>
        <v>1</v>
      </c>
      <c r="C4849" s="2">
        <f>IFERROR(__xludf.DUMMYFUNCTION("""COMPUTED_VALUE"""),690.0)</f>
        <v>690</v>
      </c>
      <c r="D4849" s="3">
        <f>IFERROR(__xludf.DUMMYFUNCTION("""COMPUTED_VALUE"""),638.0)</f>
        <v>638</v>
      </c>
      <c r="E4849" s="2"/>
      <c r="F4849" s="2"/>
    </row>
    <row r="4850">
      <c r="A4850" s="2">
        <f>IFERROR(__xludf.DUMMYFUNCTION("""COMPUTED_VALUE"""),120249.0)</f>
        <v>120249</v>
      </c>
      <c r="B4850" s="2">
        <f>IFERROR(__xludf.DUMMYFUNCTION("""COMPUTED_VALUE"""),1.0)</f>
        <v>1</v>
      </c>
      <c r="C4850" s="2">
        <f>IFERROR(__xludf.DUMMYFUNCTION("""COMPUTED_VALUE"""),222.0)</f>
        <v>222</v>
      </c>
      <c r="D4850" s="3">
        <f>IFERROR(__xludf.DUMMYFUNCTION("""COMPUTED_VALUE"""),91.0)</f>
        <v>91</v>
      </c>
      <c r="E4850" s="2"/>
      <c r="F4850" s="2"/>
    </row>
    <row r="4851">
      <c r="A4851" s="2">
        <f>IFERROR(__xludf.DUMMYFUNCTION("""COMPUTED_VALUE"""),78352.0)</f>
        <v>78352</v>
      </c>
      <c r="B4851" s="2">
        <f>IFERROR(__xludf.DUMMYFUNCTION("""COMPUTED_VALUE"""),1.0)</f>
        <v>1</v>
      </c>
      <c r="C4851" s="2">
        <f>IFERROR(__xludf.DUMMYFUNCTION("""COMPUTED_VALUE"""),69.0)</f>
        <v>69</v>
      </c>
      <c r="D4851" s="3">
        <f>IFERROR(__xludf.DUMMYFUNCTION("""COMPUTED_VALUE"""),14.0)</f>
        <v>14</v>
      </c>
      <c r="E4851" s="2"/>
      <c r="F4851" s="2"/>
    </row>
    <row r="4852">
      <c r="A4852" s="2">
        <f>IFERROR(__xludf.DUMMYFUNCTION("""COMPUTED_VALUE"""),45630.0)</f>
        <v>45630</v>
      </c>
      <c r="B4852" s="2">
        <f>IFERROR(__xludf.DUMMYFUNCTION("""COMPUTED_VALUE"""),1.0)</f>
        <v>1</v>
      </c>
      <c r="C4852" s="2">
        <f>IFERROR(__xludf.DUMMYFUNCTION("""COMPUTED_VALUE"""),728.0)</f>
        <v>728</v>
      </c>
      <c r="D4852" s="3">
        <f>IFERROR(__xludf.DUMMYFUNCTION("""COMPUTED_VALUE"""),245.0)</f>
        <v>245</v>
      </c>
      <c r="E4852" s="2"/>
      <c r="F4852" s="2"/>
    </row>
    <row r="4853">
      <c r="A4853" s="2">
        <f>IFERROR(__xludf.DUMMYFUNCTION("""COMPUTED_VALUE"""),99726.0)</f>
        <v>99726</v>
      </c>
      <c r="B4853" s="2">
        <f>IFERROR(__xludf.DUMMYFUNCTION("""COMPUTED_VALUE"""),1.0)</f>
        <v>1</v>
      </c>
      <c r="C4853" s="2">
        <f>IFERROR(__xludf.DUMMYFUNCTION("""COMPUTED_VALUE"""),854.0)</f>
        <v>854</v>
      </c>
      <c r="D4853" s="3">
        <f>IFERROR(__xludf.DUMMYFUNCTION("""COMPUTED_VALUE"""),176.0)</f>
        <v>176</v>
      </c>
      <c r="E4853" s="2"/>
      <c r="F4853" s="2"/>
    </row>
    <row r="4854">
      <c r="A4854" s="2">
        <f>IFERROR(__xludf.DUMMYFUNCTION("""COMPUTED_VALUE"""),88619.0)</f>
        <v>88619</v>
      </c>
      <c r="B4854" s="2">
        <f>IFERROR(__xludf.DUMMYFUNCTION("""COMPUTED_VALUE"""),1.0)</f>
        <v>1</v>
      </c>
      <c r="C4854" s="2">
        <f>IFERROR(__xludf.DUMMYFUNCTION("""COMPUTED_VALUE"""),406.0)</f>
        <v>406</v>
      </c>
      <c r="D4854" s="3">
        <f>IFERROR(__xludf.DUMMYFUNCTION("""COMPUTED_VALUE"""),338.0)</f>
        <v>338</v>
      </c>
      <c r="E4854" s="2"/>
      <c r="F4854" s="2"/>
    </row>
    <row r="4855">
      <c r="A4855" s="2">
        <f>IFERROR(__xludf.DUMMYFUNCTION("""COMPUTED_VALUE"""),73430.0)</f>
        <v>73430</v>
      </c>
      <c r="B4855" s="2">
        <f>IFERROR(__xludf.DUMMYFUNCTION("""COMPUTED_VALUE"""),1.0)</f>
        <v>1</v>
      </c>
      <c r="C4855" s="2">
        <f>IFERROR(__xludf.DUMMYFUNCTION("""COMPUTED_VALUE"""),266.0)</f>
        <v>266</v>
      </c>
      <c r="D4855" s="3">
        <f>IFERROR(__xludf.DUMMYFUNCTION("""COMPUTED_VALUE"""),198.0)</f>
        <v>198</v>
      </c>
      <c r="E4855" s="2"/>
      <c r="F4855" s="2"/>
    </row>
    <row r="4856">
      <c r="A4856" s="2">
        <f>IFERROR(__xludf.DUMMYFUNCTION("""COMPUTED_VALUE"""),98939.0)</f>
        <v>98939</v>
      </c>
      <c r="B4856" s="2">
        <f>IFERROR(__xludf.DUMMYFUNCTION("""COMPUTED_VALUE"""),1.0)</f>
        <v>1</v>
      </c>
      <c r="C4856" s="2">
        <f>IFERROR(__xludf.DUMMYFUNCTION("""COMPUTED_VALUE"""),883.0)</f>
        <v>883</v>
      </c>
      <c r="D4856" s="3">
        <f>IFERROR(__xludf.DUMMYFUNCTION("""COMPUTED_VALUE"""),59.0)</f>
        <v>59</v>
      </c>
      <c r="E4856" s="2"/>
      <c r="F4856" s="2"/>
    </row>
    <row r="4857">
      <c r="A4857" s="2">
        <f>IFERROR(__xludf.DUMMYFUNCTION("""COMPUTED_VALUE"""),45826.0)</f>
        <v>45826</v>
      </c>
      <c r="B4857" s="2">
        <f>IFERROR(__xludf.DUMMYFUNCTION("""COMPUTED_VALUE"""),0.0)</f>
        <v>0</v>
      </c>
      <c r="C4857" s="2">
        <f>IFERROR(__xludf.DUMMYFUNCTION("""COMPUTED_VALUE"""),423.0)</f>
        <v>423</v>
      </c>
      <c r="D4857" s="3">
        <f>IFERROR(__xludf.DUMMYFUNCTION("""COMPUTED_VALUE"""),370.0)</f>
        <v>370</v>
      </c>
      <c r="E4857" s="2"/>
      <c r="F4857" s="2"/>
    </row>
    <row r="4858">
      <c r="A4858" s="2">
        <f>IFERROR(__xludf.DUMMYFUNCTION("""COMPUTED_VALUE"""),100797.0)</f>
        <v>100797</v>
      </c>
      <c r="B4858" s="2">
        <f>IFERROR(__xludf.DUMMYFUNCTION("""COMPUTED_VALUE"""),1.0)</f>
        <v>1</v>
      </c>
      <c r="C4858" s="2">
        <f>IFERROR(__xludf.DUMMYFUNCTION("""COMPUTED_VALUE"""),709.0)</f>
        <v>709</v>
      </c>
      <c r="D4858" s="3">
        <f>IFERROR(__xludf.DUMMYFUNCTION("""COMPUTED_VALUE"""),275.0)</f>
        <v>275</v>
      </c>
      <c r="E4858" s="2"/>
      <c r="F4858" s="2"/>
    </row>
    <row r="4859">
      <c r="A4859" s="2">
        <f>IFERROR(__xludf.DUMMYFUNCTION("""COMPUTED_VALUE"""),104429.0)</f>
        <v>104429</v>
      </c>
      <c r="B4859" s="2">
        <f>IFERROR(__xludf.DUMMYFUNCTION("""COMPUTED_VALUE"""),0.0)</f>
        <v>0</v>
      </c>
      <c r="C4859" s="2">
        <f>IFERROR(__xludf.DUMMYFUNCTION("""COMPUTED_VALUE"""),346.0)</f>
        <v>346</v>
      </c>
      <c r="D4859" s="3">
        <f>IFERROR(__xludf.DUMMYFUNCTION("""COMPUTED_VALUE"""),189.0)</f>
        <v>189</v>
      </c>
      <c r="E4859" s="2"/>
      <c r="F4859" s="2"/>
    </row>
    <row r="4860">
      <c r="A4860" s="2">
        <f>IFERROR(__xludf.DUMMYFUNCTION("""COMPUTED_VALUE"""),119806.0)</f>
        <v>119806</v>
      </c>
      <c r="B4860" s="2">
        <f>IFERROR(__xludf.DUMMYFUNCTION("""COMPUTED_VALUE"""),0.0)</f>
        <v>0</v>
      </c>
      <c r="C4860" s="2">
        <f>IFERROR(__xludf.DUMMYFUNCTION("""COMPUTED_VALUE"""),282.0)</f>
        <v>282</v>
      </c>
      <c r="D4860" s="3">
        <f>IFERROR(__xludf.DUMMYFUNCTION("""COMPUTED_VALUE"""),141.0)</f>
        <v>141</v>
      </c>
      <c r="E4860" s="2"/>
      <c r="F4860" s="2"/>
    </row>
    <row r="4861">
      <c r="A4861" s="2">
        <f>IFERROR(__xludf.DUMMYFUNCTION("""COMPUTED_VALUE"""),120734.0)</f>
        <v>120734</v>
      </c>
      <c r="B4861" s="2">
        <f>IFERROR(__xludf.DUMMYFUNCTION("""COMPUTED_VALUE"""),0.0)</f>
        <v>0</v>
      </c>
      <c r="C4861" s="2">
        <f>IFERROR(__xludf.DUMMYFUNCTION("""COMPUTED_VALUE"""),385.0)</f>
        <v>385</v>
      </c>
      <c r="D4861" s="3">
        <f>IFERROR(__xludf.DUMMYFUNCTION("""COMPUTED_VALUE"""),63.0)</f>
        <v>63</v>
      </c>
      <c r="E4861" s="2"/>
      <c r="F4861" s="2"/>
    </row>
    <row r="4862">
      <c r="A4862" s="2">
        <f>IFERROR(__xludf.DUMMYFUNCTION("""COMPUTED_VALUE"""),104423.0)</f>
        <v>104423</v>
      </c>
      <c r="B4862" s="2">
        <f>IFERROR(__xludf.DUMMYFUNCTION("""COMPUTED_VALUE"""),0.0)</f>
        <v>0</v>
      </c>
      <c r="C4862" s="2">
        <f>IFERROR(__xludf.DUMMYFUNCTION("""COMPUTED_VALUE"""),678.0)</f>
        <v>678</v>
      </c>
      <c r="D4862" s="3">
        <f>IFERROR(__xludf.DUMMYFUNCTION("""COMPUTED_VALUE"""),199.0)</f>
        <v>199</v>
      </c>
      <c r="E4862" s="2"/>
      <c r="F4862" s="2"/>
    </row>
    <row r="4863">
      <c r="A4863" s="2">
        <f>IFERROR(__xludf.DUMMYFUNCTION("""COMPUTED_VALUE"""),120286.0)</f>
        <v>120286</v>
      </c>
      <c r="B4863" s="2">
        <f>IFERROR(__xludf.DUMMYFUNCTION("""COMPUTED_VALUE"""),0.0)</f>
        <v>0</v>
      </c>
      <c r="C4863" s="2">
        <f>IFERROR(__xludf.DUMMYFUNCTION("""COMPUTED_VALUE"""),637.0)</f>
        <v>637</v>
      </c>
      <c r="D4863" s="3">
        <f>IFERROR(__xludf.DUMMYFUNCTION("""COMPUTED_VALUE"""),100.0)</f>
        <v>100</v>
      </c>
      <c r="E4863" s="2"/>
      <c r="F4863" s="2"/>
    </row>
    <row r="4864">
      <c r="A4864" s="2">
        <f>IFERROR(__xludf.DUMMYFUNCTION("""COMPUTED_VALUE"""),81838.0)</f>
        <v>81838</v>
      </c>
      <c r="B4864" s="2">
        <f>IFERROR(__xludf.DUMMYFUNCTION("""COMPUTED_VALUE"""),1.0)</f>
        <v>1</v>
      </c>
      <c r="C4864" s="2">
        <f>IFERROR(__xludf.DUMMYFUNCTION("""COMPUTED_VALUE"""),27.0)</f>
        <v>27</v>
      </c>
      <c r="D4864" s="3">
        <f>IFERROR(__xludf.DUMMYFUNCTION("""COMPUTED_VALUE"""),14.0)</f>
        <v>14</v>
      </c>
      <c r="E4864" s="2"/>
      <c r="F4864" s="2"/>
    </row>
    <row r="4865">
      <c r="A4865" s="2">
        <f>IFERROR(__xludf.DUMMYFUNCTION("""COMPUTED_VALUE"""),117718.0)</f>
        <v>117718</v>
      </c>
      <c r="B4865" s="2">
        <f>IFERROR(__xludf.DUMMYFUNCTION("""COMPUTED_VALUE"""),1.0)</f>
        <v>1</v>
      </c>
      <c r="C4865" s="2">
        <f>IFERROR(__xludf.DUMMYFUNCTION("""COMPUTED_VALUE"""),345.0)</f>
        <v>345</v>
      </c>
      <c r="D4865" s="3">
        <f>IFERROR(__xludf.DUMMYFUNCTION("""COMPUTED_VALUE"""),248.0)</f>
        <v>248</v>
      </c>
      <c r="E4865" s="2"/>
      <c r="F4865" s="2"/>
    </row>
    <row r="4866">
      <c r="A4866" s="2">
        <f>IFERROR(__xludf.DUMMYFUNCTION("""COMPUTED_VALUE"""),70611.0)</f>
        <v>70611</v>
      </c>
      <c r="B4866" s="2">
        <f>IFERROR(__xludf.DUMMYFUNCTION("""COMPUTED_VALUE"""),1.0)</f>
        <v>1</v>
      </c>
      <c r="C4866" s="2">
        <f>IFERROR(__xludf.DUMMYFUNCTION("""COMPUTED_VALUE"""),680.0)</f>
        <v>680</v>
      </c>
      <c r="D4866" s="3">
        <f>IFERROR(__xludf.DUMMYFUNCTION("""COMPUTED_VALUE"""),603.0)</f>
        <v>603</v>
      </c>
      <c r="E4866" s="2"/>
      <c r="F4866" s="2"/>
    </row>
    <row r="4867">
      <c r="A4867" s="2">
        <f>IFERROR(__xludf.DUMMYFUNCTION("""COMPUTED_VALUE"""),110848.0)</f>
        <v>110848</v>
      </c>
      <c r="B4867" s="2">
        <f>IFERROR(__xludf.DUMMYFUNCTION("""COMPUTED_VALUE"""),0.0)</f>
        <v>0</v>
      </c>
      <c r="C4867" s="2">
        <f>IFERROR(__xludf.DUMMYFUNCTION("""COMPUTED_VALUE"""),604.0)</f>
        <v>604</v>
      </c>
      <c r="D4867" s="3">
        <f>IFERROR(__xludf.DUMMYFUNCTION("""COMPUTED_VALUE"""),285.0)</f>
        <v>285</v>
      </c>
      <c r="E4867" s="2"/>
      <c r="F4867" s="2"/>
    </row>
    <row r="4868">
      <c r="A4868" s="2">
        <f>IFERROR(__xludf.DUMMYFUNCTION("""COMPUTED_VALUE"""),107925.0)</f>
        <v>107925</v>
      </c>
      <c r="B4868" s="2">
        <f>IFERROR(__xludf.DUMMYFUNCTION("""COMPUTED_VALUE"""),1.0)</f>
        <v>1</v>
      </c>
      <c r="C4868" s="2">
        <f>IFERROR(__xludf.DUMMYFUNCTION("""COMPUTED_VALUE"""),541.0)</f>
        <v>541</v>
      </c>
      <c r="D4868" s="3">
        <f>IFERROR(__xludf.DUMMYFUNCTION("""COMPUTED_VALUE"""),346.0)</f>
        <v>346</v>
      </c>
      <c r="E4868" s="2"/>
      <c r="F4868" s="2"/>
    </row>
    <row r="4869">
      <c r="A4869" s="2">
        <f>IFERROR(__xludf.DUMMYFUNCTION("""COMPUTED_VALUE"""),156038.0)</f>
        <v>156038</v>
      </c>
      <c r="B4869" s="2">
        <f>IFERROR(__xludf.DUMMYFUNCTION("""COMPUTED_VALUE"""),0.0)</f>
        <v>0</v>
      </c>
      <c r="C4869" s="2">
        <f>IFERROR(__xludf.DUMMYFUNCTION("""COMPUTED_VALUE"""),750.0)</f>
        <v>750</v>
      </c>
      <c r="D4869" s="3">
        <f>IFERROR(__xludf.DUMMYFUNCTION("""COMPUTED_VALUE"""),655.0)</f>
        <v>655</v>
      </c>
      <c r="E4869" s="2"/>
      <c r="F4869" s="2"/>
    </row>
    <row r="4870">
      <c r="A4870" s="2">
        <f>IFERROR(__xludf.DUMMYFUNCTION("""COMPUTED_VALUE"""),117392.0)</f>
        <v>117392</v>
      </c>
      <c r="B4870" s="2">
        <f>IFERROR(__xludf.DUMMYFUNCTION("""COMPUTED_VALUE"""),0.0)</f>
        <v>0</v>
      </c>
      <c r="C4870" s="2">
        <f>IFERROR(__xludf.DUMMYFUNCTION("""COMPUTED_VALUE"""),43.0)</f>
        <v>43</v>
      </c>
      <c r="D4870" s="3">
        <f>IFERROR(__xludf.DUMMYFUNCTION("""COMPUTED_VALUE"""),31.0)</f>
        <v>31</v>
      </c>
      <c r="E4870" s="2"/>
      <c r="F4870" s="2"/>
    </row>
    <row r="4871">
      <c r="A4871" s="2">
        <f>IFERROR(__xludf.DUMMYFUNCTION("""COMPUTED_VALUE"""),86620.0)</f>
        <v>86620</v>
      </c>
      <c r="B4871" s="2">
        <f>IFERROR(__xludf.DUMMYFUNCTION("""COMPUTED_VALUE"""),1.0)</f>
        <v>1</v>
      </c>
      <c r="C4871" s="2">
        <f>IFERROR(__xludf.DUMMYFUNCTION("""COMPUTED_VALUE"""),288.0)</f>
        <v>288</v>
      </c>
      <c r="D4871" s="3">
        <f>IFERROR(__xludf.DUMMYFUNCTION("""COMPUTED_VALUE"""),10.0)</f>
        <v>10</v>
      </c>
      <c r="E4871" s="2"/>
      <c r="F4871" s="2"/>
    </row>
    <row r="4872">
      <c r="A4872" s="2">
        <f>IFERROR(__xludf.DUMMYFUNCTION("""COMPUTED_VALUE"""),27871.0)</f>
        <v>27871</v>
      </c>
      <c r="B4872" s="2">
        <f>IFERROR(__xludf.DUMMYFUNCTION("""COMPUTED_VALUE"""),0.0)</f>
        <v>0</v>
      </c>
      <c r="C4872" s="2">
        <f>IFERROR(__xludf.DUMMYFUNCTION("""COMPUTED_VALUE"""),527.0)</f>
        <v>527</v>
      </c>
      <c r="D4872" s="3">
        <f>IFERROR(__xludf.DUMMYFUNCTION("""COMPUTED_VALUE"""),404.0)</f>
        <v>404</v>
      </c>
      <c r="E4872" s="2"/>
      <c r="F4872" s="2"/>
    </row>
    <row r="4873">
      <c r="A4873" s="2">
        <f>IFERROR(__xludf.DUMMYFUNCTION("""COMPUTED_VALUE"""),82874.0)</f>
        <v>82874</v>
      </c>
      <c r="B4873" s="2">
        <f>IFERROR(__xludf.DUMMYFUNCTION("""COMPUTED_VALUE"""),0.0)</f>
        <v>0</v>
      </c>
      <c r="C4873" s="2">
        <f>IFERROR(__xludf.DUMMYFUNCTION("""COMPUTED_VALUE"""),366.0)</f>
        <v>366</v>
      </c>
      <c r="D4873" s="3">
        <f>IFERROR(__xludf.DUMMYFUNCTION("""COMPUTED_VALUE"""),57.0)</f>
        <v>57</v>
      </c>
      <c r="E4873" s="2"/>
      <c r="F4873" s="2"/>
    </row>
    <row r="4874">
      <c r="A4874" s="2">
        <f>IFERROR(__xludf.DUMMYFUNCTION("""COMPUTED_VALUE"""),120292.0)</f>
        <v>120292</v>
      </c>
      <c r="B4874" s="2">
        <f>IFERROR(__xludf.DUMMYFUNCTION("""COMPUTED_VALUE"""),0.0)</f>
        <v>0</v>
      </c>
      <c r="C4874" s="2">
        <f>IFERROR(__xludf.DUMMYFUNCTION("""COMPUTED_VALUE"""),398.0)</f>
        <v>398</v>
      </c>
      <c r="D4874" s="3">
        <f>IFERROR(__xludf.DUMMYFUNCTION("""COMPUTED_VALUE"""),44.0)</f>
        <v>44</v>
      </c>
      <c r="E4874" s="2"/>
      <c r="F4874" s="2"/>
    </row>
    <row r="4875">
      <c r="A4875" s="2">
        <f>IFERROR(__xludf.DUMMYFUNCTION("""COMPUTED_VALUE"""),120293.0)</f>
        <v>120293</v>
      </c>
      <c r="B4875" s="2">
        <f>IFERROR(__xludf.DUMMYFUNCTION("""COMPUTED_VALUE"""),0.0)</f>
        <v>0</v>
      </c>
      <c r="C4875" s="2">
        <f>IFERROR(__xludf.DUMMYFUNCTION("""COMPUTED_VALUE"""),917.0)</f>
        <v>917</v>
      </c>
      <c r="D4875" s="3">
        <f>IFERROR(__xludf.DUMMYFUNCTION("""COMPUTED_VALUE"""),457.0)</f>
        <v>457</v>
      </c>
      <c r="E4875" s="2"/>
      <c r="F4875" s="2"/>
    </row>
    <row r="4876">
      <c r="A4876" s="2">
        <f>IFERROR(__xludf.DUMMYFUNCTION("""COMPUTED_VALUE"""),44522.0)</f>
        <v>44522</v>
      </c>
      <c r="B4876" s="2">
        <f>IFERROR(__xludf.DUMMYFUNCTION("""COMPUTED_VALUE"""),0.0)</f>
        <v>0</v>
      </c>
      <c r="C4876" s="2">
        <f>IFERROR(__xludf.DUMMYFUNCTION("""COMPUTED_VALUE"""),605.0)</f>
        <v>605</v>
      </c>
      <c r="D4876" s="3">
        <f>IFERROR(__xludf.DUMMYFUNCTION("""COMPUTED_VALUE"""),463.0)</f>
        <v>463</v>
      </c>
      <c r="E4876" s="2"/>
      <c r="F4876" s="2"/>
    </row>
    <row r="4877">
      <c r="A4877" s="2">
        <f>IFERROR(__xludf.DUMMYFUNCTION("""COMPUTED_VALUE"""),143999.0)</f>
        <v>143999</v>
      </c>
      <c r="B4877" s="2">
        <f>IFERROR(__xludf.DUMMYFUNCTION("""COMPUTED_VALUE"""),1.0)</f>
        <v>1</v>
      </c>
      <c r="C4877" s="2">
        <f>IFERROR(__xludf.DUMMYFUNCTION("""COMPUTED_VALUE"""),886.0)</f>
        <v>886</v>
      </c>
      <c r="D4877" s="3">
        <f>IFERROR(__xludf.DUMMYFUNCTION("""COMPUTED_VALUE"""),112.0)</f>
        <v>112</v>
      </c>
      <c r="E4877" s="2"/>
      <c r="F4877" s="2"/>
    </row>
    <row r="4878">
      <c r="A4878" s="2">
        <f>IFERROR(__xludf.DUMMYFUNCTION("""COMPUTED_VALUE"""),144000.0)</f>
        <v>144000</v>
      </c>
      <c r="B4878" s="2">
        <f>IFERROR(__xludf.DUMMYFUNCTION("""COMPUTED_VALUE"""),0.0)</f>
        <v>0</v>
      </c>
      <c r="C4878" s="2">
        <f>IFERROR(__xludf.DUMMYFUNCTION("""COMPUTED_VALUE"""),769.0)</f>
        <v>769</v>
      </c>
      <c r="D4878" s="3">
        <f>IFERROR(__xludf.DUMMYFUNCTION("""COMPUTED_VALUE"""),55.0)</f>
        <v>55</v>
      </c>
      <c r="E4878" s="2"/>
      <c r="F4878" s="2"/>
    </row>
    <row r="4879">
      <c r="A4879" s="2">
        <f>IFERROR(__xludf.DUMMYFUNCTION("""COMPUTED_VALUE"""),91236.0)</f>
        <v>91236</v>
      </c>
      <c r="B4879" s="2">
        <f>IFERROR(__xludf.DUMMYFUNCTION("""COMPUTED_VALUE"""),1.0)</f>
        <v>1</v>
      </c>
      <c r="C4879" s="2">
        <f>IFERROR(__xludf.DUMMYFUNCTION("""COMPUTED_VALUE"""),381.0)</f>
        <v>381</v>
      </c>
      <c r="D4879" s="3">
        <f>IFERROR(__xludf.DUMMYFUNCTION("""COMPUTED_VALUE"""),135.0)</f>
        <v>135</v>
      </c>
      <c r="E4879" s="2"/>
      <c r="F4879" s="2"/>
    </row>
    <row r="4880">
      <c r="A4880" s="2">
        <f>IFERROR(__xludf.DUMMYFUNCTION("""COMPUTED_VALUE"""),78213.0)</f>
        <v>78213</v>
      </c>
      <c r="B4880" s="2">
        <f>IFERROR(__xludf.DUMMYFUNCTION("""COMPUTED_VALUE"""),0.0)</f>
        <v>0</v>
      </c>
      <c r="C4880" s="2">
        <f>IFERROR(__xludf.DUMMYFUNCTION("""COMPUTED_VALUE"""),473.0)</f>
        <v>473</v>
      </c>
      <c r="D4880" s="3">
        <f>IFERROR(__xludf.DUMMYFUNCTION("""COMPUTED_VALUE"""),203.0)</f>
        <v>203</v>
      </c>
      <c r="E4880" s="2"/>
      <c r="F4880" s="2"/>
    </row>
    <row r="4881">
      <c r="A4881" s="2">
        <f>IFERROR(__xludf.DUMMYFUNCTION("""COMPUTED_VALUE"""),119254.0)</f>
        <v>119254</v>
      </c>
      <c r="B4881" s="2">
        <f>IFERROR(__xludf.DUMMYFUNCTION("""COMPUTED_VALUE"""),1.0)</f>
        <v>1</v>
      </c>
      <c r="C4881" s="2">
        <f>IFERROR(__xludf.DUMMYFUNCTION("""COMPUTED_VALUE"""),693.0)</f>
        <v>693</v>
      </c>
      <c r="D4881" s="3">
        <f>IFERROR(__xludf.DUMMYFUNCTION("""COMPUTED_VALUE"""),542.0)</f>
        <v>542</v>
      </c>
      <c r="E4881" s="2"/>
      <c r="F4881" s="2"/>
    </row>
    <row r="4882">
      <c r="A4882" s="2">
        <f>IFERROR(__xludf.DUMMYFUNCTION("""COMPUTED_VALUE"""),82149.0)</f>
        <v>82149</v>
      </c>
      <c r="B4882" s="2">
        <f>IFERROR(__xludf.DUMMYFUNCTION("""COMPUTED_VALUE"""),1.0)</f>
        <v>1</v>
      </c>
      <c r="C4882" s="2">
        <f>IFERROR(__xludf.DUMMYFUNCTION("""COMPUTED_VALUE"""),628.0)</f>
        <v>628</v>
      </c>
      <c r="D4882" s="3">
        <f>IFERROR(__xludf.DUMMYFUNCTION("""COMPUTED_VALUE"""),96.0)</f>
        <v>96</v>
      </c>
      <c r="E4882" s="2"/>
      <c r="F4882" s="2"/>
    </row>
    <row r="4883">
      <c r="A4883" s="2">
        <f>IFERROR(__xludf.DUMMYFUNCTION("""COMPUTED_VALUE"""),30864.0)</f>
        <v>30864</v>
      </c>
      <c r="B4883" s="2">
        <f>IFERROR(__xludf.DUMMYFUNCTION("""COMPUTED_VALUE"""),0.0)</f>
        <v>0</v>
      </c>
      <c r="C4883" s="2">
        <f>IFERROR(__xludf.DUMMYFUNCTION("""COMPUTED_VALUE"""),311.0)</f>
        <v>311</v>
      </c>
      <c r="D4883" s="3">
        <f>IFERROR(__xludf.DUMMYFUNCTION("""COMPUTED_VALUE"""),62.0)</f>
        <v>62</v>
      </c>
      <c r="E4883" s="2"/>
      <c r="F4883" s="2"/>
    </row>
    <row r="4884">
      <c r="A4884" s="2">
        <f>IFERROR(__xludf.DUMMYFUNCTION("""COMPUTED_VALUE"""),82148.0)</f>
        <v>82148</v>
      </c>
      <c r="B4884" s="2">
        <f>IFERROR(__xludf.DUMMYFUNCTION("""COMPUTED_VALUE"""),0.0)</f>
        <v>0</v>
      </c>
      <c r="C4884" s="2">
        <f>IFERROR(__xludf.DUMMYFUNCTION("""COMPUTED_VALUE"""),840.0)</f>
        <v>840</v>
      </c>
      <c r="D4884" s="3">
        <f>IFERROR(__xludf.DUMMYFUNCTION("""COMPUTED_VALUE"""),334.0)</f>
        <v>334</v>
      </c>
      <c r="E4884" s="2"/>
      <c r="F4884" s="2"/>
    </row>
    <row r="4885">
      <c r="A4885" s="2">
        <f>IFERROR(__xludf.DUMMYFUNCTION("""COMPUTED_VALUE"""),78069.0)</f>
        <v>78069</v>
      </c>
      <c r="B4885" s="2">
        <f>IFERROR(__xludf.DUMMYFUNCTION("""COMPUTED_VALUE"""),1.0)</f>
        <v>1</v>
      </c>
      <c r="C4885" s="2">
        <f>IFERROR(__xludf.DUMMYFUNCTION("""COMPUTED_VALUE"""),958.0)</f>
        <v>958</v>
      </c>
      <c r="D4885" s="3">
        <f>IFERROR(__xludf.DUMMYFUNCTION("""COMPUTED_VALUE"""),4.0)</f>
        <v>4</v>
      </c>
      <c r="E4885" s="2"/>
      <c r="F4885" s="2"/>
    </row>
    <row r="4886">
      <c r="A4886" s="2">
        <f>IFERROR(__xludf.DUMMYFUNCTION("""COMPUTED_VALUE"""),68623.0)</f>
        <v>68623</v>
      </c>
      <c r="B4886" s="2">
        <f>IFERROR(__xludf.DUMMYFUNCTION("""COMPUTED_VALUE"""),0.0)</f>
        <v>0</v>
      </c>
      <c r="C4886" s="2">
        <f>IFERROR(__xludf.DUMMYFUNCTION("""COMPUTED_VALUE"""),493.0)</f>
        <v>493</v>
      </c>
      <c r="D4886" s="3">
        <f>IFERROR(__xludf.DUMMYFUNCTION("""COMPUTED_VALUE"""),107.0)</f>
        <v>107</v>
      </c>
      <c r="E4886" s="2"/>
      <c r="F4886" s="2"/>
    </row>
    <row r="4887">
      <c r="A4887" s="2">
        <f>IFERROR(__xludf.DUMMYFUNCTION("""COMPUTED_VALUE"""),108904.0)</f>
        <v>108904</v>
      </c>
      <c r="B4887" s="2">
        <f>IFERROR(__xludf.DUMMYFUNCTION("""COMPUTED_VALUE"""),1.0)</f>
        <v>1</v>
      </c>
      <c r="C4887" s="2">
        <f>IFERROR(__xludf.DUMMYFUNCTION("""COMPUTED_VALUE"""),587.0)</f>
        <v>587</v>
      </c>
      <c r="D4887" s="3">
        <f>IFERROR(__xludf.DUMMYFUNCTION("""COMPUTED_VALUE"""),558.0)</f>
        <v>558</v>
      </c>
      <c r="E4887" s="2"/>
      <c r="F4887" s="2"/>
    </row>
    <row r="4888">
      <c r="A4888" s="2">
        <f>IFERROR(__xludf.DUMMYFUNCTION("""COMPUTED_VALUE"""),113967.0)</f>
        <v>113967</v>
      </c>
      <c r="B4888" s="2">
        <f>IFERROR(__xludf.DUMMYFUNCTION("""COMPUTED_VALUE"""),1.0)</f>
        <v>1</v>
      </c>
      <c r="C4888" s="2">
        <f>IFERROR(__xludf.DUMMYFUNCTION("""COMPUTED_VALUE"""),840.0)</f>
        <v>840</v>
      </c>
      <c r="D4888" s="3">
        <f>IFERROR(__xludf.DUMMYFUNCTION("""COMPUTED_VALUE"""),92.0)</f>
        <v>92</v>
      </c>
      <c r="E4888" s="2"/>
      <c r="F4888" s="2"/>
    </row>
    <row r="4889">
      <c r="A4889" s="2">
        <f>IFERROR(__xludf.DUMMYFUNCTION("""COMPUTED_VALUE"""),10145.0)</f>
        <v>10145</v>
      </c>
      <c r="B4889" s="2">
        <f>IFERROR(__xludf.DUMMYFUNCTION("""COMPUTED_VALUE"""),1.0)</f>
        <v>1</v>
      </c>
      <c r="C4889" s="2">
        <f>IFERROR(__xludf.DUMMYFUNCTION("""COMPUTED_VALUE"""),161.0)</f>
        <v>161</v>
      </c>
      <c r="D4889" s="3">
        <f>IFERROR(__xludf.DUMMYFUNCTION("""COMPUTED_VALUE"""),12.0)</f>
        <v>12</v>
      </c>
      <c r="E4889" s="2"/>
      <c r="F4889" s="2"/>
    </row>
    <row r="4890">
      <c r="A4890" s="2">
        <f>IFERROR(__xludf.DUMMYFUNCTION("""COMPUTED_VALUE"""),116960.0)</f>
        <v>116960</v>
      </c>
      <c r="B4890" s="2">
        <f>IFERROR(__xludf.DUMMYFUNCTION("""COMPUTED_VALUE"""),1.0)</f>
        <v>1</v>
      </c>
      <c r="C4890" s="2">
        <f>IFERROR(__xludf.DUMMYFUNCTION("""COMPUTED_VALUE"""),813.0)</f>
        <v>813</v>
      </c>
      <c r="D4890" s="3">
        <f>IFERROR(__xludf.DUMMYFUNCTION("""COMPUTED_VALUE"""),395.0)</f>
        <v>395</v>
      </c>
      <c r="E4890" s="2"/>
      <c r="F4890" s="2"/>
    </row>
    <row r="4891">
      <c r="A4891" s="2">
        <f>IFERROR(__xludf.DUMMYFUNCTION("""COMPUTED_VALUE"""),103663.0)</f>
        <v>103663</v>
      </c>
      <c r="B4891" s="2">
        <f>IFERROR(__xludf.DUMMYFUNCTION("""COMPUTED_VALUE"""),0.0)</f>
        <v>0</v>
      </c>
      <c r="C4891" s="2">
        <f>IFERROR(__xludf.DUMMYFUNCTION("""COMPUTED_VALUE"""),85.0)</f>
        <v>85</v>
      </c>
      <c r="D4891" s="3">
        <f>IFERROR(__xludf.DUMMYFUNCTION("""COMPUTED_VALUE"""),74.0)</f>
        <v>74</v>
      </c>
      <c r="E4891" s="2"/>
      <c r="F4891" s="2"/>
    </row>
    <row r="4892">
      <c r="A4892" s="2">
        <f>IFERROR(__xludf.DUMMYFUNCTION("""COMPUTED_VALUE"""),45983.0)</f>
        <v>45983</v>
      </c>
      <c r="B4892" s="2">
        <f>IFERROR(__xludf.DUMMYFUNCTION("""COMPUTED_VALUE"""),0.0)</f>
        <v>0</v>
      </c>
      <c r="C4892" s="2">
        <f>IFERROR(__xludf.DUMMYFUNCTION("""COMPUTED_VALUE"""),402.0)</f>
        <v>402</v>
      </c>
      <c r="D4892" s="3">
        <f>IFERROR(__xludf.DUMMYFUNCTION("""COMPUTED_VALUE"""),333.0)</f>
        <v>333</v>
      </c>
      <c r="E4892" s="2"/>
      <c r="F4892" s="2"/>
    </row>
    <row r="4893">
      <c r="A4893" s="2">
        <f>IFERROR(__xludf.DUMMYFUNCTION("""COMPUTED_VALUE"""),103662.0)</f>
        <v>103662</v>
      </c>
      <c r="B4893" s="2">
        <f>IFERROR(__xludf.DUMMYFUNCTION("""COMPUTED_VALUE"""),0.0)</f>
        <v>0</v>
      </c>
      <c r="C4893" s="2">
        <f>IFERROR(__xludf.DUMMYFUNCTION("""COMPUTED_VALUE"""),367.0)</f>
        <v>367</v>
      </c>
      <c r="D4893" s="3">
        <f>IFERROR(__xludf.DUMMYFUNCTION("""COMPUTED_VALUE"""),245.0)</f>
        <v>245</v>
      </c>
      <c r="E4893" s="2"/>
      <c r="F4893" s="2"/>
    </row>
    <row r="4894">
      <c r="A4894" s="2">
        <f>IFERROR(__xludf.DUMMYFUNCTION("""COMPUTED_VALUE"""),78318.0)</f>
        <v>78318</v>
      </c>
      <c r="B4894" s="2">
        <f>IFERROR(__xludf.DUMMYFUNCTION("""COMPUTED_VALUE"""),0.0)</f>
        <v>0</v>
      </c>
      <c r="C4894" s="2">
        <f>IFERROR(__xludf.DUMMYFUNCTION("""COMPUTED_VALUE"""),899.0)</f>
        <v>899</v>
      </c>
      <c r="D4894" s="3">
        <f>IFERROR(__xludf.DUMMYFUNCTION("""COMPUTED_VALUE"""),519.0)</f>
        <v>519</v>
      </c>
      <c r="E4894" s="2"/>
      <c r="F4894" s="2"/>
    </row>
    <row r="4895">
      <c r="A4895" s="2">
        <f>IFERROR(__xludf.DUMMYFUNCTION("""COMPUTED_VALUE"""),120179.0)</f>
        <v>120179</v>
      </c>
      <c r="B4895" s="2">
        <f>IFERROR(__xludf.DUMMYFUNCTION("""COMPUTED_VALUE"""),1.0)</f>
        <v>1</v>
      </c>
      <c r="C4895" s="2">
        <f>IFERROR(__xludf.DUMMYFUNCTION("""COMPUTED_VALUE"""),913.0)</f>
        <v>913</v>
      </c>
      <c r="D4895" s="3">
        <f>IFERROR(__xludf.DUMMYFUNCTION("""COMPUTED_VALUE"""),704.0)</f>
        <v>704</v>
      </c>
      <c r="E4895" s="2"/>
      <c r="F4895" s="2"/>
    </row>
    <row r="4896">
      <c r="A4896" s="2">
        <f>IFERROR(__xludf.DUMMYFUNCTION("""COMPUTED_VALUE"""),10144.0)</f>
        <v>10144</v>
      </c>
      <c r="B4896" s="2">
        <f>IFERROR(__xludf.DUMMYFUNCTION("""COMPUTED_VALUE"""),1.0)</f>
        <v>1</v>
      </c>
      <c r="C4896" s="2">
        <f>IFERROR(__xludf.DUMMYFUNCTION("""COMPUTED_VALUE"""),899.0)</f>
        <v>899</v>
      </c>
      <c r="D4896" s="3">
        <f>IFERROR(__xludf.DUMMYFUNCTION("""COMPUTED_VALUE"""),435.0)</f>
        <v>435</v>
      </c>
      <c r="E4896" s="2"/>
      <c r="F4896" s="2"/>
    </row>
    <row r="4897">
      <c r="A4897" s="2">
        <f>IFERROR(__xludf.DUMMYFUNCTION("""COMPUTED_VALUE"""),78304.0)</f>
        <v>78304</v>
      </c>
      <c r="B4897" s="2">
        <f>IFERROR(__xludf.DUMMYFUNCTION("""COMPUTED_VALUE"""),1.0)</f>
        <v>1</v>
      </c>
      <c r="C4897" s="2">
        <f>IFERROR(__xludf.DUMMYFUNCTION("""COMPUTED_VALUE"""),161.0)</f>
        <v>161</v>
      </c>
      <c r="D4897" s="3">
        <f>IFERROR(__xludf.DUMMYFUNCTION("""COMPUTED_VALUE"""),110.0)</f>
        <v>110</v>
      </c>
      <c r="E4897" s="2"/>
      <c r="F4897" s="2"/>
    </row>
    <row r="4898">
      <c r="A4898" s="2">
        <f>IFERROR(__xludf.DUMMYFUNCTION("""COMPUTED_VALUE"""),86598.0)</f>
        <v>86598</v>
      </c>
      <c r="B4898" s="2">
        <f>IFERROR(__xludf.DUMMYFUNCTION("""COMPUTED_VALUE"""),0.0)</f>
        <v>0</v>
      </c>
      <c r="C4898" s="2">
        <f>IFERROR(__xludf.DUMMYFUNCTION("""COMPUTED_VALUE"""),184.0)</f>
        <v>184</v>
      </c>
      <c r="D4898" s="3">
        <f>IFERROR(__xludf.DUMMYFUNCTION("""COMPUTED_VALUE"""),61.0)</f>
        <v>61</v>
      </c>
      <c r="E4898" s="2"/>
      <c r="F4898" s="2"/>
    </row>
    <row r="4899">
      <c r="A4899" s="2">
        <f>IFERROR(__xludf.DUMMYFUNCTION("""COMPUTED_VALUE"""),103665.0)</f>
        <v>103665</v>
      </c>
      <c r="B4899" s="2">
        <f>IFERROR(__xludf.DUMMYFUNCTION("""COMPUTED_VALUE"""),1.0)</f>
        <v>1</v>
      </c>
      <c r="C4899" s="2">
        <f>IFERROR(__xludf.DUMMYFUNCTION("""COMPUTED_VALUE"""),614.0)</f>
        <v>614</v>
      </c>
      <c r="D4899" s="3">
        <f>IFERROR(__xludf.DUMMYFUNCTION("""COMPUTED_VALUE"""),368.0)</f>
        <v>368</v>
      </c>
      <c r="E4899" s="2"/>
      <c r="F4899" s="2"/>
    </row>
    <row r="4900">
      <c r="A4900" s="2">
        <f>IFERROR(__xludf.DUMMYFUNCTION("""COMPUTED_VALUE"""),77771.0)</f>
        <v>77771</v>
      </c>
      <c r="B4900" s="2">
        <f>IFERROR(__xludf.DUMMYFUNCTION("""COMPUTED_VALUE"""),0.0)</f>
        <v>0</v>
      </c>
      <c r="C4900" s="2">
        <f>IFERROR(__xludf.DUMMYFUNCTION("""COMPUTED_VALUE"""),283.0)</f>
        <v>283</v>
      </c>
      <c r="D4900" s="3">
        <f>IFERROR(__xludf.DUMMYFUNCTION("""COMPUTED_VALUE"""),8.0)</f>
        <v>8</v>
      </c>
      <c r="E4900" s="2"/>
      <c r="F4900" s="2"/>
    </row>
    <row r="4901">
      <c r="A4901" s="2">
        <f>IFERROR(__xludf.DUMMYFUNCTION("""COMPUTED_VALUE"""),116798.0)</f>
        <v>116798</v>
      </c>
      <c r="B4901" s="2">
        <f>IFERROR(__xludf.DUMMYFUNCTION("""COMPUTED_VALUE"""),1.0)</f>
        <v>1</v>
      </c>
      <c r="C4901" s="2">
        <f>IFERROR(__xludf.DUMMYFUNCTION("""COMPUTED_VALUE"""),553.0)</f>
        <v>553</v>
      </c>
      <c r="D4901" s="3">
        <f>IFERROR(__xludf.DUMMYFUNCTION("""COMPUTED_VALUE"""),64.0)</f>
        <v>64</v>
      </c>
      <c r="E4901" s="2"/>
      <c r="F4901" s="2"/>
    </row>
    <row r="4902">
      <c r="A4902" s="2">
        <f>IFERROR(__xludf.DUMMYFUNCTION("""COMPUTED_VALUE"""),100610.0)</f>
        <v>100610</v>
      </c>
      <c r="B4902" s="2">
        <f>IFERROR(__xludf.DUMMYFUNCTION("""COMPUTED_VALUE"""),0.0)</f>
        <v>0</v>
      </c>
      <c r="C4902" s="2">
        <f>IFERROR(__xludf.DUMMYFUNCTION("""COMPUTED_VALUE"""),316.0)</f>
        <v>316</v>
      </c>
      <c r="D4902" s="3">
        <f>IFERROR(__xludf.DUMMYFUNCTION("""COMPUTED_VALUE"""),138.0)</f>
        <v>138</v>
      </c>
      <c r="E4902" s="2"/>
      <c r="F4902" s="2"/>
    </row>
    <row r="4903">
      <c r="A4903" s="2">
        <f>IFERROR(__xludf.DUMMYFUNCTION("""COMPUTED_VALUE"""),77772.0)</f>
        <v>77772</v>
      </c>
      <c r="B4903" s="2">
        <f>IFERROR(__xludf.DUMMYFUNCTION("""COMPUTED_VALUE"""),1.0)</f>
        <v>1</v>
      </c>
      <c r="C4903" s="2">
        <f>IFERROR(__xludf.DUMMYFUNCTION("""COMPUTED_VALUE"""),15.0)</f>
        <v>15</v>
      </c>
      <c r="D4903" s="3">
        <f>IFERROR(__xludf.DUMMYFUNCTION("""COMPUTED_VALUE"""),1.0)</f>
        <v>1</v>
      </c>
      <c r="E4903" s="2"/>
      <c r="F4903" s="2"/>
    </row>
    <row r="4904">
      <c r="A4904" s="2">
        <f>IFERROR(__xludf.DUMMYFUNCTION("""COMPUTED_VALUE"""),119914.0)</f>
        <v>119914</v>
      </c>
      <c r="B4904" s="2">
        <f>IFERROR(__xludf.DUMMYFUNCTION("""COMPUTED_VALUE"""),0.0)</f>
        <v>0</v>
      </c>
      <c r="C4904" s="2">
        <f>IFERROR(__xludf.DUMMYFUNCTION("""COMPUTED_VALUE"""),718.0)</f>
        <v>718</v>
      </c>
      <c r="D4904" s="3">
        <f>IFERROR(__xludf.DUMMYFUNCTION("""COMPUTED_VALUE"""),366.0)</f>
        <v>366</v>
      </c>
      <c r="E4904" s="2"/>
      <c r="F4904" s="2"/>
    </row>
    <row r="4905">
      <c r="A4905" s="2">
        <f>IFERROR(__xludf.DUMMYFUNCTION("""COMPUTED_VALUE"""),88495.0)</f>
        <v>88495</v>
      </c>
      <c r="B4905" s="2">
        <f>IFERROR(__xludf.DUMMYFUNCTION("""COMPUTED_VALUE"""),0.0)</f>
        <v>0</v>
      </c>
      <c r="C4905" s="2">
        <f>IFERROR(__xludf.DUMMYFUNCTION("""COMPUTED_VALUE"""),888.0)</f>
        <v>888</v>
      </c>
      <c r="D4905" s="3">
        <f>IFERROR(__xludf.DUMMYFUNCTION("""COMPUTED_VALUE"""),125.0)</f>
        <v>125</v>
      </c>
      <c r="E4905" s="2"/>
      <c r="F4905" s="2"/>
    </row>
    <row r="4906">
      <c r="A4906" s="2">
        <f>IFERROR(__xludf.DUMMYFUNCTION("""COMPUTED_VALUE"""),88487.0)</f>
        <v>88487</v>
      </c>
      <c r="B4906" s="2">
        <f>IFERROR(__xludf.DUMMYFUNCTION("""COMPUTED_VALUE"""),1.0)</f>
        <v>1</v>
      </c>
      <c r="C4906" s="2">
        <f>IFERROR(__xludf.DUMMYFUNCTION("""COMPUTED_VALUE"""),343.0)</f>
        <v>343</v>
      </c>
      <c r="D4906" s="3">
        <f>IFERROR(__xludf.DUMMYFUNCTION("""COMPUTED_VALUE"""),265.0)</f>
        <v>265</v>
      </c>
      <c r="E4906" s="2"/>
      <c r="F4906" s="2"/>
    </row>
    <row r="4907">
      <c r="A4907" s="2">
        <f>IFERROR(__xludf.DUMMYFUNCTION("""COMPUTED_VALUE"""),109488.0)</f>
        <v>109488</v>
      </c>
      <c r="B4907" s="2">
        <f>IFERROR(__xludf.DUMMYFUNCTION("""COMPUTED_VALUE"""),0.0)</f>
        <v>0</v>
      </c>
      <c r="C4907" s="2">
        <f>IFERROR(__xludf.DUMMYFUNCTION("""COMPUTED_VALUE"""),623.0)</f>
        <v>623</v>
      </c>
      <c r="D4907" s="3">
        <f>IFERROR(__xludf.DUMMYFUNCTION("""COMPUTED_VALUE"""),414.0)</f>
        <v>414</v>
      </c>
      <c r="E4907" s="2"/>
      <c r="F4907" s="2"/>
    </row>
    <row r="4908">
      <c r="A4908" s="2">
        <f>IFERROR(__xludf.DUMMYFUNCTION("""COMPUTED_VALUE"""),11401.0)</f>
        <v>11401</v>
      </c>
      <c r="B4908" s="2">
        <f>IFERROR(__xludf.DUMMYFUNCTION("""COMPUTED_VALUE"""),1.0)</f>
        <v>1</v>
      </c>
      <c r="C4908" s="2">
        <f>IFERROR(__xludf.DUMMYFUNCTION("""COMPUTED_VALUE"""),400.0)</f>
        <v>400</v>
      </c>
      <c r="D4908" s="3">
        <f>IFERROR(__xludf.DUMMYFUNCTION("""COMPUTED_VALUE"""),318.0)</f>
        <v>318</v>
      </c>
      <c r="E4908" s="2"/>
      <c r="F4908" s="2"/>
    </row>
    <row r="4909">
      <c r="A4909" s="2">
        <f>IFERROR(__xludf.DUMMYFUNCTION("""COMPUTED_VALUE"""),45530.0)</f>
        <v>45530</v>
      </c>
      <c r="B4909" s="2">
        <f>IFERROR(__xludf.DUMMYFUNCTION("""COMPUTED_VALUE"""),1.0)</f>
        <v>1</v>
      </c>
      <c r="C4909" s="2">
        <f>IFERROR(__xludf.DUMMYFUNCTION("""COMPUTED_VALUE"""),387.0)</f>
        <v>387</v>
      </c>
      <c r="D4909" s="3">
        <f>IFERROR(__xludf.DUMMYFUNCTION("""COMPUTED_VALUE"""),346.0)</f>
        <v>346</v>
      </c>
      <c r="E4909" s="2"/>
      <c r="F4909" s="2"/>
    </row>
    <row r="4910">
      <c r="A4910" s="2">
        <f>IFERROR(__xludf.DUMMYFUNCTION("""COMPUTED_VALUE"""),104426.0)</f>
        <v>104426</v>
      </c>
      <c r="B4910" s="2">
        <f>IFERROR(__xludf.DUMMYFUNCTION("""COMPUTED_VALUE"""),0.0)</f>
        <v>0</v>
      </c>
      <c r="C4910" s="2">
        <f>IFERROR(__xludf.DUMMYFUNCTION("""COMPUTED_VALUE"""),241.0)</f>
        <v>241</v>
      </c>
      <c r="D4910" s="3">
        <f>IFERROR(__xludf.DUMMYFUNCTION("""COMPUTED_VALUE"""),91.0)</f>
        <v>91</v>
      </c>
      <c r="E4910" s="2"/>
      <c r="F4910" s="2"/>
    </row>
    <row r="4911">
      <c r="A4911" s="2">
        <f>IFERROR(__xludf.DUMMYFUNCTION("""COMPUTED_VALUE"""),119827.0)</f>
        <v>119827</v>
      </c>
      <c r="B4911" s="2">
        <f>IFERROR(__xludf.DUMMYFUNCTION("""COMPUTED_VALUE"""),0.0)</f>
        <v>0</v>
      </c>
      <c r="C4911" s="2">
        <f>IFERROR(__xludf.DUMMYFUNCTION("""COMPUTED_VALUE"""),304.0)</f>
        <v>304</v>
      </c>
      <c r="D4911" s="3">
        <f>IFERROR(__xludf.DUMMYFUNCTION("""COMPUTED_VALUE"""),237.0)</f>
        <v>237</v>
      </c>
      <c r="E4911" s="2"/>
      <c r="F4911" s="2"/>
    </row>
    <row r="4912">
      <c r="A4912" s="2">
        <f>IFERROR(__xludf.DUMMYFUNCTION("""COMPUTED_VALUE"""),104384.0)</f>
        <v>104384</v>
      </c>
      <c r="B4912" s="2">
        <f>IFERROR(__xludf.DUMMYFUNCTION("""COMPUTED_VALUE"""),1.0)</f>
        <v>1</v>
      </c>
      <c r="C4912" s="2">
        <f>IFERROR(__xludf.DUMMYFUNCTION("""COMPUTED_VALUE"""),528.0)</f>
        <v>528</v>
      </c>
      <c r="D4912" s="3">
        <f>IFERROR(__xludf.DUMMYFUNCTION("""COMPUTED_VALUE"""),127.0)</f>
        <v>127</v>
      </c>
      <c r="E4912" s="2"/>
      <c r="F4912" s="2"/>
    </row>
    <row r="4913">
      <c r="A4913" s="2">
        <f>IFERROR(__xludf.DUMMYFUNCTION("""COMPUTED_VALUE"""),121966.0)</f>
        <v>121966</v>
      </c>
      <c r="B4913" s="2">
        <f>IFERROR(__xludf.DUMMYFUNCTION("""COMPUTED_VALUE"""),1.0)</f>
        <v>1</v>
      </c>
      <c r="C4913" s="2">
        <f>IFERROR(__xludf.DUMMYFUNCTION("""COMPUTED_VALUE"""),480.0)</f>
        <v>480</v>
      </c>
      <c r="D4913" s="3">
        <f>IFERROR(__xludf.DUMMYFUNCTION("""COMPUTED_VALUE"""),399.0)</f>
        <v>399</v>
      </c>
      <c r="E4913" s="2"/>
      <c r="F4913" s="2"/>
    </row>
    <row r="4914">
      <c r="A4914" s="2">
        <f>IFERROR(__xludf.DUMMYFUNCTION("""COMPUTED_VALUE"""),120183.0)</f>
        <v>120183</v>
      </c>
      <c r="B4914" s="2">
        <f>IFERROR(__xludf.DUMMYFUNCTION("""COMPUTED_VALUE"""),1.0)</f>
        <v>1</v>
      </c>
      <c r="C4914" s="2">
        <f>IFERROR(__xludf.DUMMYFUNCTION("""COMPUTED_VALUE"""),341.0)</f>
        <v>341</v>
      </c>
      <c r="D4914" s="3">
        <f>IFERROR(__xludf.DUMMYFUNCTION("""COMPUTED_VALUE"""),245.0)</f>
        <v>245</v>
      </c>
      <c r="E4914" s="2"/>
      <c r="F4914" s="2"/>
    </row>
    <row r="4915">
      <c r="A4915" s="2">
        <f>IFERROR(__xludf.DUMMYFUNCTION("""COMPUTED_VALUE"""),82832.0)</f>
        <v>82832</v>
      </c>
      <c r="B4915" s="2">
        <f>IFERROR(__xludf.DUMMYFUNCTION("""COMPUTED_VALUE"""),0.0)</f>
        <v>0</v>
      </c>
      <c r="C4915" s="2">
        <f>IFERROR(__xludf.DUMMYFUNCTION("""COMPUTED_VALUE"""),70.0)</f>
        <v>70</v>
      </c>
      <c r="D4915" s="3">
        <f>IFERROR(__xludf.DUMMYFUNCTION("""COMPUTED_VALUE"""),53.0)</f>
        <v>53</v>
      </c>
      <c r="E4915" s="2"/>
      <c r="F4915" s="2"/>
    </row>
    <row r="4916">
      <c r="A4916" s="2">
        <f>IFERROR(__xludf.DUMMYFUNCTION("""COMPUTED_VALUE"""),117607.0)</f>
        <v>117607</v>
      </c>
      <c r="B4916" s="2">
        <f>IFERROR(__xludf.DUMMYFUNCTION("""COMPUTED_VALUE"""),1.0)</f>
        <v>1</v>
      </c>
      <c r="C4916" s="2">
        <f>IFERROR(__xludf.DUMMYFUNCTION("""COMPUTED_VALUE"""),553.0)</f>
        <v>553</v>
      </c>
      <c r="D4916" s="3">
        <f>IFERROR(__xludf.DUMMYFUNCTION("""COMPUTED_VALUE"""),66.0)</f>
        <v>66</v>
      </c>
      <c r="E4916" s="2"/>
      <c r="F4916" s="2"/>
    </row>
    <row r="4917">
      <c r="A4917" s="2">
        <f>IFERROR(__xludf.DUMMYFUNCTION("""COMPUTED_VALUE"""),116244.0)</f>
        <v>116244</v>
      </c>
      <c r="B4917" s="2">
        <f>IFERROR(__xludf.DUMMYFUNCTION("""COMPUTED_VALUE"""),1.0)</f>
        <v>1</v>
      </c>
      <c r="C4917" s="2">
        <f>IFERROR(__xludf.DUMMYFUNCTION("""COMPUTED_VALUE"""),978.0)</f>
        <v>978</v>
      </c>
      <c r="D4917" s="3">
        <f>IFERROR(__xludf.DUMMYFUNCTION("""COMPUTED_VALUE"""),903.0)</f>
        <v>903</v>
      </c>
      <c r="E4917" s="2"/>
      <c r="F4917" s="2"/>
    </row>
    <row r="4918">
      <c r="A4918" s="2">
        <f>IFERROR(__xludf.DUMMYFUNCTION("""COMPUTED_VALUE"""),81045.0)</f>
        <v>81045</v>
      </c>
      <c r="B4918" s="2">
        <f>IFERROR(__xludf.DUMMYFUNCTION("""COMPUTED_VALUE"""),1.0)</f>
        <v>1</v>
      </c>
      <c r="C4918" s="2">
        <f>IFERROR(__xludf.DUMMYFUNCTION("""COMPUTED_VALUE"""),966.0)</f>
        <v>966</v>
      </c>
      <c r="D4918" s="3">
        <f>IFERROR(__xludf.DUMMYFUNCTION("""COMPUTED_VALUE"""),609.0)</f>
        <v>609</v>
      </c>
      <c r="E4918" s="2"/>
      <c r="F4918" s="2"/>
    </row>
    <row r="4919">
      <c r="A4919" s="2">
        <f>IFERROR(__xludf.DUMMYFUNCTION("""COMPUTED_VALUE"""),106021.0)</f>
        <v>106021</v>
      </c>
      <c r="B4919" s="2">
        <f>IFERROR(__xludf.DUMMYFUNCTION("""COMPUTED_VALUE"""),1.0)</f>
        <v>1</v>
      </c>
      <c r="C4919" s="2">
        <f>IFERROR(__xludf.DUMMYFUNCTION("""COMPUTED_VALUE"""),373.0)</f>
        <v>373</v>
      </c>
      <c r="D4919" s="3">
        <f>IFERROR(__xludf.DUMMYFUNCTION("""COMPUTED_VALUE"""),193.0)</f>
        <v>193</v>
      </c>
      <c r="E4919" s="2"/>
      <c r="F4919" s="2"/>
    </row>
    <row r="4920">
      <c r="A4920" s="2">
        <f>IFERROR(__xludf.DUMMYFUNCTION("""COMPUTED_VALUE"""),86622.0)</f>
        <v>86622</v>
      </c>
      <c r="B4920" s="2">
        <f>IFERROR(__xludf.DUMMYFUNCTION("""COMPUTED_VALUE"""),0.0)</f>
        <v>0</v>
      </c>
      <c r="C4920" s="2">
        <f>IFERROR(__xludf.DUMMYFUNCTION("""COMPUTED_VALUE"""),4.0)</f>
        <v>4</v>
      </c>
      <c r="D4920" s="3">
        <f>IFERROR(__xludf.DUMMYFUNCTION("""COMPUTED_VALUE"""),3.0)</f>
        <v>3</v>
      </c>
      <c r="E4920" s="2"/>
      <c r="F4920" s="2"/>
    </row>
    <row r="4921">
      <c r="A4921" s="2">
        <f>IFERROR(__xludf.DUMMYFUNCTION("""COMPUTED_VALUE"""),82834.0)</f>
        <v>82834</v>
      </c>
      <c r="B4921" s="2">
        <f>IFERROR(__xludf.DUMMYFUNCTION("""COMPUTED_VALUE"""),1.0)</f>
        <v>1</v>
      </c>
      <c r="C4921" s="2">
        <f>IFERROR(__xludf.DUMMYFUNCTION("""COMPUTED_VALUE"""),667.0)</f>
        <v>667</v>
      </c>
      <c r="D4921" s="3">
        <f>IFERROR(__xludf.DUMMYFUNCTION("""COMPUTED_VALUE"""),564.0)</f>
        <v>564</v>
      </c>
      <c r="E4921" s="2"/>
      <c r="F4921" s="2"/>
    </row>
    <row r="4922">
      <c r="A4922" s="2">
        <f>IFERROR(__xludf.DUMMYFUNCTION("""COMPUTED_VALUE"""),81008.0)</f>
        <v>81008</v>
      </c>
      <c r="B4922" s="2">
        <f>IFERROR(__xludf.DUMMYFUNCTION("""COMPUTED_VALUE"""),0.0)</f>
        <v>0</v>
      </c>
      <c r="C4922" s="2">
        <f>IFERROR(__xludf.DUMMYFUNCTION("""COMPUTED_VALUE"""),472.0)</f>
        <v>472</v>
      </c>
      <c r="D4922" s="3">
        <f>IFERROR(__xludf.DUMMYFUNCTION("""COMPUTED_VALUE"""),39.0)</f>
        <v>39</v>
      </c>
      <c r="E4922" s="2"/>
      <c r="F4922" s="2"/>
    </row>
    <row r="4923">
      <c r="A4923" s="2">
        <f>IFERROR(__xludf.DUMMYFUNCTION("""COMPUTED_VALUE"""),83167.0)</f>
        <v>83167</v>
      </c>
      <c r="B4923" s="2">
        <f>IFERROR(__xludf.DUMMYFUNCTION("""COMPUTED_VALUE"""),1.0)</f>
        <v>1</v>
      </c>
      <c r="C4923" s="2">
        <f>IFERROR(__xludf.DUMMYFUNCTION("""COMPUTED_VALUE"""),683.0)</f>
        <v>683</v>
      </c>
      <c r="D4923" s="3">
        <f>IFERROR(__xludf.DUMMYFUNCTION("""COMPUTED_VALUE"""),343.0)</f>
        <v>343</v>
      </c>
      <c r="E4923" s="2"/>
      <c r="F4923" s="2"/>
    </row>
    <row r="4924">
      <c r="A4924" s="2">
        <f>IFERROR(__xludf.DUMMYFUNCTION("""COMPUTED_VALUE"""),86584.0)</f>
        <v>86584</v>
      </c>
      <c r="B4924" s="2">
        <f>IFERROR(__xludf.DUMMYFUNCTION("""COMPUTED_VALUE"""),0.0)</f>
        <v>0</v>
      </c>
      <c r="C4924" s="2">
        <f>IFERROR(__xludf.DUMMYFUNCTION("""COMPUTED_VALUE"""),271.0)</f>
        <v>271</v>
      </c>
      <c r="D4924" s="3">
        <f>IFERROR(__xludf.DUMMYFUNCTION("""COMPUTED_VALUE"""),256.0)</f>
        <v>256</v>
      </c>
      <c r="E4924" s="2"/>
      <c r="F4924" s="2"/>
    </row>
    <row r="4925">
      <c r="A4925" s="2">
        <f>IFERROR(__xludf.DUMMYFUNCTION("""COMPUTED_VALUE"""),79902.0)</f>
        <v>79902</v>
      </c>
      <c r="B4925" s="2">
        <f>IFERROR(__xludf.DUMMYFUNCTION("""COMPUTED_VALUE"""),1.0)</f>
        <v>1</v>
      </c>
      <c r="C4925" s="2">
        <f>IFERROR(__xludf.DUMMYFUNCTION("""COMPUTED_VALUE"""),924.0)</f>
        <v>924</v>
      </c>
      <c r="D4925" s="3">
        <f>IFERROR(__xludf.DUMMYFUNCTION("""COMPUTED_VALUE"""),867.0)</f>
        <v>867</v>
      </c>
      <c r="E4925" s="2"/>
      <c r="F4925" s="2"/>
    </row>
    <row r="4926">
      <c r="A4926" s="2">
        <f>IFERROR(__xludf.DUMMYFUNCTION("""COMPUTED_VALUE"""),41328.0)</f>
        <v>41328</v>
      </c>
      <c r="B4926" s="2">
        <f>IFERROR(__xludf.DUMMYFUNCTION("""COMPUTED_VALUE"""),0.0)</f>
        <v>0</v>
      </c>
      <c r="C4926" s="2">
        <f>IFERROR(__xludf.DUMMYFUNCTION("""COMPUTED_VALUE"""),732.0)</f>
        <v>732</v>
      </c>
      <c r="D4926" s="3">
        <f>IFERROR(__xludf.DUMMYFUNCTION("""COMPUTED_VALUE"""),167.0)</f>
        <v>167</v>
      </c>
      <c r="E4926" s="2"/>
      <c r="F4926" s="2"/>
    </row>
    <row r="4927">
      <c r="A4927" s="2">
        <f>IFERROR(__xludf.DUMMYFUNCTION("""COMPUTED_VALUE"""),79907.0)</f>
        <v>79907</v>
      </c>
      <c r="B4927" s="2">
        <f>IFERROR(__xludf.DUMMYFUNCTION("""COMPUTED_VALUE"""),0.0)</f>
        <v>0</v>
      </c>
      <c r="C4927" s="2">
        <f>IFERROR(__xludf.DUMMYFUNCTION("""COMPUTED_VALUE"""),141.0)</f>
        <v>141</v>
      </c>
      <c r="D4927" s="3">
        <f>IFERROR(__xludf.DUMMYFUNCTION("""COMPUTED_VALUE"""),26.0)</f>
        <v>26</v>
      </c>
      <c r="E4927" s="2"/>
      <c r="F4927" s="2"/>
    </row>
    <row r="4928">
      <c r="A4928" s="2">
        <f>IFERROR(__xludf.DUMMYFUNCTION("""COMPUTED_VALUE"""),70588.0)</f>
        <v>70588</v>
      </c>
      <c r="B4928" s="2">
        <f>IFERROR(__xludf.DUMMYFUNCTION("""COMPUTED_VALUE"""),0.0)</f>
        <v>0</v>
      </c>
      <c r="C4928" s="2">
        <f>IFERROR(__xludf.DUMMYFUNCTION("""COMPUTED_VALUE"""),842.0)</f>
        <v>842</v>
      </c>
      <c r="D4928" s="3">
        <f>IFERROR(__xludf.DUMMYFUNCTION("""COMPUTED_VALUE"""),185.0)</f>
        <v>185</v>
      </c>
      <c r="E4928" s="2"/>
      <c r="F4928" s="2"/>
    </row>
    <row r="4929">
      <c r="A4929" s="2">
        <f>IFERROR(__xludf.DUMMYFUNCTION("""COMPUTED_VALUE"""),70587.0)</f>
        <v>70587</v>
      </c>
      <c r="B4929" s="2">
        <f>IFERROR(__xludf.DUMMYFUNCTION("""COMPUTED_VALUE"""),0.0)</f>
        <v>0</v>
      </c>
      <c r="C4929" s="2">
        <f>IFERROR(__xludf.DUMMYFUNCTION("""COMPUTED_VALUE"""),32.0)</f>
        <v>32</v>
      </c>
      <c r="D4929" s="3">
        <f>IFERROR(__xludf.DUMMYFUNCTION("""COMPUTED_VALUE"""),30.0)</f>
        <v>30</v>
      </c>
      <c r="E4929" s="2"/>
      <c r="F4929" s="2"/>
    </row>
    <row r="4930">
      <c r="A4930" s="2">
        <f>IFERROR(__xludf.DUMMYFUNCTION("""COMPUTED_VALUE"""),109356.0)</f>
        <v>109356</v>
      </c>
      <c r="B4930" s="2">
        <f>IFERROR(__xludf.DUMMYFUNCTION("""COMPUTED_VALUE"""),1.0)</f>
        <v>1</v>
      </c>
      <c r="C4930" s="2">
        <f>IFERROR(__xludf.DUMMYFUNCTION("""COMPUTED_VALUE"""),544.0)</f>
        <v>544</v>
      </c>
      <c r="D4930" s="3">
        <f>IFERROR(__xludf.DUMMYFUNCTION("""COMPUTED_VALUE"""),443.0)</f>
        <v>443</v>
      </c>
      <c r="E4930" s="2"/>
      <c r="F4930" s="2"/>
    </row>
    <row r="4931">
      <c r="A4931" s="2">
        <f>IFERROR(__xludf.DUMMYFUNCTION("""COMPUTED_VALUE"""),47892.0)</f>
        <v>47892</v>
      </c>
      <c r="B4931" s="2">
        <f>IFERROR(__xludf.DUMMYFUNCTION("""COMPUTED_VALUE"""),1.0)</f>
        <v>1</v>
      </c>
      <c r="C4931" s="2">
        <f>IFERROR(__xludf.DUMMYFUNCTION("""COMPUTED_VALUE"""),392.0)</f>
        <v>392</v>
      </c>
      <c r="D4931" s="3">
        <f>IFERROR(__xludf.DUMMYFUNCTION("""COMPUTED_VALUE"""),217.0)</f>
        <v>217</v>
      </c>
      <c r="E4931" s="2"/>
      <c r="F4931" s="2"/>
    </row>
    <row r="4932">
      <c r="A4932" s="2">
        <f>IFERROR(__xludf.DUMMYFUNCTION("""COMPUTED_VALUE"""),79901.0)</f>
        <v>79901</v>
      </c>
      <c r="B4932" s="2">
        <f>IFERROR(__xludf.DUMMYFUNCTION("""COMPUTED_VALUE"""),1.0)</f>
        <v>1</v>
      </c>
      <c r="C4932" s="2">
        <f>IFERROR(__xludf.DUMMYFUNCTION("""COMPUTED_VALUE"""),240.0)</f>
        <v>240</v>
      </c>
      <c r="D4932" s="3">
        <f>IFERROR(__xludf.DUMMYFUNCTION("""COMPUTED_VALUE"""),168.0)</f>
        <v>168</v>
      </c>
      <c r="E4932" s="2"/>
      <c r="F4932" s="2"/>
    </row>
    <row r="4933">
      <c r="A4933" s="2">
        <f>IFERROR(__xludf.DUMMYFUNCTION("""COMPUTED_VALUE"""),70585.0)</f>
        <v>70585</v>
      </c>
      <c r="B4933" s="2">
        <f>IFERROR(__xludf.DUMMYFUNCTION("""COMPUTED_VALUE"""),0.0)</f>
        <v>0</v>
      </c>
      <c r="C4933" s="2">
        <f>IFERROR(__xludf.DUMMYFUNCTION("""COMPUTED_VALUE"""),91.0)</f>
        <v>91</v>
      </c>
      <c r="D4933" s="3">
        <f>IFERROR(__xludf.DUMMYFUNCTION("""COMPUTED_VALUE"""),21.0)</f>
        <v>21</v>
      </c>
      <c r="E4933" s="2"/>
      <c r="F4933" s="2"/>
    </row>
    <row r="4934">
      <c r="A4934" s="2">
        <f>IFERROR(__xludf.DUMMYFUNCTION("""COMPUTED_VALUE"""),4375.0)</f>
        <v>4375</v>
      </c>
      <c r="B4934" s="2">
        <f>IFERROR(__xludf.DUMMYFUNCTION("""COMPUTED_VALUE"""),0.0)</f>
        <v>0</v>
      </c>
      <c r="C4934" s="2">
        <f>IFERROR(__xludf.DUMMYFUNCTION("""COMPUTED_VALUE"""),729.0)</f>
        <v>729</v>
      </c>
      <c r="D4934" s="3">
        <f>IFERROR(__xludf.DUMMYFUNCTION("""COMPUTED_VALUE"""),251.0)</f>
        <v>251</v>
      </c>
      <c r="E4934" s="2"/>
      <c r="F4934" s="2"/>
    </row>
    <row r="4935">
      <c r="A4935" s="2">
        <f>IFERROR(__xludf.DUMMYFUNCTION("""COMPUTED_VALUE"""),4380.0)</f>
        <v>4380</v>
      </c>
      <c r="B4935" s="2">
        <f>IFERROR(__xludf.DUMMYFUNCTION("""COMPUTED_VALUE"""),1.0)</f>
        <v>1</v>
      </c>
      <c r="C4935" s="2">
        <f>IFERROR(__xludf.DUMMYFUNCTION("""COMPUTED_VALUE"""),930.0)</f>
        <v>930</v>
      </c>
      <c r="D4935" s="3">
        <f>IFERROR(__xludf.DUMMYFUNCTION("""COMPUTED_VALUE"""),875.0)</f>
        <v>875</v>
      </c>
      <c r="E4935" s="2"/>
      <c r="F4935" s="2"/>
    </row>
    <row r="4936">
      <c r="A4936" s="2">
        <f>IFERROR(__xludf.DUMMYFUNCTION("""COMPUTED_VALUE"""),84967.0)</f>
        <v>84967</v>
      </c>
      <c r="B4936" s="2">
        <f>IFERROR(__xludf.DUMMYFUNCTION("""COMPUTED_VALUE"""),1.0)</f>
        <v>1</v>
      </c>
      <c r="C4936" s="2">
        <f>IFERROR(__xludf.DUMMYFUNCTION("""COMPUTED_VALUE"""),749.0)</f>
        <v>749</v>
      </c>
      <c r="D4936" s="3">
        <f>IFERROR(__xludf.DUMMYFUNCTION("""COMPUTED_VALUE"""),318.0)</f>
        <v>318</v>
      </c>
      <c r="E4936" s="2"/>
      <c r="F4936" s="2"/>
    </row>
    <row r="4937">
      <c r="A4937" s="2">
        <f>IFERROR(__xludf.DUMMYFUNCTION("""COMPUTED_VALUE"""),4381.0)</f>
        <v>4381</v>
      </c>
      <c r="B4937" s="2">
        <f>IFERROR(__xludf.DUMMYFUNCTION("""COMPUTED_VALUE"""),1.0)</f>
        <v>1</v>
      </c>
      <c r="C4937" s="2">
        <f>IFERROR(__xludf.DUMMYFUNCTION("""COMPUTED_VALUE"""),248.0)</f>
        <v>248</v>
      </c>
      <c r="D4937" s="3">
        <f>IFERROR(__xludf.DUMMYFUNCTION("""COMPUTED_VALUE"""),171.0)</f>
        <v>171</v>
      </c>
      <c r="E4937" s="2"/>
      <c r="F4937" s="2"/>
    </row>
    <row r="4938">
      <c r="A4938" s="2">
        <f>IFERROR(__xludf.DUMMYFUNCTION("""COMPUTED_VALUE"""),4379.0)</f>
        <v>4379</v>
      </c>
      <c r="B4938" s="2">
        <f>IFERROR(__xludf.DUMMYFUNCTION("""COMPUTED_VALUE"""),0.0)</f>
        <v>0</v>
      </c>
      <c r="C4938" s="2">
        <f>IFERROR(__xludf.DUMMYFUNCTION("""COMPUTED_VALUE"""),622.0)</f>
        <v>622</v>
      </c>
      <c r="D4938" s="3">
        <f>IFERROR(__xludf.DUMMYFUNCTION("""COMPUTED_VALUE"""),360.0)</f>
        <v>360</v>
      </c>
      <c r="E4938" s="2"/>
      <c r="F4938" s="2"/>
    </row>
    <row r="4939">
      <c r="A4939" s="2">
        <f>IFERROR(__xludf.DUMMYFUNCTION("""COMPUTED_VALUE"""),4383.0)</f>
        <v>4383</v>
      </c>
      <c r="B4939" s="2">
        <f>IFERROR(__xludf.DUMMYFUNCTION("""COMPUTED_VALUE"""),1.0)</f>
        <v>1</v>
      </c>
      <c r="C4939" s="2">
        <f>IFERROR(__xludf.DUMMYFUNCTION("""COMPUTED_VALUE"""),777.0)</f>
        <v>777</v>
      </c>
      <c r="D4939" s="3">
        <f>IFERROR(__xludf.DUMMYFUNCTION("""COMPUTED_VALUE"""),669.0)</f>
        <v>669</v>
      </c>
      <c r="E4939" s="2"/>
      <c r="F4939" s="2"/>
    </row>
    <row r="4940">
      <c r="A4940" s="2">
        <f>IFERROR(__xludf.DUMMYFUNCTION("""COMPUTED_VALUE"""),110770.0)</f>
        <v>110770</v>
      </c>
      <c r="B4940" s="2">
        <f>IFERROR(__xludf.DUMMYFUNCTION("""COMPUTED_VALUE"""),1.0)</f>
        <v>1</v>
      </c>
      <c r="C4940" s="2">
        <f>IFERROR(__xludf.DUMMYFUNCTION("""COMPUTED_VALUE"""),748.0)</f>
        <v>748</v>
      </c>
      <c r="D4940" s="3">
        <f>IFERROR(__xludf.DUMMYFUNCTION("""COMPUTED_VALUE"""),255.0)</f>
        <v>255</v>
      </c>
      <c r="E4940" s="2"/>
      <c r="F4940" s="2"/>
    </row>
    <row r="4941">
      <c r="A4941" s="2">
        <f>IFERROR(__xludf.DUMMYFUNCTION("""COMPUTED_VALUE"""),110764.0)</f>
        <v>110764</v>
      </c>
      <c r="B4941" s="2">
        <f>IFERROR(__xludf.DUMMYFUNCTION("""COMPUTED_VALUE"""),0.0)</f>
        <v>0</v>
      </c>
      <c r="C4941" s="2">
        <f>IFERROR(__xludf.DUMMYFUNCTION("""COMPUTED_VALUE"""),512.0)</f>
        <v>512</v>
      </c>
      <c r="D4941" s="3">
        <f>IFERROR(__xludf.DUMMYFUNCTION("""COMPUTED_VALUE"""),350.0)</f>
        <v>350</v>
      </c>
      <c r="E4941" s="2"/>
      <c r="F4941" s="2"/>
    </row>
    <row r="4942">
      <c r="A4942" s="2">
        <f>IFERROR(__xludf.DUMMYFUNCTION("""COMPUTED_VALUE"""),109355.0)</f>
        <v>109355</v>
      </c>
      <c r="B4942" s="2">
        <f>IFERROR(__xludf.DUMMYFUNCTION("""COMPUTED_VALUE"""),0.0)</f>
        <v>0</v>
      </c>
      <c r="C4942" s="2">
        <f>IFERROR(__xludf.DUMMYFUNCTION("""COMPUTED_VALUE"""),65.0)</f>
        <v>65</v>
      </c>
      <c r="D4942" s="3">
        <f>IFERROR(__xludf.DUMMYFUNCTION("""COMPUTED_VALUE"""),11.0)</f>
        <v>11</v>
      </c>
      <c r="E4942" s="2"/>
      <c r="F4942" s="2"/>
    </row>
    <row r="4943">
      <c r="A4943" s="2">
        <f>IFERROR(__xludf.DUMMYFUNCTION("""COMPUTED_VALUE"""),110765.0)</f>
        <v>110765</v>
      </c>
      <c r="B4943" s="2">
        <f>IFERROR(__xludf.DUMMYFUNCTION("""COMPUTED_VALUE"""),1.0)</f>
        <v>1</v>
      </c>
      <c r="C4943" s="2">
        <f>IFERROR(__xludf.DUMMYFUNCTION("""COMPUTED_VALUE"""),944.0)</f>
        <v>944</v>
      </c>
      <c r="D4943" s="3">
        <f>IFERROR(__xludf.DUMMYFUNCTION("""COMPUTED_VALUE"""),12.0)</f>
        <v>12</v>
      </c>
      <c r="E4943" s="2"/>
      <c r="F4943" s="2"/>
    </row>
    <row r="4944">
      <c r="A4944" s="2">
        <f>IFERROR(__xludf.DUMMYFUNCTION("""COMPUTED_VALUE"""),103510.0)</f>
        <v>103510</v>
      </c>
      <c r="B4944" s="2">
        <f>IFERROR(__xludf.DUMMYFUNCTION("""COMPUTED_VALUE"""),1.0)</f>
        <v>1</v>
      </c>
      <c r="C4944" s="2">
        <f>IFERROR(__xludf.DUMMYFUNCTION("""COMPUTED_VALUE"""),590.0)</f>
        <v>590</v>
      </c>
      <c r="D4944" s="3">
        <f>IFERROR(__xludf.DUMMYFUNCTION("""COMPUTED_VALUE"""),169.0)</f>
        <v>169</v>
      </c>
      <c r="E4944" s="2"/>
      <c r="F4944" s="2"/>
    </row>
    <row r="4945">
      <c r="A4945" s="2">
        <f>IFERROR(__xludf.DUMMYFUNCTION("""COMPUTED_VALUE"""),114936.0)</f>
        <v>114936</v>
      </c>
      <c r="B4945" s="2">
        <f>IFERROR(__xludf.DUMMYFUNCTION("""COMPUTED_VALUE"""),1.0)</f>
        <v>1</v>
      </c>
      <c r="C4945" s="2">
        <f>IFERROR(__xludf.DUMMYFUNCTION("""COMPUTED_VALUE"""),202.0)</f>
        <v>202</v>
      </c>
      <c r="D4945" s="3">
        <f>IFERROR(__xludf.DUMMYFUNCTION("""COMPUTED_VALUE"""),8.0)</f>
        <v>8</v>
      </c>
      <c r="E4945" s="2"/>
      <c r="F4945" s="2"/>
    </row>
    <row r="4946">
      <c r="A4946" s="2">
        <f>IFERROR(__xludf.DUMMYFUNCTION("""COMPUTED_VALUE"""),114935.0)</f>
        <v>114935</v>
      </c>
      <c r="B4946" s="2">
        <f>IFERROR(__xludf.DUMMYFUNCTION("""COMPUTED_VALUE"""),1.0)</f>
        <v>1</v>
      </c>
      <c r="C4946" s="2">
        <f>IFERROR(__xludf.DUMMYFUNCTION("""COMPUTED_VALUE"""),312.0)</f>
        <v>312</v>
      </c>
      <c r="D4946" s="3">
        <f>IFERROR(__xludf.DUMMYFUNCTION("""COMPUTED_VALUE"""),94.0)</f>
        <v>94</v>
      </c>
      <c r="E4946" s="2"/>
      <c r="F4946" s="2"/>
    </row>
    <row r="4947">
      <c r="A4947" s="2">
        <f>IFERROR(__xludf.DUMMYFUNCTION("""COMPUTED_VALUE"""),110768.0)</f>
        <v>110768</v>
      </c>
      <c r="B4947" s="2">
        <f>IFERROR(__xludf.DUMMYFUNCTION("""COMPUTED_VALUE"""),1.0)</f>
        <v>1</v>
      </c>
      <c r="C4947" s="2">
        <f>IFERROR(__xludf.DUMMYFUNCTION("""COMPUTED_VALUE"""),437.0)</f>
        <v>437</v>
      </c>
      <c r="D4947" s="3">
        <f>IFERROR(__xludf.DUMMYFUNCTION("""COMPUTED_VALUE"""),34.0)</f>
        <v>34</v>
      </c>
      <c r="E4947" s="2"/>
      <c r="F4947" s="2"/>
    </row>
    <row r="4948">
      <c r="A4948" s="2">
        <f>IFERROR(__xludf.DUMMYFUNCTION("""COMPUTED_VALUE"""),120256.0)</f>
        <v>120256</v>
      </c>
      <c r="B4948" s="2">
        <f>IFERROR(__xludf.DUMMYFUNCTION("""COMPUTED_VALUE"""),0.0)</f>
        <v>0</v>
      </c>
      <c r="C4948" s="2">
        <f>IFERROR(__xludf.DUMMYFUNCTION("""COMPUTED_VALUE"""),970.0)</f>
        <v>970</v>
      </c>
      <c r="D4948" s="3">
        <f>IFERROR(__xludf.DUMMYFUNCTION("""COMPUTED_VALUE"""),776.0)</f>
        <v>776</v>
      </c>
      <c r="E4948" s="2"/>
      <c r="F4948" s="2"/>
    </row>
    <row r="4949">
      <c r="A4949" s="2">
        <f>IFERROR(__xludf.DUMMYFUNCTION("""COMPUTED_VALUE"""),101783.0)</f>
        <v>101783</v>
      </c>
      <c r="B4949" s="2">
        <f>IFERROR(__xludf.DUMMYFUNCTION("""COMPUTED_VALUE"""),1.0)</f>
        <v>1</v>
      </c>
      <c r="C4949" s="2">
        <f>IFERROR(__xludf.DUMMYFUNCTION("""COMPUTED_VALUE"""),622.0)</f>
        <v>622</v>
      </c>
      <c r="D4949" s="3">
        <f>IFERROR(__xludf.DUMMYFUNCTION("""COMPUTED_VALUE"""),113.0)</f>
        <v>113</v>
      </c>
      <c r="E4949" s="2"/>
      <c r="F4949" s="2"/>
    </row>
    <row r="4950">
      <c r="A4950" s="2">
        <f>IFERROR(__xludf.DUMMYFUNCTION("""COMPUTED_VALUE"""),75766.0)</f>
        <v>75766</v>
      </c>
      <c r="B4950" s="2">
        <f>IFERROR(__xludf.DUMMYFUNCTION("""COMPUTED_VALUE"""),0.0)</f>
        <v>0</v>
      </c>
      <c r="C4950" s="2">
        <f>IFERROR(__xludf.DUMMYFUNCTION("""COMPUTED_VALUE"""),845.0)</f>
        <v>845</v>
      </c>
      <c r="D4950" s="3">
        <f>IFERROR(__xludf.DUMMYFUNCTION("""COMPUTED_VALUE"""),123.0)</f>
        <v>123</v>
      </c>
      <c r="E4950" s="2"/>
      <c r="F4950" s="2"/>
    </row>
    <row r="4951">
      <c r="A4951" s="2">
        <f>IFERROR(__xludf.DUMMYFUNCTION("""COMPUTED_VALUE"""),69756.0)</f>
        <v>69756</v>
      </c>
      <c r="B4951" s="2">
        <f>IFERROR(__xludf.DUMMYFUNCTION("""COMPUTED_VALUE"""),0.0)</f>
        <v>0</v>
      </c>
      <c r="C4951" s="2">
        <f>IFERROR(__xludf.DUMMYFUNCTION("""COMPUTED_VALUE"""),95.0)</f>
        <v>95</v>
      </c>
      <c r="D4951" s="3">
        <f>IFERROR(__xludf.DUMMYFUNCTION("""COMPUTED_VALUE"""),70.0)</f>
        <v>70</v>
      </c>
      <c r="E4951" s="2"/>
      <c r="F4951" s="2"/>
    </row>
    <row r="4952">
      <c r="A4952" s="2">
        <f>IFERROR(__xludf.DUMMYFUNCTION("""COMPUTED_VALUE"""),112471.0)</f>
        <v>112471</v>
      </c>
      <c r="B4952" s="2">
        <f>IFERROR(__xludf.DUMMYFUNCTION("""COMPUTED_VALUE"""),1.0)</f>
        <v>1</v>
      </c>
      <c r="C4952" s="2">
        <f>IFERROR(__xludf.DUMMYFUNCTION("""COMPUTED_VALUE"""),918.0)</f>
        <v>918</v>
      </c>
      <c r="D4952" s="3">
        <f>IFERROR(__xludf.DUMMYFUNCTION("""COMPUTED_VALUE"""),630.0)</f>
        <v>630</v>
      </c>
      <c r="E4952" s="2"/>
      <c r="F4952" s="2"/>
    </row>
    <row r="4953">
      <c r="A4953" s="2">
        <f>IFERROR(__xludf.DUMMYFUNCTION("""COMPUTED_VALUE"""),99040.0)</f>
        <v>99040</v>
      </c>
      <c r="B4953" s="2">
        <f>IFERROR(__xludf.DUMMYFUNCTION("""COMPUTED_VALUE"""),0.0)</f>
        <v>0</v>
      </c>
      <c r="C4953" s="2">
        <f>IFERROR(__xludf.DUMMYFUNCTION("""COMPUTED_VALUE"""),342.0)</f>
        <v>342</v>
      </c>
      <c r="D4953" s="3">
        <f>IFERROR(__xludf.DUMMYFUNCTION("""COMPUTED_VALUE"""),27.0)</f>
        <v>27</v>
      </c>
      <c r="E4953" s="2"/>
      <c r="F4953" s="2"/>
    </row>
    <row r="4954">
      <c r="A4954" s="2">
        <f>IFERROR(__xludf.DUMMYFUNCTION("""COMPUTED_VALUE"""),112321.0)</f>
        <v>112321</v>
      </c>
      <c r="B4954" s="2">
        <f>IFERROR(__xludf.DUMMYFUNCTION("""COMPUTED_VALUE"""),0.0)</f>
        <v>0</v>
      </c>
      <c r="C4954" s="2">
        <f>IFERROR(__xludf.DUMMYFUNCTION("""COMPUTED_VALUE"""),75.0)</f>
        <v>75</v>
      </c>
      <c r="D4954" s="3">
        <f>IFERROR(__xludf.DUMMYFUNCTION("""COMPUTED_VALUE"""),64.0)</f>
        <v>64</v>
      </c>
      <c r="E4954" s="2"/>
      <c r="F4954" s="2"/>
    </row>
    <row r="4955">
      <c r="A4955" s="2">
        <f>IFERROR(__xludf.DUMMYFUNCTION("""COMPUTED_VALUE"""),139296.0)</f>
        <v>139296</v>
      </c>
      <c r="B4955" s="2">
        <f>IFERROR(__xludf.DUMMYFUNCTION("""COMPUTED_VALUE"""),1.0)</f>
        <v>1</v>
      </c>
      <c r="C4955" s="2">
        <f>IFERROR(__xludf.DUMMYFUNCTION("""COMPUTED_VALUE"""),552.0)</f>
        <v>552</v>
      </c>
      <c r="D4955" s="3">
        <f>IFERROR(__xludf.DUMMYFUNCTION("""COMPUTED_VALUE"""),126.0)</f>
        <v>126</v>
      </c>
      <c r="E4955" s="2"/>
      <c r="F4955" s="2"/>
    </row>
    <row r="4956">
      <c r="A4956" s="2">
        <f>IFERROR(__xludf.DUMMYFUNCTION("""COMPUTED_VALUE"""),112318.0)</f>
        <v>112318</v>
      </c>
      <c r="B4956" s="2">
        <f>IFERROR(__xludf.DUMMYFUNCTION("""COMPUTED_VALUE"""),0.0)</f>
        <v>0</v>
      </c>
      <c r="C4956" s="2">
        <f>IFERROR(__xludf.DUMMYFUNCTION("""COMPUTED_VALUE"""),818.0)</f>
        <v>818</v>
      </c>
      <c r="D4956" s="3">
        <f>IFERROR(__xludf.DUMMYFUNCTION("""COMPUTED_VALUE"""),802.0)</f>
        <v>802</v>
      </c>
      <c r="E4956" s="2"/>
      <c r="F4956" s="2"/>
    </row>
    <row r="4957">
      <c r="A4957" s="2">
        <f>IFERROR(__xludf.DUMMYFUNCTION("""COMPUTED_VALUE"""),86119.0)</f>
        <v>86119</v>
      </c>
      <c r="B4957" s="2">
        <f>IFERROR(__xludf.DUMMYFUNCTION("""COMPUTED_VALUE"""),0.0)</f>
        <v>0</v>
      </c>
      <c r="C4957" s="2">
        <f>IFERROR(__xludf.DUMMYFUNCTION("""COMPUTED_VALUE"""),544.0)</f>
        <v>544</v>
      </c>
      <c r="D4957" s="3">
        <f>IFERROR(__xludf.DUMMYFUNCTION("""COMPUTED_VALUE"""),39.0)</f>
        <v>39</v>
      </c>
      <c r="E4957" s="2"/>
      <c r="F4957" s="2"/>
    </row>
    <row r="4958">
      <c r="A4958" s="2">
        <f>IFERROR(__xludf.DUMMYFUNCTION("""COMPUTED_VALUE"""),79895.0)</f>
        <v>79895</v>
      </c>
      <c r="B4958" s="2">
        <f>IFERROR(__xludf.DUMMYFUNCTION("""COMPUTED_VALUE"""),1.0)</f>
        <v>1</v>
      </c>
      <c r="C4958" s="2">
        <f>IFERROR(__xludf.DUMMYFUNCTION("""COMPUTED_VALUE"""),844.0)</f>
        <v>844</v>
      </c>
      <c r="D4958" s="3">
        <f>IFERROR(__xludf.DUMMYFUNCTION("""COMPUTED_VALUE"""),440.0)</f>
        <v>440</v>
      </c>
      <c r="E4958" s="2"/>
      <c r="F4958" s="2"/>
    </row>
    <row r="4959">
      <c r="A4959" s="2">
        <f>IFERROR(__xludf.DUMMYFUNCTION("""COMPUTED_VALUE"""),133909.0)</f>
        <v>133909</v>
      </c>
      <c r="B4959" s="2">
        <f>IFERROR(__xludf.DUMMYFUNCTION("""COMPUTED_VALUE"""),0.0)</f>
        <v>0</v>
      </c>
      <c r="C4959" s="2">
        <f>IFERROR(__xludf.DUMMYFUNCTION("""COMPUTED_VALUE"""),414.0)</f>
        <v>414</v>
      </c>
      <c r="D4959" s="3">
        <f>IFERROR(__xludf.DUMMYFUNCTION("""COMPUTED_VALUE"""),286.0)</f>
        <v>286</v>
      </c>
      <c r="E4959" s="2"/>
      <c r="F4959" s="2"/>
    </row>
    <row r="4960">
      <c r="A4960" s="2">
        <f>IFERROR(__xludf.DUMMYFUNCTION("""COMPUTED_VALUE"""),128338.0)</f>
        <v>128338</v>
      </c>
      <c r="B4960" s="2">
        <f>IFERROR(__xludf.DUMMYFUNCTION("""COMPUTED_VALUE"""),0.0)</f>
        <v>0</v>
      </c>
      <c r="C4960" s="2">
        <f>IFERROR(__xludf.DUMMYFUNCTION("""COMPUTED_VALUE"""),790.0)</f>
        <v>790</v>
      </c>
      <c r="D4960" s="3">
        <f>IFERROR(__xludf.DUMMYFUNCTION("""COMPUTED_VALUE"""),117.0)</f>
        <v>117</v>
      </c>
      <c r="E4960" s="2"/>
      <c r="F4960" s="2"/>
    </row>
    <row r="4961">
      <c r="A4961" s="2">
        <f>IFERROR(__xludf.DUMMYFUNCTION("""COMPUTED_VALUE"""),42990.0)</f>
        <v>42990</v>
      </c>
      <c r="B4961" s="2">
        <f>IFERROR(__xludf.DUMMYFUNCTION("""COMPUTED_VALUE"""),0.0)</f>
        <v>0</v>
      </c>
      <c r="C4961" s="2">
        <f>IFERROR(__xludf.DUMMYFUNCTION("""COMPUTED_VALUE"""),835.0)</f>
        <v>835</v>
      </c>
      <c r="D4961" s="3">
        <f>IFERROR(__xludf.DUMMYFUNCTION("""COMPUTED_VALUE"""),81.0)</f>
        <v>81</v>
      </c>
      <c r="E4961" s="2"/>
      <c r="F4961" s="2"/>
    </row>
    <row r="4962">
      <c r="A4962" s="2">
        <f>IFERROR(__xludf.DUMMYFUNCTION("""COMPUTED_VALUE"""),128339.0)</f>
        <v>128339</v>
      </c>
      <c r="B4962" s="2">
        <f>IFERROR(__xludf.DUMMYFUNCTION("""COMPUTED_VALUE"""),1.0)</f>
        <v>1</v>
      </c>
      <c r="C4962" s="2">
        <f>IFERROR(__xludf.DUMMYFUNCTION("""COMPUTED_VALUE"""),290.0)</f>
        <v>290</v>
      </c>
      <c r="D4962" s="3">
        <f>IFERROR(__xludf.DUMMYFUNCTION("""COMPUTED_VALUE"""),140.0)</f>
        <v>140</v>
      </c>
      <c r="E4962" s="2"/>
      <c r="F4962" s="2"/>
    </row>
    <row r="4963">
      <c r="A4963" s="2">
        <f>IFERROR(__xludf.DUMMYFUNCTION("""COMPUTED_VALUE"""),42008.0)</f>
        <v>42008</v>
      </c>
      <c r="B4963" s="2">
        <f>IFERROR(__xludf.DUMMYFUNCTION("""COMPUTED_VALUE"""),1.0)</f>
        <v>1</v>
      </c>
      <c r="C4963" s="2">
        <f>IFERROR(__xludf.DUMMYFUNCTION("""COMPUTED_VALUE"""),36.0)</f>
        <v>36</v>
      </c>
      <c r="D4963" s="3">
        <f>IFERROR(__xludf.DUMMYFUNCTION("""COMPUTED_VALUE"""),0.0)</f>
        <v>0</v>
      </c>
      <c r="E4963" s="2"/>
      <c r="F4963" s="2"/>
    </row>
    <row r="4964">
      <c r="A4964" s="2">
        <f>IFERROR(__xludf.DUMMYFUNCTION("""COMPUTED_VALUE"""),112320.0)</f>
        <v>112320</v>
      </c>
      <c r="B4964" s="2">
        <f>IFERROR(__xludf.DUMMYFUNCTION("""COMPUTED_VALUE"""),1.0)</f>
        <v>1</v>
      </c>
      <c r="C4964" s="2">
        <f>IFERROR(__xludf.DUMMYFUNCTION("""COMPUTED_VALUE"""),254.0)</f>
        <v>254</v>
      </c>
      <c r="D4964" s="3">
        <f>IFERROR(__xludf.DUMMYFUNCTION("""COMPUTED_VALUE"""),204.0)</f>
        <v>204</v>
      </c>
      <c r="E4964" s="2"/>
      <c r="F4964" s="2"/>
    </row>
    <row r="4965">
      <c r="A4965" s="2">
        <f>IFERROR(__xludf.DUMMYFUNCTION("""COMPUTED_VALUE"""),111150.0)</f>
        <v>111150</v>
      </c>
      <c r="B4965" s="2">
        <f>IFERROR(__xludf.DUMMYFUNCTION("""COMPUTED_VALUE"""),1.0)</f>
        <v>1</v>
      </c>
      <c r="C4965" s="2">
        <f>IFERROR(__xludf.DUMMYFUNCTION("""COMPUTED_VALUE"""),621.0)</f>
        <v>621</v>
      </c>
      <c r="D4965" s="3">
        <f>IFERROR(__xludf.DUMMYFUNCTION("""COMPUTED_VALUE"""),113.0)</f>
        <v>113</v>
      </c>
      <c r="E4965" s="2"/>
      <c r="F4965" s="2"/>
    </row>
    <row r="4966">
      <c r="A4966" s="2">
        <f>IFERROR(__xludf.DUMMYFUNCTION("""COMPUTED_VALUE"""),101782.0)</f>
        <v>101782</v>
      </c>
      <c r="B4966" s="2">
        <f>IFERROR(__xludf.DUMMYFUNCTION("""COMPUTED_VALUE"""),1.0)</f>
        <v>1</v>
      </c>
      <c r="C4966" s="2">
        <f>IFERROR(__xludf.DUMMYFUNCTION("""COMPUTED_VALUE"""),576.0)</f>
        <v>576</v>
      </c>
      <c r="D4966" s="3">
        <f>IFERROR(__xludf.DUMMYFUNCTION("""COMPUTED_VALUE"""),260.0)</f>
        <v>260</v>
      </c>
      <c r="E4966" s="2"/>
      <c r="F4966" s="2"/>
    </row>
    <row r="4967">
      <c r="A4967" s="2">
        <f>IFERROR(__xludf.DUMMYFUNCTION("""COMPUTED_VALUE"""),128402.0)</f>
        <v>128402</v>
      </c>
      <c r="B4967" s="2">
        <f>IFERROR(__xludf.DUMMYFUNCTION("""COMPUTED_VALUE"""),1.0)</f>
        <v>1</v>
      </c>
      <c r="C4967" s="2">
        <f>IFERROR(__xludf.DUMMYFUNCTION("""COMPUTED_VALUE"""),787.0)</f>
        <v>787</v>
      </c>
      <c r="D4967" s="3">
        <f>IFERROR(__xludf.DUMMYFUNCTION("""COMPUTED_VALUE"""),655.0)</f>
        <v>655</v>
      </c>
      <c r="E4967" s="2"/>
      <c r="F4967" s="2"/>
    </row>
    <row r="4968">
      <c r="A4968" s="2">
        <f>IFERROR(__xludf.DUMMYFUNCTION("""COMPUTED_VALUE"""),112322.0)</f>
        <v>112322</v>
      </c>
      <c r="B4968" s="2">
        <f>IFERROR(__xludf.DUMMYFUNCTION("""COMPUTED_VALUE"""),1.0)</f>
        <v>1</v>
      </c>
      <c r="C4968" s="2">
        <f>IFERROR(__xludf.DUMMYFUNCTION("""COMPUTED_VALUE"""),954.0)</f>
        <v>954</v>
      </c>
      <c r="D4968" s="3">
        <f>IFERROR(__xludf.DUMMYFUNCTION("""COMPUTED_VALUE"""),161.0)</f>
        <v>161</v>
      </c>
      <c r="E4968" s="2"/>
      <c r="F4968" s="2"/>
    </row>
    <row r="4969">
      <c r="A4969" s="2">
        <f>IFERROR(__xludf.DUMMYFUNCTION("""COMPUTED_VALUE"""),41994.0)</f>
        <v>41994</v>
      </c>
      <c r="B4969" s="2">
        <f>IFERROR(__xludf.DUMMYFUNCTION("""COMPUTED_VALUE"""),1.0)</f>
        <v>1</v>
      </c>
      <c r="C4969" s="2">
        <f>IFERROR(__xludf.DUMMYFUNCTION("""COMPUTED_VALUE"""),372.0)</f>
        <v>372</v>
      </c>
      <c r="D4969" s="3">
        <f>IFERROR(__xludf.DUMMYFUNCTION("""COMPUTED_VALUE"""),258.0)</f>
        <v>258</v>
      </c>
      <c r="E4969" s="2"/>
      <c r="F4969" s="2"/>
    </row>
    <row r="4970">
      <c r="A4970" s="2">
        <f>IFERROR(__xludf.DUMMYFUNCTION("""COMPUTED_VALUE"""),112319.0)</f>
        <v>112319</v>
      </c>
      <c r="B4970" s="2">
        <f>IFERROR(__xludf.DUMMYFUNCTION("""COMPUTED_VALUE"""),0.0)</f>
        <v>0</v>
      </c>
      <c r="C4970" s="2">
        <f>IFERROR(__xludf.DUMMYFUNCTION("""COMPUTED_VALUE"""),555.0)</f>
        <v>555</v>
      </c>
      <c r="D4970" s="3">
        <f>IFERROR(__xludf.DUMMYFUNCTION("""COMPUTED_VALUE"""),12.0)</f>
        <v>12</v>
      </c>
      <c r="E4970" s="2"/>
      <c r="F4970" s="2"/>
    </row>
    <row r="4971">
      <c r="A4971" s="2">
        <f>IFERROR(__xludf.DUMMYFUNCTION("""COMPUTED_VALUE"""),42002.0)</f>
        <v>42002</v>
      </c>
      <c r="B4971" s="2">
        <f>IFERROR(__xludf.DUMMYFUNCTION("""COMPUTED_VALUE"""),1.0)</f>
        <v>1</v>
      </c>
      <c r="C4971" s="2">
        <f>IFERROR(__xludf.DUMMYFUNCTION("""COMPUTED_VALUE"""),395.0)</f>
        <v>395</v>
      </c>
      <c r="D4971" s="3">
        <f>IFERROR(__xludf.DUMMYFUNCTION("""COMPUTED_VALUE"""),157.0)</f>
        <v>157</v>
      </c>
      <c r="E4971" s="2"/>
      <c r="F4971" s="2"/>
    </row>
    <row r="4972">
      <c r="A4972" s="2">
        <f>IFERROR(__xludf.DUMMYFUNCTION("""COMPUTED_VALUE"""),120263.0)</f>
        <v>120263</v>
      </c>
      <c r="B4972" s="2">
        <f>IFERROR(__xludf.DUMMYFUNCTION("""COMPUTED_VALUE"""),1.0)</f>
        <v>1</v>
      </c>
      <c r="C4972" s="2">
        <f>IFERROR(__xludf.DUMMYFUNCTION("""COMPUTED_VALUE"""),417.0)</f>
        <v>417</v>
      </c>
      <c r="D4972" s="3">
        <f>IFERROR(__xludf.DUMMYFUNCTION("""COMPUTED_VALUE"""),379.0)</f>
        <v>379</v>
      </c>
      <c r="E4972" s="2"/>
      <c r="F4972" s="2"/>
    </row>
    <row r="4973">
      <c r="A4973" s="2">
        <f>IFERROR(__xludf.DUMMYFUNCTION("""COMPUTED_VALUE"""),112855.0)</f>
        <v>112855</v>
      </c>
      <c r="B4973" s="2">
        <f>IFERROR(__xludf.DUMMYFUNCTION("""COMPUTED_VALUE"""),1.0)</f>
        <v>1</v>
      </c>
      <c r="C4973" s="2">
        <f>IFERROR(__xludf.DUMMYFUNCTION("""COMPUTED_VALUE"""),631.0)</f>
        <v>631</v>
      </c>
      <c r="D4973" s="3">
        <f>IFERROR(__xludf.DUMMYFUNCTION("""COMPUTED_VALUE"""),273.0)</f>
        <v>273</v>
      </c>
      <c r="E4973" s="2"/>
      <c r="F4973" s="2"/>
    </row>
    <row r="4974">
      <c r="A4974" s="2">
        <f>IFERROR(__xludf.DUMMYFUNCTION("""COMPUTED_VALUE"""),111151.0)</f>
        <v>111151</v>
      </c>
      <c r="B4974" s="2">
        <f>IFERROR(__xludf.DUMMYFUNCTION("""COMPUTED_VALUE"""),0.0)</f>
        <v>0</v>
      </c>
      <c r="C4974" s="2">
        <f>IFERROR(__xludf.DUMMYFUNCTION("""COMPUTED_VALUE"""),390.0)</f>
        <v>390</v>
      </c>
      <c r="D4974" s="3">
        <f>IFERROR(__xludf.DUMMYFUNCTION("""COMPUTED_VALUE"""),64.0)</f>
        <v>64</v>
      </c>
      <c r="E4974" s="2"/>
      <c r="F4974" s="2"/>
    </row>
    <row r="4975">
      <c r="A4975" s="2">
        <f>IFERROR(__xludf.DUMMYFUNCTION("""COMPUTED_VALUE"""),111152.0)</f>
        <v>111152</v>
      </c>
      <c r="B4975" s="2">
        <f>IFERROR(__xludf.DUMMYFUNCTION("""COMPUTED_VALUE"""),1.0)</f>
        <v>1</v>
      </c>
      <c r="C4975" s="2">
        <f>IFERROR(__xludf.DUMMYFUNCTION("""COMPUTED_VALUE"""),292.0)</f>
        <v>292</v>
      </c>
      <c r="D4975" s="3">
        <f>IFERROR(__xludf.DUMMYFUNCTION("""COMPUTED_VALUE"""),14.0)</f>
        <v>14</v>
      </c>
      <c r="E4975" s="2"/>
      <c r="F4975" s="2"/>
    </row>
    <row r="4976">
      <c r="A4976" s="2">
        <f>IFERROR(__xludf.DUMMYFUNCTION("""COMPUTED_VALUE"""),122224.0)</f>
        <v>122224</v>
      </c>
      <c r="B4976" s="2">
        <f>IFERROR(__xludf.DUMMYFUNCTION("""COMPUTED_VALUE"""),1.0)</f>
        <v>1</v>
      </c>
      <c r="C4976" s="2">
        <f>IFERROR(__xludf.DUMMYFUNCTION("""COMPUTED_VALUE"""),437.0)</f>
        <v>437</v>
      </c>
      <c r="D4976" s="3">
        <f>IFERROR(__xludf.DUMMYFUNCTION("""COMPUTED_VALUE"""),238.0)</f>
        <v>238</v>
      </c>
      <c r="E4976" s="2"/>
      <c r="F4976" s="2"/>
    </row>
    <row r="4977">
      <c r="A4977" s="2">
        <f>IFERROR(__xludf.DUMMYFUNCTION("""COMPUTED_VALUE"""),124709.0)</f>
        <v>124709</v>
      </c>
      <c r="B4977" s="2">
        <f>IFERROR(__xludf.DUMMYFUNCTION("""COMPUTED_VALUE"""),1.0)</f>
        <v>1</v>
      </c>
      <c r="C4977" s="2">
        <f>IFERROR(__xludf.DUMMYFUNCTION("""COMPUTED_VALUE"""),99.0)</f>
        <v>99</v>
      </c>
      <c r="D4977" s="3">
        <f>IFERROR(__xludf.DUMMYFUNCTION("""COMPUTED_VALUE"""),69.0)</f>
        <v>69</v>
      </c>
      <c r="E4977" s="2"/>
      <c r="F4977" s="2"/>
    </row>
    <row r="4978">
      <c r="A4978" s="2">
        <f>IFERROR(__xludf.DUMMYFUNCTION("""COMPUTED_VALUE"""),99039.0)</f>
        <v>99039</v>
      </c>
      <c r="B4978" s="2">
        <f>IFERROR(__xludf.DUMMYFUNCTION("""COMPUTED_VALUE"""),1.0)</f>
        <v>1</v>
      </c>
      <c r="C4978" s="2">
        <f>IFERROR(__xludf.DUMMYFUNCTION("""COMPUTED_VALUE"""),148.0)</f>
        <v>148</v>
      </c>
      <c r="D4978" s="3">
        <f>IFERROR(__xludf.DUMMYFUNCTION("""COMPUTED_VALUE"""),101.0)</f>
        <v>101</v>
      </c>
      <c r="E4978" s="2"/>
      <c r="F4978" s="2"/>
    </row>
    <row r="4979">
      <c r="A4979" s="2">
        <f>IFERROR(__xludf.DUMMYFUNCTION("""COMPUTED_VALUE"""),82928.0)</f>
        <v>82928</v>
      </c>
      <c r="B4979" s="2">
        <f>IFERROR(__xludf.DUMMYFUNCTION("""COMPUTED_VALUE"""),0.0)</f>
        <v>0</v>
      </c>
      <c r="C4979" s="2">
        <f>IFERROR(__xludf.DUMMYFUNCTION("""COMPUTED_VALUE"""),143.0)</f>
        <v>143</v>
      </c>
      <c r="D4979" s="3">
        <f>IFERROR(__xludf.DUMMYFUNCTION("""COMPUTED_VALUE"""),69.0)</f>
        <v>69</v>
      </c>
      <c r="E4979" s="2"/>
      <c r="F4979" s="2"/>
    </row>
    <row r="4980">
      <c r="A4980" s="2">
        <f>IFERROR(__xludf.DUMMYFUNCTION("""COMPUTED_VALUE"""),111149.0)</f>
        <v>111149</v>
      </c>
      <c r="B4980" s="2">
        <f>IFERROR(__xludf.DUMMYFUNCTION("""COMPUTED_VALUE"""),1.0)</f>
        <v>1</v>
      </c>
      <c r="C4980" s="2">
        <f>IFERROR(__xludf.DUMMYFUNCTION("""COMPUTED_VALUE"""),631.0)</f>
        <v>631</v>
      </c>
      <c r="D4980" s="3">
        <f>IFERROR(__xludf.DUMMYFUNCTION("""COMPUTED_VALUE"""),631.0)</f>
        <v>631</v>
      </c>
      <c r="E4980" s="2"/>
      <c r="F4980" s="2"/>
    </row>
    <row r="4981">
      <c r="A4981" s="2">
        <f>IFERROR(__xludf.DUMMYFUNCTION("""COMPUTED_VALUE"""),82927.0)</f>
        <v>82927</v>
      </c>
      <c r="B4981" s="2">
        <f>IFERROR(__xludf.DUMMYFUNCTION("""COMPUTED_VALUE"""),0.0)</f>
        <v>0</v>
      </c>
      <c r="C4981" s="2">
        <f>IFERROR(__xludf.DUMMYFUNCTION("""COMPUTED_VALUE"""),505.0)</f>
        <v>505</v>
      </c>
      <c r="D4981" s="3">
        <f>IFERROR(__xludf.DUMMYFUNCTION("""COMPUTED_VALUE"""),140.0)</f>
        <v>140</v>
      </c>
      <c r="E4981" s="2"/>
      <c r="F4981" s="2"/>
    </row>
    <row r="4982">
      <c r="A4982" s="2">
        <f>IFERROR(__xludf.DUMMYFUNCTION("""COMPUTED_VALUE"""),112317.0)</f>
        <v>112317</v>
      </c>
      <c r="B4982" s="2">
        <f>IFERROR(__xludf.DUMMYFUNCTION("""COMPUTED_VALUE"""),0.0)</f>
        <v>0</v>
      </c>
      <c r="C4982" s="2">
        <f>IFERROR(__xludf.DUMMYFUNCTION("""COMPUTED_VALUE"""),310.0)</f>
        <v>310</v>
      </c>
      <c r="D4982" s="3">
        <f>IFERROR(__xludf.DUMMYFUNCTION("""COMPUTED_VALUE"""),284.0)</f>
        <v>284</v>
      </c>
      <c r="E4982" s="2"/>
      <c r="F4982" s="2"/>
    </row>
    <row r="4983">
      <c r="A4983" s="2">
        <f>IFERROR(__xludf.DUMMYFUNCTION("""COMPUTED_VALUE"""),140597.0)</f>
        <v>140597</v>
      </c>
      <c r="B4983" s="2">
        <f>IFERROR(__xludf.DUMMYFUNCTION("""COMPUTED_VALUE"""),0.0)</f>
        <v>0</v>
      </c>
      <c r="C4983" s="2">
        <f>IFERROR(__xludf.DUMMYFUNCTION("""COMPUTED_VALUE"""),594.0)</f>
        <v>594</v>
      </c>
      <c r="D4983" s="3">
        <f>IFERROR(__xludf.DUMMYFUNCTION("""COMPUTED_VALUE"""),310.0)</f>
        <v>310</v>
      </c>
      <c r="E4983" s="2"/>
      <c r="F4983" s="2"/>
    </row>
    <row r="4984">
      <c r="A4984" s="2">
        <f>IFERROR(__xludf.DUMMYFUNCTION("""COMPUTED_VALUE"""),122229.0)</f>
        <v>122229</v>
      </c>
      <c r="B4984" s="2">
        <f>IFERROR(__xludf.DUMMYFUNCTION("""COMPUTED_VALUE"""),0.0)</f>
        <v>0</v>
      </c>
      <c r="C4984" s="2">
        <f>IFERROR(__xludf.DUMMYFUNCTION("""COMPUTED_VALUE"""),590.0)</f>
        <v>590</v>
      </c>
      <c r="D4984" s="3">
        <f>IFERROR(__xludf.DUMMYFUNCTION("""COMPUTED_VALUE"""),135.0)</f>
        <v>135</v>
      </c>
      <c r="E4984" s="2"/>
      <c r="F4984" s="2"/>
    </row>
    <row r="4985">
      <c r="A4985" s="2">
        <f>IFERROR(__xludf.DUMMYFUNCTION("""COMPUTED_VALUE"""),112473.0)</f>
        <v>112473</v>
      </c>
      <c r="B4985" s="2">
        <f>IFERROR(__xludf.DUMMYFUNCTION("""COMPUTED_VALUE"""),0.0)</f>
        <v>0</v>
      </c>
      <c r="C4985" s="2">
        <f>IFERROR(__xludf.DUMMYFUNCTION("""COMPUTED_VALUE"""),303.0)</f>
        <v>303</v>
      </c>
      <c r="D4985" s="3">
        <f>IFERROR(__xludf.DUMMYFUNCTION("""COMPUTED_VALUE"""),219.0)</f>
        <v>219</v>
      </c>
      <c r="E4985" s="2"/>
      <c r="F4985" s="2"/>
    </row>
    <row r="4986">
      <c r="A4986" s="2">
        <f>IFERROR(__xludf.DUMMYFUNCTION("""COMPUTED_VALUE"""),122226.0)</f>
        <v>122226</v>
      </c>
      <c r="B4986" s="2">
        <f>IFERROR(__xludf.DUMMYFUNCTION("""COMPUTED_VALUE"""),0.0)</f>
        <v>0</v>
      </c>
      <c r="C4986" s="2">
        <f>IFERROR(__xludf.DUMMYFUNCTION("""COMPUTED_VALUE"""),411.0)</f>
        <v>411</v>
      </c>
      <c r="D4986" s="3">
        <f>IFERROR(__xludf.DUMMYFUNCTION("""COMPUTED_VALUE"""),38.0)</f>
        <v>38</v>
      </c>
      <c r="E4986" s="2"/>
      <c r="F4986" s="2"/>
    </row>
    <row r="4987">
      <c r="A4987" s="2">
        <f>IFERROR(__xludf.DUMMYFUNCTION("""COMPUTED_VALUE"""),4385.0)</f>
        <v>4385</v>
      </c>
      <c r="B4987" s="2">
        <f>IFERROR(__xludf.DUMMYFUNCTION("""COMPUTED_VALUE"""),1.0)</f>
        <v>1</v>
      </c>
      <c r="C4987" s="2">
        <f>IFERROR(__xludf.DUMMYFUNCTION("""COMPUTED_VALUE"""),520.0)</f>
        <v>520</v>
      </c>
      <c r="D4987" s="3">
        <f>IFERROR(__xludf.DUMMYFUNCTION("""COMPUTED_VALUE"""),283.0)</f>
        <v>283</v>
      </c>
      <c r="E4987" s="2"/>
      <c r="F4987" s="2"/>
    </row>
    <row r="4988">
      <c r="A4988" s="2">
        <f>IFERROR(__xludf.DUMMYFUNCTION("""COMPUTED_VALUE"""),41029.0)</f>
        <v>41029</v>
      </c>
      <c r="B4988" s="2">
        <f>IFERROR(__xludf.DUMMYFUNCTION("""COMPUTED_VALUE"""),0.0)</f>
        <v>0</v>
      </c>
      <c r="C4988" s="2">
        <f>IFERROR(__xludf.DUMMYFUNCTION("""COMPUTED_VALUE"""),114.0)</f>
        <v>114</v>
      </c>
      <c r="D4988" s="3">
        <f>IFERROR(__xludf.DUMMYFUNCTION("""COMPUTED_VALUE"""),105.0)</f>
        <v>105</v>
      </c>
      <c r="E4988" s="2"/>
      <c r="F4988" s="2"/>
    </row>
    <row r="4989">
      <c r="A4989" s="2">
        <f>IFERROR(__xludf.DUMMYFUNCTION("""COMPUTED_VALUE"""),4386.0)</f>
        <v>4386</v>
      </c>
      <c r="B4989" s="2">
        <f>IFERROR(__xludf.DUMMYFUNCTION("""COMPUTED_VALUE"""),0.0)</f>
        <v>0</v>
      </c>
      <c r="C4989" s="2">
        <f>IFERROR(__xludf.DUMMYFUNCTION("""COMPUTED_VALUE"""),996.0)</f>
        <v>996</v>
      </c>
      <c r="D4989" s="3">
        <f>IFERROR(__xludf.DUMMYFUNCTION("""COMPUTED_VALUE"""),374.0)</f>
        <v>374</v>
      </c>
      <c r="E4989" s="2"/>
      <c r="F4989" s="2"/>
    </row>
    <row r="4990">
      <c r="A4990" s="2">
        <f>IFERROR(__xludf.DUMMYFUNCTION("""COMPUTED_VALUE"""),41030.0)</f>
        <v>41030</v>
      </c>
      <c r="B4990" s="2">
        <f>IFERROR(__xludf.DUMMYFUNCTION("""COMPUTED_VALUE"""),1.0)</f>
        <v>1</v>
      </c>
      <c r="C4990" s="2">
        <f>IFERROR(__xludf.DUMMYFUNCTION("""COMPUTED_VALUE"""),334.0)</f>
        <v>334</v>
      </c>
      <c r="D4990" s="3">
        <f>IFERROR(__xludf.DUMMYFUNCTION("""COMPUTED_VALUE"""),226.0)</f>
        <v>226</v>
      </c>
      <c r="E4990" s="2"/>
      <c r="F4990" s="2"/>
    </row>
    <row r="4991">
      <c r="A4991" s="2">
        <f>IFERROR(__xludf.DUMMYFUNCTION("""COMPUTED_VALUE"""),84950.0)</f>
        <v>84950</v>
      </c>
      <c r="B4991" s="2">
        <f>IFERROR(__xludf.DUMMYFUNCTION("""COMPUTED_VALUE"""),1.0)</f>
        <v>1</v>
      </c>
      <c r="C4991" s="2">
        <f>IFERROR(__xludf.DUMMYFUNCTION("""COMPUTED_VALUE"""),297.0)</f>
        <v>297</v>
      </c>
      <c r="D4991" s="3">
        <f>IFERROR(__xludf.DUMMYFUNCTION("""COMPUTED_VALUE"""),213.0)</f>
        <v>213</v>
      </c>
      <c r="E4991" s="2"/>
      <c r="F4991" s="2"/>
    </row>
    <row r="4992">
      <c r="A4992" s="2">
        <f>IFERROR(__xludf.DUMMYFUNCTION("""COMPUTED_VALUE"""),45255.0)</f>
        <v>45255</v>
      </c>
      <c r="B4992" s="2">
        <f>IFERROR(__xludf.DUMMYFUNCTION("""COMPUTED_VALUE"""),1.0)</f>
        <v>1</v>
      </c>
      <c r="C4992" s="2">
        <f>IFERROR(__xludf.DUMMYFUNCTION("""COMPUTED_VALUE"""),299.0)</f>
        <v>299</v>
      </c>
      <c r="D4992" s="3">
        <f>IFERROR(__xludf.DUMMYFUNCTION("""COMPUTED_VALUE"""),165.0)</f>
        <v>165</v>
      </c>
      <c r="E4992" s="2"/>
      <c r="F4992" s="2"/>
    </row>
    <row r="4993">
      <c r="A4993" s="2">
        <f>IFERROR(__xludf.DUMMYFUNCTION("""COMPUTED_VALUE"""),108070.0)</f>
        <v>108070</v>
      </c>
      <c r="B4993" s="2">
        <f>IFERROR(__xludf.DUMMYFUNCTION("""COMPUTED_VALUE"""),0.0)</f>
        <v>0</v>
      </c>
      <c r="C4993" s="2">
        <f>IFERROR(__xludf.DUMMYFUNCTION("""COMPUTED_VALUE"""),884.0)</f>
        <v>884</v>
      </c>
      <c r="D4993" s="3">
        <f>IFERROR(__xludf.DUMMYFUNCTION("""COMPUTED_VALUE"""),336.0)</f>
        <v>336</v>
      </c>
      <c r="E4993" s="2"/>
      <c r="F4993" s="2"/>
    </row>
    <row r="4994">
      <c r="A4994" s="2">
        <f>IFERROR(__xludf.DUMMYFUNCTION("""COMPUTED_VALUE"""),108069.0)</f>
        <v>108069</v>
      </c>
      <c r="B4994" s="2">
        <f>IFERROR(__xludf.DUMMYFUNCTION("""COMPUTED_VALUE"""),0.0)</f>
        <v>0</v>
      </c>
      <c r="C4994" s="2">
        <f>IFERROR(__xludf.DUMMYFUNCTION("""COMPUTED_VALUE"""),915.0)</f>
        <v>915</v>
      </c>
      <c r="D4994" s="3">
        <f>IFERROR(__xludf.DUMMYFUNCTION("""COMPUTED_VALUE"""),59.0)</f>
        <v>59</v>
      </c>
      <c r="E4994" s="2"/>
      <c r="F4994" s="2"/>
    </row>
    <row r="4995">
      <c r="A4995" s="2">
        <f>IFERROR(__xludf.DUMMYFUNCTION("""COMPUTED_VALUE"""),9668.0)</f>
        <v>9668</v>
      </c>
      <c r="B4995" s="2">
        <f>IFERROR(__xludf.DUMMYFUNCTION("""COMPUTED_VALUE"""),0.0)</f>
        <v>0</v>
      </c>
      <c r="C4995" s="2">
        <f>IFERROR(__xludf.DUMMYFUNCTION("""COMPUTED_VALUE"""),467.0)</f>
        <v>467</v>
      </c>
      <c r="D4995" s="3">
        <f>IFERROR(__xludf.DUMMYFUNCTION("""COMPUTED_VALUE"""),459.0)</f>
        <v>459</v>
      </c>
      <c r="E4995" s="2"/>
      <c r="F4995" s="2"/>
    </row>
    <row r="4996">
      <c r="A4996" s="2">
        <f>IFERROR(__xludf.DUMMYFUNCTION("""COMPUTED_VALUE"""),26322.0)</f>
        <v>26322</v>
      </c>
      <c r="B4996" s="2">
        <f>IFERROR(__xludf.DUMMYFUNCTION("""COMPUTED_VALUE"""),0.0)</f>
        <v>0</v>
      </c>
      <c r="C4996" s="2">
        <f>IFERROR(__xludf.DUMMYFUNCTION("""COMPUTED_VALUE"""),408.0)</f>
        <v>408</v>
      </c>
      <c r="D4996" s="3">
        <f>IFERROR(__xludf.DUMMYFUNCTION("""COMPUTED_VALUE"""),403.0)</f>
        <v>403</v>
      </c>
      <c r="E4996" s="2"/>
      <c r="F4996" s="2"/>
    </row>
    <row r="4997">
      <c r="A4997" s="2">
        <f>IFERROR(__xludf.DUMMYFUNCTION("""COMPUTED_VALUE"""),70413.0)</f>
        <v>70413</v>
      </c>
      <c r="B4997" s="2">
        <f>IFERROR(__xludf.DUMMYFUNCTION("""COMPUTED_VALUE"""),0.0)</f>
        <v>0</v>
      </c>
      <c r="C4997" s="2">
        <f>IFERROR(__xludf.DUMMYFUNCTION("""COMPUTED_VALUE"""),199.0)</f>
        <v>199</v>
      </c>
      <c r="D4997" s="3">
        <f>IFERROR(__xludf.DUMMYFUNCTION("""COMPUTED_VALUE"""),45.0)</f>
        <v>45</v>
      </c>
      <c r="E4997" s="2"/>
      <c r="F4997" s="2"/>
    </row>
    <row r="4998">
      <c r="A4998" s="2">
        <f>IFERROR(__xludf.DUMMYFUNCTION("""COMPUTED_VALUE"""),4389.0)</f>
        <v>4389</v>
      </c>
      <c r="B4998" s="2">
        <f>IFERROR(__xludf.DUMMYFUNCTION("""COMPUTED_VALUE"""),1.0)</f>
        <v>1</v>
      </c>
      <c r="C4998" s="2">
        <f>IFERROR(__xludf.DUMMYFUNCTION("""COMPUTED_VALUE"""),193.0)</f>
        <v>193</v>
      </c>
      <c r="D4998" s="3">
        <f>IFERROR(__xludf.DUMMYFUNCTION("""COMPUTED_VALUE"""),175.0)</f>
        <v>175</v>
      </c>
      <c r="E4998" s="2"/>
      <c r="F4998" s="2"/>
    </row>
    <row r="4999">
      <c r="A4999" s="2">
        <f>IFERROR(__xludf.DUMMYFUNCTION("""COMPUTED_VALUE"""),128340.0)</f>
        <v>128340</v>
      </c>
      <c r="B4999" s="2">
        <f>IFERROR(__xludf.DUMMYFUNCTION("""COMPUTED_VALUE"""),0.0)</f>
        <v>0</v>
      </c>
      <c r="C4999" s="2">
        <f>IFERROR(__xludf.DUMMYFUNCTION("""COMPUTED_VALUE"""),61.0)</f>
        <v>61</v>
      </c>
      <c r="D4999" s="3">
        <f>IFERROR(__xludf.DUMMYFUNCTION("""COMPUTED_VALUE"""),1.0)</f>
        <v>1</v>
      </c>
      <c r="E4999" s="2"/>
      <c r="F4999" s="2"/>
    </row>
    <row r="5000">
      <c r="A5000" s="2">
        <f>IFERROR(__xludf.DUMMYFUNCTION("""COMPUTED_VALUE"""),108071.0)</f>
        <v>108071</v>
      </c>
      <c r="B5000" s="2">
        <f>IFERROR(__xludf.DUMMYFUNCTION("""COMPUTED_VALUE"""),1.0)</f>
        <v>1</v>
      </c>
      <c r="C5000" s="2">
        <f>IFERROR(__xludf.DUMMYFUNCTION("""COMPUTED_VALUE"""),914.0)</f>
        <v>914</v>
      </c>
      <c r="D5000" s="3">
        <f>IFERROR(__xludf.DUMMYFUNCTION("""COMPUTED_VALUE"""),729.0)</f>
        <v>729</v>
      </c>
      <c r="E5000" s="2"/>
      <c r="F5000" s="2"/>
    </row>
    <row r="5001">
      <c r="A5001" s="2">
        <f>IFERROR(__xludf.DUMMYFUNCTION("""COMPUTED_VALUE"""),108068.0)</f>
        <v>108068</v>
      </c>
      <c r="B5001" s="2">
        <f>IFERROR(__xludf.DUMMYFUNCTION("""COMPUTED_VALUE"""),1.0)</f>
        <v>1</v>
      </c>
      <c r="C5001" s="2">
        <f>IFERROR(__xludf.DUMMYFUNCTION("""COMPUTED_VALUE"""),376.0)</f>
        <v>376</v>
      </c>
      <c r="D5001" s="3">
        <f>IFERROR(__xludf.DUMMYFUNCTION("""COMPUTED_VALUE"""),222.0)</f>
        <v>222</v>
      </c>
      <c r="E5001" s="2"/>
      <c r="F5001" s="2"/>
    </row>
    <row r="5002">
      <c r="A5002" s="2">
        <f>IFERROR(__xludf.DUMMYFUNCTION("""COMPUTED_VALUE"""),9662.0)</f>
        <v>9662</v>
      </c>
      <c r="B5002" s="2">
        <f>IFERROR(__xludf.DUMMYFUNCTION("""COMPUTED_VALUE"""),1.0)</f>
        <v>1</v>
      </c>
      <c r="C5002" s="2">
        <f>IFERROR(__xludf.DUMMYFUNCTION("""COMPUTED_VALUE"""),541.0)</f>
        <v>541</v>
      </c>
      <c r="D5002" s="3">
        <f>IFERROR(__xludf.DUMMYFUNCTION("""COMPUTED_VALUE"""),491.0)</f>
        <v>491</v>
      </c>
      <c r="E5002" s="2"/>
      <c r="F5002" s="2"/>
    </row>
    <row r="5003">
      <c r="A5003" s="2">
        <f>IFERROR(__xludf.DUMMYFUNCTION("""COMPUTED_VALUE"""),117611.0)</f>
        <v>117611</v>
      </c>
      <c r="B5003" s="2">
        <f>IFERROR(__xludf.DUMMYFUNCTION("""COMPUTED_VALUE"""),1.0)</f>
        <v>1</v>
      </c>
      <c r="C5003" s="2">
        <f>IFERROR(__xludf.DUMMYFUNCTION("""COMPUTED_VALUE"""),886.0)</f>
        <v>886</v>
      </c>
      <c r="D5003" s="3">
        <f>IFERROR(__xludf.DUMMYFUNCTION("""COMPUTED_VALUE"""),453.0)</f>
        <v>453</v>
      </c>
      <c r="E5003" s="2"/>
      <c r="F5003" s="2"/>
    </row>
    <row r="5004">
      <c r="A5004" s="2">
        <f>IFERROR(__xludf.DUMMYFUNCTION("""COMPUTED_VALUE"""),111148.0)</f>
        <v>111148</v>
      </c>
      <c r="B5004" s="2">
        <f>IFERROR(__xludf.DUMMYFUNCTION("""COMPUTED_VALUE"""),0.0)</f>
        <v>0</v>
      </c>
      <c r="C5004" s="2">
        <f>IFERROR(__xludf.DUMMYFUNCTION("""COMPUTED_VALUE"""),185.0)</f>
        <v>185</v>
      </c>
      <c r="D5004" s="3">
        <f>IFERROR(__xludf.DUMMYFUNCTION("""COMPUTED_VALUE"""),38.0)</f>
        <v>38</v>
      </c>
      <c r="E5004" s="2"/>
      <c r="F5004" s="2"/>
    </row>
    <row r="5005">
      <c r="A5005" s="2">
        <f>IFERROR(__xludf.DUMMYFUNCTION("""COMPUTED_VALUE"""),9680.0)</f>
        <v>9680</v>
      </c>
      <c r="B5005" s="2">
        <f>IFERROR(__xludf.DUMMYFUNCTION("""COMPUTED_VALUE"""),0.0)</f>
        <v>0</v>
      </c>
      <c r="C5005" s="2">
        <f>IFERROR(__xludf.DUMMYFUNCTION("""COMPUTED_VALUE"""),704.0)</f>
        <v>704</v>
      </c>
      <c r="D5005" s="3">
        <f>IFERROR(__xludf.DUMMYFUNCTION("""COMPUTED_VALUE"""),525.0)</f>
        <v>525</v>
      </c>
      <c r="E5005" s="2"/>
      <c r="F5005" s="2"/>
    </row>
    <row r="5006">
      <c r="A5006" s="2">
        <f>IFERROR(__xludf.DUMMYFUNCTION("""COMPUTED_VALUE"""),117605.0)</f>
        <v>117605</v>
      </c>
      <c r="B5006" s="2">
        <f>IFERROR(__xludf.DUMMYFUNCTION("""COMPUTED_VALUE"""),1.0)</f>
        <v>1</v>
      </c>
      <c r="C5006" s="2">
        <f>IFERROR(__xludf.DUMMYFUNCTION("""COMPUTED_VALUE"""),376.0)</f>
        <v>376</v>
      </c>
      <c r="D5006" s="3">
        <f>IFERROR(__xludf.DUMMYFUNCTION("""COMPUTED_VALUE"""),291.0)</f>
        <v>291</v>
      </c>
      <c r="E5006" s="2"/>
      <c r="F5006" s="2"/>
    </row>
    <row r="5007">
      <c r="A5007" s="2">
        <f>IFERROR(__xludf.DUMMYFUNCTION("""COMPUTED_VALUE"""),108077.0)</f>
        <v>108077</v>
      </c>
      <c r="B5007" s="2">
        <f>IFERROR(__xludf.DUMMYFUNCTION("""COMPUTED_VALUE"""),1.0)</f>
        <v>1</v>
      </c>
      <c r="C5007" s="2">
        <f>IFERROR(__xludf.DUMMYFUNCTION("""COMPUTED_VALUE"""),695.0)</f>
        <v>695</v>
      </c>
      <c r="D5007" s="3">
        <f>IFERROR(__xludf.DUMMYFUNCTION("""COMPUTED_VALUE"""),261.0)</f>
        <v>261</v>
      </c>
      <c r="E5007" s="2"/>
      <c r="F5007" s="2"/>
    </row>
    <row r="5008">
      <c r="A5008" s="2">
        <f>IFERROR(__xludf.DUMMYFUNCTION("""COMPUTED_VALUE"""),9681.0)</f>
        <v>9681</v>
      </c>
      <c r="B5008" s="2">
        <f>IFERROR(__xludf.DUMMYFUNCTION("""COMPUTED_VALUE"""),1.0)</f>
        <v>1</v>
      </c>
      <c r="C5008" s="2">
        <f>IFERROR(__xludf.DUMMYFUNCTION("""COMPUTED_VALUE"""),408.0)</f>
        <v>408</v>
      </c>
      <c r="D5008" s="3">
        <f>IFERROR(__xludf.DUMMYFUNCTION("""COMPUTED_VALUE"""),216.0)</f>
        <v>216</v>
      </c>
      <c r="E5008" s="2"/>
      <c r="F5008" s="2"/>
    </row>
    <row r="5009">
      <c r="A5009" s="2">
        <f>IFERROR(__xludf.DUMMYFUNCTION("""COMPUTED_VALUE"""),4388.0)</f>
        <v>4388</v>
      </c>
      <c r="B5009" s="2">
        <f>IFERROR(__xludf.DUMMYFUNCTION("""COMPUTED_VALUE"""),0.0)</f>
        <v>0</v>
      </c>
      <c r="C5009" s="2">
        <f>IFERROR(__xludf.DUMMYFUNCTION("""COMPUTED_VALUE"""),141.0)</f>
        <v>141</v>
      </c>
      <c r="D5009" s="3">
        <f>IFERROR(__xludf.DUMMYFUNCTION("""COMPUTED_VALUE"""),63.0)</f>
        <v>63</v>
      </c>
      <c r="E5009" s="2"/>
      <c r="F5009" s="2"/>
    </row>
    <row r="5010">
      <c r="A5010" s="2">
        <f>IFERROR(__xludf.DUMMYFUNCTION("""COMPUTED_VALUE"""),99036.0)</f>
        <v>99036</v>
      </c>
      <c r="B5010" s="2">
        <f>IFERROR(__xludf.DUMMYFUNCTION("""COMPUTED_VALUE"""),0.0)</f>
        <v>0</v>
      </c>
      <c r="C5010" s="2">
        <f>IFERROR(__xludf.DUMMYFUNCTION("""COMPUTED_VALUE"""),337.0)</f>
        <v>337</v>
      </c>
      <c r="D5010" s="3">
        <f>IFERROR(__xludf.DUMMYFUNCTION("""COMPUTED_VALUE"""),168.0)</f>
        <v>168</v>
      </c>
      <c r="E5010" s="2"/>
      <c r="F5010" s="2"/>
    </row>
    <row r="5011">
      <c r="A5011" s="2">
        <f>IFERROR(__xludf.DUMMYFUNCTION("""COMPUTED_VALUE"""),109344.0)</f>
        <v>109344</v>
      </c>
      <c r="B5011" s="2">
        <f>IFERROR(__xludf.DUMMYFUNCTION("""COMPUTED_VALUE"""),0.0)</f>
        <v>0</v>
      </c>
      <c r="C5011" s="2">
        <f>IFERROR(__xludf.DUMMYFUNCTION("""COMPUTED_VALUE"""),488.0)</f>
        <v>488</v>
      </c>
      <c r="D5011" s="3">
        <f>IFERROR(__xludf.DUMMYFUNCTION("""COMPUTED_VALUE"""),340.0)</f>
        <v>340</v>
      </c>
      <c r="E5011" s="2"/>
      <c r="F5011" s="2"/>
    </row>
    <row r="5012">
      <c r="A5012" s="2">
        <f>IFERROR(__xludf.DUMMYFUNCTION("""COMPUTED_VALUE"""),9663.0)</f>
        <v>9663</v>
      </c>
      <c r="B5012" s="2">
        <f>IFERROR(__xludf.DUMMYFUNCTION("""COMPUTED_VALUE"""),0.0)</f>
        <v>0</v>
      </c>
      <c r="C5012" s="2">
        <f>IFERROR(__xludf.DUMMYFUNCTION("""COMPUTED_VALUE"""),881.0)</f>
        <v>881</v>
      </c>
      <c r="D5012" s="3">
        <f>IFERROR(__xludf.DUMMYFUNCTION("""COMPUTED_VALUE"""),251.0)</f>
        <v>251</v>
      </c>
      <c r="E5012" s="2"/>
      <c r="F5012" s="2"/>
    </row>
    <row r="5013">
      <c r="A5013" s="2">
        <f>IFERROR(__xludf.DUMMYFUNCTION("""COMPUTED_VALUE"""),119106.0)</f>
        <v>119106</v>
      </c>
      <c r="B5013" s="2">
        <f>IFERROR(__xludf.DUMMYFUNCTION("""COMPUTED_VALUE"""),0.0)</f>
        <v>0</v>
      </c>
      <c r="C5013" s="2">
        <f>IFERROR(__xludf.DUMMYFUNCTION("""COMPUTED_VALUE"""),498.0)</f>
        <v>498</v>
      </c>
      <c r="D5013" s="3">
        <f>IFERROR(__xludf.DUMMYFUNCTION("""COMPUTED_VALUE"""),459.0)</f>
        <v>459</v>
      </c>
      <c r="E5013" s="2"/>
      <c r="F5013" s="2"/>
    </row>
    <row r="5014">
      <c r="A5014" s="2">
        <f>IFERROR(__xludf.DUMMYFUNCTION("""COMPUTED_VALUE"""),9664.0)</f>
        <v>9664</v>
      </c>
      <c r="B5014" s="2">
        <f>IFERROR(__xludf.DUMMYFUNCTION("""COMPUTED_VALUE"""),1.0)</f>
        <v>1</v>
      </c>
      <c r="C5014" s="2">
        <f>IFERROR(__xludf.DUMMYFUNCTION("""COMPUTED_VALUE"""),597.0)</f>
        <v>597</v>
      </c>
      <c r="D5014" s="3">
        <f>IFERROR(__xludf.DUMMYFUNCTION("""COMPUTED_VALUE"""),361.0)</f>
        <v>361</v>
      </c>
      <c r="E5014" s="2"/>
      <c r="F5014" s="2"/>
    </row>
    <row r="5015">
      <c r="A5015" s="2">
        <f>IFERROR(__xludf.DUMMYFUNCTION("""COMPUTED_VALUE"""),108064.0)</f>
        <v>108064</v>
      </c>
      <c r="B5015" s="2">
        <f>IFERROR(__xludf.DUMMYFUNCTION("""COMPUTED_VALUE"""),1.0)</f>
        <v>1</v>
      </c>
      <c r="C5015" s="2">
        <f>IFERROR(__xludf.DUMMYFUNCTION("""COMPUTED_VALUE"""),94.0)</f>
        <v>94</v>
      </c>
      <c r="D5015" s="3">
        <f>IFERROR(__xludf.DUMMYFUNCTION("""COMPUTED_VALUE"""),12.0)</f>
        <v>12</v>
      </c>
      <c r="E5015" s="2"/>
      <c r="F5015" s="2"/>
    </row>
    <row r="5016">
      <c r="A5016" s="2">
        <f>IFERROR(__xludf.DUMMYFUNCTION("""COMPUTED_VALUE"""),70414.0)</f>
        <v>70414</v>
      </c>
      <c r="B5016" s="2">
        <f>IFERROR(__xludf.DUMMYFUNCTION("""COMPUTED_VALUE"""),1.0)</f>
        <v>1</v>
      </c>
      <c r="C5016" s="2">
        <f>IFERROR(__xludf.DUMMYFUNCTION("""COMPUTED_VALUE"""),236.0)</f>
        <v>236</v>
      </c>
      <c r="D5016" s="3">
        <f>IFERROR(__xludf.DUMMYFUNCTION("""COMPUTED_VALUE"""),24.0)</f>
        <v>24</v>
      </c>
      <c r="E5016" s="2"/>
      <c r="F5016" s="2"/>
    </row>
    <row r="5017">
      <c r="A5017" s="2">
        <f>IFERROR(__xludf.DUMMYFUNCTION("""COMPUTED_VALUE"""),9673.0)</f>
        <v>9673</v>
      </c>
      <c r="B5017" s="2">
        <f>IFERROR(__xludf.DUMMYFUNCTION("""COMPUTED_VALUE"""),0.0)</f>
        <v>0</v>
      </c>
      <c r="C5017" s="2">
        <f>IFERROR(__xludf.DUMMYFUNCTION("""COMPUTED_VALUE"""),530.0)</f>
        <v>530</v>
      </c>
      <c r="D5017" s="3">
        <f>IFERROR(__xludf.DUMMYFUNCTION("""COMPUTED_VALUE"""),303.0)</f>
        <v>303</v>
      </c>
      <c r="E5017" s="2"/>
      <c r="F5017" s="2"/>
    </row>
    <row r="5018">
      <c r="A5018" s="2">
        <f>IFERROR(__xludf.DUMMYFUNCTION("""COMPUTED_VALUE"""),117604.0)</f>
        <v>117604</v>
      </c>
      <c r="B5018" s="2">
        <f>IFERROR(__xludf.DUMMYFUNCTION("""COMPUTED_VALUE"""),0.0)</f>
        <v>0</v>
      </c>
      <c r="C5018" s="2">
        <f>IFERROR(__xludf.DUMMYFUNCTION("""COMPUTED_VALUE"""),667.0)</f>
        <v>667</v>
      </c>
      <c r="D5018" s="3">
        <f>IFERROR(__xludf.DUMMYFUNCTION("""COMPUTED_VALUE"""),275.0)</f>
        <v>275</v>
      </c>
      <c r="E5018" s="2"/>
      <c r="F5018" s="2"/>
    </row>
    <row r="5019">
      <c r="A5019" s="2">
        <f>IFERROR(__xludf.DUMMYFUNCTION("""COMPUTED_VALUE"""),45165.0)</f>
        <v>45165</v>
      </c>
      <c r="B5019" s="2">
        <f>IFERROR(__xludf.DUMMYFUNCTION("""COMPUTED_VALUE"""),1.0)</f>
        <v>1</v>
      </c>
      <c r="C5019" s="2">
        <f>IFERROR(__xludf.DUMMYFUNCTION("""COMPUTED_VALUE"""),875.0)</f>
        <v>875</v>
      </c>
      <c r="D5019" s="3">
        <f>IFERROR(__xludf.DUMMYFUNCTION("""COMPUTED_VALUE"""),757.0)</f>
        <v>757</v>
      </c>
      <c r="E5019" s="2"/>
      <c r="F5019" s="2"/>
    </row>
    <row r="5020">
      <c r="A5020" s="2">
        <f>IFERROR(__xludf.DUMMYFUNCTION("""COMPUTED_VALUE"""),128341.0)</f>
        <v>128341</v>
      </c>
      <c r="B5020" s="2">
        <f>IFERROR(__xludf.DUMMYFUNCTION("""COMPUTED_VALUE"""),1.0)</f>
        <v>1</v>
      </c>
      <c r="C5020" s="2">
        <f>IFERROR(__xludf.DUMMYFUNCTION("""COMPUTED_VALUE"""),869.0)</f>
        <v>869</v>
      </c>
      <c r="D5020" s="3">
        <f>IFERROR(__xludf.DUMMYFUNCTION("""COMPUTED_VALUE"""),539.0)</f>
        <v>539</v>
      </c>
      <c r="E5020" s="2"/>
      <c r="F5020" s="2"/>
    </row>
    <row r="5021">
      <c r="A5021" s="2">
        <f>IFERROR(__xludf.DUMMYFUNCTION("""COMPUTED_VALUE"""),101917.0)</f>
        <v>101917</v>
      </c>
      <c r="B5021" s="2">
        <f>IFERROR(__xludf.DUMMYFUNCTION("""COMPUTED_VALUE"""),0.0)</f>
        <v>0</v>
      </c>
      <c r="C5021" s="2">
        <f>IFERROR(__xludf.DUMMYFUNCTION("""COMPUTED_VALUE"""),109.0)</f>
        <v>109</v>
      </c>
      <c r="D5021" s="3">
        <f>IFERROR(__xludf.DUMMYFUNCTION("""COMPUTED_VALUE"""),11.0)</f>
        <v>11</v>
      </c>
      <c r="E5021" s="2"/>
      <c r="F5021" s="2"/>
    </row>
    <row r="5022">
      <c r="A5022" s="2">
        <f>IFERROR(__xludf.DUMMYFUNCTION("""COMPUTED_VALUE"""),79419.0)</f>
        <v>79419</v>
      </c>
      <c r="B5022" s="2">
        <f>IFERROR(__xludf.DUMMYFUNCTION("""COMPUTED_VALUE"""),0.0)</f>
        <v>0</v>
      </c>
      <c r="C5022" s="2">
        <f>IFERROR(__xludf.DUMMYFUNCTION("""COMPUTED_VALUE"""),765.0)</f>
        <v>765</v>
      </c>
      <c r="D5022" s="3">
        <f>IFERROR(__xludf.DUMMYFUNCTION("""COMPUTED_VALUE"""),477.0)</f>
        <v>477</v>
      </c>
      <c r="E5022" s="2"/>
      <c r="F5022" s="2"/>
    </row>
    <row r="5023">
      <c r="A5023" s="2">
        <f>IFERROR(__xludf.DUMMYFUNCTION("""COMPUTED_VALUE"""),9675.0)</f>
        <v>9675</v>
      </c>
      <c r="B5023" s="2">
        <f>IFERROR(__xludf.DUMMYFUNCTION("""COMPUTED_VALUE"""),1.0)</f>
        <v>1</v>
      </c>
      <c r="C5023" s="2">
        <f>IFERROR(__xludf.DUMMYFUNCTION("""COMPUTED_VALUE"""),971.0)</f>
        <v>971</v>
      </c>
      <c r="D5023" s="3">
        <f>IFERROR(__xludf.DUMMYFUNCTION("""COMPUTED_VALUE"""),361.0)</f>
        <v>361</v>
      </c>
      <c r="E5023" s="2"/>
      <c r="F5023" s="2"/>
    </row>
    <row r="5024">
      <c r="A5024" s="2">
        <f>IFERROR(__xludf.DUMMYFUNCTION("""COMPUTED_VALUE"""),9671.0)</f>
        <v>9671</v>
      </c>
      <c r="B5024" s="2">
        <f>IFERROR(__xludf.DUMMYFUNCTION("""COMPUTED_VALUE"""),1.0)</f>
        <v>1</v>
      </c>
      <c r="C5024" s="2">
        <f>IFERROR(__xludf.DUMMYFUNCTION("""COMPUTED_VALUE"""),352.0)</f>
        <v>352</v>
      </c>
      <c r="D5024" s="3">
        <f>IFERROR(__xludf.DUMMYFUNCTION("""COMPUTED_VALUE"""),89.0)</f>
        <v>89</v>
      </c>
      <c r="E5024" s="2"/>
      <c r="F5024" s="2"/>
    </row>
    <row r="5025">
      <c r="A5025" s="2">
        <f>IFERROR(__xludf.DUMMYFUNCTION("""COMPUTED_VALUE"""),20247.0)</f>
        <v>20247</v>
      </c>
      <c r="B5025" s="2">
        <f>IFERROR(__xludf.DUMMYFUNCTION("""COMPUTED_VALUE"""),1.0)</f>
        <v>1</v>
      </c>
      <c r="C5025" s="2">
        <f>IFERROR(__xludf.DUMMYFUNCTION("""COMPUTED_VALUE"""),760.0)</f>
        <v>760</v>
      </c>
      <c r="D5025" s="3">
        <f>IFERROR(__xludf.DUMMYFUNCTION("""COMPUTED_VALUE"""),749.0)</f>
        <v>749</v>
      </c>
      <c r="E5025" s="2"/>
      <c r="F5025" s="2"/>
    </row>
    <row r="5026">
      <c r="A5026" s="2">
        <f>IFERROR(__xludf.DUMMYFUNCTION("""COMPUTED_VALUE"""),109240.0)</f>
        <v>109240</v>
      </c>
      <c r="B5026" s="2">
        <f>IFERROR(__xludf.DUMMYFUNCTION("""COMPUTED_VALUE"""),1.0)</f>
        <v>1</v>
      </c>
      <c r="C5026" s="2">
        <f>IFERROR(__xludf.DUMMYFUNCTION("""COMPUTED_VALUE"""),483.0)</f>
        <v>483</v>
      </c>
      <c r="D5026" s="3">
        <f>IFERROR(__xludf.DUMMYFUNCTION("""COMPUTED_VALUE"""),369.0)</f>
        <v>369</v>
      </c>
      <c r="E5026" s="2"/>
      <c r="F5026" s="2"/>
    </row>
    <row r="5027">
      <c r="A5027" s="2">
        <f>IFERROR(__xludf.DUMMYFUNCTION("""COMPUTED_VALUE"""),104079.0)</f>
        <v>104079</v>
      </c>
      <c r="B5027" s="2">
        <f>IFERROR(__xludf.DUMMYFUNCTION("""COMPUTED_VALUE"""),0.0)</f>
        <v>0</v>
      </c>
      <c r="C5027" s="2">
        <f>IFERROR(__xludf.DUMMYFUNCTION("""COMPUTED_VALUE"""),62.0)</f>
        <v>62</v>
      </c>
      <c r="D5027" s="3">
        <f>IFERROR(__xludf.DUMMYFUNCTION("""COMPUTED_VALUE"""),53.0)</f>
        <v>53</v>
      </c>
      <c r="E5027" s="2"/>
      <c r="F5027" s="2"/>
    </row>
    <row r="5028">
      <c r="A5028" s="2">
        <f>IFERROR(__xludf.DUMMYFUNCTION("""COMPUTED_VALUE"""),126567.0)</f>
        <v>126567</v>
      </c>
      <c r="B5028" s="2">
        <f>IFERROR(__xludf.DUMMYFUNCTION("""COMPUTED_VALUE"""),0.0)</f>
        <v>0</v>
      </c>
      <c r="C5028" s="2">
        <f>IFERROR(__xludf.DUMMYFUNCTION("""COMPUTED_VALUE"""),939.0)</f>
        <v>939</v>
      </c>
      <c r="D5028" s="3">
        <f>IFERROR(__xludf.DUMMYFUNCTION("""COMPUTED_VALUE"""),703.0)</f>
        <v>703</v>
      </c>
      <c r="E5028" s="2"/>
      <c r="F5028" s="2"/>
    </row>
    <row r="5029">
      <c r="A5029" s="2">
        <f>IFERROR(__xludf.DUMMYFUNCTION("""COMPUTED_VALUE"""),45567.0)</f>
        <v>45567</v>
      </c>
      <c r="B5029" s="2">
        <f>IFERROR(__xludf.DUMMYFUNCTION("""COMPUTED_VALUE"""),1.0)</f>
        <v>1</v>
      </c>
      <c r="C5029" s="2">
        <f>IFERROR(__xludf.DUMMYFUNCTION("""COMPUTED_VALUE"""),801.0)</f>
        <v>801</v>
      </c>
      <c r="D5029" s="3">
        <f>IFERROR(__xludf.DUMMYFUNCTION("""COMPUTED_VALUE"""),457.0)</f>
        <v>457</v>
      </c>
      <c r="E5029" s="2"/>
      <c r="F5029" s="2"/>
    </row>
    <row r="5030">
      <c r="A5030" s="2">
        <f>IFERROR(__xludf.DUMMYFUNCTION("""COMPUTED_VALUE"""),109241.0)</f>
        <v>109241</v>
      </c>
      <c r="B5030" s="2">
        <f>IFERROR(__xludf.DUMMYFUNCTION("""COMPUTED_VALUE"""),1.0)</f>
        <v>1</v>
      </c>
      <c r="C5030" s="2">
        <f>IFERROR(__xludf.DUMMYFUNCTION("""COMPUTED_VALUE"""),669.0)</f>
        <v>669</v>
      </c>
      <c r="D5030" s="3">
        <f>IFERROR(__xludf.DUMMYFUNCTION("""COMPUTED_VALUE"""),62.0)</f>
        <v>62</v>
      </c>
      <c r="E5030" s="2"/>
      <c r="F5030" s="2"/>
    </row>
    <row r="5031">
      <c r="A5031" s="2">
        <f>IFERROR(__xludf.DUMMYFUNCTION("""COMPUTED_VALUE"""),126564.0)</f>
        <v>126564</v>
      </c>
      <c r="B5031" s="2">
        <f>IFERROR(__xludf.DUMMYFUNCTION("""COMPUTED_VALUE"""),1.0)</f>
        <v>1</v>
      </c>
      <c r="C5031" s="2">
        <f>IFERROR(__xludf.DUMMYFUNCTION("""COMPUTED_VALUE"""),496.0)</f>
        <v>496</v>
      </c>
      <c r="D5031" s="3">
        <f>IFERROR(__xludf.DUMMYFUNCTION("""COMPUTED_VALUE"""),156.0)</f>
        <v>156</v>
      </c>
      <c r="E5031" s="2"/>
      <c r="F5031" s="2"/>
    </row>
    <row r="5032">
      <c r="A5032" s="2">
        <f>IFERROR(__xludf.DUMMYFUNCTION("""COMPUTED_VALUE"""),20246.0)</f>
        <v>20246</v>
      </c>
      <c r="B5032" s="2">
        <f>IFERROR(__xludf.DUMMYFUNCTION("""COMPUTED_VALUE"""),1.0)</f>
        <v>1</v>
      </c>
      <c r="C5032" s="2">
        <f>IFERROR(__xludf.DUMMYFUNCTION("""COMPUTED_VALUE"""),280.0)</f>
        <v>280</v>
      </c>
      <c r="D5032" s="3">
        <f>IFERROR(__xludf.DUMMYFUNCTION("""COMPUTED_VALUE"""),221.0)</f>
        <v>221</v>
      </c>
      <c r="E5032" s="2"/>
      <c r="F5032" s="2"/>
    </row>
    <row r="5033">
      <c r="A5033" s="2">
        <f>IFERROR(__xludf.DUMMYFUNCTION("""COMPUTED_VALUE"""),99321.0)</f>
        <v>99321</v>
      </c>
      <c r="B5033" s="2">
        <f>IFERROR(__xludf.DUMMYFUNCTION("""COMPUTED_VALUE"""),0.0)</f>
        <v>0</v>
      </c>
      <c r="C5033" s="2">
        <f>IFERROR(__xludf.DUMMYFUNCTION("""COMPUTED_VALUE"""),124.0)</f>
        <v>124</v>
      </c>
      <c r="D5033" s="3">
        <f>IFERROR(__xludf.DUMMYFUNCTION("""COMPUTED_VALUE"""),104.0)</f>
        <v>104</v>
      </c>
      <c r="E5033" s="2"/>
      <c r="F5033" s="2"/>
    </row>
    <row r="5034">
      <c r="A5034" s="2">
        <f>IFERROR(__xludf.DUMMYFUNCTION("""COMPUTED_VALUE"""),99322.0)</f>
        <v>99322</v>
      </c>
      <c r="B5034" s="2">
        <f>IFERROR(__xludf.DUMMYFUNCTION("""COMPUTED_VALUE"""),1.0)</f>
        <v>1</v>
      </c>
      <c r="C5034" s="2">
        <f>IFERROR(__xludf.DUMMYFUNCTION("""COMPUTED_VALUE"""),340.0)</f>
        <v>340</v>
      </c>
      <c r="D5034" s="3">
        <f>IFERROR(__xludf.DUMMYFUNCTION("""COMPUTED_VALUE"""),194.0)</f>
        <v>194</v>
      </c>
      <c r="E5034" s="2"/>
      <c r="F5034" s="2"/>
    </row>
    <row r="5035">
      <c r="A5035" s="2">
        <f>IFERROR(__xludf.DUMMYFUNCTION("""COMPUTED_VALUE"""),126561.0)</f>
        <v>126561</v>
      </c>
      <c r="B5035" s="2">
        <f>IFERROR(__xludf.DUMMYFUNCTION("""COMPUTED_VALUE"""),0.0)</f>
        <v>0</v>
      </c>
      <c r="C5035" s="2">
        <f>IFERROR(__xludf.DUMMYFUNCTION("""COMPUTED_VALUE"""),666.0)</f>
        <v>666</v>
      </c>
      <c r="D5035" s="3">
        <f>IFERROR(__xludf.DUMMYFUNCTION("""COMPUTED_VALUE"""),107.0)</f>
        <v>107</v>
      </c>
      <c r="E5035" s="2"/>
      <c r="F5035" s="2"/>
    </row>
    <row r="5036">
      <c r="A5036" s="2">
        <f>IFERROR(__xludf.DUMMYFUNCTION("""COMPUTED_VALUE"""),113871.0)</f>
        <v>113871</v>
      </c>
      <c r="B5036" s="2">
        <f>IFERROR(__xludf.DUMMYFUNCTION("""COMPUTED_VALUE"""),1.0)</f>
        <v>1</v>
      </c>
      <c r="C5036" s="2">
        <f>IFERROR(__xludf.DUMMYFUNCTION("""COMPUTED_VALUE"""),801.0)</f>
        <v>801</v>
      </c>
      <c r="D5036" s="3">
        <f>IFERROR(__xludf.DUMMYFUNCTION("""COMPUTED_VALUE"""),673.0)</f>
        <v>673</v>
      </c>
      <c r="E5036" s="2"/>
      <c r="F5036" s="2"/>
    </row>
    <row r="5037">
      <c r="A5037" s="2">
        <f>IFERROR(__xludf.DUMMYFUNCTION("""COMPUTED_VALUE"""),68332.0)</f>
        <v>68332</v>
      </c>
      <c r="B5037" s="2">
        <f>IFERROR(__xludf.DUMMYFUNCTION("""COMPUTED_VALUE"""),1.0)</f>
        <v>1</v>
      </c>
      <c r="C5037" s="2">
        <f>IFERROR(__xludf.DUMMYFUNCTION("""COMPUTED_VALUE"""),390.0)</f>
        <v>390</v>
      </c>
      <c r="D5037" s="3">
        <f>IFERROR(__xludf.DUMMYFUNCTION("""COMPUTED_VALUE"""),114.0)</f>
        <v>114</v>
      </c>
      <c r="E5037" s="2"/>
      <c r="F5037" s="2"/>
    </row>
    <row r="5038">
      <c r="A5038" s="2">
        <f>IFERROR(__xludf.DUMMYFUNCTION("""COMPUTED_VALUE"""),102081.0)</f>
        <v>102081</v>
      </c>
      <c r="B5038" s="2">
        <f>IFERROR(__xludf.DUMMYFUNCTION("""COMPUTED_VALUE"""),0.0)</f>
        <v>0</v>
      </c>
      <c r="C5038" s="2">
        <f>IFERROR(__xludf.DUMMYFUNCTION("""COMPUTED_VALUE"""),536.0)</f>
        <v>536</v>
      </c>
      <c r="D5038" s="3">
        <f>IFERROR(__xludf.DUMMYFUNCTION("""COMPUTED_VALUE"""),243.0)</f>
        <v>243</v>
      </c>
      <c r="E5038" s="2"/>
      <c r="F5038" s="2"/>
    </row>
    <row r="5039">
      <c r="A5039" s="2">
        <f>IFERROR(__xludf.DUMMYFUNCTION("""COMPUTED_VALUE"""),84213.0)</f>
        <v>84213</v>
      </c>
      <c r="B5039" s="2">
        <f>IFERROR(__xludf.DUMMYFUNCTION("""COMPUTED_VALUE"""),1.0)</f>
        <v>1</v>
      </c>
      <c r="C5039" s="2">
        <f>IFERROR(__xludf.DUMMYFUNCTION("""COMPUTED_VALUE"""),923.0)</f>
        <v>923</v>
      </c>
      <c r="D5039" s="3">
        <f>IFERROR(__xludf.DUMMYFUNCTION("""COMPUTED_VALUE"""),178.0)</f>
        <v>178</v>
      </c>
      <c r="E5039" s="2"/>
      <c r="F5039" s="2"/>
    </row>
    <row r="5040">
      <c r="A5040" s="2">
        <f>IFERROR(__xludf.DUMMYFUNCTION("""COMPUTED_VALUE"""),68302.0)</f>
        <v>68302</v>
      </c>
      <c r="B5040" s="2">
        <f>IFERROR(__xludf.DUMMYFUNCTION("""COMPUTED_VALUE"""),0.0)</f>
        <v>0</v>
      </c>
      <c r="C5040" s="2">
        <f>IFERROR(__xludf.DUMMYFUNCTION("""COMPUTED_VALUE"""),740.0)</f>
        <v>740</v>
      </c>
      <c r="D5040" s="3">
        <f>IFERROR(__xludf.DUMMYFUNCTION("""COMPUTED_VALUE"""),469.0)</f>
        <v>469</v>
      </c>
      <c r="E5040" s="2"/>
      <c r="F5040" s="2"/>
    </row>
    <row r="5041">
      <c r="A5041" s="2">
        <f>IFERROR(__xludf.DUMMYFUNCTION("""COMPUTED_VALUE"""),88238.0)</f>
        <v>88238</v>
      </c>
      <c r="B5041" s="2">
        <f>IFERROR(__xludf.DUMMYFUNCTION("""COMPUTED_VALUE"""),0.0)</f>
        <v>0</v>
      </c>
      <c r="C5041" s="2">
        <f>IFERROR(__xludf.DUMMYFUNCTION("""COMPUTED_VALUE"""),827.0)</f>
        <v>827</v>
      </c>
      <c r="D5041" s="3">
        <f>IFERROR(__xludf.DUMMYFUNCTION("""COMPUTED_VALUE"""),473.0)</f>
        <v>473</v>
      </c>
      <c r="E5041" s="2"/>
      <c r="F5041" s="2"/>
    </row>
    <row r="5042">
      <c r="A5042" s="2">
        <f>IFERROR(__xludf.DUMMYFUNCTION("""COMPUTED_VALUE"""),84202.0)</f>
        <v>84202</v>
      </c>
      <c r="B5042" s="2">
        <f>IFERROR(__xludf.DUMMYFUNCTION("""COMPUTED_VALUE"""),1.0)</f>
        <v>1</v>
      </c>
      <c r="C5042" s="2">
        <f>IFERROR(__xludf.DUMMYFUNCTION("""COMPUTED_VALUE"""),493.0)</f>
        <v>493</v>
      </c>
      <c r="D5042" s="3">
        <f>IFERROR(__xludf.DUMMYFUNCTION("""COMPUTED_VALUE"""),403.0)</f>
        <v>403</v>
      </c>
      <c r="E5042" s="2"/>
      <c r="F5042" s="2"/>
    </row>
    <row r="5043">
      <c r="A5043" s="2">
        <f>IFERROR(__xludf.DUMMYFUNCTION("""COMPUTED_VALUE"""),84226.0)</f>
        <v>84226</v>
      </c>
      <c r="B5043" s="2">
        <f>IFERROR(__xludf.DUMMYFUNCTION("""COMPUTED_VALUE"""),1.0)</f>
        <v>1</v>
      </c>
      <c r="C5043" s="2">
        <f>IFERROR(__xludf.DUMMYFUNCTION("""COMPUTED_VALUE"""),368.0)</f>
        <v>368</v>
      </c>
      <c r="D5043" s="3">
        <f>IFERROR(__xludf.DUMMYFUNCTION("""COMPUTED_VALUE"""),198.0)</f>
        <v>198</v>
      </c>
      <c r="E5043" s="2"/>
      <c r="F5043" s="2"/>
    </row>
    <row r="5044">
      <c r="A5044" s="2">
        <f>IFERROR(__xludf.DUMMYFUNCTION("""COMPUTED_VALUE"""),104071.0)</f>
        <v>104071</v>
      </c>
      <c r="B5044" s="2">
        <f>IFERROR(__xludf.DUMMYFUNCTION("""COMPUTED_VALUE"""),0.0)</f>
        <v>0</v>
      </c>
      <c r="C5044" s="2">
        <f>IFERROR(__xludf.DUMMYFUNCTION("""COMPUTED_VALUE"""),506.0)</f>
        <v>506</v>
      </c>
      <c r="D5044" s="3">
        <f>IFERROR(__xludf.DUMMYFUNCTION("""COMPUTED_VALUE"""),119.0)</f>
        <v>119</v>
      </c>
      <c r="E5044" s="2"/>
      <c r="F5044" s="2"/>
    </row>
    <row r="5045">
      <c r="A5045" s="2">
        <f>IFERROR(__xludf.DUMMYFUNCTION("""COMPUTED_VALUE"""),104075.0)</f>
        <v>104075</v>
      </c>
      <c r="B5045" s="2">
        <f>IFERROR(__xludf.DUMMYFUNCTION("""COMPUTED_VALUE"""),0.0)</f>
        <v>0</v>
      </c>
      <c r="C5045" s="2">
        <f>IFERROR(__xludf.DUMMYFUNCTION("""COMPUTED_VALUE"""),219.0)</f>
        <v>219</v>
      </c>
      <c r="D5045" s="3">
        <f>IFERROR(__xludf.DUMMYFUNCTION("""COMPUTED_VALUE"""),50.0)</f>
        <v>50</v>
      </c>
      <c r="E5045" s="2"/>
      <c r="F5045" s="2"/>
    </row>
    <row r="5046">
      <c r="A5046" s="2">
        <f>IFERROR(__xludf.DUMMYFUNCTION("""COMPUTED_VALUE"""),91042.0)</f>
        <v>91042</v>
      </c>
      <c r="B5046" s="2">
        <f>IFERROR(__xludf.DUMMYFUNCTION("""COMPUTED_VALUE"""),0.0)</f>
        <v>0</v>
      </c>
      <c r="C5046" s="2">
        <f>IFERROR(__xludf.DUMMYFUNCTION("""COMPUTED_VALUE"""),253.0)</f>
        <v>253</v>
      </c>
      <c r="D5046" s="3">
        <f>IFERROR(__xludf.DUMMYFUNCTION("""COMPUTED_VALUE"""),31.0)</f>
        <v>31</v>
      </c>
      <c r="E5046" s="2"/>
      <c r="F5046" s="2"/>
    </row>
    <row r="5047">
      <c r="A5047" s="2">
        <f>IFERROR(__xludf.DUMMYFUNCTION("""COMPUTED_VALUE"""),108047.0)</f>
        <v>108047</v>
      </c>
      <c r="B5047" s="2">
        <f>IFERROR(__xludf.DUMMYFUNCTION("""COMPUTED_VALUE"""),1.0)</f>
        <v>1</v>
      </c>
      <c r="C5047" s="2">
        <f>IFERROR(__xludf.DUMMYFUNCTION("""COMPUTED_VALUE"""),489.0)</f>
        <v>489</v>
      </c>
      <c r="D5047" s="3">
        <f>IFERROR(__xludf.DUMMYFUNCTION("""COMPUTED_VALUE"""),109.0)</f>
        <v>109</v>
      </c>
      <c r="E5047" s="2"/>
      <c r="F5047" s="2"/>
    </row>
    <row r="5048">
      <c r="A5048" s="2">
        <f>IFERROR(__xludf.DUMMYFUNCTION("""COMPUTED_VALUE"""),90993.0)</f>
        <v>90993</v>
      </c>
      <c r="B5048" s="2">
        <f>IFERROR(__xludf.DUMMYFUNCTION("""COMPUTED_VALUE"""),0.0)</f>
        <v>0</v>
      </c>
      <c r="C5048" s="2">
        <f>IFERROR(__xludf.DUMMYFUNCTION("""COMPUTED_VALUE"""),410.0)</f>
        <v>410</v>
      </c>
      <c r="D5048" s="3">
        <f>IFERROR(__xludf.DUMMYFUNCTION("""COMPUTED_VALUE"""),369.0)</f>
        <v>369</v>
      </c>
      <c r="E5048" s="2"/>
      <c r="F5048" s="2"/>
    </row>
    <row r="5049">
      <c r="A5049" s="2">
        <f>IFERROR(__xludf.DUMMYFUNCTION("""COMPUTED_VALUE"""),19277.0)</f>
        <v>19277</v>
      </c>
      <c r="B5049" s="2">
        <f>IFERROR(__xludf.DUMMYFUNCTION("""COMPUTED_VALUE"""),0.0)</f>
        <v>0</v>
      </c>
      <c r="C5049" s="2">
        <f>IFERROR(__xludf.DUMMYFUNCTION("""COMPUTED_VALUE"""),18.0)</f>
        <v>18</v>
      </c>
      <c r="D5049" s="3">
        <f>IFERROR(__xludf.DUMMYFUNCTION("""COMPUTED_VALUE"""),7.0)</f>
        <v>7</v>
      </c>
      <c r="E5049" s="2"/>
      <c r="F5049" s="2"/>
    </row>
    <row r="5050">
      <c r="A5050" s="2">
        <f>IFERROR(__xludf.DUMMYFUNCTION("""COMPUTED_VALUE"""),84223.0)</f>
        <v>84223</v>
      </c>
      <c r="B5050" s="2">
        <f>IFERROR(__xludf.DUMMYFUNCTION("""COMPUTED_VALUE"""),1.0)</f>
        <v>1</v>
      </c>
      <c r="C5050" s="2">
        <f>IFERROR(__xludf.DUMMYFUNCTION("""COMPUTED_VALUE"""),638.0)</f>
        <v>638</v>
      </c>
      <c r="D5050" s="3">
        <f>IFERROR(__xludf.DUMMYFUNCTION("""COMPUTED_VALUE"""),329.0)</f>
        <v>329</v>
      </c>
      <c r="E5050" s="2"/>
      <c r="F5050" s="2"/>
    </row>
    <row r="5051">
      <c r="A5051" s="2">
        <f>IFERROR(__xludf.DUMMYFUNCTION("""COMPUTED_VALUE"""),84225.0)</f>
        <v>84225</v>
      </c>
      <c r="B5051" s="2">
        <f>IFERROR(__xludf.DUMMYFUNCTION("""COMPUTED_VALUE"""),1.0)</f>
        <v>1</v>
      </c>
      <c r="C5051" s="2">
        <f>IFERROR(__xludf.DUMMYFUNCTION("""COMPUTED_VALUE"""),85.0)</f>
        <v>85</v>
      </c>
      <c r="D5051" s="3">
        <f>IFERROR(__xludf.DUMMYFUNCTION("""COMPUTED_VALUE"""),82.0)</f>
        <v>82</v>
      </c>
      <c r="E5051" s="2"/>
      <c r="F5051" s="2"/>
    </row>
    <row r="5052">
      <c r="A5052" s="2">
        <f>IFERROR(__xludf.DUMMYFUNCTION("""COMPUTED_VALUE"""),113865.0)</f>
        <v>113865</v>
      </c>
      <c r="B5052" s="2">
        <f>IFERROR(__xludf.DUMMYFUNCTION("""COMPUTED_VALUE"""),0.0)</f>
        <v>0</v>
      </c>
      <c r="C5052" s="2">
        <f>IFERROR(__xludf.DUMMYFUNCTION("""COMPUTED_VALUE"""),827.0)</f>
        <v>827</v>
      </c>
      <c r="D5052" s="3">
        <f>IFERROR(__xludf.DUMMYFUNCTION("""COMPUTED_VALUE"""),130.0)</f>
        <v>130</v>
      </c>
      <c r="E5052" s="2"/>
      <c r="F5052" s="2"/>
    </row>
    <row r="5053">
      <c r="A5053" s="2">
        <f>IFERROR(__xludf.DUMMYFUNCTION("""COMPUTED_VALUE"""),94645.0)</f>
        <v>94645</v>
      </c>
      <c r="B5053" s="2">
        <f>IFERROR(__xludf.DUMMYFUNCTION("""COMPUTED_VALUE"""),0.0)</f>
        <v>0</v>
      </c>
      <c r="C5053" s="2">
        <f>IFERROR(__xludf.DUMMYFUNCTION("""COMPUTED_VALUE"""),629.0)</f>
        <v>629</v>
      </c>
      <c r="D5053" s="3">
        <f>IFERROR(__xludf.DUMMYFUNCTION("""COMPUTED_VALUE"""),311.0)</f>
        <v>311</v>
      </c>
      <c r="E5053" s="2"/>
      <c r="F5053" s="2"/>
    </row>
    <row r="5054">
      <c r="A5054" s="2">
        <f>IFERROR(__xludf.DUMMYFUNCTION("""COMPUTED_VALUE"""),104073.0)</f>
        <v>104073</v>
      </c>
      <c r="B5054" s="2">
        <f>IFERROR(__xludf.DUMMYFUNCTION("""COMPUTED_VALUE"""),0.0)</f>
        <v>0</v>
      </c>
      <c r="C5054" s="2">
        <f>IFERROR(__xludf.DUMMYFUNCTION("""COMPUTED_VALUE"""),966.0)</f>
        <v>966</v>
      </c>
      <c r="D5054" s="3">
        <f>IFERROR(__xludf.DUMMYFUNCTION("""COMPUTED_VALUE"""),17.0)</f>
        <v>17</v>
      </c>
      <c r="E5054" s="2"/>
      <c r="F5054" s="2"/>
    </row>
    <row r="5055">
      <c r="A5055" s="2">
        <f>IFERROR(__xludf.DUMMYFUNCTION("""COMPUTED_VALUE"""),113880.0)</f>
        <v>113880</v>
      </c>
      <c r="B5055" s="2">
        <f>IFERROR(__xludf.DUMMYFUNCTION("""COMPUTED_VALUE"""),0.0)</f>
        <v>0</v>
      </c>
      <c r="C5055" s="2">
        <f>IFERROR(__xludf.DUMMYFUNCTION("""COMPUTED_VALUE"""),57.0)</f>
        <v>57</v>
      </c>
      <c r="D5055" s="3">
        <f>IFERROR(__xludf.DUMMYFUNCTION("""COMPUTED_VALUE"""),18.0)</f>
        <v>18</v>
      </c>
      <c r="E5055" s="2"/>
      <c r="F5055" s="2"/>
    </row>
    <row r="5056">
      <c r="A5056" s="2">
        <f>IFERROR(__xludf.DUMMYFUNCTION("""COMPUTED_VALUE"""),91045.0)</f>
        <v>91045</v>
      </c>
      <c r="B5056" s="2">
        <f>IFERROR(__xludf.DUMMYFUNCTION("""COMPUTED_VALUE"""),0.0)</f>
        <v>0</v>
      </c>
      <c r="C5056" s="2">
        <f>IFERROR(__xludf.DUMMYFUNCTION("""COMPUTED_VALUE"""),171.0)</f>
        <v>171</v>
      </c>
      <c r="D5056" s="3">
        <f>IFERROR(__xludf.DUMMYFUNCTION("""COMPUTED_VALUE"""),105.0)</f>
        <v>105</v>
      </c>
      <c r="E5056" s="2"/>
      <c r="F5056" s="2"/>
    </row>
    <row r="5057">
      <c r="A5057" s="2">
        <f>IFERROR(__xludf.DUMMYFUNCTION("""COMPUTED_VALUE"""),84231.0)</f>
        <v>84231</v>
      </c>
      <c r="B5057" s="2">
        <f>IFERROR(__xludf.DUMMYFUNCTION("""COMPUTED_VALUE"""),0.0)</f>
        <v>0</v>
      </c>
      <c r="C5057" s="2">
        <f>IFERROR(__xludf.DUMMYFUNCTION("""COMPUTED_VALUE"""),194.0)</f>
        <v>194</v>
      </c>
      <c r="D5057" s="3">
        <f>IFERROR(__xludf.DUMMYFUNCTION("""COMPUTED_VALUE"""),27.0)</f>
        <v>27</v>
      </c>
      <c r="E5057" s="2"/>
      <c r="F5057" s="2"/>
    </row>
    <row r="5058">
      <c r="A5058" s="2">
        <f>IFERROR(__xludf.DUMMYFUNCTION("""COMPUTED_VALUE"""),68321.0)</f>
        <v>68321</v>
      </c>
      <c r="B5058" s="2">
        <f>IFERROR(__xludf.DUMMYFUNCTION("""COMPUTED_VALUE"""),1.0)</f>
        <v>1</v>
      </c>
      <c r="C5058" s="2">
        <f>IFERROR(__xludf.DUMMYFUNCTION("""COMPUTED_VALUE"""),586.0)</f>
        <v>586</v>
      </c>
      <c r="D5058" s="3">
        <f>IFERROR(__xludf.DUMMYFUNCTION("""COMPUTED_VALUE"""),261.0)</f>
        <v>261</v>
      </c>
      <c r="E5058" s="2"/>
      <c r="F5058" s="2"/>
    </row>
    <row r="5059">
      <c r="A5059" s="2">
        <f>IFERROR(__xludf.DUMMYFUNCTION("""COMPUTED_VALUE"""),84211.0)</f>
        <v>84211</v>
      </c>
      <c r="B5059" s="2">
        <f>IFERROR(__xludf.DUMMYFUNCTION("""COMPUTED_VALUE"""),1.0)</f>
        <v>1</v>
      </c>
      <c r="C5059" s="2">
        <f>IFERROR(__xludf.DUMMYFUNCTION("""COMPUTED_VALUE"""),432.0)</f>
        <v>432</v>
      </c>
      <c r="D5059" s="3">
        <f>IFERROR(__xludf.DUMMYFUNCTION("""COMPUTED_VALUE"""),243.0)</f>
        <v>243</v>
      </c>
      <c r="E5059" s="2"/>
      <c r="F5059" s="2"/>
    </row>
    <row r="5060">
      <c r="A5060" s="2">
        <f>IFERROR(__xludf.DUMMYFUNCTION("""COMPUTED_VALUE"""),158663.0)</f>
        <v>158663</v>
      </c>
      <c r="B5060" s="2">
        <f>IFERROR(__xludf.DUMMYFUNCTION("""COMPUTED_VALUE"""),0.0)</f>
        <v>0</v>
      </c>
      <c r="C5060" s="2">
        <f>IFERROR(__xludf.DUMMYFUNCTION("""COMPUTED_VALUE"""),776.0)</f>
        <v>776</v>
      </c>
      <c r="D5060" s="3">
        <f>IFERROR(__xludf.DUMMYFUNCTION("""COMPUTED_VALUE"""),44.0)</f>
        <v>44</v>
      </c>
      <c r="E5060" s="2"/>
      <c r="F5060" s="2"/>
    </row>
    <row r="5061">
      <c r="A5061" s="2">
        <f>IFERROR(__xludf.DUMMYFUNCTION("""COMPUTED_VALUE"""),113874.0)</f>
        <v>113874</v>
      </c>
      <c r="B5061" s="2">
        <f>IFERROR(__xludf.DUMMYFUNCTION("""COMPUTED_VALUE"""),1.0)</f>
        <v>1</v>
      </c>
      <c r="C5061" s="2">
        <f>IFERROR(__xludf.DUMMYFUNCTION("""COMPUTED_VALUE"""),491.0)</f>
        <v>491</v>
      </c>
      <c r="D5061" s="3">
        <f>IFERROR(__xludf.DUMMYFUNCTION("""COMPUTED_VALUE"""),54.0)</f>
        <v>54</v>
      </c>
      <c r="E5061" s="2"/>
      <c r="F5061" s="2"/>
    </row>
    <row r="5062">
      <c r="A5062" s="2">
        <f>IFERROR(__xludf.DUMMYFUNCTION("""COMPUTED_VALUE"""),84234.0)</f>
        <v>84234</v>
      </c>
      <c r="B5062" s="2">
        <f>IFERROR(__xludf.DUMMYFUNCTION("""COMPUTED_VALUE"""),0.0)</f>
        <v>0</v>
      </c>
      <c r="C5062" s="2">
        <f>IFERROR(__xludf.DUMMYFUNCTION("""COMPUTED_VALUE"""),861.0)</f>
        <v>861</v>
      </c>
      <c r="D5062" s="3">
        <f>IFERROR(__xludf.DUMMYFUNCTION("""COMPUTED_VALUE"""),797.0)</f>
        <v>797</v>
      </c>
      <c r="E5062" s="2"/>
      <c r="F5062" s="2"/>
    </row>
    <row r="5063">
      <c r="A5063" s="2">
        <f>IFERROR(__xludf.DUMMYFUNCTION("""COMPUTED_VALUE"""),76642.0)</f>
        <v>76642</v>
      </c>
      <c r="B5063" s="2">
        <f>IFERROR(__xludf.DUMMYFUNCTION("""COMPUTED_VALUE"""),0.0)</f>
        <v>0</v>
      </c>
      <c r="C5063" s="2">
        <f>IFERROR(__xludf.DUMMYFUNCTION("""COMPUTED_VALUE"""),297.0)</f>
        <v>297</v>
      </c>
      <c r="D5063" s="3">
        <f>IFERROR(__xludf.DUMMYFUNCTION("""COMPUTED_VALUE"""),165.0)</f>
        <v>165</v>
      </c>
      <c r="E5063" s="2"/>
      <c r="F5063" s="2"/>
    </row>
    <row r="5064">
      <c r="A5064" s="2">
        <f>IFERROR(__xludf.DUMMYFUNCTION("""COMPUTED_VALUE"""),126573.0)</f>
        <v>126573</v>
      </c>
      <c r="B5064" s="2">
        <f>IFERROR(__xludf.DUMMYFUNCTION("""COMPUTED_VALUE"""),1.0)</f>
        <v>1</v>
      </c>
      <c r="C5064" s="2">
        <f>IFERROR(__xludf.DUMMYFUNCTION("""COMPUTED_VALUE"""),100.0)</f>
        <v>100</v>
      </c>
      <c r="D5064" s="3">
        <f>IFERROR(__xludf.DUMMYFUNCTION("""COMPUTED_VALUE"""),31.0)</f>
        <v>31</v>
      </c>
      <c r="E5064" s="2"/>
      <c r="F5064" s="2"/>
    </row>
    <row r="5065">
      <c r="A5065" s="2">
        <f>IFERROR(__xludf.DUMMYFUNCTION("""COMPUTED_VALUE"""),113877.0)</f>
        <v>113877</v>
      </c>
      <c r="B5065" s="2">
        <f>IFERROR(__xludf.DUMMYFUNCTION("""COMPUTED_VALUE"""),1.0)</f>
        <v>1</v>
      </c>
      <c r="C5065" s="2">
        <f>IFERROR(__xludf.DUMMYFUNCTION("""COMPUTED_VALUE"""),50.0)</f>
        <v>50</v>
      </c>
      <c r="D5065" s="3">
        <f>IFERROR(__xludf.DUMMYFUNCTION("""COMPUTED_VALUE"""),31.0)</f>
        <v>31</v>
      </c>
      <c r="E5065" s="2"/>
      <c r="F5065" s="2"/>
    </row>
    <row r="5066">
      <c r="A5066" s="2">
        <f>IFERROR(__xludf.DUMMYFUNCTION("""COMPUTED_VALUE"""),84212.0)</f>
        <v>84212</v>
      </c>
      <c r="B5066" s="2">
        <f>IFERROR(__xludf.DUMMYFUNCTION("""COMPUTED_VALUE"""),1.0)</f>
        <v>1</v>
      </c>
      <c r="C5066" s="2">
        <f>IFERROR(__xludf.DUMMYFUNCTION("""COMPUTED_VALUE"""),160.0)</f>
        <v>160</v>
      </c>
      <c r="D5066" s="3">
        <f>IFERROR(__xludf.DUMMYFUNCTION("""COMPUTED_VALUE"""),60.0)</f>
        <v>60</v>
      </c>
      <c r="E5066" s="2"/>
      <c r="F5066" s="2"/>
    </row>
    <row r="5067">
      <c r="A5067" s="2">
        <f>IFERROR(__xludf.DUMMYFUNCTION("""COMPUTED_VALUE"""),84203.0)</f>
        <v>84203</v>
      </c>
      <c r="B5067" s="2">
        <f>IFERROR(__xludf.DUMMYFUNCTION("""COMPUTED_VALUE"""),0.0)</f>
        <v>0</v>
      </c>
      <c r="C5067" s="2">
        <f>IFERROR(__xludf.DUMMYFUNCTION("""COMPUTED_VALUE"""),448.0)</f>
        <v>448</v>
      </c>
      <c r="D5067" s="3">
        <f>IFERROR(__xludf.DUMMYFUNCTION("""COMPUTED_VALUE"""),37.0)</f>
        <v>37</v>
      </c>
      <c r="E5067" s="2"/>
      <c r="F5067" s="2"/>
    </row>
    <row r="5068">
      <c r="A5068" s="2">
        <f>IFERROR(__xludf.DUMMYFUNCTION("""COMPUTED_VALUE"""),91038.0)</f>
        <v>91038</v>
      </c>
      <c r="B5068" s="2">
        <f>IFERROR(__xludf.DUMMYFUNCTION("""COMPUTED_VALUE"""),0.0)</f>
        <v>0</v>
      </c>
      <c r="C5068" s="2">
        <f>IFERROR(__xludf.DUMMYFUNCTION("""COMPUTED_VALUE"""),29.0)</f>
        <v>29</v>
      </c>
      <c r="D5068" s="3">
        <f>IFERROR(__xludf.DUMMYFUNCTION("""COMPUTED_VALUE"""),5.0)</f>
        <v>5</v>
      </c>
      <c r="E5068" s="2"/>
      <c r="F5068" s="2"/>
    </row>
    <row r="5069">
      <c r="A5069" s="2">
        <f>IFERROR(__xludf.DUMMYFUNCTION("""COMPUTED_VALUE"""),19335.0)</f>
        <v>19335</v>
      </c>
      <c r="B5069" s="2">
        <f>IFERROR(__xludf.DUMMYFUNCTION("""COMPUTED_VALUE"""),1.0)</f>
        <v>1</v>
      </c>
      <c r="C5069" s="2">
        <f>IFERROR(__xludf.DUMMYFUNCTION("""COMPUTED_VALUE"""),693.0)</f>
        <v>693</v>
      </c>
      <c r="D5069" s="3">
        <f>IFERROR(__xludf.DUMMYFUNCTION("""COMPUTED_VALUE"""),290.0)</f>
        <v>290</v>
      </c>
      <c r="E5069" s="2"/>
      <c r="F5069" s="2"/>
    </row>
    <row r="5070">
      <c r="A5070" s="2">
        <f>IFERROR(__xludf.DUMMYFUNCTION("""COMPUTED_VALUE"""),103073.0)</f>
        <v>103073</v>
      </c>
      <c r="B5070" s="2">
        <f>IFERROR(__xludf.DUMMYFUNCTION("""COMPUTED_VALUE"""),1.0)</f>
        <v>1</v>
      </c>
      <c r="C5070" s="2">
        <f>IFERROR(__xludf.DUMMYFUNCTION("""COMPUTED_VALUE"""),703.0)</f>
        <v>703</v>
      </c>
      <c r="D5070" s="3">
        <f>IFERROR(__xludf.DUMMYFUNCTION("""COMPUTED_VALUE"""),261.0)</f>
        <v>261</v>
      </c>
      <c r="E5070" s="2"/>
      <c r="F5070" s="2"/>
    </row>
    <row r="5071">
      <c r="A5071" s="2">
        <f>IFERROR(__xludf.DUMMYFUNCTION("""COMPUTED_VALUE"""),122261.0)</f>
        <v>122261</v>
      </c>
      <c r="B5071" s="2">
        <f>IFERROR(__xludf.DUMMYFUNCTION("""COMPUTED_VALUE"""),0.0)</f>
        <v>0</v>
      </c>
      <c r="C5071" s="2">
        <f>IFERROR(__xludf.DUMMYFUNCTION("""COMPUTED_VALUE"""),275.0)</f>
        <v>275</v>
      </c>
      <c r="D5071" s="3">
        <f>IFERROR(__xludf.DUMMYFUNCTION("""COMPUTED_VALUE"""),240.0)</f>
        <v>240</v>
      </c>
      <c r="E5071" s="2"/>
      <c r="F5071" s="2"/>
    </row>
    <row r="5072">
      <c r="A5072" s="2">
        <f>IFERROR(__xludf.DUMMYFUNCTION("""COMPUTED_VALUE"""),68315.0)</f>
        <v>68315</v>
      </c>
      <c r="B5072" s="2">
        <f>IFERROR(__xludf.DUMMYFUNCTION("""COMPUTED_VALUE"""),1.0)</f>
        <v>1</v>
      </c>
      <c r="C5072" s="2">
        <f>IFERROR(__xludf.DUMMYFUNCTION("""COMPUTED_VALUE"""),191.0)</f>
        <v>191</v>
      </c>
      <c r="D5072" s="3">
        <f>IFERROR(__xludf.DUMMYFUNCTION("""COMPUTED_VALUE"""),136.0)</f>
        <v>136</v>
      </c>
      <c r="E5072" s="2"/>
      <c r="F5072" s="2"/>
    </row>
    <row r="5073">
      <c r="A5073" s="2">
        <f>IFERROR(__xludf.DUMMYFUNCTION("""COMPUTED_VALUE"""),110229.0)</f>
        <v>110229</v>
      </c>
      <c r="B5073" s="2">
        <f>IFERROR(__xludf.DUMMYFUNCTION("""COMPUTED_VALUE"""),0.0)</f>
        <v>0</v>
      </c>
      <c r="C5073" s="2">
        <f>IFERROR(__xludf.DUMMYFUNCTION("""COMPUTED_VALUE"""),555.0)</f>
        <v>555</v>
      </c>
      <c r="D5073" s="3">
        <f>IFERROR(__xludf.DUMMYFUNCTION("""COMPUTED_VALUE"""),301.0)</f>
        <v>301</v>
      </c>
      <c r="E5073" s="2"/>
      <c r="F5073" s="2"/>
    </row>
    <row r="5074">
      <c r="A5074" s="2">
        <f>IFERROR(__xludf.DUMMYFUNCTION("""COMPUTED_VALUE"""),5548.0)</f>
        <v>5548</v>
      </c>
      <c r="B5074" s="2">
        <f>IFERROR(__xludf.DUMMYFUNCTION("""COMPUTED_VALUE"""),1.0)</f>
        <v>1</v>
      </c>
      <c r="C5074" s="2">
        <f>IFERROR(__xludf.DUMMYFUNCTION("""COMPUTED_VALUE"""),48.0)</f>
        <v>48</v>
      </c>
      <c r="D5074" s="3">
        <f>IFERROR(__xludf.DUMMYFUNCTION("""COMPUTED_VALUE"""),45.0)</f>
        <v>45</v>
      </c>
      <c r="E5074" s="2"/>
      <c r="F5074" s="2"/>
    </row>
    <row r="5075">
      <c r="A5075" s="2">
        <f>IFERROR(__xludf.DUMMYFUNCTION("""COMPUTED_VALUE"""),126544.0)</f>
        <v>126544</v>
      </c>
      <c r="B5075" s="2">
        <f>IFERROR(__xludf.DUMMYFUNCTION("""COMPUTED_VALUE"""),1.0)</f>
        <v>1</v>
      </c>
      <c r="C5075" s="2">
        <f>IFERROR(__xludf.DUMMYFUNCTION("""COMPUTED_VALUE"""),778.0)</f>
        <v>778</v>
      </c>
      <c r="D5075" s="3">
        <f>IFERROR(__xludf.DUMMYFUNCTION("""COMPUTED_VALUE"""),566.0)</f>
        <v>566</v>
      </c>
      <c r="E5075" s="2"/>
      <c r="F5075" s="2"/>
    </row>
    <row r="5076">
      <c r="A5076" s="2">
        <f>IFERROR(__xludf.DUMMYFUNCTION("""COMPUTED_VALUE"""),90792.0)</f>
        <v>90792</v>
      </c>
      <c r="B5076" s="2">
        <f>IFERROR(__xludf.DUMMYFUNCTION("""COMPUTED_VALUE"""),0.0)</f>
        <v>0</v>
      </c>
      <c r="C5076" s="2">
        <f>IFERROR(__xludf.DUMMYFUNCTION("""COMPUTED_VALUE"""),781.0)</f>
        <v>781</v>
      </c>
      <c r="D5076" s="3">
        <f>IFERROR(__xludf.DUMMYFUNCTION("""COMPUTED_VALUE"""),533.0)</f>
        <v>533</v>
      </c>
      <c r="E5076" s="2"/>
      <c r="F5076" s="2"/>
    </row>
    <row r="5077">
      <c r="A5077" s="2">
        <f>IFERROR(__xludf.DUMMYFUNCTION("""COMPUTED_VALUE"""),126541.0)</f>
        <v>126541</v>
      </c>
      <c r="B5077" s="2">
        <f>IFERROR(__xludf.DUMMYFUNCTION("""COMPUTED_VALUE"""),0.0)</f>
        <v>0</v>
      </c>
      <c r="C5077" s="2">
        <f>IFERROR(__xludf.DUMMYFUNCTION("""COMPUTED_VALUE"""),911.0)</f>
        <v>911</v>
      </c>
      <c r="D5077" s="3">
        <f>IFERROR(__xludf.DUMMYFUNCTION("""COMPUTED_VALUE"""),160.0)</f>
        <v>160</v>
      </c>
      <c r="E5077" s="2"/>
      <c r="F5077" s="2"/>
    </row>
    <row r="5078">
      <c r="A5078" s="2">
        <f>IFERROR(__xludf.DUMMYFUNCTION("""COMPUTED_VALUE"""),71190.0)</f>
        <v>71190</v>
      </c>
      <c r="B5078" s="2">
        <f>IFERROR(__xludf.DUMMYFUNCTION("""COMPUTED_VALUE"""),0.0)</f>
        <v>0</v>
      </c>
      <c r="C5078" s="2">
        <f>IFERROR(__xludf.DUMMYFUNCTION("""COMPUTED_VALUE"""),571.0)</f>
        <v>571</v>
      </c>
      <c r="D5078" s="3">
        <f>IFERROR(__xludf.DUMMYFUNCTION("""COMPUTED_VALUE"""),323.0)</f>
        <v>323</v>
      </c>
      <c r="E5078" s="2"/>
      <c r="F5078" s="2"/>
    </row>
    <row r="5079">
      <c r="A5079" s="2">
        <f>IFERROR(__xludf.DUMMYFUNCTION("""COMPUTED_VALUE"""),76425.0)</f>
        <v>76425</v>
      </c>
      <c r="B5079" s="2">
        <f>IFERROR(__xludf.DUMMYFUNCTION("""COMPUTED_VALUE"""),1.0)</f>
        <v>1</v>
      </c>
      <c r="C5079" s="2">
        <f>IFERROR(__xludf.DUMMYFUNCTION("""COMPUTED_VALUE"""),858.0)</f>
        <v>858</v>
      </c>
      <c r="D5079" s="3">
        <f>IFERROR(__xludf.DUMMYFUNCTION("""COMPUTED_VALUE"""),124.0)</f>
        <v>124</v>
      </c>
      <c r="E5079" s="2"/>
      <c r="F5079" s="2"/>
    </row>
    <row r="5080">
      <c r="A5080" s="2">
        <f>IFERROR(__xludf.DUMMYFUNCTION("""COMPUTED_VALUE"""),76422.0)</f>
        <v>76422</v>
      </c>
      <c r="B5080" s="2">
        <f>IFERROR(__xludf.DUMMYFUNCTION("""COMPUTED_VALUE"""),0.0)</f>
        <v>0</v>
      </c>
      <c r="C5080" s="2">
        <f>IFERROR(__xludf.DUMMYFUNCTION("""COMPUTED_VALUE"""),345.0)</f>
        <v>345</v>
      </c>
      <c r="D5080" s="3">
        <f>IFERROR(__xludf.DUMMYFUNCTION("""COMPUTED_VALUE"""),6.0)</f>
        <v>6</v>
      </c>
      <c r="E5080" s="2"/>
      <c r="F5080" s="2"/>
    </row>
    <row r="5081">
      <c r="A5081" s="2">
        <f>IFERROR(__xludf.DUMMYFUNCTION("""COMPUTED_VALUE"""),159201.0)</f>
        <v>159201</v>
      </c>
      <c r="B5081" s="2">
        <f>IFERROR(__xludf.DUMMYFUNCTION("""COMPUTED_VALUE"""),0.0)</f>
        <v>0</v>
      </c>
      <c r="C5081" s="2">
        <f>IFERROR(__xludf.DUMMYFUNCTION("""COMPUTED_VALUE"""),174.0)</f>
        <v>174</v>
      </c>
      <c r="D5081" s="3">
        <f>IFERROR(__xludf.DUMMYFUNCTION("""COMPUTED_VALUE"""),61.0)</f>
        <v>61</v>
      </c>
      <c r="E5081" s="2"/>
      <c r="F5081" s="2"/>
    </row>
    <row r="5082">
      <c r="A5082" s="2">
        <f>IFERROR(__xludf.DUMMYFUNCTION("""COMPUTED_VALUE"""),76421.0)</f>
        <v>76421</v>
      </c>
      <c r="B5082" s="2">
        <f>IFERROR(__xludf.DUMMYFUNCTION("""COMPUTED_VALUE"""),0.0)</f>
        <v>0</v>
      </c>
      <c r="C5082" s="2">
        <f>IFERROR(__xludf.DUMMYFUNCTION("""COMPUTED_VALUE"""),833.0)</f>
        <v>833</v>
      </c>
      <c r="D5082" s="3">
        <f>IFERROR(__xludf.DUMMYFUNCTION("""COMPUTED_VALUE"""),285.0)</f>
        <v>285</v>
      </c>
      <c r="E5082" s="2"/>
      <c r="F5082" s="2"/>
    </row>
    <row r="5083">
      <c r="A5083" s="2">
        <f>IFERROR(__xludf.DUMMYFUNCTION("""COMPUTED_VALUE"""),76424.0)</f>
        <v>76424</v>
      </c>
      <c r="B5083" s="2">
        <f>IFERROR(__xludf.DUMMYFUNCTION("""COMPUTED_VALUE"""),0.0)</f>
        <v>0</v>
      </c>
      <c r="C5083" s="2">
        <f>IFERROR(__xludf.DUMMYFUNCTION("""COMPUTED_VALUE"""),83.0)</f>
        <v>83</v>
      </c>
      <c r="D5083" s="3">
        <f>IFERROR(__xludf.DUMMYFUNCTION("""COMPUTED_VALUE"""),50.0)</f>
        <v>50</v>
      </c>
      <c r="E5083" s="2"/>
      <c r="F5083" s="2"/>
    </row>
    <row r="5084">
      <c r="A5084" s="2">
        <f>IFERROR(__xludf.DUMMYFUNCTION("""COMPUTED_VALUE"""),90766.0)</f>
        <v>90766</v>
      </c>
      <c r="B5084" s="2">
        <f>IFERROR(__xludf.DUMMYFUNCTION("""COMPUTED_VALUE"""),1.0)</f>
        <v>1</v>
      </c>
      <c r="C5084" s="2">
        <f>IFERROR(__xludf.DUMMYFUNCTION("""COMPUTED_VALUE"""),616.0)</f>
        <v>616</v>
      </c>
      <c r="D5084" s="3">
        <f>IFERROR(__xludf.DUMMYFUNCTION("""COMPUTED_VALUE"""),224.0)</f>
        <v>224</v>
      </c>
      <c r="E5084" s="2"/>
      <c r="F5084" s="2"/>
    </row>
    <row r="5085">
      <c r="A5085" s="2">
        <f>IFERROR(__xludf.DUMMYFUNCTION("""COMPUTED_VALUE"""),5538.0)</f>
        <v>5538</v>
      </c>
      <c r="B5085" s="2">
        <f>IFERROR(__xludf.DUMMYFUNCTION("""COMPUTED_VALUE"""),1.0)</f>
        <v>1</v>
      </c>
      <c r="C5085" s="2">
        <f>IFERROR(__xludf.DUMMYFUNCTION("""COMPUTED_VALUE"""),288.0)</f>
        <v>288</v>
      </c>
      <c r="D5085" s="3">
        <f>IFERROR(__xludf.DUMMYFUNCTION("""COMPUTED_VALUE"""),282.0)</f>
        <v>282</v>
      </c>
      <c r="E5085" s="2"/>
      <c r="F5085" s="2"/>
    </row>
    <row r="5086">
      <c r="A5086" s="2">
        <f>IFERROR(__xludf.DUMMYFUNCTION("""COMPUTED_VALUE"""),68371.0)</f>
        <v>68371</v>
      </c>
      <c r="B5086" s="2">
        <f>IFERROR(__xludf.DUMMYFUNCTION("""COMPUTED_VALUE"""),0.0)</f>
        <v>0</v>
      </c>
      <c r="C5086" s="2">
        <f>IFERROR(__xludf.DUMMYFUNCTION("""COMPUTED_VALUE"""),593.0)</f>
        <v>593</v>
      </c>
      <c r="D5086" s="3">
        <f>IFERROR(__xludf.DUMMYFUNCTION("""COMPUTED_VALUE"""),299.0)</f>
        <v>299</v>
      </c>
      <c r="E5086" s="2"/>
      <c r="F5086" s="2"/>
    </row>
    <row r="5087">
      <c r="A5087" s="2">
        <f>IFERROR(__xludf.DUMMYFUNCTION("""COMPUTED_VALUE"""),90808.0)</f>
        <v>90808</v>
      </c>
      <c r="B5087" s="2">
        <f>IFERROR(__xludf.DUMMYFUNCTION("""COMPUTED_VALUE"""),0.0)</f>
        <v>0</v>
      </c>
      <c r="C5087" s="2">
        <f>IFERROR(__xludf.DUMMYFUNCTION("""COMPUTED_VALUE"""),74.0)</f>
        <v>74</v>
      </c>
      <c r="D5087" s="3">
        <f>IFERROR(__xludf.DUMMYFUNCTION("""COMPUTED_VALUE"""),59.0)</f>
        <v>59</v>
      </c>
      <c r="E5087" s="2"/>
      <c r="F5087" s="2"/>
    </row>
    <row r="5088">
      <c r="A5088" s="2">
        <f>IFERROR(__xludf.DUMMYFUNCTION("""COMPUTED_VALUE"""),5543.0)</f>
        <v>5543</v>
      </c>
      <c r="B5088" s="2">
        <f>IFERROR(__xludf.DUMMYFUNCTION("""COMPUTED_VALUE"""),1.0)</f>
        <v>1</v>
      </c>
      <c r="C5088" s="2">
        <f>IFERROR(__xludf.DUMMYFUNCTION("""COMPUTED_VALUE"""),305.0)</f>
        <v>305</v>
      </c>
      <c r="D5088" s="3">
        <f>IFERROR(__xludf.DUMMYFUNCTION("""COMPUTED_VALUE"""),216.0)</f>
        <v>216</v>
      </c>
      <c r="E5088" s="2"/>
      <c r="F5088" s="2"/>
    </row>
    <row r="5089">
      <c r="A5089" s="2">
        <f>IFERROR(__xludf.DUMMYFUNCTION("""COMPUTED_VALUE"""),76420.0)</f>
        <v>76420</v>
      </c>
      <c r="B5089" s="2">
        <f>IFERROR(__xludf.DUMMYFUNCTION("""COMPUTED_VALUE"""),0.0)</f>
        <v>0</v>
      </c>
      <c r="C5089" s="2">
        <f>IFERROR(__xludf.DUMMYFUNCTION("""COMPUTED_VALUE"""),667.0)</f>
        <v>667</v>
      </c>
      <c r="D5089" s="3">
        <f>IFERROR(__xludf.DUMMYFUNCTION("""COMPUTED_VALUE"""),168.0)</f>
        <v>168</v>
      </c>
      <c r="E5089" s="2"/>
      <c r="F5089" s="2"/>
    </row>
    <row r="5090">
      <c r="A5090" s="2">
        <f>IFERROR(__xludf.DUMMYFUNCTION("""COMPUTED_VALUE"""),68364.0)</f>
        <v>68364</v>
      </c>
      <c r="B5090" s="2">
        <f>IFERROR(__xludf.DUMMYFUNCTION("""COMPUTED_VALUE"""),1.0)</f>
        <v>1</v>
      </c>
      <c r="C5090" s="2">
        <f>IFERROR(__xludf.DUMMYFUNCTION("""COMPUTED_VALUE"""),660.0)</f>
        <v>660</v>
      </c>
      <c r="D5090" s="3">
        <f>IFERROR(__xludf.DUMMYFUNCTION("""COMPUTED_VALUE"""),34.0)</f>
        <v>34</v>
      </c>
      <c r="E5090" s="2"/>
      <c r="F5090" s="2"/>
    </row>
    <row r="5091">
      <c r="A5091" s="2">
        <f>IFERROR(__xludf.DUMMYFUNCTION("""COMPUTED_VALUE"""),5541.0)</f>
        <v>5541</v>
      </c>
      <c r="B5091" s="2">
        <f>IFERROR(__xludf.DUMMYFUNCTION("""COMPUTED_VALUE"""),0.0)</f>
        <v>0</v>
      </c>
      <c r="C5091" s="2">
        <f>IFERROR(__xludf.DUMMYFUNCTION("""COMPUTED_VALUE"""),225.0)</f>
        <v>225</v>
      </c>
      <c r="D5091" s="3">
        <f>IFERROR(__xludf.DUMMYFUNCTION("""COMPUTED_VALUE"""),33.0)</f>
        <v>33</v>
      </c>
      <c r="E5091" s="2"/>
      <c r="F5091" s="2"/>
    </row>
    <row r="5092">
      <c r="A5092" s="2">
        <f>IFERROR(__xludf.DUMMYFUNCTION("""COMPUTED_VALUE"""),5544.0)</f>
        <v>5544</v>
      </c>
      <c r="B5092" s="2">
        <f>IFERROR(__xludf.DUMMYFUNCTION("""COMPUTED_VALUE"""),0.0)</f>
        <v>0</v>
      </c>
      <c r="C5092" s="2">
        <f>IFERROR(__xludf.DUMMYFUNCTION("""COMPUTED_VALUE"""),790.0)</f>
        <v>790</v>
      </c>
      <c r="D5092" s="3">
        <f>IFERROR(__xludf.DUMMYFUNCTION("""COMPUTED_VALUE"""),181.0)</f>
        <v>181</v>
      </c>
      <c r="E5092" s="2"/>
      <c r="F5092" s="2"/>
    </row>
    <row r="5093">
      <c r="A5093" s="2">
        <f>IFERROR(__xludf.DUMMYFUNCTION("""COMPUTED_VALUE"""),122257.0)</f>
        <v>122257</v>
      </c>
      <c r="B5093" s="2">
        <f>IFERROR(__xludf.DUMMYFUNCTION("""COMPUTED_VALUE"""),1.0)</f>
        <v>1</v>
      </c>
      <c r="C5093" s="2">
        <f>IFERROR(__xludf.DUMMYFUNCTION("""COMPUTED_VALUE"""),778.0)</f>
        <v>778</v>
      </c>
      <c r="D5093" s="3">
        <f>IFERROR(__xludf.DUMMYFUNCTION("""COMPUTED_VALUE"""),431.0)</f>
        <v>431</v>
      </c>
      <c r="E5093" s="2"/>
      <c r="F5093" s="2"/>
    </row>
    <row r="5094">
      <c r="A5094" s="2">
        <f>IFERROR(__xludf.DUMMYFUNCTION("""COMPUTED_VALUE"""),90740.0)</f>
        <v>90740</v>
      </c>
      <c r="B5094" s="2">
        <f>IFERROR(__xludf.DUMMYFUNCTION("""COMPUTED_VALUE"""),0.0)</f>
        <v>0</v>
      </c>
      <c r="C5094" s="2">
        <f>IFERROR(__xludf.DUMMYFUNCTION("""COMPUTED_VALUE"""),363.0)</f>
        <v>363</v>
      </c>
      <c r="D5094" s="3">
        <f>IFERROR(__xludf.DUMMYFUNCTION("""COMPUTED_VALUE"""),164.0)</f>
        <v>164</v>
      </c>
      <c r="E5094" s="2"/>
      <c r="F5094" s="2"/>
    </row>
    <row r="5095">
      <c r="A5095" s="2">
        <f>IFERROR(__xludf.DUMMYFUNCTION("""COMPUTED_VALUE"""),48280.0)</f>
        <v>48280</v>
      </c>
      <c r="B5095" s="2">
        <f>IFERROR(__xludf.DUMMYFUNCTION("""COMPUTED_VALUE"""),0.0)</f>
        <v>0</v>
      </c>
      <c r="C5095" s="2">
        <f>IFERROR(__xludf.DUMMYFUNCTION("""COMPUTED_VALUE"""),841.0)</f>
        <v>841</v>
      </c>
      <c r="D5095" s="3">
        <f>IFERROR(__xludf.DUMMYFUNCTION("""COMPUTED_VALUE"""),559.0)</f>
        <v>559</v>
      </c>
      <c r="E5095" s="2"/>
      <c r="F5095" s="2"/>
    </row>
    <row r="5096">
      <c r="A5096" s="2">
        <f>IFERROR(__xludf.DUMMYFUNCTION("""COMPUTED_VALUE"""),71191.0)</f>
        <v>71191</v>
      </c>
      <c r="B5096" s="2">
        <f>IFERROR(__xludf.DUMMYFUNCTION("""COMPUTED_VALUE"""),1.0)</f>
        <v>1</v>
      </c>
      <c r="C5096" s="2">
        <f>IFERROR(__xludf.DUMMYFUNCTION("""COMPUTED_VALUE"""),216.0)</f>
        <v>216</v>
      </c>
      <c r="D5096" s="3">
        <f>IFERROR(__xludf.DUMMYFUNCTION("""COMPUTED_VALUE"""),173.0)</f>
        <v>173</v>
      </c>
      <c r="E5096" s="2"/>
      <c r="F5096" s="2"/>
    </row>
    <row r="5097">
      <c r="A5097" s="2">
        <f>IFERROR(__xludf.DUMMYFUNCTION("""COMPUTED_VALUE"""),76418.0)</f>
        <v>76418</v>
      </c>
      <c r="B5097" s="2">
        <f>IFERROR(__xludf.DUMMYFUNCTION("""COMPUTED_VALUE"""),1.0)</f>
        <v>1</v>
      </c>
      <c r="C5097" s="2">
        <f>IFERROR(__xludf.DUMMYFUNCTION("""COMPUTED_VALUE"""),390.0)</f>
        <v>390</v>
      </c>
      <c r="D5097" s="3">
        <f>IFERROR(__xludf.DUMMYFUNCTION("""COMPUTED_VALUE"""),331.0)</f>
        <v>331</v>
      </c>
      <c r="E5097" s="2"/>
      <c r="F5097" s="2"/>
    </row>
    <row r="5098">
      <c r="A5098" s="2">
        <f>IFERROR(__xludf.DUMMYFUNCTION("""COMPUTED_VALUE"""),87161.0)</f>
        <v>87161</v>
      </c>
      <c r="B5098" s="2">
        <f>IFERROR(__xludf.DUMMYFUNCTION("""COMPUTED_VALUE"""),1.0)</f>
        <v>1</v>
      </c>
      <c r="C5098" s="2">
        <f>IFERROR(__xludf.DUMMYFUNCTION("""COMPUTED_VALUE"""),498.0)</f>
        <v>498</v>
      </c>
      <c r="D5098" s="3">
        <f>IFERROR(__xludf.DUMMYFUNCTION("""COMPUTED_VALUE"""),213.0)</f>
        <v>213</v>
      </c>
      <c r="E5098" s="2"/>
      <c r="F5098" s="2"/>
    </row>
    <row r="5099">
      <c r="A5099" s="2">
        <f>IFERROR(__xludf.DUMMYFUNCTION("""COMPUTED_VALUE"""),68323.0)</f>
        <v>68323</v>
      </c>
      <c r="B5099" s="2">
        <f>IFERROR(__xludf.DUMMYFUNCTION("""COMPUTED_VALUE"""),1.0)</f>
        <v>1</v>
      </c>
      <c r="C5099" s="2">
        <f>IFERROR(__xludf.DUMMYFUNCTION("""COMPUTED_VALUE"""),292.0)</f>
        <v>292</v>
      </c>
      <c r="D5099" s="3">
        <f>IFERROR(__xludf.DUMMYFUNCTION("""COMPUTED_VALUE"""),26.0)</f>
        <v>26</v>
      </c>
      <c r="E5099" s="2"/>
      <c r="F5099" s="2"/>
    </row>
    <row r="5100">
      <c r="A5100" s="2">
        <f>IFERROR(__xludf.DUMMYFUNCTION("""COMPUTED_VALUE"""),72847.0)</f>
        <v>72847</v>
      </c>
      <c r="B5100" s="2">
        <f>IFERROR(__xludf.DUMMYFUNCTION("""COMPUTED_VALUE"""),0.0)</f>
        <v>0</v>
      </c>
      <c r="C5100" s="2">
        <f>IFERROR(__xludf.DUMMYFUNCTION("""COMPUTED_VALUE"""),847.0)</f>
        <v>847</v>
      </c>
      <c r="D5100" s="3">
        <f>IFERROR(__xludf.DUMMYFUNCTION("""COMPUTED_VALUE"""),692.0)</f>
        <v>692</v>
      </c>
      <c r="E5100" s="2"/>
      <c r="F5100" s="2"/>
    </row>
    <row r="5101">
      <c r="A5101" s="2">
        <f>IFERROR(__xludf.DUMMYFUNCTION("""COMPUTED_VALUE"""),90799.0)</f>
        <v>90799</v>
      </c>
      <c r="B5101" s="2">
        <f>IFERROR(__xludf.DUMMYFUNCTION("""COMPUTED_VALUE"""),0.0)</f>
        <v>0</v>
      </c>
      <c r="C5101" s="2">
        <f>IFERROR(__xludf.DUMMYFUNCTION("""COMPUTED_VALUE"""),673.0)</f>
        <v>673</v>
      </c>
      <c r="D5101" s="3">
        <f>IFERROR(__xludf.DUMMYFUNCTION("""COMPUTED_VALUE"""),22.0)</f>
        <v>22</v>
      </c>
      <c r="E5101" s="2"/>
      <c r="F5101" s="2"/>
    </row>
    <row r="5102">
      <c r="A5102" s="2">
        <f>IFERROR(__xludf.DUMMYFUNCTION("""COMPUTED_VALUE"""),71194.0)</f>
        <v>71194</v>
      </c>
      <c r="B5102" s="2">
        <f>IFERROR(__xludf.DUMMYFUNCTION("""COMPUTED_VALUE"""),0.0)</f>
        <v>0</v>
      </c>
      <c r="C5102" s="2">
        <f>IFERROR(__xludf.DUMMYFUNCTION("""COMPUTED_VALUE"""),685.0)</f>
        <v>685</v>
      </c>
      <c r="D5102" s="3">
        <f>IFERROR(__xludf.DUMMYFUNCTION("""COMPUTED_VALUE"""),188.0)</f>
        <v>188</v>
      </c>
      <c r="E5102" s="2"/>
      <c r="F5102" s="2"/>
    </row>
    <row r="5103">
      <c r="A5103" s="2">
        <f>IFERROR(__xludf.DUMMYFUNCTION("""COMPUTED_VALUE"""),68378.0)</f>
        <v>68378</v>
      </c>
      <c r="B5103" s="2">
        <f>IFERROR(__xludf.DUMMYFUNCTION("""COMPUTED_VALUE"""),1.0)</f>
        <v>1</v>
      </c>
      <c r="C5103" s="2">
        <f>IFERROR(__xludf.DUMMYFUNCTION("""COMPUTED_VALUE"""),901.0)</f>
        <v>901</v>
      </c>
      <c r="D5103" s="3">
        <f>IFERROR(__xludf.DUMMYFUNCTION("""COMPUTED_VALUE"""),587.0)</f>
        <v>587</v>
      </c>
      <c r="E5103" s="2"/>
      <c r="F5103" s="2"/>
    </row>
    <row r="5104">
      <c r="A5104" s="2">
        <f>IFERROR(__xludf.DUMMYFUNCTION("""COMPUTED_VALUE"""),76426.0)</f>
        <v>76426</v>
      </c>
      <c r="B5104" s="2">
        <f>IFERROR(__xludf.DUMMYFUNCTION("""COMPUTED_VALUE"""),1.0)</f>
        <v>1</v>
      </c>
      <c r="C5104" s="2">
        <f>IFERROR(__xludf.DUMMYFUNCTION("""COMPUTED_VALUE"""),587.0)</f>
        <v>587</v>
      </c>
      <c r="D5104" s="3">
        <f>IFERROR(__xludf.DUMMYFUNCTION("""COMPUTED_VALUE"""),551.0)</f>
        <v>551</v>
      </c>
      <c r="E5104" s="2"/>
      <c r="F5104" s="2"/>
    </row>
    <row r="5105">
      <c r="A5105" s="2">
        <f>IFERROR(__xludf.DUMMYFUNCTION("""COMPUTED_VALUE"""),76413.0)</f>
        <v>76413</v>
      </c>
      <c r="B5105" s="2">
        <f>IFERROR(__xludf.DUMMYFUNCTION("""COMPUTED_VALUE"""),1.0)</f>
        <v>1</v>
      </c>
      <c r="C5105" s="2">
        <f>IFERROR(__xludf.DUMMYFUNCTION("""COMPUTED_VALUE"""),735.0)</f>
        <v>735</v>
      </c>
      <c r="D5105" s="3">
        <f>IFERROR(__xludf.DUMMYFUNCTION("""COMPUTED_VALUE"""),579.0)</f>
        <v>579</v>
      </c>
      <c r="E5105" s="2"/>
      <c r="F5105" s="2"/>
    </row>
    <row r="5106">
      <c r="A5106" s="2">
        <f>IFERROR(__xludf.DUMMYFUNCTION("""COMPUTED_VALUE"""),68306.0)</f>
        <v>68306</v>
      </c>
      <c r="B5106" s="2">
        <f>IFERROR(__xludf.DUMMYFUNCTION("""COMPUTED_VALUE"""),1.0)</f>
        <v>1</v>
      </c>
      <c r="C5106" s="2">
        <f>IFERROR(__xludf.DUMMYFUNCTION("""COMPUTED_VALUE"""),-7.0)</f>
        <v>-7</v>
      </c>
      <c r="D5106" s="3">
        <f>IFERROR(__xludf.DUMMYFUNCTION("""COMPUTED_VALUE"""),-2.0)</f>
        <v>-2</v>
      </c>
      <c r="E5106" s="2"/>
      <c r="F5106" s="2"/>
    </row>
    <row r="5107">
      <c r="A5107" s="2">
        <f>IFERROR(__xludf.DUMMYFUNCTION("""COMPUTED_VALUE"""),48283.0)</f>
        <v>48283</v>
      </c>
      <c r="B5107" s="2">
        <f>IFERROR(__xludf.DUMMYFUNCTION("""COMPUTED_VALUE"""),1.0)</f>
        <v>1</v>
      </c>
      <c r="C5107" s="2">
        <f>IFERROR(__xludf.DUMMYFUNCTION("""COMPUTED_VALUE"""),256.0)</f>
        <v>256</v>
      </c>
      <c r="D5107" s="3">
        <f>IFERROR(__xludf.DUMMYFUNCTION("""COMPUTED_VALUE"""),7.0)</f>
        <v>7</v>
      </c>
      <c r="E5107" s="2"/>
      <c r="F5107" s="2"/>
    </row>
    <row r="5108">
      <c r="A5108" s="2">
        <f>IFERROR(__xludf.DUMMYFUNCTION("""COMPUTED_VALUE"""),81172.0)</f>
        <v>81172</v>
      </c>
      <c r="B5108" s="2">
        <f>IFERROR(__xludf.DUMMYFUNCTION("""COMPUTED_VALUE"""),1.0)</f>
        <v>1</v>
      </c>
      <c r="C5108" s="2">
        <f>IFERROR(__xludf.DUMMYFUNCTION("""COMPUTED_VALUE"""),580.0)</f>
        <v>580</v>
      </c>
      <c r="D5108" s="3">
        <f>IFERROR(__xludf.DUMMYFUNCTION("""COMPUTED_VALUE"""),121.0)</f>
        <v>121</v>
      </c>
      <c r="E5108" s="2"/>
      <c r="F5108" s="2"/>
    </row>
    <row r="5109">
      <c r="A5109" s="2">
        <f>IFERROR(__xludf.DUMMYFUNCTION("""COMPUTED_VALUE"""),68328.0)</f>
        <v>68328</v>
      </c>
      <c r="B5109" s="2">
        <f>IFERROR(__xludf.DUMMYFUNCTION("""COMPUTED_VALUE"""),1.0)</f>
        <v>1</v>
      </c>
      <c r="C5109" s="2">
        <f>IFERROR(__xludf.DUMMYFUNCTION("""COMPUTED_VALUE"""),605.0)</f>
        <v>605</v>
      </c>
      <c r="D5109" s="3">
        <f>IFERROR(__xludf.DUMMYFUNCTION("""COMPUTED_VALUE"""),158.0)</f>
        <v>158</v>
      </c>
      <c r="E5109" s="2"/>
      <c r="F5109" s="2"/>
    </row>
    <row r="5110">
      <c r="A5110" s="2">
        <f>IFERROR(__xludf.DUMMYFUNCTION("""COMPUTED_VALUE"""),158667.0)</f>
        <v>158667</v>
      </c>
      <c r="B5110" s="2">
        <f>IFERROR(__xludf.DUMMYFUNCTION("""COMPUTED_VALUE"""),0.0)</f>
        <v>0</v>
      </c>
      <c r="C5110" s="2">
        <f>IFERROR(__xludf.DUMMYFUNCTION("""COMPUTED_VALUE"""),513.0)</f>
        <v>513</v>
      </c>
      <c r="D5110" s="3">
        <f>IFERROR(__xludf.DUMMYFUNCTION("""COMPUTED_VALUE"""),193.0)</f>
        <v>193</v>
      </c>
      <c r="E5110" s="2"/>
      <c r="F5110" s="2"/>
    </row>
    <row r="5111">
      <c r="A5111" s="2">
        <f>IFERROR(__xludf.DUMMYFUNCTION("""COMPUTED_VALUE"""),5539.0)</f>
        <v>5539</v>
      </c>
      <c r="B5111" s="2">
        <f>IFERROR(__xludf.DUMMYFUNCTION("""COMPUTED_VALUE"""),1.0)</f>
        <v>1</v>
      </c>
      <c r="C5111" s="2">
        <f>IFERROR(__xludf.DUMMYFUNCTION("""COMPUTED_VALUE"""),180.0)</f>
        <v>180</v>
      </c>
      <c r="D5111" s="3">
        <f>IFERROR(__xludf.DUMMYFUNCTION("""COMPUTED_VALUE"""),73.0)</f>
        <v>73</v>
      </c>
      <c r="E5111" s="2"/>
      <c r="F5111" s="2"/>
    </row>
    <row r="5112">
      <c r="A5112" s="2">
        <f>IFERROR(__xludf.DUMMYFUNCTION("""COMPUTED_VALUE"""),68413.0)</f>
        <v>68413</v>
      </c>
      <c r="B5112" s="2">
        <f>IFERROR(__xludf.DUMMYFUNCTION("""COMPUTED_VALUE"""),0.0)</f>
        <v>0</v>
      </c>
      <c r="C5112" s="2">
        <f>IFERROR(__xludf.DUMMYFUNCTION("""COMPUTED_VALUE"""),582.0)</f>
        <v>582</v>
      </c>
      <c r="D5112" s="3">
        <f>IFERROR(__xludf.DUMMYFUNCTION("""COMPUTED_VALUE"""),482.0)</f>
        <v>482</v>
      </c>
      <c r="E5112" s="2"/>
      <c r="F5112" s="2"/>
    </row>
    <row r="5113">
      <c r="A5113" s="2">
        <f>IFERROR(__xludf.DUMMYFUNCTION("""COMPUTED_VALUE"""),68345.0)</f>
        <v>68345</v>
      </c>
      <c r="B5113" s="2">
        <f>IFERROR(__xludf.DUMMYFUNCTION("""COMPUTED_VALUE"""),1.0)</f>
        <v>1</v>
      </c>
      <c r="C5113" s="2">
        <f>IFERROR(__xludf.DUMMYFUNCTION("""COMPUTED_VALUE"""),734.0)</f>
        <v>734</v>
      </c>
      <c r="D5113" s="3">
        <f>IFERROR(__xludf.DUMMYFUNCTION("""COMPUTED_VALUE"""),287.0)</f>
        <v>287</v>
      </c>
      <c r="E5113" s="2"/>
      <c r="F5113" s="2"/>
    </row>
    <row r="5114">
      <c r="A5114" s="2">
        <f>IFERROR(__xludf.DUMMYFUNCTION("""COMPUTED_VALUE"""),70377.0)</f>
        <v>70377</v>
      </c>
      <c r="B5114" s="2">
        <f>IFERROR(__xludf.DUMMYFUNCTION("""COMPUTED_VALUE"""),1.0)</f>
        <v>1</v>
      </c>
      <c r="C5114" s="2">
        <f>IFERROR(__xludf.DUMMYFUNCTION("""COMPUTED_VALUE"""),574.0)</f>
        <v>574</v>
      </c>
      <c r="D5114" s="3">
        <f>IFERROR(__xludf.DUMMYFUNCTION("""COMPUTED_VALUE"""),241.0)</f>
        <v>241</v>
      </c>
      <c r="E5114" s="2"/>
      <c r="F5114" s="2"/>
    </row>
    <row r="5115">
      <c r="A5115" s="2">
        <f>IFERROR(__xludf.DUMMYFUNCTION("""COMPUTED_VALUE"""),126547.0)</f>
        <v>126547</v>
      </c>
      <c r="B5115" s="2">
        <f>IFERROR(__xludf.DUMMYFUNCTION("""COMPUTED_VALUE"""),0.0)</f>
        <v>0</v>
      </c>
      <c r="C5115" s="2">
        <f>IFERROR(__xludf.DUMMYFUNCTION("""COMPUTED_VALUE"""),439.0)</f>
        <v>439</v>
      </c>
      <c r="D5115" s="3">
        <f>IFERROR(__xludf.DUMMYFUNCTION("""COMPUTED_VALUE"""),239.0)</f>
        <v>239</v>
      </c>
      <c r="E5115" s="2"/>
      <c r="F5115" s="2"/>
    </row>
    <row r="5116">
      <c r="A5116" s="2">
        <f>IFERROR(__xludf.DUMMYFUNCTION("""COMPUTED_VALUE"""),117218.0)</f>
        <v>117218</v>
      </c>
      <c r="B5116" s="2">
        <f>IFERROR(__xludf.DUMMYFUNCTION("""COMPUTED_VALUE"""),0.0)</f>
        <v>0</v>
      </c>
      <c r="C5116" s="2">
        <f>IFERROR(__xludf.DUMMYFUNCTION("""COMPUTED_VALUE"""),415.0)</f>
        <v>415</v>
      </c>
      <c r="D5116" s="3">
        <f>IFERROR(__xludf.DUMMYFUNCTION("""COMPUTED_VALUE"""),263.0)</f>
        <v>263</v>
      </c>
      <c r="E5116" s="2"/>
      <c r="F5116" s="2"/>
    </row>
    <row r="5117">
      <c r="A5117" s="2">
        <f>IFERROR(__xludf.DUMMYFUNCTION("""COMPUTED_VALUE"""),158668.0)</f>
        <v>158668</v>
      </c>
      <c r="B5117" s="2">
        <f>IFERROR(__xludf.DUMMYFUNCTION("""COMPUTED_VALUE"""),1.0)</f>
        <v>1</v>
      </c>
      <c r="C5117" s="2">
        <f>IFERROR(__xludf.DUMMYFUNCTION("""COMPUTED_VALUE"""),111.0)</f>
        <v>111</v>
      </c>
      <c r="D5117" s="3">
        <f>IFERROR(__xludf.DUMMYFUNCTION("""COMPUTED_VALUE"""),80.0)</f>
        <v>80</v>
      </c>
      <c r="E5117" s="2"/>
      <c r="F5117" s="2"/>
    </row>
    <row r="5118">
      <c r="A5118" s="2">
        <f>IFERROR(__xludf.DUMMYFUNCTION("""COMPUTED_VALUE"""),19314.0)</f>
        <v>19314</v>
      </c>
      <c r="B5118" s="2">
        <f>IFERROR(__xludf.DUMMYFUNCTION("""COMPUTED_VALUE"""),1.0)</f>
        <v>1</v>
      </c>
      <c r="C5118" s="2">
        <f>IFERROR(__xludf.DUMMYFUNCTION("""COMPUTED_VALUE"""),428.0)</f>
        <v>428</v>
      </c>
      <c r="D5118" s="3">
        <f>IFERROR(__xludf.DUMMYFUNCTION("""COMPUTED_VALUE"""),93.0)</f>
        <v>93</v>
      </c>
      <c r="E5118" s="2"/>
      <c r="F5118" s="2"/>
    </row>
    <row r="5119">
      <c r="A5119" s="2">
        <f>IFERROR(__xludf.DUMMYFUNCTION("""COMPUTED_VALUE"""),113867.0)</f>
        <v>113867</v>
      </c>
      <c r="B5119" s="2">
        <f>IFERROR(__xludf.DUMMYFUNCTION("""COMPUTED_VALUE"""),0.0)</f>
        <v>0</v>
      </c>
      <c r="C5119" s="2">
        <f>IFERROR(__xludf.DUMMYFUNCTION("""COMPUTED_VALUE"""),897.0)</f>
        <v>897</v>
      </c>
      <c r="D5119" s="3">
        <f>IFERROR(__xludf.DUMMYFUNCTION("""COMPUTED_VALUE"""),24.0)</f>
        <v>24</v>
      </c>
      <c r="E5119" s="2"/>
      <c r="F5119" s="2"/>
    </row>
    <row r="5120">
      <c r="A5120" s="2">
        <f>IFERROR(__xludf.DUMMYFUNCTION("""COMPUTED_VALUE"""),19294.0)</f>
        <v>19294</v>
      </c>
      <c r="B5120" s="2">
        <f>IFERROR(__xludf.DUMMYFUNCTION("""COMPUTED_VALUE"""),1.0)</f>
        <v>1</v>
      </c>
      <c r="C5120" s="2">
        <f>IFERROR(__xludf.DUMMYFUNCTION("""COMPUTED_VALUE"""),226.0)</f>
        <v>226</v>
      </c>
      <c r="D5120" s="3">
        <f>IFERROR(__xludf.DUMMYFUNCTION("""COMPUTED_VALUE"""),182.0)</f>
        <v>182</v>
      </c>
      <c r="E5120" s="2"/>
      <c r="F5120" s="2"/>
    </row>
    <row r="5121">
      <c r="A5121" s="2">
        <f>IFERROR(__xludf.DUMMYFUNCTION("""COMPUTED_VALUE"""),90961.0)</f>
        <v>90961</v>
      </c>
      <c r="B5121" s="2">
        <f>IFERROR(__xludf.DUMMYFUNCTION("""COMPUTED_VALUE"""),1.0)</f>
        <v>1</v>
      </c>
      <c r="C5121" s="2">
        <f>IFERROR(__xludf.DUMMYFUNCTION("""COMPUTED_VALUE"""),566.0)</f>
        <v>566</v>
      </c>
      <c r="D5121" s="3">
        <f>IFERROR(__xludf.DUMMYFUNCTION("""COMPUTED_VALUE"""),161.0)</f>
        <v>161</v>
      </c>
      <c r="E5121" s="2"/>
      <c r="F5121" s="2"/>
    </row>
    <row r="5122">
      <c r="A5122" s="2">
        <f>IFERROR(__xludf.DUMMYFUNCTION("""COMPUTED_VALUE"""),118480.0)</f>
        <v>118480</v>
      </c>
      <c r="B5122" s="2">
        <f>IFERROR(__xludf.DUMMYFUNCTION("""COMPUTED_VALUE"""),0.0)</f>
        <v>0</v>
      </c>
      <c r="C5122" s="2">
        <f>IFERROR(__xludf.DUMMYFUNCTION("""COMPUTED_VALUE"""),313.0)</f>
        <v>313</v>
      </c>
      <c r="D5122" s="3">
        <f>IFERROR(__xludf.DUMMYFUNCTION("""COMPUTED_VALUE"""),84.0)</f>
        <v>84</v>
      </c>
      <c r="E5122" s="2"/>
      <c r="F5122" s="2"/>
    </row>
    <row r="5123">
      <c r="A5123" s="2">
        <f>IFERROR(__xludf.DUMMYFUNCTION("""COMPUTED_VALUE"""),98337.0)</f>
        <v>98337</v>
      </c>
      <c r="B5123" s="2">
        <f>IFERROR(__xludf.DUMMYFUNCTION("""COMPUTED_VALUE"""),0.0)</f>
        <v>0</v>
      </c>
      <c r="C5123" s="2">
        <f>IFERROR(__xludf.DUMMYFUNCTION("""COMPUTED_VALUE"""),590.0)</f>
        <v>590</v>
      </c>
      <c r="D5123" s="3">
        <f>IFERROR(__xludf.DUMMYFUNCTION("""COMPUTED_VALUE"""),261.0)</f>
        <v>261</v>
      </c>
      <c r="E5123" s="2"/>
      <c r="F5123" s="2"/>
    </row>
    <row r="5124">
      <c r="A5124" s="2">
        <f>IFERROR(__xludf.DUMMYFUNCTION("""COMPUTED_VALUE"""),90955.0)</f>
        <v>90955</v>
      </c>
      <c r="B5124" s="2">
        <f>IFERROR(__xludf.DUMMYFUNCTION("""COMPUTED_VALUE"""),0.0)</f>
        <v>0</v>
      </c>
      <c r="C5124" s="2">
        <f>IFERROR(__xludf.DUMMYFUNCTION("""COMPUTED_VALUE"""),913.0)</f>
        <v>913</v>
      </c>
      <c r="D5124" s="3">
        <f>IFERROR(__xludf.DUMMYFUNCTION("""COMPUTED_VALUE"""),47.0)</f>
        <v>47</v>
      </c>
      <c r="E5124" s="2"/>
      <c r="F5124" s="2"/>
    </row>
    <row r="5125">
      <c r="A5125" s="2">
        <f>IFERROR(__xludf.DUMMYFUNCTION("""COMPUTED_VALUE"""),19303.0)</f>
        <v>19303</v>
      </c>
      <c r="B5125" s="2">
        <f>IFERROR(__xludf.DUMMYFUNCTION("""COMPUTED_VALUE"""),1.0)</f>
        <v>1</v>
      </c>
      <c r="C5125" s="2">
        <f>IFERROR(__xludf.DUMMYFUNCTION("""COMPUTED_VALUE"""),316.0)</f>
        <v>316</v>
      </c>
      <c r="D5125" s="3">
        <f>IFERROR(__xludf.DUMMYFUNCTION("""COMPUTED_VALUE"""),222.0)</f>
        <v>222</v>
      </c>
      <c r="E5125" s="2"/>
      <c r="F5125" s="2"/>
    </row>
    <row r="5126">
      <c r="A5126" s="2">
        <f>IFERROR(__xludf.DUMMYFUNCTION("""COMPUTED_VALUE"""),98338.0)</f>
        <v>98338</v>
      </c>
      <c r="B5126" s="2">
        <f>IFERROR(__xludf.DUMMYFUNCTION("""COMPUTED_VALUE"""),0.0)</f>
        <v>0</v>
      </c>
      <c r="C5126" s="2">
        <f>IFERROR(__xludf.DUMMYFUNCTION("""COMPUTED_VALUE"""),878.0)</f>
        <v>878</v>
      </c>
      <c r="D5126" s="3">
        <f>IFERROR(__xludf.DUMMYFUNCTION("""COMPUTED_VALUE"""),580.0)</f>
        <v>580</v>
      </c>
      <c r="E5126" s="2"/>
      <c r="F5126" s="2"/>
    </row>
    <row r="5127">
      <c r="A5127" s="2">
        <f>IFERROR(__xludf.DUMMYFUNCTION("""COMPUTED_VALUE"""),98339.0)</f>
        <v>98339</v>
      </c>
      <c r="B5127" s="2">
        <f>IFERROR(__xludf.DUMMYFUNCTION("""COMPUTED_VALUE"""),1.0)</f>
        <v>1</v>
      </c>
      <c r="C5127" s="2">
        <f>IFERROR(__xludf.DUMMYFUNCTION("""COMPUTED_VALUE"""),414.0)</f>
        <v>414</v>
      </c>
      <c r="D5127" s="3">
        <f>IFERROR(__xludf.DUMMYFUNCTION("""COMPUTED_VALUE"""),294.0)</f>
        <v>294</v>
      </c>
      <c r="E5127" s="2"/>
      <c r="F5127" s="2"/>
    </row>
    <row r="5128">
      <c r="A5128" s="2">
        <f>IFERROR(__xludf.DUMMYFUNCTION("""COMPUTED_VALUE"""),19296.0)</f>
        <v>19296</v>
      </c>
      <c r="B5128" s="2">
        <f>IFERROR(__xludf.DUMMYFUNCTION("""COMPUTED_VALUE"""),1.0)</f>
        <v>1</v>
      </c>
      <c r="C5128" s="2">
        <f>IFERROR(__xludf.DUMMYFUNCTION("""COMPUTED_VALUE"""),51.0)</f>
        <v>51</v>
      </c>
      <c r="D5128" s="3">
        <f>IFERROR(__xludf.DUMMYFUNCTION("""COMPUTED_VALUE"""),34.0)</f>
        <v>34</v>
      </c>
      <c r="E5128" s="2"/>
      <c r="F5128" s="2"/>
    </row>
    <row r="5129">
      <c r="A5129" s="2">
        <f>IFERROR(__xludf.DUMMYFUNCTION("""COMPUTED_VALUE"""),19306.0)</f>
        <v>19306</v>
      </c>
      <c r="B5129" s="2">
        <f>IFERROR(__xludf.DUMMYFUNCTION("""COMPUTED_VALUE"""),1.0)</f>
        <v>1</v>
      </c>
      <c r="C5129" s="2">
        <f>IFERROR(__xludf.DUMMYFUNCTION("""COMPUTED_VALUE"""),266.0)</f>
        <v>266</v>
      </c>
      <c r="D5129" s="3">
        <f>IFERROR(__xludf.DUMMYFUNCTION("""COMPUTED_VALUE"""),99.0)</f>
        <v>99</v>
      </c>
      <c r="E5129" s="2"/>
      <c r="F5129" s="2"/>
    </row>
    <row r="5130">
      <c r="A5130" s="2">
        <f>IFERROR(__xludf.DUMMYFUNCTION("""COMPUTED_VALUE"""),90969.0)</f>
        <v>90969</v>
      </c>
      <c r="B5130" s="2">
        <f>IFERROR(__xludf.DUMMYFUNCTION("""COMPUTED_VALUE"""),0.0)</f>
        <v>0</v>
      </c>
      <c r="C5130" s="2">
        <f>IFERROR(__xludf.DUMMYFUNCTION("""COMPUTED_VALUE"""),514.0)</f>
        <v>514</v>
      </c>
      <c r="D5130" s="3">
        <f>IFERROR(__xludf.DUMMYFUNCTION("""COMPUTED_VALUE"""),292.0)</f>
        <v>292</v>
      </c>
      <c r="E5130" s="2"/>
      <c r="F5130" s="2"/>
    </row>
    <row r="5131">
      <c r="A5131" s="2">
        <f>IFERROR(__xludf.DUMMYFUNCTION("""COMPUTED_VALUE"""),19299.0)</f>
        <v>19299</v>
      </c>
      <c r="B5131" s="2">
        <f>IFERROR(__xludf.DUMMYFUNCTION("""COMPUTED_VALUE"""),0.0)</f>
        <v>0</v>
      </c>
      <c r="C5131" s="2">
        <f>IFERROR(__xludf.DUMMYFUNCTION("""COMPUTED_VALUE"""),342.0)</f>
        <v>342</v>
      </c>
      <c r="D5131" s="3">
        <f>IFERROR(__xludf.DUMMYFUNCTION("""COMPUTED_VALUE"""),216.0)</f>
        <v>216</v>
      </c>
      <c r="E5131" s="2"/>
      <c r="F5131" s="2"/>
    </row>
    <row r="5132">
      <c r="A5132" s="2">
        <f>IFERROR(__xludf.DUMMYFUNCTION("""COMPUTED_VALUE"""),5764.0)</f>
        <v>5764</v>
      </c>
      <c r="B5132" s="2">
        <f>IFERROR(__xludf.DUMMYFUNCTION("""COMPUTED_VALUE"""),1.0)</f>
        <v>1</v>
      </c>
      <c r="C5132" s="2">
        <f>IFERROR(__xludf.DUMMYFUNCTION("""COMPUTED_VALUE"""),494.0)</f>
        <v>494</v>
      </c>
      <c r="D5132" s="3">
        <f>IFERROR(__xludf.DUMMYFUNCTION("""COMPUTED_VALUE"""),235.0)</f>
        <v>235</v>
      </c>
      <c r="E5132" s="2"/>
      <c r="F5132" s="2"/>
    </row>
    <row r="5133">
      <c r="A5133" s="2">
        <f>IFERROR(__xludf.DUMMYFUNCTION("""COMPUTED_VALUE"""),114667.0)</f>
        <v>114667</v>
      </c>
      <c r="B5133" s="2">
        <f>IFERROR(__xludf.DUMMYFUNCTION("""COMPUTED_VALUE"""),0.0)</f>
        <v>0</v>
      </c>
      <c r="C5133" s="2">
        <f>IFERROR(__xludf.DUMMYFUNCTION("""COMPUTED_VALUE"""),386.0)</f>
        <v>386</v>
      </c>
      <c r="D5133" s="3">
        <f>IFERROR(__xludf.DUMMYFUNCTION("""COMPUTED_VALUE"""),290.0)</f>
        <v>290</v>
      </c>
      <c r="E5133" s="2"/>
      <c r="F5133" s="2"/>
    </row>
    <row r="5134">
      <c r="A5134" s="2">
        <f>IFERROR(__xludf.DUMMYFUNCTION("""COMPUTED_VALUE"""),113870.0)</f>
        <v>113870</v>
      </c>
      <c r="B5134" s="2">
        <f>IFERROR(__xludf.DUMMYFUNCTION("""COMPUTED_VALUE"""),1.0)</f>
        <v>1</v>
      </c>
      <c r="C5134" s="2">
        <f>IFERROR(__xludf.DUMMYFUNCTION("""COMPUTED_VALUE"""),578.0)</f>
        <v>578</v>
      </c>
      <c r="D5134" s="3">
        <f>IFERROR(__xludf.DUMMYFUNCTION("""COMPUTED_VALUE"""),368.0)</f>
        <v>368</v>
      </c>
      <c r="E5134" s="2"/>
      <c r="F5134" s="2"/>
    </row>
    <row r="5135">
      <c r="A5135" s="2">
        <f>IFERROR(__xludf.DUMMYFUNCTION("""COMPUTED_VALUE"""),127918.0)</f>
        <v>127918</v>
      </c>
      <c r="B5135" s="2">
        <f>IFERROR(__xludf.DUMMYFUNCTION("""COMPUTED_VALUE"""),0.0)</f>
        <v>0</v>
      </c>
      <c r="C5135" s="2">
        <f>IFERROR(__xludf.DUMMYFUNCTION("""COMPUTED_VALUE"""),883.0)</f>
        <v>883</v>
      </c>
      <c r="D5135" s="3">
        <f>IFERROR(__xludf.DUMMYFUNCTION("""COMPUTED_VALUE"""),541.0)</f>
        <v>541</v>
      </c>
      <c r="E5135" s="2"/>
      <c r="F5135" s="2"/>
    </row>
    <row r="5136">
      <c r="A5136" s="2">
        <f>IFERROR(__xludf.DUMMYFUNCTION("""COMPUTED_VALUE"""),127917.0)</f>
        <v>127917</v>
      </c>
      <c r="B5136" s="2">
        <f>IFERROR(__xludf.DUMMYFUNCTION("""COMPUTED_VALUE"""),0.0)</f>
        <v>0</v>
      </c>
      <c r="C5136" s="2">
        <f>IFERROR(__xludf.DUMMYFUNCTION("""COMPUTED_VALUE"""),-9.0)</f>
        <v>-9</v>
      </c>
      <c r="D5136" s="3">
        <f>IFERROR(__xludf.DUMMYFUNCTION("""COMPUTED_VALUE"""),-9.0)</f>
        <v>-9</v>
      </c>
      <c r="E5136" s="2"/>
      <c r="F5136" s="2"/>
    </row>
    <row r="5137">
      <c r="A5137" s="2">
        <f>IFERROR(__xludf.DUMMYFUNCTION("""COMPUTED_VALUE"""),19297.0)</f>
        <v>19297</v>
      </c>
      <c r="B5137" s="2">
        <f>IFERROR(__xludf.DUMMYFUNCTION("""COMPUTED_VALUE"""),0.0)</f>
        <v>0</v>
      </c>
      <c r="C5137" s="2">
        <f>IFERROR(__xludf.DUMMYFUNCTION("""COMPUTED_VALUE"""),608.0)</f>
        <v>608</v>
      </c>
      <c r="D5137" s="3">
        <f>IFERROR(__xludf.DUMMYFUNCTION("""COMPUTED_VALUE"""),451.0)</f>
        <v>451</v>
      </c>
      <c r="E5137" s="2"/>
      <c r="F5137" s="2"/>
    </row>
    <row r="5138">
      <c r="A5138" s="2">
        <f>IFERROR(__xludf.DUMMYFUNCTION("""COMPUTED_VALUE"""),19316.0)</f>
        <v>19316</v>
      </c>
      <c r="B5138" s="2">
        <f>IFERROR(__xludf.DUMMYFUNCTION("""COMPUTED_VALUE"""),1.0)</f>
        <v>1</v>
      </c>
      <c r="C5138" s="2">
        <f>IFERROR(__xludf.DUMMYFUNCTION("""COMPUTED_VALUE"""),117.0)</f>
        <v>117</v>
      </c>
      <c r="D5138" s="3">
        <f>IFERROR(__xludf.DUMMYFUNCTION("""COMPUTED_VALUE"""),10.0)</f>
        <v>10</v>
      </c>
      <c r="E5138" s="2"/>
      <c r="F5138" s="2"/>
    </row>
    <row r="5139">
      <c r="A5139" s="2">
        <f>IFERROR(__xludf.DUMMYFUNCTION("""COMPUTED_VALUE"""),118481.0)</f>
        <v>118481</v>
      </c>
      <c r="B5139" s="2">
        <f>IFERROR(__xludf.DUMMYFUNCTION("""COMPUTED_VALUE"""),1.0)</f>
        <v>1</v>
      </c>
      <c r="C5139" s="2">
        <f>IFERROR(__xludf.DUMMYFUNCTION("""COMPUTED_VALUE"""),769.0)</f>
        <v>769</v>
      </c>
      <c r="D5139" s="3">
        <f>IFERROR(__xludf.DUMMYFUNCTION("""COMPUTED_VALUE"""),461.0)</f>
        <v>461</v>
      </c>
      <c r="E5139" s="2"/>
      <c r="F5139" s="2"/>
    </row>
    <row r="5140">
      <c r="A5140" s="2">
        <f>IFERROR(__xludf.DUMMYFUNCTION("""COMPUTED_VALUE"""),118366.0)</f>
        <v>118366</v>
      </c>
      <c r="B5140" s="2">
        <f>IFERROR(__xludf.DUMMYFUNCTION("""COMPUTED_VALUE"""),0.0)</f>
        <v>0</v>
      </c>
      <c r="C5140" s="2">
        <f>IFERROR(__xludf.DUMMYFUNCTION("""COMPUTED_VALUE"""),757.0)</f>
        <v>757</v>
      </c>
      <c r="D5140" s="3">
        <f>IFERROR(__xludf.DUMMYFUNCTION("""COMPUTED_VALUE"""),678.0)</f>
        <v>678</v>
      </c>
      <c r="E5140" s="2"/>
      <c r="F5140" s="2"/>
    </row>
    <row r="5141">
      <c r="A5141" s="2">
        <f>IFERROR(__xludf.DUMMYFUNCTION("""COMPUTED_VALUE"""),111183.0)</f>
        <v>111183</v>
      </c>
      <c r="B5141" s="2">
        <f>IFERROR(__xludf.DUMMYFUNCTION("""COMPUTED_VALUE"""),0.0)</f>
        <v>0</v>
      </c>
      <c r="C5141" s="2">
        <f>IFERROR(__xludf.DUMMYFUNCTION("""COMPUTED_VALUE"""),107.0)</f>
        <v>107</v>
      </c>
      <c r="D5141" s="3">
        <f>IFERROR(__xludf.DUMMYFUNCTION("""COMPUTED_VALUE"""),52.0)</f>
        <v>52</v>
      </c>
      <c r="E5141" s="2"/>
      <c r="F5141" s="2"/>
    </row>
    <row r="5142">
      <c r="A5142" s="2">
        <f>IFERROR(__xludf.DUMMYFUNCTION("""COMPUTED_VALUE"""),124735.0)</f>
        <v>124735</v>
      </c>
      <c r="B5142" s="2">
        <f>IFERROR(__xludf.DUMMYFUNCTION("""COMPUTED_VALUE"""),1.0)</f>
        <v>1</v>
      </c>
      <c r="C5142" s="2">
        <f>IFERROR(__xludf.DUMMYFUNCTION("""COMPUTED_VALUE"""),654.0)</f>
        <v>654</v>
      </c>
      <c r="D5142" s="3">
        <f>IFERROR(__xludf.DUMMYFUNCTION("""COMPUTED_VALUE"""),561.0)</f>
        <v>561</v>
      </c>
      <c r="E5142" s="2"/>
      <c r="F5142" s="2"/>
    </row>
    <row r="5143">
      <c r="A5143" s="2">
        <f>IFERROR(__xludf.DUMMYFUNCTION("""COMPUTED_VALUE"""),78727.0)</f>
        <v>78727</v>
      </c>
      <c r="B5143" s="2">
        <f>IFERROR(__xludf.DUMMYFUNCTION("""COMPUTED_VALUE"""),1.0)</f>
        <v>1</v>
      </c>
      <c r="C5143" s="2">
        <f>IFERROR(__xludf.DUMMYFUNCTION("""COMPUTED_VALUE"""),389.0)</f>
        <v>389</v>
      </c>
      <c r="D5143" s="3">
        <f>IFERROR(__xludf.DUMMYFUNCTION("""COMPUTED_VALUE"""),186.0)</f>
        <v>186</v>
      </c>
      <c r="E5143" s="2"/>
      <c r="F5143" s="2"/>
    </row>
    <row r="5144">
      <c r="A5144" s="2">
        <f>IFERROR(__xludf.DUMMYFUNCTION("""COMPUTED_VALUE"""),111182.0)</f>
        <v>111182</v>
      </c>
      <c r="B5144" s="2">
        <f>IFERROR(__xludf.DUMMYFUNCTION("""COMPUTED_VALUE"""),1.0)</f>
        <v>1</v>
      </c>
      <c r="C5144" s="2">
        <f>IFERROR(__xludf.DUMMYFUNCTION("""COMPUTED_VALUE"""),698.0)</f>
        <v>698</v>
      </c>
      <c r="D5144" s="3">
        <f>IFERROR(__xludf.DUMMYFUNCTION("""COMPUTED_VALUE"""),41.0)</f>
        <v>41</v>
      </c>
      <c r="E5144" s="2"/>
      <c r="F5144" s="2"/>
    </row>
    <row r="5145">
      <c r="A5145" s="2">
        <f>IFERROR(__xludf.DUMMYFUNCTION("""COMPUTED_VALUE"""),78734.0)</f>
        <v>78734</v>
      </c>
      <c r="B5145" s="2">
        <f>IFERROR(__xludf.DUMMYFUNCTION("""COMPUTED_VALUE"""),0.0)</f>
        <v>0</v>
      </c>
      <c r="C5145" s="2">
        <f>IFERROR(__xludf.DUMMYFUNCTION("""COMPUTED_VALUE"""),537.0)</f>
        <v>537</v>
      </c>
      <c r="D5145" s="3">
        <f>IFERROR(__xludf.DUMMYFUNCTION("""COMPUTED_VALUE"""),181.0)</f>
        <v>181</v>
      </c>
      <c r="E5145" s="2"/>
      <c r="F5145" s="2"/>
    </row>
    <row r="5146">
      <c r="A5146" s="2">
        <f>IFERROR(__xludf.DUMMYFUNCTION("""COMPUTED_VALUE"""),78729.0)</f>
        <v>78729</v>
      </c>
      <c r="B5146" s="2">
        <f>IFERROR(__xludf.DUMMYFUNCTION("""COMPUTED_VALUE"""),0.0)</f>
        <v>0</v>
      </c>
      <c r="C5146" s="2">
        <f>IFERROR(__xludf.DUMMYFUNCTION("""COMPUTED_VALUE"""),537.0)</f>
        <v>537</v>
      </c>
      <c r="D5146" s="3">
        <f>IFERROR(__xludf.DUMMYFUNCTION("""COMPUTED_VALUE"""),247.0)</f>
        <v>247</v>
      </c>
      <c r="E5146" s="2"/>
      <c r="F5146" s="2"/>
    </row>
    <row r="5147">
      <c r="A5147" s="2">
        <f>IFERROR(__xludf.DUMMYFUNCTION("""COMPUTED_VALUE"""),111662.0)</f>
        <v>111662</v>
      </c>
      <c r="B5147" s="2">
        <f>IFERROR(__xludf.DUMMYFUNCTION("""COMPUTED_VALUE"""),0.0)</f>
        <v>0</v>
      </c>
      <c r="C5147" s="2">
        <f>IFERROR(__xludf.DUMMYFUNCTION("""COMPUTED_VALUE"""),542.0)</f>
        <v>542</v>
      </c>
      <c r="D5147" s="3">
        <f>IFERROR(__xludf.DUMMYFUNCTION("""COMPUTED_VALUE"""),338.0)</f>
        <v>338</v>
      </c>
      <c r="E5147" s="2"/>
      <c r="F5147" s="2"/>
    </row>
    <row r="5148">
      <c r="A5148" s="2">
        <f>IFERROR(__xludf.DUMMYFUNCTION("""COMPUTED_VALUE"""),78728.0)</f>
        <v>78728</v>
      </c>
      <c r="B5148" s="2">
        <f>IFERROR(__xludf.DUMMYFUNCTION("""COMPUTED_VALUE"""),0.0)</f>
        <v>0</v>
      </c>
      <c r="C5148" s="2">
        <f>IFERROR(__xludf.DUMMYFUNCTION("""COMPUTED_VALUE"""),672.0)</f>
        <v>672</v>
      </c>
      <c r="D5148" s="3">
        <f>IFERROR(__xludf.DUMMYFUNCTION("""COMPUTED_VALUE"""),0.0)</f>
        <v>0</v>
      </c>
      <c r="E5148" s="2"/>
      <c r="F5148" s="2"/>
    </row>
    <row r="5149">
      <c r="A5149" s="2">
        <f>IFERROR(__xludf.DUMMYFUNCTION("""COMPUTED_VALUE"""),119082.0)</f>
        <v>119082</v>
      </c>
      <c r="B5149" s="2">
        <f>IFERROR(__xludf.DUMMYFUNCTION("""COMPUTED_VALUE"""),0.0)</f>
        <v>0</v>
      </c>
      <c r="C5149" s="2">
        <f>IFERROR(__xludf.DUMMYFUNCTION("""COMPUTED_VALUE"""),260.0)</f>
        <v>260</v>
      </c>
      <c r="D5149" s="3">
        <f>IFERROR(__xludf.DUMMYFUNCTION("""COMPUTED_VALUE"""),94.0)</f>
        <v>94</v>
      </c>
      <c r="E5149" s="2"/>
      <c r="F5149" s="2"/>
    </row>
    <row r="5150">
      <c r="A5150" s="2">
        <f>IFERROR(__xludf.DUMMYFUNCTION("""COMPUTED_VALUE"""),5770.0)</f>
        <v>5770</v>
      </c>
      <c r="B5150" s="2">
        <f>IFERROR(__xludf.DUMMYFUNCTION("""COMPUTED_VALUE"""),0.0)</f>
        <v>0</v>
      </c>
      <c r="C5150" s="2">
        <f>IFERROR(__xludf.DUMMYFUNCTION("""COMPUTED_VALUE"""),482.0)</f>
        <v>482</v>
      </c>
      <c r="D5150" s="3">
        <f>IFERROR(__xludf.DUMMYFUNCTION("""COMPUTED_VALUE"""),272.0)</f>
        <v>272</v>
      </c>
      <c r="E5150" s="2"/>
      <c r="F5150" s="2"/>
    </row>
    <row r="5151">
      <c r="A5151" s="2">
        <f>IFERROR(__xludf.DUMMYFUNCTION("""COMPUTED_VALUE"""),103072.0)</f>
        <v>103072</v>
      </c>
      <c r="B5151" s="2">
        <f>IFERROR(__xludf.DUMMYFUNCTION("""COMPUTED_VALUE"""),0.0)</f>
        <v>0</v>
      </c>
      <c r="C5151" s="2">
        <f>IFERROR(__xludf.DUMMYFUNCTION("""COMPUTED_VALUE"""),873.0)</f>
        <v>873</v>
      </c>
      <c r="D5151" s="3">
        <f>IFERROR(__xludf.DUMMYFUNCTION("""COMPUTED_VALUE"""),668.0)</f>
        <v>668</v>
      </c>
      <c r="E5151" s="2"/>
      <c r="F5151" s="2"/>
    </row>
    <row r="5152">
      <c r="A5152" s="2">
        <f>IFERROR(__xludf.DUMMYFUNCTION("""COMPUTED_VALUE"""),19344.0)</f>
        <v>19344</v>
      </c>
      <c r="B5152" s="2">
        <f>IFERROR(__xludf.DUMMYFUNCTION("""COMPUTED_VALUE"""),1.0)</f>
        <v>1</v>
      </c>
      <c r="C5152" s="2">
        <f>IFERROR(__xludf.DUMMYFUNCTION("""COMPUTED_VALUE"""),624.0)</f>
        <v>624</v>
      </c>
      <c r="D5152" s="3">
        <f>IFERROR(__xludf.DUMMYFUNCTION("""COMPUTED_VALUE"""),68.0)</f>
        <v>68</v>
      </c>
      <c r="E5152" s="2"/>
      <c r="F5152" s="2"/>
    </row>
    <row r="5153">
      <c r="A5153" s="2">
        <f>IFERROR(__xludf.DUMMYFUNCTION("""COMPUTED_VALUE"""),84219.0)</f>
        <v>84219</v>
      </c>
      <c r="B5153" s="2">
        <f>IFERROR(__xludf.DUMMYFUNCTION("""COMPUTED_VALUE"""),0.0)</f>
        <v>0</v>
      </c>
      <c r="C5153" s="2">
        <f>IFERROR(__xludf.DUMMYFUNCTION("""COMPUTED_VALUE"""),293.0)</f>
        <v>293</v>
      </c>
      <c r="D5153" s="3">
        <f>IFERROR(__xludf.DUMMYFUNCTION("""COMPUTED_VALUE"""),133.0)</f>
        <v>133</v>
      </c>
      <c r="E5153" s="2"/>
      <c r="F5153" s="2"/>
    </row>
    <row r="5154">
      <c r="A5154" s="2">
        <f>IFERROR(__xludf.DUMMYFUNCTION("""COMPUTED_VALUE"""),19345.0)</f>
        <v>19345</v>
      </c>
      <c r="B5154" s="2">
        <f>IFERROR(__xludf.DUMMYFUNCTION("""COMPUTED_VALUE"""),0.0)</f>
        <v>0</v>
      </c>
      <c r="C5154" s="2">
        <f>IFERROR(__xludf.DUMMYFUNCTION("""COMPUTED_VALUE"""),268.0)</f>
        <v>268</v>
      </c>
      <c r="D5154" s="3">
        <f>IFERROR(__xludf.DUMMYFUNCTION("""COMPUTED_VALUE"""),120.0)</f>
        <v>120</v>
      </c>
      <c r="E5154" s="2"/>
      <c r="F5154" s="2"/>
    </row>
    <row r="5155">
      <c r="A5155" s="2">
        <f>IFERROR(__xludf.DUMMYFUNCTION("""COMPUTED_VALUE"""),90816.0)</f>
        <v>90816</v>
      </c>
      <c r="B5155" s="2">
        <f>IFERROR(__xludf.DUMMYFUNCTION("""COMPUTED_VALUE"""),1.0)</f>
        <v>1</v>
      </c>
      <c r="C5155" s="2">
        <f>IFERROR(__xludf.DUMMYFUNCTION("""COMPUTED_VALUE"""),433.0)</f>
        <v>433</v>
      </c>
      <c r="D5155" s="3">
        <f>IFERROR(__xludf.DUMMYFUNCTION("""COMPUTED_VALUE"""),38.0)</f>
        <v>38</v>
      </c>
      <c r="E5155" s="2"/>
      <c r="F5155" s="2"/>
    </row>
    <row r="5156">
      <c r="A5156" s="2">
        <f>IFERROR(__xludf.DUMMYFUNCTION("""COMPUTED_VALUE"""),23198.0)</f>
        <v>23198</v>
      </c>
      <c r="B5156" s="2">
        <f>IFERROR(__xludf.DUMMYFUNCTION("""COMPUTED_VALUE"""),0.0)</f>
        <v>0</v>
      </c>
      <c r="C5156" s="2">
        <f>IFERROR(__xludf.DUMMYFUNCTION("""COMPUTED_VALUE"""),881.0)</f>
        <v>881</v>
      </c>
      <c r="D5156" s="3">
        <f>IFERROR(__xludf.DUMMYFUNCTION("""COMPUTED_VALUE"""),131.0)</f>
        <v>131</v>
      </c>
      <c r="E5156" s="2"/>
      <c r="F5156" s="2"/>
    </row>
    <row r="5157">
      <c r="A5157" s="2">
        <f>IFERROR(__xludf.DUMMYFUNCTION("""COMPUTED_VALUE"""),87207.0)</f>
        <v>87207</v>
      </c>
      <c r="B5157" s="2">
        <f>IFERROR(__xludf.DUMMYFUNCTION("""COMPUTED_VALUE"""),1.0)</f>
        <v>1</v>
      </c>
      <c r="C5157" s="2">
        <f>IFERROR(__xludf.DUMMYFUNCTION("""COMPUTED_VALUE"""),922.0)</f>
        <v>922</v>
      </c>
      <c r="D5157" s="3">
        <f>IFERROR(__xludf.DUMMYFUNCTION("""COMPUTED_VALUE"""),30.0)</f>
        <v>30</v>
      </c>
      <c r="E5157" s="2"/>
      <c r="F5157" s="2"/>
    </row>
    <row r="5158">
      <c r="A5158" s="2">
        <f>IFERROR(__xludf.DUMMYFUNCTION("""COMPUTED_VALUE"""),5694.0)</f>
        <v>5694</v>
      </c>
      <c r="B5158" s="2">
        <f>IFERROR(__xludf.DUMMYFUNCTION("""COMPUTED_VALUE"""),0.0)</f>
        <v>0</v>
      </c>
      <c r="C5158" s="2">
        <f>IFERROR(__xludf.DUMMYFUNCTION("""COMPUTED_VALUE"""),118.0)</f>
        <v>118</v>
      </c>
      <c r="D5158" s="3">
        <f>IFERROR(__xludf.DUMMYFUNCTION("""COMPUTED_VALUE"""),67.0)</f>
        <v>67</v>
      </c>
      <c r="E5158" s="2"/>
      <c r="F5158" s="2"/>
    </row>
    <row r="5159">
      <c r="A5159" s="2">
        <f>IFERROR(__xludf.DUMMYFUNCTION("""COMPUTED_VALUE"""),119084.0)</f>
        <v>119084</v>
      </c>
      <c r="B5159" s="2">
        <f>IFERROR(__xludf.DUMMYFUNCTION("""COMPUTED_VALUE"""),0.0)</f>
        <v>0</v>
      </c>
      <c r="C5159" s="2">
        <f>IFERROR(__xludf.DUMMYFUNCTION("""COMPUTED_VALUE"""),654.0)</f>
        <v>654</v>
      </c>
      <c r="D5159" s="3">
        <f>IFERROR(__xludf.DUMMYFUNCTION("""COMPUTED_VALUE"""),211.0)</f>
        <v>211</v>
      </c>
      <c r="E5159" s="2"/>
      <c r="F5159" s="2"/>
    </row>
    <row r="5160">
      <c r="A5160" s="2">
        <f>IFERROR(__xludf.DUMMYFUNCTION("""COMPUTED_VALUE"""),127927.0)</f>
        <v>127927</v>
      </c>
      <c r="B5160" s="2">
        <f>IFERROR(__xludf.DUMMYFUNCTION("""COMPUTED_VALUE"""),1.0)</f>
        <v>1</v>
      </c>
      <c r="C5160" s="2">
        <f>IFERROR(__xludf.DUMMYFUNCTION("""COMPUTED_VALUE"""),318.0)</f>
        <v>318</v>
      </c>
      <c r="D5160" s="3">
        <f>IFERROR(__xludf.DUMMYFUNCTION("""COMPUTED_VALUE"""),109.0)</f>
        <v>109</v>
      </c>
      <c r="E5160" s="2"/>
      <c r="F5160" s="2"/>
    </row>
    <row r="5161">
      <c r="A5161" s="2">
        <f>IFERROR(__xludf.DUMMYFUNCTION("""COMPUTED_VALUE"""),111184.0)</f>
        <v>111184</v>
      </c>
      <c r="B5161" s="2">
        <f>IFERROR(__xludf.DUMMYFUNCTION("""COMPUTED_VALUE"""),1.0)</f>
        <v>1</v>
      </c>
      <c r="C5161" s="2">
        <f>IFERROR(__xludf.DUMMYFUNCTION("""COMPUTED_VALUE"""),488.0)</f>
        <v>488</v>
      </c>
      <c r="D5161" s="3">
        <f>IFERROR(__xludf.DUMMYFUNCTION("""COMPUTED_VALUE"""),216.0)</f>
        <v>216</v>
      </c>
      <c r="E5161" s="2"/>
      <c r="F5161" s="2"/>
    </row>
    <row r="5162">
      <c r="A5162" s="2">
        <f>IFERROR(__xludf.DUMMYFUNCTION("""COMPUTED_VALUE"""),19341.0)</f>
        <v>19341</v>
      </c>
      <c r="B5162" s="2">
        <f>IFERROR(__xludf.DUMMYFUNCTION("""COMPUTED_VALUE"""),0.0)</f>
        <v>0</v>
      </c>
      <c r="C5162" s="2">
        <f>IFERROR(__xludf.DUMMYFUNCTION("""COMPUTED_VALUE"""),597.0)</f>
        <v>597</v>
      </c>
      <c r="D5162" s="3">
        <f>IFERROR(__xludf.DUMMYFUNCTION("""COMPUTED_VALUE"""),361.0)</f>
        <v>361</v>
      </c>
      <c r="E5162" s="2"/>
      <c r="F5162" s="2"/>
    </row>
    <row r="5163">
      <c r="A5163" s="2">
        <f>IFERROR(__xludf.DUMMYFUNCTION("""COMPUTED_VALUE"""),118485.0)</f>
        <v>118485</v>
      </c>
      <c r="B5163" s="2">
        <f>IFERROR(__xludf.DUMMYFUNCTION("""COMPUTED_VALUE"""),0.0)</f>
        <v>0</v>
      </c>
      <c r="C5163" s="2">
        <f>IFERROR(__xludf.DUMMYFUNCTION("""COMPUTED_VALUE"""),463.0)</f>
        <v>463</v>
      </c>
      <c r="D5163" s="3">
        <f>IFERROR(__xludf.DUMMYFUNCTION("""COMPUTED_VALUE"""),267.0)</f>
        <v>267</v>
      </c>
      <c r="E5163" s="2"/>
      <c r="F5163" s="2"/>
    </row>
    <row r="5164">
      <c r="A5164" s="2">
        <f>IFERROR(__xludf.DUMMYFUNCTION("""COMPUTED_VALUE"""),110565.0)</f>
        <v>110565</v>
      </c>
      <c r="B5164" s="2">
        <f>IFERROR(__xludf.DUMMYFUNCTION("""COMPUTED_VALUE"""),1.0)</f>
        <v>1</v>
      </c>
      <c r="C5164" s="2">
        <f>IFERROR(__xludf.DUMMYFUNCTION("""COMPUTED_VALUE"""),790.0)</f>
        <v>790</v>
      </c>
      <c r="D5164" s="3">
        <f>IFERROR(__xludf.DUMMYFUNCTION("""COMPUTED_VALUE"""),177.0)</f>
        <v>177</v>
      </c>
      <c r="E5164" s="2"/>
      <c r="F5164" s="2"/>
    </row>
    <row r="5165">
      <c r="A5165" s="2">
        <f>IFERROR(__xludf.DUMMYFUNCTION("""COMPUTED_VALUE"""),118484.0)</f>
        <v>118484</v>
      </c>
      <c r="B5165" s="2">
        <f>IFERROR(__xludf.DUMMYFUNCTION("""COMPUTED_VALUE"""),0.0)</f>
        <v>0</v>
      </c>
      <c r="C5165" s="2">
        <f>IFERROR(__xludf.DUMMYFUNCTION("""COMPUTED_VALUE"""),152.0)</f>
        <v>152</v>
      </c>
      <c r="D5165" s="3">
        <f>IFERROR(__xludf.DUMMYFUNCTION("""COMPUTED_VALUE"""),36.0)</f>
        <v>36</v>
      </c>
      <c r="E5165" s="2"/>
      <c r="F5165" s="2"/>
    </row>
    <row r="5166">
      <c r="A5166" s="2">
        <f>IFERROR(__xludf.DUMMYFUNCTION("""COMPUTED_VALUE"""),107652.0)</f>
        <v>107652</v>
      </c>
      <c r="B5166" s="2">
        <f>IFERROR(__xludf.DUMMYFUNCTION("""COMPUTED_VALUE"""),1.0)</f>
        <v>1</v>
      </c>
      <c r="C5166" s="2">
        <f>IFERROR(__xludf.DUMMYFUNCTION("""COMPUTED_VALUE"""),213.0)</f>
        <v>213</v>
      </c>
      <c r="D5166" s="3">
        <f>IFERROR(__xludf.DUMMYFUNCTION("""COMPUTED_VALUE"""),8.0)</f>
        <v>8</v>
      </c>
      <c r="E5166" s="2"/>
      <c r="F5166" s="2"/>
    </row>
    <row r="5167">
      <c r="A5167" s="2">
        <f>IFERROR(__xludf.DUMMYFUNCTION("""COMPUTED_VALUE"""),107673.0)</f>
        <v>107673</v>
      </c>
      <c r="B5167" s="2">
        <f>IFERROR(__xludf.DUMMYFUNCTION("""COMPUTED_VALUE"""),1.0)</f>
        <v>1</v>
      </c>
      <c r="C5167" s="2">
        <f>IFERROR(__xludf.DUMMYFUNCTION("""COMPUTED_VALUE"""),783.0)</f>
        <v>783</v>
      </c>
      <c r="D5167" s="3">
        <f>IFERROR(__xludf.DUMMYFUNCTION("""COMPUTED_VALUE"""),684.0)</f>
        <v>684</v>
      </c>
      <c r="E5167" s="2"/>
      <c r="F5167" s="2"/>
    </row>
    <row r="5168">
      <c r="A5168" s="2">
        <f>IFERROR(__xludf.DUMMYFUNCTION("""COMPUTED_VALUE"""),107902.0)</f>
        <v>107902</v>
      </c>
      <c r="B5168" s="2">
        <f>IFERROR(__xludf.DUMMYFUNCTION("""COMPUTED_VALUE"""),1.0)</f>
        <v>1</v>
      </c>
      <c r="C5168" s="2">
        <f>IFERROR(__xludf.DUMMYFUNCTION("""COMPUTED_VALUE"""),947.0)</f>
        <v>947</v>
      </c>
      <c r="D5168" s="3">
        <f>IFERROR(__xludf.DUMMYFUNCTION("""COMPUTED_VALUE"""),779.0)</f>
        <v>779</v>
      </c>
      <c r="E5168" s="2"/>
      <c r="F5168" s="2"/>
    </row>
    <row r="5169">
      <c r="A5169" s="2">
        <f>IFERROR(__xludf.DUMMYFUNCTION("""COMPUTED_VALUE"""),19340.0)</f>
        <v>19340</v>
      </c>
      <c r="B5169" s="2">
        <f>IFERROR(__xludf.DUMMYFUNCTION("""COMPUTED_VALUE"""),1.0)</f>
        <v>1</v>
      </c>
      <c r="C5169" s="2">
        <f>IFERROR(__xludf.DUMMYFUNCTION("""COMPUTED_VALUE"""),202.0)</f>
        <v>202</v>
      </c>
      <c r="D5169" s="3">
        <f>IFERROR(__xludf.DUMMYFUNCTION("""COMPUTED_VALUE"""),25.0)</f>
        <v>25</v>
      </c>
      <c r="E5169" s="2"/>
      <c r="F5169" s="2"/>
    </row>
    <row r="5170">
      <c r="A5170" s="2">
        <f>IFERROR(__xludf.DUMMYFUNCTION("""COMPUTED_VALUE"""),69190.0)</f>
        <v>69190</v>
      </c>
      <c r="B5170" s="2">
        <f>IFERROR(__xludf.DUMMYFUNCTION("""COMPUTED_VALUE"""),0.0)</f>
        <v>0</v>
      </c>
      <c r="C5170" s="2">
        <f>IFERROR(__xludf.DUMMYFUNCTION("""COMPUTED_VALUE"""),188.0)</f>
        <v>188</v>
      </c>
      <c r="D5170" s="3">
        <f>IFERROR(__xludf.DUMMYFUNCTION("""COMPUTED_VALUE"""),77.0)</f>
        <v>77</v>
      </c>
      <c r="E5170" s="2"/>
      <c r="F5170" s="2"/>
    </row>
    <row r="5171">
      <c r="A5171" s="2">
        <f>IFERROR(__xludf.DUMMYFUNCTION("""COMPUTED_VALUE"""),48451.0)</f>
        <v>48451</v>
      </c>
      <c r="B5171" s="2">
        <f>IFERROR(__xludf.DUMMYFUNCTION("""COMPUTED_VALUE"""),0.0)</f>
        <v>0</v>
      </c>
      <c r="C5171" s="2">
        <f>IFERROR(__xludf.DUMMYFUNCTION("""COMPUTED_VALUE"""),880.0)</f>
        <v>880</v>
      </c>
      <c r="D5171" s="3">
        <f>IFERROR(__xludf.DUMMYFUNCTION("""COMPUTED_VALUE"""),548.0)</f>
        <v>548</v>
      </c>
      <c r="E5171" s="2"/>
      <c r="F5171" s="2"/>
    </row>
    <row r="5172">
      <c r="A5172" s="2">
        <f>IFERROR(__xludf.DUMMYFUNCTION("""COMPUTED_VALUE"""),19339.0)</f>
        <v>19339</v>
      </c>
      <c r="B5172" s="2">
        <f>IFERROR(__xludf.DUMMYFUNCTION("""COMPUTED_VALUE"""),0.0)</f>
        <v>0</v>
      </c>
      <c r="C5172" s="2">
        <f>IFERROR(__xludf.DUMMYFUNCTION("""COMPUTED_VALUE"""),901.0)</f>
        <v>901</v>
      </c>
      <c r="D5172" s="3">
        <f>IFERROR(__xludf.DUMMYFUNCTION("""COMPUTED_VALUE"""),287.0)</f>
        <v>287</v>
      </c>
      <c r="E5172" s="2"/>
      <c r="F5172" s="2"/>
    </row>
    <row r="5173">
      <c r="A5173" s="2">
        <f>IFERROR(__xludf.DUMMYFUNCTION("""COMPUTED_VALUE"""),69195.0)</f>
        <v>69195</v>
      </c>
      <c r="B5173" s="2">
        <f>IFERROR(__xludf.DUMMYFUNCTION("""COMPUTED_VALUE"""),0.0)</f>
        <v>0</v>
      </c>
      <c r="C5173" s="2">
        <f>IFERROR(__xludf.DUMMYFUNCTION("""COMPUTED_VALUE"""),904.0)</f>
        <v>904</v>
      </c>
      <c r="D5173" s="3">
        <f>IFERROR(__xludf.DUMMYFUNCTION("""COMPUTED_VALUE"""),462.0)</f>
        <v>462</v>
      </c>
      <c r="E5173" s="2"/>
      <c r="F5173" s="2"/>
    </row>
    <row r="5174">
      <c r="A5174" s="2">
        <f>IFERROR(__xludf.DUMMYFUNCTION("""COMPUTED_VALUE"""),77192.0)</f>
        <v>77192</v>
      </c>
      <c r="B5174" s="2">
        <f>IFERROR(__xludf.DUMMYFUNCTION("""COMPUTED_VALUE"""),0.0)</f>
        <v>0</v>
      </c>
      <c r="C5174" s="2">
        <f>IFERROR(__xludf.DUMMYFUNCTION("""COMPUTED_VALUE"""),298.0)</f>
        <v>298</v>
      </c>
      <c r="D5174" s="3">
        <f>IFERROR(__xludf.DUMMYFUNCTION("""COMPUTED_VALUE"""),246.0)</f>
        <v>246</v>
      </c>
      <c r="E5174" s="2"/>
      <c r="F5174" s="2"/>
    </row>
    <row r="5175">
      <c r="A5175" s="2">
        <f>IFERROR(__xludf.DUMMYFUNCTION("""COMPUTED_VALUE"""),95922.0)</f>
        <v>95922</v>
      </c>
      <c r="B5175" s="2">
        <f>IFERROR(__xludf.DUMMYFUNCTION("""COMPUTED_VALUE"""),0.0)</f>
        <v>0</v>
      </c>
      <c r="C5175" s="2">
        <f>IFERROR(__xludf.DUMMYFUNCTION("""COMPUTED_VALUE"""),529.0)</f>
        <v>529</v>
      </c>
      <c r="D5175" s="3">
        <f>IFERROR(__xludf.DUMMYFUNCTION("""COMPUTED_VALUE"""),429.0)</f>
        <v>429</v>
      </c>
      <c r="E5175" s="2"/>
      <c r="F5175" s="2"/>
    </row>
    <row r="5176">
      <c r="A5176" s="2">
        <f>IFERROR(__xludf.DUMMYFUNCTION("""COMPUTED_VALUE"""),116779.0)</f>
        <v>116779</v>
      </c>
      <c r="B5176" s="2">
        <f>IFERROR(__xludf.DUMMYFUNCTION("""COMPUTED_VALUE"""),0.0)</f>
        <v>0</v>
      </c>
      <c r="C5176" s="2">
        <f>IFERROR(__xludf.DUMMYFUNCTION("""COMPUTED_VALUE"""),441.0)</f>
        <v>441</v>
      </c>
      <c r="D5176" s="3">
        <f>IFERROR(__xludf.DUMMYFUNCTION("""COMPUTED_VALUE"""),206.0)</f>
        <v>206</v>
      </c>
      <c r="E5176" s="2"/>
      <c r="F5176" s="2"/>
    </row>
    <row r="5177">
      <c r="A5177" s="2">
        <f>IFERROR(__xludf.DUMMYFUNCTION("""COMPUTED_VALUE"""),69238.0)</f>
        <v>69238</v>
      </c>
      <c r="B5177" s="2">
        <f>IFERROR(__xludf.DUMMYFUNCTION("""COMPUTED_VALUE"""),1.0)</f>
        <v>1</v>
      </c>
      <c r="C5177" s="2">
        <f>IFERROR(__xludf.DUMMYFUNCTION("""COMPUTED_VALUE"""),769.0)</f>
        <v>769</v>
      </c>
      <c r="D5177" s="3">
        <f>IFERROR(__xludf.DUMMYFUNCTION("""COMPUTED_VALUE"""),643.0)</f>
        <v>643</v>
      </c>
      <c r="E5177" s="2"/>
      <c r="F5177" s="2"/>
    </row>
    <row r="5178">
      <c r="A5178" s="2">
        <f>IFERROR(__xludf.DUMMYFUNCTION("""COMPUTED_VALUE"""),19337.0)</f>
        <v>19337</v>
      </c>
      <c r="B5178" s="2">
        <f>IFERROR(__xludf.DUMMYFUNCTION("""COMPUTED_VALUE"""),0.0)</f>
        <v>0</v>
      </c>
      <c r="C5178" s="2">
        <f>IFERROR(__xludf.DUMMYFUNCTION("""COMPUTED_VALUE"""),132.0)</f>
        <v>132</v>
      </c>
      <c r="D5178" s="3">
        <f>IFERROR(__xludf.DUMMYFUNCTION("""COMPUTED_VALUE"""),31.0)</f>
        <v>31</v>
      </c>
      <c r="E5178" s="2"/>
      <c r="F5178" s="2"/>
    </row>
    <row r="5179">
      <c r="A5179" s="2">
        <f>IFERROR(__xludf.DUMMYFUNCTION("""COMPUTED_VALUE"""),19326.0)</f>
        <v>19326</v>
      </c>
      <c r="B5179" s="2">
        <f>IFERROR(__xludf.DUMMYFUNCTION("""COMPUTED_VALUE"""),1.0)</f>
        <v>1</v>
      </c>
      <c r="C5179" s="2">
        <f>IFERROR(__xludf.DUMMYFUNCTION("""COMPUTED_VALUE"""),832.0)</f>
        <v>832</v>
      </c>
      <c r="D5179" s="3">
        <f>IFERROR(__xludf.DUMMYFUNCTION("""COMPUTED_VALUE"""),212.0)</f>
        <v>212</v>
      </c>
      <c r="E5179" s="2"/>
      <c r="F5179" s="2"/>
    </row>
    <row r="5180">
      <c r="A5180" s="2">
        <f>IFERROR(__xludf.DUMMYFUNCTION("""COMPUTED_VALUE"""),69251.0)</f>
        <v>69251</v>
      </c>
      <c r="B5180" s="2">
        <f>IFERROR(__xludf.DUMMYFUNCTION("""COMPUTED_VALUE"""),0.0)</f>
        <v>0</v>
      </c>
      <c r="C5180" s="2">
        <f>IFERROR(__xludf.DUMMYFUNCTION("""COMPUTED_VALUE"""),222.0)</f>
        <v>222</v>
      </c>
      <c r="D5180" s="3">
        <f>IFERROR(__xludf.DUMMYFUNCTION("""COMPUTED_VALUE"""),97.0)</f>
        <v>97</v>
      </c>
      <c r="E5180" s="2"/>
      <c r="F5180" s="2"/>
    </row>
    <row r="5181">
      <c r="A5181" s="2">
        <f>IFERROR(__xludf.DUMMYFUNCTION("""COMPUTED_VALUE"""),81871.0)</f>
        <v>81871</v>
      </c>
      <c r="B5181" s="2">
        <f>IFERROR(__xludf.DUMMYFUNCTION("""COMPUTED_VALUE"""),1.0)</f>
        <v>1</v>
      </c>
      <c r="C5181" s="2">
        <f>IFERROR(__xludf.DUMMYFUNCTION("""COMPUTED_VALUE"""),640.0)</f>
        <v>640</v>
      </c>
      <c r="D5181" s="3">
        <f>IFERROR(__xludf.DUMMYFUNCTION("""COMPUTED_VALUE"""),24.0)</f>
        <v>24</v>
      </c>
      <c r="E5181" s="2"/>
      <c r="F5181" s="2"/>
    </row>
    <row r="5182">
      <c r="A5182" s="2">
        <f>IFERROR(__xludf.DUMMYFUNCTION("""COMPUTED_VALUE"""),19321.0)</f>
        <v>19321</v>
      </c>
      <c r="B5182" s="2">
        <f>IFERROR(__xludf.DUMMYFUNCTION("""COMPUTED_VALUE"""),0.0)</f>
        <v>0</v>
      </c>
      <c r="C5182" s="2">
        <f>IFERROR(__xludf.DUMMYFUNCTION("""COMPUTED_VALUE"""),845.0)</f>
        <v>845</v>
      </c>
      <c r="D5182" s="3">
        <f>IFERROR(__xludf.DUMMYFUNCTION("""COMPUTED_VALUE"""),187.0)</f>
        <v>187</v>
      </c>
      <c r="E5182" s="2"/>
      <c r="F5182" s="2"/>
    </row>
    <row r="5183">
      <c r="A5183" s="2">
        <f>IFERROR(__xludf.DUMMYFUNCTION("""COMPUTED_VALUE"""),117618.0)</f>
        <v>117618</v>
      </c>
      <c r="B5183" s="2">
        <f>IFERROR(__xludf.DUMMYFUNCTION("""COMPUTED_VALUE"""),1.0)</f>
        <v>1</v>
      </c>
      <c r="C5183" s="2">
        <f>IFERROR(__xludf.DUMMYFUNCTION("""COMPUTED_VALUE"""),415.0)</f>
        <v>415</v>
      </c>
      <c r="D5183" s="3">
        <f>IFERROR(__xludf.DUMMYFUNCTION("""COMPUTED_VALUE"""),46.0)</f>
        <v>46</v>
      </c>
      <c r="E5183" s="2"/>
      <c r="F5183" s="2"/>
    </row>
    <row r="5184">
      <c r="A5184" s="2">
        <f>IFERROR(__xludf.DUMMYFUNCTION("""COMPUTED_VALUE"""),117623.0)</f>
        <v>117623</v>
      </c>
      <c r="B5184" s="2">
        <f>IFERROR(__xludf.DUMMYFUNCTION("""COMPUTED_VALUE"""),0.0)</f>
        <v>0</v>
      </c>
      <c r="C5184" s="2">
        <f>IFERROR(__xludf.DUMMYFUNCTION("""COMPUTED_VALUE"""),779.0)</f>
        <v>779</v>
      </c>
      <c r="D5184" s="3">
        <f>IFERROR(__xludf.DUMMYFUNCTION("""COMPUTED_VALUE"""),532.0)</f>
        <v>532</v>
      </c>
      <c r="E5184" s="2"/>
      <c r="F5184" s="2"/>
    </row>
    <row r="5185">
      <c r="A5185" s="2">
        <f>IFERROR(__xludf.DUMMYFUNCTION("""COMPUTED_VALUE"""),117614.0)</f>
        <v>117614</v>
      </c>
      <c r="B5185" s="2">
        <f>IFERROR(__xludf.DUMMYFUNCTION("""COMPUTED_VALUE"""),1.0)</f>
        <v>1</v>
      </c>
      <c r="C5185" s="2">
        <f>IFERROR(__xludf.DUMMYFUNCTION("""COMPUTED_VALUE"""),874.0)</f>
        <v>874</v>
      </c>
      <c r="D5185" s="3">
        <f>IFERROR(__xludf.DUMMYFUNCTION("""COMPUTED_VALUE"""),109.0)</f>
        <v>109</v>
      </c>
      <c r="E5185" s="2"/>
      <c r="F5185" s="2"/>
    </row>
    <row r="5186">
      <c r="A5186" s="2">
        <f>IFERROR(__xludf.DUMMYFUNCTION("""COMPUTED_VALUE"""),14393.0)</f>
        <v>14393</v>
      </c>
      <c r="B5186" s="2">
        <f>IFERROR(__xludf.DUMMYFUNCTION("""COMPUTED_VALUE"""),0.0)</f>
        <v>0</v>
      </c>
      <c r="C5186" s="2">
        <f>IFERROR(__xludf.DUMMYFUNCTION("""COMPUTED_VALUE"""),148.0)</f>
        <v>148</v>
      </c>
      <c r="D5186" s="3">
        <f>IFERROR(__xludf.DUMMYFUNCTION("""COMPUTED_VALUE"""),114.0)</f>
        <v>114</v>
      </c>
      <c r="E5186" s="2"/>
      <c r="F5186" s="2"/>
    </row>
    <row r="5187">
      <c r="A5187" s="2">
        <f>IFERROR(__xludf.DUMMYFUNCTION("""COMPUTED_VALUE"""),70419.0)</f>
        <v>70419</v>
      </c>
      <c r="B5187" s="2">
        <f>IFERROR(__xludf.DUMMYFUNCTION("""COMPUTED_VALUE"""),0.0)</f>
        <v>0</v>
      </c>
      <c r="C5187" s="2">
        <f>IFERROR(__xludf.DUMMYFUNCTION("""COMPUTED_VALUE"""),312.0)</f>
        <v>312</v>
      </c>
      <c r="D5187" s="3">
        <f>IFERROR(__xludf.DUMMYFUNCTION("""COMPUTED_VALUE"""),239.0)</f>
        <v>239</v>
      </c>
      <c r="E5187" s="2"/>
      <c r="F5187" s="2"/>
    </row>
    <row r="5188">
      <c r="A5188" s="2">
        <f>IFERROR(__xludf.DUMMYFUNCTION("""COMPUTED_VALUE"""),111147.0)</f>
        <v>111147</v>
      </c>
      <c r="B5188" s="2">
        <f>IFERROR(__xludf.DUMMYFUNCTION("""COMPUTED_VALUE"""),1.0)</f>
        <v>1</v>
      </c>
      <c r="C5188" s="2">
        <f>IFERROR(__xludf.DUMMYFUNCTION("""COMPUTED_VALUE"""),850.0)</f>
        <v>850</v>
      </c>
      <c r="D5188" s="3">
        <f>IFERROR(__xludf.DUMMYFUNCTION("""COMPUTED_VALUE"""),519.0)</f>
        <v>519</v>
      </c>
      <c r="E5188" s="2"/>
      <c r="F5188" s="2"/>
    </row>
    <row r="5189">
      <c r="A5189" s="2">
        <f>IFERROR(__xludf.DUMMYFUNCTION("""COMPUTED_VALUE"""),4325.0)</f>
        <v>4325</v>
      </c>
      <c r="B5189" s="2">
        <f>IFERROR(__xludf.DUMMYFUNCTION("""COMPUTED_VALUE"""),1.0)</f>
        <v>1</v>
      </c>
      <c r="C5189" s="2">
        <f>IFERROR(__xludf.DUMMYFUNCTION("""COMPUTED_VALUE"""),619.0)</f>
        <v>619</v>
      </c>
      <c r="D5189" s="3">
        <f>IFERROR(__xludf.DUMMYFUNCTION("""COMPUTED_VALUE"""),324.0)</f>
        <v>324</v>
      </c>
      <c r="E5189" s="2"/>
      <c r="F5189" s="2"/>
    </row>
    <row r="5190">
      <c r="A5190" s="2">
        <f>IFERROR(__xludf.DUMMYFUNCTION("""COMPUTED_VALUE"""),4321.0)</f>
        <v>4321</v>
      </c>
      <c r="B5190" s="2">
        <f>IFERROR(__xludf.DUMMYFUNCTION("""COMPUTED_VALUE"""),0.0)</f>
        <v>0</v>
      </c>
      <c r="C5190" s="2">
        <f>IFERROR(__xludf.DUMMYFUNCTION("""COMPUTED_VALUE"""),280.0)</f>
        <v>280</v>
      </c>
      <c r="D5190" s="3">
        <f>IFERROR(__xludf.DUMMYFUNCTION("""COMPUTED_VALUE"""),151.0)</f>
        <v>151</v>
      </c>
      <c r="E5190" s="2"/>
      <c r="F5190" s="2"/>
    </row>
    <row r="5191">
      <c r="A5191" s="2">
        <f>IFERROR(__xludf.DUMMYFUNCTION("""COMPUTED_VALUE"""),70418.0)</f>
        <v>70418</v>
      </c>
      <c r="B5191" s="2">
        <f>IFERROR(__xludf.DUMMYFUNCTION("""COMPUTED_VALUE"""),1.0)</f>
        <v>1</v>
      </c>
      <c r="C5191" s="2">
        <f>IFERROR(__xludf.DUMMYFUNCTION("""COMPUTED_VALUE"""),515.0)</f>
        <v>515</v>
      </c>
      <c r="D5191" s="3">
        <f>IFERROR(__xludf.DUMMYFUNCTION("""COMPUTED_VALUE"""),174.0)</f>
        <v>174</v>
      </c>
      <c r="E5191" s="2"/>
      <c r="F5191" s="2"/>
    </row>
    <row r="5192">
      <c r="A5192" s="2">
        <f>IFERROR(__xludf.DUMMYFUNCTION("""COMPUTED_VALUE"""),80648.0)</f>
        <v>80648</v>
      </c>
      <c r="B5192" s="2">
        <f>IFERROR(__xludf.DUMMYFUNCTION("""COMPUTED_VALUE"""),1.0)</f>
        <v>1</v>
      </c>
      <c r="C5192" s="2">
        <f>IFERROR(__xludf.DUMMYFUNCTION("""COMPUTED_VALUE"""),707.0)</f>
        <v>707</v>
      </c>
      <c r="D5192" s="3">
        <f>IFERROR(__xludf.DUMMYFUNCTION("""COMPUTED_VALUE"""),449.0)</f>
        <v>449</v>
      </c>
      <c r="E5192" s="2"/>
      <c r="F5192" s="2"/>
    </row>
    <row r="5193">
      <c r="A5193" s="2">
        <f>IFERROR(__xludf.DUMMYFUNCTION("""COMPUTED_VALUE"""),70417.0)</f>
        <v>70417</v>
      </c>
      <c r="B5193" s="2">
        <f>IFERROR(__xludf.DUMMYFUNCTION("""COMPUTED_VALUE"""),1.0)</f>
        <v>1</v>
      </c>
      <c r="C5193" s="2">
        <f>IFERROR(__xludf.DUMMYFUNCTION("""COMPUTED_VALUE"""),322.0)</f>
        <v>322</v>
      </c>
      <c r="D5193" s="3">
        <f>IFERROR(__xludf.DUMMYFUNCTION("""COMPUTED_VALUE"""),146.0)</f>
        <v>146</v>
      </c>
      <c r="E5193" s="2"/>
      <c r="F5193" s="2"/>
    </row>
    <row r="5194">
      <c r="A5194" s="2">
        <f>IFERROR(__xludf.DUMMYFUNCTION("""COMPUTED_VALUE"""),79420.0)</f>
        <v>79420</v>
      </c>
      <c r="B5194" s="2">
        <f>IFERROR(__xludf.DUMMYFUNCTION("""COMPUTED_VALUE"""),0.0)</f>
        <v>0</v>
      </c>
      <c r="C5194" s="2">
        <f>IFERROR(__xludf.DUMMYFUNCTION("""COMPUTED_VALUE"""),960.0)</f>
        <v>960</v>
      </c>
      <c r="D5194" s="3">
        <f>IFERROR(__xludf.DUMMYFUNCTION("""COMPUTED_VALUE"""),757.0)</f>
        <v>757</v>
      </c>
      <c r="E5194" s="2"/>
      <c r="F5194" s="2"/>
    </row>
    <row r="5195">
      <c r="A5195" s="2">
        <f>IFERROR(__xludf.DUMMYFUNCTION("""COMPUTED_VALUE"""),4327.0)</f>
        <v>4327</v>
      </c>
      <c r="B5195" s="2">
        <f>IFERROR(__xludf.DUMMYFUNCTION("""COMPUTED_VALUE"""),0.0)</f>
        <v>0</v>
      </c>
      <c r="C5195" s="2">
        <f>IFERROR(__xludf.DUMMYFUNCTION("""COMPUTED_VALUE"""),432.0)</f>
        <v>432</v>
      </c>
      <c r="D5195" s="3">
        <f>IFERROR(__xludf.DUMMYFUNCTION("""COMPUTED_VALUE"""),124.0)</f>
        <v>124</v>
      </c>
      <c r="E5195" s="2"/>
      <c r="F5195" s="2"/>
    </row>
    <row r="5196">
      <c r="A5196" s="2">
        <f>IFERROR(__xludf.DUMMYFUNCTION("""COMPUTED_VALUE"""),89505.0)</f>
        <v>89505</v>
      </c>
      <c r="B5196" s="2">
        <f>IFERROR(__xludf.DUMMYFUNCTION("""COMPUTED_VALUE"""),0.0)</f>
        <v>0</v>
      </c>
      <c r="C5196" s="2">
        <f>IFERROR(__xludf.DUMMYFUNCTION("""COMPUTED_VALUE"""),785.0)</f>
        <v>785</v>
      </c>
      <c r="D5196" s="3">
        <f>IFERROR(__xludf.DUMMYFUNCTION("""COMPUTED_VALUE"""),102.0)</f>
        <v>102</v>
      </c>
      <c r="E5196" s="2"/>
      <c r="F5196" s="2"/>
    </row>
    <row r="5197">
      <c r="A5197" s="2">
        <f>IFERROR(__xludf.DUMMYFUNCTION("""COMPUTED_VALUE"""),128344.0)</f>
        <v>128344</v>
      </c>
      <c r="B5197" s="2">
        <f>IFERROR(__xludf.DUMMYFUNCTION("""COMPUTED_VALUE"""),1.0)</f>
        <v>1</v>
      </c>
      <c r="C5197" s="2">
        <f>IFERROR(__xludf.DUMMYFUNCTION("""COMPUTED_VALUE"""),154.0)</f>
        <v>154</v>
      </c>
      <c r="D5197" s="3">
        <f>IFERROR(__xludf.DUMMYFUNCTION("""COMPUTED_VALUE"""),139.0)</f>
        <v>139</v>
      </c>
      <c r="E5197" s="2"/>
      <c r="F5197" s="2"/>
    </row>
    <row r="5198">
      <c r="A5198" s="2">
        <f>IFERROR(__xludf.DUMMYFUNCTION("""COMPUTED_VALUE"""),79421.0)</f>
        <v>79421</v>
      </c>
      <c r="B5198" s="2">
        <f>IFERROR(__xludf.DUMMYFUNCTION("""COMPUTED_VALUE"""),1.0)</f>
        <v>1</v>
      </c>
      <c r="C5198" s="2">
        <f>IFERROR(__xludf.DUMMYFUNCTION("""COMPUTED_VALUE"""),843.0)</f>
        <v>843</v>
      </c>
      <c r="D5198" s="3">
        <f>IFERROR(__xludf.DUMMYFUNCTION("""COMPUTED_VALUE"""),695.0)</f>
        <v>695</v>
      </c>
      <c r="E5198" s="2"/>
      <c r="F5198" s="2"/>
    </row>
    <row r="5199">
      <c r="A5199" s="2">
        <f>IFERROR(__xludf.DUMMYFUNCTION("""COMPUTED_VALUE"""),128336.0)</f>
        <v>128336</v>
      </c>
      <c r="B5199" s="2">
        <f>IFERROR(__xludf.DUMMYFUNCTION("""COMPUTED_VALUE"""),0.0)</f>
        <v>0</v>
      </c>
      <c r="C5199" s="2">
        <f>IFERROR(__xludf.DUMMYFUNCTION("""COMPUTED_VALUE"""),29.0)</f>
        <v>29</v>
      </c>
      <c r="D5199" s="3">
        <f>IFERROR(__xludf.DUMMYFUNCTION("""COMPUTED_VALUE"""),1.0)</f>
        <v>1</v>
      </c>
      <c r="E5199" s="2"/>
      <c r="F5199" s="2"/>
    </row>
    <row r="5200">
      <c r="A5200" s="2">
        <f>IFERROR(__xludf.DUMMYFUNCTION("""COMPUTED_VALUE"""),5081.0)</f>
        <v>5081</v>
      </c>
      <c r="B5200" s="2">
        <f>IFERROR(__xludf.DUMMYFUNCTION("""COMPUTED_VALUE"""),1.0)</f>
        <v>1</v>
      </c>
      <c r="C5200" s="2">
        <f>IFERROR(__xludf.DUMMYFUNCTION("""COMPUTED_VALUE"""),-6.0)</f>
        <v>-6</v>
      </c>
      <c r="D5200" s="3">
        <f>IFERROR(__xludf.DUMMYFUNCTION("""COMPUTED_VALUE"""),-2.0)</f>
        <v>-2</v>
      </c>
      <c r="E5200" s="2"/>
      <c r="F5200" s="2"/>
    </row>
    <row r="5201">
      <c r="A5201" s="2">
        <f>IFERROR(__xludf.DUMMYFUNCTION("""COMPUTED_VALUE"""),79423.0)</f>
        <v>79423</v>
      </c>
      <c r="B5201" s="2">
        <f>IFERROR(__xludf.DUMMYFUNCTION("""COMPUTED_VALUE"""),1.0)</f>
        <v>1</v>
      </c>
      <c r="C5201" s="2">
        <f>IFERROR(__xludf.DUMMYFUNCTION("""COMPUTED_VALUE"""),287.0)</f>
        <v>287</v>
      </c>
      <c r="D5201" s="3">
        <f>IFERROR(__xludf.DUMMYFUNCTION("""COMPUTED_VALUE"""),138.0)</f>
        <v>138</v>
      </c>
      <c r="E5201" s="2"/>
      <c r="F5201" s="2"/>
    </row>
    <row r="5202">
      <c r="A5202" s="2">
        <f>IFERROR(__xludf.DUMMYFUNCTION("""COMPUTED_VALUE"""),116481.0)</f>
        <v>116481</v>
      </c>
      <c r="B5202" s="2">
        <f>IFERROR(__xludf.DUMMYFUNCTION("""COMPUTED_VALUE"""),1.0)</f>
        <v>1</v>
      </c>
      <c r="C5202" s="2">
        <f>IFERROR(__xludf.DUMMYFUNCTION("""COMPUTED_VALUE"""),697.0)</f>
        <v>697</v>
      </c>
      <c r="D5202" s="3">
        <f>IFERROR(__xludf.DUMMYFUNCTION("""COMPUTED_VALUE"""),228.0)</f>
        <v>228</v>
      </c>
      <c r="E5202" s="2"/>
      <c r="F5202" s="2"/>
    </row>
    <row r="5203">
      <c r="A5203" s="2">
        <f>IFERROR(__xludf.DUMMYFUNCTION("""COMPUTED_VALUE"""),118278.0)</f>
        <v>118278</v>
      </c>
      <c r="B5203" s="2">
        <f>IFERROR(__xludf.DUMMYFUNCTION("""COMPUTED_VALUE"""),0.0)</f>
        <v>0</v>
      </c>
      <c r="C5203" s="2">
        <f>IFERROR(__xludf.DUMMYFUNCTION("""COMPUTED_VALUE"""),141.0)</f>
        <v>141</v>
      </c>
      <c r="D5203" s="3">
        <f>IFERROR(__xludf.DUMMYFUNCTION("""COMPUTED_VALUE"""),21.0)</f>
        <v>21</v>
      </c>
      <c r="E5203" s="2"/>
      <c r="F5203" s="2"/>
    </row>
    <row r="5204">
      <c r="A5204" s="2">
        <f>IFERROR(__xludf.DUMMYFUNCTION("""COMPUTED_VALUE"""),116440.0)</f>
        <v>116440</v>
      </c>
      <c r="B5204" s="2">
        <f>IFERROR(__xludf.DUMMYFUNCTION("""COMPUTED_VALUE"""),0.0)</f>
        <v>0</v>
      </c>
      <c r="C5204" s="2">
        <f>IFERROR(__xludf.DUMMYFUNCTION("""COMPUTED_VALUE"""),266.0)</f>
        <v>266</v>
      </c>
      <c r="D5204" s="3">
        <f>IFERROR(__xludf.DUMMYFUNCTION("""COMPUTED_VALUE"""),213.0)</f>
        <v>213</v>
      </c>
      <c r="E5204" s="2"/>
      <c r="F5204" s="2"/>
    </row>
    <row r="5205">
      <c r="A5205" s="2">
        <f>IFERROR(__xludf.DUMMYFUNCTION("""COMPUTED_VALUE"""),116478.0)</f>
        <v>116478</v>
      </c>
      <c r="B5205" s="2">
        <f>IFERROR(__xludf.DUMMYFUNCTION("""COMPUTED_VALUE"""),0.0)</f>
        <v>0</v>
      </c>
      <c r="C5205" s="2">
        <f>IFERROR(__xludf.DUMMYFUNCTION("""COMPUTED_VALUE"""),811.0)</f>
        <v>811</v>
      </c>
      <c r="D5205" s="3">
        <f>IFERROR(__xludf.DUMMYFUNCTION("""COMPUTED_VALUE"""),110.0)</f>
        <v>110</v>
      </c>
      <c r="E5205" s="2"/>
      <c r="F5205" s="2"/>
    </row>
    <row r="5206">
      <c r="A5206" s="2">
        <f>IFERROR(__xludf.DUMMYFUNCTION("""COMPUTED_VALUE"""),139305.0)</f>
        <v>139305</v>
      </c>
      <c r="B5206" s="2">
        <f>IFERROR(__xludf.DUMMYFUNCTION("""COMPUTED_VALUE"""),0.0)</f>
        <v>0</v>
      </c>
      <c r="C5206" s="2">
        <f>IFERROR(__xludf.DUMMYFUNCTION("""COMPUTED_VALUE"""),203.0)</f>
        <v>203</v>
      </c>
      <c r="D5206" s="3">
        <f>IFERROR(__xludf.DUMMYFUNCTION("""COMPUTED_VALUE"""),117.0)</f>
        <v>117</v>
      </c>
      <c r="E5206" s="2"/>
      <c r="F5206" s="2"/>
    </row>
    <row r="5207">
      <c r="A5207" s="2">
        <f>IFERROR(__xludf.DUMMYFUNCTION("""COMPUTED_VALUE"""),118280.0)</f>
        <v>118280</v>
      </c>
      <c r="B5207" s="2">
        <f>IFERROR(__xludf.DUMMYFUNCTION("""COMPUTED_VALUE"""),0.0)</f>
        <v>0</v>
      </c>
      <c r="C5207" s="2">
        <f>IFERROR(__xludf.DUMMYFUNCTION("""COMPUTED_VALUE"""),518.0)</f>
        <v>518</v>
      </c>
      <c r="D5207" s="3">
        <f>IFERROR(__xludf.DUMMYFUNCTION("""COMPUTED_VALUE"""),51.0)</f>
        <v>51</v>
      </c>
      <c r="E5207" s="2"/>
      <c r="F5207" s="2"/>
    </row>
    <row r="5208">
      <c r="A5208" s="2">
        <f>IFERROR(__xludf.DUMMYFUNCTION("""COMPUTED_VALUE"""),116506.0)</f>
        <v>116506</v>
      </c>
      <c r="B5208" s="2">
        <f>IFERROR(__xludf.DUMMYFUNCTION("""COMPUTED_VALUE"""),0.0)</f>
        <v>0</v>
      </c>
      <c r="C5208" s="2">
        <f>IFERROR(__xludf.DUMMYFUNCTION("""COMPUTED_VALUE"""),137.0)</f>
        <v>137</v>
      </c>
      <c r="D5208" s="3">
        <f>IFERROR(__xludf.DUMMYFUNCTION("""COMPUTED_VALUE"""),100.0)</f>
        <v>100</v>
      </c>
      <c r="E5208" s="2"/>
      <c r="F5208" s="2"/>
    </row>
    <row r="5209">
      <c r="A5209" s="2">
        <f>IFERROR(__xludf.DUMMYFUNCTION("""COMPUTED_VALUE"""),116504.0)</f>
        <v>116504</v>
      </c>
      <c r="B5209" s="2">
        <f>IFERROR(__xludf.DUMMYFUNCTION("""COMPUTED_VALUE"""),0.0)</f>
        <v>0</v>
      </c>
      <c r="C5209" s="2">
        <f>IFERROR(__xludf.DUMMYFUNCTION("""COMPUTED_VALUE"""),567.0)</f>
        <v>567</v>
      </c>
      <c r="D5209" s="3">
        <f>IFERROR(__xludf.DUMMYFUNCTION("""COMPUTED_VALUE"""),431.0)</f>
        <v>431</v>
      </c>
      <c r="E5209" s="2"/>
      <c r="F5209" s="2"/>
    </row>
    <row r="5210">
      <c r="A5210" s="2">
        <f>IFERROR(__xludf.DUMMYFUNCTION("""COMPUTED_VALUE"""),116435.0)</f>
        <v>116435</v>
      </c>
      <c r="B5210" s="2">
        <f>IFERROR(__xludf.DUMMYFUNCTION("""COMPUTED_VALUE"""),1.0)</f>
        <v>1</v>
      </c>
      <c r="C5210" s="2">
        <f>IFERROR(__xludf.DUMMYFUNCTION("""COMPUTED_VALUE"""),801.0)</f>
        <v>801</v>
      </c>
      <c r="D5210" s="3">
        <f>IFERROR(__xludf.DUMMYFUNCTION("""COMPUTED_VALUE"""),523.0)</f>
        <v>523</v>
      </c>
      <c r="E5210" s="2"/>
      <c r="F5210" s="2"/>
    </row>
    <row r="5211">
      <c r="A5211" s="2">
        <f>IFERROR(__xludf.DUMMYFUNCTION("""COMPUTED_VALUE"""),70575.0)</f>
        <v>70575</v>
      </c>
      <c r="B5211" s="2">
        <f>IFERROR(__xludf.DUMMYFUNCTION("""COMPUTED_VALUE"""),0.0)</f>
        <v>0</v>
      </c>
      <c r="C5211" s="2">
        <f>IFERROR(__xludf.DUMMYFUNCTION("""COMPUTED_VALUE"""),756.0)</f>
        <v>756</v>
      </c>
      <c r="D5211" s="3">
        <f>IFERROR(__xludf.DUMMYFUNCTION("""COMPUTED_VALUE"""),56.0)</f>
        <v>56</v>
      </c>
      <c r="E5211" s="2"/>
      <c r="F5211" s="2"/>
    </row>
    <row r="5212">
      <c r="A5212" s="2">
        <f>IFERROR(__xludf.DUMMYFUNCTION("""COMPUTED_VALUE"""),128343.0)</f>
        <v>128343</v>
      </c>
      <c r="B5212" s="2">
        <f>IFERROR(__xludf.DUMMYFUNCTION("""COMPUTED_VALUE"""),1.0)</f>
        <v>1</v>
      </c>
      <c r="C5212" s="2">
        <f>IFERROR(__xludf.DUMMYFUNCTION("""COMPUTED_VALUE"""),93.0)</f>
        <v>93</v>
      </c>
      <c r="D5212" s="3">
        <f>IFERROR(__xludf.DUMMYFUNCTION("""COMPUTED_VALUE"""),38.0)</f>
        <v>38</v>
      </c>
      <c r="E5212" s="2"/>
      <c r="F5212" s="2"/>
    </row>
    <row r="5213">
      <c r="A5213" s="2">
        <f>IFERROR(__xludf.DUMMYFUNCTION("""COMPUTED_VALUE"""),112099.0)</f>
        <v>112099</v>
      </c>
      <c r="B5213" s="2">
        <f>IFERROR(__xludf.DUMMYFUNCTION("""COMPUTED_VALUE"""),1.0)</f>
        <v>1</v>
      </c>
      <c r="C5213" s="2">
        <f>IFERROR(__xludf.DUMMYFUNCTION("""COMPUTED_VALUE"""),320.0)</f>
        <v>320</v>
      </c>
      <c r="D5213" s="3">
        <f>IFERROR(__xludf.DUMMYFUNCTION("""COMPUTED_VALUE"""),193.0)</f>
        <v>193</v>
      </c>
      <c r="E5213" s="2"/>
      <c r="F5213" s="2"/>
    </row>
    <row r="5214">
      <c r="A5214" s="2">
        <f>IFERROR(__xludf.DUMMYFUNCTION("""COMPUTED_VALUE"""),128337.0)</f>
        <v>128337</v>
      </c>
      <c r="B5214" s="2">
        <f>IFERROR(__xludf.DUMMYFUNCTION("""COMPUTED_VALUE"""),1.0)</f>
        <v>1</v>
      </c>
      <c r="C5214" s="2">
        <f>IFERROR(__xludf.DUMMYFUNCTION("""COMPUTED_VALUE"""),181.0)</f>
        <v>181</v>
      </c>
      <c r="D5214" s="3">
        <f>IFERROR(__xludf.DUMMYFUNCTION("""COMPUTED_VALUE"""),73.0)</f>
        <v>73</v>
      </c>
      <c r="E5214" s="2"/>
      <c r="F5214" s="2"/>
    </row>
    <row r="5215">
      <c r="A5215" s="2">
        <f>IFERROR(__xludf.DUMMYFUNCTION("""COMPUTED_VALUE"""),4339.0)</f>
        <v>4339</v>
      </c>
      <c r="B5215" s="2">
        <f>IFERROR(__xludf.DUMMYFUNCTION("""COMPUTED_VALUE"""),0.0)</f>
        <v>0</v>
      </c>
      <c r="C5215" s="2">
        <f>IFERROR(__xludf.DUMMYFUNCTION("""COMPUTED_VALUE"""),859.0)</f>
        <v>859</v>
      </c>
      <c r="D5215" s="3">
        <f>IFERROR(__xludf.DUMMYFUNCTION("""COMPUTED_VALUE"""),533.0)</f>
        <v>533</v>
      </c>
      <c r="E5215" s="2"/>
      <c r="F5215" s="2"/>
    </row>
    <row r="5216">
      <c r="A5216" s="2">
        <f>IFERROR(__xludf.DUMMYFUNCTION("""COMPUTED_VALUE"""),14399.0)</f>
        <v>14399</v>
      </c>
      <c r="B5216" s="2">
        <f>IFERROR(__xludf.DUMMYFUNCTION("""COMPUTED_VALUE"""),0.0)</f>
        <v>0</v>
      </c>
      <c r="C5216" s="2">
        <f>IFERROR(__xludf.DUMMYFUNCTION("""COMPUTED_VALUE"""),222.0)</f>
        <v>222</v>
      </c>
      <c r="D5216" s="3">
        <f>IFERROR(__xludf.DUMMYFUNCTION("""COMPUTED_VALUE"""),154.0)</f>
        <v>154</v>
      </c>
      <c r="E5216" s="2"/>
      <c r="F5216" s="2"/>
    </row>
    <row r="5217">
      <c r="A5217" s="2">
        <f>IFERROR(__xludf.DUMMYFUNCTION("""COMPUTED_VALUE"""),4340.0)</f>
        <v>4340</v>
      </c>
      <c r="B5217" s="2">
        <f>IFERROR(__xludf.DUMMYFUNCTION("""COMPUTED_VALUE"""),1.0)</f>
        <v>1</v>
      </c>
      <c r="C5217" s="2">
        <f>IFERROR(__xludf.DUMMYFUNCTION("""COMPUTED_VALUE"""),789.0)</f>
        <v>789</v>
      </c>
      <c r="D5217" s="3">
        <f>IFERROR(__xludf.DUMMYFUNCTION("""COMPUTED_VALUE"""),764.0)</f>
        <v>764</v>
      </c>
      <c r="E5217" s="2"/>
      <c r="F5217" s="2"/>
    </row>
    <row r="5218">
      <c r="A5218" s="2">
        <f>IFERROR(__xludf.DUMMYFUNCTION("""COMPUTED_VALUE"""),45250.0)</f>
        <v>45250</v>
      </c>
      <c r="B5218" s="2">
        <f>IFERROR(__xludf.DUMMYFUNCTION("""COMPUTED_VALUE"""),0.0)</f>
        <v>0</v>
      </c>
      <c r="C5218" s="2">
        <f>IFERROR(__xludf.DUMMYFUNCTION("""COMPUTED_VALUE"""),663.0)</f>
        <v>663</v>
      </c>
      <c r="D5218" s="3">
        <f>IFERROR(__xludf.DUMMYFUNCTION("""COMPUTED_VALUE"""),440.0)</f>
        <v>440</v>
      </c>
      <c r="E5218" s="2"/>
      <c r="F5218" s="2"/>
    </row>
    <row r="5219">
      <c r="A5219" s="2">
        <f>IFERROR(__xludf.DUMMYFUNCTION("""COMPUTED_VALUE"""),9651.0)</f>
        <v>9651</v>
      </c>
      <c r="B5219" s="2">
        <f>IFERROR(__xludf.DUMMYFUNCTION("""COMPUTED_VALUE"""),0.0)</f>
        <v>0</v>
      </c>
      <c r="C5219" s="2">
        <f>IFERROR(__xludf.DUMMYFUNCTION("""COMPUTED_VALUE"""),322.0)</f>
        <v>322</v>
      </c>
      <c r="D5219" s="3">
        <f>IFERROR(__xludf.DUMMYFUNCTION("""COMPUTED_VALUE"""),220.0)</f>
        <v>220</v>
      </c>
      <c r="E5219" s="2"/>
      <c r="F5219" s="2"/>
    </row>
    <row r="5220">
      <c r="A5220" s="2">
        <f>IFERROR(__xludf.DUMMYFUNCTION("""COMPUTED_VALUE"""),4329.0)</f>
        <v>4329</v>
      </c>
      <c r="B5220" s="2">
        <f>IFERROR(__xludf.DUMMYFUNCTION("""COMPUTED_VALUE"""),0.0)</f>
        <v>0</v>
      </c>
      <c r="C5220" s="2">
        <f>IFERROR(__xludf.DUMMYFUNCTION("""COMPUTED_VALUE"""),720.0)</f>
        <v>720</v>
      </c>
      <c r="D5220" s="3">
        <f>IFERROR(__xludf.DUMMYFUNCTION("""COMPUTED_VALUE"""),621.0)</f>
        <v>621</v>
      </c>
      <c r="E5220" s="2"/>
      <c r="F5220" s="2"/>
    </row>
    <row r="5221">
      <c r="A5221" s="2">
        <f>IFERROR(__xludf.DUMMYFUNCTION("""COMPUTED_VALUE"""),4338.0)</f>
        <v>4338</v>
      </c>
      <c r="B5221" s="2">
        <f>IFERROR(__xludf.DUMMYFUNCTION("""COMPUTED_VALUE"""),1.0)</f>
        <v>1</v>
      </c>
      <c r="C5221" s="2">
        <f>IFERROR(__xludf.DUMMYFUNCTION("""COMPUTED_VALUE"""),231.0)</f>
        <v>231</v>
      </c>
      <c r="D5221" s="3">
        <f>IFERROR(__xludf.DUMMYFUNCTION("""COMPUTED_VALUE"""),162.0)</f>
        <v>162</v>
      </c>
      <c r="E5221" s="2"/>
      <c r="F5221" s="2"/>
    </row>
    <row r="5222">
      <c r="A5222" s="2">
        <f>IFERROR(__xludf.DUMMYFUNCTION("""COMPUTED_VALUE"""),112100.0)</f>
        <v>112100</v>
      </c>
      <c r="B5222" s="2">
        <f>IFERROR(__xludf.DUMMYFUNCTION("""COMPUTED_VALUE"""),0.0)</f>
        <v>0</v>
      </c>
      <c r="C5222" s="2">
        <f>IFERROR(__xludf.DUMMYFUNCTION("""COMPUTED_VALUE"""),455.0)</f>
        <v>455</v>
      </c>
      <c r="D5222" s="3">
        <f>IFERROR(__xludf.DUMMYFUNCTION("""COMPUTED_VALUE"""),390.0)</f>
        <v>390</v>
      </c>
      <c r="E5222" s="2"/>
      <c r="F5222" s="2"/>
    </row>
    <row r="5223">
      <c r="A5223" s="2">
        <f>IFERROR(__xludf.DUMMYFUNCTION("""COMPUTED_VALUE"""),9650.0)</f>
        <v>9650</v>
      </c>
      <c r="B5223" s="2">
        <f>IFERROR(__xludf.DUMMYFUNCTION("""COMPUTED_VALUE"""),1.0)</f>
        <v>1</v>
      </c>
      <c r="C5223" s="2">
        <f>IFERROR(__xludf.DUMMYFUNCTION("""COMPUTED_VALUE"""),437.0)</f>
        <v>437</v>
      </c>
      <c r="D5223" s="3">
        <f>IFERROR(__xludf.DUMMYFUNCTION("""COMPUTED_VALUE"""),302.0)</f>
        <v>302</v>
      </c>
      <c r="E5223" s="2"/>
      <c r="F5223" s="2"/>
    </row>
    <row r="5224">
      <c r="A5224" s="2">
        <f>IFERROR(__xludf.DUMMYFUNCTION("""COMPUTED_VALUE"""),9649.0)</f>
        <v>9649</v>
      </c>
      <c r="B5224" s="2">
        <f>IFERROR(__xludf.DUMMYFUNCTION("""COMPUTED_VALUE"""),1.0)</f>
        <v>1</v>
      </c>
      <c r="C5224" s="2">
        <f>IFERROR(__xludf.DUMMYFUNCTION("""COMPUTED_VALUE"""),733.0)</f>
        <v>733</v>
      </c>
      <c r="D5224" s="3">
        <f>IFERROR(__xludf.DUMMYFUNCTION("""COMPUTED_VALUE"""),113.0)</f>
        <v>113</v>
      </c>
      <c r="E5224" s="2"/>
      <c r="F5224" s="2"/>
    </row>
    <row r="5225">
      <c r="A5225" s="2">
        <f>IFERROR(__xludf.DUMMYFUNCTION("""COMPUTED_VALUE"""),9652.0)</f>
        <v>9652</v>
      </c>
      <c r="B5225" s="2">
        <f>IFERROR(__xludf.DUMMYFUNCTION("""COMPUTED_VALUE"""),0.0)</f>
        <v>0</v>
      </c>
      <c r="C5225" s="2">
        <f>IFERROR(__xludf.DUMMYFUNCTION("""COMPUTED_VALUE"""),602.0)</f>
        <v>602</v>
      </c>
      <c r="D5225" s="3">
        <f>IFERROR(__xludf.DUMMYFUNCTION("""COMPUTED_VALUE"""),544.0)</f>
        <v>544</v>
      </c>
      <c r="E5225" s="2"/>
      <c r="F5225" s="2"/>
    </row>
    <row r="5226">
      <c r="A5226" s="2">
        <f>IFERROR(__xludf.DUMMYFUNCTION("""COMPUTED_VALUE"""),79426.0)</f>
        <v>79426</v>
      </c>
      <c r="B5226" s="2">
        <f>IFERROR(__xludf.DUMMYFUNCTION("""COMPUTED_VALUE"""),1.0)</f>
        <v>1</v>
      </c>
      <c r="C5226" s="2">
        <f>IFERROR(__xludf.DUMMYFUNCTION("""COMPUTED_VALUE"""),947.0)</f>
        <v>947</v>
      </c>
      <c r="D5226" s="3">
        <f>IFERROR(__xludf.DUMMYFUNCTION("""COMPUTED_VALUE"""),516.0)</f>
        <v>516</v>
      </c>
      <c r="E5226" s="2"/>
      <c r="F5226" s="2"/>
    </row>
    <row r="5227">
      <c r="A5227" s="2">
        <f>IFERROR(__xludf.DUMMYFUNCTION("""COMPUTED_VALUE"""),79425.0)</f>
        <v>79425</v>
      </c>
      <c r="B5227" s="2">
        <f>IFERROR(__xludf.DUMMYFUNCTION("""COMPUTED_VALUE"""),1.0)</f>
        <v>1</v>
      </c>
      <c r="C5227" s="2">
        <f>IFERROR(__xludf.DUMMYFUNCTION("""COMPUTED_VALUE"""),169.0)</f>
        <v>169</v>
      </c>
      <c r="D5227" s="3">
        <f>IFERROR(__xludf.DUMMYFUNCTION("""COMPUTED_VALUE"""),154.0)</f>
        <v>154</v>
      </c>
      <c r="E5227" s="2"/>
      <c r="F5227" s="2"/>
    </row>
    <row r="5228">
      <c r="A5228" s="2">
        <f>IFERROR(__xludf.DUMMYFUNCTION("""COMPUTED_VALUE"""),4335.0)</f>
        <v>4335</v>
      </c>
      <c r="B5228" s="2">
        <f>IFERROR(__xludf.DUMMYFUNCTION("""COMPUTED_VALUE"""),1.0)</f>
        <v>1</v>
      </c>
      <c r="C5228" s="2">
        <f>IFERROR(__xludf.DUMMYFUNCTION("""COMPUTED_VALUE"""),646.0)</f>
        <v>646</v>
      </c>
      <c r="D5228" s="3">
        <f>IFERROR(__xludf.DUMMYFUNCTION("""COMPUTED_VALUE"""),334.0)</f>
        <v>334</v>
      </c>
      <c r="E5228" s="2"/>
      <c r="F5228" s="2"/>
    </row>
    <row r="5229">
      <c r="A5229" s="2">
        <f>IFERROR(__xludf.DUMMYFUNCTION("""COMPUTED_VALUE"""),70420.0)</f>
        <v>70420</v>
      </c>
      <c r="B5229" s="2">
        <f>IFERROR(__xludf.DUMMYFUNCTION("""COMPUTED_VALUE"""),1.0)</f>
        <v>1</v>
      </c>
      <c r="C5229" s="2">
        <f>IFERROR(__xludf.DUMMYFUNCTION("""COMPUTED_VALUE"""),18.0)</f>
        <v>18</v>
      </c>
      <c r="D5229" s="3">
        <f>IFERROR(__xludf.DUMMYFUNCTION("""COMPUTED_VALUE"""),14.0)</f>
        <v>14</v>
      </c>
      <c r="E5229" s="2"/>
      <c r="F5229" s="2"/>
    </row>
    <row r="5230">
      <c r="A5230" s="2">
        <f>IFERROR(__xludf.DUMMYFUNCTION("""COMPUTED_VALUE"""),9655.0)</f>
        <v>9655</v>
      </c>
      <c r="B5230" s="2">
        <f>IFERROR(__xludf.DUMMYFUNCTION("""COMPUTED_VALUE"""),1.0)</f>
        <v>1</v>
      </c>
      <c r="C5230" s="2">
        <f>IFERROR(__xludf.DUMMYFUNCTION("""COMPUTED_VALUE"""),29.0)</f>
        <v>29</v>
      </c>
      <c r="D5230" s="3">
        <f>IFERROR(__xludf.DUMMYFUNCTION("""COMPUTED_VALUE"""),28.0)</f>
        <v>28</v>
      </c>
      <c r="E5230" s="2"/>
      <c r="F5230" s="2"/>
    </row>
    <row r="5231">
      <c r="A5231" s="2">
        <f>IFERROR(__xludf.DUMMYFUNCTION("""COMPUTED_VALUE"""),68510.0)</f>
        <v>68510</v>
      </c>
      <c r="B5231" s="2">
        <f>IFERROR(__xludf.DUMMYFUNCTION("""COMPUTED_VALUE"""),1.0)</f>
        <v>1</v>
      </c>
      <c r="C5231" s="2">
        <f>IFERROR(__xludf.DUMMYFUNCTION("""COMPUTED_VALUE"""),365.0)</f>
        <v>365</v>
      </c>
      <c r="D5231" s="3">
        <f>IFERROR(__xludf.DUMMYFUNCTION("""COMPUTED_VALUE"""),353.0)</f>
        <v>353</v>
      </c>
      <c r="E5231" s="2"/>
      <c r="F5231" s="2"/>
    </row>
    <row r="5232">
      <c r="A5232" s="2">
        <f>IFERROR(__xludf.DUMMYFUNCTION("""COMPUTED_VALUE"""),11068.0)</f>
        <v>11068</v>
      </c>
      <c r="B5232" s="2">
        <f>IFERROR(__xludf.DUMMYFUNCTION("""COMPUTED_VALUE"""),0.0)</f>
        <v>0</v>
      </c>
      <c r="C5232" s="2">
        <f>IFERROR(__xludf.DUMMYFUNCTION("""COMPUTED_VALUE"""),419.0)</f>
        <v>419</v>
      </c>
      <c r="D5232" s="3">
        <f>IFERROR(__xludf.DUMMYFUNCTION("""COMPUTED_VALUE"""),206.0)</f>
        <v>206</v>
      </c>
      <c r="E5232" s="2"/>
      <c r="F5232" s="2"/>
    </row>
    <row r="5233">
      <c r="A5233" s="2">
        <f>IFERROR(__xludf.DUMMYFUNCTION("""COMPUTED_VALUE"""),79888.0)</f>
        <v>79888</v>
      </c>
      <c r="B5233" s="2">
        <f>IFERROR(__xludf.DUMMYFUNCTION("""COMPUTED_VALUE"""),0.0)</f>
        <v>0</v>
      </c>
      <c r="C5233" s="2">
        <f>IFERROR(__xludf.DUMMYFUNCTION("""COMPUTED_VALUE"""),46.0)</f>
        <v>46</v>
      </c>
      <c r="D5233" s="3">
        <f>IFERROR(__xludf.DUMMYFUNCTION("""COMPUTED_VALUE"""),44.0)</f>
        <v>44</v>
      </c>
      <c r="E5233" s="2"/>
      <c r="F5233" s="2"/>
    </row>
    <row r="5234">
      <c r="A5234" s="2">
        <f>IFERROR(__xludf.DUMMYFUNCTION("""COMPUTED_VALUE"""),108982.0)</f>
        <v>108982</v>
      </c>
      <c r="B5234" s="2">
        <f>IFERROR(__xludf.DUMMYFUNCTION("""COMPUTED_VALUE"""),1.0)</f>
        <v>1</v>
      </c>
      <c r="C5234" s="2">
        <f>IFERROR(__xludf.DUMMYFUNCTION("""COMPUTED_VALUE"""),664.0)</f>
        <v>664</v>
      </c>
      <c r="D5234" s="3">
        <f>IFERROR(__xludf.DUMMYFUNCTION("""COMPUTED_VALUE"""),547.0)</f>
        <v>547</v>
      </c>
      <c r="E5234" s="2"/>
      <c r="F5234" s="2"/>
    </row>
    <row r="5235">
      <c r="A5235" s="2">
        <f>IFERROR(__xludf.DUMMYFUNCTION("""COMPUTED_VALUE"""),88020.0)</f>
        <v>88020</v>
      </c>
      <c r="B5235" s="2">
        <f>IFERROR(__xludf.DUMMYFUNCTION("""COMPUTED_VALUE"""),1.0)</f>
        <v>1</v>
      </c>
      <c r="C5235" s="2">
        <f>IFERROR(__xludf.DUMMYFUNCTION("""COMPUTED_VALUE"""),546.0)</f>
        <v>546</v>
      </c>
      <c r="D5235" s="3">
        <f>IFERROR(__xludf.DUMMYFUNCTION("""COMPUTED_VALUE"""),127.0)</f>
        <v>127</v>
      </c>
      <c r="E5235" s="2"/>
      <c r="F5235" s="2"/>
    </row>
    <row r="5236">
      <c r="A5236" s="2">
        <f>IFERROR(__xludf.DUMMYFUNCTION("""COMPUTED_VALUE"""),44824.0)</f>
        <v>44824</v>
      </c>
      <c r="B5236" s="2">
        <f>IFERROR(__xludf.DUMMYFUNCTION("""COMPUTED_VALUE"""),0.0)</f>
        <v>0</v>
      </c>
      <c r="C5236" s="2">
        <f>IFERROR(__xludf.DUMMYFUNCTION("""COMPUTED_VALUE"""),846.0)</f>
        <v>846</v>
      </c>
      <c r="D5236" s="3">
        <f>IFERROR(__xludf.DUMMYFUNCTION("""COMPUTED_VALUE"""),759.0)</f>
        <v>759</v>
      </c>
      <c r="E5236" s="2"/>
      <c r="F5236" s="2"/>
    </row>
    <row r="5237">
      <c r="A5237" s="2">
        <f>IFERROR(__xludf.DUMMYFUNCTION("""COMPUTED_VALUE"""),46900.0)</f>
        <v>46900</v>
      </c>
      <c r="B5237" s="2">
        <f>IFERROR(__xludf.DUMMYFUNCTION("""COMPUTED_VALUE"""),1.0)</f>
        <v>1</v>
      </c>
      <c r="C5237" s="2">
        <f>IFERROR(__xludf.DUMMYFUNCTION("""COMPUTED_VALUE"""),25.0)</f>
        <v>25</v>
      </c>
      <c r="D5237" s="3">
        <f>IFERROR(__xludf.DUMMYFUNCTION("""COMPUTED_VALUE"""),24.0)</f>
        <v>24</v>
      </c>
      <c r="E5237" s="2"/>
      <c r="F5237" s="2"/>
    </row>
    <row r="5238">
      <c r="A5238" s="2">
        <f>IFERROR(__xludf.DUMMYFUNCTION("""COMPUTED_VALUE"""),41981.0)</f>
        <v>41981</v>
      </c>
      <c r="B5238" s="2">
        <f>IFERROR(__xludf.DUMMYFUNCTION("""COMPUTED_VALUE"""),1.0)</f>
        <v>1</v>
      </c>
      <c r="C5238" s="2">
        <f>IFERROR(__xludf.DUMMYFUNCTION("""COMPUTED_VALUE"""),140.0)</f>
        <v>140</v>
      </c>
      <c r="D5238" s="3">
        <f>IFERROR(__xludf.DUMMYFUNCTION("""COMPUTED_VALUE"""),13.0)</f>
        <v>13</v>
      </c>
      <c r="E5238" s="2"/>
      <c r="F5238" s="2"/>
    </row>
    <row r="5239">
      <c r="A5239" s="2">
        <f>IFERROR(__xludf.DUMMYFUNCTION("""COMPUTED_VALUE"""),44825.0)</f>
        <v>44825</v>
      </c>
      <c r="B5239" s="2">
        <f>IFERROR(__xludf.DUMMYFUNCTION("""COMPUTED_VALUE"""),1.0)</f>
        <v>1</v>
      </c>
      <c r="C5239" s="2">
        <f>IFERROR(__xludf.DUMMYFUNCTION("""COMPUTED_VALUE"""),645.0)</f>
        <v>645</v>
      </c>
      <c r="D5239" s="3">
        <f>IFERROR(__xludf.DUMMYFUNCTION("""COMPUTED_VALUE"""),521.0)</f>
        <v>521</v>
      </c>
      <c r="E5239" s="2"/>
      <c r="F5239" s="2"/>
    </row>
    <row r="5240">
      <c r="A5240" s="2">
        <f>IFERROR(__xludf.DUMMYFUNCTION("""COMPUTED_VALUE"""),6875.0)</f>
        <v>6875</v>
      </c>
      <c r="B5240" s="2">
        <f>IFERROR(__xludf.DUMMYFUNCTION("""COMPUTED_VALUE"""),0.0)</f>
        <v>0</v>
      </c>
      <c r="C5240" s="2">
        <f>IFERROR(__xludf.DUMMYFUNCTION("""COMPUTED_VALUE"""),128.0)</f>
        <v>128</v>
      </c>
      <c r="D5240" s="3">
        <f>IFERROR(__xludf.DUMMYFUNCTION("""COMPUTED_VALUE"""),77.0)</f>
        <v>77</v>
      </c>
      <c r="E5240" s="2"/>
      <c r="F5240" s="2"/>
    </row>
    <row r="5241">
      <c r="A5241" s="2">
        <f>IFERROR(__xludf.DUMMYFUNCTION("""COMPUTED_VALUE"""),108981.0)</f>
        <v>108981</v>
      </c>
      <c r="B5241" s="2">
        <f>IFERROR(__xludf.DUMMYFUNCTION("""COMPUTED_VALUE"""),1.0)</f>
        <v>1</v>
      </c>
      <c r="C5241" s="2">
        <f>IFERROR(__xludf.DUMMYFUNCTION("""COMPUTED_VALUE"""),528.0)</f>
        <v>528</v>
      </c>
      <c r="D5241" s="3">
        <f>IFERROR(__xludf.DUMMYFUNCTION("""COMPUTED_VALUE"""),420.0)</f>
        <v>420</v>
      </c>
      <c r="E5241" s="2"/>
      <c r="F5241" s="2"/>
    </row>
    <row r="5242">
      <c r="A5242" s="2">
        <f>IFERROR(__xludf.DUMMYFUNCTION("""COMPUTED_VALUE"""),110931.0)</f>
        <v>110931</v>
      </c>
      <c r="B5242" s="2">
        <f>IFERROR(__xludf.DUMMYFUNCTION("""COMPUTED_VALUE"""),0.0)</f>
        <v>0</v>
      </c>
      <c r="C5242" s="2">
        <f>IFERROR(__xludf.DUMMYFUNCTION("""COMPUTED_VALUE"""),770.0)</f>
        <v>770</v>
      </c>
      <c r="D5242" s="3">
        <f>IFERROR(__xludf.DUMMYFUNCTION("""COMPUTED_VALUE"""),118.0)</f>
        <v>118</v>
      </c>
      <c r="E5242" s="2"/>
      <c r="F5242" s="2"/>
    </row>
    <row r="5243">
      <c r="A5243" s="2">
        <f>IFERROR(__xludf.DUMMYFUNCTION("""COMPUTED_VALUE"""),99037.0)</f>
        <v>99037</v>
      </c>
      <c r="B5243" s="2">
        <f>IFERROR(__xludf.DUMMYFUNCTION("""COMPUTED_VALUE"""),1.0)</f>
        <v>1</v>
      </c>
      <c r="C5243" s="2">
        <f>IFERROR(__xludf.DUMMYFUNCTION("""COMPUTED_VALUE"""),298.0)</f>
        <v>298</v>
      </c>
      <c r="D5243" s="3">
        <f>IFERROR(__xludf.DUMMYFUNCTION("""COMPUTED_VALUE"""),260.0)</f>
        <v>260</v>
      </c>
      <c r="E5243" s="2"/>
      <c r="F5243" s="2"/>
    </row>
    <row r="5244">
      <c r="A5244" s="2">
        <f>IFERROR(__xludf.DUMMYFUNCTION("""COMPUTED_VALUE"""),99096.0)</f>
        <v>99096</v>
      </c>
      <c r="B5244" s="2">
        <f>IFERROR(__xludf.DUMMYFUNCTION("""COMPUTED_VALUE"""),0.0)</f>
        <v>0</v>
      </c>
      <c r="C5244" s="2">
        <f>IFERROR(__xludf.DUMMYFUNCTION("""COMPUTED_VALUE"""),618.0)</f>
        <v>618</v>
      </c>
      <c r="D5244" s="3">
        <f>IFERROR(__xludf.DUMMYFUNCTION("""COMPUTED_VALUE"""),444.0)</f>
        <v>444</v>
      </c>
      <c r="E5244" s="2"/>
      <c r="F5244" s="2"/>
    </row>
    <row r="5245">
      <c r="A5245" s="2">
        <f>IFERROR(__xludf.DUMMYFUNCTION("""COMPUTED_VALUE"""),41986.0)</f>
        <v>41986</v>
      </c>
      <c r="B5245" s="2">
        <f>IFERROR(__xludf.DUMMYFUNCTION("""COMPUTED_VALUE"""),0.0)</f>
        <v>0</v>
      </c>
      <c r="C5245" s="2">
        <f>IFERROR(__xludf.DUMMYFUNCTION("""COMPUTED_VALUE"""),575.0)</f>
        <v>575</v>
      </c>
      <c r="D5245" s="3">
        <f>IFERROR(__xludf.DUMMYFUNCTION("""COMPUTED_VALUE"""),97.0)</f>
        <v>97</v>
      </c>
      <c r="E5245" s="2"/>
      <c r="F5245" s="2"/>
    </row>
    <row r="5246">
      <c r="A5246" s="2">
        <f>IFERROR(__xludf.DUMMYFUNCTION("""COMPUTED_VALUE"""),79430.0)</f>
        <v>79430</v>
      </c>
      <c r="B5246" s="2">
        <f>IFERROR(__xludf.DUMMYFUNCTION("""COMPUTED_VALUE"""),0.0)</f>
        <v>0</v>
      </c>
      <c r="C5246" s="2">
        <f>IFERROR(__xludf.DUMMYFUNCTION("""COMPUTED_VALUE"""),34.0)</f>
        <v>34</v>
      </c>
      <c r="D5246" s="3">
        <f>IFERROR(__xludf.DUMMYFUNCTION("""COMPUTED_VALUE"""),12.0)</f>
        <v>12</v>
      </c>
      <c r="E5246" s="2"/>
      <c r="F5246" s="2"/>
    </row>
    <row r="5247">
      <c r="A5247" s="2">
        <f>IFERROR(__xludf.DUMMYFUNCTION("""COMPUTED_VALUE"""),41921.0)</f>
        <v>41921</v>
      </c>
      <c r="B5247" s="2">
        <f>IFERROR(__xludf.DUMMYFUNCTION("""COMPUTED_VALUE"""),1.0)</f>
        <v>1</v>
      </c>
      <c r="C5247" s="2">
        <f>IFERROR(__xludf.DUMMYFUNCTION("""COMPUTED_VALUE"""),507.0)</f>
        <v>507</v>
      </c>
      <c r="D5247" s="3">
        <f>IFERROR(__xludf.DUMMYFUNCTION("""COMPUTED_VALUE"""),320.0)</f>
        <v>320</v>
      </c>
      <c r="E5247" s="2"/>
      <c r="F5247" s="2"/>
    </row>
    <row r="5248">
      <c r="A5248" s="2">
        <f>IFERROR(__xludf.DUMMYFUNCTION("""COMPUTED_VALUE"""),41910.0)</f>
        <v>41910</v>
      </c>
      <c r="B5248" s="2">
        <f>IFERROR(__xludf.DUMMYFUNCTION("""COMPUTED_VALUE"""),1.0)</f>
        <v>1</v>
      </c>
      <c r="C5248" s="2">
        <f>IFERROR(__xludf.DUMMYFUNCTION("""COMPUTED_VALUE"""),422.0)</f>
        <v>422</v>
      </c>
      <c r="D5248" s="3">
        <f>IFERROR(__xludf.DUMMYFUNCTION("""COMPUTED_VALUE"""),363.0)</f>
        <v>363</v>
      </c>
      <c r="E5248" s="2"/>
      <c r="F5248" s="2"/>
    </row>
    <row r="5249">
      <c r="A5249" s="2">
        <f>IFERROR(__xludf.DUMMYFUNCTION("""COMPUTED_VALUE"""),11069.0)</f>
        <v>11069</v>
      </c>
      <c r="B5249" s="2">
        <f>IFERROR(__xludf.DUMMYFUNCTION("""COMPUTED_VALUE"""),1.0)</f>
        <v>1</v>
      </c>
      <c r="C5249" s="2">
        <f>IFERROR(__xludf.DUMMYFUNCTION("""COMPUTED_VALUE"""),44.0)</f>
        <v>44</v>
      </c>
      <c r="D5249" s="3">
        <f>IFERROR(__xludf.DUMMYFUNCTION("""COMPUTED_VALUE"""),16.0)</f>
        <v>16</v>
      </c>
      <c r="E5249" s="2"/>
      <c r="F5249" s="2"/>
    </row>
    <row r="5250">
      <c r="A5250" s="2">
        <f>IFERROR(__xludf.DUMMYFUNCTION("""COMPUTED_VALUE"""),41924.0)</f>
        <v>41924</v>
      </c>
      <c r="B5250" s="2">
        <f>IFERROR(__xludf.DUMMYFUNCTION("""COMPUTED_VALUE"""),1.0)</f>
        <v>1</v>
      </c>
      <c r="C5250" s="2">
        <f>IFERROR(__xludf.DUMMYFUNCTION("""COMPUTED_VALUE"""),342.0)</f>
        <v>342</v>
      </c>
      <c r="D5250" s="3">
        <f>IFERROR(__xludf.DUMMYFUNCTION("""COMPUTED_VALUE"""),167.0)</f>
        <v>167</v>
      </c>
      <c r="E5250" s="2"/>
      <c r="F5250" s="2"/>
    </row>
    <row r="5251">
      <c r="A5251" s="2">
        <f>IFERROR(__xludf.DUMMYFUNCTION("""COMPUTED_VALUE"""),133913.0)</f>
        <v>133913</v>
      </c>
      <c r="B5251" s="2">
        <f>IFERROR(__xludf.DUMMYFUNCTION("""COMPUTED_VALUE"""),0.0)</f>
        <v>0</v>
      </c>
      <c r="C5251" s="2">
        <f>IFERROR(__xludf.DUMMYFUNCTION("""COMPUTED_VALUE"""),377.0)</f>
        <v>377</v>
      </c>
      <c r="D5251" s="3">
        <f>IFERROR(__xludf.DUMMYFUNCTION("""COMPUTED_VALUE"""),121.0)</f>
        <v>121</v>
      </c>
      <c r="E5251" s="2"/>
      <c r="F5251" s="2"/>
    </row>
    <row r="5252">
      <c r="A5252" s="2">
        <f>IFERROR(__xludf.DUMMYFUNCTION("""COMPUTED_VALUE"""),70422.0)</f>
        <v>70422</v>
      </c>
      <c r="B5252" s="2">
        <f>IFERROR(__xludf.DUMMYFUNCTION("""COMPUTED_VALUE"""),1.0)</f>
        <v>1</v>
      </c>
      <c r="C5252" s="2">
        <f>IFERROR(__xludf.DUMMYFUNCTION("""COMPUTED_VALUE"""),901.0)</f>
        <v>901</v>
      </c>
      <c r="D5252" s="3">
        <f>IFERROR(__xludf.DUMMYFUNCTION("""COMPUTED_VALUE"""),707.0)</f>
        <v>707</v>
      </c>
      <c r="E5252" s="2"/>
      <c r="F5252" s="2"/>
    </row>
    <row r="5253">
      <c r="A5253" s="2">
        <f>IFERROR(__xludf.DUMMYFUNCTION("""COMPUTED_VALUE"""),17812.0)</f>
        <v>17812</v>
      </c>
      <c r="B5253" s="2">
        <f>IFERROR(__xludf.DUMMYFUNCTION("""COMPUTED_VALUE"""),1.0)</f>
        <v>1</v>
      </c>
      <c r="C5253" s="2">
        <f>IFERROR(__xludf.DUMMYFUNCTION("""COMPUTED_VALUE"""),946.0)</f>
        <v>946</v>
      </c>
      <c r="D5253" s="3">
        <f>IFERROR(__xludf.DUMMYFUNCTION("""COMPUTED_VALUE"""),920.0)</f>
        <v>920</v>
      </c>
      <c r="E5253" s="2"/>
      <c r="F5253" s="2"/>
    </row>
    <row r="5254">
      <c r="A5254" s="2">
        <f>IFERROR(__xludf.DUMMYFUNCTION("""COMPUTED_VALUE"""),70429.0)</f>
        <v>70429</v>
      </c>
      <c r="B5254" s="2">
        <f>IFERROR(__xludf.DUMMYFUNCTION("""COMPUTED_VALUE"""),0.0)</f>
        <v>0</v>
      </c>
      <c r="C5254" s="2">
        <f>IFERROR(__xludf.DUMMYFUNCTION("""COMPUTED_VALUE"""),908.0)</f>
        <v>908</v>
      </c>
      <c r="D5254" s="3">
        <f>IFERROR(__xludf.DUMMYFUNCTION("""COMPUTED_VALUE"""),505.0)</f>
        <v>505</v>
      </c>
      <c r="E5254" s="2"/>
      <c r="F5254" s="2"/>
    </row>
    <row r="5255">
      <c r="A5255" s="2">
        <f>IFERROR(__xludf.DUMMYFUNCTION("""COMPUTED_VALUE"""),70428.0)</f>
        <v>70428</v>
      </c>
      <c r="B5255" s="2">
        <f>IFERROR(__xludf.DUMMYFUNCTION("""COMPUTED_VALUE"""),1.0)</f>
        <v>1</v>
      </c>
      <c r="C5255" s="2">
        <f>IFERROR(__xludf.DUMMYFUNCTION("""COMPUTED_VALUE"""),633.0)</f>
        <v>633</v>
      </c>
      <c r="D5255" s="3">
        <f>IFERROR(__xludf.DUMMYFUNCTION("""COMPUTED_VALUE"""),357.0)</f>
        <v>357</v>
      </c>
      <c r="E5255" s="2"/>
      <c r="F5255" s="2"/>
    </row>
    <row r="5256">
      <c r="A5256" s="2">
        <f>IFERROR(__xludf.DUMMYFUNCTION("""COMPUTED_VALUE"""),99038.0)</f>
        <v>99038</v>
      </c>
      <c r="B5256" s="2">
        <f>IFERROR(__xludf.DUMMYFUNCTION("""COMPUTED_VALUE"""),0.0)</f>
        <v>0</v>
      </c>
      <c r="C5256" s="2">
        <f>IFERROR(__xludf.DUMMYFUNCTION("""COMPUTED_VALUE"""),89.0)</f>
        <v>89</v>
      </c>
      <c r="D5256" s="3">
        <f>IFERROR(__xludf.DUMMYFUNCTION("""COMPUTED_VALUE"""),12.0)</f>
        <v>12</v>
      </c>
      <c r="E5256" s="2"/>
      <c r="F5256" s="2"/>
    </row>
    <row r="5257">
      <c r="A5257" s="2">
        <f>IFERROR(__xludf.DUMMYFUNCTION("""COMPUTED_VALUE"""),11071.0)</f>
        <v>11071</v>
      </c>
      <c r="B5257" s="2">
        <f>IFERROR(__xludf.DUMMYFUNCTION("""COMPUTED_VALUE"""),0.0)</f>
        <v>0</v>
      </c>
      <c r="C5257" s="2">
        <f>IFERROR(__xludf.DUMMYFUNCTION("""COMPUTED_VALUE"""),76.0)</f>
        <v>76</v>
      </c>
      <c r="D5257" s="3">
        <f>IFERROR(__xludf.DUMMYFUNCTION("""COMPUTED_VALUE"""),47.0)</f>
        <v>47</v>
      </c>
      <c r="E5257" s="2"/>
      <c r="F5257" s="2"/>
    </row>
    <row r="5258">
      <c r="A5258" s="2">
        <f>IFERROR(__xludf.DUMMYFUNCTION("""COMPUTED_VALUE"""),17066.0)</f>
        <v>17066</v>
      </c>
      <c r="B5258" s="2">
        <f>IFERROR(__xludf.DUMMYFUNCTION("""COMPUTED_VALUE"""),0.0)</f>
        <v>0</v>
      </c>
      <c r="C5258" s="2">
        <f>IFERROR(__xludf.DUMMYFUNCTION("""COMPUTED_VALUE"""),153.0)</f>
        <v>153</v>
      </c>
      <c r="D5258" s="3">
        <f>IFERROR(__xludf.DUMMYFUNCTION("""COMPUTED_VALUE"""),70.0)</f>
        <v>70</v>
      </c>
      <c r="E5258" s="2"/>
      <c r="F5258" s="2"/>
    </row>
    <row r="5259">
      <c r="A5259" s="2">
        <f>IFERROR(__xludf.DUMMYFUNCTION("""COMPUTED_VALUE"""),117649.0)</f>
        <v>117649</v>
      </c>
      <c r="B5259" s="2">
        <f>IFERROR(__xludf.DUMMYFUNCTION("""COMPUTED_VALUE"""),0.0)</f>
        <v>0</v>
      </c>
      <c r="C5259" s="2">
        <f>IFERROR(__xludf.DUMMYFUNCTION("""COMPUTED_VALUE"""),228.0)</f>
        <v>228</v>
      </c>
      <c r="D5259" s="3">
        <f>IFERROR(__xludf.DUMMYFUNCTION("""COMPUTED_VALUE"""),211.0)</f>
        <v>211</v>
      </c>
      <c r="E5259" s="2"/>
      <c r="F5259" s="2"/>
    </row>
    <row r="5260">
      <c r="A5260" s="2">
        <f>IFERROR(__xludf.DUMMYFUNCTION("""COMPUTED_VALUE"""),70426.0)</f>
        <v>70426</v>
      </c>
      <c r="B5260" s="2">
        <f>IFERROR(__xludf.DUMMYFUNCTION("""COMPUTED_VALUE"""),0.0)</f>
        <v>0</v>
      </c>
      <c r="C5260" s="2">
        <f>IFERROR(__xludf.DUMMYFUNCTION("""COMPUTED_VALUE"""),584.0)</f>
        <v>584</v>
      </c>
      <c r="D5260" s="3">
        <f>IFERROR(__xludf.DUMMYFUNCTION("""COMPUTED_VALUE"""),227.0)</f>
        <v>227</v>
      </c>
      <c r="E5260" s="2"/>
      <c r="F5260" s="2"/>
    </row>
    <row r="5261">
      <c r="A5261" s="2">
        <f>IFERROR(__xludf.DUMMYFUNCTION("""COMPUTED_VALUE"""),75750.0)</f>
        <v>75750</v>
      </c>
      <c r="B5261" s="2">
        <f>IFERROR(__xludf.DUMMYFUNCTION("""COMPUTED_VALUE"""),1.0)</f>
        <v>1</v>
      </c>
      <c r="C5261" s="2">
        <f>IFERROR(__xludf.DUMMYFUNCTION("""COMPUTED_VALUE"""),893.0)</f>
        <v>893</v>
      </c>
      <c r="D5261" s="3">
        <f>IFERROR(__xludf.DUMMYFUNCTION("""COMPUTED_VALUE"""),259.0)</f>
        <v>259</v>
      </c>
      <c r="E5261" s="2"/>
      <c r="F5261" s="2"/>
    </row>
    <row r="5262">
      <c r="A5262" s="2">
        <f>IFERROR(__xludf.DUMMYFUNCTION("""COMPUTED_VALUE"""),117644.0)</f>
        <v>117644</v>
      </c>
      <c r="B5262" s="2">
        <f>IFERROR(__xludf.DUMMYFUNCTION("""COMPUTED_VALUE"""),0.0)</f>
        <v>0</v>
      </c>
      <c r="C5262" s="2">
        <f>IFERROR(__xludf.DUMMYFUNCTION("""COMPUTED_VALUE"""),909.0)</f>
        <v>909</v>
      </c>
      <c r="D5262" s="3">
        <f>IFERROR(__xludf.DUMMYFUNCTION("""COMPUTED_VALUE"""),165.0)</f>
        <v>165</v>
      </c>
      <c r="E5262" s="2"/>
      <c r="F5262" s="2"/>
    </row>
    <row r="5263">
      <c r="A5263" s="2">
        <f>IFERROR(__xludf.DUMMYFUNCTION("""COMPUTED_VALUE"""),68512.0)</f>
        <v>68512</v>
      </c>
      <c r="B5263" s="2">
        <f>IFERROR(__xludf.DUMMYFUNCTION("""COMPUTED_VALUE"""),1.0)</f>
        <v>1</v>
      </c>
      <c r="C5263" s="2">
        <f>IFERROR(__xludf.DUMMYFUNCTION("""COMPUTED_VALUE"""),539.0)</f>
        <v>539</v>
      </c>
      <c r="D5263" s="3">
        <f>IFERROR(__xludf.DUMMYFUNCTION("""COMPUTED_VALUE"""),333.0)</f>
        <v>333</v>
      </c>
      <c r="E5263" s="2"/>
      <c r="F5263" s="2"/>
    </row>
    <row r="5264">
      <c r="A5264" s="2">
        <f>IFERROR(__xludf.DUMMYFUNCTION("""COMPUTED_VALUE"""),12792.0)</f>
        <v>12792</v>
      </c>
      <c r="B5264" s="2">
        <f>IFERROR(__xludf.DUMMYFUNCTION("""COMPUTED_VALUE"""),0.0)</f>
        <v>0</v>
      </c>
      <c r="C5264" s="2">
        <f>IFERROR(__xludf.DUMMYFUNCTION("""COMPUTED_VALUE"""),330.0)</f>
        <v>330</v>
      </c>
      <c r="D5264" s="3">
        <f>IFERROR(__xludf.DUMMYFUNCTION("""COMPUTED_VALUE"""),31.0)</f>
        <v>31</v>
      </c>
      <c r="E5264" s="2"/>
      <c r="F5264" s="2"/>
    </row>
    <row r="5265">
      <c r="A5265" s="2">
        <f>IFERROR(__xludf.DUMMYFUNCTION("""COMPUTED_VALUE"""),46684.0)</f>
        <v>46684</v>
      </c>
      <c r="B5265" s="2">
        <f>IFERROR(__xludf.DUMMYFUNCTION("""COMPUTED_VALUE"""),1.0)</f>
        <v>1</v>
      </c>
      <c r="C5265" s="2">
        <f>IFERROR(__xludf.DUMMYFUNCTION("""COMPUTED_VALUE"""),469.0)</f>
        <v>469</v>
      </c>
      <c r="D5265" s="3">
        <f>IFERROR(__xludf.DUMMYFUNCTION("""COMPUTED_VALUE"""),170.0)</f>
        <v>170</v>
      </c>
      <c r="E5265" s="2"/>
      <c r="F5265" s="2"/>
    </row>
    <row r="5266">
      <c r="A5266" s="2">
        <f>IFERROR(__xludf.DUMMYFUNCTION("""COMPUTED_VALUE"""),12795.0)</f>
        <v>12795</v>
      </c>
      <c r="B5266" s="2">
        <f>IFERROR(__xludf.DUMMYFUNCTION("""COMPUTED_VALUE"""),0.0)</f>
        <v>0</v>
      </c>
      <c r="C5266" s="2">
        <f>IFERROR(__xludf.DUMMYFUNCTION("""COMPUTED_VALUE"""),645.0)</f>
        <v>645</v>
      </c>
      <c r="D5266" s="3">
        <f>IFERROR(__xludf.DUMMYFUNCTION("""COMPUTED_VALUE"""),68.0)</f>
        <v>68</v>
      </c>
      <c r="E5266" s="2"/>
      <c r="F5266" s="2"/>
    </row>
    <row r="5267">
      <c r="A5267" s="2">
        <f>IFERROR(__xludf.DUMMYFUNCTION("""COMPUTED_VALUE"""),46686.0)</f>
        <v>46686</v>
      </c>
      <c r="B5267" s="2">
        <f>IFERROR(__xludf.DUMMYFUNCTION("""COMPUTED_VALUE"""),1.0)</f>
        <v>1</v>
      </c>
      <c r="C5267" s="2">
        <f>IFERROR(__xludf.DUMMYFUNCTION("""COMPUTED_VALUE"""),514.0)</f>
        <v>514</v>
      </c>
      <c r="D5267" s="3">
        <f>IFERROR(__xludf.DUMMYFUNCTION("""COMPUTED_VALUE"""),144.0)</f>
        <v>144</v>
      </c>
      <c r="E5267" s="2"/>
      <c r="F5267" s="2"/>
    </row>
    <row r="5268">
      <c r="A5268" s="2">
        <f>IFERROR(__xludf.DUMMYFUNCTION("""COMPUTED_VALUE"""),12804.0)</f>
        <v>12804</v>
      </c>
      <c r="B5268" s="2">
        <f>IFERROR(__xludf.DUMMYFUNCTION("""COMPUTED_VALUE"""),1.0)</f>
        <v>1</v>
      </c>
      <c r="C5268" s="2">
        <f>IFERROR(__xludf.DUMMYFUNCTION("""COMPUTED_VALUE"""),885.0)</f>
        <v>885</v>
      </c>
      <c r="D5268" s="3">
        <f>IFERROR(__xludf.DUMMYFUNCTION("""COMPUTED_VALUE"""),137.0)</f>
        <v>137</v>
      </c>
      <c r="E5268" s="2"/>
      <c r="F5268" s="2"/>
    </row>
    <row r="5269">
      <c r="A5269" s="2">
        <f>IFERROR(__xludf.DUMMYFUNCTION("""COMPUTED_VALUE"""),12799.0)</f>
        <v>12799</v>
      </c>
      <c r="B5269" s="2">
        <f>IFERROR(__xludf.DUMMYFUNCTION("""COMPUTED_VALUE"""),0.0)</f>
        <v>0</v>
      </c>
      <c r="C5269" s="2">
        <f>IFERROR(__xludf.DUMMYFUNCTION("""COMPUTED_VALUE"""),458.0)</f>
        <v>458</v>
      </c>
      <c r="D5269" s="3">
        <f>IFERROR(__xludf.DUMMYFUNCTION("""COMPUTED_VALUE"""),153.0)</f>
        <v>153</v>
      </c>
      <c r="E5269" s="2"/>
      <c r="F5269" s="2"/>
    </row>
    <row r="5270">
      <c r="A5270" s="2">
        <f>IFERROR(__xludf.DUMMYFUNCTION("""COMPUTED_VALUE"""),100914.0)</f>
        <v>100914</v>
      </c>
      <c r="B5270" s="2">
        <f>IFERROR(__xludf.DUMMYFUNCTION("""COMPUTED_VALUE"""),0.0)</f>
        <v>0</v>
      </c>
      <c r="C5270" s="2">
        <f>IFERROR(__xludf.DUMMYFUNCTION("""COMPUTED_VALUE"""),40.0)</f>
        <v>40</v>
      </c>
      <c r="D5270" s="3">
        <f>IFERROR(__xludf.DUMMYFUNCTION("""COMPUTED_VALUE"""),20.0)</f>
        <v>20</v>
      </c>
      <c r="E5270" s="2"/>
      <c r="F5270" s="2"/>
    </row>
    <row r="5271">
      <c r="A5271" s="2">
        <f>IFERROR(__xludf.DUMMYFUNCTION("""COMPUTED_VALUE"""),12802.0)</f>
        <v>12802</v>
      </c>
      <c r="B5271" s="2">
        <f>IFERROR(__xludf.DUMMYFUNCTION("""COMPUTED_VALUE"""),0.0)</f>
        <v>0</v>
      </c>
      <c r="C5271" s="2">
        <f>IFERROR(__xludf.DUMMYFUNCTION("""COMPUTED_VALUE"""),692.0)</f>
        <v>692</v>
      </c>
      <c r="D5271" s="3">
        <f>IFERROR(__xludf.DUMMYFUNCTION("""COMPUTED_VALUE"""),645.0)</f>
        <v>645</v>
      </c>
      <c r="E5271" s="2"/>
      <c r="F5271" s="2"/>
    </row>
    <row r="5272">
      <c r="A5272" s="2">
        <f>IFERROR(__xludf.DUMMYFUNCTION("""COMPUTED_VALUE"""),100907.0)</f>
        <v>100907</v>
      </c>
      <c r="B5272" s="2">
        <f>IFERROR(__xludf.DUMMYFUNCTION("""COMPUTED_VALUE"""),1.0)</f>
        <v>1</v>
      </c>
      <c r="C5272" s="2">
        <f>IFERROR(__xludf.DUMMYFUNCTION("""COMPUTED_VALUE"""),669.0)</f>
        <v>669</v>
      </c>
      <c r="D5272" s="3">
        <f>IFERROR(__xludf.DUMMYFUNCTION("""COMPUTED_VALUE"""),208.0)</f>
        <v>208</v>
      </c>
      <c r="E5272" s="2"/>
      <c r="F5272" s="2"/>
    </row>
    <row r="5273">
      <c r="A5273" s="2">
        <f>IFERROR(__xludf.DUMMYFUNCTION("""COMPUTED_VALUE"""),12794.0)</f>
        <v>12794</v>
      </c>
      <c r="B5273" s="2">
        <f>IFERROR(__xludf.DUMMYFUNCTION("""COMPUTED_VALUE"""),0.0)</f>
        <v>0</v>
      </c>
      <c r="C5273" s="2">
        <f>IFERROR(__xludf.DUMMYFUNCTION("""COMPUTED_VALUE"""),793.0)</f>
        <v>793</v>
      </c>
      <c r="D5273" s="3">
        <f>IFERROR(__xludf.DUMMYFUNCTION("""COMPUTED_VALUE"""),228.0)</f>
        <v>228</v>
      </c>
      <c r="E5273" s="2"/>
      <c r="F5273" s="2"/>
    </row>
    <row r="5274">
      <c r="A5274" s="2">
        <f>IFERROR(__xludf.DUMMYFUNCTION("""COMPUTED_VALUE"""),4261.0)</f>
        <v>4261</v>
      </c>
      <c r="B5274" s="2">
        <f>IFERROR(__xludf.DUMMYFUNCTION("""COMPUTED_VALUE"""),1.0)</f>
        <v>1</v>
      </c>
      <c r="C5274" s="2">
        <f>IFERROR(__xludf.DUMMYFUNCTION("""COMPUTED_VALUE"""),846.0)</f>
        <v>846</v>
      </c>
      <c r="D5274" s="3">
        <f>IFERROR(__xludf.DUMMYFUNCTION("""COMPUTED_VALUE"""),241.0)</f>
        <v>241</v>
      </c>
      <c r="E5274" s="2"/>
      <c r="F5274" s="2"/>
    </row>
    <row r="5275">
      <c r="A5275" s="2">
        <f>IFERROR(__xludf.DUMMYFUNCTION("""COMPUTED_VALUE"""),9656.0)</f>
        <v>9656</v>
      </c>
      <c r="B5275" s="2">
        <f>IFERROR(__xludf.DUMMYFUNCTION("""COMPUTED_VALUE"""),1.0)</f>
        <v>1</v>
      </c>
      <c r="C5275" s="2">
        <f>IFERROR(__xludf.DUMMYFUNCTION("""COMPUTED_VALUE"""),497.0)</f>
        <v>497</v>
      </c>
      <c r="D5275" s="3">
        <f>IFERROR(__xludf.DUMMYFUNCTION("""COMPUTED_VALUE"""),382.0)</f>
        <v>382</v>
      </c>
      <c r="E5275" s="2"/>
      <c r="F5275" s="2"/>
    </row>
    <row r="5276">
      <c r="A5276" s="2">
        <f>IFERROR(__xludf.DUMMYFUNCTION("""COMPUTED_VALUE"""),9657.0)</f>
        <v>9657</v>
      </c>
      <c r="B5276" s="2">
        <f>IFERROR(__xludf.DUMMYFUNCTION("""COMPUTED_VALUE"""),1.0)</f>
        <v>1</v>
      </c>
      <c r="C5276" s="2">
        <f>IFERROR(__xludf.DUMMYFUNCTION("""COMPUTED_VALUE"""),606.0)</f>
        <v>606</v>
      </c>
      <c r="D5276" s="3">
        <f>IFERROR(__xludf.DUMMYFUNCTION("""COMPUTED_VALUE"""),298.0)</f>
        <v>298</v>
      </c>
      <c r="E5276" s="2"/>
      <c r="F5276" s="2"/>
    </row>
    <row r="5277">
      <c r="A5277" s="2">
        <f>IFERROR(__xludf.DUMMYFUNCTION("""COMPUTED_VALUE"""),9660.0)</f>
        <v>9660</v>
      </c>
      <c r="B5277" s="2">
        <f>IFERROR(__xludf.DUMMYFUNCTION("""COMPUTED_VALUE"""),0.0)</f>
        <v>0</v>
      </c>
      <c r="C5277" s="2">
        <f>IFERROR(__xludf.DUMMYFUNCTION("""COMPUTED_VALUE"""),768.0)</f>
        <v>768</v>
      </c>
      <c r="D5277" s="3">
        <f>IFERROR(__xludf.DUMMYFUNCTION("""COMPUTED_VALUE"""),642.0)</f>
        <v>642</v>
      </c>
      <c r="E5277" s="2"/>
      <c r="F5277" s="2"/>
    </row>
    <row r="5278">
      <c r="A5278" s="2">
        <f>IFERROR(__xludf.DUMMYFUNCTION("""COMPUTED_VALUE"""),9648.0)</f>
        <v>9648</v>
      </c>
      <c r="B5278" s="2">
        <f>IFERROR(__xludf.DUMMYFUNCTION("""COMPUTED_VALUE"""),0.0)</f>
        <v>0</v>
      </c>
      <c r="C5278" s="2">
        <f>IFERROR(__xludf.DUMMYFUNCTION("""COMPUTED_VALUE"""),963.0)</f>
        <v>963</v>
      </c>
      <c r="D5278" s="3">
        <f>IFERROR(__xludf.DUMMYFUNCTION("""COMPUTED_VALUE"""),189.0)</f>
        <v>189</v>
      </c>
      <c r="E5278" s="2"/>
      <c r="F5278" s="2"/>
    </row>
    <row r="5279">
      <c r="A5279" s="2">
        <f>IFERROR(__xludf.DUMMYFUNCTION("""COMPUTED_VALUE"""),79424.0)</f>
        <v>79424</v>
      </c>
      <c r="B5279" s="2">
        <f>IFERROR(__xludf.DUMMYFUNCTION("""COMPUTED_VALUE"""),0.0)</f>
        <v>0</v>
      </c>
      <c r="C5279" s="2">
        <f>IFERROR(__xludf.DUMMYFUNCTION("""COMPUTED_VALUE"""),8.0)</f>
        <v>8</v>
      </c>
      <c r="D5279" s="3">
        <f>IFERROR(__xludf.DUMMYFUNCTION("""COMPUTED_VALUE"""),7.0)</f>
        <v>7</v>
      </c>
      <c r="E5279" s="2"/>
      <c r="F5279" s="2"/>
    </row>
    <row r="5280">
      <c r="A5280" s="2">
        <f>IFERROR(__xludf.DUMMYFUNCTION("""COMPUTED_VALUE"""),4267.0)</f>
        <v>4267</v>
      </c>
      <c r="B5280" s="2">
        <f>IFERROR(__xludf.DUMMYFUNCTION("""COMPUTED_VALUE"""),0.0)</f>
        <v>0</v>
      </c>
      <c r="C5280" s="2">
        <f>IFERROR(__xludf.DUMMYFUNCTION("""COMPUTED_VALUE"""),450.0)</f>
        <v>450</v>
      </c>
      <c r="D5280" s="3">
        <f>IFERROR(__xludf.DUMMYFUNCTION("""COMPUTED_VALUE"""),86.0)</f>
        <v>86</v>
      </c>
      <c r="E5280" s="2"/>
      <c r="F5280" s="2"/>
    </row>
    <row r="5281">
      <c r="A5281" s="2">
        <f>IFERROR(__xludf.DUMMYFUNCTION("""COMPUTED_VALUE"""),9647.0)</f>
        <v>9647</v>
      </c>
      <c r="B5281" s="2">
        <f>IFERROR(__xludf.DUMMYFUNCTION("""COMPUTED_VALUE"""),0.0)</f>
        <v>0</v>
      </c>
      <c r="C5281" s="2">
        <f>IFERROR(__xludf.DUMMYFUNCTION("""COMPUTED_VALUE"""),203.0)</f>
        <v>203</v>
      </c>
      <c r="D5281" s="3">
        <f>IFERROR(__xludf.DUMMYFUNCTION("""COMPUTED_VALUE"""),24.0)</f>
        <v>24</v>
      </c>
      <c r="E5281" s="2"/>
      <c r="F5281" s="2"/>
    </row>
    <row r="5282">
      <c r="A5282" s="2">
        <f>IFERROR(__xludf.DUMMYFUNCTION("""COMPUTED_VALUE"""),110772.0)</f>
        <v>110772</v>
      </c>
      <c r="B5282" s="2">
        <f>IFERROR(__xludf.DUMMYFUNCTION("""COMPUTED_VALUE"""),0.0)</f>
        <v>0</v>
      </c>
      <c r="C5282" s="2">
        <f>IFERROR(__xludf.DUMMYFUNCTION("""COMPUTED_VALUE"""),43.0)</f>
        <v>43</v>
      </c>
      <c r="D5282" s="3">
        <f>IFERROR(__xludf.DUMMYFUNCTION("""COMPUTED_VALUE"""),19.0)</f>
        <v>19</v>
      </c>
      <c r="E5282" s="2"/>
      <c r="F5282" s="2"/>
    </row>
    <row r="5283">
      <c r="A5283" s="2">
        <f>IFERROR(__xludf.DUMMYFUNCTION("""COMPUTED_VALUE"""),4255.0)</f>
        <v>4255</v>
      </c>
      <c r="B5283" s="2">
        <f>IFERROR(__xludf.DUMMYFUNCTION("""COMPUTED_VALUE"""),1.0)</f>
        <v>1</v>
      </c>
      <c r="C5283" s="2">
        <f>IFERROR(__xludf.DUMMYFUNCTION("""COMPUTED_VALUE"""),690.0)</f>
        <v>690</v>
      </c>
      <c r="D5283" s="3">
        <f>IFERROR(__xludf.DUMMYFUNCTION("""COMPUTED_VALUE"""),290.0)</f>
        <v>290</v>
      </c>
      <c r="E5283" s="2"/>
      <c r="F5283" s="2"/>
    </row>
    <row r="5284">
      <c r="A5284" s="2">
        <f>IFERROR(__xludf.DUMMYFUNCTION("""COMPUTED_VALUE"""),4270.0)</f>
        <v>4270</v>
      </c>
      <c r="B5284" s="2">
        <f>IFERROR(__xludf.DUMMYFUNCTION("""COMPUTED_VALUE"""),0.0)</f>
        <v>0</v>
      </c>
      <c r="C5284" s="2">
        <f>IFERROR(__xludf.DUMMYFUNCTION("""COMPUTED_VALUE"""),714.0)</f>
        <v>714</v>
      </c>
      <c r="D5284" s="3">
        <f>IFERROR(__xludf.DUMMYFUNCTION("""COMPUTED_VALUE"""),61.0)</f>
        <v>61</v>
      </c>
      <c r="E5284" s="2"/>
      <c r="F5284" s="2"/>
    </row>
    <row r="5285">
      <c r="A5285" s="2">
        <f>IFERROR(__xludf.DUMMYFUNCTION("""COMPUTED_VALUE"""),4264.0)</f>
        <v>4264</v>
      </c>
      <c r="B5285" s="2">
        <f>IFERROR(__xludf.DUMMYFUNCTION("""COMPUTED_VALUE"""),1.0)</f>
        <v>1</v>
      </c>
      <c r="C5285" s="2">
        <f>IFERROR(__xludf.DUMMYFUNCTION("""COMPUTED_VALUE"""),316.0)</f>
        <v>316</v>
      </c>
      <c r="D5285" s="3">
        <f>IFERROR(__xludf.DUMMYFUNCTION("""COMPUTED_VALUE"""),60.0)</f>
        <v>60</v>
      </c>
      <c r="E5285" s="2"/>
      <c r="F5285" s="2"/>
    </row>
    <row r="5286">
      <c r="A5286" s="2">
        <f>IFERROR(__xludf.DUMMYFUNCTION("""COMPUTED_VALUE"""),4271.0)</f>
        <v>4271</v>
      </c>
      <c r="B5286" s="2">
        <f>IFERROR(__xludf.DUMMYFUNCTION("""COMPUTED_VALUE"""),1.0)</f>
        <v>1</v>
      </c>
      <c r="C5286" s="2">
        <f>IFERROR(__xludf.DUMMYFUNCTION("""COMPUTED_VALUE"""),783.0)</f>
        <v>783</v>
      </c>
      <c r="D5286" s="3">
        <f>IFERROR(__xludf.DUMMYFUNCTION("""COMPUTED_VALUE"""),386.0)</f>
        <v>386</v>
      </c>
      <c r="E5286" s="2"/>
      <c r="F5286" s="2"/>
    </row>
    <row r="5287">
      <c r="A5287" s="2">
        <f>IFERROR(__xludf.DUMMYFUNCTION("""COMPUTED_VALUE"""),79428.0)</f>
        <v>79428</v>
      </c>
      <c r="B5287" s="2">
        <f>IFERROR(__xludf.DUMMYFUNCTION("""COMPUTED_VALUE"""),1.0)</f>
        <v>1</v>
      </c>
      <c r="C5287" s="2">
        <f>IFERROR(__xludf.DUMMYFUNCTION("""COMPUTED_VALUE"""),773.0)</f>
        <v>773</v>
      </c>
      <c r="D5287" s="3">
        <f>IFERROR(__xludf.DUMMYFUNCTION("""COMPUTED_VALUE"""),604.0)</f>
        <v>604</v>
      </c>
      <c r="E5287" s="2"/>
      <c r="F5287" s="2"/>
    </row>
    <row r="5288">
      <c r="A5288" s="2">
        <f>IFERROR(__xludf.DUMMYFUNCTION("""COMPUTED_VALUE"""),68509.0)</f>
        <v>68509</v>
      </c>
      <c r="B5288" s="2">
        <f>IFERROR(__xludf.DUMMYFUNCTION("""COMPUTED_VALUE"""),1.0)</f>
        <v>1</v>
      </c>
      <c r="C5288" s="2">
        <f>IFERROR(__xludf.DUMMYFUNCTION("""COMPUTED_VALUE"""),905.0)</f>
        <v>905</v>
      </c>
      <c r="D5288" s="3">
        <f>IFERROR(__xludf.DUMMYFUNCTION("""COMPUTED_VALUE"""),442.0)</f>
        <v>442</v>
      </c>
      <c r="E5288" s="2"/>
      <c r="F5288" s="2"/>
    </row>
    <row r="5289">
      <c r="A5289" s="2">
        <f>IFERROR(__xludf.DUMMYFUNCTION("""COMPUTED_VALUE"""),112104.0)</f>
        <v>112104</v>
      </c>
      <c r="B5289" s="2">
        <f>IFERROR(__xludf.DUMMYFUNCTION("""COMPUTED_VALUE"""),0.0)</f>
        <v>0</v>
      </c>
      <c r="C5289" s="2">
        <f>IFERROR(__xludf.DUMMYFUNCTION("""COMPUTED_VALUE"""),821.0)</f>
        <v>821</v>
      </c>
      <c r="D5289" s="3">
        <f>IFERROR(__xludf.DUMMYFUNCTION("""COMPUTED_VALUE"""),207.0)</f>
        <v>207</v>
      </c>
      <c r="E5289" s="2"/>
      <c r="F5289" s="2"/>
    </row>
    <row r="5290">
      <c r="A5290" s="2">
        <f>IFERROR(__xludf.DUMMYFUNCTION("""COMPUTED_VALUE"""),79885.0)</f>
        <v>79885</v>
      </c>
      <c r="B5290" s="2">
        <f>IFERROR(__xludf.DUMMYFUNCTION("""COMPUTED_VALUE"""),0.0)</f>
        <v>0</v>
      </c>
      <c r="C5290" s="2">
        <f>IFERROR(__xludf.DUMMYFUNCTION("""COMPUTED_VALUE"""),901.0)</f>
        <v>901</v>
      </c>
      <c r="D5290" s="3">
        <f>IFERROR(__xludf.DUMMYFUNCTION("""COMPUTED_VALUE"""),463.0)</f>
        <v>463</v>
      </c>
      <c r="E5290" s="2"/>
      <c r="F5290" s="2"/>
    </row>
    <row r="5291">
      <c r="A5291" s="2">
        <f>IFERROR(__xludf.DUMMYFUNCTION("""COMPUTED_VALUE"""),6876.0)</f>
        <v>6876</v>
      </c>
      <c r="B5291" s="2">
        <f>IFERROR(__xludf.DUMMYFUNCTION("""COMPUTED_VALUE"""),1.0)</f>
        <v>1</v>
      </c>
      <c r="C5291" s="2">
        <f>IFERROR(__xludf.DUMMYFUNCTION("""COMPUTED_VALUE"""),706.0)</f>
        <v>706</v>
      </c>
      <c r="D5291" s="3">
        <f>IFERROR(__xludf.DUMMYFUNCTION("""COMPUTED_VALUE"""),666.0)</f>
        <v>666</v>
      </c>
      <c r="E5291" s="2"/>
      <c r="F5291" s="2"/>
    </row>
    <row r="5292">
      <c r="A5292" s="2">
        <f>IFERROR(__xludf.DUMMYFUNCTION("""COMPUTED_VALUE"""),79427.0)</f>
        <v>79427</v>
      </c>
      <c r="B5292" s="2">
        <f>IFERROR(__xludf.DUMMYFUNCTION("""COMPUTED_VALUE"""),1.0)</f>
        <v>1</v>
      </c>
      <c r="C5292" s="2">
        <f>IFERROR(__xludf.DUMMYFUNCTION("""COMPUTED_VALUE"""),630.0)</f>
        <v>630</v>
      </c>
      <c r="D5292" s="3">
        <f>IFERROR(__xludf.DUMMYFUNCTION("""COMPUTED_VALUE"""),75.0)</f>
        <v>75</v>
      </c>
      <c r="E5292" s="2"/>
      <c r="F5292" s="2"/>
    </row>
    <row r="5293">
      <c r="A5293" s="2">
        <f>IFERROR(__xludf.DUMMYFUNCTION("""COMPUTED_VALUE"""),44828.0)</f>
        <v>44828</v>
      </c>
      <c r="B5293" s="2">
        <f>IFERROR(__xludf.DUMMYFUNCTION("""COMPUTED_VALUE"""),1.0)</f>
        <v>1</v>
      </c>
      <c r="C5293" s="2">
        <f>IFERROR(__xludf.DUMMYFUNCTION("""COMPUTED_VALUE"""),783.0)</f>
        <v>783</v>
      </c>
      <c r="D5293" s="3">
        <f>IFERROR(__xludf.DUMMYFUNCTION("""COMPUTED_VALUE"""),376.0)</f>
        <v>376</v>
      </c>
      <c r="E5293" s="2"/>
      <c r="F5293" s="2"/>
    </row>
    <row r="5294">
      <c r="A5294" s="2">
        <f>IFERROR(__xludf.DUMMYFUNCTION("""COMPUTED_VALUE"""),122213.0)</f>
        <v>122213</v>
      </c>
      <c r="B5294" s="2">
        <f>IFERROR(__xludf.DUMMYFUNCTION("""COMPUTED_VALUE"""),0.0)</f>
        <v>0</v>
      </c>
      <c r="C5294" s="2">
        <f>IFERROR(__xludf.DUMMYFUNCTION("""COMPUTED_VALUE"""),687.0)</f>
        <v>687</v>
      </c>
      <c r="D5294" s="3">
        <f>IFERROR(__xludf.DUMMYFUNCTION("""COMPUTED_VALUE"""),284.0)</f>
        <v>284</v>
      </c>
      <c r="E5294" s="2"/>
      <c r="F5294" s="2"/>
    </row>
    <row r="5295">
      <c r="A5295" s="2">
        <f>IFERROR(__xludf.DUMMYFUNCTION("""COMPUTED_VALUE"""),46903.0)</f>
        <v>46903</v>
      </c>
      <c r="B5295" s="2">
        <f>IFERROR(__xludf.DUMMYFUNCTION("""COMPUTED_VALUE"""),0.0)</f>
        <v>0</v>
      </c>
      <c r="C5295" s="2">
        <f>IFERROR(__xludf.DUMMYFUNCTION("""COMPUTED_VALUE"""),238.0)</f>
        <v>238</v>
      </c>
      <c r="D5295" s="3">
        <f>IFERROR(__xludf.DUMMYFUNCTION("""COMPUTED_VALUE"""),88.0)</f>
        <v>88</v>
      </c>
      <c r="E5295" s="2"/>
      <c r="F5295" s="2"/>
    </row>
    <row r="5296">
      <c r="A5296" s="2">
        <f>IFERROR(__xludf.DUMMYFUNCTION("""COMPUTED_VALUE"""),80359.0)</f>
        <v>80359</v>
      </c>
      <c r="B5296" s="2">
        <f>IFERROR(__xludf.DUMMYFUNCTION("""COMPUTED_VALUE"""),1.0)</f>
        <v>1</v>
      </c>
      <c r="C5296" s="2">
        <f>IFERROR(__xludf.DUMMYFUNCTION("""COMPUTED_VALUE"""),806.0)</f>
        <v>806</v>
      </c>
      <c r="D5296" s="3">
        <f>IFERROR(__xludf.DUMMYFUNCTION("""COMPUTED_VALUE"""),728.0)</f>
        <v>728</v>
      </c>
      <c r="E5296" s="2"/>
      <c r="F5296" s="2"/>
    </row>
    <row r="5297">
      <c r="A5297" s="2">
        <f>IFERROR(__xludf.DUMMYFUNCTION("""COMPUTED_VALUE"""),44827.0)</f>
        <v>44827</v>
      </c>
      <c r="B5297" s="2">
        <f>IFERROR(__xludf.DUMMYFUNCTION("""COMPUTED_VALUE"""),1.0)</f>
        <v>1</v>
      </c>
      <c r="C5297" s="2">
        <f>IFERROR(__xludf.DUMMYFUNCTION("""COMPUTED_VALUE"""),498.0)</f>
        <v>498</v>
      </c>
      <c r="D5297" s="3">
        <f>IFERROR(__xludf.DUMMYFUNCTION("""COMPUTED_VALUE"""),211.0)</f>
        <v>211</v>
      </c>
      <c r="E5297" s="2"/>
      <c r="F5297" s="2"/>
    </row>
    <row r="5298">
      <c r="A5298" s="2">
        <f>IFERROR(__xludf.DUMMYFUNCTION("""COMPUTED_VALUE"""),79882.0)</f>
        <v>79882</v>
      </c>
      <c r="B5298" s="2">
        <f>IFERROR(__xludf.DUMMYFUNCTION("""COMPUTED_VALUE"""),0.0)</f>
        <v>0</v>
      </c>
      <c r="C5298" s="2">
        <f>IFERROR(__xludf.DUMMYFUNCTION("""COMPUTED_VALUE"""),241.0)</f>
        <v>241</v>
      </c>
      <c r="D5298" s="3">
        <f>IFERROR(__xludf.DUMMYFUNCTION("""COMPUTED_VALUE"""),35.0)</f>
        <v>35</v>
      </c>
      <c r="E5298" s="2"/>
      <c r="F5298" s="2"/>
    </row>
    <row r="5299">
      <c r="A5299" s="2">
        <f>IFERROR(__xludf.DUMMYFUNCTION("""COMPUTED_VALUE"""),11065.0)</f>
        <v>11065</v>
      </c>
      <c r="B5299" s="2">
        <f>IFERROR(__xludf.DUMMYFUNCTION("""COMPUTED_VALUE"""),1.0)</f>
        <v>1</v>
      </c>
      <c r="C5299" s="2">
        <f>IFERROR(__xludf.DUMMYFUNCTION("""COMPUTED_VALUE"""),939.0)</f>
        <v>939</v>
      </c>
      <c r="D5299" s="3">
        <f>IFERROR(__xludf.DUMMYFUNCTION("""COMPUTED_VALUE"""),629.0)</f>
        <v>629</v>
      </c>
      <c r="E5299" s="2"/>
      <c r="F5299" s="2"/>
    </row>
    <row r="5300">
      <c r="A5300" s="2">
        <f>IFERROR(__xludf.DUMMYFUNCTION("""COMPUTED_VALUE"""),41991.0)</f>
        <v>41991</v>
      </c>
      <c r="B5300" s="2">
        <f>IFERROR(__xludf.DUMMYFUNCTION("""COMPUTED_VALUE"""),0.0)</f>
        <v>0</v>
      </c>
      <c r="C5300" s="2">
        <f>IFERROR(__xludf.DUMMYFUNCTION("""COMPUTED_VALUE"""),579.0)</f>
        <v>579</v>
      </c>
      <c r="D5300" s="3">
        <f>IFERROR(__xludf.DUMMYFUNCTION("""COMPUTED_VALUE"""),61.0)</f>
        <v>61</v>
      </c>
      <c r="E5300" s="2"/>
      <c r="F5300" s="2"/>
    </row>
    <row r="5301">
      <c r="A5301" s="2">
        <f>IFERROR(__xludf.DUMMYFUNCTION("""COMPUTED_VALUE"""),6877.0)</f>
        <v>6877</v>
      </c>
      <c r="B5301" s="2">
        <f>IFERROR(__xludf.DUMMYFUNCTION("""COMPUTED_VALUE"""),1.0)</f>
        <v>1</v>
      </c>
      <c r="C5301" s="2">
        <f>IFERROR(__xludf.DUMMYFUNCTION("""COMPUTED_VALUE"""),303.0)</f>
        <v>303</v>
      </c>
      <c r="D5301" s="3">
        <f>IFERROR(__xludf.DUMMYFUNCTION("""COMPUTED_VALUE"""),171.0)</f>
        <v>171</v>
      </c>
      <c r="E5301" s="2"/>
      <c r="F5301" s="2"/>
    </row>
    <row r="5302">
      <c r="A5302" s="2">
        <f>IFERROR(__xludf.DUMMYFUNCTION("""COMPUTED_VALUE"""),4290.0)</f>
        <v>4290</v>
      </c>
      <c r="B5302" s="2">
        <f>IFERROR(__xludf.DUMMYFUNCTION("""COMPUTED_VALUE"""),1.0)</f>
        <v>1</v>
      </c>
      <c r="C5302" s="2">
        <f>IFERROR(__xludf.DUMMYFUNCTION("""COMPUTED_VALUE"""),140.0)</f>
        <v>140</v>
      </c>
      <c r="D5302" s="3">
        <f>IFERROR(__xludf.DUMMYFUNCTION("""COMPUTED_VALUE"""),95.0)</f>
        <v>95</v>
      </c>
      <c r="E5302" s="2"/>
      <c r="F5302" s="2"/>
    </row>
    <row r="5303">
      <c r="A5303" s="2">
        <f>IFERROR(__xludf.DUMMYFUNCTION("""COMPUTED_VALUE"""),4905.0)</f>
        <v>4905</v>
      </c>
      <c r="B5303" s="2">
        <f>IFERROR(__xludf.DUMMYFUNCTION("""COMPUTED_VALUE"""),0.0)</f>
        <v>0</v>
      </c>
      <c r="C5303" s="2">
        <f>IFERROR(__xludf.DUMMYFUNCTION("""COMPUTED_VALUE"""),225.0)</f>
        <v>225</v>
      </c>
      <c r="D5303" s="3">
        <f>IFERROR(__xludf.DUMMYFUNCTION("""COMPUTED_VALUE"""),8.0)</f>
        <v>8</v>
      </c>
      <c r="E5303" s="2"/>
      <c r="F5303" s="2"/>
    </row>
    <row r="5304">
      <c r="A5304" s="2">
        <f>IFERROR(__xludf.DUMMYFUNCTION("""COMPUTED_VALUE"""),41979.0)</f>
        <v>41979</v>
      </c>
      <c r="B5304" s="2">
        <f>IFERROR(__xludf.DUMMYFUNCTION("""COMPUTED_VALUE"""),0.0)</f>
        <v>0</v>
      </c>
      <c r="C5304" s="2">
        <f>IFERROR(__xludf.DUMMYFUNCTION("""COMPUTED_VALUE"""),78.0)</f>
        <v>78</v>
      </c>
      <c r="D5304" s="3">
        <f>IFERROR(__xludf.DUMMYFUNCTION("""COMPUTED_VALUE"""),18.0)</f>
        <v>18</v>
      </c>
      <c r="E5304" s="2"/>
      <c r="F5304" s="2"/>
    </row>
    <row r="5305">
      <c r="A5305" s="2">
        <f>IFERROR(__xludf.DUMMYFUNCTION("""COMPUTED_VALUE"""),41925.0)</f>
        <v>41925</v>
      </c>
      <c r="B5305" s="2">
        <f>IFERROR(__xludf.DUMMYFUNCTION("""COMPUTED_VALUE"""),0.0)</f>
        <v>0</v>
      </c>
      <c r="C5305" s="2">
        <f>IFERROR(__xludf.DUMMYFUNCTION("""COMPUTED_VALUE"""),399.0)</f>
        <v>399</v>
      </c>
      <c r="D5305" s="3">
        <f>IFERROR(__xludf.DUMMYFUNCTION("""COMPUTED_VALUE"""),138.0)</f>
        <v>138</v>
      </c>
      <c r="E5305" s="2"/>
      <c r="F5305" s="2"/>
    </row>
    <row r="5306">
      <c r="A5306" s="2">
        <f>IFERROR(__xludf.DUMMYFUNCTION("""COMPUTED_VALUE"""),17067.0)</f>
        <v>17067</v>
      </c>
      <c r="B5306" s="2">
        <f>IFERROR(__xludf.DUMMYFUNCTION("""COMPUTED_VALUE"""),1.0)</f>
        <v>1</v>
      </c>
      <c r="C5306" s="2">
        <f>IFERROR(__xludf.DUMMYFUNCTION("""COMPUTED_VALUE"""),713.0)</f>
        <v>713</v>
      </c>
      <c r="D5306" s="3">
        <f>IFERROR(__xludf.DUMMYFUNCTION("""COMPUTED_VALUE"""),405.0)</f>
        <v>405</v>
      </c>
      <c r="E5306" s="2"/>
      <c r="F5306" s="2"/>
    </row>
    <row r="5307">
      <c r="A5307" s="2">
        <f>IFERROR(__xludf.DUMMYFUNCTION("""COMPUTED_VALUE"""),70425.0)</f>
        <v>70425</v>
      </c>
      <c r="B5307" s="2">
        <f>IFERROR(__xludf.DUMMYFUNCTION("""COMPUTED_VALUE"""),1.0)</f>
        <v>1</v>
      </c>
      <c r="C5307" s="2">
        <f>IFERROR(__xludf.DUMMYFUNCTION("""COMPUTED_VALUE"""),734.0)</f>
        <v>734</v>
      </c>
      <c r="D5307" s="3">
        <f>IFERROR(__xludf.DUMMYFUNCTION("""COMPUTED_VALUE"""),472.0)</f>
        <v>472</v>
      </c>
      <c r="E5307" s="2"/>
      <c r="F5307" s="2"/>
    </row>
    <row r="5308">
      <c r="A5308" s="2">
        <f>IFERROR(__xludf.DUMMYFUNCTION("""COMPUTED_VALUE"""),17065.0)</f>
        <v>17065</v>
      </c>
      <c r="B5308" s="2">
        <f>IFERROR(__xludf.DUMMYFUNCTION("""COMPUTED_VALUE"""),0.0)</f>
        <v>0</v>
      </c>
      <c r="C5308" s="2">
        <f>IFERROR(__xludf.DUMMYFUNCTION("""COMPUTED_VALUE"""),850.0)</f>
        <v>850</v>
      </c>
      <c r="D5308" s="3">
        <f>IFERROR(__xludf.DUMMYFUNCTION("""COMPUTED_VALUE"""),480.0)</f>
        <v>480</v>
      </c>
      <c r="E5308" s="2"/>
      <c r="F5308" s="2"/>
    </row>
    <row r="5309">
      <c r="A5309" s="2">
        <f>IFERROR(__xludf.DUMMYFUNCTION("""COMPUTED_VALUE"""),103514.0)</f>
        <v>103514</v>
      </c>
      <c r="B5309" s="2">
        <f>IFERROR(__xludf.DUMMYFUNCTION("""COMPUTED_VALUE"""),1.0)</f>
        <v>1</v>
      </c>
      <c r="C5309" s="2">
        <f>IFERROR(__xludf.DUMMYFUNCTION("""COMPUTED_VALUE"""),59.0)</f>
        <v>59</v>
      </c>
      <c r="D5309" s="3">
        <f>IFERROR(__xludf.DUMMYFUNCTION("""COMPUTED_VALUE"""),42.0)</f>
        <v>42</v>
      </c>
      <c r="E5309" s="2"/>
      <c r="F5309" s="2"/>
    </row>
    <row r="5310">
      <c r="A5310" s="2">
        <f>IFERROR(__xludf.DUMMYFUNCTION("""COMPUTED_VALUE"""),4298.0)</f>
        <v>4298</v>
      </c>
      <c r="B5310" s="2">
        <f>IFERROR(__xludf.DUMMYFUNCTION("""COMPUTED_VALUE"""),1.0)</f>
        <v>1</v>
      </c>
      <c r="C5310" s="2">
        <f>IFERROR(__xludf.DUMMYFUNCTION("""COMPUTED_VALUE"""),416.0)</f>
        <v>416</v>
      </c>
      <c r="D5310" s="3">
        <f>IFERROR(__xludf.DUMMYFUNCTION("""COMPUTED_VALUE"""),329.0)</f>
        <v>329</v>
      </c>
      <c r="E5310" s="2"/>
      <c r="F5310" s="2"/>
    </row>
    <row r="5311">
      <c r="A5311" s="2">
        <f>IFERROR(__xludf.DUMMYFUNCTION("""COMPUTED_VALUE"""),4301.0)</f>
        <v>4301</v>
      </c>
      <c r="B5311" s="2">
        <f>IFERROR(__xludf.DUMMYFUNCTION("""COMPUTED_VALUE"""),0.0)</f>
        <v>0</v>
      </c>
      <c r="C5311" s="2">
        <f>IFERROR(__xludf.DUMMYFUNCTION("""COMPUTED_VALUE"""),875.0)</f>
        <v>875</v>
      </c>
      <c r="D5311" s="3">
        <f>IFERROR(__xludf.DUMMYFUNCTION("""COMPUTED_VALUE"""),118.0)</f>
        <v>118</v>
      </c>
      <c r="E5311" s="2"/>
      <c r="F5311" s="2"/>
    </row>
    <row r="5312">
      <c r="A5312" s="2">
        <f>IFERROR(__xludf.DUMMYFUNCTION("""COMPUTED_VALUE"""),75752.0)</f>
        <v>75752</v>
      </c>
      <c r="B5312" s="2">
        <f>IFERROR(__xludf.DUMMYFUNCTION("""COMPUTED_VALUE"""),1.0)</f>
        <v>1</v>
      </c>
      <c r="C5312" s="2">
        <f>IFERROR(__xludf.DUMMYFUNCTION("""COMPUTED_VALUE"""),698.0)</f>
        <v>698</v>
      </c>
      <c r="D5312" s="3">
        <f>IFERROR(__xludf.DUMMYFUNCTION("""COMPUTED_VALUE"""),651.0)</f>
        <v>651</v>
      </c>
      <c r="E5312" s="2"/>
      <c r="F5312" s="2"/>
    </row>
    <row r="5313">
      <c r="A5313" s="2">
        <f>IFERROR(__xludf.DUMMYFUNCTION("""COMPUTED_VALUE"""),21520.0)</f>
        <v>21520</v>
      </c>
      <c r="B5313" s="2">
        <f>IFERROR(__xludf.DUMMYFUNCTION("""COMPUTED_VALUE"""),1.0)</f>
        <v>1</v>
      </c>
      <c r="C5313" s="2">
        <f>IFERROR(__xludf.DUMMYFUNCTION("""COMPUTED_VALUE"""),109.0)</f>
        <v>109</v>
      </c>
      <c r="D5313" s="3">
        <f>IFERROR(__xludf.DUMMYFUNCTION("""COMPUTED_VALUE"""),30.0)</f>
        <v>30</v>
      </c>
      <c r="E5313" s="2"/>
      <c r="F5313" s="2"/>
    </row>
    <row r="5314">
      <c r="A5314" s="2">
        <f>IFERROR(__xludf.DUMMYFUNCTION("""COMPUTED_VALUE"""),82206.0)</f>
        <v>82206</v>
      </c>
      <c r="B5314" s="2">
        <f>IFERROR(__xludf.DUMMYFUNCTION("""COMPUTED_VALUE"""),1.0)</f>
        <v>1</v>
      </c>
      <c r="C5314" s="2">
        <f>IFERROR(__xludf.DUMMYFUNCTION("""COMPUTED_VALUE"""),885.0)</f>
        <v>885</v>
      </c>
      <c r="D5314" s="3">
        <f>IFERROR(__xludf.DUMMYFUNCTION("""COMPUTED_VALUE"""),640.0)</f>
        <v>640</v>
      </c>
      <c r="E5314" s="2"/>
      <c r="F5314" s="2"/>
    </row>
    <row r="5315">
      <c r="A5315" s="2">
        <f>IFERROR(__xludf.DUMMYFUNCTION("""COMPUTED_VALUE"""),5599.0)</f>
        <v>5599</v>
      </c>
      <c r="B5315" s="2">
        <f>IFERROR(__xludf.DUMMYFUNCTION("""COMPUTED_VALUE"""),0.0)</f>
        <v>0</v>
      </c>
      <c r="C5315" s="2">
        <f>IFERROR(__xludf.DUMMYFUNCTION("""COMPUTED_VALUE"""),441.0)</f>
        <v>441</v>
      </c>
      <c r="D5315" s="3">
        <f>IFERROR(__xludf.DUMMYFUNCTION("""COMPUTED_VALUE"""),94.0)</f>
        <v>94</v>
      </c>
      <c r="E5315" s="2"/>
      <c r="F5315" s="2"/>
    </row>
    <row r="5316">
      <c r="A5316" s="2">
        <f>IFERROR(__xludf.DUMMYFUNCTION("""COMPUTED_VALUE"""),87231.0)</f>
        <v>87231</v>
      </c>
      <c r="B5316" s="2">
        <f>IFERROR(__xludf.DUMMYFUNCTION("""COMPUTED_VALUE"""),1.0)</f>
        <v>1</v>
      </c>
      <c r="C5316" s="2">
        <f>IFERROR(__xludf.DUMMYFUNCTION("""COMPUTED_VALUE"""),201.0)</f>
        <v>201</v>
      </c>
      <c r="D5316" s="3">
        <f>IFERROR(__xludf.DUMMYFUNCTION("""COMPUTED_VALUE"""),188.0)</f>
        <v>188</v>
      </c>
      <c r="E5316" s="2"/>
      <c r="F5316" s="2"/>
    </row>
    <row r="5317">
      <c r="A5317" s="2">
        <f>IFERROR(__xludf.DUMMYFUNCTION("""COMPUTED_VALUE"""),5861.0)</f>
        <v>5861</v>
      </c>
      <c r="B5317" s="2">
        <f>IFERROR(__xludf.DUMMYFUNCTION("""COMPUTED_VALUE"""),0.0)</f>
        <v>0</v>
      </c>
      <c r="C5317" s="2">
        <f>IFERROR(__xludf.DUMMYFUNCTION("""COMPUTED_VALUE"""),407.0)</f>
        <v>407</v>
      </c>
      <c r="D5317" s="3">
        <f>IFERROR(__xludf.DUMMYFUNCTION("""COMPUTED_VALUE"""),190.0)</f>
        <v>190</v>
      </c>
      <c r="E5317" s="2"/>
      <c r="F5317" s="2"/>
    </row>
    <row r="5318">
      <c r="A5318" s="2">
        <f>IFERROR(__xludf.DUMMYFUNCTION("""COMPUTED_VALUE"""),90909.0)</f>
        <v>90909</v>
      </c>
      <c r="B5318" s="2">
        <f>IFERROR(__xludf.DUMMYFUNCTION("""COMPUTED_VALUE"""),1.0)</f>
        <v>1</v>
      </c>
      <c r="C5318" s="2">
        <f>IFERROR(__xludf.DUMMYFUNCTION("""COMPUTED_VALUE"""),848.0)</f>
        <v>848</v>
      </c>
      <c r="D5318" s="3">
        <f>IFERROR(__xludf.DUMMYFUNCTION("""COMPUTED_VALUE"""),573.0)</f>
        <v>573</v>
      </c>
      <c r="E5318" s="2"/>
      <c r="F5318" s="2"/>
    </row>
    <row r="5319">
      <c r="A5319" s="2">
        <f>IFERROR(__xludf.DUMMYFUNCTION("""COMPUTED_VALUE"""),21523.0)</f>
        <v>21523</v>
      </c>
      <c r="B5319" s="2">
        <f>IFERROR(__xludf.DUMMYFUNCTION("""COMPUTED_VALUE"""),0.0)</f>
        <v>0</v>
      </c>
      <c r="C5319" s="2">
        <f>IFERROR(__xludf.DUMMYFUNCTION("""COMPUTED_VALUE"""),912.0)</f>
        <v>912</v>
      </c>
      <c r="D5319" s="3">
        <f>IFERROR(__xludf.DUMMYFUNCTION("""COMPUTED_VALUE"""),414.0)</f>
        <v>414</v>
      </c>
      <c r="E5319" s="2"/>
      <c r="F5319" s="2"/>
    </row>
    <row r="5320">
      <c r="A5320" s="2">
        <f>IFERROR(__xludf.DUMMYFUNCTION("""COMPUTED_VALUE"""),5485.0)</f>
        <v>5485</v>
      </c>
      <c r="B5320" s="2">
        <f>IFERROR(__xludf.DUMMYFUNCTION("""COMPUTED_VALUE"""),0.0)</f>
        <v>0</v>
      </c>
      <c r="C5320" s="2">
        <f>IFERROR(__xludf.DUMMYFUNCTION("""COMPUTED_VALUE"""),692.0)</f>
        <v>692</v>
      </c>
      <c r="D5320" s="3">
        <f>IFERROR(__xludf.DUMMYFUNCTION("""COMPUTED_VALUE"""),11.0)</f>
        <v>11</v>
      </c>
      <c r="E5320" s="2"/>
      <c r="F5320" s="2"/>
    </row>
    <row r="5321">
      <c r="A5321" s="2">
        <f>IFERROR(__xludf.DUMMYFUNCTION("""COMPUTED_VALUE"""),77294.0)</f>
        <v>77294</v>
      </c>
      <c r="B5321" s="2">
        <f>IFERROR(__xludf.DUMMYFUNCTION("""COMPUTED_VALUE"""),1.0)</f>
        <v>1</v>
      </c>
      <c r="C5321" s="2">
        <f>IFERROR(__xludf.DUMMYFUNCTION("""COMPUTED_VALUE"""),478.0)</f>
        <v>478</v>
      </c>
      <c r="D5321" s="3">
        <f>IFERROR(__xludf.DUMMYFUNCTION("""COMPUTED_VALUE"""),458.0)</f>
        <v>458</v>
      </c>
      <c r="E5321" s="2"/>
      <c r="F5321" s="2"/>
    </row>
    <row r="5322">
      <c r="A5322" s="2">
        <f>IFERROR(__xludf.DUMMYFUNCTION("""COMPUTED_VALUE"""),5486.0)</f>
        <v>5486</v>
      </c>
      <c r="B5322" s="2">
        <f>IFERROR(__xludf.DUMMYFUNCTION("""COMPUTED_VALUE"""),0.0)</f>
        <v>0</v>
      </c>
      <c r="C5322" s="2">
        <f>IFERROR(__xludf.DUMMYFUNCTION("""COMPUTED_VALUE"""),298.0)</f>
        <v>298</v>
      </c>
      <c r="D5322" s="3">
        <f>IFERROR(__xludf.DUMMYFUNCTION("""COMPUTED_VALUE"""),163.0)</f>
        <v>163</v>
      </c>
      <c r="E5322" s="2"/>
      <c r="F5322" s="2"/>
    </row>
    <row r="5323">
      <c r="A5323" s="2">
        <f>IFERROR(__xludf.DUMMYFUNCTION("""COMPUTED_VALUE"""),77293.0)</f>
        <v>77293</v>
      </c>
      <c r="B5323" s="2">
        <f>IFERROR(__xludf.DUMMYFUNCTION("""COMPUTED_VALUE"""),0.0)</f>
        <v>0</v>
      </c>
      <c r="C5323" s="2">
        <f>IFERROR(__xludf.DUMMYFUNCTION("""COMPUTED_VALUE"""),117.0)</f>
        <v>117</v>
      </c>
      <c r="D5323" s="3">
        <f>IFERROR(__xludf.DUMMYFUNCTION("""COMPUTED_VALUE"""),92.0)</f>
        <v>92</v>
      </c>
      <c r="E5323" s="2"/>
      <c r="F5323" s="2"/>
    </row>
    <row r="5324">
      <c r="A5324" s="2">
        <f>IFERROR(__xludf.DUMMYFUNCTION("""COMPUTED_VALUE"""),112230.0)</f>
        <v>112230</v>
      </c>
      <c r="B5324" s="2">
        <f>IFERROR(__xludf.DUMMYFUNCTION("""COMPUTED_VALUE"""),1.0)</f>
        <v>1</v>
      </c>
      <c r="C5324" s="2">
        <f>IFERROR(__xludf.DUMMYFUNCTION("""COMPUTED_VALUE"""),726.0)</f>
        <v>726</v>
      </c>
      <c r="D5324" s="3">
        <f>IFERROR(__xludf.DUMMYFUNCTION("""COMPUTED_VALUE"""),278.0)</f>
        <v>278</v>
      </c>
      <c r="E5324" s="2"/>
      <c r="F5324" s="2"/>
    </row>
    <row r="5325">
      <c r="A5325" s="2">
        <f>IFERROR(__xludf.DUMMYFUNCTION("""COMPUTED_VALUE"""),83607.0)</f>
        <v>83607</v>
      </c>
      <c r="B5325" s="2">
        <f>IFERROR(__xludf.DUMMYFUNCTION("""COMPUTED_VALUE"""),0.0)</f>
        <v>0</v>
      </c>
      <c r="C5325" s="2">
        <f>IFERROR(__xludf.DUMMYFUNCTION("""COMPUTED_VALUE"""),867.0)</f>
        <v>867</v>
      </c>
      <c r="D5325" s="3">
        <f>IFERROR(__xludf.DUMMYFUNCTION("""COMPUTED_VALUE"""),657.0)</f>
        <v>657</v>
      </c>
      <c r="E5325" s="2"/>
      <c r="F5325" s="2"/>
    </row>
    <row r="5326">
      <c r="A5326" s="2">
        <f>IFERROR(__xludf.DUMMYFUNCTION("""COMPUTED_VALUE"""),117216.0)</f>
        <v>117216</v>
      </c>
      <c r="B5326" s="2">
        <f>IFERROR(__xludf.DUMMYFUNCTION("""COMPUTED_VALUE"""),0.0)</f>
        <v>0</v>
      </c>
      <c r="C5326" s="2">
        <f>IFERROR(__xludf.DUMMYFUNCTION("""COMPUTED_VALUE"""),91.0)</f>
        <v>91</v>
      </c>
      <c r="D5326" s="3">
        <f>IFERROR(__xludf.DUMMYFUNCTION("""COMPUTED_VALUE"""),32.0)</f>
        <v>32</v>
      </c>
      <c r="E5326" s="2"/>
      <c r="F5326" s="2"/>
    </row>
    <row r="5327">
      <c r="A5327" s="2">
        <f>IFERROR(__xludf.DUMMYFUNCTION("""COMPUTED_VALUE"""),5487.0)</f>
        <v>5487</v>
      </c>
      <c r="B5327" s="2">
        <f>IFERROR(__xludf.DUMMYFUNCTION("""COMPUTED_VALUE"""),1.0)</f>
        <v>1</v>
      </c>
      <c r="C5327" s="2">
        <f>IFERROR(__xludf.DUMMYFUNCTION("""COMPUTED_VALUE"""),219.0)</f>
        <v>219</v>
      </c>
      <c r="D5327" s="3">
        <f>IFERROR(__xludf.DUMMYFUNCTION("""COMPUTED_VALUE"""),90.0)</f>
        <v>90</v>
      </c>
      <c r="E5327" s="2"/>
      <c r="F5327" s="2"/>
    </row>
    <row r="5328">
      <c r="A5328" s="2">
        <f>IFERROR(__xludf.DUMMYFUNCTION("""COMPUTED_VALUE"""),77295.0)</f>
        <v>77295</v>
      </c>
      <c r="B5328" s="2">
        <f>IFERROR(__xludf.DUMMYFUNCTION("""COMPUTED_VALUE"""),1.0)</f>
        <v>1</v>
      </c>
      <c r="C5328" s="2">
        <f>IFERROR(__xludf.DUMMYFUNCTION("""COMPUTED_VALUE"""),646.0)</f>
        <v>646</v>
      </c>
      <c r="D5328" s="3">
        <f>IFERROR(__xludf.DUMMYFUNCTION("""COMPUTED_VALUE"""),512.0)</f>
        <v>512</v>
      </c>
      <c r="E5328" s="2"/>
      <c r="F5328" s="2"/>
    </row>
    <row r="5329">
      <c r="A5329" s="2">
        <f>IFERROR(__xludf.DUMMYFUNCTION("""COMPUTED_VALUE"""),89774.0)</f>
        <v>89774</v>
      </c>
      <c r="B5329" s="2">
        <f>IFERROR(__xludf.DUMMYFUNCTION("""COMPUTED_VALUE"""),0.0)</f>
        <v>0</v>
      </c>
      <c r="C5329" s="2">
        <f>IFERROR(__xludf.DUMMYFUNCTION("""COMPUTED_VALUE"""),858.0)</f>
        <v>858</v>
      </c>
      <c r="D5329" s="3">
        <f>IFERROR(__xludf.DUMMYFUNCTION("""COMPUTED_VALUE"""),292.0)</f>
        <v>292</v>
      </c>
      <c r="E5329" s="2"/>
      <c r="F5329" s="2"/>
    </row>
    <row r="5330">
      <c r="A5330" s="2">
        <f>IFERROR(__xludf.DUMMYFUNCTION("""COMPUTED_VALUE"""),5483.0)</f>
        <v>5483</v>
      </c>
      <c r="B5330" s="2">
        <f>IFERROR(__xludf.DUMMYFUNCTION("""COMPUTED_VALUE"""),1.0)</f>
        <v>1</v>
      </c>
      <c r="C5330" s="2">
        <f>IFERROR(__xludf.DUMMYFUNCTION("""COMPUTED_VALUE"""),543.0)</f>
        <v>543</v>
      </c>
      <c r="D5330" s="3">
        <f>IFERROR(__xludf.DUMMYFUNCTION("""COMPUTED_VALUE"""),263.0)</f>
        <v>263</v>
      </c>
      <c r="E5330" s="2"/>
      <c r="F5330" s="2"/>
    </row>
    <row r="5331">
      <c r="A5331" s="2">
        <f>IFERROR(__xludf.DUMMYFUNCTION("""COMPUTED_VALUE"""),120541.0)</f>
        <v>120541</v>
      </c>
      <c r="B5331" s="2">
        <f>IFERROR(__xludf.DUMMYFUNCTION("""COMPUTED_VALUE"""),1.0)</f>
        <v>1</v>
      </c>
      <c r="C5331" s="2">
        <f>IFERROR(__xludf.DUMMYFUNCTION("""COMPUTED_VALUE"""),590.0)</f>
        <v>590</v>
      </c>
      <c r="D5331" s="3">
        <f>IFERROR(__xludf.DUMMYFUNCTION("""COMPUTED_VALUE"""),363.0)</f>
        <v>363</v>
      </c>
      <c r="E5331" s="2"/>
      <c r="F5331" s="2"/>
    </row>
    <row r="5332">
      <c r="A5332" s="2">
        <f>IFERROR(__xludf.DUMMYFUNCTION("""COMPUTED_VALUE"""),100249.0)</f>
        <v>100249</v>
      </c>
      <c r="B5332" s="2">
        <f>IFERROR(__xludf.DUMMYFUNCTION("""COMPUTED_VALUE"""),1.0)</f>
        <v>1</v>
      </c>
      <c r="C5332" s="2">
        <f>IFERROR(__xludf.DUMMYFUNCTION("""COMPUTED_VALUE"""),932.0)</f>
        <v>932</v>
      </c>
      <c r="D5332" s="3">
        <f>IFERROR(__xludf.DUMMYFUNCTION("""COMPUTED_VALUE"""),474.0)</f>
        <v>474</v>
      </c>
      <c r="E5332" s="2"/>
      <c r="F5332" s="2"/>
    </row>
    <row r="5333">
      <c r="A5333" s="2">
        <f>IFERROR(__xludf.DUMMYFUNCTION("""COMPUTED_VALUE"""),119242.0)</f>
        <v>119242</v>
      </c>
      <c r="B5333" s="2">
        <f>IFERROR(__xludf.DUMMYFUNCTION("""COMPUTED_VALUE"""),1.0)</f>
        <v>1</v>
      </c>
      <c r="C5333" s="2">
        <f>IFERROR(__xludf.DUMMYFUNCTION("""COMPUTED_VALUE"""),893.0)</f>
        <v>893</v>
      </c>
      <c r="D5333" s="3">
        <f>IFERROR(__xludf.DUMMYFUNCTION("""COMPUTED_VALUE"""),299.0)</f>
        <v>299</v>
      </c>
      <c r="E5333" s="2"/>
      <c r="F5333" s="2"/>
    </row>
    <row r="5334">
      <c r="A5334" s="2">
        <f>IFERROR(__xludf.DUMMYFUNCTION("""COMPUTED_VALUE"""),90868.0)</f>
        <v>90868</v>
      </c>
      <c r="B5334" s="2">
        <f>IFERROR(__xludf.DUMMYFUNCTION("""COMPUTED_VALUE"""),0.0)</f>
        <v>0</v>
      </c>
      <c r="C5334" s="2">
        <f>IFERROR(__xludf.DUMMYFUNCTION("""COMPUTED_VALUE"""),611.0)</f>
        <v>611</v>
      </c>
      <c r="D5334" s="3">
        <f>IFERROR(__xludf.DUMMYFUNCTION("""COMPUTED_VALUE"""),247.0)</f>
        <v>247</v>
      </c>
      <c r="E5334" s="2"/>
      <c r="F5334" s="2"/>
    </row>
    <row r="5335">
      <c r="A5335" s="2">
        <f>IFERROR(__xludf.DUMMYFUNCTION("""COMPUTED_VALUE"""),90854.0)</f>
        <v>90854</v>
      </c>
      <c r="B5335" s="2">
        <f>IFERROR(__xludf.DUMMYFUNCTION("""COMPUTED_VALUE"""),1.0)</f>
        <v>1</v>
      </c>
      <c r="C5335" s="2">
        <f>IFERROR(__xludf.DUMMYFUNCTION("""COMPUTED_VALUE"""),70.0)</f>
        <v>70</v>
      </c>
      <c r="D5335" s="3">
        <f>IFERROR(__xludf.DUMMYFUNCTION("""COMPUTED_VALUE"""),35.0)</f>
        <v>35</v>
      </c>
      <c r="E5335" s="2"/>
      <c r="F5335" s="2"/>
    </row>
    <row r="5336">
      <c r="A5336" s="2">
        <f>IFERROR(__xludf.DUMMYFUNCTION("""COMPUTED_VALUE"""),76568.0)</f>
        <v>76568</v>
      </c>
      <c r="B5336" s="2">
        <f>IFERROR(__xludf.DUMMYFUNCTION("""COMPUTED_VALUE"""),1.0)</f>
        <v>1</v>
      </c>
      <c r="C5336" s="2">
        <f>IFERROR(__xludf.DUMMYFUNCTION("""COMPUTED_VALUE"""),7.0)</f>
        <v>7</v>
      </c>
      <c r="D5336" s="3">
        <f>IFERROR(__xludf.DUMMYFUNCTION("""COMPUTED_VALUE"""),6.0)</f>
        <v>6</v>
      </c>
      <c r="E5336" s="2"/>
      <c r="F5336" s="2"/>
    </row>
    <row r="5337">
      <c r="A5337" s="2">
        <f>IFERROR(__xludf.DUMMYFUNCTION("""COMPUTED_VALUE"""),76589.0)</f>
        <v>76589</v>
      </c>
      <c r="B5337" s="2">
        <f>IFERROR(__xludf.DUMMYFUNCTION("""COMPUTED_VALUE"""),0.0)</f>
        <v>0</v>
      </c>
      <c r="C5337" s="2">
        <f>IFERROR(__xludf.DUMMYFUNCTION("""COMPUTED_VALUE"""),375.0)</f>
        <v>375</v>
      </c>
      <c r="D5337" s="3">
        <f>IFERROR(__xludf.DUMMYFUNCTION("""COMPUTED_VALUE"""),70.0)</f>
        <v>70</v>
      </c>
      <c r="E5337" s="2"/>
      <c r="F5337" s="2"/>
    </row>
    <row r="5338">
      <c r="A5338" s="2">
        <f>IFERROR(__xludf.DUMMYFUNCTION("""COMPUTED_VALUE"""),76581.0)</f>
        <v>76581</v>
      </c>
      <c r="B5338" s="2">
        <f>IFERROR(__xludf.DUMMYFUNCTION("""COMPUTED_VALUE"""),0.0)</f>
        <v>0</v>
      </c>
      <c r="C5338" s="2">
        <f>IFERROR(__xludf.DUMMYFUNCTION("""COMPUTED_VALUE"""),209.0)</f>
        <v>209</v>
      </c>
      <c r="D5338" s="3">
        <f>IFERROR(__xludf.DUMMYFUNCTION("""COMPUTED_VALUE"""),127.0)</f>
        <v>127</v>
      </c>
      <c r="E5338" s="2"/>
      <c r="F5338" s="2"/>
    </row>
    <row r="5339">
      <c r="A5339" s="2">
        <f>IFERROR(__xludf.DUMMYFUNCTION("""COMPUTED_VALUE"""),77250.0)</f>
        <v>77250</v>
      </c>
      <c r="B5339" s="2">
        <f>IFERROR(__xludf.DUMMYFUNCTION("""COMPUTED_VALUE"""),1.0)</f>
        <v>1</v>
      </c>
      <c r="C5339" s="2">
        <f>IFERROR(__xludf.DUMMYFUNCTION("""COMPUTED_VALUE"""),349.0)</f>
        <v>349</v>
      </c>
      <c r="D5339" s="3">
        <f>IFERROR(__xludf.DUMMYFUNCTION("""COMPUTED_VALUE"""),284.0)</f>
        <v>284</v>
      </c>
      <c r="E5339" s="2"/>
      <c r="F5339" s="2"/>
    </row>
    <row r="5340">
      <c r="A5340" s="2">
        <f>IFERROR(__xludf.DUMMYFUNCTION("""COMPUTED_VALUE"""),87222.0)</f>
        <v>87222</v>
      </c>
      <c r="B5340" s="2">
        <f>IFERROR(__xludf.DUMMYFUNCTION("""COMPUTED_VALUE"""),0.0)</f>
        <v>0</v>
      </c>
      <c r="C5340" s="2">
        <f>IFERROR(__xludf.DUMMYFUNCTION("""COMPUTED_VALUE"""),822.0)</f>
        <v>822</v>
      </c>
      <c r="D5340" s="3">
        <f>IFERROR(__xludf.DUMMYFUNCTION("""COMPUTED_VALUE"""),2.0)</f>
        <v>2</v>
      </c>
      <c r="E5340" s="2"/>
      <c r="F5340" s="2"/>
    </row>
    <row r="5341">
      <c r="A5341" s="2">
        <f>IFERROR(__xludf.DUMMYFUNCTION("""COMPUTED_VALUE"""),122120.0)</f>
        <v>122120</v>
      </c>
      <c r="B5341" s="2">
        <f>IFERROR(__xludf.DUMMYFUNCTION("""COMPUTED_VALUE"""),0.0)</f>
        <v>0</v>
      </c>
      <c r="C5341" s="2">
        <f>IFERROR(__xludf.DUMMYFUNCTION("""COMPUTED_VALUE"""),629.0)</f>
        <v>629</v>
      </c>
      <c r="D5341" s="3">
        <f>IFERROR(__xludf.DUMMYFUNCTION("""COMPUTED_VALUE"""),92.0)</f>
        <v>92</v>
      </c>
      <c r="E5341" s="2"/>
      <c r="F5341" s="2"/>
    </row>
    <row r="5342">
      <c r="A5342" s="2">
        <f>IFERROR(__xludf.DUMMYFUNCTION("""COMPUTED_VALUE"""),122121.0)</f>
        <v>122121</v>
      </c>
      <c r="B5342" s="2">
        <f>IFERROR(__xludf.DUMMYFUNCTION("""COMPUTED_VALUE"""),0.0)</f>
        <v>0</v>
      </c>
      <c r="C5342" s="2">
        <f>IFERROR(__xludf.DUMMYFUNCTION("""COMPUTED_VALUE"""),11.0)</f>
        <v>11</v>
      </c>
      <c r="D5342" s="3">
        <f>IFERROR(__xludf.DUMMYFUNCTION("""COMPUTED_VALUE"""),1.0)</f>
        <v>1</v>
      </c>
      <c r="E5342" s="2"/>
      <c r="F5342" s="2"/>
    </row>
    <row r="5343">
      <c r="A5343" s="2">
        <f>IFERROR(__xludf.DUMMYFUNCTION("""COMPUTED_VALUE"""),90880.0)</f>
        <v>90880</v>
      </c>
      <c r="B5343" s="2">
        <f>IFERROR(__xludf.DUMMYFUNCTION("""COMPUTED_VALUE"""),0.0)</f>
        <v>0</v>
      </c>
      <c r="C5343" s="2">
        <f>IFERROR(__xludf.DUMMYFUNCTION("""COMPUTED_VALUE"""),339.0)</f>
        <v>339</v>
      </c>
      <c r="D5343" s="3">
        <f>IFERROR(__xludf.DUMMYFUNCTION("""COMPUTED_VALUE"""),239.0)</f>
        <v>239</v>
      </c>
      <c r="E5343" s="2"/>
      <c r="F5343" s="2"/>
    </row>
    <row r="5344">
      <c r="A5344" s="2">
        <f>IFERROR(__xludf.DUMMYFUNCTION("""COMPUTED_VALUE"""),122088.0)</f>
        <v>122088</v>
      </c>
      <c r="B5344" s="2">
        <f>IFERROR(__xludf.DUMMYFUNCTION("""COMPUTED_VALUE"""),0.0)</f>
        <v>0</v>
      </c>
      <c r="C5344" s="2">
        <f>IFERROR(__xludf.DUMMYFUNCTION("""COMPUTED_VALUE"""),76.0)</f>
        <v>76</v>
      </c>
      <c r="D5344" s="3">
        <f>IFERROR(__xludf.DUMMYFUNCTION("""COMPUTED_VALUE"""),60.0)</f>
        <v>60</v>
      </c>
      <c r="E5344" s="2"/>
      <c r="F5344" s="2"/>
    </row>
    <row r="5345">
      <c r="A5345" s="2">
        <f>IFERROR(__xludf.DUMMYFUNCTION("""COMPUTED_VALUE"""),90886.0)</f>
        <v>90886</v>
      </c>
      <c r="B5345" s="2">
        <f>IFERROR(__xludf.DUMMYFUNCTION("""COMPUTED_VALUE"""),1.0)</f>
        <v>1</v>
      </c>
      <c r="C5345" s="2">
        <f>IFERROR(__xludf.DUMMYFUNCTION("""COMPUTED_VALUE"""),750.0)</f>
        <v>750</v>
      </c>
      <c r="D5345" s="3">
        <f>IFERROR(__xludf.DUMMYFUNCTION("""COMPUTED_VALUE"""),286.0)</f>
        <v>286</v>
      </c>
      <c r="E5345" s="2"/>
      <c r="F5345" s="2"/>
    </row>
    <row r="5346">
      <c r="A5346" s="2">
        <f>IFERROR(__xludf.DUMMYFUNCTION("""COMPUTED_VALUE"""),90755.0)</f>
        <v>90755</v>
      </c>
      <c r="B5346" s="2">
        <f>IFERROR(__xludf.DUMMYFUNCTION("""COMPUTED_VALUE"""),1.0)</f>
        <v>1</v>
      </c>
      <c r="C5346" s="2">
        <f>IFERROR(__xludf.DUMMYFUNCTION("""COMPUTED_VALUE"""),683.0)</f>
        <v>683</v>
      </c>
      <c r="D5346" s="3">
        <f>IFERROR(__xludf.DUMMYFUNCTION("""COMPUTED_VALUE"""),657.0)</f>
        <v>657</v>
      </c>
      <c r="E5346" s="2"/>
      <c r="F5346" s="2"/>
    </row>
    <row r="5347">
      <c r="A5347" s="2">
        <f>IFERROR(__xludf.DUMMYFUNCTION("""COMPUTED_VALUE"""),111045.0)</f>
        <v>111045</v>
      </c>
      <c r="B5347" s="2">
        <f>IFERROR(__xludf.DUMMYFUNCTION("""COMPUTED_VALUE"""),0.0)</f>
        <v>0</v>
      </c>
      <c r="C5347" s="2">
        <f>IFERROR(__xludf.DUMMYFUNCTION("""COMPUTED_VALUE"""),853.0)</f>
        <v>853</v>
      </c>
      <c r="D5347" s="3">
        <f>IFERROR(__xludf.DUMMYFUNCTION("""COMPUTED_VALUE"""),789.0)</f>
        <v>789</v>
      </c>
      <c r="E5347" s="2"/>
      <c r="F5347" s="2"/>
    </row>
    <row r="5348">
      <c r="A5348" s="2">
        <f>IFERROR(__xludf.DUMMYFUNCTION("""COMPUTED_VALUE"""),76582.0)</f>
        <v>76582</v>
      </c>
      <c r="B5348" s="2">
        <f>IFERROR(__xludf.DUMMYFUNCTION("""COMPUTED_VALUE"""),0.0)</f>
        <v>0</v>
      </c>
      <c r="C5348" s="2">
        <f>IFERROR(__xludf.DUMMYFUNCTION("""COMPUTED_VALUE"""),99.0)</f>
        <v>99</v>
      </c>
      <c r="D5348" s="3">
        <f>IFERROR(__xludf.DUMMYFUNCTION("""COMPUTED_VALUE"""),80.0)</f>
        <v>80</v>
      </c>
      <c r="E5348" s="2"/>
      <c r="F5348" s="2"/>
    </row>
    <row r="5349">
      <c r="A5349" s="2">
        <f>IFERROR(__xludf.DUMMYFUNCTION("""COMPUTED_VALUE"""),76570.0)</f>
        <v>76570</v>
      </c>
      <c r="B5349" s="2">
        <f>IFERROR(__xludf.DUMMYFUNCTION("""COMPUTED_VALUE"""),0.0)</f>
        <v>0</v>
      </c>
      <c r="C5349" s="2">
        <f>IFERROR(__xludf.DUMMYFUNCTION("""COMPUTED_VALUE"""),242.0)</f>
        <v>242</v>
      </c>
      <c r="D5349" s="3">
        <f>IFERROR(__xludf.DUMMYFUNCTION("""COMPUTED_VALUE"""),58.0)</f>
        <v>58</v>
      </c>
      <c r="E5349" s="2"/>
      <c r="F5349" s="2"/>
    </row>
    <row r="5350">
      <c r="A5350" s="2">
        <f>IFERROR(__xludf.DUMMYFUNCTION("""COMPUTED_VALUE"""),87099.0)</f>
        <v>87099</v>
      </c>
      <c r="B5350" s="2">
        <f>IFERROR(__xludf.DUMMYFUNCTION("""COMPUTED_VALUE"""),0.0)</f>
        <v>0</v>
      </c>
      <c r="C5350" s="2">
        <f>IFERROR(__xludf.DUMMYFUNCTION("""COMPUTED_VALUE"""),776.0)</f>
        <v>776</v>
      </c>
      <c r="D5350" s="3">
        <f>IFERROR(__xludf.DUMMYFUNCTION("""COMPUTED_VALUE"""),647.0)</f>
        <v>647</v>
      </c>
      <c r="E5350" s="2"/>
      <c r="F5350" s="2"/>
    </row>
    <row r="5351">
      <c r="A5351" s="2">
        <f>IFERROR(__xludf.DUMMYFUNCTION("""COMPUTED_VALUE"""),76569.0)</f>
        <v>76569</v>
      </c>
      <c r="B5351" s="2">
        <f>IFERROR(__xludf.DUMMYFUNCTION("""COMPUTED_VALUE"""),1.0)</f>
        <v>1</v>
      </c>
      <c r="C5351" s="2">
        <f>IFERROR(__xludf.DUMMYFUNCTION("""COMPUTED_VALUE"""),581.0)</f>
        <v>581</v>
      </c>
      <c r="D5351" s="3">
        <f>IFERROR(__xludf.DUMMYFUNCTION("""COMPUTED_VALUE"""),510.0)</f>
        <v>510</v>
      </c>
      <c r="E5351" s="2"/>
      <c r="F5351" s="2"/>
    </row>
    <row r="5352">
      <c r="A5352" s="2">
        <f>IFERROR(__xludf.DUMMYFUNCTION("""COMPUTED_VALUE"""),5586.0)</f>
        <v>5586</v>
      </c>
      <c r="B5352" s="2">
        <f>IFERROR(__xludf.DUMMYFUNCTION("""COMPUTED_VALUE"""),0.0)</f>
        <v>0</v>
      </c>
      <c r="C5352" s="2">
        <f>IFERROR(__xludf.DUMMYFUNCTION("""COMPUTED_VALUE"""),167.0)</f>
        <v>167</v>
      </c>
      <c r="D5352" s="3">
        <f>IFERROR(__xludf.DUMMYFUNCTION("""COMPUTED_VALUE"""),0.0)</f>
        <v>0</v>
      </c>
      <c r="E5352" s="2"/>
      <c r="F5352" s="2"/>
    </row>
    <row r="5353">
      <c r="A5353" s="2">
        <f>IFERROR(__xludf.DUMMYFUNCTION("""COMPUTED_VALUE"""),5600.0)</f>
        <v>5600</v>
      </c>
      <c r="B5353" s="2">
        <f>IFERROR(__xludf.DUMMYFUNCTION("""COMPUTED_VALUE"""),1.0)</f>
        <v>1</v>
      </c>
      <c r="C5353" s="2">
        <f>IFERROR(__xludf.DUMMYFUNCTION("""COMPUTED_VALUE"""),883.0)</f>
        <v>883</v>
      </c>
      <c r="D5353" s="3">
        <f>IFERROR(__xludf.DUMMYFUNCTION("""COMPUTED_VALUE"""),360.0)</f>
        <v>360</v>
      </c>
      <c r="E5353" s="2"/>
      <c r="F5353" s="2"/>
    </row>
    <row r="5354">
      <c r="A5354" s="2">
        <f>IFERROR(__xludf.DUMMYFUNCTION("""COMPUTED_VALUE"""),120390.0)</f>
        <v>120390</v>
      </c>
      <c r="B5354" s="2">
        <f>IFERROR(__xludf.DUMMYFUNCTION("""COMPUTED_VALUE"""),1.0)</f>
        <v>1</v>
      </c>
      <c r="C5354" s="2">
        <f>IFERROR(__xludf.DUMMYFUNCTION("""COMPUTED_VALUE"""),872.0)</f>
        <v>872</v>
      </c>
      <c r="D5354" s="3">
        <f>IFERROR(__xludf.DUMMYFUNCTION("""COMPUTED_VALUE"""),9.0)</f>
        <v>9</v>
      </c>
      <c r="E5354" s="2"/>
      <c r="F5354" s="2"/>
    </row>
    <row r="5355">
      <c r="A5355" s="2">
        <f>IFERROR(__xludf.DUMMYFUNCTION("""COMPUTED_VALUE"""),76389.0)</f>
        <v>76389</v>
      </c>
      <c r="B5355" s="2">
        <f>IFERROR(__xludf.DUMMYFUNCTION("""COMPUTED_VALUE"""),0.0)</f>
        <v>0</v>
      </c>
      <c r="C5355" s="2">
        <f>IFERROR(__xludf.DUMMYFUNCTION("""COMPUTED_VALUE"""),819.0)</f>
        <v>819</v>
      </c>
      <c r="D5355" s="3">
        <f>IFERROR(__xludf.DUMMYFUNCTION("""COMPUTED_VALUE"""),613.0)</f>
        <v>613</v>
      </c>
      <c r="E5355" s="2"/>
      <c r="F5355" s="2"/>
    </row>
    <row r="5356">
      <c r="A5356" s="2">
        <f>IFERROR(__xludf.DUMMYFUNCTION("""COMPUTED_VALUE"""),5601.0)</f>
        <v>5601</v>
      </c>
      <c r="B5356" s="2">
        <f>IFERROR(__xludf.DUMMYFUNCTION("""COMPUTED_VALUE"""),1.0)</f>
        <v>1</v>
      </c>
      <c r="C5356" s="2">
        <f>IFERROR(__xludf.DUMMYFUNCTION("""COMPUTED_VALUE"""),154.0)</f>
        <v>154</v>
      </c>
      <c r="D5356" s="3">
        <f>IFERROR(__xludf.DUMMYFUNCTION("""COMPUTED_VALUE"""),52.0)</f>
        <v>52</v>
      </c>
      <c r="E5356" s="2"/>
      <c r="F5356" s="2"/>
    </row>
    <row r="5357">
      <c r="A5357" s="2">
        <f>IFERROR(__xludf.DUMMYFUNCTION("""COMPUTED_VALUE"""),202579.0)</f>
        <v>202579</v>
      </c>
      <c r="B5357" s="2">
        <f>IFERROR(__xludf.DUMMYFUNCTION("""COMPUTED_VALUE"""),0.0)</f>
        <v>0</v>
      </c>
      <c r="C5357" s="2">
        <f>IFERROR(__xludf.DUMMYFUNCTION("""COMPUTED_VALUE"""),452.0)</f>
        <v>452</v>
      </c>
      <c r="D5357" s="3">
        <f>IFERROR(__xludf.DUMMYFUNCTION("""COMPUTED_VALUE"""),100.0)</f>
        <v>100</v>
      </c>
      <c r="E5357" s="2"/>
      <c r="F5357" s="2"/>
    </row>
    <row r="5358">
      <c r="A5358" s="2">
        <f>IFERROR(__xludf.DUMMYFUNCTION("""COMPUTED_VALUE"""),5584.0)</f>
        <v>5584</v>
      </c>
      <c r="B5358" s="2">
        <f>IFERROR(__xludf.DUMMYFUNCTION("""COMPUTED_VALUE"""),1.0)</f>
        <v>1</v>
      </c>
      <c r="C5358" s="2">
        <f>IFERROR(__xludf.DUMMYFUNCTION("""COMPUTED_VALUE"""),626.0)</f>
        <v>626</v>
      </c>
      <c r="D5358" s="3">
        <f>IFERROR(__xludf.DUMMYFUNCTION("""COMPUTED_VALUE"""),259.0)</f>
        <v>259</v>
      </c>
      <c r="E5358" s="2"/>
      <c r="F5358" s="2"/>
    </row>
    <row r="5359">
      <c r="A5359" s="2">
        <f>IFERROR(__xludf.DUMMYFUNCTION("""COMPUTED_VALUE"""),90888.0)</f>
        <v>90888</v>
      </c>
      <c r="B5359" s="2">
        <f>IFERROR(__xludf.DUMMYFUNCTION("""COMPUTED_VALUE"""),1.0)</f>
        <v>1</v>
      </c>
      <c r="C5359" s="2">
        <f>IFERROR(__xludf.DUMMYFUNCTION("""COMPUTED_VALUE"""),989.0)</f>
        <v>989</v>
      </c>
      <c r="D5359" s="3">
        <f>IFERROR(__xludf.DUMMYFUNCTION("""COMPUTED_VALUE"""),482.0)</f>
        <v>482</v>
      </c>
      <c r="E5359" s="2"/>
      <c r="F5359" s="2"/>
    </row>
    <row r="5360">
      <c r="A5360" s="2">
        <f>IFERROR(__xludf.DUMMYFUNCTION("""COMPUTED_VALUE"""),76584.0)</f>
        <v>76584</v>
      </c>
      <c r="B5360" s="2">
        <f>IFERROR(__xludf.DUMMYFUNCTION("""COMPUTED_VALUE"""),0.0)</f>
        <v>0</v>
      </c>
      <c r="C5360" s="2">
        <f>IFERROR(__xludf.DUMMYFUNCTION("""COMPUTED_VALUE"""),833.0)</f>
        <v>833</v>
      </c>
      <c r="D5360" s="3">
        <f>IFERROR(__xludf.DUMMYFUNCTION("""COMPUTED_VALUE"""),551.0)</f>
        <v>551</v>
      </c>
      <c r="E5360" s="2"/>
      <c r="F5360" s="2"/>
    </row>
    <row r="5361">
      <c r="A5361" s="2">
        <f>IFERROR(__xludf.DUMMYFUNCTION("""COMPUTED_VALUE"""),87171.0)</f>
        <v>87171</v>
      </c>
      <c r="B5361" s="2">
        <f>IFERROR(__xludf.DUMMYFUNCTION("""COMPUTED_VALUE"""),1.0)</f>
        <v>1</v>
      </c>
      <c r="C5361" s="2">
        <f>IFERROR(__xludf.DUMMYFUNCTION("""COMPUTED_VALUE"""),901.0)</f>
        <v>901</v>
      </c>
      <c r="D5361" s="3">
        <f>IFERROR(__xludf.DUMMYFUNCTION("""COMPUTED_VALUE"""),511.0)</f>
        <v>511</v>
      </c>
      <c r="E5361" s="2"/>
      <c r="F5361" s="2"/>
    </row>
    <row r="5362">
      <c r="A5362" s="2">
        <f>IFERROR(__xludf.DUMMYFUNCTION("""COMPUTED_VALUE"""),110569.0)</f>
        <v>110569</v>
      </c>
      <c r="B5362" s="2">
        <f>IFERROR(__xludf.DUMMYFUNCTION("""COMPUTED_VALUE"""),1.0)</f>
        <v>1</v>
      </c>
      <c r="C5362" s="2">
        <f>IFERROR(__xludf.DUMMYFUNCTION("""COMPUTED_VALUE"""),114.0)</f>
        <v>114</v>
      </c>
      <c r="D5362" s="3">
        <f>IFERROR(__xludf.DUMMYFUNCTION("""COMPUTED_VALUE"""),29.0)</f>
        <v>29</v>
      </c>
      <c r="E5362" s="2"/>
      <c r="F5362" s="2"/>
    </row>
    <row r="5363">
      <c r="A5363" s="2">
        <f>IFERROR(__xludf.DUMMYFUNCTION("""COMPUTED_VALUE"""),5588.0)</f>
        <v>5588</v>
      </c>
      <c r="B5363" s="2">
        <f>IFERROR(__xludf.DUMMYFUNCTION("""COMPUTED_VALUE"""),0.0)</f>
        <v>0</v>
      </c>
      <c r="C5363" s="2">
        <f>IFERROR(__xludf.DUMMYFUNCTION("""COMPUTED_VALUE"""),706.0)</f>
        <v>706</v>
      </c>
      <c r="D5363" s="3">
        <f>IFERROR(__xludf.DUMMYFUNCTION("""COMPUTED_VALUE"""),199.0)</f>
        <v>199</v>
      </c>
      <c r="E5363" s="2"/>
      <c r="F5363" s="2"/>
    </row>
    <row r="5364">
      <c r="A5364" s="2">
        <f>IFERROR(__xludf.DUMMYFUNCTION("""COMPUTED_VALUE"""),117165.0)</f>
        <v>117165</v>
      </c>
      <c r="B5364" s="2">
        <f>IFERROR(__xludf.DUMMYFUNCTION("""COMPUTED_VALUE"""),1.0)</f>
        <v>1</v>
      </c>
      <c r="C5364" s="2">
        <f>IFERROR(__xludf.DUMMYFUNCTION("""COMPUTED_VALUE"""),975.0)</f>
        <v>975</v>
      </c>
      <c r="D5364" s="3">
        <f>IFERROR(__xludf.DUMMYFUNCTION("""COMPUTED_VALUE"""),832.0)</f>
        <v>832</v>
      </c>
      <c r="E5364" s="2"/>
      <c r="F5364" s="2"/>
    </row>
    <row r="5365">
      <c r="A5365" s="2">
        <f>IFERROR(__xludf.DUMMYFUNCTION("""COMPUTED_VALUE"""),5587.0)</f>
        <v>5587</v>
      </c>
      <c r="B5365" s="2">
        <f>IFERROR(__xludf.DUMMYFUNCTION("""COMPUTED_VALUE"""),1.0)</f>
        <v>1</v>
      </c>
      <c r="C5365" s="2">
        <f>IFERROR(__xludf.DUMMYFUNCTION("""COMPUTED_VALUE"""),608.0)</f>
        <v>608</v>
      </c>
      <c r="D5365" s="3">
        <f>IFERROR(__xludf.DUMMYFUNCTION("""COMPUTED_VALUE"""),257.0)</f>
        <v>257</v>
      </c>
      <c r="E5365" s="2"/>
      <c r="F5365" s="2"/>
    </row>
    <row r="5366">
      <c r="A5366" s="2">
        <f>IFERROR(__xludf.DUMMYFUNCTION("""COMPUTED_VALUE"""),68359.0)</f>
        <v>68359</v>
      </c>
      <c r="B5366" s="2">
        <f>IFERROR(__xludf.DUMMYFUNCTION("""COMPUTED_VALUE"""),0.0)</f>
        <v>0</v>
      </c>
      <c r="C5366" s="2">
        <f>IFERROR(__xludf.DUMMYFUNCTION("""COMPUTED_VALUE"""),203.0)</f>
        <v>203</v>
      </c>
      <c r="D5366" s="3">
        <f>IFERROR(__xludf.DUMMYFUNCTION("""COMPUTED_VALUE"""),72.0)</f>
        <v>72</v>
      </c>
      <c r="E5366" s="2"/>
      <c r="F5366" s="2"/>
    </row>
    <row r="5367">
      <c r="A5367" s="2">
        <f>IFERROR(__xludf.DUMMYFUNCTION("""COMPUTED_VALUE"""),5590.0)</f>
        <v>5590</v>
      </c>
      <c r="B5367" s="2">
        <f>IFERROR(__xludf.DUMMYFUNCTION("""COMPUTED_VALUE"""),1.0)</f>
        <v>1</v>
      </c>
      <c r="C5367" s="2">
        <f>IFERROR(__xludf.DUMMYFUNCTION("""COMPUTED_VALUE"""),46.0)</f>
        <v>46</v>
      </c>
      <c r="D5367" s="3">
        <f>IFERROR(__xludf.DUMMYFUNCTION("""COMPUTED_VALUE"""),3.0)</f>
        <v>3</v>
      </c>
      <c r="E5367" s="2"/>
      <c r="F5367" s="2"/>
    </row>
    <row r="5368">
      <c r="A5368" s="2">
        <f>IFERROR(__xludf.DUMMYFUNCTION("""COMPUTED_VALUE"""),76475.0)</f>
        <v>76475</v>
      </c>
      <c r="B5368" s="2">
        <f>IFERROR(__xludf.DUMMYFUNCTION("""COMPUTED_VALUE"""),0.0)</f>
        <v>0</v>
      </c>
      <c r="C5368" s="2">
        <f>IFERROR(__xludf.DUMMYFUNCTION("""COMPUTED_VALUE"""),14.0)</f>
        <v>14</v>
      </c>
      <c r="D5368" s="3">
        <f>IFERROR(__xludf.DUMMYFUNCTION("""COMPUTED_VALUE"""),7.0)</f>
        <v>7</v>
      </c>
      <c r="E5368" s="2"/>
      <c r="F5368" s="2"/>
    </row>
    <row r="5369">
      <c r="A5369" s="2">
        <f>IFERROR(__xludf.DUMMYFUNCTION("""COMPUTED_VALUE"""),147309.0)</f>
        <v>147309</v>
      </c>
      <c r="B5369" s="2">
        <f>IFERROR(__xludf.DUMMYFUNCTION("""COMPUTED_VALUE"""),0.0)</f>
        <v>0</v>
      </c>
      <c r="C5369" s="2">
        <f>IFERROR(__xludf.DUMMYFUNCTION("""COMPUTED_VALUE"""),784.0)</f>
        <v>784</v>
      </c>
      <c r="D5369" s="3">
        <f>IFERROR(__xludf.DUMMYFUNCTION("""COMPUTED_VALUE"""),583.0)</f>
        <v>583</v>
      </c>
      <c r="E5369" s="2"/>
      <c r="F5369" s="2"/>
    </row>
    <row r="5370">
      <c r="A5370" s="2">
        <f>IFERROR(__xludf.DUMMYFUNCTION("""COMPUTED_VALUE"""),120533.0)</f>
        <v>120533</v>
      </c>
      <c r="B5370" s="2">
        <f>IFERROR(__xludf.DUMMYFUNCTION("""COMPUTED_VALUE"""),0.0)</f>
        <v>0</v>
      </c>
      <c r="C5370" s="2">
        <f>IFERROR(__xludf.DUMMYFUNCTION("""COMPUTED_VALUE"""),96.0)</f>
        <v>96</v>
      </c>
      <c r="D5370" s="3">
        <f>IFERROR(__xludf.DUMMYFUNCTION("""COMPUTED_VALUE"""),42.0)</f>
        <v>42</v>
      </c>
      <c r="E5370" s="2"/>
      <c r="F5370" s="2"/>
    </row>
    <row r="5371">
      <c r="A5371" s="2">
        <f>IFERROR(__xludf.DUMMYFUNCTION("""COMPUTED_VALUE"""),5591.0)</f>
        <v>5591</v>
      </c>
      <c r="B5371" s="2">
        <f>IFERROR(__xludf.DUMMYFUNCTION("""COMPUTED_VALUE"""),0.0)</f>
        <v>0</v>
      </c>
      <c r="C5371" s="2">
        <f>IFERROR(__xludf.DUMMYFUNCTION("""COMPUTED_VALUE"""),643.0)</f>
        <v>643</v>
      </c>
      <c r="D5371" s="3">
        <f>IFERROR(__xludf.DUMMYFUNCTION("""COMPUTED_VALUE"""),614.0)</f>
        <v>614</v>
      </c>
      <c r="E5371" s="2"/>
      <c r="F5371" s="2"/>
    </row>
    <row r="5372">
      <c r="A5372" s="2">
        <f>IFERROR(__xludf.DUMMYFUNCTION("""COMPUTED_VALUE"""),77248.0)</f>
        <v>77248</v>
      </c>
      <c r="B5372" s="2">
        <f>IFERROR(__xludf.DUMMYFUNCTION("""COMPUTED_VALUE"""),0.0)</f>
        <v>0</v>
      </c>
      <c r="C5372" s="2">
        <f>IFERROR(__xludf.DUMMYFUNCTION("""COMPUTED_VALUE"""),612.0)</f>
        <v>612</v>
      </c>
      <c r="D5372" s="3">
        <f>IFERROR(__xludf.DUMMYFUNCTION("""COMPUTED_VALUE"""),564.0)</f>
        <v>564</v>
      </c>
      <c r="E5372" s="2"/>
      <c r="F5372" s="2"/>
    </row>
    <row r="5373">
      <c r="A5373" s="2">
        <f>IFERROR(__xludf.DUMMYFUNCTION("""COMPUTED_VALUE"""),90819.0)</f>
        <v>90819</v>
      </c>
      <c r="B5373" s="2">
        <f>IFERROR(__xludf.DUMMYFUNCTION("""COMPUTED_VALUE"""),0.0)</f>
        <v>0</v>
      </c>
      <c r="C5373" s="2">
        <f>IFERROR(__xludf.DUMMYFUNCTION("""COMPUTED_VALUE"""),49.0)</f>
        <v>49</v>
      </c>
      <c r="D5373" s="3">
        <f>IFERROR(__xludf.DUMMYFUNCTION("""COMPUTED_VALUE"""),14.0)</f>
        <v>14</v>
      </c>
      <c r="E5373" s="2"/>
      <c r="F5373" s="2"/>
    </row>
    <row r="5374">
      <c r="A5374" s="2">
        <f>IFERROR(__xludf.DUMMYFUNCTION("""COMPUTED_VALUE"""),90820.0)</f>
        <v>90820</v>
      </c>
      <c r="B5374" s="2">
        <f>IFERROR(__xludf.DUMMYFUNCTION("""COMPUTED_VALUE"""),0.0)</f>
        <v>0</v>
      </c>
      <c r="C5374" s="2">
        <f>IFERROR(__xludf.DUMMYFUNCTION("""COMPUTED_VALUE"""),307.0)</f>
        <v>307</v>
      </c>
      <c r="D5374" s="3">
        <f>IFERROR(__xludf.DUMMYFUNCTION("""COMPUTED_VALUE"""),254.0)</f>
        <v>254</v>
      </c>
      <c r="E5374" s="2"/>
      <c r="F5374" s="2"/>
    </row>
    <row r="5375">
      <c r="A5375" s="2">
        <f>IFERROR(__xludf.DUMMYFUNCTION("""COMPUTED_VALUE"""),90839.0)</f>
        <v>90839</v>
      </c>
      <c r="B5375" s="2">
        <f>IFERROR(__xludf.DUMMYFUNCTION("""COMPUTED_VALUE"""),0.0)</f>
        <v>0</v>
      </c>
      <c r="C5375" s="2">
        <f>IFERROR(__xludf.DUMMYFUNCTION("""COMPUTED_VALUE"""),467.0)</f>
        <v>467</v>
      </c>
      <c r="D5375" s="3">
        <f>IFERROR(__xludf.DUMMYFUNCTION("""COMPUTED_VALUE"""),152.0)</f>
        <v>152</v>
      </c>
      <c r="E5375" s="2"/>
      <c r="F5375" s="2"/>
    </row>
    <row r="5376">
      <c r="A5376" s="2">
        <f>IFERROR(__xludf.DUMMYFUNCTION("""COMPUTED_VALUE"""),90858.0)</f>
        <v>90858</v>
      </c>
      <c r="B5376" s="2">
        <f>IFERROR(__xludf.DUMMYFUNCTION("""COMPUTED_VALUE"""),1.0)</f>
        <v>1</v>
      </c>
      <c r="C5376" s="2">
        <f>IFERROR(__xludf.DUMMYFUNCTION("""COMPUTED_VALUE"""),560.0)</f>
        <v>560</v>
      </c>
      <c r="D5376" s="3">
        <f>IFERROR(__xludf.DUMMYFUNCTION("""COMPUTED_VALUE"""),212.0)</f>
        <v>212</v>
      </c>
      <c r="E5376" s="2"/>
      <c r="F5376" s="2"/>
    </row>
    <row r="5377">
      <c r="A5377" s="2">
        <f>IFERROR(__xludf.DUMMYFUNCTION("""COMPUTED_VALUE"""),76588.0)</f>
        <v>76588</v>
      </c>
      <c r="B5377" s="2">
        <f>IFERROR(__xludf.DUMMYFUNCTION("""COMPUTED_VALUE"""),1.0)</f>
        <v>1</v>
      </c>
      <c r="C5377" s="2">
        <f>IFERROR(__xludf.DUMMYFUNCTION("""COMPUTED_VALUE"""),62.0)</f>
        <v>62</v>
      </c>
      <c r="D5377" s="3">
        <f>IFERROR(__xludf.DUMMYFUNCTION("""COMPUTED_VALUE"""),50.0)</f>
        <v>50</v>
      </c>
      <c r="E5377" s="2"/>
      <c r="F5377" s="2"/>
    </row>
    <row r="5378">
      <c r="A5378" s="2">
        <f>IFERROR(__xludf.DUMMYFUNCTION("""COMPUTED_VALUE"""),90671.0)</f>
        <v>90671</v>
      </c>
      <c r="B5378" s="2">
        <f>IFERROR(__xludf.DUMMYFUNCTION("""COMPUTED_VALUE"""),0.0)</f>
        <v>0</v>
      </c>
      <c r="C5378" s="2">
        <f>IFERROR(__xludf.DUMMYFUNCTION("""COMPUTED_VALUE"""),281.0)</f>
        <v>281</v>
      </c>
      <c r="D5378" s="3">
        <f>IFERROR(__xludf.DUMMYFUNCTION("""COMPUTED_VALUE"""),248.0)</f>
        <v>248</v>
      </c>
      <c r="E5378" s="2"/>
      <c r="F5378" s="2"/>
    </row>
    <row r="5379">
      <c r="A5379" s="2">
        <f>IFERROR(__xludf.DUMMYFUNCTION("""COMPUTED_VALUE"""),77194.0)</f>
        <v>77194</v>
      </c>
      <c r="B5379" s="2">
        <f>IFERROR(__xludf.DUMMYFUNCTION("""COMPUTED_VALUE"""),1.0)</f>
        <v>1</v>
      </c>
      <c r="C5379" s="2">
        <f>IFERROR(__xludf.DUMMYFUNCTION("""COMPUTED_VALUE"""),401.0)</f>
        <v>401</v>
      </c>
      <c r="D5379" s="3">
        <f>IFERROR(__xludf.DUMMYFUNCTION("""COMPUTED_VALUE"""),202.0)</f>
        <v>202</v>
      </c>
      <c r="E5379" s="2"/>
      <c r="F5379" s="2"/>
    </row>
    <row r="5380">
      <c r="A5380" s="2">
        <f>IFERROR(__xludf.DUMMYFUNCTION("""COMPUTED_VALUE"""),5504.0)</f>
        <v>5504</v>
      </c>
      <c r="B5380" s="2">
        <f>IFERROR(__xludf.DUMMYFUNCTION("""COMPUTED_VALUE"""),1.0)</f>
        <v>1</v>
      </c>
      <c r="C5380" s="2">
        <f>IFERROR(__xludf.DUMMYFUNCTION("""COMPUTED_VALUE"""),321.0)</f>
        <v>321</v>
      </c>
      <c r="D5380" s="3">
        <f>IFERROR(__xludf.DUMMYFUNCTION("""COMPUTED_VALUE"""),201.0)</f>
        <v>201</v>
      </c>
      <c r="E5380" s="2"/>
      <c r="F5380" s="2"/>
    </row>
    <row r="5381">
      <c r="A5381" s="2">
        <f>IFERROR(__xludf.DUMMYFUNCTION("""COMPUTED_VALUE"""),90662.0)</f>
        <v>90662</v>
      </c>
      <c r="B5381" s="2">
        <f>IFERROR(__xludf.DUMMYFUNCTION("""COMPUTED_VALUE"""),1.0)</f>
        <v>1</v>
      </c>
      <c r="C5381" s="2">
        <f>IFERROR(__xludf.DUMMYFUNCTION("""COMPUTED_VALUE"""),445.0)</f>
        <v>445</v>
      </c>
      <c r="D5381" s="3">
        <f>IFERROR(__xludf.DUMMYFUNCTION("""COMPUTED_VALUE"""),269.0)</f>
        <v>269</v>
      </c>
      <c r="E5381" s="2"/>
      <c r="F5381" s="2"/>
    </row>
    <row r="5382">
      <c r="A5382" s="2">
        <f>IFERROR(__xludf.DUMMYFUNCTION("""COMPUTED_VALUE"""),87288.0)</f>
        <v>87288</v>
      </c>
      <c r="B5382" s="2">
        <f>IFERROR(__xludf.DUMMYFUNCTION("""COMPUTED_VALUE"""),0.0)</f>
        <v>0</v>
      </c>
      <c r="C5382" s="2">
        <f>IFERROR(__xludf.DUMMYFUNCTION("""COMPUTED_VALUE"""),394.0)</f>
        <v>394</v>
      </c>
      <c r="D5382" s="3">
        <f>IFERROR(__xludf.DUMMYFUNCTION("""COMPUTED_VALUE"""),96.0)</f>
        <v>96</v>
      </c>
      <c r="E5382" s="2"/>
      <c r="F5382" s="2"/>
    </row>
    <row r="5383">
      <c r="A5383" s="2">
        <f>IFERROR(__xludf.DUMMYFUNCTION("""COMPUTED_VALUE"""),5494.0)</f>
        <v>5494</v>
      </c>
      <c r="B5383" s="2">
        <f>IFERROR(__xludf.DUMMYFUNCTION("""COMPUTED_VALUE"""),0.0)</f>
        <v>0</v>
      </c>
      <c r="C5383" s="2">
        <f>IFERROR(__xludf.DUMMYFUNCTION("""COMPUTED_VALUE"""),180.0)</f>
        <v>180</v>
      </c>
      <c r="D5383" s="3">
        <f>IFERROR(__xludf.DUMMYFUNCTION("""COMPUTED_VALUE"""),122.0)</f>
        <v>122</v>
      </c>
      <c r="E5383" s="2"/>
      <c r="F5383" s="2"/>
    </row>
    <row r="5384">
      <c r="A5384" s="2">
        <f>IFERROR(__xludf.DUMMYFUNCTION("""COMPUTED_VALUE"""),76637.0)</f>
        <v>76637</v>
      </c>
      <c r="B5384" s="2">
        <f>IFERROR(__xludf.DUMMYFUNCTION("""COMPUTED_VALUE"""),1.0)</f>
        <v>1</v>
      </c>
      <c r="C5384" s="2">
        <f>IFERROR(__xludf.DUMMYFUNCTION("""COMPUTED_VALUE"""),432.0)</f>
        <v>432</v>
      </c>
      <c r="D5384" s="3">
        <f>IFERROR(__xludf.DUMMYFUNCTION("""COMPUTED_VALUE"""),420.0)</f>
        <v>420</v>
      </c>
      <c r="E5384" s="2"/>
      <c r="F5384" s="2"/>
    </row>
    <row r="5385">
      <c r="A5385" s="2">
        <f>IFERROR(__xludf.DUMMYFUNCTION("""COMPUTED_VALUE"""),76601.0)</f>
        <v>76601</v>
      </c>
      <c r="B5385" s="2">
        <f>IFERROR(__xludf.DUMMYFUNCTION("""COMPUTED_VALUE"""),1.0)</f>
        <v>1</v>
      </c>
      <c r="C5385" s="2">
        <f>IFERROR(__xludf.DUMMYFUNCTION("""COMPUTED_VALUE"""),769.0)</f>
        <v>769</v>
      </c>
      <c r="D5385" s="3">
        <f>IFERROR(__xludf.DUMMYFUNCTION("""COMPUTED_VALUE"""),769.0)</f>
        <v>769</v>
      </c>
      <c r="E5385" s="2"/>
      <c r="F5385" s="2"/>
    </row>
    <row r="5386">
      <c r="A5386" s="2">
        <f>IFERROR(__xludf.DUMMYFUNCTION("""COMPUTED_VALUE"""),87202.0)</f>
        <v>87202</v>
      </c>
      <c r="B5386" s="2">
        <f>IFERROR(__xludf.DUMMYFUNCTION("""COMPUTED_VALUE"""),1.0)</f>
        <v>1</v>
      </c>
      <c r="C5386" s="2">
        <f>IFERROR(__xludf.DUMMYFUNCTION("""COMPUTED_VALUE"""),238.0)</f>
        <v>238</v>
      </c>
      <c r="D5386" s="3">
        <f>IFERROR(__xludf.DUMMYFUNCTION("""COMPUTED_VALUE"""),223.0)</f>
        <v>223</v>
      </c>
      <c r="E5386" s="2"/>
      <c r="F5386" s="2"/>
    </row>
    <row r="5387">
      <c r="A5387" s="2">
        <f>IFERROR(__xludf.DUMMYFUNCTION("""COMPUTED_VALUE"""),122244.0)</f>
        <v>122244</v>
      </c>
      <c r="B5387" s="2">
        <f>IFERROR(__xludf.DUMMYFUNCTION("""COMPUTED_VALUE"""),0.0)</f>
        <v>0</v>
      </c>
      <c r="C5387" s="2">
        <f>IFERROR(__xludf.DUMMYFUNCTION("""COMPUTED_VALUE"""),675.0)</f>
        <v>675</v>
      </c>
      <c r="D5387" s="3">
        <f>IFERROR(__xludf.DUMMYFUNCTION("""COMPUTED_VALUE"""),119.0)</f>
        <v>119</v>
      </c>
      <c r="E5387" s="2"/>
      <c r="F5387" s="2"/>
    </row>
    <row r="5388">
      <c r="A5388" s="2">
        <f>IFERROR(__xludf.DUMMYFUNCTION("""COMPUTED_VALUE"""),122075.0)</f>
        <v>122075</v>
      </c>
      <c r="B5388" s="2">
        <f>IFERROR(__xludf.DUMMYFUNCTION("""COMPUTED_VALUE"""),1.0)</f>
        <v>1</v>
      </c>
      <c r="C5388" s="2">
        <f>IFERROR(__xludf.DUMMYFUNCTION("""COMPUTED_VALUE"""),922.0)</f>
        <v>922</v>
      </c>
      <c r="D5388" s="3">
        <f>IFERROR(__xludf.DUMMYFUNCTION("""COMPUTED_VALUE"""),61.0)</f>
        <v>61</v>
      </c>
      <c r="E5388" s="2"/>
      <c r="F5388" s="2"/>
    </row>
    <row r="5389">
      <c r="A5389" s="2">
        <f>IFERROR(__xludf.DUMMYFUNCTION("""COMPUTED_VALUE"""),90735.0)</f>
        <v>90735</v>
      </c>
      <c r="B5389" s="2">
        <f>IFERROR(__xludf.DUMMYFUNCTION("""COMPUTED_VALUE"""),1.0)</f>
        <v>1</v>
      </c>
      <c r="C5389" s="2">
        <f>IFERROR(__xludf.DUMMYFUNCTION("""COMPUTED_VALUE"""),640.0)</f>
        <v>640</v>
      </c>
      <c r="D5389" s="3">
        <f>IFERROR(__xludf.DUMMYFUNCTION("""COMPUTED_VALUE"""),457.0)</f>
        <v>457</v>
      </c>
      <c r="E5389" s="2"/>
      <c r="F5389" s="2"/>
    </row>
    <row r="5390">
      <c r="A5390" s="2">
        <f>IFERROR(__xludf.DUMMYFUNCTION("""COMPUTED_VALUE"""),20951.0)</f>
        <v>20951</v>
      </c>
      <c r="B5390" s="2">
        <f>IFERROR(__xludf.DUMMYFUNCTION("""COMPUTED_VALUE"""),0.0)</f>
        <v>0</v>
      </c>
      <c r="C5390" s="2">
        <f>IFERROR(__xludf.DUMMYFUNCTION("""COMPUTED_VALUE"""),519.0)</f>
        <v>519</v>
      </c>
      <c r="D5390" s="3">
        <f>IFERROR(__xludf.DUMMYFUNCTION("""COMPUTED_VALUE"""),418.0)</f>
        <v>418</v>
      </c>
      <c r="E5390" s="2"/>
      <c r="F5390" s="2"/>
    </row>
    <row r="5391">
      <c r="A5391" s="2">
        <f>IFERROR(__xludf.DUMMYFUNCTION("""COMPUTED_VALUE"""),5502.0)</f>
        <v>5502</v>
      </c>
      <c r="B5391" s="2">
        <f>IFERROR(__xludf.DUMMYFUNCTION("""COMPUTED_VALUE"""),1.0)</f>
        <v>1</v>
      </c>
      <c r="C5391" s="2">
        <f>IFERROR(__xludf.DUMMYFUNCTION("""COMPUTED_VALUE"""),192.0)</f>
        <v>192</v>
      </c>
      <c r="D5391" s="3">
        <f>IFERROR(__xludf.DUMMYFUNCTION("""COMPUTED_VALUE"""),159.0)</f>
        <v>159</v>
      </c>
      <c r="E5391" s="2"/>
      <c r="F5391" s="2"/>
    </row>
    <row r="5392">
      <c r="A5392" s="2">
        <f>IFERROR(__xludf.DUMMYFUNCTION("""COMPUTED_VALUE"""),90669.0)</f>
        <v>90669</v>
      </c>
      <c r="B5392" s="2">
        <f>IFERROR(__xludf.DUMMYFUNCTION("""COMPUTED_VALUE"""),0.0)</f>
        <v>0</v>
      </c>
      <c r="C5392" s="2">
        <f>IFERROR(__xludf.DUMMYFUNCTION("""COMPUTED_VALUE"""),849.0)</f>
        <v>849</v>
      </c>
      <c r="D5392" s="3">
        <f>IFERROR(__xludf.DUMMYFUNCTION("""COMPUTED_VALUE"""),461.0)</f>
        <v>461</v>
      </c>
      <c r="E5392" s="2"/>
      <c r="F5392" s="2"/>
    </row>
    <row r="5393">
      <c r="A5393" s="2">
        <f>IFERROR(__xludf.DUMMYFUNCTION("""COMPUTED_VALUE"""),90673.0)</f>
        <v>90673</v>
      </c>
      <c r="B5393" s="2">
        <f>IFERROR(__xludf.DUMMYFUNCTION("""COMPUTED_VALUE"""),0.0)</f>
        <v>0</v>
      </c>
      <c r="C5393" s="2">
        <f>IFERROR(__xludf.DUMMYFUNCTION("""COMPUTED_VALUE"""),794.0)</f>
        <v>794</v>
      </c>
      <c r="D5393" s="3">
        <f>IFERROR(__xludf.DUMMYFUNCTION("""COMPUTED_VALUE"""),673.0)</f>
        <v>673</v>
      </c>
      <c r="E5393" s="2"/>
      <c r="F5393" s="2"/>
    </row>
    <row r="5394">
      <c r="A5394" s="2">
        <f>IFERROR(__xludf.DUMMYFUNCTION("""COMPUTED_VALUE"""),68403.0)</f>
        <v>68403</v>
      </c>
      <c r="B5394" s="2">
        <f>IFERROR(__xludf.DUMMYFUNCTION("""COMPUTED_VALUE"""),1.0)</f>
        <v>1</v>
      </c>
      <c r="C5394" s="2">
        <f>IFERROR(__xludf.DUMMYFUNCTION("""COMPUTED_VALUE"""),-10.0)</f>
        <v>-10</v>
      </c>
      <c r="D5394" s="3">
        <f>IFERROR(__xludf.DUMMYFUNCTION("""COMPUTED_VALUE"""),-6.0)</f>
        <v>-6</v>
      </c>
      <c r="E5394" s="2"/>
      <c r="F5394" s="2"/>
    </row>
    <row r="5395">
      <c r="A5395" s="2">
        <f>IFERROR(__xludf.DUMMYFUNCTION("""COMPUTED_VALUE"""),76636.0)</f>
        <v>76636</v>
      </c>
      <c r="B5395" s="2">
        <f>IFERROR(__xludf.DUMMYFUNCTION("""COMPUTED_VALUE"""),1.0)</f>
        <v>1</v>
      </c>
      <c r="C5395" s="2">
        <f>IFERROR(__xludf.DUMMYFUNCTION("""COMPUTED_VALUE"""),821.0)</f>
        <v>821</v>
      </c>
      <c r="D5395" s="3">
        <f>IFERROR(__xludf.DUMMYFUNCTION("""COMPUTED_VALUE"""),124.0)</f>
        <v>124</v>
      </c>
      <c r="E5395" s="2"/>
      <c r="F5395" s="2"/>
    </row>
    <row r="5396">
      <c r="A5396" s="2">
        <f>IFERROR(__xludf.DUMMYFUNCTION("""COMPUTED_VALUE"""),77397.0)</f>
        <v>77397</v>
      </c>
      <c r="B5396" s="2">
        <f>IFERROR(__xludf.DUMMYFUNCTION("""COMPUTED_VALUE"""),0.0)</f>
        <v>0</v>
      </c>
      <c r="C5396" s="2">
        <f>IFERROR(__xludf.DUMMYFUNCTION("""COMPUTED_VALUE"""),189.0)</f>
        <v>189</v>
      </c>
      <c r="D5396" s="3">
        <f>IFERROR(__xludf.DUMMYFUNCTION("""COMPUTED_VALUE"""),19.0)</f>
        <v>19</v>
      </c>
      <c r="E5396" s="2"/>
      <c r="F5396" s="2"/>
    </row>
    <row r="5397">
      <c r="A5397" s="2">
        <f>IFERROR(__xludf.DUMMYFUNCTION("""COMPUTED_VALUE"""),76195.0)</f>
        <v>76195</v>
      </c>
      <c r="B5397" s="2">
        <f>IFERROR(__xludf.DUMMYFUNCTION("""COMPUTED_VALUE"""),1.0)</f>
        <v>1</v>
      </c>
      <c r="C5397" s="2">
        <f>IFERROR(__xludf.DUMMYFUNCTION("""COMPUTED_VALUE"""),356.0)</f>
        <v>356</v>
      </c>
      <c r="D5397" s="3">
        <f>IFERROR(__xludf.DUMMYFUNCTION("""COMPUTED_VALUE"""),220.0)</f>
        <v>220</v>
      </c>
      <c r="E5397" s="2"/>
      <c r="F5397" s="2"/>
    </row>
    <row r="5398">
      <c r="A5398" s="2">
        <f>IFERROR(__xludf.DUMMYFUNCTION("""COMPUTED_VALUE"""),90710.0)</f>
        <v>90710</v>
      </c>
      <c r="B5398" s="2">
        <f>IFERROR(__xludf.DUMMYFUNCTION("""COMPUTED_VALUE"""),1.0)</f>
        <v>1</v>
      </c>
      <c r="C5398" s="2">
        <f>IFERROR(__xludf.DUMMYFUNCTION("""COMPUTED_VALUE"""),228.0)</f>
        <v>228</v>
      </c>
      <c r="D5398" s="3">
        <f>IFERROR(__xludf.DUMMYFUNCTION("""COMPUTED_VALUE"""),152.0)</f>
        <v>152</v>
      </c>
      <c r="E5398" s="2"/>
      <c r="F5398" s="2"/>
    </row>
    <row r="5399">
      <c r="A5399" s="2">
        <f>IFERROR(__xludf.DUMMYFUNCTION("""COMPUTED_VALUE"""),117148.0)</f>
        <v>117148</v>
      </c>
      <c r="B5399" s="2">
        <f>IFERROR(__xludf.DUMMYFUNCTION("""COMPUTED_VALUE"""),0.0)</f>
        <v>0</v>
      </c>
      <c r="C5399" s="2">
        <f>IFERROR(__xludf.DUMMYFUNCTION("""COMPUTED_VALUE"""),58.0)</f>
        <v>58</v>
      </c>
      <c r="D5399" s="3">
        <f>IFERROR(__xludf.DUMMYFUNCTION("""COMPUTED_VALUE"""),35.0)</f>
        <v>35</v>
      </c>
      <c r="E5399" s="2"/>
      <c r="F5399" s="2"/>
    </row>
    <row r="5400">
      <c r="A5400" s="2">
        <f>IFERROR(__xludf.DUMMYFUNCTION("""COMPUTED_VALUE"""),5493.0)</f>
        <v>5493</v>
      </c>
      <c r="B5400" s="2">
        <f>IFERROR(__xludf.DUMMYFUNCTION("""COMPUTED_VALUE"""),0.0)</f>
        <v>0</v>
      </c>
      <c r="C5400" s="2">
        <f>IFERROR(__xludf.DUMMYFUNCTION("""COMPUTED_VALUE"""),367.0)</f>
        <v>367</v>
      </c>
      <c r="D5400" s="3">
        <f>IFERROR(__xludf.DUMMYFUNCTION("""COMPUTED_VALUE"""),263.0)</f>
        <v>263</v>
      </c>
      <c r="E5400" s="2"/>
      <c r="F5400" s="2"/>
    </row>
    <row r="5401">
      <c r="A5401" s="2">
        <f>IFERROR(__xludf.DUMMYFUNCTION("""COMPUTED_VALUE"""),76671.0)</f>
        <v>76671</v>
      </c>
      <c r="B5401" s="2">
        <f>IFERROR(__xludf.DUMMYFUNCTION("""COMPUTED_VALUE"""),1.0)</f>
        <v>1</v>
      </c>
      <c r="C5401" s="2">
        <f>IFERROR(__xludf.DUMMYFUNCTION("""COMPUTED_VALUE"""),648.0)</f>
        <v>648</v>
      </c>
      <c r="D5401" s="3">
        <f>IFERROR(__xludf.DUMMYFUNCTION("""COMPUTED_VALUE"""),321.0)</f>
        <v>321</v>
      </c>
      <c r="E5401" s="2"/>
      <c r="F5401" s="2"/>
    </row>
    <row r="5402">
      <c r="A5402" s="2">
        <f>IFERROR(__xludf.DUMMYFUNCTION("""COMPUTED_VALUE"""),90678.0)</f>
        <v>90678</v>
      </c>
      <c r="B5402" s="2">
        <f>IFERROR(__xludf.DUMMYFUNCTION("""COMPUTED_VALUE"""),1.0)</f>
        <v>1</v>
      </c>
      <c r="C5402" s="2">
        <f>IFERROR(__xludf.DUMMYFUNCTION("""COMPUTED_VALUE"""),866.0)</f>
        <v>866</v>
      </c>
      <c r="D5402" s="3">
        <f>IFERROR(__xludf.DUMMYFUNCTION("""COMPUTED_VALUE"""),125.0)</f>
        <v>125</v>
      </c>
      <c r="E5402" s="2"/>
      <c r="F5402" s="2"/>
    </row>
    <row r="5403">
      <c r="A5403" s="2">
        <f>IFERROR(__xludf.DUMMYFUNCTION("""COMPUTED_VALUE"""),76207.0)</f>
        <v>76207</v>
      </c>
      <c r="B5403" s="2">
        <f>IFERROR(__xludf.DUMMYFUNCTION("""COMPUTED_VALUE"""),0.0)</f>
        <v>0</v>
      </c>
      <c r="C5403" s="2">
        <f>IFERROR(__xludf.DUMMYFUNCTION("""COMPUTED_VALUE"""),50.0)</f>
        <v>50</v>
      </c>
      <c r="D5403" s="3">
        <f>IFERROR(__xludf.DUMMYFUNCTION("""COMPUTED_VALUE"""),15.0)</f>
        <v>15</v>
      </c>
      <c r="E5403" s="2"/>
      <c r="F5403" s="2"/>
    </row>
    <row r="5404">
      <c r="A5404" s="2">
        <f>IFERROR(__xludf.DUMMYFUNCTION("""COMPUTED_VALUE"""),5500.0)</f>
        <v>5500</v>
      </c>
      <c r="B5404" s="2">
        <f>IFERROR(__xludf.DUMMYFUNCTION("""COMPUTED_VALUE"""),0.0)</f>
        <v>0</v>
      </c>
      <c r="C5404" s="2">
        <f>IFERROR(__xludf.DUMMYFUNCTION("""COMPUTED_VALUE"""),379.0)</f>
        <v>379</v>
      </c>
      <c r="D5404" s="3">
        <f>IFERROR(__xludf.DUMMYFUNCTION("""COMPUTED_VALUE"""),205.0)</f>
        <v>205</v>
      </c>
      <c r="E5404" s="2"/>
      <c r="F5404" s="2"/>
    </row>
    <row r="5405">
      <c r="A5405" s="2">
        <f>IFERROR(__xludf.DUMMYFUNCTION("""COMPUTED_VALUE"""),122081.0)</f>
        <v>122081</v>
      </c>
      <c r="B5405" s="2">
        <f>IFERROR(__xludf.DUMMYFUNCTION("""COMPUTED_VALUE"""),1.0)</f>
        <v>1</v>
      </c>
      <c r="C5405" s="2">
        <f>IFERROR(__xludf.DUMMYFUNCTION("""COMPUTED_VALUE"""),739.0)</f>
        <v>739</v>
      </c>
      <c r="D5405" s="3">
        <f>IFERROR(__xludf.DUMMYFUNCTION("""COMPUTED_VALUE"""),550.0)</f>
        <v>550</v>
      </c>
      <c r="E5405" s="2"/>
      <c r="F5405" s="2"/>
    </row>
    <row r="5406">
      <c r="A5406" s="2">
        <f>IFERROR(__xludf.DUMMYFUNCTION("""COMPUTED_VALUE"""),77396.0)</f>
        <v>77396</v>
      </c>
      <c r="B5406" s="2">
        <f>IFERROR(__xludf.DUMMYFUNCTION("""COMPUTED_VALUE"""),1.0)</f>
        <v>1</v>
      </c>
      <c r="C5406" s="2">
        <f>IFERROR(__xludf.DUMMYFUNCTION("""COMPUTED_VALUE"""),434.0)</f>
        <v>434</v>
      </c>
      <c r="D5406" s="3">
        <f>IFERROR(__xludf.DUMMYFUNCTION("""COMPUTED_VALUE"""),354.0)</f>
        <v>354</v>
      </c>
      <c r="E5406" s="2"/>
      <c r="F5406" s="2"/>
    </row>
    <row r="5407">
      <c r="A5407" s="2">
        <f>IFERROR(__xludf.DUMMYFUNCTION("""COMPUTED_VALUE"""),77398.0)</f>
        <v>77398</v>
      </c>
      <c r="B5407" s="2">
        <f>IFERROR(__xludf.DUMMYFUNCTION("""COMPUTED_VALUE"""),1.0)</f>
        <v>1</v>
      </c>
      <c r="C5407" s="2">
        <f>IFERROR(__xludf.DUMMYFUNCTION("""COMPUTED_VALUE"""),313.0)</f>
        <v>313</v>
      </c>
      <c r="D5407" s="3">
        <f>IFERROR(__xludf.DUMMYFUNCTION("""COMPUTED_VALUE"""),309.0)</f>
        <v>309</v>
      </c>
      <c r="E5407" s="2"/>
      <c r="F5407" s="2"/>
    </row>
    <row r="5408">
      <c r="A5408" s="2">
        <f>IFERROR(__xludf.DUMMYFUNCTION("""COMPUTED_VALUE"""),90716.0)</f>
        <v>90716</v>
      </c>
      <c r="B5408" s="2">
        <f>IFERROR(__xludf.DUMMYFUNCTION("""COMPUTED_VALUE"""),0.0)</f>
        <v>0</v>
      </c>
      <c r="C5408" s="2">
        <f>IFERROR(__xludf.DUMMYFUNCTION("""COMPUTED_VALUE"""),620.0)</f>
        <v>620</v>
      </c>
      <c r="D5408" s="3">
        <f>IFERROR(__xludf.DUMMYFUNCTION("""COMPUTED_VALUE"""),606.0)</f>
        <v>606</v>
      </c>
      <c r="E5408" s="2"/>
      <c r="F5408" s="2"/>
    </row>
    <row r="5409">
      <c r="A5409" s="2">
        <f>IFERROR(__xludf.DUMMYFUNCTION("""COMPUTED_VALUE"""),122846.0)</f>
        <v>122846</v>
      </c>
      <c r="B5409" s="2">
        <f>IFERROR(__xludf.DUMMYFUNCTION("""COMPUTED_VALUE"""),0.0)</f>
        <v>0</v>
      </c>
      <c r="C5409" s="2">
        <f>IFERROR(__xludf.DUMMYFUNCTION("""COMPUTED_VALUE"""),324.0)</f>
        <v>324</v>
      </c>
      <c r="D5409" s="3">
        <f>IFERROR(__xludf.DUMMYFUNCTION("""COMPUTED_VALUE"""),157.0)</f>
        <v>157</v>
      </c>
      <c r="E5409" s="2"/>
      <c r="F5409" s="2"/>
    </row>
    <row r="5410">
      <c r="A5410" s="2">
        <f>IFERROR(__xludf.DUMMYFUNCTION("""COMPUTED_VALUE"""),77410.0)</f>
        <v>77410</v>
      </c>
      <c r="B5410" s="2">
        <f>IFERROR(__xludf.DUMMYFUNCTION("""COMPUTED_VALUE"""),1.0)</f>
        <v>1</v>
      </c>
      <c r="C5410" s="2">
        <f>IFERROR(__xludf.DUMMYFUNCTION("""COMPUTED_VALUE"""),255.0)</f>
        <v>255</v>
      </c>
      <c r="D5410" s="3">
        <f>IFERROR(__xludf.DUMMYFUNCTION("""COMPUTED_VALUE"""),57.0)</f>
        <v>57</v>
      </c>
      <c r="E5410" s="2"/>
      <c r="F5410" s="2"/>
    </row>
    <row r="5411">
      <c r="A5411" s="2">
        <f>IFERROR(__xludf.DUMMYFUNCTION("""COMPUTED_VALUE"""),87083.0)</f>
        <v>87083</v>
      </c>
      <c r="B5411" s="2">
        <f>IFERROR(__xludf.DUMMYFUNCTION("""COMPUTED_VALUE"""),0.0)</f>
        <v>0</v>
      </c>
      <c r="C5411" s="2">
        <f>IFERROR(__xludf.DUMMYFUNCTION("""COMPUTED_VALUE"""),200.0)</f>
        <v>200</v>
      </c>
      <c r="D5411" s="3">
        <f>IFERROR(__xludf.DUMMYFUNCTION("""COMPUTED_VALUE"""),122.0)</f>
        <v>122</v>
      </c>
      <c r="E5411" s="2"/>
      <c r="F5411" s="2"/>
    </row>
    <row r="5412">
      <c r="A5412" s="2">
        <f>IFERROR(__xludf.DUMMYFUNCTION("""COMPUTED_VALUE"""),73630.0)</f>
        <v>73630</v>
      </c>
      <c r="B5412" s="2">
        <f>IFERROR(__xludf.DUMMYFUNCTION("""COMPUTED_VALUE"""),1.0)</f>
        <v>1</v>
      </c>
      <c r="C5412" s="2">
        <f>IFERROR(__xludf.DUMMYFUNCTION("""COMPUTED_VALUE"""),315.0)</f>
        <v>315</v>
      </c>
      <c r="D5412" s="3">
        <f>IFERROR(__xludf.DUMMYFUNCTION("""COMPUTED_VALUE"""),49.0)</f>
        <v>49</v>
      </c>
      <c r="E5412" s="2"/>
      <c r="F5412" s="2"/>
    </row>
    <row r="5413">
      <c r="A5413" s="2">
        <f>IFERROR(__xludf.DUMMYFUNCTION("""COMPUTED_VALUE"""),90659.0)</f>
        <v>90659</v>
      </c>
      <c r="B5413" s="2">
        <f>IFERROR(__xludf.DUMMYFUNCTION("""COMPUTED_VALUE"""),1.0)</f>
        <v>1</v>
      </c>
      <c r="C5413" s="2">
        <f>IFERROR(__xludf.DUMMYFUNCTION("""COMPUTED_VALUE"""),321.0)</f>
        <v>321</v>
      </c>
      <c r="D5413" s="3">
        <f>IFERROR(__xludf.DUMMYFUNCTION("""COMPUTED_VALUE"""),273.0)</f>
        <v>273</v>
      </c>
      <c r="E5413" s="2"/>
      <c r="F5413" s="2"/>
    </row>
    <row r="5414">
      <c r="A5414" s="2">
        <f>IFERROR(__xludf.DUMMYFUNCTION("""COMPUTED_VALUE"""),122079.0)</f>
        <v>122079</v>
      </c>
      <c r="B5414" s="2">
        <f>IFERROR(__xludf.DUMMYFUNCTION("""COMPUTED_VALUE"""),1.0)</f>
        <v>1</v>
      </c>
      <c r="C5414" s="2">
        <f>IFERROR(__xludf.DUMMYFUNCTION("""COMPUTED_VALUE"""),454.0)</f>
        <v>454</v>
      </c>
      <c r="D5414" s="3">
        <f>IFERROR(__xludf.DUMMYFUNCTION("""COMPUTED_VALUE"""),370.0)</f>
        <v>370</v>
      </c>
      <c r="E5414" s="2"/>
      <c r="F5414" s="2"/>
    </row>
    <row r="5415">
      <c r="A5415" s="2">
        <f>IFERROR(__xludf.DUMMYFUNCTION("""COMPUTED_VALUE"""),5551.0)</f>
        <v>5551</v>
      </c>
      <c r="B5415" s="2">
        <f>IFERROR(__xludf.DUMMYFUNCTION("""COMPUTED_VALUE"""),1.0)</f>
        <v>1</v>
      </c>
      <c r="C5415" s="2">
        <f>IFERROR(__xludf.DUMMYFUNCTION("""COMPUTED_VALUE"""),630.0)</f>
        <v>630</v>
      </c>
      <c r="D5415" s="3">
        <f>IFERROR(__xludf.DUMMYFUNCTION("""COMPUTED_VALUE"""),119.0)</f>
        <v>119</v>
      </c>
      <c r="E5415" s="2"/>
      <c r="F5415" s="2"/>
    </row>
    <row r="5416">
      <c r="A5416" s="2">
        <f>IFERROR(__xludf.DUMMYFUNCTION("""COMPUTED_VALUE"""),90624.0)</f>
        <v>90624</v>
      </c>
      <c r="B5416" s="2">
        <f>IFERROR(__xludf.DUMMYFUNCTION("""COMPUTED_VALUE"""),0.0)</f>
        <v>0</v>
      </c>
      <c r="C5416" s="2">
        <f>IFERROR(__xludf.DUMMYFUNCTION("""COMPUTED_VALUE"""),448.0)</f>
        <v>448</v>
      </c>
      <c r="D5416" s="3">
        <f>IFERROR(__xludf.DUMMYFUNCTION("""COMPUTED_VALUE"""),308.0)</f>
        <v>308</v>
      </c>
      <c r="E5416" s="2"/>
      <c r="F5416" s="2"/>
    </row>
    <row r="5417">
      <c r="A5417" s="2">
        <f>IFERROR(__xludf.DUMMYFUNCTION("""COMPUTED_VALUE"""),29100.0)</f>
        <v>29100</v>
      </c>
      <c r="B5417" s="2">
        <f>IFERROR(__xludf.DUMMYFUNCTION("""COMPUTED_VALUE"""),1.0)</f>
        <v>1</v>
      </c>
      <c r="C5417" s="2">
        <f>IFERROR(__xludf.DUMMYFUNCTION("""COMPUTED_VALUE"""),164.0)</f>
        <v>164</v>
      </c>
      <c r="D5417" s="3">
        <f>IFERROR(__xludf.DUMMYFUNCTION("""COMPUTED_VALUE"""),54.0)</f>
        <v>54</v>
      </c>
      <c r="E5417" s="2"/>
      <c r="F5417" s="2"/>
    </row>
    <row r="5418">
      <c r="A5418" s="2">
        <f>IFERROR(__xludf.DUMMYFUNCTION("""COMPUTED_VALUE"""),46330.0)</f>
        <v>46330</v>
      </c>
      <c r="B5418" s="2">
        <f>IFERROR(__xludf.DUMMYFUNCTION("""COMPUTED_VALUE"""),1.0)</f>
        <v>1</v>
      </c>
      <c r="C5418" s="2">
        <f>IFERROR(__xludf.DUMMYFUNCTION("""COMPUTED_VALUE"""),480.0)</f>
        <v>480</v>
      </c>
      <c r="D5418" s="3">
        <f>IFERROR(__xludf.DUMMYFUNCTION("""COMPUTED_VALUE"""),82.0)</f>
        <v>82</v>
      </c>
      <c r="E5418" s="2"/>
      <c r="F5418" s="2"/>
    </row>
    <row r="5419">
      <c r="A5419" s="2">
        <f>IFERROR(__xludf.DUMMYFUNCTION("""COMPUTED_VALUE"""),117659.0)</f>
        <v>117659</v>
      </c>
      <c r="B5419" s="2">
        <f>IFERROR(__xludf.DUMMYFUNCTION("""COMPUTED_VALUE"""),1.0)</f>
        <v>1</v>
      </c>
      <c r="C5419" s="2">
        <f>IFERROR(__xludf.DUMMYFUNCTION("""COMPUTED_VALUE"""),466.0)</f>
        <v>466</v>
      </c>
      <c r="D5419" s="3">
        <f>IFERROR(__xludf.DUMMYFUNCTION("""COMPUTED_VALUE"""),124.0)</f>
        <v>124</v>
      </c>
      <c r="E5419" s="2"/>
      <c r="F5419" s="2"/>
    </row>
    <row r="5420">
      <c r="A5420" s="2">
        <f>IFERROR(__xludf.DUMMYFUNCTION("""COMPUTED_VALUE"""),48149.0)</f>
        <v>48149</v>
      </c>
      <c r="B5420" s="2">
        <f>IFERROR(__xludf.DUMMYFUNCTION("""COMPUTED_VALUE"""),1.0)</f>
        <v>1</v>
      </c>
      <c r="C5420" s="2">
        <f>IFERROR(__xludf.DUMMYFUNCTION("""COMPUTED_VALUE"""),93.0)</f>
        <v>93</v>
      </c>
      <c r="D5420" s="3">
        <f>IFERROR(__xludf.DUMMYFUNCTION("""COMPUTED_VALUE"""),23.0)</f>
        <v>23</v>
      </c>
      <c r="E5420" s="2"/>
      <c r="F5420" s="2"/>
    </row>
    <row r="5421">
      <c r="A5421" s="2">
        <f>IFERROR(__xludf.DUMMYFUNCTION("""COMPUTED_VALUE"""),113739.0)</f>
        <v>113739</v>
      </c>
      <c r="B5421" s="2">
        <f>IFERROR(__xludf.DUMMYFUNCTION("""COMPUTED_VALUE"""),0.0)</f>
        <v>0</v>
      </c>
      <c r="C5421" s="2">
        <f>IFERROR(__xludf.DUMMYFUNCTION("""COMPUTED_VALUE"""),45.0)</f>
        <v>45</v>
      </c>
      <c r="D5421" s="3">
        <f>IFERROR(__xludf.DUMMYFUNCTION("""COMPUTED_VALUE"""),7.0)</f>
        <v>7</v>
      </c>
      <c r="E5421" s="2"/>
      <c r="F5421" s="2"/>
    </row>
    <row r="5422">
      <c r="A5422" s="2">
        <f>IFERROR(__xludf.DUMMYFUNCTION("""COMPUTED_VALUE"""),147316.0)</f>
        <v>147316</v>
      </c>
      <c r="B5422" s="2">
        <f>IFERROR(__xludf.DUMMYFUNCTION("""COMPUTED_VALUE"""),0.0)</f>
        <v>0</v>
      </c>
      <c r="C5422" s="2">
        <f>IFERROR(__xludf.DUMMYFUNCTION("""COMPUTED_VALUE"""),296.0)</f>
        <v>296</v>
      </c>
      <c r="D5422" s="3">
        <f>IFERROR(__xludf.DUMMYFUNCTION("""COMPUTED_VALUE"""),286.0)</f>
        <v>286</v>
      </c>
      <c r="E5422" s="2"/>
      <c r="F5422" s="2"/>
    </row>
    <row r="5423">
      <c r="A5423" s="2">
        <f>IFERROR(__xludf.DUMMYFUNCTION("""COMPUTED_VALUE"""),76297.0)</f>
        <v>76297</v>
      </c>
      <c r="B5423" s="2">
        <f>IFERROR(__xludf.DUMMYFUNCTION("""COMPUTED_VALUE"""),0.0)</f>
        <v>0</v>
      </c>
      <c r="C5423" s="2">
        <f>IFERROR(__xludf.DUMMYFUNCTION("""COMPUTED_VALUE"""),823.0)</f>
        <v>823</v>
      </c>
      <c r="D5423" s="3">
        <f>IFERROR(__xludf.DUMMYFUNCTION("""COMPUTED_VALUE"""),305.0)</f>
        <v>305</v>
      </c>
      <c r="E5423" s="2"/>
      <c r="F5423" s="2"/>
    </row>
    <row r="5424">
      <c r="A5424" s="2">
        <f>IFERROR(__xludf.DUMMYFUNCTION("""COMPUTED_VALUE"""),102698.0)</f>
        <v>102698</v>
      </c>
      <c r="B5424" s="2">
        <f>IFERROR(__xludf.DUMMYFUNCTION("""COMPUTED_VALUE"""),1.0)</f>
        <v>1</v>
      </c>
      <c r="C5424" s="2">
        <f>IFERROR(__xludf.DUMMYFUNCTION("""COMPUTED_VALUE"""),747.0)</f>
        <v>747</v>
      </c>
      <c r="D5424" s="3">
        <f>IFERROR(__xludf.DUMMYFUNCTION("""COMPUTED_VALUE"""),697.0)</f>
        <v>697</v>
      </c>
      <c r="E5424" s="2"/>
      <c r="F5424" s="2"/>
    </row>
    <row r="5425">
      <c r="A5425" s="2">
        <f>IFERROR(__xludf.DUMMYFUNCTION("""COMPUTED_VALUE"""),102699.0)</f>
        <v>102699</v>
      </c>
      <c r="B5425" s="2">
        <f>IFERROR(__xludf.DUMMYFUNCTION("""COMPUTED_VALUE"""),0.0)</f>
        <v>0</v>
      </c>
      <c r="C5425" s="2">
        <f>IFERROR(__xludf.DUMMYFUNCTION("""COMPUTED_VALUE"""),793.0)</f>
        <v>793</v>
      </c>
      <c r="D5425" s="3">
        <f>IFERROR(__xludf.DUMMYFUNCTION("""COMPUTED_VALUE"""),397.0)</f>
        <v>397</v>
      </c>
      <c r="E5425" s="2"/>
      <c r="F5425" s="2"/>
    </row>
    <row r="5426">
      <c r="A5426" s="2">
        <f>IFERROR(__xludf.DUMMYFUNCTION("""COMPUTED_VALUE"""),5556.0)</f>
        <v>5556</v>
      </c>
      <c r="B5426" s="2">
        <f>IFERROR(__xludf.DUMMYFUNCTION("""COMPUTED_VALUE"""),0.0)</f>
        <v>0</v>
      </c>
      <c r="C5426" s="2">
        <f>IFERROR(__xludf.DUMMYFUNCTION("""COMPUTED_VALUE"""),87.0)</f>
        <v>87</v>
      </c>
      <c r="D5426" s="3">
        <f>IFERROR(__xludf.DUMMYFUNCTION("""COMPUTED_VALUE"""),63.0)</f>
        <v>63</v>
      </c>
      <c r="E5426" s="2"/>
      <c r="F5426" s="2"/>
    </row>
    <row r="5427">
      <c r="A5427" s="2">
        <f>IFERROR(__xludf.DUMMYFUNCTION("""COMPUTED_VALUE"""),73629.0)</f>
        <v>73629</v>
      </c>
      <c r="B5427" s="2">
        <f>IFERROR(__xludf.DUMMYFUNCTION("""COMPUTED_VALUE"""),0.0)</f>
        <v>0</v>
      </c>
      <c r="C5427" s="2">
        <f>IFERROR(__xludf.DUMMYFUNCTION("""COMPUTED_VALUE"""),854.0)</f>
        <v>854</v>
      </c>
      <c r="D5427" s="3">
        <f>IFERROR(__xludf.DUMMYFUNCTION("""COMPUTED_VALUE"""),542.0)</f>
        <v>542</v>
      </c>
      <c r="E5427" s="2"/>
      <c r="F5427" s="2"/>
    </row>
    <row r="5428">
      <c r="A5428" s="2">
        <f>IFERROR(__xludf.DUMMYFUNCTION("""COMPUTED_VALUE"""),77253.0)</f>
        <v>77253</v>
      </c>
      <c r="B5428" s="2">
        <f>IFERROR(__xludf.DUMMYFUNCTION("""COMPUTED_VALUE"""),0.0)</f>
        <v>0</v>
      </c>
      <c r="C5428" s="2">
        <f>IFERROR(__xludf.DUMMYFUNCTION("""COMPUTED_VALUE"""),129.0)</f>
        <v>129</v>
      </c>
      <c r="D5428" s="3">
        <f>IFERROR(__xludf.DUMMYFUNCTION("""COMPUTED_VALUE"""),89.0)</f>
        <v>89</v>
      </c>
      <c r="E5428" s="2"/>
      <c r="F5428" s="2"/>
    </row>
    <row r="5429">
      <c r="A5429" s="2">
        <f>IFERROR(__xludf.DUMMYFUNCTION("""COMPUTED_VALUE"""),5552.0)</f>
        <v>5552</v>
      </c>
      <c r="B5429" s="2">
        <f>IFERROR(__xludf.DUMMYFUNCTION("""COMPUTED_VALUE"""),0.0)</f>
        <v>0</v>
      </c>
      <c r="C5429" s="2">
        <f>IFERROR(__xludf.DUMMYFUNCTION("""COMPUTED_VALUE"""),65.0)</f>
        <v>65</v>
      </c>
      <c r="D5429" s="3">
        <f>IFERROR(__xludf.DUMMYFUNCTION("""COMPUTED_VALUE"""),61.0)</f>
        <v>61</v>
      </c>
      <c r="E5429" s="2"/>
      <c r="F5429" s="2"/>
    </row>
    <row r="5430">
      <c r="A5430" s="2">
        <f>IFERROR(__xludf.DUMMYFUNCTION("""COMPUTED_VALUE"""),73805.0)</f>
        <v>73805</v>
      </c>
      <c r="B5430" s="2">
        <f>IFERROR(__xludf.DUMMYFUNCTION("""COMPUTED_VALUE"""),0.0)</f>
        <v>0</v>
      </c>
      <c r="C5430" s="2">
        <f>IFERROR(__xludf.DUMMYFUNCTION("""COMPUTED_VALUE"""),-4.0)</f>
        <v>-4</v>
      </c>
      <c r="D5430" s="3">
        <f>IFERROR(__xludf.DUMMYFUNCTION("""COMPUTED_VALUE"""),-2.0)</f>
        <v>-2</v>
      </c>
      <c r="E5430" s="2"/>
      <c r="F5430" s="2"/>
    </row>
    <row r="5431">
      <c r="A5431" s="2">
        <f>IFERROR(__xludf.DUMMYFUNCTION("""COMPUTED_VALUE"""),48403.0)</f>
        <v>48403</v>
      </c>
      <c r="B5431" s="2">
        <f>IFERROR(__xludf.DUMMYFUNCTION("""COMPUTED_VALUE"""),1.0)</f>
        <v>1</v>
      </c>
      <c r="C5431" s="2">
        <f>IFERROR(__xludf.DUMMYFUNCTION("""COMPUTED_VALUE"""),259.0)</f>
        <v>259</v>
      </c>
      <c r="D5431" s="3">
        <f>IFERROR(__xludf.DUMMYFUNCTION("""COMPUTED_VALUE"""),27.0)</f>
        <v>27</v>
      </c>
      <c r="E5431" s="2"/>
      <c r="F5431" s="2"/>
    </row>
    <row r="5432">
      <c r="A5432" s="2">
        <f>IFERROR(__xludf.DUMMYFUNCTION("""COMPUTED_VALUE"""),90626.0)</f>
        <v>90626</v>
      </c>
      <c r="B5432" s="2">
        <f>IFERROR(__xludf.DUMMYFUNCTION("""COMPUTED_VALUE"""),0.0)</f>
        <v>0</v>
      </c>
      <c r="C5432" s="2">
        <f>IFERROR(__xludf.DUMMYFUNCTION("""COMPUTED_VALUE"""),231.0)</f>
        <v>231</v>
      </c>
      <c r="D5432" s="3">
        <f>IFERROR(__xludf.DUMMYFUNCTION("""COMPUTED_VALUE"""),168.0)</f>
        <v>168</v>
      </c>
      <c r="E5432" s="2"/>
      <c r="F5432" s="2"/>
    </row>
    <row r="5433">
      <c r="A5433" s="2">
        <f>IFERROR(__xludf.DUMMYFUNCTION("""COMPUTED_VALUE"""),147324.0)</f>
        <v>147324</v>
      </c>
      <c r="B5433" s="2">
        <f>IFERROR(__xludf.DUMMYFUNCTION("""COMPUTED_VALUE"""),0.0)</f>
        <v>0</v>
      </c>
      <c r="C5433" s="2">
        <f>IFERROR(__xludf.DUMMYFUNCTION("""COMPUTED_VALUE"""),-1.0)</f>
        <v>-1</v>
      </c>
      <c r="D5433" s="3">
        <f>IFERROR(__xludf.DUMMYFUNCTION("""COMPUTED_VALUE"""),-1.0)</f>
        <v>-1</v>
      </c>
      <c r="E5433" s="2"/>
      <c r="F5433" s="2"/>
    </row>
    <row r="5434">
      <c r="A5434" s="2">
        <f>IFERROR(__xludf.DUMMYFUNCTION("""COMPUTED_VALUE"""),77411.0)</f>
        <v>77411</v>
      </c>
      <c r="B5434" s="2">
        <f>IFERROR(__xludf.DUMMYFUNCTION("""COMPUTED_VALUE"""),1.0)</f>
        <v>1</v>
      </c>
      <c r="C5434" s="2">
        <f>IFERROR(__xludf.DUMMYFUNCTION("""COMPUTED_VALUE"""),59.0)</f>
        <v>59</v>
      </c>
      <c r="D5434" s="3">
        <f>IFERROR(__xludf.DUMMYFUNCTION("""COMPUTED_VALUE"""),43.0)</f>
        <v>43</v>
      </c>
      <c r="E5434" s="2"/>
      <c r="F5434" s="2"/>
    </row>
    <row r="5435">
      <c r="A5435" s="2">
        <f>IFERROR(__xludf.DUMMYFUNCTION("""COMPUTED_VALUE"""),87085.0)</f>
        <v>87085</v>
      </c>
      <c r="B5435" s="2">
        <f>IFERROR(__xludf.DUMMYFUNCTION("""COMPUTED_VALUE"""),1.0)</f>
        <v>1</v>
      </c>
      <c r="C5435" s="2">
        <f>IFERROR(__xludf.DUMMYFUNCTION("""COMPUTED_VALUE"""),379.0)</f>
        <v>379</v>
      </c>
      <c r="D5435" s="3">
        <f>IFERROR(__xludf.DUMMYFUNCTION("""COMPUTED_VALUE"""),372.0)</f>
        <v>372</v>
      </c>
      <c r="E5435" s="2"/>
      <c r="F5435" s="2"/>
    </row>
    <row r="5436">
      <c r="A5436" s="2">
        <f>IFERROR(__xludf.DUMMYFUNCTION("""COMPUTED_VALUE"""),76212.0)</f>
        <v>76212</v>
      </c>
      <c r="B5436" s="2">
        <f>IFERROR(__xludf.DUMMYFUNCTION("""COMPUTED_VALUE"""),0.0)</f>
        <v>0</v>
      </c>
      <c r="C5436" s="2">
        <f>IFERROR(__xludf.DUMMYFUNCTION("""COMPUTED_VALUE"""),553.0)</f>
        <v>553</v>
      </c>
      <c r="D5436" s="3">
        <f>IFERROR(__xludf.DUMMYFUNCTION("""COMPUTED_VALUE"""),275.0)</f>
        <v>275</v>
      </c>
      <c r="E5436" s="2"/>
      <c r="F5436" s="2"/>
    </row>
    <row r="5437">
      <c r="A5437" s="2">
        <f>IFERROR(__xludf.DUMMYFUNCTION("""COMPUTED_VALUE"""),117655.0)</f>
        <v>117655</v>
      </c>
      <c r="B5437" s="2">
        <f>IFERROR(__xludf.DUMMYFUNCTION("""COMPUTED_VALUE"""),0.0)</f>
        <v>0</v>
      </c>
      <c r="C5437" s="2">
        <f>IFERROR(__xludf.DUMMYFUNCTION("""COMPUTED_VALUE"""),185.0)</f>
        <v>185</v>
      </c>
      <c r="D5437" s="3">
        <f>IFERROR(__xludf.DUMMYFUNCTION("""COMPUTED_VALUE"""),130.0)</f>
        <v>130</v>
      </c>
      <c r="E5437" s="2"/>
      <c r="F5437" s="2"/>
    </row>
    <row r="5438">
      <c r="A5438" s="2">
        <f>IFERROR(__xludf.DUMMYFUNCTION("""COMPUTED_VALUE"""),83596.0)</f>
        <v>83596</v>
      </c>
      <c r="B5438" s="2">
        <f>IFERROR(__xludf.DUMMYFUNCTION("""COMPUTED_VALUE"""),1.0)</f>
        <v>1</v>
      </c>
      <c r="C5438" s="2">
        <f>IFERROR(__xludf.DUMMYFUNCTION("""COMPUTED_VALUE"""),200.0)</f>
        <v>200</v>
      </c>
      <c r="D5438" s="3">
        <f>IFERROR(__xludf.DUMMYFUNCTION("""COMPUTED_VALUE"""),85.0)</f>
        <v>85</v>
      </c>
      <c r="E5438" s="2"/>
      <c r="F5438" s="2"/>
    </row>
    <row r="5439">
      <c r="A5439" s="2">
        <f>IFERROR(__xludf.DUMMYFUNCTION("""COMPUTED_VALUE"""),5561.0)</f>
        <v>5561</v>
      </c>
      <c r="B5439" s="2">
        <f>IFERROR(__xludf.DUMMYFUNCTION("""COMPUTED_VALUE"""),1.0)</f>
        <v>1</v>
      </c>
      <c r="C5439" s="2">
        <f>IFERROR(__xludf.DUMMYFUNCTION("""COMPUTED_VALUE"""),754.0)</f>
        <v>754</v>
      </c>
      <c r="D5439" s="3">
        <f>IFERROR(__xludf.DUMMYFUNCTION("""COMPUTED_VALUE"""),522.0)</f>
        <v>522</v>
      </c>
      <c r="E5439" s="2"/>
      <c r="F5439" s="2"/>
    </row>
    <row r="5440">
      <c r="A5440" s="2">
        <f>IFERROR(__xludf.DUMMYFUNCTION("""COMPUTED_VALUE"""),87304.0)</f>
        <v>87304</v>
      </c>
      <c r="B5440" s="2">
        <f>IFERROR(__xludf.DUMMYFUNCTION("""COMPUTED_VALUE"""),0.0)</f>
        <v>0</v>
      </c>
      <c r="C5440" s="2">
        <f>IFERROR(__xludf.DUMMYFUNCTION("""COMPUTED_VALUE"""),273.0)</f>
        <v>273</v>
      </c>
      <c r="D5440" s="3">
        <f>IFERROR(__xludf.DUMMYFUNCTION("""COMPUTED_VALUE"""),124.0)</f>
        <v>124</v>
      </c>
      <c r="E5440" s="2"/>
      <c r="F5440" s="2"/>
    </row>
    <row r="5441">
      <c r="A5441" s="2">
        <f>IFERROR(__xludf.DUMMYFUNCTION("""COMPUTED_VALUE"""),113735.0)</f>
        <v>113735</v>
      </c>
      <c r="B5441" s="2">
        <f>IFERROR(__xludf.DUMMYFUNCTION("""COMPUTED_VALUE"""),1.0)</f>
        <v>1</v>
      </c>
      <c r="C5441" s="2">
        <f>IFERROR(__xludf.DUMMYFUNCTION("""COMPUTED_VALUE"""),670.0)</f>
        <v>670</v>
      </c>
      <c r="D5441" s="3">
        <f>IFERROR(__xludf.DUMMYFUNCTION("""COMPUTED_VALUE"""),510.0)</f>
        <v>510</v>
      </c>
      <c r="E5441" s="2"/>
      <c r="F5441" s="2"/>
    </row>
    <row r="5442">
      <c r="A5442" s="2">
        <f>IFERROR(__xludf.DUMMYFUNCTION("""COMPUTED_VALUE"""),90661.0)</f>
        <v>90661</v>
      </c>
      <c r="B5442" s="2">
        <f>IFERROR(__xludf.DUMMYFUNCTION("""COMPUTED_VALUE"""),0.0)</f>
        <v>0</v>
      </c>
      <c r="C5442" s="2">
        <f>IFERROR(__xludf.DUMMYFUNCTION("""COMPUTED_VALUE"""),892.0)</f>
        <v>892</v>
      </c>
      <c r="D5442" s="3">
        <f>IFERROR(__xludf.DUMMYFUNCTION("""COMPUTED_VALUE"""),824.0)</f>
        <v>824</v>
      </c>
      <c r="E5442" s="2"/>
      <c r="F5442" s="2"/>
    </row>
    <row r="5443">
      <c r="A5443" s="2">
        <f>IFERROR(__xludf.DUMMYFUNCTION("""COMPUTED_VALUE"""),76281.0)</f>
        <v>76281</v>
      </c>
      <c r="B5443" s="2">
        <f>IFERROR(__xludf.DUMMYFUNCTION("""COMPUTED_VALUE"""),0.0)</f>
        <v>0</v>
      </c>
      <c r="C5443" s="2">
        <f>IFERROR(__xludf.DUMMYFUNCTION("""COMPUTED_VALUE"""),836.0)</f>
        <v>836</v>
      </c>
      <c r="D5443" s="3">
        <f>IFERROR(__xludf.DUMMYFUNCTION("""COMPUTED_VALUE"""),730.0)</f>
        <v>730</v>
      </c>
      <c r="E5443" s="2"/>
      <c r="F5443" s="2"/>
    </row>
    <row r="5444">
      <c r="A5444" s="2">
        <f>IFERROR(__xludf.DUMMYFUNCTION("""COMPUTED_VALUE"""),90622.0)</f>
        <v>90622</v>
      </c>
      <c r="B5444" s="2">
        <f>IFERROR(__xludf.DUMMYFUNCTION("""COMPUTED_VALUE"""),0.0)</f>
        <v>0</v>
      </c>
      <c r="C5444" s="2">
        <f>IFERROR(__xludf.DUMMYFUNCTION("""COMPUTED_VALUE"""),57.0)</f>
        <v>57</v>
      </c>
      <c r="D5444" s="3">
        <f>IFERROR(__xludf.DUMMYFUNCTION("""COMPUTED_VALUE"""),33.0)</f>
        <v>33</v>
      </c>
      <c r="E5444" s="2"/>
      <c r="F5444" s="2"/>
    </row>
    <row r="5445">
      <c r="A5445" s="2">
        <f>IFERROR(__xludf.DUMMYFUNCTION("""COMPUTED_VALUE"""),90637.0)</f>
        <v>90637</v>
      </c>
      <c r="B5445" s="2">
        <f>IFERROR(__xludf.DUMMYFUNCTION("""COMPUTED_VALUE"""),1.0)</f>
        <v>1</v>
      </c>
      <c r="C5445" s="2">
        <f>IFERROR(__xludf.DUMMYFUNCTION("""COMPUTED_VALUE"""),853.0)</f>
        <v>853</v>
      </c>
      <c r="D5445" s="3">
        <f>IFERROR(__xludf.DUMMYFUNCTION("""COMPUTED_VALUE"""),267.0)</f>
        <v>267</v>
      </c>
      <c r="E5445" s="2"/>
      <c r="F5445" s="2"/>
    </row>
    <row r="5446">
      <c r="A5446" s="2">
        <f>IFERROR(__xludf.DUMMYFUNCTION("""COMPUTED_VALUE"""),76208.0)</f>
        <v>76208</v>
      </c>
      <c r="B5446" s="2">
        <f>IFERROR(__xludf.DUMMYFUNCTION("""COMPUTED_VALUE"""),0.0)</f>
        <v>0</v>
      </c>
      <c r="C5446" s="2">
        <f>IFERROR(__xludf.DUMMYFUNCTION("""COMPUTED_VALUE"""),321.0)</f>
        <v>321</v>
      </c>
      <c r="D5446" s="3">
        <f>IFERROR(__xludf.DUMMYFUNCTION("""COMPUTED_VALUE"""),126.0)</f>
        <v>126</v>
      </c>
      <c r="E5446" s="2"/>
      <c r="F5446" s="2"/>
    </row>
    <row r="5447">
      <c r="A5447" s="2">
        <f>IFERROR(__xludf.DUMMYFUNCTION("""COMPUTED_VALUE"""),91355.0)</f>
        <v>91355</v>
      </c>
      <c r="B5447" s="2">
        <f>IFERROR(__xludf.DUMMYFUNCTION("""COMPUTED_VALUE"""),0.0)</f>
        <v>0</v>
      </c>
      <c r="C5447" s="2">
        <f>IFERROR(__xludf.DUMMYFUNCTION("""COMPUTED_VALUE"""),284.0)</f>
        <v>284</v>
      </c>
      <c r="D5447" s="3">
        <f>IFERROR(__xludf.DUMMYFUNCTION("""COMPUTED_VALUE"""),41.0)</f>
        <v>41</v>
      </c>
      <c r="E5447" s="2"/>
      <c r="F5447" s="2"/>
    </row>
    <row r="5448">
      <c r="A5448" s="2">
        <f>IFERROR(__xludf.DUMMYFUNCTION("""COMPUTED_VALUE"""),122068.0)</f>
        <v>122068</v>
      </c>
      <c r="B5448" s="2">
        <f>IFERROR(__xludf.DUMMYFUNCTION("""COMPUTED_VALUE"""),0.0)</f>
        <v>0</v>
      </c>
      <c r="C5448" s="2">
        <f>IFERROR(__xludf.DUMMYFUNCTION("""COMPUTED_VALUE"""),922.0)</f>
        <v>922</v>
      </c>
      <c r="D5448" s="3">
        <f>IFERROR(__xludf.DUMMYFUNCTION("""COMPUTED_VALUE"""),448.0)</f>
        <v>448</v>
      </c>
      <c r="E5448" s="2"/>
      <c r="F5448" s="2"/>
    </row>
    <row r="5449">
      <c r="A5449" s="2">
        <f>IFERROR(__xludf.DUMMYFUNCTION("""COMPUTED_VALUE"""),48404.0)</f>
        <v>48404</v>
      </c>
      <c r="B5449" s="2">
        <f>IFERROR(__xludf.DUMMYFUNCTION("""COMPUTED_VALUE"""),0.0)</f>
        <v>0</v>
      </c>
      <c r="C5449" s="2">
        <f>IFERROR(__xludf.DUMMYFUNCTION("""COMPUTED_VALUE"""),308.0)</f>
        <v>308</v>
      </c>
      <c r="D5449" s="3">
        <f>IFERROR(__xludf.DUMMYFUNCTION("""COMPUTED_VALUE"""),284.0)</f>
        <v>284</v>
      </c>
      <c r="E5449" s="2"/>
      <c r="F5449" s="2"/>
    </row>
    <row r="5450">
      <c r="A5450" s="2">
        <f>IFERROR(__xludf.DUMMYFUNCTION("""COMPUTED_VALUE"""),5553.0)</f>
        <v>5553</v>
      </c>
      <c r="B5450" s="2">
        <f>IFERROR(__xludf.DUMMYFUNCTION("""COMPUTED_VALUE"""),1.0)</f>
        <v>1</v>
      </c>
      <c r="C5450" s="2">
        <f>IFERROR(__xludf.DUMMYFUNCTION("""COMPUTED_VALUE"""),797.0)</f>
        <v>797</v>
      </c>
      <c r="D5450" s="3">
        <f>IFERROR(__xludf.DUMMYFUNCTION("""COMPUTED_VALUE"""),687.0)</f>
        <v>687</v>
      </c>
      <c r="E5450" s="2"/>
      <c r="F5450" s="2"/>
    </row>
    <row r="5451">
      <c r="A5451" s="2">
        <f>IFERROR(__xludf.DUMMYFUNCTION("""COMPUTED_VALUE"""),76282.0)</f>
        <v>76282</v>
      </c>
      <c r="B5451" s="2">
        <f>IFERROR(__xludf.DUMMYFUNCTION("""COMPUTED_VALUE"""),1.0)</f>
        <v>1</v>
      </c>
      <c r="C5451" s="2">
        <f>IFERROR(__xludf.DUMMYFUNCTION("""COMPUTED_VALUE"""),346.0)</f>
        <v>346</v>
      </c>
      <c r="D5451" s="3">
        <f>IFERROR(__xludf.DUMMYFUNCTION("""COMPUTED_VALUE"""),35.0)</f>
        <v>35</v>
      </c>
      <c r="E5451" s="2"/>
      <c r="F5451" s="2"/>
    </row>
    <row r="5452">
      <c r="A5452" s="2">
        <f>IFERROR(__xludf.DUMMYFUNCTION("""COMPUTED_VALUE"""),5554.0)</f>
        <v>5554</v>
      </c>
      <c r="B5452" s="2">
        <f>IFERROR(__xludf.DUMMYFUNCTION("""COMPUTED_VALUE"""),1.0)</f>
        <v>1</v>
      </c>
      <c r="C5452" s="2">
        <f>IFERROR(__xludf.DUMMYFUNCTION("""COMPUTED_VALUE"""),351.0)</f>
        <v>351</v>
      </c>
      <c r="D5452" s="3">
        <f>IFERROR(__xludf.DUMMYFUNCTION("""COMPUTED_VALUE"""),48.0)</f>
        <v>48</v>
      </c>
      <c r="E5452" s="2"/>
      <c r="F5452" s="2"/>
    </row>
    <row r="5453">
      <c r="A5453" s="2">
        <f>IFERROR(__xludf.DUMMYFUNCTION("""COMPUTED_VALUE"""),77408.0)</f>
        <v>77408</v>
      </c>
      <c r="B5453" s="2">
        <f>IFERROR(__xludf.DUMMYFUNCTION("""COMPUTED_VALUE"""),0.0)</f>
        <v>0</v>
      </c>
      <c r="C5453" s="2">
        <f>IFERROR(__xludf.DUMMYFUNCTION("""COMPUTED_VALUE"""),852.0)</f>
        <v>852</v>
      </c>
      <c r="D5453" s="3">
        <f>IFERROR(__xludf.DUMMYFUNCTION("""COMPUTED_VALUE"""),253.0)</f>
        <v>253</v>
      </c>
      <c r="E5453" s="2"/>
      <c r="F5453" s="2"/>
    </row>
    <row r="5454">
      <c r="A5454" s="2">
        <f>IFERROR(__xludf.DUMMYFUNCTION("""COMPUTED_VALUE"""),147312.0)</f>
        <v>147312</v>
      </c>
      <c r="B5454" s="2">
        <f>IFERROR(__xludf.DUMMYFUNCTION("""COMPUTED_VALUE"""),0.0)</f>
        <v>0</v>
      </c>
      <c r="C5454" s="2">
        <f>IFERROR(__xludf.DUMMYFUNCTION("""COMPUTED_VALUE"""),423.0)</f>
        <v>423</v>
      </c>
      <c r="D5454" s="3">
        <f>IFERROR(__xludf.DUMMYFUNCTION("""COMPUTED_VALUE"""),78.0)</f>
        <v>78</v>
      </c>
      <c r="E5454" s="2"/>
      <c r="F5454" s="2"/>
    </row>
    <row r="5455">
      <c r="A5455" s="2">
        <f>IFERROR(__xludf.DUMMYFUNCTION("""COMPUTED_VALUE"""),113741.0)</f>
        <v>113741</v>
      </c>
      <c r="B5455" s="2">
        <f>IFERROR(__xludf.DUMMYFUNCTION("""COMPUTED_VALUE"""),1.0)</f>
        <v>1</v>
      </c>
      <c r="C5455" s="2">
        <f>IFERROR(__xludf.DUMMYFUNCTION("""COMPUTED_VALUE"""),255.0)</f>
        <v>255</v>
      </c>
      <c r="D5455" s="3">
        <f>IFERROR(__xludf.DUMMYFUNCTION("""COMPUTED_VALUE"""),55.0)</f>
        <v>55</v>
      </c>
      <c r="E5455" s="2"/>
      <c r="F5455" s="2"/>
    </row>
    <row r="5456">
      <c r="A5456" s="2">
        <f>IFERROR(__xludf.DUMMYFUNCTION("""COMPUTED_VALUE"""),76290.0)</f>
        <v>76290</v>
      </c>
      <c r="B5456" s="2">
        <f>IFERROR(__xludf.DUMMYFUNCTION("""COMPUTED_VALUE"""),1.0)</f>
        <v>1</v>
      </c>
      <c r="C5456" s="2">
        <f>IFERROR(__xludf.DUMMYFUNCTION("""COMPUTED_VALUE"""),761.0)</f>
        <v>761</v>
      </c>
      <c r="D5456" s="3">
        <f>IFERROR(__xludf.DUMMYFUNCTION("""COMPUTED_VALUE"""),293.0)</f>
        <v>293</v>
      </c>
      <c r="E5456" s="2"/>
      <c r="F5456" s="2"/>
    </row>
    <row r="5457">
      <c r="A5457" s="2">
        <f>IFERROR(__xludf.DUMMYFUNCTION("""COMPUTED_VALUE"""),5559.0)</f>
        <v>5559</v>
      </c>
      <c r="B5457" s="2">
        <f>IFERROR(__xludf.DUMMYFUNCTION("""COMPUTED_VALUE"""),1.0)</f>
        <v>1</v>
      </c>
      <c r="C5457" s="2">
        <f>IFERROR(__xludf.DUMMYFUNCTION("""COMPUTED_VALUE"""),178.0)</f>
        <v>178</v>
      </c>
      <c r="D5457" s="3">
        <f>IFERROR(__xludf.DUMMYFUNCTION("""COMPUTED_VALUE"""),171.0)</f>
        <v>171</v>
      </c>
      <c r="E5457" s="2"/>
      <c r="F5457" s="2"/>
    </row>
    <row r="5458">
      <c r="A5458" s="2">
        <f>IFERROR(__xludf.DUMMYFUNCTION("""COMPUTED_VALUE"""),68351.0)</f>
        <v>68351</v>
      </c>
      <c r="B5458" s="2">
        <f>IFERROR(__xludf.DUMMYFUNCTION("""COMPUTED_VALUE"""),0.0)</f>
        <v>0</v>
      </c>
      <c r="C5458" s="2">
        <f>IFERROR(__xludf.DUMMYFUNCTION("""COMPUTED_VALUE"""),712.0)</f>
        <v>712</v>
      </c>
      <c r="D5458" s="3">
        <f>IFERROR(__xludf.DUMMYFUNCTION("""COMPUTED_VALUE"""),440.0)</f>
        <v>440</v>
      </c>
      <c r="E5458" s="2"/>
      <c r="F5458" s="2"/>
    </row>
    <row r="5459">
      <c r="A5459" s="2">
        <f>IFERROR(__xludf.DUMMYFUNCTION("""COMPUTED_VALUE"""),113736.0)</f>
        <v>113736</v>
      </c>
      <c r="B5459" s="2">
        <f>IFERROR(__xludf.DUMMYFUNCTION("""COMPUTED_VALUE"""),0.0)</f>
        <v>0</v>
      </c>
      <c r="C5459" s="2">
        <f>IFERROR(__xludf.DUMMYFUNCTION("""COMPUTED_VALUE"""),588.0)</f>
        <v>588</v>
      </c>
      <c r="D5459" s="3">
        <f>IFERROR(__xludf.DUMMYFUNCTION("""COMPUTED_VALUE"""),546.0)</f>
        <v>546</v>
      </c>
      <c r="E5459" s="2"/>
      <c r="F5459" s="2"/>
    </row>
    <row r="5460">
      <c r="A5460" s="2">
        <f>IFERROR(__xludf.DUMMYFUNCTION("""COMPUTED_VALUE"""),113738.0)</f>
        <v>113738</v>
      </c>
      <c r="B5460" s="2">
        <f>IFERROR(__xludf.DUMMYFUNCTION("""COMPUTED_VALUE"""),1.0)</f>
        <v>1</v>
      </c>
      <c r="C5460" s="2">
        <f>IFERROR(__xludf.DUMMYFUNCTION("""COMPUTED_VALUE"""),445.0)</f>
        <v>445</v>
      </c>
      <c r="D5460" s="3">
        <f>IFERROR(__xludf.DUMMYFUNCTION("""COMPUTED_VALUE"""),349.0)</f>
        <v>349</v>
      </c>
      <c r="E5460" s="2"/>
      <c r="F5460" s="2"/>
    </row>
    <row r="5461">
      <c r="A5461" s="2">
        <f>IFERROR(__xludf.DUMMYFUNCTION("""COMPUTED_VALUE"""),113737.0)</f>
        <v>113737</v>
      </c>
      <c r="B5461" s="2">
        <f>IFERROR(__xludf.DUMMYFUNCTION("""COMPUTED_VALUE"""),1.0)</f>
        <v>1</v>
      </c>
      <c r="C5461" s="2">
        <f>IFERROR(__xludf.DUMMYFUNCTION("""COMPUTED_VALUE"""),447.0)</f>
        <v>447</v>
      </c>
      <c r="D5461" s="3">
        <f>IFERROR(__xludf.DUMMYFUNCTION("""COMPUTED_VALUE"""),18.0)</f>
        <v>18</v>
      </c>
      <c r="E5461" s="2"/>
      <c r="F5461" s="2"/>
    </row>
    <row r="5462">
      <c r="A5462" s="2">
        <f>IFERROR(__xludf.DUMMYFUNCTION("""COMPUTED_VALUE"""),73767.0)</f>
        <v>73767</v>
      </c>
      <c r="B5462" s="2">
        <f>IFERROR(__xludf.DUMMYFUNCTION("""COMPUTED_VALUE"""),1.0)</f>
        <v>1</v>
      </c>
      <c r="C5462" s="2">
        <f>IFERROR(__xludf.DUMMYFUNCTION("""COMPUTED_VALUE"""),166.0)</f>
        <v>166</v>
      </c>
      <c r="D5462" s="3">
        <f>IFERROR(__xludf.DUMMYFUNCTION("""COMPUTED_VALUE"""),78.0)</f>
        <v>78</v>
      </c>
      <c r="E5462" s="2"/>
      <c r="F5462" s="2"/>
    </row>
    <row r="5463">
      <c r="A5463" s="2">
        <f>IFERROR(__xludf.DUMMYFUNCTION("""COMPUTED_VALUE"""),89559.0)</f>
        <v>89559</v>
      </c>
      <c r="B5463" s="2">
        <f>IFERROR(__xludf.DUMMYFUNCTION("""COMPUTED_VALUE"""),0.0)</f>
        <v>0</v>
      </c>
      <c r="C5463" s="2">
        <f>IFERROR(__xludf.DUMMYFUNCTION("""COMPUTED_VALUE"""),689.0)</f>
        <v>689</v>
      </c>
      <c r="D5463" s="3">
        <f>IFERROR(__xludf.DUMMYFUNCTION("""COMPUTED_VALUE"""),666.0)</f>
        <v>666</v>
      </c>
      <c r="E5463" s="2"/>
      <c r="F5463" s="2"/>
    </row>
    <row r="5464">
      <c r="A5464" s="2">
        <f>IFERROR(__xludf.DUMMYFUNCTION("""COMPUTED_VALUE"""),102720.0)</f>
        <v>102720</v>
      </c>
      <c r="B5464" s="2">
        <f>IFERROR(__xludf.DUMMYFUNCTION("""COMPUTED_VALUE"""),0.0)</f>
        <v>0</v>
      </c>
      <c r="C5464" s="2">
        <f>IFERROR(__xludf.DUMMYFUNCTION("""COMPUTED_VALUE"""),934.0)</f>
        <v>934</v>
      </c>
      <c r="D5464" s="3">
        <f>IFERROR(__xludf.DUMMYFUNCTION("""COMPUTED_VALUE"""),165.0)</f>
        <v>165</v>
      </c>
      <c r="E5464" s="2"/>
      <c r="F5464" s="2"/>
    </row>
    <row r="5465">
      <c r="A5465" s="2">
        <f>IFERROR(__xludf.DUMMYFUNCTION("""COMPUTED_VALUE"""),114668.0)</f>
        <v>114668</v>
      </c>
      <c r="B5465" s="2">
        <f>IFERROR(__xludf.DUMMYFUNCTION("""COMPUTED_VALUE"""),1.0)</f>
        <v>1</v>
      </c>
      <c r="C5465" s="2">
        <f>IFERROR(__xludf.DUMMYFUNCTION("""COMPUTED_VALUE"""),482.0)</f>
        <v>482</v>
      </c>
      <c r="D5465" s="3">
        <f>IFERROR(__xludf.DUMMYFUNCTION("""COMPUTED_VALUE"""),73.0)</f>
        <v>73</v>
      </c>
      <c r="E5465" s="2"/>
      <c r="F5465" s="2"/>
    </row>
    <row r="5466">
      <c r="A5466" s="2">
        <f>IFERROR(__xludf.DUMMYFUNCTION("""COMPUTED_VALUE"""),159208.0)</f>
        <v>159208</v>
      </c>
      <c r="B5466" s="2">
        <f>IFERROR(__xludf.DUMMYFUNCTION("""COMPUTED_VALUE"""),1.0)</f>
        <v>1</v>
      </c>
      <c r="C5466" s="2">
        <f>IFERROR(__xludf.DUMMYFUNCTION("""COMPUTED_VALUE"""),486.0)</f>
        <v>486</v>
      </c>
      <c r="D5466" s="3">
        <f>IFERROR(__xludf.DUMMYFUNCTION("""COMPUTED_VALUE"""),63.0)</f>
        <v>63</v>
      </c>
      <c r="E5466" s="2"/>
      <c r="F5466" s="2"/>
    </row>
    <row r="5467">
      <c r="A5467" s="2">
        <f>IFERROR(__xludf.DUMMYFUNCTION("""COMPUTED_VALUE"""),108476.0)</f>
        <v>108476</v>
      </c>
      <c r="B5467" s="2">
        <f>IFERROR(__xludf.DUMMYFUNCTION("""COMPUTED_VALUE"""),0.0)</f>
        <v>0</v>
      </c>
      <c r="C5467" s="2">
        <f>IFERROR(__xludf.DUMMYFUNCTION("""COMPUTED_VALUE"""),779.0)</f>
        <v>779</v>
      </c>
      <c r="D5467" s="3">
        <f>IFERROR(__xludf.DUMMYFUNCTION("""COMPUTED_VALUE"""),674.0)</f>
        <v>674</v>
      </c>
      <c r="E5467" s="2"/>
      <c r="F5467" s="2"/>
    </row>
    <row r="5468">
      <c r="A5468" s="2">
        <f>IFERROR(__xludf.DUMMYFUNCTION("""COMPUTED_VALUE"""),76603.0)</f>
        <v>76603</v>
      </c>
      <c r="B5468" s="2">
        <f>IFERROR(__xludf.DUMMYFUNCTION("""COMPUTED_VALUE"""),1.0)</f>
        <v>1</v>
      </c>
      <c r="C5468" s="2">
        <f>IFERROR(__xludf.DUMMYFUNCTION("""COMPUTED_VALUE"""),860.0)</f>
        <v>860</v>
      </c>
      <c r="D5468" s="3">
        <f>IFERROR(__xludf.DUMMYFUNCTION("""COMPUTED_VALUE"""),349.0)</f>
        <v>349</v>
      </c>
      <c r="E5468" s="2"/>
      <c r="F5468" s="2"/>
    </row>
    <row r="5469">
      <c r="A5469" s="2">
        <f>IFERROR(__xludf.DUMMYFUNCTION("""COMPUTED_VALUE"""),117672.0)</f>
        <v>117672</v>
      </c>
      <c r="B5469" s="2">
        <f>IFERROR(__xludf.DUMMYFUNCTION("""COMPUTED_VALUE"""),1.0)</f>
        <v>1</v>
      </c>
      <c r="C5469" s="2">
        <f>IFERROR(__xludf.DUMMYFUNCTION("""COMPUTED_VALUE"""),590.0)</f>
        <v>590</v>
      </c>
      <c r="D5469" s="3">
        <f>IFERROR(__xludf.DUMMYFUNCTION("""COMPUTED_VALUE"""),58.0)</f>
        <v>58</v>
      </c>
      <c r="E5469" s="2"/>
      <c r="F5469" s="2"/>
    </row>
    <row r="5470">
      <c r="A5470" s="2">
        <f>IFERROR(__xludf.DUMMYFUNCTION("""COMPUTED_VALUE"""),73968.0)</f>
        <v>73968</v>
      </c>
      <c r="B5470" s="2">
        <f>IFERROR(__xludf.DUMMYFUNCTION("""COMPUTED_VALUE"""),0.0)</f>
        <v>0</v>
      </c>
      <c r="C5470" s="2">
        <f>IFERROR(__xludf.DUMMYFUNCTION("""COMPUTED_VALUE"""),471.0)</f>
        <v>471</v>
      </c>
      <c r="D5470" s="3">
        <f>IFERROR(__xludf.DUMMYFUNCTION("""COMPUTED_VALUE"""),298.0)</f>
        <v>298</v>
      </c>
      <c r="E5470" s="2"/>
      <c r="F5470" s="2"/>
    </row>
    <row r="5471">
      <c r="A5471" s="2">
        <f>IFERROR(__xludf.DUMMYFUNCTION("""COMPUTED_VALUE"""),73967.0)</f>
        <v>73967</v>
      </c>
      <c r="B5471" s="2">
        <f>IFERROR(__xludf.DUMMYFUNCTION("""COMPUTED_VALUE"""),0.0)</f>
        <v>0</v>
      </c>
      <c r="C5471" s="2">
        <f>IFERROR(__xludf.DUMMYFUNCTION("""COMPUTED_VALUE"""),167.0)</f>
        <v>167</v>
      </c>
      <c r="D5471" s="3">
        <f>IFERROR(__xludf.DUMMYFUNCTION("""COMPUTED_VALUE"""),95.0)</f>
        <v>95</v>
      </c>
      <c r="E5471" s="2"/>
      <c r="F5471" s="2"/>
    </row>
    <row r="5472">
      <c r="A5472" s="2">
        <f>IFERROR(__xludf.DUMMYFUNCTION("""COMPUTED_VALUE"""),159209.0)</f>
        <v>159209</v>
      </c>
      <c r="B5472" s="2">
        <f>IFERROR(__xludf.DUMMYFUNCTION("""COMPUTED_VALUE"""),0.0)</f>
        <v>0</v>
      </c>
      <c r="C5472" s="2">
        <f>IFERROR(__xludf.DUMMYFUNCTION("""COMPUTED_VALUE"""),123.0)</f>
        <v>123</v>
      </c>
      <c r="D5472" s="3">
        <f>IFERROR(__xludf.DUMMYFUNCTION("""COMPUTED_VALUE"""),62.0)</f>
        <v>62</v>
      </c>
      <c r="E5472" s="2"/>
      <c r="F5472" s="2"/>
    </row>
    <row r="5473">
      <c r="A5473" s="2">
        <f>IFERROR(__xludf.DUMMYFUNCTION("""COMPUTED_VALUE"""),90675.0)</f>
        <v>90675</v>
      </c>
      <c r="B5473" s="2">
        <f>IFERROR(__xludf.DUMMYFUNCTION("""COMPUTED_VALUE"""),1.0)</f>
        <v>1</v>
      </c>
      <c r="C5473" s="2">
        <f>IFERROR(__xludf.DUMMYFUNCTION("""COMPUTED_VALUE"""),917.0)</f>
        <v>917</v>
      </c>
      <c r="D5473" s="3">
        <f>IFERROR(__xludf.DUMMYFUNCTION("""COMPUTED_VALUE"""),547.0)</f>
        <v>547</v>
      </c>
      <c r="E5473" s="2"/>
      <c r="F5473" s="2"/>
    </row>
    <row r="5474">
      <c r="A5474" s="2">
        <f>IFERROR(__xludf.DUMMYFUNCTION("""COMPUTED_VALUE"""),117671.0)</f>
        <v>117671</v>
      </c>
      <c r="B5474" s="2">
        <f>IFERROR(__xludf.DUMMYFUNCTION("""COMPUTED_VALUE"""),1.0)</f>
        <v>1</v>
      </c>
      <c r="C5474" s="2">
        <f>IFERROR(__xludf.DUMMYFUNCTION("""COMPUTED_VALUE"""),623.0)</f>
        <v>623</v>
      </c>
      <c r="D5474" s="3">
        <f>IFERROR(__xludf.DUMMYFUNCTION("""COMPUTED_VALUE"""),311.0)</f>
        <v>311</v>
      </c>
      <c r="E5474" s="2"/>
      <c r="F5474" s="2"/>
    </row>
    <row r="5475">
      <c r="A5475" s="2">
        <f>IFERROR(__xludf.DUMMYFUNCTION("""COMPUTED_VALUE"""),100015.0)</f>
        <v>100015</v>
      </c>
      <c r="B5475" s="2">
        <f>IFERROR(__xludf.DUMMYFUNCTION("""COMPUTED_VALUE"""),1.0)</f>
        <v>1</v>
      </c>
      <c r="C5475" s="2">
        <f>IFERROR(__xludf.DUMMYFUNCTION("""COMPUTED_VALUE"""),366.0)</f>
        <v>366</v>
      </c>
      <c r="D5475" s="3">
        <f>IFERROR(__xludf.DUMMYFUNCTION("""COMPUTED_VALUE"""),128.0)</f>
        <v>128</v>
      </c>
      <c r="E5475" s="2"/>
      <c r="F5475" s="2"/>
    </row>
    <row r="5476">
      <c r="A5476" s="2">
        <f>IFERROR(__xludf.DUMMYFUNCTION("""COMPUTED_VALUE"""),90680.0)</f>
        <v>90680</v>
      </c>
      <c r="B5476" s="2">
        <f>IFERROR(__xludf.DUMMYFUNCTION("""COMPUTED_VALUE"""),1.0)</f>
        <v>1</v>
      </c>
      <c r="C5476" s="2">
        <f>IFERROR(__xludf.DUMMYFUNCTION("""COMPUTED_VALUE"""),806.0)</f>
        <v>806</v>
      </c>
      <c r="D5476" s="3">
        <f>IFERROR(__xludf.DUMMYFUNCTION("""COMPUTED_VALUE"""),307.0)</f>
        <v>307</v>
      </c>
      <c r="E5476" s="2"/>
      <c r="F5476" s="2"/>
    </row>
    <row r="5477">
      <c r="A5477" s="2">
        <f>IFERROR(__xludf.DUMMYFUNCTION("""COMPUTED_VALUE"""),88351.0)</f>
        <v>88351</v>
      </c>
      <c r="B5477" s="2">
        <f>IFERROR(__xludf.DUMMYFUNCTION("""COMPUTED_VALUE"""),1.0)</f>
        <v>1</v>
      </c>
      <c r="C5477" s="2">
        <f>IFERROR(__xludf.DUMMYFUNCTION("""COMPUTED_VALUE"""),285.0)</f>
        <v>285</v>
      </c>
      <c r="D5477" s="3">
        <f>IFERROR(__xludf.DUMMYFUNCTION("""COMPUTED_VALUE"""),120.0)</f>
        <v>120</v>
      </c>
      <c r="E5477" s="2"/>
      <c r="F5477" s="2"/>
    </row>
    <row r="5478">
      <c r="A5478" s="2">
        <f>IFERROR(__xludf.DUMMYFUNCTION("""COMPUTED_VALUE"""),108475.0)</f>
        <v>108475</v>
      </c>
      <c r="B5478" s="2">
        <f>IFERROR(__xludf.DUMMYFUNCTION("""COMPUTED_VALUE"""),1.0)</f>
        <v>1</v>
      </c>
      <c r="C5478" s="2">
        <f>IFERROR(__xludf.DUMMYFUNCTION("""COMPUTED_VALUE"""),341.0)</f>
        <v>341</v>
      </c>
      <c r="D5478" s="3">
        <f>IFERROR(__xludf.DUMMYFUNCTION("""COMPUTED_VALUE"""),122.0)</f>
        <v>122</v>
      </c>
      <c r="E5478" s="2"/>
      <c r="F5478" s="2"/>
    </row>
    <row r="5479">
      <c r="A5479" s="2">
        <f>IFERROR(__xludf.DUMMYFUNCTION("""COMPUTED_VALUE"""),90676.0)</f>
        <v>90676</v>
      </c>
      <c r="B5479" s="2">
        <f>IFERROR(__xludf.DUMMYFUNCTION("""COMPUTED_VALUE"""),1.0)</f>
        <v>1</v>
      </c>
      <c r="C5479" s="2">
        <f>IFERROR(__xludf.DUMMYFUNCTION("""COMPUTED_VALUE"""),-4.0)</f>
        <v>-4</v>
      </c>
      <c r="D5479" s="3">
        <f>IFERROR(__xludf.DUMMYFUNCTION("""COMPUTED_VALUE"""),-2.0)</f>
        <v>-2</v>
      </c>
      <c r="E5479" s="2"/>
      <c r="F5479" s="2"/>
    </row>
    <row r="5480">
      <c r="A5480" s="2">
        <f>IFERROR(__xludf.DUMMYFUNCTION("""COMPUTED_VALUE"""),43118.0)</f>
        <v>43118</v>
      </c>
      <c r="B5480" s="2">
        <f>IFERROR(__xludf.DUMMYFUNCTION("""COMPUTED_VALUE"""),0.0)</f>
        <v>0</v>
      </c>
      <c r="C5480" s="2">
        <f>IFERROR(__xludf.DUMMYFUNCTION("""COMPUTED_VALUE"""),986.0)</f>
        <v>986</v>
      </c>
      <c r="D5480" s="3">
        <f>IFERROR(__xludf.DUMMYFUNCTION("""COMPUTED_VALUE"""),742.0)</f>
        <v>742</v>
      </c>
      <c r="E5480" s="2"/>
      <c r="F5480" s="2"/>
    </row>
    <row r="5481">
      <c r="A5481" s="2">
        <f>IFERROR(__xludf.DUMMYFUNCTION("""COMPUTED_VALUE"""),112472.0)</f>
        <v>112472</v>
      </c>
      <c r="B5481" s="2">
        <f>IFERROR(__xludf.DUMMYFUNCTION("""COMPUTED_VALUE"""),0.0)</f>
        <v>0</v>
      </c>
      <c r="C5481" s="2">
        <f>IFERROR(__xludf.DUMMYFUNCTION("""COMPUTED_VALUE"""),637.0)</f>
        <v>637</v>
      </c>
      <c r="D5481" s="3">
        <f>IFERROR(__xludf.DUMMYFUNCTION("""COMPUTED_VALUE"""),119.0)</f>
        <v>119</v>
      </c>
      <c r="E5481" s="2"/>
      <c r="F5481" s="2"/>
    </row>
    <row r="5482">
      <c r="A5482" s="2">
        <f>IFERROR(__xludf.DUMMYFUNCTION("""COMPUTED_VALUE"""),108083.0)</f>
        <v>108083</v>
      </c>
      <c r="B5482" s="2">
        <f>IFERROR(__xludf.DUMMYFUNCTION("""COMPUTED_VALUE"""),0.0)</f>
        <v>0</v>
      </c>
      <c r="C5482" s="2">
        <f>IFERROR(__xludf.DUMMYFUNCTION("""COMPUTED_VALUE"""),840.0)</f>
        <v>840</v>
      </c>
      <c r="D5482" s="3">
        <f>IFERROR(__xludf.DUMMYFUNCTION("""COMPUTED_VALUE"""),151.0)</f>
        <v>151</v>
      </c>
      <c r="E5482" s="2"/>
      <c r="F5482" s="2"/>
    </row>
    <row r="5483">
      <c r="A5483" s="2">
        <f>IFERROR(__xludf.DUMMYFUNCTION("""COMPUTED_VALUE"""),133907.0)</f>
        <v>133907</v>
      </c>
      <c r="B5483" s="2">
        <f>IFERROR(__xludf.DUMMYFUNCTION("""COMPUTED_VALUE"""),1.0)</f>
        <v>1</v>
      </c>
      <c r="C5483" s="2">
        <f>IFERROR(__xludf.DUMMYFUNCTION("""COMPUTED_VALUE"""),864.0)</f>
        <v>864</v>
      </c>
      <c r="D5483" s="3">
        <f>IFERROR(__xludf.DUMMYFUNCTION("""COMPUTED_VALUE"""),843.0)</f>
        <v>843</v>
      </c>
      <c r="E5483" s="2"/>
      <c r="F5483" s="2"/>
    </row>
    <row r="5484">
      <c r="A5484" s="2">
        <f>IFERROR(__xludf.DUMMYFUNCTION("""COMPUTED_VALUE"""),45176.0)</f>
        <v>45176</v>
      </c>
      <c r="B5484" s="2">
        <f>IFERROR(__xludf.DUMMYFUNCTION("""COMPUTED_VALUE"""),1.0)</f>
        <v>1</v>
      </c>
      <c r="C5484" s="2">
        <f>IFERROR(__xludf.DUMMYFUNCTION("""COMPUTED_VALUE"""),793.0)</f>
        <v>793</v>
      </c>
      <c r="D5484" s="3">
        <f>IFERROR(__xludf.DUMMYFUNCTION("""COMPUTED_VALUE"""),523.0)</f>
        <v>523</v>
      </c>
      <c r="E5484" s="2"/>
      <c r="F5484" s="2"/>
    </row>
    <row r="5485">
      <c r="A5485" s="2">
        <f>IFERROR(__xludf.DUMMYFUNCTION("""COMPUTED_VALUE"""),5480.0)</f>
        <v>5480</v>
      </c>
      <c r="B5485" s="2">
        <f>IFERROR(__xludf.DUMMYFUNCTION("""COMPUTED_VALUE"""),1.0)</f>
        <v>1</v>
      </c>
      <c r="C5485" s="2">
        <f>IFERROR(__xludf.DUMMYFUNCTION("""COMPUTED_VALUE"""),833.0)</f>
        <v>833</v>
      </c>
      <c r="D5485" s="3">
        <f>IFERROR(__xludf.DUMMYFUNCTION("""COMPUTED_VALUE"""),331.0)</f>
        <v>331</v>
      </c>
      <c r="E5485" s="2"/>
      <c r="F5485" s="2"/>
    </row>
    <row r="5486">
      <c r="A5486" s="2">
        <f>IFERROR(__xludf.DUMMYFUNCTION("""COMPUTED_VALUE"""),119086.0)</f>
        <v>119086</v>
      </c>
      <c r="B5486" s="2">
        <f>IFERROR(__xludf.DUMMYFUNCTION("""COMPUTED_VALUE"""),1.0)</f>
        <v>1</v>
      </c>
      <c r="C5486" s="2">
        <f>IFERROR(__xludf.DUMMYFUNCTION("""COMPUTED_VALUE"""),315.0)</f>
        <v>315</v>
      </c>
      <c r="D5486" s="3">
        <f>IFERROR(__xludf.DUMMYFUNCTION("""COMPUTED_VALUE"""),154.0)</f>
        <v>154</v>
      </c>
      <c r="E5486" s="2"/>
      <c r="F5486" s="2"/>
    </row>
    <row r="5487">
      <c r="A5487" s="2">
        <f>IFERROR(__xludf.DUMMYFUNCTION("""COMPUTED_VALUE"""),108084.0)</f>
        <v>108084</v>
      </c>
      <c r="B5487" s="2">
        <f>IFERROR(__xludf.DUMMYFUNCTION("""COMPUTED_VALUE"""),1.0)</f>
        <v>1</v>
      </c>
      <c r="C5487" s="2">
        <f>IFERROR(__xludf.DUMMYFUNCTION("""COMPUTED_VALUE"""),810.0)</f>
        <v>810</v>
      </c>
      <c r="D5487" s="3">
        <f>IFERROR(__xludf.DUMMYFUNCTION("""COMPUTED_VALUE"""),283.0)</f>
        <v>283</v>
      </c>
      <c r="E5487" s="2"/>
      <c r="F5487" s="2"/>
    </row>
    <row r="5488">
      <c r="A5488" s="2">
        <f>IFERROR(__xludf.DUMMYFUNCTION("""COMPUTED_VALUE"""),45192.0)</f>
        <v>45192</v>
      </c>
      <c r="B5488" s="2">
        <f>IFERROR(__xludf.DUMMYFUNCTION("""COMPUTED_VALUE"""),1.0)</f>
        <v>1</v>
      </c>
      <c r="C5488" s="2">
        <f>IFERROR(__xludf.DUMMYFUNCTION("""COMPUTED_VALUE"""),1.0)</f>
        <v>1</v>
      </c>
      <c r="D5488" s="3">
        <f>IFERROR(__xludf.DUMMYFUNCTION("""COMPUTED_VALUE"""),0.0)</f>
        <v>0</v>
      </c>
      <c r="E5488" s="2"/>
      <c r="F5488" s="2"/>
    </row>
    <row r="5489">
      <c r="A5489" s="2">
        <f>IFERROR(__xludf.DUMMYFUNCTION("""COMPUTED_VALUE"""),26320.0)</f>
        <v>26320</v>
      </c>
      <c r="B5489" s="2">
        <f>IFERROR(__xludf.DUMMYFUNCTION("""COMPUTED_VALUE"""),0.0)</f>
        <v>0</v>
      </c>
      <c r="C5489" s="2">
        <f>IFERROR(__xludf.DUMMYFUNCTION("""COMPUTED_VALUE"""),721.0)</f>
        <v>721</v>
      </c>
      <c r="D5489" s="3">
        <f>IFERROR(__xludf.DUMMYFUNCTION("""COMPUTED_VALUE"""),406.0)</f>
        <v>406</v>
      </c>
      <c r="E5489" s="2"/>
      <c r="F5489" s="2"/>
    </row>
    <row r="5490">
      <c r="A5490" s="2">
        <f>IFERROR(__xludf.DUMMYFUNCTION("""COMPUTED_VALUE"""),133910.0)</f>
        <v>133910</v>
      </c>
      <c r="B5490" s="2">
        <f>IFERROR(__xludf.DUMMYFUNCTION("""COMPUTED_VALUE"""),0.0)</f>
        <v>0</v>
      </c>
      <c r="C5490" s="2">
        <f>IFERROR(__xludf.DUMMYFUNCTION("""COMPUTED_VALUE"""),577.0)</f>
        <v>577</v>
      </c>
      <c r="D5490" s="3">
        <f>IFERROR(__xludf.DUMMYFUNCTION("""COMPUTED_VALUE"""),115.0)</f>
        <v>115</v>
      </c>
      <c r="E5490" s="2"/>
      <c r="F5490" s="2"/>
    </row>
    <row r="5491">
      <c r="A5491" s="2">
        <f>IFERROR(__xludf.DUMMYFUNCTION("""COMPUTED_VALUE"""),133908.0)</f>
        <v>133908</v>
      </c>
      <c r="B5491" s="2">
        <f>IFERROR(__xludf.DUMMYFUNCTION("""COMPUTED_VALUE"""),0.0)</f>
        <v>0</v>
      </c>
      <c r="C5491" s="2">
        <f>IFERROR(__xludf.DUMMYFUNCTION("""COMPUTED_VALUE"""),105.0)</f>
        <v>105</v>
      </c>
      <c r="D5491" s="3">
        <f>IFERROR(__xludf.DUMMYFUNCTION("""COMPUTED_VALUE"""),15.0)</f>
        <v>15</v>
      </c>
      <c r="E5491" s="2"/>
      <c r="F5491" s="2"/>
    </row>
    <row r="5492">
      <c r="A5492" s="2">
        <f>IFERROR(__xludf.DUMMYFUNCTION("""COMPUTED_VALUE"""),9646.0)</f>
        <v>9646</v>
      </c>
      <c r="B5492" s="2">
        <f>IFERROR(__xludf.DUMMYFUNCTION("""COMPUTED_VALUE"""),0.0)</f>
        <v>0</v>
      </c>
      <c r="C5492" s="2">
        <f>IFERROR(__xludf.DUMMYFUNCTION("""COMPUTED_VALUE"""),934.0)</f>
        <v>934</v>
      </c>
      <c r="D5492" s="3">
        <f>IFERROR(__xludf.DUMMYFUNCTION("""COMPUTED_VALUE"""),689.0)</f>
        <v>689</v>
      </c>
      <c r="E5492" s="2"/>
      <c r="F5492" s="2"/>
    </row>
    <row r="5493">
      <c r="A5493" s="2">
        <f>IFERROR(__xludf.DUMMYFUNCTION("""COMPUTED_VALUE"""),108091.0)</f>
        <v>108091</v>
      </c>
      <c r="B5493" s="2">
        <f>IFERROR(__xludf.DUMMYFUNCTION("""COMPUTED_VALUE"""),1.0)</f>
        <v>1</v>
      </c>
      <c r="C5493" s="2">
        <f>IFERROR(__xludf.DUMMYFUNCTION("""COMPUTED_VALUE"""),108.0)</f>
        <v>108</v>
      </c>
      <c r="D5493" s="3">
        <f>IFERROR(__xludf.DUMMYFUNCTION("""COMPUTED_VALUE"""),104.0)</f>
        <v>104</v>
      </c>
      <c r="E5493" s="2"/>
      <c r="F5493" s="2"/>
    </row>
    <row r="5494">
      <c r="A5494" s="2">
        <f>IFERROR(__xludf.DUMMYFUNCTION("""COMPUTED_VALUE"""),108114.0)</f>
        <v>108114</v>
      </c>
      <c r="B5494" s="2">
        <f>IFERROR(__xludf.DUMMYFUNCTION("""COMPUTED_VALUE"""),0.0)</f>
        <v>0</v>
      </c>
      <c r="C5494" s="2">
        <f>IFERROR(__xludf.DUMMYFUNCTION("""COMPUTED_VALUE"""),414.0)</f>
        <v>414</v>
      </c>
      <c r="D5494" s="3">
        <f>IFERROR(__xludf.DUMMYFUNCTION("""COMPUTED_VALUE"""),383.0)</f>
        <v>383</v>
      </c>
      <c r="E5494" s="2"/>
      <c r="F5494" s="2"/>
    </row>
    <row r="5495">
      <c r="A5495" s="2">
        <f>IFERROR(__xludf.DUMMYFUNCTION("""COMPUTED_VALUE"""),9639.0)</f>
        <v>9639</v>
      </c>
      <c r="B5495" s="2">
        <f>IFERROR(__xludf.DUMMYFUNCTION("""COMPUTED_VALUE"""),0.0)</f>
        <v>0</v>
      </c>
      <c r="C5495" s="2">
        <f>IFERROR(__xludf.DUMMYFUNCTION("""COMPUTED_VALUE"""),926.0)</f>
        <v>926</v>
      </c>
      <c r="D5495" s="3">
        <f>IFERROR(__xludf.DUMMYFUNCTION("""COMPUTED_VALUE"""),494.0)</f>
        <v>494</v>
      </c>
      <c r="E5495" s="2"/>
      <c r="F5495" s="2"/>
    </row>
    <row r="5496">
      <c r="A5496" s="2">
        <f>IFERROR(__xludf.DUMMYFUNCTION("""COMPUTED_VALUE"""),108108.0)</f>
        <v>108108</v>
      </c>
      <c r="B5496" s="2">
        <f>IFERROR(__xludf.DUMMYFUNCTION("""COMPUTED_VALUE"""),0.0)</f>
        <v>0</v>
      </c>
      <c r="C5496" s="2">
        <f>IFERROR(__xludf.DUMMYFUNCTION("""COMPUTED_VALUE"""),548.0)</f>
        <v>548</v>
      </c>
      <c r="D5496" s="3">
        <f>IFERROR(__xludf.DUMMYFUNCTION("""COMPUTED_VALUE"""),521.0)</f>
        <v>521</v>
      </c>
      <c r="E5496" s="2"/>
      <c r="F5496" s="2"/>
    </row>
    <row r="5497">
      <c r="A5497" s="2">
        <f>IFERROR(__xludf.DUMMYFUNCTION("""COMPUTED_VALUE"""),108081.0)</f>
        <v>108081</v>
      </c>
      <c r="B5497" s="2">
        <f>IFERROR(__xludf.DUMMYFUNCTION("""COMPUTED_VALUE"""),1.0)</f>
        <v>1</v>
      </c>
      <c r="C5497" s="2">
        <f>IFERROR(__xludf.DUMMYFUNCTION("""COMPUTED_VALUE"""),65.0)</f>
        <v>65</v>
      </c>
      <c r="D5497" s="3">
        <f>IFERROR(__xludf.DUMMYFUNCTION("""COMPUTED_VALUE"""),62.0)</f>
        <v>62</v>
      </c>
      <c r="E5497" s="2"/>
      <c r="F5497" s="2"/>
    </row>
    <row r="5498">
      <c r="A5498" s="2">
        <f>IFERROR(__xludf.DUMMYFUNCTION("""COMPUTED_VALUE"""),4243.0)</f>
        <v>4243</v>
      </c>
      <c r="B5498" s="2">
        <f>IFERROR(__xludf.DUMMYFUNCTION("""COMPUTED_VALUE"""),1.0)</f>
        <v>1</v>
      </c>
      <c r="C5498" s="2">
        <f>IFERROR(__xludf.DUMMYFUNCTION("""COMPUTED_VALUE"""),8.0)</f>
        <v>8</v>
      </c>
      <c r="D5498" s="3">
        <f>IFERROR(__xludf.DUMMYFUNCTION("""COMPUTED_VALUE"""),6.0)</f>
        <v>6</v>
      </c>
      <c r="E5498" s="2"/>
      <c r="F5498" s="2"/>
    </row>
    <row r="5499">
      <c r="A5499" s="2">
        <f>IFERROR(__xludf.DUMMYFUNCTION("""COMPUTED_VALUE"""),108090.0)</f>
        <v>108090</v>
      </c>
      <c r="B5499" s="2">
        <f>IFERROR(__xludf.DUMMYFUNCTION("""COMPUTED_VALUE"""),1.0)</f>
        <v>1</v>
      </c>
      <c r="C5499" s="2">
        <f>IFERROR(__xludf.DUMMYFUNCTION("""COMPUTED_VALUE"""),479.0)</f>
        <v>479</v>
      </c>
      <c r="D5499" s="3">
        <f>IFERROR(__xludf.DUMMYFUNCTION("""COMPUTED_VALUE"""),158.0)</f>
        <v>158</v>
      </c>
      <c r="E5499" s="2"/>
      <c r="F5499" s="2"/>
    </row>
    <row r="5500">
      <c r="A5500" s="2">
        <f>IFERROR(__xludf.DUMMYFUNCTION("""COMPUTED_VALUE"""),133912.0)</f>
        <v>133912</v>
      </c>
      <c r="B5500" s="2">
        <f>IFERROR(__xludf.DUMMYFUNCTION("""COMPUTED_VALUE"""),0.0)</f>
        <v>0</v>
      </c>
      <c r="C5500" s="2">
        <f>IFERROR(__xludf.DUMMYFUNCTION("""COMPUTED_VALUE"""),168.0)</f>
        <v>168</v>
      </c>
      <c r="D5500" s="3">
        <f>IFERROR(__xludf.DUMMYFUNCTION("""COMPUTED_VALUE"""),112.0)</f>
        <v>112</v>
      </c>
      <c r="E5500" s="2"/>
      <c r="F5500" s="2"/>
    </row>
    <row r="5501">
      <c r="A5501" s="2">
        <f>IFERROR(__xludf.DUMMYFUNCTION("""COMPUTED_VALUE"""),108087.0)</f>
        <v>108087</v>
      </c>
      <c r="B5501" s="2">
        <f>IFERROR(__xludf.DUMMYFUNCTION("""COMPUTED_VALUE"""),1.0)</f>
        <v>1</v>
      </c>
      <c r="C5501" s="2">
        <f>IFERROR(__xludf.DUMMYFUNCTION("""COMPUTED_VALUE"""),738.0)</f>
        <v>738</v>
      </c>
      <c r="D5501" s="3">
        <f>IFERROR(__xludf.DUMMYFUNCTION("""COMPUTED_VALUE"""),110.0)</f>
        <v>110</v>
      </c>
      <c r="E5501" s="2"/>
      <c r="F5501" s="2"/>
    </row>
    <row r="5502">
      <c r="A5502" s="2">
        <f>IFERROR(__xludf.DUMMYFUNCTION("""COMPUTED_VALUE"""),78866.0)</f>
        <v>78866</v>
      </c>
      <c r="B5502" s="2">
        <f>IFERROR(__xludf.DUMMYFUNCTION("""COMPUTED_VALUE"""),0.0)</f>
        <v>0</v>
      </c>
      <c r="C5502" s="2">
        <f>IFERROR(__xludf.DUMMYFUNCTION("""COMPUTED_VALUE"""),645.0)</f>
        <v>645</v>
      </c>
      <c r="D5502" s="3">
        <f>IFERROR(__xludf.DUMMYFUNCTION("""COMPUTED_VALUE"""),355.0)</f>
        <v>355</v>
      </c>
      <c r="E5502" s="2"/>
      <c r="F5502" s="2"/>
    </row>
    <row r="5503">
      <c r="A5503" s="2">
        <f>IFERROR(__xludf.DUMMYFUNCTION("""COMPUTED_VALUE"""),70415.0)</f>
        <v>70415</v>
      </c>
      <c r="B5503" s="2">
        <f>IFERROR(__xludf.DUMMYFUNCTION("""COMPUTED_VALUE"""),0.0)</f>
        <v>0</v>
      </c>
      <c r="C5503" s="2">
        <f>IFERROR(__xludf.DUMMYFUNCTION("""COMPUTED_VALUE"""),412.0)</f>
        <v>412</v>
      </c>
      <c r="D5503" s="3">
        <f>IFERROR(__xludf.DUMMYFUNCTION("""COMPUTED_VALUE"""),74.0)</f>
        <v>74</v>
      </c>
      <c r="E5503" s="2"/>
      <c r="F5503" s="2"/>
    </row>
    <row r="5504">
      <c r="A5504" s="2">
        <f>IFERROR(__xludf.DUMMYFUNCTION("""COMPUTED_VALUE"""),9644.0)</f>
        <v>9644</v>
      </c>
      <c r="B5504" s="2">
        <f>IFERROR(__xludf.DUMMYFUNCTION("""COMPUTED_VALUE"""),1.0)</f>
        <v>1</v>
      </c>
      <c r="C5504" s="2">
        <f>IFERROR(__xludf.DUMMYFUNCTION("""COMPUTED_VALUE"""),892.0)</f>
        <v>892</v>
      </c>
      <c r="D5504" s="3">
        <f>IFERROR(__xludf.DUMMYFUNCTION("""COMPUTED_VALUE"""),106.0)</f>
        <v>106</v>
      </c>
      <c r="E5504" s="2"/>
      <c r="F5504" s="2"/>
    </row>
    <row r="5505">
      <c r="A5505" s="2">
        <f>IFERROR(__xludf.DUMMYFUNCTION("""COMPUTED_VALUE"""),4247.0)</f>
        <v>4247</v>
      </c>
      <c r="B5505" s="2">
        <f>IFERROR(__xludf.DUMMYFUNCTION("""COMPUTED_VALUE"""),1.0)</f>
        <v>1</v>
      </c>
      <c r="C5505" s="2">
        <f>IFERROR(__xludf.DUMMYFUNCTION("""COMPUTED_VALUE"""),524.0)</f>
        <v>524</v>
      </c>
      <c r="D5505" s="3">
        <f>IFERROR(__xludf.DUMMYFUNCTION("""COMPUTED_VALUE"""),505.0)</f>
        <v>505</v>
      </c>
      <c r="E5505" s="2"/>
      <c r="F5505" s="2"/>
    </row>
    <row r="5506">
      <c r="A5506" s="2">
        <f>IFERROR(__xludf.DUMMYFUNCTION("""COMPUTED_VALUE"""),119087.0)</f>
        <v>119087</v>
      </c>
      <c r="B5506" s="2">
        <f>IFERROR(__xludf.DUMMYFUNCTION("""COMPUTED_VALUE"""),0.0)</f>
        <v>0</v>
      </c>
      <c r="C5506" s="2">
        <f>IFERROR(__xludf.DUMMYFUNCTION("""COMPUTED_VALUE"""),155.0)</f>
        <v>155</v>
      </c>
      <c r="D5506" s="3">
        <f>IFERROR(__xludf.DUMMYFUNCTION("""COMPUTED_VALUE"""),117.0)</f>
        <v>117</v>
      </c>
      <c r="E5506" s="2"/>
      <c r="F5506" s="2"/>
    </row>
    <row r="5507">
      <c r="A5507" s="2">
        <f>IFERROR(__xludf.DUMMYFUNCTION("""COMPUTED_VALUE"""),9635.0)</f>
        <v>9635</v>
      </c>
      <c r="B5507" s="2">
        <f>IFERROR(__xludf.DUMMYFUNCTION("""COMPUTED_VALUE"""),1.0)</f>
        <v>1</v>
      </c>
      <c r="C5507" s="2">
        <f>IFERROR(__xludf.DUMMYFUNCTION("""COMPUTED_VALUE"""),452.0)</f>
        <v>452</v>
      </c>
      <c r="D5507" s="3">
        <f>IFERROR(__xludf.DUMMYFUNCTION("""COMPUTED_VALUE"""),129.0)</f>
        <v>129</v>
      </c>
      <c r="E5507" s="2"/>
      <c r="F5507" s="2"/>
    </row>
    <row r="5508">
      <c r="A5508" s="2">
        <f>IFERROR(__xludf.DUMMYFUNCTION("""COMPUTED_VALUE"""),108082.0)</f>
        <v>108082</v>
      </c>
      <c r="B5508" s="2">
        <f>IFERROR(__xludf.DUMMYFUNCTION("""COMPUTED_VALUE"""),1.0)</f>
        <v>1</v>
      </c>
      <c r="C5508" s="2">
        <f>IFERROR(__xludf.DUMMYFUNCTION("""COMPUTED_VALUE"""),917.0)</f>
        <v>917</v>
      </c>
      <c r="D5508" s="3">
        <f>IFERROR(__xludf.DUMMYFUNCTION("""COMPUTED_VALUE"""),464.0)</f>
        <v>464</v>
      </c>
      <c r="E5508" s="2"/>
      <c r="F5508" s="2"/>
    </row>
    <row r="5509">
      <c r="A5509" s="2">
        <f>IFERROR(__xludf.DUMMYFUNCTION("""COMPUTED_VALUE"""),9643.0)</f>
        <v>9643</v>
      </c>
      <c r="B5509" s="2">
        <f>IFERROR(__xludf.DUMMYFUNCTION("""COMPUTED_VALUE"""),1.0)</f>
        <v>1</v>
      </c>
      <c r="C5509" s="2">
        <f>IFERROR(__xludf.DUMMYFUNCTION("""COMPUTED_VALUE"""),661.0)</f>
        <v>661</v>
      </c>
      <c r="D5509" s="3">
        <f>IFERROR(__xludf.DUMMYFUNCTION("""COMPUTED_VALUE"""),14.0)</f>
        <v>14</v>
      </c>
      <c r="E5509" s="2"/>
      <c r="F5509" s="2"/>
    </row>
    <row r="5510">
      <c r="A5510" s="2">
        <f>IFERROR(__xludf.DUMMYFUNCTION("""COMPUTED_VALUE"""),117601.0)</f>
        <v>117601</v>
      </c>
      <c r="B5510" s="2">
        <f>IFERROR(__xludf.DUMMYFUNCTION("""COMPUTED_VALUE"""),1.0)</f>
        <v>1</v>
      </c>
      <c r="C5510" s="2">
        <f>IFERROR(__xludf.DUMMYFUNCTION("""COMPUTED_VALUE"""),989.0)</f>
        <v>989</v>
      </c>
      <c r="D5510" s="3">
        <f>IFERROR(__xludf.DUMMYFUNCTION("""COMPUTED_VALUE"""),436.0)</f>
        <v>436</v>
      </c>
      <c r="E5510" s="2"/>
      <c r="F5510" s="2"/>
    </row>
    <row r="5511">
      <c r="A5511" s="2">
        <f>IFERROR(__xludf.DUMMYFUNCTION("""COMPUTED_VALUE"""),108085.0)</f>
        <v>108085</v>
      </c>
      <c r="B5511" s="2">
        <f>IFERROR(__xludf.DUMMYFUNCTION("""COMPUTED_VALUE"""),0.0)</f>
        <v>0</v>
      </c>
      <c r="C5511" s="2">
        <f>IFERROR(__xludf.DUMMYFUNCTION("""COMPUTED_VALUE"""),581.0)</f>
        <v>581</v>
      </c>
      <c r="D5511" s="3">
        <f>IFERROR(__xludf.DUMMYFUNCTION("""COMPUTED_VALUE"""),404.0)</f>
        <v>404</v>
      </c>
      <c r="E5511" s="2"/>
      <c r="F5511" s="2"/>
    </row>
    <row r="5512">
      <c r="A5512" s="2">
        <f>IFERROR(__xludf.DUMMYFUNCTION("""COMPUTED_VALUE"""),133914.0)</f>
        <v>133914</v>
      </c>
      <c r="B5512" s="2">
        <f>IFERROR(__xludf.DUMMYFUNCTION("""COMPUTED_VALUE"""),1.0)</f>
        <v>1</v>
      </c>
      <c r="C5512" s="2">
        <f>IFERROR(__xludf.DUMMYFUNCTION("""COMPUTED_VALUE"""),526.0)</f>
        <v>526</v>
      </c>
      <c r="D5512" s="3">
        <f>IFERROR(__xludf.DUMMYFUNCTION("""COMPUTED_VALUE"""),386.0)</f>
        <v>386</v>
      </c>
      <c r="E5512" s="2"/>
      <c r="F5512" s="2"/>
    </row>
    <row r="5513">
      <c r="A5513" s="2">
        <f>IFERROR(__xludf.DUMMYFUNCTION("""COMPUTED_VALUE"""),103503.0)</f>
        <v>103503</v>
      </c>
      <c r="B5513" s="2">
        <f>IFERROR(__xludf.DUMMYFUNCTION("""COMPUTED_VALUE"""),1.0)</f>
        <v>1</v>
      </c>
      <c r="C5513" s="2">
        <f>IFERROR(__xludf.DUMMYFUNCTION("""COMPUTED_VALUE"""),353.0)</f>
        <v>353</v>
      </c>
      <c r="D5513" s="3">
        <f>IFERROR(__xludf.DUMMYFUNCTION("""COMPUTED_VALUE"""),239.0)</f>
        <v>239</v>
      </c>
      <c r="E5513" s="2"/>
      <c r="F5513" s="2"/>
    </row>
    <row r="5514">
      <c r="A5514" s="2">
        <f>IFERROR(__xludf.DUMMYFUNCTION("""COMPUTED_VALUE"""),128363.0)</f>
        <v>128363</v>
      </c>
      <c r="B5514" s="2">
        <f>IFERROR(__xludf.DUMMYFUNCTION("""COMPUTED_VALUE"""),0.0)</f>
        <v>0</v>
      </c>
      <c r="C5514" s="2">
        <f>IFERROR(__xludf.DUMMYFUNCTION("""COMPUTED_VALUE"""),739.0)</f>
        <v>739</v>
      </c>
      <c r="D5514" s="3">
        <f>IFERROR(__xludf.DUMMYFUNCTION("""COMPUTED_VALUE"""),226.0)</f>
        <v>226</v>
      </c>
      <c r="E5514" s="2"/>
      <c r="F5514" s="2"/>
    </row>
    <row r="5515">
      <c r="A5515" s="2">
        <f>IFERROR(__xludf.DUMMYFUNCTION("""COMPUTED_VALUE"""),13863.0)</f>
        <v>13863</v>
      </c>
      <c r="B5515" s="2">
        <f>IFERROR(__xludf.DUMMYFUNCTION("""COMPUTED_VALUE"""),1.0)</f>
        <v>1</v>
      </c>
      <c r="C5515" s="2">
        <f>IFERROR(__xludf.DUMMYFUNCTION("""COMPUTED_VALUE"""),672.0)</f>
        <v>672</v>
      </c>
      <c r="D5515" s="3">
        <f>IFERROR(__xludf.DUMMYFUNCTION("""COMPUTED_VALUE"""),620.0)</f>
        <v>620</v>
      </c>
      <c r="E5515" s="2"/>
      <c r="F5515" s="2"/>
    </row>
    <row r="5516">
      <c r="A5516" s="2">
        <f>IFERROR(__xludf.DUMMYFUNCTION("""COMPUTED_VALUE"""),74454.0)</f>
        <v>74454</v>
      </c>
      <c r="B5516" s="2">
        <f>IFERROR(__xludf.DUMMYFUNCTION("""COMPUTED_VALUE"""),0.0)</f>
        <v>0</v>
      </c>
      <c r="C5516" s="2">
        <f>IFERROR(__xludf.DUMMYFUNCTION("""COMPUTED_VALUE"""),289.0)</f>
        <v>289</v>
      </c>
      <c r="D5516" s="3">
        <f>IFERROR(__xludf.DUMMYFUNCTION("""COMPUTED_VALUE"""),270.0)</f>
        <v>270</v>
      </c>
      <c r="E5516" s="2"/>
      <c r="F5516" s="2"/>
    </row>
    <row r="5517">
      <c r="A5517" s="2">
        <f>IFERROR(__xludf.DUMMYFUNCTION("""COMPUTED_VALUE"""),12500.0)</f>
        <v>12500</v>
      </c>
      <c r="B5517" s="2">
        <f>IFERROR(__xludf.DUMMYFUNCTION("""COMPUTED_VALUE"""),0.0)</f>
        <v>0</v>
      </c>
      <c r="C5517" s="2">
        <f>IFERROR(__xludf.DUMMYFUNCTION("""COMPUTED_VALUE"""),326.0)</f>
        <v>326</v>
      </c>
      <c r="D5517" s="3">
        <f>IFERROR(__xludf.DUMMYFUNCTION("""COMPUTED_VALUE"""),176.0)</f>
        <v>176</v>
      </c>
      <c r="E5517" s="2"/>
      <c r="F5517" s="2"/>
    </row>
    <row r="5518">
      <c r="A5518" s="2">
        <f>IFERROR(__xludf.DUMMYFUNCTION("""COMPUTED_VALUE"""),116555.0)</f>
        <v>116555</v>
      </c>
      <c r="B5518" s="2">
        <f>IFERROR(__xludf.DUMMYFUNCTION("""COMPUTED_VALUE"""),1.0)</f>
        <v>1</v>
      </c>
      <c r="C5518" s="2">
        <f>IFERROR(__xludf.DUMMYFUNCTION("""COMPUTED_VALUE"""),341.0)</f>
        <v>341</v>
      </c>
      <c r="D5518" s="3">
        <f>IFERROR(__xludf.DUMMYFUNCTION("""COMPUTED_VALUE"""),266.0)</f>
        <v>266</v>
      </c>
      <c r="E5518" s="2"/>
      <c r="F5518" s="2"/>
    </row>
    <row r="5519">
      <c r="A5519" s="2">
        <f>IFERROR(__xludf.DUMMYFUNCTION("""COMPUTED_VALUE"""),77622.0)</f>
        <v>77622</v>
      </c>
      <c r="B5519" s="2">
        <f>IFERROR(__xludf.DUMMYFUNCTION("""COMPUTED_VALUE"""),0.0)</f>
        <v>0</v>
      </c>
      <c r="C5519" s="2">
        <f>IFERROR(__xludf.DUMMYFUNCTION("""COMPUTED_VALUE"""),352.0)</f>
        <v>352</v>
      </c>
      <c r="D5519" s="3">
        <f>IFERROR(__xludf.DUMMYFUNCTION("""COMPUTED_VALUE"""),199.0)</f>
        <v>199</v>
      </c>
      <c r="E5519" s="2"/>
      <c r="F5519" s="2"/>
    </row>
    <row r="5520">
      <c r="A5520" s="2">
        <f>IFERROR(__xludf.DUMMYFUNCTION("""COMPUTED_VALUE"""),68294.0)</f>
        <v>68294</v>
      </c>
      <c r="B5520" s="2">
        <f>IFERROR(__xludf.DUMMYFUNCTION("""COMPUTED_VALUE"""),0.0)</f>
        <v>0</v>
      </c>
      <c r="C5520" s="2">
        <f>IFERROR(__xludf.DUMMYFUNCTION("""COMPUTED_VALUE"""),585.0)</f>
        <v>585</v>
      </c>
      <c r="D5520" s="3">
        <f>IFERROR(__xludf.DUMMYFUNCTION("""COMPUTED_VALUE"""),160.0)</f>
        <v>160</v>
      </c>
      <c r="E5520" s="2"/>
      <c r="F5520" s="2"/>
    </row>
    <row r="5521">
      <c r="A5521" s="2">
        <f>IFERROR(__xludf.DUMMYFUNCTION("""COMPUTED_VALUE"""),12497.0)</f>
        <v>12497</v>
      </c>
      <c r="B5521" s="2">
        <f>IFERROR(__xludf.DUMMYFUNCTION("""COMPUTED_VALUE"""),0.0)</f>
        <v>0</v>
      </c>
      <c r="C5521" s="2">
        <f>IFERROR(__xludf.DUMMYFUNCTION("""COMPUTED_VALUE"""),440.0)</f>
        <v>440</v>
      </c>
      <c r="D5521" s="3">
        <f>IFERROR(__xludf.DUMMYFUNCTION("""COMPUTED_VALUE"""),251.0)</f>
        <v>251</v>
      </c>
      <c r="E5521" s="2"/>
      <c r="F5521" s="2"/>
    </row>
    <row r="5522">
      <c r="A5522" s="2">
        <f>IFERROR(__xludf.DUMMYFUNCTION("""COMPUTED_VALUE"""),74453.0)</f>
        <v>74453</v>
      </c>
      <c r="B5522" s="2">
        <f>IFERROR(__xludf.DUMMYFUNCTION("""COMPUTED_VALUE"""),0.0)</f>
        <v>0</v>
      </c>
      <c r="C5522" s="2">
        <f>IFERROR(__xludf.DUMMYFUNCTION("""COMPUTED_VALUE"""),669.0)</f>
        <v>669</v>
      </c>
      <c r="D5522" s="3">
        <f>IFERROR(__xludf.DUMMYFUNCTION("""COMPUTED_VALUE"""),31.0)</f>
        <v>31</v>
      </c>
      <c r="E5522" s="2"/>
      <c r="F5522" s="2"/>
    </row>
    <row r="5523">
      <c r="A5523" s="2">
        <f>IFERROR(__xludf.DUMMYFUNCTION("""COMPUTED_VALUE"""),112246.0)</f>
        <v>112246</v>
      </c>
      <c r="B5523" s="2">
        <f>IFERROR(__xludf.DUMMYFUNCTION("""COMPUTED_VALUE"""),1.0)</f>
        <v>1</v>
      </c>
      <c r="C5523" s="2">
        <f>IFERROR(__xludf.DUMMYFUNCTION("""COMPUTED_VALUE"""),713.0)</f>
        <v>713</v>
      </c>
      <c r="D5523" s="3">
        <f>IFERROR(__xludf.DUMMYFUNCTION("""COMPUTED_VALUE"""),477.0)</f>
        <v>477</v>
      </c>
      <c r="E5523" s="2"/>
      <c r="F5523" s="2"/>
    </row>
    <row r="5524">
      <c r="A5524" s="2">
        <f>IFERROR(__xludf.DUMMYFUNCTION("""COMPUTED_VALUE"""),110776.0)</f>
        <v>110776</v>
      </c>
      <c r="B5524" s="2">
        <f>IFERROR(__xludf.DUMMYFUNCTION("""COMPUTED_VALUE"""),0.0)</f>
        <v>0</v>
      </c>
      <c r="C5524" s="2">
        <f>IFERROR(__xludf.DUMMYFUNCTION("""COMPUTED_VALUE"""),239.0)</f>
        <v>239</v>
      </c>
      <c r="D5524" s="3">
        <f>IFERROR(__xludf.DUMMYFUNCTION("""COMPUTED_VALUE"""),215.0)</f>
        <v>215</v>
      </c>
      <c r="E5524" s="2"/>
      <c r="F5524" s="2"/>
    </row>
    <row r="5525">
      <c r="A5525" s="2">
        <f>IFERROR(__xludf.DUMMYFUNCTION("""COMPUTED_VALUE"""),92846.0)</f>
        <v>92846</v>
      </c>
      <c r="B5525" s="2">
        <f>IFERROR(__xludf.DUMMYFUNCTION("""COMPUTED_VALUE"""),1.0)</f>
        <v>1</v>
      </c>
      <c r="C5525" s="2">
        <f>IFERROR(__xludf.DUMMYFUNCTION("""COMPUTED_VALUE"""),850.0)</f>
        <v>850</v>
      </c>
      <c r="D5525" s="3">
        <f>IFERROR(__xludf.DUMMYFUNCTION("""COMPUTED_VALUE"""),834.0)</f>
        <v>834</v>
      </c>
      <c r="E5525" s="2"/>
      <c r="F5525" s="2"/>
    </row>
    <row r="5526">
      <c r="A5526" s="2">
        <f>IFERROR(__xludf.DUMMYFUNCTION("""COMPUTED_VALUE"""),119257.0)</f>
        <v>119257</v>
      </c>
      <c r="B5526" s="2">
        <f>IFERROR(__xludf.DUMMYFUNCTION("""COMPUTED_VALUE"""),1.0)</f>
        <v>1</v>
      </c>
      <c r="C5526" s="2">
        <f>IFERROR(__xludf.DUMMYFUNCTION("""COMPUTED_VALUE"""),746.0)</f>
        <v>746</v>
      </c>
      <c r="D5526" s="3">
        <f>IFERROR(__xludf.DUMMYFUNCTION("""COMPUTED_VALUE"""),228.0)</f>
        <v>228</v>
      </c>
      <c r="E5526" s="2"/>
      <c r="F5526" s="2"/>
    </row>
    <row r="5527">
      <c r="A5527" s="2">
        <f>IFERROR(__xludf.DUMMYFUNCTION("""COMPUTED_VALUE"""),68313.0)</f>
        <v>68313</v>
      </c>
      <c r="B5527" s="2">
        <f>IFERROR(__xludf.DUMMYFUNCTION("""COMPUTED_VALUE"""),1.0)</f>
        <v>1</v>
      </c>
      <c r="C5527" s="2">
        <f>IFERROR(__xludf.DUMMYFUNCTION("""COMPUTED_VALUE"""),163.0)</f>
        <v>163</v>
      </c>
      <c r="D5527" s="3">
        <f>IFERROR(__xludf.DUMMYFUNCTION("""COMPUTED_VALUE"""),139.0)</f>
        <v>139</v>
      </c>
      <c r="E5527" s="2"/>
      <c r="F5527" s="2"/>
    </row>
    <row r="5528">
      <c r="A5528" s="2">
        <f>IFERROR(__xludf.DUMMYFUNCTION("""COMPUTED_VALUE"""),12503.0)</f>
        <v>12503</v>
      </c>
      <c r="B5528" s="2">
        <f>IFERROR(__xludf.DUMMYFUNCTION("""COMPUTED_VALUE"""),0.0)</f>
        <v>0</v>
      </c>
      <c r="C5528" s="2">
        <f>IFERROR(__xludf.DUMMYFUNCTION("""COMPUTED_VALUE"""),769.0)</f>
        <v>769</v>
      </c>
      <c r="D5528" s="3">
        <f>IFERROR(__xludf.DUMMYFUNCTION("""COMPUTED_VALUE"""),497.0)</f>
        <v>497</v>
      </c>
      <c r="E5528" s="2"/>
      <c r="F5528" s="2"/>
    </row>
    <row r="5529">
      <c r="A5529" s="2">
        <f>IFERROR(__xludf.DUMMYFUNCTION("""COMPUTED_VALUE"""),77624.0)</f>
        <v>77624</v>
      </c>
      <c r="B5529" s="2">
        <f>IFERROR(__xludf.DUMMYFUNCTION("""COMPUTED_VALUE"""),0.0)</f>
        <v>0</v>
      </c>
      <c r="C5529" s="2">
        <f>IFERROR(__xludf.DUMMYFUNCTION("""COMPUTED_VALUE"""),895.0)</f>
        <v>895</v>
      </c>
      <c r="D5529" s="3">
        <f>IFERROR(__xludf.DUMMYFUNCTION("""COMPUTED_VALUE"""),158.0)</f>
        <v>158</v>
      </c>
      <c r="E5529" s="2"/>
      <c r="F5529" s="2"/>
    </row>
    <row r="5530">
      <c r="A5530" s="2">
        <f>IFERROR(__xludf.DUMMYFUNCTION("""COMPUTED_VALUE"""),77432.0)</f>
        <v>77432</v>
      </c>
      <c r="B5530" s="2">
        <f>IFERROR(__xludf.DUMMYFUNCTION("""COMPUTED_VALUE"""),1.0)</f>
        <v>1</v>
      </c>
      <c r="C5530" s="2">
        <f>IFERROR(__xludf.DUMMYFUNCTION("""COMPUTED_VALUE"""),475.0)</f>
        <v>475</v>
      </c>
      <c r="D5530" s="3">
        <f>IFERROR(__xludf.DUMMYFUNCTION("""COMPUTED_VALUE"""),424.0)</f>
        <v>424</v>
      </c>
      <c r="E5530" s="2"/>
      <c r="F5530" s="2"/>
    </row>
    <row r="5531">
      <c r="A5531" s="2">
        <f>IFERROR(__xludf.DUMMYFUNCTION("""COMPUTED_VALUE"""),77429.0)</f>
        <v>77429</v>
      </c>
      <c r="B5531" s="2">
        <f>IFERROR(__xludf.DUMMYFUNCTION("""COMPUTED_VALUE"""),1.0)</f>
        <v>1</v>
      </c>
      <c r="C5531" s="2">
        <f>IFERROR(__xludf.DUMMYFUNCTION("""COMPUTED_VALUE"""),914.0)</f>
        <v>914</v>
      </c>
      <c r="D5531" s="3">
        <f>IFERROR(__xludf.DUMMYFUNCTION("""COMPUTED_VALUE"""),470.0)</f>
        <v>470</v>
      </c>
      <c r="E5531" s="2"/>
      <c r="F5531" s="2"/>
    </row>
    <row r="5532">
      <c r="A5532" s="2">
        <f>IFERROR(__xludf.DUMMYFUNCTION("""COMPUTED_VALUE"""),93995.0)</f>
        <v>93995</v>
      </c>
      <c r="B5532" s="2">
        <f>IFERROR(__xludf.DUMMYFUNCTION("""COMPUTED_VALUE"""),1.0)</f>
        <v>1</v>
      </c>
      <c r="C5532" s="2">
        <f>IFERROR(__xludf.DUMMYFUNCTION("""COMPUTED_VALUE"""),532.0)</f>
        <v>532</v>
      </c>
      <c r="D5532" s="3">
        <f>IFERROR(__xludf.DUMMYFUNCTION("""COMPUTED_VALUE"""),278.0)</f>
        <v>278</v>
      </c>
      <c r="E5532" s="2"/>
      <c r="F5532" s="2"/>
    </row>
    <row r="5533">
      <c r="A5533" s="2">
        <f>IFERROR(__xludf.DUMMYFUNCTION("""COMPUTED_VALUE"""),103185.0)</f>
        <v>103185</v>
      </c>
      <c r="B5533" s="2">
        <f>IFERROR(__xludf.DUMMYFUNCTION("""COMPUTED_VALUE"""),0.0)</f>
        <v>0</v>
      </c>
      <c r="C5533" s="2">
        <f>IFERROR(__xludf.DUMMYFUNCTION("""COMPUTED_VALUE"""),273.0)</f>
        <v>273</v>
      </c>
      <c r="D5533" s="3">
        <f>IFERROR(__xludf.DUMMYFUNCTION("""COMPUTED_VALUE"""),30.0)</f>
        <v>30</v>
      </c>
      <c r="E5533" s="2"/>
      <c r="F5533" s="2"/>
    </row>
    <row r="5534">
      <c r="A5534" s="2">
        <f>IFERROR(__xludf.DUMMYFUNCTION("""COMPUTED_VALUE"""),13868.0)</f>
        <v>13868</v>
      </c>
      <c r="B5534" s="2">
        <f>IFERROR(__xludf.DUMMYFUNCTION("""COMPUTED_VALUE"""),0.0)</f>
        <v>0</v>
      </c>
      <c r="C5534" s="2">
        <f>IFERROR(__xludf.DUMMYFUNCTION("""COMPUTED_VALUE"""),561.0)</f>
        <v>561</v>
      </c>
      <c r="D5534" s="3">
        <f>IFERROR(__xludf.DUMMYFUNCTION("""COMPUTED_VALUE"""),120.0)</f>
        <v>120</v>
      </c>
      <c r="E5534" s="2"/>
      <c r="F5534" s="2"/>
    </row>
    <row r="5535">
      <c r="A5535" s="2">
        <f>IFERROR(__xludf.DUMMYFUNCTION("""COMPUTED_VALUE"""),9504.0)</f>
        <v>9504</v>
      </c>
      <c r="B5535" s="2">
        <f>IFERROR(__xludf.DUMMYFUNCTION("""COMPUTED_VALUE"""),1.0)</f>
        <v>1</v>
      </c>
      <c r="C5535" s="2">
        <f>IFERROR(__xludf.DUMMYFUNCTION("""COMPUTED_VALUE"""),350.0)</f>
        <v>350</v>
      </c>
      <c r="D5535" s="3">
        <f>IFERROR(__xludf.DUMMYFUNCTION("""COMPUTED_VALUE"""),43.0)</f>
        <v>43</v>
      </c>
      <c r="E5535" s="2"/>
      <c r="F5535" s="2"/>
    </row>
    <row r="5536">
      <c r="A5536" s="2">
        <f>IFERROR(__xludf.DUMMYFUNCTION("""COMPUTED_VALUE"""),77446.0)</f>
        <v>77446</v>
      </c>
      <c r="B5536" s="2">
        <f>IFERROR(__xludf.DUMMYFUNCTION("""COMPUTED_VALUE"""),0.0)</f>
        <v>0</v>
      </c>
      <c r="C5536" s="2">
        <f>IFERROR(__xludf.DUMMYFUNCTION("""COMPUTED_VALUE"""),916.0)</f>
        <v>916</v>
      </c>
      <c r="D5536" s="3">
        <f>IFERROR(__xludf.DUMMYFUNCTION("""COMPUTED_VALUE"""),249.0)</f>
        <v>249</v>
      </c>
      <c r="E5536" s="2"/>
      <c r="F5536" s="2"/>
    </row>
    <row r="5537">
      <c r="A5537" s="2">
        <f>IFERROR(__xludf.DUMMYFUNCTION("""COMPUTED_VALUE"""),77498.0)</f>
        <v>77498</v>
      </c>
      <c r="B5537" s="2">
        <f>IFERROR(__xludf.DUMMYFUNCTION("""COMPUTED_VALUE"""),0.0)</f>
        <v>0</v>
      </c>
      <c r="C5537" s="2">
        <f>IFERROR(__xludf.DUMMYFUNCTION("""COMPUTED_VALUE"""),873.0)</f>
        <v>873</v>
      </c>
      <c r="D5537" s="3">
        <f>IFERROR(__xludf.DUMMYFUNCTION("""COMPUTED_VALUE"""),429.0)</f>
        <v>429</v>
      </c>
      <c r="E5537" s="2"/>
      <c r="F5537" s="2"/>
    </row>
    <row r="5538">
      <c r="A5538" s="2">
        <f>IFERROR(__xludf.DUMMYFUNCTION("""COMPUTED_VALUE"""),77488.0)</f>
        <v>77488</v>
      </c>
      <c r="B5538" s="2">
        <f>IFERROR(__xludf.DUMMYFUNCTION("""COMPUTED_VALUE"""),1.0)</f>
        <v>1</v>
      </c>
      <c r="C5538" s="2">
        <f>IFERROR(__xludf.DUMMYFUNCTION("""COMPUTED_VALUE"""),435.0)</f>
        <v>435</v>
      </c>
      <c r="D5538" s="3">
        <f>IFERROR(__xludf.DUMMYFUNCTION("""COMPUTED_VALUE"""),297.0)</f>
        <v>297</v>
      </c>
      <c r="E5538" s="2"/>
      <c r="F5538" s="2"/>
    </row>
    <row r="5539">
      <c r="A5539" s="2">
        <f>IFERROR(__xludf.DUMMYFUNCTION("""COMPUTED_VALUE"""),82203.0)</f>
        <v>82203</v>
      </c>
      <c r="B5539" s="2">
        <f>IFERROR(__xludf.DUMMYFUNCTION("""COMPUTED_VALUE"""),0.0)</f>
        <v>0</v>
      </c>
      <c r="C5539" s="2">
        <f>IFERROR(__xludf.DUMMYFUNCTION("""COMPUTED_VALUE"""),866.0)</f>
        <v>866</v>
      </c>
      <c r="D5539" s="3">
        <f>IFERROR(__xludf.DUMMYFUNCTION("""COMPUTED_VALUE"""),90.0)</f>
        <v>90</v>
      </c>
      <c r="E5539" s="2"/>
      <c r="F5539" s="2"/>
    </row>
    <row r="5540">
      <c r="A5540" s="2">
        <f>IFERROR(__xludf.DUMMYFUNCTION("""COMPUTED_VALUE"""),82754.0)</f>
        <v>82754</v>
      </c>
      <c r="B5540" s="2">
        <f>IFERROR(__xludf.DUMMYFUNCTION("""COMPUTED_VALUE"""),1.0)</f>
        <v>1</v>
      </c>
      <c r="C5540" s="2">
        <f>IFERROR(__xludf.DUMMYFUNCTION("""COMPUTED_VALUE"""),754.0)</f>
        <v>754</v>
      </c>
      <c r="D5540" s="3">
        <f>IFERROR(__xludf.DUMMYFUNCTION("""COMPUTED_VALUE"""),520.0)</f>
        <v>520</v>
      </c>
      <c r="E5540" s="2"/>
      <c r="F5540" s="2"/>
    </row>
    <row r="5541">
      <c r="A5541" s="2">
        <f>IFERROR(__xludf.DUMMYFUNCTION("""COMPUTED_VALUE"""),110837.0)</f>
        <v>110837</v>
      </c>
      <c r="B5541" s="2">
        <f>IFERROR(__xludf.DUMMYFUNCTION("""COMPUTED_VALUE"""),0.0)</f>
        <v>0</v>
      </c>
      <c r="C5541" s="2">
        <f>IFERROR(__xludf.DUMMYFUNCTION("""COMPUTED_VALUE"""),924.0)</f>
        <v>924</v>
      </c>
      <c r="D5541" s="3">
        <f>IFERROR(__xludf.DUMMYFUNCTION("""COMPUTED_VALUE"""),869.0)</f>
        <v>869</v>
      </c>
      <c r="E5541" s="2"/>
      <c r="F5541" s="2"/>
    </row>
    <row r="5542">
      <c r="A5542" s="2">
        <f>IFERROR(__xludf.DUMMYFUNCTION("""COMPUTED_VALUE"""),9591.0)</f>
        <v>9591</v>
      </c>
      <c r="B5542" s="2">
        <f>IFERROR(__xludf.DUMMYFUNCTION("""COMPUTED_VALUE"""),0.0)</f>
        <v>0</v>
      </c>
      <c r="C5542" s="2">
        <f>IFERROR(__xludf.DUMMYFUNCTION("""COMPUTED_VALUE"""),643.0)</f>
        <v>643</v>
      </c>
      <c r="D5542" s="3">
        <f>IFERROR(__xludf.DUMMYFUNCTION("""COMPUTED_VALUE"""),509.0)</f>
        <v>509</v>
      </c>
      <c r="E5542" s="2"/>
      <c r="F5542" s="2"/>
    </row>
    <row r="5543">
      <c r="A5543" s="2">
        <f>IFERROR(__xludf.DUMMYFUNCTION("""COMPUTED_VALUE"""),94040.0)</f>
        <v>94040</v>
      </c>
      <c r="B5543" s="2">
        <f>IFERROR(__xludf.DUMMYFUNCTION("""COMPUTED_VALUE"""),0.0)</f>
        <v>0</v>
      </c>
      <c r="C5543" s="2">
        <f>IFERROR(__xludf.DUMMYFUNCTION("""COMPUTED_VALUE"""),353.0)</f>
        <v>353</v>
      </c>
      <c r="D5543" s="3">
        <f>IFERROR(__xludf.DUMMYFUNCTION("""COMPUTED_VALUE"""),312.0)</f>
        <v>312</v>
      </c>
      <c r="E5543" s="2"/>
      <c r="F5543" s="2"/>
    </row>
    <row r="5544">
      <c r="A5544" s="2">
        <f>IFERROR(__xludf.DUMMYFUNCTION("""COMPUTED_VALUE"""),9513.0)</f>
        <v>9513</v>
      </c>
      <c r="B5544" s="2">
        <f>IFERROR(__xludf.DUMMYFUNCTION("""COMPUTED_VALUE"""),0.0)</f>
        <v>0</v>
      </c>
      <c r="C5544" s="2">
        <f>IFERROR(__xludf.DUMMYFUNCTION("""COMPUTED_VALUE"""),788.0)</f>
        <v>788</v>
      </c>
      <c r="D5544" s="3">
        <f>IFERROR(__xludf.DUMMYFUNCTION("""COMPUTED_VALUE"""),429.0)</f>
        <v>429</v>
      </c>
      <c r="E5544" s="2"/>
      <c r="F5544" s="2"/>
    </row>
    <row r="5545">
      <c r="A5545" s="2">
        <f>IFERROR(__xludf.DUMMYFUNCTION("""COMPUTED_VALUE"""),121543.0)</f>
        <v>121543</v>
      </c>
      <c r="B5545" s="2">
        <f>IFERROR(__xludf.DUMMYFUNCTION("""COMPUTED_VALUE"""),0.0)</f>
        <v>0</v>
      </c>
      <c r="C5545" s="2">
        <f>IFERROR(__xludf.DUMMYFUNCTION("""COMPUTED_VALUE"""),739.0)</f>
        <v>739</v>
      </c>
      <c r="D5545" s="3">
        <f>IFERROR(__xludf.DUMMYFUNCTION("""COMPUTED_VALUE"""),379.0)</f>
        <v>379</v>
      </c>
      <c r="E5545" s="2"/>
      <c r="F5545" s="2"/>
    </row>
    <row r="5546">
      <c r="A5546" s="2">
        <f>IFERROR(__xludf.DUMMYFUNCTION("""COMPUTED_VALUE"""),164638.0)</f>
        <v>164638</v>
      </c>
      <c r="B5546" s="2">
        <f>IFERROR(__xludf.DUMMYFUNCTION("""COMPUTED_VALUE"""),0.0)</f>
        <v>0</v>
      </c>
      <c r="C5546" s="2">
        <f>IFERROR(__xludf.DUMMYFUNCTION("""COMPUTED_VALUE"""),712.0)</f>
        <v>712</v>
      </c>
      <c r="D5546" s="3">
        <f>IFERROR(__xludf.DUMMYFUNCTION("""COMPUTED_VALUE"""),476.0)</f>
        <v>476</v>
      </c>
      <c r="E5546" s="2"/>
      <c r="F5546" s="2"/>
    </row>
    <row r="5547">
      <c r="A5547" s="2">
        <f>IFERROR(__xludf.DUMMYFUNCTION("""COMPUTED_VALUE"""),9554.0)</f>
        <v>9554</v>
      </c>
      <c r="B5547" s="2">
        <f>IFERROR(__xludf.DUMMYFUNCTION("""COMPUTED_VALUE"""),1.0)</f>
        <v>1</v>
      </c>
      <c r="C5547" s="2">
        <f>IFERROR(__xludf.DUMMYFUNCTION("""COMPUTED_VALUE"""),170.0)</f>
        <v>170</v>
      </c>
      <c r="D5547" s="3">
        <f>IFERROR(__xludf.DUMMYFUNCTION("""COMPUTED_VALUE"""),91.0)</f>
        <v>91</v>
      </c>
      <c r="E5547" s="2"/>
      <c r="F5547" s="2"/>
    </row>
    <row r="5548">
      <c r="A5548" s="2">
        <f>IFERROR(__xludf.DUMMYFUNCTION("""COMPUTED_VALUE"""),117798.0)</f>
        <v>117798</v>
      </c>
      <c r="B5548" s="2">
        <f>IFERROR(__xludf.DUMMYFUNCTION("""COMPUTED_VALUE"""),1.0)</f>
        <v>1</v>
      </c>
      <c r="C5548" s="2">
        <f>IFERROR(__xludf.DUMMYFUNCTION("""COMPUTED_VALUE"""),504.0)</f>
        <v>504</v>
      </c>
      <c r="D5548" s="3">
        <f>IFERROR(__xludf.DUMMYFUNCTION("""COMPUTED_VALUE"""),463.0)</f>
        <v>463</v>
      </c>
      <c r="E5548" s="2"/>
      <c r="F5548" s="2"/>
    </row>
    <row r="5549">
      <c r="A5549" s="2">
        <f>IFERROR(__xludf.DUMMYFUNCTION("""COMPUTED_VALUE"""),77480.0)</f>
        <v>77480</v>
      </c>
      <c r="B5549" s="2">
        <f>IFERROR(__xludf.DUMMYFUNCTION("""COMPUTED_VALUE"""),1.0)</f>
        <v>1</v>
      </c>
      <c r="C5549" s="2">
        <f>IFERROR(__xludf.DUMMYFUNCTION("""COMPUTED_VALUE"""),198.0)</f>
        <v>198</v>
      </c>
      <c r="D5549" s="3">
        <f>IFERROR(__xludf.DUMMYFUNCTION("""COMPUTED_VALUE"""),184.0)</f>
        <v>184</v>
      </c>
      <c r="E5549" s="2"/>
      <c r="F5549" s="2"/>
    </row>
    <row r="5550">
      <c r="A5550" s="2">
        <f>IFERROR(__xludf.DUMMYFUNCTION("""COMPUTED_VALUE"""),9547.0)</f>
        <v>9547</v>
      </c>
      <c r="B5550" s="2">
        <f>IFERROR(__xludf.DUMMYFUNCTION("""COMPUTED_VALUE"""),0.0)</f>
        <v>0</v>
      </c>
      <c r="C5550" s="2">
        <f>IFERROR(__xludf.DUMMYFUNCTION("""COMPUTED_VALUE"""),481.0)</f>
        <v>481</v>
      </c>
      <c r="D5550" s="3">
        <f>IFERROR(__xludf.DUMMYFUNCTION("""COMPUTED_VALUE"""),108.0)</f>
        <v>108</v>
      </c>
      <c r="E5550" s="2"/>
      <c r="F5550" s="2"/>
    </row>
    <row r="5551">
      <c r="A5551" s="2">
        <f>IFERROR(__xludf.DUMMYFUNCTION("""COMPUTED_VALUE"""),9551.0)</f>
        <v>9551</v>
      </c>
      <c r="B5551" s="2">
        <f>IFERROR(__xludf.DUMMYFUNCTION("""COMPUTED_VALUE"""),1.0)</f>
        <v>1</v>
      </c>
      <c r="C5551" s="2">
        <f>IFERROR(__xludf.DUMMYFUNCTION("""COMPUTED_VALUE"""),351.0)</f>
        <v>351</v>
      </c>
      <c r="D5551" s="3">
        <f>IFERROR(__xludf.DUMMYFUNCTION("""COMPUTED_VALUE"""),248.0)</f>
        <v>248</v>
      </c>
      <c r="E5551" s="2"/>
      <c r="F5551" s="2"/>
    </row>
    <row r="5552">
      <c r="A5552" s="2">
        <f>IFERROR(__xludf.DUMMYFUNCTION("""COMPUTED_VALUE"""),9514.0)</f>
        <v>9514</v>
      </c>
      <c r="B5552" s="2">
        <f>IFERROR(__xludf.DUMMYFUNCTION("""COMPUTED_VALUE"""),0.0)</f>
        <v>0</v>
      </c>
      <c r="C5552" s="2">
        <f>IFERROR(__xludf.DUMMYFUNCTION("""COMPUTED_VALUE"""),870.0)</f>
        <v>870</v>
      </c>
      <c r="D5552" s="3">
        <f>IFERROR(__xludf.DUMMYFUNCTION("""COMPUTED_VALUE"""),805.0)</f>
        <v>805</v>
      </c>
      <c r="E5552" s="2"/>
      <c r="F5552" s="2"/>
    </row>
    <row r="5553">
      <c r="A5553" s="2">
        <f>IFERROR(__xludf.DUMMYFUNCTION("""COMPUTED_VALUE"""),147310.0)</f>
        <v>147310</v>
      </c>
      <c r="B5553" s="2">
        <f>IFERROR(__xludf.DUMMYFUNCTION("""COMPUTED_VALUE"""),1.0)</f>
        <v>1</v>
      </c>
      <c r="C5553" s="2">
        <f>IFERROR(__xludf.DUMMYFUNCTION("""COMPUTED_VALUE"""),211.0)</f>
        <v>211</v>
      </c>
      <c r="D5553" s="3">
        <f>IFERROR(__xludf.DUMMYFUNCTION("""COMPUTED_VALUE"""),100.0)</f>
        <v>100</v>
      </c>
      <c r="E5553" s="2"/>
      <c r="F5553" s="2"/>
    </row>
    <row r="5554">
      <c r="A5554" s="2">
        <f>IFERROR(__xludf.DUMMYFUNCTION("""COMPUTED_VALUE"""),13865.0)</f>
        <v>13865</v>
      </c>
      <c r="B5554" s="2">
        <f>IFERROR(__xludf.DUMMYFUNCTION("""COMPUTED_VALUE"""),1.0)</f>
        <v>1</v>
      </c>
      <c r="C5554" s="2">
        <f>IFERROR(__xludf.DUMMYFUNCTION("""COMPUTED_VALUE"""),847.0)</f>
        <v>847</v>
      </c>
      <c r="D5554" s="3">
        <f>IFERROR(__xludf.DUMMYFUNCTION("""COMPUTED_VALUE"""),726.0)</f>
        <v>726</v>
      </c>
      <c r="E5554" s="2"/>
      <c r="F5554" s="2"/>
    </row>
    <row r="5555">
      <c r="A5555" s="2">
        <f>IFERROR(__xludf.DUMMYFUNCTION("""COMPUTED_VALUE"""),9521.0)</f>
        <v>9521</v>
      </c>
      <c r="B5555" s="2">
        <f>IFERROR(__xludf.DUMMYFUNCTION("""COMPUTED_VALUE"""),1.0)</f>
        <v>1</v>
      </c>
      <c r="C5555" s="2">
        <f>IFERROR(__xludf.DUMMYFUNCTION("""COMPUTED_VALUE"""),213.0)</f>
        <v>213</v>
      </c>
      <c r="D5555" s="3">
        <f>IFERROR(__xludf.DUMMYFUNCTION("""COMPUTED_VALUE"""),162.0)</f>
        <v>162</v>
      </c>
      <c r="E5555" s="2"/>
      <c r="F5555" s="2"/>
    </row>
    <row r="5556">
      <c r="A5556" s="2">
        <f>IFERROR(__xludf.DUMMYFUNCTION("""COMPUTED_VALUE"""),9522.0)</f>
        <v>9522</v>
      </c>
      <c r="B5556" s="2">
        <f>IFERROR(__xludf.DUMMYFUNCTION("""COMPUTED_VALUE"""),1.0)</f>
        <v>1</v>
      </c>
      <c r="C5556" s="2">
        <f>IFERROR(__xludf.DUMMYFUNCTION("""COMPUTED_VALUE"""),53.0)</f>
        <v>53</v>
      </c>
      <c r="D5556" s="3">
        <f>IFERROR(__xludf.DUMMYFUNCTION("""COMPUTED_VALUE"""),29.0)</f>
        <v>29</v>
      </c>
      <c r="E5556" s="2"/>
      <c r="F5556" s="2"/>
    </row>
    <row r="5557">
      <c r="A5557" s="2">
        <f>IFERROR(__xludf.DUMMYFUNCTION("""COMPUTED_VALUE"""),94048.0)</f>
        <v>94048</v>
      </c>
      <c r="B5557" s="2">
        <f>IFERROR(__xludf.DUMMYFUNCTION("""COMPUTED_VALUE"""),1.0)</f>
        <v>1</v>
      </c>
      <c r="C5557" s="2">
        <f>IFERROR(__xludf.DUMMYFUNCTION("""COMPUTED_VALUE"""),266.0)</f>
        <v>266</v>
      </c>
      <c r="D5557" s="3">
        <f>IFERROR(__xludf.DUMMYFUNCTION("""COMPUTED_VALUE"""),247.0)</f>
        <v>247</v>
      </c>
      <c r="E5557" s="2"/>
      <c r="F5557" s="2"/>
    </row>
    <row r="5558">
      <c r="A5558" s="2">
        <f>IFERROR(__xludf.DUMMYFUNCTION("""COMPUTED_VALUE"""),121549.0)</f>
        <v>121549</v>
      </c>
      <c r="B5558" s="2">
        <f>IFERROR(__xludf.DUMMYFUNCTION("""COMPUTED_VALUE"""),0.0)</f>
        <v>0</v>
      </c>
      <c r="C5558" s="2">
        <f>IFERROR(__xludf.DUMMYFUNCTION("""COMPUTED_VALUE"""),430.0)</f>
        <v>430</v>
      </c>
      <c r="D5558" s="3">
        <f>IFERROR(__xludf.DUMMYFUNCTION("""COMPUTED_VALUE"""),173.0)</f>
        <v>173</v>
      </c>
      <c r="E5558" s="2"/>
      <c r="F5558" s="2"/>
    </row>
    <row r="5559">
      <c r="A5559" s="2">
        <f>IFERROR(__xludf.DUMMYFUNCTION("""COMPUTED_VALUE"""),9593.0)</f>
        <v>9593</v>
      </c>
      <c r="B5559" s="2">
        <f>IFERROR(__xludf.DUMMYFUNCTION("""COMPUTED_VALUE"""),0.0)</f>
        <v>0</v>
      </c>
      <c r="C5559" s="2">
        <f>IFERROR(__xludf.DUMMYFUNCTION("""COMPUTED_VALUE"""),348.0)</f>
        <v>348</v>
      </c>
      <c r="D5559" s="3">
        <f>IFERROR(__xludf.DUMMYFUNCTION("""COMPUTED_VALUE"""),237.0)</f>
        <v>237</v>
      </c>
      <c r="E5559" s="2"/>
      <c r="F5559" s="2"/>
    </row>
    <row r="5560">
      <c r="A5560" s="2">
        <f>IFERROR(__xludf.DUMMYFUNCTION("""COMPUTED_VALUE"""),119247.0)</f>
        <v>119247</v>
      </c>
      <c r="B5560" s="2">
        <f>IFERROR(__xludf.DUMMYFUNCTION("""COMPUTED_VALUE"""),0.0)</f>
        <v>0</v>
      </c>
      <c r="C5560" s="2">
        <f>IFERROR(__xludf.DUMMYFUNCTION("""COMPUTED_VALUE"""),859.0)</f>
        <v>859</v>
      </c>
      <c r="D5560" s="3">
        <f>IFERROR(__xludf.DUMMYFUNCTION("""COMPUTED_VALUE"""),195.0)</f>
        <v>195</v>
      </c>
      <c r="E5560" s="2"/>
      <c r="F5560" s="2"/>
    </row>
    <row r="5561">
      <c r="A5561" s="2">
        <f>IFERROR(__xludf.DUMMYFUNCTION("""COMPUTED_VALUE"""),9516.0)</f>
        <v>9516</v>
      </c>
      <c r="B5561" s="2">
        <f>IFERROR(__xludf.DUMMYFUNCTION("""COMPUTED_VALUE"""),1.0)</f>
        <v>1</v>
      </c>
      <c r="C5561" s="2">
        <f>IFERROR(__xludf.DUMMYFUNCTION("""COMPUTED_VALUE"""),683.0)</f>
        <v>683</v>
      </c>
      <c r="D5561" s="3">
        <f>IFERROR(__xludf.DUMMYFUNCTION("""COMPUTED_VALUE"""),399.0)</f>
        <v>399</v>
      </c>
      <c r="E5561" s="2"/>
      <c r="F5561" s="2"/>
    </row>
    <row r="5562">
      <c r="A5562" s="2">
        <f>IFERROR(__xludf.DUMMYFUNCTION("""COMPUTED_VALUE"""),193265.0)</f>
        <v>193265</v>
      </c>
      <c r="B5562" s="2">
        <f>IFERROR(__xludf.DUMMYFUNCTION("""COMPUTED_VALUE"""),1.0)</f>
        <v>1</v>
      </c>
      <c r="C5562" s="2">
        <f>IFERROR(__xludf.DUMMYFUNCTION("""COMPUTED_VALUE"""),753.0)</f>
        <v>753</v>
      </c>
      <c r="D5562" s="3">
        <f>IFERROR(__xludf.DUMMYFUNCTION("""COMPUTED_VALUE"""),528.0)</f>
        <v>528</v>
      </c>
      <c r="E5562" s="2"/>
      <c r="F5562" s="2"/>
    </row>
    <row r="5563">
      <c r="A5563" s="2">
        <f>IFERROR(__xludf.DUMMYFUNCTION("""COMPUTED_VALUE"""),13869.0)</f>
        <v>13869</v>
      </c>
      <c r="B5563" s="2">
        <f>IFERROR(__xludf.DUMMYFUNCTION("""COMPUTED_VALUE"""),1.0)</f>
        <v>1</v>
      </c>
      <c r="C5563" s="2">
        <f>IFERROR(__xludf.DUMMYFUNCTION("""COMPUTED_VALUE"""),311.0)</f>
        <v>311</v>
      </c>
      <c r="D5563" s="3">
        <f>IFERROR(__xludf.DUMMYFUNCTION("""COMPUTED_VALUE"""),226.0)</f>
        <v>226</v>
      </c>
      <c r="E5563" s="2"/>
      <c r="F5563" s="2"/>
    </row>
    <row r="5564">
      <c r="A5564" s="2">
        <f>IFERROR(__xludf.DUMMYFUNCTION("""COMPUTED_VALUE"""),13877.0)</f>
        <v>13877</v>
      </c>
      <c r="B5564" s="2">
        <f>IFERROR(__xludf.DUMMYFUNCTION("""COMPUTED_VALUE"""),1.0)</f>
        <v>1</v>
      </c>
      <c r="C5564" s="2">
        <f>IFERROR(__xludf.DUMMYFUNCTION("""COMPUTED_VALUE"""),185.0)</f>
        <v>185</v>
      </c>
      <c r="D5564" s="3">
        <f>IFERROR(__xludf.DUMMYFUNCTION("""COMPUTED_VALUE"""),69.0)</f>
        <v>69</v>
      </c>
      <c r="E5564" s="2"/>
      <c r="F5564" s="2"/>
    </row>
    <row r="5565">
      <c r="A5565" s="2">
        <f>IFERROR(__xludf.DUMMYFUNCTION("""COMPUTED_VALUE"""),9493.0)</f>
        <v>9493</v>
      </c>
      <c r="B5565" s="2">
        <f>IFERROR(__xludf.DUMMYFUNCTION("""COMPUTED_VALUE"""),0.0)</f>
        <v>0</v>
      </c>
      <c r="C5565" s="2">
        <f>IFERROR(__xludf.DUMMYFUNCTION("""COMPUTED_VALUE"""),584.0)</f>
        <v>584</v>
      </c>
      <c r="D5565" s="3">
        <f>IFERROR(__xludf.DUMMYFUNCTION("""COMPUTED_VALUE"""),167.0)</f>
        <v>167</v>
      </c>
      <c r="E5565" s="2"/>
      <c r="F5565" s="2"/>
    </row>
    <row r="5566">
      <c r="A5566" s="2">
        <f>IFERROR(__xludf.DUMMYFUNCTION("""COMPUTED_VALUE"""),9502.0)</f>
        <v>9502</v>
      </c>
      <c r="B5566" s="2">
        <f>IFERROR(__xludf.DUMMYFUNCTION("""COMPUTED_VALUE"""),0.0)</f>
        <v>0</v>
      </c>
      <c r="C5566" s="2">
        <f>IFERROR(__xludf.DUMMYFUNCTION("""COMPUTED_VALUE"""),527.0)</f>
        <v>527</v>
      </c>
      <c r="D5566" s="3">
        <f>IFERROR(__xludf.DUMMYFUNCTION("""COMPUTED_VALUE"""),309.0)</f>
        <v>309</v>
      </c>
      <c r="E5566" s="2"/>
      <c r="F5566" s="2"/>
    </row>
    <row r="5567">
      <c r="A5567" s="2">
        <f>IFERROR(__xludf.DUMMYFUNCTION("""COMPUTED_VALUE"""),147301.0)</f>
        <v>147301</v>
      </c>
      <c r="B5567" s="2">
        <f>IFERROR(__xludf.DUMMYFUNCTION("""COMPUTED_VALUE"""),1.0)</f>
        <v>1</v>
      </c>
      <c r="C5567" s="2">
        <f>IFERROR(__xludf.DUMMYFUNCTION("""COMPUTED_VALUE"""),330.0)</f>
        <v>330</v>
      </c>
      <c r="D5567" s="3">
        <f>IFERROR(__xludf.DUMMYFUNCTION("""COMPUTED_VALUE"""),281.0)</f>
        <v>281</v>
      </c>
      <c r="E5567" s="2"/>
      <c r="F5567" s="2"/>
    </row>
    <row r="5568">
      <c r="A5568" s="2">
        <f>IFERROR(__xludf.DUMMYFUNCTION("""COMPUTED_VALUE"""),30569.0)</f>
        <v>30569</v>
      </c>
      <c r="B5568" s="2">
        <f>IFERROR(__xludf.DUMMYFUNCTION("""COMPUTED_VALUE"""),1.0)</f>
        <v>1</v>
      </c>
      <c r="C5568" s="2">
        <f>IFERROR(__xludf.DUMMYFUNCTION("""COMPUTED_VALUE"""),115.0)</f>
        <v>115</v>
      </c>
      <c r="D5568" s="3">
        <f>IFERROR(__xludf.DUMMYFUNCTION("""COMPUTED_VALUE"""),106.0)</f>
        <v>106</v>
      </c>
      <c r="E5568" s="2"/>
      <c r="F5568" s="2"/>
    </row>
    <row r="5569">
      <c r="A5569" s="2">
        <f>IFERROR(__xludf.DUMMYFUNCTION("""COMPUTED_VALUE"""),112190.0)</f>
        <v>112190</v>
      </c>
      <c r="B5569" s="2">
        <f>IFERROR(__xludf.DUMMYFUNCTION("""COMPUTED_VALUE"""),0.0)</f>
        <v>0</v>
      </c>
      <c r="C5569" s="2">
        <f>IFERROR(__xludf.DUMMYFUNCTION("""COMPUTED_VALUE"""),863.0)</f>
        <v>863</v>
      </c>
      <c r="D5569" s="3">
        <f>IFERROR(__xludf.DUMMYFUNCTION("""COMPUTED_VALUE"""),353.0)</f>
        <v>353</v>
      </c>
      <c r="E5569" s="2"/>
      <c r="F5569" s="2"/>
    </row>
    <row r="5570">
      <c r="A5570" s="2">
        <f>IFERROR(__xludf.DUMMYFUNCTION("""COMPUTED_VALUE"""),110833.0)</f>
        <v>110833</v>
      </c>
      <c r="B5570" s="2">
        <f>IFERROR(__xludf.DUMMYFUNCTION("""COMPUTED_VALUE"""),1.0)</f>
        <v>1</v>
      </c>
      <c r="C5570" s="2">
        <f>IFERROR(__xludf.DUMMYFUNCTION("""COMPUTED_VALUE"""),504.0)</f>
        <v>504</v>
      </c>
      <c r="D5570" s="3">
        <f>IFERROR(__xludf.DUMMYFUNCTION("""COMPUTED_VALUE"""),322.0)</f>
        <v>322</v>
      </c>
      <c r="E5570" s="2"/>
      <c r="F5570" s="2"/>
    </row>
    <row r="5571">
      <c r="A5571" s="2">
        <f>IFERROR(__xludf.DUMMYFUNCTION("""COMPUTED_VALUE"""),9505.0)</f>
        <v>9505</v>
      </c>
      <c r="B5571" s="2">
        <f>IFERROR(__xludf.DUMMYFUNCTION("""COMPUTED_VALUE"""),0.0)</f>
        <v>0</v>
      </c>
      <c r="C5571" s="2">
        <f>IFERROR(__xludf.DUMMYFUNCTION("""COMPUTED_VALUE"""),333.0)</f>
        <v>333</v>
      </c>
      <c r="D5571" s="3">
        <f>IFERROR(__xludf.DUMMYFUNCTION("""COMPUTED_VALUE"""),210.0)</f>
        <v>210</v>
      </c>
      <c r="E5571" s="2"/>
      <c r="F5571" s="2"/>
    </row>
    <row r="5572">
      <c r="A5572" s="2">
        <f>IFERROR(__xludf.DUMMYFUNCTION("""COMPUTED_VALUE"""),119248.0)</f>
        <v>119248</v>
      </c>
      <c r="B5572" s="2">
        <f>IFERROR(__xludf.DUMMYFUNCTION("""COMPUTED_VALUE"""),0.0)</f>
        <v>0</v>
      </c>
      <c r="C5572" s="2">
        <f>IFERROR(__xludf.DUMMYFUNCTION("""COMPUTED_VALUE"""),72.0)</f>
        <v>72</v>
      </c>
      <c r="D5572" s="3">
        <f>IFERROR(__xludf.DUMMYFUNCTION("""COMPUTED_VALUE"""),6.0)</f>
        <v>6</v>
      </c>
      <c r="E5572" s="2"/>
      <c r="F5572" s="2"/>
    </row>
    <row r="5573">
      <c r="A5573" s="2">
        <f>IFERROR(__xludf.DUMMYFUNCTION("""COMPUTED_VALUE"""),147306.0)</f>
        <v>147306</v>
      </c>
      <c r="B5573" s="2">
        <f>IFERROR(__xludf.DUMMYFUNCTION("""COMPUTED_VALUE"""),1.0)</f>
        <v>1</v>
      </c>
      <c r="C5573" s="2">
        <f>IFERROR(__xludf.DUMMYFUNCTION("""COMPUTED_VALUE"""),0.0)</f>
        <v>0</v>
      </c>
      <c r="D5573" s="3">
        <f>IFERROR(__xludf.DUMMYFUNCTION("""COMPUTED_VALUE"""),0.0)</f>
        <v>0</v>
      </c>
      <c r="E5573" s="2"/>
      <c r="F5573" s="2"/>
    </row>
    <row r="5574">
      <c r="A5574" s="2">
        <f>IFERROR(__xludf.DUMMYFUNCTION("""COMPUTED_VALUE"""),77425.0)</f>
        <v>77425</v>
      </c>
      <c r="B5574" s="2">
        <f>IFERROR(__xludf.DUMMYFUNCTION("""COMPUTED_VALUE"""),1.0)</f>
        <v>1</v>
      </c>
      <c r="C5574" s="2">
        <f>IFERROR(__xludf.DUMMYFUNCTION("""COMPUTED_VALUE"""),447.0)</f>
        <v>447</v>
      </c>
      <c r="D5574" s="3">
        <f>IFERROR(__xludf.DUMMYFUNCTION("""COMPUTED_VALUE"""),359.0)</f>
        <v>359</v>
      </c>
      <c r="E5574" s="2"/>
      <c r="F5574" s="2"/>
    </row>
    <row r="5575">
      <c r="A5575" s="2">
        <f>IFERROR(__xludf.DUMMYFUNCTION("""COMPUTED_VALUE"""),9497.0)</f>
        <v>9497</v>
      </c>
      <c r="B5575" s="2">
        <f>IFERROR(__xludf.DUMMYFUNCTION("""COMPUTED_VALUE"""),1.0)</f>
        <v>1</v>
      </c>
      <c r="C5575" s="2">
        <f>IFERROR(__xludf.DUMMYFUNCTION("""COMPUTED_VALUE"""),186.0)</f>
        <v>186</v>
      </c>
      <c r="D5575" s="3">
        <f>IFERROR(__xludf.DUMMYFUNCTION("""COMPUTED_VALUE"""),58.0)</f>
        <v>58</v>
      </c>
      <c r="E5575" s="2"/>
      <c r="F5575" s="2"/>
    </row>
    <row r="5576">
      <c r="A5576" s="2">
        <f>IFERROR(__xludf.DUMMYFUNCTION("""COMPUTED_VALUE"""),9601.0)</f>
        <v>9601</v>
      </c>
      <c r="B5576" s="2">
        <f>IFERROR(__xludf.DUMMYFUNCTION("""COMPUTED_VALUE"""),0.0)</f>
        <v>0</v>
      </c>
      <c r="C5576" s="2">
        <f>IFERROR(__xludf.DUMMYFUNCTION("""COMPUTED_VALUE"""),778.0)</f>
        <v>778</v>
      </c>
      <c r="D5576" s="3">
        <f>IFERROR(__xludf.DUMMYFUNCTION("""COMPUTED_VALUE"""),564.0)</f>
        <v>564</v>
      </c>
      <c r="E5576" s="2"/>
      <c r="F5576" s="2"/>
    </row>
    <row r="5577">
      <c r="A5577" s="2">
        <f>IFERROR(__xludf.DUMMYFUNCTION("""COMPUTED_VALUE"""),117799.0)</f>
        <v>117799</v>
      </c>
      <c r="B5577" s="2">
        <f>IFERROR(__xludf.DUMMYFUNCTION("""COMPUTED_VALUE"""),1.0)</f>
        <v>1</v>
      </c>
      <c r="C5577" s="2">
        <f>IFERROR(__xludf.DUMMYFUNCTION("""COMPUTED_VALUE"""),176.0)</f>
        <v>176</v>
      </c>
      <c r="D5577" s="3">
        <f>IFERROR(__xludf.DUMMYFUNCTION("""COMPUTED_VALUE"""),82.0)</f>
        <v>82</v>
      </c>
      <c r="E5577" s="2"/>
      <c r="F5577" s="2"/>
    </row>
    <row r="5578">
      <c r="A5578" s="2">
        <f>IFERROR(__xludf.DUMMYFUNCTION("""COMPUTED_VALUE"""),82770.0)</f>
        <v>82770</v>
      </c>
      <c r="B5578" s="2">
        <f>IFERROR(__xludf.DUMMYFUNCTION("""COMPUTED_VALUE"""),0.0)</f>
        <v>0</v>
      </c>
      <c r="C5578" s="2">
        <f>IFERROR(__xludf.DUMMYFUNCTION("""COMPUTED_VALUE"""),965.0)</f>
        <v>965</v>
      </c>
      <c r="D5578" s="3">
        <f>IFERROR(__xludf.DUMMYFUNCTION("""COMPUTED_VALUE"""),152.0)</f>
        <v>152</v>
      </c>
      <c r="E5578" s="2"/>
      <c r="F5578" s="2"/>
    </row>
    <row r="5579">
      <c r="A5579" s="2">
        <f>IFERROR(__xludf.DUMMYFUNCTION("""COMPUTED_VALUE"""),119249.0)</f>
        <v>119249</v>
      </c>
      <c r="B5579" s="2">
        <f>IFERROR(__xludf.DUMMYFUNCTION("""COMPUTED_VALUE"""),0.0)</f>
        <v>0</v>
      </c>
      <c r="C5579" s="2">
        <f>IFERROR(__xludf.DUMMYFUNCTION("""COMPUTED_VALUE"""),652.0)</f>
        <v>652</v>
      </c>
      <c r="D5579" s="3">
        <f>IFERROR(__xludf.DUMMYFUNCTION("""COMPUTED_VALUE"""),267.0)</f>
        <v>267</v>
      </c>
      <c r="E5579" s="2"/>
      <c r="F5579" s="2"/>
    </row>
    <row r="5580">
      <c r="A5580" s="2">
        <f>IFERROR(__xludf.DUMMYFUNCTION("""COMPUTED_VALUE"""),86191.0)</f>
        <v>86191</v>
      </c>
      <c r="B5580" s="2">
        <f>IFERROR(__xludf.DUMMYFUNCTION("""COMPUTED_VALUE"""),1.0)</f>
        <v>1</v>
      </c>
      <c r="C5580" s="2">
        <f>IFERROR(__xludf.DUMMYFUNCTION("""COMPUTED_VALUE"""),848.0)</f>
        <v>848</v>
      </c>
      <c r="D5580" s="3">
        <f>IFERROR(__xludf.DUMMYFUNCTION("""COMPUTED_VALUE"""),9.0)</f>
        <v>9</v>
      </c>
      <c r="E5580" s="2"/>
      <c r="F5580" s="2"/>
    </row>
    <row r="5581">
      <c r="A5581" s="2">
        <f>IFERROR(__xludf.DUMMYFUNCTION("""COMPUTED_VALUE"""),9503.0)</f>
        <v>9503</v>
      </c>
      <c r="B5581" s="2">
        <f>IFERROR(__xludf.DUMMYFUNCTION("""COMPUTED_VALUE"""),1.0)</f>
        <v>1</v>
      </c>
      <c r="C5581" s="2">
        <f>IFERROR(__xludf.DUMMYFUNCTION("""COMPUTED_VALUE"""),792.0)</f>
        <v>792</v>
      </c>
      <c r="D5581" s="3">
        <f>IFERROR(__xludf.DUMMYFUNCTION("""COMPUTED_VALUE"""),271.0)</f>
        <v>271</v>
      </c>
      <c r="E5581" s="2"/>
      <c r="F5581" s="2"/>
    </row>
    <row r="5582">
      <c r="A5582" s="2">
        <f>IFERROR(__xludf.DUMMYFUNCTION("""COMPUTED_VALUE"""),94007.0)</f>
        <v>94007</v>
      </c>
      <c r="B5582" s="2">
        <f>IFERROR(__xludf.DUMMYFUNCTION("""COMPUTED_VALUE"""),0.0)</f>
        <v>0</v>
      </c>
      <c r="C5582" s="2">
        <f>IFERROR(__xludf.DUMMYFUNCTION("""COMPUTED_VALUE"""),61.0)</f>
        <v>61</v>
      </c>
      <c r="D5582" s="3">
        <f>IFERROR(__xludf.DUMMYFUNCTION("""COMPUTED_VALUE"""),31.0)</f>
        <v>31</v>
      </c>
      <c r="E5582" s="2"/>
      <c r="F5582" s="2"/>
    </row>
    <row r="5583">
      <c r="A5583" s="2">
        <f>IFERROR(__xludf.DUMMYFUNCTION("""COMPUTED_VALUE"""),82761.0)</f>
        <v>82761</v>
      </c>
      <c r="B5583" s="2">
        <f>IFERROR(__xludf.DUMMYFUNCTION("""COMPUTED_VALUE"""),1.0)</f>
        <v>1</v>
      </c>
      <c r="C5583" s="2">
        <f>IFERROR(__xludf.DUMMYFUNCTION("""COMPUTED_VALUE"""),954.0)</f>
        <v>954</v>
      </c>
      <c r="D5583" s="3">
        <f>IFERROR(__xludf.DUMMYFUNCTION("""COMPUTED_VALUE"""),855.0)</f>
        <v>855</v>
      </c>
      <c r="E5583" s="2"/>
      <c r="F5583" s="2"/>
    </row>
    <row r="5584">
      <c r="A5584" s="2">
        <f>IFERROR(__xludf.DUMMYFUNCTION("""COMPUTED_VALUE"""),9599.0)</f>
        <v>9599</v>
      </c>
      <c r="B5584" s="2">
        <f>IFERROR(__xludf.DUMMYFUNCTION("""COMPUTED_VALUE"""),1.0)</f>
        <v>1</v>
      </c>
      <c r="C5584" s="2">
        <f>IFERROR(__xludf.DUMMYFUNCTION("""COMPUTED_VALUE"""),874.0)</f>
        <v>874</v>
      </c>
      <c r="D5584" s="3">
        <f>IFERROR(__xludf.DUMMYFUNCTION("""COMPUTED_VALUE"""),98.0)</f>
        <v>98</v>
      </c>
      <c r="E5584" s="2"/>
      <c r="F5584" s="2"/>
    </row>
    <row r="5585">
      <c r="A5585" s="2">
        <f>IFERROR(__xludf.DUMMYFUNCTION("""COMPUTED_VALUE"""),9496.0)</f>
        <v>9496</v>
      </c>
      <c r="B5585" s="2">
        <f>IFERROR(__xludf.DUMMYFUNCTION("""COMPUTED_VALUE"""),1.0)</f>
        <v>1</v>
      </c>
      <c r="C5585" s="2">
        <f>IFERROR(__xludf.DUMMYFUNCTION("""COMPUTED_VALUE"""),321.0)</f>
        <v>321</v>
      </c>
      <c r="D5585" s="3">
        <f>IFERROR(__xludf.DUMMYFUNCTION("""COMPUTED_VALUE"""),319.0)</f>
        <v>319</v>
      </c>
      <c r="E5585" s="2"/>
      <c r="F5585" s="2"/>
    </row>
    <row r="5586">
      <c r="A5586" s="2">
        <f>IFERROR(__xludf.DUMMYFUNCTION("""COMPUTED_VALUE"""),195072.0)</f>
        <v>195072</v>
      </c>
      <c r="B5586" s="2">
        <f>IFERROR(__xludf.DUMMYFUNCTION("""COMPUTED_VALUE"""),0.0)</f>
        <v>0</v>
      </c>
      <c r="C5586" s="2">
        <f>IFERROR(__xludf.DUMMYFUNCTION("""COMPUTED_VALUE"""),300.0)</f>
        <v>300</v>
      </c>
      <c r="D5586" s="3">
        <f>IFERROR(__xludf.DUMMYFUNCTION("""COMPUTED_VALUE"""),155.0)</f>
        <v>155</v>
      </c>
      <c r="E5586" s="2"/>
      <c r="F5586" s="2"/>
    </row>
    <row r="5587">
      <c r="A5587" s="2">
        <f>IFERROR(__xludf.DUMMYFUNCTION("""COMPUTED_VALUE"""),119252.0)</f>
        <v>119252</v>
      </c>
      <c r="B5587" s="2">
        <f>IFERROR(__xludf.DUMMYFUNCTION("""COMPUTED_VALUE"""),1.0)</f>
        <v>1</v>
      </c>
      <c r="C5587" s="2">
        <f>IFERROR(__xludf.DUMMYFUNCTION("""COMPUTED_VALUE"""),891.0)</f>
        <v>891</v>
      </c>
      <c r="D5587" s="3">
        <f>IFERROR(__xludf.DUMMYFUNCTION("""COMPUTED_VALUE"""),214.0)</f>
        <v>214</v>
      </c>
      <c r="E5587" s="2"/>
      <c r="F5587" s="2"/>
    </row>
    <row r="5588">
      <c r="A5588" s="2">
        <f>IFERROR(__xludf.DUMMYFUNCTION("""COMPUTED_VALUE"""),9501.0)</f>
        <v>9501</v>
      </c>
      <c r="B5588" s="2">
        <f>IFERROR(__xludf.DUMMYFUNCTION("""COMPUTED_VALUE"""),0.0)</f>
        <v>0</v>
      </c>
      <c r="C5588" s="2">
        <f>IFERROR(__xludf.DUMMYFUNCTION("""COMPUTED_VALUE"""),477.0)</f>
        <v>477</v>
      </c>
      <c r="D5588" s="3">
        <f>IFERROR(__xludf.DUMMYFUNCTION("""COMPUTED_VALUE"""),213.0)</f>
        <v>213</v>
      </c>
      <c r="E5588" s="2"/>
      <c r="F5588" s="2"/>
    </row>
    <row r="5589">
      <c r="A5589" s="2">
        <f>IFERROR(__xludf.DUMMYFUNCTION("""COMPUTED_VALUE"""),9491.0)</f>
        <v>9491</v>
      </c>
      <c r="B5589" s="2">
        <f>IFERROR(__xludf.DUMMYFUNCTION("""COMPUTED_VALUE"""),1.0)</f>
        <v>1</v>
      </c>
      <c r="C5589" s="2">
        <f>IFERROR(__xludf.DUMMYFUNCTION("""COMPUTED_VALUE"""),426.0)</f>
        <v>426</v>
      </c>
      <c r="D5589" s="3">
        <f>IFERROR(__xludf.DUMMYFUNCTION("""COMPUTED_VALUE"""),88.0)</f>
        <v>88</v>
      </c>
      <c r="E5589" s="2"/>
      <c r="F5589" s="2"/>
    </row>
    <row r="5590">
      <c r="A5590" s="2">
        <f>IFERROR(__xludf.DUMMYFUNCTION("""COMPUTED_VALUE"""),194058.0)</f>
        <v>194058</v>
      </c>
      <c r="B5590" s="2">
        <f>IFERROR(__xludf.DUMMYFUNCTION("""COMPUTED_VALUE"""),0.0)</f>
        <v>0</v>
      </c>
      <c r="C5590" s="2">
        <f>IFERROR(__xludf.DUMMYFUNCTION("""COMPUTED_VALUE"""),694.0)</f>
        <v>694</v>
      </c>
      <c r="D5590" s="3">
        <f>IFERROR(__xludf.DUMMYFUNCTION("""COMPUTED_VALUE"""),356.0)</f>
        <v>356</v>
      </c>
      <c r="E5590" s="2"/>
      <c r="F5590" s="2"/>
    </row>
    <row r="5591">
      <c r="A5591" s="2">
        <f>IFERROR(__xludf.DUMMYFUNCTION("""COMPUTED_VALUE"""),111319.0)</f>
        <v>111319</v>
      </c>
      <c r="B5591" s="2">
        <f>IFERROR(__xludf.DUMMYFUNCTION("""COMPUTED_VALUE"""),0.0)</f>
        <v>0</v>
      </c>
      <c r="C5591" s="2">
        <f>IFERROR(__xludf.DUMMYFUNCTION("""COMPUTED_VALUE"""),921.0)</f>
        <v>921</v>
      </c>
      <c r="D5591" s="3">
        <f>IFERROR(__xludf.DUMMYFUNCTION("""COMPUTED_VALUE"""),346.0)</f>
        <v>346</v>
      </c>
      <c r="E5591" s="2"/>
      <c r="F5591" s="2"/>
    </row>
    <row r="5592">
      <c r="A5592" s="2">
        <f>IFERROR(__xludf.DUMMYFUNCTION("""COMPUTED_VALUE"""),86655.0)</f>
        <v>86655</v>
      </c>
      <c r="B5592" s="2">
        <f>IFERROR(__xludf.DUMMYFUNCTION("""COMPUTED_VALUE"""),1.0)</f>
        <v>1</v>
      </c>
      <c r="C5592" s="2">
        <f>IFERROR(__xludf.DUMMYFUNCTION("""COMPUTED_VALUE"""),194.0)</f>
        <v>194</v>
      </c>
      <c r="D5592" s="3">
        <f>IFERROR(__xludf.DUMMYFUNCTION("""COMPUTED_VALUE"""),152.0)</f>
        <v>152</v>
      </c>
      <c r="E5592" s="2"/>
      <c r="F5592" s="2"/>
    </row>
    <row r="5593">
      <c r="A5593" s="2">
        <f>IFERROR(__xludf.DUMMYFUNCTION("""COMPUTED_VALUE"""),147300.0)</f>
        <v>147300</v>
      </c>
      <c r="B5593" s="2">
        <f>IFERROR(__xludf.DUMMYFUNCTION("""COMPUTED_VALUE"""),1.0)</f>
        <v>1</v>
      </c>
      <c r="C5593" s="2">
        <f>IFERROR(__xludf.DUMMYFUNCTION("""COMPUTED_VALUE"""),3.0)</f>
        <v>3</v>
      </c>
      <c r="D5593" s="3">
        <f>IFERROR(__xludf.DUMMYFUNCTION("""COMPUTED_VALUE"""),3.0)</f>
        <v>3</v>
      </c>
      <c r="E5593" s="2"/>
      <c r="F5593" s="2"/>
    </row>
    <row r="5594">
      <c r="A5594" s="2">
        <f>IFERROR(__xludf.DUMMYFUNCTION("""COMPUTED_VALUE"""),13861.0)</f>
        <v>13861</v>
      </c>
      <c r="B5594" s="2">
        <f>IFERROR(__xludf.DUMMYFUNCTION("""COMPUTED_VALUE"""),1.0)</f>
        <v>1</v>
      </c>
      <c r="C5594" s="2">
        <f>IFERROR(__xludf.DUMMYFUNCTION("""COMPUTED_VALUE"""),273.0)</f>
        <v>273</v>
      </c>
      <c r="D5594" s="3">
        <f>IFERROR(__xludf.DUMMYFUNCTION("""COMPUTED_VALUE"""),224.0)</f>
        <v>224</v>
      </c>
      <c r="E5594" s="2"/>
      <c r="F5594" s="2"/>
    </row>
    <row r="5595">
      <c r="A5595" s="2">
        <f>IFERROR(__xludf.DUMMYFUNCTION("""COMPUTED_VALUE"""),81510.0)</f>
        <v>81510</v>
      </c>
      <c r="B5595" s="2">
        <f>IFERROR(__xludf.DUMMYFUNCTION("""COMPUTED_VALUE"""),1.0)</f>
        <v>1</v>
      </c>
      <c r="C5595" s="2">
        <f>IFERROR(__xludf.DUMMYFUNCTION("""COMPUTED_VALUE"""),116.0)</f>
        <v>116</v>
      </c>
      <c r="D5595" s="3">
        <f>IFERROR(__xludf.DUMMYFUNCTION("""COMPUTED_VALUE"""),30.0)</f>
        <v>30</v>
      </c>
      <c r="E5595" s="2"/>
      <c r="F5595" s="2"/>
    </row>
    <row r="5596">
      <c r="A5596" s="2">
        <f>IFERROR(__xludf.DUMMYFUNCTION("""COMPUTED_VALUE"""),9560.0)</f>
        <v>9560</v>
      </c>
      <c r="B5596" s="2">
        <f>IFERROR(__xludf.DUMMYFUNCTION("""COMPUTED_VALUE"""),1.0)</f>
        <v>1</v>
      </c>
      <c r="C5596" s="2">
        <f>IFERROR(__xludf.DUMMYFUNCTION("""COMPUTED_VALUE"""),735.0)</f>
        <v>735</v>
      </c>
      <c r="D5596" s="3">
        <f>IFERROR(__xludf.DUMMYFUNCTION("""COMPUTED_VALUE"""),90.0)</f>
        <v>90</v>
      </c>
      <c r="E5596" s="2"/>
      <c r="F5596" s="2"/>
    </row>
    <row r="5597">
      <c r="A5597" s="2">
        <f>IFERROR(__xludf.DUMMYFUNCTION("""COMPUTED_VALUE"""),72161.0)</f>
        <v>72161</v>
      </c>
      <c r="B5597" s="2">
        <f>IFERROR(__xludf.DUMMYFUNCTION("""COMPUTED_VALUE"""),1.0)</f>
        <v>1</v>
      </c>
      <c r="C5597" s="2">
        <f>IFERROR(__xludf.DUMMYFUNCTION("""COMPUTED_VALUE"""),173.0)</f>
        <v>173</v>
      </c>
      <c r="D5597" s="3">
        <f>IFERROR(__xludf.DUMMYFUNCTION("""COMPUTED_VALUE"""),59.0)</f>
        <v>59</v>
      </c>
      <c r="E5597" s="2"/>
      <c r="F5597" s="2"/>
    </row>
    <row r="5598">
      <c r="A5598" s="2">
        <f>IFERROR(__xludf.DUMMYFUNCTION("""COMPUTED_VALUE"""),9561.0)</f>
        <v>9561</v>
      </c>
      <c r="B5598" s="2">
        <f>IFERROR(__xludf.DUMMYFUNCTION("""COMPUTED_VALUE"""),1.0)</f>
        <v>1</v>
      </c>
      <c r="C5598" s="2">
        <f>IFERROR(__xludf.DUMMYFUNCTION("""COMPUTED_VALUE"""),670.0)</f>
        <v>670</v>
      </c>
      <c r="D5598" s="3">
        <f>IFERROR(__xludf.DUMMYFUNCTION("""COMPUTED_VALUE"""),177.0)</f>
        <v>177</v>
      </c>
      <c r="E5598" s="2"/>
      <c r="F5598" s="2"/>
    </row>
    <row r="5599">
      <c r="A5599" s="2">
        <f>IFERROR(__xludf.DUMMYFUNCTION("""COMPUTED_VALUE"""),9562.0)</f>
        <v>9562</v>
      </c>
      <c r="B5599" s="2">
        <f>IFERROR(__xludf.DUMMYFUNCTION("""COMPUTED_VALUE"""),1.0)</f>
        <v>1</v>
      </c>
      <c r="C5599" s="2">
        <f>IFERROR(__xludf.DUMMYFUNCTION("""COMPUTED_VALUE"""),982.0)</f>
        <v>982</v>
      </c>
      <c r="D5599" s="3">
        <f>IFERROR(__xludf.DUMMYFUNCTION("""COMPUTED_VALUE"""),799.0)</f>
        <v>799</v>
      </c>
      <c r="E5599" s="2"/>
      <c r="F5599" s="2"/>
    </row>
    <row r="5600">
      <c r="A5600" s="2">
        <f>IFERROR(__xludf.DUMMYFUNCTION("""COMPUTED_VALUE"""),119250.0)</f>
        <v>119250</v>
      </c>
      <c r="B5600" s="2">
        <f>IFERROR(__xludf.DUMMYFUNCTION("""COMPUTED_VALUE"""),1.0)</f>
        <v>1</v>
      </c>
      <c r="C5600" s="2">
        <f>IFERROR(__xludf.DUMMYFUNCTION("""COMPUTED_VALUE"""),129.0)</f>
        <v>129</v>
      </c>
      <c r="D5600" s="3">
        <f>IFERROR(__xludf.DUMMYFUNCTION("""COMPUTED_VALUE"""),98.0)</f>
        <v>98</v>
      </c>
      <c r="E5600" s="2"/>
      <c r="F5600" s="2"/>
    </row>
    <row r="5601">
      <c r="A5601" s="2">
        <f>IFERROR(__xludf.DUMMYFUNCTION("""COMPUTED_VALUE"""),122297.0)</f>
        <v>122297</v>
      </c>
      <c r="B5601" s="2">
        <f>IFERROR(__xludf.DUMMYFUNCTION("""COMPUTED_VALUE"""),1.0)</f>
        <v>1</v>
      </c>
      <c r="C5601" s="2">
        <f>IFERROR(__xludf.DUMMYFUNCTION("""COMPUTED_VALUE"""),576.0)</f>
        <v>576</v>
      </c>
      <c r="D5601" s="3">
        <f>IFERROR(__xludf.DUMMYFUNCTION("""COMPUTED_VALUE"""),120.0)</f>
        <v>120</v>
      </c>
      <c r="E5601" s="2"/>
      <c r="F5601" s="2"/>
    </row>
    <row r="5602">
      <c r="A5602" s="2">
        <f>IFERROR(__xludf.DUMMYFUNCTION("""COMPUTED_VALUE"""),164879.0)</f>
        <v>164879</v>
      </c>
      <c r="B5602" s="2">
        <f>IFERROR(__xludf.DUMMYFUNCTION("""COMPUTED_VALUE"""),0.0)</f>
        <v>0</v>
      </c>
      <c r="C5602" s="2">
        <f>IFERROR(__xludf.DUMMYFUNCTION("""COMPUTED_VALUE"""),859.0)</f>
        <v>859</v>
      </c>
      <c r="D5602" s="3">
        <f>IFERROR(__xludf.DUMMYFUNCTION("""COMPUTED_VALUE"""),583.0)</f>
        <v>583</v>
      </c>
      <c r="E5602" s="2"/>
      <c r="F5602" s="2"/>
    </row>
    <row r="5603">
      <c r="A5603" s="2">
        <f>IFERROR(__xludf.DUMMYFUNCTION("""COMPUTED_VALUE"""),48697.0)</f>
        <v>48697</v>
      </c>
      <c r="B5603" s="2">
        <f>IFERROR(__xludf.DUMMYFUNCTION("""COMPUTED_VALUE"""),0.0)</f>
        <v>0</v>
      </c>
      <c r="C5603" s="2">
        <f>IFERROR(__xludf.DUMMYFUNCTION("""COMPUTED_VALUE"""),364.0)</f>
        <v>364</v>
      </c>
      <c r="D5603" s="3">
        <f>IFERROR(__xludf.DUMMYFUNCTION("""COMPUTED_VALUE"""),272.0)</f>
        <v>272</v>
      </c>
      <c r="E5603" s="2"/>
      <c r="F5603" s="2"/>
    </row>
    <row r="5604">
      <c r="A5604" s="2">
        <f>IFERROR(__xludf.DUMMYFUNCTION("""COMPUTED_VALUE"""),122299.0)</f>
        <v>122299</v>
      </c>
      <c r="B5604" s="2">
        <f>IFERROR(__xludf.DUMMYFUNCTION("""COMPUTED_VALUE"""),0.0)</f>
        <v>0</v>
      </c>
      <c r="C5604" s="2">
        <f>IFERROR(__xludf.DUMMYFUNCTION("""COMPUTED_VALUE"""),542.0)</f>
        <v>542</v>
      </c>
      <c r="D5604" s="3">
        <f>IFERROR(__xludf.DUMMYFUNCTION("""COMPUTED_VALUE"""),328.0)</f>
        <v>328</v>
      </c>
      <c r="E5604" s="2"/>
      <c r="F5604" s="2"/>
    </row>
    <row r="5605">
      <c r="A5605" s="2">
        <f>IFERROR(__xludf.DUMMYFUNCTION("""COMPUTED_VALUE"""),82997.0)</f>
        <v>82997</v>
      </c>
      <c r="B5605" s="2">
        <f>IFERROR(__xludf.DUMMYFUNCTION("""COMPUTED_VALUE"""),1.0)</f>
        <v>1</v>
      </c>
      <c r="C5605" s="2">
        <f>IFERROR(__xludf.DUMMYFUNCTION("""COMPUTED_VALUE"""),205.0)</f>
        <v>205</v>
      </c>
      <c r="D5605" s="3">
        <f>IFERROR(__xludf.DUMMYFUNCTION("""COMPUTED_VALUE"""),36.0)</f>
        <v>36</v>
      </c>
      <c r="E5605" s="2"/>
      <c r="F5605" s="2"/>
    </row>
    <row r="5606">
      <c r="A5606" s="2">
        <f>IFERROR(__xludf.DUMMYFUNCTION("""COMPUTED_VALUE"""),108350.0)</f>
        <v>108350</v>
      </c>
      <c r="B5606" s="2">
        <f>IFERROR(__xludf.DUMMYFUNCTION("""COMPUTED_VALUE"""),0.0)</f>
        <v>0</v>
      </c>
      <c r="C5606" s="2">
        <f>IFERROR(__xludf.DUMMYFUNCTION("""COMPUTED_VALUE"""),377.0)</f>
        <v>377</v>
      </c>
      <c r="D5606" s="3">
        <f>IFERROR(__xludf.DUMMYFUNCTION("""COMPUTED_VALUE"""),41.0)</f>
        <v>41</v>
      </c>
      <c r="E5606" s="2"/>
      <c r="F5606" s="2"/>
    </row>
    <row r="5607">
      <c r="A5607" s="2">
        <f>IFERROR(__xludf.DUMMYFUNCTION("""COMPUTED_VALUE"""),48699.0)</f>
        <v>48699</v>
      </c>
      <c r="B5607" s="2">
        <f>IFERROR(__xludf.DUMMYFUNCTION("""COMPUTED_VALUE"""),1.0)</f>
        <v>1</v>
      </c>
      <c r="C5607" s="2">
        <f>IFERROR(__xludf.DUMMYFUNCTION("""COMPUTED_VALUE"""),426.0)</f>
        <v>426</v>
      </c>
      <c r="D5607" s="3">
        <f>IFERROR(__xludf.DUMMYFUNCTION("""COMPUTED_VALUE"""),98.0)</f>
        <v>98</v>
      </c>
      <c r="E5607" s="2"/>
      <c r="F5607" s="2"/>
    </row>
    <row r="5608">
      <c r="A5608" s="2">
        <f>IFERROR(__xludf.DUMMYFUNCTION("""COMPUTED_VALUE"""),108364.0)</f>
        <v>108364</v>
      </c>
      <c r="B5608" s="2">
        <f>IFERROR(__xludf.DUMMYFUNCTION("""COMPUTED_VALUE"""),1.0)</f>
        <v>1</v>
      </c>
      <c r="C5608" s="2">
        <f>IFERROR(__xludf.DUMMYFUNCTION("""COMPUTED_VALUE"""),551.0)</f>
        <v>551</v>
      </c>
      <c r="D5608" s="3">
        <f>IFERROR(__xludf.DUMMYFUNCTION("""COMPUTED_VALUE"""),121.0)</f>
        <v>121</v>
      </c>
      <c r="E5608" s="2"/>
      <c r="F5608" s="2"/>
    </row>
    <row r="5609">
      <c r="A5609" s="2">
        <f>IFERROR(__xludf.DUMMYFUNCTION("""COMPUTED_VALUE"""),5799.0)</f>
        <v>5799</v>
      </c>
      <c r="B5609" s="2">
        <f>IFERROR(__xludf.DUMMYFUNCTION("""COMPUTED_VALUE"""),0.0)</f>
        <v>0</v>
      </c>
      <c r="C5609" s="2">
        <f>IFERROR(__xludf.DUMMYFUNCTION("""COMPUTED_VALUE"""),145.0)</f>
        <v>145</v>
      </c>
      <c r="D5609" s="3">
        <f>IFERROR(__xludf.DUMMYFUNCTION("""COMPUTED_VALUE"""),66.0)</f>
        <v>66</v>
      </c>
      <c r="E5609" s="2"/>
      <c r="F5609" s="2"/>
    </row>
    <row r="5610">
      <c r="A5610" s="2">
        <f>IFERROR(__xludf.DUMMYFUNCTION("""COMPUTED_VALUE"""),81501.0)</f>
        <v>81501</v>
      </c>
      <c r="B5610" s="2">
        <f>IFERROR(__xludf.DUMMYFUNCTION("""COMPUTED_VALUE"""),1.0)</f>
        <v>1</v>
      </c>
      <c r="C5610" s="2">
        <f>IFERROR(__xludf.DUMMYFUNCTION("""COMPUTED_VALUE"""),500.0)</f>
        <v>500</v>
      </c>
      <c r="D5610" s="3">
        <f>IFERROR(__xludf.DUMMYFUNCTION("""COMPUTED_VALUE"""),176.0)</f>
        <v>176</v>
      </c>
      <c r="E5610" s="2"/>
      <c r="F5610" s="2"/>
    </row>
    <row r="5611">
      <c r="A5611" s="2">
        <f>IFERROR(__xludf.DUMMYFUNCTION("""COMPUTED_VALUE"""),47648.0)</f>
        <v>47648</v>
      </c>
      <c r="B5611" s="2">
        <f>IFERROR(__xludf.DUMMYFUNCTION("""COMPUTED_VALUE"""),1.0)</f>
        <v>1</v>
      </c>
      <c r="C5611" s="2">
        <f>IFERROR(__xludf.DUMMYFUNCTION("""COMPUTED_VALUE"""),665.0)</f>
        <v>665</v>
      </c>
      <c r="D5611" s="3">
        <f>IFERROR(__xludf.DUMMYFUNCTION("""COMPUTED_VALUE"""),86.0)</f>
        <v>86</v>
      </c>
      <c r="E5611" s="2"/>
      <c r="F5611" s="2"/>
    </row>
    <row r="5612">
      <c r="A5612" s="2">
        <f>IFERROR(__xludf.DUMMYFUNCTION("""COMPUTED_VALUE"""),105328.0)</f>
        <v>105328</v>
      </c>
      <c r="B5612" s="2">
        <f>IFERROR(__xludf.DUMMYFUNCTION("""COMPUTED_VALUE"""),0.0)</f>
        <v>0</v>
      </c>
      <c r="C5612" s="2">
        <f>IFERROR(__xludf.DUMMYFUNCTION("""COMPUTED_VALUE"""),82.0)</f>
        <v>82</v>
      </c>
      <c r="D5612" s="3">
        <f>IFERROR(__xludf.DUMMYFUNCTION("""COMPUTED_VALUE"""),37.0)</f>
        <v>37</v>
      </c>
      <c r="E5612" s="2"/>
      <c r="F5612" s="2"/>
    </row>
    <row r="5613">
      <c r="A5613" s="2">
        <f>IFERROR(__xludf.DUMMYFUNCTION("""COMPUTED_VALUE"""),47654.0)</f>
        <v>47654</v>
      </c>
      <c r="B5613" s="2">
        <f>IFERROR(__xludf.DUMMYFUNCTION("""COMPUTED_VALUE"""),0.0)</f>
        <v>0</v>
      </c>
      <c r="C5613" s="2">
        <f>IFERROR(__xludf.DUMMYFUNCTION("""COMPUTED_VALUE"""),304.0)</f>
        <v>304</v>
      </c>
      <c r="D5613" s="3">
        <f>IFERROR(__xludf.DUMMYFUNCTION("""COMPUTED_VALUE"""),276.0)</f>
        <v>276</v>
      </c>
      <c r="E5613" s="2"/>
      <c r="F5613" s="2"/>
    </row>
    <row r="5614">
      <c r="A5614" s="2">
        <f>IFERROR(__xludf.DUMMYFUNCTION("""COMPUTED_VALUE"""),82371.0)</f>
        <v>82371</v>
      </c>
      <c r="B5614" s="2">
        <f>IFERROR(__xludf.DUMMYFUNCTION("""COMPUTED_VALUE"""),1.0)</f>
        <v>1</v>
      </c>
      <c r="C5614" s="2">
        <f>IFERROR(__xludf.DUMMYFUNCTION("""COMPUTED_VALUE"""),287.0)</f>
        <v>287</v>
      </c>
      <c r="D5614" s="3">
        <f>IFERROR(__xludf.DUMMYFUNCTION("""COMPUTED_VALUE"""),261.0)</f>
        <v>261</v>
      </c>
      <c r="E5614" s="2"/>
      <c r="F5614" s="2"/>
    </row>
    <row r="5615">
      <c r="A5615" s="2">
        <f>IFERROR(__xludf.DUMMYFUNCTION("""COMPUTED_VALUE"""),81500.0)</f>
        <v>81500</v>
      </c>
      <c r="B5615" s="2">
        <f>IFERROR(__xludf.DUMMYFUNCTION("""COMPUTED_VALUE"""),0.0)</f>
        <v>0</v>
      </c>
      <c r="C5615" s="2">
        <f>IFERROR(__xludf.DUMMYFUNCTION("""COMPUTED_VALUE"""),566.0)</f>
        <v>566</v>
      </c>
      <c r="D5615" s="3">
        <f>IFERROR(__xludf.DUMMYFUNCTION("""COMPUTED_VALUE"""),367.0)</f>
        <v>367</v>
      </c>
      <c r="E5615" s="2"/>
      <c r="F5615" s="2"/>
    </row>
    <row r="5616">
      <c r="A5616" s="2">
        <f>IFERROR(__xludf.DUMMYFUNCTION("""COMPUTED_VALUE"""),48501.0)</f>
        <v>48501</v>
      </c>
      <c r="B5616" s="2">
        <f>IFERROR(__xludf.DUMMYFUNCTION("""COMPUTED_VALUE"""),0.0)</f>
        <v>0</v>
      </c>
      <c r="C5616" s="2">
        <f>IFERROR(__xludf.DUMMYFUNCTION("""COMPUTED_VALUE"""),207.0)</f>
        <v>207</v>
      </c>
      <c r="D5616" s="3">
        <f>IFERROR(__xludf.DUMMYFUNCTION("""COMPUTED_VALUE"""),67.0)</f>
        <v>67</v>
      </c>
      <c r="E5616" s="2"/>
      <c r="F5616" s="2"/>
    </row>
    <row r="5617">
      <c r="A5617" s="2">
        <f>IFERROR(__xludf.DUMMYFUNCTION("""COMPUTED_VALUE"""),81498.0)</f>
        <v>81498</v>
      </c>
      <c r="B5617" s="2">
        <f>IFERROR(__xludf.DUMMYFUNCTION("""COMPUTED_VALUE"""),0.0)</f>
        <v>0</v>
      </c>
      <c r="C5617" s="2">
        <f>IFERROR(__xludf.DUMMYFUNCTION("""COMPUTED_VALUE"""),542.0)</f>
        <v>542</v>
      </c>
      <c r="D5617" s="3">
        <f>IFERROR(__xludf.DUMMYFUNCTION("""COMPUTED_VALUE"""),506.0)</f>
        <v>506</v>
      </c>
      <c r="E5617" s="2"/>
      <c r="F5617" s="2"/>
    </row>
    <row r="5618">
      <c r="A5618" s="2">
        <f>IFERROR(__xludf.DUMMYFUNCTION("""COMPUTED_VALUE"""),48498.0)</f>
        <v>48498</v>
      </c>
      <c r="B5618" s="2">
        <f>IFERROR(__xludf.DUMMYFUNCTION("""COMPUTED_VALUE"""),1.0)</f>
        <v>1</v>
      </c>
      <c r="C5618" s="2">
        <f>IFERROR(__xludf.DUMMYFUNCTION("""COMPUTED_VALUE"""),336.0)</f>
        <v>336</v>
      </c>
      <c r="D5618" s="3">
        <f>IFERROR(__xludf.DUMMYFUNCTION("""COMPUTED_VALUE"""),164.0)</f>
        <v>164</v>
      </c>
      <c r="E5618" s="2"/>
      <c r="F5618" s="2"/>
    </row>
    <row r="5619">
      <c r="A5619" s="2">
        <f>IFERROR(__xludf.DUMMYFUNCTION("""COMPUTED_VALUE"""),88628.0)</f>
        <v>88628</v>
      </c>
      <c r="B5619" s="2">
        <f>IFERROR(__xludf.DUMMYFUNCTION("""COMPUTED_VALUE"""),0.0)</f>
        <v>0</v>
      </c>
      <c r="C5619" s="2">
        <f>IFERROR(__xludf.DUMMYFUNCTION("""COMPUTED_VALUE"""),550.0)</f>
        <v>550</v>
      </c>
      <c r="D5619" s="3">
        <f>IFERROR(__xludf.DUMMYFUNCTION("""COMPUTED_VALUE"""),422.0)</f>
        <v>422</v>
      </c>
      <c r="E5619" s="2"/>
      <c r="F5619" s="2"/>
    </row>
    <row r="5620">
      <c r="A5620" s="2">
        <f>IFERROR(__xludf.DUMMYFUNCTION("""COMPUTED_VALUE"""),180340.0)</f>
        <v>180340</v>
      </c>
      <c r="B5620" s="2">
        <f>IFERROR(__xludf.DUMMYFUNCTION("""COMPUTED_VALUE"""),0.0)</f>
        <v>0</v>
      </c>
      <c r="C5620" s="2">
        <f>IFERROR(__xludf.DUMMYFUNCTION("""COMPUTED_VALUE"""),106.0)</f>
        <v>106</v>
      </c>
      <c r="D5620" s="3">
        <f>IFERROR(__xludf.DUMMYFUNCTION("""COMPUTED_VALUE"""),64.0)</f>
        <v>64</v>
      </c>
      <c r="E5620" s="2"/>
      <c r="F5620" s="2"/>
    </row>
    <row r="5621">
      <c r="A5621" s="2">
        <f>IFERROR(__xludf.DUMMYFUNCTION("""COMPUTED_VALUE"""),48503.0)</f>
        <v>48503</v>
      </c>
      <c r="B5621" s="2">
        <f>IFERROR(__xludf.DUMMYFUNCTION("""COMPUTED_VALUE"""),0.0)</f>
        <v>0</v>
      </c>
      <c r="C5621" s="2">
        <f>IFERROR(__xludf.DUMMYFUNCTION("""COMPUTED_VALUE"""),152.0)</f>
        <v>152</v>
      </c>
      <c r="D5621" s="3">
        <f>IFERROR(__xludf.DUMMYFUNCTION("""COMPUTED_VALUE"""),10.0)</f>
        <v>10</v>
      </c>
      <c r="E5621" s="2"/>
      <c r="F5621" s="2"/>
    </row>
    <row r="5622">
      <c r="A5622" s="2">
        <f>IFERROR(__xludf.DUMMYFUNCTION("""COMPUTED_VALUE"""),74819.0)</f>
        <v>74819</v>
      </c>
      <c r="B5622" s="2">
        <f>IFERROR(__xludf.DUMMYFUNCTION("""COMPUTED_VALUE"""),1.0)</f>
        <v>1</v>
      </c>
      <c r="C5622" s="2">
        <f>IFERROR(__xludf.DUMMYFUNCTION("""COMPUTED_VALUE"""),444.0)</f>
        <v>444</v>
      </c>
      <c r="D5622" s="3">
        <f>IFERROR(__xludf.DUMMYFUNCTION("""COMPUTED_VALUE"""),38.0)</f>
        <v>38</v>
      </c>
      <c r="E5622" s="2"/>
      <c r="F5622" s="2"/>
    </row>
    <row r="5623">
      <c r="A5623" s="2">
        <f>IFERROR(__xludf.DUMMYFUNCTION("""COMPUTED_VALUE"""),48502.0)</f>
        <v>48502</v>
      </c>
      <c r="B5623" s="2">
        <f>IFERROR(__xludf.DUMMYFUNCTION("""COMPUTED_VALUE"""),1.0)</f>
        <v>1</v>
      </c>
      <c r="C5623" s="2">
        <f>IFERROR(__xludf.DUMMYFUNCTION("""COMPUTED_VALUE"""),424.0)</f>
        <v>424</v>
      </c>
      <c r="D5623" s="3">
        <f>IFERROR(__xludf.DUMMYFUNCTION("""COMPUTED_VALUE"""),414.0)</f>
        <v>414</v>
      </c>
      <c r="E5623" s="2"/>
      <c r="F5623" s="2"/>
    </row>
    <row r="5624">
      <c r="A5624" s="2">
        <f>IFERROR(__xludf.DUMMYFUNCTION("""COMPUTED_VALUE"""),96001.0)</f>
        <v>96001</v>
      </c>
      <c r="B5624" s="2">
        <f>IFERROR(__xludf.DUMMYFUNCTION("""COMPUTED_VALUE"""),1.0)</f>
        <v>1</v>
      </c>
      <c r="C5624" s="2">
        <f>IFERROR(__xludf.DUMMYFUNCTION("""COMPUTED_VALUE"""),670.0)</f>
        <v>670</v>
      </c>
      <c r="D5624" s="3">
        <f>IFERROR(__xludf.DUMMYFUNCTION("""COMPUTED_VALUE"""),286.0)</f>
        <v>286</v>
      </c>
      <c r="E5624" s="2"/>
      <c r="F5624" s="2"/>
    </row>
    <row r="5625">
      <c r="A5625" s="2">
        <f>IFERROR(__xludf.DUMMYFUNCTION("""COMPUTED_VALUE"""),103095.0)</f>
        <v>103095</v>
      </c>
      <c r="B5625" s="2">
        <f>IFERROR(__xludf.DUMMYFUNCTION("""COMPUTED_VALUE"""),1.0)</f>
        <v>1</v>
      </c>
      <c r="C5625" s="2">
        <f>IFERROR(__xludf.DUMMYFUNCTION("""COMPUTED_VALUE"""),147.0)</f>
        <v>147</v>
      </c>
      <c r="D5625" s="3">
        <f>IFERROR(__xludf.DUMMYFUNCTION("""COMPUTED_VALUE"""),52.0)</f>
        <v>52</v>
      </c>
      <c r="E5625" s="2"/>
      <c r="F5625" s="2"/>
    </row>
    <row r="5626">
      <c r="A5626" s="2">
        <f>IFERROR(__xludf.DUMMYFUNCTION("""COMPUTED_VALUE"""),88627.0)</f>
        <v>88627</v>
      </c>
      <c r="B5626" s="2">
        <f>IFERROR(__xludf.DUMMYFUNCTION("""COMPUTED_VALUE"""),1.0)</f>
        <v>1</v>
      </c>
      <c r="C5626" s="2">
        <f>IFERROR(__xludf.DUMMYFUNCTION("""COMPUTED_VALUE"""),601.0)</f>
        <v>601</v>
      </c>
      <c r="D5626" s="3">
        <f>IFERROR(__xludf.DUMMYFUNCTION("""COMPUTED_VALUE"""),18.0)</f>
        <v>18</v>
      </c>
      <c r="E5626" s="2"/>
      <c r="F5626" s="2"/>
    </row>
    <row r="5627">
      <c r="A5627" s="2">
        <f>IFERROR(__xludf.DUMMYFUNCTION("""COMPUTED_VALUE"""),105329.0)</f>
        <v>105329</v>
      </c>
      <c r="B5627" s="2">
        <f>IFERROR(__xludf.DUMMYFUNCTION("""COMPUTED_VALUE"""),0.0)</f>
        <v>0</v>
      </c>
      <c r="C5627" s="2">
        <f>IFERROR(__xludf.DUMMYFUNCTION("""COMPUTED_VALUE"""),167.0)</f>
        <v>167</v>
      </c>
      <c r="D5627" s="3">
        <f>IFERROR(__xludf.DUMMYFUNCTION("""COMPUTED_VALUE"""),155.0)</f>
        <v>155</v>
      </c>
      <c r="E5627" s="2"/>
      <c r="F5627" s="2"/>
    </row>
    <row r="5628">
      <c r="A5628" s="2">
        <f>IFERROR(__xludf.DUMMYFUNCTION("""COMPUTED_VALUE"""),105330.0)</f>
        <v>105330</v>
      </c>
      <c r="B5628" s="2">
        <f>IFERROR(__xludf.DUMMYFUNCTION("""COMPUTED_VALUE"""),1.0)</f>
        <v>1</v>
      </c>
      <c r="C5628" s="2">
        <f>IFERROR(__xludf.DUMMYFUNCTION("""COMPUTED_VALUE"""),515.0)</f>
        <v>515</v>
      </c>
      <c r="D5628" s="3">
        <f>IFERROR(__xludf.DUMMYFUNCTION("""COMPUTED_VALUE"""),329.0)</f>
        <v>329</v>
      </c>
      <c r="E5628" s="2"/>
      <c r="F5628" s="2"/>
    </row>
    <row r="5629">
      <c r="A5629" s="2">
        <f>IFERROR(__xludf.DUMMYFUNCTION("""COMPUTED_VALUE"""),80252.0)</f>
        <v>80252</v>
      </c>
      <c r="B5629" s="2">
        <f>IFERROR(__xludf.DUMMYFUNCTION("""COMPUTED_VALUE"""),1.0)</f>
        <v>1</v>
      </c>
      <c r="C5629" s="2">
        <f>IFERROR(__xludf.DUMMYFUNCTION("""COMPUTED_VALUE"""),817.0)</f>
        <v>817</v>
      </c>
      <c r="D5629" s="3">
        <f>IFERROR(__xludf.DUMMYFUNCTION("""COMPUTED_VALUE"""),43.0)</f>
        <v>43</v>
      </c>
      <c r="E5629" s="2"/>
      <c r="F5629" s="2"/>
    </row>
    <row r="5630">
      <c r="A5630" s="2">
        <f>IFERROR(__xludf.DUMMYFUNCTION("""COMPUTED_VALUE"""),77468.0)</f>
        <v>77468</v>
      </c>
      <c r="B5630" s="2">
        <f>IFERROR(__xludf.DUMMYFUNCTION("""COMPUTED_VALUE"""),1.0)</f>
        <v>1</v>
      </c>
      <c r="C5630" s="2">
        <f>IFERROR(__xludf.DUMMYFUNCTION("""COMPUTED_VALUE"""),408.0)</f>
        <v>408</v>
      </c>
      <c r="D5630" s="3">
        <f>IFERROR(__xludf.DUMMYFUNCTION("""COMPUTED_VALUE"""),181.0)</f>
        <v>181</v>
      </c>
      <c r="E5630" s="2"/>
      <c r="F5630" s="2"/>
    </row>
    <row r="5631">
      <c r="A5631" s="2">
        <f>IFERROR(__xludf.DUMMYFUNCTION("""COMPUTED_VALUE"""),24203.0)</f>
        <v>24203</v>
      </c>
      <c r="B5631" s="2">
        <f>IFERROR(__xludf.DUMMYFUNCTION("""COMPUTED_VALUE"""),0.0)</f>
        <v>0</v>
      </c>
      <c r="C5631" s="2">
        <f>IFERROR(__xludf.DUMMYFUNCTION("""COMPUTED_VALUE"""),372.0)</f>
        <v>372</v>
      </c>
      <c r="D5631" s="3">
        <f>IFERROR(__xludf.DUMMYFUNCTION("""COMPUTED_VALUE"""),279.0)</f>
        <v>279</v>
      </c>
      <c r="E5631" s="2"/>
      <c r="F5631" s="2"/>
    </row>
    <row r="5632">
      <c r="A5632" s="2">
        <f>IFERROR(__xludf.DUMMYFUNCTION("""COMPUTED_VALUE"""),139291.0)</f>
        <v>139291</v>
      </c>
      <c r="B5632" s="2">
        <f>IFERROR(__xludf.DUMMYFUNCTION("""COMPUTED_VALUE"""),0.0)</f>
        <v>0</v>
      </c>
      <c r="C5632" s="2">
        <f>IFERROR(__xludf.DUMMYFUNCTION("""COMPUTED_VALUE"""),717.0)</f>
        <v>717</v>
      </c>
      <c r="D5632" s="3">
        <f>IFERROR(__xludf.DUMMYFUNCTION("""COMPUTED_VALUE"""),374.0)</f>
        <v>374</v>
      </c>
      <c r="E5632" s="2"/>
      <c r="F5632" s="2"/>
    </row>
    <row r="5633">
      <c r="A5633" s="2">
        <f>IFERROR(__xludf.DUMMYFUNCTION("""COMPUTED_VALUE"""),77426.0)</f>
        <v>77426</v>
      </c>
      <c r="B5633" s="2">
        <f>IFERROR(__xludf.DUMMYFUNCTION("""COMPUTED_VALUE"""),1.0)</f>
        <v>1</v>
      </c>
      <c r="C5633" s="2">
        <f>IFERROR(__xludf.DUMMYFUNCTION("""COMPUTED_VALUE"""),468.0)</f>
        <v>468</v>
      </c>
      <c r="D5633" s="3">
        <f>IFERROR(__xludf.DUMMYFUNCTION("""COMPUTED_VALUE"""),432.0)</f>
        <v>432</v>
      </c>
      <c r="E5633" s="2"/>
      <c r="F5633" s="2"/>
    </row>
    <row r="5634">
      <c r="A5634" s="2">
        <f>IFERROR(__xludf.DUMMYFUNCTION("""COMPUTED_VALUE"""),94039.0)</f>
        <v>94039</v>
      </c>
      <c r="B5634" s="2">
        <f>IFERROR(__xludf.DUMMYFUNCTION("""COMPUTED_VALUE"""),0.0)</f>
        <v>0</v>
      </c>
      <c r="C5634" s="2">
        <f>IFERROR(__xludf.DUMMYFUNCTION("""COMPUTED_VALUE"""),759.0)</f>
        <v>759</v>
      </c>
      <c r="D5634" s="3">
        <f>IFERROR(__xludf.DUMMYFUNCTION("""COMPUTED_VALUE"""),321.0)</f>
        <v>321</v>
      </c>
      <c r="E5634" s="2"/>
      <c r="F5634" s="2"/>
    </row>
    <row r="5635">
      <c r="A5635" s="2">
        <f>IFERROR(__xludf.DUMMYFUNCTION("""COMPUTED_VALUE"""),9508.0)</f>
        <v>9508</v>
      </c>
      <c r="B5635" s="2">
        <f>IFERROR(__xludf.DUMMYFUNCTION("""COMPUTED_VALUE"""),1.0)</f>
        <v>1</v>
      </c>
      <c r="C5635" s="2">
        <f>IFERROR(__xludf.DUMMYFUNCTION("""COMPUTED_VALUE"""),545.0)</f>
        <v>545</v>
      </c>
      <c r="D5635" s="3">
        <f>IFERROR(__xludf.DUMMYFUNCTION("""COMPUTED_VALUE"""),320.0)</f>
        <v>320</v>
      </c>
      <c r="E5635" s="2"/>
      <c r="F5635" s="2"/>
    </row>
    <row r="5636">
      <c r="A5636" s="2">
        <f>IFERROR(__xludf.DUMMYFUNCTION("""COMPUTED_VALUE"""),121595.0)</f>
        <v>121595</v>
      </c>
      <c r="B5636" s="2">
        <f>IFERROR(__xludf.DUMMYFUNCTION("""COMPUTED_VALUE"""),1.0)</f>
        <v>1</v>
      </c>
      <c r="C5636" s="2">
        <f>IFERROR(__xludf.DUMMYFUNCTION("""COMPUTED_VALUE"""),599.0)</f>
        <v>599</v>
      </c>
      <c r="D5636" s="3">
        <f>IFERROR(__xludf.DUMMYFUNCTION("""COMPUTED_VALUE"""),236.0)</f>
        <v>236</v>
      </c>
      <c r="E5636" s="2"/>
      <c r="F5636" s="2"/>
    </row>
    <row r="5637">
      <c r="A5637" s="2">
        <f>IFERROR(__xludf.DUMMYFUNCTION("""COMPUTED_VALUE"""),124762.0)</f>
        <v>124762</v>
      </c>
      <c r="B5637" s="2">
        <f>IFERROR(__xludf.DUMMYFUNCTION("""COMPUTED_VALUE"""),1.0)</f>
        <v>1</v>
      </c>
      <c r="C5637" s="2">
        <f>IFERROR(__xludf.DUMMYFUNCTION("""COMPUTED_VALUE"""),38.0)</f>
        <v>38</v>
      </c>
      <c r="D5637" s="3">
        <f>IFERROR(__xludf.DUMMYFUNCTION("""COMPUTED_VALUE"""),32.0)</f>
        <v>32</v>
      </c>
      <c r="E5637" s="2"/>
      <c r="F5637" s="2"/>
    </row>
    <row r="5638">
      <c r="A5638" s="2">
        <f>IFERROR(__xludf.DUMMYFUNCTION("""COMPUTED_VALUE"""),77462.0)</f>
        <v>77462</v>
      </c>
      <c r="B5638" s="2">
        <f>IFERROR(__xludf.DUMMYFUNCTION("""COMPUTED_VALUE"""),0.0)</f>
        <v>0</v>
      </c>
      <c r="C5638" s="2">
        <f>IFERROR(__xludf.DUMMYFUNCTION("""COMPUTED_VALUE"""),708.0)</f>
        <v>708</v>
      </c>
      <c r="D5638" s="3">
        <f>IFERROR(__xludf.DUMMYFUNCTION("""COMPUTED_VALUE"""),377.0)</f>
        <v>377</v>
      </c>
      <c r="E5638" s="2"/>
      <c r="F5638" s="2"/>
    </row>
    <row r="5639">
      <c r="A5639" s="2">
        <f>IFERROR(__xludf.DUMMYFUNCTION("""COMPUTED_VALUE"""),49158.0)</f>
        <v>49158</v>
      </c>
      <c r="B5639" s="2">
        <f>IFERROR(__xludf.DUMMYFUNCTION("""COMPUTED_VALUE"""),1.0)</f>
        <v>1</v>
      </c>
      <c r="C5639" s="2">
        <f>IFERROR(__xludf.DUMMYFUNCTION("""COMPUTED_VALUE"""),499.0)</f>
        <v>499</v>
      </c>
      <c r="D5639" s="3">
        <f>IFERROR(__xludf.DUMMYFUNCTION("""COMPUTED_VALUE"""),464.0)</f>
        <v>464</v>
      </c>
      <c r="E5639" s="2"/>
      <c r="F5639" s="2"/>
    </row>
    <row r="5640">
      <c r="A5640" s="2">
        <f>IFERROR(__xludf.DUMMYFUNCTION("""COMPUTED_VALUE"""),93982.0)</f>
        <v>93982</v>
      </c>
      <c r="B5640" s="2">
        <f>IFERROR(__xludf.DUMMYFUNCTION("""COMPUTED_VALUE"""),1.0)</f>
        <v>1</v>
      </c>
      <c r="C5640" s="2">
        <f>IFERROR(__xludf.DUMMYFUNCTION("""COMPUTED_VALUE"""),80.0)</f>
        <v>80</v>
      </c>
      <c r="D5640" s="3">
        <f>IFERROR(__xludf.DUMMYFUNCTION("""COMPUTED_VALUE"""),69.0)</f>
        <v>69</v>
      </c>
      <c r="E5640" s="2"/>
      <c r="F5640" s="2"/>
    </row>
    <row r="5641">
      <c r="A5641" s="2">
        <f>IFERROR(__xludf.DUMMYFUNCTION("""COMPUTED_VALUE"""),9546.0)</f>
        <v>9546</v>
      </c>
      <c r="B5641" s="2">
        <f>IFERROR(__xludf.DUMMYFUNCTION("""COMPUTED_VALUE"""),0.0)</f>
        <v>0</v>
      </c>
      <c r="C5641" s="2">
        <f>IFERROR(__xludf.DUMMYFUNCTION("""COMPUTED_VALUE"""),688.0)</f>
        <v>688</v>
      </c>
      <c r="D5641" s="3">
        <f>IFERROR(__xludf.DUMMYFUNCTION("""COMPUTED_VALUE"""),639.0)</f>
        <v>639</v>
      </c>
      <c r="E5641" s="2"/>
      <c r="F5641" s="2"/>
    </row>
    <row r="5642">
      <c r="A5642" s="2">
        <f>IFERROR(__xludf.DUMMYFUNCTION("""COMPUTED_VALUE"""),9482.0)</f>
        <v>9482</v>
      </c>
      <c r="B5642" s="2">
        <f>IFERROR(__xludf.DUMMYFUNCTION("""COMPUTED_VALUE"""),0.0)</f>
        <v>0</v>
      </c>
      <c r="C5642" s="2">
        <f>IFERROR(__xludf.DUMMYFUNCTION("""COMPUTED_VALUE"""),687.0)</f>
        <v>687</v>
      </c>
      <c r="D5642" s="3">
        <f>IFERROR(__xludf.DUMMYFUNCTION("""COMPUTED_VALUE"""),246.0)</f>
        <v>246</v>
      </c>
      <c r="E5642" s="2"/>
      <c r="F5642" s="2"/>
    </row>
    <row r="5643">
      <c r="A5643" s="2">
        <f>IFERROR(__xludf.DUMMYFUNCTION("""COMPUTED_VALUE"""),139290.0)</f>
        <v>139290</v>
      </c>
      <c r="B5643" s="2">
        <f>IFERROR(__xludf.DUMMYFUNCTION("""COMPUTED_VALUE"""),0.0)</f>
        <v>0</v>
      </c>
      <c r="C5643" s="2">
        <f>IFERROR(__xludf.DUMMYFUNCTION("""COMPUTED_VALUE"""),360.0)</f>
        <v>360</v>
      </c>
      <c r="D5643" s="3">
        <f>IFERROR(__xludf.DUMMYFUNCTION("""COMPUTED_VALUE"""),312.0)</f>
        <v>312</v>
      </c>
      <c r="E5643" s="2"/>
      <c r="F5643" s="2"/>
    </row>
    <row r="5644">
      <c r="A5644" s="2">
        <f>IFERROR(__xludf.DUMMYFUNCTION("""COMPUTED_VALUE"""),121596.0)</f>
        <v>121596</v>
      </c>
      <c r="B5644" s="2">
        <f>IFERROR(__xludf.DUMMYFUNCTION("""COMPUTED_VALUE"""),1.0)</f>
        <v>1</v>
      </c>
      <c r="C5644" s="2">
        <f>IFERROR(__xludf.DUMMYFUNCTION("""COMPUTED_VALUE"""),626.0)</f>
        <v>626</v>
      </c>
      <c r="D5644" s="3">
        <f>IFERROR(__xludf.DUMMYFUNCTION("""COMPUTED_VALUE"""),260.0)</f>
        <v>260</v>
      </c>
      <c r="E5644" s="2"/>
      <c r="F5644" s="2"/>
    </row>
    <row r="5645">
      <c r="A5645" s="2">
        <f>IFERROR(__xludf.DUMMYFUNCTION("""COMPUTED_VALUE"""),14441.0)</f>
        <v>14441</v>
      </c>
      <c r="B5645" s="2">
        <f>IFERROR(__xludf.DUMMYFUNCTION("""COMPUTED_VALUE"""),1.0)</f>
        <v>1</v>
      </c>
      <c r="C5645" s="2">
        <f>IFERROR(__xludf.DUMMYFUNCTION("""COMPUTED_VALUE"""),930.0)</f>
        <v>930</v>
      </c>
      <c r="D5645" s="3">
        <f>IFERROR(__xludf.DUMMYFUNCTION("""COMPUTED_VALUE"""),662.0)</f>
        <v>662</v>
      </c>
      <c r="E5645" s="2"/>
      <c r="F5645" s="2"/>
    </row>
    <row r="5646">
      <c r="A5646" s="2">
        <f>IFERROR(__xludf.DUMMYFUNCTION("""COMPUTED_VALUE"""),9489.0)</f>
        <v>9489</v>
      </c>
      <c r="B5646" s="2">
        <f>IFERROR(__xludf.DUMMYFUNCTION("""COMPUTED_VALUE"""),0.0)</f>
        <v>0</v>
      </c>
      <c r="C5646" s="2">
        <f>IFERROR(__xludf.DUMMYFUNCTION("""COMPUTED_VALUE"""),20.0)</f>
        <v>20</v>
      </c>
      <c r="D5646" s="3">
        <f>IFERROR(__xludf.DUMMYFUNCTION("""COMPUTED_VALUE"""),10.0)</f>
        <v>10</v>
      </c>
      <c r="E5646" s="2"/>
      <c r="F5646" s="2"/>
    </row>
    <row r="5647">
      <c r="A5647" s="2">
        <f>IFERROR(__xludf.DUMMYFUNCTION("""COMPUTED_VALUE"""),103189.0)</f>
        <v>103189</v>
      </c>
      <c r="B5647" s="2">
        <f>IFERROR(__xludf.DUMMYFUNCTION("""COMPUTED_VALUE"""),0.0)</f>
        <v>0</v>
      </c>
      <c r="C5647" s="2">
        <f>IFERROR(__xludf.DUMMYFUNCTION("""COMPUTED_VALUE"""),465.0)</f>
        <v>465</v>
      </c>
      <c r="D5647" s="3">
        <f>IFERROR(__xludf.DUMMYFUNCTION("""COMPUTED_VALUE"""),123.0)</f>
        <v>123</v>
      </c>
      <c r="E5647" s="2"/>
      <c r="F5647" s="2"/>
    </row>
    <row r="5648">
      <c r="A5648" s="2">
        <f>IFERROR(__xludf.DUMMYFUNCTION("""COMPUTED_VALUE"""),9567.0)</f>
        <v>9567</v>
      </c>
      <c r="B5648" s="2">
        <f>IFERROR(__xludf.DUMMYFUNCTION("""COMPUTED_VALUE"""),1.0)</f>
        <v>1</v>
      </c>
      <c r="C5648" s="2">
        <f>IFERROR(__xludf.DUMMYFUNCTION("""COMPUTED_VALUE"""),903.0)</f>
        <v>903</v>
      </c>
      <c r="D5648" s="3">
        <f>IFERROR(__xludf.DUMMYFUNCTION("""COMPUTED_VALUE"""),37.0)</f>
        <v>37</v>
      </c>
      <c r="E5648" s="2"/>
      <c r="F5648" s="2"/>
    </row>
    <row r="5649">
      <c r="A5649" s="2">
        <f>IFERROR(__xludf.DUMMYFUNCTION("""COMPUTED_VALUE"""),9543.0)</f>
        <v>9543</v>
      </c>
      <c r="B5649" s="2">
        <f>IFERROR(__xludf.DUMMYFUNCTION("""COMPUTED_VALUE"""),0.0)</f>
        <v>0</v>
      </c>
      <c r="C5649" s="2">
        <f>IFERROR(__xludf.DUMMYFUNCTION("""COMPUTED_VALUE"""),932.0)</f>
        <v>932</v>
      </c>
      <c r="D5649" s="3">
        <f>IFERROR(__xludf.DUMMYFUNCTION("""COMPUTED_VALUE"""),49.0)</f>
        <v>49</v>
      </c>
      <c r="E5649" s="2"/>
      <c r="F5649" s="2"/>
    </row>
    <row r="5650">
      <c r="A5650" s="2">
        <f>IFERROR(__xludf.DUMMYFUNCTION("""COMPUTED_VALUE"""),77471.0)</f>
        <v>77471</v>
      </c>
      <c r="B5650" s="2">
        <f>IFERROR(__xludf.DUMMYFUNCTION("""COMPUTED_VALUE"""),0.0)</f>
        <v>0</v>
      </c>
      <c r="C5650" s="2">
        <f>IFERROR(__xludf.DUMMYFUNCTION("""COMPUTED_VALUE"""),557.0)</f>
        <v>557</v>
      </c>
      <c r="D5650" s="3">
        <f>IFERROR(__xludf.DUMMYFUNCTION("""COMPUTED_VALUE"""),420.0)</f>
        <v>420</v>
      </c>
      <c r="E5650" s="2"/>
      <c r="F5650" s="2"/>
    </row>
    <row r="5651">
      <c r="A5651" s="2">
        <f>IFERROR(__xludf.DUMMYFUNCTION("""COMPUTED_VALUE"""),164631.0)</f>
        <v>164631</v>
      </c>
      <c r="B5651" s="2">
        <f>IFERROR(__xludf.DUMMYFUNCTION("""COMPUTED_VALUE"""),1.0)</f>
        <v>1</v>
      </c>
      <c r="C5651" s="2">
        <f>IFERROR(__xludf.DUMMYFUNCTION("""COMPUTED_VALUE"""),56.0)</f>
        <v>56</v>
      </c>
      <c r="D5651" s="3">
        <f>IFERROR(__xludf.DUMMYFUNCTION("""COMPUTED_VALUE"""),14.0)</f>
        <v>14</v>
      </c>
      <c r="E5651" s="2"/>
      <c r="F5651" s="2"/>
    </row>
    <row r="5652">
      <c r="A5652" s="2">
        <f>IFERROR(__xludf.DUMMYFUNCTION("""COMPUTED_VALUE"""),9606.0)</f>
        <v>9606</v>
      </c>
      <c r="B5652" s="2">
        <f>IFERROR(__xludf.DUMMYFUNCTION("""COMPUTED_VALUE"""),0.0)</f>
        <v>0</v>
      </c>
      <c r="C5652" s="2">
        <f>IFERROR(__xludf.DUMMYFUNCTION("""COMPUTED_VALUE"""),192.0)</f>
        <v>192</v>
      </c>
      <c r="D5652" s="3">
        <f>IFERROR(__xludf.DUMMYFUNCTION("""COMPUTED_VALUE"""),63.0)</f>
        <v>63</v>
      </c>
      <c r="E5652" s="2"/>
      <c r="F5652" s="2"/>
    </row>
    <row r="5653">
      <c r="A5653" s="2">
        <f>IFERROR(__xludf.DUMMYFUNCTION("""COMPUTED_VALUE"""),77473.0)</f>
        <v>77473</v>
      </c>
      <c r="B5653" s="2">
        <f>IFERROR(__xludf.DUMMYFUNCTION("""COMPUTED_VALUE"""),1.0)</f>
        <v>1</v>
      </c>
      <c r="C5653" s="2">
        <f>IFERROR(__xludf.DUMMYFUNCTION("""COMPUTED_VALUE"""),57.0)</f>
        <v>57</v>
      </c>
      <c r="D5653" s="3">
        <f>IFERROR(__xludf.DUMMYFUNCTION("""COMPUTED_VALUE"""),45.0)</f>
        <v>45</v>
      </c>
      <c r="E5653" s="2"/>
      <c r="F5653" s="2"/>
    </row>
    <row r="5654">
      <c r="A5654" s="2">
        <f>IFERROR(__xludf.DUMMYFUNCTION("""COMPUTED_VALUE"""),9484.0)</f>
        <v>9484</v>
      </c>
      <c r="B5654" s="2">
        <f>IFERROR(__xludf.DUMMYFUNCTION("""COMPUTED_VALUE"""),0.0)</f>
        <v>0</v>
      </c>
      <c r="C5654" s="2">
        <f>IFERROR(__xludf.DUMMYFUNCTION("""COMPUTED_VALUE"""),188.0)</f>
        <v>188</v>
      </c>
      <c r="D5654" s="3">
        <f>IFERROR(__xludf.DUMMYFUNCTION("""COMPUTED_VALUE"""),104.0)</f>
        <v>104</v>
      </c>
      <c r="E5654" s="2"/>
      <c r="F5654" s="2"/>
    </row>
    <row r="5655">
      <c r="A5655" s="2">
        <f>IFERROR(__xludf.DUMMYFUNCTION("""COMPUTED_VALUE"""),14439.0)</f>
        <v>14439</v>
      </c>
      <c r="B5655" s="2">
        <f>IFERROR(__xludf.DUMMYFUNCTION("""COMPUTED_VALUE"""),1.0)</f>
        <v>1</v>
      </c>
      <c r="C5655" s="2">
        <f>IFERROR(__xludf.DUMMYFUNCTION("""COMPUTED_VALUE"""),474.0)</f>
        <v>474</v>
      </c>
      <c r="D5655" s="3">
        <f>IFERROR(__xludf.DUMMYFUNCTION("""COMPUTED_VALUE"""),464.0)</f>
        <v>464</v>
      </c>
      <c r="E5655" s="2"/>
      <c r="F5655" s="2"/>
    </row>
    <row r="5656">
      <c r="A5656" s="2">
        <f>IFERROR(__xludf.DUMMYFUNCTION("""COMPUTED_VALUE"""),124761.0)</f>
        <v>124761</v>
      </c>
      <c r="B5656" s="2">
        <f>IFERROR(__xludf.DUMMYFUNCTION("""COMPUTED_VALUE"""),0.0)</f>
        <v>0</v>
      </c>
      <c r="C5656" s="2">
        <f>IFERROR(__xludf.DUMMYFUNCTION("""COMPUTED_VALUE"""),633.0)</f>
        <v>633</v>
      </c>
      <c r="D5656" s="3">
        <f>IFERROR(__xludf.DUMMYFUNCTION("""COMPUTED_VALUE"""),107.0)</f>
        <v>107</v>
      </c>
      <c r="E5656" s="2"/>
      <c r="F5656" s="2"/>
    </row>
    <row r="5657">
      <c r="A5657" s="2">
        <f>IFERROR(__xludf.DUMMYFUNCTION("""COMPUTED_VALUE"""),14440.0)</f>
        <v>14440</v>
      </c>
      <c r="B5657" s="2">
        <f>IFERROR(__xludf.DUMMYFUNCTION("""COMPUTED_VALUE"""),1.0)</f>
        <v>1</v>
      </c>
      <c r="C5657" s="2">
        <f>IFERROR(__xludf.DUMMYFUNCTION("""COMPUTED_VALUE"""),27.0)</f>
        <v>27</v>
      </c>
      <c r="D5657" s="3">
        <f>IFERROR(__xludf.DUMMYFUNCTION("""COMPUTED_VALUE"""),27.0)</f>
        <v>27</v>
      </c>
      <c r="E5657" s="2"/>
      <c r="F5657" s="2"/>
    </row>
    <row r="5658">
      <c r="A5658" s="2">
        <f>IFERROR(__xludf.DUMMYFUNCTION("""COMPUTED_VALUE"""),9544.0)</f>
        <v>9544</v>
      </c>
      <c r="B5658" s="2">
        <f>IFERROR(__xludf.DUMMYFUNCTION("""COMPUTED_VALUE"""),1.0)</f>
        <v>1</v>
      </c>
      <c r="C5658" s="2">
        <f>IFERROR(__xludf.DUMMYFUNCTION("""COMPUTED_VALUE"""),374.0)</f>
        <v>374</v>
      </c>
      <c r="D5658" s="3">
        <f>IFERROR(__xludf.DUMMYFUNCTION("""COMPUTED_VALUE"""),266.0)</f>
        <v>266</v>
      </c>
      <c r="E5658" s="2"/>
      <c r="F5658" s="2"/>
    </row>
    <row r="5659">
      <c r="A5659" s="2">
        <f>IFERROR(__xludf.DUMMYFUNCTION("""COMPUTED_VALUE"""),46482.0)</f>
        <v>46482</v>
      </c>
      <c r="B5659" s="2">
        <f>IFERROR(__xludf.DUMMYFUNCTION("""COMPUTED_VALUE"""),0.0)</f>
        <v>0</v>
      </c>
      <c r="C5659" s="2">
        <f>IFERROR(__xludf.DUMMYFUNCTION("""COMPUTED_VALUE"""),727.0)</f>
        <v>727</v>
      </c>
      <c r="D5659" s="3">
        <f>IFERROR(__xludf.DUMMYFUNCTION("""COMPUTED_VALUE"""),709.0)</f>
        <v>709</v>
      </c>
      <c r="E5659" s="2"/>
      <c r="F5659" s="2"/>
    </row>
    <row r="5660">
      <c r="A5660" s="2">
        <f>IFERROR(__xludf.DUMMYFUNCTION("""COMPUTED_VALUE"""),46773.0)</f>
        <v>46773</v>
      </c>
      <c r="B5660" s="2">
        <f>IFERROR(__xludf.DUMMYFUNCTION("""COMPUTED_VALUE"""),1.0)</f>
        <v>1</v>
      </c>
      <c r="C5660" s="2">
        <f>IFERROR(__xludf.DUMMYFUNCTION("""COMPUTED_VALUE"""),668.0)</f>
        <v>668</v>
      </c>
      <c r="D5660" s="3">
        <f>IFERROR(__xludf.DUMMYFUNCTION("""COMPUTED_VALUE"""),108.0)</f>
        <v>108</v>
      </c>
      <c r="E5660" s="2"/>
      <c r="F5660" s="2"/>
    </row>
    <row r="5661">
      <c r="A5661" s="2">
        <f>IFERROR(__xludf.DUMMYFUNCTION("""COMPUTED_VALUE"""),81502.0)</f>
        <v>81502</v>
      </c>
      <c r="B5661" s="2">
        <f>IFERROR(__xludf.DUMMYFUNCTION("""COMPUTED_VALUE"""),1.0)</f>
        <v>1</v>
      </c>
      <c r="C5661" s="2">
        <f>IFERROR(__xludf.DUMMYFUNCTION("""COMPUTED_VALUE"""),293.0)</f>
        <v>293</v>
      </c>
      <c r="D5661" s="3">
        <f>IFERROR(__xludf.DUMMYFUNCTION("""COMPUTED_VALUE"""),217.0)</f>
        <v>217</v>
      </c>
      <c r="E5661" s="2"/>
      <c r="F5661" s="2"/>
    </row>
    <row r="5662">
      <c r="A5662" s="2">
        <f>IFERROR(__xludf.DUMMYFUNCTION("""COMPUTED_VALUE"""),76035.0)</f>
        <v>76035</v>
      </c>
      <c r="B5662" s="2">
        <f>IFERROR(__xludf.DUMMYFUNCTION("""COMPUTED_VALUE"""),0.0)</f>
        <v>0</v>
      </c>
      <c r="C5662" s="2">
        <f>IFERROR(__xludf.DUMMYFUNCTION("""COMPUTED_VALUE"""),333.0)</f>
        <v>333</v>
      </c>
      <c r="D5662" s="3">
        <f>IFERROR(__xludf.DUMMYFUNCTION("""COMPUTED_VALUE"""),259.0)</f>
        <v>259</v>
      </c>
      <c r="E5662" s="2"/>
      <c r="F5662" s="2"/>
    </row>
    <row r="5663">
      <c r="A5663" s="2">
        <f>IFERROR(__xludf.DUMMYFUNCTION("""COMPUTED_VALUE"""),46774.0)</f>
        <v>46774</v>
      </c>
      <c r="B5663" s="2">
        <f>IFERROR(__xludf.DUMMYFUNCTION("""COMPUTED_VALUE"""),1.0)</f>
        <v>1</v>
      </c>
      <c r="C5663" s="2">
        <f>IFERROR(__xludf.DUMMYFUNCTION("""COMPUTED_VALUE"""),210.0)</f>
        <v>210</v>
      </c>
      <c r="D5663" s="3">
        <f>IFERROR(__xludf.DUMMYFUNCTION("""COMPUTED_VALUE"""),149.0)</f>
        <v>149</v>
      </c>
      <c r="E5663" s="2"/>
      <c r="F5663" s="2"/>
    </row>
    <row r="5664">
      <c r="A5664" s="2">
        <f>IFERROR(__xludf.DUMMYFUNCTION("""COMPUTED_VALUE"""),121029.0)</f>
        <v>121029</v>
      </c>
      <c r="B5664" s="2">
        <f>IFERROR(__xludf.DUMMYFUNCTION("""COMPUTED_VALUE"""),1.0)</f>
        <v>1</v>
      </c>
      <c r="C5664" s="2">
        <f>IFERROR(__xludf.DUMMYFUNCTION("""COMPUTED_VALUE"""),360.0)</f>
        <v>360</v>
      </c>
      <c r="D5664" s="3">
        <f>IFERROR(__xludf.DUMMYFUNCTION("""COMPUTED_VALUE"""),244.0)</f>
        <v>244</v>
      </c>
      <c r="E5664" s="2"/>
      <c r="F5664" s="2"/>
    </row>
    <row r="5665">
      <c r="A5665" s="2">
        <f>IFERROR(__xludf.DUMMYFUNCTION("""COMPUTED_VALUE"""),128199.0)</f>
        <v>128199</v>
      </c>
      <c r="B5665" s="2">
        <f>IFERROR(__xludf.DUMMYFUNCTION("""COMPUTED_VALUE"""),1.0)</f>
        <v>1</v>
      </c>
      <c r="C5665" s="2">
        <f>IFERROR(__xludf.DUMMYFUNCTION("""COMPUTED_VALUE"""),492.0)</f>
        <v>492</v>
      </c>
      <c r="D5665" s="3">
        <f>IFERROR(__xludf.DUMMYFUNCTION("""COMPUTED_VALUE"""),108.0)</f>
        <v>108</v>
      </c>
      <c r="E5665" s="2"/>
      <c r="F5665" s="2"/>
    </row>
    <row r="5666">
      <c r="A5666" s="2">
        <f>IFERROR(__xludf.DUMMYFUNCTION("""COMPUTED_VALUE"""),82408.0)</f>
        <v>82408</v>
      </c>
      <c r="B5666" s="2">
        <f>IFERROR(__xludf.DUMMYFUNCTION("""COMPUTED_VALUE"""),0.0)</f>
        <v>0</v>
      </c>
      <c r="C5666" s="2">
        <f>IFERROR(__xludf.DUMMYFUNCTION("""COMPUTED_VALUE"""),98.0)</f>
        <v>98</v>
      </c>
      <c r="D5666" s="3">
        <f>IFERROR(__xludf.DUMMYFUNCTION("""COMPUTED_VALUE"""),56.0)</f>
        <v>56</v>
      </c>
      <c r="E5666" s="2"/>
      <c r="F5666" s="2"/>
    </row>
    <row r="5667">
      <c r="A5667" s="2">
        <f>IFERROR(__xludf.DUMMYFUNCTION("""COMPUTED_VALUE"""),139298.0)</f>
        <v>139298</v>
      </c>
      <c r="B5667" s="2">
        <f>IFERROR(__xludf.DUMMYFUNCTION("""COMPUTED_VALUE"""),0.0)</f>
        <v>0</v>
      </c>
      <c r="C5667" s="2">
        <f>IFERROR(__xludf.DUMMYFUNCTION("""COMPUTED_VALUE"""),106.0)</f>
        <v>106</v>
      </c>
      <c r="D5667" s="3">
        <f>IFERROR(__xludf.DUMMYFUNCTION("""COMPUTED_VALUE"""),12.0)</f>
        <v>12</v>
      </c>
      <c r="E5667" s="2"/>
      <c r="F5667" s="2"/>
    </row>
    <row r="5668">
      <c r="A5668" s="2">
        <f>IFERROR(__xludf.DUMMYFUNCTION("""COMPUTED_VALUE"""),91397.0)</f>
        <v>91397</v>
      </c>
      <c r="B5668" s="2">
        <f>IFERROR(__xludf.DUMMYFUNCTION("""COMPUTED_VALUE"""),0.0)</f>
        <v>0</v>
      </c>
      <c r="C5668" s="2">
        <f>IFERROR(__xludf.DUMMYFUNCTION("""COMPUTED_VALUE"""),479.0)</f>
        <v>479</v>
      </c>
      <c r="D5668" s="3">
        <f>IFERROR(__xludf.DUMMYFUNCTION("""COMPUTED_VALUE"""),479.0)</f>
        <v>479</v>
      </c>
      <c r="E5668" s="2"/>
      <c r="F5668" s="2"/>
    </row>
    <row r="5669">
      <c r="A5669" s="2">
        <f>IFERROR(__xludf.DUMMYFUNCTION("""COMPUTED_VALUE"""),91396.0)</f>
        <v>91396</v>
      </c>
      <c r="B5669" s="2">
        <f>IFERROR(__xludf.DUMMYFUNCTION("""COMPUTED_VALUE"""),0.0)</f>
        <v>0</v>
      </c>
      <c r="C5669" s="2">
        <f>IFERROR(__xludf.DUMMYFUNCTION("""COMPUTED_VALUE"""),47.0)</f>
        <v>47</v>
      </c>
      <c r="D5669" s="3">
        <f>IFERROR(__xludf.DUMMYFUNCTION("""COMPUTED_VALUE"""),36.0)</f>
        <v>36</v>
      </c>
      <c r="E5669" s="2"/>
      <c r="F5669" s="2"/>
    </row>
    <row r="5670">
      <c r="A5670" s="2">
        <f>IFERROR(__xludf.DUMMYFUNCTION("""COMPUTED_VALUE"""),139302.0)</f>
        <v>139302</v>
      </c>
      <c r="B5670" s="2">
        <f>IFERROR(__xludf.DUMMYFUNCTION("""COMPUTED_VALUE"""),1.0)</f>
        <v>1</v>
      </c>
      <c r="C5670" s="2">
        <f>IFERROR(__xludf.DUMMYFUNCTION("""COMPUTED_VALUE"""),553.0)</f>
        <v>553</v>
      </c>
      <c r="D5670" s="3">
        <f>IFERROR(__xludf.DUMMYFUNCTION("""COMPUTED_VALUE"""),284.0)</f>
        <v>284</v>
      </c>
      <c r="E5670" s="2"/>
      <c r="F5670" s="2"/>
    </row>
    <row r="5671">
      <c r="A5671" s="2">
        <f>IFERROR(__xludf.DUMMYFUNCTION("""COMPUTED_VALUE"""),118283.0)</f>
        <v>118283</v>
      </c>
      <c r="B5671" s="2">
        <f>IFERROR(__xludf.DUMMYFUNCTION("""COMPUTED_VALUE"""),1.0)</f>
        <v>1</v>
      </c>
      <c r="C5671" s="2">
        <f>IFERROR(__xludf.DUMMYFUNCTION("""COMPUTED_VALUE"""),389.0)</f>
        <v>389</v>
      </c>
      <c r="D5671" s="3">
        <f>IFERROR(__xludf.DUMMYFUNCTION("""COMPUTED_VALUE"""),3.0)</f>
        <v>3</v>
      </c>
      <c r="E5671" s="2"/>
      <c r="F5671" s="2"/>
    </row>
    <row r="5672">
      <c r="A5672" s="2">
        <f>IFERROR(__xludf.DUMMYFUNCTION("""COMPUTED_VALUE"""),118286.0)</f>
        <v>118286</v>
      </c>
      <c r="B5672" s="2">
        <f>IFERROR(__xludf.DUMMYFUNCTION("""COMPUTED_VALUE"""),0.0)</f>
        <v>0</v>
      </c>
      <c r="C5672" s="2">
        <f>IFERROR(__xludf.DUMMYFUNCTION("""COMPUTED_VALUE"""),66.0)</f>
        <v>66</v>
      </c>
      <c r="D5672" s="3">
        <f>IFERROR(__xludf.DUMMYFUNCTION("""COMPUTED_VALUE"""),0.0)</f>
        <v>0</v>
      </c>
      <c r="E5672" s="2"/>
      <c r="F5672" s="2"/>
    </row>
    <row r="5673">
      <c r="A5673" s="2">
        <f>IFERROR(__xludf.DUMMYFUNCTION("""COMPUTED_VALUE"""),3375.0)</f>
        <v>3375</v>
      </c>
      <c r="B5673" s="2">
        <f>IFERROR(__xludf.DUMMYFUNCTION("""COMPUTED_VALUE"""),1.0)</f>
        <v>1</v>
      </c>
      <c r="C5673" s="2">
        <f>IFERROR(__xludf.DUMMYFUNCTION("""COMPUTED_VALUE"""),914.0)</f>
        <v>914</v>
      </c>
      <c r="D5673" s="3">
        <f>IFERROR(__xludf.DUMMYFUNCTION("""COMPUTED_VALUE"""),737.0)</f>
        <v>737</v>
      </c>
      <c r="E5673" s="2"/>
      <c r="F5673" s="2"/>
    </row>
    <row r="5674">
      <c r="A5674" s="2">
        <f>IFERROR(__xludf.DUMMYFUNCTION("""COMPUTED_VALUE"""),118285.0)</f>
        <v>118285</v>
      </c>
      <c r="B5674" s="2">
        <f>IFERROR(__xludf.DUMMYFUNCTION("""COMPUTED_VALUE"""),0.0)</f>
        <v>0</v>
      </c>
      <c r="C5674" s="2">
        <f>IFERROR(__xludf.DUMMYFUNCTION("""COMPUTED_VALUE"""),560.0)</f>
        <v>560</v>
      </c>
      <c r="D5674" s="3">
        <f>IFERROR(__xludf.DUMMYFUNCTION("""COMPUTED_VALUE"""),239.0)</f>
        <v>239</v>
      </c>
      <c r="E5674" s="2"/>
      <c r="F5674" s="2"/>
    </row>
    <row r="5675">
      <c r="A5675" s="2">
        <f>IFERROR(__xludf.DUMMYFUNCTION("""COMPUTED_VALUE"""),118284.0)</f>
        <v>118284</v>
      </c>
      <c r="B5675" s="2">
        <f>IFERROR(__xludf.DUMMYFUNCTION("""COMPUTED_VALUE"""),1.0)</f>
        <v>1</v>
      </c>
      <c r="C5675" s="2">
        <f>IFERROR(__xludf.DUMMYFUNCTION("""COMPUTED_VALUE"""),384.0)</f>
        <v>384</v>
      </c>
      <c r="D5675" s="3">
        <f>IFERROR(__xludf.DUMMYFUNCTION("""COMPUTED_VALUE"""),122.0)</f>
        <v>122</v>
      </c>
      <c r="E5675" s="2"/>
      <c r="F5675" s="2"/>
    </row>
    <row r="5676">
      <c r="A5676" s="2">
        <f>IFERROR(__xludf.DUMMYFUNCTION("""COMPUTED_VALUE"""),116522.0)</f>
        <v>116522</v>
      </c>
      <c r="B5676" s="2">
        <f>IFERROR(__xludf.DUMMYFUNCTION("""COMPUTED_VALUE"""),0.0)</f>
        <v>0</v>
      </c>
      <c r="C5676" s="2">
        <f>IFERROR(__xludf.DUMMYFUNCTION("""COMPUTED_VALUE"""),699.0)</f>
        <v>699</v>
      </c>
      <c r="D5676" s="3">
        <f>IFERROR(__xludf.DUMMYFUNCTION("""COMPUTED_VALUE"""),505.0)</f>
        <v>505</v>
      </c>
      <c r="E5676" s="2"/>
      <c r="F5676" s="2"/>
    </row>
    <row r="5677">
      <c r="A5677" s="2">
        <f>IFERROR(__xludf.DUMMYFUNCTION("""COMPUTED_VALUE"""),139307.0)</f>
        <v>139307</v>
      </c>
      <c r="B5677" s="2">
        <f>IFERROR(__xludf.DUMMYFUNCTION("""COMPUTED_VALUE"""),0.0)</f>
        <v>0</v>
      </c>
      <c r="C5677" s="2">
        <f>IFERROR(__xludf.DUMMYFUNCTION("""COMPUTED_VALUE"""),231.0)</f>
        <v>231</v>
      </c>
      <c r="D5677" s="3">
        <f>IFERROR(__xludf.DUMMYFUNCTION("""COMPUTED_VALUE"""),215.0)</f>
        <v>215</v>
      </c>
      <c r="E5677" s="2"/>
      <c r="F5677" s="2"/>
    </row>
    <row r="5678">
      <c r="A5678" s="2">
        <f>IFERROR(__xludf.DUMMYFUNCTION("""COMPUTED_VALUE"""),120253.0)</f>
        <v>120253</v>
      </c>
      <c r="B5678" s="2">
        <f>IFERROR(__xludf.DUMMYFUNCTION("""COMPUTED_VALUE"""),1.0)</f>
        <v>1</v>
      </c>
      <c r="C5678" s="2">
        <f>IFERROR(__xludf.DUMMYFUNCTION("""COMPUTED_VALUE"""),660.0)</f>
        <v>660</v>
      </c>
      <c r="D5678" s="3">
        <f>IFERROR(__xludf.DUMMYFUNCTION("""COMPUTED_VALUE"""),512.0)</f>
        <v>512</v>
      </c>
      <c r="E5678" s="2"/>
      <c r="F5678" s="2"/>
    </row>
    <row r="5679">
      <c r="A5679" s="2">
        <f>IFERROR(__xludf.DUMMYFUNCTION("""COMPUTED_VALUE"""),120252.0)</f>
        <v>120252</v>
      </c>
      <c r="B5679" s="2">
        <f>IFERROR(__xludf.DUMMYFUNCTION("""COMPUTED_VALUE"""),0.0)</f>
        <v>0</v>
      </c>
      <c r="C5679" s="2">
        <f>IFERROR(__xludf.DUMMYFUNCTION("""COMPUTED_VALUE"""),738.0)</f>
        <v>738</v>
      </c>
      <c r="D5679" s="3">
        <f>IFERROR(__xludf.DUMMYFUNCTION("""COMPUTED_VALUE"""),631.0)</f>
        <v>631</v>
      </c>
      <c r="E5679" s="2"/>
      <c r="F5679" s="2"/>
    </row>
    <row r="5680">
      <c r="A5680" s="2">
        <f>IFERROR(__xludf.DUMMYFUNCTION("""COMPUTED_VALUE"""),120251.0)</f>
        <v>120251</v>
      </c>
      <c r="B5680" s="2">
        <f>IFERROR(__xludf.DUMMYFUNCTION("""COMPUTED_VALUE"""),0.0)</f>
        <v>0</v>
      </c>
      <c r="C5680" s="2">
        <f>IFERROR(__xludf.DUMMYFUNCTION("""COMPUTED_VALUE"""),912.0)</f>
        <v>912</v>
      </c>
      <c r="D5680" s="3">
        <f>IFERROR(__xludf.DUMMYFUNCTION("""COMPUTED_VALUE"""),310.0)</f>
        <v>310</v>
      </c>
      <c r="E5680" s="2"/>
      <c r="F5680" s="2"/>
    </row>
    <row r="5681">
      <c r="A5681" s="2">
        <f>IFERROR(__xludf.DUMMYFUNCTION("""COMPUTED_VALUE"""),139306.0)</f>
        <v>139306</v>
      </c>
      <c r="B5681" s="2">
        <f>IFERROR(__xludf.DUMMYFUNCTION("""COMPUTED_VALUE"""),1.0)</f>
        <v>1</v>
      </c>
      <c r="C5681" s="2">
        <f>IFERROR(__xludf.DUMMYFUNCTION("""COMPUTED_VALUE"""),803.0)</f>
        <v>803</v>
      </c>
      <c r="D5681" s="3">
        <f>IFERROR(__xludf.DUMMYFUNCTION("""COMPUTED_VALUE"""),683.0)</f>
        <v>683</v>
      </c>
      <c r="E5681" s="2"/>
      <c r="F5681" s="2"/>
    </row>
    <row r="5682">
      <c r="A5682" s="2">
        <f>IFERROR(__xludf.DUMMYFUNCTION("""COMPUTED_VALUE"""),120255.0)</f>
        <v>120255</v>
      </c>
      <c r="B5682" s="2">
        <f>IFERROR(__xludf.DUMMYFUNCTION("""COMPUTED_VALUE"""),0.0)</f>
        <v>0</v>
      </c>
      <c r="C5682" s="2">
        <f>IFERROR(__xludf.DUMMYFUNCTION("""COMPUTED_VALUE"""),374.0)</f>
        <v>374</v>
      </c>
      <c r="D5682" s="3">
        <f>IFERROR(__xludf.DUMMYFUNCTION("""COMPUTED_VALUE"""),206.0)</f>
        <v>206</v>
      </c>
      <c r="E5682" s="2"/>
      <c r="F5682" s="2"/>
    </row>
    <row r="5683">
      <c r="A5683" s="2">
        <f>IFERROR(__xludf.DUMMYFUNCTION("""COMPUTED_VALUE"""),120980.0)</f>
        <v>120980</v>
      </c>
      <c r="B5683" s="2">
        <f>IFERROR(__xludf.DUMMYFUNCTION("""COMPUTED_VALUE"""),0.0)</f>
        <v>0</v>
      </c>
      <c r="C5683" s="2">
        <f>IFERROR(__xludf.DUMMYFUNCTION("""COMPUTED_VALUE"""),499.0)</f>
        <v>499</v>
      </c>
      <c r="D5683" s="3">
        <f>IFERROR(__xludf.DUMMYFUNCTION("""COMPUTED_VALUE"""),158.0)</f>
        <v>158</v>
      </c>
      <c r="E5683" s="2"/>
      <c r="F5683" s="2"/>
    </row>
    <row r="5684">
      <c r="A5684" s="2">
        <f>IFERROR(__xludf.DUMMYFUNCTION("""COMPUTED_VALUE"""),139299.0)</f>
        <v>139299</v>
      </c>
      <c r="B5684" s="2">
        <f>IFERROR(__xludf.DUMMYFUNCTION("""COMPUTED_VALUE"""),1.0)</f>
        <v>1</v>
      </c>
      <c r="C5684" s="2">
        <f>IFERROR(__xludf.DUMMYFUNCTION("""COMPUTED_VALUE"""),671.0)</f>
        <v>671</v>
      </c>
      <c r="D5684" s="3">
        <f>IFERROR(__xludf.DUMMYFUNCTION("""COMPUTED_VALUE"""),402.0)</f>
        <v>402</v>
      </c>
      <c r="E5684" s="2"/>
      <c r="F5684" s="2"/>
    </row>
    <row r="5685">
      <c r="A5685" s="2">
        <f>IFERROR(__xludf.DUMMYFUNCTION("""COMPUTED_VALUE"""),73635.0)</f>
        <v>73635</v>
      </c>
      <c r="B5685" s="2">
        <f>IFERROR(__xludf.DUMMYFUNCTION("""COMPUTED_VALUE"""),1.0)</f>
        <v>1</v>
      </c>
      <c r="C5685" s="2">
        <f>IFERROR(__xludf.DUMMYFUNCTION("""COMPUTED_VALUE"""),362.0)</f>
        <v>362</v>
      </c>
      <c r="D5685" s="3">
        <f>IFERROR(__xludf.DUMMYFUNCTION("""COMPUTED_VALUE"""),181.0)</f>
        <v>181</v>
      </c>
      <c r="E5685" s="2"/>
      <c r="F5685" s="2"/>
    </row>
    <row r="5686">
      <c r="A5686" s="2">
        <f>IFERROR(__xludf.DUMMYFUNCTION("""COMPUTED_VALUE"""),116537.0)</f>
        <v>116537</v>
      </c>
      <c r="B5686" s="2">
        <f>IFERROR(__xludf.DUMMYFUNCTION("""COMPUTED_VALUE"""),0.0)</f>
        <v>0</v>
      </c>
      <c r="C5686" s="2">
        <f>IFERROR(__xludf.DUMMYFUNCTION("""COMPUTED_VALUE"""),338.0)</f>
        <v>338</v>
      </c>
      <c r="D5686" s="3">
        <f>IFERROR(__xludf.DUMMYFUNCTION("""COMPUTED_VALUE"""),195.0)</f>
        <v>195</v>
      </c>
      <c r="E5686" s="2"/>
      <c r="F5686" s="2"/>
    </row>
    <row r="5687">
      <c r="A5687" s="2">
        <f>IFERROR(__xludf.DUMMYFUNCTION("""COMPUTED_VALUE"""),46716.0)</f>
        <v>46716</v>
      </c>
      <c r="B5687" s="2">
        <f>IFERROR(__xludf.DUMMYFUNCTION("""COMPUTED_VALUE"""),1.0)</f>
        <v>1</v>
      </c>
      <c r="C5687" s="2">
        <f>IFERROR(__xludf.DUMMYFUNCTION("""COMPUTED_VALUE"""),172.0)</f>
        <v>172</v>
      </c>
      <c r="D5687" s="3">
        <f>IFERROR(__xludf.DUMMYFUNCTION("""COMPUTED_VALUE"""),155.0)</f>
        <v>155</v>
      </c>
      <c r="E5687" s="2"/>
      <c r="F5687" s="2"/>
    </row>
    <row r="5688">
      <c r="A5688" s="2">
        <f>IFERROR(__xludf.DUMMYFUNCTION("""COMPUTED_VALUE"""),109161.0)</f>
        <v>109161</v>
      </c>
      <c r="B5688" s="2">
        <f>IFERROR(__xludf.DUMMYFUNCTION("""COMPUTED_VALUE"""),0.0)</f>
        <v>0</v>
      </c>
      <c r="C5688" s="2">
        <f>IFERROR(__xludf.DUMMYFUNCTION("""COMPUTED_VALUE"""),926.0)</f>
        <v>926</v>
      </c>
      <c r="D5688" s="3">
        <f>IFERROR(__xludf.DUMMYFUNCTION("""COMPUTED_VALUE"""),804.0)</f>
        <v>804</v>
      </c>
      <c r="E5688" s="2"/>
      <c r="F5688" s="2"/>
    </row>
    <row r="5689">
      <c r="A5689" s="2">
        <f>IFERROR(__xludf.DUMMYFUNCTION("""COMPUTED_VALUE"""),110760.0)</f>
        <v>110760</v>
      </c>
      <c r="B5689" s="2">
        <f>IFERROR(__xludf.DUMMYFUNCTION("""COMPUTED_VALUE"""),1.0)</f>
        <v>1</v>
      </c>
      <c r="C5689" s="2">
        <f>IFERROR(__xludf.DUMMYFUNCTION("""COMPUTED_VALUE"""),267.0)</f>
        <v>267</v>
      </c>
      <c r="D5689" s="3">
        <f>IFERROR(__xludf.DUMMYFUNCTION("""COMPUTED_VALUE"""),211.0)</f>
        <v>211</v>
      </c>
      <c r="E5689" s="2"/>
      <c r="F5689" s="2"/>
    </row>
    <row r="5690">
      <c r="A5690" s="2">
        <f>IFERROR(__xludf.DUMMYFUNCTION("""COMPUTED_VALUE"""),112095.0)</f>
        <v>112095</v>
      </c>
      <c r="B5690" s="2">
        <f>IFERROR(__xludf.DUMMYFUNCTION("""COMPUTED_VALUE"""),0.0)</f>
        <v>0</v>
      </c>
      <c r="C5690" s="2">
        <f>IFERROR(__xludf.DUMMYFUNCTION("""COMPUTED_VALUE"""),495.0)</f>
        <v>495</v>
      </c>
      <c r="D5690" s="3">
        <f>IFERROR(__xludf.DUMMYFUNCTION("""COMPUTED_VALUE"""),395.0)</f>
        <v>395</v>
      </c>
      <c r="E5690" s="2"/>
      <c r="F5690" s="2"/>
    </row>
    <row r="5691">
      <c r="A5691" s="2">
        <f>IFERROR(__xludf.DUMMYFUNCTION("""COMPUTED_VALUE"""),120261.0)</f>
        <v>120261</v>
      </c>
      <c r="B5691" s="2">
        <f>IFERROR(__xludf.DUMMYFUNCTION("""COMPUTED_VALUE"""),1.0)</f>
        <v>1</v>
      </c>
      <c r="C5691" s="2">
        <f>IFERROR(__xludf.DUMMYFUNCTION("""COMPUTED_VALUE"""),952.0)</f>
        <v>952</v>
      </c>
      <c r="D5691" s="3">
        <f>IFERROR(__xludf.DUMMYFUNCTION("""COMPUTED_VALUE"""),393.0)</f>
        <v>393</v>
      </c>
      <c r="E5691" s="2"/>
      <c r="F5691" s="2"/>
    </row>
    <row r="5692">
      <c r="A5692" s="2">
        <f>IFERROR(__xludf.DUMMYFUNCTION("""COMPUTED_VALUE"""),142302.0)</f>
        <v>142302</v>
      </c>
      <c r="B5692" s="2">
        <f>IFERROR(__xludf.DUMMYFUNCTION("""COMPUTED_VALUE"""),0.0)</f>
        <v>0</v>
      </c>
      <c r="C5692" s="2">
        <f>IFERROR(__xludf.DUMMYFUNCTION("""COMPUTED_VALUE"""),736.0)</f>
        <v>736</v>
      </c>
      <c r="D5692" s="3">
        <f>IFERROR(__xludf.DUMMYFUNCTION("""COMPUTED_VALUE"""),703.0)</f>
        <v>703</v>
      </c>
      <c r="E5692" s="2"/>
      <c r="F5692" s="2"/>
    </row>
    <row r="5693">
      <c r="A5693" s="2">
        <f>IFERROR(__xludf.DUMMYFUNCTION("""COMPUTED_VALUE"""),46715.0)</f>
        <v>46715</v>
      </c>
      <c r="B5693" s="2">
        <f>IFERROR(__xludf.DUMMYFUNCTION("""COMPUTED_VALUE"""),1.0)</f>
        <v>1</v>
      </c>
      <c r="C5693" s="2">
        <f>IFERROR(__xludf.DUMMYFUNCTION("""COMPUTED_VALUE"""),76.0)</f>
        <v>76</v>
      </c>
      <c r="D5693" s="3">
        <f>IFERROR(__xludf.DUMMYFUNCTION("""COMPUTED_VALUE"""),39.0)</f>
        <v>39</v>
      </c>
      <c r="E5693" s="2"/>
      <c r="F5693" s="2"/>
    </row>
    <row r="5694">
      <c r="A5694" s="2">
        <f>IFERROR(__xludf.DUMMYFUNCTION("""COMPUTED_VALUE"""),102190.0)</f>
        <v>102190</v>
      </c>
      <c r="B5694" s="2">
        <f>IFERROR(__xludf.DUMMYFUNCTION("""COMPUTED_VALUE"""),0.0)</f>
        <v>0</v>
      </c>
      <c r="C5694" s="2">
        <f>IFERROR(__xludf.DUMMYFUNCTION("""COMPUTED_VALUE"""),274.0)</f>
        <v>274</v>
      </c>
      <c r="D5694" s="3">
        <f>IFERROR(__xludf.DUMMYFUNCTION("""COMPUTED_VALUE"""),212.0)</f>
        <v>212</v>
      </c>
      <c r="E5694" s="2"/>
      <c r="F5694" s="2"/>
    </row>
    <row r="5695">
      <c r="A5695" s="2">
        <f>IFERROR(__xludf.DUMMYFUNCTION("""COMPUTED_VALUE"""),112098.0)</f>
        <v>112098</v>
      </c>
      <c r="B5695" s="2">
        <f>IFERROR(__xludf.DUMMYFUNCTION("""COMPUTED_VALUE"""),1.0)</f>
        <v>1</v>
      </c>
      <c r="C5695" s="2">
        <f>IFERROR(__xludf.DUMMYFUNCTION("""COMPUTED_VALUE"""),531.0)</f>
        <v>531</v>
      </c>
      <c r="D5695" s="3">
        <f>IFERROR(__xludf.DUMMYFUNCTION("""COMPUTED_VALUE"""),258.0)</f>
        <v>258</v>
      </c>
      <c r="E5695" s="2"/>
      <c r="F5695" s="2"/>
    </row>
    <row r="5696">
      <c r="A5696" s="2">
        <f>IFERROR(__xludf.DUMMYFUNCTION("""COMPUTED_VALUE"""),110761.0)</f>
        <v>110761</v>
      </c>
      <c r="B5696" s="2">
        <f>IFERROR(__xludf.DUMMYFUNCTION("""COMPUTED_VALUE"""),1.0)</f>
        <v>1</v>
      </c>
      <c r="C5696" s="2">
        <f>IFERROR(__xludf.DUMMYFUNCTION("""COMPUTED_VALUE"""),296.0)</f>
        <v>296</v>
      </c>
      <c r="D5696" s="3">
        <f>IFERROR(__xludf.DUMMYFUNCTION("""COMPUTED_VALUE"""),132.0)</f>
        <v>132</v>
      </c>
      <c r="E5696" s="2"/>
      <c r="F5696" s="2"/>
    </row>
    <row r="5697">
      <c r="A5697" s="2">
        <f>IFERROR(__xludf.DUMMYFUNCTION("""COMPUTED_VALUE"""),116529.0)</f>
        <v>116529</v>
      </c>
      <c r="B5697" s="2">
        <f>IFERROR(__xludf.DUMMYFUNCTION("""COMPUTED_VALUE"""),1.0)</f>
        <v>1</v>
      </c>
      <c r="C5697" s="2">
        <f>IFERROR(__xludf.DUMMYFUNCTION("""COMPUTED_VALUE"""),703.0)</f>
        <v>703</v>
      </c>
      <c r="D5697" s="3">
        <f>IFERROR(__xludf.DUMMYFUNCTION("""COMPUTED_VALUE"""),415.0)</f>
        <v>415</v>
      </c>
      <c r="E5697" s="2"/>
      <c r="F5697" s="2"/>
    </row>
    <row r="5698">
      <c r="A5698" s="2">
        <f>IFERROR(__xludf.DUMMYFUNCTION("""COMPUTED_VALUE"""),119245.0)</f>
        <v>119245</v>
      </c>
      <c r="B5698" s="2">
        <f>IFERROR(__xludf.DUMMYFUNCTION("""COMPUTED_VALUE"""),0.0)</f>
        <v>0</v>
      </c>
      <c r="C5698" s="2">
        <f>IFERROR(__xludf.DUMMYFUNCTION("""COMPUTED_VALUE"""),234.0)</f>
        <v>234</v>
      </c>
      <c r="D5698" s="3">
        <f>IFERROR(__xludf.DUMMYFUNCTION("""COMPUTED_VALUE"""),189.0)</f>
        <v>189</v>
      </c>
      <c r="E5698" s="2"/>
      <c r="F5698" s="2"/>
    </row>
    <row r="5699">
      <c r="A5699" s="2">
        <f>IFERROR(__xludf.DUMMYFUNCTION("""COMPUTED_VALUE"""),119454.0)</f>
        <v>119454</v>
      </c>
      <c r="B5699" s="2">
        <f>IFERROR(__xludf.DUMMYFUNCTION("""COMPUTED_VALUE"""),1.0)</f>
        <v>1</v>
      </c>
      <c r="C5699" s="2">
        <f>IFERROR(__xludf.DUMMYFUNCTION("""COMPUTED_VALUE"""),433.0)</f>
        <v>433</v>
      </c>
      <c r="D5699" s="3">
        <f>IFERROR(__xludf.DUMMYFUNCTION("""COMPUTED_VALUE"""),345.0)</f>
        <v>345</v>
      </c>
      <c r="E5699" s="2"/>
      <c r="F5699" s="2"/>
    </row>
    <row r="5700">
      <c r="A5700" s="2">
        <f>IFERROR(__xludf.DUMMYFUNCTION("""COMPUTED_VALUE"""),118131.0)</f>
        <v>118131</v>
      </c>
      <c r="B5700" s="2">
        <f>IFERROR(__xludf.DUMMYFUNCTION("""COMPUTED_VALUE"""),0.0)</f>
        <v>0</v>
      </c>
      <c r="C5700" s="2">
        <f>IFERROR(__xludf.DUMMYFUNCTION("""COMPUTED_VALUE"""),493.0)</f>
        <v>493</v>
      </c>
      <c r="D5700" s="3">
        <f>IFERROR(__xludf.DUMMYFUNCTION("""COMPUTED_VALUE"""),145.0)</f>
        <v>145</v>
      </c>
      <c r="E5700" s="2"/>
      <c r="F5700" s="2"/>
    </row>
    <row r="5701">
      <c r="A5701" s="2">
        <f>IFERROR(__xludf.DUMMYFUNCTION("""COMPUTED_VALUE"""),128395.0)</f>
        <v>128395</v>
      </c>
      <c r="B5701" s="2">
        <f>IFERROR(__xludf.DUMMYFUNCTION("""COMPUTED_VALUE"""),1.0)</f>
        <v>1</v>
      </c>
      <c r="C5701" s="2">
        <f>IFERROR(__xludf.DUMMYFUNCTION("""COMPUTED_VALUE"""),925.0)</f>
        <v>925</v>
      </c>
      <c r="D5701" s="3">
        <f>IFERROR(__xludf.DUMMYFUNCTION("""COMPUTED_VALUE"""),18.0)</f>
        <v>18</v>
      </c>
      <c r="E5701" s="2"/>
      <c r="F5701" s="2"/>
    </row>
    <row r="5702">
      <c r="A5702" s="2">
        <f>IFERROR(__xludf.DUMMYFUNCTION("""COMPUTED_VALUE"""),117482.0)</f>
        <v>117482</v>
      </c>
      <c r="B5702" s="2">
        <f>IFERROR(__xludf.DUMMYFUNCTION("""COMPUTED_VALUE"""),0.0)</f>
        <v>0</v>
      </c>
      <c r="C5702" s="2">
        <f>IFERROR(__xludf.DUMMYFUNCTION("""COMPUTED_VALUE"""),814.0)</f>
        <v>814</v>
      </c>
      <c r="D5702" s="3">
        <f>IFERROR(__xludf.DUMMYFUNCTION("""COMPUTED_VALUE"""),41.0)</f>
        <v>41</v>
      </c>
      <c r="E5702" s="2"/>
      <c r="F5702" s="2"/>
    </row>
    <row r="5703">
      <c r="A5703" s="2">
        <f>IFERROR(__xludf.DUMMYFUNCTION("""COMPUTED_VALUE"""),118130.0)</f>
        <v>118130</v>
      </c>
      <c r="B5703" s="2">
        <f>IFERROR(__xludf.DUMMYFUNCTION("""COMPUTED_VALUE"""),1.0)</f>
        <v>1</v>
      </c>
      <c r="C5703" s="2">
        <f>IFERROR(__xludf.DUMMYFUNCTION("""COMPUTED_VALUE"""),639.0)</f>
        <v>639</v>
      </c>
      <c r="D5703" s="3">
        <f>IFERROR(__xludf.DUMMYFUNCTION("""COMPUTED_VALUE"""),400.0)</f>
        <v>400</v>
      </c>
      <c r="E5703" s="2"/>
      <c r="F5703" s="2"/>
    </row>
    <row r="5704">
      <c r="A5704" s="2">
        <f>IFERROR(__xludf.DUMMYFUNCTION("""COMPUTED_VALUE"""),109209.0)</f>
        <v>109209</v>
      </c>
      <c r="B5704" s="2">
        <f>IFERROR(__xludf.DUMMYFUNCTION("""COMPUTED_VALUE"""),1.0)</f>
        <v>1</v>
      </c>
      <c r="C5704" s="2">
        <f>IFERROR(__xludf.DUMMYFUNCTION("""COMPUTED_VALUE"""),404.0)</f>
        <v>404</v>
      </c>
      <c r="D5704" s="3">
        <f>IFERROR(__xludf.DUMMYFUNCTION("""COMPUTED_VALUE"""),238.0)</f>
        <v>238</v>
      </c>
      <c r="E5704" s="2"/>
      <c r="F5704" s="2"/>
    </row>
    <row r="5705">
      <c r="A5705" s="2">
        <f>IFERROR(__xludf.DUMMYFUNCTION("""COMPUTED_VALUE"""),74428.0)</f>
        <v>74428</v>
      </c>
      <c r="B5705" s="2">
        <f>IFERROR(__xludf.DUMMYFUNCTION("""COMPUTED_VALUE"""),0.0)</f>
        <v>0</v>
      </c>
      <c r="C5705" s="2">
        <f>IFERROR(__xludf.DUMMYFUNCTION("""COMPUTED_VALUE"""),759.0)</f>
        <v>759</v>
      </c>
      <c r="D5705" s="3">
        <f>IFERROR(__xludf.DUMMYFUNCTION("""COMPUTED_VALUE"""),585.0)</f>
        <v>585</v>
      </c>
      <c r="E5705" s="2"/>
      <c r="F5705" s="2"/>
    </row>
    <row r="5706">
      <c r="A5706" s="2">
        <f>IFERROR(__xludf.DUMMYFUNCTION("""COMPUTED_VALUE"""),13941.0)</f>
        <v>13941</v>
      </c>
      <c r="B5706" s="2">
        <f>IFERROR(__xludf.DUMMYFUNCTION("""COMPUTED_VALUE"""),1.0)</f>
        <v>1</v>
      </c>
      <c r="C5706" s="2">
        <f>IFERROR(__xludf.DUMMYFUNCTION("""COMPUTED_VALUE"""),668.0)</f>
        <v>668</v>
      </c>
      <c r="D5706" s="3">
        <f>IFERROR(__xludf.DUMMYFUNCTION("""COMPUTED_VALUE"""),346.0)</f>
        <v>346</v>
      </c>
      <c r="E5706" s="2"/>
      <c r="F5706" s="2"/>
    </row>
    <row r="5707">
      <c r="A5707" s="2">
        <f>IFERROR(__xludf.DUMMYFUNCTION("""COMPUTED_VALUE"""),44316.0)</f>
        <v>44316</v>
      </c>
      <c r="B5707" s="2">
        <f>IFERROR(__xludf.DUMMYFUNCTION("""COMPUTED_VALUE"""),1.0)</f>
        <v>1</v>
      </c>
      <c r="C5707" s="2">
        <f>IFERROR(__xludf.DUMMYFUNCTION("""COMPUTED_VALUE"""),29.0)</f>
        <v>29</v>
      </c>
      <c r="D5707" s="3">
        <f>IFERROR(__xludf.DUMMYFUNCTION("""COMPUTED_VALUE"""),10.0)</f>
        <v>10</v>
      </c>
      <c r="E5707" s="2"/>
      <c r="F5707" s="2"/>
    </row>
    <row r="5708">
      <c r="A5708" s="2">
        <f>IFERROR(__xludf.DUMMYFUNCTION("""COMPUTED_VALUE"""),122748.0)</f>
        <v>122748</v>
      </c>
      <c r="B5708" s="2">
        <f>IFERROR(__xludf.DUMMYFUNCTION("""COMPUTED_VALUE"""),1.0)</f>
        <v>1</v>
      </c>
      <c r="C5708" s="2">
        <f>IFERROR(__xludf.DUMMYFUNCTION("""COMPUTED_VALUE"""),311.0)</f>
        <v>311</v>
      </c>
      <c r="D5708" s="3">
        <f>IFERROR(__xludf.DUMMYFUNCTION("""COMPUTED_VALUE"""),157.0)</f>
        <v>157</v>
      </c>
      <c r="E5708" s="2"/>
      <c r="F5708" s="2"/>
    </row>
    <row r="5709">
      <c r="A5709" s="2">
        <f>IFERROR(__xludf.DUMMYFUNCTION("""COMPUTED_VALUE"""),118936.0)</f>
        <v>118936</v>
      </c>
      <c r="B5709" s="2">
        <f>IFERROR(__xludf.DUMMYFUNCTION("""COMPUTED_VALUE"""),1.0)</f>
        <v>1</v>
      </c>
      <c r="C5709" s="2">
        <f>IFERROR(__xludf.DUMMYFUNCTION("""COMPUTED_VALUE"""),312.0)</f>
        <v>312</v>
      </c>
      <c r="D5709" s="3">
        <f>IFERROR(__xludf.DUMMYFUNCTION("""COMPUTED_VALUE"""),233.0)</f>
        <v>233</v>
      </c>
      <c r="E5709" s="2"/>
      <c r="F5709" s="2"/>
    </row>
    <row r="5710">
      <c r="A5710" s="2">
        <f>IFERROR(__xludf.DUMMYFUNCTION("""COMPUTED_VALUE"""),122746.0)</f>
        <v>122746</v>
      </c>
      <c r="B5710" s="2">
        <f>IFERROR(__xludf.DUMMYFUNCTION("""COMPUTED_VALUE"""),1.0)</f>
        <v>1</v>
      </c>
      <c r="C5710" s="2">
        <f>IFERROR(__xludf.DUMMYFUNCTION("""COMPUTED_VALUE"""),340.0)</f>
        <v>340</v>
      </c>
      <c r="D5710" s="3">
        <f>IFERROR(__xludf.DUMMYFUNCTION("""COMPUTED_VALUE"""),28.0)</f>
        <v>28</v>
      </c>
      <c r="E5710" s="2"/>
      <c r="F5710" s="2"/>
    </row>
    <row r="5711">
      <c r="A5711" s="2">
        <f>IFERROR(__xludf.DUMMYFUNCTION("""COMPUTED_VALUE"""),76567.0)</f>
        <v>76567</v>
      </c>
      <c r="B5711" s="2">
        <f>IFERROR(__xludf.DUMMYFUNCTION("""COMPUTED_VALUE"""),0.0)</f>
        <v>0</v>
      </c>
      <c r="C5711" s="2">
        <f>IFERROR(__xludf.DUMMYFUNCTION("""COMPUTED_VALUE"""),594.0)</f>
        <v>594</v>
      </c>
      <c r="D5711" s="3">
        <f>IFERROR(__xludf.DUMMYFUNCTION("""COMPUTED_VALUE"""),275.0)</f>
        <v>275</v>
      </c>
      <c r="E5711" s="2"/>
      <c r="F5711" s="2"/>
    </row>
    <row r="5712">
      <c r="A5712" s="2">
        <f>IFERROR(__xludf.DUMMYFUNCTION("""COMPUTED_VALUE"""),122747.0)</f>
        <v>122747</v>
      </c>
      <c r="B5712" s="2">
        <f>IFERROR(__xludf.DUMMYFUNCTION("""COMPUTED_VALUE"""),1.0)</f>
        <v>1</v>
      </c>
      <c r="C5712" s="2">
        <f>IFERROR(__xludf.DUMMYFUNCTION("""COMPUTED_VALUE"""),486.0)</f>
        <v>486</v>
      </c>
      <c r="D5712" s="3">
        <f>IFERROR(__xludf.DUMMYFUNCTION("""COMPUTED_VALUE"""),58.0)</f>
        <v>58</v>
      </c>
      <c r="E5712" s="2"/>
      <c r="F5712" s="2"/>
    </row>
    <row r="5713">
      <c r="A5713" s="2">
        <f>IFERROR(__xludf.DUMMYFUNCTION("""COMPUTED_VALUE"""),48484.0)</f>
        <v>48484</v>
      </c>
      <c r="B5713" s="2">
        <f>IFERROR(__xludf.DUMMYFUNCTION("""COMPUTED_VALUE"""),1.0)</f>
        <v>1</v>
      </c>
      <c r="C5713" s="2">
        <f>IFERROR(__xludf.DUMMYFUNCTION("""COMPUTED_VALUE"""),642.0)</f>
        <v>642</v>
      </c>
      <c r="D5713" s="3">
        <f>IFERROR(__xludf.DUMMYFUNCTION("""COMPUTED_VALUE"""),390.0)</f>
        <v>390</v>
      </c>
      <c r="E5713" s="2"/>
      <c r="F5713" s="2"/>
    </row>
    <row r="5714">
      <c r="A5714" s="2">
        <f>IFERROR(__xludf.DUMMYFUNCTION("""COMPUTED_VALUE"""),10856.0)</f>
        <v>10856</v>
      </c>
      <c r="B5714" s="2">
        <f>IFERROR(__xludf.DUMMYFUNCTION("""COMPUTED_VALUE"""),1.0)</f>
        <v>1</v>
      </c>
      <c r="C5714" s="2">
        <f>IFERROR(__xludf.DUMMYFUNCTION("""COMPUTED_VALUE"""),267.0)</f>
        <v>267</v>
      </c>
      <c r="D5714" s="3">
        <f>IFERROR(__xludf.DUMMYFUNCTION("""COMPUTED_VALUE"""),137.0)</f>
        <v>137</v>
      </c>
      <c r="E5714" s="2"/>
      <c r="F5714" s="2"/>
    </row>
    <row r="5715">
      <c r="A5715" s="2">
        <f>IFERROR(__xludf.DUMMYFUNCTION("""COMPUTED_VALUE"""),48486.0)</f>
        <v>48486</v>
      </c>
      <c r="B5715" s="2">
        <f>IFERROR(__xludf.DUMMYFUNCTION("""COMPUTED_VALUE"""),1.0)</f>
        <v>1</v>
      </c>
      <c r="C5715" s="2">
        <f>IFERROR(__xludf.DUMMYFUNCTION("""COMPUTED_VALUE"""),676.0)</f>
        <v>676</v>
      </c>
      <c r="D5715" s="3">
        <f>IFERROR(__xludf.DUMMYFUNCTION("""COMPUTED_VALUE"""),106.0)</f>
        <v>106</v>
      </c>
      <c r="E5715" s="2"/>
      <c r="F5715" s="2"/>
    </row>
    <row r="5716">
      <c r="A5716" s="2">
        <f>IFERROR(__xludf.DUMMYFUNCTION("""COMPUTED_VALUE"""),108707.0)</f>
        <v>108707</v>
      </c>
      <c r="B5716" s="2">
        <f>IFERROR(__xludf.DUMMYFUNCTION("""COMPUTED_VALUE"""),0.0)</f>
        <v>0</v>
      </c>
      <c r="C5716" s="2">
        <f>IFERROR(__xludf.DUMMYFUNCTION("""COMPUTED_VALUE"""),953.0)</f>
        <v>953</v>
      </c>
      <c r="D5716" s="3">
        <f>IFERROR(__xludf.DUMMYFUNCTION("""COMPUTED_VALUE"""),58.0)</f>
        <v>58</v>
      </c>
      <c r="E5716" s="2"/>
      <c r="F5716" s="2"/>
    </row>
    <row r="5717">
      <c r="A5717" s="2">
        <f>IFERROR(__xludf.DUMMYFUNCTION("""COMPUTED_VALUE"""),109565.0)</f>
        <v>109565</v>
      </c>
      <c r="B5717" s="2">
        <f>IFERROR(__xludf.DUMMYFUNCTION("""COMPUTED_VALUE"""),1.0)</f>
        <v>1</v>
      </c>
      <c r="C5717" s="2">
        <f>IFERROR(__xludf.DUMMYFUNCTION("""COMPUTED_VALUE"""),524.0)</f>
        <v>524</v>
      </c>
      <c r="D5717" s="3">
        <f>IFERROR(__xludf.DUMMYFUNCTION("""COMPUTED_VALUE"""),515.0)</f>
        <v>515</v>
      </c>
      <c r="E5717" s="2"/>
      <c r="F5717" s="2"/>
    </row>
    <row r="5718">
      <c r="A5718" s="2">
        <f>IFERROR(__xludf.DUMMYFUNCTION("""COMPUTED_VALUE"""),99181.0)</f>
        <v>99181</v>
      </c>
      <c r="B5718" s="2">
        <f>IFERROR(__xludf.DUMMYFUNCTION("""COMPUTED_VALUE"""),0.0)</f>
        <v>0</v>
      </c>
      <c r="C5718" s="2">
        <f>IFERROR(__xludf.DUMMYFUNCTION("""COMPUTED_VALUE"""),822.0)</f>
        <v>822</v>
      </c>
      <c r="D5718" s="3">
        <f>IFERROR(__xludf.DUMMYFUNCTION("""COMPUTED_VALUE"""),14.0)</f>
        <v>14</v>
      </c>
      <c r="E5718" s="2"/>
      <c r="F5718" s="2"/>
    </row>
    <row r="5719">
      <c r="A5719" s="2">
        <f>IFERROR(__xludf.DUMMYFUNCTION("""COMPUTED_VALUE"""),109060.0)</f>
        <v>109060</v>
      </c>
      <c r="B5719" s="2">
        <f>IFERROR(__xludf.DUMMYFUNCTION("""COMPUTED_VALUE"""),1.0)</f>
        <v>1</v>
      </c>
      <c r="C5719" s="2">
        <f>IFERROR(__xludf.DUMMYFUNCTION("""COMPUTED_VALUE"""),494.0)</f>
        <v>494</v>
      </c>
      <c r="D5719" s="3">
        <f>IFERROR(__xludf.DUMMYFUNCTION("""COMPUTED_VALUE"""),460.0)</f>
        <v>460</v>
      </c>
      <c r="E5719" s="2"/>
      <c r="F5719" s="2"/>
    </row>
    <row r="5720">
      <c r="A5720" s="2">
        <f>IFERROR(__xludf.DUMMYFUNCTION("""COMPUTED_VALUE"""),109628.0)</f>
        <v>109628</v>
      </c>
      <c r="B5720" s="2">
        <f>IFERROR(__xludf.DUMMYFUNCTION("""COMPUTED_VALUE"""),0.0)</f>
        <v>0</v>
      </c>
      <c r="C5720" s="2">
        <f>IFERROR(__xludf.DUMMYFUNCTION("""COMPUTED_VALUE"""),237.0)</f>
        <v>237</v>
      </c>
      <c r="D5720" s="3">
        <f>IFERROR(__xludf.DUMMYFUNCTION("""COMPUTED_VALUE"""),228.0)</f>
        <v>228</v>
      </c>
      <c r="E5720" s="2"/>
      <c r="F5720" s="2"/>
    </row>
    <row r="5721">
      <c r="A5721" s="2">
        <f>IFERROR(__xludf.DUMMYFUNCTION("""COMPUTED_VALUE"""),128346.0)</f>
        <v>128346</v>
      </c>
      <c r="B5721" s="2">
        <f>IFERROR(__xludf.DUMMYFUNCTION("""COMPUTED_VALUE"""),1.0)</f>
        <v>1</v>
      </c>
      <c r="C5721" s="2">
        <f>IFERROR(__xludf.DUMMYFUNCTION("""COMPUTED_VALUE"""),23.0)</f>
        <v>23</v>
      </c>
      <c r="D5721" s="3">
        <f>IFERROR(__xludf.DUMMYFUNCTION("""COMPUTED_VALUE"""),0.0)</f>
        <v>0</v>
      </c>
      <c r="E5721" s="2"/>
      <c r="F5721" s="2"/>
    </row>
    <row r="5722">
      <c r="A5722" s="2">
        <f>IFERROR(__xludf.DUMMYFUNCTION("""COMPUTED_VALUE"""),90319.0)</f>
        <v>90319</v>
      </c>
      <c r="B5722" s="2">
        <f>IFERROR(__xludf.DUMMYFUNCTION("""COMPUTED_VALUE"""),0.0)</f>
        <v>0</v>
      </c>
      <c r="C5722" s="2">
        <f>IFERROR(__xludf.DUMMYFUNCTION("""COMPUTED_VALUE"""),521.0)</f>
        <v>521</v>
      </c>
      <c r="D5722" s="3">
        <f>IFERROR(__xludf.DUMMYFUNCTION("""COMPUTED_VALUE"""),11.0)</f>
        <v>11</v>
      </c>
      <c r="E5722" s="2"/>
      <c r="F5722" s="2"/>
    </row>
    <row r="5723">
      <c r="A5723" s="2">
        <f>IFERROR(__xludf.DUMMYFUNCTION("""COMPUTED_VALUE"""),96287.0)</f>
        <v>96287</v>
      </c>
      <c r="B5723" s="2">
        <f>IFERROR(__xludf.DUMMYFUNCTION("""COMPUTED_VALUE"""),0.0)</f>
        <v>0</v>
      </c>
      <c r="C5723" s="2">
        <f>IFERROR(__xludf.DUMMYFUNCTION("""COMPUTED_VALUE"""),519.0)</f>
        <v>519</v>
      </c>
      <c r="D5723" s="3">
        <f>IFERROR(__xludf.DUMMYFUNCTION("""COMPUTED_VALUE"""),58.0)</f>
        <v>58</v>
      </c>
      <c r="E5723" s="2"/>
      <c r="F5723" s="2"/>
    </row>
    <row r="5724">
      <c r="A5724" s="2">
        <f>IFERROR(__xludf.DUMMYFUNCTION("""COMPUTED_VALUE"""),96238.0)</f>
        <v>96238</v>
      </c>
      <c r="B5724" s="2">
        <f>IFERROR(__xludf.DUMMYFUNCTION("""COMPUTED_VALUE"""),1.0)</f>
        <v>1</v>
      </c>
      <c r="C5724" s="2">
        <f>IFERROR(__xludf.DUMMYFUNCTION("""COMPUTED_VALUE"""),208.0)</f>
        <v>208</v>
      </c>
      <c r="D5724" s="3">
        <f>IFERROR(__xludf.DUMMYFUNCTION("""COMPUTED_VALUE"""),71.0)</f>
        <v>71</v>
      </c>
      <c r="E5724" s="2"/>
      <c r="F5724" s="2"/>
    </row>
    <row r="5725">
      <c r="A5725" s="2">
        <f>IFERROR(__xludf.DUMMYFUNCTION("""COMPUTED_VALUE"""),116553.0)</f>
        <v>116553</v>
      </c>
      <c r="B5725" s="2">
        <f>IFERROR(__xludf.DUMMYFUNCTION("""COMPUTED_VALUE"""),1.0)</f>
        <v>1</v>
      </c>
      <c r="C5725" s="2">
        <f>IFERROR(__xludf.DUMMYFUNCTION("""COMPUTED_VALUE"""),736.0)</f>
        <v>736</v>
      </c>
      <c r="D5725" s="3">
        <f>IFERROR(__xludf.DUMMYFUNCTION("""COMPUTED_VALUE"""),695.0)</f>
        <v>695</v>
      </c>
      <c r="E5725" s="2"/>
      <c r="F5725" s="2"/>
    </row>
    <row r="5726">
      <c r="A5726" s="2">
        <f>IFERROR(__xludf.DUMMYFUNCTION("""COMPUTED_VALUE"""),116539.0)</f>
        <v>116539</v>
      </c>
      <c r="B5726" s="2">
        <f>IFERROR(__xludf.DUMMYFUNCTION("""COMPUTED_VALUE"""),0.0)</f>
        <v>0</v>
      </c>
      <c r="C5726" s="2">
        <f>IFERROR(__xludf.DUMMYFUNCTION("""COMPUTED_VALUE"""),727.0)</f>
        <v>727</v>
      </c>
      <c r="D5726" s="3">
        <f>IFERROR(__xludf.DUMMYFUNCTION("""COMPUTED_VALUE"""),554.0)</f>
        <v>554</v>
      </c>
      <c r="E5726" s="2"/>
      <c r="F5726" s="2"/>
    </row>
    <row r="5727">
      <c r="A5727" s="2">
        <f>IFERROR(__xludf.DUMMYFUNCTION("""COMPUTED_VALUE"""),156015.0)</f>
        <v>156015</v>
      </c>
      <c r="B5727" s="2">
        <f>IFERROR(__xludf.DUMMYFUNCTION("""COMPUTED_VALUE"""),0.0)</f>
        <v>0</v>
      </c>
      <c r="C5727" s="2">
        <f>IFERROR(__xludf.DUMMYFUNCTION("""COMPUTED_VALUE"""),586.0)</f>
        <v>586</v>
      </c>
      <c r="D5727" s="3">
        <f>IFERROR(__xludf.DUMMYFUNCTION("""COMPUTED_VALUE"""),362.0)</f>
        <v>362</v>
      </c>
      <c r="E5727" s="2"/>
      <c r="F5727" s="2"/>
    </row>
    <row r="5728">
      <c r="A5728" s="2">
        <f>IFERROR(__xludf.DUMMYFUNCTION("""COMPUTED_VALUE"""),77049.0)</f>
        <v>77049</v>
      </c>
      <c r="B5728" s="2">
        <f>IFERROR(__xludf.DUMMYFUNCTION("""COMPUTED_VALUE"""),1.0)</f>
        <v>1</v>
      </c>
      <c r="C5728" s="2">
        <f>IFERROR(__xludf.DUMMYFUNCTION("""COMPUTED_VALUE"""),439.0)</f>
        <v>439</v>
      </c>
      <c r="D5728" s="3">
        <f>IFERROR(__xludf.DUMMYFUNCTION("""COMPUTED_VALUE"""),364.0)</f>
        <v>364</v>
      </c>
      <c r="E5728" s="2"/>
      <c r="F5728" s="2"/>
    </row>
    <row r="5729">
      <c r="A5729" s="2">
        <f>IFERROR(__xludf.DUMMYFUNCTION("""COMPUTED_VALUE"""),92906.0)</f>
        <v>92906</v>
      </c>
      <c r="B5729" s="2">
        <f>IFERROR(__xludf.DUMMYFUNCTION("""COMPUTED_VALUE"""),1.0)</f>
        <v>1</v>
      </c>
      <c r="C5729" s="2">
        <f>IFERROR(__xludf.DUMMYFUNCTION("""COMPUTED_VALUE"""),963.0)</f>
        <v>963</v>
      </c>
      <c r="D5729" s="3">
        <f>IFERROR(__xludf.DUMMYFUNCTION("""COMPUTED_VALUE"""),66.0)</f>
        <v>66</v>
      </c>
      <c r="E5729" s="2"/>
      <c r="F5729" s="2"/>
    </row>
    <row r="5730">
      <c r="A5730" s="2">
        <f>IFERROR(__xludf.DUMMYFUNCTION("""COMPUTED_VALUE"""),6425.0)</f>
        <v>6425</v>
      </c>
      <c r="B5730" s="2">
        <f>IFERROR(__xludf.DUMMYFUNCTION("""COMPUTED_VALUE"""),0.0)</f>
        <v>0</v>
      </c>
      <c r="C5730" s="2">
        <f>IFERROR(__xludf.DUMMYFUNCTION("""COMPUTED_VALUE"""),317.0)</f>
        <v>317</v>
      </c>
      <c r="D5730" s="3">
        <f>IFERROR(__xludf.DUMMYFUNCTION("""COMPUTED_VALUE"""),210.0)</f>
        <v>210</v>
      </c>
      <c r="E5730" s="2"/>
      <c r="F5730" s="2"/>
    </row>
    <row r="5731">
      <c r="A5731" s="2">
        <f>IFERROR(__xludf.DUMMYFUNCTION("""COMPUTED_VALUE"""),77653.0)</f>
        <v>77653</v>
      </c>
      <c r="B5731" s="2">
        <f>IFERROR(__xludf.DUMMYFUNCTION("""COMPUTED_VALUE"""),1.0)</f>
        <v>1</v>
      </c>
      <c r="C5731" s="2">
        <f>IFERROR(__xludf.DUMMYFUNCTION("""COMPUTED_VALUE"""),330.0)</f>
        <v>330</v>
      </c>
      <c r="D5731" s="3">
        <f>IFERROR(__xludf.DUMMYFUNCTION("""COMPUTED_VALUE"""),25.0)</f>
        <v>25</v>
      </c>
      <c r="E5731" s="2"/>
      <c r="F5731" s="2"/>
    </row>
    <row r="5732">
      <c r="A5732" s="2">
        <f>IFERROR(__xludf.DUMMYFUNCTION("""COMPUTED_VALUE"""),156029.0)</f>
        <v>156029</v>
      </c>
      <c r="B5732" s="2">
        <f>IFERROR(__xludf.DUMMYFUNCTION("""COMPUTED_VALUE"""),1.0)</f>
        <v>1</v>
      </c>
      <c r="C5732" s="2">
        <f>IFERROR(__xludf.DUMMYFUNCTION("""COMPUTED_VALUE"""),558.0)</f>
        <v>558</v>
      </c>
      <c r="D5732" s="3">
        <f>IFERROR(__xludf.DUMMYFUNCTION("""COMPUTED_VALUE"""),283.0)</f>
        <v>283</v>
      </c>
      <c r="E5732" s="2"/>
      <c r="F5732" s="2"/>
    </row>
    <row r="5733">
      <c r="A5733" s="2">
        <f>IFERROR(__xludf.DUMMYFUNCTION("""COMPUTED_VALUE"""),182726.0)</f>
        <v>182726</v>
      </c>
      <c r="B5733" s="2">
        <f>IFERROR(__xludf.DUMMYFUNCTION("""COMPUTED_VALUE"""),1.0)</f>
        <v>1</v>
      </c>
      <c r="C5733" s="2">
        <f>IFERROR(__xludf.DUMMYFUNCTION("""COMPUTED_VALUE"""),204.0)</f>
        <v>204</v>
      </c>
      <c r="D5733" s="3">
        <f>IFERROR(__xludf.DUMMYFUNCTION("""COMPUTED_VALUE"""),3.0)</f>
        <v>3</v>
      </c>
      <c r="E5733" s="2"/>
      <c r="F5733" s="2"/>
    </row>
    <row r="5734">
      <c r="A5734" s="2">
        <f>IFERROR(__xludf.DUMMYFUNCTION("""COMPUTED_VALUE"""),3536.0)</f>
        <v>3536</v>
      </c>
      <c r="B5734" s="2">
        <f>IFERROR(__xludf.DUMMYFUNCTION("""COMPUTED_VALUE"""),0.0)</f>
        <v>0</v>
      </c>
      <c r="C5734" s="2">
        <f>IFERROR(__xludf.DUMMYFUNCTION("""COMPUTED_VALUE"""),284.0)</f>
        <v>284</v>
      </c>
      <c r="D5734" s="3">
        <f>IFERROR(__xludf.DUMMYFUNCTION("""COMPUTED_VALUE"""),224.0)</f>
        <v>224</v>
      </c>
      <c r="E5734" s="2"/>
      <c r="F5734" s="2"/>
    </row>
    <row r="5735">
      <c r="A5735" s="2">
        <f>IFERROR(__xludf.DUMMYFUNCTION("""COMPUTED_VALUE"""),3541.0)</f>
        <v>3541</v>
      </c>
      <c r="B5735" s="2">
        <f>IFERROR(__xludf.DUMMYFUNCTION("""COMPUTED_VALUE"""),1.0)</f>
        <v>1</v>
      </c>
      <c r="C5735" s="2">
        <f>IFERROR(__xludf.DUMMYFUNCTION("""COMPUTED_VALUE"""),386.0)</f>
        <v>386</v>
      </c>
      <c r="D5735" s="3">
        <f>IFERROR(__xludf.DUMMYFUNCTION("""COMPUTED_VALUE"""),25.0)</f>
        <v>25</v>
      </c>
      <c r="E5735" s="2"/>
      <c r="F5735" s="2"/>
    </row>
    <row r="5736">
      <c r="A5736" s="2">
        <f>IFERROR(__xludf.DUMMYFUNCTION("""COMPUTED_VALUE"""),147335.0)</f>
        <v>147335</v>
      </c>
      <c r="B5736" s="2">
        <f>IFERROR(__xludf.DUMMYFUNCTION("""COMPUTED_VALUE"""),1.0)</f>
        <v>1</v>
      </c>
      <c r="C5736" s="2">
        <f>IFERROR(__xludf.DUMMYFUNCTION("""COMPUTED_VALUE"""),126.0)</f>
        <v>126</v>
      </c>
      <c r="D5736" s="3">
        <f>IFERROR(__xludf.DUMMYFUNCTION("""COMPUTED_VALUE"""),118.0)</f>
        <v>118</v>
      </c>
      <c r="E5736" s="2"/>
      <c r="F5736" s="2"/>
    </row>
    <row r="5737">
      <c r="A5737" s="2">
        <f>IFERROR(__xludf.DUMMYFUNCTION("""COMPUTED_VALUE"""),46896.0)</f>
        <v>46896</v>
      </c>
      <c r="B5737" s="2">
        <f>IFERROR(__xludf.DUMMYFUNCTION("""COMPUTED_VALUE"""),1.0)</f>
        <v>1</v>
      </c>
      <c r="C5737" s="2">
        <f>IFERROR(__xludf.DUMMYFUNCTION("""COMPUTED_VALUE"""),251.0)</f>
        <v>251</v>
      </c>
      <c r="D5737" s="3">
        <f>IFERROR(__xludf.DUMMYFUNCTION("""COMPUTED_VALUE"""),200.0)</f>
        <v>200</v>
      </c>
      <c r="E5737" s="2"/>
      <c r="F5737" s="2"/>
    </row>
    <row r="5738">
      <c r="A5738" s="2">
        <f>IFERROR(__xludf.DUMMYFUNCTION("""COMPUTED_VALUE"""),46897.0)</f>
        <v>46897</v>
      </c>
      <c r="B5738" s="2">
        <f>IFERROR(__xludf.DUMMYFUNCTION("""COMPUTED_VALUE"""),0.0)</f>
        <v>0</v>
      </c>
      <c r="C5738" s="2">
        <f>IFERROR(__xludf.DUMMYFUNCTION("""COMPUTED_VALUE"""),208.0)</f>
        <v>208</v>
      </c>
      <c r="D5738" s="3">
        <f>IFERROR(__xludf.DUMMYFUNCTION("""COMPUTED_VALUE"""),59.0)</f>
        <v>59</v>
      </c>
      <c r="E5738" s="2"/>
      <c r="F5738" s="2"/>
    </row>
    <row r="5739">
      <c r="A5739" s="2">
        <f>IFERROR(__xludf.DUMMYFUNCTION("""COMPUTED_VALUE"""),71729.0)</f>
        <v>71729</v>
      </c>
      <c r="B5739" s="2">
        <f>IFERROR(__xludf.DUMMYFUNCTION("""COMPUTED_VALUE"""),0.0)</f>
        <v>0</v>
      </c>
      <c r="C5739" s="2">
        <f>IFERROR(__xludf.DUMMYFUNCTION("""COMPUTED_VALUE"""),350.0)</f>
        <v>350</v>
      </c>
      <c r="D5739" s="3">
        <f>IFERROR(__xludf.DUMMYFUNCTION("""COMPUTED_VALUE"""),233.0)</f>
        <v>233</v>
      </c>
      <c r="E5739" s="2"/>
      <c r="F5739" s="2"/>
    </row>
    <row r="5740">
      <c r="A5740" s="2">
        <f>IFERROR(__xludf.DUMMYFUNCTION("""COMPUTED_VALUE"""),45471.0)</f>
        <v>45471</v>
      </c>
      <c r="B5740" s="2">
        <f>IFERROR(__xludf.DUMMYFUNCTION("""COMPUTED_VALUE"""),1.0)</f>
        <v>1</v>
      </c>
      <c r="C5740" s="2">
        <f>IFERROR(__xludf.DUMMYFUNCTION("""COMPUTED_VALUE"""),511.0)</f>
        <v>511</v>
      </c>
      <c r="D5740" s="3">
        <f>IFERROR(__xludf.DUMMYFUNCTION("""COMPUTED_VALUE"""),260.0)</f>
        <v>260</v>
      </c>
      <c r="E5740" s="2"/>
      <c r="F5740" s="2"/>
    </row>
    <row r="5741">
      <c r="A5741" s="2">
        <f>IFERROR(__xludf.DUMMYFUNCTION("""COMPUTED_VALUE"""),80622.0)</f>
        <v>80622</v>
      </c>
      <c r="B5741" s="2">
        <f>IFERROR(__xludf.DUMMYFUNCTION("""COMPUTED_VALUE"""),1.0)</f>
        <v>1</v>
      </c>
      <c r="C5741" s="2">
        <f>IFERROR(__xludf.DUMMYFUNCTION("""COMPUTED_VALUE"""),860.0)</f>
        <v>860</v>
      </c>
      <c r="D5741" s="3">
        <f>IFERROR(__xludf.DUMMYFUNCTION("""COMPUTED_VALUE"""),491.0)</f>
        <v>491</v>
      </c>
      <c r="E5741" s="2"/>
      <c r="F5741" s="2"/>
    </row>
    <row r="5742">
      <c r="A5742" s="2">
        <f>IFERROR(__xludf.DUMMYFUNCTION("""COMPUTED_VALUE"""),111204.0)</f>
        <v>111204</v>
      </c>
      <c r="B5742" s="2">
        <f>IFERROR(__xludf.DUMMYFUNCTION("""COMPUTED_VALUE"""),1.0)</f>
        <v>1</v>
      </c>
      <c r="C5742" s="2">
        <f>IFERROR(__xludf.DUMMYFUNCTION("""COMPUTED_VALUE"""),415.0)</f>
        <v>415</v>
      </c>
      <c r="D5742" s="3">
        <f>IFERROR(__xludf.DUMMYFUNCTION("""COMPUTED_VALUE"""),159.0)</f>
        <v>159</v>
      </c>
      <c r="E5742" s="2"/>
      <c r="F5742" s="2"/>
    </row>
    <row r="5743">
      <c r="A5743" s="2">
        <f>IFERROR(__xludf.DUMMYFUNCTION("""COMPUTED_VALUE"""),27843.0)</f>
        <v>27843</v>
      </c>
      <c r="B5743" s="2">
        <f>IFERROR(__xludf.DUMMYFUNCTION("""COMPUTED_VALUE"""),1.0)</f>
        <v>1</v>
      </c>
      <c r="C5743" s="2">
        <f>IFERROR(__xludf.DUMMYFUNCTION("""COMPUTED_VALUE"""),695.0)</f>
        <v>695</v>
      </c>
      <c r="D5743" s="3">
        <f>IFERROR(__xludf.DUMMYFUNCTION("""COMPUTED_VALUE"""),687.0)</f>
        <v>687</v>
      </c>
      <c r="E5743" s="2"/>
      <c r="F5743" s="2"/>
    </row>
    <row r="5744">
      <c r="A5744" s="2">
        <f>IFERROR(__xludf.DUMMYFUNCTION("""COMPUTED_VALUE"""),111656.0)</f>
        <v>111656</v>
      </c>
      <c r="B5744" s="2">
        <f>IFERROR(__xludf.DUMMYFUNCTION("""COMPUTED_VALUE"""),0.0)</f>
        <v>0</v>
      </c>
      <c r="C5744" s="2">
        <f>IFERROR(__xludf.DUMMYFUNCTION("""COMPUTED_VALUE"""),927.0)</f>
        <v>927</v>
      </c>
      <c r="D5744" s="3">
        <f>IFERROR(__xludf.DUMMYFUNCTION("""COMPUTED_VALUE"""),757.0)</f>
        <v>757</v>
      </c>
      <c r="E5744" s="2"/>
      <c r="F5744" s="2"/>
    </row>
    <row r="5745">
      <c r="A5745" s="2">
        <f>IFERROR(__xludf.DUMMYFUNCTION("""COMPUTED_VALUE"""),70043.0)</f>
        <v>70043</v>
      </c>
      <c r="B5745" s="2">
        <f>IFERROR(__xludf.DUMMYFUNCTION("""COMPUTED_VALUE"""),0.0)</f>
        <v>0</v>
      </c>
      <c r="C5745" s="2">
        <f>IFERROR(__xludf.DUMMYFUNCTION("""COMPUTED_VALUE"""),730.0)</f>
        <v>730</v>
      </c>
      <c r="D5745" s="3">
        <f>IFERROR(__xludf.DUMMYFUNCTION("""COMPUTED_VALUE"""),169.0)</f>
        <v>169</v>
      </c>
      <c r="E5745" s="2"/>
      <c r="F5745" s="2"/>
    </row>
    <row r="5746">
      <c r="A5746" s="2">
        <f>IFERROR(__xludf.DUMMYFUNCTION("""COMPUTED_VALUE"""),127017.0)</f>
        <v>127017</v>
      </c>
      <c r="B5746" s="2">
        <f>IFERROR(__xludf.DUMMYFUNCTION("""COMPUTED_VALUE"""),1.0)</f>
        <v>1</v>
      </c>
      <c r="C5746" s="2">
        <f>IFERROR(__xludf.DUMMYFUNCTION("""COMPUTED_VALUE"""),830.0)</f>
        <v>830</v>
      </c>
      <c r="D5746" s="3">
        <f>IFERROR(__xludf.DUMMYFUNCTION("""COMPUTED_VALUE"""),388.0)</f>
        <v>388</v>
      </c>
      <c r="E5746" s="2"/>
      <c r="F5746" s="2"/>
    </row>
    <row r="5747">
      <c r="A5747" s="2">
        <f>IFERROR(__xludf.DUMMYFUNCTION("""COMPUTED_VALUE"""),92320.0)</f>
        <v>92320</v>
      </c>
      <c r="B5747" s="2">
        <f>IFERROR(__xludf.DUMMYFUNCTION("""COMPUTED_VALUE"""),0.0)</f>
        <v>0</v>
      </c>
      <c r="C5747" s="2">
        <f>IFERROR(__xludf.DUMMYFUNCTION("""COMPUTED_VALUE"""),661.0)</f>
        <v>661</v>
      </c>
      <c r="D5747" s="3">
        <f>IFERROR(__xludf.DUMMYFUNCTION("""COMPUTED_VALUE"""),406.0)</f>
        <v>406</v>
      </c>
      <c r="E5747" s="2"/>
      <c r="F5747" s="2"/>
    </row>
    <row r="5748">
      <c r="A5748" s="2">
        <f>IFERROR(__xludf.DUMMYFUNCTION("""COMPUTED_VALUE"""),109985.0)</f>
        <v>109985</v>
      </c>
      <c r="B5748" s="2">
        <f>IFERROR(__xludf.DUMMYFUNCTION("""COMPUTED_VALUE"""),0.0)</f>
        <v>0</v>
      </c>
      <c r="C5748" s="2">
        <f>IFERROR(__xludf.DUMMYFUNCTION("""COMPUTED_VALUE"""),20.0)</f>
        <v>20</v>
      </c>
      <c r="D5748" s="3">
        <f>IFERROR(__xludf.DUMMYFUNCTION("""COMPUTED_VALUE"""),3.0)</f>
        <v>3</v>
      </c>
      <c r="E5748" s="2"/>
      <c r="F5748" s="2"/>
    </row>
    <row r="5749">
      <c r="A5749" s="2">
        <f>IFERROR(__xludf.DUMMYFUNCTION("""COMPUTED_VALUE"""),110415.0)</f>
        <v>110415</v>
      </c>
      <c r="B5749" s="2">
        <f>IFERROR(__xludf.DUMMYFUNCTION("""COMPUTED_VALUE"""),1.0)</f>
        <v>1</v>
      </c>
      <c r="C5749" s="2">
        <f>IFERROR(__xludf.DUMMYFUNCTION("""COMPUTED_VALUE"""),353.0)</f>
        <v>353</v>
      </c>
      <c r="D5749" s="3">
        <f>IFERROR(__xludf.DUMMYFUNCTION("""COMPUTED_VALUE"""),83.0)</f>
        <v>83</v>
      </c>
      <c r="E5749" s="2"/>
      <c r="F5749" s="2"/>
    </row>
    <row r="5750">
      <c r="A5750" s="2">
        <f>IFERROR(__xludf.DUMMYFUNCTION("""COMPUTED_VALUE"""),101325.0)</f>
        <v>101325</v>
      </c>
      <c r="B5750" s="2">
        <f>IFERROR(__xludf.DUMMYFUNCTION("""COMPUTED_VALUE"""),0.0)</f>
        <v>0</v>
      </c>
      <c r="C5750" s="2">
        <f>IFERROR(__xludf.DUMMYFUNCTION("""COMPUTED_VALUE"""),643.0)</f>
        <v>643</v>
      </c>
      <c r="D5750" s="3">
        <f>IFERROR(__xludf.DUMMYFUNCTION("""COMPUTED_VALUE"""),400.0)</f>
        <v>400</v>
      </c>
      <c r="E5750" s="2"/>
      <c r="F5750" s="2"/>
    </row>
    <row r="5751">
      <c r="A5751" s="2">
        <f>IFERROR(__xludf.DUMMYFUNCTION("""COMPUTED_VALUE"""),133904.0)</f>
        <v>133904</v>
      </c>
      <c r="B5751" s="2">
        <f>IFERROR(__xludf.DUMMYFUNCTION("""COMPUTED_VALUE"""),1.0)</f>
        <v>1</v>
      </c>
      <c r="C5751" s="2">
        <f>IFERROR(__xludf.DUMMYFUNCTION("""COMPUTED_VALUE"""),103.0)</f>
        <v>103</v>
      </c>
      <c r="D5751" s="3">
        <f>IFERROR(__xludf.DUMMYFUNCTION("""COMPUTED_VALUE"""),15.0)</f>
        <v>15</v>
      </c>
      <c r="E5751" s="2"/>
      <c r="F5751" s="2"/>
    </row>
    <row r="5752">
      <c r="A5752" s="2">
        <f>IFERROR(__xludf.DUMMYFUNCTION("""COMPUTED_VALUE"""),91357.0)</f>
        <v>91357</v>
      </c>
      <c r="B5752" s="2">
        <f>IFERROR(__xludf.DUMMYFUNCTION("""COMPUTED_VALUE"""),0.0)</f>
        <v>0</v>
      </c>
      <c r="C5752" s="2">
        <f>IFERROR(__xludf.DUMMYFUNCTION("""COMPUTED_VALUE"""),653.0)</f>
        <v>653</v>
      </c>
      <c r="D5752" s="3">
        <f>IFERROR(__xludf.DUMMYFUNCTION("""COMPUTED_VALUE"""),633.0)</f>
        <v>633</v>
      </c>
      <c r="E5752" s="2"/>
      <c r="F5752" s="2"/>
    </row>
    <row r="5753">
      <c r="A5753" s="2">
        <f>IFERROR(__xludf.DUMMYFUNCTION("""COMPUTED_VALUE"""),92330.0)</f>
        <v>92330</v>
      </c>
      <c r="B5753" s="2">
        <f>IFERROR(__xludf.DUMMYFUNCTION("""COMPUTED_VALUE"""),0.0)</f>
        <v>0</v>
      </c>
      <c r="C5753" s="2">
        <f>IFERROR(__xludf.DUMMYFUNCTION("""COMPUTED_VALUE"""),232.0)</f>
        <v>232</v>
      </c>
      <c r="D5753" s="3">
        <f>IFERROR(__xludf.DUMMYFUNCTION("""COMPUTED_VALUE"""),134.0)</f>
        <v>134</v>
      </c>
      <c r="E5753" s="2"/>
      <c r="F5753" s="2"/>
    </row>
    <row r="5754">
      <c r="A5754" s="2">
        <f>IFERROR(__xludf.DUMMYFUNCTION("""COMPUTED_VALUE"""),128409.0)</f>
        <v>128409</v>
      </c>
      <c r="B5754" s="2">
        <f>IFERROR(__xludf.DUMMYFUNCTION("""COMPUTED_VALUE"""),1.0)</f>
        <v>1</v>
      </c>
      <c r="C5754" s="2">
        <f>IFERROR(__xludf.DUMMYFUNCTION("""COMPUTED_VALUE"""),282.0)</f>
        <v>282</v>
      </c>
      <c r="D5754" s="3">
        <f>IFERROR(__xludf.DUMMYFUNCTION("""COMPUTED_VALUE"""),143.0)</f>
        <v>143</v>
      </c>
      <c r="E5754" s="2"/>
      <c r="F5754" s="2"/>
    </row>
    <row r="5755">
      <c r="A5755" s="2">
        <f>IFERROR(__xludf.DUMMYFUNCTION("""COMPUTED_VALUE"""),124704.0)</f>
        <v>124704</v>
      </c>
      <c r="B5755" s="2">
        <f>IFERROR(__xludf.DUMMYFUNCTION("""COMPUTED_VALUE"""),1.0)</f>
        <v>1</v>
      </c>
      <c r="C5755" s="2">
        <f>IFERROR(__xludf.DUMMYFUNCTION("""COMPUTED_VALUE"""),487.0)</f>
        <v>487</v>
      </c>
      <c r="D5755" s="3">
        <f>IFERROR(__xludf.DUMMYFUNCTION("""COMPUTED_VALUE"""),76.0)</f>
        <v>76</v>
      </c>
      <c r="E5755" s="2"/>
      <c r="F5755" s="2"/>
    </row>
    <row r="5756">
      <c r="A5756" s="2">
        <f>IFERROR(__xludf.DUMMYFUNCTION("""COMPUTED_VALUE"""),122252.0)</f>
        <v>122252</v>
      </c>
      <c r="B5756" s="2">
        <f>IFERROR(__xludf.DUMMYFUNCTION("""COMPUTED_VALUE"""),1.0)</f>
        <v>1</v>
      </c>
      <c r="C5756" s="2">
        <f>IFERROR(__xludf.DUMMYFUNCTION("""COMPUTED_VALUE"""),723.0)</f>
        <v>723</v>
      </c>
      <c r="D5756" s="3">
        <f>IFERROR(__xludf.DUMMYFUNCTION("""COMPUTED_VALUE"""),456.0)</f>
        <v>456</v>
      </c>
      <c r="E5756" s="2"/>
      <c r="F5756" s="2"/>
    </row>
    <row r="5757">
      <c r="A5757" s="2">
        <f>IFERROR(__xludf.DUMMYFUNCTION("""COMPUTED_VALUE"""),85159.0)</f>
        <v>85159</v>
      </c>
      <c r="B5757" s="2">
        <f>IFERROR(__xludf.DUMMYFUNCTION("""COMPUTED_VALUE"""),1.0)</f>
        <v>1</v>
      </c>
      <c r="C5757" s="2">
        <f>IFERROR(__xludf.DUMMYFUNCTION("""COMPUTED_VALUE"""),86.0)</f>
        <v>86</v>
      </c>
      <c r="D5757" s="3">
        <f>IFERROR(__xludf.DUMMYFUNCTION("""COMPUTED_VALUE"""),74.0)</f>
        <v>74</v>
      </c>
      <c r="E5757" s="2"/>
      <c r="F5757" s="2"/>
    </row>
    <row r="5758">
      <c r="A5758" s="2">
        <f>IFERROR(__xludf.DUMMYFUNCTION("""COMPUTED_VALUE"""),103604.0)</f>
        <v>103604</v>
      </c>
      <c r="B5758" s="2">
        <f>IFERROR(__xludf.DUMMYFUNCTION("""COMPUTED_VALUE"""),0.0)</f>
        <v>0</v>
      </c>
      <c r="C5758" s="2">
        <f>IFERROR(__xludf.DUMMYFUNCTION("""COMPUTED_VALUE"""),173.0)</f>
        <v>173</v>
      </c>
      <c r="D5758" s="3">
        <f>IFERROR(__xludf.DUMMYFUNCTION("""COMPUTED_VALUE"""),67.0)</f>
        <v>67</v>
      </c>
      <c r="E5758" s="2"/>
      <c r="F5758" s="2"/>
    </row>
    <row r="5759">
      <c r="A5759" s="2">
        <f>IFERROR(__xludf.DUMMYFUNCTION("""COMPUTED_VALUE"""),27845.0)</f>
        <v>27845</v>
      </c>
      <c r="B5759" s="2">
        <f>IFERROR(__xludf.DUMMYFUNCTION("""COMPUTED_VALUE"""),1.0)</f>
        <v>1</v>
      </c>
      <c r="C5759" s="2">
        <f>IFERROR(__xludf.DUMMYFUNCTION("""COMPUTED_VALUE"""),593.0)</f>
        <v>593</v>
      </c>
      <c r="D5759" s="3">
        <f>IFERROR(__xludf.DUMMYFUNCTION("""COMPUTED_VALUE"""),527.0)</f>
        <v>527</v>
      </c>
      <c r="E5759" s="2"/>
      <c r="F5759" s="2"/>
    </row>
    <row r="5760">
      <c r="A5760" s="2">
        <f>IFERROR(__xludf.DUMMYFUNCTION("""COMPUTED_VALUE"""),11666.0)</f>
        <v>11666</v>
      </c>
      <c r="B5760" s="2">
        <f>IFERROR(__xludf.DUMMYFUNCTION("""COMPUTED_VALUE"""),1.0)</f>
        <v>1</v>
      </c>
      <c r="C5760" s="2">
        <f>IFERROR(__xludf.DUMMYFUNCTION("""COMPUTED_VALUE"""),934.0)</f>
        <v>934</v>
      </c>
      <c r="D5760" s="3">
        <f>IFERROR(__xludf.DUMMYFUNCTION("""COMPUTED_VALUE"""),878.0)</f>
        <v>878</v>
      </c>
      <c r="E5760" s="2"/>
      <c r="F5760" s="2"/>
    </row>
    <row r="5761">
      <c r="A5761" s="2">
        <f>IFERROR(__xludf.DUMMYFUNCTION("""COMPUTED_VALUE"""),127016.0)</f>
        <v>127016</v>
      </c>
      <c r="B5761" s="2">
        <f>IFERROR(__xludf.DUMMYFUNCTION("""COMPUTED_VALUE"""),0.0)</f>
        <v>0</v>
      </c>
      <c r="C5761" s="2">
        <f>IFERROR(__xludf.DUMMYFUNCTION("""COMPUTED_VALUE"""),186.0)</f>
        <v>186</v>
      </c>
      <c r="D5761" s="3">
        <f>IFERROR(__xludf.DUMMYFUNCTION("""COMPUTED_VALUE"""),132.0)</f>
        <v>132</v>
      </c>
      <c r="E5761" s="2"/>
      <c r="F5761" s="2"/>
    </row>
    <row r="5762">
      <c r="A5762" s="2">
        <f>IFERROR(__xludf.DUMMYFUNCTION("""COMPUTED_VALUE"""),2046.0)</f>
        <v>2046</v>
      </c>
      <c r="B5762" s="2">
        <f>IFERROR(__xludf.DUMMYFUNCTION("""COMPUTED_VALUE"""),0.0)</f>
        <v>0</v>
      </c>
      <c r="C5762" s="2">
        <f>IFERROR(__xludf.DUMMYFUNCTION("""COMPUTED_VALUE"""),737.0)</f>
        <v>737</v>
      </c>
      <c r="D5762" s="3">
        <f>IFERROR(__xludf.DUMMYFUNCTION("""COMPUTED_VALUE"""),736.0)</f>
        <v>736</v>
      </c>
      <c r="E5762" s="2"/>
      <c r="F5762" s="2"/>
    </row>
    <row r="5763">
      <c r="A5763" s="2">
        <f>IFERROR(__xludf.DUMMYFUNCTION("""COMPUTED_VALUE"""),66998.0)</f>
        <v>66998</v>
      </c>
      <c r="B5763" s="2">
        <f>IFERROR(__xludf.DUMMYFUNCTION("""COMPUTED_VALUE"""),1.0)</f>
        <v>1</v>
      </c>
      <c r="C5763" s="2">
        <f>IFERROR(__xludf.DUMMYFUNCTION("""COMPUTED_VALUE"""),-1.0)</f>
        <v>-1</v>
      </c>
      <c r="D5763" s="3">
        <f>IFERROR(__xludf.DUMMYFUNCTION("""COMPUTED_VALUE"""),0.0)</f>
        <v>0</v>
      </c>
      <c r="E5763" s="2"/>
      <c r="F5763" s="2"/>
    </row>
    <row r="5764">
      <c r="A5764" s="2">
        <f>IFERROR(__xludf.DUMMYFUNCTION("""COMPUTED_VALUE"""),103626.0)</f>
        <v>103626</v>
      </c>
      <c r="B5764" s="2">
        <f>IFERROR(__xludf.DUMMYFUNCTION("""COMPUTED_VALUE"""),0.0)</f>
        <v>0</v>
      </c>
      <c r="C5764" s="2">
        <f>IFERROR(__xludf.DUMMYFUNCTION("""COMPUTED_VALUE"""),150.0)</f>
        <v>150</v>
      </c>
      <c r="D5764" s="3">
        <f>IFERROR(__xludf.DUMMYFUNCTION("""COMPUTED_VALUE"""),145.0)</f>
        <v>145</v>
      </c>
      <c r="E5764" s="2"/>
      <c r="F5764" s="2"/>
    </row>
    <row r="5765">
      <c r="A5765" s="2">
        <f>IFERROR(__xludf.DUMMYFUNCTION("""COMPUTED_VALUE"""),103603.0)</f>
        <v>103603</v>
      </c>
      <c r="B5765" s="2">
        <f>IFERROR(__xludf.DUMMYFUNCTION("""COMPUTED_VALUE"""),1.0)</f>
        <v>1</v>
      </c>
      <c r="C5765" s="2">
        <f>IFERROR(__xludf.DUMMYFUNCTION("""COMPUTED_VALUE"""),633.0)</f>
        <v>633</v>
      </c>
      <c r="D5765" s="3">
        <f>IFERROR(__xludf.DUMMYFUNCTION("""COMPUTED_VALUE"""),343.0)</f>
        <v>343</v>
      </c>
      <c r="E5765" s="2"/>
      <c r="F5765" s="2"/>
    </row>
    <row r="5766">
      <c r="A5766" s="2">
        <f>IFERROR(__xludf.DUMMYFUNCTION("""COMPUTED_VALUE"""),85156.0)</f>
        <v>85156</v>
      </c>
      <c r="B5766" s="2">
        <f>IFERROR(__xludf.DUMMYFUNCTION("""COMPUTED_VALUE"""),0.0)</f>
        <v>0</v>
      </c>
      <c r="C5766" s="2">
        <f>IFERROR(__xludf.DUMMYFUNCTION("""COMPUTED_VALUE"""),45.0)</f>
        <v>45</v>
      </c>
      <c r="D5766" s="3">
        <f>IFERROR(__xludf.DUMMYFUNCTION("""COMPUTED_VALUE"""),14.0)</f>
        <v>14</v>
      </c>
      <c r="E5766" s="2"/>
      <c r="F5766" s="2"/>
    </row>
    <row r="5767">
      <c r="A5767" s="2">
        <f>IFERROR(__xludf.DUMMYFUNCTION("""COMPUTED_VALUE"""),8118.0)</f>
        <v>8118</v>
      </c>
      <c r="B5767" s="2">
        <f>IFERROR(__xludf.DUMMYFUNCTION("""COMPUTED_VALUE"""),1.0)</f>
        <v>1</v>
      </c>
      <c r="C5767" s="2">
        <f>IFERROR(__xludf.DUMMYFUNCTION("""COMPUTED_VALUE"""),783.0)</f>
        <v>783</v>
      </c>
      <c r="D5767" s="3">
        <f>IFERROR(__xludf.DUMMYFUNCTION("""COMPUTED_VALUE"""),438.0)</f>
        <v>438</v>
      </c>
      <c r="E5767" s="2"/>
      <c r="F5767" s="2"/>
    </row>
    <row r="5768">
      <c r="A5768" s="2">
        <f>IFERROR(__xludf.DUMMYFUNCTION("""COMPUTED_VALUE"""),109984.0)</f>
        <v>109984</v>
      </c>
      <c r="B5768" s="2">
        <f>IFERROR(__xludf.DUMMYFUNCTION("""COMPUTED_VALUE"""),0.0)</f>
        <v>0</v>
      </c>
      <c r="C5768" s="2">
        <f>IFERROR(__xludf.DUMMYFUNCTION("""COMPUTED_VALUE"""),817.0)</f>
        <v>817</v>
      </c>
      <c r="D5768" s="3">
        <f>IFERROR(__xludf.DUMMYFUNCTION("""COMPUTED_VALUE"""),784.0)</f>
        <v>784</v>
      </c>
      <c r="E5768" s="2"/>
      <c r="F5768" s="2"/>
    </row>
    <row r="5769">
      <c r="A5769" s="2">
        <f>IFERROR(__xludf.DUMMYFUNCTION("""COMPUTED_VALUE"""),92134.0)</f>
        <v>92134</v>
      </c>
      <c r="B5769" s="2">
        <f>IFERROR(__xludf.DUMMYFUNCTION("""COMPUTED_VALUE"""),0.0)</f>
        <v>0</v>
      </c>
      <c r="C5769" s="2">
        <f>IFERROR(__xludf.DUMMYFUNCTION("""COMPUTED_VALUE"""),687.0)</f>
        <v>687</v>
      </c>
      <c r="D5769" s="3">
        <f>IFERROR(__xludf.DUMMYFUNCTION("""COMPUTED_VALUE"""),649.0)</f>
        <v>649</v>
      </c>
      <c r="E5769" s="2"/>
      <c r="F5769" s="2"/>
    </row>
    <row r="5770">
      <c r="A5770" s="2">
        <f>IFERROR(__xludf.DUMMYFUNCTION("""COMPUTED_VALUE"""),129420.0)</f>
        <v>129420</v>
      </c>
      <c r="B5770" s="2">
        <f>IFERROR(__xludf.DUMMYFUNCTION("""COMPUTED_VALUE"""),0.0)</f>
        <v>0</v>
      </c>
      <c r="C5770" s="2">
        <f>IFERROR(__xludf.DUMMYFUNCTION("""COMPUTED_VALUE"""),218.0)</f>
        <v>218</v>
      </c>
      <c r="D5770" s="3">
        <f>IFERROR(__xludf.DUMMYFUNCTION("""COMPUTED_VALUE"""),62.0)</f>
        <v>62</v>
      </c>
      <c r="E5770" s="2"/>
      <c r="F5770" s="2"/>
    </row>
    <row r="5771">
      <c r="A5771" s="2">
        <f>IFERROR(__xludf.DUMMYFUNCTION("""COMPUTED_VALUE"""),111010.0)</f>
        <v>111010</v>
      </c>
      <c r="B5771" s="2">
        <f>IFERROR(__xludf.DUMMYFUNCTION("""COMPUTED_VALUE"""),1.0)</f>
        <v>1</v>
      </c>
      <c r="C5771" s="2">
        <f>IFERROR(__xludf.DUMMYFUNCTION("""COMPUTED_VALUE"""),833.0)</f>
        <v>833</v>
      </c>
      <c r="D5771" s="3">
        <f>IFERROR(__xludf.DUMMYFUNCTION("""COMPUTED_VALUE"""),733.0)</f>
        <v>733</v>
      </c>
      <c r="E5771" s="2"/>
      <c r="F5771" s="2"/>
    </row>
    <row r="5772">
      <c r="A5772" s="2">
        <f>IFERROR(__xludf.DUMMYFUNCTION("""COMPUTED_VALUE"""),46771.0)</f>
        <v>46771</v>
      </c>
      <c r="B5772" s="2">
        <f>IFERROR(__xludf.DUMMYFUNCTION("""COMPUTED_VALUE"""),0.0)</f>
        <v>0</v>
      </c>
      <c r="C5772" s="2">
        <f>IFERROR(__xludf.DUMMYFUNCTION("""COMPUTED_VALUE"""),301.0)</f>
        <v>301</v>
      </c>
      <c r="D5772" s="3">
        <f>IFERROR(__xludf.DUMMYFUNCTION("""COMPUTED_VALUE"""),193.0)</f>
        <v>193</v>
      </c>
      <c r="E5772" s="2"/>
      <c r="F5772" s="2"/>
    </row>
    <row r="5773">
      <c r="A5773" s="2">
        <f>IFERROR(__xludf.DUMMYFUNCTION("""COMPUTED_VALUE"""),88396.0)</f>
        <v>88396</v>
      </c>
      <c r="B5773" s="2">
        <f>IFERROR(__xludf.DUMMYFUNCTION("""COMPUTED_VALUE"""),1.0)</f>
        <v>1</v>
      </c>
      <c r="C5773" s="2">
        <f>IFERROR(__xludf.DUMMYFUNCTION("""COMPUTED_VALUE"""),62.0)</f>
        <v>62</v>
      </c>
      <c r="D5773" s="3">
        <f>IFERROR(__xludf.DUMMYFUNCTION("""COMPUTED_VALUE"""),27.0)</f>
        <v>27</v>
      </c>
      <c r="E5773" s="2"/>
      <c r="F5773" s="2"/>
    </row>
    <row r="5774">
      <c r="A5774" s="2">
        <f>IFERROR(__xludf.DUMMYFUNCTION("""COMPUTED_VALUE"""),88188.0)</f>
        <v>88188</v>
      </c>
      <c r="B5774" s="2">
        <f>IFERROR(__xludf.DUMMYFUNCTION("""COMPUTED_VALUE"""),1.0)</f>
        <v>1</v>
      </c>
      <c r="C5774" s="2">
        <f>IFERROR(__xludf.DUMMYFUNCTION("""COMPUTED_VALUE"""),969.0)</f>
        <v>969</v>
      </c>
      <c r="D5774" s="3">
        <f>IFERROR(__xludf.DUMMYFUNCTION("""COMPUTED_VALUE"""),429.0)</f>
        <v>429</v>
      </c>
      <c r="E5774" s="2"/>
      <c r="F5774" s="2"/>
    </row>
    <row r="5775">
      <c r="A5775" s="2">
        <f>IFERROR(__xludf.DUMMYFUNCTION("""COMPUTED_VALUE"""),129373.0)</f>
        <v>129373</v>
      </c>
      <c r="B5775" s="2">
        <f>IFERROR(__xludf.DUMMYFUNCTION("""COMPUTED_VALUE"""),1.0)</f>
        <v>1</v>
      </c>
      <c r="C5775" s="2">
        <f>IFERROR(__xludf.DUMMYFUNCTION("""COMPUTED_VALUE"""),876.0)</f>
        <v>876</v>
      </c>
      <c r="D5775" s="3">
        <f>IFERROR(__xludf.DUMMYFUNCTION("""COMPUTED_VALUE"""),263.0)</f>
        <v>263</v>
      </c>
      <c r="E5775" s="2"/>
      <c r="F5775" s="2"/>
    </row>
    <row r="5776">
      <c r="A5776" s="2">
        <f>IFERROR(__xludf.DUMMYFUNCTION("""COMPUTED_VALUE"""),103625.0)</f>
        <v>103625</v>
      </c>
      <c r="B5776" s="2">
        <f>IFERROR(__xludf.DUMMYFUNCTION("""COMPUTED_VALUE"""),0.0)</f>
        <v>0</v>
      </c>
      <c r="C5776" s="2">
        <f>IFERROR(__xludf.DUMMYFUNCTION("""COMPUTED_VALUE"""),648.0)</f>
        <v>648</v>
      </c>
      <c r="D5776" s="3">
        <f>IFERROR(__xludf.DUMMYFUNCTION("""COMPUTED_VALUE"""),232.0)</f>
        <v>232</v>
      </c>
      <c r="E5776" s="2"/>
      <c r="F5776" s="2"/>
    </row>
    <row r="5777">
      <c r="A5777" s="2">
        <f>IFERROR(__xludf.DUMMYFUNCTION("""COMPUTED_VALUE"""),109332.0)</f>
        <v>109332</v>
      </c>
      <c r="B5777" s="2">
        <f>IFERROR(__xludf.DUMMYFUNCTION("""COMPUTED_VALUE"""),0.0)</f>
        <v>0</v>
      </c>
      <c r="C5777" s="2">
        <f>IFERROR(__xludf.DUMMYFUNCTION("""COMPUTED_VALUE"""),747.0)</f>
        <v>747</v>
      </c>
      <c r="D5777" s="3">
        <f>IFERROR(__xludf.DUMMYFUNCTION("""COMPUTED_VALUE"""),262.0)</f>
        <v>262</v>
      </c>
      <c r="E5777" s="2"/>
      <c r="F5777" s="2"/>
    </row>
    <row r="5778">
      <c r="A5778" s="2">
        <f>IFERROR(__xludf.DUMMYFUNCTION("""COMPUTED_VALUE"""),92327.0)</f>
        <v>92327</v>
      </c>
      <c r="B5778" s="2">
        <f>IFERROR(__xludf.DUMMYFUNCTION("""COMPUTED_VALUE"""),1.0)</f>
        <v>1</v>
      </c>
      <c r="C5778" s="2">
        <f>IFERROR(__xludf.DUMMYFUNCTION("""COMPUTED_VALUE"""),969.0)</f>
        <v>969</v>
      </c>
      <c r="D5778" s="3">
        <f>IFERROR(__xludf.DUMMYFUNCTION("""COMPUTED_VALUE"""),441.0)</f>
        <v>441</v>
      </c>
      <c r="E5778" s="2"/>
      <c r="F5778" s="2"/>
    </row>
    <row r="5779">
      <c r="A5779" s="2">
        <f>IFERROR(__xludf.DUMMYFUNCTION("""COMPUTED_VALUE"""),80699.0)</f>
        <v>80699</v>
      </c>
      <c r="B5779" s="2">
        <f>IFERROR(__xludf.DUMMYFUNCTION("""COMPUTED_VALUE"""),1.0)</f>
        <v>1</v>
      </c>
      <c r="C5779" s="2">
        <f>IFERROR(__xludf.DUMMYFUNCTION("""COMPUTED_VALUE"""),498.0)</f>
        <v>498</v>
      </c>
      <c r="D5779" s="3">
        <f>IFERROR(__xludf.DUMMYFUNCTION("""COMPUTED_VALUE"""),223.0)</f>
        <v>223</v>
      </c>
      <c r="E5779" s="2"/>
      <c r="F5779" s="2"/>
    </row>
    <row r="5780">
      <c r="A5780" s="2">
        <f>IFERROR(__xludf.DUMMYFUNCTION("""COMPUTED_VALUE"""),101043.0)</f>
        <v>101043</v>
      </c>
      <c r="B5780" s="2">
        <f>IFERROR(__xludf.DUMMYFUNCTION("""COMPUTED_VALUE"""),1.0)</f>
        <v>1</v>
      </c>
      <c r="C5780" s="2">
        <f>IFERROR(__xludf.DUMMYFUNCTION("""COMPUTED_VALUE"""),855.0)</f>
        <v>855</v>
      </c>
      <c r="D5780" s="3">
        <f>IFERROR(__xludf.DUMMYFUNCTION("""COMPUTED_VALUE"""),584.0)</f>
        <v>584</v>
      </c>
      <c r="E5780" s="2"/>
      <c r="F5780" s="2"/>
    </row>
    <row r="5781">
      <c r="A5781" s="2">
        <f>IFERROR(__xludf.DUMMYFUNCTION("""COMPUTED_VALUE"""),46760.0)</f>
        <v>46760</v>
      </c>
      <c r="B5781" s="2">
        <f>IFERROR(__xludf.DUMMYFUNCTION("""COMPUTED_VALUE"""),1.0)</f>
        <v>1</v>
      </c>
      <c r="C5781" s="2">
        <f>IFERROR(__xludf.DUMMYFUNCTION("""COMPUTED_VALUE"""),389.0)</f>
        <v>389</v>
      </c>
      <c r="D5781" s="3">
        <f>IFERROR(__xludf.DUMMYFUNCTION("""COMPUTED_VALUE"""),77.0)</f>
        <v>77</v>
      </c>
      <c r="E5781" s="2"/>
      <c r="F5781" s="2"/>
    </row>
    <row r="5782">
      <c r="A5782" s="2">
        <f>IFERROR(__xludf.DUMMYFUNCTION("""COMPUTED_VALUE"""),109966.0)</f>
        <v>109966</v>
      </c>
      <c r="B5782" s="2">
        <f>IFERROR(__xludf.DUMMYFUNCTION("""COMPUTED_VALUE"""),1.0)</f>
        <v>1</v>
      </c>
      <c r="C5782" s="2">
        <f>IFERROR(__xludf.DUMMYFUNCTION("""COMPUTED_VALUE"""),130.0)</f>
        <v>130</v>
      </c>
      <c r="D5782" s="3">
        <f>IFERROR(__xludf.DUMMYFUNCTION("""COMPUTED_VALUE"""),127.0)</f>
        <v>127</v>
      </c>
      <c r="E5782" s="2"/>
      <c r="F5782" s="2"/>
    </row>
    <row r="5783">
      <c r="A5783" s="2">
        <f>IFERROR(__xludf.DUMMYFUNCTION("""COMPUTED_VALUE"""),128408.0)</f>
        <v>128408</v>
      </c>
      <c r="B5783" s="2">
        <f>IFERROR(__xludf.DUMMYFUNCTION("""COMPUTED_VALUE"""),0.0)</f>
        <v>0</v>
      </c>
      <c r="C5783" s="2">
        <f>IFERROR(__xludf.DUMMYFUNCTION("""COMPUTED_VALUE"""),301.0)</f>
        <v>301</v>
      </c>
      <c r="D5783" s="3">
        <f>IFERROR(__xludf.DUMMYFUNCTION("""COMPUTED_VALUE"""),289.0)</f>
        <v>289</v>
      </c>
      <c r="E5783" s="2"/>
      <c r="F5783" s="2"/>
    </row>
    <row r="5784">
      <c r="A5784" s="2">
        <f>IFERROR(__xludf.DUMMYFUNCTION("""COMPUTED_VALUE"""),81128.0)</f>
        <v>81128</v>
      </c>
      <c r="B5784" s="2">
        <f>IFERROR(__xludf.DUMMYFUNCTION("""COMPUTED_VALUE"""),0.0)</f>
        <v>0</v>
      </c>
      <c r="C5784" s="2">
        <f>IFERROR(__xludf.DUMMYFUNCTION("""COMPUTED_VALUE"""),489.0)</f>
        <v>489</v>
      </c>
      <c r="D5784" s="3">
        <f>IFERROR(__xludf.DUMMYFUNCTION("""COMPUTED_VALUE"""),145.0)</f>
        <v>145</v>
      </c>
      <c r="E5784" s="2"/>
      <c r="F5784" s="2"/>
    </row>
    <row r="5785">
      <c r="A5785" s="2">
        <f>IFERROR(__xludf.DUMMYFUNCTION("""COMPUTED_VALUE"""),45571.0)</f>
        <v>45571</v>
      </c>
      <c r="B5785" s="2">
        <f>IFERROR(__xludf.DUMMYFUNCTION("""COMPUTED_VALUE"""),0.0)</f>
        <v>0</v>
      </c>
      <c r="C5785" s="2">
        <f>IFERROR(__xludf.DUMMYFUNCTION("""COMPUTED_VALUE"""),976.0)</f>
        <v>976</v>
      </c>
      <c r="D5785" s="3">
        <f>IFERROR(__xludf.DUMMYFUNCTION("""COMPUTED_VALUE"""),187.0)</f>
        <v>187</v>
      </c>
      <c r="E5785" s="2"/>
      <c r="F5785" s="2"/>
    </row>
    <row r="5786">
      <c r="A5786" s="2">
        <f>IFERROR(__xludf.DUMMYFUNCTION("""COMPUTED_VALUE"""),44612.0)</f>
        <v>44612</v>
      </c>
      <c r="B5786" s="2">
        <f>IFERROR(__xludf.DUMMYFUNCTION("""COMPUTED_VALUE"""),0.0)</f>
        <v>0</v>
      </c>
      <c r="C5786" s="2">
        <f>IFERROR(__xludf.DUMMYFUNCTION("""COMPUTED_VALUE"""),889.0)</f>
        <v>889</v>
      </c>
      <c r="D5786" s="3">
        <f>IFERROR(__xludf.DUMMYFUNCTION("""COMPUTED_VALUE"""),555.0)</f>
        <v>555</v>
      </c>
      <c r="E5786" s="2"/>
      <c r="F5786" s="2"/>
    </row>
    <row r="5787">
      <c r="A5787" s="2">
        <f>IFERROR(__xludf.DUMMYFUNCTION("""COMPUTED_VALUE"""),124684.0)</f>
        <v>124684</v>
      </c>
      <c r="B5787" s="2">
        <f>IFERROR(__xludf.DUMMYFUNCTION("""COMPUTED_VALUE"""),0.0)</f>
        <v>0</v>
      </c>
      <c r="C5787" s="2">
        <f>IFERROR(__xludf.DUMMYFUNCTION("""COMPUTED_VALUE"""),678.0)</f>
        <v>678</v>
      </c>
      <c r="D5787" s="3">
        <f>IFERROR(__xludf.DUMMYFUNCTION("""COMPUTED_VALUE"""),307.0)</f>
        <v>307</v>
      </c>
      <c r="E5787" s="2"/>
      <c r="F5787" s="2"/>
    </row>
    <row r="5788">
      <c r="A5788" s="2">
        <f>IFERROR(__xludf.DUMMYFUNCTION("""COMPUTED_VALUE"""),112365.0)</f>
        <v>112365</v>
      </c>
      <c r="B5788" s="2">
        <f>IFERROR(__xludf.DUMMYFUNCTION("""COMPUTED_VALUE"""),0.0)</f>
        <v>0</v>
      </c>
      <c r="C5788" s="2">
        <f>IFERROR(__xludf.DUMMYFUNCTION("""COMPUTED_VALUE"""),251.0)</f>
        <v>251</v>
      </c>
      <c r="D5788" s="3">
        <f>IFERROR(__xludf.DUMMYFUNCTION("""COMPUTED_VALUE"""),70.0)</f>
        <v>70</v>
      </c>
      <c r="E5788" s="2"/>
      <c r="F5788" s="2"/>
    </row>
    <row r="5789">
      <c r="A5789" s="2">
        <f>IFERROR(__xludf.DUMMYFUNCTION("""COMPUTED_VALUE"""),41038.0)</f>
        <v>41038</v>
      </c>
      <c r="B5789" s="2">
        <f>IFERROR(__xludf.DUMMYFUNCTION("""COMPUTED_VALUE"""),1.0)</f>
        <v>1</v>
      </c>
      <c r="C5789" s="2">
        <f>IFERROR(__xludf.DUMMYFUNCTION("""COMPUTED_VALUE"""),888.0)</f>
        <v>888</v>
      </c>
      <c r="D5789" s="3">
        <f>IFERROR(__xludf.DUMMYFUNCTION("""COMPUTED_VALUE"""),371.0)</f>
        <v>371</v>
      </c>
      <c r="E5789" s="2"/>
      <c r="F5789" s="2"/>
    </row>
    <row r="5790">
      <c r="A5790" s="2">
        <f>IFERROR(__xludf.DUMMYFUNCTION("""COMPUTED_VALUE"""),87761.0)</f>
        <v>87761</v>
      </c>
      <c r="B5790" s="2">
        <f>IFERROR(__xludf.DUMMYFUNCTION("""COMPUTED_VALUE"""),0.0)</f>
        <v>0</v>
      </c>
      <c r="C5790" s="2">
        <f>IFERROR(__xludf.DUMMYFUNCTION("""COMPUTED_VALUE"""),91.0)</f>
        <v>91</v>
      </c>
      <c r="D5790" s="3">
        <f>IFERROR(__xludf.DUMMYFUNCTION("""COMPUTED_VALUE"""),35.0)</f>
        <v>35</v>
      </c>
      <c r="E5790" s="2"/>
      <c r="F5790" s="2"/>
    </row>
    <row r="5791">
      <c r="A5791" s="2">
        <f>IFERROR(__xludf.DUMMYFUNCTION("""COMPUTED_VALUE"""),106590.0)</f>
        <v>106590</v>
      </c>
      <c r="B5791" s="2">
        <f>IFERROR(__xludf.DUMMYFUNCTION("""COMPUTED_VALUE"""),1.0)</f>
        <v>1</v>
      </c>
      <c r="C5791" s="2">
        <f>IFERROR(__xludf.DUMMYFUNCTION("""COMPUTED_VALUE"""),529.0)</f>
        <v>529</v>
      </c>
      <c r="D5791" s="3">
        <f>IFERROR(__xludf.DUMMYFUNCTION("""COMPUTED_VALUE"""),53.0)</f>
        <v>53</v>
      </c>
      <c r="E5791" s="2"/>
      <c r="F5791" s="2"/>
    </row>
    <row r="5792">
      <c r="A5792" s="2">
        <f>IFERROR(__xludf.DUMMYFUNCTION("""COMPUTED_VALUE"""),85734.0)</f>
        <v>85734</v>
      </c>
      <c r="B5792" s="2">
        <f>IFERROR(__xludf.DUMMYFUNCTION("""COMPUTED_VALUE"""),1.0)</f>
        <v>1</v>
      </c>
      <c r="C5792" s="2">
        <f>IFERROR(__xludf.DUMMYFUNCTION("""COMPUTED_VALUE"""),886.0)</f>
        <v>886</v>
      </c>
      <c r="D5792" s="3">
        <f>IFERROR(__xludf.DUMMYFUNCTION("""COMPUTED_VALUE"""),513.0)</f>
        <v>513</v>
      </c>
      <c r="E5792" s="2"/>
      <c r="F5792" s="2"/>
    </row>
    <row r="5793">
      <c r="A5793" s="2">
        <f>IFERROR(__xludf.DUMMYFUNCTION("""COMPUTED_VALUE"""),122511.0)</f>
        <v>122511</v>
      </c>
      <c r="B5793" s="2">
        <f>IFERROR(__xludf.DUMMYFUNCTION("""COMPUTED_VALUE"""),1.0)</f>
        <v>1</v>
      </c>
      <c r="C5793" s="2">
        <f>IFERROR(__xludf.DUMMYFUNCTION("""COMPUTED_VALUE"""),230.0)</f>
        <v>230</v>
      </c>
      <c r="D5793" s="3">
        <f>IFERROR(__xludf.DUMMYFUNCTION("""COMPUTED_VALUE"""),67.0)</f>
        <v>67</v>
      </c>
      <c r="E5793" s="2"/>
      <c r="F5793" s="2"/>
    </row>
    <row r="5794">
      <c r="A5794" s="2">
        <f>IFERROR(__xludf.DUMMYFUNCTION("""COMPUTED_VALUE"""),2335.0)</f>
        <v>2335</v>
      </c>
      <c r="B5794" s="2">
        <f>IFERROR(__xludf.DUMMYFUNCTION("""COMPUTED_VALUE"""),0.0)</f>
        <v>0</v>
      </c>
      <c r="C5794" s="2">
        <f>IFERROR(__xludf.DUMMYFUNCTION("""COMPUTED_VALUE"""),862.0)</f>
        <v>862</v>
      </c>
      <c r="D5794" s="3">
        <f>IFERROR(__xludf.DUMMYFUNCTION("""COMPUTED_VALUE"""),542.0)</f>
        <v>542</v>
      </c>
      <c r="E5794" s="2"/>
      <c r="F5794" s="2"/>
    </row>
    <row r="5795">
      <c r="A5795" s="2">
        <f>IFERROR(__xludf.DUMMYFUNCTION("""COMPUTED_VALUE"""),2339.0)</f>
        <v>2339</v>
      </c>
      <c r="B5795" s="2">
        <f>IFERROR(__xludf.DUMMYFUNCTION("""COMPUTED_VALUE"""),0.0)</f>
        <v>0</v>
      </c>
      <c r="C5795" s="2">
        <f>IFERROR(__xludf.DUMMYFUNCTION("""COMPUTED_VALUE"""),685.0)</f>
        <v>685</v>
      </c>
      <c r="D5795" s="3">
        <f>IFERROR(__xludf.DUMMYFUNCTION("""COMPUTED_VALUE"""),146.0)</f>
        <v>146</v>
      </c>
      <c r="E5795" s="2"/>
      <c r="F5795" s="2"/>
    </row>
    <row r="5796">
      <c r="A5796" s="2">
        <f>IFERROR(__xludf.DUMMYFUNCTION("""COMPUTED_VALUE"""),108468.0)</f>
        <v>108468</v>
      </c>
      <c r="B5796" s="2">
        <f>IFERROR(__xludf.DUMMYFUNCTION("""COMPUTED_VALUE"""),1.0)</f>
        <v>1</v>
      </c>
      <c r="C5796" s="2">
        <f>IFERROR(__xludf.DUMMYFUNCTION("""COMPUTED_VALUE"""),36.0)</f>
        <v>36</v>
      </c>
      <c r="D5796" s="3">
        <f>IFERROR(__xludf.DUMMYFUNCTION("""COMPUTED_VALUE"""),3.0)</f>
        <v>3</v>
      </c>
      <c r="E5796" s="2"/>
      <c r="F5796" s="2"/>
    </row>
    <row r="5797">
      <c r="A5797" s="2">
        <f>IFERROR(__xludf.DUMMYFUNCTION("""COMPUTED_VALUE"""),3439.0)</f>
        <v>3439</v>
      </c>
      <c r="B5797" s="2">
        <f>IFERROR(__xludf.DUMMYFUNCTION("""COMPUTED_VALUE"""),1.0)</f>
        <v>1</v>
      </c>
      <c r="C5797" s="2">
        <f>IFERROR(__xludf.DUMMYFUNCTION("""COMPUTED_VALUE"""),336.0)</f>
        <v>336</v>
      </c>
      <c r="D5797" s="3">
        <f>IFERROR(__xludf.DUMMYFUNCTION("""COMPUTED_VALUE"""),57.0)</f>
        <v>57</v>
      </c>
      <c r="E5797" s="2"/>
      <c r="F5797" s="2"/>
    </row>
    <row r="5798">
      <c r="A5798" s="2">
        <f>IFERROR(__xludf.DUMMYFUNCTION("""COMPUTED_VALUE"""),2044.0)</f>
        <v>2044</v>
      </c>
      <c r="B5798" s="2">
        <f>IFERROR(__xludf.DUMMYFUNCTION("""COMPUTED_VALUE"""),0.0)</f>
        <v>0</v>
      </c>
      <c r="C5798" s="2">
        <f>IFERROR(__xludf.DUMMYFUNCTION("""COMPUTED_VALUE"""),32.0)</f>
        <v>32</v>
      </c>
      <c r="D5798" s="3">
        <f>IFERROR(__xludf.DUMMYFUNCTION("""COMPUTED_VALUE"""),24.0)</f>
        <v>24</v>
      </c>
      <c r="E5798" s="2"/>
      <c r="F5798" s="2"/>
    </row>
    <row r="5799">
      <c r="A5799" s="2">
        <f>IFERROR(__xludf.DUMMYFUNCTION("""COMPUTED_VALUE"""),188354.0)</f>
        <v>188354</v>
      </c>
      <c r="B5799" s="2">
        <f>IFERROR(__xludf.DUMMYFUNCTION("""COMPUTED_VALUE"""),0.0)</f>
        <v>0</v>
      </c>
      <c r="C5799" s="2">
        <f>IFERROR(__xludf.DUMMYFUNCTION("""COMPUTED_VALUE"""),664.0)</f>
        <v>664</v>
      </c>
      <c r="D5799" s="3">
        <f>IFERROR(__xludf.DUMMYFUNCTION("""COMPUTED_VALUE"""),242.0)</f>
        <v>242</v>
      </c>
      <c r="E5799" s="2"/>
      <c r="F5799" s="2"/>
    </row>
    <row r="5800">
      <c r="A5800" s="2">
        <f>IFERROR(__xludf.DUMMYFUNCTION("""COMPUTED_VALUE"""),27848.0)</f>
        <v>27848</v>
      </c>
      <c r="B5800" s="2">
        <f>IFERROR(__xludf.DUMMYFUNCTION("""COMPUTED_VALUE"""),1.0)</f>
        <v>1</v>
      </c>
      <c r="C5800" s="2">
        <f>IFERROR(__xludf.DUMMYFUNCTION("""COMPUTED_VALUE"""),896.0)</f>
        <v>896</v>
      </c>
      <c r="D5800" s="3">
        <f>IFERROR(__xludf.DUMMYFUNCTION("""COMPUTED_VALUE"""),490.0)</f>
        <v>490</v>
      </c>
      <c r="E5800" s="2"/>
      <c r="F5800" s="2"/>
    </row>
    <row r="5801">
      <c r="A5801" s="2">
        <f>IFERROR(__xludf.DUMMYFUNCTION("""COMPUTED_VALUE"""),45642.0)</f>
        <v>45642</v>
      </c>
      <c r="B5801" s="2">
        <f>IFERROR(__xludf.DUMMYFUNCTION("""COMPUTED_VALUE"""),0.0)</f>
        <v>0</v>
      </c>
      <c r="C5801" s="2">
        <f>IFERROR(__xludf.DUMMYFUNCTION("""COMPUTED_VALUE"""),364.0)</f>
        <v>364</v>
      </c>
      <c r="D5801" s="3">
        <f>IFERROR(__xludf.DUMMYFUNCTION("""COMPUTED_VALUE"""),135.0)</f>
        <v>135</v>
      </c>
      <c r="E5801" s="2"/>
      <c r="F5801" s="2"/>
    </row>
    <row r="5802">
      <c r="A5802" s="2">
        <f>IFERROR(__xludf.DUMMYFUNCTION("""COMPUTED_VALUE"""),79815.0)</f>
        <v>79815</v>
      </c>
      <c r="B5802" s="2">
        <f>IFERROR(__xludf.DUMMYFUNCTION("""COMPUTED_VALUE"""),0.0)</f>
        <v>0</v>
      </c>
      <c r="C5802" s="2">
        <f>IFERROR(__xludf.DUMMYFUNCTION("""COMPUTED_VALUE"""),82.0)</f>
        <v>82</v>
      </c>
      <c r="D5802" s="3">
        <f>IFERROR(__xludf.DUMMYFUNCTION("""COMPUTED_VALUE"""),38.0)</f>
        <v>38</v>
      </c>
      <c r="E5802" s="2"/>
      <c r="F5802" s="2"/>
    </row>
    <row r="5803">
      <c r="A5803" s="2">
        <f>IFERROR(__xludf.DUMMYFUNCTION("""COMPUTED_VALUE"""),87643.0)</f>
        <v>87643</v>
      </c>
      <c r="B5803" s="2">
        <f>IFERROR(__xludf.DUMMYFUNCTION("""COMPUTED_VALUE"""),1.0)</f>
        <v>1</v>
      </c>
      <c r="C5803" s="2">
        <f>IFERROR(__xludf.DUMMYFUNCTION("""COMPUTED_VALUE"""),81.0)</f>
        <v>81</v>
      </c>
      <c r="D5803" s="3">
        <f>IFERROR(__xludf.DUMMYFUNCTION("""COMPUTED_VALUE"""),54.0)</f>
        <v>54</v>
      </c>
      <c r="E5803" s="2"/>
      <c r="F5803" s="2"/>
    </row>
    <row r="5804">
      <c r="A5804" s="2">
        <f>IFERROR(__xludf.DUMMYFUNCTION("""COMPUTED_VALUE"""),30501.0)</f>
        <v>30501</v>
      </c>
      <c r="B5804" s="2">
        <f>IFERROR(__xludf.DUMMYFUNCTION("""COMPUTED_VALUE"""),0.0)</f>
        <v>0</v>
      </c>
      <c r="C5804" s="2">
        <f>IFERROR(__xludf.DUMMYFUNCTION("""COMPUTED_VALUE"""),197.0)</f>
        <v>197</v>
      </c>
      <c r="D5804" s="3">
        <f>IFERROR(__xludf.DUMMYFUNCTION("""COMPUTED_VALUE"""),154.0)</f>
        <v>154</v>
      </c>
      <c r="E5804" s="2"/>
      <c r="F5804" s="2"/>
    </row>
    <row r="5805">
      <c r="A5805" s="2">
        <f>IFERROR(__xludf.DUMMYFUNCTION("""COMPUTED_VALUE"""),118198.0)</f>
        <v>118198</v>
      </c>
      <c r="B5805" s="2">
        <f>IFERROR(__xludf.DUMMYFUNCTION("""COMPUTED_VALUE"""),1.0)</f>
        <v>1</v>
      </c>
      <c r="C5805" s="2">
        <f>IFERROR(__xludf.DUMMYFUNCTION("""COMPUTED_VALUE"""),708.0)</f>
        <v>708</v>
      </c>
      <c r="D5805" s="3">
        <f>IFERROR(__xludf.DUMMYFUNCTION("""COMPUTED_VALUE"""),474.0)</f>
        <v>474</v>
      </c>
      <c r="E5805" s="2"/>
      <c r="F5805" s="2"/>
    </row>
    <row r="5806">
      <c r="A5806" s="2">
        <f>IFERROR(__xludf.DUMMYFUNCTION("""COMPUTED_VALUE"""),4891.0)</f>
        <v>4891</v>
      </c>
      <c r="B5806" s="2">
        <f>IFERROR(__xludf.DUMMYFUNCTION("""COMPUTED_VALUE"""),1.0)</f>
        <v>1</v>
      </c>
      <c r="C5806" s="2">
        <f>IFERROR(__xludf.DUMMYFUNCTION("""COMPUTED_VALUE"""),204.0)</f>
        <v>204</v>
      </c>
      <c r="D5806" s="3">
        <f>IFERROR(__xludf.DUMMYFUNCTION("""COMPUTED_VALUE"""),38.0)</f>
        <v>38</v>
      </c>
      <c r="E5806" s="2"/>
      <c r="F5806" s="2"/>
    </row>
    <row r="5807">
      <c r="A5807" s="2">
        <f>IFERROR(__xludf.DUMMYFUNCTION("""COMPUTED_VALUE"""),23050.0)</f>
        <v>23050</v>
      </c>
      <c r="B5807" s="2">
        <f>IFERROR(__xludf.DUMMYFUNCTION("""COMPUTED_VALUE"""),0.0)</f>
        <v>0</v>
      </c>
      <c r="C5807" s="2">
        <f>IFERROR(__xludf.DUMMYFUNCTION("""COMPUTED_VALUE"""),162.0)</f>
        <v>162</v>
      </c>
      <c r="D5807" s="3">
        <f>IFERROR(__xludf.DUMMYFUNCTION("""COMPUTED_VALUE"""),104.0)</f>
        <v>104</v>
      </c>
      <c r="E5807" s="2"/>
      <c r="F5807" s="2"/>
    </row>
    <row r="5808">
      <c r="A5808" s="2">
        <f>IFERROR(__xludf.DUMMYFUNCTION("""COMPUTED_VALUE"""),94612.0)</f>
        <v>94612</v>
      </c>
      <c r="B5808" s="2">
        <f>IFERROR(__xludf.DUMMYFUNCTION("""COMPUTED_VALUE"""),1.0)</f>
        <v>1</v>
      </c>
      <c r="C5808" s="2">
        <f>IFERROR(__xludf.DUMMYFUNCTION("""COMPUTED_VALUE"""),435.0)</f>
        <v>435</v>
      </c>
      <c r="D5808" s="3">
        <f>IFERROR(__xludf.DUMMYFUNCTION("""COMPUTED_VALUE"""),163.0)</f>
        <v>163</v>
      </c>
      <c r="E5808" s="2"/>
      <c r="F5808" s="2"/>
    </row>
    <row r="5809">
      <c r="A5809" s="2">
        <f>IFERROR(__xludf.DUMMYFUNCTION("""COMPUTED_VALUE"""),109983.0)</f>
        <v>109983</v>
      </c>
      <c r="B5809" s="2">
        <f>IFERROR(__xludf.DUMMYFUNCTION("""COMPUTED_VALUE"""),0.0)</f>
        <v>0</v>
      </c>
      <c r="C5809" s="2">
        <f>IFERROR(__xludf.DUMMYFUNCTION("""COMPUTED_VALUE"""),651.0)</f>
        <v>651</v>
      </c>
      <c r="D5809" s="3">
        <f>IFERROR(__xludf.DUMMYFUNCTION("""COMPUTED_VALUE"""),417.0)</f>
        <v>417</v>
      </c>
      <c r="E5809" s="2"/>
      <c r="F5809" s="2"/>
    </row>
    <row r="5810">
      <c r="A5810" s="2">
        <f>IFERROR(__xludf.DUMMYFUNCTION("""COMPUTED_VALUE"""),110854.0)</f>
        <v>110854</v>
      </c>
      <c r="B5810" s="2">
        <f>IFERROR(__xludf.DUMMYFUNCTION("""COMPUTED_VALUE"""),1.0)</f>
        <v>1</v>
      </c>
      <c r="C5810" s="2">
        <f>IFERROR(__xludf.DUMMYFUNCTION("""COMPUTED_VALUE"""),-3.0)</f>
        <v>-3</v>
      </c>
      <c r="D5810" s="3">
        <f>IFERROR(__xludf.DUMMYFUNCTION("""COMPUTED_VALUE"""),0.0)</f>
        <v>0</v>
      </c>
      <c r="E5810" s="2"/>
      <c r="F5810" s="2"/>
    </row>
    <row r="5811">
      <c r="A5811" s="2">
        <f>IFERROR(__xludf.DUMMYFUNCTION("""COMPUTED_VALUE"""),110414.0)</f>
        <v>110414</v>
      </c>
      <c r="B5811" s="2">
        <f>IFERROR(__xludf.DUMMYFUNCTION("""COMPUTED_VALUE"""),1.0)</f>
        <v>1</v>
      </c>
      <c r="C5811" s="2">
        <f>IFERROR(__xludf.DUMMYFUNCTION("""COMPUTED_VALUE"""),486.0)</f>
        <v>486</v>
      </c>
      <c r="D5811" s="3">
        <f>IFERROR(__xludf.DUMMYFUNCTION("""COMPUTED_VALUE"""),437.0)</f>
        <v>437</v>
      </c>
      <c r="E5811" s="2"/>
      <c r="F5811" s="2"/>
    </row>
    <row r="5812">
      <c r="A5812" s="2">
        <f>IFERROR(__xludf.DUMMYFUNCTION("""COMPUTED_VALUE"""),103631.0)</f>
        <v>103631</v>
      </c>
      <c r="B5812" s="2">
        <f>IFERROR(__xludf.DUMMYFUNCTION("""COMPUTED_VALUE"""),1.0)</f>
        <v>1</v>
      </c>
      <c r="C5812" s="2">
        <f>IFERROR(__xludf.DUMMYFUNCTION("""COMPUTED_VALUE"""),298.0)</f>
        <v>298</v>
      </c>
      <c r="D5812" s="3">
        <f>IFERROR(__xludf.DUMMYFUNCTION("""COMPUTED_VALUE"""),292.0)</f>
        <v>292</v>
      </c>
      <c r="E5812" s="2"/>
      <c r="F5812" s="2"/>
    </row>
    <row r="5813">
      <c r="A5813" s="2">
        <f>IFERROR(__xludf.DUMMYFUNCTION("""COMPUTED_VALUE"""),111009.0)</f>
        <v>111009</v>
      </c>
      <c r="B5813" s="2">
        <f>IFERROR(__xludf.DUMMYFUNCTION("""COMPUTED_VALUE"""),0.0)</f>
        <v>0</v>
      </c>
      <c r="C5813" s="2">
        <f>IFERROR(__xludf.DUMMYFUNCTION("""COMPUTED_VALUE"""),356.0)</f>
        <v>356</v>
      </c>
      <c r="D5813" s="3">
        <f>IFERROR(__xludf.DUMMYFUNCTION("""COMPUTED_VALUE"""),265.0)</f>
        <v>265</v>
      </c>
      <c r="E5813" s="2"/>
      <c r="F5813" s="2"/>
    </row>
    <row r="5814">
      <c r="A5814" s="2">
        <f>IFERROR(__xludf.DUMMYFUNCTION("""COMPUTED_VALUE"""),109213.0)</f>
        <v>109213</v>
      </c>
      <c r="B5814" s="2">
        <f>IFERROR(__xludf.DUMMYFUNCTION("""COMPUTED_VALUE"""),0.0)</f>
        <v>0</v>
      </c>
      <c r="C5814" s="2">
        <f>IFERROR(__xludf.DUMMYFUNCTION("""COMPUTED_VALUE"""),852.0)</f>
        <v>852</v>
      </c>
      <c r="D5814" s="3">
        <f>IFERROR(__xludf.DUMMYFUNCTION("""COMPUTED_VALUE"""),580.0)</f>
        <v>580</v>
      </c>
      <c r="E5814" s="2"/>
      <c r="F5814" s="2"/>
    </row>
    <row r="5815">
      <c r="A5815" s="2">
        <f>IFERROR(__xludf.DUMMYFUNCTION("""COMPUTED_VALUE"""),103847.0)</f>
        <v>103847</v>
      </c>
      <c r="B5815" s="2">
        <f>IFERROR(__xludf.DUMMYFUNCTION("""COMPUTED_VALUE"""),0.0)</f>
        <v>0</v>
      </c>
      <c r="C5815" s="2">
        <f>IFERROR(__xludf.DUMMYFUNCTION("""COMPUTED_VALUE"""),486.0)</f>
        <v>486</v>
      </c>
      <c r="D5815" s="3">
        <f>IFERROR(__xludf.DUMMYFUNCTION("""COMPUTED_VALUE"""),394.0)</f>
        <v>394</v>
      </c>
      <c r="E5815" s="2"/>
      <c r="F5815" s="2"/>
    </row>
    <row r="5816">
      <c r="A5816" s="2">
        <f>IFERROR(__xludf.DUMMYFUNCTION("""COMPUTED_VALUE"""),96156.0)</f>
        <v>96156</v>
      </c>
      <c r="B5816" s="2">
        <f>IFERROR(__xludf.DUMMYFUNCTION("""COMPUTED_VALUE"""),1.0)</f>
        <v>1</v>
      </c>
      <c r="C5816" s="2">
        <f>IFERROR(__xludf.DUMMYFUNCTION("""COMPUTED_VALUE"""),482.0)</f>
        <v>482</v>
      </c>
      <c r="D5816" s="3">
        <f>IFERROR(__xludf.DUMMYFUNCTION("""COMPUTED_VALUE"""),108.0)</f>
        <v>108</v>
      </c>
      <c r="E5816" s="2"/>
      <c r="F5816" s="2"/>
    </row>
    <row r="5817">
      <c r="A5817" s="2">
        <f>IFERROR(__xludf.DUMMYFUNCTION("""COMPUTED_VALUE"""),4887.0)</f>
        <v>4887</v>
      </c>
      <c r="B5817" s="2">
        <f>IFERROR(__xludf.DUMMYFUNCTION("""COMPUTED_VALUE"""),0.0)</f>
        <v>0</v>
      </c>
      <c r="C5817" s="2">
        <f>IFERROR(__xludf.DUMMYFUNCTION("""COMPUTED_VALUE"""),466.0)</f>
        <v>466</v>
      </c>
      <c r="D5817" s="3">
        <f>IFERROR(__xludf.DUMMYFUNCTION("""COMPUTED_VALUE"""),113.0)</f>
        <v>113</v>
      </c>
      <c r="E5817" s="2"/>
      <c r="F5817" s="2"/>
    </row>
    <row r="5818">
      <c r="A5818" s="2">
        <f>IFERROR(__xludf.DUMMYFUNCTION("""COMPUTED_VALUE"""),92146.0)</f>
        <v>92146</v>
      </c>
      <c r="B5818" s="2">
        <f>IFERROR(__xludf.DUMMYFUNCTION("""COMPUTED_VALUE"""),0.0)</f>
        <v>0</v>
      </c>
      <c r="C5818" s="2">
        <f>IFERROR(__xludf.DUMMYFUNCTION("""COMPUTED_VALUE"""),806.0)</f>
        <v>806</v>
      </c>
      <c r="D5818" s="3">
        <f>IFERROR(__xludf.DUMMYFUNCTION("""COMPUTED_VALUE"""),56.0)</f>
        <v>56</v>
      </c>
      <c r="E5818" s="2"/>
      <c r="F5818" s="2"/>
    </row>
    <row r="5819">
      <c r="A5819" s="2">
        <f>IFERROR(__xludf.DUMMYFUNCTION("""COMPUTED_VALUE"""),122248.0)</f>
        <v>122248</v>
      </c>
      <c r="B5819" s="2">
        <f>IFERROR(__xludf.DUMMYFUNCTION("""COMPUTED_VALUE"""),1.0)</f>
        <v>1</v>
      </c>
      <c r="C5819" s="2">
        <f>IFERROR(__xludf.DUMMYFUNCTION("""COMPUTED_VALUE"""),806.0)</f>
        <v>806</v>
      </c>
      <c r="D5819" s="3">
        <f>IFERROR(__xludf.DUMMYFUNCTION("""COMPUTED_VALUE"""),471.0)</f>
        <v>471</v>
      </c>
      <c r="E5819" s="2"/>
      <c r="F5819" s="2"/>
    </row>
    <row r="5820">
      <c r="A5820" s="2">
        <f>IFERROR(__xludf.DUMMYFUNCTION("""COMPUTED_VALUE"""),122251.0)</f>
        <v>122251</v>
      </c>
      <c r="B5820" s="2">
        <f>IFERROR(__xludf.DUMMYFUNCTION("""COMPUTED_VALUE"""),1.0)</f>
        <v>1</v>
      </c>
      <c r="C5820" s="2">
        <f>IFERROR(__xludf.DUMMYFUNCTION("""COMPUTED_VALUE"""),424.0)</f>
        <v>424</v>
      </c>
      <c r="D5820" s="3">
        <f>IFERROR(__xludf.DUMMYFUNCTION("""COMPUTED_VALUE"""),145.0)</f>
        <v>145</v>
      </c>
      <c r="E5820" s="2"/>
      <c r="F5820" s="2"/>
    </row>
    <row r="5821">
      <c r="A5821" s="2">
        <f>IFERROR(__xludf.DUMMYFUNCTION("""COMPUTED_VALUE"""),103638.0)</f>
        <v>103638</v>
      </c>
      <c r="B5821" s="2">
        <f>IFERROR(__xludf.DUMMYFUNCTION("""COMPUTED_VALUE"""),1.0)</f>
        <v>1</v>
      </c>
      <c r="C5821" s="2">
        <f>IFERROR(__xludf.DUMMYFUNCTION("""COMPUTED_VALUE"""),734.0)</f>
        <v>734</v>
      </c>
      <c r="D5821" s="3">
        <f>IFERROR(__xludf.DUMMYFUNCTION("""COMPUTED_VALUE"""),294.0)</f>
        <v>294</v>
      </c>
      <c r="E5821" s="2"/>
      <c r="F5821" s="2"/>
    </row>
    <row r="5822">
      <c r="A5822" s="2">
        <f>IFERROR(__xludf.DUMMYFUNCTION("""COMPUTED_VALUE"""),111655.0)</f>
        <v>111655</v>
      </c>
      <c r="B5822" s="2">
        <f>IFERROR(__xludf.DUMMYFUNCTION("""COMPUTED_VALUE"""),1.0)</f>
        <v>1</v>
      </c>
      <c r="C5822" s="2">
        <f>IFERROR(__xludf.DUMMYFUNCTION("""COMPUTED_VALUE"""),938.0)</f>
        <v>938</v>
      </c>
      <c r="D5822" s="3">
        <f>IFERROR(__xludf.DUMMYFUNCTION("""COMPUTED_VALUE"""),509.0)</f>
        <v>509</v>
      </c>
      <c r="E5822" s="2"/>
      <c r="F5822" s="2"/>
    </row>
    <row r="5823">
      <c r="A5823" s="2">
        <f>IFERROR(__xludf.DUMMYFUNCTION("""COMPUTED_VALUE"""),84201.0)</f>
        <v>84201</v>
      </c>
      <c r="B5823" s="2">
        <f>IFERROR(__xludf.DUMMYFUNCTION("""COMPUTED_VALUE"""),0.0)</f>
        <v>0</v>
      </c>
      <c r="C5823" s="2">
        <f>IFERROR(__xludf.DUMMYFUNCTION("""COMPUTED_VALUE"""),264.0)</f>
        <v>264</v>
      </c>
      <c r="D5823" s="3">
        <f>IFERROR(__xludf.DUMMYFUNCTION("""COMPUTED_VALUE"""),23.0)</f>
        <v>23</v>
      </c>
      <c r="E5823" s="2"/>
      <c r="F5823" s="2"/>
    </row>
    <row r="5824">
      <c r="A5824" s="2">
        <f>IFERROR(__xludf.DUMMYFUNCTION("""COMPUTED_VALUE"""),80697.0)</f>
        <v>80697</v>
      </c>
      <c r="B5824" s="2">
        <f>IFERROR(__xludf.DUMMYFUNCTION("""COMPUTED_VALUE"""),1.0)</f>
        <v>1</v>
      </c>
      <c r="C5824" s="2">
        <f>IFERROR(__xludf.DUMMYFUNCTION("""COMPUTED_VALUE"""),32.0)</f>
        <v>32</v>
      </c>
      <c r="D5824" s="3">
        <f>IFERROR(__xludf.DUMMYFUNCTION("""COMPUTED_VALUE"""),2.0)</f>
        <v>2</v>
      </c>
      <c r="E5824" s="2"/>
      <c r="F5824" s="2"/>
    </row>
    <row r="5825">
      <c r="A5825" s="2">
        <f>IFERROR(__xludf.DUMMYFUNCTION("""COMPUTED_VALUE"""),117394.0)</f>
        <v>117394</v>
      </c>
      <c r="B5825" s="2">
        <f>IFERROR(__xludf.DUMMYFUNCTION("""COMPUTED_VALUE"""),0.0)</f>
        <v>0</v>
      </c>
      <c r="C5825" s="2">
        <f>IFERROR(__xludf.DUMMYFUNCTION("""COMPUTED_VALUE"""),832.0)</f>
        <v>832</v>
      </c>
      <c r="D5825" s="3">
        <f>IFERROR(__xludf.DUMMYFUNCTION("""COMPUTED_VALUE"""),246.0)</f>
        <v>246</v>
      </c>
      <c r="E5825" s="2"/>
      <c r="F5825" s="2"/>
    </row>
    <row r="5826">
      <c r="A5826" s="2">
        <f>IFERROR(__xludf.DUMMYFUNCTION("""COMPUTED_VALUE"""),103636.0)</f>
        <v>103636</v>
      </c>
      <c r="B5826" s="2">
        <f>IFERROR(__xludf.DUMMYFUNCTION("""COMPUTED_VALUE"""),0.0)</f>
        <v>0</v>
      </c>
      <c r="C5826" s="2">
        <f>IFERROR(__xludf.DUMMYFUNCTION("""COMPUTED_VALUE"""),943.0)</f>
        <v>943</v>
      </c>
      <c r="D5826" s="3">
        <f>IFERROR(__xludf.DUMMYFUNCTION("""COMPUTED_VALUE"""),224.0)</f>
        <v>224</v>
      </c>
      <c r="E5826" s="2"/>
      <c r="F5826" s="2"/>
    </row>
    <row r="5827">
      <c r="A5827" s="2">
        <f>IFERROR(__xludf.DUMMYFUNCTION("""COMPUTED_VALUE"""),67001.0)</f>
        <v>67001</v>
      </c>
      <c r="B5827" s="2">
        <f>IFERROR(__xludf.DUMMYFUNCTION("""COMPUTED_VALUE"""),0.0)</f>
        <v>0</v>
      </c>
      <c r="C5827" s="2">
        <f>IFERROR(__xludf.DUMMYFUNCTION("""COMPUTED_VALUE"""),376.0)</f>
        <v>376</v>
      </c>
      <c r="D5827" s="3">
        <f>IFERROR(__xludf.DUMMYFUNCTION("""COMPUTED_VALUE"""),372.0)</f>
        <v>372</v>
      </c>
      <c r="E5827" s="2"/>
      <c r="F5827" s="2"/>
    </row>
    <row r="5828">
      <c r="A5828" s="2">
        <f>IFERROR(__xludf.DUMMYFUNCTION("""COMPUTED_VALUE"""),2148.0)</f>
        <v>2148</v>
      </c>
      <c r="B5828" s="2">
        <f>IFERROR(__xludf.DUMMYFUNCTION("""COMPUTED_VALUE"""),1.0)</f>
        <v>1</v>
      </c>
      <c r="C5828" s="2">
        <f>IFERROR(__xludf.DUMMYFUNCTION("""COMPUTED_VALUE"""),965.0)</f>
        <v>965</v>
      </c>
      <c r="D5828" s="3">
        <f>IFERROR(__xludf.DUMMYFUNCTION("""COMPUTED_VALUE"""),566.0)</f>
        <v>566</v>
      </c>
      <c r="E5828" s="2"/>
      <c r="F5828" s="2"/>
    </row>
    <row r="5829">
      <c r="A5829" s="2">
        <f>IFERROR(__xludf.DUMMYFUNCTION("""COMPUTED_VALUE"""),111672.0)</f>
        <v>111672</v>
      </c>
      <c r="B5829" s="2">
        <f>IFERROR(__xludf.DUMMYFUNCTION("""COMPUTED_VALUE"""),0.0)</f>
        <v>0</v>
      </c>
      <c r="C5829" s="2">
        <f>IFERROR(__xludf.DUMMYFUNCTION("""COMPUTED_VALUE"""),833.0)</f>
        <v>833</v>
      </c>
      <c r="D5829" s="3">
        <f>IFERROR(__xludf.DUMMYFUNCTION("""COMPUTED_VALUE"""),739.0)</f>
        <v>739</v>
      </c>
      <c r="E5829" s="2"/>
      <c r="F5829" s="2"/>
    </row>
    <row r="5830">
      <c r="A5830" s="2">
        <f>IFERROR(__xludf.DUMMYFUNCTION("""COMPUTED_VALUE"""),80696.0)</f>
        <v>80696</v>
      </c>
      <c r="B5830" s="2">
        <f>IFERROR(__xludf.DUMMYFUNCTION("""COMPUTED_VALUE"""),1.0)</f>
        <v>1</v>
      </c>
      <c r="C5830" s="2">
        <f>IFERROR(__xludf.DUMMYFUNCTION("""COMPUTED_VALUE"""),29.0)</f>
        <v>29</v>
      </c>
      <c r="D5830" s="3">
        <f>IFERROR(__xludf.DUMMYFUNCTION("""COMPUTED_VALUE"""),16.0)</f>
        <v>16</v>
      </c>
      <c r="E5830" s="2"/>
      <c r="F5830" s="2"/>
    </row>
    <row r="5831">
      <c r="A5831" s="2">
        <f>IFERROR(__xludf.DUMMYFUNCTION("""COMPUTED_VALUE"""),96853.0)</f>
        <v>96853</v>
      </c>
      <c r="B5831" s="2">
        <f>IFERROR(__xludf.DUMMYFUNCTION("""COMPUTED_VALUE"""),1.0)</f>
        <v>1</v>
      </c>
      <c r="C5831" s="2">
        <f>IFERROR(__xludf.DUMMYFUNCTION("""COMPUTED_VALUE"""),493.0)</f>
        <v>493</v>
      </c>
      <c r="D5831" s="3">
        <f>IFERROR(__xludf.DUMMYFUNCTION("""COMPUTED_VALUE"""),48.0)</f>
        <v>48</v>
      </c>
      <c r="E5831" s="2"/>
      <c r="F5831" s="2"/>
    </row>
    <row r="5832">
      <c r="A5832" s="2">
        <f>IFERROR(__xludf.DUMMYFUNCTION("""COMPUTED_VALUE"""),117388.0)</f>
        <v>117388</v>
      </c>
      <c r="B5832" s="2">
        <f>IFERROR(__xludf.DUMMYFUNCTION("""COMPUTED_VALUE"""),1.0)</f>
        <v>1</v>
      </c>
      <c r="C5832" s="2">
        <f>IFERROR(__xludf.DUMMYFUNCTION("""COMPUTED_VALUE"""),415.0)</f>
        <v>415</v>
      </c>
      <c r="D5832" s="3">
        <f>IFERROR(__xludf.DUMMYFUNCTION("""COMPUTED_VALUE"""),82.0)</f>
        <v>82</v>
      </c>
      <c r="E5832" s="2"/>
      <c r="F5832" s="2"/>
    </row>
    <row r="5833">
      <c r="A5833" s="2">
        <f>IFERROR(__xludf.DUMMYFUNCTION("""COMPUTED_VALUE"""),109971.0)</f>
        <v>109971</v>
      </c>
      <c r="B5833" s="2">
        <f>IFERROR(__xludf.DUMMYFUNCTION("""COMPUTED_VALUE"""),0.0)</f>
        <v>0</v>
      </c>
      <c r="C5833" s="2">
        <f>IFERROR(__xludf.DUMMYFUNCTION("""COMPUTED_VALUE"""),357.0)</f>
        <v>357</v>
      </c>
      <c r="D5833" s="3">
        <f>IFERROR(__xludf.DUMMYFUNCTION("""COMPUTED_VALUE"""),220.0)</f>
        <v>220</v>
      </c>
      <c r="E5833" s="2"/>
      <c r="F5833" s="2"/>
    </row>
    <row r="5834">
      <c r="A5834" s="2">
        <f>IFERROR(__xludf.DUMMYFUNCTION("""COMPUTED_VALUE"""),122247.0)</f>
        <v>122247</v>
      </c>
      <c r="B5834" s="2">
        <f>IFERROR(__xludf.DUMMYFUNCTION("""COMPUTED_VALUE"""),0.0)</f>
        <v>0</v>
      </c>
      <c r="C5834" s="2">
        <f>IFERROR(__xludf.DUMMYFUNCTION("""COMPUTED_VALUE"""),448.0)</f>
        <v>448</v>
      </c>
      <c r="D5834" s="3">
        <f>IFERROR(__xludf.DUMMYFUNCTION("""COMPUTED_VALUE"""),392.0)</f>
        <v>392</v>
      </c>
      <c r="E5834" s="2"/>
      <c r="F5834" s="2"/>
    </row>
    <row r="5835">
      <c r="A5835" s="2">
        <f>IFERROR(__xludf.DUMMYFUNCTION("""COMPUTED_VALUE"""),103635.0)</f>
        <v>103635</v>
      </c>
      <c r="B5835" s="2">
        <f>IFERROR(__xludf.DUMMYFUNCTION("""COMPUTED_VALUE"""),1.0)</f>
        <v>1</v>
      </c>
      <c r="C5835" s="2">
        <f>IFERROR(__xludf.DUMMYFUNCTION("""COMPUTED_VALUE"""),962.0)</f>
        <v>962</v>
      </c>
      <c r="D5835" s="3">
        <f>IFERROR(__xludf.DUMMYFUNCTION("""COMPUTED_VALUE"""),281.0)</f>
        <v>281</v>
      </c>
      <c r="E5835" s="2"/>
      <c r="F5835" s="2"/>
    </row>
    <row r="5836">
      <c r="A5836" s="2">
        <f>IFERROR(__xludf.DUMMYFUNCTION("""COMPUTED_VALUE"""),122295.0)</f>
        <v>122295</v>
      </c>
      <c r="B5836" s="2">
        <f>IFERROR(__xludf.DUMMYFUNCTION("""COMPUTED_VALUE"""),0.0)</f>
        <v>0</v>
      </c>
      <c r="C5836" s="2">
        <f>IFERROR(__xludf.DUMMYFUNCTION("""COMPUTED_VALUE"""),512.0)</f>
        <v>512</v>
      </c>
      <c r="D5836" s="3">
        <f>IFERROR(__xludf.DUMMYFUNCTION("""COMPUTED_VALUE"""),420.0)</f>
        <v>420</v>
      </c>
      <c r="E5836" s="2"/>
      <c r="F5836" s="2"/>
    </row>
    <row r="5837">
      <c r="A5837" s="2">
        <f>IFERROR(__xludf.DUMMYFUNCTION("""COMPUTED_VALUE"""),118351.0)</f>
        <v>118351</v>
      </c>
      <c r="B5837" s="2">
        <f>IFERROR(__xludf.DUMMYFUNCTION("""COMPUTED_VALUE"""),1.0)</f>
        <v>1</v>
      </c>
      <c r="C5837" s="2">
        <f>IFERROR(__xludf.DUMMYFUNCTION("""COMPUTED_VALUE"""),941.0)</f>
        <v>941</v>
      </c>
      <c r="D5837" s="3">
        <f>IFERROR(__xludf.DUMMYFUNCTION("""COMPUTED_VALUE"""),852.0)</f>
        <v>852</v>
      </c>
      <c r="E5837" s="2"/>
      <c r="F5837" s="2"/>
    </row>
    <row r="5838">
      <c r="A5838" s="2">
        <f>IFERROR(__xludf.DUMMYFUNCTION("""COMPUTED_VALUE"""),91624.0)</f>
        <v>91624</v>
      </c>
      <c r="B5838" s="2">
        <f>IFERROR(__xludf.DUMMYFUNCTION("""COMPUTED_VALUE"""),1.0)</f>
        <v>1</v>
      </c>
      <c r="C5838" s="2">
        <f>IFERROR(__xludf.DUMMYFUNCTION("""COMPUTED_VALUE"""),976.0)</f>
        <v>976</v>
      </c>
      <c r="D5838" s="3">
        <f>IFERROR(__xludf.DUMMYFUNCTION("""COMPUTED_VALUE"""),360.0)</f>
        <v>360</v>
      </c>
      <c r="E5838" s="2"/>
      <c r="F5838" s="2"/>
    </row>
    <row r="5839">
      <c r="A5839" s="2">
        <f>IFERROR(__xludf.DUMMYFUNCTION("""COMPUTED_VALUE"""),27765.0)</f>
        <v>27765</v>
      </c>
      <c r="B5839" s="2">
        <f>IFERROR(__xludf.DUMMYFUNCTION("""COMPUTED_VALUE"""),0.0)</f>
        <v>0</v>
      </c>
      <c r="C5839" s="2">
        <f>IFERROR(__xludf.DUMMYFUNCTION("""COMPUTED_VALUE"""),911.0)</f>
        <v>911</v>
      </c>
      <c r="D5839" s="3">
        <f>IFERROR(__xludf.DUMMYFUNCTION("""COMPUTED_VALUE"""),217.0)</f>
        <v>217</v>
      </c>
      <c r="E5839" s="2"/>
      <c r="F5839" s="2"/>
    </row>
    <row r="5840">
      <c r="A5840" s="2">
        <f>IFERROR(__xludf.DUMMYFUNCTION("""COMPUTED_VALUE"""),26313.0)</f>
        <v>26313</v>
      </c>
      <c r="B5840" s="2">
        <f>IFERROR(__xludf.DUMMYFUNCTION("""COMPUTED_VALUE"""),0.0)</f>
        <v>0</v>
      </c>
      <c r="C5840" s="2">
        <f>IFERROR(__xludf.DUMMYFUNCTION("""COMPUTED_VALUE"""),98.0)</f>
        <v>98</v>
      </c>
      <c r="D5840" s="3">
        <f>IFERROR(__xludf.DUMMYFUNCTION("""COMPUTED_VALUE"""),65.0)</f>
        <v>65</v>
      </c>
      <c r="E5840" s="2"/>
      <c r="F5840" s="2"/>
    </row>
    <row r="5841">
      <c r="A5841" s="2">
        <f>IFERROR(__xludf.DUMMYFUNCTION("""COMPUTED_VALUE"""),26314.0)</f>
        <v>26314</v>
      </c>
      <c r="B5841" s="2">
        <f>IFERROR(__xludf.DUMMYFUNCTION("""COMPUTED_VALUE"""),1.0)</f>
        <v>1</v>
      </c>
      <c r="C5841" s="2">
        <f>IFERROR(__xludf.DUMMYFUNCTION("""COMPUTED_VALUE"""),760.0)</f>
        <v>760</v>
      </c>
      <c r="D5841" s="3">
        <f>IFERROR(__xludf.DUMMYFUNCTION("""COMPUTED_VALUE"""),326.0)</f>
        <v>326</v>
      </c>
      <c r="E5841" s="2"/>
      <c r="F5841" s="2"/>
    </row>
    <row r="5842">
      <c r="A5842" s="2">
        <f>IFERROR(__xludf.DUMMYFUNCTION("""COMPUTED_VALUE"""),91626.0)</f>
        <v>91626</v>
      </c>
      <c r="B5842" s="2">
        <f>IFERROR(__xludf.DUMMYFUNCTION("""COMPUTED_VALUE"""),0.0)</f>
        <v>0</v>
      </c>
      <c r="C5842" s="2">
        <f>IFERROR(__xludf.DUMMYFUNCTION("""COMPUTED_VALUE"""),466.0)</f>
        <v>466</v>
      </c>
      <c r="D5842" s="3">
        <f>IFERROR(__xludf.DUMMYFUNCTION("""COMPUTED_VALUE"""),381.0)</f>
        <v>381</v>
      </c>
      <c r="E5842" s="2"/>
      <c r="F5842" s="2"/>
    </row>
    <row r="5843">
      <c r="A5843" s="2">
        <f>IFERROR(__xludf.DUMMYFUNCTION("""COMPUTED_VALUE"""),112264.0)</f>
        <v>112264</v>
      </c>
      <c r="B5843" s="2">
        <f>IFERROR(__xludf.DUMMYFUNCTION("""COMPUTED_VALUE"""),0.0)</f>
        <v>0</v>
      </c>
      <c r="C5843" s="2">
        <f>IFERROR(__xludf.DUMMYFUNCTION("""COMPUTED_VALUE"""),458.0)</f>
        <v>458</v>
      </c>
      <c r="D5843" s="3">
        <f>IFERROR(__xludf.DUMMYFUNCTION("""COMPUTED_VALUE"""),209.0)</f>
        <v>209</v>
      </c>
      <c r="E5843" s="2"/>
      <c r="F5843" s="2"/>
    </row>
    <row r="5844">
      <c r="A5844" s="2">
        <f>IFERROR(__xludf.DUMMYFUNCTION("""COMPUTED_VALUE"""),27764.0)</f>
        <v>27764</v>
      </c>
      <c r="B5844" s="2">
        <f>IFERROR(__xludf.DUMMYFUNCTION("""COMPUTED_VALUE"""),0.0)</f>
        <v>0</v>
      </c>
      <c r="C5844" s="2">
        <f>IFERROR(__xludf.DUMMYFUNCTION("""COMPUTED_VALUE"""),814.0)</f>
        <v>814</v>
      </c>
      <c r="D5844" s="3">
        <f>IFERROR(__xludf.DUMMYFUNCTION("""COMPUTED_VALUE"""),177.0)</f>
        <v>177</v>
      </c>
      <c r="E5844" s="2"/>
      <c r="F5844" s="2"/>
    </row>
    <row r="5845">
      <c r="A5845" s="2">
        <f>IFERROR(__xludf.DUMMYFUNCTION("""COMPUTED_VALUE"""),92653.0)</f>
        <v>92653</v>
      </c>
      <c r="B5845" s="2">
        <f>IFERROR(__xludf.DUMMYFUNCTION("""COMPUTED_VALUE"""),0.0)</f>
        <v>0</v>
      </c>
      <c r="C5845" s="2">
        <f>IFERROR(__xludf.DUMMYFUNCTION("""COMPUTED_VALUE"""),46.0)</f>
        <v>46</v>
      </c>
      <c r="D5845" s="3">
        <f>IFERROR(__xludf.DUMMYFUNCTION("""COMPUTED_VALUE"""),43.0)</f>
        <v>43</v>
      </c>
      <c r="E5845" s="2"/>
      <c r="F5845" s="2"/>
    </row>
    <row r="5846">
      <c r="A5846" s="2">
        <f>IFERROR(__xludf.DUMMYFUNCTION("""COMPUTED_VALUE"""),117990.0)</f>
        <v>117990</v>
      </c>
      <c r="B5846" s="2">
        <f>IFERROR(__xludf.DUMMYFUNCTION("""COMPUTED_VALUE"""),1.0)</f>
        <v>1</v>
      </c>
      <c r="C5846" s="2">
        <f>IFERROR(__xludf.DUMMYFUNCTION("""COMPUTED_VALUE"""),490.0)</f>
        <v>490</v>
      </c>
      <c r="D5846" s="3">
        <f>IFERROR(__xludf.DUMMYFUNCTION("""COMPUTED_VALUE"""),398.0)</f>
        <v>398</v>
      </c>
      <c r="E5846" s="2"/>
      <c r="F5846" s="2"/>
    </row>
    <row r="5847">
      <c r="A5847" s="2">
        <f>IFERROR(__xludf.DUMMYFUNCTION("""COMPUTED_VALUE"""),92651.0)</f>
        <v>92651</v>
      </c>
      <c r="B5847" s="2">
        <f>IFERROR(__xludf.DUMMYFUNCTION("""COMPUTED_VALUE"""),1.0)</f>
        <v>1</v>
      </c>
      <c r="C5847" s="2">
        <f>IFERROR(__xludf.DUMMYFUNCTION("""COMPUTED_VALUE"""),361.0)</f>
        <v>361</v>
      </c>
      <c r="D5847" s="3">
        <f>IFERROR(__xludf.DUMMYFUNCTION("""COMPUTED_VALUE"""),45.0)</f>
        <v>45</v>
      </c>
      <c r="E5847" s="2"/>
      <c r="F5847" s="2"/>
    </row>
    <row r="5848">
      <c r="A5848" s="2">
        <f>IFERROR(__xludf.DUMMYFUNCTION("""COMPUTED_VALUE"""),104143.0)</f>
        <v>104143</v>
      </c>
      <c r="B5848" s="2">
        <f>IFERROR(__xludf.DUMMYFUNCTION("""COMPUTED_VALUE"""),0.0)</f>
        <v>0</v>
      </c>
      <c r="C5848" s="2">
        <f>IFERROR(__xludf.DUMMYFUNCTION("""COMPUTED_VALUE"""),891.0)</f>
        <v>891</v>
      </c>
      <c r="D5848" s="3">
        <f>IFERROR(__xludf.DUMMYFUNCTION("""COMPUTED_VALUE"""),172.0)</f>
        <v>172</v>
      </c>
      <c r="E5848" s="2"/>
      <c r="F5848" s="2"/>
    </row>
    <row r="5849">
      <c r="A5849" s="2">
        <f>IFERROR(__xludf.DUMMYFUNCTION("""COMPUTED_VALUE"""),48641.0)</f>
        <v>48641</v>
      </c>
      <c r="B5849" s="2">
        <f>IFERROR(__xludf.DUMMYFUNCTION("""COMPUTED_VALUE"""),1.0)</f>
        <v>1</v>
      </c>
      <c r="C5849" s="2">
        <f>IFERROR(__xludf.DUMMYFUNCTION("""COMPUTED_VALUE"""),637.0)</f>
        <v>637</v>
      </c>
      <c r="D5849" s="3">
        <f>IFERROR(__xludf.DUMMYFUNCTION("""COMPUTED_VALUE"""),370.0)</f>
        <v>370</v>
      </c>
      <c r="E5849" s="2"/>
      <c r="F5849" s="2"/>
    </row>
    <row r="5850">
      <c r="A5850" s="2">
        <f>IFERROR(__xludf.DUMMYFUNCTION("""COMPUTED_VALUE"""),47543.0)</f>
        <v>47543</v>
      </c>
      <c r="B5850" s="2">
        <f>IFERROR(__xludf.DUMMYFUNCTION("""COMPUTED_VALUE"""),1.0)</f>
        <v>1</v>
      </c>
      <c r="C5850" s="2">
        <f>IFERROR(__xludf.DUMMYFUNCTION("""COMPUTED_VALUE"""),281.0)</f>
        <v>281</v>
      </c>
      <c r="D5850" s="3">
        <f>IFERROR(__xludf.DUMMYFUNCTION("""COMPUTED_VALUE"""),66.0)</f>
        <v>66</v>
      </c>
      <c r="E5850" s="2"/>
      <c r="F5850" s="2"/>
    </row>
    <row r="5851">
      <c r="A5851" s="2">
        <f>IFERROR(__xludf.DUMMYFUNCTION("""COMPUTED_VALUE"""),117045.0)</f>
        <v>117045</v>
      </c>
      <c r="B5851" s="2">
        <f>IFERROR(__xludf.DUMMYFUNCTION("""COMPUTED_VALUE"""),0.0)</f>
        <v>0</v>
      </c>
      <c r="C5851" s="2">
        <f>IFERROR(__xludf.DUMMYFUNCTION("""COMPUTED_VALUE"""),448.0)</f>
        <v>448</v>
      </c>
      <c r="D5851" s="3">
        <f>IFERROR(__xludf.DUMMYFUNCTION("""COMPUTED_VALUE"""),412.0)</f>
        <v>412</v>
      </c>
      <c r="E5851" s="2"/>
      <c r="F5851" s="2"/>
    </row>
    <row r="5852">
      <c r="A5852" s="2">
        <f>IFERROR(__xludf.DUMMYFUNCTION("""COMPUTED_VALUE"""),109276.0)</f>
        <v>109276</v>
      </c>
      <c r="B5852" s="2">
        <f>IFERROR(__xludf.DUMMYFUNCTION("""COMPUTED_VALUE"""),0.0)</f>
        <v>0</v>
      </c>
      <c r="C5852" s="2">
        <f>IFERROR(__xludf.DUMMYFUNCTION("""COMPUTED_VALUE"""),601.0)</f>
        <v>601</v>
      </c>
      <c r="D5852" s="3">
        <f>IFERROR(__xludf.DUMMYFUNCTION("""COMPUTED_VALUE"""),81.0)</f>
        <v>81</v>
      </c>
      <c r="E5852" s="2"/>
      <c r="F5852" s="2"/>
    </row>
    <row r="5853">
      <c r="A5853" s="2">
        <f>IFERROR(__xludf.DUMMYFUNCTION("""COMPUTED_VALUE"""),117040.0)</f>
        <v>117040</v>
      </c>
      <c r="B5853" s="2">
        <f>IFERROR(__xludf.DUMMYFUNCTION("""COMPUTED_VALUE"""),0.0)</f>
        <v>0</v>
      </c>
      <c r="C5853" s="2">
        <f>IFERROR(__xludf.DUMMYFUNCTION("""COMPUTED_VALUE"""),179.0)</f>
        <v>179</v>
      </c>
      <c r="D5853" s="3">
        <f>IFERROR(__xludf.DUMMYFUNCTION("""COMPUTED_VALUE"""),140.0)</f>
        <v>140</v>
      </c>
      <c r="E5853" s="2"/>
      <c r="F5853" s="2"/>
    </row>
    <row r="5854">
      <c r="A5854" s="2">
        <f>IFERROR(__xludf.DUMMYFUNCTION("""COMPUTED_VALUE"""),108485.0)</f>
        <v>108485</v>
      </c>
      <c r="B5854" s="2">
        <f>IFERROR(__xludf.DUMMYFUNCTION("""COMPUTED_VALUE"""),1.0)</f>
        <v>1</v>
      </c>
      <c r="C5854" s="2">
        <f>IFERROR(__xludf.DUMMYFUNCTION("""COMPUTED_VALUE"""),543.0)</f>
        <v>543</v>
      </c>
      <c r="D5854" s="3">
        <f>IFERROR(__xludf.DUMMYFUNCTION("""COMPUTED_VALUE"""),5.0)</f>
        <v>5</v>
      </c>
      <c r="E5854" s="2"/>
      <c r="F5854" s="2"/>
    </row>
    <row r="5855">
      <c r="A5855" s="2">
        <f>IFERROR(__xludf.DUMMYFUNCTION("""COMPUTED_VALUE"""),80095.0)</f>
        <v>80095</v>
      </c>
      <c r="B5855" s="2">
        <f>IFERROR(__xludf.DUMMYFUNCTION("""COMPUTED_VALUE"""),0.0)</f>
        <v>0</v>
      </c>
      <c r="C5855" s="2">
        <f>IFERROR(__xludf.DUMMYFUNCTION("""COMPUTED_VALUE"""),712.0)</f>
        <v>712</v>
      </c>
      <c r="D5855" s="3">
        <f>IFERROR(__xludf.DUMMYFUNCTION("""COMPUTED_VALUE"""),697.0)</f>
        <v>697</v>
      </c>
      <c r="E5855" s="2"/>
      <c r="F5855" s="2"/>
    </row>
    <row r="5856">
      <c r="A5856" s="2">
        <f>IFERROR(__xludf.DUMMYFUNCTION("""COMPUTED_VALUE"""),117044.0)</f>
        <v>117044</v>
      </c>
      <c r="B5856" s="2">
        <f>IFERROR(__xludf.DUMMYFUNCTION("""COMPUTED_VALUE"""),0.0)</f>
        <v>0</v>
      </c>
      <c r="C5856" s="2">
        <f>IFERROR(__xludf.DUMMYFUNCTION("""COMPUTED_VALUE"""),923.0)</f>
        <v>923</v>
      </c>
      <c r="D5856" s="3">
        <f>IFERROR(__xludf.DUMMYFUNCTION("""COMPUTED_VALUE"""),321.0)</f>
        <v>321</v>
      </c>
      <c r="E5856" s="2"/>
      <c r="F5856" s="2"/>
    </row>
    <row r="5857">
      <c r="A5857" s="2">
        <f>IFERROR(__xludf.DUMMYFUNCTION("""COMPUTED_VALUE"""),69279.0)</f>
        <v>69279</v>
      </c>
      <c r="B5857" s="2">
        <f>IFERROR(__xludf.DUMMYFUNCTION("""COMPUTED_VALUE"""),1.0)</f>
        <v>1</v>
      </c>
      <c r="C5857" s="2">
        <f>IFERROR(__xludf.DUMMYFUNCTION("""COMPUTED_VALUE"""),201.0)</f>
        <v>201</v>
      </c>
      <c r="D5857" s="3">
        <f>IFERROR(__xludf.DUMMYFUNCTION("""COMPUTED_VALUE"""),20.0)</f>
        <v>20</v>
      </c>
      <c r="E5857" s="2"/>
      <c r="F5857" s="2"/>
    </row>
    <row r="5858">
      <c r="A5858" s="2">
        <f>IFERROR(__xludf.DUMMYFUNCTION("""COMPUTED_VALUE"""),48642.0)</f>
        <v>48642</v>
      </c>
      <c r="B5858" s="2">
        <f>IFERROR(__xludf.DUMMYFUNCTION("""COMPUTED_VALUE"""),0.0)</f>
        <v>0</v>
      </c>
      <c r="C5858" s="2">
        <f>IFERROR(__xludf.DUMMYFUNCTION("""COMPUTED_VALUE"""),447.0)</f>
        <v>447</v>
      </c>
      <c r="D5858" s="3">
        <f>IFERROR(__xludf.DUMMYFUNCTION("""COMPUTED_VALUE"""),244.0)</f>
        <v>244</v>
      </c>
      <c r="E5858" s="2"/>
      <c r="F5858" s="2"/>
    </row>
    <row r="5859">
      <c r="A5859" s="2">
        <f>IFERROR(__xludf.DUMMYFUNCTION("""COMPUTED_VALUE"""),117569.0)</f>
        <v>117569</v>
      </c>
      <c r="B5859" s="2">
        <f>IFERROR(__xludf.DUMMYFUNCTION("""COMPUTED_VALUE"""),1.0)</f>
        <v>1</v>
      </c>
      <c r="C5859" s="2">
        <f>IFERROR(__xludf.DUMMYFUNCTION("""COMPUTED_VALUE"""),702.0)</f>
        <v>702</v>
      </c>
      <c r="D5859" s="3">
        <f>IFERROR(__xludf.DUMMYFUNCTION("""COMPUTED_VALUE"""),548.0)</f>
        <v>548</v>
      </c>
      <c r="E5859" s="2"/>
      <c r="F5859" s="2"/>
    </row>
    <row r="5860">
      <c r="A5860" s="2">
        <f>IFERROR(__xludf.DUMMYFUNCTION("""COMPUTED_VALUE"""),83590.0)</f>
        <v>83590</v>
      </c>
      <c r="B5860" s="2">
        <f>IFERROR(__xludf.DUMMYFUNCTION("""COMPUTED_VALUE"""),0.0)</f>
        <v>0</v>
      </c>
      <c r="C5860" s="2">
        <f>IFERROR(__xludf.DUMMYFUNCTION("""COMPUTED_VALUE"""),-6.0)</f>
        <v>-6</v>
      </c>
      <c r="D5860" s="3">
        <f>IFERROR(__xludf.DUMMYFUNCTION("""COMPUTED_VALUE"""),0.0)</f>
        <v>0</v>
      </c>
      <c r="E5860" s="2"/>
      <c r="F5860" s="2"/>
    </row>
    <row r="5861">
      <c r="A5861" s="2">
        <f>IFERROR(__xludf.DUMMYFUNCTION("""COMPUTED_VALUE"""),117566.0)</f>
        <v>117566</v>
      </c>
      <c r="B5861" s="2">
        <f>IFERROR(__xludf.DUMMYFUNCTION("""COMPUTED_VALUE"""),0.0)</f>
        <v>0</v>
      </c>
      <c r="C5861" s="2">
        <f>IFERROR(__xludf.DUMMYFUNCTION("""COMPUTED_VALUE"""),698.0)</f>
        <v>698</v>
      </c>
      <c r="D5861" s="3">
        <f>IFERROR(__xludf.DUMMYFUNCTION("""COMPUTED_VALUE"""),660.0)</f>
        <v>660</v>
      </c>
      <c r="E5861" s="2"/>
      <c r="F5861" s="2"/>
    </row>
    <row r="5862">
      <c r="A5862" s="2">
        <f>IFERROR(__xludf.DUMMYFUNCTION("""COMPUTED_VALUE"""),116391.0)</f>
        <v>116391</v>
      </c>
      <c r="B5862" s="2">
        <f>IFERROR(__xludf.DUMMYFUNCTION("""COMPUTED_VALUE"""),1.0)</f>
        <v>1</v>
      </c>
      <c r="C5862" s="2">
        <f>IFERROR(__xludf.DUMMYFUNCTION("""COMPUTED_VALUE"""),659.0)</f>
        <v>659</v>
      </c>
      <c r="D5862" s="3">
        <f>IFERROR(__xludf.DUMMYFUNCTION("""COMPUTED_VALUE"""),371.0)</f>
        <v>371</v>
      </c>
      <c r="E5862" s="2"/>
      <c r="F5862" s="2"/>
    </row>
    <row r="5863">
      <c r="A5863" s="2">
        <f>IFERROR(__xludf.DUMMYFUNCTION("""COMPUTED_VALUE"""),47388.0)</f>
        <v>47388</v>
      </c>
      <c r="B5863" s="2">
        <f>IFERROR(__xludf.DUMMYFUNCTION("""COMPUTED_VALUE"""),1.0)</f>
        <v>1</v>
      </c>
      <c r="C5863" s="2">
        <f>IFERROR(__xludf.DUMMYFUNCTION("""COMPUTED_VALUE"""),334.0)</f>
        <v>334</v>
      </c>
      <c r="D5863" s="3">
        <f>IFERROR(__xludf.DUMMYFUNCTION("""COMPUTED_VALUE"""),99.0)</f>
        <v>99</v>
      </c>
      <c r="E5863" s="2"/>
      <c r="F5863" s="2"/>
    </row>
    <row r="5864">
      <c r="A5864" s="2">
        <f>IFERROR(__xludf.DUMMYFUNCTION("""COMPUTED_VALUE"""),117567.0)</f>
        <v>117567</v>
      </c>
      <c r="B5864" s="2">
        <f>IFERROR(__xludf.DUMMYFUNCTION("""COMPUTED_VALUE"""),0.0)</f>
        <v>0</v>
      </c>
      <c r="C5864" s="2">
        <f>IFERROR(__xludf.DUMMYFUNCTION("""COMPUTED_VALUE"""),874.0)</f>
        <v>874</v>
      </c>
      <c r="D5864" s="3">
        <f>IFERROR(__xludf.DUMMYFUNCTION("""COMPUTED_VALUE"""),807.0)</f>
        <v>807</v>
      </c>
      <c r="E5864" s="2"/>
      <c r="F5864" s="2"/>
    </row>
    <row r="5865">
      <c r="A5865" s="2">
        <f>IFERROR(__xludf.DUMMYFUNCTION("""COMPUTED_VALUE"""),104319.0)</f>
        <v>104319</v>
      </c>
      <c r="B5865" s="2">
        <f>IFERROR(__xludf.DUMMYFUNCTION("""COMPUTED_VALUE"""),0.0)</f>
        <v>0</v>
      </c>
      <c r="C5865" s="2">
        <f>IFERROR(__xludf.DUMMYFUNCTION("""COMPUTED_VALUE"""),550.0)</f>
        <v>550</v>
      </c>
      <c r="D5865" s="3">
        <f>IFERROR(__xludf.DUMMYFUNCTION("""COMPUTED_VALUE"""),74.0)</f>
        <v>74</v>
      </c>
      <c r="E5865" s="2"/>
      <c r="F5865" s="2"/>
    </row>
    <row r="5866">
      <c r="A5866" s="2">
        <f>IFERROR(__xludf.DUMMYFUNCTION("""COMPUTED_VALUE"""),120399.0)</f>
        <v>120399</v>
      </c>
      <c r="B5866" s="2">
        <f>IFERROR(__xludf.DUMMYFUNCTION("""COMPUTED_VALUE"""),0.0)</f>
        <v>0</v>
      </c>
      <c r="C5866" s="2">
        <f>IFERROR(__xludf.DUMMYFUNCTION("""COMPUTED_VALUE"""),165.0)</f>
        <v>165</v>
      </c>
      <c r="D5866" s="3">
        <f>IFERROR(__xludf.DUMMYFUNCTION("""COMPUTED_VALUE"""),107.0)</f>
        <v>107</v>
      </c>
      <c r="E5866" s="2"/>
      <c r="F5866" s="2"/>
    </row>
    <row r="5867">
      <c r="A5867" s="2">
        <f>IFERROR(__xludf.DUMMYFUNCTION("""COMPUTED_VALUE"""),47389.0)</f>
        <v>47389</v>
      </c>
      <c r="B5867" s="2">
        <f>IFERROR(__xludf.DUMMYFUNCTION("""COMPUTED_VALUE"""),0.0)</f>
        <v>0</v>
      </c>
      <c r="C5867" s="2">
        <f>IFERROR(__xludf.DUMMYFUNCTION("""COMPUTED_VALUE"""),894.0)</f>
        <v>894</v>
      </c>
      <c r="D5867" s="3">
        <f>IFERROR(__xludf.DUMMYFUNCTION("""COMPUTED_VALUE"""),281.0)</f>
        <v>281</v>
      </c>
      <c r="E5867" s="2"/>
      <c r="F5867" s="2"/>
    </row>
    <row r="5868">
      <c r="A5868" s="2">
        <f>IFERROR(__xludf.DUMMYFUNCTION("""COMPUTED_VALUE"""),47384.0)</f>
        <v>47384</v>
      </c>
      <c r="B5868" s="2">
        <f>IFERROR(__xludf.DUMMYFUNCTION("""COMPUTED_VALUE"""),1.0)</f>
        <v>1</v>
      </c>
      <c r="C5868" s="2">
        <f>IFERROR(__xludf.DUMMYFUNCTION("""COMPUTED_VALUE"""),685.0)</f>
        <v>685</v>
      </c>
      <c r="D5868" s="3">
        <f>IFERROR(__xludf.DUMMYFUNCTION("""COMPUTED_VALUE"""),666.0)</f>
        <v>666</v>
      </c>
      <c r="E5868" s="2"/>
      <c r="F5868" s="2"/>
    </row>
    <row r="5869">
      <c r="A5869" s="2">
        <f>IFERROR(__xludf.DUMMYFUNCTION("""COMPUTED_VALUE"""),117568.0)</f>
        <v>117568</v>
      </c>
      <c r="B5869" s="2">
        <f>IFERROR(__xludf.DUMMYFUNCTION("""COMPUTED_VALUE"""),1.0)</f>
        <v>1</v>
      </c>
      <c r="C5869" s="2">
        <f>IFERROR(__xludf.DUMMYFUNCTION("""COMPUTED_VALUE"""),796.0)</f>
        <v>796</v>
      </c>
      <c r="D5869" s="3">
        <f>IFERROR(__xludf.DUMMYFUNCTION("""COMPUTED_VALUE"""),141.0)</f>
        <v>141</v>
      </c>
      <c r="E5869" s="2"/>
      <c r="F5869" s="2"/>
    </row>
    <row r="5870">
      <c r="A5870" s="2">
        <f>IFERROR(__xludf.DUMMYFUNCTION("""COMPUTED_VALUE"""),80233.0)</f>
        <v>80233</v>
      </c>
      <c r="B5870" s="2">
        <f>IFERROR(__xludf.DUMMYFUNCTION("""COMPUTED_VALUE"""),1.0)</f>
        <v>1</v>
      </c>
      <c r="C5870" s="2">
        <f>IFERROR(__xludf.DUMMYFUNCTION("""COMPUTED_VALUE"""),873.0)</f>
        <v>873</v>
      </c>
      <c r="D5870" s="3">
        <f>IFERROR(__xludf.DUMMYFUNCTION("""COMPUTED_VALUE"""),343.0)</f>
        <v>343</v>
      </c>
      <c r="E5870" s="2"/>
      <c r="F5870" s="2"/>
    </row>
    <row r="5871">
      <c r="A5871" s="2">
        <f>IFERROR(__xludf.DUMMYFUNCTION("""COMPUTED_VALUE"""),120396.0)</f>
        <v>120396</v>
      </c>
      <c r="B5871" s="2">
        <f>IFERROR(__xludf.DUMMYFUNCTION("""COMPUTED_VALUE"""),0.0)</f>
        <v>0</v>
      </c>
      <c r="C5871" s="2">
        <f>IFERROR(__xludf.DUMMYFUNCTION("""COMPUTED_VALUE"""),286.0)</f>
        <v>286</v>
      </c>
      <c r="D5871" s="3">
        <f>IFERROR(__xludf.DUMMYFUNCTION("""COMPUTED_VALUE"""),68.0)</f>
        <v>68</v>
      </c>
      <c r="E5871" s="2"/>
      <c r="F5871" s="2"/>
    </row>
    <row r="5872">
      <c r="A5872" s="2">
        <f>IFERROR(__xludf.DUMMYFUNCTION("""COMPUTED_VALUE"""),47386.0)</f>
        <v>47386</v>
      </c>
      <c r="B5872" s="2">
        <f>IFERROR(__xludf.DUMMYFUNCTION("""COMPUTED_VALUE"""),0.0)</f>
        <v>0</v>
      </c>
      <c r="C5872" s="2">
        <f>IFERROR(__xludf.DUMMYFUNCTION("""COMPUTED_VALUE"""),908.0)</f>
        <v>908</v>
      </c>
      <c r="D5872" s="3">
        <f>IFERROR(__xludf.DUMMYFUNCTION("""COMPUTED_VALUE"""),796.0)</f>
        <v>796</v>
      </c>
      <c r="E5872" s="2"/>
      <c r="F5872" s="2"/>
    </row>
    <row r="5873">
      <c r="A5873" s="2">
        <f>IFERROR(__xludf.DUMMYFUNCTION("""COMPUTED_VALUE"""),110294.0)</f>
        <v>110294</v>
      </c>
      <c r="B5873" s="2">
        <f>IFERROR(__xludf.DUMMYFUNCTION("""COMPUTED_VALUE"""),1.0)</f>
        <v>1</v>
      </c>
      <c r="C5873" s="2">
        <f>IFERROR(__xludf.DUMMYFUNCTION("""COMPUTED_VALUE"""),320.0)</f>
        <v>320</v>
      </c>
      <c r="D5873" s="3">
        <f>IFERROR(__xludf.DUMMYFUNCTION("""COMPUTED_VALUE"""),171.0)</f>
        <v>171</v>
      </c>
      <c r="E5873" s="2"/>
      <c r="F5873" s="2"/>
    </row>
    <row r="5874">
      <c r="A5874" s="2">
        <f>IFERROR(__xludf.DUMMYFUNCTION("""COMPUTED_VALUE"""),47374.0)</f>
        <v>47374</v>
      </c>
      <c r="B5874" s="2">
        <f>IFERROR(__xludf.DUMMYFUNCTION("""COMPUTED_VALUE"""),0.0)</f>
        <v>0</v>
      </c>
      <c r="C5874" s="2">
        <f>IFERROR(__xludf.DUMMYFUNCTION("""COMPUTED_VALUE"""),764.0)</f>
        <v>764</v>
      </c>
      <c r="D5874" s="3">
        <f>IFERROR(__xludf.DUMMYFUNCTION("""COMPUTED_VALUE"""),173.0)</f>
        <v>173</v>
      </c>
      <c r="E5874" s="2"/>
      <c r="F5874" s="2"/>
    </row>
    <row r="5875">
      <c r="A5875" s="2">
        <f>IFERROR(__xludf.DUMMYFUNCTION("""COMPUTED_VALUE"""),115586.0)</f>
        <v>115586</v>
      </c>
      <c r="B5875" s="2">
        <f>IFERROR(__xludf.DUMMYFUNCTION("""COMPUTED_VALUE"""),1.0)</f>
        <v>1</v>
      </c>
      <c r="C5875" s="2">
        <f>IFERROR(__xludf.DUMMYFUNCTION("""COMPUTED_VALUE"""),496.0)</f>
        <v>496</v>
      </c>
      <c r="D5875" s="3">
        <f>IFERROR(__xludf.DUMMYFUNCTION("""COMPUTED_VALUE"""),464.0)</f>
        <v>464</v>
      </c>
      <c r="E5875" s="2"/>
      <c r="F5875" s="2"/>
    </row>
    <row r="5876">
      <c r="A5876" s="2">
        <f>IFERROR(__xludf.DUMMYFUNCTION("""COMPUTED_VALUE"""),112736.0)</f>
        <v>112736</v>
      </c>
      <c r="B5876" s="2">
        <f>IFERROR(__xludf.DUMMYFUNCTION("""COMPUTED_VALUE"""),1.0)</f>
        <v>1</v>
      </c>
      <c r="C5876" s="2">
        <f>IFERROR(__xludf.DUMMYFUNCTION("""COMPUTED_VALUE"""),743.0)</f>
        <v>743</v>
      </c>
      <c r="D5876" s="3">
        <f>IFERROR(__xludf.DUMMYFUNCTION("""COMPUTED_VALUE"""),231.0)</f>
        <v>231</v>
      </c>
      <c r="E5876" s="2"/>
      <c r="F5876" s="2"/>
    </row>
    <row r="5877">
      <c r="A5877" s="2">
        <f>IFERROR(__xludf.DUMMYFUNCTION("""COMPUTED_VALUE"""),80234.0)</f>
        <v>80234</v>
      </c>
      <c r="B5877" s="2">
        <f>IFERROR(__xludf.DUMMYFUNCTION("""COMPUTED_VALUE"""),1.0)</f>
        <v>1</v>
      </c>
      <c r="C5877" s="2">
        <f>IFERROR(__xludf.DUMMYFUNCTION("""COMPUTED_VALUE"""),282.0)</f>
        <v>282</v>
      </c>
      <c r="D5877" s="3">
        <f>IFERROR(__xludf.DUMMYFUNCTION("""COMPUTED_VALUE"""),137.0)</f>
        <v>137</v>
      </c>
      <c r="E5877" s="2"/>
      <c r="F5877" s="2"/>
    </row>
    <row r="5878">
      <c r="A5878" s="2">
        <f>IFERROR(__xludf.DUMMYFUNCTION("""COMPUTED_VALUE"""),92426.0)</f>
        <v>92426</v>
      </c>
      <c r="B5878" s="2">
        <f>IFERROR(__xludf.DUMMYFUNCTION("""COMPUTED_VALUE"""),0.0)</f>
        <v>0</v>
      </c>
      <c r="C5878" s="2">
        <f>IFERROR(__xludf.DUMMYFUNCTION("""COMPUTED_VALUE"""),293.0)</f>
        <v>293</v>
      </c>
      <c r="D5878" s="3">
        <f>IFERROR(__xludf.DUMMYFUNCTION("""COMPUTED_VALUE"""),176.0)</f>
        <v>176</v>
      </c>
      <c r="E5878" s="2"/>
      <c r="F5878" s="2"/>
    </row>
    <row r="5879">
      <c r="A5879" s="2">
        <f>IFERROR(__xludf.DUMMYFUNCTION("""COMPUTED_VALUE"""),92429.0)</f>
        <v>92429</v>
      </c>
      <c r="B5879" s="2">
        <f>IFERROR(__xludf.DUMMYFUNCTION("""COMPUTED_VALUE"""),1.0)</f>
        <v>1</v>
      </c>
      <c r="C5879" s="2">
        <f>IFERROR(__xludf.DUMMYFUNCTION("""COMPUTED_VALUE"""),15.0)</f>
        <v>15</v>
      </c>
      <c r="D5879" s="3">
        <f>IFERROR(__xludf.DUMMYFUNCTION("""COMPUTED_VALUE"""),8.0)</f>
        <v>8</v>
      </c>
      <c r="E5879" s="2"/>
      <c r="F5879" s="2"/>
    </row>
    <row r="5880">
      <c r="A5880" s="2">
        <f>IFERROR(__xludf.DUMMYFUNCTION("""COMPUTED_VALUE"""),117572.0)</f>
        <v>117572</v>
      </c>
      <c r="B5880" s="2">
        <f>IFERROR(__xludf.DUMMYFUNCTION("""COMPUTED_VALUE"""),0.0)</f>
        <v>0</v>
      </c>
      <c r="C5880" s="2">
        <f>IFERROR(__xludf.DUMMYFUNCTION("""COMPUTED_VALUE"""),398.0)</f>
        <v>398</v>
      </c>
      <c r="D5880" s="3">
        <f>IFERROR(__xludf.DUMMYFUNCTION("""COMPUTED_VALUE"""),127.0)</f>
        <v>127</v>
      </c>
      <c r="E5880" s="2"/>
      <c r="F5880" s="2"/>
    </row>
    <row r="5881">
      <c r="A5881" s="2">
        <f>IFERROR(__xludf.DUMMYFUNCTION("""COMPUTED_VALUE"""),110982.0)</f>
        <v>110982</v>
      </c>
      <c r="B5881" s="2">
        <f>IFERROR(__xludf.DUMMYFUNCTION("""COMPUTED_VALUE"""),1.0)</f>
        <v>1</v>
      </c>
      <c r="C5881" s="2">
        <f>IFERROR(__xludf.DUMMYFUNCTION("""COMPUTED_VALUE"""),720.0)</f>
        <v>720</v>
      </c>
      <c r="D5881" s="3">
        <f>IFERROR(__xludf.DUMMYFUNCTION("""COMPUTED_VALUE"""),509.0)</f>
        <v>509</v>
      </c>
      <c r="E5881" s="2"/>
      <c r="F5881" s="2"/>
    </row>
    <row r="5882">
      <c r="A5882" s="2">
        <f>IFERROR(__xludf.DUMMYFUNCTION("""COMPUTED_VALUE"""),92442.0)</f>
        <v>92442</v>
      </c>
      <c r="B5882" s="2">
        <f>IFERROR(__xludf.DUMMYFUNCTION("""COMPUTED_VALUE"""),1.0)</f>
        <v>1</v>
      </c>
      <c r="C5882" s="2">
        <f>IFERROR(__xludf.DUMMYFUNCTION("""COMPUTED_VALUE"""),15.0)</f>
        <v>15</v>
      </c>
      <c r="D5882" s="3">
        <f>IFERROR(__xludf.DUMMYFUNCTION("""COMPUTED_VALUE"""),13.0)</f>
        <v>13</v>
      </c>
      <c r="E5882" s="2"/>
      <c r="F5882" s="2"/>
    </row>
    <row r="5883">
      <c r="A5883" s="2">
        <f>IFERROR(__xludf.DUMMYFUNCTION("""COMPUTED_VALUE"""),83591.0)</f>
        <v>83591</v>
      </c>
      <c r="B5883" s="2">
        <f>IFERROR(__xludf.DUMMYFUNCTION("""COMPUTED_VALUE"""),1.0)</f>
        <v>1</v>
      </c>
      <c r="C5883" s="2">
        <f>IFERROR(__xludf.DUMMYFUNCTION("""COMPUTED_VALUE"""),688.0)</f>
        <v>688</v>
      </c>
      <c r="D5883" s="3">
        <f>IFERROR(__xludf.DUMMYFUNCTION("""COMPUTED_VALUE"""),662.0)</f>
        <v>662</v>
      </c>
      <c r="E5883" s="2"/>
      <c r="F5883" s="2"/>
    </row>
    <row r="5884">
      <c r="A5884" s="2">
        <f>IFERROR(__xludf.DUMMYFUNCTION("""COMPUTED_VALUE"""),104318.0)</f>
        <v>104318</v>
      </c>
      <c r="B5884" s="2">
        <f>IFERROR(__xludf.DUMMYFUNCTION("""COMPUTED_VALUE"""),0.0)</f>
        <v>0</v>
      </c>
      <c r="C5884" s="2">
        <f>IFERROR(__xludf.DUMMYFUNCTION("""COMPUTED_VALUE"""),452.0)</f>
        <v>452</v>
      </c>
      <c r="D5884" s="3">
        <f>IFERROR(__xludf.DUMMYFUNCTION("""COMPUTED_VALUE"""),71.0)</f>
        <v>71</v>
      </c>
      <c r="E5884" s="2"/>
      <c r="F5884" s="2"/>
    </row>
    <row r="5885">
      <c r="A5885" s="2">
        <f>IFERROR(__xludf.DUMMYFUNCTION("""COMPUTED_VALUE"""),112740.0)</f>
        <v>112740</v>
      </c>
      <c r="B5885" s="2">
        <f>IFERROR(__xludf.DUMMYFUNCTION("""COMPUTED_VALUE"""),0.0)</f>
        <v>0</v>
      </c>
      <c r="C5885" s="2">
        <f>IFERROR(__xludf.DUMMYFUNCTION("""COMPUTED_VALUE"""),35.0)</f>
        <v>35</v>
      </c>
      <c r="D5885" s="3">
        <f>IFERROR(__xludf.DUMMYFUNCTION("""COMPUTED_VALUE"""),19.0)</f>
        <v>19</v>
      </c>
      <c r="E5885" s="2"/>
      <c r="F5885" s="2"/>
    </row>
    <row r="5886">
      <c r="A5886" s="2">
        <f>IFERROR(__xludf.DUMMYFUNCTION("""COMPUTED_VALUE"""),117570.0)</f>
        <v>117570</v>
      </c>
      <c r="B5886" s="2">
        <f>IFERROR(__xludf.DUMMYFUNCTION("""COMPUTED_VALUE"""),0.0)</f>
        <v>0</v>
      </c>
      <c r="C5886" s="2">
        <f>IFERROR(__xludf.DUMMYFUNCTION("""COMPUTED_VALUE"""),633.0)</f>
        <v>633</v>
      </c>
      <c r="D5886" s="3">
        <f>IFERROR(__xludf.DUMMYFUNCTION("""COMPUTED_VALUE"""),484.0)</f>
        <v>484</v>
      </c>
      <c r="E5886" s="2"/>
      <c r="F5886" s="2"/>
    </row>
    <row r="5887">
      <c r="A5887" s="2">
        <f>IFERROR(__xludf.DUMMYFUNCTION("""COMPUTED_VALUE"""),115584.0)</f>
        <v>115584</v>
      </c>
      <c r="B5887" s="2">
        <f>IFERROR(__xludf.DUMMYFUNCTION("""COMPUTED_VALUE"""),0.0)</f>
        <v>0</v>
      </c>
      <c r="C5887" s="2">
        <f>IFERROR(__xludf.DUMMYFUNCTION("""COMPUTED_VALUE"""),744.0)</f>
        <v>744</v>
      </c>
      <c r="D5887" s="3">
        <f>IFERROR(__xludf.DUMMYFUNCTION("""COMPUTED_VALUE"""),512.0)</f>
        <v>512</v>
      </c>
      <c r="E5887" s="2"/>
      <c r="F5887" s="2"/>
    </row>
    <row r="5888">
      <c r="A5888" s="2">
        <f>IFERROR(__xludf.DUMMYFUNCTION("""COMPUTED_VALUE"""),47629.0)</f>
        <v>47629</v>
      </c>
      <c r="B5888" s="2">
        <f>IFERROR(__xludf.DUMMYFUNCTION("""COMPUTED_VALUE"""),1.0)</f>
        <v>1</v>
      </c>
      <c r="C5888" s="2">
        <f>IFERROR(__xludf.DUMMYFUNCTION("""COMPUTED_VALUE"""),514.0)</f>
        <v>514</v>
      </c>
      <c r="D5888" s="3">
        <f>IFERROR(__xludf.DUMMYFUNCTION("""COMPUTED_VALUE"""),147.0)</f>
        <v>147</v>
      </c>
      <c r="E5888" s="2"/>
      <c r="F5888" s="2"/>
    </row>
    <row r="5889">
      <c r="A5889" s="2">
        <f>IFERROR(__xludf.DUMMYFUNCTION("""COMPUTED_VALUE"""),116389.0)</f>
        <v>116389</v>
      </c>
      <c r="B5889" s="2">
        <f>IFERROR(__xludf.DUMMYFUNCTION("""COMPUTED_VALUE"""),1.0)</f>
        <v>1</v>
      </c>
      <c r="C5889" s="2">
        <f>IFERROR(__xludf.DUMMYFUNCTION("""COMPUTED_VALUE"""),895.0)</f>
        <v>895</v>
      </c>
      <c r="D5889" s="3">
        <f>IFERROR(__xludf.DUMMYFUNCTION("""COMPUTED_VALUE"""),436.0)</f>
        <v>436</v>
      </c>
      <c r="E5889" s="2"/>
      <c r="F5889" s="2"/>
    </row>
    <row r="5890">
      <c r="A5890" s="2">
        <f>IFERROR(__xludf.DUMMYFUNCTION("""COMPUTED_VALUE"""),117573.0)</f>
        <v>117573</v>
      </c>
      <c r="B5890" s="2">
        <f>IFERROR(__xludf.DUMMYFUNCTION("""COMPUTED_VALUE"""),0.0)</f>
        <v>0</v>
      </c>
      <c r="C5890" s="2">
        <f>IFERROR(__xludf.DUMMYFUNCTION("""COMPUTED_VALUE"""),438.0)</f>
        <v>438</v>
      </c>
      <c r="D5890" s="3">
        <f>IFERROR(__xludf.DUMMYFUNCTION("""COMPUTED_VALUE"""),312.0)</f>
        <v>312</v>
      </c>
      <c r="E5890" s="2"/>
      <c r="F5890" s="2"/>
    </row>
    <row r="5891">
      <c r="A5891" s="2">
        <f>IFERROR(__xludf.DUMMYFUNCTION("""COMPUTED_VALUE"""),47638.0)</f>
        <v>47638</v>
      </c>
      <c r="B5891" s="2">
        <f>IFERROR(__xludf.DUMMYFUNCTION("""COMPUTED_VALUE"""),0.0)</f>
        <v>0</v>
      </c>
      <c r="C5891" s="2">
        <f>IFERROR(__xludf.DUMMYFUNCTION("""COMPUTED_VALUE"""),245.0)</f>
        <v>245</v>
      </c>
      <c r="D5891" s="3">
        <f>IFERROR(__xludf.DUMMYFUNCTION("""COMPUTED_VALUE"""),205.0)</f>
        <v>205</v>
      </c>
      <c r="E5891" s="2"/>
      <c r="F5891" s="2"/>
    </row>
    <row r="5892">
      <c r="A5892" s="2">
        <f>IFERROR(__xludf.DUMMYFUNCTION("""COMPUTED_VALUE"""),110219.0)</f>
        <v>110219</v>
      </c>
      <c r="B5892" s="2">
        <f>IFERROR(__xludf.DUMMYFUNCTION("""COMPUTED_VALUE"""),1.0)</f>
        <v>1</v>
      </c>
      <c r="C5892" s="2">
        <f>IFERROR(__xludf.DUMMYFUNCTION("""COMPUTED_VALUE"""),272.0)</f>
        <v>272</v>
      </c>
      <c r="D5892" s="3">
        <f>IFERROR(__xludf.DUMMYFUNCTION("""COMPUTED_VALUE"""),152.0)</f>
        <v>152</v>
      </c>
      <c r="E5892" s="2"/>
      <c r="F5892" s="2"/>
    </row>
    <row r="5893">
      <c r="A5893" s="2">
        <f>IFERROR(__xludf.DUMMYFUNCTION("""COMPUTED_VALUE"""),116851.0)</f>
        <v>116851</v>
      </c>
      <c r="B5893" s="2">
        <f>IFERROR(__xludf.DUMMYFUNCTION("""COMPUTED_VALUE"""),0.0)</f>
        <v>0</v>
      </c>
      <c r="C5893" s="2">
        <f>IFERROR(__xludf.DUMMYFUNCTION("""COMPUTED_VALUE"""),980.0)</f>
        <v>980</v>
      </c>
      <c r="D5893" s="3">
        <f>IFERROR(__xludf.DUMMYFUNCTION("""COMPUTED_VALUE"""),2.0)</f>
        <v>2</v>
      </c>
      <c r="E5893" s="2"/>
      <c r="F5893" s="2"/>
    </row>
    <row r="5894">
      <c r="A5894" s="2">
        <f>IFERROR(__xludf.DUMMYFUNCTION("""COMPUTED_VALUE"""),122737.0)</f>
        <v>122737</v>
      </c>
      <c r="B5894" s="2">
        <f>IFERROR(__xludf.DUMMYFUNCTION("""COMPUTED_VALUE"""),0.0)</f>
        <v>0</v>
      </c>
      <c r="C5894" s="2">
        <f>IFERROR(__xludf.DUMMYFUNCTION("""COMPUTED_VALUE"""),928.0)</f>
        <v>928</v>
      </c>
      <c r="D5894" s="3">
        <f>IFERROR(__xludf.DUMMYFUNCTION("""COMPUTED_VALUE"""),371.0)</f>
        <v>371</v>
      </c>
      <c r="E5894" s="2"/>
      <c r="F5894" s="2"/>
    </row>
    <row r="5895">
      <c r="A5895" s="2">
        <f>IFERROR(__xludf.DUMMYFUNCTION("""COMPUTED_VALUE"""),110226.0)</f>
        <v>110226</v>
      </c>
      <c r="B5895" s="2">
        <f>IFERROR(__xludf.DUMMYFUNCTION("""COMPUTED_VALUE"""),0.0)</f>
        <v>0</v>
      </c>
      <c r="C5895" s="2">
        <f>IFERROR(__xludf.DUMMYFUNCTION("""COMPUTED_VALUE"""),342.0)</f>
        <v>342</v>
      </c>
      <c r="D5895" s="3">
        <f>IFERROR(__xludf.DUMMYFUNCTION("""COMPUTED_VALUE"""),85.0)</f>
        <v>85</v>
      </c>
      <c r="E5895" s="2"/>
      <c r="F5895" s="2"/>
    </row>
    <row r="5896">
      <c r="A5896" s="2">
        <f>IFERROR(__xludf.DUMMYFUNCTION("""COMPUTED_VALUE"""),115773.0)</f>
        <v>115773</v>
      </c>
      <c r="B5896" s="2">
        <f>IFERROR(__xludf.DUMMYFUNCTION("""COMPUTED_VALUE"""),0.0)</f>
        <v>0</v>
      </c>
      <c r="C5896" s="2">
        <f>IFERROR(__xludf.DUMMYFUNCTION("""COMPUTED_VALUE"""),632.0)</f>
        <v>632</v>
      </c>
      <c r="D5896" s="3">
        <f>IFERROR(__xludf.DUMMYFUNCTION("""COMPUTED_VALUE"""),243.0)</f>
        <v>243</v>
      </c>
      <c r="E5896" s="2"/>
      <c r="F5896" s="2"/>
    </row>
    <row r="5897">
      <c r="A5897" s="2">
        <f>IFERROR(__xludf.DUMMYFUNCTION("""COMPUTED_VALUE"""),109580.0)</f>
        <v>109580</v>
      </c>
      <c r="B5897" s="2">
        <f>IFERROR(__xludf.DUMMYFUNCTION("""COMPUTED_VALUE"""),1.0)</f>
        <v>1</v>
      </c>
      <c r="C5897" s="2">
        <f>IFERROR(__xludf.DUMMYFUNCTION("""COMPUTED_VALUE"""),84.0)</f>
        <v>84</v>
      </c>
      <c r="D5897" s="3">
        <f>IFERROR(__xludf.DUMMYFUNCTION("""COMPUTED_VALUE"""),5.0)</f>
        <v>5</v>
      </c>
      <c r="E5897" s="2"/>
      <c r="F5897" s="2"/>
    </row>
    <row r="5898">
      <c r="A5898" s="2">
        <f>IFERROR(__xludf.DUMMYFUNCTION("""COMPUTED_VALUE"""),114255.0)</f>
        <v>114255</v>
      </c>
      <c r="B5898" s="2">
        <f>IFERROR(__xludf.DUMMYFUNCTION("""COMPUTED_VALUE"""),0.0)</f>
        <v>0</v>
      </c>
      <c r="C5898" s="2">
        <f>IFERROR(__xludf.DUMMYFUNCTION("""COMPUTED_VALUE"""),493.0)</f>
        <v>493</v>
      </c>
      <c r="D5898" s="3">
        <f>IFERROR(__xludf.DUMMYFUNCTION("""COMPUTED_VALUE"""),107.0)</f>
        <v>107</v>
      </c>
      <c r="E5898" s="2"/>
      <c r="F5898" s="2"/>
    </row>
    <row r="5899">
      <c r="A5899" s="2">
        <f>IFERROR(__xludf.DUMMYFUNCTION("""COMPUTED_VALUE"""),122745.0)</f>
        <v>122745</v>
      </c>
      <c r="B5899" s="2">
        <f>IFERROR(__xludf.DUMMYFUNCTION("""COMPUTED_VALUE"""),1.0)</f>
        <v>1</v>
      </c>
      <c r="C5899" s="2">
        <f>IFERROR(__xludf.DUMMYFUNCTION("""COMPUTED_VALUE"""),320.0)</f>
        <v>320</v>
      </c>
      <c r="D5899" s="3">
        <f>IFERROR(__xludf.DUMMYFUNCTION("""COMPUTED_VALUE"""),188.0)</f>
        <v>188</v>
      </c>
      <c r="E5899" s="2"/>
      <c r="F5899" s="2"/>
    </row>
    <row r="5900">
      <c r="A5900" s="2">
        <f>IFERROR(__xludf.DUMMYFUNCTION("""COMPUTED_VALUE"""),116873.0)</f>
        <v>116873</v>
      </c>
      <c r="B5900" s="2">
        <f>IFERROR(__xludf.DUMMYFUNCTION("""COMPUTED_VALUE"""),1.0)</f>
        <v>1</v>
      </c>
      <c r="C5900" s="2">
        <f>IFERROR(__xludf.DUMMYFUNCTION("""COMPUTED_VALUE"""),865.0)</f>
        <v>865</v>
      </c>
      <c r="D5900" s="3">
        <f>IFERROR(__xludf.DUMMYFUNCTION("""COMPUTED_VALUE"""),281.0)</f>
        <v>281</v>
      </c>
      <c r="E5900" s="2"/>
      <c r="F5900" s="2"/>
    </row>
    <row r="5901">
      <c r="A5901" s="2">
        <f>IFERROR(__xludf.DUMMYFUNCTION("""COMPUTED_VALUE"""),110228.0)</f>
        <v>110228</v>
      </c>
      <c r="B5901" s="2">
        <f>IFERROR(__xludf.DUMMYFUNCTION("""COMPUTED_VALUE"""),1.0)</f>
        <v>1</v>
      </c>
      <c r="C5901" s="2">
        <f>IFERROR(__xludf.DUMMYFUNCTION("""COMPUTED_VALUE"""),329.0)</f>
        <v>329</v>
      </c>
      <c r="D5901" s="3">
        <f>IFERROR(__xludf.DUMMYFUNCTION("""COMPUTED_VALUE"""),135.0)</f>
        <v>135</v>
      </c>
      <c r="E5901" s="2"/>
      <c r="F5901"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IFERROR(__xludf.DUMMYFUNCTION("IMPORTRANGE(""https://docs.google.com/spreadsheets/d/1yOpZnyZ5ouw2C51zn4VNSNmNNrizgIE5YAyno7ltBiE/edit"",""stock!A:Z"")"),"product_id")</f>
        <v>product_id</v>
      </c>
      <c r="B1" s="2" t="str">
        <f>IFERROR(__xludf.DUMMYFUNCTION("""COMPUTED_VALUE"""),"new")</f>
        <v>new</v>
      </c>
      <c r="C1" s="2" t="str">
        <f>IFERROR(__xludf.DUMMYFUNCTION("""COMPUTED_VALUE"""),"forecast_stock")</f>
        <v>forecast_stock</v>
      </c>
      <c r="D1" s="2" t="str">
        <f>IFERROR(__xludf.DUMMYFUNCTION("""COMPUTED_VALUE"""),"stock")</f>
        <v>stock</v>
      </c>
      <c r="E1" s="2"/>
      <c r="F1" s="2"/>
    </row>
    <row r="2">
      <c r="A2" s="2">
        <f>IFERROR(__xludf.DUMMYFUNCTION("""COMPUTED_VALUE"""),112463.0)</f>
        <v>112463</v>
      </c>
      <c r="B2" s="2">
        <f>IFERROR(__xludf.DUMMYFUNCTION("""COMPUTED_VALUE"""),0.0)</f>
        <v>0</v>
      </c>
      <c r="C2" s="2">
        <f>IFERROR(__xludf.DUMMYFUNCTION("""COMPUTED_VALUE"""),320.0)</f>
        <v>320</v>
      </c>
      <c r="D2" s="3">
        <f>IFERROR(__xludf.DUMMYFUNCTION("""COMPUTED_VALUE"""),320.0)</f>
        <v>320</v>
      </c>
      <c r="E2" s="2"/>
      <c r="F2" s="2"/>
    </row>
    <row r="3">
      <c r="A3" s="2">
        <f>IFERROR(__xludf.DUMMYFUNCTION("""COMPUTED_VALUE"""),112481.0)</f>
        <v>112481</v>
      </c>
      <c r="B3" s="2">
        <f>IFERROR(__xludf.DUMMYFUNCTION("""COMPUTED_VALUE"""),0.0)</f>
        <v>0</v>
      </c>
      <c r="C3" s="2">
        <f>IFERROR(__xludf.DUMMYFUNCTION("""COMPUTED_VALUE"""),0.0)</f>
        <v>0</v>
      </c>
      <c r="D3" s="3">
        <f>IFERROR(__xludf.DUMMYFUNCTION("""COMPUTED_VALUE"""),0.0)</f>
        <v>0</v>
      </c>
      <c r="E3" s="2"/>
      <c r="F3" s="2"/>
    </row>
    <row r="4">
      <c r="A4" s="2">
        <f>IFERROR(__xludf.DUMMYFUNCTION("""COMPUTED_VALUE"""),13346.0)</f>
        <v>13346</v>
      </c>
      <c r="B4" s="2">
        <f>IFERROR(__xludf.DUMMYFUNCTION("""COMPUTED_VALUE"""),1.0)</f>
        <v>1</v>
      </c>
      <c r="C4" s="2">
        <f>IFERROR(__xludf.DUMMYFUNCTION("""COMPUTED_VALUE"""),100.0)</f>
        <v>100</v>
      </c>
      <c r="D4" s="3">
        <f>IFERROR(__xludf.DUMMYFUNCTION("""COMPUTED_VALUE"""),100.0)</f>
        <v>100</v>
      </c>
      <c r="E4" s="2"/>
      <c r="F4" s="2"/>
    </row>
    <row r="5">
      <c r="A5" s="2">
        <f>IFERROR(__xludf.DUMMYFUNCTION("""COMPUTED_VALUE"""),112454.0)</f>
        <v>112454</v>
      </c>
      <c r="B5" s="2">
        <f>IFERROR(__xludf.DUMMYFUNCTION("""COMPUTED_VALUE"""),0.0)</f>
        <v>0</v>
      </c>
      <c r="C5" s="2">
        <f>IFERROR(__xludf.DUMMYFUNCTION("""COMPUTED_VALUE"""),277.0)</f>
        <v>277</v>
      </c>
      <c r="D5" s="3">
        <f>IFERROR(__xludf.DUMMYFUNCTION("""COMPUTED_VALUE"""),268.0)</f>
        <v>268</v>
      </c>
      <c r="E5" s="2"/>
      <c r="F5" s="2"/>
    </row>
    <row r="6">
      <c r="A6" s="2">
        <f>IFERROR(__xludf.DUMMYFUNCTION("""COMPUTED_VALUE"""),112461.0)</f>
        <v>112461</v>
      </c>
      <c r="B6" s="2">
        <f>IFERROR(__xludf.DUMMYFUNCTION("""COMPUTED_VALUE"""),0.0)</f>
        <v>0</v>
      </c>
      <c r="C6" s="2">
        <f>IFERROR(__xludf.DUMMYFUNCTION("""COMPUTED_VALUE"""),971.0)</f>
        <v>971</v>
      </c>
      <c r="D6" s="3">
        <f>IFERROR(__xludf.DUMMYFUNCTION("""COMPUTED_VALUE"""),472.0)</f>
        <v>472</v>
      </c>
      <c r="E6" s="2"/>
      <c r="F6" s="2"/>
    </row>
    <row r="7">
      <c r="A7" s="2">
        <f>IFERROR(__xludf.DUMMYFUNCTION("""COMPUTED_VALUE"""),106532.0)</f>
        <v>106532</v>
      </c>
      <c r="B7" s="2">
        <f>IFERROR(__xludf.DUMMYFUNCTION("""COMPUTED_VALUE"""),0.0)</f>
        <v>0</v>
      </c>
      <c r="C7" s="2">
        <f>IFERROR(__xludf.DUMMYFUNCTION("""COMPUTED_VALUE"""),63.0)</f>
        <v>63</v>
      </c>
      <c r="D7" s="3">
        <f>IFERROR(__xludf.DUMMYFUNCTION("""COMPUTED_VALUE"""),63.0)</f>
        <v>63</v>
      </c>
      <c r="E7" s="2"/>
      <c r="F7" s="2"/>
    </row>
    <row r="8">
      <c r="A8" s="2">
        <f>IFERROR(__xludf.DUMMYFUNCTION("""COMPUTED_VALUE"""),121135.0)</f>
        <v>121135</v>
      </c>
      <c r="B8" s="2">
        <f>IFERROR(__xludf.DUMMYFUNCTION("""COMPUTED_VALUE"""),1.0)</f>
        <v>1</v>
      </c>
      <c r="C8" s="2">
        <f>IFERROR(__xludf.DUMMYFUNCTION("""COMPUTED_VALUE"""),40.0)</f>
        <v>40</v>
      </c>
      <c r="D8" s="3">
        <f>IFERROR(__xludf.DUMMYFUNCTION("""COMPUTED_VALUE"""),33.0)</f>
        <v>33</v>
      </c>
      <c r="E8" s="2"/>
      <c r="F8" s="2"/>
    </row>
    <row r="9">
      <c r="A9" s="2">
        <f>IFERROR(__xludf.DUMMYFUNCTION("""COMPUTED_VALUE"""),128362.0)</f>
        <v>128362</v>
      </c>
      <c r="B9" s="2">
        <f>IFERROR(__xludf.DUMMYFUNCTION("""COMPUTED_VALUE"""),1.0)</f>
        <v>1</v>
      </c>
      <c r="C9" s="2">
        <f>IFERROR(__xludf.DUMMYFUNCTION("""COMPUTED_VALUE"""),269.0)</f>
        <v>269</v>
      </c>
      <c r="D9" s="3">
        <f>IFERROR(__xludf.DUMMYFUNCTION("""COMPUTED_VALUE"""),104.0)</f>
        <v>104</v>
      </c>
      <c r="E9" s="2"/>
      <c r="F9" s="2"/>
    </row>
    <row r="10">
      <c r="A10" s="2">
        <f>IFERROR(__xludf.DUMMYFUNCTION("""COMPUTED_VALUE"""),71200.0)</f>
        <v>71200</v>
      </c>
      <c r="B10" s="2">
        <f>IFERROR(__xludf.DUMMYFUNCTION("""COMPUTED_VALUE"""),0.0)</f>
        <v>0</v>
      </c>
      <c r="C10" s="2">
        <f>IFERROR(__xludf.DUMMYFUNCTION("""COMPUTED_VALUE"""),164.0)</f>
        <v>164</v>
      </c>
      <c r="D10" s="3">
        <f>IFERROR(__xludf.DUMMYFUNCTION("""COMPUTED_VALUE"""),152.0)</f>
        <v>152</v>
      </c>
      <c r="E10" s="2"/>
      <c r="F10" s="2"/>
    </row>
    <row r="11">
      <c r="A11" s="2">
        <f>IFERROR(__xludf.DUMMYFUNCTION("""COMPUTED_VALUE"""),19812.0)</f>
        <v>19812</v>
      </c>
      <c r="B11" s="2">
        <f>IFERROR(__xludf.DUMMYFUNCTION("""COMPUTED_VALUE"""),0.0)</f>
        <v>0</v>
      </c>
      <c r="C11" s="2">
        <f>IFERROR(__xludf.DUMMYFUNCTION("""COMPUTED_VALUE"""),489.0)</f>
        <v>489</v>
      </c>
      <c r="D11" s="3">
        <f>IFERROR(__xludf.DUMMYFUNCTION("""COMPUTED_VALUE"""),393.0)</f>
        <v>393</v>
      </c>
      <c r="E11" s="2"/>
      <c r="F11" s="2"/>
    </row>
    <row r="12">
      <c r="A12" s="2">
        <f>IFERROR(__xludf.DUMMYFUNCTION("""COMPUTED_VALUE"""),122259.0)</f>
        <v>122259</v>
      </c>
      <c r="B12" s="2">
        <f>IFERROR(__xludf.DUMMYFUNCTION("""COMPUTED_VALUE"""),1.0)</f>
        <v>1</v>
      </c>
      <c r="C12" s="2">
        <f>IFERROR(__xludf.DUMMYFUNCTION("""COMPUTED_VALUE"""),104.0)</f>
        <v>104</v>
      </c>
      <c r="D12" s="3">
        <f>IFERROR(__xludf.DUMMYFUNCTION("""COMPUTED_VALUE"""),104.0)</f>
        <v>104</v>
      </c>
      <c r="E12" s="2"/>
      <c r="F12" s="2"/>
    </row>
    <row r="13">
      <c r="A13" s="2">
        <f>IFERROR(__xludf.DUMMYFUNCTION("""COMPUTED_VALUE"""),199526.0)</f>
        <v>199526</v>
      </c>
      <c r="B13" s="2">
        <f>IFERROR(__xludf.DUMMYFUNCTION("""COMPUTED_VALUE"""),0.0)</f>
        <v>0</v>
      </c>
      <c r="C13" s="2">
        <f>IFERROR(__xludf.DUMMYFUNCTION("""COMPUTED_VALUE"""),63.0)</f>
        <v>63</v>
      </c>
      <c r="D13" s="3">
        <f>IFERROR(__xludf.DUMMYFUNCTION("""COMPUTED_VALUE"""),60.0)</f>
        <v>60</v>
      </c>
      <c r="E13" s="2"/>
      <c r="F13" s="2"/>
    </row>
    <row r="14">
      <c r="A14" s="2">
        <f>IFERROR(__xludf.DUMMYFUNCTION("""COMPUTED_VALUE"""),140581.0)</f>
        <v>140581</v>
      </c>
      <c r="B14" s="2">
        <f>IFERROR(__xludf.DUMMYFUNCTION("""COMPUTED_VALUE"""),0.0)</f>
        <v>0</v>
      </c>
      <c r="C14" s="2">
        <f>IFERROR(__xludf.DUMMYFUNCTION("""COMPUTED_VALUE"""),14.0)</f>
        <v>14</v>
      </c>
      <c r="D14" s="3">
        <f>IFERROR(__xludf.DUMMYFUNCTION("""COMPUTED_VALUE"""),9.0)</f>
        <v>9</v>
      </c>
      <c r="E14" s="2"/>
      <c r="F14" s="2"/>
    </row>
    <row r="15">
      <c r="A15" s="2">
        <f>IFERROR(__xludf.DUMMYFUNCTION("""COMPUTED_VALUE"""),118383.0)</f>
        <v>118383</v>
      </c>
      <c r="B15" s="2">
        <f>IFERROR(__xludf.DUMMYFUNCTION("""COMPUTED_VALUE"""),0.0)</f>
        <v>0</v>
      </c>
      <c r="C15" s="2">
        <f>IFERROR(__xludf.DUMMYFUNCTION("""COMPUTED_VALUE"""),256.0)</f>
        <v>256</v>
      </c>
      <c r="D15" s="3">
        <f>IFERROR(__xludf.DUMMYFUNCTION("""COMPUTED_VALUE"""),256.0)</f>
        <v>256</v>
      </c>
      <c r="E15" s="2"/>
      <c r="F15" s="2"/>
    </row>
    <row r="16">
      <c r="A16" s="2">
        <f>IFERROR(__xludf.DUMMYFUNCTION("""COMPUTED_VALUE"""),122262.0)</f>
        <v>122262</v>
      </c>
      <c r="B16" s="2">
        <f>IFERROR(__xludf.DUMMYFUNCTION("""COMPUTED_VALUE"""),0.0)</f>
        <v>0</v>
      </c>
      <c r="C16" s="2">
        <f>IFERROR(__xludf.DUMMYFUNCTION("""COMPUTED_VALUE"""),326.0)</f>
        <v>326</v>
      </c>
      <c r="D16" s="3">
        <f>IFERROR(__xludf.DUMMYFUNCTION("""COMPUTED_VALUE"""),326.0)</f>
        <v>326</v>
      </c>
      <c r="E16" s="2"/>
      <c r="F16" s="2"/>
    </row>
    <row r="17">
      <c r="A17" s="2">
        <f>IFERROR(__xludf.DUMMYFUNCTION("""COMPUTED_VALUE"""),141879.0)</f>
        <v>141879</v>
      </c>
      <c r="B17" s="2">
        <f>IFERROR(__xludf.DUMMYFUNCTION("""COMPUTED_VALUE"""),0.0)</f>
        <v>0</v>
      </c>
      <c r="C17" s="2">
        <f>IFERROR(__xludf.DUMMYFUNCTION("""COMPUTED_VALUE"""),11.0)</f>
        <v>11</v>
      </c>
      <c r="D17" s="3">
        <f>IFERROR(__xludf.DUMMYFUNCTION("""COMPUTED_VALUE"""),11.0)</f>
        <v>11</v>
      </c>
      <c r="E17" s="2"/>
      <c r="F17" s="2"/>
    </row>
    <row r="18">
      <c r="A18" s="2">
        <f>IFERROR(__xludf.DUMMYFUNCTION("""COMPUTED_VALUE"""),19826.0)</f>
        <v>19826</v>
      </c>
      <c r="B18" s="2">
        <f>IFERROR(__xludf.DUMMYFUNCTION("""COMPUTED_VALUE"""),0.0)</f>
        <v>0</v>
      </c>
      <c r="C18" s="2">
        <f>IFERROR(__xludf.DUMMYFUNCTION("""COMPUTED_VALUE"""),210.0)</f>
        <v>210</v>
      </c>
      <c r="D18" s="3">
        <f>IFERROR(__xludf.DUMMYFUNCTION("""COMPUTED_VALUE"""),103.0)</f>
        <v>103</v>
      </c>
      <c r="E18" s="2"/>
      <c r="F18" s="2"/>
    </row>
    <row r="19">
      <c r="A19" s="2">
        <f>IFERROR(__xludf.DUMMYFUNCTION("""COMPUTED_VALUE"""),93039.0)</f>
        <v>93039</v>
      </c>
      <c r="B19" s="2">
        <f>IFERROR(__xludf.DUMMYFUNCTION("""COMPUTED_VALUE"""),0.0)</f>
        <v>0</v>
      </c>
      <c r="C19" s="2">
        <f>IFERROR(__xludf.DUMMYFUNCTION("""COMPUTED_VALUE"""),68.0)</f>
        <v>68</v>
      </c>
      <c r="D19" s="3">
        <f>IFERROR(__xludf.DUMMYFUNCTION("""COMPUTED_VALUE"""),68.0)</f>
        <v>68</v>
      </c>
      <c r="E19" s="2"/>
      <c r="F19" s="2"/>
    </row>
    <row r="20">
      <c r="A20" s="2">
        <f>IFERROR(__xludf.DUMMYFUNCTION("""COMPUTED_VALUE"""),128213.0)</f>
        <v>128213</v>
      </c>
      <c r="B20" s="2">
        <f>IFERROR(__xludf.DUMMYFUNCTION("""COMPUTED_VALUE"""),0.0)</f>
        <v>0</v>
      </c>
      <c r="C20" s="2">
        <f>IFERROR(__xludf.DUMMYFUNCTION("""COMPUTED_VALUE"""),318.0)</f>
        <v>318</v>
      </c>
      <c r="D20" s="3">
        <f>IFERROR(__xludf.DUMMYFUNCTION("""COMPUTED_VALUE"""),162.0)</f>
        <v>162</v>
      </c>
      <c r="E20" s="2"/>
      <c r="F20" s="2"/>
    </row>
    <row r="21">
      <c r="A21" s="2">
        <f>IFERROR(__xludf.DUMMYFUNCTION("""COMPUTED_VALUE"""),83797.0)</f>
        <v>83797</v>
      </c>
      <c r="B21" s="2">
        <f>IFERROR(__xludf.DUMMYFUNCTION("""COMPUTED_VALUE"""),0.0)</f>
        <v>0</v>
      </c>
      <c r="C21" s="2">
        <f>IFERROR(__xludf.DUMMYFUNCTION("""COMPUTED_VALUE"""),43.0)</f>
        <v>43</v>
      </c>
      <c r="D21" s="3">
        <f>IFERROR(__xludf.DUMMYFUNCTION("""COMPUTED_VALUE"""),43.0)</f>
        <v>43</v>
      </c>
      <c r="E21" s="2"/>
      <c r="F21" s="2"/>
    </row>
    <row r="22">
      <c r="A22" s="2">
        <f>IFERROR(__xludf.DUMMYFUNCTION("""COMPUTED_VALUE"""),19831.0)</f>
        <v>19831</v>
      </c>
      <c r="B22" s="2">
        <f>IFERROR(__xludf.DUMMYFUNCTION("""COMPUTED_VALUE"""),0.0)</f>
        <v>0</v>
      </c>
      <c r="C22" s="2">
        <f>IFERROR(__xludf.DUMMYFUNCTION("""COMPUTED_VALUE"""),185.0)</f>
        <v>185</v>
      </c>
      <c r="D22" s="3">
        <f>IFERROR(__xludf.DUMMYFUNCTION("""COMPUTED_VALUE"""),134.0)</f>
        <v>134</v>
      </c>
      <c r="E22" s="2"/>
      <c r="F22" s="2"/>
    </row>
    <row r="23">
      <c r="A23" s="2">
        <f>IFERROR(__xludf.DUMMYFUNCTION("""COMPUTED_VALUE"""),93025.0)</f>
        <v>93025</v>
      </c>
      <c r="B23" s="2">
        <f>IFERROR(__xludf.DUMMYFUNCTION("""COMPUTED_VALUE"""),0.0)</f>
        <v>0</v>
      </c>
      <c r="C23" s="2">
        <f>IFERROR(__xludf.DUMMYFUNCTION("""COMPUTED_VALUE"""),305.0)</f>
        <v>305</v>
      </c>
      <c r="D23" s="3">
        <f>IFERROR(__xludf.DUMMYFUNCTION("""COMPUTED_VALUE"""),305.0)</f>
        <v>305</v>
      </c>
      <c r="E23" s="2"/>
      <c r="F23" s="2"/>
    </row>
    <row r="24">
      <c r="A24" s="2">
        <f>IFERROR(__xludf.DUMMYFUNCTION("""COMPUTED_VALUE"""),81624.0)</f>
        <v>81624</v>
      </c>
      <c r="B24" s="2">
        <f>IFERROR(__xludf.DUMMYFUNCTION("""COMPUTED_VALUE"""),1.0)</f>
        <v>1</v>
      </c>
      <c r="C24" s="2">
        <f>IFERROR(__xludf.DUMMYFUNCTION("""COMPUTED_VALUE"""),84.0)</f>
        <v>84</v>
      </c>
      <c r="D24" s="3">
        <f>IFERROR(__xludf.DUMMYFUNCTION("""COMPUTED_VALUE"""),84.0)</f>
        <v>84</v>
      </c>
      <c r="E24" s="2"/>
      <c r="F24" s="2"/>
    </row>
    <row r="25">
      <c r="A25" s="2">
        <f>IFERROR(__xludf.DUMMYFUNCTION("""COMPUTED_VALUE"""),92913.0)</f>
        <v>92913</v>
      </c>
      <c r="B25" s="2">
        <f>IFERROR(__xludf.DUMMYFUNCTION("""COMPUTED_VALUE"""),0.0)</f>
        <v>0</v>
      </c>
      <c r="C25" s="2">
        <f>IFERROR(__xludf.DUMMYFUNCTION("""COMPUTED_VALUE"""),96.0)</f>
        <v>96</v>
      </c>
      <c r="D25" s="3">
        <f>IFERROR(__xludf.DUMMYFUNCTION("""COMPUTED_VALUE"""),96.0)</f>
        <v>96</v>
      </c>
      <c r="E25" s="2"/>
      <c r="F25" s="2"/>
    </row>
    <row r="26">
      <c r="A26" s="2">
        <f>IFERROR(__xludf.DUMMYFUNCTION("""COMPUTED_VALUE"""),126983.0)</f>
        <v>126983</v>
      </c>
      <c r="B26" s="2">
        <f>IFERROR(__xludf.DUMMYFUNCTION("""COMPUTED_VALUE"""),0.0)</f>
        <v>0</v>
      </c>
      <c r="C26" s="2">
        <f>IFERROR(__xludf.DUMMYFUNCTION("""COMPUTED_VALUE"""),176.0)</f>
        <v>176</v>
      </c>
      <c r="D26" s="3">
        <f>IFERROR(__xludf.DUMMYFUNCTION("""COMPUTED_VALUE"""),71.0)</f>
        <v>71</v>
      </c>
      <c r="E26" s="2"/>
      <c r="F26" s="2"/>
    </row>
    <row r="27">
      <c r="A27" s="2">
        <f>IFERROR(__xludf.DUMMYFUNCTION("""COMPUTED_VALUE"""),118226.0)</f>
        <v>118226</v>
      </c>
      <c r="B27" s="2">
        <f>IFERROR(__xludf.DUMMYFUNCTION("""COMPUTED_VALUE"""),0.0)</f>
        <v>0</v>
      </c>
      <c r="C27" s="2">
        <f>IFERROR(__xludf.DUMMYFUNCTION("""COMPUTED_VALUE"""),130.0)</f>
        <v>130</v>
      </c>
      <c r="D27" s="3">
        <f>IFERROR(__xludf.DUMMYFUNCTION("""COMPUTED_VALUE"""),130.0)</f>
        <v>130</v>
      </c>
      <c r="E27" s="2"/>
      <c r="F27" s="2"/>
    </row>
    <row r="28">
      <c r="A28" s="2">
        <f>IFERROR(__xludf.DUMMYFUNCTION("""COMPUTED_VALUE"""),48618.0)</f>
        <v>48618</v>
      </c>
      <c r="B28" s="2">
        <f>IFERROR(__xludf.DUMMYFUNCTION("""COMPUTED_VALUE"""),1.0)</f>
        <v>1</v>
      </c>
      <c r="C28" s="2">
        <f>IFERROR(__xludf.DUMMYFUNCTION("""COMPUTED_VALUE"""),84.0)</f>
        <v>84</v>
      </c>
      <c r="D28" s="3">
        <f>IFERROR(__xludf.DUMMYFUNCTION("""COMPUTED_VALUE"""),84.0)</f>
        <v>84</v>
      </c>
      <c r="E28" s="2"/>
      <c r="F28" s="2"/>
    </row>
    <row r="29">
      <c r="A29" s="2">
        <f>IFERROR(__xludf.DUMMYFUNCTION("""COMPUTED_VALUE"""),93037.0)</f>
        <v>93037</v>
      </c>
      <c r="B29" s="2">
        <f>IFERROR(__xludf.DUMMYFUNCTION("""COMPUTED_VALUE"""),0.0)</f>
        <v>0</v>
      </c>
      <c r="C29" s="2">
        <f>IFERROR(__xludf.DUMMYFUNCTION("""COMPUTED_VALUE"""),604.0)</f>
        <v>604</v>
      </c>
      <c r="D29" s="3">
        <f>IFERROR(__xludf.DUMMYFUNCTION("""COMPUTED_VALUE"""),604.0)</f>
        <v>604</v>
      </c>
      <c r="E29" s="2"/>
      <c r="F29" s="2"/>
    </row>
    <row r="30">
      <c r="A30" s="2">
        <f>IFERROR(__xludf.DUMMYFUNCTION("""COMPUTED_VALUE"""),126984.0)</f>
        <v>126984</v>
      </c>
      <c r="B30" s="2">
        <f>IFERROR(__xludf.DUMMYFUNCTION("""COMPUTED_VALUE"""),0.0)</f>
        <v>0</v>
      </c>
      <c r="C30" s="2">
        <f>IFERROR(__xludf.DUMMYFUNCTION("""COMPUTED_VALUE"""),26.0)</f>
        <v>26</v>
      </c>
      <c r="D30" s="3">
        <f>IFERROR(__xludf.DUMMYFUNCTION("""COMPUTED_VALUE"""),6.0)</f>
        <v>6</v>
      </c>
      <c r="E30" s="2"/>
      <c r="F30" s="2"/>
    </row>
    <row r="31">
      <c r="A31" s="2">
        <f>IFERROR(__xludf.DUMMYFUNCTION("""COMPUTED_VALUE"""),47393.0)</f>
        <v>47393</v>
      </c>
      <c r="B31" s="2">
        <f>IFERROR(__xludf.DUMMYFUNCTION("""COMPUTED_VALUE"""),0.0)</f>
        <v>0</v>
      </c>
      <c r="C31" s="2">
        <f>IFERROR(__xludf.DUMMYFUNCTION("""COMPUTED_VALUE"""),982.0)</f>
        <v>982</v>
      </c>
      <c r="D31" s="3">
        <f>IFERROR(__xludf.DUMMYFUNCTION("""COMPUTED_VALUE"""),609.0)</f>
        <v>609</v>
      </c>
      <c r="E31" s="2"/>
      <c r="F31" s="2"/>
    </row>
    <row r="32">
      <c r="A32" s="2">
        <f>IFERROR(__xludf.DUMMYFUNCTION("""COMPUTED_VALUE"""),128214.0)</f>
        <v>128214</v>
      </c>
      <c r="B32" s="2">
        <f>IFERROR(__xludf.DUMMYFUNCTION("""COMPUTED_VALUE"""),0.0)</f>
        <v>0</v>
      </c>
      <c r="C32" s="2">
        <f>IFERROR(__xludf.DUMMYFUNCTION("""COMPUTED_VALUE"""),79.0)</f>
        <v>79</v>
      </c>
      <c r="D32" s="3">
        <f>IFERROR(__xludf.DUMMYFUNCTION("""COMPUTED_VALUE"""),79.0)</f>
        <v>79</v>
      </c>
      <c r="E32" s="2"/>
      <c r="F32" s="2"/>
    </row>
    <row r="33">
      <c r="A33" s="2">
        <f>IFERROR(__xludf.DUMMYFUNCTION("""COMPUTED_VALUE"""),83802.0)</f>
        <v>83802</v>
      </c>
      <c r="B33" s="2">
        <f>IFERROR(__xludf.DUMMYFUNCTION("""COMPUTED_VALUE"""),0.0)</f>
        <v>0</v>
      </c>
      <c r="C33" s="2">
        <f>IFERROR(__xludf.DUMMYFUNCTION("""COMPUTED_VALUE"""),31.0)</f>
        <v>31</v>
      </c>
      <c r="D33" s="3">
        <f>IFERROR(__xludf.DUMMYFUNCTION("""COMPUTED_VALUE"""),23.0)</f>
        <v>23</v>
      </c>
      <c r="E33" s="2"/>
      <c r="F33" s="2"/>
    </row>
    <row r="34">
      <c r="A34" s="2">
        <f>IFERROR(__xludf.DUMMYFUNCTION("""COMPUTED_VALUE"""),48625.0)</f>
        <v>48625</v>
      </c>
      <c r="B34" s="2">
        <f>IFERROR(__xludf.DUMMYFUNCTION("""COMPUTED_VALUE"""),1.0)</f>
        <v>1</v>
      </c>
      <c r="C34" s="2">
        <f>IFERROR(__xludf.DUMMYFUNCTION("""COMPUTED_VALUE"""),96.0)</f>
        <v>96</v>
      </c>
      <c r="D34" s="3">
        <f>IFERROR(__xludf.DUMMYFUNCTION("""COMPUTED_VALUE"""),96.0)</f>
        <v>96</v>
      </c>
      <c r="E34" s="2"/>
      <c r="F34" s="2"/>
    </row>
    <row r="35">
      <c r="A35" s="2">
        <f>IFERROR(__xludf.DUMMYFUNCTION("""COMPUTED_VALUE"""),83602.0)</f>
        <v>83602</v>
      </c>
      <c r="B35" s="2">
        <f>IFERROR(__xludf.DUMMYFUNCTION("""COMPUTED_VALUE"""),0.0)</f>
        <v>0</v>
      </c>
      <c r="C35" s="2">
        <f>IFERROR(__xludf.DUMMYFUNCTION("""COMPUTED_VALUE"""),79.0)</f>
        <v>79</v>
      </c>
      <c r="D35" s="3">
        <f>IFERROR(__xludf.DUMMYFUNCTION("""COMPUTED_VALUE"""),79.0)</f>
        <v>79</v>
      </c>
      <c r="E35" s="2"/>
      <c r="F35" s="2"/>
    </row>
    <row r="36">
      <c r="A36" s="2">
        <f>IFERROR(__xludf.DUMMYFUNCTION("""COMPUTED_VALUE"""),98867.0)</f>
        <v>98867</v>
      </c>
      <c r="B36" s="2">
        <f>IFERROR(__xludf.DUMMYFUNCTION("""COMPUTED_VALUE"""),0.0)</f>
        <v>0</v>
      </c>
      <c r="C36" s="2">
        <f>IFERROR(__xludf.DUMMYFUNCTION("""COMPUTED_VALUE"""),186.0)</f>
        <v>186</v>
      </c>
      <c r="D36" s="3">
        <f>IFERROR(__xludf.DUMMYFUNCTION("""COMPUTED_VALUE"""),186.0)</f>
        <v>186</v>
      </c>
      <c r="E36" s="2"/>
      <c r="F36" s="2"/>
    </row>
    <row r="37">
      <c r="A37" s="2">
        <f>IFERROR(__xludf.DUMMYFUNCTION("""COMPUTED_VALUE"""),127042.0)</f>
        <v>127042</v>
      </c>
      <c r="B37" s="2">
        <f>IFERROR(__xludf.DUMMYFUNCTION("""COMPUTED_VALUE"""),0.0)</f>
        <v>0</v>
      </c>
      <c r="C37" s="2">
        <f>IFERROR(__xludf.DUMMYFUNCTION("""COMPUTED_VALUE"""),418.0)</f>
        <v>418</v>
      </c>
      <c r="D37" s="3">
        <f>IFERROR(__xludf.DUMMYFUNCTION("""COMPUTED_VALUE"""),418.0)</f>
        <v>418</v>
      </c>
      <c r="E37" s="2"/>
      <c r="F37" s="2"/>
    </row>
    <row r="38">
      <c r="A38" s="2">
        <f>IFERROR(__xludf.DUMMYFUNCTION("""COMPUTED_VALUE"""),127241.0)</f>
        <v>127241</v>
      </c>
      <c r="B38" s="2">
        <f>IFERROR(__xludf.DUMMYFUNCTION("""COMPUTED_VALUE"""),0.0)</f>
        <v>0</v>
      </c>
      <c r="C38" s="2">
        <f>IFERROR(__xludf.DUMMYFUNCTION("""COMPUTED_VALUE"""),98.0)</f>
        <v>98</v>
      </c>
      <c r="D38" s="3">
        <f>IFERROR(__xludf.DUMMYFUNCTION("""COMPUTED_VALUE"""),98.0)</f>
        <v>98</v>
      </c>
      <c r="E38" s="2"/>
      <c r="F38" s="2"/>
    </row>
    <row r="39">
      <c r="A39" s="2">
        <f>IFERROR(__xludf.DUMMYFUNCTION("""COMPUTED_VALUE"""),118220.0)</f>
        <v>118220</v>
      </c>
      <c r="B39" s="2">
        <f>IFERROR(__xludf.DUMMYFUNCTION("""COMPUTED_VALUE"""),0.0)</f>
        <v>0</v>
      </c>
      <c r="C39" s="2">
        <f>IFERROR(__xludf.DUMMYFUNCTION("""COMPUTED_VALUE"""),34.0)</f>
        <v>34</v>
      </c>
      <c r="D39" s="3">
        <f>IFERROR(__xludf.DUMMYFUNCTION("""COMPUTED_VALUE"""),34.0)</f>
        <v>34</v>
      </c>
      <c r="E39" s="2"/>
      <c r="F39" s="2"/>
    </row>
    <row r="40">
      <c r="A40" s="2">
        <f>IFERROR(__xludf.DUMMYFUNCTION("""COMPUTED_VALUE"""),128216.0)</f>
        <v>128216</v>
      </c>
      <c r="B40" s="2">
        <f>IFERROR(__xludf.DUMMYFUNCTION("""COMPUTED_VALUE"""),0.0)</f>
        <v>0</v>
      </c>
      <c r="C40" s="2">
        <f>IFERROR(__xludf.DUMMYFUNCTION("""COMPUTED_VALUE"""),141.0)</f>
        <v>141</v>
      </c>
      <c r="D40" s="3">
        <f>IFERROR(__xludf.DUMMYFUNCTION("""COMPUTED_VALUE"""),141.0)</f>
        <v>141</v>
      </c>
      <c r="E40" s="2"/>
      <c r="F40" s="2"/>
    </row>
    <row r="41">
      <c r="A41" s="2">
        <f>IFERROR(__xludf.DUMMYFUNCTION("""COMPUTED_VALUE"""),93049.0)</f>
        <v>93049</v>
      </c>
      <c r="B41" s="2">
        <f>IFERROR(__xludf.DUMMYFUNCTION("""COMPUTED_VALUE"""),0.0)</f>
        <v>0</v>
      </c>
      <c r="C41" s="2">
        <f>IFERROR(__xludf.DUMMYFUNCTION("""COMPUTED_VALUE"""),34.0)</f>
        <v>34</v>
      </c>
      <c r="D41" s="3">
        <f>IFERROR(__xludf.DUMMYFUNCTION("""COMPUTED_VALUE"""),34.0)</f>
        <v>34</v>
      </c>
      <c r="E41" s="2"/>
      <c r="F41" s="2"/>
    </row>
    <row r="42">
      <c r="A42" s="2">
        <f>IFERROR(__xludf.DUMMYFUNCTION("""COMPUTED_VALUE"""),118216.0)</f>
        <v>118216</v>
      </c>
      <c r="B42" s="2">
        <f>IFERROR(__xludf.DUMMYFUNCTION("""COMPUTED_VALUE"""),0.0)</f>
        <v>0</v>
      </c>
      <c r="C42" s="2">
        <f>IFERROR(__xludf.DUMMYFUNCTION("""COMPUTED_VALUE"""),0.0)</f>
        <v>0</v>
      </c>
      <c r="D42" s="3">
        <f>IFERROR(__xludf.DUMMYFUNCTION("""COMPUTED_VALUE"""),0.0)</f>
        <v>0</v>
      </c>
      <c r="E42" s="2"/>
      <c r="F42" s="2"/>
    </row>
    <row r="43">
      <c r="A43" s="2">
        <f>IFERROR(__xludf.DUMMYFUNCTION("""COMPUTED_VALUE"""),118221.0)</f>
        <v>118221</v>
      </c>
      <c r="B43" s="2">
        <f>IFERROR(__xludf.DUMMYFUNCTION("""COMPUTED_VALUE"""),1.0)</f>
        <v>1</v>
      </c>
      <c r="C43" s="2">
        <f>IFERROR(__xludf.DUMMYFUNCTION("""COMPUTED_VALUE"""),99.0)</f>
        <v>99</v>
      </c>
      <c r="D43" s="3">
        <f>IFERROR(__xludf.DUMMYFUNCTION("""COMPUTED_VALUE"""),99.0)</f>
        <v>99</v>
      </c>
      <c r="E43" s="2"/>
      <c r="F43" s="2"/>
    </row>
    <row r="44">
      <c r="A44" s="2">
        <f>IFERROR(__xludf.DUMMYFUNCTION("""COMPUTED_VALUE"""),92900.0)</f>
        <v>92900</v>
      </c>
      <c r="B44" s="2">
        <f>IFERROR(__xludf.DUMMYFUNCTION("""COMPUTED_VALUE"""),0.0)</f>
        <v>0</v>
      </c>
      <c r="C44" s="2">
        <f>IFERROR(__xludf.DUMMYFUNCTION("""COMPUTED_VALUE"""),167.0)</f>
        <v>167</v>
      </c>
      <c r="D44" s="3">
        <f>IFERROR(__xludf.DUMMYFUNCTION("""COMPUTED_VALUE"""),131.0)</f>
        <v>131</v>
      </c>
      <c r="E44" s="2"/>
      <c r="F44" s="2"/>
    </row>
    <row r="45">
      <c r="A45" s="2">
        <f>IFERROR(__xludf.DUMMYFUNCTION("""COMPUTED_VALUE"""),118215.0)</f>
        <v>118215</v>
      </c>
      <c r="B45" s="2">
        <f>IFERROR(__xludf.DUMMYFUNCTION("""COMPUTED_VALUE"""),1.0)</f>
        <v>1</v>
      </c>
      <c r="C45" s="2">
        <f>IFERROR(__xludf.DUMMYFUNCTION("""COMPUTED_VALUE"""),100.0)</f>
        <v>100</v>
      </c>
      <c r="D45" s="3">
        <f>IFERROR(__xludf.DUMMYFUNCTION("""COMPUTED_VALUE"""),46.0)</f>
        <v>46</v>
      </c>
      <c r="E45" s="2"/>
      <c r="F45" s="2"/>
    </row>
    <row r="46">
      <c r="A46" s="2">
        <f>IFERROR(__xludf.DUMMYFUNCTION("""COMPUTED_VALUE"""),19832.0)</f>
        <v>19832</v>
      </c>
      <c r="B46" s="2">
        <f>IFERROR(__xludf.DUMMYFUNCTION("""COMPUTED_VALUE"""),1.0)</f>
        <v>1</v>
      </c>
      <c r="C46" s="2">
        <f>IFERROR(__xludf.DUMMYFUNCTION("""COMPUTED_VALUE"""),594.0)</f>
        <v>594</v>
      </c>
      <c r="D46" s="3">
        <f>IFERROR(__xludf.DUMMYFUNCTION("""COMPUTED_VALUE"""),558.0)</f>
        <v>558</v>
      </c>
      <c r="E46" s="2"/>
      <c r="F46" s="2"/>
    </row>
    <row r="47">
      <c r="A47" s="2">
        <f>IFERROR(__xludf.DUMMYFUNCTION("""COMPUTED_VALUE"""),93071.0)</f>
        <v>93071</v>
      </c>
      <c r="B47" s="2">
        <f>IFERROR(__xludf.DUMMYFUNCTION("""COMPUTED_VALUE"""),1.0)</f>
        <v>1</v>
      </c>
      <c r="C47" s="2">
        <f>IFERROR(__xludf.DUMMYFUNCTION("""COMPUTED_VALUE"""),199.0)</f>
        <v>199</v>
      </c>
      <c r="D47" s="3">
        <f>IFERROR(__xludf.DUMMYFUNCTION("""COMPUTED_VALUE"""),19.0)</f>
        <v>19</v>
      </c>
      <c r="E47" s="2"/>
      <c r="F47" s="2"/>
    </row>
    <row r="48">
      <c r="A48" s="2">
        <f>IFERROR(__xludf.DUMMYFUNCTION("""COMPUTED_VALUE"""),122395.0)</f>
        <v>122395</v>
      </c>
      <c r="B48" s="2">
        <f>IFERROR(__xludf.DUMMYFUNCTION("""COMPUTED_VALUE"""),1.0)</f>
        <v>1</v>
      </c>
      <c r="C48" s="2">
        <f>IFERROR(__xludf.DUMMYFUNCTION("""COMPUTED_VALUE"""),76.0)</f>
        <v>76</v>
      </c>
      <c r="D48" s="3">
        <f>IFERROR(__xludf.DUMMYFUNCTION("""COMPUTED_VALUE"""),2.0)</f>
        <v>2</v>
      </c>
      <c r="E48" s="2"/>
      <c r="F48" s="2"/>
    </row>
    <row r="49">
      <c r="A49" s="2">
        <f>IFERROR(__xludf.DUMMYFUNCTION("""COMPUTED_VALUE"""),116946.0)</f>
        <v>116946</v>
      </c>
      <c r="B49" s="2">
        <f>IFERROR(__xludf.DUMMYFUNCTION("""COMPUTED_VALUE"""),1.0)</f>
        <v>1</v>
      </c>
      <c r="C49" s="2">
        <f>IFERROR(__xludf.DUMMYFUNCTION("""COMPUTED_VALUE"""),144.0)</f>
        <v>144</v>
      </c>
      <c r="D49" s="3">
        <f>IFERROR(__xludf.DUMMYFUNCTION("""COMPUTED_VALUE"""),85.0)</f>
        <v>85</v>
      </c>
      <c r="E49" s="2"/>
      <c r="F49" s="2"/>
    </row>
    <row r="50">
      <c r="A50" s="2">
        <f>IFERROR(__xludf.DUMMYFUNCTION("""COMPUTED_VALUE"""),97538.0)</f>
        <v>97538</v>
      </c>
      <c r="B50" s="2">
        <f>IFERROR(__xludf.DUMMYFUNCTION("""COMPUTED_VALUE"""),1.0)</f>
        <v>1</v>
      </c>
      <c r="C50" s="2">
        <f>IFERROR(__xludf.DUMMYFUNCTION("""COMPUTED_VALUE"""),135.0)</f>
        <v>135</v>
      </c>
      <c r="D50" s="3">
        <f>IFERROR(__xludf.DUMMYFUNCTION("""COMPUTED_VALUE"""),82.0)</f>
        <v>82</v>
      </c>
      <c r="E50" s="2"/>
      <c r="F50" s="2"/>
    </row>
    <row r="51">
      <c r="A51" s="2">
        <f>IFERROR(__xludf.DUMMYFUNCTION("""COMPUTED_VALUE"""),127238.0)</f>
        <v>127238</v>
      </c>
      <c r="B51" s="2">
        <f>IFERROR(__xludf.DUMMYFUNCTION("""COMPUTED_VALUE"""),1.0)</f>
        <v>1</v>
      </c>
      <c r="C51" s="2">
        <f>IFERROR(__xludf.DUMMYFUNCTION("""COMPUTED_VALUE"""),147.0)</f>
        <v>147</v>
      </c>
      <c r="D51" s="3">
        <f>IFERROR(__xludf.DUMMYFUNCTION("""COMPUTED_VALUE"""),88.0)</f>
        <v>88</v>
      </c>
      <c r="E51" s="2"/>
      <c r="F51" s="2"/>
    </row>
    <row r="52">
      <c r="A52" s="2">
        <f>IFERROR(__xludf.DUMMYFUNCTION("""COMPUTED_VALUE"""),81646.0)</f>
        <v>81646</v>
      </c>
      <c r="B52" s="2">
        <f>IFERROR(__xludf.DUMMYFUNCTION("""COMPUTED_VALUE"""),1.0)</f>
        <v>1</v>
      </c>
      <c r="C52" s="2">
        <f>IFERROR(__xludf.DUMMYFUNCTION("""COMPUTED_VALUE"""),399.0)</f>
        <v>399</v>
      </c>
      <c r="D52" s="3">
        <f>IFERROR(__xludf.DUMMYFUNCTION("""COMPUTED_VALUE"""),159.0)</f>
        <v>159</v>
      </c>
      <c r="E52" s="2"/>
      <c r="F52" s="2"/>
    </row>
    <row r="53">
      <c r="A53" s="2">
        <f>IFERROR(__xludf.DUMMYFUNCTION("""COMPUTED_VALUE"""),81643.0)</f>
        <v>81643</v>
      </c>
      <c r="B53" s="2">
        <f>IFERROR(__xludf.DUMMYFUNCTION("""COMPUTED_VALUE"""),1.0)</f>
        <v>1</v>
      </c>
      <c r="C53" s="2">
        <f>IFERROR(__xludf.DUMMYFUNCTION("""COMPUTED_VALUE"""),927.0)</f>
        <v>927</v>
      </c>
      <c r="D53" s="3">
        <f>IFERROR(__xludf.DUMMYFUNCTION("""COMPUTED_VALUE"""),301.0)</f>
        <v>301</v>
      </c>
      <c r="E53" s="2"/>
      <c r="F53" s="2"/>
    </row>
    <row r="54">
      <c r="A54" s="2">
        <f>IFERROR(__xludf.DUMMYFUNCTION("""COMPUTED_VALUE"""),128215.0)</f>
        <v>128215</v>
      </c>
      <c r="B54" s="2">
        <f>IFERROR(__xludf.DUMMYFUNCTION("""COMPUTED_VALUE"""),1.0)</f>
        <v>1</v>
      </c>
      <c r="C54" s="2">
        <f>IFERROR(__xludf.DUMMYFUNCTION("""COMPUTED_VALUE"""),389.0)</f>
        <v>389</v>
      </c>
      <c r="D54" s="3">
        <f>IFERROR(__xludf.DUMMYFUNCTION("""COMPUTED_VALUE"""),243.0)</f>
        <v>243</v>
      </c>
      <c r="E54" s="2"/>
      <c r="F54" s="2"/>
    </row>
    <row r="55">
      <c r="A55" s="2">
        <f>IFERROR(__xludf.DUMMYFUNCTION("""COMPUTED_VALUE"""),108022.0)</f>
        <v>108022</v>
      </c>
      <c r="B55" s="2">
        <f>IFERROR(__xludf.DUMMYFUNCTION("""COMPUTED_VALUE"""),1.0)</f>
        <v>1</v>
      </c>
      <c r="C55" s="2">
        <f>IFERROR(__xludf.DUMMYFUNCTION("""COMPUTED_VALUE"""),455.0)</f>
        <v>455</v>
      </c>
      <c r="D55" s="3">
        <f>IFERROR(__xludf.DUMMYFUNCTION("""COMPUTED_VALUE"""),285.0)</f>
        <v>285</v>
      </c>
      <c r="E55" s="2"/>
      <c r="F55" s="2"/>
    </row>
    <row r="56">
      <c r="A56" s="2">
        <f>IFERROR(__xludf.DUMMYFUNCTION("""COMPUTED_VALUE"""),81647.0)</f>
        <v>81647</v>
      </c>
      <c r="B56" s="2">
        <f>IFERROR(__xludf.DUMMYFUNCTION("""COMPUTED_VALUE"""),0.0)</f>
        <v>0</v>
      </c>
      <c r="C56" s="2">
        <f>IFERROR(__xludf.DUMMYFUNCTION("""COMPUTED_VALUE"""),547.0)</f>
        <v>547</v>
      </c>
      <c r="D56" s="3">
        <f>IFERROR(__xludf.DUMMYFUNCTION("""COMPUTED_VALUE"""),227.0)</f>
        <v>227</v>
      </c>
      <c r="E56" s="2"/>
      <c r="F56" s="2"/>
    </row>
    <row r="57">
      <c r="A57" s="2">
        <f>IFERROR(__xludf.DUMMYFUNCTION("""COMPUTED_VALUE"""),83603.0)</f>
        <v>83603</v>
      </c>
      <c r="B57" s="2">
        <f>IFERROR(__xludf.DUMMYFUNCTION("""COMPUTED_VALUE"""),1.0)</f>
        <v>1</v>
      </c>
      <c r="C57" s="2">
        <f>IFERROR(__xludf.DUMMYFUNCTION("""COMPUTED_VALUE"""),870.0)</f>
        <v>870</v>
      </c>
      <c r="D57" s="3">
        <f>IFERROR(__xludf.DUMMYFUNCTION("""COMPUTED_VALUE"""),105.0)</f>
        <v>105</v>
      </c>
      <c r="E57" s="2"/>
      <c r="F57" s="2"/>
    </row>
    <row r="58">
      <c r="A58" s="2">
        <f>IFERROR(__xludf.DUMMYFUNCTION("""COMPUTED_VALUE"""),118219.0)</f>
        <v>118219</v>
      </c>
      <c r="B58" s="2">
        <f>IFERROR(__xludf.DUMMYFUNCTION("""COMPUTED_VALUE"""),1.0)</f>
        <v>1</v>
      </c>
      <c r="C58" s="2">
        <f>IFERROR(__xludf.DUMMYFUNCTION("""COMPUTED_VALUE"""),397.0)</f>
        <v>397</v>
      </c>
      <c r="D58" s="3">
        <f>IFERROR(__xludf.DUMMYFUNCTION("""COMPUTED_VALUE"""),207.0)</f>
        <v>207</v>
      </c>
      <c r="E58" s="2"/>
      <c r="F58" s="2"/>
    </row>
    <row r="59">
      <c r="A59" s="2">
        <f>IFERROR(__xludf.DUMMYFUNCTION("""COMPUTED_VALUE"""),120952.0)</f>
        <v>120952</v>
      </c>
      <c r="B59" s="2">
        <f>IFERROR(__xludf.DUMMYFUNCTION("""COMPUTED_VALUE"""),1.0)</f>
        <v>1</v>
      </c>
      <c r="C59" s="2">
        <f>IFERROR(__xludf.DUMMYFUNCTION("""COMPUTED_VALUE"""),134.0)</f>
        <v>134</v>
      </c>
      <c r="D59" s="3">
        <f>IFERROR(__xludf.DUMMYFUNCTION("""COMPUTED_VALUE"""),78.0)</f>
        <v>78</v>
      </c>
      <c r="E59" s="2"/>
      <c r="F59" s="2"/>
    </row>
    <row r="60">
      <c r="A60" s="2">
        <f>IFERROR(__xludf.DUMMYFUNCTION("""COMPUTED_VALUE"""),81658.0)</f>
        <v>81658</v>
      </c>
      <c r="B60" s="2">
        <f>IFERROR(__xludf.DUMMYFUNCTION("""COMPUTED_VALUE"""),1.0)</f>
        <v>1</v>
      </c>
      <c r="C60" s="2">
        <f>IFERROR(__xludf.DUMMYFUNCTION("""COMPUTED_VALUE"""),685.0)</f>
        <v>685</v>
      </c>
      <c r="D60" s="3">
        <f>IFERROR(__xludf.DUMMYFUNCTION("""COMPUTED_VALUE"""),42.0)</f>
        <v>42</v>
      </c>
      <c r="E60" s="2"/>
      <c r="F60" s="2"/>
    </row>
    <row r="61">
      <c r="A61" s="2">
        <f>IFERROR(__xludf.DUMMYFUNCTION("""COMPUTED_VALUE"""),93047.0)</f>
        <v>93047</v>
      </c>
      <c r="B61" s="2">
        <f>IFERROR(__xludf.DUMMYFUNCTION("""COMPUTED_VALUE"""),0.0)</f>
        <v>0</v>
      </c>
      <c r="C61" s="2">
        <f>IFERROR(__xludf.DUMMYFUNCTION("""COMPUTED_VALUE"""),525.0)</f>
        <v>525</v>
      </c>
      <c r="D61" s="3">
        <f>IFERROR(__xludf.DUMMYFUNCTION("""COMPUTED_VALUE"""),306.0)</f>
        <v>306</v>
      </c>
      <c r="E61" s="2"/>
      <c r="F61" s="2"/>
    </row>
    <row r="62">
      <c r="A62" s="2">
        <f>IFERROR(__xludf.DUMMYFUNCTION("""COMPUTED_VALUE"""),83807.0)</f>
        <v>83807</v>
      </c>
      <c r="B62" s="2">
        <f>IFERROR(__xludf.DUMMYFUNCTION("""COMPUTED_VALUE"""),1.0)</f>
        <v>1</v>
      </c>
      <c r="C62" s="2">
        <f>IFERROR(__xludf.DUMMYFUNCTION("""COMPUTED_VALUE"""),596.0)</f>
        <v>596</v>
      </c>
      <c r="D62" s="3">
        <f>IFERROR(__xludf.DUMMYFUNCTION("""COMPUTED_VALUE"""),321.0)</f>
        <v>321</v>
      </c>
      <c r="E62" s="2"/>
      <c r="F62" s="2"/>
    </row>
    <row r="63">
      <c r="A63" s="2">
        <f>IFERROR(__xludf.DUMMYFUNCTION("""COMPUTED_VALUE"""),92915.0)</f>
        <v>92915</v>
      </c>
      <c r="B63" s="2">
        <f>IFERROR(__xludf.DUMMYFUNCTION("""COMPUTED_VALUE"""),0.0)</f>
        <v>0</v>
      </c>
      <c r="C63" s="2">
        <f>IFERROR(__xludf.DUMMYFUNCTION("""COMPUTED_VALUE"""),861.0)</f>
        <v>861</v>
      </c>
      <c r="D63" s="3">
        <f>IFERROR(__xludf.DUMMYFUNCTION("""COMPUTED_VALUE"""),576.0)</f>
        <v>576</v>
      </c>
      <c r="E63" s="2"/>
      <c r="F63" s="2"/>
    </row>
    <row r="64">
      <c r="A64" s="2">
        <f>IFERROR(__xludf.DUMMYFUNCTION("""COMPUTED_VALUE"""),81653.0)</f>
        <v>81653</v>
      </c>
      <c r="B64" s="2">
        <f>IFERROR(__xludf.DUMMYFUNCTION("""COMPUTED_VALUE"""),0.0)</f>
        <v>0</v>
      </c>
      <c r="C64" s="2">
        <f>IFERROR(__xludf.DUMMYFUNCTION("""COMPUTED_VALUE"""),64.0)</f>
        <v>64</v>
      </c>
      <c r="D64" s="3">
        <f>IFERROR(__xludf.DUMMYFUNCTION("""COMPUTED_VALUE"""),31.0)</f>
        <v>31</v>
      </c>
      <c r="E64" s="2"/>
      <c r="F64" s="2"/>
    </row>
    <row r="65">
      <c r="A65" s="2">
        <f>IFERROR(__xludf.DUMMYFUNCTION("""COMPUTED_VALUE"""),81618.0)</f>
        <v>81618</v>
      </c>
      <c r="B65" s="2">
        <f>IFERROR(__xludf.DUMMYFUNCTION("""COMPUTED_VALUE"""),1.0)</f>
        <v>1</v>
      </c>
      <c r="C65" s="2">
        <f>IFERROR(__xludf.DUMMYFUNCTION("""COMPUTED_VALUE"""),124.0)</f>
        <v>124</v>
      </c>
      <c r="D65" s="3">
        <f>IFERROR(__xludf.DUMMYFUNCTION("""COMPUTED_VALUE"""),37.0)</f>
        <v>37</v>
      </c>
      <c r="E65" s="2"/>
      <c r="F65" s="2"/>
    </row>
    <row r="66">
      <c r="A66" s="2">
        <f>IFERROR(__xludf.DUMMYFUNCTION("""COMPUTED_VALUE"""),118241.0)</f>
        <v>118241</v>
      </c>
      <c r="B66" s="2">
        <f>IFERROR(__xludf.DUMMYFUNCTION("""COMPUTED_VALUE"""),1.0)</f>
        <v>1</v>
      </c>
      <c r="C66" s="2">
        <f>IFERROR(__xludf.DUMMYFUNCTION("""COMPUTED_VALUE"""),897.0)</f>
        <v>897</v>
      </c>
      <c r="D66" s="3">
        <f>IFERROR(__xludf.DUMMYFUNCTION("""COMPUTED_VALUE"""),1.0)</f>
        <v>1</v>
      </c>
      <c r="E66" s="2"/>
      <c r="F66" s="2"/>
    </row>
    <row r="67">
      <c r="A67" s="2">
        <f>IFERROR(__xludf.DUMMYFUNCTION("""COMPUTED_VALUE"""),48634.0)</f>
        <v>48634</v>
      </c>
      <c r="B67" s="2">
        <f>IFERROR(__xludf.DUMMYFUNCTION("""COMPUTED_VALUE"""),1.0)</f>
        <v>1</v>
      </c>
      <c r="C67" s="2">
        <f>IFERROR(__xludf.DUMMYFUNCTION("""COMPUTED_VALUE"""),832.0)</f>
        <v>832</v>
      </c>
      <c r="D67" s="3">
        <f>IFERROR(__xludf.DUMMYFUNCTION("""COMPUTED_VALUE"""),180.0)</f>
        <v>180</v>
      </c>
      <c r="E67" s="2"/>
      <c r="F67" s="2"/>
    </row>
    <row r="68">
      <c r="A68" s="2">
        <f>IFERROR(__xludf.DUMMYFUNCTION("""COMPUTED_VALUE"""),48636.0)</f>
        <v>48636</v>
      </c>
      <c r="B68" s="2">
        <f>IFERROR(__xludf.DUMMYFUNCTION("""COMPUTED_VALUE"""),1.0)</f>
        <v>1</v>
      </c>
      <c r="C68" s="2">
        <f>IFERROR(__xludf.DUMMYFUNCTION("""COMPUTED_VALUE"""),37.0)</f>
        <v>37</v>
      </c>
      <c r="D68" s="3">
        <f>IFERROR(__xludf.DUMMYFUNCTION("""COMPUTED_VALUE"""),10.0)</f>
        <v>10</v>
      </c>
      <c r="E68" s="2"/>
      <c r="F68" s="2"/>
    </row>
    <row r="69">
      <c r="A69" s="2">
        <f>IFERROR(__xludf.DUMMYFUNCTION("""COMPUTED_VALUE"""),48629.0)</f>
        <v>48629</v>
      </c>
      <c r="B69" s="2">
        <f>IFERROR(__xludf.DUMMYFUNCTION("""COMPUTED_VALUE"""),1.0)</f>
        <v>1</v>
      </c>
      <c r="C69" s="2">
        <f>IFERROR(__xludf.DUMMYFUNCTION("""COMPUTED_VALUE"""),935.0)</f>
        <v>935</v>
      </c>
      <c r="D69" s="3">
        <f>IFERROR(__xludf.DUMMYFUNCTION("""COMPUTED_VALUE"""),635.0)</f>
        <v>635</v>
      </c>
      <c r="E69" s="2"/>
      <c r="F69" s="2"/>
    </row>
    <row r="70">
      <c r="A70" s="2">
        <f>IFERROR(__xludf.DUMMYFUNCTION("""COMPUTED_VALUE"""),47400.0)</f>
        <v>47400</v>
      </c>
      <c r="B70" s="2">
        <f>IFERROR(__xludf.DUMMYFUNCTION("""COMPUTED_VALUE"""),1.0)</f>
        <v>1</v>
      </c>
      <c r="C70" s="2">
        <f>IFERROR(__xludf.DUMMYFUNCTION("""COMPUTED_VALUE"""),868.0)</f>
        <v>868</v>
      </c>
      <c r="D70" s="3">
        <f>IFERROR(__xludf.DUMMYFUNCTION("""COMPUTED_VALUE"""),396.0)</f>
        <v>396</v>
      </c>
      <c r="E70" s="2"/>
      <c r="F70" s="2"/>
    </row>
    <row r="71">
      <c r="A71" s="2">
        <f>IFERROR(__xludf.DUMMYFUNCTION("""COMPUTED_VALUE"""),111237.0)</f>
        <v>111237</v>
      </c>
      <c r="B71" s="2">
        <f>IFERROR(__xludf.DUMMYFUNCTION("""COMPUTED_VALUE"""),0.0)</f>
        <v>0</v>
      </c>
      <c r="C71" s="2">
        <f>IFERROR(__xludf.DUMMYFUNCTION("""COMPUTED_VALUE"""),445.0)</f>
        <v>445</v>
      </c>
      <c r="D71" s="3">
        <f>IFERROR(__xludf.DUMMYFUNCTION("""COMPUTED_VALUE"""),128.0)</f>
        <v>128</v>
      </c>
      <c r="E71" s="2"/>
      <c r="F71" s="2"/>
    </row>
    <row r="72">
      <c r="A72" s="2">
        <f>IFERROR(__xludf.DUMMYFUNCTION("""COMPUTED_VALUE"""),18042.0)</f>
        <v>18042</v>
      </c>
      <c r="B72" s="2">
        <f>IFERROR(__xludf.DUMMYFUNCTION("""COMPUTED_VALUE"""),0.0)</f>
        <v>0</v>
      </c>
      <c r="C72" s="2">
        <f>IFERROR(__xludf.DUMMYFUNCTION("""COMPUTED_VALUE"""),232.0)</f>
        <v>232</v>
      </c>
      <c r="D72" s="3">
        <f>IFERROR(__xludf.DUMMYFUNCTION("""COMPUTED_VALUE"""),214.0)</f>
        <v>214</v>
      </c>
      <c r="E72" s="2"/>
      <c r="F72" s="2"/>
    </row>
    <row r="73">
      <c r="A73" s="2">
        <f>IFERROR(__xludf.DUMMYFUNCTION("""COMPUTED_VALUE"""),114978.0)</f>
        <v>114978</v>
      </c>
      <c r="B73" s="2">
        <f>IFERROR(__xludf.DUMMYFUNCTION("""COMPUTED_VALUE"""),0.0)</f>
        <v>0</v>
      </c>
      <c r="C73" s="2">
        <f>IFERROR(__xludf.DUMMYFUNCTION("""COMPUTED_VALUE"""),315.0)</f>
        <v>315</v>
      </c>
      <c r="D73" s="3">
        <f>IFERROR(__xludf.DUMMYFUNCTION("""COMPUTED_VALUE"""),278.0)</f>
        <v>278</v>
      </c>
      <c r="E73" s="2"/>
      <c r="F73" s="2"/>
    </row>
    <row r="74">
      <c r="A74" s="2">
        <f>IFERROR(__xludf.DUMMYFUNCTION("""COMPUTED_VALUE"""),82980.0)</f>
        <v>82980</v>
      </c>
      <c r="B74" s="2">
        <f>IFERROR(__xludf.DUMMYFUNCTION("""COMPUTED_VALUE"""),1.0)</f>
        <v>1</v>
      </c>
      <c r="C74" s="2">
        <f>IFERROR(__xludf.DUMMYFUNCTION("""COMPUTED_VALUE"""),356.0)</f>
        <v>356</v>
      </c>
      <c r="D74" s="3">
        <f>IFERROR(__xludf.DUMMYFUNCTION("""COMPUTED_VALUE"""),164.0)</f>
        <v>164</v>
      </c>
      <c r="E74" s="2"/>
      <c r="F74" s="2"/>
    </row>
    <row r="75">
      <c r="A75" s="2">
        <f>IFERROR(__xludf.DUMMYFUNCTION("""COMPUTED_VALUE"""),83093.0)</f>
        <v>83093</v>
      </c>
      <c r="B75" s="2">
        <f>IFERROR(__xludf.DUMMYFUNCTION("""COMPUTED_VALUE"""),0.0)</f>
        <v>0</v>
      </c>
      <c r="C75" s="2">
        <f>IFERROR(__xludf.DUMMYFUNCTION("""COMPUTED_VALUE"""),442.0)</f>
        <v>442</v>
      </c>
      <c r="D75" s="3">
        <f>IFERROR(__xludf.DUMMYFUNCTION("""COMPUTED_VALUE"""),385.0)</f>
        <v>385</v>
      </c>
      <c r="E75" s="2"/>
      <c r="F75" s="2"/>
    </row>
    <row r="76">
      <c r="A76" s="2">
        <f>IFERROR(__xludf.DUMMYFUNCTION("""COMPUTED_VALUE"""),18134.0)</f>
        <v>18134</v>
      </c>
      <c r="B76" s="2">
        <f>IFERROR(__xludf.DUMMYFUNCTION("""COMPUTED_VALUE"""),0.0)</f>
        <v>0</v>
      </c>
      <c r="C76" s="2">
        <f>IFERROR(__xludf.DUMMYFUNCTION("""COMPUTED_VALUE"""),492.0)</f>
        <v>492</v>
      </c>
      <c r="D76" s="3">
        <f>IFERROR(__xludf.DUMMYFUNCTION("""COMPUTED_VALUE"""),381.0)</f>
        <v>381</v>
      </c>
      <c r="E76" s="2"/>
      <c r="F76" s="2"/>
    </row>
    <row r="77">
      <c r="A77" s="2">
        <f>IFERROR(__xludf.DUMMYFUNCTION("""COMPUTED_VALUE"""),107857.0)</f>
        <v>107857</v>
      </c>
      <c r="B77" s="2">
        <f>IFERROR(__xludf.DUMMYFUNCTION("""COMPUTED_VALUE"""),0.0)</f>
        <v>0</v>
      </c>
      <c r="C77" s="2">
        <f>IFERROR(__xludf.DUMMYFUNCTION("""COMPUTED_VALUE"""),645.0)</f>
        <v>645</v>
      </c>
      <c r="D77" s="3">
        <f>IFERROR(__xludf.DUMMYFUNCTION("""COMPUTED_VALUE"""),327.0)</f>
        <v>327</v>
      </c>
      <c r="E77" s="2"/>
      <c r="F77" s="2"/>
    </row>
    <row r="78">
      <c r="A78" s="2">
        <f>IFERROR(__xludf.DUMMYFUNCTION("""COMPUTED_VALUE"""),18136.0)</f>
        <v>18136</v>
      </c>
      <c r="B78" s="2">
        <f>IFERROR(__xludf.DUMMYFUNCTION("""COMPUTED_VALUE"""),1.0)</f>
        <v>1</v>
      </c>
      <c r="C78" s="2">
        <f>IFERROR(__xludf.DUMMYFUNCTION("""COMPUTED_VALUE"""),863.0)</f>
        <v>863</v>
      </c>
      <c r="D78" s="3">
        <f>IFERROR(__xludf.DUMMYFUNCTION("""COMPUTED_VALUE"""),821.0)</f>
        <v>821</v>
      </c>
      <c r="E78" s="2"/>
      <c r="F78" s="2"/>
    </row>
    <row r="79">
      <c r="A79" s="2">
        <f>IFERROR(__xludf.DUMMYFUNCTION("""COMPUTED_VALUE"""),69138.0)</f>
        <v>69138</v>
      </c>
      <c r="B79" s="2">
        <f>IFERROR(__xludf.DUMMYFUNCTION("""COMPUTED_VALUE"""),1.0)</f>
        <v>1</v>
      </c>
      <c r="C79" s="2">
        <f>IFERROR(__xludf.DUMMYFUNCTION("""COMPUTED_VALUE"""),43.0)</f>
        <v>43</v>
      </c>
      <c r="D79" s="3">
        <f>IFERROR(__xludf.DUMMYFUNCTION("""COMPUTED_VALUE"""),27.0)</f>
        <v>27</v>
      </c>
      <c r="E79" s="2"/>
      <c r="F79" s="2"/>
    </row>
    <row r="80">
      <c r="A80" s="2">
        <f>IFERROR(__xludf.DUMMYFUNCTION("""COMPUTED_VALUE"""),74828.0)</f>
        <v>74828</v>
      </c>
      <c r="B80" s="2">
        <f>IFERROR(__xludf.DUMMYFUNCTION("""COMPUTED_VALUE"""),0.0)</f>
        <v>0</v>
      </c>
      <c r="C80" s="2">
        <f>IFERROR(__xludf.DUMMYFUNCTION("""COMPUTED_VALUE"""),654.0)</f>
        <v>654</v>
      </c>
      <c r="D80" s="3">
        <f>IFERROR(__xludf.DUMMYFUNCTION("""COMPUTED_VALUE"""),613.0)</f>
        <v>613</v>
      </c>
      <c r="E80" s="2"/>
      <c r="F80" s="2"/>
    </row>
    <row r="81">
      <c r="A81" s="2">
        <f>IFERROR(__xludf.DUMMYFUNCTION("""COMPUTED_VALUE"""),74884.0)</f>
        <v>74884</v>
      </c>
      <c r="B81" s="2">
        <f>IFERROR(__xludf.DUMMYFUNCTION("""COMPUTED_VALUE"""),1.0)</f>
        <v>1</v>
      </c>
      <c r="C81" s="2">
        <f>IFERROR(__xludf.DUMMYFUNCTION("""COMPUTED_VALUE"""),2.0)</f>
        <v>2</v>
      </c>
      <c r="D81" s="3">
        <f>IFERROR(__xludf.DUMMYFUNCTION("""COMPUTED_VALUE"""),2.0)</f>
        <v>2</v>
      </c>
      <c r="E81" s="2"/>
      <c r="F81" s="2"/>
    </row>
    <row r="82">
      <c r="A82" s="2">
        <f>IFERROR(__xludf.DUMMYFUNCTION("""COMPUTED_VALUE"""),127232.0)</f>
        <v>127232</v>
      </c>
      <c r="B82" s="2">
        <f>IFERROR(__xludf.DUMMYFUNCTION("""COMPUTED_VALUE"""),1.0)</f>
        <v>1</v>
      </c>
      <c r="C82" s="2">
        <f>IFERROR(__xludf.DUMMYFUNCTION("""COMPUTED_VALUE"""),705.0)</f>
        <v>705</v>
      </c>
      <c r="D82" s="3">
        <f>IFERROR(__xludf.DUMMYFUNCTION("""COMPUTED_VALUE"""),648.0)</f>
        <v>648</v>
      </c>
      <c r="E82" s="2"/>
      <c r="F82" s="2"/>
    </row>
    <row r="83">
      <c r="A83" s="2">
        <f>IFERROR(__xludf.DUMMYFUNCTION("""COMPUTED_VALUE"""),82979.0)</f>
        <v>82979</v>
      </c>
      <c r="B83" s="2">
        <f>IFERROR(__xludf.DUMMYFUNCTION("""COMPUTED_VALUE"""),1.0)</f>
        <v>1</v>
      </c>
      <c r="C83" s="2">
        <f>IFERROR(__xludf.DUMMYFUNCTION("""COMPUTED_VALUE"""),774.0)</f>
        <v>774</v>
      </c>
      <c r="D83" s="3">
        <f>IFERROR(__xludf.DUMMYFUNCTION("""COMPUTED_VALUE"""),723.0)</f>
        <v>723</v>
      </c>
      <c r="E83" s="2"/>
      <c r="F83" s="2"/>
    </row>
    <row r="84">
      <c r="A84" s="2">
        <f>IFERROR(__xludf.DUMMYFUNCTION("""COMPUTED_VALUE"""),18138.0)</f>
        <v>18138</v>
      </c>
      <c r="B84" s="2">
        <f>IFERROR(__xludf.DUMMYFUNCTION("""COMPUTED_VALUE"""),0.0)</f>
        <v>0</v>
      </c>
      <c r="C84" s="2">
        <f>IFERROR(__xludf.DUMMYFUNCTION("""COMPUTED_VALUE"""),571.0)</f>
        <v>571</v>
      </c>
      <c r="D84" s="3">
        <f>IFERROR(__xludf.DUMMYFUNCTION("""COMPUTED_VALUE"""),353.0)</f>
        <v>353</v>
      </c>
      <c r="E84" s="2"/>
      <c r="F84" s="2"/>
    </row>
    <row r="85">
      <c r="A85" s="2">
        <f>IFERROR(__xludf.DUMMYFUNCTION("""COMPUTED_VALUE"""),127003.0)</f>
        <v>127003</v>
      </c>
      <c r="B85" s="2">
        <f>IFERROR(__xludf.DUMMYFUNCTION("""COMPUTED_VALUE"""),0.0)</f>
        <v>0</v>
      </c>
      <c r="C85" s="2">
        <f>IFERROR(__xludf.DUMMYFUNCTION("""COMPUTED_VALUE"""),735.0)</f>
        <v>735</v>
      </c>
      <c r="D85" s="3">
        <f>IFERROR(__xludf.DUMMYFUNCTION("""COMPUTED_VALUE"""),384.0)</f>
        <v>384</v>
      </c>
      <c r="E85" s="2"/>
      <c r="F85" s="2"/>
    </row>
    <row r="86">
      <c r="A86" s="2">
        <f>IFERROR(__xludf.DUMMYFUNCTION("""COMPUTED_VALUE"""),6036.0)</f>
        <v>6036</v>
      </c>
      <c r="B86" s="2">
        <f>IFERROR(__xludf.DUMMYFUNCTION("""COMPUTED_VALUE"""),1.0)</f>
        <v>1</v>
      </c>
      <c r="C86" s="2">
        <f>IFERROR(__xludf.DUMMYFUNCTION("""COMPUTED_VALUE"""),429.0)</f>
        <v>429</v>
      </c>
      <c r="D86" s="3">
        <f>IFERROR(__xludf.DUMMYFUNCTION("""COMPUTED_VALUE"""),420.0)</f>
        <v>420</v>
      </c>
      <c r="E86" s="2"/>
      <c r="F86" s="2"/>
    </row>
    <row r="87">
      <c r="A87" s="2">
        <f>IFERROR(__xludf.DUMMYFUNCTION("""COMPUTED_VALUE"""),6046.0)</f>
        <v>6046</v>
      </c>
      <c r="B87" s="2">
        <f>IFERROR(__xludf.DUMMYFUNCTION("""COMPUTED_VALUE"""),0.0)</f>
        <v>0</v>
      </c>
      <c r="C87" s="2">
        <f>IFERROR(__xludf.DUMMYFUNCTION("""COMPUTED_VALUE"""),732.0)</f>
        <v>732</v>
      </c>
      <c r="D87" s="3">
        <f>IFERROR(__xludf.DUMMYFUNCTION("""COMPUTED_VALUE"""),319.0)</f>
        <v>319</v>
      </c>
      <c r="E87" s="2"/>
      <c r="F87" s="2"/>
    </row>
    <row r="88">
      <c r="A88" s="2">
        <f>IFERROR(__xludf.DUMMYFUNCTION("""COMPUTED_VALUE"""),6037.0)</f>
        <v>6037</v>
      </c>
      <c r="B88" s="2">
        <f>IFERROR(__xludf.DUMMYFUNCTION("""COMPUTED_VALUE"""),0.0)</f>
        <v>0</v>
      </c>
      <c r="C88" s="2">
        <f>IFERROR(__xludf.DUMMYFUNCTION("""COMPUTED_VALUE"""),271.0)</f>
        <v>271</v>
      </c>
      <c r="D88" s="3">
        <f>IFERROR(__xludf.DUMMYFUNCTION("""COMPUTED_VALUE"""),227.0)</f>
        <v>227</v>
      </c>
      <c r="E88" s="2"/>
      <c r="F88" s="2"/>
    </row>
    <row r="89">
      <c r="A89" s="2">
        <f>IFERROR(__xludf.DUMMYFUNCTION("""COMPUTED_VALUE"""),6026.0)</f>
        <v>6026</v>
      </c>
      <c r="B89" s="2">
        <f>IFERROR(__xludf.DUMMYFUNCTION("""COMPUTED_VALUE"""),1.0)</f>
        <v>1</v>
      </c>
      <c r="C89" s="2">
        <f>IFERROR(__xludf.DUMMYFUNCTION("""COMPUTED_VALUE"""),111.0)</f>
        <v>111</v>
      </c>
      <c r="D89" s="3">
        <f>IFERROR(__xludf.DUMMYFUNCTION("""COMPUTED_VALUE"""),23.0)</f>
        <v>23</v>
      </c>
      <c r="E89" s="2"/>
      <c r="F89" s="2"/>
    </row>
    <row r="90">
      <c r="A90" s="2">
        <f>IFERROR(__xludf.DUMMYFUNCTION("""COMPUTED_VALUE"""),47431.0)</f>
        <v>47431</v>
      </c>
      <c r="B90" s="2">
        <f>IFERROR(__xludf.DUMMYFUNCTION("""COMPUTED_VALUE"""),0.0)</f>
        <v>0</v>
      </c>
      <c r="C90" s="2">
        <f>IFERROR(__xludf.DUMMYFUNCTION("""COMPUTED_VALUE"""),81.0)</f>
        <v>81</v>
      </c>
      <c r="D90" s="3">
        <f>IFERROR(__xludf.DUMMYFUNCTION("""COMPUTED_VALUE"""),6.0)</f>
        <v>6</v>
      </c>
      <c r="E90" s="2"/>
      <c r="F90" s="2"/>
    </row>
    <row r="91">
      <c r="A91" s="2">
        <f>IFERROR(__xludf.DUMMYFUNCTION("""COMPUTED_VALUE"""),82914.0)</f>
        <v>82914</v>
      </c>
      <c r="B91" s="2">
        <f>IFERROR(__xludf.DUMMYFUNCTION("""COMPUTED_VALUE"""),1.0)</f>
        <v>1</v>
      </c>
      <c r="C91" s="2">
        <f>IFERROR(__xludf.DUMMYFUNCTION("""COMPUTED_VALUE"""),486.0)</f>
        <v>486</v>
      </c>
      <c r="D91" s="3">
        <f>IFERROR(__xludf.DUMMYFUNCTION("""COMPUTED_VALUE"""),345.0)</f>
        <v>345</v>
      </c>
      <c r="E91" s="2"/>
      <c r="F91" s="2"/>
    </row>
    <row r="92">
      <c r="A92" s="2">
        <f>IFERROR(__xludf.DUMMYFUNCTION("""COMPUTED_VALUE"""),6044.0)</f>
        <v>6044</v>
      </c>
      <c r="B92" s="2">
        <f>IFERROR(__xludf.DUMMYFUNCTION("""COMPUTED_VALUE"""),1.0)</f>
        <v>1</v>
      </c>
      <c r="C92" s="2">
        <f>IFERROR(__xludf.DUMMYFUNCTION("""COMPUTED_VALUE"""),197.0)</f>
        <v>197</v>
      </c>
      <c r="D92" s="3">
        <f>IFERROR(__xludf.DUMMYFUNCTION("""COMPUTED_VALUE"""),167.0)</f>
        <v>167</v>
      </c>
      <c r="E92" s="2"/>
      <c r="F92" s="2"/>
    </row>
    <row r="93">
      <c r="A93" s="2">
        <f>IFERROR(__xludf.DUMMYFUNCTION("""COMPUTED_VALUE"""),82913.0)</f>
        <v>82913</v>
      </c>
      <c r="B93" s="2">
        <f>IFERROR(__xludf.DUMMYFUNCTION("""COMPUTED_VALUE"""),1.0)</f>
        <v>1</v>
      </c>
      <c r="C93" s="2">
        <f>IFERROR(__xludf.DUMMYFUNCTION("""COMPUTED_VALUE"""),196.0)</f>
        <v>196</v>
      </c>
      <c r="D93" s="3">
        <f>IFERROR(__xludf.DUMMYFUNCTION("""COMPUTED_VALUE"""),116.0)</f>
        <v>116</v>
      </c>
      <c r="E93" s="2"/>
      <c r="F93" s="2"/>
    </row>
    <row r="94">
      <c r="A94" s="2">
        <f>IFERROR(__xludf.DUMMYFUNCTION("""COMPUTED_VALUE"""),82922.0)</f>
        <v>82922</v>
      </c>
      <c r="B94" s="2">
        <f>IFERROR(__xludf.DUMMYFUNCTION("""COMPUTED_VALUE"""),1.0)</f>
        <v>1</v>
      </c>
      <c r="C94" s="2">
        <f>IFERROR(__xludf.DUMMYFUNCTION("""COMPUTED_VALUE"""),783.0)</f>
        <v>783</v>
      </c>
      <c r="D94" s="3">
        <f>IFERROR(__xludf.DUMMYFUNCTION("""COMPUTED_VALUE"""),107.0)</f>
        <v>107</v>
      </c>
      <c r="E94" s="2"/>
      <c r="F94" s="2"/>
    </row>
    <row r="95">
      <c r="A95" s="2">
        <f>IFERROR(__xludf.DUMMYFUNCTION("""COMPUTED_VALUE"""),6045.0)</f>
        <v>6045</v>
      </c>
      <c r="B95" s="2">
        <f>IFERROR(__xludf.DUMMYFUNCTION("""COMPUTED_VALUE"""),1.0)</f>
        <v>1</v>
      </c>
      <c r="C95" s="2">
        <f>IFERROR(__xludf.DUMMYFUNCTION("""COMPUTED_VALUE"""),0.0)</f>
        <v>0</v>
      </c>
      <c r="D95" s="3">
        <f>IFERROR(__xludf.DUMMYFUNCTION("""COMPUTED_VALUE"""),0.0)</f>
        <v>0</v>
      </c>
      <c r="E95" s="2"/>
      <c r="F95" s="2"/>
    </row>
    <row r="96">
      <c r="A96" s="2">
        <f>IFERROR(__xludf.DUMMYFUNCTION("""COMPUTED_VALUE"""),6027.0)</f>
        <v>6027</v>
      </c>
      <c r="B96" s="2">
        <f>IFERROR(__xludf.DUMMYFUNCTION("""COMPUTED_VALUE"""),0.0)</f>
        <v>0</v>
      </c>
      <c r="C96" s="2">
        <f>IFERROR(__xludf.DUMMYFUNCTION("""COMPUTED_VALUE"""),282.0)</f>
        <v>282</v>
      </c>
      <c r="D96" s="3">
        <f>IFERROR(__xludf.DUMMYFUNCTION("""COMPUTED_VALUE"""),174.0)</f>
        <v>174</v>
      </c>
      <c r="E96" s="2"/>
      <c r="F96" s="2"/>
    </row>
    <row r="97">
      <c r="A97" s="2">
        <f>IFERROR(__xludf.DUMMYFUNCTION("""COMPUTED_VALUE"""),97088.0)</f>
        <v>97088</v>
      </c>
      <c r="B97" s="2">
        <f>IFERROR(__xludf.DUMMYFUNCTION("""COMPUTED_VALUE"""),1.0)</f>
        <v>1</v>
      </c>
      <c r="C97" s="2">
        <f>IFERROR(__xludf.DUMMYFUNCTION("""COMPUTED_VALUE"""),356.0)</f>
        <v>356</v>
      </c>
      <c r="D97" s="3">
        <f>IFERROR(__xludf.DUMMYFUNCTION("""COMPUTED_VALUE"""),290.0)</f>
        <v>290</v>
      </c>
      <c r="E97" s="2"/>
      <c r="F97" s="2"/>
    </row>
    <row r="98">
      <c r="A98" s="2">
        <f>IFERROR(__xludf.DUMMYFUNCTION("""COMPUTED_VALUE"""),122235.0)</f>
        <v>122235</v>
      </c>
      <c r="B98" s="2">
        <f>IFERROR(__xludf.DUMMYFUNCTION("""COMPUTED_VALUE"""),1.0)</f>
        <v>1</v>
      </c>
      <c r="C98" s="2">
        <f>IFERROR(__xludf.DUMMYFUNCTION("""COMPUTED_VALUE"""),941.0)</f>
        <v>941</v>
      </c>
      <c r="D98" s="3">
        <f>IFERROR(__xludf.DUMMYFUNCTION("""COMPUTED_VALUE"""),126.0)</f>
        <v>126</v>
      </c>
      <c r="E98" s="2"/>
      <c r="F98" s="2"/>
    </row>
    <row r="99">
      <c r="A99" s="2">
        <f>IFERROR(__xludf.DUMMYFUNCTION("""COMPUTED_VALUE"""),119887.0)</f>
        <v>119887</v>
      </c>
      <c r="B99" s="2">
        <f>IFERROR(__xludf.DUMMYFUNCTION("""COMPUTED_VALUE"""),1.0)</f>
        <v>1</v>
      </c>
      <c r="C99" s="2">
        <f>IFERROR(__xludf.DUMMYFUNCTION("""COMPUTED_VALUE"""),732.0)</f>
        <v>732</v>
      </c>
      <c r="D99" s="3">
        <f>IFERROR(__xludf.DUMMYFUNCTION("""COMPUTED_VALUE"""),498.0)</f>
        <v>498</v>
      </c>
      <c r="E99" s="2"/>
      <c r="F99" s="2"/>
    </row>
    <row r="100">
      <c r="A100" s="2">
        <f>IFERROR(__xludf.DUMMYFUNCTION("""COMPUTED_VALUE"""),97980.0)</f>
        <v>97980</v>
      </c>
      <c r="B100" s="2">
        <f>IFERROR(__xludf.DUMMYFUNCTION("""COMPUTED_VALUE"""),0.0)</f>
        <v>0</v>
      </c>
      <c r="C100" s="2">
        <f>IFERROR(__xludf.DUMMYFUNCTION("""COMPUTED_VALUE"""),366.0)</f>
        <v>366</v>
      </c>
      <c r="D100" s="3">
        <f>IFERROR(__xludf.DUMMYFUNCTION("""COMPUTED_VALUE"""),344.0)</f>
        <v>344</v>
      </c>
      <c r="E100" s="2"/>
      <c r="F100" s="2"/>
    </row>
    <row r="101">
      <c r="A101" s="2">
        <f>IFERROR(__xludf.DUMMYFUNCTION("""COMPUTED_VALUE"""),119876.0)</f>
        <v>119876</v>
      </c>
      <c r="B101" s="2">
        <f>IFERROR(__xludf.DUMMYFUNCTION("""COMPUTED_VALUE"""),0.0)</f>
        <v>0</v>
      </c>
      <c r="C101" s="2">
        <f>IFERROR(__xludf.DUMMYFUNCTION("""COMPUTED_VALUE"""),735.0)</f>
        <v>735</v>
      </c>
      <c r="D101" s="3">
        <f>IFERROR(__xludf.DUMMYFUNCTION("""COMPUTED_VALUE"""),437.0)</f>
        <v>437</v>
      </c>
      <c r="E101" s="2"/>
      <c r="F101" s="2"/>
    </row>
    <row r="102">
      <c r="A102" s="2">
        <f>IFERROR(__xludf.DUMMYFUNCTION("""COMPUTED_VALUE"""),119881.0)</f>
        <v>119881</v>
      </c>
      <c r="B102" s="2">
        <f>IFERROR(__xludf.DUMMYFUNCTION("""COMPUTED_VALUE"""),0.0)</f>
        <v>0</v>
      </c>
      <c r="C102" s="2">
        <f>IFERROR(__xludf.DUMMYFUNCTION("""COMPUTED_VALUE"""),758.0)</f>
        <v>758</v>
      </c>
      <c r="D102" s="3">
        <f>IFERROR(__xludf.DUMMYFUNCTION("""COMPUTED_VALUE"""),95.0)</f>
        <v>95</v>
      </c>
      <c r="E102" s="2"/>
      <c r="F102" s="2"/>
    </row>
    <row r="103">
      <c r="A103" s="2">
        <f>IFERROR(__xludf.DUMMYFUNCTION("""COMPUTED_VALUE"""),26127.0)</f>
        <v>26127</v>
      </c>
      <c r="B103" s="2">
        <f>IFERROR(__xludf.DUMMYFUNCTION("""COMPUTED_VALUE"""),0.0)</f>
        <v>0</v>
      </c>
      <c r="C103" s="2">
        <f>IFERROR(__xludf.DUMMYFUNCTION("""COMPUTED_VALUE"""),956.0)</f>
        <v>956</v>
      </c>
      <c r="D103" s="3">
        <f>IFERROR(__xludf.DUMMYFUNCTION("""COMPUTED_VALUE"""),225.0)</f>
        <v>225</v>
      </c>
      <c r="E103" s="2"/>
      <c r="F103" s="2"/>
    </row>
    <row r="104">
      <c r="A104" s="2">
        <f>IFERROR(__xludf.DUMMYFUNCTION("""COMPUTED_VALUE"""),87365.0)</f>
        <v>87365</v>
      </c>
      <c r="B104" s="2">
        <f>IFERROR(__xludf.DUMMYFUNCTION("""COMPUTED_VALUE"""),1.0)</f>
        <v>1</v>
      </c>
      <c r="C104" s="2">
        <f>IFERROR(__xludf.DUMMYFUNCTION("""COMPUTED_VALUE"""),701.0)</f>
        <v>701</v>
      </c>
      <c r="D104" s="3">
        <f>IFERROR(__xludf.DUMMYFUNCTION("""COMPUTED_VALUE"""),414.0)</f>
        <v>414</v>
      </c>
      <c r="E104" s="2"/>
      <c r="F104" s="2"/>
    </row>
    <row r="105">
      <c r="A105" s="2">
        <f>IFERROR(__xludf.DUMMYFUNCTION("""COMPUTED_VALUE"""),87381.0)</f>
        <v>87381</v>
      </c>
      <c r="B105" s="2">
        <f>IFERROR(__xludf.DUMMYFUNCTION("""COMPUTED_VALUE"""),0.0)</f>
        <v>0</v>
      </c>
      <c r="C105" s="2">
        <f>IFERROR(__xludf.DUMMYFUNCTION("""COMPUTED_VALUE"""),91.0)</f>
        <v>91</v>
      </c>
      <c r="D105" s="3">
        <f>IFERROR(__xludf.DUMMYFUNCTION("""COMPUTED_VALUE"""),45.0)</f>
        <v>45</v>
      </c>
      <c r="E105" s="2"/>
      <c r="F105" s="2"/>
    </row>
    <row r="106">
      <c r="A106" s="2">
        <f>IFERROR(__xludf.DUMMYFUNCTION("""COMPUTED_VALUE"""),122828.0)</f>
        <v>122828</v>
      </c>
      <c r="B106" s="2">
        <f>IFERROR(__xludf.DUMMYFUNCTION("""COMPUTED_VALUE"""),1.0)</f>
        <v>1</v>
      </c>
      <c r="C106" s="2">
        <f>IFERROR(__xludf.DUMMYFUNCTION("""COMPUTED_VALUE"""),101.0)</f>
        <v>101</v>
      </c>
      <c r="D106" s="3">
        <f>IFERROR(__xludf.DUMMYFUNCTION("""COMPUTED_VALUE"""),58.0)</f>
        <v>58</v>
      </c>
      <c r="E106" s="2"/>
      <c r="F106" s="2"/>
    </row>
    <row r="107">
      <c r="A107" s="2">
        <f>IFERROR(__xludf.DUMMYFUNCTION("""COMPUTED_VALUE"""),73841.0)</f>
        <v>73841</v>
      </c>
      <c r="B107" s="2">
        <f>IFERROR(__xludf.DUMMYFUNCTION("""COMPUTED_VALUE"""),1.0)</f>
        <v>1</v>
      </c>
      <c r="C107" s="2">
        <f>IFERROR(__xludf.DUMMYFUNCTION("""COMPUTED_VALUE"""),357.0)</f>
        <v>357</v>
      </c>
      <c r="D107" s="3">
        <f>IFERROR(__xludf.DUMMYFUNCTION("""COMPUTED_VALUE"""),42.0)</f>
        <v>42</v>
      </c>
      <c r="E107" s="2"/>
      <c r="F107" s="2"/>
    </row>
    <row r="108">
      <c r="A108" s="2">
        <f>IFERROR(__xludf.DUMMYFUNCTION("""COMPUTED_VALUE"""),73838.0)</f>
        <v>73838</v>
      </c>
      <c r="B108" s="2">
        <f>IFERROR(__xludf.DUMMYFUNCTION("""COMPUTED_VALUE"""),1.0)</f>
        <v>1</v>
      </c>
      <c r="C108" s="2">
        <f>IFERROR(__xludf.DUMMYFUNCTION("""COMPUTED_VALUE"""),371.0)</f>
        <v>371</v>
      </c>
      <c r="D108" s="3">
        <f>IFERROR(__xludf.DUMMYFUNCTION("""COMPUTED_VALUE"""),9.0)</f>
        <v>9</v>
      </c>
      <c r="E108" s="2"/>
      <c r="F108" s="2"/>
    </row>
    <row r="109">
      <c r="A109" s="2">
        <f>IFERROR(__xludf.DUMMYFUNCTION("""COMPUTED_VALUE"""),87372.0)</f>
        <v>87372</v>
      </c>
      <c r="B109" s="2">
        <f>IFERROR(__xludf.DUMMYFUNCTION("""COMPUTED_VALUE"""),0.0)</f>
        <v>0</v>
      </c>
      <c r="C109" s="2">
        <f>IFERROR(__xludf.DUMMYFUNCTION("""COMPUTED_VALUE"""),540.0)</f>
        <v>540</v>
      </c>
      <c r="D109" s="3">
        <f>IFERROR(__xludf.DUMMYFUNCTION("""COMPUTED_VALUE"""),494.0)</f>
        <v>494</v>
      </c>
      <c r="E109" s="2"/>
      <c r="F109" s="2"/>
    </row>
    <row r="110">
      <c r="A110" s="2">
        <f>IFERROR(__xludf.DUMMYFUNCTION("""COMPUTED_VALUE"""),87383.0)</f>
        <v>87383</v>
      </c>
      <c r="B110" s="2">
        <f>IFERROR(__xludf.DUMMYFUNCTION("""COMPUTED_VALUE"""),1.0)</f>
        <v>1</v>
      </c>
      <c r="C110" s="2">
        <f>IFERROR(__xludf.DUMMYFUNCTION("""COMPUTED_VALUE"""),723.0)</f>
        <v>723</v>
      </c>
      <c r="D110" s="3">
        <f>IFERROR(__xludf.DUMMYFUNCTION("""COMPUTED_VALUE"""),60.0)</f>
        <v>60</v>
      </c>
      <c r="E110" s="2"/>
      <c r="F110" s="2"/>
    </row>
    <row r="111">
      <c r="A111" s="2">
        <f>IFERROR(__xludf.DUMMYFUNCTION("""COMPUTED_VALUE"""),49068.0)</f>
        <v>49068</v>
      </c>
      <c r="B111" s="2">
        <f>IFERROR(__xludf.DUMMYFUNCTION("""COMPUTED_VALUE"""),1.0)</f>
        <v>1</v>
      </c>
      <c r="C111" s="2">
        <f>IFERROR(__xludf.DUMMYFUNCTION("""COMPUTED_VALUE"""),940.0)</f>
        <v>940</v>
      </c>
      <c r="D111" s="3">
        <f>IFERROR(__xludf.DUMMYFUNCTION("""COMPUTED_VALUE"""),26.0)</f>
        <v>26</v>
      </c>
      <c r="E111" s="2"/>
      <c r="F111" s="2"/>
    </row>
    <row r="112">
      <c r="A112" s="2">
        <f>IFERROR(__xludf.DUMMYFUNCTION("""COMPUTED_VALUE"""),26130.0)</f>
        <v>26130</v>
      </c>
      <c r="B112" s="2">
        <f>IFERROR(__xludf.DUMMYFUNCTION("""COMPUTED_VALUE"""),1.0)</f>
        <v>1</v>
      </c>
      <c r="C112" s="2">
        <f>IFERROR(__xludf.DUMMYFUNCTION("""COMPUTED_VALUE"""),220.0)</f>
        <v>220</v>
      </c>
      <c r="D112" s="3">
        <f>IFERROR(__xludf.DUMMYFUNCTION("""COMPUTED_VALUE"""),152.0)</f>
        <v>152</v>
      </c>
      <c r="E112" s="2"/>
      <c r="F112" s="2"/>
    </row>
    <row r="113">
      <c r="A113" s="2">
        <f>IFERROR(__xludf.DUMMYFUNCTION("""COMPUTED_VALUE"""),111493.0)</f>
        <v>111493</v>
      </c>
      <c r="B113" s="2">
        <f>IFERROR(__xludf.DUMMYFUNCTION("""COMPUTED_VALUE"""),0.0)</f>
        <v>0</v>
      </c>
      <c r="C113" s="2">
        <f>IFERROR(__xludf.DUMMYFUNCTION("""COMPUTED_VALUE"""),211.0)</f>
        <v>211</v>
      </c>
      <c r="D113" s="3">
        <f>IFERROR(__xludf.DUMMYFUNCTION("""COMPUTED_VALUE"""),142.0)</f>
        <v>142</v>
      </c>
      <c r="E113" s="2"/>
      <c r="F113" s="2"/>
    </row>
    <row r="114">
      <c r="A114" s="2">
        <f>IFERROR(__xludf.DUMMYFUNCTION("""COMPUTED_VALUE"""),98395.0)</f>
        <v>98395</v>
      </c>
      <c r="B114" s="2">
        <f>IFERROR(__xludf.DUMMYFUNCTION("""COMPUTED_VALUE"""),1.0)</f>
        <v>1</v>
      </c>
      <c r="C114" s="2">
        <f>IFERROR(__xludf.DUMMYFUNCTION("""COMPUTED_VALUE"""),598.0)</f>
        <v>598</v>
      </c>
      <c r="D114" s="3">
        <f>IFERROR(__xludf.DUMMYFUNCTION("""COMPUTED_VALUE"""),47.0)</f>
        <v>47</v>
      </c>
      <c r="E114" s="2"/>
      <c r="F114" s="2"/>
    </row>
    <row r="115">
      <c r="A115" s="2">
        <f>IFERROR(__xludf.DUMMYFUNCTION("""COMPUTED_VALUE"""),98396.0)</f>
        <v>98396</v>
      </c>
      <c r="B115" s="2">
        <f>IFERROR(__xludf.DUMMYFUNCTION("""COMPUTED_VALUE"""),1.0)</f>
        <v>1</v>
      </c>
      <c r="C115" s="2">
        <f>IFERROR(__xludf.DUMMYFUNCTION("""COMPUTED_VALUE"""),576.0)</f>
        <v>576</v>
      </c>
      <c r="D115" s="3">
        <f>IFERROR(__xludf.DUMMYFUNCTION("""COMPUTED_VALUE"""),80.0)</f>
        <v>80</v>
      </c>
      <c r="E115" s="2"/>
      <c r="F115" s="2"/>
    </row>
    <row r="116">
      <c r="A116" s="2">
        <f>IFERROR(__xludf.DUMMYFUNCTION("""COMPUTED_VALUE"""),98394.0)</f>
        <v>98394</v>
      </c>
      <c r="B116" s="2">
        <f>IFERROR(__xludf.DUMMYFUNCTION("""COMPUTED_VALUE"""),1.0)</f>
        <v>1</v>
      </c>
      <c r="C116" s="2">
        <f>IFERROR(__xludf.DUMMYFUNCTION("""COMPUTED_VALUE"""),408.0)</f>
        <v>408</v>
      </c>
      <c r="D116" s="3">
        <f>IFERROR(__xludf.DUMMYFUNCTION("""COMPUTED_VALUE"""),400.0)</f>
        <v>400</v>
      </c>
      <c r="E116" s="2"/>
      <c r="F116" s="2"/>
    </row>
    <row r="117">
      <c r="A117" s="2">
        <f>IFERROR(__xludf.DUMMYFUNCTION("""COMPUTED_VALUE"""),98397.0)</f>
        <v>98397</v>
      </c>
      <c r="B117" s="2">
        <f>IFERROR(__xludf.DUMMYFUNCTION("""COMPUTED_VALUE"""),1.0)</f>
        <v>1</v>
      </c>
      <c r="C117" s="2">
        <f>IFERROR(__xludf.DUMMYFUNCTION("""COMPUTED_VALUE"""),257.0)</f>
        <v>257</v>
      </c>
      <c r="D117" s="3">
        <f>IFERROR(__xludf.DUMMYFUNCTION("""COMPUTED_VALUE"""),81.0)</f>
        <v>81</v>
      </c>
      <c r="E117" s="2"/>
      <c r="F117" s="2"/>
    </row>
    <row r="118">
      <c r="A118" s="2">
        <f>IFERROR(__xludf.DUMMYFUNCTION("""COMPUTED_VALUE"""),111489.0)</f>
        <v>111489</v>
      </c>
      <c r="B118" s="2">
        <f>IFERROR(__xludf.DUMMYFUNCTION("""COMPUTED_VALUE"""),1.0)</f>
        <v>1</v>
      </c>
      <c r="C118" s="2">
        <f>IFERROR(__xludf.DUMMYFUNCTION("""COMPUTED_VALUE"""),44.0)</f>
        <v>44</v>
      </c>
      <c r="D118" s="3">
        <f>IFERROR(__xludf.DUMMYFUNCTION("""COMPUTED_VALUE"""),37.0)</f>
        <v>37</v>
      </c>
      <c r="E118" s="2"/>
      <c r="F118" s="2"/>
    </row>
    <row r="119">
      <c r="A119" s="2">
        <f>IFERROR(__xludf.DUMMYFUNCTION("""COMPUTED_VALUE"""),98393.0)</f>
        <v>98393</v>
      </c>
      <c r="B119" s="2">
        <f>IFERROR(__xludf.DUMMYFUNCTION("""COMPUTED_VALUE"""),0.0)</f>
        <v>0</v>
      </c>
      <c r="C119" s="2">
        <f>IFERROR(__xludf.DUMMYFUNCTION("""COMPUTED_VALUE"""),690.0)</f>
        <v>690</v>
      </c>
      <c r="D119" s="3">
        <f>IFERROR(__xludf.DUMMYFUNCTION("""COMPUTED_VALUE"""),117.0)</f>
        <v>117</v>
      </c>
      <c r="E119" s="2"/>
      <c r="F119" s="2"/>
    </row>
    <row r="120">
      <c r="A120" s="2">
        <f>IFERROR(__xludf.DUMMYFUNCTION("""COMPUTED_VALUE"""),10933.0)</f>
        <v>10933</v>
      </c>
      <c r="B120" s="2">
        <f>IFERROR(__xludf.DUMMYFUNCTION("""COMPUTED_VALUE"""),0.0)</f>
        <v>0</v>
      </c>
      <c r="C120" s="2">
        <f>IFERROR(__xludf.DUMMYFUNCTION("""COMPUTED_VALUE"""),641.0)</f>
        <v>641</v>
      </c>
      <c r="D120" s="3">
        <f>IFERROR(__xludf.DUMMYFUNCTION("""COMPUTED_VALUE"""),145.0)</f>
        <v>145</v>
      </c>
      <c r="E120" s="2"/>
      <c r="F120" s="2"/>
    </row>
    <row r="121">
      <c r="A121" s="2">
        <f>IFERROR(__xludf.DUMMYFUNCTION("""COMPUTED_VALUE"""),111994.0)</f>
        <v>111994</v>
      </c>
      <c r="B121" s="2">
        <f>IFERROR(__xludf.DUMMYFUNCTION("""COMPUTED_VALUE"""),0.0)</f>
        <v>0</v>
      </c>
      <c r="C121" s="2">
        <f>IFERROR(__xludf.DUMMYFUNCTION("""COMPUTED_VALUE"""),868.0)</f>
        <v>868</v>
      </c>
      <c r="D121" s="3">
        <f>IFERROR(__xludf.DUMMYFUNCTION("""COMPUTED_VALUE"""),726.0)</f>
        <v>726</v>
      </c>
      <c r="E121" s="2"/>
      <c r="F121" s="2"/>
    </row>
    <row r="122">
      <c r="A122" s="2">
        <f>IFERROR(__xludf.DUMMYFUNCTION("""COMPUTED_VALUE"""),101637.0)</f>
        <v>101637</v>
      </c>
      <c r="B122" s="2">
        <f>IFERROR(__xludf.DUMMYFUNCTION("""COMPUTED_VALUE"""),1.0)</f>
        <v>1</v>
      </c>
      <c r="C122" s="2">
        <f>IFERROR(__xludf.DUMMYFUNCTION("""COMPUTED_VALUE"""),260.0)</f>
        <v>260</v>
      </c>
      <c r="D122" s="3">
        <f>IFERROR(__xludf.DUMMYFUNCTION("""COMPUTED_VALUE"""),104.0)</f>
        <v>104</v>
      </c>
      <c r="E122" s="2"/>
      <c r="F122" s="2"/>
    </row>
    <row r="123">
      <c r="A123" s="2">
        <f>IFERROR(__xludf.DUMMYFUNCTION("""COMPUTED_VALUE"""),111996.0)</f>
        <v>111996</v>
      </c>
      <c r="B123" s="2">
        <f>IFERROR(__xludf.DUMMYFUNCTION("""COMPUTED_VALUE"""),0.0)</f>
        <v>0</v>
      </c>
      <c r="C123" s="2">
        <f>IFERROR(__xludf.DUMMYFUNCTION("""COMPUTED_VALUE"""),499.0)</f>
        <v>499</v>
      </c>
      <c r="D123" s="3">
        <f>IFERROR(__xludf.DUMMYFUNCTION("""COMPUTED_VALUE"""),311.0)</f>
        <v>311</v>
      </c>
      <c r="E123" s="2"/>
      <c r="F123" s="2"/>
    </row>
    <row r="124">
      <c r="A124" s="2">
        <f>IFERROR(__xludf.DUMMYFUNCTION("""COMPUTED_VALUE"""),120886.0)</f>
        <v>120886</v>
      </c>
      <c r="B124" s="2">
        <f>IFERROR(__xludf.DUMMYFUNCTION("""COMPUTED_VALUE"""),0.0)</f>
        <v>0</v>
      </c>
      <c r="C124" s="2">
        <f>IFERROR(__xludf.DUMMYFUNCTION("""COMPUTED_VALUE"""),629.0)</f>
        <v>629</v>
      </c>
      <c r="D124" s="3">
        <f>IFERROR(__xludf.DUMMYFUNCTION("""COMPUTED_VALUE"""),554.0)</f>
        <v>554</v>
      </c>
      <c r="E124" s="2"/>
      <c r="F124" s="2"/>
    </row>
    <row r="125">
      <c r="A125" s="2">
        <f>IFERROR(__xludf.DUMMYFUNCTION("""COMPUTED_VALUE"""),85058.0)</f>
        <v>85058</v>
      </c>
      <c r="B125" s="2">
        <f>IFERROR(__xludf.DUMMYFUNCTION("""COMPUTED_VALUE"""),0.0)</f>
        <v>0</v>
      </c>
      <c r="C125" s="2">
        <f>IFERROR(__xludf.DUMMYFUNCTION("""COMPUTED_VALUE"""),395.0)</f>
        <v>395</v>
      </c>
      <c r="D125" s="3">
        <f>IFERROR(__xludf.DUMMYFUNCTION("""COMPUTED_VALUE"""),374.0)</f>
        <v>374</v>
      </c>
      <c r="E125" s="2"/>
      <c r="F125" s="2"/>
    </row>
    <row r="126">
      <c r="A126" s="2">
        <f>IFERROR(__xludf.DUMMYFUNCTION("""COMPUTED_VALUE"""),27380.0)</f>
        <v>27380</v>
      </c>
      <c r="B126" s="2">
        <f>IFERROR(__xludf.DUMMYFUNCTION("""COMPUTED_VALUE"""),1.0)</f>
        <v>1</v>
      </c>
      <c r="C126" s="2">
        <f>IFERROR(__xludf.DUMMYFUNCTION("""COMPUTED_VALUE"""),142.0)</f>
        <v>142</v>
      </c>
      <c r="D126" s="3">
        <f>IFERROR(__xludf.DUMMYFUNCTION("""COMPUTED_VALUE"""),49.0)</f>
        <v>49</v>
      </c>
      <c r="E126" s="2"/>
      <c r="F126" s="2"/>
    </row>
    <row r="127">
      <c r="A127" s="2">
        <f>IFERROR(__xludf.DUMMYFUNCTION("""COMPUTED_VALUE"""),117204.0)</f>
        <v>117204</v>
      </c>
      <c r="B127" s="2">
        <f>IFERROR(__xludf.DUMMYFUNCTION("""COMPUTED_VALUE"""),0.0)</f>
        <v>0</v>
      </c>
      <c r="C127" s="2">
        <f>IFERROR(__xludf.DUMMYFUNCTION("""COMPUTED_VALUE"""),41.0)</f>
        <v>41</v>
      </c>
      <c r="D127" s="3">
        <f>IFERROR(__xludf.DUMMYFUNCTION("""COMPUTED_VALUE"""),5.0)</f>
        <v>5</v>
      </c>
      <c r="E127" s="2"/>
      <c r="F127" s="2"/>
    </row>
    <row r="128">
      <c r="A128" s="2">
        <f>IFERROR(__xludf.DUMMYFUNCTION("""COMPUTED_VALUE"""),45484.0)</f>
        <v>45484</v>
      </c>
      <c r="B128" s="2">
        <f>IFERROR(__xludf.DUMMYFUNCTION("""COMPUTED_VALUE"""),1.0)</f>
        <v>1</v>
      </c>
      <c r="C128" s="2">
        <f>IFERROR(__xludf.DUMMYFUNCTION("""COMPUTED_VALUE"""),847.0)</f>
        <v>847</v>
      </c>
      <c r="D128" s="3">
        <f>IFERROR(__xludf.DUMMYFUNCTION("""COMPUTED_VALUE"""),174.0)</f>
        <v>174</v>
      </c>
      <c r="E128" s="2"/>
      <c r="F128" s="2"/>
    </row>
    <row r="129">
      <c r="A129" s="2">
        <f>IFERROR(__xludf.DUMMYFUNCTION("""COMPUTED_VALUE"""),27382.0)</f>
        <v>27382</v>
      </c>
      <c r="B129" s="2">
        <f>IFERROR(__xludf.DUMMYFUNCTION("""COMPUTED_VALUE"""),0.0)</f>
        <v>0</v>
      </c>
      <c r="C129" s="2">
        <f>IFERROR(__xludf.DUMMYFUNCTION("""COMPUTED_VALUE"""),951.0)</f>
        <v>951</v>
      </c>
      <c r="D129" s="3">
        <f>IFERROR(__xludf.DUMMYFUNCTION("""COMPUTED_VALUE"""),256.0)</f>
        <v>256</v>
      </c>
      <c r="E129" s="2"/>
      <c r="F129" s="2"/>
    </row>
    <row r="130">
      <c r="A130" s="2">
        <f>IFERROR(__xludf.DUMMYFUNCTION("""COMPUTED_VALUE"""),45491.0)</f>
        <v>45491</v>
      </c>
      <c r="B130" s="2">
        <f>IFERROR(__xludf.DUMMYFUNCTION("""COMPUTED_VALUE"""),0.0)</f>
        <v>0</v>
      </c>
      <c r="C130" s="2">
        <f>IFERROR(__xludf.DUMMYFUNCTION("""COMPUTED_VALUE"""),252.0)</f>
        <v>252</v>
      </c>
      <c r="D130" s="3">
        <f>IFERROR(__xludf.DUMMYFUNCTION("""COMPUTED_VALUE"""),230.0)</f>
        <v>230</v>
      </c>
      <c r="E130" s="2"/>
      <c r="F130" s="2"/>
    </row>
    <row r="131">
      <c r="A131" s="2">
        <f>IFERROR(__xludf.DUMMYFUNCTION("""COMPUTED_VALUE"""),11631.0)</f>
        <v>11631</v>
      </c>
      <c r="B131" s="2">
        <f>IFERROR(__xludf.DUMMYFUNCTION("""COMPUTED_VALUE"""),0.0)</f>
        <v>0</v>
      </c>
      <c r="C131" s="2">
        <f>IFERROR(__xludf.DUMMYFUNCTION("""COMPUTED_VALUE"""),800.0)</f>
        <v>800</v>
      </c>
      <c r="D131" s="3">
        <f>IFERROR(__xludf.DUMMYFUNCTION("""COMPUTED_VALUE"""),499.0)</f>
        <v>499</v>
      </c>
      <c r="E131" s="2"/>
      <c r="F131" s="2"/>
    </row>
    <row r="132">
      <c r="A132" s="2">
        <f>IFERROR(__xludf.DUMMYFUNCTION("""COMPUTED_VALUE"""),11630.0)</f>
        <v>11630</v>
      </c>
      <c r="B132" s="2">
        <f>IFERROR(__xludf.DUMMYFUNCTION("""COMPUTED_VALUE"""),1.0)</f>
        <v>1</v>
      </c>
      <c r="C132" s="2">
        <f>IFERROR(__xludf.DUMMYFUNCTION("""COMPUTED_VALUE"""),461.0)</f>
        <v>461</v>
      </c>
      <c r="D132" s="3">
        <f>IFERROR(__xludf.DUMMYFUNCTION("""COMPUTED_VALUE"""),212.0)</f>
        <v>212</v>
      </c>
      <c r="E132" s="2"/>
      <c r="F132" s="2"/>
    </row>
    <row r="133">
      <c r="A133" s="2">
        <f>IFERROR(__xludf.DUMMYFUNCTION("""COMPUTED_VALUE"""),11634.0)</f>
        <v>11634</v>
      </c>
      <c r="B133" s="2">
        <f>IFERROR(__xludf.DUMMYFUNCTION("""COMPUTED_VALUE"""),0.0)</f>
        <v>0</v>
      </c>
      <c r="C133" s="2">
        <f>IFERROR(__xludf.DUMMYFUNCTION("""COMPUTED_VALUE"""),697.0)</f>
        <v>697</v>
      </c>
      <c r="D133" s="3">
        <f>IFERROR(__xludf.DUMMYFUNCTION("""COMPUTED_VALUE"""),205.0)</f>
        <v>205</v>
      </c>
      <c r="E133" s="2"/>
      <c r="F133" s="2"/>
    </row>
    <row r="134">
      <c r="A134" s="2">
        <f>IFERROR(__xludf.DUMMYFUNCTION("""COMPUTED_VALUE"""),11635.0)</f>
        <v>11635</v>
      </c>
      <c r="B134" s="2">
        <f>IFERROR(__xludf.DUMMYFUNCTION("""COMPUTED_VALUE"""),0.0)</f>
        <v>0</v>
      </c>
      <c r="C134" s="2">
        <f>IFERROR(__xludf.DUMMYFUNCTION("""COMPUTED_VALUE"""),335.0)</f>
        <v>335</v>
      </c>
      <c r="D134" s="3">
        <f>IFERROR(__xludf.DUMMYFUNCTION("""COMPUTED_VALUE"""),207.0)</f>
        <v>207</v>
      </c>
      <c r="E134" s="2"/>
      <c r="F134" s="2"/>
    </row>
    <row r="135">
      <c r="A135" s="2">
        <f>IFERROR(__xludf.DUMMYFUNCTION("""COMPUTED_VALUE"""),114776.0)</f>
        <v>114776</v>
      </c>
      <c r="B135" s="2">
        <f>IFERROR(__xludf.DUMMYFUNCTION("""COMPUTED_VALUE"""),0.0)</f>
        <v>0</v>
      </c>
      <c r="C135" s="2">
        <f>IFERROR(__xludf.DUMMYFUNCTION("""COMPUTED_VALUE"""),124.0)</f>
        <v>124</v>
      </c>
      <c r="D135" s="3">
        <f>IFERROR(__xludf.DUMMYFUNCTION("""COMPUTED_VALUE"""),108.0)</f>
        <v>108</v>
      </c>
      <c r="E135" s="2"/>
      <c r="F135" s="2"/>
    </row>
    <row r="136">
      <c r="A136" s="2">
        <f>IFERROR(__xludf.DUMMYFUNCTION("""COMPUTED_VALUE"""),76762.0)</f>
        <v>76762</v>
      </c>
      <c r="B136" s="2">
        <f>IFERROR(__xludf.DUMMYFUNCTION("""COMPUTED_VALUE"""),1.0)</f>
        <v>1</v>
      </c>
      <c r="C136" s="2">
        <f>IFERROR(__xludf.DUMMYFUNCTION("""COMPUTED_VALUE"""),568.0)</f>
        <v>568</v>
      </c>
      <c r="D136" s="3">
        <f>IFERROR(__xludf.DUMMYFUNCTION("""COMPUTED_VALUE"""),229.0)</f>
        <v>229</v>
      </c>
      <c r="E136" s="2"/>
      <c r="F136" s="2"/>
    </row>
    <row r="137">
      <c r="A137" s="2">
        <f>IFERROR(__xludf.DUMMYFUNCTION("""COMPUTED_VALUE"""),181194.0)</f>
        <v>181194</v>
      </c>
      <c r="B137" s="2">
        <f>IFERROR(__xludf.DUMMYFUNCTION("""COMPUTED_VALUE"""),0.0)</f>
        <v>0</v>
      </c>
      <c r="C137" s="2">
        <f>IFERROR(__xludf.DUMMYFUNCTION("""COMPUTED_VALUE"""),747.0)</f>
        <v>747</v>
      </c>
      <c r="D137" s="3">
        <f>IFERROR(__xludf.DUMMYFUNCTION("""COMPUTED_VALUE"""),317.0)</f>
        <v>317</v>
      </c>
      <c r="E137" s="2"/>
      <c r="F137" s="2"/>
    </row>
    <row r="138">
      <c r="A138" s="2">
        <f>IFERROR(__xludf.DUMMYFUNCTION("""COMPUTED_VALUE"""),164637.0)</f>
        <v>164637</v>
      </c>
      <c r="B138" s="2">
        <f>IFERROR(__xludf.DUMMYFUNCTION("""COMPUTED_VALUE"""),0.0)</f>
        <v>0</v>
      </c>
      <c r="C138" s="2">
        <f>IFERROR(__xludf.DUMMYFUNCTION("""COMPUTED_VALUE"""),580.0)</f>
        <v>580</v>
      </c>
      <c r="D138" s="3">
        <f>IFERROR(__xludf.DUMMYFUNCTION("""COMPUTED_VALUE"""),19.0)</f>
        <v>19</v>
      </c>
      <c r="E138" s="2"/>
      <c r="F138" s="2"/>
    </row>
    <row r="139">
      <c r="A139" s="2">
        <f>IFERROR(__xludf.DUMMYFUNCTION("""COMPUTED_VALUE"""),164636.0)</f>
        <v>164636</v>
      </c>
      <c r="B139" s="2">
        <f>IFERROR(__xludf.DUMMYFUNCTION("""COMPUTED_VALUE"""),0.0)</f>
        <v>0</v>
      </c>
      <c r="C139" s="2">
        <f>IFERROR(__xludf.DUMMYFUNCTION("""COMPUTED_VALUE"""),719.0)</f>
        <v>719</v>
      </c>
      <c r="D139" s="3">
        <f>IFERROR(__xludf.DUMMYFUNCTION("""COMPUTED_VALUE"""),128.0)</f>
        <v>128</v>
      </c>
      <c r="E139" s="2"/>
      <c r="F139" s="2"/>
    </row>
    <row r="140">
      <c r="A140" s="2">
        <f>IFERROR(__xludf.DUMMYFUNCTION("""COMPUTED_VALUE"""),164639.0)</f>
        <v>164639</v>
      </c>
      <c r="B140" s="2">
        <f>IFERROR(__xludf.DUMMYFUNCTION("""COMPUTED_VALUE"""),0.0)</f>
        <v>0</v>
      </c>
      <c r="C140" s="2">
        <f>IFERROR(__xludf.DUMMYFUNCTION("""COMPUTED_VALUE"""),101.0)</f>
        <v>101</v>
      </c>
      <c r="D140" s="3">
        <f>IFERROR(__xludf.DUMMYFUNCTION("""COMPUTED_VALUE"""),51.0)</f>
        <v>51</v>
      </c>
      <c r="E140" s="2"/>
      <c r="F140" s="2"/>
    </row>
    <row r="141">
      <c r="A141" s="2">
        <f>IFERROR(__xludf.DUMMYFUNCTION("""COMPUTED_VALUE"""),85251.0)</f>
        <v>85251</v>
      </c>
      <c r="B141" s="2">
        <f>IFERROR(__xludf.DUMMYFUNCTION("""COMPUTED_VALUE"""),1.0)</f>
        <v>1</v>
      </c>
      <c r="C141" s="2">
        <f>IFERROR(__xludf.DUMMYFUNCTION("""COMPUTED_VALUE"""),15.0)</f>
        <v>15</v>
      </c>
      <c r="D141" s="3">
        <f>IFERROR(__xludf.DUMMYFUNCTION("""COMPUTED_VALUE"""),8.0)</f>
        <v>8</v>
      </c>
      <c r="E141" s="2"/>
      <c r="F141" s="2"/>
    </row>
    <row r="142">
      <c r="A142" s="2">
        <f>IFERROR(__xludf.DUMMYFUNCTION("""COMPUTED_VALUE"""),113532.0)</f>
        <v>113532</v>
      </c>
      <c r="B142" s="2">
        <f>IFERROR(__xludf.DUMMYFUNCTION("""COMPUTED_VALUE"""),1.0)</f>
        <v>1</v>
      </c>
      <c r="C142" s="2">
        <f>IFERROR(__xludf.DUMMYFUNCTION("""COMPUTED_VALUE"""),816.0)</f>
        <v>816</v>
      </c>
      <c r="D142" s="3">
        <f>IFERROR(__xludf.DUMMYFUNCTION("""COMPUTED_VALUE"""),150.0)</f>
        <v>150</v>
      </c>
      <c r="E142" s="2"/>
      <c r="F142" s="2"/>
    </row>
    <row r="143">
      <c r="A143" s="2">
        <f>IFERROR(__xludf.DUMMYFUNCTION("""COMPUTED_VALUE"""),82501.0)</f>
        <v>82501</v>
      </c>
      <c r="B143" s="2">
        <f>IFERROR(__xludf.DUMMYFUNCTION("""COMPUTED_VALUE"""),0.0)</f>
        <v>0</v>
      </c>
      <c r="C143" s="2">
        <f>IFERROR(__xludf.DUMMYFUNCTION("""COMPUTED_VALUE"""),101.0)</f>
        <v>101</v>
      </c>
      <c r="D143" s="3">
        <f>IFERROR(__xludf.DUMMYFUNCTION("""COMPUTED_VALUE"""),14.0)</f>
        <v>14</v>
      </c>
      <c r="E143" s="2"/>
      <c r="F143" s="2"/>
    </row>
    <row r="144">
      <c r="A144" s="2">
        <f>IFERROR(__xludf.DUMMYFUNCTION("""COMPUTED_VALUE"""),121287.0)</f>
        <v>121287</v>
      </c>
      <c r="B144" s="2">
        <f>IFERROR(__xludf.DUMMYFUNCTION("""COMPUTED_VALUE"""),0.0)</f>
        <v>0</v>
      </c>
      <c r="C144" s="2">
        <f>IFERROR(__xludf.DUMMYFUNCTION("""COMPUTED_VALUE"""),14.0)</f>
        <v>14</v>
      </c>
      <c r="D144" s="3">
        <f>IFERROR(__xludf.DUMMYFUNCTION("""COMPUTED_VALUE"""),12.0)</f>
        <v>12</v>
      </c>
      <c r="E144" s="2"/>
      <c r="F144" s="2"/>
    </row>
    <row r="145">
      <c r="A145" s="2">
        <f>IFERROR(__xludf.DUMMYFUNCTION("""COMPUTED_VALUE"""),113559.0)</f>
        <v>113559</v>
      </c>
      <c r="B145" s="2">
        <f>IFERROR(__xludf.DUMMYFUNCTION("""COMPUTED_VALUE"""),0.0)</f>
        <v>0</v>
      </c>
      <c r="C145" s="2">
        <f>IFERROR(__xludf.DUMMYFUNCTION("""COMPUTED_VALUE"""),358.0)</f>
        <v>358</v>
      </c>
      <c r="D145" s="3">
        <f>IFERROR(__xludf.DUMMYFUNCTION("""COMPUTED_VALUE"""),328.0)</f>
        <v>328</v>
      </c>
      <c r="E145" s="2"/>
      <c r="F145" s="2"/>
    </row>
    <row r="146">
      <c r="A146" s="2">
        <f>IFERROR(__xludf.DUMMYFUNCTION("""COMPUTED_VALUE"""),85252.0)</f>
        <v>85252</v>
      </c>
      <c r="B146" s="2">
        <f>IFERROR(__xludf.DUMMYFUNCTION("""COMPUTED_VALUE"""),1.0)</f>
        <v>1</v>
      </c>
      <c r="C146" s="2">
        <f>IFERROR(__xludf.DUMMYFUNCTION("""COMPUTED_VALUE"""),910.0)</f>
        <v>910</v>
      </c>
      <c r="D146" s="3">
        <f>IFERROR(__xludf.DUMMYFUNCTION("""COMPUTED_VALUE"""),739.0)</f>
        <v>739</v>
      </c>
      <c r="E146" s="2"/>
      <c r="F146" s="2"/>
    </row>
    <row r="147">
      <c r="A147" s="2">
        <f>IFERROR(__xludf.DUMMYFUNCTION("""COMPUTED_VALUE"""),82507.0)</f>
        <v>82507</v>
      </c>
      <c r="B147" s="2">
        <f>IFERROR(__xludf.DUMMYFUNCTION("""COMPUTED_VALUE"""),0.0)</f>
        <v>0</v>
      </c>
      <c r="C147" s="2">
        <f>IFERROR(__xludf.DUMMYFUNCTION("""COMPUTED_VALUE"""),867.0)</f>
        <v>867</v>
      </c>
      <c r="D147" s="3">
        <f>IFERROR(__xludf.DUMMYFUNCTION("""COMPUTED_VALUE"""),576.0)</f>
        <v>576</v>
      </c>
      <c r="E147" s="2"/>
      <c r="F147" s="2"/>
    </row>
    <row r="148">
      <c r="A148" s="2">
        <f>IFERROR(__xludf.DUMMYFUNCTION("""COMPUTED_VALUE"""),109625.0)</f>
        <v>109625</v>
      </c>
      <c r="B148" s="2">
        <f>IFERROR(__xludf.DUMMYFUNCTION("""COMPUTED_VALUE"""),1.0)</f>
        <v>1</v>
      </c>
      <c r="C148" s="2">
        <f>IFERROR(__xludf.DUMMYFUNCTION("""COMPUTED_VALUE"""),16.0)</f>
        <v>16</v>
      </c>
      <c r="D148" s="3">
        <f>IFERROR(__xludf.DUMMYFUNCTION("""COMPUTED_VALUE"""),6.0)</f>
        <v>6</v>
      </c>
      <c r="E148" s="2"/>
      <c r="F148" s="2"/>
    </row>
    <row r="149">
      <c r="A149" s="2">
        <f>IFERROR(__xludf.DUMMYFUNCTION("""COMPUTED_VALUE"""),110864.0)</f>
        <v>110864</v>
      </c>
      <c r="B149" s="2">
        <f>IFERROR(__xludf.DUMMYFUNCTION("""COMPUTED_VALUE"""),0.0)</f>
        <v>0</v>
      </c>
      <c r="C149" s="2">
        <f>IFERROR(__xludf.DUMMYFUNCTION("""COMPUTED_VALUE"""),242.0)</f>
        <v>242</v>
      </c>
      <c r="D149" s="3">
        <f>IFERROR(__xludf.DUMMYFUNCTION("""COMPUTED_VALUE"""),88.0)</f>
        <v>88</v>
      </c>
      <c r="E149" s="2"/>
      <c r="F149" s="2"/>
    </row>
    <row r="150">
      <c r="A150" s="2">
        <f>IFERROR(__xludf.DUMMYFUNCTION("""COMPUTED_VALUE"""),138916.0)</f>
        <v>138916</v>
      </c>
      <c r="B150" s="2">
        <f>IFERROR(__xludf.DUMMYFUNCTION("""COMPUTED_VALUE"""),0.0)</f>
        <v>0</v>
      </c>
      <c r="C150" s="2">
        <f>IFERROR(__xludf.DUMMYFUNCTION("""COMPUTED_VALUE"""),582.0)</f>
        <v>582</v>
      </c>
      <c r="D150" s="3">
        <f>IFERROR(__xludf.DUMMYFUNCTION("""COMPUTED_VALUE"""),462.0)</f>
        <v>462</v>
      </c>
      <c r="E150" s="2"/>
      <c r="F150" s="2"/>
    </row>
    <row r="151">
      <c r="A151" s="2">
        <f>IFERROR(__xludf.DUMMYFUNCTION("""COMPUTED_VALUE"""),121076.0)</f>
        <v>121076</v>
      </c>
      <c r="B151" s="2">
        <f>IFERROR(__xludf.DUMMYFUNCTION("""COMPUTED_VALUE"""),1.0)</f>
        <v>1</v>
      </c>
      <c r="C151" s="2">
        <f>IFERROR(__xludf.DUMMYFUNCTION("""COMPUTED_VALUE"""),300.0)</f>
        <v>300</v>
      </c>
      <c r="D151" s="3">
        <f>IFERROR(__xludf.DUMMYFUNCTION("""COMPUTED_VALUE"""),77.0)</f>
        <v>77</v>
      </c>
      <c r="E151" s="2"/>
      <c r="F151" s="2"/>
    </row>
    <row r="152">
      <c r="A152" s="2">
        <f>IFERROR(__xludf.DUMMYFUNCTION("""COMPUTED_VALUE"""),121077.0)</f>
        <v>121077</v>
      </c>
      <c r="B152" s="2">
        <f>IFERROR(__xludf.DUMMYFUNCTION("""COMPUTED_VALUE"""),1.0)</f>
        <v>1</v>
      </c>
      <c r="C152" s="2">
        <f>IFERROR(__xludf.DUMMYFUNCTION("""COMPUTED_VALUE"""),131.0)</f>
        <v>131</v>
      </c>
      <c r="D152" s="3">
        <f>IFERROR(__xludf.DUMMYFUNCTION("""COMPUTED_VALUE"""),74.0)</f>
        <v>74</v>
      </c>
      <c r="E152" s="2"/>
      <c r="F152" s="2"/>
    </row>
    <row r="153">
      <c r="A153" s="2">
        <f>IFERROR(__xludf.DUMMYFUNCTION("""COMPUTED_VALUE"""),116631.0)</f>
        <v>116631</v>
      </c>
      <c r="B153" s="2">
        <f>IFERROR(__xludf.DUMMYFUNCTION("""COMPUTED_VALUE"""),0.0)</f>
        <v>0</v>
      </c>
      <c r="C153" s="2">
        <f>IFERROR(__xludf.DUMMYFUNCTION("""COMPUTED_VALUE"""),431.0)</f>
        <v>431</v>
      </c>
      <c r="D153" s="3">
        <f>IFERROR(__xludf.DUMMYFUNCTION("""COMPUTED_VALUE"""),66.0)</f>
        <v>66</v>
      </c>
      <c r="E153" s="2"/>
      <c r="F153" s="2"/>
    </row>
    <row r="154">
      <c r="A154" s="2">
        <f>IFERROR(__xludf.DUMMYFUNCTION("""COMPUTED_VALUE"""),147263.0)</f>
        <v>147263</v>
      </c>
      <c r="B154" s="2">
        <f>IFERROR(__xludf.DUMMYFUNCTION("""COMPUTED_VALUE"""),0.0)</f>
        <v>0</v>
      </c>
      <c r="C154" s="2">
        <f>IFERROR(__xludf.DUMMYFUNCTION("""COMPUTED_VALUE"""),44.0)</f>
        <v>44</v>
      </c>
      <c r="D154" s="3">
        <f>IFERROR(__xludf.DUMMYFUNCTION("""COMPUTED_VALUE"""),16.0)</f>
        <v>16</v>
      </c>
      <c r="E154" s="2"/>
      <c r="F154" s="2"/>
    </row>
    <row r="155">
      <c r="A155" s="2">
        <f>IFERROR(__xludf.DUMMYFUNCTION("""COMPUTED_VALUE"""),108763.0)</f>
        <v>108763</v>
      </c>
      <c r="B155" s="2">
        <f>IFERROR(__xludf.DUMMYFUNCTION("""COMPUTED_VALUE"""),0.0)</f>
        <v>0</v>
      </c>
      <c r="C155" s="2">
        <f>IFERROR(__xludf.DUMMYFUNCTION("""COMPUTED_VALUE"""),642.0)</f>
        <v>642</v>
      </c>
      <c r="D155" s="3">
        <f>IFERROR(__xludf.DUMMYFUNCTION("""COMPUTED_VALUE"""),42.0)</f>
        <v>42</v>
      </c>
      <c r="E155" s="2"/>
      <c r="F155" s="2"/>
    </row>
    <row r="156">
      <c r="A156" s="2">
        <f>IFERROR(__xludf.DUMMYFUNCTION("""COMPUTED_VALUE"""),116593.0)</f>
        <v>116593</v>
      </c>
      <c r="B156" s="2">
        <f>IFERROR(__xludf.DUMMYFUNCTION("""COMPUTED_VALUE"""),1.0)</f>
        <v>1</v>
      </c>
      <c r="C156" s="2">
        <f>IFERROR(__xludf.DUMMYFUNCTION("""COMPUTED_VALUE"""),274.0)</f>
        <v>274</v>
      </c>
      <c r="D156" s="3">
        <f>IFERROR(__xludf.DUMMYFUNCTION("""COMPUTED_VALUE"""),264.0)</f>
        <v>264</v>
      </c>
      <c r="E156" s="2"/>
      <c r="F156" s="2"/>
    </row>
    <row r="157">
      <c r="A157" s="2">
        <f>IFERROR(__xludf.DUMMYFUNCTION("""COMPUTED_VALUE"""),116613.0)</f>
        <v>116613</v>
      </c>
      <c r="B157" s="2">
        <f>IFERROR(__xludf.DUMMYFUNCTION("""COMPUTED_VALUE"""),0.0)</f>
        <v>0</v>
      </c>
      <c r="C157" s="2">
        <f>IFERROR(__xludf.DUMMYFUNCTION("""COMPUTED_VALUE"""),717.0)</f>
        <v>717</v>
      </c>
      <c r="D157" s="3">
        <f>IFERROR(__xludf.DUMMYFUNCTION("""COMPUTED_VALUE"""),420.0)</f>
        <v>420</v>
      </c>
      <c r="E157" s="2"/>
      <c r="F157" s="2"/>
    </row>
    <row r="158">
      <c r="A158" s="2">
        <f>IFERROR(__xludf.DUMMYFUNCTION("""COMPUTED_VALUE"""),102476.0)</f>
        <v>102476</v>
      </c>
      <c r="B158" s="2">
        <f>IFERROR(__xludf.DUMMYFUNCTION("""COMPUTED_VALUE"""),0.0)</f>
        <v>0</v>
      </c>
      <c r="C158" s="2">
        <f>IFERROR(__xludf.DUMMYFUNCTION("""COMPUTED_VALUE"""),274.0)</f>
        <v>274</v>
      </c>
      <c r="D158" s="3">
        <f>IFERROR(__xludf.DUMMYFUNCTION("""COMPUTED_VALUE"""),206.0)</f>
        <v>206</v>
      </c>
      <c r="E158" s="2"/>
      <c r="F158" s="2"/>
    </row>
    <row r="159">
      <c r="A159" s="2">
        <f>IFERROR(__xludf.DUMMYFUNCTION("""COMPUTED_VALUE"""),190030.0)</f>
        <v>190030</v>
      </c>
      <c r="B159" s="2">
        <f>IFERROR(__xludf.DUMMYFUNCTION("""COMPUTED_VALUE"""),0.0)</f>
        <v>0</v>
      </c>
      <c r="C159" s="2">
        <f>IFERROR(__xludf.DUMMYFUNCTION("""COMPUTED_VALUE"""),102.0)</f>
        <v>102</v>
      </c>
      <c r="D159" s="3">
        <f>IFERROR(__xludf.DUMMYFUNCTION("""COMPUTED_VALUE"""),6.0)</f>
        <v>6</v>
      </c>
      <c r="E159" s="2"/>
      <c r="F159" s="2"/>
    </row>
    <row r="160">
      <c r="A160" s="2">
        <f>IFERROR(__xludf.DUMMYFUNCTION("""COMPUTED_VALUE"""),113845.0)</f>
        <v>113845</v>
      </c>
      <c r="B160" s="2">
        <f>IFERROR(__xludf.DUMMYFUNCTION("""COMPUTED_VALUE"""),1.0)</f>
        <v>1</v>
      </c>
      <c r="C160" s="2">
        <f>IFERROR(__xludf.DUMMYFUNCTION("""COMPUTED_VALUE"""),476.0)</f>
        <v>476</v>
      </c>
      <c r="D160" s="3">
        <f>IFERROR(__xludf.DUMMYFUNCTION("""COMPUTED_VALUE"""),102.0)</f>
        <v>102</v>
      </c>
      <c r="E160" s="2"/>
      <c r="F160" s="2"/>
    </row>
    <row r="161">
      <c r="A161" s="2">
        <f>IFERROR(__xludf.DUMMYFUNCTION("""COMPUTED_VALUE"""),77824.0)</f>
        <v>77824</v>
      </c>
      <c r="B161" s="2">
        <f>IFERROR(__xludf.DUMMYFUNCTION("""COMPUTED_VALUE"""),0.0)</f>
        <v>0</v>
      </c>
      <c r="C161" s="2">
        <f>IFERROR(__xludf.DUMMYFUNCTION("""COMPUTED_VALUE"""),769.0)</f>
        <v>769</v>
      </c>
      <c r="D161" s="3">
        <f>IFERROR(__xludf.DUMMYFUNCTION("""COMPUTED_VALUE"""),761.0)</f>
        <v>761</v>
      </c>
      <c r="E161" s="2"/>
      <c r="F161" s="2"/>
    </row>
    <row r="162">
      <c r="A162" s="2">
        <f>IFERROR(__xludf.DUMMYFUNCTION("""COMPUTED_VALUE"""),85888.0)</f>
        <v>85888</v>
      </c>
      <c r="B162" s="2">
        <f>IFERROR(__xludf.DUMMYFUNCTION("""COMPUTED_VALUE"""),1.0)</f>
        <v>1</v>
      </c>
      <c r="C162" s="2">
        <f>IFERROR(__xludf.DUMMYFUNCTION("""COMPUTED_VALUE"""),315.0)</f>
        <v>315</v>
      </c>
      <c r="D162" s="3">
        <f>IFERROR(__xludf.DUMMYFUNCTION("""COMPUTED_VALUE"""),305.0)</f>
        <v>305</v>
      </c>
      <c r="E162" s="2"/>
      <c r="F162" s="2"/>
    </row>
    <row r="163">
      <c r="A163" s="2">
        <f>IFERROR(__xludf.DUMMYFUNCTION("""COMPUTED_VALUE"""),85890.0)</f>
        <v>85890</v>
      </c>
      <c r="B163" s="2">
        <f>IFERROR(__xludf.DUMMYFUNCTION("""COMPUTED_VALUE"""),1.0)</f>
        <v>1</v>
      </c>
      <c r="C163" s="2">
        <f>IFERROR(__xludf.DUMMYFUNCTION("""COMPUTED_VALUE"""),610.0)</f>
        <v>610</v>
      </c>
      <c r="D163" s="3">
        <f>IFERROR(__xludf.DUMMYFUNCTION("""COMPUTED_VALUE"""),520.0)</f>
        <v>520</v>
      </c>
      <c r="E163" s="2"/>
      <c r="F163" s="2"/>
    </row>
    <row r="164">
      <c r="A164" s="2">
        <f>IFERROR(__xludf.DUMMYFUNCTION("""COMPUTED_VALUE"""),83727.0)</f>
        <v>83727</v>
      </c>
      <c r="B164" s="2">
        <f>IFERROR(__xludf.DUMMYFUNCTION("""COMPUTED_VALUE"""),1.0)</f>
        <v>1</v>
      </c>
      <c r="C164" s="2">
        <f>IFERROR(__xludf.DUMMYFUNCTION("""COMPUTED_VALUE"""),213.0)</f>
        <v>213</v>
      </c>
      <c r="D164" s="3">
        <f>IFERROR(__xludf.DUMMYFUNCTION("""COMPUTED_VALUE"""),34.0)</f>
        <v>34</v>
      </c>
      <c r="E164" s="2"/>
      <c r="F164" s="2"/>
    </row>
    <row r="165">
      <c r="A165" s="2">
        <f>IFERROR(__xludf.DUMMYFUNCTION("""COMPUTED_VALUE"""),85887.0)</f>
        <v>85887</v>
      </c>
      <c r="B165" s="2">
        <f>IFERROR(__xludf.DUMMYFUNCTION("""COMPUTED_VALUE"""),0.0)</f>
        <v>0</v>
      </c>
      <c r="C165" s="2">
        <f>IFERROR(__xludf.DUMMYFUNCTION("""COMPUTED_VALUE"""),473.0)</f>
        <v>473</v>
      </c>
      <c r="D165" s="3">
        <f>IFERROR(__xludf.DUMMYFUNCTION("""COMPUTED_VALUE"""),333.0)</f>
        <v>333</v>
      </c>
      <c r="E165" s="2"/>
      <c r="F165" s="2"/>
    </row>
    <row r="166">
      <c r="A166" s="2">
        <f>IFERROR(__xludf.DUMMYFUNCTION("""COMPUTED_VALUE"""),77823.0)</f>
        <v>77823</v>
      </c>
      <c r="B166" s="2">
        <f>IFERROR(__xludf.DUMMYFUNCTION("""COMPUTED_VALUE"""),1.0)</f>
        <v>1</v>
      </c>
      <c r="C166" s="2">
        <f>IFERROR(__xludf.DUMMYFUNCTION("""COMPUTED_VALUE"""),710.0)</f>
        <v>710</v>
      </c>
      <c r="D166" s="3">
        <f>IFERROR(__xludf.DUMMYFUNCTION("""COMPUTED_VALUE"""),217.0)</f>
        <v>217</v>
      </c>
      <c r="E166" s="2"/>
      <c r="F166" s="2"/>
    </row>
    <row r="167">
      <c r="A167" s="2">
        <f>IFERROR(__xludf.DUMMYFUNCTION("""COMPUTED_VALUE"""),86753.0)</f>
        <v>86753</v>
      </c>
      <c r="B167" s="2">
        <f>IFERROR(__xludf.DUMMYFUNCTION("""COMPUTED_VALUE"""),1.0)</f>
        <v>1</v>
      </c>
      <c r="C167" s="2">
        <f>IFERROR(__xludf.DUMMYFUNCTION("""COMPUTED_VALUE"""),815.0)</f>
        <v>815</v>
      </c>
      <c r="D167" s="3">
        <f>IFERROR(__xludf.DUMMYFUNCTION("""COMPUTED_VALUE"""),514.0)</f>
        <v>514</v>
      </c>
      <c r="E167" s="2"/>
      <c r="F167" s="2"/>
    </row>
    <row r="168">
      <c r="A168" s="2">
        <f>IFERROR(__xludf.DUMMYFUNCTION("""COMPUTED_VALUE"""),145102.0)</f>
        <v>145102</v>
      </c>
      <c r="B168" s="2">
        <f>IFERROR(__xludf.DUMMYFUNCTION("""COMPUTED_VALUE"""),0.0)</f>
        <v>0</v>
      </c>
      <c r="C168" s="2">
        <f>IFERROR(__xludf.DUMMYFUNCTION("""COMPUTED_VALUE"""),643.0)</f>
        <v>643</v>
      </c>
      <c r="D168" s="3">
        <f>IFERROR(__xludf.DUMMYFUNCTION("""COMPUTED_VALUE"""),475.0)</f>
        <v>475</v>
      </c>
      <c r="E168" s="2"/>
      <c r="F168" s="2"/>
    </row>
    <row r="169">
      <c r="A169" s="2">
        <f>IFERROR(__xludf.DUMMYFUNCTION("""COMPUTED_VALUE"""),78717.0)</f>
        <v>78717</v>
      </c>
      <c r="B169" s="2">
        <f>IFERROR(__xludf.DUMMYFUNCTION("""COMPUTED_VALUE"""),1.0)</f>
        <v>1</v>
      </c>
      <c r="C169" s="2">
        <f>IFERROR(__xludf.DUMMYFUNCTION("""COMPUTED_VALUE"""),411.0)</f>
        <v>411</v>
      </c>
      <c r="D169" s="3">
        <f>IFERROR(__xludf.DUMMYFUNCTION("""COMPUTED_VALUE"""),361.0)</f>
        <v>361</v>
      </c>
      <c r="E169" s="2"/>
      <c r="F169" s="2"/>
    </row>
    <row r="170">
      <c r="A170" s="2">
        <f>IFERROR(__xludf.DUMMYFUNCTION("""COMPUTED_VALUE"""),82777.0)</f>
        <v>82777</v>
      </c>
      <c r="B170" s="2">
        <f>IFERROR(__xludf.DUMMYFUNCTION("""COMPUTED_VALUE"""),1.0)</f>
        <v>1</v>
      </c>
      <c r="C170" s="2">
        <f>IFERROR(__xludf.DUMMYFUNCTION("""COMPUTED_VALUE"""),703.0)</f>
        <v>703</v>
      </c>
      <c r="D170" s="3">
        <f>IFERROR(__xludf.DUMMYFUNCTION("""COMPUTED_VALUE"""),674.0)</f>
        <v>674</v>
      </c>
      <c r="E170" s="2"/>
      <c r="F170" s="2"/>
    </row>
    <row r="171">
      <c r="A171" s="2">
        <f>IFERROR(__xludf.DUMMYFUNCTION("""COMPUTED_VALUE"""),120341.0)</f>
        <v>120341</v>
      </c>
      <c r="B171" s="2">
        <f>IFERROR(__xludf.DUMMYFUNCTION("""COMPUTED_VALUE"""),1.0)</f>
        <v>1</v>
      </c>
      <c r="C171" s="2">
        <f>IFERROR(__xludf.DUMMYFUNCTION("""COMPUTED_VALUE"""),409.0)</f>
        <v>409</v>
      </c>
      <c r="D171" s="3">
        <f>IFERROR(__xludf.DUMMYFUNCTION("""COMPUTED_VALUE"""),121.0)</f>
        <v>121</v>
      </c>
      <c r="E171" s="2"/>
      <c r="F171" s="2"/>
    </row>
    <row r="172">
      <c r="A172" s="2">
        <f>IFERROR(__xludf.DUMMYFUNCTION("""COMPUTED_VALUE"""),110344.0)</f>
        <v>110344</v>
      </c>
      <c r="B172" s="2">
        <f>IFERROR(__xludf.DUMMYFUNCTION("""COMPUTED_VALUE"""),0.0)</f>
        <v>0</v>
      </c>
      <c r="C172" s="2">
        <f>IFERROR(__xludf.DUMMYFUNCTION("""COMPUTED_VALUE"""),52.0)</f>
        <v>52</v>
      </c>
      <c r="D172" s="3">
        <f>IFERROR(__xludf.DUMMYFUNCTION("""COMPUTED_VALUE"""),2.0)</f>
        <v>2</v>
      </c>
      <c r="E172" s="2"/>
      <c r="F172" s="2"/>
    </row>
    <row r="173">
      <c r="A173" s="2">
        <f>IFERROR(__xludf.DUMMYFUNCTION("""COMPUTED_VALUE"""),120233.0)</f>
        <v>120233</v>
      </c>
      <c r="B173" s="2">
        <f>IFERROR(__xludf.DUMMYFUNCTION("""COMPUTED_VALUE"""),0.0)</f>
        <v>0</v>
      </c>
      <c r="C173" s="2">
        <f>IFERROR(__xludf.DUMMYFUNCTION("""COMPUTED_VALUE"""),504.0)</f>
        <v>504</v>
      </c>
      <c r="D173" s="3">
        <f>IFERROR(__xludf.DUMMYFUNCTION("""COMPUTED_VALUE"""),161.0)</f>
        <v>161</v>
      </c>
      <c r="E173" s="2"/>
      <c r="F173" s="2"/>
    </row>
    <row r="174">
      <c r="A174" s="2">
        <f>IFERROR(__xludf.DUMMYFUNCTION("""COMPUTED_VALUE"""),117579.0)</f>
        <v>117579</v>
      </c>
      <c r="B174" s="2">
        <f>IFERROR(__xludf.DUMMYFUNCTION("""COMPUTED_VALUE"""),0.0)</f>
        <v>0</v>
      </c>
      <c r="C174" s="2">
        <f>IFERROR(__xludf.DUMMYFUNCTION("""COMPUTED_VALUE"""),979.0)</f>
        <v>979</v>
      </c>
      <c r="D174" s="3">
        <f>IFERROR(__xludf.DUMMYFUNCTION("""COMPUTED_VALUE"""),879.0)</f>
        <v>879</v>
      </c>
      <c r="E174" s="2"/>
      <c r="F174" s="2"/>
    </row>
    <row r="175">
      <c r="A175" s="2">
        <f>IFERROR(__xludf.DUMMYFUNCTION("""COMPUTED_VALUE"""),21066.0)</f>
        <v>21066</v>
      </c>
      <c r="B175" s="2">
        <f>IFERROR(__xludf.DUMMYFUNCTION("""COMPUTED_VALUE"""),1.0)</f>
        <v>1</v>
      </c>
      <c r="C175" s="2">
        <f>IFERROR(__xludf.DUMMYFUNCTION("""COMPUTED_VALUE"""),605.0)</f>
        <v>605</v>
      </c>
      <c r="D175" s="3">
        <f>IFERROR(__xludf.DUMMYFUNCTION("""COMPUTED_VALUE"""),16.0)</f>
        <v>16</v>
      </c>
      <c r="E175" s="2"/>
      <c r="F175" s="2"/>
    </row>
    <row r="176">
      <c r="A176" s="2">
        <f>IFERROR(__xludf.DUMMYFUNCTION("""COMPUTED_VALUE"""),117583.0)</f>
        <v>117583</v>
      </c>
      <c r="B176" s="2">
        <f>IFERROR(__xludf.DUMMYFUNCTION("""COMPUTED_VALUE"""),0.0)</f>
        <v>0</v>
      </c>
      <c r="C176" s="2">
        <f>IFERROR(__xludf.DUMMYFUNCTION("""COMPUTED_VALUE"""),237.0)</f>
        <v>237</v>
      </c>
      <c r="D176" s="3">
        <f>IFERROR(__xludf.DUMMYFUNCTION("""COMPUTED_VALUE"""),159.0)</f>
        <v>159</v>
      </c>
      <c r="E176" s="2"/>
      <c r="F176" s="2"/>
    </row>
    <row r="177">
      <c r="A177" s="2">
        <f>IFERROR(__xludf.DUMMYFUNCTION("""COMPUTED_VALUE"""),71107.0)</f>
        <v>71107</v>
      </c>
      <c r="B177" s="2">
        <f>IFERROR(__xludf.DUMMYFUNCTION("""COMPUTED_VALUE"""),1.0)</f>
        <v>1</v>
      </c>
      <c r="C177" s="2">
        <f>IFERROR(__xludf.DUMMYFUNCTION("""COMPUTED_VALUE"""),343.0)</f>
        <v>343</v>
      </c>
      <c r="D177" s="3">
        <f>IFERROR(__xludf.DUMMYFUNCTION("""COMPUTED_VALUE"""),172.0)</f>
        <v>172</v>
      </c>
      <c r="E177" s="2"/>
      <c r="F177" s="2"/>
    </row>
    <row r="178">
      <c r="A178" s="2">
        <f>IFERROR(__xludf.DUMMYFUNCTION("""COMPUTED_VALUE"""),104168.0)</f>
        <v>104168</v>
      </c>
      <c r="B178" s="2">
        <f>IFERROR(__xludf.DUMMYFUNCTION("""COMPUTED_VALUE"""),0.0)</f>
        <v>0</v>
      </c>
      <c r="C178" s="2">
        <f>IFERROR(__xludf.DUMMYFUNCTION("""COMPUTED_VALUE"""),66.0)</f>
        <v>66</v>
      </c>
      <c r="D178" s="3">
        <f>IFERROR(__xludf.DUMMYFUNCTION("""COMPUTED_VALUE"""),51.0)</f>
        <v>51</v>
      </c>
      <c r="E178" s="2"/>
      <c r="F178" s="2"/>
    </row>
    <row r="179">
      <c r="A179" s="2">
        <f>IFERROR(__xludf.DUMMYFUNCTION("""COMPUTED_VALUE"""),88913.0)</f>
        <v>88913</v>
      </c>
      <c r="B179" s="2">
        <f>IFERROR(__xludf.DUMMYFUNCTION("""COMPUTED_VALUE"""),0.0)</f>
        <v>0</v>
      </c>
      <c r="C179" s="2">
        <f>IFERROR(__xludf.DUMMYFUNCTION("""COMPUTED_VALUE"""),411.0)</f>
        <v>411</v>
      </c>
      <c r="D179" s="3">
        <f>IFERROR(__xludf.DUMMYFUNCTION("""COMPUTED_VALUE"""),175.0)</f>
        <v>175</v>
      </c>
      <c r="E179" s="2"/>
      <c r="F179" s="2"/>
    </row>
    <row r="180">
      <c r="A180" s="2">
        <f>IFERROR(__xludf.DUMMYFUNCTION("""COMPUTED_VALUE"""),108160.0)</f>
        <v>108160</v>
      </c>
      <c r="B180" s="2">
        <f>IFERROR(__xludf.DUMMYFUNCTION("""COMPUTED_VALUE"""),0.0)</f>
        <v>0</v>
      </c>
      <c r="C180" s="2">
        <f>IFERROR(__xludf.DUMMYFUNCTION("""COMPUTED_VALUE"""),11.0)</f>
        <v>11</v>
      </c>
      <c r="D180" s="3">
        <f>IFERROR(__xludf.DUMMYFUNCTION("""COMPUTED_VALUE"""),9.0)</f>
        <v>9</v>
      </c>
      <c r="E180" s="2"/>
      <c r="F180" s="2"/>
    </row>
    <row r="181">
      <c r="A181" s="2">
        <f>IFERROR(__xludf.DUMMYFUNCTION("""COMPUTED_VALUE"""),128377.0)</f>
        <v>128377</v>
      </c>
      <c r="B181" s="2">
        <f>IFERROR(__xludf.DUMMYFUNCTION("""COMPUTED_VALUE"""),1.0)</f>
        <v>1</v>
      </c>
      <c r="C181" s="2">
        <f>IFERROR(__xludf.DUMMYFUNCTION("""COMPUTED_VALUE"""),403.0)</f>
        <v>403</v>
      </c>
      <c r="D181" s="3">
        <f>IFERROR(__xludf.DUMMYFUNCTION("""COMPUTED_VALUE"""),207.0)</f>
        <v>207</v>
      </c>
      <c r="E181" s="2"/>
      <c r="F181" s="2"/>
    </row>
    <row r="182">
      <c r="A182" s="2">
        <f>IFERROR(__xludf.DUMMYFUNCTION("""COMPUTED_VALUE"""),108533.0)</f>
        <v>108533</v>
      </c>
      <c r="B182" s="2">
        <f>IFERROR(__xludf.DUMMYFUNCTION("""COMPUTED_VALUE"""),1.0)</f>
        <v>1</v>
      </c>
      <c r="C182" s="2">
        <f>IFERROR(__xludf.DUMMYFUNCTION("""COMPUTED_VALUE"""),99.0)</f>
        <v>99</v>
      </c>
      <c r="D182" s="3">
        <f>IFERROR(__xludf.DUMMYFUNCTION("""COMPUTED_VALUE"""),16.0)</f>
        <v>16</v>
      </c>
      <c r="E182" s="2"/>
      <c r="F182" s="2"/>
    </row>
    <row r="183">
      <c r="A183" s="2">
        <f>IFERROR(__xludf.DUMMYFUNCTION("""COMPUTED_VALUE"""),116392.0)</f>
        <v>116392</v>
      </c>
      <c r="B183" s="2">
        <f>IFERROR(__xludf.DUMMYFUNCTION("""COMPUTED_VALUE"""),0.0)</f>
        <v>0</v>
      </c>
      <c r="C183" s="2">
        <f>IFERROR(__xludf.DUMMYFUNCTION("""COMPUTED_VALUE"""),282.0)</f>
        <v>282</v>
      </c>
      <c r="D183" s="3">
        <f>IFERROR(__xludf.DUMMYFUNCTION("""COMPUTED_VALUE"""),9.0)</f>
        <v>9</v>
      </c>
      <c r="E183" s="2"/>
      <c r="F183" s="2"/>
    </row>
    <row r="184">
      <c r="A184" s="2">
        <f>IFERROR(__xludf.DUMMYFUNCTION("""COMPUTED_VALUE"""),110328.0)</f>
        <v>110328</v>
      </c>
      <c r="B184" s="2">
        <f>IFERROR(__xludf.DUMMYFUNCTION("""COMPUTED_VALUE"""),0.0)</f>
        <v>0</v>
      </c>
      <c r="C184" s="2">
        <f>IFERROR(__xludf.DUMMYFUNCTION("""COMPUTED_VALUE"""),958.0)</f>
        <v>958</v>
      </c>
      <c r="D184" s="3">
        <f>IFERROR(__xludf.DUMMYFUNCTION("""COMPUTED_VALUE"""),494.0)</f>
        <v>494</v>
      </c>
      <c r="E184" s="2"/>
      <c r="F184" s="2"/>
    </row>
    <row r="185">
      <c r="A185" s="2">
        <f>IFERROR(__xludf.DUMMYFUNCTION("""COMPUTED_VALUE"""),101445.0)</f>
        <v>101445</v>
      </c>
      <c r="B185" s="2">
        <f>IFERROR(__xludf.DUMMYFUNCTION("""COMPUTED_VALUE"""),0.0)</f>
        <v>0</v>
      </c>
      <c r="C185" s="2">
        <f>IFERROR(__xludf.DUMMYFUNCTION("""COMPUTED_VALUE"""),459.0)</f>
        <v>459</v>
      </c>
      <c r="D185" s="3">
        <f>IFERROR(__xludf.DUMMYFUNCTION("""COMPUTED_VALUE"""),385.0)</f>
        <v>385</v>
      </c>
      <c r="E185" s="2"/>
      <c r="F185" s="2"/>
    </row>
    <row r="186">
      <c r="A186" s="2">
        <f>IFERROR(__xludf.DUMMYFUNCTION("""COMPUTED_VALUE"""),117599.0)</f>
        <v>117599</v>
      </c>
      <c r="B186" s="2">
        <f>IFERROR(__xludf.DUMMYFUNCTION("""COMPUTED_VALUE"""),1.0)</f>
        <v>1</v>
      </c>
      <c r="C186" s="2">
        <f>IFERROR(__xludf.DUMMYFUNCTION("""COMPUTED_VALUE"""),690.0)</f>
        <v>690</v>
      </c>
      <c r="D186" s="3">
        <f>IFERROR(__xludf.DUMMYFUNCTION("""COMPUTED_VALUE"""),554.0)</f>
        <v>554</v>
      </c>
      <c r="E186" s="2"/>
      <c r="F186" s="2"/>
    </row>
    <row r="187">
      <c r="A187" s="2">
        <f>IFERROR(__xludf.DUMMYFUNCTION("""COMPUTED_VALUE"""),5508.0)</f>
        <v>5508</v>
      </c>
      <c r="B187" s="2">
        <f>IFERROR(__xludf.DUMMYFUNCTION("""COMPUTED_VALUE"""),0.0)</f>
        <v>0</v>
      </c>
      <c r="C187" s="2">
        <f>IFERROR(__xludf.DUMMYFUNCTION("""COMPUTED_VALUE"""),559.0)</f>
        <v>559</v>
      </c>
      <c r="D187" s="3">
        <f>IFERROR(__xludf.DUMMYFUNCTION("""COMPUTED_VALUE"""),555.0)</f>
        <v>555</v>
      </c>
      <c r="E187" s="2"/>
      <c r="F187" s="2"/>
    </row>
    <row r="188">
      <c r="A188" s="2">
        <f>IFERROR(__xludf.DUMMYFUNCTION("""COMPUTED_VALUE"""),91241.0)</f>
        <v>91241</v>
      </c>
      <c r="B188" s="2">
        <f>IFERROR(__xludf.DUMMYFUNCTION("""COMPUTED_VALUE"""),1.0)</f>
        <v>1</v>
      </c>
      <c r="C188" s="2">
        <f>IFERROR(__xludf.DUMMYFUNCTION("""COMPUTED_VALUE"""),61.0)</f>
        <v>61</v>
      </c>
      <c r="D188" s="3">
        <f>IFERROR(__xludf.DUMMYFUNCTION("""COMPUTED_VALUE"""),49.0)</f>
        <v>49</v>
      </c>
      <c r="E188" s="2"/>
      <c r="F188" s="2"/>
    </row>
    <row r="189">
      <c r="A189" s="2">
        <f>IFERROR(__xludf.DUMMYFUNCTION("""COMPUTED_VALUE"""),5507.0)</f>
        <v>5507</v>
      </c>
      <c r="B189" s="2">
        <f>IFERROR(__xludf.DUMMYFUNCTION("""COMPUTED_VALUE"""),1.0)</f>
        <v>1</v>
      </c>
      <c r="C189" s="2">
        <f>IFERROR(__xludf.DUMMYFUNCTION("""COMPUTED_VALUE"""),201.0)</f>
        <v>201</v>
      </c>
      <c r="D189" s="3">
        <f>IFERROR(__xludf.DUMMYFUNCTION("""COMPUTED_VALUE"""),190.0)</f>
        <v>190</v>
      </c>
      <c r="E189" s="2"/>
      <c r="F189" s="2"/>
    </row>
    <row r="190">
      <c r="A190" s="2">
        <f>IFERROR(__xludf.DUMMYFUNCTION("""COMPUTED_VALUE"""),110575.0)</f>
        <v>110575</v>
      </c>
      <c r="B190" s="2">
        <f>IFERROR(__xludf.DUMMYFUNCTION("""COMPUTED_VALUE"""),1.0)</f>
        <v>1</v>
      </c>
      <c r="C190" s="2">
        <f>IFERROR(__xludf.DUMMYFUNCTION("""COMPUTED_VALUE"""),851.0)</f>
        <v>851</v>
      </c>
      <c r="D190" s="3">
        <f>IFERROR(__xludf.DUMMYFUNCTION("""COMPUTED_VALUE"""),35.0)</f>
        <v>35</v>
      </c>
      <c r="E190" s="2"/>
      <c r="F190" s="2"/>
    </row>
    <row r="191">
      <c r="A191" s="2">
        <f>IFERROR(__xludf.DUMMYFUNCTION("""COMPUTED_VALUE"""),6156.0)</f>
        <v>6156</v>
      </c>
      <c r="B191" s="2">
        <f>IFERROR(__xludf.DUMMYFUNCTION("""COMPUTED_VALUE"""),0.0)</f>
        <v>0</v>
      </c>
      <c r="C191" s="2">
        <f>IFERROR(__xludf.DUMMYFUNCTION("""COMPUTED_VALUE"""),95.0)</f>
        <v>95</v>
      </c>
      <c r="D191" s="3">
        <f>IFERROR(__xludf.DUMMYFUNCTION("""COMPUTED_VALUE"""),74.0)</f>
        <v>74</v>
      </c>
      <c r="E191" s="2"/>
      <c r="F191" s="2"/>
    </row>
    <row r="192">
      <c r="A192" s="2">
        <f>IFERROR(__xludf.DUMMYFUNCTION("""COMPUTED_VALUE"""),91239.0)</f>
        <v>91239</v>
      </c>
      <c r="B192" s="2">
        <f>IFERROR(__xludf.DUMMYFUNCTION("""COMPUTED_VALUE"""),0.0)</f>
        <v>0</v>
      </c>
      <c r="C192" s="2">
        <f>IFERROR(__xludf.DUMMYFUNCTION("""COMPUTED_VALUE"""),842.0)</f>
        <v>842</v>
      </c>
      <c r="D192" s="3">
        <f>IFERROR(__xludf.DUMMYFUNCTION("""COMPUTED_VALUE"""),14.0)</f>
        <v>14</v>
      </c>
      <c r="E192" s="2"/>
      <c r="F192" s="2"/>
    </row>
    <row r="193">
      <c r="A193" s="2">
        <f>IFERROR(__xludf.DUMMYFUNCTION("""COMPUTED_VALUE"""),77361.0)</f>
        <v>77361</v>
      </c>
      <c r="B193" s="2">
        <f>IFERROR(__xludf.DUMMYFUNCTION("""COMPUTED_VALUE"""),0.0)</f>
        <v>0</v>
      </c>
      <c r="C193" s="2">
        <f>IFERROR(__xludf.DUMMYFUNCTION("""COMPUTED_VALUE"""),517.0)</f>
        <v>517</v>
      </c>
      <c r="D193" s="3">
        <f>IFERROR(__xludf.DUMMYFUNCTION("""COMPUTED_VALUE"""),23.0)</f>
        <v>23</v>
      </c>
      <c r="E193" s="2"/>
      <c r="F193" s="2"/>
    </row>
    <row r="194">
      <c r="A194" s="2">
        <f>IFERROR(__xludf.DUMMYFUNCTION("""COMPUTED_VALUE"""),77363.0)</f>
        <v>77363</v>
      </c>
      <c r="B194" s="2">
        <f>IFERROR(__xludf.DUMMYFUNCTION("""COMPUTED_VALUE"""),0.0)</f>
        <v>0</v>
      </c>
      <c r="C194" s="2">
        <f>IFERROR(__xludf.DUMMYFUNCTION("""COMPUTED_VALUE"""),202.0)</f>
        <v>202</v>
      </c>
      <c r="D194" s="3">
        <f>IFERROR(__xludf.DUMMYFUNCTION("""COMPUTED_VALUE"""),156.0)</f>
        <v>156</v>
      </c>
      <c r="E194" s="2"/>
      <c r="F194" s="2"/>
    </row>
    <row r="195">
      <c r="A195" s="2">
        <f>IFERROR(__xludf.DUMMYFUNCTION("""COMPUTED_VALUE"""),124679.0)</f>
        <v>124679</v>
      </c>
      <c r="B195" s="2">
        <f>IFERROR(__xludf.DUMMYFUNCTION("""COMPUTED_VALUE"""),0.0)</f>
        <v>0</v>
      </c>
      <c r="C195" s="2">
        <f>IFERROR(__xludf.DUMMYFUNCTION("""COMPUTED_VALUE"""),697.0)</f>
        <v>697</v>
      </c>
      <c r="D195" s="3">
        <f>IFERROR(__xludf.DUMMYFUNCTION("""COMPUTED_VALUE"""),54.0)</f>
        <v>54</v>
      </c>
      <c r="E195" s="2"/>
      <c r="F195" s="2"/>
    </row>
    <row r="196">
      <c r="A196" s="2">
        <f>IFERROR(__xludf.DUMMYFUNCTION("""COMPUTED_VALUE"""),89558.0)</f>
        <v>89558</v>
      </c>
      <c r="B196" s="2">
        <f>IFERROR(__xludf.DUMMYFUNCTION("""COMPUTED_VALUE"""),1.0)</f>
        <v>1</v>
      </c>
      <c r="C196" s="2">
        <f>IFERROR(__xludf.DUMMYFUNCTION("""COMPUTED_VALUE"""),43.0)</f>
        <v>43</v>
      </c>
      <c r="D196" s="3">
        <f>IFERROR(__xludf.DUMMYFUNCTION("""COMPUTED_VALUE"""),6.0)</f>
        <v>6</v>
      </c>
      <c r="E196" s="2"/>
      <c r="F196" s="2"/>
    </row>
    <row r="197">
      <c r="A197" s="2">
        <f>IFERROR(__xludf.DUMMYFUNCTION("""COMPUTED_VALUE"""),91235.0)</f>
        <v>91235</v>
      </c>
      <c r="B197" s="2">
        <f>IFERROR(__xludf.DUMMYFUNCTION("""COMPUTED_VALUE"""),1.0)</f>
        <v>1</v>
      </c>
      <c r="C197" s="2">
        <f>IFERROR(__xludf.DUMMYFUNCTION("""COMPUTED_VALUE"""),794.0)</f>
        <v>794</v>
      </c>
      <c r="D197" s="3">
        <f>IFERROR(__xludf.DUMMYFUNCTION("""COMPUTED_VALUE"""),549.0)</f>
        <v>549</v>
      </c>
      <c r="E197" s="2"/>
      <c r="F197" s="2"/>
    </row>
    <row r="198">
      <c r="A198" s="2">
        <f>IFERROR(__xludf.DUMMYFUNCTION("""COMPUTED_VALUE"""),5519.0)</f>
        <v>5519</v>
      </c>
      <c r="B198" s="2">
        <f>IFERROR(__xludf.DUMMYFUNCTION("""COMPUTED_VALUE"""),1.0)</f>
        <v>1</v>
      </c>
      <c r="C198" s="2">
        <f>IFERROR(__xludf.DUMMYFUNCTION("""COMPUTED_VALUE"""),137.0)</f>
        <v>137</v>
      </c>
      <c r="D198" s="3">
        <f>IFERROR(__xludf.DUMMYFUNCTION("""COMPUTED_VALUE"""),45.0)</f>
        <v>45</v>
      </c>
      <c r="E198" s="2"/>
      <c r="F198" s="2"/>
    </row>
    <row r="199">
      <c r="A199" s="2">
        <f>IFERROR(__xludf.DUMMYFUNCTION("""COMPUTED_VALUE"""),87278.0)</f>
        <v>87278</v>
      </c>
      <c r="B199" s="2">
        <f>IFERROR(__xludf.DUMMYFUNCTION("""COMPUTED_VALUE"""),1.0)</f>
        <v>1</v>
      </c>
      <c r="C199" s="2">
        <f>IFERROR(__xludf.DUMMYFUNCTION("""COMPUTED_VALUE"""),239.0)</f>
        <v>239</v>
      </c>
      <c r="D199" s="3">
        <f>IFERROR(__xludf.DUMMYFUNCTION("""COMPUTED_VALUE"""),126.0)</f>
        <v>126</v>
      </c>
      <c r="E199" s="2"/>
      <c r="F199" s="2"/>
    </row>
    <row r="200">
      <c r="A200" s="2">
        <f>IFERROR(__xludf.DUMMYFUNCTION("""COMPUTED_VALUE"""),77326.0)</f>
        <v>77326</v>
      </c>
      <c r="B200" s="2">
        <f>IFERROR(__xludf.DUMMYFUNCTION("""COMPUTED_VALUE"""),0.0)</f>
        <v>0</v>
      </c>
      <c r="C200" s="2">
        <f>IFERROR(__xludf.DUMMYFUNCTION("""COMPUTED_VALUE"""),588.0)</f>
        <v>588</v>
      </c>
      <c r="D200" s="3">
        <f>IFERROR(__xludf.DUMMYFUNCTION("""COMPUTED_VALUE"""),368.0)</f>
        <v>368</v>
      </c>
      <c r="E200" s="2"/>
      <c r="F200" s="2"/>
    </row>
    <row r="201">
      <c r="A201" s="2">
        <f>IFERROR(__xludf.DUMMYFUNCTION("""COMPUTED_VALUE"""),6158.0)</f>
        <v>6158</v>
      </c>
      <c r="B201" s="2">
        <f>IFERROR(__xludf.DUMMYFUNCTION("""COMPUTED_VALUE"""),0.0)</f>
        <v>0</v>
      </c>
      <c r="C201" s="2">
        <f>IFERROR(__xludf.DUMMYFUNCTION("""COMPUTED_VALUE"""),955.0)</f>
        <v>955</v>
      </c>
      <c r="D201" s="3">
        <f>IFERROR(__xludf.DUMMYFUNCTION("""COMPUTED_VALUE"""),740.0)</f>
        <v>740</v>
      </c>
      <c r="E201" s="2"/>
      <c r="F201" s="2"/>
    </row>
    <row r="202">
      <c r="A202" s="2">
        <f>IFERROR(__xludf.DUMMYFUNCTION("""COMPUTED_VALUE"""),77338.0)</f>
        <v>77338</v>
      </c>
      <c r="B202" s="2">
        <f>IFERROR(__xludf.DUMMYFUNCTION("""COMPUTED_VALUE"""),0.0)</f>
        <v>0</v>
      </c>
      <c r="C202" s="2">
        <f>IFERROR(__xludf.DUMMYFUNCTION("""COMPUTED_VALUE"""),127.0)</f>
        <v>127</v>
      </c>
      <c r="D202" s="3">
        <f>IFERROR(__xludf.DUMMYFUNCTION("""COMPUTED_VALUE"""),0.0)</f>
        <v>0</v>
      </c>
      <c r="E202" s="2"/>
      <c r="F202" s="2"/>
    </row>
    <row r="203">
      <c r="A203" s="2">
        <f>IFERROR(__xludf.DUMMYFUNCTION("""COMPUTED_VALUE"""),159220.0)</f>
        <v>159220</v>
      </c>
      <c r="B203" s="2">
        <f>IFERROR(__xludf.DUMMYFUNCTION("""COMPUTED_VALUE"""),0.0)</f>
        <v>0</v>
      </c>
      <c r="C203" s="2">
        <f>IFERROR(__xludf.DUMMYFUNCTION("""COMPUTED_VALUE"""),893.0)</f>
        <v>893</v>
      </c>
      <c r="D203" s="3">
        <f>IFERROR(__xludf.DUMMYFUNCTION("""COMPUTED_VALUE"""),237.0)</f>
        <v>237</v>
      </c>
      <c r="E203" s="2"/>
      <c r="F203" s="2"/>
    </row>
    <row r="204">
      <c r="A204" s="2">
        <f>IFERROR(__xludf.DUMMYFUNCTION("""COMPUTED_VALUE"""),5521.0)</f>
        <v>5521</v>
      </c>
      <c r="B204" s="2">
        <f>IFERROR(__xludf.DUMMYFUNCTION("""COMPUTED_VALUE"""),1.0)</f>
        <v>1</v>
      </c>
      <c r="C204" s="2">
        <f>IFERROR(__xludf.DUMMYFUNCTION("""COMPUTED_VALUE"""),178.0)</f>
        <v>178</v>
      </c>
      <c r="D204" s="3">
        <f>IFERROR(__xludf.DUMMYFUNCTION("""COMPUTED_VALUE"""),41.0)</f>
        <v>41</v>
      </c>
      <c r="E204" s="2"/>
      <c r="F204" s="2"/>
    </row>
    <row r="205">
      <c r="A205" s="2">
        <f>IFERROR(__xludf.DUMMYFUNCTION("""COMPUTED_VALUE"""),91225.0)</f>
        <v>91225</v>
      </c>
      <c r="B205" s="2">
        <f>IFERROR(__xludf.DUMMYFUNCTION("""COMPUTED_VALUE"""),1.0)</f>
        <v>1</v>
      </c>
      <c r="C205" s="2">
        <f>IFERROR(__xludf.DUMMYFUNCTION("""COMPUTED_VALUE"""),295.0)</f>
        <v>295</v>
      </c>
      <c r="D205" s="3">
        <f>IFERROR(__xludf.DUMMYFUNCTION("""COMPUTED_VALUE"""),278.0)</f>
        <v>278</v>
      </c>
      <c r="E205" s="2"/>
      <c r="F205" s="2"/>
    </row>
    <row r="206">
      <c r="A206" s="2">
        <f>IFERROR(__xludf.DUMMYFUNCTION("""COMPUTED_VALUE"""),5520.0)</f>
        <v>5520</v>
      </c>
      <c r="B206" s="2">
        <f>IFERROR(__xludf.DUMMYFUNCTION("""COMPUTED_VALUE"""),1.0)</f>
        <v>1</v>
      </c>
      <c r="C206" s="2">
        <f>IFERROR(__xludf.DUMMYFUNCTION("""COMPUTED_VALUE"""),857.0)</f>
        <v>857</v>
      </c>
      <c r="D206" s="3">
        <f>IFERROR(__xludf.DUMMYFUNCTION("""COMPUTED_VALUE"""),530.0)</f>
        <v>530</v>
      </c>
      <c r="E206" s="2"/>
      <c r="F206" s="2"/>
    </row>
    <row r="207">
      <c r="A207" s="2">
        <f>IFERROR(__xludf.DUMMYFUNCTION("""COMPUTED_VALUE"""),87285.0)</f>
        <v>87285</v>
      </c>
      <c r="B207" s="2">
        <f>IFERROR(__xludf.DUMMYFUNCTION("""COMPUTED_VALUE"""),0.0)</f>
        <v>0</v>
      </c>
      <c r="C207" s="2">
        <f>IFERROR(__xludf.DUMMYFUNCTION("""COMPUTED_VALUE"""),714.0)</f>
        <v>714</v>
      </c>
      <c r="D207" s="3">
        <f>IFERROR(__xludf.DUMMYFUNCTION("""COMPUTED_VALUE"""),219.0)</f>
        <v>219</v>
      </c>
      <c r="E207" s="2"/>
      <c r="F207" s="2"/>
    </row>
    <row r="208">
      <c r="A208" s="2">
        <f>IFERROR(__xludf.DUMMYFUNCTION("""COMPUTED_VALUE"""),72862.0)</f>
        <v>72862</v>
      </c>
      <c r="B208" s="2">
        <f>IFERROR(__xludf.DUMMYFUNCTION("""COMPUTED_VALUE"""),1.0)</f>
        <v>1</v>
      </c>
      <c r="C208" s="2">
        <f>IFERROR(__xludf.DUMMYFUNCTION("""COMPUTED_VALUE"""),287.0)</f>
        <v>287</v>
      </c>
      <c r="D208" s="3">
        <f>IFERROR(__xludf.DUMMYFUNCTION("""COMPUTED_VALUE"""),222.0)</f>
        <v>222</v>
      </c>
      <c r="E208" s="2"/>
      <c r="F208" s="2"/>
    </row>
    <row r="209">
      <c r="A209" s="2">
        <f>IFERROR(__xludf.DUMMYFUNCTION("""COMPUTED_VALUE"""),109474.0)</f>
        <v>109474</v>
      </c>
      <c r="B209" s="2">
        <f>IFERROR(__xludf.DUMMYFUNCTION("""COMPUTED_VALUE"""),1.0)</f>
        <v>1</v>
      </c>
      <c r="C209" s="2">
        <f>IFERROR(__xludf.DUMMYFUNCTION("""COMPUTED_VALUE"""),545.0)</f>
        <v>545</v>
      </c>
      <c r="D209" s="3">
        <f>IFERROR(__xludf.DUMMYFUNCTION("""COMPUTED_VALUE"""),367.0)</f>
        <v>367</v>
      </c>
      <c r="E209" s="2"/>
      <c r="F209" s="2"/>
    </row>
    <row r="210">
      <c r="A210" s="2">
        <f>IFERROR(__xludf.DUMMYFUNCTION("""COMPUTED_VALUE"""),45834.0)</f>
        <v>45834</v>
      </c>
      <c r="B210" s="2">
        <f>IFERROR(__xludf.DUMMYFUNCTION("""COMPUTED_VALUE"""),1.0)</f>
        <v>1</v>
      </c>
      <c r="C210" s="2">
        <f>IFERROR(__xludf.DUMMYFUNCTION("""COMPUTED_VALUE"""),70.0)</f>
        <v>70</v>
      </c>
      <c r="D210" s="3">
        <f>IFERROR(__xludf.DUMMYFUNCTION("""COMPUTED_VALUE"""),49.0)</f>
        <v>49</v>
      </c>
      <c r="E210" s="2"/>
      <c r="F210" s="2"/>
    </row>
    <row r="211">
      <c r="A211" s="2">
        <f>IFERROR(__xludf.DUMMYFUNCTION("""COMPUTED_VALUE"""),45885.0)</f>
        <v>45885</v>
      </c>
      <c r="B211" s="2">
        <f>IFERROR(__xludf.DUMMYFUNCTION("""COMPUTED_VALUE"""),0.0)</f>
        <v>0</v>
      </c>
      <c r="C211" s="2">
        <f>IFERROR(__xludf.DUMMYFUNCTION("""COMPUTED_VALUE"""),799.0)</f>
        <v>799</v>
      </c>
      <c r="D211" s="3">
        <f>IFERROR(__xludf.DUMMYFUNCTION("""COMPUTED_VALUE"""),405.0)</f>
        <v>405</v>
      </c>
      <c r="E211" s="2"/>
      <c r="F211" s="2"/>
    </row>
    <row r="212">
      <c r="A212" s="2">
        <f>IFERROR(__xludf.DUMMYFUNCTION("""COMPUTED_VALUE"""),77360.0)</f>
        <v>77360</v>
      </c>
      <c r="B212" s="2">
        <f>IFERROR(__xludf.DUMMYFUNCTION("""COMPUTED_VALUE"""),1.0)</f>
        <v>1</v>
      </c>
      <c r="C212" s="2">
        <f>IFERROR(__xludf.DUMMYFUNCTION("""COMPUTED_VALUE"""),632.0)</f>
        <v>632</v>
      </c>
      <c r="D212" s="3">
        <f>IFERROR(__xludf.DUMMYFUNCTION("""COMPUTED_VALUE"""),560.0)</f>
        <v>560</v>
      </c>
      <c r="E212" s="2"/>
      <c r="F212" s="2"/>
    </row>
    <row r="213">
      <c r="A213" s="2">
        <f>IFERROR(__xludf.DUMMYFUNCTION("""COMPUTED_VALUE"""),89787.0)</f>
        <v>89787</v>
      </c>
      <c r="B213" s="2">
        <f>IFERROR(__xludf.DUMMYFUNCTION("""COMPUTED_VALUE"""),1.0)</f>
        <v>1</v>
      </c>
      <c r="C213" s="2">
        <f>IFERROR(__xludf.DUMMYFUNCTION("""COMPUTED_VALUE"""),826.0)</f>
        <v>826</v>
      </c>
      <c r="D213" s="3">
        <f>IFERROR(__xludf.DUMMYFUNCTION("""COMPUTED_VALUE"""),94.0)</f>
        <v>94</v>
      </c>
      <c r="E213" s="2"/>
      <c r="F213" s="2"/>
    </row>
    <row r="214">
      <c r="A214" s="2">
        <f>IFERROR(__xludf.DUMMYFUNCTION("""COMPUTED_VALUE"""),5531.0)</f>
        <v>5531</v>
      </c>
      <c r="B214" s="2">
        <f>IFERROR(__xludf.DUMMYFUNCTION("""COMPUTED_VALUE"""),0.0)</f>
        <v>0</v>
      </c>
      <c r="C214" s="2">
        <f>IFERROR(__xludf.DUMMYFUNCTION("""COMPUTED_VALUE"""),630.0)</f>
        <v>630</v>
      </c>
      <c r="D214" s="3">
        <f>IFERROR(__xludf.DUMMYFUNCTION("""COMPUTED_VALUE"""),236.0)</f>
        <v>236</v>
      </c>
      <c r="E214" s="2"/>
      <c r="F214" s="2"/>
    </row>
    <row r="215">
      <c r="A215" s="2">
        <f>IFERROR(__xludf.DUMMYFUNCTION("""COMPUTED_VALUE"""),72826.0)</f>
        <v>72826</v>
      </c>
      <c r="B215" s="2">
        <f>IFERROR(__xludf.DUMMYFUNCTION("""COMPUTED_VALUE"""),0.0)</f>
        <v>0</v>
      </c>
      <c r="C215" s="2">
        <f>IFERROR(__xludf.DUMMYFUNCTION("""COMPUTED_VALUE"""),597.0)</f>
        <v>597</v>
      </c>
      <c r="D215" s="3">
        <f>IFERROR(__xludf.DUMMYFUNCTION("""COMPUTED_VALUE"""),502.0)</f>
        <v>502</v>
      </c>
      <c r="E215" s="2"/>
      <c r="F215" s="2"/>
    </row>
    <row r="216">
      <c r="A216" s="2">
        <f>IFERROR(__xludf.DUMMYFUNCTION("""COMPUTED_VALUE"""),91180.0)</f>
        <v>91180</v>
      </c>
      <c r="B216" s="2">
        <f>IFERROR(__xludf.DUMMYFUNCTION("""COMPUTED_VALUE"""),0.0)</f>
        <v>0</v>
      </c>
      <c r="C216" s="2">
        <f>IFERROR(__xludf.DUMMYFUNCTION("""COMPUTED_VALUE"""),455.0)</f>
        <v>455</v>
      </c>
      <c r="D216" s="3">
        <f>IFERROR(__xludf.DUMMYFUNCTION("""COMPUTED_VALUE"""),315.0)</f>
        <v>315</v>
      </c>
      <c r="E216" s="2"/>
      <c r="F216" s="2"/>
    </row>
    <row r="217">
      <c r="A217" s="2">
        <f>IFERROR(__xludf.DUMMYFUNCTION("""COMPUTED_VALUE"""),58757.0)</f>
        <v>58757</v>
      </c>
      <c r="B217" s="2">
        <f>IFERROR(__xludf.DUMMYFUNCTION("""COMPUTED_VALUE"""),0.0)</f>
        <v>0</v>
      </c>
      <c r="C217" s="2">
        <f>IFERROR(__xludf.DUMMYFUNCTION("""COMPUTED_VALUE"""),157.0)</f>
        <v>157</v>
      </c>
      <c r="D217" s="3">
        <f>IFERROR(__xludf.DUMMYFUNCTION("""COMPUTED_VALUE"""),35.0)</f>
        <v>35</v>
      </c>
      <c r="E217" s="2"/>
      <c r="F217" s="2"/>
    </row>
    <row r="218">
      <c r="A218" s="2">
        <f>IFERROR(__xludf.DUMMYFUNCTION("""COMPUTED_VALUE"""),87287.0)</f>
        <v>87287</v>
      </c>
      <c r="B218" s="2">
        <f>IFERROR(__xludf.DUMMYFUNCTION("""COMPUTED_VALUE"""),0.0)</f>
        <v>0</v>
      </c>
      <c r="C218" s="2">
        <f>IFERROR(__xludf.DUMMYFUNCTION("""COMPUTED_VALUE"""),845.0)</f>
        <v>845</v>
      </c>
      <c r="D218" s="3">
        <f>IFERROR(__xludf.DUMMYFUNCTION("""COMPUTED_VALUE"""),801.0)</f>
        <v>801</v>
      </c>
      <c r="E218" s="2"/>
      <c r="F218" s="2"/>
    </row>
    <row r="219">
      <c r="A219" s="2">
        <f>IFERROR(__xludf.DUMMYFUNCTION("""COMPUTED_VALUE"""),91147.0)</f>
        <v>91147</v>
      </c>
      <c r="B219" s="2">
        <f>IFERROR(__xludf.DUMMYFUNCTION("""COMPUTED_VALUE"""),0.0)</f>
        <v>0</v>
      </c>
      <c r="C219" s="2">
        <f>IFERROR(__xludf.DUMMYFUNCTION("""COMPUTED_VALUE"""),973.0)</f>
        <v>973</v>
      </c>
      <c r="D219" s="3">
        <f>IFERROR(__xludf.DUMMYFUNCTION("""COMPUTED_VALUE"""),67.0)</f>
        <v>67</v>
      </c>
      <c r="E219" s="2"/>
      <c r="F219" s="2"/>
    </row>
    <row r="220">
      <c r="A220" s="2">
        <f>IFERROR(__xludf.DUMMYFUNCTION("""COMPUTED_VALUE"""),5526.0)</f>
        <v>5526</v>
      </c>
      <c r="B220" s="2">
        <f>IFERROR(__xludf.DUMMYFUNCTION("""COMPUTED_VALUE"""),0.0)</f>
        <v>0</v>
      </c>
      <c r="C220" s="2">
        <f>IFERROR(__xludf.DUMMYFUNCTION("""COMPUTED_VALUE"""),321.0)</f>
        <v>321</v>
      </c>
      <c r="D220" s="3">
        <f>IFERROR(__xludf.DUMMYFUNCTION("""COMPUTED_VALUE"""),293.0)</f>
        <v>293</v>
      </c>
      <c r="E220" s="2"/>
      <c r="F220" s="2"/>
    </row>
    <row r="221">
      <c r="A221" s="2">
        <f>IFERROR(__xludf.DUMMYFUNCTION("""COMPUTED_VALUE"""),77310.0)</f>
        <v>77310</v>
      </c>
      <c r="B221" s="2">
        <f>IFERROR(__xludf.DUMMYFUNCTION("""COMPUTED_VALUE"""),1.0)</f>
        <v>1</v>
      </c>
      <c r="C221" s="2">
        <f>IFERROR(__xludf.DUMMYFUNCTION("""COMPUTED_VALUE"""),197.0)</f>
        <v>197</v>
      </c>
      <c r="D221" s="3">
        <f>IFERROR(__xludf.DUMMYFUNCTION("""COMPUTED_VALUE"""),197.0)</f>
        <v>197</v>
      </c>
      <c r="E221" s="2"/>
      <c r="F221" s="2"/>
    </row>
    <row r="222">
      <c r="A222" s="2">
        <f>IFERROR(__xludf.DUMMYFUNCTION("""COMPUTED_VALUE"""),5525.0)</f>
        <v>5525</v>
      </c>
      <c r="B222" s="2">
        <f>IFERROR(__xludf.DUMMYFUNCTION("""COMPUTED_VALUE"""),1.0)</f>
        <v>1</v>
      </c>
      <c r="C222" s="2">
        <f>IFERROR(__xludf.DUMMYFUNCTION("""COMPUTED_VALUE"""),171.0)</f>
        <v>171</v>
      </c>
      <c r="D222" s="3">
        <f>IFERROR(__xludf.DUMMYFUNCTION("""COMPUTED_VALUE"""),105.0)</f>
        <v>105</v>
      </c>
      <c r="E222" s="2"/>
      <c r="F222" s="2"/>
    </row>
    <row r="223">
      <c r="A223" s="2">
        <f>IFERROR(__xludf.DUMMYFUNCTION("""COMPUTED_VALUE"""),5524.0)</f>
        <v>5524</v>
      </c>
      <c r="B223" s="2">
        <f>IFERROR(__xludf.DUMMYFUNCTION("""COMPUTED_VALUE"""),1.0)</f>
        <v>1</v>
      </c>
      <c r="C223" s="2">
        <f>IFERROR(__xludf.DUMMYFUNCTION("""COMPUTED_VALUE"""),618.0)</f>
        <v>618</v>
      </c>
      <c r="D223" s="3">
        <f>IFERROR(__xludf.DUMMYFUNCTION("""COMPUTED_VALUE"""),89.0)</f>
        <v>89</v>
      </c>
      <c r="E223" s="2"/>
      <c r="F223" s="2"/>
    </row>
    <row r="224">
      <c r="A224" s="2">
        <f>IFERROR(__xludf.DUMMYFUNCTION("""COMPUTED_VALUE"""),72849.0)</f>
        <v>72849</v>
      </c>
      <c r="B224" s="2">
        <f>IFERROR(__xludf.DUMMYFUNCTION("""COMPUTED_VALUE"""),1.0)</f>
        <v>1</v>
      </c>
      <c r="C224" s="2">
        <f>IFERROR(__xludf.DUMMYFUNCTION("""COMPUTED_VALUE"""),45.0)</f>
        <v>45</v>
      </c>
      <c r="D224" s="3">
        <f>IFERROR(__xludf.DUMMYFUNCTION("""COMPUTED_VALUE"""),42.0)</f>
        <v>42</v>
      </c>
      <c r="E224" s="2"/>
      <c r="F224" s="2"/>
    </row>
    <row r="225">
      <c r="A225" s="2">
        <f>IFERROR(__xludf.DUMMYFUNCTION("""COMPUTED_VALUE"""),77385.0)</f>
        <v>77385</v>
      </c>
      <c r="B225" s="2">
        <f>IFERROR(__xludf.DUMMYFUNCTION("""COMPUTED_VALUE"""),1.0)</f>
        <v>1</v>
      </c>
      <c r="C225" s="2">
        <f>IFERROR(__xludf.DUMMYFUNCTION("""COMPUTED_VALUE"""),334.0)</f>
        <v>334</v>
      </c>
      <c r="D225" s="3">
        <f>IFERROR(__xludf.DUMMYFUNCTION("""COMPUTED_VALUE"""),77.0)</f>
        <v>77</v>
      </c>
      <c r="E225" s="2"/>
      <c r="F225" s="2"/>
    </row>
    <row r="226">
      <c r="A226" s="2">
        <f>IFERROR(__xludf.DUMMYFUNCTION("""COMPUTED_VALUE"""),5529.0)</f>
        <v>5529</v>
      </c>
      <c r="B226" s="2">
        <f>IFERROR(__xludf.DUMMYFUNCTION("""COMPUTED_VALUE"""),0.0)</f>
        <v>0</v>
      </c>
      <c r="C226" s="2">
        <f>IFERROR(__xludf.DUMMYFUNCTION("""COMPUTED_VALUE"""),799.0)</f>
        <v>799</v>
      </c>
      <c r="D226" s="3">
        <f>IFERROR(__xludf.DUMMYFUNCTION("""COMPUTED_VALUE"""),295.0)</f>
        <v>295</v>
      </c>
      <c r="E226" s="2"/>
      <c r="F226" s="2"/>
    </row>
    <row r="227">
      <c r="A227" s="2">
        <f>IFERROR(__xludf.DUMMYFUNCTION("""COMPUTED_VALUE"""),45879.0)</f>
        <v>45879</v>
      </c>
      <c r="B227" s="2">
        <f>IFERROR(__xludf.DUMMYFUNCTION("""COMPUTED_VALUE"""),0.0)</f>
        <v>0</v>
      </c>
      <c r="C227" s="2">
        <f>IFERROR(__xludf.DUMMYFUNCTION("""COMPUTED_VALUE"""),599.0)</f>
        <v>599</v>
      </c>
      <c r="D227" s="3">
        <f>IFERROR(__xludf.DUMMYFUNCTION("""COMPUTED_VALUE"""),133.0)</f>
        <v>133</v>
      </c>
      <c r="E227" s="2"/>
      <c r="F227" s="2"/>
    </row>
    <row r="228">
      <c r="A228" s="2">
        <f>IFERROR(__xludf.DUMMYFUNCTION("""COMPUTED_VALUE"""),58753.0)</f>
        <v>58753</v>
      </c>
      <c r="B228" s="2">
        <f>IFERROR(__xludf.DUMMYFUNCTION("""COMPUTED_VALUE"""),1.0)</f>
        <v>1</v>
      </c>
      <c r="C228" s="2">
        <f>IFERROR(__xludf.DUMMYFUNCTION("""COMPUTED_VALUE"""),786.0)</f>
        <v>786</v>
      </c>
      <c r="D228" s="3">
        <f>IFERROR(__xludf.DUMMYFUNCTION("""COMPUTED_VALUE"""),343.0)</f>
        <v>343</v>
      </c>
      <c r="E228" s="2"/>
      <c r="F228" s="2"/>
    </row>
    <row r="229">
      <c r="A229" s="2">
        <f>IFERROR(__xludf.DUMMYFUNCTION("""COMPUTED_VALUE"""),77318.0)</f>
        <v>77318</v>
      </c>
      <c r="B229" s="2">
        <f>IFERROR(__xludf.DUMMYFUNCTION("""COMPUTED_VALUE"""),0.0)</f>
        <v>0</v>
      </c>
      <c r="C229" s="2">
        <f>IFERROR(__xludf.DUMMYFUNCTION("""COMPUTED_VALUE"""),784.0)</f>
        <v>784</v>
      </c>
      <c r="D229" s="3">
        <f>IFERROR(__xludf.DUMMYFUNCTION("""COMPUTED_VALUE"""),741.0)</f>
        <v>741</v>
      </c>
      <c r="E229" s="2"/>
      <c r="F229" s="2"/>
    </row>
    <row r="230">
      <c r="A230" s="2">
        <f>IFERROR(__xludf.DUMMYFUNCTION("""COMPUTED_VALUE"""),122091.0)</f>
        <v>122091</v>
      </c>
      <c r="B230" s="2">
        <f>IFERROR(__xludf.DUMMYFUNCTION("""COMPUTED_VALUE"""),1.0)</f>
        <v>1</v>
      </c>
      <c r="C230" s="2">
        <f>IFERROR(__xludf.DUMMYFUNCTION("""COMPUTED_VALUE"""),773.0)</f>
        <v>773</v>
      </c>
      <c r="D230" s="3">
        <f>IFERROR(__xludf.DUMMYFUNCTION("""COMPUTED_VALUE"""),386.0)</f>
        <v>386</v>
      </c>
      <c r="E230" s="2"/>
      <c r="F230" s="2"/>
    </row>
    <row r="231">
      <c r="A231" s="2">
        <f>IFERROR(__xludf.DUMMYFUNCTION("""COMPUTED_VALUE"""),91144.0)</f>
        <v>91144</v>
      </c>
      <c r="B231" s="2">
        <f>IFERROR(__xludf.DUMMYFUNCTION("""COMPUTED_VALUE"""),1.0)</f>
        <v>1</v>
      </c>
      <c r="C231" s="2">
        <f>IFERROR(__xludf.DUMMYFUNCTION("""COMPUTED_VALUE"""),985.0)</f>
        <v>985</v>
      </c>
      <c r="D231" s="3">
        <f>IFERROR(__xludf.DUMMYFUNCTION("""COMPUTED_VALUE"""),812.0)</f>
        <v>812</v>
      </c>
      <c r="E231" s="2"/>
      <c r="F231" s="2"/>
    </row>
    <row r="232">
      <c r="A232" s="2">
        <f>IFERROR(__xludf.DUMMYFUNCTION("""COMPUTED_VALUE"""),79000.0)</f>
        <v>79000</v>
      </c>
      <c r="B232" s="2">
        <f>IFERROR(__xludf.DUMMYFUNCTION("""COMPUTED_VALUE"""),1.0)</f>
        <v>1</v>
      </c>
      <c r="C232" s="2">
        <f>IFERROR(__xludf.DUMMYFUNCTION("""COMPUTED_VALUE"""),155.0)</f>
        <v>155</v>
      </c>
      <c r="D232" s="3">
        <f>IFERROR(__xludf.DUMMYFUNCTION("""COMPUTED_VALUE"""),94.0)</f>
        <v>94</v>
      </c>
      <c r="E232" s="2"/>
      <c r="F232" s="2"/>
    </row>
    <row r="233">
      <c r="A233" s="2">
        <f>IFERROR(__xludf.DUMMYFUNCTION("""COMPUTED_VALUE"""),77389.0)</f>
        <v>77389</v>
      </c>
      <c r="B233" s="2">
        <f>IFERROR(__xludf.DUMMYFUNCTION("""COMPUTED_VALUE"""),1.0)</f>
        <v>1</v>
      </c>
      <c r="C233" s="2">
        <f>IFERROR(__xludf.DUMMYFUNCTION("""COMPUTED_VALUE"""),206.0)</f>
        <v>206</v>
      </c>
      <c r="D233" s="3">
        <f>IFERROR(__xludf.DUMMYFUNCTION("""COMPUTED_VALUE"""),100.0)</f>
        <v>100</v>
      </c>
      <c r="E233" s="2"/>
      <c r="F233" s="2"/>
    </row>
    <row r="234">
      <c r="A234" s="2">
        <f>IFERROR(__xludf.DUMMYFUNCTION("""COMPUTED_VALUE"""),72857.0)</f>
        <v>72857</v>
      </c>
      <c r="B234" s="2">
        <f>IFERROR(__xludf.DUMMYFUNCTION("""COMPUTED_VALUE"""),1.0)</f>
        <v>1</v>
      </c>
      <c r="C234" s="2">
        <f>IFERROR(__xludf.DUMMYFUNCTION("""COMPUTED_VALUE"""),354.0)</f>
        <v>354</v>
      </c>
      <c r="D234" s="3">
        <f>IFERROR(__xludf.DUMMYFUNCTION("""COMPUTED_VALUE"""),142.0)</f>
        <v>142</v>
      </c>
      <c r="E234" s="2"/>
      <c r="F234" s="2"/>
    </row>
    <row r="235">
      <c r="A235" s="2">
        <f>IFERROR(__xludf.DUMMYFUNCTION("""COMPUTED_VALUE"""),72859.0)</f>
        <v>72859</v>
      </c>
      <c r="B235" s="2">
        <f>IFERROR(__xludf.DUMMYFUNCTION("""COMPUTED_VALUE"""),0.0)</f>
        <v>0</v>
      </c>
      <c r="C235" s="2">
        <f>IFERROR(__xludf.DUMMYFUNCTION("""COMPUTED_VALUE"""),337.0)</f>
        <v>337</v>
      </c>
      <c r="D235" s="3">
        <f>IFERROR(__xludf.DUMMYFUNCTION("""COMPUTED_VALUE"""),187.0)</f>
        <v>187</v>
      </c>
      <c r="E235" s="2"/>
      <c r="F235" s="2"/>
    </row>
    <row r="236">
      <c r="A236" s="2">
        <f>IFERROR(__xludf.DUMMYFUNCTION("""COMPUTED_VALUE"""),91264.0)</f>
        <v>91264</v>
      </c>
      <c r="B236" s="2">
        <f>IFERROR(__xludf.DUMMYFUNCTION("""COMPUTED_VALUE"""),0.0)</f>
        <v>0</v>
      </c>
      <c r="C236" s="2">
        <f>IFERROR(__xludf.DUMMYFUNCTION("""COMPUTED_VALUE"""),527.0)</f>
        <v>527</v>
      </c>
      <c r="D236" s="3">
        <f>IFERROR(__xludf.DUMMYFUNCTION("""COMPUTED_VALUE"""),409.0)</f>
        <v>409</v>
      </c>
      <c r="E236" s="2"/>
      <c r="F236" s="2"/>
    </row>
    <row r="237">
      <c r="A237" s="2">
        <f>IFERROR(__xludf.DUMMYFUNCTION("""COMPUTED_VALUE"""),77316.0)</f>
        <v>77316</v>
      </c>
      <c r="B237" s="2">
        <f>IFERROR(__xludf.DUMMYFUNCTION("""COMPUTED_VALUE"""),0.0)</f>
        <v>0</v>
      </c>
      <c r="C237" s="2">
        <f>IFERROR(__xludf.DUMMYFUNCTION("""COMPUTED_VALUE"""),50.0)</f>
        <v>50</v>
      </c>
      <c r="D237" s="3">
        <f>IFERROR(__xludf.DUMMYFUNCTION("""COMPUTED_VALUE"""),14.0)</f>
        <v>14</v>
      </c>
      <c r="E237" s="2"/>
      <c r="F237" s="2"/>
    </row>
    <row r="238">
      <c r="A238" s="2">
        <f>IFERROR(__xludf.DUMMYFUNCTION("""COMPUTED_VALUE"""),110573.0)</f>
        <v>110573</v>
      </c>
      <c r="B238" s="2">
        <f>IFERROR(__xludf.DUMMYFUNCTION("""COMPUTED_VALUE"""),0.0)</f>
        <v>0</v>
      </c>
      <c r="C238" s="2">
        <f>IFERROR(__xludf.DUMMYFUNCTION("""COMPUTED_VALUE"""),54.0)</f>
        <v>54</v>
      </c>
      <c r="D238" s="3">
        <f>IFERROR(__xludf.DUMMYFUNCTION("""COMPUTED_VALUE"""),38.0)</f>
        <v>38</v>
      </c>
      <c r="E238" s="2"/>
      <c r="F238" s="2"/>
    </row>
    <row r="239">
      <c r="A239" s="2">
        <f>IFERROR(__xludf.DUMMYFUNCTION("""COMPUTED_VALUE"""),82236.0)</f>
        <v>82236</v>
      </c>
      <c r="B239" s="2">
        <f>IFERROR(__xludf.DUMMYFUNCTION("""COMPUTED_VALUE"""),1.0)</f>
        <v>1</v>
      </c>
      <c r="C239" s="2">
        <f>IFERROR(__xludf.DUMMYFUNCTION("""COMPUTED_VALUE"""),212.0)</f>
        <v>212</v>
      </c>
      <c r="D239" s="3">
        <f>IFERROR(__xludf.DUMMYFUNCTION("""COMPUTED_VALUE"""),142.0)</f>
        <v>142</v>
      </c>
      <c r="E239" s="2"/>
      <c r="F239" s="2"/>
    </row>
    <row r="240">
      <c r="A240" s="2">
        <f>IFERROR(__xludf.DUMMYFUNCTION("""COMPUTED_VALUE"""),72855.0)</f>
        <v>72855</v>
      </c>
      <c r="B240" s="2">
        <f>IFERROR(__xludf.DUMMYFUNCTION("""COMPUTED_VALUE"""),1.0)</f>
        <v>1</v>
      </c>
      <c r="C240" s="2">
        <f>IFERROR(__xludf.DUMMYFUNCTION("""COMPUTED_VALUE"""),625.0)</f>
        <v>625</v>
      </c>
      <c r="D240" s="3">
        <f>IFERROR(__xludf.DUMMYFUNCTION("""COMPUTED_VALUE"""),331.0)</f>
        <v>331</v>
      </c>
      <c r="E240" s="2"/>
      <c r="F240" s="2"/>
    </row>
    <row r="241">
      <c r="A241" s="2">
        <f>IFERROR(__xludf.DUMMYFUNCTION("""COMPUTED_VALUE"""),77392.0)</f>
        <v>77392</v>
      </c>
      <c r="B241" s="2">
        <f>IFERROR(__xludf.DUMMYFUNCTION("""COMPUTED_VALUE"""),0.0)</f>
        <v>0</v>
      </c>
      <c r="C241" s="2">
        <f>IFERROR(__xludf.DUMMYFUNCTION("""COMPUTED_VALUE"""),163.0)</f>
        <v>163</v>
      </c>
      <c r="D241" s="3">
        <f>IFERROR(__xludf.DUMMYFUNCTION("""COMPUTED_VALUE"""),95.0)</f>
        <v>95</v>
      </c>
      <c r="E241" s="2"/>
      <c r="F241" s="2"/>
    </row>
    <row r="242">
      <c r="A242" s="2">
        <f>IFERROR(__xludf.DUMMYFUNCTION("""COMPUTED_VALUE"""),45867.0)</f>
        <v>45867</v>
      </c>
      <c r="B242" s="2">
        <f>IFERROR(__xludf.DUMMYFUNCTION("""COMPUTED_VALUE"""),1.0)</f>
        <v>1</v>
      </c>
      <c r="C242" s="2">
        <f>IFERROR(__xludf.DUMMYFUNCTION("""COMPUTED_VALUE"""),664.0)</f>
        <v>664</v>
      </c>
      <c r="D242" s="3">
        <f>IFERROR(__xludf.DUMMYFUNCTION("""COMPUTED_VALUE"""),454.0)</f>
        <v>454</v>
      </c>
      <c r="E242" s="2"/>
      <c r="F242" s="2"/>
    </row>
    <row r="243">
      <c r="A243" s="2">
        <f>IFERROR(__xludf.DUMMYFUNCTION("""COMPUTED_VALUE"""),45846.0)</f>
        <v>45846</v>
      </c>
      <c r="B243" s="2">
        <f>IFERROR(__xludf.DUMMYFUNCTION("""COMPUTED_VALUE"""),1.0)</f>
        <v>1</v>
      </c>
      <c r="C243" s="2">
        <f>IFERROR(__xludf.DUMMYFUNCTION("""COMPUTED_VALUE"""),67.0)</f>
        <v>67</v>
      </c>
      <c r="D243" s="3">
        <f>IFERROR(__xludf.DUMMYFUNCTION("""COMPUTED_VALUE"""),4.0)</f>
        <v>4</v>
      </c>
      <c r="E243" s="2"/>
      <c r="F243" s="2"/>
    </row>
    <row r="244">
      <c r="A244" s="2">
        <f>IFERROR(__xludf.DUMMYFUNCTION("""COMPUTED_VALUE"""),91265.0)</f>
        <v>91265</v>
      </c>
      <c r="B244" s="2">
        <f>IFERROR(__xludf.DUMMYFUNCTION("""COMPUTED_VALUE"""),0.0)</f>
        <v>0</v>
      </c>
      <c r="C244" s="2">
        <f>IFERROR(__xludf.DUMMYFUNCTION("""COMPUTED_VALUE"""),925.0)</f>
        <v>925</v>
      </c>
      <c r="D244" s="3">
        <f>IFERROR(__xludf.DUMMYFUNCTION("""COMPUTED_VALUE"""),7.0)</f>
        <v>7</v>
      </c>
      <c r="E244" s="2"/>
      <c r="F244" s="2"/>
    </row>
    <row r="245">
      <c r="A245" s="2">
        <f>IFERROR(__xludf.DUMMYFUNCTION("""COMPUTED_VALUE"""),5527.0)</f>
        <v>5527</v>
      </c>
      <c r="B245" s="2">
        <f>IFERROR(__xludf.DUMMYFUNCTION("""COMPUTED_VALUE"""),0.0)</f>
        <v>0</v>
      </c>
      <c r="C245" s="2">
        <f>IFERROR(__xludf.DUMMYFUNCTION("""COMPUTED_VALUE"""),326.0)</f>
        <v>326</v>
      </c>
      <c r="D245" s="3">
        <f>IFERROR(__xludf.DUMMYFUNCTION("""COMPUTED_VALUE"""),158.0)</f>
        <v>158</v>
      </c>
      <c r="E245" s="2"/>
      <c r="F245" s="2"/>
    </row>
    <row r="246">
      <c r="A246" s="2">
        <f>IFERROR(__xludf.DUMMYFUNCTION("""COMPUTED_VALUE"""),82249.0)</f>
        <v>82249</v>
      </c>
      <c r="B246" s="2">
        <f>IFERROR(__xludf.DUMMYFUNCTION("""COMPUTED_VALUE"""),1.0)</f>
        <v>1</v>
      </c>
      <c r="C246" s="2">
        <f>IFERROR(__xludf.DUMMYFUNCTION("""COMPUTED_VALUE"""),119.0)</f>
        <v>119</v>
      </c>
      <c r="D246" s="3">
        <f>IFERROR(__xludf.DUMMYFUNCTION("""COMPUTED_VALUE"""),47.0)</f>
        <v>47</v>
      </c>
      <c r="E246" s="2"/>
      <c r="F246" s="2"/>
    </row>
    <row r="247">
      <c r="A247" s="2">
        <f>IFERROR(__xludf.DUMMYFUNCTION("""COMPUTED_VALUE"""),87273.0)</f>
        <v>87273</v>
      </c>
      <c r="B247" s="2">
        <f>IFERROR(__xludf.DUMMYFUNCTION("""COMPUTED_VALUE"""),0.0)</f>
        <v>0</v>
      </c>
      <c r="C247" s="2">
        <f>IFERROR(__xludf.DUMMYFUNCTION("""COMPUTED_VALUE"""),207.0)</f>
        <v>207</v>
      </c>
      <c r="D247" s="3">
        <f>IFERROR(__xludf.DUMMYFUNCTION("""COMPUTED_VALUE"""),71.0)</f>
        <v>71</v>
      </c>
      <c r="E247" s="2"/>
      <c r="F247" s="2"/>
    </row>
    <row r="248">
      <c r="A248" s="2">
        <f>IFERROR(__xludf.DUMMYFUNCTION("""COMPUTED_VALUE"""),5537.0)</f>
        <v>5537</v>
      </c>
      <c r="B248" s="2">
        <f>IFERROR(__xludf.DUMMYFUNCTION("""COMPUTED_VALUE"""),0.0)</f>
        <v>0</v>
      </c>
      <c r="C248" s="2">
        <f>IFERROR(__xludf.DUMMYFUNCTION("""COMPUTED_VALUE"""),429.0)</f>
        <v>429</v>
      </c>
      <c r="D248" s="3">
        <f>IFERROR(__xludf.DUMMYFUNCTION("""COMPUTED_VALUE"""),37.0)</f>
        <v>37</v>
      </c>
      <c r="E248" s="2"/>
      <c r="F248" s="2"/>
    </row>
    <row r="249">
      <c r="A249" s="2">
        <f>IFERROR(__xludf.DUMMYFUNCTION("""COMPUTED_VALUE"""),87281.0)</f>
        <v>87281</v>
      </c>
      <c r="B249" s="2">
        <f>IFERROR(__xludf.DUMMYFUNCTION("""COMPUTED_VALUE"""),0.0)</f>
        <v>0</v>
      </c>
      <c r="C249" s="2">
        <f>IFERROR(__xludf.DUMMYFUNCTION("""COMPUTED_VALUE"""),202.0)</f>
        <v>202</v>
      </c>
      <c r="D249" s="3">
        <f>IFERROR(__xludf.DUMMYFUNCTION("""COMPUTED_VALUE"""),152.0)</f>
        <v>152</v>
      </c>
      <c r="E249" s="2"/>
      <c r="F249" s="2"/>
    </row>
    <row r="250">
      <c r="A250" s="2">
        <f>IFERROR(__xludf.DUMMYFUNCTION("""COMPUTED_VALUE"""),5522.0)</f>
        <v>5522</v>
      </c>
      <c r="B250" s="2">
        <f>IFERROR(__xludf.DUMMYFUNCTION("""COMPUTED_VALUE"""),0.0)</f>
        <v>0</v>
      </c>
      <c r="C250" s="2">
        <f>IFERROR(__xludf.DUMMYFUNCTION("""COMPUTED_VALUE"""),275.0)</f>
        <v>275</v>
      </c>
      <c r="D250" s="3">
        <f>IFERROR(__xludf.DUMMYFUNCTION("""COMPUTED_VALUE"""),26.0)</f>
        <v>26</v>
      </c>
      <c r="E250" s="2"/>
      <c r="F250" s="2"/>
    </row>
    <row r="251">
      <c r="A251" s="2">
        <f>IFERROR(__xludf.DUMMYFUNCTION("""COMPUTED_VALUE"""),76595.0)</f>
        <v>76595</v>
      </c>
      <c r="B251" s="2">
        <f>IFERROR(__xludf.DUMMYFUNCTION("""COMPUTED_VALUE"""),0.0)</f>
        <v>0</v>
      </c>
      <c r="C251" s="2">
        <f>IFERROR(__xludf.DUMMYFUNCTION("""COMPUTED_VALUE"""),437.0)</f>
        <v>437</v>
      </c>
      <c r="D251" s="3">
        <f>IFERROR(__xludf.DUMMYFUNCTION("""COMPUTED_VALUE"""),177.0)</f>
        <v>177</v>
      </c>
      <c r="E251" s="2"/>
      <c r="F251" s="2"/>
    </row>
    <row r="252">
      <c r="A252" s="2">
        <f>IFERROR(__xludf.DUMMYFUNCTION("""COMPUTED_VALUE"""),147305.0)</f>
        <v>147305</v>
      </c>
      <c r="B252" s="2">
        <f>IFERROR(__xludf.DUMMYFUNCTION("""COMPUTED_VALUE"""),0.0)</f>
        <v>0</v>
      </c>
      <c r="C252" s="2">
        <f>IFERROR(__xludf.DUMMYFUNCTION("""COMPUTED_VALUE"""),919.0)</f>
        <v>919</v>
      </c>
      <c r="D252" s="3">
        <f>IFERROR(__xludf.DUMMYFUNCTION("""COMPUTED_VALUE"""),651.0)</f>
        <v>651</v>
      </c>
      <c r="E252" s="2"/>
      <c r="F252" s="2"/>
    </row>
    <row r="253">
      <c r="A253" s="2">
        <f>IFERROR(__xludf.DUMMYFUNCTION("""COMPUTED_VALUE"""),158660.0)</f>
        <v>158660</v>
      </c>
      <c r="B253" s="2">
        <f>IFERROR(__xludf.DUMMYFUNCTION("""COMPUTED_VALUE"""),1.0)</f>
        <v>1</v>
      </c>
      <c r="C253" s="2">
        <f>IFERROR(__xludf.DUMMYFUNCTION("""COMPUTED_VALUE"""),961.0)</f>
        <v>961</v>
      </c>
      <c r="D253" s="3">
        <f>IFERROR(__xludf.DUMMYFUNCTION("""COMPUTED_VALUE"""),554.0)</f>
        <v>554</v>
      </c>
      <c r="E253" s="2"/>
      <c r="F253" s="2"/>
    </row>
    <row r="254">
      <c r="A254" s="2">
        <f>IFERROR(__xludf.DUMMYFUNCTION("""COMPUTED_VALUE"""),77371.0)</f>
        <v>77371</v>
      </c>
      <c r="B254" s="2">
        <f>IFERROR(__xludf.DUMMYFUNCTION("""COMPUTED_VALUE"""),1.0)</f>
        <v>1</v>
      </c>
      <c r="C254" s="2">
        <f>IFERROR(__xludf.DUMMYFUNCTION("""COMPUTED_VALUE"""),326.0)</f>
        <v>326</v>
      </c>
      <c r="D254" s="3">
        <f>IFERROR(__xludf.DUMMYFUNCTION("""COMPUTED_VALUE"""),123.0)</f>
        <v>123</v>
      </c>
      <c r="E254" s="2"/>
      <c r="F254" s="2"/>
    </row>
    <row r="255">
      <c r="A255" s="2">
        <f>IFERROR(__xludf.DUMMYFUNCTION("""COMPUTED_VALUE"""),77366.0)</f>
        <v>77366</v>
      </c>
      <c r="B255" s="2">
        <f>IFERROR(__xludf.DUMMYFUNCTION("""COMPUTED_VALUE"""),1.0)</f>
        <v>1</v>
      </c>
      <c r="C255" s="2">
        <f>IFERROR(__xludf.DUMMYFUNCTION("""COMPUTED_VALUE"""),40.0)</f>
        <v>40</v>
      </c>
      <c r="D255" s="3">
        <f>IFERROR(__xludf.DUMMYFUNCTION("""COMPUTED_VALUE"""),5.0)</f>
        <v>5</v>
      </c>
      <c r="E255" s="2"/>
      <c r="F255" s="2"/>
    </row>
    <row r="256">
      <c r="A256" s="2">
        <f>IFERROR(__xludf.DUMMYFUNCTION("""COMPUTED_VALUE"""),87282.0)</f>
        <v>87282</v>
      </c>
      <c r="B256" s="2">
        <f>IFERROR(__xludf.DUMMYFUNCTION("""COMPUTED_VALUE"""),0.0)</f>
        <v>0</v>
      </c>
      <c r="C256" s="2">
        <f>IFERROR(__xludf.DUMMYFUNCTION("""COMPUTED_VALUE"""),668.0)</f>
        <v>668</v>
      </c>
      <c r="D256" s="3">
        <f>IFERROR(__xludf.DUMMYFUNCTION("""COMPUTED_VALUE"""),595.0)</f>
        <v>595</v>
      </c>
      <c r="E256" s="2"/>
      <c r="F256" s="2"/>
    </row>
    <row r="257">
      <c r="A257" s="2">
        <f>IFERROR(__xludf.DUMMYFUNCTION("""COMPUTED_VALUE"""),80402.0)</f>
        <v>80402</v>
      </c>
      <c r="B257" s="2">
        <f>IFERROR(__xludf.DUMMYFUNCTION("""COMPUTED_VALUE"""),1.0)</f>
        <v>1</v>
      </c>
      <c r="C257" s="2">
        <f>IFERROR(__xludf.DUMMYFUNCTION("""COMPUTED_VALUE"""),840.0)</f>
        <v>840</v>
      </c>
      <c r="D257" s="3">
        <f>IFERROR(__xludf.DUMMYFUNCTION("""COMPUTED_VALUE"""),236.0)</f>
        <v>236</v>
      </c>
      <c r="E257" s="2"/>
      <c r="F257" s="2"/>
    </row>
    <row r="258">
      <c r="A258" s="2">
        <f>IFERROR(__xludf.DUMMYFUNCTION("""COMPUTED_VALUE"""),120504.0)</f>
        <v>120504</v>
      </c>
      <c r="B258" s="2">
        <f>IFERROR(__xludf.DUMMYFUNCTION("""COMPUTED_VALUE"""),1.0)</f>
        <v>1</v>
      </c>
      <c r="C258" s="2">
        <f>IFERROR(__xludf.DUMMYFUNCTION("""COMPUTED_VALUE"""),191.0)</f>
        <v>191</v>
      </c>
      <c r="D258" s="3">
        <f>IFERROR(__xludf.DUMMYFUNCTION("""COMPUTED_VALUE"""),68.0)</f>
        <v>68</v>
      </c>
      <c r="E258" s="2"/>
      <c r="F258" s="2"/>
    </row>
    <row r="259">
      <c r="A259" s="2">
        <f>IFERROR(__xludf.DUMMYFUNCTION("""COMPUTED_VALUE"""),72833.0)</f>
        <v>72833</v>
      </c>
      <c r="B259" s="2">
        <f>IFERROR(__xludf.DUMMYFUNCTION("""COMPUTED_VALUE"""),1.0)</f>
        <v>1</v>
      </c>
      <c r="C259" s="2">
        <f>IFERROR(__xludf.DUMMYFUNCTION("""COMPUTED_VALUE"""),28.0)</f>
        <v>28</v>
      </c>
      <c r="D259" s="3">
        <f>IFERROR(__xludf.DUMMYFUNCTION("""COMPUTED_VALUE"""),28.0)</f>
        <v>28</v>
      </c>
      <c r="E259" s="2"/>
      <c r="F259" s="2"/>
    </row>
    <row r="260">
      <c r="A260" s="2">
        <f>IFERROR(__xludf.DUMMYFUNCTION("""COMPUTED_VALUE"""),72831.0)</f>
        <v>72831</v>
      </c>
      <c r="B260" s="2">
        <f>IFERROR(__xludf.DUMMYFUNCTION("""COMPUTED_VALUE"""),1.0)</f>
        <v>1</v>
      </c>
      <c r="C260" s="2">
        <f>IFERROR(__xludf.DUMMYFUNCTION("""COMPUTED_VALUE"""),203.0)</f>
        <v>203</v>
      </c>
      <c r="D260" s="3">
        <f>IFERROR(__xludf.DUMMYFUNCTION("""COMPUTED_VALUE"""),102.0)</f>
        <v>102</v>
      </c>
      <c r="E260" s="2"/>
      <c r="F260" s="2"/>
    </row>
    <row r="261">
      <c r="A261" s="2">
        <f>IFERROR(__xludf.DUMMYFUNCTION("""COMPUTED_VALUE"""),112547.0)</f>
        <v>112547</v>
      </c>
      <c r="B261" s="2">
        <f>IFERROR(__xludf.DUMMYFUNCTION("""COMPUTED_VALUE"""),0.0)</f>
        <v>0</v>
      </c>
      <c r="C261" s="2">
        <f>IFERROR(__xludf.DUMMYFUNCTION("""COMPUTED_VALUE"""),742.0)</f>
        <v>742</v>
      </c>
      <c r="D261" s="3">
        <f>IFERROR(__xludf.DUMMYFUNCTION("""COMPUTED_VALUE"""),78.0)</f>
        <v>78</v>
      </c>
      <c r="E261" s="2"/>
      <c r="F261" s="2"/>
    </row>
    <row r="262">
      <c r="A262" s="2">
        <f>IFERROR(__xludf.DUMMYFUNCTION("""COMPUTED_VALUE"""),149598.0)</f>
        <v>149598</v>
      </c>
      <c r="B262" s="2">
        <f>IFERROR(__xludf.DUMMYFUNCTION("""COMPUTED_VALUE"""),1.0)</f>
        <v>1</v>
      </c>
      <c r="C262" s="2">
        <f>IFERROR(__xludf.DUMMYFUNCTION("""COMPUTED_VALUE"""),236.0)</f>
        <v>236</v>
      </c>
      <c r="D262" s="3">
        <f>IFERROR(__xludf.DUMMYFUNCTION("""COMPUTED_VALUE"""),95.0)</f>
        <v>95</v>
      </c>
      <c r="E262" s="2"/>
      <c r="F262" s="2"/>
    </row>
    <row r="263">
      <c r="A263" s="2">
        <f>IFERROR(__xludf.DUMMYFUNCTION("""COMPUTED_VALUE"""),98129.0)</f>
        <v>98129</v>
      </c>
      <c r="B263" s="2">
        <f>IFERROR(__xludf.DUMMYFUNCTION("""COMPUTED_VALUE"""),0.0)</f>
        <v>0</v>
      </c>
      <c r="C263" s="2">
        <f>IFERROR(__xludf.DUMMYFUNCTION("""COMPUTED_VALUE"""),613.0)</f>
        <v>613</v>
      </c>
      <c r="D263" s="3">
        <f>IFERROR(__xludf.DUMMYFUNCTION("""COMPUTED_VALUE"""),605.0)</f>
        <v>605</v>
      </c>
      <c r="E263" s="2"/>
      <c r="F263" s="2"/>
    </row>
    <row r="264">
      <c r="A264" s="2">
        <f>IFERROR(__xludf.DUMMYFUNCTION("""COMPUTED_VALUE"""),72825.0)</f>
        <v>72825</v>
      </c>
      <c r="B264" s="2">
        <f>IFERROR(__xludf.DUMMYFUNCTION("""COMPUTED_VALUE"""),0.0)</f>
        <v>0</v>
      </c>
      <c r="C264" s="2">
        <f>IFERROR(__xludf.DUMMYFUNCTION("""COMPUTED_VALUE"""),160.0)</f>
        <v>160</v>
      </c>
      <c r="D264" s="3">
        <f>IFERROR(__xludf.DUMMYFUNCTION("""COMPUTED_VALUE"""),131.0)</f>
        <v>131</v>
      </c>
      <c r="E264" s="2"/>
      <c r="F264" s="2"/>
    </row>
    <row r="265">
      <c r="A265" s="2">
        <f>IFERROR(__xludf.DUMMYFUNCTION("""COMPUTED_VALUE"""),72820.0)</f>
        <v>72820</v>
      </c>
      <c r="B265" s="2">
        <f>IFERROR(__xludf.DUMMYFUNCTION("""COMPUTED_VALUE"""),1.0)</f>
        <v>1</v>
      </c>
      <c r="C265" s="2">
        <f>IFERROR(__xludf.DUMMYFUNCTION("""COMPUTED_VALUE"""),109.0)</f>
        <v>109</v>
      </c>
      <c r="D265" s="3">
        <f>IFERROR(__xludf.DUMMYFUNCTION("""COMPUTED_VALUE"""),100.0)</f>
        <v>100</v>
      </c>
      <c r="E265" s="2"/>
      <c r="F265" s="2"/>
    </row>
    <row r="266">
      <c r="A266" s="2">
        <f>IFERROR(__xludf.DUMMYFUNCTION("""COMPUTED_VALUE"""),81939.0)</f>
        <v>81939</v>
      </c>
      <c r="B266" s="2">
        <f>IFERROR(__xludf.DUMMYFUNCTION("""COMPUTED_VALUE"""),0.0)</f>
        <v>0</v>
      </c>
      <c r="C266" s="2">
        <f>IFERROR(__xludf.DUMMYFUNCTION("""COMPUTED_VALUE"""),149.0)</f>
        <v>149</v>
      </c>
      <c r="D266" s="3">
        <f>IFERROR(__xludf.DUMMYFUNCTION("""COMPUTED_VALUE"""),37.0)</f>
        <v>37</v>
      </c>
      <c r="E266" s="2"/>
      <c r="F266" s="2"/>
    </row>
    <row r="267">
      <c r="A267" s="2">
        <f>IFERROR(__xludf.DUMMYFUNCTION("""COMPUTED_VALUE"""),114382.0)</f>
        <v>114382</v>
      </c>
      <c r="B267" s="2">
        <f>IFERROR(__xludf.DUMMYFUNCTION("""COMPUTED_VALUE"""),1.0)</f>
        <v>1</v>
      </c>
      <c r="C267" s="2">
        <f>IFERROR(__xludf.DUMMYFUNCTION("""COMPUTED_VALUE"""),280.0)</f>
        <v>280</v>
      </c>
      <c r="D267" s="3">
        <f>IFERROR(__xludf.DUMMYFUNCTION("""COMPUTED_VALUE"""),185.0)</f>
        <v>185</v>
      </c>
      <c r="E267" s="2"/>
      <c r="F267" s="2"/>
    </row>
    <row r="268">
      <c r="A268" s="2">
        <f>IFERROR(__xludf.DUMMYFUNCTION("""COMPUTED_VALUE"""),111427.0)</f>
        <v>111427</v>
      </c>
      <c r="B268" s="2">
        <f>IFERROR(__xludf.DUMMYFUNCTION("""COMPUTED_VALUE"""),0.0)</f>
        <v>0</v>
      </c>
      <c r="C268" s="2">
        <f>IFERROR(__xludf.DUMMYFUNCTION("""COMPUTED_VALUE"""),665.0)</f>
        <v>665</v>
      </c>
      <c r="D268" s="3">
        <f>IFERROR(__xludf.DUMMYFUNCTION("""COMPUTED_VALUE"""),254.0)</f>
        <v>254</v>
      </c>
      <c r="E268" s="2"/>
      <c r="F268" s="2"/>
    </row>
    <row r="269">
      <c r="A269" s="2">
        <f>IFERROR(__xludf.DUMMYFUNCTION("""COMPUTED_VALUE"""),81937.0)</f>
        <v>81937</v>
      </c>
      <c r="B269" s="2">
        <f>IFERROR(__xludf.DUMMYFUNCTION("""COMPUTED_VALUE"""),0.0)</f>
        <v>0</v>
      </c>
      <c r="C269" s="2">
        <f>IFERROR(__xludf.DUMMYFUNCTION("""COMPUTED_VALUE"""),962.0)</f>
        <v>962</v>
      </c>
      <c r="D269" s="3">
        <f>IFERROR(__xludf.DUMMYFUNCTION("""COMPUTED_VALUE"""),511.0)</f>
        <v>511</v>
      </c>
      <c r="E269" s="2"/>
      <c r="F269" s="2"/>
    </row>
    <row r="270">
      <c r="A270" s="2">
        <f>IFERROR(__xludf.DUMMYFUNCTION("""COMPUTED_VALUE"""),72824.0)</f>
        <v>72824</v>
      </c>
      <c r="B270" s="2">
        <f>IFERROR(__xludf.DUMMYFUNCTION("""COMPUTED_VALUE"""),1.0)</f>
        <v>1</v>
      </c>
      <c r="C270" s="2">
        <f>IFERROR(__xludf.DUMMYFUNCTION("""COMPUTED_VALUE"""),124.0)</f>
        <v>124</v>
      </c>
      <c r="D270" s="3">
        <f>IFERROR(__xludf.DUMMYFUNCTION("""COMPUTED_VALUE"""),107.0)</f>
        <v>107</v>
      </c>
      <c r="E270" s="2"/>
      <c r="F270" s="2"/>
    </row>
    <row r="271">
      <c r="A271" s="2">
        <f>IFERROR(__xludf.DUMMYFUNCTION("""COMPUTED_VALUE"""),112188.0)</f>
        <v>112188</v>
      </c>
      <c r="B271" s="2">
        <f>IFERROR(__xludf.DUMMYFUNCTION("""COMPUTED_VALUE"""),0.0)</f>
        <v>0</v>
      </c>
      <c r="C271" s="2">
        <f>IFERROR(__xludf.DUMMYFUNCTION("""COMPUTED_VALUE"""),44.0)</f>
        <v>44</v>
      </c>
      <c r="D271" s="3">
        <f>IFERROR(__xludf.DUMMYFUNCTION("""COMPUTED_VALUE"""),29.0)</f>
        <v>29</v>
      </c>
      <c r="E271" s="2"/>
      <c r="F271" s="2"/>
    </row>
    <row r="272">
      <c r="A272" s="2">
        <f>IFERROR(__xludf.DUMMYFUNCTION("""COMPUTED_VALUE"""),98186.0)</f>
        <v>98186</v>
      </c>
      <c r="B272" s="2">
        <f>IFERROR(__xludf.DUMMYFUNCTION("""COMPUTED_VALUE"""),1.0)</f>
        <v>1</v>
      </c>
      <c r="C272" s="2">
        <f>IFERROR(__xludf.DUMMYFUNCTION("""COMPUTED_VALUE"""),845.0)</f>
        <v>845</v>
      </c>
      <c r="D272" s="3">
        <f>IFERROR(__xludf.DUMMYFUNCTION("""COMPUTED_VALUE"""),298.0)</f>
        <v>298</v>
      </c>
      <c r="E272" s="2"/>
      <c r="F272" s="2"/>
    </row>
    <row r="273">
      <c r="A273" s="2">
        <f>IFERROR(__xludf.DUMMYFUNCTION("""COMPUTED_VALUE"""),72822.0)</f>
        <v>72822</v>
      </c>
      <c r="B273" s="2">
        <f>IFERROR(__xludf.DUMMYFUNCTION("""COMPUTED_VALUE"""),0.0)</f>
        <v>0</v>
      </c>
      <c r="C273" s="2">
        <f>IFERROR(__xludf.DUMMYFUNCTION("""COMPUTED_VALUE"""),831.0)</f>
        <v>831</v>
      </c>
      <c r="D273" s="3">
        <f>IFERROR(__xludf.DUMMYFUNCTION("""COMPUTED_VALUE"""),135.0)</f>
        <v>135</v>
      </c>
      <c r="E273" s="2"/>
      <c r="F273" s="2"/>
    </row>
    <row r="274">
      <c r="A274" s="2">
        <f>IFERROR(__xludf.DUMMYFUNCTION("""COMPUTED_VALUE"""),122601.0)</f>
        <v>122601</v>
      </c>
      <c r="B274" s="2">
        <f>IFERROR(__xludf.DUMMYFUNCTION("""COMPUTED_VALUE"""),0.0)</f>
        <v>0</v>
      </c>
      <c r="C274" s="2">
        <f>IFERROR(__xludf.DUMMYFUNCTION("""COMPUTED_VALUE"""),373.0)</f>
        <v>373</v>
      </c>
      <c r="D274" s="3">
        <f>IFERROR(__xludf.DUMMYFUNCTION("""COMPUTED_VALUE"""),324.0)</f>
        <v>324</v>
      </c>
      <c r="E274" s="2"/>
      <c r="F274" s="2"/>
    </row>
    <row r="275">
      <c r="A275" s="2">
        <f>IFERROR(__xludf.DUMMYFUNCTION("""COMPUTED_VALUE"""),106779.0)</f>
        <v>106779</v>
      </c>
      <c r="B275" s="2">
        <f>IFERROR(__xludf.DUMMYFUNCTION("""COMPUTED_VALUE"""),1.0)</f>
        <v>1</v>
      </c>
      <c r="C275" s="2">
        <f>IFERROR(__xludf.DUMMYFUNCTION("""COMPUTED_VALUE"""),506.0)</f>
        <v>506</v>
      </c>
      <c r="D275" s="3">
        <f>IFERROR(__xludf.DUMMYFUNCTION("""COMPUTED_VALUE"""),254.0)</f>
        <v>254</v>
      </c>
      <c r="E275" s="2"/>
      <c r="F275" s="2"/>
    </row>
    <row r="276">
      <c r="A276" s="2">
        <f>IFERROR(__xludf.DUMMYFUNCTION("""COMPUTED_VALUE"""),106785.0)</f>
        <v>106785</v>
      </c>
      <c r="B276" s="2">
        <f>IFERROR(__xludf.DUMMYFUNCTION("""COMPUTED_VALUE"""),0.0)</f>
        <v>0</v>
      </c>
      <c r="C276" s="2">
        <f>IFERROR(__xludf.DUMMYFUNCTION("""COMPUTED_VALUE"""),960.0)</f>
        <v>960</v>
      </c>
      <c r="D276" s="3">
        <f>IFERROR(__xludf.DUMMYFUNCTION("""COMPUTED_VALUE"""),892.0)</f>
        <v>892</v>
      </c>
      <c r="E276" s="2"/>
      <c r="F276" s="2"/>
    </row>
    <row r="277">
      <c r="A277" s="2">
        <f>IFERROR(__xludf.DUMMYFUNCTION("""COMPUTED_VALUE"""),122602.0)</f>
        <v>122602</v>
      </c>
      <c r="B277" s="2">
        <f>IFERROR(__xludf.DUMMYFUNCTION("""COMPUTED_VALUE"""),0.0)</f>
        <v>0</v>
      </c>
      <c r="C277" s="2">
        <f>IFERROR(__xludf.DUMMYFUNCTION("""COMPUTED_VALUE"""),610.0)</f>
        <v>610</v>
      </c>
      <c r="D277" s="3">
        <f>IFERROR(__xludf.DUMMYFUNCTION("""COMPUTED_VALUE"""),419.0)</f>
        <v>419</v>
      </c>
      <c r="E277" s="2"/>
      <c r="F277" s="2"/>
    </row>
    <row r="278">
      <c r="A278" s="2">
        <f>IFERROR(__xludf.DUMMYFUNCTION("""COMPUTED_VALUE"""),45574.0)</f>
        <v>45574</v>
      </c>
      <c r="B278" s="2">
        <f>IFERROR(__xludf.DUMMYFUNCTION("""COMPUTED_VALUE"""),0.0)</f>
        <v>0</v>
      </c>
      <c r="C278" s="2">
        <f>IFERROR(__xludf.DUMMYFUNCTION("""COMPUTED_VALUE"""),277.0)</f>
        <v>277</v>
      </c>
      <c r="D278" s="3">
        <f>IFERROR(__xludf.DUMMYFUNCTION("""COMPUTED_VALUE"""),148.0)</f>
        <v>148</v>
      </c>
      <c r="E278" s="2"/>
      <c r="F278" s="2"/>
    </row>
    <row r="279">
      <c r="A279" s="2">
        <f>IFERROR(__xludf.DUMMYFUNCTION("""COMPUTED_VALUE"""),80808.0)</f>
        <v>80808</v>
      </c>
      <c r="B279" s="2">
        <f>IFERROR(__xludf.DUMMYFUNCTION("""COMPUTED_VALUE"""),1.0)</f>
        <v>1</v>
      </c>
      <c r="C279" s="2">
        <f>IFERROR(__xludf.DUMMYFUNCTION("""COMPUTED_VALUE"""),55.0)</f>
        <v>55</v>
      </c>
      <c r="D279" s="3">
        <f>IFERROR(__xludf.DUMMYFUNCTION("""COMPUTED_VALUE"""),7.0)</f>
        <v>7</v>
      </c>
      <c r="E279" s="2"/>
      <c r="F279" s="2"/>
    </row>
    <row r="280">
      <c r="A280" s="2">
        <f>IFERROR(__xludf.DUMMYFUNCTION("""COMPUTED_VALUE"""),80802.0)</f>
        <v>80802</v>
      </c>
      <c r="B280" s="2">
        <f>IFERROR(__xludf.DUMMYFUNCTION("""COMPUTED_VALUE"""),0.0)</f>
        <v>0</v>
      </c>
      <c r="C280" s="2">
        <f>IFERROR(__xludf.DUMMYFUNCTION("""COMPUTED_VALUE"""),303.0)</f>
        <v>303</v>
      </c>
      <c r="D280" s="3">
        <f>IFERROR(__xludf.DUMMYFUNCTION("""COMPUTED_VALUE"""),247.0)</f>
        <v>247</v>
      </c>
      <c r="E280" s="2"/>
      <c r="F280" s="2"/>
    </row>
    <row r="281">
      <c r="A281" s="2">
        <f>IFERROR(__xludf.DUMMYFUNCTION("""COMPUTED_VALUE"""),110385.0)</f>
        <v>110385</v>
      </c>
      <c r="B281" s="2">
        <f>IFERROR(__xludf.DUMMYFUNCTION("""COMPUTED_VALUE"""),1.0)</f>
        <v>1</v>
      </c>
      <c r="C281" s="2">
        <f>IFERROR(__xludf.DUMMYFUNCTION("""COMPUTED_VALUE"""),551.0)</f>
        <v>551</v>
      </c>
      <c r="D281" s="3">
        <f>IFERROR(__xludf.DUMMYFUNCTION("""COMPUTED_VALUE"""),322.0)</f>
        <v>322</v>
      </c>
      <c r="E281" s="2"/>
      <c r="F281" s="2"/>
    </row>
    <row r="282">
      <c r="A282" s="2">
        <f>IFERROR(__xludf.DUMMYFUNCTION("""COMPUTED_VALUE"""),80633.0)</f>
        <v>80633</v>
      </c>
      <c r="B282" s="2">
        <f>IFERROR(__xludf.DUMMYFUNCTION("""COMPUTED_VALUE"""),0.0)</f>
        <v>0</v>
      </c>
      <c r="C282" s="2">
        <f>IFERROR(__xludf.DUMMYFUNCTION("""COMPUTED_VALUE"""),718.0)</f>
        <v>718</v>
      </c>
      <c r="D282" s="3">
        <f>IFERROR(__xludf.DUMMYFUNCTION("""COMPUTED_VALUE"""),381.0)</f>
        <v>381</v>
      </c>
      <c r="E282" s="2"/>
      <c r="F282" s="2"/>
    </row>
    <row r="283">
      <c r="A283" s="2">
        <f>IFERROR(__xludf.DUMMYFUNCTION("""COMPUTED_VALUE"""),120700.0)</f>
        <v>120700</v>
      </c>
      <c r="B283" s="2">
        <f>IFERROR(__xludf.DUMMYFUNCTION("""COMPUTED_VALUE"""),1.0)</f>
        <v>1</v>
      </c>
      <c r="C283" s="2">
        <f>IFERROR(__xludf.DUMMYFUNCTION("""COMPUTED_VALUE"""),653.0)</f>
        <v>653</v>
      </c>
      <c r="D283" s="3">
        <f>IFERROR(__xludf.DUMMYFUNCTION("""COMPUTED_VALUE"""),352.0)</f>
        <v>352</v>
      </c>
      <c r="E283" s="2"/>
      <c r="F283" s="2"/>
    </row>
    <row r="284">
      <c r="A284" s="2">
        <f>IFERROR(__xludf.DUMMYFUNCTION("""COMPUTED_VALUE"""),112853.0)</f>
        <v>112853</v>
      </c>
      <c r="B284" s="2">
        <f>IFERROR(__xludf.DUMMYFUNCTION("""COMPUTED_VALUE"""),1.0)</f>
        <v>1</v>
      </c>
      <c r="C284" s="2">
        <f>IFERROR(__xludf.DUMMYFUNCTION("""COMPUTED_VALUE"""),294.0)</f>
        <v>294</v>
      </c>
      <c r="D284" s="3">
        <f>IFERROR(__xludf.DUMMYFUNCTION("""COMPUTED_VALUE"""),265.0)</f>
        <v>265</v>
      </c>
      <c r="E284" s="2"/>
      <c r="F284" s="2"/>
    </row>
    <row r="285">
      <c r="A285" s="2">
        <f>IFERROR(__xludf.DUMMYFUNCTION("""COMPUTED_VALUE"""),120699.0)</f>
        <v>120699</v>
      </c>
      <c r="B285" s="2">
        <f>IFERROR(__xludf.DUMMYFUNCTION("""COMPUTED_VALUE"""),0.0)</f>
        <v>0</v>
      </c>
      <c r="C285" s="2">
        <f>IFERROR(__xludf.DUMMYFUNCTION("""COMPUTED_VALUE"""),251.0)</f>
        <v>251</v>
      </c>
      <c r="D285" s="3">
        <f>IFERROR(__xludf.DUMMYFUNCTION("""COMPUTED_VALUE"""),240.0)</f>
        <v>240</v>
      </c>
      <c r="E285" s="2"/>
      <c r="F285" s="2"/>
    </row>
    <row r="286">
      <c r="A286" s="2">
        <f>IFERROR(__xludf.DUMMYFUNCTION("""COMPUTED_VALUE"""),20195.0)</f>
        <v>20195</v>
      </c>
      <c r="B286" s="2">
        <f>IFERROR(__xludf.DUMMYFUNCTION("""COMPUTED_VALUE"""),1.0)</f>
        <v>1</v>
      </c>
      <c r="C286" s="2">
        <f>IFERROR(__xludf.DUMMYFUNCTION("""COMPUTED_VALUE"""),425.0)</f>
        <v>425</v>
      </c>
      <c r="D286" s="3">
        <f>IFERROR(__xludf.DUMMYFUNCTION("""COMPUTED_VALUE"""),354.0)</f>
        <v>354</v>
      </c>
      <c r="E286" s="2"/>
      <c r="F286" s="2"/>
    </row>
    <row r="287">
      <c r="A287" s="2">
        <f>IFERROR(__xludf.DUMMYFUNCTION("""COMPUTED_VALUE"""),11422.0)</f>
        <v>11422</v>
      </c>
      <c r="B287" s="2">
        <f>IFERROR(__xludf.DUMMYFUNCTION("""COMPUTED_VALUE"""),1.0)</f>
        <v>1</v>
      </c>
      <c r="C287" s="2">
        <f>IFERROR(__xludf.DUMMYFUNCTION("""COMPUTED_VALUE"""),822.0)</f>
        <v>822</v>
      </c>
      <c r="D287" s="3">
        <f>IFERROR(__xludf.DUMMYFUNCTION("""COMPUTED_VALUE"""),58.0)</f>
        <v>58</v>
      </c>
      <c r="E287" s="2"/>
      <c r="F287" s="2"/>
    </row>
    <row r="288">
      <c r="A288" s="2">
        <f>IFERROR(__xludf.DUMMYFUNCTION("""COMPUTED_VALUE"""),4492.0)</f>
        <v>4492</v>
      </c>
      <c r="B288" s="2">
        <f>IFERROR(__xludf.DUMMYFUNCTION("""COMPUTED_VALUE"""),0.0)</f>
        <v>0</v>
      </c>
      <c r="C288" s="2">
        <f>IFERROR(__xludf.DUMMYFUNCTION("""COMPUTED_VALUE"""),816.0)</f>
        <v>816</v>
      </c>
      <c r="D288" s="3">
        <f>IFERROR(__xludf.DUMMYFUNCTION("""COMPUTED_VALUE"""),571.0)</f>
        <v>571</v>
      </c>
      <c r="E288" s="2"/>
      <c r="F288" s="2"/>
    </row>
    <row r="289">
      <c r="A289" s="2">
        <f>IFERROR(__xludf.DUMMYFUNCTION("""COMPUTED_VALUE"""),4560.0)</f>
        <v>4560</v>
      </c>
      <c r="B289" s="2">
        <f>IFERROR(__xludf.DUMMYFUNCTION("""COMPUTED_VALUE"""),0.0)</f>
        <v>0</v>
      </c>
      <c r="C289" s="2">
        <f>IFERROR(__xludf.DUMMYFUNCTION("""COMPUTED_VALUE"""),541.0)</f>
        <v>541</v>
      </c>
      <c r="D289" s="3">
        <f>IFERROR(__xludf.DUMMYFUNCTION("""COMPUTED_VALUE"""),192.0)</f>
        <v>192</v>
      </c>
      <c r="E289" s="2"/>
      <c r="F289" s="2"/>
    </row>
    <row r="290">
      <c r="A290" s="2">
        <f>IFERROR(__xludf.DUMMYFUNCTION("""COMPUTED_VALUE"""),110383.0)</f>
        <v>110383</v>
      </c>
      <c r="B290" s="2">
        <f>IFERROR(__xludf.DUMMYFUNCTION("""COMPUTED_VALUE"""),1.0)</f>
        <v>1</v>
      </c>
      <c r="C290" s="2">
        <f>IFERROR(__xludf.DUMMYFUNCTION("""COMPUTED_VALUE"""),518.0)</f>
        <v>518</v>
      </c>
      <c r="D290" s="3">
        <f>IFERROR(__xludf.DUMMYFUNCTION("""COMPUTED_VALUE"""),57.0)</f>
        <v>57</v>
      </c>
      <c r="E290" s="2"/>
      <c r="F290" s="2"/>
    </row>
    <row r="291">
      <c r="A291" s="2">
        <f>IFERROR(__xludf.DUMMYFUNCTION("""COMPUTED_VALUE"""),112850.0)</f>
        <v>112850</v>
      </c>
      <c r="B291" s="2">
        <f>IFERROR(__xludf.DUMMYFUNCTION("""COMPUTED_VALUE"""),1.0)</f>
        <v>1</v>
      </c>
      <c r="C291" s="2">
        <f>IFERROR(__xludf.DUMMYFUNCTION("""COMPUTED_VALUE"""),410.0)</f>
        <v>410</v>
      </c>
      <c r="D291" s="3">
        <f>IFERROR(__xludf.DUMMYFUNCTION("""COMPUTED_VALUE"""),235.0)</f>
        <v>235</v>
      </c>
      <c r="E291" s="2"/>
      <c r="F291" s="2"/>
    </row>
    <row r="292">
      <c r="A292" s="2">
        <f>IFERROR(__xludf.DUMMYFUNCTION("""COMPUTED_VALUE"""),120702.0)</f>
        <v>120702</v>
      </c>
      <c r="B292" s="2">
        <f>IFERROR(__xludf.DUMMYFUNCTION("""COMPUTED_VALUE"""),1.0)</f>
        <v>1</v>
      </c>
      <c r="C292" s="2">
        <f>IFERROR(__xludf.DUMMYFUNCTION("""COMPUTED_VALUE"""),161.0)</f>
        <v>161</v>
      </c>
      <c r="D292" s="3">
        <f>IFERROR(__xludf.DUMMYFUNCTION("""COMPUTED_VALUE"""),137.0)</f>
        <v>137</v>
      </c>
      <c r="E292" s="2"/>
      <c r="F292" s="2"/>
    </row>
    <row r="293">
      <c r="A293" s="2">
        <f>IFERROR(__xludf.DUMMYFUNCTION("""COMPUTED_VALUE"""),91860.0)</f>
        <v>91860</v>
      </c>
      <c r="B293" s="2">
        <f>IFERROR(__xludf.DUMMYFUNCTION("""COMPUTED_VALUE"""),0.0)</f>
        <v>0</v>
      </c>
      <c r="C293" s="2">
        <f>IFERROR(__xludf.DUMMYFUNCTION("""COMPUTED_VALUE"""),875.0)</f>
        <v>875</v>
      </c>
      <c r="D293" s="3">
        <f>IFERROR(__xludf.DUMMYFUNCTION("""COMPUTED_VALUE"""),129.0)</f>
        <v>129</v>
      </c>
      <c r="E293" s="2"/>
      <c r="F293" s="2"/>
    </row>
    <row r="294">
      <c r="A294" s="2">
        <f>IFERROR(__xludf.DUMMYFUNCTION("""COMPUTED_VALUE"""),9716.0)</f>
        <v>9716</v>
      </c>
      <c r="B294" s="2">
        <f>IFERROR(__xludf.DUMMYFUNCTION("""COMPUTED_VALUE"""),0.0)</f>
        <v>0</v>
      </c>
      <c r="C294" s="2">
        <f>IFERROR(__xludf.DUMMYFUNCTION("""COMPUTED_VALUE"""),256.0)</f>
        <v>256</v>
      </c>
      <c r="D294" s="3">
        <f>IFERROR(__xludf.DUMMYFUNCTION("""COMPUTED_VALUE"""),209.0)</f>
        <v>209</v>
      </c>
      <c r="E294" s="2"/>
      <c r="F294" s="2"/>
    </row>
    <row r="295">
      <c r="A295" s="2">
        <f>IFERROR(__xludf.DUMMYFUNCTION("""COMPUTED_VALUE"""),77135.0)</f>
        <v>77135</v>
      </c>
      <c r="B295" s="2">
        <f>IFERROR(__xludf.DUMMYFUNCTION("""COMPUTED_VALUE"""),0.0)</f>
        <v>0</v>
      </c>
      <c r="C295" s="2">
        <f>IFERROR(__xludf.DUMMYFUNCTION("""COMPUTED_VALUE"""),108.0)</f>
        <v>108</v>
      </c>
      <c r="D295" s="3">
        <f>IFERROR(__xludf.DUMMYFUNCTION("""COMPUTED_VALUE"""),100.0)</f>
        <v>100</v>
      </c>
      <c r="E295" s="2"/>
      <c r="F295" s="2"/>
    </row>
    <row r="296">
      <c r="A296" s="2">
        <f>IFERROR(__xludf.DUMMYFUNCTION("""COMPUTED_VALUE"""),91857.0)</f>
        <v>91857</v>
      </c>
      <c r="B296" s="2">
        <f>IFERROR(__xludf.DUMMYFUNCTION("""COMPUTED_VALUE"""),1.0)</f>
        <v>1</v>
      </c>
      <c r="C296" s="2">
        <f>IFERROR(__xludf.DUMMYFUNCTION("""COMPUTED_VALUE"""),67.0)</f>
        <v>67</v>
      </c>
      <c r="D296" s="3">
        <f>IFERROR(__xludf.DUMMYFUNCTION("""COMPUTED_VALUE"""),22.0)</f>
        <v>22</v>
      </c>
      <c r="E296" s="2"/>
      <c r="F296" s="2"/>
    </row>
    <row r="297">
      <c r="A297" s="2">
        <f>IFERROR(__xludf.DUMMYFUNCTION("""COMPUTED_VALUE"""),76429.0)</f>
        <v>76429</v>
      </c>
      <c r="B297" s="2">
        <f>IFERROR(__xludf.DUMMYFUNCTION("""COMPUTED_VALUE"""),0.0)</f>
        <v>0</v>
      </c>
      <c r="C297" s="2">
        <f>IFERROR(__xludf.DUMMYFUNCTION("""COMPUTED_VALUE"""),518.0)</f>
        <v>518</v>
      </c>
      <c r="D297" s="3">
        <f>IFERROR(__xludf.DUMMYFUNCTION("""COMPUTED_VALUE"""),381.0)</f>
        <v>381</v>
      </c>
      <c r="E297" s="2"/>
      <c r="F297" s="2"/>
    </row>
    <row r="298">
      <c r="A298" s="2">
        <f>IFERROR(__xludf.DUMMYFUNCTION("""COMPUTED_VALUE"""),122507.0)</f>
        <v>122507</v>
      </c>
      <c r="B298" s="2">
        <f>IFERROR(__xludf.DUMMYFUNCTION("""COMPUTED_VALUE"""),0.0)</f>
        <v>0</v>
      </c>
      <c r="C298" s="2">
        <f>IFERROR(__xludf.DUMMYFUNCTION("""COMPUTED_VALUE"""),758.0)</f>
        <v>758</v>
      </c>
      <c r="D298" s="3">
        <f>IFERROR(__xludf.DUMMYFUNCTION("""COMPUTED_VALUE"""),31.0)</f>
        <v>31</v>
      </c>
      <c r="E298" s="2"/>
      <c r="F298" s="2"/>
    </row>
    <row r="299">
      <c r="A299" s="2">
        <f>IFERROR(__xludf.DUMMYFUNCTION("""COMPUTED_VALUE"""),77844.0)</f>
        <v>77844</v>
      </c>
      <c r="B299" s="2">
        <f>IFERROR(__xludf.DUMMYFUNCTION("""COMPUTED_VALUE"""),0.0)</f>
        <v>0</v>
      </c>
      <c r="C299" s="2">
        <f>IFERROR(__xludf.DUMMYFUNCTION("""COMPUTED_VALUE"""),347.0)</f>
        <v>347</v>
      </c>
      <c r="D299" s="3">
        <f>IFERROR(__xludf.DUMMYFUNCTION("""COMPUTED_VALUE"""),255.0)</f>
        <v>255</v>
      </c>
      <c r="E299" s="2"/>
      <c r="F299" s="2"/>
    </row>
    <row r="300">
      <c r="A300" s="2">
        <f>IFERROR(__xludf.DUMMYFUNCTION("""COMPUTED_VALUE"""),100041.0)</f>
        <v>100041</v>
      </c>
      <c r="B300" s="2">
        <f>IFERROR(__xludf.DUMMYFUNCTION("""COMPUTED_VALUE"""),0.0)</f>
        <v>0</v>
      </c>
      <c r="C300" s="2">
        <f>IFERROR(__xludf.DUMMYFUNCTION("""COMPUTED_VALUE"""),778.0)</f>
        <v>778</v>
      </c>
      <c r="D300" s="3">
        <f>IFERROR(__xludf.DUMMYFUNCTION("""COMPUTED_VALUE"""),526.0)</f>
        <v>526</v>
      </c>
      <c r="E300" s="2"/>
      <c r="F300" s="2"/>
    </row>
    <row r="301">
      <c r="A301" s="2">
        <f>IFERROR(__xludf.DUMMYFUNCTION("""COMPUTED_VALUE"""),111591.0)</f>
        <v>111591</v>
      </c>
      <c r="B301" s="2">
        <f>IFERROR(__xludf.DUMMYFUNCTION("""COMPUTED_VALUE"""),0.0)</f>
        <v>0</v>
      </c>
      <c r="C301" s="2">
        <f>IFERROR(__xludf.DUMMYFUNCTION("""COMPUTED_VALUE"""),982.0)</f>
        <v>982</v>
      </c>
      <c r="D301" s="3">
        <f>IFERROR(__xludf.DUMMYFUNCTION("""COMPUTED_VALUE"""),241.0)</f>
        <v>241</v>
      </c>
      <c r="E301" s="2"/>
      <c r="F301" s="2"/>
    </row>
    <row r="302">
      <c r="A302" s="2">
        <f>IFERROR(__xludf.DUMMYFUNCTION("""COMPUTED_VALUE"""),128329.0)</f>
        <v>128329</v>
      </c>
      <c r="B302" s="2">
        <f>IFERROR(__xludf.DUMMYFUNCTION("""COMPUTED_VALUE"""),1.0)</f>
        <v>1</v>
      </c>
      <c r="C302" s="2">
        <f>IFERROR(__xludf.DUMMYFUNCTION("""COMPUTED_VALUE"""),158.0)</f>
        <v>158</v>
      </c>
      <c r="D302" s="3">
        <f>IFERROR(__xludf.DUMMYFUNCTION("""COMPUTED_VALUE"""),152.0)</f>
        <v>152</v>
      </c>
      <c r="E302" s="2"/>
      <c r="F302" s="2"/>
    </row>
    <row r="303">
      <c r="A303" s="2">
        <f>IFERROR(__xludf.DUMMYFUNCTION("""COMPUTED_VALUE"""),147268.0)</f>
        <v>147268</v>
      </c>
      <c r="B303" s="2">
        <f>IFERROR(__xludf.DUMMYFUNCTION("""COMPUTED_VALUE"""),0.0)</f>
        <v>0</v>
      </c>
      <c r="C303" s="2">
        <f>IFERROR(__xludf.DUMMYFUNCTION("""COMPUTED_VALUE"""),574.0)</f>
        <v>574</v>
      </c>
      <c r="D303" s="3">
        <f>IFERROR(__xludf.DUMMYFUNCTION("""COMPUTED_VALUE"""),363.0)</f>
        <v>363</v>
      </c>
      <c r="E303" s="2"/>
      <c r="F303" s="2"/>
    </row>
    <row r="304">
      <c r="A304" s="2">
        <f>IFERROR(__xludf.DUMMYFUNCTION("""COMPUTED_VALUE"""),48511.0)</f>
        <v>48511</v>
      </c>
      <c r="B304" s="2">
        <f>IFERROR(__xludf.DUMMYFUNCTION("""COMPUTED_VALUE"""),1.0)</f>
        <v>1</v>
      </c>
      <c r="C304" s="2">
        <f>IFERROR(__xludf.DUMMYFUNCTION("""COMPUTED_VALUE"""),881.0)</f>
        <v>881</v>
      </c>
      <c r="D304" s="3">
        <f>IFERROR(__xludf.DUMMYFUNCTION("""COMPUTED_VALUE"""),328.0)</f>
        <v>328</v>
      </c>
      <c r="E304" s="2"/>
      <c r="F304" s="2"/>
    </row>
    <row r="305">
      <c r="A305" s="2">
        <f>IFERROR(__xludf.DUMMYFUNCTION("""COMPUTED_VALUE"""),100040.0)</f>
        <v>100040</v>
      </c>
      <c r="B305" s="2">
        <f>IFERROR(__xludf.DUMMYFUNCTION("""COMPUTED_VALUE"""),0.0)</f>
        <v>0</v>
      </c>
      <c r="C305" s="2">
        <f>IFERROR(__xludf.DUMMYFUNCTION("""COMPUTED_VALUE"""),722.0)</f>
        <v>722</v>
      </c>
      <c r="D305" s="3">
        <f>IFERROR(__xludf.DUMMYFUNCTION("""COMPUTED_VALUE"""),165.0)</f>
        <v>165</v>
      </c>
      <c r="E305" s="2"/>
      <c r="F305" s="2"/>
    </row>
    <row r="306">
      <c r="A306" s="2">
        <f>IFERROR(__xludf.DUMMYFUNCTION("""COMPUTED_VALUE"""),79366.0)</f>
        <v>79366</v>
      </c>
      <c r="B306" s="2">
        <f>IFERROR(__xludf.DUMMYFUNCTION("""COMPUTED_VALUE"""),0.0)</f>
        <v>0</v>
      </c>
      <c r="C306" s="2">
        <f>IFERROR(__xludf.DUMMYFUNCTION("""COMPUTED_VALUE"""),698.0)</f>
        <v>698</v>
      </c>
      <c r="D306" s="3">
        <f>IFERROR(__xludf.DUMMYFUNCTION("""COMPUTED_VALUE"""),175.0)</f>
        <v>175</v>
      </c>
      <c r="E306" s="2"/>
      <c r="F306" s="2"/>
    </row>
    <row r="307">
      <c r="A307" s="2">
        <f>IFERROR(__xludf.DUMMYFUNCTION("""COMPUTED_VALUE"""),160754.0)</f>
        <v>160754</v>
      </c>
      <c r="B307" s="2">
        <f>IFERROR(__xludf.DUMMYFUNCTION("""COMPUTED_VALUE"""),1.0)</f>
        <v>1</v>
      </c>
      <c r="C307" s="2">
        <f>IFERROR(__xludf.DUMMYFUNCTION("""COMPUTED_VALUE"""),797.0)</f>
        <v>797</v>
      </c>
      <c r="D307" s="3">
        <f>IFERROR(__xludf.DUMMYFUNCTION("""COMPUTED_VALUE"""),744.0)</f>
        <v>744</v>
      </c>
      <c r="E307" s="2"/>
      <c r="F307" s="2"/>
    </row>
    <row r="308">
      <c r="A308" s="2">
        <f>IFERROR(__xludf.DUMMYFUNCTION("""COMPUTED_VALUE"""),100038.0)</f>
        <v>100038</v>
      </c>
      <c r="B308" s="2">
        <f>IFERROR(__xludf.DUMMYFUNCTION("""COMPUTED_VALUE"""),0.0)</f>
        <v>0</v>
      </c>
      <c r="C308" s="2">
        <f>IFERROR(__xludf.DUMMYFUNCTION("""COMPUTED_VALUE"""),772.0)</f>
        <v>772</v>
      </c>
      <c r="D308" s="3">
        <f>IFERROR(__xludf.DUMMYFUNCTION("""COMPUTED_VALUE"""),265.0)</f>
        <v>265</v>
      </c>
      <c r="E308" s="2"/>
      <c r="F308" s="2"/>
    </row>
    <row r="309">
      <c r="A309" s="2">
        <f>IFERROR(__xludf.DUMMYFUNCTION("""COMPUTED_VALUE"""),100035.0)</f>
        <v>100035</v>
      </c>
      <c r="B309" s="2">
        <f>IFERROR(__xludf.DUMMYFUNCTION("""COMPUTED_VALUE"""),1.0)</f>
        <v>1</v>
      </c>
      <c r="C309" s="2">
        <f>IFERROR(__xludf.DUMMYFUNCTION("""COMPUTED_VALUE"""),851.0)</f>
        <v>851</v>
      </c>
      <c r="D309" s="3">
        <f>IFERROR(__xludf.DUMMYFUNCTION("""COMPUTED_VALUE"""),435.0)</f>
        <v>435</v>
      </c>
      <c r="E309" s="2"/>
      <c r="F309" s="2"/>
    </row>
    <row r="310">
      <c r="A310" s="2">
        <f>IFERROR(__xludf.DUMMYFUNCTION("""COMPUTED_VALUE"""),29654.0)</f>
        <v>29654</v>
      </c>
      <c r="B310" s="2">
        <f>IFERROR(__xludf.DUMMYFUNCTION("""COMPUTED_VALUE"""),0.0)</f>
        <v>0</v>
      </c>
      <c r="C310" s="2">
        <f>IFERROR(__xludf.DUMMYFUNCTION("""COMPUTED_VALUE"""),53.0)</f>
        <v>53</v>
      </c>
      <c r="D310" s="3">
        <f>IFERROR(__xludf.DUMMYFUNCTION("""COMPUTED_VALUE"""),24.0)</f>
        <v>24</v>
      </c>
      <c r="E310" s="2"/>
      <c r="F310" s="2"/>
    </row>
    <row r="311">
      <c r="A311" s="2">
        <f>IFERROR(__xludf.DUMMYFUNCTION("""COMPUTED_VALUE"""),107804.0)</f>
        <v>107804</v>
      </c>
      <c r="B311" s="2">
        <f>IFERROR(__xludf.DUMMYFUNCTION("""COMPUTED_VALUE"""),1.0)</f>
        <v>1</v>
      </c>
      <c r="C311" s="2">
        <f>IFERROR(__xludf.DUMMYFUNCTION("""COMPUTED_VALUE"""),338.0)</f>
        <v>338</v>
      </c>
      <c r="D311" s="3">
        <f>IFERROR(__xludf.DUMMYFUNCTION("""COMPUTED_VALUE"""),181.0)</f>
        <v>181</v>
      </c>
      <c r="E311" s="2"/>
      <c r="F311" s="2"/>
    </row>
    <row r="312">
      <c r="A312" s="2">
        <f>IFERROR(__xludf.DUMMYFUNCTION("""COMPUTED_VALUE"""),75809.0)</f>
        <v>75809</v>
      </c>
      <c r="B312" s="2">
        <f>IFERROR(__xludf.DUMMYFUNCTION("""COMPUTED_VALUE"""),1.0)</f>
        <v>1</v>
      </c>
      <c r="C312" s="2">
        <f>IFERROR(__xludf.DUMMYFUNCTION("""COMPUTED_VALUE"""),988.0)</f>
        <v>988</v>
      </c>
      <c r="D312" s="3">
        <f>IFERROR(__xludf.DUMMYFUNCTION("""COMPUTED_VALUE"""),42.0)</f>
        <v>42</v>
      </c>
      <c r="E312" s="2"/>
      <c r="F312" s="2"/>
    </row>
    <row r="313">
      <c r="A313" s="2">
        <f>IFERROR(__xludf.DUMMYFUNCTION("""COMPUTED_VALUE"""),128325.0)</f>
        <v>128325</v>
      </c>
      <c r="B313" s="2">
        <f>IFERROR(__xludf.DUMMYFUNCTION("""COMPUTED_VALUE"""),1.0)</f>
        <v>1</v>
      </c>
      <c r="C313" s="2">
        <f>IFERROR(__xludf.DUMMYFUNCTION("""COMPUTED_VALUE"""),869.0)</f>
        <v>869</v>
      </c>
      <c r="D313" s="3">
        <f>IFERROR(__xludf.DUMMYFUNCTION("""COMPUTED_VALUE"""),485.0)</f>
        <v>485</v>
      </c>
      <c r="E313" s="2"/>
      <c r="F313" s="2"/>
    </row>
    <row r="314">
      <c r="A314" s="2">
        <f>IFERROR(__xludf.DUMMYFUNCTION("""COMPUTED_VALUE"""),110072.0)</f>
        <v>110072</v>
      </c>
      <c r="B314" s="2">
        <f>IFERROR(__xludf.DUMMYFUNCTION("""COMPUTED_VALUE"""),1.0)</f>
        <v>1</v>
      </c>
      <c r="C314" s="2">
        <f>IFERROR(__xludf.DUMMYFUNCTION("""COMPUTED_VALUE"""),120.0)</f>
        <v>120</v>
      </c>
      <c r="D314" s="3">
        <f>IFERROR(__xludf.DUMMYFUNCTION("""COMPUTED_VALUE"""),83.0)</f>
        <v>83</v>
      </c>
      <c r="E314" s="2"/>
      <c r="F314" s="2"/>
    </row>
    <row r="315">
      <c r="A315" s="2">
        <f>IFERROR(__xludf.DUMMYFUNCTION("""COMPUTED_VALUE"""),93814.0)</f>
        <v>93814</v>
      </c>
      <c r="B315" s="2">
        <f>IFERROR(__xludf.DUMMYFUNCTION("""COMPUTED_VALUE"""),1.0)</f>
        <v>1</v>
      </c>
      <c r="C315" s="2">
        <f>IFERROR(__xludf.DUMMYFUNCTION("""COMPUTED_VALUE"""),712.0)</f>
        <v>712</v>
      </c>
      <c r="D315" s="3">
        <f>IFERROR(__xludf.DUMMYFUNCTION("""COMPUTED_VALUE"""),494.0)</f>
        <v>494</v>
      </c>
      <c r="E315" s="2"/>
      <c r="F315" s="2"/>
    </row>
    <row r="316">
      <c r="A316" s="2">
        <f>IFERROR(__xludf.DUMMYFUNCTION("""COMPUTED_VALUE"""),128326.0)</f>
        <v>128326</v>
      </c>
      <c r="B316" s="2">
        <f>IFERROR(__xludf.DUMMYFUNCTION("""COMPUTED_VALUE"""),0.0)</f>
        <v>0</v>
      </c>
      <c r="C316" s="2">
        <f>IFERROR(__xludf.DUMMYFUNCTION("""COMPUTED_VALUE"""),918.0)</f>
        <v>918</v>
      </c>
      <c r="D316" s="3">
        <f>IFERROR(__xludf.DUMMYFUNCTION("""COMPUTED_VALUE"""),94.0)</f>
        <v>94</v>
      </c>
      <c r="E316" s="2"/>
      <c r="F316" s="2"/>
    </row>
    <row r="317">
      <c r="A317" s="2">
        <f>IFERROR(__xludf.DUMMYFUNCTION("""COMPUTED_VALUE"""),48510.0)</f>
        <v>48510</v>
      </c>
      <c r="B317" s="2">
        <f>IFERROR(__xludf.DUMMYFUNCTION("""COMPUTED_VALUE"""),0.0)</f>
        <v>0</v>
      </c>
      <c r="C317" s="2">
        <f>IFERROR(__xludf.DUMMYFUNCTION("""COMPUTED_VALUE"""),934.0)</f>
        <v>934</v>
      </c>
      <c r="D317" s="3">
        <f>IFERROR(__xludf.DUMMYFUNCTION("""COMPUTED_VALUE"""),614.0)</f>
        <v>614</v>
      </c>
      <c r="E317" s="2"/>
      <c r="F317" s="2"/>
    </row>
    <row r="318">
      <c r="A318" s="2">
        <f>IFERROR(__xludf.DUMMYFUNCTION("""COMPUTED_VALUE"""),82463.0)</f>
        <v>82463</v>
      </c>
      <c r="B318" s="2">
        <f>IFERROR(__xludf.DUMMYFUNCTION("""COMPUTED_VALUE"""),1.0)</f>
        <v>1</v>
      </c>
      <c r="C318" s="2">
        <f>IFERROR(__xludf.DUMMYFUNCTION("""COMPUTED_VALUE"""),503.0)</f>
        <v>503</v>
      </c>
      <c r="D318" s="3">
        <f>IFERROR(__xludf.DUMMYFUNCTION("""COMPUTED_VALUE"""),200.0)</f>
        <v>200</v>
      </c>
      <c r="E318" s="2"/>
      <c r="F318" s="2"/>
    </row>
    <row r="319">
      <c r="A319" s="2">
        <f>IFERROR(__xludf.DUMMYFUNCTION("""COMPUTED_VALUE"""),82462.0)</f>
        <v>82462</v>
      </c>
      <c r="B319" s="2">
        <f>IFERROR(__xludf.DUMMYFUNCTION("""COMPUTED_VALUE"""),1.0)</f>
        <v>1</v>
      </c>
      <c r="C319" s="2">
        <f>IFERROR(__xludf.DUMMYFUNCTION("""COMPUTED_VALUE"""),128.0)</f>
        <v>128</v>
      </c>
      <c r="D319" s="3">
        <f>IFERROR(__xludf.DUMMYFUNCTION("""COMPUTED_VALUE"""),60.0)</f>
        <v>60</v>
      </c>
      <c r="E319" s="2"/>
      <c r="F319" s="2"/>
    </row>
    <row r="320">
      <c r="A320" s="2">
        <f>IFERROR(__xludf.DUMMYFUNCTION("""COMPUTED_VALUE"""),110635.0)</f>
        <v>110635</v>
      </c>
      <c r="B320" s="2">
        <f>IFERROR(__xludf.DUMMYFUNCTION("""COMPUTED_VALUE"""),0.0)</f>
        <v>0</v>
      </c>
      <c r="C320" s="2">
        <f>IFERROR(__xludf.DUMMYFUNCTION("""COMPUTED_VALUE"""),651.0)</f>
        <v>651</v>
      </c>
      <c r="D320" s="3">
        <f>IFERROR(__xludf.DUMMYFUNCTION("""COMPUTED_VALUE"""),54.0)</f>
        <v>54</v>
      </c>
      <c r="E320" s="2"/>
      <c r="F320" s="2"/>
    </row>
    <row r="321">
      <c r="A321" s="2">
        <f>IFERROR(__xludf.DUMMYFUNCTION("""COMPUTED_VALUE"""),82464.0)</f>
        <v>82464</v>
      </c>
      <c r="B321" s="2">
        <f>IFERROR(__xludf.DUMMYFUNCTION("""COMPUTED_VALUE"""),1.0)</f>
        <v>1</v>
      </c>
      <c r="C321" s="2">
        <f>IFERROR(__xludf.DUMMYFUNCTION("""COMPUTED_VALUE"""),207.0)</f>
        <v>207</v>
      </c>
      <c r="D321" s="3">
        <f>IFERROR(__xludf.DUMMYFUNCTION("""COMPUTED_VALUE"""),157.0)</f>
        <v>157</v>
      </c>
      <c r="E321" s="2"/>
      <c r="F321" s="2"/>
    </row>
    <row r="322">
      <c r="A322" s="2">
        <f>IFERROR(__xludf.DUMMYFUNCTION("""COMPUTED_VALUE"""),129133.0)</f>
        <v>129133</v>
      </c>
      <c r="B322" s="2">
        <f>IFERROR(__xludf.DUMMYFUNCTION("""COMPUTED_VALUE"""),0.0)</f>
        <v>0</v>
      </c>
      <c r="C322" s="2">
        <f>IFERROR(__xludf.DUMMYFUNCTION("""COMPUTED_VALUE"""),844.0)</f>
        <v>844</v>
      </c>
      <c r="D322" s="3">
        <f>IFERROR(__xludf.DUMMYFUNCTION("""COMPUTED_VALUE"""),236.0)</f>
        <v>236</v>
      </c>
      <c r="E322" s="2"/>
      <c r="F322" s="2"/>
    </row>
    <row r="323">
      <c r="A323" s="2">
        <f>IFERROR(__xludf.DUMMYFUNCTION("""COMPUTED_VALUE"""),195081.0)</f>
        <v>195081</v>
      </c>
      <c r="B323" s="2">
        <f>IFERROR(__xludf.DUMMYFUNCTION("""COMPUTED_VALUE"""),1.0)</f>
        <v>1</v>
      </c>
      <c r="C323" s="2">
        <f>IFERROR(__xludf.DUMMYFUNCTION("""COMPUTED_VALUE"""),510.0)</f>
        <v>510</v>
      </c>
      <c r="D323" s="3">
        <f>IFERROR(__xludf.DUMMYFUNCTION("""COMPUTED_VALUE"""),458.0)</f>
        <v>458</v>
      </c>
      <c r="E323" s="2"/>
      <c r="F323" s="2"/>
    </row>
    <row r="324">
      <c r="A324" s="2">
        <f>IFERROR(__xludf.DUMMYFUNCTION("""COMPUTED_VALUE"""),92669.0)</f>
        <v>92669</v>
      </c>
      <c r="B324" s="2">
        <f>IFERROR(__xludf.DUMMYFUNCTION("""COMPUTED_VALUE"""),0.0)</f>
        <v>0</v>
      </c>
      <c r="C324" s="2">
        <f>IFERROR(__xludf.DUMMYFUNCTION("""COMPUTED_VALUE"""),12.0)</f>
        <v>12</v>
      </c>
      <c r="D324" s="3">
        <f>IFERROR(__xludf.DUMMYFUNCTION("""COMPUTED_VALUE"""),12.0)</f>
        <v>12</v>
      </c>
      <c r="E324" s="2"/>
      <c r="F324" s="2"/>
    </row>
    <row r="325">
      <c r="A325" s="2">
        <f>IFERROR(__xludf.DUMMYFUNCTION("""COMPUTED_VALUE"""),122089.0)</f>
        <v>122089</v>
      </c>
      <c r="B325" s="2">
        <f>IFERROR(__xludf.DUMMYFUNCTION("""COMPUTED_VALUE"""),1.0)</f>
        <v>1</v>
      </c>
      <c r="C325" s="2">
        <f>IFERROR(__xludf.DUMMYFUNCTION("""COMPUTED_VALUE"""),779.0)</f>
        <v>779</v>
      </c>
      <c r="D325" s="3">
        <f>IFERROR(__xludf.DUMMYFUNCTION("""COMPUTED_VALUE"""),6.0)</f>
        <v>6</v>
      </c>
      <c r="E325" s="2"/>
      <c r="F325" s="2"/>
    </row>
    <row r="326">
      <c r="A326" s="2">
        <f>IFERROR(__xludf.DUMMYFUNCTION("""COMPUTED_VALUE"""),95927.0)</f>
        <v>95927</v>
      </c>
      <c r="B326" s="2">
        <f>IFERROR(__xludf.DUMMYFUNCTION("""COMPUTED_VALUE"""),1.0)</f>
        <v>1</v>
      </c>
      <c r="C326" s="2">
        <f>IFERROR(__xludf.DUMMYFUNCTION("""COMPUTED_VALUE"""),464.0)</f>
        <v>464</v>
      </c>
      <c r="D326" s="3">
        <f>IFERROR(__xludf.DUMMYFUNCTION("""COMPUTED_VALUE"""),158.0)</f>
        <v>158</v>
      </c>
      <c r="E326" s="2"/>
      <c r="F326" s="2"/>
    </row>
    <row r="327">
      <c r="A327" s="2">
        <f>IFERROR(__xludf.DUMMYFUNCTION("""COMPUTED_VALUE"""),160756.0)</f>
        <v>160756</v>
      </c>
      <c r="B327" s="2">
        <f>IFERROR(__xludf.DUMMYFUNCTION("""COMPUTED_VALUE"""),1.0)</f>
        <v>1</v>
      </c>
      <c r="C327" s="2">
        <f>IFERROR(__xludf.DUMMYFUNCTION("""COMPUTED_VALUE"""),763.0)</f>
        <v>763</v>
      </c>
      <c r="D327" s="3">
        <f>IFERROR(__xludf.DUMMYFUNCTION("""COMPUTED_VALUE"""),308.0)</f>
        <v>308</v>
      </c>
      <c r="E327" s="2"/>
      <c r="F327" s="2"/>
    </row>
    <row r="328">
      <c r="A328" s="2">
        <f>IFERROR(__xludf.DUMMYFUNCTION("""COMPUTED_VALUE"""),147267.0)</f>
        <v>147267</v>
      </c>
      <c r="B328" s="2">
        <f>IFERROR(__xludf.DUMMYFUNCTION("""COMPUTED_VALUE"""),1.0)</f>
        <v>1</v>
      </c>
      <c r="C328" s="2">
        <f>IFERROR(__xludf.DUMMYFUNCTION("""COMPUTED_VALUE"""),564.0)</f>
        <v>564</v>
      </c>
      <c r="D328" s="3">
        <f>IFERROR(__xludf.DUMMYFUNCTION("""COMPUTED_VALUE"""),417.0)</f>
        <v>417</v>
      </c>
      <c r="E328" s="2"/>
      <c r="F328" s="2"/>
    </row>
    <row r="329">
      <c r="A329" s="2">
        <f>IFERROR(__xludf.DUMMYFUNCTION("""COMPUTED_VALUE"""),160747.0)</f>
        <v>160747</v>
      </c>
      <c r="B329" s="2">
        <f>IFERROR(__xludf.DUMMYFUNCTION("""COMPUTED_VALUE"""),0.0)</f>
        <v>0</v>
      </c>
      <c r="C329" s="2">
        <f>IFERROR(__xludf.DUMMYFUNCTION("""COMPUTED_VALUE"""),915.0)</f>
        <v>915</v>
      </c>
      <c r="D329" s="3">
        <f>IFERROR(__xludf.DUMMYFUNCTION("""COMPUTED_VALUE"""),889.0)</f>
        <v>889</v>
      </c>
      <c r="E329" s="2"/>
      <c r="F329" s="2"/>
    </row>
    <row r="330">
      <c r="A330" s="2">
        <f>IFERROR(__xludf.DUMMYFUNCTION("""COMPUTED_VALUE"""),79365.0)</f>
        <v>79365</v>
      </c>
      <c r="B330" s="2">
        <f>IFERROR(__xludf.DUMMYFUNCTION("""COMPUTED_VALUE"""),1.0)</f>
        <v>1</v>
      </c>
      <c r="C330" s="2">
        <f>IFERROR(__xludf.DUMMYFUNCTION("""COMPUTED_VALUE"""),161.0)</f>
        <v>161</v>
      </c>
      <c r="D330" s="3">
        <f>IFERROR(__xludf.DUMMYFUNCTION("""COMPUTED_VALUE"""),82.0)</f>
        <v>82</v>
      </c>
      <c r="E330" s="2"/>
      <c r="F330" s="2"/>
    </row>
    <row r="331">
      <c r="A331" s="2">
        <f>IFERROR(__xludf.DUMMYFUNCTION("""COMPUTED_VALUE"""),110633.0)</f>
        <v>110633</v>
      </c>
      <c r="B331" s="2">
        <f>IFERROR(__xludf.DUMMYFUNCTION("""COMPUTED_VALUE"""),1.0)</f>
        <v>1</v>
      </c>
      <c r="C331" s="2">
        <f>IFERROR(__xludf.DUMMYFUNCTION("""COMPUTED_VALUE"""),325.0)</f>
        <v>325</v>
      </c>
      <c r="D331" s="3">
        <f>IFERROR(__xludf.DUMMYFUNCTION("""COMPUTED_VALUE"""),139.0)</f>
        <v>139</v>
      </c>
      <c r="E331" s="2"/>
      <c r="F331" s="2"/>
    </row>
    <row r="332">
      <c r="A332" s="2">
        <f>IFERROR(__xludf.DUMMYFUNCTION("""COMPUTED_VALUE"""),160750.0)</f>
        <v>160750</v>
      </c>
      <c r="B332" s="2">
        <f>IFERROR(__xludf.DUMMYFUNCTION("""COMPUTED_VALUE"""),0.0)</f>
        <v>0</v>
      </c>
      <c r="C332" s="2">
        <f>IFERROR(__xludf.DUMMYFUNCTION("""COMPUTED_VALUE"""),585.0)</f>
        <v>585</v>
      </c>
      <c r="D332" s="3">
        <f>IFERROR(__xludf.DUMMYFUNCTION("""COMPUTED_VALUE"""),280.0)</f>
        <v>280</v>
      </c>
      <c r="E332" s="2"/>
      <c r="F332" s="2"/>
    </row>
    <row r="333">
      <c r="A333" s="2">
        <f>IFERROR(__xludf.DUMMYFUNCTION("""COMPUTED_VALUE"""),128332.0)</f>
        <v>128332</v>
      </c>
      <c r="B333" s="2">
        <f>IFERROR(__xludf.DUMMYFUNCTION("""COMPUTED_VALUE"""),1.0)</f>
        <v>1</v>
      </c>
      <c r="C333" s="2">
        <f>IFERROR(__xludf.DUMMYFUNCTION("""COMPUTED_VALUE"""),191.0)</f>
        <v>191</v>
      </c>
      <c r="D333" s="3">
        <f>IFERROR(__xludf.DUMMYFUNCTION("""COMPUTED_VALUE"""),173.0)</f>
        <v>173</v>
      </c>
      <c r="E333" s="2"/>
      <c r="F333" s="2"/>
    </row>
    <row r="334">
      <c r="A334" s="2">
        <f>IFERROR(__xludf.DUMMYFUNCTION("""COMPUTED_VALUE"""),200354.0)</f>
        <v>200354</v>
      </c>
      <c r="B334" s="2">
        <f>IFERROR(__xludf.DUMMYFUNCTION("""COMPUTED_VALUE"""),1.0)</f>
        <v>1</v>
      </c>
      <c r="C334" s="2">
        <f>IFERROR(__xludf.DUMMYFUNCTION("""COMPUTED_VALUE"""),354.0)</f>
        <v>354</v>
      </c>
      <c r="D334" s="3">
        <f>IFERROR(__xludf.DUMMYFUNCTION("""COMPUTED_VALUE"""),317.0)</f>
        <v>317</v>
      </c>
      <c r="E334" s="2"/>
      <c r="F334" s="2"/>
    </row>
    <row r="335">
      <c r="A335" s="2">
        <f>IFERROR(__xludf.DUMMYFUNCTION("""COMPUTED_VALUE"""),100042.0)</f>
        <v>100042</v>
      </c>
      <c r="B335" s="2">
        <f>IFERROR(__xludf.DUMMYFUNCTION("""COMPUTED_VALUE"""),0.0)</f>
        <v>0</v>
      </c>
      <c r="C335" s="2">
        <f>IFERROR(__xludf.DUMMYFUNCTION("""COMPUTED_VALUE"""),437.0)</f>
        <v>437</v>
      </c>
      <c r="D335" s="3">
        <f>IFERROR(__xludf.DUMMYFUNCTION("""COMPUTED_VALUE"""),57.0)</f>
        <v>57</v>
      </c>
      <c r="E335" s="2"/>
      <c r="F335" s="2"/>
    </row>
    <row r="336">
      <c r="A336" s="2">
        <f>IFERROR(__xludf.DUMMYFUNCTION("""COMPUTED_VALUE"""),122446.0)</f>
        <v>122446</v>
      </c>
      <c r="B336" s="2">
        <f>IFERROR(__xludf.DUMMYFUNCTION("""COMPUTED_VALUE"""),1.0)</f>
        <v>1</v>
      </c>
      <c r="C336" s="2">
        <f>IFERROR(__xludf.DUMMYFUNCTION("""COMPUTED_VALUE"""),529.0)</f>
        <v>529</v>
      </c>
      <c r="D336" s="3">
        <f>IFERROR(__xludf.DUMMYFUNCTION("""COMPUTED_VALUE"""),177.0)</f>
        <v>177</v>
      </c>
      <c r="E336" s="2"/>
      <c r="F336" s="2"/>
    </row>
    <row r="337">
      <c r="A337" s="2">
        <f>IFERROR(__xludf.DUMMYFUNCTION("""COMPUTED_VALUE"""),160761.0)</f>
        <v>160761</v>
      </c>
      <c r="B337" s="2">
        <f>IFERROR(__xludf.DUMMYFUNCTION("""COMPUTED_VALUE"""),1.0)</f>
        <v>1</v>
      </c>
      <c r="C337" s="2">
        <f>IFERROR(__xludf.DUMMYFUNCTION("""COMPUTED_VALUE"""),484.0)</f>
        <v>484</v>
      </c>
      <c r="D337" s="3">
        <f>IFERROR(__xludf.DUMMYFUNCTION("""COMPUTED_VALUE"""),393.0)</f>
        <v>393</v>
      </c>
      <c r="E337" s="2"/>
      <c r="F337" s="2"/>
    </row>
    <row r="338">
      <c r="A338" s="2">
        <f>IFERROR(__xludf.DUMMYFUNCTION("""COMPUTED_VALUE"""),89503.0)</f>
        <v>89503</v>
      </c>
      <c r="B338" s="2">
        <f>IFERROR(__xludf.DUMMYFUNCTION("""COMPUTED_VALUE"""),0.0)</f>
        <v>0</v>
      </c>
      <c r="C338" s="2">
        <f>IFERROR(__xludf.DUMMYFUNCTION("""COMPUTED_VALUE"""),844.0)</f>
        <v>844</v>
      </c>
      <c r="D338" s="3">
        <f>IFERROR(__xludf.DUMMYFUNCTION("""COMPUTED_VALUE"""),680.0)</f>
        <v>680</v>
      </c>
      <c r="E338" s="2"/>
      <c r="F338" s="2"/>
    </row>
    <row r="339">
      <c r="A339" s="2">
        <f>IFERROR(__xludf.DUMMYFUNCTION("""COMPUTED_VALUE"""),160744.0)</f>
        <v>160744</v>
      </c>
      <c r="B339" s="2">
        <f>IFERROR(__xludf.DUMMYFUNCTION("""COMPUTED_VALUE"""),1.0)</f>
        <v>1</v>
      </c>
      <c r="C339" s="2">
        <f>IFERROR(__xludf.DUMMYFUNCTION("""COMPUTED_VALUE"""),397.0)</f>
        <v>397</v>
      </c>
      <c r="D339" s="3">
        <f>IFERROR(__xludf.DUMMYFUNCTION("""COMPUTED_VALUE"""),321.0)</f>
        <v>321</v>
      </c>
      <c r="E339" s="2"/>
      <c r="F339" s="2"/>
    </row>
    <row r="340">
      <c r="A340" s="2">
        <f>IFERROR(__xludf.DUMMYFUNCTION("""COMPUTED_VALUE"""),111590.0)</f>
        <v>111590</v>
      </c>
      <c r="B340" s="2">
        <f>IFERROR(__xludf.DUMMYFUNCTION("""COMPUTED_VALUE"""),1.0)</f>
        <v>1</v>
      </c>
      <c r="C340" s="2">
        <f>IFERROR(__xludf.DUMMYFUNCTION("""COMPUTED_VALUE"""),35.0)</f>
        <v>35</v>
      </c>
      <c r="D340" s="3">
        <f>IFERROR(__xludf.DUMMYFUNCTION("""COMPUTED_VALUE"""),14.0)</f>
        <v>14</v>
      </c>
      <c r="E340" s="2"/>
      <c r="F340" s="2"/>
    </row>
    <row r="341">
      <c r="A341" s="2">
        <f>IFERROR(__xludf.DUMMYFUNCTION("""COMPUTED_VALUE"""),110070.0)</f>
        <v>110070</v>
      </c>
      <c r="B341" s="2">
        <f>IFERROR(__xludf.DUMMYFUNCTION("""COMPUTED_VALUE"""),0.0)</f>
        <v>0</v>
      </c>
      <c r="C341" s="2">
        <f>IFERROR(__xludf.DUMMYFUNCTION("""COMPUTED_VALUE"""),529.0)</f>
        <v>529</v>
      </c>
      <c r="D341" s="3">
        <f>IFERROR(__xludf.DUMMYFUNCTION("""COMPUTED_VALUE"""),399.0)</f>
        <v>399</v>
      </c>
      <c r="E341" s="2"/>
      <c r="F341" s="2"/>
    </row>
    <row r="342">
      <c r="A342" s="2">
        <f>IFERROR(__xludf.DUMMYFUNCTION("""COMPUTED_VALUE"""),101005.0)</f>
        <v>101005</v>
      </c>
      <c r="B342" s="2">
        <f>IFERROR(__xludf.DUMMYFUNCTION("""COMPUTED_VALUE"""),1.0)</f>
        <v>1</v>
      </c>
      <c r="C342" s="2">
        <f>IFERROR(__xludf.DUMMYFUNCTION("""COMPUTED_VALUE"""),812.0)</f>
        <v>812</v>
      </c>
      <c r="D342" s="3">
        <f>IFERROR(__xludf.DUMMYFUNCTION("""COMPUTED_VALUE"""),332.0)</f>
        <v>332</v>
      </c>
      <c r="E342" s="2"/>
      <c r="F342" s="2"/>
    </row>
    <row r="343">
      <c r="A343" s="2">
        <f>IFERROR(__xludf.DUMMYFUNCTION("""COMPUTED_VALUE"""),160745.0)</f>
        <v>160745</v>
      </c>
      <c r="B343" s="2">
        <f>IFERROR(__xludf.DUMMYFUNCTION("""COMPUTED_VALUE"""),0.0)</f>
        <v>0</v>
      </c>
      <c r="C343" s="2">
        <f>IFERROR(__xludf.DUMMYFUNCTION("""COMPUTED_VALUE"""),158.0)</f>
        <v>158</v>
      </c>
      <c r="D343" s="3">
        <f>IFERROR(__xludf.DUMMYFUNCTION("""COMPUTED_VALUE"""),113.0)</f>
        <v>113</v>
      </c>
      <c r="E343" s="2"/>
      <c r="F343" s="2"/>
    </row>
    <row r="344">
      <c r="A344" s="2">
        <f>IFERROR(__xludf.DUMMYFUNCTION("""COMPUTED_VALUE"""),23073.0)</f>
        <v>23073</v>
      </c>
      <c r="B344" s="2">
        <f>IFERROR(__xludf.DUMMYFUNCTION("""COMPUTED_VALUE"""),1.0)</f>
        <v>1</v>
      </c>
      <c r="C344" s="2">
        <f>IFERROR(__xludf.DUMMYFUNCTION("""COMPUTED_VALUE"""),335.0)</f>
        <v>335</v>
      </c>
      <c r="D344" s="3">
        <f>IFERROR(__xludf.DUMMYFUNCTION("""COMPUTED_VALUE"""),84.0)</f>
        <v>84</v>
      </c>
      <c r="E344" s="2"/>
      <c r="F344" s="2"/>
    </row>
    <row r="345">
      <c r="A345" s="2">
        <f>IFERROR(__xludf.DUMMYFUNCTION("""COMPUTED_VALUE"""),70064.0)</f>
        <v>70064</v>
      </c>
      <c r="B345" s="2">
        <f>IFERROR(__xludf.DUMMYFUNCTION("""COMPUTED_VALUE"""),0.0)</f>
        <v>0</v>
      </c>
      <c r="C345" s="2">
        <f>IFERROR(__xludf.DUMMYFUNCTION("""COMPUTED_VALUE"""),782.0)</f>
        <v>782</v>
      </c>
      <c r="D345" s="3">
        <f>IFERROR(__xludf.DUMMYFUNCTION("""COMPUTED_VALUE"""),251.0)</f>
        <v>251</v>
      </c>
      <c r="E345" s="2"/>
      <c r="F345" s="2"/>
    </row>
    <row r="346">
      <c r="A346" s="2">
        <f>IFERROR(__xludf.DUMMYFUNCTION("""COMPUTED_VALUE"""),129135.0)</f>
        <v>129135</v>
      </c>
      <c r="B346" s="2">
        <f>IFERROR(__xludf.DUMMYFUNCTION("""COMPUTED_VALUE"""),1.0)</f>
        <v>1</v>
      </c>
      <c r="C346" s="2">
        <f>IFERROR(__xludf.DUMMYFUNCTION("""COMPUTED_VALUE"""),941.0)</f>
        <v>941</v>
      </c>
      <c r="D346" s="3">
        <f>IFERROR(__xludf.DUMMYFUNCTION("""COMPUTED_VALUE"""),527.0)</f>
        <v>527</v>
      </c>
      <c r="E346" s="2"/>
      <c r="F346" s="2"/>
    </row>
    <row r="347">
      <c r="A347" s="2">
        <f>IFERROR(__xludf.DUMMYFUNCTION("""COMPUTED_VALUE"""),104440.0)</f>
        <v>104440</v>
      </c>
      <c r="B347" s="2">
        <f>IFERROR(__xludf.DUMMYFUNCTION("""COMPUTED_VALUE"""),0.0)</f>
        <v>0</v>
      </c>
      <c r="C347" s="2">
        <f>IFERROR(__xludf.DUMMYFUNCTION("""COMPUTED_VALUE"""),912.0)</f>
        <v>912</v>
      </c>
      <c r="D347" s="3">
        <f>IFERROR(__xludf.DUMMYFUNCTION("""COMPUTED_VALUE"""),225.0)</f>
        <v>225</v>
      </c>
      <c r="E347" s="2"/>
      <c r="F347" s="2"/>
    </row>
    <row r="348">
      <c r="A348" s="2">
        <f>IFERROR(__xludf.DUMMYFUNCTION("""COMPUTED_VALUE"""),70063.0)</f>
        <v>70063</v>
      </c>
      <c r="B348" s="2">
        <f>IFERROR(__xludf.DUMMYFUNCTION("""COMPUTED_VALUE"""),1.0)</f>
        <v>1</v>
      </c>
      <c r="C348" s="2">
        <f>IFERROR(__xludf.DUMMYFUNCTION("""COMPUTED_VALUE"""),346.0)</f>
        <v>346</v>
      </c>
      <c r="D348" s="3">
        <f>IFERROR(__xludf.DUMMYFUNCTION("""COMPUTED_VALUE"""),246.0)</f>
        <v>246</v>
      </c>
      <c r="E348" s="2"/>
      <c r="F348" s="2"/>
    </row>
    <row r="349">
      <c r="A349" s="2">
        <f>IFERROR(__xludf.DUMMYFUNCTION("""COMPUTED_VALUE"""),160748.0)</f>
        <v>160748</v>
      </c>
      <c r="B349" s="2">
        <f>IFERROR(__xludf.DUMMYFUNCTION("""COMPUTED_VALUE"""),1.0)</f>
        <v>1</v>
      </c>
      <c r="C349" s="2">
        <f>IFERROR(__xludf.DUMMYFUNCTION("""COMPUTED_VALUE"""),568.0)</f>
        <v>568</v>
      </c>
      <c r="D349" s="3">
        <f>IFERROR(__xludf.DUMMYFUNCTION("""COMPUTED_VALUE"""),292.0)</f>
        <v>292</v>
      </c>
      <c r="E349" s="2"/>
      <c r="F349" s="2"/>
    </row>
    <row r="350">
      <c r="A350" s="2">
        <f>IFERROR(__xludf.DUMMYFUNCTION("""COMPUTED_VALUE"""),181242.0)</f>
        <v>181242</v>
      </c>
      <c r="B350" s="2">
        <f>IFERROR(__xludf.DUMMYFUNCTION("""COMPUTED_VALUE"""),0.0)</f>
        <v>0</v>
      </c>
      <c r="C350" s="2">
        <f>IFERROR(__xludf.DUMMYFUNCTION("""COMPUTED_VALUE"""),710.0)</f>
        <v>710</v>
      </c>
      <c r="D350" s="3">
        <f>IFERROR(__xludf.DUMMYFUNCTION("""COMPUTED_VALUE"""),703.0)</f>
        <v>703</v>
      </c>
      <c r="E350" s="2"/>
      <c r="F350" s="2"/>
    </row>
    <row r="351">
      <c r="A351" s="2">
        <f>IFERROR(__xludf.DUMMYFUNCTION("""COMPUTED_VALUE"""),200323.0)</f>
        <v>200323</v>
      </c>
      <c r="B351" s="2">
        <f>IFERROR(__xludf.DUMMYFUNCTION("""COMPUTED_VALUE"""),1.0)</f>
        <v>1</v>
      </c>
      <c r="C351" s="2">
        <f>IFERROR(__xludf.DUMMYFUNCTION("""COMPUTED_VALUE"""),464.0)</f>
        <v>464</v>
      </c>
      <c r="D351" s="3">
        <f>IFERROR(__xludf.DUMMYFUNCTION("""COMPUTED_VALUE"""),353.0)</f>
        <v>353</v>
      </c>
      <c r="E351" s="2"/>
      <c r="F351" s="2"/>
    </row>
    <row r="352">
      <c r="A352" s="2">
        <f>IFERROR(__xludf.DUMMYFUNCTION("""COMPUTED_VALUE"""),129132.0)</f>
        <v>129132</v>
      </c>
      <c r="B352" s="2">
        <f>IFERROR(__xludf.DUMMYFUNCTION("""COMPUTED_VALUE"""),1.0)</f>
        <v>1</v>
      </c>
      <c r="C352" s="2">
        <f>IFERROR(__xludf.DUMMYFUNCTION("""COMPUTED_VALUE"""),796.0)</f>
        <v>796</v>
      </c>
      <c r="D352" s="3">
        <f>IFERROR(__xludf.DUMMYFUNCTION("""COMPUTED_VALUE"""),260.0)</f>
        <v>260</v>
      </c>
      <c r="E352" s="2"/>
      <c r="F352" s="2"/>
    </row>
    <row r="353">
      <c r="A353" s="2">
        <f>IFERROR(__xludf.DUMMYFUNCTION("""COMPUTED_VALUE"""),160743.0)</f>
        <v>160743</v>
      </c>
      <c r="B353" s="2">
        <f>IFERROR(__xludf.DUMMYFUNCTION("""COMPUTED_VALUE"""),1.0)</f>
        <v>1</v>
      </c>
      <c r="C353" s="2">
        <f>IFERROR(__xludf.DUMMYFUNCTION("""COMPUTED_VALUE"""),780.0)</f>
        <v>780</v>
      </c>
      <c r="D353" s="3">
        <f>IFERROR(__xludf.DUMMYFUNCTION("""COMPUTED_VALUE"""),700.0)</f>
        <v>700</v>
      </c>
      <c r="E353" s="2"/>
      <c r="F353" s="2"/>
    </row>
    <row r="354">
      <c r="A354" s="2">
        <f>IFERROR(__xludf.DUMMYFUNCTION("""COMPUTED_VALUE"""),89610.0)</f>
        <v>89610</v>
      </c>
      <c r="B354" s="2">
        <f>IFERROR(__xludf.DUMMYFUNCTION("""COMPUTED_VALUE"""),0.0)</f>
        <v>0</v>
      </c>
      <c r="C354" s="2">
        <f>IFERROR(__xludf.DUMMYFUNCTION("""COMPUTED_VALUE"""),564.0)</f>
        <v>564</v>
      </c>
      <c r="D354" s="3">
        <f>IFERROR(__xludf.DUMMYFUNCTION("""COMPUTED_VALUE"""),286.0)</f>
        <v>286</v>
      </c>
      <c r="E354" s="2"/>
      <c r="F354" s="2"/>
    </row>
    <row r="355">
      <c r="A355" s="2">
        <f>IFERROR(__xludf.DUMMYFUNCTION("""COMPUTED_VALUE"""),112113.0)</f>
        <v>112113</v>
      </c>
      <c r="B355" s="2">
        <f>IFERROR(__xludf.DUMMYFUNCTION("""COMPUTED_VALUE"""),0.0)</f>
        <v>0</v>
      </c>
      <c r="C355" s="2">
        <f>IFERROR(__xludf.DUMMYFUNCTION("""COMPUTED_VALUE"""),574.0)</f>
        <v>574</v>
      </c>
      <c r="D355" s="3">
        <f>IFERROR(__xludf.DUMMYFUNCTION("""COMPUTED_VALUE"""),417.0)</f>
        <v>417</v>
      </c>
      <c r="E355" s="2"/>
      <c r="F355" s="2"/>
    </row>
    <row r="356">
      <c r="A356" s="2">
        <f>IFERROR(__xludf.DUMMYFUNCTION("""COMPUTED_VALUE"""),107801.0)</f>
        <v>107801</v>
      </c>
      <c r="B356" s="2">
        <f>IFERROR(__xludf.DUMMYFUNCTION("""COMPUTED_VALUE"""),0.0)</f>
        <v>0</v>
      </c>
      <c r="C356" s="2">
        <f>IFERROR(__xludf.DUMMYFUNCTION("""COMPUTED_VALUE"""),898.0)</f>
        <v>898</v>
      </c>
      <c r="D356" s="3">
        <f>IFERROR(__xludf.DUMMYFUNCTION("""COMPUTED_VALUE"""),596.0)</f>
        <v>596</v>
      </c>
      <c r="E356" s="2"/>
      <c r="F356" s="2"/>
    </row>
    <row r="357">
      <c r="A357" s="2">
        <f>IFERROR(__xludf.DUMMYFUNCTION("""COMPUTED_VALUE"""),70065.0)</f>
        <v>70065</v>
      </c>
      <c r="B357" s="2">
        <f>IFERROR(__xludf.DUMMYFUNCTION("""COMPUTED_VALUE"""),0.0)</f>
        <v>0</v>
      </c>
      <c r="C357" s="2">
        <f>IFERROR(__xludf.DUMMYFUNCTION("""COMPUTED_VALUE"""),609.0)</f>
        <v>609</v>
      </c>
      <c r="D357" s="3">
        <f>IFERROR(__xludf.DUMMYFUNCTION("""COMPUTED_VALUE"""),281.0)</f>
        <v>281</v>
      </c>
      <c r="E357" s="2"/>
      <c r="F357" s="2"/>
    </row>
    <row r="358">
      <c r="A358" s="2">
        <f>IFERROR(__xludf.DUMMYFUNCTION("""COMPUTED_VALUE"""),539.0)</f>
        <v>539</v>
      </c>
      <c r="B358" s="2">
        <f>IFERROR(__xludf.DUMMYFUNCTION("""COMPUTED_VALUE"""),0.0)</f>
        <v>0</v>
      </c>
      <c r="C358" s="2">
        <f>IFERROR(__xludf.DUMMYFUNCTION("""COMPUTED_VALUE"""),561.0)</f>
        <v>561</v>
      </c>
      <c r="D358" s="3">
        <f>IFERROR(__xludf.DUMMYFUNCTION("""COMPUTED_VALUE"""),157.0)</f>
        <v>157</v>
      </c>
      <c r="E358" s="2"/>
      <c r="F358" s="2"/>
    </row>
    <row r="359">
      <c r="A359" s="2">
        <f>IFERROR(__xludf.DUMMYFUNCTION("""COMPUTED_VALUE"""),7857.0)</f>
        <v>7857</v>
      </c>
      <c r="B359" s="2">
        <f>IFERROR(__xludf.DUMMYFUNCTION("""COMPUTED_VALUE"""),1.0)</f>
        <v>1</v>
      </c>
      <c r="C359" s="2">
        <f>IFERROR(__xludf.DUMMYFUNCTION("""COMPUTED_VALUE"""),553.0)</f>
        <v>553</v>
      </c>
      <c r="D359" s="3">
        <f>IFERROR(__xludf.DUMMYFUNCTION("""COMPUTED_VALUE"""),451.0)</f>
        <v>451</v>
      </c>
      <c r="E359" s="2"/>
      <c r="F359" s="2"/>
    </row>
    <row r="360">
      <c r="A360" s="2">
        <f>IFERROR(__xludf.DUMMYFUNCTION("""COMPUTED_VALUE"""),111726.0)</f>
        <v>111726</v>
      </c>
      <c r="B360" s="2">
        <f>IFERROR(__xludf.DUMMYFUNCTION("""COMPUTED_VALUE"""),0.0)</f>
        <v>0</v>
      </c>
      <c r="C360" s="2">
        <f>IFERROR(__xludf.DUMMYFUNCTION("""COMPUTED_VALUE"""),767.0)</f>
        <v>767</v>
      </c>
      <c r="D360" s="3">
        <f>IFERROR(__xludf.DUMMYFUNCTION("""COMPUTED_VALUE"""),0.0)</f>
        <v>0</v>
      </c>
      <c r="E360" s="2"/>
      <c r="F360" s="2"/>
    </row>
    <row r="361">
      <c r="A361" s="2">
        <f>IFERROR(__xludf.DUMMYFUNCTION("""COMPUTED_VALUE"""),120992.0)</f>
        <v>120992</v>
      </c>
      <c r="B361" s="2">
        <f>IFERROR(__xludf.DUMMYFUNCTION("""COMPUTED_VALUE"""),1.0)</f>
        <v>1</v>
      </c>
      <c r="C361" s="2">
        <f>IFERROR(__xludf.DUMMYFUNCTION("""COMPUTED_VALUE"""),560.0)</f>
        <v>560</v>
      </c>
      <c r="D361" s="3">
        <f>IFERROR(__xludf.DUMMYFUNCTION("""COMPUTED_VALUE"""),423.0)</f>
        <v>423</v>
      </c>
      <c r="E361" s="2"/>
      <c r="F361" s="2"/>
    </row>
    <row r="362">
      <c r="A362" s="2">
        <f>IFERROR(__xludf.DUMMYFUNCTION("""COMPUTED_VALUE"""),158482.0)</f>
        <v>158482</v>
      </c>
      <c r="B362" s="2">
        <f>IFERROR(__xludf.DUMMYFUNCTION("""COMPUTED_VALUE"""),0.0)</f>
        <v>0</v>
      </c>
      <c r="C362" s="2">
        <f>IFERROR(__xludf.DUMMYFUNCTION("""COMPUTED_VALUE"""),591.0)</f>
        <v>591</v>
      </c>
      <c r="D362" s="3">
        <f>IFERROR(__xludf.DUMMYFUNCTION("""COMPUTED_VALUE"""),361.0)</f>
        <v>361</v>
      </c>
      <c r="E362" s="2"/>
      <c r="F362" s="2"/>
    </row>
    <row r="363">
      <c r="A363" s="2">
        <f>IFERROR(__xludf.DUMMYFUNCTION("""COMPUTED_VALUE"""),193132.0)</f>
        <v>193132</v>
      </c>
      <c r="B363" s="2">
        <f>IFERROR(__xludf.DUMMYFUNCTION("""COMPUTED_VALUE"""),0.0)</f>
        <v>0</v>
      </c>
      <c r="C363" s="2">
        <f>IFERROR(__xludf.DUMMYFUNCTION("""COMPUTED_VALUE"""),454.0)</f>
        <v>454</v>
      </c>
      <c r="D363" s="3">
        <f>IFERROR(__xludf.DUMMYFUNCTION("""COMPUTED_VALUE"""),15.0)</f>
        <v>15</v>
      </c>
      <c r="E363" s="2"/>
      <c r="F363" s="2"/>
    </row>
    <row r="364">
      <c r="A364" s="2">
        <f>IFERROR(__xludf.DUMMYFUNCTION("""COMPUTED_VALUE"""),118901.0)</f>
        <v>118901</v>
      </c>
      <c r="B364" s="2">
        <f>IFERROR(__xludf.DUMMYFUNCTION("""COMPUTED_VALUE"""),0.0)</f>
        <v>0</v>
      </c>
      <c r="C364" s="2">
        <f>IFERROR(__xludf.DUMMYFUNCTION("""COMPUTED_VALUE"""),715.0)</f>
        <v>715</v>
      </c>
      <c r="D364" s="3">
        <f>IFERROR(__xludf.DUMMYFUNCTION("""COMPUTED_VALUE"""),208.0)</f>
        <v>208</v>
      </c>
      <c r="E364" s="2"/>
      <c r="F364" s="2"/>
    </row>
    <row r="365">
      <c r="A365" s="2">
        <f>IFERROR(__xludf.DUMMYFUNCTION("""COMPUTED_VALUE"""),193131.0)</f>
        <v>193131</v>
      </c>
      <c r="B365" s="2">
        <f>IFERROR(__xludf.DUMMYFUNCTION("""COMPUTED_VALUE"""),1.0)</f>
        <v>1</v>
      </c>
      <c r="C365" s="2">
        <f>IFERROR(__xludf.DUMMYFUNCTION("""COMPUTED_VALUE"""),715.0)</f>
        <v>715</v>
      </c>
      <c r="D365" s="3">
        <f>IFERROR(__xludf.DUMMYFUNCTION("""COMPUTED_VALUE"""),386.0)</f>
        <v>386</v>
      </c>
      <c r="E365" s="2"/>
      <c r="F365" s="2"/>
    </row>
    <row r="366">
      <c r="A366" s="2">
        <f>IFERROR(__xludf.DUMMYFUNCTION("""COMPUTED_VALUE"""),115709.0)</f>
        <v>115709</v>
      </c>
      <c r="B366" s="2">
        <f>IFERROR(__xludf.DUMMYFUNCTION("""COMPUTED_VALUE"""),0.0)</f>
        <v>0</v>
      </c>
      <c r="C366" s="2">
        <f>IFERROR(__xludf.DUMMYFUNCTION("""COMPUTED_VALUE"""),114.0)</f>
        <v>114</v>
      </c>
      <c r="D366" s="3">
        <f>IFERROR(__xludf.DUMMYFUNCTION("""COMPUTED_VALUE"""),91.0)</f>
        <v>91</v>
      </c>
      <c r="E366" s="2"/>
      <c r="F366" s="2"/>
    </row>
    <row r="367">
      <c r="A367" s="2">
        <f>IFERROR(__xludf.DUMMYFUNCTION("""COMPUTED_VALUE"""),121619.0)</f>
        <v>121619</v>
      </c>
      <c r="B367" s="2">
        <f>IFERROR(__xludf.DUMMYFUNCTION("""COMPUTED_VALUE"""),0.0)</f>
        <v>0</v>
      </c>
      <c r="C367" s="2">
        <f>IFERROR(__xludf.DUMMYFUNCTION("""COMPUTED_VALUE"""),171.0)</f>
        <v>171</v>
      </c>
      <c r="D367" s="3">
        <f>IFERROR(__xludf.DUMMYFUNCTION("""COMPUTED_VALUE"""),55.0)</f>
        <v>55</v>
      </c>
      <c r="E367" s="2"/>
      <c r="F367" s="2"/>
    </row>
    <row r="368">
      <c r="A368" s="2">
        <f>IFERROR(__xludf.DUMMYFUNCTION("""COMPUTED_VALUE"""),103647.0)</f>
        <v>103647</v>
      </c>
      <c r="B368" s="2">
        <f>IFERROR(__xludf.DUMMYFUNCTION("""COMPUTED_VALUE"""),1.0)</f>
        <v>1</v>
      </c>
      <c r="C368" s="2">
        <f>IFERROR(__xludf.DUMMYFUNCTION("""COMPUTED_VALUE"""),216.0)</f>
        <v>216</v>
      </c>
      <c r="D368" s="3">
        <f>IFERROR(__xludf.DUMMYFUNCTION("""COMPUTED_VALUE"""),164.0)</f>
        <v>164</v>
      </c>
      <c r="E368" s="2"/>
      <c r="F368" s="2"/>
    </row>
    <row r="369">
      <c r="A369" s="2">
        <f>IFERROR(__xludf.DUMMYFUNCTION("""COMPUTED_VALUE"""),121616.0)</f>
        <v>121616</v>
      </c>
      <c r="B369" s="2">
        <f>IFERROR(__xludf.DUMMYFUNCTION("""COMPUTED_VALUE"""),1.0)</f>
        <v>1</v>
      </c>
      <c r="C369" s="2">
        <f>IFERROR(__xludf.DUMMYFUNCTION("""COMPUTED_VALUE"""),793.0)</f>
        <v>793</v>
      </c>
      <c r="D369" s="3">
        <f>IFERROR(__xludf.DUMMYFUNCTION("""COMPUTED_VALUE"""),610.0)</f>
        <v>610</v>
      </c>
      <c r="E369" s="2"/>
      <c r="F369" s="2"/>
    </row>
    <row r="370">
      <c r="A370" s="2">
        <f>IFERROR(__xludf.DUMMYFUNCTION("""COMPUTED_VALUE"""),121618.0)</f>
        <v>121618</v>
      </c>
      <c r="B370" s="2">
        <f>IFERROR(__xludf.DUMMYFUNCTION("""COMPUTED_VALUE"""),1.0)</f>
        <v>1</v>
      </c>
      <c r="C370" s="2">
        <f>IFERROR(__xludf.DUMMYFUNCTION("""COMPUTED_VALUE"""),542.0)</f>
        <v>542</v>
      </c>
      <c r="D370" s="3">
        <f>IFERROR(__xludf.DUMMYFUNCTION("""COMPUTED_VALUE"""),454.0)</f>
        <v>454</v>
      </c>
      <c r="E370" s="2"/>
      <c r="F370" s="2"/>
    </row>
    <row r="371">
      <c r="A371" s="2">
        <f>IFERROR(__xludf.DUMMYFUNCTION("""COMPUTED_VALUE"""),129360.0)</f>
        <v>129360</v>
      </c>
      <c r="B371" s="2">
        <f>IFERROR(__xludf.DUMMYFUNCTION("""COMPUTED_VALUE"""),1.0)</f>
        <v>1</v>
      </c>
      <c r="C371" s="2">
        <f>IFERROR(__xludf.DUMMYFUNCTION("""COMPUTED_VALUE"""),41.0)</f>
        <v>41</v>
      </c>
      <c r="D371" s="3">
        <f>IFERROR(__xludf.DUMMYFUNCTION("""COMPUTED_VALUE"""),36.0)</f>
        <v>36</v>
      </c>
      <c r="E371" s="2"/>
      <c r="F371" s="2"/>
    </row>
    <row r="372">
      <c r="A372" s="2">
        <f>IFERROR(__xludf.DUMMYFUNCTION("""COMPUTED_VALUE"""),115708.0)</f>
        <v>115708</v>
      </c>
      <c r="B372" s="2">
        <f>IFERROR(__xludf.DUMMYFUNCTION("""COMPUTED_VALUE"""),0.0)</f>
        <v>0</v>
      </c>
      <c r="C372" s="2">
        <f>IFERROR(__xludf.DUMMYFUNCTION("""COMPUTED_VALUE"""),416.0)</f>
        <v>416</v>
      </c>
      <c r="D372" s="3">
        <f>IFERROR(__xludf.DUMMYFUNCTION("""COMPUTED_VALUE"""),203.0)</f>
        <v>203</v>
      </c>
      <c r="E372" s="2"/>
      <c r="F372" s="2"/>
    </row>
    <row r="373">
      <c r="A373" s="2">
        <f>IFERROR(__xludf.DUMMYFUNCTION("""COMPUTED_VALUE"""),121617.0)</f>
        <v>121617</v>
      </c>
      <c r="B373" s="2">
        <f>IFERROR(__xludf.DUMMYFUNCTION("""COMPUTED_VALUE"""),0.0)</f>
        <v>0</v>
      </c>
      <c r="C373" s="2">
        <f>IFERROR(__xludf.DUMMYFUNCTION("""COMPUTED_VALUE"""),477.0)</f>
        <v>477</v>
      </c>
      <c r="D373" s="3">
        <f>IFERROR(__xludf.DUMMYFUNCTION("""COMPUTED_VALUE"""),338.0)</f>
        <v>338</v>
      </c>
      <c r="E373" s="2"/>
      <c r="F373" s="2"/>
    </row>
    <row r="374">
      <c r="A374" s="2">
        <f>IFERROR(__xludf.DUMMYFUNCTION("""COMPUTED_VALUE"""),109540.0)</f>
        <v>109540</v>
      </c>
      <c r="B374" s="2">
        <f>IFERROR(__xludf.DUMMYFUNCTION("""COMPUTED_VALUE"""),0.0)</f>
        <v>0</v>
      </c>
      <c r="C374" s="2">
        <f>IFERROR(__xludf.DUMMYFUNCTION("""COMPUTED_VALUE"""),436.0)</f>
        <v>436</v>
      </c>
      <c r="D374" s="3">
        <f>IFERROR(__xludf.DUMMYFUNCTION("""COMPUTED_VALUE"""),342.0)</f>
        <v>342</v>
      </c>
      <c r="E374" s="2"/>
      <c r="F374" s="2"/>
    </row>
    <row r="375">
      <c r="A375" s="2">
        <f>IFERROR(__xludf.DUMMYFUNCTION("""COMPUTED_VALUE"""),101323.0)</f>
        <v>101323</v>
      </c>
      <c r="B375" s="2">
        <f>IFERROR(__xludf.DUMMYFUNCTION("""COMPUTED_VALUE"""),0.0)</f>
        <v>0</v>
      </c>
      <c r="C375" s="2">
        <f>IFERROR(__xludf.DUMMYFUNCTION("""COMPUTED_VALUE"""),997.0)</f>
        <v>997</v>
      </c>
      <c r="D375" s="3">
        <f>IFERROR(__xludf.DUMMYFUNCTION("""COMPUTED_VALUE"""),985.0)</f>
        <v>985</v>
      </c>
      <c r="E375" s="2"/>
      <c r="F375" s="2"/>
    </row>
    <row r="376">
      <c r="A376" s="2">
        <f>IFERROR(__xludf.DUMMYFUNCTION("""COMPUTED_VALUE"""),120991.0)</f>
        <v>120991</v>
      </c>
      <c r="B376" s="2">
        <f>IFERROR(__xludf.DUMMYFUNCTION("""COMPUTED_VALUE"""),0.0)</f>
        <v>0</v>
      </c>
      <c r="C376" s="2">
        <f>IFERROR(__xludf.DUMMYFUNCTION("""COMPUTED_VALUE"""),650.0)</f>
        <v>650</v>
      </c>
      <c r="D376" s="3">
        <f>IFERROR(__xludf.DUMMYFUNCTION("""COMPUTED_VALUE"""),434.0)</f>
        <v>434</v>
      </c>
      <c r="E376" s="2"/>
      <c r="F376" s="2"/>
    </row>
    <row r="377">
      <c r="A377" s="2">
        <f>IFERROR(__xludf.DUMMYFUNCTION("""COMPUTED_VALUE"""),115698.0)</f>
        <v>115698</v>
      </c>
      <c r="B377" s="2">
        <f>IFERROR(__xludf.DUMMYFUNCTION("""COMPUTED_VALUE"""),1.0)</f>
        <v>1</v>
      </c>
      <c r="C377" s="2">
        <f>IFERROR(__xludf.DUMMYFUNCTION("""COMPUTED_VALUE"""),644.0)</f>
        <v>644</v>
      </c>
      <c r="D377" s="3">
        <f>IFERROR(__xludf.DUMMYFUNCTION("""COMPUTED_VALUE"""),486.0)</f>
        <v>486</v>
      </c>
      <c r="E377" s="2"/>
      <c r="F377" s="2"/>
    </row>
    <row r="378">
      <c r="A378" s="2">
        <f>IFERROR(__xludf.DUMMYFUNCTION("""COMPUTED_VALUE"""),72511.0)</f>
        <v>72511</v>
      </c>
      <c r="B378" s="2">
        <f>IFERROR(__xludf.DUMMYFUNCTION("""COMPUTED_VALUE"""),1.0)</f>
        <v>1</v>
      </c>
      <c r="C378" s="2">
        <f>IFERROR(__xludf.DUMMYFUNCTION("""COMPUTED_VALUE"""),-1.0)</f>
        <v>-1</v>
      </c>
      <c r="D378" s="3">
        <f>IFERROR(__xludf.DUMMYFUNCTION("""COMPUTED_VALUE"""),0.0)</f>
        <v>0</v>
      </c>
      <c r="E378" s="2"/>
      <c r="F378" s="2"/>
    </row>
    <row r="379">
      <c r="A379" s="2">
        <f>IFERROR(__xludf.DUMMYFUNCTION("""COMPUTED_VALUE"""),72512.0)</f>
        <v>72512</v>
      </c>
      <c r="B379" s="2">
        <f>IFERROR(__xludf.DUMMYFUNCTION("""COMPUTED_VALUE"""),1.0)</f>
        <v>1</v>
      </c>
      <c r="C379" s="2">
        <f>IFERROR(__xludf.DUMMYFUNCTION("""COMPUTED_VALUE"""),626.0)</f>
        <v>626</v>
      </c>
      <c r="D379" s="3">
        <f>IFERROR(__xludf.DUMMYFUNCTION("""COMPUTED_VALUE"""),301.0)</f>
        <v>301</v>
      </c>
      <c r="E379" s="2"/>
      <c r="F379" s="2"/>
    </row>
    <row r="380">
      <c r="A380" s="2">
        <f>IFERROR(__xludf.DUMMYFUNCTION("""COMPUTED_VALUE"""),120108.0)</f>
        <v>120108</v>
      </c>
      <c r="B380" s="2">
        <f>IFERROR(__xludf.DUMMYFUNCTION("""COMPUTED_VALUE"""),0.0)</f>
        <v>0</v>
      </c>
      <c r="C380" s="2">
        <f>IFERROR(__xludf.DUMMYFUNCTION("""COMPUTED_VALUE"""),871.0)</f>
        <v>871</v>
      </c>
      <c r="D380" s="3">
        <f>IFERROR(__xludf.DUMMYFUNCTION("""COMPUTED_VALUE"""),20.0)</f>
        <v>20</v>
      </c>
      <c r="E380" s="2"/>
      <c r="F380" s="2"/>
    </row>
    <row r="381">
      <c r="A381" s="2">
        <f>IFERROR(__xludf.DUMMYFUNCTION("""COMPUTED_VALUE"""),1636.0)</f>
        <v>1636</v>
      </c>
      <c r="B381" s="2">
        <f>IFERROR(__xludf.DUMMYFUNCTION("""COMPUTED_VALUE"""),1.0)</f>
        <v>1</v>
      </c>
      <c r="C381" s="2">
        <f>IFERROR(__xludf.DUMMYFUNCTION("""COMPUTED_VALUE"""),425.0)</f>
        <v>425</v>
      </c>
      <c r="D381" s="3">
        <f>IFERROR(__xludf.DUMMYFUNCTION("""COMPUTED_VALUE"""),0.0)</f>
        <v>0</v>
      </c>
      <c r="E381" s="2"/>
      <c r="F381" s="2"/>
    </row>
    <row r="382">
      <c r="A382" s="2">
        <f>IFERROR(__xludf.DUMMYFUNCTION("""COMPUTED_VALUE"""),106767.0)</f>
        <v>106767</v>
      </c>
      <c r="B382" s="2">
        <f>IFERROR(__xludf.DUMMYFUNCTION("""COMPUTED_VALUE"""),0.0)</f>
        <v>0</v>
      </c>
      <c r="C382" s="2">
        <f>IFERROR(__xludf.DUMMYFUNCTION("""COMPUTED_VALUE"""),159.0)</f>
        <v>159</v>
      </c>
      <c r="D382" s="3">
        <f>IFERROR(__xludf.DUMMYFUNCTION("""COMPUTED_VALUE"""),134.0)</f>
        <v>134</v>
      </c>
      <c r="E382" s="2"/>
      <c r="F382" s="2"/>
    </row>
    <row r="383">
      <c r="A383" s="2">
        <f>IFERROR(__xludf.DUMMYFUNCTION("""COMPUTED_VALUE"""),117246.0)</f>
        <v>117246</v>
      </c>
      <c r="B383" s="2">
        <f>IFERROR(__xludf.DUMMYFUNCTION("""COMPUTED_VALUE"""),1.0)</f>
        <v>1</v>
      </c>
      <c r="C383" s="2">
        <f>IFERROR(__xludf.DUMMYFUNCTION("""COMPUTED_VALUE"""),15.0)</f>
        <v>15</v>
      </c>
      <c r="D383" s="3">
        <f>IFERROR(__xludf.DUMMYFUNCTION("""COMPUTED_VALUE"""),8.0)</f>
        <v>8</v>
      </c>
      <c r="E383" s="2"/>
      <c r="F383" s="2"/>
    </row>
    <row r="384">
      <c r="A384" s="2">
        <f>IFERROR(__xludf.DUMMYFUNCTION("""COMPUTED_VALUE"""),106758.0)</f>
        <v>106758</v>
      </c>
      <c r="B384" s="2">
        <f>IFERROR(__xludf.DUMMYFUNCTION("""COMPUTED_VALUE"""),1.0)</f>
        <v>1</v>
      </c>
      <c r="C384" s="2">
        <f>IFERROR(__xludf.DUMMYFUNCTION("""COMPUTED_VALUE"""),558.0)</f>
        <v>558</v>
      </c>
      <c r="D384" s="3">
        <f>IFERROR(__xludf.DUMMYFUNCTION("""COMPUTED_VALUE"""),19.0)</f>
        <v>19</v>
      </c>
      <c r="E384" s="2"/>
      <c r="F384" s="2"/>
    </row>
    <row r="385">
      <c r="A385" s="2">
        <f>IFERROR(__xludf.DUMMYFUNCTION("""COMPUTED_VALUE"""),118150.0)</f>
        <v>118150</v>
      </c>
      <c r="B385" s="2">
        <f>IFERROR(__xludf.DUMMYFUNCTION("""COMPUTED_VALUE"""),1.0)</f>
        <v>1</v>
      </c>
      <c r="C385" s="2">
        <f>IFERROR(__xludf.DUMMYFUNCTION("""COMPUTED_VALUE"""),226.0)</f>
        <v>226</v>
      </c>
      <c r="D385" s="3">
        <f>IFERROR(__xludf.DUMMYFUNCTION("""COMPUTED_VALUE"""),121.0)</f>
        <v>121</v>
      </c>
      <c r="E385" s="2"/>
      <c r="F385" s="2"/>
    </row>
    <row r="386">
      <c r="A386" s="2">
        <f>IFERROR(__xludf.DUMMYFUNCTION("""COMPUTED_VALUE"""),108896.0)</f>
        <v>108896</v>
      </c>
      <c r="B386" s="2">
        <f>IFERROR(__xludf.DUMMYFUNCTION("""COMPUTED_VALUE"""),1.0)</f>
        <v>1</v>
      </c>
      <c r="C386" s="2">
        <f>IFERROR(__xludf.DUMMYFUNCTION("""COMPUTED_VALUE"""),511.0)</f>
        <v>511</v>
      </c>
      <c r="D386" s="3">
        <f>IFERROR(__xludf.DUMMYFUNCTION("""COMPUTED_VALUE"""),209.0)</f>
        <v>209</v>
      </c>
      <c r="E386" s="2"/>
      <c r="F386" s="2"/>
    </row>
    <row r="387">
      <c r="A387" s="2">
        <f>IFERROR(__xludf.DUMMYFUNCTION("""COMPUTED_VALUE"""),92566.0)</f>
        <v>92566</v>
      </c>
      <c r="B387" s="2">
        <f>IFERROR(__xludf.DUMMYFUNCTION("""COMPUTED_VALUE"""),1.0)</f>
        <v>1</v>
      </c>
      <c r="C387" s="2">
        <f>IFERROR(__xludf.DUMMYFUNCTION("""COMPUTED_VALUE"""),470.0)</f>
        <v>470</v>
      </c>
      <c r="D387" s="3">
        <f>IFERROR(__xludf.DUMMYFUNCTION("""COMPUTED_VALUE"""),148.0)</f>
        <v>148</v>
      </c>
      <c r="E387" s="2"/>
      <c r="F387" s="2"/>
    </row>
    <row r="388">
      <c r="A388" s="2">
        <f>IFERROR(__xludf.DUMMYFUNCTION("""COMPUTED_VALUE"""),182195.0)</f>
        <v>182195</v>
      </c>
      <c r="B388" s="2">
        <f>IFERROR(__xludf.DUMMYFUNCTION("""COMPUTED_VALUE"""),1.0)</f>
        <v>1</v>
      </c>
      <c r="C388" s="2">
        <f>IFERROR(__xludf.DUMMYFUNCTION("""COMPUTED_VALUE"""),907.0)</f>
        <v>907</v>
      </c>
      <c r="D388" s="3">
        <f>IFERROR(__xludf.DUMMYFUNCTION("""COMPUTED_VALUE"""),178.0)</f>
        <v>178</v>
      </c>
      <c r="E388" s="2"/>
      <c r="F388" s="2"/>
    </row>
    <row r="389">
      <c r="A389" s="2">
        <f>IFERROR(__xludf.DUMMYFUNCTION("""COMPUTED_VALUE"""),101560.0)</f>
        <v>101560</v>
      </c>
      <c r="B389" s="2">
        <f>IFERROR(__xludf.DUMMYFUNCTION("""COMPUTED_VALUE"""),0.0)</f>
        <v>0</v>
      </c>
      <c r="C389" s="2">
        <f>IFERROR(__xludf.DUMMYFUNCTION("""COMPUTED_VALUE"""),951.0)</f>
        <v>951</v>
      </c>
      <c r="D389" s="3">
        <f>IFERROR(__xludf.DUMMYFUNCTION("""COMPUTED_VALUE"""),243.0)</f>
        <v>243</v>
      </c>
      <c r="E389" s="2"/>
      <c r="F389" s="2"/>
    </row>
    <row r="390">
      <c r="A390" s="2">
        <f>IFERROR(__xludf.DUMMYFUNCTION("""COMPUTED_VALUE"""),96067.0)</f>
        <v>96067</v>
      </c>
      <c r="B390" s="2">
        <f>IFERROR(__xludf.DUMMYFUNCTION("""COMPUTED_VALUE"""),1.0)</f>
        <v>1</v>
      </c>
      <c r="C390" s="2">
        <f>IFERROR(__xludf.DUMMYFUNCTION("""COMPUTED_VALUE"""),714.0)</f>
        <v>714</v>
      </c>
      <c r="D390" s="3">
        <f>IFERROR(__xludf.DUMMYFUNCTION("""COMPUTED_VALUE"""),558.0)</f>
        <v>558</v>
      </c>
      <c r="E390" s="2"/>
      <c r="F390" s="2"/>
    </row>
    <row r="391">
      <c r="A391" s="2">
        <f>IFERROR(__xludf.DUMMYFUNCTION("""COMPUTED_VALUE"""),47325.0)</f>
        <v>47325</v>
      </c>
      <c r="B391" s="2">
        <f>IFERROR(__xludf.DUMMYFUNCTION("""COMPUTED_VALUE"""),0.0)</f>
        <v>0</v>
      </c>
      <c r="C391" s="2">
        <f>IFERROR(__xludf.DUMMYFUNCTION("""COMPUTED_VALUE"""),162.0)</f>
        <v>162</v>
      </c>
      <c r="D391" s="3">
        <f>IFERROR(__xludf.DUMMYFUNCTION("""COMPUTED_VALUE"""),11.0)</f>
        <v>11</v>
      </c>
      <c r="E391" s="2"/>
      <c r="F391" s="2"/>
    </row>
    <row r="392">
      <c r="A392" s="2">
        <f>IFERROR(__xludf.DUMMYFUNCTION("""COMPUTED_VALUE"""),109386.0)</f>
        <v>109386</v>
      </c>
      <c r="B392" s="2">
        <f>IFERROR(__xludf.DUMMYFUNCTION("""COMPUTED_VALUE"""),0.0)</f>
        <v>0</v>
      </c>
      <c r="C392" s="2">
        <f>IFERROR(__xludf.DUMMYFUNCTION("""COMPUTED_VALUE"""),205.0)</f>
        <v>205</v>
      </c>
      <c r="D392" s="3">
        <f>IFERROR(__xludf.DUMMYFUNCTION("""COMPUTED_VALUE"""),111.0)</f>
        <v>111</v>
      </c>
      <c r="E392" s="2"/>
      <c r="F392" s="2"/>
    </row>
    <row r="393">
      <c r="A393" s="2">
        <f>IFERROR(__xludf.DUMMYFUNCTION("""COMPUTED_VALUE"""),118972.0)</f>
        <v>118972</v>
      </c>
      <c r="B393" s="2">
        <f>IFERROR(__xludf.DUMMYFUNCTION("""COMPUTED_VALUE"""),1.0)</f>
        <v>1</v>
      </c>
      <c r="C393" s="2">
        <f>IFERROR(__xludf.DUMMYFUNCTION("""COMPUTED_VALUE"""),727.0)</f>
        <v>727</v>
      </c>
      <c r="D393" s="3">
        <f>IFERROR(__xludf.DUMMYFUNCTION("""COMPUTED_VALUE"""),272.0)</f>
        <v>272</v>
      </c>
      <c r="E393" s="2"/>
      <c r="F393" s="2"/>
    </row>
    <row r="394">
      <c r="A394" s="2">
        <f>IFERROR(__xludf.DUMMYFUNCTION("""COMPUTED_VALUE"""),100412.0)</f>
        <v>100412</v>
      </c>
      <c r="B394" s="2">
        <f>IFERROR(__xludf.DUMMYFUNCTION("""COMPUTED_VALUE"""),0.0)</f>
        <v>0</v>
      </c>
      <c r="C394" s="2">
        <f>IFERROR(__xludf.DUMMYFUNCTION("""COMPUTED_VALUE"""),245.0)</f>
        <v>245</v>
      </c>
      <c r="D394" s="3">
        <f>IFERROR(__xludf.DUMMYFUNCTION("""COMPUTED_VALUE"""),210.0)</f>
        <v>210</v>
      </c>
      <c r="E394" s="2"/>
      <c r="F394" s="2"/>
    </row>
    <row r="395">
      <c r="A395" s="2">
        <f>IFERROR(__xludf.DUMMYFUNCTION("""COMPUTED_VALUE"""),73259.0)</f>
        <v>73259</v>
      </c>
      <c r="B395" s="2">
        <f>IFERROR(__xludf.DUMMYFUNCTION("""COMPUTED_VALUE"""),1.0)</f>
        <v>1</v>
      </c>
      <c r="C395" s="2">
        <f>IFERROR(__xludf.DUMMYFUNCTION("""COMPUTED_VALUE"""),83.0)</f>
        <v>83</v>
      </c>
      <c r="D395" s="3">
        <f>IFERROR(__xludf.DUMMYFUNCTION("""COMPUTED_VALUE"""),69.0)</f>
        <v>69</v>
      </c>
      <c r="E395" s="2"/>
      <c r="F395" s="2"/>
    </row>
    <row r="396">
      <c r="A396" s="2">
        <f>IFERROR(__xludf.DUMMYFUNCTION("""COMPUTED_VALUE"""),116888.0)</f>
        <v>116888</v>
      </c>
      <c r="B396" s="2">
        <f>IFERROR(__xludf.DUMMYFUNCTION("""COMPUTED_VALUE"""),0.0)</f>
        <v>0</v>
      </c>
      <c r="C396" s="2">
        <f>IFERROR(__xludf.DUMMYFUNCTION("""COMPUTED_VALUE"""),440.0)</f>
        <v>440</v>
      </c>
      <c r="D396" s="3">
        <f>IFERROR(__xludf.DUMMYFUNCTION("""COMPUTED_VALUE"""),21.0)</f>
        <v>21</v>
      </c>
      <c r="E396" s="2"/>
      <c r="F396" s="2"/>
    </row>
    <row r="397">
      <c r="A397" s="2">
        <f>IFERROR(__xludf.DUMMYFUNCTION("""COMPUTED_VALUE"""),102086.0)</f>
        <v>102086</v>
      </c>
      <c r="B397" s="2">
        <f>IFERROR(__xludf.DUMMYFUNCTION("""COMPUTED_VALUE"""),1.0)</f>
        <v>1</v>
      </c>
      <c r="C397" s="2">
        <f>IFERROR(__xludf.DUMMYFUNCTION("""COMPUTED_VALUE"""),643.0)</f>
        <v>643</v>
      </c>
      <c r="D397" s="3">
        <f>IFERROR(__xludf.DUMMYFUNCTION("""COMPUTED_VALUE"""),453.0)</f>
        <v>453</v>
      </c>
      <c r="E397" s="2"/>
      <c r="F397" s="2"/>
    </row>
    <row r="398">
      <c r="A398" s="2">
        <f>IFERROR(__xludf.DUMMYFUNCTION("""COMPUTED_VALUE"""),108892.0)</f>
        <v>108892</v>
      </c>
      <c r="B398" s="2">
        <f>IFERROR(__xludf.DUMMYFUNCTION("""COMPUTED_VALUE"""),1.0)</f>
        <v>1</v>
      </c>
      <c r="C398" s="2">
        <f>IFERROR(__xludf.DUMMYFUNCTION("""COMPUTED_VALUE"""),80.0)</f>
        <v>80</v>
      </c>
      <c r="D398" s="3">
        <f>IFERROR(__xludf.DUMMYFUNCTION("""COMPUTED_VALUE"""),41.0)</f>
        <v>41</v>
      </c>
      <c r="E398" s="2"/>
      <c r="F398" s="2"/>
    </row>
    <row r="399">
      <c r="A399" s="2">
        <f>IFERROR(__xludf.DUMMYFUNCTION("""COMPUTED_VALUE"""),110935.0)</f>
        <v>110935</v>
      </c>
      <c r="B399" s="2">
        <f>IFERROR(__xludf.DUMMYFUNCTION("""COMPUTED_VALUE"""),1.0)</f>
        <v>1</v>
      </c>
      <c r="C399" s="2">
        <f>IFERROR(__xludf.DUMMYFUNCTION("""COMPUTED_VALUE"""),837.0)</f>
        <v>837</v>
      </c>
      <c r="D399" s="3">
        <f>IFERROR(__xludf.DUMMYFUNCTION("""COMPUTED_VALUE"""),660.0)</f>
        <v>660</v>
      </c>
      <c r="E399" s="2"/>
      <c r="F399" s="2"/>
    </row>
    <row r="400">
      <c r="A400" s="2">
        <f>IFERROR(__xludf.DUMMYFUNCTION("""COMPUTED_VALUE"""),103599.0)</f>
        <v>103599</v>
      </c>
      <c r="B400" s="2">
        <f>IFERROR(__xludf.DUMMYFUNCTION("""COMPUTED_VALUE"""),1.0)</f>
        <v>1</v>
      </c>
      <c r="C400" s="2">
        <f>IFERROR(__xludf.DUMMYFUNCTION("""COMPUTED_VALUE"""),53.0)</f>
        <v>53</v>
      </c>
      <c r="D400" s="3">
        <f>IFERROR(__xludf.DUMMYFUNCTION("""COMPUTED_VALUE"""),18.0)</f>
        <v>18</v>
      </c>
      <c r="E400" s="2"/>
      <c r="F400" s="2"/>
    </row>
    <row r="401">
      <c r="A401" s="2">
        <f>IFERROR(__xludf.DUMMYFUNCTION("""COMPUTED_VALUE"""),108811.0)</f>
        <v>108811</v>
      </c>
      <c r="B401" s="2">
        <f>IFERROR(__xludf.DUMMYFUNCTION("""COMPUTED_VALUE"""),1.0)</f>
        <v>1</v>
      </c>
      <c r="C401" s="2">
        <f>IFERROR(__xludf.DUMMYFUNCTION("""COMPUTED_VALUE"""),868.0)</f>
        <v>868</v>
      </c>
      <c r="D401" s="3">
        <f>IFERROR(__xludf.DUMMYFUNCTION("""COMPUTED_VALUE"""),542.0)</f>
        <v>542</v>
      </c>
      <c r="E401" s="2"/>
      <c r="F401" s="2"/>
    </row>
    <row r="402">
      <c r="A402" s="2">
        <f>IFERROR(__xludf.DUMMYFUNCTION("""COMPUTED_VALUE"""),2202.0)</f>
        <v>2202</v>
      </c>
      <c r="B402" s="2">
        <f>IFERROR(__xludf.DUMMYFUNCTION("""COMPUTED_VALUE"""),1.0)</f>
        <v>1</v>
      </c>
      <c r="C402" s="2">
        <f>IFERROR(__xludf.DUMMYFUNCTION("""COMPUTED_VALUE"""),158.0)</f>
        <v>158</v>
      </c>
      <c r="D402" s="3">
        <f>IFERROR(__xludf.DUMMYFUNCTION("""COMPUTED_VALUE"""),94.0)</f>
        <v>94</v>
      </c>
      <c r="E402" s="2"/>
      <c r="F402" s="2"/>
    </row>
    <row r="403">
      <c r="A403" s="2">
        <f>IFERROR(__xludf.DUMMYFUNCTION("""COMPUTED_VALUE"""),122789.0)</f>
        <v>122789</v>
      </c>
      <c r="B403" s="2">
        <f>IFERROR(__xludf.DUMMYFUNCTION("""COMPUTED_VALUE"""),1.0)</f>
        <v>1</v>
      </c>
      <c r="C403" s="2">
        <f>IFERROR(__xludf.DUMMYFUNCTION("""COMPUTED_VALUE"""),749.0)</f>
        <v>749</v>
      </c>
      <c r="D403" s="3">
        <f>IFERROR(__xludf.DUMMYFUNCTION("""COMPUTED_VALUE"""),260.0)</f>
        <v>260</v>
      </c>
      <c r="E403" s="2"/>
      <c r="F403" s="2"/>
    </row>
    <row r="404">
      <c r="A404" s="2">
        <f>IFERROR(__xludf.DUMMYFUNCTION("""COMPUTED_VALUE"""),101563.0)</f>
        <v>101563</v>
      </c>
      <c r="B404" s="2">
        <f>IFERROR(__xludf.DUMMYFUNCTION("""COMPUTED_VALUE"""),0.0)</f>
        <v>0</v>
      </c>
      <c r="C404" s="2">
        <f>IFERROR(__xludf.DUMMYFUNCTION("""COMPUTED_VALUE"""),64.0)</f>
        <v>64</v>
      </c>
      <c r="D404" s="3">
        <f>IFERROR(__xludf.DUMMYFUNCTION("""COMPUTED_VALUE"""),20.0)</f>
        <v>20</v>
      </c>
      <c r="E404" s="2"/>
      <c r="F404" s="2"/>
    </row>
    <row r="405">
      <c r="A405" s="2">
        <f>IFERROR(__xludf.DUMMYFUNCTION("""COMPUTED_VALUE"""),110934.0)</f>
        <v>110934</v>
      </c>
      <c r="B405" s="2">
        <f>IFERROR(__xludf.DUMMYFUNCTION("""COMPUTED_VALUE"""),0.0)</f>
        <v>0</v>
      </c>
      <c r="C405" s="2">
        <f>IFERROR(__xludf.DUMMYFUNCTION("""COMPUTED_VALUE"""),190.0)</f>
        <v>190</v>
      </c>
      <c r="D405" s="3">
        <f>IFERROR(__xludf.DUMMYFUNCTION("""COMPUTED_VALUE"""),175.0)</f>
        <v>175</v>
      </c>
      <c r="E405" s="2"/>
      <c r="F405" s="2"/>
    </row>
    <row r="406">
      <c r="A406" s="2">
        <f>IFERROR(__xludf.DUMMYFUNCTION("""COMPUTED_VALUE"""),110147.0)</f>
        <v>110147</v>
      </c>
      <c r="B406" s="2">
        <f>IFERROR(__xludf.DUMMYFUNCTION("""COMPUTED_VALUE"""),1.0)</f>
        <v>1</v>
      </c>
      <c r="C406" s="2">
        <f>IFERROR(__xludf.DUMMYFUNCTION("""COMPUTED_VALUE"""),43.0)</f>
        <v>43</v>
      </c>
      <c r="D406" s="3">
        <f>IFERROR(__xludf.DUMMYFUNCTION("""COMPUTED_VALUE"""),37.0)</f>
        <v>37</v>
      </c>
      <c r="E406" s="2"/>
      <c r="F406" s="2"/>
    </row>
    <row r="407">
      <c r="A407" s="2">
        <f>IFERROR(__xludf.DUMMYFUNCTION("""COMPUTED_VALUE"""),104135.0)</f>
        <v>104135</v>
      </c>
      <c r="B407" s="2">
        <f>IFERROR(__xludf.DUMMYFUNCTION("""COMPUTED_VALUE"""),1.0)</f>
        <v>1</v>
      </c>
      <c r="C407" s="2">
        <f>IFERROR(__xludf.DUMMYFUNCTION("""COMPUTED_VALUE"""),4.0)</f>
        <v>4</v>
      </c>
      <c r="D407" s="3">
        <f>IFERROR(__xludf.DUMMYFUNCTION("""COMPUTED_VALUE"""),2.0)</f>
        <v>2</v>
      </c>
      <c r="E407" s="2"/>
      <c r="F407" s="2"/>
    </row>
    <row r="408">
      <c r="A408" s="2">
        <f>IFERROR(__xludf.DUMMYFUNCTION("""COMPUTED_VALUE"""),101559.0)</f>
        <v>101559</v>
      </c>
      <c r="B408" s="2">
        <f>IFERROR(__xludf.DUMMYFUNCTION("""COMPUTED_VALUE"""),1.0)</f>
        <v>1</v>
      </c>
      <c r="C408" s="2">
        <f>IFERROR(__xludf.DUMMYFUNCTION("""COMPUTED_VALUE"""),545.0)</f>
        <v>545</v>
      </c>
      <c r="D408" s="3">
        <f>IFERROR(__xludf.DUMMYFUNCTION("""COMPUTED_VALUE"""),539.0)</f>
        <v>539</v>
      </c>
      <c r="E408" s="2"/>
      <c r="F408" s="2"/>
    </row>
    <row r="409">
      <c r="A409" s="2">
        <f>IFERROR(__xludf.DUMMYFUNCTION("""COMPUTED_VALUE"""),129340.0)</f>
        <v>129340</v>
      </c>
      <c r="B409" s="2">
        <f>IFERROR(__xludf.DUMMYFUNCTION("""COMPUTED_VALUE"""),1.0)</f>
        <v>1</v>
      </c>
      <c r="C409" s="2">
        <f>IFERROR(__xludf.DUMMYFUNCTION("""COMPUTED_VALUE"""),661.0)</f>
        <v>661</v>
      </c>
      <c r="D409" s="3">
        <f>IFERROR(__xludf.DUMMYFUNCTION("""COMPUTED_VALUE"""),415.0)</f>
        <v>415</v>
      </c>
      <c r="E409" s="2"/>
      <c r="F409" s="2"/>
    </row>
    <row r="410">
      <c r="A410" s="2">
        <f>IFERROR(__xludf.DUMMYFUNCTION("""COMPUTED_VALUE"""),103609.0)</f>
        <v>103609</v>
      </c>
      <c r="B410" s="2">
        <f>IFERROR(__xludf.DUMMYFUNCTION("""COMPUTED_VALUE"""),0.0)</f>
        <v>0</v>
      </c>
      <c r="C410" s="2">
        <f>IFERROR(__xludf.DUMMYFUNCTION("""COMPUTED_VALUE"""),189.0)</f>
        <v>189</v>
      </c>
      <c r="D410" s="3">
        <f>IFERROR(__xludf.DUMMYFUNCTION("""COMPUTED_VALUE"""),121.0)</f>
        <v>121</v>
      </c>
      <c r="E410" s="2"/>
      <c r="F410" s="2"/>
    </row>
    <row r="411">
      <c r="A411" s="2">
        <f>IFERROR(__xludf.DUMMYFUNCTION("""COMPUTED_VALUE"""),122499.0)</f>
        <v>122499</v>
      </c>
      <c r="B411" s="2">
        <f>IFERROR(__xludf.DUMMYFUNCTION("""COMPUTED_VALUE"""),0.0)</f>
        <v>0</v>
      </c>
      <c r="C411" s="2">
        <f>IFERROR(__xludf.DUMMYFUNCTION("""COMPUTED_VALUE"""),461.0)</f>
        <v>461</v>
      </c>
      <c r="D411" s="3">
        <f>IFERROR(__xludf.DUMMYFUNCTION("""COMPUTED_VALUE"""),262.0)</f>
        <v>262</v>
      </c>
      <c r="E411" s="2"/>
      <c r="F411" s="2"/>
    </row>
    <row r="412">
      <c r="A412" s="2">
        <f>IFERROR(__xludf.DUMMYFUNCTION("""COMPUTED_VALUE"""),117311.0)</f>
        <v>117311</v>
      </c>
      <c r="B412" s="2">
        <f>IFERROR(__xludf.DUMMYFUNCTION("""COMPUTED_VALUE"""),1.0)</f>
        <v>1</v>
      </c>
      <c r="C412" s="2">
        <f>IFERROR(__xludf.DUMMYFUNCTION("""COMPUTED_VALUE"""),879.0)</f>
        <v>879</v>
      </c>
      <c r="D412" s="3">
        <f>IFERROR(__xludf.DUMMYFUNCTION("""COMPUTED_VALUE"""),538.0)</f>
        <v>538</v>
      </c>
      <c r="E412" s="2"/>
      <c r="F412" s="2"/>
    </row>
    <row r="413">
      <c r="A413" s="2">
        <f>IFERROR(__xludf.DUMMYFUNCTION("""COMPUTED_VALUE"""),116670.0)</f>
        <v>116670</v>
      </c>
      <c r="B413" s="2">
        <f>IFERROR(__xludf.DUMMYFUNCTION("""COMPUTED_VALUE"""),1.0)</f>
        <v>1</v>
      </c>
      <c r="C413" s="2">
        <f>IFERROR(__xludf.DUMMYFUNCTION("""COMPUTED_VALUE"""),118.0)</f>
        <v>118</v>
      </c>
      <c r="D413" s="3">
        <f>IFERROR(__xludf.DUMMYFUNCTION("""COMPUTED_VALUE"""),93.0)</f>
        <v>93</v>
      </c>
      <c r="E413" s="2"/>
      <c r="F413" s="2"/>
    </row>
    <row r="414">
      <c r="A414" s="2">
        <f>IFERROR(__xludf.DUMMYFUNCTION("""COMPUTED_VALUE"""),2204.0)</f>
        <v>2204</v>
      </c>
      <c r="B414" s="2">
        <f>IFERROR(__xludf.DUMMYFUNCTION("""COMPUTED_VALUE"""),1.0)</f>
        <v>1</v>
      </c>
      <c r="C414" s="2">
        <f>IFERROR(__xludf.DUMMYFUNCTION("""COMPUTED_VALUE"""),429.0)</f>
        <v>429</v>
      </c>
      <c r="D414" s="3">
        <f>IFERROR(__xludf.DUMMYFUNCTION("""COMPUTED_VALUE"""),246.0)</f>
        <v>246</v>
      </c>
      <c r="E414" s="2"/>
      <c r="F414" s="2"/>
    </row>
    <row r="415">
      <c r="A415" s="2">
        <f>IFERROR(__xludf.DUMMYFUNCTION("""COMPUTED_VALUE"""),104128.0)</f>
        <v>104128</v>
      </c>
      <c r="B415" s="2">
        <f>IFERROR(__xludf.DUMMYFUNCTION("""COMPUTED_VALUE"""),1.0)</f>
        <v>1</v>
      </c>
      <c r="C415" s="2">
        <f>IFERROR(__xludf.DUMMYFUNCTION("""COMPUTED_VALUE"""),851.0)</f>
        <v>851</v>
      </c>
      <c r="D415" s="3">
        <f>IFERROR(__xludf.DUMMYFUNCTION("""COMPUTED_VALUE"""),738.0)</f>
        <v>738</v>
      </c>
      <c r="E415" s="2"/>
      <c r="F415" s="2"/>
    </row>
    <row r="416">
      <c r="A416" s="2">
        <f>IFERROR(__xludf.DUMMYFUNCTION("""COMPUTED_VALUE"""),103600.0)</f>
        <v>103600</v>
      </c>
      <c r="B416" s="2">
        <f>IFERROR(__xludf.DUMMYFUNCTION("""COMPUTED_VALUE"""),1.0)</f>
        <v>1</v>
      </c>
      <c r="C416" s="2">
        <f>IFERROR(__xludf.DUMMYFUNCTION("""COMPUTED_VALUE"""),685.0)</f>
        <v>685</v>
      </c>
      <c r="D416" s="3">
        <f>IFERROR(__xludf.DUMMYFUNCTION("""COMPUTED_VALUE"""),109.0)</f>
        <v>109</v>
      </c>
      <c r="E416" s="2"/>
      <c r="F416" s="2"/>
    </row>
    <row r="417">
      <c r="A417" s="2">
        <f>IFERROR(__xludf.DUMMYFUNCTION("""COMPUTED_VALUE"""),108802.0)</f>
        <v>108802</v>
      </c>
      <c r="B417" s="2">
        <f>IFERROR(__xludf.DUMMYFUNCTION("""COMPUTED_VALUE"""),1.0)</f>
        <v>1</v>
      </c>
      <c r="C417" s="2">
        <f>IFERROR(__xludf.DUMMYFUNCTION("""COMPUTED_VALUE"""),77.0)</f>
        <v>77</v>
      </c>
      <c r="D417" s="3">
        <f>IFERROR(__xludf.DUMMYFUNCTION("""COMPUTED_VALUE"""),18.0)</f>
        <v>18</v>
      </c>
      <c r="E417" s="2"/>
      <c r="F417" s="2"/>
    </row>
    <row r="418">
      <c r="A418" s="2">
        <f>IFERROR(__xludf.DUMMYFUNCTION("""COMPUTED_VALUE"""),201034.0)</f>
        <v>201034</v>
      </c>
      <c r="B418" s="2">
        <f>IFERROR(__xludf.DUMMYFUNCTION("""COMPUTED_VALUE"""),1.0)</f>
        <v>1</v>
      </c>
      <c r="C418" s="2">
        <f>IFERROR(__xludf.DUMMYFUNCTION("""COMPUTED_VALUE"""),127.0)</f>
        <v>127</v>
      </c>
      <c r="D418" s="3">
        <f>IFERROR(__xludf.DUMMYFUNCTION("""COMPUTED_VALUE"""),105.0)</f>
        <v>105</v>
      </c>
      <c r="E418" s="2"/>
      <c r="F418" s="2"/>
    </row>
    <row r="419">
      <c r="A419" s="2">
        <f>IFERROR(__xludf.DUMMYFUNCTION("""COMPUTED_VALUE"""),6522.0)</f>
        <v>6522</v>
      </c>
      <c r="B419" s="2">
        <f>IFERROR(__xludf.DUMMYFUNCTION("""COMPUTED_VALUE"""),0.0)</f>
        <v>0</v>
      </c>
      <c r="C419" s="2">
        <f>IFERROR(__xludf.DUMMYFUNCTION("""COMPUTED_VALUE"""),84.0)</f>
        <v>84</v>
      </c>
      <c r="D419" s="3">
        <f>IFERROR(__xludf.DUMMYFUNCTION("""COMPUTED_VALUE"""),15.0)</f>
        <v>15</v>
      </c>
      <c r="E419" s="2"/>
      <c r="F419" s="2"/>
    </row>
    <row r="420">
      <c r="A420" s="2">
        <f>IFERROR(__xludf.DUMMYFUNCTION("""COMPUTED_VALUE"""),77644.0)</f>
        <v>77644</v>
      </c>
      <c r="B420" s="2">
        <f>IFERROR(__xludf.DUMMYFUNCTION("""COMPUTED_VALUE"""),0.0)</f>
        <v>0</v>
      </c>
      <c r="C420" s="2">
        <f>IFERROR(__xludf.DUMMYFUNCTION("""COMPUTED_VALUE"""),739.0)</f>
        <v>739</v>
      </c>
      <c r="D420" s="3">
        <f>IFERROR(__xludf.DUMMYFUNCTION("""COMPUTED_VALUE"""),185.0)</f>
        <v>185</v>
      </c>
      <c r="E420" s="2"/>
      <c r="F420" s="2"/>
    </row>
    <row r="421">
      <c r="A421" s="2">
        <f>IFERROR(__xludf.DUMMYFUNCTION("""COMPUTED_VALUE"""),3225.0)</f>
        <v>3225</v>
      </c>
      <c r="B421" s="2">
        <f>IFERROR(__xludf.DUMMYFUNCTION("""COMPUTED_VALUE"""),1.0)</f>
        <v>1</v>
      </c>
      <c r="C421" s="2">
        <f>IFERROR(__xludf.DUMMYFUNCTION("""COMPUTED_VALUE"""),571.0)</f>
        <v>571</v>
      </c>
      <c r="D421" s="3">
        <f>IFERROR(__xludf.DUMMYFUNCTION("""COMPUTED_VALUE"""),279.0)</f>
        <v>279</v>
      </c>
      <c r="E421" s="2"/>
      <c r="F421" s="2"/>
    </row>
    <row r="422">
      <c r="A422" s="2">
        <f>IFERROR(__xludf.DUMMYFUNCTION("""COMPUTED_VALUE"""),158447.0)</f>
        <v>158447</v>
      </c>
      <c r="B422" s="2">
        <f>IFERROR(__xludf.DUMMYFUNCTION("""COMPUTED_VALUE"""),0.0)</f>
        <v>0</v>
      </c>
      <c r="C422" s="2">
        <f>IFERROR(__xludf.DUMMYFUNCTION("""COMPUTED_VALUE"""),187.0)</f>
        <v>187</v>
      </c>
      <c r="D422" s="3">
        <f>IFERROR(__xludf.DUMMYFUNCTION("""COMPUTED_VALUE"""),43.0)</f>
        <v>43</v>
      </c>
      <c r="E422" s="2"/>
      <c r="F422" s="2"/>
    </row>
    <row r="423">
      <c r="A423" s="2">
        <f>IFERROR(__xludf.DUMMYFUNCTION("""COMPUTED_VALUE"""),9737.0)</f>
        <v>9737</v>
      </c>
      <c r="B423" s="2">
        <f>IFERROR(__xludf.DUMMYFUNCTION("""COMPUTED_VALUE"""),0.0)</f>
        <v>0</v>
      </c>
      <c r="C423" s="2">
        <f>IFERROR(__xludf.DUMMYFUNCTION("""COMPUTED_VALUE"""),834.0)</f>
        <v>834</v>
      </c>
      <c r="D423" s="3">
        <f>IFERROR(__xludf.DUMMYFUNCTION("""COMPUTED_VALUE"""),707.0)</f>
        <v>707</v>
      </c>
      <c r="E423" s="2"/>
      <c r="F423" s="2"/>
    </row>
    <row r="424">
      <c r="A424" s="2">
        <f>IFERROR(__xludf.DUMMYFUNCTION("""COMPUTED_VALUE"""),73260.0)</f>
        <v>73260</v>
      </c>
      <c r="B424" s="2">
        <f>IFERROR(__xludf.DUMMYFUNCTION("""COMPUTED_VALUE"""),1.0)</f>
        <v>1</v>
      </c>
      <c r="C424" s="2">
        <f>IFERROR(__xludf.DUMMYFUNCTION("""COMPUTED_VALUE"""),292.0)</f>
        <v>292</v>
      </c>
      <c r="D424" s="3">
        <f>IFERROR(__xludf.DUMMYFUNCTION("""COMPUTED_VALUE"""),169.0)</f>
        <v>169</v>
      </c>
      <c r="E424" s="2"/>
      <c r="F424" s="2"/>
    </row>
    <row r="425">
      <c r="A425" s="2">
        <f>IFERROR(__xludf.DUMMYFUNCTION("""COMPUTED_VALUE"""),158467.0)</f>
        <v>158467</v>
      </c>
      <c r="B425" s="2">
        <f>IFERROR(__xludf.DUMMYFUNCTION("""COMPUTED_VALUE"""),1.0)</f>
        <v>1</v>
      </c>
      <c r="C425" s="2">
        <f>IFERROR(__xludf.DUMMYFUNCTION("""COMPUTED_VALUE"""),407.0)</f>
        <v>407</v>
      </c>
      <c r="D425" s="3">
        <f>IFERROR(__xludf.DUMMYFUNCTION("""COMPUTED_VALUE"""),227.0)</f>
        <v>227</v>
      </c>
      <c r="E425" s="2"/>
      <c r="F425" s="2"/>
    </row>
    <row r="426">
      <c r="A426" s="2">
        <f>IFERROR(__xludf.DUMMYFUNCTION("""COMPUTED_VALUE"""),117319.0)</f>
        <v>117319</v>
      </c>
      <c r="B426" s="2">
        <f>IFERROR(__xludf.DUMMYFUNCTION("""COMPUTED_VALUE"""),0.0)</f>
        <v>0</v>
      </c>
      <c r="C426" s="2">
        <f>IFERROR(__xludf.DUMMYFUNCTION("""COMPUTED_VALUE"""),568.0)</f>
        <v>568</v>
      </c>
      <c r="D426" s="3">
        <f>IFERROR(__xludf.DUMMYFUNCTION("""COMPUTED_VALUE"""),478.0)</f>
        <v>478</v>
      </c>
      <c r="E426" s="2"/>
      <c r="F426" s="2"/>
    </row>
    <row r="427">
      <c r="A427" s="2">
        <f>IFERROR(__xludf.DUMMYFUNCTION("""COMPUTED_VALUE"""),108893.0)</f>
        <v>108893</v>
      </c>
      <c r="B427" s="2">
        <f>IFERROR(__xludf.DUMMYFUNCTION("""COMPUTED_VALUE"""),1.0)</f>
        <v>1</v>
      </c>
      <c r="C427" s="2">
        <f>IFERROR(__xludf.DUMMYFUNCTION("""COMPUTED_VALUE"""),198.0)</f>
        <v>198</v>
      </c>
      <c r="D427" s="3">
        <f>IFERROR(__xludf.DUMMYFUNCTION("""COMPUTED_VALUE"""),135.0)</f>
        <v>135</v>
      </c>
      <c r="E427" s="2"/>
      <c r="F427" s="2"/>
    </row>
    <row r="428">
      <c r="A428" s="2">
        <f>IFERROR(__xludf.DUMMYFUNCTION("""COMPUTED_VALUE"""),111734.0)</f>
        <v>111734</v>
      </c>
      <c r="B428" s="2">
        <f>IFERROR(__xludf.DUMMYFUNCTION("""COMPUTED_VALUE"""),0.0)</f>
        <v>0</v>
      </c>
      <c r="C428" s="2">
        <f>IFERROR(__xludf.DUMMYFUNCTION("""COMPUTED_VALUE"""),510.0)</f>
        <v>510</v>
      </c>
      <c r="D428" s="3">
        <f>IFERROR(__xludf.DUMMYFUNCTION("""COMPUTED_VALUE"""),59.0)</f>
        <v>59</v>
      </c>
      <c r="E428" s="2"/>
      <c r="F428" s="2"/>
    </row>
    <row r="429">
      <c r="A429" s="2">
        <f>IFERROR(__xludf.DUMMYFUNCTION("""COMPUTED_VALUE"""),96066.0)</f>
        <v>96066</v>
      </c>
      <c r="B429" s="2">
        <f>IFERROR(__xludf.DUMMYFUNCTION("""COMPUTED_VALUE"""),1.0)</f>
        <v>1</v>
      </c>
      <c r="C429" s="2">
        <f>IFERROR(__xludf.DUMMYFUNCTION("""COMPUTED_VALUE"""),257.0)</f>
        <v>257</v>
      </c>
      <c r="D429" s="3">
        <f>IFERROR(__xludf.DUMMYFUNCTION("""COMPUTED_VALUE"""),167.0)</f>
        <v>167</v>
      </c>
      <c r="E429" s="2"/>
      <c r="F429" s="2"/>
    </row>
    <row r="430">
      <c r="A430" s="2">
        <f>IFERROR(__xludf.DUMMYFUNCTION("""COMPUTED_VALUE"""),3222.0)</f>
        <v>3222</v>
      </c>
      <c r="B430" s="2">
        <f>IFERROR(__xludf.DUMMYFUNCTION("""COMPUTED_VALUE"""),0.0)</f>
        <v>0</v>
      </c>
      <c r="C430" s="2">
        <f>IFERROR(__xludf.DUMMYFUNCTION("""COMPUTED_VALUE"""),625.0)</f>
        <v>625</v>
      </c>
      <c r="D430" s="3">
        <f>IFERROR(__xludf.DUMMYFUNCTION("""COMPUTED_VALUE"""),173.0)</f>
        <v>173</v>
      </c>
      <c r="E430" s="2"/>
      <c r="F430" s="2"/>
    </row>
    <row r="431">
      <c r="A431" s="2">
        <f>IFERROR(__xludf.DUMMYFUNCTION("""COMPUTED_VALUE"""),117312.0)</f>
        <v>117312</v>
      </c>
      <c r="B431" s="2">
        <f>IFERROR(__xludf.DUMMYFUNCTION("""COMPUTED_VALUE"""),0.0)</f>
        <v>0</v>
      </c>
      <c r="C431" s="2">
        <f>IFERROR(__xludf.DUMMYFUNCTION("""COMPUTED_VALUE"""),116.0)</f>
        <v>116</v>
      </c>
      <c r="D431" s="3">
        <f>IFERROR(__xludf.DUMMYFUNCTION("""COMPUTED_VALUE"""),65.0)</f>
        <v>65</v>
      </c>
      <c r="E431" s="2"/>
      <c r="F431" s="2"/>
    </row>
    <row r="432">
      <c r="A432" s="2">
        <f>IFERROR(__xludf.DUMMYFUNCTION("""COMPUTED_VALUE"""),104791.0)</f>
        <v>104791</v>
      </c>
      <c r="B432" s="2">
        <f>IFERROR(__xludf.DUMMYFUNCTION("""COMPUTED_VALUE"""),0.0)</f>
        <v>0</v>
      </c>
      <c r="C432" s="2">
        <f>IFERROR(__xludf.DUMMYFUNCTION("""COMPUTED_VALUE"""),139.0)</f>
        <v>139</v>
      </c>
      <c r="D432" s="3">
        <f>IFERROR(__xludf.DUMMYFUNCTION("""COMPUTED_VALUE"""),85.0)</f>
        <v>85</v>
      </c>
      <c r="E432" s="2"/>
      <c r="F432" s="2"/>
    </row>
    <row r="433">
      <c r="A433" s="2">
        <f>IFERROR(__xludf.DUMMYFUNCTION("""COMPUTED_VALUE"""),10051.0)</f>
        <v>10051</v>
      </c>
      <c r="B433" s="2">
        <f>IFERROR(__xludf.DUMMYFUNCTION("""COMPUTED_VALUE"""),0.0)</f>
        <v>0</v>
      </c>
      <c r="C433" s="2">
        <f>IFERROR(__xludf.DUMMYFUNCTION("""COMPUTED_VALUE"""),501.0)</f>
        <v>501</v>
      </c>
      <c r="D433" s="3">
        <f>IFERROR(__xludf.DUMMYFUNCTION("""COMPUTED_VALUE"""),338.0)</f>
        <v>338</v>
      </c>
      <c r="E433" s="2"/>
      <c r="F433" s="2"/>
    </row>
    <row r="434">
      <c r="A434" s="2">
        <f>IFERROR(__xludf.DUMMYFUNCTION("""COMPUTED_VALUE"""),29318.0)</f>
        <v>29318</v>
      </c>
      <c r="B434" s="2">
        <f>IFERROR(__xludf.DUMMYFUNCTION("""COMPUTED_VALUE"""),1.0)</f>
        <v>1</v>
      </c>
      <c r="C434" s="2">
        <f>IFERROR(__xludf.DUMMYFUNCTION("""COMPUTED_VALUE"""),57.0)</f>
        <v>57</v>
      </c>
      <c r="D434" s="3">
        <f>IFERROR(__xludf.DUMMYFUNCTION("""COMPUTED_VALUE"""),5.0)</f>
        <v>5</v>
      </c>
      <c r="E434" s="2"/>
      <c r="F434" s="2"/>
    </row>
    <row r="435">
      <c r="A435" s="2">
        <f>IFERROR(__xludf.DUMMYFUNCTION("""COMPUTED_VALUE"""),116885.0)</f>
        <v>116885</v>
      </c>
      <c r="B435" s="2">
        <f>IFERROR(__xludf.DUMMYFUNCTION("""COMPUTED_VALUE"""),1.0)</f>
        <v>1</v>
      </c>
      <c r="C435" s="2">
        <f>IFERROR(__xludf.DUMMYFUNCTION("""COMPUTED_VALUE"""),872.0)</f>
        <v>872</v>
      </c>
      <c r="D435" s="3">
        <f>IFERROR(__xludf.DUMMYFUNCTION("""COMPUTED_VALUE"""),283.0)</f>
        <v>283</v>
      </c>
      <c r="E435" s="2"/>
      <c r="F435" s="2"/>
    </row>
    <row r="436">
      <c r="A436" s="2">
        <f>IFERROR(__xludf.DUMMYFUNCTION("""COMPUTED_VALUE"""),121614.0)</f>
        <v>121614</v>
      </c>
      <c r="B436" s="2">
        <f>IFERROR(__xludf.DUMMYFUNCTION("""COMPUTED_VALUE"""),0.0)</f>
        <v>0</v>
      </c>
      <c r="C436" s="2">
        <f>IFERROR(__xludf.DUMMYFUNCTION("""COMPUTED_VALUE"""),911.0)</f>
        <v>911</v>
      </c>
      <c r="D436" s="3">
        <f>IFERROR(__xludf.DUMMYFUNCTION("""COMPUTED_VALUE"""),236.0)</f>
        <v>236</v>
      </c>
      <c r="E436" s="2"/>
      <c r="F436" s="2"/>
    </row>
    <row r="437">
      <c r="A437" s="2">
        <f>IFERROR(__xludf.DUMMYFUNCTION("""COMPUTED_VALUE"""),10048.0)</f>
        <v>10048</v>
      </c>
      <c r="B437" s="2">
        <f>IFERROR(__xludf.DUMMYFUNCTION("""COMPUTED_VALUE"""),0.0)</f>
        <v>0</v>
      </c>
      <c r="C437" s="2">
        <f>IFERROR(__xludf.DUMMYFUNCTION("""COMPUTED_VALUE"""),355.0)</f>
        <v>355</v>
      </c>
      <c r="D437" s="3">
        <f>IFERROR(__xludf.DUMMYFUNCTION("""COMPUTED_VALUE"""),70.0)</f>
        <v>70</v>
      </c>
      <c r="E437" s="2"/>
      <c r="F437" s="2"/>
    </row>
    <row r="438">
      <c r="A438" s="2">
        <f>IFERROR(__xludf.DUMMYFUNCTION("""COMPUTED_VALUE"""),109534.0)</f>
        <v>109534</v>
      </c>
      <c r="B438" s="2">
        <f>IFERROR(__xludf.DUMMYFUNCTION("""COMPUTED_VALUE"""),0.0)</f>
        <v>0</v>
      </c>
      <c r="C438" s="2">
        <f>IFERROR(__xludf.DUMMYFUNCTION("""COMPUTED_VALUE"""),428.0)</f>
        <v>428</v>
      </c>
      <c r="D438" s="3">
        <f>IFERROR(__xludf.DUMMYFUNCTION("""COMPUTED_VALUE"""),319.0)</f>
        <v>319</v>
      </c>
      <c r="E438" s="2"/>
      <c r="F438" s="2"/>
    </row>
    <row r="439">
      <c r="A439" s="2">
        <f>IFERROR(__xludf.DUMMYFUNCTION("""COMPUTED_VALUE"""),111802.0)</f>
        <v>111802</v>
      </c>
      <c r="B439" s="2">
        <f>IFERROR(__xludf.DUMMYFUNCTION("""COMPUTED_VALUE"""),0.0)</f>
        <v>0</v>
      </c>
      <c r="C439" s="2">
        <f>IFERROR(__xludf.DUMMYFUNCTION("""COMPUTED_VALUE"""),108.0)</f>
        <v>108</v>
      </c>
      <c r="D439" s="3">
        <f>IFERROR(__xludf.DUMMYFUNCTION("""COMPUTED_VALUE"""),75.0)</f>
        <v>75</v>
      </c>
      <c r="E439" s="2"/>
      <c r="F439" s="2"/>
    </row>
    <row r="440">
      <c r="A440" s="2">
        <f>IFERROR(__xludf.DUMMYFUNCTION("""COMPUTED_VALUE"""),108801.0)</f>
        <v>108801</v>
      </c>
      <c r="B440" s="2">
        <f>IFERROR(__xludf.DUMMYFUNCTION("""COMPUTED_VALUE"""),0.0)</f>
        <v>0</v>
      </c>
      <c r="C440" s="2">
        <f>IFERROR(__xludf.DUMMYFUNCTION("""COMPUTED_VALUE"""),15.0)</f>
        <v>15</v>
      </c>
      <c r="D440" s="3">
        <f>IFERROR(__xludf.DUMMYFUNCTION("""COMPUTED_VALUE"""),5.0)</f>
        <v>5</v>
      </c>
      <c r="E440" s="2"/>
      <c r="F440" s="2"/>
    </row>
    <row r="441">
      <c r="A441" s="2">
        <f>IFERROR(__xludf.DUMMYFUNCTION("""COMPUTED_VALUE"""),9735.0)</f>
        <v>9735</v>
      </c>
      <c r="B441" s="2">
        <f>IFERROR(__xludf.DUMMYFUNCTION("""COMPUTED_VALUE"""),0.0)</f>
        <v>0</v>
      </c>
      <c r="C441" s="2">
        <f>IFERROR(__xludf.DUMMYFUNCTION("""COMPUTED_VALUE"""),832.0)</f>
        <v>832</v>
      </c>
      <c r="D441" s="3">
        <f>IFERROR(__xludf.DUMMYFUNCTION("""COMPUTED_VALUE"""),422.0)</f>
        <v>422</v>
      </c>
      <c r="E441" s="2"/>
      <c r="F441" s="2"/>
    </row>
    <row r="442">
      <c r="A442" s="2">
        <f>IFERROR(__xludf.DUMMYFUNCTION("""COMPUTED_VALUE"""),109531.0)</f>
        <v>109531</v>
      </c>
      <c r="B442" s="2">
        <f>IFERROR(__xludf.DUMMYFUNCTION("""COMPUTED_VALUE"""),1.0)</f>
        <v>1</v>
      </c>
      <c r="C442" s="2">
        <f>IFERROR(__xludf.DUMMYFUNCTION("""COMPUTED_VALUE"""),678.0)</f>
        <v>678</v>
      </c>
      <c r="D442" s="3">
        <f>IFERROR(__xludf.DUMMYFUNCTION("""COMPUTED_VALUE"""),667.0)</f>
        <v>667</v>
      </c>
      <c r="E442" s="2"/>
      <c r="F442" s="2"/>
    </row>
    <row r="443">
      <c r="A443" s="2">
        <f>IFERROR(__xludf.DUMMYFUNCTION("""COMPUTED_VALUE"""),44533.0)</f>
        <v>44533</v>
      </c>
      <c r="B443" s="2">
        <f>IFERROR(__xludf.DUMMYFUNCTION("""COMPUTED_VALUE"""),1.0)</f>
        <v>1</v>
      </c>
      <c r="C443" s="2">
        <f>IFERROR(__xludf.DUMMYFUNCTION("""COMPUTED_VALUE"""),671.0)</f>
        <v>671</v>
      </c>
      <c r="D443" s="3">
        <f>IFERROR(__xludf.DUMMYFUNCTION("""COMPUTED_VALUE"""),544.0)</f>
        <v>544</v>
      </c>
      <c r="E443" s="2"/>
      <c r="F443" s="2"/>
    </row>
    <row r="444">
      <c r="A444" s="2">
        <f>IFERROR(__xludf.DUMMYFUNCTION("""COMPUTED_VALUE"""),158465.0)</f>
        <v>158465</v>
      </c>
      <c r="B444" s="2">
        <f>IFERROR(__xludf.DUMMYFUNCTION("""COMPUTED_VALUE"""),1.0)</f>
        <v>1</v>
      </c>
      <c r="C444" s="2">
        <f>IFERROR(__xludf.DUMMYFUNCTION("""COMPUTED_VALUE"""),470.0)</f>
        <v>470</v>
      </c>
      <c r="D444" s="3">
        <f>IFERROR(__xludf.DUMMYFUNCTION("""COMPUTED_VALUE"""),444.0)</f>
        <v>444</v>
      </c>
      <c r="E444" s="2"/>
      <c r="F444" s="2"/>
    </row>
    <row r="445">
      <c r="A445" s="2">
        <f>IFERROR(__xludf.DUMMYFUNCTION("""COMPUTED_VALUE"""),79107.0)</f>
        <v>79107</v>
      </c>
      <c r="B445" s="2">
        <f>IFERROR(__xludf.DUMMYFUNCTION("""COMPUTED_VALUE"""),0.0)</f>
        <v>0</v>
      </c>
      <c r="C445" s="2">
        <f>IFERROR(__xludf.DUMMYFUNCTION("""COMPUTED_VALUE"""),713.0)</f>
        <v>713</v>
      </c>
      <c r="D445" s="3">
        <f>IFERROR(__xludf.DUMMYFUNCTION("""COMPUTED_VALUE"""),409.0)</f>
        <v>409</v>
      </c>
      <c r="E445" s="2"/>
      <c r="F445" s="2"/>
    </row>
    <row r="446">
      <c r="A446" s="2">
        <f>IFERROR(__xludf.DUMMYFUNCTION("""COMPUTED_VALUE"""),78631.0)</f>
        <v>78631</v>
      </c>
      <c r="B446" s="2">
        <f>IFERROR(__xludf.DUMMYFUNCTION("""COMPUTED_VALUE"""),1.0)</f>
        <v>1</v>
      </c>
      <c r="C446" s="2">
        <f>IFERROR(__xludf.DUMMYFUNCTION("""COMPUTED_VALUE"""),842.0)</f>
        <v>842</v>
      </c>
      <c r="D446" s="3">
        <f>IFERROR(__xludf.DUMMYFUNCTION("""COMPUTED_VALUE"""),452.0)</f>
        <v>452</v>
      </c>
      <c r="E446" s="2"/>
      <c r="F446" s="2"/>
    </row>
    <row r="447">
      <c r="A447" s="2">
        <f>IFERROR(__xludf.DUMMYFUNCTION("""COMPUTED_VALUE"""),120469.0)</f>
        <v>120469</v>
      </c>
      <c r="B447" s="2">
        <f>IFERROR(__xludf.DUMMYFUNCTION("""COMPUTED_VALUE"""),1.0)</f>
        <v>1</v>
      </c>
      <c r="C447" s="2">
        <f>IFERROR(__xludf.DUMMYFUNCTION("""COMPUTED_VALUE"""),396.0)</f>
        <v>396</v>
      </c>
      <c r="D447" s="3">
        <f>IFERROR(__xludf.DUMMYFUNCTION("""COMPUTED_VALUE"""),24.0)</f>
        <v>24</v>
      </c>
      <c r="E447" s="2"/>
      <c r="F447" s="2"/>
    </row>
    <row r="448">
      <c r="A448" s="2">
        <f>IFERROR(__xludf.DUMMYFUNCTION("""COMPUTED_VALUE"""),6523.0)</f>
        <v>6523</v>
      </c>
      <c r="B448" s="2">
        <f>IFERROR(__xludf.DUMMYFUNCTION("""COMPUTED_VALUE"""),0.0)</f>
        <v>0</v>
      </c>
      <c r="C448" s="2">
        <f>IFERROR(__xludf.DUMMYFUNCTION("""COMPUTED_VALUE"""),141.0)</f>
        <v>141</v>
      </c>
      <c r="D448" s="3">
        <f>IFERROR(__xludf.DUMMYFUNCTION("""COMPUTED_VALUE"""),38.0)</f>
        <v>38</v>
      </c>
      <c r="E448" s="2"/>
      <c r="F448" s="2"/>
    </row>
    <row r="449">
      <c r="A449" s="2">
        <f>IFERROR(__xludf.DUMMYFUNCTION("""COMPUTED_VALUE"""),41819.0)</f>
        <v>41819</v>
      </c>
      <c r="B449" s="2">
        <f>IFERROR(__xludf.DUMMYFUNCTION("""COMPUTED_VALUE"""),1.0)</f>
        <v>1</v>
      </c>
      <c r="C449" s="2">
        <f>IFERROR(__xludf.DUMMYFUNCTION("""COMPUTED_VALUE"""),668.0)</f>
        <v>668</v>
      </c>
      <c r="D449" s="3">
        <f>IFERROR(__xludf.DUMMYFUNCTION("""COMPUTED_VALUE"""),78.0)</f>
        <v>78</v>
      </c>
      <c r="E449" s="2"/>
      <c r="F449" s="2"/>
    </row>
    <row r="450">
      <c r="A450" s="2">
        <f>IFERROR(__xludf.DUMMYFUNCTION("""COMPUTED_VALUE"""),108889.0)</f>
        <v>108889</v>
      </c>
      <c r="B450" s="2">
        <f>IFERROR(__xludf.DUMMYFUNCTION("""COMPUTED_VALUE"""),1.0)</f>
        <v>1</v>
      </c>
      <c r="C450" s="2">
        <f>IFERROR(__xludf.DUMMYFUNCTION("""COMPUTED_VALUE"""),57.0)</f>
        <v>57</v>
      </c>
      <c r="D450" s="3">
        <f>IFERROR(__xludf.DUMMYFUNCTION("""COMPUTED_VALUE"""),15.0)</f>
        <v>15</v>
      </c>
      <c r="E450" s="2"/>
      <c r="F450" s="2"/>
    </row>
    <row r="451">
      <c r="A451" s="2">
        <f>IFERROR(__xludf.DUMMYFUNCTION("""COMPUTED_VALUE"""),92564.0)</f>
        <v>92564</v>
      </c>
      <c r="B451" s="2">
        <f>IFERROR(__xludf.DUMMYFUNCTION("""COMPUTED_VALUE"""),0.0)</f>
        <v>0</v>
      </c>
      <c r="C451" s="2">
        <f>IFERROR(__xludf.DUMMYFUNCTION("""COMPUTED_VALUE"""),179.0)</f>
        <v>179</v>
      </c>
      <c r="D451" s="3">
        <f>IFERROR(__xludf.DUMMYFUNCTION("""COMPUTED_VALUE"""),33.0)</f>
        <v>33</v>
      </c>
      <c r="E451" s="2"/>
      <c r="F451" s="2"/>
    </row>
    <row r="452">
      <c r="A452" s="2">
        <f>IFERROR(__xludf.DUMMYFUNCTION("""COMPUTED_VALUE"""),158456.0)</f>
        <v>158456</v>
      </c>
      <c r="B452" s="2">
        <f>IFERROR(__xludf.DUMMYFUNCTION("""COMPUTED_VALUE"""),0.0)</f>
        <v>0</v>
      </c>
      <c r="C452" s="2">
        <f>IFERROR(__xludf.DUMMYFUNCTION("""COMPUTED_VALUE"""),327.0)</f>
        <v>327</v>
      </c>
      <c r="D452" s="3">
        <f>IFERROR(__xludf.DUMMYFUNCTION("""COMPUTED_VALUE"""),240.0)</f>
        <v>240</v>
      </c>
      <c r="E452" s="2"/>
      <c r="F452" s="2"/>
    </row>
    <row r="453">
      <c r="A453" s="2">
        <f>IFERROR(__xludf.DUMMYFUNCTION("""COMPUTED_VALUE"""),111735.0)</f>
        <v>111735</v>
      </c>
      <c r="B453" s="2">
        <f>IFERROR(__xludf.DUMMYFUNCTION("""COMPUTED_VALUE"""),1.0)</f>
        <v>1</v>
      </c>
      <c r="C453" s="2">
        <f>IFERROR(__xludf.DUMMYFUNCTION("""COMPUTED_VALUE"""),855.0)</f>
        <v>855</v>
      </c>
      <c r="D453" s="3">
        <f>IFERROR(__xludf.DUMMYFUNCTION("""COMPUTED_VALUE"""),208.0)</f>
        <v>208</v>
      </c>
      <c r="E453" s="2"/>
      <c r="F453" s="2"/>
    </row>
    <row r="454">
      <c r="A454" s="2">
        <f>IFERROR(__xludf.DUMMYFUNCTION("""COMPUTED_VALUE"""),109537.0)</f>
        <v>109537</v>
      </c>
      <c r="B454" s="2">
        <f>IFERROR(__xludf.DUMMYFUNCTION("""COMPUTED_VALUE"""),0.0)</f>
        <v>0</v>
      </c>
      <c r="C454" s="2">
        <f>IFERROR(__xludf.DUMMYFUNCTION("""COMPUTED_VALUE"""),165.0)</f>
        <v>165</v>
      </c>
      <c r="D454" s="3">
        <f>IFERROR(__xludf.DUMMYFUNCTION("""COMPUTED_VALUE"""),146.0)</f>
        <v>146</v>
      </c>
      <c r="E454" s="2"/>
      <c r="F454" s="2"/>
    </row>
    <row r="455">
      <c r="A455" s="2">
        <f>IFERROR(__xludf.DUMMYFUNCTION("""COMPUTED_VALUE"""),109381.0)</f>
        <v>109381</v>
      </c>
      <c r="B455" s="2">
        <f>IFERROR(__xludf.DUMMYFUNCTION("""COMPUTED_VALUE"""),0.0)</f>
        <v>0</v>
      </c>
      <c r="C455" s="2">
        <f>IFERROR(__xludf.DUMMYFUNCTION("""COMPUTED_VALUE"""),413.0)</f>
        <v>413</v>
      </c>
      <c r="D455" s="3">
        <f>IFERROR(__xludf.DUMMYFUNCTION("""COMPUTED_VALUE"""),17.0)</f>
        <v>17</v>
      </c>
      <c r="E455" s="2"/>
      <c r="F455" s="2"/>
    </row>
    <row r="456">
      <c r="A456" s="2">
        <f>IFERROR(__xludf.DUMMYFUNCTION("""COMPUTED_VALUE"""),120944.0)</f>
        <v>120944</v>
      </c>
      <c r="B456" s="2">
        <f>IFERROR(__xludf.DUMMYFUNCTION("""COMPUTED_VALUE"""),0.0)</f>
        <v>0</v>
      </c>
      <c r="C456" s="2">
        <f>IFERROR(__xludf.DUMMYFUNCTION("""COMPUTED_VALUE"""),120.0)</f>
        <v>120</v>
      </c>
      <c r="D456" s="3">
        <f>IFERROR(__xludf.DUMMYFUNCTION("""COMPUTED_VALUE"""),87.0)</f>
        <v>87</v>
      </c>
      <c r="E456" s="2"/>
      <c r="F456" s="2"/>
    </row>
    <row r="457">
      <c r="A457" s="2">
        <f>IFERROR(__xludf.DUMMYFUNCTION("""COMPUTED_VALUE"""),29320.0)</f>
        <v>29320</v>
      </c>
      <c r="B457" s="2">
        <f>IFERROR(__xludf.DUMMYFUNCTION("""COMPUTED_VALUE"""),1.0)</f>
        <v>1</v>
      </c>
      <c r="C457" s="2">
        <f>IFERROR(__xludf.DUMMYFUNCTION("""COMPUTED_VALUE"""),165.0)</f>
        <v>165</v>
      </c>
      <c r="D457" s="3">
        <f>IFERROR(__xludf.DUMMYFUNCTION("""COMPUTED_VALUE"""),2.0)</f>
        <v>2</v>
      </c>
      <c r="E457" s="2"/>
      <c r="F457" s="2"/>
    </row>
    <row r="458">
      <c r="A458" s="2">
        <f>IFERROR(__xludf.DUMMYFUNCTION("""COMPUTED_VALUE"""),118222.0)</f>
        <v>118222</v>
      </c>
      <c r="B458" s="2">
        <f>IFERROR(__xludf.DUMMYFUNCTION("""COMPUTED_VALUE"""),1.0)</f>
        <v>1</v>
      </c>
      <c r="C458" s="2">
        <f>IFERROR(__xludf.DUMMYFUNCTION("""COMPUTED_VALUE"""),153.0)</f>
        <v>153</v>
      </c>
      <c r="D458" s="3">
        <f>IFERROR(__xludf.DUMMYFUNCTION("""COMPUTED_VALUE"""),7.0)</f>
        <v>7</v>
      </c>
      <c r="E458" s="2"/>
      <c r="F458" s="2"/>
    </row>
    <row r="459">
      <c r="A459" s="2">
        <f>IFERROR(__xludf.DUMMYFUNCTION("""COMPUTED_VALUE"""),108897.0)</f>
        <v>108897</v>
      </c>
      <c r="B459" s="2">
        <f>IFERROR(__xludf.DUMMYFUNCTION("""COMPUTED_VALUE"""),1.0)</f>
        <v>1</v>
      </c>
      <c r="C459" s="2">
        <f>IFERROR(__xludf.DUMMYFUNCTION("""COMPUTED_VALUE"""),667.0)</f>
        <v>667</v>
      </c>
      <c r="D459" s="3">
        <f>IFERROR(__xludf.DUMMYFUNCTION("""COMPUTED_VALUE"""),636.0)</f>
        <v>636</v>
      </c>
      <c r="E459" s="2"/>
      <c r="F459" s="2"/>
    </row>
    <row r="460">
      <c r="A460" s="2">
        <f>IFERROR(__xludf.DUMMYFUNCTION("""COMPUTED_VALUE"""),101565.0)</f>
        <v>101565</v>
      </c>
      <c r="B460" s="2">
        <f>IFERROR(__xludf.DUMMYFUNCTION("""COMPUTED_VALUE"""),1.0)</f>
        <v>1</v>
      </c>
      <c r="C460" s="2">
        <f>IFERROR(__xludf.DUMMYFUNCTION("""COMPUTED_VALUE"""),215.0)</f>
        <v>215</v>
      </c>
      <c r="D460" s="3">
        <f>IFERROR(__xludf.DUMMYFUNCTION("""COMPUTED_VALUE"""),116.0)</f>
        <v>116</v>
      </c>
      <c r="E460" s="2"/>
      <c r="F460" s="2"/>
    </row>
    <row r="461">
      <c r="A461" s="2">
        <f>IFERROR(__xludf.DUMMYFUNCTION("""COMPUTED_VALUE"""),29319.0)</f>
        <v>29319</v>
      </c>
      <c r="B461" s="2">
        <f>IFERROR(__xludf.DUMMYFUNCTION("""COMPUTED_VALUE"""),1.0)</f>
        <v>1</v>
      </c>
      <c r="C461" s="2">
        <f>IFERROR(__xludf.DUMMYFUNCTION("""COMPUTED_VALUE"""),544.0)</f>
        <v>544</v>
      </c>
      <c r="D461" s="3">
        <f>IFERROR(__xludf.DUMMYFUNCTION("""COMPUTED_VALUE"""),419.0)</f>
        <v>419</v>
      </c>
      <c r="E461" s="2"/>
      <c r="F461" s="2"/>
    </row>
    <row r="462">
      <c r="A462" s="2">
        <f>IFERROR(__xludf.DUMMYFUNCTION("""COMPUTED_VALUE"""),96444.0)</f>
        <v>96444</v>
      </c>
      <c r="B462" s="2">
        <f>IFERROR(__xludf.DUMMYFUNCTION("""COMPUTED_VALUE"""),0.0)</f>
        <v>0</v>
      </c>
      <c r="C462" s="2">
        <f>IFERROR(__xludf.DUMMYFUNCTION("""COMPUTED_VALUE"""),634.0)</f>
        <v>634</v>
      </c>
      <c r="D462" s="3">
        <f>IFERROR(__xludf.DUMMYFUNCTION("""COMPUTED_VALUE"""),438.0)</f>
        <v>438</v>
      </c>
      <c r="E462" s="2"/>
      <c r="F462" s="2"/>
    </row>
    <row r="463">
      <c r="A463" s="2">
        <f>IFERROR(__xludf.DUMMYFUNCTION("""COMPUTED_VALUE"""),101557.0)</f>
        <v>101557</v>
      </c>
      <c r="B463" s="2">
        <f>IFERROR(__xludf.DUMMYFUNCTION("""COMPUTED_VALUE"""),1.0)</f>
        <v>1</v>
      </c>
      <c r="C463" s="2">
        <f>IFERROR(__xludf.DUMMYFUNCTION("""COMPUTED_VALUE"""),302.0)</f>
        <v>302</v>
      </c>
      <c r="D463" s="3">
        <f>IFERROR(__xludf.DUMMYFUNCTION("""COMPUTED_VALUE"""),116.0)</f>
        <v>116</v>
      </c>
      <c r="E463" s="2"/>
      <c r="F463" s="2"/>
    </row>
    <row r="464">
      <c r="A464" s="2">
        <f>IFERROR(__xludf.DUMMYFUNCTION("""COMPUTED_VALUE"""),103610.0)</f>
        <v>103610</v>
      </c>
      <c r="B464" s="2">
        <f>IFERROR(__xludf.DUMMYFUNCTION("""COMPUTED_VALUE"""),1.0)</f>
        <v>1</v>
      </c>
      <c r="C464" s="2">
        <f>IFERROR(__xludf.DUMMYFUNCTION("""COMPUTED_VALUE"""),943.0)</f>
        <v>943</v>
      </c>
      <c r="D464" s="3">
        <f>IFERROR(__xludf.DUMMYFUNCTION("""COMPUTED_VALUE"""),773.0)</f>
        <v>773</v>
      </c>
      <c r="E464" s="2"/>
      <c r="F464" s="2"/>
    </row>
    <row r="465">
      <c r="A465" s="2">
        <f>IFERROR(__xludf.DUMMYFUNCTION("""COMPUTED_VALUE"""),181195.0)</f>
        <v>181195</v>
      </c>
      <c r="B465" s="2">
        <f>IFERROR(__xludf.DUMMYFUNCTION("""COMPUTED_VALUE"""),1.0)</f>
        <v>1</v>
      </c>
      <c r="C465" s="2">
        <f>IFERROR(__xludf.DUMMYFUNCTION("""COMPUTED_VALUE"""),110.0)</f>
        <v>110</v>
      </c>
      <c r="D465" s="3">
        <f>IFERROR(__xludf.DUMMYFUNCTION("""COMPUTED_VALUE"""),36.0)</f>
        <v>36</v>
      </c>
      <c r="E465" s="2"/>
      <c r="F465" s="2"/>
    </row>
    <row r="466">
      <c r="A466" s="2">
        <f>IFERROR(__xludf.DUMMYFUNCTION("""COMPUTED_VALUE"""),12639.0)</f>
        <v>12639</v>
      </c>
      <c r="B466" s="2">
        <f>IFERROR(__xludf.DUMMYFUNCTION("""COMPUTED_VALUE"""),1.0)</f>
        <v>1</v>
      </c>
      <c r="C466" s="2">
        <f>IFERROR(__xludf.DUMMYFUNCTION("""COMPUTED_VALUE"""),35.0)</f>
        <v>35</v>
      </c>
      <c r="D466" s="3">
        <f>IFERROR(__xludf.DUMMYFUNCTION("""COMPUTED_VALUE"""),11.0)</f>
        <v>11</v>
      </c>
      <c r="E466" s="2"/>
      <c r="F466" s="2"/>
    </row>
    <row r="467">
      <c r="A467" s="2">
        <f>IFERROR(__xludf.DUMMYFUNCTION("""COMPUTED_VALUE"""),158464.0)</f>
        <v>158464</v>
      </c>
      <c r="B467" s="2">
        <f>IFERROR(__xludf.DUMMYFUNCTION("""COMPUTED_VALUE"""),0.0)</f>
        <v>0</v>
      </c>
      <c r="C467" s="2">
        <f>IFERROR(__xludf.DUMMYFUNCTION("""COMPUTED_VALUE"""),361.0)</f>
        <v>361</v>
      </c>
      <c r="D467" s="3">
        <f>IFERROR(__xludf.DUMMYFUNCTION("""COMPUTED_VALUE"""),172.0)</f>
        <v>172</v>
      </c>
      <c r="E467" s="2"/>
      <c r="F467" s="2"/>
    </row>
    <row r="468">
      <c r="A468" s="2">
        <f>IFERROR(__xludf.DUMMYFUNCTION("""COMPUTED_VALUE"""),116525.0)</f>
        <v>116525</v>
      </c>
      <c r="B468" s="2">
        <f>IFERROR(__xludf.DUMMYFUNCTION("""COMPUTED_VALUE"""),1.0)</f>
        <v>1</v>
      </c>
      <c r="C468" s="2">
        <f>IFERROR(__xludf.DUMMYFUNCTION("""COMPUTED_VALUE"""),181.0)</f>
        <v>181</v>
      </c>
      <c r="D468" s="3">
        <f>IFERROR(__xludf.DUMMYFUNCTION("""COMPUTED_VALUE"""),144.0)</f>
        <v>144</v>
      </c>
      <c r="E468" s="2"/>
      <c r="F468" s="2"/>
    </row>
    <row r="469">
      <c r="A469" s="2">
        <f>IFERROR(__xludf.DUMMYFUNCTION("""COMPUTED_VALUE"""),116295.0)</f>
        <v>116295</v>
      </c>
      <c r="B469" s="2">
        <f>IFERROR(__xludf.DUMMYFUNCTION("""COMPUTED_VALUE"""),0.0)</f>
        <v>0</v>
      </c>
      <c r="C469" s="2">
        <f>IFERROR(__xludf.DUMMYFUNCTION("""COMPUTED_VALUE"""),760.0)</f>
        <v>760</v>
      </c>
      <c r="D469" s="3">
        <f>IFERROR(__xludf.DUMMYFUNCTION("""COMPUTED_VALUE"""),658.0)</f>
        <v>658</v>
      </c>
      <c r="E469" s="2"/>
      <c r="F469" s="2"/>
    </row>
    <row r="470">
      <c r="A470" s="2">
        <f>IFERROR(__xludf.DUMMYFUNCTION("""COMPUTED_VALUE"""),116297.0)</f>
        <v>116297</v>
      </c>
      <c r="B470" s="2">
        <f>IFERROR(__xludf.DUMMYFUNCTION("""COMPUTED_VALUE"""),1.0)</f>
        <v>1</v>
      </c>
      <c r="C470" s="2">
        <f>IFERROR(__xludf.DUMMYFUNCTION("""COMPUTED_VALUE"""),587.0)</f>
        <v>587</v>
      </c>
      <c r="D470" s="3">
        <f>IFERROR(__xludf.DUMMYFUNCTION("""COMPUTED_VALUE"""),477.0)</f>
        <v>477</v>
      </c>
      <c r="E470" s="2"/>
      <c r="F470" s="2"/>
    </row>
    <row r="471">
      <c r="A471" s="2">
        <f>IFERROR(__xludf.DUMMYFUNCTION("""COMPUTED_VALUE"""),11421.0)</f>
        <v>11421</v>
      </c>
      <c r="B471" s="2">
        <f>IFERROR(__xludf.DUMMYFUNCTION("""COMPUTED_VALUE"""),1.0)</f>
        <v>1</v>
      </c>
      <c r="C471" s="2">
        <f>IFERROR(__xludf.DUMMYFUNCTION("""COMPUTED_VALUE"""),642.0)</f>
        <v>642</v>
      </c>
      <c r="D471" s="3">
        <f>IFERROR(__xludf.DUMMYFUNCTION("""COMPUTED_VALUE"""),56.0)</f>
        <v>56</v>
      </c>
      <c r="E471" s="2"/>
      <c r="F471" s="2"/>
    </row>
    <row r="472">
      <c r="A472" s="2">
        <f>IFERROR(__xludf.DUMMYFUNCTION("""COMPUTED_VALUE"""),101549.0)</f>
        <v>101549</v>
      </c>
      <c r="B472" s="2">
        <f>IFERROR(__xludf.DUMMYFUNCTION("""COMPUTED_VALUE"""),0.0)</f>
        <v>0</v>
      </c>
      <c r="C472" s="2">
        <f>IFERROR(__xludf.DUMMYFUNCTION("""COMPUTED_VALUE"""),727.0)</f>
        <v>727</v>
      </c>
      <c r="D472" s="3">
        <f>IFERROR(__xludf.DUMMYFUNCTION("""COMPUTED_VALUE"""),398.0)</f>
        <v>398</v>
      </c>
      <c r="E472" s="2"/>
      <c r="F472" s="2"/>
    </row>
    <row r="473">
      <c r="A473" s="2">
        <f>IFERROR(__xludf.DUMMYFUNCTION("""COMPUTED_VALUE"""),109543.0)</f>
        <v>109543</v>
      </c>
      <c r="B473" s="2">
        <f>IFERROR(__xludf.DUMMYFUNCTION("""COMPUTED_VALUE"""),1.0)</f>
        <v>1</v>
      </c>
      <c r="C473" s="2">
        <f>IFERROR(__xludf.DUMMYFUNCTION("""COMPUTED_VALUE"""),658.0)</f>
        <v>658</v>
      </c>
      <c r="D473" s="3">
        <f>IFERROR(__xludf.DUMMYFUNCTION("""COMPUTED_VALUE"""),613.0)</f>
        <v>613</v>
      </c>
      <c r="E473" s="2"/>
      <c r="F473" s="2"/>
    </row>
    <row r="474">
      <c r="A474" s="2">
        <f>IFERROR(__xludf.DUMMYFUNCTION("""COMPUTED_VALUE"""),79318.0)</f>
        <v>79318</v>
      </c>
      <c r="B474" s="2">
        <f>IFERROR(__xludf.DUMMYFUNCTION("""COMPUTED_VALUE"""),1.0)</f>
        <v>1</v>
      </c>
      <c r="C474" s="2">
        <f>IFERROR(__xludf.DUMMYFUNCTION("""COMPUTED_VALUE"""),463.0)</f>
        <v>463</v>
      </c>
      <c r="D474" s="3">
        <f>IFERROR(__xludf.DUMMYFUNCTION("""COMPUTED_VALUE"""),429.0)</f>
        <v>429</v>
      </c>
      <c r="E474" s="2"/>
      <c r="F474" s="2"/>
    </row>
    <row r="475">
      <c r="A475" s="2">
        <f>IFERROR(__xludf.DUMMYFUNCTION("""COMPUTED_VALUE"""),2203.0)</f>
        <v>2203</v>
      </c>
      <c r="B475" s="2">
        <f>IFERROR(__xludf.DUMMYFUNCTION("""COMPUTED_VALUE"""),1.0)</f>
        <v>1</v>
      </c>
      <c r="C475" s="2">
        <f>IFERROR(__xludf.DUMMYFUNCTION("""COMPUTED_VALUE"""),893.0)</f>
        <v>893</v>
      </c>
      <c r="D475" s="3">
        <f>IFERROR(__xludf.DUMMYFUNCTION("""COMPUTED_VALUE"""),120.0)</f>
        <v>120</v>
      </c>
      <c r="E475" s="2"/>
      <c r="F475" s="2"/>
    </row>
    <row r="476">
      <c r="A476" s="2">
        <f>IFERROR(__xludf.DUMMYFUNCTION("""COMPUTED_VALUE"""),111727.0)</f>
        <v>111727</v>
      </c>
      <c r="B476" s="2">
        <f>IFERROR(__xludf.DUMMYFUNCTION("""COMPUTED_VALUE"""),0.0)</f>
        <v>0</v>
      </c>
      <c r="C476" s="2">
        <f>IFERROR(__xludf.DUMMYFUNCTION("""COMPUTED_VALUE"""),931.0)</f>
        <v>931</v>
      </c>
      <c r="D476" s="3">
        <f>IFERROR(__xludf.DUMMYFUNCTION("""COMPUTED_VALUE"""),238.0)</f>
        <v>238</v>
      </c>
      <c r="E476" s="2"/>
      <c r="F476" s="2"/>
    </row>
    <row r="477">
      <c r="A477" s="2">
        <f>IFERROR(__xludf.DUMMYFUNCTION("""COMPUTED_VALUE"""),118151.0)</f>
        <v>118151</v>
      </c>
      <c r="B477" s="2">
        <f>IFERROR(__xludf.DUMMYFUNCTION("""COMPUTED_VALUE"""),0.0)</f>
        <v>0</v>
      </c>
      <c r="C477" s="2">
        <f>IFERROR(__xludf.DUMMYFUNCTION("""COMPUTED_VALUE"""),654.0)</f>
        <v>654</v>
      </c>
      <c r="D477" s="3">
        <f>IFERROR(__xludf.DUMMYFUNCTION("""COMPUTED_VALUE"""),84.0)</f>
        <v>84</v>
      </c>
      <c r="E477" s="2"/>
      <c r="F477" s="2"/>
    </row>
    <row r="478">
      <c r="A478" s="2">
        <f>IFERROR(__xludf.DUMMYFUNCTION("""COMPUTED_VALUE"""),108888.0)</f>
        <v>108888</v>
      </c>
      <c r="B478" s="2">
        <f>IFERROR(__xludf.DUMMYFUNCTION("""COMPUTED_VALUE"""),0.0)</f>
        <v>0</v>
      </c>
      <c r="C478" s="2">
        <f>IFERROR(__xludf.DUMMYFUNCTION("""COMPUTED_VALUE"""),833.0)</f>
        <v>833</v>
      </c>
      <c r="D478" s="3">
        <f>IFERROR(__xludf.DUMMYFUNCTION("""COMPUTED_VALUE"""),305.0)</f>
        <v>305</v>
      </c>
      <c r="E478" s="2"/>
      <c r="F478" s="2"/>
    </row>
    <row r="479">
      <c r="A479" s="2">
        <f>IFERROR(__xludf.DUMMYFUNCTION("""COMPUTED_VALUE"""),120465.0)</f>
        <v>120465</v>
      </c>
      <c r="B479" s="2">
        <f>IFERROR(__xludf.DUMMYFUNCTION("""COMPUTED_VALUE"""),0.0)</f>
        <v>0</v>
      </c>
      <c r="C479" s="2">
        <f>IFERROR(__xludf.DUMMYFUNCTION("""COMPUTED_VALUE"""),510.0)</f>
        <v>510</v>
      </c>
      <c r="D479" s="3">
        <f>IFERROR(__xludf.DUMMYFUNCTION("""COMPUTED_VALUE"""),227.0)</f>
        <v>227</v>
      </c>
      <c r="E479" s="2"/>
      <c r="F479" s="2"/>
    </row>
    <row r="480">
      <c r="A480" s="2">
        <f>IFERROR(__xludf.DUMMYFUNCTION("""COMPUTED_VALUE"""),92561.0)</f>
        <v>92561</v>
      </c>
      <c r="B480" s="2">
        <f>IFERROR(__xludf.DUMMYFUNCTION("""COMPUTED_VALUE"""),1.0)</f>
        <v>1</v>
      </c>
      <c r="C480" s="2">
        <f>IFERROR(__xludf.DUMMYFUNCTION("""COMPUTED_VALUE"""),428.0)</f>
        <v>428</v>
      </c>
      <c r="D480" s="3">
        <f>IFERROR(__xludf.DUMMYFUNCTION("""COMPUTED_VALUE"""),45.0)</f>
        <v>45</v>
      </c>
      <c r="E480" s="2"/>
      <c r="F480" s="2"/>
    </row>
    <row r="481">
      <c r="A481" s="2">
        <f>IFERROR(__xludf.DUMMYFUNCTION("""COMPUTED_VALUE"""),150294.0)</f>
        <v>150294</v>
      </c>
      <c r="B481" s="2">
        <f>IFERROR(__xludf.DUMMYFUNCTION("""COMPUTED_VALUE"""),1.0)</f>
        <v>1</v>
      </c>
      <c r="C481" s="2">
        <f>IFERROR(__xludf.DUMMYFUNCTION("""COMPUTED_VALUE"""),185.0)</f>
        <v>185</v>
      </c>
      <c r="D481" s="3">
        <f>IFERROR(__xludf.DUMMYFUNCTION("""COMPUTED_VALUE"""),146.0)</f>
        <v>146</v>
      </c>
      <c r="E481" s="2"/>
      <c r="F481" s="2"/>
    </row>
    <row r="482">
      <c r="A482" s="2">
        <f>IFERROR(__xludf.DUMMYFUNCTION("""COMPUTED_VALUE"""),108895.0)</f>
        <v>108895</v>
      </c>
      <c r="B482" s="2">
        <f>IFERROR(__xludf.DUMMYFUNCTION("""COMPUTED_VALUE"""),0.0)</f>
        <v>0</v>
      </c>
      <c r="C482" s="2">
        <f>IFERROR(__xludf.DUMMYFUNCTION("""COMPUTED_VALUE"""),538.0)</f>
        <v>538</v>
      </c>
      <c r="D482" s="3">
        <f>IFERROR(__xludf.DUMMYFUNCTION("""COMPUTED_VALUE"""),366.0)</f>
        <v>366</v>
      </c>
      <c r="E482" s="2"/>
      <c r="F482" s="2"/>
    </row>
    <row r="483">
      <c r="A483" s="2">
        <f>IFERROR(__xludf.DUMMYFUNCTION("""COMPUTED_VALUE"""),41666.0)</f>
        <v>41666</v>
      </c>
      <c r="B483" s="2">
        <f>IFERROR(__xludf.DUMMYFUNCTION("""COMPUTED_VALUE"""),0.0)</f>
        <v>0</v>
      </c>
      <c r="C483" s="2">
        <f>IFERROR(__xludf.DUMMYFUNCTION("""COMPUTED_VALUE"""),363.0)</f>
        <v>363</v>
      </c>
      <c r="D483" s="3">
        <f>IFERROR(__xludf.DUMMYFUNCTION("""COMPUTED_VALUE"""),288.0)</f>
        <v>288</v>
      </c>
      <c r="E483" s="2"/>
      <c r="F483" s="2"/>
    </row>
    <row r="484">
      <c r="A484" s="2">
        <f>IFERROR(__xludf.DUMMYFUNCTION("""COMPUTED_VALUE"""),41816.0)</f>
        <v>41816</v>
      </c>
      <c r="B484" s="2">
        <f>IFERROR(__xludf.DUMMYFUNCTION("""COMPUTED_VALUE"""),1.0)</f>
        <v>1</v>
      </c>
      <c r="C484" s="2">
        <f>IFERROR(__xludf.DUMMYFUNCTION("""COMPUTED_VALUE"""),143.0)</f>
        <v>143</v>
      </c>
      <c r="D484" s="3">
        <f>IFERROR(__xludf.DUMMYFUNCTION("""COMPUTED_VALUE"""),140.0)</f>
        <v>140</v>
      </c>
      <c r="E484" s="2"/>
      <c r="F484" s="2"/>
    </row>
    <row r="485">
      <c r="A485" s="2">
        <f>IFERROR(__xludf.DUMMYFUNCTION("""COMPUTED_VALUE"""),99779.0)</f>
        <v>99779</v>
      </c>
      <c r="B485" s="2">
        <f>IFERROR(__xludf.DUMMYFUNCTION("""COMPUTED_VALUE"""),1.0)</f>
        <v>1</v>
      </c>
      <c r="C485" s="2">
        <f>IFERROR(__xludf.DUMMYFUNCTION("""COMPUTED_VALUE"""),950.0)</f>
        <v>950</v>
      </c>
      <c r="D485" s="3">
        <f>IFERROR(__xludf.DUMMYFUNCTION("""COMPUTED_VALUE"""),437.0)</f>
        <v>437</v>
      </c>
      <c r="E485" s="2"/>
      <c r="F485" s="2"/>
    </row>
    <row r="486">
      <c r="A486" s="2">
        <f>IFERROR(__xludf.DUMMYFUNCTION("""COMPUTED_VALUE"""),111716.0)</f>
        <v>111716</v>
      </c>
      <c r="B486" s="2">
        <f>IFERROR(__xludf.DUMMYFUNCTION("""COMPUTED_VALUE"""),0.0)</f>
        <v>0</v>
      </c>
      <c r="C486" s="2">
        <f>IFERROR(__xludf.DUMMYFUNCTION("""COMPUTED_VALUE"""),940.0)</f>
        <v>940</v>
      </c>
      <c r="D486" s="3">
        <f>IFERROR(__xludf.DUMMYFUNCTION("""COMPUTED_VALUE"""),696.0)</f>
        <v>696</v>
      </c>
      <c r="E486" s="2"/>
      <c r="F486" s="2"/>
    </row>
    <row r="487">
      <c r="A487" s="2">
        <f>IFERROR(__xludf.DUMMYFUNCTION("""COMPUTED_VALUE"""),96443.0)</f>
        <v>96443</v>
      </c>
      <c r="B487" s="2">
        <f>IFERROR(__xludf.DUMMYFUNCTION("""COMPUTED_VALUE"""),1.0)</f>
        <v>1</v>
      </c>
      <c r="C487" s="2">
        <f>IFERROR(__xludf.DUMMYFUNCTION("""COMPUTED_VALUE"""),134.0)</f>
        <v>134</v>
      </c>
      <c r="D487" s="3">
        <f>IFERROR(__xludf.DUMMYFUNCTION("""COMPUTED_VALUE"""),63.0)</f>
        <v>63</v>
      </c>
      <c r="E487" s="2"/>
      <c r="F487" s="2"/>
    </row>
    <row r="488">
      <c r="A488" s="2">
        <f>IFERROR(__xludf.DUMMYFUNCTION("""COMPUTED_VALUE"""),193187.0)</f>
        <v>193187</v>
      </c>
      <c r="B488" s="2">
        <f>IFERROR(__xludf.DUMMYFUNCTION("""COMPUTED_VALUE"""),1.0)</f>
        <v>1</v>
      </c>
      <c r="C488" s="2">
        <f>IFERROR(__xludf.DUMMYFUNCTION("""COMPUTED_VALUE"""),442.0)</f>
        <v>442</v>
      </c>
      <c r="D488" s="3">
        <f>IFERROR(__xludf.DUMMYFUNCTION("""COMPUTED_VALUE"""),359.0)</f>
        <v>359</v>
      </c>
      <c r="E488" s="2"/>
      <c r="F488" s="2"/>
    </row>
    <row r="489">
      <c r="A489" s="2">
        <f>IFERROR(__xludf.DUMMYFUNCTION("""COMPUTED_VALUE"""),96068.0)</f>
        <v>96068</v>
      </c>
      <c r="B489" s="2">
        <f>IFERROR(__xludf.DUMMYFUNCTION("""COMPUTED_VALUE"""),0.0)</f>
        <v>0</v>
      </c>
      <c r="C489" s="2">
        <f>IFERROR(__xludf.DUMMYFUNCTION("""COMPUTED_VALUE"""),74.0)</f>
        <v>74</v>
      </c>
      <c r="D489" s="3">
        <f>IFERROR(__xludf.DUMMYFUNCTION("""COMPUTED_VALUE"""),14.0)</f>
        <v>14</v>
      </c>
      <c r="E489" s="2"/>
      <c r="F489" s="2"/>
    </row>
    <row r="490">
      <c r="A490" s="2">
        <f>IFERROR(__xludf.DUMMYFUNCTION("""COMPUTED_VALUE"""),3227.0)</f>
        <v>3227</v>
      </c>
      <c r="B490" s="2">
        <f>IFERROR(__xludf.DUMMYFUNCTION("""COMPUTED_VALUE"""),1.0)</f>
        <v>1</v>
      </c>
      <c r="C490" s="2">
        <f>IFERROR(__xludf.DUMMYFUNCTION("""COMPUTED_VALUE"""),697.0)</f>
        <v>697</v>
      </c>
      <c r="D490" s="3">
        <f>IFERROR(__xludf.DUMMYFUNCTION("""COMPUTED_VALUE"""),610.0)</f>
        <v>610</v>
      </c>
      <c r="E490" s="2"/>
      <c r="F490" s="2"/>
    </row>
    <row r="491">
      <c r="A491" s="2">
        <f>IFERROR(__xludf.DUMMYFUNCTION("""COMPUTED_VALUE"""),193183.0)</f>
        <v>193183</v>
      </c>
      <c r="B491" s="2">
        <f>IFERROR(__xludf.DUMMYFUNCTION("""COMPUTED_VALUE"""),0.0)</f>
        <v>0</v>
      </c>
      <c r="C491" s="2">
        <f>IFERROR(__xludf.DUMMYFUNCTION("""COMPUTED_VALUE"""),618.0)</f>
        <v>618</v>
      </c>
      <c r="D491" s="3">
        <f>IFERROR(__xludf.DUMMYFUNCTION("""COMPUTED_VALUE"""),353.0)</f>
        <v>353</v>
      </c>
      <c r="E491" s="2"/>
      <c r="F491" s="2"/>
    </row>
    <row r="492">
      <c r="A492" s="2">
        <f>IFERROR(__xludf.DUMMYFUNCTION("""COMPUTED_VALUE"""),120945.0)</f>
        <v>120945</v>
      </c>
      <c r="B492" s="2">
        <f>IFERROR(__xludf.DUMMYFUNCTION("""COMPUTED_VALUE"""),0.0)</f>
        <v>0</v>
      </c>
      <c r="C492" s="2">
        <f>IFERROR(__xludf.DUMMYFUNCTION("""COMPUTED_VALUE"""),646.0)</f>
        <v>646</v>
      </c>
      <c r="D492" s="3">
        <f>IFERROR(__xludf.DUMMYFUNCTION("""COMPUTED_VALUE"""),335.0)</f>
        <v>335</v>
      </c>
      <c r="E492" s="2"/>
      <c r="F492" s="2"/>
    </row>
    <row r="493">
      <c r="A493" s="2">
        <f>IFERROR(__xludf.DUMMYFUNCTION("""COMPUTED_VALUE"""),110940.0)</f>
        <v>110940</v>
      </c>
      <c r="B493" s="2">
        <f>IFERROR(__xludf.DUMMYFUNCTION("""COMPUTED_VALUE"""),0.0)</f>
        <v>0</v>
      </c>
      <c r="C493" s="2">
        <f>IFERROR(__xludf.DUMMYFUNCTION("""COMPUTED_VALUE"""),2.0)</f>
        <v>2</v>
      </c>
      <c r="D493" s="3">
        <f>IFERROR(__xludf.DUMMYFUNCTION("""COMPUTED_VALUE"""),1.0)</f>
        <v>1</v>
      </c>
      <c r="E493" s="2"/>
      <c r="F493" s="2"/>
    </row>
    <row r="494">
      <c r="A494" s="2">
        <f>IFERROR(__xludf.DUMMYFUNCTION("""COMPUTED_VALUE"""),110942.0)</f>
        <v>110942</v>
      </c>
      <c r="B494" s="2">
        <f>IFERROR(__xludf.DUMMYFUNCTION("""COMPUTED_VALUE"""),0.0)</f>
        <v>0</v>
      </c>
      <c r="C494" s="2">
        <f>IFERROR(__xludf.DUMMYFUNCTION("""COMPUTED_VALUE"""),308.0)</f>
        <v>308</v>
      </c>
      <c r="D494" s="3">
        <f>IFERROR(__xludf.DUMMYFUNCTION("""COMPUTED_VALUE"""),276.0)</f>
        <v>276</v>
      </c>
      <c r="E494" s="2"/>
      <c r="F494" s="2"/>
    </row>
    <row r="495">
      <c r="A495" s="2">
        <f>IFERROR(__xludf.DUMMYFUNCTION("""COMPUTED_VALUE"""),142301.0)</f>
        <v>142301</v>
      </c>
      <c r="B495" s="2">
        <f>IFERROR(__xludf.DUMMYFUNCTION("""COMPUTED_VALUE"""),1.0)</f>
        <v>1</v>
      </c>
      <c r="C495" s="2">
        <f>IFERROR(__xludf.DUMMYFUNCTION("""COMPUTED_VALUE"""),876.0)</f>
        <v>876</v>
      </c>
      <c r="D495" s="3">
        <f>IFERROR(__xludf.DUMMYFUNCTION("""COMPUTED_VALUE"""),200.0)</f>
        <v>200</v>
      </c>
      <c r="E495" s="2"/>
      <c r="F495" s="2"/>
    </row>
    <row r="496">
      <c r="A496" s="2">
        <f>IFERROR(__xludf.DUMMYFUNCTION("""COMPUTED_VALUE"""),109760.0)</f>
        <v>109760</v>
      </c>
      <c r="B496" s="2">
        <f>IFERROR(__xludf.DUMMYFUNCTION("""COMPUTED_VALUE"""),0.0)</f>
        <v>0</v>
      </c>
      <c r="C496" s="2">
        <f>IFERROR(__xludf.DUMMYFUNCTION("""COMPUTED_VALUE"""),271.0)</f>
        <v>271</v>
      </c>
      <c r="D496" s="3">
        <f>IFERROR(__xludf.DUMMYFUNCTION("""COMPUTED_VALUE"""),30.0)</f>
        <v>30</v>
      </c>
      <c r="E496" s="2"/>
      <c r="F496" s="2"/>
    </row>
    <row r="497">
      <c r="A497" s="2">
        <f>IFERROR(__xludf.DUMMYFUNCTION("""COMPUTED_VALUE"""),100392.0)</f>
        <v>100392</v>
      </c>
      <c r="B497" s="2">
        <f>IFERROR(__xludf.DUMMYFUNCTION("""COMPUTED_VALUE"""),0.0)</f>
        <v>0</v>
      </c>
      <c r="C497" s="2">
        <f>IFERROR(__xludf.DUMMYFUNCTION("""COMPUTED_VALUE"""),290.0)</f>
        <v>290</v>
      </c>
      <c r="D497" s="3">
        <f>IFERROR(__xludf.DUMMYFUNCTION("""COMPUTED_VALUE"""),209.0)</f>
        <v>209</v>
      </c>
      <c r="E497" s="2"/>
      <c r="F497" s="2"/>
    </row>
    <row r="498">
      <c r="A498" s="2">
        <f>IFERROR(__xludf.DUMMYFUNCTION("""COMPUTED_VALUE"""),109763.0)</f>
        <v>109763</v>
      </c>
      <c r="B498" s="2">
        <f>IFERROR(__xludf.DUMMYFUNCTION("""COMPUTED_VALUE"""),1.0)</f>
        <v>1</v>
      </c>
      <c r="C498" s="2">
        <f>IFERROR(__xludf.DUMMYFUNCTION("""COMPUTED_VALUE"""),428.0)</f>
        <v>428</v>
      </c>
      <c r="D498" s="3">
        <f>IFERROR(__xludf.DUMMYFUNCTION("""COMPUTED_VALUE"""),184.0)</f>
        <v>184</v>
      </c>
      <c r="E498" s="2"/>
      <c r="F498" s="2"/>
    </row>
    <row r="499">
      <c r="A499" s="2">
        <f>IFERROR(__xludf.DUMMYFUNCTION("""COMPUTED_VALUE"""),7271.0)</f>
        <v>7271</v>
      </c>
      <c r="B499" s="2">
        <f>IFERROR(__xludf.DUMMYFUNCTION("""COMPUTED_VALUE"""),1.0)</f>
        <v>1</v>
      </c>
      <c r="C499" s="2">
        <f>IFERROR(__xludf.DUMMYFUNCTION("""COMPUTED_VALUE"""),437.0)</f>
        <v>437</v>
      </c>
      <c r="D499" s="3">
        <f>IFERROR(__xludf.DUMMYFUNCTION("""COMPUTED_VALUE"""),424.0)</f>
        <v>424</v>
      </c>
      <c r="E499" s="2"/>
      <c r="F499" s="2"/>
    </row>
    <row r="500">
      <c r="A500" s="2">
        <f>IFERROR(__xludf.DUMMYFUNCTION("""COMPUTED_VALUE"""),7267.0)</f>
        <v>7267</v>
      </c>
      <c r="B500" s="2">
        <f>IFERROR(__xludf.DUMMYFUNCTION("""COMPUTED_VALUE"""),1.0)</f>
        <v>1</v>
      </c>
      <c r="C500" s="2">
        <f>IFERROR(__xludf.DUMMYFUNCTION("""COMPUTED_VALUE"""),946.0)</f>
        <v>946</v>
      </c>
      <c r="D500" s="3">
        <f>IFERROR(__xludf.DUMMYFUNCTION("""COMPUTED_VALUE"""),425.0)</f>
        <v>425</v>
      </c>
      <c r="E500" s="2"/>
      <c r="F500" s="2"/>
    </row>
    <row r="501">
      <c r="A501" s="2">
        <f>IFERROR(__xludf.DUMMYFUNCTION("""COMPUTED_VALUE"""),128412.0)</f>
        <v>128412</v>
      </c>
      <c r="B501" s="2">
        <f>IFERROR(__xludf.DUMMYFUNCTION("""COMPUTED_VALUE"""),1.0)</f>
        <v>1</v>
      </c>
      <c r="C501" s="2">
        <f>IFERROR(__xludf.DUMMYFUNCTION("""COMPUTED_VALUE"""),224.0)</f>
        <v>224</v>
      </c>
      <c r="D501" s="3">
        <f>IFERROR(__xludf.DUMMYFUNCTION("""COMPUTED_VALUE"""),59.0)</f>
        <v>59</v>
      </c>
      <c r="E501" s="2"/>
      <c r="F501" s="2"/>
    </row>
    <row r="502">
      <c r="A502" s="2">
        <f>IFERROR(__xludf.DUMMYFUNCTION("""COMPUTED_VALUE"""),7268.0)</f>
        <v>7268</v>
      </c>
      <c r="B502" s="2">
        <f>IFERROR(__xludf.DUMMYFUNCTION("""COMPUTED_VALUE"""),1.0)</f>
        <v>1</v>
      </c>
      <c r="C502" s="2">
        <f>IFERROR(__xludf.DUMMYFUNCTION("""COMPUTED_VALUE"""),207.0)</f>
        <v>207</v>
      </c>
      <c r="D502" s="3">
        <f>IFERROR(__xludf.DUMMYFUNCTION("""COMPUTED_VALUE"""),6.0)</f>
        <v>6</v>
      </c>
      <c r="E502" s="2"/>
      <c r="F502" s="2"/>
    </row>
    <row r="503">
      <c r="A503" s="2">
        <f>IFERROR(__xludf.DUMMYFUNCTION("""COMPUTED_VALUE"""),124701.0)</f>
        <v>124701</v>
      </c>
      <c r="B503" s="2">
        <f>IFERROR(__xludf.DUMMYFUNCTION("""COMPUTED_VALUE"""),1.0)</f>
        <v>1</v>
      </c>
      <c r="C503" s="2">
        <f>IFERROR(__xludf.DUMMYFUNCTION("""COMPUTED_VALUE"""),925.0)</f>
        <v>925</v>
      </c>
      <c r="D503" s="3">
        <f>IFERROR(__xludf.DUMMYFUNCTION("""COMPUTED_VALUE"""),849.0)</f>
        <v>849</v>
      </c>
      <c r="E503" s="2"/>
      <c r="F503" s="2"/>
    </row>
    <row r="504">
      <c r="A504" s="2">
        <f>IFERROR(__xludf.DUMMYFUNCTION("""COMPUTED_VALUE"""),110007.0)</f>
        <v>110007</v>
      </c>
      <c r="B504" s="2">
        <f>IFERROR(__xludf.DUMMYFUNCTION("""COMPUTED_VALUE"""),1.0)</f>
        <v>1</v>
      </c>
      <c r="C504" s="2">
        <f>IFERROR(__xludf.DUMMYFUNCTION("""COMPUTED_VALUE"""),739.0)</f>
        <v>739</v>
      </c>
      <c r="D504" s="3">
        <f>IFERROR(__xludf.DUMMYFUNCTION("""COMPUTED_VALUE"""),359.0)</f>
        <v>359</v>
      </c>
      <c r="E504" s="2"/>
      <c r="F504" s="2"/>
    </row>
    <row r="505">
      <c r="A505" s="2">
        <f>IFERROR(__xludf.DUMMYFUNCTION("""COMPUTED_VALUE"""),7266.0)</f>
        <v>7266</v>
      </c>
      <c r="B505" s="2">
        <f>IFERROR(__xludf.DUMMYFUNCTION("""COMPUTED_VALUE"""),0.0)</f>
        <v>0</v>
      </c>
      <c r="C505" s="2">
        <f>IFERROR(__xludf.DUMMYFUNCTION("""COMPUTED_VALUE"""),781.0)</f>
        <v>781</v>
      </c>
      <c r="D505" s="3">
        <f>IFERROR(__xludf.DUMMYFUNCTION("""COMPUTED_VALUE"""),629.0)</f>
        <v>629</v>
      </c>
      <c r="E505" s="2"/>
      <c r="F505" s="2"/>
    </row>
    <row r="506">
      <c r="A506" s="2">
        <f>IFERROR(__xludf.DUMMYFUNCTION("""COMPUTED_VALUE"""),7269.0)</f>
        <v>7269</v>
      </c>
      <c r="B506" s="2">
        <f>IFERROR(__xludf.DUMMYFUNCTION("""COMPUTED_VALUE"""),1.0)</f>
        <v>1</v>
      </c>
      <c r="C506" s="2">
        <f>IFERROR(__xludf.DUMMYFUNCTION("""COMPUTED_VALUE"""),811.0)</f>
        <v>811</v>
      </c>
      <c r="D506" s="3">
        <f>IFERROR(__xludf.DUMMYFUNCTION("""COMPUTED_VALUE"""),298.0)</f>
        <v>298</v>
      </c>
      <c r="E506" s="2"/>
      <c r="F506" s="2"/>
    </row>
    <row r="507">
      <c r="A507" s="2">
        <f>IFERROR(__xludf.DUMMYFUNCTION("""COMPUTED_VALUE"""),100393.0)</f>
        <v>100393</v>
      </c>
      <c r="B507" s="2">
        <f>IFERROR(__xludf.DUMMYFUNCTION("""COMPUTED_VALUE"""),0.0)</f>
        <v>0</v>
      </c>
      <c r="C507" s="2">
        <f>IFERROR(__xludf.DUMMYFUNCTION("""COMPUTED_VALUE"""),952.0)</f>
        <v>952</v>
      </c>
      <c r="D507" s="3">
        <f>IFERROR(__xludf.DUMMYFUNCTION("""COMPUTED_VALUE"""),781.0)</f>
        <v>781</v>
      </c>
      <c r="E507" s="2"/>
      <c r="F507" s="2"/>
    </row>
    <row r="508">
      <c r="A508" s="2">
        <f>IFERROR(__xludf.DUMMYFUNCTION("""COMPUTED_VALUE"""),110009.0)</f>
        <v>110009</v>
      </c>
      <c r="B508" s="2">
        <f>IFERROR(__xludf.DUMMYFUNCTION("""COMPUTED_VALUE"""),1.0)</f>
        <v>1</v>
      </c>
      <c r="C508" s="2">
        <f>IFERROR(__xludf.DUMMYFUNCTION("""COMPUTED_VALUE"""),2.0)</f>
        <v>2</v>
      </c>
      <c r="D508" s="3">
        <f>IFERROR(__xludf.DUMMYFUNCTION("""COMPUTED_VALUE"""),1.0)</f>
        <v>1</v>
      </c>
      <c r="E508" s="2"/>
      <c r="F508" s="2"/>
    </row>
    <row r="509">
      <c r="A509" s="2">
        <f>IFERROR(__xludf.DUMMYFUNCTION("""COMPUTED_VALUE"""),100394.0)</f>
        <v>100394</v>
      </c>
      <c r="B509" s="2">
        <f>IFERROR(__xludf.DUMMYFUNCTION("""COMPUTED_VALUE"""),0.0)</f>
        <v>0</v>
      </c>
      <c r="C509" s="2">
        <f>IFERROR(__xludf.DUMMYFUNCTION("""COMPUTED_VALUE"""),193.0)</f>
        <v>193</v>
      </c>
      <c r="D509" s="3">
        <f>IFERROR(__xludf.DUMMYFUNCTION("""COMPUTED_VALUE"""),123.0)</f>
        <v>123</v>
      </c>
      <c r="E509" s="2"/>
      <c r="F509" s="2"/>
    </row>
    <row r="510">
      <c r="A510" s="2">
        <f>IFERROR(__xludf.DUMMYFUNCTION("""COMPUTED_VALUE"""),118248.0)</f>
        <v>118248</v>
      </c>
      <c r="B510" s="2">
        <f>IFERROR(__xludf.DUMMYFUNCTION("""COMPUTED_VALUE"""),0.0)</f>
        <v>0</v>
      </c>
      <c r="C510" s="2">
        <f>IFERROR(__xludf.DUMMYFUNCTION("""COMPUTED_VALUE"""),202.0)</f>
        <v>202</v>
      </c>
      <c r="D510" s="3">
        <f>IFERROR(__xludf.DUMMYFUNCTION("""COMPUTED_VALUE"""),167.0)</f>
        <v>167</v>
      </c>
      <c r="E510" s="2"/>
      <c r="F510" s="2"/>
    </row>
    <row r="511">
      <c r="A511" s="2">
        <f>IFERROR(__xludf.DUMMYFUNCTION("""COMPUTED_VALUE"""),118467.0)</f>
        <v>118467</v>
      </c>
      <c r="B511" s="2">
        <f>IFERROR(__xludf.DUMMYFUNCTION("""COMPUTED_VALUE"""),1.0)</f>
        <v>1</v>
      </c>
      <c r="C511" s="2">
        <f>IFERROR(__xludf.DUMMYFUNCTION("""COMPUTED_VALUE"""),282.0)</f>
        <v>282</v>
      </c>
      <c r="D511" s="3">
        <f>IFERROR(__xludf.DUMMYFUNCTION("""COMPUTED_VALUE"""),161.0)</f>
        <v>161</v>
      </c>
      <c r="E511" s="2"/>
      <c r="F511" s="2"/>
    </row>
    <row r="512">
      <c r="A512" s="2">
        <f>IFERROR(__xludf.DUMMYFUNCTION("""COMPUTED_VALUE"""),118465.0)</f>
        <v>118465</v>
      </c>
      <c r="B512" s="2">
        <f>IFERROR(__xludf.DUMMYFUNCTION("""COMPUTED_VALUE"""),0.0)</f>
        <v>0</v>
      </c>
      <c r="C512" s="2">
        <f>IFERROR(__xludf.DUMMYFUNCTION("""COMPUTED_VALUE"""),793.0)</f>
        <v>793</v>
      </c>
      <c r="D512" s="3">
        <f>IFERROR(__xludf.DUMMYFUNCTION("""COMPUTED_VALUE"""),250.0)</f>
        <v>250</v>
      </c>
      <c r="E512" s="2"/>
      <c r="F512" s="2"/>
    </row>
    <row r="513">
      <c r="A513" s="2">
        <f>IFERROR(__xludf.DUMMYFUNCTION("""COMPUTED_VALUE"""),118450.0)</f>
        <v>118450</v>
      </c>
      <c r="B513" s="2">
        <f>IFERROR(__xludf.DUMMYFUNCTION("""COMPUTED_VALUE"""),0.0)</f>
        <v>0</v>
      </c>
      <c r="C513" s="2">
        <f>IFERROR(__xludf.DUMMYFUNCTION("""COMPUTED_VALUE"""),385.0)</f>
        <v>385</v>
      </c>
      <c r="D513" s="3">
        <f>IFERROR(__xludf.DUMMYFUNCTION("""COMPUTED_VALUE"""),232.0)</f>
        <v>232</v>
      </c>
      <c r="E513" s="2"/>
      <c r="F513" s="2"/>
    </row>
    <row r="514">
      <c r="A514" s="2">
        <f>IFERROR(__xludf.DUMMYFUNCTION("""COMPUTED_VALUE"""),118457.0)</f>
        <v>118457</v>
      </c>
      <c r="B514" s="2">
        <f>IFERROR(__xludf.DUMMYFUNCTION("""COMPUTED_VALUE"""),1.0)</f>
        <v>1</v>
      </c>
      <c r="C514" s="2">
        <f>IFERROR(__xludf.DUMMYFUNCTION("""COMPUTED_VALUE"""),35.0)</f>
        <v>35</v>
      </c>
      <c r="D514" s="3">
        <f>IFERROR(__xludf.DUMMYFUNCTION("""COMPUTED_VALUE"""),15.0)</f>
        <v>15</v>
      </c>
      <c r="E514" s="2"/>
      <c r="F514" s="2"/>
    </row>
    <row r="515">
      <c r="A515" s="2">
        <f>IFERROR(__xludf.DUMMYFUNCTION("""COMPUTED_VALUE"""),118463.0)</f>
        <v>118463</v>
      </c>
      <c r="B515" s="2">
        <f>IFERROR(__xludf.DUMMYFUNCTION("""COMPUTED_VALUE"""),1.0)</f>
        <v>1</v>
      </c>
      <c r="C515" s="2">
        <f>IFERROR(__xludf.DUMMYFUNCTION("""COMPUTED_VALUE"""),253.0)</f>
        <v>253</v>
      </c>
      <c r="D515" s="3">
        <f>IFERROR(__xludf.DUMMYFUNCTION("""COMPUTED_VALUE"""),166.0)</f>
        <v>166</v>
      </c>
      <c r="E515" s="2"/>
      <c r="F515" s="2"/>
    </row>
    <row r="516">
      <c r="A516" s="2">
        <f>IFERROR(__xludf.DUMMYFUNCTION("""COMPUTED_VALUE"""),118460.0)</f>
        <v>118460</v>
      </c>
      <c r="B516" s="2">
        <f>IFERROR(__xludf.DUMMYFUNCTION("""COMPUTED_VALUE"""),0.0)</f>
        <v>0</v>
      </c>
      <c r="C516" s="2">
        <f>IFERROR(__xludf.DUMMYFUNCTION("""COMPUTED_VALUE"""),242.0)</f>
        <v>242</v>
      </c>
      <c r="D516" s="3">
        <f>IFERROR(__xludf.DUMMYFUNCTION("""COMPUTED_VALUE"""),47.0)</f>
        <v>47</v>
      </c>
      <c r="E516" s="2"/>
      <c r="F516" s="2"/>
    </row>
    <row r="517">
      <c r="A517" s="2">
        <f>IFERROR(__xludf.DUMMYFUNCTION("""COMPUTED_VALUE"""),121035.0)</f>
        <v>121035</v>
      </c>
      <c r="B517" s="2">
        <f>IFERROR(__xludf.DUMMYFUNCTION("""COMPUTED_VALUE"""),1.0)</f>
        <v>1</v>
      </c>
      <c r="C517" s="2">
        <f>IFERROR(__xludf.DUMMYFUNCTION("""COMPUTED_VALUE"""),684.0)</f>
        <v>684</v>
      </c>
      <c r="D517" s="3">
        <f>IFERROR(__xludf.DUMMYFUNCTION("""COMPUTED_VALUE"""),48.0)</f>
        <v>48</v>
      </c>
      <c r="E517" s="2"/>
      <c r="F517" s="2"/>
    </row>
    <row r="518">
      <c r="A518" s="2">
        <f>IFERROR(__xludf.DUMMYFUNCTION("""COMPUTED_VALUE"""),122623.0)</f>
        <v>122623</v>
      </c>
      <c r="B518" s="2">
        <f>IFERROR(__xludf.DUMMYFUNCTION("""COMPUTED_VALUE"""),0.0)</f>
        <v>0</v>
      </c>
      <c r="C518" s="2">
        <f>IFERROR(__xludf.DUMMYFUNCTION("""COMPUTED_VALUE"""),378.0)</f>
        <v>378</v>
      </c>
      <c r="D518" s="3">
        <f>IFERROR(__xludf.DUMMYFUNCTION("""COMPUTED_VALUE"""),272.0)</f>
        <v>272</v>
      </c>
      <c r="E518" s="2"/>
      <c r="F518" s="2"/>
    </row>
    <row r="519">
      <c r="A519" s="2">
        <f>IFERROR(__xludf.DUMMYFUNCTION("""COMPUTED_VALUE"""),118469.0)</f>
        <v>118469</v>
      </c>
      <c r="B519" s="2">
        <f>IFERROR(__xludf.DUMMYFUNCTION("""COMPUTED_VALUE"""),0.0)</f>
        <v>0</v>
      </c>
      <c r="C519" s="2">
        <f>IFERROR(__xludf.DUMMYFUNCTION("""COMPUTED_VALUE"""),183.0)</f>
        <v>183</v>
      </c>
      <c r="D519" s="3">
        <f>IFERROR(__xludf.DUMMYFUNCTION("""COMPUTED_VALUE"""),150.0)</f>
        <v>150</v>
      </c>
      <c r="E519" s="2"/>
      <c r="F519" s="2"/>
    </row>
    <row r="520">
      <c r="A520" s="2">
        <f>IFERROR(__xludf.DUMMYFUNCTION("""COMPUTED_VALUE"""),184629.0)</f>
        <v>184629</v>
      </c>
      <c r="B520" s="2">
        <f>IFERROR(__xludf.DUMMYFUNCTION("""COMPUTED_VALUE"""),1.0)</f>
        <v>1</v>
      </c>
      <c r="C520" s="2">
        <f>IFERROR(__xludf.DUMMYFUNCTION("""COMPUTED_VALUE"""),796.0)</f>
        <v>796</v>
      </c>
      <c r="D520" s="3">
        <f>IFERROR(__xludf.DUMMYFUNCTION("""COMPUTED_VALUE"""),5.0)</f>
        <v>5</v>
      </c>
      <c r="E520" s="2"/>
      <c r="F520" s="2"/>
    </row>
    <row r="521">
      <c r="A521" s="2">
        <f>IFERROR(__xludf.DUMMYFUNCTION("""COMPUTED_VALUE"""),44469.0)</f>
        <v>44469</v>
      </c>
      <c r="B521" s="2">
        <f>IFERROR(__xludf.DUMMYFUNCTION("""COMPUTED_VALUE"""),0.0)</f>
        <v>0</v>
      </c>
      <c r="C521" s="2">
        <f>IFERROR(__xludf.DUMMYFUNCTION("""COMPUTED_VALUE"""),194.0)</f>
        <v>194</v>
      </c>
      <c r="D521" s="3">
        <f>IFERROR(__xludf.DUMMYFUNCTION("""COMPUTED_VALUE"""),75.0)</f>
        <v>75</v>
      </c>
      <c r="E521" s="2"/>
      <c r="F521" s="2"/>
    </row>
    <row r="522">
      <c r="A522" s="2">
        <f>IFERROR(__xludf.DUMMYFUNCTION("""COMPUTED_VALUE"""),98421.0)</f>
        <v>98421</v>
      </c>
      <c r="B522" s="2">
        <f>IFERROR(__xludf.DUMMYFUNCTION("""COMPUTED_VALUE"""),1.0)</f>
        <v>1</v>
      </c>
      <c r="C522" s="2">
        <f>IFERROR(__xludf.DUMMYFUNCTION("""COMPUTED_VALUE"""),355.0)</f>
        <v>355</v>
      </c>
      <c r="D522" s="3">
        <f>IFERROR(__xludf.DUMMYFUNCTION("""COMPUTED_VALUE"""),339.0)</f>
        <v>339</v>
      </c>
      <c r="E522" s="2"/>
      <c r="F522" s="2"/>
    </row>
    <row r="523">
      <c r="A523" s="2">
        <f>IFERROR(__xludf.DUMMYFUNCTION("""COMPUTED_VALUE"""),149512.0)</f>
        <v>149512</v>
      </c>
      <c r="B523" s="2">
        <f>IFERROR(__xludf.DUMMYFUNCTION("""COMPUTED_VALUE"""),0.0)</f>
        <v>0</v>
      </c>
      <c r="C523" s="2">
        <f>IFERROR(__xludf.DUMMYFUNCTION("""COMPUTED_VALUE"""),730.0)</f>
        <v>730</v>
      </c>
      <c r="D523" s="3">
        <f>IFERROR(__xludf.DUMMYFUNCTION("""COMPUTED_VALUE"""),303.0)</f>
        <v>303</v>
      </c>
      <c r="E523" s="2"/>
      <c r="F523" s="2"/>
    </row>
    <row r="524">
      <c r="A524" s="2">
        <f>IFERROR(__xludf.DUMMYFUNCTION("""COMPUTED_VALUE"""),101489.0)</f>
        <v>101489</v>
      </c>
      <c r="B524" s="2">
        <f>IFERROR(__xludf.DUMMYFUNCTION("""COMPUTED_VALUE"""),0.0)</f>
        <v>0</v>
      </c>
      <c r="C524" s="2">
        <f>IFERROR(__xludf.DUMMYFUNCTION("""COMPUTED_VALUE"""),672.0)</f>
        <v>672</v>
      </c>
      <c r="D524" s="3">
        <f>IFERROR(__xludf.DUMMYFUNCTION("""COMPUTED_VALUE"""),134.0)</f>
        <v>134</v>
      </c>
      <c r="E524" s="2"/>
      <c r="F524" s="2"/>
    </row>
    <row r="525">
      <c r="A525" s="2">
        <f>IFERROR(__xludf.DUMMYFUNCTION("""COMPUTED_VALUE"""),7263.0)</f>
        <v>7263</v>
      </c>
      <c r="B525" s="2">
        <f>IFERROR(__xludf.DUMMYFUNCTION("""COMPUTED_VALUE"""),0.0)</f>
        <v>0</v>
      </c>
      <c r="C525" s="2">
        <f>IFERROR(__xludf.DUMMYFUNCTION("""COMPUTED_VALUE"""),534.0)</f>
        <v>534</v>
      </c>
      <c r="D525" s="3">
        <f>IFERROR(__xludf.DUMMYFUNCTION("""COMPUTED_VALUE"""),152.0)</f>
        <v>152</v>
      </c>
      <c r="E525" s="2"/>
      <c r="F525" s="2"/>
    </row>
    <row r="526">
      <c r="A526" s="2">
        <f>IFERROR(__xludf.DUMMYFUNCTION("""COMPUTED_VALUE"""),149510.0)</f>
        <v>149510</v>
      </c>
      <c r="B526" s="2">
        <f>IFERROR(__xludf.DUMMYFUNCTION("""COMPUTED_VALUE"""),1.0)</f>
        <v>1</v>
      </c>
      <c r="C526" s="2">
        <f>IFERROR(__xludf.DUMMYFUNCTION("""COMPUTED_VALUE"""),459.0)</f>
        <v>459</v>
      </c>
      <c r="D526" s="3">
        <f>IFERROR(__xludf.DUMMYFUNCTION("""COMPUTED_VALUE"""),13.0)</f>
        <v>13</v>
      </c>
      <c r="E526" s="2"/>
      <c r="F526" s="2"/>
    </row>
    <row r="527">
      <c r="A527" s="2">
        <f>IFERROR(__xludf.DUMMYFUNCTION("""COMPUTED_VALUE"""),124692.0)</f>
        <v>124692</v>
      </c>
      <c r="B527" s="2">
        <f>IFERROR(__xludf.DUMMYFUNCTION("""COMPUTED_VALUE"""),1.0)</f>
        <v>1</v>
      </c>
      <c r="C527" s="2">
        <f>IFERROR(__xludf.DUMMYFUNCTION("""COMPUTED_VALUE"""),218.0)</f>
        <v>218</v>
      </c>
      <c r="D527" s="3">
        <f>IFERROR(__xludf.DUMMYFUNCTION("""COMPUTED_VALUE"""),15.0)</f>
        <v>15</v>
      </c>
      <c r="E527" s="2"/>
      <c r="F527" s="2"/>
    </row>
    <row r="528">
      <c r="A528" s="2">
        <f>IFERROR(__xludf.DUMMYFUNCTION("""COMPUTED_VALUE"""),7253.0)</f>
        <v>7253</v>
      </c>
      <c r="B528" s="2">
        <f>IFERROR(__xludf.DUMMYFUNCTION("""COMPUTED_VALUE"""),1.0)</f>
        <v>1</v>
      </c>
      <c r="C528" s="2">
        <f>IFERROR(__xludf.DUMMYFUNCTION("""COMPUTED_VALUE"""),7.0)</f>
        <v>7</v>
      </c>
      <c r="D528" s="3">
        <f>IFERROR(__xludf.DUMMYFUNCTION("""COMPUTED_VALUE"""),6.0)</f>
        <v>6</v>
      </c>
      <c r="E528" s="2"/>
      <c r="F528" s="2"/>
    </row>
    <row r="529">
      <c r="A529" s="2">
        <f>IFERROR(__xludf.DUMMYFUNCTION("""COMPUTED_VALUE"""),109999.0)</f>
        <v>109999</v>
      </c>
      <c r="B529" s="2">
        <f>IFERROR(__xludf.DUMMYFUNCTION("""COMPUTED_VALUE"""),1.0)</f>
        <v>1</v>
      </c>
      <c r="C529" s="2">
        <f>IFERROR(__xludf.DUMMYFUNCTION("""COMPUTED_VALUE"""),247.0)</f>
        <v>247</v>
      </c>
      <c r="D529" s="3">
        <f>IFERROR(__xludf.DUMMYFUNCTION("""COMPUTED_VALUE"""),134.0)</f>
        <v>134</v>
      </c>
      <c r="E529" s="2"/>
      <c r="F529" s="2"/>
    </row>
    <row r="530">
      <c r="A530" s="2">
        <f>IFERROR(__xludf.DUMMYFUNCTION("""COMPUTED_VALUE"""),101535.0)</f>
        <v>101535</v>
      </c>
      <c r="B530" s="2">
        <f>IFERROR(__xludf.DUMMYFUNCTION("""COMPUTED_VALUE"""),0.0)</f>
        <v>0</v>
      </c>
      <c r="C530" s="2">
        <f>IFERROR(__xludf.DUMMYFUNCTION("""COMPUTED_VALUE"""),125.0)</f>
        <v>125</v>
      </c>
      <c r="D530" s="3">
        <f>IFERROR(__xludf.DUMMYFUNCTION("""COMPUTED_VALUE"""),62.0)</f>
        <v>62</v>
      </c>
      <c r="E530" s="2"/>
      <c r="F530" s="2"/>
    </row>
    <row r="531">
      <c r="A531" s="2">
        <f>IFERROR(__xludf.DUMMYFUNCTION("""COMPUTED_VALUE"""),181795.0)</f>
        <v>181795</v>
      </c>
      <c r="B531" s="2">
        <f>IFERROR(__xludf.DUMMYFUNCTION("""COMPUTED_VALUE"""),1.0)</f>
        <v>1</v>
      </c>
      <c r="C531" s="2">
        <f>IFERROR(__xludf.DUMMYFUNCTION("""COMPUTED_VALUE"""),532.0)</f>
        <v>532</v>
      </c>
      <c r="D531" s="3">
        <f>IFERROR(__xludf.DUMMYFUNCTION("""COMPUTED_VALUE"""),339.0)</f>
        <v>339</v>
      </c>
      <c r="E531" s="2"/>
      <c r="F531" s="2"/>
    </row>
    <row r="532">
      <c r="A532" s="2">
        <f>IFERROR(__xludf.DUMMYFUNCTION("""COMPUTED_VALUE"""),124686.0)</f>
        <v>124686</v>
      </c>
      <c r="B532" s="2">
        <f>IFERROR(__xludf.DUMMYFUNCTION("""COMPUTED_VALUE"""),1.0)</f>
        <v>1</v>
      </c>
      <c r="C532" s="2">
        <f>IFERROR(__xludf.DUMMYFUNCTION("""COMPUTED_VALUE"""),103.0)</f>
        <v>103</v>
      </c>
      <c r="D532" s="3">
        <f>IFERROR(__xludf.DUMMYFUNCTION("""COMPUTED_VALUE"""),81.0)</f>
        <v>81</v>
      </c>
      <c r="E532" s="2"/>
      <c r="F532" s="2"/>
    </row>
    <row r="533">
      <c r="A533" s="2">
        <f>IFERROR(__xludf.DUMMYFUNCTION("""COMPUTED_VALUE"""),110003.0)</f>
        <v>110003</v>
      </c>
      <c r="B533" s="2">
        <f>IFERROR(__xludf.DUMMYFUNCTION("""COMPUTED_VALUE"""),0.0)</f>
        <v>0</v>
      </c>
      <c r="C533" s="2">
        <f>IFERROR(__xludf.DUMMYFUNCTION("""COMPUTED_VALUE"""),4.0)</f>
        <v>4</v>
      </c>
      <c r="D533" s="3">
        <f>IFERROR(__xludf.DUMMYFUNCTION("""COMPUTED_VALUE"""),2.0)</f>
        <v>2</v>
      </c>
      <c r="E533" s="2"/>
      <c r="F533" s="2"/>
    </row>
    <row r="534">
      <c r="A534" s="2">
        <f>IFERROR(__xludf.DUMMYFUNCTION("""COMPUTED_VALUE"""),124691.0)</f>
        <v>124691</v>
      </c>
      <c r="B534" s="2">
        <f>IFERROR(__xludf.DUMMYFUNCTION("""COMPUTED_VALUE"""),1.0)</f>
        <v>1</v>
      </c>
      <c r="C534" s="2">
        <f>IFERROR(__xludf.DUMMYFUNCTION("""COMPUTED_VALUE"""),23.0)</f>
        <v>23</v>
      </c>
      <c r="D534" s="3">
        <f>IFERROR(__xludf.DUMMYFUNCTION("""COMPUTED_VALUE"""),20.0)</f>
        <v>20</v>
      </c>
      <c r="E534" s="2"/>
      <c r="F534" s="2"/>
    </row>
    <row r="535">
      <c r="A535" s="2">
        <f>IFERROR(__xludf.DUMMYFUNCTION("""COMPUTED_VALUE"""),98444.0)</f>
        <v>98444</v>
      </c>
      <c r="B535" s="2">
        <f>IFERROR(__xludf.DUMMYFUNCTION("""COMPUTED_VALUE"""),1.0)</f>
        <v>1</v>
      </c>
      <c r="C535" s="2">
        <f>IFERROR(__xludf.DUMMYFUNCTION("""COMPUTED_VALUE"""),469.0)</f>
        <v>469</v>
      </c>
      <c r="D535" s="3">
        <f>IFERROR(__xludf.DUMMYFUNCTION("""COMPUTED_VALUE"""),31.0)</f>
        <v>31</v>
      </c>
      <c r="E535" s="2"/>
      <c r="F535" s="2"/>
    </row>
    <row r="536">
      <c r="A536" s="2">
        <f>IFERROR(__xludf.DUMMYFUNCTION("""COMPUTED_VALUE"""),110393.0)</f>
        <v>110393</v>
      </c>
      <c r="B536" s="2">
        <f>IFERROR(__xludf.DUMMYFUNCTION("""COMPUTED_VALUE"""),1.0)</f>
        <v>1</v>
      </c>
      <c r="C536" s="2">
        <f>IFERROR(__xludf.DUMMYFUNCTION("""COMPUTED_VALUE"""),204.0)</f>
        <v>204</v>
      </c>
      <c r="D536" s="3">
        <f>IFERROR(__xludf.DUMMYFUNCTION("""COMPUTED_VALUE"""),187.0)</f>
        <v>187</v>
      </c>
      <c r="E536" s="2"/>
      <c r="F536" s="2"/>
    </row>
    <row r="537">
      <c r="A537" s="2">
        <f>IFERROR(__xludf.DUMMYFUNCTION("""COMPUTED_VALUE"""),7254.0)</f>
        <v>7254</v>
      </c>
      <c r="B537" s="2">
        <f>IFERROR(__xludf.DUMMYFUNCTION("""COMPUTED_VALUE"""),1.0)</f>
        <v>1</v>
      </c>
      <c r="C537" s="2">
        <f>IFERROR(__xludf.DUMMYFUNCTION("""COMPUTED_VALUE"""),831.0)</f>
        <v>831</v>
      </c>
      <c r="D537" s="3">
        <f>IFERROR(__xludf.DUMMYFUNCTION("""COMPUTED_VALUE"""),61.0)</f>
        <v>61</v>
      </c>
      <c r="E537" s="2"/>
      <c r="F537" s="2"/>
    </row>
    <row r="538">
      <c r="A538" s="2">
        <f>IFERROR(__xludf.DUMMYFUNCTION("""COMPUTED_VALUE"""),86502.0)</f>
        <v>86502</v>
      </c>
      <c r="B538" s="2">
        <f>IFERROR(__xludf.DUMMYFUNCTION("""COMPUTED_VALUE"""),0.0)</f>
        <v>0</v>
      </c>
      <c r="C538" s="2">
        <f>IFERROR(__xludf.DUMMYFUNCTION("""COMPUTED_VALUE"""),420.0)</f>
        <v>420</v>
      </c>
      <c r="D538" s="3">
        <f>IFERROR(__xludf.DUMMYFUNCTION("""COMPUTED_VALUE"""),228.0)</f>
        <v>228</v>
      </c>
      <c r="E538" s="2"/>
      <c r="F538" s="2"/>
    </row>
    <row r="539">
      <c r="A539" s="2">
        <f>IFERROR(__xludf.DUMMYFUNCTION("""COMPUTED_VALUE"""),98442.0)</f>
        <v>98442</v>
      </c>
      <c r="B539" s="2">
        <f>IFERROR(__xludf.DUMMYFUNCTION("""COMPUTED_VALUE"""),1.0)</f>
        <v>1</v>
      </c>
      <c r="C539" s="2">
        <f>IFERROR(__xludf.DUMMYFUNCTION("""COMPUTED_VALUE"""),118.0)</f>
        <v>118</v>
      </c>
      <c r="D539" s="3">
        <f>IFERROR(__xludf.DUMMYFUNCTION("""COMPUTED_VALUE"""),59.0)</f>
        <v>59</v>
      </c>
      <c r="E539" s="2"/>
      <c r="F539" s="2"/>
    </row>
    <row r="540">
      <c r="A540" s="2">
        <f>IFERROR(__xludf.DUMMYFUNCTION("""COMPUTED_VALUE"""),7256.0)</f>
        <v>7256</v>
      </c>
      <c r="B540" s="2">
        <f>IFERROR(__xludf.DUMMYFUNCTION("""COMPUTED_VALUE"""),0.0)</f>
        <v>0</v>
      </c>
      <c r="C540" s="2">
        <f>IFERROR(__xludf.DUMMYFUNCTION("""COMPUTED_VALUE"""),887.0)</f>
        <v>887</v>
      </c>
      <c r="D540" s="3">
        <f>IFERROR(__xludf.DUMMYFUNCTION("""COMPUTED_VALUE"""),531.0)</f>
        <v>531</v>
      </c>
      <c r="E540" s="2"/>
      <c r="F540" s="2"/>
    </row>
    <row r="541">
      <c r="A541" s="2">
        <f>IFERROR(__xludf.DUMMYFUNCTION("""COMPUTED_VALUE"""),110394.0)</f>
        <v>110394</v>
      </c>
      <c r="B541" s="2">
        <f>IFERROR(__xludf.DUMMYFUNCTION("""COMPUTED_VALUE"""),0.0)</f>
        <v>0</v>
      </c>
      <c r="C541" s="2">
        <f>IFERROR(__xludf.DUMMYFUNCTION("""COMPUTED_VALUE"""),896.0)</f>
        <v>896</v>
      </c>
      <c r="D541" s="3">
        <f>IFERROR(__xludf.DUMMYFUNCTION("""COMPUTED_VALUE"""),231.0)</f>
        <v>231</v>
      </c>
      <c r="E541" s="2"/>
      <c r="F541" s="2"/>
    </row>
    <row r="542">
      <c r="A542" s="2">
        <f>IFERROR(__xludf.DUMMYFUNCTION("""COMPUTED_VALUE"""),120998.0)</f>
        <v>120998</v>
      </c>
      <c r="B542" s="2">
        <f>IFERROR(__xludf.DUMMYFUNCTION("""COMPUTED_VALUE"""),1.0)</f>
        <v>1</v>
      </c>
      <c r="C542" s="2">
        <f>IFERROR(__xludf.DUMMYFUNCTION("""COMPUTED_VALUE"""),354.0)</f>
        <v>354</v>
      </c>
      <c r="D542" s="3">
        <f>IFERROR(__xludf.DUMMYFUNCTION("""COMPUTED_VALUE"""),305.0)</f>
        <v>305</v>
      </c>
      <c r="E542" s="2"/>
      <c r="F542" s="2"/>
    </row>
    <row r="543">
      <c r="A543" s="2">
        <f>IFERROR(__xludf.DUMMYFUNCTION("""COMPUTED_VALUE"""),17674.0)</f>
        <v>17674</v>
      </c>
      <c r="B543" s="2">
        <f>IFERROR(__xludf.DUMMYFUNCTION("""COMPUTED_VALUE"""),1.0)</f>
        <v>1</v>
      </c>
      <c r="C543" s="2">
        <f>IFERROR(__xludf.DUMMYFUNCTION("""COMPUTED_VALUE"""),516.0)</f>
        <v>516</v>
      </c>
      <c r="D543" s="3">
        <f>IFERROR(__xludf.DUMMYFUNCTION("""COMPUTED_VALUE"""),310.0)</f>
        <v>310</v>
      </c>
      <c r="E543" s="2"/>
      <c r="F543" s="2"/>
    </row>
    <row r="544">
      <c r="A544" s="2">
        <f>IFERROR(__xludf.DUMMYFUNCTION("""COMPUTED_VALUE"""),102946.0)</f>
        <v>102946</v>
      </c>
      <c r="B544" s="2">
        <f>IFERROR(__xludf.DUMMYFUNCTION("""COMPUTED_VALUE"""),1.0)</f>
        <v>1</v>
      </c>
      <c r="C544" s="2">
        <f>IFERROR(__xludf.DUMMYFUNCTION("""COMPUTED_VALUE"""),38.0)</f>
        <v>38</v>
      </c>
      <c r="D544" s="3">
        <f>IFERROR(__xludf.DUMMYFUNCTION("""COMPUTED_VALUE"""),20.0)</f>
        <v>20</v>
      </c>
      <c r="E544" s="2"/>
      <c r="F544" s="2"/>
    </row>
    <row r="545">
      <c r="A545" s="2">
        <f>IFERROR(__xludf.DUMMYFUNCTION("""COMPUTED_VALUE"""),102947.0)</f>
        <v>102947</v>
      </c>
      <c r="B545" s="2">
        <f>IFERROR(__xludf.DUMMYFUNCTION("""COMPUTED_VALUE"""),1.0)</f>
        <v>1</v>
      </c>
      <c r="C545" s="2">
        <f>IFERROR(__xludf.DUMMYFUNCTION("""COMPUTED_VALUE"""),224.0)</f>
        <v>224</v>
      </c>
      <c r="D545" s="3">
        <f>IFERROR(__xludf.DUMMYFUNCTION("""COMPUTED_VALUE"""),27.0)</f>
        <v>27</v>
      </c>
      <c r="E545" s="2"/>
      <c r="F545" s="2"/>
    </row>
    <row r="546">
      <c r="A546" s="2">
        <f>IFERROR(__xludf.DUMMYFUNCTION("""COMPUTED_VALUE"""),98445.0)</f>
        <v>98445</v>
      </c>
      <c r="B546" s="2">
        <f>IFERROR(__xludf.DUMMYFUNCTION("""COMPUTED_VALUE"""),1.0)</f>
        <v>1</v>
      </c>
      <c r="C546" s="2">
        <f>IFERROR(__xludf.DUMMYFUNCTION("""COMPUTED_VALUE"""),607.0)</f>
        <v>607</v>
      </c>
      <c r="D546" s="3">
        <f>IFERROR(__xludf.DUMMYFUNCTION("""COMPUTED_VALUE"""),285.0)</f>
        <v>285</v>
      </c>
      <c r="E546" s="2"/>
      <c r="F546" s="2"/>
    </row>
    <row r="547">
      <c r="A547" s="2">
        <f>IFERROR(__xludf.DUMMYFUNCTION("""COMPUTED_VALUE"""),109273.0)</f>
        <v>109273</v>
      </c>
      <c r="B547" s="2">
        <f>IFERROR(__xludf.DUMMYFUNCTION("""COMPUTED_VALUE"""),1.0)</f>
        <v>1</v>
      </c>
      <c r="C547" s="2">
        <f>IFERROR(__xludf.DUMMYFUNCTION("""COMPUTED_VALUE"""),78.0)</f>
        <v>78</v>
      </c>
      <c r="D547" s="3">
        <f>IFERROR(__xludf.DUMMYFUNCTION("""COMPUTED_VALUE"""),31.0)</f>
        <v>31</v>
      </c>
      <c r="E547" s="2"/>
      <c r="F547" s="2"/>
    </row>
    <row r="548">
      <c r="A548" s="2">
        <f>IFERROR(__xludf.DUMMYFUNCTION("""COMPUTED_VALUE"""),44465.0)</f>
        <v>44465</v>
      </c>
      <c r="B548" s="2">
        <f>IFERROR(__xludf.DUMMYFUNCTION("""COMPUTED_VALUE"""),0.0)</f>
        <v>0</v>
      </c>
      <c r="C548" s="2">
        <f>IFERROR(__xludf.DUMMYFUNCTION("""COMPUTED_VALUE"""),55.0)</f>
        <v>55</v>
      </c>
      <c r="D548" s="3">
        <f>IFERROR(__xludf.DUMMYFUNCTION("""COMPUTED_VALUE"""),7.0)</f>
        <v>7</v>
      </c>
      <c r="E548" s="2"/>
      <c r="F548" s="2"/>
    </row>
    <row r="549">
      <c r="A549" s="2">
        <f>IFERROR(__xludf.DUMMYFUNCTION("""COMPUTED_VALUE"""),44451.0)</f>
        <v>44451</v>
      </c>
      <c r="B549" s="2">
        <f>IFERROR(__xludf.DUMMYFUNCTION("""COMPUTED_VALUE"""),0.0)</f>
        <v>0</v>
      </c>
      <c r="C549" s="2">
        <f>IFERROR(__xludf.DUMMYFUNCTION("""COMPUTED_VALUE"""),379.0)</f>
        <v>379</v>
      </c>
      <c r="D549" s="3">
        <f>IFERROR(__xludf.DUMMYFUNCTION("""COMPUTED_VALUE"""),144.0)</f>
        <v>144</v>
      </c>
      <c r="E549" s="2"/>
      <c r="F549" s="2"/>
    </row>
    <row r="550">
      <c r="A550" s="2">
        <f>IFERROR(__xludf.DUMMYFUNCTION("""COMPUTED_VALUE"""),17664.0)</f>
        <v>17664</v>
      </c>
      <c r="B550" s="2">
        <f>IFERROR(__xludf.DUMMYFUNCTION("""COMPUTED_VALUE"""),1.0)</f>
        <v>1</v>
      </c>
      <c r="C550" s="2">
        <f>IFERROR(__xludf.DUMMYFUNCTION("""COMPUTED_VALUE"""),245.0)</f>
        <v>245</v>
      </c>
      <c r="D550" s="3">
        <f>IFERROR(__xludf.DUMMYFUNCTION("""COMPUTED_VALUE"""),2.0)</f>
        <v>2</v>
      </c>
      <c r="E550" s="2"/>
      <c r="F550" s="2"/>
    </row>
    <row r="551">
      <c r="A551" s="2">
        <f>IFERROR(__xludf.DUMMYFUNCTION("""COMPUTED_VALUE"""),44459.0)</f>
        <v>44459</v>
      </c>
      <c r="B551" s="2">
        <f>IFERROR(__xludf.DUMMYFUNCTION("""COMPUTED_VALUE"""),1.0)</f>
        <v>1</v>
      </c>
      <c r="C551" s="2">
        <f>IFERROR(__xludf.DUMMYFUNCTION("""COMPUTED_VALUE"""),415.0)</f>
        <v>415</v>
      </c>
      <c r="D551" s="3">
        <f>IFERROR(__xludf.DUMMYFUNCTION("""COMPUTED_VALUE"""),363.0)</f>
        <v>363</v>
      </c>
      <c r="E551" s="2"/>
      <c r="F551" s="2"/>
    </row>
    <row r="552">
      <c r="A552" s="2">
        <f>IFERROR(__xludf.DUMMYFUNCTION("""COMPUTED_VALUE"""),110398.0)</f>
        <v>110398</v>
      </c>
      <c r="B552" s="2">
        <f>IFERROR(__xludf.DUMMYFUNCTION("""COMPUTED_VALUE"""),0.0)</f>
        <v>0</v>
      </c>
      <c r="C552" s="2">
        <f>IFERROR(__xludf.DUMMYFUNCTION("""COMPUTED_VALUE"""),-3.0)</f>
        <v>-3</v>
      </c>
      <c r="D552" s="3">
        <f>IFERROR(__xludf.DUMMYFUNCTION("""COMPUTED_VALUE"""),0.0)</f>
        <v>0</v>
      </c>
      <c r="E552" s="2"/>
      <c r="F552" s="2"/>
    </row>
    <row r="553">
      <c r="A553" s="2">
        <f>IFERROR(__xludf.DUMMYFUNCTION("""COMPUTED_VALUE"""),149495.0)</f>
        <v>149495</v>
      </c>
      <c r="B553" s="2">
        <f>IFERROR(__xludf.DUMMYFUNCTION("""COMPUTED_VALUE"""),0.0)</f>
        <v>0</v>
      </c>
      <c r="C553" s="2">
        <f>IFERROR(__xludf.DUMMYFUNCTION("""COMPUTED_VALUE"""),205.0)</f>
        <v>205</v>
      </c>
      <c r="D553" s="3">
        <f>IFERROR(__xludf.DUMMYFUNCTION("""COMPUTED_VALUE"""),190.0)</f>
        <v>190</v>
      </c>
      <c r="E553" s="2"/>
      <c r="F553" s="2"/>
    </row>
    <row r="554">
      <c r="A554" s="2">
        <f>IFERROR(__xludf.DUMMYFUNCTION("""COMPUTED_VALUE"""),124685.0)</f>
        <v>124685</v>
      </c>
      <c r="B554" s="2">
        <f>IFERROR(__xludf.DUMMYFUNCTION("""COMPUTED_VALUE"""),1.0)</f>
        <v>1</v>
      </c>
      <c r="C554" s="2">
        <f>IFERROR(__xludf.DUMMYFUNCTION("""COMPUTED_VALUE"""),321.0)</f>
        <v>321</v>
      </c>
      <c r="D554" s="3">
        <f>IFERROR(__xludf.DUMMYFUNCTION("""COMPUTED_VALUE"""),215.0)</f>
        <v>215</v>
      </c>
      <c r="E554" s="2"/>
      <c r="F554" s="2"/>
    </row>
    <row r="555">
      <c r="A555" s="2">
        <f>IFERROR(__xludf.DUMMYFUNCTION("""COMPUTED_VALUE"""),110004.0)</f>
        <v>110004</v>
      </c>
      <c r="B555" s="2">
        <f>IFERROR(__xludf.DUMMYFUNCTION("""COMPUTED_VALUE"""),0.0)</f>
        <v>0</v>
      </c>
      <c r="C555" s="2">
        <f>IFERROR(__xludf.DUMMYFUNCTION("""COMPUTED_VALUE"""),124.0)</f>
        <v>124</v>
      </c>
      <c r="D555" s="3">
        <f>IFERROR(__xludf.DUMMYFUNCTION("""COMPUTED_VALUE"""),115.0)</f>
        <v>115</v>
      </c>
      <c r="E555" s="2"/>
      <c r="F555" s="2"/>
    </row>
    <row r="556">
      <c r="A556" s="2">
        <f>IFERROR(__xludf.DUMMYFUNCTION("""COMPUTED_VALUE"""),111052.0)</f>
        <v>111052</v>
      </c>
      <c r="B556" s="2">
        <f>IFERROR(__xludf.DUMMYFUNCTION("""COMPUTED_VALUE"""),1.0)</f>
        <v>1</v>
      </c>
      <c r="C556" s="2">
        <f>IFERROR(__xludf.DUMMYFUNCTION("""COMPUTED_VALUE"""),343.0)</f>
        <v>343</v>
      </c>
      <c r="D556" s="3">
        <f>IFERROR(__xludf.DUMMYFUNCTION("""COMPUTED_VALUE"""),217.0)</f>
        <v>217</v>
      </c>
      <c r="E556" s="2"/>
      <c r="F556" s="2"/>
    </row>
    <row r="557">
      <c r="A557" s="2">
        <f>IFERROR(__xludf.DUMMYFUNCTION("""COMPUTED_VALUE"""),102948.0)</f>
        <v>102948</v>
      </c>
      <c r="B557" s="2">
        <f>IFERROR(__xludf.DUMMYFUNCTION("""COMPUTED_VALUE"""),0.0)</f>
        <v>0</v>
      </c>
      <c r="C557" s="2">
        <f>IFERROR(__xludf.DUMMYFUNCTION("""COMPUTED_VALUE"""),722.0)</f>
        <v>722</v>
      </c>
      <c r="D557" s="3">
        <f>IFERROR(__xludf.DUMMYFUNCTION("""COMPUTED_VALUE"""),497.0)</f>
        <v>497</v>
      </c>
      <c r="E557" s="2"/>
      <c r="F557" s="2"/>
    </row>
    <row r="558">
      <c r="A558" s="2">
        <f>IFERROR(__xludf.DUMMYFUNCTION("""COMPUTED_VALUE"""),110000.0)</f>
        <v>110000</v>
      </c>
      <c r="B558" s="2">
        <f>IFERROR(__xludf.DUMMYFUNCTION("""COMPUTED_VALUE"""),1.0)</f>
        <v>1</v>
      </c>
      <c r="C558" s="2">
        <f>IFERROR(__xludf.DUMMYFUNCTION("""COMPUTED_VALUE"""),917.0)</f>
        <v>917</v>
      </c>
      <c r="D558" s="3">
        <f>IFERROR(__xludf.DUMMYFUNCTION("""COMPUTED_VALUE"""),860.0)</f>
        <v>860</v>
      </c>
      <c r="E558" s="2"/>
      <c r="F558" s="2"/>
    </row>
    <row r="559">
      <c r="A559" s="2">
        <f>IFERROR(__xludf.DUMMYFUNCTION("""COMPUTED_VALUE"""),7264.0)</f>
        <v>7264</v>
      </c>
      <c r="B559" s="2">
        <f>IFERROR(__xludf.DUMMYFUNCTION("""COMPUTED_VALUE"""),0.0)</f>
        <v>0</v>
      </c>
      <c r="C559" s="2">
        <f>IFERROR(__xludf.DUMMYFUNCTION("""COMPUTED_VALUE"""),496.0)</f>
        <v>496</v>
      </c>
      <c r="D559" s="3">
        <f>IFERROR(__xludf.DUMMYFUNCTION("""COMPUTED_VALUE"""),456.0)</f>
        <v>456</v>
      </c>
      <c r="E559" s="2"/>
      <c r="F559" s="2"/>
    </row>
    <row r="560">
      <c r="A560" s="2">
        <f>IFERROR(__xludf.DUMMYFUNCTION("""COMPUTED_VALUE"""),110005.0)</f>
        <v>110005</v>
      </c>
      <c r="B560" s="2">
        <f>IFERROR(__xludf.DUMMYFUNCTION("""COMPUTED_VALUE"""),0.0)</f>
        <v>0</v>
      </c>
      <c r="C560" s="2">
        <f>IFERROR(__xludf.DUMMYFUNCTION("""COMPUTED_VALUE"""),769.0)</f>
        <v>769</v>
      </c>
      <c r="D560" s="3">
        <f>IFERROR(__xludf.DUMMYFUNCTION("""COMPUTED_VALUE"""),479.0)</f>
        <v>479</v>
      </c>
      <c r="E560" s="2"/>
      <c r="F560" s="2"/>
    </row>
    <row r="561">
      <c r="A561" s="2">
        <f>IFERROR(__xludf.DUMMYFUNCTION("""COMPUTED_VALUE"""),124693.0)</f>
        <v>124693</v>
      </c>
      <c r="B561" s="2">
        <f>IFERROR(__xludf.DUMMYFUNCTION("""COMPUTED_VALUE"""),0.0)</f>
        <v>0</v>
      </c>
      <c r="C561" s="2">
        <f>IFERROR(__xludf.DUMMYFUNCTION("""COMPUTED_VALUE"""),899.0)</f>
        <v>899</v>
      </c>
      <c r="D561" s="3">
        <f>IFERROR(__xludf.DUMMYFUNCTION("""COMPUTED_VALUE"""),135.0)</f>
        <v>135</v>
      </c>
      <c r="E561" s="2"/>
      <c r="F561" s="2"/>
    </row>
    <row r="562">
      <c r="A562" s="2">
        <f>IFERROR(__xludf.DUMMYFUNCTION("""COMPUTED_VALUE"""),86501.0)</f>
        <v>86501</v>
      </c>
      <c r="B562" s="2">
        <f>IFERROR(__xludf.DUMMYFUNCTION("""COMPUTED_VALUE"""),0.0)</f>
        <v>0</v>
      </c>
      <c r="C562" s="2">
        <f>IFERROR(__xludf.DUMMYFUNCTION("""COMPUTED_VALUE"""),726.0)</f>
        <v>726</v>
      </c>
      <c r="D562" s="3">
        <f>IFERROR(__xludf.DUMMYFUNCTION("""COMPUTED_VALUE"""),212.0)</f>
        <v>212</v>
      </c>
      <c r="E562" s="2"/>
      <c r="F562" s="2"/>
    </row>
    <row r="563">
      <c r="A563" s="2">
        <f>IFERROR(__xludf.DUMMYFUNCTION("""COMPUTED_VALUE"""),101536.0)</f>
        <v>101536</v>
      </c>
      <c r="B563" s="2">
        <f>IFERROR(__xludf.DUMMYFUNCTION("""COMPUTED_VALUE"""),0.0)</f>
        <v>0</v>
      </c>
      <c r="C563" s="2">
        <f>IFERROR(__xludf.DUMMYFUNCTION("""COMPUTED_VALUE"""),303.0)</f>
        <v>303</v>
      </c>
      <c r="D563" s="3">
        <f>IFERROR(__xludf.DUMMYFUNCTION("""COMPUTED_VALUE"""),125.0)</f>
        <v>125</v>
      </c>
      <c r="E563" s="2"/>
      <c r="F563" s="2"/>
    </row>
    <row r="564">
      <c r="A564" s="2">
        <f>IFERROR(__xludf.DUMMYFUNCTION("""COMPUTED_VALUE"""),101534.0)</f>
        <v>101534</v>
      </c>
      <c r="B564" s="2">
        <f>IFERROR(__xludf.DUMMYFUNCTION("""COMPUTED_VALUE"""),1.0)</f>
        <v>1</v>
      </c>
      <c r="C564" s="2">
        <f>IFERROR(__xludf.DUMMYFUNCTION("""COMPUTED_VALUE"""),579.0)</f>
        <v>579</v>
      </c>
      <c r="D564" s="3">
        <f>IFERROR(__xludf.DUMMYFUNCTION("""COMPUTED_VALUE"""),428.0)</f>
        <v>428</v>
      </c>
      <c r="E564" s="2"/>
      <c r="F564" s="2"/>
    </row>
    <row r="565">
      <c r="A565" s="2">
        <f>IFERROR(__xludf.DUMMYFUNCTION("""COMPUTED_VALUE"""),110002.0)</f>
        <v>110002</v>
      </c>
      <c r="B565" s="2">
        <f>IFERROR(__xludf.DUMMYFUNCTION("""COMPUTED_VALUE"""),1.0)</f>
        <v>1</v>
      </c>
      <c r="C565" s="2">
        <f>IFERROR(__xludf.DUMMYFUNCTION("""COMPUTED_VALUE"""),316.0)</f>
        <v>316</v>
      </c>
      <c r="D565" s="3">
        <f>IFERROR(__xludf.DUMMYFUNCTION("""COMPUTED_VALUE"""),161.0)</f>
        <v>161</v>
      </c>
      <c r="E565" s="2"/>
      <c r="F565" s="2"/>
    </row>
    <row r="566">
      <c r="A566" s="2">
        <f>IFERROR(__xludf.DUMMYFUNCTION("""COMPUTED_VALUE"""),110001.0)</f>
        <v>110001</v>
      </c>
      <c r="B566" s="2">
        <f>IFERROR(__xludf.DUMMYFUNCTION("""COMPUTED_VALUE"""),1.0)</f>
        <v>1</v>
      </c>
      <c r="C566" s="2">
        <f>IFERROR(__xludf.DUMMYFUNCTION("""COMPUTED_VALUE"""),783.0)</f>
        <v>783</v>
      </c>
      <c r="D566" s="3">
        <f>IFERROR(__xludf.DUMMYFUNCTION("""COMPUTED_VALUE"""),48.0)</f>
        <v>48</v>
      </c>
      <c r="E566" s="2"/>
      <c r="F566" s="2"/>
    </row>
    <row r="567">
      <c r="A567" s="2">
        <f>IFERROR(__xludf.DUMMYFUNCTION("""COMPUTED_VALUE"""),111051.0)</f>
        <v>111051</v>
      </c>
      <c r="B567" s="2">
        <f>IFERROR(__xludf.DUMMYFUNCTION("""COMPUTED_VALUE"""),1.0)</f>
        <v>1</v>
      </c>
      <c r="C567" s="2">
        <f>IFERROR(__xludf.DUMMYFUNCTION("""COMPUTED_VALUE"""),142.0)</f>
        <v>142</v>
      </c>
      <c r="D567" s="3">
        <f>IFERROR(__xludf.DUMMYFUNCTION("""COMPUTED_VALUE"""),119.0)</f>
        <v>119</v>
      </c>
      <c r="E567" s="2"/>
      <c r="F567" s="2"/>
    </row>
    <row r="568">
      <c r="A568" s="2">
        <f>IFERROR(__xludf.DUMMYFUNCTION("""COMPUTED_VALUE"""),7258.0)</f>
        <v>7258</v>
      </c>
      <c r="B568" s="2">
        <f>IFERROR(__xludf.DUMMYFUNCTION("""COMPUTED_VALUE"""),1.0)</f>
        <v>1</v>
      </c>
      <c r="C568" s="2">
        <f>IFERROR(__xludf.DUMMYFUNCTION("""COMPUTED_VALUE"""),522.0)</f>
        <v>522</v>
      </c>
      <c r="D568" s="3">
        <f>IFERROR(__xludf.DUMMYFUNCTION("""COMPUTED_VALUE"""),196.0)</f>
        <v>196</v>
      </c>
      <c r="E568" s="2"/>
      <c r="F568" s="2"/>
    </row>
    <row r="569">
      <c r="A569" s="2">
        <f>IFERROR(__xludf.DUMMYFUNCTION("""COMPUTED_VALUE"""),111053.0)</f>
        <v>111053</v>
      </c>
      <c r="B569" s="2">
        <f>IFERROR(__xludf.DUMMYFUNCTION("""COMPUTED_VALUE"""),0.0)</f>
        <v>0</v>
      </c>
      <c r="C569" s="2">
        <f>IFERROR(__xludf.DUMMYFUNCTION("""COMPUTED_VALUE"""),847.0)</f>
        <v>847</v>
      </c>
      <c r="D569" s="3">
        <f>IFERROR(__xludf.DUMMYFUNCTION("""COMPUTED_VALUE"""),529.0)</f>
        <v>529</v>
      </c>
      <c r="E569" s="2"/>
      <c r="F569" s="2"/>
    </row>
    <row r="570">
      <c r="A570" s="2">
        <f>IFERROR(__xludf.DUMMYFUNCTION("""COMPUTED_VALUE"""),120996.0)</f>
        <v>120996</v>
      </c>
      <c r="B570" s="2">
        <f>IFERROR(__xludf.DUMMYFUNCTION("""COMPUTED_VALUE"""),1.0)</f>
        <v>1</v>
      </c>
      <c r="C570" s="2">
        <f>IFERROR(__xludf.DUMMYFUNCTION("""COMPUTED_VALUE"""),364.0)</f>
        <v>364</v>
      </c>
      <c r="D570" s="3">
        <f>IFERROR(__xludf.DUMMYFUNCTION("""COMPUTED_VALUE"""),69.0)</f>
        <v>69</v>
      </c>
      <c r="E570" s="2"/>
      <c r="F570" s="2"/>
    </row>
    <row r="571">
      <c r="A571" s="2">
        <f>IFERROR(__xludf.DUMMYFUNCTION("""COMPUTED_VALUE"""),109746.0)</f>
        <v>109746</v>
      </c>
      <c r="B571" s="2">
        <f>IFERROR(__xludf.DUMMYFUNCTION("""COMPUTED_VALUE"""),1.0)</f>
        <v>1</v>
      </c>
      <c r="C571" s="2">
        <f>IFERROR(__xludf.DUMMYFUNCTION("""COMPUTED_VALUE"""),507.0)</f>
        <v>507</v>
      </c>
      <c r="D571" s="3">
        <f>IFERROR(__xludf.DUMMYFUNCTION("""COMPUTED_VALUE"""),198.0)</f>
        <v>198</v>
      </c>
      <c r="E571" s="2"/>
      <c r="F571" s="2"/>
    </row>
    <row r="572">
      <c r="A572" s="2">
        <f>IFERROR(__xludf.DUMMYFUNCTION("""COMPUTED_VALUE"""),147288.0)</f>
        <v>147288</v>
      </c>
      <c r="B572" s="2">
        <f>IFERROR(__xludf.DUMMYFUNCTION("""COMPUTED_VALUE"""),0.0)</f>
        <v>0</v>
      </c>
      <c r="C572" s="2">
        <f>IFERROR(__xludf.DUMMYFUNCTION("""COMPUTED_VALUE"""),915.0)</f>
        <v>915</v>
      </c>
      <c r="D572" s="3">
        <f>IFERROR(__xludf.DUMMYFUNCTION("""COMPUTED_VALUE"""),267.0)</f>
        <v>267</v>
      </c>
      <c r="E572" s="2"/>
      <c r="F572" s="2"/>
    </row>
    <row r="573">
      <c r="A573" s="2">
        <f>IFERROR(__xludf.DUMMYFUNCTION("""COMPUTED_VALUE"""),120997.0)</f>
        <v>120997</v>
      </c>
      <c r="B573" s="2">
        <f>IFERROR(__xludf.DUMMYFUNCTION("""COMPUTED_VALUE"""),0.0)</f>
        <v>0</v>
      </c>
      <c r="C573" s="2">
        <f>IFERROR(__xludf.DUMMYFUNCTION("""COMPUTED_VALUE"""),818.0)</f>
        <v>818</v>
      </c>
      <c r="D573" s="3">
        <f>IFERROR(__xludf.DUMMYFUNCTION("""COMPUTED_VALUE"""),758.0)</f>
        <v>758</v>
      </c>
      <c r="E573" s="2"/>
      <c r="F573" s="2"/>
    </row>
    <row r="574">
      <c r="A574" s="2">
        <f>IFERROR(__xludf.DUMMYFUNCTION("""COMPUTED_VALUE"""),109742.0)</f>
        <v>109742</v>
      </c>
      <c r="B574" s="2">
        <f>IFERROR(__xludf.DUMMYFUNCTION("""COMPUTED_VALUE"""),1.0)</f>
        <v>1</v>
      </c>
      <c r="C574" s="2">
        <f>IFERROR(__xludf.DUMMYFUNCTION("""COMPUTED_VALUE"""),937.0)</f>
        <v>937</v>
      </c>
      <c r="D574" s="3">
        <f>IFERROR(__xludf.DUMMYFUNCTION("""COMPUTED_VALUE"""),894.0)</f>
        <v>894</v>
      </c>
      <c r="E574" s="2"/>
      <c r="F574" s="2"/>
    </row>
    <row r="575">
      <c r="A575" s="2">
        <f>IFERROR(__xludf.DUMMYFUNCTION("""COMPUTED_VALUE"""),156013.0)</f>
        <v>156013</v>
      </c>
      <c r="B575" s="2">
        <f>IFERROR(__xludf.DUMMYFUNCTION("""COMPUTED_VALUE"""),0.0)</f>
        <v>0</v>
      </c>
      <c r="C575" s="2">
        <f>IFERROR(__xludf.DUMMYFUNCTION("""COMPUTED_VALUE"""),348.0)</f>
        <v>348</v>
      </c>
      <c r="D575" s="3">
        <f>IFERROR(__xludf.DUMMYFUNCTION("""COMPUTED_VALUE"""),326.0)</f>
        <v>326</v>
      </c>
      <c r="E575" s="2"/>
      <c r="F575" s="2"/>
    </row>
    <row r="576">
      <c r="A576" s="2">
        <f>IFERROR(__xludf.DUMMYFUNCTION("""COMPUTED_VALUE"""),98426.0)</f>
        <v>98426</v>
      </c>
      <c r="B576" s="2">
        <f>IFERROR(__xludf.DUMMYFUNCTION("""COMPUTED_VALUE"""),1.0)</f>
        <v>1</v>
      </c>
      <c r="C576" s="2">
        <f>IFERROR(__xludf.DUMMYFUNCTION("""COMPUTED_VALUE"""),285.0)</f>
        <v>285</v>
      </c>
      <c r="D576" s="3">
        <f>IFERROR(__xludf.DUMMYFUNCTION("""COMPUTED_VALUE"""),166.0)</f>
        <v>166</v>
      </c>
      <c r="E576" s="2"/>
      <c r="F576" s="2"/>
    </row>
    <row r="577">
      <c r="A577" s="2">
        <f>IFERROR(__xludf.DUMMYFUNCTION("""COMPUTED_VALUE"""),110006.0)</f>
        <v>110006</v>
      </c>
      <c r="B577" s="2">
        <f>IFERROR(__xludf.DUMMYFUNCTION("""COMPUTED_VALUE"""),0.0)</f>
        <v>0</v>
      </c>
      <c r="C577" s="2">
        <f>IFERROR(__xludf.DUMMYFUNCTION("""COMPUTED_VALUE"""),127.0)</f>
        <v>127</v>
      </c>
      <c r="D577" s="3">
        <f>IFERROR(__xludf.DUMMYFUNCTION("""COMPUTED_VALUE"""),107.0)</f>
        <v>107</v>
      </c>
      <c r="E577" s="2"/>
      <c r="F577" s="2"/>
    </row>
    <row r="578">
      <c r="A578" s="2">
        <f>IFERROR(__xludf.DUMMYFUNCTION("""COMPUTED_VALUE"""),110409.0)</f>
        <v>110409</v>
      </c>
      <c r="B578" s="2">
        <f>IFERROR(__xludf.DUMMYFUNCTION("""COMPUTED_VALUE"""),0.0)</f>
        <v>0</v>
      </c>
      <c r="C578" s="2">
        <f>IFERROR(__xludf.DUMMYFUNCTION("""COMPUTED_VALUE"""),149.0)</f>
        <v>149</v>
      </c>
      <c r="D578" s="3">
        <f>IFERROR(__xludf.DUMMYFUNCTION("""COMPUTED_VALUE"""),138.0)</f>
        <v>138</v>
      </c>
      <c r="E578" s="2"/>
      <c r="F578" s="2"/>
    </row>
    <row r="579">
      <c r="A579" s="2">
        <f>IFERROR(__xludf.DUMMYFUNCTION("""COMPUTED_VALUE"""),117774.0)</f>
        <v>117774</v>
      </c>
      <c r="B579" s="2">
        <f>IFERROR(__xludf.DUMMYFUNCTION("""COMPUTED_VALUE"""),1.0)</f>
        <v>1</v>
      </c>
      <c r="C579" s="2">
        <f>IFERROR(__xludf.DUMMYFUNCTION("""COMPUTED_VALUE"""),192.0)</f>
        <v>192</v>
      </c>
      <c r="D579" s="3">
        <f>IFERROR(__xludf.DUMMYFUNCTION("""COMPUTED_VALUE"""),131.0)</f>
        <v>131</v>
      </c>
      <c r="E579" s="2"/>
      <c r="F579" s="2"/>
    </row>
    <row r="580">
      <c r="A580" s="2">
        <f>IFERROR(__xludf.DUMMYFUNCTION("""COMPUTED_VALUE"""),110411.0)</f>
        <v>110411</v>
      </c>
      <c r="B580" s="2">
        <f>IFERROR(__xludf.DUMMYFUNCTION("""COMPUTED_VALUE"""),1.0)</f>
        <v>1</v>
      </c>
      <c r="C580" s="2">
        <f>IFERROR(__xludf.DUMMYFUNCTION("""COMPUTED_VALUE"""),949.0)</f>
        <v>949</v>
      </c>
      <c r="D580" s="3">
        <f>IFERROR(__xludf.DUMMYFUNCTION("""COMPUTED_VALUE"""),26.0)</f>
        <v>26</v>
      </c>
      <c r="E580" s="2"/>
      <c r="F580" s="2"/>
    </row>
    <row r="581">
      <c r="A581" s="2">
        <f>IFERROR(__xludf.DUMMYFUNCTION("""COMPUTED_VALUE"""),86743.0)</f>
        <v>86743</v>
      </c>
      <c r="B581" s="2">
        <f>IFERROR(__xludf.DUMMYFUNCTION("""COMPUTED_VALUE"""),0.0)</f>
        <v>0</v>
      </c>
      <c r="C581" s="2">
        <f>IFERROR(__xludf.DUMMYFUNCTION("""COMPUTED_VALUE"""),74.0)</f>
        <v>74</v>
      </c>
      <c r="D581" s="3">
        <f>IFERROR(__xludf.DUMMYFUNCTION("""COMPUTED_VALUE"""),51.0)</f>
        <v>51</v>
      </c>
      <c r="E581" s="2"/>
      <c r="F581" s="2"/>
    </row>
    <row r="582">
      <c r="A582" s="2">
        <f>IFERROR(__xludf.DUMMYFUNCTION("""COMPUTED_VALUE"""),86691.0)</f>
        <v>86691</v>
      </c>
      <c r="B582" s="2">
        <f>IFERROR(__xludf.DUMMYFUNCTION("""COMPUTED_VALUE"""),0.0)</f>
        <v>0</v>
      </c>
      <c r="C582" s="2">
        <f>IFERROR(__xludf.DUMMYFUNCTION("""COMPUTED_VALUE"""),479.0)</f>
        <v>479</v>
      </c>
      <c r="D582" s="3">
        <f>IFERROR(__xludf.DUMMYFUNCTION("""COMPUTED_VALUE"""),346.0)</f>
        <v>346</v>
      </c>
      <c r="E582" s="2"/>
      <c r="F582" s="2"/>
    </row>
    <row r="583">
      <c r="A583" s="2">
        <f>IFERROR(__xludf.DUMMYFUNCTION("""COMPUTED_VALUE"""),7257.0)</f>
        <v>7257</v>
      </c>
      <c r="B583" s="2">
        <f>IFERROR(__xludf.DUMMYFUNCTION("""COMPUTED_VALUE"""),0.0)</f>
        <v>0</v>
      </c>
      <c r="C583" s="2">
        <f>IFERROR(__xludf.DUMMYFUNCTION("""COMPUTED_VALUE"""),73.0)</f>
        <v>73</v>
      </c>
      <c r="D583" s="3">
        <f>IFERROR(__xludf.DUMMYFUNCTION("""COMPUTED_VALUE"""),71.0)</f>
        <v>71</v>
      </c>
      <c r="E583" s="2"/>
      <c r="F583" s="2"/>
    </row>
    <row r="584">
      <c r="A584" s="2">
        <f>IFERROR(__xludf.DUMMYFUNCTION("""COMPUTED_VALUE"""),77706.0)</f>
        <v>77706</v>
      </c>
      <c r="B584" s="2">
        <f>IFERROR(__xludf.DUMMYFUNCTION("""COMPUTED_VALUE"""),0.0)</f>
        <v>0</v>
      </c>
      <c r="C584" s="2">
        <f>IFERROR(__xludf.DUMMYFUNCTION("""COMPUTED_VALUE"""),800.0)</f>
        <v>800</v>
      </c>
      <c r="D584" s="3">
        <f>IFERROR(__xludf.DUMMYFUNCTION("""COMPUTED_VALUE"""),202.0)</f>
        <v>202</v>
      </c>
      <c r="E584" s="2"/>
      <c r="F584" s="2"/>
    </row>
    <row r="585">
      <c r="A585" s="2">
        <f>IFERROR(__xludf.DUMMYFUNCTION("""COMPUTED_VALUE"""),122599.0)</f>
        <v>122599</v>
      </c>
      <c r="B585" s="2">
        <f>IFERROR(__xludf.DUMMYFUNCTION("""COMPUTED_VALUE"""),0.0)</f>
        <v>0</v>
      </c>
      <c r="C585" s="2">
        <f>IFERROR(__xludf.DUMMYFUNCTION("""COMPUTED_VALUE"""),107.0)</f>
        <v>107</v>
      </c>
      <c r="D585" s="3">
        <f>IFERROR(__xludf.DUMMYFUNCTION("""COMPUTED_VALUE"""),84.0)</f>
        <v>84</v>
      </c>
      <c r="E585" s="2"/>
      <c r="F585" s="2"/>
    </row>
    <row r="586">
      <c r="A586" s="2">
        <f>IFERROR(__xludf.DUMMYFUNCTION("""COMPUTED_VALUE"""),109741.0)</f>
        <v>109741</v>
      </c>
      <c r="B586" s="2">
        <f>IFERROR(__xludf.DUMMYFUNCTION("""COMPUTED_VALUE"""),1.0)</f>
        <v>1</v>
      </c>
      <c r="C586" s="2">
        <f>IFERROR(__xludf.DUMMYFUNCTION("""COMPUTED_VALUE"""),451.0)</f>
        <v>451</v>
      </c>
      <c r="D586" s="3">
        <f>IFERROR(__xludf.DUMMYFUNCTION("""COMPUTED_VALUE"""),437.0)</f>
        <v>437</v>
      </c>
      <c r="E586" s="2"/>
      <c r="F586" s="2"/>
    </row>
    <row r="587">
      <c r="A587" s="2">
        <f>IFERROR(__xludf.DUMMYFUNCTION("""COMPUTED_VALUE"""),69064.0)</f>
        <v>69064</v>
      </c>
      <c r="B587" s="2">
        <f>IFERROR(__xludf.DUMMYFUNCTION("""COMPUTED_VALUE"""),1.0)</f>
        <v>1</v>
      </c>
      <c r="C587" s="2">
        <f>IFERROR(__xludf.DUMMYFUNCTION("""COMPUTED_VALUE"""),592.0)</f>
        <v>592</v>
      </c>
      <c r="D587" s="3">
        <f>IFERROR(__xludf.DUMMYFUNCTION("""COMPUTED_VALUE"""),580.0)</f>
        <v>580</v>
      </c>
      <c r="E587" s="2"/>
      <c r="F587" s="2"/>
    </row>
    <row r="588">
      <c r="A588" s="2">
        <f>IFERROR(__xludf.DUMMYFUNCTION("""COMPUTED_VALUE"""),119447.0)</f>
        <v>119447</v>
      </c>
      <c r="B588" s="2">
        <f>IFERROR(__xludf.DUMMYFUNCTION("""COMPUTED_VALUE"""),0.0)</f>
        <v>0</v>
      </c>
      <c r="C588" s="2">
        <f>IFERROR(__xludf.DUMMYFUNCTION("""COMPUTED_VALUE"""),332.0)</f>
        <v>332</v>
      </c>
      <c r="D588" s="3">
        <f>IFERROR(__xludf.DUMMYFUNCTION("""COMPUTED_VALUE"""),10.0)</f>
        <v>10</v>
      </c>
      <c r="E588" s="2"/>
      <c r="F588" s="2"/>
    </row>
    <row r="589">
      <c r="A589" s="2">
        <f>IFERROR(__xludf.DUMMYFUNCTION("""COMPUTED_VALUE"""),111730.0)</f>
        <v>111730</v>
      </c>
      <c r="B589" s="2">
        <f>IFERROR(__xludf.DUMMYFUNCTION("""COMPUTED_VALUE"""),1.0)</f>
        <v>1</v>
      </c>
      <c r="C589" s="2">
        <f>IFERROR(__xludf.DUMMYFUNCTION("""COMPUTED_VALUE"""),468.0)</f>
        <v>468</v>
      </c>
      <c r="D589" s="3">
        <f>IFERROR(__xludf.DUMMYFUNCTION("""COMPUTED_VALUE"""),435.0)</f>
        <v>435</v>
      </c>
      <c r="E589" s="2"/>
      <c r="F589" s="2"/>
    </row>
    <row r="590">
      <c r="A590" s="2">
        <f>IFERROR(__xludf.DUMMYFUNCTION("""COMPUTED_VALUE"""),100437.0)</f>
        <v>100437</v>
      </c>
      <c r="B590" s="2">
        <f>IFERROR(__xludf.DUMMYFUNCTION("""COMPUTED_VALUE"""),1.0)</f>
        <v>1</v>
      </c>
      <c r="C590" s="2">
        <f>IFERROR(__xludf.DUMMYFUNCTION("""COMPUTED_VALUE"""),257.0)</f>
        <v>257</v>
      </c>
      <c r="D590" s="3">
        <f>IFERROR(__xludf.DUMMYFUNCTION("""COMPUTED_VALUE"""),31.0)</f>
        <v>31</v>
      </c>
      <c r="E590" s="2"/>
      <c r="F590" s="2"/>
    </row>
    <row r="591">
      <c r="A591" s="2">
        <f>IFERROR(__xludf.DUMMYFUNCTION("""COMPUTED_VALUE"""),92304.0)</f>
        <v>92304</v>
      </c>
      <c r="B591" s="2">
        <f>IFERROR(__xludf.DUMMYFUNCTION("""COMPUTED_VALUE"""),0.0)</f>
        <v>0</v>
      </c>
      <c r="C591" s="2">
        <f>IFERROR(__xludf.DUMMYFUNCTION("""COMPUTED_VALUE"""),911.0)</f>
        <v>911</v>
      </c>
      <c r="D591" s="3">
        <f>IFERROR(__xludf.DUMMYFUNCTION("""COMPUTED_VALUE"""),50.0)</f>
        <v>50</v>
      </c>
      <c r="E591" s="2"/>
      <c r="F591" s="2"/>
    </row>
    <row r="592">
      <c r="A592" s="2">
        <f>IFERROR(__xludf.DUMMYFUNCTION("""COMPUTED_VALUE"""),103655.0)</f>
        <v>103655</v>
      </c>
      <c r="B592" s="2">
        <f>IFERROR(__xludf.DUMMYFUNCTION("""COMPUTED_VALUE"""),1.0)</f>
        <v>1</v>
      </c>
      <c r="C592" s="2">
        <f>IFERROR(__xludf.DUMMYFUNCTION("""COMPUTED_VALUE"""),51.0)</f>
        <v>51</v>
      </c>
      <c r="D592" s="3">
        <f>IFERROR(__xludf.DUMMYFUNCTION("""COMPUTED_VALUE"""),22.0)</f>
        <v>22</v>
      </c>
      <c r="E592" s="2"/>
      <c r="F592" s="2"/>
    </row>
    <row r="593">
      <c r="A593" s="2">
        <f>IFERROR(__xludf.DUMMYFUNCTION("""COMPUTED_VALUE"""),103656.0)</f>
        <v>103656</v>
      </c>
      <c r="B593" s="2">
        <f>IFERROR(__xludf.DUMMYFUNCTION("""COMPUTED_VALUE"""),1.0)</f>
        <v>1</v>
      </c>
      <c r="C593" s="2">
        <f>IFERROR(__xludf.DUMMYFUNCTION("""COMPUTED_VALUE"""),949.0)</f>
        <v>949</v>
      </c>
      <c r="D593" s="3">
        <f>IFERROR(__xludf.DUMMYFUNCTION("""COMPUTED_VALUE"""),871.0)</f>
        <v>871</v>
      </c>
      <c r="E593" s="2"/>
      <c r="F593" s="2"/>
    </row>
    <row r="594">
      <c r="A594" s="2">
        <f>IFERROR(__xludf.DUMMYFUNCTION("""COMPUTED_VALUE"""),103704.0)</f>
        <v>103704</v>
      </c>
      <c r="B594" s="2">
        <f>IFERROR(__xludf.DUMMYFUNCTION("""COMPUTED_VALUE"""),1.0)</f>
        <v>1</v>
      </c>
      <c r="C594" s="2">
        <f>IFERROR(__xludf.DUMMYFUNCTION("""COMPUTED_VALUE"""),450.0)</f>
        <v>450</v>
      </c>
      <c r="D594" s="3">
        <f>IFERROR(__xludf.DUMMYFUNCTION("""COMPUTED_VALUE"""),194.0)</f>
        <v>194</v>
      </c>
      <c r="E594" s="2"/>
      <c r="F594" s="2"/>
    </row>
    <row r="595">
      <c r="A595" s="2">
        <f>IFERROR(__xludf.DUMMYFUNCTION("""COMPUTED_VALUE"""),46759.0)</f>
        <v>46759</v>
      </c>
      <c r="B595" s="2">
        <f>IFERROR(__xludf.DUMMYFUNCTION("""COMPUTED_VALUE"""),1.0)</f>
        <v>1</v>
      </c>
      <c r="C595" s="2">
        <f>IFERROR(__xludf.DUMMYFUNCTION("""COMPUTED_VALUE"""),932.0)</f>
        <v>932</v>
      </c>
      <c r="D595" s="3">
        <f>IFERROR(__xludf.DUMMYFUNCTION("""COMPUTED_VALUE"""),8.0)</f>
        <v>8</v>
      </c>
      <c r="E595" s="2"/>
      <c r="F595" s="2"/>
    </row>
    <row r="596">
      <c r="A596" s="2">
        <f>IFERROR(__xludf.DUMMYFUNCTION("""COMPUTED_VALUE"""),113594.0)</f>
        <v>113594</v>
      </c>
      <c r="B596" s="2">
        <f>IFERROR(__xludf.DUMMYFUNCTION("""COMPUTED_VALUE"""),0.0)</f>
        <v>0</v>
      </c>
      <c r="C596" s="2">
        <f>IFERROR(__xludf.DUMMYFUNCTION("""COMPUTED_VALUE"""),682.0)</f>
        <v>682</v>
      </c>
      <c r="D596" s="3">
        <f>IFERROR(__xludf.DUMMYFUNCTION("""COMPUTED_VALUE"""),100.0)</f>
        <v>100</v>
      </c>
      <c r="E596" s="2"/>
      <c r="F596" s="2"/>
    </row>
    <row r="597">
      <c r="A597" s="2">
        <f>IFERROR(__xludf.DUMMYFUNCTION("""COMPUTED_VALUE"""),111791.0)</f>
        <v>111791</v>
      </c>
      <c r="B597" s="2">
        <f>IFERROR(__xludf.DUMMYFUNCTION("""COMPUTED_VALUE"""),0.0)</f>
        <v>0</v>
      </c>
      <c r="C597" s="2">
        <f>IFERROR(__xludf.DUMMYFUNCTION("""COMPUTED_VALUE"""),79.0)</f>
        <v>79</v>
      </c>
      <c r="D597" s="3">
        <f>IFERROR(__xludf.DUMMYFUNCTION("""COMPUTED_VALUE"""),13.0)</f>
        <v>13</v>
      </c>
      <c r="E597" s="2"/>
      <c r="F597" s="2"/>
    </row>
    <row r="598">
      <c r="A598" s="2">
        <f>IFERROR(__xludf.DUMMYFUNCTION("""COMPUTED_VALUE"""),44674.0)</f>
        <v>44674</v>
      </c>
      <c r="B598" s="2">
        <f>IFERROR(__xludf.DUMMYFUNCTION("""COMPUTED_VALUE"""),1.0)</f>
        <v>1</v>
      </c>
      <c r="C598" s="2">
        <f>IFERROR(__xludf.DUMMYFUNCTION("""COMPUTED_VALUE"""),975.0)</f>
        <v>975</v>
      </c>
      <c r="D598" s="3">
        <f>IFERROR(__xludf.DUMMYFUNCTION("""COMPUTED_VALUE"""),315.0)</f>
        <v>315</v>
      </c>
      <c r="E598" s="2"/>
      <c r="F598" s="2"/>
    </row>
    <row r="599">
      <c r="A599" s="2">
        <f>IFERROR(__xludf.DUMMYFUNCTION("""COMPUTED_VALUE"""),48639.0)</f>
        <v>48639</v>
      </c>
      <c r="B599" s="2">
        <f>IFERROR(__xludf.DUMMYFUNCTION("""COMPUTED_VALUE"""),1.0)</f>
        <v>1</v>
      </c>
      <c r="C599" s="2">
        <f>IFERROR(__xludf.DUMMYFUNCTION("""COMPUTED_VALUE"""),627.0)</f>
        <v>627</v>
      </c>
      <c r="D599" s="3">
        <f>IFERROR(__xludf.DUMMYFUNCTION("""COMPUTED_VALUE"""),9.0)</f>
        <v>9</v>
      </c>
      <c r="E599" s="2"/>
      <c r="F599" s="2"/>
    </row>
    <row r="600">
      <c r="A600" s="2">
        <f>IFERROR(__xludf.DUMMYFUNCTION("""COMPUTED_VALUE"""),76559.0)</f>
        <v>76559</v>
      </c>
      <c r="B600" s="2">
        <f>IFERROR(__xludf.DUMMYFUNCTION("""COMPUTED_VALUE"""),0.0)</f>
        <v>0</v>
      </c>
      <c r="C600" s="2">
        <f>IFERROR(__xludf.DUMMYFUNCTION("""COMPUTED_VALUE"""),583.0)</f>
        <v>583</v>
      </c>
      <c r="D600" s="3">
        <f>IFERROR(__xludf.DUMMYFUNCTION("""COMPUTED_VALUE"""),255.0)</f>
        <v>255</v>
      </c>
      <c r="E600" s="2"/>
      <c r="F600" s="2"/>
    </row>
    <row r="601">
      <c r="A601" s="2">
        <f>IFERROR(__xludf.DUMMYFUNCTION("""COMPUTED_VALUE"""),22112.0)</f>
        <v>22112</v>
      </c>
      <c r="B601" s="2">
        <f>IFERROR(__xludf.DUMMYFUNCTION("""COMPUTED_VALUE"""),0.0)</f>
        <v>0</v>
      </c>
      <c r="C601" s="2">
        <f>IFERROR(__xludf.DUMMYFUNCTION("""COMPUTED_VALUE"""),607.0)</f>
        <v>607</v>
      </c>
      <c r="D601" s="3">
        <f>IFERROR(__xludf.DUMMYFUNCTION("""COMPUTED_VALUE"""),275.0)</f>
        <v>275</v>
      </c>
      <c r="E601" s="2"/>
      <c r="F601" s="2"/>
    </row>
    <row r="602">
      <c r="A602" s="2">
        <f>IFERROR(__xludf.DUMMYFUNCTION("""COMPUTED_VALUE"""),84390.0)</f>
        <v>84390</v>
      </c>
      <c r="B602" s="2">
        <f>IFERROR(__xludf.DUMMYFUNCTION("""COMPUTED_VALUE"""),0.0)</f>
        <v>0</v>
      </c>
      <c r="C602" s="2">
        <f>IFERROR(__xludf.DUMMYFUNCTION("""COMPUTED_VALUE"""),557.0)</f>
        <v>557</v>
      </c>
      <c r="D602" s="3">
        <f>IFERROR(__xludf.DUMMYFUNCTION("""COMPUTED_VALUE"""),545.0)</f>
        <v>545</v>
      </c>
      <c r="E602" s="2"/>
      <c r="F602" s="2"/>
    </row>
    <row r="603">
      <c r="A603" s="2">
        <f>IFERROR(__xludf.DUMMYFUNCTION("""COMPUTED_VALUE"""),100327.0)</f>
        <v>100327</v>
      </c>
      <c r="B603" s="2">
        <f>IFERROR(__xludf.DUMMYFUNCTION("""COMPUTED_VALUE"""),0.0)</f>
        <v>0</v>
      </c>
      <c r="C603" s="2">
        <f>IFERROR(__xludf.DUMMYFUNCTION("""COMPUTED_VALUE"""),691.0)</f>
        <v>691</v>
      </c>
      <c r="D603" s="3">
        <f>IFERROR(__xludf.DUMMYFUNCTION("""COMPUTED_VALUE"""),544.0)</f>
        <v>544</v>
      </c>
      <c r="E603" s="2"/>
      <c r="F603" s="2"/>
    </row>
    <row r="604">
      <c r="A604" s="2">
        <f>IFERROR(__xludf.DUMMYFUNCTION("""COMPUTED_VALUE"""),81427.0)</f>
        <v>81427</v>
      </c>
      <c r="B604" s="2">
        <f>IFERROR(__xludf.DUMMYFUNCTION("""COMPUTED_VALUE"""),0.0)</f>
        <v>0</v>
      </c>
      <c r="C604" s="2">
        <f>IFERROR(__xludf.DUMMYFUNCTION("""COMPUTED_VALUE"""),207.0)</f>
        <v>207</v>
      </c>
      <c r="D604" s="3">
        <f>IFERROR(__xludf.DUMMYFUNCTION("""COMPUTED_VALUE"""),164.0)</f>
        <v>164</v>
      </c>
      <c r="E604" s="2"/>
      <c r="F604" s="2"/>
    </row>
    <row r="605">
      <c r="A605" s="2">
        <f>IFERROR(__xludf.DUMMYFUNCTION("""COMPUTED_VALUE"""),19847.0)</f>
        <v>19847</v>
      </c>
      <c r="B605" s="2">
        <f>IFERROR(__xludf.DUMMYFUNCTION("""COMPUTED_VALUE"""),1.0)</f>
        <v>1</v>
      </c>
      <c r="C605" s="2">
        <f>IFERROR(__xludf.DUMMYFUNCTION("""COMPUTED_VALUE"""),276.0)</f>
        <v>276</v>
      </c>
      <c r="D605" s="3">
        <f>IFERROR(__xludf.DUMMYFUNCTION("""COMPUTED_VALUE"""),122.0)</f>
        <v>122</v>
      </c>
      <c r="E605" s="2"/>
      <c r="F605" s="2"/>
    </row>
    <row r="606">
      <c r="A606" s="2">
        <f>IFERROR(__xludf.DUMMYFUNCTION("""COMPUTED_VALUE"""),121989.0)</f>
        <v>121989</v>
      </c>
      <c r="B606" s="2">
        <f>IFERROR(__xludf.DUMMYFUNCTION("""COMPUTED_VALUE"""),0.0)</f>
        <v>0</v>
      </c>
      <c r="C606" s="2">
        <f>IFERROR(__xludf.DUMMYFUNCTION("""COMPUTED_VALUE"""),572.0)</f>
        <v>572</v>
      </c>
      <c r="D606" s="3">
        <f>IFERROR(__xludf.DUMMYFUNCTION("""COMPUTED_VALUE"""),381.0)</f>
        <v>381</v>
      </c>
      <c r="E606" s="2"/>
      <c r="F606" s="2"/>
    </row>
    <row r="607">
      <c r="A607" s="2">
        <f>IFERROR(__xludf.DUMMYFUNCTION("""COMPUTED_VALUE"""),3431.0)</f>
        <v>3431</v>
      </c>
      <c r="B607" s="2">
        <f>IFERROR(__xludf.DUMMYFUNCTION("""COMPUTED_VALUE"""),1.0)</f>
        <v>1</v>
      </c>
      <c r="C607" s="2">
        <f>IFERROR(__xludf.DUMMYFUNCTION("""COMPUTED_VALUE"""),855.0)</f>
        <v>855</v>
      </c>
      <c r="D607" s="3">
        <f>IFERROR(__xludf.DUMMYFUNCTION("""COMPUTED_VALUE"""),119.0)</f>
        <v>119</v>
      </c>
      <c r="E607" s="2"/>
      <c r="F607" s="2"/>
    </row>
    <row r="608">
      <c r="A608" s="2">
        <f>IFERROR(__xludf.DUMMYFUNCTION("""COMPUTED_VALUE"""),68858.0)</f>
        <v>68858</v>
      </c>
      <c r="B608" s="2">
        <f>IFERROR(__xludf.DUMMYFUNCTION("""COMPUTED_VALUE"""),0.0)</f>
        <v>0</v>
      </c>
      <c r="C608" s="2">
        <f>IFERROR(__xludf.DUMMYFUNCTION("""COMPUTED_VALUE"""),191.0)</f>
        <v>191</v>
      </c>
      <c r="D608" s="3">
        <f>IFERROR(__xludf.DUMMYFUNCTION("""COMPUTED_VALUE"""),22.0)</f>
        <v>22</v>
      </c>
      <c r="E608" s="2"/>
      <c r="F608" s="2"/>
    </row>
    <row r="609">
      <c r="A609" s="2">
        <f>IFERROR(__xludf.DUMMYFUNCTION("""COMPUTED_VALUE"""),147279.0)</f>
        <v>147279</v>
      </c>
      <c r="B609" s="2">
        <f>IFERROR(__xludf.DUMMYFUNCTION("""COMPUTED_VALUE"""),0.0)</f>
        <v>0</v>
      </c>
      <c r="C609" s="2">
        <f>IFERROR(__xludf.DUMMYFUNCTION("""COMPUTED_VALUE"""),870.0)</f>
        <v>870</v>
      </c>
      <c r="D609" s="3">
        <f>IFERROR(__xludf.DUMMYFUNCTION("""COMPUTED_VALUE"""),133.0)</f>
        <v>133</v>
      </c>
      <c r="E609" s="2"/>
      <c r="F609" s="2"/>
    </row>
    <row r="610">
      <c r="A610" s="2">
        <f>IFERROR(__xludf.DUMMYFUNCTION("""COMPUTED_VALUE"""),19853.0)</f>
        <v>19853</v>
      </c>
      <c r="B610" s="2">
        <f>IFERROR(__xludf.DUMMYFUNCTION("""COMPUTED_VALUE"""),0.0)</f>
        <v>0</v>
      </c>
      <c r="C610" s="2">
        <f>IFERROR(__xludf.DUMMYFUNCTION("""COMPUTED_VALUE"""),546.0)</f>
        <v>546</v>
      </c>
      <c r="D610" s="3">
        <f>IFERROR(__xludf.DUMMYFUNCTION("""COMPUTED_VALUE"""),408.0)</f>
        <v>408</v>
      </c>
      <c r="E610" s="2"/>
      <c r="F610" s="2"/>
    </row>
    <row r="611">
      <c r="A611" s="2">
        <f>IFERROR(__xludf.DUMMYFUNCTION("""COMPUTED_VALUE"""),84315.0)</f>
        <v>84315</v>
      </c>
      <c r="B611" s="2">
        <f>IFERROR(__xludf.DUMMYFUNCTION("""COMPUTED_VALUE"""),0.0)</f>
        <v>0</v>
      </c>
      <c r="C611" s="2">
        <f>IFERROR(__xludf.DUMMYFUNCTION("""COMPUTED_VALUE"""),342.0)</f>
        <v>342</v>
      </c>
      <c r="D611" s="3">
        <f>IFERROR(__xludf.DUMMYFUNCTION("""COMPUTED_VALUE"""),171.0)</f>
        <v>171</v>
      </c>
      <c r="E611" s="2"/>
      <c r="F611" s="2"/>
    </row>
    <row r="612">
      <c r="A612" s="2">
        <f>IFERROR(__xludf.DUMMYFUNCTION("""COMPUTED_VALUE"""),3433.0)</f>
        <v>3433</v>
      </c>
      <c r="B612" s="2">
        <f>IFERROR(__xludf.DUMMYFUNCTION("""COMPUTED_VALUE"""),1.0)</f>
        <v>1</v>
      </c>
      <c r="C612" s="2">
        <f>IFERROR(__xludf.DUMMYFUNCTION("""COMPUTED_VALUE"""),534.0)</f>
        <v>534</v>
      </c>
      <c r="D612" s="3">
        <f>IFERROR(__xludf.DUMMYFUNCTION("""COMPUTED_VALUE"""),426.0)</f>
        <v>426</v>
      </c>
      <c r="E612" s="2"/>
      <c r="F612" s="2"/>
    </row>
    <row r="613">
      <c r="A613" s="2">
        <f>IFERROR(__xludf.DUMMYFUNCTION("""COMPUTED_VALUE"""),48640.0)</f>
        <v>48640</v>
      </c>
      <c r="B613" s="2">
        <f>IFERROR(__xludf.DUMMYFUNCTION("""COMPUTED_VALUE"""),1.0)</f>
        <v>1</v>
      </c>
      <c r="C613" s="2">
        <f>IFERROR(__xludf.DUMMYFUNCTION("""COMPUTED_VALUE"""),911.0)</f>
        <v>911</v>
      </c>
      <c r="D613" s="3">
        <f>IFERROR(__xludf.DUMMYFUNCTION("""COMPUTED_VALUE"""),171.0)</f>
        <v>171</v>
      </c>
      <c r="E613" s="2"/>
      <c r="F613" s="2"/>
    </row>
    <row r="614">
      <c r="A614" s="2">
        <f>IFERROR(__xludf.DUMMYFUNCTION("""COMPUTED_VALUE"""),81678.0)</f>
        <v>81678</v>
      </c>
      <c r="B614" s="2">
        <f>IFERROR(__xludf.DUMMYFUNCTION("""COMPUTED_VALUE"""),0.0)</f>
        <v>0</v>
      </c>
      <c r="C614" s="2">
        <f>IFERROR(__xludf.DUMMYFUNCTION("""COMPUTED_VALUE"""),16.0)</f>
        <v>16</v>
      </c>
      <c r="D614" s="3">
        <f>IFERROR(__xludf.DUMMYFUNCTION("""COMPUTED_VALUE"""),13.0)</f>
        <v>13</v>
      </c>
      <c r="E614" s="2"/>
      <c r="F614" s="2"/>
    </row>
    <row r="615">
      <c r="A615" s="2">
        <f>IFERROR(__xludf.DUMMYFUNCTION("""COMPUTED_VALUE"""),117528.0)</f>
        <v>117528</v>
      </c>
      <c r="B615" s="2">
        <f>IFERROR(__xludf.DUMMYFUNCTION("""COMPUTED_VALUE"""),1.0)</f>
        <v>1</v>
      </c>
      <c r="C615" s="2">
        <f>IFERROR(__xludf.DUMMYFUNCTION("""COMPUTED_VALUE"""),117.0)</f>
        <v>117</v>
      </c>
      <c r="D615" s="3">
        <f>IFERROR(__xludf.DUMMYFUNCTION("""COMPUTED_VALUE"""),81.0)</f>
        <v>81</v>
      </c>
      <c r="E615" s="2"/>
      <c r="F615" s="2"/>
    </row>
    <row r="616">
      <c r="A616" s="2">
        <f>IFERROR(__xludf.DUMMYFUNCTION("""COMPUTED_VALUE"""),84324.0)</f>
        <v>84324</v>
      </c>
      <c r="B616" s="2">
        <f>IFERROR(__xludf.DUMMYFUNCTION("""COMPUTED_VALUE"""),0.0)</f>
        <v>0</v>
      </c>
      <c r="C616" s="2">
        <f>IFERROR(__xludf.DUMMYFUNCTION("""COMPUTED_VALUE"""),923.0)</f>
        <v>923</v>
      </c>
      <c r="D616" s="3">
        <f>IFERROR(__xludf.DUMMYFUNCTION("""COMPUTED_VALUE"""),506.0)</f>
        <v>506</v>
      </c>
      <c r="E616" s="2"/>
      <c r="F616" s="2"/>
    </row>
    <row r="617">
      <c r="A617" s="2">
        <f>IFERROR(__xludf.DUMMYFUNCTION("""COMPUTED_VALUE"""),3420.0)</f>
        <v>3420</v>
      </c>
      <c r="B617" s="2">
        <f>IFERROR(__xludf.DUMMYFUNCTION("""COMPUTED_VALUE"""),1.0)</f>
        <v>1</v>
      </c>
      <c r="C617" s="2">
        <f>IFERROR(__xludf.DUMMYFUNCTION("""COMPUTED_VALUE"""),292.0)</f>
        <v>292</v>
      </c>
      <c r="D617" s="3">
        <f>IFERROR(__xludf.DUMMYFUNCTION("""COMPUTED_VALUE"""),96.0)</f>
        <v>96</v>
      </c>
      <c r="E617" s="2"/>
      <c r="F617" s="2"/>
    </row>
    <row r="618">
      <c r="A618" s="2">
        <f>IFERROR(__xludf.DUMMYFUNCTION("""COMPUTED_VALUE"""),19837.0)</f>
        <v>19837</v>
      </c>
      <c r="B618" s="2">
        <f>IFERROR(__xludf.DUMMYFUNCTION("""COMPUTED_VALUE"""),1.0)</f>
        <v>1</v>
      </c>
      <c r="C618" s="2">
        <f>IFERROR(__xludf.DUMMYFUNCTION("""COMPUTED_VALUE"""),397.0)</f>
        <v>397</v>
      </c>
      <c r="D618" s="3">
        <f>IFERROR(__xludf.DUMMYFUNCTION("""COMPUTED_VALUE"""),160.0)</f>
        <v>160</v>
      </c>
      <c r="E618" s="2"/>
      <c r="F618" s="2"/>
    </row>
    <row r="619">
      <c r="A619" s="2">
        <f>IFERROR(__xludf.DUMMYFUNCTION("""COMPUTED_VALUE"""),19835.0)</f>
        <v>19835</v>
      </c>
      <c r="B619" s="2">
        <f>IFERROR(__xludf.DUMMYFUNCTION("""COMPUTED_VALUE"""),1.0)</f>
        <v>1</v>
      </c>
      <c r="C619" s="2">
        <f>IFERROR(__xludf.DUMMYFUNCTION("""COMPUTED_VALUE"""),560.0)</f>
        <v>560</v>
      </c>
      <c r="D619" s="3">
        <f>IFERROR(__xludf.DUMMYFUNCTION("""COMPUTED_VALUE"""),545.0)</f>
        <v>545</v>
      </c>
      <c r="E619" s="2"/>
      <c r="F619" s="2"/>
    </row>
    <row r="620">
      <c r="A620" s="2">
        <f>IFERROR(__xludf.DUMMYFUNCTION("""COMPUTED_VALUE"""),69109.0)</f>
        <v>69109</v>
      </c>
      <c r="B620" s="2">
        <f>IFERROR(__xludf.DUMMYFUNCTION("""COMPUTED_VALUE"""),0.0)</f>
        <v>0</v>
      </c>
      <c r="C620" s="2">
        <f>IFERROR(__xludf.DUMMYFUNCTION("""COMPUTED_VALUE"""),152.0)</f>
        <v>152</v>
      </c>
      <c r="D620" s="3">
        <f>IFERROR(__xludf.DUMMYFUNCTION("""COMPUTED_VALUE"""),41.0)</f>
        <v>41</v>
      </c>
      <c r="E620" s="2"/>
      <c r="F620" s="2"/>
    </row>
    <row r="621">
      <c r="A621" s="2">
        <f>IFERROR(__xludf.DUMMYFUNCTION("""COMPUTED_VALUE"""),104387.0)</f>
        <v>104387</v>
      </c>
      <c r="B621" s="2">
        <f>IFERROR(__xludf.DUMMYFUNCTION("""COMPUTED_VALUE"""),0.0)</f>
        <v>0</v>
      </c>
      <c r="C621" s="2">
        <f>IFERROR(__xludf.DUMMYFUNCTION("""COMPUTED_VALUE"""),459.0)</f>
        <v>459</v>
      </c>
      <c r="D621" s="3">
        <f>IFERROR(__xludf.DUMMYFUNCTION("""COMPUTED_VALUE"""),238.0)</f>
        <v>238</v>
      </c>
      <c r="E621" s="2"/>
      <c r="F621" s="2"/>
    </row>
    <row r="622">
      <c r="A622" s="2">
        <f>IFERROR(__xludf.DUMMYFUNCTION("""COMPUTED_VALUE"""),19843.0)</f>
        <v>19843</v>
      </c>
      <c r="B622" s="2">
        <f>IFERROR(__xludf.DUMMYFUNCTION("""COMPUTED_VALUE"""),0.0)</f>
        <v>0</v>
      </c>
      <c r="C622" s="2">
        <f>IFERROR(__xludf.DUMMYFUNCTION("""COMPUTED_VALUE"""),559.0)</f>
        <v>559</v>
      </c>
      <c r="D622" s="3">
        <f>IFERROR(__xludf.DUMMYFUNCTION("""COMPUTED_VALUE"""),515.0)</f>
        <v>515</v>
      </c>
      <c r="E622" s="2"/>
      <c r="F622" s="2"/>
    </row>
    <row r="623">
      <c r="A623" s="2">
        <f>IFERROR(__xludf.DUMMYFUNCTION("""COMPUTED_VALUE"""),117523.0)</f>
        <v>117523</v>
      </c>
      <c r="B623" s="2">
        <f>IFERROR(__xludf.DUMMYFUNCTION("""COMPUTED_VALUE"""),1.0)</f>
        <v>1</v>
      </c>
      <c r="C623" s="2">
        <f>IFERROR(__xludf.DUMMYFUNCTION("""COMPUTED_VALUE"""),109.0)</f>
        <v>109</v>
      </c>
      <c r="D623" s="3">
        <f>IFERROR(__xludf.DUMMYFUNCTION("""COMPUTED_VALUE"""),65.0)</f>
        <v>65</v>
      </c>
      <c r="E623" s="2"/>
      <c r="F623" s="2"/>
    </row>
    <row r="624">
      <c r="A624" s="2">
        <f>IFERROR(__xludf.DUMMYFUNCTION("""COMPUTED_VALUE"""),121981.0)</f>
        <v>121981</v>
      </c>
      <c r="B624" s="2">
        <f>IFERROR(__xludf.DUMMYFUNCTION("""COMPUTED_VALUE"""),1.0)</f>
        <v>1</v>
      </c>
      <c r="C624" s="2">
        <f>IFERROR(__xludf.DUMMYFUNCTION("""COMPUTED_VALUE"""),258.0)</f>
        <v>258</v>
      </c>
      <c r="D624" s="3">
        <f>IFERROR(__xludf.DUMMYFUNCTION("""COMPUTED_VALUE"""),150.0)</f>
        <v>150</v>
      </c>
      <c r="E624" s="2"/>
      <c r="F624" s="2"/>
    </row>
    <row r="625">
      <c r="A625" s="2">
        <f>IFERROR(__xludf.DUMMYFUNCTION("""COMPUTED_VALUE"""),121993.0)</f>
        <v>121993</v>
      </c>
      <c r="B625" s="2">
        <f>IFERROR(__xludf.DUMMYFUNCTION("""COMPUTED_VALUE"""),0.0)</f>
        <v>0</v>
      </c>
      <c r="C625" s="2">
        <f>IFERROR(__xludf.DUMMYFUNCTION("""COMPUTED_VALUE"""),255.0)</f>
        <v>255</v>
      </c>
      <c r="D625" s="3">
        <f>IFERROR(__xludf.DUMMYFUNCTION("""COMPUTED_VALUE"""),210.0)</f>
        <v>210</v>
      </c>
      <c r="E625" s="2"/>
      <c r="F625" s="2"/>
    </row>
    <row r="626">
      <c r="A626" s="2">
        <f>IFERROR(__xludf.DUMMYFUNCTION("""COMPUTED_VALUE"""),81389.0)</f>
        <v>81389</v>
      </c>
      <c r="B626" s="2">
        <f>IFERROR(__xludf.DUMMYFUNCTION("""COMPUTED_VALUE"""),1.0)</f>
        <v>1</v>
      </c>
      <c r="C626" s="2">
        <f>IFERROR(__xludf.DUMMYFUNCTION("""COMPUTED_VALUE"""),724.0)</f>
        <v>724</v>
      </c>
      <c r="D626" s="3">
        <f>IFERROR(__xludf.DUMMYFUNCTION("""COMPUTED_VALUE"""),507.0)</f>
        <v>507</v>
      </c>
      <c r="E626" s="2"/>
      <c r="F626" s="2"/>
    </row>
    <row r="627">
      <c r="A627" s="2">
        <f>IFERROR(__xludf.DUMMYFUNCTION("""COMPUTED_VALUE"""),99473.0)</f>
        <v>99473</v>
      </c>
      <c r="B627" s="2">
        <f>IFERROR(__xludf.DUMMYFUNCTION("""COMPUTED_VALUE"""),0.0)</f>
        <v>0</v>
      </c>
      <c r="C627" s="2">
        <f>IFERROR(__xludf.DUMMYFUNCTION("""COMPUTED_VALUE"""),865.0)</f>
        <v>865</v>
      </c>
      <c r="D627" s="3">
        <f>IFERROR(__xludf.DUMMYFUNCTION("""COMPUTED_VALUE"""),720.0)</f>
        <v>720</v>
      </c>
      <c r="E627" s="2"/>
      <c r="F627" s="2"/>
    </row>
    <row r="628">
      <c r="A628" s="2">
        <f>IFERROR(__xludf.DUMMYFUNCTION("""COMPUTED_VALUE"""),81393.0)</f>
        <v>81393</v>
      </c>
      <c r="B628" s="2">
        <f>IFERROR(__xludf.DUMMYFUNCTION("""COMPUTED_VALUE"""),0.0)</f>
        <v>0</v>
      </c>
      <c r="C628" s="2">
        <f>IFERROR(__xludf.DUMMYFUNCTION("""COMPUTED_VALUE"""),929.0)</f>
        <v>929</v>
      </c>
      <c r="D628" s="3">
        <f>IFERROR(__xludf.DUMMYFUNCTION("""COMPUTED_VALUE"""),555.0)</f>
        <v>555</v>
      </c>
      <c r="E628" s="2"/>
      <c r="F628" s="2"/>
    </row>
    <row r="629">
      <c r="A629" s="2">
        <f>IFERROR(__xludf.DUMMYFUNCTION("""COMPUTED_VALUE"""),104364.0)</f>
        <v>104364</v>
      </c>
      <c r="B629" s="2">
        <f>IFERROR(__xludf.DUMMYFUNCTION("""COMPUTED_VALUE"""),0.0)</f>
        <v>0</v>
      </c>
      <c r="C629" s="2">
        <f>IFERROR(__xludf.DUMMYFUNCTION("""COMPUTED_VALUE"""),124.0)</f>
        <v>124</v>
      </c>
      <c r="D629" s="3">
        <f>IFERROR(__xludf.DUMMYFUNCTION("""COMPUTED_VALUE"""),124.0)</f>
        <v>124</v>
      </c>
      <c r="E629" s="2"/>
      <c r="F629" s="2"/>
    </row>
    <row r="630">
      <c r="A630" s="2">
        <f>IFERROR(__xludf.DUMMYFUNCTION("""COMPUTED_VALUE"""),76602.0)</f>
        <v>76602</v>
      </c>
      <c r="B630" s="2">
        <f>IFERROR(__xludf.DUMMYFUNCTION("""COMPUTED_VALUE"""),0.0)</f>
        <v>0</v>
      </c>
      <c r="C630" s="2">
        <f>IFERROR(__xludf.DUMMYFUNCTION("""COMPUTED_VALUE"""),460.0)</f>
        <v>460</v>
      </c>
      <c r="D630" s="3">
        <f>IFERROR(__xludf.DUMMYFUNCTION("""COMPUTED_VALUE"""),187.0)</f>
        <v>187</v>
      </c>
      <c r="E630" s="2"/>
      <c r="F630" s="2"/>
    </row>
    <row r="631">
      <c r="A631" s="2">
        <f>IFERROR(__xludf.DUMMYFUNCTION("""COMPUTED_VALUE"""),119824.0)</f>
        <v>119824</v>
      </c>
      <c r="B631" s="2">
        <f>IFERROR(__xludf.DUMMYFUNCTION("""COMPUTED_VALUE"""),1.0)</f>
        <v>1</v>
      </c>
      <c r="C631" s="2">
        <f>IFERROR(__xludf.DUMMYFUNCTION("""COMPUTED_VALUE"""),414.0)</f>
        <v>414</v>
      </c>
      <c r="D631" s="3">
        <f>IFERROR(__xludf.DUMMYFUNCTION("""COMPUTED_VALUE"""),90.0)</f>
        <v>90</v>
      </c>
      <c r="E631" s="2"/>
      <c r="F631" s="2"/>
    </row>
    <row r="632">
      <c r="A632" s="2">
        <f>IFERROR(__xludf.DUMMYFUNCTION("""COMPUTED_VALUE"""),112618.0)</f>
        <v>112618</v>
      </c>
      <c r="B632" s="2">
        <f>IFERROR(__xludf.DUMMYFUNCTION("""COMPUTED_VALUE"""),0.0)</f>
        <v>0</v>
      </c>
      <c r="C632" s="2">
        <f>IFERROR(__xludf.DUMMYFUNCTION("""COMPUTED_VALUE"""),480.0)</f>
        <v>480</v>
      </c>
      <c r="D632" s="3">
        <f>IFERROR(__xludf.DUMMYFUNCTION("""COMPUTED_VALUE"""),69.0)</f>
        <v>69</v>
      </c>
      <c r="E632" s="2"/>
      <c r="F632" s="2"/>
    </row>
    <row r="633">
      <c r="A633" s="2">
        <f>IFERROR(__xludf.DUMMYFUNCTION("""COMPUTED_VALUE"""),112617.0)</f>
        <v>112617</v>
      </c>
      <c r="B633" s="2">
        <f>IFERROR(__xludf.DUMMYFUNCTION("""COMPUTED_VALUE"""),1.0)</f>
        <v>1</v>
      </c>
      <c r="C633" s="2">
        <f>IFERROR(__xludf.DUMMYFUNCTION("""COMPUTED_VALUE"""),380.0)</f>
        <v>380</v>
      </c>
      <c r="D633" s="3">
        <f>IFERROR(__xludf.DUMMYFUNCTION("""COMPUTED_VALUE"""),29.0)</f>
        <v>29</v>
      </c>
      <c r="E633" s="2"/>
      <c r="F633" s="2"/>
    </row>
    <row r="634">
      <c r="A634" s="2">
        <f>IFERROR(__xludf.DUMMYFUNCTION("""COMPUTED_VALUE"""),113963.0)</f>
        <v>113963</v>
      </c>
      <c r="B634" s="2">
        <f>IFERROR(__xludf.DUMMYFUNCTION("""COMPUTED_VALUE"""),0.0)</f>
        <v>0</v>
      </c>
      <c r="C634" s="2">
        <f>IFERROR(__xludf.DUMMYFUNCTION("""COMPUTED_VALUE"""),534.0)</f>
        <v>534</v>
      </c>
      <c r="D634" s="3">
        <f>IFERROR(__xludf.DUMMYFUNCTION("""COMPUTED_VALUE"""),85.0)</f>
        <v>85</v>
      </c>
      <c r="E634" s="2"/>
      <c r="F634" s="2"/>
    </row>
    <row r="635">
      <c r="A635" s="2">
        <f>IFERROR(__xludf.DUMMYFUNCTION("""COMPUTED_VALUE"""),104359.0)</f>
        <v>104359</v>
      </c>
      <c r="B635" s="2">
        <f>IFERROR(__xludf.DUMMYFUNCTION("""COMPUTED_VALUE"""),0.0)</f>
        <v>0</v>
      </c>
      <c r="C635" s="2">
        <f>IFERROR(__xludf.DUMMYFUNCTION("""COMPUTED_VALUE"""),782.0)</f>
        <v>782</v>
      </c>
      <c r="D635" s="3">
        <f>IFERROR(__xludf.DUMMYFUNCTION("""COMPUTED_VALUE"""),629.0)</f>
        <v>629</v>
      </c>
      <c r="E635" s="2"/>
      <c r="F635" s="2"/>
    </row>
    <row r="636">
      <c r="A636" s="2">
        <f>IFERROR(__xludf.DUMMYFUNCTION("""COMPUTED_VALUE"""),81675.0)</f>
        <v>81675</v>
      </c>
      <c r="B636" s="2">
        <f>IFERROR(__xludf.DUMMYFUNCTION("""COMPUTED_VALUE"""),1.0)</f>
        <v>1</v>
      </c>
      <c r="C636" s="2">
        <f>IFERROR(__xludf.DUMMYFUNCTION("""COMPUTED_VALUE"""),585.0)</f>
        <v>585</v>
      </c>
      <c r="D636" s="3">
        <f>IFERROR(__xludf.DUMMYFUNCTION("""COMPUTED_VALUE"""),3.0)</f>
        <v>3</v>
      </c>
      <c r="E636" s="2"/>
      <c r="F636" s="2"/>
    </row>
    <row r="637">
      <c r="A637" s="2">
        <f>IFERROR(__xludf.DUMMYFUNCTION("""COMPUTED_VALUE"""),84835.0)</f>
        <v>84835</v>
      </c>
      <c r="B637" s="2">
        <f>IFERROR(__xludf.DUMMYFUNCTION("""COMPUTED_VALUE"""),1.0)</f>
        <v>1</v>
      </c>
      <c r="C637" s="2">
        <f>IFERROR(__xludf.DUMMYFUNCTION("""COMPUTED_VALUE"""),484.0)</f>
        <v>484</v>
      </c>
      <c r="D637" s="3">
        <f>IFERROR(__xludf.DUMMYFUNCTION("""COMPUTED_VALUE"""),378.0)</f>
        <v>378</v>
      </c>
      <c r="E637" s="2"/>
      <c r="F637" s="2"/>
    </row>
    <row r="638">
      <c r="A638" s="2">
        <f>IFERROR(__xludf.DUMMYFUNCTION("""COMPUTED_VALUE"""),81680.0)</f>
        <v>81680</v>
      </c>
      <c r="B638" s="2">
        <f>IFERROR(__xludf.DUMMYFUNCTION("""COMPUTED_VALUE"""),0.0)</f>
        <v>0</v>
      </c>
      <c r="C638" s="2">
        <f>IFERROR(__xludf.DUMMYFUNCTION("""COMPUTED_VALUE"""),168.0)</f>
        <v>168</v>
      </c>
      <c r="D638" s="3">
        <f>IFERROR(__xludf.DUMMYFUNCTION("""COMPUTED_VALUE"""),81.0)</f>
        <v>81</v>
      </c>
      <c r="E638" s="2"/>
      <c r="F638" s="2"/>
    </row>
    <row r="639">
      <c r="A639" s="2">
        <f>IFERROR(__xludf.DUMMYFUNCTION("""COMPUTED_VALUE"""),104361.0)</f>
        <v>104361</v>
      </c>
      <c r="B639" s="2">
        <f>IFERROR(__xludf.DUMMYFUNCTION("""COMPUTED_VALUE"""),1.0)</f>
        <v>1</v>
      </c>
      <c r="C639" s="2">
        <f>IFERROR(__xludf.DUMMYFUNCTION("""COMPUTED_VALUE"""),417.0)</f>
        <v>417</v>
      </c>
      <c r="D639" s="3">
        <f>IFERROR(__xludf.DUMMYFUNCTION("""COMPUTED_VALUE"""),25.0)</f>
        <v>25</v>
      </c>
      <c r="E639" s="2"/>
      <c r="F639" s="2"/>
    </row>
    <row r="640">
      <c r="A640" s="2">
        <f>IFERROR(__xludf.DUMMYFUNCTION("""COMPUTED_VALUE"""),83080.0)</f>
        <v>83080</v>
      </c>
      <c r="B640" s="2">
        <f>IFERROR(__xludf.DUMMYFUNCTION("""COMPUTED_VALUE"""),0.0)</f>
        <v>0</v>
      </c>
      <c r="C640" s="2">
        <f>IFERROR(__xludf.DUMMYFUNCTION("""COMPUTED_VALUE"""),315.0)</f>
        <v>315</v>
      </c>
      <c r="D640" s="3">
        <f>IFERROR(__xludf.DUMMYFUNCTION("""COMPUTED_VALUE"""),94.0)</f>
        <v>94</v>
      </c>
      <c r="E640" s="2"/>
      <c r="F640" s="2"/>
    </row>
    <row r="641">
      <c r="A641" s="2">
        <f>IFERROR(__xludf.DUMMYFUNCTION("""COMPUTED_VALUE"""),84930.0)</f>
        <v>84930</v>
      </c>
      <c r="B641" s="2">
        <f>IFERROR(__xludf.DUMMYFUNCTION("""COMPUTED_VALUE"""),1.0)</f>
        <v>1</v>
      </c>
      <c r="C641" s="2">
        <f>IFERROR(__xludf.DUMMYFUNCTION("""COMPUTED_VALUE"""),637.0)</f>
        <v>637</v>
      </c>
      <c r="D641" s="3">
        <f>IFERROR(__xludf.DUMMYFUNCTION("""COMPUTED_VALUE"""),375.0)</f>
        <v>375</v>
      </c>
      <c r="E641" s="2"/>
      <c r="F641" s="2"/>
    </row>
    <row r="642">
      <c r="A642" s="2">
        <f>IFERROR(__xludf.DUMMYFUNCTION("""COMPUTED_VALUE"""),19848.0)</f>
        <v>19848</v>
      </c>
      <c r="B642" s="2">
        <f>IFERROR(__xludf.DUMMYFUNCTION("""COMPUTED_VALUE"""),1.0)</f>
        <v>1</v>
      </c>
      <c r="C642" s="2">
        <f>IFERROR(__xludf.DUMMYFUNCTION("""COMPUTED_VALUE"""),111.0)</f>
        <v>111</v>
      </c>
      <c r="D642" s="3">
        <f>IFERROR(__xludf.DUMMYFUNCTION("""COMPUTED_VALUE"""),79.0)</f>
        <v>79</v>
      </c>
      <c r="E642" s="2"/>
      <c r="F642" s="2"/>
    </row>
    <row r="643">
      <c r="A643" s="2">
        <f>IFERROR(__xludf.DUMMYFUNCTION("""COMPUTED_VALUE"""),104362.0)</f>
        <v>104362</v>
      </c>
      <c r="B643" s="2">
        <f>IFERROR(__xludf.DUMMYFUNCTION("""COMPUTED_VALUE"""),0.0)</f>
        <v>0</v>
      </c>
      <c r="C643" s="2">
        <f>IFERROR(__xludf.DUMMYFUNCTION("""COMPUTED_VALUE"""),676.0)</f>
        <v>676</v>
      </c>
      <c r="D643" s="3">
        <f>IFERROR(__xludf.DUMMYFUNCTION("""COMPUTED_VALUE"""),490.0)</f>
        <v>490</v>
      </c>
      <c r="E643" s="2"/>
      <c r="F643" s="2"/>
    </row>
    <row r="644">
      <c r="A644" s="2">
        <f>IFERROR(__xludf.DUMMYFUNCTION("""COMPUTED_VALUE"""),92122.0)</f>
        <v>92122</v>
      </c>
      <c r="B644" s="2">
        <f>IFERROR(__xludf.DUMMYFUNCTION("""COMPUTED_VALUE"""),0.0)</f>
        <v>0</v>
      </c>
      <c r="C644" s="2">
        <f>IFERROR(__xludf.DUMMYFUNCTION("""COMPUTED_VALUE"""),679.0)</f>
        <v>679</v>
      </c>
      <c r="D644" s="3">
        <f>IFERROR(__xludf.DUMMYFUNCTION("""COMPUTED_VALUE"""),308.0)</f>
        <v>308</v>
      </c>
      <c r="E644" s="2"/>
      <c r="F644" s="2"/>
    </row>
    <row r="645">
      <c r="A645" s="2">
        <f>IFERROR(__xludf.DUMMYFUNCTION("""COMPUTED_VALUE"""),15854.0)</f>
        <v>15854</v>
      </c>
      <c r="B645" s="2">
        <f>IFERROR(__xludf.DUMMYFUNCTION("""COMPUTED_VALUE"""),1.0)</f>
        <v>1</v>
      </c>
      <c r="C645" s="2">
        <f>IFERROR(__xludf.DUMMYFUNCTION("""COMPUTED_VALUE"""),905.0)</f>
        <v>905</v>
      </c>
      <c r="D645" s="3">
        <f>IFERROR(__xludf.DUMMYFUNCTION("""COMPUTED_VALUE"""),60.0)</f>
        <v>60</v>
      </c>
      <c r="E645" s="2"/>
      <c r="F645" s="2"/>
    </row>
    <row r="646">
      <c r="A646" s="2">
        <f>IFERROR(__xludf.DUMMYFUNCTION("""COMPUTED_VALUE"""),81383.0)</f>
        <v>81383</v>
      </c>
      <c r="B646" s="2">
        <f>IFERROR(__xludf.DUMMYFUNCTION("""COMPUTED_VALUE"""),0.0)</f>
        <v>0</v>
      </c>
      <c r="C646" s="2">
        <f>IFERROR(__xludf.DUMMYFUNCTION("""COMPUTED_VALUE"""),331.0)</f>
        <v>331</v>
      </c>
      <c r="D646" s="3">
        <f>IFERROR(__xludf.DUMMYFUNCTION("""COMPUTED_VALUE"""),17.0)</f>
        <v>17</v>
      </c>
      <c r="E646" s="2"/>
      <c r="F646" s="2"/>
    </row>
    <row r="647">
      <c r="A647" s="2">
        <f>IFERROR(__xludf.DUMMYFUNCTION("""COMPUTED_VALUE"""),81430.0)</f>
        <v>81430</v>
      </c>
      <c r="B647" s="2">
        <f>IFERROR(__xludf.DUMMYFUNCTION("""COMPUTED_VALUE"""),1.0)</f>
        <v>1</v>
      </c>
      <c r="C647" s="2">
        <f>IFERROR(__xludf.DUMMYFUNCTION("""COMPUTED_VALUE"""),341.0)</f>
        <v>341</v>
      </c>
      <c r="D647" s="3">
        <f>IFERROR(__xludf.DUMMYFUNCTION("""COMPUTED_VALUE"""),280.0)</f>
        <v>280</v>
      </c>
      <c r="E647" s="2"/>
      <c r="F647" s="2"/>
    </row>
    <row r="648">
      <c r="A648" s="2">
        <f>IFERROR(__xludf.DUMMYFUNCTION("""COMPUTED_VALUE"""),84325.0)</f>
        <v>84325</v>
      </c>
      <c r="B648" s="2">
        <f>IFERROR(__xludf.DUMMYFUNCTION("""COMPUTED_VALUE"""),0.0)</f>
        <v>0</v>
      </c>
      <c r="C648" s="2">
        <f>IFERROR(__xludf.DUMMYFUNCTION("""COMPUTED_VALUE"""),273.0)</f>
        <v>273</v>
      </c>
      <c r="D648" s="3">
        <f>IFERROR(__xludf.DUMMYFUNCTION("""COMPUTED_VALUE"""),100.0)</f>
        <v>100</v>
      </c>
      <c r="E648" s="2"/>
      <c r="F648" s="2"/>
    </row>
    <row r="649">
      <c r="A649" s="2">
        <f>IFERROR(__xludf.DUMMYFUNCTION("""COMPUTED_VALUE"""),127244.0)</f>
        <v>127244</v>
      </c>
      <c r="B649" s="2">
        <f>IFERROR(__xludf.DUMMYFUNCTION("""COMPUTED_VALUE"""),0.0)</f>
        <v>0</v>
      </c>
      <c r="C649" s="2">
        <f>IFERROR(__xludf.DUMMYFUNCTION("""COMPUTED_VALUE"""),90.0)</f>
        <v>90</v>
      </c>
      <c r="D649" s="3">
        <f>IFERROR(__xludf.DUMMYFUNCTION("""COMPUTED_VALUE"""),34.0)</f>
        <v>34</v>
      </c>
      <c r="E649" s="2"/>
      <c r="F649" s="2"/>
    </row>
    <row r="650">
      <c r="A650" s="2">
        <f>IFERROR(__xludf.DUMMYFUNCTION("""COMPUTED_VALUE"""),15865.0)</f>
        <v>15865</v>
      </c>
      <c r="B650" s="2">
        <f>IFERROR(__xludf.DUMMYFUNCTION("""COMPUTED_VALUE"""),0.0)</f>
        <v>0</v>
      </c>
      <c r="C650" s="2">
        <f>IFERROR(__xludf.DUMMYFUNCTION("""COMPUTED_VALUE"""),963.0)</f>
        <v>963</v>
      </c>
      <c r="D650" s="3">
        <f>IFERROR(__xludf.DUMMYFUNCTION("""COMPUTED_VALUE"""),395.0)</f>
        <v>395</v>
      </c>
      <c r="E650" s="2"/>
      <c r="F650" s="2"/>
    </row>
    <row r="651">
      <c r="A651" s="2">
        <f>IFERROR(__xludf.DUMMYFUNCTION("""COMPUTED_VALUE"""),121996.0)</f>
        <v>121996</v>
      </c>
      <c r="B651" s="2">
        <f>IFERROR(__xludf.DUMMYFUNCTION("""COMPUTED_VALUE"""),1.0)</f>
        <v>1</v>
      </c>
      <c r="C651" s="2">
        <f>IFERROR(__xludf.DUMMYFUNCTION("""COMPUTED_VALUE"""),900.0)</f>
        <v>900</v>
      </c>
      <c r="D651" s="3">
        <f>IFERROR(__xludf.DUMMYFUNCTION("""COMPUTED_VALUE"""),198.0)</f>
        <v>198</v>
      </c>
      <c r="E651" s="2"/>
      <c r="F651" s="2"/>
    </row>
    <row r="652">
      <c r="A652" s="2">
        <f>IFERROR(__xludf.DUMMYFUNCTION("""COMPUTED_VALUE"""),93083.0)</f>
        <v>93083</v>
      </c>
      <c r="B652" s="2">
        <f>IFERROR(__xludf.DUMMYFUNCTION("""COMPUTED_VALUE"""),0.0)</f>
        <v>0</v>
      </c>
      <c r="C652" s="2">
        <f>IFERROR(__xludf.DUMMYFUNCTION("""COMPUTED_VALUE"""),894.0)</f>
        <v>894</v>
      </c>
      <c r="D652" s="3">
        <f>IFERROR(__xludf.DUMMYFUNCTION("""COMPUTED_VALUE"""),581.0)</f>
        <v>581</v>
      </c>
      <c r="E652" s="2"/>
      <c r="F652" s="2"/>
    </row>
    <row r="653">
      <c r="A653" s="2">
        <f>IFERROR(__xludf.DUMMYFUNCTION("""COMPUTED_VALUE"""),3426.0)</f>
        <v>3426</v>
      </c>
      <c r="B653" s="2">
        <f>IFERROR(__xludf.DUMMYFUNCTION("""COMPUTED_VALUE"""),1.0)</f>
        <v>1</v>
      </c>
      <c r="C653" s="2">
        <f>IFERROR(__xludf.DUMMYFUNCTION("""COMPUTED_VALUE"""),461.0)</f>
        <v>461</v>
      </c>
      <c r="D653" s="3">
        <f>IFERROR(__xludf.DUMMYFUNCTION("""COMPUTED_VALUE"""),14.0)</f>
        <v>14</v>
      </c>
      <c r="E653" s="2"/>
      <c r="F653" s="2"/>
    </row>
    <row r="654">
      <c r="A654" s="2">
        <f>IFERROR(__xludf.DUMMYFUNCTION("""COMPUTED_VALUE"""),111349.0)</f>
        <v>111349</v>
      </c>
      <c r="B654" s="2">
        <f>IFERROR(__xludf.DUMMYFUNCTION("""COMPUTED_VALUE"""),0.0)</f>
        <v>0</v>
      </c>
      <c r="C654" s="2">
        <f>IFERROR(__xludf.DUMMYFUNCTION("""COMPUTED_VALUE"""),904.0)</f>
        <v>904</v>
      </c>
      <c r="D654" s="3">
        <f>IFERROR(__xludf.DUMMYFUNCTION("""COMPUTED_VALUE"""),894.0)</f>
        <v>894</v>
      </c>
      <c r="E654" s="2"/>
      <c r="F654" s="2"/>
    </row>
    <row r="655">
      <c r="A655" s="2">
        <f>IFERROR(__xludf.DUMMYFUNCTION("""COMPUTED_VALUE"""),74917.0)</f>
        <v>74917</v>
      </c>
      <c r="B655" s="2">
        <f>IFERROR(__xludf.DUMMYFUNCTION("""COMPUTED_VALUE"""),0.0)</f>
        <v>0</v>
      </c>
      <c r="C655" s="2">
        <f>IFERROR(__xludf.DUMMYFUNCTION("""COMPUTED_VALUE"""),845.0)</f>
        <v>845</v>
      </c>
      <c r="D655" s="3">
        <f>IFERROR(__xludf.DUMMYFUNCTION("""COMPUTED_VALUE"""),191.0)</f>
        <v>191</v>
      </c>
      <c r="E655" s="2"/>
      <c r="F655" s="2"/>
    </row>
    <row r="656">
      <c r="A656" s="2">
        <f>IFERROR(__xludf.DUMMYFUNCTION("""COMPUTED_VALUE"""),69127.0)</f>
        <v>69127</v>
      </c>
      <c r="B656" s="2">
        <f>IFERROR(__xludf.DUMMYFUNCTION("""COMPUTED_VALUE"""),1.0)</f>
        <v>1</v>
      </c>
      <c r="C656" s="2">
        <f>IFERROR(__xludf.DUMMYFUNCTION("""COMPUTED_VALUE"""),541.0)</f>
        <v>541</v>
      </c>
      <c r="D656" s="3">
        <f>IFERROR(__xludf.DUMMYFUNCTION("""COMPUTED_VALUE"""),369.0)</f>
        <v>369</v>
      </c>
      <c r="E656" s="2"/>
      <c r="F656" s="2"/>
    </row>
    <row r="657">
      <c r="A657" s="2">
        <f>IFERROR(__xludf.DUMMYFUNCTION("""COMPUTED_VALUE"""),84819.0)</f>
        <v>84819</v>
      </c>
      <c r="B657" s="2">
        <f>IFERROR(__xludf.DUMMYFUNCTION("""COMPUTED_VALUE"""),0.0)</f>
        <v>0</v>
      </c>
      <c r="C657" s="2">
        <f>IFERROR(__xludf.DUMMYFUNCTION("""COMPUTED_VALUE"""),536.0)</f>
        <v>536</v>
      </c>
      <c r="D657" s="3">
        <f>IFERROR(__xludf.DUMMYFUNCTION("""COMPUTED_VALUE"""),165.0)</f>
        <v>165</v>
      </c>
      <c r="E657" s="2"/>
      <c r="F657" s="2"/>
    </row>
    <row r="658">
      <c r="A658" s="2">
        <f>IFERROR(__xludf.DUMMYFUNCTION("""COMPUTED_VALUE"""),104367.0)</f>
        <v>104367</v>
      </c>
      <c r="B658" s="2">
        <f>IFERROR(__xludf.DUMMYFUNCTION("""COMPUTED_VALUE"""),1.0)</f>
        <v>1</v>
      </c>
      <c r="C658" s="2">
        <f>IFERROR(__xludf.DUMMYFUNCTION("""COMPUTED_VALUE"""),391.0)</f>
        <v>391</v>
      </c>
      <c r="D658" s="3">
        <f>IFERROR(__xludf.DUMMYFUNCTION("""COMPUTED_VALUE"""),266.0)</f>
        <v>266</v>
      </c>
      <c r="E658" s="2"/>
      <c r="F658" s="2"/>
    </row>
    <row r="659">
      <c r="A659" s="2">
        <f>IFERROR(__xludf.DUMMYFUNCTION("""COMPUTED_VALUE"""),121997.0)</f>
        <v>121997</v>
      </c>
      <c r="B659" s="2">
        <f>IFERROR(__xludf.DUMMYFUNCTION("""COMPUTED_VALUE"""),0.0)</f>
        <v>0</v>
      </c>
      <c r="C659" s="2">
        <f>IFERROR(__xludf.DUMMYFUNCTION("""COMPUTED_VALUE"""),598.0)</f>
        <v>598</v>
      </c>
      <c r="D659" s="3">
        <f>IFERROR(__xludf.DUMMYFUNCTION("""COMPUTED_VALUE"""),102.0)</f>
        <v>102</v>
      </c>
      <c r="E659" s="2"/>
      <c r="F659" s="2"/>
    </row>
    <row r="660">
      <c r="A660" s="2">
        <f>IFERROR(__xludf.DUMMYFUNCTION("""COMPUTED_VALUE"""),117499.0)</f>
        <v>117499</v>
      </c>
      <c r="B660" s="2">
        <f>IFERROR(__xludf.DUMMYFUNCTION("""COMPUTED_VALUE"""),1.0)</f>
        <v>1</v>
      </c>
      <c r="C660" s="2">
        <f>IFERROR(__xludf.DUMMYFUNCTION("""COMPUTED_VALUE"""),651.0)</f>
        <v>651</v>
      </c>
      <c r="D660" s="3">
        <f>IFERROR(__xludf.DUMMYFUNCTION("""COMPUTED_VALUE"""),298.0)</f>
        <v>298</v>
      </c>
      <c r="E660" s="2"/>
      <c r="F660" s="2"/>
    </row>
    <row r="661">
      <c r="A661" s="2">
        <f>IFERROR(__xludf.DUMMYFUNCTION("""COMPUTED_VALUE"""),69125.0)</f>
        <v>69125</v>
      </c>
      <c r="B661" s="2">
        <f>IFERROR(__xludf.DUMMYFUNCTION("""COMPUTED_VALUE"""),1.0)</f>
        <v>1</v>
      </c>
      <c r="C661" s="2">
        <f>IFERROR(__xludf.DUMMYFUNCTION("""COMPUTED_VALUE"""),413.0)</f>
        <v>413</v>
      </c>
      <c r="D661" s="3">
        <f>IFERROR(__xludf.DUMMYFUNCTION("""COMPUTED_VALUE"""),301.0)</f>
        <v>301</v>
      </c>
      <c r="E661" s="2"/>
      <c r="F661" s="2"/>
    </row>
    <row r="662">
      <c r="A662" s="2">
        <f>IFERROR(__xludf.DUMMYFUNCTION("""COMPUTED_VALUE"""),19850.0)</f>
        <v>19850</v>
      </c>
      <c r="B662" s="2">
        <f>IFERROR(__xludf.DUMMYFUNCTION("""COMPUTED_VALUE"""),0.0)</f>
        <v>0</v>
      </c>
      <c r="C662" s="2">
        <f>IFERROR(__xludf.DUMMYFUNCTION("""COMPUTED_VALUE"""),440.0)</f>
        <v>440</v>
      </c>
      <c r="D662" s="3">
        <f>IFERROR(__xludf.DUMMYFUNCTION("""COMPUTED_VALUE"""),43.0)</f>
        <v>43</v>
      </c>
      <c r="E662" s="2"/>
      <c r="F662" s="2"/>
    </row>
    <row r="663">
      <c r="A663" s="2">
        <f>IFERROR(__xludf.DUMMYFUNCTION("""COMPUTED_VALUE"""),3425.0)</f>
        <v>3425</v>
      </c>
      <c r="B663" s="2">
        <f>IFERROR(__xludf.DUMMYFUNCTION("""COMPUTED_VALUE"""),1.0)</f>
        <v>1</v>
      </c>
      <c r="C663" s="2">
        <f>IFERROR(__xludf.DUMMYFUNCTION("""COMPUTED_VALUE"""),466.0)</f>
        <v>466</v>
      </c>
      <c r="D663" s="3">
        <f>IFERROR(__xludf.DUMMYFUNCTION("""COMPUTED_VALUE"""),221.0)</f>
        <v>221</v>
      </c>
      <c r="E663" s="2"/>
      <c r="F663" s="2"/>
    </row>
    <row r="664">
      <c r="A664" s="2">
        <f>IFERROR(__xludf.DUMMYFUNCTION("""COMPUTED_VALUE"""),84913.0)</f>
        <v>84913</v>
      </c>
      <c r="B664" s="2">
        <f>IFERROR(__xludf.DUMMYFUNCTION("""COMPUTED_VALUE"""),0.0)</f>
        <v>0</v>
      </c>
      <c r="C664" s="2">
        <f>IFERROR(__xludf.DUMMYFUNCTION("""COMPUTED_VALUE"""),256.0)</f>
        <v>256</v>
      </c>
      <c r="D664" s="3">
        <f>IFERROR(__xludf.DUMMYFUNCTION("""COMPUTED_VALUE"""),189.0)</f>
        <v>189</v>
      </c>
      <c r="E664" s="2"/>
      <c r="F664" s="2"/>
    </row>
    <row r="665">
      <c r="A665" s="2">
        <f>IFERROR(__xludf.DUMMYFUNCTION("""COMPUTED_VALUE"""),120378.0)</f>
        <v>120378</v>
      </c>
      <c r="B665" s="2">
        <f>IFERROR(__xludf.DUMMYFUNCTION("""COMPUTED_VALUE"""),1.0)</f>
        <v>1</v>
      </c>
      <c r="C665" s="2">
        <f>IFERROR(__xludf.DUMMYFUNCTION("""COMPUTED_VALUE"""),808.0)</f>
        <v>808</v>
      </c>
      <c r="D665" s="3">
        <f>IFERROR(__xludf.DUMMYFUNCTION("""COMPUTED_VALUE"""),149.0)</f>
        <v>149</v>
      </c>
      <c r="E665" s="2"/>
      <c r="F665" s="2"/>
    </row>
    <row r="666">
      <c r="A666" s="2">
        <f>IFERROR(__xludf.DUMMYFUNCTION("""COMPUTED_VALUE"""),5905.0)</f>
        <v>5905</v>
      </c>
      <c r="B666" s="2">
        <f>IFERROR(__xludf.DUMMYFUNCTION("""COMPUTED_VALUE"""),1.0)</f>
        <v>1</v>
      </c>
      <c r="C666" s="2">
        <f>IFERROR(__xludf.DUMMYFUNCTION("""COMPUTED_VALUE"""),229.0)</f>
        <v>229</v>
      </c>
      <c r="D666" s="3">
        <f>IFERROR(__xludf.DUMMYFUNCTION("""COMPUTED_VALUE"""),115.0)</f>
        <v>115</v>
      </c>
      <c r="E666" s="2"/>
      <c r="F666" s="2"/>
    </row>
    <row r="667">
      <c r="A667" s="2">
        <f>IFERROR(__xludf.DUMMYFUNCTION("""COMPUTED_VALUE"""),23213.0)</f>
        <v>23213</v>
      </c>
      <c r="B667" s="2">
        <f>IFERROR(__xludf.DUMMYFUNCTION("""COMPUTED_VALUE"""),1.0)</f>
        <v>1</v>
      </c>
      <c r="C667" s="2">
        <f>IFERROR(__xludf.DUMMYFUNCTION("""COMPUTED_VALUE"""),394.0)</f>
        <v>394</v>
      </c>
      <c r="D667" s="3">
        <f>IFERROR(__xludf.DUMMYFUNCTION("""COMPUTED_VALUE"""),139.0)</f>
        <v>139</v>
      </c>
      <c r="E667" s="2"/>
      <c r="F667" s="2"/>
    </row>
    <row r="668">
      <c r="A668" s="2">
        <f>IFERROR(__xludf.DUMMYFUNCTION("""COMPUTED_VALUE"""),47168.0)</f>
        <v>47168</v>
      </c>
      <c r="B668" s="2">
        <f>IFERROR(__xludf.DUMMYFUNCTION("""COMPUTED_VALUE"""),0.0)</f>
        <v>0</v>
      </c>
      <c r="C668" s="2">
        <f>IFERROR(__xludf.DUMMYFUNCTION("""COMPUTED_VALUE"""),961.0)</f>
        <v>961</v>
      </c>
      <c r="D668" s="3">
        <f>IFERROR(__xludf.DUMMYFUNCTION("""COMPUTED_VALUE"""),94.0)</f>
        <v>94</v>
      </c>
      <c r="E668" s="2"/>
      <c r="F668" s="2"/>
    </row>
    <row r="669">
      <c r="A669" s="2">
        <f>IFERROR(__xludf.DUMMYFUNCTION("""COMPUTED_VALUE"""),102990.0)</f>
        <v>102990</v>
      </c>
      <c r="B669" s="2">
        <f>IFERROR(__xludf.DUMMYFUNCTION("""COMPUTED_VALUE"""),1.0)</f>
        <v>1</v>
      </c>
      <c r="C669" s="2">
        <f>IFERROR(__xludf.DUMMYFUNCTION("""COMPUTED_VALUE"""),968.0)</f>
        <v>968</v>
      </c>
      <c r="D669" s="3">
        <f>IFERROR(__xludf.DUMMYFUNCTION("""COMPUTED_VALUE"""),627.0)</f>
        <v>627</v>
      </c>
      <c r="E669" s="2"/>
      <c r="F669" s="2"/>
    </row>
    <row r="670">
      <c r="A670" s="2">
        <f>IFERROR(__xludf.DUMMYFUNCTION("""COMPUTED_VALUE"""),46441.0)</f>
        <v>46441</v>
      </c>
      <c r="B670" s="2">
        <f>IFERROR(__xludf.DUMMYFUNCTION("""COMPUTED_VALUE"""),1.0)</f>
        <v>1</v>
      </c>
      <c r="C670" s="2">
        <f>IFERROR(__xludf.DUMMYFUNCTION("""COMPUTED_VALUE"""),652.0)</f>
        <v>652</v>
      </c>
      <c r="D670" s="3">
        <f>IFERROR(__xludf.DUMMYFUNCTION("""COMPUTED_VALUE"""),588.0)</f>
        <v>588</v>
      </c>
      <c r="E670" s="2"/>
      <c r="F670" s="2"/>
    </row>
    <row r="671">
      <c r="A671" s="2">
        <f>IFERROR(__xludf.DUMMYFUNCTION("""COMPUTED_VALUE"""),11085.0)</f>
        <v>11085</v>
      </c>
      <c r="B671" s="2">
        <f>IFERROR(__xludf.DUMMYFUNCTION("""COMPUTED_VALUE"""),0.0)</f>
        <v>0</v>
      </c>
      <c r="C671" s="2">
        <f>IFERROR(__xludf.DUMMYFUNCTION("""COMPUTED_VALUE"""),844.0)</f>
        <v>844</v>
      </c>
      <c r="D671" s="3">
        <f>IFERROR(__xludf.DUMMYFUNCTION("""COMPUTED_VALUE"""),203.0)</f>
        <v>203</v>
      </c>
      <c r="E671" s="2"/>
      <c r="F671" s="2"/>
    </row>
    <row r="672">
      <c r="A672" s="2">
        <f>IFERROR(__xludf.DUMMYFUNCTION("""COMPUTED_VALUE"""),96441.0)</f>
        <v>96441</v>
      </c>
      <c r="B672" s="2">
        <f>IFERROR(__xludf.DUMMYFUNCTION("""COMPUTED_VALUE"""),1.0)</f>
        <v>1</v>
      </c>
      <c r="C672" s="2">
        <f>IFERROR(__xludf.DUMMYFUNCTION("""COMPUTED_VALUE"""),853.0)</f>
        <v>853</v>
      </c>
      <c r="D672" s="3">
        <f>IFERROR(__xludf.DUMMYFUNCTION("""COMPUTED_VALUE"""),738.0)</f>
        <v>738</v>
      </c>
      <c r="E672" s="2"/>
      <c r="F672" s="2"/>
    </row>
    <row r="673">
      <c r="A673" s="2">
        <f>IFERROR(__xludf.DUMMYFUNCTION("""COMPUTED_VALUE"""),82131.0)</f>
        <v>82131</v>
      </c>
      <c r="B673" s="2">
        <f>IFERROR(__xludf.DUMMYFUNCTION("""COMPUTED_VALUE"""),0.0)</f>
        <v>0</v>
      </c>
      <c r="C673" s="2">
        <f>IFERROR(__xludf.DUMMYFUNCTION("""COMPUTED_VALUE"""),172.0)</f>
        <v>172</v>
      </c>
      <c r="D673" s="3">
        <f>IFERROR(__xludf.DUMMYFUNCTION("""COMPUTED_VALUE"""),47.0)</f>
        <v>47</v>
      </c>
      <c r="E673" s="2"/>
      <c r="F673" s="2"/>
    </row>
    <row r="674">
      <c r="A674" s="2">
        <f>IFERROR(__xludf.DUMMYFUNCTION("""COMPUTED_VALUE"""),46440.0)</f>
        <v>46440</v>
      </c>
      <c r="B674" s="2">
        <f>IFERROR(__xludf.DUMMYFUNCTION("""COMPUTED_VALUE"""),1.0)</f>
        <v>1</v>
      </c>
      <c r="C674" s="2">
        <f>IFERROR(__xludf.DUMMYFUNCTION("""COMPUTED_VALUE"""),363.0)</f>
        <v>363</v>
      </c>
      <c r="D674" s="3">
        <f>IFERROR(__xludf.DUMMYFUNCTION("""COMPUTED_VALUE"""),235.0)</f>
        <v>235</v>
      </c>
      <c r="E674" s="2"/>
      <c r="F674" s="2"/>
    </row>
    <row r="675">
      <c r="A675" s="2">
        <f>IFERROR(__xludf.DUMMYFUNCTION("""COMPUTED_VALUE"""),23214.0)</f>
        <v>23214</v>
      </c>
      <c r="B675" s="2">
        <f>IFERROR(__xludf.DUMMYFUNCTION("""COMPUTED_VALUE"""),0.0)</f>
        <v>0</v>
      </c>
      <c r="C675" s="2">
        <f>IFERROR(__xludf.DUMMYFUNCTION("""COMPUTED_VALUE"""),259.0)</f>
        <v>259</v>
      </c>
      <c r="D675" s="3">
        <f>IFERROR(__xludf.DUMMYFUNCTION("""COMPUTED_VALUE"""),237.0)</f>
        <v>237</v>
      </c>
      <c r="E675" s="2"/>
      <c r="F675" s="2"/>
    </row>
    <row r="676">
      <c r="A676" s="2">
        <f>IFERROR(__xludf.DUMMYFUNCTION("""COMPUTED_VALUE"""),82134.0)</f>
        <v>82134</v>
      </c>
      <c r="B676" s="2">
        <f>IFERROR(__xludf.DUMMYFUNCTION("""COMPUTED_VALUE"""),0.0)</f>
        <v>0</v>
      </c>
      <c r="C676" s="2">
        <f>IFERROR(__xludf.DUMMYFUNCTION("""COMPUTED_VALUE"""),402.0)</f>
        <v>402</v>
      </c>
      <c r="D676" s="3">
        <f>IFERROR(__xludf.DUMMYFUNCTION("""COMPUTED_VALUE"""),322.0)</f>
        <v>322</v>
      </c>
      <c r="E676" s="2"/>
      <c r="F676" s="2"/>
    </row>
    <row r="677">
      <c r="A677" s="2">
        <f>IFERROR(__xludf.DUMMYFUNCTION("""COMPUTED_VALUE"""),46439.0)</f>
        <v>46439</v>
      </c>
      <c r="B677" s="2">
        <f>IFERROR(__xludf.DUMMYFUNCTION("""COMPUTED_VALUE"""),0.0)</f>
        <v>0</v>
      </c>
      <c r="C677" s="2">
        <f>IFERROR(__xludf.DUMMYFUNCTION("""COMPUTED_VALUE"""),889.0)</f>
        <v>889</v>
      </c>
      <c r="D677" s="3">
        <f>IFERROR(__xludf.DUMMYFUNCTION("""COMPUTED_VALUE"""),811.0)</f>
        <v>811</v>
      </c>
      <c r="E677" s="2"/>
      <c r="F677" s="2"/>
    </row>
    <row r="678">
      <c r="A678" s="2">
        <f>IFERROR(__xludf.DUMMYFUNCTION("""COMPUTED_VALUE"""),116451.0)</f>
        <v>116451</v>
      </c>
      <c r="B678" s="2">
        <f>IFERROR(__xludf.DUMMYFUNCTION("""COMPUTED_VALUE"""),0.0)</f>
        <v>0</v>
      </c>
      <c r="C678" s="2">
        <f>IFERROR(__xludf.DUMMYFUNCTION("""COMPUTED_VALUE"""),24.0)</f>
        <v>24</v>
      </c>
      <c r="D678" s="3">
        <f>IFERROR(__xludf.DUMMYFUNCTION("""COMPUTED_VALUE"""),18.0)</f>
        <v>18</v>
      </c>
      <c r="E678" s="2"/>
      <c r="F678" s="2"/>
    </row>
    <row r="679">
      <c r="A679" s="2">
        <f>IFERROR(__xludf.DUMMYFUNCTION("""COMPUTED_VALUE"""),147340.0)</f>
        <v>147340</v>
      </c>
      <c r="B679" s="2">
        <f>IFERROR(__xludf.DUMMYFUNCTION("""COMPUTED_VALUE"""),0.0)</f>
        <v>0</v>
      </c>
      <c r="C679" s="2">
        <f>IFERROR(__xludf.DUMMYFUNCTION("""COMPUTED_VALUE"""),382.0)</f>
        <v>382</v>
      </c>
      <c r="D679" s="3">
        <f>IFERROR(__xludf.DUMMYFUNCTION("""COMPUTED_VALUE"""),226.0)</f>
        <v>226</v>
      </c>
      <c r="E679" s="2"/>
      <c r="F679" s="2"/>
    </row>
    <row r="680">
      <c r="A680" s="2">
        <f>IFERROR(__xludf.DUMMYFUNCTION("""COMPUTED_VALUE"""),140602.0)</f>
        <v>140602</v>
      </c>
      <c r="B680" s="2">
        <f>IFERROR(__xludf.DUMMYFUNCTION("""COMPUTED_VALUE"""),0.0)</f>
        <v>0</v>
      </c>
      <c r="C680" s="2">
        <f>IFERROR(__xludf.DUMMYFUNCTION("""COMPUTED_VALUE"""),284.0)</f>
        <v>284</v>
      </c>
      <c r="D680" s="3">
        <f>IFERROR(__xludf.DUMMYFUNCTION("""COMPUTED_VALUE"""),167.0)</f>
        <v>167</v>
      </c>
      <c r="E680" s="2"/>
      <c r="F680" s="2"/>
    </row>
    <row r="681">
      <c r="A681" s="2">
        <f>IFERROR(__xludf.DUMMYFUNCTION("""COMPUTED_VALUE"""),109174.0)</f>
        <v>109174</v>
      </c>
      <c r="B681" s="2">
        <f>IFERROR(__xludf.DUMMYFUNCTION("""COMPUTED_VALUE"""),1.0)</f>
        <v>1</v>
      </c>
      <c r="C681" s="2">
        <f>IFERROR(__xludf.DUMMYFUNCTION("""COMPUTED_VALUE"""),227.0)</f>
        <v>227</v>
      </c>
      <c r="D681" s="3">
        <f>IFERROR(__xludf.DUMMYFUNCTION("""COMPUTED_VALUE"""),114.0)</f>
        <v>114</v>
      </c>
      <c r="E681" s="2"/>
      <c r="F681" s="2"/>
    </row>
    <row r="682">
      <c r="A682" s="2">
        <f>IFERROR(__xludf.DUMMYFUNCTION("""COMPUTED_VALUE"""),2795.0)</f>
        <v>2795</v>
      </c>
      <c r="B682" s="2">
        <f>IFERROR(__xludf.DUMMYFUNCTION("""COMPUTED_VALUE"""),1.0)</f>
        <v>1</v>
      </c>
      <c r="C682" s="2">
        <f>IFERROR(__xludf.DUMMYFUNCTION("""COMPUTED_VALUE"""),558.0)</f>
        <v>558</v>
      </c>
      <c r="D682" s="3">
        <f>IFERROR(__xludf.DUMMYFUNCTION("""COMPUTED_VALUE"""),491.0)</f>
        <v>491</v>
      </c>
      <c r="E682" s="2"/>
      <c r="F682" s="2"/>
    </row>
    <row r="683">
      <c r="A683" s="2">
        <f>IFERROR(__xludf.DUMMYFUNCTION("""COMPUTED_VALUE"""),141867.0)</f>
        <v>141867</v>
      </c>
      <c r="B683" s="2">
        <f>IFERROR(__xludf.DUMMYFUNCTION("""COMPUTED_VALUE"""),1.0)</f>
        <v>1</v>
      </c>
      <c r="C683" s="2">
        <f>IFERROR(__xludf.DUMMYFUNCTION("""COMPUTED_VALUE"""),704.0)</f>
        <v>704</v>
      </c>
      <c r="D683" s="3">
        <f>IFERROR(__xludf.DUMMYFUNCTION("""COMPUTED_VALUE"""),391.0)</f>
        <v>391</v>
      </c>
      <c r="E683" s="2"/>
      <c r="F683" s="2"/>
    </row>
    <row r="684">
      <c r="A684" s="2">
        <f>IFERROR(__xludf.DUMMYFUNCTION("""COMPUTED_VALUE"""),118152.0)</f>
        <v>118152</v>
      </c>
      <c r="B684" s="2">
        <f>IFERROR(__xludf.DUMMYFUNCTION("""COMPUTED_VALUE"""),1.0)</f>
        <v>1</v>
      </c>
      <c r="C684" s="2">
        <f>IFERROR(__xludf.DUMMYFUNCTION("""COMPUTED_VALUE"""),899.0)</f>
        <v>899</v>
      </c>
      <c r="D684" s="3">
        <f>IFERROR(__xludf.DUMMYFUNCTION("""COMPUTED_VALUE"""),761.0)</f>
        <v>761</v>
      </c>
      <c r="E684" s="2"/>
      <c r="F684" s="2"/>
    </row>
    <row r="685">
      <c r="A685" s="2">
        <f>IFERROR(__xludf.DUMMYFUNCTION("""COMPUTED_VALUE"""),1607.0)</f>
        <v>1607</v>
      </c>
      <c r="B685" s="2">
        <f>IFERROR(__xludf.DUMMYFUNCTION("""COMPUTED_VALUE"""),0.0)</f>
        <v>0</v>
      </c>
      <c r="C685" s="2">
        <f>IFERROR(__xludf.DUMMYFUNCTION("""COMPUTED_VALUE"""),390.0)</f>
        <v>390</v>
      </c>
      <c r="D685" s="3">
        <f>IFERROR(__xludf.DUMMYFUNCTION("""COMPUTED_VALUE"""),107.0)</f>
        <v>107</v>
      </c>
      <c r="E685" s="2"/>
      <c r="F685" s="2"/>
    </row>
    <row r="686">
      <c r="A686" s="2">
        <f>IFERROR(__xludf.DUMMYFUNCTION("""COMPUTED_VALUE"""),71322.0)</f>
        <v>71322</v>
      </c>
      <c r="B686" s="2">
        <f>IFERROR(__xludf.DUMMYFUNCTION("""COMPUTED_VALUE"""),0.0)</f>
        <v>0</v>
      </c>
      <c r="C686" s="2">
        <f>IFERROR(__xludf.DUMMYFUNCTION("""COMPUTED_VALUE"""),598.0)</f>
        <v>598</v>
      </c>
      <c r="D686" s="3">
        <f>IFERROR(__xludf.DUMMYFUNCTION("""COMPUTED_VALUE"""),582.0)</f>
        <v>582</v>
      </c>
      <c r="E686" s="2"/>
      <c r="F686" s="2"/>
    </row>
    <row r="687">
      <c r="A687" s="2">
        <f>IFERROR(__xludf.DUMMYFUNCTION("""COMPUTED_VALUE"""),88773.0)</f>
        <v>88773</v>
      </c>
      <c r="B687" s="2">
        <f>IFERROR(__xludf.DUMMYFUNCTION("""COMPUTED_VALUE"""),0.0)</f>
        <v>0</v>
      </c>
      <c r="C687" s="2">
        <f>IFERROR(__xludf.DUMMYFUNCTION("""COMPUTED_VALUE"""),193.0)</f>
        <v>193</v>
      </c>
      <c r="D687" s="3">
        <f>IFERROR(__xludf.DUMMYFUNCTION("""COMPUTED_VALUE"""),49.0)</f>
        <v>49</v>
      </c>
      <c r="E687" s="2"/>
      <c r="F687" s="2"/>
    </row>
    <row r="688">
      <c r="A688" s="2">
        <f>IFERROR(__xludf.DUMMYFUNCTION("""COMPUTED_VALUE"""),46964.0)</f>
        <v>46964</v>
      </c>
      <c r="B688" s="2">
        <f>IFERROR(__xludf.DUMMYFUNCTION("""COMPUTED_VALUE"""),0.0)</f>
        <v>0</v>
      </c>
      <c r="C688" s="2">
        <f>IFERROR(__xludf.DUMMYFUNCTION("""COMPUTED_VALUE"""),266.0)</f>
        <v>266</v>
      </c>
      <c r="D688" s="3">
        <f>IFERROR(__xludf.DUMMYFUNCTION("""COMPUTED_VALUE"""),110.0)</f>
        <v>110</v>
      </c>
      <c r="E688" s="2"/>
      <c r="F688" s="2"/>
    </row>
    <row r="689">
      <c r="A689" s="2">
        <f>IFERROR(__xludf.DUMMYFUNCTION("""COMPUTED_VALUE"""),104454.0)</f>
        <v>104454</v>
      </c>
      <c r="B689" s="2">
        <f>IFERROR(__xludf.DUMMYFUNCTION("""COMPUTED_VALUE"""),0.0)</f>
        <v>0</v>
      </c>
      <c r="C689" s="2">
        <f>IFERROR(__xludf.DUMMYFUNCTION("""COMPUTED_VALUE"""),271.0)</f>
        <v>271</v>
      </c>
      <c r="D689" s="3">
        <f>IFERROR(__xludf.DUMMYFUNCTION("""COMPUTED_VALUE"""),101.0)</f>
        <v>101</v>
      </c>
      <c r="E689" s="2"/>
      <c r="F689" s="2"/>
    </row>
    <row r="690">
      <c r="A690" s="2">
        <f>IFERROR(__xludf.DUMMYFUNCTION("""COMPUTED_VALUE"""),8003.0)</f>
        <v>8003</v>
      </c>
      <c r="B690" s="2">
        <f>IFERROR(__xludf.DUMMYFUNCTION("""COMPUTED_VALUE"""),1.0)</f>
        <v>1</v>
      </c>
      <c r="C690" s="2">
        <f>IFERROR(__xludf.DUMMYFUNCTION("""COMPUTED_VALUE"""),120.0)</f>
        <v>120</v>
      </c>
      <c r="D690" s="3">
        <f>IFERROR(__xludf.DUMMYFUNCTION("""COMPUTED_VALUE"""),71.0)</f>
        <v>71</v>
      </c>
      <c r="E690" s="2"/>
      <c r="F690" s="2"/>
    </row>
    <row r="691">
      <c r="A691" s="2">
        <f>IFERROR(__xludf.DUMMYFUNCTION("""COMPUTED_VALUE"""),90183.0)</f>
        <v>90183</v>
      </c>
      <c r="B691" s="2">
        <f>IFERROR(__xludf.DUMMYFUNCTION("""COMPUTED_VALUE"""),0.0)</f>
        <v>0</v>
      </c>
      <c r="C691" s="2">
        <f>IFERROR(__xludf.DUMMYFUNCTION("""COMPUTED_VALUE"""),779.0)</f>
        <v>779</v>
      </c>
      <c r="D691" s="3">
        <f>IFERROR(__xludf.DUMMYFUNCTION("""COMPUTED_VALUE"""),484.0)</f>
        <v>484</v>
      </c>
      <c r="E691" s="2"/>
      <c r="F691" s="2"/>
    </row>
    <row r="692">
      <c r="A692" s="2">
        <f>IFERROR(__xludf.DUMMYFUNCTION("""COMPUTED_VALUE"""),45489.0)</f>
        <v>45489</v>
      </c>
      <c r="B692" s="2">
        <f>IFERROR(__xludf.DUMMYFUNCTION("""COMPUTED_VALUE"""),1.0)</f>
        <v>1</v>
      </c>
      <c r="C692" s="2">
        <f>IFERROR(__xludf.DUMMYFUNCTION("""COMPUTED_VALUE"""),714.0)</f>
        <v>714</v>
      </c>
      <c r="D692" s="3">
        <f>IFERROR(__xludf.DUMMYFUNCTION("""COMPUTED_VALUE"""),142.0)</f>
        <v>142</v>
      </c>
      <c r="E692" s="2"/>
      <c r="F692" s="2"/>
    </row>
    <row r="693">
      <c r="A693" s="2">
        <f>IFERROR(__xludf.DUMMYFUNCTION("""COMPUTED_VALUE"""),147337.0)</f>
        <v>147337</v>
      </c>
      <c r="B693" s="2">
        <f>IFERROR(__xludf.DUMMYFUNCTION("""COMPUTED_VALUE"""),1.0)</f>
        <v>1</v>
      </c>
      <c r="C693" s="2">
        <f>IFERROR(__xludf.DUMMYFUNCTION("""COMPUTED_VALUE"""),584.0)</f>
        <v>584</v>
      </c>
      <c r="D693" s="3">
        <f>IFERROR(__xludf.DUMMYFUNCTION("""COMPUTED_VALUE"""),253.0)</f>
        <v>253</v>
      </c>
      <c r="E693" s="2"/>
      <c r="F693" s="2"/>
    </row>
    <row r="694">
      <c r="A694" s="2">
        <f>IFERROR(__xludf.DUMMYFUNCTION("""COMPUTED_VALUE"""),116446.0)</f>
        <v>116446</v>
      </c>
      <c r="B694" s="2">
        <f>IFERROR(__xludf.DUMMYFUNCTION("""COMPUTED_VALUE"""),1.0)</f>
        <v>1</v>
      </c>
      <c r="C694" s="2">
        <f>IFERROR(__xludf.DUMMYFUNCTION("""COMPUTED_VALUE"""),848.0)</f>
        <v>848</v>
      </c>
      <c r="D694" s="3">
        <f>IFERROR(__xludf.DUMMYFUNCTION("""COMPUTED_VALUE"""),149.0)</f>
        <v>149</v>
      </c>
      <c r="E694" s="2"/>
      <c r="F694" s="2"/>
    </row>
    <row r="695">
      <c r="A695" s="2">
        <f>IFERROR(__xludf.DUMMYFUNCTION("""COMPUTED_VALUE"""),44760.0)</f>
        <v>44760</v>
      </c>
      <c r="B695" s="2">
        <f>IFERROR(__xludf.DUMMYFUNCTION("""COMPUTED_VALUE"""),0.0)</f>
        <v>0</v>
      </c>
      <c r="C695" s="2">
        <f>IFERROR(__xludf.DUMMYFUNCTION("""COMPUTED_VALUE"""),831.0)</f>
        <v>831</v>
      </c>
      <c r="D695" s="3">
        <f>IFERROR(__xludf.DUMMYFUNCTION("""COMPUTED_VALUE"""),44.0)</f>
        <v>44</v>
      </c>
      <c r="E695" s="2"/>
      <c r="F695" s="2"/>
    </row>
    <row r="696">
      <c r="A696" s="2">
        <f>IFERROR(__xludf.DUMMYFUNCTION("""COMPUTED_VALUE"""),44764.0)</f>
        <v>44764</v>
      </c>
      <c r="B696" s="2">
        <f>IFERROR(__xludf.DUMMYFUNCTION("""COMPUTED_VALUE"""),0.0)</f>
        <v>0</v>
      </c>
      <c r="C696" s="2">
        <f>IFERROR(__xludf.DUMMYFUNCTION("""COMPUTED_VALUE"""),952.0)</f>
        <v>952</v>
      </c>
      <c r="D696" s="3">
        <f>IFERROR(__xludf.DUMMYFUNCTION("""COMPUTED_VALUE"""),605.0)</f>
        <v>605</v>
      </c>
      <c r="E696" s="2"/>
      <c r="F696" s="2"/>
    </row>
    <row r="697">
      <c r="A697" s="2">
        <f>IFERROR(__xludf.DUMMYFUNCTION("""COMPUTED_VALUE"""),72801.0)</f>
        <v>72801</v>
      </c>
      <c r="B697" s="2">
        <f>IFERROR(__xludf.DUMMYFUNCTION("""COMPUTED_VALUE"""),1.0)</f>
        <v>1</v>
      </c>
      <c r="C697" s="2">
        <f>IFERROR(__xludf.DUMMYFUNCTION("""COMPUTED_VALUE"""),365.0)</f>
        <v>365</v>
      </c>
      <c r="D697" s="3">
        <f>IFERROR(__xludf.DUMMYFUNCTION("""COMPUTED_VALUE"""),207.0)</f>
        <v>207</v>
      </c>
      <c r="E697" s="2"/>
      <c r="F697" s="2"/>
    </row>
    <row r="698">
      <c r="A698" s="2">
        <f>IFERROR(__xludf.DUMMYFUNCTION("""COMPUTED_VALUE"""),86573.0)</f>
        <v>86573</v>
      </c>
      <c r="B698" s="2">
        <f>IFERROR(__xludf.DUMMYFUNCTION("""COMPUTED_VALUE"""),1.0)</f>
        <v>1</v>
      </c>
      <c r="C698" s="2">
        <f>IFERROR(__xludf.DUMMYFUNCTION("""COMPUTED_VALUE"""),139.0)</f>
        <v>139</v>
      </c>
      <c r="D698" s="3">
        <f>IFERROR(__xludf.DUMMYFUNCTION("""COMPUTED_VALUE"""),63.0)</f>
        <v>63</v>
      </c>
      <c r="E698" s="2"/>
      <c r="F698" s="2"/>
    </row>
    <row r="699">
      <c r="A699" s="2">
        <f>IFERROR(__xludf.DUMMYFUNCTION("""COMPUTED_VALUE"""),107784.0)</f>
        <v>107784</v>
      </c>
      <c r="B699" s="2">
        <f>IFERROR(__xludf.DUMMYFUNCTION("""COMPUTED_VALUE"""),1.0)</f>
        <v>1</v>
      </c>
      <c r="C699" s="2">
        <f>IFERROR(__xludf.DUMMYFUNCTION("""COMPUTED_VALUE"""),119.0)</f>
        <v>119</v>
      </c>
      <c r="D699" s="3">
        <f>IFERROR(__xludf.DUMMYFUNCTION("""COMPUTED_VALUE"""),47.0)</f>
        <v>47</v>
      </c>
      <c r="E699" s="2"/>
      <c r="F699" s="2"/>
    </row>
    <row r="700">
      <c r="A700" s="2">
        <f>IFERROR(__xludf.DUMMYFUNCTION("""COMPUTED_VALUE"""),103388.0)</f>
        <v>103388</v>
      </c>
      <c r="B700" s="2">
        <f>IFERROR(__xludf.DUMMYFUNCTION("""COMPUTED_VALUE"""),1.0)</f>
        <v>1</v>
      </c>
      <c r="C700" s="2">
        <f>IFERROR(__xludf.DUMMYFUNCTION("""COMPUTED_VALUE"""),768.0)</f>
        <v>768</v>
      </c>
      <c r="D700" s="3">
        <f>IFERROR(__xludf.DUMMYFUNCTION("""COMPUTED_VALUE"""),80.0)</f>
        <v>80</v>
      </c>
      <c r="E700" s="2"/>
      <c r="F700" s="2"/>
    </row>
    <row r="701">
      <c r="A701" s="2">
        <f>IFERROR(__xludf.DUMMYFUNCTION("""COMPUTED_VALUE"""),8004.0)</f>
        <v>8004</v>
      </c>
      <c r="B701" s="2">
        <f>IFERROR(__xludf.DUMMYFUNCTION("""COMPUTED_VALUE"""),1.0)</f>
        <v>1</v>
      </c>
      <c r="C701" s="2">
        <f>IFERROR(__xludf.DUMMYFUNCTION("""COMPUTED_VALUE"""),663.0)</f>
        <v>663</v>
      </c>
      <c r="D701" s="3">
        <f>IFERROR(__xludf.DUMMYFUNCTION("""COMPUTED_VALUE"""),211.0)</f>
        <v>211</v>
      </c>
      <c r="E701" s="2"/>
      <c r="F701" s="2"/>
    </row>
    <row r="702">
      <c r="A702" s="2">
        <f>IFERROR(__xludf.DUMMYFUNCTION("""COMPUTED_VALUE"""),103387.0)</f>
        <v>103387</v>
      </c>
      <c r="B702" s="2">
        <f>IFERROR(__xludf.DUMMYFUNCTION("""COMPUTED_VALUE"""),0.0)</f>
        <v>0</v>
      </c>
      <c r="C702" s="2">
        <f>IFERROR(__xludf.DUMMYFUNCTION("""COMPUTED_VALUE"""),381.0)</f>
        <v>381</v>
      </c>
      <c r="D702" s="3">
        <f>IFERROR(__xludf.DUMMYFUNCTION("""COMPUTED_VALUE"""),272.0)</f>
        <v>272</v>
      </c>
      <c r="E702" s="2"/>
      <c r="F702" s="2"/>
    </row>
    <row r="703">
      <c r="A703" s="2">
        <f>IFERROR(__xludf.DUMMYFUNCTION("""COMPUTED_VALUE"""),76731.0)</f>
        <v>76731</v>
      </c>
      <c r="B703" s="2">
        <f>IFERROR(__xludf.DUMMYFUNCTION("""COMPUTED_VALUE"""),0.0)</f>
        <v>0</v>
      </c>
      <c r="C703" s="2">
        <f>IFERROR(__xludf.DUMMYFUNCTION("""COMPUTED_VALUE"""),967.0)</f>
        <v>967</v>
      </c>
      <c r="D703" s="3">
        <f>IFERROR(__xludf.DUMMYFUNCTION("""COMPUTED_VALUE"""),534.0)</f>
        <v>534</v>
      </c>
      <c r="E703" s="2"/>
      <c r="F703" s="2"/>
    </row>
    <row r="704">
      <c r="A704" s="2">
        <f>IFERROR(__xludf.DUMMYFUNCTION("""COMPUTED_VALUE"""),116449.0)</f>
        <v>116449</v>
      </c>
      <c r="B704" s="2">
        <f>IFERROR(__xludf.DUMMYFUNCTION("""COMPUTED_VALUE"""),1.0)</f>
        <v>1</v>
      </c>
      <c r="C704" s="2">
        <f>IFERROR(__xludf.DUMMYFUNCTION("""COMPUTED_VALUE"""),336.0)</f>
        <v>336</v>
      </c>
      <c r="D704" s="3">
        <f>IFERROR(__xludf.DUMMYFUNCTION("""COMPUTED_VALUE"""),136.0)</f>
        <v>136</v>
      </c>
      <c r="E704" s="2"/>
      <c r="F704" s="2"/>
    </row>
    <row r="705">
      <c r="A705" s="2">
        <f>IFERROR(__xludf.DUMMYFUNCTION("""COMPUTED_VALUE"""),95211.0)</f>
        <v>95211</v>
      </c>
      <c r="B705" s="2">
        <f>IFERROR(__xludf.DUMMYFUNCTION("""COMPUTED_VALUE"""),0.0)</f>
        <v>0</v>
      </c>
      <c r="C705" s="2">
        <f>IFERROR(__xludf.DUMMYFUNCTION("""COMPUTED_VALUE"""),394.0)</f>
        <v>394</v>
      </c>
      <c r="D705" s="3">
        <f>IFERROR(__xludf.DUMMYFUNCTION("""COMPUTED_VALUE"""),264.0)</f>
        <v>264</v>
      </c>
      <c r="E705" s="2"/>
      <c r="F705" s="2"/>
    </row>
    <row r="706">
      <c r="A706" s="2">
        <f>IFERROR(__xludf.DUMMYFUNCTION("""COMPUTED_VALUE"""),118255.0)</f>
        <v>118255</v>
      </c>
      <c r="B706" s="2">
        <f>IFERROR(__xludf.DUMMYFUNCTION("""COMPUTED_VALUE"""),0.0)</f>
        <v>0</v>
      </c>
      <c r="C706" s="2">
        <f>IFERROR(__xludf.DUMMYFUNCTION("""COMPUTED_VALUE"""),941.0)</f>
        <v>941</v>
      </c>
      <c r="D706" s="3">
        <f>IFERROR(__xludf.DUMMYFUNCTION("""COMPUTED_VALUE"""),900.0)</f>
        <v>900</v>
      </c>
      <c r="E706" s="2"/>
      <c r="F706" s="2"/>
    </row>
    <row r="707">
      <c r="A707" s="2">
        <f>IFERROR(__xludf.DUMMYFUNCTION("""COMPUTED_VALUE"""),8010.0)</f>
        <v>8010</v>
      </c>
      <c r="B707" s="2">
        <f>IFERROR(__xludf.DUMMYFUNCTION("""COMPUTED_VALUE"""),1.0)</f>
        <v>1</v>
      </c>
      <c r="C707" s="2">
        <f>IFERROR(__xludf.DUMMYFUNCTION("""COMPUTED_VALUE"""),914.0)</f>
        <v>914</v>
      </c>
      <c r="D707" s="3">
        <f>IFERROR(__xludf.DUMMYFUNCTION("""COMPUTED_VALUE"""),330.0)</f>
        <v>330</v>
      </c>
      <c r="E707" s="2"/>
      <c r="F707" s="2"/>
    </row>
    <row r="708">
      <c r="A708" s="2">
        <f>IFERROR(__xludf.DUMMYFUNCTION("""COMPUTED_VALUE"""),128351.0)</f>
        <v>128351</v>
      </c>
      <c r="B708" s="2">
        <f>IFERROR(__xludf.DUMMYFUNCTION("""COMPUTED_VALUE"""),0.0)</f>
        <v>0</v>
      </c>
      <c r="C708" s="2">
        <f>IFERROR(__xludf.DUMMYFUNCTION("""COMPUTED_VALUE"""),278.0)</f>
        <v>278</v>
      </c>
      <c r="D708" s="3">
        <f>IFERROR(__xludf.DUMMYFUNCTION("""COMPUTED_VALUE"""),101.0)</f>
        <v>101</v>
      </c>
      <c r="E708" s="2"/>
      <c r="F708" s="2"/>
    </row>
    <row r="709">
      <c r="A709" s="2">
        <f>IFERROR(__xludf.DUMMYFUNCTION("""COMPUTED_VALUE"""),12452.0)</f>
        <v>12452</v>
      </c>
      <c r="B709" s="2">
        <f>IFERROR(__xludf.DUMMYFUNCTION("""COMPUTED_VALUE"""),0.0)</f>
        <v>0</v>
      </c>
      <c r="C709" s="2">
        <f>IFERROR(__xludf.DUMMYFUNCTION("""COMPUTED_VALUE"""),506.0)</f>
        <v>506</v>
      </c>
      <c r="D709" s="3">
        <f>IFERROR(__xludf.DUMMYFUNCTION("""COMPUTED_VALUE"""),166.0)</f>
        <v>166</v>
      </c>
      <c r="E709" s="2"/>
      <c r="F709" s="2"/>
    </row>
    <row r="710">
      <c r="A710" s="2">
        <f>IFERROR(__xludf.DUMMYFUNCTION("""COMPUTED_VALUE"""),108996.0)</f>
        <v>108996</v>
      </c>
      <c r="B710" s="2">
        <f>IFERROR(__xludf.DUMMYFUNCTION("""COMPUTED_VALUE"""),0.0)</f>
        <v>0</v>
      </c>
      <c r="C710" s="2">
        <f>IFERROR(__xludf.DUMMYFUNCTION("""COMPUTED_VALUE"""),626.0)</f>
        <v>626</v>
      </c>
      <c r="D710" s="3">
        <f>IFERROR(__xludf.DUMMYFUNCTION("""COMPUTED_VALUE"""),17.0)</f>
        <v>17</v>
      </c>
      <c r="E710" s="2"/>
      <c r="F710" s="2"/>
    </row>
    <row r="711">
      <c r="A711" s="2">
        <f>IFERROR(__xludf.DUMMYFUNCTION("""COMPUTED_VALUE"""),15638.0)</f>
        <v>15638</v>
      </c>
      <c r="B711" s="2">
        <f>IFERROR(__xludf.DUMMYFUNCTION("""COMPUTED_VALUE"""),1.0)</f>
        <v>1</v>
      </c>
      <c r="C711" s="2">
        <f>IFERROR(__xludf.DUMMYFUNCTION("""COMPUTED_VALUE"""),286.0)</f>
        <v>286</v>
      </c>
      <c r="D711" s="3">
        <f>IFERROR(__xludf.DUMMYFUNCTION("""COMPUTED_VALUE"""),26.0)</f>
        <v>26</v>
      </c>
      <c r="E711" s="2"/>
      <c r="F711" s="2"/>
    </row>
    <row r="712">
      <c r="A712" s="2">
        <f>IFERROR(__xludf.DUMMYFUNCTION("""COMPUTED_VALUE"""),118109.0)</f>
        <v>118109</v>
      </c>
      <c r="B712" s="2">
        <f>IFERROR(__xludf.DUMMYFUNCTION("""COMPUTED_VALUE"""),0.0)</f>
        <v>0</v>
      </c>
      <c r="C712" s="2">
        <f>IFERROR(__xludf.DUMMYFUNCTION("""COMPUTED_VALUE"""),780.0)</f>
        <v>780</v>
      </c>
      <c r="D712" s="3">
        <f>IFERROR(__xludf.DUMMYFUNCTION("""COMPUTED_VALUE"""),162.0)</f>
        <v>162</v>
      </c>
      <c r="E712" s="2"/>
      <c r="F712" s="2"/>
    </row>
    <row r="713">
      <c r="A713" s="2">
        <f>IFERROR(__xludf.DUMMYFUNCTION("""COMPUTED_VALUE"""),15634.0)</f>
        <v>15634</v>
      </c>
      <c r="B713" s="2">
        <f>IFERROR(__xludf.DUMMYFUNCTION("""COMPUTED_VALUE"""),1.0)</f>
        <v>1</v>
      </c>
      <c r="C713" s="2">
        <f>IFERROR(__xludf.DUMMYFUNCTION("""COMPUTED_VALUE"""),628.0)</f>
        <v>628</v>
      </c>
      <c r="D713" s="3">
        <f>IFERROR(__xludf.DUMMYFUNCTION("""COMPUTED_VALUE"""),312.0)</f>
        <v>312</v>
      </c>
      <c r="E713" s="2"/>
      <c r="F713" s="2"/>
    </row>
    <row r="714">
      <c r="A714" s="2">
        <f>IFERROR(__xludf.DUMMYFUNCTION("""COMPUTED_VALUE"""),2802.0)</f>
        <v>2802</v>
      </c>
      <c r="B714" s="2">
        <f>IFERROR(__xludf.DUMMYFUNCTION("""COMPUTED_VALUE"""),1.0)</f>
        <v>1</v>
      </c>
      <c r="C714" s="2">
        <f>IFERROR(__xludf.DUMMYFUNCTION("""COMPUTED_VALUE"""),915.0)</f>
        <v>915</v>
      </c>
      <c r="D714" s="3">
        <f>IFERROR(__xludf.DUMMYFUNCTION("""COMPUTED_VALUE"""),846.0)</f>
        <v>846</v>
      </c>
      <c r="E714" s="2"/>
      <c r="F714" s="2"/>
    </row>
    <row r="715">
      <c r="A715" s="2">
        <f>IFERROR(__xludf.DUMMYFUNCTION("""COMPUTED_VALUE"""),46962.0)</f>
        <v>46962</v>
      </c>
      <c r="B715" s="2">
        <f>IFERROR(__xludf.DUMMYFUNCTION("""COMPUTED_VALUE"""),0.0)</f>
        <v>0</v>
      </c>
      <c r="C715" s="2">
        <f>IFERROR(__xludf.DUMMYFUNCTION("""COMPUTED_VALUE"""),98.0)</f>
        <v>98</v>
      </c>
      <c r="D715" s="3">
        <f>IFERROR(__xludf.DUMMYFUNCTION("""COMPUTED_VALUE"""),18.0)</f>
        <v>18</v>
      </c>
      <c r="E715" s="2"/>
      <c r="F715" s="2"/>
    </row>
    <row r="716">
      <c r="A716" s="2">
        <f>IFERROR(__xludf.DUMMYFUNCTION("""COMPUTED_VALUE"""),128348.0)</f>
        <v>128348</v>
      </c>
      <c r="B716" s="2">
        <f>IFERROR(__xludf.DUMMYFUNCTION("""COMPUTED_VALUE"""),0.0)</f>
        <v>0</v>
      </c>
      <c r="C716" s="2">
        <f>IFERROR(__xludf.DUMMYFUNCTION("""COMPUTED_VALUE"""),55.0)</f>
        <v>55</v>
      </c>
      <c r="D716" s="3">
        <f>IFERROR(__xludf.DUMMYFUNCTION("""COMPUTED_VALUE"""),11.0)</f>
        <v>11</v>
      </c>
      <c r="E716" s="2"/>
      <c r="F716" s="2"/>
    </row>
    <row r="717">
      <c r="A717" s="2">
        <f>IFERROR(__xludf.DUMMYFUNCTION("""COMPUTED_VALUE"""),108963.0)</f>
        <v>108963</v>
      </c>
      <c r="B717" s="2">
        <f>IFERROR(__xludf.DUMMYFUNCTION("""COMPUTED_VALUE"""),1.0)</f>
        <v>1</v>
      </c>
      <c r="C717" s="2">
        <f>IFERROR(__xludf.DUMMYFUNCTION("""COMPUTED_VALUE"""),795.0)</f>
        <v>795</v>
      </c>
      <c r="D717" s="3">
        <f>IFERROR(__xludf.DUMMYFUNCTION("""COMPUTED_VALUE"""),594.0)</f>
        <v>594</v>
      </c>
      <c r="E717" s="2"/>
      <c r="F717" s="2"/>
    </row>
    <row r="718">
      <c r="A718" s="2">
        <f>IFERROR(__xludf.DUMMYFUNCTION("""COMPUTED_VALUE"""),2800.0)</f>
        <v>2800</v>
      </c>
      <c r="B718" s="2">
        <f>IFERROR(__xludf.DUMMYFUNCTION("""COMPUTED_VALUE"""),0.0)</f>
        <v>0</v>
      </c>
      <c r="C718" s="2">
        <f>IFERROR(__xludf.DUMMYFUNCTION("""COMPUTED_VALUE"""),947.0)</f>
        <v>947</v>
      </c>
      <c r="D718" s="3">
        <f>IFERROR(__xludf.DUMMYFUNCTION("""COMPUTED_VALUE"""),451.0)</f>
        <v>451</v>
      </c>
      <c r="E718" s="2"/>
      <c r="F718" s="2"/>
    </row>
    <row r="719">
      <c r="A719" s="2">
        <f>IFERROR(__xludf.DUMMYFUNCTION("""COMPUTED_VALUE"""),12451.0)</f>
        <v>12451</v>
      </c>
      <c r="B719" s="2">
        <f>IFERROR(__xludf.DUMMYFUNCTION("""COMPUTED_VALUE"""),1.0)</f>
        <v>1</v>
      </c>
      <c r="C719" s="2">
        <f>IFERROR(__xludf.DUMMYFUNCTION("""COMPUTED_VALUE"""),292.0)</f>
        <v>292</v>
      </c>
      <c r="D719" s="3">
        <f>IFERROR(__xludf.DUMMYFUNCTION("""COMPUTED_VALUE"""),246.0)</f>
        <v>246</v>
      </c>
      <c r="E719" s="2"/>
      <c r="F719" s="2"/>
    </row>
    <row r="720">
      <c r="A720" s="2">
        <f>IFERROR(__xludf.DUMMYFUNCTION("""COMPUTED_VALUE"""),19024.0)</f>
        <v>19024</v>
      </c>
      <c r="B720" s="2">
        <f>IFERROR(__xludf.DUMMYFUNCTION("""COMPUTED_VALUE"""),0.0)</f>
        <v>0</v>
      </c>
      <c r="C720" s="2">
        <f>IFERROR(__xludf.DUMMYFUNCTION("""COMPUTED_VALUE"""),274.0)</f>
        <v>274</v>
      </c>
      <c r="D720" s="3">
        <f>IFERROR(__xludf.DUMMYFUNCTION("""COMPUTED_VALUE"""),113.0)</f>
        <v>113</v>
      </c>
      <c r="E720" s="2"/>
      <c r="F720" s="2"/>
    </row>
    <row r="721">
      <c r="A721" s="2">
        <f>IFERROR(__xludf.DUMMYFUNCTION("""COMPUTED_VALUE"""),9472.0)</f>
        <v>9472</v>
      </c>
      <c r="B721" s="2">
        <f>IFERROR(__xludf.DUMMYFUNCTION("""COMPUTED_VALUE"""),1.0)</f>
        <v>1</v>
      </c>
      <c r="C721" s="2">
        <f>IFERROR(__xludf.DUMMYFUNCTION("""COMPUTED_VALUE"""),818.0)</f>
        <v>818</v>
      </c>
      <c r="D721" s="3">
        <f>IFERROR(__xludf.DUMMYFUNCTION("""COMPUTED_VALUE"""),755.0)</f>
        <v>755</v>
      </c>
      <c r="E721" s="2"/>
      <c r="F721" s="2"/>
    </row>
    <row r="722">
      <c r="A722" s="2">
        <f>IFERROR(__xludf.DUMMYFUNCTION("""COMPUTED_VALUE"""),1587.0)</f>
        <v>1587</v>
      </c>
      <c r="B722" s="2">
        <f>IFERROR(__xludf.DUMMYFUNCTION("""COMPUTED_VALUE"""),1.0)</f>
        <v>1</v>
      </c>
      <c r="C722" s="2">
        <f>IFERROR(__xludf.DUMMYFUNCTION("""COMPUTED_VALUE"""),840.0)</f>
        <v>840</v>
      </c>
      <c r="D722" s="3">
        <f>IFERROR(__xludf.DUMMYFUNCTION("""COMPUTED_VALUE"""),347.0)</f>
        <v>347</v>
      </c>
      <c r="E722" s="2"/>
      <c r="F722" s="2"/>
    </row>
    <row r="723">
      <c r="A723" s="2">
        <f>IFERROR(__xludf.DUMMYFUNCTION("""COMPUTED_VALUE"""),118262.0)</f>
        <v>118262</v>
      </c>
      <c r="B723" s="2">
        <f>IFERROR(__xludf.DUMMYFUNCTION("""COMPUTED_VALUE"""),0.0)</f>
        <v>0</v>
      </c>
      <c r="C723" s="2">
        <f>IFERROR(__xludf.DUMMYFUNCTION("""COMPUTED_VALUE"""),629.0)</f>
        <v>629</v>
      </c>
      <c r="D723" s="3">
        <f>IFERROR(__xludf.DUMMYFUNCTION("""COMPUTED_VALUE"""),476.0)</f>
        <v>476</v>
      </c>
      <c r="E723" s="2"/>
      <c r="F723" s="2"/>
    </row>
    <row r="724">
      <c r="A724" s="2">
        <f>IFERROR(__xludf.DUMMYFUNCTION("""COMPUTED_VALUE"""),44739.0)</f>
        <v>44739</v>
      </c>
      <c r="B724" s="2">
        <f>IFERROR(__xludf.DUMMYFUNCTION("""COMPUTED_VALUE"""),1.0)</f>
        <v>1</v>
      </c>
      <c r="C724" s="2">
        <f>IFERROR(__xludf.DUMMYFUNCTION("""COMPUTED_VALUE"""),272.0)</f>
        <v>272</v>
      </c>
      <c r="D724" s="3">
        <f>IFERROR(__xludf.DUMMYFUNCTION("""COMPUTED_VALUE"""),260.0)</f>
        <v>260</v>
      </c>
      <c r="E724" s="2"/>
      <c r="F724" s="2"/>
    </row>
    <row r="725">
      <c r="A725" s="2">
        <f>IFERROR(__xludf.DUMMYFUNCTION("""COMPUTED_VALUE"""),199855.0)</f>
        <v>199855</v>
      </c>
      <c r="B725" s="2">
        <f>IFERROR(__xludf.DUMMYFUNCTION("""COMPUTED_VALUE"""),0.0)</f>
        <v>0</v>
      </c>
      <c r="C725" s="2">
        <f>IFERROR(__xludf.DUMMYFUNCTION("""COMPUTED_VALUE"""),745.0)</f>
        <v>745</v>
      </c>
      <c r="D725" s="3">
        <f>IFERROR(__xludf.DUMMYFUNCTION("""COMPUTED_VALUE"""),548.0)</f>
        <v>548</v>
      </c>
      <c r="E725" s="2"/>
      <c r="F725" s="2"/>
    </row>
    <row r="726">
      <c r="A726" s="2">
        <f>IFERROR(__xludf.DUMMYFUNCTION("""COMPUTED_VALUE"""),71674.0)</f>
        <v>71674</v>
      </c>
      <c r="B726" s="2">
        <f>IFERROR(__xludf.DUMMYFUNCTION("""COMPUTED_VALUE"""),0.0)</f>
        <v>0</v>
      </c>
      <c r="C726" s="2">
        <f>IFERROR(__xludf.DUMMYFUNCTION("""COMPUTED_VALUE"""),705.0)</f>
        <v>705</v>
      </c>
      <c r="D726" s="3">
        <f>IFERROR(__xludf.DUMMYFUNCTION("""COMPUTED_VALUE"""),483.0)</f>
        <v>483</v>
      </c>
      <c r="E726" s="2"/>
      <c r="F726" s="2"/>
    </row>
    <row r="727">
      <c r="A727" s="2">
        <f>IFERROR(__xludf.DUMMYFUNCTION("""COMPUTED_VALUE"""),101357.0)</f>
        <v>101357</v>
      </c>
      <c r="B727" s="2">
        <f>IFERROR(__xludf.DUMMYFUNCTION("""COMPUTED_VALUE"""),1.0)</f>
        <v>1</v>
      </c>
      <c r="C727" s="2">
        <f>IFERROR(__xludf.DUMMYFUNCTION("""COMPUTED_VALUE"""),914.0)</f>
        <v>914</v>
      </c>
      <c r="D727" s="3">
        <f>IFERROR(__xludf.DUMMYFUNCTION("""COMPUTED_VALUE"""),506.0)</f>
        <v>506</v>
      </c>
      <c r="E727" s="2"/>
      <c r="F727" s="2"/>
    </row>
    <row r="728">
      <c r="A728" s="2">
        <f>IFERROR(__xludf.DUMMYFUNCTION("""COMPUTED_VALUE"""),121066.0)</f>
        <v>121066</v>
      </c>
      <c r="B728" s="2">
        <f>IFERROR(__xludf.DUMMYFUNCTION("""COMPUTED_VALUE"""),1.0)</f>
        <v>1</v>
      </c>
      <c r="C728" s="2">
        <f>IFERROR(__xludf.DUMMYFUNCTION("""COMPUTED_VALUE"""),136.0)</f>
        <v>136</v>
      </c>
      <c r="D728" s="3">
        <f>IFERROR(__xludf.DUMMYFUNCTION("""COMPUTED_VALUE"""),84.0)</f>
        <v>84</v>
      </c>
      <c r="E728" s="2"/>
      <c r="F728" s="2"/>
    </row>
    <row r="729">
      <c r="A729" s="2">
        <f>IFERROR(__xludf.DUMMYFUNCTION("""COMPUTED_VALUE"""),72818.0)</f>
        <v>72818</v>
      </c>
      <c r="B729" s="2">
        <f>IFERROR(__xludf.DUMMYFUNCTION("""COMPUTED_VALUE"""),0.0)</f>
        <v>0</v>
      </c>
      <c r="C729" s="2">
        <f>IFERROR(__xludf.DUMMYFUNCTION("""COMPUTED_VALUE"""),535.0)</f>
        <v>535</v>
      </c>
      <c r="D729" s="3">
        <f>IFERROR(__xludf.DUMMYFUNCTION("""COMPUTED_VALUE"""),137.0)</f>
        <v>137</v>
      </c>
      <c r="E729" s="2"/>
      <c r="F729" s="2"/>
    </row>
    <row r="730">
      <c r="A730" s="2">
        <f>IFERROR(__xludf.DUMMYFUNCTION("""COMPUTED_VALUE"""),109178.0)</f>
        <v>109178</v>
      </c>
      <c r="B730" s="2">
        <f>IFERROR(__xludf.DUMMYFUNCTION("""COMPUTED_VALUE"""),1.0)</f>
        <v>1</v>
      </c>
      <c r="C730" s="2">
        <f>IFERROR(__xludf.DUMMYFUNCTION("""COMPUTED_VALUE"""),794.0)</f>
        <v>794</v>
      </c>
      <c r="D730" s="3">
        <f>IFERROR(__xludf.DUMMYFUNCTION("""COMPUTED_VALUE"""),446.0)</f>
        <v>446</v>
      </c>
      <c r="E730" s="2"/>
      <c r="F730" s="2"/>
    </row>
    <row r="731">
      <c r="A731" s="2">
        <f>IFERROR(__xludf.DUMMYFUNCTION("""COMPUTED_VALUE"""),114876.0)</f>
        <v>114876</v>
      </c>
      <c r="B731" s="2">
        <f>IFERROR(__xludf.DUMMYFUNCTION("""COMPUTED_VALUE"""),0.0)</f>
        <v>0</v>
      </c>
      <c r="C731" s="2">
        <f>IFERROR(__xludf.DUMMYFUNCTION("""COMPUTED_VALUE"""),323.0)</f>
        <v>323</v>
      </c>
      <c r="D731" s="3">
        <f>IFERROR(__xludf.DUMMYFUNCTION("""COMPUTED_VALUE"""),141.0)</f>
        <v>141</v>
      </c>
      <c r="E731" s="2"/>
      <c r="F731" s="2"/>
    </row>
    <row r="732">
      <c r="A732" s="2">
        <f>IFERROR(__xludf.DUMMYFUNCTION("""COMPUTED_VALUE"""),9471.0)</f>
        <v>9471</v>
      </c>
      <c r="B732" s="2">
        <f>IFERROR(__xludf.DUMMYFUNCTION("""COMPUTED_VALUE"""),1.0)</f>
        <v>1</v>
      </c>
      <c r="C732" s="2">
        <f>IFERROR(__xludf.DUMMYFUNCTION("""COMPUTED_VALUE"""),647.0)</f>
        <v>647</v>
      </c>
      <c r="D732" s="3">
        <f>IFERROR(__xludf.DUMMYFUNCTION("""COMPUTED_VALUE"""),519.0)</f>
        <v>519</v>
      </c>
      <c r="E732" s="2"/>
      <c r="F732" s="2"/>
    </row>
    <row r="733">
      <c r="A733" s="2">
        <f>IFERROR(__xludf.DUMMYFUNCTION("""COMPUTED_VALUE"""),87840.0)</f>
        <v>87840</v>
      </c>
      <c r="B733" s="2">
        <f>IFERROR(__xludf.DUMMYFUNCTION("""COMPUTED_VALUE"""),1.0)</f>
        <v>1</v>
      </c>
      <c r="C733" s="2">
        <f>IFERROR(__xludf.DUMMYFUNCTION("""COMPUTED_VALUE"""),758.0)</f>
        <v>758</v>
      </c>
      <c r="D733" s="3">
        <f>IFERROR(__xludf.DUMMYFUNCTION("""COMPUTED_VALUE"""),519.0)</f>
        <v>519</v>
      </c>
      <c r="E733" s="2"/>
      <c r="F733" s="2"/>
    </row>
    <row r="734">
      <c r="A734" s="2">
        <f>IFERROR(__xludf.DUMMYFUNCTION("""COMPUTED_VALUE"""),72816.0)</f>
        <v>72816</v>
      </c>
      <c r="B734" s="2">
        <f>IFERROR(__xludf.DUMMYFUNCTION("""COMPUTED_VALUE"""),0.0)</f>
        <v>0</v>
      </c>
      <c r="C734" s="2">
        <f>IFERROR(__xludf.DUMMYFUNCTION("""COMPUTED_VALUE"""),80.0)</f>
        <v>80</v>
      </c>
      <c r="D734" s="3">
        <f>IFERROR(__xludf.DUMMYFUNCTION("""COMPUTED_VALUE"""),50.0)</f>
        <v>50</v>
      </c>
      <c r="E734" s="2"/>
      <c r="F734" s="2"/>
    </row>
    <row r="735">
      <c r="A735" s="2">
        <f>IFERROR(__xludf.DUMMYFUNCTION("""COMPUTED_VALUE"""),122354.0)</f>
        <v>122354</v>
      </c>
      <c r="B735" s="2">
        <f>IFERROR(__xludf.DUMMYFUNCTION("""COMPUTED_VALUE"""),0.0)</f>
        <v>0</v>
      </c>
      <c r="C735" s="2">
        <f>IFERROR(__xludf.DUMMYFUNCTION("""COMPUTED_VALUE"""),606.0)</f>
        <v>606</v>
      </c>
      <c r="D735" s="3">
        <f>IFERROR(__xludf.DUMMYFUNCTION("""COMPUTED_VALUE"""),60.0)</f>
        <v>60</v>
      </c>
      <c r="E735" s="2"/>
      <c r="F735" s="2"/>
    </row>
    <row r="736">
      <c r="A736" s="2">
        <f>IFERROR(__xludf.DUMMYFUNCTION("""COMPUTED_VALUE"""),109188.0)</f>
        <v>109188</v>
      </c>
      <c r="B736" s="2">
        <f>IFERROR(__xludf.DUMMYFUNCTION("""COMPUTED_VALUE"""),0.0)</f>
        <v>0</v>
      </c>
      <c r="C736" s="2">
        <f>IFERROR(__xludf.DUMMYFUNCTION("""COMPUTED_VALUE"""),969.0)</f>
        <v>969</v>
      </c>
      <c r="D736" s="3">
        <f>IFERROR(__xludf.DUMMYFUNCTION("""COMPUTED_VALUE"""),864.0)</f>
        <v>864</v>
      </c>
      <c r="E736" s="2"/>
      <c r="F736" s="2"/>
    </row>
    <row r="737">
      <c r="A737" s="2">
        <f>IFERROR(__xludf.DUMMYFUNCTION("""COMPUTED_VALUE"""),7999.0)</f>
        <v>7999</v>
      </c>
      <c r="B737" s="2">
        <f>IFERROR(__xludf.DUMMYFUNCTION("""COMPUTED_VALUE"""),0.0)</f>
        <v>0</v>
      </c>
      <c r="C737" s="2">
        <f>IFERROR(__xludf.DUMMYFUNCTION("""COMPUTED_VALUE"""),248.0)</f>
        <v>248</v>
      </c>
      <c r="D737" s="3">
        <f>IFERROR(__xludf.DUMMYFUNCTION("""COMPUTED_VALUE"""),130.0)</f>
        <v>130</v>
      </c>
      <c r="E737" s="2"/>
      <c r="F737" s="2"/>
    </row>
    <row r="738">
      <c r="A738" s="2">
        <f>IFERROR(__xludf.DUMMYFUNCTION("""COMPUTED_VALUE"""),9469.0)</f>
        <v>9469</v>
      </c>
      <c r="B738" s="2">
        <f>IFERROR(__xludf.DUMMYFUNCTION("""COMPUTED_VALUE"""),0.0)</f>
        <v>0</v>
      </c>
      <c r="C738" s="2">
        <f>IFERROR(__xludf.DUMMYFUNCTION("""COMPUTED_VALUE"""),886.0)</f>
        <v>886</v>
      </c>
      <c r="D738" s="3">
        <f>IFERROR(__xludf.DUMMYFUNCTION("""COMPUTED_VALUE"""),256.0)</f>
        <v>256</v>
      </c>
      <c r="E738" s="2"/>
      <c r="F738" s="2"/>
    </row>
    <row r="739">
      <c r="A739" s="2">
        <f>IFERROR(__xludf.DUMMYFUNCTION("""COMPUTED_VALUE"""),46955.0)</f>
        <v>46955</v>
      </c>
      <c r="B739" s="2">
        <f>IFERROR(__xludf.DUMMYFUNCTION("""COMPUTED_VALUE"""),1.0)</f>
        <v>1</v>
      </c>
      <c r="C739" s="2">
        <f>IFERROR(__xludf.DUMMYFUNCTION("""COMPUTED_VALUE"""),162.0)</f>
        <v>162</v>
      </c>
      <c r="D739" s="3">
        <f>IFERROR(__xludf.DUMMYFUNCTION("""COMPUTED_VALUE"""),66.0)</f>
        <v>66</v>
      </c>
      <c r="E739" s="2"/>
      <c r="F739" s="2"/>
    </row>
    <row r="740">
      <c r="A740" s="2">
        <f>IFERROR(__xludf.DUMMYFUNCTION("""COMPUTED_VALUE"""),9464.0)</f>
        <v>9464</v>
      </c>
      <c r="B740" s="2">
        <f>IFERROR(__xludf.DUMMYFUNCTION("""COMPUTED_VALUE"""),0.0)</f>
        <v>0</v>
      </c>
      <c r="C740" s="2">
        <f>IFERROR(__xludf.DUMMYFUNCTION("""COMPUTED_VALUE"""),897.0)</f>
        <v>897</v>
      </c>
      <c r="D740" s="3">
        <f>IFERROR(__xludf.DUMMYFUNCTION("""COMPUTED_VALUE"""),521.0)</f>
        <v>521</v>
      </c>
      <c r="E740" s="2"/>
      <c r="F740" s="2"/>
    </row>
    <row r="741">
      <c r="A741" s="2">
        <f>IFERROR(__xludf.DUMMYFUNCTION("""COMPUTED_VALUE"""),79485.0)</f>
        <v>79485</v>
      </c>
      <c r="B741" s="2">
        <f>IFERROR(__xludf.DUMMYFUNCTION("""COMPUTED_VALUE"""),0.0)</f>
        <v>0</v>
      </c>
      <c r="C741" s="2">
        <f>IFERROR(__xludf.DUMMYFUNCTION("""COMPUTED_VALUE"""),864.0)</f>
        <v>864</v>
      </c>
      <c r="D741" s="3">
        <f>IFERROR(__xludf.DUMMYFUNCTION("""COMPUTED_VALUE"""),713.0)</f>
        <v>713</v>
      </c>
      <c r="E741" s="2"/>
      <c r="F741" s="2"/>
    </row>
    <row r="742">
      <c r="A742" s="2">
        <f>IFERROR(__xludf.DUMMYFUNCTION("""COMPUTED_VALUE"""),118224.0)</f>
        <v>118224</v>
      </c>
      <c r="B742" s="2">
        <f>IFERROR(__xludf.DUMMYFUNCTION("""COMPUTED_VALUE"""),1.0)</f>
        <v>1</v>
      </c>
      <c r="C742" s="2">
        <f>IFERROR(__xludf.DUMMYFUNCTION("""COMPUTED_VALUE"""),922.0)</f>
        <v>922</v>
      </c>
      <c r="D742" s="3">
        <f>IFERROR(__xludf.DUMMYFUNCTION("""COMPUTED_VALUE"""),864.0)</f>
        <v>864</v>
      </c>
      <c r="E742" s="2"/>
      <c r="F742" s="2"/>
    </row>
    <row r="743">
      <c r="A743" s="2">
        <f>IFERROR(__xludf.DUMMYFUNCTION("""COMPUTED_VALUE"""),122353.0)</f>
        <v>122353</v>
      </c>
      <c r="B743" s="2">
        <f>IFERROR(__xludf.DUMMYFUNCTION("""COMPUTED_VALUE"""),1.0)</f>
        <v>1</v>
      </c>
      <c r="C743" s="2">
        <f>IFERROR(__xludf.DUMMYFUNCTION("""COMPUTED_VALUE"""),685.0)</f>
        <v>685</v>
      </c>
      <c r="D743" s="3">
        <f>IFERROR(__xludf.DUMMYFUNCTION("""COMPUTED_VALUE"""),5.0)</f>
        <v>5</v>
      </c>
      <c r="E743" s="2"/>
      <c r="F743" s="2"/>
    </row>
    <row r="744">
      <c r="A744" s="2">
        <f>IFERROR(__xludf.DUMMYFUNCTION("""COMPUTED_VALUE"""),1584.0)</f>
        <v>1584</v>
      </c>
      <c r="B744" s="2">
        <f>IFERROR(__xludf.DUMMYFUNCTION("""COMPUTED_VALUE"""),1.0)</f>
        <v>1</v>
      </c>
      <c r="C744" s="2">
        <f>IFERROR(__xludf.DUMMYFUNCTION("""COMPUTED_VALUE"""),847.0)</f>
        <v>847</v>
      </c>
      <c r="D744" s="3">
        <f>IFERROR(__xludf.DUMMYFUNCTION("""COMPUTED_VALUE"""),147.0)</f>
        <v>147</v>
      </c>
      <c r="E744" s="2"/>
      <c r="F744" s="2"/>
    </row>
    <row r="745">
      <c r="A745" s="2">
        <f>IFERROR(__xludf.DUMMYFUNCTION("""COMPUTED_VALUE"""),2792.0)</f>
        <v>2792</v>
      </c>
      <c r="B745" s="2">
        <f>IFERROR(__xludf.DUMMYFUNCTION("""COMPUTED_VALUE"""),0.0)</f>
        <v>0</v>
      </c>
      <c r="C745" s="2">
        <f>IFERROR(__xludf.DUMMYFUNCTION("""COMPUTED_VALUE"""),519.0)</f>
        <v>519</v>
      </c>
      <c r="D745" s="3">
        <f>IFERROR(__xludf.DUMMYFUNCTION("""COMPUTED_VALUE"""),115.0)</f>
        <v>115</v>
      </c>
      <c r="E745" s="2"/>
      <c r="F745" s="2"/>
    </row>
    <row r="746">
      <c r="A746" s="2">
        <f>IFERROR(__xludf.DUMMYFUNCTION("""COMPUTED_VALUE"""),109187.0)</f>
        <v>109187</v>
      </c>
      <c r="B746" s="2">
        <f>IFERROR(__xludf.DUMMYFUNCTION("""COMPUTED_VALUE"""),0.0)</f>
        <v>0</v>
      </c>
      <c r="C746" s="2">
        <f>IFERROR(__xludf.DUMMYFUNCTION("""COMPUTED_VALUE"""),288.0)</f>
        <v>288</v>
      </c>
      <c r="D746" s="3">
        <f>IFERROR(__xludf.DUMMYFUNCTION("""COMPUTED_VALUE"""),271.0)</f>
        <v>271</v>
      </c>
      <c r="E746" s="2"/>
      <c r="F746" s="2"/>
    </row>
    <row r="747">
      <c r="A747" s="2">
        <f>IFERROR(__xludf.DUMMYFUNCTION("""COMPUTED_VALUE"""),118257.0)</f>
        <v>118257</v>
      </c>
      <c r="B747" s="2">
        <f>IFERROR(__xludf.DUMMYFUNCTION("""COMPUTED_VALUE"""),0.0)</f>
        <v>0</v>
      </c>
      <c r="C747" s="2">
        <f>IFERROR(__xludf.DUMMYFUNCTION("""COMPUTED_VALUE"""),734.0)</f>
        <v>734</v>
      </c>
      <c r="D747" s="3">
        <f>IFERROR(__xludf.DUMMYFUNCTION("""COMPUTED_VALUE"""),614.0)</f>
        <v>614</v>
      </c>
      <c r="E747" s="2"/>
      <c r="F747" s="2"/>
    </row>
    <row r="748">
      <c r="A748" s="2">
        <f>IFERROR(__xludf.DUMMYFUNCTION("""COMPUTED_VALUE"""),7995.0)</f>
        <v>7995</v>
      </c>
      <c r="B748" s="2">
        <f>IFERROR(__xludf.DUMMYFUNCTION("""COMPUTED_VALUE"""),0.0)</f>
        <v>0</v>
      </c>
      <c r="C748" s="2">
        <f>IFERROR(__xludf.DUMMYFUNCTION("""COMPUTED_VALUE"""),35.0)</f>
        <v>35</v>
      </c>
      <c r="D748" s="3">
        <f>IFERROR(__xludf.DUMMYFUNCTION("""COMPUTED_VALUE"""),9.0)</f>
        <v>9</v>
      </c>
      <c r="E748" s="2"/>
      <c r="F748" s="2"/>
    </row>
    <row r="749">
      <c r="A749" s="2">
        <f>IFERROR(__xludf.DUMMYFUNCTION("""COMPUTED_VALUE"""),99360.0)</f>
        <v>99360</v>
      </c>
      <c r="B749" s="2">
        <f>IFERROR(__xludf.DUMMYFUNCTION("""COMPUTED_VALUE"""),0.0)</f>
        <v>0</v>
      </c>
      <c r="C749" s="2">
        <f>IFERROR(__xludf.DUMMYFUNCTION("""COMPUTED_VALUE"""),765.0)</f>
        <v>765</v>
      </c>
      <c r="D749" s="3">
        <f>IFERROR(__xludf.DUMMYFUNCTION("""COMPUTED_VALUE"""),244.0)</f>
        <v>244</v>
      </c>
      <c r="E749" s="2"/>
      <c r="F749" s="2"/>
    </row>
    <row r="750">
      <c r="A750" s="2">
        <f>IFERROR(__xludf.DUMMYFUNCTION("""COMPUTED_VALUE"""),118156.0)</f>
        <v>118156</v>
      </c>
      <c r="B750" s="2">
        <f>IFERROR(__xludf.DUMMYFUNCTION("""COMPUTED_VALUE"""),0.0)</f>
        <v>0</v>
      </c>
      <c r="C750" s="2">
        <f>IFERROR(__xludf.DUMMYFUNCTION("""COMPUTED_VALUE"""),208.0)</f>
        <v>208</v>
      </c>
      <c r="D750" s="3">
        <f>IFERROR(__xludf.DUMMYFUNCTION("""COMPUTED_VALUE"""),53.0)</f>
        <v>53</v>
      </c>
      <c r="E750" s="2"/>
      <c r="F750" s="2"/>
    </row>
    <row r="751">
      <c r="A751" s="2">
        <f>IFERROR(__xludf.DUMMYFUNCTION("""COMPUTED_VALUE"""),44943.0)</f>
        <v>44943</v>
      </c>
      <c r="B751" s="2">
        <f>IFERROR(__xludf.DUMMYFUNCTION("""COMPUTED_VALUE"""),1.0)</f>
        <v>1</v>
      </c>
      <c r="C751" s="2">
        <f>IFERROR(__xludf.DUMMYFUNCTION("""COMPUTED_VALUE"""),203.0)</f>
        <v>203</v>
      </c>
      <c r="D751" s="3">
        <f>IFERROR(__xludf.DUMMYFUNCTION("""COMPUTED_VALUE"""),116.0)</f>
        <v>116</v>
      </c>
      <c r="E751" s="2"/>
      <c r="F751" s="2"/>
    </row>
    <row r="752">
      <c r="A752" s="2">
        <f>IFERROR(__xludf.DUMMYFUNCTION("""COMPUTED_VALUE"""),9462.0)</f>
        <v>9462</v>
      </c>
      <c r="B752" s="2">
        <f>IFERROR(__xludf.DUMMYFUNCTION("""COMPUTED_VALUE"""),1.0)</f>
        <v>1</v>
      </c>
      <c r="C752" s="2">
        <f>IFERROR(__xludf.DUMMYFUNCTION("""COMPUTED_VALUE"""),942.0)</f>
        <v>942</v>
      </c>
      <c r="D752" s="3">
        <f>IFERROR(__xludf.DUMMYFUNCTION("""COMPUTED_VALUE"""),409.0)</f>
        <v>409</v>
      </c>
      <c r="E752" s="2"/>
      <c r="F752" s="2"/>
    </row>
    <row r="753">
      <c r="A753" s="2">
        <f>IFERROR(__xludf.DUMMYFUNCTION("""COMPUTED_VALUE"""),79501.0)</f>
        <v>79501</v>
      </c>
      <c r="B753" s="2">
        <f>IFERROR(__xludf.DUMMYFUNCTION("""COMPUTED_VALUE"""),0.0)</f>
        <v>0</v>
      </c>
      <c r="C753" s="2">
        <f>IFERROR(__xludf.DUMMYFUNCTION("""COMPUTED_VALUE"""),877.0)</f>
        <v>877</v>
      </c>
      <c r="D753" s="3">
        <f>IFERROR(__xludf.DUMMYFUNCTION("""COMPUTED_VALUE"""),322.0)</f>
        <v>322</v>
      </c>
      <c r="E753" s="2"/>
      <c r="F753" s="2"/>
    </row>
    <row r="754">
      <c r="A754" s="2">
        <f>IFERROR(__xludf.DUMMYFUNCTION("""COMPUTED_VALUE"""),97161.0)</f>
        <v>97161</v>
      </c>
      <c r="B754" s="2">
        <f>IFERROR(__xludf.DUMMYFUNCTION("""COMPUTED_VALUE"""),1.0)</f>
        <v>1</v>
      </c>
      <c r="C754" s="2">
        <f>IFERROR(__xludf.DUMMYFUNCTION("""COMPUTED_VALUE"""),815.0)</f>
        <v>815</v>
      </c>
      <c r="D754" s="3">
        <f>IFERROR(__xludf.DUMMYFUNCTION("""COMPUTED_VALUE"""),189.0)</f>
        <v>189</v>
      </c>
      <c r="E754" s="2"/>
      <c r="F754" s="2"/>
    </row>
    <row r="755">
      <c r="A755" s="2">
        <f>IFERROR(__xludf.DUMMYFUNCTION("""COMPUTED_VALUE"""),112842.0)</f>
        <v>112842</v>
      </c>
      <c r="B755" s="2">
        <f>IFERROR(__xludf.DUMMYFUNCTION("""COMPUTED_VALUE"""),0.0)</f>
        <v>0</v>
      </c>
      <c r="C755" s="2">
        <f>IFERROR(__xludf.DUMMYFUNCTION("""COMPUTED_VALUE"""),441.0)</f>
        <v>441</v>
      </c>
      <c r="D755" s="3">
        <f>IFERROR(__xludf.DUMMYFUNCTION("""COMPUTED_VALUE"""),27.0)</f>
        <v>27</v>
      </c>
      <c r="E755" s="2"/>
      <c r="F755" s="2"/>
    </row>
    <row r="756">
      <c r="A756" s="2">
        <f>IFERROR(__xludf.DUMMYFUNCTION("""COMPUTED_VALUE"""),109180.0)</f>
        <v>109180</v>
      </c>
      <c r="B756" s="2">
        <f>IFERROR(__xludf.DUMMYFUNCTION("""COMPUTED_VALUE"""),0.0)</f>
        <v>0</v>
      </c>
      <c r="C756" s="2">
        <f>IFERROR(__xludf.DUMMYFUNCTION("""COMPUTED_VALUE"""),73.0)</f>
        <v>73</v>
      </c>
      <c r="D756" s="3">
        <f>IFERROR(__xludf.DUMMYFUNCTION("""COMPUTED_VALUE"""),23.0)</f>
        <v>23</v>
      </c>
      <c r="E756" s="2"/>
      <c r="F756" s="2"/>
    </row>
    <row r="757">
      <c r="A757" s="2">
        <f>IFERROR(__xludf.DUMMYFUNCTION("""COMPUTED_VALUE"""),46954.0)</f>
        <v>46954</v>
      </c>
      <c r="B757" s="2">
        <f>IFERROR(__xludf.DUMMYFUNCTION("""COMPUTED_VALUE"""),0.0)</f>
        <v>0</v>
      </c>
      <c r="C757" s="2">
        <f>IFERROR(__xludf.DUMMYFUNCTION("""COMPUTED_VALUE"""),640.0)</f>
        <v>640</v>
      </c>
      <c r="D757" s="3">
        <f>IFERROR(__xludf.DUMMYFUNCTION("""COMPUTED_VALUE"""),195.0)</f>
        <v>195</v>
      </c>
      <c r="E757" s="2"/>
      <c r="F757" s="2"/>
    </row>
    <row r="758">
      <c r="A758" s="2">
        <f>IFERROR(__xludf.DUMMYFUNCTION("""COMPUTED_VALUE"""),79500.0)</f>
        <v>79500</v>
      </c>
      <c r="B758" s="2">
        <f>IFERROR(__xludf.DUMMYFUNCTION("""COMPUTED_VALUE"""),0.0)</f>
        <v>0</v>
      </c>
      <c r="C758" s="2">
        <f>IFERROR(__xludf.DUMMYFUNCTION("""COMPUTED_VALUE"""),73.0)</f>
        <v>73</v>
      </c>
      <c r="D758" s="3">
        <f>IFERROR(__xludf.DUMMYFUNCTION("""COMPUTED_VALUE"""),31.0)</f>
        <v>31</v>
      </c>
      <c r="E758" s="2"/>
      <c r="F758" s="2"/>
    </row>
    <row r="759">
      <c r="A759" s="2">
        <f>IFERROR(__xludf.DUMMYFUNCTION("""COMPUTED_VALUE"""),99302.0)</f>
        <v>99302</v>
      </c>
      <c r="B759" s="2">
        <f>IFERROR(__xludf.DUMMYFUNCTION("""COMPUTED_VALUE"""),1.0)</f>
        <v>1</v>
      </c>
      <c r="C759" s="2">
        <f>IFERROR(__xludf.DUMMYFUNCTION("""COMPUTED_VALUE"""),323.0)</f>
        <v>323</v>
      </c>
      <c r="D759" s="3">
        <f>IFERROR(__xludf.DUMMYFUNCTION("""COMPUTED_VALUE"""),75.0)</f>
        <v>75</v>
      </c>
      <c r="E759" s="2"/>
      <c r="F759" s="2"/>
    </row>
    <row r="760">
      <c r="A760" s="2">
        <f>IFERROR(__xludf.DUMMYFUNCTION("""COMPUTED_VALUE"""),105026.0)</f>
        <v>105026</v>
      </c>
      <c r="B760" s="2">
        <f>IFERROR(__xludf.DUMMYFUNCTION("""COMPUTED_VALUE"""),0.0)</f>
        <v>0</v>
      </c>
      <c r="C760" s="2">
        <f>IFERROR(__xludf.DUMMYFUNCTION("""COMPUTED_VALUE"""),210.0)</f>
        <v>210</v>
      </c>
      <c r="D760" s="3">
        <f>IFERROR(__xludf.DUMMYFUNCTION("""COMPUTED_VALUE"""),69.0)</f>
        <v>69</v>
      </c>
      <c r="E760" s="2"/>
      <c r="F760" s="2"/>
    </row>
    <row r="761">
      <c r="A761" s="2">
        <f>IFERROR(__xludf.DUMMYFUNCTION("""COMPUTED_VALUE"""),19972.0)</f>
        <v>19972</v>
      </c>
      <c r="B761" s="2">
        <f>IFERROR(__xludf.DUMMYFUNCTION("""COMPUTED_VALUE"""),1.0)</f>
        <v>1</v>
      </c>
      <c r="C761" s="2">
        <f>IFERROR(__xludf.DUMMYFUNCTION("""COMPUTED_VALUE"""),630.0)</f>
        <v>630</v>
      </c>
      <c r="D761" s="3">
        <f>IFERROR(__xludf.DUMMYFUNCTION("""COMPUTED_VALUE"""),602.0)</f>
        <v>602</v>
      </c>
      <c r="E761" s="2"/>
      <c r="F761" s="2"/>
    </row>
    <row r="762">
      <c r="A762" s="2">
        <f>IFERROR(__xludf.DUMMYFUNCTION("""COMPUTED_VALUE"""),99233.0)</f>
        <v>99233</v>
      </c>
      <c r="B762" s="2">
        <f>IFERROR(__xludf.DUMMYFUNCTION("""COMPUTED_VALUE"""),1.0)</f>
        <v>1</v>
      </c>
      <c r="C762" s="2">
        <f>IFERROR(__xludf.DUMMYFUNCTION("""COMPUTED_VALUE"""),492.0)</f>
        <v>492</v>
      </c>
      <c r="D762" s="3">
        <f>IFERROR(__xludf.DUMMYFUNCTION("""COMPUTED_VALUE"""),68.0)</f>
        <v>68</v>
      </c>
      <c r="E762" s="2"/>
      <c r="F762" s="2"/>
    </row>
    <row r="763">
      <c r="A763" s="2">
        <f>IFERROR(__xludf.DUMMYFUNCTION("""COMPUTED_VALUE"""),118260.0)</f>
        <v>118260</v>
      </c>
      <c r="B763" s="2">
        <f>IFERROR(__xludf.DUMMYFUNCTION("""COMPUTED_VALUE"""),1.0)</f>
        <v>1</v>
      </c>
      <c r="C763" s="2">
        <f>IFERROR(__xludf.DUMMYFUNCTION("""COMPUTED_VALUE"""),920.0)</f>
        <v>920</v>
      </c>
      <c r="D763" s="3">
        <f>IFERROR(__xludf.DUMMYFUNCTION("""COMPUTED_VALUE"""),213.0)</f>
        <v>213</v>
      </c>
      <c r="E763" s="2"/>
      <c r="F763" s="2"/>
    </row>
    <row r="764">
      <c r="A764" s="2">
        <f>IFERROR(__xludf.DUMMYFUNCTION("""COMPUTED_VALUE"""),128398.0)</f>
        <v>128398</v>
      </c>
      <c r="B764" s="2">
        <f>IFERROR(__xludf.DUMMYFUNCTION("""COMPUTED_VALUE"""),0.0)</f>
        <v>0</v>
      </c>
      <c r="C764" s="2">
        <f>IFERROR(__xludf.DUMMYFUNCTION("""COMPUTED_VALUE"""),536.0)</f>
        <v>536</v>
      </c>
      <c r="D764" s="3">
        <f>IFERROR(__xludf.DUMMYFUNCTION("""COMPUTED_VALUE"""),448.0)</f>
        <v>448</v>
      </c>
      <c r="E764" s="2"/>
      <c r="F764" s="2"/>
    </row>
    <row r="765">
      <c r="A765" s="2">
        <f>IFERROR(__xludf.DUMMYFUNCTION("""COMPUTED_VALUE"""),8001.0)</f>
        <v>8001</v>
      </c>
      <c r="B765" s="2">
        <f>IFERROR(__xludf.DUMMYFUNCTION("""COMPUTED_VALUE"""),1.0)</f>
        <v>1</v>
      </c>
      <c r="C765" s="2">
        <f>IFERROR(__xludf.DUMMYFUNCTION("""COMPUTED_VALUE"""),333.0)</f>
        <v>333</v>
      </c>
      <c r="D765" s="3">
        <f>IFERROR(__xludf.DUMMYFUNCTION("""COMPUTED_VALUE"""),196.0)</f>
        <v>196</v>
      </c>
      <c r="E765" s="2"/>
      <c r="F765" s="2"/>
    </row>
    <row r="766">
      <c r="A766" s="2">
        <f>IFERROR(__xludf.DUMMYFUNCTION("""COMPUTED_VALUE"""),106782.0)</f>
        <v>106782</v>
      </c>
      <c r="B766" s="2">
        <f>IFERROR(__xludf.DUMMYFUNCTION("""COMPUTED_VALUE"""),0.0)</f>
        <v>0</v>
      </c>
      <c r="C766" s="2">
        <f>IFERROR(__xludf.DUMMYFUNCTION("""COMPUTED_VALUE"""),764.0)</f>
        <v>764</v>
      </c>
      <c r="D766" s="3">
        <f>IFERROR(__xludf.DUMMYFUNCTION("""COMPUTED_VALUE"""),37.0)</f>
        <v>37</v>
      </c>
      <c r="E766" s="2"/>
      <c r="F766" s="2"/>
    </row>
    <row r="767">
      <c r="A767" s="2">
        <f>IFERROR(__xludf.DUMMYFUNCTION("""COMPUTED_VALUE"""),110793.0)</f>
        <v>110793</v>
      </c>
      <c r="B767" s="2">
        <f>IFERROR(__xludf.DUMMYFUNCTION("""COMPUTED_VALUE"""),0.0)</f>
        <v>0</v>
      </c>
      <c r="C767" s="2">
        <f>IFERROR(__xludf.DUMMYFUNCTION("""COMPUTED_VALUE"""),402.0)</f>
        <v>402</v>
      </c>
      <c r="D767" s="3">
        <f>IFERROR(__xludf.DUMMYFUNCTION("""COMPUTED_VALUE"""),145.0)</f>
        <v>145</v>
      </c>
      <c r="E767" s="2"/>
      <c r="F767" s="2"/>
    </row>
    <row r="768">
      <c r="A768" s="2">
        <f>IFERROR(__xludf.DUMMYFUNCTION("""COMPUTED_VALUE"""),86808.0)</f>
        <v>86808</v>
      </c>
      <c r="B768" s="2">
        <f>IFERROR(__xludf.DUMMYFUNCTION("""COMPUTED_VALUE"""),0.0)</f>
        <v>0</v>
      </c>
      <c r="C768" s="2">
        <f>IFERROR(__xludf.DUMMYFUNCTION("""COMPUTED_VALUE"""),0.0)</f>
        <v>0</v>
      </c>
      <c r="D768" s="3">
        <f>IFERROR(__xludf.DUMMYFUNCTION("""COMPUTED_VALUE"""),0.0)</f>
        <v>0</v>
      </c>
      <c r="E768" s="2"/>
      <c r="F768" s="2"/>
    </row>
    <row r="769">
      <c r="A769" s="2">
        <f>IFERROR(__xludf.DUMMYFUNCTION("""COMPUTED_VALUE"""),50367.0)</f>
        <v>50367</v>
      </c>
      <c r="B769" s="2">
        <f>IFERROR(__xludf.DUMMYFUNCTION("""COMPUTED_VALUE"""),0.0)</f>
        <v>0</v>
      </c>
      <c r="C769" s="2">
        <f>IFERROR(__xludf.DUMMYFUNCTION("""COMPUTED_VALUE"""),549.0)</f>
        <v>549</v>
      </c>
      <c r="D769" s="3">
        <f>IFERROR(__xludf.DUMMYFUNCTION("""COMPUTED_VALUE"""),67.0)</f>
        <v>67</v>
      </c>
      <c r="E769" s="2"/>
      <c r="F769" s="2"/>
    </row>
    <row r="770">
      <c r="A770" s="2">
        <f>IFERROR(__xludf.DUMMYFUNCTION("""COMPUTED_VALUE"""),102750.0)</f>
        <v>102750</v>
      </c>
      <c r="B770" s="2">
        <f>IFERROR(__xludf.DUMMYFUNCTION("""COMPUTED_VALUE"""),0.0)</f>
        <v>0</v>
      </c>
      <c r="C770" s="2">
        <f>IFERROR(__xludf.DUMMYFUNCTION("""COMPUTED_VALUE"""),65.0)</f>
        <v>65</v>
      </c>
      <c r="D770" s="3">
        <f>IFERROR(__xludf.DUMMYFUNCTION("""COMPUTED_VALUE"""),37.0)</f>
        <v>37</v>
      </c>
      <c r="E770" s="2"/>
      <c r="F770" s="2"/>
    </row>
    <row r="771">
      <c r="A771" s="2">
        <f>IFERROR(__xludf.DUMMYFUNCTION("""COMPUTED_VALUE"""),102758.0)</f>
        <v>102758</v>
      </c>
      <c r="B771" s="2">
        <f>IFERROR(__xludf.DUMMYFUNCTION("""COMPUTED_VALUE"""),0.0)</f>
        <v>0</v>
      </c>
      <c r="C771" s="2">
        <f>IFERROR(__xludf.DUMMYFUNCTION("""COMPUTED_VALUE"""),282.0)</f>
        <v>282</v>
      </c>
      <c r="D771" s="3">
        <f>IFERROR(__xludf.DUMMYFUNCTION("""COMPUTED_VALUE"""),278.0)</f>
        <v>278</v>
      </c>
      <c r="E771" s="2"/>
      <c r="F771" s="2"/>
    </row>
    <row r="772">
      <c r="A772" s="2">
        <f>IFERROR(__xludf.DUMMYFUNCTION("""COMPUTED_VALUE"""),86787.0)</f>
        <v>86787</v>
      </c>
      <c r="B772" s="2">
        <f>IFERROR(__xludf.DUMMYFUNCTION("""COMPUTED_VALUE"""),1.0)</f>
        <v>1</v>
      </c>
      <c r="C772" s="2">
        <f>IFERROR(__xludf.DUMMYFUNCTION("""COMPUTED_VALUE"""),807.0)</f>
        <v>807</v>
      </c>
      <c r="D772" s="3">
        <f>IFERROR(__xludf.DUMMYFUNCTION("""COMPUTED_VALUE"""),186.0)</f>
        <v>186</v>
      </c>
      <c r="E772" s="2"/>
      <c r="F772" s="2"/>
    </row>
    <row r="773">
      <c r="A773" s="2">
        <f>IFERROR(__xludf.DUMMYFUNCTION("""COMPUTED_VALUE"""),102740.0)</f>
        <v>102740</v>
      </c>
      <c r="B773" s="2">
        <f>IFERROR(__xludf.DUMMYFUNCTION("""COMPUTED_VALUE"""),1.0)</f>
        <v>1</v>
      </c>
      <c r="C773" s="2">
        <f>IFERROR(__xludf.DUMMYFUNCTION("""COMPUTED_VALUE"""),139.0)</f>
        <v>139</v>
      </c>
      <c r="D773" s="3">
        <f>IFERROR(__xludf.DUMMYFUNCTION("""COMPUTED_VALUE"""),131.0)</f>
        <v>131</v>
      </c>
      <c r="E773" s="2"/>
      <c r="F773" s="2"/>
    </row>
    <row r="774">
      <c r="A774" s="2">
        <f>IFERROR(__xludf.DUMMYFUNCTION("""COMPUTED_VALUE"""),102734.0)</f>
        <v>102734</v>
      </c>
      <c r="B774" s="2">
        <f>IFERROR(__xludf.DUMMYFUNCTION("""COMPUTED_VALUE"""),0.0)</f>
        <v>0</v>
      </c>
      <c r="C774" s="2">
        <f>IFERROR(__xludf.DUMMYFUNCTION("""COMPUTED_VALUE"""),167.0)</f>
        <v>167</v>
      </c>
      <c r="D774" s="3">
        <f>IFERROR(__xludf.DUMMYFUNCTION("""COMPUTED_VALUE"""),85.0)</f>
        <v>85</v>
      </c>
      <c r="E774" s="2"/>
      <c r="F774" s="2"/>
    </row>
    <row r="775">
      <c r="A775" s="2">
        <f>IFERROR(__xludf.DUMMYFUNCTION("""COMPUTED_VALUE"""),102751.0)</f>
        <v>102751</v>
      </c>
      <c r="B775" s="2">
        <f>IFERROR(__xludf.DUMMYFUNCTION("""COMPUTED_VALUE"""),1.0)</f>
        <v>1</v>
      </c>
      <c r="C775" s="2">
        <f>IFERROR(__xludf.DUMMYFUNCTION("""COMPUTED_VALUE"""),432.0)</f>
        <v>432</v>
      </c>
      <c r="D775" s="3">
        <f>IFERROR(__xludf.DUMMYFUNCTION("""COMPUTED_VALUE"""),243.0)</f>
        <v>243</v>
      </c>
      <c r="E775" s="2"/>
      <c r="F775" s="2"/>
    </row>
    <row r="776">
      <c r="A776" s="2">
        <f>IFERROR(__xludf.DUMMYFUNCTION("""COMPUTED_VALUE"""),102752.0)</f>
        <v>102752</v>
      </c>
      <c r="B776" s="2">
        <f>IFERROR(__xludf.DUMMYFUNCTION("""COMPUTED_VALUE"""),1.0)</f>
        <v>1</v>
      </c>
      <c r="C776" s="2">
        <f>IFERROR(__xludf.DUMMYFUNCTION("""COMPUTED_VALUE"""),952.0)</f>
        <v>952</v>
      </c>
      <c r="D776" s="3">
        <f>IFERROR(__xludf.DUMMYFUNCTION("""COMPUTED_VALUE"""),462.0)</f>
        <v>462</v>
      </c>
      <c r="E776" s="2"/>
      <c r="F776" s="2"/>
    </row>
    <row r="777">
      <c r="A777" s="2">
        <f>IFERROR(__xludf.DUMMYFUNCTION("""COMPUTED_VALUE"""),102735.0)</f>
        <v>102735</v>
      </c>
      <c r="B777" s="2">
        <f>IFERROR(__xludf.DUMMYFUNCTION("""COMPUTED_VALUE"""),0.0)</f>
        <v>0</v>
      </c>
      <c r="C777" s="2">
        <f>IFERROR(__xludf.DUMMYFUNCTION("""COMPUTED_VALUE"""),905.0)</f>
        <v>905</v>
      </c>
      <c r="D777" s="3">
        <f>IFERROR(__xludf.DUMMYFUNCTION("""COMPUTED_VALUE"""),574.0)</f>
        <v>574</v>
      </c>
      <c r="E777" s="2"/>
      <c r="F777" s="2"/>
    </row>
    <row r="778">
      <c r="A778" s="2">
        <f>IFERROR(__xludf.DUMMYFUNCTION("""COMPUTED_VALUE"""),86793.0)</f>
        <v>86793</v>
      </c>
      <c r="B778" s="2">
        <f>IFERROR(__xludf.DUMMYFUNCTION("""COMPUTED_VALUE"""),1.0)</f>
        <v>1</v>
      </c>
      <c r="C778" s="2">
        <f>IFERROR(__xludf.DUMMYFUNCTION("""COMPUTED_VALUE"""),617.0)</f>
        <v>617</v>
      </c>
      <c r="D778" s="3">
        <f>IFERROR(__xludf.DUMMYFUNCTION("""COMPUTED_VALUE"""),551.0)</f>
        <v>551</v>
      </c>
      <c r="E778" s="2"/>
      <c r="F778" s="2"/>
    </row>
    <row r="779">
      <c r="A779" s="2">
        <f>IFERROR(__xludf.DUMMYFUNCTION("""COMPUTED_VALUE"""),86792.0)</f>
        <v>86792</v>
      </c>
      <c r="B779" s="2">
        <f>IFERROR(__xludf.DUMMYFUNCTION("""COMPUTED_VALUE"""),1.0)</f>
        <v>1</v>
      </c>
      <c r="C779" s="2">
        <f>IFERROR(__xludf.DUMMYFUNCTION("""COMPUTED_VALUE"""),405.0)</f>
        <v>405</v>
      </c>
      <c r="D779" s="3">
        <f>IFERROR(__xludf.DUMMYFUNCTION("""COMPUTED_VALUE"""),27.0)</f>
        <v>27</v>
      </c>
      <c r="E779" s="2"/>
      <c r="F779" s="2"/>
    </row>
    <row r="780">
      <c r="A780" s="2">
        <f>IFERROR(__xludf.DUMMYFUNCTION("""COMPUTED_VALUE"""),86785.0)</f>
        <v>86785</v>
      </c>
      <c r="B780" s="2">
        <f>IFERROR(__xludf.DUMMYFUNCTION("""COMPUTED_VALUE"""),1.0)</f>
        <v>1</v>
      </c>
      <c r="C780" s="2">
        <f>IFERROR(__xludf.DUMMYFUNCTION("""COMPUTED_VALUE"""),971.0)</f>
        <v>971</v>
      </c>
      <c r="D780" s="3">
        <f>IFERROR(__xludf.DUMMYFUNCTION("""COMPUTED_VALUE"""),312.0)</f>
        <v>312</v>
      </c>
      <c r="E780" s="2"/>
      <c r="F780" s="2"/>
    </row>
    <row r="781">
      <c r="A781" s="2">
        <f>IFERROR(__xludf.DUMMYFUNCTION("""COMPUTED_VALUE"""),102773.0)</f>
        <v>102773</v>
      </c>
      <c r="B781" s="2">
        <f>IFERROR(__xludf.DUMMYFUNCTION("""COMPUTED_VALUE"""),0.0)</f>
        <v>0</v>
      </c>
      <c r="C781" s="2">
        <f>IFERROR(__xludf.DUMMYFUNCTION("""COMPUTED_VALUE"""),719.0)</f>
        <v>719</v>
      </c>
      <c r="D781" s="3">
        <f>IFERROR(__xludf.DUMMYFUNCTION("""COMPUTED_VALUE"""),136.0)</f>
        <v>136</v>
      </c>
      <c r="E781" s="2"/>
      <c r="F781" s="2"/>
    </row>
    <row r="782">
      <c r="A782" s="2">
        <f>IFERROR(__xludf.DUMMYFUNCTION("""COMPUTED_VALUE"""),42807.0)</f>
        <v>42807</v>
      </c>
      <c r="B782" s="2">
        <f>IFERROR(__xludf.DUMMYFUNCTION("""COMPUTED_VALUE"""),1.0)</f>
        <v>1</v>
      </c>
      <c r="C782" s="2">
        <f>IFERROR(__xludf.DUMMYFUNCTION("""COMPUTED_VALUE"""),610.0)</f>
        <v>610</v>
      </c>
      <c r="D782" s="3">
        <f>IFERROR(__xludf.DUMMYFUNCTION("""COMPUTED_VALUE"""),403.0)</f>
        <v>403</v>
      </c>
      <c r="E782" s="2"/>
      <c r="F782" s="2"/>
    </row>
    <row r="783">
      <c r="A783" s="2">
        <f>IFERROR(__xludf.DUMMYFUNCTION("""COMPUTED_VALUE"""),42809.0)</f>
        <v>42809</v>
      </c>
      <c r="B783" s="2">
        <f>IFERROR(__xludf.DUMMYFUNCTION("""COMPUTED_VALUE"""),0.0)</f>
        <v>0</v>
      </c>
      <c r="C783" s="2">
        <f>IFERROR(__xludf.DUMMYFUNCTION("""COMPUTED_VALUE"""),415.0)</f>
        <v>415</v>
      </c>
      <c r="D783" s="3">
        <f>IFERROR(__xludf.DUMMYFUNCTION("""COMPUTED_VALUE"""),69.0)</f>
        <v>69</v>
      </c>
      <c r="E783" s="2"/>
      <c r="F783" s="2"/>
    </row>
    <row r="784">
      <c r="A784" s="2">
        <f>IFERROR(__xludf.DUMMYFUNCTION("""COMPUTED_VALUE"""),86821.0)</f>
        <v>86821</v>
      </c>
      <c r="B784" s="2">
        <f>IFERROR(__xludf.DUMMYFUNCTION("""COMPUTED_VALUE"""),0.0)</f>
        <v>0</v>
      </c>
      <c r="C784" s="2">
        <f>IFERROR(__xludf.DUMMYFUNCTION("""COMPUTED_VALUE"""),995.0)</f>
        <v>995</v>
      </c>
      <c r="D784" s="3">
        <f>IFERROR(__xludf.DUMMYFUNCTION("""COMPUTED_VALUE"""),734.0)</f>
        <v>734</v>
      </c>
      <c r="E784" s="2"/>
      <c r="F784" s="2"/>
    </row>
    <row r="785">
      <c r="A785" s="2">
        <f>IFERROR(__xludf.DUMMYFUNCTION("""COMPUTED_VALUE"""),110719.0)</f>
        <v>110719</v>
      </c>
      <c r="B785" s="2">
        <f>IFERROR(__xludf.DUMMYFUNCTION("""COMPUTED_VALUE"""),1.0)</f>
        <v>1</v>
      </c>
      <c r="C785" s="2">
        <f>IFERROR(__xludf.DUMMYFUNCTION("""COMPUTED_VALUE"""),102.0)</f>
        <v>102</v>
      </c>
      <c r="D785" s="3">
        <f>IFERROR(__xludf.DUMMYFUNCTION("""COMPUTED_VALUE"""),48.0)</f>
        <v>48</v>
      </c>
      <c r="E785" s="2"/>
      <c r="F785" s="2"/>
    </row>
    <row r="786">
      <c r="A786" s="2">
        <f>IFERROR(__xludf.DUMMYFUNCTION("""COMPUTED_VALUE"""),86818.0)</f>
        <v>86818</v>
      </c>
      <c r="B786" s="2">
        <f>IFERROR(__xludf.DUMMYFUNCTION("""COMPUTED_VALUE"""),0.0)</f>
        <v>0</v>
      </c>
      <c r="C786" s="2">
        <f>IFERROR(__xludf.DUMMYFUNCTION("""COMPUTED_VALUE"""),519.0)</f>
        <v>519</v>
      </c>
      <c r="D786" s="3">
        <f>IFERROR(__xludf.DUMMYFUNCTION("""COMPUTED_VALUE"""),440.0)</f>
        <v>440</v>
      </c>
      <c r="E786" s="2"/>
      <c r="F786" s="2"/>
    </row>
    <row r="787">
      <c r="A787" s="2">
        <f>IFERROR(__xludf.DUMMYFUNCTION("""COMPUTED_VALUE"""),71318.0)</f>
        <v>71318</v>
      </c>
      <c r="B787" s="2">
        <f>IFERROR(__xludf.DUMMYFUNCTION("""COMPUTED_VALUE"""),0.0)</f>
        <v>0</v>
      </c>
      <c r="C787" s="2">
        <f>IFERROR(__xludf.DUMMYFUNCTION("""COMPUTED_VALUE"""),475.0)</f>
        <v>475</v>
      </c>
      <c r="D787" s="3">
        <f>IFERROR(__xludf.DUMMYFUNCTION("""COMPUTED_VALUE"""),50.0)</f>
        <v>50</v>
      </c>
      <c r="E787" s="2"/>
      <c r="F787" s="2"/>
    </row>
    <row r="788">
      <c r="A788" s="2">
        <f>IFERROR(__xludf.DUMMYFUNCTION("""COMPUTED_VALUE"""),122303.0)</f>
        <v>122303</v>
      </c>
      <c r="B788" s="2">
        <f>IFERROR(__xludf.DUMMYFUNCTION("""COMPUTED_VALUE"""),1.0)</f>
        <v>1</v>
      </c>
      <c r="C788" s="2">
        <f>IFERROR(__xludf.DUMMYFUNCTION("""COMPUTED_VALUE"""),872.0)</f>
        <v>872</v>
      </c>
      <c r="D788" s="3">
        <f>IFERROR(__xludf.DUMMYFUNCTION("""COMPUTED_VALUE"""),371.0)</f>
        <v>371</v>
      </c>
      <c r="E788" s="2"/>
      <c r="F788" s="2"/>
    </row>
    <row r="789">
      <c r="A789" s="2">
        <f>IFERROR(__xludf.DUMMYFUNCTION("""COMPUTED_VALUE"""),110716.0)</f>
        <v>110716</v>
      </c>
      <c r="B789" s="2">
        <f>IFERROR(__xludf.DUMMYFUNCTION("""COMPUTED_VALUE"""),0.0)</f>
        <v>0</v>
      </c>
      <c r="C789" s="2">
        <f>IFERROR(__xludf.DUMMYFUNCTION("""COMPUTED_VALUE"""),878.0)</f>
        <v>878</v>
      </c>
      <c r="D789" s="3">
        <f>IFERROR(__xludf.DUMMYFUNCTION("""COMPUTED_VALUE"""),558.0)</f>
        <v>558</v>
      </c>
      <c r="E789" s="2"/>
      <c r="F789" s="2"/>
    </row>
    <row r="790">
      <c r="A790" s="2">
        <f>IFERROR(__xludf.DUMMYFUNCTION("""COMPUTED_VALUE"""),9480.0)</f>
        <v>9480</v>
      </c>
      <c r="B790" s="2">
        <f>IFERROR(__xludf.DUMMYFUNCTION("""COMPUTED_VALUE"""),1.0)</f>
        <v>1</v>
      </c>
      <c r="C790" s="2">
        <f>IFERROR(__xludf.DUMMYFUNCTION("""COMPUTED_VALUE"""),716.0)</f>
        <v>716</v>
      </c>
      <c r="D790" s="3">
        <f>IFERROR(__xludf.DUMMYFUNCTION("""COMPUTED_VALUE"""),559.0)</f>
        <v>559</v>
      </c>
      <c r="E790" s="2"/>
      <c r="F790" s="2"/>
    </row>
    <row r="791">
      <c r="A791" s="2">
        <f>IFERROR(__xludf.DUMMYFUNCTION("""COMPUTED_VALUE"""),113920.0)</f>
        <v>113920</v>
      </c>
      <c r="B791" s="2">
        <f>IFERROR(__xludf.DUMMYFUNCTION("""COMPUTED_VALUE"""),0.0)</f>
        <v>0</v>
      </c>
      <c r="C791" s="2">
        <f>IFERROR(__xludf.DUMMYFUNCTION("""COMPUTED_VALUE"""),877.0)</f>
        <v>877</v>
      </c>
      <c r="D791" s="3">
        <f>IFERROR(__xludf.DUMMYFUNCTION("""COMPUTED_VALUE"""),516.0)</f>
        <v>516</v>
      </c>
      <c r="E791" s="2"/>
      <c r="F791" s="2"/>
    </row>
    <row r="792">
      <c r="A792" s="2">
        <f>IFERROR(__xludf.DUMMYFUNCTION("""COMPUTED_VALUE"""),166088.0)</f>
        <v>166088</v>
      </c>
      <c r="B792" s="2">
        <f>IFERROR(__xludf.DUMMYFUNCTION("""COMPUTED_VALUE"""),1.0)</f>
        <v>1</v>
      </c>
      <c r="C792" s="2">
        <f>IFERROR(__xludf.DUMMYFUNCTION("""COMPUTED_VALUE"""),403.0)</f>
        <v>403</v>
      </c>
      <c r="D792" s="3">
        <f>IFERROR(__xludf.DUMMYFUNCTION("""COMPUTED_VALUE"""),386.0)</f>
        <v>386</v>
      </c>
      <c r="E792" s="2"/>
      <c r="F792" s="2"/>
    </row>
    <row r="793">
      <c r="A793" s="2">
        <f>IFERROR(__xludf.DUMMYFUNCTION("""COMPUTED_VALUE"""),122712.0)</f>
        <v>122712</v>
      </c>
      <c r="B793" s="2">
        <f>IFERROR(__xludf.DUMMYFUNCTION("""COMPUTED_VALUE"""),1.0)</f>
        <v>1</v>
      </c>
      <c r="C793" s="2">
        <f>IFERROR(__xludf.DUMMYFUNCTION("""COMPUTED_VALUE"""),911.0)</f>
        <v>911</v>
      </c>
      <c r="D793" s="3">
        <f>IFERROR(__xludf.DUMMYFUNCTION("""COMPUTED_VALUE"""),624.0)</f>
        <v>624</v>
      </c>
      <c r="E793" s="2"/>
      <c r="F793" s="2"/>
    </row>
    <row r="794">
      <c r="A794" s="2">
        <f>IFERROR(__xludf.DUMMYFUNCTION("""COMPUTED_VALUE"""),86523.0)</f>
        <v>86523</v>
      </c>
      <c r="B794" s="2">
        <f>IFERROR(__xludf.DUMMYFUNCTION("""COMPUTED_VALUE"""),0.0)</f>
        <v>0</v>
      </c>
      <c r="C794" s="2">
        <f>IFERROR(__xludf.DUMMYFUNCTION("""COMPUTED_VALUE"""),978.0)</f>
        <v>978</v>
      </c>
      <c r="D794" s="3">
        <f>IFERROR(__xludf.DUMMYFUNCTION("""COMPUTED_VALUE"""),187.0)</f>
        <v>187</v>
      </c>
      <c r="E794" s="2"/>
      <c r="F794" s="2"/>
    </row>
    <row r="795">
      <c r="A795" s="2">
        <f>IFERROR(__xludf.DUMMYFUNCTION("""COMPUTED_VALUE"""),106773.0)</f>
        <v>106773</v>
      </c>
      <c r="B795" s="2">
        <f>IFERROR(__xludf.DUMMYFUNCTION("""COMPUTED_VALUE"""),1.0)</f>
        <v>1</v>
      </c>
      <c r="C795" s="2">
        <f>IFERROR(__xludf.DUMMYFUNCTION("""COMPUTED_VALUE"""),608.0)</f>
        <v>608</v>
      </c>
      <c r="D795" s="3">
        <f>IFERROR(__xludf.DUMMYFUNCTION("""COMPUTED_VALUE"""),497.0)</f>
        <v>497</v>
      </c>
      <c r="E795" s="2"/>
      <c r="F795" s="2"/>
    </row>
    <row r="796">
      <c r="A796" s="2">
        <f>IFERROR(__xludf.DUMMYFUNCTION("""COMPUTED_VALUE"""),128356.0)</f>
        <v>128356</v>
      </c>
      <c r="B796" s="2">
        <f>IFERROR(__xludf.DUMMYFUNCTION("""COMPUTED_VALUE"""),0.0)</f>
        <v>0</v>
      </c>
      <c r="C796" s="2">
        <f>IFERROR(__xludf.DUMMYFUNCTION("""COMPUTED_VALUE"""),712.0)</f>
        <v>712</v>
      </c>
      <c r="D796" s="3">
        <f>IFERROR(__xludf.DUMMYFUNCTION("""COMPUTED_VALUE"""),68.0)</f>
        <v>68</v>
      </c>
      <c r="E796" s="2"/>
      <c r="F796" s="2"/>
    </row>
    <row r="797">
      <c r="A797" s="2">
        <f>IFERROR(__xludf.DUMMYFUNCTION("""COMPUTED_VALUE"""),28897.0)</f>
        <v>28897</v>
      </c>
      <c r="B797" s="2">
        <f>IFERROR(__xludf.DUMMYFUNCTION("""COMPUTED_VALUE"""),1.0)</f>
        <v>1</v>
      </c>
      <c r="C797" s="2">
        <f>IFERROR(__xludf.DUMMYFUNCTION("""COMPUTED_VALUE"""),846.0)</f>
        <v>846</v>
      </c>
      <c r="D797" s="3">
        <f>IFERROR(__xludf.DUMMYFUNCTION("""COMPUTED_VALUE"""),318.0)</f>
        <v>318</v>
      </c>
      <c r="E797" s="2"/>
      <c r="F797" s="2"/>
    </row>
    <row r="798">
      <c r="A798" s="2">
        <f>IFERROR(__xludf.DUMMYFUNCTION("""COMPUTED_VALUE"""),181502.0)</f>
        <v>181502</v>
      </c>
      <c r="B798" s="2">
        <f>IFERROR(__xludf.DUMMYFUNCTION("""COMPUTED_VALUE"""),1.0)</f>
        <v>1</v>
      </c>
      <c r="C798" s="2">
        <f>IFERROR(__xludf.DUMMYFUNCTION("""COMPUTED_VALUE"""),247.0)</f>
        <v>247</v>
      </c>
      <c r="D798" s="3">
        <f>IFERROR(__xludf.DUMMYFUNCTION("""COMPUTED_VALUE"""),52.0)</f>
        <v>52</v>
      </c>
      <c r="E798" s="2"/>
      <c r="F798" s="2"/>
    </row>
    <row r="799">
      <c r="A799" s="2">
        <f>IFERROR(__xludf.DUMMYFUNCTION("""COMPUTED_VALUE"""),13368.0)</f>
        <v>13368</v>
      </c>
      <c r="B799" s="2">
        <f>IFERROR(__xludf.DUMMYFUNCTION("""COMPUTED_VALUE"""),1.0)</f>
        <v>1</v>
      </c>
      <c r="C799" s="2">
        <f>IFERROR(__xludf.DUMMYFUNCTION("""COMPUTED_VALUE"""),338.0)</f>
        <v>338</v>
      </c>
      <c r="D799" s="3">
        <f>IFERROR(__xludf.DUMMYFUNCTION("""COMPUTED_VALUE"""),199.0)</f>
        <v>199</v>
      </c>
      <c r="E799" s="2"/>
      <c r="F799" s="2"/>
    </row>
    <row r="800">
      <c r="A800" s="2">
        <f>IFERROR(__xludf.DUMMYFUNCTION("""COMPUTED_VALUE"""),105178.0)</f>
        <v>105178</v>
      </c>
      <c r="B800" s="2">
        <f>IFERROR(__xludf.DUMMYFUNCTION("""COMPUTED_VALUE"""),0.0)</f>
        <v>0</v>
      </c>
      <c r="C800" s="2">
        <f>IFERROR(__xludf.DUMMYFUNCTION("""COMPUTED_VALUE"""),194.0)</f>
        <v>194</v>
      </c>
      <c r="D800" s="3">
        <f>IFERROR(__xludf.DUMMYFUNCTION("""COMPUTED_VALUE"""),79.0)</f>
        <v>79</v>
      </c>
      <c r="E800" s="2"/>
      <c r="F800" s="2"/>
    </row>
    <row r="801">
      <c r="A801" s="2">
        <f>IFERROR(__xludf.DUMMYFUNCTION("""COMPUTED_VALUE"""),158445.0)</f>
        <v>158445</v>
      </c>
      <c r="B801" s="2">
        <f>IFERROR(__xludf.DUMMYFUNCTION("""COMPUTED_VALUE"""),0.0)</f>
        <v>0</v>
      </c>
      <c r="C801" s="2">
        <f>IFERROR(__xludf.DUMMYFUNCTION("""COMPUTED_VALUE"""),476.0)</f>
        <v>476</v>
      </c>
      <c r="D801" s="3">
        <f>IFERROR(__xludf.DUMMYFUNCTION("""COMPUTED_VALUE"""),352.0)</f>
        <v>352</v>
      </c>
      <c r="E801" s="2"/>
      <c r="F801" s="2"/>
    </row>
    <row r="802">
      <c r="A802" s="2">
        <f>IFERROR(__xludf.DUMMYFUNCTION("""COMPUTED_VALUE"""),105861.0)</f>
        <v>105861</v>
      </c>
      <c r="B802" s="2">
        <f>IFERROR(__xludf.DUMMYFUNCTION("""COMPUTED_VALUE"""),0.0)</f>
        <v>0</v>
      </c>
      <c r="C802" s="2">
        <f>IFERROR(__xludf.DUMMYFUNCTION("""COMPUTED_VALUE"""),896.0)</f>
        <v>896</v>
      </c>
      <c r="D802" s="3">
        <f>IFERROR(__xludf.DUMMYFUNCTION("""COMPUTED_VALUE"""),158.0)</f>
        <v>158</v>
      </c>
      <c r="E802" s="2"/>
      <c r="F802" s="2"/>
    </row>
    <row r="803">
      <c r="A803" s="2">
        <f>IFERROR(__xludf.DUMMYFUNCTION("""COMPUTED_VALUE"""),28668.0)</f>
        <v>28668</v>
      </c>
      <c r="B803" s="2">
        <f>IFERROR(__xludf.DUMMYFUNCTION("""COMPUTED_VALUE"""),1.0)</f>
        <v>1</v>
      </c>
      <c r="C803" s="2">
        <f>IFERROR(__xludf.DUMMYFUNCTION("""COMPUTED_VALUE"""),71.0)</f>
        <v>71</v>
      </c>
      <c r="D803" s="3">
        <f>IFERROR(__xludf.DUMMYFUNCTION("""COMPUTED_VALUE"""),29.0)</f>
        <v>29</v>
      </c>
      <c r="E803" s="2"/>
      <c r="F803" s="2"/>
    </row>
    <row r="804">
      <c r="A804" s="2">
        <f>IFERROR(__xludf.DUMMYFUNCTION("""COMPUTED_VALUE"""),28661.0)</f>
        <v>28661</v>
      </c>
      <c r="B804" s="2">
        <f>IFERROR(__xludf.DUMMYFUNCTION("""COMPUTED_VALUE"""),1.0)</f>
        <v>1</v>
      </c>
      <c r="C804" s="2">
        <f>IFERROR(__xludf.DUMMYFUNCTION("""COMPUTED_VALUE"""),378.0)</f>
        <v>378</v>
      </c>
      <c r="D804" s="3">
        <f>IFERROR(__xludf.DUMMYFUNCTION("""COMPUTED_VALUE"""),45.0)</f>
        <v>45</v>
      </c>
      <c r="E804" s="2"/>
      <c r="F804" s="2"/>
    </row>
    <row r="805">
      <c r="A805" s="2">
        <f>IFERROR(__xludf.DUMMYFUNCTION("""COMPUTED_VALUE"""),13349.0)</f>
        <v>13349</v>
      </c>
      <c r="B805" s="2">
        <f>IFERROR(__xludf.DUMMYFUNCTION("""COMPUTED_VALUE"""),1.0)</f>
        <v>1</v>
      </c>
      <c r="C805" s="2">
        <f>IFERROR(__xludf.DUMMYFUNCTION("""COMPUTED_VALUE"""),467.0)</f>
        <v>467</v>
      </c>
      <c r="D805" s="3">
        <f>IFERROR(__xludf.DUMMYFUNCTION("""COMPUTED_VALUE"""),284.0)</f>
        <v>284</v>
      </c>
      <c r="E805" s="2"/>
      <c r="F805" s="2"/>
    </row>
    <row r="806">
      <c r="A806" s="2">
        <f>IFERROR(__xludf.DUMMYFUNCTION("""COMPUTED_VALUE"""),1634.0)</f>
        <v>1634</v>
      </c>
      <c r="B806" s="2">
        <f>IFERROR(__xludf.DUMMYFUNCTION("""COMPUTED_VALUE"""),0.0)</f>
        <v>0</v>
      </c>
      <c r="C806" s="2">
        <f>IFERROR(__xludf.DUMMYFUNCTION("""COMPUTED_VALUE"""),602.0)</f>
        <v>602</v>
      </c>
      <c r="D806" s="3">
        <f>IFERROR(__xludf.DUMMYFUNCTION("""COMPUTED_VALUE"""),95.0)</f>
        <v>95</v>
      </c>
      <c r="E806" s="2"/>
      <c r="F806" s="2"/>
    </row>
    <row r="807">
      <c r="A807" s="2">
        <f>IFERROR(__xludf.DUMMYFUNCTION("""COMPUTED_VALUE"""),86524.0)</f>
        <v>86524</v>
      </c>
      <c r="B807" s="2">
        <f>IFERROR(__xludf.DUMMYFUNCTION("""COMPUTED_VALUE"""),0.0)</f>
        <v>0</v>
      </c>
      <c r="C807" s="2">
        <f>IFERROR(__xludf.DUMMYFUNCTION("""COMPUTED_VALUE"""),890.0)</f>
        <v>890</v>
      </c>
      <c r="D807" s="3">
        <f>IFERROR(__xludf.DUMMYFUNCTION("""COMPUTED_VALUE"""),654.0)</f>
        <v>654</v>
      </c>
      <c r="E807" s="2"/>
      <c r="F807" s="2"/>
    </row>
    <row r="808">
      <c r="A808" s="2">
        <f>IFERROR(__xludf.DUMMYFUNCTION("""COMPUTED_VALUE"""),86531.0)</f>
        <v>86531</v>
      </c>
      <c r="B808" s="2">
        <f>IFERROR(__xludf.DUMMYFUNCTION("""COMPUTED_VALUE"""),1.0)</f>
        <v>1</v>
      </c>
      <c r="C808" s="2">
        <f>IFERROR(__xludf.DUMMYFUNCTION("""COMPUTED_VALUE"""),639.0)</f>
        <v>639</v>
      </c>
      <c r="D808" s="3">
        <f>IFERROR(__xludf.DUMMYFUNCTION("""COMPUTED_VALUE"""),339.0)</f>
        <v>339</v>
      </c>
      <c r="E808" s="2"/>
      <c r="F808" s="2"/>
    </row>
    <row r="809">
      <c r="A809" s="2">
        <f>IFERROR(__xludf.DUMMYFUNCTION("""COMPUTED_VALUE"""),95210.0)</f>
        <v>95210</v>
      </c>
      <c r="B809" s="2">
        <f>IFERROR(__xludf.DUMMYFUNCTION("""COMPUTED_VALUE"""),1.0)</f>
        <v>1</v>
      </c>
      <c r="C809" s="2">
        <f>IFERROR(__xludf.DUMMYFUNCTION("""COMPUTED_VALUE"""),982.0)</f>
        <v>982</v>
      </c>
      <c r="D809" s="3">
        <f>IFERROR(__xludf.DUMMYFUNCTION("""COMPUTED_VALUE"""),55.0)</f>
        <v>55</v>
      </c>
      <c r="E809" s="2"/>
      <c r="F809" s="2"/>
    </row>
    <row r="810">
      <c r="A810" s="2">
        <f>IFERROR(__xludf.DUMMYFUNCTION("""COMPUTED_VALUE"""),158450.0)</f>
        <v>158450</v>
      </c>
      <c r="B810" s="2">
        <f>IFERROR(__xludf.DUMMYFUNCTION("""COMPUTED_VALUE"""),1.0)</f>
        <v>1</v>
      </c>
      <c r="C810" s="2">
        <f>IFERROR(__xludf.DUMMYFUNCTION("""COMPUTED_VALUE"""),143.0)</f>
        <v>143</v>
      </c>
      <c r="D810" s="3">
        <f>IFERROR(__xludf.DUMMYFUNCTION("""COMPUTED_VALUE"""),124.0)</f>
        <v>124</v>
      </c>
      <c r="E810" s="2"/>
      <c r="F810" s="2"/>
    </row>
    <row r="811">
      <c r="A811" s="2">
        <f>IFERROR(__xludf.DUMMYFUNCTION("""COMPUTED_VALUE"""),103080.0)</f>
        <v>103080</v>
      </c>
      <c r="B811" s="2">
        <f>IFERROR(__xludf.DUMMYFUNCTION("""COMPUTED_VALUE"""),0.0)</f>
        <v>0</v>
      </c>
      <c r="C811" s="2">
        <f>IFERROR(__xludf.DUMMYFUNCTION("""COMPUTED_VALUE"""),637.0)</f>
        <v>637</v>
      </c>
      <c r="D811" s="3">
        <f>IFERROR(__xludf.DUMMYFUNCTION("""COMPUTED_VALUE"""),592.0)</f>
        <v>592</v>
      </c>
      <c r="E811" s="2"/>
      <c r="F811" s="2"/>
    </row>
    <row r="812">
      <c r="A812" s="2">
        <f>IFERROR(__xludf.DUMMYFUNCTION("""COMPUTED_VALUE"""),121067.0)</f>
        <v>121067</v>
      </c>
      <c r="B812" s="2">
        <f>IFERROR(__xludf.DUMMYFUNCTION("""COMPUTED_VALUE"""),0.0)</f>
        <v>0</v>
      </c>
      <c r="C812" s="2">
        <f>IFERROR(__xludf.DUMMYFUNCTION("""COMPUTED_VALUE"""),395.0)</f>
        <v>395</v>
      </c>
      <c r="D812" s="3">
        <f>IFERROR(__xludf.DUMMYFUNCTION("""COMPUTED_VALUE"""),294.0)</f>
        <v>294</v>
      </c>
      <c r="E812" s="2"/>
      <c r="F812" s="2"/>
    </row>
    <row r="813">
      <c r="A813" s="2">
        <f>IFERROR(__xludf.DUMMYFUNCTION("""COMPUTED_VALUE"""),41513.0)</f>
        <v>41513</v>
      </c>
      <c r="B813" s="2">
        <f>IFERROR(__xludf.DUMMYFUNCTION("""COMPUTED_VALUE"""),1.0)</f>
        <v>1</v>
      </c>
      <c r="C813" s="2">
        <f>IFERROR(__xludf.DUMMYFUNCTION("""COMPUTED_VALUE"""),821.0)</f>
        <v>821</v>
      </c>
      <c r="D813" s="3">
        <f>IFERROR(__xludf.DUMMYFUNCTION("""COMPUTED_VALUE"""),50.0)</f>
        <v>50</v>
      </c>
      <c r="E813" s="2"/>
      <c r="F813" s="2"/>
    </row>
    <row r="814">
      <c r="A814" s="2">
        <f>IFERROR(__xludf.DUMMYFUNCTION("""COMPUTED_VALUE"""),166089.0)</f>
        <v>166089</v>
      </c>
      <c r="B814" s="2">
        <f>IFERROR(__xludf.DUMMYFUNCTION("""COMPUTED_VALUE"""),1.0)</f>
        <v>1</v>
      </c>
      <c r="C814" s="2">
        <f>IFERROR(__xludf.DUMMYFUNCTION("""COMPUTED_VALUE"""),138.0)</f>
        <v>138</v>
      </c>
      <c r="D814" s="3">
        <f>IFERROR(__xludf.DUMMYFUNCTION("""COMPUTED_VALUE"""),49.0)</f>
        <v>49</v>
      </c>
      <c r="E814" s="2"/>
      <c r="F814" s="2"/>
    </row>
    <row r="815">
      <c r="A815" s="2">
        <f>IFERROR(__xludf.DUMMYFUNCTION("""COMPUTED_VALUE"""),26446.0)</f>
        <v>26446</v>
      </c>
      <c r="B815" s="2">
        <f>IFERROR(__xludf.DUMMYFUNCTION("""COMPUTED_VALUE"""),1.0)</f>
        <v>1</v>
      </c>
      <c r="C815" s="2">
        <f>IFERROR(__xludf.DUMMYFUNCTION("""COMPUTED_VALUE"""),785.0)</f>
        <v>785</v>
      </c>
      <c r="D815" s="3">
        <f>IFERROR(__xludf.DUMMYFUNCTION("""COMPUTED_VALUE"""),442.0)</f>
        <v>442</v>
      </c>
      <c r="E815" s="2"/>
      <c r="F815" s="2"/>
    </row>
    <row r="816">
      <c r="A816" s="2">
        <f>IFERROR(__xludf.DUMMYFUNCTION("""COMPUTED_VALUE"""),13350.0)</f>
        <v>13350</v>
      </c>
      <c r="B816" s="2">
        <f>IFERROR(__xludf.DUMMYFUNCTION("""COMPUTED_VALUE"""),1.0)</f>
        <v>1</v>
      </c>
      <c r="C816" s="2">
        <f>IFERROR(__xludf.DUMMYFUNCTION("""COMPUTED_VALUE"""),793.0)</f>
        <v>793</v>
      </c>
      <c r="D816" s="3">
        <f>IFERROR(__xludf.DUMMYFUNCTION("""COMPUTED_VALUE"""),603.0)</f>
        <v>603</v>
      </c>
      <c r="E816" s="2"/>
      <c r="F816" s="2"/>
    </row>
    <row r="817">
      <c r="A817" s="2">
        <f>IFERROR(__xludf.DUMMYFUNCTION("""COMPUTED_VALUE"""),111728.0)</f>
        <v>111728</v>
      </c>
      <c r="B817" s="2">
        <f>IFERROR(__xludf.DUMMYFUNCTION("""COMPUTED_VALUE"""),1.0)</f>
        <v>1</v>
      </c>
      <c r="C817" s="2">
        <f>IFERROR(__xludf.DUMMYFUNCTION("""COMPUTED_VALUE"""),897.0)</f>
        <v>897</v>
      </c>
      <c r="D817" s="3">
        <f>IFERROR(__xludf.DUMMYFUNCTION("""COMPUTED_VALUE"""),413.0)</f>
        <v>413</v>
      </c>
      <c r="E817" s="2"/>
      <c r="F817" s="2"/>
    </row>
    <row r="818">
      <c r="A818" s="2">
        <f>IFERROR(__xludf.DUMMYFUNCTION("""COMPUTED_VALUE"""),28883.0)</f>
        <v>28883</v>
      </c>
      <c r="B818" s="2">
        <f>IFERROR(__xludf.DUMMYFUNCTION("""COMPUTED_VALUE"""),0.0)</f>
        <v>0</v>
      </c>
      <c r="C818" s="2">
        <f>IFERROR(__xludf.DUMMYFUNCTION("""COMPUTED_VALUE"""),51.0)</f>
        <v>51</v>
      </c>
      <c r="D818" s="3">
        <f>IFERROR(__xludf.DUMMYFUNCTION("""COMPUTED_VALUE"""),33.0)</f>
        <v>33</v>
      </c>
      <c r="E818" s="2"/>
      <c r="F818" s="2"/>
    </row>
    <row r="819">
      <c r="A819" s="2">
        <f>IFERROR(__xludf.DUMMYFUNCTION("""COMPUTED_VALUE"""),121068.0)</f>
        <v>121068</v>
      </c>
      <c r="B819" s="2">
        <f>IFERROR(__xludf.DUMMYFUNCTION("""COMPUTED_VALUE"""),1.0)</f>
        <v>1</v>
      </c>
      <c r="C819" s="2">
        <f>IFERROR(__xludf.DUMMYFUNCTION("""COMPUTED_VALUE"""),201.0)</f>
        <v>201</v>
      </c>
      <c r="D819" s="3">
        <f>IFERROR(__xludf.DUMMYFUNCTION("""COMPUTED_VALUE"""),196.0)</f>
        <v>196</v>
      </c>
      <c r="E819" s="2"/>
      <c r="F819" s="2"/>
    </row>
    <row r="820">
      <c r="A820" s="2">
        <f>IFERROR(__xludf.DUMMYFUNCTION("""COMPUTED_VALUE"""),181499.0)</f>
        <v>181499</v>
      </c>
      <c r="B820" s="2">
        <f>IFERROR(__xludf.DUMMYFUNCTION("""COMPUTED_VALUE"""),0.0)</f>
        <v>0</v>
      </c>
      <c r="C820" s="2">
        <f>IFERROR(__xludf.DUMMYFUNCTION("""COMPUTED_VALUE"""),91.0)</f>
        <v>91</v>
      </c>
      <c r="D820" s="3">
        <f>IFERROR(__xludf.DUMMYFUNCTION("""COMPUTED_VALUE"""),21.0)</f>
        <v>21</v>
      </c>
      <c r="E820" s="2"/>
      <c r="F820" s="2"/>
    </row>
    <row r="821">
      <c r="A821" s="2">
        <f>IFERROR(__xludf.DUMMYFUNCTION("""COMPUTED_VALUE"""),16097.0)</f>
        <v>16097</v>
      </c>
      <c r="B821" s="2">
        <f>IFERROR(__xludf.DUMMYFUNCTION("""COMPUTED_VALUE"""),0.0)</f>
        <v>0</v>
      </c>
      <c r="C821" s="2">
        <f>IFERROR(__xludf.DUMMYFUNCTION("""COMPUTED_VALUE"""),487.0)</f>
        <v>487</v>
      </c>
      <c r="D821" s="3">
        <f>IFERROR(__xludf.DUMMYFUNCTION("""COMPUTED_VALUE"""),17.0)</f>
        <v>17</v>
      </c>
      <c r="E821" s="2"/>
      <c r="F821" s="2"/>
    </row>
    <row r="822">
      <c r="A822" s="2">
        <f>IFERROR(__xludf.DUMMYFUNCTION("""COMPUTED_VALUE"""),117247.0)</f>
        <v>117247</v>
      </c>
      <c r="B822" s="2">
        <f>IFERROR(__xludf.DUMMYFUNCTION("""COMPUTED_VALUE"""),0.0)</f>
        <v>0</v>
      </c>
      <c r="C822" s="2">
        <f>IFERROR(__xludf.DUMMYFUNCTION("""COMPUTED_VALUE"""),790.0)</f>
        <v>790</v>
      </c>
      <c r="D822" s="3">
        <f>IFERROR(__xludf.DUMMYFUNCTION("""COMPUTED_VALUE"""),485.0)</f>
        <v>485</v>
      </c>
      <c r="E822" s="2"/>
      <c r="F822" s="2"/>
    </row>
    <row r="823">
      <c r="A823" s="2">
        <f>IFERROR(__xludf.DUMMYFUNCTION("""COMPUTED_VALUE"""),1732.0)</f>
        <v>1732</v>
      </c>
      <c r="B823" s="2">
        <f>IFERROR(__xludf.DUMMYFUNCTION("""COMPUTED_VALUE"""),1.0)</f>
        <v>1</v>
      </c>
      <c r="C823" s="2">
        <f>IFERROR(__xludf.DUMMYFUNCTION("""COMPUTED_VALUE"""),852.0)</f>
        <v>852</v>
      </c>
      <c r="D823" s="3">
        <f>IFERROR(__xludf.DUMMYFUNCTION("""COMPUTED_VALUE"""),163.0)</f>
        <v>163</v>
      </c>
      <c r="E823" s="2"/>
      <c r="F823" s="2"/>
    </row>
    <row r="824">
      <c r="A824" s="2">
        <f>IFERROR(__xludf.DUMMYFUNCTION("""COMPUTED_VALUE"""),105174.0)</f>
        <v>105174</v>
      </c>
      <c r="B824" s="2">
        <f>IFERROR(__xludf.DUMMYFUNCTION("""COMPUTED_VALUE"""),1.0)</f>
        <v>1</v>
      </c>
      <c r="C824" s="2">
        <f>IFERROR(__xludf.DUMMYFUNCTION("""COMPUTED_VALUE"""),889.0)</f>
        <v>889</v>
      </c>
      <c r="D824" s="3">
        <f>IFERROR(__xludf.DUMMYFUNCTION("""COMPUTED_VALUE"""),206.0)</f>
        <v>206</v>
      </c>
      <c r="E824" s="2"/>
      <c r="F824" s="2"/>
    </row>
    <row r="825">
      <c r="A825" s="2">
        <f>IFERROR(__xludf.DUMMYFUNCTION("""COMPUTED_VALUE"""),128357.0)</f>
        <v>128357</v>
      </c>
      <c r="B825" s="2">
        <f>IFERROR(__xludf.DUMMYFUNCTION("""COMPUTED_VALUE"""),0.0)</f>
        <v>0</v>
      </c>
      <c r="C825" s="2">
        <f>IFERROR(__xludf.DUMMYFUNCTION("""COMPUTED_VALUE"""),565.0)</f>
        <v>565</v>
      </c>
      <c r="D825" s="3">
        <f>IFERROR(__xludf.DUMMYFUNCTION("""COMPUTED_VALUE"""),398.0)</f>
        <v>398</v>
      </c>
      <c r="E825" s="2"/>
      <c r="F825" s="2"/>
    </row>
    <row r="826">
      <c r="A826" s="2">
        <f>IFERROR(__xludf.DUMMYFUNCTION("""COMPUTED_VALUE"""),166090.0)</f>
        <v>166090</v>
      </c>
      <c r="B826" s="2">
        <f>IFERROR(__xludf.DUMMYFUNCTION("""COMPUTED_VALUE"""),1.0)</f>
        <v>1</v>
      </c>
      <c r="C826" s="2">
        <f>IFERROR(__xludf.DUMMYFUNCTION("""COMPUTED_VALUE"""),811.0)</f>
        <v>811</v>
      </c>
      <c r="D826" s="3">
        <f>IFERROR(__xludf.DUMMYFUNCTION("""COMPUTED_VALUE"""),468.0)</f>
        <v>468</v>
      </c>
      <c r="E826" s="2"/>
      <c r="F826" s="2"/>
    </row>
    <row r="827">
      <c r="A827" s="2">
        <f>IFERROR(__xludf.DUMMYFUNCTION("""COMPUTED_VALUE"""),121070.0)</f>
        <v>121070</v>
      </c>
      <c r="B827" s="2">
        <f>IFERROR(__xludf.DUMMYFUNCTION("""COMPUTED_VALUE"""),1.0)</f>
        <v>1</v>
      </c>
      <c r="C827" s="2">
        <f>IFERROR(__xludf.DUMMYFUNCTION("""COMPUTED_VALUE"""),332.0)</f>
        <v>332</v>
      </c>
      <c r="D827" s="3">
        <f>IFERROR(__xludf.DUMMYFUNCTION("""COMPUTED_VALUE"""),240.0)</f>
        <v>240</v>
      </c>
      <c r="E827" s="2"/>
      <c r="F827" s="2"/>
    </row>
    <row r="828">
      <c r="A828" s="2">
        <f>IFERROR(__xludf.DUMMYFUNCTION("""COMPUTED_VALUE"""),80818.0)</f>
        <v>80818</v>
      </c>
      <c r="B828" s="2">
        <f>IFERROR(__xludf.DUMMYFUNCTION("""COMPUTED_VALUE"""),1.0)</f>
        <v>1</v>
      </c>
      <c r="C828" s="2">
        <f>IFERROR(__xludf.DUMMYFUNCTION("""COMPUTED_VALUE"""),631.0)</f>
        <v>631</v>
      </c>
      <c r="D828" s="3">
        <f>IFERROR(__xludf.DUMMYFUNCTION("""COMPUTED_VALUE"""),206.0)</f>
        <v>206</v>
      </c>
      <c r="E828" s="2"/>
      <c r="F828" s="2"/>
    </row>
    <row r="829">
      <c r="A829" s="2">
        <f>IFERROR(__xludf.DUMMYFUNCTION("""COMPUTED_VALUE"""),13367.0)</f>
        <v>13367</v>
      </c>
      <c r="B829" s="2">
        <f>IFERROR(__xludf.DUMMYFUNCTION("""COMPUTED_VALUE"""),1.0)</f>
        <v>1</v>
      </c>
      <c r="C829" s="2">
        <f>IFERROR(__xludf.DUMMYFUNCTION("""COMPUTED_VALUE"""),992.0)</f>
        <v>992</v>
      </c>
      <c r="D829" s="3">
        <f>IFERROR(__xludf.DUMMYFUNCTION("""COMPUTED_VALUE"""),718.0)</f>
        <v>718</v>
      </c>
      <c r="E829" s="2"/>
      <c r="F829" s="2"/>
    </row>
    <row r="830">
      <c r="A830" s="2">
        <f>IFERROR(__xludf.DUMMYFUNCTION("""COMPUTED_VALUE"""),44329.0)</f>
        <v>44329</v>
      </c>
      <c r="B830" s="2">
        <f>IFERROR(__xludf.DUMMYFUNCTION("""COMPUTED_VALUE"""),0.0)</f>
        <v>0</v>
      </c>
      <c r="C830" s="2">
        <f>IFERROR(__xludf.DUMMYFUNCTION("""COMPUTED_VALUE"""),350.0)</f>
        <v>350</v>
      </c>
      <c r="D830" s="3">
        <f>IFERROR(__xludf.DUMMYFUNCTION("""COMPUTED_VALUE"""),156.0)</f>
        <v>156</v>
      </c>
      <c r="E830" s="2"/>
      <c r="F830" s="2"/>
    </row>
    <row r="831">
      <c r="A831" s="2">
        <f>IFERROR(__xludf.DUMMYFUNCTION("""COMPUTED_VALUE"""),70879.0)</f>
        <v>70879</v>
      </c>
      <c r="B831" s="2">
        <f>IFERROR(__xludf.DUMMYFUNCTION("""COMPUTED_VALUE"""),0.0)</f>
        <v>0</v>
      </c>
      <c r="C831" s="2">
        <f>IFERROR(__xludf.DUMMYFUNCTION("""COMPUTED_VALUE"""),343.0)</f>
        <v>343</v>
      </c>
      <c r="D831" s="3">
        <f>IFERROR(__xludf.DUMMYFUNCTION("""COMPUTED_VALUE"""),152.0)</f>
        <v>152</v>
      </c>
      <c r="E831" s="2"/>
      <c r="F831" s="2"/>
    </row>
    <row r="832">
      <c r="A832" s="2">
        <f>IFERROR(__xludf.DUMMYFUNCTION("""COMPUTED_VALUE"""),99266.0)</f>
        <v>99266</v>
      </c>
      <c r="B832" s="2">
        <f>IFERROR(__xludf.DUMMYFUNCTION("""COMPUTED_VALUE"""),0.0)</f>
        <v>0</v>
      </c>
      <c r="C832" s="2">
        <f>IFERROR(__xludf.DUMMYFUNCTION("""COMPUTED_VALUE"""),964.0)</f>
        <v>964</v>
      </c>
      <c r="D832" s="3">
        <f>IFERROR(__xludf.DUMMYFUNCTION("""COMPUTED_VALUE"""),509.0)</f>
        <v>509</v>
      </c>
      <c r="E832" s="2"/>
      <c r="F832" s="2"/>
    </row>
    <row r="833">
      <c r="A833" s="2">
        <f>IFERROR(__xludf.DUMMYFUNCTION("""COMPUTED_VALUE"""),88216.0)</f>
        <v>88216</v>
      </c>
      <c r="B833" s="2">
        <f>IFERROR(__xludf.DUMMYFUNCTION("""COMPUTED_VALUE"""),1.0)</f>
        <v>1</v>
      </c>
      <c r="C833" s="2">
        <f>IFERROR(__xludf.DUMMYFUNCTION("""COMPUTED_VALUE"""),935.0)</f>
        <v>935</v>
      </c>
      <c r="D833" s="3">
        <f>IFERROR(__xludf.DUMMYFUNCTION("""COMPUTED_VALUE"""),349.0)</f>
        <v>349</v>
      </c>
      <c r="E833" s="2"/>
      <c r="F833" s="2"/>
    </row>
    <row r="834">
      <c r="A834" s="2">
        <f>IFERROR(__xludf.DUMMYFUNCTION("""COMPUTED_VALUE"""),28590.0)</f>
        <v>28590</v>
      </c>
      <c r="B834" s="2">
        <f>IFERROR(__xludf.DUMMYFUNCTION("""COMPUTED_VALUE"""),1.0)</f>
        <v>1</v>
      </c>
      <c r="C834" s="2">
        <f>IFERROR(__xludf.DUMMYFUNCTION("""COMPUTED_VALUE"""),462.0)</f>
        <v>462</v>
      </c>
      <c r="D834" s="3">
        <f>IFERROR(__xludf.DUMMYFUNCTION("""COMPUTED_VALUE"""),233.0)</f>
        <v>233</v>
      </c>
      <c r="E834" s="2"/>
      <c r="F834" s="2"/>
    </row>
    <row r="835">
      <c r="A835" s="2">
        <f>IFERROR(__xludf.DUMMYFUNCTION("""COMPUTED_VALUE"""),88215.0)</f>
        <v>88215</v>
      </c>
      <c r="B835" s="2">
        <f>IFERROR(__xludf.DUMMYFUNCTION("""COMPUTED_VALUE"""),1.0)</f>
        <v>1</v>
      </c>
      <c r="C835" s="2">
        <f>IFERROR(__xludf.DUMMYFUNCTION("""COMPUTED_VALUE"""),380.0)</f>
        <v>380</v>
      </c>
      <c r="D835" s="3">
        <f>IFERROR(__xludf.DUMMYFUNCTION("""COMPUTED_VALUE"""),160.0)</f>
        <v>160</v>
      </c>
      <c r="E835" s="2"/>
      <c r="F835" s="2"/>
    </row>
    <row r="836">
      <c r="A836" s="2">
        <f>IFERROR(__xludf.DUMMYFUNCTION("""COMPUTED_VALUE"""),81771.0)</f>
        <v>81771</v>
      </c>
      <c r="B836" s="2">
        <f>IFERROR(__xludf.DUMMYFUNCTION("""COMPUTED_VALUE"""),1.0)</f>
        <v>1</v>
      </c>
      <c r="C836" s="2">
        <f>IFERROR(__xludf.DUMMYFUNCTION("""COMPUTED_VALUE"""),255.0)</f>
        <v>255</v>
      </c>
      <c r="D836" s="3">
        <f>IFERROR(__xludf.DUMMYFUNCTION("""COMPUTED_VALUE"""),5.0)</f>
        <v>5</v>
      </c>
      <c r="E836" s="2"/>
      <c r="F836" s="2"/>
    </row>
    <row r="837">
      <c r="A837" s="2">
        <f>IFERROR(__xludf.DUMMYFUNCTION("""COMPUTED_VALUE"""),194520.0)</f>
        <v>194520</v>
      </c>
      <c r="B837" s="2">
        <f>IFERROR(__xludf.DUMMYFUNCTION("""COMPUTED_VALUE"""),1.0)</f>
        <v>1</v>
      </c>
      <c r="C837" s="2">
        <f>IFERROR(__xludf.DUMMYFUNCTION("""COMPUTED_VALUE"""),287.0)</f>
        <v>287</v>
      </c>
      <c r="D837" s="3">
        <f>IFERROR(__xludf.DUMMYFUNCTION("""COMPUTED_VALUE"""),237.0)</f>
        <v>237</v>
      </c>
      <c r="E837" s="2"/>
      <c r="F837" s="2"/>
    </row>
    <row r="838">
      <c r="A838" s="2">
        <f>IFERROR(__xludf.DUMMYFUNCTION("""COMPUTED_VALUE"""),5901.0)</f>
        <v>5901</v>
      </c>
      <c r="B838" s="2">
        <f>IFERROR(__xludf.DUMMYFUNCTION("""COMPUTED_VALUE"""),1.0)</f>
        <v>1</v>
      </c>
      <c r="C838" s="2">
        <f>IFERROR(__xludf.DUMMYFUNCTION("""COMPUTED_VALUE"""),748.0)</f>
        <v>748</v>
      </c>
      <c r="D838" s="3">
        <f>IFERROR(__xludf.DUMMYFUNCTION("""COMPUTED_VALUE"""),245.0)</f>
        <v>245</v>
      </c>
      <c r="E838" s="2"/>
      <c r="F838" s="2"/>
    </row>
    <row r="839">
      <c r="A839" s="2">
        <f>IFERROR(__xludf.DUMMYFUNCTION("""COMPUTED_VALUE"""),156054.0)</f>
        <v>156054</v>
      </c>
      <c r="B839" s="2">
        <f>IFERROR(__xludf.DUMMYFUNCTION("""COMPUTED_VALUE"""),0.0)</f>
        <v>0</v>
      </c>
      <c r="C839" s="2">
        <f>IFERROR(__xludf.DUMMYFUNCTION("""COMPUTED_VALUE"""),196.0)</f>
        <v>196</v>
      </c>
      <c r="D839" s="3">
        <f>IFERROR(__xludf.DUMMYFUNCTION("""COMPUTED_VALUE"""),140.0)</f>
        <v>140</v>
      </c>
      <c r="E839" s="2"/>
      <c r="F839" s="2"/>
    </row>
    <row r="840">
      <c r="A840" s="2">
        <f>IFERROR(__xludf.DUMMYFUNCTION("""COMPUTED_VALUE"""),5869.0)</f>
        <v>5869</v>
      </c>
      <c r="B840" s="2">
        <f>IFERROR(__xludf.DUMMYFUNCTION("""COMPUTED_VALUE"""),1.0)</f>
        <v>1</v>
      </c>
      <c r="C840" s="2">
        <f>IFERROR(__xludf.DUMMYFUNCTION("""COMPUTED_VALUE"""),961.0)</f>
        <v>961</v>
      </c>
      <c r="D840" s="3">
        <f>IFERROR(__xludf.DUMMYFUNCTION("""COMPUTED_VALUE"""),651.0)</f>
        <v>651</v>
      </c>
      <c r="E840" s="2"/>
      <c r="F840" s="2"/>
    </row>
    <row r="841">
      <c r="A841" s="2">
        <f>IFERROR(__xludf.DUMMYFUNCTION("""COMPUTED_VALUE"""),7343.0)</f>
        <v>7343</v>
      </c>
      <c r="B841" s="2">
        <f>IFERROR(__xludf.DUMMYFUNCTION("""COMPUTED_VALUE"""),0.0)</f>
        <v>0</v>
      </c>
      <c r="C841" s="2">
        <f>IFERROR(__xludf.DUMMYFUNCTION("""COMPUTED_VALUE"""),96.0)</f>
        <v>96</v>
      </c>
      <c r="D841" s="3">
        <f>IFERROR(__xludf.DUMMYFUNCTION("""COMPUTED_VALUE"""),69.0)</f>
        <v>69</v>
      </c>
      <c r="E841" s="2"/>
      <c r="F841" s="2"/>
    </row>
    <row r="842">
      <c r="A842" s="2">
        <f>IFERROR(__xludf.DUMMYFUNCTION("""COMPUTED_VALUE"""),88218.0)</f>
        <v>88218</v>
      </c>
      <c r="B842" s="2">
        <f>IFERROR(__xludf.DUMMYFUNCTION("""COMPUTED_VALUE"""),0.0)</f>
        <v>0</v>
      </c>
      <c r="C842" s="2">
        <f>IFERROR(__xludf.DUMMYFUNCTION("""COMPUTED_VALUE"""),96.0)</f>
        <v>96</v>
      </c>
      <c r="D842" s="3">
        <f>IFERROR(__xludf.DUMMYFUNCTION("""COMPUTED_VALUE"""),81.0)</f>
        <v>81</v>
      </c>
      <c r="E842" s="2"/>
      <c r="F842" s="2"/>
    </row>
    <row r="843">
      <c r="A843" s="2">
        <f>IFERROR(__xludf.DUMMYFUNCTION("""COMPUTED_VALUE"""),99263.0)</f>
        <v>99263</v>
      </c>
      <c r="B843" s="2">
        <f>IFERROR(__xludf.DUMMYFUNCTION("""COMPUTED_VALUE"""),1.0)</f>
        <v>1</v>
      </c>
      <c r="C843" s="2">
        <f>IFERROR(__xludf.DUMMYFUNCTION("""COMPUTED_VALUE"""),789.0)</f>
        <v>789</v>
      </c>
      <c r="D843" s="3">
        <f>IFERROR(__xludf.DUMMYFUNCTION("""COMPUTED_VALUE"""),641.0)</f>
        <v>641</v>
      </c>
      <c r="E843" s="2"/>
      <c r="F843" s="2"/>
    </row>
    <row r="844">
      <c r="A844" s="2">
        <f>IFERROR(__xludf.DUMMYFUNCTION("""COMPUTED_VALUE"""),7357.0)</f>
        <v>7357</v>
      </c>
      <c r="B844" s="2">
        <f>IFERROR(__xludf.DUMMYFUNCTION("""COMPUTED_VALUE"""),1.0)</f>
        <v>1</v>
      </c>
      <c r="C844" s="2">
        <f>IFERROR(__xludf.DUMMYFUNCTION("""COMPUTED_VALUE"""),208.0)</f>
        <v>208</v>
      </c>
      <c r="D844" s="3">
        <f>IFERROR(__xludf.DUMMYFUNCTION("""COMPUTED_VALUE"""),195.0)</f>
        <v>195</v>
      </c>
      <c r="E844" s="2"/>
      <c r="F844" s="2"/>
    </row>
    <row r="845">
      <c r="A845" s="2">
        <f>IFERROR(__xludf.DUMMYFUNCTION("""COMPUTED_VALUE"""),28591.0)</f>
        <v>28591</v>
      </c>
      <c r="B845" s="2">
        <f>IFERROR(__xludf.DUMMYFUNCTION("""COMPUTED_VALUE"""),1.0)</f>
        <v>1</v>
      </c>
      <c r="C845" s="2">
        <f>IFERROR(__xludf.DUMMYFUNCTION("""COMPUTED_VALUE"""),399.0)</f>
        <v>399</v>
      </c>
      <c r="D845" s="3">
        <f>IFERROR(__xludf.DUMMYFUNCTION("""COMPUTED_VALUE"""),240.0)</f>
        <v>240</v>
      </c>
      <c r="E845" s="2"/>
      <c r="F845" s="2"/>
    </row>
    <row r="846">
      <c r="A846" s="2">
        <f>IFERROR(__xludf.DUMMYFUNCTION("""COMPUTED_VALUE"""),5871.0)</f>
        <v>5871</v>
      </c>
      <c r="B846" s="2">
        <f>IFERROR(__xludf.DUMMYFUNCTION("""COMPUTED_VALUE"""),1.0)</f>
        <v>1</v>
      </c>
      <c r="C846" s="2">
        <f>IFERROR(__xludf.DUMMYFUNCTION("""COMPUTED_VALUE"""),846.0)</f>
        <v>846</v>
      </c>
      <c r="D846" s="3">
        <f>IFERROR(__xludf.DUMMYFUNCTION("""COMPUTED_VALUE"""),214.0)</f>
        <v>214</v>
      </c>
      <c r="E846" s="2"/>
      <c r="F846" s="2"/>
    </row>
    <row r="847">
      <c r="A847" s="2">
        <f>IFERROR(__xludf.DUMMYFUNCTION("""COMPUTED_VALUE"""),81772.0)</f>
        <v>81772</v>
      </c>
      <c r="B847" s="2">
        <f>IFERROR(__xludf.DUMMYFUNCTION("""COMPUTED_VALUE"""),1.0)</f>
        <v>1</v>
      </c>
      <c r="C847" s="2">
        <f>IFERROR(__xludf.DUMMYFUNCTION("""COMPUTED_VALUE"""),889.0)</f>
        <v>889</v>
      </c>
      <c r="D847" s="3">
        <f>IFERROR(__xludf.DUMMYFUNCTION("""COMPUTED_VALUE"""),123.0)</f>
        <v>123</v>
      </c>
      <c r="E847" s="2"/>
      <c r="F847" s="2"/>
    </row>
    <row r="848">
      <c r="A848" s="2">
        <f>IFERROR(__xludf.DUMMYFUNCTION("""COMPUTED_VALUE"""),110587.0)</f>
        <v>110587</v>
      </c>
      <c r="B848" s="2">
        <f>IFERROR(__xludf.DUMMYFUNCTION("""COMPUTED_VALUE"""),0.0)</f>
        <v>0</v>
      </c>
      <c r="C848" s="2">
        <f>IFERROR(__xludf.DUMMYFUNCTION("""COMPUTED_VALUE"""),13.0)</f>
        <v>13</v>
      </c>
      <c r="D848" s="3">
        <f>IFERROR(__xludf.DUMMYFUNCTION("""COMPUTED_VALUE"""),0.0)</f>
        <v>0</v>
      </c>
      <c r="E848" s="2"/>
      <c r="F848" s="2"/>
    </row>
    <row r="849">
      <c r="A849" s="2">
        <f>IFERROR(__xludf.DUMMYFUNCTION("""COMPUTED_VALUE"""),5870.0)</f>
        <v>5870</v>
      </c>
      <c r="B849" s="2">
        <f>IFERROR(__xludf.DUMMYFUNCTION("""COMPUTED_VALUE"""),1.0)</f>
        <v>1</v>
      </c>
      <c r="C849" s="2">
        <f>IFERROR(__xludf.DUMMYFUNCTION("""COMPUTED_VALUE"""),852.0)</f>
        <v>852</v>
      </c>
      <c r="D849" s="3">
        <f>IFERROR(__xludf.DUMMYFUNCTION("""COMPUTED_VALUE"""),294.0)</f>
        <v>294</v>
      </c>
      <c r="E849" s="2"/>
      <c r="F849" s="2"/>
    </row>
    <row r="850">
      <c r="A850" s="2">
        <f>IFERROR(__xludf.DUMMYFUNCTION("""COMPUTED_VALUE"""),158444.0)</f>
        <v>158444</v>
      </c>
      <c r="B850" s="2">
        <f>IFERROR(__xludf.DUMMYFUNCTION("""COMPUTED_VALUE"""),1.0)</f>
        <v>1</v>
      </c>
      <c r="C850" s="2">
        <f>IFERROR(__xludf.DUMMYFUNCTION("""COMPUTED_VALUE"""),846.0)</f>
        <v>846</v>
      </c>
      <c r="D850" s="3">
        <f>IFERROR(__xludf.DUMMYFUNCTION("""COMPUTED_VALUE"""),545.0)</f>
        <v>545</v>
      </c>
      <c r="E850" s="2"/>
      <c r="F850" s="2"/>
    </row>
    <row r="851">
      <c r="A851" s="2">
        <f>IFERROR(__xludf.DUMMYFUNCTION("""COMPUTED_VALUE"""),80785.0)</f>
        <v>80785</v>
      </c>
      <c r="B851" s="2">
        <f>IFERROR(__xludf.DUMMYFUNCTION("""COMPUTED_VALUE"""),0.0)</f>
        <v>0</v>
      </c>
      <c r="C851" s="2">
        <f>IFERROR(__xludf.DUMMYFUNCTION("""COMPUTED_VALUE"""),363.0)</f>
        <v>363</v>
      </c>
      <c r="D851" s="3">
        <f>IFERROR(__xludf.DUMMYFUNCTION("""COMPUTED_VALUE"""),336.0)</f>
        <v>336</v>
      </c>
      <c r="E851" s="2"/>
      <c r="F851" s="2"/>
    </row>
    <row r="852">
      <c r="A852" s="2">
        <f>IFERROR(__xludf.DUMMYFUNCTION("""COMPUTED_VALUE"""),110586.0)</f>
        <v>110586</v>
      </c>
      <c r="B852" s="2">
        <f>IFERROR(__xludf.DUMMYFUNCTION("""COMPUTED_VALUE"""),1.0)</f>
        <v>1</v>
      </c>
      <c r="C852" s="2">
        <f>IFERROR(__xludf.DUMMYFUNCTION("""COMPUTED_VALUE"""),721.0)</f>
        <v>721</v>
      </c>
      <c r="D852" s="3">
        <f>IFERROR(__xludf.DUMMYFUNCTION("""COMPUTED_VALUE"""),95.0)</f>
        <v>95</v>
      </c>
      <c r="E852" s="2"/>
      <c r="F852" s="2"/>
    </row>
    <row r="853">
      <c r="A853" s="2">
        <f>IFERROR(__xludf.DUMMYFUNCTION("""COMPUTED_VALUE"""),99264.0)</f>
        <v>99264</v>
      </c>
      <c r="B853" s="2">
        <f>IFERROR(__xludf.DUMMYFUNCTION("""COMPUTED_VALUE"""),1.0)</f>
        <v>1</v>
      </c>
      <c r="C853" s="2">
        <f>IFERROR(__xludf.DUMMYFUNCTION("""COMPUTED_VALUE"""),697.0)</f>
        <v>697</v>
      </c>
      <c r="D853" s="3">
        <f>IFERROR(__xludf.DUMMYFUNCTION("""COMPUTED_VALUE"""),618.0)</f>
        <v>618</v>
      </c>
      <c r="E853" s="2"/>
      <c r="F853" s="2"/>
    </row>
    <row r="854">
      <c r="A854" s="2">
        <f>IFERROR(__xludf.DUMMYFUNCTION("""COMPUTED_VALUE"""),110977.0)</f>
        <v>110977</v>
      </c>
      <c r="B854" s="2">
        <f>IFERROR(__xludf.DUMMYFUNCTION("""COMPUTED_VALUE"""),0.0)</f>
        <v>0</v>
      </c>
      <c r="C854" s="2">
        <f>IFERROR(__xludf.DUMMYFUNCTION("""COMPUTED_VALUE"""),34.0)</f>
        <v>34</v>
      </c>
      <c r="D854" s="3">
        <f>IFERROR(__xludf.DUMMYFUNCTION("""COMPUTED_VALUE"""),22.0)</f>
        <v>22</v>
      </c>
      <c r="E854" s="2"/>
      <c r="F854" s="2"/>
    </row>
    <row r="855">
      <c r="A855" s="2">
        <f>IFERROR(__xludf.DUMMYFUNCTION("""COMPUTED_VALUE"""),45529.0)</f>
        <v>45529</v>
      </c>
      <c r="B855" s="2">
        <f>IFERROR(__xludf.DUMMYFUNCTION("""COMPUTED_VALUE"""),1.0)</f>
        <v>1</v>
      </c>
      <c r="C855" s="2">
        <f>IFERROR(__xludf.DUMMYFUNCTION("""COMPUTED_VALUE"""),602.0)</f>
        <v>602</v>
      </c>
      <c r="D855" s="3">
        <f>IFERROR(__xludf.DUMMYFUNCTION("""COMPUTED_VALUE"""),469.0)</f>
        <v>469</v>
      </c>
      <c r="E855" s="2"/>
      <c r="F855" s="2"/>
    </row>
    <row r="856">
      <c r="A856" s="2">
        <f>IFERROR(__xludf.DUMMYFUNCTION("""COMPUTED_VALUE"""),84030.0)</f>
        <v>84030</v>
      </c>
      <c r="B856" s="2">
        <f>IFERROR(__xludf.DUMMYFUNCTION("""COMPUTED_VALUE"""),1.0)</f>
        <v>1</v>
      </c>
      <c r="C856" s="2">
        <f>IFERROR(__xludf.DUMMYFUNCTION("""COMPUTED_VALUE"""),974.0)</f>
        <v>974</v>
      </c>
      <c r="D856" s="3">
        <f>IFERROR(__xludf.DUMMYFUNCTION("""COMPUTED_VALUE"""),606.0)</f>
        <v>606</v>
      </c>
      <c r="E856" s="2"/>
      <c r="F856" s="2"/>
    </row>
    <row r="857">
      <c r="A857" s="2">
        <f>IFERROR(__xludf.DUMMYFUNCTION("""COMPUTED_VALUE"""),99262.0)</f>
        <v>99262</v>
      </c>
      <c r="B857" s="2">
        <f>IFERROR(__xludf.DUMMYFUNCTION("""COMPUTED_VALUE"""),1.0)</f>
        <v>1</v>
      </c>
      <c r="C857" s="2">
        <f>IFERROR(__xludf.DUMMYFUNCTION("""COMPUTED_VALUE"""),285.0)</f>
        <v>285</v>
      </c>
      <c r="D857" s="3">
        <f>IFERROR(__xludf.DUMMYFUNCTION("""COMPUTED_VALUE"""),192.0)</f>
        <v>192</v>
      </c>
      <c r="E857" s="2"/>
      <c r="F857" s="2"/>
    </row>
    <row r="858">
      <c r="A858" s="2">
        <f>IFERROR(__xludf.DUMMYFUNCTION("""COMPUTED_VALUE"""),110722.0)</f>
        <v>110722</v>
      </c>
      <c r="B858" s="2">
        <f>IFERROR(__xludf.DUMMYFUNCTION("""COMPUTED_VALUE"""),0.0)</f>
        <v>0</v>
      </c>
      <c r="C858" s="2">
        <f>IFERROR(__xludf.DUMMYFUNCTION("""COMPUTED_VALUE"""),774.0)</f>
        <v>774</v>
      </c>
      <c r="D858" s="3">
        <f>IFERROR(__xludf.DUMMYFUNCTION("""COMPUTED_VALUE"""),330.0)</f>
        <v>330</v>
      </c>
      <c r="E858" s="2"/>
      <c r="F858" s="2"/>
    </row>
    <row r="859">
      <c r="A859" s="2">
        <f>IFERROR(__xludf.DUMMYFUNCTION("""COMPUTED_VALUE"""),80781.0)</f>
        <v>80781</v>
      </c>
      <c r="B859" s="2">
        <f>IFERROR(__xludf.DUMMYFUNCTION("""COMPUTED_VALUE"""),1.0)</f>
        <v>1</v>
      </c>
      <c r="C859" s="2">
        <f>IFERROR(__xludf.DUMMYFUNCTION("""COMPUTED_VALUE"""),787.0)</f>
        <v>787</v>
      </c>
      <c r="D859" s="3">
        <f>IFERROR(__xludf.DUMMYFUNCTION("""COMPUTED_VALUE"""),375.0)</f>
        <v>375</v>
      </c>
      <c r="E859" s="2"/>
      <c r="F859" s="2"/>
    </row>
    <row r="860">
      <c r="A860" s="2">
        <f>IFERROR(__xludf.DUMMYFUNCTION("""COMPUTED_VALUE"""),122700.0)</f>
        <v>122700</v>
      </c>
      <c r="B860" s="2">
        <f>IFERROR(__xludf.DUMMYFUNCTION("""COMPUTED_VALUE"""),0.0)</f>
        <v>0</v>
      </c>
      <c r="C860" s="2">
        <f>IFERROR(__xludf.DUMMYFUNCTION("""COMPUTED_VALUE"""),275.0)</f>
        <v>275</v>
      </c>
      <c r="D860" s="3">
        <f>IFERROR(__xludf.DUMMYFUNCTION("""COMPUTED_VALUE"""),3.0)</f>
        <v>3</v>
      </c>
      <c r="E860" s="2"/>
      <c r="F860" s="2"/>
    </row>
    <row r="861">
      <c r="A861" s="2">
        <f>IFERROR(__xludf.DUMMYFUNCTION("""COMPUTED_VALUE"""),111783.0)</f>
        <v>111783</v>
      </c>
      <c r="B861" s="2">
        <f>IFERROR(__xludf.DUMMYFUNCTION("""COMPUTED_VALUE"""),1.0)</f>
        <v>1</v>
      </c>
      <c r="C861" s="2">
        <f>IFERROR(__xludf.DUMMYFUNCTION("""COMPUTED_VALUE"""),876.0)</f>
        <v>876</v>
      </c>
      <c r="D861" s="3">
        <f>IFERROR(__xludf.DUMMYFUNCTION("""COMPUTED_VALUE"""),616.0)</f>
        <v>616</v>
      </c>
      <c r="E861" s="2"/>
      <c r="F861" s="2"/>
    </row>
    <row r="862">
      <c r="A862" s="2">
        <f>IFERROR(__xludf.DUMMYFUNCTION("""COMPUTED_VALUE"""),110724.0)</f>
        <v>110724</v>
      </c>
      <c r="B862" s="2">
        <f>IFERROR(__xludf.DUMMYFUNCTION("""COMPUTED_VALUE"""),1.0)</f>
        <v>1</v>
      </c>
      <c r="C862" s="2">
        <f>IFERROR(__xludf.DUMMYFUNCTION("""COMPUTED_VALUE"""),246.0)</f>
        <v>246</v>
      </c>
      <c r="D862" s="3">
        <f>IFERROR(__xludf.DUMMYFUNCTION("""COMPUTED_VALUE"""),195.0)</f>
        <v>195</v>
      </c>
      <c r="E862" s="2"/>
      <c r="F862" s="2"/>
    </row>
    <row r="863">
      <c r="A863" s="2">
        <f>IFERROR(__xludf.DUMMYFUNCTION("""COMPUTED_VALUE"""),13348.0)</f>
        <v>13348</v>
      </c>
      <c r="B863" s="2">
        <f>IFERROR(__xludf.DUMMYFUNCTION("""COMPUTED_VALUE"""),1.0)</f>
        <v>1</v>
      </c>
      <c r="C863" s="2">
        <f>IFERROR(__xludf.DUMMYFUNCTION("""COMPUTED_VALUE"""),935.0)</f>
        <v>935</v>
      </c>
      <c r="D863" s="3">
        <f>IFERROR(__xludf.DUMMYFUNCTION("""COMPUTED_VALUE"""),849.0)</f>
        <v>849</v>
      </c>
      <c r="E863" s="2"/>
      <c r="F863" s="2"/>
    </row>
    <row r="864">
      <c r="A864" s="2">
        <f>IFERROR(__xludf.DUMMYFUNCTION("""COMPUTED_VALUE"""),28595.0)</f>
        <v>28595</v>
      </c>
      <c r="B864" s="2">
        <f>IFERROR(__xludf.DUMMYFUNCTION("""COMPUTED_VALUE"""),0.0)</f>
        <v>0</v>
      </c>
      <c r="C864" s="2">
        <f>IFERROR(__xludf.DUMMYFUNCTION("""COMPUTED_VALUE"""),340.0)</f>
        <v>340</v>
      </c>
      <c r="D864" s="3">
        <f>IFERROR(__xludf.DUMMYFUNCTION("""COMPUTED_VALUE"""),201.0)</f>
        <v>201</v>
      </c>
      <c r="E864" s="2"/>
      <c r="F864" s="2"/>
    </row>
    <row r="865">
      <c r="A865" s="2">
        <f>IFERROR(__xludf.DUMMYFUNCTION("""COMPUTED_VALUE"""),81770.0)</f>
        <v>81770</v>
      </c>
      <c r="B865" s="2">
        <f>IFERROR(__xludf.DUMMYFUNCTION("""COMPUTED_VALUE"""),0.0)</f>
        <v>0</v>
      </c>
      <c r="C865" s="2">
        <f>IFERROR(__xludf.DUMMYFUNCTION("""COMPUTED_VALUE"""),346.0)</f>
        <v>346</v>
      </c>
      <c r="D865" s="3">
        <f>IFERROR(__xludf.DUMMYFUNCTION("""COMPUTED_VALUE"""),247.0)</f>
        <v>247</v>
      </c>
      <c r="E865" s="2"/>
      <c r="F865" s="2"/>
    </row>
    <row r="866">
      <c r="A866" s="2">
        <f>IFERROR(__xludf.DUMMYFUNCTION("""COMPUTED_VALUE"""),85059.0)</f>
        <v>85059</v>
      </c>
      <c r="B866" s="2">
        <f>IFERROR(__xludf.DUMMYFUNCTION("""COMPUTED_VALUE"""),1.0)</f>
        <v>1</v>
      </c>
      <c r="C866" s="2">
        <f>IFERROR(__xludf.DUMMYFUNCTION("""COMPUTED_VALUE"""),436.0)</f>
        <v>436</v>
      </c>
      <c r="D866" s="3">
        <f>IFERROR(__xludf.DUMMYFUNCTION("""COMPUTED_VALUE"""),267.0)</f>
        <v>267</v>
      </c>
      <c r="E866" s="2"/>
      <c r="F866" s="2"/>
    </row>
    <row r="867">
      <c r="A867" s="2">
        <f>IFERROR(__xludf.DUMMYFUNCTION("""COMPUTED_VALUE"""),110597.0)</f>
        <v>110597</v>
      </c>
      <c r="B867" s="2">
        <f>IFERROR(__xludf.DUMMYFUNCTION("""COMPUTED_VALUE"""),0.0)</f>
        <v>0</v>
      </c>
      <c r="C867" s="2">
        <f>IFERROR(__xludf.DUMMYFUNCTION("""COMPUTED_VALUE"""),185.0)</f>
        <v>185</v>
      </c>
      <c r="D867" s="3">
        <f>IFERROR(__xludf.DUMMYFUNCTION("""COMPUTED_VALUE"""),104.0)</f>
        <v>104</v>
      </c>
      <c r="E867" s="2"/>
      <c r="F867" s="2"/>
    </row>
    <row r="868">
      <c r="A868" s="2">
        <f>IFERROR(__xludf.DUMMYFUNCTION("""COMPUTED_VALUE"""),7358.0)</f>
        <v>7358</v>
      </c>
      <c r="B868" s="2">
        <f>IFERROR(__xludf.DUMMYFUNCTION("""COMPUTED_VALUE"""),1.0)</f>
        <v>1</v>
      </c>
      <c r="C868" s="2">
        <f>IFERROR(__xludf.DUMMYFUNCTION("""COMPUTED_VALUE"""),837.0)</f>
        <v>837</v>
      </c>
      <c r="D868" s="3">
        <f>IFERROR(__xludf.DUMMYFUNCTION("""COMPUTED_VALUE"""),706.0)</f>
        <v>706</v>
      </c>
      <c r="E868" s="2"/>
      <c r="F868" s="2"/>
    </row>
    <row r="869">
      <c r="A869" s="2">
        <f>IFERROR(__xludf.DUMMYFUNCTION("""COMPUTED_VALUE"""),86583.0)</f>
        <v>86583</v>
      </c>
      <c r="B869" s="2">
        <f>IFERROR(__xludf.DUMMYFUNCTION("""COMPUTED_VALUE"""),1.0)</f>
        <v>1</v>
      </c>
      <c r="C869" s="2">
        <f>IFERROR(__xludf.DUMMYFUNCTION("""COMPUTED_VALUE"""),445.0)</f>
        <v>445</v>
      </c>
      <c r="D869" s="3">
        <f>IFERROR(__xludf.DUMMYFUNCTION("""COMPUTED_VALUE"""),218.0)</f>
        <v>218</v>
      </c>
      <c r="E869" s="2"/>
      <c r="F869" s="2"/>
    </row>
    <row r="870">
      <c r="A870" s="2">
        <f>IFERROR(__xludf.DUMMYFUNCTION("""COMPUTED_VALUE"""),98100.0)</f>
        <v>98100</v>
      </c>
      <c r="B870" s="2">
        <f>IFERROR(__xludf.DUMMYFUNCTION("""COMPUTED_VALUE"""),1.0)</f>
        <v>1</v>
      </c>
      <c r="C870" s="2">
        <f>IFERROR(__xludf.DUMMYFUNCTION("""COMPUTED_VALUE"""),118.0)</f>
        <v>118</v>
      </c>
      <c r="D870" s="3">
        <f>IFERROR(__xludf.DUMMYFUNCTION("""COMPUTED_VALUE"""),43.0)</f>
        <v>43</v>
      </c>
      <c r="E870" s="2"/>
      <c r="F870" s="2"/>
    </row>
    <row r="871">
      <c r="A871" s="2">
        <f>IFERROR(__xludf.DUMMYFUNCTION("""COMPUTED_VALUE"""),118154.0)</f>
        <v>118154</v>
      </c>
      <c r="B871" s="2">
        <f>IFERROR(__xludf.DUMMYFUNCTION("""COMPUTED_VALUE"""),1.0)</f>
        <v>1</v>
      </c>
      <c r="C871" s="2">
        <f>IFERROR(__xludf.DUMMYFUNCTION("""COMPUTED_VALUE"""),60.0)</f>
        <v>60</v>
      </c>
      <c r="D871" s="3">
        <f>IFERROR(__xludf.DUMMYFUNCTION("""COMPUTED_VALUE"""),37.0)</f>
        <v>37</v>
      </c>
      <c r="E871" s="2"/>
      <c r="F871" s="2"/>
    </row>
    <row r="872">
      <c r="A872" s="2">
        <f>IFERROR(__xludf.DUMMYFUNCTION("""COMPUTED_VALUE"""),42840.0)</f>
        <v>42840</v>
      </c>
      <c r="B872" s="2">
        <f>IFERROR(__xludf.DUMMYFUNCTION("""COMPUTED_VALUE"""),0.0)</f>
        <v>0</v>
      </c>
      <c r="C872" s="2">
        <f>IFERROR(__xludf.DUMMYFUNCTION("""COMPUTED_VALUE"""),724.0)</f>
        <v>724</v>
      </c>
      <c r="D872" s="3">
        <f>IFERROR(__xludf.DUMMYFUNCTION("""COMPUTED_VALUE"""),80.0)</f>
        <v>80</v>
      </c>
      <c r="E872" s="2"/>
      <c r="F872" s="2"/>
    </row>
    <row r="873">
      <c r="A873" s="2">
        <f>IFERROR(__xludf.DUMMYFUNCTION("""COMPUTED_VALUE"""),47175.0)</f>
        <v>47175</v>
      </c>
      <c r="B873" s="2">
        <f>IFERROR(__xludf.DUMMYFUNCTION("""COMPUTED_VALUE"""),1.0)</f>
        <v>1</v>
      </c>
      <c r="C873" s="2">
        <f>IFERROR(__xludf.DUMMYFUNCTION("""COMPUTED_VALUE"""),758.0)</f>
        <v>758</v>
      </c>
      <c r="D873" s="3">
        <f>IFERROR(__xludf.DUMMYFUNCTION("""COMPUTED_VALUE"""),428.0)</f>
        <v>428</v>
      </c>
      <c r="E873" s="2"/>
      <c r="F873" s="2"/>
    </row>
    <row r="874">
      <c r="A874" s="2">
        <f>IFERROR(__xludf.DUMMYFUNCTION("""COMPUTED_VALUE"""),112013.0)</f>
        <v>112013</v>
      </c>
      <c r="B874" s="2">
        <f>IFERROR(__xludf.DUMMYFUNCTION("""COMPUTED_VALUE"""),0.0)</f>
        <v>0</v>
      </c>
      <c r="C874" s="2">
        <f>IFERROR(__xludf.DUMMYFUNCTION("""COMPUTED_VALUE"""),811.0)</f>
        <v>811</v>
      </c>
      <c r="D874" s="3">
        <f>IFERROR(__xludf.DUMMYFUNCTION("""COMPUTED_VALUE"""),625.0)</f>
        <v>625</v>
      </c>
      <c r="E874" s="2"/>
      <c r="F874" s="2"/>
    </row>
    <row r="875">
      <c r="A875" s="2">
        <f>IFERROR(__xludf.DUMMYFUNCTION("""COMPUTED_VALUE"""),107953.0)</f>
        <v>107953</v>
      </c>
      <c r="B875" s="2">
        <f>IFERROR(__xludf.DUMMYFUNCTION("""COMPUTED_VALUE"""),1.0)</f>
        <v>1</v>
      </c>
      <c r="C875" s="2">
        <f>IFERROR(__xludf.DUMMYFUNCTION("""COMPUTED_VALUE"""),469.0)</f>
        <v>469</v>
      </c>
      <c r="D875" s="3">
        <f>IFERROR(__xludf.DUMMYFUNCTION("""COMPUTED_VALUE"""),262.0)</f>
        <v>262</v>
      </c>
      <c r="E875" s="2"/>
      <c r="F875" s="2"/>
    </row>
    <row r="876">
      <c r="A876" s="2">
        <f>IFERROR(__xludf.DUMMYFUNCTION("""COMPUTED_VALUE"""),44738.0)</f>
        <v>44738</v>
      </c>
      <c r="B876" s="2">
        <f>IFERROR(__xludf.DUMMYFUNCTION("""COMPUTED_VALUE"""),0.0)</f>
        <v>0</v>
      </c>
      <c r="C876" s="2">
        <f>IFERROR(__xludf.DUMMYFUNCTION("""COMPUTED_VALUE"""),72.0)</f>
        <v>72</v>
      </c>
      <c r="D876" s="3">
        <f>IFERROR(__xludf.DUMMYFUNCTION("""COMPUTED_VALUE"""),70.0)</f>
        <v>70</v>
      </c>
      <c r="E876" s="2"/>
      <c r="F876" s="2"/>
    </row>
    <row r="877">
      <c r="A877" s="2">
        <f>IFERROR(__xludf.DUMMYFUNCTION("""COMPUTED_VALUE"""),103386.0)</f>
        <v>103386</v>
      </c>
      <c r="B877" s="2">
        <f>IFERROR(__xludf.DUMMYFUNCTION("""COMPUTED_VALUE"""),1.0)</f>
        <v>1</v>
      </c>
      <c r="C877" s="2">
        <f>IFERROR(__xludf.DUMMYFUNCTION("""COMPUTED_VALUE"""),676.0)</f>
        <v>676</v>
      </c>
      <c r="D877" s="3">
        <f>IFERROR(__xludf.DUMMYFUNCTION("""COMPUTED_VALUE"""),77.0)</f>
        <v>77</v>
      </c>
      <c r="E877" s="2"/>
      <c r="F877" s="2"/>
    </row>
    <row r="878">
      <c r="A878" s="2">
        <f>IFERROR(__xludf.DUMMYFUNCTION("""COMPUTED_VALUE"""),86815.0)</f>
        <v>86815</v>
      </c>
      <c r="B878" s="2">
        <f>IFERROR(__xludf.DUMMYFUNCTION("""COMPUTED_VALUE"""),1.0)</f>
        <v>1</v>
      </c>
      <c r="C878" s="2">
        <f>IFERROR(__xludf.DUMMYFUNCTION("""COMPUTED_VALUE"""),170.0)</f>
        <v>170</v>
      </c>
      <c r="D878" s="3">
        <f>IFERROR(__xludf.DUMMYFUNCTION("""COMPUTED_VALUE"""),121.0)</f>
        <v>121</v>
      </c>
      <c r="E878" s="2"/>
      <c r="F878" s="2"/>
    </row>
    <row r="879">
      <c r="A879" s="2">
        <f>IFERROR(__xludf.DUMMYFUNCTION("""COMPUTED_VALUE"""),46953.0)</f>
        <v>46953</v>
      </c>
      <c r="B879" s="2">
        <f>IFERROR(__xludf.DUMMYFUNCTION("""COMPUTED_VALUE"""),1.0)</f>
        <v>1</v>
      </c>
      <c r="C879" s="2">
        <f>IFERROR(__xludf.DUMMYFUNCTION("""COMPUTED_VALUE"""),311.0)</f>
        <v>311</v>
      </c>
      <c r="D879" s="3">
        <f>IFERROR(__xludf.DUMMYFUNCTION("""COMPUTED_VALUE"""),78.0)</f>
        <v>78</v>
      </c>
      <c r="E879" s="2"/>
      <c r="F879" s="2"/>
    </row>
    <row r="880">
      <c r="A880" s="2">
        <f>IFERROR(__xludf.DUMMYFUNCTION("""COMPUTED_VALUE"""),108732.0)</f>
        <v>108732</v>
      </c>
      <c r="B880" s="2">
        <f>IFERROR(__xludf.DUMMYFUNCTION("""COMPUTED_VALUE"""),0.0)</f>
        <v>0</v>
      </c>
      <c r="C880" s="2">
        <f>IFERROR(__xludf.DUMMYFUNCTION("""COMPUTED_VALUE"""),254.0)</f>
        <v>254</v>
      </c>
      <c r="D880" s="3">
        <f>IFERROR(__xludf.DUMMYFUNCTION("""COMPUTED_VALUE"""),52.0)</f>
        <v>52</v>
      </c>
      <c r="E880" s="2"/>
      <c r="F880" s="2"/>
    </row>
    <row r="881">
      <c r="A881" s="2">
        <f>IFERROR(__xludf.DUMMYFUNCTION("""COMPUTED_VALUE"""),118227.0)</f>
        <v>118227</v>
      </c>
      <c r="B881" s="2">
        <f>IFERROR(__xludf.DUMMYFUNCTION("""COMPUTED_VALUE"""),1.0)</f>
        <v>1</v>
      </c>
      <c r="C881" s="2">
        <f>IFERROR(__xludf.DUMMYFUNCTION("""COMPUTED_VALUE"""),896.0)</f>
        <v>896</v>
      </c>
      <c r="D881" s="3">
        <f>IFERROR(__xludf.DUMMYFUNCTION("""COMPUTED_VALUE"""),492.0)</f>
        <v>492</v>
      </c>
      <c r="E881" s="2"/>
      <c r="F881" s="2"/>
    </row>
    <row r="882">
      <c r="A882" s="2">
        <f>IFERROR(__xludf.DUMMYFUNCTION("""COMPUTED_VALUE"""),122484.0)</f>
        <v>122484</v>
      </c>
      <c r="B882" s="2">
        <f>IFERROR(__xludf.DUMMYFUNCTION("""COMPUTED_VALUE"""),1.0)</f>
        <v>1</v>
      </c>
      <c r="C882" s="2">
        <f>IFERROR(__xludf.DUMMYFUNCTION("""COMPUTED_VALUE"""),454.0)</f>
        <v>454</v>
      </c>
      <c r="D882" s="3">
        <f>IFERROR(__xludf.DUMMYFUNCTION("""COMPUTED_VALUE"""),437.0)</f>
        <v>437</v>
      </c>
      <c r="E882" s="2"/>
      <c r="F882" s="2"/>
    </row>
    <row r="883">
      <c r="A883" s="2">
        <f>IFERROR(__xludf.DUMMYFUNCTION("""COMPUTED_VALUE"""),71326.0)</f>
        <v>71326</v>
      </c>
      <c r="B883" s="2">
        <f>IFERROR(__xludf.DUMMYFUNCTION("""COMPUTED_VALUE"""),1.0)</f>
        <v>1</v>
      </c>
      <c r="C883" s="2">
        <f>IFERROR(__xludf.DUMMYFUNCTION("""COMPUTED_VALUE"""),934.0)</f>
        <v>934</v>
      </c>
      <c r="D883" s="3">
        <f>IFERROR(__xludf.DUMMYFUNCTION("""COMPUTED_VALUE"""),336.0)</f>
        <v>336</v>
      </c>
      <c r="E883" s="2"/>
      <c r="F883" s="2"/>
    </row>
    <row r="884">
      <c r="A884" s="2">
        <f>IFERROR(__xludf.DUMMYFUNCTION("""COMPUTED_VALUE"""),110794.0)</f>
        <v>110794</v>
      </c>
      <c r="B884" s="2">
        <f>IFERROR(__xludf.DUMMYFUNCTION("""COMPUTED_VALUE"""),1.0)</f>
        <v>1</v>
      </c>
      <c r="C884" s="2">
        <f>IFERROR(__xludf.DUMMYFUNCTION("""COMPUTED_VALUE"""),523.0)</f>
        <v>523</v>
      </c>
      <c r="D884" s="3">
        <f>IFERROR(__xludf.DUMMYFUNCTION("""COMPUTED_VALUE"""),352.0)</f>
        <v>352</v>
      </c>
      <c r="E884" s="2"/>
      <c r="F884" s="2"/>
    </row>
    <row r="885">
      <c r="A885" s="2">
        <f>IFERROR(__xludf.DUMMYFUNCTION("""COMPUTED_VALUE"""),80066.0)</f>
        <v>80066</v>
      </c>
      <c r="B885" s="2">
        <f>IFERROR(__xludf.DUMMYFUNCTION("""COMPUTED_VALUE"""),0.0)</f>
        <v>0</v>
      </c>
      <c r="C885" s="2">
        <f>IFERROR(__xludf.DUMMYFUNCTION("""COMPUTED_VALUE"""),177.0)</f>
        <v>177</v>
      </c>
      <c r="D885" s="3">
        <f>IFERROR(__xludf.DUMMYFUNCTION("""COMPUTED_VALUE"""),26.0)</f>
        <v>26</v>
      </c>
      <c r="E885" s="2"/>
      <c r="F885" s="2"/>
    </row>
    <row r="886">
      <c r="A886" s="2">
        <f>IFERROR(__xludf.DUMMYFUNCTION("""COMPUTED_VALUE"""),106776.0)</f>
        <v>106776</v>
      </c>
      <c r="B886" s="2">
        <f>IFERROR(__xludf.DUMMYFUNCTION("""COMPUTED_VALUE"""),0.0)</f>
        <v>0</v>
      </c>
      <c r="C886" s="2">
        <f>IFERROR(__xludf.DUMMYFUNCTION("""COMPUTED_VALUE"""),605.0)</f>
        <v>605</v>
      </c>
      <c r="D886" s="3">
        <f>IFERROR(__xludf.DUMMYFUNCTION("""COMPUTED_VALUE"""),545.0)</f>
        <v>545</v>
      </c>
      <c r="E886" s="2"/>
      <c r="F886" s="2"/>
    </row>
    <row r="887">
      <c r="A887" s="2">
        <f>IFERROR(__xludf.DUMMYFUNCTION("""COMPUTED_VALUE"""),113608.0)</f>
        <v>113608</v>
      </c>
      <c r="B887" s="2">
        <f>IFERROR(__xludf.DUMMYFUNCTION("""COMPUTED_VALUE"""),0.0)</f>
        <v>0</v>
      </c>
      <c r="C887" s="2">
        <f>IFERROR(__xludf.DUMMYFUNCTION("""COMPUTED_VALUE"""),102.0)</f>
        <v>102</v>
      </c>
      <c r="D887" s="3">
        <f>IFERROR(__xludf.DUMMYFUNCTION("""COMPUTED_VALUE"""),58.0)</f>
        <v>58</v>
      </c>
      <c r="E887" s="2"/>
      <c r="F887" s="2"/>
    </row>
    <row r="888">
      <c r="A888" s="2">
        <f>IFERROR(__xludf.DUMMYFUNCTION("""COMPUTED_VALUE"""),116454.0)</f>
        <v>116454</v>
      </c>
      <c r="B888" s="2">
        <f>IFERROR(__xludf.DUMMYFUNCTION("""COMPUTED_VALUE"""),0.0)</f>
        <v>0</v>
      </c>
      <c r="C888" s="2">
        <f>IFERROR(__xludf.DUMMYFUNCTION("""COMPUTED_VALUE"""),816.0)</f>
        <v>816</v>
      </c>
      <c r="D888" s="3">
        <f>IFERROR(__xludf.DUMMYFUNCTION("""COMPUTED_VALUE"""),656.0)</f>
        <v>656</v>
      </c>
      <c r="E888" s="2"/>
      <c r="F888" s="2"/>
    </row>
    <row r="889">
      <c r="A889" s="2">
        <f>IFERROR(__xludf.DUMMYFUNCTION("""COMPUTED_VALUE"""),108724.0)</f>
        <v>108724</v>
      </c>
      <c r="B889" s="2">
        <f>IFERROR(__xludf.DUMMYFUNCTION("""COMPUTED_VALUE"""),1.0)</f>
        <v>1</v>
      </c>
      <c r="C889" s="2">
        <f>IFERROR(__xludf.DUMMYFUNCTION("""COMPUTED_VALUE"""),54.0)</f>
        <v>54</v>
      </c>
      <c r="D889" s="3">
        <f>IFERROR(__xludf.DUMMYFUNCTION("""COMPUTED_VALUE"""),2.0)</f>
        <v>2</v>
      </c>
      <c r="E889" s="2"/>
      <c r="F889" s="2"/>
    </row>
    <row r="890">
      <c r="A890" s="2">
        <f>IFERROR(__xludf.DUMMYFUNCTION("""COMPUTED_VALUE"""),118253.0)</f>
        <v>118253</v>
      </c>
      <c r="B890" s="2">
        <f>IFERROR(__xludf.DUMMYFUNCTION("""COMPUTED_VALUE"""),0.0)</f>
        <v>0</v>
      </c>
      <c r="C890" s="2">
        <f>IFERROR(__xludf.DUMMYFUNCTION("""COMPUTED_VALUE"""),379.0)</f>
        <v>379</v>
      </c>
      <c r="D890" s="3">
        <f>IFERROR(__xludf.DUMMYFUNCTION("""COMPUTED_VALUE"""),311.0)</f>
        <v>311</v>
      </c>
      <c r="E890" s="2"/>
      <c r="F890" s="2"/>
    </row>
    <row r="891">
      <c r="A891" s="2">
        <f>IFERROR(__xludf.DUMMYFUNCTION("""COMPUTED_VALUE"""),110567.0)</f>
        <v>110567</v>
      </c>
      <c r="B891" s="2">
        <f>IFERROR(__xludf.DUMMYFUNCTION("""COMPUTED_VALUE"""),0.0)</f>
        <v>0</v>
      </c>
      <c r="C891" s="2">
        <f>IFERROR(__xludf.DUMMYFUNCTION("""COMPUTED_VALUE"""),469.0)</f>
        <v>469</v>
      </c>
      <c r="D891" s="3">
        <f>IFERROR(__xludf.DUMMYFUNCTION("""COMPUTED_VALUE"""),152.0)</f>
        <v>152</v>
      </c>
      <c r="E891" s="2"/>
      <c r="F891" s="2"/>
    </row>
    <row r="892">
      <c r="A892" s="2">
        <f>IFERROR(__xludf.DUMMYFUNCTION("""COMPUTED_VALUE"""),122697.0)</f>
        <v>122697</v>
      </c>
      <c r="B892" s="2">
        <f>IFERROR(__xludf.DUMMYFUNCTION("""COMPUTED_VALUE"""),0.0)</f>
        <v>0</v>
      </c>
      <c r="C892" s="2">
        <f>IFERROR(__xludf.DUMMYFUNCTION("""COMPUTED_VALUE"""),409.0)</f>
        <v>409</v>
      </c>
      <c r="D892" s="3">
        <f>IFERROR(__xludf.DUMMYFUNCTION("""COMPUTED_VALUE"""),198.0)</f>
        <v>198</v>
      </c>
      <c r="E892" s="2"/>
      <c r="F892" s="2"/>
    </row>
    <row r="893">
      <c r="A893" s="2">
        <f>IFERROR(__xludf.DUMMYFUNCTION("""COMPUTED_VALUE"""),109190.0)</f>
        <v>109190</v>
      </c>
      <c r="B893" s="2">
        <f>IFERROR(__xludf.DUMMYFUNCTION("""COMPUTED_VALUE"""),1.0)</f>
        <v>1</v>
      </c>
      <c r="C893" s="2">
        <f>IFERROR(__xludf.DUMMYFUNCTION("""COMPUTED_VALUE"""),441.0)</f>
        <v>441</v>
      </c>
      <c r="D893" s="3">
        <f>IFERROR(__xludf.DUMMYFUNCTION("""COMPUTED_VALUE"""),44.0)</f>
        <v>44</v>
      </c>
      <c r="E893" s="2"/>
      <c r="F893" s="2"/>
    </row>
    <row r="894">
      <c r="A894" s="2">
        <f>IFERROR(__xludf.DUMMYFUNCTION("""COMPUTED_VALUE"""),109191.0)</f>
        <v>109191</v>
      </c>
      <c r="B894" s="2">
        <f>IFERROR(__xludf.DUMMYFUNCTION("""COMPUTED_VALUE"""),0.0)</f>
        <v>0</v>
      </c>
      <c r="C894" s="2">
        <f>IFERROR(__xludf.DUMMYFUNCTION("""COMPUTED_VALUE"""),0.0)</f>
        <v>0</v>
      </c>
      <c r="D894" s="3">
        <f>IFERROR(__xludf.DUMMYFUNCTION("""COMPUTED_VALUE"""),0.0)</f>
        <v>0</v>
      </c>
      <c r="E894" s="2"/>
      <c r="F894" s="2"/>
    </row>
    <row r="895">
      <c r="A895" s="2">
        <f>IFERROR(__xludf.DUMMYFUNCTION("""COMPUTED_VALUE"""),44759.0)</f>
        <v>44759</v>
      </c>
      <c r="B895" s="2">
        <f>IFERROR(__xludf.DUMMYFUNCTION("""COMPUTED_VALUE"""),1.0)</f>
        <v>1</v>
      </c>
      <c r="C895" s="2">
        <f>IFERROR(__xludf.DUMMYFUNCTION("""COMPUTED_VALUE"""),402.0)</f>
        <v>402</v>
      </c>
      <c r="D895" s="3">
        <f>IFERROR(__xludf.DUMMYFUNCTION("""COMPUTED_VALUE"""),322.0)</f>
        <v>322</v>
      </c>
      <c r="E895" s="2"/>
      <c r="F895" s="2"/>
    </row>
    <row r="896">
      <c r="A896" s="2">
        <f>IFERROR(__xludf.DUMMYFUNCTION("""COMPUTED_VALUE"""),109192.0)</f>
        <v>109192</v>
      </c>
      <c r="B896" s="2">
        <f>IFERROR(__xludf.DUMMYFUNCTION("""COMPUTED_VALUE"""),0.0)</f>
        <v>0</v>
      </c>
      <c r="C896" s="2">
        <f>IFERROR(__xludf.DUMMYFUNCTION("""COMPUTED_VALUE"""),480.0)</f>
        <v>480</v>
      </c>
      <c r="D896" s="3">
        <f>IFERROR(__xludf.DUMMYFUNCTION("""COMPUTED_VALUE"""),200.0)</f>
        <v>200</v>
      </c>
      <c r="E896" s="2"/>
      <c r="F896" s="2"/>
    </row>
    <row r="897">
      <c r="A897" s="2">
        <f>IFERROR(__xludf.DUMMYFUNCTION("""COMPUTED_VALUE"""),113605.0)</f>
        <v>113605</v>
      </c>
      <c r="B897" s="2">
        <f>IFERROR(__xludf.DUMMYFUNCTION("""COMPUTED_VALUE"""),0.0)</f>
        <v>0</v>
      </c>
      <c r="C897" s="2">
        <f>IFERROR(__xludf.DUMMYFUNCTION("""COMPUTED_VALUE"""),792.0)</f>
        <v>792</v>
      </c>
      <c r="D897" s="3">
        <f>IFERROR(__xludf.DUMMYFUNCTION("""COMPUTED_VALUE"""),110.0)</f>
        <v>110</v>
      </c>
      <c r="E897" s="2"/>
      <c r="F897" s="2"/>
    </row>
    <row r="898">
      <c r="A898" s="2">
        <f>IFERROR(__xludf.DUMMYFUNCTION("""COMPUTED_VALUE"""),147339.0)</f>
        <v>147339</v>
      </c>
      <c r="B898" s="2">
        <f>IFERROR(__xludf.DUMMYFUNCTION("""COMPUTED_VALUE"""),1.0)</f>
        <v>1</v>
      </c>
      <c r="C898" s="2">
        <f>IFERROR(__xludf.DUMMYFUNCTION("""COMPUTED_VALUE"""),861.0)</f>
        <v>861</v>
      </c>
      <c r="D898" s="3">
        <f>IFERROR(__xludf.DUMMYFUNCTION("""COMPUTED_VALUE"""),317.0)</f>
        <v>317</v>
      </c>
      <c r="E898" s="2"/>
      <c r="F898" s="2"/>
    </row>
    <row r="899">
      <c r="A899" s="2">
        <f>IFERROR(__xludf.DUMMYFUNCTION("""COMPUTED_VALUE"""),118068.0)</f>
        <v>118068</v>
      </c>
      <c r="B899" s="2">
        <f>IFERROR(__xludf.DUMMYFUNCTION("""COMPUTED_VALUE"""),0.0)</f>
        <v>0</v>
      </c>
      <c r="C899" s="2">
        <f>IFERROR(__xludf.DUMMYFUNCTION("""COMPUTED_VALUE"""),775.0)</f>
        <v>775</v>
      </c>
      <c r="D899" s="3">
        <f>IFERROR(__xludf.DUMMYFUNCTION("""COMPUTED_VALUE"""),198.0)</f>
        <v>198</v>
      </c>
      <c r="E899" s="2"/>
      <c r="F899" s="2"/>
    </row>
    <row r="900">
      <c r="A900" s="2">
        <f>IFERROR(__xludf.DUMMYFUNCTION("""COMPUTED_VALUE"""),44758.0)</f>
        <v>44758</v>
      </c>
      <c r="B900" s="2">
        <f>IFERROR(__xludf.DUMMYFUNCTION("""COMPUTED_VALUE"""),0.0)</f>
        <v>0</v>
      </c>
      <c r="C900" s="2">
        <f>IFERROR(__xludf.DUMMYFUNCTION("""COMPUTED_VALUE"""),133.0)</f>
        <v>133</v>
      </c>
      <c r="D900" s="3">
        <f>IFERROR(__xludf.DUMMYFUNCTION("""COMPUTED_VALUE"""),83.0)</f>
        <v>83</v>
      </c>
      <c r="E900" s="2"/>
      <c r="F900" s="2"/>
    </row>
    <row r="901">
      <c r="A901" s="2">
        <f>IFERROR(__xludf.DUMMYFUNCTION("""COMPUTED_VALUE"""),110579.0)</f>
        <v>110579</v>
      </c>
      <c r="B901" s="2">
        <f>IFERROR(__xludf.DUMMYFUNCTION("""COMPUTED_VALUE"""),1.0)</f>
        <v>1</v>
      </c>
      <c r="C901" s="2">
        <f>IFERROR(__xludf.DUMMYFUNCTION("""COMPUTED_VALUE"""),336.0)</f>
        <v>336</v>
      </c>
      <c r="D901" s="3">
        <f>IFERROR(__xludf.DUMMYFUNCTION("""COMPUTED_VALUE"""),29.0)</f>
        <v>29</v>
      </c>
      <c r="E901" s="2"/>
      <c r="F901" s="2"/>
    </row>
    <row r="902">
      <c r="A902" s="2">
        <f>IFERROR(__xludf.DUMMYFUNCTION("""COMPUTED_VALUE"""),116437.0)</f>
        <v>116437</v>
      </c>
      <c r="B902" s="2">
        <f>IFERROR(__xludf.DUMMYFUNCTION("""COMPUTED_VALUE"""),0.0)</f>
        <v>0</v>
      </c>
      <c r="C902" s="2">
        <f>IFERROR(__xludf.DUMMYFUNCTION("""COMPUTED_VALUE"""),734.0)</f>
        <v>734</v>
      </c>
      <c r="D902" s="3">
        <f>IFERROR(__xludf.DUMMYFUNCTION("""COMPUTED_VALUE"""),414.0)</f>
        <v>414</v>
      </c>
      <c r="E902" s="2"/>
      <c r="F902" s="2"/>
    </row>
    <row r="903">
      <c r="A903" s="2">
        <f>IFERROR(__xludf.DUMMYFUNCTION("""COMPUTED_VALUE"""),9519.0)</f>
        <v>9519</v>
      </c>
      <c r="B903" s="2">
        <f>IFERROR(__xludf.DUMMYFUNCTION("""COMPUTED_VALUE"""),0.0)</f>
        <v>0</v>
      </c>
      <c r="C903" s="2">
        <f>IFERROR(__xludf.DUMMYFUNCTION("""COMPUTED_VALUE"""),250.0)</f>
        <v>250</v>
      </c>
      <c r="D903" s="3">
        <f>IFERROR(__xludf.DUMMYFUNCTION("""COMPUTED_VALUE"""),171.0)</f>
        <v>171</v>
      </c>
      <c r="E903" s="2"/>
      <c r="F903" s="2"/>
    </row>
    <row r="904">
      <c r="A904" s="2">
        <f>IFERROR(__xludf.DUMMYFUNCTION("""COMPUTED_VALUE"""),147338.0)</f>
        <v>147338</v>
      </c>
      <c r="B904" s="2">
        <f>IFERROR(__xludf.DUMMYFUNCTION("""COMPUTED_VALUE"""),1.0)</f>
        <v>1</v>
      </c>
      <c r="C904" s="2">
        <f>IFERROR(__xludf.DUMMYFUNCTION("""COMPUTED_VALUE"""),435.0)</f>
        <v>435</v>
      </c>
      <c r="D904" s="3">
        <f>IFERROR(__xludf.DUMMYFUNCTION("""COMPUTED_VALUE"""),178.0)</f>
        <v>178</v>
      </c>
      <c r="E904" s="2"/>
      <c r="F904" s="2"/>
    </row>
    <row r="905">
      <c r="A905" s="2">
        <f>IFERROR(__xludf.DUMMYFUNCTION("""COMPUTED_VALUE"""),118250.0)</f>
        <v>118250</v>
      </c>
      <c r="B905" s="2">
        <f>IFERROR(__xludf.DUMMYFUNCTION("""COMPUTED_VALUE"""),0.0)</f>
        <v>0</v>
      </c>
      <c r="C905" s="2">
        <f>IFERROR(__xludf.DUMMYFUNCTION("""COMPUTED_VALUE"""),66.0)</f>
        <v>66</v>
      </c>
      <c r="D905" s="3">
        <f>IFERROR(__xludf.DUMMYFUNCTION("""COMPUTED_VALUE"""),62.0)</f>
        <v>62</v>
      </c>
      <c r="E905" s="2"/>
      <c r="F905" s="2"/>
    </row>
    <row r="906">
      <c r="A906" s="2">
        <f>IFERROR(__xludf.DUMMYFUNCTION("""COMPUTED_VALUE"""),20053.0)</f>
        <v>20053</v>
      </c>
      <c r="B906" s="2">
        <f>IFERROR(__xludf.DUMMYFUNCTION("""COMPUTED_VALUE"""),1.0)</f>
        <v>1</v>
      </c>
      <c r="C906" s="2">
        <f>IFERROR(__xludf.DUMMYFUNCTION("""COMPUTED_VALUE"""),40.0)</f>
        <v>40</v>
      </c>
      <c r="D906" s="3">
        <f>IFERROR(__xludf.DUMMYFUNCTION("""COMPUTED_VALUE"""),9.0)</f>
        <v>9</v>
      </c>
      <c r="E906" s="2"/>
      <c r="F906" s="2"/>
    </row>
    <row r="907">
      <c r="A907" s="2">
        <f>IFERROR(__xludf.DUMMYFUNCTION("""COMPUTED_VALUE"""),71321.0)</f>
        <v>71321</v>
      </c>
      <c r="B907" s="2">
        <f>IFERROR(__xludf.DUMMYFUNCTION("""COMPUTED_VALUE"""),1.0)</f>
        <v>1</v>
      </c>
      <c r="C907" s="2">
        <f>IFERROR(__xludf.DUMMYFUNCTION("""COMPUTED_VALUE"""),942.0)</f>
        <v>942</v>
      </c>
      <c r="D907" s="3">
        <f>IFERROR(__xludf.DUMMYFUNCTION("""COMPUTED_VALUE"""),795.0)</f>
        <v>795</v>
      </c>
      <c r="E907" s="2"/>
      <c r="F907" s="2"/>
    </row>
    <row r="908">
      <c r="A908" s="2">
        <f>IFERROR(__xludf.DUMMYFUNCTION("""COMPUTED_VALUE"""),79503.0)</f>
        <v>79503</v>
      </c>
      <c r="B908" s="2">
        <f>IFERROR(__xludf.DUMMYFUNCTION("""COMPUTED_VALUE"""),0.0)</f>
        <v>0</v>
      </c>
      <c r="C908" s="2">
        <f>IFERROR(__xludf.DUMMYFUNCTION("""COMPUTED_VALUE"""),86.0)</f>
        <v>86</v>
      </c>
      <c r="D908" s="3">
        <f>IFERROR(__xludf.DUMMYFUNCTION("""COMPUTED_VALUE"""),71.0)</f>
        <v>71</v>
      </c>
      <c r="E908" s="2"/>
      <c r="F908" s="2"/>
    </row>
    <row r="909">
      <c r="A909" s="2">
        <f>IFERROR(__xludf.DUMMYFUNCTION("""COMPUTED_VALUE"""),99270.0)</f>
        <v>99270</v>
      </c>
      <c r="B909" s="2">
        <f>IFERROR(__xludf.DUMMYFUNCTION("""COMPUTED_VALUE"""),1.0)</f>
        <v>1</v>
      </c>
      <c r="C909" s="2">
        <f>IFERROR(__xludf.DUMMYFUNCTION("""COMPUTED_VALUE"""),841.0)</f>
        <v>841</v>
      </c>
      <c r="D909" s="3">
        <f>IFERROR(__xludf.DUMMYFUNCTION("""COMPUTED_VALUE"""),218.0)</f>
        <v>218</v>
      </c>
      <c r="E909" s="2"/>
      <c r="F909" s="2"/>
    </row>
    <row r="910">
      <c r="A910" s="2">
        <f>IFERROR(__xludf.DUMMYFUNCTION("""COMPUTED_VALUE"""),112848.0)</f>
        <v>112848</v>
      </c>
      <c r="B910" s="2">
        <f>IFERROR(__xludf.DUMMYFUNCTION("""COMPUTED_VALUE"""),1.0)</f>
        <v>1</v>
      </c>
      <c r="C910" s="2">
        <f>IFERROR(__xludf.DUMMYFUNCTION("""COMPUTED_VALUE"""),696.0)</f>
        <v>696</v>
      </c>
      <c r="D910" s="3">
        <f>IFERROR(__xludf.DUMMYFUNCTION("""COMPUTED_VALUE"""),352.0)</f>
        <v>352</v>
      </c>
      <c r="E910" s="2"/>
      <c r="F910" s="2"/>
    </row>
    <row r="911">
      <c r="A911" s="2">
        <f>IFERROR(__xludf.DUMMYFUNCTION("""COMPUTED_VALUE"""),13369.0)</f>
        <v>13369</v>
      </c>
      <c r="B911" s="2">
        <f>IFERROR(__xludf.DUMMYFUNCTION("""COMPUTED_VALUE"""),0.0)</f>
        <v>0</v>
      </c>
      <c r="C911" s="2">
        <f>IFERROR(__xludf.DUMMYFUNCTION("""COMPUTED_VALUE"""),385.0)</f>
        <v>385</v>
      </c>
      <c r="D911" s="3">
        <f>IFERROR(__xludf.DUMMYFUNCTION("""COMPUTED_VALUE"""),3.0)</f>
        <v>3</v>
      </c>
      <c r="E911" s="2"/>
      <c r="F911" s="2"/>
    </row>
    <row r="912">
      <c r="A912" s="2">
        <f>IFERROR(__xludf.DUMMYFUNCTION("""COMPUTED_VALUE"""),147336.0)</f>
        <v>147336</v>
      </c>
      <c r="B912" s="2">
        <f>IFERROR(__xludf.DUMMYFUNCTION("""COMPUTED_VALUE"""),1.0)</f>
        <v>1</v>
      </c>
      <c r="C912" s="2">
        <f>IFERROR(__xludf.DUMMYFUNCTION("""COMPUTED_VALUE"""),28.0)</f>
        <v>28</v>
      </c>
      <c r="D912" s="3">
        <f>IFERROR(__xludf.DUMMYFUNCTION("""COMPUTED_VALUE"""),0.0)</f>
        <v>0</v>
      </c>
      <c r="E912" s="2"/>
      <c r="F912" s="2"/>
    </row>
    <row r="913">
      <c r="A913" s="2">
        <f>IFERROR(__xludf.DUMMYFUNCTION("""COMPUTED_VALUE"""),114899.0)</f>
        <v>114899</v>
      </c>
      <c r="B913" s="2">
        <f>IFERROR(__xludf.DUMMYFUNCTION("""COMPUTED_VALUE"""),0.0)</f>
        <v>0</v>
      </c>
      <c r="C913" s="2">
        <f>IFERROR(__xludf.DUMMYFUNCTION("""COMPUTED_VALUE"""),983.0)</f>
        <v>983</v>
      </c>
      <c r="D913" s="3">
        <f>IFERROR(__xludf.DUMMYFUNCTION("""COMPUTED_VALUE"""),719.0)</f>
        <v>719</v>
      </c>
      <c r="E913" s="2"/>
      <c r="F913" s="2"/>
    </row>
    <row r="914">
      <c r="A914" s="2">
        <f>IFERROR(__xludf.DUMMYFUNCTION("""COMPUTED_VALUE"""),113607.0)</f>
        <v>113607</v>
      </c>
      <c r="B914" s="2">
        <f>IFERROR(__xludf.DUMMYFUNCTION("""COMPUTED_VALUE"""),1.0)</f>
        <v>1</v>
      </c>
      <c r="C914" s="2">
        <f>IFERROR(__xludf.DUMMYFUNCTION("""COMPUTED_VALUE"""),485.0)</f>
        <v>485</v>
      </c>
      <c r="D914" s="3">
        <f>IFERROR(__xludf.DUMMYFUNCTION("""COMPUTED_VALUE"""),359.0)</f>
        <v>359</v>
      </c>
      <c r="E914" s="2"/>
      <c r="F914" s="2"/>
    </row>
    <row r="915">
      <c r="A915" s="2">
        <f>IFERROR(__xludf.DUMMYFUNCTION("""COMPUTED_VALUE"""),47183.0)</f>
        <v>47183</v>
      </c>
      <c r="B915" s="2">
        <f>IFERROR(__xludf.DUMMYFUNCTION("""COMPUTED_VALUE"""),0.0)</f>
        <v>0</v>
      </c>
      <c r="C915" s="2">
        <f>IFERROR(__xludf.DUMMYFUNCTION("""COMPUTED_VALUE"""),700.0)</f>
        <v>700</v>
      </c>
      <c r="D915" s="3">
        <f>IFERROR(__xludf.DUMMYFUNCTION("""COMPUTED_VALUE"""),215.0)</f>
        <v>215</v>
      </c>
      <c r="E915" s="2"/>
      <c r="F915" s="2"/>
    </row>
    <row r="916">
      <c r="A916" s="2">
        <f>IFERROR(__xludf.DUMMYFUNCTION("""COMPUTED_VALUE"""),78338.0)</f>
        <v>78338</v>
      </c>
      <c r="B916" s="2">
        <f>IFERROR(__xludf.DUMMYFUNCTION("""COMPUTED_VALUE"""),0.0)</f>
        <v>0</v>
      </c>
      <c r="C916" s="2">
        <f>IFERROR(__xludf.DUMMYFUNCTION("""COMPUTED_VALUE"""),469.0)</f>
        <v>469</v>
      </c>
      <c r="D916" s="3">
        <f>IFERROR(__xludf.DUMMYFUNCTION("""COMPUTED_VALUE"""),446.0)</f>
        <v>446</v>
      </c>
      <c r="E916" s="2"/>
      <c r="F916" s="2"/>
    </row>
    <row r="917">
      <c r="A917" s="2">
        <f>IFERROR(__xludf.DUMMYFUNCTION("""COMPUTED_VALUE"""),9526.0)</f>
        <v>9526</v>
      </c>
      <c r="B917" s="2">
        <f>IFERROR(__xludf.DUMMYFUNCTION("""COMPUTED_VALUE"""),0.0)</f>
        <v>0</v>
      </c>
      <c r="C917" s="2">
        <f>IFERROR(__xludf.DUMMYFUNCTION("""COMPUTED_VALUE"""),49.0)</f>
        <v>49</v>
      </c>
      <c r="D917" s="3">
        <f>IFERROR(__xludf.DUMMYFUNCTION("""COMPUTED_VALUE"""),34.0)</f>
        <v>34</v>
      </c>
      <c r="E917" s="2"/>
      <c r="F917" s="2"/>
    </row>
    <row r="918">
      <c r="A918" s="2">
        <f>IFERROR(__xludf.DUMMYFUNCTION("""COMPUTED_VALUE"""),107910.0)</f>
        <v>107910</v>
      </c>
      <c r="B918" s="2">
        <f>IFERROR(__xludf.DUMMYFUNCTION("""COMPUTED_VALUE"""),0.0)</f>
        <v>0</v>
      </c>
      <c r="C918" s="2">
        <f>IFERROR(__xludf.DUMMYFUNCTION("""COMPUTED_VALUE"""),141.0)</f>
        <v>141</v>
      </c>
      <c r="D918" s="3">
        <f>IFERROR(__xludf.DUMMYFUNCTION("""COMPUTED_VALUE"""),16.0)</f>
        <v>16</v>
      </c>
      <c r="E918" s="2"/>
      <c r="F918" s="2"/>
    </row>
    <row r="919">
      <c r="A919" s="2">
        <f>IFERROR(__xludf.DUMMYFUNCTION("""COMPUTED_VALUE"""),20056.0)</f>
        <v>20056</v>
      </c>
      <c r="B919" s="2">
        <f>IFERROR(__xludf.DUMMYFUNCTION("""COMPUTED_VALUE"""),0.0)</f>
        <v>0</v>
      </c>
      <c r="C919" s="2">
        <f>IFERROR(__xludf.DUMMYFUNCTION("""COMPUTED_VALUE"""),186.0)</f>
        <v>186</v>
      </c>
      <c r="D919" s="3">
        <f>IFERROR(__xludf.DUMMYFUNCTION("""COMPUTED_VALUE"""),93.0)</f>
        <v>93</v>
      </c>
      <c r="E919" s="2"/>
      <c r="F919" s="2"/>
    </row>
    <row r="920">
      <c r="A920" s="2">
        <f>IFERROR(__xludf.DUMMYFUNCTION("""COMPUTED_VALUE"""),108951.0)</f>
        <v>108951</v>
      </c>
      <c r="B920" s="2">
        <f>IFERROR(__xludf.DUMMYFUNCTION("""COMPUTED_VALUE"""),0.0)</f>
        <v>0</v>
      </c>
      <c r="C920" s="2">
        <f>IFERROR(__xludf.DUMMYFUNCTION("""COMPUTED_VALUE"""),254.0)</f>
        <v>254</v>
      </c>
      <c r="D920" s="3">
        <f>IFERROR(__xludf.DUMMYFUNCTION("""COMPUTED_VALUE"""),221.0)</f>
        <v>221</v>
      </c>
      <c r="E920" s="2"/>
      <c r="F920" s="2"/>
    </row>
    <row r="921">
      <c r="A921" s="2">
        <f>IFERROR(__xludf.DUMMYFUNCTION("""COMPUTED_VALUE"""),107783.0)</f>
        <v>107783</v>
      </c>
      <c r="B921" s="2">
        <f>IFERROR(__xludf.DUMMYFUNCTION("""COMPUTED_VALUE"""),1.0)</f>
        <v>1</v>
      </c>
      <c r="C921" s="2">
        <f>IFERROR(__xludf.DUMMYFUNCTION("""COMPUTED_VALUE"""),907.0)</f>
        <v>907</v>
      </c>
      <c r="D921" s="3">
        <f>IFERROR(__xludf.DUMMYFUNCTION("""COMPUTED_VALUE"""),346.0)</f>
        <v>346</v>
      </c>
      <c r="E921" s="2"/>
      <c r="F921" s="2"/>
    </row>
    <row r="922">
      <c r="A922" s="2">
        <f>IFERROR(__xludf.DUMMYFUNCTION("""COMPUTED_VALUE"""),80798.0)</f>
        <v>80798</v>
      </c>
      <c r="B922" s="2">
        <f>IFERROR(__xludf.DUMMYFUNCTION("""COMPUTED_VALUE"""),1.0)</f>
        <v>1</v>
      </c>
      <c r="C922" s="2">
        <f>IFERROR(__xludf.DUMMYFUNCTION("""COMPUTED_VALUE"""),849.0)</f>
        <v>849</v>
      </c>
      <c r="D922" s="3">
        <f>IFERROR(__xludf.DUMMYFUNCTION("""COMPUTED_VALUE"""),647.0)</f>
        <v>647</v>
      </c>
      <c r="E922" s="2"/>
      <c r="F922" s="2"/>
    </row>
    <row r="923">
      <c r="A923" s="2">
        <f>IFERROR(__xludf.DUMMYFUNCTION("""COMPUTED_VALUE"""),108950.0)</f>
        <v>108950</v>
      </c>
      <c r="B923" s="2">
        <f>IFERROR(__xludf.DUMMYFUNCTION("""COMPUTED_VALUE"""),0.0)</f>
        <v>0</v>
      </c>
      <c r="C923" s="2">
        <f>IFERROR(__xludf.DUMMYFUNCTION("""COMPUTED_VALUE"""),913.0)</f>
        <v>913</v>
      </c>
      <c r="D923" s="3">
        <f>IFERROR(__xludf.DUMMYFUNCTION("""COMPUTED_VALUE"""),635.0)</f>
        <v>635</v>
      </c>
      <c r="E923" s="2"/>
      <c r="F923" s="2"/>
    </row>
    <row r="924">
      <c r="A924" s="2">
        <f>IFERROR(__xludf.DUMMYFUNCTION("""COMPUTED_VALUE"""),112847.0)</f>
        <v>112847</v>
      </c>
      <c r="B924" s="2">
        <f>IFERROR(__xludf.DUMMYFUNCTION("""COMPUTED_VALUE"""),1.0)</f>
        <v>1</v>
      </c>
      <c r="C924" s="2">
        <f>IFERROR(__xludf.DUMMYFUNCTION("""COMPUTED_VALUE"""),709.0)</f>
        <v>709</v>
      </c>
      <c r="D924" s="3">
        <f>IFERROR(__xludf.DUMMYFUNCTION("""COMPUTED_VALUE"""),174.0)</f>
        <v>174</v>
      </c>
      <c r="E924" s="2"/>
      <c r="F924" s="2"/>
    </row>
    <row r="925">
      <c r="A925" s="2">
        <f>IFERROR(__xludf.DUMMYFUNCTION("""COMPUTED_VALUE"""),109202.0)</f>
        <v>109202</v>
      </c>
      <c r="B925" s="2">
        <f>IFERROR(__xludf.DUMMYFUNCTION("""COMPUTED_VALUE"""),0.0)</f>
        <v>0</v>
      </c>
      <c r="C925" s="2">
        <f>IFERROR(__xludf.DUMMYFUNCTION("""COMPUTED_VALUE"""),883.0)</f>
        <v>883</v>
      </c>
      <c r="D925" s="3">
        <f>IFERROR(__xludf.DUMMYFUNCTION("""COMPUTED_VALUE"""),271.0)</f>
        <v>271</v>
      </c>
      <c r="E925" s="2"/>
      <c r="F925" s="2"/>
    </row>
    <row r="926">
      <c r="A926" s="2">
        <f>IFERROR(__xludf.DUMMYFUNCTION("""COMPUTED_VALUE"""),109198.0)</f>
        <v>109198</v>
      </c>
      <c r="B926" s="2">
        <f>IFERROR(__xludf.DUMMYFUNCTION("""COMPUTED_VALUE"""),0.0)</f>
        <v>0</v>
      </c>
      <c r="C926" s="2">
        <f>IFERROR(__xludf.DUMMYFUNCTION("""COMPUTED_VALUE"""),340.0)</f>
        <v>340</v>
      </c>
      <c r="D926" s="3">
        <f>IFERROR(__xludf.DUMMYFUNCTION("""COMPUTED_VALUE"""),332.0)</f>
        <v>332</v>
      </c>
      <c r="E926" s="2"/>
      <c r="F926" s="2"/>
    </row>
    <row r="927">
      <c r="A927" s="2">
        <f>IFERROR(__xludf.DUMMYFUNCTION("""COMPUTED_VALUE"""),108990.0)</f>
        <v>108990</v>
      </c>
      <c r="B927" s="2">
        <f>IFERROR(__xludf.DUMMYFUNCTION("""COMPUTED_VALUE"""),1.0)</f>
        <v>1</v>
      </c>
      <c r="C927" s="2">
        <f>IFERROR(__xludf.DUMMYFUNCTION("""COMPUTED_VALUE"""),136.0)</f>
        <v>136</v>
      </c>
      <c r="D927" s="3">
        <f>IFERROR(__xludf.DUMMYFUNCTION("""COMPUTED_VALUE"""),86.0)</f>
        <v>86</v>
      </c>
      <c r="E927" s="2"/>
      <c r="F927" s="2"/>
    </row>
    <row r="928">
      <c r="A928" s="2">
        <f>IFERROR(__xludf.DUMMYFUNCTION("""COMPUTED_VALUE"""),72815.0)</f>
        <v>72815</v>
      </c>
      <c r="B928" s="2">
        <f>IFERROR(__xludf.DUMMYFUNCTION("""COMPUTED_VALUE"""),1.0)</f>
        <v>1</v>
      </c>
      <c r="C928" s="2">
        <f>IFERROR(__xludf.DUMMYFUNCTION("""COMPUTED_VALUE"""),241.0)</f>
        <v>241</v>
      </c>
      <c r="D928" s="3">
        <f>IFERROR(__xludf.DUMMYFUNCTION("""COMPUTED_VALUE"""),62.0)</f>
        <v>62</v>
      </c>
      <c r="E928" s="2"/>
      <c r="F928" s="2"/>
    </row>
    <row r="929">
      <c r="A929" s="2">
        <f>IFERROR(__xludf.DUMMYFUNCTION("""COMPUTED_VALUE"""),9479.0)</f>
        <v>9479</v>
      </c>
      <c r="B929" s="2">
        <f>IFERROR(__xludf.DUMMYFUNCTION("""COMPUTED_VALUE"""),1.0)</f>
        <v>1</v>
      </c>
      <c r="C929" s="2">
        <f>IFERROR(__xludf.DUMMYFUNCTION("""COMPUTED_VALUE"""),197.0)</f>
        <v>197</v>
      </c>
      <c r="D929" s="3">
        <f>IFERROR(__xludf.DUMMYFUNCTION("""COMPUTED_VALUE"""),101.0)</f>
        <v>101</v>
      </c>
      <c r="E929" s="2"/>
      <c r="F929" s="2"/>
    </row>
    <row r="930">
      <c r="A930" s="2">
        <f>IFERROR(__xludf.DUMMYFUNCTION("""COMPUTED_VALUE"""),46961.0)</f>
        <v>46961</v>
      </c>
      <c r="B930" s="2">
        <f>IFERROR(__xludf.DUMMYFUNCTION("""COMPUTED_VALUE"""),1.0)</f>
        <v>1</v>
      </c>
      <c r="C930" s="2">
        <f>IFERROR(__xludf.DUMMYFUNCTION("""COMPUTED_VALUE"""),695.0)</f>
        <v>695</v>
      </c>
      <c r="D930" s="3">
        <f>IFERROR(__xludf.DUMMYFUNCTION("""COMPUTED_VALUE"""),237.0)</f>
        <v>237</v>
      </c>
      <c r="E930" s="2"/>
      <c r="F930" s="2"/>
    </row>
    <row r="931">
      <c r="A931" s="2">
        <f>IFERROR(__xludf.DUMMYFUNCTION("""COMPUTED_VALUE"""),122352.0)</f>
        <v>122352</v>
      </c>
      <c r="B931" s="2">
        <f>IFERROR(__xludf.DUMMYFUNCTION("""COMPUTED_VALUE"""),0.0)</f>
        <v>0</v>
      </c>
      <c r="C931" s="2">
        <f>IFERROR(__xludf.DUMMYFUNCTION("""COMPUTED_VALUE"""),274.0)</f>
        <v>274</v>
      </c>
      <c r="D931" s="3">
        <f>IFERROR(__xludf.DUMMYFUNCTION("""COMPUTED_VALUE"""),26.0)</f>
        <v>26</v>
      </c>
      <c r="E931" s="2"/>
      <c r="F931" s="2"/>
    </row>
    <row r="932">
      <c r="A932" s="2">
        <f>IFERROR(__xludf.DUMMYFUNCTION("""COMPUTED_VALUE"""),44750.0)</f>
        <v>44750</v>
      </c>
      <c r="B932" s="2">
        <f>IFERROR(__xludf.DUMMYFUNCTION("""COMPUTED_VALUE"""),1.0)</f>
        <v>1</v>
      </c>
      <c r="C932" s="2">
        <f>IFERROR(__xludf.DUMMYFUNCTION("""COMPUTED_VALUE"""),726.0)</f>
        <v>726</v>
      </c>
      <c r="D932" s="3">
        <f>IFERROR(__xludf.DUMMYFUNCTION("""COMPUTED_VALUE"""),375.0)</f>
        <v>375</v>
      </c>
      <c r="E932" s="2"/>
      <c r="F932" s="2"/>
    </row>
    <row r="933">
      <c r="A933" s="2">
        <f>IFERROR(__xludf.DUMMYFUNCTION("""COMPUTED_VALUE"""),114405.0)</f>
        <v>114405</v>
      </c>
      <c r="B933" s="2">
        <f>IFERROR(__xludf.DUMMYFUNCTION("""COMPUTED_VALUE"""),1.0)</f>
        <v>1</v>
      </c>
      <c r="C933" s="2">
        <f>IFERROR(__xludf.DUMMYFUNCTION("""COMPUTED_VALUE"""),397.0)</f>
        <v>397</v>
      </c>
      <c r="D933" s="3">
        <f>IFERROR(__xludf.DUMMYFUNCTION("""COMPUTED_VALUE"""),204.0)</f>
        <v>204</v>
      </c>
      <c r="E933" s="2"/>
      <c r="F933" s="2"/>
    </row>
    <row r="934">
      <c r="A934" s="2">
        <f>IFERROR(__xludf.DUMMYFUNCTION("""COMPUTED_VALUE"""),2797.0)</f>
        <v>2797</v>
      </c>
      <c r="B934" s="2">
        <f>IFERROR(__xludf.DUMMYFUNCTION("""COMPUTED_VALUE"""),1.0)</f>
        <v>1</v>
      </c>
      <c r="C934" s="2">
        <f>IFERROR(__xludf.DUMMYFUNCTION("""COMPUTED_VALUE"""),920.0)</f>
        <v>920</v>
      </c>
      <c r="D934" s="3">
        <f>IFERROR(__xludf.DUMMYFUNCTION("""COMPUTED_VALUE"""),392.0)</f>
        <v>392</v>
      </c>
      <c r="E934" s="2"/>
      <c r="F934" s="2"/>
    </row>
    <row r="935">
      <c r="A935" s="2">
        <f>IFERROR(__xludf.DUMMYFUNCTION("""COMPUTED_VALUE"""),79499.0)</f>
        <v>79499</v>
      </c>
      <c r="B935" s="2">
        <f>IFERROR(__xludf.DUMMYFUNCTION("""COMPUTED_VALUE"""),1.0)</f>
        <v>1</v>
      </c>
      <c r="C935" s="2">
        <f>IFERROR(__xludf.DUMMYFUNCTION("""COMPUTED_VALUE"""),395.0)</f>
        <v>395</v>
      </c>
      <c r="D935" s="3">
        <f>IFERROR(__xludf.DUMMYFUNCTION("""COMPUTED_VALUE"""),40.0)</f>
        <v>40</v>
      </c>
      <c r="E935" s="2"/>
      <c r="F935" s="2"/>
    </row>
    <row r="936">
      <c r="A936" s="2">
        <f>IFERROR(__xludf.DUMMYFUNCTION("""COMPUTED_VALUE"""),5902.0)</f>
        <v>5902</v>
      </c>
      <c r="B936" s="2">
        <f>IFERROR(__xludf.DUMMYFUNCTION("""COMPUTED_VALUE"""),1.0)</f>
        <v>1</v>
      </c>
      <c r="C936" s="2">
        <f>IFERROR(__xludf.DUMMYFUNCTION("""COMPUTED_VALUE"""),842.0)</f>
        <v>842</v>
      </c>
      <c r="D936" s="3">
        <f>IFERROR(__xludf.DUMMYFUNCTION("""COMPUTED_VALUE"""),145.0)</f>
        <v>145</v>
      </c>
      <c r="E936" s="2"/>
      <c r="F936" s="2"/>
    </row>
    <row r="937">
      <c r="A937" s="2">
        <f>IFERROR(__xludf.DUMMYFUNCTION("""COMPUTED_VALUE"""),46956.0)</f>
        <v>46956</v>
      </c>
      <c r="B937" s="2">
        <f>IFERROR(__xludf.DUMMYFUNCTION("""COMPUTED_VALUE"""),0.0)</f>
        <v>0</v>
      </c>
      <c r="C937" s="2">
        <f>IFERROR(__xludf.DUMMYFUNCTION("""COMPUTED_VALUE"""),214.0)</f>
        <v>214</v>
      </c>
      <c r="D937" s="3">
        <f>IFERROR(__xludf.DUMMYFUNCTION("""COMPUTED_VALUE"""),102.0)</f>
        <v>102</v>
      </c>
      <c r="E937" s="2"/>
      <c r="F937" s="2"/>
    </row>
    <row r="938">
      <c r="A938" s="2">
        <f>IFERROR(__xludf.DUMMYFUNCTION("""COMPUTED_VALUE"""),11490.0)</f>
        <v>11490</v>
      </c>
      <c r="B938" s="2">
        <f>IFERROR(__xludf.DUMMYFUNCTION("""COMPUTED_VALUE"""),1.0)</f>
        <v>1</v>
      </c>
      <c r="C938" s="2">
        <f>IFERROR(__xludf.DUMMYFUNCTION("""COMPUTED_VALUE"""),354.0)</f>
        <v>354</v>
      </c>
      <c r="D938" s="3">
        <f>IFERROR(__xludf.DUMMYFUNCTION("""COMPUTED_VALUE"""),151.0)</f>
        <v>151</v>
      </c>
      <c r="E938" s="2"/>
      <c r="F938" s="2"/>
    </row>
    <row r="939">
      <c r="A939" s="2">
        <f>IFERROR(__xludf.DUMMYFUNCTION("""COMPUTED_VALUE"""),8027.0)</f>
        <v>8027</v>
      </c>
      <c r="B939" s="2">
        <f>IFERROR(__xludf.DUMMYFUNCTION("""COMPUTED_VALUE"""),1.0)</f>
        <v>1</v>
      </c>
      <c r="C939" s="2">
        <f>IFERROR(__xludf.DUMMYFUNCTION("""COMPUTED_VALUE"""),948.0)</f>
        <v>948</v>
      </c>
      <c r="D939" s="3">
        <f>IFERROR(__xludf.DUMMYFUNCTION("""COMPUTED_VALUE"""),39.0)</f>
        <v>39</v>
      </c>
      <c r="E939" s="2"/>
      <c r="F939" s="2"/>
    </row>
    <row r="940">
      <c r="A940" s="2">
        <f>IFERROR(__xludf.DUMMYFUNCTION("""COMPUTED_VALUE"""),121588.0)</f>
        <v>121588</v>
      </c>
      <c r="B940" s="2">
        <f>IFERROR(__xludf.DUMMYFUNCTION("""COMPUTED_VALUE"""),0.0)</f>
        <v>0</v>
      </c>
      <c r="C940" s="2">
        <f>IFERROR(__xludf.DUMMYFUNCTION("""COMPUTED_VALUE"""),627.0)</f>
        <v>627</v>
      </c>
      <c r="D940" s="3">
        <f>IFERROR(__xludf.DUMMYFUNCTION("""COMPUTED_VALUE"""),451.0)</f>
        <v>451</v>
      </c>
      <c r="E940" s="2"/>
      <c r="F940" s="2"/>
    </row>
    <row r="941">
      <c r="A941" s="2">
        <f>IFERROR(__xludf.DUMMYFUNCTION("""COMPUTED_VALUE"""),1279.0)</f>
        <v>1279</v>
      </c>
      <c r="B941" s="2">
        <f>IFERROR(__xludf.DUMMYFUNCTION("""COMPUTED_VALUE"""),0.0)</f>
        <v>0</v>
      </c>
      <c r="C941" s="2">
        <f>IFERROR(__xludf.DUMMYFUNCTION("""COMPUTED_VALUE"""),251.0)</f>
        <v>251</v>
      </c>
      <c r="D941" s="3">
        <f>IFERROR(__xludf.DUMMYFUNCTION("""COMPUTED_VALUE"""),171.0)</f>
        <v>171</v>
      </c>
      <c r="E941" s="2"/>
      <c r="F941" s="2"/>
    </row>
    <row r="942">
      <c r="A942" s="2">
        <f>IFERROR(__xludf.DUMMYFUNCTION("""COMPUTED_VALUE"""),5978.0)</f>
        <v>5978</v>
      </c>
      <c r="B942" s="2">
        <f>IFERROR(__xludf.DUMMYFUNCTION("""COMPUTED_VALUE"""),1.0)</f>
        <v>1</v>
      </c>
      <c r="C942" s="2">
        <f>IFERROR(__xludf.DUMMYFUNCTION("""COMPUTED_VALUE"""),42.0)</f>
        <v>42</v>
      </c>
      <c r="D942" s="3">
        <f>IFERROR(__xludf.DUMMYFUNCTION("""COMPUTED_VALUE"""),19.0)</f>
        <v>19</v>
      </c>
      <c r="E942" s="2"/>
      <c r="F942" s="2"/>
    </row>
    <row r="943">
      <c r="A943" s="2">
        <f>IFERROR(__xludf.DUMMYFUNCTION("""COMPUTED_VALUE"""),72813.0)</f>
        <v>72813</v>
      </c>
      <c r="B943" s="2">
        <f>IFERROR(__xludf.DUMMYFUNCTION("""COMPUTED_VALUE"""),0.0)</f>
        <v>0</v>
      </c>
      <c r="C943" s="2">
        <f>IFERROR(__xludf.DUMMYFUNCTION("""COMPUTED_VALUE"""),202.0)</f>
        <v>202</v>
      </c>
      <c r="D943" s="3">
        <f>IFERROR(__xludf.DUMMYFUNCTION("""COMPUTED_VALUE"""),1.0)</f>
        <v>1</v>
      </c>
      <c r="E943" s="2"/>
      <c r="F943" s="2"/>
    </row>
    <row r="944">
      <c r="A944" s="2">
        <f>IFERROR(__xludf.DUMMYFUNCTION("""COMPUTED_VALUE"""),9486.0)</f>
        <v>9486</v>
      </c>
      <c r="B944" s="2">
        <f>IFERROR(__xludf.DUMMYFUNCTION("""COMPUTED_VALUE"""),1.0)</f>
        <v>1</v>
      </c>
      <c r="C944" s="2">
        <f>IFERROR(__xludf.DUMMYFUNCTION("""COMPUTED_VALUE"""),300.0)</f>
        <v>300</v>
      </c>
      <c r="D944" s="3">
        <f>IFERROR(__xludf.DUMMYFUNCTION("""COMPUTED_VALUE"""),92.0)</f>
        <v>92</v>
      </c>
      <c r="E944" s="2"/>
      <c r="F944" s="2"/>
    </row>
    <row r="945">
      <c r="A945" s="2">
        <f>IFERROR(__xludf.DUMMYFUNCTION("""COMPUTED_VALUE"""),2791.0)</f>
        <v>2791</v>
      </c>
      <c r="B945" s="2">
        <f>IFERROR(__xludf.DUMMYFUNCTION("""COMPUTED_VALUE"""),0.0)</f>
        <v>0</v>
      </c>
      <c r="C945" s="2">
        <f>IFERROR(__xludf.DUMMYFUNCTION("""COMPUTED_VALUE"""),110.0)</f>
        <v>110</v>
      </c>
      <c r="D945" s="3">
        <f>IFERROR(__xludf.DUMMYFUNCTION("""COMPUTED_VALUE"""),23.0)</f>
        <v>23</v>
      </c>
      <c r="E945" s="2"/>
      <c r="F945" s="2"/>
    </row>
    <row r="946">
      <c r="A946" s="2">
        <f>IFERROR(__xludf.DUMMYFUNCTION("""COMPUTED_VALUE"""),109206.0)</f>
        <v>109206</v>
      </c>
      <c r="B946" s="2">
        <f>IFERROR(__xludf.DUMMYFUNCTION("""COMPUTED_VALUE"""),0.0)</f>
        <v>0</v>
      </c>
      <c r="C946" s="2">
        <f>IFERROR(__xludf.DUMMYFUNCTION("""COMPUTED_VALUE"""),207.0)</f>
        <v>207</v>
      </c>
      <c r="D946" s="3">
        <f>IFERROR(__xludf.DUMMYFUNCTION("""COMPUTED_VALUE"""),194.0)</f>
        <v>194</v>
      </c>
      <c r="E946" s="2"/>
      <c r="F946" s="2"/>
    </row>
    <row r="947">
      <c r="A947" s="2">
        <f>IFERROR(__xludf.DUMMYFUNCTION("""COMPUTED_VALUE"""),9478.0)</f>
        <v>9478</v>
      </c>
      <c r="B947" s="2">
        <f>IFERROR(__xludf.DUMMYFUNCTION("""COMPUTED_VALUE"""),1.0)</f>
        <v>1</v>
      </c>
      <c r="C947" s="2">
        <f>IFERROR(__xludf.DUMMYFUNCTION("""COMPUTED_VALUE"""),460.0)</f>
        <v>460</v>
      </c>
      <c r="D947" s="3">
        <f>IFERROR(__xludf.DUMMYFUNCTION("""COMPUTED_VALUE"""),420.0)</f>
        <v>420</v>
      </c>
      <c r="E947" s="2"/>
      <c r="F947" s="2"/>
    </row>
    <row r="948">
      <c r="A948" s="2">
        <f>IFERROR(__xludf.DUMMYFUNCTION("""COMPUTED_VALUE"""),122699.0)</f>
        <v>122699</v>
      </c>
      <c r="B948" s="2">
        <f>IFERROR(__xludf.DUMMYFUNCTION("""COMPUTED_VALUE"""),1.0)</f>
        <v>1</v>
      </c>
      <c r="C948" s="2">
        <f>IFERROR(__xludf.DUMMYFUNCTION("""COMPUTED_VALUE"""),424.0)</f>
        <v>424</v>
      </c>
      <c r="D948" s="3">
        <f>IFERROR(__xludf.DUMMYFUNCTION("""COMPUTED_VALUE"""),39.0)</f>
        <v>39</v>
      </c>
      <c r="E948" s="2"/>
      <c r="F948" s="2"/>
    </row>
    <row r="949">
      <c r="A949" s="2">
        <f>IFERROR(__xludf.DUMMYFUNCTION("""COMPUTED_VALUE"""),2794.0)</f>
        <v>2794</v>
      </c>
      <c r="B949" s="2">
        <f>IFERROR(__xludf.DUMMYFUNCTION("""COMPUTED_VALUE"""),0.0)</f>
        <v>0</v>
      </c>
      <c r="C949" s="2">
        <f>IFERROR(__xludf.DUMMYFUNCTION("""COMPUTED_VALUE"""),712.0)</f>
        <v>712</v>
      </c>
      <c r="D949" s="3">
        <f>IFERROR(__xludf.DUMMYFUNCTION("""COMPUTED_VALUE"""),455.0)</f>
        <v>455</v>
      </c>
      <c r="E949" s="2"/>
      <c r="F949" s="2"/>
    </row>
    <row r="950">
      <c r="A950" s="2">
        <f>IFERROR(__xludf.DUMMYFUNCTION("""COMPUTED_VALUE"""),109200.0)</f>
        <v>109200</v>
      </c>
      <c r="B950" s="2">
        <f>IFERROR(__xludf.DUMMYFUNCTION("""COMPUTED_VALUE"""),1.0)</f>
        <v>1</v>
      </c>
      <c r="C950" s="2">
        <f>IFERROR(__xludf.DUMMYFUNCTION("""COMPUTED_VALUE"""),968.0)</f>
        <v>968</v>
      </c>
      <c r="D950" s="3">
        <f>IFERROR(__xludf.DUMMYFUNCTION("""COMPUTED_VALUE"""),411.0)</f>
        <v>411</v>
      </c>
      <c r="E950" s="2"/>
      <c r="F950" s="2"/>
    </row>
    <row r="951">
      <c r="A951" s="2">
        <f>IFERROR(__xludf.DUMMYFUNCTION("""COMPUTED_VALUE"""),118263.0)</f>
        <v>118263</v>
      </c>
      <c r="B951" s="2">
        <f>IFERROR(__xludf.DUMMYFUNCTION("""COMPUTED_VALUE"""),1.0)</f>
        <v>1</v>
      </c>
      <c r="C951" s="2">
        <f>IFERROR(__xludf.DUMMYFUNCTION("""COMPUTED_VALUE"""),645.0)</f>
        <v>645</v>
      </c>
      <c r="D951" s="3">
        <f>IFERROR(__xludf.DUMMYFUNCTION("""COMPUTED_VALUE"""),425.0)</f>
        <v>425</v>
      </c>
      <c r="E951" s="2"/>
      <c r="F951" s="2"/>
    </row>
    <row r="952">
      <c r="A952" s="2">
        <f>IFERROR(__xludf.DUMMYFUNCTION("""COMPUTED_VALUE"""),71320.0)</f>
        <v>71320</v>
      </c>
      <c r="B952" s="2">
        <f>IFERROR(__xludf.DUMMYFUNCTION("""COMPUTED_VALUE"""),0.0)</f>
        <v>0</v>
      </c>
      <c r="C952" s="2">
        <f>IFERROR(__xludf.DUMMYFUNCTION("""COMPUTED_VALUE"""),725.0)</f>
        <v>725</v>
      </c>
      <c r="D952" s="3">
        <f>IFERROR(__xludf.DUMMYFUNCTION("""COMPUTED_VALUE"""),631.0)</f>
        <v>631</v>
      </c>
      <c r="E952" s="2"/>
      <c r="F952" s="2"/>
    </row>
    <row r="953">
      <c r="A953" s="2">
        <f>IFERROR(__xludf.DUMMYFUNCTION("""COMPUTED_VALUE"""),108944.0)</f>
        <v>108944</v>
      </c>
      <c r="B953" s="2">
        <f>IFERROR(__xludf.DUMMYFUNCTION("""COMPUTED_VALUE"""),1.0)</f>
        <v>1</v>
      </c>
      <c r="C953" s="2">
        <f>IFERROR(__xludf.DUMMYFUNCTION("""COMPUTED_VALUE"""),450.0)</f>
        <v>450</v>
      </c>
      <c r="D953" s="3">
        <f>IFERROR(__xludf.DUMMYFUNCTION("""COMPUTED_VALUE"""),382.0)</f>
        <v>382</v>
      </c>
      <c r="E953" s="2"/>
      <c r="F953" s="2"/>
    </row>
    <row r="954">
      <c r="A954" s="2">
        <f>IFERROR(__xludf.DUMMYFUNCTION("""COMPUTED_VALUE"""),122693.0)</f>
        <v>122693</v>
      </c>
      <c r="B954" s="2">
        <f>IFERROR(__xludf.DUMMYFUNCTION("""COMPUTED_VALUE"""),1.0)</f>
        <v>1</v>
      </c>
      <c r="C954" s="2">
        <f>IFERROR(__xludf.DUMMYFUNCTION("""COMPUTED_VALUE"""),373.0)</f>
        <v>373</v>
      </c>
      <c r="D954" s="3">
        <f>IFERROR(__xludf.DUMMYFUNCTION("""COMPUTED_VALUE"""),47.0)</f>
        <v>47</v>
      </c>
      <c r="E954" s="2"/>
      <c r="F954" s="2"/>
    </row>
    <row r="955">
      <c r="A955" s="2">
        <f>IFERROR(__xludf.DUMMYFUNCTION("""COMPUTED_VALUE"""),20049.0)</f>
        <v>20049</v>
      </c>
      <c r="B955" s="2">
        <f>IFERROR(__xludf.DUMMYFUNCTION("""COMPUTED_VALUE"""),1.0)</f>
        <v>1</v>
      </c>
      <c r="C955" s="2">
        <f>IFERROR(__xludf.DUMMYFUNCTION("""COMPUTED_VALUE"""),918.0)</f>
        <v>918</v>
      </c>
      <c r="D955" s="3">
        <f>IFERROR(__xludf.DUMMYFUNCTION("""COMPUTED_VALUE"""),26.0)</f>
        <v>26</v>
      </c>
      <c r="E955" s="2"/>
      <c r="F955" s="2"/>
    </row>
    <row r="956">
      <c r="A956" s="2">
        <f>IFERROR(__xludf.DUMMYFUNCTION("""COMPUTED_VALUE"""),20055.0)</f>
        <v>20055</v>
      </c>
      <c r="B956" s="2">
        <f>IFERROR(__xludf.DUMMYFUNCTION("""COMPUTED_VALUE"""),0.0)</f>
        <v>0</v>
      </c>
      <c r="C956" s="2">
        <f>IFERROR(__xludf.DUMMYFUNCTION("""COMPUTED_VALUE"""),313.0)</f>
        <v>313</v>
      </c>
      <c r="D956" s="3">
        <f>IFERROR(__xludf.DUMMYFUNCTION("""COMPUTED_VALUE"""),52.0)</f>
        <v>52</v>
      </c>
      <c r="E956" s="2"/>
      <c r="F956" s="2"/>
    </row>
    <row r="957">
      <c r="A957" s="2">
        <f>IFERROR(__xludf.DUMMYFUNCTION("""COMPUTED_VALUE"""),112845.0)</f>
        <v>112845</v>
      </c>
      <c r="B957" s="2">
        <f>IFERROR(__xludf.DUMMYFUNCTION("""COMPUTED_VALUE"""),0.0)</f>
        <v>0</v>
      </c>
      <c r="C957" s="2">
        <f>IFERROR(__xludf.DUMMYFUNCTION("""COMPUTED_VALUE"""),744.0)</f>
        <v>744</v>
      </c>
      <c r="D957" s="3">
        <f>IFERROR(__xludf.DUMMYFUNCTION("""COMPUTED_VALUE"""),667.0)</f>
        <v>667</v>
      </c>
      <c r="E957" s="2"/>
      <c r="F957" s="2"/>
    </row>
    <row r="958">
      <c r="A958" s="2">
        <f>IFERROR(__xludf.DUMMYFUNCTION("""COMPUTED_VALUE"""),9490.0)</f>
        <v>9490</v>
      </c>
      <c r="B958" s="2">
        <f>IFERROR(__xludf.DUMMYFUNCTION("""COMPUTED_VALUE"""),1.0)</f>
        <v>1</v>
      </c>
      <c r="C958" s="2">
        <f>IFERROR(__xludf.DUMMYFUNCTION("""COMPUTED_VALUE"""),744.0)</f>
        <v>744</v>
      </c>
      <c r="D958" s="3">
        <f>IFERROR(__xludf.DUMMYFUNCTION("""COMPUTED_VALUE"""),364.0)</f>
        <v>364</v>
      </c>
      <c r="E958" s="2"/>
      <c r="F958" s="2"/>
    </row>
    <row r="959">
      <c r="A959" s="2">
        <f>IFERROR(__xludf.DUMMYFUNCTION("""COMPUTED_VALUE"""),105034.0)</f>
        <v>105034</v>
      </c>
      <c r="B959" s="2">
        <f>IFERROR(__xludf.DUMMYFUNCTION("""COMPUTED_VALUE"""),1.0)</f>
        <v>1</v>
      </c>
      <c r="C959" s="2">
        <f>IFERROR(__xludf.DUMMYFUNCTION("""COMPUTED_VALUE"""),199.0)</f>
        <v>199</v>
      </c>
      <c r="D959" s="3">
        <f>IFERROR(__xludf.DUMMYFUNCTION("""COMPUTED_VALUE"""),71.0)</f>
        <v>71</v>
      </c>
      <c r="E959" s="2"/>
      <c r="F959" s="2"/>
    </row>
    <row r="960">
      <c r="A960" s="2">
        <f>IFERROR(__xludf.DUMMYFUNCTION("""COMPUTED_VALUE"""),122680.0)</f>
        <v>122680</v>
      </c>
      <c r="B960" s="2">
        <f>IFERROR(__xludf.DUMMYFUNCTION("""COMPUTED_VALUE"""),0.0)</f>
        <v>0</v>
      </c>
      <c r="C960" s="2">
        <f>IFERROR(__xludf.DUMMYFUNCTION("""COMPUTED_VALUE"""),115.0)</f>
        <v>115</v>
      </c>
      <c r="D960" s="3">
        <f>IFERROR(__xludf.DUMMYFUNCTION("""COMPUTED_VALUE"""),25.0)</f>
        <v>25</v>
      </c>
      <c r="E960" s="2"/>
      <c r="F960" s="2"/>
    </row>
    <row r="961">
      <c r="A961" s="2">
        <f>IFERROR(__xludf.DUMMYFUNCTION("""COMPUTED_VALUE"""),112846.0)</f>
        <v>112846</v>
      </c>
      <c r="B961" s="2">
        <f>IFERROR(__xludf.DUMMYFUNCTION("""COMPUTED_VALUE"""),1.0)</f>
        <v>1</v>
      </c>
      <c r="C961" s="2">
        <f>IFERROR(__xludf.DUMMYFUNCTION("""COMPUTED_VALUE"""),845.0)</f>
        <v>845</v>
      </c>
      <c r="D961" s="3">
        <f>IFERROR(__xludf.DUMMYFUNCTION("""COMPUTED_VALUE"""),115.0)</f>
        <v>115</v>
      </c>
      <c r="E961" s="2"/>
      <c r="F961" s="2"/>
    </row>
    <row r="962">
      <c r="A962" s="2">
        <f>IFERROR(__xludf.DUMMYFUNCTION("""COMPUTED_VALUE"""),80816.0)</f>
        <v>80816</v>
      </c>
      <c r="B962" s="2">
        <f>IFERROR(__xludf.DUMMYFUNCTION("""COMPUTED_VALUE"""),1.0)</f>
        <v>1</v>
      </c>
      <c r="C962" s="2">
        <f>IFERROR(__xludf.DUMMYFUNCTION("""COMPUTED_VALUE"""),919.0)</f>
        <v>919</v>
      </c>
      <c r="D962" s="3">
        <f>IFERROR(__xludf.DUMMYFUNCTION("""COMPUTED_VALUE"""),689.0)</f>
        <v>689</v>
      </c>
      <c r="E962" s="2"/>
      <c r="F962" s="2"/>
    </row>
    <row r="963">
      <c r="A963" s="2">
        <f>IFERROR(__xludf.DUMMYFUNCTION("""COMPUTED_VALUE"""),44749.0)</f>
        <v>44749</v>
      </c>
      <c r="B963" s="2">
        <f>IFERROR(__xludf.DUMMYFUNCTION("""COMPUTED_VALUE"""),1.0)</f>
        <v>1</v>
      </c>
      <c r="C963" s="2">
        <f>IFERROR(__xludf.DUMMYFUNCTION("""COMPUTED_VALUE"""),269.0)</f>
        <v>269</v>
      </c>
      <c r="D963" s="3">
        <f>IFERROR(__xludf.DUMMYFUNCTION("""COMPUTED_VALUE"""),53.0)</f>
        <v>53</v>
      </c>
      <c r="E963" s="2"/>
      <c r="F963" s="2"/>
    </row>
    <row r="964">
      <c r="A964" s="2">
        <f>IFERROR(__xludf.DUMMYFUNCTION("""COMPUTED_VALUE"""),79498.0)</f>
        <v>79498</v>
      </c>
      <c r="B964" s="2">
        <f>IFERROR(__xludf.DUMMYFUNCTION("""COMPUTED_VALUE"""),0.0)</f>
        <v>0</v>
      </c>
      <c r="C964" s="2">
        <f>IFERROR(__xludf.DUMMYFUNCTION("""COMPUTED_VALUE"""),209.0)</f>
        <v>209</v>
      </c>
      <c r="D964" s="3">
        <f>IFERROR(__xludf.DUMMYFUNCTION("""COMPUTED_VALUE"""),61.0)</f>
        <v>61</v>
      </c>
      <c r="E964" s="2"/>
      <c r="F964" s="2"/>
    </row>
    <row r="965">
      <c r="A965" s="2">
        <f>IFERROR(__xludf.DUMMYFUNCTION("""COMPUTED_VALUE"""),2799.0)</f>
        <v>2799</v>
      </c>
      <c r="B965" s="2">
        <f>IFERROR(__xludf.DUMMYFUNCTION("""COMPUTED_VALUE"""),1.0)</f>
        <v>1</v>
      </c>
      <c r="C965" s="2">
        <f>IFERROR(__xludf.DUMMYFUNCTION("""COMPUTED_VALUE"""),587.0)</f>
        <v>587</v>
      </c>
      <c r="D965" s="3">
        <f>IFERROR(__xludf.DUMMYFUNCTION("""COMPUTED_VALUE"""),50.0)</f>
        <v>50</v>
      </c>
      <c r="E965" s="2"/>
      <c r="F965" s="2"/>
    </row>
    <row r="966">
      <c r="A966" s="2">
        <f>IFERROR(__xludf.DUMMYFUNCTION("""COMPUTED_VALUE"""),194401.0)</f>
        <v>194401</v>
      </c>
      <c r="B966" s="2">
        <f>IFERROR(__xludf.DUMMYFUNCTION("""COMPUTED_VALUE"""),1.0)</f>
        <v>1</v>
      </c>
      <c r="C966" s="2">
        <f>IFERROR(__xludf.DUMMYFUNCTION("""COMPUTED_VALUE"""),871.0)</f>
        <v>871</v>
      </c>
      <c r="D966" s="3">
        <f>IFERROR(__xludf.DUMMYFUNCTION("""COMPUTED_VALUE"""),454.0)</f>
        <v>454</v>
      </c>
      <c r="E966" s="2"/>
      <c r="F966" s="2"/>
    </row>
    <row r="967">
      <c r="A967" s="2">
        <f>IFERROR(__xludf.DUMMYFUNCTION("""COMPUTED_VALUE"""),5291.0)</f>
        <v>5291</v>
      </c>
      <c r="B967" s="2">
        <f>IFERROR(__xludf.DUMMYFUNCTION("""COMPUTED_VALUE"""),0.0)</f>
        <v>0</v>
      </c>
      <c r="C967" s="2">
        <f>IFERROR(__xludf.DUMMYFUNCTION("""COMPUTED_VALUE"""),721.0)</f>
        <v>721</v>
      </c>
      <c r="D967" s="3">
        <f>IFERROR(__xludf.DUMMYFUNCTION("""COMPUTED_VALUE"""),390.0)</f>
        <v>390</v>
      </c>
      <c r="E967" s="2"/>
      <c r="F967" s="2"/>
    </row>
    <row r="968">
      <c r="A968" s="2">
        <f>IFERROR(__xludf.DUMMYFUNCTION("""COMPUTED_VALUE"""),2796.0)</f>
        <v>2796</v>
      </c>
      <c r="B968" s="2">
        <f>IFERROR(__xludf.DUMMYFUNCTION("""COMPUTED_VALUE"""),1.0)</f>
        <v>1</v>
      </c>
      <c r="C968" s="2">
        <f>IFERROR(__xludf.DUMMYFUNCTION("""COMPUTED_VALUE"""),821.0)</f>
        <v>821</v>
      </c>
      <c r="D968" s="3">
        <f>IFERROR(__xludf.DUMMYFUNCTION("""COMPUTED_VALUE"""),427.0)</f>
        <v>427</v>
      </c>
      <c r="E968" s="2"/>
      <c r="F968" s="2"/>
    </row>
    <row r="969">
      <c r="A969" s="2">
        <f>IFERROR(__xludf.DUMMYFUNCTION("""COMPUTED_VALUE"""),71325.0)</f>
        <v>71325</v>
      </c>
      <c r="B969" s="2">
        <f>IFERROR(__xludf.DUMMYFUNCTION("""COMPUTED_VALUE"""),1.0)</f>
        <v>1</v>
      </c>
      <c r="C969" s="2">
        <f>IFERROR(__xludf.DUMMYFUNCTION("""COMPUTED_VALUE"""),341.0)</f>
        <v>341</v>
      </c>
      <c r="D969" s="3">
        <f>IFERROR(__xludf.DUMMYFUNCTION("""COMPUTED_VALUE"""),327.0)</f>
        <v>327</v>
      </c>
      <c r="E969" s="2"/>
      <c r="F969" s="2"/>
    </row>
    <row r="970">
      <c r="A970" s="2">
        <f>IFERROR(__xludf.DUMMYFUNCTION("""COMPUTED_VALUE"""),2793.0)</f>
        <v>2793</v>
      </c>
      <c r="B970" s="2">
        <f>IFERROR(__xludf.DUMMYFUNCTION("""COMPUTED_VALUE"""),0.0)</f>
        <v>0</v>
      </c>
      <c r="C970" s="2">
        <f>IFERROR(__xludf.DUMMYFUNCTION("""COMPUTED_VALUE"""),72.0)</f>
        <v>72</v>
      </c>
      <c r="D970" s="3">
        <f>IFERROR(__xludf.DUMMYFUNCTION("""COMPUTED_VALUE"""),26.0)</f>
        <v>26</v>
      </c>
      <c r="E970" s="2"/>
      <c r="F970" s="2"/>
    </row>
    <row r="971">
      <c r="A971" s="2">
        <f>IFERROR(__xludf.DUMMYFUNCTION("""COMPUTED_VALUE"""),102781.0)</f>
        <v>102781</v>
      </c>
      <c r="B971" s="2">
        <f>IFERROR(__xludf.DUMMYFUNCTION("""COMPUTED_VALUE"""),1.0)</f>
        <v>1</v>
      </c>
      <c r="C971" s="2">
        <f>IFERROR(__xludf.DUMMYFUNCTION("""COMPUTED_VALUE"""),855.0)</f>
        <v>855</v>
      </c>
      <c r="D971" s="3">
        <f>IFERROR(__xludf.DUMMYFUNCTION("""COMPUTED_VALUE"""),797.0)</f>
        <v>797</v>
      </c>
      <c r="E971" s="2"/>
      <c r="F971" s="2"/>
    </row>
    <row r="972">
      <c r="A972" s="2">
        <f>IFERROR(__xludf.DUMMYFUNCTION("""COMPUTED_VALUE"""),109201.0)</f>
        <v>109201</v>
      </c>
      <c r="B972" s="2">
        <f>IFERROR(__xludf.DUMMYFUNCTION("""COMPUTED_VALUE"""),1.0)</f>
        <v>1</v>
      </c>
      <c r="C972" s="2">
        <f>IFERROR(__xludf.DUMMYFUNCTION("""COMPUTED_VALUE"""),482.0)</f>
        <v>482</v>
      </c>
      <c r="D972" s="3">
        <f>IFERROR(__xludf.DUMMYFUNCTION("""COMPUTED_VALUE"""),297.0)</f>
        <v>297</v>
      </c>
      <c r="E972" s="2"/>
      <c r="F972" s="2"/>
    </row>
    <row r="973">
      <c r="A973" s="2">
        <f>IFERROR(__xludf.DUMMYFUNCTION("""COMPUTED_VALUE"""),72814.0)</f>
        <v>72814</v>
      </c>
      <c r="B973" s="2">
        <f>IFERROR(__xludf.DUMMYFUNCTION("""COMPUTED_VALUE"""),0.0)</f>
        <v>0</v>
      </c>
      <c r="C973" s="2">
        <f>IFERROR(__xludf.DUMMYFUNCTION("""COMPUTED_VALUE"""),854.0)</f>
        <v>854</v>
      </c>
      <c r="D973" s="3">
        <f>IFERROR(__xludf.DUMMYFUNCTION("""COMPUTED_VALUE"""),575.0)</f>
        <v>575</v>
      </c>
      <c r="E973" s="2"/>
      <c r="F973" s="2"/>
    </row>
    <row r="974">
      <c r="A974" s="2">
        <f>IFERROR(__xludf.DUMMYFUNCTION("""COMPUTED_VALUE"""),122351.0)</f>
        <v>122351</v>
      </c>
      <c r="B974" s="2">
        <f>IFERROR(__xludf.DUMMYFUNCTION("""COMPUTED_VALUE"""),1.0)</f>
        <v>1</v>
      </c>
      <c r="C974" s="2">
        <f>IFERROR(__xludf.DUMMYFUNCTION("""COMPUTED_VALUE"""),211.0)</f>
        <v>211</v>
      </c>
      <c r="D974" s="3">
        <f>IFERROR(__xludf.DUMMYFUNCTION("""COMPUTED_VALUE"""),182.0)</f>
        <v>182</v>
      </c>
      <c r="E974" s="2"/>
      <c r="F974" s="2"/>
    </row>
    <row r="975">
      <c r="A975" s="2">
        <f>IFERROR(__xludf.DUMMYFUNCTION("""COMPUTED_VALUE"""),99298.0)</f>
        <v>99298</v>
      </c>
      <c r="B975" s="2">
        <f>IFERROR(__xludf.DUMMYFUNCTION("""COMPUTED_VALUE"""),0.0)</f>
        <v>0</v>
      </c>
      <c r="C975" s="2">
        <f>IFERROR(__xludf.DUMMYFUNCTION("""COMPUTED_VALUE"""),661.0)</f>
        <v>661</v>
      </c>
      <c r="D975" s="3">
        <f>IFERROR(__xludf.DUMMYFUNCTION("""COMPUTED_VALUE"""),88.0)</f>
        <v>88</v>
      </c>
      <c r="E975" s="2"/>
      <c r="F975" s="2"/>
    </row>
    <row r="976">
      <c r="A976" s="2">
        <f>IFERROR(__xludf.DUMMYFUNCTION("""COMPUTED_VALUE"""),3731.0)</f>
        <v>3731</v>
      </c>
      <c r="B976" s="2">
        <f>IFERROR(__xludf.DUMMYFUNCTION("""COMPUTED_VALUE"""),0.0)</f>
        <v>0</v>
      </c>
      <c r="C976" s="2">
        <f>IFERROR(__xludf.DUMMYFUNCTION("""COMPUTED_VALUE"""),618.0)</f>
        <v>618</v>
      </c>
      <c r="D976" s="3">
        <f>IFERROR(__xludf.DUMMYFUNCTION("""COMPUTED_VALUE"""),23.0)</f>
        <v>23</v>
      </c>
      <c r="E976" s="2"/>
      <c r="F976" s="2"/>
    </row>
    <row r="977">
      <c r="A977" s="2">
        <f>IFERROR(__xludf.DUMMYFUNCTION("""COMPUTED_VALUE"""),11489.0)</f>
        <v>11489</v>
      </c>
      <c r="B977" s="2">
        <f>IFERROR(__xludf.DUMMYFUNCTION("""COMPUTED_VALUE"""),0.0)</f>
        <v>0</v>
      </c>
      <c r="C977" s="2">
        <f>IFERROR(__xludf.DUMMYFUNCTION("""COMPUTED_VALUE"""),410.0)</f>
        <v>410</v>
      </c>
      <c r="D977" s="3">
        <f>IFERROR(__xludf.DUMMYFUNCTION("""COMPUTED_VALUE"""),199.0)</f>
        <v>199</v>
      </c>
      <c r="E977" s="2"/>
      <c r="F977" s="2"/>
    </row>
    <row r="978">
      <c r="A978" s="2">
        <f>IFERROR(__xludf.DUMMYFUNCTION("""COMPUTED_VALUE"""),122302.0)</f>
        <v>122302</v>
      </c>
      <c r="B978" s="2">
        <f>IFERROR(__xludf.DUMMYFUNCTION("""COMPUTED_VALUE"""),0.0)</f>
        <v>0</v>
      </c>
      <c r="C978" s="2">
        <f>IFERROR(__xludf.DUMMYFUNCTION("""COMPUTED_VALUE"""),60.0)</f>
        <v>60</v>
      </c>
      <c r="D978" s="3">
        <f>IFERROR(__xludf.DUMMYFUNCTION("""COMPUTED_VALUE"""),51.0)</f>
        <v>51</v>
      </c>
      <c r="E978" s="2"/>
      <c r="F978" s="2"/>
    </row>
    <row r="979">
      <c r="A979" s="2">
        <f>IFERROR(__xludf.DUMMYFUNCTION("""COMPUTED_VALUE"""),28838.0)</f>
        <v>28838</v>
      </c>
      <c r="B979" s="2">
        <f>IFERROR(__xludf.DUMMYFUNCTION("""COMPUTED_VALUE"""),0.0)</f>
        <v>0</v>
      </c>
      <c r="C979" s="2">
        <f>IFERROR(__xludf.DUMMYFUNCTION("""COMPUTED_VALUE"""),416.0)</f>
        <v>416</v>
      </c>
      <c r="D979" s="3">
        <f>IFERROR(__xludf.DUMMYFUNCTION("""COMPUTED_VALUE"""),251.0)</f>
        <v>251</v>
      </c>
      <c r="E979" s="2"/>
      <c r="F979" s="2"/>
    </row>
    <row r="980">
      <c r="A980" s="2">
        <f>IFERROR(__xludf.DUMMYFUNCTION("""COMPUTED_VALUE"""),72843.0)</f>
        <v>72843</v>
      </c>
      <c r="B980" s="2">
        <f>IFERROR(__xludf.DUMMYFUNCTION("""COMPUTED_VALUE"""),1.0)</f>
        <v>1</v>
      </c>
      <c r="C980" s="2">
        <f>IFERROR(__xludf.DUMMYFUNCTION("""COMPUTED_VALUE"""),972.0)</f>
        <v>972</v>
      </c>
      <c r="D980" s="3">
        <f>IFERROR(__xludf.DUMMYFUNCTION("""COMPUTED_VALUE"""),568.0)</f>
        <v>568</v>
      </c>
      <c r="E980" s="2"/>
      <c r="F980" s="2"/>
    </row>
    <row r="981">
      <c r="A981" s="2">
        <f>IFERROR(__xludf.DUMMYFUNCTION("""COMPUTED_VALUE"""),80809.0)</f>
        <v>80809</v>
      </c>
      <c r="B981" s="2">
        <f>IFERROR(__xludf.DUMMYFUNCTION("""COMPUTED_VALUE"""),0.0)</f>
        <v>0</v>
      </c>
      <c r="C981" s="2">
        <f>IFERROR(__xludf.DUMMYFUNCTION("""COMPUTED_VALUE"""),532.0)</f>
        <v>532</v>
      </c>
      <c r="D981" s="3">
        <f>IFERROR(__xludf.DUMMYFUNCTION("""COMPUTED_VALUE"""),20.0)</f>
        <v>20</v>
      </c>
      <c r="E981" s="2"/>
      <c r="F981" s="2"/>
    </row>
    <row r="982">
      <c r="A982" s="2">
        <f>IFERROR(__xludf.DUMMYFUNCTION("""COMPUTED_VALUE"""),127006.0)</f>
        <v>127006</v>
      </c>
      <c r="B982" s="2">
        <f>IFERROR(__xludf.DUMMYFUNCTION("""COMPUTED_VALUE"""),1.0)</f>
        <v>1</v>
      </c>
      <c r="C982" s="2">
        <f>IFERROR(__xludf.DUMMYFUNCTION("""COMPUTED_VALUE"""),615.0)</f>
        <v>615</v>
      </c>
      <c r="D982" s="3">
        <f>IFERROR(__xludf.DUMMYFUNCTION("""COMPUTED_VALUE"""),180.0)</f>
        <v>180</v>
      </c>
      <c r="E982" s="2"/>
      <c r="F982" s="2"/>
    </row>
    <row r="983">
      <c r="A983" s="2">
        <f>IFERROR(__xludf.DUMMYFUNCTION("""COMPUTED_VALUE"""),82448.0)</f>
        <v>82448</v>
      </c>
      <c r="B983" s="2">
        <f>IFERROR(__xludf.DUMMYFUNCTION("""COMPUTED_VALUE"""),1.0)</f>
        <v>1</v>
      </c>
      <c r="C983" s="2">
        <f>IFERROR(__xludf.DUMMYFUNCTION("""COMPUTED_VALUE"""),912.0)</f>
        <v>912</v>
      </c>
      <c r="D983" s="3">
        <f>IFERROR(__xludf.DUMMYFUNCTION("""COMPUTED_VALUE"""),869.0)</f>
        <v>869</v>
      </c>
      <c r="E983" s="2"/>
      <c r="F983" s="2"/>
    </row>
    <row r="984">
      <c r="A984" s="2">
        <f>IFERROR(__xludf.DUMMYFUNCTION("""COMPUTED_VALUE"""),13028.0)</f>
        <v>13028</v>
      </c>
      <c r="B984" s="2">
        <f>IFERROR(__xludf.DUMMYFUNCTION("""COMPUTED_VALUE"""),1.0)</f>
        <v>1</v>
      </c>
      <c r="C984" s="2">
        <f>IFERROR(__xludf.DUMMYFUNCTION("""COMPUTED_VALUE"""),856.0)</f>
        <v>856</v>
      </c>
      <c r="D984" s="3">
        <f>IFERROR(__xludf.DUMMYFUNCTION("""COMPUTED_VALUE"""),665.0)</f>
        <v>665</v>
      </c>
      <c r="E984" s="2"/>
      <c r="F984" s="2"/>
    </row>
    <row r="985">
      <c r="A985" s="2">
        <f>IFERROR(__xludf.DUMMYFUNCTION("""COMPUTED_VALUE"""),118577.0)</f>
        <v>118577</v>
      </c>
      <c r="B985" s="2">
        <f>IFERROR(__xludf.DUMMYFUNCTION("""COMPUTED_VALUE"""),0.0)</f>
        <v>0</v>
      </c>
      <c r="C985" s="2">
        <f>IFERROR(__xludf.DUMMYFUNCTION("""COMPUTED_VALUE"""),946.0)</f>
        <v>946</v>
      </c>
      <c r="D985" s="3">
        <f>IFERROR(__xludf.DUMMYFUNCTION("""COMPUTED_VALUE"""),761.0)</f>
        <v>761</v>
      </c>
      <c r="E985" s="2"/>
      <c r="F985" s="2"/>
    </row>
    <row r="986">
      <c r="A986" s="2">
        <f>IFERROR(__xludf.DUMMYFUNCTION("""COMPUTED_VALUE"""),117890.0)</f>
        <v>117890</v>
      </c>
      <c r="B986" s="2">
        <f>IFERROR(__xludf.DUMMYFUNCTION("""COMPUTED_VALUE"""),1.0)</f>
        <v>1</v>
      </c>
      <c r="C986" s="2">
        <f>IFERROR(__xludf.DUMMYFUNCTION("""COMPUTED_VALUE"""),437.0)</f>
        <v>437</v>
      </c>
      <c r="D986" s="3">
        <f>IFERROR(__xludf.DUMMYFUNCTION("""COMPUTED_VALUE"""),436.0)</f>
        <v>436</v>
      </c>
      <c r="E986" s="2"/>
      <c r="F986" s="2"/>
    </row>
    <row r="987">
      <c r="A987" s="2">
        <f>IFERROR(__xludf.DUMMYFUNCTION("""COMPUTED_VALUE"""),118617.0)</f>
        <v>118617</v>
      </c>
      <c r="B987" s="2">
        <f>IFERROR(__xludf.DUMMYFUNCTION("""COMPUTED_VALUE"""),1.0)</f>
        <v>1</v>
      </c>
      <c r="C987" s="2">
        <f>IFERROR(__xludf.DUMMYFUNCTION("""COMPUTED_VALUE"""),376.0)</f>
        <v>376</v>
      </c>
      <c r="D987" s="3">
        <f>IFERROR(__xludf.DUMMYFUNCTION("""COMPUTED_VALUE"""),90.0)</f>
        <v>90</v>
      </c>
      <c r="E987" s="2"/>
      <c r="F987" s="2"/>
    </row>
    <row r="988">
      <c r="A988" s="2">
        <f>IFERROR(__xludf.DUMMYFUNCTION("""COMPUTED_VALUE"""),109995.0)</f>
        <v>109995</v>
      </c>
      <c r="B988" s="2">
        <f>IFERROR(__xludf.DUMMYFUNCTION("""COMPUTED_VALUE"""),0.0)</f>
        <v>0</v>
      </c>
      <c r="C988" s="2">
        <f>IFERROR(__xludf.DUMMYFUNCTION("""COMPUTED_VALUE"""),421.0)</f>
        <v>421</v>
      </c>
      <c r="D988" s="3">
        <f>IFERROR(__xludf.DUMMYFUNCTION("""COMPUTED_VALUE"""),199.0)</f>
        <v>199</v>
      </c>
      <c r="E988" s="2"/>
      <c r="F988" s="2"/>
    </row>
    <row r="989">
      <c r="A989" s="2">
        <f>IFERROR(__xludf.DUMMYFUNCTION("""COMPUTED_VALUE"""),109996.0)</f>
        <v>109996</v>
      </c>
      <c r="B989" s="2">
        <f>IFERROR(__xludf.DUMMYFUNCTION("""COMPUTED_VALUE"""),0.0)</f>
        <v>0</v>
      </c>
      <c r="C989" s="2">
        <f>IFERROR(__xludf.DUMMYFUNCTION("""COMPUTED_VALUE"""),0.0)</f>
        <v>0</v>
      </c>
      <c r="D989" s="3">
        <f>IFERROR(__xludf.DUMMYFUNCTION("""COMPUTED_VALUE"""),0.0)</f>
        <v>0</v>
      </c>
      <c r="E989" s="2"/>
      <c r="F989" s="2"/>
    </row>
    <row r="990">
      <c r="A990" s="2">
        <f>IFERROR(__xludf.DUMMYFUNCTION("""COMPUTED_VALUE"""),49107.0)</f>
        <v>49107</v>
      </c>
      <c r="B990" s="2">
        <f>IFERROR(__xludf.DUMMYFUNCTION("""COMPUTED_VALUE"""),1.0)</f>
        <v>1</v>
      </c>
      <c r="C990" s="2">
        <f>IFERROR(__xludf.DUMMYFUNCTION("""COMPUTED_VALUE"""),852.0)</f>
        <v>852</v>
      </c>
      <c r="D990" s="3">
        <f>IFERROR(__xludf.DUMMYFUNCTION("""COMPUTED_VALUE"""),329.0)</f>
        <v>329</v>
      </c>
      <c r="E990" s="2"/>
      <c r="F990" s="2"/>
    </row>
    <row r="991">
      <c r="A991" s="2">
        <f>IFERROR(__xludf.DUMMYFUNCTION("""COMPUTED_VALUE"""),29585.0)</f>
        <v>29585</v>
      </c>
      <c r="B991" s="2">
        <f>IFERROR(__xludf.DUMMYFUNCTION("""COMPUTED_VALUE"""),0.0)</f>
        <v>0</v>
      </c>
      <c r="C991" s="2">
        <f>IFERROR(__xludf.DUMMYFUNCTION("""COMPUTED_VALUE"""),116.0)</f>
        <v>116</v>
      </c>
      <c r="D991" s="3">
        <f>IFERROR(__xludf.DUMMYFUNCTION("""COMPUTED_VALUE"""),113.0)</f>
        <v>113</v>
      </c>
      <c r="E991" s="2"/>
      <c r="F991" s="2"/>
    </row>
    <row r="992">
      <c r="A992" s="2">
        <f>IFERROR(__xludf.DUMMYFUNCTION("""COMPUTED_VALUE"""),111677.0)</f>
        <v>111677</v>
      </c>
      <c r="B992" s="2">
        <f>IFERROR(__xludf.DUMMYFUNCTION("""COMPUTED_VALUE"""),1.0)</f>
        <v>1</v>
      </c>
      <c r="C992" s="2">
        <f>IFERROR(__xludf.DUMMYFUNCTION("""COMPUTED_VALUE"""),304.0)</f>
        <v>304</v>
      </c>
      <c r="D992" s="3">
        <f>IFERROR(__xludf.DUMMYFUNCTION("""COMPUTED_VALUE"""),165.0)</f>
        <v>165</v>
      </c>
      <c r="E992" s="2"/>
      <c r="F992" s="2"/>
    </row>
    <row r="993">
      <c r="A993" s="2">
        <f>IFERROR(__xludf.DUMMYFUNCTION("""COMPUTED_VALUE"""),93102.0)</f>
        <v>93102</v>
      </c>
      <c r="B993" s="2">
        <f>IFERROR(__xludf.DUMMYFUNCTION("""COMPUTED_VALUE"""),1.0)</f>
        <v>1</v>
      </c>
      <c r="C993" s="2">
        <f>IFERROR(__xludf.DUMMYFUNCTION("""COMPUTED_VALUE"""),291.0)</f>
        <v>291</v>
      </c>
      <c r="D993" s="3">
        <f>IFERROR(__xludf.DUMMYFUNCTION("""COMPUTED_VALUE"""),139.0)</f>
        <v>139</v>
      </c>
      <c r="E993" s="2"/>
      <c r="F993" s="2"/>
    </row>
    <row r="994">
      <c r="A994" s="2">
        <f>IFERROR(__xludf.DUMMYFUNCTION("""COMPUTED_VALUE"""),30712.0)</f>
        <v>30712</v>
      </c>
      <c r="B994" s="2">
        <f>IFERROR(__xludf.DUMMYFUNCTION("""COMPUTED_VALUE"""),0.0)</f>
        <v>0</v>
      </c>
      <c r="C994" s="2">
        <f>IFERROR(__xludf.DUMMYFUNCTION("""COMPUTED_VALUE"""),524.0)</f>
        <v>524</v>
      </c>
      <c r="D994" s="3">
        <f>IFERROR(__xludf.DUMMYFUNCTION("""COMPUTED_VALUE"""),16.0)</f>
        <v>16</v>
      </c>
      <c r="E994" s="2"/>
      <c r="F994" s="2"/>
    </row>
    <row r="995">
      <c r="A995" s="2">
        <f>IFERROR(__xludf.DUMMYFUNCTION("""COMPUTED_VALUE"""),89128.0)</f>
        <v>89128</v>
      </c>
      <c r="B995" s="2">
        <f>IFERROR(__xludf.DUMMYFUNCTION("""COMPUTED_VALUE"""),1.0)</f>
        <v>1</v>
      </c>
      <c r="C995" s="2">
        <f>IFERROR(__xludf.DUMMYFUNCTION("""COMPUTED_VALUE"""),905.0)</f>
        <v>905</v>
      </c>
      <c r="D995" s="3">
        <f>IFERROR(__xludf.DUMMYFUNCTION("""COMPUTED_VALUE"""),723.0)</f>
        <v>723</v>
      </c>
      <c r="E995" s="2"/>
      <c r="F995" s="2"/>
    </row>
    <row r="996">
      <c r="A996" s="2">
        <f>IFERROR(__xludf.DUMMYFUNCTION("""COMPUTED_VALUE"""),29587.0)</f>
        <v>29587</v>
      </c>
      <c r="B996" s="2">
        <f>IFERROR(__xludf.DUMMYFUNCTION("""COMPUTED_VALUE"""),1.0)</f>
        <v>1</v>
      </c>
      <c r="C996" s="2">
        <f>IFERROR(__xludf.DUMMYFUNCTION("""COMPUTED_VALUE"""),550.0)</f>
        <v>550</v>
      </c>
      <c r="D996" s="3">
        <f>IFERROR(__xludf.DUMMYFUNCTION("""COMPUTED_VALUE"""),410.0)</f>
        <v>410</v>
      </c>
      <c r="E996" s="2"/>
      <c r="F996" s="2"/>
    </row>
    <row r="997">
      <c r="A997" s="2">
        <f>IFERROR(__xludf.DUMMYFUNCTION("""COMPUTED_VALUE"""),30711.0)</f>
        <v>30711</v>
      </c>
      <c r="B997" s="2">
        <f>IFERROR(__xludf.DUMMYFUNCTION("""COMPUTED_VALUE"""),0.0)</f>
        <v>0</v>
      </c>
      <c r="C997" s="2">
        <f>IFERROR(__xludf.DUMMYFUNCTION("""COMPUTED_VALUE"""),683.0)</f>
        <v>683</v>
      </c>
      <c r="D997" s="3">
        <f>IFERROR(__xludf.DUMMYFUNCTION("""COMPUTED_VALUE"""),325.0)</f>
        <v>325</v>
      </c>
      <c r="E997" s="2"/>
      <c r="F997" s="2"/>
    </row>
    <row r="998">
      <c r="A998" s="2">
        <f>IFERROR(__xludf.DUMMYFUNCTION("""COMPUTED_VALUE"""),45306.0)</f>
        <v>45306</v>
      </c>
      <c r="B998" s="2">
        <f>IFERROR(__xludf.DUMMYFUNCTION("""COMPUTED_VALUE"""),1.0)</f>
        <v>1</v>
      </c>
      <c r="C998" s="2">
        <f>IFERROR(__xludf.DUMMYFUNCTION("""COMPUTED_VALUE"""),101.0)</f>
        <v>101</v>
      </c>
      <c r="D998" s="3">
        <f>IFERROR(__xludf.DUMMYFUNCTION("""COMPUTED_VALUE"""),15.0)</f>
        <v>15</v>
      </c>
      <c r="E998" s="2"/>
      <c r="F998" s="2"/>
    </row>
    <row r="999">
      <c r="A999" s="2">
        <f>IFERROR(__xludf.DUMMYFUNCTION("""COMPUTED_VALUE"""),120803.0)</f>
        <v>120803</v>
      </c>
      <c r="B999" s="2">
        <f>IFERROR(__xludf.DUMMYFUNCTION("""COMPUTED_VALUE"""),0.0)</f>
        <v>0</v>
      </c>
      <c r="C999" s="2">
        <f>IFERROR(__xludf.DUMMYFUNCTION("""COMPUTED_VALUE"""),142.0)</f>
        <v>142</v>
      </c>
      <c r="D999" s="3">
        <f>IFERROR(__xludf.DUMMYFUNCTION("""COMPUTED_VALUE"""),32.0)</f>
        <v>32</v>
      </c>
      <c r="E999" s="2"/>
      <c r="F999" s="2"/>
    </row>
    <row r="1000">
      <c r="A1000" s="2">
        <f>IFERROR(__xludf.DUMMYFUNCTION("""COMPUTED_VALUE"""),108004.0)</f>
        <v>108004</v>
      </c>
      <c r="B1000" s="2">
        <f>IFERROR(__xludf.DUMMYFUNCTION("""COMPUTED_VALUE"""),0.0)</f>
        <v>0</v>
      </c>
      <c r="C1000" s="2">
        <f>IFERROR(__xludf.DUMMYFUNCTION("""COMPUTED_VALUE"""),24.0)</f>
        <v>24</v>
      </c>
      <c r="D1000" s="3">
        <f>IFERROR(__xludf.DUMMYFUNCTION("""COMPUTED_VALUE"""),21.0)</f>
        <v>21</v>
      </c>
      <c r="E1000" s="2"/>
      <c r="F1000" s="2"/>
    </row>
    <row r="1001">
      <c r="A1001" s="2">
        <f>IFERROR(__xludf.DUMMYFUNCTION("""COMPUTED_VALUE"""),92205.0)</f>
        <v>92205</v>
      </c>
      <c r="B1001" s="2">
        <f>IFERROR(__xludf.DUMMYFUNCTION("""COMPUTED_VALUE"""),1.0)</f>
        <v>1</v>
      </c>
      <c r="C1001" s="2">
        <f>IFERROR(__xludf.DUMMYFUNCTION("""COMPUTED_VALUE"""),748.0)</f>
        <v>748</v>
      </c>
      <c r="D1001" s="3">
        <f>IFERROR(__xludf.DUMMYFUNCTION("""COMPUTED_VALUE"""),230.0)</f>
        <v>230</v>
      </c>
      <c r="E1001" s="2"/>
      <c r="F1001" s="2"/>
    </row>
    <row r="1002">
      <c r="A1002" s="2">
        <f>IFERROR(__xludf.DUMMYFUNCTION("""COMPUTED_VALUE"""),119509.0)</f>
        <v>119509</v>
      </c>
      <c r="B1002" s="2">
        <f>IFERROR(__xludf.DUMMYFUNCTION("""COMPUTED_VALUE"""),1.0)</f>
        <v>1</v>
      </c>
      <c r="C1002" s="2">
        <f>IFERROR(__xludf.DUMMYFUNCTION("""COMPUTED_VALUE"""),253.0)</f>
        <v>253</v>
      </c>
      <c r="D1002" s="3">
        <f>IFERROR(__xludf.DUMMYFUNCTION("""COMPUTED_VALUE"""),60.0)</f>
        <v>60</v>
      </c>
      <c r="E1002" s="2"/>
      <c r="F1002" s="2"/>
    </row>
    <row r="1003">
      <c r="A1003" s="2">
        <f>IFERROR(__xludf.DUMMYFUNCTION("""COMPUTED_VALUE"""),109056.0)</f>
        <v>109056</v>
      </c>
      <c r="B1003" s="2">
        <f>IFERROR(__xludf.DUMMYFUNCTION("""COMPUTED_VALUE"""),1.0)</f>
        <v>1</v>
      </c>
      <c r="C1003" s="2">
        <f>IFERROR(__xludf.DUMMYFUNCTION("""COMPUTED_VALUE"""),807.0)</f>
        <v>807</v>
      </c>
      <c r="D1003" s="3">
        <f>IFERROR(__xludf.DUMMYFUNCTION("""COMPUTED_VALUE"""),502.0)</f>
        <v>502</v>
      </c>
      <c r="E1003" s="2"/>
      <c r="F1003" s="2"/>
    </row>
    <row r="1004">
      <c r="A1004" s="2">
        <f>IFERROR(__xludf.DUMMYFUNCTION("""COMPUTED_VALUE"""),45305.0)</f>
        <v>45305</v>
      </c>
      <c r="B1004" s="2">
        <f>IFERROR(__xludf.DUMMYFUNCTION("""COMPUTED_VALUE"""),0.0)</f>
        <v>0</v>
      </c>
      <c r="C1004" s="2">
        <f>IFERROR(__xludf.DUMMYFUNCTION("""COMPUTED_VALUE"""),204.0)</f>
        <v>204</v>
      </c>
      <c r="D1004" s="3">
        <f>IFERROR(__xludf.DUMMYFUNCTION("""COMPUTED_VALUE"""),145.0)</f>
        <v>145</v>
      </c>
      <c r="E1004" s="2"/>
      <c r="F1004" s="2"/>
    </row>
    <row r="1005">
      <c r="A1005" s="2">
        <f>IFERROR(__xludf.DUMMYFUNCTION("""COMPUTED_VALUE"""),29582.0)</f>
        <v>29582</v>
      </c>
      <c r="B1005" s="2">
        <f>IFERROR(__xludf.DUMMYFUNCTION("""COMPUTED_VALUE"""),1.0)</f>
        <v>1</v>
      </c>
      <c r="C1005" s="2">
        <f>IFERROR(__xludf.DUMMYFUNCTION("""COMPUTED_VALUE"""),133.0)</f>
        <v>133</v>
      </c>
      <c r="D1005" s="3">
        <f>IFERROR(__xludf.DUMMYFUNCTION("""COMPUTED_VALUE"""),43.0)</f>
        <v>43</v>
      </c>
      <c r="E1005" s="2"/>
      <c r="F1005" s="2"/>
    </row>
    <row r="1006">
      <c r="A1006" s="2">
        <f>IFERROR(__xludf.DUMMYFUNCTION("""COMPUTED_VALUE"""),111676.0)</f>
        <v>111676</v>
      </c>
      <c r="B1006" s="2">
        <f>IFERROR(__xludf.DUMMYFUNCTION("""COMPUTED_VALUE"""),1.0)</f>
        <v>1</v>
      </c>
      <c r="C1006" s="2">
        <f>IFERROR(__xludf.DUMMYFUNCTION("""COMPUTED_VALUE"""),764.0)</f>
        <v>764</v>
      </c>
      <c r="D1006" s="3">
        <f>IFERROR(__xludf.DUMMYFUNCTION("""COMPUTED_VALUE"""),636.0)</f>
        <v>636</v>
      </c>
      <c r="E1006" s="2"/>
      <c r="F1006" s="2"/>
    </row>
    <row r="1007">
      <c r="A1007" s="2">
        <f>IFERROR(__xludf.DUMMYFUNCTION("""COMPUTED_VALUE"""),30578.0)</f>
        <v>30578</v>
      </c>
      <c r="B1007" s="2">
        <f>IFERROR(__xludf.DUMMYFUNCTION("""COMPUTED_VALUE"""),0.0)</f>
        <v>0</v>
      </c>
      <c r="C1007" s="2">
        <f>IFERROR(__xludf.DUMMYFUNCTION("""COMPUTED_VALUE"""),254.0)</f>
        <v>254</v>
      </c>
      <c r="D1007" s="3">
        <f>IFERROR(__xludf.DUMMYFUNCTION("""COMPUTED_VALUE"""),142.0)</f>
        <v>142</v>
      </c>
      <c r="E1007" s="2"/>
      <c r="F1007" s="2"/>
    </row>
    <row r="1008">
      <c r="A1008" s="2">
        <f>IFERROR(__xludf.DUMMYFUNCTION("""COMPUTED_VALUE"""),93095.0)</f>
        <v>93095</v>
      </c>
      <c r="B1008" s="2">
        <f>IFERROR(__xludf.DUMMYFUNCTION("""COMPUTED_VALUE"""),1.0)</f>
        <v>1</v>
      </c>
      <c r="C1008" s="2">
        <f>IFERROR(__xludf.DUMMYFUNCTION("""COMPUTED_VALUE"""),240.0)</f>
        <v>240</v>
      </c>
      <c r="D1008" s="3">
        <f>IFERROR(__xludf.DUMMYFUNCTION("""COMPUTED_VALUE"""),136.0)</f>
        <v>136</v>
      </c>
      <c r="E1008" s="2"/>
      <c r="F1008" s="2"/>
    </row>
    <row r="1009">
      <c r="A1009" s="2">
        <f>IFERROR(__xludf.DUMMYFUNCTION("""COMPUTED_VALUE"""),70036.0)</f>
        <v>70036</v>
      </c>
      <c r="B1009" s="2">
        <f>IFERROR(__xludf.DUMMYFUNCTION("""COMPUTED_VALUE"""),0.0)</f>
        <v>0</v>
      </c>
      <c r="C1009" s="2">
        <f>IFERROR(__xludf.DUMMYFUNCTION("""COMPUTED_VALUE"""),442.0)</f>
        <v>442</v>
      </c>
      <c r="D1009" s="3">
        <f>IFERROR(__xludf.DUMMYFUNCTION("""COMPUTED_VALUE"""),309.0)</f>
        <v>309</v>
      </c>
      <c r="E1009" s="2"/>
      <c r="F1009" s="2"/>
    </row>
    <row r="1010">
      <c r="A1010" s="2">
        <f>IFERROR(__xludf.DUMMYFUNCTION("""COMPUTED_VALUE"""),90498.0)</f>
        <v>90498</v>
      </c>
      <c r="B1010" s="2">
        <f>IFERROR(__xludf.DUMMYFUNCTION("""COMPUTED_VALUE"""),0.0)</f>
        <v>0</v>
      </c>
      <c r="C1010" s="2">
        <f>IFERROR(__xludf.DUMMYFUNCTION("""COMPUTED_VALUE"""),384.0)</f>
        <v>384</v>
      </c>
      <c r="D1010" s="3">
        <f>IFERROR(__xludf.DUMMYFUNCTION("""COMPUTED_VALUE"""),275.0)</f>
        <v>275</v>
      </c>
      <c r="E1010" s="2"/>
      <c r="F1010" s="2"/>
    </row>
    <row r="1011">
      <c r="A1011" s="2">
        <f>IFERROR(__xludf.DUMMYFUNCTION("""COMPUTED_VALUE"""),89127.0)</f>
        <v>89127</v>
      </c>
      <c r="B1011" s="2">
        <f>IFERROR(__xludf.DUMMYFUNCTION("""COMPUTED_VALUE"""),1.0)</f>
        <v>1</v>
      </c>
      <c r="C1011" s="2">
        <f>IFERROR(__xludf.DUMMYFUNCTION("""COMPUTED_VALUE"""),760.0)</f>
        <v>760</v>
      </c>
      <c r="D1011" s="3">
        <f>IFERROR(__xludf.DUMMYFUNCTION("""COMPUTED_VALUE"""),354.0)</f>
        <v>354</v>
      </c>
      <c r="E1011" s="2"/>
      <c r="F1011" s="2"/>
    </row>
    <row r="1012">
      <c r="A1012" s="2">
        <f>IFERROR(__xludf.DUMMYFUNCTION("""COMPUTED_VALUE"""),75215.0)</f>
        <v>75215</v>
      </c>
      <c r="B1012" s="2">
        <f>IFERROR(__xludf.DUMMYFUNCTION("""COMPUTED_VALUE"""),0.0)</f>
        <v>0</v>
      </c>
      <c r="C1012" s="2">
        <f>IFERROR(__xludf.DUMMYFUNCTION("""COMPUTED_VALUE"""),766.0)</f>
        <v>766</v>
      </c>
      <c r="D1012" s="3">
        <f>IFERROR(__xludf.DUMMYFUNCTION("""COMPUTED_VALUE"""),127.0)</f>
        <v>127</v>
      </c>
      <c r="E1012" s="2"/>
      <c r="F1012" s="2"/>
    </row>
    <row r="1013">
      <c r="A1013" s="2">
        <f>IFERROR(__xludf.DUMMYFUNCTION("""COMPUTED_VALUE"""),119566.0)</f>
        <v>119566</v>
      </c>
      <c r="B1013" s="2">
        <f>IFERROR(__xludf.DUMMYFUNCTION("""COMPUTED_VALUE"""),0.0)</f>
        <v>0</v>
      </c>
      <c r="C1013" s="2">
        <f>IFERROR(__xludf.DUMMYFUNCTION("""COMPUTED_VALUE"""),949.0)</f>
        <v>949</v>
      </c>
      <c r="D1013" s="3">
        <f>IFERROR(__xludf.DUMMYFUNCTION("""COMPUTED_VALUE"""),510.0)</f>
        <v>510</v>
      </c>
      <c r="E1013" s="2"/>
      <c r="F1013" s="2"/>
    </row>
    <row r="1014">
      <c r="A1014" s="2">
        <f>IFERROR(__xludf.DUMMYFUNCTION("""COMPUTED_VALUE"""),92208.0)</f>
        <v>92208</v>
      </c>
      <c r="B1014" s="2">
        <f>IFERROR(__xludf.DUMMYFUNCTION("""COMPUTED_VALUE"""),0.0)</f>
        <v>0</v>
      </c>
      <c r="C1014" s="2">
        <f>IFERROR(__xludf.DUMMYFUNCTION("""COMPUTED_VALUE"""),546.0)</f>
        <v>546</v>
      </c>
      <c r="D1014" s="3">
        <f>IFERROR(__xludf.DUMMYFUNCTION("""COMPUTED_VALUE"""),216.0)</f>
        <v>216</v>
      </c>
      <c r="E1014" s="2"/>
      <c r="F1014" s="2"/>
    </row>
    <row r="1015">
      <c r="A1015" s="2">
        <f>IFERROR(__xludf.DUMMYFUNCTION("""COMPUTED_VALUE"""),119579.0)</f>
        <v>119579</v>
      </c>
      <c r="B1015" s="2">
        <f>IFERROR(__xludf.DUMMYFUNCTION("""COMPUTED_VALUE"""),0.0)</f>
        <v>0</v>
      </c>
      <c r="C1015" s="2">
        <f>IFERROR(__xludf.DUMMYFUNCTION("""COMPUTED_VALUE"""),595.0)</f>
        <v>595</v>
      </c>
      <c r="D1015" s="3">
        <f>IFERROR(__xludf.DUMMYFUNCTION("""COMPUTED_VALUE"""),28.0)</f>
        <v>28</v>
      </c>
      <c r="E1015" s="2"/>
      <c r="F1015" s="2"/>
    </row>
    <row r="1016">
      <c r="A1016" s="2">
        <f>IFERROR(__xludf.DUMMYFUNCTION("""COMPUTED_VALUE"""),45309.0)</f>
        <v>45309</v>
      </c>
      <c r="B1016" s="2">
        <f>IFERROR(__xludf.DUMMYFUNCTION("""COMPUTED_VALUE"""),1.0)</f>
        <v>1</v>
      </c>
      <c r="C1016" s="2">
        <f>IFERROR(__xludf.DUMMYFUNCTION("""COMPUTED_VALUE"""),722.0)</f>
        <v>722</v>
      </c>
      <c r="D1016" s="3">
        <f>IFERROR(__xludf.DUMMYFUNCTION("""COMPUTED_VALUE"""),601.0)</f>
        <v>601</v>
      </c>
      <c r="E1016" s="2"/>
      <c r="F1016" s="2"/>
    </row>
    <row r="1017">
      <c r="A1017" s="2">
        <f>IFERROR(__xludf.DUMMYFUNCTION("""COMPUTED_VALUE"""),30743.0)</f>
        <v>30743</v>
      </c>
      <c r="B1017" s="2">
        <f>IFERROR(__xludf.DUMMYFUNCTION("""COMPUTED_VALUE"""),0.0)</f>
        <v>0</v>
      </c>
      <c r="C1017" s="2">
        <f>IFERROR(__xludf.DUMMYFUNCTION("""COMPUTED_VALUE"""),453.0)</f>
        <v>453</v>
      </c>
      <c r="D1017" s="3">
        <f>IFERROR(__xludf.DUMMYFUNCTION("""COMPUTED_VALUE"""),46.0)</f>
        <v>46</v>
      </c>
      <c r="E1017" s="2"/>
      <c r="F1017" s="2"/>
    </row>
    <row r="1018">
      <c r="A1018" s="2">
        <f>IFERROR(__xludf.DUMMYFUNCTION("""COMPUTED_VALUE"""),49108.0)</f>
        <v>49108</v>
      </c>
      <c r="B1018" s="2">
        <f>IFERROR(__xludf.DUMMYFUNCTION("""COMPUTED_VALUE"""),0.0)</f>
        <v>0</v>
      </c>
      <c r="C1018" s="2">
        <f>IFERROR(__xludf.DUMMYFUNCTION("""COMPUTED_VALUE"""),449.0)</f>
        <v>449</v>
      </c>
      <c r="D1018" s="3">
        <f>IFERROR(__xludf.DUMMYFUNCTION("""COMPUTED_VALUE"""),190.0)</f>
        <v>190</v>
      </c>
      <c r="E1018" s="2"/>
      <c r="F1018" s="2"/>
    </row>
    <row r="1019">
      <c r="A1019" s="2">
        <f>IFERROR(__xludf.DUMMYFUNCTION("""COMPUTED_VALUE"""),29584.0)</f>
        <v>29584</v>
      </c>
      <c r="B1019" s="2">
        <f>IFERROR(__xludf.DUMMYFUNCTION("""COMPUTED_VALUE"""),0.0)</f>
        <v>0</v>
      </c>
      <c r="C1019" s="2">
        <f>IFERROR(__xludf.DUMMYFUNCTION("""COMPUTED_VALUE"""),79.0)</f>
        <v>79</v>
      </c>
      <c r="D1019" s="3">
        <f>IFERROR(__xludf.DUMMYFUNCTION("""COMPUTED_VALUE"""),13.0)</f>
        <v>13</v>
      </c>
      <c r="E1019" s="2"/>
      <c r="F1019" s="2"/>
    </row>
    <row r="1020">
      <c r="A1020" s="2">
        <f>IFERROR(__xludf.DUMMYFUNCTION("""COMPUTED_VALUE"""),119501.0)</f>
        <v>119501</v>
      </c>
      <c r="B1020" s="2">
        <f>IFERROR(__xludf.DUMMYFUNCTION("""COMPUTED_VALUE"""),1.0)</f>
        <v>1</v>
      </c>
      <c r="C1020" s="2">
        <f>IFERROR(__xludf.DUMMYFUNCTION("""COMPUTED_VALUE"""),484.0)</f>
        <v>484</v>
      </c>
      <c r="D1020" s="3">
        <f>IFERROR(__xludf.DUMMYFUNCTION("""COMPUTED_VALUE"""),423.0)</f>
        <v>423</v>
      </c>
      <c r="E1020" s="2"/>
      <c r="F1020" s="2"/>
    </row>
    <row r="1021">
      <c r="A1021" s="2">
        <f>IFERROR(__xludf.DUMMYFUNCTION("""COMPUTED_VALUE"""),30504.0)</f>
        <v>30504</v>
      </c>
      <c r="B1021" s="2">
        <f>IFERROR(__xludf.DUMMYFUNCTION("""COMPUTED_VALUE"""),0.0)</f>
        <v>0</v>
      </c>
      <c r="C1021" s="2">
        <f>IFERROR(__xludf.DUMMYFUNCTION("""COMPUTED_VALUE"""),241.0)</f>
        <v>241</v>
      </c>
      <c r="D1021" s="3">
        <f>IFERROR(__xludf.DUMMYFUNCTION("""COMPUTED_VALUE"""),174.0)</f>
        <v>174</v>
      </c>
      <c r="E1021" s="2"/>
      <c r="F1021" s="2"/>
    </row>
    <row r="1022">
      <c r="A1022" s="2">
        <f>IFERROR(__xludf.DUMMYFUNCTION("""COMPUTED_VALUE"""),93101.0)</f>
        <v>93101</v>
      </c>
      <c r="B1022" s="2">
        <f>IFERROR(__xludf.DUMMYFUNCTION("""COMPUTED_VALUE"""),1.0)</f>
        <v>1</v>
      </c>
      <c r="C1022" s="2">
        <f>IFERROR(__xludf.DUMMYFUNCTION("""COMPUTED_VALUE"""),839.0)</f>
        <v>839</v>
      </c>
      <c r="D1022" s="3">
        <f>IFERROR(__xludf.DUMMYFUNCTION("""COMPUTED_VALUE"""),631.0)</f>
        <v>631</v>
      </c>
      <c r="E1022" s="2"/>
      <c r="F1022" s="2"/>
    </row>
    <row r="1023">
      <c r="A1023" s="2">
        <f>IFERROR(__xludf.DUMMYFUNCTION("""COMPUTED_VALUE"""),30749.0)</f>
        <v>30749</v>
      </c>
      <c r="B1023" s="2">
        <f>IFERROR(__xludf.DUMMYFUNCTION("""COMPUTED_VALUE"""),0.0)</f>
        <v>0</v>
      </c>
      <c r="C1023" s="2">
        <f>IFERROR(__xludf.DUMMYFUNCTION("""COMPUTED_VALUE"""),10.0)</f>
        <v>10</v>
      </c>
      <c r="D1023" s="3">
        <f>IFERROR(__xludf.DUMMYFUNCTION("""COMPUTED_VALUE"""),0.0)</f>
        <v>0</v>
      </c>
      <c r="E1023" s="2"/>
      <c r="F1023" s="2"/>
    </row>
    <row r="1024">
      <c r="A1024" s="2">
        <f>IFERROR(__xludf.DUMMYFUNCTION("""COMPUTED_VALUE"""),120813.0)</f>
        <v>120813</v>
      </c>
      <c r="B1024" s="2">
        <f>IFERROR(__xludf.DUMMYFUNCTION("""COMPUTED_VALUE"""),1.0)</f>
        <v>1</v>
      </c>
      <c r="C1024" s="2">
        <f>IFERROR(__xludf.DUMMYFUNCTION("""COMPUTED_VALUE"""),279.0)</f>
        <v>279</v>
      </c>
      <c r="D1024" s="3">
        <f>IFERROR(__xludf.DUMMYFUNCTION("""COMPUTED_VALUE"""),28.0)</f>
        <v>28</v>
      </c>
      <c r="E1024" s="2"/>
      <c r="F1024" s="2"/>
    </row>
    <row r="1025">
      <c r="A1025" s="2">
        <f>IFERROR(__xludf.DUMMYFUNCTION("""COMPUTED_VALUE"""),29590.0)</f>
        <v>29590</v>
      </c>
      <c r="B1025" s="2">
        <f>IFERROR(__xludf.DUMMYFUNCTION("""COMPUTED_VALUE"""),1.0)</f>
        <v>1</v>
      </c>
      <c r="C1025" s="2">
        <f>IFERROR(__xludf.DUMMYFUNCTION("""COMPUTED_VALUE"""),171.0)</f>
        <v>171</v>
      </c>
      <c r="D1025" s="3">
        <f>IFERROR(__xludf.DUMMYFUNCTION("""COMPUTED_VALUE"""),129.0)</f>
        <v>129</v>
      </c>
      <c r="E1025" s="2"/>
      <c r="F1025" s="2"/>
    </row>
    <row r="1026">
      <c r="A1026" s="2">
        <f>IFERROR(__xludf.DUMMYFUNCTION("""COMPUTED_VALUE"""),118662.0)</f>
        <v>118662</v>
      </c>
      <c r="B1026" s="2">
        <f>IFERROR(__xludf.DUMMYFUNCTION("""COMPUTED_VALUE"""),0.0)</f>
        <v>0</v>
      </c>
      <c r="C1026" s="2">
        <f>IFERROR(__xludf.DUMMYFUNCTION("""COMPUTED_VALUE"""),322.0)</f>
        <v>322</v>
      </c>
      <c r="D1026" s="3">
        <f>IFERROR(__xludf.DUMMYFUNCTION("""COMPUTED_VALUE"""),198.0)</f>
        <v>198</v>
      </c>
      <c r="E1026" s="2"/>
      <c r="F1026" s="2"/>
    </row>
    <row r="1027">
      <c r="A1027" s="2">
        <f>IFERROR(__xludf.DUMMYFUNCTION("""COMPUTED_VALUE"""),30478.0)</f>
        <v>30478</v>
      </c>
      <c r="B1027" s="2">
        <f>IFERROR(__xludf.DUMMYFUNCTION("""COMPUTED_VALUE"""),0.0)</f>
        <v>0</v>
      </c>
      <c r="C1027" s="2">
        <f>IFERROR(__xludf.DUMMYFUNCTION("""COMPUTED_VALUE"""),212.0)</f>
        <v>212</v>
      </c>
      <c r="D1027" s="3">
        <f>IFERROR(__xludf.DUMMYFUNCTION("""COMPUTED_VALUE"""),1.0)</f>
        <v>1</v>
      </c>
      <c r="E1027" s="2"/>
      <c r="F1027" s="2"/>
    </row>
    <row r="1028">
      <c r="A1028" s="2">
        <f>IFERROR(__xludf.DUMMYFUNCTION("""COMPUTED_VALUE"""),90475.0)</f>
        <v>90475</v>
      </c>
      <c r="B1028" s="2">
        <f>IFERROR(__xludf.DUMMYFUNCTION("""COMPUTED_VALUE"""),0.0)</f>
        <v>0</v>
      </c>
      <c r="C1028" s="2">
        <f>IFERROR(__xludf.DUMMYFUNCTION("""COMPUTED_VALUE"""),86.0)</f>
        <v>86</v>
      </c>
      <c r="D1028" s="3">
        <f>IFERROR(__xludf.DUMMYFUNCTION("""COMPUTED_VALUE"""),2.0)</f>
        <v>2</v>
      </c>
      <c r="E1028" s="2"/>
      <c r="F1028" s="2"/>
    </row>
    <row r="1029">
      <c r="A1029" s="2">
        <f>IFERROR(__xludf.DUMMYFUNCTION("""COMPUTED_VALUE"""),29530.0)</f>
        <v>29530</v>
      </c>
      <c r="B1029" s="2">
        <f>IFERROR(__xludf.DUMMYFUNCTION("""COMPUTED_VALUE"""),0.0)</f>
        <v>0</v>
      </c>
      <c r="C1029" s="2">
        <f>IFERROR(__xludf.DUMMYFUNCTION("""COMPUTED_VALUE"""),106.0)</f>
        <v>106</v>
      </c>
      <c r="D1029" s="3">
        <f>IFERROR(__xludf.DUMMYFUNCTION("""COMPUTED_VALUE"""),61.0)</f>
        <v>61</v>
      </c>
      <c r="E1029" s="2"/>
      <c r="F1029" s="2"/>
    </row>
    <row r="1030">
      <c r="A1030" s="2">
        <f>IFERROR(__xludf.DUMMYFUNCTION("""COMPUTED_VALUE"""),81528.0)</f>
        <v>81528</v>
      </c>
      <c r="B1030" s="2">
        <f>IFERROR(__xludf.DUMMYFUNCTION("""COMPUTED_VALUE"""),1.0)</f>
        <v>1</v>
      </c>
      <c r="C1030" s="2">
        <f>IFERROR(__xludf.DUMMYFUNCTION("""COMPUTED_VALUE"""),553.0)</f>
        <v>553</v>
      </c>
      <c r="D1030" s="3">
        <f>IFERROR(__xludf.DUMMYFUNCTION("""COMPUTED_VALUE"""),488.0)</f>
        <v>488</v>
      </c>
      <c r="E1030" s="2"/>
      <c r="F1030" s="2"/>
    </row>
    <row r="1031">
      <c r="A1031" s="2">
        <f>IFERROR(__xludf.DUMMYFUNCTION("""COMPUTED_VALUE"""),100436.0)</f>
        <v>100436</v>
      </c>
      <c r="B1031" s="2">
        <f>IFERROR(__xludf.DUMMYFUNCTION("""COMPUTED_VALUE"""),1.0)</f>
        <v>1</v>
      </c>
      <c r="C1031" s="2">
        <f>IFERROR(__xludf.DUMMYFUNCTION("""COMPUTED_VALUE"""),814.0)</f>
        <v>814</v>
      </c>
      <c r="D1031" s="3">
        <f>IFERROR(__xludf.DUMMYFUNCTION("""COMPUTED_VALUE"""),10.0)</f>
        <v>10</v>
      </c>
      <c r="E1031" s="2"/>
      <c r="F1031" s="2"/>
    </row>
    <row r="1032">
      <c r="A1032" s="2">
        <f>IFERROR(__xludf.DUMMYFUNCTION("""COMPUTED_VALUE"""),29499.0)</f>
        <v>29499</v>
      </c>
      <c r="B1032" s="2">
        <f>IFERROR(__xludf.DUMMYFUNCTION("""COMPUTED_VALUE"""),0.0)</f>
        <v>0</v>
      </c>
      <c r="C1032" s="2">
        <f>IFERROR(__xludf.DUMMYFUNCTION("""COMPUTED_VALUE"""),345.0)</f>
        <v>345</v>
      </c>
      <c r="D1032" s="3">
        <f>IFERROR(__xludf.DUMMYFUNCTION("""COMPUTED_VALUE"""),19.0)</f>
        <v>19</v>
      </c>
      <c r="E1032" s="2"/>
      <c r="F1032" s="2"/>
    </row>
    <row r="1033">
      <c r="A1033" s="2">
        <f>IFERROR(__xludf.DUMMYFUNCTION("""COMPUTED_VALUE"""),30683.0)</f>
        <v>30683</v>
      </c>
      <c r="B1033" s="2">
        <f>IFERROR(__xludf.DUMMYFUNCTION("""COMPUTED_VALUE"""),1.0)</f>
        <v>1</v>
      </c>
      <c r="C1033" s="2">
        <f>IFERROR(__xludf.DUMMYFUNCTION("""COMPUTED_VALUE"""),26.0)</f>
        <v>26</v>
      </c>
      <c r="D1033" s="3">
        <f>IFERROR(__xludf.DUMMYFUNCTION("""COMPUTED_VALUE"""),16.0)</f>
        <v>16</v>
      </c>
      <c r="E1033" s="2"/>
      <c r="F1033" s="2"/>
    </row>
    <row r="1034">
      <c r="A1034" s="2">
        <f>IFERROR(__xludf.DUMMYFUNCTION("""COMPUTED_VALUE"""),69906.0)</f>
        <v>69906</v>
      </c>
      <c r="B1034" s="2">
        <f>IFERROR(__xludf.DUMMYFUNCTION("""COMPUTED_VALUE"""),0.0)</f>
        <v>0</v>
      </c>
      <c r="C1034" s="2">
        <f>IFERROR(__xludf.DUMMYFUNCTION("""COMPUTED_VALUE"""),892.0)</f>
        <v>892</v>
      </c>
      <c r="D1034" s="3">
        <f>IFERROR(__xludf.DUMMYFUNCTION("""COMPUTED_VALUE"""),864.0)</f>
        <v>864</v>
      </c>
      <c r="E1034" s="2"/>
      <c r="F1034" s="2"/>
    </row>
    <row r="1035">
      <c r="A1035" s="2">
        <f>IFERROR(__xludf.DUMMYFUNCTION("""COMPUTED_VALUE"""),90174.0)</f>
        <v>90174</v>
      </c>
      <c r="B1035" s="2">
        <f>IFERROR(__xludf.DUMMYFUNCTION("""COMPUTED_VALUE"""),0.0)</f>
        <v>0</v>
      </c>
      <c r="C1035" s="2">
        <f>IFERROR(__xludf.DUMMYFUNCTION("""COMPUTED_VALUE"""),318.0)</f>
        <v>318</v>
      </c>
      <c r="D1035" s="3">
        <f>IFERROR(__xludf.DUMMYFUNCTION("""COMPUTED_VALUE"""),47.0)</f>
        <v>47</v>
      </c>
      <c r="E1035" s="2"/>
      <c r="F1035" s="2"/>
    </row>
    <row r="1036">
      <c r="A1036" s="2">
        <f>IFERROR(__xludf.DUMMYFUNCTION("""COMPUTED_VALUE"""),90168.0)</f>
        <v>90168</v>
      </c>
      <c r="B1036" s="2">
        <f>IFERROR(__xludf.DUMMYFUNCTION("""COMPUTED_VALUE"""),0.0)</f>
        <v>0</v>
      </c>
      <c r="C1036" s="2">
        <f>IFERROR(__xludf.DUMMYFUNCTION("""COMPUTED_VALUE"""),598.0)</f>
        <v>598</v>
      </c>
      <c r="D1036" s="3">
        <f>IFERROR(__xludf.DUMMYFUNCTION("""COMPUTED_VALUE"""),297.0)</f>
        <v>297</v>
      </c>
      <c r="E1036" s="2"/>
      <c r="F1036" s="2"/>
    </row>
    <row r="1037">
      <c r="A1037" s="2">
        <f>IFERROR(__xludf.DUMMYFUNCTION("""COMPUTED_VALUE"""),79488.0)</f>
        <v>79488</v>
      </c>
      <c r="B1037" s="2">
        <f>IFERROR(__xludf.DUMMYFUNCTION("""COMPUTED_VALUE"""),0.0)</f>
        <v>0</v>
      </c>
      <c r="C1037" s="2">
        <f>IFERROR(__xludf.DUMMYFUNCTION("""COMPUTED_VALUE"""),834.0)</f>
        <v>834</v>
      </c>
      <c r="D1037" s="3">
        <f>IFERROR(__xludf.DUMMYFUNCTION("""COMPUTED_VALUE"""),355.0)</f>
        <v>355</v>
      </c>
      <c r="E1037" s="2"/>
      <c r="F1037" s="2"/>
    </row>
    <row r="1038">
      <c r="A1038" s="2">
        <f>IFERROR(__xludf.DUMMYFUNCTION("""COMPUTED_VALUE"""),119640.0)</f>
        <v>119640</v>
      </c>
      <c r="B1038" s="2">
        <f>IFERROR(__xludf.DUMMYFUNCTION("""COMPUTED_VALUE"""),0.0)</f>
        <v>0</v>
      </c>
      <c r="C1038" s="2">
        <f>IFERROR(__xludf.DUMMYFUNCTION("""COMPUTED_VALUE"""),863.0)</f>
        <v>863</v>
      </c>
      <c r="D1038" s="3">
        <f>IFERROR(__xludf.DUMMYFUNCTION("""COMPUTED_VALUE"""),533.0)</f>
        <v>533</v>
      </c>
      <c r="E1038" s="2"/>
      <c r="F1038" s="2"/>
    </row>
    <row r="1039">
      <c r="A1039" s="2">
        <f>IFERROR(__xludf.DUMMYFUNCTION("""COMPUTED_VALUE"""),119515.0)</f>
        <v>119515</v>
      </c>
      <c r="B1039" s="2">
        <f>IFERROR(__xludf.DUMMYFUNCTION("""COMPUTED_VALUE"""),0.0)</f>
        <v>0</v>
      </c>
      <c r="C1039" s="2">
        <f>IFERROR(__xludf.DUMMYFUNCTION("""COMPUTED_VALUE"""),344.0)</f>
        <v>344</v>
      </c>
      <c r="D1039" s="3">
        <f>IFERROR(__xludf.DUMMYFUNCTION("""COMPUTED_VALUE"""),77.0)</f>
        <v>77</v>
      </c>
      <c r="E1039" s="2"/>
      <c r="F1039" s="2"/>
    </row>
    <row r="1040">
      <c r="A1040" s="2">
        <f>IFERROR(__xludf.DUMMYFUNCTION("""COMPUTED_VALUE"""),103685.0)</f>
        <v>103685</v>
      </c>
      <c r="B1040" s="2">
        <f>IFERROR(__xludf.DUMMYFUNCTION("""COMPUTED_VALUE"""),1.0)</f>
        <v>1</v>
      </c>
      <c r="C1040" s="2">
        <f>IFERROR(__xludf.DUMMYFUNCTION("""COMPUTED_VALUE"""),880.0)</f>
        <v>880</v>
      </c>
      <c r="D1040" s="3">
        <f>IFERROR(__xludf.DUMMYFUNCTION("""COMPUTED_VALUE"""),606.0)</f>
        <v>606</v>
      </c>
      <c r="E1040" s="2"/>
      <c r="F1040" s="2"/>
    </row>
    <row r="1041">
      <c r="A1041" s="2">
        <f>IFERROR(__xludf.DUMMYFUNCTION("""COMPUTED_VALUE"""),111617.0)</f>
        <v>111617</v>
      </c>
      <c r="B1041" s="2">
        <f>IFERROR(__xludf.DUMMYFUNCTION("""COMPUTED_VALUE"""),0.0)</f>
        <v>0</v>
      </c>
      <c r="C1041" s="2">
        <f>IFERROR(__xludf.DUMMYFUNCTION("""COMPUTED_VALUE"""),133.0)</f>
        <v>133</v>
      </c>
      <c r="D1041" s="3">
        <f>IFERROR(__xludf.DUMMYFUNCTION("""COMPUTED_VALUE"""),12.0)</f>
        <v>12</v>
      </c>
      <c r="E1041" s="2"/>
      <c r="F1041" s="2"/>
    </row>
    <row r="1042">
      <c r="A1042" s="2">
        <f>IFERROR(__xludf.DUMMYFUNCTION("""COMPUTED_VALUE"""),98637.0)</f>
        <v>98637</v>
      </c>
      <c r="B1042" s="2">
        <f>IFERROR(__xludf.DUMMYFUNCTION("""COMPUTED_VALUE"""),0.0)</f>
        <v>0</v>
      </c>
      <c r="C1042" s="2">
        <f>IFERROR(__xludf.DUMMYFUNCTION("""COMPUTED_VALUE"""),665.0)</f>
        <v>665</v>
      </c>
      <c r="D1042" s="3">
        <f>IFERROR(__xludf.DUMMYFUNCTION("""COMPUTED_VALUE"""),543.0)</f>
        <v>543</v>
      </c>
      <c r="E1042" s="2"/>
      <c r="F1042" s="2"/>
    </row>
    <row r="1043">
      <c r="A1043" s="2">
        <f>IFERROR(__xludf.DUMMYFUNCTION("""COMPUTED_VALUE"""),90159.0)</f>
        <v>90159</v>
      </c>
      <c r="B1043" s="2">
        <f>IFERROR(__xludf.DUMMYFUNCTION("""COMPUTED_VALUE"""),1.0)</f>
        <v>1</v>
      </c>
      <c r="C1043" s="2">
        <f>IFERROR(__xludf.DUMMYFUNCTION("""COMPUTED_VALUE"""),512.0)</f>
        <v>512</v>
      </c>
      <c r="D1043" s="3">
        <f>IFERROR(__xludf.DUMMYFUNCTION("""COMPUTED_VALUE"""),492.0)</f>
        <v>492</v>
      </c>
      <c r="E1043" s="2"/>
      <c r="F1043" s="2"/>
    </row>
    <row r="1044">
      <c r="A1044" s="2">
        <f>IFERROR(__xludf.DUMMYFUNCTION("""COMPUTED_VALUE"""),76651.0)</f>
        <v>76651</v>
      </c>
      <c r="B1044" s="2">
        <f>IFERROR(__xludf.DUMMYFUNCTION("""COMPUTED_VALUE"""),0.0)</f>
        <v>0</v>
      </c>
      <c r="C1044" s="2">
        <f>IFERROR(__xludf.DUMMYFUNCTION("""COMPUTED_VALUE"""),807.0)</f>
        <v>807</v>
      </c>
      <c r="D1044" s="3">
        <f>IFERROR(__xludf.DUMMYFUNCTION("""COMPUTED_VALUE"""),774.0)</f>
        <v>774</v>
      </c>
      <c r="E1044" s="2"/>
      <c r="F1044" s="2"/>
    </row>
    <row r="1045">
      <c r="A1045" s="2">
        <f>IFERROR(__xludf.DUMMYFUNCTION("""COMPUTED_VALUE"""),119531.0)</f>
        <v>119531</v>
      </c>
      <c r="B1045" s="2">
        <f>IFERROR(__xludf.DUMMYFUNCTION("""COMPUTED_VALUE"""),1.0)</f>
        <v>1</v>
      </c>
      <c r="C1045" s="2">
        <f>IFERROR(__xludf.DUMMYFUNCTION("""COMPUTED_VALUE"""),673.0)</f>
        <v>673</v>
      </c>
      <c r="D1045" s="3">
        <f>IFERROR(__xludf.DUMMYFUNCTION("""COMPUTED_VALUE"""),385.0)</f>
        <v>385</v>
      </c>
      <c r="E1045" s="2"/>
      <c r="F1045" s="2"/>
    </row>
    <row r="1046">
      <c r="A1046" s="2">
        <f>IFERROR(__xludf.DUMMYFUNCTION("""COMPUTED_VALUE"""),93884.0)</f>
        <v>93884</v>
      </c>
      <c r="B1046" s="2">
        <f>IFERROR(__xludf.DUMMYFUNCTION("""COMPUTED_VALUE"""),0.0)</f>
        <v>0</v>
      </c>
      <c r="C1046" s="2">
        <f>IFERROR(__xludf.DUMMYFUNCTION("""COMPUTED_VALUE"""),177.0)</f>
        <v>177</v>
      </c>
      <c r="D1046" s="3">
        <f>IFERROR(__xludf.DUMMYFUNCTION("""COMPUTED_VALUE"""),39.0)</f>
        <v>39</v>
      </c>
      <c r="E1046" s="2"/>
      <c r="F1046" s="2"/>
    </row>
    <row r="1047">
      <c r="A1047" s="2">
        <f>IFERROR(__xludf.DUMMYFUNCTION("""COMPUTED_VALUE"""),79467.0)</f>
        <v>79467</v>
      </c>
      <c r="B1047" s="2">
        <f>IFERROR(__xludf.DUMMYFUNCTION("""COMPUTED_VALUE"""),1.0)</f>
        <v>1</v>
      </c>
      <c r="C1047" s="2">
        <f>IFERROR(__xludf.DUMMYFUNCTION("""COMPUTED_VALUE"""),717.0)</f>
        <v>717</v>
      </c>
      <c r="D1047" s="3">
        <f>IFERROR(__xludf.DUMMYFUNCTION("""COMPUTED_VALUE"""),620.0)</f>
        <v>620</v>
      </c>
      <c r="E1047" s="2"/>
      <c r="F1047" s="2"/>
    </row>
    <row r="1048">
      <c r="A1048" s="2">
        <f>IFERROR(__xludf.DUMMYFUNCTION("""COMPUTED_VALUE"""),29532.0)</f>
        <v>29532</v>
      </c>
      <c r="B1048" s="2">
        <f>IFERROR(__xludf.DUMMYFUNCTION("""COMPUTED_VALUE"""),1.0)</f>
        <v>1</v>
      </c>
      <c r="C1048" s="2">
        <f>IFERROR(__xludf.DUMMYFUNCTION("""COMPUTED_VALUE"""),95.0)</f>
        <v>95</v>
      </c>
      <c r="D1048" s="3">
        <f>IFERROR(__xludf.DUMMYFUNCTION("""COMPUTED_VALUE"""),36.0)</f>
        <v>36</v>
      </c>
      <c r="E1048" s="2"/>
      <c r="F1048" s="2"/>
    </row>
    <row r="1049">
      <c r="A1049" s="2">
        <f>IFERROR(__xludf.DUMMYFUNCTION("""COMPUTED_VALUE"""),104063.0)</f>
        <v>104063</v>
      </c>
      <c r="B1049" s="2">
        <f>IFERROR(__xludf.DUMMYFUNCTION("""COMPUTED_VALUE"""),1.0)</f>
        <v>1</v>
      </c>
      <c r="C1049" s="2">
        <f>IFERROR(__xludf.DUMMYFUNCTION("""COMPUTED_VALUE"""),370.0)</f>
        <v>370</v>
      </c>
      <c r="D1049" s="3">
        <f>IFERROR(__xludf.DUMMYFUNCTION("""COMPUTED_VALUE"""),102.0)</f>
        <v>102</v>
      </c>
      <c r="E1049" s="2"/>
      <c r="F1049" s="2"/>
    </row>
    <row r="1050">
      <c r="A1050" s="2">
        <f>IFERROR(__xludf.DUMMYFUNCTION("""COMPUTED_VALUE"""),90166.0)</f>
        <v>90166</v>
      </c>
      <c r="B1050" s="2">
        <f>IFERROR(__xludf.DUMMYFUNCTION("""COMPUTED_VALUE"""),0.0)</f>
        <v>0</v>
      </c>
      <c r="C1050" s="2">
        <f>IFERROR(__xludf.DUMMYFUNCTION("""COMPUTED_VALUE"""),737.0)</f>
        <v>737</v>
      </c>
      <c r="D1050" s="3">
        <f>IFERROR(__xludf.DUMMYFUNCTION("""COMPUTED_VALUE"""),124.0)</f>
        <v>124</v>
      </c>
      <c r="E1050" s="2"/>
      <c r="F1050" s="2"/>
    </row>
    <row r="1051">
      <c r="A1051" s="2">
        <f>IFERROR(__xludf.DUMMYFUNCTION("""COMPUTED_VALUE"""),29538.0)</f>
        <v>29538</v>
      </c>
      <c r="B1051" s="2">
        <f>IFERROR(__xludf.DUMMYFUNCTION("""COMPUTED_VALUE"""),1.0)</f>
        <v>1</v>
      </c>
      <c r="C1051" s="2">
        <f>IFERROR(__xludf.DUMMYFUNCTION("""COMPUTED_VALUE"""),982.0)</f>
        <v>982</v>
      </c>
      <c r="D1051" s="3">
        <f>IFERROR(__xludf.DUMMYFUNCTION("""COMPUTED_VALUE"""),70.0)</f>
        <v>70</v>
      </c>
      <c r="E1051" s="2"/>
      <c r="F1051" s="2"/>
    </row>
    <row r="1052">
      <c r="A1052" s="2">
        <f>IFERROR(__xludf.DUMMYFUNCTION("""COMPUTED_VALUE"""),70538.0)</f>
        <v>70538</v>
      </c>
      <c r="B1052" s="2">
        <f>IFERROR(__xludf.DUMMYFUNCTION("""COMPUTED_VALUE"""),0.0)</f>
        <v>0</v>
      </c>
      <c r="C1052" s="2">
        <f>IFERROR(__xludf.DUMMYFUNCTION("""COMPUTED_VALUE"""),384.0)</f>
        <v>384</v>
      </c>
      <c r="D1052" s="3">
        <f>IFERROR(__xludf.DUMMYFUNCTION("""COMPUTED_VALUE"""),196.0)</f>
        <v>196</v>
      </c>
      <c r="E1052" s="2"/>
      <c r="F1052" s="2"/>
    </row>
    <row r="1053">
      <c r="A1053" s="2">
        <f>IFERROR(__xludf.DUMMYFUNCTION("""COMPUTED_VALUE"""),93893.0)</f>
        <v>93893</v>
      </c>
      <c r="B1053" s="2">
        <f>IFERROR(__xludf.DUMMYFUNCTION("""COMPUTED_VALUE"""),1.0)</f>
        <v>1</v>
      </c>
      <c r="C1053" s="2">
        <f>IFERROR(__xludf.DUMMYFUNCTION("""COMPUTED_VALUE"""),520.0)</f>
        <v>520</v>
      </c>
      <c r="D1053" s="3">
        <f>IFERROR(__xludf.DUMMYFUNCTION("""COMPUTED_VALUE"""),346.0)</f>
        <v>346</v>
      </c>
      <c r="E1053" s="2"/>
      <c r="F1053" s="2"/>
    </row>
    <row r="1054">
      <c r="A1054" s="2">
        <f>IFERROR(__xludf.DUMMYFUNCTION("""COMPUTED_VALUE"""),119518.0)</f>
        <v>119518</v>
      </c>
      <c r="B1054" s="2">
        <f>IFERROR(__xludf.DUMMYFUNCTION("""COMPUTED_VALUE"""),1.0)</f>
        <v>1</v>
      </c>
      <c r="C1054" s="2">
        <f>IFERROR(__xludf.DUMMYFUNCTION("""COMPUTED_VALUE"""),497.0)</f>
        <v>497</v>
      </c>
      <c r="D1054" s="3">
        <f>IFERROR(__xludf.DUMMYFUNCTION("""COMPUTED_VALUE"""),95.0)</f>
        <v>95</v>
      </c>
      <c r="E1054" s="2"/>
      <c r="F1054" s="2"/>
    </row>
    <row r="1055">
      <c r="A1055" s="2">
        <f>IFERROR(__xludf.DUMMYFUNCTION("""COMPUTED_VALUE"""),111338.0)</f>
        <v>111338</v>
      </c>
      <c r="B1055" s="2">
        <f>IFERROR(__xludf.DUMMYFUNCTION("""COMPUTED_VALUE"""),0.0)</f>
        <v>0</v>
      </c>
      <c r="C1055" s="2">
        <f>IFERROR(__xludf.DUMMYFUNCTION("""COMPUTED_VALUE"""),822.0)</f>
        <v>822</v>
      </c>
      <c r="D1055" s="3">
        <f>IFERROR(__xludf.DUMMYFUNCTION("""COMPUTED_VALUE"""),84.0)</f>
        <v>84</v>
      </c>
      <c r="E1055" s="2"/>
      <c r="F1055" s="2"/>
    </row>
    <row r="1056">
      <c r="A1056" s="2">
        <f>IFERROR(__xludf.DUMMYFUNCTION("""COMPUTED_VALUE"""),100435.0)</f>
        <v>100435</v>
      </c>
      <c r="B1056" s="2">
        <f>IFERROR(__xludf.DUMMYFUNCTION("""COMPUTED_VALUE"""),0.0)</f>
        <v>0</v>
      </c>
      <c r="C1056" s="2">
        <f>IFERROR(__xludf.DUMMYFUNCTION("""COMPUTED_VALUE"""),232.0)</f>
        <v>232</v>
      </c>
      <c r="D1056" s="3">
        <f>IFERROR(__xludf.DUMMYFUNCTION("""COMPUTED_VALUE"""),72.0)</f>
        <v>72</v>
      </c>
      <c r="E1056" s="2"/>
      <c r="F1056" s="2"/>
    </row>
    <row r="1057">
      <c r="A1057" s="2">
        <f>IFERROR(__xludf.DUMMYFUNCTION("""COMPUTED_VALUE"""),89130.0)</f>
        <v>89130</v>
      </c>
      <c r="B1057" s="2">
        <f>IFERROR(__xludf.DUMMYFUNCTION("""COMPUTED_VALUE"""),1.0)</f>
        <v>1</v>
      </c>
      <c r="C1057" s="2">
        <f>IFERROR(__xludf.DUMMYFUNCTION("""COMPUTED_VALUE"""),661.0)</f>
        <v>661</v>
      </c>
      <c r="D1057" s="3">
        <f>IFERROR(__xludf.DUMMYFUNCTION("""COMPUTED_VALUE"""),464.0)</f>
        <v>464</v>
      </c>
      <c r="E1057" s="2"/>
      <c r="F1057" s="2"/>
    </row>
    <row r="1058">
      <c r="A1058" s="2">
        <f>IFERROR(__xludf.DUMMYFUNCTION("""COMPUTED_VALUE"""),103695.0)</f>
        <v>103695</v>
      </c>
      <c r="B1058" s="2">
        <f>IFERROR(__xludf.DUMMYFUNCTION("""COMPUTED_VALUE"""),0.0)</f>
        <v>0</v>
      </c>
      <c r="C1058" s="2">
        <f>IFERROR(__xludf.DUMMYFUNCTION("""COMPUTED_VALUE"""),299.0)</f>
        <v>299</v>
      </c>
      <c r="D1058" s="3">
        <f>IFERROR(__xludf.DUMMYFUNCTION("""COMPUTED_VALUE"""),210.0)</f>
        <v>210</v>
      </c>
      <c r="E1058" s="2"/>
      <c r="F1058" s="2"/>
    </row>
    <row r="1059">
      <c r="A1059" s="2">
        <f>IFERROR(__xludf.DUMMYFUNCTION("""COMPUTED_VALUE"""),90201.0)</f>
        <v>90201</v>
      </c>
      <c r="B1059" s="2">
        <f>IFERROR(__xludf.DUMMYFUNCTION("""COMPUTED_VALUE"""),1.0)</f>
        <v>1</v>
      </c>
      <c r="C1059" s="2">
        <f>IFERROR(__xludf.DUMMYFUNCTION("""COMPUTED_VALUE"""),199.0)</f>
        <v>199</v>
      </c>
      <c r="D1059" s="3">
        <f>IFERROR(__xludf.DUMMYFUNCTION("""COMPUTED_VALUE"""),135.0)</f>
        <v>135</v>
      </c>
      <c r="E1059" s="2"/>
      <c r="F1059" s="2"/>
    </row>
    <row r="1060">
      <c r="A1060" s="2">
        <f>IFERROR(__xludf.DUMMYFUNCTION("""COMPUTED_VALUE"""),70025.0)</f>
        <v>70025</v>
      </c>
      <c r="B1060" s="2">
        <f>IFERROR(__xludf.DUMMYFUNCTION("""COMPUTED_VALUE"""),0.0)</f>
        <v>0</v>
      </c>
      <c r="C1060" s="2">
        <f>IFERROR(__xludf.DUMMYFUNCTION("""COMPUTED_VALUE"""),498.0)</f>
        <v>498</v>
      </c>
      <c r="D1060" s="3">
        <f>IFERROR(__xludf.DUMMYFUNCTION("""COMPUTED_VALUE"""),337.0)</f>
        <v>337</v>
      </c>
      <c r="E1060" s="2"/>
      <c r="F1060" s="2"/>
    </row>
    <row r="1061">
      <c r="A1061" s="2">
        <f>IFERROR(__xludf.DUMMYFUNCTION("""COMPUTED_VALUE"""),29485.0)</f>
        <v>29485</v>
      </c>
      <c r="B1061" s="2">
        <f>IFERROR(__xludf.DUMMYFUNCTION("""COMPUTED_VALUE"""),0.0)</f>
        <v>0</v>
      </c>
      <c r="C1061" s="2">
        <f>IFERROR(__xludf.DUMMYFUNCTION("""COMPUTED_VALUE"""),589.0)</f>
        <v>589</v>
      </c>
      <c r="D1061" s="3">
        <f>IFERROR(__xludf.DUMMYFUNCTION("""COMPUTED_VALUE"""),533.0)</f>
        <v>533</v>
      </c>
      <c r="E1061" s="2"/>
      <c r="F1061" s="2"/>
    </row>
    <row r="1062">
      <c r="A1062" s="2">
        <f>IFERROR(__xludf.DUMMYFUNCTION("""COMPUTED_VALUE"""),119530.0)</f>
        <v>119530</v>
      </c>
      <c r="B1062" s="2">
        <f>IFERROR(__xludf.DUMMYFUNCTION("""COMPUTED_VALUE"""),0.0)</f>
        <v>0</v>
      </c>
      <c r="C1062" s="2">
        <f>IFERROR(__xludf.DUMMYFUNCTION("""COMPUTED_VALUE"""),479.0)</f>
        <v>479</v>
      </c>
      <c r="D1062" s="3">
        <f>IFERROR(__xludf.DUMMYFUNCTION("""COMPUTED_VALUE"""),452.0)</f>
        <v>452</v>
      </c>
      <c r="E1062" s="2"/>
      <c r="F1062" s="2"/>
    </row>
    <row r="1063">
      <c r="A1063" s="2">
        <f>IFERROR(__xludf.DUMMYFUNCTION("""COMPUTED_VALUE"""),103671.0)</f>
        <v>103671</v>
      </c>
      <c r="B1063" s="2">
        <f>IFERROR(__xludf.DUMMYFUNCTION("""COMPUTED_VALUE"""),1.0)</f>
        <v>1</v>
      </c>
      <c r="C1063" s="2">
        <f>IFERROR(__xludf.DUMMYFUNCTION("""COMPUTED_VALUE"""),672.0)</f>
        <v>672</v>
      </c>
      <c r="D1063" s="3">
        <f>IFERROR(__xludf.DUMMYFUNCTION("""COMPUTED_VALUE"""),512.0)</f>
        <v>512</v>
      </c>
      <c r="E1063" s="2"/>
      <c r="F1063" s="2"/>
    </row>
    <row r="1064">
      <c r="A1064" s="2">
        <f>IFERROR(__xludf.DUMMYFUNCTION("""COMPUTED_VALUE"""),102803.0)</f>
        <v>102803</v>
      </c>
      <c r="B1064" s="2">
        <f>IFERROR(__xludf.DUMMYFUNCTION("""COMPUTED_VALUE"""),1.0)</f>
        <v>1</v>
      </c>
      <c r="C1064" s="2">
        <f>IFERROR(__xludf.DUMMYFUNCTION("""COMPUTED_VALUE"""),230.0)</f>
        <v>230</v>
      </c>
      <c r="D1064" s="3">
        <f>IFERROR(__xludf.DUMMYFUNCTION("""COMPUTED_VALUE"""),129.0)</f>
        <v>129</v>
      </c>
      <c r="E1064" s="2"/>
      <c r="F1064" s="2"/>
    </row>
    <row r="1065">
      <c r="A1065" s="2">
        <f>IFERROR(__xludf.DUMMYFUNCTION("""COMPUTED_VALUE"""),122156.0)</f>
        <v>122156</v>
      </c>
      <c r="B1065" s="2">
        <f>IFERROR(__xludf.DUMMYFUNCTION("""COMPUTED_VALUE"""),0.0)</f>
        <v>0</v>
      </c>
      <c r="C1065" s="2">
        <f>IFERROR(__xludf.DUMMYFUNCTION("""COMPUTED_VALUE"""),809.0)</f>
        <v>809</v>
      </c>
      <c r="D1065" s="3">
        <f>IFERROR(__xludf.DUMMYFUNCTION("""COMPUTED_VALUE"""),741.0)</f>
        <v>741</v>
      </c>
      <c r="E1065" s="2"/>
      <c r="F1065" s="2"/>
    </row>
    <row r="1066">
      <c r="A1066" s="2">
        <f>IFERROR(__xludf.DUMMYFUNCTION("""COMPUTED_VALUE"""),103688.0)</f>
        <v>103688</v>
      </c>
      <c r="B1066" s="2">
        <f>IFERROR(__xludf.DUMMYFUNCTION("""COMPUTED_VALUE"""),1.0)</f>
        <v>1</v>
      </c>
      <c r="C1066" s="2">
        <f>IFERROR(__xludf.DUMMYFUNCTION("""COMPUTED_VALUE"""),668.0)</f>
        <v>668</v>
      </c>
      <c r="D1066" s="3">
        <f>IFERROR(__xludf.DUMMYFUNCTION("""COMPUTED_VALUE"""),613.0)</f>
        <v>613</v>
      </c>
      <c r="E1066" s="2"/>
      <c r="F1066" s="2"/>
    </row>
    <row r="1067">
      <c r="A1067" s="2">
        <f>IFERROR(__xludf.DUMMYFUNCTION("""COMPUTED_VALUE"""),128303.0)</f>
        <v>128303</v>
      </c>
      <c r="B1067" s="2">
        <f>IFERROR(__xludf.DUMMYFUNCTION("""COMPUTED_VALUE"""),1.0)</f>
        <v>1</v>
      </c>
      <c r="C1067" s="2">
        <f>IFERROR(__xludf.DUMMYFUNCTION("""COMPUTED_VALUE"""),68.0)</f>
        <v>68</v>
      </c>
      <c r="D1067" s="3">
        <f>IFERROR(__xludf.DUMMYFUNCTION("""COMPUTED_VALUE"""),38.0)</f>
        <v>38</v>
      </c>
      <c r="E1067" s="2"/>
      <c r="F1067" s="2"/>
    </row>
    <row r="1068">
      <c r="A1068" s="2">
        <f>IFERROR(__xludf.DUMMYFUNCTION("""COMPUTED_VALUE"""),122164.0)</f>
        <v>122164</v>
      </c>
      <c r="B1068" s="2">
        <f>IFERROR(__xludf.DUMMYFUNCTION("""COMPUTED_VALUE"""),1.0)</f>
        <v>1</v>
      </c>
      <c r="C1068" s="2">
        <f>IFERROR(__xludf.DUMMYFUNCTION("""COMPUTED_VALUE"""),840.0)</f>
        <v>840</v>
      </c>
      <c r="D1068" s="3">
        <f>IFERROR(__xludf.DUMMYFUNCTION("""COMPUTED_VALUE"""),738.0)</f>
        <v>738</v>
      </c>
      <c r="E1068" s="2"/>
      <c r="F1068" s="2"/>
    </row>
    <row r="1069">
      <c r="A1069" s="2">
        <f>IFERROR(__xludf.DUMMYFUNCTION("""COMPUTED_VALUE"""),119629.0)</f>
        <v>119629</v>
      </c>
      <c r="B1069" s="2">
        <f>IFERROR(__xludf.DUMMYFUNCTION("""COMPUTED_VALUE"""),1.0)</f>
        <v>1</v>
      </c>
      <c r="C1069" s="2">
        <f>IFERROR(__xludf.DUMMYFUNCTION("""COMPUTED_VALUE"""),500.0)</f>
        <v>500</v>
      </c>
      <c r="D1069" s="3">
        <f>IFERROR(__xludf.DUMMYFUNCTION("""COMPUTED_VALUE"""),442.0)</f>
        <v>442</v>
      </c>
      <c r="E1069" s="2"/>
      <c r="F1069" s="2"/>
    </row>
    <row r="1070">
      <c r="A1070" s="2">
        <f>IFERROR(__xludf.DUMMYFUNCTION("""COMPUTED_VALUE"""),122238.0)</f>
        <v>122238</v>
      </c>
      <c r="B1070" s="2">
        <f>IFERROR(__xludf.DUMMYFUNCTION("""COMPUTED_VALUE"""),1.0)</f>
        <v>1</v>
      </c>
      <c r="C1070" s="2">
        <f>IFERROR(__xludf.DUMMYFUNCTION("""COMPUTED_VALUE"""),775.0)</f>
        <v>775</v>
      </c>
      <c r="D1070" s="3">
        <f>IFERROR(__xludf.DUMMYFUNCTION("""COMPUTED_VALUE"""),280.0)</f>
        <v>280</v>
      </c>
      <c r="E1070" s="2"/>
      <c r="F1070" s="2"/>
    </row>
    <row r="1071">
      <c r="A1071" s="2">
        <f>IFERROR(__xludf.DUMMYFUNCTION("""COMPUTED_VALUE"""),100106.0)</f>
        <v>100106</v>
      </c>
      <c r="B1071" s="2">
        <f>IFERROR(__xludf.DUMMYFUNCTION("""COMPUTED_VALUE"""),1.0)</f>
        <v>1</v>
      </c>
      <c r="C1071" s="2">
        <f>IFERROR(__xludf.DUMMYFUNCTION("""COMPUTED_VALUE"""),343.0)</f>
        <v>343</v>
      </c>
      <c r="D1071" s="3">
        <f>IFERROR(__xludf.DUMMYFUNCTION("""COMPUTED_VALUE"""),203.0)</f>
        <v>203</v>
      </c>
      <c r="E1071" s="2"/>
      <c r="F1071" s="2"/>
    </row>
    <row r="1072">
      <c r="A1072" s="2">
        <f>IFERROR(__xludf.DUMMYFUNCTION("""COMPUTED_VALUE"""),74260.0)</f>
        <v>74260</v>
      </c>
      <c r="B1072" s="2">
        <f>IFERROR(__xludf.DUMMYFUNCTION("""COMPUTED_VALUE"""),0.0)</f>
        <v>0</v>
      </c>
      <c r="C1072" s="2">
        <f>IFERROR(__xludf.DUMMYFUNCTION("""COMPUTED_VALUE"""),303.0)</f>
        <v>303</v>
      </c>
      <c r="D1072" s="3">
        <f>IFERROR(__xludf.DUMMYFUNCTION("""COMPUTED_VALUE"""),238.0)</f>
        <v>238</v>
      </c>
      <c r="E1072" s="2"/>
      <c r="F1072" s="2"/>
    </row>
    <row r="1073">
      <c r="A1073" s="2">
        <f>IFERROR(__xludf.DUMMYFUNCTION("""COMPUTED_VALUE"""),122159.0)</f>
        <v>122159</v>
      </c>
      <c r="B1073" s="2">
        <f>IFERROR(__xludf.DUMMYFUNCTION("""COMPUTED_VALUE"""),0.0)</f>
        <v>0</v>
      </c>
      <c r="C1073" s="2">
        <f>IFERROR(__xludf.DUMMYFUNCTION("""COMPUTED_VALUE"""),272.0)</f>
        <v>272</v>
      </c>
      <c r="D1073" s="3">
        <f>IFERROR(__xludf.DUMMYFUNCTION("""COMPUTED_VALUE"""),103.0)</f>
        <v>103</v>
      </c>
      <c r="E1073" s="2"/>
      <c r="F1073" s="2"/>
    </row>
    <row r="1074">
      <c r="A1074" s="2">
        <f>IFERROR(__xludf.DUMMYFUNCTION("""COMPUTED_VALUE"""),100104.0)</f>
        <v>100104</v>
      </c>
      <c r="B1074" s="2">
        <f>IFERROR(__xludf.DUMMYFUNCTION("""COMPUTED_VALUE"""),1.0)</f>
        <v>1</v>
      </c>
      <c r="C1074" s="2">
        <f>IFERROR(__xludf.DUMMYFUNCTION("""COMPUTED_VALUE"""),804.0)</f>
        <v>804</v>
      </c>
      <c r="D1074" s="3">
        <f>IFERROR(__xludf.DUMMYFUNCTION("""COMPUTED_VALUE"""),71.0)</f>
        <v>71</v>
      </c>
      <c r="E1074" s="2"/>
      <c r="F1074" s="2"/>
    </row>
    <row r="1075">
      <c r="A1075" s="2">
        <f>IFERROR(__xludf.DUMMYFUNCTION("""COMPUTED_VALUE"""),103702.0)</f>
        <v>103702</v>
      </c>
      <c r="B1075" s="2">
        <f>IFERROR(__xludf.DUMMYFUNCTION("""COMPUTED_VALUE"""),0.0)</f>
        <v>0</v>
      </c>
      <c r="C1075" s="2">
        <f>IFERROR(__xludf.DUMMYFUNCTION("""COMPUTED_VALUE"""),602.0)</f>
        <v>602</v>
      </c>
      <c r="D1075" s="3">
        <f>IFERROR(__xludf.DUMMYFUNCTION("""COMPUTED_VALUE"""),430.0)</f>
        <v>430</v>
      </c>
      <c r="E1075" s="2"/>
      <c r="F1075" s="2"/>
    </row>
    <row r="1076">
      <c r="A1076" s="2">
        <f>IFERROR(__xludf.DUMMYFUNCTION("""COMPUTED_VALUE"""),103696.0)</f>
        <v>103696</v>
      </c>
      <c r="B1076" s="2">
        <f>IFERROR(__xludf.DUMMYFUNCTION("""COMPUTED_VALUE"""),0.0)</f>
        <v>0</v>
      </c>
      <c r="C1076" s="2">
        <f>IFERROR(__xludf.DUMMYFUNCTION("""COMPUTED_VALUE"""),216.0)</f>
        <v>216</v>
      </c>
      <c r="D1076" s="3">
        <f>IFERROR(__xludf.DUMMYFUNCTION("""COMPUTED_VALUE"""),164.0)</f>
        <v>164</v>
      </c>
      <c r="E1076" s="2"/>
      <c r="F1076" s="2"/>
    </row>
    <row r="1077">
      <c r="A1077" s="2">
        <f>IFERROR(__xludf.DUMMYFUNCTION("""COMPUTED_VALUE"""),111083.0)</f>
        <v>111083</v>
      </c>
      <c r="B1077" s="2">
        <f>IFERROR(__xludf.DUMMYFUNCTION("""COMPUTED_VALUE"""),1.0)</f>
        <v>1</v>
      </c>
      <c r="C1077" s="2">
        <f>IFERROR(__xludf.DUMMYFUNCTION("""COMPUTED_VALUE"""),407.0)</f>
        <v>407</v>
      </c>
      <c r="D1077" s="3">
        <f>IFERROR(__xludf.DUMMYFUNCTION("""COMPUTED_VALUE"""),92.0)</f>
        <v>92</v>
      </c>
      <c r="E1077" s="2"/>
      <c r="F1077" s="2"/>
    </row>
    <row r="1078">
      <c r="A1078" s="2">
        <f>IFERROR(__xludf.DUMMYFUNCTION("""COMPUTED_VALUE"""),76658.0)</f>
        <v>76658</v>
      </c>
      <c r="B1078" s="2">
        <f>IFERROR(__xludf.DUMMYFUNCTION("""COMPUTED_VALUE"""),0.0)</f>
        <v>0</v>
      </c>
      <c r="C1078" s="2">
        <f>IFERROR(__xludf.DUMMYFUNCTION("""COMPUTED_VALUE"""),164.0)</f>
        <v>164</v>
      </c>
      <c r="D1078" s="3">
        <f>IFERROR(__xludf.DUMMYFUNCTION("""COMPUTED_VALUE"""),56.0)</f>
        <v>56</v>
      </c>
      <c r="E1078" s="2"/>
      <c r="F1078" s="2"/>
    </row>
    <row r="1079">
      <c r="A1079" s="2">
        <f>IFERROR(__xludf.DUMMYFUNCTION("""COMPUTED_VALUE"""),111339.0)</f>
        <v>111339</v>
      </c>
      <c r="B1079" s="2">
        <f>IFERROR(__xludf.DUMMYFUNCTION("""COMPUTED_VALUE"""),1.0)</f>
        <v>1</v>
      </c>
      <c r="C1079" s="2">
        <f>IFERROR(__xludf.DUMMYFUNCTION("""COMPUTED_VALUE"""),775.0)</f>
        <v>775</v>
      </c>
      <c r="D1079" s="3">
        <f>IFERROR(__xludf.DUMMYFUNCTION("""COMPUTED_VALUE"""),601.0)</f>
        <v>601</v>
      </c>
      <c r="E1079" s="2"/>
      <c r="F1079" s="2"/>
    </row>
    <row r="1080">
      <c r="A1080" s="2">
        <f>IFERROR(__xludf.DUMMYFUNCTION("""COMPUTED_VALUE"""),79491.0)</f>
        <v>79491</v>
      </c>
      <c r="B1080" s="2">
        <f>IFERROR(__xludf.DUMMYFUNCTION("""COMPUTED_VALUE"""),1.0)</f>
        <v>1</v>
      </c>
      <c r="C1080" s="2">
        <f>IFERROR(__xludf.DUMMYFUNCTION("""COMPUTED_VALUE"""),96.0)</f>
        <v>96</v>
      </c>
      <c r="D1080" s="3">
        <f>IFERROR(__xludf.DUMMYFUNCTION("""COMPUTED_VALUE"""),33.0)</f>
        <v>33</v>
      </c>
      <c r="E1080" s="2"/>
      <c r="F1080" s="2"/>
    </row>
    <row r="1081">
      <c r="A1081" s="2">
        <f>IFERROR(__xludf.DUMMYFUNCTION("""COMPUTED_VALUE"""),110380.0)</f>
        <v>110380</v>
      </c>
      <c r="B1081" s="2">
        <f>IFERROR(__xludf.DUMMYFUNCTION("""COMPUTED_VALUE"""),1.0)</f>
        <v>1</v>
      </c>
      <c r="C1081" s="2">
        <f>IFERROR(__xludf.DUMMYFUNCTION("""COMPUTED_VALUE"""),915.0)</f>
        <v>915</v>
      </c>
      <c r="D1081" s="3">
        <f>IFERROR(__xludf.DUMMYFUNCTION("""COMPUTED_VALUE"""),422.0)</f>
        <v>422</v>
      </c>
      <c r="E1081" s="2"/>
      <c r="F1081" s="2"/>
    </row>
    <row r="1082">
      <c r="A1082" s="2">
        <f>IFERROR(__xludf.DUMMYFUNCTION("""COMPUTED_VALUE"""),111341.0)</f>
        <v>111341</v>
      </c>
      <c r="B1082" s="2">
        <f>IFERROR(__xludf.DUMMYFUNCTION("""COMPUTED_VALUE"""),1.0)</f>
        <v>1</v>
      </c>
      <c r="C1082" s="2">
        <f>IFERROR(__xludf.DUMMYFUNCTION("""COMPUTED_VALUE"""),616.0)</f>
        <v>616</v>
      </c>
      <c r="D1082" s="3">
        <f>IFERROR(__xludf.DUMMYFUNCTION("""COMPUTED_VALUE"""),464.0)</f>
        <v>464</v>
      </c>
      <c r="E1082" s="2"/>
      <c r="F1082" s="2"/>
    </row>
    <row r="1083">
      <c r="A1083" s="2">
        <f>IFERROR(__xludf.DUMMYFUNCTION("""COMPUTED_VALUE"""),81785.0)</f>
        <v>81785</v>
      </c>
      <c r="B1083" s="2">
        <f>IFERROR(__xludf.DUMMYFUNCTION("""COMPUTED_VALUE"""),1.0)</f>
        <v>1</v>
      </c>
      <c r="C1083" s="2">
        <f>IFERROR(__xludf.DUMMYFUNCTION("""COMPUTED_VALUE"""),562.0)</f>
        <v>562</v>
      </c>
      <c r="D1083" s="3">
        <f>IFERROR(__xludf.DUMMYFUNCTION("""COMPUTED_VALUE"""),358.0)</f>
        <v>358</v>
      </c>
      <c r="E1083" s="2"/>
      <c r="F1083" s="2"/>
    </row>
    <row r="1084">
      <c r="A1084" s="2">
        <f>IFERROR(__xludf.DUMMYFUNCTION("""COMPUTED_VALUE"""),89155.0)</f>
        <v>89155</v>
      </c>
      <c r="B1084" s="2">
        <f>IFERROR(__xludf.DUMMYFUNCTION("""COMPUTED_VALUE"""),1.0)</f>
        <v>1</v>
      </c>
      <c r="C1084" s="2">
        <f>IFERROR(__xludf.DUMMYFUNCTION("""COMPUTED_VALUE"""),706.0)</f>
        <v>706</v>
      </c>
      <c r="D1084" s="3">
        <f>IFERROR(__xludf.DUMMYFUNCTION("""COMPUTED_VALUE"""),664.0)</f>
        <v>664</v>
      </c>
      <c r="E1084" s="2"/>
      <c r="F1084" s="2"/>
    </row>
    <row r="1085">
      <c r="A1085" s="2">
        <f>IFERROR(__xludf.DUMMYFUNCTION("""COMPUTED_VALUE"""),90253.0)</f>
        <v>90253</v>
      </c>
      <c r="B1085" s="2">
        <f>IFERROR(__xludf.DUMMYFUNCTION("""COMPUTED_VALUE"""),0.0)</f>
        <v>0</v>
      </c>
      <c r="C1085" s="2">
        <f>IFERROR(__xludf.DUMMYFUNCTION("""COMPUTED_VALUE"""),205.0)</f>
        <v>205</v>
      </c>
      <c r="D1085" s="3">
        <f>IFERROR(__xludf.DUMMYFUNCTION("""COMPUTED_VALUE"""),93.0)</f>
        <v>93</v>
      </c>
      <c r="E1085" s="2"/>
      <c r="F1085" s="2"/>
    </row>
    <row r="1086">
      <c r="A1086" s="2">
        <f>IFERROR(__xludf.DUMMYFUNCTION("""COMPUTED_VALUE"""),119544.0)</f>
        <v>119544</v>
      </c>
      <c r="B1086" s="2">
        <f>IFERROR(__xludf.DUMMYFUNCTION("""COMPUTED_VALUE"""),0.0)</f>
        <v>0</v>
      </c>
      <c r="C1086" s="2">
        <f>IFERROR(__xludf.DUMMYFUNCTION("""COMPUTED_VALUE"""),56.0)</f>
        <v>56</v>
      </c>
      <c r="D1086" s="3">
        <f>IFERROR(__xludf.DUMMYFUNCTION("""COMPUTED_VALUE"""),42.0)</f>
        <v>42</v>
      </c>
      <c r="E1086" s="2"/>
      <c r="F1086" s="2"/>
    </row>
    <row r="1087">
      <c r="A1087" s="2">
        <f>IFERROR(__xludf.DUMMYFUNCTION("""COMPUTED_VALUE"""),108675.0)</f>
        <v>108675</v>
      </c>
      <c r="B1087" s="2">
        <f>IFERROR(__xludf.DUMMYFUNCTION("""COMPUTED_VALUE"""),1.0)</f>
        <v>1</v>
      </c>
      <c r="C1087" s="2">
        <f>IFERROR(__xludf.DUMMYFUNCTION("""COMPUTED_VALUE"""),88.0)</f>
        <v>88</v>
      </c>
      <c r="D1087" s="3">
        <f>IFERROR(__xludf.DUMMYFUNCTION("""COMPUTED_VALUE"""),29.0)</f>
        <v>29</v>
      </c>
      <c r="E1087" s="2"/>
      <c r="F1087" s="2"/>
    </row>
    <row r="1088">
      <c r="A1088" s="2">
        <f>IFERROR(__xludf.DUMMYFUNCTION("""COMPUTED_VALUE"""),119542.0)</f>
        <v>119542</v>
      </c>
      <c r="B1088" s="2">
        <f>IFERROR(__xludf.DUMMYFUNCTION("""COMPUTED_VALUE"""),0.0)</f>
        <v>0</v>
      </c>
      <c r="C1088" s="2">
        <f>IFERROR(__xludf.DUMMYFUNCTION("""COMPUTED_VALUE"""),36.0)</f>
        <v>36</v>
      </c>
      <c r="D1088" s="3">
        <f>IFERROR(__xludf.DUMMYFUNCTION("""COMPUTED_VALUE"""),7.0)</f>
        <v>7</v>
      </c>
      <c r="E1088" s="2"/>
      <c r="F1088" s="2"/>
    </row>
    <row r="1089">
      <c r="A1089" s="2">
        <f>IFERROR(__xludf.DUMMYFUNCTION("""COMPUTED_VALUE"""),30752.0)</f>
        <v>30752</v>
      </c>
      <c r="B1089" s="2">
        <f>IFERROR(__xludf.DUMMYFUNCTION("""COMPUTED_VALUE"""),1.0)</f>
        <v>1</v>
      </c>
      <c r="C1089" s="2">
        <f>IFERROR(__xludf.DUMMYFUNCTION("""COMPUTED_VALUE"""),974.0)</f>
        <v>974</v>
      </c>
      <c r="D1089" s="3">
        <f>IFERROR(__xludf.DUMMYFUNCTION("""COMPUTED_VALUE"""),546.0)</f>
        <v>546</v>
      </c>
      <c r="E1089" s="2"/>
      <c r="F1089" s="2"/>
    </row>
    <row r="1090">
      <c r="A1090" s="2">
        <f>IFERROR(__xludf.DUMMYFUNCTION("""COMPUTED_VALUE"""),116180.0)</f>
        <v>116180</v>
      </c>
      <c r="B1090" s="2">
        <f>IFERROR(__xludf.DUMMYFUNCTION("""COMPUTED_VALUE"""),0.0)</f>
        <v>0</v>
      </c>
      <c r="C1090" s="2">
        <f>IFERROR(__xludf.DUMMYFUNCTION("""COMPUTED_VALUE"""),908.0)</f>
        <v>908</v>
      </c>
      <c r="D1090" s="3">
        <f>IFERROR(__xludf.DUMMYFUNCTION("""COMPUTED_VALUE"""),735.0)</f>
        <v>735</v>
      </c>
      <c r="E1090" s="2"/>
      <c r="F1090" s="2"/>
    </row>
    <row r="1091">
      <c r="A1091" s="2">
        <f>IFERROR(__xludf.DUMMYFUNCTION("""COMPUTED_VALUE"""),96953.0)</f>
        <v>96953</v>
      </c>
      <c r="B1091" s="2">
        <f>IFERROR(__xludf.DUMMYFUNCTION("""COMPUTED_VALUE"""),1.0)</f>
        <v>1</v>
      </c>
      <c r="C1091" s="2">
        <f>IFERROR(__xludf.DUMMYFUNCTION("""COMPUTED_VALUE"""),73.0)</f>
        <v>73</v>
      </c>
      <c r="D1091" s="3">
        <f>IFERROR(__xludf.DUMMYFUNCTION("""COMPUTED_VALUE"""),46.0)</f>
        <v>46</v>
      </c>
      <c r="E1091" s="2"/>
      <c r="F1091" s="2"/>
    </row>
    <row r="1092">
      <c r="A1092" s="2">
        <f>IFERROR(__xludf.DUMMYFUNCTION("""COMPUTED_VALUE"""),118303.0)</f>
        <v>118303</v>
      </c>
      <c r="B1092" s="2">
        <f>IFERROR(__xludf.DUMMYFUNCTION("""COMPUTED_VALUE"""),0.0)</f>
        <v>0</v>
      </c>
      <c r="C1092" s="2">
        <f>IFERROR(__xludf.DUMMYFUNCTION("""COMPUTED_VALUE"""),992.0)</f>
        <v>992</v>
      </c>
      <c r="D1092" s="3">
        <f>IFERROR(__xludf.DUMMYFUNCTION("""COMPUTED_VALUE"""),143.0)</f>
        <v>143</v>
      </c>
      <c r="E1092" s="2"/>
      <c r="F1092" s="2"/>
    </row>
    <row r="1093">
      <c r="A1093" s="2">
        <f>IFERROR(__xludf.DUMMYFUNCTION("""COMPUTED_VALUE"""),117222.0)</f>
        <v>117222</v>
      </c>
      <c r="B1093" s="2">
        <f>IFERROR(__xludf.DUMMYFUNCTION("""COMPUTED_VALUE"""),1.0)</f>
        <v>1</v>
      </c>
      <c r="C1093" s="2">
        <f>IFERROR(__xludf.DUMMYFUNCTION("""COMPUTED_VALUE"""),659.0)</f>
        <v>659</v>
      </c>
      <c r="D1093" s="3">
        <f>IFERROR(__xludf.DUMMYFUNCTION("""COMPUTED_VALUE"""),432.0)</f>
        <v>432</v>
      </c>
      <c r="E1093" s="2"/>
      <c r="F1093" s="2"/>
    </row>
    <row r="1094">
      <c r="A1094" s="2">
        <f>IFERROR(__xludf.DUMMYFUNCTION("""COMPUTED_VALUE"""),5620.0)</f>
        <v>5620</v>
      </c>
      <c r="B1094" s="2">
        <f>IFERROR(__xludf.DUMMYFUNCTION("""COMPUTED_VALUE"""),0.0)</f>
        <v>0</v>
      </c>
      <c r="C1094" s="2">
        <f>IFERROR(__xludf.DUMMYFUNCTION("""COMPUTED_VALUE"""),41.0)</f>
        <v>41</v>
      </c>
      <c r="D1094" s="3">
        <f>IFERROR(__xludf.DUMMYFUNCTION("""COMPUTED_VALUE"""),19.0)</f>
        <v>19</v>
      </c>
      <c r="E1094" s="2"/>
      <c r="F1094" s="2"/>
    </row>
    <row r="1095">
      <c r="A1095" s="2">
        <f>IFERROR(__xludf.DUMMYFUNCTION("""COMPUTED_VALUE"""),122346.0)</f>
        <v>122346</v>
      </c>
      <c r="B1095" s="2">
        <f>IFERROR(__xludf.DUMMYFUNCTION("""COMPUTED_VALUE"""),0.0)</f>
        <v>0</v>
      </c>
      <c r="C1095" s="2">
        <f>IFERROR(__xludf.DUMMYFUNCTION("""COMPUTED_VALUE"""),230.0)</f>
        <v>230</v>
      </c>
      <c r="D1095" s="3">
        <f>IFERROR(__xludf.DUMMYFUNCTION("""COMPUTED_VALUE"""),105.0)</f>
        <v>105</v>
      </c>
      <c r="E1095" s="2"/>
      <c r="F1095" s="2"/>
    </row>
    <row r="1096">
      <c r="A1096" s="2">
        <f>IFERROR(__xludf.DUMMYFUNCTION("""COMPUTED_VALUE"""),96968.0)</f>
        <v>96968</v>
      </c>
      <c r="B1096" s="2">
        <f>IFERROR(__xludf.DUMMYFUNCTION("""COMPUTED_VALUE"""),1.0)</f>
        <v>1</v>
      </c>
      <c r="C1096" s="2">
        <f>IFERROR(__xludf.DUMMYFUNCTION("""COMPUTED_VALUE"""),407.0)</f>
        <v>407</v>
      </c>
      <c r="D1096" s="3">
        <f>IFERROR(__xludf.DUMMYFUNCTION("""COMPUTED_VALUE"""),393.0)</f>
        <v>393</v>
      </c>
      <c r="E1096" s="2"/>
      <c r="F1096" s="2"/>
    </row>
    <row r="1097">
      <c r="A1097" s="2">
        <f>IFERROR(__xludf.DUMMYFUNCTION("""COMPUTED_VALUE"""),126578.0)</f>
        <v>126578</v>
      </c>
      <c r="B1097" s="2">
        <f>IFERROR(__xludf.DUMMYFUNCTION("""COMPUTED_VALUE"""),0.0)</f>
        <v>0</v>
      </c>
      <c r="C1097" s="2">
        <f>IFERROR(__xludf.DUMMYFUNCTION("""COMPUTED_VALUE"""),614.0)</f>
        <v>614</v>
      </c>
      <c r="D1097" s="3">
        <f>IFERROR(__xludf.DUMMYFUNCTION("""COMPUTED_VALUE"""),356.0)</f>
        <v>356</v>
      </c>
      <c r="E1097" s="2"/>
      <c r="F1097" s="2"/>
    </row>
    <row r="1098">
      <c r="A1098" s="2">
        <f>IFERROR(__xludf.DUMMYFUNCTION("""COMPUTED_VALUE"""),126581.0)</f>
        <v>126581</v>
      </c>
      <c r="B1098" s="2">
        <f>IFERROR(__xludf.DUMMYFUNCTION("""COMPUTED_VALUE"""),0.0)</f>
        <v>0</v>
      </c>
      <c r="C1098" s="2">
        <f>IFERROR(__xludf.DUMMYFUNCTION("""COMPUTED_VALUE"""),516.0)</f>
        <v>516</v>
      </c>
      <c r="D1098" s="3">
        <f>IFERROR(__xludf.DUMMYFUNCTION("""COMPUTED_VALUE"""),285.0)</f>
        <v>285</v>
      </c>
      <c r="E1098" s="2"/>
      <c r="F1098" s="2"/>
    </row>
    <row r="1099">
      <c r="A1099" s="2">
        <f>IFERROR(__xludf.DUMMYFUNCTION("""COMPUTED_VALUE"""),96956.0)</f>
        <v>96956</v>
      </c>
      <c r="B1099" s="2">
        <f>IFERROR(__xludf.DUMMYFUNCTION("""COMPUTED_VALUE"""),0.0)</f>
        <v>0</v>
      </c>
      <c r="C1099" s="2">
        <f>IFERROR(__xludf.DUMMYFUNCTION("""COMPUTED_VALUE"""),28.0)</f>
        <v>28</v>
      </c>
      <c r="D1099" s="3">
        <f>IFERROR(__xludf.DUMMYFUNCTION("""COMPUTED_VALUE"""),19.0)</f>
        <v>19</v>
      </c>
      <c r="E1099" s="2"/>
      <c r="F1099" s="2"/>
    </row>
    <row r="1100">
      <c r="A1100" s="2">
        <f>IFERROR(__xludf.DUMMYFUNCTION("""COMPUTED_VALUE"""),116774.0)</f>
        <v>116774</v>
      </c>
      <c r="B1100" s="2">
        <f>IFERROR(__xludf.DUMMYFUNCTION("""COMPUTED_VALUE"""),1.0)</f>
        <v>1</v>
      </c>
      <c r="C1100" s="2">
        <f>IFERROR(__xludf.DUMMYFUNCTION("""COMPUTED_VALUE"""),363.0)</f>
        <v>363</v>
      </c>
      <c r="D1100" s="3">
        <f>IFERROR(__xludf.DUMMYFUNCTION("""COMPUTED_VALUE"""),254.0)</f>
        <v>254</v>
      </c>
      <c r="E1100" s="2"/>
      <c r="F1100" s="2"/>
    </row>
    <row r="1101">
      <c r="A1101" s="2">
        <f>IFERROR(__xludf.DUMMYFUNCTION("""COMPUTED_VALUE"""),147293.0)</f>
        <v>147293</v>
      </c>
      <c r="B1101" s="2">
        <f>IFERROR(__xludf.DUMMYFUNCTION("""COMPUTED_VALUE"""),1.0)</f>
        <v>1</v>
      </c>
      <c r="C1101" s="2">
        <f>IFERROR(__xludf.DUMMYFUNCTION("""COMPUTED_VALUE"""),768.0)</f>
        <v>768</v>
      </c>
      <c r="D1101" s="3">
        <f>IFERROR(__xludf.DUMMYFUNCTION("""COMPUTED_VALUE"""),705.0)</f>
        <v>705</v>
      </c>
      <c r="E1101" s="2"/>
      <c r="F1101" s="2"/>
    </row>
    <row r="1102">
      <c r="A1102" s="2">
        <f>IFERROR(__xludf.DUMMYFUNCTION("""COMPUTED_VALUE"""),119228.0)</f>
        <v>119228</v>
      </c>
      <c r="B1102" s="2">
        <f>IFERROR(__xludf.DUMMYFUNCTION("""COMPUTED_VALUE"""),1.0)</f>
        <v>1</v>
      </c>
      <c r="C1102" s="2">
        <f>IFERROR(__xludf.DUMMYFUNCTION("""COMPUTED_VALUE"""),524.0)</f>
        <v>524</v>
      </c>
      <c r="D1102" s="3">
        <f>IFERROR(__xludf.DUMMYFUNCTION("""COMPUTED_VALUE"""),270.0)</f>
        <v>270</v>
      </c>
      <c r="E1102" s="2"/>
      <c r="F1102" s="2"/>
    </row>
    <row r="1103">
      <c r="A1103" s="2">
        <f>IFERROR(__xludf.DUMMYFUNCTION("""COMPUTED_VALUE"""),5618.0)</f>
        <v>5618</v>
      </c>
      <c r="B1103" s="2">
        <f>IFERROR(__xludf.DUMMYFUNCTION("""COMPUTED_VALUE"""),0.0)</f>
        <v>0</v>
      </c>
      <c r="C1103" s="2">
        <f>IFERROR(__xludf.DUMMYFUNCTION("""COMPUTED_VALUE"""),962.0)</f>
        <v>962</v>
      </c>
      <c r="D1103" s="3">
        <f>IFERROR(__xludf.DUMMYFUNCTION("""COMPUTED_VALUE"""),860.0)</f>
        <v>860</v>
      </c>
      <c r="E1103" s="2"/>
      <c r="F1103" s="2"/>
    </row>
    <row r="1104">
      <c r="A1104" s="2">
        <f>IFERROR(__xludf.DUMMYFUNCTION("""COMPUTED_VALUE"""),126579.0)</f>
        <v>126579</v>
      </c>
      <c r="B1104" s="2">
        <f>IFERROR(__xludf.DUMMYFUNCTION("""COMPUTED_VALUE"""),1.0)</f>
        <v>1</v>
      </c>
      <c r="C1104" s="2">
        <f>IFERROR(__xludf.DUMMYFUNCTION("""COMPUTED_VALUE"""),343.0)</f>
        <v>343</v>
      </c>
      <c r="D1104" s="3">
        <f>IFERROR(__xludf.DUMMYFUNCTION("""COMPUTED_VALUE"""),341.0)</f>
        <v>341</v>
      </c>
      <c r="E1104" s="2"/>
      <c r="F1104" s="2"/>
    </row>
    <row r="1105">
      <c r="A1105" s="2">
        <f>IFERROR(__xludf.DUMMYFUNCTION("""COMPUTED_VALUE"""),117219.0)</f>
        <v>117219</v>
      </c>
      <c r="B1105" s="2">
        <f>IFERROR(__xludf.DUMMYFUNCTION("""COMPUTED_VALUE"""),1.0)</f>
        <v>1</v>
      </c>
      <c r="C1105" s="2">
        <f>IFERROR(__xludf.DUMMYFUNCTION("""COMPUTED_VALUE"""),74.0)</f>
        <v>74</v>
      </c>
      <c r="D1105" s="3">
        <f>IFERROR(__xludf.DUMMYFUNCTION("""COMPUTED_VALUE"""),25.0)</f>
        <v>25</v>
      </c>
      <c r="E1105" s="2"/>
      <c r="F1105" s="2"/>
    </row>
    <row r="1106">
      <c r="A1106" s="2">
        <f>IFERROR(__xludf.DUMMYFUNCTION("""COMPUTED_VALUE"""),44110.0)</f>
        <v>44110</v>
      </c>
      <c r="B1106" s="2">
        <f>IFERROR(__xludf.DUMMYFUNCTION("""COMPUTED_VALUE"""),0.0)</f>
        <v>0</v>
      </c>
      <c r="C1106" s="2">
        <f>IFERROR(__xludf.DUMMYFUNCTION("""COMPUTED_VALUE"""),821.0)</f>
        <v>821</v>
      </c>
      <c r="D1106" s="3">
        <f>IFERROR(__xludf.DUMMYFUNCTION("""COMPUTED_VALUE"""),117.0)</f>
        <v>117</v>
      </c>
      <c r="E1106" s="2"/>
      <c r="F1106" s="2"/>
    </row>
    <row r="1107">
      <c r="A1107" s="2">
        <f>IFERROR(__xludf.DUMMYFUNCTION("""COMPUTED_VALUE"""),76223.0)</f>
        <v>76223</v>
      </c>
      <c r="B1107" s="2">
        <f>IFERROR(__xludf.DUMMYFUNCTION("""COMPUTED_VALUE"""),1.0)</f>
        <v>1</v>
      </c>
      <c r="C1107" s="2">
        <f>IFERROR(__xludf.DUMMYFUNCTION("""COMPUTED_VALUE"""),332.0)</f>
        <v>332</v>
      </c>
      <c r="D1107" s="3">
        <f>IFERROR(__xludf.DUMMYFUNCTION("""COMPUTED_VALUE"""),236.0)</f>
        <v>236</v>
      </c>
      <c r="E1107" s="2"/>
      <c r="F1107" s="2"/>
    </row>
    <row r="1108">
      <c r="A1108" s="2">
        <f>IFERROR(__xludf.DUMMYFUNCTION("""COMPUTED_VALUE"""),48406.0)</f>
        <v>48406</v>
      </c>
      <c r="B1108" s="2">
        <f>IFERROR(__xludf.DUMMYFUNCTION("""COMPUTED_VALUE"""),0.0)</f>
        <v>0</v>
      </c>
      <c r="C1108" s="2">
        <f>IFERROR(__xludf.DUMMYFUNCTION("""COMPUTED_VALUE"""),57.0)</f>
        <v>57</v>
      </c>
      <c r="D1108" s="3">
        <f>IFERROR(__xludf.DUMMYFUNCTION("""COMPUTED_VALUE"""),50.0)</f>
        <v>50</v>
      </c>
      <c r="E1108" s="2"/>
      <c r="F1108" s="2"/>
    </row>
    <row r="1109">
      <c r="A1109" s="2">
        <f>IFERROR(__xludf.DUMMYFUNCTION("""COMPUTED_VALUE"""),77514.0)</f>
        <v>77514</v>
      </c>
      <c r="B1109" s="2">
        <f>IFERROR(__xludf.DUMMYFUNCTION("""COMPUTED_VALUE"""),0.0)</f>
        <v>0</v>
      </c>
      <c r="C1109" s="2">
        <f>IFERROR(__xludf.DUMMYFUNCTION("""COMPUTED_VALUE"""),569.0)</f>
        <v>569</v>
      </c>
      <c r="D1109" s="3">
        <f>IFERROR(__xludf.DUMMYFUNCTION("""COMPUTED_VALUE"""),370.0)</f>
        <v>370</v>
      </c>
      <c r="E1109" s="2"/>
      <c r="F1109" s="2"/>
    </row>
    <row r="1110">
      <c r="A1110" s="2">
        <f>IFERROR(__xludf.DUMMYFUNCTION("""COMPUTED_VALUE"""),117221.0)</f>
        <v>117221</v>
      </c>
      <c r="B1110" s="2">
        <f>IFERROR(__xludf.DUMMYFUNCTION("""COMPUTED_VALUE"""),1.0)</f>
        <v>1</v>
      </c>
      <c r="C1110" s="2">
        <f>IFERROR(__xludf.DUMMYFUNCTION("""COMPUTED_VALUE"""),867.0)</f>
        <v>867</v>
      </c>
      <c r="D1110" s="3">
        <f>IFERROR(__xludf.DUMMYFUNCTION("""COMPUTED_VALUE"""),383.0)</f>
        <v>383</v>
      </c>
      <c r="E1110" s="2"/>
      <c r="F1110" s="2"/>
    </row>
    <row r="1111">
      <c r="A1111" s="2">
        <f>IFERROR(__xludf.DUMMYFUNCTION("""COMPUTED_VALUE"""),115602.0)</f>
        <v>115602</v>
      </c>
      <c r="B1111" s="2">
        <f>IFERROR(__xludf.DUMMYFUNCTION("""COMPUTED_VALUE"""),0.0)</f>
        <v>0</v>
      </c>
      <c r="C1111" s="2">
        <f>IFERROR(__xludf.DUMMYFUNCTION("""COMPUTED_VALUE"""),474.0)</f>
        <v>474</v>
      </c>
      <c r="D1111" s="3">
        <f>IFERROR(__xludf.DUMMYFUNCTION("""COMPUTED_VALUE"""),439.0)</f>
        <v>439</v>
      </c>
      <c r="E1111" s="2"/>
      <c r="F1111" s="2"/>
    </row>
    <row r="1112">
      <c r="A1112" s="2">
        <f>IFERROR(__xludf.DUMMYFUNCTION("""COMPUTED_VALUE"""),44107.0)</f>
        <v>44107</v>
      </c>
      <c r="B1112" s="2">
        <f>IFERROR(__xludf.DUMMYFUNCTION("""COMPUTED_VALUE"""),1.0)</f>
        <v>1</v>
      </c>
      <c r="C1112" s="2">
        <f>IFERROR(__xludf.DUMMYFUNCTION("""COMPUTED_VALUE"""),808.0)</f>
        <v>808</v>
      </c>
      <c r="D1112" s="3">
        <f>IFERROR(__xludf.DUMMYFUNCTION("""COMPUTED_VALUE"""),297.0)</f>
        <v>297</v>
      </c>
      <c r="E1112" s="2"/>
      <c r="F1112" s="2"/>
    </row>
    <row r="1113">
      <c r="A1113" s="2">
        <f>IFERROR(__xludf.DUMMYFUNCTION("""COMPUTED_VALUE"""),115604.0)</f>
        <v>115604</v>
      </c>
      <c r="B1113" s="2">
        <f>IFERROR(__xludf.DUMMYFUNCTION("""COMPUTED_VALUE"""),0.0)</f>
        <v>0</v>
      </c>
      <c r="C1113" s="2">
        <f>IFERROR(__xludf.DUMMYFUNCTION("""COMPUTED_VALUE"""),691.0)</f>
        <v>691</v>
      </c>
      <c r="D1113" s="3">
        <f>IFERROR(__xludf.DUMMYFUNCTION("""COMPUTED_VALUE"""),444.0)</f>
        <v>444</v>
      </c>
      <c r="E1113" s="2"/>
      <c r="F1113" s="2"/>
    </row>
    <row r="1114">
      <c r="A1114" s="2">
        <f>IFERROR(__xludf.DUMMYFUNCTION("""COMPUTED_VALUE"""),118926.0)</f>
        <v>118926</v>
      </c>
      <c r="B1114" s="2">
        <f>IFERROR(__xludf.DUMMYFUNCTION("""COMPUTED_VALUE"""),1.0)</f>
        <v>1</v>
      </c>
      <c r="C1114" s="2">
        <f>IFERROR(__xludf.DUMMYFUNCTION("""COMPUTED_VALUE"""),866.0)</f>
        <v>866</v>
      </c>
      <c r="D1114" s="3">
        <f>IFERROR(__xludf.DUMMYFUNCTION("""COMPUTED_VALUE"""),315.0)</f>
        <v>315</v>
      </c>
      <c r="E1114" s="2"/>
      <c r="F1114" s="2"/>
    </row>
    <row r="1115">
      <c r="A1115" s="2">
        <f>IFERROR(__xludf.DUMMYFUNCTION("""COMPUTED_VALUE"""),118304.0)</f>
        <v>118304</v>
      </c>
      <c r="B1115" s="2">
        <f>IFERROR(__xludf.DUMMYFUNCTION("""COMPUTED_VALUE"""),1.0)</f>
        <v>1</v>
      </c>
      <c r="C1115" s="2">
        <f>IFERROR(__xludf.DUMMYFUNCTION("""COMPUTED_VALUE"""),519.0)</f>
        <v>519</v>
      </c>
      <c r="D1115" s="3">
        <f>IFERROR(__xludf.DUMMYFUNCTION("""COMPUTED_VALUE"""),257.0)</f>
        <v>257</v>
      </c>
      <c r="E1115" s="2"/>
      <c r="F1115" s="2"/>
    </row>
    <row r="1116">
      <c r="A1116" s="2">
        <f>IFERROR(__xludf.DUMMYFUNCTION("""COMPUTED_VALUE"""),5621.0)</f>
        <v>5621</v>
      </c>
      <c r="B1116" s="2">
        <f>IFERROR(__xludf.DUMMYFUNCTION("""COMPUTED_VALUE"""),0.0)</f>
        <v>0</v>
      </c>
      <c r="C1116" s="2">
        <f>IFERROR(__xludf.DUMMYFUNCTION("""COMPUTED_VALUE"""),834.0)</f>
        <v>834</v>
      </c>
      <c r="D1116" s="3">
        <f>IFERROR(__xludf.DUMMYFUNCTION("""COMPUTED_VALUE"""),482.0)</f>
        <v>482</v>
      </c>
      <c r="E1116" s="2"/>
      <c r="F1116" s="2"/>
    </row>
    <row r="1117">
      <c r="A1117" s="2">
        <f>IFERROR(__xludf.DUMMYFUNCTION("""COMPUTED_VALUE"""),44105.0)</f>
        <v>44105</v>
      </c>
      <c r="B1117" s="2">
        <f>IFERROR(__xludf.DUMMYFUNCTION("""COMPUTED_VALUE"""),1.0)</f>
        <v>1</v>
      </c>
      <c r="C1117" s="2">
        <f>IFERROR(__xludf.DUMMYFUNCTION("""COMPUTED_VALUE"""),829.0)</f>
        <v>829</v>
      </c>
      <c r="D1117" s="3">
        <f>IFERROR(__xludf.DUMMYFUNCTION("""COMPUTED_VALUE"""),132.0)</f>
        <v>132</v>
      </c>
      <c r="E1117" s="2"/>
      <c r="F1117" s="2"/>
    </row>
    <row r="1118">
      <c r="A1118" s="2">
        <f>IFERROR(__xludf.DUMMYFUNCTION("""COMPUTED_VALUE"""),126580.0)</f>
        <v>126580</v>
      </c>
      <c r="B1118" s="2">
        <f>IFERROR(__xludf.DUMMYFUNCTION("""COMPUTED_VALUE"""),0.0)</f>
        <v>0</v>
      </c>
      <c r="C1118" s="2">
        <f>IFERROR(__xludf.DUMMYFUNCTION("""COMPUTED_VALUE"""),532.0)</f>
        <v>532</v>
      </c>
      <c r="D1118" s="3">
        <f>IFERROR(__xludf.DUMMYFUNCTION("""COMPUTED_VALUE"""),68.0)</f>
        <v>68</v>
      </c>
      <c r="E1118" s="2"/>
      <c r="F1118" s="2"/>
    </row>
    <row r="1119">
      <c r="A1119" s="2">
        <f>IFERROR(__xludf.DUMMYFUNCTION("""COMPUTED_VALUE"""),5624.0)</f>
        <v>5624</v>
      </c>
      <c r="B1119" s="2">
        <f>IFERROR(__xludf.DUMMYFUNCTION("""COMPUTED_VALUE"""),0.0)</f>
        <v>0</v>
      </c>
      <c r="C1119" s="2">
        <f>IFERROR(__xludf.DUMMYFUNCTION("""COMPUTED_VALUE"""),442.0)</f>
        <v>442</v>
      </c>
      <c r="D1119" s="3">
        <f>IFERROR(__xludf.DUMMYFUNCTION("""COMPUTED_VALUE"""),255.0)</f>
        <v>255</v>
      </c>
      <c r="E1119" s="2"/>
      <c r="F1119" s="2"/>
    </row>
    <row r="1120">
      <c r="A1120" s="2">
        <f>IFERROR(__xludf.DUMMYFUNCTION("""COMPUTED_VALUE"""),88679.0)</f>
        <v>88679</v>
      </c>
      <c r="B1120" s="2">
        <f>IFERROR(__xludf.DUMMYFUNCTION("""COMPUTED_VALUE"""),1.0)</f>
        <v>1</v>
      </c>
      <c r="C1120" s="2">
        <f>IFERROR(__xludf.DUMMYFUNCTION("""COMPUTED_VALUE"""),549.0)</f>
        <v>549</v>
      </c>
      <c r="D1120" s="3">
        <f>IFERROR(__xludf.DUMMYFUNCTION("""COMPUTED_VALUE"""),39.0)</f>
        <v>39</v>
      </c>
      <c r="E1120" s="2"/>
      <c r="F1120" s="2"/>
    </row>
    <row r="1121">
      <c r="A1121" s="2">
        <f>IFERROR(__xludf.DUMMYFUNCTION("""COMPUTED_VALUE"""),118305.0)</f>
        <v>118305</v>
      </c>
      <c r="B1121" s="2">
        <f>IFERROR(__xludf.DUMMYFUNCTION("""COMPUTED_VALUE"""),0.0)</f>
        <v>0</v>
      </c>
      <c r="C1121" s="2">
        <f>IFERROR(__xludf.DUMMYFUNCTION("""COMPUTED_VALUE"""),39.0)</f>
        <v>39</v>
      </c>
      <c r="D1121" s="3">
        <f>IFERROR(__xludf.DUMMYFUNCTION("""COMPUTED_VALUE"""),1.0)</f>
        <v>1</v>
      </c>
      <c r="E1121" s="2"/>
      <c r="F1121" s="2"/>
    </row>
    <row r="1122">
      <c r="A1122" s="2">
        <f>IFERROR(__xludf.DUMMYFUNCTION("""COMPUTED_VALUE"""),60380.0)</f>
        <v>60380</v>
      </c>
      <c r="B1122" s="2">
        <f>IFERROR(__xludf.DUMMYFUNCTION("""COMPUTED_VALUE"""),0.0)</f>
        <v>0</v>
      </c>
      <c r="C1122" s="2">
        <f>IFERROR(__xludf.DUMMYFUNCTION("""COMPUTED_VALUE"""),152.0)</f>
        <v>152</v>
      </c>
      <c r="D1122" s="3">
        <f>IFERROR(__xludf.DUMMYFUNCTION("""COMPUTED_VALUE"""),103.0)</f>
        <v>103</v>
      </c>
      <c r="E1122" s="2"/>
      <c r="F1122" s="2"/>
    </row>
    <row r="1123">
      <c r="A1123" s="2">
        <f>IFERROR(__xludf.DUMMYFUNCTION("""COMPUTED_VALUE"""),77475.0)</f>
        <v>77475</v>
      </c>
      <c r="B1123" s="2">
        <f>IFERROR(__xludf.DUMMYFUNCTION("""COMPUTED_VALUE"""),0.0)</f>
        <v>0</v>
      </c>
      <c r="C1123" s="2">
        <f>IFERROR(__xludf.DUMMYFUNCTION("""COMPUTED_VALUE"""),821.0)</f>
        <v>821</v>
      </c>
      <c r="D1123" s="3">
        <f>IFERROR(__xludf.DUMMYFUNCTION("""COMPUTED_VALUE"""),124.0)</f>
        <v>124</v>
      </c>
      <c r="E1123" s="2"/>
      <c r="F1123" s="2"/>
    </row>
    <row r="1124">
      <c r="A1124" s="2">
        <f>IFERROR(__xludf.DUMMYFUNCTION("""COMPUTED_VALUE"""),110577.0)</f>
        <v>110577</v>
      </c>
      <c r="B1124" s="2">
        <f>IFERROR(__xludf.DUMMYFUNCTION("""COMPUTED_VALUE"""),1.0)</f>
        <v>1</v>
      </c>
      <c r="C1124" s="2">
        <f>IFERROR(__xludf.DUMMYFUNCTION("""COMPUTED_VALUE"""),66.0)</f>
        <v>66</v>
      </c>
      <c r="D1124" s="3">
        <f>IFERROR(__xludf.DUMMYFUNCTION("""COMPUTED_VALUE"""),29.0)</f>
        <v>29</v>
      </c>
      <c r="E1124" s="2"/>
      <c r="F1124" s="2"/>
    </row>
    <row r="1125">
      <c r="A1125" s="2">
        <f>IFERROR(__xludf.DUMMYFUNCTION("""COMPUTED_VALUE"""),110571.0)</f>
        <v>110571</v>
      </c>
      <c r="B1125" s="2">
        <f>IFERROR(__xludf.DUMMYFUNCTION("""COMPUTED_VALUE"""),1.0)</f>
        <v>1</v>
      </c>
      <c r="C1125" s="2">
        <f>IFERROR(__xludf.DUMMYFUNCTION("""COMPUTED_VALUE"""),884.0)</f>
        <v>884</v>
      </c>
      <c r="D1125" s="3">
        <f>IFERROR(__xludf.DUMMYFUNCTION("""COMPUTED_VALUE"""),145.0)</f>
        <v>145</v>
      </c>
      <c r="E1125" s="2"/>
      <c r="F1125" s="2"/>
    </row>
    <row r="1126">
      <c r="A1126" s="2">
        <f>IFERROR(__xludf.DUMMYFUNCTION("""COMPUTED_VALUE"""),103835.0)</f>
        <v>103835</v>
      </c>
      <c r="B1126" s="2">
        <f>IFERROR(__xludf.DUMMYFUNCTION("""COMPUTED_VALUE"""),1.0)</f>
        <v>1</v>
      </c>
      <c r="C1126" s="2">
        <f>IFERROR(__xludf.DUMMYFUNCTION("""COMPUTED_VALUE"""),663.0)</f>
        <v>663</v>
      </c>
      <c r="D1126" s="3">
        <f>IFERROR(__xludf.DUMMYFUNCTION("""COMPUTED_VALUE"""),84.0)</f>
        <v>84</v>
      </c>
      <c r="E1126" s="2"/>
      <c r="F1126" s="2"/>
    </row>
    <row r="1127">
      <c r="A1127" s="2">
        <f>IFERROR(__xludf.DUMMYFUNCTION("""COMPUTED_VALUE"""),5646.0)</f>
        <v>5646</v>
      </c>
      <c r="B1127" s="2">
        <f>IFERROR(__xludf.DUMMYFUNCTION("""COMPUTED_VALUE"""),0.0)</f>
        <v>0</v>
      </c>
      <c r="C1127" s="2">
        <f>IFERROR(__xludf.DUMMYFUNCTION("""COMPUTED_VALUE"""),927.0)</f>
        <v>927</v>
      </c>
      <c r="D1127" s="3">
        <f>IFERROR(__xludf.DUMMYFUNCTION("""COMPUTED_VALUE"""),35.0)</f>
        <v>35</v>
      </c>
      <c r="E1127" s="2"/>
      <c r="F1127" s="2"/>
    </row>
    <row r="1128">
      <c r="A1128" s="2">
        <f>IFERROR(__xludf.DUMMYFUNCTION("""COMPUTED_VALUE"""),5649.0)</f>
        <v>5649</v>
      </c>
      <c r="B1128" s="2">
        <f>IFERROR(__xludf.DUMMYFUNCTION("""COMPUTED_VALUE"""),1.0)</f>
        <v>1</v>
      </c>
      <c r="C1128" s="2">
        <f>IFERROR(__xludf.DUMMYFUNCTION("""COMPUTED_VALUE"""),40.0)</f>
        <v>40</v>
      </c>
      <c r="D1128" s="3">
        <f>IFERROR(__xludf.DUMMYFUNCTION("""COMPUTED_VALUE"""),35.0)</f>
        <v>35</v>
      </c>
      <c r="E1128" s="2"/>
      <c r="F1128" s="2"/>
    </row>
    <row r="1129">
      <c r="A1129" s="2">
        <f>IFERROR(__xludf.DUMMYFUNCTION("""COMPUTED_VALUE"""),5647.0)</f>
        <v>5647</v>
      </c>
      <c r="B1129" s="2">
        <f>IFERROR(__xludf.DUMMYFUNCTION("""COMPUTED_VALUE"""),0.0)</f>
        <v>0</v>
      </c>
      <c r="C1129" s="2">
        <f>IFERROR(__xludf.DUMMYFUNCTION("""COMPUTED_VALUE"""),813.0)</f>
        <v>813</v>
      </c>
      <c r="D1129" s="3">
        <f>IFERROR(__xludf.DUMMYFUNCTION("""COMPUTED_VALUE"""),450.0)</f>
        <v>450</v>
      </c>
      <c r="E1129" s="2"/>
      <c r="F1129" s="2"/>
    </row>
    <row r="1130">
      <c r="A1130" s="2">
        <f>IFERROR(__xludf.DUMMYFUNCTION("""COMPUTED_VALUE"""),5648.0)</f>
        <v>5648</v>
      </c>
      <c r="B1130" s="2">
        <f>IFERROR(__xludf.DUMMYFUNCTION("""COMPUTED_VALUE"""),0.0)</f>
        <v>0</v>
      </c>
      <c r="C1130" s="2">
        <f>IFERROR(__xludf.DUMMYFUNCTION("""COMPUTED_VALUE"""),674.0)</f>
        <v>674</v>
      </c>
      <c r="D1130" s="3">
        <f>IFERROR(__xludf.DUMMYFUNCTION("""COMPUTED_VALUE"""),601.0)</f>
        <v>601</v>
      </c>
      <c r="E1130" s="2"/>
      <c r="F1130" s="2"/>
    </row>
    <row r="1131">
      <c r="A1131" s="2">
        <f>IFERROR(__xludf.DUMMYFUNCTION("""COMPUTED_VALUE"""),108292.0)</f>
        <v>108292</v>
      </c>
      <c r="B1131" s="2">
        <f>IFERROR(__xludf.DUMMYFUNCTION("""COMPUTED_VALUE"""),1.0)</f>
        <v>1</v>
      </c>
      <c r="C1131" s="2">
        <f>IFERROR(__xludf.DUMMYFUNCTION("""COMPUTED_VALUE"""),630.0)</f>
        <v>630</v>
      </c>
      <c r="D1131" s="3">
        <f>IFERROR(__xludf.DUMMYFUNCTION("""COMPUTED_VALUE"""),163.0)</f>
        <v>163</v>
      </c>
      <c r="E1131" s="2"/>
      <c r="F1131" s="2"/>
    </row>
    <row r="1132">
      <c r="A1132" s="2">
        <f>IFERROR(__xludf.DUMMYFUNCTION("""COMPUTED_VALUE"""),110572.0)</f>
        <v>110572</v>
      </c>
      <c r="B1132" s="2">
        <f>IFERROR(__xludf.DUMMYFUNCTION("""COMPUTED_VALUE"""),1.0)</f>
        <v>1</v>
      </c>
      <c r="C1132" s="2">
        <f>IFERROR(__xludf.DUMMYFUNCTION("""COMPUTED_VALUE"""),361.0)</f>
        <v>361</v>
      </c>
      <c r="D1132" s="3">
        <f>IFERROR(__xludf.DUMMYFUNCTION("""COMPUTED_VALUE"""),41.0)</f>
        <v>41</v>
      </c>
      <c r="E1132" s="2"/>
      <c r="F1132" s="2"/>
    </row>
    <row r="1133">
      <c r="A1133" s="2">
        <f>IFERROR(__xludf.DUMMYFUNCTION("""COMPUTED_VALUE"""),77456.0)</f>
        <v>77456</v>
      </c>
      <c r="B1133" s="2">
        <f>IFERROR(__xludf.DUMMYFUNCTION("""COMPUTED_VALUE"""),1.0)</f>
        <v>1</v>
      </c>
      <c r="C1133" s="2">
        <f>IFERROR(__xludf.DUMMYFUNCTION("""COMPUTED_VALUE"""),128.0)</f>
        <v>128</v>
      </c>
      <c r="D1133" s="3">
        <f>IFERROR(__xludf.DUMMYFUNCTION("""COMPUTED_VALUE"""),15.0)</f>
        <v>15</v>
      </c>
      <c r="E1133" s="2"/>
      <c r="F1133" s="2"/>
    </row>
    <row r="1134">
      <c r="A1134" s="2">
        <f>IFERROR(__xludf.DUMMYFUNCTION("""COMPUTED_VALUE"""),77454.0)</f>
        <v>77454</v>
      </c>
      <c r="B1134" s="2">
        <f>IFERROR(__xludf.DUMMYFUNCTION("""COMPUTED_VALUE"""),0.0)</f>
        <v>0</v>
      </c>
      <c r="C1134" s="2">
        <f>IFERROR(__xludf.DUMMYFUNCTION("""COMPUTED_VALUE"""),927.0)</f>
        <v>927</v>
      </c>
      <c r="D1134" s="3">
        <f>IFERROR(__xludf.DUMMYFUNCTION("""COMPUTED_VALUE"""),130.0)</f>
        <v>130</v>
      </c>
      <c r="E1134" s="2"/>
      <c r="F1134" s="2"/>
    </row>
    <row r="1135">
      <c r="A1135" s="2">
        <f>IFERROR(__xludf.DUMMYFUNCTION("""COMPUTED_VALUE"""),44095.0)</f>
        <v>44095</v>
      </c>
      <c r="B1135" s="2">
        <f>IFERROR(__xludf.DUMMYFUNCTION("""COMPUTED_VALUE"""),1.0)</f>
        <v>1</v>
      </c>
      <c r="C1135" s="2">
        <f>IFERROR(__xludf.DUMMYFUNCTION("""COMPUTED_VALUE"""),505.0)</f>
        <v>505</v>
      </c>
      <c r="D1135" s="3">
        <f>IFERROR(__xludf.DUMMYFUNCTION("""COMPUTED_VALUE"""),274.0)</f>
        <v>274</v>
      </c>
      <c r="E1135" s="2"/>
      <c r="F1135" s="2"/>
    </row>
    <row r="1136">
      <c r="A1136" s="2">
        <f>IFERROR(__xludf.DUMMYFUNCTION("""COMPUTED_VALUE"""),87419.0)</f>
        <v>87419</v>
      </c>
      <c r="B1136" s="2">
        <f>IFERROR(__xludf.DUMMYFUNCTION("""COMPUTED_VALUE"""),1.0)</f>
        <v>1</v>
      </c>
      <c r="C1136" s="2">
        <f>IFERROR(__xludf.DUMMYFUNCTION("""COMPUTED_VALUE"""),252.0)</f>
        <v>252</v>
      </c>
      <c r="D1136" s="3">
        <f>IFERROR(__xludf.DUMMYFUNCTION("""COMPUTED_VALUE"""),129.0)</f>
        <v>129</v>
      </c>
      <c r="E1136" s="2"/>
      <c r="F1136" s="2"/>
    </row>
    <row r="1137">
      <c r="A1137" s="2">
        <f>IFERROR(__xludf.DUMMYFUNCTION("""COMPUTED_VALUE"""),44087.0)</f>
        <v>44087</v>
      </c>
      <c r="B1137" s="2">
        <f>IFERROR(__xludf.DUMMYFUNCTION("""COMPUTED_VALUE"""),1.0)</f>
        <v>1</v>
      </c>
      <c r="C1137" s="2">
        <f>IFERROR(__xludf.DUMMYFUNCTION("""COMPUTED_VALUE"""),321.0)</f>
        <v>321</v>
      </c>
      <c r="D1137" s="3">
        <f>IFERROR(__xludf.DUMMYFUNCTION("""COMPUTED_VALUE"""),292.0)</f>
        <v>292</v>
      </c>
      <c r="E1137" s="2"/>
      <c r="F1137" s="2"/>
    </row>
    <row r="1138">
      <c r="A1138" s="2">
        <f>IFERROR(__xludf.DUMMYFUNCTION("""COMPUTED_VALUE"""),44129.0)</f>
        <v>44129</v>
      </c>
      <c r="B1138" s="2">
        <f>IFERROR(__xludf.DUMMYFUNCTION("""COMPUTED_VALUE"""),0.0)</f>
        <v>0</v>
      </c>
      <c r="C1138" s="2">
        <f>IFERROR(__xludf.DUMMYFUNCTION("""COMPUTED_VALUE"""),574.0)</f>
        <v>574</v>
      </c>
      <c r="D1138" s="3">
        <f>IFERROR(__xludf.DUMMYFUNCTION("""COMPUTED_VALUE"""),19.0)</f>
        <v>19</v>
      </c>
      <c r="E1138" s="2"/>
      <c r="F1138" s="2"/>
    </row>
    <row r="1139">
      <c r="A1139" s="2">
        <f>IFERROR(__xludf.DUMMYFUNCTION("""COMPUTED_VALUE"""),103832.0)</f>
        <v>103832</v>
      </c>
      <c r="B1139" s="2">
        <f>IFERROR(__xludf.DUMMYFUNCTION("""COMPUTED_VALUE"""),1.0)</f>
        <v>1</v>
      </c>
      <c r="C1139" s="2">
        <f>IFERROR(__xludf.DUMMYFUNCTION("""COMPUTED_VALUE"""),810.0)</f>
        <v>810</v>
      </c>
      <c r="D1139" s="3">
        <f>IFERROR(__xludf.DUMMYFUNCTION("""COMPUTED_VALUE"""),95.0)</f>
        <v>95</v>
      </c>
      <c r="E1139" s="2"/>
      <c r="F1139" s="2"/>
    </row>
    <row r="1140">
      <c r="A1140" s="2">
        <f>IFERROR(__xludf.DUMMYFUNCTION("""COMPUTED_VALUE"""),103819.0)</f>
        <v>103819</v>
      </c>
      <c r="B1140" s="2">
        <f>IFERROR(__xludf.DUMMYFUNCTION("""COMPUTED_VALUE"""),0.0)</f>
        <v>0</v>
      </c>
      <c r="C1140" s="2">
        <f>IFERROR(__xludf.DUMMYFUNCTION("""COMPUTED_VALUE"""),595.0)</f>
        <v>595</v>
      </c>
      <c r="D1140" s="3">
        <f>IFERROR(__xludf.DUMMYFUNCTION("""COMPUTED_VALUE"""),289.0)</f>
        <v>289</v>
      </c>
      <c r="E1140" s="2"/>
      <c r="F1140" s="2"/>
    </row>
    <row r="1141">
      <c r="A1141" s="2">
        <f>IFERROR(__xludf.DUMMYFUNCTION("""COMPUTED_VALUE"""),88683.0)</f>
        <v>88683</v>
      </c>
      <c r="B1141" s="2">
        <f>IFERROR(__xludf.DUMMYFUNCTION("""COMPUTED_VALUE"""),0.0)</f>
        <v>0</v>
      </c>
      <c r="C1141" s="2">
        <f>IFERROR(__xludf.DUMMYFUNCTION("""COMPUTED_VALUE"""),278.0)</f>
        <v>278</v>
      </c>
      <c r="D1141" s="3">
        <f>IFERROR(__xludf.DUMMYFUNCTION("""COMPUTED_VALUE"""),143.0)</f>
        <v>143</v>
      </c>
      <c r="E1141" s="2"/>
      <c r="F1141" s="2"/>
    </row>
    <row r="1142">
      <c r="A1142" s="2">
        <f>IFERROR(__xludf.DUMMYFUNCTION("""COMPUTED_VALUE"""),5676.0)</f>
        <v>5676</v>
      </c>
      <c r="B1142" s="2">
        <f>IFERROR(__xludf.DUMMYFUNCTION("""COMPUTED_VALUE"""),1.0)</f>
        <v>1</v>
      </c>
      <c r="C1142" s="2">
        <f>IFERROR(__xludf.DUMMYFUNCTION("""COMPUTED_VALUE"""),157.0)</f>
        <v>157</v>
      </c>
      <c r="D1142" s="3">
        <f>IFERROR(__xludf.DUMMYFUNCTION("""COMPUTED_VALUE"""),143.0)</f>
        <v>143</v>
      </c>
      <c r="E1142" s="2"/>
      <c r="F1142" s="2"/>
    </row>
    <row r="1143">
      <c r="A1143" s="2">
        <f>IFERROR(__xludf.DUMMYFUNCTION("""COMPUTED_VALUE"""),116776.0)</f>
        <v>116776</v>
      </c>
      <c r="B1143" s="2">
        <f>IFERROR(__xludf.DUMMYFUNCTION("""COMPUTED_VALUE"""),0.0)</f>
        <v>0</v>
      </c>
      <c r="C1143" s="2">
        <f>IFERROR(__xludf.DUMMYFUNCTION("""COMPUTED_VALUE"""),291.0)</f>
        <v>291</v>
      </c>
      <c r="D1143" s="3">
        <f>IFERROR(__xludf.DUMMYFUNCTION("""COMPUTED_VALUE"""),24.0)</f>
        <v>24</v>
      </c>
      <c r="E1143" s="2"/>
      <c r="F1143" s="2"/>
    </row>
    <row r="1144">
      <c r="A1144" s="2">
        <f>IFERROR(__xludf.DUMMYFUNCTION("""COMPUTED_VALUE"""),5668.0)</f>
        <v>5668</v>
      </c>
      <c r="B1144" s="2">
        <f>IFERROR(__xludf.DUMMYFUNCTION("""COMPUTED_VALUE"""),0.0)</f>
        <v>0</v>
      </c>
      <c r="C1144" s="2">
        <f>IFERROR(__xludf.DUMMYFUNCTION("""COMPUTED_VALUE"""),795.0)</f>
        <v>795</v>
      </c>
      <c r="D1144" s="3">
        <f>IFERROR(__xludf.DUMMYFUNCTION("""COMPUTED_VALUE"""),414.0)</f>
        <v>414</v>
      </c>
      <c r="E1144" s="2"/>
      <c r="F1144" s="2"/>
    </row>
    <row r="1145">
      <c r="A1145" s="2">
        <f>IFERROR(__xludf.DUMMYFUNCTION("""COMPUTED_VALUE"""),119052.0)</f>
        <v>119052</v>
      </c>
      <c r="B1145" s="2">
        <f>IFERROR(__xludf.DUMMYFUNCTION("""COMPUTED_VALUE"""),1.0)</f>
        <v>1</v>
      </c>
      <c r="C1145" s="2">
        <f>IFERROR(__xludf.DUMMYFUNCTION("""COMPUTED_VALUE"""),22.0)</f>
        <v>22</v>
      </c>
      <c r="D1145" s="3">
        <f>IFERROR(__xludf.DUMMYFUNCTION("""COMPUTED_VALUE"""),22.0)</f>
        <v>22</v>
      </c>
      <c r="E1145" s="2"/>
      <c r="F1145" s="2"/>
    </row>
    <row r="1146">
      <c r="A1146" s="2">
        <f>IFERROR(__xludf.DUMMYFUNCTION("""COMPUTED_VALUE"""),118920.0)</f>
        <v>118920</v>
      </c>
      <c r="B1146" s="2">
        <f>IFERROR(__xludf.DUMMYFUNCTION("""COMPUTED_VALUE"""),1.0)</f>
        <v>1</v>
      </c>
      <c r="C1146" s="2">
        <f>IFERROR(__xludf.DUMMYFUNCTION("""COMPUTED_VALUE"""),453.0)</f>
        <v>453</v>
      </c>
      <c r="D1146" s="3">
        <f>IFERROR(__xludf.DUMMYFUNCTION("""COMPUTED_VALUE"""),55.0)</f>
        <v>55</v>
      </c>
      <c r="E1146" s="2"/>
      <c r="F1146" s="2"/>
    </row>
    <row r="1147">
      <c r="A1147" s="2">
        <f>IFERROR(__xludf.DUMMYFUNCTION("""COMPUTED_VALUE"""),96003.0)</f>
        <v>96003</v>
      </c>
      <c r="B1147" s="2">
        <f>IFERROR(__xludf.DUMMYFUNCTION("""COMPUTED_VALUE"""),0.0)</f>
        <v>0</v>
      </c>
      <c r="C1147" s="2">
        <f>IFERROR(__xludf.DUMMYFUNCTION("""COMPUTED_VALUE"""),687.0)</f>
        <v>687</v>
      </c>
      <c r="D1147" s="3">
        <f>IFERROR(__xludf.DUMMYFUNCTION("""COMPUTED_VALUE"""),253.0)</f>
        <v>253</v>
      </c>
      <c r="E1147" s="2"/>
      <c r="F1147" s="2"/>
    </row>
    <row r="1148">
      <c r="A1148" s="2">
        <f>IFERROR(__xludf.DUMMYFUNCTION("""COMPUTED_VALUE"""),116380.0)</f>
        <v>116380</v>
      </c>
      <c r="B1148" s="2">
        <f>IFERROR(__xludf.DUMMYFUNCTION("""COMPUTED_VALUE"""),0.0)</f>
        <v>0</v>
      </c>
      <c r="C1148" s="2">
        <f>IFERROR(__xludf.DUMMYFUNCTION("""COMPUTED_VALUE"""),724.0)</f>
        <v>724</v>
      </c>
      <c r="D1148" s="3">
        <f>IFERROR(__xludf.DUMMYFUNCTION("""COMPUTED_VALUE"""),99.0)</f>
        <v>99</v>
      </c>
      <c r="E1148" s="2"/>
      <c r="F1148" s="2"/>
    </row>
    <row r="1149">
      <c r="A1149" s="2">
        <f>IFERROR(__xludf.DUMMYFUNCTION("""COMPUTED_VALUE"""),46291.0)</f>
        <v>46291</v>
      </c>
      <c r="B1149" s="2">
        <f>IFERROR(__xludf.DUMMYFUNCTION("""COMPUTED_VALUE"""),0.0)</f>
        <v>0</v>
      </c>
      <c r="C1149" s="2">
        <f>IFERROR(__xludf.DUMMYFUNCTION("""COMPUTED_VALUE"""),922.0)</f>
        <v>922</v>
      </c>
      <c r="D1149" s="3">
        <f>IFERROR(__xludf.DUMMYFUNCTION("""COMPUTED_VALUE"""),445.0)</f>
        <v>445</v>
      </c>
      <c r="E1149" s="2"/>
      <c r="F1149" s="2"/>
    </row>
    <row r="1150">
      <c r="A1150" s="2">
        <f>IFERROR(__xludf.DUMMYFUNCTION("""COMPUTED_VALUE"""),148742.0)</f>
        <v>148742</v>
      </c>
      <c r="B1150" s="2">
        <f>IFERROR(__xludf.DUMMYFUNCTION("""COMPUTED_VALUE"""),0.0)</f>
        <v>0</v>
      </c>
      <c r="C1150" s="2">
        <f>IFERROR(__xludf.DUMMYFUNCTION("""COMPUTED_VALUE"""),528.0)</f>
        <v>528</v>
      </c>
      <c r="D1150" s="3">
        <f>IFERROR(__xludf.DUMMYFUNCTION("""COMPUTED_VALUE"""),496.0)</f>
        <v>496</v>
      </c>
      <c r="E1150" s="2"/>
      <c r="F1150" s="2"/>
    </row>
    <row r="1151">
      <c r="A1151" s="2">
        <f>IFERROR(__xludf.DUMMYFUNCTION("""COMPUTED_VALUE"""),83634.0)</f>
        <v>83634</v>
      </c>
      <c r="B1151" s="2">
        <f>IFERROR(__xludf.DUMMYFUNCTION("""COMPUTED_VALUE"""),0.0)</f>
        <v>0</v>
      </c>
      <c r="C1151" s="2">
        <f>IFERROR(__xludf.DUMMYFUNCTION("""COMPUTED_VALUE"""),62.0)</f>
        <v>62</v>
      </c>
      <c r="D1151" s="3">
        <f>IFERROR(__xludf.DUMMYFUNCTION("""COMPUTED_VALUE"""),46.0)</f>
        <v>46</v>
      </c>
      <c r="E1151" s="2"/>
      <c r="F1151" s="2"/>
    </row>
    <row r="1152">
      <c r="A1152" s="2">
        <f>IFERROR(__xludf.DUMMYFUNCTION("""COMPUTED_VALUE"""),5657.0)</f>
        <v>5657</v>
      </c>
      <c r="B1152" s="2">
        <f>IFERROR(__xludf.DUMMYFUNCTION("""COMPUTED_VALUE"""),0.0)</f>
        <v>0</v>
      </c>
      <c r="C1152" s="2">
        <f>IFERROR(__xludf.DUMMYFUNCTION("""COMPUTED_VALUE"""),679.0)</f>
        <v>679</v>
      </c>
      <c r="D1152" s="3">
        <f>IFERROR(__xludf.DUMMYFUNCTION("""COMPUTED_VALUE"""),253.0)</f>
        <v>253</v>
      </c>
      <c r="E1152" s="2"/>
      <c r="F1152" s="2"/>
    </row>
    <row r="1153">
      <c r="A1153" s="2">
        <f>IFERROR(__xludf.DUMMYFUNCTION("""COMPUTED_VALUE"""),78856.0)</f>
        <v>78856</v>
      </c>
      <c r="B1153" s="2">
        <f>IFERROR(__xludf.DUMMYFUNCTION("""COMPUTED_VALUE"""),0.0)</f>
        <v>0</v>
      </c>
      <c r="C1153" s="2">
        <f>IFERROR(__xludf.DUMMYFUNCTION("""COMPUTED_VALUE"""),649.0)</f>
        <v>649</v>
      </c>
      <c r="D1153" s="3">
        <f>IFERROR(__xludf.DUMMYFUNCTION("""COMPUTED_VALUE"""),301.0)</f>
        <v>301</v>
      </c>
      <c r="E1153" s="2"/>
      <c r="F1153" s="2"/>
    </row>
    <row r="1154">
      <c r="A1154" s="2">
        <f>IFERROR(__xludf.DUMMYFUNCTION("""COMPUTED_VALUE"""),44123.0)</f>
        <v>44123</v>
      </c>
      <c r="B1154" s="2">
        <f>IFERROR(__xludf.DUMMYFUNCTION("""COMPUTED_VALUE"""),0.0)</f>
        <v>0</v>
      </c>
      <c r="C1154" s="2">
        <f>IFERROR(__xludf.DUMMYFUNCTION("""COMPUTED_VALUE"""),10.0)</f>
        <v>10</v>
      </c>
      <c r="D1154" s="3">
        <f>IFERROR(__xludf.DUMMYFUNCTION("""COMPUTED_VALUE"""),0.0)</f>
        <v>0</v>
      </c>
      <c r="E1154" s="2"/>
      <c r="F1154" s="2"/>
    </row>
    <row r="1155">
      <c r="A1155" s="2">
        <f>IFERROR(__xludf.DUMMYFUNCTION("""COMPUTED_VALUE"""),78855.0)</f>
        <v>78855</v>
      </c>
      <c r="B1155" s="2">
        <f>IFERROR(__xludf.DUMMYFUNCTION("""COMPUTED_VALUE"""),0.0)</f>
        <v>0</v>
      </c>
      <c r="C1155" s="2">
        <f>IFERROR(__xludf.DUMMYFUNCTION("""COMPUTED_VALUE"""),730.0)</f>
        <v>730</v>
      </c>
      <c r="D1155" s="3">
        <f>IFERROR(__xludf.DUMMYFUNCTION("""COMPUTED_VALUE"""),188.0)</f>
        <v>188</v>
      </c>
      <c r="E1155" s="2"/>
      <c r="F1155" s="2"/>
    </row>
    <row r="1156">
      <c r="A1156" s="2">
        <f>IFERROR(__xludf.DUMMYFUNCTION("""COMPUTED_VALUE"""),48408.0)</f>
        <v>48408</v>
      </c>
      <c r="B1156" s="2">
        <f>IFERROR(__xludf.DUMMYFUNCTION("""COMPUTED_VALUE"""),0.0)</f>
        <v>0</v>
      </c>
      <c r="C1156" s="2">
        <f>IFERROR(__xludf.DUMMYFUNCTION("""COMPUTED_VALUE"""),200.0)</f>
        <v>200</v>
      </c>
      <c r="D1156" s="3">
        <f>IFERROR(__xludf.DUMMYFUNCTION("""COMPUTED_VALUE"""),17.0)</f>
        <v>17</v>
      </c>
      <c r="E1156" s="2"/>
      <c r="F1156" s="2"/>
    </row>
    <row r="1157">
      <c r="A1157" s="2">
        <f>IFERROR(__xludf.DUMMYFUNCTION("""COMPUTED_VALUE"""),46303.0)</f>
        <v>46303</v>
      </c>
      <c r="B1157" s="2">
        <f>IFERROR(__xludf.DUMMYFUNCTION("""COMPUTED_VALUE"""),0.0)</f>
        <v>0</v>
      </c>
      <c r="C1157" s="2">
        <f>IFERROR(__xludf.DUMMYFUNCTION("""COMPUTED_VALUE"""),619.0)</f>
        <v>619</v>
      </c>
      <c r="D1157" s="3">
        <f>IFERROR(__xludf.DUMMYFUNCTION("""COMPUTED_VALUE"""),300.0)</f>
        <v>300</v>
      </c>
      <c r="E1157" s="2"/>
      <c r="F1157" s="2"/>
    </row>
    <row r="1158">
      <c r="A1158" s="2">
        <f>IFERROR(__xludf.DUMMYFUNCTION("""COMPUTED_VALUE"""),147274.0)</f>
        <v>147274</v>
      </c>
      <c r="B1158" s="2">
        <f>IFERROR(__xludf.DUMMYFUNCTION("""COMPUTED_VALUE"""),0.0)</f>
        <v>0</v>
      </c>
      <c r="C1158" s="2">
        <f>IFERROR(__xludf.DUMMYFUNCTION("""COMPUTED_VALUE"""),442.0)</f>
        <v>442</v>
      </c>
      <c r="D1158" s="3">
        <f>IFERROR(__xludf.DUMMYFUNCTION("""COMPUTED_VALUE"""),344.0)</f>
        <v>344</v>
      </c>
      <c r="E1158" s="2"/>
      <c r="F1158" s="2"/>
    </row>
    <row r="1159">
      <c r="A1159" s="2">
        <f>IFERROR(__xludf.DUMMYFUNCTION("""COMPUTED_VALUE"""),44144.0)</f>
        <v>44144</v>
      </c>
      <c r="B1159" s="2">
        <f>IFERROR(__xludf.DUMMYFUNCTION("""COMPUTED_VALUE"""),1.0)</f>
        <v>1</v>
      </c>
      <c r="C1159" s="2">
        <f>IFERROR(__xludf.DUMMYFUNCTION("""COMPUTED_VALUE"""),353.0)</f>
        <v>353</v>
      </c>
      <c r="D1159" s="3">
        <f>IFERROR(__xludf.DUMMYFUNCTION("""COMPUTED_VALUE"""),189.0)</f>
        <v>189</v>
      </c>
      <c r="E1159" s="2"/>
      <c r="F1159" s="2"/>
    </row>
    <row r="1160">
      <c r="A1160" s="2">
        <f>IFERROR(__xludf.DUMMYFUNCTION("""COMPUTED_VALUE"""),96972.0)</f>
        <v>96972</v>
      </c>
      <c r="B1160" s="2">
        <f>IFERROR(__xludf.DUMMYFUNCTION("""COMPUTED_VALUE"""),0.0)</f>
        <v>0</v>
      </c>
      <c r="C1160" s="2">
        <f>IFERROR(__xludf.DUMMYFUNCTION("""COMPUTED_VALUE"""),515.0)</f>
        <v>515</v>
      </c>
      <c r="D1160" s="3">
        <f>IFERROR(__xludf.DUMMYFUNCTION("""COMPUTED_VALUE"""),512.0)</f>
        <v>512</v>
      </c>
      <c r="E1160" s="2"/>
      <c r="F1160" s="2"/>
    </row>
    <row r="1161">
      <c r="A1161" s="2">
        <f>IFERROR(__xludf.DUMMYFUNCTION("""COMPUTED_VALUE"""),5665.0)</f>
        <v>5665</v>
      </c>
      <c r="B1161" s="2">
        <f>IFERROR(__xludf.DUMMYFUNCTION("""COMPUTED_VALUE"""),0.0)</f>
        <v>0</v>
      </c>
      <c r="C1161" s="2">
        <f>IFERROR(__xludf.DUMMYFUNCTION("""COMPUTED_VALUE"""),106.0)</f>
        <v>106</v>
      </c>
      <c r="D1161" s="3">
        <f>IFERROR(__xludf.DUMMYFUNCTION("""COMPUTED_VALUE"""),33.0)</f>
        <v>33</v>
      </c>
      <c r="E1161" s="2"/>
      <c r="F1161" s="2"/>
    </row>
    <row r="1162">
      <c r="A1162" s="2">
        <f>IFERROR(__xludf.DUMMYFUNCTION("""COMPUTED_VALUE"""),26072.0)</f>
        <v>26072</v>
      </c>
      <c r="B1162" s="2">
        <f>IFERROR(__xludf.DUMMYFUNCTION("""COMPUTED_VALUE"""),1.0)</f>
        <v>1</v>
      </c>
      <c r="C1162" s="2">
        <f>IFERROR(__xludf.DUMMYFUNCTION("""COMPUTED_VALUE"""),179.0)</f>
        <v>179</v>
      </c>
      <c r="D1162" s="3">
        <f>IFERROR(__xludf.DUMMYFUNCTION("""COMPUTED_VALUE"""),106.0)</f>
        <v>106</v>
      </c>
      <c r="E1162" s="2"/>
      <c r="F1162" s="2"/>
    </row>
    <row r="1163">
      <c r="A1163" s="2">
        <f>IFERROR(__xludf.DUMMYFUNCTION("""COMPUTED_VALUE"""),5631.0)</f>
        <v>5631</v>
      </c>
      <c r="B1163" s="2">
        <f>IFERROR(__xludf.DUMMYFUNCTION("""COMPUTED_VALUE"""),0.0)</f>
        <v>0</v>
      </c>
      <c r="C1163" s="2">
        <f>IFERROR(__xludf.DUMMYFUNCTION("""COMPUTED_VALUE"""),342.0)</f>
        <v>342</v>
      </c>
      <c r="D1163" s="3">
        <f>IFERROR(__xludf.DUMMYFUNCTION("""COMPUTED_VALUE"""),54.0)</f>
        <v>54</v>
      </c>
      <c r="E1163" s="2"/>
      <c r="F1163" s="2"/>
    </row>
    <row r="1164">
      <c r="A1164" s="2">
        <f>IFERROR(__xludf.DUMMYFUNCTION("""COMPUTED_VALUE"""),104316.0)</f>
        <v>104316</v>
      </c>
      <c r="B1164" s="2">
        <f>IFERROR(__xludf.DUMMYFUNCTION("""COMPUTED_VALUE"""),1.0)</f>
        <v>1</v>
      </c>
      <c r="C1164" s="2">
        <f>IFERROR(__xludf.DUMMYFUNCTION("""COMPUTED_VALUE"""),314.0)</f>
        <v>314</v>
      </c>
      <c r="D1164" s="3">
        <f>IFERROR(__xludf.DUMMYFUNCTION("""COMPUTED_VALUE"""),275.0)</f>
        <v>275</v>
      </c>
      <c r="E1164" s="2"/>
      <c r="F1164" s="2"/>
    </row>
    <row r="1165">
      <c r="A1165" s="2">
        <f>IFERROR(__xludf.DUMMYFUNCTION("""COMPUTED_VALUE"""),83612.0)</f>
        <v>83612</v>
      </c>
      <c r="B1165" s="2">
        <f>IFERROR(__xludf.DUMMYFUNCTION("""COMPUTED_VALUE"""),1.0)</f>
        <v>1</v>
      </c>
      <c r="C1165" s="2">
        <f>IFERROR(__xludf.DUMMYFUNCTION("""COMPUTED_VALUE"""),55.0)</f>
        <v>55</v>
      </c>
      <c r="D1165" s="3">
        <f>IFERROR(__xludf.DUMMYFUNCTION("""COMPUTED_VALUE"""),45.0)</f>
        <v>45</v>
      </c>
      <c r="E1165" s="2"/>
      <c r="F1165" s="2"/>
    </row>
    <row r="1166">
      <c r="A1166" s="2">
        <f>IFERROR(__xludf.DUMMYFUNCTION("""COMPUTED_VALUE"""),87425.0)</f>
        <v>87425</v>
      </c>
      <c r="B1166" s="2">
        <f>IFERROR(__xludf.DUMMYFUNCTION("""COMPUTED_VALUE"""),0.0)</f>
        <v>0</v>
      </c>
      <c r="C1166" s="2">
        <f>IFERROR(__xludf.DUMMYFUNCTION("""COMPUTED_VALUE"""),682.0)</f>
        <v>682</v>
      </c>
      <c r="D1166" s="3">
        <f>IFERROR(__xludf.DUMMYFUNCTION("""COMPUTED_VALUE"""),455.0)</f>
        <v>455</v>
      </c>
      <c r="E1166" s="2"/>
      <c r="F1166" s="2"/>
    </row>
    <row r="1167">
      <c r="A1167" s="2">
        <f>IFERROR(__xludf.DUMMYFUNCTION("""COMPUTED_VALUE"""),115611.0)</f>
        <v>115611</v>
      </c>
      <c r="B1167" s="2">
        <f>IFERROR(__xludf.DUMMYFUNCTION("""COMPUTED_VALUE"""),0.0)</f>
        <v>0</v>
      </c>
      <c r="C1167" s="2">
        <f>IFERROR(__xludf.DUMMYFUNCTION("""COMPUTED_VALUE"""),706.0)</f>
        <v>706</v>
      </c>
      <c r="D1167" s="3">
        <f>IFERROR(__xludf.DUMMYFUNCTION("""COMPUTED_VALUE"""),58.0)</f>
        <v>58</v>
      </c>
      <c r="E1167" s="2"/>
      <c r="F1167" s="2"/>
    </row>
    <row r="1168">
      <c r="A1168" s="2">
        <f>IFERROR(__xludf.DUMMYFUNCTION("""COMPUTED_VALUE"""),88688.0)</f>
        <v>88688</v>
      </c>
      <c r="B1168" s="2">
        <f>IFERROR(__xludf.DUMMYFUNCTION("""COMPUTED_VALUE"""),0.0)</f>
        <v>0</v>
      </c>
      <c r="C1168" s="2">
        <f>IFERROR(__xludf.DUMMYFUNCTION("""COMPUTED_VALUE"""),259.0)</f>
        <v>259</v>
      </c>
      <c r="D1168" s="3">
        <f>IFERROR(__xludf.DUMMYFUNCTION("""COMPUTED_VALUE"""),11.0)</f>
        <v>11</v>
      </c>
      <c r="E1168" s="2"/>
      <c r="F1168" s="2"/>
    </row>
    <row r="1169">
      <c r="A1169" s="2">
        <f>IFERROR(__xludf.DUMMYFUNCTION("""COMPUTED_VALUE"""),83605.0)</f>
        <v>83605</v>
      </c>
      <c r="B1169" s="2">
        <f>IFERROR(__xludf.DUMMYFUNCTION("""COMPUTED_VALUE"""),0.0)</f>
        <v>0</v>
      </c>
      <c r="C1169" s="2">
        <f>IFERROR(__xludf.DUMMYFUNCTION("""COMPUTED_VALUE"""),102.0)</f>
        <v>102</v>
      </c>
      <c r="D1169" s="3">
        <f>IFERROR(__xludf.DUMMYFUNCTION("""COMPUTED_VALUE"""),93.0)</f>
        <v>93</v>
      </c>
      <c r="E1169" s="2"/>
      <c r="F1169" s="2"/>
    </row>
    <row r="1170">
      <c r="A1170" s="2">
        <f>IFERROR(__xludf.DUMMYFUNCTION("""COMPUTED_VALUE"""),44125.0)</f>
        <v>44125</v>
      </c>
      <c r="B1170" s="2">
        <f>IFERROR(__xludf.DUMMYFUNCTION("""COMPUTED_VALUE"""),0.0)</f>
        <v>0</v>
      </c>
      <c r="C1170" s="2">
        <f>IFERROR(__xludf.DUMMYFUNCTION("""COMPUTED_VALUE"""),813.0)</f>
        <v>813</v>
      </c>
      <c r="D1170" s="3">
        <f>IFERROR(__xludf.DUMMYFUNCTION("""COMPUTED_VALUE"""),546.0)</f>
        <v>546</v>
      </c>
      <c r="E1170" s="2"/>
      <c r="F1170" s="2"/>
    </row>
    <row r="1171">
      <c r="A1171" s="2">
        <f>IFERROR(__xludf.DUMMYFUNCTION("""COMPUTED_VALUE"""),83639.0)</f>
        <v>83639</v>
      </c>
      <c r="B1171" s="2">
        <f>IFERROR(__xludf.DUMMYFUNCTION("""COMPUTED_VALUE"""),1.0)</f>
        <v>1</v>
      </c>
      <c r="C1171" s="2">
        <f>IFERROR(__xludf.DUMMYFUNCTION("""COMPUTED_VALUE"""),70.0)</f>
        <v>70</v>
      </c>
      <c r="D1171" s="3">
        <f>IFERROR(__xludf.DUMMYFUNCTION("""COMPUTED_VALUE"""),10.0)</f>
        <v>10</v>
      </c>
      <c r="E1171" s="2"/>
      <c r="F1171" s="2"/>
    </row>
    <row r="1172">
      <c r="A1172" s="2">
        <f>IFERROR(__xludf.DUMMYFUNCTION("""COMPUTED_VALUE"""),5656.0)</f>
        <v>5656</v>
      </c>
      <c r="B1172" s="2">
        <f>IFERROR(__xludf.DUMMYFUNCTION("""COMPUTED_VALUE"""),0.0)</f>
        <v>0</v>
      </c>
      <c r="C1172" s="2">
        <f>IFERROR(__xludf.DUMMYFUNCTION("""COMPUTED_VALUE"""),814.0)</f>
        <v>814</v>
      </c>
      <c r="D1172" s="3">
        <f>IFERROR(__xludf.DUMMYFUNCTION("""COMPUTED_VALUE"""),244.0)</f>
        <v>244</v>
      </c>
      <c r="E1172" s="2"/>
      <c r="F1172" s="2"/>
    </row>
    <row r="1173">
      <c r="A1173" s="2">
        <f>IFERROR(__xludf.DUMMYFUNCTION("""COMPUTED_VALUE"""),88686.0)</f>
        <v>88686</v>
      </c>
      <c r="B1173" s="2">
        <f>IFERROR(__xludf.DUMMYFUNCTION("""COMPUTED_VALUE"""),1.0)</f>
        <v>1</v>
      </c>
      <c r="C1173" s="2">
        <f>IFERROR(__xludf.DUMMYFUNCTION("""COMPUTED_VALUE"""),826.0)</f>
        <v>826</v>
      </c>
      <c r="D1173" s="3">
        <f>IFERROR(__xludf.DUMMYFUNCTION("""COMPUTED_VALUE"""),163.0)</f>
        <v>163</v>
      </c>
      <c r="E1173" s="2"/>
      <c r="F1173" s="2"/>
    </row>
    <row r="1174">
      <c r="A1174" s="2">
        <f>IFERROR(__xludf.DUMMYFUNCTION("""COMPUTED_VALUE"""),83601.0)</f>
        <v>83601</v>
      </c>
      <c r="B1174" s="2">
        <f>IFERROR(__xludf.DUMMYFUNCTION("""COMPUTED_VALUE"""),1.0)</f>
        <v>1</v>
      </c>
      <c r="C1174" s="2">
        <f>IFERROR(__xludf.DUMMYFUNCTION("""COMPUTED_VALUE"""),328.0)</f>
        <v>328</v>
      </c>
      <c r="D1174" s="3">
        <f>IFERROR(__xludf.DUMMYFUNCTION("""COMPUTED_VALUE"""),283.0)</f>
        <v>283</v>
      </c>
      <c r="E1174" s="2"/>
      <c r="F1174" s="2"/>
    </row>
    <row r="1175">
      <c r="A1175" s="2">
        <f>IFERROR(__xludf.DUMMYFUNCTION("""COMPUTED_VALUE"""),48407.0)</f>
        <v>48407</v>
      </c>
      <c r="B1175" s="2">
        <f>IFERROR(__xludf.DUMMYFUNCTION("""COMPUTED_VALUE"""),1.0)</f>
        <v>1</v>
      </c>
      <c r="C1175" s="2">
        <f>IFERROR(__xludf.DUMMYFUNCTION("""COMPUTED_VALUE"""),562.0)</f>
        <v>562</v>
      </c>
      <c r="D1175" s="3">
        <f>IFERROR(__xludf.DUMMYFUNCTION("""COMPUTED_VALUE"""),210.0)</f>
        <v>210</v>
      </c>
      <c r="E1175" s="2"/>
      <c r="F1175" s="2"/>
    </row>
    <row r="1176">
      <c r="A1176" s="2">
        <f>IFERROR(__xludf.DUMMYFUNCTION("""COMPUTED_VALUE"""),5692.0)</f>
        <v>5692</v>
      </c>
      <c r="B1176" s="2">
        <f>IFERROR(__xludf.DUMMYFUNCTION("""COMPUTED_VALUE"""),1.0)</f>
        <v>1</v>
      </c>
      <c r="C1176" s="2">
        <f>IFERROR(__xludf.DUMMYFUNCTION("""COMPUTED_VALUE"""),942.0)</f>
        <v>942</v>
      </c>
      <c r="D1176" s="3">
        <f>IFERROR(__xludf.DUMMYFUNCTION("""COMPUTED_VALUE"""),64.0)</f>
        <v>64</v>
      </c>
      <c r="E1176" s="2"/>
      <c r="F1176" s="2"/>
    </row>
    <row r="1177">
      <c r="A1177" s="2">
        <f>IFERROR(__xludf.DUMMYFUNCTION("""COMPUTED_VALUE"""),112803.0)</f>
        <v>112803</v>
      </c>
      <c r="B1177" s="2">
        <f>IFERROR(__xludf.DUMMYFUNCTION("""COMPUTED_VALUE"""),0.0)</f>
        <v>0</v>
      </c>
      <c r="C1177" s="2">
        <f>IFERROR(__xludf.DUMMYFUNCTION("""COMPUTED_VALUE"""),209.0)</f>
        <v>209</v>
      </c>
      <c r="D1177" s="3">
        <f>IFERROR(__xludf.DUMMYFUNCTION("""COMPUTED_VALUE"""),62.0)</f>
        <v>62</v>
      </c>
      <c r="E1177" s="2"/>
      <c r="F1177" s="2"/>
    </row>
    <row r="1178">
      <c r="A1178" s="2">
        <f>IFERROR(__xludf.DUMMYFUNCTION("""COMPUTED_VALUE"""),83600.0)</f>
        <v>83600</v>
      </c>
      <c r="B1178" s="2">
        <f>IFERROR(__xludf.DUMMYFUNCTION("""COMPUTED_VALUE"""),0.0)</f>
        <v>0</v>
      </c>
      <c r="C1178" s="2">
        <f>IFERROR(__xludf.DUMMYFUNCTION("""COMPUTED_VALUE"""),220.0)</f>
        <v>220</v>
      </c>
      <c r="D1178" s="3">
        <f>IFERROR(__xludf.DUMMYFUNCTION("""COMPUTED_VALUE"""),177.0)</f>
        <v>177</v>
      </c>
      <c r="E1178" s="2"/>
      <c r="F1178" s="2"/>
    </row>
    <row r="1179">
      <c r="A1179" s="2">
        <f>IFERROR(__xludf.DUMMYFUNCTION("""COMPUTED_VALUE"""),83621.0)</f>
        <v>83621</v>
      </c>
      <c r="B1179" s="2">
        <f>IFERROR(__xludf.DUMMYFUNCTION("""COMPUTED_VALUE"""),0.0)</f>
        <v>0</v>
      </c>
      <c r="C1179" s="2">
        <f>IFERROR(__xludf.DUMMYFUNCTION("""COMPUTED_VALUE"""),181.0)</f>
        <v>181</v>
      </c>
      <c r="D1179" s="3">
        <f>IFERROR(__xludf.DUMMYFUNCTION("""COMPUTED_VALUE"""),133.0)</f>
        <v>133</v>
      </c>
      <c r="E1179" s="2"/>
      <c r="F1179" s="2"/>
    </row>
    <row r="1180">
      <c r="A1180" s="2">
        <f>IFERROR(__xludf.DUMMYFUNCTION("""COMPUTED_VALUE"""),115599.0)</f>
        <v>115599</v>
      </c>
      <c r="B1180" s="2">
        <f>IFERROR(__xludf.DUMMYFUNCTION("""COMPUTED_VALUE"""),0.0)</f>
        <v>0</v>
      </c>
      <c r="C1180" s="2">
        <f>IFERROR(__xludf.DUMMYFUNCTION("""COMPUTED_VALUE"""),71.0)</f>
        <v>71</v>
      </c>
      <c r="D1180" s="3">
        <f>IFERROR(__xludf.DUMMYFUNCTION("""COMPUTED_VALUE"""),38.0)</f>
        <v>38</v>
      </c>
      <c r="E1180" s="2"/>
      <c r="F1180" s="2"/>
    </row>
    <row r="1181">
      <c r="A1181" s="2">
        <f>IFERROR(__xludf.DUMMYFUNCTION("""COMPUTED_VALUE"""),83598.0)</f>
        <v>83598</v>
      </c>
      <c r="B1181" s="2">
        <f>IFERROR(__xludf.DUMMYFUNCTION("""COMPUTED_VALUE"""),1.0)</f>
        <v>1</v>
      </c>
      <c r="C1181" s="2">
        <f>IFERROR(__xludf.DUMMYFUNCTION("""COMPUTED_VALUE"""),223.0)</f>
        <v>223</v>
      </c>
      <c r="D1181" s="3">
        <f>IFERROR(__xludf.DUMMYFUNCTION("""COMPUTED_VALUE"""),172.0)</f>
        <v>172</v>
      </c>
      <c r="E1181" s="2"/>
      <c r="F1181" s="2"/>
    </row>
    <row r="1182">
      <c r="A1182" s="2">
        <f>IFERROR(__xludf.DUMMYFUNCTION("""COMPUTED_VALUE"""),5652.0)</f>
        <v>5652</v>
      </c>
      <c r="B1182" s="2">
        <f>IFERROR(__xludf.DUMMYFUNCTION("""COMPUTED_VALUE"""),1.0)</f>
        <v>1</v>
      </c>
      <c r="C1182" s="2">
        <f>IFERROR(__xludf.DUMMYFUNCTION("""COMPUTED_VALUE"""),759.0)</f>
        <v>759</v>
      </c>
      <c r="D1182" s="3">
        <f>IFERROR(__xludf.DUMMYFUNCTION("""COMPUTED_VALUE"""),721.0)</f>
        <v>721</v>
      </c>
      <c r="E1182" s="2"/>
      <c r="F1182" s="2"/>
    </row>
    <row r="1183">
      <c r="A1183" s="2">
        <f>IFERROR(__xludf.DUMMYFUNCTION("""COMPUTED_VALUE"""),122661.0)</f>
        <v>122661</v>
      </c>
      <c r="B1183" s="2">
        <f>IFERROR(__xludf.DUMMYFUNCTION("""COMPUTED_VALUE"""),0.0)</f>
        <v>0</v>
      </c>
      <c r="C1183" s="2">
        <f>IFERROR(__xludf.DUMMYFUNCTION("""COMPUTED_VALUE"""),719.0)</f>
        <v>719</v>
      </c>
      <c r="D1183" s="3">
        <f>IFERROR(__xludf.DUMMYFUNCTION("""COMPUTED_VALUE"""),387.0)</f>
        <v>387</v>
      </c>
      <c r="E1183" s="2"/>
      <c r="F1183" s="2"/>
    </row>
    <row r="1184">
      <c r="A1184" s="2">
        <f>IFERROR(__xludf.DUMMYFUNCTION("""COMPUTED_VALUE"""),116384.0)</f>
        <v>116384</v>
      </c>
      <c r="B1184" s="2">
        <f>IFERROR(__xludf.DUMMYFUNCTION("""COMPUTED_VALUE"""),0.0)</f>
        <v>0</v>
      </c>
      <c r="C1184" s="2">
        <f>IFERROR(__xludf.DUMMYFUNCTION("""COMPUTED_VALUE"""),415.0)</f>
        <v>415</v>
      </c>
      <c r="D1184" s="3">
        <f>IFERROR(__xludf.DUMMYFUNCTION("""COMPUTED_VALUE"""),304.0)</f>
        <v>304</v>
      </c>
      <c r="E1184" s="2"/>
      <c r="F1184" s="2"/>
    </row>
    <row r="1185">
      <c r="A1185" s="2">
        <f>IFERROR(__xludf.DUMMYFUNCTION("""COMPUTED_VALUE"""),78859.0)</f>
        <v>78859</v>
      </c>
      <c r="B1185" s="2">
        <f>IFERROR(__xludf.DUMMYFUNCTION("""COMPUTED_VALUE"""),1.0)</f>
        <v>1</v>
      </c>
      <c r="C1185" s="2">
        <f>IFERROR(__xludf.DUMMYFUNCTION("""COMPUTED_VALUE"""),701.0)</f>
        <v>701</v>
      </c>
      <c r="D1185" s="3">
        <f>IFERROR(__xludf.DUMMYFUNCTION("""COMPUTED_VALUE"""),134.0)</f>
        <v>134</v>
      </c>
      <c r="E1185" s="2"/>
      <c r="F1185" s="2"/>
    </row>
    <row r="1186">
      <c r="A1186" s="2">
        <f>IFERROR(__xludf.DUMMYFUNCTION("""COMPUTED_VALUE"""),87096.0)</f>
        <v>87096</v>
      </c>
      <c r="B1186" s="2">
        <f>IFERROR(__xludf.DUMMYFUNCTION("""COMPUTED_VALUE"""),0.0)</f>
        <v>0</v>
      </c>
      <c r="C1186" s="2">
        <f>IFERROR(__xludf.DUMMYFUNCTION("""COMPUTED_VALUE"""),237.0)</f>
        <v>237</v>
      </c>
      <c r="D1186" s="3">
        <f>IFERROR(__xludf.DUMMYFUNCTION("""COMPUTED_VALUE"""),147.0)</f>
        <v>147</v>
      </c>
      <c r="E1186" s="2"/>
      <c r="F1186" s="2"/>
    </row>
    <row r="1187">
      <c r="A1187" s="2">
        <f>IFERROR(__xludf.DUMMYFUNCTION("""COMPUTED_VALUE"""),87428.0)</f>
        <v>87428</v>
      </c>
      <c r="B1187" s="2">
        <f>IFERROR(__xludf.DUMMYFUNCTION("""COMPUTED_VALUE"""),1.0)</f>
        <v>1</v>
      </c>
      <c r="C1187" s="2">
        <f>IFERROR(__xludf.DUMMYFUNCTION("""COMPUTED_VALUE"""),671.0)</f>
        <v>671</v>
      </c>
      <c r="D1187" s="3">
        <f>IFERROR(__xludf.DUMMYFUNCTION("""COMPUTED_VALUE"""),87.0)</f>
        <v>87</v>
      </c>
      <c r="E1187" s="2"/>
      <c r="F1187" s="2"/>
    </row>
    <row r="1188">
      <c r="A1188" s="2">
        <f>IFERROR(__xludf.DUMMYFUNCTION("""COMPUTED_VALUE"""),5690.0)</f>
        <v>5690</v>
      </c>
      <c r="B1188" s="2">
        <f>IFERROR(__xludf.DUMMYFUNCTION("""COMPUTED_VALUE"""),0.0)</f>
        <v>0</v>
      </c>
      <c r="C1188" s="2">
        <f>IFERROR(__xludf.DUMMYFUNCTION("""COMPUTED_VALUE"""),870.0)</f>
        <v>870</v>
      </c>
      <c r="D1188" s="3">
        <f>IFERROR(__xludf.DUMMYFUNCTION("""COMPUTED_VALUE"""),348.0)</f>
        <v>348</v>
      </c>
      <c r="E1188" s="2"/>
      <c r="F1188" s="2"/>
    </row>
    <row r="1189">
      <c r="A1189" s="2">
        <f>IFERROR(__xludf.DUMMYFUNCTION("""COMPUTED_VALUE"""),5663.0)</f>
        <v>5663</v>
      </c>
      <c r="B1189" s="2">
        <f>IFERROR(__xludf.DUMMYFUNCTION("""COMPUTED_VALUE"""),1.0)</f>
        <v>1</v>
      </c>
      <c r="C1189" s="2">
        <f>IFERROR(__xludf.DUMMYFUNCTION("""COMPUTED_VALUE"""),931.0)</f>
        <v>931</v>
      </c>
      <c r="D1189" s="3">
        <f>IFERROR(__xludf.DUMMYFUNCTION("""COMPUTED_VALUE"""),171.0)</f>
        <v>171</v>
      </c>
      <c r="E1189" s="2"/>
      <c r="F1189" s="2"/>
    </row>
    <row r="1190">
      <c r="A1190" s="2">
        <f>IFERROR(__xludf.DUMMYFUNCTION("""COMPUTED_VALUE"""),5654.0)</f>
        <v>5654</v>
      </c>
      <c r="B1190" s="2">
        <f>IFERROR(__xludf.DUMMYFUNCTION("""COMPUTED_VALUE"""),0.0)</f>
        <v>0</v>
      </c>
      <c r="C1190" s="2">
        <f>IFERROR(__xludf.DUMMYFUNCTION("""COMPUTED_VALUE"""),465.0)</f>
        <v>465</v>
      </c>
      <c r="D1190" s="3">
        <f>IFERROR(__xludf.DUMMYFUNCTION("""COMPUTED_VALUE"""),432.0)</f>
        <v>432</v>
      </c>
      <c r="E1190" s="2"/>
      <c r="F1190" s="2"/>
    </row>
    <row r="1191">
      <c r="A1191" s="2">
        <f>IFERROR(__xludf.DUMMYFUNCTION("""COMPUTED_VALUE"""),44607.0)</f>
        <v>44607</v>
      </c>
      <c r="B1191" s="2">
        <f>IFERROR(__xludf.DUMMYFUNCTION("""COMPUTED_VALUE"""),0.0)</f>
        <v>0</v>
      </c>
      <c r="C1191" s="2">
        <f>IFERROR(__xludf.DUMMYFUNCTION("""COMPUTED_VALUE"""),932.0)</f>
        <v>932</v>
      </c>
      <c r="D1191" s="3">
        <f>IFERROR(__xludf.DUMMYFUNCTION("""COMPUTED_VALUE"""),408.0)</f>
        <v>408</v>
      </c>
      <c r="E1191" s="2"/>
      <c r="F1191" s="2"/>
    </row>
    <row r="1192">
      <c r="A1192" s="2">
        <f>IFERROR(__xludf.DUMMYFUNCTION("""COMPUTED_VALUE"""),5662.0)</f>
        <v>5662</v>
      </c>
      <c r="B1192" s="2">
        <f>IFERROR(__xludf.DUMMYFUNCTION("""COMPUTED_VALUE"""),1.0)</f>
        <v>1</v>
      </c>
      <c r="C1192" s="2">
        <f>IFERROR(__xludf.DUMMYFUNCTION("""COMPUTED_VALUE"""),301.0)</f>
        <v>301</v>
      </c>
      <c r="D1192" s="3">
        <f>IFERROR(__xludf.DUMMYFUNCTION("""COMPUTED_VALUE"""),193.0)</f>
        <v>193</v>
      </c>
      <c r="E1192" s="2"/>
      <c r="F1192" s="2"/>
    </row>
    <row r="1193">
      <c r="A1193" s="2">
        <f>IFERROR(__xludf.DUMMYFUNCTION("""COMPUTED_VALUE"""),87426.0)</f>
        <v>87426</v>
      </c>
      <c r="B1193" s="2">
        <f>IFERROR(__xludf.DUMMYFUNCTION("""COMPUTED_VALUE"""),1.0)</f>
        <v>1</v>
      </c>
      <c r="C1193" s="2">
        <f>IFERROR(__xludf.DUMMYFUNCTION("""COMPUTED_VALUE"""),963.0)</f>
        <v>963</v>
      </c>
      <c r="D1193" s="3">
        <f>IFERROR(__xludf.DUMMYFUNCTION("""COMPUTED_VALUE"""),102.0)</f>
        <v>102</v>
      </c>
      <c r="E1193" s="2"/>
      <c r="F1193" s="2"/>
    </row>
    <row r="1194">
      <c r="A1194" s="2">
        <f>IFERROR(__xludf.DUMMYFUNCTION("""COMPUTED_VALUE"""),5680.0)</f>
        <v>5680</v>
      </c>
      <c r="B1194" s="2">
        <f>IFERROR(__xludf.DUMMYFUNCTION("""COMPUTED_VALUE"""),1.0)</f>
        <v>1</v>
      </c>
      <c r="C1194" s="2">
        <f>IFERROR(__xludf.DUMMYFUNCTION("""COMPUTED_VALUE"""),129.0)</f>
        <v>129</v>
      </c>
      <c r="D1194" s="3">
        <f>IFERROR(__xludf.DUMMYFUNCTION("""COMPUTED_VALUE"""),36.0)</f>
        <v>36</v>
      </c>
      <c r="E1194" s="2"/>
      <c r="F1194" s="2"/>
    </row>
    <row r="1195">
      <c r="A1195" s="2">
        <f>IFERROR(__xludf.DUMMYFUNCTION("""COMPUTED_VALUE"""),5661.0)</f>
        <v>5661</v>
      </c>
      <c r="B1195" s="2">
        <f>IFERROR(__xludf.DUMMYFUNCTION("""COMPUTED_VALUE"""),0.0)</f>
        <v>0</v>
      </c>
      <c r="C1195" s="2">
        <f>IFERROR(__xludf.DUMMYFUNCTION("""COMPUTED_VALUE"""),566.0)</f>
        <v>566</v>
      </c>
      <c r="D1195" s="3">
        <f>IFERROR(__xludf.DUMMYFUNCTION("""COMPUTED_VALUE"""),275.0)</f>
        <v>275</v>
      </c>
      <c r="E1195" s="2"/>
      <c r="F1195" s="2"/>
    </row>
    <row r="1196">
      <c r="A1196" s="2">
        <f>IFERROR(__xludf.DUMMYFUNCTION("""COMPUTED_VALUE"""),83629.0)</f>
        <v>83629</v>
      </c>
      <c r="B1196" s="2">
        <f>IFERROR(__xludf.DUMMYFUNCTION("""COMPUTED_VALUE"""),0.0)</f>
        <v>0</v>
      </c>
      <c r="C1196" s="2">
        <f>IFERROR(__xludf.DUMMYFUNCTION("""COMPUTED_VALUE"""),901.0)</f>
        <v>901</v>
      </c>
      <c r="D1196" s="3">
        <f>IFERROR(__xludf.DUMMYFUNCTION("""COMPUTED_VALUE"""),784.0)</f>
        <v>784</v>
      </c>
      <c r="E1196" s="2"/>
      <c r="F1196" s="2"/>
    </row>
    <row r="1197">
      <c r="A1197" s="2">
        <f>IFERROR(__xludf.DUMMYFUNCTION("""COMPUTED_VALUE"""),83599.0)</f>
        <v>83599</v>
      </c>
      <c r="B1197" s="2">
        <f>IFERROR(__xludf.DUMMYFUNCTION("""COMPUTED_VALUE"""),0.0)</f>
        <v>0</v>
      </c>
      <c r="C1197" s="2">
        <f>IFERROR(__xludf.DUMMYFUNCTION("""COMPUTED_VALUE"""),91.0)</f>
        <v>91</v>
      </c>
      <c r="D1197" s="3">
        <f>IFERROR(__xludf.DUMMYFUNCTION("""COMPUTED_VALUE"""),62.0)</f>
        <v>62</v>
      </c>
      <c r="E1197" s="2"/>
      <c r="F1197" s="2"/>
    </row>
    <row r="1198">
      <c r="A1198" s="2">
        <f>IFERROR(__xludf.DUMMYFUNCTION("""COMPUTED_VALUE"""),83625.0)</f>
        <v>83625</v>
      </c>
      <c r="B1198" s="2">
        <f>IFERROR(__xludf.DUMMYFUNCTION("""COMPUTED_VALUE"""),1.0)</f>
        <v>1</v>
      </c>
      <c r="C1198" s="2">
        <f>IFERROR(__xludf.DUMMYFUNCTION("""COMPUTED_VALUE"""),864.0)</f>
        <v>864</v>
      </c>
      <c r="D1198" s="3">
        <f>IFERROR(__xludf.DUMMYFUNCTION("""COMPUTED_VALUE"""),758.0)</f>
        <v>758</v>
      </c>
      <c r="E1198" s="2"/>
      <c r="F1198" s="2"/>
    </row>
    <row r="1199">
      <c r="A1199" s="2">
        <f>IFERROR(__xludf.DUMMYFUNCTION("""COMPUTED_VALUE"""),87887.0)</f>
        <v>87887</v>
      </c>
      <c r="B1199" s="2">
        <f>IFERROR(__xludf.DUMMYFUNCTION("""COMPUTED_VALUE"""),1.0)</f>
        <v>1</v>
      </c>
      <c r="C1199" s="2">
        <f>IFERROR(__xludf.DUMMYFUNCTION("""COMPUTED_VALUE"""),533.0)</f>
        <v>533</v>
      </c>
      <c r="D1199" s="3">
        <f>IFERROR(__xludf.DUMMYFUNCTION("""COMPUTED_VALUE"""),202.0)</f>
        <v>202</v>
      </c>
      <c r="E1199" s="2"/>
      <c r="F1199" s="2"/>
    </row>
    <row r="1200">
      <c r="A1200" s="2">
        <f>IFERROR(__xludf.DUMMYFUNCTION("""COMPUTED_VALUE"""),118923.0)</f>
        <v>118923</v>
      </c>
      <c r="B1200" s="2">
        <f>IFERROR(__xludf.DUMMYFUNCTION("""COMPUTED_VALUE"""),0.0)</f>
        <v>0</v>
      </c>
      <c r="C1200" s="2">
        <f>IFERROR(__xludf.DUMMYFUNCTION("""COMPUTED_VALUE"""),84.0)</f>
        <v>84</v>
      </c>
      <c r="D1200" s="3">
        <f>IFERROR(__xludf.DUMMYFUNCTION("""COMPUTED_VALUE"""),41.0)</f>
        <v>41</v>
      </c>
      <c r="E1200" s="2"/>
      <c r="F1200" s="2"/>
    </row>
    <row r="1201">
      <c r="A1201" s="2">
        <f>IFERROR(__xludf.DUMMYFUNCTION("""COMPUTED_VALUE"""),87421.0)</f>
        <v>87421</v>
      </c>
      <c r="B1201" s="2">
        <f>IFERROR(__xludf.DUMMYFUNCTION("""COMPUTED_VALUE"""),1.0)</f>
        <v>1</v>
      </c>
      <c r="C1201" s="2">
        <f>IFERROR(__xludf.DUMMYFUNCTION("""COMPUTED_VALUE"""),700.0)</f>
        <v>700</v>
      </c>
      <c r="D1201" s="3">
        <f>IFERROR(__xludf.DUMMYFUNCTION("""COMPUTED_VALUE"""),92.0)</f>
        <v>92</v>
      </c>
      <c r="E1201" s="2"/>
      <c r="F1201" s="2"/>
    </row>
    <row r="1202">
      <c r="A1202" s="2">
        <f>IFERROR(__xludf.DUMMYFUNCTION("""COMPUTED_VALUE"""),117531.0)</f>
        <v>117531</v>
      </c>
      <c r="B1202" s="2">
        <f>IFERROR(__xludf.DUMMYFUNCTION("""COMPUTED_VALUE"""),0.0)</f>
        <v>0</v>
      </c>
      <c r="C1202" s="2">
        <f>IFERROR(__xludf.DUMMYFUNCTION("""COMPUTED_VALUE"""),772.0)</f>
        <v>772</v>
      </c>
      <c r="D1202" s="3">
        <f>IFERROR(__xludf.DUMMYFUNCTION("""COMPUTED_VALUE"""),371.0)</f>
        <v>371</v>
      </c>
      <c r="E1202" s="2"/>
      <c r="F1202" s="2"/>
    </row>
    <row r="1203">
      <c r="A1203" s="2">
        <f>IFERROR(__xludf.DUMMYFUNCTION("""COMPUTED_VALUE"""),122267.0)</f>
        <v>122267</v>
      </c>
      <c r="B1203" s="2">
        <f>IFERROR(__xludf.DUMMYFUNCTION("""COMPUTED_VALUE"""),1.0)</f>
        <v>1</v>
      </c>
      <c r="C1203" s="2">
        <f>IFERROR(__xludf.DUMMYFUNCTION("""COMPUTED_VALUE"""),781.0)</f>
        <v>781</v>
      </c>
      <c r="D1203" s="3">
        <f>IFERROR(__xludf.DUMMYFUNCTION("""COMPUTED_VALUE"""),105.0)</f>
        <v>105</v>
      </c>
      <c r="E1203" s="2"/>
      <c r="F1203" s="2"/>
    </row>
    <row r="1204">
      <c r="A1204" s="2">
        <f>IFERROR(__xludf.DUMMYFUNCTION("""COMPUTED_VALUE"""),117527.0)</f>
        <v>117527</v>
      </c>
      <c r="B1204" s="2">
        <f>IFERROR(__xludf.DUMMYFUNCTION("""COMPUTED_VALUE"""),0.0)</f>
        <v>0</v>
      </c>
      <c r="C1204" s="2">
        <f>IFERROR(__xludf.DUMMYFUNCTION("""COMPUTED_VALUE"""),820.0)</f>
        <v>820</v>
      </c>
      <c r="D1204" s="3">
        <f>IFERROR(__xludf.DUMMYFUNCTION("""COMPUTED_VALUE"""),282.0)</f>
        <v>282</v>
      </c>
      <c r="E1204" s="2"/>
      <c r="F1204" s="2"/>
    </row>
    <row r="1205">
      <c r="A1205" s="2">
        <f>IFERROR(__xludf.DUMMYFUNCTION("""COMPUTED_VALUE"""),44138.0)</f>
        <v>44138</v>
      </c>
      <c r="B1205" s="2">
        <f>IFERROR(__xludf.DUMMYFUNCTION("""COMPUTED_VALUE"""),1.0)</f>
        <v>1</v>
      </c>
      <c r="C1205" s="2">
        <f>IFERROR(__xludf.DUMMYFUNCTION("""COMPUTED_VALUE"""),213.0)</f>
        <v>213</v>
      </c>
      <c r="D1205" s="3">
        <f>IFERROR(__xludf.DUMMYFUNCTION("""COMPUTED_VALUE"""),47.0)</f>
        <v>47</v>
      </c>
      <c r="E1205" s="2"/>
      <c r="F1205" s="2"/>
    </row>
    <row r="1206">
      <c r="A1206" s="2">
        <f>IFERROR(__xludf.DUMMYFUNCTION("""COMPUTED_VALUE"""),117529.0)</f>
        <v>117529</v>
      </c>
      <c r="B1206" s="2">
        <f>IFERROR(__xludf.DUMMYFUNCTION("""COMPUTED_VALUE"""),1.0)</f>
        <v>1</v>
      </c>
      <c r="C1206" s="2">
        <f>IFERROR(__xludf.DUMMYFUNCTION("""COMPUTED_VALUE"""),378.0)</f>
        <v>378</v>
      </c>
      <c r="D1206" s="3">
        <f>IFERROR(__xludf.DUMMYFUNCTION("""COMPUTED_VALUE"""),180.0)</f>
        <v>180</v>
      </c>
      <c r="E1206" s="2"/>
      <c r="F1206" s="2"/>
    </row>
    <row r="1207">
      <c r="A1207" s="2">
        <f>IFERROR(__xludf.DUMMYFUNCTION("""COMPUTED_VALUE"""),122269.0)</f>
        <v>122269</v>
      </c>
      <c r="B1207" s="2">
        <f>IFERROR(__xludf.DUMMYFUNCTION("""COMPUTED_VALUE"""),0.0)</f>
        <v>0</v>
      </c>
      <c r="C1207" s="2">
        <f>IFERROR(__xludf.DUMMYFUNCTION("""COMPUTED_VALUE"""),759.0)</f>
        <v>759</v>
      </c>
      <c r="D1207" s="3">
        <f>IFERROR(__xludf.DUMMYFUNCTION("""COMPUTED_VALUE"""),244.0)</f>
        <v>244</v>
      </c>
      <c r="E1207" s="2"/>
      <c r="F1207" s="2"/>
    </row>
    <row r="1208">
      <c r="A1208" s="2">
        <f>IFERROR(__xludf.DUMMYFUNCTION("""COMPUTED_VALUE"""),87886.0)</f>
        <v>87886</v>
      </c>
      <c r="B1208" s="2">
        <f>IFERROR(__xludf.DUMMYFUNCTION("""COMPUTED_VALUE"""),0.0)</f>
        <v>0</v>
      </c>
      <c r="C1208" s="2">
        <f>IFERROR(__xludf.DUMMYFUNCTION("""COMPUTED_VALUE"""),422.0)</f>
        <v>422</v>
      </c>
      <c r="D1208" s="3">
        <f>IFERROR(__xludf.DUMMYFUNCTION("""COMPUTED_VALUE"""),199.0)</f>
        <v>199</v>
      </c>
      <c r="E1208" s="2"/>
      <c r="F1208" s="2"/>
    </row>
    <row r="1209">
      <c r="A1209" s="2">
        <f>IFERROR(__xludf.DUMMYFUNCTION("""COMPUTED_VALUE"""),104317.0)</f>
        <v>104317</v>
      </c>
      <c r="B1209" s="2">
        <f>IFERROR(__xludf.DUMMYFUNCTION("""COMPUTED_VALUE"""),1.0)</f>
        <v>1</v>
      </c>
      <c r="C1209" s="2">
        <f>IFERROR(__xludf.DUMMYFUNCTION("""COMPUTED_VALUE"""),727.0)</f>
        <v>727</v>
      </c>
      <c r="D1209" s="3">
        <f>IFERROR(__xludf.DUMMYFUNCTION("""COMPUTED_VALUE"""),77.0)</f>
        <v>77</v>
      </c>
      <c r="E1209" s="2"/>
      <c r="F1209" s="2"/>
    </row>
    <row r="1210">
      <c r="A1210" s="2">
        <f>IFERROR(__xludf.DUMMYFUNCTION("""COMPUTED_VALUE"""),114943.0)</f>
        <v>114943</v>
      </c>
      <c r="B1210" s="2">
        <f>IFERROR(__xludf.DUMMYFUNCTION("""COMPUTED_VALUE"""),1.0)</f>
        <v>1</v>
      </c>
      <c r="C1210" s="2">
        <f>IFERROR(__xludf.DUMMYFUNCTION("""COMPUTED_VALUE"""),323.0)</f>
        <v>323</v>
      </c>
      <c r="D1210" s="3">
        <f>IFERROR(__xludf.DUMMYFUNCTION("""COMPUTED_VALUE"""),257.0)</f>
        <v>257</v>
      </c>
      <c r="E1210" s="2"/>
      <c r="F1210" s="2"/>
    </row>
    <row r="1211">
      <c r="A1211" s="2">
        <f>IFERROR(__xludf.DUMMYFUNCTION("""COMPUTED_VALUE"""),44134.0)</f>
        <v>44134</v>
      </c>
      <c r="B1211" s="2">
        <f>IFERROR(__xludf.DUMMYFUNCTION("""COMPUTED_VALUE"""),0.0)</f>
        <v>0</v>
      </c>
      <c r="C1211" s="2">
        <f>IFERROR(__xludf.DUMMYFUNCTION("""COMPUTED_VALUE"""),810.0)</f>
        <v>810</v>
      </c>
      <c r="D1211" s="3">
        <f>IFERROR(__xludf.DUMMYFUNCTION("""COMPUTED_VALUE"""),610.0)</f>
        <v>610</v>
      </c>
      <c r="E1211" s="2"/>
      <c r="F1211" s="2"/>
    </row>
    <row r="1212">
      <c r="A1212" s="2">
        <f>IFERROR(__xludf.DUMMYFUNCTION("""COMPUTED_VALUE"""),5637.0)</f>
        <v>5637</v>
      </c>
      <c r="B1212" s="2">
        <f>IFERROR(__xludf.DUMMYFUNCTION("""COMPUTED_VALUE"""),0.0)</f>
        <v>0</v>
      </c>
      <c r="C1212" s="2">
        <f>IFERROR(__xludf.DUMMYFUNCTION("""COMPUTED_VALUE"""),52.0)</f>
        <v>52</v>
      </c>
      <c r="D1212" s="3">
        <f>IFERROR(__xludf.DUMMYFUNCTION("""COMPUTED_VALUE"""),5.0)</f>
        <v>5</v>
      </c>
      <c r="E1212" s="2"/>
      <c r="F1212" s="2"/>
    </row>
    <row r="1213">
      <c r="A1213" s="2">
        <f>IFERROR(__xludf.DUMMYFUNCTION("""COMPUTED_VALUE"""),5641.0)</f>
        <v>5641</v>
      </c>
      <c r="B1213" s="2">
        <f>IFERROR(__xludf.DUMMYFUNCTION("""COMPUTED_VALUE"""),0.0)</f>
        <v>0</v>
      </c>
      <c r="C1213" s="2">
        <f>IFERROR(__xludf.DUMMYFUNCTION("""COMPUTED_VALUE"""),658.0)</f>
        <v>658</v>
      </c>
      <c r="D1213" s="3">
        <f>IFERROR(__xludf.DUMMYFUNCTION("""COMPUTED_VALUE"""),151.0)</f>
        <v>151</v>
      </c>
      <c r="E1213" s="2"/>
      <c r="F1213" s="2"/>
    </row>
    <row r="1214">
      <c r="A1214" s="2">
        <f>IFERROR(__xludf.DUMMYFUNCTION("""COMPUTED_VALUE"""),147323.0)</f>
        <v>147323</v>
      </c>
      <c r="B1214" s="2">
        <f>IFERROR(__xludf.DUMMYFUNCTION("""COMPUTED_VALUE"""),0.0)</f>
        <v>0</v>
      </c>
      <c r="C1214" s="2">
        <f>IFERROR(__xludf.DUMMYFUNCTION("""COMPUTED_VALUE"""),341.0)</f>
        <v>341</v>
      </c>
      <c r="D1214" s="3">
        <f>IFERROR(__xludf.DUMMYFUNCTION("""COMPUTED_VALUE"""),260.0)</f>
        <v>260</v>
      </c>
      <c r="E1214" s="2"/>
      <c r="F1214" s="2"/>
    </row>
    <row r="1215">
      <c r="A1215" s="2">
        <f>IFERROR(__xludf.DUMMYFUNCTION("""COMPUTED_VALUE"""),44118.0)</f>
        <v>44118</v>
      </c>
      <c r="B1215" s="2">
        <f>IFERROR(__xludf.DUMMYFUNCTION("""COMPUTED_VALUE"""),1.0)</f>
        <v>1</v>
      </c>
      <c r="C1215" s="2">
        <f>IFERROR(__xludf.DUMMYFUNCTION("""COMPUTED_VALUE"""),443.0)</f>
        <v>443</v>
      </c>
      <c r="D1215" s="3">
        <f>IFERROR(__xludf.DUMMYFUNCTION("""COMPUTED_VALUE"""),154.0)</f>
        <v>154</v>
      </c>
      <c r="E1215" s="2"/>
      <c r="F1215" s="2"/>
    </row>
    <row r="1216">
      <c r="A1216" s="2">
        <f>IFERROR(__xludf.DUMMYFUNCTION("""COMPUTED_VALUE"""),115608.0)</f>
        <v>115608</v>
      </c>
      <c r="B1216" s="2">
        <f>IFERROR(__xludf.DUMMYFUNCTION("""COMPUTED_VALUE"""),1.0)</f>
        <v>1</v>
      </c>
      <c r="C1216" s="2">
        <f>IFERROR(__xludf.DUMMYFUNCTION("""COMPUTED_VALUE"""),366.0)</f>
        <v>366</v>
      </c>
      <c r="D1216" s="3">
        <f>IFERROR(__xludf.DUMMYFUNCTION("""COMPUTED_VALUE"""),116.0)</f>
        <v>116</v>
      </c>
      <c r="E1216" s="2"/>
      <c r="F1216" s="2"/>
    </row>
    <row r="1217">
      <c r="A1217" s="2">
        <f>IFERROR(__xludf.DUMMYFUNCTION("""COMPUTED_VALUE"""),44127.0)</f>
        <v>44127</v>
      </c>
      <c r="B1217" s="2">
        <f>IFERROR(__xludf.DUMMYFUNCTION("""COMPUTED_VALUE"""),0.0)</f>
        <v>0</v>
      </c>
      <c r="C1217" s="2">
        <f>IFERROR(__xludf.DUMMYFUNCTION("""COMPUTED_VALUE"""),635.0)</f>
        <v>635</v>
      </c>
      <c r="D1217" s="3">
        <f>IFERROR(__xludf.DUMMYFUNCTION("""COMPUTED_VALUE"""),146.0)</f>
        <v>146</v>
      </c>
      <c r="E1217" s="2"/>
      <c r="F1217" s="2"/>
    </row>
    <row r="1218">
      <c r="A1218" s="2">
        <f>IFERROR(__xludf.DUMMYFUNCTION("""COMPUTED_VALUE"""),122348.0)</f>
        <v>122348</v>
      </c>
      <c r="B1218" s="2">
        <f>IFERROR(__xludf.DUMMYFUNCTION("""COMPUTED_VALUE"""),1.0)</f>
        <v>1</v>
      </c>
      <c r="C1218" s="2">
        <f>IFERROR(__xludf.DUMMYFUNCTION("""COMPUTED_VALUE"""),323.0)</f>
        <v>323</v>
      </c>
      <c r="D1218" s="3">
        <f>IFERROR(__xludf.DUMMYFUNCTION("""COMPUTED_VALUE"""),168.0)</f>
        <v>168</v>
      </c>
      <c r="E1218" s="2"/>
      <c r="F1218" s="2"/>
    </row>
    <row r="1219">
      <c r="A1219" s="2">
        <f>IFERROR(__xludf.DUMMYFUNCTION("""COMPUTED_VALUE"""),147304.0)</f>
        <v>147304</v>
      </c>
      <c r="B1219" s="2">
        <f>IFERROR(__xludf.DUMMYFUNCTION("""COMPUTED_VALUE"""),0.0)</f>
        <v>0</v>
      </c>
      <c r="C1219" s="2">
        <f>IFERROR(__xludf.DUMMYFUNCTION("""COMPUTED_VALUE"""),960.0)</f>
        <v>960</v>
      </c>
      <c r="D1219" s="3">
        <f>IFERROR(__xludf.DUMMYFUNCTION("""COMPUTED_VALUE"""),826.0)</f>
        <v>826</v>
      </c>
      <c r="E1219" s="2"/>
      <c r="F1219" s="2"/>
    </row>
    <row r="1220">
      <c r="A1220" s="2">
        <f>IFERROR(__xludf.DUMMYFUNCTION("""COMPUTED_VALUE"""),118310.0)</f>
        <v>118310</v>
      </c>
      <c r="B1220" s="2">
        <f>IFERROR(__xludf.DUMMYFUNCTION("""COMPUTED_VALUE"""),0.0)</f>
        <v>0</v>
      </c>
      <c r="C1220" s="2">
        <f>IFERROR(__xludf.DUMMYFUNCTION("""COMPUTED_VALUE"""),955.0)</f>
        <v>955</v>
      </c>
      <c r="D1220" s="3">
        <f>IFERROR(__xludf.DUMMYFUNCTION("""COMPUTED_VALUE"""),877.0)</f>
        <v>877</v>
      </c>
      <c r="E1220" s="2"/>
      <c r="F1220" s="2"/>
    </row>
    <row r="1221">
      <c r="A1221" s="2">
        <f>IFERROR(__xludf.DUMMYFUNCTION("""COMPUTED_VALUE"""),77175.0)</f>
        <v>77175</v>
      </c>
      <c r="B1221" s="2">
        <f>IFERROR(__xludf.DUMMYFUNCTION("""COMPUTED_VALUE"""),1.0)</f>
        <v>1</v>
      </c>
      <c r="C1221" s="2">
        <f>IFERROR(__xludf.DUMMYFUNCTION("""COMPUTED_VALUE"""),796.0)</f>
        <v>796</v>
      </c>
      <c r="D1221" s="3">
        <f>IFERROR(__xludf.DUMMYFUNCTION("""COMPUTED_VALUE"""),313.0)</f>
        <v>313</v>
      </c>
      <c r="E1221" s="2"/>
      <c r="F1221" s="2"/>
    </row>
    <row r="1222">
      <c r="A1222" s="2">
        <f>IFERROR(__xludf.DUMMYFUNCTION("""COMPUTED_VALUE"""),5645.0)</f>
        <v>5645</v>
      </c>
      <c r="B1222" s="2">
        <f>IFERROR(__xludf.DUMMYFUNCTION("""COMPUTED_VALUE"""),0.0)</f>
        <v>0</v>
      </c>
      <c r="C1222" s="2">
        <f>IFERROR(__xludf.DUMMYFUNCTION("""COMPUTED_VALUE"""),100.0)</f>
        <v>100</v>
      </c>
      <c r="D1222" s="3">
        <f>IFERROR(__xludf.DUMMYFUNCTION("""COMPUTED_VALUE"""),79.0)</f>
        <v>79</v>
      </c>
      <c r="E1222" s="2"/>
      <c r="F1222" s="2"/>
    </row>
    <row r="1223">
      <c r="A1223" s="2">
        <f>IFERROR(__xludf.DUMMYFUNCTION("""COMPUTED_VALUE"""),76679.0)</f>
        <v>76679</v>
      </c>
      <c r="B1223" s="2">
        <f>IFERROR(__xludf.DUMMYFUNCTION("""COMPUTED_VALUE"""),1.0)</f>
        <v>1</v>
      </c>
      <c r="C1223" s="2">
        <f>IFERROR(__xludf.DUMMYFUNCTION("""COMPUTED_VALUE"""),838.0)</f>
        <v>838</v>
      </c>
      <c r="D1223" s="3">
        <f>IFERROR(__xludf.DUMMYFUNCTION("""COMPUTED_VALUE"""),290.0)</f>
        <v>290</v>
      </c>
      <c r="E1223" s="2"/>
      <c r="F1223" s="2"/>
    </row>
    <row r="1224">
      <c r="A1224" s="2">
        <f>IFERROR(__xludf.DUMMYFUNCTION("""COMPUTED_VALUE"""),5635.0)</f>
        <v>5635</v>
      </c>
      <c r="B1224" s="2">
        <f>IFERROR(__xludf.DUMMYFUNCTION("""COMPUTED_VALUE"""),0.0)</f>
        <v>0</v>
      </c>
      <c r="C1224" s="2">
        <f>IFERROR(__xludf.DUMMYFUNCTION("""COMPUTED_VALUE"""),550.0)</f>
        <v>550</v>
      </c>
      <c r="D1224" s="3">
        <f>IFERROR(__xludf.DUMMYFUNCTION("""COMPUTED_VALUE"""),149.0)</f>
        <v>149</v>
      </c>
      <c r="E1224" s="2"/>
      <c r="F1224" s="2"/>
    </row>
    <row r="1225">
      <c r="A1225" s="2">
        <f>IFERROR(__xludf.DUMMYFUNCTION("""COMPUTED_VALUE"""),110960.0)</f>
        <v>110960</v>
      </c>
      <c r="B1225" s="2">
        <f>IFERROR(__xludf.DUMMYFUNCTION("""COMPUTED_VALUE"""),1.0)</f>
        <v>1</v>
      </c>
      <c r="C1225" s="2">
        <f>IFERROR(__xludf.DUMMYFUNCTION("""COMPUTED_VALUE"""),659.0)</f>
        <v>659</v>
      </c>
      <c r="D1225" s="3">
        <f>IFERROR(__xludf.DUMMYFUNCTION("""COMPUTED_VALUE"""),237.0)</f>
        <v>237</v>
      </c>
      <c r="E1225" s="2"/>
      <c r="F1225" s="2"/>
    </row>
    <row r="1226">
      <c r="A1226" s="2">
        <f>IFERROR(__xludf.DUMMYFUNCTION("""COMPUTED_VALUE"""),108290.0)</f>
        <v>108290</v>
      </c>
      <c r="B1226" s="2">
        <f>IFERROR(__xludf.DUMMYFUNCTION("""COMPUTED_VALUE"""),1.0)</f>
        <v>1</v>
      </c>
      <c r="C1226" s="2">
        <f>IFERROR(__xludf.DUMMYFUNCTION("""COMPUTED_VALUE"""),696.0)</f>
        <v>696</v>
      </c>
      <c r="D1226" s="3">
        <f>IFERROR(__xludf.DUMMYFUNCTION("""COMPUTED_VALUE"""),121.0)</f>
        <v>121</v>
      </c>
      <c r="E1226" s="2"/>
      <c r="F1226" s="2"/>
    </row>
    <row r="1227">
      <c r="A1227" s="2">
        <f>IFERROR(__xludf.DUMMYFUNCTION("""COMPUTED_VALUE"""),117680.0)</f>
        <v>117680</v>
      </c>
      <c r="B1227" s="2">
        <f>IFERROR(__xludf.DUMMYFUNCTION("""COMPUTED_VALUE"""),0.0)</f>
        <v>0</v>
      </c>
      <c r="C1227" s="2">
        <f>IFERROR(__xludf.DUMMYFUNCTION("""COMPUTED_VALUE"""),492.0)</f>
        <v>492</v>
      </c>
      <c r="D1227" s="3">
        <f>IFERROR(__xludf.DUMMYFUNCTION("""COMPUTED_VALUE"""),104.0)</f>
        <v>104</v>
      </c>
      <c r="E1227" s="2"/>
      <c r="F1227" s="2"/>
    </row>
    <row r="1228">
      <c r="A1228" s="2">
        <f>IFERROR(__xludf.DUMMYFUNCTION("""COMPUTED_VALUE"""),77183.0)</f>
        <v>77183</v>
      </c>
      <c r="B1228" s="2">
        <f>IFERROR(__xludf.DUMMYFUNCTION("""COMPUTED_VALUE"""),1.0)</f>
        <v>1</v>
      </c>
      <c r="C1228" s="2">
        <f>IFERROR(__xludf.DUMMYFUNCTION("""COMPUTED_VALUE"""),93.0)</f>
        <v>93</v>
      </c>
      <c r="D1228" s="3">
        <f>IFERROR(__xludf.DUMMYFUNCTION("""COMPUTED_VALUE"""),87.0)</f>
        <v>87</v>
      </c>
      <c r="E1228" s="2"/>
      <c r="F1228" s="2"/>
    </row>
    <row r="1229">
      <c r="A1229" s="2">
        <f>IFERROR(__xludf.DUMMYFUNCTION("""COMPUTED_VALUE"""),147322.0)</f>
        <v>147322</v>
      </c>
      <c r="B1229" s="2">
        <f>IFERROR(__xludf.DUMMYFUNCTION("""COMPUTED_VALUE"""),1.0)</f>
        <v>1</v>
      </c>
      <c r="C1229" s="2">
        <f>IFERROR(__xludf.DUMMYFUNCTION("""COMPUTED_VALUE"""),441.0)</f>
        <v>441</v>
      </c>
      <c r="D1229" s="3">
        <f>IFERROR(__xludf.DUMMYFUNCTION("""COMPUTED_VALUE"""),254.0)</f>
        <v>254</v>
      </c>
      <c r="E1229" s="2"/>
      <c r="F1229" s="2"/>
    </row>
    <row r="1230">
      <c r="A1230" s="2">
        <f>IFERROR(__xludf.DUMMYFUNCTION("""COMPUTED_VALUE"""),44120.0)</f>
        <v>44120</v>
      </c>
      <c r="B1230" s="2">
        <f>IFERROR(__xludf.DUMMYFUNCTION("""COMPUTED_VALUE"""),1.0)</f>
        <v>1</v>
      </c>
      <c r="C1230" s="2">
        <f>IFERROR(__xludf.DUMMYFUNCTION("""COMPUTED_VALUE"""),597.0)</f>
        <v>597</v>
      </c>
      <c r="D1230" s="3">
        <f>IFERROR(__xludf.DUMMYFUNCTION("""COMPUTED_VALUE"""),98.0)</f>
        <v>98</v>
      </c>
      <c r="E1230" s="2"/>
      <c r="F1230" s="2"/>
    </row>
    <row r="1231">
      <c r="A1231" s="2">
        <f>IFERROR(__xludf.DUMMYFUNCTION("""COMPUTED_VALUE"""),44115.0)</f>
        <v>44115</v>
      </c>
      <c r="B1231" s="2">
        <f>IFERROR(__xludf.DUMMYFUNCTION("""COMPUTED_VALUE"""),1.0)</f>
        <v>1</v>
      </c>
      <c r="C1231" s="2">
        <f>IFERROR(__xludf.DUMMYFUNCTION("""COMPUTED_VALUE"""),580.0)</f>
        <v>580</v>
      </c>
      <c r="D1231" s="3">
        <f>IFERROR(__xludf.DUMMYFUNCTION("""COMPUTED_VALUE"""),36.0)</f>
        <v>36</v>
      </c>
      <c r="E1231" s="2"/>
      <c r="F1231" s="2"/>
    </row>
    <row r="1232">
      <c r="A1232" s="2">
        <f>IFERROR(__xludf.DUMMYFUNCTION("""COMPUTED_VALUE"""),44117.0)</f>
        <v>44117</v>
      </c>
      <c r="B1232" s="2">
        <f>IFERROR(__xludf.DUMMYFUNCTION("""COMPUTED_VALUE"""),1.0)</f>
        <v>1</v>
      </c>
      <c r="C1232" s="2">
        <f>IFERROR(__xludf.DUMMYFUNCTION("""COMPUTED_VALUE"""),458.0)</f>
        <v>458</v>
      </c>
      <c r="D1232" s="3">
        <f>IFERROR(__xludf.DUMMYFUNCTION("""COMPUTED_VALUE"""),413.0)</f>
        <v>413</v>
      </c>
      <c r="E1232" s="2"/>
      <c r="F1232" s="2"/>
    </row>
    <row r="1233">
      <c r="A1233" s="2">
        <f>IFERROR(__xludf.DUMMYFUNCTION("""COMPUTED_VALUE"""),76670.0)</f>
        <v>76670</v>
      </c>
      <c r="B1233" s="2">
        <f>IFERROR(__xludf.DUMMYFUNCTION("""COMPUTED_VALUE"""),1.0)</f>
        <v>1</v>
      </c>
      <c r="C1233" s="2">
        <f>IFERROR(__xludf.DUMMYFUNCTION("""COMPUTED_VALUE"""),803.0)</f>
        <v>803</v>
      </c>
      <c r="D1233" s="3">
        <f>IFERROR(__xludf.DUMMYFUNCTION("""COMPUTED_VALUE"""),432.0)</f>
        <v>432</v>
      </c>
      <c r="E1233" s="2"/>
      <c r="F1233" s="2"/>
    </row>
    <row r="1234">
      <c r="A1234" s="2">
        <f>IFERROR(__xludf.DUMMYFUNCTION("""COMPUTED_VALUE"""),122347.0)</f>
        <v>122347</v>
      </c>
      <c r="B1234" s="2">
        <f>IFERROR(__xludf.DUMMYFUNCTION("""COMPUTED_VALUE"""),1.0)</f>
        <v>1</v>
      </c>
      <c r="C1234" s="2">
        <f>IFERROR(__xludf.DUMMYFUNCTION("""COMPUTED_VALUE"""),591.0)</f>
        <v>591</v>
      </c>
      <c r="D1234" s="3">
        <f>IFERROR(__xludf.DUMMYFUNCTION("""COMPUTED_VALUE"""),173.0)</f>
        <v>173</v>
      </c>
      <c r="E1234" s="2"/>
      <c r="F1234" s="2"/>
    </row>
    <row r="1235">
      <c r="A1235" s="2">
        <f>IFERROR(__xludf.DUMMYFUNCTION("""COMPUTED_VALUE"""),112462.0)</f>
        <v>112462</v>
      </c>
      <c r="B1235" s="2">
        <f>IFERROR(__xludf.DUMMYFUNCTION("""COMPUTED_VALUE"""),1.0)</f>
        <v>1</v>
      </c>
      <c r="C1235" s="2">
        <f>IFERROR(__xludf.DUMMYFUNCTION("""COMPUTED_VALUE"""),61.0)</f>
        <v>61</v>
      </c>
      <c r="D1235" s="3">
        <f>IFERROR(__xludf.DUMMYFUNCTION("""COMPUTED_VALUE"""),56.0)</f>
        <v>56</v>
      </c>
      <c r="E1235" s="2"/>
      <c r="F1235" s="2"/>
    </row>
    <row r="1236">
      <c r="A1236" s="2">
        <f>IFERROR(__xludf.DUMMYFUNCTION("""COMPUTED_VALUE"""),5636.0)</f>
        <v>5636</v>
      </c>
      <c r="B1236" s="2">
        <f>IFERROR(__xludf.DUMMYFUNCTION("""COMPUTED_VALUE"""),1.0)</f>
        <v>1</v>
      </c>
      <c r="C1236" s="2">
        <f>IFERROR(__xludf.DUMMYFUNCTION("""COMPUTED_VALUE"""),27.0)</f>
        <v>27</v>
      </c>
      <c r="D1236" s="3">
        <f>IFERROR(__xludf.DUMMYFUNCTION("""COMPUTED_VALUE"""),3.0)</f>
        <v>3</v>
      </c>
      <c r="E1236" s="2"/>
      <c r="F1236" s="2"/>
    </row>
    <row r="1237">
      <c r="A1237" s="2">
        <f>IFERROR(__xludf.DUMMYFUNCTION("""COMPUTED_VALUE"""),112464.0)</f>
        <v>112464</v>
      </c>
      <c r="B1237" s="2">
        <f>IFERROR(__xludf.DUMMYFUNCTION("""COMPUTED_VALUE"""),1.0)</f>
        <v>1</v>
      </c>
      <c r="C1237" s="2">
        <f>IFERROR(__xludf.DUMMYFUNCTION("""COMPUTED_VALUE"""),692.0)</f>
        <v>692</v>
      </c>
      <c r="D1237" s="3">
        <f>IFERROR(__xludf.DUMMYFUNCTION("""COMPUTED_VALUE"""),625.0)</f>
        <v>625</v>
      </c>
      <c r="E1237" s="2"/>
      <c r="F1237" s="2"/>
    </row>
    <row r="1238">
      <c r="A1238" s="2">
        <f>IFERROR(__xludf.DUMMYFUNCTION("""COMPUTED_VALUE"""),5639.0)</f>
        <v>5639</v>
      </c>
      <c r="B1238" s="2">
        <f>IFERROR(__xludf.DUMMYFUNCTION("""COMPUTED_VALUE"""),0.0)</f>
        <v>0</v>
      </c>
      <c r="C1238" s="2">
        <f>IFERROR(__xludf.DUMMYFUNCTION("""COMPUTED_VALUE"""),692.0)</f>
        <v>692</v>
      </c>
      <c r="D1238" s="3">
        <f>IFERROR(__xludf.DUMMYFUNCTION("""COMPUTED_VALUE"""),381.0)</f>
        <v>381</v>
      </c>
      <c r="E1238" s="2"/>
      <c r="F1238" s="2"/>
    </row>
    <row r="1239">
      <c r="A1239" s="2">
        <f>IFERROR(__xludf.DUMMYFUNCTION("""COMPUTED_VALUE"""),44147.0)</f>
        <v>44147</v>
      </c>
      <c r="B1239" s="2">
        <f>IFERROR(__xludf.DUMMYFUNCTION("""COMPUTED_VALUE"""),0.0)</f>
        <v>0</v>
      </c>
      <c r="C1239" s="2">
        <f>IFERROR(__xludf.DUMMYFUNCTION("""COMPUTED_VALUE"""),107.0)</f>
        <v>107</v>
      </c>
      <c r="D1239" s="3">
        <f>IFERROR(__xludf.DUMMYFUNCTION("""COMPUTED_VALUE"""),6.0)</f>
        <v>6</v>
      </c>
      <c r="E1239" s="2"/>
      <c r="F1239" s="2"/>
    </row>
    <row r="1240">
      <c r="A1240" s="2">
        <f>IFERROR(__xludf.DUMMYFUNCTION("""COMPUTED_VALUE"""),5638.0)</f>
        <v>5638</v>
      </c>
      <c r="B1240" s="2">
        <f>IFERROR(__xludf.DUMMYFUNCTION("""COMPUTED_VALUE"""),1.0)</f>
        <v>1</v>
      </c>
      <c r="C1240" s="2">
        <f>IFERROR(__xludf.DUMMYFUNCTION("""COMPUTED_VALUE"""),181.0)</f>
        <v>181</v>
      </c>
      <c r="D1240" s="3">
        <f>IFERROR(__xludf.DUMMYFUNCTION("""COMPUTED_VALUE"""),119.0)</f>
        <v>119</v>
      </c>
      <c r="E1240" s="2"/>
      <c r="F1240" s="2"/>
    </row>
    <row r="1241">
      <c r="A1241" s="2">
        <f>IFERROR(__xludf.DUMMYFUNCTION("""COMPUTED_VALUE"""),103074.0)</f>
        <v>103074</v>
      </c>
      <c r="B1241" s="2">
        <f>IFERROR(__xludf.DUMMYFUNCTION("""COMPUTED_VALUE"""),1.0)</f>
        <v>1</v>
      </c>
      <c r="C1241" s="2">
        <f>IFERROR(__xludf.DUMMYFUNCTION("""COMPUTED_VALUE"""),619.0)</f>
        <v>619</v>
      </c>
      <c r="D1241" s="3">
        <f>IFERROR(__xludf.DUMMYFUNCTION("""COMPUTED_VALUE"""),304.0)</f>
        <v>304</v>
      </c>
      <c r="E1241" s="2"/>
      <c r="F1241" s="2"/>
    </row>
    <row r="1242">
      <c r="A1242" s="2">
        <f>IFERROR(__xludf.DUMMYFUNCTION("""COMPUTED_VALUE"""),45913.0)</f>
        <v>45913</v>
      </c>
      <c r="B1242" s="2">
        <f>IFERROR(__xludf.DUMMYFUNCTION("""COMPUTED_VALUE"""),1.0)</f>
        <v>1</v>
      </c>
      <c r="C1242" s="2">
        <f>IFERROR(__xludf.DUMMYFUNCTION("""COMPUTED_VALUE"""),426.0)</f>
        <v>426</v>
      </c>
      <c r="D1242" s="3">
        <f>IFERROR(__xludf.DUMMYFUNCTION("""COMPUTED_VALUE"""),139.0)</f>
        <v>139</v>
      </c>
      <c r="E1242" s="2"/>
      <c r="F1242" s="2"/>
    </row>
    <row r="1243">
      <c r="A1243" s="2">
        <f>IFERROR(__xludf.DUMMYFUNCTION("""COMPUTED_VALUE"""),120044.0)</f>
        <v>120044</v>
      </c>
      <c r="B1243" s="2">
        <f>IFERROR(__xludf.DUMMYFUNCTION("""COMPUTED_VALUE"""),0.0)</f>
        <v>0</v>
      </c>
      <c r="C1243" s="2">
        <f>IFERROR(__xludf.DUMMYFUNCTION("""COMPUTED_VALUE"""),816.0)</f>
        <v>816</v>
      </c>
      <c r="D1243" s="3">
        <f>IFERROR(__xludf.DUMMYFUNCTION("""COMPUTED_VALUE"""),323.0)</f>
        <v>323</v>
      </c>
      <c r="E1243" s="2"/>
      <c r="F1243" s="2"/>
    </row>
    <row r="1244">
      <c r="A1244" s="2">
        <f>IFERROR(__xludf.DUMMYFUNCTION("""COMPUTED_VALUE"""),90973.0)</f>
        <v>90973</v>
      </c>
      <c r="B1244" s="2">
        <f>IFERROR(__xludf.DUMMYFUNCTION("""COMPUTED_VALUE"""),1.0)</f>
        <v>1</v>
      </c>
      <c r="C1244" s="2">
        <f>IFERROR(__xludf.DUMMYFUNCTION("""COMPUTED_VALUE"""),804.0)</f>
        <v>804</v>
      </c>
      <c r="D1244" s="3">
        <f>IFERROR(__xludf.DUMMYFUNCTION("""COMPUTED_VALUE"""),747.0)</f>
        <v>747</v>
      </c>
      <c r="E1244" s="2"/>
      <c r="F1244" s="2"/>
    </row>
    <row r="1245">
      <c r="A1245" s="2">
        <f>IFERROR(__xludf.DUMMYFUNCTION("""COMPUTED_VALUE"""),103830.0)</f>
        <v>103830</v>
      </c>
      <c r="B1245" s="2">
        <f>IFERROR(__xludf.DUMMYFUNCTION("""COMPUTED_VALUE"""),0.0)</f>
        <v>0</v>
      </c>
      <c r="C1245" s="2">
        <f>IFERROR(__xludf.DUMMYFUNCTION("""COMPUTED_VALUE"""),710.0)</f>
        <v>710</v>
      </c>
      <c r="D1245" s="3">
        <f>IFERROR(__xludf.DUMMYFUNCTION("""COMPUTED_VALUE"""),313.0)</f>
        <v>313</v>
      </c>
      <c r="E1245" s="2"/>
      <c r="F1245" s="2"/>
    </row>
    <row r="1246">
      <c r="A1246" s="2">
        <f>IFERROR(__xludf.DUMMYFUNCTION("""COMPUTED_VALUE"""),111765.0)</f>
        <v>111765</v>
      </c>
      <c r="B1246" s="2">
        <f>IFERROR(__xludf.DUMMYFUNCTION("""COMPUTED_VALUE"""),0.0)</f>
        <v>0</v>
      </c>
      <c r="C1246" s="2">
        <f>IFERROR(__xludf.DUMMYFUNCTION("""COMPUTED_VALUE"""),884.0)</f>
        <v>884</v>
      </c>
      <c r="D1246" s="3">
        <f>IFERROR(__xludf.DUMMYFUNCTION("""COMPUTED_VALUE"""),601.0)</f>
        <v>601</v>
      </c>
      <c r="E1246" s="2"/>
      <c r="F1246" s="2"/>
    </row>
    <row r="1247">
      <c r="A1247" s="2">
        <f>IFERROR(__xludf.DUMMYFUNCTION("""COMPUTED_VALUE"""),45952.0)</f>
        <v>45952</v>
      </c>
      <c r="B1247" s="2">
        <f>IFERROR(__xludf.DUMMYFUNCTION("""COMPUTED_VALUE"""),1.0)</f>
        <v>1</v>
      </c>
      <c r="C1247" s="2">
        <f>IFERROR(__xludf.DUMMYFUNCTION("""COMPUTED_VALUE"""),368.0)</f>
        <v>368</v>
      </c>
      <c r="D1247" s="3">
        <f>IFERROR(__xludf.DUMMYFUNCTION("""COMPUTED_VALUE"""),87.0)</f>
        <v>87</v>
      </c>
      <c r="E1247" s="2"/>
      <c r="F1247" s="2"/>
    </row>
    <row r="1248">
      <c r="A1248" s="2">
        <f>IFERROR(__xludf.DUMMYFUNCTION("""COMPUTED_VALUE"""),91749.0)</f>
        <v>91749</v>
      </c>
      <c r="B1248" s="2">
        <f>IFERROR(__xludf.DUMMYFUNCTION("""COMPUTED_VALUE"""),0.0)</f>
        <v>0</v>
      </c>
      <c r="C1248" s="2">
        <f>IFERROR(__xludf.DUMMYFUNCTION("""COMPUTED_VALUE"""),226.0)</f>
        <v>226</v>
      </c>
      <c r="D1248" s="3">
        <f>IFERROR(__xludf.DUMMYFUNCTION("""COMPUTED_VALUE"""),86.0)</f>
        <v>86</v>
      </c>
      <c r="E1248" s="2"/>
      <c r="F1248" s="2"/>
    </row>
    <row r="1249">
      <c r="A1249" s="2">
        <f>IFERROR(__xludf.DUMMYFUNCTION("""COMPUTED_VALUE"""),120040.0)</f>
        <v>120040</v>
      </c>
      <c r="B1249" s="2">
        <f>IFERROR(__xludf.DUMMYFUNCTION("""COMPUTED_VALUE"""),0.0)</f>
        <v>0</v>
      </c>
      <c r="C1249" s="2">
        <f>IFERROR(__xludf.DUMMYFUNCTION("""COMPUTED_VALUE"""),418.0)</f>
        <v>418</v>
      </c>
      <c r="D1249" s="3">
        <f>IFERROR(__xludf.DUMMYFUNCTION("""COMPUTED_VALUE"""),63.0)</f>
        <v>63</v>
      </c>
      <c r="E1249" s="2"/>
      <c r="F1249" s="2"/>
    </row>
    <row r="1250">
      <c r="A1250" s="2">
        <f>IFERROR(__xludf.DUMMYFUNCTION("""COMPUTED_VALUE"""),17143.0)</f>
        <v>17143</v>
      </c>
      <c r="B1250" s="2">
        <f>IFERROR(__xludf.DUMMYFUNCTION("""COMPUTED_VALUE"""),1.0)</f>
        <v>1</v>
      </c>
      <c r="C1250" s="2">
        <f>IFERROR(__xludf.DUMMYFUNCTION("""COMPUTED_VALUE"""),714.0)</f>
        <v>714</v>
      </c>
      <c r="D1250" s="3">
        <f>IFERROR(__xludf.DUMMYFUNCTION("""COMPUTED_VALUE"""),444.0)</f>
        <v>444</v>
      </c>
      <c r="E1250" s="2"/>
      <c r="F1250" s="2"/>
    </row>
    <row r="1251">
      <c r="A1251" s="2">
        <f>IFERROR(__xludf.DUMMYFUNCTION("""COMPUTED_VALUE"""),120515.0)</f>
        <v>120515</v>
      </c>
      <c r="B1251" s="2">
        <f>IFERROR(__xludf.DUMMYFUNCTION("""COMPUTED_VALUE"""),1.0)</f>
        <v>1</v>
      </c>
      <c r="C1251" s="2">
        <f>IFERROR(__xludf.DUMMYFUNCTION("""COMPUTED_VALUE"""),234.0)</f>
        <v>234</v>
      </c>
      <c r="D1251" s="3">
        <f>IFERROR(__xludf.DUMMYFUNCTION("""COMPUTED_VALUE"""),97.0)</f>
        <v>97</v>
      </c>
      <c r="E1251" s="2"/>
      <c r="F1251" s="2"/>
    </row>
    <row r="1252">
      <c r="A1252" s="2">
        <f>IFERROR(__xludf.DUMMYFUNCTION("""COMPUTED_VALUE"""),120045.0)</f>
        <v>120045</v>
      </c>
      <c r="B1252" s="2">
        <f>IFERROR(__xludf.DUMMYFUNCTION("""COMPUTED_VALUE"""),0.0)</f>
        <v>0</v>
      </c>
      <c r="C1252" s="2">
        <f>IFERROR(__xludf.DUMMYFUNCTION("""COMPUTED_VALUE"""),159.0)</f>
        <v>159</v>
      </c>
      <c r="D1252" s="3">
        <f>IFERROR(__xludf.DUMMYFUNCTION("""COMPUTED_VALUE"""),26.0)</f>
        <v>26</v>
      </c>
      <c r="E1252" s="2"/>
      <c r="F1252" s="2"/>
    </row>
    <row r="1253">
      <c r="A1253" s="2">
        <f>IFERROR(__xludf.DUMMYFUNCTION("""COMPUTED_VALUE"""),122268.0)</f>
        <v>122268</v>
      </c>
      <c r="B1253" s="2">
        <f>IFERROR(__xludf.DUMMYFUNCTION("""COMPUTED_VALUE"""),1.0)</f>
        <v>1</v>
      </c>
      <c r="C1253" s="2">
        <f>IFERROR(__xludf.DUMMYFUNCTION("""COMPUTED_VALUE"""),576.0)</f>
        <v>576</v>
      </c>
      <c r="D1253" s="3">
        <f>IFERROR(__xludf.DUMMYFUNCTION("""COMPUTED_VALUE"""),62.0)</f>
        <v>62</v>
      </c>
      <c r="E1253" s="2"/>
      <c r="F1253" s="2"/>
    </row>
    <row r="1254">
      <c r="A1254" s="2">
        <f>IFERROR(__xludf.DUMMYFUNCTION("""COMPUTED_VALUE"""),195737.0)</f>
        <v>195737</v>
      </c>
      <c r="B1254" s="2">
        <f>IFERROR(__xludf.DUMMYFUNCTION("""COMPUTED_VALUE"""),1.0)</f>
        <v>1</v>
      </c>
      <c r="C1254" s="2">
        <f>IFERROR(__xludf.DUMMYFUNCTION("""COMPUTED_VALUE"""),769.0)</f>
        <v>769</v>
      </c>
      <c r="D1254" s="3">
        <f>IFERROR(__xludf.DUMMYFUNCTION("""COMPUTED_VALUE"""),338.0)</f>
        <v>338</v>
      </c>
      <c r="E1254" s="2"/>
      <c r="F1254" s="2"/>
    </row>
    <row r="1255">
      <c r="A1255" s="2">
        <f>IFERROR(__xludf.DUMMYFUNCTION("""COMPUTED_VALUE"""),78759.0)</f>
        <v>78759</v>
      </c>
      <c r="B1255" s="2">
        <f>IFERROR(__xludf.DUMMYFUNCTION("""COMPUTED_VALUE"""),1.0)</f>
        <v>1</v>
      </c>
      <c r="C1255" s="2">
        <f>IFERROR(__xludf.DUMMYFUNCTION("""COMPUTED_VALUE"""),122.0)</f>
        <v>122</v>
      </c>
      <c r="D1255" s="3">
        <f>IFERROR(__xludf.DUMMYFUNCTION("""COMPUTED_VALUE"""),102.0)</f>
        <v>102</v>
      </c>
      <c r="E1255" s="2"/>
      <c r="F1255" s="2"/>
    </row>
    <row r="1256">
      <c r="A1256" s="2">
        <f>IFERROR(__xludf.DUMMYFUNCTION("""COMPUTED_VALUE"""),8857.0)</f>
        <v>8857</v>
      </c>
      <c r="B1256" s="2">
        <f>IFERROR(__xludf.DUMMYFUNCTION("""COMPUTED_VALUE"""),0.0)</f>
        <v>0</v>
      </c>
      <c r="C1256" s="2">
        <f>IFERROR(__xludf.DUMMYFUNCTION("""COMPUTED_VALUE"""),893.0)</f>
        <v>893</v>
      </c>
      <c r="D1256" s="3">
        <f>IFERROR(__xludf.DUMMYFUNCTION("""COMPUTED_VALUE"""),350.0)</f>
        <v>350</v>
      </c>
      <c r="E1256" s="2"/>
      <c r="F1256" s="2"/>
    </row>
    <row r="1257">
      <c r="A1257" s="2">
        <f>IFERROR(__xludf.DUMMYFUNCTION("""COMPUTED_VALUE"""),8860.0)</f>
        <v>8860</v>
      </c>
      <c r="B1257" s="2">
        <f>IFERROR(__xludf.DUMMYFUNCTION("""COMPUTED_VALUE"""),0.0)</f>
        <v>0</v>
      </c>
      <c r="C1257" s="2">
        <f>IFERROR(__xludf.DUMMYFUNCTION("""COMPUTED_VALUE"""),188.0)</f>
        <v>188</v>
      </c>
      <c r="D1257" s="3">
        <f>IFERROR(__xludf.DUMMYFUNCTION("""COMPUTED_VALUE"""),82.0)</f>
        <v>82</v>
      </c>
      <c r="E1257" s="2"/>
      <c r="F1257" s="2"/>
    </row>
    <row r="1258">
      <c r="A1258" s="2">
        <f>IFERROR(__xludf.DUMMYFUNCTION("""COMPUTED_VALUE"""),182790.0)</f>
        <v>182790</v>
      </c>
      <c r="B1258" s="2">
        <f>IFERROR(__xludf.DUMMYFUNCTION("""COMPUTED_VALUE"""),0.0)</f>
        <v>0</v>
      </c>
      <c r="C1258" s="2">
        <f>IFERROR(__xludf.DUMMYFUNCTION("""COMPUTED_VALUE"""),83.0)</f>
        <v>83</v>
      </c>
      <c r="D1258" s="3">
        <f>IFERROR(__xludf.DUMMYFUNCTION("""COMPUTED_VALUE"""),73.0)</f>
        <v>73</v>
      </c>
      <c r="E1258" s="2"/>
      <c r="F1258" s="2"/>
    </row>
    <row r="1259">
      <c r="A1259" s="2">
        <f>IFERROR(__xludf.DUMMYFUNCTION("""COMPUTED_VALUE"""),120042.0)</f>
        <v>120042</v>
      </c>
      <c r="B1259" s="2">
        <f>IFERROR(__xludf.DUMMYFUNCTION("""COMPUTED_VALUE"""),0.0)</f>
        <v>0</v>
      </c>
      <c r="C1259" s="2">
        <f>IFERROR(__xludf.DUMMYFUNCTION("""COMPUTED_VALUE"""),548.0)</f>
        <v>548</v>
      </c>
      <c r="D1259" s="3">
        <f>IFERROR(__xludf.DUMMYFUNCTION("""COMPUTED_VALUE"""),508.0)</f>
        <v>508</v>
      </c>
      <c r="E1259" s="2"/>
      <c r="F1259" s="2"/>
    </row>
    <row r="1260">
      <c r="A1260" s="2">
        <f>IFERROR(__xludf.DUMMYFUNCTION("""COMPUTED_VALUE"""),114941.0)</f>
        <v>114941</v>
      </c>
      <c r="B1260" s="2">
        <f>IFERROR(__xludf.DUMMYFUNCTION("""COMPUTED_VALUE"""),1.0)</f>
        <v>1</v>
      </c>
      <c r="C1260" s="2">
        <f>IFERROR(__xludf.DUMMYFUNCTION("""COMPUTED_VALUE"""),545.0)</f>
        <v>545</v>
      </c>
      <c r="D1260" s="3">
        <f>IFERROR(__xludf.DUMMYFUNCTION("""COMPUTED_VALUE"""),477.0)</f>
        <v>477</v>
      </c>
      <c r="E1260" s="2"/>
      <c r="F1260" s="2"/>
    </row>
    <row r="1261">
      <c r="A1261" s="2">
        <f>IFERROR(__xludf.DUMMYFUNCTION("""COMPUTED_VALUE"""),108473.0)</f>
        <v>108473</v>
      </c>
      <c r="B1261" s="2">
        <f>IFERROR(__xludf.DUMMYFUNCTION("""COMPUTED_VALUE"""),1.0)</f>
        <v>1</v>
      </c>
      <c r="C1261" s="2">
        <f>IFERROR(__xludf.DUMMYFUNCTION("""COMPUTED_VALUE"""),788.0)</f>
        <v>788</v>
      </c>
      <c r="D1261" s="3">
        <f>IFERROR(__xludf.DUMMYFUNCTION("""COMPUTED_VALUE"""),570.0)</f>
        <v>570</v>
      </c>
      <c r="E1261" s="2"/>
      <c r="F1261" s="2"/>
    </row>
    <row r="1262">
      <c r="A1262" s="2">
        <f>IFERROR(__xludf.DUMMYFUNCTION("""COMPUTED_VALUE"""),90968.0)</f>
        <v>90968</v>
      </c>
      <c r="B1262" s="2">
        <f>IFERROR(__xludf.DUMMYFUNCTION("""COMPUTED_VALUE"""),1.0)</f>
        <v>1</v>
      </c>
      <c r="C1262" s="2">
        <f>IFERROR(__xludf.DUMMYFUNCTION("""COMPUTED_VALUE"""),57.0)</f>
        <v>57</v>
      </c>
      <c r="D1262" s="3">
        <f>IFERROR(__xludf.DUMMYFUNCTION("""COMPUTED_VALUE"""),0.0)</f>
        <v>0</v>
      </c>
      <c r="E1262" s="2"/>
      <c r="F1262" s="2"/>
    </row>
    <row r="1263">
      <c r="A1263" s="2">
        <f>IFERROR(__xludf.DUMMYFUNCTION("""COMPUTED_VALUE"""),114929.0)</f>
        <v>114929</v>
      </c>
      <c r="B1263" s="2">
        <f>IFERROR(__xludf.DUMMYFUNCTION("""COMPUTED_VALUE"""),0.0)</f>
        <v>0</v>
      </c>
      <c r="C1263" s="2">
        <f>IFERROR(__xludf.DUMMYFUNCTION("""COMPUTED_VALUE"""),282.0)</f>
        <v>282</v>
      </c>
      <c r="D1263" s="3">
        <f>IFERROR(__xludf.DUMMYFUNCTION("""COMPUTED_VALUE"""),61.0)</f>
        <v>61</v>
      </c>
      <c r="E1263" s="2"/>
      <c r="F1263" s="2"/>
    </row>
    <row r="1264">
      <c r="A1264" s="2">
        <f>IFERROR(__xludf.DUMMYFUNCTION("""COMPUTED_VALUE"""),68868.0)</f>
        <v>68868</v>
      </c>
      <c r="B1264" s="2">
        <f>IFERROR(__xludf.DUMMYFUNCTION("""COMPUTED_VALUE"""),0.0)</f>
        <v>0</v>
      </c>
      <c r="C1264" s="2">
        <f>IFERROR(__xludf.DUMMYFUNCTION("""COMPUTED_VALUE"""),771.0)</f>
        <v>771</v>
      </c>
      <c r="D1264" s="3">
        <f>IFERROR(__xludf.DUMMYFUNCTION("""COMPUTED_VALUE"""),545.0)</f>
        <v>545</v>
      </c>
      <c r="E1264" s="2"/>
      <c r="F1264" s="2"/>
    </row>
    <row r="1265">
      <c r="A1265" s="2">
        <f>IFERROR(__xludf.DUMMYFUNCTION("""COMPUTED_VALUE"""),103831.0)</f>
        <v>103831</v>
      </c>
      <c r="B1265" s="2">
        <f>IFERROR(__xludf.DUMMYFUNCTION("""COMPUTED_VALUE"""),0.0)</f>
        <v>0</v>
      </c>
      <c r="C1265" s="2">
        <f>IFERROR(__xludf.DUMMYFUNCTION("""COMPUTED_VALUE"""),743.0)</f>
        <v>743</v>
      </c>
      <c r="D1265" s="3">
        <f>IFERROR(__xludf.DUMMYFUNCTION("""COMPUTED_VALUE"""),617.0)</f>
        <v>617</v>
      </c>
      <c r="E1265" s="2"/>
      <c r="F1265" s="2"/>
    </row>
    <row r="1266">
      <c r="A1266" s="2">
        <f>IFERROR(__xludf.DUMMYFUNCTION("""COMPUTED_VALUE"""),83272.0)</f>
        <v>83272</v>
      </c>
      <c r="B1266" s="2">
        <f>IFERROR(__xludf.DUMMYFUNCTION("""COMPUTED_VALUE"""),1.0)</f>
        <v>1</v>
      </c>
      <c r="C1266" s="2">
        <f>IFERROR(__xludf.DUMMYFUNCTION("""COMPUTED_VALUE"""),124.0)</f>
        <v>124</v>
      </c>
      <c r="D1266" s="3">
        <f>IFERROR(__xludf.DUMMYFUNCTION("""COMPUTED_VALUE"""),64.0)</f>
        <v>64</v>
      </c>
      <c r="E1266" s="2"/>
      <c r="F1266" s="2"/>
    </row>
    <row r="1267">
      <c r="A1267" s="2">
        <f>IFERROR(__xludf.DUMMYFUNCTION("""COMPUTED_VALUE"""),120046.0)</f>
        <v>120046</v>
      </c>
      <c r="B1267" s="2">
        <f>IFERROR(__xludf.DUMMYFUNCTION("""COMPUTED_VALUE"""),1.0)</f>
        <v>1</v>
      </c>
      <c r="C1267" s="2">
        <f>IFERROR(__xludf.DUMMYFUNCTION("""COMPUTED_VALUE"""),734.0)</f>
        <v>734</v>
      </c>
      <c r="D1267" s="3">
        <f>IFERROR(__xludf.DUMMYFUNCTION("""COMPUTED_VALUE"""),302.0)</f>
        <v>302</v>
      </c>
      <c r="E1267" s="2"/>
      <c r="F1267" s="2"/>
    </row>
    <row r="1268">
      <c r="A1268" s="2">
        <f>IFERROR(__xludf.DUMMYFUNCTION("""COMPUTED_VALUE"""),181989.0)</f>
        <v>181989</v>
      </c>
      <c r="B1268" s="2">
        <f>IFERROR(__xludf.DUMMYFUNCTION("""COMPUTED_VALUE"""),1.0)</f>
        <v>1</v>
      </c>
      <c r="C1268" s="2">
        <f>IFERROR(__xludf.DUMMYFUNCTION("""COMPUTED_VALUE"""),227.0)</f>
        <v>227</v>
      </c>
      <c r="D1268" s="3">
        <f>IFERROR(__xludf.DUMMYFUNCTION("""COMPUTED_VALUE"""),204.0)</f>
        <v>204</v>
      </c>
      <c r="E1268" s="2"/>
      <c r="F1268" s="2"/>
    </row>
    <row r="1269">
      <c r="A1269" s="2">
        <f>IFERROR(__xludf.DUMMYFUNCTION("""COMPUTED_VALUE"""),84359.0)</f>
        <v>84359</v>
      </c>
      <c r="B1269" s="2">
        <f>IFERROR(__xludf.DUMMYFUNCTION("""COMPUTED_VALUE"""),0.0)</f>
        <v>0</v>
      </c>
      <c r="C1269" s="2">
        <f>IFERROR(__xludf.DUMMYFUNCTION("""COMPUTED_VALUE"""),290.0)</f>
        <v>290</v>
      </c>
      <c r="D1269" s="3">
        <f>IFERROR(__xludf.DUMMYFUNCTION("""COMPUTED_VALUE"""),89.0)</f>
        <v>89</v>
      </c>
      <c r="E1269" s="2"/>
      <c r="F1269" s="2"/>
    </row>
    <row r="1270">
      <c r="A1270" s="2">
        <f>IFERROR(__xludf.DUMMYFUNCTION("""COMPUTED_VALUE"""),102939.0)</f>
        <v>102939</v>
      </c>
      <c r="B1270" s="2">
        <f>IFERROR(__xludf.DUMMYFUNCTION("""COMPUTED_VALUE"""),1.0)</f>
        <v>1</v>
      </c>
      <c r="C1270" s="2">
        <f>IFERROR(__xludf.DUMMYFUNCTION("""COMPUTED_VALUE"""),499.0)</f>
        <v>499</v>
      </c>
      <c r="D1270" s="3">
        <f>IFERROR(__xludf.DUMMYFUNCTION("""COMPUTED_VALUE"""),146.0)</f>
        <v>146</v>
      </c>
      <c r="E1270" s="2"/>
      <c r="F1270" s="2"/>
    </row>
    <row r="1271">
      <c r="A1271" s="2">
        <f>IFERROR(__xludf.DUMMYFUNCTION("""COMPUTED_VALUE"""),111504.0)</f>
        <v>111504</v>
      </c>
      <c r="B1271" s="2">
        <f>IFERROR(__xludf.DUMMYFUNCTION("""COMPUTED_VALUE"""),1.0)</f>
        <v>1</v>
      </c>
      <c r="C1271" s="2">
        <f>IFERROR(__xludf.DUMMYFUNCTION("""COMPUTED_VALUE"""),27.0)</f>
        <v>27</v>
      </c>
      <c r="D1271" s="3">
        <f>IFERROR(__xludf.DUMMYFUNCTION("""COMPUTED_VALUE"""),25.0)</f>
        <v>25</v>
      </c>
      <c r="E1271" s="2"/>
      <c r="F1271" s="2"/>
    </row>
    <row r="1272">
      <c r="A1272" s="2">
        <f>IFERROR(__xludf.DUMMYFUNCTION("""COMPUTED_VALUE"""),75678.0)</f>
        <v>75678</v>
      </c>
      <c r="B1272" s="2">
        <f>IFERROR(__xludf.DUMMYFUNCTION("""COMPUTED_VALUE"""),1.0)</f>
        <v>1</v>
      </c>
      <c r="C1272" s="2">
        <f>IFERROR(__xludf.DUMMYFUNCTION("""COMPUTED_VALUE"""),441.0)</f>
        <v>441</v>
      </c>
      <c r="D1272" s="3">
        <f>IFERROR(__xludf.DUMMYFUNCTION("""COMPUTED_VALUE"""),227.0)</f>
        <v>227</v>
      </c>
      <c r="E1272" s="2"/>
      <c r="F1272" s="2"/>
    </row>
    <row r="1273">
      <c r="A1273" s="2">
        <f>IFERROR(__xludf.DUMMYFUNCTION("""COMPUTED_VALUE"""),79005.0)</f>
        <v>79005</v>
      </c>
      <c r="B1273" s="2">
        <f>IFERROR(__xludf.DUMMYFUNCTION("""COMPUTED_VALUE"""),1.0)</f>
        <v>1</v>
      </c>
      <c r="C1273" s="2">
        <f>IFERROR(__xludf.DUMMYFUNCTION("""COMPUTED_VALUE"""),206.0)</f>
        <v>206</v>
      </c>
      <c r="D1273" s="3">
        <f>IFERROR(__xludf.DUMMYFUNCTION("""COMPUTED_VALUE"""),112.0)</f>
        <v>112</v>
      </c>
      <c r="E1273" s="2"/>
      <c r="F1273" s="2"/>
    </row>
    <row r="1274">
      <c r="A1274" s="2">
        <f>IFERROR(__xludf.DUMMYFUNCTION("""COMPUTED_VALUE"""),188360.0)</f>
        <v>188360</v>
      </c>
      <c r="B1274" s="2">
        <f>IFERROR(__xludf.DUMMYFUNCTION("""COMPUTED_VALUE"""),0.0)</f>
        <v>0</v>
      </c>
      <c r="C1274" s="2">
        <f>IFERROR(__xludf.DUMMYFUNCTION("""COMPUTED_VALUE"""),472.0)</f>
        <v>472</v>
      </c>
      <c r="D1274" s="3">
        <f>IFERROR(__xludf.DUMMYFUNCTION("""COMPUTED_VALUE"""),432.0)</f>
        <v>432</v>
      </c>
      <c r="E1274" s="2"/>
      <c r="F1274" s="2"/>
    </row>
    <row r="1275">
      <c r="A1275" s="2">
        <f>IFERROR(__xludf.DUMMYFUNCTION("""COMPUTED_VALUE"""),79695.0)</f>
        <v>79695</v>
      </c>
      <c r="B1275" s="2">
        <f>IFERROR(__xludf.DUMMYFUNCTION("""COMPUTED_VALUE"""),0.0)</f>
        <v>0</v>
      </c>
      <c r="C1275" s="2">
        <f>IFERROR(__xludf.DUMMYFUNCTION("""COMPUTED_VALUE"""),754.0)</f>
        <v>754</v>
      </c>
      <c r="D1275" s="3">
        <f>IFERROR(__xludf.DUMMYFUNCTION("""COMPUTED_VALUE"""),667.0)</f>
        <v>667</v>
      </c>
      <c r="E1275" s="2"/>
      <c r="F1275" s="2"/>
    </row>
    <row r="1276">
      <c r="A1276" s="2">
        <f>IFERROR(__xludf.DUMMYFUNCTION("""COMPUTED_VALUE"""),73768.0)</f>
        <v>73768</v>
      </c>
      <c r="B1276" s="2">
        <f>IFERROR(__xludf.DUMMYFUNCTION("""COMPUTED_VALUE"""),1.0)</f>
        <v>1</v>
      </c>
      <c r="C1276" s="2">
        <f>IFERROR(__xludf.DUMMYFUNCTION("""COMPUTED_VALUE"""),661.0)</f>
        <v>661</v>
      </c>
      <c r="D1276" s="3">
        <f>IFERROR(__xludf.DUMMYFUNCTION("""COMPUTED_VALUE"""),401.0)</f>
        <v>401</v>
      </c>
      <c r="E1276" s="2"/>
      <c r="F1276" s="2"/>
    </row>
    <row r="1277">
      <c r="A1277" s="2">
        <f>IFERROR(__xludf.DUMMYFUNCTION("""COMPUTED_VALUE"""),44663.0)</f>
        <v>44663</v>
      </c>
      <c r="B1277" s="2">
        <f>IFERROR(__xludf.DUMMYFUNCTION("""COMPUTED_VALUE"""),0.0)</f>
        <v>0</v>
      </c>
      <c r="C1277" s="2">
        <f>IFERROR(__xludf.DUMMYFUNCTION("""COMPUTED_VALUE"""),434.0)</f>
        <v>434</v>
      </c>
      <c r="D1277" s="3">
        <f>IFERROR(__xludf.DUMMYFUNCTION("""COMPUTED_VALUE"""),35.0)</f>
        <v>35</v>
      </c>
      <c r="E1277" s="2"/>
      <c r="F1277" s="2"/>
    </row>
    <row r="1278">
      <c r="A1278" s="2">
        <f>IFERROR(__xludf.DUMMYFUNCTION("""COMPUTED_VALUE"""),766.0)</f>
        <v>766</v>
      </c>
      <c r="B1278" s="2">
        <f>IFERROR(__xludf.DUMMYFUNCTION("""COMPUTED_VALUE"""),1.0)</f>
        <v>1</v>
      </c>
      <c r="C1278" s="2">
        <f>IFERROR(__xludf.DUMMYFUNCTION("""COMPUTED_VALUE"""),313.0)</f>
        <v>313</v>
      </c>
      <c r="D1278" s="3">
        <f>IFERROR(__xludf.DUMMYFUNCTION("""COMPUTED_VALUE"""),259.0)</f>
        <v>259</v>
      </c>
      <c r="E1278" s="2"/>
      <c r="F1278" s="2"/>
    </row>
    <row r="1279">
      <c r="A1279" s="2">
        <f>IFERROR(__xludf.DUMMYFUNCTION("""COMPUTED_VALUE"""),109961.0)</f>
        <v>109961</v>
      </c>
      <c r="B1279" s="2">
        <f>IFERROR(__xludf.DUMMYFUNCTION("""COMPUTED_VALUE"""),0.0)</f>
        <v>0</v>
      </c>
      <c r="C1279" s="2">
        <f>IFERROR(__xludf.DUMMYFUNCTION("""COMPUTED_VALUE"""),811.0)</f>
        <v>811</v>
      </c>
      <c r="D1279" s="3">
        <f>IFERROR(__xludf.DUMMYFUNCTION("""COMPUTED_VALUE"""),235.0)</f>
        <v>235</v>
      </c>
      <c r="E1279" s="2"/>
      <c r="F1279" s="2"/>
    </row>
    <row r="1280">
      <c r="A1280" s="2">
        <f>IFERROR(__xludf.DUMMYFUNCTION("""COMPUTED_VALUE"""),109932.0)</f>
        <v>109932</v>
      </c>
      <c r="B1280" s="2">
        <f>IFERROR(__xludf.DUMMYFUNCTION("""COMPUTED_VALUE"""),0.0)</f>
        <v>0</v>
      </c>
      <c r="C1280" s="2">
        <f>IFERROR(__xludf.DUMMYFUNCTION("""COMPUTED_VALUE"""),836.0)</f>
        <v>836</v>
      </c>
      <c r="D1280" s="3">
        <f>IFERROR(__xludf.DUMMYFUNCTION("""COMPUTED_VALUE"""),90.0)</f>
        <v>90</v>
      </c>
      <c r="E1280" s="2"/>
      <c r="F1280" s="2"/>
    </row>
    <row r="1281">
      <c r="A1281" s="2">
        <f>IFERROR(__xludf.DUMMYFUNCTION("""COMPUTED_VALUE"""),109956.0)</f>
        <v>109956</v>
      </c>
      <c r="B1281" s="2">
        <f>IFERROR(__xludf.DUMMYFUNCTION("""COMPUTED_VALUE"""),1.0)</f>
        <v>1</v>
      </c>
      <c r="C1281" s="2">
        <f>IFERROR(__xludf.DUMMYFUNCTION("""COMPUTED_VALUE"""),339.0)</f>
        <v>339</v>
      </c>
      <c r="D1281" s="3">
        <f>IFERROR(__xludf.DUMMYFUNCTION("""COMPUTED_VALUE"""),75.0)</f>
        <v>75</v>
      </c>
      <c r="E1281" s="2"/>
      <c r="F1281" s="2"/>
    </row>
    <row r="1282">
      <c r="A1282" s="2">
        <f>IFERROR(__xludf.DUMMYFUNCTION("""COMPUTED_VALUE"""),109962.0)</f>
        <v>109962</v>
      </c>
      <c r="B1282" s="2">
        <f>IFERROR(__xludf.DUMMYFUNCTION("""COMPUTED_VALUE"""),1.0)</f>
        <v>1</v>
      </c>
      <c r="C1282" s="2">
        <f>IFERROR(__xludf.DUMMYFUNCTION("""COMPUTED_VALUE"""),286.0)</f>
        <v>286</v>
      </c>
      <c r="D1282" s="3">
        <f>IFERROR(__xludf.DUMMYFUNCTION("""COMPUTED_VALUE"""),122.0)</f>
        <v>122</v>
      </c>
      <c r="E1282" s="2"/>
      <c r="F1282" s="2"/>
    </row>
    <row r="1283">
      <c r="A1283" s="2">
        <f>IFERROR(__xludf.DUMMYFUNCTION("""COMPUTED_VALUE"""),101622.0)</f>
        <v>101622</v>
      </c>
      <c r="B1283" s="2">
        <f>IFERROR(__xludf.DUMMYFUNCTION("""COMPUTED_VALUE"""),1.0)</f>
        <v>1</v>
      </c>
      <c r="C1283" s="2">
        <f>IFERROR(__xludf.DUMMYFUNCTION("""COMPUTED_VALUE"""),765.0)</f>
        <v>765</v>
      </c>
      <c r="D1283" s="3">
        <f>IFERROR(__xludf.DUMMYFUNCTION("""COMPUTED_VALUE"""),661.0)</f>
        <v>661</v>
      </c>
      <c r="E1283" s="2"/>
      <c r="F1283" s="2"/>
    </row>
    <row r="1284">
      <c r="A1284" s="2">
        <f>IFERROR(__xludf.DUMMYFUNCTION("""COMPUTED_VALUE"""),101623.0)</f>
        <v>101623</v>
      </c>
      <c r="B1284" s="2">
        <f>IFERROR(__xludf.DUMMYFUNCTION("""COMPUTED_VALUE"""),1.0)</f>
        <v>1</v>
      </c>
      <c r="C1284" s="2">
        <f>IFERROR(__xludf.DUMMYFUNCTION("""COMPUTED_VALUE"""),947.0)</f>
        <v>947</v>
      </c>
      <c r="D1284" s="3">
        <f>IFERROR(__xludf.DUMMYFUNCTION("""COMPUTED_VALUE"""),599.0)</f>
        <v>599</v>
      </c>
      <c r="E1284" s="2"/>
      <c r="F1284" s="2"/>
    </row>
    <row r="1285">
      <c r="A1285" s="2">
        <f>IFERROR(__xludf.DUMMYFUNCTION("""COMPUTED_VALUE"""),4513.0)</f>
        <v>4513</v>
      </c>
      <c r="B1285" s="2">
        <f>IFERROR(__xludf.DUMMYFUNCTION("""COMPUTED_VALUE"""),1.0)</f>
        <v>1</v>
      </c>
      <c r="C1285" s="2">
        <f>IFERROR(__xludf.DUMMYFUNCTION("""COMPUTED_VALUE"""),526.0)</f>
        <v>526</v>
      </c>
      <c r="D1285" s="3">
        <f>IFERROR(__xludf.DUMMYFUNCTION("""COMPUTED_VALUE"""),395.0)</f>
        <v>395</v>
      </c>
      <c r="E1285" s="2"/>
      <c r="F1285" s="2"/>
    </row>
    <row r="1286">
      <c r="A1286" s="2">
        <f>IFERROR(__xludf.DUMMYFUNCTION("""COMPUTED_VALUE"""),24648.0)</f>
        <v>24648</v>
      </c>
      <c r="B1286" s="2">
        <f>IFERROR(__xludf.DUMMYFUNCTION("""COMPUTED_VALUE"""),0.0)</f>
        <v>0</v>
      </c>
      <c r="C1286" s="2">
        <f>IFERROR(__xludf.DUMMYFUNCTION("""COMPUTED_VALUE"""),598.0)</f>
        <v>598</v>
      </c>
      <c r="D1286" s="3">
        <f>IFERROR(__xludf.DUMMYFUNCTION("""COMPUTED_VALUE"""),144.0)</f>
        <v>144</v>
      </c>
      <c r="E1286" s="2"/>
      <c r="F1286" s="2"/>
    </row>
    <row r="1287">
      <c r="A1287" s="2">
        <f>IFERROR(__xludf.DUMMYFUNCTION("""COMPUTED_VALUE"""),16386.0)</f>
        <v>16386</v>
      </c>
      <c r="B1287" s="2">
        <f>IFERROR(__xludf.DUMMYFUNCTION("""COMPUTED_VALUE"""),1.0)</f>
        <v>1</v>
      </c>
      <c r="C1287" s="2">
        <f>IFERROR(__xludf.DUMMYFUNCTION("""COMPUTED_VALUE"""),26.0)</f>
        <v>26</v>
      </c>
      <c r="D1287" s="3">
        <f>IFERROR(__xludf.DUMMYFUNCTION("""COMPUTED_VALUE"""),14.0)</f>
        <v>14</v>
      </c>
      <c r="E1287" s="2"/>
      <c r="F1287" s="2"/>
    </row>
    <row r="1288">
      <c r="A1288" s="2">
        <f>IFERROR(__xludf.DUMMYFUNCTION("""COMPUTED_VALUE"""),16383.0)</f>
        <v>16383</v>
      </c>
      <c r="B1288" s="2">
        <f>IFERROR(__xludf.DUMMYFUNCTION("""COMPUTED_VALUE"""),1.0)</f>
        <v>1</v>
      </c>
      <c r="C1288" s="2">
        <f>IFERROR(__xludf.DUMMYFUNCTION("""COMPUTED_VALUE"""),876.0)</f>
        <v>876</v>
      </c>
      <c r="D1288" s="3">
        <f>IFERROR(__xludf.DUMMYFUNCTION("""COMPUTED_VALUE"""),641.0)</f>
        <v>641</v>
      </c>
      <c r="E1288" s="2"/>
      <c r="F1288" s="2"/>
    </row>
    <row r="1289">
      <c r="A1289" s="2">
        <f>IFERROR(__xludf.DUMMYFUNCTION("""COMPUTED_VALUE"""),113588.0)</f>
        <v>113588</v>
      </c>
      <c r="B1289" s="2">
        <f>IFERROR(__xludf.DUMMYFUNCTION("""COMPUTED_VALUE"""),1.0)</f>
        <v>1</v>
      </c>
      <c r="C1289" s="2">
        <f>IFERROR(__xludf.DUMMYFUNCTION("""COMPUTED_VALUE"""),679.0)</f>
        <v>679</v>
      </c>
      <c r="D1289" s="3">
        <f>IFERROR(__xludf.DUMMYFUNCTION("""COMPUTED_VALUE"""),376.0)</f>
        <v>376</v>
      </c>
      <c r="E1289" s="2"/>
      <c r="F1289" s="2"/>
    </row>
    <row r="1290">
      <c r="A1290" s="2">
        <f>IFERROR(__xludf.DUMMYFUNCTION("""COMPUTED_VALUE"""),99392.0)</f>
        <v>99392</v>
      </c>
      <c r="B1290" s="2">
        <f>IFERROR(__xludf.DUMMYFUNCTION("""COMPUTED_VALUE"""),0.0)</f>
        <v>0</v>
      </c>
      <c r="C1290" s="2">
        <f>IFERROR(__xludf.DUMMYFUNCTION("""COMPUTED_VALUE"""),671.0)</f>
        <v>671</v>
      </c>
      <c r="D1290" s="3">
        <f>IFERROR(__xludf.DUMMYFUNCTION("""COMPUTED_VALUE"""),328.0)</f>
        <v>328</v>
      </c>
      <c r="E1290" s="2"/>
      <c r="F1290" s="2"/>
    </row>
    <row r="1291">
      <c r="A1291" s="2">
        <f>IFERROR(__xludf.DUMMYFUNCTION("""COMPUTED_VALUE"""),99412.0)</f>
        <v>99412</v>
      </c>
      <c r="B1291" s="2">
        <f>IFERROR(__xludf.DUMMYFUNCTION("""COMPUTED_VALUE"""),1.0)</f>
        <v>1</v>
      </c>
      <c r="C1291" s="2">
        <f>IFERROR(__xludf.DUMMYFUNCTION("""COMPUTED_VALUE"""),954.0)</f>
        <v>954</v>
      </c>
      <c r="D1291" s="3">
        <f>IFERROR(__xludf.DUMMYFUNCTION("""COMPUTED_VALUE"""),853.0)</f>
        <v>853</v>
      </c>
      <c r="E1291" s="2"/>
      <c r="F1291" s="2"/>
    </row>
    <row r="1292">
      <c r="A1292" s="2">
        <f>IFERROR(__xludf.DUMMYFUNCTION("""COMPUTED_VALUE"""),25306.0)</f>
        <v>25306</v>
      </c>
      <c r="B1292" s="2">
        <f>IFERROR(__xludf.DUMMYFUNCTION("""COMPUTED_VALUE"""),0.0)</f>
        <v>0</v>
      </c>
      <c r="C1292" s="2">
        <f>IFERROR(__xludf.DUMMYFUNCTION("""COMPUTED_VALUE"""),233.0)</f>
        <v>233</v>
      </c>
      <c r="D1292" s="3">
        <f>IFERROR(__xludf.DUMMYFUNCTION("""COMPUTED_VALUE"""),182.0)</f>
        <v>182</v>
      </c>
      <c r="E1292" s="2"/>
      <c r="F1292" s="2"/>
    </row>
    <row r="1293">
      <c r="A1293" s="2">
        <f>IFERROR(__xludf.DUMMYFUNCTION("""COMPUTED_VALUE"""),99399.0)</f>
        <v>99399</v>
      </c>
      <c r="B1293" s="2">
        <f>IFERROR(__xludf.DUMMYFUNCTION("""COMPUTED_VALUE"""),0.0)</f>
        <v>0</v>
      </c>
      <c r="C1293" s="2">
        <f>IFERROR(__xludf.DUMMYFUNCTION("""COMPUTED_VALUE"""),97.0)</f>
        <v>97</v>
      </c>
      <c r="D1293" s="3">
        <f>IFERROR(__xludf.DUMMYFUNCTION("""COMPUTED_VALUE"""),1.0)</f>
        <v>1</v>
      </c>
      <c r="E1293" s="2"/>
      <c r="F1293" s="2"/>
    </row>
    <row r="1294">
      <c r="A1294" s="2">
        <f>IFERROR(__xludf.DUMMYFUNCTION("""COMPUTED_VALUE"""),25304.0)</f>
        <v>25304</v>
      </c>
      <c r="B1294" s="2">
        <f>IFERROR(__xludf.DUMMYFUNCTION("""COMPUTED_VALUE"""),0.0)</f>
        <v>0</v>
      </c>
      <c r="C1294" s="2">
        <f>IFERROR(__xludf.DUMMYFUNCTION("""COMPUTED_VALUE"""),464.0)</f>
        <v>464</v>
      </c>
      <c r="D1294" s="3">
        <f>IFERROR(__xludf.DUMMYFUNCTION("""COMPUTED_VALUE"""),367.0)</f>
        <v>367</v>
      </c>
      <c r="E1294" s="2"/>
      <c r="F1294" s="2"/>
    </row>
    <row r="1295">
      <c r="A1295" s="2">
        <f>IFERROR(__xludf.DUMMYFUNCTION("""COMPUTED_VALUE"""),99400.0)</f>
        <v>99400</v>
      </c>
      <c r="B1295" s="2">
        <f>IFERROR(__xludf.DUMMYFUNCTION("""COMPUTED_VALUE"""),1.0)</f>
        <v>1</v>
      </c>
      <c r="C1295" s="2">
        <f>IFERROR(__xludf.DUMMYFUNCTION("""COMPUTED_VALUE"""),892.0)</f>
        <v>892</v>
      </c>
      <c r="D1295" s="3">
        <f>IFERROR(__xludf.DUMMYFUNCTION("""COMPUTED_VALUE"""),289.0)</f>
        <v>289</v>
      </c>
      <c r="E1295" s="2"/>
      <c r="F1295" s="2"/>
    </row>
    <row r="1296">
      <c r="A1296" s="2">
        <f>IFERROR(__xludf.DUMMYFUNCTION("""COMPUTED_VALUE"""),80484.0)</f>
        <v>80484</v>
      </c>
      <c r="B1296" s="2">
        <f>IFERROR(__xludf.DUMMYFUNCTION("""COMPUTED_VALUE"""),1.0)</f>
        <v>1</v>
      </c>
      <c r="C1296" s="2">
        <f>IFERROR(__xludf.DUMMYFUNCTION("""COMPUTED_VALUE"""),122.0)</f>
        <v>122</v>
      </c>
      <c r="D1296" s="3">
        <f>IFERROR(__xludf.DUMMYFUNCTION("""COMPUTED_VALUE"""),14.0)</f>
        <v>14</v>
      </c>
      <c r="E1296" s="2"/>
      <c r="F1296" s="2"/>
    </row>
    <row r="1297">
      <c r="A1297" s="2">
        <f>IFERROR(__xludf.DUMMYFUNCTION("""COMPUTED_VALUE"""),14477.0)</f>
        <v>14477</v>
      </c>
      <c r="B1297" s="2">
        <f>IFERROR(__xludf.DUMMYFUNCTION("""COMPUTED_VALUE"""),1.0)</f>
        <v>1</v>
      </c>
      <c r="C1297" s="2">
        <f>IFERROR(__xludf.DUMMYFUNCTION("""COMPUTED_VALUE"""),417.0)</f>
        <v>417</v>
      </c>
      <c r="D1297" s="3">
        <f>IFERROR(__xludf.DUMMYFUNCTION("""COMPUTED_VALUE"""),84.0)</f>
        <v>84</v>
      </c>
      <c r="E1297" s="2"/>
      <c r="F1297" s="2"/>
    </row>
    <row r="1298">
      <c r="A1298" s="2">
        <f>IFERROR(__xludf.DUMMYFUNCTION("""COMPUTED_VALUE"""),95056.0)</f>
        <v>95056</v>
      </c>
      <c r="B1298" s="2">
        <f>IFERROR(__xludf.DUMMYFUNCTION("""COMPUTED_VALUE"""),0.0)</f>
        <v>0</v>
      </c>
      <c r="C1298" s="2">
        <f>IFERROR(__xludf.DUMMYFUNCTION("""COMPUTED_VALUE"""),149.0)</f>
        <v>149</v>
      </c>
      <c r="D1298" s="3">
        <f>IFERROR(__xludf.DUMMYFUNCTION("""COMPUTED_VALUE"""),75.0)</f>
        <v>75</v>
      </c>
      <c r="E1298" s="2"/>
      <c r="F1298" s="2"/>
    </row>
    <row r="1299">
      <c r="A1299" s="2">
        <f>IFERROR(__xludf.DUMMYFUNCTION("""COMPUTED_VALUE"""),78519.0)</f>
        <v>78519</v>
      </c>
      <c r="B1299" s="2">
        <f>IFERROR(__xludf.DUMMYFUNCTION("""COMPUTED_VALUE"""),0.0)</f>
        <v>0</v>
      </c>
      <c r="C1299" s="2">
        <f>IFERROR(__xludf.DUMMYFUNCTION("""COMPUTED_VALUE"""),349.0)</f>
        <v>349</v>
      </c>
      <c r="D1299" s="3">
        <f>IFERROR(__xludf.DUMMYFUNCTION("""COMPUTED_VALUE"""),159.0)</f>
        <v>159</v>
      </c>
      <c r="E1299" s="2"/>
      <c r="F1299" s="2"/>
    </row>
    <row r="1300">
      <c r="A1300" s="2">
        <f>IFERROR(__xludf.DUMMYFUNCTION("""COMPUTED_VALUE"""),90377.0)</f>
        <v>90377</v>
      </c>
      <c r="B1300" s="2">
        <f>IFERROR(__xludf.DUMMYFUNCTION("""COMPUTED_VALUE"""),0.0)</f>
        <v>0</v>
      </c>
      <c r="C1300" s="2">
        <f>IFERROR(__xludf.DUMMYFUNCTION("""COMPUTED_VALUE"""),42.0)</f>
        <v>42</v>
      </c>
      <c r="D1300" s="3">
        <f>IFERROR(__xludf.DUMMYFUNCTION("""COMPUTED_VALUE"""),18.0)</f>
        <v>18</v>
      </c>
      <c r="E1300" s="2"/>
      <c r="F1300" s="2"/>
    </row>
    <row r="1301">
      <c r="A1301" s="2">
        <f>IFERROR(__xludf.DUMMYFUNCTION("""COMPUTED_VALUE"""),90375.0)</f>
        <v>90375</v>
      </c>
      <c r="B1301" s="2">
        <f>IFERROR(__xludf.DUMMYFUNCTION("""COMPUTED_VALUE"""),1.0)</f>
        <v>1</v>
      </c>
      <c r="C1301" s="2">
        <f>IFERROR(__xludf.DUMMYFUNCTION("""COMPUTED_VALUE"""),663.0)</f>
        <v>663</v>
      </c>
      <c r="D1301" s="3">
        <f>IFERROR(__xludf.DUMMYFUNCTION("""COMPUTED_VALUE"""),271.0)</f>
        <v>271</v>
      </c>
      <c r="E1301" s="2"/>
      <c r="F1301" s="2"/>
    </row>
    <row r="1302">
      <c r="A1302" s="2">
        <f>IFERROR(__xludf.DUMMYFUNCTION("""COMPUTED_VALUE"""),112073.0)</f>
        <v>112073</v>
      </c>
      <c r="B1302" s="2">
        <f>IFERROR(__xludf.DUMMYFUNCTION("""COMPUTED_VALUE"""),1.0)</f>
        <v>1</v>
      </c>
      <c r="C1302" s="2">
        <f>IFERROR(__xludf.DUMMYFUNCTION("""COMPUTED_VALUE"""),117.0)</f>
        <v>117</v>
      </c>
      <c r="D1302" s="3">
        <f>IFERROR(__xludf.DUMMYFUNCTION("""COMPUTED_VALUE"""),46.0)</f>
        <v>46</v>
      </c>
      <c r="E1302" s="2"/>
      <c r="F1302" s="2"/>
    </row>
    <row r="1303">
      <c r="A1303" s="2">
        <f>IFERROR(__xludf.DUMMYFUNCTION("""COMPUTED_VALUE"""),101339.0)</f>
        <v>101339</v>
      </c>
      <c r="B1303" s="2">
        <f>IFERROR(__xludf.DUMMYFUNCTION("""COMPUTED_VALUE"""),1.0)</f>
        <v>1</v>
      </c>
      <c r="C1303" s="2">
        <f>IFERROR(__xludf.DUMMYFUNCTION("""COMPUTED_VALUE"""),527.0)</f>
        <v>527</v>
      </c>
      <c r="D1303" s="3">
        <f>IFERROR(__xludf.DUMMYFUNCTION("""COMPUTED_VALUE"""),506.0)</f>
        <v>506</v>
      </c>
      <c r="E1303" s="2"/>
      <c r="F1303" s="2"/>
    </row>
    <row r="1304">
      <c r="A1304" s="2">
        <f>IFERROR(__xludf.DUMMYFUNCTION("""COMPUTED_VALUE"""),92421.0)</f>
        <v>92421</v>
      </c>
      <c r="B1304" s="2">
        <f>IFERROR(__xludf.DUMMYFUNCTION("""COMPUTED_VALUE"""),1.0)</f>
        <v>1</v>
      </c>
      <c r="C1304" s="2">
        <f>IFERROR(__xludf.DUMMYFUNCTION("""COMPUTED_VALUE"""),617.0)</f>
        <v>617</v>
      </c>
      <c r="D1304" s="3">
        <f>IFERROR(__xludf.DUMMYFUNCTION("""COMPUTED_VALUE"""),428.0)</f>
        <v>428</v>
      </c>
      <c r="E1304" s="2"/>
      <c r="F1304" s="2"/>
    </row>
    <row r="1305">
      <c r="A1305" s="2">
        <f>IFERROR(__xludf.DUMMYFUNCTION("""COMPUTED_VALUE"""),112079.0)</f>
        <v>112079</v>
      </c>
      <c r="B1305" s="2">
        <f>IFERROR(__xludf.DUMMYFUNCTION("""COMPUTED_VALUE"""),0.0)</f>
        <v>0</v>
      </c>
      <c r="C1305" s="2">
        <f>IFERROR(__xludf.DUMMYFUNCTION("""COMPUTED_VALUE"""),102.0)</f>
        <v>102</v>
      </c>
      <c r="D1305" s="3">
        <f>IFERROR(__xludf.DUMMYFUNCTION("""COMPUTED_VALUE"""),95.0)</f>
        <v>95</v>
      </c>
      <c r="E1305" s="2"/>
      <c r="F1305" s="2"/>
    </row>
    <row r="1306">
      <c r="A1306" s="2">
        <f>IFERROR(__xludf.DUMMYFUNCTION("""COMPUTED_VALUE"""),44716.0)</f>
        <v>44716</v>
      </c>
      <c r="B1306" s="2">
        <f>IFERROR(__xludf.DUMMYFUNCTION("""COMPUTED_VALUE"""),0.0)</f>
        <v>0</v>
      </c>
      <c r="C1306" s="2">
        <f>IFERROR(__xludf.DUMMYFUNCTION("""COMPUTED_VALUE"""),609.0)</f>
        <v>609</v>
      </c>
      <c r="D1306" s="3">
        <f>IFERROR(__xludf.DUMMYFUNCTION("""COMPUTED_VALUE"""),63.0)</f>
        <v>63</v>
      </c>
      <c r="E1306" s="2"/>
      <c r="F1306" s="2"/>
    </row>
    <row r="1307">
      <c r="A1307" s="2">
        <f>IFERROR(__xludf.DUMMYFUNCTION("""COMPUTED_VALUE"""),89640.0)</f>
        <v>89640</v>
      </c>
      <c r="B1307" s="2">
        <f>IFERROR(__xludf.DUMMYFUNCTION("""COMPUTED_VALUE"""),1.0)</f>
        <v>1</v>
      </c>
      <c r="C1307" s="2">
        <f>IFERROR(__xludf.DUMMYFUNCTION("""COMPUTED_VALUE"""),566.0)</f>
        <v>566</v>
      </c>
      <c r="D1307" s="3">
        <f>IFERROR(__xludf.DUMMYFUNCTION("""COMPUTED_VALUE"""),195.0)</f>
        <v>195</v>
      </c>
      <c r="E1307" s="2"/>
      <c r="F1307" s="2"/>
    </row>
    <row r="1308">
      <c r="A1308" s="2">
        <f>IFERROR(__xludf.DUMMYFUNCTION("""COMPUTED_VALUE"""),112072.0)</f>
        <v>112072</v>
      </c>
      <c r="B1308" s="2">
        <f>IFERROR(__xludf.DUMMYFUNCTION("""COMPUTED_VALUE"""),1.0)</f>
        <v>1</v>
      </c>
      <c r="C1308" s="2">
        <f>IFERROR(__xludf.DUMMYFUNCTION("""COMPUTED_VALUE"""),108.0)</f>
        <v>108</v>
      </c>
      <c r="D1308" s="3">
        <f>IFERROR(__xludf.DUMMYFUNCTION("""COMPUTED_VALUE"""),11.0)</f>
        <v>11</v>
      </c>
      <c r="E1308" s="2"/>
      <c r="F1308" s="2"/>
    </row>
    <row r="1309">
      <c r="A1309" s="2">
        <f>IFERROR(__xludf.DUMMYFUNCTION("""COMPUTED_VALUE"""),112991.0)</f>
        <v>112991</v>
      </c>
      <c r="B1309" s="2">
        <f>IFERROR(__xludf.DUMMYFUNCTION("""COMPUTED_VALUE"""),1.0)</f>
        <v>1</v>
      </c>
      <c r="C1309" s="2">
        <f>IFERROR(__xludf.DUMMYFUNCTION("""COMPUTED_VALUE"""),307.0)</f>
        <v>307</v>
      </c>
      <c r="D1309" s="3">
        <f>IFERROR(__xludf.DUMMYFUNCTION("""COMPUTED_VALUE"""),282.0)</f>
        <v>282</v>
      </c>
      <c r="E1309" s="2"/>
      <c r="F1309" s="2"/>
    </row>
    <row r="1310">
      <c r="A1310" s="2">
        <f>IFERROR(__xludf.DUMMYFUNCTION("""COMPUTED_VALUE"""),101587.0)</f>
        <v>101587</v>
      </c>
      <c r="B1310" s="2">
        <f>IFERROR(__xludf.DUMMYFUNCTION("""COMPUTED_VALUE"""),1.0)</f>
        <v>1</v>
      </c>
      <c r="C1310" s="2">
        <f>IFERROR(__xludf.DUMMYFUNCTION("""COMPUTED_VALUE"""),491.0)</f>
        <v>491</v>
      </c>
      <c r="D1310" s="3">
        <f>IFERROR(__xludf.DUMMYFUNCTION("""COMPUTED_VALUE"""),253.0)</f>
        <v>253</v>
      </c>
      <c r="E1310" s="2"/>
      <c r="F1310" s="2"/>
    </row>
    <row r="1311">
      <c r="A1311" s="2">
        <f>IFERROR(__xludf.DUMMYFUNCTION("""COMPUTED_VALUE"""),10525.0)</f>
        <v>10525</v>
      </c>
      <c r="B1311" s="2">
        <f>IFERROR(__xludf.DUMMYFUNCTION("""COMPUTED_VALUE"""),0.0)</f>
        <v>0</v>
      </c>
      <c r="C1311" s="2">
        <f>IFERROR(__xludf.DUMMYFUNCTION("""COMPUTED_VALUE"""),575.0)</f>
        <v>575</v>
      </c>
      <c r="D1311" s="3">
        <f>IFERROR(__xludf.DUMMYFUNCTION("""COMPUTED_VALUE"""),105.0)</f>
        <v>105</v>
      </c>
      <c r="E1311" s="2"/>
      <c r="F1311" s="2"/>
    </row>
    <row r="1312">
      <c r="A1312" s="2">
        <f>IFERROR(__xludf.DUMMYFUNCTION("""COMPUTED_VALUE"""),121349.0)</f>
        <v>121349</v>
      </c>
      <c r="B1312" s="2">
        <f>IFERROR(__xludf.DUMMYFUNCTION("""COMPUTED_VALUE"""),1.0)</f>
        <v>1</v>
      </c>
      <c r="C1312" s="2">
        <f>IFERROR(__xludf.DUMMYFUNCTION("""COMPUTED_VALUE"""),173.0)</f>
        <v>173</v>
      </c>
      <c r="D1312" s="3">
        <f>IFERROR(__xludf.DUMMYFUNCTION("""COMPUTED_VALUE"""),118.0)</f>
        <v>118</v>
      </c>
      <c r="E1312" s="2"/>
      <c r="F1312" s="2"/>
    </row>
    <row r="1313">
      <c r="A1313" s="2">
        <f>IFERROR(__xludf.DUMMYFUNCTION("""COMPUTED_VALUE"""),127811.0)</f>
        <v>127811</v>
      </c>
      <c r="B1313" s="2">
        <f>IFERROR(__xludf.DUMMYFUNCTION("""COMPUTED_VALUE"""),1.0)</f>
        <v>1</v>
      </c>
      <c r="C1313" s="2">
        <f>IFERROR(__xludf.DUMMYFUNCTION("""COMPUTED_VALUE"""),429.0)</f>
        <v>429</v>
      </c>
      <c r="D1313" s="3">
        <f>IFERROR(__xludf.DUMMYFUNCTION("""COMPUTED_VALUE"""),353.0)</f>
        <v>353</v>
      </c>
      <c r="E1313" s="2"/>
      <c r="F1313" s="2"/>
    </row>
    <row r="1314">
      <c r="A1314" s="2">
        <f>IFERROR(__xludf.DUMMYFUNCTION("""COMPUTED_VALUE"""),81507.0)</f>
        <v>81507</v>
      </c>
      <c r="B1314" s="2">
        <f>IFERROR(__xludf.DUMMYFUNCTION("""COMPUTED_VALUE"""),1.0)</f>
        <v>1</v>
      </c>
      <c r="C1314" s="2">
        <f>IFERROR(__xludf.DUMMYFUNCTION("""COMPUTED_VALUE"""),50.0)</f>
        <v>50</v>
      </c>
      <c r="D1314" s="3">
        <f>IFERROR(__xludf.DUMMYFUNCTION("""COMPUTED_VALUE"""),4.0)</f>
        <v>4</v>
      </c>
      <c r="E1314" s="2"/>
      <c r="F1314" s="2"/>
    </row>
    <row r="1315">
      <c r="A1315" s="2">
        <f>IFERROR(__xludf.DUMMYFUNCTION("""COMPUTED_VALUE"""),78412.0)</f>
        <v>78412</v>
      </c>
      <c r="B1315" s="2">
        <f>IFERROR(__xludf.DUMMYFUNCTION("""COMPUTED_VALUE"""),0.0)</f>
        <v>0</v>
      </c>
      <c r="C1315" s="2">
        <f>IFERROR(__xludf.DUMMYFUNCTION("""COMPUTED_VALUE"""),931.0)</f>
        <v>931</v>
      </c>
      <c r="D1315" s="3">
        <f>IFERROR(__xludf.DUMMYFUNCTION("""COMPUTED_VALUE"""),796.0)</f>
        <v>796</v>
      </c>
      <c r="E1315" s="2"/>
      <c r="F1315" s="2"/>
    </row>
    <row r="1316">
      <c r="A1316" s="2">
        <f>IFERROR(__xludf.DUMMYFUNCTION("""COMPUTED_VALUE"""),109312.0)</f>
        <v>109312</v>
      </c>
      <c r="B1316" s="2">
        <f>IFERROR(__xludf.DUMMYFUNCTION("""COMPUTED_VALUE"""),0.0)</f>
        <v>0</v>
      </c>
      <c r="C1316" s="2">
        <f>IFERROR(__xludf.DUMMYFUNCTION("""COMPUTED_VALUE"""),457.0)</f>
        <v>457</v>
      </c>
      <c r="D1316" s="3">
        <f>IFERROR(__xludf.DUMMYFUNCTION("""COMPUTED_VALUE"""),450.0)</f>
        <v>450</v>
      </c>
      <c r="E1316" s="2"/>
      <c r="F1316" s="2"/>
    </row>
    <row r="1317">
      <c r="A1317" s="2">
        <f>IFERROR(__xludf.DUMMYFUNCTION("""COMPUTED_VALUE"""),78502.0)</f>
        <v>78502</v>
      </c>
      <c r="B1317" s="2">
        <f>IFERROR(__xludf.DUMMYFUNCTION("""COMPUTED_VALUE"""),1.0)</f>
        <v>1</v>
      </c>
      <c r="C1317" s="2">
        <f>IFERROR(__xludf.DUMMYFUNCTION("""COMPUTED_VALUE"""),975.0)</f>
        <v>975</v>
      </c>
      <c r="D1317" s="3">
        <f>IFERROR(__xludf.DUMMYFUNCTION("""COMPUTED_VALUE"""),934.0)</f>
        <v>934</v>
      </c>
      <c r="E1317" s="2"/>
      <c r="F1317" s="2"/>
    </row>
    <row r="1318">
      <c r="A1318" s="2">
        <f>IFERROR(__xludf.DUMMYFUNCTION("""COMPUTED_VALUE"""),111498.0)</f>
        <v>111498</v>
      </c>
      <c r="B1318" s="2">
        <f>IFERROR(__xludf.DUMMYFUNCTION("""COMPUTED_VALUE"""),0.0)</f>
        <v>0</v>
      </c>
      <c r="C1318" s="2">
        <f>IFERROR(__xludf.DUMMYFUNCTION("""COMPUTED_VALUE"""),877.0)</f>
        <v>877</v>
      </c>
      <c r="D1318" s="3">
        <f>IFERROR(__xludf.DUMMYFUNCTION("""COMPUTED_VALUE"""),476.0)</f>
        <v>476</v>
      </c>
      <c r="E1318" s="2"/>
      <c r="F1318" s="2"/>
    </row>
    <row r="1319">
      <c r="A1319" s="2">
        <f>IFERROR(__xludf.DUMMYFUNCTION("""COMPUTED_VALUE"""),87242.0)</f>
        <v>87242</v>
      </c>
      <c r="B1319" s="2">
        <f>IFERROR(__xludf.DUMMYFUNCTION("""COMPUTED_VALUE"""),0.0)</f>
        <v>0</v>
      </c>
      <c r="C1319" s="2">
        <f>IFERROR(__xludf.DUMMYFUNCTION("""COMPUTED_VALUE"""),757.0)</f>
        <v>757</v>
      </c>
      <c r="D1319" s="3">
        <f>IFERROR(__xludf.DUMMYFUNCTION("""COMPUTED_VALUE"""),548.0)</f>
        <v>548</v>
      </c>
      <c r="E1319" s="2"/>
      <c r="F1319" s="2"/>
    </row>
    <row r="1320">
      <c r="A1320" s="2">
        <f>IFERROR(__xludf.DUMMYFUNCTION("""COMPUTED_VALUE"""),139286.0)</f>
        <v>139286</v>
      </c>
      <c r="B1320" s="2">
        <f>IFERROR(__xludf.DUMMYFUNCTION("""COMPUTED_VALUE"""),1.0)</f>
        <v>1</v>
      </c>
      <c r="C1320" s="2">
        <f>IFERROR(__xludf.DUMMYFUNCTION("""COMPUTED_VALUE"""),197.0)</f>
        <v>197</v>
      </c>
      <c r="D1320" s="3">
        <f>IFERROR(__xludf.DUMMYFUNCTION("""COMPUTED_VALUE"""),117.0)</f>
        <v>117</v>
      </c>
      <c r="E1320" s="2"/>
      <c r="F1320" s="2"/>
    </row>
    <row r="1321">
      <c r="A1321" s="2">
        <f>IFERROR(__xludf.DUMMYFUNCTION("""COMPUTED_VALUE"""),10524.0)</f>
        <v>10524</v>
      </c>
      <c r="B1321" s="2">
        <f>IFERROR(__xludf.DUMMYFUNCTION("""COMPUTED_VALUE"""),0.0)</f>
        <v>0</v>
      </c>
      <c r="C1321" s="2">
        <f>IFERROR(__xludf.DUMMYFUNCTION("""COMPUTED_VALUE"""),64.0)</f>
        <v>64</v>
      </c>
      <c r="D1321" s="3">
        <f>IFERROR(__xludf.DUMMYFUNCTION("""COMPUTED_VALUE"""),1.0)</f>
        <v>1</v>
      </c>
      <c r="E1321" s="2"/>
      <c r="F1321" s="2"/>
    </row>
    <row r="1322">
      <c r="A1322" s="2">
        <f>IFERROR(__xludf.DUMMYFUNCTION("""COMPUTED_VALUE"""),78397.0)</f>
        <v>78397</v>
      </c>
      <c r="B1322" s="2">
        <f>IFERROR(__xludf.DUMMYFUNCTION("""COMPUTED_VALUE"""),1.0)</f>
        <v>1</v>
      </c>
      <c r="C1322" s="2">
        <f>IFERROR(__xludf.DUMMYFUNCTION("""COMPUTED_VALUE"""),839.0)</f>
        <v>839</v>
      </c>
      <c r="D1322" s="3">
        <f>IFERROR(__xludf.DUMMYFUNCTION("""COMPUTED_VALUE"""),826.0)</f>
        <v>826</v>
      </c>
      <c r="E1322" s="2"/>
      <c r="F1322" s="2"/>
    </row>
    <row r="1323">
      <c r="A1323" s="2">
        <f>IFERROR(__xludf.DUMMYFUNCTION("""COMPUTED_VALUE"""),78421.0)</f>
        <v>78421</v>
      </c>
      <c r="B1323" s="2">
        <f>IFERROR(__xludf.DUMMYFUNCTION("""COMPUTED_VALUE"""),0.0)</f>
        <v>0</v>
      </c>
      <c r="C1323" s="2">
        <f>IFERROR(__xludf.DUMMYFUNCTION("""COMPUTED_VALUE"""),363.0)</f>
        <v>363</v>
      </c>
      <c r="D1323" s="3">
        <f>IFERROR(__xludf.DUMMYFUNCTION("""COMPUTED_VALUE"""),119.0)</f>
        <v>119</v>
      </c>
      <c r="E1323" s="2"/>
      <c r="F1323" s="2"/>
    </row>
    <row r="1324">
      <c r="A1324" s="2">
        <f>IFERROR(__xludf.DUMMYFUNCTION("""COMPUTED_VALUE"""),23420.0)</f>
        <v>23420</v>
      </c>
      <c r="B1324" s="2">
        <f>IFERROR(__xludf.DUMMYFUNCTION("""COMPUTED_VALUE"""),1.0)</f>
        <v>1</v>
      </c>
      <c r="C1324" s="2">
        <f>IFERROR(__xludf.DUMMYFUNCTION("""COMPUTED_VALUE"""),151.0)</f>
        <v>151</v>
      </c>
      <c r="D1324" s="3">
        <f>IFERROR(__xludf.DUMMYFUNCTION("""COMPUTED_VALUE"""),83.0)</f>
        <v>83</v>
      </c>
      <c r="E1324" s="2"/>
      <c r="F1324" s="2"/>
    </row>
    <row r="1325">
      <c r="A1325" s="2">
        <f>IFERROR(__xludf.DUMMYFUNCTION("""COMPUTED_VALUE"""),78498.0)</f>
        <v>78498</v>
      </c>
      <c r="B1325" s="2">
        <f>IFERROR(__xludf.DUMMYFUNCTION("""COMPUTED_VALUE"""),1.0)</f>
        <v>1</v>
      </c>
      <c r="C1325" s="2">
        <f>IFERROR(__xludf.DUMMYFUNCTION("""COMPUTED_VALUE"""),925.0)</f>
        <v>925</v>
      </c>
      <c r="D1325" s="3">
        <f>IFERROR(__xludf.DUMMYFUNCTION("""COMPUTED_VALUE"""),599.0)</f>
        <v>599</v>
      </c>
      <c r="E1325" s="2"/>
      <c r="F1325" s="2"/>
    </row>
    <row r="1326">
      <c r="A1326" s="2">
        <f>IFERROR(__xludf.DUMMYFUNCTION("""COMPUTED_VALUE"""),78427.0)</f>
        <v>78427</v>
      </c>
      <c r="B1326" s="2">
        <f>IFERROR(__xludf.DUMMYFUNCTION("""COMPUTED_VALUE"""),0.0)</f>
        <v>0</v>
      </c>
      <c r="C1326" s="2">
        <f>IFERROR(__xludf.DUMMYFUNCTION("""COMPUTED_VALUE"""),846.0)</f>
        <v>846</v>
      </c>
      <c r="D1326" s="3">
        <f>IFERROR(__xludf.DUMMYFUNCTION("""COMPUTED_VALUE"""),563.0)</f>
        <v>563</v>
      </c>
      <c r="E1326" s="2"/>
      <c r="F1326" s="2"/>
    </row>
    <row r="1327">
      <c r="A1327" s="2">
        <f>IFERROR(__xludf.DUMMYFUNCTION("""COMPUTED_VALUE"""),119256.0)</f>
        <v>119256</v>
      </c>
      <c r="B1327" s="2">
        <f>IFERROR(__xludf.DUMMYFUNCTION("""COMPUTED_VALUE"""),0.0)</f>
        <v>0</v>
      </c>
      <c r="C1327" s="2">
        <f>IFERROR(__xludf.DUMMYFUNCTION("""COMPUTED_VALUE"""),186.0)</f>
        <v>186</v>
      </c>
      <c r="D1327" s="3">
        <f>IFERROR(__xludf.DUMMYFUNCTION("""COMPUTED_VALUE"""),85.0)</f>
        <v>85</v>
      </c>
      <c r="E1327" s="2"/>
      <c r="F1327" s="2"/>
    </row>
    <row r="1328">
      <c r="A1328" s="2">
        <f>IFERROR(__xludf.DUMMYFUNCTION("""COMPUTED_VALUE"""),44731.0)</f>
        <v>44731</v>
      </c>
      <c r="B1328" s="2">
        <f>IFERROR(__xludf.DUMMYFUNCTION("""COMPUTED_VALUE"""),1.0)</f>
        <v>1</v>
      </c>
      <c r="C1328" s="2">
        <f>IFERROR(__xludf.DUMMYFUNCTION("""COMPUTED_VALUE"""),702.0)</f>
        <v>702</v>
      </c>
      <c r="D1328" s="3">
        <f>IFERROR(__xludf.DUMMYFUNCTION("""COMPUTED_VALUE"""),605.0)</f>
        <v>605</v>
      </c>
      <c r="E1328" s="2"/>
      <c r="F1328" s="2"/>
    </row>
    <row r="1329">
      <c r="A1329" s="2">
        <f>IFERROR(__xludf.DUMMYFUNCTION("""COMPUTED_VALUE"""),86852.0)</f>
        <v>86852</v>
      </c>
      <c r="B1329" s="2">
        <f>IFERROR(__xludf.DUMMYFUNCTION("""COMPUTED_VALUE"""),0.0)</f>
        <v>0</v>
      </c>
      <c r="C1329" s="2">
        <f>IFERROR(__xludf.DUMMYFUNCTION("""COMPUTED_VALUE"""),855.0)</f>
        <v>855</v>
      </c>
      <c r="D1329" s="3">
        <f>IFERROR(__xludf.DUMMYFUNCTION("""COMPUTED_VALUE"""),317.0)</f>
        <v>317</v>
      </c>
      <c r="E1329" s="2"/>
      <c r="F1329" s="2"/>
    </row>
    <row r="1330">
      <c r="A1330" s="2">
        <f>IFERROR(__xludf.DUMMYFUNCTION("""COMPUTED_VALUE"""),103137.0)</f>
        <v>103137</v>
      </c>
      <c r="B1330" s="2">
        <f>IFERROR(__xludf.DUMMYFUNCTION("""COMPUTED_VALUE"""),0.0)</f>
        <v>0</v>
      </c>
      <c r="C1330" s="2">
        <f>IFERROR(__xludf.DUMMYFUNCTION("""COMPUTED_VALUE"""),666.0)</f>
        <v>666</v>
      </c>
      <c r="D1330" s="3">
        <f>IFERROR(__xludf.DUMMYFUNCTION("""COMPUTED_VALUE"""),163.0)</f>
        <v>163</v>
      </c>
      <c r="E1330" s="2"/>
      <c r="F1330" s="2"/>
    </row>
    <row r="1331">
      <c r="A1331" s="2">
        <f>IFERROR(__xludf.DUMMYFUNCTION("""COMPUTED_VALUE"""),95079.0)</f>
        <v>95079</v>
      </c>
      <c r="B1331" s="2">
        <f>IFERROR(__xludf.DUMMYFUNCTION("""COMPUTED_VALUE"""),0.0)</f>
        <v>0</v>
      </c>
      <c r="C1331" s="2">
        <f>IFERROR(__xludf.DUMMYFUNCTION("""COMPUTED_VALUE"""),236.0)</f>
        <v>236</v>
      </c>
      <c r="D1331" s="3">
        <f>IFERROR(__xludf.DUMMYFUNCTION("""COMPUTED_VALUE"""),219.0)</f>
        <v>219</v>
      </c>
      <c r="E1331" s="2"/>
      <c r="F1331" s="2"/>
    </row>
    <row r="1332">
      <c r="A1332" s="2">
        <f>IFERROR(__xludf.DUMMYFUNCTION("""COMPUTED_VALUE"""),121568.0)</f>
        <v>121568</v>
      </c>
      <c r="B1332" s="2">
        <f>IFERROR(__xludf.DUMMYFUNCTION("""COMPUTED_VALUE"""),1.0)</f>
        <v>1</v>
      </c>
      <c r="C1332" s="2">
        <f>IFERROR(__xludf.DUMMYFUNCTION("""COMPUTED_VALUE"""),514.0)</f>
        <v>514</v>
      </c>
      <c r="D1332" s="3">
        <f>IFERROR(__xludf.DUMMYFUNCTION("""COMPUTED_VALUE"""),365.0)</f>
        <v>365</v>
      </c>
      <c r="E1332" s="2"/>
      <c r="F1332" s="2"/>
    </row>
    <row r="1333">
      <c r="A1333" s="2">
        <f>IFERROR(__xludf.DUMMYFUNCTION("""COMPUTED_VALUE"""),89645.0)</f>
        <v>89645</v>
      </c>
      <c r="B1333" s="2">
        <f>IFERROR(__xludf.DUMMYFUNCTION("""COMPUTED_VALUE"""),0.0)</f>
        <v>0</v>
      </c>
      <c r="C1333" s="2">
        <f>IFERROR(__xludf.DUMMYFUNCTION("""COMPUTED_VALUE"""),33.0)</f>
        <v>33</v>
      </c>
      <c r="D1333" s="3">
        <f>IFERROR(__xludf.DUMMYFUNCTION("""COMPUTED_VALUE"""),17.0)</f>
        <v>17</v>
      </c>
      <c r="E1333" s="2"/>
      <c r="F1333" s="2"/>
    </row>
    <row r="1334">
      <c r="A1334" s="2">
        <f>IFERROR(__xludf.DUMMYFUNCTION("""COMPUTED_VALUE"""),44691.0)</f>
        <v>44691</v>
      </c>
      <c r="B1334" s="2">
        <f>IFERROR(__xludf.DUMMYFUNCTION("""COMPUTED_VALUE"""),0.0)</f>
        <v>0</v>
      </c>
      <c r="C1334" s="2">
        <f>IFERROR(__xludf.DUMMYFUNCTION("""COMPUTED_VALUE"""),32.0)</f>
        <v>32</v>
      </c>
      <c r="D1334" s="3">
        <f>IFERROR(__xludf.DUMMYFUNCTION("""COMPUTED_VALUE"""),11.0)</f>
        <v>11</v>
      </c>
      <c r="E1334" s="2"/>
      <c r="F1334" s="2"/>
    </row>
    <row r="1335">
      <c r="A1335" s="2">
        <f>IFERROR(__xludf.DUMMYFUNCTION("""COMPUTED_VALUE"""),94055.0)</f>
        <v>94055</v>
      </c>
      <c r="B1335" s="2">
        <f>IFERROR(__xludf.DUMMYFUNCTION("""COMPUTED_VALUE"""),0.0)</f>
        <v>0</v>
      </c>
      <c r="C1335" s="2">
        <f>IFERROR(__xludf.DUMMYFUNCTION("""COMPUTED_VALUE"""),169.0)</f>
        <v>169</v>
      </c>
      <c r="D1335" s="3">
        <f>IFERROR(__xludf.DUMMYFUNCTION("""COMPUTED_VALUE"""),60.0)</f>
        <v>60</v>
      </c>
      <c r="E1335" s="2"/>
      <c r="F1335" s="2"/>
    </row>
    <row r="1336">
      <c r="A1336" s="2">
        <f>IFERROR(__xludf.DUMMYFUNCTION("""COMPUTED_VALUE"""),101586.0)</f>
        <v>101586</v>
      </c>
      <c r="B1336" s="2">
        <f>IFERROR(__xludf.DUMMYFUNCTION("""COMPUTED_VALUE"""),1.0)</f>
        <v>1</v>
      </c>
      <c r="C1336" s="2">
        <f>IFERROR(__xludf.DUMMYFUNCTION("""COMPUTED_VALUE"""),258.0)</f>
        <v>258</v>
      </c>
      <c r="D1336" s="3">
        <f>IFERROR(__xludf.DUMMYFUNCTION("""COMPUTED_VALUE"""),149.0)</f>
        <v>149</v>
      </c>
      <c r="E1336" s="2"/>
      <c r="F1336" s="2"/>
    </row>
    <row r="1337">
      <c r="A1337" s="2">
        <f>IFERROR(__xludf.DUMMYFUNCTION("""COMPUTED_VALUE"""),106731.0)</f>
        <v>106731</v>
      </c>
      <c r="B1337" s="2">
        <f>IFERROR(__xludf.DUMMYFUNCTION("""COMPUTED_VALUE"""),0.0)</f>
        <v>0</v>
      </c>
      <c r="C1337" s="2">
        <f>IFERROR(__xludf.DUMMYFUNCTION("""COMPUTED_VALUE"""),360.0)</f>
        <v>360</v>
      </c>
      <c r="D1337" s="3">
        <f>IFERROR(__xludf.DUMMYFUNCTION("""COMPUTED_VALUE"""),256.0)</f>
        <v>256</v>
      </c>
      <c r="E1337" s="2"/>
      <c r="F1337" s="2"/>
    </row>
    <row r="1338">
      <c r="A1338" s="2">
        <f>IFERROR(__xludf.DUMMYFUNCTION("""COMPUTED_VALUE"""),87072.0)</f>
        <v>87072</v>
      </c>
      <c r="B1338" s="2">
        <f>IFERROR(__xludf.DUMMYFUNCTION("""COMPUTED_VALUE"""),0.0)</f>
        <v>0</v>
      </c>
      <c r="C1338" s="2">
        <f>IFERROR(__xludf.DUMMYFUNCTION("""COMPUTED_VALUE"""),226.0)</f>
        <v>226</v>
      </c>
      <c r="D1338" s="3">
        <f>IFERROR(__xludf.DUMMYFUNCTION("""COMPUTED_VALUE"""),93.0)</f>
        <v>93</v>
      </c>
      <c r="E1338" s="2"/>
      <c r="F1338" s="2"/>
    </row>
    <row r="1339">
      <c r="A1339" s="2">
        <f>IFERROR(__xludf.DUMMYFUNCTION("""COMPUTED_VALUE"""),44711.0)</f>
        <v>44711</v>
      </c>
      <c r="B1339" s="2">
        <f>IFERROR(__xludf.DUMMYFUNCTION("""COMPUTED_VALUE"""),0.0)</f>
        <v>0</v>
      </c>
      <c r="C1339" s="2">
        <f>IFERROR(__xludf.DUMMYFUNCTION("""COMPUTED_VALUE"""),167.0)</f>
        <v>167</v>
      </c>
      <c r="D1339" s="3">
        <f>IFERROR(__xludf.DUMMYFUNCTION("""COMPUTED_VALUE"""),119.0)</f>
        <v>119</v>
      </c>
      <c r="E1339" s="2"/>
      <c r="F1339" s="2"/>
    </row>
    <row r="1340">
      <c r="A1340" s="2">
        <f>IFERROR(__xludf.DUMMYFUNCTION("""COMPUTED_VALUE"""),78428.0)</f>
        <v>78428</v>
      </c>
      <c r="B1340" s="2">
        <f>IFERROR(__xludf.DUMMYFUNCTION("""COMPUTED_VALUE"""),0.0)</f>
        <v>0</v>
      </c>
      <c r="C1340" s="2">
        <f>IFERROR(__xludf.DUMMYFUNCTION("""COMPUTED_VALUE"""),579.0)</f>
        <v>579</v>
      </c>
      <c r="D1340" s="3">
        <f>IFERROR(__xludf.DUMMYFUNCTION("""COMPUTED_VALUE"""),559.0)</f>
        <v>559</v>
      </c>
      <c r="E1340" s="2"/>
      <c r="F1340" s="2"/>
    </row>
    <row r="1341">
      <c r="A1341" s="2">
        <f>IFERROR(__xludf.DUMMYFUNCTION("""COMPUTED_VALUE"""),10531.0)</f>
        <v>10531</v>
      </c>
      <c r="B1341" s="2">
        <f>IFERROR(__xludf.DUMMYFUNCTION("""COMPUTED_VALUE"""),1.0)</f>
        <v>1</v>
      </c>
      <c r="C1341" s="2">
        <f>IFERROR(__xludf.DUMMYFUNCTION("""COMPUTED_VALUE"""),937.0)</f>
        <v>937</v>
      </c>
      <c r="D1341" s="3">
        <f>IFERROR(__xludf.DUMMYFUNCTION("""COMPUTED_VALUE"""),45.0)</f>
        <v>45</v>
      </c>
      <c r="E1341" s="2"/>
      <c r="F1341" s="2"/>
    </row>
    <row r="1342">
      <c r="A1342" s="2">
        <f>IFERROR(__xludf.DUMMYFUNCTION("""COMPUTED_VALUE"""),158475.0)</f>
        <v>158475</v>
      </c>
      <c r="B1342" s="2">
        <f>IFERROR(__xludf.DUMMYFUNCTION("""COMPUTED_VALUE"""),0.0)</f>
        <v>0</v>
      </c>
      <c r="C1342" s="2">
        <f>IFERROR(__xludf.DUMMYFUNCTION("""COMPUTED_VALUE"""),372.0)</f>
        <v>372</v>
      </c>
      <c r="D1342" s="3">
        <f>IFERROR(__xludf.DUMMYFUNCTION("""COMPUTED_VALUE"""),327.0)</f>
        <v>327</v>
      </c>
      <c r="E1342" s="2"/>
      <c r="F1342" s="2"/>
    </row>
    <row r="1343">
      <c r="A1343" s="2">
        <f>IFERROR(__xludf.DUMMYFUNCTION("""COMPUTED_VALUE"""),89633.0)</f>
        <v>89633</v>
      </c>
      <c r="B1343" s="2">
        <f>IFERROR(__xludf.DUMMYFUNCTION("""COMPUTED_VALUE"""),1.0)</f>
        <v>1</v>
      </c>
      <c r="C1343" s="2">
        <f>IFERROR(__xludf.DUMMYFUNCTION("""COMPUTED_VALUE"""),492.0)</f>
        <v>492</v>
      </c>
      <c r="D1343" s="3">
        <f>IFERROR(__xludf.DUMMYFUNCTION("""COMPUTED_VALUE"""),492.0)</f>
        <v>492</v>
      </c>
      <c r="E1343" s="2"/>
      <c r="F1343" s="2"/>
    </row>
    <row r="1344">
      <c r="A1344" s="2">
        <f>IFERROR(__xludf.DUMMYFUNCTION("""COMPUTED_VALUE"""),86836.0)</f>
        <v>86836</v>
      </c>
      <c r="B1344" s="2">
        <f>IFERROR(__xludf.DUMMYFUNCTION("""COMPUTED_VALUE"""),1.0)</f>
        <v>1</v>
      </c>
      <c r="C1344" s="2">
        <f>IFERROR(__xludf.DUMMYFUNCTION("""COMPUTED_VALUE"""),45.0)</f>
        <v>45</v>
      </c>
      <c r="D1344" s="3">
        <f>IFERROR(__xludf.DUMMYFUNCTION("""COMPUTED_VALUE"""),28.0)</f>
        <v>28</v>
      </c>
      <c r="E1344" s="2"/>
      <c r="F1344" s="2"/>
    </row>
    <row r="1345">
      <c r="A1345" s="2">
        <f>IFERROR(__xludf.DUMMYFUNCTION("""COMPUTED_VALUE"""),44698.0)</f>
        <v>44698</v>
      </c>
      <c r="B1345" s="2">
        <f>IFERROR(__xludf.DUMMYFUNCTION("""COMPUTED_VALUE"""),0.0)</f>
        <v>0</v>
      </c>
      <c r="C1345" s="2">
        <f>IFERROR(__xludf.DUMMYFUNCTION("""COMPUTED_VALUE"""),984.0)</f>
        <v>984</v>
      </c>
      <c r="D1345" s="3">
        <f>IFERROR(__xludf.DUMMYFUNCTION("""COMPUTED_VALUE"""),61.0)</f>
        <v>61</v>
      </c>
      <c r="E1345" s="2"/>
      <c r="F1345" s="2"/>
    </row>
    <row r="1346">
      <c r="A1346" s="2">
        <f>IFERROR(__xludf.DUMMYFUNCTION("""COMPUTED_VALUE"""),127870.0)</f>
        <v>127870</v>
      </c>
      <c r="B1346" s="2">
        <f>IFERROR(__xludf.DUMMYFUNCTION("""COMPUTED_VALUE"""),1.0)</f>
        <v>1</v>
      </c>
      <c r="C1346" s="2">
        <f>IFERROR(__xludf.DUMMYFUNCTION("""COMPUTED_VALUE"""),187.0)</f>
        <v>187</v>
      </c>
      <c r="D1346" s="3">
        <f>IFERROR(__xludf.DUMMYFUNCTION("""COMPUTED_VALUE"""),121.0)</f>
        <v>121</v>
      </c>
      <c r="E1346" s="2"/>
      <c r="F1346" s="2"/>
    </row>
    <row r="1347">
      <c r="A1347" s="2">
        <f>IFERROR(__xludf.DUMMYFUNCTION("""COMPUTED_VALUE"""),141891.0)</f>
        <v>141891</v>
      </c>
      <c r="B1347" s="2">
        <f>IFERROR(__xludf.DUMMYFUNCTION("""COMPUTED_VALUE"""),1.0)</f>
        <v>1</v>
      </c>
      <c r="C1347" s="2">
        <f>IFERROR(__xludf.DUMMYFUNCTION("""COMPUTED_VALUE"""),877.0)</f>
        <v>877</v>
      </c>
      <c r="D1347" s="3">
        <f>IFERROR(__xludf.DUMMYFUNCTION("""COMPUTED_VALUE"""),289.0)</f>
        <v>289</v>
      </c>
      <c r="E1347" s="2"/>
      <c r="F1347" s="2"/>
    </row>
    <row r="1348">
      <c r="A1348" s="2">
        <f>IFERROR(__xludf.DUMMYFUNCTION("""COMPUTED_VALUE"""),78426.0)</f>
        <v>78426</v>
      </c>
      <c r="B1348" s="2">
        <f>IFERROR(__xludf.DUMMYFUNCTION("""COMPUTED_VALUE"""),1.0)</f>
        <v>1</v>
      </c>
      <c r="C1348" s="2">
        <f>IFERROR(__xludf.DUMMYFUNCTION("""COMPUTED_VALUE"""),968.0)</f>
        <v>968</v>
      </c>
      <c r="D1348" s="3">
        <f>IFERROR(__xludf.DUMMYFUNCTION("""COMPUTED_VALUE"""),551.0)</f>
        <v>551</v>
      </c>
      <c r="E1348" s="2"/>
      <c r="F1348" s="2"/>
    </row>
    <row r="1349">
      <c r="A1349" s="2">
        <f>IFERROR(__xludf.DUMMYFUNCTION("""COMPUTED_VALUE"""),77792.0)</f>
        <v>77792</v>
      </c>
      <c r="B1349" s="2">
        <f>IFERROR(__xludf.DUMMYFUNCTION("""COMPUTED_VALUE"""),0.0)</f>
        <v>0</v>
      </c>
      <c r="C1349" s="2">
        <f>IFERROR(__xludf.DUMMYFUNCTION("""COMPUTED_VALUE"""),370.0)</f>
        <v>370</v>
      </c>
      <c r="D1349" s="3">
        <f>IFERROR(__xludf.DUMMYFUNCTION("""COMPUTED_VALUE"""),237.0)</f>
        <v>237</v>
      </c>
      <c r="E1349" s="2"/>
      <c r="F1349" s="2"/>
    </row>
    <row r="1350">
      <c r="A1350" s="2">
        <f>IFERROR(__xludf.DUMMYFUNCTION("""COMPUTED_VALUE"""),21027.0)</f>
        <v>21027</v>
      </c>
      <c r="B1350" s="2">
        <f>IFERROR(__xludf.DUMMYFUNCTION("""COMPUTED_VALUE"""),0.0)</f>
        <v>0</v>
      </c>
      <c r="C1350" s="2">
        <f>IFERROR(__xludf.DUMMYFUNCTION("""COMPUTED_VALUE"""),971.0)</f>
        <v>971</v>
      </c>
      <c r="D1350" s="3">
        <f>IFERROR(__xludf.DUMMYFUNCTION("""COMPUTED_VALUE"""),594.0)</f>
        <v>594</v>
      </c>
      <c r="E1350" s="2"/>
      <c r="F1350" s="2"/>
    </row>
    <row r="1351">
      <c r="A1351" s="2">
        <f>IFERROR(__xludf.DUMMYFUNCTION("""COMPUTED_VALUE"""),95063.0)</f>
        <v>95063</v>
      </c>
      <c r="B1351" s="2">
        <f>IFERROR(__xludf.DUMMYFUNCTION("""COMPUTED_VALUE"""),1.0)</f>
        <v>1</v>
      </c>
      <c r="C1351" s="2">
        <f>IFERROR(__xludf.DUMMYFUNCTION("""COMPUTED_VALUE"""),246.0)</f>
        <v>246</v>
      </c>
      <c r="D1351" s="3">
        <f>IFERROR(__xludf.DUMMYFUNCTION("""COMPUTED_VALUE"""),146.0)</f>
        <v>146</v>
      </c>
      <c r="E1351" s="2"/>
      <c r="F1351" s="2"/>
    </row>
    <row r="1352">
      <c r="A1352" s="2">
        <f>IFERROR(__xludf.DUMMYFUNCTION("""COMPUTED_VALUE"""),30314.0)</f>
        <v>30314</v>
      </c>
      <c r="B1352" s="2">
        <f>IFERROR(__xludf.DUMMYFUNCTION("""COMPUTED_VALUE"""),0.0)</f>
        <v>0</v>
      </c>
      <c r="C1352" s="2">
        <f>IFERROR(__xludf.DUMMYFUNCTION("""COMPUTED_VALUE"""),617.0)</f>
        <v>617</v>
      </c>
      <c r="D1352" s="3">
        <f>IFERROR(__xludf.DUMMYFUNCTION("""COMPUTED_VALUE"""),318.0)</f>
        <v>318</v>
      </c>
      <c r="E1352" s="2"/>
      <c r="F1352" s="2"/>
    </row>
    <row r="1353">
      <c r="A1353" s="2">
        <f>IFERROR(__xludf.DUMMYFUNCTION("""COMPUTED_VALUE"""),19838.0)</f>
        <v>19838</v>
      </c>
      <c r="B1353" s="2">
        <f>IFERROR(__xludf.DUMMYFUNCTION("""COMPUTED_VALUE"""),1.0)</f>
        <v>1</v>
      </c>
      <c r="C1353" s="2">
        <f>IFERROR(__xludf.DUMMYFUNCTION("""COMPUTED_VALUE"""),677.0)</f>
        <v>677</v>
      </c>
      <c r="D1353" s="3">
        <f>IFERROR(__xludf.DUMMYFUNCTION("""COMPUTED_VALUE"""),479.0)</f>
        <v>479</v>
      </c>
      <c r="E1353" s="2"/>
      <c r="F1353" s="2"/>
    </row>
    <row r="1354">
      <c r="A1354" s="2">
        <f>IFERROR(__xludf.DUMMYFUNCTION("""COMPUTED_VALUE"""),111283.0)</f>
        <v>111283</v>
      </c>
      <c r="B1354" s="2">
        <f>IFERROR(__xludf.DUMMYFUNCTION("""COMPUTED_VALUE"""),1.0)</f>
        <v>1</v>
      </c>
      <c r="C1354" s="2">
        <f>IFERROR(__xludf.DUMMYFUNCTION("""COMPUTED_VALUE"""),520.0)</f>
        <v>520</v>
      </c>
      <c r="D1354" s="3">
        <f>IFERROR(__xludf.DUMMYFUNCTION("""COMPUTED_VALUE"""),386.0)</f>
        <v>386</v>
      </c>
      <c r="E1354" s="2"/>
      <c r="F1354" s="2"/>
    </row>
    <row r="1355">
      <c r="A1355" s="2">
        <f>IFERROR(__xludf.DUMMYFUNCTION("""COMPUTED_VALUE"""),87568.0)</f>
        <v>87568</v>
      </c>
      <c r="B1355" s="2">
        <f>IFERROR(__xludf.DUMMYFUNCTION("""COMPUTED_VALUE"""),0.0)</f>
        <v>0</v>
      </c>
      <c r="C1355" s="2">
        <f>IFERROR(__xludf.DUMMYFUNCTION("""COMPUTED_VALUE"""),1.0)</f>
        <v>1</v>
      </c>
      <c r="D1355" s="3">
        <f>IFERROR(__xludf.DUMMYFUNCTION("""COMPUTED_VALUE"""),1.0)</f>
        <v>1</v>
      </c>
      <c r="E1355" s="2"/>
      <c r="F1355" s="2"/>
    </row>
    <row r="1356">
      <c r="A1356" s="2">
        <f>IFERROR(__xludf.DUMMYFUNCTION("""COMPUTED_VALUE"""),78419.0)</f>
        <v>78419</v>
      </c>
      <c r="B1356" s="2">
        <f>IFERROR(__xludf.DUMMYFUNCTION("""COMPUTED_VALUE"""),0.0)</f>
        <v>0</v>
      </c>
      <c r="C1356" s="2">
        <f>IFERROR(__xludf.DUMMYFUNCTION("""COMPUTED_VALUE"""),690.0)</f>
        <v>690</v>
      </c>
      <c r="D1356" s="3">
        <f>IFERROR(__xludf.DUMMYFUNCTION("""COMPUTED_VALUE"""),487.0)</f>
        <v>487</v>
      </c>
      <c r="E1356" s="2"/>
      <c r="F1356" s="2"/>
    </row>
    <row r="1357">
      <c r="A1357" s="2">
        <f>IFERROR(__xludf.DUMMYFUNCTION("""COMPUTED_VALUE"""),106806.0)</f>
        <v>106806</v>
      </c>
      <c r="B1357" s="2">
        <f>IFERROR(__xludf.DUMMYFUNCTION("""COMPUTED_VALUE"""),1.0)</f>
        <v>1</v>
      </c>
      <c r="C1357" s="2">
        <f>IFERROR(__xludf.DUMMYFUNCTION("""COMPUTED_VALUE"""),167.0)</f>
        <v>167</v>
      </c>
      <c r="D1357" s="3">
        <f>IFERROR(__xludf.DUMMYFUNCTION("""COMPUTED_VALUE"""),166.0)</f>
        <v>166</v>
      </c>
      <c r="E1357" s="2"/>
      <c r="F1357" s="2"/>
    </row>
    <row r="1358">
      <c r="A1358" s="2">
        <f>IFERROR(__xludf.DUMMYFUNCTION("""COMPUTED_VALUE"""),78420.0)</f>
        <v>78420</v>
      </c>
      <c r="B1358" s="2">
        <f>IFERROR(__xludf.DUMMYFUNCTION("""COMPUTED_VALUE"""),1.0)</f>
        <v>1</v>
      </c>
      <c r="C1358" s="2">
        <f>IFERROR(__xludf.DUMMYFUNCTION("""COMPUTED_VALUE"""),458.0)</f>
        <v>458</v>
      </c>
      <c r="D1358" s="3">
        <f>IFERROR(__xludf.DUMMYFUNCTION("""COMPUTED_VALUE"""),428.0)</f>
        <v>428</v>
      </c>
      <c r="E1358" s="2"/>
      <c r="F1358" s="2"/>
    </row>
    <row r="1359">
      <c r="A1359" s="2">
        <f>IFERROR(__xludf.DUMMYFUNCTION("""COMPUTED_VALUE"""),78442.0)</f>
        <v>78442</v>
      </c>
      <c r="B1359" s="2">
        <f>IFERROR(__xludf.DUMMYFUNCTION("""COMPUTED_VALUE"""),1.0)</f>
        <v>1</v>
      </c>
      <c r="C1359" s="2">
        <f>IFERROR(__xludf.DUMMYFUNCTION("""COMPUTED_VALUE"""),739.0)</f>
        <v>739</v>
      </c>
      <c r="D1359" s="3">
        <f>IFERROR(__xludf.DUMMYFUNCTION("""COMPUTED_VALUE"""),540.0)</f>
        <v>540</v>
      </c>
      <c r="E1359" s="2"/>
      <c r="F1359" s="2"/>
    </row>
    <row r="1360">
      <c r="A1360" s="2">
        <f>IFERROR(__xludf.DUMMYFUNCTION("""COMPUTED_VALUE"""),78492.0)</f>
        <v>78492</v>
      </c>
      <c r="B1360" s="2">
        <f>IFERROR(__xludf.DUMMYFUNCTION("""COMPUTED_VALUE"""),1.0)</f>
        <v>1</v>
      </c>
      <c r="C1360" s="2">
        <f>IFERROR(__xludf.DUMMYFUNCTION("""COMPUTED_VALUE"""),162.0)</f>
        <v>162</v>
      </c>
      <c r="D1360" s="3">
        <f>IFERROR(__xludf.DUMMYFUNCTION("""COMPUTED_VALUE"""),19.0)</f>
        <v>19</v>
      </c>
      <c r="E1360" s="2"/>
      <c r="F1360" s="2"/>
    </row>
    <row r="1361">
      <c r="A1361" s="2">
        <f>IFERROR(__xludf.DUMMYFUNCTION("""COMPUTED_VALUE"""),80297.0)</f>
        <v>80297</v>
      </c>
      <c r="B1361" s="2">
        <f>IFERROR(__xludf.DUMMYFUNCTION("""COMPUTED_VALUE"""),0.0)</f>
        <v>0</v>
      </c>
      <c r="C1361" s="2">
        <f>IFERROR(__xludf.DUMMYFUNCTION("""COMPUTED_VALUE"""),769.0)</f>
        <v>769</v>
      </c>
      <c r="D1361" s="3">
        <f>IFERROR(__xludf.DUMMYFUNCTION("""COMPUTED_VALUE"""),635.0)</f>
        <v>635</v>
      </c>
      <c r="E1361" s="2"/>
      <c r="F1361" s="2"/>
    </row>
    <row r="1362">
      <c r="A1362" s="2">
        <f>IFERROR(__xludf.DUMMYFUNCTION("""COMPUTED_VALUE"""),44712.0)</f>
        <v>44712</v>
      </c>
      <c r="B1362" s="2">
        <f>IFERROR(__xludf.DUMMYFUNCTION("""COMPUTED_VALUE"""),1.0)</f>
        <v>1</v>
      </c>
      <c r="C1362" s="2">
        <f>IFERROR(__xludf.DUMMYFUNCTION("""COMPUTED_VALUE"""),575.0)</f>
        <v>575</v>
      </c>
      <c r="D1362" s="3">
        <f>IFERROR(__xludf.DUMMYFUNCTION("""COMPUTED_VALUE"""),155.0)</f>
        <v>155</v>
      </c>
      <c r="E1362" s="2"/>
      <c r="F1362" s="2"/>
    </row>
    <row r="1363">
      <c r="A1363" s="2">
        <f>IFERROR(__xludf.DUMMYFUNCTION("""COMPUTED_VALUE"""),89736.0)</f>
        <v>89736</v>
      </c>
      <c r="B1363" s="2">
        <f>IFERROR(__xludf.DUMMYFUNCTION("""COMPUTED_VALUE"""),0.0)</f>
        <v>0</v>
      </c>
      <c r="C1363" s="2">
        <f>IFERROR(__xludf.DUMMYFUNCTION("""COMPUTED_VALUE"""),929.0)</f>
        <v>929</v>
      </c>
      <c r="D1363" s="3">
        <f>IFERROR(__xludf.DUMMYFUNCTION("""COMPUTED_VALUE"""),75.0)</f>
        <v>75</v>
      </c>
      <c r="E1363" s="2"/>
      <c r="F1363" s="2"/>
    </row>
    <row r="1364">
      <c r="A1364" s="2">
        <f>IFERROR(__xludf.DUMMYFUNCTION("""COMPUTED_VALUE"""),83270.0)</f>
        <v>83270</v>
      </c>
      <c r="B1364" s="2">
        <f>IFERROR(__xludf.DUMMYFUNCTION("""COMPUTED_VALUE"""),1.0)</f>
        <v>1</v>
      </c>
      <c r="C1364" s="2">
        <f>IFERROR(__xludf.DUMMYFUNCTION("""COMPUTED_VALUE"""),179.0)</f>
        <v>179</v>
      </c>
      <c r="D1364" s="3">
        <f>IFERROR(__xludf.DUMMYFUNCTION("""COMPUTED_VALUE"""),18.0)</f>
        <v>18</v>
      </c>
      <c r="E1364" s="2"/>
      <c r="F1364" s="2"/>
    </row>
    <row r="1365">
      <c r="A1365" s="2">
        <f>IFERROR(__xludf.DUMMYFUNCTION("""COMPUTED_VALUE"""),101588.0)</f>
        <v>101588</v>
      </c>
      <c r="B1365" s="2">
        <f>IFERROR(__xludf.DUMMYFUNCTION("""COMPUTED_VALUE"""),0.0)</f>
        <v>0</v>
      </c>
      <c r="C1365" s="2">
        <f>IFERROR(__xludf.DUMMYFUNCTION("""COMPUTED_VALUE"""),604.0)</f>
        <v>604</v>
      </c>
      <c r="D1365" s="3">
        <f>IFERROR(__xludf.DUMMYFUNCTION("""COMPUTED_VALUE"""),590.0)</f>
        <v>590</v>
      </c>
      <c r="E1365" s="2"/>
      <c r="F1365" s="2"/>
    </row>
    <row r="1366">
      <c r="A1366" s="2">
        <f>IFERROR(__xludf.DUMMYFUNCTION("""COMPUTED_VALUE"""),104171.0)</f>
        <v>104171</v>
      </c>
      <c r="B1366" s="2">
        <f>IFERROR(__xludf.DUMMYFUNCTION("""COMPUTED_VALUE"""),1.0)</f>
        <v>1</v>
      </c>
      <c r="C1366" s="2">
        <f>IFERROR(__xludf.DUMMYFUNCTION("""COMPUTED_VALUE"""),537.0)</f>
        <v>537</v>
      </c>
      <c r="D1366" s="3">
        <f>IFERROR(__xludf.DUMMYFUNCTION("""COMPUTED_VALUE"""),533.0)</f>
        <v>533</v>
      </c>
      <c r="E1366" s="2"/>
      <c r="F1366" s="2"/>
    </row>
    <row r="1367">
      <c r="A1367" s="2">
        <f>IFERROR(__xludf.DUMMYFUNCTION("""COMPUTED_VALUE"""),101042.0)</f>
        <v>101042</v>
      </c>
      <c r="B1367" s="2">
        <f>IFERROR(__xludf.DUMMYFUNCTION("""COMPUTED_VALUE"""),1.0)</f>
        <v>1</v>
      </c>
      <c r="C1367" s="2">
        <f>IFERROR(__xludf.DUMMYFUNCTION("""COMPUTED_VALUE"""),818.0)</f>
        <v>818</v>
      </c>
      <c r="D1367" s="3">
        <f>IFERROR(__xludf.DUMMYFUNCTION("""COMPUTED_VALUE"""),244.0)</f>
        <v>244</v>
      </c>
      <c r="E1367" s="2"/>
      <c r="F1367" s="2"/>
    </row>
    <row r="1368">
      <c r="A1368" s="2">
        <f>IFERROR(__xludf.DUMMYFUNCTION("""COMPUTED_VALUE"""),108881.0)</f>
        <v>108881</v>
      </c>
      <c r="B1368" s="2">
        <f>IFERROR(__xludf.DUMMYFUNCTION("""COMPUTED_VALUE"""),1.0)</f>
        <v>1</v>
      </c>
      <c r="C1368" s="2">
        <f>IFERROR(__xludf.DUMMYFUNCTION("""COMPUTED_VALUE"""),503.0)</f>
        <v>503</v>
      </c>
      <c r="D1368" s="3">
        <f>IFERROR(__xludf.DUMMYFUNCTION("""COMPUTED_VALUE"""),289.0)</f>
        <v>289</v>
      </c>
      <c r="E1368" s="2"/>
      <c r="F1368" s="2"/>
    </row>
    <row r="1369">
      <c r="A1369" s="2">
        <f>IFERROR(__xludf.DUMMYFUNCTION("""COMPUTED_VALUE"""),87571.0)</f>
        <v>87571</v>
      </c>
      <c r="B1369" s="2">
        <f>IFERROR(__xludf.DUMMYFUNCTION("""COMPUTED_VALUE"""),0.0)</f>
        <v>0</v>
      </c>
      <c r="C1369" s="2">
        <f>IFERROR(__xludf.DUMMYFUNCTION("""COMPUTED_VALUE"""),81.0)</f>
        <v>81</v>
      </c>
      <c r="D1369" s="3">
        <f>IFERROR(__xludf.DUMMYFUNCTION("""COMPUTED_VALUE"""),36.0)</f>
        <v>36</v>
      </c>
      <c r="E1369" s="2"/>
      <c r="F1369" s="2"/>
    </row>
    <row r="1370">
      <c r="A1370" s="2">
        <f>IFERROR(__xludf.DUMMYFUNCTION("""COMPUTED_VALUE"""),44718.0)</f>
        <v>44718</v>
      </c>
      <c r="B1370" s="2">
        <f>IFERROR(__xludf.DUMMYFUNCTION("""COMPUTED_VALUE"""),1.0)</f>
        <v>1</v>
      </c>
      <c r="C1370" s="2">
        <f>IFERROR(__xludf.DUMMYFUNCTION("""COMPUTED_VALUE"""),555.0)</f>
        <v>555</v>
      </c>
      <c r="D1370" s="3">
        <f>IFERROR(__xludf.DUMMYFUNCTION("""COMPUTED_VALUE"""),307.0)</f>
        <v>307</v>
      </c>
      <c r="E1370" s="2"/>
      <c r="F1370" s="2"/>
    </row>
    <row r="1371">
      <c r="A1371" s="2">
        <f>IFERROR(__xludf.DUMMYFUNCTION("""COMPUTED_VALUE"""),44735.0)</f>
        <v>44735</v>
      </c>
      <c r="B1371" s="2">
        <f>IFERROR(__xludf.DUMMYFUNCTION("""COMPUTED_VALUE"""),0.0)</f>
        <v>0</v>
      </c>
      <c r="C1371" s="2">
        <f>IFERROR(__xludf.DUMMYFUNCTION("""COMPUTED_VALUE"""),50.0)</f>
        <v>50</v>
      </c>
      <c r="D1371" s="3">
        <f>IFERROR(__xludf.DUMMYFUNCTION("""COMPUTED_VALUE"""),46.0)</f>
        <v>46</v>
      </c>
      <c r="E1371" s="2"/>
      <c r="F1371" s="2"/>
    </row>
    <row r="1372">
      <c r="A1372" s="2">
        <f>IFERROR(__xludf.DUMMYFUNCTION("""COMPUTED_VALUE"""),21035.0)</f>
        <v>21035</v>
      </c>
      <c r="B1372" s="2">
        <f>IFERROR(__xludf.DUMMYFUNCTION("""COMPUTED_VALUE"""),1.0)</f>
        <v>1</v>
      </c>
      <c r="C1372" s="2">
        <f>IFERROR(__xludf.DUMMYFUNCTION("""COMPUTED_VALUE"""),881.0)</f>
        <v>881</v>
      </c>
      <c r="D1372" s="3">
        <f>IFERROR(__xludf.DUMMYFUNCTION("""COMPUTED_VALUE"""),607.0)</f>
        <v>607</v>
      </c>
      <c r="E1372" s="2"/>
      <c r="F1372" s="2"/>
    </row>
    <row r="1373">
      <c r="A1373" s="2">
        <f>IFERROR(__xludf.DUMMYFUNCTION("""COMPUTED_VALUE"""),30308.0)</f>
        <v>30308</v>
      </c>
      <c r="B1373" s="2">
        <f>IFERROR(__xludf.DUMMYFUNCTION("""COMPUTED_VALUE"""),0.0)</f>
        <v>0</v>
      </c>
      <c r="C1373" s="2">
        <f>IFERROR(__xludf.DUMMYFUNCTION("""COMPUTED_VALUE"""),424.0)</f>
        <v>424</v>
      </c>
      <c r="D1373" s="3">
        <f>IFERROR(__xludf.DUMMYFUNCTION("""COMPUTED_VALUE"""),165.0)</f>
        <v>165</v>
      </c>
      <c r="E1373" s="2"/>
      <c r="F1373" s="2"/>
    </row>
    <row r="1374">
      <c r="A1374" s="2">
        <f>IFERROR(__xludf.DUMMYFUNCTION("""COMPUTED_VALUE"""),44694.0)</f>
        <v>44694</v>
      </c>
      <c r="B1374" s="2">
        <f>IFERROR(__xludf.DUMMYFUNCTION("""COMPUTED_VALUE"""),1.0)</f>
        <v>1</v>
      </c>
      <c r="C1374" s="2">
        <f>IFERROR(__xludf.DUMMYFUNCTION("""COMPUTED_VALUE"""),286.0)</f>
        <v>286</v>
      </c>
      <c r="D1374" s="3">
        <f>IFERROR(__xludf.DUMMYFUNCTION("""COMPUTED_VALUE"""),208.0)</f>
        <v>208</v>
      </c>
      <c r="E1374" s="2"/>
      <c r="F1374" s="2"/>
    </row>
    <row r="1375">
      <c r="A1375" s="2">
        <f>IFERROR(__xludf.DUMMYFUNCTION("""COMPUTED_VALUE"""),78493.0)</f>
        <v>78493</v>
      </c>
      <c r="B1375" s="2">
        <f>IFERROR(__xludf.DUMMYFUNCTION("""COMPUTED_VALUE"""),0.0)</f>
        <v>0</v>
      </c>
      <c r="C1375" s="2">
        <f>IFERROR(__xludf.DUMMYFUNCTION("""COMPUTED_VALUE"""),325.0)</f>
        <v>325</v>
      </c>
      <c r="D1375" s="3">
        <f>IFERROR(__xludf.DUMMYFUNCTION("""COMPUTED_VALUE"""),95.0)</f>
        <v>95</v>
      </c>
      <c r="E1375" s="2"/>
      <c r="F1375" s="2"/>
    </row>
    <row r="1376">
      <c r="A1376" s="2">
        <f>IFERROR(__xludf.DUMMYFUNCTION("""COMPUTED_VALUE"""),78409.0)</f>
        <v>78409</v>
      </c>
      <c r="B1376" s="2">
        <f>IFERROR(__xludf.DUMMYFUNCTION("""COMPUTED_VALUE"""),0.0)</f>
        <v>0</v>
      </c>
      <c r="C1376" s="2">
        <f>IFERROR(__xludf.DUMMYFUNCTION("""COMPUTED_VALUE"""),153.0)</f>
        <v>153</v>
      </c>
      <c r="D1376" s="3">
        <f>IFERROR(__xludf.DUMMYFUNCTION("""COMPUTED_VALUE"""),45.0)</f>
        <v>45</v>
      </c>
      <c r="E1376" s="2"/>
      <c r="F1376" s="2"/>
    </row>
    <row r="1377">
      <c r="A1377" s="2">
        <f>IFERROR(__xludf.DUMMYFUNCTION("""COMPUTED_VALUE"""),86844.0)</f>
        <v>86844</v>
      </c>
      <c r="B1377" s="2">
        <f>IFERROR(__xludf.DUMMYFUNCTION("""COMPUTED_VALUE"""),1.0)</f>
        <v>1</v>
      </c>
      <c r="C1377" s="2">
        <f>IFERROR(__xludf.DUMMYFUNCTION("""COMPUTED_VALUE"""),214.0)</f>
        <v>214</v>
      </c>
      <c r="D1377" s="3">
        <f>IFERROR(__xludf.DUMMYFUNCTION("""COMPUTED_VALUE"""),151.0)</f>
        <v>151</v>
      </c>
      <c r="E1377" s="2"/>
      <c r="F1377" s="2"/>
    </row>
    <row r="1378">
      <c r="A1378" s="2">
        <f>IFERROR(__xludf.DUMMYFUNCTION("""COMPUTED_VALUE"""),86771.0)</f>
        <v>86771</v>
      </c>
      <c r="B1378" s="2">
        <f>IFERROR(__xludf.DUMMYFUNCTION("""COMPUTED_VALUE"""),0.0)</f>
        <v>0</v>
      </c>
      <c r="C1378" s="2">
        <f>IFERROR(__xludf.DUMMYFUNCTION("""COMPUTED_VALUE"""),144.0)</f>
        <v>144</v>
      </c>
      <c r="D1378" s="3">
        <f>IFERROR(__xludf.DUMMYFUNCTION("""COMPUTED_VALUE"""),90.0)</f>
        <v>90</v>
      </c>
      <c r="E1378" s="2"/>
      <c r="F1378" s="2"/>
    </row>
    <row r="1379">
      <c r="A1379" s="2">
        <f>IFERROR(__xludf.DUMMYFUNCTION("""COMPUTED_VALUE"""),78511.0)</f>
        <v>78511</v>
      </c>
      <c r="B1379" s="2">
        <f>IFERROR(__xludf.DUMMYFUNCTION("""COMPUTED_VALUE"""),0.0)</f>
        <v>0</v>
      </c>
      <c r="C1379" s="2">
        <f>IFERROR(__xludf.DUMMYFUNCTION("""COMPUTED_VALUE"""),572.0)</f>
        <v>572</v>
      </c>
      <c r="D1379" s="3">
        <f>IFERROR(__xludf.DUMMYFUNCTION("""COMPUTED_VALUE"""),290.0)</f>
        <v>290</v>
      </c>
      <c r="E1379" s="2"/>
      <c r="F1379" s="2"/>
    </row>
    <row r="1380">
      <c r="A1380" s="2">
        <f>IFERROR(__xludf.DUMMYFUNCTION("""COMPUTED_VALUE"""),83267.0)</f>
        <v>83267</v>
      </c>
      <c r="B1380" s="2">
        <f>IFERROR(__xludf.DUMMYFUNCTION("""COMPUTED_VALUE"""),0.0)</f>
        <v>0</v>
      </c>
      <c r="C1380" s="2">
        <f>IFERROR(__xludf.DUMMYFUNCTION("""COMPUTED_VALUE"""),315.0)</f>
        <v>315</v>
      </c>
      <c r="D1380" s="3">
        <f>IFERROR(__xludf.DUMMYFUNCTION("""COMPUTED_VALUE"""),43.0)</f>
        <v>43</v>
      </c>
      <c r="E1380" s="2"/>
      <c r="F1380" s="2"/>
    </row>
    <row r="1381">
      <c r="A1381" s="2">
        <f>IFERROR(__xludf.DUMMYFUNCTION("""COMPUTED_VALUE"""),78490.0)</f>
        <v>78490</v>
      </c>
      <c r="B1381" s="2">
        <f>IFERROR(__xludf.DUMMYFUNCTION("""COMPUTED_VALUE"""),1.0)</f>
        <v>1</v>
      </c>
      <c r="C1381" s="2">
        <f>IFERROR(__xludf.DUMMYFUNCTION("""COMPUTED_VALUE"""),630.0)</f>
        <v>630</v>
      </c>
      <c r="D1381" s="3">
        <f>IFERROR(__xludf.DUMMYFUNCTION("""COMPUTED_VALUE"""),175.0)</f>
        <v>175</v>
      </c>
      <c r="E1381" s="2"/>
      <c r="F1381" s="2"/>
    </row>
    <row r="1382">
      <c r="A1382" s="2">
        <f>IFERROR(__xludf.DUMMYFUNCTION("""COMPUTED_VALUE"""),73175.0)</f>
        <v>73175</v>
      </c>
      <c r="B1382" s="2">
        <f>IFERROR(__xludf.DUMMYFUNCTION("""COMPUTED_VALUE"""),0.0)</f>
        <v>0</v>
      </c>
      <c r="C1382" s="2">
        <f>IFERROR(__xludf.DUMMYFUNCTION("""COMPUTED_VALUE"""),542.0)</f>
        <v>542</v>
      </c>
      <c r="D1382" s="3">
        <f>IFERROR(__xludf.DUMMYFUNCTION("""COMPUTED_VALUE"""),440.0)</f>
        <v>440</v>
      </c>
      <c r="E1382" s="2"/>
      <c r="F1382" s="2"/>
    </row>
    <row r="1383">
      <c r="A1383" s="2">
        <f>IFERROR(__xludf.DUMMYFUNCTION("""COMPUTED_VALUE"""),44730.0)</f>
        <v>44730</v>
      </c>
      <c r="B1383" s="2">
        <f>IFERROR(__xludf.DUMMYFUNCTION("""COMPUTED_VALUE"""),1.0)</f>
        <v>1</v>
      </c>
      <c r="C1383" s="2">
        <f>IFERROR(__xludf.DUMMYFUNCTION("""COMPUTED_VALUE"""),357.0)</f>
        <v>357</v>
      </c>
      <c r="D1383" s="3">
        <f>IFERROR(__xludf.DUMMYFUNCTION("""COMPUTED_VALUE"""),162.0)</f>
        <v>162</v>
      </c>
      <c r="E1383" s="2"/>
      <c r="F1383" s="2"/>
    </row>
    <row r="1384">
      <c r="A1384" s="2">
        <f>IFERROR(__xludf.DUMMYFUNCTION("""COMPUTED_VALUE"""),10535.0)</f>
        <v>10535</v>
      </c>
      <c r="B1384" s="2">
        <f>IFERROR(__xludf.DUMMYFUNCTION("""COMPUTED_VALUE"""),0.0)</f>
        <v>0</v>
      </c>
      <c r="C1384" s="2">
        <f>IFERROR(__xludf.DUMMYFUNCTION("""COMPUTED_VALUE"""),810.0)</f>
        <v>810</v>
      </c>
      <c r="D1384" s="3">
        <f>IFERROR(__xludf.DUMMYFUNCTION("""COMPUTED_VALUE"""),120.0)</f>
        <v>120</v>
      </c>
      <c r="E1384" s="2"/>
      <c r="F1384" s="2"/>
    </row>
    <row r="1385">
      <c r="A1385" s="2">
        <f>IFERROR(__xludf.DUMMYFUNCTION("""COMPUTED_VALUE"""),80299.0)</f>
        <v>80299</v>
      </c>
      <c r="B1385" s="2">
        <f>IFERROR(__xludf.DUMMYFUNCTION("""COMPUTED_VALUE"""),0.0)</f>
        <v>0</v>
      </c>
      <c r="C1385" s="2">
        <f>IFERROR(__xludf.DUMMYFUNCTION("""COMPUTED_VALUE"""),622.0)</f>
        <v>622</v>
      </c>
      <c r="D1385" s="3">
        <f>IFERROR(__xludf.DUMMYFUNCTION("""COMPUTED_VALUE"""),422.0)</f>
        <v>422</v>
      </c>
      <c r="E1385" s="2"/>
      <c r="F1385" s="2"/>
    </row>
    <row r="1386">
      <c r="A1386" s="2">
        <f>IFERROR(__xludf.DUMMYFUNCTION("""COMPUTED_VALUE"""),121350.0)</f>
        <v>121350</v>
      </c>
      <c r="B1386" s="2">
        <f>IFERROR(__xludf.DUMMYFUNCTION("""COMPUTED_VALUE"""),1.0)</f>
        <v>1</v>
      </c>
      <c r="C1386" s="2">
        <f>IFERROR(__xludf.DUMMYFUNCTION("""COMPUTED_VALUE"""),244.0)</f>
        <v>244</v>
      </c>
      <c r="D1386" s="3">
        <f>IFERROR(__xludf.DUMMYFUNCTION("""COMPUTED_VALUE"""),104.0)</f>
        <v>104</v>
      </c>
      <c r="E1386" s="2"/>
      <c r="F1386" s="2"/>
    </row>
    <row r="1387">
      <c r="A1387" s="2">
        <f>IFERROR(__xludf.DUMMYFUNCTION("""COMPUTED_VALUE"""),79958.0)</f>
        <v>79958</v>
      </c>
      <c r="B1387" s="2">
        <f>IFERROR(__xludf.DUMMYFUNCTION("""COMPUTED_VALUE"""),1.0)</f>
        <v>1</v>
      </c>
      <c r="C1387" s="2">
        <f>IFERROR(__xludf.DUMMYFUNCTION("""COMPUTED_VALUE"""),38.0)</f>
        <v>38</v>
      </c>
      <c r="D1387" s="3">
        <f>IFERROR(__xludf.DUMMYFUNCTION("""COMPUTED_VALUE"""),26.0)</f>
        <v>26</v>
      </c>
      <c r="E1387" s="2"/>
      <c r="F1387" s="2"/>
    </row>
    <row r="1388">
      <c r="A1388" s="2">
        <f>IFERROR(__xludf.DUMMYFUNCTION("""COMPUTED_VALUE"""),95074.0)</f>
        <v>95074</v>
      </c>
      <c r="B1388" s="2">
        <f>IFERROR(__xludf.DUMMYFUNCTION("""COMPUTED_VALUE"""),0.0)</f>
        <v>0</v>
      </c>
      <c r="C1388" s="2">
        <f>IFERROR(__xludf.DUMMYFUNCTION("""COMPUTED_VALUE"""),812.0)</f>
        <v>812</v>
      </c>
      <c r="D1388" s="3">
        <f>IFERROR(__xludf.DUMMYFUNCTION("""COMPUTED_VALUE"""),337.0)</f>
        <v>337</v>
      </c>
      <c r="E1388" s="2"/>
      <c r="F1388" s="2"/>
    </row>
    <row r="1389">
      <c r="A1389" s="2">
        <f>IFERROR(__xludf.DUMMYFUNCTION("""COMPUTED_VALUE"""),87574.0)</f>
        <v>87574</v>
      </c>
      <c r="B1389" s="2">
        <f>IFERROR(__xludf.DUMMYFUNCTION("""COMPUTED_VALUE"""),1.0)</f>
        <v>1</v>
      </c>
      <c r="C1389" s="2">
        <f>IFERROR(__xludf.DUMMYFUNCTION("""COMPUTED_VALUE"""),343.0)</f>
        <v>343</v>
      </c>
      <c r="D1389" s="3">
        <f>IFERROR(__xludf.DUMMYFUNCTION("""COMPUTED_VALUE"""),239.0)</f>
        <v>239</v>
      </c>
      <c r="E1389" s="2"/>
      <c r="F1389" s="2"/>
    </row>
    <row r="1390">
      <c r="A1390" s="2">
        <f>IFERROR(__xludf.DUMMYFUNCTION("""COMPUTED_VALUE"""),77769.0)</f>
        <v>77769</v>
      </c>
      <c r="B1390" s="2">
        <f>IFERROR(__xludf.DUMMYFUNCTION("""COMPUTED_VALUE"""),0.0)</f>
        <v>0</v>
      </c>
      <c r="C1390" s="2">
        <f>IFERROR(__xludf.DUMMYFUNCTION("""COMPUTED_VALUE"""),891.0)</f>
        <v>891</v>
      </c>
      <c r="D1390" s="3">
        <f>IFERROR(__xludf.DUMMYFUNCTION("""COMPUTED_VALUE"""),417.0)</f>
        <v>417</v>
      </c>
      <c r="E1390" s="2"/>
      <c r="F1390" s="2"/>
    </row>
    <row r="1391">
      <c r="A1391" s="2">
        <f>IFERROR(__xludf.DUMMYFUNCTION("""COMPUTED_VALUE"""),141889.0)</f>
        <v>141889</v>
      </c>
      <c r="B1391" s="2">
        <f>IFERROR(__xludf.DUMMYFUNCTION("""COMPUTED_VALUE"""),0.0)</f>
        <v>0</v>
      </c>
      <c r="C1391" s="2">
        <f>IFERROR(__xludf.DUMMYFUNCTION("""COMPUTED_VALUE"""),469.0)</f>
        <v>469</v>
      </c>
      <c r="D1391" s="3">
        <f>IFERROR(__xludf.DUMMYFUNCTION("""COMPUTED_VALUE"""),455.0)</f>
        <v>455</v>
      </c>
      <c r="E1391" s="2"/>
      <c r="F1391" s="2"/>
    </row>
    <row r="1392">
      <c r="A1392" s="2">
        <f>IFERROR(__xludf.DUMMYFUNCTION("""COMPUTED_VALUE"""),83269.0)</f>
        <v>83269</v>
      </c>
      <c r="B1392" s="2">
        <f>IFERROR(__xludf.DUMMYFUNCTION("""COMPUTED_VALUE"""),1.0)</f>
        <v>1</v>
      </c>
      <c r="C1392" s="2">
        <f>IFERROR(__xludf.DUMMYFUNCTION("""COMPUTED_VALUE"""),539.0)</f>
        <v>539</v>
      </c>
      <c r="D1392" s="3">
        <f>IFERROR(__xludf.DUMMYFUNCTION("""COMPUTED_VALUE"""),394.0)</f>
        <v>394</v>
      </c>
      <c r="E1392" s="2"/>
      <c r="F1392" s="2"/>
    </row>
    <row r="1393">
      <c r="A1393" s="2">
        <f>IFERROR(__xludf.DUMMYFUNCTION("""COMPUTED_VALUE"""),89647.0)</f>
        <v>89647</v>
      </c>
      <c r="B1393" s="2">
        <f>IFERROR(__xludf.DUMMYFUNCTION("""COMPUTED_VALUE"""),0.0)</f>
        <v>0</v>
      </c>
      <c r="C1393" s="2">
        <f>IFERROR(__xludf.DUMMYFUNCTION("""COMPUTED_VALUE"""),514.0)</f>
        <v>514</v>
      </c>
      <c r="D1393" s="3">
        <f>IFERROR(__xludf.DUMMYFUNCTION("""COMPUTED_VALUE"""),190.0)</f>
        <v>190</v>
      </c>
      <c r="E1393" s="2"/>
      <c r="F1393" s="2"/>
    </row>
    <row r="1394">
      <c r="A1394" s="2">
        <f>IFERROR(__xludf.DUMMYFUNCTION("""COMPUTED_VALUE"""),77256.0)</f>
        <v>77256</v>
      </c>
      <c r="B1394" s="2">
        <f>IFERROR(__xludf.DUMMYFUNCTION("""COMPUTED_VALUE"""),0.0)</f>
        <v>0</v>
      </c>
      <c r="C1394" s="2">
        <f>IFERROR(__xludf.DUMMYFUNCTION("""COMPUTED_VALUE"""),321.0)</f>
        <v>321</v>
      </c>
      <c r="D1394" s="3">
        <f>IFERROR(__xludf.DUMMYFUNCTION("""COMPUTED_VALUE"""),246.0)</f>
        <v>246</v>
      </c>
      <c r="E1394" s="2"/>
      <c r="F1394" s="2"/>
    </row>
    <row r="1395">
      <c r="A1395" s="2">
        <f>IFERROR(__xludf.DUMMYFUNCTION("""COMPUTED_VALUE"""),86840.0)</f>
        <v>86840</v>
      </c>
      <c r="B1395" s="2">
        <f>IFERROR(__xludf.DUMMYFUNCTION("""COMPUTED_VALUE"""),0.0)</f>
        <v>0</v>
      </c>
      <c r="C1395" s="2">
        <f>IFERROR(__xludf.DUMMYFUNCTION("""COMPUTED_VALUE"""),626.0)</f>
        <v>626</v>
      </c>
      <c r="D1395" s="3">
        <f>IFERROR(__xludf.DUMMYFUNCTION("""COMPUTED_VALUE"""),96.0)</f>
        <v>96</v>
      </c>
      <c r="E1395" s="2"/>
      <c r="F1395" s="2"/>
    </row>
    <row r="1396">
      <c r="A1396" s="2">
        <f>IFERROR(__xludf.DUMMYFUNCTION("""COMPUTED_VALUE"""),30306.0)</f>
        <v>30306</v>
      </c>
      <c r="B1396" s="2">
        <f>IFERROR(__xludf.DUMMYFUNCTION("""COMPUTED_VALUE"""),1.0)</f>
        <v>1</v>
      </c>
      <c r="C1396" s="2">
        <f>IFERROR(__xludf.DUMMYFUNCTION("""COMPUTED_VALUE"""),189.0)</f>
        <v>189</v>
      </c>
      <c r="D1396" s="3">
        <f>IFERROR(__xludf.DUMMYFUNCTION("""COMPUTED_VALUE"""),139.0)</f>
        <v>139</v>
      </c>
      <c r="E1396" s="2"/>
      <c r="F1396" s="2"/>
    </row>
    <row r="1397">
      <c r="A1397" s="2">
        <f>IFERROR(__xludf.DUMMYFUNCTION("""COMPUTED_VALUE"""),76427.0)</f>
        <v>76427</v>
      </c>
      <c r="B1397" s="2">
        <f>IFERROR(__xludf.DUMMYFUNCTION("""COMPUTED_VALUE"""),1.0)</f>
        <v>1</v>
      </c>
      <c r="C1397" s="2">
        <f>IFERROR(__xludf.DUMMYFUNCTION("""COMPUTED_VALUE"""),97.0)</f>
        <v>97</v>
      </c>
      <c r="D1397" s="3">
        <f>IFERROR(__xludf.DUMMYFUNCTION("""COMPUTED_VALUE"""),5.0)</f>
        <v>5</v>
      </c>
      <c r="E1397" s="2"/>
      <c r="F1397" s="2"/>
    </row>
    <row r="1398">
      <c r="A1398" s="2">
        <f>IFERROR(__xludf.DUMMYFUNCTION("""COMPUTED_VALUE"""),44706.0)</f>
        <v>44706</v>
      </c>
      <c r="B1398" s="2">
        <f>IFERROR(__xludf.DUMMYFUNCTION("""COMPUTED_VALUE"""),1.0)</f>
        <v>1</v>
      </c>
      <c r="C1398" s="2">
        <f>IFERROR(__xludf.DUMMYFUNCTION("""COMPUTED_VALUE"""),471.0)</f>
        <v>471</v>
      </c>
      <c r="D1398" s="3">
        <f>IFERROR(__xludf.DUMMYFUNCTION("""COMPUTED_VALUE"""),150.0)</f>
        <v>150</v>
      </c>
      <c r="E1398" s="2"/>
      <c r="F1398" s="2"/>
    </row>
    <row r="1399">
      <c r="A1399" s="2">
        <f>IFERROR(__xludf.DUMMYFUNCTION("""COMPUTED_VALUE"""),44701.0)</f>
        <v>44701</v>
      </c>
      <c r="B1399" s="2">
        <f>IFERROR(__xludf.DUMMYFUNCTION("""COMPUTED_VALUE"""),0.0)</f>
        <v>0</v>
      </c>
      <c r="C1399" s="2">
        <f>IFERROR(__xludf.DUMMYFUNCTION("""COMPUTED_VALUE"""),273.0)</f>
        <v>273</v>
      </c>
      <c r="D1399" s="3">
        <f>IFERROR(__xludf.DUMMYFUNCTION("""COMPUTED_VALUE"""),181.0)</f>
        <v>181</v>
      </c>
      <c r="E1399" s="2"/>
      <c r="F1399" s="2"/>
    </row>
    <row r="1400">
      <c r="A1400" s="2">
        <f>IFERROR(__xludf.DUMMYFUNCTION("""COMPUTED_VALUE"""),10537.0)</f>
        <v>10537</v>
      </c>
      <c r="B1400" s="2">
        <f>IFERROR(__xludf.DUMMYFUNCTION("""COMPUTED_VALUE"""),1.0)</f>
        <v>1</v>
      </c>
      <c r="C1400" s="2">
        <f>IFERROR(__xludf.DUMMYFUNCTION("""COMPUTED_VALUE"""),596.0)</f>
        <v>596</v>
      </c>
      <c r="D1400" s="3">
        <f>IFERROR(__xludf.DUMMYFUNCTION("""COMPUTED_VALUE"""),364.0)</f>
        <v>364</v>
      </c>
      <c r="E1400" s="2"/>
      <c r="F1400" s="2"/>
    </row>
    <row r="1401">
      <c r="A1401" s="2">
        <f>IFERROR(__xludf.DUMMYFUNCTION("""COMPUTED_VALUE"""),10523.0)</f>
        <v>10523</v>
      </c>
      <c r="B1401" s="2">
        <f>IFERROR(__xludf.DUMMYFUNCTION("""COMPUTED_VALUE"""),1.0)</f>
        <v>1</v>
      </c>
      <c r="C1401" s="2">
        <f>IFERROR(__xludf.DUMMYFUNCTION("""COMPUTED_VALUE"""),918.0)</f>
        <v>918</v>
      </c>
      <c r="D1401" s="3">
        <f>IFERROR(__xludf.DUMMYFUNCTION("""COMPUTED_VALUE"""),463.0)</f>
        <v>463</v>
      </c>
      <c r="E1401" s="2"/>
      <c r="F1401" s="2"/>
    </row>
    <row r="1402">
      <c r="A1402" s="2">
        <f>IFERROR(__xludf.DUMMYFUNCTION("""COMPUTED_VALUE"""),76664.0)</f>
        <v>76664</v>
      </c>
      <c r="B1402" s="2">
        <f>IFERROR(__xludf.DUMMYFUNCTION("""COMPUTED_VALUE"""),1.0)</f>
        <v>1</v>
      </c>
      <c r="C1402" s="2">
        <f>IFERROR(__xludf.DUMMYFUNCTION("""COMPUTED_VALUE"""),171.0)</f>
        <v>171</v>
      </c>
      <c r="D1402" s="3">
        <f>IFERROR(__xludf.DUMMYFUNCTION("""COMPUTED_VALUE"""),155.0)</f>
        <v>155</v>
      </c>
      <c r="E1402" s="2"/>
      <c r="F1402" s="2"/>
    </row>
    <row r="1403">
      <c r="A1403" s="2">
        <f>IFERROR(__xludf.DUMMYFUNCTION("""COMPUTED_VALUE"""),78472.0)</f>
        <v>78472</v>
      </c>
      <c r="B1403" s="2">
        <f>IFERROR(__xludf.DUMMYFUNCTION("""COMPUTED_VALUE"""),1.0)</f>
        <v>1</v>
      </c>
      <c r="C1403" s="2">
        <f>IFERROR(__xludf.DUMMYFUNCTION("""COMPUTED_VALUE"""),60.0)</f>
        <v>60</v>
      </c>
      <c r="D1403" s="3">
        <f>IFERROR(__xludf.DUMMYFUNCTION("""COMPUTED_VALUE"""),11.0)</f>
        <v>11</v>
      </c>
      <c r="E1403" s="2"/>
      <c r="F1403" s="2"/>
    </row>
    <row r="1404">
      <c r="A1404" s="2">
        <f>IFERROR(__xludf.DUMMYFUNCTION("""COMPUTED_VALUE"""),44721.0)</f>
        <v>44721</v>
      </c>
      <c r="B1404" s="2">
        <f>IFERROR(__xludf.DUMMYFUNCTION("""COMPUTED_VALUE"""),1.0)</f>
        <v>1</v>
      </c>
      <c r="C1404" s="2">
        <f>IFERROR(__xludf.DUMMYFUNCTION("""COMPUTED_VALUE"""),541.0)</f>
        <v>541</v>
      </c>
      <c r="D1404" s="3">
        <f>IFERROR(__xludf.DUMMYFUNCTION("""COMPUTED_VALUE"""),238.0)</f>
        <v>238</v>
      </c>
      <c r="E1404" s="2"/>
      <c r="F1404" s="2"/>
    </row>
    <row r="1405">
      <c r="A1405" s="2">
        <f>IFERROR(__xludf.DUMMYFUNCTION("""COMPUTED_VALUE"""),121576.0)</f>
        <v>121576</v>
      </c>
      <c r="B1405" s="2">
        <f>IFERROR(__xludf.DUMMYFUNCTION("""COMPUTED_VALUE"""),0.0)</f>
        <v>0</v>
      </c>
      <c r="C1405" s="2">
        <f>IFERROR(__xludf.DUMMYFUNCTION("""COMPUTED_VALUE"""),471.0)</f>
        <v>471</v>
      </c>
      <c r="D1405" s="3">
        <f>IFERROR(__xludf.DUMMYFUNCTION("""COMPUTED_VALUE"""),195.0)</f>
        <v>195</v>
      </c>
      <c r="E1405" s="2"/>
      <c r="F1405" s="2"/>
    </row>
    <row r="1406">
      <c r="A1406" s="2">
        <f>IFERROR(__xludf.DUMMYFUNCTION("""COMPUTED_VALUE"""),117208.0)</f>
        <v>117208</v>
      </c>
      <c r="B1406" s="2">
        <f>IFERROR(__xludf.DUMMYFUNCTION("""COMPUTED_VALUE"""),1.0)</f>
        <v>1</v>
      </c>
      <c r="C1406" s="2">
        <f>IFERROR(__xludf.DUMMYFUNCTION("""COMPUTED_VALUE"""),594.0)</f>
        <v>594</v>
      </c>
      <c r="D1406" s="3">
        <f>IFERROR(__xludf.DUMMYFUNCTION("""COMPUTED_VALUE"""),409.0)</f>
        <v>409</v>
      </c>
      <c r="E1406" s="2"/>
      <c r="F1406" s="2"/>
    </row>
    <row r="1407">
      <c r="A1407" s="2">
        <f>IFERROR(__xludf.DUMMYFUNCTION("""COMPUTED_VALUE"""),78497.0)</f>
        <v>78497</v>
      </c>
      <c r="B1407" s="2">
        <f>IFERROR(__xludf.DUMMYFUNCTION("""COMPUTED_VALUE"""),0.0)</f>
        <v>0</v>
      </c>
      <c r="C1407" s="2">
        <f>IFERROR(__xludf.DUMMYFUNCTION("""COMPUTED_VALUE"""),751.0)</f>
        <v>751</v>
      </c>
      <c r="D1407" s="3">
        <f>IFERROR(__xludf.DUMMYFUNCTION("""COMPUTED_VALUE"""),309.0)</f>
        <v>309</v>
      </c>
      <c r="E1407" s="2"/>
      <c r="F1407" s="2"/>
    </row>
    <row r="1408">
      <c r="A1408" s="2">
        <f>IFERROR(__xludf.DUMMYFUNCTION("""COMPUTED_VALUE"""),44726.0)</f>
        <v>44726</v>
      </c>
      <c r="B1408" s="2">
        <f>IFERROR(__xludf.DUMMYFUNCTION("""COMPUTED_VALUE"""),1.0)</f>
        <v>1</v>
      </c>
      <c r="C1408" s="2">
        <f>IFERROR(__xludf.DUMMYFUNCTION("""COMPUTED_VALUE"""),708.0)</f>
        <v>708</v>
      </c>
      <c r="D1408" s="3">
        <f>IFERROR(__xludf.DUMMYFUNCTION("""COMPUTED_VALUE"""),615.0)</f>
        <v>615</v>
      </c>
      <c r="E1408" s="2"/>
      <c r="F1408" s="2"/>
    </row>
    <row r="1409">
      <c r="A1409" s="2">
        <f>IFERROR(__xludf.DUMMYFUNCTION("""COMPUTED_VALUE"""),117210.0)</f>
        <v>117210</v>
      </c>
      <c r="B1409" s="2">
        <f>IFERROR(__xludf.DUMMYFUNCTION("""COMPUTED_VALUE"""),1.0)</f>
        <v>1</v>
      </c>
      <c r="C1409" s="2">
        <f>IFERROR(__xludf.DUMMYFUNCTION("""COMPUTED_VALUE"""),509.0)</f>
        <v>509</v>
      </c>
      <c r="D1409" s="3">
        <f>IFERROR(__xludf.DUMMYFUNCTION("""COMPUTED_VALUE"""),141.0)</f>
        <v>141</v>
      </c>
      <c r="E1409" s="2"/>
      <c r="F1409" s="2"/>
    </row>
    <row r="1410">
      <c r="A1410" s="2">
        <f>IFERROR(__xludf.DUMMYFUNCTION("""COMPUTED_VALUE"""),87082.0)</f>
        <v>87082</v>
      </c>
      <c r="B1410" s="2">
        <f>IFERROR(__xludf.DUMMYFUNCTION("""COMPUTED_VALUE"""),1.0)</f>
        <v>1</v>
      </c>
      <c r="C1410" s="2">
        <f>IFERROR(__xludf.DUMMYFUNCTION("""COMPUTED_VALUE"""),303.0)</f>
        <v>303</v>
      </c>
      <c r="D1410" s="3">
        <f>IFERROR(__xludf.DUMMYFUNCTION("""COMPUTED_VALUE"""),230.0)</f>
        <v>230</v>
      </c>
      <c r="E1410" s="2"/>
      <c r="F1410" s="2"/>
    </row>
    <row r="1411">
      <c r="A1411" s="2">
        <f>IFERROR(__xludf.DUMMYFUNCTION("""COMPUTED_VALUE"""),10529.0)</f>
        <v>10529</v>
      </c>
      <c r="B1411" s="2">
        <f>IFERROR(__xludf.DUMMYFUNCTION("""COMPUTED_VALUE"""),0.0)</f>
        <v>0</v>
      </c>
      <c r="C1411" s="2">
        <f>IFERROR(__xludf.DUMMYFUNCTION("""COMPUTED_VALUE"""),5.0)</f>
        <v>5</v>
      </c>
      <c r="D1411" s="3">
        <f>IFERROR(__xludf.DUMMYFUNCTION("""COMPUTED_VALUE"""),0.0)</f>
        <v>0</v>
      </c>
      <c r="E1411" s="2"/>
      <c r="F1411" s="2"/>
    </row>
    <row r="1412">
      <c r="A1412" s="2">
        <f>IFERROR(__xludf.DUMMYFUNCTION("""COMPUTED_VALUE"""),44705.0)</f>
        <v>44705</v>
      </c>
      <c r="B1412" s="2">
        <f>IFERROR(__xludf.DUMMYFUNCTION("""COMPUTED_VALUE"""),1.0)</f>
        <v>1</v>
      </c>
      <c r="C1412" s="2">
        <f>IFERROR(__xludf.DUMMYFUNCTION("""COMPUTED_VALUE"""),703.0)</f>
        <v>703</v>
      </c>
      <c r="D1412" s="3">
        <f>IFERROR(__xludf.DUMMYFUNCTION("""COMPUTED_VALUE"""),576.0)</f>
        <v>576</v>
      </c>
      <c r="E1412" s="2"/>
      <c r="F1412" s="2"/>
    </row>
    <row r="1413">
      <c r="A1413" s="2">
        <f>IFERROR(__xludf.DUMMYFUNCTION("""COMPUTED_VALUE"""),100564.0)</f>
        <v>100564</v>
      </c>
      <c r="B1413" s="2">
        <f>IFERROR(__xludf.DUMMYFUNCTION("""COMPUTED_VALUE"""),0.0)</f>
        <v>0</v>
      </c>
      <c r="C1413" s="2">
        <f>IFERROR(__xludf.DUMMYFUNCTION("""COMPUTED_VALUE"""),87.0)</f>
        <v>87</v>
      </c>
      <c r="D1413" s="3">
        <f>IFERROR(__xludf.DUMMYFUNCTION("""COMPUTED_VALUE"""),43.0)</f>
        <v>43</v>
      </c>
      <c r="E1413" s="2"/>
      <c r="F1413" s="2"/>
    </row>
    <row r="1414">
      <c r="A1414" s="2">
        <f>IFERROR(__xludf.DUMMYFUNCTION("""COMPUTED_VALUE"""),87193.0)</f>
        <v>87193</v>
      </c>
      <c r="B1414" s="2">
        <f>IFERROR(__xludf.DUMMYFUNCTION("""COMPUTED_VALUE"""),0.0)</f>
        <v>0</v>
      </c>
      <c r="C1414" s="2">
        <f>IFERROR(__xludf.DUMMYFUNCTION("""COMPUTED_VALUE"""),789.0)</f>
        <v>789</v>
      </c>
      <c r="D1414" s="3">
        <f>IFERROR(__xludf.DUMMYFUNCTION("""COMPUTED_VALUE"""),28.0)</f>
        <v>28</v>
      </c>
      <c r="E1414" s="2"/>
      <c r="F1414" s="2"/>
    </row>
    <row r="1415">
      <c r="A1415" s="2">
        <f>IFERROR(__xludf.DUMMYFUNCTION("""COMPUTED_VALUE"""),76044.0)</f>
        <v>76044</v>
      </c>
      <c r="B1415" s="2">
        <f>IFERROR(__xludf.DUMMYFUNCTION("""COMPUTED_VALUE"""),1.0)</f>
        <v>1</v>
      </c>
      <c r="C1415" s="2">
        <f>IFERROR(__xludf.DUMMYFUNCTION("""COMPUTED_VALUE"""),278.0)</f>
        <v>278</v>
      </c>
      <c r="D1415" s="3">
        <f>IFERROR(__xludf.DUMMYFUNCTION("""COMPUTED_VALUE"""),200.0)</f>
        <v>200</v>
      </c>
      <c r="E1415" s="2"/>
      <c r="F1415" s="2"/>
    </row>
    <row r="1416">
      <c r="A1416" s="2">
        <f>IFERROR(__xludf.DUMMYFUNCTION("""COMPUTED_VALUE"""),121578.0)</f>
        <v>121578</v>
      </c>
      <c r="B1416" s="2">
        <f>IFERROR(__xludf.DUMMYFUNCTION("""COMPUTED_VALUE"""),1.0)</f>
        <v>1</v>
      </c>
      <c r="C1416" s="2">
        <f>IFERROR(__xludf.DUMMYFUNCTION("""COMPUTED_VALUE"""),556.0)</f>
        <v>556</v>
      </c>
      <c r="D1416" s="3">
        <f>IFERROR(__xludf.DUMMYFUNCTION("""COMPUTED_VALUE"""),218.0)</f>
        <v>218</v>
      </c>
      <c r="E1416" s="2"/>
      <c r="F1416" s="2"/>
    </row>
    <row r="1417">
      <c r="A1417" s="2">
        <f>IFERROR(__xludf.DUMMYFUNCTION("""COMPUTED_VALUE"""),117206.0)</f>
        <v>117206</v>
      </c>
      <c r="B1417" s="2">
        <f>IFERROR(__xludf.DUMMYFUNCTION("""COMPUTED_VALUE"""),1.0)</f>
        <v>1</v>
      </c>
      <c r="C1417" s="2">
        <f>IFERROR(__xludf.DUMMYFUNCTION("""COMPUTED_VALUE"""),47.0)</f>
        <v>47</v>
      </c>
      <c r="D1417" s="3">
        <f>IFERROR(__xludf.DUMMYFUNCTION("""COMPUTED_VALUE"""),11.0)</f>
        <v>11</v>
      </c>
      <c r="E1417" s="2"/>
      <c r="F1417" s="2"/>
    </row>
    <row r="1418">
      <c r="A1418" s="2">
        <f>IFERROR(__xludf.DUMMYFUNCTION("""COMPUTED_VALUE"""),81519.0)</f>
        <v>81519</v>
      </c>
      <c r="B1418" s="2">
        <f>IFERROR(__xludf.DUMMYFUNCTION("""COMPUTED_VALUE"""),0.0)</f>
        <v>0</v>
      </c>
      <c r="C1418" s="2">
        <f>IFERROR(__xludf.DUMMYFUNCTION("""COMPUTED_VALUE"""),572.0)</f>
        <v>572</v>
      </c>
      <c r="D1418" s="3">
        <f>IFERROR(__xludf.DUMMYFUNCTION("""COMPUTED_VALUE"""),34.0)</f>
        <v>34</v>
      </c>
      <c r="E1418" s="2"/>
      <c r="F1418" s="2"/>
    </row>
    <row r="1419">
      <c r="A1419" s="2">
        <f>IFERROR(__xludf.DUMMYFUNCTION("""COMPUTED_VALUE"""),44724.0)</f>
        <v>44724</v>
      </c>
      <c r="B1419" s="2">
        <f>IFERROR(__xludf.DUMMYFUNCTION("""COMPUTED_VALUE"""),1.0)</f>
        <v>1</v>
      </c>
      <c r="C1419" s="2">
        <f>IFERROR(__xludf.DUMMYFUNCTION("""COMPUTED_VALUE"""),25.0)</f>
        <v>25</v>
      </c>
      <c r="D1419" s="3">
        <f>IFERROR(__xludf.DUMMYFUNCTION("""COMPUTED_VALUE"""),21.0)</f>
        <v>21</v>
      </c>
      <c r="E1419" s="2"/>
      <c r="F1419" s="2"/>
    </row>
    <row r="1420">
      <c r="A1420" s="2">
        <f>IFERROR(__xludf.DUMMYFUNCTION("""COMPUTED_VALUE"""),82114.0)</f>
        <v>82114</v>
      </c>
      <c r="B1420" s="2">
        <f>IFERROR(__xludf.DUMMYFUNCTION("""COMPUTED_VALUE"""),1.0)</f>
        <v>1</v>
      </c>
      <c r="C1420" s="2">
        <f>IFERROR(__xludf.DUMMYFUNCTION("""COMPUTED_VALUE"""),670.0)</f>
        <v>670</v>
      </c>
      <c r="D1420" s="3">
        <f>IFERROR(__xludf.DUMMYFUNCTION("""COMPUTED_VALUE"""),539.0)</f>
        <v>539</v>
      </c>
      <c r="E1420" s="2"/>
      <c r="F1420" s="2"/>
    </row>
    <row r="1421">
      <c r="A1421" s="2">
        <f>IFERROR(__xludf.DUMMYFUNCTION("""COMPUTED_VALUE"""),82115.0)</f>
        <v>82115</v>
      </c>
      <c r="B1421" s="2">
        <f>IFERROR(__xludf.DUMMYFUNCTION("""COMPUTED_VALUE"""),1.0)</f>
        <v>1</v>
      </c>
      <c r="C1421" s="2">
        <f>IFERROR(__xludf.DUMMYFUNCTION("""COMPUTED_VALUE"""),32.0)</f>
        <v>32</v>
      </c>
      <c r="D1421" s="3">
        <f>IFERROR(__xludf.DUMMYFUNCTION("""COMPUTED_VALUE"""),2.0)</f>
        <v>2</v>
      </c>
      <c r="E1421" s="2"/>
      <c r="F1421" s="2"/>
    </row>
    <row r="1422">
      <c r="A1422" s="2">
        <f>IFERROR(__xludf.DUMMYFUNCTION("""COMPUTED_VALUE"""),109307.0)</f>
        <v>109307</v>
      </c>
      <c r="B1422" s="2">
        <f>IFERROR(__xludf.DUMMYFUNCTION("""COMPUTED_VALUE"""),0.0)</f>
        <v>0</v>
      </c>
      <c r="C1422" s="2">
        <f>IFERROR(__xludf.DUMMYFUNCTION("""COMPUTED_VALUE"""),165.0)</f>
        <v>165</v>
      </c>
      <c r="D1422" s="3">
        <f>IFERROR(__xludf.DUMMYFUNCTION("""COMPUTED_VALUE"""),81.0)</f>
        <v>81</v>
      </c>
      <c r="E1422" s="2"/>
      <c r="F1422" s="2"/>
    </row>
    <row r="1423">
      <c r="A1423" s="2">
        <f>IFERROR(__xludf.DUMMYFUNCTION("""COMPUTED_VALUE"""),76046.0)</f>
        <v>76046</v>
      </c>
      <c r="B1423" s="2">
        <f>IFERROR(__xludf.DUMMYFUNCTION("""COMPUTED_VALUE"""),0.0)</f>
        <v>0</v>
      </c>
      <c r="C1423" s="2">
        <f>IFERROR(__xludf.DUMMYFUNCTION("""COMPUTED_VALUE"""),249.0)</f>
        <v>249</v>
      </c>
      <c r="D1423" s="3">
        <f>IFERROR(__xludf.DUMMYFUNCTION("""COMPUTED_VALUE"""),169.0)</f>
        <v>169</v>
      </c>
      <c r="E1423" s="2"/>
      <c r="F1423" s="2"/>
    </row>
    <row r="1424">
      <c r="A1424" s="2">
        <f>IFERROR(__xludf.DUMMYFUNCTION("""COMPUTED_VALUE"""),117187.0)</f>
        <v>117187</v>
      </c>
      <c r="B1424" s="2">
        <f>IFERROR(__xludf.DUMMYFUNCTION("""COMPUTED_VALUE"""),0.0)</f>
        <v>0</v>
      </c>
      <c r="C1424" s="2">
        <f>IFERROR(__xludf.DUMMYFUNCTION("""COMPUTED_VALUE"""),105.0)</f>
        <v>105</v>
      </c>
      <c r="D1424" s="3">
        <f>IFERROR(__xludf.DUMMYFUNCTION("""COMPUTED_VALUE"""),68.0)</f>
        <v>68</v>
      </c>
      <c r="E1424" s="2"/>
      <c r="F1424" s="2"/>
    </row>
    <row r="1425">
      <c r="A1425" s="2">
        <f>IFERROR(__xludf.DUMMYFUNCTION("""COMPUTED_VALUE"""),10538.0)</f>
        <v>10538</v>
      </c>
      <c r="B1425" s="2">
        <f>IFERROR(__xludf.DUMMYFUNCTION("""COMPUTED_VALUE"""),1.0)</f>
        <v>1</v>
      </c>
      <c r="C1425" s="2">
        <f>IFERROR(__xludf.DUMMYFUNCTION("""COMPUTED_VALUE"""),207.0)</f>
        <v>207</v>
      </c>
      <c r="D1425" s="3">
        <f>IFERROR(__xludf.DUMMYFUNCTION("""COMPUTED_VALUE"""),184.0)</f>
        <v>184</v>
      </c>
      <c r="E1425" s="2"/>
      <c r="F1425" s="2"/>
    </row>
    <row r="1426">
      <c r="A1426" s="2">
        <f>IFERROR(__xludf.DUMMYFUNCTION("""COMPUTED_VALUE"""),78508.0)</f>
        <v>78508</v>
      </c>
      <c r="B1426" s="2">
        <f>IFERROR(__xludf.DUMMYFUNCTION("""COMPUTED_VALUE"""),1.0)</f>
        <v>1</v>
      </c>
      <c r="C1426" s="2">
        <f>IFERROR(__xludf.DUMMYFUNCTION("""COMPUTED_VALUE"""),215.0)</f>
        <v>215</v>
      </c>
      <c r="D1426" s="3">
        <f>IFERROR(__xludf.DUMMYFUNCTION("""COMPUTED_VALUE"""),2.0)</f>
        <v>2</v>
      </c>
      <c r="E1426" s="2"/>
      <c r="F1426" s="2"/>
    </row>
    <row r="1427">
      <c r="A1427" s="2">
        <f>IFERROR(__xludf.DUMMYFUNCTION("""COMPUTED_VALUE"""),44723.0)</f>
        <v>44723</v>
      </c>
      <c r="B1427" s="2">
        <f>IFERROR(__xludf.DUMMYFUNCTION("""COMPUTED_VALUE"""),0.0)</f>
        <v>0</v>
      </c>
      <c r="C1427" s="2">
        <f>IFERROR(__xludf.DUMMYFUNCTION("""COMPUTED_VALUE"""),219.0)</f>
        <v>219</v>
      </c>
      <c r="D1427" s="3">
        <f>IFERROR(__xludf.DUMMYFUNCTION("""COMPUTED_VALUE"""),45.0)</f>
        <v>45</v>
      </c>
      <c r="E1427" s="2"/>
      <c r="F1427" s="2"/>
    </row>
    <row r="1428">
      <c r="A1428" s="2">
        <f>IFERROR(__xludf.DUMMYFUNCTION("""COMPUTED_VALUE"""),109309.0)</f>
        <v>109309</v>
      </c>
      <c r="B1428" s="2">
        <f>IFERROR(__xludf.DUMMYFUNCTION("""COMPUTED_VALUE"""),1.0)</f>
        <v>1</v>
      </c>
      <c r="C1428" s="2">
        <f>IFERROR(__xludf.DUMMYFUNCTION("""COMPUTED_VALUE"""),643.0)</f>
        <v>643</v>
      </c>
      <c r="D1428" s="3">
        <f>IFERROR(__xludf.DUMMYFUNCTION("""COMPUTED_VALUE"""),33.0)</f>
        <v>33</v>
      </c>
      <c r="E1428" s="2"/>
      <c r="F1428" s="2"/>
    </row>
    <row r="1429">
      <c r="A1429" s="2">
        <f>IFERROR(__xludf.DUMMYFUNCTION("""COMPUTED_VALUE"""),76656.0)</f>
        <v>76656</v>
      </c>
      <c r="B1429" s="2">
        <f>IFERROR(__xludf.DUMMYFUNCTION("""COMPUTED_VALUE"""),0.0)</f>
        <v>0</v>
      </c>
      <c r="C1429" s="2">
        <f>IFERROR(__xludf.DUMMYFUNCTION("""COMPUTED_VALUE"""),534.0)</f>
        <v>534</v>
      </c>
      <c r="D1429" s="3">
        <f>IFERROR(__xludf.DUMMYFUNCTION("""COMPUTED_VALUE"""),74.0)</f>
        <v>74</v>
      </c>
      <c r="E1429" s="2"/>
      <c r="F1429" s="2"/>
    </row>
    <row r="1430">
      <c r="A1430" s="2">
        <f>IFERROR(__xludf.DUMMYFUNCTION("""COMPUTED_VALUE"""),80305.0)</f>
        <v>80305</v>
      </c>
      <c r="B1430" s="2">
        <f>IFERROR(__xludf.DUMMYFUNCTION("""COMPUTED_VALUE"""),0.0)</f>
        <v>0</v>
      </c>
      <c r="C1430" s="2">
        <f>IFERROR(__xludf.DUMMYFUNCTION("""COMPUTED_VALUE"""),149.0)</f>
        <v>149</v>
      </c>
      <c r="D1430" s="3">
        <f>IFERROR(__xludf.DUMMYFUNCTION("""COMPUTED_VALUE"""),83.0)</f>
        <v>83</v>
      </c>
      <c r="E1430" s="2"/>
      <c r="F1430" s="2"/>
    </row>
    <row r="1431">
      <c r="A1431" s="2">
        <f>IFERROR(__xludf.DUMMYFUNCTION("""COMPUTED_VALUE"""),78506.0)</f>
        <v>78506</v>
      </c>
      <c r="B1431" s="2">
        <f>IFERROR(__xludf.DUMMYFUNCTION("""COMPUTED_VALUE"""),1.0)</f>
        <v>1</v>
      </c>
      <c r="C1431" s="2">
        <f>IFERROR(__xludf.DUMMYFUNCTION("""COMPUTED_VALUE"""),190.0)</f>
        <v>190</v>
      </c>
      <c r="D1431" s="3">
        <f>IFERROR(__xludf.DUMMYFUNCTION("""COMPUTED_VALUE"""),141.0)</f>
        <v>141</v>
      </c>
      <c r="E1431" s="2"/>
      <c r="F1431" s="2"/>
    </row>
    <row r="1432">
      <c r="A1432" s="2">
        <f>IFERROR(__xludf.DUMMYFUNCTION("""COMPUTED_VALUE"""),82133.0)</f>
        <v>82133</v>
      </c>
      <c r="B1432" s="2">
        <f>IFERROR(__xludf.DUMMYFUNCTION("""COMPUTED_VALUE"""),1.0)</f>
        <v>1</v>
      </c>
      <c r="C1432" s="2">
        <f>IFERROR(__xludf.DUMMYFUNCTION("""COMPUTED_VALUE"""),741.0)</f>
        <v>741</v>
      </c>
      <c r="D1432" s="3">
        <f>IFERROR(__xludf.DUMMYFUNCTION("""COMPUTED_VALUE"""),669.0)</f>
        <v>669</v>
      </c>
      <c r="E1432" s="2"/>
      <c r="F1432" s="2"/>
    </row>
    <row r="1433">
      <c r="A1433" s="2">
        <f>IFERROR(__xludf.DUMMYFUNCTION("""COMPUTED_VALUE"""),188805.0)</f>
        <v>188805</v>
      </c>
      <c r="B1433" s="2">
        <f>IFERROR(__xludf.DUMMYFUNCTION("""COMPUTED_VALUE"""),0.0)</f>
        <v>0</v>
      </c>
      <c r="C1433" s="2">
        <f>IFERROR(__xludf.DUMMYFUNCTION("""COMPUTED_VALUE"""),241.0)</f>
        <v>241</v>
      </c>
      <c r="D1433" s="3">
        <f>IFERROR(__xludf.DUMMYFUNCTION("""COMPUTED_VALUE"""),160.0)</f>
        <v>160</v>
      </c>
      <c r="E1433" s="2"/>
      <c r="F1433" s="2"/>
    </row>
    <row r="1434">
      <c r="A1434" s="2">
        <f>IFERROR(__xludf.DUMMYFUNCTION("""COMPUTED_VALUE"""),78481.0)</f>
        <v>78481</v>
      </c>
      <c r="B1434" s="2">
        <f>IFERROR(__xludf.DUMMYFUNCTION("""COMPUTED_VALUE"""),0.0)</f>
        <v>0</v>
      </c>
      <c r="C1434" s="2">
        <f>IFERROR(__xludf.DUMMYFUNCTION("""COMPUTED_VALUE"""),891.0)</f>
        <v>891</v>
      </c>
      <c r="D1434" s="3">
        <f>IFERROR(__xludf.DUMMYFUNCTION("""COMPUTED_VALUE"""),200.0)</f>
        <v>200</v>
      </c>
      <c r="E1434" s="2"/>
      <c r="F1434" s="2"/>
    </row>
    <row r="1435">
      <c r="A1435" s="2">
        <f>IFERROR(__xludf.DUMMYFUNCTION("""COMPUTED_VALUE"""),109310.0)</f>
        <v>109310</v>
      </c>
      <c r="B1435" s="2">
        <f>IFERROR(__xludf.DUMMYFUNCTION("""COMPUTED_VALUE"""),1.0)</f>
        <v>1</v>
      </c>
      <c r="C1435" s="2">
        <f>IFERROR(__xludf.DUMMYFUNCTION("""COMPUTED_VALUE"""),833.0)</f>
        <v>833</v>
      </c>
      <c r="D1435" s="3">
        <f>IFERROR(__xludf.DUMMYFUNCTION("""COMPUTED_VALUE"""),790.0)</f>
        <v>790</v>
      </c>
      <c r="E1435" s="2"/>
      <c r="F1435" s="2"/>
    </row>
    <row r="1436">
      <c r="A1436" s="2">
        <f>IFERROR(__xludf.DUMMYFUNCTION("""COMPUTED_VALUE"""),120689.0)</f>
        <v>120689</v>
      </c>
      <c r="B1436" s="2">
        <f>IFERROR(__xludf.DUMMYFUNCTION("""COMPUTED_VALUE"""),0.0)</f>
        <v>0</v>
      </c>
      <c r="C1436" s="2">
        <f>IFERROR(__xludf.DUMMYFUNCTION("""COMPUTED_VALUE"""),669.0)</f>
        <v>669</v>
      </c>
      <c r="D1436" s="3">
        <f>IFERROR(__xludf.DUMMYFUNCTION("""COMPUTED_VALUE"""),627.0)</f>
        <v>627</v>
      </c>
      <c r="E1436" s="2"/>
      <c r="F1436" s="2"/>
    </row>
    <row r="1437">
      <c r="A1437" s="2">
        <f>IFERROR(__xludf.DUMMYFUNCTION("""COMPUTED_VALUE"""),10540.0)</f>
        <v>10540</v>
      </c>
      <c r="B1437" s="2">
        <f>IFERROR(__xludf.DUMMYFUNCTION("""COMPUTED_VALUE"""),1.0)</f>
        <v>1</v>
      </c>
      <c r="C1437" s="2">
        <f>IFERROR(__xludf.DUMMYFUNCTION("""COMPUTED_VALUE"""),170.0)</f>
        <v>170</v>
      </c>
      <c r="D1437" s="3">
        <f>IFERROR(__xludf.DUMMYFUNCTION("""COMPUTED_VALUE"""),25.0)</f>
        <v>25</v>
      </c>
      <c r="E1437" s="2"/>
      <c r="F1437" s="2"/>
    </row>
    <row r="1438">
      <c r="A1438" s="2">
        <f>IFERROR(__xludf.DUMMYFUNCTION("""COMPUTED_VALUE"""),44727.0)</f>
        <v>44727</v>
      </c>
      <c r="B1438" s="2">
        <f>IFERROR(__xludf.DUMMYFUNCTION("""COMPUTED_VALUE"""),0.0)</f>
        <v>0</v>
      </c>
      <c r="C1438" s="2">
        <f>IFERROR(__xludf.DUMMYFUNCTION("""COMPUTED_VALUE"""),315.0)</f>
        <v>315</v>
      </c>
      <c r="D1438" s="3">
        <f>IFERROR(__xludf.DUMMYFUNCTION("""COMPUTED_VALUE"""),178.0)</f>
        <v>178</v>
      </c>
      <c r="E1438" s="2"/>
      <c r="F1438" s="2"/>
    </row>
    <row r="1439">
      <c r="A1439" s="2">
        <f>IFERROR(__xludf.DUMMYFUNCTION("""COMPUTED_VALUE"""),73190.0)</f>
        <v>73190</v>
      </c>
      <c r="B1439" s="2">
        <f>IFERROR(__xludf.DUMMYFUNCTION("""COMPUTED_VALUE"""),0.0)</f>
        <v>0</v>
      </c>
      <c r="C1439" s="2">
        <f>IFERROR(__xludf.DUMMYFUNCTION("""COMPUTED_VALUE"""),765.0)</f>
        <v>765</v>
      </c>
      <c r="D1439" s="3">
        <f>IFERROR(__xludf.DUMMYFUNCTION("""COMPUTED_VALUE"""),45.0)</f>
        <v>45</v>
      </c>
      <c r="E1439" s="2"/>
      <c r="F1439" s="2"/>
    </row>
    <row r="1440">
      <c r="A1440" s="2">
        <f>IFERROR(__xludf.DUMMYFUNCTION("""COMPUTED_VALUE"""),112169.0)</f>
        <v>112169</v>
      </c>
      <c r="B1440" s="2">
        <f>IFERROR(__xludf.DUMMYFUNCTION("""COMPUTED_VALUE"""),0.0)</f>
        <v>0</v>
      </c>
      <c r="C1440" s="2">
        <f>IFERROR(__xludf.DUMMYFUNCTION("""COMPUTED_VALUE"""),24.0)</f>
        <v>24</v>
      </c>
      <c r="D1440" s="3">
        <f>IFERROR(__xludf.DUMMYFUNCTION("""COMPUTED_VALUE"""),6.0)</f>
        <v>6</v>
      </c>
      <c r="E1440" s="2"/>
      <c r="F1440" s="2"/>
    </row>
    <row r="1441">
      <c r="A1441" s="2">
        <f>IFERROR(__xludf.DUMMYFUNCTION("""COMPUTED_VALUE"""),120695.0)</f>
        <v>120695</v>
      </c>
      <c r="B1441" s="2">
        <f>IFERROR(__xludf.DUMMYFUNCTION("""COMPUTED_VALUE"""),1.0)</f>
        <v>1</v>
      </c>
      <c r="C1441" s="2">
        <f>IFERROR(__xludf.DUMMYFUNCTION("""COMPUTED_VALUE"""),495.0)</f>
        <v>495</v>
      </c>
      <c r="D1441" s="3">
        <f>IFERROR(__xludf.DUMMYFUNCTION("""COMPUTED_VALUE"""),257.0)</f>
        <v>257</v>
      </c>
      <c r="E1441" s="2"/>
      <c r="F1441" s="2"/>
    </row>
    <row r="1442">
      <c r="A1442" s="2">
        <f>IFERROR(__xludf.DUMMYFUNCTION("""COMPUTED_VALUE"""),80270.0)</f>
        <v>80270</v>
      </c>
      <c r="B1442" s="2">
        <f>IFERROR(__xludf.DUMMYFUNCTION("""COMPUTED_VALUE"""),0.0)</f>
        <v>0</v>
      </c>
      <c r="C1442" s="2">
        <f>IFERROR(__xludf.DUMMYFUNCTION("""COMPUTED_VALUE"""),421.0)</f>
        <v>421</v>
      </c>
      <c r="D1442" s="3">
        <f>IFERROR(__xludf.DUMMYFUNCTION("""COMPUTED_VALUE"""),10.0)</f>
        <v>10</v>
      </c>
      <c r="E1442" s="2"/>
      <c r="F1442" s="2"/>
    </row>
    <row r="1443">
      <c r="A1443" s="2">
        <f>IFERROR(__xludf.DUMMYFUNCTION("""COMPUTED_VALUE"""),5795.0)</f>
        <v>5795</v>
      </c>
      <c r="B1443" s="2">
        <f>IFERROR(__xludf.DUMMYFUNCTION("""COMPUTED_VALUE"""),1.0)</f>
        <v>1</v>
      </c>
      <c r="C1443" s="2">
        <f>IFERROR(__xludf.DUMMYFUNCTION("""COMPUTED_VALUE"""),698.0)</f>
        <v>698</v>
      </c>
      <c r="D1443" s="3">
        <f>IFERROR(__xludf.DUMMYFUNCTION("""COMPUTED_VALUE"""),550.0)</f>
        <v>550</v>
      </c>
      <c r="E1443" s="2"/>
      <c r="F1443" s="2"/>
    </row>
    <row r="1444">
      <c r="A1444" s="2">
        <f>IFERROR(__xludf.DUMMYFUNCTION("""COMPUTED_VALUE"""),107316.0)</f>
        <v>107316</v>
      </c>
      <c r="B1444" s="2">
        <f>IFERROR(__xludf.DUMMYFUNCTION("""COMPUTED_VALUE"""),1.0)</f>
        <v>1</v>
      </c>
      <c r="C1444" s="2">
        <f>IFERROR(__xludf.DUMMYFUNCTION("""COMPUTED_VALUE"""),854.0)</f>
        <v>854</v>
      </c>
      <c r="D1444" s="3">
        <f>IFERROR(__xludf.DUMMYFUNCTION("""COMPUTED_VALUE"""),310.0)</f>
        <v>310</v>
      </c>
      <c r="E1444" s="2"/>
      <c r="F1444" s="2"/>
    </row>
    <row r="1445">
      <c r="A1445" s="2">
        <f>IFERROR(__xludf.DUMMYFUNCTION("""COMPUTED_VALUE"""),78482.0)</f>
        <v>78482</v>
      </c>
      <c r="B1445" s="2">
        <f>IFERROR(__xludf.DUMMYFUNCTION("""COMPUTED_VALUE"""),1.0)</f>
        <v>1</v>
      </c>
      <c r="C1445" s="2">
        <f>IFERROR(__xludf.DUMMYFUNCTION("""COMPUTED_VALUE"""),180.0)</f>
        <v>180</v>
      </c>
      <c r="D1445" s="3">
        <f>IFERROR(__xludf.DUMMYFUNCTION("""COMPUTED_VALUE"""),145.0)</f>
        <v>145</v>
      </c>
      <c r="E1445" s="2"/>
      <c r="F1445" s="2"/>
    </row>
    <row r="1446">
      <c r="A1446" s="2">
        <f>IFERROR(__xludf.DUMMYFUNCTION("""COMPUTED_VALUE"""),158473.0)</f>
        <v>158473</v>
      </c>
      <c r="B1446" s="2">
        <f>IFERROR(__xludf.DUMMYFUNCTION("""COMPUTED_VALUE"""),0.0)</f>
        <v>0</v>
      </c>
      <c r="C1446" s="2">
        <f>IFERROR(__xludf.DUMMYFUNCTION("""COMPUTED_VALUE"""),261.0)</f>
        <v>261</v>
      </c>
      <c r="D1446" s="3">
        <f>IFERROR(__xludf.DUMMYFUNCTION("""COMPUTED_VALUE"""),106.0)</f>
        <v>106</v>
      </c>
      <c r="E1446" s="2"/>
      <c r="F1446" s="2"/>
    </row>
    <row r="1447">
      <c r="A1447" s="2">
        <f>IFERROR(__xludf.DUMMYFUNCTION("""COMPUTED_VALUE"""),109308.0)</f>
        <v>109308</v>
      </c>
      <c r="B1447" s="2">
        <f>IFERROR(__xludf.DUMMYFUNCTION("""COMPUTED_VALUE"""),0.0)</f>
        <v>0</v>
      </c>
      <c r="C1447" s="2">
        <f>IFERROR(__xludf.DUMMYFUNCTION("""COMPUTED_VALUE"""),95.0)</f>
        <v>95</v>
      </c>
      <c r="D1447" s="3">
        <f>IFERROR(__xludf.DUMMYFUNCTION("""COMPUTED_VALUE"""),30.0)</f>
        <v>30</v>
      </c>
      <c r="E1447" s="2"/>
      <c r="F1447" s="2"/>
    </row>
    <row r="1448">
      <c r="A1448" s="2">
        <f>IFERROR(__xludf.DUMMYFUNCTION("""COMPUTED_VALUE"""),78507.0)</f>
        <v>78507</v>
      </c>
      <c r="B1448" s="2">
        <f>IFERROR(__xludf.DUMMYFUNCTION("""COMPUTED_VALUE"""),1.0)</f>
        <v>1</v>
      </c>
      <c r="C1448" s="2">
        <f>IFERROR(__xludf.DUMMYFUNCTION("""COMPUTED_VALUE"""),264.0)</f>
        <v>264</v>
      </c>
      <c r="D1448" s="3">
        <f>IFERROR(__xludf.DUMMYFUNCTION("""COMPUTED_VALUE"""),206.0)</f>
        <v>206</v>
      </c>
      <c r="E1448" s="2"/>
      <c r="F1448" s="2"/>
    </row>
    <row r="1449">
      <c r="A1449" s="2">
        <f>IFERROR(__xludf.DUMMYFUNCTION("""COMPUTED_VALUE"""),100827.0)</f>
        <v>100827</v>
      </c>
      <c r="B1449" s="2">
        <f>IFERROR(__xludf.DUMMYFUNCTION("""COMPUTED_VALUE"""),0.0)</f>
        <v>0</v>
      </c>
      <c r="C1449" s="2">
        <f>IFERROR(__xludf.DUMMYFUNCTION("""COMPUTED_VALUE"""),548.0)</f>
        <v>548</v>
      </c>
      <c r="D1449" s="3">
        <f>IFERROR(__xludf.DUMMYFUNCTION("""COMPUTED_VALUE"""),59.0)</f>
        <v>59</v>
      </c>
      <c r="E1449" s="2"/>
      <c r="F1449" s="2"/>
    </row>
    <row r="1450">
      <c r="A1450" s="2">
        <f>IFERROR(__xludf.DUMMYFUNCTION("""COMPUTED_VALUE"""),102189.0)</f>
        <v>102189</v>
      </c>
      <c r="B1450" s="2">
        <f>IFERROR(__xludf.DUMMYFUNCTION("""COMPUTED_VALUE"""),0.0)</f>
        <v>0</v>
      </c>
      <c r="C1450" s="2">
        <f>IFERROR(__xludf.DUMMYFUNCTION("""COMPUTED_VALUE"""),504.0)</f>
        <v>504</v>
      </c>
      <c r="D1450" s="3">
        <f>IFERROR(__xludf.DUMMYFUNCTION("""COMPUTED_VALUE"""),187.0)</f>
        <v>187</v>
      </c>
      <c r="E1450" s="2"/>
      <c r="F1450" s="2"/>
    </row>
    <row r="1451">
      <c r="A1451" s="2">
        <f>IFERROR(__xludf.DUMMYFUNCTION("""COMPUTED_VALUE"""),10522.0)</f>
        <v>10522</v>
      </c>
      <c r="B1451" s="2">
        <f>IFERROR(__xludf.DUMMYFUNCTION("""COMPUTED_VALUE"""),1.0)</f>
        <v>1</v>
      </c>
      <c r="C1451" s="2">
        <f>IFERROR(__xludf.DUMMYFUNCTION("""COMPUTED_VALUE"""),606.0)</f>
        <v>606</v>
      </c>
      <c r="D1451" s="3">
        <f>IFERROR(__xludf.DUMMYFUNCTION("""COMPUTED_VALUE"""),178.0)</f>
        <v>178</v>
      </c>
      <c r="E1451" s="2"/>
      <c r="F1451" s="2"/>
    </row>
    <row r="1452">
      <c r="A1452" s="2">
        <f>IFERROR(__xludf.DUMMYFUNCTION("""COMPUTED_VALUE"""),78467.0)</f>
        <v>78467</v>
      </c>
      <c r="B1452" s="2">
        <f>IFERROR(__xludf.DUMMYFUNCTION("""COMPUTED_VALUE"""),1.0)</f>
        <v>1</v>
      </c>
      <c r="C1452" s="2">
        <f>IFERROR(__xludf.DUMMYFUNCTION("""COMPUTED_VALUE"""),544.0)</f>
        <v>544</v>
      </c>
      <c r="D1452" s="3">
        <f>IFERROR(__xludf.DUMMYFUNCTION("""COMPUTED_VALUE"""),266.0)</f>
        <v>266</v>
      </c>
      <c r="E1452" s="2"/>
      <c r="F1452" s="2"/>
    </row>
    <row r="1453">
      <c r="A1453" s="2">
        <f>IFERROR(__xludf.DUMMYFUNCTION("""COMPUTED_VALUE"""),84367.0)</f>
        <v>84367</v>
      </c>
      <c r="B1453" s="2">
        <f>IFERROR(__xludf.DUMMYFUNCTION("""COMPUTED_VALUE"""),1.0)</f>
        <v>1</v>
      </c>
      <c r="C1453" s="2">
        <f>IFERROR(__xludf.DUMMYFUNCTION("""COMPUTED_VALUE"""),844.0)</f>
        <v>844</v>
      </c>
      <c r="D1453" s="3">
        <f>IFERROR(__xludf.DUMMYFUNCTION("""COMPUTED_VALUE"""),538.0)</f>
        <v>538</v>
      </c>
      <c r="E1453" s="2"/>
      <c r="F1453" s="2"/>
    </row>
    <row r="1454">
      <c r="A1454" s="2">
        <f>IFERROR(__xludf.DUMMYFUNCTION("""COMPUTED_VALUE"""),87402.0)</f>
        <v>87402</v>
      </c>
      <c r="B1454" s="2">
        <f>IFERROR(__xludf.DUMMYFUNCTION("""COMPUTED_VALUE"""),0.0)</f>
        <v>0</v>
      </c>
      <c r="C1454" s="2">
        <f>IFERROR(__xludf.DUMMYFUNCTION("""COMPUTED_VALUE"""),177.0)</f>
        <v>177</v>
      </c>
      <c r="D1454" s="3">
        <f>IFERROR(__xludf.DUMMYFUNCTION("""COMPUTED_VALUE"""),95.0)</f>
        <v>95</v>
      </c>
      <c r="E1454" s="2"/>
      <c r="F1454" s="2"/>
    </row>
    <row r="1455">
      <c r="A1455" s="2">
        <f>IFERROR(__xludf.DUMMYFUNCTION("""COMPUTED_VALUE"""),44707.0)</f>
        <v>44707</v>
      </c>
      <c r="B1455" s="2">
        <f>IFERROR(__xludf.DUMMYFUNCTION("""COMPUTED_VALUE"""),0.0)</f>
        <v>0</v>
      </c>
      <c r="C1455" s="2">
        <f>IFERROR(__xludf.DUMMYFUNCTION("""COMPUTED_VALUE"""),802.0)</f>
        <v>802</v>
      </c>
      <c r="D1455" s="3">
        <f>IFERROR(__xludf.DUMMYFUNCTION("""COMPUTED_VALUE"""),174.0)</f>
        <v>174</v>
      </c>
      <c r="E1455" s="2"/>
      <c r="F1455" s="2"/>
    </row>
    <row r="1456">
      <c r="A1456" s="2">
        <f>IFERROR(__xludf.DUMMYFUNCTION("""COMPUTED_VALUE"""),78400.0)</f>
        <v>78400</v>
      </c>
      <c r="B1456" s="2">
        <f>IFERROR(__xludf.DUMMYFUNCTION("""COMPUTED_VALUE"""),1.0)</f>
        <v>1</v>
      </c>
      <c r="C1456" s="2">
        <f>IFERROR(__xludf.DUMMYFUNCTION("""COMPUTED_VALUE"""),764.0)</f>
        <v>764</v>
      </c>
      <c r="D1456" s="3">
        <f>IFERROR(__xludf.DUMMYFUNCTION("""COMPUTED_VALUE"""),453.0)</f>
        <v>453</v>
      </c>
      <c r="E1456" s="2"/>
      <c r="F1456" s="2"/>
    </row>
    <row r="1457">
      <c r="A1457" s="2">
        <f>IFERROR(__xludf.DUMMYFUNCTION("""COMPUTED_VALUE"""),102188.0)</f>
        <v>102188</v>
      </c>
      <c r="B1457" s="2">
        <f>IFERROR(__xludf.DUMMYFUNCTION("""COMPUTED_VALUE"""),1.0)</f>
        <v>1</v>
      </c>
      <c r="C1457" s="2">
        <f>IFERROR(__xludf.DUMMYFUNCTION("""COMPUTED_VALUE"""),158.0)</f>
        <v>158</v>
      </c>
      <c r="D1457" s="3">
        <f>IFERROR(__xludf.DUMMYFUNCTION("""COMPUTED_VALUE"""),54.0)</f>
        <v>54</v>
      </c>
      <c r="E1457" s="2"/>
      <c r="F1457" s="2"/>
    </row>
    <row r="1458">
      <c r="A1458" s="2">
        <f>IFERROR(__xludf.DUMMYFUNCTION("""COMPUTED_VALUE"""),73173.0)</f>
        <v>73173</v>
      </c>
      <c r="B1458" s="2">
        <f>IFERROR(__xludf.DUMMYFUNCTION("""COMPUTED_VALUE"""),1.0)</f>
        <v>1</v>
      </c>
      <c r="C1458" s="2">
        <f>IFERROR(__xludf.DUMMYFUNCTION("""COMPUTED_VALUE"""),680.0)</f>
        <v>680</v>
      </c>
      <c r="D1458" s="3">
        <f>IFERROR(__xludf.DUMMYFUNCTION("""COMPUTED_VALUE"""),9.0)</f>
        <v>9</v>
      </c>
      <c r="E1458" s="2"/>
      <c r="F1458" s="2"/>
    </row>
    <row r="1459">
      <c r="A1459" s="2">
        <f>IFERROR(__xludf.DUMMYFUNCTION("""COMPUTED_VALUE"""),76661.0)</f>
        <v>76661</v>
      </c>
      <c r="B1459" s="2">
        <f>IFERROR(__xludf.DUMMYFUNCTION("""COMPUTED_VALUE"""),0.0)</f>
        <v>0</v>
      </c>
      <c r="C1459" s="2">
        <f>IFERROR(__xludf.DUMMYFUNCTION("""COMPUTED_VALUE"""),311.0)</f>
        <v>311</v>
      </c>
      <c r="D1459" s="3">
        <f>IFERROR(__xludf.DUMMYFUNCTION("""COMPUTED_VALUE"""),68.0)</f>
        <v>68</v>
      </c>
      <c r="E1459" s="2"/>
      <c r="F1459" s="2"/>
    </row>
    <row r="1460">
      <c r="A1460" s="2">
        <f>IFERROR(__xludf.DUMMYFUNCTION("""COMPUTED_VALUE"""),78479.0)</f>
        <v>78479</v>
      </c>
      <c r="B1460" s="2">
        <f>IFERROR(__xludf.DUMMYFUNCTION("""COMPUTED_VALUE"""),0.0)</f>
        <v>0</v>
      </c>
      <c r="C1460" s="2">
        <f>IFERROR(__xludf.DUMMYFUNCTION("""COMPUTED_VALUE"""),367.0)</f>
        <v>367</v>
      </c>
      <c r="D1460" s="3">
        <f>IFERROR(__xludf.DUMMYFUNCTION("""COMPUTED_VALUE"""),267.0)</f>
        <v>267</v>
      </c>
      <c r="E1460" s="2"/>
      <c r="F1460" s="2"/>
    </row>
    <row r="1461">
      <c r="A1461" s="2">
        <f>IFERROR(__xludf.DUMMYFUNCTION("""COMPUTED_VALUE"""),103401.0)</f>
        <v>103401</v>
      </c>
      <c r="B1461" s="2">
        <f>IFERROR(__xludf.DUMMYFUNCTION("""COMPUTED_VALUE"""),0.0)</f>
        <v>0</v>
      </c>
      <c r="C1461" s="2">
        <f>IFERROR(__xludf.DUMMYFUNCTION("""COMPUTED_VALUE"""),317.0)</f>
        <v>317</v>
      </c>
      <c r="D1461" s="3">
        <f>IFERROR(__xludf.DUMMYFUNCTION("""COMPUTED_VALUE"""),59.0)</f>
        <v>59</v>
      </c>
      <c r="E1461" s="2"/>
      <c r="F1461" s="2"/>
    </row>
    <row r="1462">
      <c r="A1462" s="2">
        <f>IFERROR(__xludf.DUMMYFUNCTION("""COMPUTED_VALUE"""),83340.0)</f>
        <v>83340</v>
      </c>
      <c r="B1462" s="2">
        <f>IFERROR(__xludf.DUMMYFUNCTION("""COMPUTED_VALUE"""),0.0)</f>
        <v>0</v>
      </c>
      <c r="C1462" s="2">
        <f>IFERROR(__xludf.DUMMYFUNCTION("""COMPUTED_VALUE"""),688.0)</f>
        <v>688</v>
      </c>
      <c r="D1462" s="3">
        <f>IFERROR(__xludf.DUMMYFUNCTION("""COMPUTED_VALUE"""),304.0)</f>
        <v>304</v>
      </c>
      <c r="E1462" s="2"/>
      <c r="F1462" s="2"/>
    </row>
    <row r="1463">
      <c r="A1463" s="2">
        <f>IFERROR(__xludf.DUMMYFUNCTION("""COMPUTED_VALUE"""),44725.0)</f>
        <v>44725</v>
      </c>
      <c r="B1463" s="2">
        <f>IFERROR(__xludf.DUMMYFUNCTION("""COMPUTED_VALUE"""),0.0)</f>
        <v>0</v>
      </c>
      <c r="C1463" s="2">
        <f>IFERROR(__xludf.DUMMYFUNCTION("""COMPUTED_VALUE"""),522.0)</f>
        <v>522</v>
      </c>
      <c r="D1463" s="3">
        <f>IFERROR(__xludf.DUMMYFUNCTION("""COMPUTED_VALUE"""),123.0)</f>
        <v>123</v>
      </c>
      <c r="E1463" s="2"/>
      <c r="F1463" s="2"/>
    </row>
    <row r="1464">
      <c r="A1464" s="2">
        <f>IFERROR(__xludf.DUMMYFUNCTION("""COMPUTED_VALUE"""),109311.0)</f>
        <v>109311</v>
      </c>
      <c r="B1464" s="2">
        <f>IFERROR(__xludf.DUMMYFUNCTION("""COMPUTED_VALUE"""),1.0)</f>
        <v>1</v>
      </c>
      <c r="C1464" s="2">
        <f>IFERROR(__xludf.DUMMYFUNCTION("""COMPUTED_VALUE"""),235.0)</f>
        <v>235</v>
      </c>
      <c r="D1464" s="3">
        <f>IFERROR(__xludf.DUMMYFUNCTION("""COMPUTED_VALUE"""),229.0)</f>
        <v>229</v>
      </c>
      <c r="E1464" s="2"/>
      <c r="F1464" s="2"/>
    </row>
    <row r="1465">
      <c r="A1465" s="2">
        <f>IFERROR(__xludf.DUMMYFUNCTION("""COMPUTED_VALUE"""),133901.0)</f>
        <v>133901</v>
      </c>
      <c r="B1465" s="2">
        <f>IFERROR(__xludf.DUMMYFUNCTION("""COMPUTED_VALUE"""),1.0)</f>
        <v>1</v>
      </c>
      <c r="C1465" s="2">
        <f>IFERROR(__xludf.DUMMYFUNCTION("""COMPUTED_VALUE"""),221.0)</f>
        <v>221</v>
      </c>
      <c r="D1465" s="3">
        <f>IFERROR(__xludf.DUMMYFUNCTION("""COMPUTED_VALUE"""),206.0)</f>
        <v>206</v>
      </c>
      <c r="E1465" s="2"/>
      <c r="F1465" s="2"/>
    </row>
    <row r="1466">
      <c r="A1466" s="2">
        <f>IFERROR(__xludf.DUMMYFUNCTION("""COMPUTED_VALUE"""),92678.0)</f>
        <v>92678</v>
      </c>
      <c r="B1466" s="2">
        <f>IFERROR(__xludf.DUMMYFUNCTION("""COMPUTED_VALUE"""),1.0)</f>
        <v>1</v>
      </c>
      <c r="C1466" s="2">
        <f>IFERROR(__xludf.DUMMYFUNCTION("""COMPUTED_VALUE"""),175.0)</f>
        <v>175</v>
      </c>
      <c r="D1466" s="3">
        <f>IFERROR(__xludf.DUMMYFUNCTION("""COMPUTED_VALUE"""),108.0)</f>
        <v>108</v>
      </c>
      <c r="E1466" s="2"/>
      <c r="F1466" s="2"/>
    </row>
    <row r="1467">
      <c r="A1467" s="2">
        <f>IFERROR(__xludf.DUMMYFUNCTION("""COMPUTED_VALUE"""),82447.0)</f>
        <v>82447</v>
      </c>
      <c r="B1467" s="2">
        <f>IFERROR(__xludf.DUMMYFUNCTION("""COMPUTED_VALUE"""),0.0)</f>
        <v>0</v>
      </c>
      <c r="C1467" s="2">
        <f>IFERROR(__xludf.DUMMYFUNCTION("""COMPUTED_VALUE"""),56.0)</f>
        <v>56</v>
      </c>
      <c r="D1467" s="3">
        <f>IFERROR(__xludf.DUMMYFUNCTION("""COMPUTED_VALUE"""),27.0)</f>
        <v>27</v>
      </c>
      <c r="E1467" s="2"/>
      <c r="F1467" s="2"/>
    </row>
    <row r="1468">
      <c r="A1468" s="2">
        <f>IFERROR(__xludf.DUMMYFUNCTION("""COMPUTED_VALUE"""),110126.0)</f>
        <v>110126</v>
      </c>
      <c r="B1468" s="2">
        <f>IFERROR(__xludf.DUMMYFUNCTION("""COMPUTED_VALUE"""),1.0)</f>
        <v>1</v>
      </c>
      <c r="C1468" s="2">
        <f>IFERROR(__xludf.DUMMYFUNCTION("""COMPUTED_VALUE"""),750.0)</f>
        <v>750</v>
      </c>
      <c r="D1468" s="3">
        <f>IFERROR(__xludf.DUMMYFUNCTION("""COMPUTED_VALUE"""),482.0)</f>
        <v>482</v>
      </c>
      <c r="E1468" s="2"/>
      <c r="F1468" s="2"/>
    </row>
    <row r="1469">
      <c r="A1469" s="2">
        <f>IFERROR(__xludf.DUMMYFUNCTION("""COMPUTED_VALUE"""),3219.0)</f>
        <v>3219</v>
      </c>
      <c r="B1469" s="2">
        <f>IFERROR(__xludf.DUMMYFUNCTION("""COMPUTED_VALUE"""),0.0)</f>
        <v>0</v>
      </c>
      <c r="C1469" s="2">
        <f>IFERROR(__xludf.DUMMYFUNCTION("""COMPUTED_VALUE"""),857.0)</f>
        <v>857</v>
      </c>
      <c r="D1469" s="3">
        <f>IFERROR(__xludf.DUMMYFUNCTION("""COMPUTED_VALUE"""),339.0)</f>
        <v>339</v>
      </c>
      <c r="E1469" s="2"/>
      <c r="F1469" s="2"/>
    </row>
    <row r="1470">
      <c r="A1470" s="2">
        <f>IFERROR(__xludf.DUMMYFUNCTION("""COMPUTED_VALUE"""),127007.0)</f>
        <v>127007</v>
      </c>
      <c r="B1470" s="2">
        <f>IFERROR(__xludf.DUMMYFUNCTION("""COMPUTED_VALUE"""),0.0)</f>
        <v>0</v>
      </c>
      <c r="C1470" s="2">
        <f>IFERROR(__xludf.DUMMYFUNCTION("""COMPUTED_VALUE"""),448.0)</f>
        <v>448</v>
      </c>
      <c r="D1470" s="3">
        <f>IFERROR(__xludf.DUMMYFUNCTION("""COMPUTED_VALUE"""),436.0)</f>
        <v>436</v>
      </c>
      <c r="E1470" s="2"/>
      <c r="F1470" s="2"/>
    </row>
    <row r="1471">
      <c r="A1471" s="2">
        <f>IFERROR(__xludf.DUMMYFUNCTION("""COMPUTED_VALUE"""),102277.0)</f>
        <v>102277</v>
      </c>
      <c r="B1471" s="2">
        <f>IFERROR(__xludf.DUMMYFUNCTION("""COMPUTED_VALUE"""),1.0)</f>
        <v>1</v>
      </c>
      <c r="C1471" s="2">
        <f>IFERROR(__xludf.DUMMYFUNCTION("""COMPUTED_VALUE"""),291.0)</f>
        <v>291</v>
      </c>
      <c r="D1471" s="3">
        <f>IFERROR(__xludf.DUMMYFUNCTION("""COMPUTED_VALUE"""),33.0)</f>
        <v>33</v>
      </c>
      <c r="E1471" s="2"/>
      <c r="F1471" s="2"/>
    </row>
    <row r="1472">
      <c r="A1472" s="2">
        <f>IFERROR(__xludf.DUMMYFUNCTION("""COMPUTED_VALUE"""),122544.0)</f>
        <v>122544</v>
      </c>
      <c r="B1472" s="2">
        <f>IFERROR(__xludf.DUMMYFUNCTION("""COMPUTED_VALUE"""),1.0)</f>
        <v>1</v>
      </c>
      <c r="C1472" s="2">
        <f>IFERROR(__xludf.DUMMYFUNCTION("""COMPUTED_VALUE"""),235.0)</f>
        <v>235</v>
      </c>
      <c r="D1472" s="3">
        <f>IFERROR(__xludf.DUMMYFUNCTION("""COMPUTED_VALUE"""),127.0)</f>
        <v>127</v>
      </c>
      <c r="E1472" s="2"/>
      <c r="F1472" s="2"/>
    </row>
    <row r="1473">
      <c r="A1473" s="2">
        <f>IFERROR(__xludf.DUMMYFUNCTION("""COMPUTED_VALUE"""),91486.0)</f>
        <v>91486</v>
      </c>
      <c r="B1473" s="2">
        <f>IFERROR(__xludf.DUMMYFUNCTION("""COMPUTED_VALUE"""),0.0)</f>
        <v>0</v>
      </c>
      <c r="C1473" s="2">
        <f>IFERROR(__xludf.DUMMYFUNCTION("""COMPUTED_VALUE"""),641.0)</f>
        <v>641</v>
      </c>
      <c r="D1473" s="3">
        <f>IFERROR(__xludf.DUMMYFUNCTION("""COMPUTED_VALUE"""),621.0)</f>
        <v>621</v>
      </c>
      <c r="E1473" s="2"/>
      <c r="F1473" s="2"/>
    </row>
    <row r="1474">
      <c r="A1474" s="2">
        <f>IFERROR(__xludf.DUMMYFUNCTION("""COMPUTED_VALUE"""),28009.0)</f>
        <v>28009</v>
      </c>
      <c r="B1474" s="2">
        <f>IFERROR(__xludf.DUMMYFUNCTION("""COMPUTED_VALUE"""),0.0)</f>
        <v>0</v>
      </c>
      <c r="C1474" s="2">
        <f>IFERROR(__xludf.DUMMYFUNCTION("""COMPUTED_VALUE"""),958.0)</f>
        <v>958</v>
      </c>
      <c r="D1474" s="3">
        <f>IFERROR(__xludf.DUMMYFUNCTION("""COMPUTED_VALUE"""),902.0)</f>
        <v>902</v>
      </c>
      <c r="E1474" s="2"/>
      <c r="F1474" s="2"/>
    </row>
    <row r="1475">
      <c r="A1475" s="2">
        <f>IFERROR(__xludf.DUMMYFUNCTION("""COMPUTED_VALUE"""),110814.0)</f>
        <v>110814</v>
      </c>
      <c r="B1475" s="2">
        <f>IFERROR(__xludf.DUMMYFUNCTION("""COMPUTED_VALUE"""),1.0)</f>
        <v>1</v>
      </c>
      <c r="C1475" s="2">
        <f>IFERROR(__xludf.DUMMYFUNCTION("""COMPUTED_VALUE"""),452.0)</f>
        <v>452</v>
      </c>
      <c r="D1475" s="3">
        <f>IFERROR(__xludf.DUMMYFUNCTION("""COMPUTED_VALUE"""),430.0)</f>
        <v>430</v>
      </c>
      <c r="E1475" s="2"/>
      <c r="F1475" s="2"/>
    </row>
    <row r="1476">
      <c r="A1476" s="2">
        <f>IFERROR(__xludf.DUMMYFUNCTION("""COMPUTED_VALUE"""),117437.0)</f>
        <v>117437</v>
      </c>
      <c r="B1476" s="2">
        <f>IFERROR(__xludf.DUMMYFUNCTION("""COMPUTED_VALUE"""),0.0)</f>
        <v>0</v>
      </c>
      <c r="C1476" s="2">
        <f>IFERROR(__xludf.DUMMYFUNCTION("""COMPUTED_VALUE"""),272.0)</f>
        <v>272</v>
      </c>
      <c r="D1476" s="3">
        <f>IFERROR(__xludf.DUMMYFUNCTION("""COMPUTED_VALUE"""),169.0)</f>
        <v>169</v>
      </c>
      <c r="E1476" s="2"/>
      <c r="F1476" s="2"/>
    </row>
    <row r="1477">
      <c r="A1477" s="2">
        <f>IFERROR(__xludf.DUMMYFUNCTION("""COMPUTED_VALUE"""),23074.0)</f>
        <v>23074</v>
      </c>
      <c r="B1477" s="2">
        <f>IFERROR(__xludf.DUMMYFUNCTION("""COMPUTED_VALUE"""),1.0)</f>
        <v>1</v>
      </c>
      <c r="C1477" s="2">
        <f>IFERROR(__xludf.DUMMYFUNCTION("""COMPUTED_VALUE"""),670.0)</f>
        <v>670</v>
      </c>
      <c r="D1477" s="3">
        <f>IFERROR(__xludf.DUMMYFUNCTION("""COMPUTED_VALUE"""),504.0)</f>
        <v>504</v>
      </c>
      <c r="E1477" s="2"/>
      <c r="F1477" s="2"/>
    </row>
    <row r="1478">
      <c r="A1478" s="2">
        <f>IFERROR(__xludf.DUMMYFUNCTION("""COMPUTED_VALUE"""),8900.0)</f>
        <v>8900</v>
      </c>
      <c r="B1478" s="2">
        <f>IFERROR(__xludf.DUMMYFUNCTION("""COMPUTED_VALUE"""),0.0)</f>
        <v>0</v>
      </c>
      <c r="C1478" s="2">
        <f>IFERROR(__xludf.DUMMYFUNCTION("""COMPUTED_VALUE"""),457.0)</f>
        <v>457</v>
      </c>
      <c r="D1478" s="3">
        <f>IFERROR(__xludf.DUMMYFUNCTION("""COMPUTED_VALUE"""),90.0)</f>
        <v>90</v>
      </c>
      <c r="E1478" s="2"/>
      <c r="F1478" s="2"/>
    </row>
    <row r="1479">
      <c r="A1479" s="2">
        <f>IFERROR(__xludf.DUMMYFUNCTION("""COMPUTED_VALUE"""),92676.0)</f>
        <v>92676</v>
      </c>
      <c r="B1479" s="2">
        <f>IFERROR(__xludf.DUMMYFUNCTION("""COMPUTED_VALUE"""),1.0)</f>
        <v>1</v>
      </c>
      <c r="C1479" s="2">
        <f>IFERROR(__xludf.DUMMYFUNCTION("""COMPUTED_VALUE"""),777.0)</f>
        <v>777</v>
      </c>
      <c r="D1479" s="3">
        <f>IFERROR(__xludf.DUMMYFUNCTION("""COMPUTED_VALUE"""),220.0)</f>
        <v>220</v>
      </c>
      <c r="E1479" s="2"/>
      <c r="F1479" s="2"/>
    </row>
    <row r="1480">
      <c r="A1480" s="2">
        <f>IFERROR(__xludf.DUMMYFUNCTION("""COMPUTED_VALUE"""),117266.0)</f>
        <v>117266</v>
      </c>
      <c r="B1480" s="2">
        <f>IFERROR(__xludf.DUMMYFUNCTION("""COMPUTED_VALUE"""),1.0)</f>
        <v>1</v>
      </c>
      <c r="C1480" s="2">
        <f>IFERROR(__xludf.DUMMYFUNCTION("""COMPUTED_VALUE"""),644.0)</f>
        <v>644</v>
      </c>
      <c r="D1480" s="3">
        <f>IFERROR(__xludf.DUMMYFUNCTION("""COMPUTED_VALUE"""),89.0)</f>
        <v>89</v>
      </c>
      <c r="E1480" s="2"/>
      <c r="F1480" s="2"/>
    </row>
    <row r="1481">
      <c r="A1481" s="2">
        <f>IFERROR(__xludf.DUMMYFUNCTION("""COMPUTED_VALUE"""),14527.0)</f>
        <v>14527</v>
      </c>
      <c r="B1481" s="2">
        <f>IFERROR(__xludf.DUMMYFUNCTION("""COMPUTED_VALUE"""),1.0)</f>
        <v>1</v>
      </c>
      <c r="C1481" s="2">
        <f>IFERROR(__xludf.DUMMYFUNCTION("""COMPUTED_VALUE"""),257.0)</f>
        <v>257</v>
      </c>
      <c r="D1481" s="3">
        <f>IFERROR(__xludf.DUMMYFUNCTION("""COMPUTED_VALUE"""),221.0)</f>
        <v>221</v>
      </c>
      <c r="E1481" s="2"/>
      <c r="F1481" s="2"/>
    </row>
    <row r="1482">
      <c r="A1482" s="2">
        <f>IFERROR(__xludf.DUMMYFUNCTION("""COMPUTED_VALUE"""),27534.0)</f>
        <v>27534</v>
      </c>
      <c r="B1482" s="2">
        <f>IFERROR(__xludf.DUMMYFUNCTION("""COMPUTED_VALUE"""),0.0)</f>
        <v>0</v>
      </c>
      <c r="C1482" s="2">
        <f>IFERROR(__xludf.DUMMYFUNCTION("""COMPUTED_VALUE"""),380.0)</f>
        <v>380</v>
      </c>
      <c r="D1482" s="3">
        <f>IFERROR(__xludf.DUMMYFUNCTION("""COMPUTED_VALUE"""),147.0)</f>
        <v>147</v>
      </c>
      <c r="E1482" s="2"/>
      <c r="F1482" s="2"/>
    </row>
    <row r="1483">
      <c r="A1483" s="2">
        <f>IFERROR(__xludf.DUMMYFUNCTION("""COMPUTED_VALUE"""),91636.0)</f>
        <v>91636</v>
      </c>
      <c r="B1483" s="2">
        <f>IFERROR(__xludf.DUMMYFUNCTION("""COMPUTED_VALUE"""),1.0)</f>
        <v>1</v>
      </c>
      <c r="C1483" s="2">
        <f>IFERROR(__xludf.DUMMYFUNCTION("""COMPUTED_VALUE"""),861.0)</f>
        <v>861</v>
      </c>
      <c r="D1483" s="3">
        <f>IFERROR(__xludf.DUMMYFUNCTION("""COMPUTED_VALUE"""),67.0)</f>
        <v>67</v>
      </c>
      <c r="E1483" s="2"/>
      <c r="F1483" s="2"/>
    </row>
    <row r="1484">
      <c r="A1484" s="2">
        <f>IFERROR(__xludf.DUMMYFUNCTION("""COMPUTED_VALUE"""),120941.0)</f>
        <v>120941</v>
      </c>
      <c r="B1484" s="2">
        <f>IFERROR(__xludf.DUMMYFUNCTION("""COMPUTED_VALUE"""),0.0)</f>
        <v>0</v>
      </c>
      <c r="C1484" s="2">
        <f>IFERROR(__xludf.DUMMYFUNCTION("""COMPUTED_VALUE"""),58.0)</f>
        <v>58</v>
      </c>
      <c r="D1484" s="3">
        <f>IFERROR(__xludf.DUMMYFUNCTION("""COMPUTED_VALUE"""),21.0)</f>
        <v>21</v>
      </c>
      <c r="E1484" s="2"/>
      <c r="F1484" s="2"/>
    </row>
    <row r="1485">
      <c r="A1485" s="2">
        <f>IFERROR(__xludf.DUMMYFUNCTION("""COMPUTED_VALUE"""),111897.0)</f>
        <v>111897</v>
      </c>
      <c r="B1485" s="2">
        <f>IFERROR(__xludf.DUMMYFUNCTION("""COMPUTED_VALUE"""),0.0)</f>
        <v>0</v>
      </c>
      <c r="C1485" s="2">
        <f>IFERROR(__xludf.DUMMYFUNCTION("""COMPUTED_VALUE"""),52.0)</f>
        <v>52</v>
      </c>
      <c r="D1485" s="3">
        <f>IFERROR(__xludf.DUMMYFUNCTION("""COMPUTED_VALUE"""),5.0)</f>
        <v>5</v>
      </c>
      <c r="E1485" s="2"/>
      <c r="F1485" s="2"/>
    </row>
    <row r="1486">
      <c r="A1486" s="2">
        <f>IFERROR(__xludf.DUMMYFUNCTION("""COMPUTED_VALUE"""),158485.0)</f>
        <v>158485</v>
      </c>
      <c r="B1486" s="2">
        <f>IFERROR(__xludf.DUMMYFUNCTION("""COMPUTED_VALUE"""),1.0)</f>
        <v>1</v>
      </c>
      <c r="C1486" s="2">
        <f>IFERROR(__xludf.DUMMYFUNCTION("""COMPUTED_VALUE"""),406.0)</f>
        <v>406</v>
      </c>
      <c r="D1486" s="3">
        <f>IFERROR(__xludf.DUMMYFUNCTION("""COMPUTED_VALUE"""),307.0)</f>
        <v>307</v>
      </c>
      <c r="E1486" s="2"/>
      <c r="F1486" s="2"/>
    </row>
    <row r="1487">
      <c r="A1487" s="2">
        <f>IFERROR(__xludf.DUMMYFUNCTION("""COMPUTED_VALUE"""),199530.0)</f>
        <v>199530</v>
      </c>
      <c r="B1487" s="2">
        <f>IFERROR(__xludf.DUMMYFUNCTION("""COMPUTED_VALUE"""),0.0)</f>
        <v>0</v>
      </c>
      <c r="C1487" s="2">
        <f>IFERROR(__xludf.DUMMYFUNCTION("""COMPUTED_VALUE"""),113.0)</f>
        <v>113</v>
      </c>
      <c r="D1487" s="3">
        <f>IFERROR(__xludf.DUMMYFUNCTION("""COMPUTED_VALUE"""),28.0)</f>
        <v>28</v>
      </c>
      <c r="E1487" s="2"/>
      <c r="F1487" s="2"/>
    </row>
    <row r="1488">
      <c r="A1488" s="2">
        <f>IFERROR(__xludf.DUMMYFUNCTION("""COMPUTED_VALUE"""),120946.0)</f>
        <v>120946</v>
      </c>
      <c r="B1488" s="2">
        <f>IFERROR(__xludf.DUMMYFUNCTION("""COMPUTED_VALUE"""),1.0)</f>
        <v>1</v>
      </c>
      <c r="C1488" s="2">
        <f>IFERROR(__xludf.DUMMYFUNCTION("""COMPUTED_VALUE"""),578.0)</f>
        <v>578</v>
      </c>
      <c r="D1488" s="3">
        <f>IFERROR(__xludf.DUMMYFUNCTION("""COMPUTED_VALUE"""),57.0)</f>
        <v>57</v>
      </c>
      <c r="E1488" s="2"/>
      <c r="F1488" s="2"/>
    </row>
    <row r="1489">
      <c r="A1489" s="2">
        <f>IFERROR(__xludf.DUMMYFUNCTION("""COMPUTED_VALUE"""),82957.0)</f>
        <v>82957</v>
      </c>
      <c r="B1489" s="2">
        <f>IFERROR(__xludf.DUMMYFUNCTION("""COMPUTED_VALUE"""),0.0)</f>
        <v>0</v>
      </c>
      <c r="C1489" s="2">
        <f>IFERROR(__xludf.DUMMYFUNCTION("""COMPUTED_VALUE"""),393.0)</f>
        <v>393</v>
      </c>
      <c r="D1489" s="3">
        <f>IFERROR(__xludf.DUMMYFUNCTION("""COMPUTED_VALUE"""),39.0)</f>
        <v>39</v>
      </c>
      <c r="E1489" s="2"/>
      <c r="F1489" s="2"/>
    </row>
    <row r="1490">
      <c r="A1490" s="2">
        <f>IFERROR(__xludf.DUMMYFUNCTION("""COMPUTED_VALUE"""),109830.0)</f>
        <v>109830</v>
      </c>
      <c r="B1490" s="2">
        <f>IFERROR(__xludf.DUMMYFUNCTION("""COMPUTED_VALUE"""),0.0)</f>
        <v>0</v>
      </c>
      <c r="C1490" s="2">
        <f>IFERROR(__xludf.DUMMYFUNCTION("""COMPUTED_VALUE"""),915.0)</f>
        <v>915</v>
      </c>
      <c r="D1490" s="3">
        <f>IFERROR(__xludf.DUMMYFUNCTION("""COMPUTED_VALUE"""),392.0)</f>
        <v>392</v>
      </c>
      <c r="E1490" s="2"/>
      <c r="F1490" s="2"/>
    </row>
    <row r="1491">
      <c r="A1491" s="2">
        <f>IFERROR(__xludf.DUMMYFUNCTION("""COMPUTED_VALUE"""),109831.0)</f>
        <v>109831</v>
      </c>
      <c r="B1491" s="2">
        <f>IFERROR(__xludf.DUMMYFUNCTION("""COMPUTED_VALUE"""),1.0)</f>
        <v>1</v>
      </c>
      <c r="C1491" s="2">
        <f>IFERROR(__xludf.DUMMYFUNCTION("""COMPUTED_VALUE"""),513.0)</f>
        <v>513</v>
      </c>
      <c r="D1491" s="3">
        <f>IFERROR(__xludf.DUMMYFUNCTION("""COMPUTED_VALUE"""),236.0)</f>
        <v>236</v>
      </c>
      <c r="E1491" s="2"/>
      <c r="F1491" s="2"/>
    </row>
    <row r="1492">
      <c r="A1492" s="2">
        <f>IFERROR(__xludf.DUMMYFUNCTION("""COMPUTED_VALUE"""),107899.0)</f>
        <v>107899</v>
      </c>
      <c r="B1492" s="2">
        <f>IFERROR(__xludf.DUMMYFUNCTION("""COMPUTED_VALUE"""),1.0)</f>
        <v>1</v>
      </c>
      <c r="C1492" s="2">
        <f>IFERROR(__xludf.DUMMYFUNCTION("""COMPUTED_VALUE"""),862.0)</f>
        <v>862</v>
      </c>
      <c r="D1492" s="3">
        <f>IFERROR(__xludf.DUMMYFUNCTION("""COMPUTED_VALUE"""),620.0)</f>
        <v>620</v>
      </c>
      <c r="E1492" s="2"/>
      <c r="F1492" s="2"/>
    </row>
    <row r="1493">
      <c r="A1493" s="2">
        <f>IFERROR(__xludf.DUMMYFUNCTION("""COMPUTED_VALUE"""),139289.0)</f>
        <v>139289</v>
      </c>
      <c r="B1493" s="2">
        <f>IFERROR(__xludf.DUMMYFUNCTION("""COMPUTED_VALUE"""),1.0)</f>
        <v>1</v>
      </c>
      <c r="C1493" s="2">
        <f>IFERROR(__xludf.DUMMYFUNCTION("""COMPUTED_VALUE"""),631.0)</f>
        <v>631</v>
      </c>
      <c r="D1493" s="3">
        <f>IFERROR(__xludf.DUMMYFUNCTION("""COMPUTED_VALUE"""),227.0)</f>
        <v>227</v>
      </c>
      <c r="E1493" s="2"/>
      <c r="F1493" s="2"/>
    </row>
    <row r="1494">
      <c r="A1494" s="2">
        <f>IFERROR(__xludf.DUMMYFUNCTION("""COMPUTED_VALUE"""),72129.0)</f>
        <v>72129</v>
      </c>
      <c r="B1494" s="2">
        <f>IFERROR(__xludf.DUMMYFUNCTION("""COMPUTED_VALUE"""),0.0)</f>
        <v>0</v>
      </c>
      <c r="C1494" s="2">
        <f>IFERROR(__xludf.DUMMYFUNCTION("""COMPUTED_VALUE"""),384.0)</f>
        <v>384</v>
      </c>
      <c r="D1494" s="3">
        <f>IFERROR(__xludf.DUMMYFUNCTION("""COMPUTED_VALUE"""),317.0)</f>
        <v>317</v>
      </c>
      <c r="E1494" s="2"/>
      <c r="F1494" s="2"/>
    </row>
    <row r="1495">
      <c r="A1495" s="2">
        <f>IFERROR(__xludf.DUMMYFUNCTION("""COMPUTED_VALUE"""),106541.0)</f>
        <v>106541</v>
      </c>
      <c r="B1495" s="2">
        <f>IFERROR(__xludf.DUMMYFUNCTION("""COMPUTED_VALUE"""),0.0)</f>
        <v>0</v>
      </c>
      <c r="C1495" s="2">
        <f>IFERROR(__xludf.DUMMYFUNCTION("""COMPUTED_VALUE"""),67.0)</f>
        <v>67</v>
      </c>
      <c r="D1495" s="3">
        <f>IFERROR(__xludf.DUMMYFUNCTION("""COMPUTED_VALUE"""),35.0)</f>
        <v>35</v>
      </c>
      <c r="E1495" s="2"/>
      <c r="F1495" s="2"/>
    </row>
    <row r="1496">
      <c r="A1496" s="2">
        <f>IFERROR(__xludf.DUMMYFUNCTION("""COMPUTED_VALUE"""),43810.0)</f>
        <v>43810</v>
      </c>
      <c r="B1496" s="2">
        <f>IFERROR(__xludf.DUMMYFUNCTION("""COMPUTED_VALUE"""),0.0)</f>
        <v>0</v>
      </c>
      <c r="C1496" s="2">
        <f>IFERROR(__xludf.DUMMYFUNCTION("""COMPUTED_VALUE"""),671.0)</f>
        <v>671</v>
      </c>
      <c r="D1496" s="3">
        <f>IFERROR(__xludf.DUMMYFUNCTION("""COMPUTED_VALUE"""),607.0)</f>
        <v>607</v>
      </c>
      <c r="E1496" s="2"/>
      <c r="F1496" s="2"/>
    </row>
    <row r="1497">
      <c r="A1497" s="2">
        <f>IFERROR(__xludf.DUMMYFUNCTION("""COMPUTED_VALUE"""),83117.0)</f>
        <v>83117</v>
      </c>
      <c r="B1497" s="2">
        <f>IFERROR(__xludf.DUMMYFUNCTION("""COMPUTED_VALUE"""),0.0)</f>
        <v>0</v>
      </c>
      <c r="C1497" s="2">
        <f>IFERROR(__xludf.DUMMYFUNCTION("""COMPUTED_VALUE"""),408.0)</f>
        <v>408</v>
      </c>
      <c r="D1497" s="3">
        <f>IFERROR(__xludf.DUMMYFUNCTION("""COMPUTED_VALUE"""),262.0)</f>
        <v>262</v>
      </c>
      <c r="E1497" s="2"/>
      <c r="F1497" s="2"/>
    </row>
    <row r="1498">
      <c r="A1498" s="2">
        <f>IFERROR(__xludf.DUMMYFUNCTION("""COMPUTED_VALUE"""),78863.0)</f>
        <v>78863</v>
      </c>
      <c r="B1498" s="2">
        <f>IFERROR(__xludf.DUMMYFUNCTION("""COMPUTED_VALUE"""),0.0)</f>
        <v>0</v>
      </c>
      <c r="C1498" s="2">
        <f>IFERROR(__xludf.DUMMYFUNCTION("""COMPUTED_VALUE"""),120.0)</f>
        <v>120</v>
      </c>
      <c r="D1498" s="3">
        <f>IFERROR(__xludf.DUMMYFUNCTION("""COMPUTED_VALUE"""),88.0)</f>
        <v>88</v>
      </c>
      <c r="E1498" s="2"/>
      <c r="F1498" s="2"/>
    </row>
    <row r="1499">
      <c r="A1499" s="2">
        <f>IFERROR(__xludf.DUMMYFUNCTION("""COMPUTED_VALUE"""),107898.0)</f>
        <v>107898</v>
      </c>
      <c r="B1499" s="2">
        <f>IFERROR(__xludf.DUMMYFUNCTION("""COMPUTED_VALUE"""),0.0)</f>
        <v>0</v>
      </c>
      <c r="C1499" s="2">
        <f>IFERROR(__xludf.DUMMYFUNCTION("""COMPUTED_VALUE"""),18.0)</f>
        <v>18</v>
      </c>
      <c r="D1499" s="3">
        <f>IFERROR(__xludf.DUMMYFUNCTION("""COMPUTED_VALUE"""),2.0)</f>
        <v>2</v>
      </c>
      <c r="E1499" s="2"/>
      <c r="F1499" s="2"/>
    </row>
    <row r="1500">
      <c r="A1500" s="2">
        <f>IFERROR(__xludf.DUMMYFUNCTION("""COMPUTED_VALUE"""),80181.0)</f>
        <v>80181</v>
      </c>
      <c r="B1500" s="2">
        <f>IFERROR(__xludf.DUMMYFUNCTION("""COMPUTED_VALUE"""),1.0)</f>
        <v>1</v>
      </c>
      <c r="C1500" s="2">
        <f>IFERROR(__xludf.DUMMYFUNCTION("""COMPUTED_VALUE"""),171.0)</f>
        <v>171</v>
      </c>
      <c r="D1500" s="3">
        <f>IFERROR(__xludf.DUMMYFUNCTION("""COMPUTED_VALUE"""),29.0)</f>
        <v>29</v>
      </c>
      <c r="E1500" s="2"/>
      <c r="F1500" s="2"/>
    </row>
    <row r="1501">
      <c r="A1501" s="2">
        <f>IFERROR(__xludf.DUMMYFUNCTION("""COMPUTED_VALUE"""),150280.0)</f>
        <v>150280</v>
      </c>
      <c r="B1501" s="2">
        <f>IFERROR(__xludf.DUMMYFUNCTION("""COMPUTED_VALUE"""),1.0)</f>
        <v>1</v>
      </c>
      <c r="C1501" s="2">
        <f>IFERROR(__xludf.DUMMYFUNCTION("""COMPUTED_VALUE"""),170.0)</f>
        <v>170</v>
      </c>
      <c r="D1501" s="3">
        <f>IFERROR(__xludf.DUMMYFUNCTION("""COMPUTED_VALUE"""),41.0)</f>
        <v>41</v>
      </c>
      <c r="E1501" s="2"/>
      <c r="F1501" s="2"/>
    </row>
    <row r="1502">
      <c r="A1502" s="2">
        <f>IFERROR(__xludf.DUMMYFUNCTION("""COMPUTED_VALUE"""),80173.0)</f>
        <v>80173</v>
      </c>
      <c r="B1502" s="2">
        <f>IFERROR(__xludf.DUMMYFUNCTION("""COMPUTED_VALUE"""),0.0)</f>
        <v>0</v>
      </c>
      <c r="C1502" s="2">
        <f>IFERROR(__xludf.DUMMYFUNCTION("""COMPUTED_VALUE"""),19.0)</f>
        <v>19</v>
      </c>
      <c r="D1502" s="3">
        <f>IFERROR(__xludf.DUMMYFUNCTION("""COMPUTED_VALUE"""),4.0)</f>
        <v>4</v>
      </c>
      <c r="E1502" s="2"/>
      <c r="F1502" s="2"/>
    </row>
    <row r="1503">
      <c r="A1503" s="2">
        <f>IFERROR(__xludf.DUMMYFUNCTION("""COMPUTED_VALUE"""),100647.0)</f>
        <v>100647</v>
      </c>
      <c r="B1503" s="2">
        <f>IFERROR(__xludf.DUMMYFUNCTION("""COMPUTED_VALUE"""),1.0)</f>
        <v>1</v>
      </c>
      <c r="C1503" s="2">
        <f>IFERROR(__xludf.DUMMYFUNCTION("""COMPUTED_VALUE"""),807.0)</f>
        <v>807</v>
      </c>
      <c r="D1503" s="3">
        <f>IFERROR(__xludf.DUMMYFUNCTION("""COMPUTED_VALUE"""),565.0)</f>
        <v>565</v>
      </c>
      <c r="E1503" s="2"/>
      <c r="F1503" s="2"/>
    </row>
    <row r="1504">
      <c r="A1504" s="2">
        <f>IFERROR(__xludf.DUMMYFUNCTION("""COMPUTED_VALUE"""),147273.0)</f>
        <v>147273</v>
      </c>
      <c r="B1504" s="2">
        <f>IFERROR(__xludf.DUMMYFUNCTION("""COMPUTED_VALUE"""),1.0)</f>
        <v>1</v>
      </c>
      <c r="C1504" s="2">
        <f>IFERROR(__xludf.DUMMYFUNCTION("""COMPUTED_VALUE"""),650.0)</f>
        <v>650</v>
      </c>
      <c r="D1504" s="3">
        <f>IFERROR(__xludf.DUMMYFUNCTION("""COMPUTED_VALUE"""),293.0)</f>
        <v>293</v>
      </c>
      <c r="E1504" s="2"/>
      <c r="F1504" s="2"/>
    </row>
    <row r="1505">
      <c r="A1505" s="2">
        <f>IFERROR(__xludf.DUMMYFUNCTION("""COMPUTED_VALUE"""),83770.0)</f>
        <v>83770</v>
      </c>
      <c r="B1505" s="2">
        <f>IFERROR(__xludf.DUMMYFUNCTION("""COMPUTED_VALUE"""),1.0)</f>
        <v>1</v>
      </c>
      <c r="C1505" s="2">
        <f>IFERROR(__xludf.DUMMYFUNCTION("""COMPUTED_VALUE"""),77.0)</f>
        <v>77</v>
      </c>
      <c r="D1505" s="3">
        <f>IFERROR(__xludf.DUMMYFUNCTION("""COMPUTED_VALUE"""),70.0)</f>
        <v>70</v>
      </c>
      <c r="E1505" s="2"/>
      <c r="F1505" s="2"/>
    </row>
    <row r="1506">
      <c r="A1506" s="2">
        <f>IFERROR(__xludf.DUMMYFUNCTION("""COMPUTED_VALUE"""),180773.0)</f>
        <v>180773</v>
      </c>
      <c r="B1506" s="2">
        <f>IFERROR(__xludf.DUMMYFUNCTION("""COMPUTED_VALUE"""),1.0)</f>
        <v>1</v>
      </c>
      <c r="C1506" s="2">
        <f>IFERROR(__xludf.DUMMYFUNCTION("""COMPUTED_VALUE"""),14.0)</f>
        <v>14</v>
      </c>
      <c r="D1506" s="3">
        <f>IFERROR(__xludf.DUMMYFUNCTION("""COMPUTED_VALUE"""),1.0)</f>
        <v>1</v>
      </c>
      <c r="E1506" s="2"/>
      <c r="F1506" s="2"/>
    </row>
    <row r="1507">
      <c r="A1507" s="2">
        <f>IFERROR(__xludf.DUMMYFUNCTION("""COMPUTED_VALUE"""),80125.0)</f>
        <v>80125</v>
      </c>
      <c r="B1507" s="2">
        <f>IFERROR(__xludf.DUMMYFUNCTION("""COMPUTED_VALUE"""),0.0)</f>
        <v>0</v>
      </c>
      <c r="C1507" s="2">
        <f>IFERROR(__xludf.DUMMYFUNCTION("""COMPUTED_VALUE"""),149.0)</f>
        <v>149</v>
      </c>
      <c r="D1507" s="3">
        <f>IFERROR(__xludf.DUMMYFUNCTION("""COMPUTED_VALUE"""),94.0)</f>
        <v>94</v>
      </c>
      <c r="E1507" s="2"/>
      <c r="F1507" s="2"/>
    </row>
    <row r="1508">
      <c r="A1508" s="2">
        <f>IFERROR(__xludf.DUMMYFUNCTION("""COMPUTED_VALUE"""),89909.0)</f>
        <v>89909</v>
      </c>
      <c r="B1508" s="2">
        <f>IFERROR(__xludf.DUMMYFUNCTION("""COMPUTED_VALUE"""),1.0)</f>
        <v>1</v>
      </c>
      <c r="C1508" s="2">
        <f>IFERROR(__xludf.DUMMYFUNCTION("""COMPUTED_VALUE"""),647.0)</f>
        <v>647</v>
      </c>
      <c r="D1508" s="3">
        <f>IFERROR(__xludf.DUMMYFUNCTION("""COMPUTED_VALUE"""),171.0)</f>
        <v>171</v>
      </c>
      <c r="E1508" s="2"/>
      <c r="F1508" s="2"/>
    </row>
    <row r="1509">
      <c r="A1509" s="2">
        <f>IFERROR(__xludf.DUMMYFUNCTION("""COMPUTED_VALUE"""),80114.0)</f>
        <v>80114</v>
      </c>
      <c r="B1509" s="2">
        <f>IFERROR(__xludf.DUMMYFUNCTION("""COMPUTED_VALUE"""),1.0)</f>
        <v>1</v>
      </c>
      <c r="C1509" s="2">
        <f>IFERROR(__xludf.DUMMYFUNCTION("""COMPUTED_VALUE"""),286.0)</f>
        <v>286</v>
      </c>
      <c r="D1509" s="3">
        <f>IFERROR(__xludf.DUMMYFUNCTION("""COMPUTED_VALUE"""),34.0)</f>
        <v>34</v>
      </c>
      <c r="E1509" s="2"/>
      <c r="F1509" s="2"/>
    </row>
    <row r="1510">
      <c r="A1510" s="2">
        <f>IFERROR(__xludf.DUMMYFUNCTION("""COMPUTED_VALUE"""),73916.0)</f>
        <v>73916</v>
      </c>
      <c r="B1510" s="2">
        <f>IFERROR(__xludf.DUMMYFUNCTION("""COMPUTED_VALUE"""),1.0)</f>
        <v>1</v>
      </c>
      <c r="C1510" s="2">
        <f>IFERROR(__xludf.DUMMYFUNCTION("""COMPUTED_VALUE"""),270.0)</f>
        <v>270</v>
      </c>
      <c r="D1510" s="3">
        <f>IFERROR(__xludf.DUMMYFUNCTION("""COMPUTED_VALUE"""),3.0)</f>
        <v>3</v>
      </c>
      <c r="E1510" s="2"/>
      <c r="F1510" s="2"/>
    </row>
    <row r="1511">
      <c r="A1511" s="2">
        <f>IFERROR(__xludf.DUMMYFUNCTION("""COMPUTED_VALUE"""),80117.0)</f>
        <v>80117</v>
      </c>
      <c r="B1511" s="2">
        <f>IFERROR(__xludf.DUMMYFUNCTION("""COMPUTED_VALUE"""),1.0)</f>
        <v>1</v>
      </c>
      <c r="C1511" s="2">
        <f>IFERROR(__xludf.DUMMYFUNCTION("""COMPUTED_VALUE"""),174.0)</f>
        <v>174</v>
      </c>
      <c r="D1511" s="3">
        <f>IFERROR(__xludf.DUMMYFUNCTION("""COMPUTED_VALUE"""),124.0)</f>
        <v>124</v>
      </c>
      <c r="E1511" s="2"/>
      <c r="F1511" s="2"/>
    </row>
    <row r="1512">
      <c r="A1512" s="2">
        <f>IFERROR(__xludf.DUMMYFUNCTION("""COMPUTED_VALUE"""),22008.0)</f>
        <v>22008</v>
      </c>
      <c r="B1512" s="2">
        <f>IFERROR(__xludf.DUMMYFUNCTION("""COMPUTED_VALUE"""),0.0)</f>
        <v>0</v>
      </c>
      <c r="C1512" s="2">
        <f>IFERROR(__xludf.DUMMYFUNCTION("""COMPUTED_VALUE"""),666.0)</f>
        <v>666</v>
      </c>
      <c r="D1512" s="3">
        <f>IFERROR(__xludf.DUMMYFUNCTION("""COMPUTED_VALUE"""),294.0)</f>
        <v>294</v>
      </c>
      <c r="E1512" s="2"/>
      <c r="F1512" s="2"/>
    </row>
    <row r="1513">
      <c r="A1513" s="2">
        <f>IFERROR(__xludf.DUMMYFUNCTION("""COMPUTED_VALUE"""),76608.0)</f>
        <v>76608</v>
      </c>
      <c r="B1513" s="2">
        <f>IFERROR(__xludf.DUMMYFUNCTION("""COMPUTED_VALUE"""),0.0)</f>
        <v>0</v>
      </c>
      <c r="C1513" s="2">
        <f>IFERROR(__xludf.DUMMYFUNCTION("""COMPUTED_VALUE"""),711.0)</f>
        <v>711</v>
      </c>
      <c r="D1513" s="3">
        <f>IFERROR(__xludf.DUMMYFUNCTION("""COMPUTED_VALUE"""),463.0)</f>
        <v>463</v>
      </c>
      <c r="E1513" s="2"/>
      <c r="F1513" s="2"/>
    </row>
    <row r="1514">
      <c r="A1514" s="2">
        <f>IFERROR(__xludf.DUMMYFUNCTION("""COMPUTED_VALUE"""),80793.0)</f>
        <v>80793</v>
      </c>
      <c r="B1514" s="2">
        <f>IFERROR(__xludf.DUMMYFUNCTION("""COMPUTED_VALUE"""),1.0)</f>
        <v>1</v>
      </c>
      <c r="C1514" s="2">
        <f>IFERROR(__xludf.DUMMYFUNCTION("""COMPUTED_VALUE"""),789.0)</f>
        <v>789</v>
      </c>
      <c r="D1514" s="3">
        <f>IFERROR(__xludf.DUMMYFUNCTION("""COMPUTED_VALUE"""),214.0)</f>
        <v>214</v>
      </c>
      <c r="E1514" s="2"/>
      <c r="F1514" s="2"/>
    </row>
    <row r="1515">
      <c r="A1515" s="2">
        <f>IFERROR(__xludf.DUMMYFUNCTION("""COMPUTED_VALUE"""),102588.0)</f>
        <v>102588</v>
      </c>
      <c r="B1515" s="2">
        <f>IFERROR(__xludf.DUMMYFUNCTION("""COMPUTED_VALUE"""),0.0)</f>
        <v>0</v>
      </c>
      <c r="C1515" s="2">
        <f>IFERROR(__xludf.DUMMYFUNCTION("""COMPUTED_VALUE"""),290.0)</f>
        <v>290</v>
      </c>
      <c r="D1515" s="3">
        <f>IFERROR(__xludf.DUMMYFUNCTION("""COMPUTED_VALUE"""),31.0)</f>
        <v>31</v>
      </c>
      <c r="E1515" s="2"/>
      <c r="F1515" s="2"/>
    </row>
    <row r="1516">
      <c r="A1516" s="2">
        <f>IFERROR(__xludf.DUMMYFUNCTION("""COMPUTED_VALUE"""),80794.0)</f>
        <v>80794</v>
      </c>
      <c r="B1516" s="2">
        <f>IFERROR(__xludf.DUMMYFUNCTION("""COMPUTED_VALUE"""),1.0)</f>
        <v>1</v>
      </c>
      <c r="C1516" s="2">
        <f>IFERROR(__xludf.DUMMYFUNCTION("""COMPUTED_VALUE"""),163.0)</f>
        <v>163</v>
      </c>
      <c r="D1516" s="3">
        <f>IFERROR(__xludf.DUMMYFUNCTION("""COMPUTED_VALUE"""),114.0)</f>
        <v>114</v>
      </c>
      <c r="E1516" s="2"/>
      <c r="F1516" s="2"/>
    </row>
    <row r="1517">
      <c r="A1517" s="2">
        <f>IFERROR(__xludf.DUMMYFUNCTION("""COMPUTED_VALUE"""),80174.0)</f>
        <v>80174</v>
      </c>
      <c r="B1517" s="2">
        <f>IFERROR(__xludf.DUMMYFUNCTION("""COMPUTED_VALUE"""),1.0)</f>
        <v>1</v>
      </c>
      <c r="C1517" s="2">
        <f>IFERROR(__xludf.DUMMYFUNCTION("""COMPUTED_VALUE"""),189.0)</f>
        <v>189</v>
      </c>
      <c r="D1517" s="3">
        <f>IFERROR(__xludf.DUMMYFUNCTION("""COMPUTED_VALUE"""),78.0)</f>
        <v>78</v>
      </c>
      <c r="E1517" s="2"/>
      <c r="F1517" s="2"/>
    </row>
    <row r="1518">
      <c r="A1518" s="2">
        <f>IFERROR(__xludf.DUMMYFUNCTION("""COMPUTED_VALUE"""),114722.0)</f>
        <v>114722</v>
      </c>
      <c r="B1518" s="2">
        <f>IFERROR(__xludf.DUMMYFUNCTION("""COMPUTED_VALUE"""),0.0)</f>
        <v>0</v>
      </c>
      <c r="C1518" s="2">
        <f>IFERROR(__xludf.DUMMYFUNCTION("""COMPUTED_VALUE"""),958.0)</f>
        <v>958</v>
      </c>
      <c r="D1518" s="3">
        <f>IFERROR(__xludf.DUMMYFUNCTION("""COMPUTED_VALUE"""),337.0)</f>
        <v>337</v>
      </c>
      <c r="E1518" s="2"/>
      <c r="F1518" s="2"/>
    </row>
    <row r="1519">
      <c r="A1519" s="2">
        <f>IFERROR(__xludf.DUMMYFUNCTION("""COMPUTED_VALUE"""),180843.0)</f>
        <v>180843</v>
      </c>
      <c r="B1519" s="2">
        <f>IFERROR(__xludf.DUMMYFUNCTION("""COMPUTED_VALUE"""),1.0)</f>
        <v>1</v>
      </c>
      <c r="C1519" s="2">
        <f>IFERROR(__xludf.DUMMYFUNCTION("""COMPUTED_VALUE"""),572.0)</f>
        <v>572</v>
      </c>
      <c r="D1519" s="3">
        <f>IFERROR(__xludf.DUMMYFUNCTION("""COMPUTED_VALUE"""),252.0)</f>
        <v>252</v>
      </c>
      <c r="E1519" s="2"/>
      <c r="F1519" s="2"/>
    </row>
    <row r="1520">
      <c r="A1520" s="2">
        <f>IFERROR(__xludf.DUMMYFUNCTION("""COMPUTED_VALUE"""),22020.0)</f>
        <v>22020</v>
      </c>
      <c r="B1520" s="2">
        <f>IFERROR(__xludf.DUMMYFUNCTION("""COMPUTED_VALUE"""),0.0)</f>
        <v>0</v>
      </c>
      <c r="C1520" s="2">
        <f>IFERROR(__xludf.DUMMYFUNCTION("""COMPUTED_VALUE"""),446.0)</f>
        <v>446</v>
      </c>
      <c r="D1520" s="3">
        <f>IFERROR(__xludf.DUMMYFUNCTION("""COMPUTED_VALUE"""),278.0)</f>
        <v>278</v>
      </c>
      <c r="E1520" s="2"/>
      <c r="F1520" s="2"/>
    </row>
    <row r="1521">
      <c r="A1521" s="2">
        <f>IFERROR(__xludf.DUMMYFUNCTION("""COMPUTED_VALUE"""),111259.0)</f>
        <v>111259</v>
      </c>
      <c r="B1521" s="2">
        <f>IFERROR(__xludf.DUMMYFUNCTION("""COMPUTED_VALUE"""),0.0)</f>
        <v>0</v>
      </c>
      <c r="C1521" s="2">
        <f>IFERROR(__xludf.DUMMYFUNCTION("""COMPUTED_VALUE"""),944.0)</f>
        <v>944</v>
      </c>
      <c r="D1521" s="3">
        <f>IFERROR(__xludf.DUMMYFUNCTION("""COMPUTED_VALUE"""),357.0)</f>
        <v>357</v>
      </c>
      <c r="E1521" s="2"/>
      <c r="F1521" s="2"/>
    </row>
    <row r="1522">
      <c r="A1522" s="2">
        <f>IFERROR(__xludf.DUMMYFUNCTION("""COMPUTED_VALUE"""),89895.0)</f>
        <v>89895</v>
      </c>
      <c r="B1522" s="2">
        <f>IFERROR(__xludf.DUMMYFUNCTION("""COMPUTED_VALUE"""),1.0)</f>
        <v>1</v>
      </c>
      <c r="C1522" s="2">
        <f>IFERROR(__xludf.DUMMYFUNCTION("""COMPUTED_VALUE"""),559.0)</f>
        <v>559</v>
      </c>
      <c r="D1522" s="3">
        <f>IFERROR(__xludf.DUMMYFUNCTION("""COMPUTED_VALUE"""),389.0)</f>
        <v>389</v>
      </c>
      <c r="E1522" s="2"/>
      <c r="F1522" s="2"/>
    </row>
    <row r="1523">
      <c r="A1523" s="2">
        <f>IFERROR(__xludf.DUMMYFUNCTION("""COMPUTED_VALUE"""),22014.0)</f>
        <v>22014</v>
      </c>
      <c r="B1523" s="2">
        <f>IFERROR(__xludf.DUMMYFUNCTION("""COMPUTED_VALUE"""),1.0)</f>
        <v>1</v>
      </c>
      <c r="C1523" s="2">
        <f>IFERROR(__xludf.DUMMYFUNCTION("""COMPUTED_VALUE"""),266.0)</f>
        <v>266</v>
      </c>
      <c r="D1523" s="3">
        <f>IFERROR(__xludf.DUMMYFUNCTION("""COMPUTED_VALUE"""),15.0)</f>
        <v>15</v>
      </c>
      <c r="E1523" s="2"/>
      <c r="F1523" s="2"/>
    </row>
    <row r="1524">
      <c r="A1524" s="2">
        <f>IFERROR(__xludf.DUMMYFUNCTION("""COMPUTED_VALUE"""),44254.0)</f>
        <v>44254</v>
      </c>
      <c r="B1524" s="2">
        <f>IFERROR(__xludf.DUMMYFUNCTION("""COMPUTED_VALUE"""),0.0)</f>
        <v>0</v>
      </c>
      <c r="C1524" s="2">
        <f>IFERROR(__xludf.DUMMYFUNCTION("""COMPUTED_VALUE"""),350.0)</f>
        <v>350</v>
      </c>
      <c r="D1524" s="3">
        <f>IFERROR(__xludf.DUMMYFUNCTION("""COMPUTED_VALUE"""),232.0)</f>
        <v>232</v>
      </c>
      <c r="E1524" s="2"/>
      <c r="F1524" s="2"/>
    </row>
    <row r="1525">
      <c r="A1525" s="2">
        <f>IFERROR(__xludf.DUMMYFUNCTION("""COMPUTED_VALUE"""),22025.0)</f>
        <v>22025</v>
      </c>
      <c r="B1525" s="2">
        <f>IFERROR(__xludf.DUMMYFUNCTION("""COMPUTED_VALUE"""),0.0)</f>
        <v>0</v>
      </c>
      <c r="C1525" s="2">
        <f>IFERROR(__xludf.DUMMYFUNCTION("""COMPUTED_VALUE"""),646.0)</f>
        <v>646</v>
      </c>
      <c r="D1525" s="3">
        <f>IFERROR(__xludf.DUMMYFUNCTION("""COMPUTED_VALUE"""),632.0)</f>
        <v>632</v>
      </c>
      <c r="E1525" s="2"/>
      <c r="F1525" s="2"/>
    </row>
    <row r="1526">
      <c r="A1526" s="2">
        <f>IFERROR(__xludf.DUMMYFUNCTION("""COMPUTED_VALUE"""),83765.0)</f>
        <v>83765</v>
      </c>
      <c r="B1526" s="2">
        <f>IFERROR(__xludf.DUMMYFUNCTION("""COMPUTED_VALUE"""),1.0)</f>
        <v>1</v>
      </c>
      <c r="C1526" s="2">
        <f>IFERROR(__xludf.DUMMYFUNCTION("""COMPUTED_VALUE"""),753.0)</f>
        <v>753</v>
      </c>
      <c r="D1526" s="3">
        <f>IFERROR(__xludf.DUMMYFUNCTION("""COMPUTED_VALUE"""),329.0)</f>
        <v>329</v>
      </c>
      <c r="E1526" s="2"/>
      <c r="F1526" s="2"/>
    </row>
    <row r="1527">
      <c r="A1527" s="2">
        <f>IFERROR(__xludf.DUMMYFUNCTION("""COMPUTED_VALUE"""),89930.0)</f>
        <v>89930</v>
      </c>
      <c r="B1527" s="2">
        <f>IFERROR(__xludf.DUMMYFUNCTION("""COMPUTED_VALUE"""),1.0)</f>
        <v>1</v>
      </c>
      <c r="C1527" s="2">
        <f>IFERROR(__xludf.DUMMYFUNCTION("""COMPUTED_VALUE"""),906.0)</f>
        <v>906</v>
      </c>
      <c r="D1527" s="3">
        <f>IFERROR(__xludf.DUMMYFUNCTION("""COMPUTED_VALUE"""),151.0)</f>
        <v>151</v>
      </c>
      <c r="E1527" s="2"/>
      <c r="F1527" s="2"/>
    </row>
    <row r="1528">
      <c r="A1528" s="2">
        <f>IFERROR(__xludf.DUMMYFUNCTION("""COMPUTED_VALUE"""),83767.0)</f>
        <v>83767</v>
      </c>
      <c r="B1528" s="2">
        <f>IFERROR(__xludf.DUMMYFUNCTION("""COMPUTED_VALUE"""),1.0)</f>
        <v>1</v>
      </c>
      <c r="C1528" s="2">
        <f>IFERROR(__xludf.DUMMYFUNCTION("""COMPUTED_VALUE"""),657.0)</f>
        <v>657</v>
      </c>
      <c r="D1528" s="3">
        <f>IFERROR(__xludf.DUMMYFUNCTION("""COMPUTED_VALUE"""),567.0)</f>
        <v>567</v>
      </c>
      <c r="E1528" s="2"/>
      <c r="F1528" s="2"/>
    </row>
    <row r="1529">
      <c r="A1529" s="2">
        <f>IFERROR(__xludf.DUMMYFUNCTION("""COMPUTED_VALUE"""),83745.0)</f>
        <v>83745</v>
      </c>
      <c r="B1529" s="2">
        <f>IFERROR(__xludf.DUMMYFUNCTION("""COMPUTED_VALUE"""),0.0)</f>
        <v>0</v>
      </c>
      <c r="C1529" s="2">
        <f>IFERROR(__xludf.DUMMYFUNCTION("""COMPUTED_VALUE"""),291.0)</f>
        <v>291</v>
      </c>
      <c r="D1529" s="3">
        <f>IFERROR(__xludf.DUMMYFUNCTION("""COMPUTED_VALUE"""),224.0)</f>
        <v>224</v>
      </c>
      <c r="E1529" s="2"/>
      <c r="F1529" s="2"/>
    </row>
    <row r="1530">
      <c r="A1530" s="2">
        <f>IFERROR(__xludf.DUMMYFUNCTION("""COMPUTED_VALUE"""),78827.0)</f>
        <v>78827</v>
      </c>
      <c r="B1530" s="2">
        <f>IFERROR(__xludf.DUMMYFUNCTION("""COMPUTED_VALUE"""),0.0)</f>
        <v>0</v>
      </c>
      <c r="C1530" s="2">
        <f>IFERROR(__xludf.DUMMYFUNCTION("""COMPUTED_VALUE"""),622.0)</f>
        <v>622</v>
      </c>
      <c r="D1530" s="3">
        <f>IFERROR(__xludf.DUMMYFUNCTION("""COMPUTED_VALUE"""),169.0)</f>
        <v>169</v>
      </c>
      <c r="E1530" s="2"/>
      <c r="F1530" s="2"/>
    </row>
    <row r="1531">
      <c r="A1531" s="2">
        <f>IFERROR(__xludf.DUMMYFUNCTION("""COMPUTED_VALUE"""),122266.0)</f>
        <v>122266</v>
      </c>
      <c r="B1531" s="2">
        <f>IFERROR(__xludf.DUMMYFUNCTION("""COMPUTED_VALUE"""),1.0)</f>
        <v>1</v>
      </c>
      <c r="C1531" s="2">
        <f>IFERROR(__xludf.DUMMYFUNCTION("""COMPUTED_VALUE"""),826.0)</f>
        <v>826</v>
      </c>
      <c r="D1531" s="3">
        <f>IFERROR(__xludf.DUMMYFUNCTION("""COMPUTED_VALUE"""),806.0)</f>
        <v>806</v>
      </c>
      <c r="E1531" s="2"/>
      <c r="F1531" s="2"/>
    </row>
    <row r="1532">
      <c r="A1532" s="2">
        <f>IFERROR(__xludf.DUMMYFUNCTION("""COMPUTED_VALUE"""),949.0)</f>
        <v>949</v>
      </c>
      <c r="B1532" s="2">
        <f>IFERROR(__xludf.DUMMYFUNCTION("""COMPUTED_VALUE"""),1.0)</f>
        <v>1</v>
      </c>
      <c r="C1532" s="2">
        <f>IFERROR(__xludf.DUMMYFUNCTION("""COMPUTED_VALUE"""),355.0)</f>
        <v>355</v>
      </c>
      <c r="D1532" s="3">
        <f>IFERROR(__xludf.DUMMYFUNCTION("""COMPUTED_VALUE"""),339.0)</f>
        <v>339</v>
      </c>
      <c r="E1532" s="2"/>
      <c r="F1532" s="2"/>
    </row>
    <row r="1533">
      <c r="A1533" s="2">
        <f>IFERROR(__xludf.DUMMYFUNCTION("""COMPUTED_VALUE"""),102595.0)</f>
        <v>102595</v>
      </c>
      <c r="B1533" s="2">
        <f>IFERROR(__xludf.DUMMYFUNCTION("""COMPUTED_VALUE"""),0.0)</f>
        <v>0</v>
      </c>
      <c r="C1533" s="2">
        <f>IFERROR(__xludf.DUMMYFUNCTION("""COMPUTED_VALUE"""),403.0)</f>
        <v>403</v>
      </c>
      <c r="D1533" s="3">
        <f>IFERROR(__xludf.DUMMYFUNCTION("""COMPUTED_VALUE"""),321.0)</f>
        <v>321</v>
      </c>
      <c r="E1533" s="2"/>
      <c r="F1533" s="2"/>
    </row>
    <row r="1534">
      <c r="A1534" s="2">
        <f>IFERROR(__xludf.DUMMYFUNCTION("""COMPUTED_VALUE"""),80790.0)</f>
        <v>80790</v>
      </c>
      <c r="B1534" s="2">
        <f>IFERROR(__xludf.DUMMYFUNCTION("""COMPUTED_VALUE"""),1.0)</f>
        <v>1</v>
      </c>
      <c r="C1534" s="2">
        <f>IFERROR(__xludf.DUMMYFUNCTION("""COMPUTED_VALUE"""),888.0)</f>
        <v>888</v>
      </c>
      <c r="D1534" s="3">
        <f>IFERROR(__xludf.DUMMYFUNCTION("""COMPUTED_VALUE"""),253.0)</f>
        <v>253</v>
      </c>
      <c r="E1534" s="2"/>
      <c r="F1534" s="2"/>
    </row>
    <row r="1535">
      <c r="A1535" s="2">
        <f>IFERROR(__xludf.DUMMYFUNCTION("""COMPUTED_VALUE"""),114257.0)</f>
        <v>114257</v>
      </c>
      <c r="B1535" s="2">
        <f>IFERROR(__xludf.DUMMYFUNCTION("""COMPUTED_VALUE"""),1.0)</f>
        <v>1</v>
      </c>
      <c r="C1535" s="2">
        <f>IFERROR(__xludf.DUMMYFUNCTION("""COMPUTED_VALUE"""),659.0)</f>
        <v>659</v>
      </c>
      <c r="D1535" s="3">
        <f>IFERROR(__xludf.DUMMYFUNCTION("""COMPUTED_VALUE"""),327.0)</f>
        <v>327</v>
      </c>
      <c r="E1535" s="2"/>
      <c r="F1535" s="2"/>
    </row>
    <row r="1536">
      <c r="A1536" s="2">
        <f>IFERROR(__xludf.DUMMYFUNCTION("""COMPUTED_VALUE"""),80121.0)</f>
        <v>80121</v>
      </c>
      <c r="B1536" s="2">
        <f>IFERROR(__xludf.DUMMYFUNCTION("""COMPUTED_VALUE"""),0.0)</f>
        <v>0</v>
      </c>
      <c r="C1536" s="2">
        <f>IFERROR(__xludf.DUMMYFUNCTION("""COMPUTED_VALUE"""),94.0)</f>
        <v>94</v>
      </c>
      <c r="D1536" s="3">
        <f>IFERROR(__xludf.DUMMYFUNCTION("""COMPUTED_VALUE"""),26.0)</f>
        <v>26</v>
      </c>
      <c r="E1536" s="2"/>
      <c r="F1536" s="2"/>
    </row>
    <row r="1537">
      <c r="A1537" s="2">
        <f>IFERROR(__xludf.DUMMYFUNCTION("""COMPUTED_VALUE"""),164929.0)</f>
        <v>164929</v>
      </c>
      <c r="B1537" s="2">
        <f>IFERROR(__xludf.DUMMYFUNCTION("""COMPUTED_VALUE"""),1.0)</f>
        <v>1</v>
      </c>
      <c r="C1537" s="2">
        <f>IFERROR(__xludf.DUMMYFUNCTION("""COMPUTED_VALUE"""),574.0)</f>
        <v>574</v>
      </c>
      <c r="D1537" s="3">
        <f>IFERROR(__xludf.DUMMYFUNCTION("""COMPUTED_VALUE"""),259.0)</f>
        <v>259</v>
      </c>
      <c r="E1537" s="2"/>
      <c r="F1537" s="2"/>
    </row>
    <row r="1538">
      <c r="A1538" s="2">
        <f>IFERROR(__xludf.DUMMYFUNCTION("""COMPUTED_VALUE"""),80180.0)</f>
        <v>80180</v>
      </c>
      <c r="B1538" s="2">
        <f>IFERROR(__xludf.DUMMYFUNCTION("""COMPUTED_VALUE"""),1.0)</f>
        <v>1</v>
      </c>
      <c r="C1538" s="2">
        <f>IFERROR(__xludf.DUMMYFUNCTION("""COMPUTED_VALUE"""),900.0)</f>
        <v>900</v>
      </c>
      <c r="D1538" s="3">
        <f>IFERROR(__xludf.DUMMYFUNCTION("""COMPUTED_VALUE"""),772.0)</f>
        <v>772</v>
      </c>
      <c r="E1538" s="2"/>
      <c r="F1538" s="2"/>
    </row>
    <row r="1539">
      <c r="A1539" s="2">
        <f>IFERROR(__xludf.DUMMYFUNCTION("""COMPUTED_VALUE"""),92930.0)</f>
        <v>92930</v>
      </c>
      <c r="B1539" s="2">
        <f>IFERROR(__xludf.DUMMYFUNCTION("""COMPUTED_VALUE"""),0.0)</f>
        <v>0</v>
      </c>
      <c r="C1539" s="2">
        <f>IFERROR(__xludf.DUMMYFUNCTION("""COMPUTED_VALUE"""),308.0)</f>
        <v>308</v>
      </c>
      <c r="D1539" s="3">
        <f>IFERROR(__xludf.DUMMYFUNCTION("""COMPUTED_VALUE"""),235.0)</f>
        <v>235</v>
      </c>
      <c r="E1539" s="2"/>
      <c r="F1539" s="2"/>
    </row>
    <row r="1540">
      <c r="A1540" s="2">
        <f>IFERROR(__xludf.DUMMYFUNCTION("""COMPUTED_VALUE"""),147271.0)</f>
        <v>147271</v>
      </c>
      <c r="B1540" s="2">
        <f>IFERROR(__xludf.DUMMYFUNCTION("""COMPUTED_VALUE"""),0.0)</f>
        <v>0</v>
      </c>
      <c r="C1540" s="2">
        <f>IFERROR(__xludf.DUMMYFUNCTION("""COMPUTED_VALUE"""),891.0)</f>
        <v>891</v>
      </c>
      <c r="D1540" s="3">
        <f>IFERROR(__xludf.DUMMYFUNCTION("""COMPUTED_VALUE"""),696.0)</f>
        <v>696</v>
      </c>
      <c r="E1540" s="2"/>
      <c r="F1540" s="2"/>
    </row>
    <row r="1541">
      <c r="A1541" s="2">
        <f>IFERROR(__xludf.DUMMYFUNCTION("""COMPUTED_VALUE"""),83748.0)</f>
        <v>83748</v>
      </c>
      <c r="B1541" s="2">
        <f>IFERROR(__xludf.DUMMYFUNCTION("""COMPUTED_VALUE"""),0.0)</f>
        <v>0</v>
      </c>
      <c r="C1541" s="2">
        <f>IFERROR(__xludf.DUMMYFUNCTION("""COMPUTED_VALUE"""),111.0)</f>
        <v>111</v>
      </c>
      <c r="D1541" s="3">
        <f>IFERROR(__xludf.DUMMYFUNCTION("""COMPUTED_VALUE"""),60.0)</f>
        <v>60</v>
      </c>
      <c r="E1541" s="2"/>
      <c r="F1541" s="2"/>
    </row>
    <row r="1542">
      <c r="A1542" s="2">
        <f>IFERROR(__xludf.DUMMYFUNCTION("""COMPUTED_VALUE"""),80120.0)</f>
        <v>80120</v>
      </c>
      <c r="B1542" s="2">
        <f>IFERROR(__xludf.DUMMYFUNCTION("""COMPUTED_VALUE"""),1.0)</f>
        <v>1</v>
      </c>
      <c r="C1542" s="2">
        <f>IFERROR(__xludf.DUMMYFUNCTION("""COMPUTED_VALUE"""),174.0)</f>
        <v>174</v>
      </c>
      <c r="D1542" s="3">
        <f>IFERROR(__xludf.DUMMYFUNCTION("""COMPUTED_VALUE"""),40.0)</f>
        <v>40</v>
      </c>
      <c r="E1542" s="2"/>
      <c r="F1542" s="2"/>
    </row>
    <row r="1543">
      <c r="A1543" s="2">
        <f>IFERROR(__xludf.DUMMYFUNCTION("""COMPUTED_VALUE"""),164931.0)</f>
        <v>164931</v>
      </c>
      <c r="B1543" s="2">
        <f>IFERROR(__xludf.DUMMYFUNCTION("""COMPUTED_VALUE"""),1.0)</f>
        <v>1</v>
      </c>
      <c r="C1543" s="2">
        <f>IFERROR(__xludf.DUMMYFUNCTION("""COMPUTED_VALUE"""),621.0)</f>
        <v>621</v>
      </c>
      <c r="D1543" s="3">
        <f>IFERROR(__xludf.DUMMYFUNCTION("""COMPUTED_VALUE"""),503.0)</f>
        <v>503</v>
      </c>
      <c r="E1543" s="2"/>
      <c r="F1543" s="2"/>
    </row>
    <row r="1544">
      <c r="A1544" s="2">
        <f>IFERROR(__xludf.DUMMYFUNCTION("""COMPUTED_VALUE"""),78804.0)</f>
        <v>78804</v>
      </c>
      <c r="B1544" s="2">
        <f>IFERROR(__xludf.DUMMYFUNCTION("""COMPUTED_VALUE"""),1.0)</f>
        <v>1</v>
      </c>
      <c r="C1544" s="2">
        <f>IFERROR(__xludf.DUMMYFUNCTION("""COMPUTED_VALUE"""),724.0)</f>
        <v>724</v>
      </c>
      <c r="D1544" s="3">
        <f>IFERROR(__xludf.DUMMYFUNCTION("""COMPUTED_VALUE"""),705.0)</f>
        <v>705</v>
      </c>
      <c r="E1544" s="2"/>
      <c r="F1544" s="2"/>
    </row>
    <row r="1545">
      <c r="A1545" s="2">
        <f>IFERROR(__xludf.DUMMYFUNCTION("""COMPUTED_VALUE"""),103096.0)</f>
        <v>103096</v>
      </c>
      <c r="B1545" s="2">
        <f>IFERROR(__xludf.DUMMYFUNCTION("""COMPUTED_VALUE"""),0.0)</f>
        <v>0</v>
      </c>
      <c r="C1545" s="2">
        <f>IFERROR(__xludf.DUMMYFUNCTION("""COMPUTED_VALUE"""),444.0)</f>
        <v>444</v>
      </c>
      <c r="D1545" s="3">
        <f>IFERROR(__xludf.DUMMYFUNCTION("""COMPUTED_VALUE"""),81.0)</f>
        <v>81</v>
      </c>
      <c r="E1545" s="2"/>
      <c r="F1545" s="2"/>
    </row>
    <row r="1546">
      <c r="A1546" s="2">
        <f>IFERROR(__xludf.DUMMYFUNCTION("""COMPUTED_VALUE"""),180770.0)</f>
        <v>180770</v>
      </c>
      <c r="B1546" s="2">
        <f>IFERROR(__xludf.DUMMYFUNCTION("""COMPUTED_VALUE"""),1.0)</f>
        <v>1</v>
      </c>
      <c r="C1546" s="2">
        <f>IFERROR(__xludf.DUMMYFUNCTION("""COMPUTED_VALUE"""),872.0)</f>
        <v>872</v>
      </c>
      <c r="D1546" s="3">
        <f>IFERROR(__xludf.DUMMYFUNCTION("""COMPUTED_VALUE"""),358.0)</f>
        <v>358</v>
      </c>
      <c r="E1546" s="2"/>
      <c r="F1546" s="2"/>
    </row>
    <row r="1547">
      <c r="A1547" s="2">
        <f>IFERROR(__xludf.DUMMYFUNCTION("""COMPUTED_VALUE"""),80115.0)</f>
        <v>80115</v>
      </c>
      <c r="B1547" s="2">
        <f>IFERROR(__xludf.DUMMYFUNCTION("""COMPUTED_VALUE"""),1.0)</f>
        <v>1</v>
      </c>
      <c r="C1547" s="2">
        <f>IFERROR(__xludf.DUMMYFUNCTION("""COMPUTED_VALUE"""),468.0)</f>
        <v>468</v>
      </c>
      <c r="D1547" s="3">
        <f>IFERROR(__xludf.DUMMYFUNCTION("""COMPUTED_VALUE"""),127.0)</f>
        <v>127</v>
      </c>
      <c r="E1547" s="2"/>
      <c r="F1547" s="2"/>
    </row>
    <row r="1548">
      <c r="A1548" s="2">
        <f>IFERROR(__xludf.DUMMYFUNCTION("""COMPUTED_VALUE"""),83771.0)</f>
        <v>83771</v>
      </c>
      <c r="B1548" s="2">
        <f>IFERROR(__xludf.DUMMYFUNCTION("""COMPUTED_VALUE"""),0.0)</f>
        <v>0</v>
      </c>
      <c r="C1548" s="2">
        <f>IFERROR(__xludf.DUMMYFUNCTION("""COMPUTED_VALUE"""),236.0)</f>
        <v>236</v>
      </c>
      <c r="D1548" s="3">
        <f>IFERROR(__xludf.DUMMYFUNCTION("""COMPUTED_VALUE"""),77.0)</f>
        <v>77</v>
      </c>
      <c r="E1548" s="2"/>
      <c r="F1548" s="2"/>
    </row>
    <row r="1549">
      <c r="A1549" s="2">
        <f>IFERROR(__xludf.DUMMYFUNCTION("""COMPUTED_VALUE"""),80124.0)</f>
        <v>80124</v>
      </c>
      <c r="B1549" s="2">
        <f>IFERROR(__xludf.DUMMYFUNCTION("""COMPUTED_VALUE"""),0.0)</f>
        <v>0</v>
      </c>
      <c r="C1549" s="2">
        <f>IFERROR(__xludf.DUMMYFUNCTION("""COMPUTED_VALUE"""),352.0)</f>
        <v>352</v>
      </c>
      <c r="D1549" s="3">
        <f>IFERROR(__xludf.DUMMYFUNCTION("""COMPUTED_VALUE"""),18.0)</f>
        <v>18</v>
      </c>
      <c r="E1549" s="2"/>
      <c r="F1549" s="2"/>
    </row>
    <row r="1550">
      <c r="A1550" s="2">
        <f>IFERROR(__xludf.DUMMYFUNCTION("""COMPUTED_VALUE"""),80111.0)</f>
        <v>80111</v>
      </c>
      <c r="B1550" s="2">
        <f>IFERROR(__xludf.DUMMYFUNCTION("""COMPUTED_VALUE"""),1.0)</f>
        <v>1</v>
      </c>
      <c r="C1550" s="2">
        <f>IFERROR(__xludf.DUMMYFUNCTION("""COMPUTED_VALUE"""),594.0)</f>
        <v>594</v>
      </c>
      <c r="D1550" s="3">
        <f>IFERROR(__xludf.DUMMYFUNCTION("""COMPUTED_VALUE"""),218.0)</f>
        <v>218</v>
      </c>
      <c r="E1550" s="2"/>
      <c r="F1550" s="2"/>
    </row>
    <row r="1551">
      <c r="A1551" s="2">
        <f>IFERROR(__xludf.DUMMYFUNCTION("""COMPUTED_VALUE"""),63864.0)</f>
        <v>63864</v>
      </c>
      <c r="B1551" s="2">
        <f>IFERROR(__xludf.DUMMYFUNCTION("""COMPUTED_VALUE"""),1.0)</f>
        <v>1</v>
      </c>
      <c r="C1551" s="2">
        <f>IFERROR(__xludf.DUMMYFUNCTION("""COMPUTED_VALUE"""),19.0)</f>
        <v>19</v>
      </c>
      <c r="D1551" s="3">
        <f>IFERROR(__xludf.DUMMYFUNCTION("""COMPUTED_VALUE"""),0.0)</f>
        <v>0</v>
      </c>
      <c r="E1551" s="2"/>
      <c r="F1551" s="2"/>
    </row>
    <row r="1552">
      <c r="A1552" s="2">
        <f>IFERROR(__xludf.DUMMYFUNCTION("""COMPUTED_VALUE"""),76824.0)</f>
        <v>76824</v>
      </c>
      <c r="B1552" s="2">
        <f>IFERROR(__xludf.DUMMYFUNCTION("""COMPUTED_VALUE"""),0.0)</f>
        <v>0</v>
      </c>
      <c r="C1552" s="2">
        <f>IFERROR(__xludf.DUMMYFUNCTION("""COMPUTED_VALUE"""),164.0)</f>
        <v>164</v>
      </c>
      <c r="D1552" s="3">
        <f>IFERROR(__xludf.DUMMYFUNCTION("""COMPUTED_VALUE"""),5.0)</f>
        <v>5</v>
      </c>
      <c r="E1552" s="2"/>
      <c r="F1552" s="2"/>
    </row>
    <row r="1553">
      <c r="A1553" s="2">
        <f>IFERROR(__xludf.DUMMYFUNCTION("""COMPUTED_VALUE"""),102599.0)</f>
        <v>102599</v>
      </c>
      <c r="B1553" s="2">
        <f>IFERROR(__xludf.DUMMYFUNCTION("""COMPUTED_VALUE"""),0.0)</f>
        <v>0</v>
      </c>
      <c r="C1553" s="2">
        <f>IFERROR(__xludf.DUMMYFUNCTION("""COMPUTED_VALUE"""),378.0)</f>
        <v>378</v>
      </c>
      <c r="D1553" s="3">
        <f>IFERROR(__xludf.DUMMYFUNCTION("""COMPUTED_VALUE"""),28.0)</f>
        <v>28</v>
      </c>
      <c r="E1553" s="2"/>
      <c r="F1553" s="2"/>
    </row>
    <row r="1554">
      <c r="A1554" s="2">
        <f>IFERROR(__xludf.DUMMYFUNCTION("""COMPUTED_VALUE"""),103001.0)</f>
        <v>103001</v>
      </c>
      <c r="B1554" s="2">
        <f>IFERROR(__xludf.DUMMYFUNCTION("""COMPUTED_VALUE"""),1.0)</f>
        <v>1</v>
      </c>
      <c r="C1554" s="2">
        <f>IFERROR(__xludf.DUMMYFUNCTION("""COMPUTED_VALUE"""),12.0)</f>
        <v>12</v>
      </c>
      <c r="D1554" s="3">
        <f>IFERROR(__xludf.DUMMYFUNCTION("""COMPUTED_VALUE"""),5.0)</f>
        <v>5</v>
      </c>
      <c r="E1554" s="2"/>
      <c r="F1554" s="2"/>
    </row>
    <row r="1555">
      <c r="A1555" s="2">
        <f>IFERROR(__xludf.DUMMYFUNCTION("""COMPUTED_VALUE"""),164928.0)</f>
        <v>164928</v>
      </c>
      <c r="B1555" s="2">
        <f>IFERROR(__xludf.DUMMYFUNCTION("""COMPUTED_VALUE"""),1.0)</f>
        <v>1</v>
      </c>
      <c r="C1555" s="2">
        <f>IFERROR(__xludf.DUMMYFUNCTION("""COMPUTED_VALUE"""),377.0)</f>
        <v>377</v>
      </c>
      <c r="D1555" s="3">
        <f>IFERROR(__xludf.DUMMYFUNCTION("""COMPUTED_VALUE"""),326.0)</f>
        <v>326</v>
      </c>
      <c r="E1555" s="2"/>
      <c r="F1555" s="2"/>
    </row>
    <row r="1556">
      <c r="A1556" s="2">
        <f>IFERROR(__xludf.DUMMYFUNCTION("""COMPUTED_VALUE"""),80791.0)</f>
        <v>80791</v>
      </c>
      <c r="B1556" s="2">
        <f>IFERROR(__xludf.DUMMYFUNCTION("""COMPUTED_VALUE"""),1.0)</f>
        <v>1</v>
      </c>
      <c r="C1556" s="2">
        <f>IFERROR(__xludf.DUMMYFUNCTION("""COMPUTED_VALUE"""),403.0)</f>
        <v>403</v>
      </c>
      <c r="D1556" s="3">
        <f>IFERROR(__xludf.DUMMYFUNCTION("""COMPUTED_VALUE"""),183.0)</f>
        <v>183</v>
      </c>
      <c r="E1556" s="2"/>
      <c r="F1556" s="2"/>
    </row>
    <row r="1557">
      <c r="A1557" s="2">
        <f>IFERROR(__xludf.DUMMYFUNCTION("""COMPUTED_VALUE"""),83223.0)</f>
        <v>83223</v>
      </c>
      <c r="B1557" s="2">
        <f>IFERROR(__xludf.DUMMYFUNCTION("""COMPUTED_VALUE"""),0.0)</f>
        <v>0</v>
      </c>
      <c r="C1557" s="2">
        <f>IFERROR(__xludf.DUMMYFUNCTION("""COMPUTED_VALUE"""),954.0)</f>
        <v>954</v>
      </c>
      <c r="D1557" s="3">
        <f>IFERROR(__xludf.DUMMYFUNCTION("""COMPUTED_VALUE"""),654.0)</f>
        <v>654</v>
      </c>
      <c r="E1557" s="2"/>
      <c r="F1557" s="2"/>
    </row>
    <row r="1558">
      <c r="A1558" s="2">
        <f>IFERROR(__xludf.DUMMYFUNCTION("""COMPUTED_VALUE"""),951.0)</f>
        <v>951</v>
      </c>
      <c r="B1558" s="2">
        <f>IFERROR(__xludf.DUMMYFUNCTION("""COMPUTED_VALUE"""),1.0)</f>
        <v>1</v>
      </c>
      <c r="C1558" s="2">
        <f>IFERROR(__xludf.DUMMYFUNCTION("""COMPUTED_VALUE"""),157.0)</f>
        <v>157</v>
      </c>
      <c r="D1558" s="3">
        <f>IFERROR(__xludf.DUMMYFUNCTION("""COMPUTED_VALUE"""),154.0)</f>
        <v>154</v>
      </c>
      <c r="E1558" s="2"/>
      <c r="F1558" s="2"/>
    </row>
    <row r="1559">
      <c r="A1559" s="2">
        <f>IFERROR(__xludf.DUMMYFUNCTION("""COMPUTED_VALUE"""),149928.0)</f>
        <v>149928</v>
      </c>
      <c r="B1559" s="2">
        <f>IFERROR(__xludf.DUMMYFUNCTION("""COMPUTED_VALUE"""),1.0)</f>
        <v>1</v>
      </c>
      <c r="C1559" s="2">
        <f>IFERROR(__xludf.DUMMYFUNCTION("""COMPUTED_VALUE"""),876.0)</f>
        <v>876</v>
      </c>
      <c r="D1559" s="3">
        <f>IFERROR(__xludf.DUMMYFUNCTION("""COMPUTED_VALUE"""),562.0)</f>
        <v>562</v>
      </c>
      <c r="E1559" s="2"/>
      <c r="F1559" s="2"/>
    </row>
    <row r="1560">
      <c r="A1560" s="2">
        <f>IFERROR(__xludf.DUMMYFUNCTION("""COMPUTED_VALUE"""),60375.0)</f>
        <v>60375</v>
      </c>
      <c r="B1560" s="2">
        <f>IFERROR(__xludf.DUMMYFUNCTION("""COMPUTED_VALUE"""),1.0)</f>
        <v>1</v>
      </c>
      <c r="C1560" s="2">
        <f>IFERROR(__xludf.DUMMYFUNCTION("""COMPUTED_VALUE"""),637.0)</f>
        <v>637</v>
      </c>
      <c r="D1560" s="3">
        <f>IFERROR(__xludf.DUMMYFUNCTION("""COMPUTED_VALUE"""),539.0)</f>
        <v>539</v>
      </c>
      <c r="E1560" s="2"/>
      <c r="F1560" s="2"/>
    </row>
    <row r="1561">
      <c r="A1561" s="2">
        <f>IFERROR(__xludf.DUMMYFUNCTION("""COMPUTED_VALUE"""),102594.0)</f>
        <v>102594</v>
      </c>
      <c r="B1561" s="2">
        <f>IFERROR(__xludf.DUMMYFUNCTION("""COMPUTED_VALUE"""),1.0)</f>
        <v>1</v>
      </c>
      <c r="C1561" s="2">
        <f>IFERROR(__xludf.DUMMYFUNCTION("""COMPUTED_VALUE"""),401.0)</f>
        <v>401</v>
      </c>
      <c r="D1561" s="3">
        <f>IFERROR(__xludf.DUMMYFUNCTION("""COMPUTED_VALUE"""),213.0)</f>
        <v>213</v>
      </c>
      <c r="E1561" s="2"/>
      <c r="F1561" s="2"/>
    </row>
    <row r="1562">
      <c r="A1562" s="2">
        <f>IFERROR(__xludf.DUMMYFUNCTION("""COMPUTED_VALUE"""),128218.0)</f>
        <v>128218</v>
      </c>
      <c r="B1562" s="2">
        <f>IFERROR(__xludf.DUMMYFUNCTION("""COMPUTED_VALUE"""),0.0)</f>
        <v>0</v>
      </c>
      <c r="C1562" s="2">
        <f>IFERROR(__xludf.DUMMYFUNCTION("""COMPUTED_VALUE"""),853.0)</f>
        <v>853</v>
      </c>
      <c r="D1562" s="3">
        <f>IFERROR(__xludf.DUMMYFUNCTION("""COMPUTED_VALUE"""),555.0)</f>
        <v>555</v>
      </c>
      <c r="E1562" s="2"/>
      <c r="F1562" s="2"/>
    </row>
    <row r="1563">
      <c r="A1563" s="2">
        <f>IFERROR(__xludf.DUMMYFUNCTION("""COMPUTED_VALUE"""),80178.0)</f>
        <v>80178</v>
      </c>
      <c r="B1563" s="2">
        <f>IFERROR(__xludf.DUMMYFUNCTION("""COMPUTED_VALUE"""),1.0)</f>
        <v>1</v>
      </c>
      <c r="C1563" s="2">
        <f>IFERROR(__xludf.DUMMYFUNCTION("""COMPUTED_VALUE"""),370.0)</f>
        <v>370</v>
      </c>
      <c r="D1563" s="3">
        <f>IFERROR(__xludf.DUMMYFUNCTION("""COMPUTED_VALUE"""),24.0)</f>
        <v>24</v>
      </c>
      <c r="E1563" s="2"/>
      <c r="F1563" s="2"/>
    </row>
    <row r="1564">
      <c r="A1564" s="2">
        <f>IFERROR(__xludf.DUMMYFUNCTION("""COMPUTED_VALUE"""),164932.0)</f>
        <v>164932</v>
      </c>
      <c r="B1564" s="2">
        <f>IFERROR(__xludf.DUMMYFUNCTION("""COMPUTED_VALUE"""),0.0)</f>
        <v>0</v>
      </c>
      <c r="C1564" s="2">
        <f>IFERROR(__xludf.DUMMYFUNCTION("""COMPUTED_VALUE"""),946.0)</f>
        <v>946</v>
      </c>
      <c r="D1564" s="3">
        <f>IFERROR(__xludf.DUMMYFUNCTION("""COMPUTED_VALUE"""),162.0)</f>
        <v>162</v>
      </c>
      <c r="E1564" s="2"/>
      <c r="F1564" s="2"/>
    </row>
    <row r="1565">
      <c r="A1565" s="2">
        <f>IFERROR(__xludf.DUMMYFUNCTION("""COMPUTED_VALUE"""),22036.0)</f>
        <v>22036</v>
      </c>
      <c r="B1565" s="2">
        <f>IFERROR(__xludf.DUMMYFUNCTION("""COMPUTED_VALUE"""),0.0)</f>
        <v>0</v>
      </c>
      <c r="C1565" s="2">
        <f>IFERROR(__xludf.DUMMYFUNCTION("""COMPUTED_VALUE"""),244.0)</f>
        <v>244</v>
      </c>
      <c r="D1565" s="3">
        <f>IFERROR(__xludf.DUMMYFUNCTION("""COMPUTED_VALUE"""),37.0)</f>
        <v>37</v>
      </c>
      <c r="E1565" s="2"/>
      <c r="F1565" s="2"/>
    </row>
    <row r="1566">
      <c r="A1566" s="2">
        <f>IFERROR(__xludf.DUMMYFUNCTION("""COMPUTED_VALUE"""),102585.0)</f>
        <v>102585</v>
      </c>
      <c r="B1566" s="2">
        <f>IFERROR(__xludf.DUMMYFUNCTION("""COMPUTED_VALUE"""),0.0)</f>
        <v>0</v>
      </c>
      <c r="C1566" s="2">
        <f>IFERROR(__xludf.DUMMYFUNCTION("""COMPUTED_VALUE"""),421.0)</f>
        <v>421</v>
      </c>
      <c r="D1566" s="3">
        <f>IFERROR(__xludf.DUMMYFUNCTION("""COMPUTED_VALUE"""),219.0)</f>
        <v>219</v>
      </c>
      <c r="E1566" s="2"/>
      <c r="F1566" s="2"/>
    </row>
    <row r="1567">
      <c r="A1567" s="2">
        <f>IFERROR(__xludf.DUMMYFUNCTION("""COMPUTED_VALUE"""),78816.0)</f>
        <v>78816</v>
      </c>
      <c r="B1567" s="2">
        <f>IFERROR(__xludf.DUMMYFUNCTION("""COMPUTED_VALUE"""),1.0)</f>
        <v>1</v>
      </c>
      <c r="C1567" s="2">
        <f>IFERROR(__xludf.DUMMYFUNCTION("""COMPUTED_VALUE"""),275.0)</f>
        <v>275</v>
      </c>
      <c r="D1567" s="3">
        <f>IFERROR(__xludf.DUMMYFUNCTION("""COMPUTED_VALUE"""),86.0)</f>
        <v>86</v>
      </c>
      <c r="E1567" s="2"/>
      <c r="F1567" s="2"/>
    </row>
    <row r="1568">
      <c r="A1568" s="2">
        <f>IFERROR(__xludf.DUMMYFUNCTION("""COMPUTED_VALUE"""),78822.0)</f>
        <v>78822</v>
      </c>
      <c r="B1568" s="2">
        <f>IFERROR(__xludf.DUMMYFUNCTION("""COMPUTED_VALUE"""),1.0)</f>
        <v>1</v>
      </c>
      <c r="C1568" s="2">
        <f>IFERROR(__xludf.DUMMYFUNCTION("""COMPUTED_VALUE"""),429.0)</f>
        <v>429</v>
      </c>
      <c r="D1568" s="3">
        <f>IFERROR(__xludf.DUMMYFUNCTION("""COMPUTED_VALUE"""),390.0)</f>
        <v>390</v>
      </c>
      <c r="E1568" s="2"/>
      <c r="F1568" s="2"/>
    </row>
    <row r="1569">
      <c r="A1569" s="2">
        <f>IFERROR(__xludf.DUMMYFUNCTION("""COMPUTED_VALUE"""),83773.0)</f>
        <v>83773</v>
      </c>
      <c r="B1569" s="2">
        <f>IFERROR(__xludf.DUMMYFUNCTION("""COMPUTED_VALUE"""),0.0)</f>
        <v>0</v>
      </c>
      <c r="C1569" s="2">
        <f>IFERROR(__xludf.DUMMYFUNCTION("""COMPUTED_VALUE"""),817.0)</f>
        <v>817</v>
      </c>
      <c r="D1569" s="3">
        <f>IFERROR(__xludf.DUMMYFUNCTION("""COMPUTED_VALUE"""),19.0)</f>
        <v>19</v>
      </c>
      <c r="E1569" s="2"/>
      <c r="F1569" s="2"/>
    </row>
    <row r="1570">
      <c r="A1570" s="2">
        <f>IFERROR(__xludf.DUMMYFUNCTION("""COMPUTED_VALUE"""),114720.0)</f>
        <v>114720</v>
      </c>
      <c r="B1570" s="2">
        <f>IFERROR(__xludf.DUMMYFUNCTION("""COMPUTED_VALUE"""),0.0)</f>
        <v>0</v>
      </c>
      <c r="C1570" s="2">
        <f>IFERROR(__xludf.DUMMYFUNCTION("""COMPUTED_VALUE"""),960.0)</f>
        <v>960</v>
      </c>
      <c r="D1570" s="3">
        <f>IFERROR(__xludf.DUMMYFUNCTION("""COMPUTED_VALUE"""),526.0)</f>
        <v>526</v>
      </c>
      <c r="E1570" s="2"/>
      <c r="F1570" s="2"/>
    </row>
    <row r="1571">
      <c r="A1571" s="2">
        <f>IFERROR(__xludf.DUMMYFUNCTION("""COMPUTED_VALUE"""),83777.0)</f>
        <v>83777</v>
      </c>
      <c r="B1571" s="2">
        <f>IFERROR(__xludf.DUMMYFUNCTION("""COMPUTED_VALUE"""),0.0)</f>
        <v>0</v>
      </c>
      <c r="C1571" s="2">
        <f>IFERROR(__xludf.DUMMYFUNCTION("""COMPUTED_VALUE"""),238.0)</f>
        <v>238</v>
      </c>
      <c r="D1571" s="3">
        <f>IFERROR(__xludf.DUMMYFUNCTION("""COMPUTED_VALUE"""),154.0)</f>
        <v>154</v>
      </c>
      <c r="E1571" s="2"/>
      <c r="F1571" s="2"/>
    </row>
    <row r="1572">
      <c r="A1572" s="2">
        <f>IFERROR(__xludf.DUMMYFUNCTION("""COMPUTED_VALUE"""),102593.0)</f>
        <v>102593</v>
      </c>
      <c r="B1572" s="2">
        <f>IFERROR(__xludf.DUMMYFUNCTION("""COMPUTED_VALUE"""),0.0)</f>
        <v>0</v>
      </c>
      <c r="C1572" s="2">
        <f>IFERROR(__xludf.DUMMYFUNCTION("""COMPUTED_VALUE"""),89.0)</f>
        <v>89</v>
      </c>
      <c r="D1572" s="3">
        <f>IFERROR(__xludf.DUMMYFUNCTION("""COMPUTED_VALUE"""),63.0)</f>
        <v>63</v>
      </c>
      <c r="E1572" s="2"/>
      <c r="F1572" s="2"/>
    </row>
    <row r="1573">
      <c r="A1573" s="2">
        <f>IFERROR(__xludf.DUMMYFUNCTION("""COMPUTED_VALUE"""),164930.0)</f>
        <v>164930</v>
      </c>
      <c r="B1573" s="2">
        <f>IFERROR(__xludf.DUMMYFUNCTION("""COMPUTED_VALUE"""),1.0)</f>
        <v>1</v>
      </c>
      <c r="C1573" s="2">
        <f>IFERROR(__xludf.DUMMYFUNCTION("""COMPUTED_VALUE"""),731.0)</f>
        <v>731</v>
      </c>
      <c r="D1573" s="3">
        <f>IFERROR(__xludf.DUMMYFUNCTION("""COMPUTED_VALUE"""),217.0)</f>
        <v>217</v>
      </c>
      <c r="E1573" s="2"/>
      <c r="F1573" s="2"/>
    </row>
    <row r="1574">
      <c r="A1574" s="2">
        <f>IFERROR(__xludf.DUMMYFUNCTION("""COMPUTED_VALUE"""),102584.0)</f>
        <v>102584</v>
      </c>
      <c r="B1574" s="2">
        <f>IFERROR(__xludf.DUMMYFUNCTION("""COMPUTED_VALUE"""),0.0)</f>
        <v>0</v>
      </c>
      <c r="C1574" s="2">
        <f>IFERROR(__xludf.DUMMYFUNCTION("""COMPUTED_VALUE"""),895.0)</f>
        <v>895</v>
      </c>
      <c r="D1574" s="3">
        <f>IFERROR(__xludf.DUMMYFUNCTION("""COMPUTED_VALUE"""),627.0)</f>
        <v>627</v>
      </c>
      <c r="E1574" s="2"/>
      <c r="F1574" s="2"/>
    </row>
    <row r="1575">
      <c r="A1575" s="2">
        <f>IFERROR(__xludf.DUMMYFUNCTION("""COMPUTED_VALUE"""),102586.0)</f>
        <v>102586</v>
      </c>
      <c r="B1575" s="2">
        <f>IFERROR(__xludf.DUMMYFUNCTION("""COMPUTED_VALUE"""),1.0)</f>
        <v>1</v>
      </c>
      <c r="C1575" s="2">
        <f>IFERROR(__xludf.DUMMYFUNCTION("""COMPUTED_VALUE"""),299.0)</f>
        <v>299</v>
      </c>
      <c r="D1575" s="3">
        <f>IFERROR(__xludf.DUMMYFUNCTION("""COMPUTED_VALUE"""),100.0)</f>
        <v>100</v>
      </c>
      <c r="E1575" s="2"/>
      <c r="F1575" s="2"/>
    </row>
    <row r="1576">
      <c r="A1576" s="2">
        <f>IFERROR(__xludf.DUMMYFUNCTION("""COMPUTED_VALUE"""),83758.0)</f>
        <v>83758</v>
      </c>
      <c r="B1576" s="2">
        <f>IFERROR(__xludf.DUMMYFUNCTION("""COMPUTED_VALUE"""),1.0)</f>
        <v>1</v>
      </c>
      <c r="C1576" s="2">
        <f>IFERROR(__xludf.DUMMYFUNCTION("""COMPUTED_VALUE"""),280.0)</f>
        <v>280</v>
      </c>
      <c r="D1576" s="3">
        <f>IFERROR(__xludf.DUMMYFUNCTION("""COMPUTED_VALUE"""),199.0)</f>
        <v>199</v>
      </c>
      <c r="E1576" s="2"/>
      <c r="F1576" s="2"/>
    </row>
    <row r="1577">
      <c r="A1577" s="2">
        <f>IFERROR(__xludf.DUMMYFUNCTION("""COMPUTED_VALUE"""),80189.0)</f>
        <v>80189</v>
      </c>
      <c r="B1577" s="2">
        <f>IFERROR(__xludf.DUMMYFUNCTION("""COMPUTED_VALUE"""),0.0)</f>
        <v>0</v>
      </c>
      <c r="C1577" s="2">
        <f>IFERROR(__xludf.DUMMYFUNCTION("""COMPUTED_VALUE"""),285.0)</f>
        <v>285</v>
      </c>
      <c r="D1577" s="3">
        <f>IFERROR(__xludf.DUMMYFUNCTION("""COMPUTED_VALUE"""),257.0)</f>
        <v>257</v>
      </c>
      <c r="E1577" s="2"/>
      <c r="F1577" s="2"/>
    </row>
    <row r="1578">
      <c r="A1578" s="2">
        <f>IFERROR(__xludf.DUMMYFUNCTION("""COMPUTED_VALUE"""),26148.0)</f>
        <v>26148</v>
      </c>
      <c r="B1578" s="2">
        <f>IFERROR(__xludf.DUMMYFUNCTION("""COMPUTED_VALUE"""),0.0)</f>
        <v>0</v>
      </c>
      <c r="C1578" s="2">
        <f>IFERROR(__xludf.DUMMYFUNCTION("""COMPUTED_VALUE"""),-5.0)</f>
        <v>-5</v>
      </c>
      <c r="D1578" s="3">
        <f>IFERROR(__xludf.DUMMYFUNCTION("""COMPUTED_VALUE"""),-4.0)</f>
        <v>-4</v>
      </c>
      <c r="E1578" s="2"/>
      <c r="F1578" s="2"/>
    </row>
    <row r="1579">
      <c r="A1579" s="2">
        <f>IFERROR(__xludf.DUMMYFUNCTION("""COMPUTED_VALUE"""),121902.0)</f>
        <v>121902</v>
      </c>
      <c r="B1579" s="2">
        <f>IFERROR(__xludf.DUMMYFUNCTION("""COMPUTED_VALUE"""),0.0)</f>
        <v>0</v>
      </c>
      <c r="C1579" s="2">
        <f>IFERROR(__xludf.DUMMYFUNCTION("""COMPUTED_VALUE"""),869.0)</f>
        <v>869</v>
      </c>
      <c r="D1579" s="3">
        <f>IFERROR(__xludf.DUMMYFUNCTION("""COMPUTED_VALUE"""),603.0)</f>
        <v>603</v>
      </c>
      <c r="E1579" s="2"/>
      <c r="F1579" s="2"/>
    </row>
    <row r="1580">
      <c r="A1580" s="2">
        <f>IFERROR(__xludf.DUMMYFUNCTION("""COMPUTED_VALUE"""),21032.0)</f>
        <v>21032</v>
      </c>
      <c r="B1580" s="2">
        <f>IFERROR(__xludf.DUMMYFUNCTION("""COMPUTED_VALUE"""),1.0)</f>
        <v>1</v>
      </c>
      <c r="C1580" s="2">
        <f>IFERROR(__xludf.DUMMYFUNCTION("""COMPUTED_VALUE"""),587.0)</f>
        <v>587</v>
      </c>
      <c r="D1580" s="3">
        <f>IFERROR(__xludf.DUMMYFUNCTION("""COMPUTED_VALUE"""),171.0)</f>
        <v>171</v>
      </c>
      <c r="E1580" s="2"/>
      <c r="F1580" s="2"/>
    </row>
    <row r="1581">
      <c r="A1581" s="2">
        <f>IFERROR(__xludf.DUMMYFUNCTION("""COMPUTED_VALUE"""),22071.0)</f>
        <v>22071</v>
      </c>
      <c r="B1581" s="2">
        <f>IFERROR(__xludf.DUMMYFUNCTION("""COMPUTED_VALUE"""),1.0)</f>
        <v>1</v>
      </c>
      <c r="C1581" s="2">
        <f>IFERROR(__xludf.DUMMYFUNCTION("""COMPUTED_VALUE"""),67.0)</f>
        <v>67</v>
      </c>
      <c r="D1581" s="3">
        <f>IFERROR(__xludf.DUMMYFUNCTION("""COMPUTED_VALUE"""),53.0)</f>
        <v>53</v>
      </c>
      <c r="E1581" s="2"/>
      <c r="F1581" s="2"/>
    </row>
    <row r="1582">
      <c r="A1582" s="2">
        <f>IFERROR(__xludf.DUMMYFUNCTION("""COMPUTED_VALUE"""),87404.0)</f>
        <v>87404</v>
      </c>
      <c r="B1582" s="2">
        <f>IFERROR(__xludf.DUMMYFUNCTION("""COMPUTED_VALUE"""),1.0)</f>
        <v>1</v>
      </c>
      <c r="C1582" s="2">
        <f>IFERROR(__xludf.DUMMYFUNCTION("""COMPUTED_VALUE"""),323.0)</f>
        <v>323</v>
      </c>
      <c r="D1582" s="3">
        <f>IFERROR(__xludf.DUMMYFUNCTION("""COMPUTED_VALUE"""),214.0)</f>
        <v>214</v>
      </c>
      <c r="E1582" s="2"/>
      <c r="F1582" s="2"/>
    </row>
    <row r="1583">
      <c r="A1583" s="2">
        <f>IFERROR(__xludf.DUMMYFUNCTION("""COMPUTED_VALUE"""),42712.0)</f>
        <v>42712</v>
      </c>
      <c r="B1583" s="2">
        <f>IFERROR(__xludf.DUMMYFUNCTION("""COMPUTED_VALUE"""),0.0)</f>
        <v>0</v>
      </c>
      <c r="C1583" s="2">
        <f>IFERROR(__xludf.DUMMYFUNCTION("""COMPUTED_VALUE"""),305.0)</f>
        <v>305</v>
      </c>
      <c r="D1583" s="3">
        <f>IFERROR(__xludf.DUMMYFUNCTION("""COMPUTED_VALUE"""),243.0)</f>
        <v>243</v>
      </c>
      <c r="E1583" s="2"/>
      <c r="F1583" s="2"/>
    </row>
    <row r="1584">
      <c r="A1584" s="2">
        <f>IFERROR(__xludf.DUMMYFUNCTION("""COMPUTED_VALUE"""),76609.0)</f>
        <v>76609</v>
      </c>
      <c r="B1584" s="2">
        <f>IFERROR(__xludf.DUMMYFUNCTION("""COMPUTED_VALUE"""),1.0)</f>
        <v>1</v>
      </c>
      <c r="C1584" s="2">
        <f>IFERROR(__xludf.DUMMYFUNCTION("""COMPUTED_VALUE"""),714.0)</f>
        <v>714</v>
      </c>
      <c r="D1584" s="3">
        <f>IFERROR(__xludf.DUMMYFUNCTION("""COMPUTED_VALUE"""),222.0)</f>
        <v>222</v>
      </c>
      <c r="E1584" s="2"/>
      <c r="F1584" s="2"/>
    </row>
    <row r="1585">
      <c r="A1585" s="2">
        <f>IFERROR(__xludf.DUMMYFUNCTION("""COMPUTED_VALUE"""),952.0)</f>
        <v>952</v>
      </c>
      <c r="B1585" s="2">
        <f>IFERROR(__xludf.DUMMYFUNCTION("""COMPUTED_VALUE"""),0.0)</f>
        <v>0</v>
      </c>
      <c r="C1585" s="2">
        <f>IFERROR(__xludf.DUMMYFUNCTION("""COMPUTED_VALUE"""),917.0)</f>
        <v>917</v>
      </c>
      <c r="D1585" s="3">
        <f>IFERROR(__xludf.DUMMYFUNCTION("""COMPUTED_VALUE"""),697.0)</f>
        <v>697</v>
      </c>
      <c r="E1585" s="2"/>
      <c r="F1585" s="2"/>
    </row>
    <row r="1586">
      <c r="A1586" s="2">
        <f>IFERROR(__xludf.DUMMYFUNCTION("""COMPUTED_VALUE"""),26136.0)</f>
        <v>26136</v>
      </c>
      <c r="B1586" s="2">
        <f>IFERROR(__xludf.DUMMYFUNCTION("""COMPUTED_VALUE"""),0.0)</f>
        <v>0</v>
      </c>
      <c r="C1586" s="2">
        <f>IFERROR(__xludf.DUMMYFUNCTION("""COMPUTED_VALUE"""),722.0)</f>
        <v>722</v>
      </c>
      <c r="D1586" s="3">
        <f>IFERROR(__xludf.DUMMYFUNCTION("""COMPUTED_VALUE"""),136.0)</f>
        <v>136</v>
      </c>
      <c r="E1586" s="2"/>
      <c r="F1586" s="2"/>
    </row>
    <row r="1587">
      <c r="A1587" s="2">
        <f>IFERROR(__xludf.DUMMYFUNCTION("""COMPUTED_VALUE"""),87502.0)</f>
        <v>87502</v>
      </c>
      <c r="B1587" s="2">
        <f>IFERROR(__xludf.DUMMYFUNCTION("""COMPUTED_VALUE"""),0.0)</f>
        <v>0</v>
      </c>
      <c r="C1587" s="2">
        <f>IFERROR(__xludf.DUMMYFUNCTION("""COMPUTED_VALUE"""),383.0)</f>
        <v>383</v>
      </c>
      <c r="D1587" s="3">
        <f>IFERROR(__xludf.DUMMYFUNCTION("""COMPUTED_VALUE"""),213.0)</f>
        <v>213</v>
      </c>
      <c r="E1587" s="2"/>
      <c r="F1587" s="2"/>
    </row>
    <row r="1588">
      <c r="A1588" s="2">
        <f>IFERROR(__xludf.DUMMYFUNCTION("""COMPUTED_VALUE"""),73923.0)</f>
        <v>73923</v>
      </c>
      <c r="B1588" s="2">
        <f>IFERROR(__xludf.DUMMYFUNCTION("""COMPUTED_VALUE"""),0.0)</f>
        <v>0</v>
      </c>
      <c r="C1588" s="2">
        <f>IFERROR(__xludf.DUMMYFUNCTION("""COMPUTED_VALUE"""),364.0)</f>
        <v>364</v>
      </c>
      <c r="D1588" s="3">
        <f>IFERROR(__xludf.DUMMYFUNCTION("""COMPUTED_VALUE"""),45.0)</f>
        <v>45</v>
      </c>
      <c r="E1588" s="2"/>
      <c r="F1588" s="2"/>
    </row>
    <row r="1589">
      <c r="A1589" s="2">
        <f>IFERROR(__xludf.DUMMYFUNCTION("""COMPUTED_VALUE"""),164927.0)</f>
        <v>164927</v>
      </c>
      <c r="B1589" s="2">
        <f>IFERROR(__xludf.DUMMYFUNCTION("""COMPUTED_VALUE"""),0.0)</f>
        <v>0</v>
      </c>
      <c r="C1589" s="2">
        <f>IFERROR(__xludf.DUMMYFUNCTION("""COMPUTED_VALUE"""),961.0)</f>
        <v>961</v>
      </c>
      <c r="D1589" s="3">
        <f>IFERROR(__xludf.DUMMYFUNCTION("""COMPUTED_VALUE"""),848.0)</f>
        <v>848</v>
      </c>
      <c r="E1589" s="2"/>
      <c r="F1589" s="2"/>
    </row>
    <row r="1590">
      <c r="A1590" s="2">
        <f>IFERROR(__xludf.DUMMYFUNCTION("""COMPUTED_VALUE"""),108749.0)</f>
        <v>108749</v>
      </c>
      <c r="B1590" s="2">
        <f>IFERROR(__xludf.DUMMYFUNCTION("""COMPUTED_VALUE"""),1.0)</f>
        <v>1</v>
      </c>
      <c r="C1590" s="2">
        <f>IFERROR(__xludf.DUMMYFUNCTION("""COMPUTED_VALUE"""),353.0)</f>
        <v>353</v>
      </c>
      <c r="D1590" s="3">
        <f>IFERROR(__xludf.DUMMYFUNCTION("""COMPUTED_VALUE"""),145.0)</f>
        <v>145</v>
      </c>
      <c r="E1590" s="2"/>
      <c r="F1590" s="2"/>
    </row>
    <row r="1591">
      <c r="A1591" s="2">
        <f>IFERROR(__xludf.DUMMYFUNCTION("""COMPUTED_VALUE"""),89919.0)</f>
        <v>89919</v>
      </c>
      <c r="B1591" s="2">
        <f>IFERROR(__xludf.DUMMYFUNCTION("""COMPUTED_VALUE"""),0.0)</f>
        <v>0</v>
      </c>
      <c r="C1591" s="2">
        <f>IFERROR(__xludf.DUMMYFUNCTION("""COMPUTED_VALUE"""),395.0)</f>
        <v>395</v>
      </c>
      <c r="D1591" s="3">
        <f>IFERROR(__xludf.DUMMYFUNCTION("""COMPUTED_VALUE"""),145.0)</f>
        <v>145</v>
      </c>
      <c r="E1591" s="2"/>
      <c r="F1591" s="2"/>
    </row>
    <row r="1592">
      <c r="A1592" s="2">
        <f>IFERROR(__xludf.DUMMYFUNCTION("""COMPUTED_VALUE"""),112897.0)</f>
        <v>112897</v>
      </c>
      <c r="B1592" s="2">
        <f>IFERROR(__xludf.DUMMYFUNCTION("""COMPUTED_VALUE"""),0.0)</f>
        <v>0</v>
      </c>
      <c r="C1592" s="2">
        <f>IFERROR(__xludf.DUMMYFUNCTION("""COMPUTED_VALUE"""),817.0)</f>
        <v>817</v>
      </c>
      <c r="D1592" s="3">
        <f>IFERROR(__xludf.DUMMYFUNCTION("""COMPUTED_VALUE"""),579.0)</f>
        <v>579</v>
      </c>
      <c r="E1592" s="2"/>
      <c r="F1592" s="2"/>
    </row>
    <row r="1593">
      <c r="A1593" s="2">
        <f>IFERROR(__xludf.DUMMYFUNCTION("""COMPUTED_VALUE"""),122013.0)</f>
        <v>122013</v>
      </c>
      <c r="B1593" s="2">
        <f>IFERROR(__xludf.DUMMYFUNCTION("""COMPUTED_VALUE"""),1.0)</f>
        <v>1</v>
      </c>
      <c r="C1593" s="2">
        <f>IFERROR(__xludf.DUMMYFUNCTION("""COMPUTED_VALUE"""),512.0)</f>
        <v>512</v>
      </c>
      <c r="D1593" s="3">
        <f>IFERROR(__xludf.DUMMYFUNCTION("""COMPUTED_VALUE"""),106.0)</f>
        <v>106</v>
      </c>
      <c r="E1593" s="2"/>
      <c r="F1593" s="2"/>
    </row>
    <row r="1594">
      <c r="A1594" s="2">
        <f>IFERROR(__xludf.DUMMYFUNCTION("""COMPUTED_VALUE"""),89902.0)</f>
        <v>89902</v>
      </c>
      <c r="B1594" s="2">
        <f>IFERROR(__xludf.DUMMYFUNCTION("""COMPUTED_VALUE"""),0.0)</f>
        <v>0</v>
      </c>
      <c r="C1594" s="2">
        <f>IFERROR(__xludf.DUMMYFUNCTION("""COMPUTED_VALUE"""),716.0)</f>
        <v>716</v>
      </c>
      <c r="D1594" s="3">
        <f>IFERROR(__xludf.DUMMYFUNCTION("""COMPUTED_VALUE"""),5.0)</f>
        <v>5</v>
      </c>
      <c r="E1594" s="2"/>
      <c r="F1594" s="2"/>
    </row>
    <row r="1595">
      <c r="A1595" s="2">
        <f>IFERROR(__xludf.DUMMYFUNCTION("""COMPUTED_VALUE"""),89900.0)</f>
        <v>89900</v>
      </c>
      <c r="B1595" s="2">
        <f>IFERROR(__xludf.DUMMYFUNCTION("""COMPUTED_VALUE"""),0.0)</f>
        <v>0</v>
      </c>
      <c r="C1595" s="2">
        <f>IFERROR(__xludf.DUMMYFUNCTION("""COMPUTED_VALUE"""),683.0)</f>
        <v>683</v>
      </c>
      <c r="D1595" s="3">
        <f>IFERROR(__xludf.DUMMYFUNCTION("""COMPUTED_VALUE"""),459.0)</f>
        <v>459</v>
      </c>
      <c r="E1595" s="2"/>
      <c r="F1595" s="2"/>
    </row>
    <row r="1596">
      <c r="A1596" s="2">
        <f>IFERROR(__xludf.DUMMYFUNCTION("""COMPUTED_VALUE"""),92461.0)</f>
        <v>92461</v>
      </c>
      <c r="B1596" s="2">
        <f>IFERROR(__xludf.DUMMYFUNCTION("""COMPUTED_VALUE"""),0.0)</f>
        <v>0</v>
      </c>
      <c r="C1596" s="2">
        <f>IFERROR(__xludf.DUMMYFUNCTION("""COMPUTED_VALUE"""),258.0)</f>
        <v>258</v>
      </c>
      <c r="D1596" s="3">
        <f>IFERROR(__xludf.DUMMYFUNCTION("""COMPUTED_VALUE"""),235.0)</f>
        <v>235</v>
      </c>
      <c r="E1596" s="2"/>
      <c r="F1596" s="2"/>
    </row>
    <row r="1597">
      <c r="A1597" s="2">
        <f>IFERROR(__xludf.DUMMYFUNCTION("""COMPUTED_VALUE"""),128834.0)</f>
        <v>128834</v>
      </c>
      <c r="B1597" s="2">
        <f>IFERROR(__xludf.DUMMYFUNCTION("""COMPUTED_VALUE"""),0.0)</f>
        <v>0</v>
      </c>
      <c r="C1597" s="2">
        <f>IFERROR(__xludf.DUMMYFUNCTION("""COMPUTED_VALUE"""),620.0)</f>
        <v>620</v>
      </c>
      <c r="D1597" s="3">
        <f>IFERROR(__xludf.DUMMYFUNCTION("""COMPUTED_VALUE"""),414.0)</f>
        <v>414</v>
      </c>
      <c r="E1597" s="2"/>
      <c r="F1597" s="2"/>
    </row>
    <row r="1598">
      <c r="A1598" s="2">
        <f>IFERROR(__xludf.DUMMYFUNCTION("""COMPUTED_VALUE"""),135180.0)</f>
        <v>135180</v>
      </c>
      <c r="B1598" s="2">
        <f>IFERROR(__xludf.DUMMYFUNCTION("""COMPUTED_VALUE"""),1.0)</f>
        <v>1</v>
      </c>
      <c r="C1598" s="2">
        <f>IFERROR(__xludf.DUMMYFUNCTION("""COMPUTED_VALUE"""),577.0)</f>
        <v>577</v>
      </c>
      <c r="D1598" s="3">
        <f>IFERROR(__xludf.DUMMYFUNCTION("""COMPUTED_VALUE"""),537.0)</f>
        <v>537</v>
      </c>
      <c r="E1598" s="2"/>
      <c r="F1598" s="2"/>
    </row>
    <row r="1599">
      <c r="A1599" s="2">
        <f>IFERROR(__xludf.DUMMYFUNCTION("""COMPUTED_VALUE"""),120582.0)</f>
        <v>120582</v>
      </c>
      <c r="B1599" s="2">
        <f>IFERROR(__xludf.DUMMYFUNCTION("""COMPUTED_VALUE"""),1.0)</f>
        <v>1</v>
      </c>
      <c r="C1599" s="2">
        <f>IFERROR(__xludf.DUMMYFUNCTION("""COMPUTED_VALUE"""),650.0)</f>
        <v>650</v>
      </c>
      <c r="D1599" s="3">
        <f>IFERROR(__xludf.DUMMYFUNCTION("""COMPUTED_VALUE"""),591.0)</f>
        <v>591</v>
      </c>
      <c r="E1599" s="2"/>
      <c r="F1599" s="2"/>
    </row>
    <row r="1600">
      <c r="A1600" s="2">
        <f>IFERROR(__xludf.DUMMYFUNCTION("""COMPUTED_VALUE"""),105794.0)</f>
        <v>105794</v>
      </c>
      <c r="B1600" s="2">
        <f>IFERROR(__xludf.DUMMYFUNCTION("""COMPUTED_VALUE"""),0.0)</f>
        <v>0</v>
      </c>
      <c r="C1600" s="2">
        <f>IFERROR(__xludf.DUMMYFUNCTION("""COMPUTED_VALUE"""),610.0)</f>
        <v>610</v>
      </c>
      <c r="D1600" s="3">
        <f>IFERROR(__xludf.DUMMYFUNCTION("""COMPUTED_VALUE"""),91.0)</f>
        <v>91</v>
      </c>
      <c r="E1600" s="2"/>
      <c r="F1600" s="2"/>
    </row>
    <row r="1601">
      <c r="A1601" s="2">
        <f>IFERROR(__xludf.DUMMYFUNCTION("""COMPUTED_VALUE"""),81049.0)</f>
        <v>81049</v>
      </c>
      <c r="B1601" s="2">
        <f>IFERROR(__xludf.DUMMYFUNCTION("""COMPUTED_VALUE"""),1.0)</f>
        <v>1</v>
      </c>
      <c r="C1601" s="2">
        <f>IFERROR(__xludf.DUMMYFUNCTION("""COMPUTED_VALUE"""),976.0)</f>
        <v>976</v>
      </c>
      <c r="D1601" s="3">
        <f>IFERROR(__xludf.DUMMYFUNCTION("""COMPUTED_VALUE"""),907.0)</f>
        <v>907</v>
      </c>
      <c r="E1601" s="2"/>
      <c r="F1601" s="2"/>
    </row>
    <row r="1602">
      <c r="A1602" s="2">
        <f>IFERROR(__xludf.DUMMYFUNCTION("""COMPUTED_VALUE"""),13364.0)</f>
        <v>13364</v>
      </c>
      <c r="B1602" s="2">
        <f>IFERROR(__xludf.DUMMYFUNCTION("""COMPUTED_VALUE"""),1.0)</f>
        <v>1</v>
      </c>
      <c r="C1602" s="2">
        <f>IFERROR(__xludf.DUMMYFUNCTION("""COMPUTED_VALUE"""),306.0)</f>
        <v>306</v>
      </c>
      <c r="D1602" s="3">
        <f>IFERROR(__xludf.DUMMYFUNCTION("""COMPUTED_VALUE"""),175.0)</f>
        <v>175</v>
      </c>
      <c r="E1602" s="2"/>
      <c r="F1602" s="2"/>
    </row>
    <row r="1603">
      <c r="A1603" s="2">
        <f>IFERROR(__xludf.DUMMYFUNCTION("""COMPUTED_VALUE"""),13361.0)</f>
        <v>13361</v>
      </c>
      <c r="B1603" s="2">
        <f>IFERROR(__xludf.DUMMYFUNCTION("""COMPUTED_VALUE"""),1.0)</f>
        <v>1</v>
      </c>
      <c r="C1603" s="2">
        <f>IFERROR(__xludf.DUMMYFUNCTION("""COMPUTED_VALUE"""),4.0)</f>
        <v>4</v>
      </c>
      <c r="D1603" s="3">
        <f>IFERROR(__xludf.DUMMYFUNCTION("""COMPUTED_VALUE"""),3.0)</f>
        <v>3</v>
      </c>
      <c r="E1603" s="2"/>
      <c r="F1603" s="2"/>
    </row>
    <row r="1604">
      <c r="A1604" s="2">
        <f>IFERROR(__xludf.DUMMYFUNCTION("""COMPUTED_VALUE"""),75659.0)</f>
        <v>75659</v>
      </c>
      <c r="B1604" s="2">
        <f>IFERROR(__xludf.DUMMYFUNCTION("""COMPUTED_VALUE"""),0.0)</f>
        <v>0</v>
      </c>
      <c r="C1604" s="2">
        <f>IFERROR(__xludf.DUMMYFUNCTION("""COMPUTED_VALUE"""),685.0)</f>
        <v>685</v>
      </c>
      <c r="D1604" s="3">
        <f>IFERROR(__xludf.DUMMYFUNCTION("""COMPUTED_VALUE"""),48.0)</f>
        <v>48</v>
      </c>
      <c r="E1604" s="2"/>
      <c r="F1604" s="2"/>
    </row>
    <row r="1605">
      <c r="A1605" s="2">
        <f>IFERROR(__xludf.DUMMYFUNCTION("""COMPUTED_VALUE"""),75655.0)</f>
        <v>75655</v>
      </c>
      <c r="B1605" s="2">
        <f>IFERROR(__xludf.DUMMYFUNCTION("""COMPUTED_VALUE"""),1.0)</f>
        <v>1</v>
      </c>
      <c r="C1605" s="2">
        <f>IFERROR(__xludf.DUMMYFUNCTION("""COMPUTED_VALUE"""),277.0)</f>
        <v>277</v>
      </c>
      <c r="D1605" s="3">
        <f>IFERROR(__xludf.DUMMYFUNCTION("""COMPUTED_VALUE"""),90.0)</f>
        <v>90</v>
      </c>
      <c r="E1605" s="2"/>
      <c r="F1605" s="2"/>
    </row>
    <row r="1606">
      <c r="A1606" s="2">
        <f>IFERROR(__xludf.DUMMYFUNCTION("""COMPUTED_VALUE"""),117866.0)</f>
        <v>117866</v>
      </c>
      <c r="B1606" s="2">
        <f>IFERROR(__xludf.DUMMYFUNCTION("""COMPUTED_VALUE"""),0.0)</f>
        <v>0</v>
      </c>
      <c r="C1606" s="2">
        <f>IFERROR(__xludf.DUMMYFUNCTION("""COMPUTED_VALUE"""),270.0)</f>
        <v>270</v>
      </c>
      <c r="D1606" s="3">
        <f>IFERROR(__xludf.DUMMYFUNCTION("""COMPUTED_VALUE"""),174.0)</f>
        <v>174</v>
      </c>
      <c r="E1606" s="2"/>
      <c r="F1606" s="2"/>
    </row>
    <row r="1607">
      <c r="A1607" s="2">
        <f>IFERROR(__xludf.DUMMYFUNCTION("""COMPUTED_VALUE"""),90556.0)</f>
        <v>90556</v>
      </c>
      <c r="B1607" s="2">
        <f>IFERROR(__xludf.DUMMYFUNCTION("""COMPUTED_VALUE"""),0.0)</f>
        <v>0</v>
      </c>
      <c r="C1607" s="2">
        <f>IFERROR(__xludf.DUMMYFUNCTION("""COMPUTED_VALUE"""),409.0)</f>
        <v>409</v>
      </c>
      <c r="D1607" s="3">
        <f>IFERROR(__xludf.DUMMYFUNCTION("""COMPUTED_VALUE"""),77.0)</f>
        <v>77</v>
      </c>
      <c r="E1607" s="2"/>
      <c r="F1607" s="2"/>
    </row>
    <row r="1608">
      <c r="A1608" s="2">
        <f>IFERROR(__xludf.DUMMYFUNCTION("""COMPUTED_VALUE"""),68605.0)</f>
        <v>68605</v>
      </c>
      <c r="B1608" s="2">
        <f>IFERROR(__xludf.DUMMYFUNCTION("""COMPUTED_VALUE"""),1.0)</f>
        <v>1</v>
      </c>
      <c r="C1608" s="2">
        <f>IFERROR(__xludf.DUMMYFUNCTION("""COMPUTED_VALUE"""),283.0)</f>
        <v>283</v>
      </c>
      <c r="D1608" s="3">
        <f>IFERROR(__xludf.DUMMYFUNCTION("""COMPUTED_VALUE"""),270.0)</f>
        <v>270</v>
      </c>
      <c r="E1608" s="2"/>
      <c r="F1608" s="2"/>
    </row>
    <row r="1609">
      <c r="A1609" s="2">
        <f>IFERROR(__xludf.DUMMYFUNCTION("""COMPUTED_VALUE"""),103829.0)</f>
        <v>103829</v>
      </c>
      <c r="B1609" s="2">
        <f>IFERROR(__xludf.DUMMYFUNCTION("""COMPUTED_VALUE"""),0.0)</f>
        <v>0</v>
      </c>
      <c r="C1609" s="2">
        <f>IFERROR(__xludf.DUMMYFUNCTION("""COMPUTED_VALUE"""),525.0)</f>
        <v>525</v>
      </c>
      <c r="D1609" s="3">
        <f>IFERROR(__xludf.DUMMYFUNCTION("""COMPUTED_VALUE"""),230.0)</f>
        <v>230</v>
      </c>
      <c r="E1609" s="2"/>
      <c r="F1609" s="2"/>
    </row>
    <row r="1610">
      <c r="A1610" s="2">
        <f>IFERROR(__xludf.DUMMYFUNCTION("""COMPUTED_VALUE"""),90558.0)</f>
        <v>90558</v>
      </c>
      <c r="B1610" s="2">
        <f>IFERROR(__xludf.DUMMYFUNCTION("""COMPUTED_VALUE"""),0.0)</f>
        <v>0</v>
      </c>
      <c r="C1610" s="2">
        <f>IFERROR(__xludf.DUMMYFUNCTION("""COMPUTED_VALUE"""),399.0)</f>
        <v>399</v>
      </c>
      <c r="D1610" s="3">
        <f>IFERROR(__xludf.DUMMYFUNCTION("""COMPUTED_VALUE"""),178.0)</f>
        <v>178</v>
      </c>
      <c r="E1610" s="2"/>
      <c r="F1610" s="2"/>
    </row>
    <row r="1611">
      <c r="A1611" s="2">
        <f>IFERROR(__xludf.DUMMYFUNCTION("""COMPUTED_VALUE"""),120490.0)</f>
        <v>120490</v>
      </c>
      <c r="B1611" s="2">
        <f>IFERROR(__xludf.DUMMYFUNCTION("""COMPUTED_VALUE"""),1.0)</f>
        <v>1</v>
      </c>
      <c r="C1611" s="2">
        <f>IFERROR(__xludf.DUMMYFUNCTION("""COMPUTED_VALUE"""),919.0)</f>
        <v>919</v>
      </c>
      <c r="D1611" s="3">
        <f>IFERROR(__xludf.DUMMYFUNCTION("""COMPUTED_VALUE"""),253.0)</f>
        <v>253</v>
      </c>
      <c r="E1611" s="2"/>
      <c r="F1611" s="2"/>
    </row>
    <row r="1612">
      <c r="A1612" s="2">
        <f>IFERROR(__xludf.DUMMYFUNCTION("""COMPUTED_VALUE"""),75662.0)</f>
        <v>75662</v>
      </c>
      <c r="B1612" s="2">
        <f>IFERROR(__xludf.DUMMYFUNCTION("""COMPUTED_VALUE"""),1.0)</f>
        <v>1</v>
      </c>
      <c r="C1612" s="2">
        <f>IFERROR(__xludf.DUMMYFUNCTION("""COMPUTED_VALUE"""),719.0)</f>
        <v>719</v>
      </c>
      <c r="D1612" s="3">
        <f>IFERROR(__xludf.DUMMYFUNCTION("""COMPUTED_VALUE"""),424.0)</f>
        <v>424</v>
      </c>
      <c r="E1612" s="2"/>
      <c r="F1612" s="2"/>
    </row>
    <row r="1613">
      <c r="A1613" s="2">
        <f>IFERROR(__xludf.DUMMYFUNCTION("""COMPUTED_VALUE"""),121298.0)</f>
        <v>121298</v>
      </c>
      <c r="B1613" s="2">
        <f>IFERROR(__xludf.DUMMYFUNCTION("""COMPUTED_VALUE"""),0.0)</f>
        <v>0</v>
      </c>
      <c r="C1613" s="2">
        <f>IFERROR(__xludf.DUMMYFUNCTION("""COMPUTED_VALUE"""),6.0)</f>
        <v>6</v>
      </c>
      <c r="D1613" s="3">
        <f>IFERROR(__xludf.DUMMYFUNCTION("""COMPUTED_VALUE"""),3.0)</f>
        <v>3</v>
      </c>
      <c r="E1613" s="2"/>
      <c r="F1613" s="2"/>
    </row>
    <row r="1614">
      <c r="A1614" s="2">
        <f>IFERROR(__xludf.DUMMYFUNCTION("""COMPUTED_VALUE"""),13363.0)</f>
        <v>13363</v>
      </c>
      <c r="B1614" s="2">
        <f>IFERROR(__xludf.DUMMYFUNCTION("""COMPUTED_VALUE"""),0.0)</f>
        <v>0</v>
      </c>
      <c r="C1614" s="2">
        <f>IFERROR(__xludf.DUMMYFUNCTION("""COMPUTED_VALUE"""),877.0)</f>
        <v>877</v>
      </c>
      <c r="D1614" s="3">
        <f>IFERROR(__xludf.DUMMYFUNCTION("""COMPUTED_VALUE"""),152.0)</f>
        <v>152</v>
      </c>
      <c r="E1614" s="2"/>
      <c r="F1614" s="2"/>
    </row>
    <row r="1615">
      <c r="A1615" s="2">
        <f>IFERROR(__xludf.DUMMYFUNCTION("""COMPUTED_VALUE"""),117863.0)</f>
        <v>117863</v>
      </c>
      <c r="B1615" s="2">
        <f>IFERROR(__xludf.DUMMYFUNCTION("""COMPUTED_VALUE"""),1.0)</f>
        <v>1</v>
      </c>
      <c r="C1615" s="2">
        <f>IFERROR(__xludf.DUMMYFUNCTION("""COMPUTED_VALUE"""),849.0)</f>
        <v>849</v>
      </c>
      <c r="D1615" s="3">
        <f>IFERROR(__xludf.DUMMYFUNCTION("""COMPUTED_VALUE"""),837.0)</f>
        <v>837</v>
      </c>
      <c r="E1615" s="2"/>
      <c r="F1615" s="2"/>
    </row>
    <row r="1616">
      <c r="A1616" s="2">
        <f>IFERROR(__xludf.DUMMYFUNCTION("""COMPUTED_VALUE"""),68607.0)</f>
        <v>68607</v>
      </c>
      <c r="B1616" s="2">
        <f>IFERROR(__xludf.DUMMYFUNCTION("""COMPUTED_VALUE"""),1.0)</f>
        <v>1</v>
      </c>
      <c r="C1616" s="2">
        <f>IFERROR(__xludf.DUMMYFUNCTION("""COMPUTED_VALUE"""),832.0)</f>
        <v>832</v>
      </c>
      <c r="D1616" s="3">
        <f>IFERROR(__xludf.DUMMYFUNCTION("""COMPUTED_VALUE"""),407.0)</f>
        <v>407</v>
      </c>
      <c r="E1616" s="2"/>
      <c r="F1616" s="2"/>
    </row>
    <row r="1617">
      <c r="A1617" s="2">
        <f>IFERROR(__xludf.DUMMYFUNCTION("""COMPUTED_VALUE"""),122705.0)</f>
        <v>122705</v>
      </c>
      <c r="B1617" s="2">
        <f>IFERROR(__xludf.DUMMYFUNCTION("""COMPUTED_VALUE"""),0.0)</f>
        <v>0</v>
      </c>
      <c r="C1617" s="2">
        <f>IFERROR(__xludf.DUMMYFUNCTION("""COMPUTED_VALUE"""),416.0)</f>
        <v>416</v>
      </c>
      <c r="D1617" s="3">
        <f>IFERROR(__xludf.DUMMYFUNCTION("""COMPUTED_VALUE"""),399.0)</f>
        <v>399</v>
      </c>
      <c r="E1617" s="2"/>
      <c r="F1617" s="2"/>
    </row>
    <row r="1618">
      <c r="A1618" s="2">
        <f>IFERROR(__xludf.DUMMYFUNCTION("""COMPUTED_VALUE"""),88195.0)</f>
        <v>88195</v>
      </c>
      <c r="B1618" s="2">
        <f>IFERROR(__xludf.DUMMYFUNCTION("""COMPUTED_VALUE"""),0.0)</f>
        <v>0</v>
      </c>
      <c r="C1618" s="2">
        <f>IFERROR(__xludf.DUMMYFUNCTION("""COMPUTED_VALUE"""),665.0)</f>
        <v>665</v>
      </c>
      <c r="D1618" s="3">
        <f>IFERROR(__xludf.DUMMYFUNCTION("""COMPUTED_VALUE"""),94.0)</f>
        <v>94</v>
      </c>
      <c r="E1618" s="2"/>
      <c r="F1618" s="2"/>
    </row>
    <row r="1619">
      <c r="A1619" s="2">
        <f>IFERROR(__xludf.DUMMYFUNCTION("""COMPUTED_VALUE"""),45523.0)</f>
        <v>45523</v>
      </c>
      <c r="B1619" s="2">
        <f>IFERROR(__xludf.DUMMYFUNCTION("""COMPUTED_VALUE"""),1.0)</f>
        <v>1</v>
      </c>
      <c r="C1619" s="2">
        <f>IFERROR(__xludf.DUMMYFUNCTION("""COMPUTED_VALUE"""),882.0)</f>
        <v>882</v>
      </c>
      <c r="D1619" s="3">
        <f>IFERROR(__xludf.DUMMYFUNCTION("""COMPUTED_VALUE"""),863.0)</f>
        <v>863</v>
      </c>
      <c r="E1619" s="2"/>
      <c r="F1619" s="2"/>
    </row>
    <row r="1620">
      <c r="A1620" s="2">
        <f>IFERROR(__xludf.DUMMYFUNCTION("""COMPUTED_VALUE"""),158449.0)</f>
        <v>158449</v>
      </c>
      <c r="B1620" s="2">
        <f>IFERROR(__xludf.DUMMYFUNCTION("""COMPUTED_VALUE"""),1.0)</f>
        <v>1</v>
      </c>
      <c r="C1620" s="2">
        <f>IFERROR(__xludf.DUMMYFUNCTION("""COMPUTED_VALUE"""),494.0)</f>
        <v>494</v>
      </c>
      <c r="D1620" s="3">
        <f>IFERROR(__xludf.DUMMYFUNCTION("""COMPUTED_VALUE"""),460.0)</f>
        <v>460</v>
      </c>
      <c r="E1620" s="2"/>
      <c r="F1620" s="2"/>
    </row>
    <row r="1621">
      <c r="A1621" s="2">
        <f>IFERROR(__xludf.DUMMYFUNCTION("""COMPUTED_VALUE"""),45518.0)</f>
        <v>45518</v>
      </c>
      <c r="B1621" s="2">
        <f>IFERROR(__xludf.DUMMYFUNCTION("""COMPUTED_VALUE"""),1.0)</f>
        <v>1</v>
      </c>
      <c r="C1621" s="2">
        <f>IFERROR(__xludf.DUMMYFUNCTION("""COMPUTED_VALUE"""),670.0)</f>
        <v>670</v>
      </c>
      <c r="D1621" s="3">
        <f>IFERROR(__xludf.DUMMYFUNCTION("""COMPUTED_VALUE"""),269.0)</f>
        <v>269</v>
      </c>
      <c r="E1621" s="2"/>
      <c r="F1621" s="2"/>
    </row>
    <row r="1622">
      <c r="A1622" s="2">
        <f>IFERROR(__xludf.DUMMYFUNCTION("""COMPUTED_VALUE"""),96288.0)</f>
        <v>96288</v>
      </c>
      <c r="B1622" s="2">
        <f>IFERROR(__xludf.DUMMYFUNCTION("""COMPUTED_VALUE"""),1.0)</f>
        <v>1</v>
      </c>
      <c r="C1622" s="2">
        <f>IFERROR(__xludf.DUMMYFUNCTION("""COMPUTED_VALUE"""),875.0)</f>
        <v>875</v>
      </c>
      <c r="D1622" s="3">
        <f>IFERROR(__xludf.DUMMYFUNCTION("""COMPUTED_VALUE"""),464.0)</f>
        <v>464</v>
      </c>
      <c r="E1622" s="2"/>
      <c r="F1622" s="2"/>
    </row>
    <row r="1623">
      <c r="A1623" s="2">
        <f>IFERROR(__xludf.DUMMYFUNCTION("""COMPUTED_VALUE"""),76981.0)</f>
        <v>76981</v>
      </c>
      <c r="B1623" s="2">
        <f>IFERROR(__xludf.DUMMYFUNCTION("""COMPUTED_VALUE"""),1.0)</f>
        <v>1</v>
      </c>
      <c r="C1623" s="2">
        <f>IFERROR(__xludf.DUMMYFUNCTION("""COMPUTED_VALUE"""),277.0)</f>
        <v>277</v>
      </c>
      <c r="D1623" s="3">
        <f>IFERROR(__xludf.DUMMYFUNCTION("""COMPUTED_VALUE"""),266.0)</f>
        <v>266</v>
      </c>
      <c r="E1623" s="2"/>
      <c r="F1623" s="2"/>
    </row>
    <row r="1624">
      <c r="A1624" s="2">
        <f>IFERROR(__xludf.DUMMYFUNCTION("""COMPUTED_VALUE"""),113827.0)</f>
        <v>113827</v>
      </c>
      <c r="B1624" s="2">
        <f>IFERROR(__xludf.DUMMYFUNCTION("""COMPUTED_VALUE"""),0.0)</f>
        <v>0</v>
      </c>
      <c r="C1624" s="2">
        <f>IFERROR(__xludf.DUMMYFUNCTION("""COMPUTED_VALUE"""),727.0)</f>
        <v>727</v>
      </c>
      <c r="D1624" s="3">
        <f>IFERROR(__xludf.DUMMYFUNCTION("""COMPUTED_VALUE"""),306.0)</f>
        <v>306</v>
      </c>
      <c r="E1624" s="2"/>
      <c r="F1624" s="2"/>
    </row>
    <row r="1625">
      <c r="A1625" s="2">
        <f>IFERROR(__xludf.DUMMYFUNCTION("""COMPUTED_VALUE"""),76987.0)</f>
        <v>76987</v>
      </c>
      <c r="B1625" s="2">
        <f>IFERROR(__xludf.DUMMYFUNCTION("""COMPUTED_VALUE"""),1.0)</f>
        <v>1</v>
      </c>
      <c r="C1625" s="2">
        <f>IFERROR(__xludf.DUMMYFUNCTION("""COMPUTED_VALUE"""),33.0)</f>
        <v>33</v>
      </c>
      <c r="D1625" s="3">
        <f>IFERROR(__xludf.DUMMYFUNCTION("""COMPUTED_VALUE"""),7.0)</f>
        <v>7</v>
      </c>
      <c r="E1625" s="2"/>
      <c r="F1625" s="2"/>
    </row>
    <row r="1626">
      <c r="A1626" s="2">
        <f>IFERROR(__xludf.DUMMYFUNCTION("""COMPUTED_VALUE"""),113824.0)</f>
        <v>113824</v>
      </c>
      <c r="B1626" s="2">
        <f>IFERROR(__xludf.DUMMYFUNCTION("""COMPUTED_VALUE"""),1.0)</f>
        <v>1</v>
      </c>
      <c r="C1626" s="2">
        <f>IFERROR(__xludf.DUMMYFUNCTION("""COMPUTED_VALUE"""),47.0)</f>
        <v>47</v>
      </c>
      <c r="D1626" s="3">
        <f>IFERROR(__xludf.DUMMYFUNCTION("""COMPUTED_VALUE"""),18.0)</f>
        <v>18</v>
      </c>
      <c r="E1626" s="2"/>
      <c r="F1626" s="2"/>
    </row>
    <row r="1627">
      <c r="A1627" s="2">
        <f>IFERROR(__xludf.DUMMYFUNCTION("""COMPUTED_VALUE"""),113823.0)</f>
        <v>113823</v>
      </c>
      <c r="B1627" s="2">
        <f>IFERROR(__xludf.DUMMYFUNCTION("""COMPUTED_VALUE"""),0.0)</f>
        <v>0</v>
      </c>
      <c r="C1627" s="2">
        <f>IFERROR(__xludf.DUMMYFUNCTION("""COMPUTED_VALUE"""),857.0)</f>
        <v>857</v>
      </c>
      <c r="D1627" s="3">
        <f>IFERROR(__xludf.DUMMYFUNCTION("""COMPUTED_VALUE"""),256.0)</f>
        <v>256</v>
      </c>
      <c r="E1627" s="2"/>
      <c r="F1627" s="2"/>
    </row>
    <row r="1628">
      <c r="A1628" s="2">
        <f>IFERROR(__xludf.DUMMYFUNCTION("""COMPUTED_VALUE"""),156053.0)</f>
        <v>156053</v>
      </c>
      <c r="B1628" s="2">
        <f>IFERROR(__xludf.DUMMYFUNCTION("""COMPUTED_VALUE"""),0.0)</f>
        <v>0</v>
      </c>
      <c r="C1628" s="2">
        <f>IFERROR(__xludf.DUMMYFUNCTION("""COMPUTED_VALUE"""),93.0)</f>
        <v>93</v>
      </c>
      <c r="D1628" s="3">
        <f>IFERROR(__xludf.DUMMYFUNCTION("""COMPUTED_VALUE"""),55.0)</f>
        <v>55</v>
      </c>
      <c r="E1628" s="2"/>
      <c r="F1628" s="2"/>
    </row>
    <row r="1629">
      <c r="A1629" s="2">
        <f>IFERROR(__xludf.DUMMYFUNCTION("""COMPUTED_VALUE"""),45522.0)</f>
        <v>45522</v>
      </c>
      <c r="B1629" s="2">
        <f>IFERROR(__xludf.DUMMYFUNCTION("""COMPUTED_VALUE"""),0.0)</f>
        <v>0</v>
      </c>
      <c r="C1629" s="2">
        <f>IFERROR(__xludf.DUMMYFUNCTION("""COMPUTED_VALUE"""),671.0)</f>
        <v>671</v>
      </c>
      <c r="D1629" s="3">
        <f>IFERROR(__xludf.DUMMYFUNCTION("""COMPUTED_VALUE"""),282.0)</f>
        <v>282</v>
      </c>
      <c r="E1629" s="2"/>
      <c r="F1629" s="2"/>
    </row>
    <row r="1630">
      <c r="A1630" s="2">
        <f>IFERROR(__xludf.DUMMYFUNCTION("""COMPUTED_VALUE"""),99176.0)</f>
        <v>99176</v>
      </c>
      <c r="B1630" s="2">
        <f>IFERROR(__xludf.DUMMYFUNCTION("""COMPUTED_VALUE"""),0.0)</f>
        <v>0</v>
      </c>
      <c r="C1630" s="2">
        <f>IFERROR(__xludf.DUMMYFUNCTION("""COMPUTED_VALUE"""),260.0)</f>
        <v>260</v>
      </c>
      <c r="D1630" s="3">
        <f>IFERROR(__xludf.DUMMYFUNCTION("""COMPUTED_VALUE"""),56.0)</f>
        <v>56</v>
      </c>
      <c r="E1630" s="2"/>
      <c r="F1630" s="2"/>
    </row>
    <row r="1631">
      <c r="A1631" s="2">
        <f>IFERROR(__xludf.DUMMYFUNCTION("""COMPUTED_VALUE"""),49219.0)</f>
        <v>49219</v>
      </c>
      <c r="B1631" s="2">
        <f>IFERROR(__xludf.DUMMYFUNCTION("""COMPUTED_VALUE"""),0.0)</f>
        <v>0</v>
      </c>
      <c r="C1631" s="2">
        <f>IFERROR(__xludf.DUMMYFUNCTION("""COMPUTED_VALUE"""),450.0)</f>
        <v>450</v>
      </c>
      <c r="D1631" s="3">
        <f>IFERROR(__xludf.DUMMYFUNCTION("""COMPUTED_VALUE"""),18.0)</f>
        <v>18</v>
      </c>
      <c r="E1631" s="2"/>
      <c r="F1631" s="2"/>
    </row>
    <row r="1632">
      <c r="A1632" s="2">
        <f>IFERROR(__xludf.DUMMYFUNCTION("""COMPUTED_VALUE"""),102370.0)</f>
        <v>102370</v>
      </c>
      <c r="B1632" s="2">
        <f>IFERROR(__xludf.DUMMYFUNCTION("""COMPUTED_VALUE"""),0.0)</f>
        <v>0</v>
      </c>
      <c r="C1632" s="2">
        <f>IFERROR(__xludf.DUMMYFUNCTION("""COMPUTED_VALUE"""),766.0)</f>
        <v>766</v>
      </c>
      <c r="D1632" s="3">
        <f>IFERROR(__xludf.DUMMYFUNCTION("""COMPUTED_VALUE"""),239.0)</f>
        <v>239</v>
      </c>
      <c r="E1632" s="2"/>
      <c r="F1632" s="2"/>
    </row>
    <row r="1633">
      <c r="A1633" s="2">
        <f>IFERROR(__xludf.DUMMYFUNCTION("""COMPUTED_VALUE"""),49222.0)</f>
        <v>49222</v>
      </c>
      <c r="B1633" s="2">
        <f>IFERROR(__xludf.DUMMYFUNCTION("""COMPUTED_VALUE"""),1.0)</f>
        <v>1</v>
      </c>
      <c r="C1633" s="2">
        <f>IFERROR(__xludf.DUMMYFUNCTION("""COMPUTED_VALUE"""),510.0)</f>
        <v>510</v>
      </c>
      <c r="D1633" s="3">
        <f>IFERROR(__xludf.DUMMYFUNCTION("""COMPUTED_VALUE"""),142.0)</f>
        <v>142</v>
      </c>
      <c r="E1633" s="2"/>
      <c r="F1633" s="2"/>
    </row>
    <row r="1634">
      <c r="A1634" s="2">
        <f>IFERROR(__xludf.DUMMYFUNCTION("""COMPUTED_VALUE"""),102352.0)</f>
        <v>102352</v>
      </c>
      <c r="B1634" s="2">
        <f>IFERROR(__xludf.DUMMYFUNCTION("""COMPUTED_VALUE"""),0.0)</f>
        <v>0</v>
      </c>
      <c r="C1634" s="2">
        <f>IFERROR(__xludf.DUMMYFUNCTION("""COMPUTED_VALUE"""),301.0)</f>
        <v>301</v>
      </c>
      <c r="D1634" s="3">
        <f>IFERROR(__xludf.DUMMYFUNCTION("""COMPUTED_VALUE"""),9.0)</f>
        <v>9</v>
      </c>
      <c r="E1634" s="2"/>
      <c r="F1634" s="2"/>
    </row>
    <row r="1635">
      <c r="A1635" s="2">
        <f>IFERROR(__xludf.DUMMYFUNCTION("""COMPUTED_VALUE"""),49233.0)</f>
        <v>49233</v>
      </c>
      <c r="B1635" s="2">
        <f>IFERROR(__xludf.DUMMYFUNCTION("""COMPUTED_VALUE"""),0.0)</f>
        <v>0</v>
      </c>
      <c r="C1635" s="2">
        <f>IFERROR(__xludf.DUMMYFUNCTION("""COMPUTED_VALUE"""),329.0)</f>
        <v>329</v>
      </c>
      <c r="D1635" s="3">
        <f>IFERROR(__xludf.DUMMYFUNCTION("""COMPUTED_VALUE"""),87.0)</f>
        <v>87</v>
      </c>
      <c r="E1635" s="2"/>
      <c r="F1635" s="2"/>
    </row>
    <row r="1636">
      <c r="A1636" s="2">
        <f>IFERROR(__xludf.DUMMYFUNCTION("""COMPUTED_VALUE"""),99163.0)</f>
        <v>99163</v>
      </c>
      <c r="B1636" s="2">
        <f>IFERROR(__xludf.DUMMYFUNCTION("""COMPUTED_VALUE"""),1.0)</f>
        <v>1</v>
      </c>
      <c r="C1636" s="2">
        <f>IFERROR(__xludf.DUMMYFUNCTION("""COMPUTED_VALUE"""),211.0)</f>
        <v>211</v>
      </c>
      <c r="D1636" s="3">
        <f>IFERROR(__xludf.DUMMYFUNCTION("""COMPUTED_VALUE"""),42.0)</f>
        <v>42</v>
      </c>
      <c r="E1636" s="2"/>
      <c r="F1636" s="2"/>
    </row>
    <row r="1637">
      <c r="A1637" s="2">
        <f>IFERROR(__xludf.DUMMYFUNCTION("""COMPUTED_VALUE"""),142785.0)</f>
        <v>142785</v>
      </c>
      <c r="B1637" s="2">
        <f>IFERROR(__xludf.DUMMYFUNCTION("""COMPUTED_VALUE"""),1.0)</f>
        <v>1</v>
      </c>
      <c r="C1637" s="2">
        <f>IFERROR(__xludf.DUMMYFUNCTION("""COMPUTED_VALUE"""),24.0)</f>
        <v>24</v>
      </c>
      <c r="D1637" s="3">
        <f>IFERROR(__xludf.DUMMYFUNCTION("""COMPUTED_VALUE"""),14.0)</f>
        <v>14</v>
      </c>
      <c r="E1637" s="2"/>
      <c r="F1637" s="2"/>
    </row>
    <row r="1638">
      <c r="A1638" s="2">
        <f>IFERROR(__xludf.DUMMYFUNCTION("""COMPUTED_VALUE"""),113054.0)</f>
        <v>113054</v>
      </c>
      <c r="B1638" s="2">
        <f>IFERROR(__xludf.DUMMYFUNCTION("""COMPUTED_VALUE"""),0.0)</f>
        <v>0</v>
      </c>
      <c r="C1638" s="2">
        <f>IFERROR(__xludf.DUMMYFUNCTION("""COMPUTED_VALUE"""),477.0)</f>
        <v>477</v>
      </c>
      <c r="D1638" s="3">
        <f>IFERROR(__xludf.DUMMYFUNCTION("""COMPUTED_VALUE"""),417.0)</f>
        <v>417</v>
      </c>
      <c r="E1638" s="2"/>
      <c r="F1638" s="2"/>
    </row>
    <row r="1639">
      <c r="A1639" s="2">
        <f>IFERROR(__xludf.DUMMYFUNCTION("""COMPUTED_VALUE"""),88105.0)</f>
        <v>88105</v>
      </c>
      <c r="B1639" s="2">
        <f>IFERROR(__xludf.DUMMYFUNCTION("""COMPUTED_VALUE"""),0.0)</f>
        <v>0</v>
      </c>
      <c r="C1639" s="2">
        <f>IFERROR(__xludf.DUMMYFUNCTION("""COMPUTED_VALUE"""),30.0)</f>
        <v>30</v>
      </c>
      <c r="D1639" s="3">
        <f>IFERROR(__xludf.DUMMYFUNCTION("""COMPUTED_VALUE"""),9.0)</f>
        <v>9</v>
      </c>
      <c r="E1639" s="2"/>
      <c r="F1639" s="2"/>
    </row>
    <row r="1640">
      <c r="A1640" s="2">
        <f>IFERROR(__xludf.DUMMYFUNCTION("""COMPUTED_VALUE"""),97036.0)</f>
        <v>97036</v>
      </c>
      <c r="B1640" s="2">
        <f>IFERROR(__xludf.DUMMYFUNCTION("""COMPUTED_VALUE"""),1.0)</f>
        <v>1</v>
      </c>
      <c r="C1640" s="2">
        <f>IFERROR(__xludf.DUMMYFUNCTION("""COMPUTED_VALUE"""),301.0)</f>
        <v>301</v>
      </c>
      <c r="D1640" s="3">
        <f>IFERROR(__xludf.DUMMYFUNCTION("""COMPUTED_VALUE"""),62.0)</f>
        <v>62</v>
      </c>
      <c r="E1640" s="2"/>
      <c r="F1640" s="2"/>
    </row>
    <row r="1641">
      <c r="A1641" s="2">
        <f>IFERROR(__xludf.DUMMYFUNCTION("""COMPUTED_VALUE"""),81229.0)</f>
        <v>81229</v>
      </c>
      <c r="B1641" s="2">
        <f>IFERROR(__xludf.DUMMYFUNCTION("""COMPUTED_VALUE"""),1.0)</f>
        <v>1</v>
      </c>
      <c r="C1641" s="2">
        <f>IFERROR(__xludf.DUMMYFUNCTION("""COMPUTED_VALUE"""),677.0)</f>
        <v>677</v>
      </c>
      <c r="D1641" s="3">
        <f>IFERROR(__xludf.DUMMYFUNCTION("""COMPUTED_VALUE"""),240.0)</f>
        <v>240</v>
      </c>
      <c r="E1641" s="2"/>
      <c r="F1641" s="2"/>
    </row>
    <row r="1642">
      <c r="A1642" s="2">
        <f>IFERROR(__xludf.DUMMYFUNCTION("""COMPUTED_VALUE"""),120563.0)</f>
        <v>120563</v>
      </c>
      <c r="B1642" s="2">
        <f>IFERROR(__xludf.DUMMYFUNCTION("""COMPUTED_VALUE"""),1.0)</f>
        <v>1</v>
      </c>
      <c r="C1642" s="2">
        <f>IFERROR(__xludf.DUMMYFUNCTION("""COMPUTED_VALUE"""),193.0)</f>
        <v>193</v>
      </c>
      <c r="D1642" s="3">
        <f>IFERROR(__xludf.DUMMYFUNCTION("""COMPUTED_VALUE"""),111.0)</f>
        <v>111</v>
      </c>
      <c r="E1642" s="2"/>
      <c r="F1642" s="2"/>
    </row>
    <row r="1643">
      <c r="A1643" s="2">
        <f>IFERROR(__xludf.DUMMYFUNCTION("""COMPUTED_VALUE"""),122290.0)</f>
        <v>122290</v>
      </c>
      <c r="B1643" s="2">
        <f>IFERROR(__xludf.DUMMYFUNCTION("""COMPUTED_VALUE"""),1.0)</f>
        <v>1</v>
      </c>
      <c r="C1643" s="2">
        <f>IFERROR(__xludf.DUMMYFUNCTION("""COMPUTED_VALUE"""),297.0)</f>
        <v>297</v>
      </c>
      <c r="D1643" s="3">
        <f>IFERROR(__xludf.DUMMYFUNCTION("""COMPUTED_VALUE"""),144.0)</f>
        <v>144</v>
      </c>
      <c r="E1643" s="2"/>
      <c r="F1643" s="2"/>
    </row>
    <row r="1644">
      <c r="A1644" s="2">
        <f>IFERROR(__xludf.DUMMYFUNCTION("""COMPUTED_VALUE"""),122373.0)</f>
        <v>122373</v>
      </c>
      <c r="B1644" s="2">
        <f>IFERROR(__xludf.DUMMYFUNCTION("""COMPUTED_VALUE"""),0.0)</f>
        <v>0</v>
      </c>
      <c r="C1644" s="2">
        <f>IFERROR(__xludf.DUMMYFUNCTION("""COMPUTED_VALUE"""),747.0)</f>
        <v>747</v>
      </c>
      <c r="D1644" s="3">
        <f>IFERROR(__xludf.DUMMYFUNCTION("""COMPUTED_VALUE"""),169.0)</f>
        <v>169</v>
      </c>
      <c r="E1644" s="2"/>
      <c r="F1644" s="2"/>
    </row>
    <row r="1645">
      <c r="A1645" s="2">
        <f>IFERROR(__xludf.DUMMYFUNCTION("""COMPUTED_VALUE"""),117830.0)</f>
        <v>117830</v>
      </c>
      <c r="B1645" s="2">
        <f>IFERROR(__xludf.DUMMYFUNCTION("""COMPUTED_VALUE"""),0.0)</f>
        <v>0</v>
      </c>
      <c r="C1645" s="2">
        <f>IFERROR(__xludf.DUMMYFUNCTION("""COMPUTED_VALUE"""),761.0)</f>
        <v>761</v>
      </c>
      <c r="D1645" s="3">
        <f>IFERROR(__xludf.DUMMYFUNCTION("""COMPUTED_VALUE"""),13.0)</f>
        <v>13</v>
      </c>
      <c r="E1645" s="2"/>
      <c r="F1645" s="2"/>
    </row>
    <row r="1646">
      <c r="A1646" s="2">
        <f>IFERROR(__xludf.DUMMYFUNCTION("""COMPUTED_VALUE"""),109008.0)</f>
        <v>109008</v>
      </c>
      <c r="B1646" s="2">
        <f>IFERROR(__xludf.DUMMYFUNCTION("""COMPUTED_VALUE"""),0.0)</f>
        <v>0</v>
      </c>
      <c r="C1646" s="2">
        <f>IFERROR(__xludf.DUMMYFUNCTION("""COMPUTED_VALUE"""),30.0)</f>
        <v>30</v>
      </c>
      <c r="D1646" s="3">
        <f>IFERROR(__xludf.DUMMYFUNCTION("""COMPUTED_VALUE"""),11.0)</f>
        <v>11</v>
      </c>
      <c r="E1646" s="2"/>
      <c r="F1646" s="2"/>
    </row>
    <row r="1647">
      <c r="A1647" s="2">
        <f>IFERROR(__xludf.DUMMYFUNCTION("""COMPUTED_VALUE"""),122371.0)</f>
        <v>122371</v>
      </c>
      <c r="B1647" s="2">
        <f>IFERROR(__xludf.DUMMYFUNCTION("""COMPUTED_VALUE"""),1.0)</f>
        <v>1</v>
      </c>
      <c r="C1647" s="2">
        <f>IFERROR(__xludf.DUMMYFUNCTION("""COMPUTED_VALUE"""),957.0)</f>
        <v>957</v>
      </c>
      <c r="D1647" s="3">
        <f>IFERROR(__xludf.DUMMYFUNCTION("""COMPUTED_VALUE"""),493.0)</f>
        <v>493</v>
      </c>
      <c r="E1647" s="2"/>
      <c r="F1647" s="2"/>
    </row>
    <row r="1648">
      <c r="A1648" s="2">
        <f>IFERROR(__xludf.DUMMYFUNCTION("""COMPUTED_VALUE"""),109012.0)</f>
        <v>109012</v>
      </c>
      <c r="B1648" s="2">
        <f>IFERROR(__xludf.DUMMYFUNCTION("""COMPUTED_VALUE"""),1.0)</f>
        <v>1</v>
      </c>
      <c r="C1648" s="2">
        <f>IFERROR(__xludf.DUMMYFUNCTION("""COMPUTED_VALUE"""),624.0)</f>
        <v>624</v>
      </c>
      <c r="D1648" s="3">
        <f>IFERROR(__xludf.DUMMYFUNCTION("""COMPUTED_VALUE"""),536.0)</f>
        <v>536</v>
      </c>
      <c r="E1648" s="2"/>
      <c r="F1648" s="2"/>
    </row>
    <row r="1649">
      <c r="A1649" s="2">
        <f>IFERROR(__xludf.DUMMYFUNCTION("""COMPUTED_VALUE"""),156047.0)</f>
        <v>156047</v>
      </c>
      <c r="B1649" s="2">
        <f>IFERROR(__xludf.DUMMYFUNCTION("""COMPUTED_VALUE"""),0.0)</f>
        <v>0</v>
      </c>
      <c r="C1649" s="2">
        <f>IFERROR(__xludf.DUMMYFUNCTION("""COMPUTED_VALUE"""),773.0)</f>
        <v>773</v>
      </c>
      <c r="D1649" s="3">
        <f>IFERROR(__xludf.DUMMYFUNCTION("""COMPUTED_VALUE"""),509.0)</f>
        <v>509</v>
      </c>
      <c r="E1649" s="2"/>
      <c r="F1649" s="2"/>
    </row>
    <row r="1650">
      <c r="A1650" s="2">
        <f>IFERROR(__xludf.DUMMYFUNCTION("""COMPUTED_VALUE"""),117839.0)</f>
        <v>117839</v>
      </c>
      <c r="B1650" s="2">
        <f>IFERROR(__xludf.DUMMYFUNCTION("""COMPUTED_VALUE"""),0.0)</f>
        <v>0</v>
      </c>
      <c r="C1650" s="2">
        <f>IFERROR(__xludf.DUMMYFUNCTION("""COMPUTED_VALUE"""),416.0)</f>
        <v>416</v>
      </c>
      <c r="D1650" s="3">
        <f>IFERROR(__xludf.DUMMYFUNCTION("""COMPUTED_VALUE"""),190.0)</f>
        <v>190</v>
      </c>
      <c r="E1650" s="2"/>
      <c r="F1650" s="2"/>
    </row>
    <row r="1651">
      <c r="A1651" s="2">
        <f>IFERROR(__xludf.DUMMYFUNCTION("""COMPUTED_VALUE"""),156051.0)</f>
        <v>156051</v>
      </c>
      <c r="B1651" s="2">
        <f>IFERROR(__xludf.DUMMYFUNCTION("""COMPUTED_VALUE"""),0.0)</f>
        <v>0</v>
      </c>
      <c r="C1651" s="2">
        <f>IFERROR(__xludf.DUMMYFUNCTION("""COMPUTED_VALUE"""),25.0)</f>
        <v>25</v>
      </c>
      <c r="D1651" s="3">
        <f>IFERROR(__xludf.DUMMYFUNCTION("""COMPUTED_VALUE"""),20.0)</f>
        <v>20</v>
      </c>
      <c r="E1651" s="2"/>
      <c r="F1651" s="2"/>
    </row>
    <row r="1652">
      <c r="A1652" s="2">
        <f>IFERROR(__xludf.DUMMYFUNCTION("""COMPUTED_VALUE"""),156048.0)</f>
        <v>156048</v>
      </c>
      <c r="B1652" s="2">
        <f>IFERROR(__xludf.DUMMYFUNCTION("""COMPUTED_VALUE"""),0.0)</f>
        <v>0</v>
      </c>
      <c r="C1652" s="2">
        <f>IFERROR(__xludf.DUMMYFUNCTION("""COMPUTED_VALUE"""),44.0)</f>
        <v>44</v>
      </c>
      <c r="D1652" s="3">
        <f>IFERROR(__xludf.DUMMYFUNCTION("""COMPUTED_VALUE"""),31.0)</f>
        <v>31</v>
      </c>
      <c r="E1652" s="2"/>
      <c r="F1652" s="2"/>
    </row>
    <row r="1653">
      <c r="A1653" s="2">
        <f>IFERROR(__xludf.DUMMYFUNCTION("""COMPUTED_VALUE"""),117832.0)</f>
        <v>117832</v>
      </c>
      <c r="B1653" s="2">
        <f>IFERROR(__xludf.DUMMYFUNCTION("""COMPUTED_VALUE"""),0.0)</f>
        <v>0</v>
      </c>
      <c r="C1653" s="2">
        <f>IFERROR(__xludf.DUMMYFUNCTION("""COMPUTED_VALUE"""),951.0)</f>
        <v>951</v>
      </c>
      <c r="D1653" s="3">
        <f>IFERROR(__xludf.DUMMYFUNCTION("""COMPUTED_VALUE"""),411.0)</f>
        <v>411</v>
      </c>
      <c r="E1653" s="2"/>
      <c r="F1653" s="2"/>
    </row>
    <row r="1654">
      <c r="A1654" s="2">
        <f>IFERROR(__xludf.DUMMYFUNCTION("""COMPUTED_VALUE"""),117877.0)</f>
        <v>117877</v>
      </c>
      <c r="B1654" s="2">
        <f>IFERROR(__xludf.DUMMYFUNCTION("""COMPUTED_VALUE"""),1.0)</f>
        <v>1</v>
      </c>
      <c r="C1654" s="2">
        <f>IFERROR(__xludf.DUMMYFUNCTION("""COMPUTED_VALUE"""),817.0)</f>
        <v>817</v>
      </c>
      <c r="D1654" s="3">
        <f>IFERROR(__xludf.DUMMYFUNCTION("""COMPUTED_VALUE"""),624.0)</f>
        <v>624</v>
      </c>
      <c r="E1654" s="2"/>
      <c r="F1654" s="2"/>
    </row>
    <row r="1655">
      <c r="A1655" s="2">
        <f>IFERROR(__xludf.DUMMYFUNCTION("""COMPUTED_VALUE"""),117876.0)</f>
        <v>117876</v>
      </c>
      <c r="B1655" s="2">
        <f>IFERROR(__xludf.DUMMYFUNCTION("""COMPUTED_VALUE"""),0.0)</f>
        <v>0</v>
      </c>
      <c r="C1655" s="2">
        <f>IFERROR(__xludf.DUMMYFUNCTION("""COMPUTED_VALUE"""),396.0)</f>
        <v>396</v>
      </c>
      <c r="D1655" s="3">
        <f>IFERROR(__xludf.DUMMYFUNCTION("""COMPUTED_VALUE"""),284.0)</f>
        <v>284</v>
      </c>
      <c r="E1655" s="2"/>
      <c r="F1655" s="2"/>
    </row>
    <row r="1656">
      <c r="A1656" s="2">
        <f>IFERROR(__xludf.DUMMYFUNCTION("""COMPUTED_VALUE"""),83507.0)</f>
        <v>83507</v>
      </c>
      <c r="B1656" s="2">
        <f>IFERROR(__xludf.DUMMYFUNCTION("""COMPUTED_VALUE"""),0.0)</f>
        <v>0</v>
      </c>
      <c r="C1656" s="2">
        <f>IFERROR(__xludf.DUMMYFUNCTION("""COMPUTED_VALUE"""),609.0)</f>
        <v>609</v>
      </c>
      <c r="D1656" s="3">
        <f>IFERROR(__xludf.DUMMYFUNCTION("""COMPUTED_VALUE"""),353.0)</f>
        <v>353</v>
      </c>
      <c r="E1656" s="2"/>
      <c r="F1656" s="2"/>
    </row>
    <row r="1657">
      <c r="A1657" s="2">
        <f>IFERROR(__xludf.DUMMYFUNCTION("""COMPUTED_VALUE"""),121285.0)</f>
        <v>121285</v>
      </c>
      <c r="B1657" s="2">
        <f>IFERROR(__xludf.DUMMYFUNCTION("""COMPUTED_VALUE"""),0.0)</f>
        <v>0</v>
      </c>
      <c r="C1657" s="2">
        <f>IFERROR(__xludf.DUMMYFUNCTION("""COMPUTED_VALUE"""),770.0)</f>
        <v>770</v>
      </c>
      <c r="D1657" s="3">
        <f>IFERROR(__xludf.DUMMYFUNCTION("""COMPUTED_VALUE"""),401.0)</f>
        <v>401</v>
      </c>
      <c r="E1657" s="2"/>
      <c r="F1657" s="2"/>
    </row>
    <row r="1658">
      <c r="A1658" s="2">
        <f>IFERROR(__xludf.DUMMYFUNCTION("""COMPUTED_VALUE"""),122684.0)</f>
        <v>122684</v>
      </c>
      <c r="B1658" s="2">
        <f>IFERROR(__xludf.DUMMYFUNCTION("""COMPUTED_VALUE"""),1.0)</f>
        <v>1</v>
      </c>
      <c r="C1658" s="2">
        <f>IFERROR(__xludf.DUMMYFUNCTION("""COMPUTED_VALUE"""),418.0)</f>
        <v>418</v>
      </c>
      <c r="D1658" s="3">
        <f>IFERROR(__xludf.DUMMYFUNCTION("""COMPUTED_VALUE"""),118.0)</f>
        <v>118</v>
      </c>
      <c r="E1658" s="2"/>
      <c r="F1658" s="2"/>
    </row>
    <row r="1659">
      <c r="A1659" s="2">
        <f>IFERROR(__xludf.DUMMYFUNCTION("""COMPUTED_VALUE"""),116615.0)</f>
        <v>116615</v>
      </c>
      <c r="B1659" s="2">
        <f>IFERROR(__xludf.DUMMYFUNCTION("""COMPUTED_VALUE"""),1.0)</f>
        <v>1</v>
      </c>
      <c r="C1659" s="2">
        <f>IFERROR(__xludf.DUMMYFUNCTION("""COMPUTED_VALUE"""),720.0)</f>
        <v>720</v>
      </c>
      <c r="D1659" s="3">
        <f>IFERROR(__xludf.DUMMYFUNCTION("""COMPUTED_VALUE"""),93.0)</f>
        <v>93</v>
      </c>
      <c r="E1659" s="2"/>
      <c r="F1659" s="2"/>
    </row>
    <row r="1660">
      <c r="A1660" s="2">
        <f>IFERROR(__xludf.DUMMYFUNCTION("""COMPUTED_VALUE"""),121083.0)</f>
        <v>121083</v>
      </c>
      <c r="B1660" s="2">
        <f>IFERROR(__xludf.DUMMYFUNCTION("""COMPUTED_VALUE"""),0.0)</f>
        <v>0</v>
      </c>
      <c r="C1660" s="2">
        <f>IFERROR(__xludf.DUMMYFUNCTION("""COMPUTED_VALUE"""),659.0)</f>
        <v>659</v>
      </c>
      <c r="D1660" s="3">
        <f>IFERROR(__xludf.DUMMYFUNCTION("""COMPUTED_VALUE"""),416.0)</f>
        <v>416</v>
      </c>
      <c r="E1660" s="2"/>
      <c r="F1660" s="2"/>
    </row>
    <row r="1661">
      <c r="A1661" s="2">
        <f>IFERROR(__xludf.DUMMYFUNCTION("""COMPUTED_VALUE"""),108936.0)</f>
        <v>108936</v>
      </c>
      <c r="B1661" s="2">
        <f>IFERROR(__xludf.DUMMYFUNCTION("""COMPUTED_VALUE"""),0.0)</f>
        <v>0</v>
      </c>
      <c r="C1661" s="2">
        <f>IFERROR(__xludf.DUMMYFUNCTION("""COMPUTED_VALUE"""),379.0)</f>
        <v>379</v>
      </c>
      <c r="D1661" s="3">
        <f>IFERROR(__xludf.DUMMYFUNCTION("""COMPUTED_VALUE"""),365.0)</f>
        <v>365</v>
      </c>
      <c r="E1661" s="2"/>
      <c r="F1661" s="2"/>
    </row>
    <row r="1662">
      <c r="A1662" s="2">
        <f>IFERROR(__xludf.DUMMYFUNCTION("""COMPUTED_VALUE"""),128388.0)</f>
        <v>128388</v>
      </c>
      <c r="B1662" s="2">
        <f>IFERROR(__xludf.DUMMYFUNCTION("""COMPUTED_VALUE"""),1.0)</f>
        <v>1</v>
      </c>
      <c r="C1662" s="2">
        <f>IFERROR(__xludf.DUMMYFUNCTION("""COMPUTED_VALUE"""),885.0)</f>
        <v>885</v>
      </c>
      <c r="D1662" s="3">
        <f>IFERROR(__xludf.DUMMYFUNCTION("""COMPUTED_VALUE"""),770.0)</f>
        <v>770</v>
      </c>
      <c r="E1662" s="2"/>
      <c r="F1662" s="2"/>
    </row>
    <row r="1663">
      <c r="A1663" s="2">
        <f>IFERROR(__xludf.DUMMYFUNCTION("""COMPUTED_VALUE"""),120559.0)</f>
        <v>120559</v>
      </c>
      <c r="B1663" s="2">
        <f>IFERROR(__xludf.DUMMYFUNCTION("""COMPUTED_VALUE"""),0.0)</f>
        <v>0</v>
      </c>
      <c r="C1663" s="2">
        <f>IFERROR(__xludf.DUMMYFUNCTION("""COMPUTED_VALUE"""),732.0)</f>
        <v>732</v>
      </c>
      <c r="D1663" s="3">
        <f>IFERROR(__xludf.DUMMYFUNCTION("""COMPUTED_VALUE"""),596.0)</f>
        <v>596</v>
      </c>
      <c r="E1663" s="2"/>
      <c r="F1663" s="2"/>
    </row>
    <row r="1664">
      <c r="A1664" s="2">
        <f>IFERROR(__xludf.DUMMYFUNCTION("""COMPUTED_VALUE"""),122685.0)</f>
        <v>122685</v>
      </c>
      <c r="B1664" s="2">
        <f>IFERROR(__xludf.DUMMYFUNCTION("""COMPUTED_VALUE"""),1.0)</f>
        <v>1</v>
      </c>
      <c r="C1664" s="2">
        <f>IFERROR(__xludf.DUMMYFUNCTION("""COMPUTED_VALUE"""),560.0)</f>
        <v>560</v>
      </c>
      <c r="D1664" s="3">
        <f>IFERROR(__xludf.DUMMYFUNCTION("""COMPUTED_VALUE"""),19.0)</f>
        <v>19</v>
      </c>
      <c r="E1664" s="2"/>
      <c r="F1664" s="2"/>
    </row>
    <row r="1665">
      <c r="A1665" s="2">
        <f>IFERROR(__xludf.DUMMYFUNCTION("""COMPUTED_VALUE"""),122686.0)</f>
        <v>122686</v>
      </c>
      <c r="B1665" s="2">
        <f>IFERROR(__xludf.DUMMYFUNCTION("""COMPUTED_VALUE"""),0.0)</f>
        <v>0</v>
      </c>
      <c r="C1665" s="2">
        <f>IFERROR(__xludf.DUMMYFUNCTION("""COMPUTED_VALUE"""),29.0)</f>
        <v>29</v>
      </c>
      <c r="D1665" s="3">
        <f>IFERROR(__xludf.DUMMYFUNCTION("""COMPUTED_VALUE"""),4.0)</f>
        <v>4</v>
      </c>
      <c r="E1665" s="2"/>
      <c r="F1665" s="2"/>
    </row>
    <row r="1666">
      <c r="A1666" s="2">
        <f>IFERROR(__xludf.DUMMYFUNCTION("""COMPUTED_VALUE"""),181263.0)</f>
        <v>181263</v>
      </c>
      <c r="B1666" s="2">
        <f>IFERROR(__xludf.DUMMYFUNCTION("""COMPUTED_VALUE"""),0.0)</f>
        <v>0</v>
      </c>
      <c r="C1666" s="2">
        <f>IFERROR(__xludf.DUMMYFUNCTION("""COMPUTED_VALUE"""),878.0)</f>
        <v>878</v>
      </c>
      <c r="D1666" s="3">
        <f>IFERROR(__xludf.DUMMYFUNCTION("""COMPUTED_VALUE"""),405.0)</f>
        <v>405</v>
      </c>
      <c r="E1666" s="2"/>
      <c r="F1666" s="2"/>
    </row>
    <row r="1667">
      <c r="A1667" s="2">
        <f>IFERROR(__xludf.DUMMYFUNCTION("""COMPUTED_VALUE"""),122723.0)</f>
        <v>122723</v>
      </c>
      <c r="B1667" s="2">
        <f>IFERROR(__xludf.DUMMYFUNCTION("""COMPUTED_VALUE"""),0.0)</f>
        <v>0</v>
      </c>
      <c r="C1667" s="2">
        <f>IFERROR(__xludf.DUMMYFUNCTION("""COMPUTED_VALUE"""),711.0)</f>
        <v>711</v>
      </c>
      <c r="D1667" s="3">
        <f>IFERROR(__xludf.DUMMYFUNCTION("""COMPUTED_VALUE"""),132.0)</f>
        <v>132</v>
      </c>
      <c r="E1667" s="2"/>
      <c r="F1667" s="2"/>
    </row>
    <row r="1668">
      <c r="A1668" s="2">
        <f>IFERROR(__xludf.DUMMYFUNCTION("""COMPUTED_VALUE"""),26533.0)</f>
        <v>26533</v>
      </c>
      <c r="B1668" s="2">
        <f>IFERROR(__xludf.DUMMYFUNCTION("""COMPUTED_VALUE"""),1.0)</f>
        <v>1</v>
      </c>
      <c r="C1668" s="2">
        <f>IFERROR(__xludf.DUMMYFUNCTION("""COMPUTED_VALUE"""),13.0)</f>
        <v>13</v>
      </c>
      <c r="D1668" s="3">
        <f>IFERROR(__xludf.DUMMYFUNCTION("""COMPUTED_VALUE"""),7.0)</f>
        <v>7</v>
      </c>
      <c r="E1668" s="2"/>
      <c r="F1668" s="2"/>
    </row>
    <row r="1669">
      <c r="A1669" s="2">
        <f>IFERROR(__xludf.DUMMYFUNCTION("""COMPUTED_VALUE"""),16048.0)</f>
        <v>16048</v>
      </c>
      <c r="B1669" s="2">
        <f>IFERROR(__xludf.DUMMYFUNCTION("""COMPUTED_VALUE"""),1.0)</f>
        <v>1</v>
      </c>
      <c r="C1669" s="2">
        <f>IFERROR(__xludf.DUMMYFUNCTION("""COMPUTED_VALUE"""),936.0)</f>
        <v>936</v>
      </c>
      <c r="D1669" s="3">
        <f>IFERROR(__xludf.DUMMYFUNCTION("""COMPUTED_VALUE"""),478.0)</f>
        <v>478</v>
      </c>
      <c r="E1669" s="2"/>
      <c r="F1669" s="2"/>
    </row>
    <row r="1670">
      <c r="A1670" s="2">
        <f>IFERROR(__xludf.DUMMYFUNCTION("""COMPUTED_VALUE"""),16049.0)</f>
        <v>16049</v>
      </c>
      <c r="B1670" s="2">
        <f>IFERROR(__xludf.DUMMYFUNCTION("""COMPUTED_VALUE"""),1.0)</f>
        <v>1</v>
      </c>
      <c r="C1670" s="2">
        <f>IFERROR(__xludf.DUMMYFUNCTION("""COMPUTED_VALUE"""),290.0)</f>
        <v>290</v>
      </c>
      <c r="D1670" s="3">
        <f>IFERROR(__xludf.DUMMYFUNCTION("""COMPUTED_VALUE"""),58.0)</f>
        <v>58</v>
      </c>
      <c r="E1670" s="2"/>
      <c r="F1670" s="2"/>
    </row>
    <row r="1671">
      <c r="A1671" s="2">
        <f>IFERROR(__xludf.DUMMYFUNCTION("""COMPUTED_VALUE"""),122421.0)</f>
        <v>122421</v>
      </c>
      <c r="B1671" s="2">
        <f>IFERROR(__xludf.DUMMYFUNCTION("""COMPUTED_VALUE"""),1.0)</f>
        <v>1</v>
      </c>
      <c r="C1671" s="2">
        <f>IFERROR(__xludf.DUMMYFUNCTION("""COMPUTED_VALUE"""),694.0)</f>
        <v>694</v>
      </c>
      <c r="D1671" s="3">
        <f>IFERROR(__xludf.DUMMYFUNCTION("""COMPUTED_VALUE"""),569.0)</f>
        <v>569</v>
      </c>
      <c r="E1671" s="2"/>
      <c r="F1671" s="2"/>
    </row>
    <row r="1672">
      <c r="A1672" s="2">
        <f>IFERROR(__xludf.DUMMYFUNCTION("""COMPUTED_VALUE"""),121718.0)</f>
        <v>121718</v>
      </c>
      <c r="B1672" s="2">
        <f>IFERROR(__xludf.DUMMYFUNCTION("""COMPUTED_VALUE"""),1.0)</f>
        <v>1</v>
      </c>
      <c r="C1672" s="2">
        <f>IFERROR(__xludf.DUMMYFUNCTION("""COMPUTED_VALUE"""),826.0)</f>
        <v>826</v>
      </c>
      <c r="D1672" s="3">
        <f>IFERROR(__xludf.DUMMYFUNCTION("""COMPUTED_VALUE"""),297.0)</f>
        <v>297</v>
      </c>
      <c r="E1672" s="2"/>
      <c r="F1672" s="2"/>
    </row>
    <row r="1673">
      <c r="A1673" s="2">
        <f>IFERROR(__xludf.DUMMYFUNCTION("""COMPUTED_VALUE"""),117892.0)</f>
        <v>117892</v>
      </c>
      <c r="B1673" s="2">
        <f>IFERROR(__xludf.DUMMYFUNCTION("""COMPUTED_VALUE"""),0.0)</f>
        <v>0</v>
      </c>
      <c r="C1673" s="2">
        <f>IFERROR(__xludf.DUMMYFUNCTION("""COMPUTED_VALUE"""),59.0)</f>
        <v>59</v>
      </c>
      <c r="D1673" s="3">
        <f>IFERROR(__xludf.DUMMYFUNCTION("""COMPUTED_VALUE"""),4.0)</f>
        <v>4</v>
      </c>
      <c r="E1673" s="2"/>
      <c r="F1673" s="2"/>
    </row>
    <row r="1674">
      <c r="A1674" s="2">
        <f>IFERROR(__xludf.DUMMYFUNCTION("""COMPUTED_VALUE"""),117893.0)</f>
        <v>117893</v>
      </c>
      <c r="B1674" s="2">
        <f>IFERROR(__xludf.DUMMYFUNCTION("""COMPUTED_VALUE"""),0.0)</f>
        <v>0</v>
      </c>
      <c r="C1674" s="2">
        <f>IFERROR(__xludf.DUMMYFUNCTION("""COMPUTED_VALUE"""),885.0)</f>
        <v>885</v>
      </c>
      <c r="D1674" s="3">
        <f>IFERROR(__xludf.DUMMYFUNCTION("""COMPUTED_VALUE"""),316.0)</f>
        <v>316</v>
      </c>
      <c r="E1674" s="2"/>
      <c r="F1674" s="2"/>
    </row>
    <row r="1675">
      <c r="A1675" s="2">
        <f>IFERROR(__xludf.DUMMYFUNCTION("""COMPUTED_VALUE"""),78448.0)</f>
        <v>78448</v>
      </c>
      <c r="B1675" s="2">
        <f>IFERROR(__xludf.DUMMYFUNCTION("""COMPUTED_VALUE"""),1.0)</f>
        <v>1</v>
      </c>
      <c r="C1675" s="2">
        <f>IFERROR(__xludf.DUMMYFUNCTION("""COMPUTED_VALUE"""),302.0)</f>
        <v>302</v>
      </c>
      <c r="D1675" s="3">
        <f>IFERROR(__xludf.DUMMYFUNCTION("""COMPUTED_VALUE"""),115.0)</f>
        <v>115</v>
      </c>
      <c r="E1675" s="2"/>
      <c r="F1675" s="2"/>
    </row>
    <row r="1676">
      <c r="A1676" s="2">
        <f>IFERROR(__xludf.DUMMYFUNCTION("""COMPUTED_VALUE"""),89463.0)</f>
        <v>89463</v>
      </c>
      <c r="B1676" s="2">
        <f>IFERROR(__xludf.DUMMYFUNCTION("""COMPUTED_VALUE"""),1.0)</f>
        <v>1</v>
      </c>
      <c r="C1676" s="2">
        <f>IFERROR(__xludf.DUMMYFUNCTION("""COMPUTED_VALUE"""),832.0)</f>
        <v>832</v>
      </c>
      <c r="D1676" s="3">
        <f>IFERROR(__xludf.DUMMYFUNCTION("""COMPUTED_VALUE"""),427.0)</f>
        <v>427</v>
      </c>
      <c r="E1676" s="2"/>
      <c r="F1676" s="2"/>
    </row>
    <row r="1677">
      <c r="A1677" s="2">
        <f>IFERROR(__xludf.DUMMYFUNCTION("""COMPUTED_VALUE"""),108096.0)</f>
        <v>108096</v>
      </c>
      <c r="B1677" s="2">
        <f>IFERROR(__xludf.DUMMYFUNCTION("""COMPUTED_VALUE"""),1.0)</f>
        <v>1</v>
      </c>
      <c r="C1677" s="2">
        <f>IFERROR(__xludf.DUMMYFUNCTION("""COMPUTED_VALUE"""),764.0)</f>
        <v>764</v>
      </c>
      <c r="D1677" s="3">
        <f>IFERROR(__xludf.DUMMYFUNCTION("""COMPUTED_VALUE"""),96.0)</f>
        <v>96</v>
      </c>
      <c r="E1677" s="2"/>
      <c r="F1677" s="2"/>
    </row>
    <row r="1678">
      <c r="A1678" s="2">
        <f>IFERROR(__xludf.DUMMYFUNCTION("""COMPUTED_VALUE"""),70495.0)</f>
        <v>70495</v>
      </c>
      <c r="B1678" s="2">
        <f>IFERROR(__xludf.DUMMYFUNCTION("""COMPUTED_VALUE"""),0.0)</f>
        <v>0</v>
      </c>
      <c r="C1678" s="2">
        <f>IFERROR(__xludf.DUMMYFUNCTION("""COMPUTED_VALUE"""),272.0)</f>
        <v>272</v>
      </c>
      <c r="D1678" s="3">
        <f>IFERROR(__xludf.DUMMYFUNCTION("""COMPUTED_VALUE"""),43.0)</f>
        <v>43</v>
      </c>
      <c r="E1678" s="2"/>
      <c r="F1678" s="2"/>
    </row>
    <row r="1679">
      <c r="A1679" s="2">
        <f>IFERROR(__xludf.DUMMYFUNCTION("""COMPUTED_VALUE"""),115733.0)</f>
        <v>115733</v>
      </c>
      <c r="B1679" s="2">
        <f>IFERROR(__xludf.DUMMYFUNCTION("""COMPUTED_VALUE"""),1.0)</f>
        <v>1</v>
      </c>
      <c r="C1679" s="2">
        <f>IFERROR(__xludf.DUMMYFUNCTION("""COMPUTED_VALUE"""),405.0)</f>
        <v>405</v>
      </c>
      <c r="D1679" s="3">
        <f>IFERROR(__xludf.DUMMYFUNCTION("""COMPUTED_VALUE"""),62.0)</f>
        <v>62</v>
      </c>
      <c r="E1679" s="2"/>
      <c r="F1679" s="2"/>
    </row>
    <row r="1680">
      <c r="A1680" s="2">
        <f>IFERROR(__xludf.DUMMYFUNCTION("""COMPUTED_VALUE"""),26349.0)</f>
        <v>26349</v>
      </c>
      <c r="B1680" s="2">
        <f>IFERROR(__xludf.DUMMYFUNCTION("""COMPUTED_VALUE"""),1.0)</f>
        <v>1</v>
      </c>
      <c r="C1680" s="2">
        <f>IFERROR(__xludf.DUMMYFUNCTION("""COMPUTED_VALUE"""),736.0)</f>
        <v>736</v>
      </c>
      <c r="D1680" s="3">
        <f>IFERROR(__xludf.DUMMYFUNCTION("""COMPUTED_VALUE"""),311.0)</f>
        <v>311</v>
      </c>
      <c r="E1680" s="2"/>
      <c r="F1680" s="2"/>
    </row>
    <row r="1681">
      <c r="A1681" s="2">
        <f>IFERROR(__xludf.DUMMYFUNCTION("""COMPUTED_VALUE"""),26350.0)</f>
        <v>26350</v>
      </c>
      <c r="B1681" s="2">
        <f>IFERROR(__xludf.DUMMYFUNCTION("""COMPUTED_VALUE"""),0.0)</f>
        <v>0</v>
      </c>
      <c r="C1681" s="2">
        <f>IFERROR(__xludf.DUMMYFUNCTION("""COMPUTED_VALUE"""),783.0)</f>
        <v>783</v>
      </c>
      <c r="D1681" s="3">
        <f>IFERROR(__xludf.DUMMYFUNCTION("""COMPUTED_VALUE"""),74.0)</f>
        <v>74</v>
      </c>
      <c r="E1681" s="2"/>
      <c r="F1681" s="2"/>
    </row>
    <row r="1682">
      <c r="A1682" s="2">
        <f>IFERROR(__xludf.DUMMYFUNCTION("""COMPUTED_VALUE"""),115724.0)</f>
        <v>115724</v>
      </c>
      <c r="B1682" s="2">
        <f>IFERROR(__xludf.DUMMYFUNCTION("""COMPUTED_VALUE"""),1.0)</f>
        <v>1</v>
      </c>
      <c r="C1682" s="2">
        <f>IFERROR(__xludf.DUMMYFUNCTION("""COMPUTED_VALUE"""),946.0)</f>
        <v>946</v>
      </c>
      <c r="D1682" s="3">
        <f>IFERROR(__xludf.DUMMYFUNCTION("""COMPUTED_VALUE"""),551.0)</f>
        <v>551</v>
      </c>
      <c r="E1682" s="2"/>
      <c r="F1682" s="2"/>
    </row>
    <row r="1683">
      <c r="A1683" s="2">
        <f>IFERROR(__xludf.DUMMYFUNCTION("""COMPUTED_VALUE"""),115726.0)</f>
        <v>115726</v>
      </c>
      <c r="B1683" s="2">
        <f>IFERROR(__xludf.DUMMYFUNCTION("""COMPUTED_VALUE"""),0.0)</f>
        <v>0</v>
      </c>
      <c r="C1683" s="2">
        <f>IFERROR(__xludf.DUMMYFUNCTION("""COMPUTED_VALUE"""),318.0)</f>
        <v>318</v>
      </c>
      <c r="D1683" s="3">
        <f>IFERROR(__xludf.DUMMYFUNCTION("""COMPUTED_VALUE"""),17.0)</f>
        <v>17</v>
      </c>
      <c r="E1683" s="2"/>
      <c r="F1683" s="2"/>
    </row>
    <row r="1684">
      <c r="A1684" s="2">
        <f>IFERROR(__xludf.DUMMYFUNCTION("""COMPUTED_VALUE"""),26352.0)</f>
        <v>26352</v>
      </c>
      <c r="B1684" s="2">
        <f>IFERROR(__xludf.DUMMYFUNCTION("""COMPUTED_VALUE"""),0.0)</f>
        <v>0</v>
      </c>
      <c r="C1684" s="2">
        <f>IFERROR(__xludf.DUMMYFUNCTION("""COMPUTED_VALUE"""),667.0)</f>
        <v>667</v>
      </c>
      <c r="D1684" s="3">
        <f>IFERROR(__xludf.DUMMYFUNCTION("""COMPUTED_VALUE"""),359.0)</f>
        <v>359</v>
      </c>
      <c r="E1684" s="2"/>
      <c r="F1684" s="2"/>
    </row>
    <row r="1685">
      <c r="A1685" s="2">
        <f>IFERROR(__xludf.DUMMYFUNCTION("""COMPUTED_VALUE"""),19782.0)</f>
        <v>19782</v>
      </c>
      <c r="B1685" s="2">
        <f>IFERROR(__xludf.DUMMYFUNCTION("""COMPUTED_VALUE"""),1.0)</f>
        <v>1</v>
      </c>
      <c r="C1685" s="2">
        <f>IFERROR(__xludf.DUMMYFUNCTION("""COMPUTED_VALUE"""),640.0)</f>
        <v>640</v>
      </c>
      <c r="D1685" s="3">
        <f>IFERROR(__xludf.DUMMYFUNCTION("""COMPUTED_VALUE"""),445.0)</f>
        <v>445</v>
      </c>
      <c r="E1685" s="2"/>
      <c r="F1685" s="2"/>
    </row>
    <row r="1686">
      <c r="A1686" s="2">
        <f>IFERROR(__xludf.DUMMYFUNCTION("""COMPUTED_VALUE"""),19793.0)</f>
        <v>19793</v>
      </c>
      <c r="B1686" s="2">
        <f>IFERROR(__xludf.DUMMYFUNCTION("""COMPUTED_VALUE"""),1.0)</f>
        <v>1</v>
      </c>
      <c r="C1686" s="2">
        <f>IFERROR(__xludf.DUMMYFUNCTION("""COMPUTED_VALUE"""),807.0)</f>
        <v>807</v>
      </c>
      <c r="D1686" s="3">
        <f>IFERROR(__xludf.DUMMYFUNCTION("""COMPUTED_VALUE"""),194.0)</f>
        <v>194</v>
      </c>
      <c r="E1686" s="2"/>
      <c r="F1686" s="2"/>
    </row>
    <row r="1687">
      <c r="A1687" s="2">
        <f>IFERROR(__xludf.DUMMYFUNCTION("""COMPUTED_VALUE"""),87604.0)</f>
        <v>87604</v>
      </c>
      <c r="B1687" s="2">
        <f>IFERROR(__xludf.DUMMYFUNCTION("""COMPUTED_VALUE"""),1.0)</f>
        <v>1</v>
      </c>
      <c r="C1687" s="2">
        <f>IFERROR(__xludf.DUMMYFUNCTION("""COMPUTED_VALUE"""),671.0)</f>
        <v>671</v>
      </c>
      <c r="D1687" s="3">
        <f>IFERROR(__xludf.DUMMYFUNCTION("""COMPUTED_VALUE"""),269.0)</f>
        <v>269</v>
      </c>
      <c r="E1687" s="2"/>
      <c r="F1687" s="2"/>
    </row>
    <row r="1688">
      <c r="A1688" s="2">
        <f>IFERROR(__xludf.DUMMYFUNCTION("""COMPUTED_VALUE"""),29931.0)</f>
        <v>29931</v>
      </c>
      <c r="B1688" s="2">
        <f>IFERROR(__xludf.DUMMYFUNCTION("""COMPUTED_VALUE"""),0.0)</f>
        <v>0</v>
      </c>
      <c r="C1688" s="2">
        <f>IFERROR(__xludf.DUMMYFUNCTION("""COMPUTED_VALUE"""),385.0)</f>
        <v>385</v>
      </c>
      <c r="D1688" s="3">
        <f>IFERROR(__xludf.DUMMYFUNCTION("""COMPUTED_VALUE"""),67.0)</f>
        <v>67</v>
      </c>
      <c r="E1688" s="2"/>
      <c r="F1688" s="2"/>
    </row>
    <row r="1689">
      <c r="A1689" s="2">
        <f>IFERROR(__xludf.DUMMYFUNCTION("""COMPUTED_VALUE"""),9335.0)</f>
        <v>9335</v>
      </c>
      <c r="B1689" s="2">
        <f>IFERROR(__xludf.DUMMYFUNCTION("""COMPUTED_VALUE"""),1.0)</f>
        <v>1</v>
      </c>
      <c r="C1689" s="2">
        <f>IFERROR(__xludf.DUMMYFUNCTION("""COMPUTED_VALUE"""),917.0)</f>
        <v>917</v>
      </c>
      <c r="D1689" s="3">
        <f>IFERROR(__xludf.DUMMYFUNCTION("""COMPUTED_VALUE"""),51.0)</f>
        <v>51</v>
      </c>
      <c r="E1689" s="2"/>
      <c r="F1689" s="2"/>
    </row>
    <row r="1690">
      <c r="A1690" s="2">
        <f>IFERROR(__xludf.DUMMYFUNCTION("""COMPUTED_VALUE"""),88722.0)</f>
        <v>88722</v>
      </c>
      <c r="B1690" s="2">
        <f>IFERROR(__xludf.DUMMYFUNCTION("""COMPUTED_VALUE"""),1.0)</f>
        <v>1</v>
      </c>
      <c r="C1690" s="2">
        <f>IFERROR(__xludf.DUMMYFUNCTION("""COMPUTED_VALUE"""),968.0)</f>
        <v>968</v>
      </c>
      <c r="D1690" s="3">
        <f>IFERROR(__xludf.DUMMYFUNCTION("""COMPUTED_VALUE"""),190.0)</f>
        <v>190</v>
      </c>
      <c r="E1690" s="2"/>
      <c r="F1690" s="2"/>
    </row>
    <row r="1691">
      <c r="A1691" s="2">
        <f>IFERROR(__xludf.DUMMYFUNCTION("""COMPUTED_VALUE"""),121865.0)</f>
        <v>121865</v>
      </c>
      <c r="B1691" s="2">
        <f>IFERROR(__xludf.DUMMYFUNCTION("""COMPUTED_VALUE"""),0.0)</f>
        <v>0</v>
      </c>
      <c r="C1691" s="2">
        <f>IFERROR(__xludf.DUMMYFUNCTION("""COMPUTED_VALUE"""),154.0)</f>
        <v>154</v>
      </c>
      <c r="D1691" s="3">
        <f>IFERROR(__xludf.DUMMYFUNCTION("""COMPUTED_VALUE"""),105.0)</f>
        <v>105</v>
      </c>
      <c r="E1691" s="2"/>
      <c r="F1691" s="2"/>
    </row>
    <row r="1692">
      <c r="A1692" s="2">
        <f>IFERROR(__xludf.DUMMYFUNCTION("""COMPUTED_VALUE"""),100934.0)</f>
        <v>100934</v>
      </c>
      <c r="B1692" s="2">
        <f>IFERROR(__xludf.DUMMYFUNCTION("""COMPUTED_VALUE"""),0.0)</f>
        <v>0</v>
      </c>
      <c r="C1692" s="2">
        <f>IFERROR(__xludf.DUMMYFUNCTION("""COMPUTED_VALUE"""),913.0)</f>
        <v>913</v>
      </c>
      <c r="D1692" s="3">
        <f>IFERROR(__xludf.DUMMYFUNCTION("""COMPUTED_VALUE"""),330.0)</f>
        <v>330</v>
      </c>
      <c r="E1692" s="2"/>
      <c r="F1692" s="2"/>
    </row>
    <row r="1693">
      <c r="A1693" s="2">
        <f>IFERROR(__xludf.DUMMYFUNCTION("""COMPUTED_VALUE"""),117116.0)</f>
        <v>117116</v>
      </c>
      <c r="B1693" s="2">
        <f>IFERROR(__xludf.DUMMYFUNCTION("""COMPUTED_VALUE"""),0.0)</f>
        <v>0</v>
      </c>
      <c r="C1693" s="2">
        <f>IFERROR(__xludf.DUMMYFUNCTION("""COMPUTED_VALUE"""),857.0)</f>
        <v>857</v>
      </c>
      <c r="D1693" s="3">
        <f>IFERROR(__xludf.DUMMYFUNCTION("""COMPUTED_VALUE"""),266.0)</f>
        <v>266</v>
      </c>
      <c r="E1693" s="2"/>
      <c r="F1693" s="2"/>
    </row>
    <row r="1694">
      <c r="A1694" s="2">
        <f>IFERROR(__xludf.DUMMYFUNCTION("""COMPUTED_VALUE"""),19802.0)</f>
        <v>19802</v>
      </c>
      <c r="B1694" s="2">
        <f>IFERROR(__xludf.DUMMYFUNCTION("""COMPUTED_VALUE"""),1.0)</f>
        <v>1</v>
      </c>
      <c r="C1694" s="2">
        <f>IFERROR(__xludf.DUMMYFUNCTION("""COMPUTED_VALUE"""),212.0)</f>
        <v>212</v>
      </c>
      <c r="D1694" s="3">
        <f>IFERROR(__xludf.DUMMYFUNCTION("""COMPUTED_VALUE"""),113.0)</f>
        <v>113</v>
      </c>
      <c r="E1694" s="2"/>
      <c r="F1694" s="2"/>
    </row>
    <row r="1695">
      <c r="A1695" s="2">
        <f>IFERROR(__xludf.DUMMYFUNCTION("""COMPUTED_VALUE"""),81780.0)</f>
        <v>81780</v>
      </c>
      <c r="B1695" s="2">
        <f>IFERROR(__xludf.DUMMYFUNCTION("""COMPUTED_VALUE"""),1.0)</f>
        <v>1</v>
      </c>
      <c r="C1695" s="2">
        <f>IFERROR(__xludf.DUMMYFUNCTION("""COMPUTED_VALUE"""),509.0)</f>
        <v>509</v>
      </c>
      <c r="D1695" s="3">
        <f>IFERROR(__xludf.DUMMYFUNCTION("""COMPUTED_VALUE"""),110.0)</f>
        <v>110</v>
      </c>
      <c r="E1695" s="2"/>
      <c r="F1695" s="2"/>
    </row>
    <row r="1696">
      <c r="A1696" s="2">
        <f>IFERROR(__xludf.DUMMYFUNCTION("""COMPUTED_VALUE"""),117094.0)</f>
        <v>117094</v>
      </c>
      <c r="B1696" s="2">
        <f>IFERROR(__xludf.DUMMYFUNCTION("""COMPUTED_VALUE"""),0.0)</f>
        <v>0</v>
      </c>
      <c r="C1696" s="2">
        <f>IFERROR(__xludf.DUMMYFUNCTION("""COMPUTED_VALUE"""),961.0)</f>
        <v>961</v>
      </c>
      <c r="D1696" s="3">
        <f>IFERROR(__xludf.DUMMYFUNCTION("""COMPUTED_VALUE"""),341.0)</f>
        <v>341</v>
      </c>
      <c r="E1696" s="2"/>
      <c r="F1696" s="2"/>
    </row>
    <row r="1697">
      <c r="A1697" s="2">
        <f>IFERROR(__xludf.DUMMYFUNCTION("""COMPUTED_VALUE"""),19797.0)</f>
        <v>19797</v>
      </c>
      <c r="B1697" s="2">
        <f>IFERROR(__xludf.DUMMYFUNCTION("""COMPUTED_VALUE"""),0.0)</f>
        <v>0</v>
      </c>
      <c r="C1697" s="2">
        <f>IFERROR(__xludf.DUMMYFUNCTION("""COMPUTED_VALUE"""),744.0)</f>
        <v>744</v>
      </c>
      <c r="D1697" s="3">
        <f>IFERROR(__xludf.DUMMYFUNCTION("""COMPUTED_VALUE"""),680.0)</f>
        <v>680</v>
      </c>
      <c r="E1697" s="2"/>
      <c r="F1697" s="2"/>
    </row>
    <row r="1698">
      <c r="A1698" s="2">
        <f>IFERROR(__xludf.DUMMYFUNCTION("""COMPUTED_VALUE"""),86131.0)</f>
        <v>86131</v>
      </c>
      <c r="B1698" s="2">
        <f>IFERROR(__xludf.DUMMYFUNCTION("""COMPUTED_VALUE"""),1.0)</f>
        <v>1</v>
      </c>
      <c r="C1698" s="2">
        <f>IFERROR(__xludf.DUMMYFUNCTION("""COMPUTED_VALUE"""),309.0)</f>
        <v>309</v>
      </c>
      <c r="D1698" s="3">
        <f>IFERROR(__xludf.DUMMYFUNCTION("""COMPUTED_VALUE"""),275.0)</f>
        <v>275</v>
      </c>
      <c r="E1698" s="2"/>
      <c r="F1698" s="2"/>
    </row>
    <row r="1699">
      <c r="A1699" s="2">
        <f>IFERROR(__xludf.DUMMYFUNCTION("""COMPUTED_VALUE"""),121864.0)</f>
        <v>121864</v>
      </c>
      <c r="B1699" s="2">
        <f>IFERROR(__xludf.DUMMYFUNCTION("""COMPUTED_VALUE"""),1.0)</f>
        <v>1</v>
      </c>
      <c r="C1699" s="2">
        <f>IFERROR(__xludf.DUMMYFUNCTION("""COMPUTED_VALUE"""),190.0)</f>
        <v>190</v>
      </c>
      <c r="D1699" s="3">
        <f>IFERROR(__xludf.DUMMYFUNCTION("""COMPUTED_VALUE"""),174.0)</f>
        <v>174</v>
      </c>
      <c r="E1699" s="2"/>
      <c r="F1699" s="2"/>
    </row>
    <row r="1700">
      <c r="A1700" s="2">
        <f>IFERROR(__xludf.DUMMYFUNCTION("""COMPUTED_VALUE"""),15061.0)</f>
        <v>15061</v>
      </c>
      <c r="B1700" s="2">
        <f>IFERROR(__xludf.DUMMYFUNCTION("""COMPUTED_VALUE"""),0.0)</f>
        <v>0</v>
      </c>
      <c r="C1700" s="2">
        <f>IFERROR(__xludf.DUMMYFUNCTION("""COMPUTED_VALUE"""),267.0)</f>
        <v>267</v>
      </c>
      <c r="D1700" s="3">
        <f>IFERROR(__xludf.DUMMYFUNCTION("""COMPUTED_VALUE"""),100.0)</f>
        <v>100</v>
      </c>
      <c r="E1700" s="2"/>
      <c r="F1700" s="2"/>
    </row>
    <row r="1701">
      <c r="A1701" s="2">
        <f>IFERROR(__xludf.DUMMYFUNCTION("""COMPUTED_VALUE"""),79929.0)</f>
        <v>79929</v>
      </c>
      <c r="B1701" s="2">
        <f>IFERROR(__xludf.DUMMYFUNCTION("""COMPUTED_VALUE"""),0.0)</f>
        <v>0</v>
      </c>
      <c r="C1701" s="2">
        <f>IFERROR(__xludf.DUMMYFUNCTION("""COMPUTED_VALUE"""),631.0)</f>
        <v>631</v>
      </c>
      <c r="D1701" s="3">
        <f>IFERROR(__xludf.DUMMYFUNCTION("""COMPUTED_VALUE"""),616.0)</f>
        <v>616</v>
      </c>
      <c r="E1701" s="2"/>
      <c r="F1701" s="2"/>
    </row>
    <row r="1702">
      <c r="A1702" s="2">
        <f>IFERROR(__xludf.DUMMYFUNCTION("""COMPUTED_VALUE"""),19792.0)</f>
        <v>19792</v>
      </c>
      <c r="B1702" s="2">
        <f>IFERROR(__xludf.DUMMYFUNCTION("""COMPUTED_VALUE"""),0.0)</f>
        <v>0</v>
      </c>
      <c r="C1702" s="2">
        <f>IFERROR(__xludf.DUMMYFUNCTION("""COMPUTED_VALUE"""),744.0)</f>
        <v>744</v>
      </c>
      <c r="D1702" s="3">
        <f>IFERROR(__xludf.DUMMYFUNCTION("""COMPUTED_VALUE"""),109.0)</f>
        <v>109</v>
      </c>
      <c r="E1702" s="2"/>
      <c r="F1702" s="2"/>
    </row>
    <row r="1703">
      <c r="A1703" s="2">
        <f>IFERROR(__xludf.DUMMYFUNCTION("""COMPUTED_VALUE"""),108805.0)</f>
        <v>108805</v>
      </c>
      <c r="B1703" s="2">
        <f>IFERROR(__xludf.DUMMYFUNCTION("""COMPUTED_VALUE"""),0.0)</f>
        <v>0</v>
      </c>
      <c r="C1703" s="2">
        <f>IFERROR(__xludf.DUMMYFUNCTION("""COMPUTED_VALUE"""),120.0)</f>
        <v>120</v>
      </c>
      <c r="D1703" s="3">
        <f>IFERROR(__xludf.DUMMYFUNCTION("""COMPUTED_VALUE"""),43.0)</f>
        <v>43</v>
      </c>
      <c r="E1703" s="2"/>
      <c r="F1703" s="2"/>
    </row>
    <row r="1704">
      <c r="A1704" s="2">
        <f>IFERROR(__xludf.DUMMYFUNCTION("""COMPUTED_VALUE"""),71689.0)</f>
        <v>71689</v>
      </c>
      <c r="B1704" s="2">
        <f>IFERROR(__xludf.DUMMYFUNCTION("""COMPUTED_VALUE"""),0.0)</f>
        <v>0</v>
      </c>
      <c r="C1704" s="2">
        <f>IFERROR(__xludf.DUMMYFUNCTION("""COMPUTED_VALUE"""),443.0)</f>
        <v>443</v>
      </c>
      <c r="D1704" s="3">
        <f>IFERROR(__xludf.DUMMYFUNCTION("""COMPUTED_VALUE"""),4.0)</f>
        <v>4</v>
      </c>
      <c r="E1704" s="2"/>
      <c r="F1704" s="2"/>
    </row>
    <row r="1705">
      <c r="A1705" s="2">
        <f>IFERROR(__xludf.DUMMYFUNCTION("""COMPUTED_VALUE"""),71718.0)</f>
        <v>71718</v>
      </c>
      <c r="B1705" s="2">
        <f>IFERROR(__xludf.DUMMYFUNCTION("""COMPUTED_VALUE"""),0.0)</f>
        <v>0</v>
      </c>
      <c r="C1705" s="2">
        <f>IFERROR(__xludf.DUMMYFUNCTION("""COMPUTED_VALUE"""),225.0)</f>
        <v>225</v>
      </c>
      <c r="D1705" s="3">
        <f>IFERROR(__xludf.DUMMYFUNCTION("""COMPUTED_VALUE"""),22.0)</f>
        <v>22</v>
      </c>
      <c r="E1705" s="2"/>
      <c r="F1705" s="2"/>
    </row>
    <row r="1706">
      <c r="A1706" s="2">
        <f>IFERROR(__xludf.DUMMYFUNCTION("""COMPUTED_VALUE"""),19752.0)</f>
        <v>19752</v>
      </c>
      <c r="B1706" s="2">
        <f>IFERROR(__xludf.DUMMYFUNCTION("""COMPUTED_VALUE"""),0.0)</f>
        <v>0</v>
      </c>
      <c r="C1706" s="2">
        <f>IFERROR(__xludf.DUMMYFUNCTION("""COMPUTED_VALUE"""),598.0)</f>
        <v>598</v>
      </c>
      <c r="D1706" s="3">
        <f>IFERROR(__xludf.DUMMYFUNCTION("""COMPUTED_VALUE"""),259.0)</f>
        <v>259</v>
      </c>
      <c r="E1706" s="2"/>
      <c r="F1706" s="2"/>
    </row>
    <row r="1707">
      <c r="A1707" s="2">
        <f>IFERROR(__xludf.DUMMYFUNCTION("""COMPUTED_VALUE"""),116205.0)</f>
        <v>116205</v>
      </c>
      <c r="B1707" s="2">
        <f>IFERROR(__xludf.DUMMYFUNCTION("""COMPUTED_VALUE"""),0.0)</f>
        <v>0</v>
      </c>
      <c r="C1707" s="2">
        <f>IFERROR(__xludf.DUMMYFUNCTION("""COMPUTED_VALUE"""),872.0)</f>
        <v>872</v>
      </c>
      <c r="D1707" s="3">
        <f>IFERROR(__xludf.DUMMYFUNCTION("""COMPUTED_VALUE"""),802.0)</f>
        <v>802</v>
      </c>
      <c r="E1707" s="2"/>
      <c r="F1707" s="2"/>
    </row>
    <row r="1708">
      <c r="A1708" s="2">
        <f>IFERROR(__xludf.DUMMYFUNCTION("""COMPUTED_VALUE"""),117113.0)</f>
        <v>117113</v>
      </c>
      <c r="B1708" s="2">
        <f>IFERROR(__xludf.DUMMYFUNCTION("""COMPUTED_VALUE"""),1.0)</f>
        <v>1</v>
      </c>
      <c r="C1708" s="2">
        <f>IFERROR(__xludf.DUMMYFUNCTION("""COMPUTED_VALUE"""),239.0)</f>
        <v>239</v>
      </c>
      <c r="D1708" s="3">
        <f>IFERROR(__xludf.DUMMYFUNCTION("""COMPUTED_VALUE"""),144.0)</f>
        <v>144</v>
      </c>
      <c r="E1708" s="2"/>
      <c r="F1708" s="2"/>
    </row>
    <row r="1709">
      <c r="A1709" s="2">
        <f>IFERROR(__xludf.DUMMYFUNCTION("""COMPUTED_VALUE"""),71716.0)</f>
        <v>71716</v>
      </c>
      <c r="B1709" s="2">
        <f>IFERROR(__xludf.DUMMYFUNCTION("""COMPUTED_VALUE"""),0.0)</f>
        <v>0</v>
      </c>
      <c r="C1709" s="2">
        <f>IFERROR(__xludf.DUMMYFUNCTION("""COMPUTED_VALUE"""),443.0)</f>
        <v>443</v>
      </c>
      <c r="D1709" s="3">
        <f>IFERROR(__xludf.DUMMYFUNCTION("""COMPUTED_VALUE"""),228.0)</f>
        <v>228</v>
      </c>
      <c r="E1709" s="2"/>
      <c r="F1709" s="2"/>
    </row>
    <row r="1710">
      <c r="A1710" s="2">
        <f>IFERROR(__xludf.DUMMYFUNCTION("""COMPUTED_VALUE"""),44398.0)</f>
        <v>44398</v>
      </c>
      <c r="B1710" s="2">
        <f>IFERROR(__xludf.DUMMYFUNCTION("""COMPUTED_VALUE"""),0.0)</f>
        <v>0</v>
      </c>
      <c r="C1710" s="2">
        <f>IFERROR(__xludf.DUMMYFUNCTION("""COMPUTED_VALUE"""),795.0)</f>
        <v>795</v>
      </c>
      <c r="D1710" s="3">
        <f>IFERROR(__xludf.DUMMYFUNCTION("""COMPUTED_VALUE"""),461.0)</f>
        <v>461</v>
      </c>
      <c r="E1710" s="2"/>
      <c r="F1710" s="2"/>
    </row>
    <row r="1711">
      <c r="A1711" s="2">
        <f>IFERROR(__xludf.DUMMYFUNCTION("""COMPUTED_VALUE"""),100932.0)</f>
        <v>100932</v>
      </c>
      <c r="B1711" s="2">
        <f>IFERROR(__xludf.DUMMYFUNCTION("""COMPUTED_VALUE"""),0.0)</f>
        <v>0</v>
      </c>
      <c r="C1711" s="2">
        <f>IFERROR(__xludf.DUMMYFUNCTION("""COMPUTED_VALUE"""),582.0)</f>
        <v>582</v>
      </c>
      <c r="D1711" s="3">
        <f>IFERROR(__xludf.DUMMYFUNCTION("""COMPUTED_VALUE"""),42.0)</f>
        <v>42</v>
      </c>
      <c r="E1711" s="2"/>
      <c r="F1711" s="2"/>
    </row>
    <row r="1712">
      <c r="A1712" s="2">
        <f>IFERROR(__xludf.DUMMYFUNCTION("""COMPUTED_VALUE"""),117125.0)</f>
        <v>117125</v>
      </c>
      <c r="B1712" s="2">
        <f>IFERROR(__xludf.DUMMYFUNCTION("""COMPUTED_VALUE"""),1.0)</f>
        <v>1</v>
      </c>
      <c r="C1712" s="2">
        <f>IFERROR(__xludf.DUMMYFUNCTION("""COMPUTED_VALUE"""),630.0)</f>
        <v>630</v>
      </c>
      <c r="D1712" s="3">
        <f>IFERROR(__xludf.DUMMYFUNCTION("""COMPUTED_VALUE"""),370.0)</f>
        <v>370</v>
      </c>
      <c r="E1712" s="2"/>
      <c r="F1712" s="2"/>
    </row>
    <row r="1713">
      <c r="A1713" s="2">
        <f>IFERROR(__xludf.DUMMYFUNCTION("""COMPUTED_VALUE"""),19746.0)</f>
        <v>19746</v>
      </c>
      <c r="B1713" s="2">
        <f>IFERROR(__xludf.DUMMYFUNCTION("""COMPUTED_VALUE"""),1.0)</f>
        <v>1</v>
      </c>
      <c r="C1713" s="2">
        <f>IFERROR(__xludf.DUMMYFUNCTION("""COMPUTED_VALUE"""),726.0)</f>
        <v>726</v>
      </c>
      <c r="D1713" s="3">
        <f>IFERROR(__xludf.DUMMYFUNCTION("""COMPUTED_VALUE"""),556.0)</f>
        <v>556</v>
      </c>
      <c r="E1713" s="2"/>
      <c r="F1713" s="2"/>
    </row>
    <row r="1714">
      <c r="A1714" s="2">
        <f>IFERROR(__xludf.DUMMYFUNCTION("""COMPUTED_VALUE"""),80729.0)</f>
        <v>80729</v>
      </c>
      <c r="B1714" s="2">
        <f>IFERROR(__xludf.DUMMYFUNCTION("""COMPUTED_VALUE"""),1.0)</f>
        <v>1</v>
      </c>
      <c r="C1714" s="2">
        <f>IFERROR(__xludf.DUMMYFUNCTION("""COMPUTED_VALUE"""),258.0)</f>
        <v>258</v>
      </c>
      <c r="D1714" s="3">
        <f>IFERROR(__xludf.DUMMYFUNCTION("""COMPUTED_VALUE"""),243.0)</f>
        <v>243</v>
      </c>
      <c r="E1714" s="2"/>
      <c r="F1714" s="2"/>
    </row>
    <row r="1715">
      <c r="A1715" s="2">
        <f>IFERROR(__xludf.DUMMYFUNCTION("""COMPUTED_VALUE"""),19800.0)</f>
        <v>19800</v>
      </c>
      <c r="B1715" s="2">
        <f>IFERROR(__xludf.DUMMYFUNCTION("""COMPUTED_VALUE"""),1.0)</f>
        <v>1</v>
      </c>
      <c r="C1715" s="2">
        <f>IFERROR(__xludf.DUMMYFUNCTION("""COMPUTED_VALUE"""),65.0)</f>
        <v>65</v>
      </c>
      <c r="D1715" s="3">
        <f>IFERROR(__xludf.DUMMYFUNCTION("""COMPUTED_VALUE"""),57.0)</f>
        <v>57</v>
      </c>
      <c r="E1715" s="2"/>
      <c r="F1715" s="2"/>
    </row>
    <row r="1716">
      <c r="A1716" s="2">
        <f>IFERROR(__xludf.DUMMYFUNCTION("""COMPUTED_VALUE"""),19790.0)</f>
        <v>19790</v>
      </c>
      <c r="B1716" s="2">
        <f>IFERROR(__xludf.DUMMYFUNCTION("""COMPUTED_VALUE"""),0.0)</f>
        <v>0</v>
      </c>
      <c r="C1716" s="2">
        <f>IFERROR(__xludf.DUMMYFUNCTION("""COMPUTED_VALUE"""),264.0)</f>
        <v>264</v>
      </c>
      <c r="D1716" s="3">
        <f>IFERROR(__xludf.DUMMYFUNCTION("""COMPUTED_VALUE"""),127.0)</f>
        <v>127</v>
      </c>
      <c r="E1716" s="2"/>
      <c r="F1716" s="2"/>
    </row>
    <row r="1717">
      <c r="A1717" s="2">
        <f>IFERROR(__xludf.DUMMYFUNCTION("""COMPUTED_VALUE"""),19747.0)</f>
        <v>19747</v>
      </c>
      <c r="B1717" s="2">
        <f>IFERROR(__xludf.DUMMYFUNCTION("""COMPUTED_VALUE"""),1.0)</f>
        <v>1</v>
      </c>
      <c r="C1717" s="2">
        <f>IFERROR(__xludf.DUMMYFUNCTION("""COMPUTED_VALUE"""),195.0)</f>
        <v>195</v>
      </c>
      <c r="D1717" s="3">
        <f>IFERROR(__xludf.DUMMYFUNCTION("""COMPUTED_VALUE"""),172.0)</f>
        <v>172</v>
      </c>
      <c r="E1717" s="2"/>
      <c r="F1717" s="2"/>
    </row>
    <row r="1718">
      <c r="A1718" s="2">
        <f>IFERROR(__xludf.DUMMYFUNCTION("""COMPUTED_VALUE"""),44524.0)</f>
        <v>44524</v>
      </c>
      <c r="B1718" s="2">
        <f>IFERROR(__xludf.DUMMYFUNCTION("""COMPUTED_VALUE"""),1.0)</f>
        <v>1</v>
      </c>
      <c r="C1718" s="2">
        <f>IFERROR(__xludf.DUMMYFUNCTION("""COMPUTED_VALUE"""),306.0)</f>
        <v>306</v>
      </c>
      <c r="D1718" s="3">
        <f>IFERROR(__xludf.DUMMYFUNCTION("""COMPUTED_VALUE"""),28.0)</f>
        <v>28</v>
      </c>
      <c r="E1718" s="2"/>
      <c r="F1718" s="2"/>
    </row>
    <row r="1719">
      <c r="A1719" s="2">
        <f>IFERROR(__xludf.DUMMYFUNCTION("""COMPUTED_VALUE"""),103839.0)</f>
        <v>103839</v>
      </c>
      <c r="B1719" s="2">
        <f>IFERROR(__xludf.DUMMYFUNCTION("""COMPUTED_VALUE"""),0.0)</f>
        <v>0</v>
      </c>
      <c r="C1719" s="2">
        <f>IFERROR(__xludf.DUMMYFUNCTION("""COMPUTED_VALUE"""),325.0)</f>
        <v>325</v>
      </c>
      <c r="D1719" s="3">
        <f>IFERROR(__xludf.DUMMYFUNCTION("""COMPUTED_VALUE"""),73.0)</f>
        <v>73</v>
      </c>
      <c r="E1719" s="2"/>
      <c r="F1719" s="2"/>
    </row>
    <row r="1720">
      <c r="A1720" s="2">
        <f>IFERROR(__xludf.DUMMYFUNCTION("""COMPUTED_VALUE"""),195240.0)</f>
        <v>195240</v>
      </c>
      <c r="B1720" s="2">
        <f>IFERROR(__xludf.DUMMYFUNCTION("""COMPUTED_VALUE"""),0.0)</f>
        <v>0</v>
      </c>
      <c r="C1720" s="2">
        <f>IFERROR(__xludf.DUMMYFUNCTION("""COMPUTED_VALUE"""),659.0)</f>
        <v>659</v>
      </c>
      <c r="D1720" s="3">
        <f>IFERROR(__xludf.DUMMYFUNCTION("""COMPUTED_VALUE"""),393.0)</f>
        <v>393</v>
      </c>
      <c r="E1720" s="2"/>
      <c r="F1720" s="2"/>
    </row>
    <row r="1721">
      <c r="A1721" s="2">
        <f>IFERROR(__xludf.DUMMYFUNCTION("""COMPUTED_VALUE"""),195244.0)</f>
        <v>195244</v>
      </c>
      <c r="B1721" s="2">
        <f>IFERROR(__xludf.DUMMYFUNCTION("""COMPUTED_VALUE"""),1.0)</f>
        <v>1</v>
      </c>
      <c r="C1721" s="2">
        <f>IFERROR(__xludf.DUMMYFUNCTION("""COMPUTED_VALUE"""),247.0)</f>
        <v>247</v>
      </c>
      <c r="D1721" s="3">
        <f>IFERROR(__xludf.DUMMYFUNCTION("""COMPUTED_VALUE"""),178.0)</f>
        <v>178</v>
      </c>
      <c r="E1721" s="2"/>
      <c r="F1721" s="2"/>
    </row>
    <row r="1722">
      <c r="A1722" s="2">
        <f>IFERROR(__xludf.DUMMYFUNCTION("""COMPUTED_VALUE"""),119465.0)</f>
        <v>119465</v>
      </c>
      <c r="B1722" s="2">
        <f>IFERROR(__xludf.DUMMYFUNCTION("""COMPUTED_VALUE"""),1.0)</f>
        <v>1</v>
      </c>
      <c r="C1722" s="2">
        <f>IFERROR(__xludf.DUMMYFUNCTION("""COMPUTED_VALUE"""),630.0)</f>
        <v>630</v>
      </c>
      <c r="D1722" s="3">
        <f>IFERROR(__xludf.DUMMYFUNCTION("""COMPUTED_VALUE"""),486.0)</f>
        <v>486</v>
      </c>
      <c r="E1722" s="2"/>
      <c r="F1722" s="2"/>
    </row>
    <row r="1723">
      <c r="A1723" s="2">
        <f>IFERROR(__xludf.DUMMYFUNCTION("""COMPUTED_VALUE"""),47081.0)</f>
        <v>47081</v>
      </c>
      <c r="B1723" s="2">
        <f>IFERROR(__xludf.DUMMYFUNCTION("""COMPUTED_VALUE"""),0.0)</f>
        <v>0</v>
      </c>
      <c r="C1723" s="2">
        <f>IFERROR(__xludf.DUMMYFUNCTION("""COMPUTED_VALUE"""),380.0)</f>
        <v>380</v>
      </c>
      <c r="D1723" s="3">
        <f>IFERROR(__xludf.DUMMYFUNCTION("""COMPUTED_VALUE"""),275.0)</f>
        <v>275</v>
      </c>
      <c r="E1723" s="2"/>
      <c r="F1723" s="2"/>
    </row>
    <row r="1724">
      <c r="A1724" s="2">
        <f>IFERROR(__xludf.DUMMYFUNCTION("""COMPUTED_VALUE"""),91635.0)</f>
        <v>91635</v>
      </c>
      <c r="B1724" s="2">
        <f>IFERROR(__xludf.DUMMYFUNCTION("""COMPUTED_VALUE"""),1.0)</f>
        <v>1</v>
      </c>
      <c r="C1724" s="2">
        <f>IFERROR(__xludf.DUMMYFUNCTION("""COMPUTED_VALUE"""),852.0)</f>
        <v>852</v>
      </c>
      <c r="D1724" s="3">
        <f>IFERROR(__xludf.DUMMYFUNCTION("""COMPUTED_VALUE"""),174.0)</f>
        <v>174</v>
      </c>
      <c r="E1724" s="2"/>
      <c r="F1724" s="2"/>
    </row>
    <row r="1725">
      <c r="A1725" s="2">
        <f>IFERROR(__xludf.DUMMYFUNCTION("""COMPUTED_VALUE"""),188359.0)</f>
        <v>188359</v>
      </c>
      <c r="B1725" s="2">
        <f>IFERROR(__xludf.DUMMYFUNCTION("""COMPUTED_VALUE"""),1.0)</f>
        <v>1</v>
      </c>
      <c r="C1725" s="2">
        <f>IFERROR(__xludf.DUMMYFUNCTION("""COMPUTED_VALUE"""),580.0)</f>
        <v>580</v>
      </c>
      <c r="D1725" s="3">
        <f>IFERROR(__xludf.DUMMYFUNCTION("""COMPUTED_VALUE"""),107.0)</f>
        <v>107</v>
      </c>
      <c r="E1725" s="2"/>
      <c r="F1725" s="2"/>
    </row>
    <row r="1726">
      <c r="A1726" s="2">
        <f>IFERROR(__xludf.DUMMYFUNCTION("""COMPUTED_VALUE"""),29655.0)</f>
        <v>29655</v>
      </c>
      <c r="B1726" s="2">
        <f>IFERROR(__xludf.DUMMYFUNCTION("""COMPUTED_VALUE"""),1.0)</f>
        <v>1</v>
      </c>
      <c r="C1726" s="2">
        <f>IFERROR(__xludf.DUMMYFUNCTION("""COMPUTED_VALUE"""),307.0)</f>
        <v>307</v>
      </c>
      <c r="D1726" s="3">
        <f>IFERROR(__xludf.DUMMYFUNCTION("""COMPUTED_VALUE"""),192.0)</f>
        <v>192</v>
      </c>
      <c r="E1726" s="2"/>
      <c r="F1726" s="2"/>
    </row>
    <row r="1727">
      <c r="A1727" s="2">
        <f>IFERROR(__xludf.DUMMYFUNCTION("""COMPUTED_VALUE"""),193188.0)</f>
        <v>193188</v>
      </c>
      <c r="B1727" s="2">
        <f>IFERROR(__xludf.DUMMYFUNCTION("""COMPUTED_VALUE"""),1.0)</f>
        <v>1</v>
      </c>
      <c r="C1727" s="2">
        <f>IFERROR(__xludf.DUMMYFUNCTION("""COMPUTED_VALUE"""),305.0)</f>
        <v>305</v>
      </c>
      <c r="D1727" s="3">
        <f>IFERROR(__xludf.DUMMYFUNCTION("""COMPUTED_VALUE"""),292.0)</f>
        <v>292</v>
      </c>
      <c r="E1727" s="2"/>
      <c r="F1727" s="2"/>
    </row>
    <row r="1728">
      <c r="A1728" s="2">
        <f>IFERROR(__xludf.DUMMYFUNCTION("""COMPUTED_VALUE"""),188367.0)</f>
        <v>188367</v>
      </c>
      <c r="B1728" s="2">
        <f>IFERROR(__xludf.DUMMYFUNCTION("""COMPUTED_VALUE"""),1.0)</f>
        <v>1</v>
      </c>
      <c r="C1728" s="2">
        <f>IFERROR(__xludf.DUMMYFUNCTION("""COMPUTED_VALUE"""),17.0)</f>
        <v>17</v>
      </c>
      <c r="D1728" s="3">
        <f>IFERROR(__xludf.DUMMYFUNCTION("""COMPUTED_VALUE"""),0.0)</f>
        <v>0</v>
      </c>
      <c r="E1728" s="2"/>
      <c r="F1728" s="2"/>
    </row>
    <row r="1729">
      <c r="A1729" s="2">
        <f>IFERROR(__xludf.DUMMYFUNCTION("""COMPUTED_VALUE"""),188853.0)</f>
        <v>188853</v>
      </c>
      <c r="B1729" s="2">
        <f>IFERROR(__xludf.DUMMYFUNCTION("""COMPUTED_VALUE"""),1.0)</f>
        <v>1</v>
      </c>
      <c r="C1729" s="2">
        <f>IFERROR(__xludf.DUMMYFUNCTION("""COMPUTED_VALUE"""),20.0)</f>
        <v>20</v>
      </c>
      <c r="D1729" s="3">
        <f>IFERROR(__xludf.DUMMYFUNCTION("""COMPUTED_VALUE"""),0.0)</f>
        <v>0</v>
      </c>
      <c r="E1729" s="2"/>
      <c r="F1729" s="2"/>
    </row>
    <row r="1730">
      <c r="A1730" s="2">
        <f>IFERROR(__xludf.DUMMYFUNCTION("""COMPUTED_VALUE"""),116214.0)</f>
        <v>116214</v>
      </c>
      <c r="B1730" s="2">
        <f>IFERROR(__xludf.DUMMYFUNCTION("""COMPUTED_VALUE"""),1.0)</f>
        <v>1</v>
      </c>
      <c r="C1730" s="2">
        <f>IFERROR(__xludf.DUMMYFUNCTION("""COMPUTED_VALUE"""),180.0)</f>
        <v>180</v>
      </c>
      <c r="D1730" s="3">
        <f>IFERROR(__xludf.DUMMYFUNCTION("""COMPUTED_VALUE"""),17.0)</f>
        <v>17</v>
      </c>
      <c r="E1730" s="2"/>
      <c r="F1730" s="2"/>
    </row>
    <row r="1731">
      <c r="A1731" s="2">
        <f>IFERROR(__xludf.DUMMYFUNCTION("""COMPUTED_VALUE"""),82296.0)</f>
        <v>82296</v>
      </c>
      <c r="B1731" s="2">
        <f>IFERROR(__xludf.DUMMYFUNCTION("""COMPUTED_VALUE"""),1.0)</f>
        <v>1</v>
      </c>
      <c r="C1731" s="2">
        <f>IFERROR(__xludf.DUMMYFUNCTION("""COMPUTED_VALUE"""),686.0)</f>
        <v>686</v>
      </c>
      <c r="D1731" s="3">
        <f>IFERROR(__xludf.DUMMYFUNCTION("""COMPUTED_VALUE"""),296.0)</f>
        <v>296</v>
      </c>
      <c r="E1731" s="2"/>
      <c r="F1731" s="2"/>
    </row>
    <row r="1732">
      <c r="A1732" s="2">
        <f>IFERROR(__xludf.DUMMYFUNCTION("""COMPUTED_VALUE"""),10269.0)</f>
        <v>10269</v>
      </c>
      <c r="B1732" s="2">
        <f>IFERROR(__xludf.DUMMYFUNCTION("""COMPUTED_VALUE"""),0.0)</f>
        <v>0</v>
      </c>
      <c r="C1732" s="2">
        <f>IFERROR(__xludf.DUMMYFUNCTION("""COMPUTED_VALUE"""),430.0)</f>
        <v>430</v>
      </c>
      <c r="D1732" s="3">
        <f>IFERROR(__xludf.DUMMYFUNCTION("""COMPUTED_VALUE"""),167.0)</f>
        <v>167</v>
      </c>
      <c r="E1732" s="2"/>
      <c r="F1732" s="2"/>
    </row>
    <row r="1733">
      <c r="A1733" s="2">
        <f>IFERROR(__xludf.DUMMYFUNCTION("""COMPUTED_VALUE"""),121860.0)</f>
        <v>121860</v>
      </c>
      <c r="B1733" s="2">
        <f>IFERROR(__xludf.DUMMYFUNCTION("""COMPUTED_VALUE"""),1.0)</f>
        <v>1</v>
      </c>
      <c r="C1733" s="2">
        <f>IFERROR(__xludf.DUMMYFUNCTION("""COMPUTED_VALUE"""),597.0)</f>
        <v>597</v>
      </c>
      <c r="D1733" s="3">
        <f>IFERROR(__xludf.DUMMYFUNCTION("""COMPUTED_VALUE"""),106.0)</f>
        <v>106</v>
      </c>
      <c r="E1733" s="2"/>
      <c r="F1733" s="2"/>
    </row>
    <row r="1734">
      <c r="A1734" s="2">
        <f>IFERROR(__xludf.DUMMYFUNCTION("""COMPUTED_VALUE"""),100464.0)</f>
        <v>100464</v>
      </c>
      <c r="B1734" s="2">
        <f>IFERROR(__xludf.DUMMYFUNCTION("""COMPUTED_VALUE"""),1.0)</f>
        <v>1</v>
      </c>
      <c r="C1734" s="2">
        <f>IFERROR(__xludf.DUMMYFUNCTION("""COMPUTED_VALUE"""),106.0)</f>
        <v>106</v>
      </c>
      <c r="D1734" s="3">
        <f>IFERROR(__xludf.DUMMYFUNCTION("""COMPUTED_VALUE"""),91.0)</f>
        <v>91</v>
      </c>
      <c r="E1734" s="2"/>
      <c r="F1734" s="2"/>
    </row>
    <row r="1735">
      <c r="A1735" s="2">
        <f>IFERROR(__xludf.DUMMYFUNCTION("""COMPUTED_VALUE"""),10270.0)</f>
        <v>10270</v>
      </c>
      <c r="B1735" s="2">
        <f>IFERROR(__xludf.DUMMYFUNCTION("""COMPUTED_VALUE"""),1.0)</f>
        <v>1</v>
      </c>
      <c r="C1735" s="2">
        <f>IFERROR(__xludf.DUMMYFUNCTION("""COMPUTED_VALUE"""),700.0)</f>
        <v>700</v>
      </c>
      <c r="D1735" s="3">
        <f>IFERROR(__xludf.DUMMYFUNCTION("""COMPUTED_VALUE"""),537.0)</f>
        <v>537</v>
      </c>
      <c r="E1735" s="2"/>
      <c r="F1735" s="2"/>
    </row>
    <row r="1736">
      <c r="A1736" s="2">
        <f>IFERROR(__xludf.DUMMYFUNCTION("""COMPUTED_VALUE"""),10283.0)</f>
        <v>10283</v>
      </c>
      <c r="B1736" s="2">
        <f>IFERROR(__xludf.DUMMYFUNCTION("""COMPUTED_VALUE"""),1.0)</f>
        <v>1</v>
      </c>
      <c r="C1736" s="2">
        <f>IFERROR(__xludf.DUMMYFUNCTION("""COMPUTED_VALUE"""),838.0)</f>
        <v>838</v>
      </c>
      <c r="D1736" s="3">
        <f>IFERROR(__xludf.DUMMYFUNCTION("""COMPUTED_VALUE"""),122.0)</f>
        <v>122</v>
      </c>
      <c r="E1736" s="2"/>
      <c r="F1736" s="2"/>
    </row>
    <row r="1737">
      <c r="A1737" s="2">
        <f>IFERROR(__xludf.DUMMYFUNCTION("""COMPUTED_VALUE"""),10278.0)</f>
        <v>10278</v>
      </c>
      <c r="B1737" s="2">
        <f>IFERROR(__xludf.DUMMYFUNCTION("""COMPUTED_VALUE"""),0.0)</f>
        <v>0</v>
      </c>
      <c r="C1737" s="2">
        <f>IFERROR(__xludf.DUMMYFUNCTION("""COMPUTED_VALUE"""),53.0)</f>
        <v>53</v>
      </c>
      <c r="D1737" s="3">
        <f>IFERROR(__xludf.DUMMYFUNCTION("""COMPUTED_VALUE"""),24.0)</f>
        <v>24</v>
      </c>
      <c r="E1737" s="2"/>
      <c r="F1737" s="2"/>
    </row>
    <row r="1738">
      <c r="A1738" s="2">
        <f>IFERROR(__xludf.DUMMYFUNCTION("""COMPUTED_VALUE"""),10259.0)</f>
        <v>10259</v>
      </c>
      <c r="B1738" s="2">
        <f>IFERROR(__xludf.DUMMYFUNCTION("""COMPUTED_VALUE"""),1.0)</f>
        <v>1</v>
      </c>
      <c r="C1738" s="2">
        <f>IFERROR(__xludf.DUMMYFUNCTION("""COMPUTED_VALUE"""),115.0)</f>
        <v>115</v>
      </c>
      <c r="D1738" s="3">
        <f>IFERROR(__xludf.DUMMYFUNCTION("""COMPUTED_VALUE"""),53.0)</f>
        <v>53</v>
      </c>
      <c r="E1738" s="2"/>
      <c r="F1738" s="2"/>
    </row>
    <row r="1739">
      <c r="A1739" s="2">
        <f>IFERROR(__xludf.DUMMYFUNCTION("""COMPUTED_VALUE"""),200359.0)</f>
        <v>200359</v>
      </c>
      <c r="B1739" s="2">
        <f>IFERROR(__xludf.DUMMYFUNCTION("""COMPUTED_VALUE"""),1.0)</f>
        <v>1</v>
      </c>
      <c r="C1739" s="2">
        <f>IFERROR(__xludf.DUMMYFUNCTION("""COMPUTED_VALUE"""),586.0)</f>
        <v>586</v>
      </c>
      <c r="D1739" s="3">
        <f>IFERROR(__xludf.DUMMYFUNCTION("""COMPUTED_VALUE"""),274.0)</f>
        <v>274</v>
      </c>
      <c r="E1739" s="2"/>
      <c r="F1739" s="2"/>
    </row>
    <row r="1740">
      <c r="A1740" s="2">
        <f>IFERROR(__xludf.DUMMYFUNCTION("""COMPUTED_VALUE"""),10243.0)</f>
        <v>10243</v>
      </c>
      <c r="B1740" s="2">
        <f>IFERROR(__xludf.DUMMYFUNCTION("""COMPUTED_VALUE"""),0.0)</f>
        <v>0</v>
      </c>
      <c r="C1740" s="2">
        <f>IFERROR(__xludf.DUMMYFUNCTION("""COMPUTED_VALUE"""),237.0)</f>
        <v>237</v>
      </c>
      <c r="D1740" s="3">
        <f>IFERROR(__xludf.DUMMYFUNCTION("""COMPUTED_VALUE"""),66.0)</f>
        <v>66</v>
      </c>
      <c r="E1740" s="2"/>
      <c r="F1740" s="2"/>
    </row>
    <row r="1741">
      <c r="A1741" s="2">
        <f>IFERROR(__xludf.DUMMYFUNCTION("""COMPUTED_VALUE"""),200360.0)</f>
        <v>200360</v>
      </c>
      <c r="B1741" s="2">
        <f>IFERROR(__xludf.DUMMYFUNCTION("""COMPUTED_VALUE"""),1.0)</f>
        <v>1</v>
      </c>
      <c r="C1741" s="2">
        <f>IFERROR(__xludf.DUMMYFUNCTION("""COMPUTED_VALUE"""),931.0)</f>
        <v>931</v>
      </c>
      <c r="D1741" s="3">
        <f>IFERROR(__xludf.DUMMYFUNCTION("""COMPUTED_VALUE"""),913.0)</f>
        <v>913</v>
      </c>
      <c r="E1741" s="2"/>
      <c r="F1741" s="2"/>
    </row>
    <row r="1742">
      <c r="A1742" s="2">
        <f>IFERROR(__xludf.DUMMYFUNCTION("""COMPUTED_VALUE"""),196501.0)</f>
        <v>196501</v>
      </c>
      <c r="B1742" s="2">
        <f>IFERROR(__xludf.DUMMYFUNCTION("""COMPUTED_VALUE"""),1.0)</f>
        <v>1</v>
      </c>
      <c r="C1742" s="2">
        <f>IFERROR(__xludf.DUMMYFUNCTION("""COMPUTED_VALUE"""),731.0)</f>
        <v>731</v>
      </c>
      <c r="D1742" s="3">
        <f>IFERROR(__xludf.DUMMYFUNCTION("""COMPUTED_VALUE"""),254.0)</f>
        <v>254</v>
      </c>
      <c r="E1742" s="2"/>
      <c r="F1742" s="2"/>
    </row>
    <row r="1743">
      <c r="A1743" s="2">
        <f>IFERROR(__xludf.DUMMYFUNCTION("""COMPUTED_VALUE"""),100460.0)</f>
        <v>100460</v>
      </c>
      <c r="B1743" s="2">
        <f>IFERROR(__xludf.DUMMYFUNCTION("""COMPUTED_VALUE"""),0.0)</f>
        <v>0</v>
      </c>
      <c r="C1743" s="2">
        <f>IFERROR(__xludf.DUMMYFUNCTION("""COMPUTED_VALUE"""),516.0)</f>
        <v>516</v>
      </c>
      <c r="D1743" s="3">
        <f>IFERROR(__xludf.DUMMYFUNCTION("""COMPUTED_VALUE"""),146.0)</f>
        <v>146</v>
      </c>
      <c r="E1743" s="2"/>
      <c r="F1743" s="2"/>
    </row>
    <row r="1744">
      <c r="A1744" s="2">
        <f>IFERROR(__xludf.DUMMYFUNCTION("""COMPUTED_VALUE"""),5880.0)</f>
        <v>5880</v>
      </c>
      <c r="B1744" s="2">
        <f>IFERROR(__xludf.DUMMYFUNCTION("""COMPUTED_VALUE"""),0.0)</f>
        <v>0</v>
      </c>
      <c r="C1744" s="2">
        <f>IFERROR(__xludf.DUMMYFUNCTION("""COMPUTED_VALUE"""),922.0)</f>
        <v>922</v>
      </c>
      <c r="D1744" s="3">
        <f>IFERROR(__xludf.DUMMYFUNCTION("""COMPUTED_VALUE"""),112.0)</f>
        <v>112</v>
      </c>
      <c r="E1744" s="2"/>
      <c r="F1744" s="2"/>
    </row>
    <row r="1745">
      <c r="A1745" s="2">
        <f>IFERROR(__xludf.DUMMYFUNCTION("""COMPUTED_VALUE"""),5872.0)</f>
        <v>5872</v>
      </c>
      <c r="B1745" s="2">
        <f>IFERROR(__xludf.DUMMYFUNCTION("""COMPUTED_VALUE"""),0.0)</f>
        <v>0</v>
      </c>
      <c r="C1745" s="2">
        <f>IFERROR(__xludf.DUMMYFUNCTION("""COMPUTED_VALUE"""),801.0)</f>
        <v>801</v>
      </c>
      <c r="D1745" s="3">
        <f>IFERROR(__xludf.DUMMYFUNCTION("""COMPUTED_VALUE"""),556.0)</f>
        <v>556</v>
      </c>
      <c r="E1745" s="2"/>
      <c r="F1745" s="2"/>
    </row>
    <row r="1746">
      <c r="A1746" s="2">
        <f>IFERROR(__xludf.DUMMYFUNCTION("""COMPUTED_VALUE"""),114258.0)</f>
        <v>114258</v>
      </c>
      <c r="B1746" s="2">
        <f>IFERROR(__xludf.DUMMYFUNCTION("""COMPUTED_VALUE"""),0.0)</f>
        <v>0</v>
      </c>
      <c r="C1746" s="2">
        <f>IFERROR(__xludf.DUMMYFUNCTION("""COMPUTED_VALUE"""),855.0)</f>
        <v>855</v>
      </c>
      <c r="D1746" s="3">
        <f>IFERROR(__xludf.DUMMYFUNCTION("""COMPUTED_VALUE"""),689.0)</f>
        <v>689</v>
      </c>
      <c r="E1746" s="2"/>
      <c r="F1746" s="2"/>
    </row>
    <row r="1747">
      <c r="A1747" s="2">
        <f>IFERROR(__xludf.DUMMYFUNCTION("""COMPUTED_VALUE"""),11122.0)</f>
        <v>11122</v>
      </c>
      <c r="B1747" s="2">
        <f>IFERROR(__xludf.DUMMYFUNCTION("""COMPUTED_VALUE"""),1.0)</f>
        <v>1</v>
      </c>
      <c r="C1747" s="2">
        <f>IFERROR(__xludf.DUMMYFUNCTION("""COMPUTED_VALUE"""),353.0)</f>
        <v>353</v>
      </c>
      <c r="D1747" s="3">
        <f>IFERROR(__xludf.DUMMYFUNCTION("""COMPUTED_VALUE"""),73.0)</f>
        <v>73</v>
      </c>
      <c r="E1747" s="2"/>
      <c r="F1747" s="2"/>
    </row>
    <row r="1748">
      <c r="A1748" s="2">
        <f>IFERROR(__xludf.DUMMYFUNCTION("""COMPUTED_VALUE"""),116894.0)</f>
        <v>116894</v>
      </c>
      <c r="B1748" s="2">
        <f>IFERROR(__xludf.DUMMYFUNCTION("""COMPUTED_VALUE"""),0.0)</f>
        <v>0</v>
      </c>
      <c r="C1748" s="2">
        <f>IFERROR(__xludf.DUMMYFUNCTION("""COMPUTED_VALUE"""),586.0)</f>
        <v>586</v>
      </c>
      <c r="D1748" s="3">
        <f>IFERROR(__xludf.DUMMYFUNCTION("""COMPUTED_VALUE"""),472.0)</f>
        <v>472</v>
      </c>
      <c r="E1748" s="2"/>
      <c r="F1748" s="2"/>
    </row>
    <row r="1749">
      <c r="A1749" s="2">
        <f>IFERROR(__xludf.DUMMYFUNCTION("""COMPUTED_VALUE"""),72994.0)</f>
        <v>72994</v>
      </c>
      <c r="B1749" s="2">
        <f>IFERROR(__xludf.DUMMYFUNCTION("""COMPUTED_VALUE"""),0.0)</f>
        <v>0</v>
      </c>
      <c r="C1749" s="2">
        <f>IFERROR(__xludf.DUMMYFUNCTION("""COMPUTED_VALUE"""),478.0)</f>
        <v>478</v>
      </c>
      <c r="D1749" s="3">
        <f>IFERROR(__xludf.DUMMYFUNCTION("""COMPUTED_VALUE"""),146.0)</f>
        <v>146</v>
      </c>
      <c r="E1749" s="2"/>
      <c r="F1749" s="2"/>
    </row>
    <row r="1750">
      <c r="A1750" s="2">
        <f>IFERROR(__xludf.DUMMYFUNCTION("""COMPUTED_VALUE"""),120863.0)</f>
        <v>120863</v>
      </c>
      <c r="B1750" s="2">
        <f>IFERROR(__xludf.DUMMYFUNCTION("""COMPUTED_VALUE"""),1.0)</f>
        <v>1</v>
      </c>
      <c r="C1750" s="2">
        <f>IFERROR(__xludf.DUMMYFUNCTION("""COMPUTED_VALUE"""),130.0)</f>
        <v>130</v>
      </c>
      <c r="D1750" s="3">
        <f>IFERROR(__xludf.DUMMYFUNCTION("""COMPUTED_VALUE"""),2.0)</f>
        <v>2</v>
      </c>
      <c r="E1750" s="2"/>
      <c r="F1750" s="2"/>
    </row>
    <row r="1751">
      <c r="A1751" s="2">
        <f>IFERROR(__xludf.DUMMYFUNCTION("""COMPUTED_VALUE"""),120870.0)</f>
        <v>120870</v>
      </c>
      <c r="B1751" s="2">
        <f>IFERROR(__xludf.DUMMYFUNCTION("""COMPUTED_VALUE"""),1.0)</f>
        <v>1</v>
      </c>
      <c r="C1751" s="2">
        <f>IFERROR(__xludf.DUMMYFUNCTION("""COMPUTED_VALUE"""),440.0)</f>
        <v>440</v>
      </c>
      <c r="D1751" s="3">
        <f>IFERROR(__xludf.DUMMYFUNCTION("""COMPUTED_VALUE"""),48.0)</f>
        <v>48</v>
      </c>
      <c r="E1751" s="2"/>
      <c r="F1751" s="2"/>
    </row>
    <row r="1752">
      <c r="A1752" s="2">
        <f>IFERROR(__xludf.DUMMYFUNCTION("""COMPUTED_VALUE"""),120868.0)</f>
        <v>120868</v>
      </c>
      <c r="B1752" s="2">
        <f>IFERROR(__xludf.DUMMYFUNCTION("""COMPUTED_VALUE"""),1.0)</f>
        <v>1</v>
      </c>
      <c r="C1752" s="2">
        <f>IFERROR(__xludf.DUMMYFUNCTION("""COMPUTED_VALUE"""),62.0)</f>
        <v>62</v>
      </c>
      <c r="D1752" s="3">
        <f>IFERROR(__xludf.DUMMYFUNCTION("""COMPUTED_VALUE"""),56.0)</f>
        <v>56</v>
      </c>
      <c r="E1752" s="2"/>
      <c r="F1752" s="2"/>
    </row>
    <row r="1753">
      <c r="A1753" s="2">
        <f>IFERROR(__xludf.DUMMYFUNCTION("""COMPUTED_VALUE"""),102063.0)</f>
        <v>102063</v>
      </c>
      <c r="B1753" s="2">
        <f>IFERROR(__xludf.DUMMYFUNCTION("""COMPUTED_VALUE"""),1.0)</f>
        <v>1</v>
      </c>
      <c r="C1753" s="2">
        <f>IFERROR(__xludf.DUMMYFUNCTION("""COMPUTED_VALUE"""),504.0)</f>
        <v>504</v>
      </c>
      <c r="D1753" s="3">
        <f>IFERROR(__xludf.DUMMYFUNCTION("""COMPUTED_VALUE"""),190.0)</f>
        <v>190</v>
      </c>
      <c r="E1753" s="2"/>
      <c r="F1753" s="2"/>
    </row>
    <row r="1754">
      <c r="A1754" s="2">
        <f>IFERROR(__xludf.DUMMYFUNCTION("""COMPUTED_VALUE"""),120869.0)</f>
        <v>120869</v>
      </c>
      <c r="B1754" s="2">
        <f>IFERROR(__xludf.DUMMYFUNCTION("""COMPUTED_VALUE"""),0.0)</f>
        <v>0</v>
      </c>
      <c r="C1754" s="2">
        <f>IFERROR(__xludf.DUMMYFUNCTION("""COMPUTED_VALUE"""),528.0)</f>
        <v>528</v>
      </c>
      <c r="D1754" s="3">
        <f>IFERROR(__xludf.DUMMYFUNCTION("""COMPUTED_VALUE"""),483.0)</f>
        <v>483</v>
      </c>
      <c r="E1754" s="2"/>
      <c r="F1754" s="2"/>
    </row>
    <row r="1755">
      <c r="A1755" s="2">
        <f>IFERROR(__xludf.DUMMYFUNCTION("""COMPUTED_VALUE"""),120871.0)</f>
        <v>120871</v>
      </c>
      <c r="B1755" s="2">
        <f>IFERROR(__xludf.DUMMYFUNCTION("""COMPUTED_VALUE"""),0.0)</f>
        <v>0</v>
      </c>
      <c r="C1755" s="2">
        <f>IFERROR(__xludf.DUMMYFUNCTION("""COMPUTED_VALUE"""),799.0)</f>
        <v>799</v>
      </c>
      <c r="D1755" s="3">
        <f>IFERROR(__xludf.DUMMYFUNCTION("""COMPUTED_VALUE"""),338.0)</f>
        <v>338</v>
      </c>
      <c r="E1755" s="2"/>
      <c r="F1755" s="2"/>
    </row>
    <row r="1756">
      <c r="A1756" s="2">
        <f>IFERROR(__xludf.DUMMYFUNCTION("""COMPUTED_VALUE"""),24195.0)</f>
        <v>24195</v>
      </c>
      <c r="B1756" s="2">
        <f>IFERROR(__xludf.DUMMYFUNCTION("""COMPUTED_VALUE"""),1.0)</f>
        <v>1</v>
      </c>
      <c r="C1756" s="2">
        <f>IFERROR(__xludf.DUMMYFUNCTION("""COMPUTED_VALUE"""),528.0)</f>
        <v>528</v>
      </c>
      <c r="D1756" s="3">
        <f>IFERROR(__xludf.DUMMYFUNCTION("""COMPUTED_VALUE"""),46.0)</f>
        <v>46</v>
      </c>
      <c r="E1756" s="2"/>
      <c r="F1756" s="2"/>
    </row>
    <row r="1757">
      <c r="A1757" s="2">
        <f>IFERROR(__xludf.DUMMYFUNCTION("""COMPUTED_VALUE"""),120422.0)</f>
        <v>120422</v>
      </c>
      <c r="B1757" s="2">
        <f>IFERROR(__xludf.DUMMYFUNCTION("""COMPUTED_VALUE"""),1.0)</f>
        <v>1</v>
      </c>
      <c r="C1757" s="2">
        <f>IFERROR(__xludf.DUMMYFUNCTION("""COMPUTED_VALUE"""),273.0)</f>
        <v>273</v>
      </c>
      <c r="D1757" s="3">
        <f>IFERROR(__xludf.DUMMYFUNCTION("""COMPUTED_VALUE"""),134.0)</f>
        <v>134</v>
      </c>
      <c r="E1757" s="2"/>
      <c r="F1757" s="2"/>
    </row>
    <row r="1758">
      <c r="A1758" s="2">
        <f>IFERROR(__xludf.DUMMYFUNCTION("""COMPUTED_VALUE"""),120874.0)</f>
        <v>120874</v>
      </c>
      <c r="B1758" s="2">
        <f>IFERROR(__xludf.DUMMYFUNCTION("""COMPUTED_VALUE"""),0.0)</f>
        <v>0</v>
      </c>
      <c r="C1758" s="2">
        <f>IFERROR(__xludf.DUMMYFUNCTION("""COMPUTED_VALUE"""),0.0)</f>
        <v>0</v>
      </c>
      <c r="D1758" s="3">
        <f>IFERROR(__xludf.DUMMYFUNCTION("""COMPUTED_VALUE"""),0.0)</f>
        <v>0</v>
      </c>
      <c r="E1758" s="2"/>
      <c r="F1758" s="2"/>
    </row>
    <row r="1759">
      <c r="A1759" s="2">
        <f>IFERROR(__xludf.DUMMYFUNCTION("""COMPUTED_VALUE"""),120416.0)</f>
        <v>120416</v>
      </c>
      <c r="B1759" s="2">
        <f>IFERROR(__xludf.DUMMYFUNCTION("""COMPUTED_VALUE"""),1.0)</f>
        <v>1</v>
      </c>
      <c r="C1759" s="2">
        <f>IFERROR(__xludf.DUMMYFUNCTION("""COMPUTED_VALUE"""),891.0)</f>
        <v>891</v>
      </c>
      <c r="D1759" s="3">
        <f>IFERROR(__xludf.DUMMYFUNCTION("""COMPUTED_VALUE"""),200.0)</f>
        <v>200</v>
      </c>
      <c r="E1759" s="2"/>
      <c r="F1759" s="2"/>
    </row>
    <row r="1760">
      <c r="A1760" s="2">
        <f>IFERROR(__xludf.DUMMYFUNCTION("""COMPUTED_VALUE"""),80944.0)</f>
        <v>80944</v>
      </c>
      <c r="B1760" s="2">
        <f>IFERROR(__xludf.DUMMYFUNCTION("""COMPUTED_VALUE"""),1.0)</f>
        <v>1</v>
      </c>
      <c r="C1760" s="2">
        <f>IFERROR(__xludf.DUMMYFUNCTION("""COMPUTED_VALUE"""),910.0)</f>
        <v>910</v>
      </c>
      <c r="D1760" s="3">
        <f>IFERROR(__xludf.DUMMYFUNCTION("""COMPUTED_VALUE"""),474.0)</f>
        <v>474</v>
      </c>
      <c r="E1760" s="2"/>
      <c r="F1760" s="2"/>
    </row>
    <row r="1761">
      <c r="A1761" s="2">
        <f>IFERROR(__xludf.DUMMYFUNCTION("""COMPUTED_VALUE"""),120873.0)</f>
        <v>120873</v>
      </c>
      <c r="B1761" s="2">
        <f>IFERROR(__xludf.DUMMYFUNCTION("""COMPUTED_VALUE"""),1.0)</f>
        <v>1</v>
      </c>
      <c r="C1761" s="2">
        <f>IFERROR(__xludf.DUMMYFUNCTION("""COMPUTED_VALUE"""),938.0)</f>
        <v>938</v>
      </c>
      <c r="D1761" s="3">
        <f>IFERROR(__xludf.DUMMYFUNCTION("""COMPUTED_VALUE"""),145.0)</f>
        <v>145</v>
      </c>
      <c r="E1761" s="2"/>
      <c r="F1761" s="2"/>
    </row>
    <row r="1762">
      <c r="A1762" s="2">
        <f>IFERROR(__xludf.DUMMYFUNCTION("""COMPUTED_VALUE"""),120875.0)</f>
        <v>120875</v>
      </c>
      <c r="B1762" s="2">
        <f>IFERROR(__xludf.DUMMYFUNCTION("""COMPUTED_VALUE"""),0.0)</f>
        <v>0</v>
      </c>
      <c r="C1762" s="2">
        <f>IFERROR(__xludf.DUMMYFUNCTION("""COMPUTED_VALUE"""),574.0)</f>
        <v>574</v>
      </c>
      <c r="D1762" s="3">
        <f>IFERROR(__xludf.DUMMYFUNCTION("""COMPUTED_VALUE"""),403.0)</f>
        <v>403</v>
      </c>
      <c r="E1762" s="2"/>
      <c r="F1762" s="2"/>
    </row>
    <row r="1763">
      <c r="A1763" s="2">
        <f>IFERROR(__xludf.DUMMYFUNCTION("""COMPUTED_VALUE"""),147285.0)</f>
        <v>147285</v>
      </c>
      <c r="B1763" s="2">
        <f>IFERROR(__xludf.DUMMYFUNCTION("""COMPUTED_VALUE"""),0.0)</f>
        <v>0</v>
      </c>
      <c r="C1763" s="2">
        <f>IFERROR(__xludf.DUMMYFUNCTION("""COMPUTED_VALUE"""),374.0)</f>
        <v>374</v>
      </c>
      <c r="D1763" s="3">
        <f>IFERROR(__xludf.DUMMYFUNCTION("""COMPUTED_VALUE"""),60.0)</f>
        <v>60</v>
      </c>
      <c r="E1763" s="2"/>
      <c r="F1763" s="2"/>
    </row>
    <row r="1764">
      <c r="A1764" s="2">
        <f>IFERROR(__xludf.DUMMYFUNCTION("""COMPUTED_VALUE"""),88604.0)</f>
        <v>88604</v>
      </c>
      <c r="B1764" s="2">
        <f>IFERROR(__xludf.DUMMYFUNCTION("""COMPUTED_VALUE"""),1.0)</f>
        <v>1</v>
      </c>
      <c r="C1764" s="2">
        <f>IFERROR(__xludf.DUMMYFUNCTION("""COMPUTED_VALUE"""),584.0)</f>
        <v>584</v>
      </c>
      <c r="D1764" s="3">
        <f>IFERROR(__xludf.DUMMYFUNCTION("""COMPUTED_VALUE"""),95.0)</f>
        <v>95</v>
      </c>
      <c r="E1764" s="2"/>
      <c r="F1764" s="2"/>
    </row>
    <row r="1765">
      <c r="A1765" s="2">
        <f>IFERROR(__xludf.DUMMYFUNCTION("""COMPUTED_VALUE"""),120417.0)</f>
        <v>120417</v>
      </c>
      <c r="B1765" s="2">
        <f>IFERROR(__xludf.DUMMYFUNCTION("""COMPUTED_VALUE"""),0.0)</f>
        <v>0</v>
      </c>
      <c r="C1765" s="2">
        <f>IFERROR(__xludf.DUMMYFUNCTION("""COMPUTED_VALUE"""),630.0)</f>
        <v>630</v>
      </c>
      <c r="D1765" s="3">
        <f>IFERROR(__xludf.DUMMYFUNCTION("""COMPUTED_VALUE"""),197.0)</f>
        <v>197</v>
      </c>
      <c r="E1765" s="2"/>
      <c r="F1765" s="2"/>
    </row>
    <row r="1766">
      <c r="A1766" s="2">
        <f>IFERROR(__xludf.DUMMYFUNCTION("""COMPUTED_VALUE"""),113914.0)</f>
        <v>113914</v>
      </c>
      <c r="B1766" s="2">
        <f>IFERROR(__xludf.DUMMYFUNCTION("""COMPUTED_VALUE"""),0.0)</f>
        <v>0</v>
      </c>
      <c r="C1766" s="2">
        <f>IFERROR(__xludf.DUMMYFUNCTION("""COMPUTED_VALUE"""),828.0)</f>
        <v>828</v>
      </c>
      <c r="D1766" s="3">
        <f>IFERROR(__xludf.DUMMYFUNCTION("""COMPUTED_VALUE"""),24.0)</f>
        <v>24</v>
      </c>
      <c r="E1766" s="2"/>
      <c r="F1766" s="2"/>
    </row>
    <row r="1767">
      <c r="A1767" s="2">
        <f>IFERROR(__xludf.DUMMYFUNCTION("""COMPUTED_VALUE"""),68793.0)</f>
        <v>68793</v>
      </c>
      <c r="B1767" s="2">
        <f>IFERROR(__xludf.DUMMYFUNCTION("""COMPUTED_VALUE"""),0.0)</f>
        <v>0</v>
      </c>
      <c r="C1767" s="2">
        <f>IFERROR(__xludf.DUMMYFUNCTION("""COMPUTED_VALUE"""),108.0)</f>
        <v>108</v>
      </c>
      <c r="D1767" s="3">
        <f>IFERROR(__xludf.DUMMYFUNCTION("""COMPUTED_VALUE"""),29.0)</f>
        <v>29</v>
      </c>
      <c r="E1767" s="2"/>
      <c r="F1767" s="2"/>
    </row>
    <row r="1768">
      <c r="A1768" s="2">
        <f>IFERROR(__xludf.DUMMYFUNCTION("""COMPUTED_VALUE"""),106707.0)</f>
        <v>106707</v>
      </c>
      <c r="B1768" s="2">
        <f>IFERROR(__xludf.DUMMYFUNCTION("""COMPUTED_VALUE"""),1.0)</f>
        <v>1</v>
      </c>
      <c r="C1768" s="2">
        <f>IFERROR(__xludf.DUMMYFUNCTION("""COMPUTED_VALUE"""),556.0)</f>
        <v>556</v>
      </c>
      <c r="D1768" s="3">
        <f>IFERROR(__xludf.DUMMYFUNCTION("""COMPUTED_VALUE"""),516.0)</f>
        <v>516</v>
      </c>
      <c r="E1768" s="2"/>
      <c r="F1768" s="2"/>
    </row>
    <row r="1769">
      <c r="A1769" s="2">
        <f>IFERROR(__xludf.DUMMYFUNCTION("""COMPUTED_VALUE"""),24210.0)</f>
        <v>24210</v>
      </c>
      <c r="B1769" s="2">
        <f>IFERROR(__xludf.DUMMYFUNCTION("""COMPUTED_VALUE"""),1.0)</f>
        <v>1</v>
      </c>
      <c r="C1769" s="2">
        <f>IFERROR(__xludf.DUMMYFUNCTION("""COMPUTED_VALUE"""),457.0)</f>
        <v>457</v>
      </c>
      <c r="D1769" s="3">
        <f>IFERROR(__xludf.DUMMYFUNCTION("""COMPUTED_VALUE"""),11.0)</f>
        <v>11</v>
      </c>
      <c r="E1769" s="2"/>
      <c r="F1769" s="2"/>
    </row>
    <row r="1770">
      <c r="A1770" s="2">
        <f>IFERROR(__xludf.DUMMYFUNCTION("""COMPUTED_VALUE"""),44012.0)</f>
        <v>44012</v>
      </c>
      <c r="B1770" s="2">
        <f>IFERROR(__xludf.DUMMYFUNCTION("""COMPUTED_VALUE"""),0.0)</f>
        <v>0</v>
      </c>
      <c r="C1770" s="2">
        <f>IFERROR(__xludf.DUMMYFUNCTION("""COMPUTED_VALUE"""),806.0)</f>
        <v>806</v>
      </c>
      <c r="D1770" s="3">
        <f>IFERROR(__xludf.DUMMYFUNCTION("""COMPUTED_VALUE"""),348.0)</f>
        <v>348</v>
      </c>
      <c r="E1770" s="2"/>
      <c r="F1770" s="2"/>
    </row>
    <row r="1771">
      <c r="A1771" s="2">
        <f>IFERROR(__xludf.DUMMYFUNCTION("""COMPUTED_VALUE"""),106710.0)</f>
        <v>106710</v>
      </c>
      <c r="B1771" s="2">
        <f>IFERROR(__xludf.DUMMYFUNCTION("""COMPUTED_VALUE"""),1.0)</f>
        <v>1</v>
      </c>
      <c r="C1771" s="2">
        <f>IFERROR(__xludf.DUMMYFUNCTION("""COMPUTED_VALUE"""),855.0)</f>
        <v>855</v>
      </c>
      <c r="D1771" s="3">
        <f>IFERROR(__xludf.DUMMYFUNCTION("""COMPUTED_VALUE"""),826.0)</f>
        <v>826</v>
      </c>
      <c r="E1771" s="2"/>
      <c r="F1771" s="2"/>
    </row>
    <row r="1772">
      <c r="A1772" s="2">
        <f>IFERROR(__xludf.DUMMYFUNCTION("""COMPUTED_VALUE"""),117239.0)</f>
        <v>117239</v>
      </c>
      <c r="B1772" s="2">
        <f>IFERROR(__xludf.DUMMYFUNCTION("""COMPUTED_VALUE"""),0.0)</f>
        <v>0</v>
      </c>
      <c r="C1772" s="2">
        <f>IFERROR(__xludf.DUMMYFUNCTION("""COMPUTED_VALUE"""),752.0)</f>
        <v>752</v>
      </c>
      <c r="D1772" s="3">
        <f>IFERROR(__xludf.DUMMYFUNCTION("""COMPUTED_VALUE"""),454.0)</f>
        <v>454</v>
      </c>
      <c r="E1772" s="2"/>
      <c r="F1772" s="2"/>
    </row>
    <row r="1773">
      <c r="A1773" s="2">
        <f>IFERROR(__xludf.DUMMYFUNCTION("""COMPUTED_VALUE"""),80186.0)</f>
        <v>80186</v>
      </c>
      <c r="B1773" s="2">
        <f>IFERROR(__xludf.DUMMYFUNCTION("""COMPUTED_VALUE"""),1.0)</f>
        <v>1</v>
      </c>
      <c r="C1773" s="2">
        <f>IFERROR(__xludf.DUMMYFUNCTION("""COMPUTED_VALUE"""),691.0)</f>
        <v>691</v>
      </c>
      <c r="D1773" s="3">
        <f>IFERROR(__xludf.DUMMYFUNCTION("""COMPUTED_VALUE"""),22.0)</f>
        <v>22</v>
      </c>
      <c r="E1773" s="2"/>
      <c r="F1773" s="2"/>
    </row>
    <row r="1774">
      <c r="A1774" s="2">
        <f>IFERROR(__xludf.DUMMYFUNCTION("""COMPUTED_VALUE"""),80185.0)</f>
        <v>80185</v>
      </c>
      <c r="B1774" s="2">
        <f>IFERROR(__xludf.DUMMYFUNCTION("""COMPUTED_VALUE"""),0.0)</f>
        <v>0</v>
      </c>
      <c r="C1774" s="2">
        <f>IFERROR(__xludf.DUMMYFUNCTION("""COMPUTED_VALUE"""),435.0)</f>
        <v>435</v>
      </c>
      <c r="D1774" s="3">
        <f>IFERROR(__xludf.DUMMYFUNCTION("""COMPUTED_VALUE"""),206.0)</f>
        <v>206</v>
      </c>
      <c r="E1774" s="2"/>
      <c r="F1774" s="2"/>
    </row>
    <row r="1775">
      <c r="A1775" s="2">
        <f>IFERROR(__xludf.DUMMYFUNCTION("""COMPUTED_VALUE"""),107151.0)</f>
        <v>107151</v>
      </c>
      <c r="B1775" s="2">
        <f>IFERROR(__xludf.DUMMYFUNCTION("""COMPUTED_VALUE"""),1.0)</f>
        <v>1</v>
      </c>
      <c r="C1775" s="2">
        <f>IFERROR(__xludf.DUMMYFUNCTION("""COMPUTED_VALUE"""),491.0)</f>
        <v>491</v>
      </c>
      <c r="D1775" s="3">
        <f>IFERROR(__xludf.DUMMYFUNCTION("""COMPUTED_VALUE"""),102.0)</f>
        <v>102</v>
      </c>
      <c r="E1775" s="2"/>
      <c r="F1775" s="2"/>
    </row>
    <row r="1776">
      <c r="A1776" s="2">
        <f>IFERROR(__xludf.DUMMYFUNCTION("""COMPUTED_VALUE"""),120420.0)</f>
        <v>120420</v>
      </c>
      <c r="B1776" s="2">
        <f>IFERROR(__xludf.DUMMYFUNCTION("""COMPUTED_VALUE"""),1.0)</f>
        <v>1</v>
      </c>
      <c r="C1776" s="2">
        <f>IFERROR(__xludf.DUMMYFUNCTION("""COMPUTED_VALUE"""),371.0)</f>
        <v>371</v>
      </c>
      <c r="D1776" s="3">
        <f>IFERROR(__xludf.DUMMYFUNCTION("""COMPUTED_VALUE"""),122.0)</f>
        <v>122</v>
      </c>
      <c r="E1776" s="2"/>
      <c r="F1776" s="2"/>
    </row>
    <row r="1777">
      <c r="A1777" s="2">
        <f>IFERROR(__xludf.DUMMYFUNCTION("""COMPUTED_VALUE"""),80184.0)</f>
        <v>80184</v>
      </c>
      <c r="B1777" s="2">
        <f>IFERROR(__xludf.DUMMYFUNCTION("""COMPUTED_VALUE"""),1.0)</f>
        <v>1</v>
      </c>
      <c r="C1777" s="2">
        <f>IFERROR(__xludf.DUMMYFUNCTION("""COMPUTED_VALUE"""),428.0)</f>
        <v>428</v>
      </c>
      <c r="D1777" s="3">
        <f>IFERROR(__xludf.DUMMYFUNCTION("""COMPUTED_VALUE"""),150.0)</f>
        <v>150</v>
      </c>
      <c r="E1777" s="2"/>
      <c r="F1777" s="2"/>
    </row>
    <row r="1778">
      <c r="A1778" s="2">
        <f>IFERROR(__xludf.DUMMYFUNCTION("""COMPUTED_VALUE"""),107157.0)</f>
        <v>107157</v>
      </c>
      <c r="B1778" s="2">
        <f>IFERROR(__xludf.DUMMYFUNCTION("""COMPUTED_VALUE"""),0.0)</f>
        <v>0</v>
      </c>
      <c r="C1778" s="2">
        <f>IFERROR(__xludf.DUMMYFUNCTION("""COMPUTED_VALUE"""),592.0)</f>
        <v>592</v>
      </c>
      <c r="D1778" s="3">
        <f>IFERROR(__xludf.DUMMYFUNCTION("""COMPUTED_VALUE"""),569.0)</f>
        <v>569</v>
      </c>
      <c r="E1778" s="2"/>
      <c r="F1778" s="2"/>
    </row>
    <row r="1779">
      <c r="A1779" s="2">
        <f>IFERROR(__xludf.DUMMYFUNCTION("""COMPUTED_VALUE"""),118432.0)</f>
        <v>118432</v>
      </c>
      <c r="B1779" s="2">
        <f>IFERROR(__xludf.DUMMYFUNCTION("""COMPUTED_VALUE"""),0.0)</f>
        <v>0</v>
      </c>
      <c r="C1779" s="2">
        <f>IFERROR(__xludf.DUMMYFUNCTION("""COMPUTED_VALUE"""),787.0)</f>
        <v>787</v>
      </c>
      <c r="D1779" s="3">
        <f>IFERROR(__xludf.DUMMYFUNCTION("""COMPUTED_VALUE"""),377.0)</f>
        <v>377</v>
      </c>
      <c r="E1779" s="2"/>
      <c r="F1779" s="2"/>
    </row>
    <row r="1780">
      <c r="A1780" s="2">
        <f>IFERROR(__xludf.DUMMYFUNCTION("""COMPUTED_VALUE"""),86512.0)</f>
        <v>86512</v>
      </c>
      <c r="B1780" s="2">
        <f>IFERROR(__xludf.DUMMYFUNCTION("""COMPUTED_VALUE"""),1.0)</f>
        <v>1</v>
      </c>
      <c r="C1780" s="2">
        <f>IFERROR(__xludf.DUMMYFUNCTION("""COMPUTED_VALUE"""),763.0)</f>
        <v>763</v>
      </c>
      <c r="D1780" s="3">
        <f>IFERROR(__xludf.DUMMYFUNCTION("""COMPUTED_VALUE"""),539.0)</f>
        <v>539</v>
      </c>
      <c r="E1780" s="2"/>
      <c r="F1780" s="2"/>
    </row>
    <row r="1781">
      <c r="A1781" s="2">
        <f>IFERROR(__xludf.DUMMYFUNCTION("""COMPUTED_VALUE"""),118431.0)</f>
        <v>118431</v>
      </c>
      <c r="B1781" s="2">
        <f>IFERROR(__xludf.DUMMYFUNCTION("""COMPUTED_VALUE"""),1.0)</f>
        <v>1</v>
      </c>
      <c r="C1781" s="2">
        <f>IFERROR(__xludf.DUMMYFUNCTION("""COMPUTED_VALUE"""),863.0)</f>
        <v>863</v>
      </c>
      <c r="D1781" s="3">
        <f>IFERROR(__xludf.DUMMYFUNCTION("""COMPUTED_VALUE"""),240.0)</f>
        <v>240</v>
      </c>
      <c r="E1781" s="2"/>
      <c r="F1781" s="2"/>
    </row>
    <row r="1782">
      <c r="A1782" s="2">
        <f>IFERROR(__xludf.DUMMYFUNCTION("""COMPUTED_VALUE"""),80187.0)</f>
        <v>80187</v>
      </c>
      <c r="B1782" s="2">
        <f>IFERROR(__xludf.DUMMYFUNCTION("""COMPUTED_VALUE"""),1.0)</f>
        <v>1</v>
      </c>
      <c r="C1782" s="2">
        <f>IFERROR(__xludf.DUMMYFUNCTION("""COMPUTED_VALUE"""),24.0)</f>
        <v>24</v>
      </c>
      <c r="D1782" s="3">
        <f>IFERROR(__xludf.DUMMYFUNCTION("""COMPUTED_VALUE"""),21.0)</f>
        <v>21</v>
      </c>
      <c r="E1782" s="2"/>
      <c r="F1782" s="2"/>
    </row>
    <row r="1783">
      <c r="A1783" s="2">
        <f>IFERROR(__xludf.DUMMYFUNCTION("""COMPUTED_VALUE"""),107163.0)</f>
        <v>107163</v>
      </c>
      <c r="B1783" s="2">
        <f>IFERROR(__xludf.DUMMYFUNCTION("""COMPUTED_VALUE"""),0.0)</f>
        <v>0</v>
      </c>
      <c r="C1783" s="2">
        <f>IFERROR(__xludf.DUMMYFUNCTION("""COMPUTED_VALUE"""),674.0)</f>
        <v>674</v>
      </c>
      <c r="D1783" s="3">
        <f>IFERROR(__xludf.DUMMYFUNCTION("""COMPUTED_VALUE"""),66.0)</f>
        <v>66</v>
      </c>
      <c r="E1783" s="2"/>
      <c r="F1783" s="2"/>
    </row>
    <row r="1784">
      <c r="A1784" s="2">
        <f>IFERROR(__xludf.DUMMYFUNCTION("""COMPUTED_VALUE"""),108342.0)</f>
        <v>108342</v>
      </c>
      <c r="B1784" s="2">
        <f>IFERROR(__xludf.DUMMYFUNCTION("""COMPUTED_VALUE"""),1.0)</f>
        <v>1</v>
      </c>
      <c r="C1784" s="2">
        <f>IFERROR(__xludf.DUMMYFUNCTION("""COMPUTED_VALUE"""),902.0)</f>
        <v>902</v>
      </c>
      <c r="D1784" s="3">
        <f>IFERROR(__xludf.DUMMYFUNCTION("""COMPUTED_VALUE"""),169.0)</f>
        <v>169</v>
      </c>
      <c r="E1784" s="2"/>
      <c r="F1784" s="2"/>
    </row>
    <row r="1785">
      <c r="A1785" s="2">
        <f>IFERROR(__xludf.DUMMYFUNCTION("""COMPUTED_VALUE"""),20949.0)</f>
        <v>20949</v>
      </c>
      <c r="B1785" s="2">
        <f>IFERROR(__xludf.DUMMYFUNCTION("""COMPUTED_VALUE"""),0.0)</f>
        <v>0</v>
      </c>
      <c r="C1785" s="2">
        <f>IFERROR(__xludf.DUMMYFUNCTION("""COMPUTED_VALUE"""),297.0)</f>
        <v>297</v>
      </c>
      <c r="D1785" s="3">
        <f>IFERROR(__xludf.DUMMYFUNCTION("""COMPUTED_VALUE"""),97.0)</f>
        <v>97</v>
      </c>
      <c r="E1785" s="2"/>
      <c r="F1785" s="2"/>
    </row>
    <row r="1786">
      <c r="A1786" s="2">
        <f>IFERROR(__xludf.DUMMYFUNCTION("""COMPUTED_VALUE"""),118436.0)</f>
        <v>118436</v>
      </c>
      <c r="B1786" s="2">
        <f>IFERROR(__xludf.DUMMYFUNCTION("""COMPUTED_VALUE"""),1.0)</f>
        <v>1</v>
      </c>
      <c r="C1786" s="2">
        <f>IFERROR(__xludf.DUMMYFUNCTION("""COMPUTED_VALUE"""),527.0)</f>
        <v>527</v>
      </c>
      <c r="D1786" s="3">
        <f>IFERROR(__xludf.DUMMYFUNCTION("""COMPUTED_VALUE"""),108.0)</f>
        <v>108</v>
      </c>
      <c r="E1786" s="2"/>
      <c r="F1786" s="2"/>
    </row>
    <row r="1787">
      <c r="A1787" s="2">
        <f>IFERROR(__xludf.DUMMYFUNCTION("""COMPUTED_VALUE"""),113566.0)</f>
        <v>113566</v>
      </c>
      <c r="B1787" s="2">
        <f>IFERROR(__xludf.DUMMYFUNCTION("""COMPUTED_VALUE"""),0.0)</f>
        <v>0</v>
      </c>
      <c r="C1787" s="2">
        <f>IFERROR(__xludf.DUMMYFUNCTION("""COMPUTED_VALUE"""),781.0)</f>
        <v>781</v>
      </c>
      <c r="D1787" s="3">
        <f>IFERROR(__xludf.DUMMYFUNCTION("""COMPUTED_VALUE"""),223.0)</f>
        <v>223</v>
      </c>
      <c r="E1787" s="2"/>
      <c r="F1787" s="2"/>
    </row>
    <row r="1788">
      <c r="A1788" s="2">
        <f>IFERROR(__xludf.DUMMYFUNCTION("""COMPUTED_VALUE"""),113571.0)</f>
        <v>113571</v>
      </c>
      <c r="B1788" s="2">
        <f>IFERROR(__xludf.DUMMYFUNCTION("""COMPUTED_VALUE"""),1.0)</f>
        <v>1</v>
      </c>
      <c r="C1788" s="2">
        <f>IFERROR(__xludf.DUMMYFUNCTION("""COMPUTED_VALUE"""),768.0)</f>
        <v>768</v>
      </c>
      <c r="D1788" s="3">
        <f>IFERROR(__xludf.DUMMYFUNCTION("""COMPUTED_VALUE"""),595.0)</f>
        <v>595</v>
      </c>
      <c r="E1788" s="2"/>
      <c r="F1788" s="2"/>
    </row>
    <row r="1789">
      <c r="A1789" s="2">
        <f>IFERROR(__xludf.DUMMYFUNCTION("""COMPUTED_VALUE"""),107160.0)</f>
        <v>107160</v>
      </c>
      <c r="B1789" s="2">
        <f>IFERROR(__xludf.DUMMYFUNCTION("""COMPUTED_VALUE"""),0.0)</f>
        <v>0</v>
      </c>
      <c r="C1789" s="2">
        <f>IFERROR(__xludf.DUMMYFUNCTION("""COMPUTED_VALUE"""),296.0)</f>
        <v>296</v>
      </c>
      <c r="D1789" s="3">
        <f>IFERROR(__xludf.DUMMYFUNCTION("""COMPUTED_VALUE"""),32.0)</f>
        <v>32</v>
      </c>
      <c r="E1789" s="2"/>
      <c r="F1789" s="2"/>
    </row>
    <row r="1790">
      <c r="A1790" s="2">
        <f>IFERROR(__xludf.DUMMYFUNCTION("""COMPUTED_VALUE"""),44007.0)</f>
        <v>44007</v>
      </c>
      <c r="B1790" s="2">
        <f>IFERROR(__xludf.DUMMYFUNCTION("""COMPUTED_VALUE"""),1.0)</f>
        <v>1</v>
      </c>
      <c r="C1790" s="2">
        <f>IFERROR(__xludf.DUMMYFUNCTION("""COMPUTED_VALUE"""),339.0)</f>
        <v>339</v>
      </c>
      <c r="D1790" s="3">
        <f>IFERROR(__xludf.DUMMYFUNCTION("""COMPUTED_VALUE"""),20.0)</f>
        <v>20</v>
      </c>
      <c r="E1790" s="2"/>
      <c r="F1790" s="2"/>
    </row>
    <row r="1791">
      <c r="A1791" s="2">
        <f>IFERROR(__xludf.DUMMYFUNCTION("""COMPUTED_VALUE"""),69453.0)</f>
        <v>69453</v>
      </c>
      <c r="B1791" s="2">
        <f>IFERROR(__xludf.DUMMYFUNCTION("""COMPUTED_VALUE"""),0.0)</f>
        <v>0</v>
      </c>
      <c r="C1791" s="2">
        <f>IFERROR(__xludf.DUMMYFUNCTION("""COMPUTED_VALUE"""),405.0)</f>
        <v>405</v>
      </c>
      <c r="D1791" s="3">
        <f>IFERROR(__xludf.DUMMYFUNCTION("""COMPUTED_VALUE"""),73.0)</f>
        <v>73</v>
      </c>
      <c r="E1791" s="2"/>
      <c r="F1791" s="2"/>
    </row>
    <row r="1792">
      <c r="A1792" s="2">
        <f>IFERROR(__xludf.DUMMYFUNCTION("""COMPUTED_VALUE"""),122690.0)</f>
        <v>122690</v>
      </c>
      <c r="B1792" s="2">
        <f>IFERROR(__xludf.DUMMYFUNCTION("""COMPUTED_VALUE"""),1.0)</f>
        <v>1</v>
      </c>
      <c r="C1792" s="2">
        <f>IFERROR(__xludf.DUMMYFUNCTION("""COMPUTED_VALUE"""),620.0)</f>
        <v>620</v>
      </c>
      <c r="D1792" s="3">
        <f>IFERROR(__xludf.DUMMYFUNCTION("""COMPUTED_VALUE"""),310.0)</f>
        <v>310</v>
      </c>
      <c r="E1792" s="2"/>
      <c r="F1792" s="2"/>
    </row>
    <row r="1793">
      <c r="A1793" s="2">
        <f>IFERROR(__xludf.DUMMYFUNCTION("""COMPUTED_VALUE"""),117243.0)</f>
        <v>117243</v>
      </c>
      <c r="B1793" s="2">
        <f>IFERROR(__xludf.DUMMYFUNCTION("""COMPUTED_VALUE"""),0.0)</f>
        <v>0</v>
      </c>
      <c r="C1793" s="2">
        <f>IFERROR(__xludf.DUMMYFUNCTION("""COMPUTED_VALUE"""),554.0)</f>
        <v>554</v>
      </c>
      <c r="D1793" s="3">
        <f>IFERROR(__xludf.DUMMYFUNCTION("""COMPUTED_VALUE"""),498.0)</f>
        <v>498</v>
      </c>
      <c r="E1793" s="2"/>
      <c r="F1793" s="2"/>
    </row>
    <row r="1794">
      <c r="A1794" s="2">
        <f>IFERROR(__xludf.DUMMYFUNCTION("""COMPUTED_VALUE"""),71988.0)</f>
        <v>71988</v>
      </c>
      <c r="B1794" s="2">
        <f>IFERROR(__xludf.DUMMYFUNCTION("""COMPUTED_VALUE"""),1.0)</f>
        <v>1</v>
      </c>
      <c r="C1794" s="2">
        <f>IFERROR(__xludf.DUMMYFUNCTION("""COMPUTED_VALUE"""),617.0)</f>
        <v>617</v>
      </c>
      <c r="D1794" s="3">
        <f>IFERROR(__xludf.DUMMYFUNCTION("""COMPUTED_VALUE"""),193.0)</f>
        <v>193</v>
      </c>
      <c r="E1794" s="2"/>
      <c r="F1794" s="2"/>
    </row>
    <row r="1795">
      <c r="A1795" s="2">
        <f>IFERROR(__xludf.DUMMYFUNCTION("""COMPUTED_VALUE"""),111582.0)</f>
        <v>111582</v>
      </c>
      <c r="B1795" s="2">
        <f>IFERROR(__xludf.DUMMYFUNCTION("""COMPUTED_VALUE"""),0.0)</f>
        <v>0</v>
      </c>
      <c r="C1795" s="2">
        <f>IFERROR(__xludf.DUMMYFUNCTION("""COMPUTED_VALUE"""),650.0)</f>
        <v>650</v>
      </c>
      <c r="D1795" s="3">
        <f>IFERROR(__xludf.DUMMYFUNCTION("""COMPUTED_VALUE"""),128.0)</f>
        <v>128</v>
      </c>
      <c r="E1795" s="2"/>
      <c r="F1795" s="2"/>
    </row>
    <row r="1796">
      <c r="A1796" s="2">
        <f>IFERROR(__xludf.DUMMYFUNCTION("""COMPUTED_VALUE"""),77235.0)</f>
        <v>77235</v>
      </c>
      <c r="B1796" s="2">
        <f>IFERROR(__xludf.DUMMYFUNCTION("""COMPUTED_VALUE"""),1.0)</f>
        <v>1</v>
      </c>
      <c r="C1796" s="2">
        <f>IFERROR(__xludf.DUMMYFUNCTION("""COMPUTED_VALUE"""),293.0)</f>
        <v>293</v>
      </c>
      <c r="D1796" s="3">
        <f>IFERROR(__xludf.DUMMYFUNCTION("""COMPUTED_VALUE"""),64.0)</f>
        <v>64</v>
      </c>
      <c r="E1796" s="2"/>
      <c r="F1796" s="2"/>
    </row>
    <row r="1797">
      <c r="A1797" s="2">
        <f>IFERROR(__xludf.DUMMYFUNCTION("""COMPUTED_VALUE"""),105272.0)</f>
        <v>105272</v>
      </c>
      <c r="B1797" s="2">
        <f>IFERROR(__xludf.DUMMYFUNCTION("""COMPUTED_VALUE"""),0.0)</f>
        <v>0</v>
      </c>
      <c r="C1797" s="2">
        <f>IFERROR(__xludf.DUMMYFUNCTION("""COMPUTED_VALUE"""),453.0)</f>
        <v>453</v>
      </c>
      <c r="D1797" s="3">
        <f>IFERROR(__xludf.DUMMYFUNCTION("""COMPUTED_VALUE"""),204.0)</f>
        <v>204</v>
      </c>
      <c r="E1797" s="2"/>
      <c r="F1797" s="2"/>
    </row>
    <row r="1798">
      <c r="A1798" s="2">
        <f>IFERROR(__xludf.DUMMYFUNCTION("""COMPUTED_VALUE"""),120809.0)</f>
        <v>120809</v>
      </c>
      <c r="B1798" s="2">
        <f>IFERROR(__xludf.DUMMYFUNCTION("""COMPUTED_VALUE"""),1.0)</f>
        <v>1</v>
      </c>
      <c r="C1798" s="2">
        <f>IFERROR(__xludf.DUMMYFUNCTION("""COMPUTED_VALUE"""),174.0)</f>
        <v>174</v>
      </c>
      <c r="D1798" s="3">
        <f>IFERROR(__xludf.DUMMYFUNCTION("""COMPUTED_VALUE"""),120.0)</f>
        <v>120</v>
      </c>
      <c r="E1798" s="2"/>
      <c r="F1798" s="2"/>
    </row>
    <row r="1799">
      <c r="A1799" s="2">
        <f>IFERROR(__xludf.DUMMYFUNCTION("""COMPUTED_VALUE"""),10651.0)</f>
        <v>10651</v>
      </c>
      <c r="B1799" s="2">
        <f>IFERROR(__xludf.DUMMYFUNCTION("""COMPUTED_VALUE"""),1.0)</f>
        <v>1</v>
      </c>
      <c r="C1799" s="2">
        <f>IFERROR(__xludf.DUMMYFUNCTION("""COMPUTED_VALUE"""),355.0)</f>
        <v>355</v>
      </c>
      <c r="D1799" s="3">
        <f>IFERROR(__xludf.DUMMYFUNCTION("""COMPUTED_VALUE"""),218.0)</f>
        <v>218</v>
      </c>
      <c r="E1799" s="2"/>
      <c r="F1799" s="2"/>
    </row>
    <row r="1800">
      <c r="A1800" s="2">
        <f>IFERROR(__xludf.DUMMYFUNCTION("""COMPUTED_VALUE"""),10657.0)</f>
        <v>10657</v>
      </c>
      <c r="B1800" s="2">
        <f>IFERROR(__xludf.DUMMYFUNCTION("""COMPUTED_VALUE"""),1.0)</f>
        <v>1</v>
      </c>
      <c r="C1800" s="2">
        <f>IFERROR(__xludf.DUMMYFUNCTION("""COMPUTED_VALUE"""),265.0)</f>
        <v>265</v>
      </c>
      <c r="D1800" s="3">
        <f>IFERROR(__xludf.DUMMYFUNCTION("""COMPUTED_VALUE"""),244.0)</f>
        <v>244</v>
      </c>
      <c r="E1800" s="2"/>
      <c r="F1800" s="2"/>
    </row>
    <row r="1801">
      <c r="A1801" s="2">
        <f>IFERROR(__xludf.DUMMYFUNCTION("""COMPUTED_VALUE"""),9132.0)</f>
        <v>9132</v>
      </c>
      <c r="B1801" s="2">
        <f>IFERROR(__xludf.DUMMYFUNCTION("""COMPUTED_VALUE"""),1.0)</f>
        <v>1</v>
      </c>
      <c r="C1801" s="2">
        <f>IFERROR(__xludf.DUMMYFUNCTION("""COMPUTED_VALUE"""),26.0)</f>
        <v>26</v>
      </c>
      <c r="D1801" s="3">
        <f>IFERROR(__xludf.DUMMYFUNCTION("""COMPUTED_VALUE"""),8.0)</f>
        <v>8</v>
      </c>
      <c r="E1801" s="2"/>
      <c r="F1801" s="2"/>
    </row>
    <row r="1802">
      <c r="A1802" s="2">
        <f>IFERROR(__xludf.DUMMYFUNCTION("""COMPUTED_VALUE"""),197151.0)</f>
        <v>197151</v>
      </c>
      <c r="B1802" s="2">
        <f>IFERROR(__xludf.DUMMYFUNCTION("""COMPUTED_VALUE"""),1.0)</f>
        <v>1</v>
      </c>
      <c r="C1802" s="2">
        <f>IFERROR(__xludf.DUMMYFUNCTION("""COMPUTED_VALUE"""),836.0)</f>
        <v>836</v>
      </c>
      <c r="D1802" s="3">
        <f>IFERROR(__xludf.DUMMYFUNCTION("""COMPUTED_VALUE"""),416.0)</f>
        <v>416</v>
      </c>
      <c r="E1802" s="2"/>
      <c r="F1802" s="2"/>
    </row>
    <row r="1803">
      <c r="A1803" s="2">
        <f>IFERROR(__xludf.DUMMYFUNCTION("""COMPUTED_VALUE"""),73386.0)</f>
        <v>73386</v>
      </c>
      <c r="B1803" s="2">
        <f>IFERROR(__xludf.DUMMYFUNCTION("""COMPUTED_VALUE"""),1.0)</f>
        <v>1</v>
      </c>
      <c r="C1803" s="2">
        <f>IFERROR(__xludf.DUMMYFUNCTION("""COMPUTED_VALUE"""),499.0)</f>
        <v>499</v>
      </c>
      <c r="D1803" s="3">
        <f>IFERROR(__xludf.DUMMYFUNCTION("""COMPUTED_VALUE"""),212.0)</f>
        <v>212</v>
      </c>
      <c r="E1803" s="2"/>
      <c r="F1803" s="2"/>
    </row>
    <row r="1804">
      <c r="A1804" s="2">
        <f>IFERROR(__xludf.DUMMYFUNCTION("""COMPUTED_VALUE"""),121604.0)</f>
        <v>121604</v>
      </c>
      <c r="B1804" s="2">
        <f>IFERROR(__xludf.DUMMYFUNCTION("""COMPUTED_VALUE"""),1.0)</f>
        <v>1</v>
      </c>
      <c r="C1804" s="2">
        <f>IFERROR(__xludf.DUMMYFUNCTION("""COMPUTED_VALUE"""),695.0)</f>
        <v>695</v>
      </c>
      <c r="D1804" s="3">
        <f>IFERROR(__xludf.DUMMYFUNCTION("""COMPUTED_VALUE"""),103.0)</f>
        <v>103</v>
      </c>
      <c r="E1804" s="2"/>
      <c r="F1804" s="2"/>
    </row>
    <row r="1805">
      <c r="A1805" s="2">
        <f>IFERROR(__xludf.DUMMYFUNCTION("""COMPUTED_VALUE"""),89533.0)</f>
        <v>89533</v>
      </c>
      <c r="B1805" s="2">
        <f>IFERROR(__xludf.DUMMYFUNCTION("""COMPUTED_VALUE"""),1.0)</f>
        <v>1</v>
      </c>
      <c r="C1805" s="2">
        <f>IFERROR(__xludf.DUMMYFUNCTION("""COMPUTED_VALUE"""),427.0)</f>
        <v>427</v>
      </c>
      <c r="D1805" s="3">
        <f>IFERROR(__xludf.DUMMYFUNCTION("""COMPUTED_VALUE"""),132.0)</f>
        <v>132</v>
      </c>
      <c r="E1805" s="2"/>
      <c r="F1805" s="2"/>
    </row>
    <row r="1806">
      <c r="A1806" s="2">
        <f>IFERROR(__xludf.DUMMYFUNCTION("""COMPUTED_VALUE"""),73381.0)</f>
        <v>73381</v>
      </c>
      <c r="B1806" s="2">
        <f>IFERROR(__xludf.DUMMYFUNCTION("""COMPUTED_VALUE"""),1.0)</f>
        <v>1</v>
      </c>
      <c r="C1806" s="2">
        <f>IFERROR(__xludf.DUMMYFUNCTION("""COMPUTED_VALUE"""),449.0)</f>
        <v>449</v>
      </c>
      <c r="D1806" s="3">
        <f>IFERROR(__xludf.DUMMYFUNCTION("""COMPUTED_VALUE"""),209.0)</f>
        <v>209</v>
      </c>
      <c r="E1806" s="2"/>
      <c r="F1806" s="2"/>
    </row>
    <row r="1807">
      <c r="A1807" s="2">
        <f>IFERROR(__xludf.DUMMYFUNCTION("""COMPUTED_VALUE"""),26096.0)</f>
        <v>26096</v>
      </c>
      <c r="B1807" s="2">
        <f>IFERROR(__xludf.DUMMYFUNCTION("""COMPUTED_VALUE"""),0.0)</f>
        <v>0</v>
      </c>
      <c r="C1807" s="2">
        <f>IFERROR(__xludf.DUMMYFUNCTION("""COMPUTED_VALUE"""),620.0)</f>
        <v>620</v>
      </c>
      <c r="D1807" s="3">
        <f>IFERROR(__xludf.DUMMYFUNCTION("""COMPUTED_VALUE"""),437.0)</f>
        <v>437</v>
      </c>
      <c r="E1807" s="2"/>
      <c r="F1807" s="2"/>
    </row>
    <row r="1808">
      <c r="A1808" s="2">
        <f>IFERROR(__xludf.DUMMYFUNCTION("""COMPUTED_VALUE"""),119050.0)</f>
        <v>119050</v>
      </c>
      <c r="B1808" s="2">
        <f>IFERROR(__xludf.DUMMYFUNCTION("""COMPUTED_VALUE"""),0.0)</f>
        <v>0</v>
      </c>
      <c r="C1808" s="2">
        <f>IFERROR(__xludf.DUMMYFUNCTION("""COMPUTED_VALUE"""),788.0)</f>
        <v>788</v>
      </c>
      <c r="D1808" s="3">
        <f>IFERROR(__xludf.DUMMYFUNCTION("""COMPUTED_VALUE"""),182.0)</f>
        <v>182</v>
      </c>
      <c r="E1808" s="2"/>
      <c r="F1808" s="2"/>
    </row>
    <row r="1809">
      <c r="A1809" s="2">
        <f>IFERROR(__xludf.DUMMYFUNCTION("""COMPUTED_VALUE"""),44028.0)</f>
        <v>44028</v>
      </c>
      <c r="B1809" s="2">
        <f>IFERROR(__xludf.DUMMYFUNCTION("""COMPUTED_VALUE"""),1.0)</f>
        <v>1</v>
      </c>
      <c r="C1809" s="2">
        <f>IFERROR(__xludf.DUMMYFUNCTION("""COMPUTED_VALUE"""),813.0)</f>
        <v>813</v>
      </c>
      <c r="D1809" s="3">
        <f>IFERROR(__xludf.DUMMYFUNCTION("""COMPUTED_VALUE"""),494.0)</f>
        <v>494</v>
      </c>
      <c r="E1809" s="2"/>
      <c r="F1809" s="2"/>
    </row>
    <row r="1810">
      <c r="A1810" s="2">
        <f>IFERROR(__xludf.DUMMYFUNCTION("""COMPUTED_VALUE"""),73572.0)</f>
        <v>73572</v>
      </c>
      <c r="B1810" s="2">
        <f>IFERROR(__xludf.DUMMYFUNCTION("""COMPUTED_VALUE"""),0.0)</f>
        <v>0</v>
      </c>
      <c r="C1810" s="2">
        <f>IFERROR(__xludf.DUMMYFUNCTION("""COMPUTED_VALUE"""),768.0)</f>
        <v>768</v>
      </c>
      <c r="D1810" s="3">
        <f>IFERROR(__xludf.DUMMYFUNCTION("""COMPUTED_VALUE"""),361.0)</f>
        <v>361</v>
      </c>
      <c r="E1810" s="2"/>
      <c r="F1810" s="2"/>
    </row>
    <row r="1811">
      <c r="A1811" s="2">
        <f>IFERROR(__xludf.DUMMYFUNCTION("""COMPUTED_VALUE"""),83083.0)</f>
        <v>83083</v>
      </c>
      <c r="B1811" s="2">
        <f>IFERROR(__xludf.DUMMYFUNCTION("""COMPUTED_VALUE"""),0.0)</f>
        <v>0</v>
      </c>
      <c r="C1811" s="2">
        <f>IFERROR(__xludf.DUMMYFUNCTION("""COMPUTED_VALUE"""),482.0)</f>
        <v>482</v>
      </c>
      <c r="D1811" s="3">
        <f>IFERROR(__xludf.DUMMYFUNCTION("""COMPUTED_VALUE"""),328.0)</f>
        <v>328</v>
      </c>
      <c r="E1811" s="2"/>
      <c r="F1811" s="2"/>
    </row>
    <row r="1812">
      <c r="A1812" s="2">
        <f>IFERROR(__xludf.DUMMYFUNCTION("""COMPUTED_VALUE"""),13338.0)</f>
        <v>13338</v>
      </c>
      <c r="B1812" s="2">
        <f>IFERROR(__xludf.DUMMYFUNCTION("""COMPUTED_VALUE"""),1.0)</f>
        <v>1</v>
      </c>
      <c r="C1812" s="2">
        <f>IFERROR(__xludf.DUMMYFUNCTION("""COMPUTED_VALUE"""),475.0)</f>
        <v>475</v>
      </c>
      <c r="D1812" s="3">
        <f>IFERROR(__xludf.DUMMYFUNCTION("""COMPUTED_VALUE"""),262.0)</f>
        <v>262</v>
      </c>
      <c r="E1812" s="2"/>
      <c r="F1812" s="2"/>
    </row>
    <row r="1813">
      <c r="A1813" s="2">
        <f>IFERROR(__xludf.DUMMYFUNCTION("""COMPUTED_VALUE"""),83418.0)</f>
        <v>83418</v>
      </c>
      <c r="B1813" s="2">
        <f>IFERROR(__xludf.DUMMYFUNCTION("""COMPUTED_VALUE"""),1.0)</f>
        <v>1</v>
      </c>
      <c r="C1813" s="2">
        <f>IFERROR(__xludf.DUMMYFUNCTION("""COMPUTED_VALUE"""),486.0)</f>
        <v>486</v>
      </c>
      <c r="D1813" s="3">
        <f>IFERROR(__xludf.DUMMYFUNCTION("""COMPUTED_VALUE"""),386.0)</f>
        <v>386</v>
      </c>
      <c r="E1813" s="2"/>
      <c r="F1813" s="2"/>
    </row>
    <row r="1814">
      <c r="A1814" s="2">
        <f>IFERROR(__xludf.DUMMYFUNCTION("""COMPUTED_VALUE"""),68640.0)</f>
        <v>68640</v>
      </c>
      <c r="B1814" s="2">
        <f>IFERROR(__xludf.DUMMYFUNCTION("""COMPUTED_VALUE"""),0.0)</f>
        <v>0</v>
      </c>
      <c r="C1814" s="2">
        <f>IFERROR(__xludf.DUMMYFUNCTION("""COMPUTED_VALUE"""),943.0)</f>
        <v>943</v>
      </c>
      <c r="D1814" s="3">
        <f>IFERROR(__xludf.DUMMYFUNCTION("""COMPUTED_VALUE"""),167.0)</f>
        <v>167</v>
      </c>
      <c r="E1814" s="2"/>
      <c r="F1814" s="2"/>
    </row>
    <row r="1815">
      <c r="A1815" s="2">
        <f>IFERROR(__xludf.DUMMYFUNCTION("""COMPUTED_VALUE"""),10647.0)</f>
        <v>10647</v>
      </c>
      <c r="B1815" s="2">
        <f>IFERROR(__xludf.DUMMYFUNCTION("""COMPUTED_VALUE"""),1.0)</f>
        <v>1</v>
      </c>
      <c r="C1815" s="2">
        <f>IFERROR(__xludf.DUMMYFUNCTION("""COMPUTED_VALUE"""),462.0)</f>
        <v>462</v>
      </c>
      <c r="D1815" s="3">
        <f>IFERROR(__xludf.DUMMYFUNCTION("""COMPUTED_VALUE"""),387.0)</f>
        <v>387</v>
      </c>
      <c r="E1815" s="2"/>
      <c r="F1815" s="2"/>
    </row>
    <row r="1816">
      <c r="A1816" s="2">
        <f>IFERROR(__xludf.DUMMYFUNCTION("""COMPUTED_VALUE"""),85884.0)</f>
        <v>85884</v>
      </c>
      <c r="B1816" s="2">
        <f>IFERROR(__xludf.DUMMYFUNCTION("""COMPUTED_VALUE"""),0.0)</f>
        <v>0</v>
      </c>
      <c r="C1816" s="2">
        <f>IFERROR(__xludf.DUMMYFUNCTION("""COMPUTED_VALUE"""),865.0)</f>
        <v>865</v>
      </c>
      <c r="D1816" s="3">
        <f>IFERROR(__xludf.DUMMYFUNCTION("""COMPUTED_VALUE"""),494.0)</f>
        <v>494</v>
      </c>
      <c r="E1816" s="2"/>
      <c r="F1816" s="2"/>
    </row>
    <row r="1817">
      <c r="A1817" s="2">
        <f>IFERROR(__xludf.DUMMYFUNCTION("""COMPUTED_VALUE"""),113933.0)</f>
        <v>113933</v>
      </c>
      <c r="B1817" s="2">
        <f>IFERROR(__xludf.DUMMYFUNCTION("""COMPUTED_VALUE"""),0.0)</f>
        <v>0</v>
      </c>
      <c r="C1817" s="2">
        <f>IFERROR(__xludf.DUMMYFUNCTION("""COMPUTED_VALUE"""),809.0)</f>
        <v>809</v>
      </c>
      <c r="D1817" s="3">
        <f>IFERROR(__xludf.DUMMYFUNCTION("""COMPUTED_VALUE"""),41.0)</f>
        <v>41</v>
      </c>
      <c r="E1817" s="2"/>
      <c r="F1817" s="2"/>
    </row>
    <row r="1818">
      <c r="A1818" s="2">
        <f>IFERROR(__xludf.DUMMYFUNCTION("""COMPUTED_VALUE"""),188843.0)</f>
        <v>188843</v>
      </c>
      <c r="B1818" s="2">
        <f>IFERROR(__xludf.DUMMYFUNCTION("""COMPUTED_VALUE"""),1.0)</f>
        <v>1</v>
      </c>
      <c r="C1818" s="2">
        <f>IFERROR(__xludf.DUMMYFUNCTION("""COMPUTED_VALUE"""),375.0)</f>
        <v>375</v>
      </c>
      <c r="D1818" s="3">
        <f>IFERROR(__xludf.DUMMYFUNCTION("""COMPUTED_VALUE"""),106.0)</f>
        <v>106</v>
      </c>
      <c r="E1818" s="2"/>
      <c r="F1818" s="2"/>
    </row>
    <row r="1819">
      <c r="A1819" s="2">
        <f>IFERROR(__xludf.DUMMYFUNCTION("""COMPUTED_VALUE"""),13342.0)</f>
        <v>13342</v>
      </c>
      <c r="B1819" s="2">
        <f>IFERROR(__xludf.DUMMYFUNCTION("""COMPUTED_VALUE"""),0.0)</f>
        <v>0</v>
      </c>
      <c r="C1819" s="2">
        <f>IFERROR(__xludf.DUMMYFUNCTION("""COMPUTED_VALUE"""),857.0)</f>
        <v>857</v>
      </c>
      <c r="D1819" s="3">
        <f>IFERROR(__xludf.DUMMYFUNCTION("""COMPUTED_VALUE"""),14.0)</f>
        <v>14</v>
      </c>
      <c r="E1819" s="2"/>
      <c r="F1819" s="2"/>
    </row>
    <row r="1820">
      <c r="A1820" s="2">
        <f>IFERROR(__xludf.DUMMYFUNCTION("""COMPUTED_VALUE"""),83002.0)</f>
        <v>83002</v>
      </c>
      <c r="B1820" s="2">
        <f>IFERROR(__xludf.DUMMYFUNCTION("""COMPUTED_VALUE"""),0.0)</f>
        <v>0</v>
      </c>
      <c r="C1820" s="2">
        <f>IFERROR(__xludf.DUMMYFUNCTION("""COMPUTED_VALUE"""),571.0)</f>
        <v>571</v>
      </c>
      <c r="D1820" s="3">
        <f>IFERROR(__xludf.DUMMYFUNCTION("""COMPUTED_VALUE"""),142.0)</f>
        <v>142</v>
      </c>
      <c r="E1820" s="2"/>
      <c r="F1820" s="2"/>
    </row>
    <row r="1821">
      <c r="A1821" s="2">
        <f>IFERROR(__xludf.DUMMYFUNCTION("""COMPUTED_VALUE"""),112860.0)</f>
        <v>112860</v>
      </c>
      <c r="B1821" s="2">
        <f>IFERROR(__xludf.DUMMYFUNCTION("""COMPUTED_VALUE"""),1.0)</f>
        <v>1</v>
      </c>
      <c r="C1821" s="2">
        <f>IFERROR(__xludf.DUMMYFUNCTION("""COMPUTED_VALUE"""),381.0)</f>
        <v>381</v>
      </c>
      <c r="D1821" s="3">
        <f>IFERROR(__xludf.DUMMYFUNCTION("""COMPUTED_VALUE"""),179.0)</f>
        <v>179</v>
      </c>
      <c r="E1821" s="2"/>
      <c r="F1821" s="2"/>
    </row>
    <row r="1822">
      <c r="A1822" s="2">
        <f>IFERROR(__xludf.DUMMYFUNCTION("""COMPUTED_VALUE"""),118374.0)</f>
        <v>118374</v>
      </c>
      <c r="B1822" s="2">
        <f>IFERROR(__xludf.DUMMYFUNCTION("""COMPUTED_VALUE"""),1.0)</f>
        <v>1</v>
      </c>
      <c r="C1822" s="2">
        <f>IFERROR(__xludf.DUMMYFUNCTION("""COMPUTED_VALUE"""),517.0)</f>
        <v>517</v>
      </c>
      <c r="D1822" s="3">
        <f>IFERROR(__xludf.DUMMYFUNCTION("""COMPUTED_VALUE"""),339.0)</f>
        <v>339</v>
      </c>
      <c r="E1822" s="2"/>
      <c r="F1822" s="2"/>
    </row>
    <row r="1823">
      <c r="A1823" s="2">
        <f>IFERROR(__xludf.DUMMYFUNCTION("""COMPUTED_VALUE"""),119049.0)</f>
        <v>119049</v>
      </c>
      <c r="B1823" s="2">
        <f>IFERROR(__xludf.DUMMYFUNCTION("""COMPUTED_VALUE"""),0.0)</f>
        <v>0</v>
      </c>
      <c r="C1823" s="2">
        <f>IFERROR(__xludf.DUMMYFUNCTION("""COMPUTED_VALUE"""),633.0)</f>
        <v>633</v>
      </c>
      <c r="D1823" s="3">
        <f>IFERROR(__xludf.DUMMYFUNCTION("""COMPUTED_VALUE"""),310.0)</f>
        <v>310</v>
      </c>
      <c r="E1823" s="2"/>
      <c r="F1823" s="2"/>
    </row>
    <row r="1824">
      <c r="A1824" s="2">
        <f>IFERROR(__xludf.DUMMYFUNCTION("""COMPUTED_VALUE"""),120964.0)</f>
        <v>120964</v>
      </c>
      <c r="B1824" s="2">
        <f>IFERROR(__xludf.DUMMYFUNCTION("""COMPUTED_VALUE"""),1.0)</f>
        <v>1</v>
      </c>
      <c r="C1824" s="2">
        <f>IFERROR(__xludf.DUMMYFUNCTION("""COMPUTED_VALUE"""),406.0)</f>
        <v>406</v>
      </c>
      <c r="D1824" s="3">
        <f>IFERROR(__xludf.DUMMYFUNCTION("""COMPUTED_VALUE"""),61.0)</f>
        <v>61</v>
      </c>
      <c r="E1824" s="2"/>
      <c r="F1824" s="2"/>
    </row>
    <row r="1825">
      <c r="A1825" s="2">
        <f>IFERROR(__xludf.DUMMYFUNCTION("""COMPUTED_VALUE"""),26093.0)</f>
        <v>26093</v>
      </c>
      <c r="B1825" s="2">
        <f>IFERROR(__xludf.DUMMYFUNCTION("""COMPUTED_VALUE"""),0.0)</f>
        <v>0</v>
      </c>
      <c r="C1825" s="2">
        <f>IFERROR(__xludf.DUMMYFUNCTION("""COMPUTED_VALUE"""),113.0)</f>
        <v>113</v>
      </c>
      <c r="D1825" s="3">
        <f>IFERROR(__xludf.DUMMYFUNCTION("""COMPUTED_VALUE"""),76.0)</f>
        <v>76</v>
      </c>
      <c r="E1825" s="2"/>
      <c r="F1825" s="2"/>
    </row>
    <row r="1826">
      <c r="A1826" s="2">
        <f>IFERROR(__xludf.DUMMYFUNCTION("""COMPUTED_VALUE"""),99311.0)</f>
        <v>99311</v>
      </c>
      <c r="B1826" s="2">
        <f>IFERROR(__xludf.DUMMYFUNCTION("""COMPUTED_VALUE"""),1.0)</f>
        <v>1</v>
      </c>
      <c r="C1826" s="2">
        <f>IFERROR(__xludf.DUMMYFUNCTION("""COMPUTED_VALUE"""),213.0)</f>
        <v>213</v>
      </c>
      <c r="D1826" s="3">
        <f>IFERROR(__xludf.DUMMYFUNCTION("""COMPUTED_VALUE"""),125.0)</f>
        <v>125</v>
      </c>
      <c r="E1826" s="2"/>
      <c r="F1826" s="2"/>
    </row>
    <row r="1827">
      <c r="A1827" s="2">
        <f>IFERROR(__xludf.DUMMYFUNCTION("""COMPUTED_VALUE"""),9131.0)</f>
        <v>9131</v>
      </c>
      <c r="B1827" s="2">
        <f>IFERROR(__xludf.DUMMYFUNCTION("""COMPUTED_VALUE"""),1.0)</f>
        <v>1</v>
      </c>
      <c r="C1827" s="2">
        <f>IFERROR(__xludf.DUMMYFUNCTION("""COMPUTED_VALUE"""),687.0)</f>
        <v>687</v>
      </c>
      <c r="D1827" s="3">
        <f>IFERROR(__xludf.DUMMYFUNCTION("""COMPUTED_VALUE"""),300.0)</f>
        <v>300</v>
      </c>
      <c r="E1827" s="2"/>
      <c r="F1827" s="2"/>
    </row>
    <row r="1828">
      <c r="A1828" s="2">
        <f>IFERROR(__xludf.DUMMYFUNCTION("""COMPUTED_VALUE"""),122167.0)</f>
        <v>122167</v>
      </c>
      <c r="B1828" s="2">
        <f>IFERROR(__xludf.DUMMYFUNCTION("""COMPUTED_VALUE"""),1.0)</f>
        <v>1</v>
      </c>
      <c r="C1828" s="2">
        <f>IFERROR(__xludf.DUMMYFUNCTION("""COMPUTED_VALUE"""),840.0)</f>
        <v>840</v>
      </c>
      <c r="D1828" s="3">
        <f>IFERROR(__xludf.DUMMYFUNCTION("""COMPUTED_VALUE"""),733.0)</f>
        <v>733</v>
      </c>
      <c r="E1828" s="2"/>
      <c r="F1828" s="2"/>
    </row>
    <row r="1829">
      <c r="A1829" s="2">
        <f>IFERROR(__xludf.DUMMYFUNCTION("""COMPUTED_VALUE"""),10649.0)</f>
        <v>10649</v>
      </c>
      <c r="B1829" s="2">
        <f>IFERROR(__xludf.DUMMYFUNCTION("""COMPUTED_VALUE"""),1.0)</f>
        <v>1</v>
      </c>
      <c r="C1829" s="2">
        <f>IFERROR(__xludf.DUMMYFUNCTION("""COMPUTED_VALUE"""),739.0)</f>
        <v>739</v>
      </c>
      <c r="D1829" s="3">
        <f>IFERROR(__xludf.DUMMYFUNCTION("""COMPUTED_VALUE"""),737.0)</f>
        <v>737</v>
      </c>
      <c r="E1829" s="2"/>
      <c r="F1829" s="2"/>
    </row>
    <row r="1830">
      <c r="A1830" s="2">
        <f>IFERROR(__xludf.DUMMYFUNCTION("""COMPUTED_VALUE"""),85875.0)</f>
        <v>85875</v>
      </c>
      <c r="B1830" s="2">
        <f>IFERROR(__xludf.DUMMYFUNCTION("""COMPUTED_VALUE"""),1.0)</f>
        <v>1</v>
      </c>
      <c r="C1830" s="2">
        <f>IFERROR(__xludf.DUMMYFUNCTION("""COMPUTED_VALUE"""),504.0)</f>
        <v>504</v>
      </c>
      <c r="D1830" s="3">
        <f>IFERROR(__xludf.DUMMYFUNCTION("""COMPUTED_VALUE"""),185.0)</f>
        <v>185</v>
      </c>
      <c r="E1830" s="2"/>
      <c r="F1830" s="2"/>
    </row>
    <row r="1831">
      <c r="A1831" s="2">
        <f>IFERROR(__xludf.DUMMYFUNCTION("""COMPUTED_VALUE"""),9136.0)</f>
        <v>9136</v>
      </c>
      <c r="B1831" s="2">
        <f>IFERROR(__xludf.DUMMYFUNCTION("""COMPUTED_VALUE"""),1.0)</f>
        <v>1</v>
      </c>
      <c r="C1831" s="2">
        <f>IFERROR(__xludf.DUMMYFUNCTION("""COMPUTED_VALUE"""),589.0)</f>
        <v>589</v>
      </c>
      <c r="D1831" s="3">
        <f>IFERROR(__xludf.DUMMYFUNCTION("""COMPUTED_VALUE"""),14.0)</f>
        <v>14</v>
      </c>
      <c r="E1831" s="2"/>
      <c r="F1831" s="2"/>
    </row>
    <row r="1832">
      <c r="A1832" s="2">
        <f>IFERROR(__xludf.DUMMYFUNCTION("""COMPUTED_VALUE"""),121835.0)</f>
        <v>121835</v>
      </c>
      <c r="B1832" s="2">
        <f>IFERROR(__xludf.DUMMYFUNCTION("""COMPUTED_VALUE"""),1.0)</f>
        <v>1</v>
      </c>
      <c r="C1832" s="2">
        <f>IFERROR(__xludf.DUMMYFUNCTION("""COMPUTED_VALUE"""),345.0)</f>
        <v>345</v>
      </c>
      <c r="D1832" s="3">
        <f>IFERROR(__xludf.DUMMYFUNCTION("""COMPUTED_VALUE"""),133.0)</f>
        <v>133</v>
      </c>
      <c r="E1832" s="2"/>
      <c r="F1832" s="2"/>
    </row>
    <row r="1833">
      <c r="A1833" s="2">
        <f>IFERROR(__xludf.DUMMYFUNCTION("""COMPUTED_VALUE"""),113934.0)</f>
        <v>113934</v>
      </c>
      <c r="B1833" s="2">
        <f>IFERROR(__xludf.DUMMYFUNCTION("""COMPUTED_VALUE"""),0.0)</f>
        <v>0</v>
      </c>
      <c r="C1833" s="2">
        <f>IFERROR(__xludf.DUMMYFUNCTION("""COMPUTED_VALUE"""),577.0)</f>
        <v>577</v>
      </c>
      <c r="D1833" s="3">
        <f>IFERROR(__xludf.DUMMYFUNCTION("""COMPUTED_VALUE"""),254.0)</f>
        <v>254</v>
      </c>
      <c r="E1833" s="2"/>
      <c r="F1833" s="2"/>
    </row>
    <row r="1834">
      <c r="A1834" s="2">
        <f>IFERROR(__xludf.DUMMYFUNCTION("""COMPUTED_VALUE"""),5750.0)</f>
        <v>5750</v>
      </c>
      <c r="B1834" s="2">
        <f>IFERROR(__xludf.DUMMYFUNCTION("""COMPUTED_VALUE"""),0.0)</f>
        <v>0</v>
      </c>
      <c r="C1834" s="2">
        <f>IFERROR(__xludf.DUMMYFUNCTION("""COMPUTED_VALUE"""),904.0)</f>
        <v>904</v>
      </c>
      <c r="D1834" s="3">
        <f>IFERROR(__xludf.DUMMYFUNCTION("""COMPUTED_VALUE"""),490.0)</f>
        <v>490</v>
      </c>
      <c r="E1834" s="2"/>
      <c r="F1834" s="2"/>
    </row>
    <row r="1835">
      <c r="A1835" s="2">
        <f>IFERROR(__xludf.DUMMYFUNCTION("""COMPUTED_VALUE"""),73390.0)</f>
        <v>73390</v>
      </c>
      <c r="B1835" s="2">
        <f>IFERROR(__xludf.DUMMYFUNCTION("""COMPUTED_VALUE"""),0.0)</f>
        <v>0</v>
      </c>
      <c r="C1835" s="2">
        <f>IFERROR(__xludf.DUMMYFUNCTION("""COMPUTED_VALUE"""),684.0)</f>
        <v>684</v>
      </c>
      <c r="D1835" s="3">
        <f>IFERROR(__xludf.DUMMYFUNCTION("""COMPUTED_VALUE"""),419.0)</f>
        <v>419</v>
      </c>
      <c r="E1835" s="2"/>
      <c r="F1835" s="2"/>
    </row>
    <row r="1836">
      <c r="A1836" s="2">
        <f>IFERROR(__xludf.DUMMYFUNCTION("""COMPUTED_VALUE"""),114251.0)</f>
        <v>114251</v>
      </c>
      <c r="B1836" s="2">
        <f>IFERROR(__xludf.DUMMYFUNCTION("""COMPUTED_VALUE"""),1.0)</f>
        <v>1</v>
      </c>
      <c r="C1836" s="2">
        <f>IFERROR(__xludf.DUMMYFUNCTION("""COMPUTED_VALUE"""),61.0)</f>
        <v>61</v>
      </c>
      <c r="D1836" s="3">
        <f>IFERROR(__xludf.DUMMYFUNCTION("""COMPUTED_VALUE"""),28.0)</f>
        <v>28</v>
      </c>
      <c r="E1836" s="2"/>
      <c r="F1836" s="2"/>
    </row>
    <row r="1837">
      <c r="A1837" s="2">
        <f>IFERROR(__xludf.DUMMYFUNCTION("""COMPUTED_VALUE"""),73392.0)</f>
        <v>73392</v>
      </c>
      <c r="B1837" s="2">
        <f>IFERROR(__xludf.DUMMYFUNCTION("""COMPUTED_VALUE"""),1.0)</f>
        <v>1</v>
      </c>
      <c r="C1837" s="2">
        <f>IFERROR(__xludf.DUMMYFUNCTION("""COMPUTED_VALUE"""),591.0)</f>
        <v>591</v>
      </c>
      <c r="D1837" s="3">
        <f>IFERROR(__xludf.DUMMYFUNCTION("""COMPUTED_VALUE"""),53.0)</f>
        <v>53</v>
      </c>
      <c r="E1837" s="2"/>
      <c r="F1837" s="2"/>
    </row>
    <row r="1838">
      <c r="A1838" s="2">
        <f>IFERROR(__xludf.DUMMYFUNCTION("""COMPUTED_VALUE"""),9128.0)</f>
        <v>9128</v>
      </c>
      <c r="B1838" s="2">
        <f>IFERROR(__xludf.DUMMYFUNCTION("""COMPUTED_VALUE"""),1.0)</f>
        <v>1</v>
      </c>
      <c r="C1838" s="2">
        <f>IFERROR(__xludf.DUMMYFUNCTION("""COMPUTED_VALUE"""),87.0)</f>
        <v>87</v>
      </c>
      <c r="D1838" s="3">
        <f>IFERROR(__xludf.DUMMYFUNCTION("""COMPUTED_VALUE"""),49.0)</f>
        <v>49</v>
      </c>
      <c r="E1838" s="2"/>
      <c r="F1838" s="2"/>
    </row>
    <row r="1839">
      <c r="A1839" s="2">
        <f>IFERROR(__xludf.DUMMYFUNCTION("""COMPUTED_VALUE"""),122672.0)</f>
        <v>122672</v>
      </c>
      <c r="B1839" s="2">
        <f>IFERROR(__xludf.DUMMYFUNCTION("""COMPUTED_VALUE"""),0.0)</f>
        <v>0</v>
      </c>
      <c r="C1839" s="2">
        <f>IFERROR(__xludf.DUMMYFUNCTION("""COMPUTED_VALUE"""),860.0)</f>
        <v>860</v>
      </c>
      <c r="D1839" s="3">
        <f>IFERROR(__xludf.DUMMYFUNCTION("""COMPUTED_VALUE"""),161.0)</f>
        <v>161</v>
      </c>
      <c r="E1839" s="2"/>
      <c r="F1839" s="2"/>
    </row>
    <row r="1840">
      <c r="A1840" s="2">
        <f>IFERROR(__xludf.DUMMYFUNCTION("""COMPUTED_VALUE"""),85857.0)</f>
        <v>85857</v>
      </c>
      <c r="B1840" s="2">
        <f>IFERROR(__xludf.DUMMYFUNCTION("""COMPUTED_VALUE"""),0.0)</f>
        <v>0</v>
      </c>
      <c r="C1840" s="2">
        <f>IFERROR(__xludf.DUMMYFUNCTION("""COMPUTED_VALUE"""),283.0)</f>
        <v>283</v>
      </c>
      <c r="D1840" s="3">
        <f>IFERROR(__xludf.DUMMYFUNCTION("""COMPUTED_VALUE"""),194.0)</f>
        <v>194</v>
      </c>
      <c r="E1840" s="2"/>
      <c r="F1840" s="2"/>
    </row>
    <row r="1841">
      <c r="A1841" s="2">
        <f>IFERROR(__xludf.DUMMYFUNCTION("""COMPUTED_VALUE"""),9129.0)</f>
        <v>9129</v>
      </c>
      <c r="B1841" s="2">
        <f>IFERROR(__xludf.DUMMYFUNCTION("""COMPUTED_VALUE"""),1.0)</f>
        <v>1</v>
      </c>
      <c r="C1841" s="2">
        <f>IFERROR(__xludf.DUMMYFUNCTION("""COMPUTED_VALUE"""),953.0)</f>
        <v>953</v>
      </c>
      <c r="D1841" s="3">
        <f>IFERROR(__xludf.DUMMYFUNCTION("""COMPUTED_VALUE"""),891.0)</f>
        <v>891</v>
      </c>
      <c r="E1841" s="2"/>
      <c r="F1841" s="2"/>
    </row>
    <row r="1842">
      <c r="A1842" s="2">
        <f>IFERROR(__xludf.DUMMYFUNCTION("""COMPUTED_VALUE"""),162438.0)</f>
        <v>162438</v>
      </c>
      <c r="B1842" s="2">
        <f>IFERROR(__xludf.DUMMYFUNCTION("""COMPUTED_VALUE"""),1.0)</f>
        <v>1</v>
      </c>
      <c r="C1842" s="2">
        <f>IFERROR(__xludf.DUMMYFUNCTION("""COMPUTED_VALUE"""),502.0)</f>
        <v>502</v>
      </c>
      <c r="D1842" s="3">
        <f>IFERROR(__xludf.DUMMYFUNCTION("""COMPUTED_VALUE"""),484.0)</f>
        <v>484</v>
      </c>
      <c r="E1842" s="2"/>
      <c r="F1842" s="2"/>
    </row>
    <row r="1843">
      <c r="A1843" s="2">
        <f>IFERROR(__xludf.DUMMYFUNCTION("""COMPUTED_VALUE"""),73391.0)</f>
        <v>73391</v>
      </c>
      <c r="B1843" s="2">
        <f>IFERROR(__xludf.DUMMYFUNCTION("""COMPUTED_VALUE"""),0.0)</f>
        <v>0</v>
      </c>
      <c r="C1843" s="2">
        <f>IFERROR(__xludf.DUMMYFUNCTION("""COMPUTED_VALUE"""),924.0)</f>
        <v>924</v>
      </c>
      <c r="D1843" s="3">
        <f>IFERROR(__xludf.DUMMYFUNCTION("""COMPUTED_VALUE"""),193.0)</f>
        <v>193</v>
      </c>
      <c r="E1843" s="2"/>
      <c r="F1843" s="2"/>
    </row>
    <row r="1844">
      <c r="A1844" s="2">
        <f>IFERROR(__xludf.DUMMYFUNCTION("""COMPUTED_VALUE"""),46428.0)</f>
        <v>46428</v>
      </c>
      <c r="B1844" s="2">
        <f>IFERROR(__xludf.DUMMYFUNCTION("""COMPUTED_VALUE"""),0.0)</f>
        <v>0</v>
      </c>
      <c r="C1844" s="2">
        <f>IFERROR(__xludf.DUMMYFUNCTION("""COMPUTED_VALUE"""),770.0)</f>
        <v>770</v>
      </c>
      <c r="D1844" s="3">
        <f>IFERROR(__xludf.DUMMYFUNCTION("""COMPUTED_VALUE"""),405.0)</f>
        <v>405</v>
      </c>
      <c r="E1844" s="2"/>
      <c r="F1844" s="2"/>
    </row>
    <row r="1845">
      <c r="A1845" s="2">
        <f>IFERROR(__xludf.DUMMYFUNCTION("""COMPUTED_VALUE"""),85861.0)</f>
        <v>85861</v>
      </c>
      <c r="B1845" s="2">
        <f>IFERROR(__xludf.DUMMYFUNCTION("""COMPUTED_VALUE"""),0.0)</f>
        <v>0</v>
      </c>
      <c r="C1845" s="2">
        <f>IFERROR(__xludf.DUMMYFUNCTION("""COMPUTED_VALUE"""),779.0)</f>
        <v>779</v>
      </c>
      <c r="D1845" s="3">
        <f>IFERROR(__xludf.DUMMYFUNCTION("""COMPUTED_VALUE"""),170.0)</f>
        <v>170</v>
      </c>
      <c r="E1845" s="2"/>
      <c r="F1845" s="2"/>
    </row>
    <row r="1846">
      <c r="A1846" s="2">
        <f>IFERROR(__xludf.DUMMYFUNCTION("""COMPUTED_VALUE"""),69324.0)</f>
        <v>69324</v>
      </c>
      <c r="B1846" s="2">
        <f>IFERROR(__xludf.DUMMYFUNCTION("""COMPUTED_VALUE"""),1.0)</f>
        <v>1</v>
      </c>
      <c r="C1846" s="2">
        <f>IFERROR(__xludf.DUMMYFUNCTION("""COMPUTED_VALUE"""),169.0)</f>
        <v>169</v>
      </c>
      <c r="D1846" s="3">
        <f>IFERROR(__xludf.DUMMYFUNCTION("""COMPUTED_VALUE"""),8.0)</f>
        <v>8</v>
      </c>
      <c r="E1846" s="2"/>
      <c r="F1846" s="2"/>
    </row>
    <row r="1847">
      <c r="A1847" s="2">
        <f>IFERROR(__xludf.DUMMYFUNCTION("""COMPUTED_VALUE"""),122618.0)</f>
        <v>122618</v>
      </c>
      <c r="B1847" s="2">
        <f>IFERROR(__xludf.DUMMYFUNCTION("""COMPUTED_VALUE"""),1.0)</f>
        <v>1</v>
      </c>
      <c r="C1847" s="2">
        <f>IFERROR(__xludf.DUMMYFUNCTION("""COMPUTED_VALUE"""),860.0)</f>
        <v>860</v>
      </c>
      <c r="D1847" s="3">
        <f>IFERROR(__xludf.DUMMYFUNCTION("""COMPUTED_VALUE"""),426.0)</f>
        <v>426</v>
      </c>
      <c r="E1847" s="2"/>
      <c r="F1847" s="2"/>
    </row>
    <row r="1848">
      <c r="A1848" s="2">
        <f>IFERROR(__xludf.DUMMYFUNCTION("""COMPUTED_VALUE"""),99312.0)</f>
        <v>99312</v>
      </c>
      <c r="B1848" s="2">
        <f>IFERROR(__xludf.DUMMYFUNCTION("""COMPUTED_VALUE"""),0.0)</f>
        <v>0</v>
      </c>
      <c r="C1848" s="2">
        <f>IFERROR(__xludf.DUMMYFUNCTION("""COMPUTED_VALUE"""),307.0)</f>
        <v>307</v>
      </c>
      <c r="D1848" s="3">
        <f>IFERROR(__xludf.DUMMYFUNCTION("""COMPUTED_VALUE"""),105.0)</f>
        <v>105</v>
      </c>
      <c r="E1848" s="2"/>
      <c r="F1848" s="2"/>
    </row>
    <row r="1849">
      <c r="A1849" s="2">
        <f>IFERROR(__xludf.DUMMYFUNCTION("""COMPUTED_VALUE"""),113932.0)</f>
        <v>113932</v>
      </c>
      <c r="B1849" s="2">
        <f>IFERROR(__xludf.DUMMYFUNCTION("""COMPUTED_VALUE"""),0.0)</f>
        <v>0</v>
      </c>
      <c r="C1849" s="2">
        <f>IFERROR(__xludf.DUMMYFUNCTION("""COMPUTED_VALUE"""),377.0)</f>
        <v>377</v>
      </c>
      <c r="D1849" s="3">
        <f>IFERROR(__xludf.DUMMYFUNCTION("""COMPUTED_VALUE"""),77.0)</f>
        <v>77</v>
      </c>
      <c r="E1849" s="2"/>
      <c r="F1849" s="2"/>
    </row>
    <row r="1850">
      <c r="A1850" s="2">
        <f>IFERROR(__xludf.DUMMYFUNCTION("""COMPUTED_VALUE"""),5751.0)</f>
        <v>5751</v>
      </c>
      <c r="B1850" s="2">
        <f>IFERROR(__xludf.DUMMYFUNCTION("""COMPUTED_VALUE"""),0.0)</f>
        <v>0</v>
      </c>
      <c r="C1850" s="2">
        <f>IFERROR(__xludf.DUMMYFUNCTION("""COMPUTED_VALUE"""),532.0)</f>
        <v>532</v>
      </c>
      <c r="D1850" s="3">
        <f>IFERROR(__xludf.DUMMYFUNCTION("""COMPUTED_VALUE"""),226.0)</f>
        <v>226</v>
      </c>
      <c r="E1850" s="2"/>
      <c r="F1850" s="2"/>
    </row>
    <row r="1851">
      <c r="A1851" s="2">
        <f>IFERROR(__xludf.DUMMYFUNCTION("""COMPUTED_VALUE"""),85885.0)</f>
        <v>85885</v>
      </c>
      <c r="B1851" s="2">
        <f>IFERROR(__xludf.DUMMYFUNCTION("""COMPUTED_VALUE"""),0.0)</f>
        <v>0</v>
      </c>
      <c r="C1851" s="2">
        <f>IFERROR(__xludf.DUMMYFUNCTION("""COMPUTED_VALUE"""),229.0)</f>
        <v>229</v>
      </c>
      <c r="D1851" s="3">
        <f>IFERROR(__xludf.DUMMYFUNCTION("""COMPUTED_VALUE"""),154.0)</f>
        <v>154</v>
      </c>
      <c r="E1851" s="2"/>
      <c r="F1851" s="2"/>
    </row>
    <row r="1852">
      <c r="A1852" s="2">
        <f>IFERROR(__xludf.DUMMYFUNCTION("""COMPUTED_VALUE"""),87877.0)</f>
        <v>87877</v>
      </c>
      <c r="B1852" s="2">
        <f>IFERROR(__xludf.DUMMYFUNCTION("""COMPUTED_VALUE"""),1.0)</f>
        <v>1</v>
      </c>
      <c r="C1852" s="2">
        <f>IFERROR(__xludf.DUMMYFUNCTION("""COMPUTED_VALUE"""),577.0)</f>
        <v>577</v>
      </c>
      <c r="D1852" s="3">
        <f>IFERROR(__xludf.DUMMYFUNCTION("""COMPUTED_VALUE"""),412.0)</f>
        <v>412</v>
      </c>
      <c r="E1852" s="2"/>
      <c r="F1852" s="2"/>
    </row>
    <row r="1853">
      <c r="A1853" s="2">
        <f>IFERROR(__xludf.DUMMYFUNCTION("""COMPUTED_VALUE"""),197150.0)</f>
        <v>197150</v>
      </c>
      <c r="B1853" s="2">
        <f>IFERROR(__xludf.DUMMYFUNCTION("""COMPUTED_VALUE"""),0.0)</f>
        <v>0</v>
      </c>
      <c r="C1853" s="2">
        <f>IFERROR(__xludf.DUMMYFUNCTION("""COMPUTED_VALUE"""),400.0)</f>
        <v>400</v>
      </c>
      <c r="D1853" s="3">
        <f>IFERROR(__xludf.DUMMYFUNCTION("""COMPUTED_VALUE"""),247.0)</f>
        <v>247</v>
      </c>
      <c r="E1853" s="2"/>
      <c r="F1853" s="2"/>
    </row>
    <row r="1854">
      <c r="A1854" s="2">
        <f>IFERROR(__xludf.DUMMYFUNCTION("""COMPUTED_VALUE"""),87878.0)</f>
        <v>87878</v>
      </c>
      <c r="B1854" s="2">
        <f>IFERROR(__xludf.DUMMYFUNCTION("""COMPUTED_VALUE"""),1.0)</f>
        <v>1</v>
      </c>
      <c r="C1854" s="2">
        <f>IFERROR(__xludf.DUMMYFUNCTION("""COMPUTED_VALUE"""),878.0)</f>
        <v>878</v>
      </c>
      <c r="D1854" s="3">
        <f>IFERROR(__xludf.DUMMYFUNCTION("""COMPUTED_VALUE"""),162.0)</f>
        <v>162</v>
      </c>
      <c r="E1854" s="2"/>
      <c r="F1854" s="2"/>
    </row>
    <row r="1855">
      <c r="A1855" s="2">
        <f>IFERROR(__xludf.DUMMYFUNCTION("""COMPUTED_VALUE"""),122166.0)</f>
        <v>122166</v>
      </c>
      <c r="B1855" s="2">
        <f>IFERROR(__xludf.DUMMYFUNCTION("""COMPUTED_VALUE"""),1.0)</f>
        <v>1</v>
      </c>
      <c r="C1855" s="2">
        <f>IFERROR(__xludf.DUMMYFUNCTION("""COMPUTED_VALUE"""),721.0)</f>
        <v>721</v>
      </c>
      <c r="D1855" s="3">
        <f>IFERROR(__xludf.DUMMYFUNCTION("""COMPUTED_VALUE"""),657.0)</f>
        <v>657</v>
      </c>
      <c r="E1855" s="2"/>
      <c r="F1855" s="2"/>
    </row>
    <row r="1856">
      <c r="A1856" s="2">
        <f>IFERROR(__xludf.DUMMYFUNCTION("""COMPUTED_VALUE"""),122617.0)</f>
        <v>122617</v>
      </c>
      <c r="B1856" s="2">
        <f>IFERROR(__xludf.DUMMYFUNCTION("""COMPUTED_VALUE"""),0.0)</f>
        <v>0</v>
      </c>
      <c r="C1856" s="2">
        <f>IFERROR(__xludf.DUMMYFUNCTION("""COMPUTED_VALUE"""),697.0)</f>
        <v>697</v>
      </c>
      <c r="D1856" s="3">
        <f>IFERROR(__xludf.DUMMYFUNCTION("""COMPUTED_VALUE"""),144.0)</f>
        <v>144</v>
      </c>
      <c r="E1856" s="2"/>
      <c r="F1856" s="2"/>
    </row>
    <row r="1857">
      <c r="A1857" s="2">
        <f>IFERROR(__xludf.DUMMYFUNCTION("""COMPUTED_VALUE"""),118590.0)</f>
        <v>118590</v>
      </c>
      <c r="B1857" s="2">
        <f>IFERROR(__xludf.DUMMYFUNCTION("""COMPUTED_VALUE"""),0.0)</f>
        <v>0</v>
      </c>
      <c r="C1857" s="2">
        <f>IFERROR(__xludf.DUMMYFUNCTION("""COMPUTED_VALUE"""),364.0)</f>
        <v>364</v>
      </c>
      <c r="D1857" s="3">
        <f>IFERROR(__xludf.DUMMYFUNCTION("""COMPUTED_VALUE"""),138.0)</f>
        <v>138</v>
      </c>
      <c r="E1857" s="2"/>
      <c r="F1857" s="2"/>
    </row>
    <row r="1858">
      <c r="A1858" s="2">
        <f>IFERROR(__xludf.DUMMYFUNCTION("""COMPUTED_VALUE"""),122366.0)</f>
        <v>122366</v>
      </c>
      <c r="B1858" s="2">
        <f>IFERROR(__xludf.DUMMYFUNCTION("""COMPUTED_VALUE"""),1.0)</f>
        <v>1</v>
      </c>
      <c r="C1858" s="2">
        <f>IFERROR(__xludf.DUMMYFUNCTION("""COMPUTED_VALUE"""),770.0)</f>
        <v>770</v>
      </c>
      <c r="D1858" s="3">
        <f>IFERROR(__xludf.DUMMYFUNCTION("""COMPUTED_VALUE"""),261.0)</f>
        <v>261</v>
      </c>
      <c r="E1858" s="2"/>
      <c r="F1858" s="2"/>
    </row>
    <row r="1859">
      <c r="A1859" s="2">
        <f>IFERROR(__xludf.DUMMYFUNCTION("""COMPUTED_VALUE"""),83001.0)</f>
        <v>83001</v>
      </c>
      <c r="B1859" s="2">
        <f>IFERROR(__xludf.DUMMYFUNCTION("""COMPUTED_VALUE"""),0.0)</f>
        <v>0</v>
      </c>
      <c r="C1859" s="2">
        <f>IFERROR(__xludf.DUMMYFUNCTION("""COMPUTED_VALUE"""),279.0)</f>
        <v>279</v>
      </c>
      <c r="D1859" s="3">
        <f>IFERROR(__xludf.DUMMYFUNCTION("""COMPUTED_VALUE"""),133.0)</f>
        <v>133</v>
      </c>
      <c r="E1859" s="2"/>
      <c r="F1859" s="2"/>
    </row>
    <row r="1860">
      <c r="A1860" s="2">
        <f>IFERROR(__xludf.DUMMYFUNCTION("""COMPUTED_VALUE"""),118594.0)</f>
        <v>118594</v>
      </c>
      <c r="B1860" s="2">
        <f>IFERROR(__xludf.DUMMYFUNCTION("""COMPUTED_VALUE"""),0.0)</f>
        <v>0</v>
      </c>
      <c r="C1860" s="2">
        <f>IFERROR(__xludf.DUMMYFUNCTION("""COMPUTED_VALUE"""),295.0)</f>
        <v>295</v>
      </c>
      <c r="D1860" s="3">
        <f>IFERROR(__xludf.DUMMYFUNCTION("""COMPUTED_VALUE"""),75.0)</f>
        <v>75</v>
      </c>
      <c r="E1860" s="2"/>
      <c r="F1860" s="2"/>
    </row>
    <row r="1861">
      <c r="A1861" s="2">
        <f>IFERROR(__xludf.DUMMYFUNCTION("""COMPUTED_VALUE"""),85881.0)</f>
        <v>85881</v>
      </c>
      <c r="B1861" s="2">
        <f>IFERROR(__xludf.DUMMYFUNCTION("""COMPUTED_VALUE"""),0.0)</f>
        <v>0</v>
      </c>
      <c r="C1861" s="2">
        <f>IFERROR(__xludf.DUMMYFUNCTION("""COMPUTED_VALUE"""),207.0)</f>
        <v>207</v>
      </c>
      <c r="D1861" s="3">
        <f>IFERROR(__xludf.DUMMYFUNCTION("""COMPUTED_VALUE"""),108.0)</f>
        <v>108</v>
      </c>
      <c r="E1861" s="2"/>
      <c r="F1861" s="2"/>
    </row>
    <row r="1862">
      <c r="A1862" s="2">
        <f>IFERROR(__xludf.DUMMYFUNCTION("""COMPUTED_VALUE"""),10655.0)</f>
        <v>10655</v>
      </c>
      <c r="B1862" s="2">
        <f>IFERROR(__xludf.DUMMYFUNCTION("""COMPUTED_VALUE"""),1.0)</f>
        <v>1</v>
      </c>
      <c r="C1862" s="2">
        <f>IFERROR(__xludf.DUMMYFUNCTION("""COMPUTED_VALUE"""),530.0)</f>
        <v>530</v>
      </c>
      <c r="D1862" s="3">
        <f>IFERROR(__xludf.DUMMYFUNCTION("""COMPUTED_VALUE"""),195.0)</f>
        <v>195</v>
      </c>
      <c r="E1862" s="2"/>
      <c r="F1862" s="2"/>
    </row>
    <row r="1863">
      <c r="A1863" s="2">
        <f>IFERROR(__xludf.DUMMYFUNCTION("""COMPUTED_VALUE"""),121606.0)</f>
        <v>121606</v>
      </c>
      <c r="B1863" s="2">
        <f>IFERROR(__xludf.DUMMYFUNCTION("""COMPUTED_VALUE"""),0.0)</f>
        <v>0</v>
      </c>
      <c r="C1863" s="2">
        <f>IFERROR(__xludf.DUMMYFUNCTION("""COMPUTED_VALUE"""),956.0)</f>
        <v>956</v>
      </c>
      <c r="D1863" s="3">
        <f>IFERROR(__xludf.DUMMYFUNCTION("""COMPUTED_VALUE"""),487.0)</f>
        <v>487</v>
      </c>
      <c r="E1863" s="2"/>
      <c r="F1863" s="2"/>
    </row>
    <row r="1864">
      <c r="A1864" s="2">
        <f>IFERROR(__xludf.DUMMYFUNCTION("""COMPUTED_VALUE"""),13341.0)</f>
        <v>13341</v>
      </c>
      <c r="B1864" s="2">
        <f>IFERROR(__xludf.DUMMYFUNCTION("""COMPUTED_VALUE"""),1.0)</f>
        <v>1</v>
      </c>
      <c r="C1864" s="2">
        <f>IFERROR(__xludf.DUMMYFUNCTION("""COMPUTED_VALUE"""),273.0)</f>
        <v>273</v>
      </c>
      <c r="D1864" s="3">
        <f>IFERROR(__xludf.DUMMYFUNCTION("""COMPUTED_VALUE"""),42.0)</f>
        <v>42</v>
      </c>
      <c r="E1864" s="2"/>
      <c r="F1864" s="2"/>
    </row>
    <row r="1865">
      <c r="A1865" s="2">
        <f>IFERROR(__xludf.DUMMYFUNCTION("""COMPUTED_VALUE"""),122631.0)</f>
        <v>122631</v>
      </c>
      <c r="B1865" s="2">
        <f>IFERROR(__xludf.DUMMYFUNCTION("""COMPUTED_VALUE"""),0.0)</f>
        <v>0</v>
      </c>
      <c r="C1865" s="2">
        <f>IFERROR(__xludf.DUMMYFUNCTION("""COMPUTED_VALUE"""),824.0)</f>
        <v>824</v>
      </c>
      <c r="D1865" s="3">
        <f>IFERROR(__xludf.DUMMYFUNCTION("""COMPUTED_VALUE"""),251.0)</f>
        <v>251</v>
      </c>
      <c r="E1865" s="2"/>
      <c r="F1865" s="2"/>
    </row>
    <row r="1866">
      <c r="A1866" s="2">
        <f>IFERROR(__xludf.DUMMYFUNCTION("""COMPUTED_VALUE"""),189132.0)</f>
        <v>189132</v>
      </c>
      <c r="B1866" s="2">
        <f>IFERROR(__xludf.DUMMYFUNCTION("""COMPUTED_VALUE"""),0.0)</f>
        <v>0</v>
      </c>
      <c r="C1866" s="2">
        <f>IFERROR(__xludf.DUMMYFUNCTION("""COMPUTED_VALUE"""),859.0)</f>
        <v>859</v>
      </c>
      <c r="D1866" s="3">
        <f>IFERROR(__xludf.DUMMYFUNCTION("""COMPUTED_VALUE"""),274.0)</f>
        <v>274</v>
      </c>
      <c r="E1866" s="2"/>
      <c r="F1866" s="2"/>
    </row>
    <row r="1867">
      <c r="A1867" s="2">
        <f>IFERROR(__xludf.DUMMYFUNCTION("""COMPUTED_VALUE"""),87876.0)</f>
        <v>87876</v>
      </c>
      <c r="B1867" s="2">
        <f>IFERROR(__xludf.DUMMYFUNCTION("""COMPUTED_VALUE"""),1.0)</f>
        <v>1</v>
      </c>
      <c r="C1867" s="2">
        <f>IFERROR(__xludf.DUMMYFUNCTION("""COMPUTED_VALUE"""),699.0)</f>
        <v>699</v>
      </c>
      <c r="D1867" s="3">
        <f>IFERROR(__xludf.DUMMYFUNCTION("""COMPUTED_VALUE"""),129.0)</f>
        <v>129</v>
      </c>
      <c r="E1867" s="2"/>
      <c r="F1867" s="2"/>
    </row>
    <row r="1868">
      <c r="A1868" s="2">
        <f>IFERROR(__xludf.DUMMYFUNCTION("""COMPUTED_VALUE"""),26094.0)</f>
        <v>26094</v>
      </c>
      <c r="B1868" s="2">
        <f>IFERROR(__xludf.DUMMYFUNCTION("""COMPUTED_VALUE"""),1.0)</f>
        <v>1</v>
      </c>
      <c r="C1868" s="2">
        <f>IFERROR(__xludf.DUMMYFUNCTION("""COMPUTED_VALUE"""),770.0)</f>
        <v>770</v>
      </c>
      <c r="D1868" s="3">
        <f>IFERROR(__xludf.DUMMYFUNCTION("""COMPUTED_VALUE"""),726.0)</f>
        <v>726</v>
      </c>
      <c r="E1868" s="2"/>
      <c r="F1868" s="2"/>
    </row>
    <row r="1869">
      <c r="A1869" s="2">
        <f>IFERROR(__xludf.DUMMYFUNCTION("""COMPUTED_VALUE"""),189129.0)</f>
        <v>189129</v>
      </c>
      <c r="B1869" s="2">
        <f>IFERROR(__xludf.DUMMYFUNCTION("""COMPUTED_VALUE"""),1.0)</f>
        <v>1</v>
      </c>
      <c r="C1869" s="2">
        <f>IFERROR(__xludf.DUMMYFUNCTION("""COMPUTED_VALUE"""),539.0)</f>
        <v>539</v>
      </c>
      <c r="D1869" s="3">
        <f>IFERROR(__xludf.DUMMYFUNCTION("""COMPUTED_VALUE"""),359.0)</f>
        <v>359</v>
      </c>
      <c r="E1869" s="2"/>
      <c r="F1869" s="2"/>
    </row>
    <row r="1870">
      <c r="A1870" s="2">
        <f>IFERROR(__xludf.DUMMYFUNCTION("""COMPUTED_VALUE"""),10654.0)</f>
        <v>10654</v>
      </c>
      <c r="B1870" s="2">
        <f>IFERROR(__xludf.DUMMYFUNCTION("""COMPUTED_VALUE"""),1.0)</f>
        <v>1</v>
      </c>
      <c r="C1870" s="2">
        <f>IFERROR(__xludf.DUMMYFUNCTION("""COMPUTED_VALUE"""),936.0)</f>
        <v>936</v>
      </c>
      <c r="D1870" s="3">
        <f>IFERROR(__xludf.DUMMYFUNCTION("""COMPUTED_VALUE"""),315.0)</f>
        <v>315</v>
      </c>
      <c r="E1870" s="2"/>
      <c r="F1870" s="2"/>
    </row>
    <row r="1871">
      <c r="A1871" s="2">
        <f>IFERROR(__xludf.DUMMYFUNCTION("""COMPUTED_VALUE"""),5754.0)</f>
        <v>5754</v>
      </c>
      <c r="B1871" s="2">
        <f>IFERROR(__xludf.DUMMYFUNCTION("""COMPUTED_VALUE"""),0.0)</f>
        <v>0</v>
      </c>
      <c r="C1871" s="2">
        <f>IFERROR(__xludf.DUMMYFUNCTION("""COMPUTED_VALUE"""),131.0)</f>
        <v>131</v>
      </c>
      <c r="D1871" s="3">
        <f>IFERROR(__xludf.DUMMYFUNCTION("""COMPUTED_VALUE"""),6.0)</f>
        <v>6</v>
      </c>
      <c r="E1871" s="2"/>
      <c r="F1871" s="2"/>
    </row>
    <row r="1872">
      <c r="A1872" s="2">
        <f>IFERROR(__xludf.DUMMYFUNCTION("""COMPUTED_VALUE"""),10648.0)</f>
        <v>10648</v>
      </c>
      <c r="B1872" s="2">
        <f>IFERROR(__xludf.DUMMYFUNCTION("""COMPUTED_VALUE"""),0.0)</f>
        <v>0</v>
      </c>
      <c r="C1872" s="2">
        <f>IFERROR(__xludf.DUMMYFUNCTION("""COMPUTED_VALUE"""),891.0)</f>
        <v>891</v>
      </c>
      <c r="D1872" s="3">
        <f>IFERROR(__xludf.DUMMYFUNCTION("""COMPUTED_VALUE"""),437.0)</f>
        <v>437</v>
      </c>
      <c r="E1872" s="2"/>
      <c r="F1872" s="2"/>
    </row>
    <row r="1873">
      <c r="A1873" s="2">
        <f>IFERROR(__xludf.DUMMYFUNCTION("""COMPUTED_VALUE"""),114947.0)</f>
        <v>114947</v>
      </c>
      <c r="B1873" s="2">
        <f>IFERROR(__xludf.DUMMYFUNCTION("""COMPUTED_VALUE"""),0.0)</f>
        <v>0</v>
      </c>
      <c r="C1873" s="2">
        <f>IFERROR(__xludf.DUMMYFUNCTION("""COMPUTED_VALUE"""),839.0)</f>
        <v>839</v>
      </c>
      <c r="D1873" s="3">
        <f>IFERROR(__xludf.DUMMYFUNCTION("""COMPUTED_VALUE"""),28.0)</f>
        <v>28</v>
      </c>
      <c r="E1873" s="2"/>
      <c r="F1873" s="2"/>
    </row>
    <row r="1874">
      <c r="A1874" s="2">
        <f>IFERROR(__xludf.DUMMYFUNCTION("""COMPUTED_VALUE"""),44728.0)</f>
        <v>44728</v>
      </c>
      <c r="B1874" s="2">
        <f>IFERROR(__xludf.DUMMYFUNCTION("""COMPUTED_VALUE"""),1.0)</f>
        <v>1</v>
      </c>
      <c r="C1874" s="2">
        <f>IFERROR(__xludf.DUMMYFUNCTION("""COMPUTED_VALUE"""),327.0)</f>
        <v>327</v>
      </c>
      <c r="D1874" s="3">
        <f>IFERROR(__xludf.DUMMYFUNCTION("""COMPUTED_VALUE"""),100.0)</f>
        <v>100</v>
      </c>
      <c r="E1874" s="2"/>
      <c r="F1874" s="2"/>
    </row>
    <row r="1875">
      <c r="A1875" s="2">
        <f>IFERROR(__xludf.DUMMYFUNCTION("""COMPUTED_VALUE"""),120709.0)</f>
        <v>120709</v>
      </c>
      <c r="B1875" s="2">
        <f>IFERROR(__xludf.DUMMYFUNCTION("""COMPUTED_VALUE"""),1.0)</f>
        <v>1</v>
      </c>
      <c r="C1875" s="2">
        <f>IFERROR(__xludf.DUMMYFUNCTION("""COMPUTED_VALUE"""),542.0)</f>
        <v>542</v>
      </c>
      <c r="D1875" s="3">
        <f>IFERROR(__xludf.DUMMYFUNCTION("""COMPUTED_VALUE"""),453.0)</f>
        <v>453</v>
      </c>
      <c r="E1875" s="2"/>
      <c r="F1875" s="2"/>
    </row>
    <row r="1876">
      <c r="A1876" s="2">
        <f>IFERROR(__xludf.DUMMYFUNCTION("""COMPUTED_VALUE"""),114949.0)</f>
        <v>114949</v>
      </c>
      <c r="B1876" s="2">
        <f>IFERROR(__xludf.DUMMYFUNCTION("""COMPUTED_VALUE"""),0.0)</f>
        <v>0</v>
      </c>
      <c r="C1876" s="2">
        <f>IFERROR(__xludf.DUMMYFUNCTION("""COMPUTED_VALUE"""),902.0)</f>
        <v>902</v>
      </c>
      <c r="D1876" s="3">
        <f>IFERROR(__xludf.DUMMYFUNCTION("""COMPUTED_VALUE"""),337.0)</f>
        <v>337</v>
      </c>
      <c r="E1876" s="2"/>
      <c r="F1876" s="2"/>
    </row>
    <row r="1877">
      <c r="A1877" s="2">
        <f>IFERROR(__xludf.DUMMYFUNCTION("""COMPUTED_VALUE"""),48706.0)</f>
        <v>48706</v>
      </c>
      <c r="B1877" s="2">
        <f>IFERROR(__xludf.DUMMYFUNCTION("""COMPUTED_VALUE"""),1.0)</f>
        <v>1</v>
      </c>
      <c r="C1877" s="2">
        <f>IFERROR(__xludf.DUMMYFUNCTION("""COMPUTED_VALUE"""),374.0)</f>
        <v>374</v>
      </c>
      <c r="D1877" s="3">
        <f>IFERROR(__xludf.DUMMYFUNCTION("""COMPUTED_VALUE"""),191.0)</f>
        <v>191</v>
      </c>
      <c r="E1877" s="2"/>
      <c r="F1877" s="2"/>
    </row>
    <row r="1878">
      <c r="A1878" s="2">
        <f>IFERROR(__xludf.DUMMYFUNCTION("""COMPUTED_VALUE"""),78411.0)</f>
        <v>78411</v>
      </c>
      <c r="B1878" s="2">
        <f>IFERROR(__xludf.DUMMYFUNCTION("""COMPUTED_VALUE"""),0.0)</f>
        <v>0</v>
      </c>
      <c r="C1878" s="2">
        <f>IFERROR(__xludf.DUMMYFUNCTION("""COMPUTED_VALUE"""),780.0)</f>
        <v>780</v>
      </c>
      <c r="D1878" s="3">
        <f>IFERROR(__xludf.DUMMYFUNCTION("""COMPUTED_VALUE"""),100.0)</f>
        <v>100</v>
      </c>
      <c r="E1878" s="2"/>
      <c r="F1878" s="2"/>
    </row>
    <row r="1879">
      <c r="A1879" s="2">
        <f>IFERROR(__xludf.DUMMYFUNCTION("""COMPUTED_VALUE"""),120016.0)</f>
        <v>120016</v>
      </c>
      <c r="B1879" s="2">
        <f>IFERROR(__xludf.DUMMYFUNCTION("""COMPUTED_VALUE"""),1.0)</f>
        <v>1</v>
      </c>
      <c r="C1879" s="2">
        <f>IFERROR(__xludf.DUMMYFUNCTION("""COMPUTED_VALUE"""),545.0)</f>
        <v>545</v>
      </c>
      <c r="D1879" s="3">
        <f>IFERROR(__xludf.DUMMYFUNCTION("""COMPUTED_VALUE"""),344.0)</f>
        <v>344</v>
      </c>
      <c r="E1879" s="2"/>
      <c r="F1879" s="2"/>
    </row>
    <row r="1880">
      <c r="A1880" s="2">
        <f>IFERROR(__xludf.DUMMYFUNCTION("""COMPUTED_VALUE"""),120710.0)</f>
        <v>120710</v>
      </c>
      <c r="B1880" s="2">
        <f>IFERROR(__xludf.DUMMYFUNCTION("""COMPUTED_VALUE"""),1.0)</f>
        <v>1</v>
      </c>
      <c r="C1880" s="2">
        <f>IFERROR(__xludf.DUMMYFUNCTION("""COMPUTED_VALUE"""),326.0)</f>
        <v>326</v>
      </c>
      <c r="D1880" s="3">
        <f>IFERROR(__xludf.DUMMYFUNCTION("""COMPUTED_VALUE"""),263.0)</f>
        <v>263</v>
      </c>
      <c r="E1880" s="2"/>
      <c r="F1880" s="2"/>
    </row>
    <row r="1881">
      <c r="A1881" s="2">
        <f>IFERROR(__xludf.DUMMYFUNCTION("""COMPUTED_VALUE"""),48705.0)</f>
        <v>48705</v>
      </c>
      <c r="B1881" s="2">
        <f>IFERROR(__xludf.DUMMYFUNCTION("""COMPUTED_VALUE"""),1.0)</f>
        <v>1</v>
      </c>
      <c r="C1881" s="2">
        <f>IFERROR(__xludf.DUMMYFUNCTION("""COMPUTED_VALUE"""),489.0)</f>
        <v>489</v>
      </c>
      <c r="D1881" s="3">
        <f>IFERROR(__xludf.DUMMYFUNCTION("""COMPUTED_VALUE"""),67.0)</f>
        <v>67</v>
      </c>
      <c r="E1881" s="2"/>
      <c r="F1881" s="2"/>
    </row>
    <row r="1882">
      <c r="A1882" s="2">
        <f>IFERROR(__xludf.DUMMYFUNCTION("""COMPUTED_VALUE"""),114948.0)</f>
        <v>114948</v>
      </c>
      <c r="B1882" s="2">
        <f>IFERROR(__xludf.DUMMYFUNCTION("""COMPUTED_VALUE"""),0.0)</f>
        <v>0</v>
      </c>
      <c r="C1882" s="2">
        <f>IFERROR(__xludf.DUMMYFUNCTION("""COMPUTED_VALUE"""),950.0)</f>
        <v>950</v>
      </c>
      <c r="D1882" s="3">
        <f>IFERROR(__xludf.DUMMYFUNCTION("""COMPUTED_VALUE"""),237.0)</f>
        <v>237</v>
      </c>
      <c r="E1882" s="2"/>
      <c r="F1882" s="2"/>
    </row>
    <row r="1883">
      <c r="A1883" s="2">
        <f>IFERROR(__xludf.DUMMYFUNCTION("""COMPUTED_VALUE"""),117330.0)</f>
        <v>117330</v>
      </c>
      <c r="B1883" s="2">
        <f>IFERROR(__xludf.DUMMYFUNCTION("""COMPUTED_VALUE"""),1.0)</f>
        <v>1</v>
      </c>
      <c r="C1883" s="2">
        <f>IFERROR(__xludf.DUMMYFUNCTION("""COMPUTED_VALUE"""),218.0)</f>
        <v>218</v>
      </c>
      <c r="D1883" s="3">
        <f>IFERROR(__xludf.DUMMYFUNCTION("""COMPUTED_VALUE"""),100.0)</f>
        <v>100</v>
      </c>
      <c r="E1883" s="2"/>
      <c r="F1883" s="2"/>
    </row>
    <row r="1884">
      <c r="A1884" s="2">
        <f>IFERROR(__xludf.DUMMYFUNCTION("""COMPUTED_VALUE"""),89665.0)</f>
        <v>89665</v>
      </c>
      <c r="B1884" s="2">
        <f>IFERROR(__xludf.DUMMYFUNCTION("""COMPUTED_VALUE"""),0.0)</f>
        <v>0</v>
      </c>
      <c r="C1884" s="2">
        <f>IFERROR(__xludf.DUMMYFUNCTION("""COMPUTED_VALUE"""),780.0)</f>
        <v>780</v>
      </c>
      <c r="D1884" s="3">
        <f>IFERROR(__xludf.DUMMYFUNCTION("""COMPUTED_VALUE"""),456.0)</f>
        <v>456</v>
      </c>
      <c r="E1884" s="2"/>
      <c r="F1884" s="2"/>
    </row>
    <row r="1885">
      <c r="A1885" s="2">
        <f>IFERROR(__xludf.DUMMYFUNCTION("""COMPUTED_VALUE"""),89450.0)</f>
        <v>89450</v>
      </c>
      <c r="B1885" s="2">
        <f>IFERROR(__xludf.DUMMYFUNCTION("""COMPUTED_VALUE"""),0.0)</f>
        <v>0</v>
      </c>
      <c r="C1885" s="2">
        <f>IFERROR(__xludf.DUMMYFUNCTION("""COMPUTED_VALUE"""),562.0)</f>
        <v>562</v>
      </c>
      <c r="D1885" s="3">
        <f>IFERROR(__xludf.DUMMYFUNCTION("""COMPUTED_VALUE"""),393.0)</f>
        <v>393</v>
      </c>
      <c r="E1885" s="2"/>
      <c r="F1885" s="2"/>
    </row>
    <row r="1886">
      <c r="A1886" s="2">
        <f>IFERROR(__xludf.DUMMYFUNCTION("""COMPUTED_VALUE"""),72080.0)</f>
        <v>72080</v>
      </c>
      <c r="B1886" s="2">
        <f>IFERROR(__xludf.DUMMYFUNCTION("""COMPUTED_VALUE"""),0.0)</f>
        <v>0</v>
      </c>
      <c r="C1886" s="2">
        <f>IFERROR(__xludf.DUMMYFUNCTION("""COMPUTED_VALUE"""),152.0)</f>
        <v>152</v>
      </c>
      <c r="D1886" s="3">
        <f>IFERROR(__xludf.DUMMYFUNCTION("""COMPUTED_VALUE"""),32.0)</f>
        <v>32</v>
      </c>
      <c r="E1886" s="2"/>
      <c r="F1886" s="2"/>
    </row>
    <row r="1887">
      <c r="A1887" s="2">
        <f>IFERROR(__xludf.DUMMYFUNCTION("""COMPUTED_VALUE"""),72086.0)</f>
        <v>72086</v>
      </c>
      <c r="B1887" s="2">
        <f>IFERROR(__xludf.DUMMYFUNCTION("""COMPUTED_VALUE"""),1.0)</f>
        <v>1</v>
      </c>
      <c r="C1887" s="2">
        <f>IFERROR(__xludf.DUMMYFUNCTION("""COMPUTED_VALUE"""),871.0)</f>
        <v>871</v>
      </c>
      <c r="D1887" s="3">
        <f>IFERROR(__xludf.DUMMYFUNCTION("""COMPUTED_VALUE"""),736.0)</f>
        <v>736</v>
      </c>
      <c r="E1887" s="2"/>
      <c r="F1887" s="2"/>
    </row>
    <row r="1888">
      <c r="A1888" s="2">
        <f>IFERROR(__xludf.DUMMYFUNCTION("""COMPUTED_VALUE"""),117076.0)</f>
        <v>117076</v>
      </c>
      <c r="B1888" s="2">
        <f>IFERROR(__xludf.DUMMYFUNCTION("""COMPUTED_VALUE"""),0.0)</f>
        <v>0</v>
      </c>
      <c r="C1888" s="2">
        <f>IFERROR(__xludf.DUMMYFUNCTION("""COMPUTED_VALUE"""),216.0)</f>
        <v>216</v>
      </c>
      <c r="D1888" s="3">
        <f>IFERROR(__xludf.DUMMYFUNCTION("""COMPUTED_VALUE"""),208.0)</f>
        <v>208</v>
      </c>
      <c r="E1888" s="2"/>
      <c r="F1888" s="2"/>
    </row>
    <row r="1889">
      <c r="A1889" s="2">
        <f>IFERROR(__xludf.DUMMYFUNCTION("""COMPUTED_VALUE"""),72081.0)</f>
        <v>72081</v>
      </c>
      <c r="B1889" s="2">
        <f>IFERROR(__xludf.DUMMYFUNCTION("""COMPUTED_VALUE"""),1.0)</f>
        <v>1</v>
      </c>
      <c r="C1889" s="2">
        <f>IFERROR(__xludf.DUMMYFUNCTION("""COMPUTED_VALUE"""),735.0)</f>
        <v>735</v>
      </c>
      <c r="D1889" s="3">
        <f>IFERROR(__xludf.DUMMYFUNCTION("""COMPUTED_VALUE"""),53.0)</f>
        <v>53</v>
      </c>
      <c r="E1889" s="2"/>
      <c r="F1889" s="2"/>
    </row>
    <row r="1890">
      <c r="A1890" s="2">
        <f>IFERROR(__xludf.DUMMYFUNCTION("""COMPUTED_VALUE"""),72088.0)</f>
        <v>72088</v>
      </c>
      <c r="B1890" s="2">
        <f>IFERROR(__xludf.DUMMYFUNCTION("""COMPUTED_VALUE"""),1.0)</f>
        <v>1</v>
      </c>
      <c r="C1890" s="2">
        <f>IFERROR(__xludf.DUMMYFUNCTION("""COMPUTED_VALUE"""),889.0)</f>
        <v>889</v>
      </c>
      <c r="D1890" s="3">
        <f>IFERROR(__xludf.DUMMYFUNCTION("""COMPUTED_VALUE"""),313.0)</f>
        <v>313</v>
      </c>
      <c r="E1890" s="2"/>
      <c r="F1890" s="2"/>
    </row>
    <row r="1891">
      <c r="A1891" s="2">
        <f>IFERROR(__xludf.DUMMYFUNCTION("""COMPUTED_VALUE"""),72078.0)</f>
        <v>72078</v>
      </c>
      <c r="B1891" s="2">
        <f>IFERROR(__xludf.DUMMYFUNCTION("""COMPUTED_VALUE"""),0.0)</f>
        <v>0</v>
      </c>
      <c r="C1891" s="2">
        <f>IFERROR(__xludf.DUMMYFUNCTION("""COMPUTED_VALUE"""),544.0)</f>
        <v>544</v>
      </c>
      <c r="D1891" s="3">
        <f>IFERROR(__xludf.DUMMYFUNCTION("""COMPUTED_VALUE"""),437.0)</f>
        <v>437</v>
      </c>
      <c r="E1891" s="2"/>
      <c r="F1891" s="2"/>
    </row>
    <row r="1892">
      <c r="A1892" s="2">
        <f>IFERROR(__xludf.DUMMYFUNCTION("""COMPUTED_VALUE"""),72085.0)</f>
        <v>72085</v>
      </c>
      <c r="B1892" s="2">
        <f>IFERROR(__xludf.DUMMYFUNCTION("""COMPUTED_VALUE"""),0.0)</f>
        <v>0</v>
      </c>
      <c r="C1892" s="2">
        <f>IFERROR(__xludf.DUMMYFUNCTION("""COMPUTED_VALUE"""),191.0)</f>
        <v>191</v>
      </c>
      <c r="D1892" s="3">
        <f>IFERROR(__xludf.DUMMYFUNCTION("""COMPUTED_VALUE"""),69.0)</f>
        <v>69</v>
      </c>
      <c r="E1892" s="2"/>
      <c r="F1892" s="2"/>
    </row>
    <row r="1893">
      <c r="A1893" s="2">
        <f>IFERROR(__xludf.DUMMYFUNCTION("""COMPUTED_VALUE"""),112204.0)</f>
        <v>112204</v>
      </c>
      <c r="B1893" s="2">
        <f>IFERROR(__xludf.DUMMYFUNCTION("""COMPUTED_VALUE"""),1.0)</f>
        <v>1</v>
      </c>
      <c r="C1893" s="2">
        <f>IFERROR(__xludf.DUMMYFUNCTION("""COMPUTED_VALUE"""),167.0)</f>
        <v>167</v>
      </c>
      <c r="D1893" s="3">
        <f>IFERROR(__xludf.DUMMYFUNCTION("""COMPUTED_VALUE"""),117.0)</f>
        <v>117</v>
      </c>
      <c r="E1893" s="2"/>
      <c r="F1893" s="2"/>
    </row>
    <row r="1894">
      <c r="A1894" s="2">
        <f>IFERROR(__xludf.DUMMYFUNCTION("""COMPUTED_VALUE"""),59138.0)</f>
        <v>59138</v>
      </c>
      <c r="B1894" s="2">
        <f>IFERROR(__xludf.DUMMYFUNCTION("""COMPUTED_VALUE"""),1.0)</f>
        <v>1</v>
      </c>
      <c r="C1894" s="2">
        <f>IFERROR(__xludf.DUMMYFUNCTION("""COMPUTED_VALUE"""),221.0)</f>
        <v>221</v>
      </c>
      <c r="D1894" s="3">
        <f>IFERROR(__xludf.DUMMYFUNCTION("""COMPUTED_VALUE"""),89.0)</f>
        <v>89</v>
      </c>
      <c r="E1894" s="2"/>
      <c r="F1894" s="2"/>
    </row>
    <row r="1895">
      <c r="A1895" s="2">
        <f>IFERROR(__xludf.DUMMYFUNCTION("""COMPUTED_VALUE"""),72074.0)</f>
        <v>72074</v>
      </c>
      <c r="B1895" s="2">
        <f>IFERROR(__xludf.DUMMYFUNCTION("""COMPUTED_VALUE"""),0.0)</f>
        <v>0</v>
      </c>
      <c r="C1895" s="2">
        <f>IFERROR(__xludf.DUMMYFUNCTION("""COMPUTED_VALUE"""),661.0)</f>
        <v>661</v>
      </c>
      <c r="D1895" s="3">
        <f>IFERROR(__xludf.DUMMYFUNCTION("""COMPUTED_VALUE"""),86.0)</f>
        <v>86</v>
      </c>
      <c r="E1895" s="2"/>
      <c r="F1895" s="2"/>
    </row>
    <row r="1896">
      <c r="A1896" s="2">
        <f>IFERROR(__xludf.DUMMYFUNCTION("""COMPUTED_VALUE"""),72096.0)</f>
        <v>72096</v>
      </c>
      <c r="B1896" s="2">
        <f>IFERROR(__xludf.DUMMYFUNCTION("""COMPUTED_VALUE"""),1.0)</f>
        <v>1</v>
      </c>
      <c r="C1896" s="2">
        <f>IFERROR(__xludf.DUMMYFUNCTION("""COMPUTED_VALUE"""),952.0)</f>
        <v>952</v>
      </c>
      <c r="D1896" s="3">
        <f>IFERROR(__xludf.DUMMYFUNCTION("""COMPUTED_VALUE"""),139.0)</f>
        <v>139</v>
      </c>
      <c r="E1896" s="2"/>
      <c r="F1896" s="2"/>
    </row>
    <row r="1897">
      <c r="A1897" s="2">
        <f>IFERROR(__xludf.DUMMYFUNCTION("""COMPUTED_VALUE"""),72099.0)</f>
        <v>72099</v>
      </c>
      <c r="B1897" s="2">
        <f>IFERROR(__xludf.DUMMYFUNCTION("""COMPUTED_VALUE"""),1.0)</f>
        <v>1</v>
      </c>
      <c r="C1897" s="2">
        <f>IFERROR(__xludf.DUMMYFUNCTION("""COMPUTED_VALUE"""),717.0)</f>
        <v>717</v>
      </c>
      <c r="D1897" s="3">
        <f>IFERROR(__xludf.DUMMYFUNCTION("""COMPUTED_VALUE"""),66.0)</f>
        <v>66</v>
      </c>
      <c r="E1897" s="2"/>
      <c r="F1897" s="2"/>
    </row>
    <row r="1898">
      <c r="A1898" s="2">
        <f>IFERROR(__xludf.DUMMYFUNCTION("""COMPUTED_VALUE"""),89451.0)</f>
        <v>89451</v>
      </c>
      <c r="B1898" s="2">
        <f>IFERROR(__xludf.DUMMYFUNCTION("""COMPUTED_VALUE"""),0.0)</f>
        <v>0</v>
      </c>
      <c r="C1898" s="2">
        <f>IFERROR(__xludf.DUMMYFUNCTION("""COMPUTED_VALUE"""),730.0)</f>
        <v>730</v>
      </c>
      <c r="D1898" s="3">
        <f>IFERROR(__xludf.DUMMYFUNCTION("""COMPUTED_VALUE"""),114.0)</f>
        <v>114</v>
      </c>
      <c r="E1898" s="2"/>
      <c r="F1898" s="2"/>
    </row>
    <row r="1899">
      <c r="A1899" s="2">
        <f>IFERROR(__xludf.DUMMYFUNCTION("""COMPUTED_VALUE"""),29606.0)</f>
        <v>29606</v>
      </c>
      <c r="B1899" s="2">
        <f>IFERROR(__xludf.DUMMYFUNCTION("""COMPUTED_VALUE"""),0.0)</f>
        <v>0</v>
      </c>
      <c r="C1899" s="2">
        <f>IFERROR(__xludf.DUMMYFUNCTION("""COMPUTED_VALUE"""),522.0)</f>
        <v>522</v>
      </c>
      <c r="D1899" s="3">
        <f>IFERROR(__xludf.DUMMYFUNCTION("""COMPUTED_VALUE"""),276.0)</f>
        <v>276</v>
      </c>
      <c r="E1899" s="2"/>
      <c r="F1899" s="2"/>
    </row>
    <row r="1900">
      <c r="A1900" s="2">
        <f>IFERROR(__xludf.DUMMYFUNCTION("""COMPUTED_VALUE"""),72089.0)</f>
        <v>72089</v>
      </c>
      <c r="B1900" s="2">
        <f>IFERROR(__xludf.DUMMYFUNCTION("""COMPUTED_VALUE"""),1.0)</f>
        <v>1</v>
      </c>
      <c r="C1900" s="2">
        <f>IFERROR(__xludf.DUMMYFUNCTION("""COMPUTED_VALUE"""),336.0)</f>
        <v>336</v>
      </c>
      <c r="D1900" s="3">
        <f>IFERROR(__xludf.DUMMYFUNCTION("""COMPUTED_VALUE"""),294.0)</f>
        <v>294</v>
      </c>
      <c r="E1900" s="2"/>
      <c r="F1900" s="2"/>
    </row>
    <row r="1901">
      <c r="A1901" s="2">
        <f>IFERROR(__xludf.DUMMYFUNCTION("""COMPUTED_VALUE"""),29601.0)</f>
        <v>29601</v>
      </c>
      <c r="B1901" s="2">
        <f>IFERROR(__xludf.DUMMYFUNCTION("""COMPUTED_VALUE"""),1.0)</f>
        <v>1</v>
      </c>
      <c r="C1901" s="2">
        <f>IFERROR(__xludf.DUMMYFUNCTION("""COMPUTED_VALUE"""),609.0)</f>
        <v>609</v>
      </c>
      <c r="D1901" s="3">
        <f>IFERROR(__xludf.DUMMYFUNCTION("""COMPUTED_VALUE"""),417.0)</f>
        <v>417</v>
      </c>
      <c r="E1901" s="2"/>
      <c r="F1901" s="2"/>
    </row>
    <row r="1902">
      <c r="A1902" s="2">
        <f>IFERROR(__xludf.DUMMYFUNCTION("""COMPUTED_VALUE"""),50372.0)</f>
        <v>50372</v>
      </c>
      <c r="B1902" s="2">
        <f>IFERROR(__xludf.DUMMYFUNCTION("""COMPUTED_VALUE"""),1.0)</f>
        <v>1</v>
      </c>
      <c r="C1902" s="2">
        <f>IFERROR(__xludf.DUMMYFUNCTION("""COMPUTED_VALUE"""),125.0)</f>
        <v>125</v>
      </c>
      <c r="D1902" s="3">
        <f>IFERROR(__xludf.DUMMYFUNCTION("""COMPUTED_VALUE"""),66.0)</f>
        <v>66</v>
      </c>
      <c r="E1902" s="2"/>
      <c r="F1902" s="2"/>
    </row>
    <row r="1903">
      <c r="A1903" s="2">
        <f>IFERROR(__xludf.DUMMYFUNCTION("""COMPUTED_VALUE"""),89452.0)</f>
        <v>89452</v>
      </c>
      <c r="B1903" s="2">
        <f>IFERROR(__xludf.DUMMYFUNCTION("""COMPUTED_VALUE"""),0.0)</f>
        <v>0</v>
      </c>
      <c r="C1903" s="2">
        <f>IFERROR(__xludf.DUMMYFUNCTION("""COMPUTED_VALUE"""),882.0)</f>
        <v>882</v>
      </c>
      <c r="D1903" s="3">
        <f>IFERROR(__xludf.DUMMYFUNCTION("""COMPUTED_VALUE"""),203.0)</f>
        <v>203</v>
      </c>
      <c r="E1903" s="2"/>
      <c r="F1903" s="2"/>
    </row>
    <row r="1904">
      <c r="A1904" s="2">
        <f>IFERROR(__xludf.DUMMYFUNCTION("""COMPUTED_VALUE"""),156019.0)</f>
        <v>156019</v>
      </c>
      <c r="B1904" s="2">
        <f>IFERROR(__xludf.DUMMYFUNCTION("""COMPUTED_VALUE"""),0.0)</f>
        <v>0</v>
      </c>
      <c r="C1904" s="2">
        <f>IFERROR(__xludf.DUMMYFUNCTION("""COMPUTED_VALUE"""),207.0)</f>
        <v>207</v>
      </c>
      <c r="D1904" s="3">
        <f>IFERROR(__xludf.DUMMYFUNCTION("""COMPUTED_VALUE"""),53.0)</f>
        <v>53</v>
      </c>
      <c r="E1904" s="2"/>
      <c r="F1904" s="2"/>
    </row>
    <row r="1905">
      <c r="A1905" s="2">
        <f>IFERROR(__xludf.DUMMYFUNCTION("""COMPUTED_VALUE"""),117705.0)</f>
        <v>117705</v>
      </c>
      <c r="B1905" s="2">
        <f>IFERROR(__xludf.DUMMYFUNCTION("""COMPUTED_VALUE"""),1.0)</f>
        <v>1</v>
      </c>
      <c r="C1905" s="2">
        <f>IFERROR(__xludf.DUMMYFUNCTION("""COMPUTED_VALUE"""),727.0)</f>
        <v>727</v>
      </c>
      <c r="D1905" s="3">
        <f>IFERROR(__xludf.DUMMYFUNCTION("""COMPUTED_VALUE"""),337.0)</f>
        <v>337</v>
      </c>
      <c r="E1905" s="2"/>
      <c r="F1905" s="2"/>
    </row>
    <row r="1906">
      <c r="A1906" s="2">
        <f>IFERROR(__xludf.DUMMYFUNCTION("""COMPUTED_VALUE"""),121184.0)</f>
        <v>121184</v>
      </c>
      <c r="B1906" s="2">
        <f>IFERROR(__xludf.DUMMYFUNCTION("""COMPUTED_VALUE"""),1.0)</f>
        <v>1</v>
      </c>
      <c r="C1906" s="2">
        <f>IFERROR(__xludf.DUMMYFUNCTION("""COMPUTED_VALUE"""),43.0)</f>
        <v>43</v>
      </c>
      <c r="D1906" s="3">
        <f>IFERROR(__xludf.DUMMYFUNCTION("""COMPUTED_VALUE"""),43.0)</f>
        <v>43</v>
      </c>
      <c r="E1906" s="2"/>
      <c r="F1906" s="2"/>
    </row>
    <row r="1907">
      <c r="A1907" s="2">
        <f>IFERROR(__xludf.DUMMYFUNCTION("""COMPUTED_VALUE"""),89446.0)</f>
        <v>89446</v>
      </c>
      <c r="B1907" s="2">
        <f>IFERROR(__xludf.DUMMYFUNCTION("""COMPUTED_VALUE"""),1.0)</f>
        <v>1</v>
      </c>
      <c r="C1907" s="2">
        <f>IFERROR(__xludf.DUMMYFUNCTION("""COMPUTED_VALUE"""),191.0)</f>
        <v>191</v>
      </c>
      <c r="D1907" s="3">
        <f>IFERROR(__xludf.DUMMYFUNCTION("""COMPUTED_VALUE"""),90.0)</f>
        <v>90</v>
      </c>
      <c r="E1907" s="2"/>
      <c r="F1907" s="2"/>
    </row>
    <row r="1908">
      <c r="A1908" s="2">
        <f>IFERROR(__xludf.DUMMYFUNCTION("""COMPUTED_VALUE"""),102339.0)</f>
        <v>102339</v>
      </c>
      <c r="B1908" s="2">
        <f>IFERROR(__xludf.DUMMYFUNCTION("""COMPUTED_VALUE"""),0.0)</f>
        <v>0</v>
      </c>
      <c r="C1908" s="2">
        <f>IFERROR(__xludf.DUMMYFUNCTION("""COMPUTED_VALUE"""),595.0)</f>
        <v>595</v>
      </c>
      <c r="D1908" s="3">
        <f>IFERROR(__xludf.DUMMYFUNCTION("""COMPUTED_VALUE"""),233.0)</f>
        <v>233</v>
      </c>
      <c r="E1908" s="2"/>
      <c r="F1908" s="2"/>
    </row>
    <row r="1909">
      <c r="A1909" s="2">
        <f>IFERROR(__xludf.DUMMYFUNCTION("""COMPUTED_VALUE"""),121193.0)</f>
        <v>121193</v>
      </c>
      <c r="B1909" s="2">
        <f>IFERROR(__xludf.DUMMYFUNCTION("""COMPUTED_VALUE"""),1.0)</f>
        <v>1</v>
      </c>
      <c r="C1909" s="2">
        <f>IFERROR(__xludf.DUMMYFUNCTION("""COMPUTED_VALUE"""),183.0)</f>
        <v>183</v>
      </c>
      <c r="D1909" s="3">
        <f>IFERROR(__xludf.DUMMYFUNCTION("""COMPUTED_VALUE"""),10.0)</f>
        <v>10</v>
      </c>
      <c r="E1909" s="2"/>
      <c r="F1909" s="2"/>
    </row>
    <row r="1910">
      <c r="A1910" s="2">
        <f>IFERROR(__xludf.DUMMYFUNCTION("""COMPUTED_VALUE"""),102332.0)</f>
        <v>102332</v>
      </c>
      <c r="B1910" s="2">
        <f>IFERROR(__xludf.DUMMYFUNCTION("""COMPUTED_VALUE"""),1.0)</f>
        <v>1</v>
      </c>
      <c r="C1910" s="2">
        <f>IFERROR(__xludf.DUMMYFUNCTION("""COMPUTED_VALUE"""),437.0)</f>
        <v>437</v>
      </c>
      <c r="D1910" s="3">
        <f>IFERROR(__xludf.DUMMYFUNCTION("""COMPUTED_VALUE"""),359.0)</f>
        <v>359</v>
      </c>
      <c r="E1910" s="2"/>
      <c r="F1910" s="2"/>
    </row>
    <row r="1911">
      <c r="A1911" s="2">
        <f>IFERROR(__xludf.DUMMYFUNCTION("""COMPUTED_VALUE"""),121775.0)</f>
        <v>121775</v>
      </c>
      <c r="B1911" s="2">
        <f>IFERROR(__xludf.DUMMYFUNCTION("""COMPUTED_VALUE"""),1.0)</f>
        <v>1</v>
      </c>
      <c r="C1911" s="2">
        <f>IFERROR(__xludf.DUMMYFUNCTION("""COMPUTED_VALUE"""),202.0)</f>
        <v>202</v>
      </c>
      <c r="D1911" s="3">
        <f>IFERROR(__xludf.DUMMYFUNCTION("""COMPUTED_VALUE"""),185.0)</f>
        <v>185</v>
      </c>
      <c r="E1911" s="2"/>
      <c r="F1911" s="2"/>
    </row>
    <row r="1912">
      <c r="A1912" s="2">
        <f>IFERROR(__xludf.DUMMYFUNCTION("""COMPUTED_VALUE"""),100903.0)</f>
        <v>100903</v>
      </c>
      <c r="B1912" s="2">
        <f>IFERROR(__xludf.DUMMYFUNCTION("""COMPUTED_VALUE"""),0.0)</f>
        <v>0</v>
      </c>
      <c r="C1912" s="2">
        <f>IFERROR(__xludf.DUMMYFUNCTION("""COMPUTED_VALUE"""),509.0)</f>
        <v>509</v>
      </c>
      <c r="D1912" s="3">
        <f>IFERROR(__xludf.DUMMYFUNCTION("""COMPUTED_VALUE"""),9.0)</f>
        <v>9</v>
      </c>
      <c r="E1912" s="2"/>
      <c r="F1912" s="2"/>
    </row>
    <row r="1913">
      <c r="A1913" s="2">
        <f>IFERROR(__xludf.DUMMYFUNCTION("""COMPUTED_VALUE"""),81463.0)</f>
        <v>81463</v>
      </c>
      <c r="B1913" s="2">
        <f>IFERROR(__xludf.DUMMYFUNCTION("""COMPUTED_VALUE"""),1.0)</f>
        <v>1</v>
      </c>
      <c r="C1913" s="2">
        <f>IFERROR(__xludf.DUMMYFUNCTION("""COMPUTED_VALUE"""),951.0)</f>
        <v>951</v>
      </c>
      <c r="D1913" s="3">
        <f>IFERROR(__xludf.DUMMYFUNCTION("""COMPUTED_VALUE"""),880.0)</f>
        <v>880</v>
      </c>
      <c r="E1913" s="2"/>
      <c r="F1913" s="2"/>
    </row>
    <row r="1914">
      <c r="A1914" s="2">
        <f>IFERROR(__xludf.DUMMYFUNCTION("""COMPUTED_VALUE"""),75788.0)</f>
        <v>75788</v>
      </c>
      <c r="B1914" s="2">
        <f>IFERROR(__xludf.DUMMYFUNCTION("""COMPUTED_VALUE"""),0.0)</f>
        <v>0</v>
      </c>
      <c r="C1914" s="2">
        <f>IFERROR(__xludf.DUMMYFUNCTION("""COMPUTED_VALUE"""),494.0)</f>
        <v>494</v>
      </c>
      <c r="D1914" s="3">
        <f>IFERROR(__xludf.DUMMYFUNCTION("""COMPUTED_VALUE"""),262.0)</f>
        <v>262</v>
      </c>
      <c r="E1914" s="2"/>
      <c r="F1914" s="2"/>
    </row>
    <row r="1915">
      <c r="A1915" s="2">
        <f>IFERROR(__xludf.DUMMYFUNCTION("""COMPUTED_VALUE"""),121185.0)</f>
        <v>121185</v>
      </c>
      <c r="B1915" s="2">
        <f>IFERROR(__xludf.DUMMYFUNCTION("""COMPUTED_VALUE"""),0.0)</f>
        <v>0</v>
      </c>
      <c r="C1915" s="2">
        <f>IFERROR(__xludf.DUMMYFUNCTION("""COMPUTED_VALUE"""),454.0)</f>
        <v>454</v>
      </c>
      <c r="D1915" s="3">
        <f>IFERROR(__xludf.DUMMYFUNCTION("""COMPUTED_VALUE"""),324.0)</f>
        <v>324</v>
      </c>
      <c r="E1915" s="2"/>
      <c r="F1915" s="2"/>
    </row>
    <row r="1916">
      <c r="A1916" s="2">
        <f>IFERROR(__xludf.DUMMYFUNCTION("""COMPUTED_VALUE"""),89440.0)</f>
        <v>89440</v>
      </c>
      <c r="B1916" s="2">
        <f>IFERROR(__xludf.DUMMYFUNCTION("""COMPUTED_VALUE"""),0.0)</f>
        <v>0</v>
      </c>
      <c r="C1916" s="2">
        <f>IFERROR(__xludf.DUMMYFUNCTION("""COMPUTED_VALUE"""),559.0)</f>
        <v>559</v>
      </c>
      <c r="D1916" s="3">
        <f>IFERROR(__xludf.DUMMYFUNCTION("""COMPUTED_VALUE"""),133.0)</f>
        <v>133</v>
      </c>
      <c r="E1916" s="2"/>
      <c r="F1916" s="2"/>
    </row>
    <row r="1917">
      <c r="A1917" s="2">
        <f>IFERROR(__xludf.DUMMYFUNCTION("""COMPUTED_VALUE"""),103058.0)</f>
        <v>103058</v>
      </c>
      <c r="B1917" s="2">
        <f>IFERROR(__xludf.DUMMYFUNCTION("""COMPUTED_VALUE"""),0.0)</f>
        <v>0</v>
      </c>
      <c r="C1917" s="2">
        <f>IFERROR(__xludf.DUMMYFUNCTION("""COMPUTED_VALUE"""),778.0)</f>
        <v>778</v>
      </c>
      <c r="D1917" s="3">
        <f>IFERROR(__xludf.DUMMYFUNCTION("""COMPUTED_VALUE"""),152.0)</f>
        <v>152</v>
      </c>
      <c r="E1917" s="2"/>
      <c r="F1917" s="2"/>
    </row>
    <row r="1918">
      <c r="A1918" s="2">
        <f>IFERROR(__xludf.DUMMYFUNCTION("""COMPUTED_VALUE"""),117716.0)</f>
        <v>117716</v>
      </c>
      <c r="B1918" s="2">
        <f>IFERROR(__xludf.DUMMYFUNCTION("""COMPUTED_VALUE"""),0.0)</f>
        <v>0</v>
      </c>
      <c r="C1918" s="2">
        <f>IFERROR(__xludf.DUMMYFUNCTION("""COMPUTED_VALUE"""),172.0)</f>
        <v>172</v>
      </c>
      <c r="D1918" s="3">
        <f>IFERROR(__xludf.DUMMYFUNCTION("""COMPUTED_VALUE"""),116.0)</f>
        <v>116</v>
      </c>
      <c r="E1918" s="2"/>
      <c r="F1918" s="2"/>
    </row>
    <row r="1919">
      <c r="A1919" s="2">
        <f>IFERROR(__xludf.DUMMYFUNCTION("""COMPUTED_VALUE"""),71287.0)</f>
        <v>71287</v>
      </c>
      <c r="B1919" s="2">
        <f>IFERROR(__xludf.DUMMYFUNCTION("""COMPUTED_VALUE"""),0.0)</f>
        <v>0</v>
      </c>
      <c r="C1919" s="2">
        <f>IFERROR(__xludf.DUMMYFUNCTION("""COMPUTED_VALUE"""),429.0)</f>
        <v>429</v>
      </c>
      <c r="D1919" s="3">
        <f>IFERROR(__xludf.DUMMYFUNCTION("""COMPUTED_VALUE"""),195.0)</f>
        <v>195</v>
      </c>
      <c r="E1919" s="2"/>
      <c r="F1919" s="2"/>
    </row>
    <row r="1920">
      <c r="A1920" s="2">
        <f>IFERROR(__xludf.DUMMYFUNCTION("""COMPUTED_VALUE"""),110685.0)</f>
        <v>110685</v>
      </c>
      <c r="B1920" s="2">
        <f>IFERROR(__xludf.DUMMYFUNCTION("""COMPUTED_VALUE"""),1.0)</f>
        <v>1</v>
      </c>
      <c r="C1920" s="2">
        <f>IFERROR(__xludf.DUMMYFUNCTION("""COMPUTED_VALUE"""),511.0)</f>
        <v>511</v>
      </c>
      <c r="D1920" s="3">
        <f>IFERROR(__xludf.DUMMYFUNCTION("""COMPUTED_VALUE"""),292.0)</f>
        <v>292</v>
      </c>
      <c r="E1920" s="2"/>
      <c r="F1920" s="2"/>
    </row>
    <row r="1921">
      <c r="A1921" s="2">
        <f>IFERROR(__xludf.DUMMYFUNCTION("""COMPUTED_VALUE"""),79335.0)</f>
        <v>79335</v>
      </c>
      <c r="B1921" s="2">
        <f>IFERROR(__xludf.DUMMYFUNCTION("""COMPUTED_VALUE"""),0.0)</f>
        <v>0</v>
      </c>
      <c r="C1921" s="2">
        <f>IFERROR(__xludf.DUMMYFUNCTION("""COMPUTED_VALUE"""),94.0)</f>
        <v>94</v>
      </c>
      <c r="D1921" s="3">
        <f>IFERROR(__xludf.DUMMYFUNCTION("""COMPUTED_VALUE"""),66.0)</f>
        <v>66</v>
      </c>
      <c r="E1921" s="2"/>
      <c r="F1921" s="2"/>
    </row>
    <row r="1922">
      <c r="A1922" s="2">
        <f>IFERROR(__xludf.DUMMYFUNCTION("""COMPUTED_VALUE"""),45538.0)</f>
        <v>45538</v>
      </c>
      <c r="B1922" s="2">
        <f>IFERROR(__xludf.DUMMYFUNCTION("""COMPUTED_VALUE"""),0.0)</f>
        <v>0</v>
      </c>
      <c r="C1922" s="2">
        <f>IFERROR(__xludf.DUMMYFUNCTION("""COMPUTED_VALUE"""),425.0)</f>
        <v>425</v>
      </c>
      <c r="D1922" s="3">
        <f>IFERROR(__xludf.DUMMYFUNCTION("""COMPUTED_VALUE"""),224.0)</f>
        <v>224</v>
      </c>
      <c r="E1922" s="2"/>
      <c r="F1922" s="2"/>
    </row>
    <row r="1923">
      <c r="A1923" s="2">
        <f>IFERROR(__xludf.DUMMYFUNCTION("""COMPUTED_VALUE"""),76691.0)</f>
        <v>76691</v>
      </c>
      <c r="B1923" s="2">
        <f>IFERROR(__xludf.DUMMYFUNCTION("""COMPUTED_VALUE"""),1.0)</f>
        <v>1</v>
      </c>
      <c r="C1923" s="2">
        <f>IFERROR(__xludf.DUMMYFUNCTION("""COMPUTED_VALUE"""),543.0)</f>
        <v>543</v>
      </c>
      <c r="D1923" s="3">
        <f>IFERROR(__xludf.DUMMYFUNCTION("""COMPUTED_VALUE"""),321.0)</f>
        <v>321</v>
      </c>
      <c r="E1923" s="2"/>
      <c r="F1923" s="2"/>
    </row>
    <row r="1924">
      <c r="A1924" s="2">
        <f>IFERROR(__xludf.DUMMYFUNCTION("""COMPUTED_VALUE"""),2336.0)</f>
        <v>2336</v>
      </c>
      <c r="B1924" s="2">
        <f>IFERROR(__xludf.DUMMYFUNCTION("""COMPUTED_VALUE"""),0.0)</f>
        <v>0</v>
      </c>
      <c r="C1924" s="2">
        <f>IFERROR(__xludf.DUMMYFUNCTION("""COMPUTED_VALUE"""),239.0)</f>
        <v>239</v>
      </c>
      <c r="D1924" s="3">
        <f>IFERROR(__xludf.DUMMYFUNCTION("""COMPUTED_VALUE"""),62.0)</f>
        <v>62</v>
      </c>
      <c r="E1924" s="2"/>
      <c r="F1924" s="2"/>
    </row>
    <row r="1925">
      <c r="A1925" s="2">
        <f>IFERROR(__xludf.DUMMYFUNCTION("""COMPUTED_VALUE"""),91912.0)</f>
        <v>91912</v>
      </c>
      <c r="B1925" s="2">
        <f>IFERROR(__xludf.DUMMYFUNCTION("""COMPUTED_VALUE"""),0.0)</f>
        <v>0</v>
      </c>
      <c r="C1925" s="2">
        <f>IFERROR(__xludf.DUMMYFUNCTION("""COMPUTED_VALUE"""),106.0)</f>
        <v>106</v>
      </c>
      <c r="D1925" s="3">
        <f>IFERROR(__xludf.DUMMYFUNCTION("""COMPUTED_VALUE"""),31.0)</f>
        <v>31</v>
      </c>
      <c r="E1925" s="2"/>
      <c r="F1925" s="2"/>
    </row>
    <row r="1926">
      <c r="A1926" s="2">
        <f>IFERROR(__xludf.DUMMYFUNCTION("""COMPUTED_VALUE"""),110826.0)</f>
        <v>110826</v>
      </c>
      <c r="B1926" s="2">
        <f>IFERROR(__xludf.DUMMYFUNCTION("""COMPUTED_VALUE"""),0.0)</f>
        <v>0</v>
      </c>
      <c r="C1926" s="2">
        <f>IFERROR(__xludf.DUMMYFUNCTION("""COMPUTED_VALUE"""),196.0)</f>
        <v>196</v>
      </c>
      <c r="D1926" s="3">
        <f>IFERROR(__xludf.DUMMYFUNCTION("""COMPUTED_VALUE"""),26.0)</f>
        <v>26</v>
      </c>
      <c r="E1926" s="2"/>
      <c r="F1926" s="2"/>
    </row>
    <row r="1927">
      <c r="A1927" s="2">
        <f>IFERROR(__xludf.DUMMYFUNCTION("""COMPUTED_VALUE"""),117710.0)</f>
        <v>117710</v>
      </c>
      <c r="B1927" s="2">
        <f>IFERROR(__xludf.DUMMYFUNCTION("""COMPUTED_VALUE"""),1.0)</f>
        <v>1</v>
      </c>
      <c r="C1927" s="2">
        <f>IFERROR(__xludf.DUMMYFUNCTION("""COMPUTED_VALUE"""),479.0)</f>
        <v>479</v>
      </c>
      <c r="D1927" s="3">
        <f>IFERROR(__xludf.DUMMYFUNCTION("""COMPUTED_VALUE"""),212.0)</f>
        <v>212</v>
      </c>
      <c r="E1927" s="2"/>
      <c r="F1927" s="2"/>
    </row>
    <row r="1928">
      <c r="A1928" s="2">
        <f>IFERROR(__xludf.DUMMYFUNCTION("""COMPUTED_VALUE"""),3621.0)</f>
        <v>3621</v>
      </c>
      <c r="B1928" s="2">
        <f>IFERROR(__xludf.DUMMYFUNCTION("""COMPUTED_VALUE"""),0.0)</f>
        <v>0</v>
      </c>
      <c r="C1928" s="2">
        <f>IFERROR(__xludf.DUMMYFUNCTION("""COMPUTED_VALUE"""),745.0)</f>
        <v>745</v>
      </c>
      <c r="D1928" s="3">
        <f>IFERROR(__xludf.DUMMYFUNCTION("""COMPUTED_VALUE"""),353.0)</f>
        <v>353</v>
      </c>
      <c r="E1928" s="2"/>
      <c r="F1928" s="2"/>
    </row>
    <row r="1929">
      <c r="A1929" s="2">
        <f>IFERROR(__xludf.DUMMYFUNCTION("""COMPUTED_VALUE"""),4179.0)</f>
        <v>4179</v>
      </c>
      <c r="B1929" s="2">
        <f>IFERROR(__xludf.DUMMYFUNCTION("""COMPUTED_VALUE"""),1.0)</f>
        <v>1</v>
      </c>
      <c r="C1929" s="2">
        <f>IFERROR(__xludf.DUMMYFUNCTION("""COMPUTED_VALUE"""),534.0)</f>
        <v>534</v>
      </c>
      <c r="D1929" s="3">
        <f>IFERROR(__xludf.DUMMYFUNCTION("""COMPUTED_VALUE"""),246.0)</f>
        <v>246</v>
      </c>
      <c r="E1929" s="2"/>
      <c r="F1929" s="2"/>
    </row>
    <row r="1930">
      <c r="A1930" s="2">
        <f>IFERROR(__xludf.DUMMYFUNCTION("""COMPUTED_VALUE"""),89407.0)</f>
        <v>89407</v>
      </c>
      <c r="B1930" s="2">
        <f>IFERROR(__xludf.DUMMYFUNCTION("""COMPUTED_VALUE"""),1.0)</f>
        <v>1</v>
      </c>
      <c r="C1930" s="2">
        <f>IFERROR(__xludf.DUMMYFUNCTION("""COMPUTED_VALUE"""),230.0)</f>
        <v>230</v>
      </c>
      <c r="D1930" s="3">
        <f>IFERROR(__xludf.DUMMYFUNCTION("""COMPUTED_VALUE"""),211.0)</f>
        <v>211</v>
      </c>
      <c r="E1930" s="2"/>
      <c r="F1930" s="2"/>
    </row>
    <row r="1931">
      <c r="A1931" s="2">
        <f>IFERROR(__xludf.DUMMYFUNCTION("""COMPUTED_VALUE"""),121190.0)</f>
        <v>121190</v>
      </c>
      <c r="B1931" s="2">
        <f>IFERROR(__xludf.DUMMYFUNCTION("""COMPUTED_VALUE"""),1.0)</f>
        <v>1</v>
      </c>
      <c r="C1931" s="2">
        <f>IFERROR(__xludf.DUMMYFUNCTION("""COMPUTED_VALUE"""),204.0)</f>
        <v>204</v>
      </c>
      <c r="D1931" s="3">
        <f>IFERROR(__xludf.DUMMYFUNCTION("""COMPUTED_VALUE"""),172.0)</f>
        <v>172</v>
      </c>
      <c r="E1931" s="2"/>
      <c r="F1931" s="2"/>
    </row>
    <row r="1932">
      <c r="A1932" s="2">
        <f>IFERROR(__xludf.DUMMYFUNCTION("""COMPUTED_VALUE"""),45524.0)</f>
        <v>45524</v>
      </c>
      <c r="B1932" s="2">
        <f>IFERROR(__xludf.DUMMYFUNCTION("""COMPUTED_VALUE"""),1.0)</f>
        <v>1</v>
      </c>
      <c r="C1932" s="2">
        <f>IFERROR(__xludf.DUMMYFUNCTION("""COMPUTED_VALUE"""),342.0)</f>
        <v>342</v>
      </c>
      <c r="D1932" s="3">
        <f>IFERROR(__xludf.DUMMYFUNCTION("""COMPUTED_VALUE"""),140.0)</f>
        <v>140</v>
      </c>
      <c r="E1932" s="2"/>
      <c r="F1932" s="2"/>
    </row>
    <row r="1933">
      <c r="A1933" s="2">
        <f>IFERROR(__xludf.DUMMYFUNCTION("""COMPUTED_VALUE"""),3634.0)</f>
        <v>3634</v>
      </c>
      <c r="B1933" s="2">
        <f>IFERROR(__xludf.DUMMYFUNCTION("""COMPUTED_VALUE"""),0.0)</f>
        <v>0</v>
      </c>
      <c r="C1933" s="2">
        <f>IFERROR(__xludf.DUMMYFUNCTION("""COMPUTED_VALUE"""),871.0)</f>
        <v>871</v>
      </c>
      <c r="D1933" s="3">
        <f>IFERROR(__xludf.DUMMYFUNCTION("""COMPUTED_VALUE"""),397.0)</f>
        <v>397</v>
      </c>
      <c r="E1933" s="2"/>
      <c r="F1933" s="2"/>
    </row>
    <row r="1934">
      <c r="A1934" s="2">
        <f>IFERROR(__xludf.DUMMYFUNCTION("""COMPUTED_VALUE"""),104327.0)</f>
        <v>104327</v>
      </c>
      <c r="B1934" s="2">
        <f>IFERROR(__xludf.DUMMYFUNCTION("""COMPUTED_VALUE"""),0.0)</f>
        <v>0</v>
      </c>
      <c r="C1934" s="2">
        <f>IFERROR(__xludf.DUMMYFUNCTION("""COMPUTED_VALUE"""),170.0)</f>
        <v>170</v>
      </c>
      <c r="D1934" s="3">
        <f>IFERROR(__xludf.DUMMYFUNCTION("""COMPUTED_VALUE"""),50.0)</f>
        <v>50</v>
      </c>
      <c r="E1934" s="2"/>
      <c r="F1934" s="2"/>
    </row>
    <row r="1935">
      <c r="A1935" s="2">
        <f>IFERROR(__xludf.DUMMYFUNCTION("""COMPUTED_VALUE"""),71282.0)</f>
        <v>71282</v>
      </c>
      <c r="B1935" s="2">
        <f>IFERROR(__xludf.DUMMYFUNCTION("""COMPUTED_VALUE"""),1.0)</f>
        <v>1</v>
      </c>
      <c r="C1935" s="2">
        <f>IFERROR(__xludf.DUMMYFUNCTION("""COMPUTED_VALUE"""),780.0)</f>
        <v>780</v>
      </c>
      <c r="D1935" s="3">
        <f>IFERROR(__xludf.DUMMYFUNCTION("""COMPUTED_VALUE"""),748.0)</f>
        <v>748</v>
      </c>
      <c r="E1935" s="2"/>
      <c r="F1935" s="2"/>
    </row>
    <row r="1936">
      <c r="A1936" s="2">
        <f>IFERROR(__xludf.DUMMYFUNCTION("""COMPUTED_VALUE"""),89411.0)</f>
        <v>89411</v>
      </c>
      <c r="B1936" s="2">
        <f>IFERROR(__xludf.DUMMYFUNCTION("""COMPUTED_VALUE"""),1.0)</f>
        <v>1</v>
      </c>
      <c r="C1936" s="2">
        <f>IFERROR(__xludf.DUMMYFUNCTION("""COMPUTED_VALUE"""),562.0)</f>
        <v>562</v>
      </c>
      <c r="D1936" s="3">
        <f>IFERROR(__xludf.DUMMYFUNCTION("""COMPUTED_VALUE"""),186.0)</f>
        <v>186</v>
      </c>
      <c r="E1936" s="2"/>
      <c r="F1936" s="2"/>
    </row>
    <row r="1937">
      <c r="A1937" s="2">
        <f>IFERROR(__xludf.DUMMYFUNCTION("""COMPUTED_VALUE"""),105361.0)</f>
        <v>105361</v>
      </c>
      <c r="B1937" s="2">
        <f>IFERROR(__xludf.DUMMYFUNCTION("""COMPUTED_VALUE"""),1.0)</f>
        <v>1</v>
      </c>
      <c r="C1937" s="2">
        <f>IFERROR(__xludf.DUMMYFUNCTION("""COMPUTED_VALUE"""),797.0)</f>
        <v>797</v>
      </c>
      <c r="D1937" s="3">
        <f>IFERROR(__xludf.DUMMYFUNCTION("""COMPUTED_VALUE"""),75.0)</f>
        <v>75</v>
      </c>
      <c r="E1937" s="2"/>
      <c r="F1937" s="2"/>
    </row>
    <row r="1938">
      <c r="A1938" s="2">
        <f>IFERROR(__xludf.DUMMYFUNCTION("""COMPUTED_VALUE"""),105359.0)</f>
        <v>105359</v>
      </c>
      <c r="B1938" s="2">
        <f>IFERROR(__xludf.DUMMYFUNCTION("""COMPUTED_VALUE"""),0.0)</f>
        <v>0</v>
      </c>
      <c r="C1938" s="2">
        <f>IFERROR(__xludf.DUMMYFUNCTION("""COMPUTED_VALUE"""),718.0)</f>
        <v>718</v>
      </c>
      <c r="D1938" s="3">
        <f>IFERROR(__xludf.DUMMYFUNCTION("""COMPUTED_VALUE"""),659.0)</f>
        <v>659</v>
      </c>
      <c r="E1938" s="2"/>
      <c r="F1938" s="2"/>
    </row>
    <row r="1939">
      <c r="A1939" s="2">
        <f>IFERROR(__xludf.DUMMYFUNCTION("""COMPUTED_VALUE"""),75174.0)</f>
        <v>75174</v>
      </c>
      <c r="B1939" s="2">
        <f>IFERROR(__xludf.DUMMYFUNCTION("""COMPUTED_VALUE"""),1.0)</f>
        <v>1</v>
      </c>
      <c r="C1939" s="2">
        <f>IFERROR(__xludf.DUMMYFUNCTION("""COMPUTED_VALUE"""),52.0)</f>
        <v>52</v>
      </c>
      <c r="D1939" s="3">
        <f>IFERROR(__xludf.DUMMYFUNCTION("""COMPUTED_VALUE"""),29.0)</f>
        <v>29</v>
      </c>
      <c r="E1939" s="2"/>
      <c r="F1939" s="2"/>
    </row>
    <row r="1940">
      <c r="A1940" s="2">
        <f>IFERROR(__xludf.DUMMYFUNCTION("""COMPUTED_VALUE"""),11895.0)</f>
        <v>11895</v>
      </c>
      <c r="B1940" s="2">
        <f>IFERROR(__xludf.DUMMYFUNCTION("""COMPUTED_VALUE"""),0.0)</f>
        <v>0</v>
      </c>
      <c r="C1940" s="2">
        <f>IFERROR(__xludf.DUMMYFUNCTION("""COMPUTED_VALUE"""),385.0)</f>
        <v>385</v>
      </c>
      <c r="D1940" s="3">
        <f>IFERROR(__xludf.DUMMYFUNCTION("""COMPUTED_VALUE"""),108.0)</f>
        <v>108</v>
      </c>
      <c r="E1940" s="2"/>
      <c r="F1940" s="2"/>
    </row>
    <row r="1941">
      <c r="A1941" s="2">
        <f>IFERROR(__xludf.DUMMYFUNCTION("""COMPUTED_VALUE"""),11812.0)</f>
        <v>11812</v>
      </c>
      <c r="B1941" s="2">
        <f>IFERROR(__xludf.DUMMYFUNCTION("""COMPUTED_VALUE"""),0.0)</f>
        <v>0</v>
      </c>
      <c r="C1941" s="2">
        <f>IFERROR(__xludf.DUMMYFUNCTION("""COMPUTED_VALUE"""),476.0)</f>
        <v>476</v>
      </c>
      <c r="D1941" s="3">
        <f>IFERROR(__xludf.DUMMYFUNCTION("""COMPUTED_VALUE"""),148.0)</f>
        <v>148</v>
      </c>
      <c r="E1941" s="2"/>
      <c r="F1941" s="2"/>
    </row>
    <row r="1942">
      <c r="A1942" s="2">
        <f>IFERROR(__xludf.DUMMYFUNCTION("""COMPUTED_VALUE"""),11815.0)</f>
        <v>11815</v>
      </c>
      <c r="B1942" s="2">
        <f>IFERROR(__xludf.DUMMYFUNCTION("""COMPUTED_VALUE"""),1.0)</f>
        <v>1</v>
      </c>
      <c r="C1942" s="2">
        <f>IFERROR(__xludf.DUMMYFUNCTION("""COMPUTED_VALUE"""),401.0)</f>
        <v>401</v>
      </c>
      <c r="D1942" s="3">
        <f>IFERROR(__xludf.DUMMYFUNCTION("""COMPUTED_VALUE"""),198.0)</f>
        <v>198</v>
      </c>
      <c r="E1942" s="2"/>
      <c r="F1942" s="2"/>
    </row>
    <row r="1943">
      <c r="A1943" s="2">
        <f>IFERROR(__xludf.DUMMYFUNCTION("""COMPUTED_VALUE"""),11784.0)</f>
        <v>11784</v>
      </c>
      <c r="B1943" s="2">
        <f>IFERROR(__xludf.DUMMYFUNCTION("""COMPUTED_VALUE"""),1.0)</f>
        <v>1</v>
      </c>
      <c r="C1943" s="2">
        <f>IFERROR(__xludf.DUMMYFUNCTION("""COMPUTED_VALUE"""),765.0)</f>
        <v>765</v>
      </c>
      <c r="D1943" s="3">
        <f>IFERROR(__xludf.DUMMYFUNCTION("""COMPUTED_VALUE"""),151.0)</f>
        <v>151</v>
      </c>
      <c r="E1943" s="2"/>
      <c r="F1943" s="2"/>
    </row>
    <row r="1944">
      <c r="A1944" s="2">
        <f>IFERROR(__xludf.DUMMYFUNCTION("""COMPUTED_VALUE"""),89241.0)</f>
        <v>89241</v>
      </c>
      <c r="B1944" s="2">
        <f>IFERROR(__xludf.DUMMYFUNCTION("""COMPUTED_VALUE"""),1.0)</f>
        <v>1</v>
      </c>
      <c r="C1944" s="2">
        <f>IFERROR(__xludf.DUMMYFUNCTION("""COMPUTED_VALUE"""),748.0)</f>
        <v>748</v>
      </c>
      <c r="D1944" s="3">
        <f>IFERROR(__xludf.DUMMYFUNCTION("""COMPUTED_VALUE"""),379.0)</f>
        <v>379</v>
      </c>
      <c r="E1944" s="2"/>
      <c r="F1944" s="2"/>
    </row>
    <row r="1945">
      <c r="A1945" s="2">
        <f>IFERROR(__xludf.DUMMYFUNCTION("""COMPUTED_VALUE"""),117688.0)</f>
        <v>117688</v>
      </c>
      <c r="B1945" s="2">
        <f>IFERROR(__xludf.DUMMYFUNCTION("""COMPUTED_VALUE"""),1.0)</f>
        <v>1</v>
      </c>
      <c r="C1945" s="2">
        <f>IFERROR(__xludf.DUMMYFUNCTION("""COMPUTED_VALUE"""),591.0)</f>
        <v>591</v>
      </c>
      <c r="D1945" s="3">
        <f>IFERROR(__xludf.DUMMYFUNCTION("""COMPUTED_VALUE"""),83.0)</f>
        <v>83</v>
      </c>
      <c r="E1945" s="2"/>
      <c r="F1945" s="2"/>
    </row>
    <row r="1946">
      <c r="A1946" s="2">
        <f>IFERROR(__xludf.DUMMYFUNCTION("""COMPUTED_VALUE"""),77688.0)</f>
        <v>77688</v>
      </c>
      <c r="B1946" s="2">
        <f>IFERROR(__xludf.DUMMYFUNCTION("""COMPUTED_VALUE"""),0.0)</f>
        <v>0</v>
      </c>
      <c r="C1946" s="2">
        <f>IFERROR(__xludf.DUMMYFUNCTION("""COMPUTED_VALUE"""),898.0)</f>
        <v>898</v>
      </c>
      <c r="D1946" s="3">
        <f>IFERROR(__xludf.DUMMYFUNCTION("""COMPUTED_VALUE"""),694.0)</f>
        <v>694</v>
      </c>
      <c r="E1946" s="2"/>
      <c r="F1946" s="2"/>
    </row>
    <row r="1947">
      <c r="A1947" s="2">
        <f>IFERROR(__xludf.DUMMYFUNCTION("""COMPUTED_VALUE"""),89282.0)</f>
        <v>89282</v>
      </c>
      <c r="B1947" s="2">
        <f>IFERROR(__xludf.DUMMYFUNCTION("""COMPUTED_VALUE"""),0.0)</f>
        <v>0</v>
      </c>
      <c r="C1947" s="2">
        <f>IFERROR(__xludf.DUMMYFUNCTION("""COMPUTED_VALUE"""),895.0)</f>
        <v>895</v>
      </c>
      <c r="D1947" s="3">
        <f>IFERROR(__xludf.DUMMYFUNCTION("""COMPUTED_VALUE"""),530.0)</f>
        <v>530</v>
      </c>
      <c r="E1947" s="2"/>
      <c r="F1947" s="2"/>
    </row>
    <row r="1948">
      <c r="A1948" s="2">
        <f>IFERROR(__xludf.DUMMYFUNCTION("""COMPUTED_VALUE"""),11769.0)</f>
        <v>11769</v>
      </c>
      <c r="B1948" s="2">
        <f>IFERROR(__xludf.DUMMYFUNCTION("""COMPUTED_VALUE"""),1.0)</f>
        <v>1</v>
      </c>
      <c r="C1948" s="2">
        <f>IFERROR(__xludf.DUMMYFUNCTION("""COMPUTED_VALUE"""),765.0)</f>
        <v>765</v>
      </c>
      <c r="D1948" s="3">
        <f>IFERROR(__xludf.DUMMYFUNCTION("""COMPUTED_VALUE"""),524.0)</f>
        <v>524</v>
      </c>
      <c r="E1948" s="2"/>
      <c r="F1948" s="2"/>
    </row>
    <row r="1949">
      <c r="A1949" s="2">
        <f>IFERROR(__xludf.DUMMYFUNCTION("""COMPUTED_VALUE"""),117544.0)</f>
        <v>117544</v>
      </c>
      <c r="B1949" s="2">
        <f>IFERROR(__xludf.DUMMYFUNCTION("""COMPUTED_VALUE"""),1.0)</f>
        <v>1</v>
      </c>
      <c r="C1949" s="2">
        <f>IFERROR(__xludf.DUMMYFUNCTION("""COMPUTED_VALUE"""),112.0)</f>
        <v>112</v>
      </c>
      <c r="D1949" s="3">
        <f>IFERROR(__xludf.DUMMYFUNCTION("""COMPUTED_VALUE"""),98.0)</f>
        <v>98</v>
      </c>
      <c r="E1949" s="2"/>
      <c r="F1949" s="2"/>
    </row>
    <row r="1950">
      <c r="A1950" s="2">
        <f>IFERROR(__xludf.DUMMYFUNCTION("""COMPUTED_VALUE"""),94860.0)</f>
        <v>94860</v>
      </c>
      <c r="B1950" s="2">
        <f>IFERROR(__xludf.DUMMYFUNCTION("""COMPUTED_VALUE"""),1.0)</f>
        <v>1</v>
      </c>
      <c r="C1950" s="2">
        <f>IFERROR(__xludf.DUMMYFUNCTION("""COMPUTED_VALUE"""),628.0)</f>
        <v>628</v>
      </c>
      <c r="D1950" s="3">
        <f>IFERROR(__xludf.DUMMYFUNCTION("""COMPUTED_VALUE"""),563.0)</f>
        <v>563</v>
      </c>
      <c r="E1950" s="2"/>
      <c r="F1950" s="2"/>
    </row>
    <row r="1951">
      <c r="A1951" s="2">
        <f>IFERROR(__xludf.DUMMYFUNCTION("""COMPUTED_VALUE"""),79041.0)</f>
        <v>79041</v>
      </c>
      <c r="B1951" s="2">
        <f>IFERROR(__xludf.DUMMYFUNCTION("""COMPUTED_VALUE"""),0.0)</f>
        <v>0</v>
      </c>
      <c r="C1951" s="2">
        <f>IFERROR(__xludf.DUMMYFUNCTION("""COMPUTED_VALUE"""),235.0)</f>
        <v>235</v>
      </c>
      <c r="D1951" s="3">
        <f>IFERROR(__xludf.DUMMYFUNCTION("""COMPUTED_VALUE"""),8.0)</f>
        <v>8</v>
      </c>
      <c r="E1951" s="2"/>
      <c r="F1951" s="2"/>
    </row>
    <row r="1952">
      <c r="A1952" s="2">
        <f>IFERROR(__xludf.DUMMYFUNCTION("""COMPUTED_VALUE"""),117686.0)</f>
        <v>117686</v>
      </c>
      <c r="B1952" s="2">
        <f>IFERROR(__xludf.DUMMYFUNCTION("""COMPUTED_VALUE"""),0.0)</f>
        <v>0</v>
      </c>
      <c r="C1952" s="2">
        <f>IFERROR(__xludf.DUMMYFUNCTION("""COMPUTED_VALUE"""),419.0)</f>
        <v>419</v>
      </c>
      <c r="D1952" s="3">
        <f>IFERROR(__xludf.DUMMYFUNCTION("""COMPUTED_VALUE"""),265.0)</f>
        <v>265</v>
      </c>
      <c r="E1952" s="2"/>
      <c r="F1952" s="2"/>
    </row>
    <row r="1953">
      <c r="A1953" s="2">
        <f>IFERROR(__xludf.DUMMYFUNCTION("""COMPUTED_VALUE"""),89299.0)</f>
        <v>89299</v>
      </c>
      <c r="B1953" s="2">
        <f>IFERROR(__xludf.DUMMYFUNCTION("""COMPUTED_VALUE"""),0.0)</f>
        <v>0</v>
      </c>
      <c r="C1953" s="2">
        <f>IFERROR(__xludf.DUMMYFUNCTION("""COMPUTED_VALUE"""),970.0)</f>
        <v>970</v>
      </c>
      <c r="D1953" s="3">
        <f>IFERROR(__xludf.DUMMYFUNCTION("""COMPUTED_VALUE"""),207.0)</f>
        <v>207</v>
      </c>
      <c r="E1953" s="2"/>
      <c r="F1953" s="2"/>
    </row>
    <row r="1954">
      <c r="A1954" s="2">
        <f>IFERROR(__xludf.DUMMYFUNCTION("""COMPUTED_VALUE"""),11823.0)</f>
        <v>11823</v>
      </c>
      <c r="B1954" s="2">
        <f>IFERROR(__xludf.DUMMYFUNCTION("""COMPUTED_VALUE"""),1.0)</f>
        <v>1</v>
      </c>
      <c r="C1954" s="2">
        <f>IFERROR(__xludf.DUMMYFUNCTION("""COMPUTED_VALUE"""),335.0)</f>
        <v>335</v>
      </c>
      <c r="D1954" s="3">
        <f>IFERROR(__xludf.DUMMYFUNCTION("""COMPUTED_VALUE"""),89.0)</f>
        <v>89</v>
      </c>
      <c r="E1954" s="2"/>
      <c r="F1954" s="2"/>
    </row>
    <row r="1955">
      <c r="A1955" s="2">
        <f>IFERROR(__xludf.DUMMYFUNCTION("""COMPUTED_VALUE"""),117543.0)</f>
        <v>117543</v>
      </c>
      <c r="B1955" s="2">
        <f>IFERROR(__xludf.DUMMYFUNCTION("""COMPUTED_VALUE"""),0.0)</f>
        <v>0</v>
      </c>
      <c r="C1955" s="2">
        <f>IFERROR(__xludf.DUMMYFUNCTION("""COMPUTED_VALUE"""),422.0)</f>
        <v>422</v>
      </c>
      <c r="D1955" s="3">
        <f>IFERROR(__xludf.DUMMYFUNCTION("""COMPUTED_VALUE"""),303.0)</f>
        <v>303</v>
      </c>
      <c r="E1955" s="2"/>
      <c r="F1955" s="2"/>
    </row>
    <row r="1956">
      <c r="A1956" s="2">
        <f>IFERROR(__xludf.DUMMYFUNCTION("""COMPUTED_VALUE"""),11765.0)</f>
        <v>11765</v>
      </c>
      <c r="B1956" s="2">
        <f>IFERROR(__xludf.DUMMYFUNCTION("""COMPUTED_VALUE"""),1.0)</f>
        <v>1</v>
      </c>
      <c r="C1956" s="2">
        <f>IFERROR(__xludf.DUMMYFUNCTION("""COMPUTED_VALUE"""),475.0)</f>
        <v>475</v>
      </c>
      <c r="D1956" s="3">
        <f>IFERROR(__xludf.DUMMYFUNCTION("""COMPUTED_VALUE"""),269.0)</f>
        <v>269</v>
      </c>
      <c r="E1956" s="2"/>
      <c r="F1956" s="2"/>
    </row>
    <row r="1957">
      <c r="A1957" s="2">
        <f>IFERROR(__xludf.DUMMYFUNCTION("""COMPUTED_VALUE"""),121519.0)</f>
        <v>121519</v>
      </c>
      <c r="B1957" s="2">
        <f>IFERROR(__xludf.DUMMYFUNCTION("""COMPUTED_VALUE"""),1.0)</f>
        <v>1</v>
      </c>
      <c r="C1957" s="2">
        <f>IFERROR(__xludf.DUMMYFUNCTION("""COMPUTED_VALUE"""),636.0)</f>
        <v>636</v>
      </c>
      <c r="D1957" s="3">
        <f>IFERROR(__xludf.DUMMYFUNCTION("""COMPUTED_VALUE"""),251.0)</f>
        <v>251</v>
      </c>
      <c r="E1957" s="2"/>
      <c r="F1957" s="2"/>
    </row>
    <row r="1958">
      <c r="A1958" s="2">
        <f>IFERROR(__xludf.DUMMYFUNCTION("""COMPUTED_VALUE"""),71276.0)</f>
        <v>71276</v>
      </c>
      <c r="B1958" s="2">
        <f>IFERROR(__xludf.DUMMYFUNCTION("""COMPUTED_VALUE"""),1.0)</f>
        <v>1</v>
      </c>
      <c r="C1958" s="2">
        <f>IFERROR(__xludf.DUMMYFUNCTION("""COMPUTED_VALUE"""),466.0)</f>
        <v>466</v>
      </c>
      <c r="D1958" s="3">
        <f>IFERROR(__xludf.DUMMYFUNCTION("""COMPUTED_VALUE"""),460.0)</f>
        <v>460</v>
      </c>
      <c r="E1958" s="2"/>
      <c r="F1958" s="2"/>
    </row>
    <row r="1959">
      <c r="A1959" s="2">
        <f>IFERROR(__xludf.DUMMYFUNCTION("""COMPUTED_VALUE"""),120135.0)</f>
        <v>120135</v>
      </c>
      <c r="B1959" s="2">
        <f>IFERROR(__xludf.DUMMYFUNCTION("""COMPUTED_VALUE"""),0.0)</f>
        <v>0</v>
      </c>
      <c r="C1959" s="2">
        <f>IFERROR(__xludf.DUMMYFUNCTION("""COMPUTED_VALUE"""),255.0)</f>
        <v>255</v>
      </c>
      <c r="D1959" s="3">
        <f>IFERROR(__xludf.DUMMYFUNCTION("""COMPUTED_VALUE"""),42.0)</f>
        <v>42</v>
      </c>
      <c r="E1959" s="2"/>
      <c r="F1959" s="2"/>
    </row>
    <row r="1960">
      <c r="A1960" s="2">
        <f>IFERROR(__xludf.DUMMYFUNCTION("""COMPUTED_VALUE"""),116793.0)</f>
        <v>116793</v>
      </c>
      <c r="B1960" s="2">
        <f>IFERROR(__xludf.DUMMYFUNCTION("""COMPUTED_VALUE"""),1.0)</f>
        <v>1</v>
      </c>
      <c r="C1960" s="2">
        <f>IFERROR(__xludf.DUMMYFUNCTION("""COMPUTED_VALUE"""),842.0)</f>
        <v>842</v>
      </c>
      <c r="D1960" s="3">
        <f>IFERROR(__xludf.DUMMYFUNCTION("""COMPUTED_VALUE"""),713.0)</f>
        <v>713</v>
      </c>
      <c r="E1960" s="2"/>
      <c r="F1960" s="2"/>
    </row>
    <row r="1961">
      <c r="A1961" s="2">
        <f>IFERROR(__xludf.DUMMYFUNCTION("""COMPUTED_VALUE"""),11774.0)</f>
        <v>11774</v>
      </c>
      <c r="B1961" s="2">
        <f>IFERROR(__xludf.DUMMYFUNCTION("""COMPUTED_VALUE"""),0.0)</f>
        <v>0</v>
      </c>
      <c r="C1961" s="2">
        <f>IFERROR(__xludf.DUMMYFUNCTION("""COMPUTED_VALUE"""),654.0)</f>
        <v>654</v>
      </c>
      <c r="D1961" s="3">
        <f>IFERROR(__xludf.DUMMYFUNCTION("""COMPUTED_VALUE"""),587.0)</f>
        <v>587</v>
      </c>
      <c r="E1961" s="2"/>
      <c r="F1961" s="2"/>
    </row>
    <row r="1962">
      <c r="A1962" s="2">
        <f>IFERROR(__xludf.DUMMYFUNCTION("""COMPUTED_VALUE"""),11900.0)</f>
        <v>11900</v>
      </c>
      <c r="B1962" s="2">
        <f>IFERROR(__xludf.DUMMYFUNCTION("""COMPUTED_VALUE"""),0.0)</f>
        <v>0</v>
      </c>
      <c r="C1962" s="2">
        <f>IFERROR(__xludf.DUMMYFUNCTION("""COMPUTED_VALUE"""),902.0)</f>
        <v>902</v>
      </c>
      <c r="D1962" s="3">
        <f>IFERROR(__xludf.DUMMYFUNCTION("""COMPUTED_VALUE"""),180.0)</f>
        <v>180</v>
      </c>
      <c r="E1962" s="2"/>
      <c r="F1962" s="2"/>
    </row>
    <row r="1963">
      <c r="A1963" s="2">
        <f>IFERROR(__xludf.DUMMYFUNCTION("""COMPUTED_VALUE"""),11809.0)</f>
        <v>11809</v>
      </c>
      <c r="B1963" s="2">
        <f>IFERROR(__xludf.DUMMYFUNCTION("""COMPUTED_VALUE"""),1.0)</f>
        <v>1</v>
      </c>
      <c r="C1963" s="2">
        <f>IFERROR(__xludf.DUMMYFUNCTION("""COMPUTED_VALUE"""),641.0)</f>
        <v>641</v>
      </c>
      <c r="D1963" s="3">
        <f>IFERROR(__xludf.DUMMYFUNCTION("""COMPUTED_VALUE"""),314.0)</f>
        <v>314</v>
      </c>
      <c r="E1963" s="2"/>
      <c r="F1963" s="2"/>
    </row>
    <row r="1964">
      <c r="A1964" s="2">
        <f>IFERROR(__xludf.DUMMYFUNCTION("""COMPUTED_VALUE"""),117642.0)</f>
        <v>117642</v>
      </c>
      <c r="B1964" s="2">
        <f>IFERROR(__xludf.DUMMYFUNCTION("""COMPUTED_VALUE"""),1.0)</f>
        <v>1</v>
      </c>
      <c r="C1964" s="2">
        <f>IFERROR(__xludf.DUMMYFUNCTION("""COMPUTED_VALUE"""),168.0)</f>
        <v>168</v>
      </c>
      <c r="D1964" s="3">
        <f>IFERROR(__xludf.DUMMYFUNCTION("""COMPUTED_VALUE"""),148.0)</f>
        <v>148</v>
      </c>
      <c r="E1964" s="2"/>
      <c r="F1964" s="2"/>
    </row>
    <row r="1965">
      <c r="A1965" s="2">
        <f>IFERROR(__xludf.DUMMYFUNCTION("""COMPUTED_VALUE"""),71259.0)</f>
        <v>71259</v>
      </c>
      <c r="B1965" s="2">
        <f>IFERROR(__xludf.DUMMYFUNCTION("""COMPUTED_VALUE"""),0.0)</f>
        <v>0</v>
      </c>
      <c r="C1965" s="2">
        <f>IFERROR(__xludf.DUMMYFUNCTION("""COMPUTED_VALUE"""),557.0)</f>
        <v>557</v>
      </c>
      <c r="D1965" s="3">
        <f>IFERROR(__xludf.DUMMYFUNCTION("""COMPUTED_VALUE"""),267.0)</f>
        <v>267</v>
      </c>
      <c r="E1965" s="2"/>
      <c r="F1965" s="2"/>
    </row>
    <row r="1966">
      <c r="A1966" s="2">
        <f>IFERROR(__xludf.DUMMYFUNCTION("""COMPUTED_VALUE"""),79047.0)</f>
        <v>79047</v>
      </c>
      <c r="B1966" s="2">
        <f>IFERROR(__xludf.DUMMYFUNCTION("""COMPUTED_VALUE"""),0.0)</f>
        <v>0</v>
      </c>
      <c r="C1966" s="2">
        <f>IFERROR(__xludf.DUMMYFUNCTION("""COMPUTED_VALUE"""),650.0)</f>
        <v>650</v>
      </c>
      <c r="D1966" s="3">
        <f>IFERROR(__xludf.DUMMYFUNCTION("""COMPUTED_VALUE"""),598.0)</f>
        <v>598</v>
      </c>
      <c r="E1966" s="2"/>
      <c r="F1966" s="2"/>
    </row>
    <row r="1967">
      <c r="A1967" s="2">
        <f>IFERROR(__xludf.DUMMYFUNCTION("""COMPUTED_VALUE"""),11796.0)</f>
        <v>11796</v>
      </c>
      <c r="B1967" s="2">
        <f>IFERROR(__xludf.DUMMYFUNCTION("""COMPUTED_VALUE"""),1.0)</f>
        <v>1</v>
      </c>
      <c r="C1967" s="2">
        <f>IFERROR(__xludf.DUMMYFUNCTION("""COMPUTED_VALUE"""),496.0)</f>
        <v>496</v>
      </c>
      <c r="D1967" s="3">
        <f>IFERROR(__xludf.DUMMYFUNCTION("""COMPUTED_VALUE"""),374.0)</f>
        <v>374</v>
      </c>
      <c r="E1967" s="2"/>
      <c r="F1967" s="2"/>
    </row>
    <row r="1968">
      <c r="A1968" s="2">
        <f>IFERROR(__xludf.DUMMYFUNCTION("""COMPUTED_VALUE"""),79043.0)</f>
        <v>79043</v>
      </c>
      <c r="B1968" s="2">
        <f>IFERROR(__xludf.DUMMYFUNCTION("""COMPUTED_VALUE"""),1.0)</f>
        <v>1</v>
      </c>
      <c r="C1968" s="2">
        <f>IFERROR(__xludf.DUMMYFUNCTION("""COMPUTED_VALUE"""),160.0)</f>
        <v>160</v>
      </c>
      <c r="D1968" s="3">
        <f>IFERROR(__xludf.DUMMYFUNCTION("""COMPUTED_VALUE"""),1.0)</f>
        <v>1</v>
      </c>
      <c r="E1968" s="2"/>
      <c r="F1968" s="2"/>
    </row>
    <row r="1969">
      <c r="A1969" s="2">
        <f>IFERROR(__xludf.DUMMYFUNCTION("""COMPUTED_VALUE"""),89246.0)</f>
        <v>89246</v>
      </c>
      <c r="B1969" s="2">
        <f>IFERROR(__xludf.DUMMYFUNCTION("""COMPUTED_VALUE"""),1.0)</f>
        <v>1</v>
      </c>
      <c r="C1969" s="2">
        <f>IFERROR(__xludf.DUMMYFUNCTION("""COMPUTED_VALUE"""),179.0)</f>
        <v>179</v>
      </c>
      <c r="D1969" s="3">
        <f>IFERROR(__xludf.DUMMYFUNCTION("""COMPUTED_VALUE"""),145.0)</f>
        <v>145</v>
      </c>
      <c r="E1969" s="2"/>
      <c r="F1969" s="2"/>
    </row>
    <row r="1970">
      <c r="A1970" s="2">
        <f>IFERROR(__xludf.DUMMYFUNCTION("""COMPUTED_VALUE"""),71275.0)</f>
        <v>71275</v>
      </c>
      <c r="B1970" s="2">
        <f>IFERROR(__xludf.DUMMYFUNCTION("""COMPUTED_VALUE"""),0.0)</f>
        <v>0</v>
      </c>
      <c r="C1970" s="2">
        <f>IFERROR(__xludf.DUMMYFUNCTION("""COMPUTED_VALUE"""),263.0)</f>
        <v>263</v>
      </c>
      <c r="D1970" s="3">
        <f>IFERROR(__xludf.DUMMYFUNCTION("""COMPUTED_VALUE"""),107.0)</f>
        <v>107</v>
      </c>
      <c r="E1970" s="2"/>
      <c r="F1970" s="2"/>
    </row>
    <row r="1971">
      <c r="A1971" s="2">
        <f>IFERROR(__xludf.DUMMYFUNCTION("""COMPUTED_VALUE"""),11800.0)</f>
        <v>11800</v>
      </c>
      <c r="B1971" s="2">
        <f>IFERROR(__xludf.DUMMYFUNCTION("""COMPUTED_VALUE"""),0.0)</f>
        <v>0</v>
      </c>
      <c r="C1971" s="2">
        <f>IFERROR(__xludf.DUMMYFUNCTION("""COMPUTED_VALUE"""),703.0)</f>
        <v>703</v>
      </c>
      <c r="D1971" s="3">
        <f>IFERROR(__xludf.DUMMYFUNCTION("""COMPUTED_VALUE"""),498.0)</f>
        <v>498</v>
      </c>
      <c r="E1971" s="2"/>
      <c r="F1971" s="2"/>
    </row>
    <row r="1972">
      <c r="A1972" s="2">
        <f>IFERROR(__xludf.DUMMYFUNCTION("""COMPUTED_VALUE"""),11818.0)</f>
        <v>11818</v>
      </c>
      <c r="B1972" s="2">
        <f>IFERROR(__xludf.DUMMYFUNCTION("""COMPUTED_VALUE"""),0.0)</f>
        <v>0</v>
      </c>
      <c r="C1972" s="2">
        <f>IFERROR(__xludf.DUMMYFUNCTION("""COMPUTED_VALUE"""),404.0)</f>
        <v>404</v>
      </c>
      <c r="D1972" s="3">
        <f>IFERROR(__xludf.DUMMYFUNCTION("""COMPUTED_VALUE"""),101.0)</f>
        <v>101</v>
      </c>
      <c r="E1972" s="2"/>
      <c r="F1972" s="2"/>
    </row>
    <row r="1973">
      <c r="A1973" s="2">
        <f>IFERROR(__xludf.DUMMYFUNCTION("""COMPUTED_VALUE"""),11795.0)</f>
        <v>11795</v>
      </c>
      <c r="B1973" s="2">
        <f>IFERROR(__xludf.DUMMYFUNCTION("""COMPUTED_VALUE"""),1.0)</f>
        <v>1</v>
      </c>
      <c r="C1973" s="2">
        <f>IFERROR(__xludf.DUMMYFUNCTION("""COMPUTED_VALUE"""),788.0)</f>
        <v>788</v>
      </c>
      <c r="D1973" s="3">
        <f>IFERROR(__xludf.DUMMYFUNCTION("""COMPUTED_VALUE"""),481.0)</f>
        <v>481</v>
      </c>
      <c r="E1973" s="2"/>
      <c r="F1973" s="2"/>
    </row>
    <row r="1974">
      <c r="A1974" s="2">
        <f>IFERROR(__xludf.DUMMYFUNCTION("""COMPUTED_VALUE"""),117641.0)</f>
        <v>117641</v>
      </c>
      <c r="B1974" s="2">
        <f>IFERROR(__xludf.DUMMYFUNCTION("""COMPUTED_VALUE"""),0.0)</f>
        <v>0</v>
      </c>
      <c r="C1974" s="2">
        <f>IFERROR(__xludf.DUMMYFUNCTION("""COMPUTED_VALUE"""),788.0)</f>
        <v>788</v>
      </c>
      <c r="D1974" s="3">
        <f>IFERROR(__xludf.DUMMYFUNCTION("""COMPUTED_VALUE"""),699.0)</f>
        <v>699</v>
      </c>
      <c r="E1974" s="2"/>
      <c r="F1974" s="2"/>
    </row>
    <row r="1975">
      <c r="A1975" s="2">
        <f>IFERROR(__xludf.DUMMYFUNCTION("""COMPUTED_VALUE"""),82579.0)</f>
        <v>82579</v>
      </c>
      <c r="B1975" s="2">
        <f>IFERROR(__xludf.DUMMYFUNCTION("""COMPUTED_VALUE"""),0.0)</f>
        <v>0</v>
      </c>
      <c r="C1975" s="2">
        <f>IFERROR(__xludf.DUMMYFUNCTION("""COMPUTED_VALUE"""),583.0)</f>
        <v>583</v>
      </c>
      <c r="D1975" s="3">
        <f>IFERROR(__xludf.DUMMYFUNCTION("""COMPUTED_VALUE"""),473.0)</f>
        <v>473</v>
      </c>
      <c r="E1975" s="2"/>
      <c r="F1975" s="2"/>
    </row>
    <row r="1976">
      <c r="A1976" s="2">
        <f>IFERROR(__xludf.DUMMYFUNCTION("""COMPUTED_VALUE"""),120153.0)</f>
        <v>120153</v>
      </c>
      <c r="B1976" s="2">
        <f>IFERROR(__xludf.DUMMYFUNCTION("""COMPUTED_VALUE"""),1.0)</f>
        <v>1</v>
      </c>
      <c r="C1976" s="2">
        <f>IFERROR(__xludf.DUMMYFUNCTION("""COMPUTED_VALUE"""),380.0)</f>
        <v>380</v>
      </c>
      <c r="D1976" s="3">
        <f>IFERROR(__xludf.DUMMYFUNCTION("""COMPUTED_VALUE"""),116.0)</f>
        <v>116</v>
      </c>
      <c r="E1976" s="2"/>
      <c r="F1976" s="2"/>
    </row>
    <row r="1977">
      <c r="A1977" s="2">
        <f>IFERROR(__xludf.DUMMYFUNCTION("""COMPUTED_VALUE"""),81320.0)</f>
        <v>81320</v>
      </c>
      <c r="B1977" s="2">
        <f>IFERROR(__xludf.DUMMYFUNCTION("""COMPUTED_VALUE"""),0.0)</f>
        <v>0</v>
      </c>
      <c r="C1977" s="2">
        <f>IFERROR(__xludf.DUMMYFUNCTION("""COMPUTED_VALUE"""),508.0)</f>
        <v>508</v>
      </c>
      <c r="D1977" s="3">
        <f>IFERROR(__xludf.DUMMYFUNCTION("""COMPUTED_VALUE"""),436.0)</f>
        <v>436</v>
      </c>
      <c r="E1977" s="2"/>
      <c r="F1977" s="2"/>
    </row>
    <row r="1978">
      <c r="A1978" s="2">
        <f>IFERROR(__xludf.DUMMYFUNCTION("""COMPUTED_VALUE"""),121517.0)</f>
        <v>121517</v>
      </c>
      <c r="B1978" s="2">
        <f>IFERROR(__xludf.DUMMYFUNCTION("""COMPUTED_VALUE"""),1.0)</f>
        <v>1</v>
      </c>
      <c r="C1978" s="2">
        <f>IFERROR(__xludf.DUMMYFUNCTION("""COMPUTED_VALUE"""),989.0)</f>
        <v>989</v>
      </c>
      <c r="D1978" s="3">
        <f>IFERROR(__xludf.DUMMYFUNCTION("""COMPUTED_VALUE"""),37.0)</f>
        <v>37</v>
      </c>
      <c r="E1978" s="2"/>
      <c r="F1978" s="2"/>
    </row>
    <row r="1979">
      <c r="A1979" s="2">
        <f>IFERROR(__xludf.DUMMYFUNCTION("""COMPUTED_VALUE"""),89276.0)</f>
        <v>89276</v>
      </c>
      <c r="B1979" s="2">
        <f>IFERROR(__xludf.DUMMYFUNCTION("""COMPUTED_VALUE"""),1.0)</f>
        <v>1</v>
      </c>
      <c r="C1979" s="2">
        <f>IFERROR(__xludf.DUMMYFUNCTION("""COMPUTED_VALUE"""),261.0)</f>
        <v>261</v>
      </c>
      <c r="D1979" s="3">
        <f>IFERROR(__xludf.DUMMYFUNCTION("""COMPUTED_VALUE"""),14.0)</f>
        <v>14</v>
      </c>
      <c r="E1979" s="2"/>
      <c r="F1979" s="2"/>
    </row>
    <row r="1980">
      <c r="A1980" s="2">
        <f>IFERROR(__xludf.DUMMYFUNCTION("""COMPUTED_VALUE"""),11822.0)</f>
        <v>11822</v>
      </c>
      <c r="B1980" s="2">
        <f>IFERROR(__xludf.DUMMYFUNCTION("""COMPUTED_VALUE"""),1.0)</f>
        <v>1</v>
      </c>
      <c r="C1980" s="2">
        <f>IFERROR(__xludf.DUMMYFUNCTION("""COMPUTED_VALUE"""),533.0)</f>
        <v>533</v>
      </c>
      <c r="D1980" s="3">
        <f>IFERROR(__xludf.DUMMYFUNCTION("""COMPUTED_VALUE"""),246.0)</f>
        <v>246</v>
      </c>
      <c r="E1980" s="2"/>
      <c r="F1980" s="2"/>
    </row>
    <row r="1981">
      <c r="A1981" s="2">
        <f>IFERROR(__xludf.DUMMYFUNCTION("""COMPUTED_VALUE"""),11771.0)</f>
        <v>11771</v>
      </c>
      <c r="B1981" s="2">
        <f>IFERROR(__xludf.DUMMYFUNCTION("""COMPUTED_VALUE"""),1.0)</f>
        <v>1</v>
      </c>
      <c r="C1981" s="2">
        <f>IFERROR(__xludf.DUMMYFUNCTION("""COMPUTED_VALUE"""),951.0)</f>
        <v>951</v>
      </c>
      <c r="D1981" s="3">
        <f>IFERROR(__xludf.DUMMYFUNCTION("""COMPUTED_VALUE"""),867.0)</f>
        <v>867</v>
      </c>
      <c r="E1981" s="2"/>
      <c r="F1981" s="2"/>
    </row>
    <row r="1982">
      <c r="A1982" s="2">
        <f>IFERROR(__xludf.DUMMYFUNCTION("""COMPUTED_VALUE"""),89295.0)</f>
        <v>89295</v>
      </c>
      <c r="B1982" s="2">
        <f>IFERROR(__xludf.DUMMYFUNCTION("""COMPUTED_VALUE"""),0.0)</f>
        <v>0</v>
      </c>
      <c r="C1982" s="2">
        <f>IFERROR(__xludf.DUMMYFUNCTION("""COMPUTED_VALUE"""),119.0)</f>
        <v>119</v>
      </c>
      <c r="D1982" s="3">
        <f>IFERROR(__xludf.DUMMYFUNCTION("""COMPUTED_VALUE"""),98.0)</f>
        <v>98</v>
      </c>
      <c r="E1982" s="2"/>
      <c r="F1982" s="2"/>
    </row>
    <row r="1983">
      <c r="A1983" s="2">
        <f>IFERROR(__xludf.DUMMYFUNCTION("""COMPUTED_VALUE"""),117684.0)</f>
        <v>117684</v>
      </c>
      <c r="B1983" s="2">
        <f>IFERROR(__xludf.DUMMYFUNCTION("""COMPUTED_VALUE"""),1.0)</f>
        <v>1</v>
      </c>
      <c r="C1983" s="2">
        <f>IFERROR(__xludf.DUMMYFUNCTION("""COMPUTED_VALUE"""),247.0)</f>
        <v>247</v>
      </c>
      <c r="D1983" s="3">
        <f>IFERROR(__xludf.DUMMYFUNCTION("""COMPUTED_VALUE"""),159.0)</f>
        <v>159</v>
      </c>
      <c r="E1983" s="2"/>
      <c r="F1983" s="2"/>
    </row>
    <row r="1984">
      <c r="A1984" s="2">
        <f>IFERROR(__xludf.DUMMYFUNCTION("""COMPUTED_VALUE"""),11817.0)</f>
        <v>11817</v>
      </c>
      <c r="B1984" s="2">
        <f>IFERROR(__xludf.DUMMYFUNCTION("""COMPUTED_VALUE"""),0.0)</f>
        <v>0</v>
      </c>
      <c r="C1984" s="2">
        <f>IFERROR(__xludf.DUMMYFUNCTION("""COMPUTED_VALUE"""),207.0)</f>
        <v>207</v>
      </c>
      <c r="D1984" s="3">
        <f>IFERROR(__xludf.DUMMYFUNCTION("""COMPUTED_VALUE"""),206.0)</f>
        <v>206</v>
      </c>
      <c r="E1984" s="2"/>
      <c r="F1984" s="2"/>
    </row>
    <row r="1985">
      <c r="A1985" s="2">
        <f>IFERROR(__xludf.DUMMYFUNCTION("""COMPUTED_VALUE"""),120697.0)</f>
        <v>120697</v>
      </c>
      <c r="B1985" s="2">
        <f>IFERROR(__xludf.DUMMYFUNCTION("""COMPUTED_VALUE"""),0.0)</f>
        <v>0</v>
      </c>
      <c r="C1985" s="2">
        <f>IFERROR(__xludf.DUMMYFUNCTION("""COMPUTED_VALUE"""),301.0)</f>
        <v>301</v>
      </c>
      <c r="D1985" s="3">
        <f>IFERROR(__xludf.DUMMYFUNCTION("""COMPUTED_VALUE"""),274.0)</f>
        <v>274</v>
      </c>
      <c r="E1985" s="2"/>
      <c r="F1985" s="2"/>
    </row>
    <row r="1986">
      <c r="A1986" s="2">
        <f>IFERROR(__xludf.DUMMYFUNCTION("""COMPUTED_VALUE"""),11783.0)</f>
        <v>11783</v>
      </c>
      <c r="B1986" s="2">
        <f>IFERROR(__xludf.DUMMYFUNCTION("""COMPUTED_VALUE"""),1.0)</f>
        <v>1</v>
      </c>
      <c r="C1986" s="2">
        <f>IFERROR(__xludf.DUMMYFUNCTION("""COMPUTED_VALUE"""),663.0)</f>
        <v>663</v>
      </c>
      <c r="D1986" s="3">
        <f>IFERROR(__xludf.DUMMYFUNCTION("""COMPUTED_VALUE"""),88.0)</f>
        <v>88</v>
      </c>
      <c r="E1986" s="2"/>
      <c r="F1986" s="2"/>
    </row>
    <row r="1987">
      <c r="A1987" s="2">
        <f>IFERROR(__xludf.DUMMYFUNCTION("""COMPUTED_VALUE"""),11821.0)</f>
        <v>11821</v>
      </c>
      <c r="B1987" s="2">
        <f>IFERROR(__xludf.DUMMYFUNCTION("""COMPUTED_VALUE"""),1.0)</f>
        <v>1</v>
      </c>
      <c r="C1987" s="2">
        <f>IFERROR(__xludf.DUMMYFUNCTION("""COMPUTED_VALUE"""),261.0)</f>
        <v>261</v>
      </c>
      <c r="D1987" s="3">
        <f>IFERROR(__xludf.DUMMYFUNCTION("""COMPUTED_VALUE"""),10.0)</f>
        <v>10</v>
      </c>
      <c r="E1987" s="2"/>
      <c r="F1987" s="2"/>
    </row>
    <row r="1988">
      <c r="A1988" s="2">
        <f>IFERROR(__xludf.DUMMYFUNCTION("""COMPUTED_VALUE"""),11814.0)</f>
        <v>11814</v>
      </c>
      <c r="B1988" s="2">
        <f>IFERROR(__xludf.DUMMYFUNCTION("""COMPUTED_VALUE"""),1.0)</f>
        <v>1</v>
      </c>
      <c r="C1988" s="2">
        <f>IFERROR(__xludf.DUMMYFUNCTION("""COMPUTED_VALUE"""),529.0)</f>
        <v>529</v>
      </c>
      <c r="D1988" s="3">
        <f>IFERROR(__xludf.DUMMYFUNCTION("""COMPUTED_VALUE"""),84.0)</f>
        <v>84</v>
      </c>
      <c r="E1988" s="2"/>
      <c r="F1988" s="2"/>
    </row>
    <row r="1989">
      <c r="A1989" s="2">
        <f>IFERROR(__xludf.DUMMYFUNCTION("""COMPUTED_VALUE"""),71242.0)</f>
        <v>71242</v>
      </c>
      <c r="B1989" s="2">
        <f>IFERROR(__xludf.DUMMYFUNCTION("""COMPUTED_VALUE"""),1.0)</f>
        <v>1</v>
      </c>
      <c r="C1989" s="2">
        <f>IFERROR(__xludf.DUMMYFUNCTION("""COMPUTED_VALUE"""),685.0)</f>
        <v>685</v>
      </c>
      <c r="D1989" s="3">
        <f>IFERROR(__xludf.DUMMYFUNCTION("""COMPUTED_VALUE"""),605.0)</f>
        <v>605</v>
      </c>
      <c r="E1989" s="2"/>
      <c r="F1989" s="2"/>
    </row>
    <row r="1990">
      <c r="A1990" s="2">
        <f>IFERROR(__xludf.DUMMYFUNCTION("""COMPUTED_VALUE"""),120449.0)</f>
        <v>120449</v>
      </c>
      <c r="B1990" s="2">
        <f>IFERROR(__xludf.DUMMYFUNCTION("""COMPUTED_VALUE"""),0.0)</f>
        <v>0</v>
      </c>
      <c r="C1990" s="2">
        <f>IFERROR(__xludf.DUMMYFUNCTION("""COMPUTED_VALUE"""),134.0)</f>
        <v>134</v>
      </c>
      <c r="D1990" s="3">
        <f>IFERROR(__xludf.DUMMYFUNCTION("""COMPUTED_VALUE"""),23.0)</f>
        <v>23</v>
      </c>
      <c r="E1990" s="2"/>
      <c r="F1990" s="2"/>
    </row>
    <row r="1991">
      <c r="A1991" s="2">
        <f>IFERROR(__xludf.DUMMYFUNCTION("""COMPUTED_VALUE"""),23682.0)</f>
        <v>23682</v>
      </c>
      <c r="B1991" s="2">
        <f>IFERROR(__xludf.DUMMYFUNCTION("""COMPUTED_VALUE"""),1.0)</f>
        <v>1</v>
      </c>
      <c r="C1991" s="2">
        <f>IFERROR(__xludf.DUMMYFUNCTION("""COMPUTED_VALUE"""),953.0)</f>
        <v>953</v>
      </c>
      <c r="D1991" s="3">
        <f>IFERROR(__xludf.DUMMYFUNCTION("""COMPUTED_VALUE"""),116.0)</f>
        <v>116</v>
      </c>
      <c r="E1991" s="2"/>
      <c r="F1991" s="2"/>
    </row>
    <row r="1992">
      <c r="A1992" s="2">
        <f>IFERROR(__xludf.DUMMYFUNCTION("""COMPUTED_VALUE"""),119076.0)</f>
        <v>119076</v>
      </c>
      <c r="B1992" s="2">
        <f>IFERROR(__xludf.DUMMYFUNCTION("""COMPUTED_VALUE"""),0.0)</f>
        <v>0</v>
      </c>
      <c r="C1992" s="2">
        <f>IFERROR(__xludf.DUMMYFUNCTION("""COMPUTED_VALUE"""),157.0)</f>
        <v>157</v>
      </c>
      <c r="D1992" s="3">
        <f>IFERROR(__xludf.DUMMYFUNCTION("""COMPUTED_VALUE"""),28.0)</f>
        <v>28</v>
      </c>
      <c r="E1992" s="2"/>
      <c r="F1992" s="2"/>
    </row>
    <row r="1993">
      <c r="A1993" s="2">
        <f>IFERROR(__xludf.DUMMYFUNCTION("""COMPUTED_VALUE"""),9139.0)</f>
        <v>9139</v>
      </c>
      <c r="B1993" s="2">
        <f>IFERROR(__xludf.DUMMYFUNCTION("""COMPUTED_VALUE"""),1.0)</f>
        <v>1</v>
      </c>
      <c r="C1993" s="2">
        <f>IFERROR(__xludf.DUMMYFUNCTION("""COMPUTED_VALUE"""),345.0)</f>
        <v>345</v>
      </c>
      <c r="D1993" s="3">
        <f>IFERROR(__xludf.DUMMYFUNCTION("""COMPUTED_VALUE"""),130.0)</f>
        <v>130</v>
      </c>
      <c r="E1993" s="2"/>
      <c r="F1993" s="2"/>
    </row>
    <row r="1994">
      <c r="A1994" s="2">
        <f>IFERROR(__xludf.DUMMYFUNCTION("""COMPUTED_VALUE"""),9138.0)</f>
        <v>9138</v>
      </c>
      <c r="B1994" s="2">
        <f>IFERROR(__xludf.DUMMYFUNCTION("""COMPUTED_VALUE"""),0.0)</f>
        <v>0</v>
      </c>
      <c r="C1994" s="2">
        <f>IFERROR(__xludf.DUMMYFUNCTION("""COMPUTED_VALUE"""),366.0)</f>
        <v>366</v>
      </c>
      <c r="D1994" s="3">
        <f>IFERROR(__xludf.DUMMYFUNCTION("""COMPUTED_VALUE"""),296.0)</f>
        <v>296</v>
      </c>
      <c r="E1994" s="2"/>
      <c r="F1994" s="2"/>
    </row>
    <row r="1995">
      <c r="A1995" s="2">
        <f>IFERROR(__xludf.DUMMYFUNCTION("""COMPUTED_VALUE"""),109483.0)</f>
        <v>109483</v>
      </c>
      <c r="B1995" s="2">
        <f>IFERROR(__xludf.DUMMYFUNCTION("""COMPUTED_VALUE"""),1.0)</f>
        <v>1</v>
      </c>
      <c r="C1995" s="2">
        <f>IFERROR(__xludf.DUMMYFUNCTION("""COMPUTED_VALUE"""),764.0)</f>
        <v>764</v>
      </c>
      <c r="D1995" s="3">
        <f>IFERROR(__xludf.DUMMYFUNCTION("""COMPUTED_VALUE"""),442.0)</f>
        <v>442</v>
      </c>
      <c r="E1995" s="2"/>
      <c r="F1995" s="2"/>
    </row>
    <row r="1996">
      <c r="A1996" s="2">
        <f>IFERROR(__xludf.DUMMYFUNCTION("""COMPUTED_VALUE"""),120438.0)</f>
        <v>120438</v>
      </c>
      <c r="B1996" s="2">
        <f>IFERROR(__xludf.DUMMYFUNCTION("""COMPUTED_VALUE"""),1.0)</f>
        <v>1</v>
      </c>
      <c r="C1996" s="2">
        <f>IFERROR(__xludf.DUMMYFUNCTION("""COMPUTED_VALUE"""),340.0)</f>
        <v>340</v>
      </c>
      <c r="D1996" s="3">
        <f>IFERROR(__xludf.DUMMYFUNCTION("""COMPUTED_VALUE"""),112.0)</f>
        <v>112</v>
      </c>
      <c r="E1996" s="2"/>
      <c r="F1996" s="2"/>
    </row>
    <row r="1997">
      <c r="A1997" s="2">
        <f>IFERROR(__xludf.DUMMYFUNCTION("""COMPUTED_VALUE"""),120439.0)</f>
        <v>120439</v>
      </c>
      <c r="B1997" s="2">
        <f>IFERROR(__xludf.DUMMYFUNCTION("""COMPUTED_VALUE"""),1.0)</f>
        <v>1</v>
      </c>
      <c r="C1997" s="2">
        <f>IFERROR(__xludf.DUMMYFUNCTION("""COMPUTED_VALUE"""),353.0)</f>
        <v>353</v>
      </c>
      <c r="D1997" s="3">
        <f>IFERROR(__xludf.DUMMYFUNCTION("""COMPUTED_VALUE"""),88.0)</f>
        <v>88</v>
      </c>
      <c r="E1997" s="2"/>
      <c r="F1997" s="2"/>
    </row>
    <row r="1998">
      <c r="A1998" s="2">
        <f>IFERROR(__xludf.DUMMYFUNCTION("""COMPUTED_VALUE"""),23681.0)</f>
        <v>23681</v>
      </c>
      <c r="B1998" s="2">
        <f>IFERROR(__xludf.DUMMYFUNCTION("""COMPUTED_VALUE"""),1.0)</f>
        <v>1</v>
      </c>
      <c r="C1998" s="2">
        <f>IFERROR(__xludf.DUMMYFUNCTION("""COMPUTED_VALUE"""),748.0)</f>
        <v>748</v>
      </c>
      <c r="D1998" s="3">
        <f>IFERROR(__xludf.DUMMYFUNCTION("""COMPUTED_VALUE"""),469.0)</f>
        <v>469</v>
      </c>
      <c r="E1998" s="2"/>
      <c r="F1998" s="2"/>
    </row>
    <row r="1999">
      <c r="A1999" s="2">
        <f>IFERROR(__xludf.DUMMYFUNCTION("""COMPUTED_VALUE"""),89564.0)</f>
        <v>89564</v>
      </c>
      <c r="B1999" s="2">
        <f>IFERROR(__xludf.DUMMYFUNCTION("""COMPUTED_VALUE"""),1.0)</f>
        <v>1</v>
      </c>
      <c r="C1999" s="2">
        <f>IFERROR(__xludf.DUMMYFUNCTION("""COMPUTED_VALUE"""),151.0)</f>
        <v>151</v>
      </c>
      <c r="D1999" s="3">
        <f>IFERROR(__xludf.DUMMYFUNCTION("""COMPUTED_VALUE"""),101.0)</f>
        <v>101</v>
      </c>
      <c r="E1999" s="2"/>
      <c r="F1999" s="2"/>
    </row>
    <row r="2000">
      <c r="A2000" s="2">
        <f>IFERROR(__xludf.DUMMYFUNCTION("""COMPUTED_VALUE"""),111962.0)</f>
        <v>111962</v>
      </c>
      <c r="B2000" s="2">
        <f>IFERROR(__xludf.DUMMYFUNCTION("""COMPUTED_VALUE"""),0.0)</f>
        <v>0</v>
      </c>
      <c r="C2000" s="2">
        <f>IFERROR(__xludf.DUMMYFUNCTION("""COMPUTED_VALUE"""),644.0)</f>
        <v>644</v>
      </c>
      <c r="D2000" s="3">
        <f>IFERROR(__xludf.DUMMYFUNCTION("""COMPUTED_VALUE"""),619.0)</f>
        <v>619</v>
      </c>
      <c r="E2000" s="2"/>
      <c r="F2000" s="2"/>
    </row>
    <row r="2001">
      <c r="A2001" s="2">
        <f>IFERROR(__xludf.DUMMYFUNCTION("""COMPUTED_VALUE"""),124771.0)</f>
        <v>124771</v>
      </c>
      <c r="B2001" s="2">
        <f>IFERROR(__xludf.DUMMYFUNCTION("""COMPUTED_VALUE"""),1.0)</f>
        <v>1</v>
      </c>
      <c r="C2001" s="2">
        <f>IFERROR(__xludf.DUMMYFUNCTION("""COMPUTED_VALUE"""),70.0)</f>
        <v>70</v>
      </c>
      <c r="D2001" s="3">
        <f>IFERROR(__xludf.DUMMYFUNCTION("""COMPUTED_VALUE"""),31.0)</f>
        <v>31</v>
      </c>
      <c r="E2001" s="2"/>
      <c r="F2001" s="2"/>
    </row>
    <row r="2002">
      <c r="A2002" s="2">
        <f>IFERROR(__xludf.DUMMYFUNCTION("""COMPUTED_VALUE"""),120446.0)</f>
        <v>120446</v>
      </c>
      <c r="B2002" s="2">
        <f>IFERROR(__xludf.DUMMYFUNCTION("""COMPUTED_VALUE"""),1.0)</f>
        <v>1</v>
      </c>
      <c r="C2002" s="2">
        <f>IFERROR(__xludf.DUMMYFUNCTION("""COMPUTED_VALUE"""),811.0)</f>
        <v>811</v>
      </c>
      <c r="D2002" s="3">
        <f>IFERROR(__xludf.DUMMYFUNCTION("""COMPUTED_VALUE"""),398.0)</f>
        <v>398</v>
      </c>
      <c r="E2002" s="2"/>
      <c r="F2002" s="2"/>
    </row>
    <row r="2003">
      <c r="A2003" s="2">
        <f>IFERROR(__xludf.DUMMYFUNCTION("""COMPUTED_VALUE"""),111973.0)</f>
        <v>111973</v>
      </c>
      <c r="B2003" s="2">
        <f>IFERROR(__xludf.DUMMYFUNCTION("""COMPUTED_VALUE"""),1.0)</f>
        <v>1</v>
      </c>
      <c r="C2003" s="2">
        <f>IFERROR(__xludf.DUMMYFUNCTION("""COMPUTED_VALUE"""),570.0)</f>
        <v>570</v>
      </c>
      <c r="D2003" s="3">
        <f>IFERROR(__xludf.DUMMYFUNCTION("""COMPUTED_VALUE"""),381.0)</f>
        <v>381</v>
      </c>
      <c r="E2003" s="2"/>
      <c r="F2003" s="2"/>
    </row>
    <row r="2004">
      <c r="A2004" s="2">
        <f>IFERROR(__xludf.DUMMYFUNCTION("""COMPUTED_VALUE"""),120437.0)</f>
        <v>120437</v>
      </c>
      <c r="B2004" s="2">
        <f>IFERROR(__xludf.DUMMYFUNCTION("""COMPUTED_VALUE"""),0.0)</f>
        <v>0</v>
      </c>
      <c r="C2004" s="2">
        <f>IFERROR(__xludf.DUMMYFUNCTION("""COMPUTED_VALUE"""),121.0)</f>
        <v>121</v>
      </c>
      <c r="D2004" s="3">
        <f>IFERROR(__xludf.DUMMYFUNCTION("""COMPUTED_VALUE"""),43.0)</f>
        <v>43</v>
      </c>
      <c r="E2004" s="2"/>
      <c r="F2004" s="2"/>
    </row>
    <row r="2005">
      <c r="A2005" s="2">
        <f>IFERROR(__xludf.DUMMYFUNCTION("""COMPUTED_VALUE"""),124769.0)</f>
        <v>124769</v>
      </c>
      <c r="B2005" s="2">
        <f>IFERROR(__xludf.DUMMYFUNCTION("""COMPUTED_VALUE"""),1.0)</f>
        <v>1</v>
      </c>
      <c r="C2005" s="2">
        <f>IFERROR(__xludf.DUMMYFUNCTION("""COMPUTED_VALUE"""),410.0)</f>
        <v>410</v>
      </c>
      <c r="D2005" s="3">
        <f>IFERROR(__xludf.DUMMYFUNCTION("""COMPUTED_VALUE"""),127.0)</f>
        <v>127</v>
      </c>
      <c r="E2005" s="2"/>
      <c r="F2005" s="2"/>
    </row>
    <row r="2006">
      <c r="A2006" s="2">
        <f>IFERROR(__xludf.DUMMYFUNCTION("""COMPUTED_VALUE"""),111972.0)</f>
        <v>111972</v>
      </c>
      <c r="B2006" s="2">
        <f>IFERROR(__xludf.DUMMYFUNCTION("""COMPUTED_VALUE"""),0.0)</f>
        <v>0</v>
      </c>
      <c r="C2006" s="2">
        <f>IFERROR(__xludf.DUMMYFUNCTION("""COMPUTED_VALUE"""),132.0)</f>
        <v>132</v>
      </c>
      <c r="D2006" s="3">
        <f>IFERROR(__xludf.DUMMYFUNCTION("""COMPUTED_VALUE"""),105.0)</f>
        <v>105</v>
      </c>
      <c r="E2006" s="2"/>
      <c r="F2006" s="2"/>
    </row>
    <row r="2007">
      <c r="A2007" s="2">
        <f>IFERROR(__xludf.DUMMYFUNCTION("""COMPUTED_VALUE"""),47390.0)</f>
        <v>47390</v>
      </c>
      <c r="B2007" s="2">
        <f>IFERROR(__xludf.DUMMYFUNCTION("""COMPUTED_VALUE"""),0.0)</f>
        <v>0</v>
      </c>
      <c r="C2007" s="2">
        <f>IFERROR(__xludf.DUMMYFUNCTION("""COMPUTED_VALUE"""),961.0)</f>
        <v>961</v>
      </c>
      <c r="D2007" s="3">
        <f>IFERROR(__xludf.DUMMYFUNCTION("""COMPUTED_VALUE"""),119.0)</f>
        <v>119</v>
      </c>
      <c r="E2007" s="2"/>
      <c r="F2007" s="2"/>
    </row>
    <row r="2008">
      <c r="A2008" s="2">
        <f>IFERROR(__xludf.DUMMYFUNCTION("""COMPUTED_VALUE"""),27047.0)</f>
        <v>27047</v>
      </c>
      <c r="B2008" s="2">
        <f>IFERROR(__xludf.DUMMYFUNCTION("""COMPUTED_VALUE"""),0.0)</f>
        <v>0</v>
      </c>
      <c r="C2008" s="2">
        <f>IFERROR(__xludf.DUMMYFUNCTION("""COMPUTED_VALUE"""),347.0)</f>
        <v>347</v>
      </c>
      <c r="D2008" s="3">
        <f>IFERROR(__xludf.DUMMYFUNCTION("""COMPUTED_VALUE"""),66.0)</f>
        <v>66</v>
      </c>
      <c r="E2008" s="2"/>
      <c r="F2008" s="2"/>
    </row>
    <row r="2009">
      <c r="A2009" s="2">
        <f>IFERROR(__xludf.DUMMYFUNCTION("""COMPUTED_VALUE"""),68713.0)</f>
        <v>68713</v>
      </c>
      <c r="B2009" s="2">
        <f>IFERROR(__xludf.DUMMYFUNCTION("""COMPUTED_VALUE"""),1.0)</f>
        <v>1</v>
      </c>
      <c r="C2009" s="2">
        <f>IFERROR(__xludf.DUMMYFUNCTION("""COMPUTED_VALUE"""),581.0)</f>
        <v>581</v>
      </c>
      <c r="D2009" s="3">
        <f>IFERROR(__xludf.DUMMYFUNCTION("""COMPUTED_VALUE"""),534.0)</f>
        <v>534</v>
      </c>
      <c r="E2009" s="2"/>
      <c r="F2009" s="2"/>
    </row>
    <row r="2010">
      <c r="A2010" s="2">
        <f>IFERROR(__xludf.DUMMYFUNCTION("""COMPUTED_VALUE"""),120568.0)</f>
        <v>120568</v>
      </c>
      <c r="B2010" s="2">
        <f>IFERROR(__xludf.DUMMYFUNCTION("""COMPUTED_VALUE"""),1.0)</f>
        <v>1</v>
      </c>
      <c r="C2010" s="2">
        <f>IFERROR(__xludf.DUMMYFUNCTION("""COMPUTED_VALUE"""),948.0)</f>
        <v>948</v>
      </c>
      <c r="D2010" s="3">
        <f>IFERROR(__xludf.DUMMYFUNCTION("""COMPUTED_VALUE"""),38.0)</f>
        <v>38</v>
      </c>
      <c r="E2010" s="2"/>
      <c r="F2010" s="2"/>
    </row>
    <row r="2011">
      <c r="A2011" s="2">
        <f>IFERROR(__xludf.DUMMYFUNCTION("""COMPUTED_VALUE"""),120567.0)</f>
        <v>120567</v>
      </c>
      <c r="B2011" s="2">
        <f>IFERROR(__xludf.DUMMYFUNCTION("""COMPUTED_VALUE"""),1.0)</f>
        <v>1</v>
      </c>
      <c r="C2011" s="2">
        <f>IFERROR(__xludf.DUMMYFUNCTION("""COMPUTED_VALUE"""),682.0)</f>
        <v>682</v>
      </c>
      <c r="D2011" s="3">
        <f>IFERROR(__xludf.DUMMYFUNCTION("""COMPUTED_VALUE"""),46.0)</f>
        <v>46</v>
      </c>
      <c r="E2011" s="2"/>
      <c r="F2011" s="2"/>
    </row>
    <row r="2012">
      <c r="A2012" s="2">
        <f>IFERROR(__xludf.DUMMYFUNCTION("""COMPUTED_VALUE"""),77038.0)</f>
        <v>77038</v>
      </c>
      <c r="B2012" s="2">
        <f>IFERROR(__xludf.DUMMYFUNCTION("""COMPUTED_VALUE"""),1.0)</f>
        <v>1</v>
      </c>
      <c r="C2012" s="2">
        <f>IFERROR(__xludf.DUMMYFUNCTION("""COMPUTED_VALUE"""),579.0)</f>
        <v>579</v>
      </c>
      <c r="D2012" s="3">
        <f>IFERROR(__xludf.DUMMYFUNCTION("""COMPUTED_VALUE"""),468.0)</f>
        <v>468</v>
      </c>
      <c r="E2012" s="2"/>
      <c r="F2012" s="2"/>
    </row>
    <row r="2013">
      <c r="A2013" s="2">
        <f>IFERROR(__xludf.DUMMYFUNCTION("""COMPUTED_VALUE"""),87760.0)</f>
        <v>87760</v>
      </c>
      <c r="B2013" s="2">
        <f>IFERROR(__xludf.DUMMYFUNCTION("""COMPUTED_VALUE"""),1.0)</f>
        <v>1</v>
      </c>
      <c r="C2013" s="2">
        <f>IFERROR(__xludf.DUMMYFUNCTION("""COMPUTED_VALUE"""),892.0)</f>
        <v>892</v>
      </c>
      <c r="D2013" s="3">
        <f>IFERROR(__xludf.DUMMYFUNCTION("""COMPUTED_VALUE"""),338.0)</f>
        <v>338</v>
      </c>
      <c r="E2013" s="2"/>
      <c r="F2013" s="2"/>
    </row>
    <row r="2014">
      <c r="A2014" s="2">
        <f>IFERROR(__xludf.DUMMYFUNCTION("""COMPUTED_VALUE"""),122612.0)</f>
        <v>122612</v>
      </c>
      <c r="B2014" s="2">
        <f>IFERROR(__xludf.DUMMYFUNCTION("""COMPUTED_VALUE"""),0.0)</f>
        <v>0</v>
      </c>
      <c r="C2014" s="2">
        <f>IFERROR(__xludf.DUMMYFUNCTION("""COMPUTED_VALUE"""),482.0)</f>
        <v>482</v>
      </c>
      <c r="D2014" s="3">
        <f>IFERROR(__xludf.DUMMYFUNCTION("""COMPUTED_VALUE"""),235.0)</f>
        <v>235</v>
      </c>
      <c r="E2014" s="2"/>
      <c r="F2014" s="2"/>
    </row>
    <row r="2015">
      <c r="A2015" s="2">
        <f>IFERROR(__xludf.DUMMYFUNCTION("""COMPUTED_VALUE"""),110655.0)</f>
        <v>110655</v>
      </c>
      <c r="B2015" s="2">
        <f>IFERROR(__xludf.DUMMYFUNCTION("""COMPUTED_VALUE"""),1.0)</f>
        <v>1</v>
      </c>
      <c r="C2015" s="2">
        <f>IFERROR(__xludf.DUMMYFUNCTION("""COMPUTED_VALUE"""),191.0)</f>
        <v>191</v>
      </c>
      <c r="D2015" s="3">
        <f>IFERROR(__xludf.DUMMYFUNCTION("""COMPUTED_VALUE"""),183.0)</f>
        <v>183</v>
      </c>
      <c r="E2015" s="2"/>
      <c r="F2015" s="2"/>
    </row>
    <row r="2016">
      <c r="A2016" s="2">
        <f>IFERROR(__xludf.DUMMYFUNCTION("""COMPUTED_VALUE"""),87785.0)</f>
        <v>87785</v>
      </c>
      <c r="B2016" s="2">
        <f>IFERROR(__xludf.DUMMYFUNCTION("""COMPUTED_VALUE"""),0.0)</f>
        <v>0</v>
      </c>
      <c r="C2016" s="2">
        <f>IFERROR(__xludf.DUMMYFUNCTION("""COMPUTED_VALUE"""),314.0)</f>
        <v>314</v>
      </c>
      <c r="D2016" s="3">
        <f>IFERROR(__xludf.DUMMYFUNCTION("""COMPUTED_VALUE"""),256.0)</f>
        <v>256</v>
      </c>
      <c r="E2016" s="2"/>
      <c r="F2016" s="2"/>
    </row>
    <row r="2017">
      <c r="A2017" s="2">
        <f>IFERROR(__xludf.DUMMYFUNCTION("""COMPUTED_VALUE"""),122629.0)</f>
        <v>122629</v>
      </c>
      <c r="B2017" s="2">
        <f>IFERROR(__xludf.DUMMYFUNCTION("""COMPUTED_VALUE"""),1.0)</f>
        <v>1</v>
      </c>
      <c r="C2017" s="2">
        <f>IFERROR(__xludf.DUMMYFUNCTION("""COMPUTED_VALUE"""),150.0)</f>
        <v>150</v>
      </c>
      <c r="D2017" s="3">
        <f>IFERROR(__xludf.DUMMYFUNCTION("""COMPUTED_VALUE"""),147.0)</f>
        <v>147</v>
      </c>
      <c r="E2017" s="2"/>
      <c r="F2017" s="2"/>
    </row>
    <row r="2018">
      <c r="A2018" s="2">
        <f>IFERROR(__xludf.DUMMYFUNCTION("""COMPUTED_VALUE"""),122614.0)</f>
        <v>122614</v>
      </c>
      <c r="B2018" s="2">
        <f>IFERROR(__xludf.DUMMYFUNCTION("""COMPUTED_VALUE"""),1.0)</f>
        <v>1</v>
      </c>
      <c r="C2018" s="2">
        <f>IFERROR(__xludf.DUMMYFUNCTION("""COMPUTED_VALUE"""),904.0)</f>
        <v>904</v>
      </c>
      <c r="D2018" s="3">
        <f>IFERROR(__xludf.DUMMYFUNCTION("""COMPUTED_VALUE"""),671.0)</f>
        <v>671</v>
      </c>
      <c r="E2018" s="2"/>
      <c r="F2018" s="2"/>
    </row>
    <row r="2019">
      <c r="A2019" s="2">
        <f>IFERROR(__xludf.DUMMYFUNCTION("""COMPUTED_VALUE"""),122788.0)</f>
        <v>122788</v>
      </c>
      <c r="B2019" s="2">
        <f>IFERROR(__xludf.DUMMYFUNCTION("""COMPUTED_VALUE"""),1.0)</f>
        <v>1</v>
      </c>
      <c r="C2019" s="2">
        <f>IFERROR(__xludf.DUMMYFUNCTION("""COMPUTED_VALUE"""),158.0)</f>
        <v>158</v>
      </c>
      <c r="D2019" s="3">
        <f>IFERROR(__xludf.DUMMYFUNCTION("""COMPUTED_VALUE"""),148.0)</f>
        <v>148</v>
      </c>
      <c r="E2019" s="2"/>
      <c r="F2019" s="2"/>
    </row>
    <row r="2020">
      <c r="A2020" s="2">
        <f>IFERROR(__xludf.DUMMYFUNCTION("""COMPUTED_VALUE"""),20226.0)</f>
        <v>20226</v>
      </c>
      <c r="B2020" s="2">
        <f>IFERROR(__xludf.DUMMYFUNCTION("""COMPUTED_VALUE"""),1.0)</f>
        <v>1</v>
      </c>
      <c r="C2020" s="2">
        <f>IFERROR(__xludf.DUMMYFUNCTION("""COMPUTED_VALUE"""),167.0)</f>
        <v>167</v>
      </c>
      <c r="D2020" s="3">
        <f>IFERROR(__xludf.DUMMYFUNCTION("""COMPUTED_VALUE"""),29.0)</f>
        <v>29</v>
      </c>
      <c r="E2020" s="2"/>
      <c r="F2020" s="2"/>
    </row>
    <row r="2021">
      <c r="A2021" s="2">
        <f>IFERROR(__xludf.DUMMYFUNCTION("""COMPUTED_VALUE"""),120894.0)</f>
        <v>120894</v>
      </c>
      <c r="B2021" s="2">
        <f>IFERROR(__xludf.DUMMYFUNCTION("""COMPUTED_VALUE"""),1.0)</f>
        <v>1</v>
      </c>
      <c r="C2021" s="2">
        <f>IFERROR(__xludf.DUMMYFUNCTION("""COMPUTED_VALUE"""),59.0)</f>
        <v>59</v>
      </c>
      <c r="D2021" s="3">
        <f>IFERROR(__xludf.DUMMYFUNCTION("""COMPUTED_VALUE"""),10.0)</f>
        <v>10</v>
      </c>
      <c r="E2021" s="2"/>
      <c r="F2021" s="2"/>
    </row>
    <row r="2022">
      <c r="A2022" s="2">
        <f>IFERROR(__xludf.DUMMYFUNCTION("""COMPUTED_VALUE"""),46762.0)</f>
        <v>46762</v>
      </c>
      <c r="B2022" s="2">
        <f>IFERROR(__xludf.DUMMYFUNCTION("""COMPUTED_VALUE"""),0.0)</f>
        <v>0</v>
      </c>
      <c r="C2022" s="2">
        <f>IFERROR(__xludf.DUMMYFUNCTION("""COMPUTED_VALUE"""),653.0)</f>
        <v>653</v>
      </c>
      <c r="D2022" s="3">
        <f>IFERROR(__xludf.DUMMYFUNCTION("""COMPUTED_VALUE"""),38.0)</f>
        <v>38</v>
      </c>
      <c r="E2022" s="2"/>
      <c r="F2022" s="2"/>
    </row>
    <row r="2023">
      <c r="A2023" s="2">
        <f>IFERROR(__xludf.DUMMYFUNCTION("""COMPUTED_VALUE"""),118212.0)</f>
        <v>118212</v>
      </c>
      <c r="B2023" s="2">
        <f>IFERROR(__xludf.DUMMYFUNCTION("""COMPUTED_VALUE"""),0.0)</f>
        <v>0</v>
      </c>
      <c r="C2023" s="2">
        <f>IFERROR(__xludf.DUMMYFUNCTION("""COMPUTED_VALUE"""),704.0)</f>
        <v>704</v>
      </c>
      <c r="D2023" s="3">
        <f>IFERROR(__xludf.DUMMYFUNCTION("""COMPUTED_VALUE"""),310.0)</f>
        <v>310</v>
      </c>
      <c r="E2023" s="2"/>
      <c r="F2023" s="2"/>
    </row>
    <row r="2024">
      <c r="A2024" s="2">
        <f>IFERROR(__xludf.DUMMYFUNCTION("""COMPUTED_VALUE"""),150950.0)</f>
        <v>150950</v>
      </c>
      <c r="B2024" s="2">
        <f>IFERROR(__xludf.DUMMYFUNCTION("""COMPUTED_VALUE"""),1.0)</f>
        <v>1</v>
      </c>
      <c r="C2024" s="2">
        <f>IFERROR(__xludf.DUMMYFUNCTION("""COMPUTED_VALUE"""),138.0)</f>
        <v>138</v>
      </c>
      <c r="D2024" s="3">
        <f>IFERROR(__xludf.DUMMYFUNCTION("""COMPUTED_VALUE"""),68.0)</f>
        <v>68</v>
      </c>
      <c r="E2024" s="2"/>
      <c r="F2024" s="2"/>
    </row>
    <row r="2025">
      <c r="A2025" s="2">
        <f>IFERROR(__xludf.DUMMYFUNCTION("""COMPUTED_VALUE"""),190106.0)</f>
        <v>190106</v>
      </c>
      <c r="B2025" s="2">
        <f>IFERROR(__xludf.DUMMYFUNCTION("""COMPUTED_VALUE"""),1.0)</f>
        <v>1</v>
      </c>
      <c r="C2025" s="2">
        <f>IFERROR(__xludf.DUMMYFUNCTION("""COMPUTED_VALUE"""),833.0)</f>
        <v>833</v>
      </c>
      <c r="D2025" s="3">
        <f>IFERROR(__xludf.DUMMYFUNCTION("""COMPUTED_VALUE"""),200.0)</f>
        <v>200</v>
      </c>
      <c r="E2025" s="2"/>
      <c r="F2025" s="2"/>
    </row>
    <row r="2026">
      <c r="A2026" s="2">
        <f>IFERROR(__xludf.DUMMYFUNCTION("""COMPUTED_VALUE"""),79810.0)</f>
        <v>79810</v>
      </c>
      <c r="B2026" s="2">
        <f>IFERROR(__xludf.DUMMYFUNCTION("""COMPUTED_VALUE"""),1.0)</f>
        <v>1</v>
      </c>
      <c r="C2026" s="2">
        <f>IFERROR(__xludf.DUMMYFUNCTION("""COMPUTED_VALUE"""),31.0)</f>
        <v>31</v>
      </c>
      <c r="D2026" s="3">
        <f>IFERROR(__xludf.DUMMYFUNCTION("""COMPUTED_VALUE"""),14.0)</f>
        <v>14</v>
      </c>
      <c r="E2026" s="2"/>
      <c r="F2026" s="2"/>
    </row>
    <row r="2027">
      <c r="A2027" s="2">
        <f>IFERROR(__xludf.DUMMYFUNCTION("""COMPUTED_VALUE"""),82459.0)</f>
        <v>82459</v>
      </c>
      <c r="B2027" s="2">
        <f>IFERROR(__xludf.DUMMYFUNCTION("""COMPUTED_VALUE"""),0.0)</f>
        <v>0</v>
      </c>
      <c r="C2027" s="2">
        <f>IFERROR(__xludf.DUMMYFUNCTION("""COMPUTED_VALUE"""),704.0)</f>
        <v>704</v>
      </c>
      <c r="D2027" s="3">
        <f>IFERROR(__xludf.DUMMYFUNCTION("""COMPUTED_VALUE"""),567.0)</f>
        <v>567</v>
      </c>
      <c r="E2027" s="2"/>
      <c r="F2027" s="2"/>
    </row>
    <row r="2028">
      <c r="A2028" s="2">
        <f>IFERROR(__xludf.DUMMYFUNCTION("""COMPUTED_VALUE"""),49360.0)</f>
        <v>49360</v>
      </c>
      <c r="B2028" s="2">
        <f>IFERROR(__xludf.DUMMYFUNCTION("""COMPUTED_VALUE"""),1.0)</f>
        <v>1</v>
      </c>
      <c r="C2028" s="2">
        <f>IFERROR(__xludf.DUMMYFUNCTION("""COMPUTED_VALUE"""),804.0)</f>
        <v>804</v>
      </c>
      <c r="D2028" s="3">
        <f>IFERROR(__xludf.DUMMYFUNCTION("""COMPUTED_VALUE"""),234.0)</f>
        <v>234</v>
      </c>
      <c r="E2028" s="2"/>
      <c r="F2028" s="2"/>
    </row>
    <row r="2029">
      <c r="A2029" s="2">
        <f>IFERROR(__xludf.DUMMYFUNCTION("""COMPUTED_VALUE"""),194507.0)</f>
        <v>194507</v>
      </c>
      <c r="B2029" s="2">
        <f>IFERROR(__xludf.DUMMYFUNCTION("""COMPUTED_VALUE"""),0.0)</f>
        <v>0</v>
      </c>
      <c r="C2029" s="2">
        <f>IFERROR(__xludf.DUMMYFUNCTION("""COMPUTED_VALUE"""),384.0)</f>
        <v>384</v>
      </c>
      <c r="D2029" s="3">
        <f>IFERROR(__xludf.DUMMYFUNCTION("""COMPUTED_VALUE"""),113.0)</f>
        <v>113</v>
      </c>
      <c r="E2029" s="2"/>
      <c r="F2029" s="2"/>
    </row>
    <row r="2030">
      <c r="A2030" s="2">
        <f>IFERROR(__xludf.DUMMYFUNCTION("""COMPUTED_VALUE"""),82453.0)</f>
        <v>82453</v>
      </c>
      <c r="B2030" s="2">
        <f>IFERROR(__xludf.DUMMYFUNCTION("""COMPUTED_VALUE"""),1.0)</f>
        <v>1</v>
      </c>
      <c r="C2030" s="2">
        <f>IFERROR(__xludf.DUMMYFUNCTION("""COMPUTED_VALUE"""),381.0)</f>
        <v>381</v>
      </c>
      <c r="D2030" s="3">
        <f>IFERROR(__xludf.DUMMYFUNCTION("""COMPUTED_VALUE"""),269.0)</f>
        <v>269</v>
      </c>
      <c r="E2030" s="2"/>
      <c r="F2030" s="2"/>
    </row>
    <row r="2031">
      <c r="A2031" s="2">
        <f>IFERROR(__xludf.DUMMYFUNCTION("""COMPUTED_VALUE"""),79669.0)</f>
        <v>79669</v>
      </c>
      <c r="B2031" s="2">
        <f>IFERROR(__xludf.DUMMYFUNCTION("""COMPUTED_VALUE"""),1.0)</f>
        <v>1</v>
      </c>
      <c r="C2031" s="2">
        <f>IFERROR(__xludf.DUMMYFUNCTION("""COMPUTED_VALUE"""),498.0)</f>
        <v>498</v>
      </c>
      <c r="D2031" s="3">
        <f>IFERROR(__xludf.DUMMYFUNCTION("""COMPUTED_VALUE"""),394.0)</f>
        <v>394</v>
      </c>
      <c r="E2031" s="2"/>
      <c r="F2031" s="2"/>
    </row>
    <row r="2032">
      <c r="A2032" s="2">
        <f>IFERROR(__xludf.DUMMYFUNCTION("""COMPUTED_VALUE"""),122294.0)</f>
        <v>122294</v>
      </c>
      <c r="B2032" s="2">
        <f>IFERROR(__xludf.DUMMYFUNCTION("""COMPUTED_VALUE"""),0.0)</f>
        <v>0</v>
      </c>
      <c r="C2032" s="2">
        <f>IFERROR(__xludf.DUMMYFUNCTION("""COMPUTED_VALUE"""),859.0)</f>
        <v>859</v>
      </c>
      <c r="D2032" s="3">
        <f>IFERROR(__xludf.DUMMYFUNCTION("""COMPUTED_VALUE"""),797.0)</f>
        <v>797</v>
      </c>
      <c r="E2032" s="2"/>
      <c r="F2032" s="2"/>
    </row>
    <row r="2033">
      <c r="A2033" s="2">
        <f>IFERROR(__xludf.DUMMYFUNCTION("""COMPUTED_VALUE"""),73245.0)</f>
        <v>73245</v>
      </c>
      <c r="B2033" s="2">
        <f>IFERROR(__xludf.DUMMYFUNCTION("""COMPUTED_VALUE"""),0.0)</f>
        <v>0</v>
      </c>
      <c r="C2033" s="2">
        <f>IFERROR(__xludf.DUMMYFUNCTION("""COMPUTED_VALUE"""),44.0)</f>
        <v>44</v>
      </c>
      <c r="D2033" s="3">
        <f>IFERROR(__xludf.DUMMYFUNCTION("""COMPUTED_VALUE"""),44.0)</f>
        <v>44</v>
      </c>
      <c r="E2033" s="2"/>
      <c r="F2033" s="2"/>
    </row>
    <row r="2034">
      <c r="A2034" s="2">
        <f>IFERROR(__xludf.DUMMYFUNCTION("""COMPUTED_VALUE"""),122082.0)</f>
        <v>122082</v>
      </c>
      <c r="B2034" s="2">
        <f>IFERROR(__xludf.DUMMYFUNCTION("""COMPUTED_VALUE"""),0.0)</f>
        <v>0</v>
      </c>
      <c r="C2034" s="2">
        <f>IFERROR(__xludf.DUMMYFUNCTION("""COMPUTED_VALUE"""),684.0)</f>
        <v>684</v>
      </c>
      <c r="D2034" s="3">
        <f>IFERROR(__xludf.DUMMYFUNCTION("""COMPUTED_VALUE"""),273.0)</f>
        <v>273</v>
      </c>
      <c r="E2034" s="2"/>
      <c r="F2034" s="2"/>
    </row>
    <row r="2035">
      <c r="A2035" s="2">
        <f>IFERROR(__xludf.DUMMYFUNCTION("""COMPUTED_VALUE"""),194501.0)</f>
        <v>194501</v>
      </c>
      <c r="B2035" s="2">
        <f>IFERROR(__xludf.DUMMYFUNCTION("""COMPUTED_VALUE"""),0.0)</f>
        <v>0</v>
      </c>
      <c r="C2035" s="2">
        <f>IFERROR(__xludf.DUMMYFUNCTION("""COMPUTED_VALUE"""),372.0)</f>
        <v>372</v>
      </c>
      <c r="D2035" s="3">
        <f>IFERROR(__xludf.DUMMYFUNCTION("""COMPUTED_VALUE"""),148.0)</f>
        <v>148</v>
      </c>
      <c r="E2035" s="2"/>
      <c r="F2035" s="2"/>
    </row>
    <row r="2036">
      <c r="A2036" s="2">
        <f>IFERROR(__xludf.DUMMYFUNCTION("""COMPUTED_VALUE"""),79105.0)</f>
        <v>79105</v>
      </c>
      <c r="B2036" s="2">
        <f>IFERROR(__xludf.DUMMYFUNCTION("""COMPUTED_VALUE"""),1.0)</f>
        <v>1</v>
      </c>
      <c r="C2036" s="2">
        <f>IFERROR(__xludf.DUMMYFUNCTION("""COMPUTED_VALUE"""),785.0)</f>
        <v>785</v>
      </c>
      <c r="D2036" s="3">
        <f>IFERROR(__xludf.DUMMYFUNCTION("""COMPUTED_VALUE"""),90.0)</f>
        <v>90</v>
      </c>
      <c r="E2036" s="2"/>
      <c r="F2036" s="2"/>
    </row>
    <row r="2037">
      <c r="A2037" s="2">
        <f>IFERROR(__xludf.DUMMYFUNCTION("""COMPUTED_VALUE"""),87769.0)</f>
        <v>87769</v>
      </c>
      <c r="B2037" s="2">
        <f>IFERROR(__xludf.DUMMYFUNCTION("""COMPUTED_VALUE"""),1.0)</f>
        <v>1</v>
      </c>
      <c r="C2037" s="2">
        <f>IFERROR(__xludf.DUMMYFUNCTION("""COMPUTED_VALUE"""),603.0)</f>
        <v>603</v>
      </c>
      <c r="D2037" s="3">
        <f>IFERROR(__xludf.DUMMYFUNCTION("""COMPUTED_VALUE"""),82.0)</f>
        <v>82</v>
      </c>
      <c r="E2037" s="2"/>
      <c r="F2037" s="2"/>
    </row>
    <row r="2038">
      <c r="A2038" s="2">
        <f>IFERROR(__xludf.DUMMYFUNCTION("""COMPUTED_VALUE"""),9734.0)</f>
        <v>9734</v>
      </c>
      <c r="B2038" s="2">
        <f>IFERROR(__xludf.DUMMYFUNCTION("""COMPUTED_VALUE"""),0.0)</f>
        <v>0</v>
      </c>
      <c r="C2038" s="2">
        <f>IFERROR(__xludf.DUMMYFUNCTION("""COMPUTED_VALUE"""),997.0)</f>
        <v>997</v>
      </c>
      <c r="D2038" s="3">
        <f>IFERROR(__xludf.DUMMYFUNCTION("""COMPUTED_VALUE"""),970.0)</f>
        <v>970</v>
      </c>
      <c r="E2038" s="2"/>
      <c r="F2038" s="2"/>
    </row>
    <row r="2039">
      <c r="A2039" s="2">
        <f>IFERROR(__xludf.DUMMYFUNCTION("""COMPUTED_VALUE"""),149615.0)</f>
        <v>149615</v>
      </c>
      <c r="B2039" s="2">
        <f>IFERROR(__xludf.DUMMYFUNCTION("""COMPUTED_VALUE"""),1.0)</f>
        <v>1</v>
      </c>
      <c r="C2039" s="2">
        <f>IFERROR(__xludf.DUMMYFUNCTION("""COMPUTED_VALUE"""),847.0)</f>
        <v>847</v>
      </c>
      <c r="D2039" s="3">
        <f>IFERROR(__xludf.DUMMYFUNCTION("""COMPUTED_VALUE"""),309.0)</f>
        <v>309</v>
      </c>
      <c r="E2039" s="2"/>
      <c r="F2039" s="2"/>
    </row>
    <row r="2040">
      <c r="A2040" s="2">
        <f>IFERROR(__xludf.DUMMYFUNCTION("""COMPUTED_VALUE"""),108966.0)</f>
        <v>108966</v>
      </c>
      <c r="B2040" s="2">
        <f>IFERROR(__xludf.DUMMYFUNCTION("""COMPUTED_VALUE"""),1.0)</f>
        <v>1</v>
      </c>
      <c r="C2040" s="2">
        <f>IFERROR(__xludf.DUMMYFUNCTION("""COMPUTED_VALUE"""),882.0)</f>
        <v>882</v>
      </c>
      <c r="D2040" s="3">
        <f>IFERROR(__xludf.DUMMYFUNCTION("""COMPUTED_VALUE"""),178.0)</f>
        <v>178</v>
      </c>
      <c r="E2040" s="2"/>
      <c r="F2040" s="2"/>
    </row>
    <row r="2041">
      <c r="A2041" s="2">
        <f>IFERROR(__xludf.DUMMYFUNCTION("""COMPUTED_VALUE"""),116943.0)</f>
        <v>116943</v>
      </c>
      <c r="B2041" s="2">
        <f>IFERROR(__xludf.DUMMYFUNCTION("""COMPUTED_VALUE"""),1.0)</f>
        <v>1</v>
      </c>
      <c r="C2041" s="2">
        <f>IFERROR(__xludf.DUMMYFUNCTION("""COMPUTED_VALUE"""),283.0)</f>
        <v>283</v>
      </c>
      <c r="D2041" s="3">
        <f>IFERROR(__xludf.DUMMYFUNCTION("""COMPUTED_VALUE"""),126.0)</f>
        <v>126</v>
      </c>
      <c r="E2041" s="2"/>
      <c r="F2041" s="2"/>
    </row>
    <row r="2042">
      <c r="A2042" s="2">
        <f>IFERROR(__xludf.DUMMYFUNCTION("""COMPUTED_VALUE"""),46769.0)</f>
        <v>46769</v>
      </c>
      <c r="B2042" s="2">
        <f>IFERROR(__xludf.DUMMYFUNCTION("""COMPUTED_VALUE"""),0.0)</f>
        <v>0</v>
      </c>
      <c r="C2042" s="2">
        <f>IFERROR(__xludf.DUMMYFUNCTION("""COMPUTED_VALUE"""),273.0)</f>
        <v>273</v>
      </c>
      <c r="D2042" s="3">
        <f>IFERROR(__xludf.DUMMYFUNCTION("""COMPUTED_VALUE"""),129.0)</f>
        <v>129</v>
      </c>
      <c r="E2042" s="2"/>
      <c r="F2042" s="2"/>
    </row>
    <row r="2043">
      <c r="A2043" s="2">
        <f>IFERROR(__xludf.DUMMYFUNCTION("""COMPUTED_VALUE"""),87766.0)</f>
        <v>87766</v>
      </c>
      <c r="B2043" s="2">
        <f>IFERROR(__xludf.DUMMYFUNCTION("""COMPUTED_VALUE"""),1.0)</f>
        <v>1</v>
      </c>
      <c r="C2043" s="2">
        <f>IFERROR(__xludf.DUMMYFUNCTION("""COMPUTED_VALUE"""),636.0)</f>
        <v>636</v>
      </c>
      <c r="D2043" s="3">
        <f>IFERROR(__xludf.DUMMYFUNCTION("""COMPUTED_VALUE"""),52.0)</f>
        <v>52</v>
      </c>
      <c r="E2043" s="2"/>
      <c r="F2043" s="2"/>
    </row>
    <row r="2044">
      <c r="A2044" s="2">
        <f>IFERROR(__xludf.DUMMYFUNCTION("""COMPUTED_VALUE"""),110701.0)</f>
        <v>110701</v>
      </c>
      <c r="B2044" s="2">
        <f>IFERROR(__xludf.DUMMYFUNCTION("""COMPUTED_VALUE"""),1.0)</f>
        <v>1</v>
      </c>
      <c r="C2044" s="2">
        <f>IFERROR(__xludf.DUMMYFUNCTION("""COMPUTED_VALUE"""),641.0)</f>
        <v>641</v>
      </c>
      <c r="D2044" s="3">
        <f>IFERROR(__xludf.DUMMYFUNCTION("""COMPUTED_VALUE"""),46.0)</f>
        <v>46</v>
      </c>
      <c r="E2044" s="2"/>
      <c r="F2044" s="2"/>
    </row>
    <row r="2045">
      <c r="A2045" s="2">
        <f>IFERROR(__xludf.DUMMYFUNCTION("""COMPUTED_VALUE"""),4205.0)</f>
        <v>4205</v>
      </c>
      <c r="B2045" s="2">
        <f>IFERROR(__xludf.DUMMYFUNCTION("""COMPUTED_VALUE"""),1.0)</f>
        <v>1</v>
      </c>
      <c r="C2045" s="2">
        <f>IFERROR(__xludf.DUMMYFUNCTION("""COMPUTED_VALUE"""),202.0)</f>
        <v>202</v>
      </c>
      <c r="D2045" s="3">
        <f>IFERROR(__xludf.DUMMYFUNCTION("""COMPUTED_VALUE"""),172.0)</f>
        <v>172</v>
      </c>
      <c r="E2045" s="2"/>
      <c r="F2045" s="2"/>
    </row>
    <row r="2046">
      <c r="A2046" s="2">
        <f>IFERROR(__xludf.DUMMYFUNCTION("""COMPUTED_VALUE"""),122615.0)</f>
        <v>122615</v>
      </c>
      <c r="B2046" s="2">
        <f>IFERROR(__xludf.DUMMYFUNCTION("""COMPUTED_VALUE"""),0.0)</f>
        <v>0</v>
      </c>
      <c r="C2046" s="2">
        <f>IFERROR(__xludf.DUMMYFUNCTION("""COMPUTED_VALUE"""),349.0)</f>
        <v>349</v>
      </c>
      <c r="D2046" s="3">
        <f>IFERROR(__xludf.DUMMYFUNCTION("""COMPUTED_VALUE"""),271.0)</f>
        <v>271</v>
      </c>
      <c r="E2046" s="2"/>
      <c r="F2046" s="2"/>
    </row>
    <row r="2047">
      <c r="A2047" s="2">
        <f>IFERROR(__xludf.DUMMYFUNCTION("""COMPUTED_VALUE"""),87800.0)</f>
        <v>87800</v>
      </c>
      <c r="B2047" s="2">
        <f>IFERROR(__xludf.DUMMYFUNCTION("""COMPUTED_VALUE"""),1.0)</f>
        <v>1</v>
      </c>
      <c r="C2047" s="2">
        <f>IFERROR(__xludf.DUMMYFUNCTION("""COMPUTED_VALUE"""),918.0)</f>
        <v>918</v>
      </c>
      <c r="D2047" s="3">
        <f>IFERROR(__xludf.DUMMYFUNCTION("""COMPUTED_VALUE"""),369.0)</f>
        <v>369</v>
      </c>
      <c r="E2047" s="2"/>
      <c r="F2047" s="2"/>
    </row>
    <row r="2048">
      <c r="A2048" s="2">
        <f>IFERROR(__xludf.DUMMYFUNCTION("""COMPUTED_VALUE"""),87801.0)</f>
        <v>87801</v>
      </c>
      <c r="B2048" s="2">
        <f>IFERROR(__xludf.DUMMYFUNCTION("""COMPUTED_VALUE"""),1.0)</f>
        <v>1</v>
      </c>
      <c r="C2048" s="2">
        <f>IFERROR(__xludf.DUMMYFUNCTION("""COMPUTED_VALUE"""),271.0)</f>
        <v>271</v>
      </c>
      <c r="D2048" s="3">
        <f>IFERROR(__xludf.DUMMYFUNCTION("""COMPUTED_VALUE"""),248.0)</f>
        <v>248</v>
      </c>
      <c r="E2048" s="2"/>
      <c r="F2048" s="2"/>
    </row>
    <row r="2049">
      <c r="A2049" s="2">
        <f>IFERROR(__xludf.DUMMYFUNCTION("""COMPUTED_VALUE"""),87767.0)</f>
        <v>87767</v>
      </c>
      <c r="B2049" s="2">
        <f>IFERROR(__xludf.DUMMYFUNCTION("""COMPUTED_VALUE"""),0.0)</f>
        <v>0</v>
      </c>
      <c r="C2049" s="2">
        <f>IFERROR(__xludf.DUMMYFUNCTION("""COMPUTED_VALUE"""),513.0)</f>
        <v>513</v>
      </c>
      <c r="D2049" s="3">
        <f>IFERROR(__xludf.DUMMYFUNCTION("""COMPUTED_VALUE"""),168.0)</f>
        <v>168</v>
      </c>
      <c r="E2049" s="2"/>
      <c r="F2049" s="2"/>
    </row>
    <row r="2050">
      <c r="A2050" s="2">
        <f>IFERROR(__xludf.DUMMYFUNCTION("""COMPUTED_VALUE"""),82454.0)</f>
        <v>82454</v>
      </c>
      <c r="B2050" s="2">
        <f>IFERROR(__xludf.DUMMYFUNCTION("""COMPUTED_VALUE"""),1.0)</f>
        <v>1</v>
      </c>
      <c r="C2050" s="2">
        <f>IFERROR(__xludf.DUMMYFUNCTION("""COMPUTED_VALUE"""),259.0)</f>
        <v>259</v>
      </c>
      <c r="D2050" s="3">
        <f>IFERROR(__xludf.DUMMYFUNCTION("""COMPUTED_VALUE"""),233.0)</f>
        <v>233</v>
      </c>
      <c r="E2050" s="2"/>
      <c r="F2050" s="2"/>
    </row>
    <row r="2051">
      <c r="A2051" s="2">
        <f>IFERROR(__xludf.DUMMYFUNCTION("""COMPUTED_VALUE"""),194506.0)</f>
        <v>194506</v>
      </c>
      <c r="B2051" s="2">
        <f>IFERROR(__xludf.DUMMYFUNCTION("""COMPUTED_VALUE"""),1.0)</f>
        <v>1</v>
      </c>
      <c r="C2051" s="2">
        <f>IFERROR(__xludf.DUMMYFUNCTION("""COMPUTED_VALUE"""),256.0)</f>
        <v>256</v>
      </c>
      <c r="D2051" s="3">
        <f>IFERROR(__xludf.DUMMYFUNCTION("""COMPUTED_VALUE"""),16.0)</f>
        <v>16</v>
      </c>
      <c r="E2051" s="2"/>
      <c r="F2051" s="2"/>
    </row>
    <row r="2052">
      <c r="A2052" s="2">
        <f>IFERROR(__xludf.DUMMYFUNCTION("""COMPUTED_VALUE"""),16240.0)</f>
        <v>16240</v>
      </c>
      <c r="B2052" s="2">
        <f>IFERROR(__xludf.DUMMYFUNCTION("""COMPUTED_VALUE"""),1.0)</f>
        <v>1</v>
      </c>
      <c r="C2052" s="2">
        <f>IFERROR(__xludf.DUMMYFUNCTION("""COMPUTED_VALUE"""),82.0)</f>
        <v>82</v>
      </c>
      <c r="D2052" s="3">
        <f>IFERROR(__xludf.DUMMYFUNCTION("""COMPUTED_VALUE"""),17.0)</f>
        <v>17</v>
      </c>
      <c r="E2052" s="2"/>
      <c r="F2052" s="2"/>
    </row>
    <row r="2053">
      <c r="A2053" s="2">
        <f>IFERROR(__xludf.DUMMYFUNCTION("""COMPUTED_VALUE"""),16237.0)</f>
        <v>16237</v>
      </c>
      <c r="B2053" s="2">
        <f>IFERROR(__xludf.DUMMYFUNCTION("""COMPUTED_VALUE"""),0.0)</f>
        <v>0</v>
      </c>
      <c r="C2053" s="2">
        <f>IFERROR(__xludf.DUMMYFUNCTION("""COMPUTED_VALUE"""),870.0)</f>
        <v>870</v>
      </c>
      <c r="D2053" s="3">
        <f>IFERROR(__xludf.DUMMYFUNCTION("""COMPUTED_VALUE"""),170.0)</f>
        <v>170</v>
      </c>
      <c r="E2053" s="2"/>
      <c r="F2053" s="2"/>
    </row>
    <row r="2054">
      <c r="A2054" s="2">
        <f>IFERROR(__xludf.DUMMYFUNCTION("""COMPUTED_VALUE"""),122760.0)</f>
        <v>122760</v>
      </c>
      <c r="B2054" s="2">
        <f>IFERROR(__xludf.DUMMYFUNCTION("""COMPUTED_VALUE"""),1.0)</f>
        <v>1</v>
      </c>
      <c r="C2054" s="2">
        <f>IFERROR(__xludf.DUMMYFUNCTION("""COMPUTED_VALUE"""),352.0)</f>
        <v>352</v>
      </c>
      <c r="D2054" s="3">
        <f>IFERROR(__xludf.DUMMYFUNCTION("""COMPUTED_VALUE"""),218.0)</f>
        <v>218</v>
      </c>
      <c r="E2054" s="2"/>
      <c r="F2054" s="2"/>
    </row>
    <row r="2055">
      <c r="A2055" s="2">
        <f>IFERROR(__xludf.DUMMYFUNCTION("""COMPUTED_VALUE"""),82446.0)</f>
        <v>82446</v>
      </c>
      <c r="B2055" s="2">
        <f>IFERROR(__xludf.DUMMYFUNCTION("""COMPUTED_VALUE"""),0.0)</f>
        <v>0</v>
      </c>
      <c r="C2055" s="2">
        <f>IFERROR(__xludf.DUMMYFUNCTION("""COMPUTED_VALUE"""),101.0)</f>
        <v>101</v>
      </c>
      <c r="D2055" s="3">
        <f>IFERROR(__xludf.DUMMYFUNCTION("""COMPUTED_VALUE"""),97.0)</f>
        <v>97</v>
      </c>
      <c r="E2055" s="2"/>
      <c r="F2055" s="2"/>
    </row>
    <row r="2056">
      <c r="A2056" s="2">
        <f>IFERROR(__xludf.DUMMYFUNCTION("""COMPUTED_VALUE"""),118333.0)</f>
        <v>118333</v>
      </c>
      <c r="B2056" s="2">
        <f>IFERROR(__xludf.DUMMYFUNCTION("""COMPUTED_VALUE"""),0.0)</f>
        <v>0</v>
      </c>
      <c r="C2056" s="2">
        <f>IFERROR(__xludf.DUMMYFUNCTION("""COMPUTED_VALUE"""),34.0)</f>
        <v>34</v>
      </c>
      <c r="D2056" s="3">
        <f>IFERROR(__xludf.DUMMYFUNCTION("""COMPUTED_VALUE"""),1.0)</f>
        <v>1</v>
      </c>
      <c r="E2056" s="2"/>
      <c r="F2056" s="2"/>
    </row>
    <row r="2057">
      <c r="A2057" s="2">
        <f>IFERROR(__xludf.DUMMYFUNCTION("""COMPUTED_VALUE"""),122774.0)</f>
        <v>122774</v>
      </c>
      <c r="B2057" s="2">
        <f>IFERROR(__xludf.DUMMYFUNCTION("""COMPUTED_VALUE"""),0.0)</f>
        <v>0</v>
      </c>
      <c r="C2057" s="2">
        <f>IFERROR(__xludf.DUMMYFUNCTION("""COMPUTED_VALUE"""),627.0)</f>
        <v>627</v>
      </c>
      <c r="D2057" s="3">
        <f>IFERROR(__xludf.DUMMYFUNCTION("""COMPUTED_VALUE"""),210.0)</f>
        <v>210</v>
      </c>
      <c r="E2057" s="2"/>
      <c r="F2057" s="2"/>
    </row>
    <row r="2058">
      <c r="A2058" s="2">
        <f>IFERROR(__xludf.DUMMYFUNCTION("""COMPUTED_VALUE"""),87789.0)</f>
        <v>87789</v>
      </c>
      <c r="B2058" s="2">
        <f>IFERROR(__xludf.DUMMYFUNCTION("""COMPUTED_VALUE"""),0.0)</f>
        <v>0</v>
      </c>
      <c r="C2058" s="2">
        <f>IFERROR(__xludf.DUMMYFUNCTION("""COMPUTED_VALUE"""),448.0)</f>
        <v>448</v>
      </c>
      <c r="D2058" s="3">
        <f>IFERROR(__xludf.DUMMYFUNCTION("""COMPUTED_VALUE"""),310.0)</f>
        <v>310</v>
      </c>
      <c r="E2058" s="2"/>
      <c r="F2058" s="2"/>
    </row>
    <row r="2059">
      <c r="A2059" s="2">
        <f>IFERROR(__xludf.DUMMYFUNCTION("""COMPUTED_VALUE"""),111159.0)</f>
        <v>111159</v>
      </c>
      <c r="B2059" s="2">
        <f>IFERROR(__xludf.DUMMYFUNCTION("""COMPUTED_VALUE"""),0.0)</f>
        <v>0</v>
      </c>
      <c r="C2059" s="2">
        <f>IFERROR(__xludf.DUMMYFUNCTION("""COMPUTED_VALUE"""),396.0)</f>
        <v>396</v>
      </c>
      <c r="D2059" s="3">
        <f>IFERROR(__xludf.DUMMYFUNCTION("""COMPUTED_VALUE"""),219.0)</f>
        <v>219</v>
      </c>
      <c r="E2059" s="2"/>
      <c r="F2059" s="2"/>
    </row>
    <row r="2060">
      <c r="A2060" s="2">
        <f>IFERROR(__xludf.DUMMYFUNCTION("""COMPUTED_VALUE"""),194500.0)</f>
        <v>194500</v>
      </c>
      <c r="B2060" s="2">
        <f>IFERROR(__xludf.DUMMYFUNCTION("""COMPUTED_VALUE"""),1.0)</f>
        <v>1</v>
      </c>
      <c r="C2060" s="2">
        <f>IFERROR(__xludf.DUMMYFUNCTION("""COMPUTED_VALUE"""),458.0)</f>
        <v>458</v>
      </c>
      <c r="D2060" s="3">
        <f>IFERROR(__xludf.DUMMYFUNCTION("""COMPUTED_VALUE"""),384.0)</f>
        <v>384</v>
      </c>
      <c r="E2060" s="2"/>
      <c r="F2060" s="2"/>
    </row>
    <row r="2061">
      <c r="A2061" s="2">
        <f>IFERROR(__xludf.DUMMYFUNCTION("""COMPUTED_VALUE"""),80432.0)</f>
        <v>80432</v>
      </c>
      <c r="B2061" s="2">
        <f>IFERROR(__xludf.DUMMYFUNCTION("""COMPUTED_VALUE"""),0.0)</f>
        <v>0</v>
      </c>
      <c r="C2061" s="2">
        <f>IFERROR(__xludf.DUMMYFUNCTION("""COMPUTED_VALUE"""),17.0)</f>
        <v>17</v>
      </c>
      <c r="D2061" s="3">
        <f>IFERROR(__xludf.DUMMYFUNCTION("""COMPUTED_VALUE"""),9.0)</f>
        <v>9</v>
      </c>
      <c r="E2061" s="2"/>
      <c r="F2061" s="2"/>
    </row>
    <row r="2062">
      <c r="A2062" s="2">
        <f>IFERROR(__xludf.DUMMYFUNCTION("""COMPUTED_VALUE"""),122636.0)</f>
        <v>122636</v>
      </c>
      <c r="B2062" s="2">
        <f>IFERROR(__xludf.DUMMYFUNCTION("""COMPUTED_VALUE"""),1.0)</f>
        <v>1</v>
      </c>
      <c r="C2062" s="2">
        <f>IFERROR(__xludf.DUMMYFUNCTION("""COMPUTED_VALUE"""),157.0)</f>
        <v>157</v>
      </c>
      <c r="D2062" s="3">
        <f>IFERROR(__xludf.DUMMYFUNCTION("""COMPUTED_VALUE"""),139.0)</f>
        <v>139</v>
      </c>
      <c r="E2062" s="2"/>
      <c r="F2062" s="2"/>
    </row>
    <row r="2063">
      <c r="A2063" s="2">
        <f>IFERROR(__xludf.DUMMYFUNCTION("""COMPUTED_VALUE"""),110697.0)</f>
        <v>110697</v>
      </c>
      <c r="B2063" s="2">
        <f>IFERROR(__xludf.DUMMYFUNCTION("""COMPUTED_VALUE"""),0.0)</f>
        <v>0</v>
      </c>
      <c r="C2063" s="2">
        <f>IFERROR(__xludf.DUMMYFUNCTION("""COMPUTED_VALUE"""),904.0)</f>
        <v>904</v>
      </c>
      <c r="D2063" s="3">
        <f>IFERROR(__xludf.DUMMYFUNCTION("""COMPUTED_VALUE"""),894.0)</f>
        <v>894</v>
      </c>
      <c r="E2063" s="2"/>
      <c r="F2063" s="2"/>
    </row>
    <row r="2064">
      <c r="A2064" s="2">
        <f>IFERROR(__xludf.DUMMYFUNCTION("""COMPUTED_VALUE"""),117966.0)</f>
        <v>117966</v>
      </c>
      <c r="B2064" s="2">
        <f>IFERROR(__xludf.DUMMYFUNCTION("""COMPUTED_VALUE"""),0.0)</f>
        <v>0</v>
      </c>
      <c r="C2064" s="2">
        <f>IFERROR(__xludf.DUMMYFUNCTION("""COMPUTED_VALUE"""),936.0)</f>
        <v>936</v>
      </c>
      <c r="D2064" s="3">
        <f>IFERROR(__xludf.DUMMYFUNCTION("""COMPUTED_VALUE"""),632.0)</f>
        <v>632</v>
      </c>
      <c r="E2064" s="2"/>
      <c r="F2064" s="2"/>
    </row>
    <row r="2065">
      <c r="A2065" s="2">
        <f>IFERROR(__xludf.DUMMYFUNCTION("""COMPUTED_VALUE"""),122782.0)</f>
        <v>122782</v>
      </c>
      <c r="B2065" s="2">
        <f>IFERROR(__xludf.DUMMYFUNCTION("""COMPUTED_VALUE"""),0.0)</f>
        <v>0</v>
      </c>
      <c r="C2065" s="2">
        <f>IFERROR(__xludf.DUMMYFUNCTION("""COMPUTED_VALUE"""),742.0)</f>
        <v>742</v>
      </c>
      <c r="D2065" s="3">
        <f>IFERROR(__xludf.DUMMYFUNCTION("""COMPUTED_VALUE"""),58.0)</f>
        <v>58</v>
      </c>
      <c r="E2065" s="2"/>
      <c r="F2065" s="2"/>
    </row>
    <row r="2066">
      <c r="A2066" s="2">
        <f>IFERROR(__xludf.DUMMYFUNCTION("""COMPUTED_VALUE"""),49358.0)</f>
        <v>49358</v>
      </c>
      <c r="B2066" s="2">
        <f>IFERROR(__xludf.DUMMYFUNCTION("""COMPUTED_VALUE"""),1.0)</f>
        <v>1</v>
      </c>
      <c r="C2066" s="2">
        <f>IFERROR(__xludf.DUMMYFUNCTION("""COMPUTED_VALUE"""),352.0)</f>
        <v>352</v>
      </c>
      <c r="D2066" s="3">
        <f>IFERROR(__xludf.DUMMYFUNCTION("""COMPUTED_VALUE"""),126.0)</f>
        <v>126</v>
      </c>
      <c r="E2066" s="2"/>
      <c r="F2066" s="2"/>
    </row>
    <row r="2067">
      <c r="A2067" s="2">
        <f>IFERROR(__xludf.DUMMYFUNCTION("""COMPUTED_VALUE"""),190250.0)</f>
        <v>190250</v>
      </c>
      <c r="B2067" s="2">
        <f>IFERROR(__xludf.DUMMYFUNCTION("""COMPUTED_VALUE"""),0.0)</f>
        <v>0</v>
      </c>
      <c r="C2067" s="2">
        <f>IFERROR(__xludf.DUMMYFUNCTION("""COMPUTED_VALUE"""),175.0)</f>
        <v>175</v>
      </c>
      <c r="D2067" s="3">
        <f>IFERROR(__xludf.DUMMYFUNCTION("""COMPUTED_VALUE"""),90.0)</f>
        <v>90</v>
      </c>
      <c r="E2067" s="2"/>
      <c r="F2067" s="2"/>
    </row>
    <row r="2068">
      <c r="A2068" s="2">
        <f>IFERROR(__xludf.DUMMYFUNCTION("""COMPUTED_VALUE"""),100243.0)</f>
        <v>100243</v>
      </c>
      <c r="B2068" s="2">
        <f>IFERROR(__xludf.DUMMYFUNCTION("""COMPUTED_VALUE"""),1.0)</f>
        <v>1</v>
      </c>
      <c r="C2068" s="2">
        <f>IFERROR(__xludf.DUMMYFUNCTION("""COMPUTED_VALUE"""),573.0)</f>
        <v>573</v>
      </c>
      <c r="D2068" s="3">
        <f>IFERROR(__xludf.DUMMYFUNCTION("""COMPUTED_VALUE"""),188.0)</f>
        <v>188</v>
      </c>
      <c r="E2068" s="2"/>
      <c r="F2068" s="2"/>
    </row>
    <row r="2069">
      <c r="A2069" s="2">
        <f>IFERROR(__xludf.DUMMYFUNCTION("""COMPUTED_VALUE"""),87773.0)</f>
        <v>87773</v>
      </c>
      <c r="B2069" s="2">
        <f>IFERROR(__xludf.DUMMYFUNCTION("""COMPUTED_VALUE"""),1.0)</f>
        <v>1</v>
      </c>
      <c r="C2069" s="2">
        <f>IFERROR(__xludf.DUMMYFUNCTION("""COMPUTED_VALUE"""),946.0)</f>
        <v>946</v>
      </c>
      <c r="D2069" s="3">
        <f>IFERROR(__xludf.DUMMYFUNCTION("""COMPUTED_VALUE"""),743.0)</f>
        <v>743</v>
      </c>
      <c r="E2069" s="2"/>
      <c r="F2069" s="2"/>
    </row>
    <row r="2070">
      <c r="A2070" s="2">
        <f>IFERROR(__xludf.DUMMYFUNCTION("""COMPUTED_VALUE"""),79103.0)</f>
        <v>79103</v>
      </c>
      <c r="B2070" s="2">
        <f>IFERROR(__xludf.DUMMYFUNCTION("""COMPUTED_VALUE"""),0.0)</f>
        <v>0</v>
      </c>
      <c r="C2070" s="2">
        <f>IFERROR(__xludf.DUMMYFUNCTION("""COMPUTED_VALUE"""),77.0)</f>
        <v>77</v>
      </c>
      <c r="D2070" s="3">
        <f>IFERROR(__xludf.DUMMYFUNCTION("""COMPUTED_VALUE"""),28.0)</f>
        <v>28</v>
      </c>
      <c r="E2070" s="2"/>
      <c r="F2070" s="2"/>
    </row>
    <row r="2071">
      <c r="A2071" s="2">
        <f>IFERROR(__xludf.DUMMYFUNCTION("""COMPUTED_VALUE"""),87759.0)</f>
        <v>87759</v>
      </c>
      <c r="B2071" s="2">
        <f>IFERROR(__xludf.DUMMYFUNCTION("""COMPUTED_VALUE"""),1.0)</f>
        <v>1</v>
      </c>
      <c r="C2071" s="2">
        <f>IFERROR(__xludf.DUMMYFUNCTION("""COMPUTED_VALUE"""),26.0)</f>
        <v>26</v>
      </c>
      <c r="D2071" s="3">
        <f>IFERROR(__xludf.DUMMYFUNCTION("""COMPUTED_VALUE"""),18.0)</f>
        <v>18</v>
      </c>
      <c r="E2071" s="2"/>
      <c r="F2071" s="2"/>
    </row>
    <row r="2072">
      <c r="A2072" s="2">
        <f>IFERROR(__xludf.DUMMYFUNCTION("""COMPUTED_VALUE"""),82461.0)</f>
        <v>82461</v>
      </c>
      <c r="B2072" s="2">
        <f>IFERROR(__xludf.DUMMYFUNCTION("""COMPUTED_VALUE"""),1.0)</f>
        <v>1</v>
      </c>
      <c r="C2072" s="2">
        <f>IFERROR(__xludf.DUMMYFUNCTION("""COMPUTED_VALUE"""),425.0)</f>
        <v>425</v>
      </c>
      <c r="D2072" s="3">
        <f>IFERROR(__xludf.DUMMYFUNCTION("""COMPUTED_VALUE"""),159.0)</f>
        <v>159</v>
      </c>
      <c r="E2072" s="2"/>
      <c r="F2072" s="2"/>
    </row>
    <row r="2073">
      <c r="A2073" s="2">
        <f>IFERROR(__xludf.DUMMYFUNCTION("""COMPUTED_VALUE"""),122613.0)</f>
        <v>122613</v>
      </c>
      <c r="B2073" s="2">
        <f>IFERROR(__xludf.DUMMYFUNCTION("""COMPUTED_VALUE"""),0.0)</f>
        <v>0</v>
      </c>
      <c r="C2073" s="2">
        <f>IFERROR(__xludf.DUMMYFUNCTION("""COMPUTED_VALUE"""),322.0)</f>
        <v>322</v>
      </c>
      <c r="D2073" s="3">
        <f>IFERROR(__xludf.DUMMYFUNCTION("""COMPUTED_VALUE"""),196.0)</f>
        <v>196</v>
      </c>
      <c r="E2073" s="2"/>
      <c r="F2073" s="2"/>
    </row>
    <row r="2074">
      <c r="A2074" s="2">
        <f>IFERROR(__xludf.DUMMYFUNCTION("""COMPUTED_VALUE"""),79746.0)</f>
        <v>79746</v>
      </c>
      <c r="B2074" s="2">
        <f>IFERROR(__xludf.DUMMYFUNCTION("""COMPUTED_VALUE"""),0.0)</f>
        <v>0</v>
      </c>
      <c r="C2074" s="2">
        <f>IFERROR(__xludf.DUMMYFUNCTION("""COMPUTED_VALUE"""),264.0)</f>
        <v>264</v>
      </c>
      <c r="D2074" s="3">
        <f>IFERROR(__xludf.DUMMYFUNCTION("""COMPUTED_VALUE"""),155.0)</f>
        <v>155</v>
      </c>
      <c r="E2074" s="2"/>
      <c r="F2074" s="2"/>
    </row>
    <row r="2075">
      <c r="A2075" s="2">
        <f>IFERROR(__xludf.DUMMYFUNCTION("""COMPUTED_VALUE"""),110860.0)</f>
        <v>110860</v>
      </c>
      <c r="B2075" s="2">
        <f>IFERROR(__xludf.DUMMYFUNCTION("""COMPUTED_VALUE"""),1.0)</f>
        <v>1</v>
      </c>
      <c r="C2075" s="2">
        <f>IFERROR(__xludf.DUMMYFUNCTION("""COMPUTED_VALUE"""),275.0)</f>
        <v>275</v>
      </c>
      <c r="D2075" s="3">
        <f>IFERROR(__xludf.DUMMYFUNCTION("""COMPUTED_VALUE"""),205.0)</f>
        <v>205</v>
      </c>
      <c r="E2075" s="2"/>
      <c r="F2075" s="2"/>
    </row>
    <row r="2076">
      <c r="A2076" s="2">
        <f>IFERROR(__xludf.DUMMYFUNCTION("""COMPUTED_VALUE"""),49355.0)</f>
        <v>49355</v>
      </c>
      <c r="B2076" s="2">
        <f>IFERROR(__xludf.DUMMYFUNCTION("""COMPUTED_VALUE"""),0.0)</f>
        <v>0</v>
      </c>
      <c r="C2076" s="2">
        <f>IFERROR(__xludf.DUMMYFUNCTION("""COMPUTED_VALUE"""),384.0)</f>
        <v>384</v>
      </c>
      <c r="D2076" s="3">
        <f>IFERROR(__xludf.DUMMYFUNCTION("""COMPUTED_VALUE"""),141.0)</f>
        <v>141</v>
      </c>
      <c r="E2076" s="2"/>
      <c r="F2076" s="2"/>
    </row>
    <row r="2077">
      <c r="A2077" s="2">
        <f>IFERROR(__xludf.DUMMYFUNCTION("""COMPUTED_VALUE"""),93520.0)</f>
        <v>93520</v>
      </c>
      <c r="B2077" s="2">
        <f>IFERROR(__xludf.DUMMYFUNCTION("""COMPUTED_VALUE"""),1.0)</f>
        <v>1</v>
      </c>
      <c r="C2077" s="2">
        <f>IFERROR(__xludf.DUMMYFUNCTION("""COMPUTED_VALUE"""),453.0)</f>
        <v>453</v>
      </c>
      <c r="D2077" s="3">
        <f>IFERROR(__xludf.DUMMYFUNCTION("""COMPUTED_VALUE"""),156.0)</f>
        <v>156</v>
      </c>
      <c r="E2077" s="2"/>
      <c r="F2077" s="2"/>
    </row>
    <row r="2078">
      <c r="A2078" s="2">
        <f>IFERROR(__xludf.DUMMYFUNCTION("""COMPUTED_VALUE"""),87765.0)</f>
        <v>87765</v>
      </c>
      <c r="B2078" s="2">
        <f>IFERROR(__xludf.DUMMYFUNCTION("""COMPUTED_VALUE"""),0.0)</f>
        <v>0</v>
      </c>
      <c r="C2078" s="2">
        <f>IFERROR(__xludf.DUMMYFUNCTION("""COMPUTED_VALUE"""),26.0)</f>
        <v>26</v>
      </c>
      <c r="D2078" s="3">
        <f>IFERROR(__xludf.DUMMYFUNCTION("""COMPUTED_VALUE"""),10.0)</f>
        <v>10</v>
      </c>
      <c r="E2078" s="2"/>
      <c r="F2078" s="2"/>
    </row>
    <row r="2079">
      <c r="A2079" s="2">
        <f>IFERROR(__xludf.DUMMYFUNCTION("""COMPUTED_VALUE"""),110863.0)</f>
        <v>110863</v>
      </c>
      <c r="B2079" s="2">
        <f>IFERROR(__xludf.DUMMYFUNCTION("""COMPUTED_VALUE"""),1.0)</f>
        <v>1</v>
      </c>
      <c r="C2079" s="2">
        <f>IFERROR(__xludf.DUMMYFUNCTION("""COMPUTED_VALUE"""),551.0)</f>
        <v>551</v>
      </c>
      <c r="D2079" s="3">
        <f>IFERROR(__xludf.DUMMYFUNCTION("""COMPUTED_VALUE"""),296.0)</f>
        <v>296</v>
      </c>
      <c r="E2079" s="2"/>
      <c r="F2079" s="2"/>
    </row>
    <row r="2080">
      <c r="A2080" s="2">
        <f>IFERROR(__xludf.DUMMYFUNCTION("""COMPUTED_VALUE"""),16238.0)</f>
        <v>16238</v>
      </c>
      <c r="B2080" s="2">
        <f>IFERROR(__xludf.DUMMYFUNCTION("""COMPUTED_VALUE"""),1.0)</f>
        <v>1</v>
      </c>
      <c r="C2080" s="2">
        <f>IFERROR(__xludf.DUMMYFUNCTION("""COMPUTED_VALUE"""),863.0)</f>
        <v>863</v>
      </c>
      <c r="D2080" s="3">
        <f>IFERROR(__xludf.DUMMYFUNCTION("""COMPUTED_VALUE"""),253.0)</f>
        <v>253</v>
      </c>
      <c r="E2080" s="2"/>
      <c r="F2080" s="2"/>
    </row>
    <row r="2081">
      <c r="A2081" s="2">
        <f>IFERROR(__xludf.DUMMYFUNCTION("""COMPUTED_VALUE"""),122643.0)</f>
        <v>122643</v>
      </c>
      <c r="B2081" s="2">
        <f>IFERROR(__xludf.DUMMYFUNCTION("""COMPUTED_VALUE"""),0.0)</f>
        <v>0</v>
      </c>
      <c r="C2081" s="2">
        <f>IFERROR(__xludf.DUMMYFUNCTION("""COMPUTED_VALUE"""),934.0)</f>
        <v>934</v>
      </c>
      <c r="D2081" s="3">
        <f>IFERROR(__xludf.DUMMYFUNCTION("""COMPUTED_VALUE"""),651.0)</f>
        <v>651</v>
      </c>
      <c r="E2081" s="2"/>
      <c r="F2081" s="2"/>
    </row>
    <row r="2082">
      <c r="A2082" s="2">
        <f>IFERROR(__xludf.DUMMYFUNCTION("""COMPUTED_VALUE"""),82452.0)</f>
        <v>82452</v>
      </c>
      <c r="B2082" s="2">
        <f>IFERROR(__xludf.DUMMYFUNCTION("""COMPUTED_VALUE"""),1.0)</f>
        <v>1</v>
      </c>
      <c r="C2082" s="2">
        <f>IFERROR(__xludf.DUMMYFUNCTION("""COMPUTED_VALUE"""),423.0)</f>
        <v>423</v>
      </c>
      <c r="D2082" s="3">
        <f>IFERROR(__xludf.DUMMYFUNCTION("""COMPUTED_VALUE"""),422.0)</f>
        <v>422</v>
      </c>
      <c r="E2082" s="2"/>
      <c r="F2082" s="2"/>
    </row>
    <row r="2083">
      <c r="A2083" s="2">
        <f>IFERROR(__xludf.DUMMYFUNCTION("""COMPUTED_VALUE"""),122775.0)</f>
        <v>122775</v>
      </c>
      <c r="B2083" s="2">
        <f>IFERROR(__xludf.DUMMYFUNCTION("""COMPUTED_VALUE"""),0.0)</f>
        <v>0</v>
      </c>
      <c r="C2083" s="2">
        <f>IFERROR(__xludf.DUMMYFUNCTION("""COMPUTED_VALUE"""),472.0)</f>
        <v>472</v>
      </c>
      <c r="D2083" s="3">
        <f>IFERROR(__xludf.DUMMYFUNCTION("""COMPUTED_VALUE"""),192.0)</f>
        <v>192</v>
      </c>
      <c r="E2083" s="2"/>
      <c r="F2083" s="2"/>
    </row>
    <row r="2084">
      <c r="A2084" s="2">
        <f>IFERROR(__xludf.DUMMYFUNCTION("""COMPUTED_VALUE"""),100240.0)</f>
        <v>100240</v>
      </c>
      <c r="B2084" s="2">
        <f>IFERROR(__xludf.DUMMYFUNCTION("""COMPUTED_VALUE"""),0.0)</f>
        <v>0</v>
      </c>
      <c r="C2084" s="2">
        <f>IFERROR(__xludf.DUMMYFUNCTION("""COMPUTED_VALUE"""),950.0)</f>
        <v>950</v>
      </c>
      <c r="D2084" s="3">
        <f>IFERROR(__xludf.DUMMYFUNCTION("""COMPUTED_VALUE"""),779.0)</f>
        <v>779</v>
      </c>
      <c r="E2084" s="2"/>
      <c r="F2084" s="2"/>
    </row>
    <row r="2085">
      <c r="A2085" s="2">
        <f>IFERROR(__xludf.DUMMYFUNCTION("""COMPUTED_VALUE"""),87758.0)</f>
        <v>87758</v>
      </c>
      <c r="B2085" s="2">
        <f>IFERROR(__xludf.DUMMYFUNCTION("""COMPUTED_VALUE"""),0.0)</f>
        <v>0</v>
      </c>
      <c r="C2085" s="2">
        <f>IFERROR(__xludf.DUMMYFUNCTION("""COMPUTED_VALUE"""),752.0)</f>
        <v>752</v>
      </c>
      <c r="D2085" s="3">
        <f>IFERROR(__xludf.DUMMYFUNCTION("""COMPUTED_VALUE"""),472.0)</f>
        <v>472</v>
      </c>
      <c r="E2085" s="2"/>
      <c r="F2085" s="2"/>
    </row>
    <row r="2086">
      <c r="A2086" s="2">
        <f>IFERROR(__xludf.DUMMYFUNCTION("""COMPUTED_VALUE"""),110689.0)</f>
        <v>110689</v>
      </c>
      <c r="B2086" s="2">
        <f>IFERROR(__xludf.DUMMYFUNCTION("""COMPUTED_VALUE"""),0.0)</f>
        <v>0</v>
      </c>
      <c r="C2086" s="2">
        <f>IFERROR(__xludf.DUMMYFUNCTION("""COMPUTED_VALUE"""),624.0)</f>
        <v>624</v>
      </c>
      <c r="D2086" s="3">
        <f>IFERROR(__xludf.DUMMYFUNCTION("""COMPUTED_VALUE"""),198.0)</f>
        <v>198</v>
      </c>
      <c r="E2086" s="2"/>
      <c r="F2086" s="2"/>
    </row>
    <row r="2087">
      <c r="A2087" s="2">
        <f>IFERROR(__xludf.DUMMYFUNCTION("""COMPUTED_VALUE"""),110704.0)</f>
        <v>110704</v>
      </c>
      <c r="B2087" s="2">
        <f>IFERROR(__xludf.DUMMYFUNCTION("""COMPUTED_VALUE"""),0.0)</f>
        <v>0</v>
      </c>
      <c r="C2087" s="2">
        <f>IFERROR(__xludf.DUMMYFUNCTION("""COMPUTED_VALUE"""),929.0)</f>
        <v>929</v>
      </c>
      <c r="D2087" s="3">
        <f>IFERROR(__xludf.DUMMYFUNCTION("""COMPUTED_VALUE"""),879.0)</f>
        <v>879</v>
      </c>
      <c r="E2087" s="2"/>
      <c r="F2087" s="2"/>
    </row>
    <row r="2088">
      <c r="A2088" s="2">
        <f>IFERROR(__xludf.DUMMYFUNCTION("""COMPUTED_VALUE"""),82455.0)</f>
        <v>82455</v>
      </c>
      <c r="B2088" s="2">
        <f>IFERROR(__xludf.DUMMYFUNCTION("""COMPUTED_VALUE"""),1.0)</f>
        <v>1</v>
      </c>
      <c r="C2088" s="2">
        <f>IFERROR(__xludf.DUMMYFUNCTION("""COMPUTED_VALUE"""),396.0)</f>
        <v>396</v>
      </c>
      <c r="D2088" s="3">
        <f>IFERROR(__xludf.DUMMYFUNCTION("""COMPUTED_VALUE"""),244.0)</f>
        <v>244</v>
      </c>
      <c r="E2088" s="2"/>
      <c r="F2088" s="2"/>
    </row>
    <row r="2089">
      <c r="A2089" s="2">
        <f>IFERROR(__xludf.DUMMYFUNCTION("""COMPUTED_VALUE"""),127013.0)</f>
        <v>127013</v>
      </c>
      <c r="B2089" s="2">
        <f>IFERROR(__xludf.DUMMYFUNCTION("""COMPUTED_VALUE"""),1.0)</f>
        <v>1</v>
      </c>
      <c r="C2089" s="2">
        <f>IFERROR(__xludf.DUMMYFUNCTION("""COMPUTED_VALUE"""),166.0)</f>
        <v>166</v>
      </c>
      <c r="D2089" s="3">
        <f>IFERROR(__xludf.DUMMYFUNCTION("""COMPUTED_VALUE"""),66.0)</f>
        <v>66</v>
      </c>
      <c r="E2089" s="2"/>
      <c r="F2089" s="2"/>
    </row>
    <row r="2090">
      <c r="A2090" s="2">
        <f>IFERROR(__xludf.DUMMYFUNCTION("""COMPUTED_VALUE"""),113063.0)</f>
        <v>113063</v>
      </c>
      <c r="B2090" s="2">
        <f>IFERROR(__xludf.DUMMYFUNCTION("""COMPUTED_VALUE"""),1.0)</f>
        <v>1</v>
      </c>
      <c r="C2090" s="2">
        <f>IFERROR(__xludf.DUMMYFUNCTION("""COMPUTED_VALUE"""),855.0)</f>
        <v>855</v>
      </c>
      <c r="D2090" s="3">
        <f>IFERROR(__xludf.DUMMYFUNCTION("""COMPUTED_VALUE"""),157.0)</f>
        <v>157</v>
      </c>
      <c r="E2090" s="2"/>
      <c r="F2090" s="2"/>
    </row>
    <row r="2091">
      <c r="A2091" s="2">
        <f>IFERROR(__xludf.DUMMYFUNCTION("""COMPUTED_VALUE"""),11296.0)</f>
        <v>11296</v>
      </c>
      <c r="B2091" s="2">
        <f>IFERROR(__xludf.DUMMYFUNCTION("""COMPUTED_VALUE"""),0.0)</f>
        <v>0</v>
      </c>
      <c r="C2091" s="2">
        <f>IFERROR(__xludf.DUMMYFUNCTION("""COMPUTED_VALUE"""),349.0)</f>
        <v>349</v>
      </c>
      <c r="D2091" s="3">
        <f>IFERROR(__xludf.DUMMYFUNCTION("""COMPUTED_VALUE"""),75.0)</f>
        <v>75</v>
      </c>
      <c r="E2091" s="2"/>
      <c r="F2091" s="2"/>
    </row>
    <row r="2092">
      <c r="A2092" s="2">
        <f>IFERROR(__xludf.DUMMYFUNCTION("""COMPUTED_VALUE"""),105305.0)</f>
        <v>105305</v>
      </c>
      <c r="B2092" s="2">
        <f>IFERROR(__xludf.DUMMYFUNCTION("""COMPUTED_VALUE"""),1.0)</f>
        <v>1</v>
      </c>
      <c r="C2092" s="2">
        <f>IFERROR(__xludf.DUMMYFUNCTION("""COMPUTED_VALUE"""),196.0)</f>
        <v>196</v>
      </c>
      <c r="D2092" s="3">
        <f>IFERROR(__xludf.DUMMYFUNCTION("""COMPUTED_VALUE"""),169.0)</f>
        <v>169</v>
      </c>
      <c r="E2092" s="2"/>
      <c r="F2092" s="2"/>
    </row>
    <row r="2093">
      <c r="A2093" s="2">
        <f>IFERROR(__xludf.DUMMYFUNCTION("""COMPUTED_VALUE"""),73244.0)</f>
        <v>73244</v>
      </c>
      <c r="B2093" s="2">
        <f>IFERROR(__xludf.DUMMYFUNCTION("""COMPUTED_VALUE"""),1.0)</f>
        <v>1</v>
      </c>
      <c r="C2093" s="2">
        <f>IFERROR(__xludf.DUMMYFUNCTION("""COMPUTED_VALUE"""),133.0)</f>
        <v>133</v>
      </c>
      <c r="D2093" s="3">
        <f>IFERROR(__xludf.DUMMYFUNCTION("""COMPUTED_VALUE"""),68.0)</f>
        <v>68</v>
      </c>
      <c r="E2093" s="2"/>
      <c r="F2093" s="2"/>
    </row>
    <row r="2094">
      <c r="A2094" s="2">
        <f>IFERROR(__xludf.DUMMYFUNCTION("""COMPUTED_VALUE"""),82458.0)</f>
        <v>82458</v>
      </c>
      <c r="B2094" s="2">
        <f>IFERROR(__xludf.DUMMYFUNCTION("""COMPUTED_VALUE"""),1.0)</f>
        <v>1</v>
      </c>
      <c r="C2094" s="2">
        <f>IFERROR(__xludf.DUMMYFUNCTION("""COMPUTED_VALUE"""),-8.0)</f>
        <v>-8</v>
      </c>
      <c r="D2094" s="3">
        <f>IFERROR(__xludf.DUMMYFUNCTION("""COMPUTED_VALUE"""),-8.0)</f>
        <v>-8</v>
      </c>
      <c r="E2094" s="2"/>
      <c r="F2094" s="2"/>
    </row>
    <row r="2095">
      <c r="A2095" s="2">
        <f>IFERROR(__xludf.DUMMYFUNCTION("""COMPUTED_VALUE"""),105302.0)</f>
        <v>105302</v>
      </c>
      <c r="B2095" s="2">
        <f>IFERROR(__xludf.DUMMYFUNCTION("""COMPUTED_VALUE"""),1.0)</f>
        <v>1</v>
      </c>
      <c r="C2095" s="2">
        <f>IFERROR(__xludf.DUMMYFUNCTION("""COMPUTED_VALUE"""),99.0)</f>
        <v>99</v>
      </c>
      <c r="D2095" s="3">
        <f>IFERROR(__xludf.DUMMYFUNCTION("""COMPUTED_VALUE"""),90.0)</f>
        <v>90</v>
      </c>
      <c r="E2095" s="2"/>
      <c r="F2095" s="2"/>
    </row>
    <row r="2096">
      <c r="A2096" s="2">
        <f>IFERROR(__xludf.DUMMYFUNCTION("""COMPUTED_VALUE"""),150951.0)</f>
        <v>150951</v>
      </c>
      <c r="B2096" s="2">
        <f>IFERROR(__xludf.DUMMYFUNCTION("""COMPUTED_VALUE"""),1.0)</f>
        <v>1</v>
      </c>
      <c r="C2096" s="2">
        <f>IFERROR(__xludf.DUMMYFUNCTION("""COMPUTED_VALUE"""),479.0)</f>
        <v>479</v>
      </c>
      <c r="D2096" s="3">
        <f>IFERROR(__xludf.DUMMYFUNCTION("""COMPUTED_VALUE"""),81.0)</f>
        <v>81</v>
      </c>
      <c r="E2096" s="2"/>
      <c r="F2096" s="2"/>
    </row>
    <row r="2097">
      <c r="A2097" s="2">
        <f>IFERROR(__xludf.DUMMYFUNCTION("""COMPUTED_VALUE"""),122492.0)</f>
        <v>122492</v>
      </c>
      <c r="B2097" s="2">
        <f>IFERROR(__xludf.DUMMYFUNCTION("""COMPUTED_VALUE"""),1.0)</f>
        <v>1</v>
      </c>
      <c r="C2097" s="2">
        <f>IFERROR(__xludf.DUMMYFUNCTION("""COMPUTED_VALUE"""),847.0)</f>
        <v>847</v>
      </c>
      <c r="D2097" s="3">
        <f>IFERROR(__xludf.DUMMYFUNCTION("""COMPUTED_VALUE"""),515.0)</f>
        <v>515</v>
      </c>
      <c r="E2097" s="2"/>
      <c r="F2097" s="2"/>
    </row>
    <row r="2098">
      <c r="A2098" s="2">
        <f>IFERROR(__xludf.DUMMYFUNCTION("""COMPUTED_VALUE"""),110436.0)</f>
        <v>110436</v>
      </c>
      <c r="B2098" s="2">
        <f>IFERROR(__xludf.DUMMYFUNCTION("""COMPUTED_VALUE"""),0.0)</f>
        <v>0</v>
      </c>
      <c r="C2098" s="2">
        <f>IFERROR(__xludf.DUMMYFUNCTION("""COMPUTED_VALUE"""),59.0)</f>
        <v>59</v>
      </c>
      <c r="D2098" s="3">
        <f>IFERROR(__xludf.DUMMYFUNCTION("""COMPUTED_VALUE"""),36.0)</f>
        <v>36</v>
      </c>
      <c r="E2098" s="2"/>
      <c r="F2098" s="2"/>
    </row>
    <row r="2099">
      <c r="A2099" s="2">
        <f>IFERROR(__xludf.DUMMYFUNCTION("""COMPUTED_VALUE"""),10674.0)</f>
        <v>10674</v>
      </c>
      <c r="B2099" s="2">
        <f>IFERROR(__xludf.DUMMYFUNCTION("""COMPUTED_VALUE"""),1.0)</f>
        <v>1</v>
      </c>
      <c r="C2099" s="2">
        <f>IFERROR(__xludf.DUMMYFUNCTION("""COMPUTED_VALUE"""),275.0)</f>
        <v>275</v>
      </c>
      <c r="D2099" s="3">
        <f>IFERROR(__xludf.DUMMYFUNCTION("""COMPUTED_VALUE"""),255.0)</f>
        <v>255</v>
      </c>
      <c r="E2099" s="2"/>
      <c r="F2099" s="2"/>
    </row>
    <row r="2100">
      <c r="A2100" s="2">
        <f>IFERROR(__xludf.DUMMYFUNCTION("""COMPUTED_VALUE"""),117166.0)</f>
        <v>117166</v>
      </c>
      <c r="B2100" s="2">
        <f>IFERROR(__xludf.DUMMYFUNCTION("""COMPUTED_VALUE"""),1.0)</f>
        <v>1</v>
      </c>
      <c r="C2100" s="2">
        <f>IFERROR(__xludf.DUMMYFUNCTION("""COMPUTED_VALUE"""),481.0)</f>
        <v>481</v>
      </c>
      <c r="D2100" s="3">
        <f>IFERROR(__xludf.DUMMYFUNCTION("""COMPUTED_VALUE"""),97.0)</f>
        <v>97</v>
      </c>
      <c r="E2100" s="2"/>
      <c r="F2100" s="2"/>
    </row>
    <row r="2101">
      <c r="A2101" s="2">
        <f>IFERROR(__xludf.DUMMYFUNCTION("""COMPUTED_VALUE"""),111776.0)</f>
        <v>111776</v>
      </c>
      <c r="B2101" s="2">
        <f>IFERROR(__xludf.DUMMYFUNCTION("""COMPUTED_VALUE"""),0.0)</f>
        <v>0</v>
      </c>
      <c r="C2101" s="2">
        <f>IFERROR(__xludf.DUMMYFUNCTION("""COMPUTED_VALUE"""),791.0)</f>
        <v>791</v>
      </c>
      <c r="D2101" s="3">
        <f>IFERROR(__xludf.DUMMYFUNCTION("""COMPUTED_VALUE"""),616.0)</f>
        <v>616</v>
      </c>
      <c r="E2101" s="2"/>
      <c r="F2101" s="2"/>
    </row>
    <row r="2102">
      <c r="A2102" s="2">
        <f>IFERROR(__xludf.DUMMYFUNCTION("""COMPUTED_VALUE"""),122388.0)</f>
        <v>122388</v>
      </c>
      <c r="B2102" s="2">
        <f>IFERROR(__xludf.DUMMYFUNCTION("""COMPUTED_VALUE"""),1.0)</f>
        <v>1</v>
      </c>
      <c r="C2102" s="2">
        <f>IFERROR(__xludf.DUMMYFUNCTION("""COMPUTED_VALUE"""),418.0)</f>
        <v>418</v>
      </c>
      <c r="D2102" s="3">
        <f>IFERROR(__xludf.DUMMYFUNCTION("""COMPUTED_VALUE"""),197.0)</f>
        <v>197</v>
      </c>
      <c r="E2102" s="2"/>
      <c r="F2102" s="2"/>
    </row>
    <row r="2103">
      <c r="A2103" s="2">
        <f>IFERROR(__xludf.DUMMYFUNCTION("""COMPUTED_VALUE"""),117160.0)</f>
        <v>117160</v>
      </c>
      <c r="B2103" s="2">
        <f>IFERROR(__xludf.DUMMYFUNCTION("""COMPUTED_VALUE"""),0.0)</f>
        <v>0</v>
      </c>
      <c r="C2103" s="2">
        <f>IFERROR(__xludf.DUMMYFUNCTION("""COMPUTED_VALUE"""),121.0)</f>
        <v>121</v>
      </c>
      <c r="D2103" s="3">
        <f>IFERROR(__xludf.DUMMYFUNCTION("""COMPUTED_VALUE"""),48.0)</f>
        <v>48</v>
      </c>
      <c r="E2103" s="2"/>
      <c r="F2103" s="2"/>
    </row>
    <row r="2104">
      <c r="A2104" s="2">
        <f>IFERROR(__xludf.DUMMYFUNCTION("""COMPUTED_VALUE"""),98795.0)</f>
        <v>98795</v>
      </c>
      <c r="B2104" s="2">
        <f>IFERROR(__xludf.DUMMYFUNCTION("""COMPUTED_VALUE"""),1.0)</f>
        <v>1</v>
      </c>
      <c r="C2104" s="2">
        <f>IFERROR(__xludf.DUMMYFUNCTION("""COMPUTED_VALUE"""),516.0)</f>
        <v>516</v>
      </c>
      <c r="D2104" s="3">
        <f>IFERROR(__xludf.DUMMYFUNCTION("""COMPUTED_VALUE"""),398.0)</f>
        <v>398</v>
      </c>
      <c r="E2104" s="2"/>
      <c r="F2104" s="2"/>
    </row>
    <row r="2105">
      <c r="A2105" s="2">
        <f>IFERROR(__xludf.DUMMYFUNCTION("""COMPUTED_VALUE"""),117150.0)</f>
        <v>117150</v>
      </c>
      <c r="B2105" s="2">
        <f>IFERROR(__xludf.DUMMYFUNCTION("""COMPUTED_VALUE"""),0.0)</f>
        <v>0</v>
      </c>
      <c r="C2105" s="2">
        <f>IFERROR(__xludf.DUMMYFUNCTION("""COMPUTED_VALUE"""),247.0)</f>
        <v>247</v>
      </c>
      <c r="D2105" s="3">
        <f>IFERROR(__xludf.DUMMYFUNCTION("""COMPUTED_VALUE"""),155.0)</f>
        <v>155</v>
      </c>
      <c r="E2105" s="2"/>
      <c r="F2105" s="2"/>
    </row>
    <row r="2106">
      <c r="A2106" s="2">
        <f>IFERROR(__xludf.DUMMYFUNCTION("""COMPUTED_VALUE"""),109416.0)</f>
        <v>109416</v>
      </c>
      <c r="B2106" s="2">
        <f>IFERROR(__xludf.DUMMYFUNCTION("""COMPUTED_VALUE"""),1.0)</f>
        <v>1</v>
      </c>
      <c r="C2106" s="2">
        <f>IFERROR(__xludf.DUMMYFUNCTION("""COMPUTED_VALUE"""),577.0)</f>
        <v>577</v>
      </c>
      <c r="D2106" s="3">
        <f>IFERROR(__xludf.DUMMYFUNCTION("""COMPUTED_VALUE"""),21.0)</f>
        <v>21</v>
      </c>
      <c r="E2106" s="2"/>
      <c r="F2106" s="2"/>
    </row>
    <row r="2107">
      <c r="A2107" s="2">
        <f>IFERROR(__xludf.DUMMYFUNCTION("""COMPUTED_VALUE"""),122291.0)</f>
        <v>122291</v>
      </c>
      <c r="B2107" s="2">
        <f>IFERROR(__xludf.DUMMYFUNCTION("""COMPUTED_VALUE"""),0.0)</f>
        <v>0</v>
      </c>
      <c r="C2107" s="2">
        <f>IFERROR(__xludf.DUMMYFUNCTION("""COMPUTED_VALUE"""),473.0)</f>
        <v>473</v>
      </c>
      <c r="D2107" s="3">
        <f>IFERROR(__xludf.DUMMYFUNCTION("""COMPUTED_VALUE"""),404.0)</f>
        <v>404</v>
      </c>
      <c r="E2107" s="2"/>
      <c r="F2107" s="2"/>
    </row>
    <row r="2108">
      <c r="A2108" s="2">
        <f>IFERROR(__xludf.DUMMYFUNCTION("""COMPUTED_VALUE"""),21820.0)</f>
        <v>21820</v>
      </c>
      <c r="B2108" s="2">
        <f>IFERROR(__xludf.DUMMYFUNCTION("""COMPUTED_VALUE"""),0.0)</f>
        <v>0</v>
      </c>
      <c r="C2108" s="2">
        <f>IFERROR(__xludf.DUMMYFUNCTION("""COMPUTED_VALUE"""),17.0)</f>
        <v>17</v>
      </c>
      <c r="D2108" s="3">
        <f>IFERROR(__xludf.DUMMYFUNCTION("""COMPUTED_VALUE"""),8.0)</f>
        <v>8</v>
      </c>
      <c r="E2108" s="2"/>
      <c r="F2108" s="2"/>
    </row>
    <row r="2109">
      <c r="A2109" s="2">
        <f>IFERROR(__xludf.DUMMYFUNCTION("""COMPUTED_VALUE"""),150105.0)</f>
        <v>150105</v>
      </c>
      <c r="B2109" s="2">
        <f>IFERROR(__xludf.DUMMYFUNCTION("""COMPUTED_VALUE"""),0.0)</f>
        <v>0</v>
      </c>
      <c r="C2109" s="2">
        <f>IFERROR(__xludf.DUMMYFUNCTION("""COMPUTED_VALUE"""),326.0)</f>
        <v>326</v>
      </c>
      <c r="D2109" s="3">
        <f>IFERROR(__xludf.DUMMYFUNCTION("""COMPUTED_VALUE"""),164.0)</f>
        <v>164</v>
      </c>
      <c r="E2109" s="2"/>
      <c r="F2109" s="2"/>
    </row>
    <row r="2110">
      <c r="A2110" s="2">
        <f>IFERROR(__xludf.DUMMYFUNCTION("""COMPUTED_VALUE"""),46474.0)</f>
        <v>46474</v>
      </c>
      <c r="B2110" s="2">
        <f>IFERROR(__xludf.DUMMYFUNCTION("""COMPUTED_VALUE"""),1.0)</f>
        <v>1</v>
      </c>
      <c r="C2110" s="2">
        <f>IFERROR(__xludf.DUMMYFUNCTION("""COMPUTED_VALUE"""),431.0)</f>
        <v>431</v>
      </c>
      <c r="D2110" s="3">
        <f>IFERROR(__xludf.DUMMYFUNCTION("""COMPUTED_VALUE"""),73.0)</f>
        <v>73</v>
      </c>
      <c r="E2110" s="2"/>
      <c r="F2110" s="2"/>
    </row>
    <row r="2111">
      <c r="A2111" s="2">
        <f>IFERROR(__xludf.DUMMYFUNCTION("""COMPUTED_VALUE"""),118207.0)</f>
        <v>118207</v>
      </c>
      <c r="B2111" s="2">
        <f>IFERROR(__xludf.DUMMYFUNCTION("""COMPUTED_VALUE"""),1.0)</f>
        <v>1</v>
      </c>
      <c r="C2111" s="2">
        <f>IFERROR(__xludf.DUMMYFUNCTION("""COMPUTED_VALUE"""),927.0)</f>
        <v>927</v>
      </c>
      <c r="D2111" s="3">
        <f>IFERROR(__xludf.DUMMYFUNCTION("""COMPUTED_VALUE"""),610.0)</f>
        <v>610</v>
      </c>
      <c r="E2111" s="2"/>
      <c r="F2111" s="2"/>
    </row>
    <row r="2112">
      <c r="A2112" s="2">
        <f>IFERROR(__xludf.DUMMYFUNCTION("""COMPUTED_VALUE"""),111007.0)</f>
        <v>111007</v>
      </c>
      <c r="B2112" s="2">
        <f>IFERROR(__xludf.DUMMYFUNCTION("""COMPUTED_VALUE"""),1.0)</f>
        <v>1</v>
      </c>
      <c r="C2112" s="2">
        <f>IFERROR(__xludf.DUMMYFUNCTION("""COMPUTED_VALUE"""),371.0)</f>
        <v>371</v>
      </c>
      <c r="D2112" s="3">
        <f>IFERROR(__xludf.DUMMYFUNCTION("""COMPUTED_VALUE"""),370.0)</f>
        <v>370</v>
      </c>
      <c r="E2112" s="2"/>
      <c r="F2112" s="2"/>
    </row>
    <row r="2113">
      <c r="A2113" s="2">
        <f>IFERROR(__xludf.DUMMYFUNCTION("""COMPUTED_VALUE"""),9727.0)</f>
        <v>9727</v>
      </c>
      <c r="B2113" s="2">
        <f>IFERROR(__xludf.DUMMYFUNCTION("""COMPUTED_VALUE"""),1.0)</f>
        <v>1</v>
      </c>
      <c r="C2113" s="2">
        <f>IFERROR(__xludf.DUMMYFUNCTION("""COMPUTED_VALUE"""),782.0)</f>
        <v>782</v>
      </c>
      <c r="D2113" s="3">
        <f>IFERROR(__xludf.DUMMYFUNCTION("""COMPUTED_VALUE"""),728.0)</f>
        <v>728</v>
      </c>
      <c r="E2113" s="2"/>
      <c r="F2113" s="2"/>
    </row>
    <row r="2114">
      <c r="A2114" s="2">
        <f>IFERROR(__xludf.DUMMYFUNCTION("""COMPUTED_VALUE"""),72321.0)</f>
        <v>72321</v>
      </c>
      <c r="B2114" s="2">
        <f>IFERROR(__xludf.DUMMYFUNCTION("""COMPUTED_VALUE"""),1.0)</f>
        <v>1</v>
      </c>
      <c r="C2114" s="2">
        <f>IFERROR(__xludf.DUMMYFUNCTION("""COMPUTED_VALUE"""),635.0)</f>
        <v>635</v>
      </c>
      <c r="D2114" s="3">
        <f>IFERROR(__xludf.DUMMYFUNCTION("""COMPUTED_VALUE"""),431.0)</f>
        <v>431</v>
      </c>
      <c r="E2114" s="2"/>
      <c r="F2114" s="2"/>
    </row>
    <row r="2115">
      <c r="A2115" s="2">
        <f>IFERROR(__xludf.DUMMYFUNCTION("""COMPUTED_VALUE"""),100063.0)</f>
        <v>100063</v>
      </c>
      <c r="B2115" s="2">
        <f>IFERROR(__xludf.DUMMYFUNCTION("""COMPUTED_VALUE"""),0.0)</f>
        <v>0</v>
      </c>
      <c r="C2115" s="2">
        <f>IFERROR(__xludf.DUMMYFUNCTION("""COMPUTED_VALUE"""),955.0)</f>
        <v>955</v>
      </c>
      <c r="D2115" s="3">
        <f>IFERROR(__xludf.DUMMYFUNCTION("""COMPUTED_VALUE"""),521.0)</f>
        <v>521</v>
      </c>
      <c r="E2115" s="2"/>
      <c r="F2115" s="2"/>
    </row>
    <row r="2116">
      <c r="A2116" s="2">
        <f>IFERROR(__xludf.DUMMYFUNCTION("""COMPUTED_VALUE"""),79818.0)</f>
        <v>79818</v>
      </c>
      <c r="B2116" s="2">
        <f>IFERROR(__xludf.DUMMYFUNCTION("""COMPUTED_VALUE"""),0.0)</f>
        <v>0</v>
      </c>
      <c r="C2116" s="2">
        <f>IFERROR(__xludf.DUMMYFUNCTION("""COMPUTED_VALUE"""),768.0)</f>
        <v>768</v>
      </c>
      <c r="D2116" s="3">
        <f>IFERROR(__xludf.DUMMYFUNCTION("""COMPUTED_VALUE"""),151.0)</f>
        <v>151</v>
      </c>
      <c r="E2116" s="2"/>
      <c r="F2116" s="2"/>
    </row>
    <row r="2117">
      <c r="A2117" s="2">
        <f>IFERROR(__xludf.DUMMYFUNCTION("""COMPUTED_VALUE"""),121731.0)</f>
        <v>121731</v>
      </c>
      <c r="B2117" s="2">
        <f>IFERROR(__xludf.DUMMYFUNCTION("""COMPUTED_VALUE"""),0.0)</f>
        <v>0</v>
      </c>
      <c r="C2117" s="2">
        <f>IFERROR(__xludf.DUMMYFUNCTION("""COMPUTED_VALUE"""),726.0)</f>
        <v>726</v>
      </c>
      <c r="D2117" s="3">
        <f>IFERROR(__xludf.DUMMYFUNCTION("""COMPUTED_VALUE"""),267.0)</f>
        <v>267</v>
      </c>
      <c r="E2117" s="2"/>
      <c r="F2117" s="2"/>
    </row>
    <row r="2118">
      <c r="A2118" s="2">
        <f>IFERROR(__xludf.DUMMYFUNCTION("""COMPUTED_VALUE"""),200584.0)</f>
        <v>200584</v>
      </c>
      <c r="B2118" s="2">
        <f>IFERROR(__xludf.DUMMYFUNCTION("""COMPUTED_VALUE"""),1.0)</f>
        <v>1</v>
      </c>
      <c r="C2118" s="2">
        <f>IFERROR(__xludf.DUMMYFUNCTION("""COMPUTED_VALUE"""),309.0)</f>
        <v>309</v>
      </c>
      <c r="D2118" s="3">
        <f>IFERROR(__xludf.DUMMYFUNCTION("""COMPUTED_VALUE"""),41.0)</f>
        <v>41</v>
      </c>
      <c r="E2118" s="2"/>
      <c r="F2118" s="2"/>
    </row>
    <row r="2119">
      <c r="A2119" s="2">
        <f>IFERROR(__xludf.DUMMYFUNCTION("""COMPUTED_VALUE"""),68600.0)</f>
        <v>68600</v>
      </c>
      <c r="B2119" s="2">
        <f>IFERROR(__xludf.DUMMYFUNCTION("""COMPUTED_VALUE"""),0.0)</f>
        <v>0</v>
      </c>
      <c r="C2119" s="2">
        <f>IFERROR(__xludf.DUMMYFUNCTION("""COMPUTED_VALUE"""),272.0)</f>
        <v>272</v>
      </c>
      <c r="D2119" s="3">
        <f>IFERROR(__xludf.DUMMYFUNCTION("""COMPUTED_VALUE"""),270.0)</f>
        <v>270</v>
      </c>
      <c r="E2119" s="2"/>
      <c r="F2119" s="2"/>
    </row>
    <row r="2120">
      <c r="A2120" s="2">
        <f>IFERROR(__xludf.DUMMYFUNCTION("""COMPUTED_VALUE"""),98788.0)</f>
        <v>98788</v>
      </c>
      <c r="B2120" s="2">
        <f>IFERROR(__xludf.DUMMYFUNCTION("""COMPUTED_VALUE"""),1.0)</f>
        <v>1</v>
      </c>
      <c r="C2120" s="2">
        <f>IFERROR(__xludf.DUMMYFUNCTION("""COMPUTED_VALUE"""),740.0)</f>
        <v>740</v>
      </c>
      <c r="D2120" s="3">
        <f>IFERROR(__xludf.DUMMYFUNCTION("""COMPUTED_VALUE"""),261.0)</f>
        <v>261</v>
      </c>
      <c r="E2120" s="2"/>
      <c r="F2120" s="2"/>
    </row>
    <row r="2121">
      <c r="A2121" s="2">
        <f>IFERROR(__xludf.DUMMYFUNCTION("""COMPUTED_VALUE"""),122390.0)</f>
        <v>122390</v>
      </c>
      <c r="B2121" s="2">
        <f>IFERROR(__xludf.DUMMYFUNCTION("""COMPUTED_VALUE"""),0.0)</f>
        <v>0</v>
      </c>
      <c r="C2121" s="2">
        <f>IFERROR(__xludf.DUMMYFUNCTION("""COMPUTED_VALUE"""),556.0)</f>
        <v>556</v>
      </c>
      <c r="D2121" s="3">
        <f>IFERROR(__xludf.DUMMYFUNCTION("""COMPUTED_VALUE"""),389.0)</f>
        <v>389</v>
      </c>
      <c r="E2121" s="2"/>
      <c r="F2121" s="2"/>
    </row>
    <row r="2122">
      <c r="A2122" s="2">
        <f>IFERROR(__xludf.DUMMYFUNCTION("""COMPUTED_VALUE"""),109930.0)</f>
        <v>109930</v>
      </c>
      <c r="B2122" s="2">
        <f>IFERROR(__xludf.DUMMYFUNCTION("""COMPUTED_VALUE"""),0.0)</f>
        <v>0</v>
      </c>
      <c r="C2122" s="2">
        <f>IFERROR(__xludf.DUMMYFUNCTION("""COMPUTED_VALUE"""),139.0)</f>
        <v>139</v>
      </c>
      <c r="D2122" s="3">
        <f>IFERROR(__xludf.DUMMYFUNCTION("""COMPUTED_VALUE"""),13.0)</f>
        <v>13</v>
      </c>
      <c r="E2122" s="2"/>
      <c r="F2122" s="2"/>
    </row>
    <row r="2123">
      <c r="A2123" s="2">
        <f>IFERROR(__xludf.DUMMYFUNCTION("""COMPUTED_VALUE"""),118299.0)</f>
        <v>118299</v>
      </c>
      <c r="B2123" s="2">
        <f>IFERROR(__xludf.DUMMYFUNCTION("""COMPUTED_VALUE"""),0.0)</f>
        <v>0</v>
      </c>
      <c r="C2123" s="2">
        <f>IFERROR(__xludf.DUMMYFUNCTION("""COMPUTED_VALUE"""),718.0)</f>
        <v>718</v>
      </c>
      <c r="D2123" s="3">
        <f>IFERROR(__xludf.DUMMYFUNCTION("""COMPUTED_VALUE"""),583.0)</f>
        <v>583</v>
      </c>
      <c r="E2123" s="2"/>
      <c r="F2123" s="2"/>
    </row>
    <row r="2124">
      <c r="A2124" s="2">
        <f>IFERROR(__xludf.DUMMYFUNCTION("""COMPUTED_VALUE"""),72320.0)</f>
        <v>72320</v>
      </c>
      <c r="B2124" s="2">
        <f>IFERROR(__xludf.DUMMYFUNCTION("""COMPUTED_VALUE"""),1.0)</f>
        <v>1</v>
      </c>
      <c r="C2124" s="2">
        <f>IFERROR(__xludf.DUMMYFUNCTION("""COMPUTED_VALUE"""),732.0)</f>
        <v>732</v>
      </c>
      <c r="D2124" s="3">
        <f>IFERROR(__xludf.DUMMYFUNCTION("""COMPUTED_VALUE"""),440.0)</f>
        <v>440</v>
      </c>
      <c r="E2124" s="2"/>
      <c r="F2124" s="2"/>
    </row>
    <row r="2125">
      <c r="A2125" s="2">
        <f>IFERROR(__xludf.DUMMYFUNCTION("""COMPUTED_VALUE"""),87839.0)</f>
        <v>87839</v>
      </c>
      <c r="B2125" s="2">
        <f>IFERROR(__xludf.DUMMYFUNCTION("""COMPUTED_VALUE"""),1.0)</f>
        <v>1</v>
      </c>
      <c r="C2125" s="2">
        <f>IFERROR(__xludf.DUMMYFUNCTION("""COMPUTED_VALUE"""),822.0)</f>
        <v>822</v>
      </c>
      <c r="D2125" s="3">
        <f>IFERROR(__xludf.DUMMYFUNCTION("""COMPUTED_VALUE"""),677.0)</f>
        <v>677</v>
      </c>
      <c r="E2125" s="2"/>
      <c r="F2125" s="2"/>
    </row>
    <row r="2126">
      <c r="A2126" s="2">
        <f>IFERROR(__xludf.DUMMYFUNCTION("""COMPUTED_VALUE"""),79819.0)</f>
        <v>79819</v>
      </c>
      <c r="B2126" s="2">
        <f>IFERROR(__xludf.DUMMYFUNCTION("""COMPUTED_VALUE"""),0.0)</f>
        <v>0</v>
      </c>
      <c r="C2126" s="2">
        <f>IFERROR(__xludf.DUMMYFUNCTION("""COMPUTED_VALUE"""),715.0)</f>
        <v>715</v>
      </c>
      <c r="D2126" s="3">
        <f>IFERROR(__xludf.DUMMYFUNCTION("""COMPUTED_VALUE"""),368.0)</f>
        <v>368</v>
      </c>
      <c r="E2126" s="2"/>
      <c r="F2126" s="2"/>
    </row>
    <row r="2127">
      <c r="A2127" s="2">
        <f>IFERROR(__xludf.DUMMYFUNCTION("""COMPUTED_VALUE"""),117169.0)</f>
        <v>117169</v>
      </c>
      <c r="B2127" s="2">
        <f>IFERROR(__xludf.DUMMYFUNCTION("""COMPUTED_VALUE"""),1.0)</f>
        <v>1</v>
      </c>
      <c r="C2127" s="2">
        <f>IFERROR(__xludf.DUMMYFUNCTION("""COMPUTED_VALUE"""),402.0)</f>
        <v>402</v>
      </c>
      <c r="D2127" s="3">
        <f>IFERROR(__xludf.DUMMYFUNCTION("""COMPUTED_VALUE"""),82.0)</f>
        <v>82</v>
      </c>
      <c r="E2127" s="2"/>
      <c r="F2127" s="2"/>
    </row>
    <row r="2128">
      <c r="A2128" s="2">
        <f>IFERROR(__xludf.DUMMYFUNCTION("""COMPUTED_VALUE"""),200585.0)</f>
        <v>200585</v>
      </c>
      <c r="B2128" s="2">
        <f>IFERROR(__xludf.DUMMYFUNCTION("""COMPUTED_VALUE"""),0.0)</f>
        <v>0</v>
      </c>
      <c r="C2128" s="2">
        <f>IFERROR(__xludf.DUMMYFUNCTION("""COMPUTED_VALUE"""),100.0)</f>
        <v>100</v>
      </c>
      <c r="D2128" s="3">
        <f>IFERROR(__xludf.DUMMYFUNCTION("""COMPUTED_VALUE"""),2.0)</f>
        <v>2</v>
      </c>
      <c r="E2128" s="2"/>
      <c r="F2128" s="2"/>
    </row>
    <row r="2129">
      <c r="A2129" s="2">
        <f>IFERROR(__xludf.DUMMYFUNCTION("""COMPUTED_VALUE"""),70339.0)</f>
        <v>70339</v>
      </c>
      <c r="B2129" s="2">
        <f>IFERROR(__xludf.DUMMYFUNCTION("""COMPUTED_VALUE"""),0.0)</f>
        <v>0</v>
      </c>
      <c r="C2129" s="2">
        <f>IFERROR(__xludf.DUMMYFUNCTION("""COMPUTED_VALUE"""),246.0)</f>
        <v>246</v>
      </c>
      <c r="D2129" s="3">
        <f>IFERROR(__xludf.DUMMYFUNCTION("""COMPUTED_VALUE"""),189.0)</f>
        <v>189</v>
      </c>
      <c r="E2129" s="2"/>
      <c r="F2129" s="2"/>
    </row>
    <row r="2130">
      <c r="A2130" s="2">
        <f>IFERROR(__xludf.DUMMYFUNCTION("""COMPUTED_VALUE"""),45597.0)</f>
        <v>45597</v>
      </c>
      <c r="B2130" s="2">
        <f>IFERROR(__xludf.DUMMYFUNCTION("""COMPUTED_VALUE"""),1.0)</f>
        <v>1</v>
      </c>
      <c r="C2130" s="2">
        <f>IFERROR(__xludf.DUMMYFUNCTION("""COMPUTED_VALUE"""),48.0)</f>
        <v>48</v>
      </c>
      <c r="D2130" s="3">
        <f>IFERROR(__xludf.DUMMYFUNCTION("""COMPUTED_VALUE"""),31.0)</f>
        <v>31</v>
      </c>
      <c r="E2130" s="2"/>
      <c r="F2130" s="2"/>
    </row>
    <row r="2131">
      <c r="A2131" s="2">
        <f>IFERROR(__xludf.DUMMYFUNCTION("""COMPUTED_VALUE"""),117147.0)</f>
        <v>117147</v>
      </c>
      <c r="B2131" s="2">
        <f>IFERROR(__xludf.DUMMYFUNCTION("""COMPUTED_VALUE"""),1.0)</f>
        <v>1</v>
      </c>
      <c r="C2131" s="2">
        <f>IFERROR(__xludf.DUMMYFUNCTION("""COMPUTED_VALUE"""),755.0)</f>
        <v>755</v>
      </c>
      <c r="D2131" s="3">
        <f>IFERROR(__xludf.DUMMYFUNCTION("""COMPUTED_VALUE"""),576.0)</f>
        <v>576</v>
      </c>
      <c r="E2131" s="2"/>
      <c r="F2131" s="2"/>
    </row>
    <row r="2132">
      <c r="A2132" s="2">
        <f>IFERROR(__xludf.DUMMYFUNCTION("""COMPUTED_VALUE"""),46309.0)</f>
        <v>46309</v>
      </c>
      <c r="B2132" s="2">
        <f>IFERROR(__xludf.DUMMYFUNCTION("""COMPUTED_VALUE"""),0.0)</f>
        <v>0</v>
      </c>
      <c r="C2132" s="2">
        <f>IFERROR(__xludf.DUMMYFUNCTION("""COMPUTED_VALUE"""),148.0)</f>
        <v>148</v>
      </c>
      <c r="D2132" s="3">
        <f>IFERROR(__xludf.DUMMYFUNCTION("""COMPUTED_VALUE"""),103.0)</f>
        <v>103</v>
      </c>
      <c r="E2132" s="2"/>
      <c r="F2132" s="2"/>
    </row>
    <row r="2133">
      <c r="A2133" s="2">
        <f>IFERROR(__xludf.DUMMYFUNCTION("""COMPUTED_VALUE"""),45595.0)</f>
        <v>45595</v>
      </c>
      <c r="B2133" s="2">
        <f>IFERROR(__xludf.DUMMYFUNCTION("""COMPUTED_VALUE"""),1.0)</f>
        <v>1</v>
      </c>
      <c r="C2133" s="2">
        <f>IFERROR(__xludf.DUMMYFUNCTION("""COMPUTED_VALUE"""),206.0)</f>
        <v>206</v>
      </c>
      <c r="D2133" s="3">
        <f>IFERROR(__xludf.DUMMYFUNCTION("""COMPUTED_VALUE"""),119.0)</f>
        <v>119</v>
      </c>
      <c r="E2133" s="2"/>
      <c r="F2133" s="2"/>
    </row>
    <row r="2134">
      <c r="A2134" s="2">
        <f>IFERROR(__xludf.DUMMYFUNCTION("""COMPUTED_VALUE"""),100311.0)</f>
        <v>100311</v>
      </c>
      <c r="B2134" s="2">
        <f>IFERROR(__xludf.DUMMYFUNCTION("""COMPUTED_VALUE"""),1.0)</f>
        <v>1</v>
      </c>
      <c r="C2134" s="2">
        <f>IFERROR(__xludf.DUMMYFUNCTION("""COMPUTED_VALUE"""),11.0)</f>
        <v>11</v>
      </c>
      <c r="D2134" s="3">
        <f>IFERROR(__xludf.DUMMYFUNCTION("""COMPUTED_VALUE"""),0.0)</f>
        <v>0</v>
      </c>
      <c r="E2134" s="2"/>
      <c r="F2134" s="2"/>
    </row>
    <row r="2135">
      <c r="A2135" s="2">
        <f>IFERROR(__xludf.DUMMYFUNCTION("""COMPUTED_VALUE"""),122491.0)</f>
        <v>122491</v>
      </c>
      <c r="B2135" s="2">
        <f>IFERROR(__xludf.DUMMYFUNCTION("""COMPUTED_VALUE"""),1.0)</f>
        <v>1</v>
      </c>
      <c r="C2135" s="2">
        <f>IFERROR(__xludf.DUMMYFUNCTION("""COMPUTED_VALUE"""),331.0)</f>
        <v>331</v>
      </c>
      <c r="D2135" s="3">
        <f>IFERROR(__xludf.DUMMYFUNCTION("""COMPUTED_VALUE"""),230.0)</f>
        <v>230</v>
      </c>
      <c r="E2135" s="2"/>
      <c r="F2135" s="2"/>
    </row>
    <row r="2136">
      <c r="A2136" s="2">
        <f>IFERROR(__xludf.DUMMYFUNCTION("""COMPUTED_VALUE"""),117466.0)</f>
        <v>117466</v>
      </c>
      <c r="B2136" s="2">
        <f>IFERROR(__xludf.DUMMYFUNCTION("""COMPUTED_VALUE"""),1.0)</f>
        <v>1</v>
      </c>
      <c r="C2136" s="2">
        <f>IFERROR(__xludf.DUMMYFUNCTION("""COMPUTED_VALUE"""),326.0)</f>
        <v>326</v>
      </c>
      <c r="D2136" s="3">
        <f>IFERROR(__xludf.DUMMYFUNCTION("""COMPUTED_VALUE"""),232.0)</f>
        <v>232</v>
      </c>
      <c r="E2136" s="2"/>
      <c r="F2136" s="2"/>
    </row>
    <row r="2137">
      <c r="A2137" s="2">
        <f>IFERROR(__xludf.DUMMYFUNCTION("""COMPUTED_VALUE"""),85107.0)</f>
        <v>85107</v>
      </c>
      <c r="B2137" s="2">
        <f>IFERROR(__xludf.DUMMYFUNCTION("""COMPUTED_VALUE"""),0.0)</f>
        <v>0</v>
      </c>
      <c r="C2137" s="2">
        <f>IFERROR(__xludf.DUMMYFUNCTION("""COMPUTED_VALUE"""),641.0)</f>
        <v>641</v>
      </c>
      <c r="D2137" s="3">
        <f>IFERROR(__xludf.DUMMYFUNCTION("""COMPUTED_VALUE"""),24.0)</f>
        <v>24</v>
      </c>
      <c r="E2137" s="2"/>
      <c r="F2137" s="2"/>
    </row>
    <row r="2138">
      <c r="A2138" s="2">
        <f>IFERROR(__xludf.DUMMYFUNCTION("""COMPUTED_VALUE"""),45594.0)</f>
        <v>45594</v>
      </c>
      <c r="B2138" s="2">
        <f>IFERROR(__xludf.DUMMYFUNCTION("""COMPUTED_VALUE"""),1.0)</f>
        <v>1</v>
      </c>
      <c r="C2138" s="2">
        <f>IFERROR(__xludf.DUMMYFUNCTION("""COMPUTED_VALUE"""),376.0)</f>
        <v>376</v>
      </c>
      <c r="D2138" s="3">
        <f>IFERROR(__xludf.DUMMYFUNCTION("""COMPUTED_VALUE"""),357.0)</f>
        <v>357</v>
      </c>
      <c r="E2138" s="2"/>
      <c r="F2138" s="2"/>
    </row>
    <row r="2139">
      <c r="A2139" s="2">
        <f>IFERROR(__xludf.DUMMYFUNCTION("""COMPUTED_VALUE"""),118298.0)</f>
        <v>118298</v>
      </c>
      <c r="B2139" s="2">
        <f>IFERROR(__xludf.DUMMYFUNCTION("""COMPUTED_VALUE"""),0.0)</f>
        <v>0</v>
      </c>
      <c r="C2139" s="2">
        <f>IFERROR(__xludf.DUMMYFUNCTION("""COMPUTED_VALUE"""),848.0)</f>
        <v>848</v>
      </c>
      <c r="D2139" s="3">
        <f>IFERROR(__xludf.DUMMYFUNCTION("""COMPUTED_VALUE"""),505.0)</f>
        <v>505</v>
      </c>
      <c r="E2139" s="2"/>
      <c r="F2139" s="2"/>
    </row>
    <row r="2140">
      <c r="A2140" s="2">
        <f>IFERROR(__xludf.DUMMYFUNCTION("""COMPUTED_VALUE"""),98802.0)</f>
        <v>98802</v>
      </c>
      <c r="B2140" s="2">
        <f>IFERROR(__xludf.DUMMYFUNCTION("""COMPUTED_VALUE"""),0.0)</f>
        <v>0</v>
      </c>
      <c r="C2140" s="2">
        <f>IFERROR(__xludf.DUMMYFUNCTION("""COMPUTED_VALUE"""),105.0)</f>
        <v>105</v>
      </c>
      <c r="D2140" s="3">
        <f>IFERROR(__xludf.DUMMYFUNCTION("""COMPUTED_VALUE"""),8.0)</f>
        <v>8</v>
      </c>
      <c r="E2140" s="2"/>
      <c r="F2140" s="2"/>
    </row>
    <row r="2141">
      <c r="A2141" s="2">
        <f>IFERROR(__xludf.DUMMYFUNCTION("""COMPUTED_VALUE"""),46985.0)</f>
        <v>46985</v>
      </c>
      <c r="B2141" s="2">
        <f>IFERROR(__xludf.DUMMYFUNCTION("""COMPUTED_VALUE"""),0.0)</f>
        <v>0</v>
      </c>
      <c r="C2141" s="2">
        <f>IFERROR(__xludf.DUMMYFUNCTION("""COMPUTED_VALUE"""),847.0)</f>
        <v>847</v>
      </c>
      <c r="D2141" s="3">
        <f>IFERROR(__xludf.DUMMYFUNCTION("""COMPUTED_VALUE"""),844.0)</f>
        <v>844</v>
      </c>
      <c r="E2141" s="2"/>
      <c r="F2141" s="2"/>
    </row>
    <row r="2142">
      <c r="A2142" s="2">
        <f>IFERROR(__xludf.DUMMYFUNCTION("""COMPUTED_VALUE"""),46476.0)</f>
        <v>46476</v>
      </c>
      <c r="B2142" s="2">
        <f>IFERROR(__xludf.DUMMYFUNCTION("""COMPUTED_VALUE"""),1.0)</f>
        <v>1</v>
      </c>
      <c r="C2142" s="2">
        <f>IFERROR(__xludf.DUMMYFUNCTION("""COMPUTED_VALUE"""),626.0)</f>
        <v>626</v>
      </c>
      <c r="D2142" s="3">
        <f>IFERROR(__xludf.DUMMYFUNCTION("""COMPUTED_VALUE"""),259.0)</f>
        <v>259</v>
      </c>
      <c r="E2142" s="2"/>
      <c r="F2142" s="2"/>
    </row>
    <row r="2143">
      <c r="A2143" s="2">
        <f>IFERROR(__xludf.DUMMYFUNCTION("""COMPUTED_VALUE"""),110187.0)</f>
        <v>110187</v>
      </c>
      <c r="B2143" s="2">
        <f>IFERROR(__xludf.DUMMYFUNCTION("""COMPUTED_VALUE"""),0.0)</f>
        <v>0</v>
      </c>
      <c r="C2143" s="2">
        <f>IFERROR(__xludf.DUMMYFUNCTION("""COMPUTED_VALUE"""),731.0)</f>
        <v>731</v>
      </c>
      <c r="D2143" s="3">
        <f>IFERROR(__xludf.DUMMYFUNCTION("""COMPUTED_VALUE"""),493.0)</f>
        <v>493</v>
      </c>
      <c r="E2143" s="2"/>
      <c r="F2143" s="2"/>
    </row>
    <row r="2144">
      <c r="A2144" s="2">
        <f>IFERROR(__xludf.DUMMYFUNCTION("""COMPUTED_VALUE"""),79988.0)</f>
        <v>79988</v>
      </c>
      <c r="B2144" s="2">
        <f>IFERROR(__xludf.DUMMYFUNCTION("""COMPUTED_VALUE"""),1.0)</f>
        <v>1</v>
      </c>
      <c r="C2144" s="2">
        <f>IFERROR(__xludf.DUMMYFUNCTION("""COMPUTED_VALUE"""),506.0)</f>
        <v>506</v>
      </c>
      <c r="D2144" s="3">
        <f>IFERROR(__xludf.DUMMYFUNCTION("""COMPUTED_VALUE"""),74.0)</f>
        <v>74</v>
      </c>
      <c r="E2144" s="2"/>
      <c r="F2144" s="2"/>
    </row>
    <row r="2145">
      <c r="A2145" s="2">
        <f>IFERROR(__xludf.DUMMYFUNCTION("""COMPUTED_VALUE"""),46970.0)</f>
        <v>46970</v>
      </c>
      <c r="B2145" s="2">
        <f>IFERROR(__xludf.DUMMYFUNCTION("""COMPUTED_VALUE"""),1.0)</f>
        <v>1</v>
      </c>
      <c r="C2145" s="2">
        <f>IFERROR(__xludf.DUMMYFUNCTION("""COMPUTED_VALUE"""),227.0)</f>
        <v>227</v>
      </c>
      <c r="D2145" s="3">
        <f>IFERROR(__xludf.DUMMYFUNCTION("""COMPUTED_VALUE"""),134.0)</f>
        <v>134</v>
      </c>
      <c r="E2145" s="2"/>
      <c r="F2145" s="2"/>
    </row>
    <row r="2146">
      <c r="A2146" s="2">
        <f>IFERROR(__xludf.DUMMYFUNCTION("""COMPUTED_VALUE"""),6519.0)</f>
        <v>6519</v>
      </c>
      <c r="B2146" s="2">
        <f>IFERROR(__xludf.DUMMYFUNCTION("""COMPUTED_VALUE"""),0.0)</f>
        <v>0</v>
      </c>
      <c r="C2146" s="2">
        <f>IFERROR(__xludf.DUMMYFUNCTION("""COMPUTED_VALUE"""),777.0)</f>
        <v>777</v>
      </c>
      <c r="D2146" s="3">
        <f>IFERROR(__xludf.DUMMYFUNCTION("""COMPUTED_VALUE"""),548.0)</f>
        <v>548</v>
      </c>
      <c r="E2146" s="2"/>
      <c r="F2146" s="2"/>
    </row>
    <row r="2147">
      <c r="A2147" s="2">
        <f>IFERROR(__xludf.DUMMYFUNCTION("""COMPUTED_VALUE"""),118205.0)</f>
        <v>118205</v>
      </c>
      <c r="B2147" s="2">
        <f>IFERROR(__xludf.DUMMYFUNCTION("""COMPUTED_VALUE"""),1.0)</f>
        <v>1</v>
      </c>
      <c r="C2147" s="2">
        <f>IFERROR(__xludf.DUMMYFUNCTION("""COMPUTED_VALUE"""),328.0)</f>
        <v>328</v>
      </c>
      <c r="D2147" s="3">
        <f>IFERROR(__xludf.DUMMYFUNCTION("""COMPUTED_VALUE"""),60.0)</f>
        <v>60</v>
      </c>
      <c r="E2147" s="2"/>
      <c r="F2147" s="2"/>
    </row>
    <row r="2148">
      <c r="A2148" s="2">
        <f>IFERROR(__xludf.DUMMYFUNCTION("""COMPUTED_VALUE"""),109412.0)</f>
        <v>109412</v>
      </c>
      <c r="B2148" s="2">
        <f>IFERROR(__xludf.DUMMYFUNCTION("""COMPUTED_VALUE"""),1.0)</f>
        <v>1</v>
      </c>
      <c r="C2148" s="2">
        <f>IFERROR(__xludf.DUMMYFUNCTION("""COMPUTED_VALUE"""),383.0)</f>
        <v>383</v>
      </c>
      <c r="D2148" s="3">
        <f>IFERROR(__xludf.DUMMYFUNCTION("""COMPUTED_VALUE"""),75.0)</f>
        <v>75</v>
      </c>
      <c r="E2148" s="2"/>
      <c r="F2148" s="2"/>
    </row>
    <row r="2149">
      <c r="A2149" s="2">
        <f>IFERROR(__xludf.DUMMYFUNCTION("""COMPUTED_VALUE"""),117931.0)</f>
        <v>117931</v>
      </c>
      <c r="B2149" s="2">
        <f>IFERROR(__xludf.DUMMYFUNCTION("""COMPUTED_VALUE"""),0.0)</f>
        <v>0</v>
      </c>
      <c r="C2149" s="2">
        <f>IFERROR(__xludf.DUMMYFUNCTION("""COMPUTED_VALUE"""),29.0)</f>
        <v>29</v>
      </c>
      <c r="D2149" s="3">
        <f>IFERROR(__xludf.DUMMYFUNCTION("""COMPUTED_VALUE"""),8.0)</f>
        <v>8</v>
      </c>
      <c r="E2149" s="2"/>
      <c r="F2149" s="2"/>
    </row>
    <row r="2150">
      <c r="A2150" s="2">
        <f>IFERROR(__xludf.DUMMYFUNCTION("""COMPUTED_VALUE"""),70042.0)</f>
        <v>70042</v>
      </c>
      <c r="B2150" s="2">
        <f>IFERROR(__xludf.DUMMYFUNCTION("""COMPUTED_VALUE"""),0.0)</f>
        <v>0</v>
      </c>
      <c r="C2150" s="2">
        <f>IFERROR(__xludf.DUMMYFUNCTION("""COMPUTED_VALUE"""),424.0)</f>
        <v>424</v>
      </c>
      <c r="D2150" s="3">
        <f>IFERROR(__xludf.DUMMYFUNCTION("""COMPUTED_VALUE"""),363.0)</f>
        <v>363</v>
      </c>
      <c r="E2150" s="2"/>
      <c r="F2150" s="2"/>
    </row>
    <row r="2151">
      <c r="A2151" s="2">
        <f>IFERROR(__xludf.DUMMYFUNCTION("""COMPUTED_VALUE"""),150104.0)</f>
        <v>150104</v>
      </c>
      <c r="B2151" s="2">
        <f>IFERROR(__xludf.DUMMYFUNCTION("""COMPUTED_VALUE"""),0.0)</f>
        <v>0</v>
      </c>
      <c r="C2151" s="2">
        <f>IFERROR(__xludf.DUMMYFUNCTION("""COMPUTED_VALUE"""),147.0)</f>
        <v>147</v>
      </c>
      <c r="D2151" s="3">
        <f>IFERROR(__xludf.DUMMYFUNCTION("""COMPUTED_VALUE"""),33.0)</f>
        <v>33</v>
      </c>
      <c r="E2151" s="2"/>
      <c r="F2151" s="2"/>
    </row>
    <row r="2152">
      <c r="A2152" s="2">
        <f>IFERROR(__xludf.DUMMYFUNCTION("""COMPUTED_VALUE"""),72319.0)</f>
        <v>72319</v>
      </c>
      <c r="B2152" s="2">
        <f>IFERROR(__xludf.DUMMYFUNCTION("""COMPUTED_VALUE"""),1.0)</f>
        <v>1</v>
      </c>
      <c r="C2152" s="2">
        <f>IFERROR(__xludf.DUMMYFUNCTION("""COMPUTED_VALUE"""),421.0)</f>
        <v>421</v>
      </c>
      <c r="D2152" s="3">
        <f>IFERROR(__xludf.DUMMYFUNCTION("""COMPUTED_VALUE"""),181.0)</f>
        <v>181</v>
      </c>
      <c r="E2152" s="2"/>
      <c r="F2152" s="2"/>
    </row>
    <row r="2153">
      <c r="A2153" s="2">
        <f>IFERROR(__xludf.DUMMYFUNCTION("""COMPUTED_VALUE"""),100060.0)</f>
        <v>100060</v>
      </c>
      <c r="B2153" s="2">
        <f>IFERROR(__xludf.DUMMYFUNCTION("""COMPUTED_VALUE"""),0.0)</f>
        <v>0</v>
      </c>
      <c r="C2153" s="2">
        <f>IFERROR(__xludf.DUMMYFUNCTION("""COMPUTED_VALUE"""),884.0)</f>
        <v>884</v>
      </c>
      <c r="D2153" s="3">
        <f>IFERROR(__xludf.DUMMYFUNCTION("""COMPUTED_VALUE"""),821.0)</f>
        <v>821</v>
      </c>
      <c r="E2153" s="2"/>
      <c r="F2153" s="2"/>
    </row>
    <row r="2154">
      <c r="A2154" s="2">
        <f>IFERROR(__xludf.DUMMYFUNCTION("""COMPUTED_VALUE"""),6521.0)</f>
        <v>6521</v>
      </c>
      <c r="B2154" s="2">
        <f>IFERROR(__xludf.DUMMYFUNCTION("""COMPUTED_VALUE"""),1.0)</f>
        <v>1</v>
      </c>
      <c r="C2154" s="2">
        <f>IFERROR(__xludf.DUMMYFUNCTION("""COMPUTED_VALUE"""),474.0)</f>
        <v>474</v>
      </c>
      <c r="D2154" s="3">
        <f>IFERROR(__xludf.DUMMYFUNCTION("""COMPUTED_VALUE"""),407.0)</f>
        <v>407</v>
      </c>
      <c r="E2154" s="2"/>
      <c r="F2154" s="2"/>
    </row>
    <row r="2155">
      <c r="A2155" s="2">
        <f>IFERROR(__xludf.DUMMYFUNCTION("""COMPUTED_VALUE"""),45058.0)</f>
        <v>45058</v>
      </c>
      <c r="B2155" s="2">
        <f>IFERROR(__xludf.DUMMYFUNCTION("""COMPUTED_VALUE"""),0.0)</f>
        <v>0</v>
      </c>
      <c r="C2155" s="2">
        <f>IFERROR(__xludf.DUMMYFUNCTION("""COMPUTED_VALUE"""),513.0)</f>
        <v>513</v>
      </c>
      <c r="D2155" s="3">
        <f>IFERROR(__xludf.DUMMYFUNCTION("""COMPUTED_VALUE"""),411.0)</f>
        <v>411</v>
      </c>
      <c r="E2155" s="2"/>
      <c r="F2155" s="2"/>
    </row>
    <row r="2156">
      <c r="A2156" s="2">
        <f>IFERROR(__xludf.DUMMYFUNCTION("""COMPUTED_VALUE"""),117139.0)</f>
        <v>117139</v>
      </c>
      <c r="B2156" s="2">
        <f>IFERROR(__xludf.DUMMYFUNCTION("""COMPUTED_VALUE"""),1.0)</f>
        <v>1</v>
      </c>
      <c r="C2156" s="2">
        <f>IFERROR(__xludf.DUMMYFUNCTION("""COMPUTED_VALUE"""),395.0)</f>
        <v>395</v>
      </c>
      <c r="D2156" s="3">
        <f>IFERROR(__xludf.DUMMYFUNCTION("""COMPUTED_VALUE"""),176.0)</f>
        <v>176</v>
      </c>
      <c r="E2156" s="2"/>
      <c r="F2156" s="2"/>
    </row>
    <row r="2157">
      <c r="A2157" s="2">
        <f>IFERROR(__xludf.DUMMYFUNCTION("""COMPUTED_VALUE"""),117464.0)</f>
        <v>117464</v>
      </c>
      <c r="B2157" s="2">
        <f>IFERROR(__xludf.DUMMYFUNCTION("""COMPUTED_VALUE"""),0.0)</f>
        <v>0</v>
      </c>
      <c r="C2157" s="2">
        <f>IFERROR(__xludf.DUMMYFUNCTION("""COMPUTED_VALUE"""),926.0)</f>
        <v>926</v>
      </c>
      <c r="D2157" s="3">
        <f>IFERROR(__xludf.DUMMYFUNCTION("""COMPUTED_VALUE"""),465.0)</f>
        <v>465</v>
      </c>
      <c r="E2157" s="2"/>
      <c r="F2157" s="2"/>
    </row>
    <row r="2158">
      <c r="A2158" s="2">
        <f>IFERROR(__xludf.DUMMYFUNCTION("""COMPUTED_VALUE"""),111777.0)</f>
        <v>111777</v>
      </c>
      <c r="B2158" s="2">
        <f>IFERROR(__xludf.DUMMYFUNCTION("""COMPUTED_VALUE"""),1.0)</f>
        <v>1</v>
      </c>
      <c r="C2158" s="2">
        <f>IFERROR(__xludf.DUMMYFUNCTION("""COMPUTED_VALUE"""),132.0)</f>
        <v>132</v>
      </c>
      <c r="D2158" s="3">
        <f>IFERROR(__xludf.DUMMYFUNCTION("""COMPUTED_VALUE"""),46.0)</f>
        <v>46</v>
      </c>
      <c r="E2158" s="2"/>
      <c r="F2158" s="2"/>
    </row>
    <row r="2159">
      <c r="A2159" s="2">
        <f>IFERROR(__xludf.DUMMYFUNCTION("""COMPUTED_VALUE"""),122375.0)</f>
        <v>122375</v>
      </c>
      <c r="B2159" s="2">
        <f>IFERROR(__xludf.DUMMYFUNCTION("""COMPUTED_VALUE"""),1.0)</f>
        <v>1</v>
      </c>
      <c r="C2159" s="2">
        <f>IFERROR(__xludf.DUMMYFUNCTION("""COMPUTED_VALUE"""),301.0)</f>
        <v>301</v>
      </c>
      <c r="D2159" s="3">
        <f>IFERROR(__xludf.DUMMYFUNCTION("""COMPUTED_VALUE"""),23.0)</f>
        <v>23</v>
      </c>
      <c r="E2159" s="2"/>
      <c r="F2159" s="2"/>
    </row>
    <row r="2160">
      <c r="A2160" s="2">
        <f>IFERROR(__xludf.DUMMYFUNCTION("""COMPUTED_VALUE"""),122282.0)</f>
        <v>122282</v>
      </c>
      <c r="B2160" s="2">
        <f>IFERROR(__xludf.DUMMYFUNCTION("""COMPUTED_VALUE"""),0.0)</f>
        <v>0</v>
      </c>
      <c r="C2160" s="2">
        <f>IFERROR(__xludf.DUMMYFUNCTION("""COMPUTED_VALUE"""),199.0)</f>
        <v>199</v>
      </c>
      <c r="D2160" s="3">
        <f>IFERROR(__xludf.DUMMYFUNCTION("""COMPUTED_VALUE"""),43.0)</f>
        <v>43</v>
      </c>
      <c r="E2160" s="2"/>
      <c r="F2160" s="2"/>
    </row>
    <row r="2161">
      <c r="A2161" s="2">
        <f>IFERROR(__xludf.DUMMYFUNCTION("""COMPUTED_VALUE"""),47161.0)</f>
        <v>47161</v>
      </c>
      <c r="B2161" s="2">
        <f>IFERROR(__xludf.DUMMYFUNCTION("""COMPUTED_VALUE"""),1.0)</f>
        <v>1</v>
      </c>
      <c r="C2161" s="2">
        <f>IFERROR(__xludf.DUMMYFUNCTION("""COMPUTED_VALUE"""),262.0)</f>
        <v>262</v>
      </c>
      <c r="D2161" s="3">
        <f>IFERROR(__xludf.DUMMYFUNCTION("""COMPUTED_VALUE"""),51.0)</f>
        <v>51</v>
      </c>
      <c r="E2161" s="2"/>
      <c r="F2161" s="2"/>
    </row>
    <row r="2162">
      <c r="A2162" s="2">
        <f>IFERROR(__xludf.DUMMYFUNCTION("""COMPUTED_VALUE"""),47159.0)</f>
        <v>47159</v>
      </c>
      <c r="B2162" s="2">
        <f>IFERROR(__xludf.DUMMYFUNCTION("""COMPUTED_VALUE"""),0.0)</f>
        <v>0</v>
      </c>
      <c r="C2162" s="2">
        <f>IFERROR(__xludf.DUMMYFUNCTION("""COMPUTED_VALUE"""),778.0)</f>
        <v>778</v>
      </c>
      <c r="D2162" s="3">
        <f>IFERROR(__xludf.DUMMYFUNCTION("""COMPUTED_VALUE"""),615.0)</f>
        <v>615</v>
      </c>
      <c r="E2162" s="2"/>
      <c r="F2162" s="2"/>
    </row>
    <row r="2163">
      <c r="A2163" s="2">
        <f>IFERROR(__xludf.DUMMYFUNCTION("""COMPUTED_VALUE"""),71327.0)</f>
        <v>71327</v>
      </c>
      <c r="B2163" s="2">
        <f>IFERROR(__xludf.DUMMYFUNCTION("""COMPUTED_VALUE"""),0.0)</f>
        <v>0</v>
      </c>
      <c r="C2163" s="2">
        <f>IFERROR(__xludf.DUMMYFUNCTION("""COMPUTED_VALUE"""),96.0)</f>
        <v>96</v>
      </c>
      <c r="D2163" s="3">
        <f>IFERROR(__xludf.DUMMYFUNCTION("""COMPUTED_VALUE"""),49.0)</f>
        <v>49</v>
      </c>
      <c r="E2163" s="2"/>
      <c r="F2163" s="2"/>
    </row>
    <row r="2164">
      <c r="A2164" s="2">
        <f>IFERROR(__xludf.DUMMYFUNCTION("""COMPUTED_VALUE"""),122276.0)</f>
        <v>122276</v>
      </c>
      <c r="B2164" s="2">
        <f>IFERROR(__xludf.DUMMYFUNCTION("""COMPUTED_VALUE"""),0.0)</f>
        <v>0</v>
      </c>
      <c r="C2164" s="2">
        <f>IFERROR(__xludf.DUMMYFUNCTION("""COMPUTED_VALUE"""),53.0)</f>
        <v>53</v>
      </c>
      <c r="D2164" s="3">
        <f>IFERROR(__xludf.DUMMYFUNCTION("""COMPUTED_VALUE"""),5.0)</f>
        <v>5</v>
      </c>
      <c r="E2164" s="2"/>
      <c r="F2164" s="2"/>
    </row>
    <row r="2165">
      <c r="A2165" s="2">
        <f>IFERROR(__xludf.DUMMYFUNCTION("""COMPUTED_VALUE"""),72806.0)</f>
        <v>72806</v>
      </c>
      <c r="B2165" s="2">
        <f>IFERROR(__xludf.DUMMYFUNCTION("""COMPUTED_VALUE"""),1.0)</f>
        <v>1</v>
      </c>
      <c r="C2165" s="2">
        <f>IFERROR(__xludf.DUMMYFUNCTION("""COMPUTED_VALUE"""),762.0)</f>
        <v>762</v>
      </c>
      <c r="D2165" s="3">
        <f>IFERROR(__xludf.DUMMYFUNCTION("""COMPUTED_VALUE"""),712.0)</f>
        <v>712</v>
      </c>
      <c r="E2165" s="2"/>
      <c r="F2165" s="2"/>
    </row>
    <row r="2166">
      <c r="A2166" s="2">
        <f>IFERROR(__xludf.DUMMYFUNCTION("""COMPUTED_VALUE"""),100248.0)</f>
        <v>100248</v>
      </c>
      <c r="B2166" s="2">
        <f>IFERROR(__xludf.DUMMYFUNCTION("""COMPUTED_VALUE"""),0.0)</f>
        <v>0</v>
      </c>
      <c r="C2166" s="2">
        <f>IFERROR(__xludf.DUMMYFUNCTION("""COMPUTED_VALUE"""),447.0)</f>
        <v>447</v>
      </c>
      <c r="D2166" s="3">
        <f>IFERROR(__xludf.DUMMYFUNCTION("""COMPUTED_VALUE"""),38.0)</f>
        <v>38</v>
      </c>
      <c r="E2166" s="2"/>
      <c r="F2166" s="2"/>
    </row>
    <row r="2167">
      <c r="A2167" s="2">
        <f>IFERROR(__xludf.DUMMYFUNCTION("""COMPUTED_VALUE"""),122378.0)</f>
        <v>122378</v>
      </c>
      <c r="B2167" s="2">
        <f>IFERROR(__xludf.DUMMYFUNCTION("""COMPUTED_VALUE"""),1.0)</f>
        <v>1</v>
      </c>
      <c r="C2167" s="2">
        <f>IFERROR(__xludf.DUMMYFUNCTION("""COMPUTED_VALUE"""),165.0)</f>
        <v>165</v>
      </c>
      <c r="D2167" s="3">
        <f>IFERROR(__xludf.DUMMYFUNCTION("""COMPUTED_VALUE"""),46.0)</f>
        <v>46</v>
      </c>
      <c r="E2167" s="2"/>
      <c r="F2167" s="2"/>
    </row>
    <row r="2168">
      <c r="A2168" s="2">
        <f>IFERROR(__xludf.DUMMYFUNCTION("""COMPUTED_VALUE"""),44762.0)</f>
        <v>44762</v>
      </c>
      <c r="B2168" s="2">
        <f>IFERROR(__xludf.DUMMYFUNCTION("""COMPUTED_VALUE"""),0.0)</f>
        <v>0</v>
      </c>
      <c r="C2168" s="2">
        <f>IFERROR(__xludf.DUMMYFUNCTION("""COMPUTED_VALUE"""),90.0)</f>
        <v>90</v>
      </c>
      <c r="D2168" s="3">
        <f>IFERROR(__xludf.DUMMYFUNCTION("""COMPUTED_VALUE"""),27.0)</f>
        <v>27</v>
      </c>
      <c r="E2168" s="2"/>
      <c r="F2168" s="2"/>
    </row>
    <row r="2169">
      <c r="A2169" s="2">
        <f>IFERROR(__xludf.DUMMYFUNCTION("""COMPUTED_VALUE"""),100247.0)</f>
        <v>100247</v>
      </c>
      <c r="B2169" s="2">
        <f>IFERROR(__xludf.DUMMYFUNCTION("""COMPUTED_VALUE"""),0.0)</f>
        <v>0</v>
      </c>
      <c r="C2169" s="2">
        <f>IFERROR(__xludf.DUMMYFUNCTION("""COMPUTED_VALUE"""),88.0)</f>
        <v>88</v>
      </c>
      <c r="D2169" s="3">
        <f>IFERROR(__xludf.DUMMYFUNCTION("""COMPUTED_VALUE"""),19.0)</f>
        <v>19</v>
      </c>
      <c r="E2169" s="2"/>
      <c r="F2169" s="2"/>
    </row>
    <row r="2170">
      <c r="A2170" s="2">
        <f>IFERROR(__xludf.DUMMYFUNCTION("""COMPUTED_VALUE"""),182272.0)</f>
        <v>182272</v>
      </c>
      <c r="B2170" s="2">
        <f>IFERROR(__xludf.DUMMYFUNCTION("""COMPUTED_VALUE"""),1.0)</f>
        <v>1</v>
      </c>
      <c r="C2170" s="2">
        <f>IFERROR(__xludf.DUMMYFUNCTION("""COMPUTED_VALUE"""),223.0)</f>
        <v>223</v>
      </c>
      <c r="D2170" s="3">
        <f>IFERROR(__xludf.DUMMYFUNCTION("""COMPUTED_VALUE"""),58.0)</f>
        <v>58</v>
      </c>
      <c r="E2170" s="2"/>
      <c r="F2170" s="2"/>
    </row>
    <row r="2171">
      <c r="A2171" s="2">
        <f>IFERROR(__xludf.DUMMYFUNCTION("""COMPUTED_VALUE"""),128297.0)</f>
        <v>128297</v>
      </c>
      <c r="B2171" s="2">
        <f>IFERROR(__xludf.DUMMYFUNCTION("""COMPUTED_VALUE"""),1.0)</f>
        <v>1</v>
      </c>
      <c r="C2171" s="2">
        <f>IFERROR(__xludf.DUMMYFUNCTION("""COMPUTED_VALUE"""),633.0)</f>
        <v>633</v>
      </c>
      <c r="D2171" s="3">
        <f>IFERROR(__xludf.DUMMYFUNCTION("""COMPUTED_VALUE"""),627.0)</f>
        <v>627</v>
      </c>
      <c r="E2171" s="2"/>
      <c r="F2171" s="2"/>
    </row>
    <row r="2172">
      <c r="A2172" s="2">
        <f>IFERROR(__xludf.DUMMYFUNCTION("""COMPUTED_VALUE"""),10673.0)</f>
        <v>10673</v>
      </c>
      <c r="B2172" s="2">
        <f>IFERROR(__xludf.DUMMYFUNCTION("""COMPUTED_VALUE"""),0.0)</f>
        <v>0</v>
      </c>
      <c r="C2172" s="2">
        <f>IFERROR(__xludf.DUMMYFUNCTION("""COMPUTED_VALUE"""),336.0)</f>
        <v>336</v>
      </c>
      <c r="D2172" s="3">
        <f>IFERROR(__xludf.DUMMYFUNCTION("""COMPUTED_VALUE"""),11.0)</f>
        <v>11</v>
      </c>
      <c r="E2172" s="2"/>
      <c r="F2172" s="2"/>
    </row>
    <row r="2173">
      <c r="A2173" s="2">
        <f>IFERROR(__xludf.DUMMYFUNCTION("""COMPUTED_VALUE"""),69332.0)</f>
        <v>69332</v>
      </c>
      <c r="B2173" s="2">
        <f>IFERROR(__xludf.DUMMYFUNCTION("""COMPUTED_VALUE"""),0.0)</f>
        <v>0</v>
      </c>
      <c r="C2173" s="2">
        <f>IFERROR(__xludf.DUMMYFUNCTION("""COMPUTED_VALUE"""),671.0)</f>
        <v>671</v>
      </c>
      <c r="D2173" s="3">
        <f>IFERROR(__xludf.DUMMYFUNCTION("""COMPUTED_VALUE"""),131.0)</f>
        <v>131</v>
      </c>
      <c r="E2173" s="2"/>
      <c r="F2173" s="2"/>
    </row>
    <row r="2174">
      <c r="A2174" s="2">
        <f>IFERROR(__xludf.DUMMYFUNCTION("""COMPUTED_VALUE"""),151239.0)</f>
        <v>151239</v>
      </c>
      <c r="B2174" s="2">
        <f>IFERROR(__xludf.DUMMYFUNCTION("""COMPUTED_VALUE"""),1.0)</f>
        <v>1</v>
      </c>
      <c r="C2174" s="2">
        <f>IFERROR(__xludf.DUMMYFUNCTION("""COMPUTED_VALUE"""),51.0)</f>
        <v>51</v>
      </c>
      <c r="D2174" s="3">
        <f>IFERROR(__xludf.DUMMYFUNCTION("""COMPUTED_VALUE"""),41.0)</f>
        <v>41</v>
      </c>
      <c r="E2174" s="2"/>
      <c r="F2174" s="2"/>
    </row>
    <row r="2175">
      <c r="A2175" s="2">
        <f>IFERROR(__xludf.DUMMYFUNCTION("""COMPUTED_VALUE"""),116667.0)</f>
        <v>116667</v>
      </c>
      <c r="B2175" s="2">
        <f>IFERROR(__xludf.DUMMYFUNCTION("""COMPUTED_VALUE"""),0.0)</f>
        <v>0</v>
      </c>
      <c r="C2175" s="2">
        <f>IFERROR(__xludf.DUMMYFUNCTION("""COMPUTED_VALUE"""),371.0)</f>
        <v>371</v>
      </c>
      <c r="D2175" s="3">
        <f>IFERROR(__xludf.DUMMYFUNCTION("""COMPUTED_VALUE"""),88.0)</f>
        <v>88</v>
      </c>
      <c r="E2175" s="2"/>
      <c r="F2175" s="2"/>
    </row>
    <row r="2176">
      <c r="A2176" s="2">
        <f>IFERROR(__xludf.DUMMYFUNCTION("""COMPUTED_VALUE"""),72809.0)</f>
        <v>72809</v>
      </c>
      <c r="B2176" s="2">
        <f>IFERROR(__xludf.DUMMYFUNCTION("""COMPUTED_VALUE"""),1.0)</f>
        <v>1</v>
      </c>
      <c r="C2176" s="2">
        <f>IFERROR(__xludf.DUMMYFUNCTION("""COMPUTED_VALUE"""),890.0)</f>
        <v>890</v>
      </c>
      <c r="D2176" s="3">
        <f>IFERROR(__xludf.DUMMYFUNCTION("""COMPUTED_VALUE"""),244.0)</f>
        <v>244</v>
      </c>
      <c r="E2176" s="2"/>
      <c r="F2176" s="2"/>
    </row>
    <row r="2177">
      <c r="A2177" s="2">
        <f>IFERROR(__xludf.DUMMYFUNCTION("""COMPUTED_VALUE"""),165917.0)</f>
        <v>165917</v>
      </c>
      <c r="B2177" s="2">
        <f>IFERROR(__xludf.DUMMYFUNCTION("""COMPUTED_VALUE"""),0.0)</f>
        <v>0</v>
      </c>
      <c r="C2177" s="2">
        <f>IFERROR(__xludf.DUMMYFUNCTION("""COMPUTED_VALUE"""),7.0)</f>
        <v>7</v>
      </c>
      <c r="D2177" s="3">
        <f>IFERROR(__xludf.DUMMYFUNCTION("""COMPUTED_VALUE"""),7.0)</f>
        <v>7</v>
      </c>
      <c r="E2177" s="2"/>
      <c r="F2177" s="2"/>
    </row>
    <row r="2178">
      <c r="A2178" s="2">
        <f>IFERROR(__xludf.DUMMYFUNCTION("""COMPUTED_VALUE"""),8746.0)</f>
        <v>8746</v>
      </c>
      <c r="B2178" s="2">
        <f>IFERROR(__xludf.DUMMYFUNCTION("""COMPUTED_VALUE"""),1.0)</f>
        <v>1</v>
      </c>
      <c r="C2178" s="2">
        <f>IFERROR(__xludf.DUMMYFUNCTION("""COMPUTED_VALUE"""),-13.0)</f>
        <v>-13</v>
      </c>
      <c r="D2178" s="3">
        <f>IFERROR(__xludf.DUMMYFUNCTION("""COMPUTED_VALUE"""),0.0)</f>
        <v>0</v>
      </c>
      <c r="E2178" s="2"/>
      <c r="F2178" s="2"/>
    </row>
    <row r="2179">
      <c r="A2179" s="2">
        <f>IFERROR(__xludf.DUMMYFUNCTION("""COMPUTED_VALUE"""),122374.0)</f>
        <v>122374</v>
      </c>
      <c r="B2179" s="2">
        <f>IFERROR(__xludf.DUMMYFUNCTION("""COMPUTED_VALUE"""),0.0)</f>
        <v>0</v>
      </c>
      <c r="C2179" s="2">
        <f>IFERROR(__xludf.DUMMYFUNCTION("""COMPUTED_VALUE"""),733.0)</f>
        <v>733</v>
      </c>
      <c r="D2179" s="3">
        <f>IFERROR(__xludf.DUMMYFUNCTION("""COMPUTED_VALUE"""),682.0)</f>
        <v>682</v>
      </c>
      <c r="E2179" s="2"/>
      <c r="F2179" s="2"/>
    </row>
    <row r="2180">
      <c r="A2180" s="2">
        <f>IFERROR(__xludf.DUMMYFUNCTION("""COMPUTED_VALUE"""),118166.0)</f>
        <v>118166</v>
      </c>
      <c r="B2180" s="2">
        <f>IFERROR(__xludf.DUMMYFUNCTION("""COMPUTED_VALUE"""),0.0)</f>
        <v>0</v>
      </c>
      <c r="C2180" s="2">
        <f>IFERROR(__xludf.DUMMYFUNCTION("""COMPUTED_VALUE"""),204.0)</f>
        <v>204</v>
      </c>
      <c r="D2180" s="3">
        <f>IFERROR(__xludf.DUMMYFUNCTION("""COMPUTED_VALUE"""),108.0)</f>
        <v>108</v>
      </c>
      <c r="E2180" s="2"/>
      <c r="F2180" s="2"/>
    </row>
    <row r="2181">
      <c r="A2181" s="2">
        <f>IFERROR(__xludf.DUMMYFUNCTION("""COMPUTED_VALUE"""),42729.0)</f>
        <v>42729</v>
      </c>
      <c r="B2181" s="2">
        <f>IFERROR(__xludf.DUMMYFUNCTION("""COMPUTED_VALUE"""),0.0)</f>
        <v>0</v>
      </c>
      <c r="C2181" s="2">
        <f>IFERROR(__xludf.DUMMYFUNCTION("""COMPUTED_VALUE"""),374.0)</f>
        <v>374</v>
      </c>
      <c r="D2181" s="3">
        <f>IFERROR(__xludf.DUMMYFUNCTION("""COMPUTED_VALUE"""),58.0)</f>
        <v>58</v>
      </c>
      <c r="E2181" s="2"/>
      <c r="F2181" s="2"/>
    </row>
    <row r="2182">
      <c r="A2182" s="2">
        <f>IFERROR(__xludf.DUMMYFUNCTION("""COMPUTED_VALUE"""),182271.0)</f>
        <v>182271</v>
      </c>
      <c r="B2182" s="2">
        <f>IFERROR(__xludf.DUMMYFUNCTION("""COMPUTED_VALUE"""),1.0)</f>
        <v>1</v>
      </c>
      <c r="C2182" s="2">
        <f>IFERROR(__xludf.DUMMYFUNCTION("""COMPUTED_VALUE"""),856.0)</f>
        <v>856</v>
      </c>
      <c r="D2182" s="3">
        <f>IFERROR(__xludf.DUMMYFUNCTION("""COMPUTED_VALUE"""),554.0)</f>
        <v>554</v>
      </c>
      <c r="E2182" s="2"/>
      <c r="F2182" s="2"/>
    </row>
    <row r="2183">
      <c r="A2183" s="2">
        <f>IFERROR(__xludf.DUMMYFUNCTION("""COMPUTED_VALUE"""),109211.0)</f>
        <v>109211</v>
      </c>
      <c r="B2183" s="2">
        <f>IFERROR(__xludf.DUMMYFUNCTION("""COMPUTED_VALUE"""),0.0)</f>
        <v>0</v>
      </c>
      <c r="C2183" s="2">
        <f>IFERROR(__xludf.DUMMYFUNCTION("""COMPUTED_VALUE"""),359.0)</f>
        <v>359</v>
      </c>
      <c r="D2183" s="3">
        <f>IFERROR(__xludf.DUMMYFUNCTION("""COMPUTED_VALUE"""),269.0)</f>
        <v>269</v>
      </c>
      <c r="E2183" s="2"/>
      <c r="F2183" s="2"/>
    </row>
    <row r="2184">
      <c r="A2184" s="2">
        <f>IFERROR(__xludf.DUMMYFUNCTION("""COMPUTED_VALUE"""),192901.0)</f>
        <v>192901</v>
      </c>
      <c r="B2184" s="2">
        <f>IFERROR(__xludf.DUMMYFUNCTION("""COMPUTED_VALUE"""),1.0)</f>
        <v>1</v>
      </c>
      <c r="C2184" s="2">
        <f>IFERROR(__xludf.DUMMYFUNCTION("""COMPUTED_VALUE"""),25.0)</f>
        <v>25</v>
      </c>
      <c r="D2184" s="3">
        <f>IFERROR(__xludf.DUMMYFUNCTION("""COMPUTED_VALUE"""),7.0)</f>
        <v>7</v>
      </c>
      <c r="E2184" s="2"/>
      <c r="F2184" s="2"/>
    </row>
    <row r="2185">
      <c r="A2185" s="2">
        <f>IFERROR(__xludf.DUMMYFUNCTION("""COMPUTED_VALUE"""),122379.0)</f>
        <v>122379</v>
      </c>
      <c r="B2185" s="2">
        <f>IFERROR(__xludf.DUMMYFUNCTION("""COMPUTED_VALUE"""),1.0)</f>
        <v>1</v>
      </c>
      <c r="C2185" s="2">
        <f>IFERROR(__xludf.DUMMYFUNCTION("""COMPUTED_VALUE"""),361.0)</f>
        <v>361</v>
      </c>
      <c r="D2185" s="3">
        <f>IFERROR(__xludf.DUMMYFUNCTION("""COMPUTED_VALUE"""),119.0)</f>
        <v>119</v>
      </c>
      <c r="E2185" s="2"/>
      <c r="F2185" s="2"/>
    </row>
    <row r="2186">
      <c r="A2186" s="2">
        <f>IFERROR(__xludf.DUMMYFUNCTION("""COMPUTED_VALUE"""),109891.0)</f>
        <v>109891</v>
      </c>
      <c r="B2186" s="2">
        <f>IFERROR(__xludf.DUMMYFUNCTION("""COMPUTED_VALUE"""),0.0)</f>
        <v>0</v>
      </c>
      <c r="C2186" s="2">
        <f>IFERROR(__xludf.DUMMYFUNCTION("""COMPUTED_VALUE"""),106.0)</f>
        <v>106</v>
      </c>
      <c r="D2186" s="3">
        <f>IFERROR(__xludf.DUMMYFUNCTION("""COMPUTED_VALUE"""),7.0)</f>
        <v>7</v>
      </c>
      <c r="E2186" s="2"/>
      <c r="F2186" s="2"/>
    </row>
    <row r="2187">
      <c r="A2187" s="2">
        <f>IFERROR(__xludf.DUMMYFUNCTION("""COMPUTED_VALUE"""),125688.0)</f>
        <v>125688</v>
      </c>
      <c r="B2187" s="2">
        <f>IFERROR(__xludf.DUMMYFUNCTION("""COMPUTED_VALUE"""),1.0)</f>
        <v>1</v>
      </c>
      <c r="C2187" s="2">
        <f>IFERROR(__xludf.DUMMYFUNCTION("""COMPUTED_VALUE"""),272.0)</f>
        <v>272</v>
      </c>
      <c r="D2187" s="3">
        <f>IFERROR(__xludf.DUMMYFUNCTION("""COMPUTED_VALUE"""),54.0)</f>
        <v>54</v>
      </c>
      <c r="E2187" s="2"/>
      <c r="F2187" s="2"/>
    </row>
    <row r="2188">
      <c r="A2188" s="2">
        <f>IFERROR(__xludf.DUMMYFUNCTION("""COMPUTED_VALUE"""),68599.0)</f>
        <v>68599</v>
      </c>
      <c r="B2188" s="2">
        <f>IFERROR(__xludf.DUMMYFUNCTION("""COMPUTED_VALUE"""),1.0)</f>
        <v>1</v>
      </c>
      <c r="C2188" s="2">
        <f>IFERROR(__xludf.DUMMYFUNCTION("""COMPUTED_VALUE"""),216.0)</f>
        <v>216</v>
      </c>
      <c r="D2188" s="3">
        <f>IFERROR(__xludf.DUMMYFUNCTION("""COMPUTED_VALUE"""),207.0)</f>
        <v>207</v>
      </c>
      <c r="E2188" s="2"/>
      <c r="F2188" s="2"/>
    </row>
    <row r="2189">
      <c r="A2189" s="2">
        <f>IFERROR(__xludf.DUMMYFUNCTION("""COMPUTED_VALUE"""),104841.0)</f>
        <v>104841</v>
      </c>
      <c r="B2189" s="2">
        <f>IFERROR(__xludf.DUMMYFUNCTION("""COMPUTED_VALUE"""),0.0)</f>
        <v>0</v>
      </c>
      <c r="C2189" s="2">
        <f>IFERROR(__xludf.DUMMYFUNCTION("""COMPUTED_VALUE"""),956.0)</f>
        <v>956</v>
      </c>
      <c r="D2189" s="3">
        <f>IFERROR(__xludf.DUMMYFUNCTION("""COMPUTED_VALUE"""),640.0)</f>
        <v>640</v>
      </c>
      <c r="E2189" s="2"/>
      <c r="F2189" s="2"/>
    </row>
    <row r="2190">
      <c r="A2190" s="2">
        <f>IFERROR(__xludf.DUMMYFUNCTION("""COMPUTED_VALUE"""),20243.0)</f>
        <v>20243</v>
      </c>
      <c r="B2190" s="2">
        <f>IFERROR(__xludf.DUMMYFUNCTION("""COMPUTED_VALUE"""),0.0)</f>
        <v>0</v>
      </c>
      <c r="C2190" s="2">
        <f>IFERROR(__xludf.DUMMYFUNCTION("""COMPUTED_VALUE"""),951.0)</f>
        <v>951</v>
      </c>
      <c r="D2190" s="3">
        <f>IFERROR(__xludf.DUMMYFUNCTION("""COMPUTED_VALUE"""),516.0)</f>
        <v>516</v>
      </c>
      <c r="E2190" s="2"/>
      <c r="F2190" s="2"/>
    </row>
    <row r="2191">
      <c r="A2191" s="2">
        <f>IFERROR(__xludf.DUMMYFUNCTION("""COMPUTED_VALUE"""),10332.0)</f>
        <v>10332</v>
      </c>
      <c r="B2191" s="2">
        <f>IFERROR(__xludf.DUMMYFUNCTION("""COMPUTED_VALUE"""),0.0)</f>
        <v>0</v>
      </c>
      <c r="C2191" s="2">
        <f>IFERROR(__xludf.DUMMYFUNCTION("""COMPUTED_VALUE"""),954.0)</f>
        <v>954</v>
      </c>
      <c r="D2191" s="3">
        <f>IFERROR(__xludf.DUMMYFUNCTION("""COMPUTED_VALUE"""),936.0)</f>
        <v>936</v>
      </c>
      <c r="E2191" s="2"/>
      <c r="F2191" s="2"/>
    </row>
    <row r="2192">
      <c r="A2192" s="2">
        <f>IFERROR(__xludf.DUMMYFUNCTION("""COMPUTED_VALUE"""),7361.0)</f>
        <v>7361</v>
      </c>
      <c r="B2192" s="2">
        <f>IFERROR(__xludf.DUMMYFUNCTION("""COMPUTED_VALUE"""),1.0)</f>
        <v>1</v>
      </c>
      <c r="C2192" s="2">
        <f>IFERROR(__xludf.DUMMYFUNCTION("""COMPUTED_VALUE"""),102.0)</f>
        <v>102</v>
      </c>
      <c r="D2192" s="3">
        <f>IFERROR(__xludf.DUMMYFUNCTION("""COMPUTED_VALUE"""),100.0)</f>
        <v>100</v>
      </c>
      <c r="E2192" s="2"/>
      <c r="F2192" s="2"/>
    </row>
    <row r="2193">
      <c r="A2193" s="2">
        <f>IFERROR(__xludf.DUMMYFUNCTION("""COMPUTED_VALUE"""),21320.0)</f>
        <v>21320</v>
      </c>
      <c r="B2193" s="2">
        <f>IFERROR(__xludf.DUMMYFUNCTION("""COMPUTED_VALUE"""),1.0)</f>
        <v>1</v>
      </c>
      <c r="C2193" s="2">
        <f>IFERROR(__xludf.DUMMYFUNCTION("""COMPUTED_VALUE"""),461.0)</f>
        <v>461</v>
      </c>
      <c r="D2193" s="3">
        <f>IFERROR(__xludf.DUMMYFUNCTION("""COMPUTED_VALUE"""),204.0)</f>
        <v>204</v>
      </c>
      <c r="E2193" s="2"/>
      <c r="F2193" s="2"/>
    </row>
    <row r="2194">
      <c r="A2194" s="2">
        <f>IFERROR(__xludf.DUMMYFUNCTION("""COMPUTED_VALUE"""),7365.0)</f>
        <v>7365</v>
      </c>
      <c r="B2194" s="2">
        <f>IFERROR(__xludf.DUMMYFUNCTION("""COMPUTED_VALUE"""),0.0)</f>
        <v>0</v>
      </c>
      <c r="C2194" s="2">
        <f>IFERROR(__xludf.DUMMYFUNCTION("""COMPUTED_VALUE"""),719.0)</f>
        <v>719</v>
      </c>
      <c r="D2194" s="3">
        <f>IFERROR(__xludf.DUMMYFUNCTION("""COMPUTED_VALUE"""),661.0)</f>
        <v>661</v>
      </c>
      <c r="E2194" s="2"/>
      <c r="F2194" s="2"/>
    </row>
    <row r="2195">
      <c r="A2195" s="2">
        <f>IFERROR(__xludf.DUMMYFUNCTION("""COMPUTED_VALUE"""),7364.0)</f>
        <v>7364</v>
      </c>
      <c r="B2195" s="2">
        <f>IFERROR(__xludf.DUMMYFUNCTION("""COMPUTED_VALUE"""),0.0)</f>
        <v>0</v>
      </c>
      <c r="C2195" s="2">
        <f>IFERROR(__xludf.DUMMYFUNCTION("""COMPUTED_VALUE"""),699.0)</f>
        <v>699</v>
      </c>
      <c r="D2195" s="3">
        <f>IFERROR(__xludf.DUMMYFUNCTION("""COMPUTED_VALUE"""),282.0)</f>
        <v>282</v>
      </c>
      <c r="E2195" s="2"/>
      <c r="F2195" s="2"/>
    </row>
    <row r="2196">
      <c r="A2196" s="2">
        <f>IFERROR(__xludf.DUMMYFUNCTION("""COMPUTED_VALUE"""),7362.0)</f>
        <v>7362</v>
      </c>
      <c r="B2196" s="2">
        <f>IFERROR(__xludf.DUMMYFUNCTION("""COMPUTED_VALUE"""),0.0)</f>
        <v>0</v>
      </c>
      <c r="C2196" s="2">
        <f>IFERROR(__xludf.DUMMYFUNCTION("""COMPUTED_VALUE"""),826.0)</f>
        <v>826</v>
      </c>
      <c r="D2196" s="3">
        <f>IFERROR(__xludf.DUMMYFUNCTION("""COMPUTED_VALUE"""),764.0)</f>
        <v>764</v>
      </c>
      <c r="E2196" s="2"/>
      <c r="F2196" s="2"/>
    </row>
    <row r="2197">
      <c r="A2197" s="2">
        <f>IFERROR(__xludf.DUMMYFUNCTION("""COMPUTED_VALUE"""),117237.0)</f>
        <v>117237</v>
      </c>
      <c r="B2197" s="2">
        <f>IFERROR(__xludf.DUMMYFUNCTION("""COMPUTED_VALUE"""),0.0)</f>
        <v>0</v>
      </c>
      <c r="C2197" s="2">
        <f>IFERROR(__xludf.DUMMYFUNCTION("""COMPUTED_VALUE"""),236.0)</f>
        <v>236</v>
      </c>
      <c r="D2197" s="3">
        <f>IFERROR(__xludf.DUMMYFUNCTION("""COMPUTED_VALUE"""),118.0)</f>
        <v>118</v>
      </c>
      <c r="E2197" s="2"/>
      <c r="F2197" s="2"/>
    </row>
    <row r="2198">
      <c r="A2198" s="2">
        <f>IFERROR(__xludf.DUMMYFUNCTION("""COMPUTED_VALUE"""),19784.0)</f>
        <v>19784</v>
      </c>
      <c r="B2198" s="2">
        <f>IFERROR(__xludf.DUMMYFUNCTION("""COMPUTED_VALUE"""),0.0)</f>
        <v>0</v>
      </c>
      <c r="C2198" s="2">
        <f>IFERROR(__xludf.DUMMYFUNCTION("""COMPUTED_VALUE"""),886.0)</f>
        <v>886</v>
      </c>
      <c r="D2198" s="3">
        <f>IFERROR(__xludf.DUMMYFUNCTION("""COMPUTED_VALUE"""),766.0)</f>
        <v>766</v>
      </c>
      <c r="E2198" s="2"/>
      <c r="F2198" s="2"/>
    </row>
    <row r="2199">
      <c r="A2199" s="2">
        <f>IFERROR(__xludf.DUMMYFUNCTION("""COMPUTED_VALUE"""),9329.0)</f>
        <v>9329</v>
      </c>
      <c r="B2199" s="2">
        <f>IFERROR(__xludf.DUMMYFUNCTION("""COMPUTED_VALUE"""),1.0)</f>
        <v>1</v>
      </c>
      <c r="C2199" s="2">
        <f>IFERROR(__xludf.DUMMYFUNCTION("""COMPUTED_VALUE"""),270.0)</f>
        <v>270</v>
      </c>
      <c r="D2199" s="3">
        <f>IFERROR(__xludf.DUMMYFUNCTION("""COMPUTED_VALUE"""),145.0)</f>
        <v>145</v>
      </c>
      <c r="E2199" s="2"/>
      <c r="F2199" s="2"/>
    </row>
    <row r="2200">
      <c r="A2200" s="2">
        <f>IFERROR(__xludf.DUMMYFUNCTION("""COMPUTED_VALUE"""),10859.0)</f>
        <v>10859</v>
      </c>
      <c r="B2200" s="2">
        <f>IFERROR(__xludf.DUMMYFUNCTION("""COMPUTED_VALUE"""),1.0)</f>
        <v>1</v>
      </c>
      <c r="C2200" s="2">
        <f>IFERROR(__xludf.DUMMYFUNCTION("""COMPUTED_VALUE"""),977.0)</f>
        <v>977</v>
      </c>
      <c r="D2200" s="3">
        <f>IFERROR(__xludf.DUMMYFUNCTION("""COMPUTED_VALUE"""),151.0)</f>
        <v>151</v>
      </c>
      <c r="E2200" s="2"/>
      <c r="F2200" s="2"/>
    </row>
    <row r="2201">
      <c r="A2201" s="2">
        <f>IFERROR(__xludf.DUMMYFUNCTION("""COMPUTED_VALUE"""),118329.0)</f>
        <v>118329</v>
      </c>
      <c r="B2201" s="2">
        <f>IFERROR(__xludf.DUMMYFUNCTION("""COMPUTED_VALUE"""),0.0)</f>
        <v>0</v>
      </c>
      <c r="C2201" s="2">
        <f>IFERROR(__xludf.DUMMYFUNCTION("""COMPUTED_VALUE"""),706.0)</f>
        <v>706</v>
      </c>
      <c r="D2201" s="3">
        <f>IFERROR(__xludf.DUMMYFUNCTION("""COMPUTED_VALUE"""),91.0)</f>
        <v>91</v>
      </c>
      <c r="E2201" s="2"/>
      <c r="F2201" s="2"/>
    </row>
    <row r="2202">
      <c r="A2202" s="2">
        <f>IFERROR(__xludf.DUMMYFUNCTION("""COMPUTED_VALUE"""),105169.0)</f>
        <v>105169</v>
      </c>
      <c r="B2202" s="2">
        <f>IFERROR(__xludf.DUMMYFUNCTION("""COMPUTED_VALUE"""),1.0)</f>
        <v>1</v>
      </c>
      <c r="C2202" s="2">
        <f>IFERROR(__xludf.DUMMYFUNCTION("""COMPUTED_VALUE"""),682.0)</f>
        <v>682</v>
      </c>
      <c r="D2202" s="3">
        <f>IFERROR(__xludf.DUMMYFUNCTION("""COMPUTED_VALUE"""),214.0)</f>
        <v>214</v>
      </c>
      <c r="E2202" s="2"/>
      <c r="F2202" s="2"/>
    </row>
    <row r="2203">
      <c r="A2203" s="2">
        <f>IFERROR(__xludf.DUMMYFUNCTION("""COMPUTED_VALUE"""),90567.0)</f>
        <v>90567</v>
      </c>
      <c r="B2203" s="2">
        <f>IFERROR(__xludf.DUMMYFUNCTION("""COMPUTED_VALUE"""),1.0)</f>
        <v>1</v>
      </c>
      <c r="C2203" s="2">
        <f>IFERROR(__xludf.DUMMYFUNCTION("""COMPUTED_VALUE"""),575.0)</f>
        <v>575</v>
      </c>
      <c r="D2203" s="3">
        <f>IFERROR(__xludf.DUMMYFUNCTION("""COMPUTED_VALUE"""),356.0)</f>
        <v>356</v>
      </c>
      <c r="E2203" s="2"/>
      <c r="F2203" s="2"/>
    </row>
    <row r="2204">
      <c r="A2204" s="2">
        <f>IFERROR(__xludf.DUMMYFUNCTION("""COMPUTED_VALUE"""),46672.0)</f>
        <v>46672</v>
      </c>
      <c r="B2204" s="2">
        <f>IFERROR(__xludf.DUMMYFUNCTION("""COMPUTED_VALUE"""),0.0)</f>
        <v>0</v>
      </c>
      <c r="C2204" s="2">
        <f>IFERROR(__xludf.DUMMYFUNCTION("""COMPUTED_VALUE"""),79.0)</f>
        <v>79</v>
      </c>
      <c r="D2204" s="3">
        <f>IFERROR(__xludf.DUMMYFUNCTION("""COMPUTED_VALUE"""),11.0)</f>
        <v>11</v>
      </c>
      <c r="E2204" s="2"/>
      <c r="F2204" s="2"/>
    </row>
    <row r="2205">
      <c r="A2205" s="2">
        <f>IFERROR(__xludf.DUMMYFUNCTION("""COMPUTED_VALUE"""),118229.0)</f>
        <v>118229</v>
      </c>
      <c r="B2205" s="2">
        <f>IFERROR(__xludf.DUMMYFUNCTION("""COMPUTED_VALUE"""),1.0)</f>
        <v>1</v>
      </c>
      <c r="C2205" s="2">
        <f>IFERROR(__xludf.DUMMYFUNCTION("""COMPUTED_VALUE"""),658.0)</f>
        <v>658</v>
      </c>
      <c r="D2205" s="3">
        <f>IFERROR(__xludf.DUMMYFUNCTION("""COMPUTED_VALUE"""),60.0)</f>
        <v>60</v>
      </c>
      <c r="E2205" s="2"/>
      <c r="F2205" s="2"/>
    </row>
    <row r="2206">
      <c r="A2206" s="2">
        <f>IFERROR(__xludf.DUMMYFUNCTION("""COMPUTED_VALUE"""),193230.0)</f>
        <v>193230</v>
      </c>
      <c r="B2206" s="2">
        <f>IFERROR(__xludf.DUMMYFUNCTION("""COMPUTED_VALUE"""),1.0)</f>
        <v>1</v>
      </c>
      <c r="C2206" s="2">
        <f>IFERROR(__xludf.DUMMYFUNCTION("""COMPUTED_VALUE"""),696.0)</f>
        <v>696</v>
      </c>
      <c r="D2206" s="3">
        <f>IFERROR(__xludf.DUMMYFUNCTION("""COMPUTED_VALUE"""),165.0)</f>
        <v>165</v>
      </c>
      <c r="E2206" s="2"/>
      <c r="F2206" s="2"/>
    </row>
    <row r="2207">
      <c r="A2207" s="2">
        <f>IFERROR(__xludf.DUMMYFUNCTION("""COMPUTED_VALUE"""),193254.0)</f>
        <v>193254</v>
      </c>
      <c r="B2207" s="2">
        <f>IFERROR(__xludf.DUMMYFUNCTION("""COMPUTED_VALUE"""),0.0)</f>
        <v>0</v>
      </c>
      <c r="C2207" s="2">
        <f>IFERROR(__xludf.DUMMYFUNCTION("""COMPUTED_VALUE"""),325.0)</f>
        <v>325</v>
      </c>
      <c r="D2207" s="3">
        <f>IFERROR(__xludf.DUMMYFUNCTION("""COMPUTED_VALUE"""),35.0)</f>
        <v>35</v>
      </c>
      <c r="E2207" s="2"/>
      <c r="F2207" s="2"/>
    </row>
    <row r="2208">
      <c r="A2208" s="2">
        <f>IFERROR(__xludf.DUMMYFUNCTION("""COMPUTED_VALUE"""),113228.0)</f>
        <v>113228</v>
      </c>
      <c r="B2208" s="2">
        <f>IFERROR(__xludf.DUMMYFUNCTION("""COMPUTED_VALUE"""),1.0)</f>
        <v>1</v>
      </c>
      <c r="C2208" s="2">
        <f>IFERROR(__xludf.DUMMYFUNCTION("""COMPUTED_VALUE"""),664.0)</f>
        <v>664</v>
      </c>
      <c r="D2208" s="3">
        <f>IFERROR(__xludf.DUMMYFUNCTION("""COMPUTED_VALUE"""),592.0)</f>
        <v>592</v>
      </c>
      <c r="E2208" s="2"/>
      <c r="F2208" s="2"/>
    </row>
    <row r="2209">
      <c r="A2209" s="2">
        <f>IFERROR(__xludf.DUMMYFUNCTION("""COMPUTED_VALUE"""),193193.0)</f>
        <v>193193</v>
      </c>
      <c r="B2209" s="2">
        <f>IFERROR(__xludf.DUMMYFUNCTION("""COMPUTED_VALUE"""),1.0)</f>
        <v>1</v>
      </c>
      <c r="C2209" s="2">
        <f>IFERROR(__xludf.DUMMYFUNCTION("""COMPUTED_VALUE"""),912.0)</f>
        <v>912</v>
      </c>
      <c r="D2209" s="3">
        <f>IFERROR(__xludf.DUMMYFUNCTION("""COMPUTED_VALUE"""),115.0)</f>
        <v>115</v>
      </c>
      <c r="E2209" s="2"/>
      <c r="F2209" s="2"/>
    </row>
    <row r="2210">
      <c r="A2210" s="2">
        <f>IFERROR(__xludf.DUMMYFUNCTION("""COMPUTED_VALUE"""),113223.0)</f>
        <v>113223</v>
      </c>
      <c r="B2210" s="2">
        <f>IFERROR(__xludf.DUMMYFUNCTION("""COMPUTED_VALUE"""),0.0)</f>
        <v>0</v>
      </c>
      <c r="C2210" s="2">
        <f>IFERROR(__xludf.DUMMYFUNCTION("""COMPUTED_VALUE"""),319.0)</f>
        <v>319</v>
      </c>
      <c r="D2210" s="3">
        <f>IFERROR(__xludf.DUMMYFUNCTION("""COMPUTED_VALUE"""),209.0)</f>
        <v>209</v>
      </c>
      <c r="E2210" s="2"/>
      <c r="F2210" s="2"/>
    </row>
    <row r="2211">
      <c r="A2211" s="2">
        <f>IFERROR(__xludf.DUMMYFUNCTION("""COMPUTED_VALUE"""),113227.0)</f>
        <v>113227</v>
      </c>
      <c r="B2211" s="2">
        <f>IFERROR(__xludf.DUMMYFUNCTION("""COMPUTED_VALUE"""),0.0)</f>
        <v>0</v>
      </c>
      <c r="C2211" s="2">
        <f>IFERROR(__xludf.DUMMYFUNCTION("""COMPUTED_VALUE"""),384.0)</f>
        <v>384</v>
      </c>
      <c r="D2211" s="3">
        <f>IFERROR(__xludf.DUMMYFUNCTION("""COMPUTED_VALUE"""),125.0)</f>
        <v>125</v>
      </c>
      <c r="E2211" s="2"/>
      <c r="F2211" s="2"/>
    </row>
    <row r="2212">
      <c r="A2212" s="2">
        <f>IFERROR(__xludf.DUMMYFUNCTION("""COMPUTED_VALUE"""),114198.0)</f>
        <v>114198</v>
      </c>
      <c r="B2212" s="2">
        <f>IFERROR(__xludf.DUMMYFUNCTION("""COMPUTED_VALUE"""),0.0)</f>
        <v>0</v>
      </c>
      <c r="C2212" s="2">
        <f>IFERROR(__xludf.DUMMYFUNCTION("""COMPUTED_VALUE"""),432.0)</f>
        <v>432</v>
      </c>
      <c r="D2212" s="3">
        <f>IFERROR(__xludf.DUMMYFUNCTION("""COMPUTED_VALUE"""),105.0)</f>
        <v>105</v>
      </c>
      <c r="E2212" s="2"/>
      <c r="F2212" s="2"/>
    </row>
    <row r="2213">
      <c r="A2213" s="2">
        <f>IFERROR(__xludf.DUMMYFUNCTION("""COMPUTED_VALUE"""),100451.0)</f>
        <v>100451</v>
      </c>
      <c r="B2213" s="2">
        <f>IFERROR(__xludf.DUMMYFUNCTION("""COMPUTED_VALUE"""),0.0)</f>
        <v>0</v>
      </c>
      <c r="C2213" s="2">
        <f>IFERROR(__xludf.DUMMYFUNCTION("""COMPUTED_VALUE"""),296.0)</f>
        <v>296</v>
      </c>
      <c r="D2213" s="3">
        <f>IFERROR(__xludf.DUMMYFUNCTION("""COMPUTED_VALUE"""),287.0)</f>
        <v>287</v>
      </c>
      <c r="E2213" s="2"/>
      <c r="F2213" s="2"/>
    </row>
    <row r="2214">
      <c r="A2214" s="2">
        <f>IFERROR(__xludf.DUMMYFUNCTION("""COMPUTED_VALUE"""),100446.0)</f>
        <v>100446</v>
      </c>
      <c r="B2214" s="2">
        <f>IFERROR(__xludf.DUMMYFUNCTION("""COMPUTED_VALUE"""),1.0)</f>
        <v>1</v>
      </c>
      <c r="C2214" s="2">
        <f>IFERROR(__xludf.DUMMYFUNCTION("""COMPUTED_VALUE"""),749.0)</f>
        <v>749</v>
      </c>
      <c r="D2214" s="3">
        <f>IFERROR(__xludf.DUMMYFUNCTION("""COMPUTED_VALUE"""),626.0)</f>
        <v>626</v>
      </c>
      <c r="E2214" s="2"/>
      <c r="F2214" s="2"/>
    </row>
    <row r="2215">
      <c r="A2215" s="2">
        <f>IFERROR(__xludf.DUMMYFUNCTION("""COMPUTED_VALUE"""),193253.0)</f>
        <v>193253</v>
      </c>
      <c r="B2215" s="2">
        <f>IFERROR(__xludf.DUMMYFUNCTION("""COMPUTED_VALUE"""),1.0)</f>
        <v>1</v>
      </c>
      <c r="C2215" s="2">
        <f>IFERROR(__xludf.DUMMYFUNCTION("""COMPUTED_VALUE"""),915.0)</f>
        <v>915</v>
      </c>
      <c r="D2215" s="3">
        <f>IFERROR(__xludf.DUMMYFUNCTION("""COMPUTED_VALUE"""),279.0)</f>
        <v>279</v>
      </c>
      <c r="E2215" s="2"/>
      <c r="F2215" s="2"/>
    </row>
    <row r="2216">
      <c r="A2216" s="2">
        <f>IFERROR(__xludf.DUMMYFUNCTION("""COMPUTED_VALUE"""),82432.0)</f>
        <v>82432</v>
      </c>
      <c r="B2216" s="2">
        <f>IFERROR(__xludf.DUMMYFUNCTION("""COMPUTED_VALUE"""),1.0)</f>
        <v>1</v>
      </c>
      <c r="C2216" s="2">
        <f>IFERROR(__xludf.DUMMYFUNCTION("""COMPUTED_VALUE"""),673.0)</f>
        <v>673</v>
      </c>
      <c r="D2216" s="3">
        <f>IFERROR(__xludf.DUMMYFUNCTION("""COMPUTED_VALUE"""),670.0)</f>
        <v>670</v>
      </c>
      <c r="E2216" s="2"/>
      <c r="F2216" s="2"/>
    </row>
    <row r="2217">
      <c r="A2217" s="2">
        <f>IFERROR(__xludf.DUMMYFUNCTION("""COMPUTED_VALUE"""),122703.0)</f>
        <v>122703</v>
      </c>
      <c r="B2217" s="2">
        <f>IFERROR(__xludf.DUMMYFUNCTION("""COMPUTED_VALUE"""),0.0)</f>
        <v>0</v>
      </c>
      <c r="C2217" s="2">
        <f>IFERROR(__xludf.DUMMYFUNCTION("""COMPUTED_VALUE"""),812.0)</f>
        <v>812</v>
      </c>
      <c r="D2217" s="3">
        <f>IFERROR(__xludf.DUMMYFUNCTION("""COMPUTED_VALUE"""),75.0)</f>
        <v>75</v>
      </c>
      <c r="E2217" s="2"/>
      <c r="F2217" s="2"/>
    </row>
    <row r="2218">
      <c r="A2218" s="2">
        <f>IFERROR(__xludf.DUMMYFUNCTION("""COMPUTED_VALUE"""),129410.0)</f>
        <v>129410</v>
      </c>
      <c r="B2218" s="2">
        <f>IFERROR(__xludf.DUMMYFUNCTION("""COMPUTED_VALUE"""),0.0)</f>
        <v>0</v>
      </c>
      <c r="C2218" s="2">
        <f>IFERROR(__xludf.DUMMYFUNCTION("""COMPUTED_VALUE"""),413.0)</f>
        <v>413</v>
      </c>
      <c r="D2218" s="3">
        <f>IFERROR(__xludf.DUMMYFUNCTION("""COMPUTED_VALUE"""),306.0)</f>
        <v>306</v>
      </c>
      <c r="E2218" s="2"/>
      <c r="F2218" s="2"/>
    </row>
    <row r="2219">
      <c r="A2219" s="2">
        <f>IFERROR(__xludf.DUMMYFUNCTION("""COMPUTED_VALUE"""),103236.0)</f>
        <v>103236</v>
      </c>
      <c r="B2219" s="2">
        <f>IFERROR(__xludf.DUMMYFUNCTION("""COMPUTED_VALUE"""),1.0)</f>
        <v>1</v>
      </c>
      <c r="C2219" s="2">
        <f>IFERROR(__xludf.DUMMYFUNCTION("""COMPUTED_VALUE"""),760.0)</f>
        <v>760</v>
      </c>
      <c r="D2219" s="3">
        <f>IFERROR(__xludf.DUMMYFUNCTION("""COMPUTED_VALUE"""),680.0)</f>
        <v>680</v>
      </c>
      <c r="E2219" s="2"/>
      <c r="F2219" s="2"/>
    </row>
    <row r="2220">
      <c r="A2220" s="2">
        <f>IFERROR(__xludf.DUMMYFUNCTION("""COMPUTED_VALUE"""),127534.0)</f>
        <v>127534</v>
      </c>
      <c r="B2220" s="2">
        <f>IFERROR(__xludf.DUMMYFUNCTION("""COMPUTED_VALUE"""),1.0)</f>
        <v>1</v>
      </c>
      <c r="C2220" s="2">
        <f>IFERROR(__xludf.DUMMYFUNCTION("""COMPUTED_VALUE"""),342.0)</f>
        <v>342</v>
      </c>
      <c r="D2220" s="3">
        <f>IFERROR(__xludf.DUMMYFUNCTION("""COMPUTED_VALUE"""),52.0)</f>
        <v>52</v>
      </c>
      <c r="E2220" s="2"/>
      <c r="F2220" s="2"/>
    </row>
    <row r="2221">
      <c r="A2221" s="2">
        <f>IFERROR(__xludf.DUMMYFUNCTION("""COMPUTED_VALUE"""),100906.0)</f>
        <v>100906</v>
      </c>
      <c r="B2221" s="2">
        <f>IFERROR(__xludf.DUMMYFUNCTION("""COMPUTED_VALUE"""),1.0)</f>
        <v>1</v>
      </c>
      <c r="C2221" s="2">
        <f>IFERROR(__xludf.DUMMYFUNCTION("""COMPUTED_VALUE"""),695.0)</f>
        <v>695</v>
      </c>
      <c r="D2221" s="3">
        <f>IFERROR(__xludf.DUMMYFUNCTION("""COMPUTED_VALUE"""),687.0)</f>
        <v>687</v>
      </c>
      <c r="E2221" s="2"/>
      <c r="F2221" s="2"/>
    </row>
    <row r="2222">
      <c r="A2222" s="2">
        <f>IFERROR(__xludf.DUMMYFUNCTION("""COMPUTED_VALUE"""),109098.0)</f>
        <v>109098</v>
      </c>
      <c r="B2222" s="2">
        <f>IFERROR(__xludf.DUMMYFUNCTION("""COMPUTED_VALUE"""),0.0)</f>
        <v>0</v>
      </c>
      <c r="C2222" s="2">
        <f>IFERROR(__xludf.DUMMYFUNCTION("""COMPUTED_VALUE"""),565.0)</f>
        <v>565</v>
      </c>
      <c r="D2222" s="3">
        <f>IFERROR(__xludf.DUMMYFUNCTION("""COMPUTED_VALUE"""),97.0)</f>
        <v>97</v>
      </c>
      <c r="E2222" s="2"/>
      <c r="F2222" s="2"/>
    </row>
    <row r="2223">
      <c r="A2223" s="2">
        <f>IFERROR(__xludf.DUMMYFUNCTION("""COMPUTED_VALUE"""),155864.0)</f>
        <v>155864</v>
      </c>
      <c r="B2223" s="2">
        <f>IFERROR(__xludf.DUMMYFUNCTION("""COMPUTED_VALUE"""),1.0)</f>
        <v>1</v>
      </c>
      <c r="C2223" s="2">
        <f>IFERROR(__xludf.DUMMYFUNCTION("""COMPUTED_VALUE"""),348.0)</f>
        <v>348</v>
      </c>
      <c r="D2223" s="3">
        <f>IFERROR(__xludf.DUMMYFUNCTION("""COMPUTED_VALUE"""),221.0)</f>
        <v>221</v>
      </c>
      <c r="E2223" s="2"/>
      <c r="F2223" s="2"/>
    </row>
    <row r="2224">
      <c r="A2224" s="2">
        <f>IFERROR(__xludf.DUMMYFUNCTION("""COMPUTED_VALUE"""),120314.0)</f>
        <v>120314</v>
      </c>
      <c r="B2224" s="2">
        <f>IFERROR(__xludf.DUMMYFUNCTION("""COMPUTED_VALUE"""),1.0)</f>
        <v>1</v>
      </c>
      <c r="C2224" s="2">
        <f>IFERROR(__xludf.DUMMYFUNCTION("""COMPUTED_VALUE"""),56.0)</f>
        <v>56</v>
      </c>
      <c r="D2224" s="3">
        <f>IFERROR(__xludf.DUMMYFUNCTION("""COMPUTED_VALUE"""),2.0)</f>
        <v>2</v>
      </c>
      <c r="E2224" s="2"/>
      <c r="F2224" s="2"/>
    </row>
    <row r="2225">
      <c r="A2225" s="2">
        <f>IFERROR(__xludf.DUMMYFUNCTION("""COMPUTED_VALUE"""),199547.0)</f>
        <v>199547</v>
      </c>
      <c r="B2225" s="2">
        <f>IFERROR(__xludf.DUMMYFUNCTION("""COMPUTED_VALUE"""),0.0)</f>
        <v>0</v>
      </c>
      <c r="C2225" s="2">
        <f>IFERROR(__xludf.DUMMYFUNCTION("""COMPUTED_VALUE"""),566.0)</f>
        <v>566</v>
      </c>
      <c r="D2225" s="3">
        <f>IFERROR(__xludf.DUMMYFUNCTION("""COMPUTED_VALUE"""),382.0)</f>
        <v>382</v>
      </c>
      <c r="E2225" s="2"/>
      <c r="F2225" s="2"/>
    </row>
    <row r="2226">
      <c r="A2226" s="2">
        <f>IFERROR(__xludf.DUMMYFUNCTION("""COMPUTED_VALUE"""),110540.0)</f>
        <v>110540</v>
      </c>
      <c r="B2226" s="2">
        <f>IFERROR(__xludf.DUMMYFUNCTION("""COMPUTED_VALUE"""),0.0)</f>
        <v>0</v>
      </c>
      <c r="C2226" s="2">
        <f>IFERROR(__xludf.DUMMYFUNCTION("""COMPUTED_VALUE"""),959.0)</f>
        <v>959</v>
      </c>
      <c r="D2226" s="3">
        <f>IFERROR(__xludf.DUMMYFUNCTION("""COMPUTED_VALUE"""),480.0)</f>
        <v>480</v>
      </c>
      <c r="E2226" s="2"/>
      <c r="F2226" s="2"/>
    </row>
    <row r="2227">
      <c r="A2227" s="2">
        <f>IFERROR(__xludf.DUMMYFUNCTION("""COMPUTED_VALUE"""),182190.0)</f>
        <v>182190</v>
      </c>
      <c r="B2227" s="2">
        <f>IFERROR(__xludf.DUMMYFUNCTION("""COMPUTED_VALUE"""),1.0)</f>
        <v>1</v>
      </c>
      <c r="C2227" s="2">
        <f>IFERROR(__xludf.DUMMYFUNCTION("""COMPUTED_VALUE"""),511.0)</f>
        <v>511</v>
      </c>
      <c r="D2227" s="3">
        <f>IFERROR(__xludf.DUMMYFUNCTION("""COMPUTED_VALUE"""),53.0)</f>
        <v>53</v>
      </c>
      <c r="E2227" s="2"/>
      <c r="F2227" s="2"/>
    </row>
    <row r="2228">
      <c r="A2228" s="2">
        <f>IFERROR(__xludf.DUMMYFUNCTION("""COMPUTED_VALUE"""),79341.0)</f>
        <v>79341</v>
      </c>
      <c r="B2228" s="2">
        <f>IFERROR(__xludf.DUMMYFUNCTION("""COMPUTED_VALUE"""),0.0)</f>
        <v>0</v>
      </c>
      <c r="C2228" s="2">
        <f>IFERROR(__xludf.DUMMYFUNCTION("""COMPUTED_VALUE"""),319.0)</f>
        <v>319</v>
      </c>
      <c r="D2228" s="3">
        <f>IFERROR(__xludf.DUMMYFUNCTION("""COMPUTED_VALUE"""),300.0)</f>
        <v>300</v>
      </c>
      <c r="E2228" s="2"/>
      <c r="F2228" s="2"/>
    </row>
    <row r="2229">
      <c r="A2229" s="2">
        <f>IFERROR(__xludf.DUMMYFUNCTION("""COMPUTED_VALUE"""),108969.0)</f>
        <v>108969</v>
      </c>
      <c r="B2229" s="2">
        <f>IFERROR(__xludf.DUMMYFUNCTION("""COMPUTED_VALUE"""),1.0)</f>
        <v>1</v>
      </c>
      <c r="C2229" s="2">
        <f>IFERROR(__xludf.DUMMYFUNCTION("""COMPUTED_VALUE"""),823.0)</f>
        <v>823</v>
      </c>
      <c r="D2229" s="3">
        <f>IFERROR(__xludf.DUMMYFUNCTION("""COMPUTED_VALUE"""),569.0)</f>
        <v>569</v>
      </c>
      <c r="E2229" s="2"/>
      <c r="F2229" s="2"/>
    </row>
    <row r="2230">
      <c r="A2230" s="2">
        <f>IFERROR(__xludf.DUMMYFUNCTION("""COMPUTED_VALUE"""),79939.0)</f>
        <v>79939</v>
      </c>
      <c r="B2230" s="2">
        <f>IFERROR(__xludf.DUMMYFUNCTION("""COMPUTED_VALUE"""),1.0)</f>
        <v>1</v>
      </c>
      <c r="C2230" s="2">
        <f>IFERROR(__xludf.DUMMYFUNCTION("""COMPUTED_VALUE"""),515.0)</f>
        <v>515</v>
      </c>
      <c r="D2230" s="3">
        <f>IFERROR(__xludf.DUMMYFUNCTION("""COMPUTED_VALUE"""),258.0)</f>
        <v>258</v>
      </c>
      <c r="E2230" s="2"/>
      <c r="F2230" s="2"/>
    </row>
    <row r="2231">
      <c r="A2231" s="2">
        <f>IFERROR(__xludf.DUMMYFUNCTION("""COMPUTED_VALUE"""),11733.0)</f>
        <v>11733</v>
      </c>
      <c r="B2231" s="2">
        <f>IFERROR(__xludf.DUMMYFUNCTION("""COMPUTED_VALUE"""),1.0)</f>
        <v>1</v>
      </c>
      <c r="C2231" s="2">
        <f>IFERROR(__xludf.DUMMYFUNCTION("""COMPUTED_VALUE"""),934.0)</f>
        <v>934</v>
      </c>
      <c r="D2231" s="3">
        <f>IFERROR(__xludf.DUMMYFUNCTION("""COMPUTED_VALUE"""),757.0)</f>
        <v>757</v>
      </c>
      <c r="E2231" s="2"/>
      <c r="F2231" s="2"/>
    </row>
    <row r="2232">
      <c r="A2232" s="2">
        <f>IFERROR(__xludf.DUMMYFUNCTION("""COMPUTED_VALUE"""),12647.0)</f>
        <v>12647</v>
      </c>
      <c r="B2232" s="2">
        <f>IFERROR(__xludf.DUMMYFUNCTION("""COMPUTED_VALUE"""),1.0)</f>
        <v>1</v>
      </c>
      <c r="C2232" s="2">
        <f>IFERROR(__xludf.DUMMYFUNCTION("""COMPUTED_VALUE"""),330.0)</f>
        <v>330</v>
      </c>
      <c r="D2232" s="3">
        <f>IFERROR(__xludf.DUMMYFUNCTION("""COMPUTED_VALUE"""),147.0)</f>
        <v>147</v>
      </c>
      <c r="E2232" s="2"/>
      <c r="F2232" s="2"/>
    </row>
    <row r="2233">
      <c r="A2233" s="2">
        <f>IFERROR(__xludf.DUMMYFUNCTION("""COMPUTED_VALUE"""),122292.0)</f>
        <v>122292</v>
      </c>
      <c r="B2233" s="2">
        <f>IFERROR(__xludf.DUMMYFUNCTION("""COMPUTED_VALUE"""),1.0)</f>
        <v>1</v>
      </c>
      <c r="C2233" s="2">
        <f>IFERROR(__xludf.DUMMYFUNCTION("""COMPUTED_VALUE"""),918.0)</f>
        <v>918</v>
      </c>
      <c r="D2233" s="3">
        <f>IFERROR(__xludf.DUMMYFUNCTION("""COMPUTED_VALUE"""),316.0)</f>
        <v>316</v>
      </c>
      <c r="E2233" s="2"/>
      <c r="F2233" s="2"/>
    </row>
    <row r="2234">
      <c r="A2234" s="2">
        <f>IFERROR(__xludf.DUMMYFUNCTION("""COMPUTED_VALUE"""),117433.0)</f>
        <v>117433</v>
      </c>
      <c r="B2234" s="2">
        <f>IFERROR(__xludf.DUMMYFUNCTION("""COMPUTED_VALUE"""),0.0)</f>
        <v>0</v>
      </c>
      <c r="C2234" s="2">
        <f>IFERROR(__xludf.DUMMYFUNCTION("""COMPUTED_VALUE"""),788.0)</f>
        <v>788</v>
      </c>
      <c r="D2234" s="3">
        <f>IFERROR(__xludf.DUMMYFUNCTION("""COMPUTED_VALUE"""),523.0)</f>
        <v>523</v>
      </c>
      <c r="E2234" s="2"/>
      <c r="F2234" s="2"/>
    </row>
    <row r="2235">
      <c r="A2235" s="2">
        <f>IFERROR(__xludf.DUMMYFUNCTION("""COMPUTED_VALUE"""),127018.0)</f>
        <v>127018</v>
      </c>
      <c r="B2235" s="2">
        <f>IFERROR(__xludf.DUMMYFUNCTION("""COMPUTED_VALUE"""),1.0)</f>
        <v>1</v>
      </c>
      <c r="C2235" s="2">
        <f>IFERROR(__xludf.DUMMYFUNCTION("""COMPUTED_VALUE"""),657.0)</f>
        <v>657</v>
      </c>
      <c r="D2235" s="3">
        <f>IFERROR(__xludf.DUMMYFUNCTION("""COMPUTED_VALUE"""),384.0)</f>
        <v>384</v>
      </c>
      <c r="E2235" s="2"/>
      <c r="F2235" s="2"/>
    </row>
    <row r="2236">
      <c r="A2236" s="2">
        <f>IFERROR(__xludf.DUMMYFUNCTION("""COMPUTED_VALUE"""),9705.0)</f>
        <v>9705</v>
      </c>
      <c r="B2236" s="2">
        <f>IFERROR(__xludf.DUMMYFUNCTION("""COMPUTED_VALUE"""),0.0)</f>
        <v>0</v>
      </c>
      <c r="C2236" s="2">
        <f>IFERROR(__xludf.DUMMYFUNCTION("""COMPUTED_VALUE"""),567.0)</f>
        <v>567</v>
      </c>
      <c r="D2236" s="3">
        <f>IFERROR(__xludf.DUMMYFUNCTION("""COMPUTED_VALUE"""),29.0)</f>
        <v>29</v>
      </c>
      <c r="E2236" s="2"/>
      <c r="F2236" s="2"/>
    </row>
    <row r="2237">
      <c r="A2237" s="2">
        <f>IFERROR(__xludf.DUMMYFUNCTION("""COMPUTED_VALUE"""),9703.0)</f>
        <v>9703</v>
      </c>
      <c r="B2237" s="2">
        <f>IFERROR(__xludf.DUMMYFUNCTION("""COMPUTED_VALUE"""),1.0)</f>
        <v>1</v>
      </c>
      <c r="C2237" s="2">
        <f>IFERROR(__xludf.DUMMYFUNCTION("""COMPUTED_VALUE"""),880.0)</f>
        <v>880</v>
      </c>
      <c r="D2237" s="3">
        <f>IFERROR(__xludf.DUMMYFUNCTION("""COMPUTED_VALUE"""),415.0)</f>
        <v>415</v>
      </c>
      <c r="E2237" s="2"/>
      <c r="F2237" s="2"/>
    </row>
    <row r="2238">
      <c r="A2238" s="2">
        <f>IFERROR(__xludf.DUMMYFUNCTION("""COMPUTED_VALUE"""),86005.0)</f>
        <v>86005</v>
      </c>
      <c r="B2238" s="2">
        <f>IFERROR(__xludf.DUMMYFUNCTION("""COMPUTED_VALUE"""),0.0)</f>
        <v>0</v>
      </c>
      <c r="C2238" s="2">
        <f>IFERROR(__xludf.DUMMYFUNCTION("""COMPUTED_VALUE"""),-6.0)</f>
        <v>-6</v>
      </c>
      <c r="D2238" s="3">
        <f>IFERROR(__xludf.DUMMYFUNCTION("""COMPUTED_VALUE"""),0.0)</f>
        <v>0</v>
      </c>
      <c r="E2238" s="2"/>
      <c r="F2238" s="2"/>
    </row>
    <row r="2239">
      <c r="A2239" s="2">
        <f>IFERROR(__xludf.DUMMYFUNCTION("""COMPUTED_VALUE"""),9704.0)</f>
        <v>9704</v>
      </c>
      <c r="B2239" s="2">
        <f>IFERROR(__xludf.DUMMYFUNCTION("""COMPUTED_VALUE"""),0.0)</f>
        <v>0</v>
      </c>
      <c r="C2239" s="2">
        <f>IFERROR(__xludf.DUMMYFUNCTION("""COMPUTED_VALUE"""),762.0)</f>
        <v>762</v>
      </c>
      <c r="D2239" s="3">
        <f>IFERROR(__xludf.DUMMYFUNCTION("""COMPUTED_VALUE"""),598.0)</f>
        <v>598</v>
      </c>
      <c r="E2239" s="2"/>
      <c r="F2239" s="2"/>
    </row>
    <row r="2240">
      <c r="A2240" s="2">
        <f>IFERROR(__xludf.DUMMYFUNCTION("""COMPUTED_VALUE"""),182189.0)</f>
        <v>182189</v>
      </c>
      <c r="B2240" s="2">
        <f>IFERROR(__xludf.DUMMYFUNCTION("""COMPUTED_VALUE"""),1.0)</f>
        <v>1</v>
      </c>
      <c r="C2240" s="2">
        <f>IFERROR(__xludf.DUMMYFUNCTION("""COMPUTED_VALUE"""),513.0)</f>
        <v>513</v>
      </c>
      <c r="D2240" s="3">
        <f>IFERROR(__xludf.DUMMYFUNCTION("""COMPUTED_VALUE"""),152.0)</f>
        <v>152</v>
      </c>
      <c r="E2240" s="2"/>
      <c r="F2240" s="2"/>
    </row>
    <row r="2241">
      <c r="A2241" s="2">
        <f>IFERROR(__xludf.DUMMYFUNCTION("""COMPUTED_VALUE"""),29452.0)</f>
        <v>29452</v>
      </c>
      <c r="B2241" s="2">
        <f>IFERROR(__xludf.DUMMYFUNCTION("""COMPUTED_VALUE"""),1.0)</f>
        <v>1</v>
      </c>
      <c r="C2241" s="2">
        <f>IFERROR(__xludf.DUMMYFUNCTION("""COMPUTED_VALUE"""),384.0)</f>
        <v>384</v>
      </c>
      <c r="D2241" s="3">
        <f>IFERROR(__xludf.DUMMYFUNCTION("""COMPUTED_VALUE"""),122.0)</f>
        <v>122</v>
      </c>
      <c r="E2241" s="2"/>
      <c r="F2241" s="2"/>
    </row>
    <row r="2242">
      <c r="A2242" s="2">
        <f>IFERROR(__xludf.DUMMYFUNCTION("""COMPUTED_VALUE"""),122485.0)</f>
        <v>122485</v>
      </c>
      <c r="B2242" s="2">
        <f>IFERROR(__xludf.DUMMYFUNCTION("""COMPUTED_VALUE"""),0.0)</f>
        <v>0</v>
      </c>
      <c r="C2242" s="2">
        <f>IFERROR(__xludf.DUMMYFUNCTION("""COMPUTED_VALUE"""),678.0)</f>
        <v>678</v>
      </c>
      <c r="D2242" s="3">
        <f>IFERROR(__xludf.DUMMYFUNCTION("""COMPUTED_VALUE"""),224.0)</f>
        <v>224</v>
      </c>
      <c r="E2242" s="2"/>
      <c r="F2242" s="2"/>
    </row>
    <row r="2243">
      <c r="A2243" s="2">
        <f>IFERROR(__xludf.DUMMYFUNCTION("""COMPUTED_VALUE"""),9706.0)</f>
        <v>9706</v>
      </c>
      <c r="B2243" s="2">
        <f>IFERROR(__xludf.DUMMYFUNCTION("""COMPUTED_VALUE"""),1.0)</f>
        <v>1</v>
      </c>
      <c r="C2243" s="2">
        <f>IFERROR(__xludf.DUMMYFUNCTION("""COMPUTED_VALUE"""),301.0)</f>
        <v>301</v>
      </c>
      <c r="D2243" s="3">
        <f>IFERROR(__xludf.DUMMYFUNCTION("""COMPUTED_VALUE"""),37.0)</f>
        <v>37</v>
      </c>
      <c r="E2243" s="2"/>
      <c r="F2243" s="2"/>
    </row>
    <row r="2244">
      <c r="A2244" s="2">
        <f>IFERROR(__xludf.DUMMYFUNCTION("""COMPUTED_VALUE"""),12648.0)</f>
        <v>12648</v>
      </c>
      <c r="B2244" s="2">
        <f>IFERROR(__xludf.DUMMYFUNCTION("""COMPUTED_VALUE"""),1.0)</f>
        <v>1</v>
      </c>
      <c r="C2244" s="2">
        <f>IFERROR(__xludf.DUMMYFUNCTION("""COMPUTED_VALUE"""),286.0)</f>
        <v>286</v>
      </c>
      <c r="D2244" s="3">
        <f>IFERROR(__xludf.DUMMYFUNCTION("""COMPUTED_VALUE"""),128.0)</f>
        <v>128</v>
      </c>
      <c r="E2244" s="2"/>
      <c r="F2244" s="2"/>
    </row>
    <row r="2245">
      <c r="A2245" s="2">
        <f>IFERROR(__xludf.DUMMYFUNCTION("""COMPUTED_VALUE"""),93899.0)</f>
        <v>93899</v>
      </c>
      <c r="B2245" s="2">
        <f>IFERROR(__xludf.DUMMYFUNCTION("""COMPUTED_VALUE"""),1.0)</f>
        <v>1</v>
      </c>
      <c r="C2245" s="2">
        <f>IFERROR(__xludf.DUMMYFUNCTION("""COMPUTED_VALUE"""),44.0)</f>
        <v>44</v>
      </c>
      <c r="D2245" s="3">
        <f>IFERROR(__xludf.DUMMYFUNCTION("""COMPUTED_VALUE"""),15.0)</f>
        <v>15</v>
      </c>
      <c r="E2245" s="2"/>
      <c r="F2245" s="2"/>
    </row>
    <row r="2246">
      <c r="A2246" s="2">
        <f>IFERROR(__xludf.DUMMYFUNCTION("""COMPUTED_VALUE"""),28890.0)</f>
        <v>28890</v>
      </c>
      <c r="B2246" s="2">
        <f>IFERROR(__xludf.DUMMYFUNCTION("""COMPUTED_VALUE"""),1.0)</f>
        <v>1</v>
      </c>
      <c r="C2246" s="2">
        <f>IFERROR(__xludf.DUMMYFUNCTION("""COMPUTED_VALUE"""),518.0)</f>
        <v>518</v>
      </c>
      <c r="D2246" s="3">
        <f>IFERROR(__xludf.DUMMYFUNCTION("""COMPUTED_VALUE"""),504.0)</f>
        <v>504</v>
      </c>
      <c r="E2246" s="2"/>
      <c r="F2246" s="2"/>
    </row>
    <row r="2247">
      <c r="A2247" s="2">
        <f>IFERROR(__xludf.DUMMYFUNCTION("""COMPUTED_VALUE"""),17638.0)</f>
        <v>17638</v>
      </c>
      <c r="B2247" s="2">
        <f>IFERROR(__xludf.DUMMYFUNCTION("""COMPUTED_VALUE"""),1.0)</f>
        <v>1</v>
      </c>
      <c r="C2247" s="2">
        <f>IFERROR(__xludf.DUMMYFUNCTION("""COMPUTED_VALUE"""),922.0)</f>
        <v>922</v>
      </c>
      <c r="D2247" s="3">
        <f>IFERROR(__xludf.DUMMYFUNCTION("""COMPUTED_VALUE"""),199.0)</f>
        <v>199</v>
      </c>
      <c r="E2247" s="2"/>
      <c r="F2247" s="2"/>
    </row>
    <row r="2248">
      <c r="A2248" s="2">
        <f>IFERROR(__xludf.DUMMYFUNCTION("""COMPUTED_VALUE"""),28888.0)</f>
        <v>28888</v>
      </c>
      <c r="B2248" s="2">
        <f>IFERROR(__xludf.DUMMYFUNCTION("""COMPUTED_VALUE"""),1.0)</f>
        <v>1</v>
      </c>
      <c r="C2248" s="2">
        <f>IFERROR(__xludf.DUMMYFUNCTION("""COMPUTED_VALUE"""),818.0)</f>
        <v>818</v>
      </c>
      <c r="D2248" s="3">
        <f>IFERROR(__xludf.DUMMYFUNCTION("""COMPUTED_VALUE"""),709.0)</f>
        <v>709</v>
      </c>
      <c r="E2248" s="2"/>
      <c r="F2248" s="2"/>
    </row>
    <row r="2249">
      <c r="A2249" s="2">
        <f>IFERROR(__xludf.DUMMYFUNCTION("""COMPUTED_VALUE"""),29455.0)</f>
        <v>29455</v>
      </c>
      <c r="B2249" s="2">
        <f>IFERROR(__xludf.DUMMYFUNCTION("""COMPUTED_VALUE"""),0.0)</f>
        <v>0</v>
      </c>
      <c r="C2249" s="2">
        <f>IFERROR(__xludf.DUMMYFUNCTION("""COMPUTED_VALUE"""),827.0)</f>
        <v>827</v>
      </c>
      <c r="D2249" s="3">
        <f>IFERROR(__xludf.DUMMYFUNCTION("""COMPUTED_VALUE"""),816.0)</f>
        <v>816</v>
      </c>
      <c r="E2249" s="2"/>
      <c r="F2249" s="2"/>
    </row>
    <row r="2250">
      <c r="A2250" s="2">
        <f>IFERROR(__xludf.DUMMYFUNCTION("""COMPUTED_VALUE"""),93895.0)</f>
        <v>93895</v>
      </c>
      <c r="B2250" s="2">
        <f>IFERROR(__xludf.DUMMYFUNCTION("""COMPUTED_VALUE"""),1.0)</f>
        <v>1</v>
      </c>
      <c r="C2250" s="2">
        <f>IFERROR(__xludf.DUMMYFUNCTION("""COMPUTED_VALUE"""),68.0)</f>
        <v>68</v>
      </c>
      <c r="D2250" s="3">
        <f>IFERROR(__xludf.DUMMYFUNCTION("""COMPUTED_VALUE"""),52.0)</f>
        <v>52</v>
      </c>
      <c r="E2250" s="2"/>
      <c r="F2250" s="2"/>
    </row>
    <row r="2251">
      <c r="A2251" s="2">
        <f>IFERROR(__xludf.DUMMYFUNCTION("""COMPUTED_VALUE"""),116417.0)</f>
        <v>116417</v>
      </c>
      <c r="B2251" s="2">
        <f>IFERROR(__xludf.DUMMYFUNCTION("""COMPUTED_VALUE"""),1.0)</f>
        <v>1</v>
      </c>
      <c r="C2251" s="2">
        <f>IFERROR(__xludf.DUMMYFUNCTION("""COMPUTED_VALUE"""),81.0)</f>
        <v>81</v>
      </c>
      <c r="D2251" s="3">
        <f>IFERROR(__xludf.DUMMYFUNCTION("""COMPUTED_VALUE"""),21.0)</f>
        <v>21</v>
      </c>
      <c r="E2251" s="2"/>
      <c r="F2251" s="2"/>
    </row>
    <row r="2252">
      <c r="A2252" s="2">
        <f>IFERROR(__xludf.DUMMYFUNCTION("""COMPUTED_VALUE"""),1971.0)</f>
        <v>1971</v>
      </c>
      <c r="B2252" s="2">
        <f>IFERROR(__xludf.DUMMYFUNCTION("""COMPUTED_VALUE"""),1.0)</f>
        <v>1</v>
      </c>
      <c r="C2252" s="2">
        <f>IFERROR(__xludf.DUMMYFUNCTION("""COMPUTED_VALUE"""),611.0)</f>
        <v>611</v>
      </c>
      <c r="D2252" s="3">
        <f>IFERROR(__xludf.DUMMYFUNCTION("""COMPUTED_VALUE"""),41.0)</f>
        <v>41</v>
      </c>
      <c r="E2252" s="2"/>
      <c r="F2252" s="2"/>
    </row>
    <row r="2253">
      <c r="A2253" s="2">
        <f>IFERROR(__xludf.DUMMYFUNCTION("""COMPUTED_VALUE"""),12649.0)</f>
        <v>12649</v>
      </c>
      <c r="B2253" s="2">
        <f>IFERROR(__xludf.DUMMYFUNCTION("""COMPUTED_VALUE"""),0.0)</f>
        <v>0</v>
      </c>
      <c r="C2253" s="2">
        <f>IFERROR(__xludf.DUMMYFUNCTION("""COMPUTED_VALUE"""),287.0)</f>
        <v>287</v>
      </c>
      <c r="D2253" s="3">
        <f>IFERROR(__xludf.DUMMYFUNCTION("""COMPUTED_VALUE"""),132.0)</f>
        <v>132</v>
      </c>
      <c r="E2253" s="2"/>
      <c r="F2253" s="2"/>
    </row>
    <row r="2254">
      <c r="A2254" s="2">
        <f>IFERROR(__xludf.DUMMYFUNCTION("""COMPUTED_VALUE"""),93896.0)</f>
        <v>93896</v>
      </c>
      <c r="B2254" s="2">
        <f>IFERROR(__xludf.DUMMYFUNCTION("""COMPUTED_VALUE"""),0.0)</f>
        <v>0</v>
      </c>
      <c r="C2254" s="2">
        <f>IFERROR(__xludf.DUMMYFUNCTION("""COMPUTED_VALUE"""),557.0)</f>
        <v>557</v>
      </c>
      <c r="D2254" s="3">
        <f>IFERROR(__xludf.DUMMYFUNCTION("""COMPUTED_VALUE"""),116.0)</f>
        <v>116</v>
      </c>
      <c r="E2254" s="2"/>
      <c r="F2254" s="2"/>
    </row>
    <row r="2255">
      <c r="A2255" s="2">
        <f>IFERROR(__xludf.DUMMYFUNCTION("""COMPUTED_VALUE"""),44386.0)</f>
        <v>44386</v>
      </c>
      <c r="B2255" s="2">
        <f>IFERROR(__xludf.DUMMYFUNCTION("""COMPUTED_VALUE"""),0.0)</f>
        <v>0</v>
      </c>
      <c r="C2255" s="2">
        <f>IFERROR(__xludf.DUMMYFUNCTION("""COMPUTED_VALUE"""),304.0)</f>
        <v>304</v>
      </c>
      <c r="D2255" s="3">
        <f>IFERROR(__xludf.DUMMYFUNCTION("""COMPUTED_VALUE"""),83.0)</f>
        <v>83</v>
      </c>
      <c r="E2255" s="2"/>
      <c r="F2255" s="2"/>
    </row>
    <row r="2256">
      <c r="A2256" s="2">
        <f>IFERROR(__xludf.DUMMYFUNCTION("""COMPUTED_VALUE"""),188156.0)</f>
        <v>188156</v>
      </c>
      <c r="B2256" s="2">
        <f>IFERROR(__xludf.DUMMYFUNCTION("""COMPUTED_VALUE"""),0.0)</f>
        <v>0</v>
      </c>
      <c r="C2256" s="2">
        <f>IFERROR(__xludf.DUMMYFUNCTION("""COMPUTED_VALUE"""),59.0)</f>
        <v>59</v>
      </c>
      <c r="D2256" s="3">
        <f>IFERROR(__xludf.DUMMYFUNCTION("""COMPUTED_VALUE"""),3.0)</f>
        <v>3</v>
      </c>
      <c r="E2256" s="2"/>
      <c r="F2256" s="2"/>
    </row>
    <row r="2257">
      <c r="A2257" s="2">
        <f>IFERROR(__xludf.DUMMYFUNCTION("""COMPUTED_VALUE"""),7360.0)</f>
        <v>7360</v>
      </c>
      <c r="B2257" s="2">
        <f>IFERROR(__xludf.DUMMYFUNCTION("""COMPUTED_VALUE"""),1.0)</f>
        <v>1</v>
      </c>
      <c r="C2257" s="2">
        <f>IFERROR(__xludf.DUMMYFUNCTION("""COMPUTED_VALUE"""),486.0)</f>
        <v>486</v>
      </c>
      <c r="D2257" s="3">
        <f>IFERROR(__xludf.DUMMYFUNCTION("""COMPUTED_VALUE"""),298.0)</f>
        <v>298</v>
      </c>
      <c r="E2257" s="2"/>
      <c r="F2257" s="2"/>
    </row>
    <row r="2258">
      <c r="A2258" s="2">
        <f>IFERROR(__xludf.DUMMYFUNCTION("""COMPUTED_VALUE"""),79323.0)</f>
        <v>79323</v>
      </c>
      <c r="B2258" s="2">
        <f>IFERROR(__xludf.DUMMYFUNCTION("""COMPUTED_VALUE"""),0.0)</f>
        <v>0</v>
      </c>
      <c r="C2258" s="2">
        <f>IFERROR(__xludf.DUMMYFUNCTION("""COMPUTED_VALUE"""),566.0)</f>
        <v>566</v>
      </c>
      <c r="D2258" s="3">
        <f>IFERROR(__xludf.DUMMYFUNCTION("""COMPUTED_VALUE"""),489.0)</f>
        <v>489</v>
      </c>
      <c r="E2258" s="2"/>
      <c r="F2258" s="2"/>
    </row>
    <row r="2259">
      <c r="A2259" s="2">
        <f>IFERROR(__xludf.DUMMYFUNCTION("""COMPUTED_VALUE"""),72015.0)</f>
        <v>72015</v>
      </c>
      <c r="B2259" s="2">
        <f>IFERROR(__xludf.DUMMYFUNCTION("""COMPUTED_VALUE"""),0.0)</f>
        <v>0</v>
      </c>
      <c r="C2259" s="2">
        <f>IFERROR(__xludf.DUMMYFUNCTION("""COMPUTED_VALUE"""),901.0)</f>
        <v>901</v>
      </c>
      <c r="D2259" s="3">
        <f>IFERROR(__xludf.DUMMYFUNCTION("""COMPUTED_VALUE"""),535.0)</f>
        <v>535</v>
      </c>
      <c r="E2259" s="2"/>
      <c r="F2259" s="2"/>
    </row>
    <row r="2260">
      <c r="A2260" s="2">
        <f>IFERROR(__xludf.DUMMYFUNCTION("""COMPUTED_VALUE"""),44310.0)</f>
        <v>44310</v>
      </c>
      <c r="B2260" s="2">
        <f>IFERROR(__xludf.DUMMYFUNCTION("""COMPUTED_VALUE"""),1.0)</f>
        <v>1</v>
      </c>
      <c r="C2260" s="2">
        <f>IFERROR(__xludf.DUMMYFUNCTION("""COMPUTED_VALUE"""),948.0)</f>
        <v>948</v>
      </c>
      <c r="D2260" s="3">
        <f>IFERROR(__xludf.DUMMYFUNCTION("""COMPUTED_VALUE"""),542.0)</f>
        <v>542</v>
      </c>
      <c r="E2260" s="2"/>
      <c r="F2260" s="2"/>
    </row>
    <row r="2261">
      <c r="A2261" s="2">
        <f>IFERROR(__xludf.DUMMYFUNCTION("""COMPUTED_VALUE"""),77044.0)</f>
        <v>77044</v>
      </c>
      <c r="B2261" s="2">
        <f>IFERROR(__xludf.DUMMYFUNCTION("""COMPUTED_VALUE"""),0.0)</f>
        <v>0</v>
      </c>
      <c r="C2261" s="2">
        <f>IFERROR(__xludf.DUMMYFUNCTION("""COMPUTED_VALUE"""),179.0)</f>
        <v>179</v>
      </c>
      <c r="D2261" s="3">
        <f>IFERROR(__xludf.DUMMYFUNCTION("""COMPUTED_VALUE"""),137.0)</f>
        <v>137</v>
      </c>
      <c r="E2261" s="2"/>
      <c r="F2261" s="2"/>
    </row>
    <row r="2262">
      <c r="A2262" s="2">
        <f>IFERROR(__xludf.DUMMYFUNCTION("""COMPUTED_VALUE"""),120636.0)</f>
        <v>120636</v>
      </c>
      <c r="B2262" s="2">
        <f>IFERROR(__xludf.DUMMYFUNCTION("""COMPUTED_VALUE"""),1.0)</f>
        <v>1</v>
      </c>
      <c r="C2262" s="2">
        <f>IFERROR(__xludf.DUMMYFUNCTION("""COMPUTED_VALUE"""),759.0)</f>
        <v>759</v>
      </c>
      <c r="D2262" s="3">
        <f>IFERROR(__xludf.DUMMYFUNCTION("""COMPUTED_VALUE"""),432.0)</f>
        <v>432</v>
      </c>
      <c r="E2262" s="2"/>
      <c r="F2262" s="2"/>
    </row>
    <row r="2263">
      <c r="A2263" s="2">
        <f>IFERROR(__xludf.DUMMYFUNCTION("""COMPUTED_VALUE"""),92662.0)</f>
        <v>92662</v>
      </c>
      <c r="B2263" s="2">
        <f>IFERROR(__xludf.DUMMYFUNCTION("""COMPUTED_VALUE"""),0.0)</f>
        <v>0</v>
      </c>
      <c r="C2263" s="2">
        <f>IFERROR(__xludf.DUMMYFUNCTION("""COMPUTED_VALUE"""),482.0)</f>
        <v>482</v>
      </c>
      <c r="D2263" s="3">
        <f>IFERROR(__xludf.DUMMYFUNCTION("""COMPUTED_VALUE"""),460.0)</f>
        <v>460</v>
      </c>
      <c r="E2263" s="2"/>
      <c r="F2263" s="2"/>
    </row>
    <row r="2264">
      <c r="A2264" s="2">
        <f>IFERROR(__xludf.DUMMYFUNCTION("""COMPUTED_VALUE"""),117263.0)</f>
        <v>117263</v>
      </c>
      <c r="B2264" s="2">
        <f>IFERROR(__xludf.DUMMYFUNCTION("""COMPUTED_VALUE"""),1.0)</f>
        <v>1</v>
      </c>
      <c r="C2264" s="2">
        <f>IFERROR(__xludf.DUMMYFUNCTION("""COMPUTED_VALUE"""),624.0)</f>
        <v>624</v>
      </c>
      <c r="D2264" s="3">
        <f>IFERROR(__xludf.DUMMYFUNCTION("""COMPUTED_VALUE"""),73.0)</f>
        <v>73</v>
      </c>
      <c r="E2264" s="2"/>
      <c r="F2264" s="2"/>
    </row>
    <row r="2265">
      <c r="A2265" s="2">
        <f>IFERROR(__xludf.DUMMYFUNCTION("""COMPUTED_VALUE"""),117261.0)</f>
        <v>117261</v>
      </c>
      <c r="B2265" s="2">
        <f>IFERROR(__xludf.DUMMYFUNCTION("""COMPUTED_VALUE"""),0.0)</f>
        <v>0</v>
      </c>
      <c r="C2265" s="2">
        <f>IFERROR(__xludf.DUMMYFUNCTION("""COMPUTED_VALUE"""),517.0)</f>
        <v>517</v>
      </c>
      <c r="D2265" s="3">
        <f>IFERROR(__xludf.DUMMYFUNCTION("""COMPUTED_VALUE"""),155.0)</f>
        <v>155</v>
      </c>
      <c r="E2265" s="2"/>
      <c r="F2265" s="2"/>
    </row>
    <row r="2266">
      <c r="A2266" s="2">
        <f>IFERROR(__xludf.DUMMYFUNCTION("""COMPUTED_VALUE"""),10644.0)</f>
        <v>10644</v>
      </c>
      <c r="B2266" s="2">
        <f>IFERROR(__xludf.DUMMYFUNCTION("""COMPUTED_VALUE"""),1.0)</f>
        <v>1</v>
      </c>
      <c r="C2266" s="2">
        <f>IFERROR(__xludf.DUMMYFUNCTION("""COMPUTED_VALUE"""),266.0)</f>
        <v>266</v>
      </c>
      <c r="D2266" s="3">
        <f>IFERROR(__xludf.DUMMYFUNCTION("""COMPUTED_VALUE"""),50.0)</f>
        <v>50</v>
      </c>
      <c r="E2266" s="2"/>
      <c r="F2266" s="2"/>
    </row>
    <row r="2267">
      <c r="A2267" s="2">
        <f>IFERROR(__xludf.DUMMYFUNCTION("""COMPUTED_VALUE"""),102457.0)</f>
        <v>102457</v>
      </c>
      <c r="B2267" s="2">
        <f>IFERROR(__xludf.DUMMYFUNCTION("""COMPUTED_VALUE"""),1.0)</f>
        <v>1</v>
      </c>
      <c r="C2267" s="2">
        <f>IFERROR(__xludf.DUMMYFUNCTION("""COMPUTED_VALUE"""),677.0)</f>
        <v>677</v>
      </c>
      <c r="D2267" s="3">
        <f>IFERROR(__xludf.DUMMYFUNCTION("""COMPUTED_VALUE"""),497.0)</f>
        <v>497</v>
      </c>
      <c r="E2267" s="2"/>
      <c r="F2267" s="2"/>
    </row>
    <row r="2268">
      <c r="A2268" s="2">
        <f>IFERROR(__xludf.DUMMYFUNCTION("""COMPUTED_VALUE"""),117419.0)</f>
        <v>117419</v>
      </c>
      <c r="B2268" s="2">
        <f>IFERROR(__xludf.DUMMYFUNCTION("""COMPUTED_VALUE"""),1.0)</f>
        <v>1</v>
      </c>
      <c r="C2268" s="2">
        <f>IFERROR(__xludf.DUMMYFUNCTION("""COMPUTED_VALUE"""),785.0)</f>
        <v>785</v>
      </c>
      <c r="D2268" s="3">
        <f>IFERROR(__xludf.DUMMYFUNCTION("""COMPUTED_VALUE"""),287.0)</f>
        <v>287</v>
      </c>
      <c r="E2268" s="2"/>
      <c r="F2268" s="2"/>
    </row>
    <row r="2269">
      <c r="A2269" s="2">
        <f>IFERROR(__xludf.DUMMYFUNCTION("""COMPUTED_VALUE"""),150939.0)</f>
        <v>150939</v>
      </c>
      <c r="B2269" s="2">
        <f>IFERROR(__xludf.DUMMYFUNCTION("""COMPUTED_VALUE"""),1.0)</f>
        <v>1</v>
      </c>
      <c r="C2269" s="2">
        <f>IFERROR(__xludf.DUMMYFUNCTION("""COMPUTED_VALUE"""),723.0)</f>
        <v>723</v>
      </c>
      <c r="D2269" s="3">
        <f>IFERROR(__xludf.DUMMYFUNCTION("""COMPUTED_VALUE"""),235.0)</f>
        <v>235</v>
      </c>
      <c r="E2269" s="2"/>
      <c r="F2269" s="2"/>
    </row>
    <row r="2270">
      <c r="A2270" s="2">
        <f>IFERROR(__xludf.DUMMYFUNCTION("""COMPUTED_VALUE"""),10517.0)</f>
        <v>10517</v>
      </c>
      <c r="B2270" s="2">
        <f>IFERROR(__xludf.DUMMYFUNCTION("""COMPUTED_VALUE"""),1.0)</f>
        <v>1</v>
      </c>
      <c r="C2270" s="2">
        <f>IFERROR(__xludf.DUMMYFUNCTION("""COMPUTED_VALUE"""),84.0)</f>
        <v>84</v>
      </c>
      <c r="D2270" s="3">
        <f>IFERROR(__xludf.DUMMYFUNCTION("""COMPUTED_VALUE"""),20.0)</f>
        <v>20</v>
      </c>
      <c r="E2270" s="2"/>
      <c r="F2270" s="2"/>
    </row>
    <row r="2271">
      <c r="A2271" s="2">
        <f>IFERROR(__xludf.DUMMYFUNCTION("""COMPUTED_VALUE"""),79109.0)</f>
        <v>79109</v>
      </c>
      <c r="B2271" s="2">
        <f>IFERROR(__xludf.DUMMYFUNCTION("""COMPUTED_VALUE"""),1.0)</f>
        <v>1</v>
      </c>
      <c r="C2271" s="2">
        <f>IFERROR(__xludf.DUMMYFUNCTION("""COMPUTED_VALUE"""),399.0)</f>
        <v>399</v>
      </c>
      <c r="D2271" s="3">
        <f>IFERROR(__xludf.DUMMYFUNCTION("""COMPUTED_VALUE"""),142.0)</f>
        <v>142</v>
      </c>
      <c r="E2271" s="2"/>
      <c r="F2271" s="2"/>
    </row>
    <row r="2272">
      <c r="A2272" s="2">
        <f>IFERROR(__xludf.DUMMYFUNCTION("""COMPUTED_VALUE"""),118918.0)</f>
        <v>118918</v>
      </c>
      <c r="B2272" s="2">
        <f>IFERROR(__xludf.DUMMYFUNCTION("""COMPUTED_VALUE"""),1.0)</f>
        <v>1</v>
      </c>
      <c r="C2272" s="2">
        <f>IFERROR(__xludf.DUMMYFUNCTION("""COMPUTED_VALUE"""),577.0)</f>
        <v>577</v>
      </c>
      <c r="D2272" s="3">
        <f>IFERROR(__xludf.DUMMYFUNCTION("""COMPUTED_VALUE"""),376.0)</f>
        <v>376</v>
      </c>
      <c r="E2272" s="2"/>
      <c r="F2272" s="2"/>
    </row>
    <row r="2273">
      <c r="A2273" s="2">
        <f>IFERROR(__xludf.DUMMYFUNCTION("""COMPUTED_VALUE"""),102456.0)</f>
        <v>102456</v>
      </c>
      <c r="B2273" s="2">
        <f>IFERROR(__xludf.DUMMYFUNCTION("""COMPUTED_VALUE"""),1.0)</f>
        <v>1</v>
      </c>
      <c r="C2273" s="2">
        <f>IFERROR(__xludf.DUMMYFUNCTION("""COMPUTED_VALUE"""),30.0)</f>
        <v>30</v>
      </c>
      <c r="D2273" s="3">
        <f>IFERROR(__xludf.DUMMYFUNCTION("""COMPUTED_VALUE"""),14.0)</f>
        <v>14</v>
      </c>
      <c r="E2273" s="2"/>
      <c r="F2273" s="2"/>
    </row>
    <row r="2274">
      <c r="A2274" s="2">
        <f>IFERROR(__xludf.DUMMYFUNCTION("""COMPUTED_VALUE"""),155865.0)</f>
        <v>155865</v>
      </c>
      <c r="B2274" s="2">
        <f>IFERROR(__xludf.DUMMYFUNCTION("""COMPUTED_VALUE"""),0.0)</f>
        <v>0</v>
      </c>
      <c r="C2274" s="2">
        <f>IFERROR(__xludf.DUMMYFUNCTION("""COMPUTED_VALUE"""),85.0)</f>
        <v>85</v>
      </c>
      <c r="D2274" s="3">
        <f>IFERROR(__xludf.DUMMYFUNCTION("""COMPUTED_VALUE"""),34.0)</f>
        <v>34</v>
      </c>
      <c r="E2274" s="2"/>
      <c r="F2274" s="2"/>
    </row>
    <row r="2275">
      <c r="A2275" s="2">
        <f>IFERROR(__xludf.DUMMYFUNCTION("""COMPUTED_VALUE"""),100443.0)</f>
        <v>100443</v>
      </c>
      <c r="B2275" s="2">
        <f>IFERROR(__xludf.DUMMYFUNCTION("""COMPUTED_VALUE"""),0.0)</f>
        <v>0</v>
      </c>
      <c r="C2275" s="2">
        <f>IFERROR(__xludf.DUMMYFUNCTION("""COMPUTED_VALUE"""),311.0)</f>
        <v>311</v>
      </c>
      <c r="D2275" s="3">
        <f>IFERROR(__xludf.DUMMYFUNCTION("""COMPUTED_VALUE"""),254.0)</f>
        <v>254</v>
      </c>
      <c r="E2275" s="2"/>
      <c r="F2275" s="2"/>
    </row>
    <row r="2276">
      <c r="A2276" s="2">
        <f>IFERROR(__xludf.DUMMYFUNCTION("""COMPUTED_VALUE"""),93833.0)</f>
        <v>93833</v>
      </c>
      <c r="B2276" s="2">
        <f>IFERROR(__xludf.DUMMYFUNCTION("""COMPUTED_VALUE"""),0.0)</f>
        <v>0</v>
      </c>
      <c r="C2276" s="2">
        <f>IFERROR(__xludf.DUMMYFUNCTION("""COMPUTED_VALUE"""),381.0)</f>
        <v>381</v>
      </c>
      <c r="D2276" s="3">
        <f>IFERROR(__xludf.DUMMYFUNCTION("""COMPUTED_VALUE"""),110.0)</f>
        <v>110</v>
      </c>
      <c r="E2276" s="2"/>
      <c r="F2276" s="2"/>
    </row>
    <row r="2277">
      <c r="A2277" s="2">
        <f>IFERROR(__xludf.DUMMYFUNCTION("""COMPUTED_VALUE"""),76693.0)</f>
        <v>76693</v>
      </c>
      <c r="B2277" s="2">
        <f>IFERROR(__xludf.DUMMYFUNCTION("""COMPUTED_VALUE"""),1.0)</f>
        <v>1</v>
      </c>
      <c r="C2277" s="2">
        <f>IFERROR(__xludf.DUMMYFUNCTION("""COMPUTED_VALUE"""),9.0)</f>
        <v>9</v>
      </c>
      <c r="D2277" s="3">
        <f>IFERROR(__xludf.DUMMYFUNCTION("""COMPUTED_VALUE"""),2.0)</f>
        <v>2</v>
      </c>
      <c r="E2277" s="2"/>
      <c r="F2277" s="2"/>
    </row>
    <row r="2278">
      <c r="A2278" s="2">
        <f>IFERROR(__xludf.DUMMYFUNCTION("""COMPUTED_VALUE"""),100441.0)</f>
        <v>100441</v>
      </c>
      <c r="B2278" s="2">
        <f>IFERROR(__xludf.DUMMYFUNCTION("""COMPUTED_VALUE"""),0.0)</f>
        <v>0</v>
      </c>
      <c r="C2278" s="2">
        <f>IFERROR(__xludf.DUMMYFUNCTION("""COMPUTED_VALUE"""),913.0)</f>
        <v>913</v>
      </c>
      <c r="D2278" s="3">
        <f>IFERROR(__xludf.DUMMYFUNCTION("""COMPUTED_VALUE"""),119.0)</f>
        <v>119</v>
      </c>
      <c r="E2278" s="2"/>
      <c r="F2278" s="2"/>
    </row>
    <row r="2279">
      <c r="A2279" s="2">
        <f>IFERROR(__xludf.DUMMYFUNCTION("""COMPUTED_VALUE"""),103230.0)</f>
        <v>103230</v>
      </c>
      <c r="B2279" s="2">
        <f>IFERROR(__xludf.DUMMYFUNCTION("""COMPUTED_VALUE"""),1.0)</f>
        <v>1</v>
      </c>
      <c r="C2279" s="2">
        <f>IFERROR(__xludf.DUMMYFUNCTION("""COMPUTED_VALUE"""),808.0)</f>
        <v>808</v>
      </c>
      <c r="D2279" s="3">
        <f>IFERROR(__xludf.DUMMYFUNCTION("""COMPUTED_VALUE"""),468.0)</f>
        <v>468</v>
      </c>
      <c r="E2279" s="2"/>
      <c r="F2279" s="2"/>
    </row>
    <row r="2280">
      <c r="A2280" s="2">
        <f>IFERROR(__xludf.DUMMYFUNCTION("""COMPUTED_VALUE"""),117902.0)</f>
        <v>117902</v>
      </c>
      <c r="B2280" s="2">
        <f>IFERROR(__xludf.DUMMYFUNCTION("""COMPUTED_VALUE"""),1.0)</f>
        <v>1</v>
      </c>
      <c r="C2280" s="2">
        <f>IFERROR(__xludf.DUMMYFUNCTION("""COMPUTED_VALUE"""),142.0)</f>
        <v>142</v>
      </c>
      <c r="D2280" s="3">
        <f>IFERROR(__xludf.DUMMYFUNCTION("""COMPUTED_VALUE"""),51.0)</f>
        <v>51</v>
      </c>
      <c r="E2280" s="2"/>
      <c r="F2280" s="2"/>
    </row>
    <row r="2281">
      <c r="A2281" s="2">
        <f>IFERROR(__xludf.DUMMYFUNCTION("""COMPUTED_VALUE"""),105745.0)</f>
        <v>105745</v>
      </c>
      <c r="B2281" s="2">
        <f>IFERROR(__xludf.DUMMYFUNCTION("""COMPUTED_VALUE"""),0.0)</f>
        <v>0</v>
      </c>
      <c r="C2281" s="2">
        <f>IFERROR(__xludf.DUMMYFUNCTION("""COMPUTED_VALUE"""),721.0)</f>
        <v>721</v>
      </c>
      <c r="D2281" s="3">
        <f>IFERROR(__xludf.DUMMYFUNCTION("""COMPUTED_VALUE"""),180.0)</f>
        <v>180</v>
      </c>
      <c r="E2281" s="2"/>
      <c r="F2281" s="2"/>
    </row>
    <row r="2282">
      <c r="A2282" s="2">
        <f>IFERROR(__xludf.DUMMYFUNCTION("""COMPUTED_VALUE"""),100811.0)</f>
        <v>100811</v>
      </c>
      <c r="B2282" s="2">
        <f>IFERROR(__xludf.DUMMYFUNCTION("""COMPUTED_VALUE"""),0.0)</f>
        <v>0</v>
      </c>
      <c r="C2282" s="2">
        <f>IFERROR(__xludf.DUMMYFUNCTION("""COMPUTED_VALUE"""),790.0)</f>
        <v>790</v>
      </c>
      <c r="D2282" s="3">
        <f>IFERROR(__xludf.DUMMYFUNCTION("""COMPUTED_VALUE"""),457.0)</f>
        <v>457</v>
      </c>
      <c r="E2282" s="2"/>
      <c r="F2282" s="2"/>
    </row>
    <row r="2283">
      <c r="A2283" s="2">
        <f>IFERROR(__xludf.DUMMYFUNCTION("""COMPUTED_VALUE"""),102505.0)</f>
        <v>102505</v>
      </c>
      <c r="B2283" s="2">
        <f>IFERROR(__xludf.DUMMYFUNCTION("""COMPUTED_VALUE"""),0.0)</f>
        <v>0</v>
      </c>
      <c r="C2283" s="2">
        <f>IFERROR(__xludf.DUMMYFUNCTION("""COMPUTED_VALUE"""),880.0)</f>
        <v>880</v>
      </c>
      <c r="D2283" s="3">
        <f>IFERROR(__xludf.DUMMYFUNCTION("""COMPUTED_VALUE"""),859.0)</f>
        <v>859</v>
      </c>
      <c r="E2283" s="2"/>
      <c r="F2283" s="2"/>
    </row>
    <row r="2284">
      <c r="A2284" s="2">
        <f>IFERROR(__xludf.DUMMYFUNCTION("""COMPUTED_VALUE"""),121317.0)</f>
        <v>121317</v>
      </c>
      <c r="B2284" s="2">
        <f>IFERROR(__xludf.DUMMYFUNCTION("""COMPUTED_VALUE"""),0.0)</f>
        <v>0</v>
      </c>
      <c r="C2284" s="2">
        <f>IFERROR(__xludf.DUMMYFUNCTION("""COMPUTED_VALUE"""),426.0)</f>
        <v>426</v>
      </c>
      <c r="D2284" s="3">
        <f>IFERROR(__xludf.DUMMYFUNCTION("""COMPUTED_VALUE"""),217.0)</f>
        <v>217</v>
      </c>
      <c r="E2284" s="2"/>
      <c r="F2284" s="2"/>
    </row>
    <row r="2285">
      <c r="A2285" s="2">
        <f>IFERROR(__xludf.DUMMYFUNCTION("""COMPUTED_VALUE"""),121318.0)</f>
        <v>121318</v>
      </c>
      <c r="B2285" s="2">
        <f>IFERROR(__xludf.DUMMYFUNCTION("""COMPUTED_VALUE"""),1.0)</f>
        <v>1</v>
      </c>
      <c r="C2285" s="2">
        <f>IFERROR(__xludf.DUMMYFUNCTION("""COMPUTED_VALUE"""),280.0)</f>
        <v>280</v>
      </c>
      <c r="D2285" s="3">
        <f>IFERROR(__xludf.DUMMYFUNCTION("""COMPUTED_VALUE"""),137.0)</f>
        <v>137</v>
      </c>
      <c r="E2285" s="2"/>
      <c r="F2285" s="2"/>
    </row>
    <row r="2286">
      <c r="A2286" s="2">
        <f>IFERROR(__xludf.DUMMYFUNCTION("""COMPUTED_VALUE"""),95155.0)</f>
        <v>95155</v>
      </c>
      <c r="B2286" s="2">
        <f>IFERROR(__xludf.DUMMYFUNCTION("""COMPUTED_VALUE"""),1.0)</f>
        <v>1</v>
      </c>
      <c r="C2286" s="2">
        <f>IFERROR(__xludf.DUMMYFUNCTION("""COMPUTED_VALUE"""),626.0)</f>
        <v>626</v>
      </c>
      <c r="D2286" s="3">
        <f>IFERROR(__xludf.DUMMYFUNCTION("""COMPUTED_VALUE"""),376.0)</f>
        <v>376</v>
      </c>
      <c r="E2286" s="2"/>
      <c r="F2286" s="2"/>
    </row>
    <row r="2287">
      <c r="A2287" s="2">
        <f>IFERROR(__xludf.DUMMYFUNCTION("""COMPUTED_VALUE"""),25199.0)</f>
        <v>25199</v>
      </c>
      <c r="B2287" s="2">
        <f>IFERROR(__xludf.DUMMYFUNCTION("""COMPUTED_VALUE"""),0.0)</f>
        <v>0</v>
      </c>
      <c r="C2287" s="2">
        <f>IFERROR(__xludf.DUMMYFUNCTION("""COMPUTED_VALUE"""),82.0)</f>
        <v>82</v>
      </c>
      <c r="D2287" s="3">
        <f>IFERROR(__xludf.DUMMYFUNCTION("""COMPUTED_VALUE"""),11.0)</f>
        <v>11</v>
      </c>
      <c r="E2287" s="2"/>
      <c r="F2287" s="2"/>
    </row>
    <row r="2288">
      <c r="A2288" s="2">
        <f>IFERROR(__xludf.DUMMYFUNCTION("""COMPUTED_VALUE"""),156020.0)</f>
        <v>156020</v>
      </c>
      <c r="B2288" s="2">
        <f>IFERROR(__xludf.DUMMYFUNCTION("""COMPUTED_VALUE"""),1.0)</f>
        <v>1</v>
      </c>
      <c r="C2288" s="2">
        <f>IFERROR(__xludf.DUMMYFUNCTION("""COMPUTED_VALUE"""),404.0)</f>
        <v>404</v>
      </c>
      <c r="D2288" s="3">
        <f>IFERROR(__xludf.DUMMYFUNCTION("""COMPUTED_VALUE"""),99.0)</f>
        <v>99</v>
      </c>
      <c r="E2288" s="2"/>
      <c r="F2288" s="2"/>
    </row>
    <row r="2289">
      <c r="A2289" s="2">
        <f>IFERROR(__xludf.DUMMYFUNCTION("""COMPUTED_VALUE"""),28587.0)</f>
        <v>28587</v>
      </c>
      <c r="B2289" s="2">
        <f>IFERROR(__xludf.DUMMYFUNCTION("""COMPUTED_VALUE"""),0.0)</f>
        <v>0</v>
      </c>
      <c r="C2289" s="2">
        <f>IFERROR(__xludf.DUMMYFUNCTION("""COMPUTED_VALUE"""),818.0)</f>
        <v>818</v>
      </c>
      <c r="D2289" s="3">
        <f>IFERROR(__xludf.DUMMYFUNCTION("""COMPUTED_VALUE"""),609.0)</f>
        <v>609</v>
      </c>
      <c r="E2289" s="2"/>
      <c r="F2289" s="2"/>
    </row>
    <row r="2290">
      <c r="A2290" s="2">
        <f>IFERROR(__xludf.DUMMYFUNCTION("""COMPUTED_VALUE"""),16050.0)</f>
        <v>16050</v>
      </c>
      <c r="B2290" s="2">
        <f>IFERROR(__xludf.DUMMYFUNCTION("""COMPUTED_VALUE"""),0.0)</f>
        <v>0</v>
      </c>
      <c r="C2290" s="2">
        <f>IFERROR(__xludf.DUMMYFUNCTION("""COMPUTED_VALUE"""),611.0)</f>
        <v>611</v>
      </c>
      <c r="D2290" s="3">
        <f>IFERROR(__xludf.DUMMYFUNCTION("""COMPUTED_VALUE"""),437.0)</f>
        <v>437</v>
      </c>
      <c r="E2290" s="2"/>
      <c r="F2290" s="2"/>
    </row>
    <row r="2291">
      <c r="A2291" s="2">
        <f>IFERROR(__xludf.DUMMYFUNCTION("""COMPUTED_VALUE"""),119453.0)</f>
        <v>119453</v>
      </c>
      <c r="B2291" s="2">
        <f>IFERROR(__xludf.DUMMYFUNCTION("""COMPUTED_VALUE"""),1.0)</f>
        <v>1</v>
      </c>
      <c r="C2291" s="2">
        <f>IFERROR(__xludf.DUMMYFUNCTION("""COMPUTED_VALUE"""),635.0)</f>
        <v>635</v>
      </c>
      <c r="D2291" s="3">
        <f>IFERROR(__xludf.DUMMYFUNCTION("""COMPUTED_VALUE"""),199.0)</f>
        <v>199</v>
      </c>
      <c r="E2291" s="2"/>
      <c r="F2291" s="2"/>
    </row>
    <row r="2292">
      <c r="A2292" s="2">
        <f>IFERROR(__xludf.DUMMYFUNCTION("""COMPUTED_VALUE"""),113070.0)</f>
        <v>113070</v>
      </c>
      <c r="B2292" s="2">
        <f>IFERROR(__xludf.DUMMYFUNCTION("""COMPUTED_VALUE"""),0.0)</f>
        <v>0</v>
      </c>
      <c r="C2292" s="2">
        <f>IFERROR(__xludf.DUMMYFUNCTION("""COMPUTED_VALUE"""),371.0)</f>
        <v>371</v>
      </c>
      <c r="D2292" s="3">
        <f>IFERROR(__xludf.DUMMYFUNCTION("""COMPUTED_VALUE"""),183.0)</f>
        <v>183</v>
      </c>
      <c r="E2292" s="2"/>
      <c r="F2292" s="2"/>
    </row>
    <row r="2293">
      <c r="A2293" s="2">
        <f>IFERROR(__xludf.DUMMYFUNCTION("""COMPUTED_VALUE"""),99097.0)</f>
        <v>99097</v>
      </c>
      <c r="B2293" s="2">
        <f>IFERROR(__xludf.DUMMYFUNCTION("""COMPUTED_VALUE"""),0.0)</f>
        <v>0</v>
      </c>
      <c r="C2293" s="2">
        <f>IFERROR(__xludf.DUMMYFUNCTION("""COMPUTED_VALUE"""),301.0)</f>
        <v>301</v>
      </c>
      <c r="D2293" s="3">
        <f>IFERROR(__xludf.DUMMYFUNCTION("""COMPUTED_VALUE"""),65.0)</f>
        <v>65</v>
      </c>
      <c r="E2293" s="2"/>
      <c r="F2293" s="2"/>
    </row>
    <row r="2294">
      <c r="A2294" s="2">
        <f>IFERROR(__xludf.DUMMYFUNCTION("""COMPUTED_VALUE"""),99099.0)</f>
        <v>99099</v>
      </c>
      <c r="B2294" s="2">
        <f>IFERROR(__xludf.DUMMYFUNCTION("""COMPUTED_VALUE"""),1.0)</f>
        <v>1</v>
      </c>
      <c r="C2294" s="2">
        <f>IFERROR(__xludf.DUMMYFUNCTION("""COMPUTED_VALUE"""),351.0)</f>
        <v>351</v>
      </c>
      <c r="D2294" s="3">
        <f>IFERROR(__xludf.DUMMYFUNCTION("""COMPUTED_VALUE"""),11.0)</f>
        <v>11</v>
      </c>
      <c r="E2294" s="2"/>
      <c r="F2294" s="2"/>
    </row>
    <row r="2295">
      <c r="A2295" s="2">
        <f>IFERROR(__xludf.DUMMYFUNCTION("""COMPUTED_VALUE"""),104998.0)</f>
        <v>104998</v>
      </c>
      <c r="B2295" s="2">
        <f>IFERROR(__xludf.DUMMYFUNCTION("""COMPUTED_VALUE"""),1.0)</f>
        <v>1</v>
      </c>
      <c r="C2295" s="2">
        <f>IFERROR(__xludf.DUMMYFUNCTION("""COMPUTED_VALUE"""),15.0)</f>
        <v>15</v>
      </c>
      <c r="D2295" s="3">
        <f>IFERROR(__xludf.DUMMYFUNCTION("""COMPUTED_VALUE"""),2.0)</f>
        <v>2</v>
      </c>
      <c r="E2295" s="2"/>
      <c r="F2295" s="2"/>
    </row>
    <row r="2296">
      <c r="A2296" s="2">
        <f>IFERROR(__xludf.DUMMYFUNCTION("""COMPUTED_VALUE"""),110524.0)</f>
        <v>110524</v>
      </c>
      <c r="B2296" s="2">
        <f>IFERROR(__xludf.DUMMYFUNCTION("""COMPUTED_VALUE"""),1.0)</f>
        <v>1</v>
      </c>
      <c r="C2296" s="2">
        <f>IFERROR(__xludf.DUMMYFUNCTION("""COMPUTED_VALUE"""),563.0)</f>
        <v>563</v>
      </c>
      <c r="D2296" s="3">
        <f>IFERROR(__xludf.DUMMYFUNCTION("""COMPUTED_VALUE"""),234.0)</f>
        <v>234</v>
      </c>
      <c r="E2296" s="2"/>
      <c r="F2296" s="2"/>
    </row>
    <row r="2297">
      <c r="A2297" s="2">
        <f>IFERROR(__xludf.DUMMYFUNCTION("""COMPUTED_VALUE"""),117133.0)</f>
        <v>117133</v>
      </c>
      <c r="B2297" s="2">
        <f>IFERROR(__xludf.DUMMYFUNCTION("""COMPUTED_VALUE"""),0.0)</f>
        <v>0</v>
      </c>
      <c r="C2297" s="2">
        <f>IFERROR(__xludf.DUMMYFUNCTION("""COMPUTED_VALUE"""),530.0)</f>
        <v>530</v>
      </c>
      <c r="D2297" s="3">
        <f>IFERROR(__xludf.DUMMYFUNCTION("""COMPUTED_VALUE"""),438.0)</f>
        <v>438</v>
      </c>
      <c r="E2297" s="2"/>
      <c r="F2297" s="2"/>
    </row>
    <row r="2298">
      <c r="A2298" s="2">
        <f>IFERROR(__xludf.DUMMYFUNCTION("""COMPUTED_VALUE"""),70696.0)</f>
        <v>70696</v>
      </c>
      <c r="B2298" s="2">
        <f>IFERROR(__xludf.DUMMYFUNCTION("""COMPUTED_VALUE"""),0.0)</f>
        <v>0</v>
      </c>
      <c r="C2298" s="2">
        <f>IFERROR(__xludf.DUMMYFUNCTION("""COMPUTED_VALUE"""),279.0)</f>
        <v>279</v>
      </c>
      <c r="D2298" s="3">
        <f>IFERROR(__xludf.DUMMYFUNCTION("""COMPUTED_VALUE"""),111.0)</f>
        <v>111</v>
      </c>
      <c r="E2298" s="2"/>
      <c r="F2298" s="2"/>
    </row>
    <row r="2299">
      <c r="A2299" s="2">
        <f>IFERROR(__xludf.DUMMYFUNCTION("""COMPUTED_VALUE"""),121278.0)</f>
        <v>121278</v>
      </c>
      <c r="B2299" s="2">
        <f>IFERROR(__xludf.DUMMYFUNCTION("""COMPUTED_VALUE"""),0.0)</f>
        <v>0</v>
      </c>
      <c r="C2299" s="2">
        <f>IFERROR(__xludf.DUMMYFUNCTION("""COMPUTED_VALUE"""),82.0)</f>
        <v>82</v>
      </c>
      <c r="D2299" s="3">
        <f>IFERROR(__xludf.DUMMYFUNCTION("""COMPUTED_VALUE"""),10.0)</f>
        <v>10</v>
      </c>
      <c r="E2299" s="2"/>
      <c r="F2299" s="2"/>
    </row>
    <row r="2300">
      <c r="A2300" s="2">
        <f>IFERROR(__xludf.DUMMYFUNCTION("""COMPUTED_VALUE"""),74382.0)</f>
        <v>74382</v>
      </c>
      <c r="B2300" s="2">
        <f>IFERROR(__xludf.DUMMYFUNCTION("""COMPUTED_VALUE"""),1.0)</f>
        <v>1</v>
      </c>
      <c r="C2300" s="2">
        <f>IFERROR(__xludf.DUMMYFUNCTION("""COMPUTED_VALUE"""),555.0)</f>
        <v>555</v>
      </c>
      <c r="D2300" s="3">
        <f>IFERROR(__xludf.DUMMYFUNCTION("""COMPUTED_VALUE"""),58.0)</f>
        <v>58</v>
      </c>
      <c r="E2300" s="2"/>
      <c r="F2300" s="2"/>
    </row>
    <row r="2301">
      <c r="A2301" s="2">
        <f>IFERROR(__xludf.DUMMYFUNCTION("""COMPUTED_VALUE"""),121921.0)</f>
        <v>121921</v>
      </c>
      <c r="B2301" s="2">
        <f>IFERROR(__xludf.DUMMYFUNCTION("""COMPUTED_VALUE"""),1.0)</f>
        <v>1</v>
      </c>
      <c r="C2301" s="2">
        <f>IFERROR(__xludf.DUMMYFUNCTION("""COMPUTED_VALUE"""),58.0)</f>
        <v>58</v>
      </c>
      <c r="D2301" s="3">
        <f>IFERROR(__xludf.DUMMYFUNCTION("""COMPUTED_VALUE"""),30.0)</f>
        <v>30</v>
      </c>
      <c r="E2301" s="2"/>
      <c r="F2301" s="2"/>
    </row>
    <row r="2302">
      <c r="A2302" s="2">
        <f>IFERROR(__xludf.DUMMYFUNCTION("""COMPUTED_VALUE"""),83853.0)</f>
        <v>83853</v>
      </c>
      <c r="B2302" s="2">
        <f>IFERROR(__xludf.DUMMYFUNCTION("""COMPUTED_VALUE"""),1.0)</f>
        <v>1</v>
      </c>
      <c r="C2302" s="2">
        <f>IFERROR(__xludf.DUMMYFUNCTION("""COMPUTED_VALUE"""),518.0)</f>
        <v>518</v>
      </c>
      <c r="D2302" s="3">
        <f>IFERROR(__xludf.DUMMYFUNCTION("""COMPUTED_VALUE"""),278.0)</f>
        <v>278</v>
      </c>
      <c r="E2302" s="2"/>
      <c r="F2302" s="2"/>
    </row>
    <row r="2303">
      <c r="A2303" s="2">
        <f>IFERROR(__xludf.DUMMYFUNCTION("""COMPUTED_VALUE"""),111706.0)</f>
        <v>111706</v>
      </c>
      <c r="B2303" s="2">
        <f>IFERROR(__xludf.DUMMYFUNCTION("""COMPUTED_VALUE"""),0.0)</f>
        <v>0</v>
      </c>
      <c r="C2303" s="2">
        <f>IFERROR(__xludf.DUMMYFUNCTION("""COMPUTED_VALUE"""),391.0)</f>
        <v>391</v>
      </c>
      <c r="D2303" s="3">
        <f>IFERROR(__xludf.DUMMYFUNCTION("""COMPUTED_VALUE"""),257.0)</f>
        <v>257</v>
      </c>
      <c r="E2303" s="2"/>
      <c r="F2303" s="2"/>
    </row>
    <row r="2304">
      <c r="A2304" s="2">
        <f>IFERROR(__xludf.DUMMYFUNCTION("""COMPUTED_VALUE"""),15062.0)</f>
        <v>15062</v>
      </c>
      <c r="B2304" s="2">
        <f>IFERROR(__xludf.DUMMYFUNCTION("""COMPUTED_VALUE"""),1.0)</f>
        <v>1</v>
      </c>
      <c r="C2304" s="2">
        <f>IFERROR(__xludf.DUMMYFUNCTION("""COMPUTED_VALUE"""),44.0)</f>
        <v>44</v>
      </c>
      <c r="D2304" s="3">
        <f>IFERROR(__xludf.DUMMYFUNCTION("""COMPUTED_VALUE"""),12.0)</f>
        <v>12</v>
      </c>
      <c r="E2304" s="2"/>
      <c r="F2304" s="2"/>
    </row>
    <row r="2305">
      <c r="A2305" s="2">
        <f>IFERROR(__xludf.DUMMYFUNCTION("""COMPUTED_VALUE"""),79948.0)</f>
        <v>79948</v>
      </c>
      <c r="B2305" s="2">
        <f>IFERROR(__xludf.DUMMYFUNCTION("""COMPUTED_VALUE"""),0.0)</f>
        <v>0</v>
      </c>
      <c r="C2305" s="2">
        <f>IFERROR(__xludf.DUMMYFUNCTION("""COMPUTED_VALUE"""),817.0)</f>
        <v>817</v>
      </c>
      <c r="D2305" s="3">
        <f>IFERROR(__xludf.DUMMYFUNCTION("""COMPUTED_VALUE"""),9.0)</f>
        <v>9</v>
      </c>
      <c r="E2305" s="2"/>
      <c r="F2305" s="2"/>
    </row>
    <row r="2306">
      <c r="A2306" s="2">
        <f>IFERROR(__xludf.DUMMYFUNCTION("""COMPUTED_VALUE"""),84400.0)</f>
        <v>84400</v>
      </c>
      <c r="B2306" s="2">
        <f>IFERROR(__xludf.DUMMYFUNCTION("""COMPUTED_VALUE"""),1.0)</f>
        <v>1</v>
      </c>
      <c r="C2306" s="2">
        <f>IFERROR(__xludf.DUMMYFUNCTION("""COMPUTED_VALUE"""),178.0)</f>
        <v>178</v>
      </c>
      <c r="D2306" s="3">
        <f>IFERROR(__xludf.DUMMYFUNCTION("""COMPUTED_VALUE"""),87.0)</f>
        <v>87</v>
      </c>
      <c r="E2306" s="2"/>
      <c r="F2306" s="2"/>
    </row>
    <row r="2307">
      <c r="A2307" s="2">
        <f>IFERROR(__xludf.DUMMYFUNCTION("""COMPUTED_VALUE"""),79299.0)</f>
        <v>79299</v>
      </c>
      <c r="B2307" s="2">
        <f>IFERROR(__xludf.DUMMYFUNCTION("""COMPUTED_VALUE"""),1.0)</f>
        <v>1</v>
      </c>
      <c r="C2307" s="2">
        <f>IFERROR(__xludf.DUMMYFUNCTION("""COMPUTED_VALUE"""),181.0)</f>
        <v>181</v>
      </c>
      <c r="D2307" s="3">
        <f>IFERROR(__xludf.DUMMYFUNCTION("""COMPUTED_VALUE"""),73.0)</f>
        <v>73</v>
      </c>
      <c r="E2307" s="2"/>
      <c r="F2307" s="2"/>
    </row>
    <row r="2308">
      <c r="A2308" s="2">
        <f>IFERROR(__xludf.DUMMYFUNCTION("""COMPUTED_VALUE"""),19776.0)</f>
        <v>19776</v>
      </c>
      <c r="B2308" s="2">
        <f>IFERROR(__xludf.DUMMYFUNCTION("""COMPUTED_VALUE"""),1.0)</f>
        <v>1</v>
      </c>
      <c r="C2308" s="2">
        <f>IFERROR(__xludf.DUMMYFUNCTION("""COMPUTED_VALUE"""),912.0)</f>
        <v>912</v>
      </c>
      <c r="D2308" s="3">
        <f>IFERROR(__xludf.DUMMYFUNCTION("""COMPUTED_VALUE"""),153.0)</f>
        <v>153</v>
      </c>
      <c r="E2308" s="2"/>
      <c r="F2308" s="2"/>
    </row>
    <row r="2309">
      <c r="A2309" s="2">
        <f>IFERROR(__xludf.DUMMYFUNCTION("""COMPUTED_VALUE"""),74392.0)</f>
        <v>74392</v>
      </c>
      <c r="B2309" s="2">
        <f>IFERROR(__xludf.DUMMYFUNCTION("""COMPUTED_VALUE"""),1.0)</f>
        <v>1</v>
      </c>
      <c r="C2309" s="2">
        <f>IFERROR(__xludf.DUMMYFUNCTION("""COMPUTED_VALUE"""),674.0)</f>
        <v>674</v>
      </c>
      <c r="D2309" s="3">
        <f>IFERROR(__xludf.DUMMYFUNCTION("""COMPUTED_VALUE"""),102.0)</f>
        <v>102</v>
      </c>
      <c r="E2309" s="2"/>
      <c r="F2309" s="2"/>
    </row>
    <row r="2310">
      <c r="A2310" s="2">
        <f>IFERROR(__xludf.DUMMYFUNCTION("""COMPUTED_VALUE"""),83399.0)</f>
        <v>83399</v>
      </c>
      <c r="B2310" s="2">
        <f>IFERROR(__xludf.DUMMYFUNCTION("""COMPUTED_VALUE"""),0.0)</f>
        <v>0</v>
      </c>
      <c r="C2310" s="2">
        <f>IFERROR(__xludf.DUMMYFUNCTION("""COMPUTED_VALUE"""),521.0)</f>
        <v>521</v>
      </c>
      <c r="D2310" s="3">
        <f>IFERROR(__xludf.DUMMYFUNCTION("""COMPUTED_VALUE"""),241.0)</f>
        <v>241</v>
      </c>
      <c r="E2310" s="2"/>
      <c r="F2310" s="2"/>
    </row>
    <row r="2311">
      <c r="A2311" s="2">
        <f>IFERROR(__xludf.DUMMYFUNCTION("""COMPUTED_VALUE"""),74383.0)</f>
        <v>74383</v>
      </c>
      <c r="B2311" s="2">
        <f>IFERROR(__xludf.DUMMYFUNCTION("""COMPUTED_VALUE"""),0.0)</f>
        <v>0</v>
      </c>
      <c r="C2311" s="2">
        <f>IFERROR(__xludf.DUMMYFUNCTION("""COMPUTED_VALUE"""),621.0)</f>
        <v>621</v>
      </c>
      <c r="D2311" s="3">
        <f>IFERROR(__xludf.DUMMYFUNCTION("""COMPUTED_VALUE"""),427.0)</f>
        <v>427</v>
      </c>
      <c r="E2311" s="2"/>
      <c r="F2311" s="2"/>
    </row>
    <row r="2312">
      <c r="A2312" s="2">
        <f>IFERROR(__xludf.DUMMYFUNCTION("""COMPUTED_VALUE"""),100819.0)</f>
        <v>100819</v>
      </c>
      <c r="B2312" s="2">
        <f>IFERROR(__xludf.DUMMYFUNCTION("""COMPUTED_VALUE"""),1.0)</f>
        <v>1</v>
      </c>
      <c r="C2312" s="2">
        <f>IFERROR(__xludf.DUMMYFUNCTION("""COMPUTED_VALUE"""),790.0)</f>
        <v>790</v>
      </c>
      <c r="D2312" s="3">
        <f>IFERROR(__xludf.DUMMYFUNCTION("""COMPUTED_VALUE"""),150.0)</f>
        <v>150</v>
      </c>
      <c r="E2312" s="2"/>
      <c r="F2312" s="2"/>
    </row>
    <row r="2313">
      <c r="A2313" s="2">
        <f>IFERROR(__xludf.DUMMYFUNCTION("""COMPUTED_VALUE"""),190857.0)</f>
        <v>190857</v>
      </c>
      <c r="B2313" s="2">
        <f>IFERROR(__xludf.DUMMYFUNCTION("""COMPUTED_VALUE"""),0.0)</f>
        <v>0</v>
      </c>
      <c r="C2313" s="2">
        <f>IFERROR(__xludf.DUMMYFUNCTION("""COMPUTED_VALUE"""),677.0)</f>
        <v>677</v>
      </c>
      <c r="D2313" s="3">
        <f>IFERROR(__xludf.DUMMYFUNCTION("""COMPUTED_VALUE"""),494.0)</f>
        <v>494</v>
      </c>
      <c r="E2313" s="2"/>
      <c r="F2313" s="2"/>
    </row>
    <row r="2314">
      <c r="A2314" s="2">
        <f>IFERROR(__xludf.DUMMYFUNCTION("""COMPUTED_VALUE"""),120331.0)</f>
        <v>120331</v>
      </c>
      <c r="B2314" s="2">
        <f>IFERROR(__xludf.DUMMYFUNCTION("""COMPUTED_VALUE"""),1.0)</f>
        <v>1</v>
      </c>
      <c r="C2314" s="2">
        <f>IFERROR(__xludf.DUMMYFUNCTION("""COMPUTED_VALUE"""),892.0)</f>
        <v>892</v>
      </c>
      <c r="D2314" s="3">
        <f>IFERROR(__xludf.DUMMYFUNCTION("""COMPUTED_VALUE"""),152.0)</f>
        <v>152</v>
      </c>
      <c r="E2314" s="2"/>
      <c r="F2314" s="2"/>
    </row>
    <row r="2315">
      <c r="A2315" s="2">
        <f>IFERROR(__xludf.DUMMYFUNCTION("""COMPUTED_VALUE"""),87580.0)</f>
        <v>87580</v>
      </c>
      <c r="B2315" s="2">
        <f>IFERROR(__xludf.DUMMYFUNCTION("""COMPUTED_VALUE"""),1.0)</f>
        <v>1</v>
      </c>
      <c r="C2315" s="2">
        <f>IFERROR(__xludf.DUMMYFUNCTION("""COMPUTED_VALUE"""),944.0)</f>
        <v>944</v>
      </c>
      <c r="D2315" s="3">
        <f>IFERROR(__xludf.DUMMYFUNCTION("""COMPUTED_VALUE"""),130.0)</f>
        <v>130</v>
      </c>
      <c r="E2315" s="2"/>
      <c r="F2315" s="2"/>
    </row>
    <row r="2316">
      <c r="A2316" s="2">
        <f>IFERROR(__xludf.DUMMYFUNCTION("""COMPUTED_VALUE"""),79300.0)</f>
        <v>79300</v>
      </c>
      <c r="B2316" s="2">
        <f>IFERROR(__xludf.DUMMYFUNCTION("""COMPUTED_VALUE"""),0.0)</f>
        <v>0</v>
      </c>
      <c r="C2316" s="2">
        <f>IFERROR(__xludf.DUMMYFUNCTION("""COMPUTED_VALUE"""),974.0)</f>
        <v>974</v>
      </c>
      <c r="D2316" s="3">
        <f>IFERROR(__xludf.DUMMYFUNCTION("""COMPUTED_VALUE"""),107.0)</f>
        <v>107</v>
      </c>
      <c r="E2316" s="2"/>
      <c r="F2316" s="2"/>
    </row>
    <row r="2317">
      <c r="A2317" s="2">
        <f>IFERROR(__xludf.DUMMYFUNCTION("""COMPUTED_VALUE"""),79950.0)</f>
        <v>79950</v>
      </c>
      <c r="B2317" s="2">
        <f>IFERROR(__xludf.DUMMYFUNCTION("""COMPUTED_VALUE"""),1.0)</f>
        <v>1</v>
      </c>
      <c r="C2317" s="2">
        <f>IFERROR(__xludf.DUMMYFUNCTION("""COMPUTED_VALUE"""),442.0)</f>
        <v>442</v>
      </c>
      <c r="D2317" s="3">
        <f>IFERROR(__xludf.DUMMYFUNCTION("""COMPUTED_VALUE"""),62.0)</f>
        <v>62</v>
      </c>
      <c r="E2317" s="2"/>
      <c r="F2317" s="2"/>
    </row>
    <row r="2318">
      <c r="A2318" s="2">
        <f>IFERROR(__xludf.DUMMYFUNCTION("""COMPUTED_VALUE"""),84402.0)</f>
        <v>84402</v>
      </c>
      <c r="B2318" s="2">
        <f>IFERROR(__xludf.DUMMYFUNCTION("""COMPUTED_VALUE"""),1.0)</f>
        <v>1</v>
      </c>
      <c r="C2318" s="2">
        <f>IFERROR(__xludf.DUMMYFUNCTION("""COMPUTED_VALUE"""),763.0)</f>
        <v>763</v>
      </c>
      <c r="D2318" s="3">
        <f>IFERROR(__xludf.DUMMYFUNCTION("""COMPUTED_VALUE"""),484.0)</f>
        <v>484</v>
      </c>
      <c r="E2318" s="2"/>
      <c r="F2318" s="2"/>
    </row>
    <row r="2319">
      <c r="A2319" s="2">
        <f>IFERROR(__xludf.DUMMYFUNCTION("""COMPUTED_VALUE"""),79298.0)</f>
        <v>79298</v>
      </c>
      <c r="B2319" s="2">
        <f>IFERROR(__xludf.DUMMYFUNCTION("""COMPUTED_VALUE"""),1.0)</f>
        <v>1</v>
      </c>
      <c r="C2319" s="2">
        <f>IFERROR(__xludf.DUMMYFUNCTION("""COMPUTED_VALUE"""),924.0)</f>
        <v>924</v>
      </c>
      <c r="D2319" s="3">
        <f>IFERROR(__xludf.DUMMYFUNCTION("""COMPUTED_VALUE"""),214.0)</f>
        <v>214</v>
      </c>
      <c r="E2319" s="2"/>
      <c r="F2319" s="2"/>
    </row>
    <row r="2320">
      <c r="A2320" s="2">
        <f>IFERROR(__xludf.DUMMYFUNCTION("""COMPUTED_VALUE"""),145105.0)</f>
        <v>145105</v>
      </c>
      <c r="B2320" s="2">
        <f>IFERROR(__xludf.DUMMYFUNCTION("""COMPUTED_VALUE"""),0.0)</f>
        <v>0</v>
      </c>
      <c r="C2320" s="2">
        <f>IFERROR(__xludf.DUMMYFUNCTION("""COMPUTED_VALUE"""),773.0)</f>
        <v>773</v>
      </c>
      <c r="D2320" s="3">
        <f>IFERROR(__xludf.DUMMYFUNCTION("""COMPUTED_VALUE"""),354.0)</f>
        <v>354</v>
      </c>
      <c r="E2320" s="2"/>
      <c r="F2320" s="2"/>
    </row>
    <row r="2321">
      <c r="A2321" s="2">
        <f>IFERROR(__xludf.DUMMYFUNCTION("""COMPUTED_VALUE"""),92313.0)</f>
        <v>92313</v>
      </c>
      <c r="B2321" s="2">
        <f>IFERROR(__xludf.DUMMYFUNCTION("""COMPUTED_VALUE"""),0.0)</f>
        <v>0</v>
      </c>
      <c r="C2321" s="2">
        <f>IFERROR(__xludf.DUMMYFUNCTION("""COMPUTED_VALUE"""),556.0)</f>
        <v>556</v>
      </c>
      <c r="D2321" s="3">
        <f>IFERROR(__xludf.DUMMYFUNCTION("""COMPUTED_VALUE"""),427.0)</f>
        <v>427</v>
      </c>
      <c r="E2321" s="2"/>
      <c r="F2321" s="2"/>
    </row>
    <row r="2322">
      <c r="A2322" s="2">
        <f>IFERROR(__xludf.DUMMYFUNCTION("""COMPUTED_VALUE"""),121735.0)</f>
        <v>121735</v>
      </c>
      <c r="B2322" s="2">
        <f>IFERROR(__xludf.DUMMYFUNCTION("""COMPUTED_VALUE"""),1.0)</f>
        <v>1</v>
      </c>
      <c r="C2322" s="2">
        <f>IFERROR(__xludf.DUMMYFUNCTION("""COMPUTED_VALUE"""),198.0)</f>
        <v>198</v>
      </c>
      <c r="D2322" s="3">
        <f>IFERROR(__xludf.DUMMYFUNCTION("""COMPUTED_VALUE"""),182.0)</f>
        <v>182</v>
      </c>
      <c r="E2322" s="2"/>
      <c r="F2322" s="2"/>
    </row>
    <row r="2323">
      <c r="A2323" s="2">
        <f>IFERROR(__xludf.DUMMYFUNCTION("""COMPUTED_VALUE"""),47545.0)</f>
        <v>47545</v>
      </c>
      <c r="B2323" s="2">
        <f>IFERROR(__xludf.DUMMYFUNCTION("""COMPUTED_VALUE"""),1.0)</f>
        <v>1</v>
      </c>
      <c r="C2323" s="2">
        <f>IFERROR(__xludf.DUMMYFUNCTION("""COMPUTED_VALUE"""),504.0)</f>
        <v>504</v>
      </c>
      <c r="D2323" s="3">
        <f>IFERROR(__xludf.DUMMYFUNCTION("""COMPUTED_VALUE"""),299.0)</f>
        <v>299</v>
      </c>
      <c r="E2323" s="2"/>
      <c r="F2323" s="2"/>
    </row>
    <row r="2324">
      <c r="A2324" s="2">
        <f>IFERROR(__xludf.DUMMYFUNCTION("""COMPUTED_VALUE"""),122630.0)</f>
        <v>122630</v>
      </c>
      <c r="B2324" s="2">
        <f>IFERROR(__xludf.DUMMYFUNCTION("""COMPUTED_VALUE"""),0.0)</f>
        <v>0</v>
      </c>
      <c r="C2324" s="2">
        <f>IFERROR(__xludf.DUMMYFUNCTION("""COMPUTED_VALUE"""),642.0)</f>
        <v>642</v>
      </c>
      <c r="D2324" s="3">
        <f>IFERROR(__xludf.DUMMYFUNCTION("""COMPUTED_VALUE"""),295.0)</f>
        <v>295</v>
      </c>
      <c r="E2324" s="2"/>
      <c r="F2324" s="2"/>
    </row>
    <row r="2325">
      <c r="A2325" s="2">
        <f>IFERROR(__xludf.DUMMYFUNCTION("""COMPUTED_VALUE"""),159490.0)</f>
        <v>159490</v>
      </c>
      <c r="B2325" s="2">
        <f>IFERROR(__xludf.DUMMYFUNCTION("""COMPUTED_VALUE"""),0.0)</f>
        <v>0</v>
      </c>
      <c r="C2325" s="2">
        <f>IFERROR(__xludf.DUMMYFUNCTION("""COMPUTED_VALUE"""),970.0)</f>
        <v>970</v>
      </c>
      <c r="D2325" s="3">
        <f>IFERROR(__xludf.DUMMYFUNCTION("""COMPUTED_VALUE"""),342.0)</f>
        <v>342</v>
      </c>
      <c r="E2325" s="2"/>
      <c r="F2325" s="2"/>
    </row>
    <row r="2326">
      <c r="A2326" s="2">
        <f>IFERROR(__xludf.DUMMYFUNCTION("""COMPUTED_VALUE"""),120519.0)</f>
        <v>120519</v>
      </c>
      <c r="B2326" s="2">
        <f>IFERROR(__xludf.DUMMYFUNCTION("""COMPUTED_VALUE"""),0.0)</f>
        <v>0</v>
      </c>
      <c r="C2326" s="2">
        <f>IFERROR(__xludf.DUMMYFUNCTION("""COMPUTED_VALUE"""),-14.0)</f>
        <v>-14</v>
      </c>
      <c r="D2326" s="3">
        <f>IFERROR(__xludf.DUMMYFUNCTION("""COMPUTED_VALUE"""),-7.0)</f>
        <v>-7</v>
      </c>
      <c r="E2326" s="2"/>
      <c r="F2326" s="2"/>
    </row>
    <row r="2327">
      <c r="A2327" s="2">
        <f>IFERROR(__xludf.DUMMYFUNCTION("""COMPUTED_VALUE"""),159403.0)</f>
        <v>159403</v>
      </c>
      <c r="B2327" s="2">
        <f>IFERROR(__xludf.DUMMYFUNCTION("""COMPUTED_VALUE"""),0.0)</f>
        <v>0</v>
      </c>
      <c r="C2327" s="2">
        <f>IFERROR(__xludf.DUMMYFUNCTION("""COMPUTED_VALUE"""),394.0)</f>
        <v>394</v>
      </c>
      <c r="D2327" s="3">
        <f>IFERROR(__xludf.DUMMYFUNCTION("""COMPUTED_VALUE"""),0.0)</f>
        <v>0</v>
      </c>
      <c r="E2327" s="2"/>
      <c r="F2327" s="2"/>
    </row>
    <row r="2328">
      <c r="A2328" s="2">
        <f>IFERROR(__xludf.DUMMYFUNCTION("""COMPUTED_VALUE"""),159617.0)</f>
        <v>159617</v>
      </c>
      <c r="B2328" s="2">
        <f>IFERROR(__xludf.DUMMYFUNCTION("""COMPUTED_VALUE"""),1.0)</f>
        <v>1</v>
      </c>
      <c r="C2328" s="2">
        <f>IFERROR(__xludf.DUMMYFUNCTION("""COMPUTED_VALUE"""),416.0)</f>
        <v>416</v>
      </c>
      <c r="D2328" s="3">
        <f>IFERROR(__xludf.DUMMYFUNCTION("""COMPUTED_VALUE"""),262.0)</f>
        <v>262</v>
      </c>
      <c r="E2328" s="2"/>
      <c r="F2328" s="2"/>
    </row>
    <row r="2329">
      <c r="A2329" s="2">
        <f>IFERROR(__xludf.DUMMYFUNCTION("""COMPUTED_VALUE"""),85839.0)</f>
        <v>85839</v>
      </c>
      <c r="B2329" s="2">
        <f>IFERROR(__xludf.DUMMYFUNCTION("""COMPUTED_VALUE"""),1.0)</f>
        <v>1</v>
      </c>
      <c r="C2329" s="2">
        <f>IFERROR(__xludf.DUMMYFUNCTION("""COMPUTED_VALUE"""),86.0)</f>
        <v>86</v>
      </c>
      <c r="D2329" s="3">
        <f>IFERROR(__xludf.DUMMYFUNCTION("""COMPUTED_VALUE"""),77.0)</f>
        <v>77</v>
      </c>
      <c r="E2329" s="2"/>
      <c r="F2329" s="2"/>
    </row>
    <row r="2330">
      <c r="A2330" s="2">
        <f>IFERROR(__xludf.DUMMYFUNCTION("""COMPUTED_VALUE"""),85838.0)</f>
        <v>85838</v>
      </c>
      <c r="B2330" s="2">
        <f>IFERROR(__xludf.DUMMYFUNCTION("""COMPUTED_VALUE"""),1.0)</f>
        <v>1</v>
      </c>
      <c r="C2330" s="2">
        <f>IFERROR(__xludf.DUMMYFUNCTION("""COMPUTED_VALUE"""),265.0)</f>
        <v>265</v>
      </c>
      <c r="D2330" s="3">
        <f>IFERROR(__xludf.DUMMYFUNCTION("""COMPUTED_VALUE"""),11.0)</f>
        <v>11</v>
      </c>
      <c r="E2330" s="2"/>
      <c r="F2330" s="2"/>
    </row>
    <row r="2331">
      <c r="A2331" s="2">
        <f>IFERROR(__xludf.DUMMYFUNCTION("""COMPUTED_VALUE"""),8868.0)</f>
        <v>8868</v>
      </c>
      <c r="B2331" s="2">
        <f>IFERROR(__xludf.DUMMYFUNCTION("""COMPUTED_VALUE"""),0.0)</f>
        <v>0</v>
      </c>
      <c r="C2331" s="2">
        <f>IFERROR(__xludf.DUMMYFUNCTION("""COMPUTED_VALUE"""),193.0)</f>
        <v>193</v>
      </c>
      <c r="D2331" s="3">
        <f>IFERROR(__xludf.DUMMYFUNCTION("""COMPUTED_VALUE"""),135.0)</f>
        <v>135</v>
      </c>
      <c r="E2331" s="2"/>
      <c r="F2331" s="2"/>
    </row>
    <row r="2332">
      <c r="A2332" s="2">
        <f>IFERROR(__xludf.DUMMYFUNCTION("""COMPUTED_VALUE"""),116191.0)</f>
        <v>116191</v>
      </c>
      <c r="B2332" s="2">
        <f>IFERROR(__xludf.DUMMYFUNCTION("""COMPUTED_VALUE"""),0.0)</f>
        <v>0</v>
      </c>
      <c r="C2332" s="2">
        <f>IFERROR(__xludf.DUMMYFUNCTION("""COMPUTED_VALUE"""),505.0)</f>
        <v>505</v>
      </c>
      <c r="D2332" s="3">
        <f>IFERROR(__xludf.DUMMYFUNCTION("""COMPUTED_VALUE"""),169.0)</f>
        <v>169</v>
      </c>
      <c r="E2332" s="2"/>
      <c r="F2332" s="2"/>
    </row>
    <row r="2333">
      <c r="A2333" s="2">
        <f>IFERROR(__xludf.DUMMYFUNCTION("""COMPUTED_VALUE"""),90828.0)</f>
        <v>90828</v>
      </c>
      <c r="B2333" s="2">
        <f>IFERROR(__xludf.DUMMYFUNCTION("""COMPUTED_VALUE"""),1.0)</f>
        <v>1</v>
      </c>
      <c r="C2333" s="2">
        <f>IFERROR(__xludf.DUMMYFUNCTION("""COMPUTED_VALUE"""),122.0)</f>
        <v>122</v>
      </c>
      <c r="D2333" s="3">
        <f>IFERROR(__xludf.DUMMYFUNCTION("""COMPUTED_VALUE"""),88.0)</f>
        <v>88</v>
      </c>
      <c r="E2333" s="2"/>
      <c r="F2333" s="2"/>
    </row>
    <row r="2334">
      <c r="A2334" s="2">
        <f>IFERROR(__xludf.DUMMYFUNCTION("""COMPUTED_VALUE"""),26276.0)</f>
        <v>26276</v>
      </c>
      <c r="B2334" s="2">
        <f>IFERROR(__xludf.DUMMYFUNCTION("""COMPUTED_VALUE"""),1.0)</f>
        <v>1</v>
      </c>
      <c r="C2334" s="2">
        <f>IFERROR(__xludf.DUMMYFUNCTION("""COMPUTED_VALUE"""),-10.0)</f>
        <v>-10</v>
      </c>
      <c r="D2334" s="3">
        <f>IFERROR(__xludf.DUMMYFUNCTION("""COMPUTED_VALUE"""),0.0)</f>
        <v>0</v>
      </c>
      <c r="E2334" s="2"/>
      <c r="F2334" s="2"/>
    </row>
    <row r="2335">
      <c r="A2335" s="2">
        <f>IFERROR(__xludf.DUMMYFUNCTION("""COMPUTED_VALUE"""),29022.0)</f>
        <v>29022</v>
      </c>
      <c r="B2335" s="2">
        <f>IFERROR(__xludf.DUMMYFUNCTION("""COMPUTED_VALUE"""),1.0)</f>
        <v>1</v>
      </c>
      <c r="C2335" s="2">
        <f>IFERROR(__xludf.DUMMYFUNCTION("""COMPUTED_VALUE"""),886.0)</f>
        <v>886</v>
      </c>
      <c r="D2335" s="3">
        <f>IFERROR(__xludf.DUMMYFUNCTION("""COMPUTED_VALUE"""),533.0)</f>
        <v>533</v>
      </c>
      <c r="E2335" s="2"/>
      <c r="F2335" s="2"/>
    </row>
    <row r="2336">
      <c r="A2336" s="2">
        <f>IFERROR(__xludf.DUMMYFUNCTION("""COMPUTED_VALUE"""),111081.0)</f>
        <v>111081</v>
      </c>
      <c r="B2336" s="2">
        <f>IFERROR(__xludf.DUMMYFUNCTION("""COMPUTED_VALUE"""),1.0)</f>
        <v>1</v>
      </c>
      <c r="C2336" s="2">
        <f>IFERROR(__xludf.DUMMYFUNCTION("""COMPUTED_VALUE"""),761.0)</f>
        <v>761</v>
      </c>
      <c r="D2336" s="3">
        <f>IFERROR(__xludf.DUMMYFUNCTION("""COMPUTED_VALUE"""),230.0)</f>
        <v>230</v>
      </c>
      <c r="E2336" s="2"/>
      <c r="F2336" s="2"/>
    </row>
    <row r="2337">
      <c r="A2337" s="2">
        <f>IFERROR(__xludf.DUMMYFUNCTION("""COMPUTED_VALUE"""),26277.0)</f>
        <v>26277</v>
      </c>
      <c r="B2337" s="2">
        <f>IFERROR(__xludf.DUMMYFUNCTION("""COMPUTED_VALUE"""),1.0)</f>
        <v>1</v>
      </c>
      <c r="C2337" s="2">
        <f>IFERROR(__xludf.DUMMYFUNCTION("""COMPUTED_VALUE"""),344.0)</f>
        <v>344</v>
      </c>
      <c r="D2337" s="3">
        <f>IFERROR(__xludf.DUMMYFUNCTION("""COMPUTED_VALUE"""),286.0)</f>
        <v>286</v>
      </c>
      <c r="E2337" s="2"/>
      <c r="F2337" s="2"/>
    </row>
    <row r="2338">
      <c r="A2338" s="2">
        <f>IFERROR(__xludf.DUMMYFUNCTION("""COMPUTED_VALUE"""),100251.0)</f>
        <v>100251</v>
      </c>
      <c r="B2338" s="2">
        <f>IFERROR(__xludf.DUMMYFUNCTION("""COMPUTED_VALUE"""),1.0)</f>
        <v>1</v>
      </c>
      <c r="C2338" s="2">
        <f>IFERROR(__xludf.DUMMYFUNCTION("""COMPUTED_VALUE"""),816.0)</f>
        <v>816</v>
      </c>
      <c r="D2338" s="3">
        <f>IFERROR(__xludf.DUMMYFUNCTION("""COMPUTED_VALUE"""),767.0)</f>
        <v>767</v>
      </c>
      <c r="E2338" s="2"/>
      <c r="F2338" s="2"/>
    </row>
    <row r="2339">
      <c r="A2339" s="2">
        <f>IFERROR(__xludf.DUMMYFUNCTION("""COMPUTED_VALUE"""),87885.0)</f>
        <v>87885</v>
      </c>
      <c r="B2339" s="2">
        <f>IFERROR(__xludf.DUMMYFUNCTION("""COMPUTED_VALUE"""),1.0)</f>
        <v>1</v>
      </c>
      <c r="C2339" s="2">
        <f>IFERROR(__xludf.DUMMYFUNCTION("""COMPUTED_VALUE"""),242.0)</f>
        <v>242</v>
      </c>
      <c r="D2339" s="3">
        <f>IFERROR(__xludf.DUMMYFUNCTION("""COMPUTED_VALUE"""),107.0)</f>
        <v>107</v>
      </c>
      <c r="E2339" s="2"/>
      <c r="F2339" s="2"/>
    </row>
    <row r="2340">
      <c r="A2340" s="2">
        <f>IFERROR(__xludf.DUMMYFUNCTION("""COMPUTED_VALUE"""),29023.0)</f>
        <v>29023</v>
      </c>
      <c r="B2340" s="2">
        <f>IFERROR(__xludf.DUMMYFUNCTION("""COMPUTED_VALUE"""),1.0)</f>
        <v>1</v>
      </c>
      <c r="C2340" s="2">
        <f>IFERROR(__xludf.DUMMYFUNCTION("""COMPUTED_VALUE"""),255.0)</f>
        <v>255</v>
      </c>
      <c r="D2340" s="3">
        <f>IFERROR(__xludf.DUMMYFUNCTION("""COMPUTED_VALUE"""),55.0)</f>
        <v>55</v>
      </c>
      <c r="E2340" s="2"/>
      <c r="F2340" s="2"/>
    </row>
    <row r="2341">
      <c r="A2341" s="2">
        <f>IFERROR(__xludf.DUMMYFUNCTION("""COMPUTED_VALUE"""),100250.0)</f>
        <v>100250</v>
      </c>
      <c r="B2341" s="2">
        <f>IFERROR(__xludf.DUMMYFUNCTION("""COMPUTED_VALUE"""),1.0)</f>
        <v>1</v>
      </c>
      <c r="C2341" s="2">
        <f>IFERROR(__xludf.DUMMYFUNCTION("""COMPUTED_VALUE"""),336.0)</f>
        <v>336</v>
      </c>
      <c r="D2341" s="3">
        <f>IFERROR(__xludf.DUMMYFUNCTION("""COMPUTED_VALUE"""),312.0)</f>
        <v>312</v>
      </c>
      <c r="E2341" s="2"/>
      <c r="F2341" s="2"/>
    </row>
    <row r="2342">
      <c r="A2342" s="2">
        <f>IFERROR(__xludf.DUMMYFUNCTION("""COMPUTED_VALUE"""),116320.0)</f>
        <v>116320</v>
      </c>
      <c r="B2342" s="2">
        <f>IFERROR(__xludf.DUMMYFUNCTION("""COMPUTED_VALUE"""),0.0)</f>
        <v>0</v>
      </c>
      <c r="C2342" s="2">
        <f>IFERROR(__xludf.DUMMYFUNCTION("""COMPUTED_VALUE"""),199.0)</f>
        <v>199</v>
      </c>
      <c r="D2342" s="3">
        <f>IFERROR(__xludf.DUMMYFUNCTION("""COMPUTED_VALUE"""),198.0)</f>
        <v>198</v>
      </c>
      <c r="E2342" s="2"/>
      <c r="F2342" s="2"/>
    </row>
    <row r="2343">
      <c r="A2343" s="2">
        <f>IFERROR(__xludf.DUMMYFUNCTION("""COMPUTED_VALUE"""),122149.0)</f>
        <v>122149</v>
      </c>
      <c r="B2343" s="2">
        <f>IFERROR(__xludf.DUMMYFUNCTION("""COMPUTED_VALUE"""),1.0)</f>
        <v>1</v>
      </c>
      <c r="C2343" s="2">
        <f>IFERROR(__xludf.DUMMYFUNCTION("""COMPUTED_VALUE"""),770.0)</f>
        <v>770</v>
      </c>
      <c r="D2343" s="3">
        <f>IFERROR(__xludf.DUMMYFUNCTION("""COMPUTED_VALUE"""),561.0)</f>
        <v>561</v>
      </c>
      <c r="E2343" s="2"/>
      <c r="F2343" s="2"/>
    </row>
    <row r="2344">
      <c r="A2344" s="2">
        <f>IFERROR(__xludf.DUMMYFUNCTION("""COMPUTED_VALUE"""),107220.0)</f>
        <v>107220</v>
      </c>
      <c r="B2344" s="2">
        <f>IFERROR(__xludf.DUMMYFUNCTION("""COMPUTED_VALUE"""),0.0)</f>
        <v>0</v>
      </c>
      <c r="C2344" s="2">
        <f>IFERROR(__xludf.DUMMYFUNCTION("""COMPUTED_VALUE"""),790.0)</f>
        <v>790</v>
      </c>
      <c r="D2344" s="3">
        <f>IFERROR(__xludf.DUMMYFUNCTION("""COMPUTED_VALUE"""),573.0)</f>
        <v>573</v>
      </c>
      <c r="E2344" s="2"/>
      <c r="F2344" s="2"/>
    </row>
    <row r="2345">
      <c r="A2345" s="2">
        <f>IFERROR(__xludf.DUMMYFUNCTION("""COMPUTED_VALUE"""),122151.0)</f>
        <v>122151</v>
      </c>
      <c r="B2345" s="2">
        <f>IFERROR(__xludf.DUMMYFUNCTION("""COMPUTED_VALUE"""),0.0)</f>
        <v>0</v>
      </c>
      <c r="C2345" s="2">
        <f>IFERROR(__xludf.DUMMYFUNCTION("""COMPUTED_VALUE"""),649.0)</f>
        <v>649</v>
      </c>
      <c r="D2345" s="3">
        <f>IFERROR(__xludf.DUMMYFUNCTION("""COMPUTED_VALUE"""),172.0)</f>
        <v>172</v>
      </c>
      <c r="E2345" s="2"/>
      <c r="F2345" s="2"/>
    </row>
    <row r="2346">
      <c r="A2346" s="2">
        <f>IFERROR(__xludf.DUMMYFUNCTION("""COMPUTED_VALUE"""),115766.0)</f>
        <v>115766</v>
      </c>
      <c r="B2346" s="2">
        <f>IFERROR(__xludf.DUMMYFUNCTION("""COMPUTED_VALUE"""),1.0)</f>
        <v>1</v>
      </c>
      <c r="C2346" s="2">
        <f>IFERROR(__xludf.DUMMYFUNCTION("""COMPUTED_VALUE"""),557.0)</f>
        <v>557</v>
      </c>
      <c r="D2346" s="3">
        <f>IFERROR(__xludf.DUMMYFUNCTION("""COMPUTED_VALUE"""),141.0)</f>
        <v>141</v>
      </c>
      <c r="E2346" s="2"/>
      <c r="F2346" s="2"/>
    </row>
    <row r="2347">
      <c r="A2347" s="2">
        <f>IFERROR(__xludf.DUMMYFUNCTION("""COMPUTED_VALUE"""),114033.0)</f>
        <v>114033</v>
      </c>
      <c r="B2347" s="2">
        <f>IFERROR(__xludf.DUMMYFUNCTION("""COMPUTED_VALUE"""),1.0)</f>
        <v>1</v>
      </c>
      <c r="C2347" s="2">
        <f>IFERROR(__xludf.DUMMYFUNCTION("""COMPUTED_VALUE"""),95.0)</f>
        <v>95</v>
      </c>
      <c r="D2347" s="3">
        <f>IFERROR(__xludf.DUMMYFUNCTION("""COMPUTED_VALUE"""),56.0)</f>
        <v>56</v>
      </c>
      <c r="E2347" s="2"/>
      <c r="F2347" s="2"/>
    </row>
    <row r="2348">
      <c r="A2348" s="2">
        <f>IFERROR(__xludf.DUMMYFUNCTION("""COMPUTED_VALUE"""),149508.0)</f>
        <v>149508</v>
      </c>
      <c r="B2348" s="2">
        <f>IFERROR(__xludf.DUMMYFUNCTION("""COMPUTED_VALUE"""),1.0)</f>
        <v>1</v>
      </c>
      <c r="C2348" s="2">
        <f>IFERROR(__xludf.DUMMYFUNCTION("""COMPUTED_VALUE"""),307.0)</f>
        <v>307</v>
      </c>
      <c r="D2348" s="3">
        <f>IFERROR(__xludf.DUMMYFUNCTION("""COMPUTED_VALUE"""),186.0)</f>
        <v>186</v>
      </c>
      <c r="E2348" s="2"/>
      <c r="F2348" s="2"/>
    </row>
    <row r="2349">
      <c r="A2349" s="2">
        <f>IFERROR(__xludf.DUMMYFUNCTION("""COMPUTED_VALUE"""),107256.0)</f>
        <v>107256</v>
      </c>
      <c r="B2349" s="2">
        <f>IFERROR(__xludf.DUMMYFUNCTION("""COMPUTED_VALUE"""),0.0)</f>
        <v>0</v>
      </c>
      <c r="C2349" s="2">
        <f>IFERROR(__xludf.DUMMYFUNCTION("""COMPUTED_VALUE"""),153.0)</f>
        <v>153</v>
      </c>
      <c r="D2349" s="3">
        <f>IFERROR(__xludf.DUMMYFUNCTION("""COMPUTED_VALUE"""),110.0)</f>
        <v>110</v>
      </c>
      <c r="E2349" s="2"/>
      <c r="F2349" s="2"/>
    </row>
    <row r="2350">
      <c r="A2350" s="2">
        <f>IFERROR(__xludf.DUMMYFUNCTION("""COMPUTED_VALUE"""),121615.0)</f>
        <v>121615</v>
      </c>
      <c r="B2350" s="2">
        <f>IFERROR(__xludf.DUMMYFUNCTION("""COMPUTED_VALUE"""),1.0)</f>
        <v>1</v>
      </c>
      <c r="C2350" s="2">
        <f>IFERROR(__xludf.DUMMYFUNCTION("""COMPUTED_VALUE"""),868.0)</f>
        <v>868</v>
      </c>
      <c r="D2350" s="3">
        <f>IFERROR(__xludf.DUMMYFUNCTION("""COMPUTED_VALUE"""),490.0)</f>
        <v>490</v>
      </c>
      <c r="E2350" s="2"/>
      <c r="F2350" s="2"/>
    </row>
    <row r="2351">
      <c r="A2351" s="2">
        <f>IFERROR(__xludf.DUMMYFUNCTION("""COMPUTED_VALUE"""),107226.0)</f>
        <v>107226</v>
      </c>
      <c r="B2351" s="2">
        <f>IFERROR(__xludf.DUMMYFUNCTION("""COMPUTED_VALUE"""),0.0)</f>
        <v>0</v>
      </c>
      <c r="C2351" s="2">
        <f>IFERROR(__xludf.DUMMYFUNCTION("""COMPUTED_VALUE"""),281.0)</f>
        <v>281</v>
      </c>
      <c r="D2351" s="3">
        <f>IFERROR(__xludf.DUMMYFUNCTION("""COMPUTED_VALUE"""),85.0)</f>
        <v>85</v>
      </c>
      <c r="E2351" s="2"/>
      <c r="F2351" s="2"/>
    </row>
    <row r="2352">
      <c r="A2352" s="2">
        <f>IFERROR(__xludf.DUMMYFUNCTION("""COMPUTED_VALUE"""),120188.0)</f>
        <v>120188</v>
      </c>
      <c r="B2352" s="2">
        <f>IFERROR(__xludf.DUMMYFUNCTION("""COMPUTED_VALUE"""),0.0)</f>
        <v>0</v>
      </c>
      <c r="C2352" s="2">
        <f>IFERROR(__xludf.DUMMYFUNCTION("""COMPUTED_VALUE"""),556.0)</f>
        <v>556</v>
      </c>
      <c r="D2352" s="3">
        <f>IFERROR(__xludf.DUMMYFUNCTION("""COMPUTED_VALUE"""),133.0)</f>
        <v>133</v>
      </c>
      <c r="E2352" s="2"/>
      <c r="F2352" s="2"/>
    </row>
    <row r="2353">
      <c r="A2353" s="2">
        <f>IFERROR(__xludf.DUMMYFUNCTION("""COMPUTED_VALUE"""),107944.0)</f>
        <v>107944</v>
      </c>
      <c r="B2353" s="2">
        <f>IFERROR(__xludf.DUMMYFUNCTION("""COMPUTED_VALUE"""),1.0)</f>
        <v>1</v>
      </c>
      <c r="C2353" s="2">
        <f>IFERROR(__xludf.DUMMYFUNCTION("""COMPUTED_VALUE"""),777.0)</f>
        <v>777</v>
      </c>
      <c r="D2353" s="3">
        <f>IFERROR(__xludf.DUMMYFUNCTION("""COMPUTED_VALUE"""),224.0)</f>
        <v>224</v>
      </c>
      <c r="E2353" s="2"/>
      <c r="F2353" s="2"/>
    </row>
    <row r="2354">
      <c r="A2354" s="2">
        <f>IFERROR(__xludf.DUMMYFUNCTION("""COMPUTED_VALUE"""),70243.0)</f>
        <v>70243</v>
      </c>
      <c r="B2354" s="2">
        <f>IFERROR(__xludf.DUMMYFUNCTION("""COMPUTED_VALUE"""),1.0)</f>
        <v>1</v>
      </c>
      <c r="C2354" s="2">
        <f>IFERROR(__xludf.DUMMYFUNCTION("""COMPUTED_VALUE"""),794.0)</f>
        <v>794</v>
      </c>
      <c r="D2354" s="3">
        <f>IFERROR(__xludf.DUMMYFUNCTION("""COMPUTED_VALUE"""),400.0)</f>
        <v>400</v>
      </c>
      <c r="E2354" s="2"/>
      <c r="F2354" s="2"/>
    </row>
    <row r="2355">
      <c r="A2355" s="2">
        <f>IFERROR(__xludf.DUMMYFUNCTION("""COMPUTED_VALUE"""),149505.0)</f>
        <v>149505</v>
      </c>
      <c r="B2355" s="2">
        <f>IFERROR(__xludf.DUMMYFUNCTION("""COMPUTED_VALUE"""),1.0)</f>
        <v>1</v>
      </c>
      <c r="C2355" s="2">
        <f>IFERROR(__xludf.DUMMYFUNCTION("""COMPUTED_VALUE"""),437.0)</f>
        <v>437</v>
      </c>
      <c r="D2355" s="3">
        <f>IFERROR(__xludf.DUMMYFUNCTION("""COMPUTED_VALUE"""),122.0)</f>
        <v>122</v>
      </c>
      <c r="E2355" s="2"/>
      <c r="F2355" s="2"/>
    </row>
    <row r="2356">
      <c r="A2356" s="2">
        <f>IFERROR(__xludf.DUMMYFUNCTION("""COMPUTED_VALUE"""),101428.0)</f>
        <v>101428</v>
      </c>
      <c r="B2356" s="2">
        <f>IFERROR(__xludf.DUMMYFUNCTION("""COMPUTED_VALUE"""),0.0)</f>
        <v>0</v>
      </c>
      <c r="C2356" s="2">
        <f>IFERROR(__xludf.DUMMYFUNCTION("""COMPUTED_VALUE"""),957.0)</f>
        <v>957</v>
      </c>
      <c r="D2356" s="3">
        <f>IFERROR(__xludf.DUMMYFUNCTION("""COMPUTED_VALUE"""),394.0)</f>
        <v>394</v>
      </c>
      <c r="E2356" s="2"/>
      <c r="F2356" s="2"/>
    </row>
    <row r="2357">
      <c r="A2357" s="2">
        <f>IFERROR(__xludf.DUMMYFUNCTION("""COMPUTED_VALUE"""),121798.0)</f>
        <v>121798</v>
      </c>
      <c r="B2357" s="2">
        <f>IFERROR(__xludf.DUMMYFUNCTION("""COMPUTED_VALUE"""),0.0)</f>
        <v>0</v>
      </c>
      <c r="C2357" s="2">
        <f>IFERROR(__xludf.DUMMYFUNCTION("""COMPUTED_VALUE"""),269.0)</f>
        <v>269</v>
      </c>
      <c r="D2357" s="3">
        <f>IFERROR(__xludf.DUMMYFUNCTION("""COMPUTED_VALUE"""),45.0)</f>
        <v>45</v>
      </c>
      <c r="E2357" s="2"/>
      <c r="F2357" s="2"/>
    </row>
    <row r="2358">
      <c r="A2358" s="2">
        <f>IFERROR(__xludf.DUMMYFUNCTION("""COMPUTED_VALUE"""),88636.0)</f>
        <v>88636</v>
      </c>
      <c r="B2358" s="2">
        <f>IFERROR(__xludf.DUMMYFUNCTION("""COMPUTED_VALUE"""),0.0)</f>
        <v>0</v>
      </c>
      <c r="C2358" s="2">
        <f>IFERROR(__xludf.DUMMYFUNCTION("""COMPUTED_VALUE"""),962.0)</f>
        <v>962</v>
      </c>
      <c r="D2358" s="3">
        <f>IFERROR(__xludf.DUMMYFUNCTION("""COMPUTED_VALUE"""),272.0)</f>
        <v>272</v>
      </c>
      <c r="E2358" s="2"/>
      <c r="F2358" s="2"/>
    </row>
    <row r="2359">
      <c r="A2359" s="2">
        <f>IFERROR(__xludf.DUMMYFUNCTION("""COMPUTED_VALUE"""),111038.0)</f>
        <v>111038</v>
      </c>
      <c r="B2359" s="2">
        <f>IFERROR(__xludf.DUMMYFUNCTION("""COMPUTED_VALUE"""),0.0)</f>
        <v>0</v>
      </c>
      <c r="C2359" s="2">
        <f>IFERROR(__xludf.DUMMYFUNCTION("""COMPUTED_VALUE"""),707.0)</f>
        <v>707</v>
      </c>
      <c r="D2359" s="3">
        <f>IFERROR(__xludf.DUMMYFUNCTION("""COMPUTED_VALUE"""),533.0)</f>
        <v>533</v>
      </c>
      <c r="E2359" s="2"/>
      <c r="F2359" s="2"/>
    </row>
    <row r="2360">
      <c r="A2360" s="2">
        <f>IFERROR(__xludf.DUMMYFUNCTION("""COMPUTED_VALUE"""),75032.0)</f>
        <v>75032</v>
      </c>
      <c r="B2360" s="2">
        <f>IFERROR(__xludf.DUMMYFUNCTION("""COMPUTED_VALUE"""),1.0)</f>
        <v>1</v>
      </c>
      <c r="C2360" s="2">
        <f>IFERROR(__xludf.DUMMYFUNCTION("""COMPUTED_VALUE"""),417.0)</f>
        <v>417</v>
      </c>
      <c r="D2360" s="3">
        <f>IFERROR(__xludf.DUMMYFUNCTION("""COMPUTED_VALUE"""),41.0)</f>
        <v>41</v>
      </c>
      <c r="E2360" s="2"/>
      <c r="F2360" s="2"/>
    </row>
    <row r="2361">
      <c r="A2361" s="2">
        <f>IFERROR(__xludf.DUMMYFUNCTION("""COMPUTED_VALUE"""),70187.0)</f>
        <v>70187</v>
      </c>
      <c r="B2361" s="2">
        <f>IFERROR(__xludf.DUMMYFUNCTION("""COMPUTED_VALUE"""),1.0)</f>
        <v>1</v>
      </c>
      <c r="C2361" s="2">
        <f>IFERROR(__xludf.DUMMYFUNCTION("""COMPUTED_VALUE"""),795.0)</f>
        <v>795</v>
      </c>
      <c r="D2361" s="3">
        <f>IFERROR(__xludf.DUMMYFUNCTION("""COMPUTED_VALUE"""),475.0)</f>
        <v>475</v>
      </c>
      <c r="E2361" s="2"/>
      <c r="F2361" s="2"/>
    </row>
    <row r="2362">
      <c r="A2362" s="2">
        <f>IFERROR(__xludf.DUMMYFUNCTION("""COMPUTED_VALUE"""),147278.0)</f>
        <v>147278</v>
      </c>
      <c r="B2362" s="2">
        <f>IFERROR(__xludf.DUMMYFUNCTION("""COMPUTED_VALUE"""),0.0)</f>
        <v>0</v>
      </c>
      <c r="C2362" s="2">
        <f>IFERROR(__xludf.DUMMYFUNCTION("""COMPUTED_VALUE"""),177.0)</f>
        <v>177</v>
      </c>
      <c r="D2362" s="3">
        <f>IFERROR(__xludf.DUMMYFUNCTION("""COMPUTED_VALUE"""),163.0)</f>
        <v>163</v>
      </c>
      <c r="E2362" s="2"/>
      <c r="F2362" s="2"/>
    </row>
    <row r="2363">
      <c r="A2363" s="2">
        <f>IFERROR(__xludf.DUMMYFUNCTION("""COMPUTED_VALUE"""),114972.0)</f>
        <v>114972</v>
      </c>
      <c r="B2363" s="2">
        <f>IFERROR(__xludf.DUMMYFUNCTION("""COMPUTED_VALUE"""),1.0)</f>
        <v>1</v>
      </c>
      <c r="C2363" s="2">
        <f>IFERROR(__xludf.DUMMYFUNCTION("""COMPUTED_VALUE"""),672.0)</f>
        <v>672</v>
      </c>
      <c r="D2363" s="3">
        <f>IFERROR(__xludf.DUMMYFUNCTION("""COMPUTED_VALUE"""),230.0)</f>
        <v>230</v>
      </c>
      <c r="E2363" s="2"/>
      <c r="F2363" s="2"/>
    </row>
    <row r="2364">
      <c r="A2364" s="2">
        <f>IFERROR(__xludf.DUMMYFUNCTION("""COMPUTED_VALUE"""),75072.0)</f>
        <v>75072</v>
      </c>
      <c r="B2364" s="2">
        <f>IFERROR(__xludf.DUMMYFUNCTION("""COMPUTED_VALUE"""),1.0)</f>
        <v>1</v>
      </c>
      <c r="C2364" s="2">
        <f>IFERROR(__xludf.DUMMYFUNCTION("""COMPUTED_VALUE"""),759.0)</f>
        <v>759</v>
      </c>
      <c r="D2364" s="3">
        <f>IFERROR(__xludf.DUMMYFUNCTION("""COMPUTED_VALUE"""),79.0)</f>
        <v>79</v>
      </c>
      <c r="E2364" s="2"/>
      <c r="F2364" s="2"/>
    </row>
    <row r="2365">
      <c r="A2365" s="2">
        <f>IFERROR(__xludf.DUMMYFUNCTION("""COMPUTED_VALUE"""),114971.0)</f>
        <v>114971</v>
      </c>
      <c r="B2365" s="2">
        <f>IFERROR(__xludf.DUMMYFUNCTION("""COMPUTED_VALUE"""),0.0)</f>
        <v>0</v>
      </c>
      <c r="C2365" s="2">
        <f>IFERROR(__xludf.DUMMYFUNCTION("""COMPUTED_VALUE"""),259.0)</f>
        <v>259</v>
      </c>
      <c r="D2365" s="3">
        <f>IFERROR(__xludf.DUMMYFUNCTION("""COMPUTED_VALUE"""),145.0)</f>
        <v>145</v>
      </c>
      <c r="E2365" s="2"/>
      <c r="F2365" s="2"/>
    </row>
    <row r="2366">
      <c r="A2366" s="2">
        <f>IFERROR(__xludf.DUMMYFUNCTION("""COMPUTED_VALUE"""),99981.0)</f>
        <v>99981</v>
      </c>
      <c r="B2366" s="2">
        <f>IFERROR(__xludf.DUMMYFUNCTION("""COMPUTED_VALUE"""),0.0)</f>
        <v>0</v>
      </c>
      <c r="C2366" s="2">
        <f>IFERROR(__xludf.DUMMYFUNCTION("""COMPUTED_VALUE"""),417.0)</f>
        <v>417</v>
      </c>
      <c r="D2366" s="3">
        <f>IFERROR(__xludf.DUMMYFUNCTION("""COMPUTED_VALUE"""),376.0)</f>
        <v>376</v>
      </c>
      <c r="E2366" s="2"/>
      <c r="F2366" s="2"/>
    </row>
    <row r="2367">
      <c r="A2367" s="2">
        <f>IFERROR(__xludf.DUMMYFUNCTION("""COMPUTED_VALUE"""),86383.0)</f>
        <v>86383</v>
      </c>
      <c r="B2367" s="2">
        <f>IFERROR(__xludf.DUMMYFUNCTION("""COMPUTED_VALUE"""),0.0)</f>
        <v>0</v>
      </c>
      <c r="C2367" s="2">
        <f>IFERROR(__xludf.DUMMYFUNCTION("""COMPUTED_VALUE"""),514.0)</f>
        <v>514</v>
      </c>
      <c r="D2367" s="3">
        <f>IFERROR(__xludf.DUMMYFUNCTION("""COMPUTED_VALUE"""),432.0)</f>
        <v>432</v>
      </c>
      <c r="E2367" s="2"/>
      <c r="F2367" s="2"/>
    </row>
    <row r="2368">
      <c r="A2368" s="2">
        <f>IFERROR(__xludf.DUMMYFUNCTION("""COMPUTED_VALUE"""),89587.0)</f>
        <v>89587</v>
      </c>
      <c r="B2368" s="2">
        <f>IFERROR(__xludf.DUMMYFUNCTION("""COMPUTED_VALUE"""),1.0)</f>
        <v>1</v>
      </c>
      <c r="C2368" s="2">
        <f>IFERROR(__xludf.DUMMYFUNCTION("""COMPUTED_VALUE"""),26.0)</f>
        <v>26</v>
      </c>
      <c r="D2368" s="3">
        <f>IFERROR(__xludf.DUMMYFUNCTION("""COMPUTED_VALUE"""),8.0)</f>
        <v>8</v>
      </c>
      <c r="E2368" s="2"/>
      <c r="F2368" s="2"/>
    </row>
    <row r="2369">
      <c r="A2369" s="2">
        <f>IFERROR(__xludf.DUMMYFUNCTION("""COMPUTED_VALUE"""),89516.0)</f>
        <v>89516</v>
      </c>
      <c r="B2369" s="2">
        <f>IFERROR(__xludf.DUMMYFUNCTION("""COMPUTED_VALUE"""),1.0)</f>
        <v>1</v>
      </c>
      <c r="C2369" s="2">
        <f>IFERROR(__xludf.DUMMYFUNCTION("""COMPUTED_VALUE"""),316.0)</f>
        <v>316</v>
      </c>
      <c r="D2369" s="3">
        <f>IFERROR(__xludf.DUMMYFUNCTION("""COMPUTED_VALUE"""),162.0)</f>
        <v>162</v>
      </c>
      <c r="E2369" s="2"/>
      <c r="F2369" s="2"/>
    </row>
    <row r="2370">
      <c r="A2370" s="2">
        <f>IFERROR(__xludf.DUMMYFUNCTION("""COMPUTED_VALUE"""),89519.0)</f>
        <v>89519</v>
      </c>
      <c r="B2370" s="2">
        <f>IFERROR(__xludf.DUMMYFUNCTION("""COMPUTED_VALUE"""),1.0)</f>
        <v>1</v>
      </c>
      <c r="C2370" s="2">
        <f>IFERROR(__xludf.DUMMYFUNCTION("""COMPUTED_VALUE"""),225.0)</f>
        <v>225</v>
      </c>
      <c r="D2370" s="3">
        <f>IFERROR(__xludf.DUMMYFUNCTION("""COMPUTED_VALUE"""),120.0)</f>
        <v>120</v>
      </c>
      <c r="E2370" s="2"/>
      <c r="F2370" s="2"/>
    </row>
    <row r="2371">
      <c r="A2371" s="2">
        <f>IFERROR(__xludf.DUMMYFUNCTION("""COMPUTED_VALUE"""),75060.0)</f>
        <v>75060</v>
      </c>
      <c r="B2371" s="2">
        <f>IFERROR(__xludf.DUMMYFUNCTION("""COMPUTED_VALUE"""),1.0)</f>
        <v>1</v>
      </c>
      <c r="C2371" s="2">
        <f>IFERROR(__xludf.DUMMYFUNCTION("""COMPUTED_VALUE"""),46.0)</f>
        <v>46</v>
      </c>
      <c r="D2371" s="3">
        <f>IFERROR(__xludf.DUMMYFUNCTION("""COMPUTED_VALUE"""),14.0)</f>
        <v>14</v>
      </c>
      <c r="E2371" s="2"/>
      <c r="F2371" s="2"/>
    </row>
    <row r="2372">
      <c r="A2372" s="2">
        <f>IFERROR(__xludf.DUMMYFUNCTION("""COMPUTED_VALUE"""),111745.0)</f>
        <v>111745</v>
      </c>
      <c r="B2372" s="2">
        <f>IFERROR(__xludf.DUMMYFUNCTION("""COMPUTED_VALUE"""),0.0)</f>
        <v>0</v>
      </c>
      <c r="C2372" s="2">
        <f>IFERROR(__xludf.DUMMYFUNCTION("""COMPUTED_VALUE"""),676.0)</f>
        <v>676</v>
      </c>
      <c r="D2372" s="3">
        <f>IFERROR(__xludf.DUMMYFUNCTION("""COMPUTED_VALUE"""),16.0)</f>
        <v>16</v>
      </c>
      <c r="E2372" s="2"/>
      <c r="F2372" s="2"/>
    </row>
    <row r="2373">
      <c r="A2373" s="2">
        <f>IFERROR(__xludf.DUMMYFUNCTION("""COMPUTED_VALUE"""),70242.0)</f>
        <v>70242</v>
      </c>
      <c r="B2373" s="2">
        <f>IFERROR(__xludf.DUMMYFUNCTION("""COMPUTED_VALUE"""),1.0)</f>
        <v>1</v>
      </c>
      <c r="C2373" s="2">
        <f>IFERROR(__xludf.DUMMYFUNCTION("""COMPUTED_VALUE"""),309.0)</f>
        <v>309</v>
      </c>
      <c r="D2373" s="3">
        <f>IFERROR(__xludf.DUMMYFUNCTION("""COMPUTED_VALUE"""),200.0)</f>
        <v>200</v>
      </c>
      <c r="E2373" s="2"/>
      <c r="F2373" s="2"/>
    </row>
    <row r="2374">
      <c r="A2374" s="2">
        <f>IFERROR(__xludf.DUMMYFUNCTION("""COMPUTED_VALUE"""),75061.0)</f>
        <v>75061</v>
      </c>
      <c r="B2374" s="2">
        <f>IFERROR(__xludf.DUMMYFUNCTION("""COMPUTED_VALUE"""),1.0)</f>
        <v>1</v>
      </c>
      <c r="C2374" s="2">
        <f>IFERROR(__xludf.DUMMYFUNCTION("""COMPUTED_VALUE"""),109.0)</f>
        <v>109</v>
      </c>
      <c r="D2374" s="3">
        <f>IFERROR(__xludf.DUMMYFUNCTION("""COMPUTED_VALUE"""),74.0)</f>
        <v>74</v>
      </c>
      <c r="E2374" s="2"/>
      <c r="F2374" s="2"/>
    </row>
    <row r="2375">
      <c r="A2375" s="2">
        <f>IFERROR(__xludf.DUMMYFUNCTION("""COMPUTED_VALUE"""),69467.0)</f>
        <v>69467</v>
      </c>
      <c r="B2375" s="2">
        <f>IFERROR(__xludf.DUMMYFUNCTION("""COMPUTED_VALUE"""),0.0)</f>
        <v>0</v>
      </c>
      <c r="C2375" s="2">
        <f>IFERROR(__xludf.DUMMYFUNCTION("""COMPUTED_VALUE"""),712.0)</f>
        <v>712</v>
      </c>
      <c r="D2375" s="3">
        <f>IFERROR(__xludf.DUMMYFUNCTION("""COMPUTED_VALUE"""),502.0)</f>
        <v>502</v>
      </c>
      <c r="E2375" s="2"/>
      <c r="F2375" s="2"/>
    </row>
    <row r="2376">
      <c r="A2376" s="2">
        <f>IFERROR(__xludf.DUMMYFUNCTION("""COMPUTED_VALUE"""),121800.0)</f>
        <v>121800</v>
      </c>
      <c r="B2376" s="2">
        <f>IFERROR(__xludf.DUMMYFUNCTION("""COMPUTED_VALUE"""),1.0)</f>
        <v>1</v>
      </c>
      <c r="C2376" s="2">
        <f>IFERROR(__xludf.DUMMYFUNCTION("""COMPUTED_VALUE"""),932.0)</f>
        <v>932</v>
      </c>
      <c r="D2376" s="3">
        <f>IFERROR(__xludf.DUMMYFUNCTION("""COMPUTED_VALUE"""),560.0)</f>
        <v>560</v>
      </c>
      <c r="E2376" s="2"/>
      <c r="F2376" s="2"/>
    </row>
    <row r="2377">
      <c r="A2377" s="2">
        <f>IFERROR(__xludf.DUMMYFUNCTION("""COMPUTED_VALUE"""),110974.0)</f>
        <v>110974</v>
      </c>
      <c r="B2377" s="2">
        <f>IFERROR(__xludf.DUMMYFUNCTION("""COMPUTED_VALUE"""),0.0)</f>
        <v>0</v>
      </c>
      <c r="C2377" s="2">
        <f>IFERROR(__xludf.DUMMYFUNCTION("""COMPUTED_VALUE"""),41.0)</f>
        <v>41</v>
      </c>
      <c r="D2377" s="3">
        <f>IFERROR(__xludf.DUMMYFUNCTION("""COMPUTED_VALUE"""),14.0)</f>
        <v>14</v>
      </c>
      <c r="E2377" s="2"/>
      <c r="F2377" s="2"/>
    </row>
    <row r="2378">
      <c r="A2378" s="2">
        <f>IFERROR(__xludf.DUMMYFUNCTION("""COMPUTED_VALUE"""),114969.0)</f>
        <v>114969</v>
      </c>
      <c r="B2378" s="2">
        <f>IFERROR(__xludf.DUMMYFUNCTION("""COMPUTED_VALUE"""),0.0)</f>
        <v>0</v>
      </c>
      <c r="C2378" s="2">
        <f>IFERROR(__xludf.DUMMYFUNCTION("""COMPUTED_VALUE"""),795.0)</f>
        <v>795</v>
      </c>
      <c r="D2378" s="3">
        <f>IFERROR(__xludf.DUMMYFUNCTION("""COMPUTED_VALUE"""),586.0)</f>
        <v>586</v>
      </c>
      <c r="E2378" s="2"/>
      <c r="F2378" s="2"/>
    </row>
    <row r="2379">
      <c r="A2379" s="2">
        <f>IFERROR(__xludf.DUMMYFUNCTION("""COMPUTED_VALUE"""),111041.0)</f>
        <v>111041</v>
      </c>
      <c r="B2379" s="2">
        <f>IFERROR(__xludf.DUMMYFUNCTION("""COMPUTED_VALUE"""),1.0)</f>
        <v>1</v>
      </c>
      <c r="C2379" s="2">
        <f>IFERROR(__xludf.DUMMYFUNCTION("""COMPUTED_VALUE"""),949.0)</f>
        <v>949</v>
      </c>
      <c r="D2379" s="3">
        <f>IFERROR(__xludf.DUMMYFUNCTION("""COMPUTED_VALUE"""),478.0)</f>
        <v>478</v>
      </c>
      <c r="E2379" s="2"/>
      <c r="F2379" s="2"/>
    </row>
    <row r="2380">
      <c r="A2380" s="2">
        <f>IFERROR(__xludf.DUMMYFUNCTION("""COMPUTED_VALUE"""),82382.0)</f>
        <v>82382</v>
      </c>
      <c r="B2380" s="2">
        <f>IFERROR(__xludf.DUMMYFUNCTION("""COMPUTED_VALUE"""),1.0)</f>
        <v>1</v>
      </c>
      <c r="C2380" s="2">
        <f>IFERROR(__xludf.DUMMYFUNCTION("""COMPUTED_VALUE"""),361.0)</f>
        <v>361</v>
      </c>
      <c r="D2380" s="3">
        <f>IFERROR(__xludf.DUMMYFUNCTION("""COMPUTED_VALUE"""),139.0)</f>
        <v>139</v>
      </c>
      <c r="E2380" s="2"/>
      <c r="F2380" s="2"/>
    </row>
    <row r="2381">
      <c r="A2381" s="2">
        <f>IFERROR(__xludf.DUMMYFUNCTION("""COMPUTED_VALUE"""),89634.0)</f>
        <v>89634</v>
      </c>
      <c r="B2381" s="2">
        <f>IFERROR(__xludf.DUMMYFUNCTION("""COMPUTED_VALUE"""),1.0)</f>
        <v>1</v>
      </c>
      <c r="C2381" s="2">
        <f>IFERROR(__xludf.DUMMYFUNCTION("""COMPUTED_VALUE"""),796.0)</f>
        <v>796</v>
      </c>
      <c r="D2381" s="3">
        <f>IFERROR(__xludf.DUMMYFUNCTION("""COMPUTED_VALUE"""),422.0)</f>
        <v>422</v>
      </c>
      <c r="E2381" s="2"/>
      <c r="F2381" s="2"/>
    </row>
    <row r="2382">
      <c r="A2382" s="2">
        <f>IFERROR(__xludf.DUMMYFUNCTION("""COMPUTED_VALUE"""),82381.0)</f>
        <v>82381</v>
      </c>
      <c r="B2382" s="2">
        <f>IFERROR(__xludf.DUMMYFUNCTION("""COMPUTED_VALUE"""),1.0)</f>
        <v>1</v>
      </c>
      <c r="C2382" s="2">
        <f>IFERROR(__xludf.DUMMYFUNCTION("""COMPUTED_VALUE"""),295.0)</f>
        <v>295</v>
      </c>
      <c r="D2382" s="3">
        <f>IFERROR(__xludf.DUMMYFUNCTION("""COMPUTED_VALUE"""),138.0)</f>
        <v>138</v>
      </c>
      <c r="E2382" s="2"/>
      <c r="F2382" s="2"/>
    </row>
    <row r="2383">
      <c r="A2383" s="2">
        <f>IFERROR(__xludf.DUMMYFUNCTION("""COMPUTED_VALUE"""),107232.0)</f>
        <v>107232</v>
      </c>
      <c r="B2383" s="2">
        <f>IFERROR(__xludf.DUMMYFUNCTION("""COMPUTED_VALUE"""),0.0)</f>
        <v>0</v>
      </c>
      <c r="C2383" s="2">
        <f>IFERROR(__xludf.DUMMYFUNCTION("""COMPUTED_VALUE"""),592.0)</f>
        <v>592</v>
      </c>
      <c r="D2383" s="3">
        <f>IFERROR(__xludf.DUMMYFUNCTION("""COMPUTED_VALUE"""),63.0)</f>
        <v>63</v>
      </c>
      <c r="E2383" s="2"/>
      <c r="F2383" s="2"/>
    </row>
    <row r="2384">
      <c r="A2384" s="2">
        <f>IFERROR(__xludf.DUMMYFUNCTION("""COMPUTED_VALUE"""),70247.0)</f>
        <v>70247</v>
      </c>
      <c r="B2384" s="2">
        <f>IFERROR(__xludf.DUMMYFUNCTION("""COMPUTED_VALUE"""),0.0)</f>
        <v>0</v>
      </c>
      <c r="C2384" s="2">
        <f>IFERROR(__xludf.DUMMYFUNCTION("""COMPUTED_VALUE"""),378.0)</f>
        <v>378</v>
      </c>
      <c r="D2384" s="3">
        <f>IFERROR(__xludf.DUMMYFUNCTION("""COMPUTED_VALUE"""),127.0)</f>
        <v>127</v>
      </c>
      <c r="E2384" s="2"/>
      <c r="F2384" s="2"/>
    </row>
    <row r="2385">
      <c r="A2385" s="2">
        <f>IFERROR(__xludf.DUMMYFUNCTION("""COMPUTED_VALUE"""),107253.0)</f>
        <v>107253</v>
      </c>
      <c r="B2385" s="2">
        <f>IFERROR(__xludf.DUMMYFUNCTION("""COMPUTED_VALUE"""),1.0)</f>
        <v>1</v>
      </c>
      <c r="C2385" s="2">
        <f>IFERROR(__xludf.DUMMYFUNCTION("""COMPUTED_VALUE"""),72.0)</f>
        <v>72</v>
      </c>
      <c r="D2385" s="3">
        <f>IFERROR(__xludf.DUMMYFUNCTION("""COMPUTED_VALUE"""),56.0)</f>
        <v>56</v>
      </c>
      <c r="E2385" s="2"/>
      <c r="F2385" s="2"/>
    </row>
    <row r="2386">
      <c r="A2386" s="2">
        <f>IFERROR(__xludf.DUMMYFUNCTION("""COMPUTED_VALUE"""),102709.0)</f>
        <v>102709</v>
      </c>
      <c r="B2386" s="2">
        <f>IFERROR(__xludf.DUMMYFUNCTION("""COMPUTED_VALUE"""),0.0)</f>
        <v>0</v>
      </c>
      <c r="C2386" s="2">
        <f>IFERROR(__xludf.DUMMYFUNCTION("""COMPUTED_VALUE"""),851.0)</f>
        <v>851</v>
      </c>
      <c r="D2386" s="3">
        <f>IFERROR(__xludf.DUMMYFUNCTION("""COMPUTED_VALUE"""),805.0)</f>
        <v>805</v>
      </c>
      <c r="E2386" s="2"/>
      <c r="F2386" s="2"/>
    </row>
    <row r="2387">
      <c r="A2387" s="2">
        <f>IFERROR(__xludf.DUMMYFUNCTION("""COMPUTED_VALUE"""),75050.0)</f>
        <v>75050</v>
      </c>
      <c r="B2387" s="2">
        <f>IFERROR(__xludf.DUMMYFUNCTION("""COMPUTED_VALUE"""),0.0)</f>
        <v>0</v>
      </c>
      <c r="C2387" s="2">
        <f>IFERROR(__xludf.DUMMYFUNCTION("""COMPUTED_VALUE"""),43.0)</f>
        <v>43</v>
      </c>
      <c r="D2387" s="3">
        <f>IFERROR(__xludf.DUMMYFUNCTION("""COMPUTED_VALUE"""),29.0)</f>
        <v>29</v>
      </c>
      <c r="E2387" s="2"/>
      <c r="F2387" s="2"/>
    </row>
    <row r="2388">
      <c r="A2388" s="2">
        <f>IFERROR(__xludf.DUMMYFUNCTION("""COMPUTED_VALUE"""),111014.0)</f>
        <v>111014</v>
      </c>
      <c r="B2388" s="2">
        <f>IFERROR(__xludf.DUMMYFUNCTION("""COMPUTED_VALUE"""),1.0)</f>
        <v>1</v>
      </c>
      <c r="C2388" s="2">
        <f>IFERROR(__xludf.DUMMYFUNCTION("""COMPUTED_VALUE"""),619.0)</f>
        <v>619</v>
      </c>
      <c r="D2388" s="3">
        <f>IFERROR(__xludf.DUMMYFUNCTION("""COMPUTED_VALUE"""),512.0)</f>
        <v>512</v>
      </c>
      <c r="E2388" s="2"/>
      <c r="F2388" s="2"/>
    </row>
    <row r="2389">
      <c r="A2389" s="2">
        <f>IFERROR(__xludf.DUMMYFUNCTION("""COMPUTED_VALUE"""),120282.0)</f>
        <v>120282</v>
      </c>
      <c r="B2389" s="2">
        <f>IFERROR(__xludf.DUMMYFUNCTION("""COMPUTED_VALUE"""),1.0)</f>
        <v>1</v>
      </c>
      <c r="C2389" s="2">
        <f>IFERROR(__xludf.DUMMYFUNCTION("""COMPUTED_VALUE"""),389.0)</f>
        <v>389</v>
      </c>
      <c r="D2389" s="3">
        <f>IFERROR(__xludf.DUMMYFUNCTION("""COMPUTED_VALUE"""),173.0)</f>
        <v>173</v>
      </c>
      <c r="E2389" s="2"/>
      <c r="F2389" s="2"/>
    </row>
    <row r="2390">
      <c r="A2390" s="2">
        <f>IFERROR(__xludf.DUMMYFUNCTION("""COMPUTED_VALUE"""),84512.0)</f>
        <v>84512</v>
      </c>
      <c r="B2390" s="2">
        <f>IFERROR(__xludf.DUMMYFUNCTION("""COMPUTED_VALUE"""),0.0)</f>
        <v>0</v>
      </c>
      <c r="C2390" s="2">
        <f>IFERROR(__xludf.DUMMYFUNCTION("""COMPUTED_VALUE"""),372.0)</f>
        <v>372</v>
      </c>
      <c r="D2390" s="3">
        <f>IFERROR(__xludf.DUMMYFUNCTION("""COMPUTED_VALUE"""),300.0)</f>
        <v>300</v>
      </c>
      <c r="E2390" s="2"/>
      <c r="F2390" s="2"/>
    </row>
    <row r="2391">
      <c r="A2391" s="2">
        <f>IFERROR(__xludf.DUMMYFUNCTION("""COMPUTED_VALUE"""),77197.0)</f>
        <v>77197</v>
      </c>
      <c r="B2391" s="2">
        <f>IFERROR(__xludf.DUMMYFUNCTION("""COMPUTED_VALUE"""),0.0)</f>
        <v>0</v>
      </c>
      <c r="C2391" s="2">
        <f>IFERROR(__xludf.DUMMYFUNCTION("""COMPUTED_VALUE"""),536.0)</f>
        <v>536</v>
      </c>
      <c r="D2391" s="3">
        <f>IFERROR(__xludf.DUMMYFUNCTION("""COMPUTED_VALUE"""),510.0)</f>
        <v>510</v>
      </c>
      <c r="E2391" s="2"/>
      <c r="F2391" s="2"/>
    </row>
    <row r="2392">
      <c r="A2392" s="2">
        <f>IFERROR(__xludf.DUMMYFUNCTION("""COMPUTED_VALUE"""),29650.0)</f>
        <v>29650</v>
      </c>
      <c r="B2392" s="2">
        <f>IFERROR(__xludf.DUMMYFUNCTION("""COMPUTED_VALUE"""),0.0)</f>
        <v>0</v>
      </c>
      <c r="C2392" s="2">
        <f>IFERROR(__xludf.DUMMYFUNCTION("""COMPUTED_VALUE"""),23.0)</f>
        <v>23</v>
      </c>
      <c r="D2392" s="3">
        <f>IFERROR(__xludf.DUMMYFUNCTION("""COMPUTED_VALUE"""),12.0)</f>
        <v>12</v>
      </c>
      <c r="E2392" s="2"/>
      <c r="F2392" s="2"/>
    </row>
    <row r="2393">
      <c r="A2393" s="2">
        <f>IFERROR(__xludf.DUMMYFUNCTION("""COMPUTED_VALUE"""),4162.0)</f>
        <v>4162</v>
      </c>
      <c r="B2393" s="2">
        <f>IFERROR(__xludf.DUMMYFUNCTION("""COMPUTED_VALUE"""),0.0)</f>
        <v>0</v>
      </c>
      <c r="C2393" s="2">
        <f>IFERROR(__xludf.DUMMYFUNCTION("""COMPUTED_VALUE"""),166.0)</f>
        <v>166</v>
      </c>
      <c r="D2393" s="3">
        <f>IFERROR(__xludf.DUMMYFUNCTION("""COMPUTED_VALUE"""),85.0)</f>
        <v>85</v>
      </c>
      <c r="E2393" s="2"/>
      <c r="F2393" s="2"/>
    </row>
    <row r="2394">
      <c r="A2394" s="2">
        <f>IFERROR(__xludf.DUMMYFUNCTION("""COMPUTED_VALUE"""),88214.0)</f>
        <v>88214</v>
      </c>
      <c r="B2394" s="2">
        <f>IFERROR(__xludf.DUMMYFUNCTION("""COMPUTED_VALUE"""),1.0)</f>
        <v>1</v>
      </c>
      <c r="C2394" s="2">
        <f>IFERROR(__xludf.DUMMYFUNCTION("""COMPUTED_VALUE"""),854.0)</f>
        <v>854</v>
      </c>
      <c r="D2394" s="3">
        <f>IFERROR(__xludf.DUMMYFUNCTION("""COMPUTED_VALUE"""),839.0)</f>
        <v>839</v>
      </c>
      <c r="E2394" s="2"/>
      <c r="F2394" s="2"/>
    </row>
    <row r="2395">
      <c r="A2395" s="2">
        <f>IFERROR(__xludf.DUMMYFUNCTION("""COMPUTED_VALUE"""),73254.0)</f>
        <v>73254</v>
      </c>
      <c r="B2395" s="2">
        <f>IFERROR(__xludf.DUMMYFUNCTION("""COMPUTED_VALUE"""),0.0)</f>
        <v>0</v>
      </c>
      <c r="C2395" s="2">
        <f>IFERROR(__xludf.DUMMYFUNCTION("""COMPUTED_VALUE"""),169.0)</f>
        <v>169</v>
      </c>
      <c r="D2395" s="3">
        <f>IFERROR(__xludf.DUMMYFUNCTION("""COMPUTED_VALUE"""),1.0)</f>
        <v>1</v>
      </c>
      <c r="E2395" s="2"/>
      <c r="F2395" s="2"/>
    </row>
    <row r="2396">
      <c r="A2396" s="2">
        <f>IFERROR(__xludf.DUMMYFUNCTION("""COMPUTED_VALUE"""),108204.0)</f>
        <v>108204</v>
      </c>
      <c r="B2396" s="2">
        <f>IFERROR(__xludf.DUMMYFUNCTION("""COMPUTED_VALUE"""),1.0)</f>
        <v>1</v>
      </c>
      <c r="C2396" s="2">
        <f>IFERROR(__xludf.DUMMYFUNCTION("""COMPUTED_VALUE"""),751.0)</f>
        <v>751</v>
      </c>
      <c r="D2396" s="3">
        <f>IFERROR(__xludf.DUMMYFUNCTION("""COMPUTED_VALUE"""),436.0)</f>
        <v>436</v>
      </c>
      <c r="E2396" s="2"/>
      <c r="F2396" s="2"/>
    </row>
    <row r="2397">
      <c r="A2397" s="2">
        <f>IFERROR(__xludf.DUMMYFUNCTION("""COMPUTED_VALUE"""),9676.0)</f>
        <v>9676</v>
      </c>
      <c r="B2397" s="2">
        <f>IFERROR(__xludf.DUMMYFUNCTION("""COMPUTED_VALUE"""),0.0)</f>
        <v>0</v>
      </c>
      <c r="C2397" s="2">
        <f>IFERROR(__xludf.DUMMYFUNCTION("""COMPUTED_VALUE"""),94.0)</f>
        <v>94</v>
      </c>
      <c r="D2397" s="3">
        <f>IFERROR(__xludf.DUMMYFUNCTION("""COMPUTED_VALUE"""),4.0)</f>
        <v>4</v>
      </c>
      <c r="E2397" s="2"/>
      <c r="F2397" s="2"/>
    </row>
    <row r="2398">
      <c r="A2398" s="2">
        <f>IFERROR(__xludf.DUMMYFUNCTION("""COMPUTED_VALUE"""),44412.0)</f>
        <v>44412</v>
      </c>
      <c r="B2398" s="2">
        <f>IFERROR(__xludf.DUMMYFUNCTION("""COMPUTED_VALUE"""),1.0)</f>
        <v>1</v>
      </c>
      <c r="C2398" s="2">
        <f>IFERROR(__xludf.DUMMYFUNCTION("""COMPUTED_VALUE"""),278.0)</f>
        <v>278</v>
      </c>
      <c r="D2398" s="3">
        <f>IFERROR(__xludf.DUMMYFUNCTION("""COMPUTED_VALUE"""),111.0)</f>
        <v>111</v>
      </c>
      <c r="E2398" s="2"/>
      <c r="F2398" s="2"/>
    </row>
    <row r="2399">
      <c r="A2399" s="2">
        <f>IFERROR(__xludf.DUMMYFUNCTION("""COMPUTED_VALUE"""),73253.0)</f>
        <v>73253</v>
      </c>
      <c r="B2399" s="2">
        <f>IFERROR(__xludf.DUMMYFUNCTION("""COMPUTED_VALUE"""),1.0)</f>
        <v>1</v>
      </c>
      <c r="C2399" s="2">
        <f>IFERROR(__xludf.DUMMYFUNCTION("""COMPUTED_VALUE"""),156.0)</f>
        <v>156</v>
      </c>
      <c r="D2399" s="3">
        <f>IFERROR(__xludf.DUMMYFUNCTION("""COMPUTED_VALUE"""),94.0)</f>
        <v>94</v>
      </c>
      <c r="E2399" s="2"/>
      <c r="F2399" s="2"/>
    </row>
    <row r="2400">
      <c r="A2400" s="2">
        <f>IFERROR(__xludf.DUMMYFUNCTION("""COMPUTED_VALUE"""),122516.0)</f>
        <v>122516</v>
      </c>
      <c r="B2400" s="2">
        <f>IFERROR(__xludf.DUMMYFUNCTION("""COMPUTED_VALUE"""),1.0)</f>
        <v>1</v>
      </c>
      <c r="C2400" s="2">
        <f>IFERROR(__xludf.DUMMYFUNCTION("""COMPUTED_VALUE"""),874.0)</f>
        <v>874</v>
      </c>
      <c r="D2400" s="3">
        <f>IFERROR(__xludf.DUMMYFUNCTION("""COMPUTED_VALUE"""),560.0)</f>
        <v>560</v>
      </c>
      <c r="E2400" s="2"/>
      <c r="F2400" s="2"/>
    </row>
    <row r="2401">
      <c r="A2401" s="2">
        <f>IFERROR(__xludf.DUMMYFUNCTION("""COMPUTED_VALUE"""),70314.0)</f>
        <v>70314</v>
      </c>
      <c r="B2401" s="2">
        <f>IFERROR(__xludf.DUMMYFUNCTION("""COMPUTED_VALUE"""),1.0)</f>
        <v>1</v>
      </c>
      <c r="C2401" s="2">
        <f>IFERROR(__xludf.DUMMYFUNCTION("""COMPUTED_VALUE"""),488.0)</f>
        <v>488</v>
      </c>
      <c r="D2401" s="3">
        <f>IFERROR(__xludf.DUMMYFUNCTION("""COMPUTED_VALUE"""),467.0)</f>
        <v>467</v>
      </c>
      <c r="E2401" s="2"/>
      <c r="F2401" s="2"/>
    </row>
    <row r="2402">
      <c r="A2402" s="2">
        <f>IFERROR(__xludf.DUMMYFUNCTION("""COMPUTED_VALUE"""),17644.0)</f>
        <v>17644</v>
      </c>
      <c r="B2402" s="2">
        <f>IFERROR(__xludf.DUMMYFUNCTION("""COMPUTED_VALUE"""),0.0)</f>
        <v>0</v>
      </c>
      <c r="C2402" s="2">
        <f>IFERROR(__xludf.DUMMYFUNCTION("""COMPUTED_VALUE"""),107.0)</f>
        <v>107</v>
      </c>
      <c r="D2402" s="3">
        <f>IFERROR(__xludf.DUMMYFUNCTION("""COMPUTED_VALUE"""),35.0)</f>
        <v>35</v>
      </c>
      <c r="E2402" s="2"/>
      <c r="F2402" s="2"/>
    </row>
    <row r="2403">
      <c r="A2403" s="2">
        <f>IFERROR(__xludf.DUMMYFUNCTION("""COMPUTED_VALUE"""),118996.0)</f>
        <v>118996</v>
      </c>
      <c r="B2403" s="2">
        <f>IFERROR(__xludf.DUMMYFUNCTION("""COMPUTED_VALUE"""),0.0)</f>
        <v>0</v>
      </c>
      <c r="C2403" s="2">
        <f>IFERROR(__xludf.DUMMYFUNCTION("""COMPUTED_VALUE"""),251.0)</f>
        <v>251</v>
      </c>
      <c r="D2403" s="3">
        <f>IFERROR(__xludf.DUMMYFUNCTION("""COMPUTED_VALUE"""),187.0)</f>
        <v>187</v>
      </c>
      <c r="E2403" s="2"/>
      <c r="F2403" s="2"/>
    </row>
    <row r="2404">
      <c r="A2404" s="2">
        <f>IFERROR(__xludf.DUMMYFUNCTION("""COMPUTED_VALUE"""),79199.0)</f>
        <v>79199</v>
      </c>
      <c r="B2404" s="2">
        <f>IFERROR(__xludf.DUMMYFUNCTION("""COMPUTED_VALUE"""),0.0)</f>
        <v>0</v>
      </c>
      <c r="C2404" s="2">
        <f>IFERROR(__xludf.DUMMYFUNCTION("""COMPUTED_VALUE"""),556.0)</f>
        <v>556</v>
      </c>
      <c r="D2404" s="3">
        <f>IFERROR(__xludf.DUMMYFUNCTION("""COMPUTED_VALUE"""),338.0)</f>
        <v>338</v>
      </c>
      <c r="E2404" s="2"/>
      <c r="F2404" s="2"/>
    </row>
    <row r="2405">
      <c r="A2405" s="2">
        <f>IFERROR(__xludf.DUMMYFUNCTION("""COMPUTED_VALUE"""),128316.0)</f>
        <v>128316</v>
      </c>
      <c r="B2405" s="2">
        <f>IFERROR(__xludf.DUMMYFUNCTION("""COMPUTED_VALUE"""),1.0)</f>
        <v>1</v>
      </c>
      <c r="C2405" s="2">
        <f>IFERROR(__xludf.DUMMYFUNCTION("""COMPUTED_VALUE"""),332.0)</f>
        <v>332</v>
      </c>
      <c r="D2405" s="3">
        <f>IFERROR(__xludf.DUMMYFUNCTION("""COMPUTED_VALUE"""),55.0)</f>
        <v>55</v>
      </c>
      <c r="E2405" s="2"/>
      <c r="F2405" s="2"/>
    </row>
    <row r="2406">
      <c r="A2406" s="2">
        <f>IFERROR(__xludf.DUMMYFUNCTION("""COMPUTED_VALUE"""),7933.0)</f>
        <v>7933</v>
      </c>
      <c r="B2406" s="2">
        <f>IFERROR(__xludf.DUMMYFUNCTION("""COMPUTED_VALUE"""),1.0)</f>
        <v>1</v>
      </c>
      <c r="C2406" s="2">
        <f>IFERROR(__xludf.DUMMYFUNCTION("""COMPUTED_VALUE"""),734.0)</f>
        <v>734</v>
      </c>
      <c r="D2406" s="3">
        <f>IFERROR(__xludf.DUMMYFUNCTION("""COMPUTED_VALUE"""),517.0)</f>
        <v>517</v>
      </c>
      <c r="E2406" s="2"/>
      <c r="F2406" s="2"/>
    </row>
    <row r="2407">
      <c r="A2407" s="2">
        <f>IFERROR(__xludf.DUMMYFUNCTION("""COMPUTED_VALUE"""),85944.0)</f>
        <v>85944</v>
      </c>
      <c r="B2407" s="2">
        <f>IFERROR(__xludf.DUMMYFUNCTION("""COMPUTED_VALUE"""),1.0)</f>
        <v>1</v>
      </c>
      <c r="C2407" s="2">
        <f>IFERROR(__xludf.DUMMYFUNCTION("""COMPUTED_VALUE"""),398.0)</f>
        <v>398</v>
      </c>
      <c r="D2407" s="3">
        <f>IFERROR(__xludf.DUMMYFUNCTION("""COMPUTED_VALUE"""),250.0)</f>
        <v>250</v>
      </c>
      <c r="E2407" s="2"/>
      <c r="F2407" s="2"/>
    </row>
    <row r="2408">
      <c r="A2408" s="2">
        <f>IFERROR(__xludf.DUMMYFUNCTION("""COMPUTED_VALUE"""),76665.0)</f>
        <v>76665</v>
      </c>
      <c r="B2408" s="2">
        <f>IFERROR(__xludf.DUMMYFUNCTION("""COMPUTED_VALUE"""),1.0)</f>
        <v>1</v>
      </c>
      <c r="C2408" s="2">
        <f>IFERROR(__xludf.DUMMYFUNCTION("""COMPUTED_VALUE"""),467.0)</f>
        <v>467</v>
      </c>
      <c r="D2408" s="3">
        <f>IFERROR(__xludf.DUMMYFUNCTION("""COMPUTED_VALUE"""),284.0)</f>
        <v>284</v>
      </c>
      <c r="E2408" s="2"/>
      <c r="F2408" s="2"/>
    </row>
    <row r="2409">
      <c r="A2409" s="2">
        <f>IFERROR(__xludf.DUMMYFUNCTION("""COMPUTED_VALUE"""),102286.0)</f>
        <v>102286</v>
      </c>
      <c r="B2409" s="2">
        <f>IFERROR(__xludf.DUMMYFUNCTION("""COMPUTED_VALUE"""),1.0)</f>
        <v>1</v>
      </c>
      <c r="C2409" s="2">
        <f>IFERROR(__xludf.DUMMYFUNCTION("""COMPUTED_VALUE"""),745.0)</f>
        <v>745</v>
      </c>
      <c r="D2409" s="3">
        <f>IFERROR(__xludf.DUMMYFUNCTION("""COMPUTED_VALUE"""),689.0)</f>
        <v>689</v>
      </c>
      <c r="E2409" s="2"/>
      <c r="F2409" s="2"/>
    </row>
    <row r="2410">
      <c r="A2410" s="2">
        <f>IFERROR(__xludf.DUMMYFUNCTION("""COMPUTED_VALUE"""),77199.0)</f>
        <v>77199</v>
      </c>
      <c r="B2410" s="2">
        <f>IFERROR(__xludf.DUMMYFUNCTION("""COMPUTED_VALUE"""),1.0)</f>
        <v>1</v>
      </c>
      <c r="C2410" s="2">
        <f>IFERROR(__xludf.DUMMYFUNCTION("""COMPUTED_VALUE"""),496.0)</f>
        <v>496</v>
      </c>
      <c r="D2410" s="3">
        <f>IFERROR(__xludf.DUMMYFUNCTION("""COMPUTED_VALUE"""),217.0)</f>
        <v>217</v>
      </c>
      <c r="E2410" s="2"/>
      <c r="F2410" s="2"/>
    </row>
    <row r="2411">
      <c r="A2411" s="2">
        <f>IFERROR(__xludf.DUMMYFUNCTION("""COMPUTED_VALUE"""),11722.0)</f>
        <v>11722</v>
      </c>
      <c r="B2411" s="2">
        <f>IFERROR(__xludf.DUMMYFUNCTION("""COMPUTED_VALUE"""),0.0)</f>
        <v>0</v>
      </c>
      <c r="C2411" s="2">
        <f>IFERROR(__xludf.DUMMYFUNCTION("""COMPUTED_VALUE"""),547.0)</f>
        <v>547</v>
      </c>
      <c r="D2411" s="3">
        <f>IFERROR(__xludf.DUMMYFUNCTION("""COMPUTED_VALUE"""),133.0)</f>
        <v>133</v>
      </c>
      <c r="E2411" s="2"/>
      <c r="F2411" s="2"/>
    </row>
    <row r="2412">
      <c r="A2412" s="2">
        <f>IFERROR(__xludf.DUMMYFUNCTION("""COMPUTED_VALUE"""),97949.0)</f>
        <v>97949</v>
      </c>
      <c r="B2412" s="2">
        <f>IFERROR(__xludf.DUMMYFUNCTION("""COMPUTED_VALUE"""),1.0)</f>
        <v>1</v>
      </c>
      <c r="C2412" s="2">
        <f>IFERROR(__xludf.DUMMYFUNCTION("""COMPUTED_VALUE"""),336.0)</f>
        <v>336</v>
      </c>
      <c r="D2412" s="3">
        <f>IFERROR(__xludf.DUMMYFUNCTION("""COMPUTED_VALUE"""),87.0)</f>
        <v>87</v>
      </c>
      <c r="E2412" s="2"/>
      <c r="F2412" s="2"/>
    </row>
    <row r="2413">
      <c r="A2413" s="2">
        <f>IFERROR(__xludf.DUMMYFUNCTION("""COMPUTED_VALUE"""),9701.0)</f>
        <v>9701</v>
      </c>
      <c r="B2413" s="2">
        <f>IFERROR(__xludf.DUMMYFUNCTION("""COMPUTED_VALUE"""),1.0)</f>
        <v>1</v>
      </c>
      <c r="C2413" s="2">
        <f>IFERROR(__xludf.DUMMYFUNCTION("""COMPUTED_VALUE"""),571.0)</f>
        <v>571</v>
      </c>
      <c r="D2413" s="3">
        <f>IFERROR(__xludf.DUMMYFUNCTION("""COMPUTED_VALUE"""),554.0)</f>
        <v>554</v>
      </c>
      <c r="E2413" s="2"/>
      <c r="F2413" s="2"/>
    </row>
    <row r="2414">
      <c r="A2414" s="2">
        <f>IFERROR(__xludf.DUMMYFUNCTION("""COMPUTED_VALUE"""),117615.0)</f>
        <v>117615</v>
      </c>
      <c r="B2414" s="2">
        <f>IFERROR(__xludf.DUMMYFUNCTION("""COMPUTED_VALUE"""),1.0)</f>
        <v>1</v>
      </c>
      <c r="C2414" s="2">
        <f>IFERROR(__xludf.DUMMYFUNCTION("""COMPUTED_VALUE"""),768.0)</f>
        <v>768</v>
      </c>
      <c r="D2414" s="3">
        <f>IFERROR(__xludf.DUMMYFUNCTION("""COMPUTED_VALUE"""),276.0)</f>
        <v>276</v>
      </c>
      <c r="E2414" s="2"/>
      <c r="F2414" s="2"/>
    </row>
    <row r="2415">
      <c r="A2415" s="2">
        <f>IFERROR(__xludf.DUMMYFUNCTION("""COMPUTED_VALUE"""),10076.0)</f>
        <v>10076</v>
      </c>
      <c r="B2415" s="2">
        <f>IFERROR(__xludf.DUMMYFUNCTION("""COMPUTED_VALUE"""),1.0)</f>
        <v>1</v>
      </c>
      <c r="C2415" s="2">
        <f>IFERROR(__xludf.DUMMYFUNCTION("""COMPUTED_VALUE"""),223.0)</f>
        <v>223</v>
      </c>
      <c r="D2415" s="3">
        <f>IFERROR(__xludf.DUMMYFUNCTION("""COMPUTED_VALUE"""),199.0)</f>
        <v>199</v>
      </c>
      <c r="E2415" s="2"/>
      <c r="F2415" s="2"/>
    </row>
    <row r="2416">
      <c r="A2416" s="2">
        <f>IFERROR(__xludf.DUMMYFUNCTION("""COMPUTED_VALUE"""),106572.0)</f>
        <v>106572</v>
      </c>
      <c r="B2416" s="2">
        <f>IFERROR(__xludf.DUMMYFUNCTION("""COMPUTED_VALUE"""),0.0)</f>
        <v>0</v>
      </c>
      <c r="C2416" s="2">
        <f>IFERROR(__xludf.DUMMYFUNCTION("""COMPUTED_VALUE"""),685.0)</f>
        <v>685</v>
      </c>
      <c r="D2416" s="3">
        <f>IFERROR(__xludf.DUMMYFUNCTION("""COMPUTED_VALUE"""),261.0)</f>
        <v>261</v>
      </c>
      <c r="E2416" s="2"/>
      <c r="F2416" s="2"/>
    </row>
    <row r="2417">
      <c r="A2417" s="2">
        <f>IFERROR(__xludf.DUMMYFUNCTION("""COMPUTED_VALUE"""),10081.0)</f>
        <v>10081</v>
      </c>
      <c r="B2417" s="2">
        <f>IFERROR(__xludf.DUMMYFUNCTION("""COMPUTED_VALUE"""),0.0)</f>
        <v>0</v>
      </c>
      <c r="C2417" s="2">
        <f>IFERROR(__xludf.DUMMYFUNCTION("""COMPUTED_VALUE"""),664.0)</f>
        <v>664</v>
      </c>
      <c r="D2417" s="3">
        <f>IFERROR(__xludf.DUMMYFUNCTION("""COMPUTED_VALUE"""),516.0)</f>
        <v>516</v>
      </c>
      <c r="E2417" s="2"/>
      <c r="F2417" s="2"/>
    </row>
    <row r="2418">
      <c r="A2418" s="2">
        <f>IFERROR(__xludf.DUMMYFUNCTION("""COMPUTED_VALUE"""),46424.0)</f>
        <v>46424</v>
      </c>
      <c r="B2418" s="2">
        <f>IFERROR(__xludf.DUMMYFUNCTION("""COMPUTED_VALUE"""),1.0)</f>
        <v>1</v>
      </c>
      <c r="C2418" s="2">
        <f>IFERROR(__xludf.DUMMYFUNCTION("""COMPUTED_VALUE"""),722.0)</f>
        <v>722</v>
      </c>
      <c r="D2418" s="3">
        <f>IFERROR(__xludf.DUMMYFUNCTION("""COMPUTED_VALUE"""),493.0)</f>
        <v>493</v>
      </c>
      <c r="E2418" s="2"/>
      <c r="F2418" s="2"/>
    </row>
    <row r="2419">
      <c r="A2419" s="2">
        <f>IFERROR(__xludf.DUMMYFUNCTION("""COMPUTED_VALUE"""),118931.0)</f>
        <v>118931</v>
      </c>
      <c r="B2419" s="2">
        <f>IFERROR(__xludf.DUMMYFUNCTION("""COMPUTED_VALUE"""),0.0)</f>
        <v>0</v>
      </c>
      <c r="C2419" s="2">
        <f>IFERROR(__xludf.DUMMYFUNCTION("""COMPUTED_VALUE"""),40.0)</f>
        <v>40</v>
      </c>
      <c r="D2419" s="3">
        <f>IFERROR(__xludf.DUMMYFUNCTION("""COMPUTED_VALUE"""),25.0)</f>
        <v>25</v>
      </c>
      <c r="E2419" s="2"/>
      <c r="F2419" s="2"/>
    </row>
    <row r="2420">
      <c r="A2420" s="2">
        <f>IFERROR(__xludf.DUMMYFUNCTION("""COMPUTED_VALUE"""),10078.0)</f>
        <v>10078</v>
      </c>
      <c r="B2420" s="2">
        <f>IFERROR(__xludf.DUMMYFUNCTION("""COMPUTED_VALUE"""),0.0)</f>
        <v>0</v>
      </c>
      <c r="C2420" s="2">
        <f>IFERROR(__xludf.DUMMYFUNCTION("""COMPUTED_VALUE"""),216.0)</f>
        <v>216</v>
      </c>
      <c r="D2420" s="3">
        <f>IFERROR(__xludf.DUMMYFUNCTION("""COMPUTED_VALUE"""),68.0)</f>
        <v>68</v>
      </c>
      <c r="E2420" s="2"/>
      <c r="F2420" s="2"/>
    </row>
    <row r="2421">
      <c r="A2421" s="2">
        <f>IFERROR(__xludf.DUMMYFUNCTION("""COMPUTED_VALUE"""),75824.0)</f>
        <v>75824</v>
      </c>
      <c r="B2421" s="2">
        <f>IFERROR(__xludf.DUMMYFUNCTION("""COMPUTED_VALUE"""),1.0)</f>
        <v>1</v>
      </c>
      <c r="C2421" s="2">
        <f>IFERROR(__xludf.DUMMYFUNCTION("""COMPUTED_VALUE"""),649.0)</f>
        <v>649</v>
      </c>
      <c r="D2421" s="3">
        <f>IFERROR(__xludf.DUMMYFUNCTION("""COMPUTED_VALUE"""),68.0)</f>
        <v>68</v>
      </c>
      <c r="E2421" s="2"/>
      <c r="F2421" s="2"/>
    </row>
    <row r="2422">
      <c r="A2422" s="2">
        <f>IFERROR(__xludf.DUMMYFUNCTION("""COMPUTED_VALUE"""),80433.0)</f>
        <v>80433</v>
      </c>
      <c r="B2422" s="2">
        <f>IFERROR(__xludf.DUMMYFUNCTION("""COMPUTED_VALUE"""),1.0)</f>
        <v>1</v>
      </c>
      <c r="C2422" s="2">
        <f>IFERROR(__xludf.DUMMYFUNCTION("""COMPUTED_VALUE"""),26.0)</f>
        <v>26</v>
      </c>
      <c r="D2422" s="3">
        <f>IFERROR(__xludf.DUMMYFUNCTION("""COMPUTED_VALUE"""),21.0)</f>
        <v>21</v>
      </c>
      <c r="E2422" s="2"/>
      <c r="F2422" s="2"/>
    </row>
    <row r="2423">
      <c r="A2423" s="2">
        <f>IFERROR(__xludf.DUMMYFUNCTION("""COMPUTED_VALUE"""),106566.0)</f>
        <v>106566</v>
      </c>
      <c r="B2423" s="2">
        <f>IFERROR(__xludf.DUMMYFUNCTION("""COMPUTED_VALUE"""),1.0)</f>
        <v>1</v>
      </c>
      <c r="C2423" s="2">
        <f>IFERROR(__xludf.DUMMYFUNCTION("""COMPUTED_VALUE"""),869.0)</f>
        <v>869</v>
      </c>
      <c r="D2423" s="3">
        <f>IFERROR(__xludf.DUMMYFUNCTION("""COMPUTED_VALUE"""),164.0)</f>
        <v>164</v>
      </c>
      <c r="E2423" s="2"/>
      <c r="F2423" s="2"/>
    </row>
    <row r="2424">
      <c r="A2424" s="2">
        <f>IFERROR(__xludf.DUMMYFUNCTION("""COMPUTED_VALUE"""),9702.0)</f>
        <v>9702</v>
      </c>
      <c r="B2424" s="2">
        <f>IFERROR(__xludf.DUMMYFUNCTION("""COMPUTED_VALUE"""),0.0)</f>
        <v>0</v>
      </c>
      <c r="C2424" s="2">
        <f>IFERROR(__xludf.DUMMYFUNCTION("""COMPUTED_VALUE"""),383.0)</f>
        <v>383</v>
      </c>
      <c r="D2424" s="3">
        <f>IFERROR(__xludf.DUMMYFUNCTION("""COMPUTED_VALUE"""),89.0)</f>
        <v>89</v>
      </c>
      <c r="E2424" s="2"/>
      <c r="F2424" s="2"/>
    </row>
    <row r="2425">
      <c r="A2425" s="2">
        <f>IFERROR(__xludf.DUMMYFUNCTION("""COMPUTED_VALUE"""),122445.0)</f>
        <v>122445</v>
      </c>
      <c r="B2425" s="2">
        <f>IFERROR(__xludf.DUMMYFUNCTION("""COMPUTED_VALUE"""),0.0)</f>
        <v>0</v>
      </c>
      <c r="C2425" s="2">
        <f>IFERROR(__xludf.DUMMYFUNCTION("""COMPUTED_VALUE"""),135.0)</f>
        <v>135</v>
      </c>
      <c r="D2425" s="3">
        <f>IFERROR(__xludf.DUMMYFUNCTION("""COMPUTED_VALUE"""),14.0)</f>
        <v>14</v>
      </c>
      <c r="E2425" s="2"/>
      <c r="F2425" s="2"/>
    </row>
    <row r="2426">
      <c r="A2426" s="2">
        <f>IFERROR(__xludf.DUMMYFUNCTION("""COMPUTED_VALUE"""),77178.0)</f>
        <v>77178</v>
      </c>
      <c r="B2426" s="2">
        <f>IFERROR(__xludf.DUMMYFUNCTION("""COMPUTED_VALUE"""),0.0)</f>
        <v>0</v>
      </c>
      <c r="C2426" s="2">
        <f>IFERROR(__xludf.DUMMYFUNCTION("""COMPUTED_VALUE"""),772.0)</f>
        <v>772</v>
      </c>
      <c r="D2426" s="3">
        <f>IFERROR(__xludf.DUMMYFUNCTION("""COMPUTED_VALUE"""),496.0)</f>
        <v>496</v>
      </c>
      <c r="E2426" s="2"/>
      <c r="F2426" s="2"/>
    </row>
    <row r="2427">
      <c r="A2427" s="2">
        <f>IFERROR(__xludf.DUMMYFUNCTION("""COMPUTED_VALUE"""),10075.0)</f>
        <v>10075</v>
      </c>
      <c r="B2427" s="2">
        <f>IFERROR(__xludf.DUMMYFUNCTION("""COMPUTED_VALUE"""),0.0)</f>
        <v>0</v>
      </c>
      <c r="C2427" s="2">
        <f>IFERROR(__xludf.DUMMYFUNCTION("""COMPUTED_VALUE"""),134.0)</f>
        <v>134</v>
      </c>
      <c r="D2427" s="3">
        <f>IFERROR(__xludf.DUMMYFUNCTION("""COMPUTED_VALUE"""),30.0)</f>
        <v>30</v>
      </c>
      <c r="E2427" s="2"/>
      <c r="F2427" s="2"/>
    </row>
    <row r="2428">
      <c r="A2428" s="2">
        <f>IFERROR(__xludf.DUMMYFUNCTION("""COMPUTED_VALUE"""),10079.0)</f>
        <v>10079</v>
      </c>
      <c r="B2428" s="2">
        <f>IFERROR(__xludf.DUMMYFUNCTION("""COMPUTED_VALUE"""),1.0)</f>
        <v>1</v>
      </c>
      <c r="C2428" s="2">
        <f>IFERROR(__xludf.DUMMYFUNCTION("""COMPUTED_VALUE"""),895.0)</f>
        <v>895</v>
      </c>
      <c r="D2428" s="3">
        <f>IFERROR(__xludf.DUMMYFUNCTION("""COMPUTED_VALUE"""),428.0)</f>
        <v>428</v>
      </c>
      <c r="E2428" s="2"/>
      <c r="F2428" s="2"/>
    </row>
    <row r="2429">
      <c r="A2429" s="2">
        <f>IFERROR(__xludf.DUMMYFUNCTION("""COMPUTED_VALUE"""),111469.0)</f>
        <v>111469</v>
      </c>
      <c r="B2429" s="2">
        <f>IFERROR(__xludf.DUMMYFUNCTION("""COMPUTED_VALUE"""),0.0)</f>
        <v>0</v>
      </c>
      <c r="C2429" s="2">
        <f>IFERROR(__xludf.DUMMYFUNCTION("""COMPUTED_VALUE"""),867.0)</f>
        <v>867</v>
      </c>
      <c r="D2429" s="3">
        <f>IFERROR(__xludf.DUMMYFUNCTION("""COMPUTED_VALUE"""),231.0)</f>
        <v>231</v>
      </c>
      <c r="E2429" s="2"/>
      <c r="F2429" s="2"/>
    </row>
    <row r="2430">
      <c r="A2430" s="2">
        <f>IFERROR(__xludf.DUMMYFUNCTION("""COMPUTED_VALUE"""),166324.0)</f>
        <v>166324</v>
      </c>
      <c r="B2430" s="2">
        <f>IFERROR(__xludf.DUMMYFUNCTION("""COMPUTED_VALUE"""),1.0)</f>
        <v>1</v>
      </c>
      <c r="C2430" s="2">
        <f>IFERROR(__xludf.DUMMYFUNCTION("""COMPUTED_VALUE"""),180.0)</f>
        <v>180</v>
      </c>
      <c r="D2430" s="3">
        <f>IFERROR(__xludf.DUMMYFUNCTION("""COMPUTED_VALUE"""),48.0)</f>
        <v>48</v>
      </c>
      <c r="E2430" s="2"/>
      <c r="F2430" s="2"/>
    </row>
    <row r="2431">
      <c r="A2431" s="2">
        <f>IFERROR(__xludf.DUMMYFUNCTION("""COMPUTED_VALUE"""),7829.0)</f>
        <v>7829</v>
      </c>
      <c r="B2431" s="2">
        <f>IFERROR(__xludf.DUMMYFUNCTION("""COMPUTED_VALUE"""),1.0)</f>
        <v>1</v>
      </c>
      <c r="C2431" s="2">
        <f>IFERROR(__xludf.DUMMYFUNCTION("""COMPUTED_VALUE"""),90.0)</f>
        <v>90</v>
      </c>
      <c r="D2431" s="3">
        <f>IFERROR(__xludf.DUMMYFUNCTION("""COMPUTED_VALUE"""),76.0)</f>
        <v>76</v>
      </c>
      <c r="E2431" s="2"/>
      <c r="F2431" s="2"/>
    </row>
    <row r="2432">
      <c r="A2432" s="2">
        <f>IFERROR(__xludf.DUMMYFUNCTION("""COMPUTED_VALUE"""),105507.0)</f>
        <v>105507</v>
      </c>
      <c r="B2432" s="2">
        <f>IFERROR(__xludf.DUMMYFUNCTION("""COMPUTED_VALUE"""),1.0)</f>
        <v>1</v>
      </c>
      <c r="C2432" s="2">
        <f>IFERROR(__xludf.DUMMYFUNCTION("""COMPUTED_VALUE"""),357.0)</f>
        <v>357</v>
      </c>
      <c r="D2432" s="3">
        <f>IFERROR(__xludf.DUMMYFUNCTION("""COMPUTED_VALUE"""),164.0)</f>
        <v>164</v>
      </c>
      <c r="E2432" s="2"/>
      <c r="F2432" s="2"/>
    </row>
    <row r="2433">
      <c r="A2433" s="2">
        <f>IFERROR(__xludf.DUMMYFUNCTION("""COMPUTED_VALUE"""),12834.0)</f>
        <v>12834</v>
      </c>
      <c r="B2433" s="2">
        <f>IFERROR(__xludf.DUMMYFUNCTION("""COMPUTED_VALUE"""),1.0)</f>
        <v>1</v>
      </c>
      <c r="C2433" s="2">
        <f>IFERROR(__xludf.DUMMYFUNCTION("""COMPUTED_VALUE"""),354.0)</f>
        <v>354</v>
      </c>
      <c r="D2433" s="3">
        <f>IFERROR(__xludf.DUMMYFUNCTION("""COMPUTED_VALUE"""),68.0)</f>
        <v>68</v>
      </c>
      <c r="E2433" s="2"/>
      <c r="F2433" s="2"/>
    </row>
    <row r="2434">
      <c r="A2434" s="2">
        <f>IFERROR(__xludf.DUMMYFUNCTION("""COMPUTED_VALUE"""),27984.0)</f>
        <v>27984</v>
      </c>
      <c r="B2434" s="2">
        <f>IFERROR(__xludf.DUMMYFUNCTION("""COMPUTED_VALUE"""),0.0)</f>
        <v>0</v>
      </c>
      <c r="C2434" s="2">
        <f>IFERROR(__xludf.DUMMYFUNCTION("""COMPUTED_VALUE"""),128.0)</f>
        <v>128</v>
      </c>
      <c r="D2434" s="3">
        <f>IFERROR(__xludf.DUMMYFUNCTION("""COMPUTED_VALUE"""),106.0)</f>
        <v>106</v>
      </c>
      <c r="E2434" s="2"/>
      <c r="F2434" s="2"/>
    </row>
    <row r="2435">
      <c r="A2435" s="2">
        <f>IFERROR(__xludf.DUMMYFUNCTION("""COMPUTED_VALUE"""),29444.0)</f>
        <v>29444</v>
      </c>
      <c r="B2435" s="2">
        <f>IFERROR(__xludf.DUMMYFUNCTION("""COMPUTED_VALUE"""),0.0)</f>
        <v>0</v>
      </c>
      <c r="C2435" s="2">
        <f>IFERROR(__xludf.DUMMYFUNCTION("""COMPUTED_VALUE"""),66.0)</f>
        <v>66</v>
      </c>
      <c r="D2435" s="3">
        <f>IFERROR(__xludf.DUMMYFUNCTION("""COMPUTED_VALUE"""),39.0)</f>
        <v>39</v>
      </c>
      <c r="E2435" s="2"/>
      <c r="F2435" s="2"/>
    </row>
    <row r="2436">
      <c r="A2436" s="2">
        <f>IFERROR(__xludf.DUMMYFUNCTION("""COMPUTED_VALUE"""),107878.0)</f>
        <v>107878</v>
      </c>
      <c r="B2436" s="2">
        <f>IFERROR(__xludf.DUMMYFUNCTION("""COMPUTED_VALUE"""),1.0)</f>
        <v>1</v>
      </c>
      <c r="C2436" s="2">
        <f>IFERROR(__xludf.DUMMYFUNCTION("""COMPUTED_VALUE"""),479.0)</f>
        <v>479</v>
      </c>
      <c r="D2436" s="3">
        <f>IFERROR(__xludf.DUMMYFUNCTION("""COMPUTED_VALUE"""),305.0)</f>
        <v>305</v>
      </c>
      <c r="E2436" s="2"/>
      <c r="F2436" s="2"/>
    </row>
    <row r="2437">
      <c r="A2437" s="2">
        <f>IFERROR(__xludf.DUMMYFUNCTION("""COMPUTED_VALUE"""),122416.0)</f>
        <v>122416</v>
      </c>
      <c r="B2437" s="2">
        <f>IFERROR(__xludf.DUMMYFUNCTION("""COMPUTED_VALUE"""),1.0)</f>
        <v>1</v>
      </c>
      <c r="C2437" s="2">
        <f>IFERROR(__xludf.DUMMYFUNCTION("""COMPUTED_VALUE"""),441.0)</f>
        <v>441</v>
      </c>
      <c r="D2437" s="3">
        <f>IFERROR(__xludf.DUMMYFUNCTION("""COMPUTED_VALUE"""),59.0)</f>
        <v>59</v>
      </c>
      <c r="E2437" s="2"/>
      <c r="F2437" s="2"/>
    </row>
    <row r="2438">
      <c r="A2438" s="2">
        <f>IFERROR(__xludf.DUMMYFUNCTION("""COMPUTED_VALUE"""),95628.0)</f>
        <v>95628</v>
      </c>
      <c r="B2438" s="2">
        <f>IFERROR(__xludf.DUMMYFUNCTION("""COMPUTED_VALUE"""),1.0)</f>
        <v>1</v>
      </c>
      <c r="C2438" s="2">
        <f>IFERROR(__xludf.DUMMYFUNCTION("""COMPUTED_VALUE"""),509.0)</f>
        <v>509</v>
      </c>
      <c r="D2438" s="3">
        <f>IFERROR(__xludf.DUMMYFUNCTION("""COMPUTED_VALUE"""),18.0)</f>
        <v>18</v>
      </c>
      <c r="E2438" s="2"/>
      <c r="F2438" s="2"/>
    </row>
    <row r="2439">
      <c r="A2439" s="2">
        <f>IFERROR(__xludf.DUMMYFUNCTION("""COMPUTED_VALUE"""),9654.0)</f>
        <v>9654</v>
      </c>
      <c r="B2439" s="2">
        <f>IFERROR(__xludf.DUMMYFUNCTION("""COMPUTED_VALUE"""),0.0)</f>
        <v>0</v>
      </c>
      <c r="C2439" s="2">
        <f>IFERROR(__xludf.DUMMYFUNCTION("""COMPUTED_VALUE"""),336.0)</f>
        <v>336</v>
      </c>
      <c r="D2439" s="3">
        <f>IFERROR(__xludf.DUMMYFUNCTION("""COMPUTED_VALUE"""),321.0)</f>
        <v>321</v>
      </c>
      <c r="E2439" s="2"/>
      <c r="F2439" s="2"/>
    </row>
    <row r="2440">
      <c r="A2440" s="2">
        <f>IFERROR(__xludf.DUMMYFUNCTION("""COMPUTED_VALUE"""),105609.0)</f>
        <v>105609</v>
      </c>
      <c r="B2440" s="2">
        <f>IFERROR(__xludf.DUMMYFUNCTION("""COMPUTED_VALUE"""),1.0)</f>
        <v>1</v>
      </c>
      <c r="C2440" s="2">
        <f>IFERROR(__xludf.DUMMYFUNCTION("""COMPUTED_VALUE"""),496.0)</f>
        <v>496</v>
      </c>
      <c r="D2440" s="3">
        <f>IFERROR(__xludf.DUMMYFUNCTION("""COMPUTED_VALUE"""),407.0)</f>
        <v>407</v>
      </c>
      <c r="E2440" s="2"/>
      <c r="F2440" s="2"/>
    </row>
    <row r="2441">
      <c r="A2441" s="2">
        <f>IFERROR(__xludf.DUMMYFUNCTION("""COMPUTED_VALUE"""),118932.0)</f>
        <v>118932</v>
      </c>
      <c r="B2441" s="2">
        <f>IFERROR(__xludf.DUMMYFUNCTION("""COMPUTED_VALUE"""),0.0)</f>
        <v>0</v>
      </c>
      <c r="C2441" s="2">
        <f>IFERROR(__xludf.DUMMYFUNCTION("""COMPUTED_VALUE"""),619.0)</f>
        <v>619</v>
      </c>
      <c r="D2441" s="3">
        <f>IFERROR(__xludf.DUMMYFUNCTION("""COMPUTED_VALUE"""),427.0)</f>
        <v>427</v>
      </c>
      <c r="E2441" s="2"/>
      <c r="F2441" s="2"/>
    </row>
    <row r="2442">
      <c r="A2442" s="2">
        <f>IFERROR(__xludf.DUMMYFUNCTION("""COMPUTED_VALUE"""),103976.0)</f>
        <v>103976</v>
      </c>
      <c r="B2442" s="2">
        <f>IFERROR(__xludf.DUMMYFUNCTION("""COMPUTED_VALUE"""),0.0)</f>
        <v>0</v>
      </c>
      <c r="C2442" s="2">
        <f>IFERROR(__xludf.DUMMYFUNCTION("""COMPUTED_VALUE"""),584.0)</f>
        <v>584</v>
      </c>
      <c r="D2442" s="3">
        <f>IFERROR(__xludf.DUMMYFUNCTION("""COMPUTED_VALUE"""),14.0)</f>
        <v>14</v>
      </c>
      <c r="E2442" s="2"/>
      <c r="F2442" s="2"/>
    </row>
    <row r="2443">
      <c r="A2443" s="2">
        <f>IFERROR(__xludf.DUMMYFUNCTION("""COMPUTED_VALUE"""),107881.0)</f>
        <v>107881</v>
      </c>
      <c r="B2443" s="2">
        <f>IFERROR(__xludf.DUMMYFUNCTION("""COMPUTED_VALUE"""),0.0)</f>
        <v>0</v>
      </c>
      <c r="C2443" s="2">
        <f>IFERROR(__xludf.DUMMYFUNCTION("""COMPUTED_VALUE"""),688.0)</f>
        <v>688</v>
      </c>
      <c r="D2443" s="3">
        <f>IFERROR(__xludf.DUMMYFUNCTION("""COMPUTED_VALUE"""),300.0)</f>
        <v>300</v>
      </c>
      <c r="E2443" s="2"/>
      <c r="F2443" s="2"/>
    </row>
    <row r="2444">
      <c r="A2444" s="2">
        <f>IFERROR(__xludf.DUMMYFUNCTION("""COMPUTED_VALUE"""),7830.0)</f>
        <v>7830</v>
      </c>
      <c r="B2444" s="2">
        <f>IFERROR(__xludf.DUMMYFUNCTION("""COMPUTED_VALUE"""),1.0)</f>
        <v>1</v>
      </c>
      <c r="C2444" s="2">
        <f>IFERROR(__xludf.DUMMYFUNCTION("""COMPUTED_VALUE"""),431.0)</f>
        <v>431</v>
      </c>
      <c r="D2444" s="3">
        <f>IFERROR(__xludf.DUMMYFUNCTION("""COMPUTED_VALUE"""),219.0)</f>
        <v>219</v>
      </c>
      <c r="E2444" s="2"/>
      <c r="F2444" s="2"/>
    </row>
    <row r="2445">
      <c r="A2445" s="2">
        <f>IFERROR(__xludf.DUMMYFUNCTION("""COMPUTED_VALUE"""),159717.0)</f>
        <v>159717</v>
      </c>
      <c r="B2445" s="2">
        <f>IFERROR(__xludf.DUMMYFUNCTION("""COMPUTED_VALUE"""),1.0)</f>
        <v>1</v>
      </c>
      <c r="C2445" s="2">
        <f>IFERROR(__xludf.DUMMYFUNCTION("""COMPUTED_VALUE"""),345.0)</f>
        <v>345</v>
      </c>
      <c r="D2445" s="3">
        <f>IFERROR(__xludf.DUMMYFUNCTION("""COMPUTED_VALUE"""),265.0)</f>
        <v>265</v>
      </c>
      <c r="E2445" s="2"/>
      <c r="F2445" s="2"/>
    </row>
    <row r="2446">
      <c r="A2446" s="2">
        <f>IFERROR(__xludf.DUMMYFUNCTION("""COMPUTED_VALUE"""),113449.0)</f>
        <v>113449</v>
      </c>
      <c r="B2446" s="2">
        <f>IFERROR(__xludf.DUMMYFUNCTION("""COMPUTED_VALUE"""),0.0)</f>
        <v>0</v>
      </c>
      <c r="C2446" s="2">
        <f>IFERROR(__xludf.DUMMYFUNCTION("""COMPUTED_VALUE"""),659.0)</f>
        <v>659</v>
      </c>
      <c r="D2446" s="3">
        <f>IFERROR(__xludf.DUMMYFUNCTION("""COMPUTED_VALUE"""),367.0)</f>
        <v>367</v>
      </c>
      <c r="E2446" s="2"/>
      <c r="F2446" s="2"/>
    </row>
    <row r="2447">
      <c r="A2447" s="2">
        <f>IFERROR(__xludf.DUMMYFUNCTION("""COMPUTED_VALUE"""),79942.0)</f>
        <v>79942</v>
      </c>
      <c r="B2447" s="2">
        <f>IFERROR(__xludf.DUMMYFUNCTION("""COMPUTED_VALUE"""),0.0)</f>
        <v>0</v>
      </c>
      <c r="C2447" s="2">
        <f>IFERROR(__xludf.DUMMYFUNCTION("""COMPUTED_VALUE"""),666.0)</f>
        <v>666</v>
      </c>
      <c r="D2447" s="3">
        <f>IFERROR(__xludf.DUMMYFUNCTION("""COMPUTED_VALUE"""),103.0)</f>
        <v>103</v>
      </c>
      <c r="E2447" s="2"/>
      <c r="F2447" s="2"/>
    </row>
    <row r="2448">
      <c r="A2448" s="2">
        <f>IFERROR(__xludf.DUMMYFUNCTION("""COMPUTED_VALUE"""),29437.0)</f>
        <v>29437</v>
      </c>
      <c r="B2448" s="2">
        <f>IFERROR(__xludf.DUMMYFUNCTION("""COMPUTED_VALUE"""),0.0)</f>
        <v>0</v>
      </c>
      <c r="C2448" s="2">
        <f>IFERROR(__xludf.DUMMYFUNCTION("""COMPUTED_VALUE"""),91.0)</f>
        <v>91</v>
      </c>
      <c r="D2448" s="3">
        <f>IFERROR(__xludf.DUMMYFUNCTION("""COMPUTED_VALUE"""),75.0)</f>
        <v>75</v>
      </c>
      <c r="E2448" s="2"/>
      <c r="F2448" s="2"/>
    </row>
    <row r="2449">
      <c r="A2449" s="2">
        <f>IFERROR(__xludf.DUMMYFUNCTION("""COMPUTED_VALUE"""),99234.0)</f>
        <v>99234</v>
      </c>
      <c r="B2449" s="2">
        <f>IFERROR(__xludf.DUMMYFUNCTION("""COMPUTED_VALUE"""),1.0)</f>
        <v>1</v>
      </c>
      <c r="C2449" s="2">
        <f>IFERROR(__xludf.DUMMYFUNCTION("""COMPUTED_VALUE"""),385.0)</f>
        <v>385</v>
      </c>
      <c r="D2449" s="3">
        <f>IFERROR(__xludf.DUMMYFUNCTION("""COMPUTED_VALUE"""),124.0)</f>
        <v>124</v>
      </c>
      <c r="E2449" s="2"/>
      <c r="F2449" s="2"/>
    </row>
    <row r="2450">
      <c r="A2450" s="2">
        <f>IFERROR(__xludf.DUMMYFUNCTION("""COMPUTED_VALUE"""),103985.0)</f>
        <v>103985</v>
      </c>
      <c r="B2450" s="2">
        <f>IFERROR(__xludf.DUMMYFUNCTION("""COMPUTED_VALUE"""),1.0)</f>
        <v>1</v>
      </c>
      <c r="C2450" s="2">
        <f>IFERROR(__xludf.DUMMYFUNCTION("""COMPUTED_VALUE"""),582.0)</f>
        <v>582</v>
      </c>
      <c r="D2450" s="3">
        <f>IFERROR(__xludf.DUMMYFUNCTION("""COMPUTED_VALUE"""),513.0)</f>
        <v>513</v>
      </c>
      <c r="E2450" s="2"/>
      <c r="F2450" s="2"/>
    </row>
    <row r="2451">
      <c r="A2451" s="2">
        <f>IFERROR(__xludf.DUMMYFUNCTION("""COMPUTED_VALUE"""),97947.0)</f>
        <v>97947</v>
      </c>
      <c r="B2451" s="2">
        <f>IFERROR(__xludf.DUMMYFUNCTION("""COMPUTED_VALUE"""),1.0)</f>
        <v>1</v>
      </c>
      <c r="C2451" s="2">
        <f>IFERROR(__xludf.DUMMYFUNCTION("""COMPUTED_VALUE"""),134.0)</f>
        <v>134</v>
      </c>
      <c r="D2451" s="3">
        <f>IFERROR(__xludf.DUMMYFUNCTION("""COMPUTED_VALUE"""),129.0)</f>
        <v>129</v>
      </c>
      <c r="E2451" s="2"/>
      <c r="F2451" s="2"/>
    </row>
    <row r="2452">
      <c r="A2452" s="2">
        <f>IFERROR(__xludf.DUMMYFUNCTION("""COMPUTED_VALUE"""),101083.0)</f>
        <v>101083</v>
      </c>
      <c r="B2452" s="2">
        <f>IFERROR(__xludf.DUMMYFUNCTION("""COMPUTED_VALUE"""),1.0)</f>
        <v>1</v>
      </c>
      <c r="C2452" s="2">
        <f>IFERROR(__xludf.DUMMYFUNCTION("""COMPUTED_VALUE"""),896.0)</f>
        <v>896</v>
      </c>
      <c r="D2452" s="3">
        <f>IFERROR(__xludf.DUMMYFUNCTION("""COMPUTED_VALUE"""),428.0)</f>
        <v>428</v>
      </c>
      <c r="E2452" s="2"/>
      <c r="F2452" s="2"/>
    </row>
    <row r="2453">
      <c r="A2453" s="2">
        <f>IFERROR(__xludf.DUMMYFUNCTION("""COMPUTED_VALUE"""),111287.0)</f>
        <v>111287</v>
      </c>
      <c r="B2453" s="2">
        <f>IFERROR(__xludf.DUMMYFUNCTION("""COMPUTED_VALUE"""),0.0)</f>
        <v>0</v>
      </c>
      <c r="C2453" s="2">
        <f>IFERROR(__xludf.DUMMYFUNCTION("""COMPUTED_VALUE"""),863.0)</f>
        <v>863</v>
      </c>
      <c r="D2453" s="3">
        <f>IFERROR(__xludf.DUMMYFUNCTION("""COMPUTED_VALUE"""),709.0)</f>
        <v>709</v>
      </c>
      <c r="E2453" s="2"/>
      <c r="F2453" s="2"/>
    </row>
    <row r="2454">
      <c r="A2454" s="2">
        <f>IFERROR(__xludf.DUMMYFUNCTION("""COMPUTED_VALUE"""),11728.0)</f>
        <v>11728</v>
      </c>
      <c r="B2454" s="2">
        <f>IFERROR(__xludf.DUMMYFUNCTION("""COMPUTED_VALUE"""),1.0)</f>
        <v>1</v>
      </c>
      <c r="C2454" s="2">
        <f>IFERROR(__xludf.DUMMYFUNCTION("""COMPUTED_VALUE"""),394.0)</f>
        <v>394</v>
      </c>
      <c r="D2454" s="3">
        <f>IFERROR(__xludf.DUMMYFUNCTION("""COMPUTED_VALUE"""),331.0)</f>
        <v>331</v>
      </c>
      <c r="E2454" s="2"/>
      <c r="F2454" s="2"/>
    </row>
    <row r="2455">
      <c r="A2455" s="2">
        <f>IFERROR(__xludf.DUMMYFUNCTION("""COMPUTED_VALUE"""),111286.0)</f>
        <v>111286</v>
      </c>
      <c r="B2455" s="2">
        <f>IFERROR(__xludf.DUMMYFUNCTION("""COMPUTED_VALUE"""),1.0)</f>
        <v>1</v>
      </c>
      <c r="C2455" s="2">
        <f>IFERROR(__xludf.DUMMYFUNCTION("""COMPUTED_VALUE"""),50.0)</f>
        <v>50</v>
      </c>
      <c r="D2455" s="3">
        <f>IFERROR(__xludf.DUMMYFUNCTION("""COMPUTED_VALUE"""),9.0)</f>
        <v>9</v>
      </c>
      <c r="E2455" s="2"/>
      <c r="F2455" s="2"/>
    </row>
    <row r="2456">
      <c r="A2456" s="2">
        <f>IFERROR(__xludf.DUMMYFUNCTION("""COMPUTED_VALUE"""),29426.0)</f>
        <v>29426</v>
      </c>
      <c r="B2456" s="2">
        <f>IFERROR(__xludf.DUMMYFUNCTION("""COMPUTED_VALUE"""),0.0)</f>
        <v>0</v>
      </c>
      <c r="C2456" s="2">
        <f>IFERROR(__xludf.DUMMYFUNCTION("""COMPUTED_VALUE"""),353.0)</f>
        <v>353</v>
      </c>
      <c r="D2456" s="3">
        <f>IFERROR(__xludf.DUMMYFUNCTION("""COMPUTED_VALUE"""),139.0)</f>
        <v>139</v>
      </c>
      <c r="E2456" s="2"/>
      <c r="F2456" s="2"/>
    </row>
    <row r="2457">
      <c r="A2457" s="2">
        <f>IFERROR(__xludf.DUMMYFUNCTION("""COMPUTED_VALUE"""),93419.0)</f>
        <v>93419</v>
      </c>
      <c r="B2457" s="2">
        <f>IFERROR(__xludf.DUMMYFUNCTION("""COMPUTED_VALUE"""),1.0)</f>
        <v>1</v>
      </c>
      <c r="C2457" s="2">
        <f>IFERROR(__xludf.DUMMYFUNCTION("""COMPUTED_VALUE"""),250.0)</f>
        <v>250</v>
      </c>
      <c r="D2457" s="3">
        <f>IFERROR(__xludf.DUMMYFUNCTION("""COMPUTED_VALUE"""),138.0)</f>
        <v>138</v>
      </c>
      <c r="E2457" s="2"/>
      <c r="F2457" s="2"/>
    </row>
    <row r="2458">
      <c r="A2458" s="2">
        <f>IFERROR(__xludf.DUMMYFUNCTION("""COMPUTED_VALUE"""),93418.0)</f>
        <v>93418</v>
      </c>
      <c r="B2458" s="2">
        <f>IFERROR(__xludf.DUMMYFUNCTION("""COMPUTED_VALUE"""),1.0)</f>
        <v>1</v>
      </c>
      <c r="C2458" s="2">
        <f>IFERROR(__xludf.DUMMYFUNCTION("""COMPUTED_VALUE"""),681.0)</f>
        <v>681</v>
      </c>
      <c r="D2458" s="3">
        <f>IFERROR(__xludf.DUMMYFUNCTION("""COMPUTED_VALUE"""),262.0)</f>
        <v>262</v>
      </c>
      <c r="E2458" s="2"/>
      <c r="F2458" s="2"/>
    </row>
    <row r="2459">
      <c r="A2459" s="2">
        <f>IFERROR(__xludf.DUMMYFUNCTION("""COMPUTED_VALUE"""),79198.0)</f>
        <v>79198</v>
      </c>
      <c r="B2459" s="2">
        <f>IFERROR(__xludf.DUMMYFUNCTION("""COMPUTED_VALUE"""),0.0)</f>
        <v>0</v>
      </c>
      <c r="C2459" s="2">
        <f>IFERROR(__xludf.DUMMYFUNCTION("""COMPUTED_VALUE"""),122.0)</f>
        <v>122</v>
      </c>
      <c r="D2459" s="3">
        <f>IFERROR(__xludf.DUMMYFUNCTION("""COMPUTED_VALUE"""),99.0)</f>
        <v>99</v>
      </c>
      <c r="E2459" s="2"/>
      <c r="F2459" s="2"/>
    </row>
    <row r="2460">
      <c r="A2460" s="2">
        <f>IFERROR(__xludf.DUMMYFUNCTION("""COMPUTED_VALUE"""),11720.0)</f>
        <v>11720</v>
      </c>
      <c r="B2460" s="2">
        <f>IFERROR(__xludf.DUMMYFUNCTION("""COMPUTED_VALUE"""),1.0)</f>
        <v>1</v>
      </c>
      <c r="C2460" s="2">
        <f>IFERROR(__xludf.DUMMYFUNCTION("""COMPUTED_VALUE"""),197.0)</f>
        <v>197</v>
      </c>
      <c r="D2460" s="3">
        <f>IFERROR(__xludf.DUMMYFUNCTION("""COMPUTED_VALUE"""),141.0)</f>
        <v>141</v>
      </c>
      <c r="E2460" s="2"/>
      <c r="F2460" s="2"/>
    </row>
    <row r="2461">
      <c r="A2461" s="2">
        <f>IFERROR(__xludf.DUMMYFUNCTION("""COMPUTED_VALUE"""),122534.0)</f>
        <v>122534</v>
      </c>
      <c r="B2461" s="2">
        <f>IFERROR(__xludf.DUMMYFUNCTION("""COMPUTED_VALUE"""),1.0)</f>
        <v>1</v>
      </c>
      <c r="C2461" s="2">
        <f>IFERROR(__xludf.DUMMYFUNCTION("""COMPUTED_VALUE"""),71.0)</f>
        <v>71</v>
      </c>
      <c r="D2461" s="3">
        <f>IFERROR(__xludf.DUMMYFUNCTION("""COMPUTED_VALUE"""),18.0)</f>
        <v>18</v>
      </c>
      <c r="E2461" s="2"/>
      <c r="F2461" s="2"/>
    </row>
    <row r="2462">
      <c r="A2462" s="2">
        <f>IFERROR(__xludf.DUMMYFUNCTION("""COMPUTED_VALUE"""),92209.0)</f>
        <v>92209</v>
      </c>
      <c r="B2462" s="2">
        <f>IFERROR(__xludf.DUMMYFUNCTION("""COMPUTED_VALUE"""),0.0)</f>
        <v>0</v>
      </c>
      <c r="C2462" s="2">
        <f>IFERROR(__xludf.DUMMYFUNCTION("""COMPUTED_VALUE"""),591.0)</f>
        <v>591</v>
      </c>
      <c r="D2462" s="3">
        <f>IFERROR(__xludf.DUMMYFUNCTION("""COMPUTED_VALUE"""),220.0)</f>
        <v>220</v>
      </c>
      <c r="E2462" s="2"/>
      <c r="F2462" s="2"/>
    </row>
    <row r="2463">
      <c r="A2463" s="2">
        <f>IFERROR(__xludf.DUMMYFUNCTION("""COMPUTED_VALUE"""),93417.0)</f>
        <v>93417</v>
      </c>
      <c r="B2463" s="2">
        <f>IFERROR(__xludf.DUMMYFUNCTION("""COMPUTED_VALUE"""),0.0)</f>
        <v>0</v>
      </c>
      <c r="C2463" s="2">
        <f>IFERROR(__xludf.DUMMYFUNCTION("""COMPUTED_VALUE"""),182.0)</f>
        <v>182</v>
      </c>
      <c r="D2463" s="3">
        <f>IFERROR(__xludf.DUMMYFUNCTION("""COMPUTED_VALUE"""),110.0)</f>
        <v>110</v>
      </c>
      <c r="E2463" s="2"/>
      <c r="F2463" s="2"/>
    </row>
    <row r="2464">
      <c r="A2464" s="2">
        <f>IFERROR(__xludf.DUMMYFUNCTION("""COMPUTED_VALUE"""),103197.0)</f>
        <v>103197</v>
      </c>
      <c r="B2464" s="2">
        <f>IFERROR(__xludf.DUMMYFUNCTION("""COMPUTED_VALUE"""),1.0)</f>
        <v>1</v>
      </c>
      <c r="C2464" s="2">
        <f>IFERROR(__xludf.DUMMYFUNCTION("""COMPUTED_VALUE"""),224.0)</f>
        <v>224</v>
      </c>
      <c r="D2464" s="3">
        <f>IFERROR(__xludf.DUMMYFUNCTION("""COMPUTED_VALUE"""),118.0)</f>
        <v>118</v>
      </c>
      <c r="E2464" s="2"/>
      <c r="F2464" s="2"/>
    </row>
    <row r="2465">
      <c r="A2465" s="2">
        <f>IFERROR(__xludf.DUMMYFUNCTION("""COMPUTED_VALUE"""),118930.0)</f>
        <v>118930</v>
      </c>
      <c r="B2465" s="2">
        <f>IFERROR(__xludf.DUMMYFUNCTION("""COMPUTED_VALUE"""),0.0)</f>
        <v>0</v>
      </c>
      <c r="C2465" s="2">
        <f>IFERROR(__xludf.DUMMYFUNCTION("""COMPUTED_VALUE"""),841.0)</f>
        <v>841</v>
      </c>
      <c r="D2465" s="3">
        <f>IFERROR(__xludf.DUMMYFUNCTION("""COMPUTED_VALUE"""),385.0)</f>
        <v>385</v>
      </c>
      <c r="E2465" s="2"/>
      <c r="F2465" s="2"/>
    </row>
    <row r="2466">
      <c r="A2466" s="2">
        <f>IFERROR(__xludf.DUMMYFUNCTION("""COMPUTED_VALUE"""),92199.0)</f>
        <v>92199</v>
      </c>
      <c r="B2466" s="2">
        <f>IFERROR(__xludf.DUMMYFUNCTION("""COMPUTED_VALUE"""),1.0)</f>
        <v>1</v>
      </c>
      <c r="C2466" s="2">
        <f>IFERROR(__xludf.DUMMYFUNCTION("""COMPUTED_VALUE"""),708.0)</f>
        <v>708</v>
      </c>
      <c r="D2466" s="3">
        <f>IFERROR(__xludf.DUMMYFUNCTION("""COMPUTED_VALUE"""),264.0)</f>
        <v>264</v>
      </c>
      <c r="E2466" s="2"/>
      <c r="F2466" s="2"/>
    </row>
    <row r="2467">
      <c r="A2467" s="2">
        <f>IFERROR(__xludf.DUMMYFUNCTION("""COMPUTED_VALUE"""),29647.0)</f>
        <v>29647</v>
      </c>
      <c r="B2467" s="2">
        <f>IFERROR(__xludf.DUMMYFUNCTION("""COMPUTED_VALUE"""),1.0)</f>
        <v>1</v>
      </c>
      <c r="C2467" s="2">
        <f>IFERROR(__xludf.DUMMYFUNCTION("""COMPUTED_VALUE"""),584.0)</f>
        <v>584</v>
      </c>
      <c r="D2467" s="3">
        <f>IFERROR(__xludf.DUMMYFUNCTION("""COMPUTED_VALUE"""),509.0)</f>
        <v>509</v>
      </c>
      <c r="E2467" s="2"/>
      <c r="F2467" s="2"/>
    </row>
    <row r="2468">
      <c r="A2468" s="2">
        <f>IFERROR(__xludf.DUMMYFUNCTION("""COMPUTED_VALUE"""),121857.0)</f>
        <v>121857</v>
      </c>
      <c r="B2468" s="2">
        <f>IFERROR(__xludf.DUMMYFUNCTION("""COMPUTED_VALUE"""),0.0)</f>
        <v>0</v>
      </c>
      <c r="C2468" s="2">
        <f>IFERROR(__xludf.DUMMYFUNCTION("""COMPUTED_VALUE"""),989.0)</f>
        <v>989</v>
      </c>
      <c r="D2468" s="3">
        <f>IFERROR(__xludf.DUMMYFUNCTION("""COMPUTED_VALUE"""),896.0)</f>
        <v>896</v>
      </c>
      <c r="E2468" s="2"/>
      <c r="F2468" s="2"/>
    </row>
    <row r="2469">
      <c r="A2469" s="2">
        <f>IFERROR(__xludf.DUMMYFUNCTION("""COMPUTED_VALUE"""),129484.0)</f>
        <v>129484</v>
      </c>
      <c r="B2469" s="2">
        <f>IFERROR(__xludf.DUMMYFUNCTION("""COMPUTED_VALUE"""),0.0)</f>
        <v>0</v>
      </c>
      <c r="C2469" s="2">
        <f>IFERROR(__xludf.DUMMYFUNCTION("""COMPUTED_VALUE"""),651.0)</f>
        <v>651</v>
      </c>
      <c r="D2469" s="3">
        <f>IFERROR(__xludf.DUMMYFUNCTION("""COMPUTED_VALUE"""),142.0)</f>
        <v>142</v>
      </c>
      <c r="E2469" s="2"/>
      <c r="F2469" s="2"/>
    </row>
    <row r="2470">
      <c r="A2470" s="2">
        <f>IFERROR(__xludf.DUMMYFUNCTION("""COMPUTED_VALUE"""),122405.0)</f>
        <v>122405</v>
      </c>
      <c r="B2470" s="2">
        <f>IFERROR(__xludf.DUMMYFUNCTION("""COMPUTED_VALUE"""),0.0)</f>
        <v>0</v>
      </c>
      <c r="C2470" s="2">
        <f>IFERROR(__xludf.DUMMYFUNCTION("""COMPUTED_VALUE"""),46.0)</f>
        <v>46</v>
      </c>
      <c r="D2470" s="3">
        <f>IFERROR(__xludf.DUMMYFUNCTION("""COMPUTED_VALUE"""),10.0)</f>
        <v>10</v>
      </c>
      <c r="E2470" s="2"/>
      <c r="F2470" s="2"/>
    </row>
    <row r="2471">
      <c r="A2471" s="2">
        <f>IFERROR(__xludf.DUMMYFUNCTION("""COMPUTED_VALUE"""),108690.0)</f>
        <v>108690</v>
      </c>
      <c r="B2471" s="2">
        <f>IFERROR(__xludf.DUMMYFUNCTION("""COMPUTED_VALUE"""),1.0)</f>
        <v>1</v>
      </c>
      <c r="C2471" s="2">
        <f>IFERROR(__xludf.DUMMYFUNCTION("""COMPUTED_VALUE"""),482.0)</f>
        <v>482</v>
      </c>
      <c r="D2471" s="3">
        <f>IFERROR(__xludf.DUMMYFUNCTION("""COMPUTED_VALUE"""),121.0)</f>
        <v>121</v>
      </c>
      <c r="E2471" s="2"/>
      <c r="F2471" s="2"/>
    </row>
    <row r="2472">
      <c r="A2472" s="2">
        <f>IFERROR(__xludf.DUMMYFUNCTION("""COMPUTED_VALUE"""),11726.0)</f>
        <v>11726</v>
      </c>
      <c r="B2472" s="2">
        <f>IFERROR(__xludf.DUMMYFUNCTION("""COMPUTED_VALUE"""),0.0)</f>
        <v>0</v>
      </c>
      <c r="C2472" s="2">
        <f>IFERROR(__xludf.DUMMYFUNCTION("""COMPUTED_VALUE"""),294.0)</f>
        <v>294</v>
      </c>
      <c r="D2472" s="3">
        <f>IFERROR(__xludf.DUMMYFUNCTION("""COMPUTED_VALUE"""),288.0)</f>
        <v>288</v>
      </c>
      <c r="E2472" s="2"/>
      <c r="F2472" s="2"/>
    </row>
    <row r="2473">
      <c r="A2473" s="2">
        <f>IFERROR(__xludf.DUMMYFUNCTION("""COMPUTED_VALUE"""),109074.0)</f>
        <v>109074</v>
      </c>
      <c r="B2473" s="2">
        <f>IFERROR(__xludf.DUMMYFUNCTION("""COMPUTED_VALUE"""),0.0)</f>
        <v>0</v>
      </c>
      <c r="C2473" s="2">
        <f>IFERROR(__xludf.DUMMYFUNCTION("""COMPUTED_VALUE"""),955.0)</f>
        <v>955</v>
      </c>
      <c r="D2473" s="3">
        <f>IFERROR(__xludf.DUMMYFUNCTION("""COMPUTED_VALUE"""),312.0)</f>
        <v>312</v>
      </c>
      <c r="E2473" s="2"/>
      <c r="F2473" s="2"/>
    </row>
    <row r="2474">
      <c r="A2474" s="2">
        <f>IFERROR(__xludf.DUMMYFUNCTION("""COMPUTED_VALUE"""),75818.0)</f>
        <v>75818</v>
      </c>
      <c r="B2474" s="2">
        <f>IFERROR(__xludf.DUMMYFUNCTION("""COMPUTED_VALUE"""),1.0)</f>
        <v>1</v>
      </c>
      <c r="C2474" s="2">
        <f>IFERROR(__xludf.DUMMYFUNCTION("""COMPUTED_VALUE"""),569.0)</f>
        <v>569</v>
      </c>
      <c r="D2474" s="3">
        <f>IFERROR(__xludf.DUMMYFUNCTION("""COMPUTED_VALUE"""),140.0)</f>
        <v>140</v>
      </c>
      <c r="E2474" s="2"/>
      <c r="F2474" s="2"/>
    </row>
    <row r="2475">
      <c r="A2475" s="2">
        <f>IFERROR(__xludf.DUMMYFUNCTION("""COMPUTED_VALUE"""),10663.0)</f>
        <v>10663</v>
      </c>
      <c r="B2475" s="2">
        <f>IFERROR(__xludf.DUMMYFUNCTION("""COMPUTED_VALUE"""),0.0)</f>
        <v>0</v>
      </c>
      <c r="C2475" s="2">
        <f>IFERROR(__xludf.DUMMYFUNCTION("""COMPUTED_VALUE"""),737.0)</f>
        <v>737</v>
      </c>
      <c r="D2475" s="3">
        <f>IFERROR(__xludf.DUMMYFUNCTION("""COMPUTED_VALUE"""),236.0)</f>
        <v>236</v>
      </c>
      <c r="E2475" s="2"/>
      <c r="F2475" s="2"/>
    </row>
    <row r="2476">
      <c r="A2476" s="2">
        <f>IFERROR(__xludf.DUMMYFUNCTION("""COMPUTED_VALUE"""),9667.0)</f>
        <v>9667</v>
      </c>
      <c r="B2476" s="2">
        <f>IFERROR(__xludf.DUMMYFUNCTION("""COMPUTED_VALUE"""),0.0)</f>
        <v>0</v>
      </c>
      <c r="C2476" s="2">
        <f>IFERROR(__xludf.DUMMYFUNCTION("""COMPUTED_VALUE"""),432.0)</f>
        <v>432</v>
      </c>
      <c r="D2476" s="3">
        <f>IFERROR(__xludf.DUMMYFUNCTION("""COMPUTED_VALUE"""),69.0)</f>
        <v>69</v>
      </c>
      <c r="E2476" s="2"/>
      <c r="F2476" s="2"/>
    </row>
    <row r="2477">
      <c r="A2477" s="2">
        <f>IFERROR(__xludf.DUMMYFUNCTION("""COMPUTED_VALUE"""),109073.0)</f>
        <v>109073</v>
      </c>
      <c r="B2477" s="2">
        <f>IFERROR(__xludf.DUMMYFUNCTION("""COMPUTED_VALUE"""),0.0)</f>
        <v>0</v>
      </c>
      <c r="C2477" s="2">
        <f>IFERROR(__xludf.DUMMYFUNCTION("""COMPUTED_VALUE"""),152.0)</f>
        <v>152</v>
      </c>
      <c r="D2477" s="3">
        <f>IFERROR(__xludf.DUMMYFUNCTION("""COMPUTED_VALUE"""),85.0)</f>
        <v>85</v>
      </c>
      <c r="E2477" s="2"/>
      <c r="F2477" s="2"/>
    </row>
    <row r="2478">
      <c r="A2478" s="2">
        <f>IFERROR(__xludf.DUMMYFUNCTION("""COMPUTED_VALUE"""),11731.0)</f>
        <v>11731</v>
      </c>
      <c r="B2478" s="2">
        <f>IFERROR(__xludf.DUMMYFUNCTION("""COMPUTED_VALUE"""),0.0)</f>
        <v>0</v>
      </c>
      <c r="C2478" s="2">
        <f>IFERROR(__xludf.DUMMYFUNCTION("""COMPUTED_VALUE"""),384.0)</f>
        <v>384</v>
      </c>
      <c r="D2478" s="3">
        <f>IFERROR(__xludf.DUMMYFUNCTION("""COMPUTED_VALUE"""),113.0)</f>
        <v>113</v>
      </c>
      <c r="E2478" s="2"/>
      <c r="F2478" s="2"/>
    </row>
    <row r="2479">
      <c r="A2479" s="2">
        <f>IFERROR(__xludf.DUMMYFUNCTION("""COMPUTED_VALUE"""),155869.0)</f>
        <v>155869</v>
      </c>
      <c r="B2479" s="2">
        <f>IFERROR(__xludf.DUMMYFUNCTION("""COMPUTED_VALUE"""),1.0)</f>
        <v>1</v>
      </c>
      <c r="C2479" s="2">
        <f>IFERROR(__xludf.DUMMYFUNCTION("""COMPUTED_VALUE"""),975.0)</f>
        <v>975</v>
      </c>
      <c r="D2479" s="3">
        <f>IFERROR(__xludf.DUMMYFUNCTION("""COMPUTED_VALUE"""),615.0)</f>
        <v>615</v>
      </c>
      <c r="E2479" s="2"/>
      <c r="F2479" s="2"/>
    </row>
    <row r="2480">
      <c r="A2480" s="2">
        <f>IFERROR(__xludf.DUMMYFUNCTION("""COMPUTED_VALUE"""),118982.0)</f>
        <v>118982</v>
      </c>
      <c r="B2480" s="2">
        <f>IFERROR(__xludf.DUMMYFUNCTION("""COMPUTED_VALUE"""),1.0)</f>
        <v>1</v>
      </c>
      <c r="C2480" s="2">
        <f>IFERROR(__xludf.DUMMYFUNCTION("""COMPUTED_VALUE"""),254.0)</f>
        <v>254</v>
      </c>
      <c r="D2480" s="3">
        <f>IFERROR(__xludf.DUMMYFUNCTION("""COMPUTED_VALUE"""),35.0)</f>
        <v>35</v>
      </c>
      <c r="E2480" s="2"/>
      <c r="F2480" s="2"/>
    </row>
    <row r="2481">
      <c r="A2481" s="2">
        <f>IFERROR(__xludf.DUMMYFUNCTION("""COMPUTED_VALUE"""),29642.0)</f>
        <v>29642</v>
      </c>
      <c r="B2481" s="2">
        <f>IFERROR(__xludf.DUMMYFUNCTION("""COMPUTED_VALUE"""),0.0)</f>
        <v>0</v>
      </c>
      <c r="C2481" s="2">
        <f>IFERROR(__xludf.DUMMYFUNCTION("""COMPUTED_VALUE"""),167.0)</f>
        <v>167</v>
      </c>
      <c r="D2481" s="3">
        <f>IFERROR(__xludf.DUMMYFUNCTION("""COMPUTED_VALUE"""),113.0)</f>
        <v>113</v>
      </c>
      <c r="E2481" s="2"/>
      <c r="F2481" s="2"/>
    </row>
    <row r="2482">
      <c r="A2482" s="2">
        <f>IFERROR(__xludf.DUMMYFUNCTION("""COMPUTED_VALUE"""),111774.0)</f>
        <v>111774</v>
      </c>
      <c r="B2482" s="2">
        <f>IFERROR(__xludf.DUMMYFUNCTION("""COMPUTED_VALUE"""),0.0)</f>
        <v>0</v>
      </c>
      <c r="C2482" s="2">
        <f>IFERROR(__xludf.DUMMYFUNCTION("""COMPUTED_VALUE"""),991.0)</f>
        <v>991</v>
      </c>
      <c r="D2482" s="3">
        <f>IFERROR(__xludf.DUMMYFUNCTION("""COMPUTED_VALUE"""),463.0)</f>
        <v>463</v>
      </c>
      <c r="E2482" s="2"/>
      <c r="F2482" s="2"/>
    </row>
    <row r="2483">
      <c r="A2483" s="2">
        <f>IFERROR(__xludf.DUMMYFUNCTION("""COMPUTED_VALUE"""),117290.0)</f>
        <v>117290</v>
      </c>
      <c r="B2483" s="2">
        <f>IFERROR(__xludf.DUMMYFUNCTION("""COMPUTED_VALUE"""),1.0)</f>
        <v>1</v>
      </c>
      <c r="C2483" s="2">
        <f>IFERROR(__xludf.DUMMYFUNCTION("""COMPUTED_VALUE"""),211.0)</f>
        <v>211</v>
      </c>
      <c r="D2483" s="3">
        <f>IFERROR(__xludf.DUMMYFUNCTION("""COMPUTED_VALUE"""),51.0)</f>
        <v>51</v>
      </c>
      <c r="E2483" s="2"/>
      <c r="F2483" s="2"/>
    </row>
    <row r="2484">
      <c r="A2484" s="2">
        <f>IFERROR(__xludf.DUMMYFUNCTION("""COMPUTED_VALUE"""),105593.0)</f>
        <v>105593</v>
      </c>
      <c r="B2484" s="2">
        <f>IFERROR(__xludf.DUMMYFUNCTION("""COMPUTED_VALUE"""),0.0)</f>
        <v>0</v>
      </c>
      <c r="C2484" s="2">
        <f>IFERROR(__xludf.DUMMYFUNCTION("""COMPUTED_VALUE"""),328.0)</f>
        <v>328</v>
      </c>
      <c r="D2484" s="3">
        <f>IFERROR(__xludf.DUMMYFUNCTION("""COMPUTED_VALUE"""),324.0)</f>
        <v>324</v>
      </c>
      <c r="E2484" s="2"/>
      <c r="F2484" s="2"/>
    </row>
    <row r="2485">
      <c r="A2485" s="2">
        <f>IFERROR(__xludf.DUMMYFUNCTION("""COMPUTED_VALUE"""),70751.0)</f>
        <v>70751</v>
      </c>
      <c r="B2485" s="2">
        <f>IFERROR(__xludf.DUMMYFUNCTION("""COMPUTED_VALUE"""),0.0)</f>
        <v>0</v>
      </c>
      <c r="C2485" s="2">
        <f>IFERROR(__xludf.DUMMYFUNCTION("""COMPUTED_VALUE"""),932.0)</f>
        <v>932</v>
      </c>
      <c r="D2485" s="3">
        <f>IFERROR(__xludf.DUMMYFUNCTION("""COMPUTED_VALUE"""),820.0)</f>
        <v>820</v>
      </c>
      <c r="E2485" s="2"/>
      <c r="F2485" s="2"/>
    </row>
    <row r="2486">
      <c r="A2486" s="2">
        <f>IFERROR(__xludf.DUMMYFUNCTION("""COMPUTED_VALUE"""),118929.0)</f>
        <v>118929</v>
      </c>
      <c r="B2486" s="2">
        <f>IFERROR(__xludf.DUMMYFUNCTION("""COMPUTED_VALUE"""),0.0)</f>
        <v>0</v>
      </c>
      <c r="C2486" s="2">
        <f>IFERROR(__xludf.DUMMYFUNCTION("""COMPUTED_VALUE"""),846.0)</f>
        <v>846</v>
      </c>
      <c r="D2486" s="3">
        <f>IFERROR(__xludf.DUMMYFUNCTION("""COMPUTED_VALUE"""),610.0)</f>
        <v>610</v>
      </c>
      <c r="E2486" s="2"/>
      <c r="F2486" s="2"/>
    </row>
    <row r="2487">
      <c r="A2487" s="2">
        <f>IFERROR(__xludf.DUMMYFUNCTION("""COMPUTED_VALUE"""),70594.0)</f>
        <v>70594</v>
      </c>
      <c r="B2487" s="2">
        <f>IFERROR(__xludf.DUMMYFUNCTION("""COMPUTED_VALUE"""),1.0)</f>
        <v>1</v>
      </c>
      <c r="C2487" s="2">
        <f>IFERROR(__xludf.DUMMYFUNCTION("""COMPUTED_VALUE"""),16.0)</f>
        <v>16</v>
      </c>
      <c r="D2487" s="3">
        <f>IFERROR(__xludf.DUMMYFUNCTION("""COMPUTED_VALUE"""),0.0)</f>
        <v>0</v>
      </c>
      <c r="E2487" s="2"/>
      <c r="F2487" s="2"/>
    </row>
    <row r="2488">
      <c r="A2488" s="2">
        <f>IFERROR(__xludf.DUMMYFUNCTION("""COMPUTED_VALUE"""),118270.0)</f>
        <v>118270</v>
      </c>
      <c r="B2488" s="2">
        <f>IFERROR(__xludf.DUMMYFUNCTION("""COMPUTED_VALUE"""),0.0)</f>
        <v>0</v>
      </c>
      <c r="C2488" s="2">
        <f>IFERROR(__xludf.DUMMYFUNCTION("""COMPUTED_VALUE"""),488.0)</f>
        <v>488</v>
      </c>
      <c r="D2488" s="3">
        <f>IFERROR(__xludf.DUMMYFUNCTION("""COMPUTED_VALUE"""),275.0)</f>
        <v>275</v>
      </c>
      <c r="E2488" s="2"/>
      <c r="F2488" s="2"/>
    </row>
    <row r="2489">
      <c r="A2489" s="2">
        <f>IFERROR(__xludf.DUMMYFUNCTION("""COMPUTED_VALUE"""),20584.0)</f>
        <v>20584</v>
      </c>
      <c r="B2489" s="2">
        <f>IFERROR(__xludf.DUMMYFUNCTION("""COMPUTED_VALUE"""),0.0)</f>
        <v>0</v>
      </c>
      <c r="C2489" s="2">
        <f>IFERROR(__xludf.DUMMYFUNCTION("""COMPUTED_VALUE"""),877.0)</f>
        <v>877</v>
      </c>
      <c r="D2489" s="3">
        <f>IFERROR(__xludf.DUMMYFUNCTION("""COMPUTED_VALUE"""),638.0)</f>
        <v>638</v>
      </c>
      <c r="E2489" s="2"/>
      <c r="F2489" s="2"/>
    </row>
    <row r="2490">
      <c r="A2490" s="2">
        <f>IFERROR(__xludf.DUMMYFUNCTION("""COMPUTED_VALUE"""),150541.0)</f>
        <v>150541</v>
      </c>
      <c r="B2490" s="2">
        <f>IFERROR(__xludf.DUMMYFUNCTION("""COMPUTED_VALUE"""),0.0)</f>
        <v>0</v>
      </c>
      <c r="C2490" s="2">
        <f>IFERROR(__xludf.DUMMYFUNCTION("""COMPUTED_VALUE"""),164.0)</f>
        <v>164</v>
      </c>
      <c r="D2490" s="3">
        <f>IFERROR(__xludf.DUMMYFUNCTION("""COMPUTED_VALUE"""),95.0)</f>
        <v>95</v>
      </c>
      <c r="E2490" s="2"/>
      <c r="F2490" s="2"/>
    </row>
    <row r="2491">
      <c r="A2491" s="2">
        <f>IFERROR(__xludf.DUMMYFUNCTION("""COMPUTED_VALUE"""),12633.0)</f>
        <v>12633</v>
      </c>
      <c r="B2491" s="2">
        <f>IFERROR(__xludf.DUMMYFUNCTION("""COMPUTED_VALUE"""),0.0)</f>
        <v>0</v>
      </c>
      <c r="C2491" s="2">
        <f>IFERROR(__xludf.DUMMYFUNCTION("""COMPUTED_VALUE"""),195.0)</f>
        <v>195</v>
      </c>
      <c r="D2491" s="3">
        <f>IFERROR(__xludf.DUMMYFUNCTION("""COMPUTED_VALUE"""),159.0)</f>
        <v>159</v>
      </c>
      <c r="E2491" s="2"/>
      <c r="F2491" s="2"/>
    </row>
    <row r="2492">
      <c r="A2492" s="2">
        <f>IFERROR(__xludf.DUMMYFUNCTION("""COMPUTED_VALUE"""),9666.0)</f>
        <v>9666</v>
      </c>
      <c r="B2492" s="2">
        <f>IFERROR(__xludf.DUMMYFUNCTION("""COMPUTED_VALUE"""),0.0)</f>
        <v>0</v>
      </c>
      <c r="C2492" s="2">
        <f>IFERROR(__xludf.DUMMYFUNCTION("""COMPUTED_VALUE"""),488.0)</f>
        <v>488</v>
      </c>
      <c r="D2492" s="3">
        <f>IFERROR(__xludf.DUMMYFUNCTION("""COMPUTED_VALUE"""),159.0)</f>
        <v>159</v>
      </c>
      <c r="E2492" s="2"/>
      <c r="F2492" s="2"/>
    </row>
    <row r="2493">
      <c r="A2493" s="2">
        <f>IFERROR(__xludf.DUMMYFUNCTION("""COMPUTED_VALUE"""),79940.0)</f>
        <v>79940</v>
      </c>
      <c r="B2493" s="2">
        <f>IFERROR(__xludf.DUMMYFUNCTION("""COMPUTED_VALUE"""),1.0)</f>
        <v>1</v>
      </c>
      <c r="C2493" s="2">
        <f>IFERROR(__xludf.DUMMYFUNCTION("""COMPUTED_VALUE"""),199.0)</f>
        <v>199</v>
      </c>
      <c r="D2493" s="3">
        <f>IFERROR(__xludf.DUMMYFUNCTION("""COMPUTED_VALUE"""),33.0)</f>
        <v>33</v>
      </c>
      <c r="E2493" s="2"/>
      <c r="F2493" s="2"/>
    </row>
    <row r="2494">
      <c r="A2494" s="2">
        <f>IFERROR(__xludf.DUMMYFUNCTION("""COMPUTED_VALUE"""),201198.0)</f>
        <v>201198</v>
      </c>
      <c r="B2494" s="2">
        <f>IFERROR(__xludf.DUMMYFUNCTION("""COMPUTED_VALUE"""),0.0)</f>
        <v>0</v>
      </c>
      <c r="C2494" s="2">
        <f>IFERROR(__xludf.DUMMYFUNCTION("""COMPUTED_VALUE"""),72.0)</f>
        <v>72</v>
      </c>
      <c r="D2494" s="3">
        <f>IFERROR(__xludf.DUMMYFUNCTION("""COMPUTED_VALUE"""),2.0)</f>
        <v>2</v>
      </c>
      <c r="E2494" s="2"/>
      <c r="F2494" s="2"/>
    </row>
    <row r="2495">
      <c r="A2495" s="2">
        <f>IFERROR(__xludf.DUMMYFUNCTION("""COMPUTED_VALUE"""),117268.0)</f>
        <v>117268</v>
      </c>
      <c r="B2495" s="2">
        <f>IFERROR(__xludf.DUMMYFUNCTION("""COMPUTED_VALUE"""),1.0)</f>
        <v>1</v>
      </c>
      <c r="C2495" s="2">
        <f>IFERROR(__xludf.DUMMYFUNCTION("""COMPUTED_VALUE"""),759.0)</f>
        <v>759</v>
      </c>
      <c r="D2495" s="3">
        <f>IFERROR(__xludf.DUMMYFUNCTION("""COMPUTED_VALUE"""),478.0)</f>
        <v>478</v>
      </c>
      <c r="E2495" s="2"/>
      <c r="F2495" s="2"/>
    </row>
    <row r="2496">
      <c r="A2496" s="2">
        <f>IFERROR(__xludf.DUMMYFUNCTION("""COMPUTED_VALUE"""),80623.0)</f>
        <v>80623</v>
      </c>
      <c r="B2496" s="2">
        <f>IFERROR(__xludf.DUMMYFUNCTION("""COMPUTED_VALUE"""),1.0)</f>
        <v>1</v>
      </c>
      <c r="C2496" s="2">
        <f>IFERROR(__xludf.DUMMYFUNCTION("""COMPUTED_VALUE"""),852.0)</f>
        <v>852</v>
      </c>
      <c r="D2496" s="3">
        <f>IFERROR(__xludf.DUMMYFUNCTION("""COMPUTED_VALUE"""),769.0)</f>
        <v>769</v>
      </c>
      <c r="E2496" s="2"/>
      <c r="F2496" s="2"/>
    </row>
    <row r="2497">
      <c r="A2497" s="2">
        <f>IFERROR(__xludf.DUMMYFUNCTION("""COMPUTED_VALUE"""),9698.0)</f>
        <v>9698</v>
      </c>
      <c r="B2497" s="2">
        <f>IFERROR(__xludf.DUMMYFUNCTION("""COMPUTED_VALUE"""),0.0)</f>
        <v>0</v>
      </c>
      <c r="C2497" s="2">
        <f>IFERROR(__xludf.DUMMYFUNCTION("""COMPUTED_VALUE"""),454.0)</f>
        <v>454</v>
      </c>
      <c r="D2497" s="3">
        <f>IFERROR(__xludf.DUMMYFUNCTION("""COMPUTED_VALUE"""),237.0)</f>
        <v>237</v>
      </c>
      <c r="E2497" s="2"/>
      <c r="F2497" s="2"/>
    </row>
    <row r="2498">
      <c r="A2498" s="2">
        <f>IFERROR(__xludf.DUMMYFUNCTION("""COMPUTED_VALUE"""),83102.0)</f>
        <v>83102</v>
      </c>
      <c r="B2498" s="2">
        <f>IFERROR(__xludf.DUMMYFUNCTION("""COMPUTED_VALUE"""),1.0)</f>
        <v>1</v>
      </c>
      <c r="C2498" s="2">
        <f>IFERROR(__xludf.DUMMYFUNCTION("""COMPUTED_VALUE"""),816.0)</f>
        <v>816</v>
      </c>
      <c r="D2498" s="3">
        <f>IFERROR(__xludf.DUMMYFUNCTION("""COMPUTED_VALUE"""),645.0)</f>
        <v>645</v>
      </c>
      <c r="E2498" s="2"/>
      <c r="F2498" s="2"/>
    </row>
    <row r="2499">
      <c r="A2499" s="2">
        <f>IFERROR(__xludf.DUMMYFUNCTION("""COMPUTED_VALUE"""),118271.0)</f>
        <v>118271</v>
      </c>
      <c r="B2499" s="2">
        <f>IFERROR(__xludf.DUMMYFUNCTION("""COMPUTED_VALUE"""),0.0)</f>
        <v>0</v>
      </c>
      <c r="C2499" s="2">
        <f>IFERROR(__xludf.DUMMYFUNCTION("""COMPUTED_VALUE"""),530.0)</f>
        <v>530</v>
      </c>
      <c r="D2499" s="3">
        <f>IFERROR(__xludf.DUMMYFUNCTION("""COMPUTED_VALUE"""),23.0)</f>
        <v>23</v>
      </c>
      <c r="E2499" s="2"/>
      <c r="F2499" s="2"/>
    </row>
    <row r="2500">
      <c r="A2500" s="2">
        <f>IFERROR(__xludf.DUMMYFUNCTION("""COMPUTED_VALUE"""),41659.0)</f>
        <v>41659</v>
      </c>
      <c r="B2500" s="2">
        <f>IFERROR(__xludf.DUMMYFUNCTION("""COMPUTED_VALUE"""),0.0)</f>
        <v>0</v>
      </c>
      <c r="C2500" s="2">
        <f>IFERROR(__xludf.DUMMYFUNCTION("""COMPUTED_VALUE"""),169.0)</f>
        <v>169</v>
      </c>
      <c r="D2500" s="3">
        <f>IFERROR(__xludf.DUMMYFUNCTION("""COMPUTED_VALUE"""),10.0)</f>
        <v>10</v>
      </c>
      <c r="E2500" s="2"/>
      <c r="F2500" s="2"/>
    </row>
    <row r="2501">
      <c r="A2501" s="2">
        <f>IFERROR(__xludf.DUMMYFUNCTION("""COMPUTED_VALUE"""),81564.0)</f>
        <v>81564</v>
      </c>
      <c r="B2501" s="2">
        <f>IFERROR(__xludf.DUMMYFUNCTION("""COMPUTED_VALUE"""),0.0)</f>
        <v>0</v>
      </c>
      <c r="C2501" s="2">
        <f>IFERROR(__xludf.DUMMYFUNCTION("""COMPUTED_VALUE"""),355.0)</f>
        <v>355</v>
      </c>
      <c r="D2501" s="3">
        <f>IFERROR(__xludf.DUMMYFUNCTION("""COMPUTED_VALUE"""),209.0)</f>
        <v>209</v>
      </c>
      <c r="E2501" s="2"/>
      <c r="F2501" s="2"/>
    </row>
    <row r="2502">
      <c r="A2502" s="2">
        <f>IFERROR(__xludf.DUMMYFUNCTION("""COMPUTED_VALUE"""),110132.0)</f>
        <v>110132</v>
      </c>
      <c r="B2502" s="2">
        <f>IFERROR(__xludf.DUMMYFUNCTION("""COMPUTED_VALUE"""),0.0)</f>
        <v>0</v>
      </c>
      <c r="C2502" s="2">
        <f>IFERROR(__xludf.DUMMYFUNCTION("""COMPUTED_VALUE"""),317.0)</f>
        <v>317</v>
      </c>
      <c r="D2502" s="3">
        <f>IFERROR(__xludf.DUMMYFUNCTION("""COMPUTED_VALUE"""),148.0)</f>
        <v>148</v>
      </c>
      <c r="E2502" s="2"/>
      <c r="F2502" s="2"/>
    </row>
    <row r="2503">
      <c r="A2503" s="2">
        <f>IFERROR(__xludf.DUMMYFUNCTION("""COMPUTED_VALUE"""),17639.0)</f>
        <v>17639</v>
      </c>
      <c r="B2503" s="2">
        <f>IFERROR(__xludf.DUMMYFUNCTION("""COMPUTED_VALUE"""),1.0)</f>
        <v>1</v>
      </c>
      <c r="C2503" s="2">
        <f>IFERROR(__xludf.DUMMYFUNCTION("""COMPUTED_VALUE"""),39.0)</f>
        <v>39</v>
      </c>
      <c r="D2503" s="3">
        <f>IFERROR(__xludf.DUMMYFUNCTION("""COMPUTED_VALUE"""),6.0)</f>
        <v>6</v>
      </c>
      <c r="E2503" s="2"/>
      <c r="F2503" s="2"/>
    </row>
    <row r="2504">
      <c r="A2504" s="2">
        <f>IFERROR(__xludf.DUMMYFUNCTION("""COMPUTED_VALUE"""),201025.0)</f>
        <v>201025</v>
      </c>
      <c r="B2504" s="2">
        <f>IFERROR(__xludf.DUMMYFUNCTION("""COMPUTED_VALUE"""),0.0)</f>
        <v>0</v>
      </c>
      <c r="C2504" s="2">
        <f>IFERROR(__xludf.DUMMYFUNCTION("""COMPUTED_VALUE"""),229.0)</f>
        <v>229</v>
      </c>
      <c r="D2504" s="3">
        <f>IFERROR(__xludf.DUMMYFUNCTION("""COMPUTED_VALUE"""),26.0)</f>
        <v>26</v>
      </c>
      <c r="E2504" s="2"/>
      <c r="F2504" s="2"/>
    </row>
    <row r="2505">
      <c r="A2505" s="2">
        <f>IFERROR(__xludf.DUMMYFUNCTION("""COMPUTED_VALUE"""),70589.0)</f>
        <v>70589</v>
      </c>
      <c r="B2505" s="2">
        <f>IFERROR(__xludf.DUMMYFUNCTION("""COMPUTED_VALUE"""),1.0)</f>
        <v>1</v>
      </c>
      <c r="C2505" s="2">
        <f>IFERROR(__xludf.DUMMYFUNCTION("""COMPUTED_VALUE"""),480.0)</f>
        <v>480</v>
      </c>
      <c r="D2505" s="3">
        <f>IFERROR(__xludf.DUMMYFUNCTION("""COMPUTED_VALUE"""),103.0)</f>
        <v>103</v>
      </c>
      <c r="E2505" s="2"/>
      <c r="F2505" s="2"/>
    </row>
    <row r="2506">
      <c r="A2506" s="2">
        <f>IFERROR(__xludf.DUMMYFUNCTION("""COMPUTED_VALUE"""),75825.0)</f>
        <v>75825</v>
      </c>
      <c r="B2506" s="2">
        <f>IFERROR(__xludf.DUMMYFUNCTION("""COMPUTED_VALUE"""),1.0)</f>
        <v>1</v>
      </c>
      <c r="C2506" s="2">
        <f>IFERROR(__xludf.DUMMYFUNCTION("""COMPUTED_VALUE"""),552.0)</f>
        <v>552</v>
      </c>
      <c r="D2506" s="3">
        <f>IFERROR(__xludf.DUMMYFUNCTION("""COMPUTED_VALUE"""),204.0)</f>
        <v>204</v>
      </c>
      <c r="E2506" s="2"/>
      <c r="F2506" s="2"/>
    </row>
    <row r="2507">
      <c r="A2507" s="2">
        <f>IFERROR(__xludf.DUMMYFUNCTION("""COMPUTED_VALUE"""),9699.0)</f>
        <v>9699</v>
      </c>
      <c r="B2507" s="2">
        <f>IFERROR(__xludf.DUMMYFUNCTION("""COMPUTED_VALUE"""),1.0)</f>
        <v>1</v>
      </c>
      <c r="C2507" s="2">
        <f>IFERROR(__xludf.DUMMYFUNCTION("""COMPUTED_VALUE"""),855.0)</f>
        <v>855</v>
      </c>
      <c r="D2507" s="3">
        <f>IFERROR(__xludf.DUMMYFUNCTION("""COMPUTED_VALUE"""),292.0)</f>
        <v>292</v>
      </c>
      <c r="E2507" s="2"/>
      <c r="F2507" s="2"/>
    </row>
    <row r="2508">
      <c r="A2508" s="2">
        <f>IFERROR(__xludf.DUMMYFUNCTION("""COMPUTED_VALUE"""),122448.0)</f>
        <v>122448</v>
      </c>
      <c r="B2508" s="2">
        <f>IFERROR(__xludf.DUMMYFUNCTION("""COMPUTED_VALUE"""),1.0)</f>
        <v>1</v>
      </c>
      <c r="C2508" s="2">
        <f>IFERROR(__xludf.DUMMYFUNCTION("""COMPUTED_VALUE"""),158.0)</f>
        <v>158</v>
      </c>
      <c r="D2508" s="3">
        <f>IFERROR(__xludf.DUMMYFUNCTION("""COMPUTED_VALUE"""),86.0)</f>
        <v>86</v>
      </c>
      <c r="E2508" s="2"/>
      <c r="F2508" s="2"/>
    </row>
    <row r="2509">
      <c r="A2509" s="2">
        <f>IFERROR(__xludf.DUMMYFUNCTION("""COMPUTED_VALUE"""),105506.0)</f>
        <v>105506</v>
      </c>
      <c r="B2509" s="2">
        <f>IFERROR(__xludf.DUMMYFUNCTION("""COMPUTED_VALUE"""),1.0)</f>
        <v>1</v>
      </c>
      <c r="C2509" s="2">
        <f>IFERROR(__xludf.DUMMYFUNCTION("""COMPUTED_VALUE"""),490.0)</f>
        <v>490</v>
      </c>
      <c r="D2509" s="3">
        <f>IFERROR(__xludf.DUMMYFUNCTION("""COMPUTED_VALUE"""),332.0)</f>
        <v>332</v>
      </c>
      <c r="E2509" s="2"/>
      <c r="F2509" s="2"/>
    </row>
    <row r="2510">
      <c r="A2510" s="2">
        <f>IFERROR(__xludf.DUMMYFUNCTION("""COMPUTED_VALUE"""),142304.0)</f>
        <v>142304</v>
      </c>
      <c r="B2510" s="2">
        <f>IFERROR(__xludf.DUMMYFUNCTION("""COMPUTED_VALUE"""),0.0)</f>
        <v>0</v>
      </c>
      <c r="C2510" s="2">
        <f>IFERROR(__xludf.DUMMYFUNCTION("""COMPUTED_VALUE"""),174.0)</f>
        <v>174</v>
      </c>
      <c r="D2510" s="3">
        <f>IFERROR(__xludf.DUMMYFUNCTION("""COMPUTED_VALUE"""),103.0)</f>
        <v>103</v>
      </c>
      <c r="E2510" s="2"/>
      <c r="F2510" s="2"/>
    </row>
    <row r="2511">
      <c r="A2511" s="2">
        <f>IFERROR(__xludf.DUMMYFUNCTION("""COMPUTED_VALUE"""),105505.0)</f>
        <v>105505</v>
      </c>
      <c r="B2511" s="2">
        <f>IFERROR(__xludf.DUMMYFUNCTION("""COMPUTED_VALUE"""),1.0)</f>
        <v>1</v>
      </c>
      <c r="C2511" s="2">
        <f>IFERROR(__xludf.DUMMYFUNCTION("""COMPUTED_VALUE"""),535.0)</f>
        <v>535</v>
      </c>
      <c r="D2511" s="3">
        <f>IFERROR(__xludf.DUMMYFUNCTION("""COMPUTED_VALUE"""),293.0)</f>
        <v>293</v>
      </c>
      <c r="E2511" s="2"/>
      <c r="F2511" s="2"/>
    </row>
    <row r="2512">
      <c r="A2512" s="2">
        <f>IFERROR(__xludf.DUMMYFUNCTION("""COMPUTED_VALUE"""),122502.0)</f>
        <v>122502</v>
      </c>
      <c r="B2512" s="2">
        <f>IFERROR(__xludf.DUMMYFUNCTION("""COMPUTED_VALUE"""),1.0)</f>
        <v>1</v>
      </c>
      <c r="C2512" s="2">
        <f>IFERROR(__xludf.DUMMYFUNCTION("""COMPUTED_VALUE"""),762.0)</f>
        <v>762</v>
      </c>
      <c r="D2512" s="3">
        <f>IFERROR(__xludf.DUMMYFUNCTION("""COMPUTED_VALUE"""),188.0)</f>
        <v>188</v>
      </c>
      <c r="E2512" s="2"/>
      <c r="F2512" s="2"/>
    </row>
    <row r="2513">
      <c r="A2513" s="2">
        <f>IFERROR(__xludf.DUMMYFUNCTION("""COMPUTED_VALUE"""),118264.0)</f>
        <v>118264</v>
      </c>
      <c r="B2513" s="2">
        <f>IFERROR(__xludf.DUMMYFUNCTION("""COMPUTED_VALUE"""),0.0)</f>
        <v>0</v>
      </c>
      <c r="C2513" s="2">
        <f>IFERROR(__xludf.DUMMYFUNCTION("""COMPUTED_VALUE"""),655.0)</f>
        <v>655</v>
      </c>
      <c r="D2513" s="3">
        <f>IFERROR(__xludf.DUMMYFUNCTION("""COMPUTED_VALUE"""),171.0)</f>
        <v>171</v>
      </c>
      <c r="E2513" s="2"/>
      <c r="F2513" s="2"/>
    </row>
    <row r="2514">
      <c r="A2514" s="2">
        <f>IFERROR(__xludf.DUMMYFUNCTION("""COMPUTED_VALUE"""),17632.0)</f>
        <v>17632</v>
      </c>
      <c r="B2514" s="2">
        <f>IFERROR(__xludf.DUMMYFUNCTION("""COMPUTED_VALUE"""),0.0)</f>
        <v>0</v>
      </c>
      <c r="C2514" s="2">
        <f>IFERROR(__xludf.DUMMYFUNCTION("""COMPUTED_VALUE"""),333.0)</f>
        <v>333</v>
      </c>
      <c r="D2514" s="3">
        <f>IFERROR(__xludf.DUMMYFUNCTION("""COMPUTED_VALUE"""),130.0)</f>
        <v>130</v>
      </c>
      <c r="E2514" s="2"/>
      <c r="F2514" s="2"/>
    </row>
    <row r="2515">
      <c r="A2515" s="2">
        <f>IFERROR(__xludf.DUMMYFUNCTION("""COMPUTED_VALUE"""),108790.0)</f>
        <v>108790</v>
      </c>
      <c r="B2515" s="2">
        <f>IFERROR(__xludf.DUMMYFUNCTION("""COMPUTED_VALUE"""),1.0)</f>
        <v>1</v>
      </c>
      <c r="C2515" s="2">
        <f>IFERROR(__xludf.DUMMYFUNCTION("""COMPUTED_VALUE"""),607.0)</f>
        <v>607</v>
      </c>
      <c r="D2515" s="3">
        <f>IFERROR(__xludf.DUMMYFUNCTION("""COMPUTED_VALUE"""),291.0)</f>
        <v>291</v>
      </c>
      <c r="E2515" s="2"/>
      <c r="F2515" s="2"/>
    </row>
    <row r="2516">
      <c r="A2516" s="2">
        <f>IFERROR(__xludf.DUMMYFUNCTION("""COMPUTED_VALUE"""),92200.0)</f>
        <v>92200</v>
      </c>
      <c r="B2516" s="2">
        <f>IFERROR(__xludf.DUMMYFUNCTION("""COMPUTED_VALUE"""),1.0)</f>
        <v>1</v>
      </c>
      <c r="C2516" s="2">
        <f>IFERROR(__xludf.DUMMYFUNCTION("""COMPUTED_VALUE"""),332.0)</f>
        <v>332</v>
      </c>
      <c r="D2516" s="3">
        <f>IFERROR(__xludf.DUMMYFUNCTION("""COMPUTED_VALUE"""),317.0)</f>
        <v>317</v>
      </c>
      <c r="E2516" s="2"/>
      <c r="F2516" s="2"/>
    </row>
    <row r="2517">
      <c r="A2517" s="2">
        <f>IFERROR(__xludf.DUMMYFUNCTION("""COMPUTED_VALUE"""),17634.0)</f>
        <v>17634</v>
      </c>
      <c r="B2517" s="2">
        <f>IFERROR(__xludf.DUMMYFUNCTION("""COMPUTED_VALUE"""),0.0)</f>
        <v>0</v>
      </c>
      <c r="C2517" s="2">
        <f>IFERROR(__xludf.DUMMYFUNCTION("""COMPUTED_VALUE"""),549.0)</f>
        <v>549</v>
      </c>
      <c r="D2517" s="3">
        <f>IFERROR(__xludf.DUMMYFUNCTION("""COMPUTED_VALUE"""),149.0)</f>
        <v>149</v>
      </c>
      <c r="E2517" s="2"/>
      <c r="F2517" s="2"/>
    </row>
    <row r="2518">
      <c r="A2518" s="2">
        <f>IFERROR(__xludf.DUMMYFUNCTION("""COMPUTED_VALUE"""),122522.0)</f>
        <v>122522</v>
      </c>
      <c r="B2518" s="2">
        <f>IFERROR(__xludf.DUMMYFUNCTION("""COMPUTED_VALUE"""),1.0)</f>
        <v>1</v>
      </c>
      <c r="C2518" s="2">
        <f>IFERROR(__xludf.DUMMYFUNCTION("""COMPUTED_VALUE"""),274.0)</f>
        <v>274</v>
      </c>
      <c r="D2518" s="3">
        <f>IFERROR(__xludf.DUMMYFUNCTION("""COMPUTED_VALUE"""),28.0)</f>
        <v>28</v>
      </c>
      <c r="E2518" s="2"/>
      <c r="F2518" s="2"/>
    </row>
    <row r="2519">
      <c r="A2519" s="2">
        <f>IFERROR(__xludf.DUMMYFUNCTION("""COMPUTED_VALUE"""),122505.0)</f>
        <v>122505</v>
      </c>
      <c r="B2519" s="2">
        <f>IFERROR(__xludf.DUMMYFUNCTION("""COMPUTED_VALUE"""),0.0)</f>
        <v>0</v>
      </c>
      <c r="C2519" s="2">
        <f>IFERROR(__xludf.DUMMYFUNCTION("""COMPUTED_VALUE"""),887.0)</f>
        <v>887</v>
      </c>
      <c r="D2519" s="3">
        <f>IFERROR(__xludf.DUMMYFUNCTION("""COMPUTED_VALUE"""),135.0)</f>
        <v>135</v>
      </c>
      <c r="E2519" s="2"/>
      <c r="F2519" s="2"/>
    </row>
    <row r="2520">
      <c r="A2520" s="2">
        <f>IFERROR(__xludf.DUMMYFUNCTION("""COMPUTED_VALUE"""),93416.0)</f>
        <v>93416</v>
      </c>
      <c r="B2520" s="2">
        <f>IFERROR(__xludf.DUMMYFUNCTION("""COMPUTED_VALUE"""),0.0)</f>
        <v>0</v>
      </c>
      <c r="C2520" s="2">
        <f>IFERROR(__xludf.DUMMYFUNCTION("""COMPUTED_VALUE"""),351.0)</f>
        <v>351</v>
      </c>
      <c r="D2520" s="3">
        <f>IFERROR(__xludf.DUMMYFUNCTION("""COMPUTED_VALUE"""),60.0)</f>
        <v>60</v>
      </c>
      <c r="E2520" s="2"/>
      <c r="F2520" s="2"/>
    </row>
    <row r="2521">
      <c r="A2521" s="2">
        <f>IFERROR(__xludf.DUMMYFUNCTION("""COMPUTED_VALUE"""),93406.0)</f>
        <v>93406</v>
      </c>
      <c r="B2521" s="2">
        <f>IFERROR(__xludf.DUMMYFUNCTION("""COMPUTED_VALUE"""),0.0)</f>
        <v>0</v>
      </c>
      <c r="C2521" s="2">
        <f>IFERROR(__xludf.DUMMYFUNCTION("""COMPUTED_VALUE"""),523.0)</f>
        <v>523</v>
      </c>
      <c r="D2521" s="3">
        <f>IFERROR(__xludf.DUMMYFUNCTION("""COMPUTED_VALUE"""),253.0)</f>
        <v>253</v>
      </c>
      <c r="E2521" s="2"/>
      <c r="F2521" s="2"/>
    </row>
    <row r="2522">
      <c r="A2522" s="2">
        <f>IFERROR(__xludf.DUMMYFUNCTION("""COMPUTED_VALUE"""),69329.0)</f>
        <v>69329</v>
      </c>
      <c r="B2522" s="2">
        <f>IFERROR(__xludf.DUMMYFUNCTION("""COMPUTED_VALUE"""),1.0)</f>
        <v>1</v>
      </c>
      <c r="C2522" s="2">
        <f>IFERROR(__xludf.DUMMYFUNCTION("""COMPUTED_VALUE"""),712.0)</f>
        <v>712</v>
      </c>
      <c r="D2522" s="3">
        <f>IFERROR(__xludf.DUMMYFUNCTION("""COMPUTED_VALUE"""),408.0)</f>
        <v>408</v>
      </c>
      <c r="E2522" s="2"/>
      <c r="F2522" s="2"/>
    </row>
    <row r="2523">
      <c r="A2523" s="2">
        <f>IFERROR(__xludf.DUMMYFUNCTION("""COMPUTED_VALUE"""),155953.0)</f>
        <v>155953</v>
      </c>
      <c r="B2523" s="2">
        <f>IFERROR(__xludf.DUMMYFUNCTION("""COMPUTED_VALUE"""),0.0)</f>
        <v>0</v>
      </c>
      <c r="C2523" s="2">
        <f>IFERROR(__xludf.DUMMYFUNCTION("""COMPUTED_VALUE"""),462.0)</f>
        <v>462</v>
      </c>
      <c r="D2523" s="3">
        <f>IFERROR(__xludf.DUMMYFUNCTION("""COMPUTED_VALUE"""),359.0)</f>
        <v>359</v>
      </c>
      <c r="E2523" s="2"/>
      <c r="F2523" s="2"/>
    </row>
    <row r="2524">
      <c r="A2524" s="2">
        <f>IFERROR(__xludf.DUMMYFUNCTION("""COMPUTED_VALUE"""),11721.0)</f>
        <v>11721</v>
      </c>
      <c r="B2524" s="2">
        <f>IFERROR(__xludf.DUMMYFUNCTION("""COMPUTED_VALUE"""),1.0)</f>
        <v>1</v>
      </c>
      <c r="C2524" s="2">
        <f>IFERROR(__xludf.DUMMYFUNCTION("""COMPUTED_VALUE"""),298.0)</f>
        <v>298</v>
      </c>
      <c r="D2524" s="3">
        <f>IFERROR(__xludf.DUMMYFUNCTION("""COMPUTED_VALUE"""),182.0)</f>
        <v>182</v>
      </c>
      <c r="E2524" s="2"/>
      <c r="F2524" s="2"/>
    </row>
    <row r="2525">
      <c r="A2525" s="2">
        <f>IFERROR(__xludf.DUMMYFUNCTION("""COMPUTED_VALUE"""),41654.0)</f>
        <v>41654</v>
      </c>
      <c r="B2525" s="2">
        <f>IFERROR(__xludf.DUMMYFUNCTION("""COMPUTED_VALUE"""),1.0)</f>
        <v>1</v>
      </c>
      <c r="C2525" s="2">
        <f>IFERROR(__xludf.DUMMYFUNCTION("""COMPUTED_VALUE"""),212.0)</f>
        <v>212</v>
      </c>
      <c r="D2525" s="3">
        <f>IFERROR(__xludf.DUMMYFUNCTION("""COMPUTED_VALUE"""),166.0)</f>
        <v>166</v>
      </c>
      <c r="E2525" s="2"/>
      <c r="F2525" s="2"/>
    </row>
    <row r="2526">
      <c r="A2526" s="2">
        <f>IFERROR(__xludf.DUMMYFUNCTION("""COMPUTED_VALUE"""),92204.0)</f>
        <v>92204</v>
      </c>
      <c r="B2526" s="2">
        <f>IFERROR(__xludf.DUMMYFUNCTION("""COMPUTED_VALUE"""),0.0)</f>
        <v>0</v>
      </c>
      <c r="C2526" s="2">
        <f>IFERROR(__xludf.DUMMYFUNCTION("""COMPUTED_VALUE"""),469.0)</f>
        <v>469</v>
      </c>
      <c r="D2526" s="3">
        <f>IFERROR(__xludf.DUMMYFUNCTION("""COMPUTED_VALUE"""),225.0)</f>
        <v>225</v>
      </c>
      <c r="E2526" s="2"/>
      <c r="F2526" s="2"/>
    </row>
    <row r="2527">
      <c r="A2527" s="2">
        <f>IFERROR(__xludf.DUMMYFUNCTION("""COMPUTED_VALUE"""),105572.0)</f>
        <v>105572</v>
      </c>
      <c r="B2527" s="2">
        <f>IFERROR(__xludf.DUMMYFUNCTION("""COMPUTED_VALUE"""),1.0)</f>
        <v>1</v>
      </c>
      <c r="C2527" s="2">
        <f>IFERROR(__xludf.DUMMYFUNCTION("""COMPUTED_VALUE"""),137.0)</f>
        <v>137</v>
      </c>
      <c r="D2527" s="3">
        <f>IFERROR(__xludf.DUMMYFUNCTION("""COMPUTED_VALUE"""),33.0)</f>
        <v>33</v>
      </c>
      <c r="E2527" s="2"/>
      <c r="F2527" s="2"/>
    </row>
    <row r="2528">
      <c r="A2528" s="2">
        <f>IFERROR(__xludf.DUMMYFUNCTION("""COMPUTED_VALUE"""),110141.0)</f>
        <v>110141</v>
      </c>
      <c r="B2528" s="2">
        <f>IFERROR(__xludf.DUMMYFUNCTION("""COMPUTED_VALUE"""),1.0)</f>
        <v>1</v>
      </c>
      <c r="C2528" s="2">
        <f>IFERROR(__xludf.DUMMYFUNCTION("""COMPUTED_VALUE"""),423.0)</f>
        <v>423</v>
      </c>
      <c r="D2528" s="3">
        <f>IFERROR(__xludf.DUMMYFUNCTION("""COMPUTED_VALUE"""),21.0)</f>
        <v>21</v>
      </c>
      <c r="E2528" s="2"/>
      <c r="F2528" s="2"/>
    </row>
    <row r="2529">
      <c r="A2529" s="2">
        <f>IFERROR(__xludf.DUMMYFUNCTION("""COMPUTED_VALUE"""),158471.0)</f>
        <v>158471</v>
      </c>
      <c r="B2529" s="2">
        <f>IFERROR(__xludf.DUMMYFUNCTION("""COMPUTED_VALUE"""),1.0)</f>
        <v>1</v>
      </c>
      <c r="C2529" s="2">
        <f>IFERROR(__xludf.DUMMYFUNCTION("""COMPUTED_VALUE"""),385.0)</f>
        <v>385</v>
      </c>
      <c r="D2529" s="3">
        <f>IFERROR(__xludf.DUMMYFUNCTION("""COMPUTED_VALUE"""),98.0)</f>
        <v>98</v>
      </c>
      <c r="E2529" s="2"/>
      <c r="F2529" s="2"/>
    </row>
    <row r="2530">
      <c r="A2530" s="2">
        <f>IFERROR(__xludf.DUMMYFUNCTION("""COMPUTED_VALUE"""),120876.0)</f>
        <v>120876</v>
      </c>
      <c r="B2530" s="2">
        <f>IFERROR(__xludf.DUMMYFUNCTION("""COMPUTED_VALUE"""),0.0)</f>
        <v>0</v>
      </c>
      <c r="C2530" s="2">
        <f>IFERROR(__xludf.DUMMYFUNCTION("""COMPUTED_VALUE"""),519.0)</f>
        <v>519</v>
      </c>
      <c r="D2530" s="3">
        <f>IFERROR(__xludf.DUMMYFUNCTION("""COMPUTED_VALUE"""),145.0)</f>
        <v>145</v>
      </c>
      <c r="E2530" s="2"/>
      <c r="F2530" s="2"/>
    </row>
    <row r="2531">
      <c r="A2531" s="2">
        <f>IFERROR(__xludf.DUMMYFUNCTION("""COMPUTED_VALUE"""),87437.0)</f>
        <v>87437</v>
      </c>
      <c r="B2531" s="2">
        <f>IFERROR(__xludf.DUMMYFUNCTION("""COMPUTED_VALUE"""),1.0)</f>
        <v>1</v>
      </c>
      <c r="C2531" s="2">
        <f>IFERROR(__xludf.DUMMYFUNCTION("""COMPUTED_VALUE"""),277.0)</f>
        <v>277</v>
      </c>
      <c r="D2531" s="3">
        <f>IFERROR(__xludf.DUMMYFUNCTION("""COMPUTED_VALUE"""),147.0)</f>
        <v>147</v>
      </c>
      <c r="E2531" s="2"/>
      <c r="F2531" s="2"/>
    </row>
    <row r="2532">
      <c r="A2532" s="2">
        <f>IFERROR(__xludf.DUMMYFUNCTION("""COMPUTED_VALUE"""),121462.0)</f>
        <v>121462</v>
      </c>
      <c r="B2532" s="2">
        <f>IFERROR(__xludf.DUMMYFUNCTION("""COMPUTED_VALUE"""),1.0)</f>
        <v>1</v>
      </c>
      <c r="C2532" s="2">
        <f>IFERROR(__xludf.DUMMYFUNCTION("""COMPUTED_VALUE"""),933.0)</f>
        <v>933</v>
      </c>
      <c r="D2532" s="3">
        <f>IFERROR(__xludf.DUMMYFUNCTION("""COMPUTED_VALUE"""),537.0)</f>
        <v>537</v>
      </c>
      <c r="E2532" s="2"/>
      <c r="F2532" s="2"/>
    </row>
    <row r="2533">
      <c r="A2533" s="2">
        <f>IFERROR(__xludf.DUMMYFUNCTION("""COMPUTED_VALUE"""),69471.0)</f>
        <v>69471</v>
      </c>
      <c r="B2533" s="2">
        <f>IFERROR(__xludf.DUMMYFUNCTION("""COMPUTED_VALUE"""),0.0)</f>
        <v>0</v>
      </c>
      <c r="C2533" s="2">
        <f>IFERROR(__xludf.DUMMYFUNCTION("""COMPUTED_VALUE"""),600.0)</f>
        <v>600</v>
      </c>
      <c r="D2533" s="3">
        <f>IFERROR(__xludf.DUMMYFUNCTION("""COMPUTED_VALUE"""),391.0)</f>
        <v>391</v>
      </c>
      <c r="E2533" s="2"/>
      <c r="F2533" s="2"/>
    </row>
    <row r="2534">
      <c r="A2534" s="2">
        <f>IFERROR(__xludf.DUMMYFUNCTION("""COMPUTED_VALUE"""),114904.0)</f>
        <v>114904</v>
      </c>
      <c r="B2534" s="2">
        <f>IFERROR(__xludf.DUMMYFUNCTION("""COMPUTED_VALUE"""),0.0)</f>
        <v>0</v>
      </c>
      <c r="C2534" s="2">
        <f>IFERROR(__xludf.DUMMYFUNCTION("""COMPUTED_VALUE"""),726.0)</f>
        <v>726</v>
      </c>
      <c r="D2534" s="3">
        <f>IFERROR(__xludf.DUMMYFUNCTION("""COMPUTED_VALUE"""),635.0)</f>
        <v>635</v>
      </c>
      <c r="E2534" s="2"/>
      <c r="F2534" s="2"/>
    </row>
    <row r="2535">
      <c r="A2535" s="2">
        <f>IFERROR(__xludf.DUMMYFUNCTION("""COMPUTED_VALUE"""),113910.0)</f>
        <v>113910</v>
      </c>
      <c r="B2535" s="2">
        <f>IFERROR(__xludf.DUMMYFUNCTION("""COMPUTED_VALUE"""),0.0)</f>
        <v>0</v>
      </c>
      <c r="C2535" s="2">
        <f>IFERROR(__xludf.DUMMYFUNCTION("""COMPUTED_VALUE"""),453.0)</f>
        <v>453</v>
      </c>
      <c r="D2535" s="3">
        <f>IFERROR(__xludf.DUMMYFUNCTION("""COMPUTED_VALUE"""),258.0)</f>
        <v>258</v>
      </c>
      <c r="E2535" s="2"/>
      <c r="F2535" s="2"/>
    </row>
    <row r="2536">
      <c r="A2536" s="2">
        <f>IFERROR(__xludf.DUMMYFUNCTION("""COMPUTED_VALUE"""),18100.0)</f>
        <v>18100</v>
      </c>
      <c r="B2536" s="2">
        <f>IFERROR(__xludf.DUMMYFUNCTION("""COMPUTED_VALUE"""),1.0)</f>
        <v>1</v>
      </c>
      <c r="C2536" s="2">
        <f>IFERROR(__xludf.DUMMYFUNCTION("""COMPUTED_VALUE"""),520.0)</f>
        <v>520</v>
      </c>
      <c r="D2536" s="3">
        <f>IFERROR(__xludf.DUMMYFUNCTION("""COMPUTED_VALUE"""),228.0)</f>
        <v>228</v>
      </c>
      <c r="E2536" s="2"/>
      <c r="F2536" s="2"/>
    </row>
    <row r="2537">
      <c r="A2537" s="2">
        <f>IFERROR(__xludf.DUMMYFUNCTION("""COMPUTED_VALUE"""),114963.0)</f>
        <v>114963</v>
      </c>
      <c r="B2537" s="2">
        <f>IFERROR(__xludf.DUMMYFUNCTION("""COMPUTED_VALUE"""),0.0)</f>
        <v>0</v>
      </c>
      <c r="C2537" s="2">
        <f>IFERROR(__xludf.DUMMYFUNCTION("""COMPUTED_VALUE"""),186.0)</f>
        <v>186</v>
      </c>
      <c r="D2537" s="3">
        <f>IFERROR(__xludf.DUMMYFUNCTION("""COMPUTED_VALUE"""),56.0)</f>
        <v>56</v>
      </c>
      <c r="E2537" s="2"/>
      <c r="F2537" s="2"/>
    </row>
    <row r="2538">
      <c r="A2538" s="2">
        <f>IFERROR(__xludf.DUMMYFUNCTION("""COMPUTED_VALUE"""),121495.0)</f>
        <v>121495</v>
      </c>
      <c r="B2538" s="2">
        <f>IFERROR(__xludf.DUMMYFUNCTION("""COMPUTED_VALUE"""),1.0)</f>
        <v>1</v>
      </c>
      <c r="C2538" s="2">
        <f>IFERROR(__xludf.DUMMYFUNCTION("""COMPUTED_VALUE"""),944.0)</f>
        <v>944</v>
      </c>
      <c r="D2538" s="3">
        <f>IFERROR(__xludf.DUMMYFUNCTION("""COMPUTED_VALUE"""),852.0)</f>
        <v>852</v>
      </c>
      <c r="E2538" s="2"/>
      <c r="F2538" s="2"/>
    </row>
    <row r="2539">
      <c r="A2539" s="2">
        <f>IFERROR(__xludf.DUMMYFUNCTION("""COMPUTED_VALUE"""),83041.0)</f>
        <v>83041</v>
      </c>
      <c r="B2539" s="2">
        <f>IFERROR(__xludf.DUMMYFUNCTION("""COMPUTED_VALUE"""),1.0)</f>
        <v>1</v>
      </c>
      <c r="C2539" s="2">
        <f>IFERROR(__xludf.DUMMYFUNCTION("""COMPUTED_VALUE"""),972.0)</f>
        <v>972</v>
      </c>
      <c r="D2539" s="3">
        <f>IFERROR(__xludf.DUMMYFUNCTION("""COMPUTED_VALUE"""),955.0)</f>
        <v>955</v>
      </c>
      <c r="E2539" s="2"/>
      <c r="F2539" s="2"/>
    </row>
    <row r="2540">
      <c r="A2540" s="2">
        <f>IFERROR(__xludf.DUMMYFUNCTION("""COMPUTED_VALUE"""),121499.0)</f>
        <v>121499</v>
      </c>
      <c r="B2540" s="2">
        <f>IFERROR(__xludf.DUMMYFUNCTION("""COMPUTED_VALUE"""),1.0)</f>
        <v>1</v>
      </c>
      <c r="C2540" s="2">
        <f>IFERROR(__xludf.DUMMYFUNCTION("""COMPUTED_VALUE"""),562.0)</f>
        <v>562</v>
      </c>
      <c r="D2540" s="3">
        <f>IFERROR(__xludf.DUMMYFUNCTION("""COMPUTED_VALUE"""),28.0)</f>
        <v>28</v>
      </c>
      <c r="E2540" s="2"/>
      <c r="F2540" s="2"/>
    </row>
    <row r="2541">
      <c r="A2541" s="2">
        <f>IFERROR(__xludf.DUMMYFUNCTION("""COMPUTED_VALUE"""),108528.0)</f>
        <v>108528</v>
      </c>
      <c r="B2541" s="2">
        <f>IFERROR(__xludf.DUMMYFUNCTION("""COMPUTED_VALUE"""),0.0)</f>
        <v>0</v>
      </c>
      <c r="C2541" s="2">
        <f>IFERROR(__xludf.DUMMYFUNCTION("""COMPUTED_VALUE"""),112.0)</f>
        <v>112</v>
      </c>
      <c r="D2541" s="3">
        <f>IFERROR(__xludf.DUMMYFUNCTION("""COMPUTED_VALUE"""),21.0)</f>
        <v>21</v>
      </c>
      <c r="E2541" s="2"/>
      <c r="F2541" s="2"/>
    </row>
    <row r="2542">
      <c r="A2542" s="2">
        <f>IFERROR(__xludf.DUMMYFUNCTION("""COMPUTED_VALUE"""),69547.0)</f>
        <v>69547</v>
      </c>
      <c r="B2542" s="2">
        <f>IFERROR(__xludf.DUMMYFUNCTION("""COMPUTED_VALUE"""),1.0)</f>
        <v>1</v>
      </c>
      <c r="C2542" s="2">
        <f>IFERROR(__xludf.DUMMYFUNCTION("""COMPUTED_VALUE"""),879.0)</f>
        <v>879</v>
      </c>
      <c r="D2542" s="3">
        <f>IFERROR(__xludf.DUMMYFUNCTION("""COMPUTED_VALUE"""),309.0)</f>
        <v>309</v>
      </c>
      <c r="E2542" s="2"/>
      <c r="F2542" s="2"/>
    </row>
    <row r="2543">
      <c r="A2543" s="2">
        <f>IFERROR(__xludf.DUMMYFUNCTION("""COMPUTED_VALUE"""),18126.0)</f>
        <v>18126</v>
      </c>
      <c r="B2543" s="2">
        <f>IFERROR(__xludf.DUMMYFUNCTION("""COMPUTED_VALUE"""),0.0)</f>
        <v>0</v>
      </c>
      <c r="C2543" s="2">
        <f>IFERROR(__xludf.DUMMYFUNCTION("""COMPUTED_VALUE"""),832.0)</f>
        <v>832</v>
      </c>
      <c r="D2543" s="3">
        <f>IFERROR(__xludf.DUMMYFUNCTION("""COMPUTED_VALUE"""),95.0)</f>
        <v>95</v>
      </c>
      <c r="E2543" s="2"/>
      <c r="F2543" s="2"/>
    </row>
    <row r="2544">
      <c r="A2544" s="2">
        <f>IFERROR(__xludf.DUMMYFUNCTION("""COMPUTED_VALUE"""),121812.0)</f>
        <v>121812</v>
      </c>
      <c r="B2544" s="2">
        <f>IFERROR(__xludf.DUMMYFUNCTION("""COMPUTED_VALUE"""),0.0)</f>
        <v>0</v>
      </c>
      <c r="C2544" s="2">
        <f>IFERROR(__xludf.DUMMYFUNCTION("""COMPUTED_VALUE"""),672.0)</f>
        <v>672</v>
      </c>
      <c r="D2544" s="3">
        <f>IFERROR(__xludf.DUMMYFUNCTION("""COMPUTED_VALUE"""),160.0)</f>
        <v>160</v>
      </c>
      <c r="E2544" s="2"/>
      <c r="F2544" s="2"/>
    </row>
    <row r="2545">
      <c r="A2545" s="2">
        <f>IFERROR(__xludf.DUMMYFUNCTION("""COMPUTED_VALUE"""),81497.0)</f>
        <v>81497</v>
      </c>
      <c r="B2545" s="2">
        <f>IFERROR(__xludf.DUMMYFUNCTION("""COMPUTED_VALUE"""),0.0)</f>
        <v>0</v>
      </c>
      <c r="C2545" s="2">
        <f>IFERROR(__xludf.DUMMYFUNCTION("""COMPUTED_VALUE"""),279.0)</f>
        <v>279</v>
      </c>
      <c r="D2545" s="3">
        <f>IFERROR(__xludf.DUMMYFUNCTION("""COMPUTED_VALUE"""),241.0)</f>
        <v>241</v>
      </c>
      <c r="E2545" s="2"/>
      <c r="F2545" s="2"/>
    </row>
    <row r="2546">
      <c r="A2546" s="2">
        <f>IFERROR(__xludf.DUMMYFUNCTION("""COMPUTED_VALUE"""),121500.0)</f>
        <v>121500</v>
      </c>
      <c r="B2546" s="2">
        <f>IFERROR(__xludf.DUMMYFUNCTION("""COMPUTED_VALUE"""),0.0)</f>
        <v>0</v>
      </c>
      <c r="C2546" s="2">
        <f>IFERROR(__xludf.DUMMYFUNCTION("""COMPUTED_VALUE"""),690.0)</f>
        <v>690</v>
      </c>
      <c r="D2546" s="3">
        <f>IFERROR(__xludf.DUMMYFUNCTION("""COMPUTED_VALUE"""),96.0)</f>
        <v>96</v>
      </c>
      <c r="E2546" s="2"/>
      <c r="F2546" s="2"/>
    </row>
    <row r="2547">
      <c r="A2547" s="2">
        <f>IFERROR(__xludf.DUMMYFUNCTION("""COMPUTED_VALUE"""),45903.0)</f>
        <v>45903</v>
      </c>
      <c r="B2547" s="2">
        <f>IFERROR(__xludf.DUMMYFUNCTION("""COMPUTED_VALUE"""),0.0)</f>
        <v>0</v>
      </c>
      <c r="C2547" s="2">
        <f>IFERROR(__xludf.DUMMYFUNCTION("""COMPUTED_VALUE"""),792.0)</f>
        <v>792</v>
      </c>
      <c r="D2547" s="3">
        <f>IFERROR(__xludf.DUMMYFUNCTION("""COMPUTED_VALUE"""),335.0)</f>
        <v>335</v>
      </c>
      <c r="E2547" s="2"/>
      <c r="F2547" s="2"/>
    </row>
    <row r="2548">
      <c r="A2548" s="2">
        <f>IFERROR(__xludf.DUMMYFUNCTION("""COMPUTED_VALUE"""),121813.0)</f>
        <v>121813</v>
      </c>
      <c r="B2548" s="2">
        <f>IFERROR(__xludf.DUMMYFUNCTION("""COMPUTED_VALUE"""),0.0)</f>
        <v>0</v>
      </c>
      <c r="C2548" s="2">
        <f>IFERROR(__xludf.DUMMYFUNCTION("""COMPUTED_VALUE"""),259.0)</f>
        <v>259</v>
      </c>
      <c r="D2548" s="3">
        <f>IFERROR(__xludf.DUMMYFUNCTION("""COMPUTED_VALUE"""),131.0)</f>
        <v>131</v>
      </c>
      <c r="E2548" s="2"/>
      <c r="F2548" s="2"/>
    </row>
    <row r="2549">
      <c r="A2549" s="2">
        <f>IFERROR(__xludf.DUMMYFUNCTION("""COMPUTED_VALUE"""),108512.0)</f>
        <v>108512</v>
      </c>
      <c r="B2549" s="2">
        <f>IFERROR(__xludf.DUMMYFUNCTION("""COMPUTED_VALUE"""),0.0)</f>
        <v>0</v>
      </c>
      <c r="C2549" s="2">
        <f>IFERROR(__xludf.DUMMYFUNCTION("""COMPUTED_VALUE"""),272.0)</f>
        <v>272</v>
      </c>
      <c r="D2549" s="3">
        <f>IFERROR(__xludf.DUMMYFUNCTION("""COMPUTED_VALUE"""),17.0)</f>
        <v>17</v>
      </c>
      <c r="E2549" s="2"/>
      <c r="F2549" s="2"/>
    </row>
    <row r="2550">
      <c r="A2550" s="2">
        <f>IFERROR(__xludf.DUMMYFUNCTION("""COMPUTED_VALUE"""),70189.0)</f>
        <v>70189</v>
      </c>
      <c r="B2550" s="2">
        <f>IFERROR(__xludf.DUMMYFUNCTION("""COMPUTED_VALUE"""),1.0)</f>
        <v>1</v>
      </c>
      <c r="C2550" s="2">
        <f>IFERROR(__xludf.DUMMYFUNCTION("""COMPUTED_VALUE"""),668.0)</f>
        <v>668</v>
      </c>
      <c r="D2550" s="3">
        <f>IFERROR(__xludf.DUMMYFUNCTION("""COMPUTED_VALUE"""),309.0)</f>
        <v>309</v>
      </c>
      <c r="E2550" s="2"/>
      <c r="F2550" s="2"/>
    </row>
    <row r="2551">
      <c r="A2551" s="2">
        <f>IFERROR(__xludf.DUMMYFUNCTION("""COMPUTED_VALUE"""),194057.0)</f>
        <v>194057</v>
      </c>
      <c r="B2551" s="2">
        <f>IFERROR(__xludf.DUMMYFUNCTION("""COMPUTED_VALUE"""),0.0)</f>
        <v>0</v>
      </c>
      <c r="C2551" s="2">
        <f>IFERROR(__xludf.DUMMYFUNCTION("""COMPUTED_VALUE"""),719.0)</f>
        <v>719</v>
      </c>
      <c r="D2551" s="3">
        <f>IFERROR(__xludf.DUMMYFUNCTION("""COMPUTED_VALUE"""),163.0)</f>
        <v>163</v>
      </c>
      <c r="E2551" s="2"/>
      <c r="F2551" s="2"/>
    </row>
    <row r="2552">
      <c r="A2552" s="2">
        <f>IFERROR(__xludf.DUMMYFUNCTION("""COMPUTED_VALUE"""),121460.0)</f>
        <v>121460</v>
      </c>
      <c r="B2552" s="2">
        <f>IFERROR(__xludf.DUMMYFUNCTION("""COMPUTED_VALUE"""),0.0)</f>
        <v>0</v>
      </c>
      <c r="C2552" s="2">
        <f>IFERROR(__xludf.DUMMYFUNCTION("""COMPUTED_VALUE"""),76.0)</f>
        <v>76</v>
      </c>
      <c r="D2552" s="3">
        <f>IFERROR(__xludf.DUMMYFUNCTION("""COMPUTED_VALUE"""),76.0)</f>
        <v>76</v>
      </c>
      <c r="E2552" s="2"/>
      <c r="F2552" s="2"/>
    </row>
    <row r="2553">
      <c r="A2553" s="2">
        <f>IFERROR(__xludf.DUMMYFUNCTION("""COMPUTED_VALUE"""),121950.0)</f>
        <v>121950</v>
      </c>
      <c r="B2553" s="2">
        <f>IFERROR(__xludf.DUMMYFUNCTION("""COMPUTED_VALUE"""),1.0)</f>
        <v>1</v>
      </c>
      <c r="C2553" s="2">
        <f>IFERROR(__xludf.DUMMYFUNCTION("""COMPUTED_VALUE"""),662.0)</f>
        <v>662</v>
      </c>
      <c r="D2553" s="3">
        <f>IFERROR(__xludf.DUMMYFUNCTION("""COMPUTED_VALUE"""),104.0)</f>
        <v>104</v>
      </c>
      <c r="E2553" s="2"/>
      <c r="F2553" s="2"/>
    </row>
    <row r="2554">
      <c r="A2554" s="2">
        <f>IFERROR(__xludf.DUMMYFUNCTION("""COMPUTED_VALUE"""),121811.0)</f>
        <v>121811</v>
      </c>
      <c r="B2554" s="2">
        <f>IFERROR(__xludf.DUMMYFUNCTION("""COMPUTED_VALUE"""),0.0)</f>
        <v>0</v>
      </c>
      <c r="C2554" s="2">
        <f>IFERROR(__xludf.DUMMYFUNCTION("""COMPUTED_VALUE"""),546.0)</f>
        <v>546</v>
      </c>
      <c r="D2554" s="3">
        <f>IFERROR(__xludf.DUMMYFUNCTION("""COMPUTED_VALUE"""),8.0)</f>
        <v>8</v>
      </c>
      <c r="E2554" s="2"/>
      <c r="F2554" s="2"/>
    </row>
    <row r="2555">
      <c r="A2555" s="2">
        <f>IFERROR(__xludf.DUMMYFUNCTION("""COMPUTED_VALUE"""),86400.0)</f>
        <v>86400</v>
      </c>
      <c r="B2555" s="2">
        <f>IFERROR(__xludf.DUMMYFUNCTION("""COMPUTED_VALUE"""),1.0)</f>
        <v>1</v>
      </c>
      <c r="C2555" s="2">
        <f>IFERROR(__xludf.DUMMYFUNCTION("""COMPUTED_VALUE"""),272.0)</f>
        <v>272</v>
      </c>
      <c r="D2555" s="3">
        <f>IFERROR(__xludf.DUMMYFUNCTION("""COMPUTED_VALUE"""),44.0)</f>
        <v>44</v>
      </c>
      <c r="E2555" s="2"/>
      <c r="F2555" s="2"/>
    </row>
    <row r="2556">
      <c r="A2556" s="2">
        <f>IFERROR(__xludf.DUMMYFUNCTION("""COMPUTED_VALUE"""),108527.0)</f>
        <v>108527</v>
      </c>
      <c r="B2556" s="2">
        <f>IFERROR(__xludf.DUMMYFUNCTION("""COMPUTED_VALUE"""),0.0)</f>
        <v>0</v>
      </c>
      <c r="C2556" s="2">
        <f>IFERROR(__xludf.DUMMYFUNCTION("""COMPUTED_VALUE"""),660.0)</f>
        <v>660</v>
      </c>
      <c r="D2556" s="3">
        <f>IFERROR(__xludf.DUMMYFUNCTION("""COMPUTED_VALUE"""),374.0)</f>
        <v>374</v>
      </c>
      <c r="E2556" s="2"/>
      <c r="F2556" s="2"/>
    </row>
    <row r="2557">
      <c r="A2557" s="2">
        <f>IFERROR(__xludf.DUMMYFUNCTION("""COMPUTED_VALUE"""),88622.0)</f>
        <v>88622</v>
      </c>
      <c r="B2557" s="2">
        <f>IFERROR(__xludf.DUMMYFUNCTION("""COMPUTED_VALUE"""),1.0)</f>
        <v>1</v>
      </c>
      <c r="C2557" s="2">
        <f>IFERROR(__xludf.DUMMYFUNCTION("""COMPUTED_VALUE"""),516.0)</f>
        <v>516</v>
      </c>
      <c r="D2557" s="3">
        <f>IFERROR(__xludf.DUMMYFUNCTION("""COMPUTED_VALUE"""),24.0)</f>
        <v>24</v>
      </c>
      <c r="E2557" s="2"/>
      <c r="F2557" s="2"/>
    </row>
    <row r="2558">
      <c r="A2558" s="2">
        <f>IFERROR(__xludf.DUMMYFUNCTION("""COMPUTED_VALUE"""),121803.0)</f>
        <v>121803</v>
      </c>
      <c r="B2558" s="2">
        <f>IFERROR(__xludf.DUMMYFUNCTION("""COMPUTED_VALUE"""),0.0)</f>
        <v>0</v>
      </c>
      <c r="C2558" s="2">
        <f>IFERROR(__xludf.DUMMYFUNCTION("""COMPUTED_VALUE"""),467.0)</f>
        <v>467</v>
      </c>
      <c r="D2558" s="3">
        <f>IFERROR(__xludf.DUMMYFUNCTION("""COMPUTED_VALUE"""),304.0)</f>
        <v>304</v>
      </c>
      <c r="E2558" s="2"/>
      <c r="F2558" s="2"/>
    </row>
    <row r="2559">
      <c r="A2559" s="2">
        <f>IFERROR(__xludf.DUMMYFUNCTION("""COMPUTED_VALUE"""),87418.0)</f>
        <v>87418</v>
      </c>
      <c r="B2559" s="2">
        <f>IFERROR(__xludf.DUMMYFUNCTION("""COMPUTED_VALUE"""),1.0)</f>
        <v>1</v>
      </c>
      <c r="C2559" s="2">
        <f>IFERROR(__xludf.DUMMYFUNCTION("""COMPUTED_VALUE"""),787.0)</f>
        <v>787</v>
      </c>
      <c r="D2559" s="3">
        <f>IFERROR(__xludf.DUMMYFUNCTION("""COMPUTED_VALUE"""),380.0)</f>
        <v>380</v>
      </c>
      <c r="E2559" s="2"/>
      <c r="F2559" s="2"/>
    </row>
    <row r="2560">
      <c r="A2560" s="2">
        <f>IFERROR(__xludf.DUMMYFUNCTION("""COMPUTED_VALUE"""),26275.0)</f>
        <v>26275</v>
      </c>
      <c r="B2560" s="2">
        <f>IFERROR(__xludf.DUMMYFUNCTION("""COMPUTED_VALUE"""),0.0)</f>
        <v>0</v>
      </c>
      <c r="C2560" s="2">
        <f>IFERROR(__xludf.DUMMYFUNCTION("""COMPUTED_VALUE"""),162.0)</f>
        <v>162</v>
      </c>
      <c r="D2560" s="3">
        <f>IFERROR(__xludf.DUMMYFUNCTION("""COMPUTED_VALUE"""),25.0)</f>
        <v>25</v>
      </c>
      <c r="E2560" s="2"/>
      <c r="F2560" s="2"/>
    </row>
    <row r="2561">
      <c r="A2561" s="2">
        <f>IFERROR(__xludf.DUMMYFUNCTION("""COMPUTED_VALUE"""),119229.0)</f>
        <v>119229</v>
      </c>
      <c r="B2561" s="2">
        <f>IFERROR(__xludf.DUMMYFUNCTION("""COMPUTED_VALUE"""),1.0)</f>
        <v>1</v>
      </c>
      <c r="C2561" s="2">
        <f>IFERROR(__xludf.DUMMYFUNCTION("""COMPUTED_VALUE"""),230.0)</f>
        <v>230</v>
      </c>
      <c r="D2561" s="3">
        <f>IFERROR(__xludf.DUMMYFUNCTION("""COMPUTED_VALUE"""),108.0)</f>
        <v>108</v>
      </c>
      <c r="E2561" s="2"/>
      <c r="F2561" s="2"/>
    </row>
    <row r="2562">
      <c r="A2562" s="2">
        <f>IFERROR(__xludf.DUMMYFUNCTION("""COMPUTED_VALUE"""),74881.0)</f>
        <v>74881</v>
      </c>
      <c r="B2562" s="2">
        <f>IFERROR(__xludf.DUMMYFUNCTION("""COMPUTED_VALUE"""),1.0)</f>
        <v>1</v>
      </c>
      <c r="C2562" s="2">
        <f>IFERROR(__xludf.DUMMYFUNCTION("""COMPUTED_VALUE"""),70.0)</f>
        <v>70</v>
      </c>
      <c r="D2562" s="3">
        <f>IFERROR(__xludf.DUMMYFUNCTION("""COMPUTED_VALUE"""),40.0)</f>
        <v>40</v>
      </c>
      <c r="E2562" s="2"/>
      <c r="F2562" s="2"/>
    </row>
    <row r="2563">
      <c r="A2563" s="2">
        <f>IFERROR(__xludf.DUMMYFUNCTION("""COMPUTED_VALUE"""),86469.0)</f>
        <v>86469</v>
      </c>
      <c r="B2563" s="2">
        <f>IFERROR(__xludf.DUMMYFUNCTION("""COMPUTED_VALUE"""),1.0)</f>
        <v>1</v>
      </c>
      <c r="C2563" s="2">
        <f>IFERROR(__xludf.DUMMYFUNCTION("""COMPUTED_VALUE"""),56.0)</f>
        <v>56</v>
      </c>
      <c r="D2563" s="3">
        <f>IFERROR(__xludf.DUMMYFUNCTION("""COMPUTED_VALUE"""),27.0)</f>
        <v>27</v>
      </c>
      <c r="E2563" s="2"/>
      <c r="F2563" s="2"/>
    </row>
    <row r="2564">
      <c r="A2564" s="2">
        <f>IFERROR(__xludf.DUMMYFUNCTION("""COMPUTED_VALUE"""),120798.0)</f>
        <v>120798</v>
      </c>
      <c r="B2564" s="2">
        <f>IFERROR(__xludf.DUMMYFUNCTION("""COMPUTED_VALUE"""),0.0)</f>
        <v>0</v>
      </c>
      <c r="C2564" s="2">
        <f>IFERROR(__xludf.DUMMYFUNCTION("""COMPUTED_VALUE"""),165.0)</f>
        <v>165</v>
      </c>
      <c r="D2564" s="3">
        <f>IFERROR(__xludf.DUMMYFUNCTION("""COMPUTED_VALUE"""),159.0)</f>
        <v>159</v>
      </c>
      <c r="E2564" s="2"/>
      <c r="F2564" s="2"/>
    </row>
    <row r="2565">
      <c r="A2565" s="2">
        <f>IFERROR(__xludf.DUMMYFUNCTION("""COMPUTED_VALUE"""),86479.0)</f>
        <v>86479</v>
      </c>
      <c r="B2565" s="2">
        <f>IFERROR(__xludf.DUMMYFUNCTION("""COMPUTED_VALUE"""),0.0)</f>
        <v>0</v>
      </c>
      <c r="C2565" s="2">
        <f>IFERROR(__xludf.DUMMYFUNCTION("""COMPUTED_VALUE"""),850.0)</f>
        <v>850</v>
      </c>
      <c r="D2565" s="3">
        <f>IFERROR(__xludf.DUMMYFUNCTION("""COMPUTED_VALUE"""),25.0)</f>
        <v>25</v>
      </c>
      <c r="E2565" s="2"/>
      <c r="F2565" s="2"/>
    </row>
    <row r="2566">
      <c r="A2566" s="2">
        <f>IFERROR(__xludf.DUMMYFUNCTION("""COMPUTED_VALUE"""),80411.0)</f>
        <v>80411</v>
      </c>
      <c r="B2566" s="2">
        <f>IFERROR(__xludf.DUMMYFUNCTION("""COMPUTED_VALUE"""),0.0)</f>
        <v>0</v>
      </c>
      <c r="C2566" s="2">
        <f>IFERROR(__xludf.DUMMYFUNCTION("""COMPUTED_VALUE"""),417.0)</f>
        <v>417</v>
      </c>
      <c r="D2566" s="3">
        <f>IFERROR(__xludf.DUMMYFUNCTION("""COMPUTED_VALUE"""),28.0)</f>
        <v>28</v>
      </c>
      <c r="E2566" s="2"/>
      <c r="F2566" s="2"/>
    </row>
    <row r="2567">
      <c r="A2567" s="2">
        <f>IFERROR(__xludf.DUMMYFUNCTION("""COMPUTED_VALUE"""),120797.0)</f>
        <v>120797</v>
      </c>
      <c r="B2567" s="2">
        <f>IFERROR(__xludf.DUMMYFUNCTION("""COMPUTED_VALUE"""),0.0)</f>
        <v>0</v>
      </c>
      <c r="C2567" s="2">
        <f>IFERROR(__xludf.DUMMYFUNCTION("""COMPUTED_VALUE"""),43.0)</f>
        <v>43</v>
      </c>
      <c r="D2567" s="3">
        <f>IFERROR(__xludf.DUMMYFUNCTION("""COMPUTED_VALUE"""),1.0)</f>
        <v>1</v>
      </c>
      <c r="E2567" s="2"/>
      <c r="F2567" s="2"/>
    </row>
    <row r="2568">
      <c r="A2568" s="2">
        <f>IFERROR(__xludf.DUMMYFUNCTION("""COMPUTED_VALUE"""),86480.0)</f>
        <v>86480</v>
      </c>
      <c r="B2568" s="2">
        <f>IFERROR(__xludf.DUMMYFUNCTION("""COMPUTED_VALUE"""),1.0)</f>
        <v>1</v>
      </c>
      <c r="C2568" s="2">
        <f>IFERROR(__xludf.DUMMYFUNCTION("""COMPUTED_VALUE"""),464.0)</f>
        <v>464</v>
      </c>
      <c r="D2568" s="3">
        <f>IFERROR(__xludf.DUMMYFUNCTION("""COMPUTED_VALUE"""),212.0)</f>
        <v>212</v>
      </c>
      <c r="E2568" s="2"/>
      <c r="F2568" s="2"/>
    </row>
    <row r="2569">
      <c r="A2569" s="2">
        <f>IFERROR(__xludf.DUMMYFUNCTION("""COMPUTED_VALUE"""),86478.0)</f>
        <v>86478</v>
      </c>
      <c r="B2569" s="2">
        <f>IFERROR(__xludf.DUMMYFUNCTION("""COMPUTED_VALUE"""),1.0)</f>
        <v>1</v>
      </c>
      <c r="C2569" s="2">
        <f>IFERROR(__xludf.DUMMYFUNCTION("""COMPUTED_VALUE"""),35.0)</f>
        <v>35</v>
      </c>
      <c r="D2569" s="3">
        <f>IFERROR(__xludf.DUMMYFUNCTION("""COMPUTED_VALUE"""),8.0)</f>
        <v>8</v>
      </c>
      <c r="E2569" s="2"/>
      <c r="F2569" s="2"/>
    </row>
    <row r="2570">
      <c r="A2570" s="2">
        <f>IFERROR(__xludf.DUMMYFUNCTION("""COMPUTED_VALUE"""),118887.0)</f>
        <v>118887</v>
      </c>
      <c r="B2570" s="2">
        <f>IFERROR(__xludf.DUMMYFUNCTION("""COMPUTED_VALUE"""),1.0)</f>
        <v>1</v>
      </c>
      <c r="C2570" s="2">
        <f>IFERROR(__xludf.DUMMYFUNCTION("""COMPUTED_VALUE"""),979.0)</f>
        <v>979</v>
      </c>
      <c r="D2570" s="3">
        <f>IFERROR(__xludf.DUMMYFUNCTION("""COMPUTED_VALUE"""),528.0)</f>
        <v>528</v>
      </c>
      <c r="E2570" s="2"/>
      <c r="F2570" s="2"/>
    </row>
    <row r="2571">
      <c r="A2571" s="2">
        <f>IFERROR(__xludf.DUMMYFUNCTION("""COMPUTED_VALUE"""),121802.0)</f>
        <v>121802</v>
      </c>
      <c r="B2571" s="2">
        <f>IFERROR(__xludf.DUMMYFUNCTION("""COMPUTED_VALUE"""),0.0)</f>
        <v>0</v>
      </c>
      <c r="C2571" s="2">
        <f>IFERROR(__xludf.DUMMYFUNCTION("""COMPUTED_VALUE"""),634.0)</f>
        <v>634</v>
      </c>
      <c r="D2571" s="3">
        <f>IFERROR(__xludf.DUMMYFUNCTION("""COMPUTED_VALUE"""),547.0)</f>
        <v>547</v>
      </c>
      <c r="E2571" s="2"/>
      <c r="F2571" s="2"/>
    </row>
    <row r="2572">
      <c r="A2572" s="2">
        <f>IFERROR(__xludf.DUMMYFUNCTION("""COMPUTED_VALUE"""),87440.0)</f>
        <v>87440</v>
      </c>
      <c r="B2572" s="2">
        <f>IFERROR(__xludf.DUMMYFUNCTION("""COMPUTED_VALUE"""),0.0)</f>
        <v>0</v>
      </c>
      <c r="C2572" s="2">
        <f>IFERROR(__xludf.DUMMYFUNCTION("""COMPUTED_VALUE"""),476.0)</f>
        <v>476</v>
      </c>
      <c r="D2572" s="3">
        <f>IFERROR(__xludf.DUMMYFUNCTION("""COMPUTED_VALUE"""),87.0)</f>
        <v>87</v>
      </c>
      <c r="E2572" s="2"/>
      <c r="F2572" s="2"/>
    </row>
    <row r="2573">
      <c r="A2573" s="2">
        <f>IFERROR(__xludf.DUMMYFUNCTION("""COMPUTED_VALUE"""),86477.0)</f>
        <v>86477</v>
      </c>
      <c r="B2573" s="2">
        <f>IFERROR(__xludf.DUMMYFUNCTION("""COMPUTED_VALUE"""),0.0)</f>
        <v>0</v>
      </c>
      <c r="C2573" s="2">
        <f>IFERROR(__xludf.DUMMYFUNCTION("""COMPUTED_VALUE"""),39.0)</f>
        <v>39</v>
      </c>
      <c r="D2573" s="3">
        <f>IFERROR(__xludf.DUMMYFUNCTION("""COMPUTED_VALUE"""),8.0)</f>
        <v>8</v>
      </c>
      <c r="E2573" s="2"/>
      <c r="F2573" s="2"/>
    </row>
    <row r="2574">
      <c r="A2574" s="2">
        <f>IFERROR(__xludf.DUMMYFUNCTION("""COMPUTED_VALUE"""),83059.0)</f>
        <v>83059</v>
      </c>
      <c r="B2574" s="2">
        <f>IFERROR(__xludf.DUMMYFUNCTION("""COMPUTED_VALUE"""),0.0)</f>
        <v>0</v>
      </c>
      <c r="C2574" s="2">
        <f>IFERROR(__xludf.DUMMYFUNCTION("""COMPUTED_VALUE"""),318.0)</f>
        <v>318</v>
      </c>
      <c r="D2574" s="3">
        <f>IFERROR(__xludf.DUMMYFUNCTION("""COMPUTED_VALUE"""),240.0)</f>
        <v>240</v>
      </c>
      <c r="E2574" s="2"/>
      <c r="F2574" s="2"/>
    </row>
    <row r="2575">
      <c r="A2575" s="2">
        <f>IFERROR(__xludf.DUMMYFUNCTION("""COMPUTED_VALUE"""),86449.0)</f>
        <v>86449</v>
      </c>
      <c r="B2575" s="2">
        <f>IFERROR(__xludf.DUMMYFUNCTION("""COMPUTED_VALUE"""),1.0)</f>
        <v>1</v>
      </c>
      <c r="C2575" s="2">
        <f>IFERROR(__xludf.DUMMYFUNCTION("""COMPUTED_VALUE"""),17.0)</f>
        <v>17</v>
      </c>
      <c r="D2575" s="3">
        <f>IFERROR(__xludf.DUMMYFUNCTION("""COMPUTED_VALUE"""),4.0)</f>
        <v>4</v>
      </c>
      <c r="E2575" s="2"/>
      <c r="F2575" s="2"/>
    </row>
    <row r="2576">
      <c r="A2576" s="2">
        <f>IFERROR(__xludf.DUMMYFUNCTION("""COMPUTED_VALUE"""),86416.0)</f>
        <v>86416</v>
      </c>
      <c r="B2576" s="2">
        <f>IFERROR(__xludf.DUMMYFUNCTION("""COMPUTED_VALUE"""),0.0)</f>
        <v>0</v>
      </c>
      <c r="C2576" s="2">
        <f>IFERROR(__xludf.DUMMYFUNCTION("""COMPUTED_VALUE"""),618.0)</f>
        <v>618</v>
      </c>
      <c r="D2576" s="3">
        <f>IFERROR(__xludf.DUMMYFUNCTION("""COMPUTED_VALUE"""),174.0)</f>
        <v>174</v>
      </c>
      <c r="E2576" s="2"/>
      <c r="F2576" s="2"/>
    </row>
    <row r="2577">
      <c r="A2577" s="2">
        <f>IFERROR(__xludf.DUMMYFUNCTION("""COMPUTED_VALUE"""),83064.0)</f>
        <v>83064</v>
      </c>
      <c r="B2577" s="2">
        <f>IFERROR(__xludf.DUMMYFUNCTION("""COMPUTED_VALUE"""),0.0)</f>
        <v>0</v>
      </c>
      <c r="C2577" s="2">
        <f>IFERROR(__xludf.DUMMYFUNCTION("""COMPUTED_VALUE"""),20.0)</f>
        <v>20</v>
      </c>
      <c r="D2577" s="3">
        <f>IFERROR(__xludf.DUMMYFUNCTION("""COMPUTED_VALUE"""),1.0)</f>
        <v>1</v>
      </c>
      <c r="E2577" s="2"/>
      <c r="F2577" s="2"/>
    </row>
    <row r="2578">
      <c r="A2578" s="2">
        <f>IFERROR(__xludf.DUMMYFUNCTION("""COMPUTED_VALUE"""),108514.0)</f>
        <v>108514</v>
      </c>
      <c r="B2578" s="2">
        <f>IFERROR(__xludf.DUMMYFUNCTION("""COMPUTED_VALUE"""),0.0)</f>
        <v>0</v>
      </c>
      <c r="C2578" s="2">
        <f>IFERROR(__xludf.DUMMYFUNCTION("""COMPUTED_VALUE"""),133.0)</f>
        <v>133</v>
      </c>
      <c r="D2578" s="3">
        <f>IFERROR(__xludf.DUMMYFUNCTION("""COMPUTED_VALUE"""),70.0)</f>
        <v>70</v>
      </c>
      <c r="E2578" s="2"/>
      <c r="F2578" s="2"/>
    </row>
    <row r="2579">
      <c r="A2579" s="2">
        <f>IFERROR(__xludf.DUMMYFUNCTION("""COMPUTED_VALUE"""),86454.0)</f>
        <v>86454</v>
      </c>
      <c r="B2579" s="2">
        <f>IFERROR(__xludf.DUMMYFUNCTION("""COMPUTED_VALUE"""),0.0)</f>
        <v>0</v>
      </c>
      <c r="C2579" s="2">
        <f>IFERROR(__xludf.DUMMYFUNCTION("""COMPUTED_VALUE"""),108.0)</f>
        <v>108</v>
      </c>
      <c r="D2579" s="3">
        <f>IFERROR(__xludf.DUMMYFUNCTION("""COMPUTED_VALUE"""),99.0)</f>
        <v>99</v>
      </c>
      <c r="E2579" s="2"/>
      <c r="F2579" s="2"/>
    </row>
    <row r="2580">
      <c r="A2580" s="2">
        <f>IFERROR(__xludf.DUMMYFUNCTION("""COMPUTED_VALUE"""),143238.0)</f>
        <v>143238</v>
      </c>
      <c r="B2580" s="2">
        <f>IFERROR(__xludf.DUMMYFUNCTION("""COMPUTED_VALUE"""),0.0)</f>
        <v>0</v>
      </c>
      <c r="C2580" s="2">
        <f>IFERROR(__xludf.DUMMYFUNCTION("""COMPUTED_VALUE"""),331.0)</f>
        <v>331</v>
      </c>
      <c r="D2580" s="3">
        <f>IFERROR(__xludf.DUMMYFUNCTION("""COMPUTED_VALUE"""),222.0)</f>
        <v>222</v>
      </c>
      <c r="E2580" s="2"/>
      <c r="F2580" s="2"/>
    </row>
    <row r="2581">
      <c r="A2581" s="2">
        <f>IFERROR(__xludf.DUMMYFUNCTION("""COMPUTED_VALUE"""),107070.0)</f>
        <v>107070</v>
      </c>
      <c r="B2581" s="2">
        <f>IFERROR(__xludf.DUMMYFUNCTION("""COMPUTED_VALUE"""),0.0)</f>
        <v>0</v>
      </c>
      <c r="C2581" s="2">
        <f>IFERROR(__xludf.DUMMYFUNCTION("""COMPUTED_VALUE"""),934.0)</f>
        <v>934</v>
      </c>
      <c r="D2581" s="3">
        <f>IFERROR(__xludf.DUMMYFUNCTION("""COMPUTED_VALUE"""),930.0)</f>
        <v>930</v>
      </c>
      <c r="E2581" s="2"/>
      <c r="F2581" s="2"/>
    </row>
    <row r="2582">
      <c r="A2582" s="2">
        <f>IFERROR(__xludf.DUMMYFUNCTION("""COMPUTED_VALUE"""),114467.0)</f>
        <v>114467</v>
      </c>
      <c r="B2582" s="2">
        <f>IFERROR(__xludf.DUMMYFUNCTION("""COMPUTED_VALUE"""),1.0)</f>
        <v>1</v>
      </c>
      <c r="C2582" s="2">
        <f>IFERROR(__xludf.DUMMYFUNCTION("""COMPUTED_VALUE"""),233.0)</f>
        <v>233</v>
      </c>
      <c r="D2582" s="3">
        <f>IFERROR(__xludf.DUMMYFUNCTION("""COMPUTED_VALUE"""),58.0)</f>
        <v>58</v>
      </c>
      <c r="E2582" s="2"/>
      <c r="F2582" s="2"/>
    </row>
    <row r="2583">
      <c r="A2583" s="2">
        <f>IFERROR(__xludf.DUMMYFUNCTION("""COMPUTED_VALUE"""),143237.0)</f>
        <v>143237</v>
      </c>
      <c r="B2583" s="2">
        <f>IFERROR(__xludf.DUMMYFUNCTION("""COMPUTED_VALUE"""),0.0)</f>
        <v>0</v>
      </c>
      <c r="C2583" s="2">
        <f>IFERROR(__xludf.DUMMYFUNCTION("""COMPUTED_VALUE"""),540.0)</f>
        <v>540</v>
      </c>
      <c r="D2583" s="3">
        <f>IFERROR(__xludf.DUMMYFUNCTION("""COMPUTED_VALUE"""),96.0)</f>
        <v>96</v>
      </c>
      <c r="E2583" s="2"/>
      <c r="F2583" s="2"/>
    </row>
    <row r="2584">
      <c r="A2584" s="2">
        <f>IFERROR(__xludf.DUMMYFUNCTION("""COMPUTED_VALUE"""),86417.0)</f>
        <v>86417</v>
      </c>
      <c r="B2584" s="2">
        <f>IFERROR(__xludf.DUMMYFUNCTION("""COMPUTED_VALUE"""),1.0)</f>
        <v>1</v>
      </c>
      <c r="C2584" s="2">
        <f>IFERROR(__xludf.DUMMYFUNCTION("""COMPUTED_VALUE"""),305.0)</f>
        <v>305</v>
      </c>
      <c r="D2584" s="3">
        <f>IFERROR(__xludf.DUMMYFUNCTION("""COMPUTED_VALUE"""),261.0)</f>
        <v>261</v>
      </c>
      <c r="E2584" s="2"/>
      <c r="F2584" s="2"/>
    </row>
    <row r="2585">
      <c r="A2585" s="2">
        <f>IFERROR(__xludf.DUMMYFUNCTION("""COMPUTED_VALUE"""),147317.0)</f>
        <v>147317</v>
      </c>
      <c r="B2585" s="2">
        <f>IFERROR(__xludf.DUMMYFUNCTION("""COMPUTED_VALUE"""),0.0)</f>
        <v>0</v>
      </c>
      <c r="C2585" s="2">
        <f>IFERROR(__xludf.DUMMYFUNCTION("""COMPUTED_VALUE"""),671.0)</f>
        <v>671</v>
      </c>
      <c r="D2585" s="3">
        <f>IFERROR(__xludf.DUMMYFUNCTION("""COMPUTED_VALUE"""),218.0)</f>
        <v>218</v>
      </c>
      <c r="E2585" s="2"/>
      <c r="F2585" s="2"/>
    </row>
    <row r="2586">
      <c r="A2586" s="2">
        <f>IFERROR(__xludf.DUMMYFUNCTION("""COMPUTED_VALUE"""),122177.0)</f>
        <v>122177</v>
      </c>
      <c r="B2586" s="2">
        <f>IFERROR(__xludf.DUMMYFUNCTION("""COMPUTED_VALUE"""),0.0)</f>
        <v>0</v>
      </c>
      <c r="C2586" s="2">
        <f>IFERROR(__xludf.DUMMYFUNCTION("""COMPUTED_VALUE"""),485.0)</f>
        <v>485</v>
      </c>
      <c r="D2586" s="3">
        <f>IFERROR(__xludf.DUMMYFUNCTION("""COMPUTED_VALUE"""),221.0)</f>
        <v>221</v>
      </c>
      <c r="E2586" s="2"/>
      <c r="F2586" s="2"/>
    </row>
    <row r="2587">
      <c r="A2587" s="2">
        <f>IFERROR(__xludf.DUMMYFUNCTION("""COMPUTED_VALUE"""),114909.0)</f>
        <v>114909</v>
      </c>
      <c r="B2587" s="2">
        <f>IFERROR(__xludf.DUMMYFUNCTION("""COMPUTED_VALUE"""),0.0)</f>
        <v>0</v>
      </c>
      <c r="C2587" s="2">
        <f>IFERROR(__xludf.DUMMYFUNCTION("""COMPUTED_VALUE"""),960.0)</f>
        <v>960</v>
      </c>
      <c r="D2587" s="3">
        <f>IFERROR(__xludf.DUMMYFUNCTION("""COMPUTED_VALUE"""),76.0)</f>
        <v>76</v>
      </c>
      <c r="E2587" s="2"/>
      <c r="F2587" s="2"/>
    </row>
    <row r="2588">
      <c r="A2588" s="2">
        <f>IFERROR(__xludf.DUMMYFUNCTION("""COMPUTED_VALUE"""),119230.0)</f>
        <v>119230</v>
      </c>
      <c r="B2588" s="2">
        <f>IFERROR(__xludf.DUMMYFUNCTION("""COMPUTED_VALUE"""),0.0)</f>
        <v>0</v>
      </c>
      <c r="C2588" s="2">
        <f>IFERROR(__xludf.DUMMYFUNCTION("""COMPUTED_VALUE"""),715.0)</f>
        <v>715</v>
      </c>
      <c r="D2588" s="3">
        <f>IFERROR(__xludf.DUMMYFUNCTION("""COMPUTED_VALUE"""),382.0)</f>
        <v>382</v>
      </c>
      <c r="E2588" s="2"/>
      <c r="F2588" s="2"/>
    </row>
    <row r="2589">
      <c r="A2589" s="2">
        <f>IFERROR(__xludf.DUMMYFUNCTION("""COMPUTED_VALUE"""),107109.0)</f>
        <v>107109</v>
      </c>
      <c r="B2589" s="2">
        <f>IFERROR(__xludf.DUMMYFUNCTION("""COMPUTED_VALUE"""),0.0)</f>
        <v>0</v>
      </c>
      <c r="C2589" s="2">
        <f>IFERROR(__xludf.DUMMYFUNCTION("""COMPUTED_VALUE"""),779.0)</f>
        <v>779</v>
      </c>
      <c r="D2589" s="3">
        <f>IFERROR(__xludf.DUMMYFUNCTION("""COMPUTED_VALUE"""),76.0)</f>
        <v>76</v>
      </c>
      <c r="E2589" s="2"/>
      <c r="F2589" s="2"/>
    </row>
    <row r="2590">
      <c r="A2590" s="2">
        <f>IFERROR(__xludf.DUMMYFUNCTION("""COMPUTED_VALUE"""),121461.0)</f>
        <v>121461</v>
      </c>
      <c r="B2590" s="2">
        <f>IFERROR(__xludf.DUMMYFUNCTION("""COMPUTED_VALUE"""),0.0)</f>
        <v>0</v>
      </c>
      <c r="C2590" s="2">
        <f>IFERROR(__xludf.DUMMYFUNCTION("""COMPUTED_VALUE"""),551.0)</f>
        <v>551</v>
      </c>
      <c r="D2590" s="3">
        <f>IFERROR(__xludf.DUMMYFUNCTION("""COMPUTED_VALUE"""),62.0)</f>
        <v>62</v>
      </c>
      <c r="E2590" s="2"/>
      <c r="F2590" s="2"/>
    </row>
    <row r="2591">
      <c r="A2591" s="2">
        <f>IFERROR(__xludf.DUMMYFUNCTION("""COMPUTED_VALUE"""),86413.0)</f>
        <v>86413</v>
      </c>
      <c r="B2591" s="2">
        <f>IFERROR(__xludf.DUMMYFUNCTION("""COMPUTED_VALUE"""),1.0)</f>
        <v>1</v>
      </c>
      <c r="C2591" s="2">
        <f>IFERROR(__xludf.DUMMYFUNCTION("""COMPUTED_VALUE"""),665.0)</f>
        <v>665</v>
      </c>
      <c r="D2591" s="3">
        <f>IFERROR(__xludf.DUMMYFUNCTION("""COMPUTED_VALUE"""),299.0)</f>
        <v>299</v>
      </c>
      <c r="E2591" s="2"/>
      <c r="F2591" s="2"/>
    </row>
    <row r="2592">
      <c r="A2592" s="2">
        <f>IFERROR(__xludf.DUMMYFUNCTION("""COMPUTED_VALUE"""),108511.0)</f>
        <v>108511</v>
      </c>
      <c r="B2592" s="2">
        <f>IFERROR(__xludf.DUMMYFUNCTION("""COMPUTED_VALUE"""),1.0)</f>
        <v>1</v>
      </c>
      <c r="C2592" s="2">
        <f>IFERROR(__xludf.DUMMYFUNCTION("""COMPUTED_VALUE"""),134.0)</f>
        <v>134</v>
      </c>
      <c r="D2592" s="3">
        <f>IFERROR(__xludf.DUMMYFUNCTION("""COMPUTED_VALUE"""),92.0)</f>
        <v>92</v>
      </c>
      <c r="E2592" s="2"/>
      <c r="F2592" s="2"/>
    </row>
    <row r="2593">
      <c r="A2593" s="2">
        <f>IFERROR(__xludf.DUMMYFUNCTION("""COMPUTED_VALUE"""),120877.0)</f>
        <v>120877</v>
      </c>
      <c r="B2593" s="2">
        <f>IFERROR(__xludf.DUMMYFUNCTION("""COMPUTED_VALUE"""),1.0)</f>
        <v>1</v>
      </c>
      <c r="C2593" s="2">
        <f>IFERROR(__xludf.DUMMYFUNCTION("""COMPUTED_VALUE"""),579.0)</f>
        <v>579</v>
      </c>
      <c r="D2593" s="3">
        <f>IFERROR(__xludf.DUMMYFUNCTION("""COMPUTED_VALUE"""),564.0)</f>
        <v>564</v>
      </c>
      <c r="E2593" s="2"/>
      <c r="F2593" s="2"/>
    </row>
    <row r="2594">
      <c r="A2594" s="2">
        <f>IFERROR(__xludf.DUMMYFUNCTION("""COMPUTED_VALUE"""),194052.0)</f>
        <v>194052</v>
      </c>
      <c r="B2594" s="2">
        <f>IFERROR(__xludf.DUMMYFUNCTION("""COMPUTED_VALUE"""),0.0)</f>
        <v>0</v>
      </c>
      <c r="C2594" s="2">
        <f>IFERROR(__xludf.DUMMYFUNCTION("""COMPUTED_VALUE"""),848.0)</f>
        <v>848</v>
      </c>
      <c r="D2594" s="3">
        <f>IFERROR(__xludf.DUMMYFUNCTION("""COMPUTED_VALUE"""),259.0)</f>
        <v>259</v>
      </c>
      <c r="E2594" s="2"/>
      <c r="F2594" s="2"/>
    </row>
    <row r="2595">
      <c r="A2595" s="2">
        <f>IFERROR(__xludf.DUMMYFUNCTION("""COMPUTED_VALUE"""),121493.0)</f>
        <v>121493</v>
      </c>
      <c r="B2595" s="2">
        <f>IFERROR(__xludf.DUMMYFUNCTION("""COMPUTED_VALUE"""),1.0)</f>
        <v>1</v>
      </c>
      <c r="C2595" s="2">
        <f>IFERROR(__xludf.DUMMYFUNCTION("""COMPUTED_VALUE"""),405.0)</f>
        <v>405</v>
      </c>
      <c r="D2595" s="3">
        <f>IFERROR(__xludf.DUMMYFUNCTION("""COMPUTED_VALUE"""),350.0)</f>
        <v>350</v>
      </c>
      <c r="E2595" s="2"/>
      <c r="F2595" s="2"/>
    </row>
    <row r="2596">
      <c r="A2596" s="2">
        <f>IFERROR(__xludf.DUMMYFUNCTION("""COMPUTED_VALUE"""),121479.0)</f>
        <v>121479</v>
      </c>
      <c r="B2596" s="2">
        <f>IFERROR(__xludf.DUMMYFUNCTION("""COMPUTED_VALUE"""),1.0)</f>
        <v>1</v>
      </c>
      <c r="C2596" s="2">
        <f>IFERROR(__xludf.DUMMYFUNCTION("""COMPUTED_VALUE"""),407.0)</f>
        <v>407</v>
      </c>
      <c r="D2596" s="3">
        <f>IFERROR(__xludf.DUMMYFUNCTION("""COMPUTED_VALUE"""),101.0)</f>
        <v>101</v>
      </c>
      <c r="E2596" s="2"/>
      <c r="F2596" s="2"/>
    </row>
    <row r="2597">
      <c r="A2597" s="2">
        <f>IFERROR(__xludf.DUMMYFUNCTION("""COMPUTED_VALUE"""),79011.0)</f>
        <v>79011</v>
      </c>
      <c r="B2597" s="2">
        <f>IFERROR(__xludf.DUMMYFUNCTION("""COMPUTED_VALUE"""),1.0)</f>
        <v>1</v>
      </c>
      <c r="C2597" s="2">
        <f>IFERROR(__xludf.DUMMYFUNCTION("""COMPUTED_VALUE"""),916.0)</f>
        <v>916</v>
      </c>
      <c r="D2597" s="3">
        <f>IFERROR(__xludf.DUMMYFUNCTION("""COMPUTED_VALUE"""),731.0)</f>
        <v>731</v>
      </c>
      <c r="E2597" s="2"/>
      <c r="F2597" s="2"/>
    </row>
    <row r="2598">
      <c r="A2598" s="2">
        <f>IFERROR(__xludf.DUMMYFUNCTION("""COMPUTED_VALUE"""),86470.0)</f>
        <v>86470</v>
      </c>
      <c r="B2598" s="2">
        <f>IFERROR(__xludf.DUMMYFUNCTION("""COMPUTED_VALUE"""),1.0)</f>
        <v>1</v>
      </c>
      <c r="C2598" s="2">
        <f>IFERROR(__xludf.DUMMYFUNCTION("""COMPUTED_VALUE"""),46.0)</f>
        <v>46</v>
      </c>
      <c r="D2598" s="3">
        <f>IFERROR(__xludf.DUMMYFUNCTION("""COMPUTED_VALUE"""),45.0)</f>
        <v>45</v>
      </c>
      <c r="E2598" s="2"/>
      <c r="F2598" s="2"/>
    </row>
    <row r="2599">
      <c r="A2599" s="2">
        <f>IFERROR(__xludf.DUMMYFUNCTION("""COMPUTED_VALUE"""),194997.0)</f>
        <v>194997</v>
      </c>
      <c r="B2599" s="2">
        <f>IFERROR(__xludf.DUMMYFUNCTION("""COMPUTED_VALUE"""),0.0)</f>
        <v>0</v>
      </c>
      <c r="C2599" s="2">
        <f>IFERROR(__xludf.DUMMYFUNCTION("""COMPUTED_VALUE"""),529.0)</f>
        <v>529</v>
      </c>
      <c r="D2599" s="3">
        <f>IFERROR(__xludf.DUMMYFUNCTION("""COMPUTED_VALUE"""),244.0)</f>
        <v>244</v>
      </c>
      <c r="E2599" s="2"/>
      <c r="F2599" s="2"/>
    </row>
    <row r="2600">
      <c r="A2600" s="2">
        <f>IFERROR(__xludf.DUMMYFUNCTION("""COMPUTED_VALUE"""),108515.0)</f>
        <v>108515</v>
      </c>
      <c r="B2600" s="2">
        <f>IFERROR(__xludf.DUMMYFUNCTION("""COMPUTED_VALUE"""),0.0)</f>
        <v>0</v>
      </c>
      <c r="C2600" s="2">
        <f>IFERROR(__xludf.DUMMYFUNCTION("""COMPUTED_VALUE"""),24.0)</f>
        <v>24</v>
      </c>
      <c r="D2600" s="3">
        <f>IFERROR(__xludf.DUMMYFUNCTION("""COMPUTED_VALUE"""),9.0)</f>
        <v>9</v>
      </c>
      <c r="E2600" s="2"/>
      <c r="F2600" s="2"/>
    </row>
    <row r="2601">
      <c r="A2601" s="2">
        <f>IFERROR(__xludf.DUMMYFUNCTION("""COMPUTED_VALUE"""),69346.0)</f>
        <v>69346</v>
      </c>
      <c r="B2601" s="2">
        <f>IFERROR(__xludf.DUMMYFUNCTION("""COMPUTED_VALUE"""),1.0)</f>
        <v>1</v>
      </c>
      <c r="C2601" s="2">
        <f>IFERROR(__xludf.DUMMYFUNCTION("""COMPUTED_VALUE"""),108.0)</f>
        <v>108</v>
      </c>
      <c r="D2601" s="3">
        <f>IFERROR(__xludf.DUMMYFUNCTION("""COMPUTED_VALUE"""),89.0)</f>
        <v>89</v>
      </c>
      <c r="E2601" s="2"/>
      <c r="F2601" s="2"/>
    </row>
    <row r="2602">
      <c r="A2602" s="2">
        <f>IFERROR(__xludf.DUMMYFUNCTION("""COMPUTED_VALUE"""),119971.0)</f>
        <v>119971</v>
      </c>
      <c r="B2602" s="2">
        <f>IFERROR(__xludf.DUMMYFUNCTION("""COMPUTED_VALUE"""),0.0)</f>
        <v>0</v>
      </c>
      <c r="C2602" s="2">
        <f>IFERROR(__xludf.DUMMYFUNCTION("""COMPUTED_VALUE"""),165.0)</f>
        <v>165</v>
      </c>
      <c r="D2602" s="3">
        <f>IFERROR(__xludf.DUMMYFUNCTION("""COMPUTED_VALUE"""),62.0)</f>
        <v>62</v>
      </c>
      <c r="E2602" s="2"/>
      <c r="F2602" s="2"/>
    </row>
    <row r="2603">
      <c r="A2603" s="2">
        <f>IFERROR(__xludf.DUMMYFUNCTION("""COMPUTED_VALUE"""),107274.0)</f>
        <v>107274</v>
      </c>
      <c r="B2603" s="2">
        <f>IFERROR(__xludf.DUMMYFUNCTION("""COMPUTED_VALUE"""),0.0)</f>
        <v>0</v>
      </c>
      <c r="C2603" s="2">
        <f>IFERROR(__xludf.DUMMYFUNCTION("""COMPUTED_VALUE"""),571.0)</f>
        <v>571</v>
      </c>
      <c r="D2603" s="3">
        <f>IFERROR(__xludf.DUMMYFUNCTION("""COMPUTED_VALUE"""),40.0)</f>
        <v>40</v>
      </c>
      <c r="E2603" s="2"/>
      <c r="F2603" s="2"/>
    </row>
    <row r="2604">
      <c r="A2604" s="2">
        <f>IFERROR(__xludf.DUMMYFUNCTION("""COMPUTED_VALUE"""),69451.0)</f>
        <v>69451</v>
      </c>
      <c r="B2604" s="2">
        <f>IFERROR(__xludf.DUMMYFUNCTION("""COMPUTED_VALUE"""),0.0)</f>
        <v>0</v>
      </c>
      <c r="C2604" s="2">
        <f>IFERROR(__xludf.DUMMYFUNCTION("""COMPUTED_VALUE"""),478.0)</f>
        <v>478</v>
      </c>
      <c r="D2604" s="3">
        <f>IFERROR(__xludf.DUMMYFUNCTION("""COMPUTED_VALUE"""),406.0)</f>
        <v>406</v>
      </c>
      <c r="E2604" s="2"/>
      <c r="F2604" s="2"/>
    </row>
    <row r="2605">
      <c r="A2605" s="2">
        <f>IFERROR(__xludf.DUMMYFUNCTION("""COMPUTED_VALUE"""),87416.0)</f>
        <v>87416</v>
      </c>
      <c r="B2605" s="2">
        <f>IFERROR(__xludf.DUMMYFUNCTION("""COMPUTED_VALUE"""),1.0)</f>
        <v>1</v>
      </c>
      <c r="C2605" s="2">
        <f>IFERROR(__xludf.DUMMYFUNCTION("""COMPUTED_VALUE"""),876.0)</f>
        <v>876</v>
      </c>
      <c r="D2605" s="3">
        <f>IFERROR(__xludf.DUMMYFUNCTION("""COMPUTED_VALUE"""),359.0)</f>
        <v>359</v>
      </c>
      <c r="E2605" s="2"/>
      <c r="F2605" s="2"/>
    </row>
    <row r="2606">
      <c r="A2606" s="2">
        <f>IFERROR(__xludf.DUMMYFUNCTION("""COMPUTED_VALUE"""),23667.0)</f>
        <v>23667</v>
      </c>
      <c r="B2606" s="2">
        <f>IFERROR(__xludf.DUMMYFUNCTION("""COMPUTED_VALUE"""),0.0)</f>
        <v>0</v>
      </c>
      <c r="C2606" s="2">
        <f>IFERROR(__xludf.DUMMYFUNCTION("""COMPUTED_VALUE"""),528.0)</f>
        <v>528</v>
      </c>
      <c r="D2606" s="3">
        <f>IFERROR(__xludf.DUMMYFUNCTION("""COMPUTED_VALUE"""),447.0)</f>
        <v>447</v>
      </c>
      <c r="E2606" s="2"/>
      <c r="F2606" s="2"/>
    </row>
    <row r="2607">
      <c r="A2607" s="2">
        <f>IFERROR(__xludf.DUMMYFUNCTION("""COMPUTED_VALUE"""),112770.0)</f>
        <v>112770</v>
      </c>
      <c r="B2607" s="2">
        <f>IFERROR(__xludf.DUMMYFUNCTION("""COMPUTED_VALUE"""),1.0)</f>
        <v>1</v>
      </c>
      <c r="C2607" s="2">
        <f>IFERROR(__xludf.DUMMYFUNCTION("""COMPUTED_VALUE"""),765.0)</f>
        <v>765</v>
      </c>
      <c r="D2607" s="3">
        <f>IFERROR(__xludf.DUMMYFUNCTION("""COMPUTED_VALUE"""),540.0)</f>
        <v>540</v>
      </c>
      <c r="E2607" s="2"/>
      <c r="F2607" s="2"/>
    </row>
    <row r="2608">
      <c r="A2608" s="2">
        <f>IFERROR(__xludf.DUMMYFUNCTION("""COMPUTED_VALUE"""),116186.0)</f>
        <v>116186</v>
      </c>
      <c r="B2608" s="2">
        <f>IFERROR(__xludf.DUMMYFUNCTION("""COMPUTED_VALUE"""),1.0)</f>
        <v>1</v>
      </c>
      <c r="C2608" s="2">
        <f>IFERROR(__xludf.DUMMYFUNCTION("""COMPUTED_VALUE"""),115.0)</f>
        <v>115</v>
      </c>
      <c r="D2608" s="3">
        <f>IFERROR(__xludf.DUMMYFUNCTION("""COMPUTED_VALUE"""),97.0)</f>
        <v>97</v>
      </c>
      <c r="E2608" s="2"/>
      <c r="F2608" s="2"/>
    </row>
    <row r="2609">
      <c r="A2609" s="2">
        <f>IFERROR(__xludf.DUMMYFUNCTION("""COMPUTED_VALUE"""),95413.0)</f>
        <v>95413</v>
      </c>
      <c r="B2609" s="2">
        <f>IFERROR(__xludf.DUMMYFUNCTION("""COMPUTED_VALUE"""),0.0)</f>
        <v>0</v>
      </c>
      <c r="C2609" s="2">
        <f>IFERROR(__xludf.DUMMYFUNCTION("""COMPUTED_VALUE"""),273.0)</f>
        <v>273</v>
      </c>
      <c r="D2609" s="3">
        <f>IFERROR(__xludf.DUMMYFUNCTION("""COMPUTED_VALUE"""),2.0)</f>
        <v>2</v>
      </c>
      <c r="E2609" s="2"/>
      <c r="F2609" s="2"/>
    </row>
    <row r="2610">
      <c r="A2610" s="2">
        <f>IFERROR(__xludf.DUMMYFUNCTION("""COMPUTED_VALUE"""),116184.0)</f>
        <v>116184</v>
      </c>
      <c r="B2610" s="2">
        <f>IFERROR(__xludf.DUMMYFUNCTION("""COMPUTED_VALUE"""),0.0)</f>
        <v>0</v>
      </c>
      <c r="C2610" s="2">
        <f>IFERROR(__xludf.DUMMYFUNCTION("""COMPUTED_VALUE"""),633.0)</f>
        <v>633</v>
      </c>
      <c r="D2610" s="3">
        <f>IFERROR(__xludf.DUMMYFUNCTION("""COMPUTED_VALUE"""),439.0)</f>
        <v>439</v>
      </c>
      <c r="E2610" s="2"/>
      <c r="F2610" s="2"/>
    </row>
    <row r="2611">
      <c r="A2611" s="2">
        <f>IFERROR(__xludf.DUMMYFUNCTION("""COMPUTED_VALUE"""),95412.0)</f>
        <v>95412</v>
      </c>
      <c r="B2611" s="2">
        <f>IFERROR(__xludf.DUMMYFUNCTION("""COMPUTED_VALUE"""),0.0)</f>
        <v>0</v>
      </c>
      <c r="C2611" s="2">
        <f>IFERROR(__xludf.DUMMYFUNCTION("""COMPUTED_VALUE"""),23.0)</f>
        <v>23</v>
      </c>
      <c r="D2611" s="3">
        <f>IFERROR(__xludf.DUMMYFUNCTION("""COMPUTED_VALUE"""),13.0)</f>
        <v>13</v>
      </c>
      <c r="E2611" s="2"/>
      <c r="F2611" s="2"/>
    </row>
    <row r="2612">
      <c r="A2612" s="2">
        <f>IFERROR(__xludf.DUMMYFUNCTION("""COMPUTED_VALUE"""),95414.0)</f>
        <v>95414</v>
      </c>
      <c r="B2612" s="2">
        <f>IFERROR(__xludf.DUMMYFUNCTION("""COMPUTED_VALUE"""),1.0)</f>
        <v>1</v>
      </c>
      <c r="C2612" s="2">
        <f>IFERROR(__xludf.DUMMYFUNCTION("""COMPUTED_VALUE"""),289.0)</f>
        <v>289</v>
      </c>
      <c r="D2612" s="3">
        <f>IFERROR(__xludf.DUMMYFUNCTION("""COMPUTED_VALUE"""),123.0)</f>
        <v>123</v>
      </c>
      <c r="E2612" s="2"/>
      <c r="F2612" s="2"/>
    </row>
    <row r="2613">
      <c r="A2613" s="2">
        <f>IFERROR(__xludf.DUMMYFUNCTION("""COMPUTED_VALUE"""),24088.0)</f>
        <v>24088</v>
      </c>
      <c r="B2613" s="2">
        <f>IFERROR(__xludf.DUMMYFUNCTION("""COMPUTED_VALUE"""),1.0)</f>
        <v>1</v>
      </c>
      <c r="C2613" s="2">
        <f>IFERROR(__xludf.DUMMYFUNCTION("""COMPUTED_VALUE"""),162.0)</f>
        <v>162</v>
      </c>
      <c r="D2613" s="3">
        <f>IFERROR(__xludf.DUMMYFUNCTION("""COMPUTED_VALUE"""),54.0)</f>
        <v>54</v>
      </c>
      <c r="E2613" s="2"/>
      <c r="F2613" s="2"/>
    </row>
    <row r="2614">
      <c r="A2614" s="2">
        <f>IFERROR(__xludf.DUMMYFUNCTION("""COMPUTED_VALUE"""),75156.0)</f>
        <v>75156</v>
      </c>
      <c r="B2614" s="2">
        <f>IFERROR(__xludf.DUMMYFUNCTION("""COMPUTED_VALUE"""),1.0)</f>
        <v>1</v>
      </c>
      <c r="C2614" s="2">
        <f>IFERROR(__xludf.DUMMYFUNCTION("""COMPUTED_VALUE"""),663.0)</f>
        <v>663</v>
      </c>
      <c r="D2614" s="3">
        <f>IFERROR(__xludf.DUMMYFUNCTION("""COMPUTED_VALUE"""),222.0)</f>
        <v>222</v>
      </c>
      <c r="E2614" s="2"/>
      <c r="F2614" s="2"/>
    </row>
    <row r="2615">
      <c r="A2615" s="2">
        <f>IFERROR(__xludf.DUMMYFUNCTION("""COMPUTED_VALUE"""),6216.0)</f>
        <v>6216</v>
      </c>
      <c r="B2615" s="2">
        <f>IFERROR(__xludf.DUMMYFUNCTION("""COMPUTED_VALUE"""),1.0)</f>
        <v>1</v>
      </c>
      <c r="C2615" s="2">
        <f>IFERROR(__xludf.DUMMYFUNCTION("""COMPUTED_VALUE"""),367.0)</f>
        <v>367</v>
      </c>
      <c r="D2615" s="3">
        <f>IFERROR(__xludf.DUMMYFUNCTION("""COMPUTED_VALUE"""),3.0)</f>
        <v>3</v>
      </c>
      <c r="E2615" s="2"/>
      <c r="F2615" s="2"/>
    </row>
    <row r="2616">
      <c r="A2616" s="2">
        <f>IFERROR(__xludf.DUMMYFUNCTION("""COMPUTED_VALUE"""),149867.0)</f>
        <v>149867</v>
      </c>
      <c r="B2616" s="2">
        <f>IFERROR(__xludf.DUMMYFUNCTION("""COMPUTED_VALUE"""),1.0)</f>
        <v>1</v>
      </c>
      <c r="C2616" s="2">
        <f>IFERROR(__xludf.DUMMYFUNCTION("""COMPUTED_VALUE"""),216.0)</f>
        <v>216</v>
      </c>
      <c r="D2616" s="3">
        <f>IFERROR(__xludf.DUMMYFUNCTION("""COMPUTED_VALUE"""),156.0)</f>
        <v>156</v>
      </c>
      <c r="E2616" s="2"/>
      <c r="F2616" s="2"/>
    </row>
    <row r="2617">
      <c r="A2617" s="2">
        <f>IFERROR(__xludf.DUMMYFUNCTION("""COMPUTED_VALUE"""),44037.0)</f>
        <v>44037</v>
      </c>
      <c r="B2617" s="2">
        <f>IFERROR(__xludf.DUMMYFUNCTION("""COMPUTED_VALUE"""),1.0)</f>
        <v>1</v>
      </c>
      <c r="C2617" s="2">
        <f>IFERROR(__xludf.DUMMYFUNCTION("""COMPUTED_VALUE"""),52.0)</f>
        <v>52</v>
      </c>
      <c r="D2617" s="3">
        <f>IFERROR(__xludf.DUMMYFUNCTION("""COMPUTED_VALUE"""),43.0)</f>
        <v>43</v>
      </c>
      <c r="E2617" s="2"/>
      <c r="F2617" s="2"/>
    </row>
    <row r="2618">
      <c r="A2618" s="2">
        <f>IFERROR(__xludf.DUMMYFUNCTION("""COMPUTED_VALUE"""),83029.0)</f>
        <v>83029</v>
      </c>
      <c r="B2618" s="2">
        <f>IFERROR(__xludf.DUMMYFUNCTION("""COMPUTED_VALUE"""),0.0)</f>
        <v>0</v>
      </c>
      <c r="C2618" s="2">
        <f>IFERROR(__xludf.DUMMYFUNCTION("""COMPUTED_VALUE"""),216.0)</f>
        <v>216</v>
      </c>
      <c r="D2618" s="3">
        <f>IFERROR(__xludf.DUMMYFUNCTION("""COMPUTED_VALUE"""),35.0)</f>
        <v>35</v>
      </c>
      <c r="E2618" s="2"/>
      <c r="F2618" s="2"/>
    </row>
    <row r="2619">
      <c r="A2619" s="2">
        <f>IFERROR(__xludf.DUMMYFUNCTION("""COMPUTED_VALUE"""),100395.0)</f>
        <v>100395</v>
      </c>
      <c r="B2619" s="2">
        <f>IFERROR(__xludf.DUMMYFUNCTION("""COMPUTED_VALUE"""),1.0)</f>
        <v>1</v>
      </c>
      <c r="C2619" s="2">
        <f>IFERROR(__xludf.DUMMYFUNCTION("""COMPUTED_VALUE"""),727.0)</f>
        <v>727</v>
      </c>
      <c r="D2619" s="3">
        <f>IFERROR(__xludf.DUMMYFUNCTION("""COMPUTED_VALUE"""),182.0)</f>
        <v>182</v>
      </c>
      <c r="E2619" s="2"/>
      <c r="F2619" s="2"/>
    </row>
    <row r="2620">
      <c r="A2620" s="2">
        <f>IFERROR(__xludf.DUMMYFUNCTION("""COMPUTED_VALUE"""),110437.0)</f>
        <v>110437</v>
      </c>
      <c r="B2620" s="2">
        <f>IFERROR(__xludf.DUMMYFUNCTION("""COMPUTED_VALUE"""),1.0)</f>
        <v>1</v>
      </c>
      <c r="C2620" s="2">
        <f>IFERROR(__xludf.DUMMYFUNCTION("""COMPUTED_VALUE"""),724.0)</f>
        <v>724</v>
      </c>
      <c r="D2620" s="3">
        <f>IFERROR(__xludf.DUMMYFUNCTION("""COMPUTED_VALUE"""),79.0)</f>
        <v>79</v>
      </c>
      <c r="E2620" s="2"/>
      <c r="F2620" s="2"/>
    </row>
    <row r="2621">
      <c r="A2621" s="2">
        <f>IFERROR(__xludf.DUMMYFUNCTION("""COMPUTED_VALUE"""),29430.0)</f>
        <v>29430</v>
      </c>
      <c r="B2621" s="2">
        <f>IFERROR(__xludf.DUMMYFUNCTION("""COMPUTED_VALUE"""),0.0)</f>
        <v>0</v>
      </c>
      <c r="C2621" s="2">
        <f>IFERROR(__xludf.DUMMYFUNCTION("""COMPUTED_VALUE"""),836.0)</f>
        <v>836</v>
      </c>
      <c r="D2621" s="3">
        <f>IFERROR(__xludf.DUMMYFUNCTION("""COMPUTED_VALUE"""),301.0)</f>
        <v>301</v>
      </c>
      <c r="E2621" s="2"/>
      <c r="F2621" s="2"/>
    </row>
    <row r="2622">
      <c r="A2622" s="2">
        <f>IFERROR(__xludf.DUMMYFUNCTION("""COMPUTED_VALUE"""),95416.0)</f>
        <v>95416</v>
      </c>
      <c r="B2622" s="2">
        <f>IFERROR(__xludf.DUMMYFUNCTION("""COMPUTED_VALUE"""),1.0)</f>
        <v>1</v>
      </c>
      <c r="C2622" s="2">
        <f>IFERROR(__xludf.DUMMYFUNCTION("""COMPUTED_VALUE"""),877.0)</f>
        <v>877</v>
      </c>
      <c r="D2622" s="3">
        <f>IFERROR(__xludf.DUMMYFUNCTION("""COMPUTED_VALUE"""),311.0)</f>
        <v>311</v>
      </c>
      <c r="E2622" s="2"/>
      <c r="F2622" s="2"/>
    </row>
    <row r="2623">
      <c r="A2623" s="2">
        <f>IFERROR(__xludf.DUMMYFUNCTION("""COMPUTED_VALUE"""),108493.0)</f>
        <v>108493</v>
      </c>
      <c r="B2623" s="2">
        <f>IFERROR(__xludf.DUMMYFUNCTION("""COMPUTED_VALUE"""),0.0)</f>
        <v>0</v>
      </c>
      <c r="C2623" s="2">
        <f>IFERROR(__xludf.DUMMYFUNCTION("""COMPUTED_VALUE"""),911.0)</f>
        <v>911</v>
      </c>
      <c r="D2623" s="3">
        <f>IFERROR(__xludf.DUMMYFUNCTION("""COMPUTED_VALUE"""),866.0)</f>
        <v>866</v>
      </c>
      <c r="E2623" s="2"/>
      <c r="F2623" s="2"/>
    </row>
    <row r="2624">
      <c r="A2624" s="2">
        <f>IFERROR(__xludf.DUMMYFUNCTION("""COMPUTED_VALUE"""),109293.0)</f>
        <v>109293</v>
      </c>
      <c r="B2624" s="2">
        <f>IFERROR(__xludf.DUMMYFUNCTION("""COMPUTED_VALUE"""),0.0)</f>
        <v>0</v>
      </c>
      <c r="C2624" s="2">
        <f>IFERROR(__xludf.DUMMYFUNCTION("""COMPUTED_VALUE"""),134.0)</f>
        <v>134</v>
      </c>
      <c r="D2624" s="3">
        <f>IFERROR(__xludf.DUMMYFUNCTION("""COMPUTED_VALUE"""),27.0)</f>
        <v>27</v>
      </c>
      <c r="E2624" s="2"/>
      <c r="F2624" s="2"/>
    </row>
    <row r="2625">
      <c r="A2625" s="2">
        <f>IFERROR(__xludf.DUMMYFUNCTION("""COMPUTED_VALUE"""),73581.0)</f>
        <v>73581</v>
      </c>
      <c r="B2625" s="2">
        <f>IFERROR(__xludf.DUMMYFUNCTION("""COMPUTED_VALUE"""),0.0)</f>
        <v>0</v>
      </c>
      <c r="C2625" s="2">
        <f>IFERROR(__xludf.DUMMYFUNCTION("""COMPUTED_VALUE"""),316.0)</f>
        <v>316</v>
      </c>
      <c r="D2625" s="3">
        <f>IFERROR(__xludf.DUMMYFUNCTION("""COMPUTED_VALUE"""),291.0)</f>
        <v>291</v>
      </c>
      <c r="E2625" s="2"/>
      <c r="F2625" s="2"/>
    </row>
    <row r="2626">
      <c r="A2626" s="2">
        <f>IFERROR(__xludf.DUMMYFUNCTION("""COMPUTED_VALUE"""),100396.0)</f>
        <v>100396</v>
      </c>
      <c r="B2626" s="2">
        <f>IFERROR(__xludf.DUMMYFUNCTION("""COMPUTED_VALUE"""),1.0)</f>
        <v>1</v>
      </c>
      <c r="C2626" s="2">
        <f>IFERROR(__xludf.DUMMYFUNCTION("""COMPUTED_VALUE"""),452.0)</f>
        <v>452</v>
      </c>
      <c r="D2626" s="3">
        <f>IFERROR(__xludf.DUMMYFUNCTION("""COMPUTED_VALUE"""),314.0)</f>
        <v>314</v>
      </c>
      <c r="E2626" s="2"/>
      <c r="F2626" s="2"/>
    </row>
    <row r="2627">
      <c r="A2627" s="2">
        <f>IFERROR(__xludf.DUMMYFUNCTION("""COMPUTED_VALUE"""),45917.0)</f>
        <v>45917</v>
      </c>
      <c r="B2627" s="2">
        <f>IFERROR(__xludf.DUMMYFUNCTION("""COMPUTED_VALUE"""),0.0)</f>
        <v>0</v>
      </c>
      <c r="C2627" s="2">
        <f>IFERROR(__xludf.DUMMYFUNCTION("""COMPUTED_VALUE"""),0.0)</f>
        <v>0</v>
      </c>
      <c r="D2627" s="3">
        <f>IFERROR(__xludf.DUMMYFUNCTION("""COMPUTED_VALUE"""),0.0)</f>
        <v>0</v>
      </c>
      <c r="E2627" s="2"/>
      <c r="F2627" s="2"/>
    </row>
    <row r="2628">
      <c r="A2628" s="2">
        <f>IFERROR(__xludf.DUMMYFUNCTION("""COMPUTED_VALUE"""),83420.0)</f>
        <v>83420</v>
      </c>
      <c r="B2628" s="2">
        <f>IFERROR(__xludf.DUMMYFUNCTION("""COMPUTED_VALUE"""),0.0)</f>
        <v>0</v>
      </c>
      <c r="C2628" s="2">
        <f>IFERROR(__xludf.DUMMYFUNCTION("""COMPUTED_VALUE"""),306.0)</f>
        <v>306</v>
      </c>
      <c r="D2628" s="3">
        <f>IFERROR(__xludf.DUMMYFUNCTION("""COMPUTED_VALUE"""),195.0)</f>
        <v>195</v>
      </c>
      <c r="E2628" s="2"/>
      <c r="F2628" s="2"/>
    </row>
    <row r="2629">
      <c r="A2629" s="2">
        <f>IFERROR(__xludf.DUMMYFUNCTION("""COMPUTED_VALUE"""),101591.0)</f>
        <v>101591</v>
      </c>
      <c r="B2629" s="2">
        <f>IFERROR(__xludf.DUMMYFUNCTION("""COMPUTED_VALUE"""),0.0)</f>
        <v>0</v>
      </c>
      <c r="C2629" s="2">
        <f>IFERROR(__xludf.DUMMYFUNCTION("""COMPUTED_VALUE"""),131.0)</f>
        <v>131</v>
      </c>
      <c r="D2629" s="3">
        <f>IFERROR(__xludf.DUMMYFUNCTION("""COMPUTED_VALUE"""),96.0)</f>
        <v>96</v>
      </c>
      <c r="E2629" s="2"/>
      <c r="F2629" s="2"/>
    </row>
    <row r="2630">
      <c r="A2630" s="2">
        <f>IFERROR(__xludf.DUMMYFUNCTION("""COMPUTED_VALUE"""),116181.0)</f>
        <v>116181</v>
      </c>
      <c r="B2630" s="2">
        <f>IFERROR(__xludf.DUMMYFUNCTION("""COMPUTED_VALUE"""),1.0)</f>
        <v>1</v>
      </c>
      <c r="C2630" s="2">
        <f>IFERROR(__xludf.DUMMYFUNCTION("""COMPUTED_VALUE"""),362.0)</f>
        <v>362</v>
      </c>
      <c r="D2630" s="3">
        <f>IFERROR(__xludf.DUMMYFUNCTION("""COMPUTED_VALUE"""),347.0)</f>
        <v>347</v>
      </c>
      <c r="E2630" s="2"/>
      <c r="F2630" s="2"/>
    </row>
    <row r="2631">
      <c r="A2631" s="2">
        <f>IFERROR(__xludf.DUMMYFUNCTION("""COMPUTED_VALUE"""),109300.0)</f>
        <v>109300</v>
      </c>
      <c r="B2631" s="2">
        <f>IFERROR(__xludf.DUMMYFUNCTION("""COMPUTED_VALUE"""),0.0)</f>
        <v>0</v>
      </c>
      <c r="C2631" s="2">
        <f>IFERROR(__xludf.DUMMYFUNCTION("""COMPUTED_VALUE"""),827.0)</f>
        <v>827</v>
      </c>
      <c r="D2631" s="3">
        <f>IFERROR(__xludf.DUMMYFUNCTION("""COMPUTED_VALUE"""),642.0)</f>
        <v>642</v>
      </c>
      <c r="E2631" s="2"/>
      <c r="F2631" s="2"/>
    </row>
    <row r="2632">
      <c r="A2632" s="2">
        <f>IFERROR(__xludf.DUMMYFUNCTION("""COMPUTED_VALUE"""),46160.0)</f>
        <v>46160</v>
      </c>
      <c r="B2632" s="2">
        <f>IFERROR(__xludf.DUMMYFUNCTION("""COMPUTED_VALUE"""),1.0)</f>
        <v>1</v>
      </c>
      <c r="C2632" s="2">
        <f>IFERROR(__xludf.DUMMYFUNCTION("""COMPUTED_VALUE"""),445.0)</f>
        <v>445</v>
      </c>
      <c r="D2632" s="3">
        <f>IFERROR(__xludf.DUMMYFUNCTION("""COMPUTED_VALUE"""),43.0)</f>
        <v>43</v>
      </c>
      <c r="E2632" s="2"/>
      <c r="F2632" s="2"/>
    </row>
    <row r="2633">
      <c r="A2633" s="2">
        <f>IFERROR(__xludf.DUMMYFUNCTION("""COMPUTED_VALUE"""),116202.0)</f>
        <v>116202</v>
      </c>
      <c r="B2633" s="2">
        <f>IFERROR(__xludf.DUMMYFUNCTION("""COMPUTED_VALUE"""),0.0)</f>
        <v>0</v>
      </c>
      <c r="C2633" s="2">
        <f>IFERROR(__xludf.DUMMYFUNCTION("""COMPUTED_VALUE"""),845.0)</f>
        <v>845</v>
      </c>
      <c r="D2633" s="3">
        <f>IFERROR(__xludf.DUMMYFUNCTION("""COMPUTED_VALUE"""),561.0)</f>
        <v>561</v>
      </c>
      <c r="E2633" s="2"/>
      <c r="F2633" s="2"/>
    </row>
    <row r="2634">
      <c r="A2634" s="2">
        <f>IFERROR(__xludf.DUMMYFUNCTION("""COMPUTED_VALUE"""),106884.0)</f>
        <v>106884</v>
      </c>
      <c r="B2634" s="2">
        <f>IFERROR(__xludf.DUMMYFUNCTION("""COMPUTED_VALUE"""),0.0)</f>
        <v>0</v>
      </c>
      <c r="C2634" s="2">
        <f>IFERROR(__xludf.DUMMYFUNCTION("""COMPUTED_VALUE"""),60.0)</f>
        <v>60</v>
      </c>
      <c r="D2634" s="3">
        <f>IFERROR(__xludf.DUMMYFUNCTION("""COMPUTED_VALUE"""),29.0)</f>
        <v>29</v>
      </c>
      <c r="E2634" s="2"/>
      <c r="F2634" s="2"/>
    </row>
    <row r="2635">
      <c r="A2635" s="2">
        <f>IFERROR(__xludf.DUMMYFUNCTION("""COMPUTED_VALUE"""),98598.0)</f>
        <v>98598</v>
      </c>
      <c r="B2635" s="2">
        <f>IFERROR(__xludf.DUMMYFUNCTION("""COMPUTED_VALUE"""),0.0)</f>
        <v>0</v>
      </c>
      <c r="C2635" s="2">
        <f>IFERROR(__xludf.DUMMYFUNCTION("""COMPUTED_VALUE"""),963.0)</f>
        <v>963</v>
      </c>
      <c r="D2635" s="3">
        <f>IFERROR(__xludf.DUMMYFUNCTION("""COMPUTED_VALUE"""),370.0)</f>
        <v>370</v>
      </c>
      <c r="E2635" s="2"/>
      <c r="F2635" s="2"/>
    </row>
    <row r="2636">
      <c r="A2636" s="2">
        <f>IFERROR(__xludf.DUMMYFUNCTION("""COMPUTED_VALUE"""),78515.0)</f>
        <v>78515</v>
      </c>
      <c r="B2636" s="2">
        <f>IFERROR(__xludf.DUMMYFUNCTION("""COMPUTED_VALUE"""),0.0)</f>
        <v>0</v>
      </c>
      <c r="C2636" s="2">
        <f>IFERROR(__xludf.DUMMYFUNCTION("""COMPUTED_VALUE"""),941.0)</f>
        <v>941</v>
      </c>
      <c r="D2636" s="3">
        <f>IFERROR(__xludf.DUMMYFUNCTION("""COMPUTED_VALUE"""),726.0)</f>
        <v>726</v>
      </c>
      <c r="E2636" s="2"/>
      <c r="F2636" s="2"/>
    </row>
    <row r="2637">
      <c r="A2637" s="2">
        <f>IFERROR(__xludf.DUMMYFUNCTION("""COMPUTED_VALUE"""),46154.0)</f>
        <v>46154</v>
      </c>
      <c r="B2637" s="2">
        <f>IFERROR(__xludf.DUMMYFUNCTION("""COMPUTED_VALUE"""),0.0)</f>
        <v>0</v>
      </c>
      <c r="C2637" s="2">
        <f>IFERROR(__xludf.DUMMYFUNCTION("""COMPUTED_VALUE"""),175.0)</f>
        <v>175</v>
      </c>
      <c r="D2637" s="3">
        <f>IFERROR(__xludf.DUMMYFUNCTION("""COMPUTED_VALUE"""),154.0)</f>
        <v>154</v>
      </c>
      <c r="E2637" s="2"/>
      <c r="F2637" s="2"/>
    </row>
    <row r="2638">
      <c r="A2638" s="2">
        <f>IFERROR(__xludf.DUMMYFUNCTION("""COMPUTED_VALUE"""),23668.0)</f>
        <v>23668</v>
      </c>
      <c r="B2638" s="2">
        <f>IFERROR(__xludf.DUMMYFUNCTION("""COMPUTED_VALUE"""),1.0)</f>
        <v>1</v>
      </c>
      <c r="C2638" s="2">
        <f>IFERROR(__xludf.DUMMYFUNCTION("""COMPUTED_VALUE"""),697.0)</f>
        <v>697</v>
      </c>
      <c r="D2638" s="3">
        <f>IFERROR(__xludf.DUMMYFUNCTION("""COMPUTED_VALUE"""),583.0)</f>
        <v>583</v>
      </c>
      <c r="E2638" s="2"/>
      <c r="F2638" s="2"/>
    </row>
    <row r="2639">
      <c r="A2639" s="2">
        <f>IFERROR(__xludf.DUMMYFUNCTION("""COMPUTED_VALUE"""),107900.0)</f>
        <v>107900</v>
      </c>
      <c r="B2639" s="2">
        <f>IFERROR(__xludf.DUMMYFUNCTION("""COMPUTED_VALUE"""),1.0)</f>
        <v>1</v>
      </c>
      <c r="C2639" s="2">
        <f>IFERROR(__xludf.DUMMYFUNCTION("""COMPUTED_VALUE"""),771.0)</f>
        <v>771</v>
      </c>
      <c r="D2639" s="3">
        <f>IFERROR(__xludf.DUMMYFUNCTION("""COMPUTED_VALUE"""),317.0)</f>
        <v>317</v>
      </c>
      <c r="E2639" s="2"/>
      <c r="F2639" s="2"/>
    </row>
    <row r="2640">
      <c r="A2640" s="2">
        <f>IFERROR(__xludf.DUMMYFUNCTION("""COMPUTED_VALUE"""),85037.0)</f>
        <v>85037</v>
      </c>
      <c r="B2640" s="2">
        <f>IFERROR(__xludf.DUMMYFUNCTION("""COMPUTED_VALUE"""),0.0)</f>
        <v>0</v>
      </c>
      <c r="C2640" s="2">
        <f>IFERROR(__xludf.DUMMYFUNCTION("""COMPUTED_VALUE"""),915.0)</f>
        <v>915</v>
      </c>
      <c r="D2640" s="3">
        <f>IFERROR(__xludf.DUMMYFUNCTION("""COMPUTED_VALUE"""),50.0)</f>
        <v>50</v>
      </c>
      <c r="E2640" s="2"/>
      <c r="F2640" s="2"/>
    </row>
    <row r="2641">
      <c r="A2641" s="2">
        <f>IFERROR(__xludf.DUMMYFUNCTION("""COMPUTED_VALUE"""),49182.0)</f>
        <v>49182</v>
      </c>
      <c r="B2641" s="2">
        <f>IFERROR(__xludf.DUMMYFUNCTION("""COMPUTED_VALUE"""),1.0)</f>
        <v>1</v>
      </c>
      <c r="C2641" s="2">
        <f>IFERROR(__xludf.DUMMYFUNCTION("""COMPUTED_VALUE"""),145.0)</f>
        <v>145</v>
      </c>
      <c r="D2641" s="3">
        <f>IFERROR(__xludf.DUMMYFUNCTION("""COMPUTED_VALUE"""),15.0)</f>
        <v>15</v>
      </c>
      <c r="E2641" s="2"/>
      <c r="F2641" s="2"/>
    </row>
    <row r="2642">
      <c r="A2642" s="2">
        <f>IFERROR(__xludf.DUMMYFUNCTION("""COMPUTED_VALUE"""),69111.0)</f>
        <v>69111</v>
      </c>
      <c r="B2642" s="2">
        <f>IFERROR(__xludf.DUMMYFUNCTION("""COMPUTED_VALUE"""),1.0)</f>
        <v>1</v>
      </c>
      <c r="C2642" s="2">
        <f>IFERROR(__xludf.DUMMYFUNCTION("""COMPUTED_VALUE"""),226.0)</f>
        <v>226</v>
      </c>
      <c r="D2642" s="3">
        <f>IFERROR(__xludf.DUMMYFUNCTION("""COMPUTED_VALUE"""),55.0)</f>
        <v>55</v>
      </c>
      <c r="E2642" s="2"/>
      <c r="F2642" s="2"/>
    </row>
    <row r="2643">
      <c r="A2643" s="2">
        <f>IFERROR(__xludf.DUMMYFUNCTION("""COMPUTED_VALUE"""),80054.0)</f>
        <v>80054</v>
      </c>
      <c r="B2643" s="2">
        <f>IFERROR(__xludf.DUMMYFUNCTION("""COMPUTED_VALUE"""),1.0)</f>
        <v>1</v>
      </c>
      <c r="C2643" s="2">
        <f>IFERROR(__xludf.DUMMYFUNCTION("""COMPUTED_VALUE"""),402.0)</f>
        <v>402</v>
      </c>
      <c r="D2643" s="3">
        <f>IFERROR(__xludf.DUMMYFUNCTION("""COMPUTED_VALUE"""),157.0)</f>
        <v>157</v>
      </c>
      <c r="E2643" s="2"/>
      <c r="F2643" s="2"/>
    </row>
    <row r="2644">
      <c r="A2644" s="2">
        <f>IFERROR(__xludf.DUMMYFUNCTION("""COMPUTED_VALUE"""),79782.0)</f>
        <v>79782</v>
      </c>
      <c r="B2644" s="2">
        <f>IFERROR(__xludf.DUMMYFUNCTION("""COMPUTED_VALUE"""),1.0)</f>
        <v>1</v>
      </c>
      <c r="C2644" s="2">
        <f>IFERROR(__xludf.DUMMYFUNCTION("""COMPUTED_VALUE"""),426.0)</f>
        <v>426</v>
      </c>
      <c r="D2644" s="3">
        <f>IFERROR(__xludf.DUMMYFUNCTION("""COMPUTED_VALUE"""),252.0)</f>
        <v>252</v>
      </c>
      <c r="E2644" s="2"/>
      <c r="F2644" s="2"/>
    </row>
    <row r="2645">
      <c r="A2645" s="2">
        <f>IFERROR(__xludf.DUMMYFUNCTION("""COMPUTED_VALUE"""),80045.0)</f>
        <v>80045</v>
      </c>
      <c r="B2645" s="2">
        <f>IFERROR(__xludf.DUMMYFUNCTION("""COMPUTED_VALUE"""),1.0)</f>
        <v>1</v>
      </c>
      <c r="C2645" s="2">
        <f>IFERROR(__xludf.DUMMYFUNCTION("""COMPUTED_VALUE"""),75.0)</f>
        <v>75</v>
      </c>
      <c r="D2645" s="3">
        <f>IFERROR(__xludf.DUMMYFUNCTION("""COMPUTED_VALUE"""),7.0)</f>
        <v>7</v>
      </c>
      <c r="E2645" s="2"/>
      <c r="F2645" s="2"/>
    </row>
    <row r="2646">
      <c r="A2646" s="2">
        <f>IFERROR(__xludf.DUMMYFUNCTION("""COMPUTED_VALUE"""),69108.0)</f>
        <v>69108</v>
      </c>
      <c r="B2646" s="2">
        <f>IFERROR(__xludf.DUMMYFUNCTION("""COMPUTED_VALUE"""),0.0)</f>
        <v>0</v>
      </c>
      <c r="C2646" s="2">
        <f>IFERROR(__xludf.DUMMYFUNCTION("""COMPUTED_VALUE"""),572.0)</f>
        <v>572</v>
      </c>
      <c r="D2646" s="3">
        <f>IFERROR(__xludf.DUMMYFUNCTION("""COMPUTED_VALUE"""),4.0)</f>
        <v>4</v>
      </c>
      <c r="E2646" s="2"/>
      <c r="F2646" s="2"/>
    </row>
    <row r="2647">
      <c r="A2647" s="2">
        <f>IFERROR(__xludf.DUMMYFUNCTION("""COMPUTED_VALUE"""),69112.0)</f>
        <v>69112</v>
      </c>
      <c r="B2647" s="2">
        <f>IFERROR(__xludf.DUMMYFUNCTION("""COMPUTED_VALUE"""),1.0)</f>
        <v>1</v>
      </c>
      <c r="C2647" s="2">
        <f>IFERROR(__xludf.DUMMYFUNCTION("""COMPUTED_VALUE"""),139.0)</f>
        <v>139</v>
      </c>
      <c r="D2647" s="3">
        <f>IFERROR(__xludf.DUMMYFUNCTION("""COMPUTED_VALUE"""),94.0)</f>
        <v>94</v>
      </c>
      <c r="E2647" s="2"/>
      <c r="F2647" s="2"/>
    </row>
    <row r="2648">
      <c r="A2648" s="2">
        <f>IFERROR(__xludf.DUMMYFUNCTION("""COMPUTED_VALUE"""),121992.0)</f>
        <v>121992</v>
      </c>
      <c r="B2648" s="2">
        <f>IFERROR(__xludf.DUMMYFUNCTION("""COMPUTED_VALUE"""),0.0)</f>
        <v>0</v>
      </c>
      <c r="C2648" s="2">
        <f>IFERROR(__xludf.DUMMYFUNCTION("""COMPUTED_VALUE"""),822.0)</f>
        <v>822</v>
      </c>
      <c r="D2648" s="3">
        <f>IFERROR(__xludf.DUMMYFUNCTION("""COMPUTED_VALUE"""),378.0)</f>
        <v>378</v>
      </c>
      <c r="E2648" s="2"/>
      <c r="F2648" s="2"/>
    </row>
    <row r="2649">
      <c r="A2649" s="2">
        <f>IFERROR(__xludf.DUMMYFUNCTION("""COMPUTED_VALUE"""),80048.0)</f>
        <v>80048</v>
      </c>
      <c r="B2649" s="2">
        <f>IFERROR(__xludf.DUMMYFUNCTION("""COMPUTED_VALUE"""),0.0)</f>
        <v>0</v>
      </c>
      <c r="C2649" s="2">
        <f>IFERROR(__xludf.DUMMYFUNCTION("""COMPUTED_VALUE"""),834.0)</f>
        <v>834</v>
      </c>
      <c r="D2649" s="3">
        <f>IFERROR(__xludf.DUMMYFUNCTION("""COMPUTED_VALUE"""),734.0)</f>
        <v>734</v>
      </c>
      <c r="E2649" s="2"/>
      <c r="F2649" s="2"/>
    </row>
    <row r="2650">
      <c r="A2650" s="2">
        <f>IFERROR(__xludf.DUMMYFUNCTION("""COMPUTED_VALUE"""),121982.0)</f>
        <v>121982</v>
      </c>
      <c r="B2650" s="2">
        <f>IFERROR(__xludf.DUMMYFUNCTION("""COMPUTED_VALUE"""),0.0)</f>
        <v>0</v>
      </c>
      <c r="C2650" s="2">
        <f>IFERROR(__xludf.DUMMYFUNCTION("""COMPUTED_VALUE"""),443.0)</f>
        <v>443</v>
      </c>
      <c r="D2650" s="3">
        <f>IFERROR(__xludf.DUMMYFUNCTION("""COMPUTED_VALUE"""),13.0)</f>
        <v>13</v>
      </c>
      <c r="E2650" s="2"/>
      <c r="F2650" s="2"/>
    </row>
    <row r="2651">
      <c r="A2651" s="2">
        <f>IFERROR(__xludf.DUMMYFUNCTION("""COMPUTED_VALUE"""),121974.0)</f>
        <v>121974</v>
      </c>
      <c r="B2651" s="2">
        <f>IFERROR(__xludf.DUMMYFUNCTION("""COMPUTED_VALUE"""),1.0)</f>
        <v>1</v>
      </c>
      <c r="C2651" s="2">
        <f>IFERROR(__xludf.DUMMYFUNCTION("""COMPUTED_VALUE"""),5.0)</f>
        <v>5</v>
      </c>
      <c r="D2651" s="3">
        <f>IFERROR(__xludf.DUMMYFUNCTION("""COMPUTED_VALUE"""),1.0)</f>
        <v>1</v>
      </c>
      <c r="E2651" s="2"/>
      <c r="F2651" s="2"/>
    </row>
    <row r="2652">
      <c r="A2652" s="2">
        <f>IFERROR(__xludf.DUMMYFUNCTION("""COMPUTED_VALUE"""),69110.0)</f>
        <v>69110</v>
      </c>
      <c r="B2652" s="2">
        <f>IFERROR(__xludf.DUMMYFUNCTION("""COMPUTED_VALUE"""),0.0)</f>
        <v>0</v>
      </c>
      <c r="C2652" s="2">
        <f>IFERROR(__xludf.DUMMYFUNCTION("""COMPUTED_VALUE"""),235.0)</f>
        <v>235</v>
      </c>
      <c r="D2652" s="3">
        <f>IFERROR(__xludf.DUMMYFUNCTION("""COMPUTED_VALUE"""),54.0)</f>
        <v>54</v>
      </c>
      <c r="E2652" s="2"/>
      <c r="F2652" s="2"/>
    </row>
    <row r="2653">
      <c r="A2653" s="2">
        <f>IFERROR(__xludf.DUMMYFUNCTION("""COMPUTED_VALUE"""),23540.0)</f>
        <v>23540</v>
      </c>
      <c r="B2653" s="2">
        <f>IFERROR(__xludf.DUMMYFUNCTION("""COMPUTED_VALUE"""),0.0)</f>
        <v>0</v>
      </c>
      <c r="C2653" s="2">
        <f>IFERROR(__xludf.DUMMYFUNCTION("""COMPUTED_VALUE"""),718.0)</f>
        <v>718</v>
      </c>
      <c r="D2653" s="3">
        <f>IFERROR(__xludf.DUMMYFUNCTION("""COMPUTED_VALUE"""),225.0)</f>
        <v>225</v>
      </c>
      <c r="E2653" s="2"/>
      <c r="F2653" s="2"/>
    </row>
    <row r="2654">
      <c r="A2654" s="2">
        <f>IFERROR(__xludf.DUMMYFUNCTION("""COMPUTED_VALUE"""),69123.0)</f>
        <v>69123</v>
      </c>
      <c r="B2654" s="2">
        <f>IFERROR(__xludf.DUMMYFUNCTION("""COMPUTED_VALUE"""),1.0)</f>
        <v>1</v>
      </c>
      <c r="C2654" s="2">
        <f>IFERROR(__xludf.DUMMYFUNCTION("""COMPUTED_VALUE"""),740.0)</f>
        <v>740</v>
      </c>
      <c r="D2654" s="3">
        <f>IFERROR(__xludf.DUMMYFUNCTION("""COMPUTED_VALUE"""),9.0)</f>
        <v>9</v>
      </c>
      <c r="E2654" s="2"/>
      <c r="F2654" s="2"/>
    </row>
    <row r="2655">
      <c r="A2655" s="2">
        <f>IFERROR(__xludf.DUMMYFUNCTION("""COMPUTED_VALUE"""),121984.0)</f>
        <v>121984</v>
      </c>
      <c r="B2655" s="2">
        <f>IFERROR(__xludf.DUMMYFUNCTION("""COMPUTED_VALUE"""),1.0)</f>
        <v>1</v>
      </c>
      <c r="C2655" s="2">
        <f>IFERROR(__xludf.DUMMYFUNCTION("""COMPUTED_VALUE"""),457.0)</f>
        <v>457</v>
      </c>
      <c r="D2655" s="3">
        <f>IFERROR(__xludf.DUMMYFUNCTION("""COMPUTED_VALUE"""),109.0)</f>
        <v>109</v>
      </c>
      <c r="E2655" s="2"/>
      <c r="F2655" s="2"/>
    </row>
    <row r="2656">
      <c r="A2656" s="2">
        <f>IFERROR(__xludf.DUMMYFUNCTION("""COMPUTED_VALUE"""),121979.0)</f>
        <v>121979</v>
      </c>
      <c r="B2656" s="2">
        <f>IFERROR(__xludf.DUMMYFUNCTION("""COMPUTED_VALUE"""),0.0)</f>
        <v>0</v>
      </c>
      <c r="C2656" s="2">
        <f>IFERROR(__xludf.DUMMYFUNCTION("""COMPUTED_VALUE"""),723.0)</f>
        <v>723</v>
      </c>
      <c r="D2656" s="3">
        <f>IFERROR(__xludf.DUMMYFUNCTION("""COMPUTED_VALUE"""),258.0)</f>
        <v>258</v>
      </c>
      <c r="E2656" s="2"/>
      <c r="F2656" s="2"/>
    </row>
    <row r="2657">
      <c r="A2657" s="2">
        <f>IFERROR(__xludf.DUMMYFUNCTION("""COMPUTED_VALUE"""),80043.0)</f>
        <v>80043</v>
      </c>
      <c r="B2657" s="2">
        <f>IFERROR(__xludf.DUMMYFUNCTION("""COMPUTED_VALUE"""),1.0)</f>
        <v>1</v>
      </c>
      <c r="C2657" s="2">
        <f>IFERROR(__xludf.DUMMYFUNCTION("""COMPUTED_VALUE"""),391.0)</f>
        <v>391</v>
      </c>
      <c r="D2657" s="3">
        <f>IFERROR(__xludf.DUMMYFUNCTION("""COMPUTED_VALUE"""),173.0)</f>
        <v>173</v>
      </c>
      <c r="E2657" s="2"/>
      <c r="F2657" s="2"/>
    </row>
    <row r="2658">
      <c r="A2658" s="2">
        <f>IFERROR(__xludf.DUMMYFUNCTION("""COMPUTED_VALUE"""),100326.0)</f>
        <v>100326</v>
      </c>
      <c r="B2658" s="2">
        <f>IFERROR(__xludf.DUMMYFUNCTION("""COMPUTED_VALUE"""),1.0)</f>
        <v>1</v>
      </c>
      <c r="C2658" s="2">
        <f>IFERROR(__xludf.DUMMYFUNCTION("""COMPUTED_VALUE"""),592.0)</f>
        <v>592</v>
      </c>
      <c r="D2658" s="3">
        <f>IFERROR(__xludf.DUMMYFUNCTION("""COMPUTED_VALUE"""),208.0)</f>
        <v>208</v>
      </c>
      <c r="E2658" s="2"/>
      <c r="F2658" s="2"/>
    </row>
    <row r="2659">
      <c r="A2659" s="2">
        <f>IFERROR(__xludf.DUMMYFUNCTION("""COMPUTED_VALUE"""),69117.0)</f>
        <v>69117</v>
      </c>
      <c r="B2659" s="2">
        <f>IFERROR(__xludf.DUMMYFUNCTION("""COMPUTED_VALUE"""),0.0)</f>
        <v>0</v>
      </c>
      <c r="C2659" s="2">
        <f>IFERROR(__xludf.DUMMYFUNCTION("""COMPUTED_VALUE"""),510.0)</f>
        <v>510</v>
      </c>
      <c r="D2659" s="3">
        <f>IFERROR(__xludf.DUMMYFUNCTION("""COMPUTED_VALUE"""),208.0)</f>
        <v>208</v>
      </c>
      <c r="E2659" s="2"/>
      <c r="F2659" s="2"/>
    </row>
    <row r="2660">
      <c r="A2660" s="2">
        <f>IFERROR(__xludf.DUMMYFUNCTION("""COMPUTED_VALUE"""),100334.0)</f>
        <v>100334</v>
      </c>
      <c r="B2660" s="2">
        <f>IFERROR(__xludf.DUMMYFUNCTION("""COMPUTED_VALUE"""),1.0)</f>
        <v>1</v>
      </c>
      <c r="C2660" s="2">
        <f>IFERROR(__xludf.DUMMYFUNCTION("""COMPUTED_VALUE"""),347.0)</f>
        <v>347</v>
      </c>
      <c r="D2660" s="3">
        <f>IFERROR(__xludf.DUMMYFUNCTION("""COMPUTED_VALUE"""),132.0)</f>
        <v>132</v>
      </c>
      <c r="E2660" s="2"/>
      <c r="F2660" s="2"/>
    </row>
    <row r="2661">
      <c r="A2661" s="2">
        <f>IFERROR(__xludf.DUMMYFUNCTION("""COMPUTED_VALUE"""),69120.0)</f>
        <v>69120</v>
      </c>
      <c r="B2661" s="2">
        <f>IFERROR(__xludf.DUMMYFUNCTION("""COMPUTED_VALUE"""),0.0)</f>
        <v>0</v>
      </c>
      <c r="C2661" s="2">
        <f>IFERROR(__xludf.DUMMYFUNCTION("""COMPUTED_VALUE"""),710.0)</f>
        <v>710</v>
      </c>
      <c r="D2661" s="3">
        <f>IFERROR(__xludf.DUMMYFUNCTION("""COMPUTED_VALUE"""),638.0)</f>
        <v>638</v>
      </c>
      <c r="E2661" s="2"/>
      <c r="F2661" s="2"/>
    </row>
    <row r="2662">
      <c r="A2662" s="2">
        <f>IFERROR(__xludf.DUMMYFUNCTION("""COMPUTED_VALUE"""),69119.0)</f>
        <v>69119</v>
      </c>
      <c r="B2662" s="2">
        <f>IFERROR(__xludf.DUMMYFUNCTION("""COMPUTED_VALUE"""),0.0)</f>
        <v>0</v>
      </c>
      <c r="C2662" s="2">
        <f>IFERROR(__xludf.DUMMYFUNCTION("""COMPUTED_VALUE"""),781.0)</f>
        <v>781</v>
      </c>
      <c r="D2662" s="3">
        <f>IFERROR(__xludf.DUMMYFUNCTION("""COMPUTED_VALUE"""),131.0)</f>
        <v>131</v>
      </c>
      <c r="E2662" s="2"/>
      <c r="F2662" s="2"/>
    </row>
    <row r="2663">
      <c r="A2663" s="2">
        <f>IFERROR(__xludf.DUMMYFUNCTION("""COMPUTED_VALUE"""),69118.0)</f>
        <v>69118</v>
      </c>
      <c r="B2663" s="2">
        <f>IFERROR(__xludf.DUMMYFUNCTION("""COMPUTED_VALUE"""),1.0)</f>
        <v>1</v>
      </c>
      <c r="C2663" s="2">
        <f>IFERROR(__xludf.DUMMYFUNCTION("""COMPUTED_VALUE"""),385.0)</f>
        <v>385</v>
      </c>
      <c r="D2663" s="3">
        <f>IFERROR(__xludf.DUMMYFUNCTION("""COMPUTED_VALUE"""),164.0)</f>
        <v>164</v>
      </c>
      <c r="E2663" s="2"/>
      <c r="F2663" s="2"/>
    </row>
    <row r="2664">
      <c r="A2664" s="2">
        <f>IFERROR(__xludf.DUMMYFUNCTION("""COMPUTED_VALUE"""),80044.0)</f>
        <v>80044</v>
      </c>
      <c r="B2664" s="2">
        <f>IFERROR(__xludf.DUMMYFUNCTION("""COMPUTED_VALUE"""),0.0)</f>
        <v>0</v>
      </c>
      <c r="C2664" s="2">
        <f>IFERROR(__xludf.DUMMYFUNCTION("""COMPUTED_VALUE"""),197.0)</f>
        <v>197</v>
      </c>
      <c r="D2664" s="3">
        <f>IFERROR(__xludf.DUMMYFUNCTION("""COMPUTED_VALUE"""),125.0)</f>
        <v>125</v>
      </c>
      <c r="E2664" s="2"/>
      <c r="F2664" s="2"/>
    </row>
    <row r="2665">
      <c r="A2665" s="2">
        <f>IFERROR(__xludf.DUMMYFUNCTION("""COMPUTED_VALUE"""),23556.0)</f>
        <v>23556</v>
      </c>
      <c r="B2665" s="2">
        <f>IFERROR(__xludf.DUMMYFUNCTION("""COMPUTED_VALUE"""),0.0)</f>
        <v>0</v>
      </c>
      <c r="C2665" s="2">
        <f>IFERROR(__xludf.DUMMYFUNCTION("""COMPUTED_VALUE"""),-14.0)</f>
        <v>-14</v>
      </c>
      <c r="D2665" s="3">
        <f>IFERROR(__xludf.DUMMYFUNCTION("""COMPUTED_VALUE"""),0.0)</f>
        <v>0</v>
      </c>
      <c r="E2665" s="2"/>
      <c r="F2665" s="2"/>
    </row>
    <row r="2666">
      <c r="A2666" s="2">
        <f>IFERROR(__xludf.DUMMYFUNCTION("""COMPUTED_VALUE"""),69114.0)</f>
        <v>69114</v>
      </c>
      <c r="B2666" s="2">
        <f>IFERROR(__xludf.DUMMYFUNCTION("""COMPUTED_VALUE"""),0.0)</f>
        <v>0</v>
      </c>
      <c r="C2666" s="2">
        <f>IFERROR(__xludf.DUMMYFUNCTION("""COMPUTED_VALUE"""),322.0)</f>
        <v>322</v>
      </c>
      <c r="D2666" s="3">
        <f>IFERROR(__xludf.DUMMYFUNCTION("""COMPUTED_VALUE"""),118.0)</f>
        <v>118</v>
      </c>
      <c r="E2666" s="2"/>
      <c r="F2666" s="2"/>
    </row>
    <row r="2667">
      <c r="A2667" s="2">
        <f>IFERROR(__xludf.DUMMYFUNCTION("""COMPUTED_VALUE"""),79778.0)</f>
        <v>79778</v>
      </c>
      <c r="B2667" s="2">
        <f>IFERROR(__xludf.DUMMYFUNCTION("""COMPUTED_VALUE"""),0.0)</f>
        <v>0</v>
      </c>
      <c r="C2667" s="2">
        <f>IFERROR(__xludf.DUMMYFUNCTION("""COMPUTED_VALUE"""),488.0)</f>
        <v>488</v>
      </c>
      <c r="D2667" s="3">
        <f>IFERROR(__xludf.DUMMYFUNCTION("""COMPUTED_VALUE"""),37.0)</f>
        <v>37</v>
      </c>
      <c r="E2667" s="2"/>
      <c r="F2667" s="2"/>
    </row>
    <row r="2668">
      <c r="A2668" s="2">
        <f>IFERROR(__xludf.DUMMYFUNCTION("""COMPUTED_VALUE"""),100323.0)</f>
        <v>100323</v>
      </c>
      <c r="B2668" s="2">
        <f>IFERROR(__xludf.DUMMYFUNCTION("""COMPUTED_VALUE"""),1.0)</f>
        <v>1</v>
      </c>
      <c r="C2668" s="2">
        <f>IFERROR(__xludf.DUMMYFUNCTION("""COMPUTED_VALUE"""),471.0)</f>
        <v>471</v>
      </c>
      <c r="D2668" s="3">
        <f>IFERROR(__xludf.DUMMYFUNCTION("""COMPUTED_VALUE"""),12.0)</f>
        <v>12</v>
      </c>
      <c r="E2668" s="2"/>
      <c r="F2668" s="2"/>
    </row>
    <row r="2669">
      <c r="A2669" s="2">
        <f>IFERROR(__xludf.DUMMYFUNCTION("""COMPUTED_VALUE"""),69116.0)</f>
        <v>69116</v>
      </c>
      <c r="B2669" s="2">
        <f>IFERROR(__xludf.DUMMYFUNCTION("""COMPUTED_VALUE"""),0.0)</f>
        <v>0</v>
      </c>
      <c r="C2669" s="2">
        <f>IFERROR(__xludf.DUMMYFUNCTION("""COMPUTED_VALUE"""),254.0)</f>
        <v>254</v>
      </c>
      <c r="D2669" s="3">
        <f>IFERROR(__xludf.DUMMYFUNCTION("""COMPUTED_VALUE"""),212.0)</f>
        <v>212</v>
      </c>
      <c r="E2669" s="2"/>
      <c r="F2669" s="2"/>
    </row>
    <row r="2670">
      <c r="A2670" s="2">
        <f>IFERROR(__xludf.DUMMYFUNCTION("""COMPUTED_VALUE"""),68938.0)</f>
        <v>68938</v>
      </c>
      <c r="B2670" s="2">
        <f>IFERROR(__xludf.DUMMYFUNCTION("""COMPUTED_VALUE"""),1.0)</f>
        <v>1</v>
      </c>
      <c r="C2670" s="2">
        <f>IFERROR(__xludf.DUMMYFUNCTION("""COMPUTED_VALUE"""),858.0)</f>
        <v>858</v>
      </c>
      <c r="D2670" s="3">
        <f>IFERROR(__xludf.DUMMYFUNCTION("""COMPUTED_VALUE"""),818.0)</f>
        <v>818</v>
      </c>
      <c r="E2670" s="2"/>
      <c r="F2670" s="2"/>
    </row>
    <row r="2671">
      <c r="A2671" s="2">
        <f>IFERROR(__xludf.DUMMYFUNCTION("""COMPUTED_VALUE"""),121987.0)</f>
        <v>121987</v>
      </c>
      <c r="B2671" s="2">
        <f>IFERROR(__xludf.DUMMYFUNCTION("""COMPUTED_VALUE"""),0.0)</f>
        <v>0</v>
      </c>
      <c r="C2671" s="2">
        <f>IFERROR(__xludf.DUMMYFUNCTION("""COMPUTED_VALUE"""),785.0)</f>
        <v>785</v>
      </c>
      <c r="D2671" s="3">
        <f>IFERROR(__xludf.DUMMYFUNCTION("""COMPUTED_VALUE"""),65.0)</f>
        <v>65</v>
      </c>
      <c r="E2671" s="2"/>
      <c r="F2671" s="2"/>
    </row>
    <row r="2672">
      <c r="A2672" s="2">
        <f>IFERROR(__xludf.DUMMYFUNCTION("""COMPUTED_VALUE"""),69113.0)</f>
        <v>69113</v>
      </c>
      <c r="B2672" s="2">
        <f>IFERROR(__xludf.DUMMYFUNCTION("""COMPUTED_VALUE"""),1.0)</f>
        <v>1</v>
      </c>
      <c r="C2672" s="2">
        <f>IFERROR(__xludf.DUMMYFUNCTION("""COMPUTED_VALUE"""),13.0)</f>
        <v>13</v>
      </c>
      <c r="D2672" s="3">
        <f>IFERROR(__xludf.DUMMYFUNCTION("""COMPUTED_VALUE"""),6.0)</f>
        <v>6</v>
      </c>
      <c r="E2672" s="2"/>
      <c r="F2672" s="2"/>
    </row>
    <row r="2673">
      <c r="A2673" s="2">
        <f>IFERROR(__xludf.DUMMYFUNCTION("""COMPUTED_VALUE"""),80053.0)</f>
        <v>80053</v>
      </c>
      <c r="B2673" s="2">
        <f>IFERROR(__xludf.DUMMYFUNCTION("""COMPUTED_VALUE"""),1.0)</f>
        <v>1</v>
      </c>
      <c r="C2673" s="2">
        <f>IFERROR(__xludf.DUMMYFUNCTION("""COMPUTED_VALUE"""),593.0)</f>
        <v>593</v>
      </c>
      <c r="D2673" s="3">
        <f>IFERROR(__xludf.DUMMYFUNCTION("""COMPUTED_VALUE"""),403.0)</f>
        <v>403</v>
      </c>
      <c r="E2673" s="2"/>
      <c r="F2673" s="2"/>
    </row>
    <row r="2674">
      <c r="A2674" s="2">
        <f>IFERROR(__xludf.DUMMYFUNCTION("""COMPUTED_VALUE"""),121986.0)</f>
        <v>121986</v>
      </c>
      <c r="B2674" s="2">
        <f>IFERROR(__xludf.DUMMYFUNCTION("""COMPUTED_VALUE"""),0.0)</f>
        <v>0</v>
      </c>
      <c r="C2674" s="2">
        <f>IFERROR(__xludf.DUMMYFUNCTION("""COMPUTED_VALUE"""),397.0)</f>
        <v>397</v>
      </c>
      <c r="D2674" s="3">
        <f>IFERROR(__xludf.DUMMYFUNCTION("""COMPUTED_VALUE"""),5.0)</f>
        <v>5</v>
      </c>
      <c r="E2674" s="2"/>
      <c r="F2674" s="2"/>
    </row>
    <row r="2675">
      <c r="A2675" s="2">
        <f>IFERROR(__xludf.DUMMYFUNCTION("""COMPUTED_VALUE"""),121988.0)</f>
        <v>121988</v>
      </c>
      <c r="B2675" s="2">
        <f>IFERROR(__xludf.DUMMYFUNCTION("""COMPUTED_VALUE"""),0.0)</f>
        <v>0</v>
      </c>
      <c r="C2675" s="2">
        <f>IFERROR(__xludf.DUMMYFUNCTION("""COMPUTED_VALUE"""),57.0)</f>
        <v>57</v>
      </c>
      <c r="D2675" s="3">
        <f>IFERROR(__xludf.DUMMYFUNCTION("""COMPUTED_VALUE"""),29.0)</f>
        <v>29</v>
      </c>
      <c r="E2675" s="2"/>
      <c r="F2675" s="2"/>
    </row>
    <row r="2676">
      <c r="A2676" s="2">
        <f>IFERROR(__xludf.DUMMYFUNCTION("""COMPUTED_VALUE"""),121990.0)</f>
        <v>121990</v>
      </c>
      <c r="B2676" s="2">
        <f>IFERROR(__xludf.DUMMYFUNCTION("""COMPUTED_VALUE"""),0.0)</f>
        <v>0</v>
      </c>
      <c r="C2676" s="2">
        <f>IFERROR(__xludf.DUMMYFUNCTION("""COMPUTED_VALUE"""),672.0)</f>
        <v>672</v>
      </c>
      <c r="D2676" s="3">
        <f>IFERROR(__xludf.DUMMYFUNCTION("""COMPUTED_VALUE"""),69.0)</f>
        <v>69</v>
      </c>
      <c r="E2676" s="2"/>
      <c r="F2676" s="2"/>
    </row>
    <row r="2677">
      <c r="A2677" s="2">
        <f>IFERROR(__xludf.DUMMYFUNCTION("""COMPUTED_VALUE"""),68941.0)</f>
        <v>68941</v>
      </c>
      <c r="B2677" s="2">
        <f>IFERROR(__xludf.DUMMYFUNCTION("""COMPUTED_VALUE"""),0.0)</f>
        <v>0</v>
      </c>
      <c r="C2677" s="2">
        <f>IFERROR(__xludf.DUMMYFUNCTION("""COMPUTED_VALUE"""),495.0)</f>
        <v>495</v>
      </c>
      <c r="D2677" s="3">
        <f>IFERROR(__xludf.DUMMYFUNCTION("""COMPUTED_VALUE"""),451.0)</f>
        <v>451</v>
      </c>
      <c r="E2677" s="2"/>
      <c r="F2677" s="2"/>
    </row>
    <row r="2678">
      <c r="A2678" s="2">
        <f>IFERROR(__xludf.DUMMYFUNCTION("""COMPUTED_VALUE"""),69122.0)</f>
        <v>69122</v>
      </c>
      <c r="B2678" s="2">
        <f>IFERROR(__xludf.DUMMYFUNCTION("""COMPUTED_VALUE"""),0.0)</f>
        <v>0</v>
      </c>
      <c r="C2678" s="2">
        <f>IFERROR(__xludf.DUMMYFUNCTION("""COMPUTED_VALUE"""),258.0)</f>
        <v>258</v>
      </c>
      <c r="D2678" s="3">
        <f>IFERROR(__xludf.DUMMYFUNCTION("""COMPUTED_VALUE"""),235.0)</f>
        <v>235</v>
      </c>
      <c r="E2678" s="2"/>
      <c r="F2678" s="2"/>
    </row>
    <row r="2679">
      <c r="A2679" s="2">
        <f>IFERROR(__xludf.DUMMYFUNCTION("""COMPUTED_VALUE"""),80049.0)</f>
        <v>80049</v>
      </c>
      <c r="B2679" s="2">
        <f>IFERROR(__xludf.DUMMYFUNCTION("""COMPUTED_VALUE"""),0.0)</f>
        <v>0</v>
      </c>
      <c r="C2679" s="2">
        <f>IFERROR(__xludf.DUMMYFUNCTION("""COMPUTED_VALUE"""),76.0)</f>
        <v>76</v>
      </c>
      <c r="D2679" s="3">
        <f>IFERROR(__xludf.DUMMYFUNCTION("""COMPUTED_VALUE"""),17.0)</f>
        <v>17</v>
      </c>
      <c r="E2679" s="2"/>
      <c r="F2679" s="2"/>
    </row>
    <row r="2680">
      <c r="A2680" s="2">
        <f>IFERROR(__xludf.DUMMYFUNCTION("""COMPUTED_VALUE"""),121971.0)</f>
        <v>121971</v>
      </c>
      <c r="B2680" s="2">
        <f>IFERROR(__xludf.DUMMYFUNCTION("""COMPUTED_VALUE"""),1.0)</f>
        <v>1</v>
      </c>
      <c r="C2680" s="2">
        <f>IFERROR(__xludf.DUMMYFUNCTION("""COMPUTED_VALUE"""),652.0)</f>
        <v>652</v>
      </c>
      <c r="D2680" s="3">
        <f>IFERROR(__xludf.DUMMYFUNCTION("""COMPUTED_VALUE"""),527.0)</f>
        <v>527</v>
      </c>
      <c r="E2680" s="2"/>
      <c r="F2680" s="2"/>
    </row>
    <row r="2681">
      <c r="A2681" s="2">
        <f>IFERROR(__xludf.DUMMYFUNCTION("""COMPUTED_VALUE"""),68945.0)</f>
        <v>68945</v>
      </c>
      <c r="B2681" s="2">
        <f>IFERROR(__xludf.DUMMYFUNCTION("""COMPUTED_VALUE"""),1.0)</f>
        <v>1</v>
      </c>
      <c r="C2681" s="2">
        <f>IFERROR(__xludf.DUMMYFUNCTION("""COMPUTED_VALUE"""),415.0)</f>
        <v>415</v>
      </c>
      <c r="D2681" s="3">
        <f>IFERROR(__xludf.DUMMYFUNCTION("""COMPUTED_VALUE"""),193.0)</f>
        <v>193</v>
      </c>
      <c r="E2681" s="2"/>
      <c r="F2681" s="2"/>
    </row>
    <row r="2682">
      <c r="A2682" s="2">
        <f>IFERROR(__xludf.DUMMYFUNCTION("""COMPUTED_VALUE"""),79780.0)</f>
        <v>79780</v>
      </c>
      <c r="B2682" s="2">
        <f>IFERROR(__xludf.DUMMYFUNCTION("""COMPUTED_VALUE"""),1.0)</f>
        <v>1</v>
      </c>
      <c r="C2682" s="2">
        <f>IFERROR(__xludf.DUMMYFUNCTION("""COMPUTED_VALUE"""),823.0)</f>
        <v>823</v>
      </c>
      <c r="D2682" s="3">
        <f>IFERROR(__xludf.DUMMYFUNCTION("""COMPUTED_VALUE"""),265.0)</f>
        <v>265</v>
      </c>
      <c r="E2682" s="2"/>
      <c r="F2682" s="2"/>
    </row>
    <row r="2683">
      <c r="A2683" s="2">
        <f>IFERROR(__xludf.DUMMYFUNCTION("""COMPUTED_VALUE"""),80056.0)</f>
        <v>80056</v>
      </c>
      <c r="B2683" s="2">
        <f>IFERROR(__xludf.DUMMYFUNCTION("""COMPUTED_VALUE"""),0.0)</f>
        <v>0</v>
      </c>
      <c r="C2683" s="2">
        <f>IFERROR(__xludf.DUMMYFUNCTION("""COMPUTED_VALUE"""),427.0)</f>
        <v>427</v>
      </c>
      <c r="D2683" s="3">
        <f>IFERROR(__xludf.DUMMYFUNCTION("""COMPUTED_VALUE"""),344.0)</f>
        <v>344</v>
      </c>
      <c r="E2683" s="2"/>
      <c r="F2683" s="2"/>
    </row>
    <row r="2684">
      <c r="A2684" s="2">
        <f>IFERROR(__xludf.DUMMYFUNCTION("""COMPUTED_VALUE"""),80040.0)</f>
        <v>80040</v>
      </c>
      <c r="B2684" s="2">
        <f>IFERROR(__xludf.DUMMYFUNCTION("""COMPUTED_VALUE"""),1.0)</f>
        <v>1</v>
      </c>
      <c r="C2684" s="2">
        <f>IFERROR(__xludf.DUMMYFUNCTION("""COMPUTED_VALUE"""),828.0)</f>
        <v>828</v>
      </c>
      <c r="D2684" s="3">
        <f>IFERROR(__xludf.DUMMYFUNCTION("""COMPUTED_VALUE"""),716.0)</f>
        <v>716</v>
      </c>
      <c r="E2684" s="2"/>
      <c r="F2684" s="2"/>
    </row>
    <row r="2685">
      <c r="A2685" s="2">
        <f>IFERROR(__xludf.DUMMYFUNCTION("""COMPUTED_VALUE"""),114480.0)</f>
        <v>114480</v>
      </c>
      <c r="B2685" s="2">
        <f>IFERROR(__xludf.DUMMYFUNCTION("""COMPUTED_VALUE"""),0.0)</f>
        <v>0</v>
      </c>
      <c r="C2685" s="2">
        <f>IFERROR(__xludf.DUMMYFUNCTION("""COMPUTED_VALUE"""),26.0)</f>
        <v>26</v>
      </c>
      <c r="D2685" s="3">
        <f>IFERROR(__xludf.DUMMYFUNCTION("""COMPUTED_VALUE"""),26.0)</f>
        <v>26</v>
      </c>
      <c r="E2685" s="2"/>
      <c r="F2685" s="2"/>
    </row>
    <row r="2686">
      <c r="A2686" s="2">
        <f>IFERROR(__xludf.DUMMYFUNCTION("""COMPUTED_VALUE"""),111922.0)</f>
        <v>111922</v>
      </c>
      <c r="B2686" s="2">
        <f>IFERROR(__xludf.DUMMYFUNCTION("""COMPUTED_VALUE"""),1.0)</f>
        <v>1</v>
      </c>
      <c r="C2686" s="2">
        <f>IFERROR(__xludf.DUMMYFUNCTION("""COMPUTED_VALUE"""),107.0)</f>
        <v>107</v>
      </c>
      <c r="D2686" s="3">
        <f>IFERROR(__xludf.DUMMYFUNCTION("""COMPUTED_VALUE"""),68.0)</f>
        <v>68</v>
      </c>
      <c r="E2686" s="2"/>
      <c r="F2686" s="2"/>
    </row>
    <row r="2687">
      <c r="A2687" s="2">
        <f>IFERROR(__xludf.DUMMYFUNCTION("""COMPUTED_VALUE"""),111924.0)</f>
        <v>111924</v>
      </c>
      <c r="B2687" s="2">
        <f>IFERROR(__xludf.DUMMYFUNCTION("""COMPUTED_VALUE"""),0.0)</f>
        <v>0</v>
      </c>
      <c r="C2687" s="2">
        <f>IFERROR(__xludf.DUMMYFUNCTION("""COMPUTED_VALUE"""),202.0)</f>
        <v>202</v>
      </c>
      <c r="D2687" s="3">
        <f>IFERROR(__xludf.DUMMYFUNCTION("""COMPUTED_VALUE"""),155.0)</f>
        <v>155</v>
      </c>
      <c r="E2687" s="2"/>
      <c r="F2687" s="2"/>
    </row>
    <row r="2688">
      <c r="A2688" s="2">
        <f>IFERROR(__xludf.DUMMYFUNCTION("""COMPUTED_VALUE"""),80047.0)</f>
        <v>80047</v>
      </c>
      <c r="B2688" s="2">
        <f>IFERROR(__xludf.DUMMYFUNCTION("""COMPUTED_VALUE"""),0.0)</f>
        <v>0</v>
      </c>
      <c r="C2688" s="2">
        <f>IFERROR(__xludf.DUMMYFUNCTION("""COMPUTED_VALUE"""),687.0)</f>
        <v>687</v>
      </c>
      <c r="D2688" s="3">
        <f>IFERROR(__xludf.DUMMYFUNCTION("""COMPUTED_VALUE"""),504.0)</f>
        <v>504</v>
      </c>
      <c r="E2688" s="2"/>
      <c r="F2688" s="2"/>
    </row>
    <row r="2689">
      <c r="A2689" s="2">
        <f>IFERROR(__xludf.DUMMYFUNCTION("""COMPUTED_VALUE"""),69121.0)</f>
        <v>69121</v>
      </c>
      <c r="B2689" s="2">
        <f>IFERROR(__xludf.DUMMYFUNCTION("""COMPUTED_VALUE"""),0.0)</f>
        <v>0</v>
      </c>
      <c r="C2689" s="2">
        <f>IFERROR(__xludf.DUMMYFUNCTION("""COMPUTED_VALUE"""),126.0)</f>
        <v>126</v>
      </c>
      <c r="D2689" s="3">
        <f>IFERROR(__xludf.DUMMYFUNCTION("""COMPUTED_VALUE"""),79.0)</f>
        <v>79</v>
      </c>
      <c r="E2689" s="2"/>
      <c r="F2689" s="2"/>
    </row>
    <row r="2690">
      <c r="A2690" s="2">
        <f>IFERROR(__xludf.DUMMYFUNCTION("""COMPUTED_VALUE"""),68939.0)</f>
        <v>68939</v>
      </c>
      <c r="B2690" s="2">
        <f>IFERROR(__xludf.DUMMYFUNCTION("""COMPUTED_VALUE"""),1.0)</f>
        <v>1</v>
      </c>
      <c r="C2690" s="2">
        <f>IFERROR(__xludf.DUMMYFUNCTION("""COMPUTED_VALUE"""),821.0)</f>
        <v>821</v>
      </c>
      <c r="D2690" s="3">
        <f>IFERROR(__xludf.DUMMYFUNCTION("""COMPUTED_VALUE"""),55.0)</f>
        <v>55</v>
      </c>
      <c r="E2690" s="2"/>
      <c r="F2690" s="2"/>
    </row>
    <row r="2691">
      <c r="A2691" s="2">
        <f>IFERROR(__xludf.DUMMYFUNCTION("""COMPUTED_VALUE"""),69124.0)</f>
        <v>69124</v>
      </c>
      <c r="B2691" s="2">
        <f>IFERROR(__xludf.DUMMYFUNCTION("""COMPUTED_VALUE"""),0.0)</f>
        <v>0</v>
      </c>
      <c r="C2691" s="2">
        <f>IFERROR(__xludf.DUMMYFUNCTION("""COMPUTED_VALUE"""),966.0)</f>
        <v>966</v>
      </c>
      <c r="D2691" s="3">
        <f>IFERROR(__xludf.DUMMYFUNCTION("""COMPUTED_VALUE"""),696.0)</f>
        <v>696</v>
      </c>
      <c r="E2691" s="2"/>
      <c r="F2691" s="2"/>
    </row>
    <row r="2692">
      <c r="A2692" s="2">
        <f>IFERROR(__xludf.DUMMYFUNCTION("""COMPUTED_VALUE"""),23552.0)</f>
        <v>23552</v>
      </c>
      <c r="B2692" s="2">
        <f>IFERROR(__xludf.DUMMYFUNCTION("""COMPUTED_VALUE"""),1.0)</f>
        <v>1</v>
      </c>
      <c r="C2692" s="2">
        <f>IFERROR(__xludf.DUMMYFUNCTION("""COMPUTED_VALUE"""),251.0)</f>
        <v>251</v>
      </c>
      <c r="D2692" s="3">
        <f>IFERROR(__xludf.DUMMYFUNCTION("""COMPUTED_VALUE"""),1.0)</f>
        <v>1</v>
      </c>
      <c r="E2692" s="2"/>
      <c r="F2692" s="2"/>
    </row>
    <row r="2693">
      <c r="A2693" s="2">
        <f>IFERROR(__xludf.DUMMYFUNCTION("""COMPUTED_VALUE"""),68943.0)</f>
        <v>68943</v>
      </c>
      <c r="B2693" s="2">
        <f>IFERROR(__xludf.DUMMYFUNCTION("""COMPUTED_VALUE"""),1.0)</f>
        <v>1</v>
      </c>
      <c r="C2693" s="2">
        <f>IFERROR(__xludf.DUMMYFUNCTION("""COMPUTED_VALUE"""),684.0)</f>
        <v>684</v>
      </c>
      <c r="D2693" s="3">
        <f>IFERROR(__xludf.DUMMYFUNCTION("""COMPUTED_VALUE"""),474.0)</f>
        <v>474</v>
      </c>
      <c r="E2693" s="2"/>
      <c r="F2693" s="2"/>
    </row>
    <row r="2694">
      <c r="A2694" s="2">
        <f>IFERROR(__xludf.DUMMYFUNCTION("""COMPUTED_VALUE"""),69115.0)</f>
        <v>69115</v>
      </c>
      <c r="B2694" s="2">
        <f>IFERROR(__xludf.DUMMYFUNCTION("""COMPUTED_VALUE"""),0.0)</f>
        <v>0</v>
      </c>
      <c r="C2694" s="2">
        <f>IFERROR(__xludf.DUMMYFUNCTION("""COMPUTED_VALUE"""),367.0)</f>
        <v>367</v>
      </c>
      <c r="D2694" s="3">
        <f>IFERROR(__xludf.DUMMYFUNCTION("""COMPUTED_VALUE"""),270.0)</f>
        <v>270</v>
      </c>
      <c r="E2694" s="2"/>
      <c r="F2694" s="2"/>
    </row>
    <row r="2695">
      <c r="A2695" s="2">
        <f>IFERROR(__xludf.DUMMYFUNCTION("""COMPUTED_VALUE"""),81122.0)</f>
        <v>81122</v>
      </c>
      <c r="B2695" s="2">
        <f>IFERROR(__xludf.DUMMYFUNCTION("""COMPUTED_VALUE"""),1.0)</f>
        <v>1</v>
      </c>
      <c r="C2695" s="2">
        <f>IFERROR(__xludf.DUMMYFUNCTION("""COMPUTED_VALUE"""),423.0)</f>
        <v>423</v>
      </c>
      <c r="D2695" s="3">
        <f>IFERROR(__xludf.DUMMYFUNCTION("""COMPUTED_VALUE"""),422.0)</f>
        <v>422</v>
      </c>
      <c r="E2695" s="2"/>
      <c r="F2695" s="2"/>
    </row>
    <row r="2696">
      <c r="A2696" s="2">
        <f>IFERROR(__xludf.DUMMYFUNCTION("""COMPUTED_VALUE"""),84672.0)</f>
        <v>84672</v>
      </c>
      <c r="B2696" s="2">
        <f>IFERROR(__xludf.DUMMYFUNCTION("""COMPUTED_VALUE"""),1.0)</f>
        <v>1</v>
      </c>
      <c r="C2696" s="2">
        <f>IFERROR(__xludf.DUMMYFUNCTION("""COMPUTED_VALUE"""),166.0)</f>
        <v>166</v>
      </c>
      <c r="D2696" s="3">
        <f>IFERROR(__xludf.DUMMYFUNCTION("""COMPUTED_VALUE"""),116.0)</f>
        <v>116</v>
      </c>
      <c r="E2696" s="2"/>
      <c r="F2696" s="2"/>
    </row>
    <row r="2697">
      <c r="A2697" s="2">
        <f>IFERROR(__xludf.DUMMYFUNCTION("""COMPUTED_VALUE"""),81127.0)</f>
        <v>81127</v>
      </c>
      <c r="B2697" s="2">
        <f>IFERROR(__xludf.DUMMYFUNCTION("""COMPUTED_VALUE"""),0.0)</f>
        <v>0</v>
      </c>
      <c r="C2697" s="2">
        <f>IFERROR(__xludf.DUMMYFUNCTION("""COMPUTED_VALUE"""),785.0)</f>
        <v>785</v>
      </c>
      <c r="D2697" s="3">
        <f>IFERROR(__xludf.DUMMYFUNCTION("""COMPUTED_VALUE"""),447.0)</f>
        <v>447</v>
      </c>
      <c r="E2697" s="2"/>
      <c r="F2697" s="2"/>
    </row>
    <row r="2698">
      <c r="A2698" s="2">
        <f>IFERROR(__xludf.DUMMYFUNCTION("""COMPUTED_VALUE"""),87858.0)</f>
        <v>87858</v>
      </c>
      <c r="B2698" s="2">
        <f>IFERROR(__xludf.DUMMYFUNCTION("""COMPUTED_VALUE"""),0.0)</f>
        <v>0</v>
      </c>
      <c r="C2698" s="2">
        <f>IFERROR(__xludf.DUMMYFUNCTION("""COMPUTED_VALUE"""),60.0)</f>
        <v>60</v>
      </c>
      <c r="D2698" s="3">
        <f>IFERROR(__xludf.DUMMYFUNCTION("""COMPUTED_VALUE"""),20.0)</f>
        <v>20</v>
      </c>
      <c r="E2698" s="2"/>
      <c r="F2698" s="2"/>
    </row>
    <row r="2699">
      <c r="A2699" s="2">
        <f>IFERROR(__xludf.DUMMYFUNCTION("""COMPUTED_VALUE"""),84673.0)</f>
        <v>84673</v>
      </c>
      <c r="B2699" s="2">
        <f>IFERROR(__xludf.DUMMYFUNCTION("""COMPUTED_VALUE"""),0.0)</f>
        <v>0</v>
      </c>
      <c r="C2699" s="2">
        <f>IFERROR(__xludf.DUMMYFUNCTION("""COMPUTED_VALUE"""),125.0)</f>
        <v>125</v>
      </c>
      <c r="D2699" s="3">
        <f>IFERROR(__xludf.DUMMYFUNCTION("""COMPUTED_VALUE"""),64.0)</f>
        <v>64</v>
      </c>
      <c r="E2699" s="2"/>
      <c r="F2699" s="2"/>
    </row>
    <row r="2700">
      <c r="A2700" s="2">
        <f>IFERROR(__xludf.DUMMYFUNCTION("""COMPUTED_VALUE"""),81064.0)</f>
        <v>81064</v>
      </c>
      <c r="B2700" s="2">
        <f>IFERROR(__xludf.DUMMYFUNCTION("""COMPUTED_VALUE"""),1.0)</f>
        <v>1</v>
      </c>
      <c r="C2700" s="2">
        <f>IFERROR(__xludf.DUMMYFUNCTION("""COMPUTED_VALUE"""),425.0)</f>
        <v>425</v>
      </c>
      <c r="D2700" s="3">
        <f>IFERROR(__xludf.DUMMYFUNCTION("""COMPUTED_VALUE"""),381.0)</f>
        <v>381</v>
      </c>
      <c r="E2700" s="2"/>
      <c r="F2700" s="2"/>
    </row>
    <row r="2701">
      <c r="A2701" s="2">
        <f>IFERROR(__xludf.DUMMYFUNCTION("""COMPUTED_VALUE"""),81139.0)</f>
        <v>81139</v>
      </c>
      <c r="B2701" s="2">
        <f>IFERROR(__xludf.DUMMYFUNCTION("""COMPUTED_VALUE"""),1.0)</f>
        <v>1</v>
      </c>
      <c r="C2701" s="2">
        <f>IFERROR(__xludf.DUMMYFUNCTION("""COMPUTED_VALUE"""),227.0)</f>
        <v>227</v>
      </c>
      <c r="D2701" s="3">
        <f>IFERROR(__xludf.DUMMYFUNCTION("""COMPUTED_VALUE"""),4.0)</f>
        <v>4</v>
      </c>
      <c r="E2701" s="2"/>
      <c r="F2701" s="2"/>
    </row>
    <row r="2702">
      <c r="A2702" s="2">
        <f>IFERROR(__xludf.DUMMYFUNCTION("""COMPUTED_VALUE"""),81141.0)</f>
        <v>81141</v>
      </c>
      <c r="B2702" s="2">
        <f>IFERROR(__xludf.DUMMYFUNCTION("""COMPUTED_VALUE"""),1.0)</f>
        <v>1</v>
      </c>
      <c r="C2702" s="2">
        <f>IFERROR(__xludf.DUMMYFUNCTION("""COMPUTED_VALUE"""),268.0)</f>
        <v>268</v>
      </c>
      <c r="D2702" s="3">
        <f>IFERROR(__xludf.DUMMYFUNCTION("""COMPUTED_VALUE"""),251.0)</f>
        <v>251</v>
      </c>
      <c r="E2702" s="2"/>
      <c r="F2702" s="2"/>
    </row>
    <row r="2703">
      <c r="A2703" s="2">
        <f>IFERROR(__xludf.DUMMYFUNCTION("""COMPUTED_VALUE"""),81054.0)</f>
        <v>81054</v>
      </c>
      <c r="B2703" s="2">
        <f>IFERROR(__xludf.DUMMYFUNCTION("""COMPUTED_VALUE"""),1.0)</f>
        <v>1</v>
      </c>
      <c r="C2703" s="2">
        <f>IFERROR(__xludf.DUMMYFUNCTION("""COMPUTED_VALUE"""),676.0)</f>
        <v>676</v>
      </c>
      <c r="D2703" s="3">
        <f>IFERROR(__xludf.DUMMYFUNCTION("""COMPUTED_VALUE"""),487.0)</f>
        <v>487</v>
      </c>
      <c r="E2703" s="2"/>
      <c r="F2703" s="2"/>
    </row>
    <row r="2704">
      <c r="A2704" s="2">
        <f>IFERROR(__xludf.DUMMYFUNCTION("""COMPUTED_VALUE"""),118352.0)</f>
        <v>118352</v>
      </c>
      <c r="B2704" s="2">
        <f>IFERROR(__xludf.DUMMYFUNCTION("""COMPUTED_VALUE"""),0.0)</f>
        <v>0</v>
      </c>
      <c r="C2704" s="2">
        <f>IFERROR(__xludf.DUMMYFUNCTION("""COMPUTED_VALUE"""),478.0)</f>
        <v>478</v>
      </c>
      <c r="D2704" s="3">
        <f>IFERROR(__xludf.DUMMYFUNCTION("""COMPUTED_VALUE"""),112.0)</f>
        <v>112</v>
      </c>
      <c r="E2704" s="2"/>
      <c r="F2704" s="2"/>
    </row>
    <row r="2705">
      <c r="A2705" s="2">
        <f>IFERROR(__xludf.DUMMYFUNCTION("""COMPUTED_VALUE"""),81091.0)</f>
        <v>81091</v>
      </c>
      <c r="B2705" s="2">
        <f>IFERROR(__xludf.DUMMYFUNCTION("""COMPUTED_VALUE"""),0.0)</f>
        <v>0</v>
      </c>
      <c r="C2705" s="2">
        <f>IFERROR(__xludf.DUMMYFUNCTION("""COMPUTED_VALUE"""),387.0)</f>
        <v>387</v>
      </c>
      <c r="D2705" s="3">
        <f>IFERROR(__xludf.DUMMYFUNCTION("""COMPUTED_VALUE"""),210.0)</f>
        <v>210</v>
      </c>
      <c r="E2705" s="2"/>
      <c r="F2705" s="2"/>
    </row>
    <row r="2706">
      <c r="A2706" s="2">
        <f>IFERROR(__xludf.DUMMYFUNCTION("""COMPUTED_VALUE"""),81025.0)</f>
        <v>81025</v>
      </c>
      <c r="B2706" s="2">
        <f>IFERROR(__xludf.DUMMYFUNCTION("""COMPUTED_VALUE"""),0.0)</f>
        <v>0</v>
      </c>
      <c r="C2706" s="2">
        <f>IFERROR(__xludf.DUMMYFUNCTION("""COMPUTED_VALUE"""),370.0)</f>
        <v>370</v>
      </c>
      <c r="D2706" s="3">
        <f>IFERROR(__xludf.DUMMYFUNCTION("""COMPUTED_VALUE"""),250.0)</f>
        <v>250</v>
      </c>
      <c r="E2706" s="2"/>
      <c r="F2706" s="2"/>
    </row>
    <row r="2707">
      <c r="A2707" s="2">
        <f>IFERROR(__xludf.DUMMYFUNCTION("""COMPUTED_VALUE"""),81129.0)</f>
        <v>81129</v>
      </c>
      <c r="B2707" s="2">
        <f>IFERROR(__xludf.DUMMYFUNCTION("""COMPUTED_VALUE"""),0.0)</f>
        <v>0</v>
      </c>
      <c r="C2707" s="2">
        <f>IFERROR(__xludf.DUMMYFUNCTION("""COMPUTED_VALUE"""),746.0)</f>
        <v>746</v>
      </c>
      <c r="D2707" s="3">
        <f>IFERROR(__xludf.DUMMYFUNCTION("""COMPUTED_VALUE"""),581.0)</f>
        <v>581</v>
      </c>
      <c r="E2707" s="2"/>
      <c r="F2707" s="2"/>
    </row>
    <row r="2708">
      <c r="A2708" s="2">
        <f>IFERROR(__xludf.DUMMYFUNCTION("""COMPUTED_VALUE"""),81043.0)</f>
        <v>81043</v>
      </c>
      <c r="B2708" s="2">
        <f>IFERROR(__xludf.DUMMYFUNCTION("""COMPUTED_VALUE"""),0.0)</f>
        <v>0</v>
      </c>
      <c r="C2708" s="2">
        <f>IFERROR(__xludf.DUMMYFUNCTION("""COMPUTED_VALUE"""),90.0)</f>
        <v>90</v>
      </c>
      <c r="D2708" s="3">
        <f>IFERROR(__xludf.DUMMYFUNCTION("""COMPUTED_VALUE"""),33.0)</f>
        <v>33</v>
      </c>
      <c r="E2708" s="2"/>
      <c r="F2708" s="2"/>
    </row>
    <row r="2709">
      <c r="A2709" s="2">
        <f>IFERROR(__xludf.DUMMYFUNCTION("""COMPUTED_VALUE"""),81120.0)</f>
        <v>81120</v>
      </c>
      <c r="B2709" s="2">
        <f>IFERROR(__xludf.DUMMYFUNCTION("""COMPUTED_VALUE"""),1.0)</f>
        <v>1</v>
      </c>
      <c r="C2709" s="2">
        <f>IFERROR(__xludf.DUMMYFUNCTION("""COMPUTED_VALUE"""),261.0)</f>
        <v>261</v>
      </c>
      <c r="D2709" s="3">
        <f>IFERROR(__xludf.DUMMYFUNCTION("""COMPUTED_VALUE"""),232.0)</f>
        <v>232</v>
      </c>
      <c r="E2709" s="2"/>
      <c r="F2709" s="2"/>
    </row>
    <row r="2710">
      <c r="A2710" s="2">
        <f>IFERROR(__xludf.DUMMYFUNCTION("""COMPUTED_VALUE"""),81109.0)</f>
        <v>81109</v>
      </c>
      <c r="B2710" s="2">
        <f>IFERROR(__xludf.DUMMYFUNCTION("""COMPUTED_VALUE"""),1.0)</f>
        <v>1</v>
      </c>
      <c r="C2710" s="2">
        <f>IFERROR(__xludf.DUMMYFUNCTION("""COMPUTED_VALUE"""),743.0)</f>
        <v>743</v>
      </c>
      <c r="D2710" s="3">
        <f>IFERROR(__xludf.DUMMYFUNCTION("""COMPUTED_VALUE"""),413.0)</f>
        <v>413</v>
      </c>
      <c r="E2710" s="2"/>
      <c r="F2710" s="2"/>
    </row>
    <row r="2711">
      <c r="A2711" s="2">
        <f>IFERROR(__xludf.DUMMYFUNCTION("""COMPUTED_VALUE"""),81082.0)</f>
        <v>81082</v>
      </c>
      <c r="B2711" s="2">
        <f>IFERROR(__xludf.DUMMYFUNCTION("""COMPUTED_VALUE"""),1.0)</f>
        <v>1</v>
      </c>
      <c r="C2711" s="2">
        <f>IFERROR(__xludf.DUMMYFUNCTION("""COMPUTED_VALUE"""),-3.0)</f>
        <v>-3</v>
      </c>
      <c r="D2711" s="3">
        <f>IFERROR(__xludf.DUMMYFUNCTION("""COMPUTED_VALUE"""),0.0)</f>
        <v>0</v>
      </c>
      <c r="E2711" s="2"/>
      <c r="F2711" s="2"/>
    </row>
    <row r="2712">
      <c r="A2712" s="2">
        <f>IFERROR(__xludf.DUMMYFUNCTION("""COMPUTED_VALUE"""),81036.0)</f>
        <v>81036</v>
      </c>
      <c r="B2712" s="2">
        <f>IFERROR(__xludf.DUMMYFUNCTION("""COMPUTED_VALUE"""),1.0)</f>
        <v>1</v>
      </c>
      <c r="C2712" s="2">
        <f>IFERROR(__xludf.DUMMYFUNCTION("""COMPUTED_VALUE"""),383.0)</f>
        <v>383</v>
      </c>
      <c r="D2712" s="3">
        <f>IFERROR(__xludf.DUMMYFUNCTION("""COMPUTED_VALUE"""),359.0)</f>
        <v>359</v>
      </c>
      <c r="E2712" s="2"/>
      <c r="F2712" s="2"/>
    </row>
    <row r="2713">
      <c r="A2713" s="2">
        <f>IFERROR(__xludf.DUMMYFUNCTION("""COMPUTED_VALUE"""),81690.0)</f>
        <v>81690</v>
      </c>
      <c r="B2713" s="2">
        <f>IFERROR(__xludf.DUMMYFUNCTION("""COMPUTED_VALUE"""),1.0)</f>
        <v>1</v>
      </c>
      <c r="C2713" s="2">
        <f>IFERROR(__xludf.DUMMYFUNCTION("""COMPUTED_VALUE"""),428.0)</f>
        <v>428</v>
      </c>
      <c r="D2713" s="3">
        <f>IFERROR(__xludf.DUMMYFUNCTION("""COMPUTED_VALUE"""),98.0)</f>
        <v>98</v>
      </c>
      <c r="E2713" s="2"/>
      <c r="F2713" s="2"/>
    </row>
    <row r="2714">
      <c r="A2714" s="2">
        <f>IFERROR(__xludf.DUMMYFUNCTION("""COMPUTED_VALUE"""),87849.0)</f>
        <v>87849</v>
      </c>
      <c r="B2714" s="2">
        <f>IFERROR(__xludf.DUMMYFUNCTION("""COMPUTED_VALUE"""),1.0)</f>
        <v>1</v>
      </c>
      <c r="C2714" s="2">
        <f>IFERROR(__xludf.DUMMYFUNCTION("""COMPUTED_VALUE"""),804.0)</f>
        <v>804</v>
      </c>
      <c r="D2714" s="3">
        <f>IFERROR(__xludf.DUMMYFUNCTION("""COMPUTED_VALUE"""),722.0)</f>
        <v>722</v>
      </c>
      <c r="E2714" s="2"/>
      <c r="F2714" s="2"/>
    </row>
    <row r="2715">
      <c r="A2715" s="2">
        <f>IFERROR(__xludf.DUMMYFUNCTION("""COMPUTED_VALUE"""),81094.0)</f>
        <v>81094</v>
      </c>
      <c r="B2715" s="2">
        <f>IFERROR(__xludf.DUMMYFUNCTION("""COMPUTED_VALUE"""),0.0)</f>
        <v>0</v>
      </c>
      <c r="C2715" s="2">
        <f>IFERROR(__xludf.DUMMYFUNCTION("""COMPUTED_VALUE"""),85.0)</f>
        <v>85</v>
      </c>
      <c r="D2715" s="3">
        <f>IFERROR(__xludf.DUMMYFUNCTION("""COMPUTED_VALUE"""),76.0)</f>
        <v>76</v>
      </c>
      <c r="E2715" s="2"/>
      <c r="F2715" s="2"/>
    </row>
    <row r="2716">
      <c r="A2716" s="2">
        <f>IFERROR(__xludf.DUMMYFUNCTION("""COMPUTED_VALUE"""),202726.0)</f>
        <v>202726</v>
      </c>
      <c r="B2716" s="2">
        <f>IFERROR(__xludf.DUMMYFUNCTION("""COMPUTED_VALUE"""),0.0)</f>
        <v>0</v>
      </c>
      <c r="C2716" s="2">
        <f>IFERROR(__xludf.DUMMYFUNCTION("""COMPUTED_VALUE"""),374.0)</f>
        <v>374</v>
      </c>
      <c r="D2716" s="3">
        <f>IFERROR(__xludf.DUMMYFUNCTION("""COMPUTED_VALUE"""),4.0)</f>
        <v>4</v>
      </c>
      <c r="E2716" s="2"/>
      <c r="F2716" s="2"/>
    </row>
    <row r="2717">
      <c r="A2717" s="2">
        <f>IFERROR(__xludf.DUMMYFUNCTION("""COMPUTED_VALUE"""),101516.0)</f>
        <v>101516</v>
      </c>
      <c r="B2717" s="2">
        <f>IFERROR(__xludf.DUMMYFUNCTION("""COMPUTED_VALUE"""),1.0)</f>
        <v>1</v>
      </c>
      <c r="C2717" s="2">
        <f>IFERROR(__xludf.DUMMYFUNCTION("""COMPUTED_VALUE"""),594.0)</f>
        <v>594</v>
      </c>
      <c r="D2717" s="3">
        <f>IFERROR(__xludf.DUMMYFUNCTION("""COMPUTED_VALUE"""),296.0)</f>
        <v>296</v>
      </c>
      <c r="E2717" s="2"/>
      <c r="F2717" s="2"/>
    </row>
    <row r="2718">
      <c r="A2718" s="2">
        <f>IFERROR(__xludf.DUMMYFUNCTION("""COMPUTED_VALUE"""),84332.0)</f>
        <v>84332</v>
      </c>
      <c r="B2718" s="2">
        <f>IFERROR(__xludf.DUMMYFUNCTION("""COMPUTED_VALUE"""),0.0)</f>
        <v>0</v>
      </c>
      <c r="C2718" s="2">
        <f>IFERROR(__xludf.DUMMYFUNCTION("""COMPUTED_VALUE"""),337.0)</f>
        <v>337</v>
      </c>
      <c r="D2718" s="3">
        <f>IFERROR(__xludf.DUMMYFUNCTION("""COMPUTED_VALUE"""),39.0)</f>
        <v>39</v>
      </c>
      <c r="E2718" s="2"/>
      <c r="F2718" s="2"/>
    </row>
    <row r="2719">
      <c r="A2719" s="2">
        <f>IFERROR(__xludf.DUMMYFUNCTION("""COMPUTED_VALUE"""),16959.0)</f>
        <v>16959</v>
      </c>
      <c r="B2719" s="2">
        <f>IFERROR(__xludf.DUMMYFUNCTION("""COMPUTED_VALUE"""),1.0)</f>
        <v>1</v>
      </c>
      <c r="C2719" s="2">
        <f>IFERROR(__xludf.DUMMYFUNCTION("""COMPUTED_VALUE"""),410.0)</f>
        <v>410</v>
      </c>
      <c r="D2719" s="3">
        <f>IFERROR(__xludf.DUMMYFUNCTION("""COMPUTED_VALUE"""),18.0)</f>
        <v>18</v>
      </c>
      <c r="E2719" s="2"/>
      <c r="F2719" s="2"/>
    </row>
    <row r="2720">
      <c r="A2720" s="2">
        <f>IFERROR(__xludf.DUMMYFUNCTION("""COMPUTED_VALUE"""),87762.0)</f>
        <v>87762</v>
      </c>
      <c r="B2720" s="2">
        <f>IFERROR(__xludf.DUMMYFUNCTION("""COMPUTED_VALUE"""),1.0)</f>
        <v>1</v>
      </c>
      <c r="C2720" s="2">
        <f>IFERROR(__xludf.DUMMYFUNCTION("""COMPUTED_VALUE"""),776.0)</f>
        <v>776</v>
      </c>
      <c r="D2720" s="3">
        <f>IFERROR(__xludf.DUMMYFUNCTION("""COMPUTED_VALUE"""),159.0)</f>
        <v>159</v>
      </c>
      <c r="E2720" s="2"/>
      <c r="F2720" s="2"/>
    </row>
    <row r="2721">
      <c r="A2721" s="2">
        <f>IFERROR(__xludf.DUMMYFUNCTION("""COMPUTED_VALUE"""),16952.0)</f>
        <v>16952</v>
      </c>
      <c r="B2721" s="2">
        <f>IFERROR(__xludf.DUMMYFUNCTION("""COMPUTED_VALUE"""),1.0)</f>
        <v>1</v>
      </c>
      <c r="C2721" s="2">
        <f>IFERROR(__xludf.DUMMYFUNCTION("""COMPUTED_VALUE"""),117.0)</f>
        <v>117</v>
      </c>
      <c r="D2721" s="3">
        <f>IFERROR(__xludf.DUMMYFUNCTION("""COMPUTED_VALUE"""),3.0)</f>
        <v>3</v>
      </c>
      <c r="E2721" s="2"/>
      <c r="F2721" s="2"/>
    </row>
    <row r="2722">
      <c r="A2722" s="2">
        <f>IFERROR(__xludf.DUMMYFUNCTION("""COMPUTED_VALUE"""),16958.0)</f>
        <v>16958</v>
      </c>
      <c r="B2722" s="2">
        <f>IFERROR(__xludf.DUMMYFUNCTION("""COMPUTED_VALUE"""),1.0)</f>
        <v>1</v>
      </c>
      <c r="C2722" s="2">
        <f>IFERROR(__xludf.DUMMYFUNCTION("""COMPUTED_VALUE"""),217.0)</f>
        <v>217</v>
      </c>
      <c r="D2722" s="3">
        <f>IFERROR(__xludf.DUMMYFUNCTION("""COMPUTED_VALUE"""),143.0)</f>
        <v>143</v>
      </c>
      <c r="E2722" s="2"/>
      <c r="F2722" s="2"/>
    </row>
    <row r="2723">
      <c r="A2723" s="2">
        <f>IFERROR(__xludf.DUMMYFUNCTION("""COMPUTED_VALUE"""),16950.0)</f>
        <v>16950</v>
      </c>
      <c r="B2723" s="2">
        <f>IFERROR(__xludf.DUMMYFUNCTION("""COMPUTED_VALUE"""),0.0)</f>
        <v>0</v>
      </c>
      <c r="C2723" s="2">
        <f>IFERROR(__xludf.DUMMYFUNCTION("""COMPUTED_VALUE"""),143.0)</f>
        <v>143</v>
      </c>
      <c r="D2723" s="3">
        <f>IFERROR(__xludf.DUMMYFUNCTION("""COMPUTED_VALUE"""),131.0)</f>
        <v>131</v>
      </c>
      <c r="E2723" s="2"/>
      <c r="F2723" s="2"/>
    </row>
    <row r="2724">
      <c r="A2724" s="2">
        <f>IFERROR(__xludf.DUMMYFUNCTION("""COMPUTED_VALUE"""),102266.0)</f>
        <v>102266</v>
      </c>
      <c r="B2724" s="2">
        <f>IFERROR(__xludf.DUMMYFUNCTION("""COMPUTED_VALUE"""),1.0)</f>
        <v>1</v>
      </c>
      <c r="C2724" s="2">
        <f>IFERROR(__xludf.DUMMYFUNCTION("""COMPUTED_VALUE"""),505.0)</f>
        <v>505</v>
      </c>
      <c r="D2724" s="3">
        <f>IFERROR(__xludf.DUMMYFUNCTION("""COMPUTED_VALUE"""),419.0)</f>
        <v>419</v>
      </c>
      <c r="E2724" s="2"/>
      <c r="F2724" s="2"/>
    </row>
    <row r="2725">
      <c r="A2725" s="2">
        <f>IFERROR(__xludf.DUMMYFUNCTION("""COMPUTED_VALUE"""),202746.0)</f>
        <v>202746</v>
      </c>
      <c r="B2725" s="2">
        <f>IFERROR(__xludf.DUMMYFUNCTION("""COMPUTED_VALUE"""),0.0)</f>
        <v>0</v>
      </c>
      <c r="C2725" s="2">
        <f>IFERROR(__xludf.DUMMYFUNCTION("""COMPUTED_VALUE"""),496.0)</f>
        <v>496</v>
      </c>
      <c r="D2725" s="3">
        <f>IFERROR(__xludf.DUMMYFUNCTION("""COMPUTED_VALUE"""),482.0)</f>
        <v>482</v>
      </c>
      <c r="E2725" s="2"/>
      <c r="F2725" s="2"/>
    </row>
    <row r="2726">
      <c r="A2726" s="2">
        <f>IFERROR(__xludf.DUMMYFUNCTION("""COMPUTED_VALUE"""),101519.0)</f>
        <v>101519</v>
      </c>
      <c r="B2726" s="2">
        <f>IFERROR(__xludf.DUMMYFUNCTION("""COMPUTED_VALUE"""),1.0)</f>
        <v>1</v>
      </c>
      <c r="C2726" s="2">
        <f>IFERROR(__xludf.DUMMYFUNCTION("""COMPUTED_VALUE"""),600.0)</f>
        <v>600</v>
      </c>
      <c r="D2726" s="3">
        <f>IFERROR(__xludf.DUMMYFUNCTION("""COMPUTED_VALUE"""),504.0)</f>
        <v>504</v>
      </c>
      <c r="E2726" s="2"/>
      <c r="F2726" s="2"/>
    </row>
    <row r="2727">
      <c r="A2727" s="2">
        <f>IFERROR(__xludf.DUMMYFUNCTION("""COMPUTED_VALUE"""),81688.0)</f>
        <v>81688</v>
      </c>
      <c r="B2727" s="2">
        <f>IFERROR(__xludf.DUMMYFUNCTION("""COMPUTED_VALUE"""),1.0)</f>
        <v>1</v>
      </c>
      <c r="C2727" s="2">
        <f>IFERROR(__xludf.DUMMYFUNCTION("""COMPUTED_VALUE"""),539.0)</f>
        <v>539</v>
      </c>
      <c r="D2727" s="3">
        <f>IFERROR(__xludf.DUMMYFUNCTION("""COMPUTED_VALUE"""),307.0)</f>
        <v>307</v>
      </c>
      <c r="E2727" s="2"/>
      <c r="F2727" s="2"/>
    </row>
    <row r="2728">
      <c r="A2728" s="2">
        <f>IFERROR(__xludf.DUMMYFUNCTION("""COMPUTED_VALUE"""),120365.0)</f>
        <v>120365</v>
      </c>
      <c r="B2728" s="2">
        <f>IFERROR(__xludf.DUMMYFUNCTION("""COMPUTED_VALUE"""),1.0)</f>
        <v>1</v>
      </c>
      <c r="C2728" s="2">
        <f>IFERROR(__xludf.DUMMYFUNCTION("""COMPUTED_VALUE"""),279.0)</f>
        <v>279</v>
      </c>
      <c r="D2728" s="3">
        <f>IFERROR(__xludf.DUMMYFUNCTION("""COMPUTED_VALUE"""),141.0)</f>
        <v>141</v>
      </c>
      <c r="E2728" s="2"/>
      <c r="F2728" s="2"/>
    </row>
    <row r="2729">
      <c r="A2729" s="2">
        <f>IFERROR(__xludf.DUMMYFUNCTION("""COMPUTED_VALUE"""),3438.0)</f>
        <v>3438</v>
      </c>
      <c r="B2729" s="2">
        <f>IFERROR(__xludf.DUMMYFUNCTION("""COMPUTED_VALUE"""),1.0)</f>
        <v>1</v>
      </c>
      <c r="C2729" s="2">
        <f>IFERROR(__xludf.DUMMYFUNCTION("""COMPUTED_VALUE"""),724.0)</f>
        <v>724</v>
      </c>
      <c r="D2729" s="3">
        <f>IFERROR(__xludf.DUMMYFUNCTION("""COMPUTED_VALUE"""),668.0)</f>
        <v>668</v>
      </c>
      <c r="E2729" s="2"/>
      <c r="F2729" s="2"/>
    </row>
    <row r="2730">
      <c r="A2730" s="2">
        <f>IFERROR(__xludf.DUMMYFUNCTION("""COMPUTED_VALUE"""),102262.0)</f>
        <v>102262</v>
      </c>
      <c r="B2730" s="2">
        <f>IFERROR(__xludf.DUMMYFUNCTION("""COMPUTED_VALUE"""),1.0)</f>
        <v>1</v>
      </c>
      <c r="C2730" s="2">
        <f>IFERROR(__xludf.DUMMYFUNCTION("""COMPUTED_VALUE"""),252.0)</f>
        <v>252</v>
      </c>
      <c r="D2730" s="3">
        <f>IFERROR(__xludf.DUMMYFUNCTION("""COMPUTED_VALUE"""),101.0)</f>
        <v>101</v>
      </c>
      <c r="E2730" s="2"/>
      <c r="F2730" s="2"/>
    </row>
    <row r="2731">
      <c r="A2731" s="2">
        <f>IFERROR(__xludf.DUMMYFUNCTION("""COMPUTED_VALUE"""),87764.0)</f>
        <v>87764</v>
      </c>
      <c r="B2731" s="2">
        <f>IFERROR(__xludf.DUMMYFUNCTION("""COMPUTED_VALUE"""),0.0)</f>
        <v>0</v>
      </c>
      <c r="C2731" s="2">
        <f>IFERROR(__xludf.DUMMYFUNCTION("""COMPUTED_VALUE"""),618.0)</f>
        <v>618</v>
      </c>
      <c r="D2731" s="3">
        <f>IFERROR(__xludf.DUMMYFUNCTION("""COMPUTED_VALUE"""),280.0)</f>
        <v>280</v>
      </c>
      <c r="E2731" s="2"/>
      <c r="F2731" s="2"/>
    </row>
    <row r="2732">
      <c r="A2732" s="2">
        <f>IFERROR(__xludf.DUMMYFUNCTION("""COMPUTED_VALUE"""),3437.0)</f>
        <v>3437</v>
      </c>
      <c r="B2732" s="2">
        <f>IFERROR(__xludf.DUMMYFUNCTION("""COMPUTED_VALUE"""),0.0)</f>
        <v>0</v>
      </c>
      <c r="C2732" s="2">
        <f>IFERROR(__xludf.DUMMYFUNCTION("""COMPUTED_VALUE"""),867.0)</f>
        <v>867</v>
      </c>
      <c r="D2732" s="3">
        <f>IFERROR(__xludf.DUMMYFUNCTION("""COMPUTED_VALUE"""),674.0)</f>
        <v>674</v>
      </c>
      <c r="E2732" s="2"/>
      <c r="F2732" s="2"/>
    </row>
    <row r="2733">
      <c r="A2733" s="2">
        <f>IFERROR(__xludf.DUMMYFUNCTION("""COMPUTED_VALUE"""),111017.0)</f>
        <v>111017</v>
      </c>
      <c r="B2733" s="2">
        <f>IFERROR(__xludf.DUMMYFUNCTION("""COMPUTED_VALUE"""),1.0)</f>
        <v>1</v>
      </c>
      <c r="C2733" s="2">
        <f>IFERROR(__xludf.DUMMYFUNCTION("""COMPUTED_VALUE"""),139.0)</f>
        <v>139</v>
      </c>
      <c r="D2733" s="3">
        <f>IFERROR(__xludf.DUMMYFUNCTION("""COMPUTED_VALUE"""),110.0)</f>
        <v>110</v>
      </c>
      <c r="E2733" s="2"/>
      <c r="F2733" s="2"/>
    </row>
    <row r="2734">
      <c r="A2734" s="2">
        <f>IFERROR(__xludf.DUMMYFUNCTION("""COMPUTED_VALUE"""),102264.0)</f>
        <v>102264</v>
      </c>
      <c r="B2734" s="2">
        <f>IFERROR(__xludf.DUMMYFUNCTION("""COMPUTED_VALUE"""),1.0)</f>
        <v>1</v>
      </c>
      <c r="C2734" s="2">
        <f>IFERROR(__xludf.DUMMYFUNCTION("""COMPUTED_VALUE"""),802.0)</f>
        <v>802</v>
      </c>
      <c r="D2734" s="3">
        <f>IFERROR(__xludf.DUMMYFUNCTION("""COMPUTED_VALUE"""),163.0)</f>
        <v>163</v>
      </c>
      <c r="E2734" s="2"/>
      <c r="F2734" s="2"/>
    </row>
    <row r="2735">
      <c r="A2735" s="2">
        <f>IFERROR(__xludf.DUMMYFUNCTION("""COMPUTED_VALUE"""),18088.0)</f>
        <v>18088</v>
      </c>
      <c r="B2735" s="2">
        <f>IFERROR(__xludf.DUMMYFUNCTION("""COMPUTED_VALUE"""),1.0)</f>
        <v>1</v>
      </c>
      <c r="C2735" s="2">
        <f>IFERROR(__xludf.DUMMYFUNCTION("""COMPUTED_VALUE"""),259.0)</f>
        <v>259</v>
      </c>
      <c r="D2735" s="3">
        <f>IFERROR(__xludf.DUMMYFUNCTION("""COMPUTED_VALUE"""),1.0)</f>
        <v>1</v>
      </c>
      <c r="E2735" s="2"/>
      <c r="F2735" s="2"/>
    </row>
    <row r="2736">
      <c r="A2736" s="2">
        <f>IFERROR(__xludf.DUMMYFUNCTION("""COMPUTED_VALUE"""),87836.0)</f>
        <v>87836</v>
      </c>
      <c r="B2736" s="2">
        <f>IFERROR(__xludf.DUMMYFUNCTION("""COMPUTED_VALUE"""),1.0)</f>
        <v>1</v>
      </c>
      <c r="C2736" s="2">
        <f>IFERROR(__xludf.DUMMYFUNCTION("""COMPUTED_VALUE"""),827.0)</f>
        <v>827</v>
      </c>
      <c r="D2736" s="3">
        <f>IFERROR(__xludf.DUMMYFUNCTION("""COMPUTED_VALUE"""),808.0)</f>
        <v>808</v>
      </c>
      <c r="E2736" s="2"/>
      <c r="F2736" s="2"/>
    </row>
    <row r="2737">
      <c r="A2737" s="2">
        <f>IFERROR(__xludf.DUMMYFUNCTION("""COMPUTED_VALUE"""),87804.0)</f>
        <v>87804</v>
      </c>
      <c r="B2737" s="2">
        <f>IFERROR(__xludf.DUMMYFUNCTION("""COMPUTED_VALUE"""),0.0)</f>
        <v>0</v>
      </c>
      <c r="C2737" s="2">
        <f>IFERROR(__xludf.DUMMYFUNCTION("""COMPUTED_VALUE"""),719.0)</f>
        <v>719</v>
      </c>
      <c r="D2737" s="3">
        <f>IFERROR(__xludf.DUMMYFUNCTION("""COMPUTED_VALUE"""),157.0)</f>
        <v>157</v>
      </c>
      <c r="E2737" s="2"/>
      <c r="F2737" s="2"/>
    </row>
    <row r="2738">
      <c r="A2738" s="2">
        <f>IFERROR(__xludf.DUMMYFUNCTION("""COMPUTED_VALUE"""),108207.0)</f>
        <v>108207</v>
      </c>
      <c r="B2738" s="2">
        <f>IFERROR(__xludf.DUMMYFUNCTION("""COMPUTED_VALUE"""),1.0)</f>
        <v>1</v>
      </c>
      <c r="C2738" s="2">
        <f>IFERROR(__xludf.DUMMYFUNCTION("""COMPUTED_VALUE"""),533.0)</f>
        <v>533</v>
      </c>
      <c r="D2738" s="3">
        <f>IFERROR(__xludf.DUMMYFUNCTION("""COMPUTED_VALUE"""),209.0)</f>
        <v>209</v>
      </c>
      <c r="E2738" s="2"/>
      <c r="F2738" s="2"/>
    </row>
    <row r="2739">
      <c r="A2739" s="2">
        <f>IFERROR(__xludf.DUMMYFUNCTION("""COMPUTED_VALUE"""),111043.0)</f>
        <v>111043</v>
      </c>
      <c r="B2739" s="2">
        <f>IFERROR(__xludf.DUMMYFUNCTION("""COMPUTED_VALUE"""),0.0)</f>
        <v>0</v>
      </c>
      <c r="C2739" s="2">
        <f>IFERROR(__xludf.DUMMYFUNCTION("""COMPUTED_VALUE"""),241.0)</f>
        <v>241</v>
      </c>
      <c r="D2739" s="3">
        <f>IFERROR(__xludf.DUMMYFUNCTION("""COMPUTED_VALUE"""),226.0)</f>
        <v>226</v>
      </c>
      <c r="E2739" s="2"/>
      <c r="F2739" s="2"/>
    </row>
    <row r="2740">
      <c r="A2740" s="2">
        <f>IFERROR(__xludf.DUMMYFUNCTION("""COMPUTED_VALUE"""),100223.0)</f>
        <v>100223</v>
      </c>
      <c r="B2740" s="2">
        <f>IFERROR(__xludf.DUMMYFUNCTION("""COMPUTED_VALUE"""),0.0)</f>
        <v>0</v>
      </c>
      <c r="C2740" s="2">
        <f>IFERROR(__xludf.DUMMYFUNCTION("""COMPUTED_VALUE"""),419.0)</f>
        <v>419</v>
      </c>
      <c r="D2740" s="3">
        <f>IFERROR(__xludf.DUMMYFUNCTION("""COMPUTED_VALUE"""),230.0)</f>
        <v>230</v>
      </c>
      <c r="E2740" s="2"/>
      <c r="F2740" s="2"/>
    </row>
    <row r="2741">
      <c r="A2741" s="2">
        <f>IFERROR(__xludf.DUMMYFUNCTION("""COMPUTED_VALUE"""),92161.0)</f>
        <v>92161</v>
      </c>
      <c r="B2741" s="2">
        <f>IFERROR(__xludf.DUMMYFUNCTION("""COMPUTED_VALUE"""),0.0)</f>
        <v>0</v>
      </c>
      <c r="C2741" s="2">
        <f>IFERROR(__xludf.DUMMYFUNCTION("""COMPUTED_VALUE"""),571.0)</f>
        <v>571</v>
      </c>
      <c r="D2741" s="3">
        <f>IFERROR(__xludf.DUMMYFUNCTION("""COMPUTED_VALUE"""),515.0)</f>
        <v>515</v>
      </c>
      <c r="E2741" s="2"/>
      <c r="F2741" s="2"/>
    </row>
    <row r="2742">
      <c r="A2742" s="2">
        <f>IFERROR(__xludf.DUMMYFUNCTION("""COMPUTED_VALUE"""),113405.0)</f>
        <v>113405</v>
      </c>
      <c r="B2742" s="2">
        <f>IFERROR(__xludf.DUMMYFUNCTION("""COMPUTED_VALUE"""),0.0)</f>
        <v>0</v>
      </c>
      <c r="C2742" s="2">
        <f>IFERROR(__xludf.DUMMYFUNCTION("""COMPUTED_VALUE"""),128.0)</f>
        <v>128</v>
      </c>
      <c r="D2742" s="3">
        <f>IFERROR(__xludf.DUMMYFUNCTION("""COMPUTED_VALUE"""),118.0)</f>
        <v>118</v>
      </c>
      <c r="E2742" s="2"/>
      <c r="F2742" s="2"/>
    </row>
    <row r="2743">
      <c r="A2743" s="2">
        <f>IFERROR(__xludf.DUMMYFUNCTION("""COMPUTED_VALUE"""),120817.0)</f>
        <v>120817</v>
      </c>
      <c r="B2743" s="2">
        <f>IFERROR(__xludf.DUMMYFUNCTION("""COMPUTED_VALUE"""),0.0)</f>
        <v>0</v>
      </c>
      <c r="C2743" s="2">
        <f>IFERROR(__xludf.DUMMYFUNCTION("""COMPUTED_VALUE"""),454.0)</f>
        <v>454</v>
      </c>
      <c r="D2743" s="3">
        <f>IFERROR(__xludf.DUMMYFUNCTION("""COMPUTED_VALUE"""),110.0)</f>
        <v>110</v>
      </c>
      <c r="E2743" s="2"/>
      <c r="F2743" s="2"/>
    </row>
    <row r="2744">
      <c r="A2744" s="2">
        <f>IFERROR(__xludf.DUMMYFUNCTION("""COMPUTED_VALUE"""),14520.0)</f>
        <v>14520</v>
      </c>
      <c r="B2744" s="2">
        <f>IFERROR(__xludf.DUMMYFUNCTION("""COMPUTED_VALUE"""),0.0)</f>
        <v>0</v>
      </c>
      <c r="C2744" s="2">
        <f>IFERROR(__xludf.DUMMYFUNCTION("""COMPUTED_VALUE"""),225.0)</f>
        <v>225</v>
      </c>
      <c r="D2744" s="3">
        <f>IFERROR(__xludf.DUMMYFUNCTION("""COMPUTED_VALUE"""),145.0)</f>
        <v>145</v>
      </c>
      <c r="E2744" s="2"/>
      <c r="F2744" s="2"/>
    </row>
    <row r="2745">
      <c r="A2745" s="2">
        <f>IFERROR(__xludf.DUMMYFUNCTION("""COMPUTED_VALUE"""),104928.0)</f>
        <v>104928</v>
      </c>
      <c r="B2745" s="2">
        <f>IFERROR(__xludf.DUMMYFUNCTION("""COMPUTED_VALUE"""),1.0)</f>
        <v>1</v>
      </c>
      <c r="C2745" s="2">
        <f>IFERROR(__xludf.DUMMYFUNCTION("""COMPUTED_VALUE"""),-7.0)</f>
        <v>-7</v>
      </c>
      <c r="D2745" s="3">
        <f>IFERROR(__xludf.DUMMYFUNCTION("""COMPUTED_VALUE"""),-7.0)</f>
        <v>-7</v>
      </c>
      <c r="E2745" s="2"/>
      <c r="F2745" s="2"/>
    </row>
    <row r="2746">
      <c r="A2746" s="2">
        <f>IFERROR(__xludf.DUMMYFUNCTION("""COMPUTED_VALUE"""),14517.0)</f>
        <v>14517</v>
      </c>
      <c r="B2746" s="2">
        <f>IFERROR(__xludf.DUMMYFUNCTION("""COMPUTED_VALUE"""),0.0)</f>
        <v>0</v>
      </c>
      <c r="C2746" s="2">
        <f>IFERROR(__xludf.DUMMYFUNCTION("""COMPUTED_VALUE"""),657.0)</f>
        <v>657</v>
      </c>
      <c r="D2746" s="3">
        <f>IFERROR(__xludf.DUMMYFUNCTION("""COMPUTED_VALUE"""),497.0)</f>
        <v>497</v>
      </c>
      <c r="E2746" s="2"/>
      <c r="F2746" s="2"/>
    </row>
    <row r="2747">
      <c r="A2747" s="2">
        <f>IFERROR(__xludf.DUMMYFUNCTION("""COMPUTED_VALUE"""),122563.0)</f>
        <v>122563</v>
      </c>
      <c r="B2747" s="2">
        <f>IFERROR(__xludf.DUMMYFUNCTION("""COMPUTED_VALUE"""),0.0)</f>
        <v>0</v>
      </c>
      <c r="C2747" s="2">
        <f>IFERROR(__xludf.DUMMYFUNCTION("""COMPUTED_VALUE"""),897.0)</f>
        <v>897</v>
      </c>
      <c r="D2747" s="3">
        <f>IFERROR(__xludf.DUMMYFUNCTION("""COMPUTED_VALUE"""),866.0)</f>
        <v>866</v>
      </c>
      <c r="E2747" s="2"/>
      <c r="F2747" s="2"/>
    </row>
    <row r="2748">
      <c r="A2748" s="2">
        <f>IFERROR(__xludf.DUMMYFUNCTION("""COMPUTED_VALUE"""),96404.0)</f>
        <v>96404</v>
      </c>
      <c r="B2748" s="2">
        <f>IFERROR(__xludf.DUMMYFUNCTION("""COMPUTED_VALUE"""),1.0)</f>
        <v>1</v>
      </c>
      <c r="C2748" s="2">
        <f>IFERROR(__xludf.DUMMYFUNCTION("""COMPUTED_VALUE"""),631.0)</f>
        <v>631</v>
      </c>
      <c r="D2748" s="3">
        <f>IFERROR(__xludf.DUMMYFUNCTION("""COMPUTED_VALUE"""),322.0)</f>
        <v>322</v>
      </c>
      <c r="E2748" s="2"/>
      <c r="F2748" s="2"/>
    </row>
    <row r="2749">
      <c r="A2749" s="2">
        <f>IFERROR(__xludf.DUMMYFUNCTION("""COMPUTED_VALUE"""),121469.0)</f>
        <v>121469</v>
      </c>
      <c r="B2749" s="2">
        <f>IFERROR(__xludf.DUMMYFUNCTION("""COMPUTED_VALUE"""),1.0)</f>
        <v>1</v>
      </c>
      <c r="C2749" s="2">
        <f>IFERROR(__xludf.DUMMYFUNCTION("""COMPUTED_VALUE"""),457.0)</f>
        <v>457</v>
      </c>
      <c r="D2749" s="3">
        <f>IFERROR(__xludf.DUMMYFUNCTION("""COMPUTED_VALUE"""),258.0)</f>
        <v>258</v>
      </c>
      <c r="E2749" s="2"/>
      <c r="F2749" s="2"/>
    </row>
    <row r="2750">
      <c r="A2750" s="2">
        <f>IFERROR(__xludf.DUMMYFUNCTION("""COMPUTED_VALUE"""),122579.0)</f>
        <v>122579</v>
      </c>
      <c r="B2750" s="2">
        <f>IFERROR(__xludf.DUMMYFUNCTION("""COMPUTED_VALUE"""),1.0)</f>
        <v>1</v>
      </c>
      <c r="C2750" s="2">
        <f>IFERROR(__xludf.DUMMYFUNCTION("""COMPUTED_VALUE"""),409.0)</f>
        <v>409</v>
      </c>
      <c r="D2750" s="3">
        <f>IFERROR(__xludf.DUMMYFUNCTION("""COMPUTED_VALUE"""),354.0)</f>
        <v>354</v>
      </c>
      <c r="E2750" s="2"/>
      <c r="F2750" s="2"/>
    </row>
    <row r="2751">
      <c r="A2751" s="2">
        <f>IFERROR(__xludf.DUMMYFUNCTION("""COMPUTED_VALUE"""),113407.0)</f>
        <v>113407</v>
      </c>
      <c r="B2751" s="2">
        <f>IFERROR(__xludf.DUMMYFUNCTION("""COMPUTED_VALUE"""),0.0)</f>
        <v>0</v>
      </c>
      <c r="C2751" s="2">
        <f>IFERROR(__xludf.DUMMYFUNCTION("""COMPUTED_VALUE"""),199.0)</f>
        <v>199</v>
      </c>
      <c r="D2751" s="3">
        <f>IFERROR(__xludf.DUMMYFUNCTION("""COMPUTED_VALUE"""),110.0)</f>
        <v>110</v>
      </c>
      <c r="E2751" s="2"/>
      <c r="F2751" s="2"/>
    </row>
    <row r="2752">
      <c r="A2752" s="2">
        <f>IFERROR(__xludf.DUMMYFUNCTION("""COMPUTED_VALUE"""),91995.0)</f>
        <v>91995</v>
      </c>
      <c r="B2752" s="2">
        <f>IFERROR(__xludf.DUMMYFUNCTION("""COMPUTED_VALUE"""),0.0)</f>
        <v>0</v>
      </c>
      <c r="C2752" s="2">
        <f>IFERROR(__xludf.DUMMYFUNCTION("""COMPUTED_VALUE"""),397.0)</f>
        <v>397</v>
      </c>
      <c r="D2752" s="3">
        <f>IFERROR(__xludf.DUMMYFUNCTION("""COMPUTED_VALUE"""),234.0)</f>
        <v>234</v>
      </c>
      <c r="E2752" s="2"/>
      <c r="F2752" s="2"/>
    </row>
    <row r="2753">
      <c r="A2753" s="2">
        <f>IFERROR(__xludf.DUMMYFUNCTION("""COMPUTED_VALUE"""),81178.0)</f>
        <v>81178</v>
      </c>
      <c r="B2753" s="2">
        <f>IFERROR(__xludf.DUMMYFUNCTION("""COMPUTED_VALUE"""),1.0)</f>
        <v>1</v>
      </c>
      <c r="C2753" s="2">
        <f>IFERROR(__xludf.DUMMYFUNCTION("""COMPUTED_VALUE"""),14.0)</f>
        <v>14</v>
      </c>
      <c r="D2753" s="3">
        <f>IFERROR(__xludf.DUMMYFUNCTION("""COMPUTED_VALUE"""),11.0)</f>
        <v>11</v>
      </c>
      <c r="E2753" s="2"/>
      <c r="F2753" s="2"/>
    </row>
    <row r="2754">
      <c r="A2754" s="2">
        <f>IFERROR(__xludf.DUMMYFUNCTION("""COMPUTED_VALUE"""),12918.0)</f>
        <v>12918</v>
      </c>
      <c r="B2754" s="2">
        <f>IFERROR(__xludf.DUMMYFUNCTION("""COMPUTED_VALUE"""),0.0)</f>
        <v>0</v>
      </c>
      <c r="C2754" s="2">
        <f>IFERROR(__xludf.DUMMYFUNCTION("""COMPUTED_VALUE"""),248.0)</f>
        <v>248</v>
      </c>
      <c r="D2754" s="3">
        <f>IFERROR(__xludf.DUMMYFUNCTION("""COMPUTED_VALUE"""),209.0)</f>
        <v>209</v>
      </c>
      <c r="E2754" s="2"/>
      <c r="F2754" s="2"/>
    </row>
    <row r="2755">
      <c r="A2755" s="2">
        <f>IFERROR(__xludf.DUMMYFUNCTION("""COMPUTED_VALUE"""),122411.0)</f>
        <v>122411</v>
      </c>
      <c r="B2755" s="2">
        <f>IFERROR(__xludf.DUMMYFUNCTION("""COMPUTED_VALUE"""),1.0)</f>
        <v>1</v>
      </c>
      <c r="C2755" s="2">
        <f>IFERROR(__xludf.DUMMYFUNCTION("""COMPUTED_VALUE"""),271.0)</f>
        <v>271</v>
      </c>
      <c r="D2755" s="3">
        <f>IFERROR(__xludf.DUMMYFUNCTION("""COMPUTED_VALUE"""),245.0)</f>
        <v>245</v>
      </c>
      <c r="E2755" s="2"/>
      <c r="F2755" s="2"/>
    </row>
    <row r="2756">
      <c r="A2756" s="2">
        <f>IFERROR(__xludf.DUMMYFUNCTION("""COMPUTED_VALUE"""),81194.0)</f>
        <v>81194</v>
      </c>
      <c r="B2756" s="2">
        <f>IFERROR(__xludf.DUMMYFUNCTION("""COMPUTED_VALUE"""),0.0)</f>
        <v>0</v>
      </c>
      <c r="C2756" s="2">
        <f>IFERROR(__xludf.DUMMYFUNCTION("""COMPUTED_VALUE"""),303.0)</f>
        <v>303</v>
      </c>
      <c r="D2756" s="3">
        <f>IFERROR(__xludf.DUMMYFUNCTION("""COMPUTED_VALUE"""),249.0)</f>
        <v>249</v>
      </c>
      <c r="E2756" s="2"/>
      <c r="F2756" s="2"/>
    </row>
    <row r="2757">
      <c r="A2757" s="2">
        <f>IFERROR(__xludf.DUMMYFUNCTION("""COMPUTED_VALUE"""),71876.0)</f>
        <v>71876</v>
      </c>
      <c r="B2757" s="2">
        <f>IFERROR(__xludf.DUMMYFUNCTION("""COMPUTED_VALUE"""),0.0)</f>
        <v>0</v>
      </c>
      <c r="C2757" s="2">
        <f>IFERROR(__xludf.DUMMYFUNCTION("""COMPUTED_VALUE"""),427.0)</f>
        <v>427</v>
      </c>
      <c r="D2757" s="3">
        <f>IFERROR(__xludf.DUMMYFUNCTION("""COMPUTED_VALUE"""),94.0)</f>
        <v>94</v>
      </c>
      <c r="E2757" s="2"/>
      <c r="F2757" s="2"/>
    </row>
    <row r="2758">
      <c r="A2758" s="2">
        <f>IFERROR(__xludf.DUMMYFUNCTION("""COMPUTED_VALUE"""),129493.0)</f>
        <v>129493</v>
      </c>
      <c r="B2758" s="2">
        <f>IFERROR(__xludf.DUMMYFUNCTION("""COMPUTED_VALUE"""),1.0)</f>
        <v>1</v>
      </c>
      <c r="C2758" s="2">
        <f>IFERROR(__xludf.DUMMYFUNCTION("""COMPUTED_VALUE"""),427.0)</f>
        <v>427</v>
      </c>
      <c r="D2758" s="3">
        <f>IFERROR(__xludf.DUMMYFUNCTION("""COMPUTED_VALUE"""),5.0)</f>
        <v>5</v>
      </c>
      <c r="E2758" s="2"/>
      <c r="F2758" s="2"/>
    </row>
    <row r="2759">
      <c r="A2759" s="2">
        <f>IFERROR(__xludf.DUMMYFUNCTION("""COMPUTED_VALUE"""),81190.0)</f>
        <v>81190</v>
      </c>
      <c r="B2759" s="2">
        <f>IFERROR(__xludf.DUMMYFUNCTION("""COMPUTED_VALUE"""),0.0)</f>
        <v>0</v>
      </c>
      <c r="C2759" s="2">
        <f>IFERROR(__xludf.DUMMYFUNCTION("""COMPUTED_VALUE"""),774.0)</f>
        <v>774</v>
      </c>
      <c r="D2759" s="3">
        <f>IFERROR(__xludf.DUMMYFUNCTION("""COMPUTED_VALUE"""),218.0)</f>
        <v>218</v>
      </c>
      <c r="E2759" s="2"/>
      <c r="F2759" s="2"/>
    </row>
    <row r="2760">
      <c r="A2760" s="2">
        <f>IFERROR(__xludf.DUMMYFUNCTION("""COMPUTED_VALUE"""),71875.0)</f>
        <v>71875</v>
      </c>
      <c r="B2760" s="2">
        <f>IFERROR(__xludf.DUMMYFUNCTION("""COMPUTED_VALUE"""),0.0)</f>
        <v>0</v>
      </c>
      <c r="C2760" s="2">
        <f>IFERROR(__xludf.DUMMYFUNCTION("""COMPUTED_VALUE"""),961.0)</f>
        <v>961</v>
      </c>
      <c r="D2760" s="3">
        <f>IFERROR(__xludf.DUMMYFUNCTION("""COMPUTED_VALUE"""),787.0)</f>
        <v>787</v>
      </c>
      <c r="E2760" s="2"/>
      <c r="F2760" s="2"/>
    </row>
    <row r="2761">
      <c r="A2761" s="2">
        <f>IFERROR(__xludf.DUMMYFUNCTION("""COMPUTED_VALUE"""),81198.0)</f>
        <v>81198</v>
      </c>
      <c r="B2761" s="2">
        <f>IFERROR(__xludf.DUMMYFUNCTION("""COMPUTED_VALUE"""),0.0)</f>
        <v>0</v>
      </c>
      <c r="C2761" s="2">
        <f>IFERROR(__xludf.DUMMYFUNCTION("""COMPUTED_VALUE"""),487.0)</f>
        <v>487</v>
      </c>
      <c r="D2761" s="3">
        <f>IFERROR(__xludf.DUMMYFUNCTION("""COMPUTED_VALUE"""),85.0)</f>
        <v>85</v>
      </c>
      <c r="E2761" s="2"/>
      <c r="F2761" s="2"/>
    </row>
    <row r="2762">
      <c r="A2762" s="2">
        <f>IFERROR(__xludf.DUMMYFUNCTION("""COMPUTED_VALUE"""),188723.0)</f>
        <v>188723</v>
      </c>
      <c r="B2762" s="2">
        <f>IFERROR(__xludf.DUMMYFUNCTION("""COMPUTED_VALUE"""),0.0)</f>
        <v>0</v>
      </c>
      <c r="C2762" s="2">
        <f>IFERROR(__xludf.DUMMYFUNCTION("""COMPUTED_VALUE"""),655.0)</f>
        <v>655</v>
      </c>
      <c r="D2762" s="3">
        <f>IFERROR(__xludf.DUMMYFUNCTION("""COMPUTED_VALUE"""),245.0)</f>
        <v>245</v>
      </c>
      <c r="E2762" s="2"/>
      <c r="F2762" s="2"/>
    </row>
    <row r="2763">
      <c r="A2763" s="2">
        <f>IFERROR(__xludf.DUMMYFUNCTION("""COMPUTED_VALUE"""),115053.0)</f>
        <v>115053</v>
      </c>
      <c r="B2763" s="2">
        <f>IFERROR(__xludf.DUMMYFUNCTION("""COMPUTED_VALUE"""),1.0)</f>
        <v>1</v>
      </c>
      <c r="C2763" s="2">
        <f>IFERROR(__xludf.DUMMYFUNCTION("""COMPUTED_VALUE"""),926.0)</f>
        <v>926</v>
      </c>
      <c r="D2763" s="3">
        <f>IFERROR(__xludf.DUMMYFUNCTION("""COMPUTED_VALUE"""),828.0)</f>
        <v>828</v>
      </c>
      <c r="E2763" s="2"/>
      <c r="F2763" s="2"/>
    </row>
    <row r="2764">
      <c r="A2764" s="2">
        <f>IFERROR(__xludf.DUMMYFUNCTION("""COMPUTED_VALUE"""),104609.0)</f>
        <v>104609</v>
      </c>
      <c r="B2764" s="2">
        <f>IFERROR(__xludf.DUMMYFUNCTION("""COMPUTED_VALUE"""),0.0)</f>
        <v>0</v>
      </c>
      <c r="C2764" s="2">
        <f>IFERROR(__xludf.DUMMYFUNCTION("""COMPUTED_VALUE"""),607.0)</f>
        <v>607</v>
      </c>
      <c r="D2764" s="3">
        <f>IFERROR(__xludf.DUMMYFUNCTION("""COMPUTED_VALUE"""),1.0)</f>
        <v>1</v>
      </c>
      <c r="E2764" s="2"/>
      <c r="F2764" s="2"/>
    </row>
    <row r="2765">
      <c r="A2765" s="2">
        <f>IFERROR(__xludf.DUMMYFUNCTION("""COMPUTED_VALUE"""),12916.0)</f>
        <v>12916</v>
      </c>
      <c r="B2765" s="2">
        <f>IFERROR(__xludf.DUMMYFUNCTION("""COMPUTED_VALUE"""),0.0)</f>
        <v>0</v>
      </c>
      <c r="C2765" s="2">
        <f>IFERROR(__xludf.DUMMYFUNCTION("""COMPUTED_VALUE"""),618.0)</f>
        <v>618</v>
      </c>
      <c r="D2765" s="3">
        <f>IFERROR(__xludf.DUMMYFUNCTION("""COMPUTED_VALUE"""),41.0)</f>
        <v>41</v>
      </c>
      <c r="E2765" s="2"/>
      <c r="F2765" s="2"/>
    </row>
    <row r="2766">
      <c r="A2766" s="2">
        <f>IFERROR(__xludf.DUMMYFUNCTION("""COMPUTED_VALUE"""),129488.0)</f>
        <v>129488</v>
      </c>
      <c r="B2766" s="2">
        <f>IFERROR(__xludf.DUMMYFUNCTION("""COMPUTED_VALUE"""),0.0)</f>
        <v>0</v>
      </c>
      <c r="C2766" s="2">
        <f>IFERROR(__xludf.DUMMYFUNCTION("""COMPUTED_VALUE"""),570.0)</f>
        <v>570</v>
      </c>
      <c r="D2766" s="3">
        <f>IFERROR(__xludf.DUMMYFUNCTION("""COMPUTED_VALUE"""),130.0)</f>
        <v>130</v>
      </c>
      <c r="E2766" s="2"/>
      <c r="F2766" s="2"/>
    </row>
    <row r="2767">
      <c r="A2767" s="2">
        <f>IFERROR(__xludf.DUMMYFUNCTION("""COMPUTED_VALUE"""),78566.0)</f>
        <v>78566</v>
      </c>
      <c r="B2767" s="2">
        <f>IFERROR(__xludf.DUMMYFUNCTION("""COMPUTED_VALUE"""),1.0)</f>
        <v>1</v>
      </c>
      <c r="C2767" s="2">
        <f>IFERROR(__xludf.DUMMYFUNCTION("""COMPUTED_VALUE"""),359.0)</f>
        <v>359</v>
      </c>
      <c r="D2767" s="3">
        <f>IFERROR(__xludf.DUMMYFUNCTION("""COMPUTED_VALUE"""),116.0)</f>
        <v>116</v>
      </c>
      <c r="E2767" s="2"/>
      <c r="F2767" s="2"/>
    </row>
    <row r="2768">
      <c r="A2768" s="2">
        <f>IFERROR(__xludf.DUMMYFUNCTION("""COMPUTED_VALUE"""),15090.0)</f>
        <v>15090</v>
      </c>
      <c r="B2768" s="2">
        <f>IFERROR(__xludf.DUMMYFUNCTION("""COMPUTED_VALUE"""),1.0)</f>
        <v>1</v>
      </c>
      <c r="C2768" s="2">
        <f>IFERROR(__xludf.DUMMYFUNCTION("""COMPUTED_VALUE"""),494.0)</f>
        <v>494</v>
      </c>
      <c r="D2768" s="3">
        <f>IFERROR(__xludf.DUMMYFUNCTION("""COMPUTED_VALUE"""),347.0)</f>
        <v>347</v>
      </c>
      <c r="E2768" s="2"/>
      <c r="F2768" s="2"/>
    </row>
    <row r="2769">
      <c r="A2769" s="2">
        <f>IFERROR(__xludf.DUMMYFUNCTION("""COMPUTED_VALUE"""),81209.0)</f>
        <v>81209</v>
      </c>
      <c r="B2769" s="2">
        <f>IFERROR(__xludf.DUMMYFUNCTION("""COMPUTED_VALUE"""),0.0)</f>
        <v>0</v>
      </c>
      <c r="C2769" s="2">
        <f>IFERROR(__xludf.DUMMYFUNCTION("""COMPUTED_VALUE"""),609.0)</f>
        <v>609</v>
      </c>
      <c r="D2769" s="3">
        <f>IFERROR(__xludf.DUMMYFUNCTION("""COMPUTED_VALUE"""),144.0)</f>
        <v>144</v>
      </c>
      <c r="E2769" s="2"/>
      <c r="F2769" s="2"/>
    </row>
    <row r="2770">
      <c r="A2770" s="2">
        <f>IFERROR(__xludf.DUMMYFUNCTION("""COMPUTED_VALUE"""),108141.0)</f>
        <v>108141</v>
      </c>
      <c r="B2770" s="2">
        <f>IFERROR(__xludf.DUMMYFUNCTION("""COMPUTED_VALUE"""),1.0)</f>
        <v>1</v>
      </c>
      <c r="C2770" s="2">
        <f>IFERROR(__xludf.DUMMYFUNCTION("""COMPUTED_VALUE"""),780.0)</f>
        <v>780</v>
      </c>
      <c r="D2770" s="3">
        <f>IFERROR(__xludf.DUMMYFUNCTION("""COMPUTED_VALUE"""),78.0)</f>
        <v>78</v>
      </c>
      <c r="E2770" s="2"/>
      <c r="F2770" s="2"/>
    </row>
    <row r="2771">
      <c r="A2771" s="2">
        <f>IFERROR(__xludf.DUMMYFUNCTION("""COMPUTED_VALUE"""),12914.0)</f>
        <v>12914</v>
      </c>
      <c r="B2771" s="2">
        <f>IFERROR(__xludf.DUMMYFUNCTION("""COMPUTED_VALUE"""),0.0)</f>
        <v>0</v>
      </c>
      <c r="C2771" s="2">
        <f>IFERROR(__xludf.DUMMYFUNCTION("""COMPUTED_VALUE"""),528.0)</f>
        <v>528</v>
      </c>
      <c r="D2771" s="3">
        <f>IFERROR(__xludf.DUMMYFUNCTION("""COMPUTED_VALUE"""),447.0)</f>
        <v>447</v>
      </c>
      <c r="E2771" s="2"/>
      <c r="F2771" s="2"/>
    </row>
    <row r="2772">
      <c r="A2772" s="2">
        <f>IFERROR(__xludf.DUMMYFUNCTION("""COMPUTED_VALUE"""),129492.0)</f>
        <v>129492</v>
      </c>
      <c r="B2772" s="2">
        <f>IFERROR(__xludf.DUMMYFUNCTION("""COMPUTED_VALUE"""),1.0)</f>
        <v>1</v>
      </c>
      <c r="C2772" s="2">
        <f>IFERROR(__xludf.DUMMYFUNCTION("""COMPUTED_VALUE"""),252.0)</f>
        <v>252</v>
      </c>
      <c r="D2772" s="3">
        <f>IFERROR(__xludf.DUMMYFUNCTION("""COMPUTED_VALUE"""),140.0)</f>
        <v>140</v>
      </c>
      <c r="E2772" s="2"/>
      <c r="F2772" s="2"/>
    </row>
    <row r="2773">
      <c r="A2773" s="2">
        <f>IFERROR(__xludf.DUMMYFUNCTION("""COMPUTED_VALUE"""),120473.0)</f>
        <v>120473</v>
      </c>
      <c r="B2773" s="2">
        <f>IFERROR(__xludf.DUMMYFUNCTION("""COMPUTED_VALUE"""),0.0)</f>
        <v>0</v>
      </c>
      <c r="C2773" s="2">
        <f>IFERROR(__xludf.DUMMYFUNCTION("""COMPUTED_VALUE"""),21.0)</f>
        <v>21</v>
      </c>
      <c r="D2773" s="3">
        <f>IFERROR(__xludf.DUMMYFUNCTION("""COMPUTED_VALUE"""),1.0)</f>
        <v>1</v>
      </c>
      <c r="E2773" s="2"/>
      <c r="F2773" s="2"/>
    </row>
    <row r="2774">
      <c r="A2774" s="2">
        <f>IFERROR(__xludf.DUMMYFUNCTION("""COMPUTED_VALUE"""),12924.0)</f>
        <v>12924</v>
      </c>
      <c r="B2774" s="2">
        <f>IFERROR(__xludf.DUMMYFUNCTION("""COMPUTED_VALUE"""),0.0)</f>
        <v>0</v>
      </c>
      <c r="C2774" s="2">
        <f>IFERROR(__xludf.DUMMYFUNCTION("""COMPUTED_VALUE"""),798.0)</f>
        <v>798</v>
      </c>
      <c r="D2774" s="3">
        <f>IFERROR(__xludf.DUMMYFUNCTION("""COMPUTED_VALUE"""),408.0)</f>
        <v>408</v>
      </c>
      <c r="E2774" s="2"/>
      <c r="F2774" s="2"/>
    </row>
    <row r="2775">
      <c r="A2775" s="2">
        <f>IFERROR(__xludf.DUMMYFUNCTION("""COMPUTED_VALUE"""),12920.0)</f>
        <v>12920</v>
      </c>
      <c r="B2775" s="2">
        <f>IFERROR(__xludf.DUMMYFUNCTION("""COMPUTED_VALUE"""),0.0)</f>
        <v>0</v>
      </c>
      <c r="C2775" s="2">
        <f>IFERROR(__xludf.DUMMYFUNCTION("""COMPUTED_VALUE"""),140.0)</f>
        <v>140</v>
      </c>
      <c r="D2775" s="3">
        <f>IFERROR(__xludf.DUMMYFUNCTION("""COMPUTED_VALUE"""),78.0)</f>
        <v>78</v>
      </c>
      <c r="E2775" s="2"/>
      <c r="F2775" s="2"/>
    </row>
    <row r="2776">
      <c r="A2776" s="2">
        <f>IFERROR(__xludf.DUMMYFUNCTION("""COMPUTED_VALUE"""),81200.0)</f>
        <v>81200</v>
      </c>
      <c r="B2776" s="2">
        <f>IFERROR(__xludf.DUMMYFUNCTION("""COMPUTED_VALUE"""),1.0)</f>
        <v>1</v>
      </c>
      <c r="C2776" s="2">
        <f>IFERROR(__xludf.DUMMYFUNCTION("""COMPUTED_VALUE"""),965.0)</f>
        <v>965</v>
      </c>
      <c r="D2776" s="3">
        <f>IFERROR(__xludf.DUMMYFUNCTION("""COMPUTED_VALUE"""),189.0)</f>
        <v>189</v>
      </c>
      <c r="E2776" s="2"/>
      <c r="F2776" s="2"/>
    </row>
    <row r="2777">
      <c r="A2777" s="2">
        <f>IFERROR(__xludf.DUMMYFUNCTION("""COMPUTED_VALUE"""),122410.0)</f>
        <v>122410</v>
      </c>
      <c r="B2777" s="2">
        <f>IFERROR(__xludf.DUMMYFUNCTION("""COMPUTED_VALUE"""),1.0)</f>
        <v>1</v>
      </c>
      <c r="C2777" s="2">
        <f>IFERROR(__xludf.DUMMYFUNCTION("""COMPUTED_VALUE"""),183.0)</f>
        <v>183</v>
      </c>
      <c r="D2777" s="3">
        <f>IFERROR(__xludf.DUMMYFUNCTION("""COMPUTED_VALUE"""),109.0)</f>
        <v>109</v>
      </c>
      <c r="E2777" s="2"/>
      <c r="F2777" s="2"/>
    </row>
    <row r="2778">
      <c r="A2778" s="2">
        <f>IFERROR(__xludf.DUMMYFUNCTION("""COMPUTED_VALUE"""),81720.0)</f>
        <v>81720</v>
      </c>
      <c r="B2778" s="2">
        <f>IFERROR(__xludf.DUMMYFUNCTION("""COMPUTED_VALUE"""),0.0)</f>
        <v>0</v>
      </c>
      <c r="C2778" s="2">
        <f>IFERROR(__xludf.DUMMYFUNCTION("""COMPUTED_VALUE"""),977.0)</f>
        <v>977</v>
      </c>
      <c r="D2778" s="3">
        <f>IFERROR(__xludf.DUMMYFUNCTION("""COMPUTED_VALUE"""),951.0)</f>
        <v>951</v>
      </c>
      <c r="E2778" s="2"/>
      <c r="F2778" s="2"/>
    </row>
    <row r="2779">
      <c r="A2779" s="2">
        <f>IFERROR(__xludf.DUMMYFUNCTION("""COMPUTED_VALUE"""),12923.0)</f>
        <v>12923</v>
      </c>
      <c r="B2779" s="2">
        <f>IFERROR(__xludf.DUMMYFUNCTION("""COMPUTED_VALUE"""),0.0)</f>
        <v>0</v>
      </c>
      <c r="C2779" s="2">
        <f>IFERROR(__xludf.DUMMYFUNCTION("""COMPUTED_VALUE"""),263.0)</f>
        <v>263</v>
      </c>
      <c r="D2779" s="3">
        <f>IFERROR(__xludf.DUMMYFUNCTION("""COMPUTED_VALUE"""),40.0)</f>
        <v>40</v>
      </c>
      <c r="E2779" s="2"/>
      <c r="F2779" s="2"/>
    </row>
    <row r="2780">
      <c r="A2780" s="2">
        <f>IFERROR(__xludf.DUMMYFUNCTION("""COMPUTED_VALUE"""),81173.0)</f>
        <v>81173</v>
      </c>
      <c r="B2780" s="2">
        <f>IFERROR(__xludf.DUMMYFUNCTION("""COMPUTED_VALUE"""),1.0)</f>
        <v>1</v>
      </c>
      <c r="C2780" s="2">
        <f>IFERROR(__xludf.DUMMYFUNCTION("""COMPUTED_VALUE"""),851.0)</f>
        <v>851</v>
      </c>
      <c r="D2780" s="3">
        <f>IFERROR(__xludf.DUMMYFUNCTION("""COMPUTED_VALUE"""),331.0)</f>
        <v>331</v>
      </c>
      <c r="E2780" s="2"/>
      <c r="F2780" s="2"/>
    </row>
    <row r="2781">
      <c r="A2781" s="2">
        <f>IFERROR(__xludf.DUMMYFUNCTION("""COMPUTED_VALUE"""),12910.0)</f>
        <v>12910</v>
      </c>
      <c r="B2781" s="2">
        <f>IFERROR(__xludf.DUMMYFUNCTION("""COMPUTED_VALUE"""),1.0)</f>
        <v>1</v>
      </c>
      <c r="C2781" s="2">
        <f>IFERROR(__xludf.DUMMYFUNCTION("""COMPUTED_VALUE"""),736.0)</f>
        <v>736</v>
      </c>
      <c r="D2781" s="3">
        <f>IFERROR(__xludf.DUMMYFUNCTION("""COMPUTED_VALUE"""),373.0)</f>
        <v>373</v>
      </c>
      <c r="E2781" s="2"/>
      <c r="F2781" s="2"/>
    </row>
    <row r="2782">
      <c r="A2782" s="2">
        <f>IFERROR(__xludf.DUMMYFUNCTION("""COMPUTED_VALUE"""),81193.0)</f>
        <v>81193</v>
      </c>
      <c r="B2782" s="2">
        <f>IFERROR(__xludf.DUMMYFUNCTION("""COMPUTED_VALUE"""),1.0)</f>
        <v>1</v>
      </c>
      <c r="C2782" s="2">
        <f>IFERROR(__xludf.DUMMYFUNCTION("""COMPUTED_VALUE"""),132.0)</f>
        <v>132</v>
      </c>
      <c r="D2782" s="3">
        <f>IFERROR(__xludf.DUMMYFUNCTION("""COMPUTED_VALUE"""),23.0)</f>
        <v>23</v>
      </c>
      <c r="E2782" s="2"/>
      <c r="F2782" s="2"/>
    </row>
    <row r="2783">
      <c r="A2783" s="2">
        <f>IFERROR(__xludf.DUMMYFUNCTION("""COMPUTED_VALUE"""),12917.0)</f>
        <v>12917</v>
      </c>
      <c r="B2783" s="2">
        <f>IFERROR(__xludf.DUMMYFUNCTION("""COMPUTED_VALUE"""),0.0)</f>
        <v>0</v>
      </c>
      <c r="C2783" s="2">
        <f>IFERROR(__xludf.DUMMYFUNCTION("""COMPUTED_VALUE"""),308.0)</f>
        <v>308</v>
      </c>
      <c r="D2783" s="3">
        <f>IFERROR(__xludf.DUMMYFUNCTION("""COMPUTED_VALUE"""),188.0)</f>
        <v>188</v>
      </c>
      <c r="E2783" s="2"/>
      <c r="F2783" s="2"/>
    </row>
    <row r="2784">
      <c r="A2784" s="2">
        <f>IFERROR(__xludf.DUMMYFUNCTION("""COMPUTED_VALUE"""),129491.0)</f>
        <v>129491</v>
      </c>
      <c r="B2784" s="2">
        <f>IFERROR(__xludf.DUMMYFUNCTION("""COMPUTED_VALUE"""),0.0)</f>
        <v>0</v>
      </c>
      <c r="C2784" s="2">
        <f>IFERROR(__xludf.DUMMYFUNCTION("""COMPUTED_VALUE"""),911.0)</f>
        <v>911</v>
      </c>
      <c r="D2784" s="3">
        <f>IFERROR(__xludf.DUMMYFUNCTION("""COMPUTED_VALUE"""),232.0)</f>
        <v>232</v>
      </c>
      <c r="E2784" s="2"/>
      <c r="F2784" s="2"/>
    </row>
    <row r="2785">
      <c r="A2785" s="2">
        <f>IFERROR(__xludf.DUMMYFUNCTION("""COMPUTED_VALUE"""),15104.0)</f>
        <v>15104</v>
      </c>
      <c r="B2785" s="2">
        <f>IFERROR(__xludf.DUMMYFUNCTION("""COMPUTED_VALUE"""),1.0)</f>
        <v>1</v>
      </c>
      <c r="C2785" s="2">
        <f>IFERROR(__xludf.DUMMYFUNCTION("""COMPUTED_VALUE"""),213.0)</f>
        <v>213</v>
      </c>
      <c r="D2785" s="3">
        <f>IFERROR(__xludf.DUMMYFUNCTION("""COMPUTED_VALUE"""),212.0)</f>
        <v>212</v>
      </c>
      <c r="E2785" s="2"/>
      <c r="F2785" s="2"/>
    </row>
    <row r="2786">
      <c r="A2786" s="2">
        <f>IFERROR(__xludf.DUMMYFUNCTION("""COMPUTED_VALUE"""),122407.0)</f>
        <v>122407</v>
      </c>
      <c r="B2786" s="2">
        <f>IFERROR(__xludf.DUMMYFUNCTION("""COMPUTED_VALUE"""),1.0)</f>
        <v>1</v>
      </c>
      <c r="C2786" s="2">
        <f>IFERROR(__xludf.DUMMYFUNCTION("""COMPUTED_VALUE"""),130.0)</f>
        <v>130</v>
      </c>
      <c r="D2786" s="3">
        <f>IFERROR(__xludf.DUMMYFUNCTION("""COMPUTED_VALUE"""),8.0)</f>
        <v>8</v>
      </c>
      <c r="E2786" s="2"/>
      <c r="F2786" s="2"/>
    </row>
    <row r="2787">
      <c r="A2787" s="2">
        <f>IFERROR(__xludf.DUMMYFUNCTION("""COMPUTED_VALUE"""),81191.0)</f>
        <v>81191</v>
      </c>
      <c r="B2787" s="2">
        <f>IFERROR(__xludf.DUMMYFUNCTION("""COMPUTED_VALUE"""),0.0)</f>
        <v>0</v>
      </c>
      <c r="C2787" s="2">
        <f>IFERROR(__xludf.DUMMYFUNCTION("""COMPUTED_VALUE"""),84.0)</f>
        <v>84</v>
      </c>
      <c r="D2787" s="3">
        <f>IFERROR(__xludf.DUMMYFUNCTION("""COMPUTED_VALUE"""),14.0)</f>
        <v>14</v>
      </c>
      <c r="E2787" s="2"/>
      <c r="F2787" s="2"/>
    </row>
    <row r="2788">
      <c r="A2788" s="2">
        <f>IFERROR(__xludf.DUMMYFUNCTION("""COMPUTED_VALUE"""),188725.0)</f>
        <v>188725</v>
      </c>
      <c r="B2788" s="2">
        <f>IFERROR(__xludf.DUMMYFUNCTION("""COMPUTED_VALUE"""),1.0)</f>
        <v>1</v>
      </c>
      <c r="C2788" s="2">
        <f>IFERROR(__xludf.DUMMYFUNCTION("""COMPUTED_VALUE"""),189.0)</f>
        <v>189</v>
      </c>
      <c r="D2788" s="3">
        <f>IFERROR(__xludf.DUMMYFUNCTION("""COMPUTED_VALUE"""),27.0)</f>
        <v>27</v>
      </c>
      <c r="E2788" s="2"/>
      <c r="F2788" s="2"/>
    </row>
    <row r="2789">
      <c r="A2789" s="2">
        <f>IFERROR(__xludf.DUMMYFUNCTION("""COMPUTED_VALUE"""),188724.0)</f>
        <v>188724</v>
      </c>
      <c r="B2789" s="2">
        <f>IFERROR(__xludf.DUMMYFUNCTION("""COMPUTED_VALUE"""),0.0)</f>
        <v>0</v>
      </c>
      <c r="C2789" s="2">
        <f>IFERROR(__xludf.DUMMYFUNCTION("""COMPUTED_VALUE"""),906.0)</f>
        <v>906</v>
      </c>
      <c r="D2789" s="3">
        <f>IFERROR(__xludf.DUMMYFUNCTION("""COMPUTED_VALUE"""),507.0)</f>
        <v>507</v>
      </c>
      <c r="E2789" s="2"/>
      <c r="F2789" s="2"/>
    </row>
    <row r="2790">
      <c r="A2790" s="2">
        <f>IFERROR(__xludf.DUMMYFUNCTION("""COMPUTED_VALUE"""),12911.0)</f>
        <v>12911</v>
      </c>
      <c r="B2790" s="2">
        <f>IFERROR(__xludf.DUMMYFUNCTION("""COMPUTED_VALUE"""),1.0)</f>
        <v>1</v>
      </c>
      <c r="C2790" s="2">
        <f>IFERROR(__xludf.DUMMYFUNCTION("""COMPUTED_VALUE"""),126.0)</f>
        <v>126</v>
      </c>
      <c r="D2790" s="3">
        <f>IFERROR(__xludf.DUMMYFUNCTION("""COMPUTED_VALUE"""),111.0)</f>
        <v>111</v>
      </c>
      <c r="E2790" s="2"/>
      <c r="F2790" s="2"/>
    </row>
    <row r="2791">
      <c r="A2791" s="2">
        <f>IFERROR(__xludf.DUMMYFUNCTION("""COMPUTED_VALUE"""),21612.0)</f>
        <v>21612</v>
      </c>
      <c r="B2791" s="2">
        <f>IFERROR(__xludf.DUMMYFUNCTION("""COMPUTED_VALUE"""),1.0)</f>
        <v>1</v>
      </c>
      <c r="C2791" s="2">
        <f>IFERROR(__xludf.DUMMYFUNCTION("""COMPUTED_VALUE"""),591.0)</f>
        <v>591</v>
      </c>
      <c r="D2791" s="3">
        <f>IFERROR(__xludf.DUMMYFUNCTION("""COMPUTED_VALUE"""),367.0)</f>
        <v>367</v>
      </c>
      <c r="E2791" s="2"/>
      <c r="F2791" s="2"/>
    </row>
    <row r="2792">
      <c r="A2792" s="2">
        <f>IFERROR(__xludf.DUMMYFUNCTION("""COMPUTED_VALUE"""),21603.0)</f>
        <v>21603</v>
      </c>
      <c r="B2792" s="2">
        <f>IFERROR(__xludf.DUMMYFUNCTION("""COMPUTED_VALUE"""),1.0)</f>
        <v>1</v>
      </c>
      <c r="C2792" s="2">
        <f>IFERROR(__xludf.DUMMYFUNCTION("""COMPUTED_VALUE"""),349.0)</f>
        <v>349</v>
      </c>
      <c r="D2792" s="3">
        <f>IFERROR(__xludf.DUMMYFUNCTION("""COMPUTED_VALUE"""),42.0)</f>
        <v>42</v>
      </c>
      <c r="E2792" s="2"/>
      <c r="F2792" s="2"/>
    </row>
    <row r="2793">
      <c r="A2793" s="2">
        <f>IFERROR(__xludf.DUMMYFUNCTION("""COMPUTED_VALUE"""),81218.0)</f>
        <v>81218</v>
      </c>
      <c r="B2793" s="2">
        <f>IFERROR(__xludf.DUMMYFUNCTION("""COMPUTED_VALUE"""),0.0)</f>
        <v>0</v>
      </c>
      <c r="C2793" s="2">
        <f>IFERROR(__xludf.DUMMYFUNCTION("""COMPUTED_VALUE"""),723.0)</f>
        <v>723</v>
      </c>
      <c r="D2793" s="3">
        <f>IFERROR(__xludf.DUMMYFUNCTION("""COMPUTED_VALUE"""),432.0)</f>
        <v>432</v>
      </c>
      <c r="E2793" s="2"/>
      <c r="F2793" s="2"/>
    </row>
    <row r="2794">
      <c r="A2794" s="2">
        <f>IFERROR(__xludf.DUMMYFUNCTION("""COMPUTED_VALUE"""),70543.0)</f>
        <v>70543</v>
      </c>
      <c r="B2794" s="2">
        <f>IFERROR(__xludf.DUMMYFUNCTION("""COMPUTED_VALUE"""),0.0)</f>
        <v>0</v>
      </c>
      <c r="C2794" s="2">
        <f>IFERROR(__xludf.DUMMYFUNCTION("""COMPUTED_VALUE"""),665.0)</f>
        <v>665</v>
      </c>
      <c r="D2794" s="3">
        <f>IFERROR(__xludf.DUMMYFUNCTION("""COMPUTED_VALUE"""),480.0)</f>
        <v>480</v>
      </c>
      <c r="E2794" s="2"/>
      <c r="F2794" s="2"/>
    </row>
    <row r="2795">
      <c r="A2795" s="2">
        <f>IFERROR(__xludf.DUMMYFUNCTION("""COMPUTED_VALUE"""),80549.0)</f>
        <v>80549</v>
      </c>
      <c r="B2795" s="2">
        <f>IFERROR(__xludf.DUMMYFUNCTION("""COMPUTED_VALUE"""),0.0)</f>
        <v>0</v>
      </c>
      <c r="C2795" s="2">
        <f>IFERROR(__xludf.DUMMYFUNCTION("""COMPUTED_VALUE"""),184.0)</f>
        <v>184</v>
      </c>
      <c r="D2795" s="3">
        <f>IFERROR(__xludf.DUMMYFUNCTION("""COMPUTED_VALUE"""),129.0)</f>
        <v>129</v>
      </c>
      <c r="E2795" s="2"/>
      <c r="F2795" s="2"/>
    </row>
    <row r="2796">
      <c r="A2796" s="2">
        <f>IFERROR(__xludf.DUMMYFUNCTION("""COMPUTED_VALUE"""),79404.0)</f>
        <v>79404</v>
      </c>
      <c r="B2796" s="2">
        <f>IFERROR(__xludf.DUMMYFUNCTION("""COMPUTED_VALUE"""),0.0)</f>
        <v>0</v>
      </c>
      <c r="C2796" s="2">
        <f>IFERROR(__xludf.DUMMYFUNCTION("""COMPUTED_VALUE"""),673.0)</f>
        <v>673</v>
      </c>
      <c r="D2796" s="3">
        <f>IFERROR(__xludf.DUMMYFUNCTION("""COMPUTED_VALUE"""),448.0)</f>
        <v>448</v>
      </c>
      <c r="E2796" s="2"/>
      <c r="F2796" s="2"/>
    </row>
    <row r="2797">
      <c r="A2797" s="2">
        <f>IFERROR(__xludf.DUMMYFUNCTION("""COMPUTED_VALUE"""),110596.0)</f>
        <v>110596</v>
      </c>
      <c r="B2797" s="2">
        <f>IFERROR(__xludf.DUMMYFUNCTION("""COMPUTED_VALUE"""),0.0)</f>
        <v>0</v>
      </c>
      <c r="C2797" s="2">
        <f>IFERROR(__xludf.DUMMYFUNCTION("""COMPUTED_VALUE"""),519.0)</f>
        <v>519</v>
      </c>
      <c r="D2797" s="3">
        <f>IFERROR(__xludf.DUMMYFUNCTION("""COMPUTED_VALUE"""),78.0)</f>
        <v>78</v>
      </c>
      <c r="E2797" s="2"/>
      <c r="F2797" s="2"/>
    </row>
    <row r="2798">
      <c r="A2798" s="2">
        <f>IFERROR(__xludf.DUMMYFUNCTION("""COMPUTED_VALUE"""),70547.0)</f>
        <v>70547</v>
      </c>
      <c r="B2798" s="2">
        <f>IFERROR(__xludf.DUMMYFUNCTION("""COMPUTED_VALUE"""),1.0)</f>
        <v>1</v>
      </c>
      <c r="C2798" s="2">
        <f>IFERROR(__xludf.DUMMYFUNCTION("""COMPUTED_VALUE"""),966.0)</f>
        <v>966</v>
      </c>
      <c r="D2798" s="3">
        <f>IFERROR(__xludf.DUMMYFUNCTION("""COMPUTED_VALUE"""),551.0)</f>
        <v>551</v>
      </c>
      <c r="E2798" s="2"/>
      <c r="F2798" s="2"/>
    </row>
    <row r="2799">
      <c r="A2799" s="2">
        <f>IFERROR(__xludf.DUMMYFUNCTION("""COMPUTED_VALUE"""),11410.0)</f>
        <v>11410</v>
      </c>
      <c r="B2799" s="2">
        <f>IFERROR(__xludf.DUMMYFUNCTION("""COMPUTED_VALUE"""),1.0)</f>
        <v>1</v>
      </c>
      <c r="C2799" s="2">
        <f>IFERROR(__xludf.DUMMYFUNCTION("""COMPUTED_VALUE"""),507.0)</f>
        <v>507</v>
      </c>
      <c r="D2799" s="3">
        <f>IFERROR(__xludf.DUMMYFUNCTION("""COMPUTED_VALUE"""),437.0)</f>
        <v>437</v>
      </c>
      <c r="E2799" s="2"/>
      <c r="F2799" s="2"/>
    </row>
    <row r="2800">
      <c r="A2800" s="2">
        <f>IFERROR(__xludf.DUMMYFUNCTION("""COMPUTED_VALUE"""),116632.0)</f>
        <v>116632</v>
      </c>
      <c r="B2800" s="2">
        <f>IFERROR(__xludf.DUMMYFUNCTION("""COMPUTED_VALUE"""),0.0)</f>
        <v>0</v>
      </c>
      <c r="C2800" s="2">
        <f>IFERROR(__xludf.DUMMYFUNCTION("""COMPUTED_VALUE"""),614.0)</f>
        <v>614</v>
      </c>
      <c r="D2800" s="3">
        <f>IFERROR(__xludf.DUMMYFUNCTION("""COMPUTED_VALUE"""),250.0)</f>
        <v>250</v>
      </c>
      <c r="E2800" s="2"/>
      <c r="F2800" s="2"/>
    </row>
    <row r="2801">
      <c r="A2801" s="2">
        <f>IFERROR(__xludf.DUMMYFUNCTION("""COMPUTED_VALUE"""),80546.0)</f>
        <v>80546</v>
      </c>
      <c r="B2801" s="2">
        <f>IFERROR(__xludf.DUMMYFUNCTION("""COMPUTED_VALUE"""),1.0)</f>
        <v>1</v>
      </c>
      <c r="C2801" s="2">
        <f>IFERROR(__xludf.DUMMYFUNCTION("""COMPUTED_VALUE"""),157.0)</f>
        <v>157</v>
      </c>
      <c r="D2801" s="3">
        <f>IFERROR(__xludf.DUMMYFUNCTION("""COMPUTED_VALUE"""),128.0)</f>
        <v>128</v>
      </c>
      <c r="E2801" s="2"/>
      <c r="F2801" s="2"/>
    </row>
    <row r="2802">
      <c r="A2802" s="2">
        <f>IFERROR(__xludf.DUMMYFUNCTION("""COMPUTED_VALUE"""),80572.0)</f>
        <v>80572</v>
      </c>
      <c r="B2802" s="2">
        <f>IFERROR(__xludf.DUMMYFUNCTION("""COMPUTED_VALUE"""),1.0)</f>
        <v>1</v>
      </c>
      <c r="C2802" s="2">
        <f>IFERROR(__xludf.DUMMYFUNCTION("""COMPUTED_VALUE"""),715.0)</f>
        <v>715</v>
      </c>
      <c r="D2802" s="3">
        <f>IFERROR(__xludf.DUMMYFUNCTION("""COMPUTED_VALUE"""),493.0)</f>
        <v>493</v>
      </c>
      <c r="E2802" s="2"/>
      <c r="F2802" s="2"/>
    </row>
    <row r="2803">
      <c r="A2803" s="2">
        <f>IFERROR(__xludf.DUMMYFUNCTION("""COMPUTED_VALUE"""),70558.0)</f>
        <v>70558</v>
      </c>
      <c r="B2803" s="2">
        <f>IFERROR(__xludf.DUMMYFUNCTION("""COMPUTED_VALUE"""),1.0)</f>
        <v>1</v>
      </c>
      <c r="C2803" s="2">
        <f>IFERROR(__xludf.DUMMYFUNCTION("""COMPUTED_VALUE"""),601.0)</f>
        <v>601</v>
      </c>
      <c r="D2803" s="3">
        <f>IFERROR(__xludf.DUMMYFUNCTION("""COMPUTED_VALUE"""),59.0)</f>
        <v>59</v>
      </c>
      <c r="E2803" s="2"/>
      <c r="F2803" s="2"/>
    </row>
    <row r="2804">
      <c r="A2804" s="2">
        <f>IFERROR(__xludf.DUMMYFUNCTION("""COMPUTED_VALUE"""),79405.0)</f>
        <v>79405</v>
      </c>
      <c r="B2804" s="2">
        <f>IFERROR(__xludf.DUMMYFUNCTION("""COMPUTED_VALUE"""),1.0)</f>
        <v>1</v>
      </c>
      <c r="C2804" s="2">
        <f>IFERROR(__xludf.DUMMYFUNCTION("""COMPUTED_VALUE"""),866.0)</f>
        <v>866</v>
      </c>
      <c r="D2804" s="3">
        <f>IFERROR(__xludf.DUMMYFUNCTION("""COMPUTED_VALUE"""),208.0)</f>
        <v>208</v>
      </c>
      <c r="E2804" s="2"/>
      <c r="F2804" s="2"/>
    </row>
    <row r="2805">
      <c r="A2805" s="2">
        <f>IFERROR(__xludf.DUMMYFUNCTION("""COMPUTED_VALUE"""),80543.0)</f>
        <v>80543</v>
      </c>
      <c r="B2805" s="2">
        <f>IFERROR(__xludf.DUMMYFUNCTION("""COMPUTED_VALUE"""),1.0)</f>
        <v>1</v>
      </c>
      <c r="C2805" s="2">
        <f>IFERROR(__xludf.DUMMYFUNCTION("""COMPUTED_VALUE"""),665.0)</f>
        <v>665</v>
      </c>
      <c r="D2805" s="3">
        <f>IFERROR(__xludf.DUMMYFUNCTION("""COMPUTED_VALUE"""),180.0)</f>
        <v>180</v>
      </c>
      <c r="E2805" s="2"/>
      <c r="F2805" s="2"/>
    </row>
    <row r="2806">
      <c r="A2806" s="2">
        <f>IFERROR(__xludf.DUMMYFUNCTION("""COMPUTED_VALUE"""),14041.0)</f>
        <v>14041</v>
      </c>
      <c r="B2806" s="2">
        <f>IFERROR(__xludf.DUMMYFUNCTION("""COMPUTED_VALUE"""),0.0)</f>
        <v>0</v>
      </c>
      <c r="C2806" s="2">
        <f>IFERROR(__xludf.DUMMYFUNCTION("""COMPUTED_VALUE"""),536.0)</f>
        <v>536</v>
      </c>
      <c r="D2806" s="3">
        <f>IFERROR(__xludf.DUMMYFUNCTION("""COMPUTED_VALUE"""),434.0)</f>
        <v>434</v>
      </c>
      <c r="E2806" s="2"/>
      <c r="F2806" s="2"/>
    </row>
    <row r="2807">
      <c r="A2807" s="2">
        <f>IFERROR(__xludf.DUMMYFUNCTION("""COMPUTED_VALUE"""),70559.0)</f>
        <v>70559</v>
      </c>
      <c r="B2807" s="2">
        <f>IFERROR(__xludf.DUMMYFUNCTION("""COMPUTED_VALUE"""),1.0)</f>
        <v>1</v>
      </c>
      <c r="C2807" s="2">
        <f>IFERROR(__xludf.DUMMYFUNCTION("""COMPUTED_VALUE"""),816.0)</f>
        <v>816</v>
      </c>
      <c r="D2807" s="3">
        <f>IFERROR(__xludf.DUMMYFUNCTION("""COMPUTED_VALUE"""),314.0)</f>
        <v>314</v>
      </c>
      <c r="E2807" s="2"/>
      <c r="F2807" s="2"/>
    </row>
    <row r="2808">
      <c r="A2808" s="2">
        <f>IFERROR(__xludf.DUMMYFUNCTION("""COMPUTED_VALUE"""),80582.0)</f>
        <v>80582</v>
      </c>
      <c r="B2808" s="2">
        <f>IFERROR(__xludf.DUMMYFUNCTION("""COMPUTED_VALUE"""),0.0)</f>
        <v>0</v>
      </c>
      <c r="C2808" s="2">
        <f>IFERROR(__xludf.DUMMYFUNCTION("""COMPUTED_VALUE"""),674.0)</f>
        <v>674</v>
      </c>
      <c r="D2808" s="3">
        <f>IFERROR(__xludf.DUMMYFUNCTION("""COMPUTED_VALUE"""),97.0)</f>
        <v>97</v>
      </c>
      <c r="E2808" s="2"/>
      <c r="F2808" s="2"/>
    </row>
    <row r="2809">
      <c r="A2809" s="2">
        <f>IFERROR(__xludf.DUMMYFUNCTION("""COMPUTED_VALUE"""),90004.0)</f>
        <v>90004</v>
      </c>
      <c r="B2809" s="2">
        <f>IFERROR(__xludf.DUMMYFUNCTION("""COMPUTED_VALUE"""),1.0)</f>
        <v>1</v>
      </c>
      <c r="C2809" s="2">
        <f>IFERROR(__xludf.DUMMYFUNCTION("""COMPUTED_VALUE"""),773.0)</f>
        <v>773</v>
      </c>
      <c r="D2809" s="3">
        <f>IFERROR(__xludf.DUMMYFUNCTION("""COMPUTED_VALUE"""),18.0)</f>
        <v>18</v>
      </c>
      <c r="E2809" s="2"/>
      <c r="F2809" s="2"/>
    </row>
    <row r="2810">
      <c r="A2810" s="2">
        <f>IFERROR(__xludf.DUMMYFUNCTION("""COMPUTED_VALUE"""),117907.0)</f>
        <v>117907</v>
      </c>
      <c r="B2810" s="2">
        <f>IFERROR(__xludf.DUMMYFUNCTION("""COMPUTED_VALUE"""),1.0)</f>
        <v>1</v>
      </c>
      <c r="C2810" s="2">
        <f>IFERROR(__xludf.DUMMYFUNCTION("""COMPUTED_VALUE"""),457.0)</f>
        <v>457</v>
      </c>
      <c r="D2810" s="3">
        <f>IFERROR(__xludf.DUMMYFUNCTION("""COMPUTED_VALUE"""),94.0)</f>
        <v>94</v>
      </c>
      <c r="E2810" s="2"/>
      <c r="F2810" s="2"/>
    </row>
    <row r="2811">
      <c r="A2811" s="2">
        <f>IFERROR(__xludf.DUMMYFUNCTION("""COMPUTED_VALUE"""),70542.0)</f>
        <v>70542</v>
      </c>
      <c r="B2811" s="2">
        <f>IFERROR(__xludf.DUMMYFUNCTION("""COMPUTED_VALUE"""),1.0)</f>
        <v>1</v>
      </c>
      <c r="C2811" s="2">
        <f>IFERROR(__xludf.DUMMYFUNCTION("""COMPUTED_VALUE"""),935.0)</f>
        <v>935</v>
      </c>
      <c r="D2811" s="3">
        <f>IFERROR(__xludf.DUMMYFUNCTION("""COMPUTED_VALUE"""),521.0)</f>
        <v>521</v>
      </c>
      <c r="E2811" s="2"/>
      <c r="F2811" s="2"/>
    </row>
    <row r="2812">
      <c r="A2812" s="2">
        <f>IFERROR(__xludf.DUMMYFUNCTION("""COMPUTED_VALUE"""),81210.0)</f>
        <v>81210</v>
      </c>
      <c r="B2812" s="2">
        <f>IFERROR(__xludf.DUMMYFUNCTION("""COMPUTED_VALUE"""),0.0)</f>
        <v>0</v>
      </c>
      <c r="C2812" s="2">
        <f>IFERROR(__xludf.DUMMYFUNCTION("""COMPUTED_VALUE"""),955.0)</f>
        <v>955</v>
      </c>
      <c r="D2812" s="3">
        <f>IFERROR(__xludf.DUMMYFUNCTION("""COMPUTED_VALUE"""),321.0)</f>
        <v>321</v>
      </c>
      <c r="E2812" s="2"/>
      <c r="F2812" s="2"/>
    </row>
    <row r="2813">
      <c r="A2813" s="2">
        <f>IFERROR(__xludf.DUMMYFUNCTION("""COMPUTED_VALUE"""),81211.0)</f>
        <v>81211</v>
      </c>
      <c r="B2813" s="2">
        <f>IFERROR(__xludf.DUMMYFUNCTION("""COMPUTED_VALUE"""),0.0)</f>
        <v>0</v>
      </c>
      <c r="C2813" s="2">
        <f>IFERROR(__xludf.DUMMYFUNCTION("""COMPUTED_VALUE"""),160.0)</f>
        <v>160</v>
      </c>
      <c r="D2813" s="3">
        <f>IFERROR(__xludf.DUMMYFUNCTION("""COMPUTED_VALUE"""),97.0)</f>
        <v>97</v>
      </c>
      <c r="E2813" s="2"/>
      <c r="F2813" s="2"/>
    </row>
    <row r="2814">
      <c r="A2814" s="2">
        <f>IFERROR(__xludf.DUMMYFUNCTION("""COMPUTED_VALUE"""),80573.0)</f>
        <v>80573</v>
      </c>
      <c r="B2814" s="2">
        <f>IFERROR(__xludf.DUMMYFUNCTION("""COMPUTED_VALUE"""),1.0)</f>
        <v>1</v>
      </c>
      <c r="C2814" s="2">
        <f>IFERROR(__xludf.DUMMYFUNCTION("""COMPUTED_VALUE"""),736.0)</f>
        <v>736</v>
      </c>
      <c r="D2814" s="3">
        <f>IFERROR(__xludf.DUMMYFUNCTION("""COMPUTED_VALUE"""),696.0)</f>
        <v>696</v>
      </c>
      <c r="E2814" s="2"/>
      <c r="F2814" s="2"/>
    </row>
    <row r="2815">
      <c r="A2815" s="2">
        <f>IFERROR(__xludf.DUMMYFUNCTION("""COMPUTED_VALUE"""),117909.0)</f>
        <v>117909</v>
      </c>
      <c r="B2815" s="2">
        <f>IFERROR(__xludf.DUMMYFUNCTION("""COMPUTED_VALUE"""),1.0)</f>
        <v>1</v>
      </c>
      <c r="C2815" s="2">
        <f>IFERROR(__xludf.DUMMYFUNCTION("""COMPUTED_VALUE"""),330.0)</f>
        <v>330</v>
      </c>
      <c r="D2815" s="3">
        <f>IFERROR(__xludf.DUMMYFUNCTION("""COMPUTED_VALUE"""),39.0)</f>
        <v>39</v>
      </c>
      <c r="E2815" s="2"/>
      <c r="F2815" s="2"/>
    </row>
    <row r="2816">
      <c r="A2816" s="2">
        <f>IFERROR(__xludf.DUMMYFUNCTION("""COMPUTED_VALUE"""),80584.0)</f>
        <v>80584</v>
      </c>
      <c r="B2816" s="2">
        <f>IFERROR(__xludf.DUMMYFUNCTION("""COMPUTED_VALUE"""),0.0)</f>
        <v>0</v>
      </c>
      <c r="C2816" s="2">
        <f>IFERROR(__xludf.DUMMYFUNCTION("""COMPUTED_VALUE"""),36.0)</f>
        <v>36</v>
      </c>
      <c r="D2816" s="3">
        <f>IFERROR(__xludf.DUMMYFUNCTION("""COMPUTED_VALUE"""),9.0)</f>
        <v>9</v>
      </c>
      <c r="E2816" s="2"/>
      <c r="F2816" s="2"/>
    </row>
    <row r="2817">
      <c r="A2817" s="2">
        <f>IFERROR(__xludf.DUMMYFUNCTION("""COMPUTED_VALUE"""),80550.0)</f>
        <v>80550</v>
      </c>
      <c r="B2817" s="2">
        <f>IFERROR(__xludf.DUMMYFUNCTION("""COMPUTED_VALUE"""),1.0)</f>
        <v>1</v>
      </c>
      <c r="C2817" s="2">
        <f>IFERROR(__xludf.DUMMYFUNCTION("""COMPUTED_VALUE"""),889.0)</f>
        <v>889</v>
      </c>
      <c r="D2817" s="3">
        <f>IFERROR(__xludf.DUMMYFUNCTION("""COMPUTED_VALUE"""),873.0)</f>
        <v>873</v>
      </c>
      <c r="E2817" s="2"/>
      <c r="F2817" s="2"/>
    </row>
    <row r="2818">
      <c r="A2818" s="2">
        <f>IFERROR(__xludf.DUMMYFUNCTION("""COMPUTED_VALUE"""),81227.0)</f>
        <v>81227</v>
      </c>
      <c r="B2818" s="2">
        <f>IFERROR(__xludf.DUMMYFUNCTION("""COMPUTED_VALUE"""),0.0)</f>
        <v>0</v>
      </c>
      <c r="C2818" s="2">
        <f>IFERROR(__xludf.DUMMYFUNCTION("""COMPUTED_VALUE"""),162.0)</f>
        <v>162</v>
      </c>
      <c r="D2818" s="3">
        <f>IFERROR(__xludf.DUMMYFUNCTION("""COMPUTED_VALUE"""),47.0)</f>
        <v>47</v>
      </c>
      <c r="E2818" s="2"/>
      <c r="F2818" s="2"/>
    </row>
    <row r="2819">
      <c r="A2819" s="2">
        <f>IFERROR(__xludf.DUMMYFUNCTION("""COMPUTED_VALUE"""),80578.0)</f>
        <v>80578</v>
      </c>
      <c r="B2819" s="2">
        <f>IFERROR(__xludf.DUMMYFUNCTION("""COMPUTED_VALUE"""),0.0)</f>
        <v>0</v>
      </c>
      <c r="C2819" s="2">
        <f>IFERROR(__xludf.DUMMYFUNCTION("""COMPUTED_VALUE"""),27.0)</f>
        <v>27</v>
      </c>
      <c r="D2819" s="3">
        <f>IFERROR(__xludf.DUMMYFUNCTION("""COMPUTED_VALUE"""),24.0)</f>
        <v>24</v>
      </c>
      <c r="E2819" s="2"/>
      <c r="F2819" s="2"/>
    </row>
    <row r="2820">
      <c r="A2820" s="2">
        <f>IFERROR(__xludf.DUMMYFUNCTION("""COMPUTED_VALUE"""),110595.0)</f>
        <v>110595</v>
      </c>
      <c r="B2820" s="2">
        <f>IFERROR(__xludf.DUMMYFUNCTION("""COMPUTED_VALUE"""),0.0)</f>
        <v>0</v>
      </c>
      <c r="C2820" s="2">
        <f>IFERROR(__xludf.DUMMYFUNCTION("""COMPUTED_VALUE"""),965.0)</f>
        <v>965</v>
      </c>
      <c r="D2820" s="3">
        <f>IFERROR(__xludf.DUMMYFUNCTION("""COMPUTED_VALUE"""),898.0)</f>
        <v>898</v>
      </c>
      <c r="E2820" s="2"/>
      <c r="F2820" s="2"/>
    </row>
    <row r="2821">
      <c r="A2821" s="2">
        <f>IFERROR(__xludf.DUMMYFUNCTION("""COMPUTED_VALUE"""),70557.0)</f>
        <v>70557</v>
      </c>
      <c r="B2821" s="2">
        <f>IFERROR(__xludf.DUMMYFUNCTION("""COMPUTED_VALUE"""),0.0)</f>
        <v>0</v>
      </c>
      <c r="C2821" s="2">
        <f>IFERROR(__xludf.DUMMYFUNCTION("""COMPUTED_VALUE"""),291.0)</f>
        <v>291</v>
      </c>
      <c r="D2821" s="3">
        <f>IFERROR(__xludf.DUMMYFUNCTION("""COMPUTED_VALUE"""),269.0)</f>
        <v>269</v>
      </c>
      <c r="E2821" s="2"/>
      <c r="F2821" s="2"/>
    </row>
    <row r="2822">
      <c r="A2822" s="2">
        <f>IFERROR(__xludf.DUMMYFUNCTION("""COMPUTED_VALUE"""),147284.0)</f>
        <v>147284</v>
      </c>
      <c r="B2822" s="2">
        <f>IFERROR(__xludf.DUMMYFUNCTION("""COMPUTED_VALUE"""),1.0)</f>
        <v>1</v>
      </c>
      <c r="C2822" s="2">
        <f>IFERROR(__xludf.DUMMYFUNCTION("""COMPUTED_VALUE"""),744.0)</f>
        <v>744</v>
      </c>
      <c r="D2822" s="3">
        <f>IFERROR(__xludf.DUMMYFUNCTION("""COMPUTED_VALUE"""),89.0)</f>
        <v>89</v>
      </c>
      <c r="E2822" s="2"/>
      <c r="F2822" s="2"/>
    </row>
    <row r="2823">
      <c r="A2823" s="2">
        <f>IFERROR(__xludf.DUMMYFUNCTION("""COMPUTED_VALUE"""),70553.0)</f>
        <v>70553</v>
      </c>
      <c r="B2823" s="2">
        <f>IFERROR(__xludf.DUMMYFUNCTION("""COMPUTED_VALUE"""),0.0)</f>
        <v>0</v>
      </c>
      <c r="C2823" s="2">
        <f>IFERROR(__xludf.DUMMYFUNCTION("""COMPUTED_VALUE"""),319.0)</f>
        <v>319</v>
      </c>
      <c r="D2823" s="3">
        <f>IFERROR(__xludf.DUMMYFUNCTION("""COMPUTED_VALUE"""),314.0)</f>
        <v>314</v>
      </c>
      <c r="E2823" s="2"/>
      <c r="F2823" s="2"/>
    </row>
    <row r="2824">
      <c r="A2824" s="2">
        <f>IFERROR(__xludf.DUMMYFUNCTION("""COMPUTED_VALUE"""),81212.0)</f>
        <v>81212</v>
      </c>
      <c r="B2824" s="2">
        <f>IFERROR(__xludf.DUMMYFUNCTION("""COMPUTED_VALUE"""),0.0)</f>
        <v>0</v>
      </c>
      <c r="C2824" s="2">
        <f>IFERROR(__xludf.DUMMYFUNCTION("""COMPUTED_VALUE"""),234.0)</f>
        <v>234</v>
      </c>
      <c r="D2824" s="3">
        <f>IFERROR(__xludf.DUMMYFUNCTION("""COMPUTED_VALUE"""),10.0)</f>
        <v>10</v>
      </c>
      <c r="E2824" s="2"/>
      <c r="F2824" s="2"/>
    </row>
    <row r="2825">
      <c r="A2825" s="2">
        <f>IFERROR(__xludf.DUMMYFUNCTION("""COMPUTED_VALUE"""),120427.0)</f>
        <v>120427</v>
      </c>
      <c r="B2825" s="2">
        <f>IFERROR(__xludf.DUMMYFUNCTION("""COMPUTED_VALUE"""),1.0)</f>
        <v>1</v>
      </c>
      <c r="C2825" s="2">
        <f>IFERROR(__xludf.DUMMYFUNCTION("""COMPUTED_VALUE"""),701.0)</f>
        <v>701</v>
      </c>
      <c r="D2825" s="3">
        <f>IFERROR(__xludf.DUMMYFUNCTION("""COMPUTED_VALUE"""),565.0)</f>
        <v>565</v>
      </c>
      <c r="E2825" s="2"/>
      <c r="F2825" s="2"/>
    </row>
    <row r="2826">
      <c r="A2826" s="2">
        <f>IFERROR(__xludf.DUMMYFUNCTION("""COMPUTED_VALUE"""),46049.0)</f>
        <v>46049</v>
      </c>
      <c r="B2826" s="2">
        <f>IFERROR(__xludf.DUMMYFUNCTION("""COMPUTED_VALUE"""),1.0)</f>
        <v>1</v>
      </c>
      <c r="C2826" s="2">
        <f>IFERROR(__xludf.DUMMYFUNCTION("""COMPUTED_VALUE"""),830.0)</f>
        <v>830</v>
      </c>
      <c r="D2826" s="3">
        <f>IFERROR(__xludf.DUMMYFUNCTION("""COMPUTED_VALUE"""),608.0)</f>
        <v>608</v>
      </c>
      <c r="E2826" s="2"/>
      <c r="F2826" s="2"/>
    </row>
    <row r="2827">
      <c r="A2827" s="2">
        <f>IFERROR(__xludf.DUMMYFUNCTION("""COMPUTED_VALUE"""),46039.0)</f>
        <v>46039</v>
      </c>
      <c r="B2827" s="2">
        <f>IFERROR(__xludf.DUMMYFUNCTION("""COMPUTED_VALUE"""),1.0)</f>
        <v>1</v>
      </c>
      <c r="C2827" s="2">
        <f>IFERROR(__xludf.DUMMYFUNCTION("""COMPUTED_VALUE"""),408.0)</f>
        <v>408</v>
      </c>
      <c r="D2827" s="3">
        <f>IFERROR(__xludf.DUMMYFUNCTION("""COMPUTED_VALUE"""),248.0)</f>
        <v>248</v>
      </c>
      <c r="E2827" s="2"/>
      <c r="F2827" s="2"/>
    </row>
    <row r="2828">
      <c r="A2828" s="2">
        <f>IFERROR(__xludf.DUMMYFUNCTION("""COMPUTED_VALUE"""),46037.0)</f>
        <v>46037</v>
      </c>
      <c r="B2828" s="2">
        <f>IFERROR(__xludf.DUMMYFUNCTION("""COMPUTED_VALUE"""),0.0)</f>
        <v>0</v>
      </c>
      <c r="C2828" s="2">
        <f>IFERROR(__xludf.DUMMYFUNCTION("""COMPUTED_VALUE"""),825.0)</f>
        <v>825</v>
      </c>
      <c r="D2828" s="3">
        <f>IFERROR(__xludf.DUMMYFUNCTION("""COMPUTED_VALUE"""),597.0)</f>
        <v>597</v>
      </c>
      <c r="E2828" s="2"/>
      <c r="F2828" s="2"/>
    </row>
    <row r="2829">
      <c r="A2829" s="2">
        <f>IFERROR(__xludf.DUMMYFUNCTION("""COMPUTED_VALUE"""),88965.0)</f>
        <v>88965</v>
      </c>
      <c r="B2829" s="2">
        <f>IFERROR(__xludf.DUMMYFUNCTION("""COMPUTED_VALUE"""),1.0)</f>
        <v>1</v>
      </c>
      <c r="C2829" s="2">
        <f>IFERROR(__xludf.DUMMYFUNCTION("""COMPUTED_VALUE"""),905.0)</f>
        <v>905</v>
      </c>
      <c r="D2829" s="3">
        <f>IFERROR(__xludf.DUMMYFUNCTION("""COMPUTED_VALUE"""),664.0)</f>
        <v>664</v>
      </c>
      <c r="E2829" s="2"/>
      <c r="F2829" s="2"/>
    </row>
    <row r="2830">
      <c r="A2830" s="2">
        <f>IFERROR(__xludf.DUMMYFUNCTION("""COMPUTED_VALUE"""),102614.0)</f>
        <v>102614</v>
      </c>
      <c r="B2830" s="2">
        <f>IFERROR(__xludf.DUMMYFUNCTION("""COMPUTED_VALUE"""),0.0)</f>
        <v>0</v>
      </c>
      <c r="C2830" s="2">
        <f>IFERROR(__xludf.DUMMYFUNCTION("""COMPUTED_VALUE"""),781.0)</f>
        <v>781</v>
      </c>
      <c r="D2830" s="3">
        <f>IFERROR(__xludf.DUMMYFUNCTION("""COMPUTED_VALUE"""),133.0)</f>
        <v>133</v>
      </c>
      <c r="E2830" s="2"/>
      <c r="F2830" s="2"/>
    </row>
    <row r="2831">
      <c r="A2831" s="2">
        <f>IFERROR(__xludf.DUMMYFUNCTION("""COMPUTED_VALUE"""),122704.0)</f>
        <v>122704</v>
      </c>
      <c r="B2831" s="2">
        <f>IFERROR(__xludf.DUMMYFUNCTION("""COMPUTED_VALUE"""),0.0)</f>
        <v>0</v>
      </c>
      <c r="C2831" s="2">
        <f>IFERROR(__xludf.DUMMYFUNCTION("""COMPUTED_VALUE"""),415.0)</f>
        <v>415</v>
      </c>
      <c r="D2831" s="3">
        <f>IFERROR(__xludf.DUMMYFUNCTION("""COMPUTED_VALUE"""),409.0)</f>
        <v>409</v>
      </c>
      <c r="E2831" s="2"/>
      <c r="F2831" s="2"/>
    </row>
    <row r="2832">
      <c r="A2832" s="2">
        <f>IFERROR(__xludf.DUMMYFUNCTION("""COMPUTED_VALUE"""),164902.0)</f>
        <v>164902</v>
      </c>
      <c r="B2832" s="2">
        <f>IFERROR(__xludf.DUMMYFUNCTION("""COMPUTED_VALUE"""),0.0)</f>
        <v>0</v>
      </c>
      <c r="C2832" s="2">
        <f>IFERROR(__xludf.DUMMYFUNCTION("""COMPUTED_VALUE"""),123.0)</f>
        <v>123</v>
      </c>
      <c r="D2832" s="3">
        <f>IFERROR(__xludf.DUMMYFUNCTION("""COMPUTED_VALUE"""),98.0)</f>
        <v>98</v>
      </c>
      <c r="E2832" s="2"/>
      <c r="F2832" s="2"/>
    </row>
    <row r="2833">
      <c r="A2833" s="2">
        <f>IFERROR(__xludf.DUMMYFUNCTION("""COMPUTED_VALUE"""),117783.0)</f>
        <v>117783</v>
      </c>
      <c r="B2833" s="2">
        <f>IFERROR(__xludf.DUMMYFUNCTION("""COMPUTED_VALUE"""),0.0)</f>
        <v>0</v>
      </c>
      <c r="C2833" s="2">
        <f>IFERROR(__xludf.DUMMYFUNCTION("""COMPUTED_VALUE"""),137.0)</f>
        <v>137</v>
      </c>
      <c r="D2833" s="3">
        <f>IFERROR(__xludf.DUMMYFUNCTION("""COMPUTED_VALUE"""),110.0)</f>
        <v>110</v>
      </c>
      <c r="E2833" s="2"/>
      <c r="F2833" s="2"/>
    </row>
    <row r="2834">
      <c r="A2834" s="2">
        <f>IFERROR(__xludf.DUMMYFUNCTION("""COMPUTED_VALUE"""),114278.0)</f>
        <v>114278</v>
      </c>
      <c r="B2834" s="2">
        <f>IFERROR(__xludf.DUMMYFUNCTION("""COMPUTED_VALUE"""),0.0)</f>
        <v>0</v>
      </c>
      <c r="C2834" s="2">
        <f>IFERROR(__xludf.DUMMYFUNCTION("""COMPUTED_VALUE"""),418.0)</f>
        <v>418</v>
      </c>
      <c r="D2834" s="3">
        <f>IFERROR(__xludf.DUMMYFUNCTION("""COMPUTED_VALUE"""),199.0)</f>
        <v>199</v>
      </c>
      <c r="E2834" s="2"/>
      <c r="F2834" s="2"/>
    </row>
    <row r="2835">
      <c r="A2835" s="2">
        <f>IFERROR(__xludf.DUMMYFUNCTION("""COMPUTED_VALUE"""),46056.0)</f>
        <v>46056</v>
      </c>
      <c r="B2835" s="2">
        <f>IFERROR(__xludf.DUMMYFUNCTION("""COMPUTED_VALUE"""),0.0)</f>
        <v>0</v>
      </c>
      <c r="C2835" s="2">
        <f>IFERROR(__xludf.DUMMYFUNCTION("""COMPUTED_VALUE"""),259.0)</f>
        <v>259</v>
      </c>
      <c r="D2835" s="3">
        <f>IFERROR(__xludf.DUMMYFUNCTION("""COMPUTED_VALUE"""),197.0)</f>
        <v>197</v>
      </c>
      <c r="E2835" s="2"/>
      <c r="F2835" s="2"/>
    </row>
    <row r="2836">
      <c r="A2836" s="2">
        <f>IFERROR(__xludf.DUMMYFUNCTION("""COMPUTED_VALUE"""),5703.0)</f>
        <v>5703</v>
      </c>
      <c r="B2836" s="2">
        <f>IFERROR(__xludf.DUMMYFUNCTION("""COMPUTED_VALUE"""),1.0)</f>
        <v>1</v>
      </c>
      <c r="C2836" s="2">
        <f>IFERROR(__xludf.DUMMYFUNCTION("""COMPUTED_VALUE"""),25.0)</f>
        <v>25</v>
      </c>
      <c r="D2836" s="3">
        <f>IFERROR(__xludf.DUMMYFUNCTION("""COMPUTED_VALUE"""),20.0)</f>
        <v>20</v>
      </c>
      <c r="E2836" s="2"/>
      <c r="F2836" s="2"/>
    </row>
    <row r="2837">
      <c r="A2837" s="2">
        <f>IFERROR(__xludf.DUMMYFUNCTION("""COMPUTED_VALUE"""),102607.0)</f>
        <v>102607</v>
      </c>
      <c r="B2837" s="2">
        <f>IFERROR(__xludf.DUMMYFUNCTION("""COMPUTED_VALUE"""),0.0)</f>
        <v>0</v>
      </c>
      <c r="C2837" s="2">
        <f>IFERROR(__xludf.DUMMYFUNCTION("""COMPUTED_VALUE"""),133.0)</f>
        <v>133</v>
      </c>
      <c r="D2837" s="3">
        <f>IFERROR(__xludf.DUMMYFUNCTION("""COMPUTED_VALUE"""),16.0)</f>
        <v>16</v>
      </c>
      <c r="E2837" s="2"/>
      <c r="F2837" s="2"/>
    </row>
    <row r="2838">
      <c r="A2838" s="2">
        <f>IFERROR(__xludf.DUMMYFUNCTION("""COMPUTED_VALUE"""),87913.0)</f>
        <v>87913</v>
      </c>
      <c r="B2838" s="2">
        <f>IFERROR(__xludf.DUMMYFUNCTION("""COMPUTED_VALUE"""),1.0)</f>
        <v>1</v>
      </c>
      <c r="C2838" s="2">
        <f>IFERROR(__xludf.DUMMYFUNCTION("""COMPUTED_VALUE"""),221.0)</f>
        <v>221</v>
      </c>
      <c r="D2838" s="3">
        <f>IFERROR(__xludf.DUMMYFUNCTION("""COMPUTED_VALUE"""),174.0)</f>
        <v>174</v>
      </c>
      <c r="E2838" s="2"/>
      <c r="F2838" s="2"/>
    </row>
    <row r="2839">
      <c r="A2839" s="2">
        <f>IFERROR(__xludf.DUMMYFUNCTION("""COMPUTED_VALUE"""),149513.0)</f>
        <v>149513</v>
      </c>
      <c r="B2839" s="2">
        <f>IFERROR(__xludf.DUMMYFUNCTION("""COMPUTED_VALUE"""),1.0)</f>
        <v>1</v>
      </c>
      <c r="C2839" s="2">
        <f>IFERROR(__xludf.DUMMYFUNCTION("""COMPUTED_VALUE"""),359.0)</f>
        <v>359</v>
      </c>
      <c r="D2839" s="3">
        <f>IFERROR(__xludf.DUMMYFUNCTION("""COMPUTED_VALUE"""),151.0)</f>
        <v>151</v>
      </c>
      <c r="E2839" s="2"/>
      <c r="F2839" s="2"/>
    </row>
    <row r="2840">
      <c r="A2840" s="2">
        <f>IFERROR(__xludf.DUMMYFUNCTION("""COMPUTED_VALUE"""),87909.0)</f>
        <v>87909</v>
      </c>
      <c r="B2840" s="2">
        <f>IFERROR(__xludf.DUMMYFUNCTION("""COMPUTED_VALUE"""),1.0)</f>
        <v>1</v>
      </c>
      <c r="C2840" s="2">
        <f>IFERROR(__xludf.DUMMYFUNCTION("""COMPUTED_VALUE"""),668.0)</f>
        <v>668</v>
      </c>
      <c r="D2840" s="3">
        <f>IFERROR(__xludf.DUMMYFUNCTION("""COMPUTED_VALUE"""),256.0)</f>
        <v>256</v>
      </c>
      <c r="E2840" s="2"/>
      <c r="F2840" s="2"/>
    </row>
    <row r="2841">
      <c r="A2841" s="2">
        <f>IFERROR(__xludf.DUMMYFUNCTION("""COMPUTED_VALUE"""),101897.0)</f>
        <v>101897</v>
      </c>
      <c r="B2841" s="2">
        <f>IFERROR(__xludf.DUMMYFUNCTION("""COMPUTED_VALUE"""),0.0)</f>
        <v>0</v>
      </c>
      <c r="C2841" s="2">
        <f>IFERROR(__xludf.DUMMYFUNCTION("""COMPUTED_VALUE"""),68.0)</f>
        <v>68</v>
      </c>
      <c r="D2841" s="3">
        <f>IFERROR(__xludf.DUMMYFUNCTION("""COMPUTED_VALUE"""),37.0)</f>
        <v>37</v>
      </c>
      <c r="E2841" s="2"/>
      <c r="F2841" s="2"/>
    </row>
    <row r="2842">
      <c r="A2842" s="2">
        <f>IFERROR(__xludf.DUMMYFUNCTION("""COMPUTED_VALUE"""),121675.0)</f>
        <v>121675</v>
      </c>
      <c r="B2842" s="2">
        <f>IFERROR(__xludf.DUMMYFUNCTION("""COMPUTED_VALUE"""),0.0)</f>
        <v>0</v>
      </c>
      <c r="C2842" s="2">
        <f>IFERROR(__xludf.DUMMYFUNCTION("""COMPUTED_VALUE"""),549.0)</f>
        <v>549</v>
      </c>
      <c r="D2842" s="3">
        <f>IFERROR(__xludf.DUMMYFUNCTION("""COMPUTED_VALUE"""),255.0)</f>
        <v>255</v>
      </c>
      <c r="E2842" s="2"/>
      <c r="F2842" s="2"/>
    </row>
    <row r="2843">
      <c r="A2843" s="2">
        <f>IFERROR(__xludf.DUMMYFUNCTION("""COMPUTED_VALUE"""),99349.0)</f>
        <v>99349</v>
      </c>
      <c r="B2843" s="2">
        <f>IFERROR(__xludf.DUMMYFUNCTION("""COMPUTED_VALUE"""),1.0)</f>
        <v>1</v>
      </c>
      <c r="C2843" s="2">
        <f>IFERROR(__xludf.DUMMYFUNCTION("""COMPUTED_VALUE"""),425.0)</f>
        <v>425</v>
      </c>
      <c r="D2843" s="3">
        <f>IFERROR(__xludf.DUMMYFUNCTION("""COMPUTED_VALUE"""),357.0)</f>
        <v>357</v>
      </c>
      <c r="E2843" s="2"/>
      <c r="F2843" s="2"/>
    </row>
    <row r="2844">
      <c r="A2844" s="2">
        <f>IFERROR(__xludf.DUMMYFUNCTION("""COMPUTED_VALUE"""),117785.0)</f>
        <v>117785</v>
      </c>
      <c r="B2844" s="2">
        <f>IFERROR(__xludf.DUMMYFUNCTION("""COMPUTED_VALUE"""),1.0)</f>
        <v>1</v>
      </c>
      <c r="C2844" s="2">
        <f>IFERROR(__xludf.DUMMYFUNCTION("""COMPUTED_VALUE"""),523.0)</f>
        <v>523</v>
      </c>
      <c r="D2844" s="3">
        <f>IFERROR(__xludf.DUMMYFUNCTION("""COMPUTED_VALUE"""),216.0)</f>
        <v>216</v>
      </c>
      <c r="E2844" s="2"/>
      <c r="F2844" s="2"/>
    </row>
    <row r="2845">
      <c r="A2845" s="2">
        <f>IFERROR(__xludf.DUMMYFUNCTION("""COMPUTED_VALUE"""),120558.0)</f>
        <v>120558</v>
      </c>
      <c r="B2845" s="2">
        <f>IFERROR(__xludf.DUMMYFUNCTION("""COMPUTED_VALUE"""),0.0)</f>
        <v>0</v>
      </c>
      <c r="C2845" s="2">
        <f>IFERROR(__xludf.DUMMYFUNCTION("""COMPUTED_VALUE"""),784.0)</f>
        <v>784</v>
      </c>
      <c r="D2845" s="3">
        <f>IFERROR(__xludf.DUMMYFUNCTION("""COMPUTED_VALUE"""),617.0)</f>
        <v>617</v>
      </c>
      <c r="E2845" s="2"/>
      <c r="F2845" s="2"/>
    </row>
    <row r="2846">
      <c r="A2846" s="2">
        <f>IFERROR(__xludf.DUMMYFUNCTION("""COMPUTED_VALUE"""),99351.0)</f>
        <v>99351</v>
      </c>
      <c r="B2846" s="2">
        <f>IFERROR(__xludf.DUMMYFUNCTION("""COMPUTED_VALUE"""),0.0)</f>
        <v>0</v>
      </c>
      <c r="C2846" s="2">
        <f>IFERROR(__xludf.DUMMYFUNCTION("""COMPUTED_VALUE"""),721.0)</f>
        <v>721</v>
      </c>
      <c r="D2846" s="3">
        <f>IFERROR(__xludf.DUMMYFUNCTION("""COMPUTED_VALUE"""),400.0)</f>
        <v>400</v>
      </c>
      <c r="E2846" s="2"/>
      <c r="F2846" s="2"/>
    </row>
    <row r="2847">
      <c r="A2847" s="2">
        <f>IFERROR(__xludf.DUMMYFUNCTION("""COMPUTED_VALUE"""),113058.0)</f>
        <v>113058</v>
      </c>
      <c r="B2847" s="2">
        <f>IFERROR(__xludf.DUMMYFUNCTION("""COMPUTED_VALUE"""),1.0)</f>
        <v>1</v>
      </c>
      <c r="C2847" s="2">
        <f>IFERROR(__xludf.DUMMYFUNCTION("""COMPUTED_VALUE"""),0.0)</f>
        <v>0</v>
      </c>
      <c r="D2847" s="3">
        <f>IFERROR(__xludf.DUMMYFUNCTION("""COMPUTED_VALUE"""),0.0)</f>
        <v>0</v>
      </c>
      <c r="E2847" s="2"/>
      <c r="F2847" s="2"/>
    </row>
    <row r="2848">
      <c r="A2848" s="2">
        <f>IFERROR(__xludf.DUMMYFUNCTION("""COMPUTED_VALUE"""),118917.0)</f>
        <v>118917</v>
      </c>
      <c r="B2848" s="2">
        <f>IFERROR(__xludf.DUMMYFUNCTION("""COMPUTED_VALUE"""),1.0)</f>
        <v>1</v>
      </c>
      <c r="C2848" s="2">
        <f>IFERROR(__xludf.DUMMYFUNCTION("""COMPUTED_VALUE"""),374.0)</f>
        <v>374</v>
      </c>
      <c r="D2848" s="3">
        <f>IFERROR(__xludf.DUMMYFUNCTION("""COMPUTED_VALUE"""),208.0)</f>
        <v>208</v>
      </c>
      <c r="E2848" s="2"/>
      <c r="F2848" s="2"/>
    </row>
    <row r="2849">
      <c r="A2849" s="2">
        <f>IFERROR(__xludf.DUMMYFUNCTION("""COMPUTED_VALUE"""),164891.0)</f>
        <v>164891</v>
      </c>
      <c r="B2849" s="2">
        <f>IFERROR(__xludf.DUMMYFUNCTION("""COMPUTED_VALUE"""),0.0)</f>
        <v>0</v>
      </c>
      <c r="C2849" s="2">
        <f>IFERROR(__xludf.DUMMYFUNCTION("""COMPUTED_VALUE"""),322.0)</f>
        <v>322</v>
      </c>
      <c r="D2849" s="3">
        <f>IFERROR(__xludf.DUMMYFUNCTION("""COMPUTED_VALUE"""),219.0)</f>
        <v>219</v>
      </c>
      <c r="E2849" s="2"/>
      <c r="F2849" s="2"/>
    </row>
    <row r="2850">
      <c r="A2850" s="2">
        <f>IFERROR(__xludf.DUMMYFUNCTION("""COMPUTED_VALUE"""),101901.0)</f>
        <v>101901</v>
      </c>
      <c r="B2850" s="2">
        <f>IFERROR(__xludf.DUMMYFUNCTION("""COMPUTED_VALUE"""),1.0)</f>
        <v>1</v>
      </c>
      <c r="C2850" s="2">
        <f>IFERROR(__xludf.DUMMYFUNCTION("""COMPUTED_VALUE"""),646.0)</f>
        <v>646</v>
      </c>
      <c r="D2850" s="3">
        <f>IFERROR(__xludf.DUMMYFUNCTION("""COMPUTED_VALUE"""),589.0)</f>
        <v>589</v>
      </c>
      <c r="E2850" s="2"/>
      <c r="F2850" s="2"/>
    </row>
    <row r="2851">
      <c r="A2851" s="2">
        <f>IFERROR(__xludf.DUMMYFUNCTION("""COMPUTED_VALUE"""),197164.0)</f>
        <v>197164</v>
      </c>
      <c r="B2851" s="2">
        <f>IFERROR(__xludf.DUMMYFUNCTION("""COMPUTED_VALUE"""),1.0)</f>
        <v>1</v>
      </c>
      <c r="C2851" s="2">
        <f>IFERROR(__xludf.DUMMYFUNCTION("""COMPUTED_VALUE"""),762.0)</f>
        <v>762</v>
      </c>
      <c r="D2851" s="3">
        <f>IFERROR(__xludf.DUMMYFUNCTION("""COMPUTED_VALUE"""),79.0)</f>
        <v>79</v>
      </c>
      <c r="E2851" s="2"/>
      <c r="F2851" s="2"/>
    </row>
    <row r="2852">
      <c r="A2852" s="2">
        <f>IFERROR(__xludf.DUMMYFUNCTION("""COMPUTED_VALUE"""),114277.0)</f>
        <v>114277</v>
      </c>
      <c r="B2852" s="2">
        <f>IFERROR(__xludf.DUMMYFUNCTION("""COMPUTED_VALUE"""),1.0)</f>
        <v>1</v>
      </c>
      <c r="C2852" s="2">
        <f>IFERROR(__xludf.DUMMYFUNCTION("""COMPUTED_VALUE"""),626.0)</f>
        <v>626</v>
      </c>
      <c r="D2852" s="3">
        <f>IFERROR(__xludf.DUMMYFUNCTION("""COMPUTED_VALUE"""),117.0)</f>
        <v>117</v>
      </c>
      <c r="E2852" s="2"/>
      <c r="F2852" s="2"/>
    </row>
    <row r="2853">
      <c r="A2853" s="2">
        <f>IFERROR(__xludf.DUMMYFUNCTION("""COMPUTED_VALUE"""),86913.0)</f>
        <v>86913</v>
      </c>
      <c r="B2853" s="2">
        <f>IFERROR(__xludf.DUMMYFUNCTION("""COMPUTED_VALUE"""),0.0)</f>
        <v>0</v>
      </c>
      <c r="C2853" s="2">
        <f>IFERROR(__xludf.DUMMYFUNCTION("""COMPUTED_VALUE"""),697.0)</f>
        <v>697</v>
      </c>
      <c r="D2853" s="3">
        <f>IFERROR(__xludf.DUMMYFUNCTION("""COMPUTED_VALUE"""),219.0)</f>
        <v>219</v>
      </c>
      <c r="E2853" s="2"/>
      <c r="F2853" s="2"/>
    </row>
    <row r="2854">
      <c r="A2854" s="2">
        <f>IFERROR(__xludf.DUMMYFUNCTION("""COMPUTED_VALUE"""),88971.0)</f>
        <v>88971</v>
      </c>
      <c r="B2854" s="2">
        <f>IFERROR(__xludf.DUMMYFUNCTION("""COMPUTED_VALUE"""),0.0)</f>
        <v>0</v>
      </c>
      <c r="C2854" s="2">
        <f>IFERROR(__xludf.DUMMYFUNCTION("""COMPUTED_VALUE"""),928.0)</f>
        <v>928</v>
      </c>
      <c r="D2854" s="3">
        <f>IFERROR(__xludf.DUMMYFUNCTION("""COMPUTED_VALUE"""),519.0)</f>
        <v>519</v>
      </c>
      <c r="E2854" s="2"/>
      <c r="F2854" s="2"/>
    </row>
    <row r="2855">
      <c r="A2855" s="2">
        <f>IFERROR(__xludf.DUMMYFUNCTION("""COMPUTED_VALUE"""),188840.0)</f>
        <v>188840</v>
      </c>
      <c r="B2855" s="2">
        <f>IFERROR(__xludf.DUMMYFUNCTION("""COMPUTED_VALUE"""),1.0)</f>
        <v>1</v>
      </c>
      <c r="C2855" s="2">
        <f>IFERROR(__xludf.DUMMYFUNCTION("""COMPUTED_VALUE"""),734.0)</f>
        <v>734</v>
      </c>
      <c r="D2855" s="3">
        <f>IFERROR(__xludf.DUMMYFUNCTION("""COMPUTED_VALUE"""),539.0)</f>
        <v>539</v>
      </c>
      <c r="E2855" s="2"/>
      <c r="F2855" s="2"/>
    </row>
    <row r="2856">
      <c r="A2856" s="2">
        <f>IFERROR(__xludf.DUMMYFUNCTION("""COMPUTED_VALUE"""),95652.0)</f>
        <v>95652</v>
      </c>
      <c r="B2856" s="2">
        <f>IFERROR(__xludf.DUMMYFUNCTION("""COMPUTED_VALUE"""),1.0)</f>
        <v>1</v>
      </c>
      <c r="C2856" s="2">
        <f>IFERROR(__xludf.DUMMYFUNCTION("""COMPUTED_VALUE"""),711.0)</f>
        <v>711</v>
      </c>
      <c r="D2856" s="3">
        <f>IFERROR(__xludf.DUMMYFUNCTION("""COMPUTED_VALUE"""),322.0)</f>
        <v>322</v>
      </c>
      <c r="E2856" s="2"/>
      <c r="F2856" s="2"/>
    </row>
    <row r="2857">
      <c r="A2857" s="2">
        <f>IFERROR(__xludf.DUMMYFUNCTION("""COMPUTED_VALUE"""),68627.0)</f>
        <v>68627</v>
      </c>
      <c r="B2857" s="2">
        <f>IFERROR(__xludf.DUMMYFUNCTION("""COMPUTED_VALUE"""),0.0)</f>
        <v>0</v>
      </c>
      <c r="C2857" s="2">
        <f>IFERROR(__xludf.DUMMYFUNCTION("""COMPUTED_VALUE"""),732.0)</f>
        <v>732</v>
      </c>
      <c r="D2857" s="3">
        <f>IFERROR(__xludf.DUMMYFUNCTION("""COMPUTED_VALUE"""),49.0)</f>
        <v>49</v>
      </c>
      <c r="E2857" s="2"/>
      <c r="F2857" s="2"/>
    </row>
    <row r="2858">
      <c r="A2858" s="2">
        <f>IFERROR(__xludf.DUMMYFUNCTION("""COMPUTED_VALUE"""),46043.0)</f>
        <v>46043</v>
      </c>
      <c r="B2858" s="2">
        <f>IFERROR(__xludf.DUMMYFUNCTION("""COMPUTED_VALUE"""),1.0)</f>
        <v>1</v>
      </c>
      <c r="C2858" s="2">
        <f>IFERROR(__xludf.DUMMYFUNCTION("""COMPUTED_VALUE"""),266.0)</f>
        <v>266</v>
      </c>
      <c r="D2858" s="3">
        <f>IFERROR(__xludf.DUMMYFUNCTION("""COMPUTED_VALUE"""),35.0)</f>
        <v>35</v>
      </c>
      <c r="E2858" s="2"/>
      <c r="F2858" s="2"/>
    </row>
    <row r="2859">
      <c r="A2859" s="2">
        <f>IFERROR(__xludf.DUMMYFUNCTION("""COMPUTED_VALUE"""),60592.0)</f>
        <v>60592</v>
      </c>
      <c r="B2859" s="2">
        <f>IFERROR(__xludf.DUMMYFUNCTION("""COMPUTED_VALUE"""),0.0)</f>
        <v>0</v>
      </c>
      <c r="C2859" s="2">
        <f>IFERROR(__xludf.DUMMYFUNCTION("""COMPUTED_VALUE"""),213.0)</f>
        <v>213</v>
      </c>
      <c r="D2859" s="3">
        <f>IFERROR(__xludf.DUMMYFUNCTION("""COMPUTED_VALUE"""),190.0)</f>
        <v>190</v>
      </c>
      <c r="E2859" s="2"/>
      <c r="F2859" s="2"/>
    </row>
    <row r="2860">
      <c r="A2860" s="2">
        <f>IFERROR(__xludf.DUMMYFUNCTION("""COMPUTED_VALUE"""),99350.0)</f>
        <v>99350</v>
      </c>
      <c r="B2860" s="2">
        <f>IFERROR(__xludf.DUMMYFUNCTION("""COMPUTED_VALUE"""),0.0)</f>
        <v>0</v>
      </c>
      <c r="C2860" s="2">
        <f>IFERROR(__xludf.DUMMYFUNCTION("""COMPUTED_VALUE"""),452.0)</f>
        <v>452</v>
      </c>
      <c r="D2860" s="3">
        <f>IFERROR(__xludf.DUMMYFUNCTION("""COMPUTED_VALUE"""),180.0)</f>
        <v>180</v>
      </c>
      <c r="E2860" s="2"/>
      <c r="F2860" s="2"/>
    </row>
    <row r="2861">
      <c r="A2861" s="2">
        <f>IFERROR(__xludf.DUMMYFUNCTION("""COMPUTED_VALUE"""),78983.0)</f>
        <v>78983</v>
      </c>
      <c r="B2861" s="2">
        <f>IFERROR(__xludf.DUMMYFUNCTION("""COMPUTED_VALUE"""),0.0)</f>
        <v>0</v>
      </c>
      <c r="C2861" s="2">
        <f>IFERROR(__xludf.DUMMYFUNCTION("""COMPUTED_VALUE"""),401.0)</f>
        <v>401</v>
      </c>
      <c r="D2861" s="3">
        <f>IFERROR(__xludf.DUMMYFUNCTION("""COMPUTED_VALUE"""),134.0)</f>
        <v>134</v>
      </c>
      <c r="E2861" s="2"/>
      <c r="F2861" s="2"/>
    </row>
    <row r="2862">
      <c r="A2862" s="2">
        <f>IFERROR(__xludf.DUMMYFUNCTION("""COMPUTED_VALUE"""),188845.0)</f>
        <v>188845</v>
      </c>
      <c r="B2862" s="2">
        <f>IFERROR(__xludf.DUMMYFUNCTION("""COMPUTED_VALUE"""),0.0)</f>
        <v>0</v>
      </c>
      <c r="C2862" s="2">
        <f>IFERROR(__xludf.DUMMYFUNCTION("""COMPUTED_VALUE"""),644.0)</f>
        <v>644</v>
      </c>
      <c r="D2862" s="3">
        <f>IFERROR(__xludf.DUMMYFUNCTION("""COMPUTED_VALUE"""),123.0)</f>
        <v>123</v>
      </c>
      <c r="E2862" s="2"/>
      <c r="F2862" s="2"/>
    </row>
    <row r="2863">
      <c r="A2863" s="2">
        <f>IFERROR(__xludf.DUMMYFUNCTION("""COMPUTED_VALUE"""),117787.0)</f>
        <v>117787</v>
      </c>
      <c r="B2863" s="2">
        <f>IFERROR(__xludf.DUMMYFUNCTION("""COMPUTED_VALUE"""),0.0)</f>
        <v>0</v>
      </c>
      <c r="C2863" s="2">
        <f>IFERROR(__xludf.DUMMYFUNCTION("""COMPUTED_VALUE"""),109.0)</f>
        <v>109</v>
      </c>
      <c r="D2863" s="3">
        <f>IFERROR(__xludf.DUMMYFUNCTION("""COMPUTED_VALUE"""),100.0)</f>
        <v>100</v>
      </c>
      <c r="E2863" s="2"/>
      <c r="F2863" s="2"/>
    </row>
    <row r="2864">
      <c r="A2864" s="2">
        <f>IFERROR(__xludf.DUMMYFUNCTION("""COMPUTED_VALUE"""),119986.0)</f>
        <v>119986</v>
      </c>
      <c r="B2864" s="2">
        <f>IFERROR(__xludf.DUMMYFUNCTION("""COMPUTED_VALUE"""),1.0)</f>
        <v>1</v>
      </c>
      <c r="C2864" s="2">
        <f>IFERROR(__xludf.DUMMYFUNCTION("""COMPUTED_VALUE"""),767.0)</f>
        <v>767</v>
      </c>
      <c r="D2864" s="3">
        <f>IFERROR(__xludf.DUMMYFUNCTION("""COMPUTED_VALUE"""),650.0)</f>
        <v>650</v>
      </c>
      <c r="E2864" s="2"/>
      <c r="F2864" s="2"/>
    </row>
    <row r="2865">
      <c r="A2865" s="2">
        <f>IFERROR(__xludf.DUMMYFUNCTION("""COMPUTED_VALUE"""),188841.0)</f>
        <v>188841</v>
      </c>
      <c r="B2865" s="2">
        <f>IFERROR(__xludf.DUMMYFUNCTION("""COMPUTED_VALUE"""),1.0)</f>
        <v>1</v>
      </c>
      <c r="C2865" s="2">
        <f>IFERROR(__xludf.DUMMYFUNCTION("""COMPUTED_VALUE"""),169.0)</f>
        <v>169</v>
      </c>
      <c r="D2865" s="3">
        <f>IFERROR(__xludf.DUMMYFUNCTION("""COMPUTED_VALUE"""),44.0)</f>
        <v>44</v>
      </c>
      <c r="E2865" s="2"/>
      <c r="F2865" s="2"/>
    </row>
    <row r="2866">
      <c r="A2866" s="2">
        <f>IFERROR(__xludf.DUMMYFUNCTION("""COMPUTED_VALUE"""),99348.0)</f>
        <v>99348</v>
      </c>
      <c r="B2866" s="2">
        <f>IFERROR(__xludf.DUMMYFUNCTION("""COMPUTED_VALUE"""),1.0)</f>
        <v>1</v>
      </c>
      <c r="C2866" s="2">
        <f>IFERROR(__xludf.DUMMYFUNCTION("""COMPUTED_VALUE"""),0.0)</f>
        <v>0</v>
      </c>
      <c r="D2866" s="3">
        <f>IFERROR(__xludf.DUMMYFUNCTION("""COMPUTED_VALUE"""),0.0)</f>
        <v>0</v>
      </c>
      <c r="E2866" s="2"/>
      <c r="F2866" s="2"/>
    </row>
    <row r="2867">
      <c r="A2867" s="2">
        <f>IFERROR(__xludf.DUMMYFUNCTION("""COMPUTED_VALUE"""),78978.0)</f>
        <v>78978</v>
      </c>
      <c r="B2867" s="2">
        <f>IFERROR(__xludf.DUMMYFUNCTION("""COMPUTED_VALUE"""),0.0)</f>
        <v>0</v>
      </c>
      <c r="C2867" s="2">
        <f>IFERROR(__xludf.DUMMYFUNCTION("""COMPUTED_VALUE"""),221.0)</f>
        <v>221</v>
      </c>
      <c r="D2867" s="3">
        <f>IFERROR(__xludf.DUMMYFUNCTION("""COMPUTED_VALUE"""),194.0)</f>
        <v>194</v>
      </c>
      <c r="E2867" s="2"/>
      <c r="F2867" s="2"/>
    </row>
    <row r="2868">
      <c r="A2868" s="2">
        <f>IFERROR(__xludf.DUMMYFUNCTION("""COMPUTED_VALUE"""),120556.0)</f>
        <v>120556</v>
      </c>
      <c r="B2868" s="2">
        <f>IFERROR(__xludf.DUMMYFUNCTION("""COMPUTED_VALUE"""),1.0)</f>
        <v>1</v>
      </c>
      <c r="C2868" s="2">
        <f>IFERROR(__xludf.DUMMYFUNCTION("""COMPUTED_VALUE"""),348.0)</f>
        <v>348</v>
      </c>
      <c r="D2868" s="3">
        <f>IFERROR(__xludf.DUMMYFUNCTION("""COMPUTED_VALUE"""),308.0)</f>
        <v>308</v>
      </c>
      <c r="E2868" s="2"/>
      <c r="F2868" s="2"/>
    </row>
    <row r="2869">
      <c r="A2869" s="2">
        <f>IFERROR(__xludf.DUMMYFUNCTION("""COMPUTED_VALUE"""),80254.0)</f>
        <v>80254</v>
      </c>
      <c r="B2869" s="2">
        <f>IFERROR(__xludf.DUMMYFUNCTION("""COMPUTED_VALUE"""),0.0)</f>
        <v>0</v>
      </c>
      <c r="C2869" s="2">
        <f>IFERROR(__xludf.DUMMYFUNCTION("""COMPUTED_VALUE"""),302.0)</f>
        <v>302</v>
      </c>
      <c r="D2869" s="3">
        <f>IFERROR(__xludf.DUMMYFUNCTION("""COMPUTED_VALUE"""),121.0)</f>
        <v>121</v>
      </c>
      <c r="E2869" s="2"/>
      <c r="F2869" s="2"/>
    </row>
    <row r="2870">
      <c r="A2870" s="2">
        <f>IFERROR(__xludf.DUMMYFUNCTION("""COMPUTED_VALUE"""),121911.0)</f>
        <v>121911</v>
      </c>
      <c r="B2870" s="2">
        <f>IFERROR(__xludf.DUMMYFUNCTION("""COMPUTED_VALUE"""),1.0)</f>
        <v>1</v>
      </c>
      <c r="C2870" s="2">
        <f>IFERROR(__xludf.DUMMYFUNCTION("""COMPUTED_VALUE"""),324.0)</f>
        <v>324</v>
      </c>
      <c r="D2870" s="3">
        <f>IFERROR(__xludf.DUMMYFUNCTION("""COMPUTED_VALUE"""),109.0)</f>
        <v>109</v>
      </c>
      <c r="E2870" s="2"/>
      <c r="F2870" s="2"/>
    </row>
    <row r="2871">
      <c r="A2871" s="2">
        <f>IFERROR(__xludf.DUMMYFUNCTION("""COMPUTED_VALUE"""),120328.0)</f>
        <v>120328</v>
      </c>
      <c r="B2871" s="2">
        <f>IFERROR(__xludf.DUMMYFUNCTION("""COMPUTED_VALUE"""),1.0)</f>
        <v>1</v>
      </c>
      <c r="C2871" s="2">
        <f>IFERROR(__xludf.DUMMYFUNCTION("""COMPUTED_VALUE"""),783.0)</f>
        <v>783</v>
      </c>
      <c r="D2871" s="3">
        <f>IFERROR(__xludf.DUMMYFUNCTION("""COMPUTED_VALUE"""),768.0)</f>
        <v>768</v>
      </c>
      <c r="E2871" s="2"/>
      <c r="F2871" s="2"/>
    </row>
    <row r="2872">
      <c r="A2872" s="2">
        <f>IFERROR(__xludf.DUMMYFUNCTION("""COMPUTED_VALUE"""),122702.0)</f>
        <v>122702</v>
      </c>
      <c r="B2872" s="2">
        <f>IFERROR(__xludf.DUMMYFUNCTION("""COMPUTED_VALUE"""),0.0)</f>
        <v>0</v>
      </c>
      <c r="C2872" s="2">
        <f>IFERROR(__xludf.DUMMYFUNCTION("""COMPUTED_VALUE"""),276.0)</f>
        <v>276</v>
      </c>
      <c r="D2872" s="3">
        <f>IFERROR(__xludf.DUMMYFUNCTION("""COMPUTED_VALUE"""),224.0)</f>
        <v>224</v>
      </c>
      <c r="E2872" s="2"/>
      <c r="F2872" s="2"/>
    </row>
    <row r="2873">
      <c r="A2873" s="2">
        <f>IFERROR(__xludf.DUMMYFUNCTION("""COMPUTED_VALUE"""),92542.0)</f>
        <v>92542</v>
      </c>
      <c r="B2873" s="2">
        <f>IFERROR(__xludf.DUMMYFUNCTION("""COMPUTED_VALUE"""),0.0)</f>
        <v>0</v>
      </c>
      <c r="C2873" s="2">
        <f>IFERROR(__xludf.DUMMYFUNCTION("""COMPUTED_VALUE"""),248.0)</f>
        <v>248</v>
      </c>
      <c r="D2873" s="3">
        <f>IFERROR(__xludf.DUMMYFUNCTION("""COMPUTED_VALUE"""),44.0)</f>
        <v>44</v>
      </c>
      <c r="E2873" s="2"/>
      <c r="F2873" s="2"/>
    </row>
    <row r="2874">
      <c r="A2874" s="2">
        <f>IFERROR(__xludf.DUMMYFUNCTION("""COMPUTED_VALUE"""),15423.0)</f>
        <v>15423</v>
      </c>
      <c r="B2874" s="2">
        <f>IFERROR(__xludf.DUMMYFUNCTION("""COMPUTED_VALUE"""),1.0)</f>
        <v>1</v>
      </c>
      <c r="C2874" s="2">
        <f>IFERROR(__xludf.DUMMYFUNCTION("""COMPUTED_VALUE"""),862.0)</f>
        <v>862</v>
      </c>
      <c r="D2874" s="3">
        <f>IFERROR(__xludf.DUMMYFUNCTION("""COMPUTED_VALUE"""),390.0)</f>
        <v>390</v>
      </c>
      <c r="E2874" s="2"/>
      <c r="F2874" s="2"/>
    </row>
    <row r="2875">
      <c r="A2875" s="2">
        <f>IFERROR(__xludf.DUMMYFUNCTION("""COMPUTED_VALUE"""),111797.0)</f>
        <v>111797</v>
      </c>
      <c r="B2875" s="2">
        <f>IFERROR(__xludf.DUMMYFUNCTION("""COMPUTED_VALUE"""),1.0)</f>
        <v>1</v>
      </c>
      <c r="C2875" s="2">
        <f>IFERROR(__xludf.DUMMYFUNCTION("""COMPUTED_VALUE"""),37.0)</f>
        <v>37</v>
      </c>
      <c r="D2875" s="3">
        <f>IFERROR(__xludf.DUMMYFUNCTION("""COMPUTED_VALUE"""),37.0)</f>
        <v>37</v>
      </c>
      <c r="E2875" s="2"/>
      <c r="F2875" s="2"/>
    </row>
    <row r="2876">
      <c r="A2876" s="2">
        <f>IFERROR(__xludf.DUMMYFUNCTION("""COMPUTED_VALUE"""),112626.0)</f>
        <v>112626</v>
      </c>
      <c r="B2876" s="2">
        <f>IFERROR(__xludf.DUMMYFUNCTION("""COMPUTED_VALUE"""),1.0)</f>
        <v>1</v>
      </c>
      <c r="C2876" s="2">
        <f>IFERROR(__xludf.DUMMYFUNCTION("""COMPUTED_VALUE"""),496.0)</f>
        <v>496</v>
      </c>
      <c r="D2876" s="3">
        <f>IFERROR(__xludf.DUMMYFUNCTION("""COMPUTED_VALUE"""),54.0)</f>
        <v>54</v>
      </c>
      <c r="E2876" s="2"/>
      <c r="F2876" s="2"/>
    </row>
    <row r="2877">
      <c r="A2877" s="2">
        <f>IFERROR(__xludf.DUMMYFUNCTION("""COMPUTED_VALUE"""),12925.0)</f>
        <v>12925</v>
      </c>
      <c r="B2877" s="2">
        <f>IFERROR(__xludf.DUMMYFUNCTION("""COMPUTED_VALUE"""),1.0)</f>
        <v>1</v>
      </c>
      <c r="C2877" s="2">
        <f>IFERROR(__xludf.DUMMYFUNCTION("""COMPUTED_VALUE"""),586.0)</f>
        <v>586</v>
      </c>
      <c r="D2877" s="3">
        <f>IFERROR(__xludf.DUMMYFUNCTION("""COMPUTED_VALUE"""),23.0)</f>
        <v>23</v>
      </c>
      <c r="E2877" s="2"/>
      <c r="F2877" s="2"/>
    </row>
    <row r="2878">
      <c r="A2878" s="2">
        <f>IFERROR(__xludf.DUMMYFUNCTION("""COMPUTED_VALUE"""),107034.0)</f>
        <v>107034</v>
      </c>
      <c r="B2878" s="2">
        <f>IFERROR(__xludf.DUMMYFUNCTION("""COMPUTED_VALUE"""),0.0)</f>
        <v>0</v>
      </c>
      <c r="C2878" s="2">
        <f>IFERROR(__xludf.DUMMYFUNCTION("""COMPUTED_VALUE"""),804.0)</f>
        <v>804</v>
      </c>
      <c r="D2878" s="3">
        <f>IFERROR(__xludf.DUMMYFUNCTION("""COMPUTED_VALUE"""),15.0)</f>
        <v>15</v>
      </c>
      <c r="E2878" s="2"/>
      <c r="F2878" s="2"/>
    </row>
    <row r="2879">
      <c r="A2879" s="2">
        <f>IFERROR(__xludf.DUMMYFUNCTION("""COMPUTED_VALUE"""),88319.0)</f>
        <v>88319</v>
      </c>
      <c r="B2879" s="2">
        <f>IFERROR(__xludf.DUMMYFUNCTION("""COMPUTED_VALUE"""),1.0)</f>
        <v>1</v>
      </c>
      <c r="C2879" s="2">
        <f>IFERROR(__xludf.DUMMYFUNCTION("""COMPUTED_VALUE"""),555.0)</f>
        <v>555</v>
      </c>
      <c r="D2879" s="3">
        <f>IFERROR(__xludf.DUMMYFUNCTION("""COMPUTED_VALUE"""),286.0)</f>
        <v>286</v>
      </c>
      <c r="E2879" s="2"/>
      <c r="F2879" s="2"/>
    </row>
    <row r="2880">
      <c r="A2880" s="2">
        <f>IFERROR(__xludf.DUMMYFUNCTION("""COMPUTED_VALUE"""),3453.0)</f>
        <v>3453</v>
      </c>
      <c r="B2880" s="2">
        <f>IFERROR(__xludf.DUMMYFUNCTION("""COMPUTED_VALUE"""),1.0)</f>
        <v>1</v>
      </c>
      <c r="C2880" s="2">
        <f>IFERROR(__xludf.DUMMYFUNCTION("""COMPUTED_VALUE"""),432.0)</f>
        <v>432</v>
      </c>
      <c r="D2880" s="3">
        <f>IFERROR(__xludf.DUMMYFUNCTION("""COMPUTED_VALUE"""),25.0)</f>
        <v>25</v>
      </c>
      <c r="E2880" s="2"/>
      <c r="F2880" s="2"/>
    </row>
    <row r="2881">
      <c r="A2881" s="2">
        <f>IFERROR(__xludf.DUMMYFUNCTION("""COMPUTED_VALUE"""),121425.0)</f>
        <v>121425</v>
      </c>
      <c r="B2881" s="2">
        <f>IFERROR(__xludf.DUMMYFUNCTION("""COMPUTED_VALUE"""),0.0)</f>
        <v>0</v>
      </c>
      <c r="C2881" s="2">
        <f>IFERROR(__xludf.DUMMYFUNCTION("""COMPUTED_VALUE"""),384.0)</f>
        <v>384</v>
      </c>
      <c r="D2881" s="3">
        <f>IFERROR(__xludf.DUMMYFUNCTION("""COMPUTED_VALUE"""),81.0)</f>
        <v>81</v>
      </c>
      <c r="E2881" s="2"/>
      <c r="F2881" s="2"/>
    </row>
    <row r="2882">
      <c r="A2882" s="2">
        <f>IFERROR(__xludf.DUMMYFUNCTION("""COMPUTED_VALUE"""),10561.0)</f>
        <v>10561</v>
      </c>
      <c r="B2882" s="2">
        <f>IFERROR(__xludf.DUMMYFUNCTION("""COMPUTED_VALUE"""),0.0)</f>
        <v>0</v>
      </c>
      <c r="C2882" s="2">
        <f>IFERROR(__xludf.DUMMYFUNCTION("""COMPUTED_VALUE"""),654.0)</f>
        <v>654</v>
      </c>
      <c r="D2882" s="3">
        <f>IFERROR(__xludf.DUMMYFUNCTION("""COMPUTED_VALUE"""),208.0)</f>
        <v>208</v>
      </c>
      <c r="E2882" s="2"/>
      <c r="F2882" s="2"/>
    </row>
    <row r="2883">
      <c r="A2883" s="2">
        <f>IFERROR(__xludf.DUMMYFUNCTION("""COMPUTED_VALUE"""),90294.0)</f>
        <v>90294</v>
      </c>
      <c r="B2883" s="2">
        <f>IFERROR(__xludf.DUMMYFUNCTION("""COMPUTED_VALUE"""),0.0)</f>
        <v>0</v>
      </c>
      <c r="C2883" s="2">
        <f>IFERROR(__xludf.DUMMYFUNCTION("""COMPUTED_VALUE"""),933.0)</f>
        <v>933</v>
      </c>
      <c r="D2883" s="3">
        <f>IFERROR(__xludf.DUMMYFUNCTION("""COMPUTED_VALUE"""),544.0)</f>
        <v>544</v>
      </c>
      <c r="E2883" s="2"/>
      <c r="F2883" s="2"/>
    </row>
    <row r="2884">
      <c r="A2884" s="2">
        <f>IFERROR(__xludf.DUMMYFUNCTION("""COMPUTED_VALUE"""),70804.0)</f>
        <v>70804</v>
      </c>
      <c r="B2884" s="2">
        <f>IFERROR(__xludf.DUMMYFUNCTION("""COMPUTED_VALUE"""),0.0)</f>
        <v>0</v>
      </c>
      <c r="C2884" s="2">
        <f>IFERROR(__xludf.DUMMYFUNCTION("""COMPUTED_VALUE"""),718.0)</f>
        <v>718</v>
      </c>
      <c r="D2884" s="3">
        <f>IFERROR(__xludf.DUMMYFUNCTION("""COMPUTED_VALUE"""),5.0)</f>
        <v>5</v>
      </c>
      <c r="E2884" s="2"/>
      <c r="F2884" s="2"/>
    </row>
    <row r="2885">
      <c r="A2885" s="2">
        <f>IFERROR(__xludf.DUMMYFUNCTION("""COMPUTED_VALUE"""),81237.0)</f>
        <v>81237</v>
      </c>
      <c r="B2885" s="2">
        <f>IFERROR(__xludf.DUMMYFUNCTION("""COMPUTED_VALUE"""),1.0)</f>
        <v>1</v>
      </c>
      <c r="C2885" s="2">
        <f>IFERROR(__xludf.DUMMYFUNCTION("""COMPUTED_VALUE"""),284.0)</f>
        <v>284</v>
      </c>
      <c r="D2885" s="3">
        <f>IFERROR(__xludf.DUMMYFUNCTION("""COMPUTED_VALUE"""),44.0)</f>
        <v>44</v>
      </c>
      <c r="E2885" s="2"/>
      <c r="F2885" s="2"/>
    </row>
    <row r="2886">
      <c r="A2886" s="2">
        <f>IFERROR(__xludf.DUMMYFUNCTION("""COMPUTED_VALUE"""),47564.0)</f>
        <v>47564</v>
      </c>
      <c r="B2886" s="2">
        <f>IFERROR(__xludf.DUMMYFUNCTION("""COMPUTED_VALUE"""),1.0)</f>
        <v>1</v>
      </c>
      <c r="C2886" s="2">
        <f>IFERROR(__xludf.DUMMYFUNCTION("""COMPUTED_VALUE"""),548.0)</f>
        <v>548</v>
      </c>
      <c r="D2886" s="3">
        <f>IFERROR(__xludf.DUMMYFUNCTION("""COMPUTED_VALUE"""),387.0)</f>
        <v>387</v>
      </c>
      <c r="E2886" s="2"/>
      <c r="F2886" s="2"/>
    </row>
    <row r="2887">
      <c r="A2887" s="2">
        <f>IFERROR(__xludf.DUMMYFUNCTION("""COMPUTED_VALUE"""),24055.0)</f>
        <v>24055</v>
      </c>
      <c r="B2887" s="2">
        <f>IFERROR(__xludf.DUMMYFUNCTION("""COMPUTED_VALUE"""),1.0)</f>
        <v>1</v>
      </c>
      <c r="C2887" s="2">
        <f>IFERROR(__xludf.DUMMYFUNCTION("""COMPUTED_VALUE"""),164.0)</f>
        <v>164</v>
      </c>
      <c r="D2887" s="3">
        <f>IFERROR(__xludf.DUMMYFUNCTION("""COMPUTED_VALUE"""),125.0)</f>
        <v>125</v>
      </c>
      <c r="E2887" s="2"/>
      <c r="F2887" s="2"/>
    </row>
    <row r="2888">
      <c r="A2888" s="2">
        <f>IFERROR(__xludf.DUMMYFUNCTION("""COMPUTED_VALUE"""),48637.0)</f>
        <v>48637</v>
      </c>
      <c r="B2888" s="2">
        <f>IFERROR(__xludf.DUMMYFUNCTION("""COMPUTED_VALUE"""),1.0)</f>
        <v>1</v>
      </c>
      <c r="C2888" s="2">
        <f>IFERROR(__xludf.DUMMYFUNCTION("""COMPUTED_VALUE"""),900.0)</f>
        <v>900</v>
      </c>
      <c r="D2888" s="3">
        <f>IFERROR(__xludf.DUMMYFUNCTION("""COMPUTED_VALUE"""),438.0)</f>
        <v>438</v>
      </c>
      <c r="E2888" s="2"/>
      <c r="F2888" s="2"/>
    </row>
    <row r="2889">
      <c r="A2889" s="2">
        <f>IFERROR(__xludf.DUMMYFUNCTION("""COMPUTED_VALUE"""),3447.0)</f>
        <v>3447</v>
      </c>
      <c r="B2889" s="2">
        <f>IFERROR(__xludf.DUMMYFUNCTION("""COMPUTED_VALUE"""),1.0)</f>
        <v>1</v>
      </c>
      <c r="C2889" s="2">
        <f>IFERROR(__xludf.DUMMYFUNCTION("""COMPUTED_VALUE"""),39.0)</f>
        <v>39</v>
      </c>
      <c r="D2889" s="3">
        <f>IFERROR(__xludf.DUMMYFUNCTION("""COMPUTED_VALUE"""),35.0)</f>
        <v>35</v>
      </c>
      <c r="E2889" s="2"/>
      <c r="F2889" s="2"/>
    </row>
    <row r="2890">
      <c r="A2890" s="2">
        <f>IFERROR(__xludf.DUMMYFUNCTION("""COMPUTED_VALUE"""),117921.0)</f>
        <v>117921</v>
      </c>
      <c r="B2890" s="2">
        <f>IFERROR(__xludf.DUMMYFUNCTION("""COMPUTED_VALUE"""),0.0)</f>
        <v>0</v>
      </c>
      <c r="C2890" s="2">
        <f>IFERROR(__xludf.DUMMYFUNCTION("""COMPUTED_VALUE"""),334.0)</f>
        <v>334</v>
      </c>
      <c r="D2890" s="3">
        <f>IFERROR(__xludf.DUMMYFUNCTION("""COMPUTED_VALUE"""),147.0)</f>
        <v>147</v>
      </c>
      <c r="E2890" s="2"/>
      <c r="F2890" s="2"/>
    </row>
    <row r="2891">
      <c r="A2891" s="2">
        <f>IFERROR(__xludf.DUMMYFUNCTION("""COMPUTED_VALUE"""),128322.0)</f>
        <v>128322</v>
      </c>
      <c r="B2891" s="2">
        <f>IFERROR(__xludf.DUMMYFUNCTION("""COMPUTED_VALUE"""),0.0)</f>
        <v>0</v>
      </c>
      <c r="C2891" s="2">
        <f>IFERROR(__xludf.DUMMYFUNCTION("""COMPUTED_VALUE"""),947.0)</f>
        <v>947</v>
      </c>
      <c r="D2891" s="3">
        <f>IFERROR(__xludf.DUMMYFUNCTION("""COMPUTED_VALUE"""),252.0)</f>
        <v>252</v>
      </c>
      <c r="E2891" s="2"/>
      <c r="F2891" s="2"/>
    </row>
    <row r="2892">
      <c r="A2892" s="2">
        <f>IFERROR(__xludf.DUMMYFUNCTION("""COMPUTED_VALUE"""),42207.0)</f>
        <v>42207</v>
      </c>
      <c r="B2892" s="2">
        <f>IFERROR(__xludf.DUMMYFUNCTION("""COMPUTED_VALUE"""),1.0)</f>
        <v>1</v>
      </c>
      <c r="C2892" s="2">
        <f>IFERROR(__xludf.DUMMYFUNCTION("""COMPUTED_VALUE"""),661.0)</f>
        <v>661</v>
      </c>
      <c r="D2892" s="3">
        <f>IFERROR(__xludf.DUMMYFUNCTION("""COMPUTED_VALUE"""),330.0)</f>
        <v>330</v>
      </c>
      <c r="E2892" s="2"/>
      <c r="F2892" s="2"/>
    </row>
    <row r="2893">
      <c r="A2893" s="2">
        <f>IFERROR(__xludf.DUMMYFUNCTION("""COMPUTED_VALUE"""),108394.0)</f>
        <v>108394</v>
      </c>
      <c r="B2893" s="2">
        <f>IFERROR(__xludf.DUMMYFUNCTION("""COMPUTED_VALUE"""),1.0)</f>
        <v>1</v>
      </c>
      <c r="C2893" s="2">
        <f>IFERROR(__xludf.DUMMYFUNCTION("""COMPUTED_VALUE"""),492.0)</f>
        <v>492</v>
      </c>
      <c r="D2893" s="3">
        <f>IFERROR(__xludf.DUMMYFUNCTION("""COMPUTED_VALUE"""),197.0)</f>
        <v>197</v>
      </c>
      <c r="E2893" s="2"/>
      <c r="F2893" s="2"/>
    </row>
    <row r="2894">
      <c r="A2894" s="2">
        <f>IFERROR(__xludf.DUMMYFUNCTION("""COMPUTED_VALUE"""),119967.0)</f>
        <v>119967</v>
      </c>
      <c r="B2894" s="2">
        <f>IFERROR(__xludf.DUMMYFUNCTION("""COMPUTED_VALUE"""),1.0)</f>
        <v>1</v>
      </c>
      <c r="C2894" s="2">
        <f>IFERROR(__xludf.DUMMYFUNCTION("""COMPUTED_VALUE"""),813.0)</f>
        <v>813</v>
      </c>
      <c r="D2894" s="3">
        <f>IFERROR(__xludf.DUMMYFUNCTION("""COMPUTED_VALUE"""),366.0)</f>
        <v>366</v>
      </c>
      <c r="E2894" s="2"/>
      <c r="F2894" s="2"/>
    </row>
    <row r="2895">
      <c r="A2895" s="2">
        <f>IFERROR(__xludf.DUMMYFUNCTION("""COMPUTED_VALUE"""),81235.0)</f>
        <v>81235</v>
      </c>
      <c r="B2895" s="2">
        <f>IFERROR(__xludf.DUMMYFUNCTION("""COMPUTED_VALUE"""),0.0)</f>
        <v>0</v>
      </c>
      <c r="C2895" s="2">
        <f>IFERROR(__xludf.DUMMYFUNCTION("""COMPUTED_VALUE"""),910.0)</f>
        <v>910</v>
      </c>
      <c r="D2895" s="3">
        <f>IFERROR(__xludf.DUMMYFUNCTION("""COMPUTED_VALUE"""),111.0)</f>
        <v>111</v>
      </c>
      <c r="E2895" s="2"/>
      <c r="F2895" s="2"/>
    </row>
    <row r="2896">
      <c r="A2896" s="2">
        <f>IFERROR(__xludf.DUMMYFUNCTION("""COMPUTED_VALUE"""),24053.0)</f>
        <v>24053</v>
      </c>
      <c r="B2896" s="2">
        <f>IFERROR(__xludf.DUMMYFUNCTION("""COMPUTED_VALUE"""),1.0)</f>
        <v>1</v>
      </c>
      <c r="C2896" s="2">
        <f>IFERROR(__xludf.DUMMYFUNCTION("""COMPUTED_VALUE"""),93.0)</f>
        <v>93</v>
      </c>
      <c r="D2896" s="3">
        <f>IFERROR(__xludf.DUMMYFUNCTION("""COMPUTED_VALUE"""),34.0)</f>
        <v>34</v>
      </c>
      <c r="E2896" s="2"/>
      <c r="F2896" s="2"/>
    </row>
    <row r="2897">
      <c r="A2897" s="2">
        <f>IFERROR(__xludf.DUMMYFUNCTION("""COMPUTED_VALUE"""),116936.0)</f>
        <v>116936</v>
      </c>
      <c r="B2897" s="2">
        <f>IFERROR(__xludf.DUMMYFUNCTION("""COMPUTED_VALUE"""),0.0)</f>
        <v>0</v>
      </c>
      <c r="C2897" s="2">
        <f>IFERROR(__xludf.DUMMYFUNCTION("""COMPUTED_VALUE"""),560.0)</f>
        <v>560</v>
      </c>
      <c r="D2897" s="3">
        <f>IFERROR(__xludf.DUMMYFUNCTION("""COMPUTED_VALUE"""),142.0)</f>
        <v>142</v>
      </c>
      <c r="E2897" s="2"/>
      <c r="F2897" s="2"/>
    </row>
    <row r="2898">
      <c r="A2898" s="2">
        <f>IFERROR(__xludf.DUMMYFUNCTION("""COMPUTED_VALUE"""),44268.0)</f>
        <v>44268</v>
      </c>
      <c r="B2898" s="2">
        <f>IFERROR(__xludf.DUMMYFUNCTION("""COMPUTED_VALUE"""),1.0)</f>
        <v>1</v>
      </c>
      <c r="C2898" s="2">
        <f>IFERROR(__xludf.DUMMYFUNCTION("""COMPUTED_VALUE"""),96.0)</f>
        <v>96</v>
      </c>
      <c r="D2898" s="3">
        <f>IFERROR(__xludf.DUMMYFUNCTION("""COMPUTED_VALUE"""),17.0)</f>
        <v>17</v>
      </c>
      <c r="E2898" s="2"/>
      <c r="F2898" s="2"/>
    </row>
    <row r="2899">
      <c r="A2899" s="2">
        <f>IFERROR(__xludf.DUMMYFUNCTION("""COMPUTED_VALUE"""),111946.0)</f>
        <v>111946</v>
      </c>
      <c r="B2899" s="2">
        <f>IFERROR(__xludf.DUMMYFUNCTION("""COMPUTED_VALUE"""),1.0)</f>
        <v>1</v>
      </c>
      <c r="C2899" s="2">
        <f>IFERROR(__xludf.DUMMYFUNCTION("""COMPUTED_VALUE"""),431.0)</f>
        <v>431</v>
      </c>
      <c r="D2899" s="3">
        <f>IFERROR(__xludf.DUMMYFUNCTION("""COMPUTED_VALUE"""),419.0)</f>
        <v>419</v>
      </c>
      <c r="E2899" s="2"/>
      <c r="F2899" s="2"/>
    </row>
    <row r="2900">
      <c r="A2900" s="2">
        <f>IFERROR(__xludf.DUMMYFUNCTION("""COMPUTED_VALUE"""),81234.0)</f>
        <v>81234</v>
      </c>
      <c r="B2900" s="2">
        <f>IFERROR(__xludf.DUMMYFUNCTION("""COMPUTED_VALUE"""),1.0)</f>
        <v>1</v>
      </c>
      <c r="C2900" s="2">
        <f>IFERROR(__xludf.DUMMYFUNCTION("""COMPUTED_VALUE"""),327.0)</f>
        <v>327</v>
      </c>
      <c r="D2900" s="3">
        <f>IFERROR(__xludf.DUMMYFUNCTION("""COMPUTED_VALUE"""),131.0)</f>
        <v>131</v>
      </c>
      <c r="E2900" s="2"/>
      <c r="F2900" s="2"/>
    </row>
    <row r="2901">
      <c r="A2901" s="2">
        <f>IFERROR(__xludf.DUMMYFUNCTION("""COMPUTED_VALUE"""),24038.0)</f>
        <v>24038</v>
      </c>
      <c r="B2901" s="2">
        <f>IFERROR(__xludf.DUMMYFUNCTION("""COMPUTED_VALUE"""),0.0)</f>
        <v>0</v>
      </c>
      <c r="C2901" s="2">
        <f>IFERROR(__xludf.DUMMYFUNCTION("""COMPUTED_VALUE"""),205.0)</f>
        <v>205</v>
      </c>
      <c r="D2901" s="3">
        <f>IFERROR(__xludf.DUMMYFUNCTION("""COMPUTED_VALUE"""),73.0)</f>
        <v>73</v>
      </c>
      <c r="E2901" s="2"/>
      <c r="F2901" s="2"/>
    </row>
    <row r="2902">
      <c r="A2902" s="2">
        <f>IFERROR(__xludf.DUMMYFUNCTION("""COMPUTED_VALUE"""),44882.0)</f>
        <v>44882</v>
      </c>
      <c r="B2902" s="2">
        <f>IFERROR(__xludf.DUMMYFUNCTION("""COMPUTED_VALUE"""),0.0)</f>
        <v>0</v>
      </c>
      <c r="C2902" s="2">
        <f>IFERROR(__xludf.DUMMYFUNCTION("""COMPUTED_VALUE"""),254.0)</f>
        <v>254</v>
      </c>
      <c r="D2902" s="3">
        <f>IFERROR(__xludf.DUMMYFUNCTION("""COMPUTED_VALUE"""),242.0)</f>
        <v>242</v>
      </c>
      <c r="E2902" s="2"/>
      <c r="F2902" s="2"/>
    </row>
    <row r="2903">
      <c r="A2903" s="2">
        <f>IFERROR(__xludf.DUMMYFUNCTION("""COMPUTED_VALUE"""),44266.0)</f>
        <v>44266</v>
      </c>
      <c r="B2903" s="2">
        <f>IFERROR(__xludf.DUMMYFUNCTION("""COMPUTED_VALUE"""),0.0)</f>
        <v>0</v>
      </c>
      <c r="C2903" s="2">
        <f>IFERROR(__xludf.DUMMYFUNCTION("""COMPUTED_VALUE"""),30.0)</f>
        <v>30</v>
      </c>
      <c r="D2903" s="3">
        <f>IFERROR(__xludf.DUMMYFUNCTION("""COMPUTED_VALUE"""),9.0)</f>
        <v>9</v>
      </c>
      <c r="E2903" s="2"/>
      <c r="F2903" s="2"/>
    </row>
    <row r="2904">
      <c r="A2904" s="2">
        <f>IFERROR(__xludf.DUMMYFUNCTION("""COMPUTED_VALUE"""),3452.0)</f>
        <v>3452</v>
      </c>
      <c r="B2904" s="2">
        <f>IFERROR(__xludf.DUMMYFUNCTION("""COMPUTED_VALUE"""),1.0)</f>
        <v>1</v>
      </c>
      <c r="C2904" s="2">
        <f>IFERROR(__xludf.DUMMYFUNCTION("""COMPUTED_VALUE"""),448.0)</f>
        <v>448</v>
      </c>
      <c r="D2904" s="3">
        <f>IFERROR(__xludf.DUMMYFUNCTION("""COMPUTED_VALUE"""),331.0)</f>
        <v>331</v>
      </c>
      <c r="E2904" s="2"/>
      <c r="F2904" s="2"/>
    </row>
    <row r="2905">
      <c r="A2905" s="2">
        <f>IFERROR(__xludf.DUMMYFUNCTION("""COMPUTED_VALUE"""),118569.0)</f>
        <v>118569</v>
      </c>
      <c r="B2905" s="2">
        <f>IFERROR(__xludf.DUMMYFUNCTION("""COMPUTED_VALUE"""),0.0)</f>
        <v>0</v>
      </c>
      <c r="C2905" s="2">
        <f>IFERROR(__xludf.DUMMYFUNCTION("""COMPUTED_VALUE"""),936.0)</f>
        <v>936</v>
      </c>
      <c r="D2905" s="3">
        <f>IFERROR(__xludf.DUMMYFUNCTION("""COMPUTED_VALUE"""),629.0)</f>
        <v>629</v>
      </c>
      <c r="E2905" s="2"/>
      <c r="F2905" s="2"/>
    </row>
    <row r="2906">
      <c r="A2906" s="2">
        <f>IFERROR(__xludf.DUMMYFUNCTION("""COMPUTED_VALUE"""),84378.0)</f>
        <v>84378</v>
      </c>
      <c r="B2906" s="2">
        <f>IFERROR(__xludf.DUMMYFUNCTION("""COMPUTED_VALUE"""),0.0)</f>
        <v>0</v>
      </c>
      <c r="C2906" s="2">
        <f>IFERROR(__xludf.DUMMYFUNCTION("""COMPUTED_VALUE"""),511.0)</f>
        <v>511</v>
      </c>
      <c r="D2906" s="3">
        <f>IFERROR(__xludf.DUMMYFUNCTION("""COMPUTED_VALUE"""),56.0)</f>
        <v>56</v>
      </c>
      <c r="E2906" s="2"/>
      <c r="F2906" s="2"/>
    </row>
    <row r="2907">
      <c r="A2907" s="2">
        <f>IFERROR(__xludf.DUMMYFUNCTION("""COMPUTED_VALUE"""),112731.0)</f>
        <v>112731</v>
      </c>
      <c r="B2907" s="2">
        <f>IFERROR(__xludf.DUMMYFUNCTION("""COMPUTED_VALUE"""),0.0)</f>
        <v>0</v>
      </c>
      <c r="C2907" s="2">
        <f>IFERROR(__xludf.DUMMYFUNCTION("""COMPUTED_VALUE"""),860.0)</f>
        <v>860</v>
      </c>
      <c r="D2907" s="3">
        <f>IFERROR(__xludf.DUMMYFUNCTION("""COMPUTED_VALUE"""),542.0)</f>
        <v>542</v>
      </c>
      <c r="E2907" s="2"/>
      <c r="F2907" s="2"/>
    </row>
    <row r="2908">
      <c r="A2908" s="2">
        <f>IFERROR(__xludf.DUMMYFUNCTION("""COMPUTED_VALUE"""),166201.0)</f>
        <v>166201</v>
      </c>
      <c r="B2908" s="2">
        <f>IFERROR(__xludf.DUMMYFUNCTION("""COMPUTED_VALUE"""),1.0)</f>
        <v>1</v>
      </c>
      <c r="C2908" s="2">
        <f>IFERROR(__xludf.DUMMYFUNCTION("""COMPUTED_VALUE"""),795.0)</f>
        <v>795</v>
      </c>
      <c r="D2908" s="3">
        <f>IFERROR(__xludf.DUMMYFUNCTION("""COMPUTED_VALUE"""),108.0)</f>
        <v>108</v>
      </c>
      <c r="E2908" s="2"/>
      <c r="F2908" s="2"/>
    </row>
    <row r="2909">
      <c r="A2909" s="2">
        <f>IFERROR(__xludf.DUMMYFUNCTION("""COMPUTED_VALUE"""),48495.0)</f>
        <v>48495</v>
      </c>
      <c r="B2909" s="2">
        <f>IFERROR(__xludf.DUMMYFUNCTION("""COMPUTED_VALUE"""),0.0)</f>
        <v>0</v>
      </c>
      <c r="C2909" s="2">
        <f>IFERROR(__xludf.DUMMYFUNCTION("""COMPUTED_VALUE"""),895.0)</f>
        <v>895</v>
      </c>
      <c r="D2909" s="3">
        <f>IFERROR(__xludf.DUMMYFUNCTION("""COMPUTED_VALUE"""),610.0)</f>
        <v>610</v>
      </c>
      <c r="E2909" s="2"/>
      <c r="F2909" s="2"/>
    </row>
    <row r="2910">
      <c r="A2910" s="2">
        <f>IFERROR(__xludf.DUMMYFUNCTION("""COMPUTED_VALUE"""),10383.0)</f>
        <v>10383</v>
      </c>
      <c r="B2910" s="2">
        <f>IFERROR(__xludf.DUMMYFUNCTION("""COMPUTED_VALUE"""),1.0)</f>
        <v>1</v>
      </c>
      <c r="C2910" s="2">
        <f>IFERROR(__xludf.DUMMYFUNCTION("""COMPUTED_VALUE"""),511.0)</f>
        <v>511</v>
      </c>
      <c r="D2910" s="3">
        <f>IFERROR(__xludf.DUMMYFUNCTION("""COMPUTED_VALUE"""),58.0)</f>
        <v>58</v>
      </c>
      <c r="E2910" s="2"/>
      <c r="F2910" s="2"/>
    </row>
    <row r="2911">
      <c r="A2911" s="2">
        <f>IFERROR(__xludf.DUMMYFUNCTION("""COMPUTED_VALUE"""),116284.0)</f>
        <v>116284</v>
      </c>
      <c r="B2911" s="2">
        <f>IFERROR(__xludf.DUMMYFUNCTION("""COMPUTED_VALUE"""),1.0)</f>
        <v>1</v>
      </c>
      <c r="C2911" s="2">
        <f>IFERROR(__xludf.DUMMYFUNCTION("""COMPUTED_VALUE"""),919.0)</f>
        <v>919</v>
      </c>
      <c r="D2911" s="3">
        <f>IFERROR(__xludf.DUMMYFUNCTION("""COMPUTED_VALUE"""),895.0)</f>
        <v>895</v>
      </c>
      <c r="E2911" s="2"/>
      <c r="F2911" s="2"/>
    </row>
    <row r="2912">
      <c r="A2912" s="2">
        <f>IFERROR(__xludf.DUMMYFUNCTION("""COMPUTED_VALUE"""),86543.0)</f>
        <v>86543</v>
      </c>
      <c r="B2912" s="2">
        <f>IFERROR(__xludf.DUMMYFUNCTION("""COMPUTED_VALUE"""),1.0)</f>
        <v>1</v>
      </c>
      <c r="C2912" s="2">
        <f>IFERROR(__xludf.DUMMYFUNCTION("""COMPUTED_VALUE"""),675.0)</f>
        <v>675</v>
      </c>
      <c r="D2912" s="3">
        <f>IFERROR(__xludf.DUMMYFUNCTION("""COMPUTED_VALUE"""),406.0)</f>
        <v>406</v>
      </c>
      <c r="E2912" s="2"/>
      <c r="F2912" s="2"/>
    </row>
    <row r="2913">
      <c r="A2913" s="2">
        <f>IFERROR(__xludf.DUMMYFUNCTION("""COMPUTED_VALUE"""),21165.0)</f>
        <v>21165</v>
      </c>
      <c r="B2913" s="2">
        <f>IFERROR(__xludf.DUMMYFUNCTION("""COMPUTED_VALUE"""),1.0)</f>
        <v>1</v>
      </c>
      <c r="C2913" s="2">
        <f>IFERROR(__xludf.DUMMYFUNCTION("""COMPUTED_VALUE"""),226.0)</f>
        <v>226</v>
      </c>
      <c r="D2913" s="3">
        <f>IFERROR(__xludf.DUMMYFUNCTION("""COMPUTED_VALUE"""),157.0)</f>
        <v>157</v>
      </c>
      <c r="E2913" s="2"/>
      <c r="F2913" s="2"/>
    </row>
    <row r="2914">
      <c r="A2914" s="2">
        <f>IFERROR(__xludf.DUMMYFUNCTION("""COMPUTED_VALUE"""),10309.0)</f>
        <v>10309</v>
      </c>
      <c r="B2914" s="2">
        <f>IFERROR(__xludf.DUMMYFUNCTION("""COMPUTED_VALUE"""),0.0)</f>
        <v>0</v>
      </c>
      <c r="C2914" s="2">
        <f>IFERROR(__xludf.DUMMYFUNCTION("""COMPUTED_VALUE"""),380.0)</f>
        <v>380</v>
      </c>
      <c r="D2914" s="3">
        <f>IFERROR(__xludf.DUMMYFUNCTION("""COMPUTED_VALUE"""),186.0)</f>
        <v>186</v>
      </c>
      <c r="E2914" s="2"/>
      <c r="F2914" s="2"/>
    </row>
    <row r="2915">
      <c r="A2915" s="2">
        <f>IFERROR(__xludf.DUMMYFUNCTION("""COMPUTED_VALUE"""),10367.0)</f>
        <v>10367</v>
      </c>
      <c r="B2915" s="2">
        <f>IFERROR(__xludf.DUMMYFUNCTION("""COMPUTED_VALUE"""),1.0)</f>
        <v>1</v>
      </c>
      <c r="C2915" s="2">
        <f>IFERROR(__xludf.DUMMYFUNCTION("""COMPUTED_VALUE"""),940.0)</f>
        <v>940</v>
      </c>
      <c r="D2915" s="3">
        <f>IFERROR(__xludf.DUMMYFUNCTION("""COMPUTED_VALUE"""),476.0)</f>
        <v>476</v>
      </c>
      <c r="E2915" s="2"/>
      <c r="F2915" s="2"/>
    </row>
    <row r="2916">
      <c r="A2916" s="2">
        <f>IFERROR(__xludf.DUMMYFUNCTION("""COMPUTED_VALUE"""),86545.0)</f>
        <v>86545</v>
      </c>
      <c r="B2916" s="2">
        <f>IFERROR(__xludf.DUMMYFUNCTION("""COMPUTED_VALUE"""),1.0)</f>
        <v>1</v>
      </c>
      <c r="C2916" s="2">
        <f>IFERROR(__xludf.DUMMYFUNCTION("""COMPUTED_VALUE"""),842.0)</f>
        <v>842</v>
      </c>
      <c r="D2916" s="3">
        <f>IFERROR(__xludf.DUMMYFUNCTION("""COMPUTED_VALUE"""),21.0)</f>
        <v>21</v>
      </c>
      <c r="E2916" s="2"/>
      <c r="F2916" s="2"/>
    </row>
    <row r="2917">
      <c r="A2917" s="2">
        <f>IFERROR(__xludf.DUMMYFUNCTION("""COMPUTED_VALUE"""),86544.0)</f>
        <v>86544</v>
      </c>
      <c r="B2917" s="2">
        <f>IFERROR(__xludf.DUMMYFUNCTION("""COMPUTED_VALUE"""),1.0)</f>
        <v>1</v>
      </c>
      <c r="C2917" s="2">
        <f>IFERROR(__xludf.DUMMYFUNCTION("""COMPUTED_VALUE"""),648.0)</f>
        <v>648</v>
      </c>
      <c r="D2917" s="3">
        <f>IFERROR(__xludf.DUMMYFUNCTION("""COMPUTED_VALUE"""),220.0)</f>
        <v>220</v>
      </c>
      <c r="E2917" s="2"/>
      <c r="F2917" s="2"/>
    </row>
    <row r="2918">
      <c r="A2918" s="2">
        <f>IFERROR(__xludf.DUMMYFUNCTION("""COMPUTED_VALUE"""),10384.0)</f>
        <v>10384</v>
      </c>
      <c r="B2918" s="2">
        <f>IFERROR(__xludf.DUMMYFUNCTION("""COMPUTED_VALUE"""),0.0)</f>
        <v>0</v>
      </c>
      <c r="C2918" s="2">
        <f>IFERROR(__xludf.DUMMYFUNCTION("""COMPUTED_VALUE"""),31.0)</f>
        <v>31</v>
      </c>
      <c r="D2918" s="3">
        <f>IFERROR(__xludf.DUMMYFUNCTION("""COMPUTED_VALUE"""),10.0)</f>
        <v>10</v>
      </c>
      <c r="E2918" s="2"/>
      <c r="F2918" s="2"/>
    </row>
    <row r="2919">
      <c r="A2919" s="2">
        <f>IFERROR(__xludf.DUMMYFUNCTION("""COMPUTED_VALUE"""),79314.0)</f>
        <v>79314</v>
      </c>
      <c r="B2919" s="2">
        <f>IFERROR(__xludf.DUMMYFUNCTION("""COMPUTED_VALUE"""),1.0)</f>
        <v>1</v>
      </c>
      <c r="C2919" s="2">
        <f>IFERROR(__xludf.DUMMYFUNCTION("""COMPUTED_VALUE"""),219.0)</f>
        <v>219</v>
      </c>
      <c r="D2919" s="3">
        <f>IFERROR(__xludf.DUMMYFUNCTION("""COMPUTED_VALUE"""),180.0)</f>
        <v>180</v>
      </c>
      <c r="E2919" s="2"/>
      <c r="F2919" s="2"/>
    </row>
    <row r="2920">
      <c r="A2920" s="2">
        <f>IFERROR(__xludf.DUMMYFUNCTION("""COMPUTED_VALUE"""),79311.0)</f>
        <v>79311</v>
      </c>
      <c r="B2920" s="2">
        <f>IFERROR(__xludf.DUMMYFUNCTION("""COMPUTED_VALUE"""),0.0)</f>
        <v>0</v>
      </c>
      <c r="C2920" s="2">
        <f>IFERROR(__xludf.DUMMYFUNCTION("""COMPUTED_VALUE"""),778.0)</f>
        <v>778</v>
      </c>
      <c r="D2920" s="3">
        <f>IFERROR(__xludf.DUMMYFUNCTION("""COMPUTED_VALUE"""),515.0)</f>
        <v>515</v>
      </c>
      <c r="E2920" s="2"/>
      <c r="F2920" s="2"/>
    </row>
    <row r="2921">
      <c r="A2921" s="2">
        <f>IFERROR(__xludf.DUMMYFUNCTION("""COMPUTED_VALUE"""),118249.0)</f>
        <v>118249</v>
      </c>
      <c r="B2921" s="2">
        <f>IFERROR(__xludf.DUMMYFUNCTION("""COMPUTED_VALUE"""),1.0)</f>
        <v>1</v>
      </c>
      <c r="C2921" s="2">
        <f>IFERROR(__xludf.DUMMYFUNCTION("""COMPUTED_VALUE"""),769.0)</f>
        <v>769</v>
      </c>
      <c r="D2921" s="3">
        <f>IFERROR(__xludf.DUMMYFUNCTION("""COMPUTED_VALUE"""),159.0)</f>
        <v>159</v>
      </c>
      <c r="E2921" s="2"/>
      <c r="F2921" s="2"/>
    </row>
    <row r="2922">
      <c r="A2922" s="2">
        <f>IFERROR(__xludf.DUMMYFUNCTION("""COMPUTED_VALUE"""),128420.0)</f>
        <v>128420</v>
      </c>
      <c r="B2922" s="2">
        <f>IFERROR(__xludf.DUMMYFUNCTION("""COMPUTED_VALUE"""),0.0)</f>
        <v>0</v>
      </c>
      <c r="C2922" s="2">
        <f>IFERROR(__xludf.DUMMYFUNCTION("""COMPUTED_VALUE"""),906.0)</f>
        <v>906</v>
      </c>
      <c r="D2922" s="3">
        <f>IFERROR(__xludf.DUMMYFUNCTION("""COMPUTED_VALUE"""),335.0)</f>
        <v>335</v>
      </c>
      <c r="E2922" s="2"/>
      <c r="F2922" s="2"/>
    </row>
    <row r="2923">
      <c r="A2923" s="2">
        <f>IFERROR(__xludf.DUMMYFUNCTION("""COMPUTED_VALUE"""),120692.0)</f>
        <v>120692</v>
      </c>
      <c r="B2923" s="2">
        <f>IFERROR(__xludf.DUMMYFUNCTION("""COMPUTED_VALUE"""),0.0)</f>
        <v>0</v>
      </c>
      <c r="C2923" s="2">
        <f>IFERROR(__xludf.DUMMYFUNCTION("""COMPUTED_VALUE"""),864.0)</f>
        <v>864</v>
      </c>
      <c r="D2923" s="3">
        <f>IFERROR(__xludf.DUMMYFUNCTION("""COMPUTED_VALUE"""),111.0)</f>
        <v>111</v>
      </c>
      <c r="E2923" s="2"/>
      <c r="F2923" s="2"/>
    </row>
    <row r="2924">
      <c r="A2924" s="2">
        <f>IFERROR(__xludf.DUMMYFUNCTION("""COMPUTED_VALUE"""),122464.0)</f>
        <v>122464</v>
      </c>
      <c r="B2924" s="2">
        <f>IFERROR(__xludf.DUMMYFUNCTION("""COMPUTED_VALUE"""),1.0)</f>
        <v>1</v>
      </c>
      <c r="C2924" s="2">
        <f>IFERROR(__xludf.DUMMYFUNCTION("""COMPUTED_VALUE"""),709.0)</f>
        <v>709</v>
      </c>
      <c r="D2924" s="3">
        <f>IFERROR(__xludf.DUMMYFUNCTION("""COMPUTED_VALUE"""),436.0)</f>
        <v>436</v>
      </c>
      <c r="E2924" s="2"/>
      <c r="F2924" s="2"/>
    </row>
    <row r="2925">
      <c r="A2925" s="2">
        <f>IFERROR(__xludf.DUMMYFUNCTION("""COMPUTED_VALUE"""),79762.0)</f>
        <v>79762</v>
      </c>
      <c r="B2925" s="2">
        <f>IFERROR(__xludf.DUMMYFUNCTION("""COMPUTED_VALUE"""),1.0)</f>
        <v>1</v>
      </c>
      <c r="C2925" s="2">
        <f>IFERROR(__xludf.DUMMYFUNCTION("""COMPUTED_VALUE"""),534.0)</f>
        <v>534</v>
      </c>
      <c r="D2925" s="3">
        <f>IFERROR(__xludf.DUMMYFUNCTION("""COMPUTED_VALUE"""),86.0)</f>
        <v>86</v>
      </c>
      <c r="E2925" s="2"/>
      <c r="F2925" s="2"/>
    </row>
    <row r="2926">
      <c r="A2926" s="2">
        <f>IFERROR(__xludf.DUMMYFUNCTION("""COMPUTED_VALUE"""),79315.0)</f>
        <v>79315</v>
      </c>
      <c r="B2926" s="2">
        <f>IFERROR(__xludf.DUMMYFUNCTION("""COMPUTED_VALUE"""),1.0)</f>
        <v>1</v>
      </c>
      <c r="C2926" s="2">
        <f>IFERROR(__xludf.DUMMYFUNCTION("""COMPUTED_VALUE"""),75.0)</f>
        <v>75</v>
      </c>
      <c r="D2926" s="3">
        <f>IFERROR(__xludf.DUMMYFUNCTION("""COMPUTED_VALUE"""),49.0)</f>
        <v>49</v>
      </c>
      <c r="E2926" s="2"/>
      <c r="F2926" s="2"/>
    </row>
    <row r="2927">
      <c r="A2927" s="2">
        <f>IFERROR(__xludf.DUMMYFUNCTION("""COMPUTED_VALUE"""),98941.0)</f>
        <v>98941</v>
      </c>
      <c r="B2927" s="2">
        <f>IFERROR(__xludf.DUMMYFUNCTION("""COMPUTED_VALUE"""),1.0)</f>
        <v>1</v>
      </c>
      <c r="C2927" s="2">
        <f>IFERROR(__xludf.DUMMYFUNCTION("""COMPUTED_VALUE"""),221.0)</f>
        <v>221</v>
      </c>
      <c r="D2927" s="3">
        <f>IFERROR(__xludf.DUMMYFUNCTION("""COMPUTED_VALUE"""),30.0)</f>
        <v>30</v>
      </c>
      <c r="E2927" s="2"/>
      <c r="F2927" s="2"/>
    </row>
    <row r="2928">
      <c r="A2928" s="2">
        <f>IFERROR(__xludf.DUMMYFUNCTION("""COMPUTED_VALUE"""),118245.0)</f>
        <v>118245</v>
      </c>
      <c r="B2928" s="2">
        <f>IFERROR(__xludf.DUMMYFUNCTION("""COMPUTED_VALUE"""),0.0)</f>
        <v>0</v>
      </c>
      <c r="C2928" s="2">
        <f>IFERROR(__xludf.DUMMYFUNCTION("""COMPUTED_VALUE"""),645.0)</f>
        <v>645</v>
      </c>
      <c r="D2928" s="3">
        <f>IFERROR(__xludf.DUMMYFUNCTION("""COMPUTED_VALUE"""),583.0)</f>
        <v>583</v>
      </c>
      <c r="E2928" s="2"/>
      <c r="F2928" s="2"/>
    </row>
    <row r="2929">
      <c r="A2929" s="2">
        <f>IFERROR(__xludf.DUMMYFUNCTION("""COMPUTED_VALUE"""),122333.0)</f>
        <v>122333</v>
      </c>
      <c r="B2929" s="2">
        <f>IFERROR(__xludf.DUMMYFUNCTION("""COMPUTED_VALUE"""),0.0)</f>
        <v>0</v>
      </c>
      <c r="C2929" s="2">
        <f>IFERROR(__xludf.DUMMYFUNCTION("""COMPUTED_VALUE"""),910.0)</f>
        <v>910</v>
      </c>
      <c r="D2929" s="3">
        <f>IFERROR(__xludf.DUMMYFUNCTION("""COMPUTED_VALUE"""),709.0)</f>
        <v>709</v>
      </c>
      <c r="E2929" s="2"/>
      <c r="F2929" s="2"/>
    </row>
    <row r="2930">
      <c r="A2930" s="2">
        <f>IFERROR(__xludf.DUMMYFUNCTION("""COMPUTED_VALUE"""),121901.0)</f>
        <v>121901</v>
      </c>
      <c r="B2930" s="2">
        <f>IFERROR(__xludf.DUMMYFUNCTION("""COMPUTED_VALUE"""),0.0)</f>
        <v>0</v>
      </c>
      <c r="C2930" s="2">
        <f>IFERROR(__xludf.DUMMYFUNCTION("""COMPUTED_VALUE"""),761.0)</f>
        <v>761</v>
      </c>
      <c r="D2930" s="3">
        <f>IFERROR(__xludf.DUMMYFUNCTION("""COMPUTED_VALUE"""),270.0)</f>
        <v>270</v>
      </c>
      <c r="E2930" s="2"/>
      <c r="F2930" s="2"/>
    </row>
    <row r="2931">
      <c r="A2931" s="2">
        <f>IFERROR(__xludf.DUMMYFUNCTION("""COMPUTED_VALUE"""),79316.0)</f>
        <v>79316</v>
      </c>
      <c r="B2931" s="2">
        <f>IFERROR(__xludf.DUMMYFUNCTION("""COMPUTED_VALUE"""),1.0)</f>
        <v>1</v>
      </c>
      <c r="C2931" s="2">
        <f>IFERROR(__xludf.DUMMYFUNCTION("""COMPUTED_VALUE"""),707.0)</f>
        <v>707</v>
      </c>
      <c r="D2931" s="3">
        <f>IFERROR(__xludf.DUMMYFUNCTION("""COMPUTED_VALUE"""),0.0)</f>
        <v>0</v>
      </c>
      <c r="E2931" s="2"/>
      <c r="F2931" s="2"/>
    </row>
    <row r="2932">
      <c r="A2932" s="2">
        <f>IFERROR(__xludf.DUMMYFUNCTION("""COMPUTED_VALUE"""),109899.0)</f>
        <v>109899</v>
      </c>
      <c r="B2932" s="2">
        <f>IFERROR(__xludf.DUMMYFUNCTION("""COMPUTED_VALUE"""),1.0)</f>
        <v>1</v>
      </c>
      <c r="C2932" s="2">
        <f>IFERROR(__xludf.DUMMYFUNCTION("""COMPUTED_VALUE"""),703.0)</f>
        <v>703</v>
      </c>
      <c r="D2932" s="3">
        <f>IFERROR(__xludf.DUMMYFUNCTION("""COMPUTED_VALUE"""),555.0)</f>
        <v>555</v>
      </c>
      <c r="E2932" s="2"/>
      <c r="F2932" s="2"/>
    </row>
    <row r="2933">
      <c r="A2933" s="2">
        <f>IFERROR(__xludf.DUMMYFUNCTION("""COMPUTED_VALUE"""),70570.0)</f>
        <v>70570</v>
      </c>
      <c r="B2933" s="2">
        <f>IFERROR(__xludf.DUMMYFUNCTION("""COMPUTED_VALUE"""),1.0)</f>
        <v>1</v>
      </c>
      <c r="C2933" s="2">
        <f>IFERROR(__xludf.DUMMYFUNCTION("""COMPUTED_VALUE"""),929.0)</f>
        <v>929</v>
      </c>
      <c r="D2933" s="3">
        <f>IFERROR(__xludf.DUMMYFUNCTION("""COMPUTED_VALUE"""),240.0)</f>
        <v>240</v>
      </c>
      <c r="E2933" s="2"/>
      <c r="F2933" s="2"/>
    </row>
    <row r="2934">
      <c r="A2934" s="2">
        <f>IFERROR(__xludf.DUMMYFUNCTION("""COMPUTED_VALUE"""),79364.0)</f>
        <v>79364</v>
      </c>
      <c r="B2934" s="2">
        <f>IFERROR(__xludf.DUMMYFUNCTION("""COMPUTED_VALUE"""),0.0)</f>
        <v>0</v>
      </c>
      <c r="C2934" s="2">
        <f>IFERROR(__xludf.DUMMYFUNCTION("""COMPUTED_VALUE"""),122.0)</f>
        <v>122</v>
      </c>
      <c r="D2934" s="3">
        <f>IFERROR(__xludf.DUMMYFUNCTION("""COMPUTED_VALUE"""),86.0)</f>
        <v>86</v>
      </c>
      <c r="E2934" s="2"/>
      <c r="F2934" s="2"/>
    </row>
    <row r="2935">
      <c r="A2935" s="2">
        <f>IFERROR(__xludf.DUMMYFUNCTION("""COMPUTED_VALUE"""),113103.0)</f>
        <v>113103</v>
      </c>
      <c r="B2935" s="2">
        <f>IFERROR(__xludf.DUMMYFUNCTION("""COMPUTED_VALUE"""),1.0)</f>
        <v>1</v>
      </c>
      <c r="C2935" s="2">
        <f>IFERROR(__xludf.DUMMYFUNCTION("""COMPUTED_VALUE"""),502.0)</f>
        <v>502</v>
      </c>
      <c r="D2935" s="3">
        <f>IFERROR(__xludf.DUMMYFUNCTION("""COMPUTED_VALUE"""),118.0)</f>
        <v>118</v>
      </c>
      <c r="E2935" s="2"/>
      <c r="F2935" s="2"/>
    </row>
    <row r="2936">
      <c r="A2936" s="2">
        <f>IFERROR(__xludf.DUMMYFUNCTION("""COMPUTED_VALUE"""),200581.0)</f>
        <v>200581</v>
      </c>
      <c r="B2936" s="2">
        <f>IFERROR(__xludf.DUMMYFUNCTION("""COMPUTED_VALUE"""),0.0)</f>
        <v>0</v>
      </c>
      <c r="C2936" s="2">
        <f>IFERROR(__xludf.DUMMYFUNCTION("""COMPUTED_VALUE"""),290.0)</f>
        <v>290</v>
      </c>
      <c r="D2936" s="3">
        <f>IFERROR(__xludf.DUMMYFUNCTION("""COMPUTED_VALUE"""),79.0)</f>
        <v>79</v>
      </c>
      <c r="E2936" s="2"/>
      <c r="F2936" s="2"/>
    </row>
    <row r="2937">
      <c r="A2937" s="2">
        <f>IFERROR(__xludf.DUMMYFUNCTION("""COMPUTED_VALUE"""),91490.0)</f>
        <v>91490</v>
      </c>
      <c r="B2937" s="2">
        <f>IFERROR(__xludf.DUMMYFUNCTION("""COMPUTED_VALUE"""),0.0)</f>
        <v>0</v>
      </c>
      <c r="C2937" s="2">
        <f>IFERROR(__xludf.DUMMYFUNCTION("""COMPUTED_VALUE"""),567.0)</f>
        <v>567</v>
      </c>
      <c r="D2937" s="3">
        <f>IFERROR(__xludf.DUMMYFUNCTION("""COMPUTED_VALUE"""),197.0)</f>
        <v>197</v>
      </c>
      <c r="E2937" s="2"/>
      <c r="F2937" s="2"/>
    </row>
    <row r="2938">
      <c r="A2938" s="2">
        <f>IFERROR(__xludf.DUMMYFUNCTION("""COMPUTED_VALUE"""),79320.0)</f>
        <v>79320</v>
      </c>
      <c r="B2938" s="2">
        <f>IFERROR(__xludf.DUMMYFUNCTION("""COMPUTED_VALUE"""),1.0)</f>
        <v>1</v>
      </c>
      <c r="C2938" s="2">
        <f>IFERROR(__xludf.DUMMYFUNCTION("""COMPUTED_VALUE"""),560.0)</f>
        <v>560</v>
      </c>
      <c r="D2938" s="3">
        <f>IFERROR(__xludf.DUMMYFUNCTION("""COMPUTED_VALUE"""),70.0)</f>
        <v>70</v>
      </c>
      <c r="E2938" s="2"/>
      <c r="F2938" s="2"/>
    </row>
    <row r="2939">
      <c r="A2939" s="2">
        <f>IFERROR(__xludf.DUMMYFUNCTION("""COMPUTED_VALUE"""),122331.0)</f>
        <v>122331</v>
      </c>
      <c r="B2939" s="2">
        <f>IFERROR(__xludf.DUMMYFUNCTION("""COMPUTED_VALUE"""),0.0)</f>
        <v>0</v>
      </c>
      <c r="C2939" s="2">
        <f>IFERROR(__xludf.DUMMYFUNCTION("""COMPUTED_VALUE"""),614.0)</f>
        <v>614</v>
      </c>
      <c r="D2939" s="3">
        <f>IFERROR(__xludf.DUMMYFUNCTION("""COMPUTED_VALUE"""),356.0)</f>
        <v>356</v>
      </c>
      <c r="E2939" s="2"/>
      <c r="F2939" s="2"/>
    </row>
    <row r="2940">
      <c r="A2940" s="2">
        <f>IFERROR(__xludf.DUMMYFUNCTION("""COMPUTED_VALUE"""),79921.0)</f>
        <v>79921</v>
      </c>
      <c r="B2940" s="2">
        <f>IFERROR(__xludf.DUMMYFUNCTION("""COMPUTED_VALUE"""),0.0)</f>
        <v>0</v>
      </c>
      <c r="C2940" s="2">
        <f>IFERROR(__xludf.DUMMYFUNCTION("""COMPUTED_VALUE"""),371.0)</f>
        <v>371</v>
      </c>
      <c r="D2940" s="3">
        <f>IFERROR(__xludf.DUMMYFUNCTION("""COMPUTED_VALUE"""),248.0)</f>
        <v>248</v>
      </c>
      <c r="E2940" s="2"/>
      <c r="F2940" s="2"/>
    </row>
    <row r="2941">
      <c r="A2941" s="2">
        <f>IFERROR(__xludf.DUMMYFUNCTION("""COMPUTED_VALUE"""),128421.0)</f>
        <v>128421</v>
      </c>
      <c r="B2941" s="2">
        <f>IFERROR(__xludf.DUMMYFUNCTION("""COMPUTED_VALUE"""),1.0)</f>
        <v>1</v>
      </c>
      <c r="C2941" s="2">
        <f>IFERROR(__xludf.DUMMYFUNCTION("""COMPUTED_VALUE"""),526.0)</f>
        <v>526</v>
      </c>
      <c r="D2941" s="3">
        <f>IFERROR(__xludf.DUMMYFUNCTION("""COMPUTED_VALUE"""),43.0)</f>
        <v>43</v>
      </c>
      <c r="E2941" s="2"/>
      <c r="F2941" s="2"/>
    </row>
    <row r="2942">
      <c r="A2942" s="2">
        <f>IFERROR(__xludf.DUMMYFUNCTION("""COMPUTED_VALUE"""),80421.0)</f>
        <v>80421</v>
      </c>
      <c r="B2942" s="2">
        <f>IFERROR(__xludf.DUMMYFUNCTION("""COMPUTED_VALUE"""),1.0)</f>
        <v>1</v>
      </c>
      <c r="C2942" s="2">
        <f>IFERROR(__xludf.DUMMYFUNCTION("""COMPUTED_VALUE"""),312.0)</f>
        <v>312</v>
      </c>
      <c r="D2942" s="3">
        <f>IFERROR(__xludf.DUMMYFUNCTION("""COMPUTED_VALUE"""),212.0)</f>
        <v>212</v>
      </c>
      <c r="E2942" s="2"/>
      <c r="F2942" s="2"/>
    </row>
    <row r="2943">
      <c r="A2943" s="2">
        <f>IFERROR(__xludf.DUMMYFUNCTION("""COMPUTED_VALUE"""),121867.0)</f>
        <v>121867</v>
      </c>
      <c r="B2943" s="2">
        <f>IFERROR(__xludf.DUMMYFUNCTION("""COMPUTED_VALUE"""),0.0)</f>
        <v>0</v>
      </c>
      <c r="C2943" s="2">
        <f>IFERROR(__xludf.DUMMYFUNCTION("""COMPUTED_VALUE"""),520.0)</f>
        <v>520</v>
      </c>
      <c r="D2943" s="3">
        <f>IFERROR(__xludf.DUMMYFUNCTION("""COMPUTED_VALUE"""),237.0)</f>
        <v>237</v>
      </c>
      <c r="E2943" s="2"/>
      <c r="F2943" s="2"/>
    </row>
    <row r="2944">
      <c r="A2944" s="2">
        <f>IFERROR(__xludf.DUMMYFUNCTION("""COMPUTED_VALUE"""),122501.0)</f>
        <v>122501</v>
      </c>
      <c r="B2944" s="2">
        <f>IFERROR(__xludf.DUMMYFUNCTION("""COMPUTED_VALUE"""),0.0)</f>
        <v>0</v>
      </c>
      <c r="C2944" s="2">
        <f>IFERROR(__xludf.DUMMYFUNCTION("""COMPUTED_VALUE"""),981.0)</f>
        <v>981</v>
      </c>
      <c r="D2944" s="3">
        <f>IFERROR(__xludf.DUMMYFUNCTION("""COMPUTED_VALUE"""),79.0)</f>
        <v>79</v>
      </c>
      <c r="E2944" s="2"/>
      <c r="F2944" s="2"/>
    </row>
    <row r="2945">
      <c r="A2945" s="2">
        <f>IFERROR(__xludf.DUMMYFUNCTION("""COMPUTED_VALUE"""),44531.0)</f>
        <v>44531</v>
      </c>
      <c r="B2945" s="2">
        <f>IFERROR(__xludf.DUMMYFUNCTION("""COMPUTED_VALUE"""),1.0)</f>
        <v>1</v>
      </c>
      <c r="C2945" s="2">
        <f>IFERROR(__xludf.DUMMYFUNCTION("""COMPUTED_VALUE"""),540.0)</f>
        <v>540</v>
      </c>
      <c r="D2945" s="3">
        <f>IFERROR(__xludf.DUMMYFUNCTION("""COMPUTED_VALUE"""),342.0)</f>
        <v>342</v>
      </c>
      <c r="E2945" s="2"/>
      <c r="F2945" s="2"/>
    </row>
    <row r="2946">
      <c r="A2946" s="2">
        <f>IFERROR(__xludf.DUMMYFUNCTION("""COMPUTED_VALUE"""),118153.0)</f>
        <v>118153</v>
      </c>
      <c r="B2946" s="2">
        <f>IFERROR(__xludf.DUMMYFUNCTION("""COMPUTED_VALUE"""),1.0)</f>
        <v>1</v>
      </c>
      <c r="C2946" s="2">
        <f>IFERROR(__xludf.DUMMYFUNCTION("""COMPUTED_VALUE"""),529.0)</f>
        <v>529</v>
      </c>
      <c r="D2946" s="3">
        <f>IFERROR(__xludf.DUMMYFUNCTION("""COMPUTED_VALUE"""),95.0)</f>
        <v>95</v>
      </c>
      <c r="E2946" s="2"/>
      <c r="F2946" s="2"/>
    </row>
    <row r="2947">
      <c r="A2947" s="2">
        <f>IFERROR(__xludf.DUMMYFUNCTION("""COMPUTED_VALUE"""),118244.0)</f>
        <v>118244</v>
      </c>
      <c r="B2947" s="2">
        <f>IFERROR(__xludf.DUMMYFUNCTION("""COMPUTED_VALUE"""),1.0)</f>
        <v>1</v>
      </c>
      <c r="C2947" s="2">
        <f>IFERROR(__xludf.DUMMYFUNCTION("""COMPUTED_VALUE"""),468.0)</f>
        <v>468</v>
      </c>
      <c r="D2947" s="3">
        <f>IFERROR(__xludf.DUMMYFUNCTION("""COMPUTED_VALUE"""),100.0)</f>
        <v>100</v>
      </c>
      <c r="E2947" s="2"/>
      <c r="F2947" s="2"/>
    </row>
    <row r="2948">
      <c r="A2948" s="2">
        <f>IFERROR(__xludf.DUMMYFUNCTION("""COMPUTED_VALUE"""),46974.0)</f>
        <v>46974</v>
      </c>
      <c r="B2948" s="2">
        <f>IFERROR(__xludf.DUMMYFUNCTION("""COMPUTED_VALUE"""),0.0)</f>
        <v>0</v>
      </c>
      <c r="C2948" s="2">
        <f>IFERROR(__xludf.DUMMYFUNCTION("""COMPUTED_VALUE"""),525.0)</f>
        <v>525</v>
      </c>
      <c r="D2948" s="3">
        <f>IFERROR(__xludf.DUMMYFUNCTION("""COMPUTED_VALUE"""),270.0)</f>
        <v>270</v>
      </c>
      <c r="E2948" s="2"/>
      <c r="F2948" s="2"/>
    </row>
    <row r="2949">
      <c r="A2949" s="2">
        <f>IFERROR(__xludf.DUMMYFUNCTION("""COMPUTED_VALUE"""),69232.0)</f>
        <v>69232</v>
      </c>
      <c r="B2949" s="2">
        <f>IFERROR(__xludf.DUMMYFUNCTION("""COMPUTED_VALUE"""),1.0)</f>
        <v>1</v>
      </c>
      <c r="C2949" s="2">
        <f>IFERROR(__xludf.DUMMYFUNCTION("""COMPUTED_VALUE"""),449.0)</f>
        <v>449</v>
      </c>
      <c r="D2949" s="3">
        <f>IFERROR(__xludf.DUMMYFUNCTION("""COMPUTED_VALUE"""),44.0)</f>
        <v>44</v>
      </c>
      <c r="E2949" s="2"/>
      <c r="F2949" s="2"/>
    </row>
    <row r="2950">
      <c r="A2950" s="2">
        <f>IFERROR(__xludf.DUMMYFUNCTION("""COMPUTED_VALUE"""),117461.0)</f>
        <v>117461</v>
      </c>
      <c r="B2950" s="2">
        <f>IFERROR(__xludf.DUMMYFUNCTION("""COMPUTED_VALUE"""),0.0)</f>
        <v>0</v>
      </c>
      <c r="C2950" s="2">
        <f>IFERROR(__xludf.DUMMYFUNCTION("""COMPUTED_VALUE"""),540.0)</f>
        <v>540</v>
      </c>
      <c r="D2950" s="3">
        <f>IFERROR(__xludf.DUMMYFUNCTION("""COMPUTED_VALUE"""),514.0)</f>
        <v>514</v>
      </c>
      <c r="E2950" s="2"/>
      <c r="F2950" s="2"/>
    </row>
    <row r="2951">
      <c r="A2951" s="2">
        <f>IFERROR(__xludf.DUMMYFUNCTION("""COMPUTED_VALUE"""),122324.0)</f>
        <v>122324</v>
      </c>
      <c r="B2951" s="2">
        <f>IFERROR(__xludf.DUMMYFUNCTION("""COMPUTED_VALUE"""),0.0)</f>
        <v>0</v>
      </c>
      <c r="C2951" s="2">
        <f>IFERROR(__xludf.DUMMYFUNCTION("""COMPUTED_VALUE"""),654.0)</f>
        <v>654</v>
      </c>
      <c r="D2951" s="3">
        <f>IFERROR(__xludf.DUMMYFUNCTION("""COMPUTED_VALUE"""),168.0)</f>
        <v>168</v>
      </c>
      <c r="E2951" s="2"/>
      <c r="F2951" s="2"/>
    </row>
    <row r="2952">
      <c r="A2952" s="2">
        <f>IFERROR(__xludf.DUMMYFUNCTION("""COMPUTED_VALUE"""),119023.0)</f>
        <v>119023</v>
      </c>
      <c r="B2952" s="2">
        <f>IFERROR(__xludf.DUMMYFUNCTION("""COMPUTED_VALUE"""),0.0)</f>
        <v>0</v>
      </c>
      <c r="C2952" s="2">
        <f>IFERROR(__xludf.DUMMYFUNCTION("""COMPUTED_VALUE"""),375.0)</f>
        <v>375</v>
      </c>
      <c r="D2952" s="3">
        <f>IFERROR(__xludf.DUMMYFUNCTION("""COMPUTED_VALUE"""),12.0)</f>
        <v>12</v>
      </c>
      <c r="E2952" s="2"/>
      <c r="F2952" s="2"/>
    </row>
    <row r="2953">
      <c r="A2953" s="2">
        <f>IFERROR(__xludf.DUMMYFUNCTION("""COMPUTED_VALUE"""),70600.0)</f>
        <v>70600</v>
      </c>
      <c r="B2953" s="2">
        <f>IFERROR(__xludf.DUMMYFUNCTION("""COMPUTED_VALUE"""),1.0)</f>
        <v>1</v>
      </c>
      <c r="C2953" s="2">
        <f>IFERROR(__xludf.DUMMYFUNCTION("""COMPUTED_VALUE"""),642.0)</f>
        <v>642</v>
      </c>
      <c r="D2953" s="3">
        <f>IFERROR(__xludf.DUMMYFUNCTION("""COMPUTED_VALUE"""),591.0)</f>
        <v>591</v>
      </c>
      <c r="E2953" s="2"/>
      <c r="F2953" s="2"/>
    </row>
    <row r="2954">
      <c r="A2954" s="2">
        <f>IFERROR(__xludf.DUMMYFUNCTION("""COMPUTED_VALUE"""),10689.0)</f>
        <v>10689</v>
      </c>
      <c r="B2954" s="2">
        <f>IFERROR(__xludf.DUMMYFUNCTION("""COMPUTED_VALUE"""),0.0)</f>
        <v>0</v>
      </c>
      <c r="C2954" s="2">
        <f>IFERROR(__xludf.DUMMYFUNCTION("""COMPUTED_VALUE"""),507.0)</f>
        <v>507</v>
      </c>
      <c r="D2954" s="3">
        <f>IFERROR(__xludf.DUMMYFUNCTION("""COMPUTED_VALUE"""),235.0)</f>
        <v>235</v>
      </c>
      <c r="E2954" s="2"/>
      <c r="F2954" s="2"/>
    </row>
    <row r="2955">
      <c r="A2955" s="2">
        <f>IFERROR(__xludf.DUMMYFUNCTION("""COMPUTED_VALUE"""),158427.0)</f>
        <v>158427</v>
      </c>
      <c r="B2955" s="2">
        <f>IFERROR(__xludf.DUMMYFUNCTION("""COMPUTED_VALUE"""),1.0)</f>
        <v>1</v>
      </c>
      <c r="C2955" s="2">
        <f>IFERROR(__xludf.DUMMYFUNCTION("""COMPUTED_VALUE"""),868.0)</f>
        <v>868</v>
      </c>
      <c r="D2955" s="3">
        <f>IFERROR(__xludf.DUMMYFUNCTION("""COMPUTED_VALUE"""),0.0)</f>
        <v>0</v>
      </c>
      <c r="E2955" s="2"/>
      <c r="F2955" s="2"/>
    </row>
    <row r="2956">
      <c r="A2956" s="2">
        <f>IFERROR(__xludf.DUMMYFUNCTION("""COMPUTED_VALUE"""),122462.0)</f>
        <v>122462</v>
      </c>
      <c r="B2956" s="2">
        <f>IFERROR(__xludf.DUMMYFUNCTION("""COMPUTED_VALUE"""),1.0)</f>
        <v>1</v>
      </c>
      <c r="C2956" s="2">
        <f>IFERROR(__xludf.DUMMYFUNCTION("""COMPUTED_VALUE"""),533.0)</f>
        <v>533</v>
      </c>
      <c r="D2956" s="3">
        <f>IFERROR(__xludf.DUMMYFUNCTION("""COMPUTED_VALUE"""),69.0)</f>
        <v>69</v>
      </c>
      <c r="E2956" s="2"/>
      <c r="F2956" s="2"/>
    </row>
    <row r="2957">
      <c r="A2957" s="2">
        <f>IFERROR(__xludf.DUMMYFUNCTION("""COMPUTED_VALUE"""),155951.0)</f>
        <v>155951</v>
      </c>
      <c r="B2957" s="2">
        <f>IFERROR(__xludf.DUMMYFUNCTION("""COMPUTED_VALUE"""),0.0)</f>
        <v>0</v>
      </c>
      <c r="C2957" s="2">
        <f>IFERROR(__xludf.DUMMYFUNCTION("""COMPUTED_VALUE"""),598.0)</f>
        <v>598</v>
      </c>
      <c r="D2957" s="3">
        <f>IFERROR(__xludf.DUMMYFUNCTION("""COMPUTED_VALUE"""),247.0)</f>
        <v>247</v>
      </c>
      <c r="E2957" s="2"/>
      <c r="F2957" s="2"/>
    </row>
    <row r="2958">
      <c r="A2958" s="2">
        <f>IFERROR(__xludf.DUMMYFUNCTION("""COMPUTED_VALUE"""),79338.0)</f>
        <v>79338</v>
      </c>
      <c r="B2958" s="2">
        <f>IFERROR(__xludf.DUMMYFUNCTION("""COMPUTED_VALUE"""),0.0)</f>
        <v>0</v>
      </c>
      <c r="C2958" s="2">
        <f>IFERROR(__xludf.DUMMYFUNCTION("""COMPUTED_VALUE"""),775.0)</f>
        <v>775</v>
      </c>
      <c r="D2958" s="3">
        <f>IFERROR(__xludf.DUMMYFUNCTION("""COMPUTED_VALUE"""),189.0)</f>
        <v>189</v>
      </c>
      <c r="E2958" s="2"/>
      <c r="F2958" s="2"/>
    </row>
    <row r="2959">
      <c r="A2959" s="2">
        <f>IFERROR(__xludf.DUMMYFUNCTION("""COMPUTED_VALUE"""),79919.0)</f>
        <v>79919</v>
      </c>
      <c r="B2959" s="2">
        <f>IFERROR(__xludf.DUMMYFUNCTION("""COMPUTED_VALUE"""),1.0)</f>
        <v>1</v>
      </c>
      <c r="C2959" s="2">
        <f>IFERROR(__xludf.DUMMYFUNCTION("""COMPUTED_VALUE"""),848.0)</f>
        <v>848</v>
      </c>
      <c r="D2959" s="3">
        <f>IFERROR(__xludf.DUMMYFUNCTION("""COMPUTED_VALUE"""),755.0)</f>
        <v>755</v>
      </c>
      <c r="E2959" s="2"/>
      <c r="F2959" s="2"/>
    </row>
    <row r="2960">
      <c r="A2960" s="2">
        <f>IFERROR(__xludf.DUMMYFUNCTION("""COMPUTED_VALUE"""),117057.0)</f>
        <v>117057</v>
      </c>
      <c r="B2960" s="2">
        <f>IFERROR(__xludf.DUMMYFUNCTION("""COMPUTED_VALUE"""),0.0)</f>
        <v>0</v>
      </c>
      <c r="C2960" s="2">
        <f>IFERROR(__xludf.DUMMYFUNCTION("""COMPUTED_VALUE"""),442.0)</f>
        <v>442</v>
      </c>
      <c r="D2960" s="3">
        <f>IFERROR(__xludf.DUMMYFUNCTION("""COMPUTED_VALUE"""),420.0)</f>
        <v>420</v>
      </c>
      <c r="E2960" s="2"/>
      <c r="F2960" s="2"/>
    </row>
    <row r="2961">
      <c r="A2961" s="2">
        <f>IFERROR(__xludf.DUMMYFUNCTION("""COMPUTED_VALUE"""),122334.0)</f>
        <v>122334</v>
      </c>
      <c r="B2961" s="2">
        <f>IFERROR(__xludf.DUMMYFUNCTION("""COMPUTED_VALUE"""),0.0)</f>
        <v>0</v>
      </c>
      <c r="C2961" s="2">
        <f>IFERROR(__xludf.DUMMYFUNCTION("""COMPUTED_VALUE"""),702.0)</f>
        <v>702</v>
      </c>
      <c r="D2961" s="3">
        <f>IFERROR(__xludf.DUMMYFUNCTION("""COMPUTED_VALUE"""),86.0)</f>
        <v>86</v>
      </c>
      <c r="E2961" s="2"/>
      <c r="F2961" s="2"/>
    </row>
    <row r="2962">
      <c r="A2962" s="2">
        <f>IFERROR(__xludf.DUMMYFUNCTION("""COMPUTED_VALUE"""),122648.0)</f>
        <v>122648</v>
      </c>
      <c r="B2962" s="2">
        <f>IFERROR(__xludf.DUMMYFUNCTION("""COMPUTED_VALUE"""),0.0)</f>
        <v>0</v>
      </c>
      <c r="C2962" s="2">
        <f>IFERROR(__xludf.DUMMYFUNCTION("""COMPUTED_VALUE"""),655.0)</f>
        <v>655</v>
      </c>
      <c r="D2962" s="3">
        <f>IFERROR(__xludf.DUMMYFUNCTION("""COMPUTED_VALUE"""),528.0)</f>
        <v>528</v>
      </c>
      <c r="E2962" s="2"/>
      <c r="F2962" s="2"/>
    </row>
    <row r="2963">
      <c r="A2963" s="2">
        <f>IFERROR(__xludf.DUMMYFUNCTION("""COMPUTED_VALUE"""),128418.0)</f>
        <v>128418</v>
      </c>
      <c r="B2963" s="2">
        <f>IFERROR(__xludf.DUMMYFUNCTION("""COMPUTED_VALUE"""),0.0)</f>
        <v>0</v>
      </c>
      <c r="C2963" s="2">
        <f>IFERROR(__xludf.DUMMYFUNCTION("""COMPUTED_VALUE"""),643.0)</f>
        <v>643</v>
      </c>
      <c r="D2963" s="3">
        <f>IFERROR(__xludf.DUMMYFUNCTION("""COMPUTED_VALUE"""),491.0)</f>
        <v>491</v>
      </c>
      <c r="E2963" s="2"/>
      <c r="F2963" s="2"/>
    </row>
    <row r="2964">
      <c r="A2964" s="2">
        <f>IFERROR(__xludf.DUMMYFUNCTION("""COMPUTED_VALUE"""),109883.0)</f>
        <v>109883</v>
      </c>
      <c r="B2964" s="2">
        <f>IFERROR(__xludf.DUMMYFUNCTION("""COMPUTED_VALUE"""),1.0)</f>
        <v>1</v>
      </c>
      <c r="C2964" s="2">
        <f>IFERROR(__xludf.DUMMYFUNCTION("""COMPUTED_VALUE"""),579.0)</f>
        <v>579</v>
      </c>
      <c r="D2964" s="3">
        <f>IFERROR(__xludf.DUMMYFUNCTION("""COMPUTED_VALUE"""),299.0)</f>
        <v>299</v>
      </c>
      <c r="E2964" s="2"/>
      <c r="F2964" s="2"/>
    </row>
    <row r="2965">
      <c r="A2965" s="2">
        <f>IFERROR(__xludf.DUMMYFUNCTION("""COMPUTED_VALUE"""),119027.0)</f>
        <v>119027</v>
      </c>
      <c r="B2965" s="2">
        <f>IFERROR(__xludf.DUMMYFUNCTION("""COMPUTED_VALUE"""),0.0)</f>
        <v>0</v>
      </c>
      <c r="C2965" s="2">
        <f>IFERROR(__xludf.DUMMYFUNCTION("""COMPUTED_VALUE"""),973.0)</f>
        <v>973</v>
      </c>
      <c r="D2965" s="3">
        <f>IFERROR(__xludf.DUMMYFUNCTION("""COMPUTED_VALUE"""),775.0)</f>
        <v>775</v>
      </c>
      <c r="E2965" s="2"/>
      <c r="F2965" s="2"/>
    </row>
    <row r="2966">
      <c r="A2966" s="2">
        <f>IFERROR(__xludf.DUMMYFUNCTION("""COMPUTED_VALUE"""),30522.0)</f>
        <v>30522</v>
      </c>
      <c r="B2966" s="2">
        <f>IFERROR(__xludf.DUMMYFUNCTION("""COMPUTED_VALUE"""),1.0)</f>
        <v>1</v>
      </c>
      <c r="C2966" s="2">
        <f>IFERROR(__xludf.DUMMYFUNCTION("""COMPUTED_VALUE"""),961.0)</f>
        <v>961</v>
      </c>
      <c r="D2966" s="3">
        <f>IFERROR(__xludf.DUMMYFUNCTION("""COMPUTED_VALUE"""),105.0)</f>
        <v>105</v>
      </c>
      <c r="E2966" s="2"/>
      <c r="F2966" s="2"/>
    </row>
    <row r="2967">
      <c r="A2967" s="2">
        <f>IFERROR(__xludf.DUMMYFUNCTION("""COMPUTED_VALUE"""),118155.0)</f>
        <v>118155</v>
      </c>
      <c r="B2967" s="2">
        <f>IFERROR(__xludf.DUMMYFUNCTION("""COMPUTED_VALUE"""),1.0)</f>
        <v>1</v>
      </c>
      <c r="C2967" s="2">
        <f>IFERROR(__xludf.DUMMYFUNCTION("""COMPUTED_VALUE"""),246.0)</f>
        <v>246</v>
      </c>
      <c r="D2967" s="3">
        <f>IFERROR(__xludf.DUMMYFUNCTION("""COMPUTED_VALUE"""),136.0)</f>
        <v>136</v>
      </c>
      <c r="E2967" s="2"/>
      <c r="F2967" s="2"/>
    </row>
    <row r="2968">
      <c r="A2968" s="2">
        <f>IFERROR(__xludf.DUMMYFUNCTION("""COMPUTED_VALUE"""),188068.0)</f>
        <v>188068</v>
      </c>
      <c r="B2968" s="2">
        <f>IFERROR(__xludf.DUMMYFUNCTION("""COMPUTED_VALUE"""),0.0)</f>
        <v>0</v>
      </c>
      <c r="C2968" s="2">
        <f>IFERROR(__xludf.DUMMYFUNCTION("""COMPUTED_VALUE"""),795.0)</f>
        <v>795</v>
      </c>
      <c r="D2968" s="3">
        <f>IFERROR(__xludf.DUMMYFUNCTION("""COMPUTED_VALUE"""),454.0)</f>
        <v>454</v>
      </c>
      <c r="E2968" s="2"/>
      <c r="F2968" s="2"/>
    </row>
    <row r="2969">
      <c r="A2969" s="2">
        <f>IFERROR(__xludf.DUMMYFUNCTION("""COMPUTED_VALUE"""),92613.0)</f>
        <v>92613</v>
      </c>
      <c r="B2969" s="2">
        <f>IFERROR(__xludf.DUMMYFUNCTION("""COMPUTED_VALUE"""),1.0)</f>
        <v>1</v>
      </c>
      <c r="C2969" s="2">
        <f>IFERROR(__xludf.DUMMYFUNCTION("""COMPUTED_VALUE"""),780.0)</f>
        <v>780</v>
      </c>
      <c r="D2969" s="3">
        <f>IFERROR(__xludf.DUMMYFUNCTION("""COMPUTED_VALUE"""),198.0)</f>
        <v>198</v>
      </c>
      <c r="E2969" s="2"/>
      <c r="F2969" s="2"/>
    </row>
    <row r="2970">
      <c r="A2970" s="2">
        <f>IFERROR(__xludf.DUMMYFUNCTION("""COMPUTED_VALUE"""),69234.0)</f>
        <v>69234</v>
      </c>
      <c r="B2970" s="2">
        <f>IFERROR(__xludf.DUMMYFUNCTION("""COMPUTED_VALUE"""),0.0)</f>
        <v>0</v>
      </c>
      <c r="C2970" s="2">
        <f>IFERROR(__xludf.DUMMYFUNCTION("""COMPUTED_VALUE"""),324.0)</f>
        <v>324</v>
      </c>
      <c r="D2970" s="3">
        <f>IFERROR(__xludf.DUMMYFUNCTION("""COMPUTED_VALUE"""),115.0)</f>
        <v>115</v>
      </c>
      <c r="E2970" s="2"/>
      <c r="F2970" s="2"/>
    </row>
    <row r="2971">
      <c r="A2971" s="2">
        <f>IFERROR(__xludf.DUMMYFUNCTION("""COMPUTED_VALUE"""),109938.0)</f>
        <v>109938</v>
      </c>
      <c r="B2971" s="2">
        <f>IFERROR(__xludf.DUMMYFUNCTION("""COMPUTED_VALUE"""),1.0)</f>
        <v>1</v>
      </c>
      <c r="C2971" s="2">
        <f>IFERROR(__xludf.DUMMYFUNCTION("""COMPUTED_VALUE"""),632.0)</f>
        <v>632</v>
      </c>
      <c r="D2971" s="3">
        <f>IFERROR(__xludf.DUMMYFUNCTION("""COMPUTED_VALUE"""),391.0)</f>
        <v>391</v>
      </c>
      <c r="E2971" s="2"/>
      <c r="F2971" s="2"/>
    </row>
    <row r="2972">
      <c r="A2972" s="2">
        <f>IFERROR(__xludf.DUMMYFUNCTION("""COMPUTED_VALUE"""),120307.0)</f>
        <v>120307</v>
      </c>
      <c r="B2972" s="2">
        <f>IFERROR(__xludf.DUMMYFUNCTION("""COMPUTED_VALUE"""),0.0)</f>
        <v>0</v>
      </c>
      <c r="C2972" s="2">
        <f>IFERROR(__xludf.DUMMYFUNCTION("""COMPUTED_VALUE"""),429.0)</f>
        <v>429</v>
      </c>
      <c r="D2972" s="3">
        <f>IFERROR(__xludf.DUMMYFUNCTION("""COMPUTED_VALUE"""),313.0)</f>
        <v>313</v>
      </c>
      <c r="E2972" s="2"/>
      <c r="F2972" s="2"/>
    </row>
    <row r="2973">
      <c r="A2973" s="2">
        <f>IFERROR(__xludf.DUMMYFUNCTION("""COMPUTED_VALUE"""),118906.0)</f>
        <v>118906</v>
      </c>
      <c r="B2973" s="2">
        <f>IFERROR(__xludf.DUMMYFUNCTION("""COMPUTED_VALUE"""),0.0)</f>
        <v>0</v>
      </c>
      <c r="C2973" s="2">
        <f>IFERROR(__xludf.DUMMYFUNCTION("""COMPUTED_VALUE"""),544.0)</f>
        <v>544</v>
      </c>
      <c r="D2973" s="3">
        <f>IFERROR(__xludf.DUMMYFUNCTION("""COMPUTED_VALUE"""),516.0)</f>
        <v>516</v>
      </c>
      <c r="E2973" s="2"/>
      <c r="F2973" s="2"/>
    </row>
    <row r="2974">
      <c r="A2974" s="2">
        <f>IFERROR(__xludf.DUMMYFUNCTION("""COMPUTED_VALUE"""),128309.0)</f>
        <v>128309</v>
      </c>
      <c r="B2974" s="2">
        <f>IFERROR(__xludf.DUMMYFUNCTION("""COMPUTED_VALUE"""),0.0)</f>
        <v>0</v>
      </c>
      <c r="C2974" s="2">
        <f>IFERROR(__xludf.DUMMYFUNCTION("""COMPUTED_VALUE"""),914.0)</f>
        <v>914</v>
      </c>
      <c r="D2974" s="3">
        <f>IFERROR(__xludf.DUMMYFUNCTION("""COMPUTED_VALUE"""),393.0)</f>
        <v>393</v>
      </c>
      <c r="E2974" s="2"/>
      <c r="F2974" s="2"/>
    </row>
    <row r="2975">
      <c r="A2975" s="2">
        <f>IFERROR(__xludf.DUMMYFUNCTION("""COMPUTED_VALUE"""),1986.0)</f>
        <v>1986</v>
      </c>
      <c r="B2975" s="2">
        <f>IFERROR(__xludf.DUMMYFUNCTION("""COMPUTED_VALUE"""),0.0)</f>
        <v>0</v>
      </c>
      <c r="C2975" s="2">
        <f>IFERROR(__xludf.DUMMYFUNCTION("""COMPUTED_VALUE"""),587.0)</f>
        <v>587</v>
      </c>
      <c r="D2975" s="3">
        <f>IFERROR(__xludf.DUMMYFUNCTION("""COMPUTED_VALUE"""),25.0)</f>
        <v>25</v>
      </c>
      <c r="E2975" s="2"/>
      <c r="F2975" s="2"/>
    </row>
    <row r="2976">
      <c r="A2976" s="2">
        <f>IFERROR(__xludf.DUMMYFUNCTION("""COMPUTED_VALUE"""),117749.0)</f>
        <v>117749</v>
      </c>
      <c r="B2976" s="2">
        <f>IFERROR(__xludf.DUMMYFUNCTION("""COMPUTED_VALUE"""),1.0)</f>
        <v>1</v>
      </c>
      <c r="C2976" s="2">
        <f>IFERROR(__xludf.DUMMYFUNCTION("""COMPUTED_VALUE"""),295.0)</f>
        <v>295</v>
      </c>
      <c r="D2976" s="3">
        <f>IFERROR(__xludf.DUMMYFUNCTION("""COMPUTED_VALUE"""),22.0)</f>
        <v>22</v>
      </c>
      <c r="E2976" s="2"/>
      <c r="F2976" s="2"/>
    </row>
    <row r="2977">
      <c r="A2977" s="2">
        <f>IFERROR(__xludf.DUMMYFUNCTION("""COMPUTED_VALUE"""),117748.0)</f>
        <v>117748</v>
      </c>
      <c r="B2977" s="2">
        <f>IFERROR(__xludf.DUMMYFUNCTION("""COMPUTED_VALUE"""),1.0)</f>
        <v>1</v>
      </c>
      <c r="C2977" s="2">
        <f>IFERROR(__xludf.DUMMYFUNCTION("""COMPUTED_VALUE"""),562.0)</f>
        <v>562</v>
      </c>
      <c r="D2977" s="3">
        <f>IFERROR(__xludf.DUMMYFUNCTION("""COMPUTED_VALUE"""),394.0)</f>
        <v>394</v>
      </c>
      <c r="E2977" s="2"/>
      <c r="F2977" s="2"/>
    </row>
    <row r="2978">
      <c r="A2978" s="2">
        <f>IFERROR(__xludf.DUMMYFUNCTION("""COMPUTED_VALUE"""),1962.0)</f>
        <v>1962</v>
      </c>
      <c r="B2978" s="2">
        <f>IFERROR(__xludf.DUMMYFUNCTION("""COMPUTED_VALUE"""),0.0)</f>
        <v>0</v>
      </c>
      <c r="C2978" s="2">
        <f>IFERROR(__xludf.DUMMYFUNCTION("""COMPUTED_VALUE"""),148.0)</f>
        <v>148</v>
      </c>
      <c r="D2978" s="3">
        <f>IFERROR(__xludf.DUMMYFUNCTION("""COMPUTED_VALUE"""),62.0)</f>
        <v>62</v>
      </c>
      <c r="E2978" s="2"/>
      <c r="F2978" s="2"/>
    </row>
    <row r="2979">
      <c r="A2979" s="2">
        <f>IFERROR(__xludf.DUMMYFUNCTION("""COMPUTED_VALUE"""),109994.0)</f>
        <v>109994</v>
      </c>
      <c r="B2979" s="2">
        <f>IFERROR(__xludf.DUMMYFUNCTION("""COMPUTED_VALUE"""),0.0)</f>
        <v>0</v>
      </c>
      <c r="C2979" s="2">
        <f>IFERROR(__xludf.DUMMYFUNCTION("""COMPUTED_VALUE"""),719.0)</f>
        <v>719</v>
      </c>
      <c r="D2979" s="3">
        <f>IFERROR(__xludf.DUMMYFUNCTION("""COMPUTED_VALUE"""),596.0)</f>
        <v>596</v>
      </c>
      <c r="E2979" s="2"/>
      <c r="F2979" s="2"/>
    </row>
    <row r="2980">
      <c r="A2980" s="2">
        <f>IFERROR(__xludf.DUMMYFUNCTION("""COMPUTED_VALUE"""),69364.0)</f>
        <v>69364</v>
      </c>
      <c r="B2980" s="2">
        <f>IFERROR(__xludf.DUMMYFUNCTION("""COMPUTED_VALUE"""),1.0)</f>
        <v>1</v>
      </c>
      <c r="C2980" s="2">
        <f>IFERROR(__xludf.DUMMYFUNCTION("""COMPUTED_VALUE"""),232.0)</f>
        <v>232</v>
      </c>
      <c r="D2980" s="3">
        <f>IFERROR(__xludf.DUMMYFUNCTION("""COMPUTED_VALUE"""),55.0)</f>
        <v>55</v>
      </c>
      <c r="E2980" s="2"/>
      <c r="F2980" s="2"/>
    </row>
    <row r="2981">
      <c r="A2981" s="2">
        <f>IFERROR(__xludf.DUMMYFUNCTION("""COMPUTED_VALUE"""),69365.0)</f>
        <v>69365</v>
      </c>
      <c r="B2981" s="2">
        <f>IFERROR(__xludf.DUMMYFUNCTION("""COMPUTED_VALUE"""),1.0)</f>
        <v>1</v>
      </c>
      <c r="C2981" s="2">
        <f>IFERROR(__xludf.DUMMYFUNCTION("""COMPUTED_VALUE"""),472.0)</f>
        <v>472</v>
      </c>
      <c r="D2981" s="3">
        <f>IFERROR(__xludf.DUMMYFUNCTION("""COMPUTED_VALUE"""),455.0)</f>
        <v>455</v>
      </c>
      <c r="E2981" s="2"/>
      <c r="F2981" s="2"/>
    </row>
    <row r="2982">
      <c r="A2982" s="2">
        <f>IFERROR(__xludf.DUMMYFUNCTION("""COMPUTED_VALUE"""),46990.0)</f>
        <v>46990</v>
      </c>
      <c r="B2982" s="2">
        <f>IFERROR(__xludf.DUMMYFUNCTION("""COMPUTED_VALUE"""),0.0)</f>
        <v>0</v>
      </c>
      <c r="C2982" s="2">
        <f>IFERROR(__xludf.DUMMYFUNCTION("""COMPUTED_VALUE"""),758.0)</f>
        <v>758</v>
      </c>
      <c r="D2982" s="3">
        <f>IFERROR(__xludf.DUMMYFUNCTION("""COMPUTED_VALUE"""),10.0)</f>
        <v>10</v>
      </c>
      <c r="E2982" s="2"/>
      <c r="F2982" s="2"/>
    </row>
    <row r="2983">
      <c r="A2983" s="2">
        <f>IFERROR(__xludf.DUMMYFUNCTION("""COMPUTED_VALUE"""),11428.0)</f>
        <v>11428</v>
      </c>
      <c r="B2983" s="2">
        <f>IFERROR(__xludf.DUMMYFUNCTION("""COMPUTED_VALUE"""),1.0)</f>
        <v>1</v>
      </c>
      <c r="C2983" s="2">
        <f>IFERROR(__xludf.DUMMYFUNCTION("""COMPUTED_VALUE"""),646.0)</f>
        <v>646</v>
      </c>
      <c r="D2983" s="3">
        <f>IFERROR(__xludf.DUMMYFUNCTION("""COMPUTED_VALUE"""),192.0)</f>
        <v>192</v>
      </c>
      <c r="E2983" s="2"/>
      <c r="F2983" s="2"/>
    </row>
    <row r="2984">
      <c r="A2984" s="2">
        <f>IFERROR(__xludf.DUMMYFUNCTION("""COMPUTED_VALUE"""),122318.0)</f>
        <v>122318</v>
      </c>
      <c r="B2984" s="2">
        <f>IFERROR(__xludf.DUMMYFUNCTION("""COMPUTED_VALUE"""),0.0)</f>
        <v>0</v>
      </c>
      <c r="C2984" s="2">
        <f>IFERROR(__xludf.DUMMYFUNCTION("""COMPUTED_VALUE"""),442.0)</f>
        <v>442</v>
      </c>
      <c r="D2984" s="3">
        <f>IFERROR(__xludf.DUMMYFUNCTION("""COMPUTED_VALUE"""),47.0)</f>
        <v>47</v>
      </c>
      <c r="E2984" s="2"/>
      <c r="F2984" s="2"/>
    </row>
    <row r="2985">
      <c r="A2985" s="2">
        <f>IFERROR(__xludf.DUMMYFUNCTION("""COMPUTED_VALUE"""),182194.0)</f>
        <v>182194</v>
      </c>
      <c r="B2985" s="2">
        <f>IFERROR(__xludf.DUMMYFUNCTION("""COMPUTED_VALUE"""),0.0)</f>
        <v>0</v>
      </c>
      <c r="C2985" s="2">
        <f>IFERROR(__xludf.DUMMYFUNCTION("""COMPUTED_VALUE"""),155.0)</f>
        <v>155</v>
      </c>
      <c r="D2985" s="3">
        <f>IFERROR(__xludf.DUMMYFUNCTION("""COMPUTED_VALUE"""),150.0)</f>
        <v>150</v>
      </c>
      <c r="E2985" s="2"/>
      <c r="F2985" s="2"/>
    </row>
    <row r="2986">
      <c r="A2986" s="2">
        <f>IFERROR(__xludf.DUMMYFUNCTION("""COMPUTED_VALUE"""),147256.0)</f>
        <v>147256</v>
      </c>
      <c r="B2986" s="2">
        <f>IFERROR(__xludf.DUMMYFUNCTION("""COMPUTED_VALUE"""),0.0)</f>
        <v>0</v>
      </c>
      <c r="C2986" s="2">
        <f>IFERROR(__xludf.DUMMYFUNCTION("""COMPUTED_VALUE"""),836.0)</f>
        <v>836</v>
      </c>
      <c r="D2986" s="3">
        <f>IFERROR(__xludf.DUMMYFUNCTION("""COMPUTED_VALUE"""),333.0)</f>
        <v>333</v>
      </c>
      <c r="E2986" s="2"/>
      <c r="F2986" s="2"/>
    </row>
    <row r="2987">
      <c r="A2987" s="2">
        <f>IFERROR(__xludf.DUMMYFUNCTION("""COMPUTED_VALUE"""),5079.0)</f>
        <v>5079</v>
      </c>
      <c r="B2987" s="2">
        <f>IFERROR(__xludf.DUMMYFUNCTION("""COMPUTED_VALUE"""),1.0)</f>
        <v>1</v>
      </c>
      <c r="C2987" s="2">
        <f>IFERROR(__xludf.DUMMYFUNCTION("""COMPUTED_VALUE"""),976.0)</f>
        <v>976</v>
      </c>
      <c r="D2987" s="3">
        <f>IFERROR(__xludf.DUMMYFUNCTION("""COMPUTED_VALUE"""),884.0)</f>
        <v>884</v>
      </c>
      <c r="E2987" s="2"/>
      <c r="F2987" s="2"/>
    </row>
    <row r="2988">
      <c r="A2988" s="2">
        <f>IFERROR(__xludf.DUMMYFUNCTION("""COMPUTED_VALUE"""),92621.0)</f>
        <v>92621</v>
      </c>
      <c r="B2988" s="2">
        <f>IFERROR(__xludf.DUMMYFUNCTION("""COMPUTED_VALUE"""),0.0)</f>
        <v>0</v>
      </c>
      <c r="C2988" s="2">
        <f>IFERROR(__xludf.DUMMYFUNCTION("""COMPUTED_VALUE"""),725.0)</f>
        <v>725</v>
      </c>
      <c r="D2988" s="3">
        <f>IFERROR(__xludf.DUMMYFUNCTION("""COMPUTED_VALUE"""),145.0)</f>
        <v>145</v>
      </c>
      <c r="E2988" s="2"/>
      <c r="F2988" s="2"/>
    </row>
    <row r="2989">
      <c r="A2989" s="2">
        <f>IFERROR(__xludf.DUMMYFUNCTION("""COMPUTED_VALUE"""),11003.0)</f>
        <v>11003</v>
      </c>
      <c r="B2989" s="2">
        <f>IFERROR(__xludf.DUMMYFUNCTION("""COMPUTED_VALUE"""),0.0)</f>
        <v>0</v>
      </c>
      <c r="C2989" s="2">
        <f>IFERROR(__xludf.DUMMYFUNCTION("""COMPUTED_VALUE"""),614.0)</f>
        <v>614</v>
      </c>
      <c r="D2989" s="3">
        <f>IFERROR(__xludf.DUMMYFUNCTION("""COMPUTED_VALUE"""),180.0)</f>
        <v>180</v>
      </c>
      <c r="E2989" s="2"/>
      <c r="F2989" s="2"/>
    </row>
    <row r="2990">
      <c r="A2990" s="2">
        <f>IFERROR(__xludf.DUMMYFUNCTION("""COMPUTED_VALUE"""),117560.0)</f>
        <v>117560</v>
      </c>
      <c r="B2990" s="2">
        <f>IFERROR(__xludf.DUMMYFUNCTION("""COMPUTED_VALUE"""),1.0)</f>
        <v>1</v>
      </c>
      <c r="C2990" s="2">
        <f>IFERROR(__xludf.DUMMYFUNCTION("""COMPUTED_VALUE"""),535.0)</f>
        <v>535</v>
      </c>
      <c r="D2990" s="3">
        <f>IFERROR(__xludf.DUMMYFUNCTION("""COMPUTED_VALUE"""),320.0)</f>
        <v>320</v>
      </c>
      <c r="E2990" s="2"/>
      <c r="F2990" s="2"/>
    </row>
    <row r="2991">
      <c r="A2991" s="2">
        <f>IFERROR(__xludf.DUMMYFUNCTION("""COMPUTED_VALUE"""),188368.0)</f>
        <v>188368</v>
      </c>
      <c r="B2991" s="2">
        <f>IFERROR(__xludf.DUMMYFUNCTION("""COMPUTED_VALUE"""),0.0)</f>
        <v>0</v>
      </c>
      <c r="C2991" s="2">
        <f>IFERROR(__xludf.DUMMYFUNCTION("""COMPUTED_VALUE"""),193.0)</f>
        <v>193</v>
      </c>
      <c r="D2991" s="3">
        <f>IFERROR(__xludf.DUMMYFUNCTION("""COMPUTED_VALUE"""),69.0)</f>
        <v>69</v>
      </c>
      <c r="E2991" s="2"/>
      <c r="F2991" s="2"/>
    </row>
    <row r="2992">
      <c r="A2992" s="2">
        <f>IFERROR(__xludf.DUMMYFUNCTION("""COMPUTED_VALUE"""),124765.0)</f>
        <v>124765</v>
      </c>
      <c r="B2992" s="2">
        <f>IFERROR(__xludf.DUMMYFUNCTION("""COMPUTED_VALUE"""),0.0)</f>
        <v>0</v>
      </c>
      <c r="C2992" s="2">
        <f>IFERROR(__xludf.DUMMYFUNCTION("""COMPUTED_VALUE"""),120.0)</f>
        <v>120</v>
      </c>
      <c r="D2992" s="3">
        <f>IFERROR(__xludf.DUMMYFUNCTION("""COMPUTED_VALUE"""),62.0)</f>
        <v>62</v>
      </c>
      <c r="E2992" s="2"/>
      <c r="F2992" s="2"/>
    </row>
    <row r="2993">
      <c r="A2993" s="2">
        <f>IFERROR(__xludf.DUMMYFUNCTION("""COMPUTED_VALUE"""),8726.0)</f>
        <v>8726</v>
      </c>
      <c r="B2993" s="2">
        <f>IFERROR(__xludf.DUMMYFUNCTION("""COMPUTED_VALUE"""),1.0)</f>
        <v>1</v>
      </c>
      <c r="C2993" s="2">
        <f>IFERROR(__xludf.DUMMYFUNCTION("""COMPUTED_VALUE"""),252.0)</f>
        <v>252</v>
      </c>
      <c r="D2993" s="3">
        <f>IFERROR(__xludf.DUMMYFUNCTION("""COMPUTED_VALUE"""),186.0)</f>
        <v>186</v>
      </c>
      <c r="E2993" s="2"/>
      <c r="F2993" s="2"/>
    </row>
    <row r="2994">
      <c r="A2994" s="2">
        <f>IFERROR(__xludf.DUMMYFUNCTION("""COMPUTED_VALUE"""),118158.0)</f>
        <v>118158</v>
      </c>
      <c r="B2994" s="2">
        <f>IFERROR(__xludf.DUMMYFUNCTION("""COMPUTED_VALUE"""),0.0)</f>
        <v>0</v>
      </c>
      <c r="C2994" s="2">
        <f>IFERROR(__xludf.DUMMYFUNCTION("""COMPUTED_VALUE"""),137.0)</f>
        <v>137</v>
      </c>
      <c r="D2994" s="3">
        <f>IFERROR(__xludf.DUMMYFUNCTION("""COMPUTED_VALUE"""),100.0)</f>
        <v>100</v>
      </c>
      <c r="E2994" s="2"/>
      <c r="F2994" s="2"/>
    </row>
    <row r="2995">
      <c r="A2995" s="2">
        <f>IFERROR(__xludf.DUMMYFUNCTION("""COMPUTED_VALUE"""),121871.0)</f>
        <v>121871</v>
      </c>
      <c r="B2995" s="2">
        <f>IFERROR(__xludf.DUMMYFUNCTION("""COMPUTED_VALUE"""),1.0)</f>
        <v>1</v>
      </c>
      <c r="C2995" s="2">
        <f>IFERROR(__xludf.DUMMYFUNCTION("""COMPUTED_VALUE"""),518.0)</f>
        <v>518</v>
      </c>
      <c r="D2995" s="3">
        <f>IFERROR(__xludf.DUMMYFUNCTION("""COMPUTED_VALUE"""),83.0)</f>
        <v>83</v>
      </c>
      <c r="E2995" s="2"/>
      <c r="F2995" s="2"/>
    </row>
    <row r="2996">
      <c r="A2996" s="2">
        <f>IFERROR(__xludf.DUMMYFUNCTION("""COMPUTED_VALUE"""),121876.0)</f>
        <v>121876</v>
      </c>
      <c r="B2996" s="2">
        <f>IFERROR(__xludf.DUMMYFUNCTION("""COMPUTED_VALUE"""),1.0)</f>
        <v>1</v>
      </c>
      <c r="C2996" s="2">
        <f>IFERROR(__xludf.DUMMYFUNCTION("""COMPUTED_VALUE"""),314.0)</f>
        <v>314</v>
      </c>
      <c r="D2996" s="3">
        <f>IFERROR(__xludf.DUMMYFUNCTION("""COMPUTED_VALUE"""),148.0)</f>
        <v>148</v>
      </c>
      <c r="E2996" s="2"/>
      <c r="F2996" s="2"/>
    </row>
    <row r="2997">
      <c r="A2997" s="2">
        <f>IFERROR(__xludf.DUMMYFUNCTION("""COMPUTED_VALUE"""),121877.0)</f>
        <v>121877</v>
      </c>
      <c r="B2997" s="2">
        <f>IFERROR(__xludf.DUMMYFUNCTION("""COMPUTED_VALUE"""),1.0)</f>
        <v>1</v>
      </c>
      <c r="C2997" s="2">
        <f>IFERROR(__xludf.DUMMYFUNCTION("""COMPUTED_VALUE"""),891.0)</f>
        <v>891</v>
      </c>
      <c r="D2997" s="3">
        <f>IFERROR(__xludf.DUMMYFUNCTION("""COMPUTED_VALUE"""),662.0)</f>
        <v>662</v>
      </c>
      <c r="E2997" s="2"/>
      <c r="F2997" s="2"/>
    </row>
    <row r="2998">
      <c r="A2998" s="2">
        <f>IFERROR(__xludf.DUMMYFUNCTION("""COMPUTED_VALUE"""),121879.0)</f>
        <v>121879</v>
      </c>
      <c r="B2998" s="2">
        <f>IFERROR(__xludf.DUMMYFUNCTION("""COMPUTED_VALUE"""),0.0)</f>
        <v>0</v>
      </c>
      <c r="C2998" s="2">
        <f>IFERROR(__xludf.DUMMYFUNCTION("""COMPUTED_VALUE"""),594.0)</f>
        <v>594</v>
      </c>
      <c r="D2998" s="3">
        <f>IFERROR(__xludf.DUMMYFUNCTION("""COMPUTED_VALUE"""),474.0)</f>
        <v>474</v>
      </c>
      <c r="E2998" s="2"/>
      <c r="F2998" s="2"/>
    </row>
    <row r="2999">
      <c r="A2999" s="2">
        <f>IFERROR(__xludf.DUMMYFUNCTION("""COMPUTED_VALUE"""),121874.0)</f>
        <v>121874</v>
      </c>
      <c r="B2999" s="2">
        <f>IFERROR(__xludf.DUMMYFUNCTION("""COMPUTED_VALUE"""),1.0)</f>
        <v>1</v>
      </c>
      <c r="C2999" s="2">
        <f>IFERROR(__xludf.DUMMYFUNCTION("""COMPUTED_VALUE"""),64.0)</f>
        <v>64</v>
      </c>
      <c r="D2999" s="3">
        <f>IFERROR(__xludf.DUMMYFUNCTION("""COMPUTED_VALUE"""),41.0)</f>
        <v>41</v>
      </c>
      <c r="E2999" s="2"/>
      <c r="F2999" s="2"/>
    </row>
    <row r="3000">
      <c r="A3000" s="2">
        <f>IFERROR(__xludf.DUMMYFUNCTION("""COMPUTED_VALUE"""),121893.0)</f>
        <v>121893</v>
      </c>
      <c r="B3000" s="2">
        <f>IFERROR(__xludf.DUMMYFUNCTION("""COMPUTED_VALUE"""),1.0)</f>
        <v>1</v>
      </c>
      <c r="C3000" s="2">
        <f>IFERROR(__xludf.DUMMYFUNCTION("""COMPUTED_VALUE"""),8.0)</f>
        <v>8</v>
      </c>
      <c r="D3000" s="3">
        <f>IFERROR(__xludf.DUMMYFUNCTION("""COMPUTED_VALUE"""),1.0)</f>
        <v>1</v>
      </c>
      <c r="E3000" s="2"/>
      <c r="F3000" s="2"/>
    </row>
    <row r="3001">
      <c r="A3001" s="2">
        <f>IFERROR(__xludf.DUMMYFUNCTION("""COMPUTED_VALUE"""),121892.0)</f>
        <v>121892</v>
      </c>
      <c r="B3001" s="2">
        <f>IFERROR(__xludf.DUMMYFUNCTION("""COMPUTED_VALUE"""),0.0)</f>
        <v>0</v>
      </c>
      <c r="C3001" s="2">
        <f>IFERROR(__xludf.DUMMYFUNCTION("""COMPUTED_VALUE"""),237.0)</f>
        <v>237</v>
      </c>
      <c r="D3001" s="3">
        <f>IFERROR(__xludf.DUMMYFUNCTION("""COMPUTED_VALUE"""),112.0)</f>
        <v>112</v>
      </c>
      <c r="E3001" s="2"/>
      <c r="F3001" s="2"/>
    </row>
    <row r="3002">
      <c r="A3002" s="2">
        <f>IFERROR(__xludf.DUMMYFUNCTION("""COMPUTED_VALUE"""),102678.0)</f>
        <v>102678</v>
      </c>
      <c r="B3002" s="2">
        <f>IFERROR(__xludf.DUMMYFUNCTION("""COMPUTED_VALUE"""),0.0)</f>
        <v>0</v>
      </c>
      <c r="C3002" s="2">
        <f>IFERROR(__xludf.DUMMYFUNCTION("""COMPUTED_VALUE"""),224.0)</f>
        <v>224</v>
      </c>
      <c r="D3002" s="3">
        <f>IFERROR(__xludf.DUMMYFUNCTION("""COMPUTED_VALUE"""),9.0)</f>
        <v>9</v>
      </c>
      <c r="E3002" s="2"/>
      <c r="F3002" s="2"/>
    </row>
    <row r="3003">
      <c r="A3003" s="2">
        <f>IFERROR(__xludf.DUMMYFUNCTION("""COMPUTED_VALUE"""),121887.0)</f>
        <v>121887</v>
      </c>
      <c r="B3003" s="2">
        <f>IFERROR(__xludf.DUMMYFUNCTION("""COMPUTED_VALUE"""),0.0)</f>
        <v>0</v>
      </c>
      <c r="C3003" s="2">
        <f>IFERROR(__xludf.DUMMYFUNCTION("""COMPUTED_VALUE"""),552.0)</f>
        <v>552</v>
      </c>
      <c r="D3003" s="3">
        <f>IFERROR(__xludf.DUMMYFUNCTION("""COMPUTED_VALUE"""),98.0)</f>
        <v>98</v>
      </c>
      <c r="E3003" s="2"/>
      <c r="F3003" s="2"/>
    </row>
    <row r="3004">
      <c r="A3004" s="2">
        <f>IFERROR(__xludf.DUMMYFUNCTION("""COMPUTED_VALUE"""),21344.0)</f>
        <v>21344</v>
      </c>
      <c r="B3004" s="2">
        <f>IFERROR(__xludf.DUMMYFUNCTION("""COMPUTED_VALUE"""),0.0)</f>
        <v>0</v>
      </c>
      <c r="C3004" s="2">
        <f>IFERROR(__xludf.DUMMYFUNCTION("""COMPUTED_VALUE"""),833.0)</f>
        <v>833</v>
      </c>
      <c r="D3004" s="3">
        <f>IFERROR(__xludf.DUMMYFUNCTION("""COMPUTED_VALUE"""),211.0)</f>
        <v>211</v>
      </c>
      <c r="E3004" s="2"/>
      <c r="F3004" s="2"/>
    </row>
    <row r="3005">
      <c r="A3005" s="2">
        <f>IFERROR(__xludf.DUMMYFUNCTION("""COMPUTED_VALUE"""),121873.0)</f>
        <v>121873</v>
      </c>
      <c r="B3005" s="2">
        <f>IFERROR(__xludf.DUMMYFUNCTION("""COMPUTED_VALUE"""),0.0)</f>
        <v>0</v>
      </c>
      <c r="C3005" s="2">
        <f>IFERROR(__xludf.DUMMYFUNCTION("""COMPUTED_VALUE"""),55.0)</f>
        <v>55</v>
      </c>
      <c r="D3005" s="3">
        <f>IFERROR(__xludf.DUMMYFUNCTION("""COMPUTED_VALUE"""),11.0)</f>
        <v>11</v>
      </c>
      <c r="E3005" s="2"/>
      <c r="F3005" s="2"/>
    </row>
    <row r="3006">
      <c r="A3006" s="2">
        <f>IFERROR(__xludf.DUMMYFUNCTION("""COMPUTED_VALUE"""),108833.0)</f>
        <v>108833</v>
      </c>
      <c r="B3006" s="2">
        <f>IFERROR(__xludf.DUMMYFUNCTION("""COMPUTED_VALUE"""),0.0)</f>
        <v>0</v>
      </c>
      <c r="C3006" s="2">
        <f>IFERROR(__xludf.DUMMYFUNCTION("""COMPUTED_VALUE"""),970.0)</f>
        <v>970</v>
      </c>
      <c r="D3006" s="3">
        <f>IFERROR(__xludf.DUMMYFUNCTION("""COMPUTED_VALUE"""),764.0)</f>
        <v>764</v>
      </c>
      <c r="E3006" s="2"/>
      <c r="F3006" s="2"/>
    </row>
    <row r="3007">
      <c r="A3007" s="2">
        <f>IFERROR(__xludf.DUMMYFUNCTION("""COMPUTED_VALUE"""),121882.0)</f>
        <v>121882</v>
      </c>
      <c r="B3007" s="2">
        <f>IFERROR(__xludf.DUMMYFUNCTION("""COMPUTED_VALUE"""),0.0)</f>
        <v>0</v>
      </c>
      <c r="C3007" s="2">
        <f>IFERROR(__xludf.DUMMYFUNCTION("""COMPUTED_VALUE"""),971.0)</f>
        <v>971</v>
      </c>
      <c r="D3007" s="3">
        <f>IFERROR(__xludf.DUMMYFUNCTION("""COMPUTED_VALUE"""),491.0)</f>
        <v>491</v>
      </c>
      <c r="E3007" s="2"/>
      <c r="F3007" s="2"/>
    </row>
    <row r="3008">
      <c r="A3008" s="2">
        <f>IFERROR(__xludf.DUMMYFUNCTION("""COMPUTED_VALUE"""),91492.0)</f>
        <v>91492</v>
      </c>
      <c r="B3008" s="2">
        <f>IFERROR(__xludf.DUMMYFUNCTION("""COMPUTED_VALUE"""),0.0)</f>
        <v>0</v>
      </c>
      <c r="C3008" s="2">
        <f>IFERROR(__xludf.DUMMYFUNCTION("""COMPUTED_VALUE"""),418.0)</f>
        <v>418</v>
      </c>
      <c r="D3008" s="3">
        <f>IFERROR(__xludf.DUMMYFUNCTION("""COMPUTED_VALUE"""),417.0)</f>
        <v>417</v>
      </c>
      <c r="E3008" s="2"/>
      <c r="F3008" s="2"/>
    </row>
    <row r="3009">
      <c r="A3009" s="2">
        <f>IFERROR(__xludf.DUMMYFUNCTION("""COMPUTED_VALUE"""),111392.0)</f>
        <v>111392</v>
      </c>
      <c r="B3009" s="2">
        <f>IFERROR(__xludf.DUMMYFUNCTION("""COMPUTED_VALUE"""),1.0)</f>
        <v>1</v>
      </c>
      <c r="C3009" s="2">
        <f>IFERROR(__xludf.DUMMYFUNCTION("""COMPUTED_VALUE"""),851.0)</f>
        <v>851</v>
      </c>
      <c r="D3009" s="3">
        <f>IFERROR(__xludf.DUMMYFUNCTION("""COMPUTED_VALUE"""),717.0)</f>
        <v>717</v>
      </c>
      <c r="E3009" s="2"/>
      <c r="F3009" s="2"/>
    </row>
    <row r="3010">
      <c r="A3010" s="2">
        <f>IFERROR(__xludf.DUMMYFUNCTION("""COMPUTED_VALUE"""),108835.0)</f>
        <v>108835</v>
      </c>
      <c r="B3010" s="2">
        <f>IFERROR(__xludf.DUMMYFUNCTION("""COMPUTED_VALUE"""),1.0)</f>
        <v>1</v>
      </c>
      <c r="C3010" s="2">
        <f>IFERROR(__xludf.DUMMYFUNCTION("""COMPUTED_VALUE"""),467.0)</f>
        <v>467</v>
      </c>
      <c r="D3010" s="3">
        <f>IFERROR(__xludf.DUMMYFUNCTION("""COMPUTED_VALUE"""),422.0)</f>
        <v>422</v>
      </c>
      <c r="E3010" s="2"/>
      <c r="F3010" s="2"/>
    </row>
    <row r="3011">
      <c r="A3011" s="2">
        <f>IFERROR(__xludf.DUMMYFUNCTION("""COMPUTED_VALUE"""),118111.0)</f>
        <v>118111</v>
      </c>
      <c r="B3011" s="2">
        <f>IFERROR(__xludf.DUMMYFUNCTION("""COMPUTED_VALUE"""),0.0)</f>
        <v>0</v>
      </c>
      <c r="C3011" s="2">
        <f>IFERROR(__xludf.DUMMYFUNCTION("""COMPUTED_VALUE"""),310.0)</f>
        <v>310</v>
      </c>
      <c r="D3011" s="3">
        <f>IFERROR(__xludf.DUMMYFUNCTION("""COMPUTED_VALUE"""),276.0)</f>
        <v>276</v>
      </c>
      <c r="E3011" s="2"/>
      <c r="F3011" s="2"/>
    </row>
    <row r="3012">
      <c r="A3012" s="2">
        <f>IFERROR(__xludf.DUMMYFUNCTION("""COMPUTED_VALUE"""),121872.0)</f>
        <v>121872</v>
      </c>
      <c r="B3012" s="2">
        <f>IFERROR(__xludf.DUMMYFUNCTION("""COMPUTED_VALUE"""),0.0)</f>
        <v>0</v>
      </c>
      <c r="C3012" s="2">
        <f>IFERROR(__xludf.DUMMYFUNCTION("""COMPUTED_VALUE"""),597.0)</f>
        <v>597</v>
      </c>
      <c r="D3012" s="3">
        <f>IFERROR(__xludf.DUMMYFUNCTION("""COMPUTED_VALUE"""),412.0)</f>
        <v>412</v>
      </c>
      <c r="E3012" s="2"/>
      <c r="F3012" s="2"/>
    </row>
    <row r="3013">
      <c r="A3013" s="2">
        <f>IFERROR(__xludf.DUMMYFUNCTION("""COMPUTED_VALUE"""),112885.0)</f>
        <v>112885</v>
      </c>
      <c r="B3013" s="2">
        <f>IFERROR(__xludf.DUMMYFUNCTION("""COMPUTED_VALUE"""),1.0)</f>
        <v>1</v>
      </c>
      <c r="C3013" s="2">
        <f>IFERROR(__xludf.DUMMYFUNCTION("""COMPUTED_VALUE"""),700.0)</f>
        <v>700</v>
      </c>
      <c r="D3013" s="3">
        <f>IFERROR(__xludf.DUMMYFUNCTION("""COMPUTED_VALUE"""),185.0)</f>
        <v>185</v>
      </c>
      <c r="E3013" s="2"/>
      <c r="F3013" s="2"/>
    </row>
    <row r="3014">
      <c r="A3014" s="2">
        <f>IFERROR(__xludf.DUMMYFUNCTION("""COMPUTED_VALUE"""),108738.0)</f>
        <v>108738</v>
      </c>
      <c r="B3014" s="2">
        <f>IFERROR(__xludf.DUMMYFUNCTION("""COMPUTED_VALUE"""),1.0)</f>
        <v>1</v>
      </c>
      <c r="C3014" s="2">
        <f>IFERROR(__xludf.DUMMYFUNCTION("""COMPUTED_VALUE"""),789.0)</f>
        <v>789</v>
      </c>
      <c r="D3014" s="3">
        <f>IFERROR(__xludf.DUMMYFUNCTION("""COMPUTED_VALUE"""),636.0)</f>
        <v>636</v>
      </c>
      <c r="E3014" s="2"/>
      <c r="F3014" s="2"/>
    </row>
    <row r="3015">
      <c r="A3015" s="2">
        <f>IFERROR(__xludf.DUMMYFUNCTION("""COMPUTED_VALUE"""),21338.0)</f>
        <v>21338</v>
      </c>
      <c r="B3015" s="2">
        <f>IFERROR(__xludf.DUMMYFUNCTION("""COMPUTED_VALUE"""),1.0)</f>
        <v>1</v>
      </c>
      <c r="C3015" s="2">
        <f>IFERROR(__xludf.DUMMYFUNCTION("""COMPUTED_VALUE"""),820.0)</f>
        <v>820</v>
      </c>
      <c r="D3015" s="3">
        <f>IFERROR(__xludf.DUMMYFUNCTION("""COMPUTED_VALUE"""),492.0)</f>
        <v>492</v>
      </c>
      <c r="E3015" s="2"/>
      <c r="F3015" s="2"/>
    </row>
    <row r="3016">
      <c r="A3016" s="2">
        <f>IFERROR(__xludf.DUMMYFUNCTION("""COMPUTED_VALUE"""),76513.0)</f>
        <v>76513</v>
      </c>
      <c r="B3016" s="2">
        <f>IFERROR(__xludf.DUMMYFUNCTION("""COMPUTED_VALUE"""),0.0)</f>
        <v>0</v>
      </c>
      <c r="C3016" s="2">
        <f>IFERROR(__xludf.DUMMYFUNCTION("""COMPUTED_VALUE"""),923.0)</f>
        <v>923</v>
      </c>
      <c r="D3016" s="3">
        <f>IFERROR(__xludf.DUMMYFUNCTION("""COMPUTED_VALUE"""),544.0)</f>
        <v>544</v>
      </c>
      <c r="E3016" s="2"/>
      <c r="F3016" s="2"/>
    </row>
    <row r="3017">
      <c r="A3017" s="2">
        <f>IFERROR(__xludf.DUMMYFUNCTION("""COMPUTED_VALUE"""),76514.0)</f>
        <v>76514</v>
      </c>
      <c r="B3017" s="2">
        <f>IFERROR(__xludf.DUMMYFUNCTION("""COMPUTED_VALUE"""),0.0)</f>
        <v>0</v>
      </c>
      <c r="C3017" s="2">
        <f>IFERROR(__xludf.DUMMYFUNCTION("""COMPUTED_VALUE"""),557.0)</f>
        <v>557</v>
      </c>
      <c r="D3017" s="3">
        <f>IFERROR(__xludf.DUMMYFUNCTION("""COMPUTED_VALUE"""),412.0)</f>
        <v>412</v>
      </c>
      <c r="E3017" s="2"/>
      <c r="F3017" s="2"/>
    </row>
    <row r="3018">
      <c r="A3018" s="2">
        <f>IFERROR(__xludf.DUMMYFUNCTION("""COMPUTED_VALUE"""),21339.0)</f>
        <v>21339</v>
      </c>
      <c r="B3018" s="2">
        <f>IFERROR(__xludf.DUMMYFUNCTION("""COMPUTED_VALUE"""),1.0)</f>
        <v>1</v>
      </c>
      <c r="C3018" s="2">
        <f>IFERROR(__xludf.DUMMYFUNCTION("""COMPUTED_VALUE"""),625.0)</f>
        <v>625</v>
      </c>
      <c r="D3018" s="3">
        <f>IFERROR(__xludf.DUMMYFUNCTION("""COMPUTED_VALUE"""),546.0)</f>
        <v>546</v>
      </c>
      <c r="E3018" s="2"/>
      <c r="F3018" s="2"/>
    </row>
    <row r="3019">
      <c r="A3019" s="2">
        <f>IFERROR(__xludf.DUMMYFUNCTION("""COMPUTED_VALUE"""),75436.0)</f>
        <v>75436</v>
      </c>
      <c r="B3019" s="2">
        <f>IFERROR(__xludf.DUMMYFUNCTION("""COMPUTED_VALUE"""),1.0)</f>
        <v>1</v>
      </c>
      <c r="C3019" s="2">
        <f>IFERROR(__xludf.DUMMYFUNCTION("""COMPUTED_VALUE"""),734.0)</f>
        <v>734</v>
      </c>
      <c r="D3019" s="3">
        <f>IFERROR(__xludf.DUMMYFUNCTION("""COMPUTED_VALUE"""),177.0)</f>
        <v>177</v>
      </c>
      <c r="E3019" s="2"/>
      <c r="F3019" s="2"/>
    </row>
    <row r="3020">
      <c r="A3020" s="2">
        <f>IFERROR(__xludf.DUMMYFUNCTION("""COMPUTED_VALUE"""),84092.0)</f>
        <v>84092</v>
      </c>
      <c r="B3020" s="2">
        <f>IFERROR(__xludf.DUMMYFUNCTION("""COMPUTED_VALUE"""),0.0)</f>
        <v>0</v>
      </c>
      <c r="C3020" s="2">
        <f>IFERROR(__xludf.DUMMYFUNCTION("""COMPUTED_VALUE"""),470.0)</f>
        <v>470</v>
      </c>
      <c r="D3020" s="3">
        <f>IFERROR(__xludf.DUMMYFUNCTION("""COMPUTED_VALUE"""),403.0)</f>
        <v>403</v>
      </c>
      <c r="E3020" s="2"/>
      <c r="F3020" s="2"/>
    </row>
    <row r="3021">
      <c r="A3021" s="2">
        <f>IFERROR(__xludf.DUMMYFUNCTION("""COMPUTED_VALUE"""),86943.0)</f>
        <v>86943</v>
      </c>
      <c r="B3021" s="2">
        <f>IFERROR(__xludf.DUMMYFUNCTION("""COMPUTED_VALUE"""),0.0)</f>
        <v>0</v>
      </c>
      <c r="C3021" s="2">
        <f>IFERROR(__xludf.DUMMYFUNCTION("""COMPUTED_VALUE"""),209.0)</f>
        <v>209</v>
      </c>
      <c r="D3021" s="3">
        <f>IFERROR(__xludf.DUMMYFUNCTION("""COMPUTED_VALUE"""),167.0)</f>
        <v>167</v>
      </c>
      <c r="E3021" s="2"/>
      <c r="F3021" s="2"/>
    </row>
    <row r="3022">
      <c r="A3022" s="2">
        <f>IFERROR(__xludf.DUMMYFUNCTION("""COMPUTED_VALUE"""),8688.0)</f>
        <v>8688</v>
      </c>
      <c r="B3022" s="2">
        <f>IFERROR(__xludf.DUMMYFUNCTION("""COMPUTED_VALUE"""),1.0)</f>
        <v>1</v>
      </c>
      <c r="C3022" s="2">
        <f>IFERROR(__xludf.DUMMYFUNCTION("""COMPUTED_VALUE"""),727.0)</f>
        <v>727</v>
      </c>
      <c r="D3022" s="3">
        <f>IFERROR(__xludf.DUMMYFUNCTION("""COMPUTED_VALUE"""),539.0)</f>
        <v>539</v>
      </c>
      <c r="E3022" s="2"/>
      <c r="F3022" s="2"/>
    </row>
    <row r="3023">
      <c r="A3023" s="2">
        <f>IFERROR(__xludf.DUMMYFUNCTION("""COMPUTED_VALUE"""),117967.0)</f>
        <v>117967</v>
      </c>
      <c r="B3023" s="2">
        <f>IFERROR(__xludf.DUMMYFUNCTION("""COMPUTED_VALUE"""),1.0)</f>
        <v>1</v>
      </c>
      <c r="C3023" s="2">
        <f>IFERROR(__xludf.DUMMYFUNCTION("""COMPUTED_VALUE"""),415.0)</f>
        <v>415</v>
      </c>
      <c r="D3023" s="3">
        <f>IFERROR(__xludf.DUMMYFUNCTION("""COMPUTED_VALUE"""),166.0)</f>
        <v>166</v>
      </c>
      <c r="E3023" s="2"/>
      <c r="F3023" s="2"/>
    </row>
    <row r="3024">
      <c r="A3024" s="2">
        <f>IFERROR(__xludf.DUMMYFUNCTION("""COMPUTED_VALUE"""),23061.0)</f>
        <v>23061</v>
      </c>
      <c r="B3024" s="2">
        <f>IFERROR(__xludf.DUMMYFUNCTION("""COMPUTED_VALUE"""),0.0)</f>
        <v>0</v>
      </c>
      <c r="C3024" s="2">
        <f>IFERROR(__xludf.DUMMYFUNCTION("""COMPUTED_VALUE"""),207.0)</f>
        <v>207</v>
      </c>
      <c r="D3024" s="3">
        <f>IFERROR(__xludf.DUMMYFUNCTION("""COMPUTED_VALUE"""),6.0)</f>
        <v>6</v>
      </c>
      <c r="E3024" s="2"/>
      <c r="F3024" s="2"/>
    </row>
    <row r="3025">
      <c r="A3025" s="2">
        <f>IFERROR(__xludf.DUMMYFUNCTION("""COMPUTED_VALUE"""),10688.0)</f>
        <v>10688</v>
      </c>
      <c r="B3025" s="2">
        <f>IFERROR(__xludf.DUMMYFUNCTION("""COMPUTED_VALUE"""),1.0)</f>
        <v>1</v>
      </c>
      <c r="C3025" s="2">
        <f>IFERROR(__xludf.DUMMYFUNCTION("""COMPUTED_VALUE"""),617.0)</f>
        <v>617</v>
      </c>
      <c r="D3025" s="3">
        <f>IFERROR(__xludf.DUMMYFUNCTION("""COMPUTED_VALUE"""),419.0)</f>
        <v>419</v>
      </c>
      <c r="E3025" s="2"/>
      <c r="F3025" s="2"/>
    </row>
    <row r="3026">
      <c r="A3026" s="2">
        <f>IFERROR(__xludf.DUMMYFUNCTION("""COMPUTED_VALUE"""),8690.0)</f>
        <v>8690</v>
      </c>
      <c r="B3026" s="2">
        <f>IFERROR(__xludf.DUMMYFUNCTION("""COMPUTED_VALUE"""),1.0)</f>
        <v>1</v>
      </c>
      <c r="C3026" s="2">
        <f>IFERROR(__xludf.DUMMYFUNCTION("""COMPUTED_VALUE"""),122.0)</f>
        <v>122</v>
      </c>
      <c r="D3026" s="3">
        <f>IFERROR(__xludf.DUMMYFUNCTION("""COMPUTED_VALUE"""),96.0)</f>
        <v>96</v>
      </c>
      <c r="E3026" s="2"/>
      <c r="F3026" s="2"/>
    </row>
    <row r="3027">
      <c r="A3027" s="2">
        <f>IFERROR(__xludf.DUMMYFUNCTION("""COMPUTED_VALUE"""),79808.0)</f>
        <v>79808</v>
      </c>
      <c r="B3027" s="2">
        <f>IFERROR(__xludf.DUMMYFUNCTION("""COMPUTED_VALUE"""),1.0)</f>
        <v>1</v>
      </c>
      <c r="C3027" s="2">
        <f>IFERROR(__xludf.DUMMYFUNCTION("""COMPUTED_VALUE"""),28.0)</f>
        <v>28</v>
      </c>
      <c r="D3027" s="3">
        <f>IFERROR(__xludf.DUMMYFUNCTION("""COMPUTED_VALUE"""),18.0)</f>
        <v>18</v>
      </c>
      <c r="E3027" s="2"/>
      <c r="F3027" s="2"/>
    </row>
    <row r="3028">
      <c r="A3028" s="2">
        <f>IFERROR(__xludf.DUMMYFUNCTION("""COMPUTED_VALUE"""),44797.0)</f>
        <v>44797</v>
      </c>
      <c r="B3028" s="2">
        <f>IFERROR(__xludf.DUMMYFUNCTION("""COMPUTED_VALUE"""),1.0)</f>
        <v>1</v>
      </c>
      <c r="C3028" s="2">
        <f>IFERROR(__xludf.DUMMYFUNCTION("""COMPUTED_VALUE"""),335.0)</f>
        <v>335</v>
      </c>
      <c r="D3028" s="3">
        <f>IFERROR(__xludf.DUMMYFUNCTION("""COMPUTED_VALUE"""),305.0)</f>
        <v>305</v>
      </c>
      <c r="E3028" s="2"/>
      <c r="F3028" s="2"/>
    </row>
    <row r="3029">
      <c r="A3029" s="2">
        <f>IFERROR(__xludf.DUMMYFUNCTION("""COMPUTED_VALUE"""),79807.0)</f>
        <v>79807</v>
      </c>
      <c r="B3029" s="2">
        <f>IFERROR(__xludf.DUMMYFUNCTION("""COMPUTED_VALUE"""),0.0)</f>
        <v>0</v>
      </c>
      <c r="C3029" s="2">
        <f>IFERROR(__xludf.DUMMYFUNCTION("""COMPUTED_VALUE"""),25.0)</f>
        <v>25</v>
      </c>
      <c r="D3029" s="3">
        <f>IFERROR(__xludf.DUMMYFUNCTION("""COMPUTED_VALUE"""),5.0)</f>
        <v>5</v>
      </c>
      <c r="E3029" s="2"/>
      <c r="F3029" s="2"/>
    </row>
    <row r="3030">
      <c r="A3030" s="2">
        <f>IFERROR(__xludf.DUMMYFUNCTION("""COMPUTED_VALUE"""),11426.0)</f>
        <v>11426</v>
      </c>
      <c r="B3030" s="2">
        <f>IFERROR(__xludf.DUMMYFUNCTION("""COMPUTED_VALUE"""),0.0)</f>
        <v>0</v>
      </c>
      <c r="C3030" s="2">
        <f>IFERROR(__xludf.DUMMYFUNCTION("""COMPUTED_VALUE"""),540.0)</f>
        <v>540</v>
      </c>
      <c r="D3030" s="3">
        <f>IFERROR(__xludf.DUMMYFUNCTION("""COMPUTED_VALUE"""),204.0)</f>
        <v>204</v>
      </c>
      <c r="E3030" s="2"/>
      <c r="F3030" s="2"/>
    </row>
    <row r="3031">
      <c r="A3031" s="2">
        <f>IFERROR(__xludf.DUMMYFUNCTION("""COMPUTED_VALUE"""),45059.0)</f>
        <v>45059</v>
      </c>
      <c r="B3031" s="2">
        <f>IFERROR(__xludf.DUMMYFUNCTION("""COMPUTED_VALUE"""),1.0)</f>
        <v>1</v>
      </c>
      <c r="C3031" s="2">
        <f>IFERROR(__xludf.DUMMYFUNCTION("""COMPUTED_VALUE"""),270.0)</f>
        <v>270</v>
      </c>
      <c r="D3031" s="3">
        <f>IFERROR(__xludf.DUMMYFUNCTION("""COMPUTED_VALUE"""),244.0)</f>
        <v>244</v>
      </c>
      <c r="E3031" s="2"/>
      <c r="F3031" s="2"/>
    </row>
    <row r="3032">
      <c r="A3032" s="2">
        <f>IFERROR(__xludf.DUMMYFUNCTION("""COMPUTED_VALUE"""),200582.0)</f>
        <v>200582</v>
      </c>
      <c r="B3032" s="2">
        <f>IFERROR(__xludf.DUMMYFUNCTION("""COMPUTED_VALUE"""),1.0)</f>
        <v>1</v>
      </c>
      <c r="C3032" s="2">
        <f>IFERROR(__xludf.DUMMYFUNCTION("""COMPUTED_VALUE"""),287.0)</f>
        <v>287</v>
      </c>
      <c r="D3032" s="3">
        <f>IFERROR(__xludf.DUMMYFUNCTION("""COMPUTED_VALUE"""),214.0)</f>
        <v>214</v>
      </c>
      <c r="E3032" s="2"/>
      <c r="F3032" s="2"/>
    </row>
    <row r="3033">
      <c r="A3033" s="2">
        <f>IFERROR(__xludf.DUMMYFUNCTION("""COMPUTED_VALUE"""),143825.0)</f>
        <v>143825</v>
      </c>
      <c r="B3033" s="2">
        <f>IFERROR(__xludf.DUMMYFUNCTION("""COMPUTED_VALUE"""),0.0)</f>
        <v>0</v>
      </c>
      <c r="C3033" s="2">
        <f>IFERROR(__xludf.DUMMYFUNCTION("""COMPUTED_VALUE"""),385.0)</f>
        <v>385</v>
      </c>
      <c r="D3033" s="3">
        <f>IFERROR(__xludf.DUMMYFUNCTION("""COMPUTED_VALUE"""),303.0)</f>
        <v>303</v>
      </c>
      <c r="E3033" s="2"/>
      <c r="F3033" s="2"/>
    </row>
    <row r="3034">
      <c r="A3034" s="2">
        <f>IFERROR(__xludf.DUMMYFUNCTION("""COMPUTED_VALUE"""),85232.0)</f>
        <v>85232</v>
      </c>
      <c r="B3034" s="2">
        <f>IFERROR(__xludf.DUMMYFUNCTION("""COMPUTED_VALUE"""),0.0)</f>
        <v>0</v>
      </c>
      <c r="C3034" s="2">
        <f>IFERROR(__xludf.DUMMYFUNCTION("""COMPUTED_VALUE"""),314.0)</f>
        <v>314</v>
      </c>
      <c r="D3034" s="3">
        <f>IFERROR(__xludf.DUMMYFUNCTION("""COMPUTED_VALUE"""),119.0)</f>
        <v>119</v>
      </c>
      <c r="E3034" s="2"/>
      <c r="F3034" s="2"/>
    </row>
    <row r="3035">
      <c r="A3035" s="2">
        <f>IFERROR(__xludf.DUMMYFUNCTION("""COMPUTED_VALUE"""),79806.0)</f>
        <v>79806</v>
      </c>
      <c r="B3035" s="2">
        <f>IFERROR(__xludf.DUMMYFUNCTION("""COMPUTED_VALUE"""),0.0)</f>
        <v>0</v>
      </c>
      <c r="C3035" s="2">
        <f>IFERROR(__xludf.DUMMYFUNCTION("""COMPUTED_VALUE"""),773.0)</f>
        <v>773</v>
      </c>
      <c r="D3035" s="3">
        <f>IFERROR(__xludf.DUMMYFUNCTION("""COMPUTED_VALUE"""),456.0)</f>
        <v>456</v>
      </c>
      <c r="E3035" s="2"/>
      <c r="F3035" s="2"/>
    </row>
    <row r="3036">
      <c r="A3036" s="2">
        <f>IFERROR(__xludf.DUMMYFUNCTION("""COMPUTED_VALUE"""),46991.0)</f>
        <v>46991</v>
      </c>
      <c r="B3036" s="2">
        <f>IFERROR(__xludf.DUMMYFUNCTION("""COMPUTED_VALUE"""),0.0)</f>
        <v>0</v>
      </c>
      <c r="C3036" s="2">
        <f>IFERROR(__xludf.DUMMYFUNCTION("""COMPUTED_VALUE"""),106.0)</f>
        <v>106</v>
      </c>
      <c r="D3036" s="3">
        <f>IFERROR(__xludf.DUMMYFUNCTION("""COMPUTED_VALUE"""),37.0)</f>
        <v>37</v>
      </c>
      <c r="E3036" s="2"/>
      <c r="F3036" s="2"/>
    </row>
    <row r="3037">
      <c r="A3037" s="2">
        <f>IFERROR(__xludf.DUMMYFUNCTION("""COMPUTED_VALUE"""),69360.0)</f>
        <v>69360</v>
      </c>
      <c r="B3037" s="2">
        <f>IFERROR(__xludf.DUMMYFUNCTION("""COMPUTED_VALUE"""),1.0)</f>
        <v>1</v>
      </c>
      <c r="C3037" s="2">
        <f>IFERROR(__xludf.DUMMYFUNCTION("""COMPUTED_VALUE"""),375.0)</f>
        <v>375</v>
      </c>
      <c r="D3037" s="3">
        <f>IFERROR(__xludf.DUMMYFUNCTION("""COMPUTED_VALUE"""),32.0)</f>
        <v>32</v>
      </c>
      <c r="E3037" s="2"/>
      <c r="F3037" s="2"/>
    </row>
    <row r="3038">
      <c r="A3038" s="2">
        <f>IFERROR(__xludf.DUMMYFUNCTION("""COMPUTED_VALUE"""),110441.0)</f>
        <v>110441</v>
      </c>
      <c r="B3038" s="2">
        <f>IFERROR(__xludf.DUMMYFUNCTION("""COMPUTED_VALUE"""),1.0)</f>
        <v>1</v>
      </c>
      <c r="C3038" s="2">
        <f>IFERROR(__xludf.DUMMYFUNCTION("""COMPUTED_VALUE"""),606.0)</f>
        <v>606</v>
      </c>
      <c r="D3038" s="3">
        <f>IFERROR(__xludf.DUMMYFUNCTION("""COMPUTED_VALUE"""),56.0)</f>
        <v>56</v>
      </c>
      <c r="E3038" s="2"/>
      <c r="F3038" s="2"/>
    </row>
    <row r="3039">
      <c r="A3039" s="2">
        <f>IFERROR(__xludf.DUMMYFUNCTION("""COMPUTED_VALUE"""),120781.0)</f>
        <v>120781</v>
      </c>
      <c r="B3039" s="2">
        <f>IFERROR(__xludf.DUMMYFUNCTION("""COMPUTED_VALUE"""),1.0)</f>
        <v>1</v>
      </c>
      <c r="C3039" s="2">
        <f>IFERROR(__xludf.DUMMYFUNCTION("""COMPUTED_VALUE"""),708.0)</f>
        <v>708</v>
      </c>
      <c r="D3039" s="3">
        <f>IFERROR(__xludf.DUMMYFUNCTION("""COMPUTED_VALUE"""),331.0)</f>
        <v>331</v>
      </c>
      <c r="E3039" s="2"/>
      <c r="F3039" s="2"/>
    </row>
    <row r="3040">
      <c r="A3040" s="2">
        <f>IFERROR(__xludf.DUMMYFUNCTION("""COMPUTED_VALUE"""),79809.0)</f>
        <v>79809</v>
      </c>
      <c r="B3040" s="2">
        <f>IFERROR(__xludf.DUMMYFUNCTION("""COMPUTED_VALUE"""),1.0)</f>
        <v>1</v>
      </c>
      <c r="C3040" s="2">
        <f>IFERROR(__xludf.DUMMYFUNCTION("""COMPUTED_VALUE"""),287.0)</f>
        <v>287</v>
      </c>
      <c r="D3040" s="3">
        <f>IFERROR(__xludf.DUMMYFUNCTION("""COMPUTED_VALUE"""),152.0)</f>
        <v>152</v>
      </c>
      <c r="E3040" s="2"/>
      <c r="F3040" s="2"/>
    </row>
    <row r="3041">
      <c r="A3041" s="2">
        <f>IFERROR(__xludf.DUMMYFUNCTION("""COMPUTED_VALUE"""),45057.0)</f>
        <v>45057</v>
      </c>
      <c r="B3041" s="2">
        <f>IFERROR(__xludf.DUMMYFUNCTION("""COMPUTED_VALUE"""),1.0)</f>
        <v>1</v>
      </c>
      <c r="C3041" s="2">
        <f>IFERROR(__xludf.DUMMYFUNCTION("""COMPUTED_VALUE"""),892.0)</f>
        <v>892</v>
      </c>
      <c r="D3041" s="3">
        <f>IFERROR(__xludf.DUMMYFUNCTION("""COMPUTED_VALUE"""),676.0)</f>
        <v>676</v>
      </c>
      <c r="E3041" s="2"/>
      <c r="F3041" s="2"/>
    </row>
    <row r="3042">
      <c r="A3042" s="2">
        <f>IFERROR(__xludf.DUMMYFUNCTION("""COMPUTED_VALUE"""),79805.0)</f>
        <v>79805</v>
      </c>
      <c r="B3042" s="2">
        <f>IFERROR(__xludf.DUMMYFUNCTION("""COMPUTED_VALUE"""),1.0)</f>
        <v>1</v>
      </c>
      <c r="C3042" s="2">
        <f>IFERROR(__xludf.DUMMYFUNCTION("""COMPUTED_VALUE"""),227.0)</f>
        <v>227</v>
      </c>
      <c r="D3042" s="3">
        <f>IFERROR(__xludf.DUMMYFUNCTION("""COMPUTED_VALUE"""),194.0)</f>
        <v>194</v>
      </c>
      <c r="E3042" s="2"/>
      <c r="F3042" s="2"/>
    </row>
    <row r="3043">
      <c r="A3043" s="2">
        <f>IFERROR(__xludf.DUMMYFUNCTION("""COMPUTED_VALUE"""),45707.0)</f>
        <v>45707</v>
      </c>
      <c r="B3043" s="2">
        <f>IFERROR(__xludf.DUMMYFUNCTION("""COMPUTED_VALUE"""),1.0)</f>
        <v>1</v>
      </c>
      <c r="C3043" s="2">
        <f>IFERROR(__xludf.DUMMYFUNCTION("""COMPUTED_VALUE"""),222.0)</f>
        <v>222</v>
      </c>
      <c r="D3043" s="3">
        <f>IFERROR(__xludf.DUMMYFUNCTION("""COMPUTED_VALUE"""),90.0)</f>
        <v>90</v>
      </c>
      <c r="E3043" s="2"/>
      <c r="F3043" s="2"/>
    </row>
    <row r="3044">
      <c r="A3044" s="2">
        <f>IFERROR(__xludf.DUMMYFUNCTION("""COMPUTED_VALUE"""),117282.0)</f>
        <v>117282</v>
      </c>
      <c r="B3044" s="2">
        <f>IFERROR(__xludf.DUMMYFUNCTION("""COMPUTED_VALUE"""),1.0)</f>
        <v>1</v>
      </c>
      <c r="C3044" s="2">
        <f>IFERROR(__xludf.DUMMYFUNCTION("""COMPUTED_VALUE"""),227.0)</f>
        <v>227</v>
      </c>
      <c r="D3044" s="3">
        <f>IFERROR(__xludf.DUMMYFUNCTION("""COMPUTED_VALUE"""),155.0)</f>
        <v>155</v>
      </c>
      <c r="E3044" s="2"/>
      <c r="F3044" s="2"/>
    </row>
    <row r="3045">
      <c r="A3045" s="2">
        <f>IFERROR(__xludf.DUMMYFUNCTION("""COMPUTED_VALUE"""),30503.0)</f>
        <v>30503</v>
      </c>
      <c r="B3045" s="2">
        <f>IFERROR(__xludf.DUMMYFUNCTION("""COMPUTED_VALUE"""),1.0)</f>
        <v>1</v>
      </c>
      <c r="C3045" s="2">
        <f>IFERROR(__xludf.DUMMYFUNCTION("""COMPUTED_VALUE"""),767.0)</f>
        <v>767</v>
      </c>
      <c r="D3045" s="3">
        <f>IFERROR(__xludf.DUMMYFUNCTION("""COMPUTED_VALUE"""),36.0)</f>
        <v>36</v>
      </c>
      <c r="E3045" s="2"/>
      <c r="F3045" s="2"/>
    </row>
    <row r="3046">
      <c r="A3046" s="2">
        <f>IFERROR(__xludf.DUMMYFUNCTION("""COMPUTED_VALUE"""),187336.0)</f>
        <v>187336</v>
      </c>
      <c r="B3046" s="2">
        <f>IFERROR(__xludf.DUMMYFUNCTION("""COMPUTED_VALUE"""),1.0)</f>
        <v>1</v>
      </c>
      <c r="C3046" s="2">
        <f>IFERROR(__xludf.DUMMYFUNCTION("""COMPUTED_VALUE"""),111.0)</f>
        <v>111</v>
      </c>
      <c r="D3046" s="3">
        <f>IFERROR(__xludf.DUMMYFUNCTION("""COMPUTED_VALUE"""),4.0)</f>
        <v>4</v>
      </c>
      <c r="E3046" s="2"/>
      <c r="F3046" s="2"/>
    </row>
    <row r="3047">
      <c r="A3047" s="2">
        <f>IFERROR(__xludf.DUMMYFUNCTION("""COMPUTED_VALUE"""),82427.0)</f>
        <v>82427</v>
      </c>
      <c r="B3047" s="2">
        <f>IFERROR(__xludf.DUMMYFUNCTION("""COMPUTED_VALUE"""),1.0)</f>
        <v>1</v>
      </c>
      <c r="C3047" s="2">
        <f>IFERROR(__xludf.DUMMYFUNCTION("""COMPUTED_VALUE"""),399.0)</f>
        <v>399</v>
      </c>
      <c r="D3047" s="3">
        <f>IFERROR(__xludf.DUMMYFUNCTION("""COMPUTED_VALUE"""),88.0)</f>
        <v>88</v>
      </c>
      <c r="E3047" s="2"/>
      <c r="F3047" s="2"/>
    </row>
    <row r="3048">
      <c r="A3048" s="2">
        <f>IFERROR(__xludf.DUMMYFUNCTION("""COMPUTED_VALUE"""),11000.0)</f>
        <v>11000</v>
      </c>
      <c r="B3048" s="2">
        <f>IFERROR(__xludf.DUMMYFUNCTION("""COMPUTED_VALUE"""),0.0)</f>
        <v>0</v>
      </c>
      <c r="C3048" s="2">
        <f>IFERROR(__xludf.DUMMYFUNCTION("""COMPUTED_VALUE"""),49.0)</f>
        <v>49</v>
      </c>
      <c r="D3048" s="3">
        <f>IFERROR(__xludf.DUMMYFUNCTION("""COMPUTED_VALUE"""),6.0)</f>
        <v>6</v>
      </c>
      <c r="E3048" s="2"/>
      <c r="F3048" s="2"/>
    </row>
    <row r="3049">
      <c r="A3049" s="2">
        <f>IFERROR(__xludf.DUMMYFUNCTION("""COMPUTED_VALUE"""),117274.0)</f>
        <v>117274</v>
      </c>
      <c r="B3049" s="2">
        <f>IFERROR(__xludf.DUMMYFUNCTION("""COMPUTED_VALUE"""),0.0)</f>
        <v>0</v>
      </c>
      <c r="C3049" s="2">
        <f>IFERROR(__xludf.DUMMYFUNCTION("""COMPUTED_VALUE"""),153.0)</f>
        <v>153</v>
      </c>
      <c r="D3049" s="3">
        <f>IFERROR(__xludf.DUMMYFUNCTION("""COMPUTED_VALUE"""),62.0)</f>
        <v>62</v>
      </c>
      <c r="E3049" s="2"/>
      <c r="F3049" s="2"/>
    </row>
    <row r="3050">
      <c r="A3050" s="2">
        <f>IFERROR(__xludf.DUMMYFUNCTION("""COMPUTED_VALUE"""),117445.0)</f>
        <v>117445</v>
      </c>
      <c r="B3050" s="2">
        <f>IFERROR(__xludf.DUMMYFUNCTION("""COMPUTED_VALUE"""),1.0)</f>
        <v>1</v>
      </c>
      <c r="C3050" s="2">
        <f>IFERROR(__xludf.DUMMYFUNCTION("""COMPUTED_VALUE"""),735.0)</f>
        <v>735</v>
      </c>
      <c r="D3050" s="3">
        <f>IFERROR(__xludf.DUMMYFUNCTION("""COMPUTED_VALUE"""),572.0)</f>
        <v>572</v>
      </c>
      <c r="E3050" s="2"/>
      <c r="F3050" s="2"/>
    </row>
    <row r="3051">
      <c r="A3051" s="2">
        <f>IFERROR(__xludf.DUMMYFUNCTION("""COMPUTED_VALUE"""),103246.0)</f>
        <v>103246</v>
      </c>
      <c r="B3051" s="2">
        <f>IFERROR(__xludf.DUMMYFUNCTION("""COMPUTED_VALUE"""),0.0)</f>
        <v>0</v>
      </c>
      <c r="C3051" s="2">
        <f>IFERROR(__xludf.DUMMYFUNCTION("""COMPUTED_VALUE"""),282.0)</f>
        <v>282</v>
      </c>
      <c r="D3051" s="3">
        <f>IFERROR(__xludf.DUMMYFUNCTION("""COMPUTED_VALUE"""),185.0)</f>
        <v>185</v>
      </c>
      <c r="E3051" s="2"/>
      <c r="F3051" s="2"/>
    </row>
    <row r="3052">
      <c r="A3052" s="2">
        <f>IFERROR(__xludf.DUMMYFUNCTION("""COMPUTED_VALUE"""),92626.0)</f>
        <v>92626</v>
      </c>
      <c r="B3052" s="2">
        <f>IFERROR(__xludf.DUMMYFUNCTION("""COMPUTED_VALUE"""),1.0)</f>
        <v>1</v>
      </c>
      <c r="C3052" s="2">
        <f>IFERROR(__xludf.DUMMYFUNCTION("""COMPUTED_VALUE"""),151.0)</f>
        <v>151</v>
      </c>
      <c r="D3052" s="3">
        <f>IFERROR(__xludf.DUMMYFUNCTION("""COMPUTED_VALUE"""),138.0)</f>
        <v>138</v>
      </c>
      <c r="E3052" s="2"/>
      <c r="F3052" s="2"/>
    </row>
    <row r="3053">
      <c r="A3053" s="2">
        <f>IFERROR(__xludf.DUMMYFUNCTION("""COMPUTED_VALUE"""),79352.0)</f>
        <v>79352</v>
      </c>
      <c r="B3053" s="2">
        <f>IFERROR(__xludf.DUMMYFUNCTION("""COMPUTED_VALUE"""),0.0)</f>
        <v>0</v>
      </c>
      <c r="C3053" s="2">
        <f>IFERROR(__xludf.DUMMYFUNCTION("""COMPUTED_VALUE"""),9.0)</f>
        <v>9</v>
      </c>
      <c r="D3053" s="3">
        <f>IFERROR(__xludf.DUMMYFUNCTION("""COMPUTED_VALUE"""),4.0)</f>
        <v>4</v>
      </c>
      <c r="E3053" s="2"/>
      <c r="F3053" s="2"/>
    </row>
    <row r="3054">
      <c r="A3054" s="2">
        <f>IFERROR(__xludf.DUMMYFUNCTION("""COMPUTED_VALUE"""),128315.0)</f>
        <v>128315</v>
      </c>
      <c r="B3054" s="2">
        <f>IFERROR(__xludf.DUMMYFUNCTION("""COMPUTED_VALUE"""),1.0)</f>
        <v>1</v>
      </c>
      <c r="C3054" s="2">
        <f>IFERROR(__xludf.DUMMYFUNCTION("""COMPUTED_VALUE"""),506.0)</f>
        <v>506</v>
      </c>
      <c r="D3054" s="3">
        <f>IFERROR(__xludf.DUMMYFUNCTION("""COMPUTED_VALUE"""),97.0)</f>
        <v>97</v>
      </c>
      <c r="E3054" s="2"/>
      <c r="F3054" s="2"/>
    </row>
    <row r="3055">
      <c r="A3055" s="2">
        <f>IFERROR(__xludf.DUMMYFUNCTION("""COMPUTED_VALUE"""),117272.0)</f>
        <v>117272</v>
      </c>
      <c r="B3055" s="2">
        <f>IFERROR(__xludf.DUMMYFUNCTION("""COMPUTED_VALUE"""),1.0)</f>
        <v>1</v>
      </c>
      <c r="C3055" s="2">
        <f>IFERROR(__xludf.DUMMYFUNCTION("""COMPUTED_VALUE"""),783.0)</f>
        <v>783</v>
      </c>
      <c r="D3055" s="3">
        <f>IFERROR(__xludf.DUMMYFUNCTION("""COMPUTED_VALUE"""),402.0)</f>
        <v>402</v>
      </c>
      <c r="E3055" s="2"/>
      <c r="F3055" s="2"/>
    </row>
    <row r="3056">
      <c r="A3056" s="2">
        <f>IFERROR(__xludf.DUMMYFUNCTION("""COMPUTED_VALUE"""),116770.0)</f>
        <v>116770</v>
      </c>
      <c r="B3056" s="2">
        <f>IFERROR(__xludf.DUMMYFUNCTION("""COMPUTED_VALUE"""),1.0)</f>
        <v>1</v>
      </c>
      <c r="C3056" s="2">
        <f>IFERROR(__xludf.DUMMYFUNCTION("""COMPUTED_VALUE"""),354.0)</f>
        <v>354</v>
      </c>
      <c r="D3056" s="3">
        <f>IFERROR(__xludf.DUMMYFUNCTION("""COMPUTED_VALUE"""),124.0)</f>
        <v>124</v>
      </c>
      <c r="E3056" s="2"/>
      <c r="F3056" s="2"/>
    </row>
    <row r="3057">
      <c r="A3057" s="2">
        <f>IFERROR(__xludf.DUMMYFUNCTION("""COMPUTED_VALUE"""),118012.0)</f>
        <v>118012</v>
      </c>
      <c r="B3057" s="2">
        <f>IFERROR(__xludf.DUMMYFUNCTION("""COMPUTED_VALUE"""),1.0)</f>
        <v>1</v>
      </c>
      <c r="C3057" s="2">
        <f>IFERROR(__xludf.DUMMYFUNCTION("""COMPUTED_VALUE"""),513.0)</f>
        <v>513</v>
      </c>
      <c r="D3057" s="3">
        <f>IFERROR(__xludf.DUMMYFUNCTION("""COMPUTED_VALUE"""),375.0)</f>
        <v>375</v>
      </c>
      <c r="E3057" s="2"/>
      <c r="F3057" s="2"/>
    </row>
    <row r="3058">
      <c r="A3058" s="2">
        <f>IFERROR(__xludf.DUMMYFUNCTION("""COMPUTED_VALUE"""),117306.0)</f>
        <v>117306</v>
      </c>
      <c r="B3058" s="2">
        <f>IFERROR(__xludf.DUMMYFUNCTION("""COMPUTED_VALUE"""),0.0)</f>
        <v>0</v>
      </c>
      <c r="C3058" s="2">
        <f>IFERROR(__xludf.DUMMYFUNCTION("""COMPUTED_VALUE"""),820.0)</f>
        <v>820</v>
      </c>
      <c r="D3058" s="3">
        <f>IFERROR(__xludf.DUMMYFUNCTION("""COMPUTED_VALUE"""),438.0)</f>
        <v>438</v>
      </c>
      <c r="E3058" s="2"/>
      <c r="F3058" s="2"/>
    </row>
    <row r="3059">
      <c r="A3059" s="2">
        <f>IFERROR(__xludf.DUMMYFUNCTION("""COMPUTED_VALUE"""),117056.0)</f>
        <v>117056</v>
      </c>
      <c r="B3059" s="2">
        <f>IFERROR(__xludf.DUMMYFUNCTION("""COMPUTED_VALUE"""),1.0)</f>
        <v>1</v>
      </c>
      <c r="C3059" s="2">
        <f>IFERROR(__xludf.DUMMYFUNCTION("""COMPUTED_VALUE"""),407.0)</f>
        <v>407</v>
      </c>
      <c r="D3059" s="3">
        <f>IFERROR(__xludf.DUMMYFUNCTION("""COMPUTED_VALUE"""),342.0)</f>
        <v>342</v>
      </c>
      <c r="E3059" s="2"/>
      <c r="F3059" s="2"/>
    </row>
    <row r="3060">
      <c r="A3060" s="2">
        <f>IFERROR(__xludf.DUMMYFUNCTION("""COMPUTED_VALUE"""),188066.0)</f>
        <v>188066</v>
      </c>
      <c r="B3060" s="2">
        <f>IFERROR(__xludf.DUMMYFUNCTION("""COMPUTED_VALUE"""),1.0)</f>
        <v>1</v>
      </c>
      <c r="C3060" s="2">
        <f>IFERROR(__xludf.DUMMYFUNCTION("""COMPUTED_VALUE"""),329.0)</f>
        <v>329</v>
      </c>
      <c r="D3060" s="3">
        <f>IFERROR(__xludf.DUMMYFUNCTION("""COMPUTED_VALUE"""),214.0)</f>
        <v>214</v>
      </c>
      <c r="E3060" s="2"/>
      <c r="F3060" s="2"/>
    </row>
    <row r="3061">
      <c r="A3061" s="2">
        <f>IFERROR(__xludf.DUMMYFUNCTION("""COMPUTED_VALUE"""),181147.0)</f>
        <v>181147</v>
      </c>
      <c r="B3061" s="2">
        <f>IFERROR(__xludf.DUMMYFUNCTION("""COMPUTED_VALUE"""),1.0)</f>
        <v>1</v>
      </c>
      <c r="C3061" s="2">
        <f>IFERROR(__xludf.DUMMYFUNCTION("""COMPUTED_VALUE"""),426.0)</f>
        <v>426</v>
      </c>
      <c r="D3061" s="3">
        <f>IFERROR(__xludf.DUMMYFUNCTION("""COMPUTED_VALUE"""),97.0)</f>
        <v>97</v>
      </c>
      <c r="E3061" s="2"/>
      <c r="F3061" s="2"/>
    </row>
    <row r="3062">
      <c r="A3062" s="2">
        <f>IFERROR(__xludf.DUMMYFUNCTION("""COMPUTED_VALUE"""),79917.0)</f>
        <v>79917</v>
      </c>
      <c r="B3062" s="2">
        <f>IFERROR(__xludf.DUMMYFUNCTION("""COMPUTED_VALUE"""),1.0)</f>
        <v>1</v>
      </c>
      <c r="C3062" s="2">
        <f>IFERROR(__xludf.DUMMYFUNCTION("""COMPUTED_VALUE"""),434.0)</f>
        <v>434</v>
      </c>
      <c r="D3062" s="3">
        <f>IFERROR(__xludf.DUMMYFUNCTION("""COMPUTED_VALUE"""),268.0)</f>
        <v>268</v>
      </c>
      <c r="E3062" s="2"/>
      <c r="F3062" s="2"/>
    </row>
    <row r="3063">
      <c r="A3063" s="2">
        <f>IFERROR(__xludf.DUMMYFUNCTION("""COMPUTED_VALUE"""),110282.0)</f>
        <v>110282</v>
      </c>
      <c r="B3063" s="2">
        <f>IFERROR(__xludf.DUMMYFUNCTION("""COMPUTED_VALUE"""),0.0)</f>
        <v>0</v>
      </c>
      <c r="C3063" s="2">
        <f>IFERROR(__xludf.DUMMYFUNCTION("""COMPUTED_VALUE"""),85.0)</f>
        <v>85</v>
      </c>
      <c r="D3063" s="3">
        <f>IFERROR(__xludf.DUMMYFUNCTION("""COMPUTED_VALUE"""),31.0)</f>
        <v>31</v>
      </c>
      <c r="E3063" s="2"/>
      <c r="F3063" s="2"/>
    </row>
    <row r="3064">
      <c r="A3064" s="2">
        <f>IFERROR(__xludf.DUMMYFUNCTION("""COMPUTED_VALUE"""),200526.0)</f>
        <v>200526</v>
      </c>
      <c r="B3064" s="2">
        <f>IFERROR(__xludf.DUMMYFUNCTION("""COMPUTED_VALUE"""),1.0)</f>
        <v>1</v>
      </c>
      <c r="C3064" s="2">
        <f>IFERROR(__xludf.DUMMYFUNCTION("""COMPUTED_VALUE"""),35.0)</f>
        <v>35</v>
      </c>
      <c r="D3064" s="3">
        <f>IFERROR(__xludf.DUMMYFUNCTION("""COMPUTED_VALUE"""),5.0)</f>
        <v>5</v>
      </c>
      <c r="E3064" s="2"/>
      <c r="F3064" s="2"/>
    </row>
    <row r="3065">
      <c r="A3065" s="2">
        <f>IFERROR(__xludf.DUMMYFUNCTION("""COMPUTED_VALUE"""),193197.0)</f>
        <v>193197</v>
      </c>
      <c r="B3065" s="2">
        <f>IFERROR(__xludf.DUMMYFUNCTION("""COMPUTED_VALUE"""),0.0)</f>
        <v>0</v>
      </c>
      <c r="C3065" s="2">
        <f>IFERROR(__xludf.DUMMYFUNCTION("""COMPUTED_VALUE"""),51.0)</f>
        <v>51</v>
      </c>
      <c r="D3065" s="3">
        <f>IFERROR(__xludf.DUMMYFUNCTION("""COMPUTED_VALUE"""),32.0)</f>
        <v>32</v>
      </c>
      <c r="E3065" s="2"/>
      <c r="F3065" s="2"/>
    </row>
    <row r="3066">
      <c r="A3066" s="2">
        <f>IFERROR(__xludf.DUMMYFUNCTION("""COMPUTED_VALUE"""),79820.0)</f>
        <v>79820</v>
      </c>
      <c r="B3066" s="2">
        <f>IFERROR(__xludf.DUMMYFUNCTION("""COMPUTED_VALUE"""),1.0)</f>
        <v>1</v>
      </c>
      <c r="C3066" s="2">
        <f>IFERROR(__xludf.DUMMYFUNCTION("""COMPUTED_VALUE"""),882.0)</f>
        <v>882</v>
      </c>
      <c r="D3066" s="3">
        <f>IFERROR(__xludf.DUMMYFUNCTION("""COMPUTED_VALUE"""),280.0)</f>
        <v>280</v>
      </c>
      <c r="E3066" s="2"/>
      <c r="F3066" s="2"/>
    </row>
    <row r="3067">
      <c r="A3067" s="2">
        <f>IFERROR(__xludf.DUMMYFUNCTION("""COMPUTED_VALUE"""),122327.0)</f>
        <v>122327</v>
      </c>
      <c r="B3067" s="2">
        <f>IFERROR(__xludf.DUMMYFUNCTION("""COMPUTED_VALUE"""),1.0)</f>
        <v>1</v>
      </c>
      <c r="C3067" s="2">
        <f>IFERROR(__xludf.DUMMYFUNCTION("""COMPUTED_VALUE"""),545.0)</f>
        <v>545</v>
      </c>
      <c r="D3067" s="3">
        <f>IFERROR(__xludf.DUMMYFUNCTION("""COMPUTED_VALUE"""),326.0)</f>
        <v>326</v>
      </c>
      <c r="E3067" s="2"/>
      <c r="F3067" s="2"/>
    </row>
    <row r="3068">
      <c r="A3068" s="2">
        <f>IFERROR(__xludf.DUMMYFUNCTION("""COMPUTED_VALUE"""),117956.0)</f>
        <v>117956</v>
      </c>
      <c r="B3068" s="2">
        <f>IFERROR(__xludf.DUMMYFUNCTION("""COMPUTED_VALUE"""),0.0)</f>
        <v>0</v>
      </c>
      <c r="C3068" s="2">
        <f>IFERROR(__xludf.DUMMYFUNCTION("""COMPUTED_VALUE"""),37.0)</f>
        <v>37</v>
      </c>
      <c r="D3068" s="3">
        <f>IFERROR(__xludf.DUMMYFUNCTION("""COMPUTED_VALUE"""),31.0)</f>
        <v>31</v>
      </c>
      <c r="E3068" s="2"/>
      <c r="F3068" s="2"/>
    </row>
    <row r="3069">
      <c r="A3069" s="2">
        <f>IFERROR(__xludf.DUMMYFUNCTION("""COMPUTED_VALUE"""),86182.0)</f>
        <v>86182</v>
      </c>
      <c r="B3069" s="2">
        <f>IFERROR(__xludf.DUMMYFUNCTION("""COMPUTED_VALUE"""),1.0)</f>
        <v>1</v>
      </c>
      <c r="C3069" s="2">
        <f>IFERROR(__xludf.DUMMYFUNCTION("""COMPUTED_VALUE"""),387.0)</f>
        <v>387</v>
      </c>
      <c r="D3069" s="3">
        <f>IFERROR(__xludf.DUMMYFUNCTION("""COMPUTED_VALUE"""),177.0)</f>
        <v>177</v>
      </c>
      <c r="E3069" s="2"/>
      <c r="F3069" s="2"/>
    </row>
    <row r="3070">
      <c r="A3070" s="2">
        <f>IFERROR(__xludf.DUMMYFUNCTION("""COMPUTED_VALUE"""),46989.0)</f>
        <v>46989</v>
      </c>
      <c r="B3070" s="2">
        <f>IFERROR(__xludf.DUMMYFUNCTION("""COMPUTED_VALUE"""),1.0)</f>
        <v>1</v>
      </c>
      <c r="C3070" s="2">
        <f>IFERROR(__xludf.DUMMYFUNCTION("""COMPUTED_VALUE"""),799.0)</f>
        <v>799</v>
      </c>
      <c r="D3070" s="3">
        <f>IFERROR(__xludf.DUMMYFUNCTION("""COMPUTED_VALUE"""),55.0)</f>
        <v>55</v>
      </c>
      <c r="E3070" s="2"/>
      <c r="F3070" s="2"/>
    </row>
    <row r="3071">
      <c r="A3071" s="2">
        <f>IFERROR(__xludf.DUMMYFUNCTION("""COMPUTED_VALUE"""),46976.0)</f>
        <v>46976</v>
      </c>
      <c r="B3071" s="2">
        <f>IFERROR(__xludf.DUMMYFUNCTION("""COMPUTED_VALUE"""),0.0)</f>
        <v>0</v>
      </c>
      <c r="C3071" s="2">
        <f>IFERROR(__xludf.DUMMYFUNCTION("""COMPUTED_VALUE"""),333.0)</f>
        <v>333</v>
      </c>
      <c r="D3071" s="3">
        <f>IFERROR(__xludf.DUMMYFUNCTION("""COMPUTED_VALUE"""),274.0)</f>
        <v>274</v>
      </c>
      <c r="E3071" s="2"/>
      <c r="F3071" s="2"/>
    </row>
    <row r="3072">
      <c r="A3072" s="2">
        <f>IFERROR(__xludf.DUMMYFUNCTION("""COMPUTED_VALUE"""),79354.0)</f>
        <v>79354</v>
      </c>
      <c r="B3072" s="2">
        <f>IFERROR(__xludf.DUMMYFUNCTION("""COMPUTED_VALUE"""),0.0)</f>
        <v>0</v>
      </c>
      <c r="C3072" s="2">
        <f>IFERROR(__xludf.DUMMYFUNCTION("""COMPUTED_VALUE"""),302.0)</f>
        <v>302</v>
      </c>
      <c r="D3072" s="3">
        <f>IFERROR(__xludf.DUMMYFUNCTION("""COMPUTED_VALUE"""),88.0)</f>
        <v>88</v>
      </c>
      <c r="E3072" s="2"/>
      <c r="F3072" s="2"/>
    </row>
    <row r="3073">
      <c r="A3073" s="2">
        <f>IFERROR(__xludf.DUMMYFUNCTION("""COMPUTED_VALUE"""),114268.0)</f>
        <v>114268</v>
      </c>
      <c r="B3073" s="2">
        <f>IFERROR(__xludf.DUMMYFUNCTION("""COMPUTED_VALUE"""),1.0)</f>
        <v>1</v>
      </c>
      <c r="C3073" s="2">
        <f>IFERROR(__xludf.DUMMYFUNCTION("""COMPUTED_VALUE"""),203.0)</f>
        <v>203</v>
      </c>
      <c r="D3073" s="3">
        <f>IFERROR(__xludf.DUMMYFUNCTION("""COMPUTED_VALUE"""),133.0)</f>
        <v>133</v>
      </c>
      <c r="E3073" s="2"/>
      <c r="F3073" s="2"/>
    </row>
    <row r="3074">
      <c r="A3074" s="2">
        <f>IFERROR(__xludf.DUMMYFUNCTION("""COMPUTED_VALUE"""),10685.0)</f>
        <v>10685</v>
      </c>
      <c r="B3074" s="2">
        <f>IFERROR(__xludf.DUMMYFUNCTION("""COMPUTED_VALUE"""),0.0)</f>
        <v>0</v>
      </c>
      <c r="C3074" s="2">
        <f>IFERROR(__xludf.DUMMYFUNCTION("""COMPUTED_VALUE"""),162.0)</f>
        <v>162</v>
      </c>
      <c r="D3074" s="3">
        <f>IFERROR(__xludf.DUMMYFUNCTION("""COMPUTED_VALUE"""),24.0)</f>
        <v>24</v>
      </c>
      <c r="E3074" s="2"/>
      <c r="F3074" s="2"/>
    </row>
    <row r="3075">
      <c r="A3075" s="2">
        <f>IFERROR(__xludf.DUMMYFUNCTION("""COMPUTED_VALUE"""),118157.0)</f>
        <v>118157</v>
      </c>
      <c r="B3075" s="2">
        <f>IFERROR(__xludf.DUMMYFUNCTION("""COMPUTED_VALUE"""),1.0)</f>
        <v>1</v>
      </c>
      <c r="C3075" s="2">
        <f>IFERROR(__xludf.DUMMYFUNCTION("""COMPUTED_VALUE"""),861.0)</f>
        <v>861</v>
      </c>
      <c r="D3075" s="3">
        <f>IFERROR(__xludf.DUMMYFUNCTION("""COMPUTED_VALUE"""),157.0)</f>
        <v>157</v>
      </c>
      <c r="E3075" s="2"/>
      <c r="F3075" s="2"/>
    </row>
    <row r="3076">
      <c r="A3076" s="2">
        <f>IFERROR(__xludf.DUMMYFUNCTION("""COMPUTED_VALUE"""),122322.0)</f>
        <v>122322</v>
      </c>
      <c r="B3076" s="2">
        <f>IFERROR(__xludf.DUMMYFUNCTION("""COMPUTED_VALUE"""),0.0)</f>
        <v>0</v>
      </c>
      <c r="C3076" s="2">
        <f>IFERROR(__xludf.DUMMYFUNCTION("""COMPUTED_VALUE"""),78.0)</f>
        <v>78</v>
      </c>
      <c r="D3076" s="3">
        <f>IFERROR(__xludf.DUMMYFUNCTION("""COMPUTED_VALUE"""),13.0)</f>
        <v>13</v>
      </c>
      <c r="E3076" s="2"/>
      <c r="F3076" s="2"/>
    </row>
    <row r="3077">
      <c r="A3077" s="2">
        <f>IFERROR(__xludf.DUMMYFUNCTION("""COMPUTED_VALUE"""),27509.0)</f>
        <v>27509</v>
      </c>
      <c r="B3077" s="2">
        <f>IFERROR(__xludf.DUMMYFUNCTION("""COMPUTED_VALUE"""),1.0)</f>
        <v>1</v>
      </c>
      <c r="C3077" s="2">
        <f>IFERROR(__xludf.DUMMYFUNCTION("""COMPUTED_VALUE"""),658.0)</f>
        <v>658</v>
      </c>
      <c r="D3077" s="3">
        <f>IFERROR(__xludf.DUMMYFUNCTION("""COMPUTED_VALUE"""),136.0)</f>
        <v>136</v>
      </c>
      <c r="E3077" s="2"/>
      <c r="F3077" s="2"/>
    </row>
    <row r="3078">
      <c r="A3078" s="2">
        <f>IFERROR(__xludf.DUMMYFUNCTION("""COMPUTED_VALUE"""),110852.0)</f>
        <v>110852</v>
      </c>
      <c r="B3078" s="2">
        <f>IFERROR(__xludf.DUMMYFUNCTION("""COMPUTED_VALUE"""),1.0)</f>
        <v>1</v>
      </c>
      <c r="C3078" s="2">
        <f>IFERROR(__xludf.DUMMYFUNCTION("""COMPUTED_VALUE"""),98.0)</f>
        <v>98</v>
      </c>
      <c r="D3078" s="3">
        <f>IFERROR(__xludf.DUMMYFUNCTION("""COMPUTED_VALUE"""),64.0)</f>
        <v>64</v>
      </c>
      <c r="E3078" s="2"/>
      <c r="F3078" s="2"/>
    </row>
    <row r="3079">
      <c r="A3079" s="2">
        <f>IFERROR(__xludf.DUMMYFUNCTION("""COMPUTED_VALUE"""),128312.0)</f>
        <v>128312</v>
      </c>
      <c r="B3079" s="2">
        <f>IFERROR(__xludf.DUMMYFUNCTION("""COMPUTED_VALUE"""),0.0)</f>
        <v>0</v>
      </c>
      <c r="C3079" s="2">
        <f>IFERROR(__xludf.DUMMYFUNCTION("""COMPUTED_VALUE"""),576.0)</f>
        <v>576</v>
      </c>
      <c r="D3079" s="3">
        <f>IFERROR(__xludf.DUMMYFUNCTION("""COMPUTED_VALUE"""),484.0)</f>
        <v>484</v>
      </c>
      <c r="E3079" s="2"/>
      <c r="F3079" s="2"/>
    </row>
    <row r="3080">
      <c r="A3080" s="2">
        <f>IFERROR(__xludf.DUMMYFUNCTION("""COMPUTED_VALUE"""),79355.0)</f>
        <v>79355</v>
      </c>
      <c r="B3080" s="2">
        <f>IFERROR(__xludf.DUMMYFUNCTION("""COMPUTED_VALUE"""),1.0)</f>
        <v>1</v>
      </c>
      <c r="C3080" s="2">
        <f>IFERROR(__xludf.DUMMYFUNCTION("""COMPUTED_VALUE"""),492.0)</f>
        <v>492</v>
      </c>
      <c r="D3080" s="3">
        <f>IFERROR(__xludf.DUMMYFUNCTION("""COMPUTED_VALUE"""),144.0)</f>
        <v>144</v>
      </c>
      <c r="E3080" s="2"/>
      <c r="F3080" s="2"/>
    </row>
    <row r="3081">
      <c r="A3081" s="2">
        <f>IFERROR(__xludf.DUMMYFUNCTION("""COMPUTED_VALUE"""),86185.0)</f>
        <v>86185</v>
      </c>
      <c r="B3081" s="2">
        <f>IFERROR(__xludf.DUMMYFUNCTION("""COMPUTED_VALUE"""),0.0)</f>
        <v>0</v>
      </c>
      <c r="C3081" s="2">
        <f>IFERROR(__xludf.DUMMYFUNCTION("""COMPUTED_VALUE"""),289.0)</f>
        <v>289</v>
      </c>
      <c r="D3081" s="3">
        <f>IFERROR(__xludf.DUMMYFUNCTION("""COMPUTED_VALUE"""),128.0)</f>
        <v>128</v>
      </c>
      <c r="E3081" s="2"/>
      <c r="F3081" s="2"/>
    </row>
    <row r="3082">
      <c r="A3082" s="2">
        <f>IFERROR(__xludf.DUMMYFUNCTION("""COMPUTED_VALUE"""),77138.0)</f>
        <v>77138</v>
      </c>
      <c r="B3082" s="2">
        <f>IFERROR(__xludf.DUMMYFUNCTION("""COMPUTED_VALUE"""),0.0)</f>
        <v>0</v>
      </c>
      <c r="C3082" s="2">
        <f>IFERROR(__xludf.DUMMYFUNCTION("""COMPUTED_VALUE"""),171.0)</f>
        <v>171</v>
      </c>
      <c r="D3082" s="3">
        <f>IFERROR(__xludf.DUMMYFUNCTION("""COMPUTED_VALUE"""),109.0)</f>
        <v>109</v>
      </c>
      <c r="E3082" s="2"/>
      <c r="F3082" s="2"/>
    </row>
    <row r="3083">
      <c r="A3083" s="2">
        <f>IFERROR(__xludf.DUMMYFUNCTION("""COMPUTED_VALUE"""),86183.0)</f>
        <v>86183</v>
      </c>
      <c r="B3083" s="2">
        <f>IFERROR(__xludf.DUMMYFUNCTION("""COMPUTED_VALUE"""),0.0)</f>
        <v>0</v>
      </c>
      <c r="C3083" s="2">
        <f>IFERROR(__xludf.DUMMYFUNCTION("""COMPUTED_VALUE"""),873.0)</f>
        <v>873</v>
      </c>
      <c r="D3083" s="3">
        <f>IFERROR(__xludf.DUMMYFUNCTION("""COMPUTED_VALUE"""),151.0)</f>
        <v>151</v>
      </c>
      <c r="E3083" s="2"/>
      <c r="F3083" s="2"/>
    </row>
    <row r="3084">
      <c r="A3084" s="2">
        <f>IFERROR(__xludf.DUMMYFUNCTION("""COMPUTED_VALUE"""),122595.0)</f>
        <v>122595</v>
      </c>
      <c r="B3084" s="2">
        <f>IFERROR(__xludf.DUMMYFUNCTION("""COMPUTED_VALUE"""),1.0)</f>
        <v>1</v>
      </c>
      <c r="C3084" s="2">
        <f>IFERROR(__xludf.DUMMYFUNCTION("""COMPUTED_VALUE"""),668.0)</f>
        <v>668</v>
      </c>
      <c r="D3084" s="3">
        <f>IFERROR(__xludf.DUMMYFUNCTION("""COMPUTED_VALUE"""),58.0)</f>
        <v>58</v>
      </c>
      <c r="E3084" s="2"/>
      <c r="F3084" s="2"/>
    </row>
    <row r="3085">
      <c r="A3085" s="2">
        <f>IFERROR(__xludf.DUMMYFUNCTION("""COMPUTED_VALUE"""),70338.0)</f>
        <v>70338</v>
      </c>
      <c r="B3085" s="2">
        <f>IFERROR(__xludf.DUMMYFUNCTION("""COMPUTED_VALUE"""),1.0)</f>
        <v>1</v>
      </c>
      <c r="C3085" s="2">
        <f>IFERROR(__xludf.DUMMYFUNCTION("""COMPUTED_VALUE"""),985.0)</f>
        <v>985</v>
      </c>
      <c r="D3085" s="3">
        <f>IFERROR(__xludf.DUMMYFUNCTION("""COMPUTED_VALUE"""),377.0)</f>
        <v>377</v>
      </c>
      <c r="E3085" s="2"/>
      <c r="F3085" s="2"/>
    </row>
    <row r="3086">
      <c r="A3086" s="2">
        <f>IFERROR(__xludf.DUMMYFUNCTION("""COMPUTED_VALUE"""),114273.0)</f>
        <v>114273</v>
      </c>
      <c r="B3086" s="2">
        <f>IFERROR(__xludf.DUMMYFUNCTION("""COMPUTED_VALUE"""),1.0)</f>
        <v>1</v>
      </c>
      <c r="C3086" s="2">
        <f>IFERROR(__xludf.DUMMYFUNCTION("""COMPUTED_VALUE"""),53.0)</f>
        <v>53</v>
      </c>
      <c r="D3086" s="3">
        <f>IFERROR(__xludf.DUMMYFUNCTION("""COMPUTED_VALUE"""),3.0)</f>
        <v>3</v>
      </c>
      <c r="E3086" s="2"/>
      <c r="F3086" s="2"/>
    </row>
    <row r="3087">
      <c r="A3087" s="2">
        <f>IFERROR(__xludf.DUMMYFUNCTION("""COMPUTED_VALUE"""),110849.0)</f>
        <v>110849</v>
      </c>
      <c r="B3087" s="2">
        <f>IFERROR(__xludf.DUMMYFUNCTION("""COMPUTED_VALUE"""),1.0)</f>
        <v>1</v>
      </c>
      <c r="C3087" s="2">
        <f>IFERROR(__xludf.DUMMYFUNCTION("""COMPUTED_VALUE"""),560.0)</f>
        <v>560</v>
      </c>
      <c r="D3087" s="3">
        <f>IFERROR(__xludf.DUMMYFUNCTION("""COMPUTED_VALUE"""),499.0)</f>
        <v>499</v>
      </c>
      <c r="E3087" s="2"/>
      <c r="F3087" s="2"/>
    </row>
    <row r="3088">
      <c r="A3088" s="2">
        <f>IFERROR(__xludf.DUMMYFUNCTION("""COMPUTED_VALUE"""),45056.0)</f>
        <v>45056</v>
      </c>
      <c r="B3088" s="2">
        <f>IFERROR(__xludf.DUMMYFUNCTION("""COMPUTED_VALUE"""),1.0)</f>
        <v>1</v>
      </c>
      <c r="C3088" s="2">
        <f>IFERROR(__xludf.DUMMYFUNCTION("""COMPUTED_VALUE"""),932.0)</f>
        <v>932</v>
      </c>
      <c r="D3088" s="3">
        <f>IFERROR(__xludf.DUMMYFUNCTION("""COMPUTED_VALUE"""),70.0)</f>
        <v>70</v>
      </c>
      <c r="E3088" s="2"/>
      <c r="F3088" s="2"/>
    </row>
    <row r="3089">
      <c r="A3089" s="2">
        <f>IFERROR(__xludf.DUMMYFUNCTION("""COMPUTED_VALUE"""),92633.0)</f>
        <v>92633</v>
      </c>
      <c r="B3089" s="2">
        <f>IFERROR(__xludf.DUMMYFUNCTION("""COMPUTED_VALUE"""),1.0)</f>
        <v>1</v>
      </c>
      <c r="C3089" s="2">
        <f>IFERROR(__xludf.DUMMYFUNCTION("""COMPUTED_VALUE"""),330.0)</f>
        <v>330</v>
      </c>
      <c r="D3089" s="3">
        <f>IFERROR(__xludf.DUMMYFUNCTION("""COMPUTED_VALUE"""),251.0)</f>
        <v>251</v>
      </c>
      <c r="E3089" s="2"/>
      <c r="F3089" s="2"/>
    </row>
    <row r="3090">
      <c r="A3090" s="2">
        <f>IFERROR(__xludf.DUMMYFUNCTION("""COMPUTED_VALUE"""),111011.0)</f>
        <v>111011</v>
      </c>
      <c r="B3090" s="2">
        <f>IFERROR(__xludf.DUMMYFUNCTION("""COMPUTED_VALUE"""),0.0)</f>
        <v>0</v>
      </c>
      <c r="C3090" s="2">
        <f>IFERROR(__xludf.DUMMYFUNCTION("""COMPUTED_VALUE"""),896.0)</f>
        <v>896</v>
      </c>
      <c r="D3090" s="3">
        <f>IFERROR(__xludf.DUMMYFUNCTION("""COMPUTED_VALUE"""),241.0)</f>
        <v>241</v>
      </c>
      <c r="E3090" s="2"/>
      <c r="F3090" s="2"/>
    </row>
    <row r="3091">
      <c r="A3091" s="2">
        <f>IFERROR(__xludf.DUMMYFUNCTION("""COMPUTED_VALUE"""),11002.0)</f>
        <v>11002</v>
      </c>
      <c r="B3091" s="2">
        <f>IFERROR(__xludf.DUMMYFUNCTION("""COMPUTED_VALUE"""),0.0)</f>
        <v>0</v>
      </c>
      <c r="C3091" s="2">
        <f>IFERROR(__xludf.DUMMYFUNCTION("""COMPUTED_VALUE"""),724.0)</f>
        <v>724</v>
      </c>
      <c r="D3091" s="3">
        <f>IFERROR(__xludf.DUMMYFUNCTION("""COMPUTED_VALUE"""),451.0)</f>
        <v>451</v>
      </c>
      <c r="E3091" s="2"/>
      <c r="F3091" s="2"/>
    </row>
    <row r="3092">
      <c r="A3092" s="2">
        <f>IFERROR(__xludf.DUMMYFUNCTION("""COMPUTED_VALUE"""),80661.0)</f>
        <v>80661</v>
      </c>
      <c r="B3092" s="2">
        <f>IFERROR(__xludf.DUMMYFUNCTION("""COMPUTED_VALUE"""),1.0)</f>
        <v>1</v>
      </c>
      <c r="C3092" s="2">
        <f>IFERROR(__xludf.DUMMYFUNCTION("""COMPUTED_VALUE"""),842.0)</f>
        <v>842</v>
      </c>
      <c r="D3092" s="3">
        <f>IFERROR(__xludf.DUMMYFUNCTION("""COMPUTED_VALUE"""),446.0)</f>
        <v>446</v>
      </c>
      <c r="E3092" s="2"/>
      <c r="F3092" s="2"/>
    </row>
    <row r="3093">
      <c r="A3093" s="2">
        <f>IFERROR(__xludf.DUMMYFUNCTION("""COMPUTED_VALUE"""),128310.0)</f>
        <v>128310</v>
      </c>
      <c r="B3093" s="2">
        <f>IFERROR(__xludf.DUMMYFUNCTION("""COMPUTED_VALUE"""),0.0)</f>
        <v>0</v>
      </c>
      <c r="C3093" s="2">
        <f>IFERROR(__xludf.DUMMYFUNCTION("""COMPUTED_VALUE"""),541.0)</f>
        <v>541</v>
      </c>
      <c r="D3093" s="3">
        <f>IFERROR(__xludf.DUMMYFUNCTION("""COMPUTED_VALUE"""),221.0)</f>
        <v>221</v>
      </c>
      <c r="E3093" s="2"/>
      <c r="F3093" s="2"/>
    </row>
    <row r="3094">
      <c r="A3094" s="2">
        <f>IFERROR(__xludf.DUMMYFUNCTION("""COMPUTED_VALUE"""),182193.0)</f>
        <v>182193</v>
      </c>
      <c r="B3094" s="2">
        <f>IFERROR(__xludf.DUMMYFUNCTION("""COMPUTED_VALUE"""),1.0)</f>
        <v>1</v>
      </c>
      <c r="C3094" s="2">
        <f>IFERROR(__xludf.DUMMYFUNCTION("""COMPUTED_VALUE"""),339.0)</f>
        <v>339</v>
      </c>
      <c r="D3094" s="3">
        <f>IFERROR(__xludf.DUMMYFUNCTION("""COMPUTED_VALUE"""),286.0)</f>
        <v>286</v>
      </c>
      <c r="E3094" s="2"/>
      <c r="F3094" s="2"/>
    </row>
    <row r="3095">
      <c r="A3095" s="2">
        <f>IFERROR(__xludf.DUMMYFUNCTION("""COMPUTED_VALUE"""),116771.0)</f>
        <v>116771</v>
      </c>
      <c r="B3095" s="2">
        <f>IFERROR(__xludf.DUMMYFUNCTION("""COMPUTED_VALUE"""),1.0)</f>
        <v>1</v>
      </c>
      <c r="C3095" s="2">
        <f>IFERROR(__xludf.DUMMYFUNCTION("""COMPUTED_VALUE"""),0.0)</f>
        <v>0</v>
      </c>
      <c r="D3095" s="3">
        <f>IFERROR(__xludf.DUMMYFUNCTION("""COMPUTED_VALUE"""),0.0)</f>
        <v>0</v>
      </c>
      <c r="E3095" s="2"/>
      <c r="F3095" s="2"/>
    </row>
    <row r="3096">
      <c r="A3096" s="2">
        <f>IFERROR(__xludf.DUMMYFUNCTION("""COMPUTED_VALUE"""),103245.0)</f>
        <v>103245</v>
      </c>
      <c r="B3096" s="2">
        <f>IFERROR(__xludf.DUMMYFUNCTION("""COMPUTED_VALUE"""),0.0)</f>
        <v>0</v>
      </c>
      <c r="C3096" s="2">
        <f>IFERROR(__xludf.DUMMYFUNCTION("""COMPUTED_VALUE"""),327.0)</f>
        <v>327</v>
      </c>
      <c r="D3096" s="3">
        <f>IFERROR(__xludf.DUMMYFUNCTION("""COMPUTED_VALUE"""),126.0)</f>
        <v>126</v>
      </c>
      <c r="E3096" s="2"/>
      <c r="F3096" s="2"/>
    </row>
    <row r="3097">
      <c r="A3097" s="2">
        <f>IFERROR(__xludf.DUMMYFUNCTION("""COMPUTED_VALUE"""),1961.0)</f>
        <v>1961</v>
      </c>
      <c r="B3097" s="2">
        <f>IFERROR(__xludf.DUMMYFUNCTION("""COMPUTED_VALUE"""),0.0)</f>
        <v>0</v>
      </c>
      <c r="C3097" s="2">
        <f>IFERROR(__xludf.DUMMYFUNCTION("""COMPUTED_VALUE"""),371.0)</f>
        <v>371</v>
      </c>
      <c r="D3097" s="3">
        <f>IFERROR(__xludf.DUMMYFUNCTION("""COMPUTED_VALUE"""),85.0)</f>
        <v>85</v>
      </c>
      <c r="E3097" s="2"/>
      <c r="F3097" s="2"/>
    </row>
    <row r="3098">
      <c r="A3098" s="2">
        <f>IFERROR(__xludf.DUMMYFUNCTION("""COMPUTED_VALUE"""),128314.0)</f>
        <v>128314</v>
      </c>
      <c r="B3098" s="2">
        <f>IFERROR(__xludf.DUMMYFUNCTION("""COMPUTED_VALUE"""),1.0)</f>
        <v>1</v>
      </c>
      <c r="C3098" s="2">
        <f>IFERROR(__xludf.DUMMYFUNCTION("""COMPUTED_VALUE"""),475.0)</f>
        <v>475</v>
      </c>
      <c r="D3098" s="3">
        <f>IFERROR(__xludf.DUMMYFUNCTION("""COMPUTED_VALUE"""),296.0)</f>
        <v>296</v>
      </c>
      <c r="E3098" s="2"/>
      <c r="F3098" s="2"/>
    </row>
    <row r="3099">
      <c r="A3099" s="2">
        <f>IFERROR(__xludf.DUMMYFUNCTION("""COMPUTED_VALUE"""),109993.0)</f>
        <v>109993</v>
      </c>
      <c r="B3099" s="2">
        <f>IFERROR(__xludf.DUMMYFUNCTION("""COMPUTED_VALUE"""),0.0)</f>
        <v>0</v>
      </c>
      <c r="C3099" s="2">
        <f>IFERROR(__xludf.DUMMYFUNCTION("""COMPUTED_VALUE"""),2.0)</f>
        <v>2</v>
      </c>
      <c r="D3099" s="3">
        <f>IFERROR(__xludf.DUMMYFUNCTION("""COMPUTED_VALUE"""),0.0)</f>
        <v>0</v>
      </c>
      <c r="E3099" s="2"/>
      <c r="F3099" s="2"/>
    </row>
    <row r="3100">
      <c r="A3100" s="2">
        <f>IFERROR(__xludf.DUMMYFUNCTION("""COMPUTED_VALUE"""),117270.0)</f>
        <v>117270</v>
      </c>
      <c r="B3100" s="2">
        <f>IFERROR(__xludf.DUMMYFUNCTION("""COMPUTED_VALUE"""),1.0)</f>
        <v>1</v>
      </c>
      <c r="C3100" s="2">
        <f>IFERROR(__xludf.DUMMYFUNCTION("""COMPUTED_VALUE"""),186.0)</f>
        <v>186</v>
      </c>
      <c r="D3100" s="3">
        <f>IFERROR(__xludf.DUMMYFUNCTION("""COMPUTED_VALUE"""),168.0)</f>
        <v>168</v>
      </c>
      <c r="E3100" s="2"/>
      <c r="F3100" s="2"/>
    </row>
    <row r="3101">
      <c r="A3101" s="2">
        <f>IFERROR(__xludf.DUMMYFUNCTION("""COMPUTED_VALUE"""),42748.0)</f>
        <v>42748</v>
      </c>
      <c r="B3101" s="2">
        <f>IFERROR(__xludf.DUMMYFUNCTION("""COMPUTED_VALUE"""),1.0)</f>
        <v>1</v>
      </c>
      <c r="C3101" s="2">
        <f>IFERROR(__xludf.DUMMYFUNCTION("""COMPUTED_VALUE"""),207.0)</f>
        <v>207</v>
      </c>
      <c r="D3101" s="3">
        <f>IFERROR(__xludf.DUMMYFUNCTION("""COMPUTED_VALUE"""),82.0)</f>
        <v>82</v>
      </c>
      <c r="E3101" s="2"/>
      <c r="F3101" s="2"/>
    </row>
    <row r="3102">
      <c r="A3102" s="2">
        <f>IFERROR(__xludf.DUMMYFUNCTION("""COMPUTED_VALUE"""),110447.0)</f>
        <v>110447</v>
      </c>
      <c r="B3102" s="2">
        <f>IFERROR(__xludf.DUMMYFUNCTION("""COMPUTED_VALUE"""),1.0)</f>
        <v>1</v>
      </c>
      <c r="C3102" s="2">
        <f>IFERROR(__xludf.DUMMYFUNCTION("""COMPUTED_VALUE"""),468.0)</f>
        <v>468</v>
      </c>
      <c r="D3102" s="3">
        <f>IFERROR(__xludf.DUMMYFUNCTION("""COMPUTED_VALUE"""),255.0)</f>
        <v>255</v>
      </c>
      <c r="E3102" s="2"/>
      <c r="F3102" s="2"/>
    </row>
    <row r="3103">
      <c r="A3103" s="2">
        <f>IFERROR(__xludf.DUMMYFUNCTION("""COMPUTED_VALUE"""),46979.0)</f>
        <v>46979</v>
      </c>
      <c r="B3103" s="2">
        <f>IFERROR(__xludf.DUMMYFUNCTION("""COMPUTED_VALUE"""),1.0)</f>
        <v>1</v>
      </c>
      <c r="C3103" s="2">
        <f>IFERROR(__xludf.DUMMYFUNCTION("""COMPUTED_VALUE"""),937.0)</f>
        <v>937</v>
      </c>
      <c r="D3103" s="3">
        <f>IFERROR(__xludf.DUMMYFUNCTION("""COMPUTED_VALUE"""),352.0)</f>
        <v>352</v>
      </c>
      <c r="E3103" s="2"/>
      <c r="F3103" s="2"/>
    </row>
    <row r="3104">
      <c r="A3104" s="2">
        <f>IFERROR(__xludf.DUMMYFUNCTION("""COMPUTED_VALUE"""),1296.0)</f>
        <v>1296</v>
      </c>
      <c r="B3104" s="2">
        <f>IFERROR(__xludf.DUMMYFUNCTION("""COMPUTED_VALUE"""),1.0)</f>
        <v>1</v>
      </c>
      <c r="C3104" s="2">
        <f>IFERROR(__xludf.DUMMYFUNCTION("""COMPUTED_VALUE"""),922.0)</f>
        <v>922</v>
      </c>
      <c r="D3104" s="3">
        <f>IFERROR(__xludf.DUMMYFUNCTION("""COMPUTED_VALUE"""),690.0)</f>
        <v>690</v>
      </c>
      <c r="E3104" s="2"/>
      <c r="F3104" s="2"/>
    </row>
    <row r="3105">
      <c r="A3105" s="2">
        <f>IFERROR(__xludf.DUMMYFUNCTION("""COMPUTED_VALUE"""),109973.0)</f>
        <v>109973</v>
      </c>
      <c r="B3105" s="2">
        <f>IFERROR(__xludf.DUMMYFUNCTION("""COMPUTED_VALUE"""),0.0)</f>
        <v>0</v>
      </c>
      <c r="C3105" s="2">
        <f>IFERROR(__xludf.DUMMYFUNCTION("""COMPUTED_VALUE"""),532.0)</f>
        <v>532</v>
      </c>
      <c r="D3105" s="3">
        <f>IFERROR(__xludf.DUMMYFUNCTION("""COMPUTED_VALUE"""),114.0)</f>
        <v>114</v>
      </c>
      <c r="E3105" s="2"/>
      <c r="F3105" s="2"/>
    </row>
    <row r="3106">
      <c r="A3106" s="2">
        <f>IFERROR(__xludf.DUMMYFUNCTION("""COMPUTED_VALUE"""),155949.0)</f>
        <v>155949</v>
      </c>
      <c r="B3106" s="2">
        <f>IFERROR(__xludf.DUMMYFUNCTION("""COMPUTED_VALUE"""),1.0)</f>
        <v>1</v>
      </c>
      <c r="C3106" s="2">
        <f>IFERROR(__xludf.DUMMYFUNCTION("""COMPUTED_VALUE"""),637.0)</f>
        <v>637</v>
      </c>
      <c r="D3106" s="3">
        <f>IFERROR(__xludf.DUMMYFUNCTION("""COMPUTED_VALUE"""),455.0)</f>
        <v>455</v>
      </c>
      <c r="E3106" s="2"/>
      <c r="F3106" s="2"/>
    </row>
    <row r="3107">
      <c r="A3107" s="2">
        <f>IFERROR(__xludf.DUMMYFUNCTION("""COMPUTED_VALUE"""),187346.0)</f>
        <v>187346</v>
      </c>
      <c r="B3107" s="2">
        <f>IFERROR(__xludf.DUMMYFUNCTION("""COMPUTED_VALUE"""),1.0)</f>
        <v>1</v>
      </c>
      <c r="C3107" s="2">
        <f>IFERROR(__xludf.DUMMYFUNCTION("""COMPUTED_VALUE"""),845.0)</f>
        <v>845</v>
      </c>
      <c r="D3107" s="3">
        <f>IFERROR(__xludf.DUMMYFUNCTION("""COMPUTED_VALUE"""),331.0)</f>
        <v>331</v>
      </c>
      <c r="E3107" s="2"/>
      <c r="F3107" s="2"/>
    </row>
    <row r="3108">
      <c r="A3108" s="2">
        <f>IFERROR(__xludf.DUMMYFUNCTION("""COMPUTED_VALUE"""),46978.0)</f>
        <v>46978</v>
      </c>
      <c r="B3108" s="2">
        <f>IFERROR(__xludf.DUMMYFUNCTION("""COMPUTED_VALUE"""),1.0)</f>
        <v>1</v>
      </c>
      <c r="C3108" s="2">
        <f>IFERROR(__xludf.DUMMYFUNCTION("""COMPUTED_VALUE"""),958.0)</f>
        <v>958</v>
      </c>
      <c r="D3108" s="3">
        <f>IFERROR(__xludf.DUMMYFUNCTION("""COMPUTED_VALUE"""),272.0)</f>
        <v>272</v>
      </c>
      <c r="E3108" s="2"/>
      <c r="F3108" s="2"/>
    </row>
    <row r="3109">
      <c r="A3109" s="2">
        <f>IFERROR(__xludf.DUMMYFUNCTION("""COMPUTED_VALUE"""),110283.0)</f>
        <v>110283</v>
      </c>
      <c r="B3109" s="2">
        <f>IFERROR(__xludf.DUMMYFUNCTION("""COMPUTED_VALUE"""),1.0)</f>
        <v>1</v>
      </c>
      <c r="C3109" s="2">
        <f>IFERROR(__xludf.DUMMYFUNCTION("""COMPUTED_VALUE"""),731.0)</f>
        <v>731</v>
      </c>
      <c r="D3109" s="3">
        <f>IFERROR(__xludf.DUMMYFUNCTION("""COMPUTED_VALUE"""),646.0)</f>
        <v>646</v>
      </c>
      <c r="E3109" s="2"/>
      <c r="F3109" s="2"/>
    </row>
    <row r="3110">
      <c r="A3110" s="2">
        <f>IFERROR(__xludf.DUMMYFUNCTION("""COMPUTED_VALUE"""),147257.0)</f>
        <v>147257</v>
      </c>
      <c r="B3110" s="2">
        <f>IFERROR(__xludf.DUMMYFUNCTION("""COMPUTED_VALUE"""),1.0)</f>
        <v>1</v>
      </c>
      <c r="C3110" s="2">
        <f>IFERROR(__xludf.DUMMYFUNCTION("""COMPUTED_VALUE"""),642.0)</f>
        <v>642</v>
      </c>
      <c r="D3110" s="3">
        <f>IFERROR(__xludf.DUMMYFUNCTION("""COMPUTED_VALUE"""),491.0)</f>
        <v>491</v>
      </c>
      <c r="E3110" s="2"/>
      <c r="F3110" s="2"/>
    </row>
    <row r="3111">
      <c r="A3111" s="2">
        <f>IFERROR(__xludf.DUMMYFUNCTION("""COMPUTED_VALUE"""),182191.0)</f>
        <v>182191</v>
      </c>
      <c r="B3111" s="2">
        <f>IFERROR(__xludf.DUMMYFUNCTION("""COMPUTED_VALUE"""),0.0)</f>
        <v>0</v>
      </c>
      <c r="C3111" s="2">
        <f>IFERROR(__xludf.DUMMYFUNCTION("""COMPUTED_VALUE"""),99.0)</f>
        <v>99</v>
      </c>
      <c r="D3111" s="3">
        <f>IFERROR(__xludf.DUMMYFUNCTION("""COMPUTED_VALUE"""),23.0)</f>
        <v>23</v>
      </c>
      <c r="E3111" s="2"/>
      <c r="F3111" s="2"/>
    </row>
    <row r="3112">
      <c r="A3112" s="2">
        <f>IFERROR(__xludf.DUMMYFUNCTION("""COMPUTED_VALUE"""),9722.0)</f>
        <v>9722</v>
      </c>
      <c r="B3112" s="2">
        <f>IFERROR(__xludf.DUMMYFUNCTION("""COMPUTED_VALUE"""),1.0)</f>
        <v>1</v>
      </c>
      <c r="C3112" s="2">
        <f>IFERROR(__xludf.DUMMYFUNCTION("""COMPUTED_VALUE"""),815.0)</f>
        <v>815</v>
      </c>
      <c r="D3112" s="3">
        <f>IFERROR(__xludf.DUMMYFUNCTION("""COMPUTED_VALUE"""),651.0)</f>
        <v>651</v>
      </c>
      <c r="E3112" s="2"/>
      <c r="F3112" s="2"/>
    </row>
    <row r="3113">
      <c r="A3113" s="2">
        <f>IFERROR(__xludf.DUMMYFUNCTION("""COMPUTED_VALUE"""),124772.0)</f>
        <v>124772</v>
      </c>
      <c r="B3113" s="2">
        <f>IFERROR(__xludf.DUMMYFUNCTION("""COMPUTED_VALUE"""),1.0)</f>
        <v>1</v>
      </c>
      <c r="C3113" s="2">
        <f>IFERROR(__xludf.DUMMYFUNCTION("""COMPUTED_VALUE"""),206.0)</f>
        <v>206</v>
      </c>
      <c r="D3113" s="3">
        <f>IFERROR(__xludf.DUMMYFUNCTION("""COMPUTED_VALUE"""),92.0)</f>
        <v>92</v>
      </c>
      <c r="E3113" s="2"/>
      <c r="F3113" s="2"/>
    </row>
    <row r="3114">
      <c r="A3114" s="2">
        <f>IFERROR(__xludf.DUMMYFUNCTION("""COMPUTED_VALUE"""),8681.0)</f>
        <v>8681</v>
      </c>
      <c r="B3114" s="2">
        <f>IFERROR(__xludf.DUMMYFUNCTION("""COMPUTED_VALUE"""),0.0)</f>
        <v>0</v>
      </c>
      <c r="C3114" s="2">
        <f>IFERROR(__xludf.DUMMYFUNCTION("""COMPUTED_VALUE"""),947.0)</f>
        <v>947</v>
      </c>
      <c r="D3114" s="3">
        <f>IFERROR(__xludf.DUMMYFUNCTION("""COMPUTED_VALUE"""),275.0)</f>
        <v>275</v>
      </c>
      <c r="E3114" s="2"/>
      <c r="F3114" s="2"/>
    </row>
    <row r="3115">
      <c r="A3115" s="2">
        <f>IFERROR(__xludf.DUMMYFUNCTION("""COMPUTED_VALUE"""),5077.0)</f>
        <v>5077</v>
      </c>
      <c r="B3115" s="2">
        <f>IFERROR(__xludf.DUMMYFUNCTION("""COMPUTED_VALUE"""),0.0)</f>
        <v>0</v>
      </c>
      <c r="C3115" s="2">
        <f>IFERROR(__xludf.DUMMYFUNCTION("""COMPUTED_VALUE"""),842.0)</f>
        <v>842</v>
      </c>
      <c r="D3115" s="3">
        <f>IFERROR(__xludf.DUMMYFUNCTION("""COMPUTED_VALUE"""),496.0)</f>
        <v>496</v>
      </c>
      <c r="E3115" s="2"/>
      <c r="F3115" s="2"/>
    </row>
    <row r="3116">
      <c r="A3116" s="2">
        <f>IFERROR(__xludf.DUMMYFUNCTION("""COMPUTED_VALUE"""),114274.0)</f>
        <v>114274</v>
      </c>
      <c r="B3116" s="2">
        <f>IFERROR(__xludf.DUMMYFUNCTION("""COMPUTED_VALUE"""),1.0)</f>
        <v>1</v>
      </c>
      <c r="C3116" s="2">
        <f>IFERROR(__xludf.DUMMYFUNCTION("""COMPUTED_VALUE"""),660.0)</f>
        <v>660</v>
      </c>
      <c r="D3116" s="3">
        <f>IFERROR(__xludf.DUMMYFUNCTION("""COMPUTED_VALUE"""),266.0)</f>
        <v>266</v>
      </c>
      <c r="E3116" s="2"/>
      <c r="F3116" s="2"/>
    </row>
    <row r="3117">
      <c r="A3117" s="2">
        <f>IFERROR(__xludf.DUMMYFUNCTION("""COMPUTED_VALUE"""),1297.0)</f>
        <v>1297</v>
      </c>
      <c r="B3117" s="2">
        <f>IFERROR(__xludf.DUMMYFUNCTION("""COMPUTED_VALUE"""),1.0)</f>
        <v>1</v>
      </c>
      <c r="C3117" s="2">
        <f>IFERROR(__xludf.DUMMYFUNCTION("""COMPUTED_VALUE"""),582.0)</f>
        <v>582</v>
      </c>
      <c r="D3117" s="3">
        <f>IFERROR(__xludf.DUMMYFUNCTION("""COMPUTED_VALUE"""),202.0)</f>
        <v>202</v>
      </c>
      <c r="E3117" s="2"/>
      <c r="F3117" s="2"/>
    </row>
    <row r="3118">
      <c r="A3118" s="2">
        <f>IFERROR(__xludf.DUMMYFUNCTION("""COMPUTED_VALUE"""),46988.0)</f>
        <v>46988</v>
      </c>
      <c r="B3118" s="2">
        <f>IFERROR(__xludf.DUMMYFUNCTION("""COMPUTED_VALUE"""),0.0)</f>
        <v>0</v>
      </c>
      <c r="C3118" s="2">
        <f>IFERROR(__xludf.DUMMYFUNCTION("""COMPUTED_VALUE"""),880.0)</f>
        <v>880</v>
      </c>
      <c r="D3118" s="3">
        <f>IFERROR(__xludf.DUMMYFUNCTION("""COMPUTED_VALUE"""),333.0)</f>
        <v>333</v>
      </c>
      <c r="E3118" s="2"/>
      <c r="F3118" s="2"/>
    </row>
    <row r="3119">
      <c r="A3119" s="2">
        <f>IFERROR(__xludf.DUMMYFUNCTION("""COMPUTED_VALUE"""),92623.0)</f>
        <v>92623</v>
      </c>
      <c r="B3119" s="2">
        <f>IFERROR(__xludf.DUMMYFUNCTION("""COMPUTED_VALUE"""),1.0)</f>
        <v>1</v>
      </c>
      <c r="C3119" s="2">
        <f>IFERROR(__xludf.DUMMYFUNCTION("""COMPUTED_VALUE"""),701.0)</f>
        <v>701</v>
      </c>
      <c r="D3119" s="3">
        <f>IFERROR(__xludf.DUMMYFUNCTION("""COMPUTED_VALUE"""),486.0)</f>
        <v>486</v>
      </c>
      <c r="E3119" s="2"/>
      <c r="F3119" s="2"/>
    </row>
    <row r="3120">
      <c r="A3120" s="2">
        <f>IFERROR(__xludf.DUMMYFUNCTION("""COMPUTED_VALUE"""),79761.0)</f>
        <v>79761</v>
      </c>
      <c r="B3120" s="2">
        <f>IFERROR(__xludf.DUMMYFUNCTION("""COMPUTED_VALUE"""),1.0)</f>
        <v>1</v>
      </c>
      <c r="C3120" s="2">
        <f>IFERROR(__xludf.DUMMYFUNCTION("""COMPUTED_VALUE"""),527.0)</f>
        <v>527</v>
      </c>
      <c r="D3120" s="3">
        <f>IFERROR(__xludf.DUMMYFUNCTION("""COMPUTED_VALUE"""),41.0)</f>
        <v>41</v>
      </c>
      <c r="E3120" s="2"/>
      <c r="F3120" s="2"/>
    </row>
    <row r="3121">
      <c r="A3121" s="2">
        <f>IFERROR(__xludf.DUMMYFUNCTION("""COMPUTED_VALUE"""),11001.0)</f>
        <v>11001</v>
      </c>
      <c r="B3121" s="2">
        <f>IFERROR(__xludf.DUMMYFUNCTION("""COMPUTED_VALUE"""),1.0)</f>
        <v>1</v>
      </c>
      <c r="C3121" s="2">
        <f>IFERROR(__xludf.DUMMYFUNCTION("""COMPUTED_VALUE"""),618.0)</f>
        <v>618</v>
      </c>
      <c r="D3121" s="3">
        <f>IFERROR(__xludf.DUMMYFUNCTION("""COMPUTED_VALUE"""),211.0)</f>
        <v>211</v>
      </c>
      <c r="E3121" s="2"/>
      <c r="F3121" s="2"/>
    </row>
    <row r="3122">
      <c r="A3122" s="2">
        <f>IFERROR(__xludf.DUMMYFUNCTION("""COMPUTED_VALUE"""),9731.0)</f>
        <v>9731</v>
      </c>
      <c r="B3122" s="2">
        <f>IFERROR(__xludf.DUMMYFUNCTION("""COMPUTED_VALUE"""),0.0)</f>
        <v>0</v>
      </c>
      <c r="C3122" s="2">
        <f>IFERROR(__xludf.DUMMYFUNCTION("""COMPUTED_VALUE"""),649.0)</f>
        <v>649</v>
      </c>
      <c r="D3122" s="3">
        <f>IFERROR(__xludf.DUMMYFUNCTION("""COMPUTED_VALUE"""),609.0)</f>
        <v>609</v>
      </c>
      <c r="E3122" s="2"/>
      <c r="F3122" s="2"/>
    </row>
    <row r="3123">
      <c r="A3123" s="2">
        <f>IFERROR(__xludf.DUMMYFUNCTION("""COMPUTED_VALUE"""),122316.0)</f>
        <v>122316</v>
      </c>
      <c r="B3123" s="2">
        <f>IFERROR(__xludf.DUMMYFUNCTION("""COMPUTED_VALUE"""),1.0)</f>
        <v>1</v>
      </c>
      <c r="C3123" s="2">
        <f>IFERROR(__xludf.DUMMYFUNCTION("""COMPUTED_VALUE"""),757.0)</f>
        <v>757</v>
      </c>
      <c r="D3123" s="3">
        <f>IFERROR(__xludf.DUMMYFUNCTION("""COMPUTED_VALUE"""),140.0)</f>
        <v>140</v>
      </c>
      <c r="E3123" s="2"/>
      <c r="F3123" s="2"/>
    </row>
    <row r="3124">
      <c r="A3124" s="2">
        <f>IFERROR(__xludf.DUMMYFUNCTION("""COMPUTED_VALUE"""),147255.0)</f>
        <v>147255</v>
      </c>
      <c r="B3124" s="2">
        <f>IFERROR(__xludf.DUMMYFUNCTION("""COMPUTED_VALUE"""),1.0)</f>
        <v>1</v>
      </c>
      <c r="C3124" s="2">
        <f>IFERROR(__xludf.DUMMYFUNCTION("""COMPUTED_VALUE"""),623.0)</f>
        <v>623</v>
      </c>
      <c r="D3124" s="3">
        <f>IFERROR(__xludf.DUMMYFUNCTION("""COMPUTED_VALUE"""),61.0)</f>
        <v>61</v>
      </c>
      <c r="E3124" s="2"/>
      <c r="F3124" s="2"/>
    </row>
    <row r="3125">
      <c r="A3125" s="2">
        <f>IFERROR(__xludf.DUMMYFUNCTION("""COMPUTED_VALUE"""),8675.0)</f>
        <v>8675</v>
      </c>
      <c r="B3125" s="2">
        <f>IFERROR(__xludf.DUMMYFUNCTION("""COMPUTED_VALUE"""),0.0)</f>
        <v>0</v>
      </c>
      <c r="C3125" s="2">
        <f>IFERROR(__xludf.DUMMYFUNCTION("""COMPUTED_VALUE"""),376.0)</f>
        <v>376</v>
      </c>
      <c r="D3125" s="3">
        <f>IFERROR(__xludf.DUMMYFUNCTION("""COMPUTED_VALUE"""),23.0)</f>
        <v>23</v>
      </c>
      <c r="E3125" s="2"/>
      <c r="F3125" s="2"/>
    </row>
    <row r="3126">
      <c r="A3126" s="2">
        <f>IFERROR(__xludf.DUMMYFUNCTION("""COMPUTED_VALUE"""),121900.0)</f>
        <v>121900</v>
      </c>
      <c r="B3126" s="2">
        <f>IFERROR(__xludf.DUMMYFUNCTION("""COMPUTED_VALUE"""),1.0)</f>
        <v>1</v>
      </c>
      <c r="C3126" s="2">
        <f>IFERROR(__xludf.DUMMYFUNCTION("""COMPUTED_VALUE"""),657.0)</f>
        <v>657</v>
      </c>
      <c r="D3126" s="3">
        <f>IFERROR(__xludf.DUMMYFUNCTION("""COMPUTED_VALUE"""),376.0)</f>
        <v>376</v>
      </c>
      <c r="E3126" s="2"/>
      <c r="F3126" s="2"/>
    </row>
    <row r="3127">
      <c r="A3127" s="2">
        <f>IFERROR(__xludf.DUMMYFUNCTION("""COMPUTED_VALUE"""),124764.0)</f>
        <v>124764</v>
      </c>
      <c r="B3127" s="2">
        <f>IFERROR(__xludf.DUMMYFUNCTION("""COMPUTED_VALUE"""),1.0)</f>
        <v>1</v>
      </c>
      <c r="C3127" s="2">
        <f>IFERROR(__xludf.DUMMYFUNCTION("""COMPUTED_VALUE"""),865.0)</f>
        <v>865</v>
      </c>
      <c r="D3127" s="3">
        <f>IFERROR(__xludf.DUMMYFUNCTION("""COMPUTED_VALUE"""),221.0)</f>
        <v>221</v>
      </c>
      <c r="E3127" s="2"/>
      <c r="F3127" s="2"/>
    </row>
    <row r="3128">
      <c r="A3128" s="2">
        <f>IFERROR(__xludf.DUMMYFUNCTION("""COMPUTED_VALUE"""),124774.0)</f>
        <v>124774</v>
      </c>
      <c r="B3128" s="2">
        <f>IFERROR(__xludf.DUMMYFUNCTION("""COMPUTED_VALUE"""),0.0)</f>
        <v>0</v>
      </c>
      <c r="C3128" s="2">
        <f>IFERROR(__xludf.DUMMYFUNCTION("""COMPUTED_VALUE"""),181.0)</f>
        <v>181</v>
      </c>
      <c r="D3128" s="3">
        <f>IFERROR(__xludf.DUMMYFUNCTION("""COMPUTED_VALUE"""),124.0)</f>
        <v>124</v>
      </c>
      <c r="E3128" s="2"/>
      <c r="F3128" s="2"/>
    </row>
    <row r="3129">
      <c r="A3129" s="2">
        <f>IFERROR(__xludf.DUMMYFUNCTION("""COMPUTED_VALUE"""),79353.0)</f>
        <v>79353</v>
      </c>
      <c r="B3129" s="2">
        <f>IFERROR(__xludf.DUMMYFUNCTION("""COMPUTED_VALUE"""),1.0)</f>
        <v>1</v>
      </c>
      <c r="C3129" s="2">
        <f>IFERROR(__xludf.DUMMYFUNCTION("""COMPUTED_VALUE"""),92.0)</f>
        <v>92</v>
      </c>
      <c r="D3129" s="3">
        <f>IFERROR(__xludf.DUMMYFUNCTION("""COMPUTED_VALUE"""),5.0)</f>
        <v>5</v>
      </c>
      <c r="E3129" s="2"/>
      <c r="F3129" s="2"/>
    </row>
    <row r="3130">
      <c r="A3130" s="2">
        <f>IFERROR(__xludf.DUMMYFUNCTION("""COMPUTED_VALUE"""),82703.0)</f>
        <v>82703</v>
      </c>
      <c r="B3130" s="2">
        <f>IFERROR(__xludf.DUMMYFUNCTION("""COMPUTED_VALUE"""),0.0)</f>
        <v>0</v>
      </c>
      <c r="C3130" s="2">
        <f>IFERROR(__xludf.DUMMYFUNCTION("""COMPUTED_VALUE"""),964.0)</f>
        <v>964</v>
      </c>
      <c r="D3130" s="3">
        <f>IFERROR(__xludf.DUMMYFUNCTION("""COMPUTED_VALUE"""),186.0)</f>
        <v>186</v>
      </c>
      <c r="E3130" s="2"/>
      <c r="F3130" s="2"/>
    </row>
    <row r="3131">
      <c r="A3131" s="2">
        <f>IFERROR(__xludf.DUMMYFUNCTION("""COMPUTED_VALUE"""),71820.0)</f>
        <v>71820</v>
      </c>
      <c r="B3131" s="2">
        <f>IFERROR(__xludf.DUMMYFUNCTION("""COMPUTED_VALUE"""),1.0)</f>
        <v>1</v>
      </c>
      <c r="C3131" s="2">
        <f>IFERROR(__xludf.DUMMYFUNCTION("""COMPUTED_VALUE"""),597.0)</f>
        <v>597</v>
      </c>
      <c r="D3131" s="3">
        <f>IFERROR(__xludf.DUMMYFUNCTION("""COMPUTED_VALUE"""),127.0)</f>
        <v>127</v>
      </c>
      <c r="E3131" s="2"/>
      <c r="F3131" s="2"/>
    </row>
    <row r="3132">
      <c r="A3132" s="2">
        <f>IFERROR(__xludf.DUMMYFUNCTION("""COMPUTED_VALUE"""),128311.0)</f>
        <v>128311</v>
      </c>
      <c r="B3132" s="2">
        <f>IFERROR(__xludf.DUMMYFUNCTION("""COMPUTED_VALUE"""),0.0)</f>
        <v>0</v>
      </c>
      <c r="C3132" s="2">
        <f>IFERROR(__xludf.DUMMYFUNCTION("""COMPUTED_VALUE"""),376.0)</f>
        <v>376</v>
      </c>
      <c r="D3132" s="3">
        <f>IFERROR(__xludf.DUMMYFUNCTION("""COMPUTED_VALUE"""),113.0)</f>
        <v>113</v>
      </c>
      <c r="E3132" s="2"/>
      <c r="F3132" s="2"/>
    </row>
    <row r="3133">
      <c r="A3133" s="2">
        <f>IFERROR(__xludf.DUMMYFUNCTION("""COMPUTED_VALUE"""),70595.0)</f>
        <v>70595</v>
      </c>
      <c r="B3133" s="2">
        <f>IFERROR(__xludf.DUMMYFUNCTION("""COMPUTED_VALUE"""),1.0)</f>
        <v>1</v>
      </c>
      <c r="C3133" s="2">
        <f>IFERROR(__xludf.DUMMYFUNCTION("""COMPUTED_VALUE"""),857.0)</f>
        <v>857</v>
      </c>
      <c r="D3133" s="3">
        <f>IFERROR(__xludf.DUMMYFUNCTION("""COMPUTED_VALUE"""),38.0)</f>
        <v>38</v>
      </c>
      <c r="E3133" s="2"/>
      <c r="F3133" s="2"/>
    </row>
    <row r="3134">
      <c r="A3134" s="2">
        <f>IFERROR(__xludf.DUMMYFUNCTION("""COMPUTED_VALUE"""),8676.0)</f>
        <v>8676</v>
      </c>
      <c r="B3134" s="2">
        <f>IFERROR(__xludf.DUMMYFUNCTION("""COMPUTED_VALUE"""),0.0)</f>
        <v>0</v>
      </c>
      <c r="C3134" s="2">
        <f>IFERROR(__xludf.DUMMYFUNCTION("""COMPUTED_VALUE"""),286.0)</f>
        <v>286</v>
      </c>
      <c r="D3134" s="3">
        <f>IFERROR(__xludf.DUMMYFUNCTION("""COMPUTED_VALUE"""),118.0)</f>
        <v>118</v>
      </c>
      <c r="E3134" s="2"/>
      <c r="F3134" s="2"/>
    </row>
    <row r="3135">
      <c r="A3135" s="2">
        <f>IFERROR(__xludf.DUMMYFUNCTION("""COMPUTED_VALUE"""),128313.0)</f>
        <v>128313</v>
      </c>
      <c r="B3135" s="2">
        <f>IFERROR(__xludf.DUMMYFUNCTION("""COMPUTED_VALUE"""),0.0)</f>
        <v>0</v>
      </c>
      <c r="C3135" s="2">
        <f>IFERROR(__xludf.DUMMYFUNCTION("""COMPUTED_VALUE"""),14.0)</f>
        <v>14</v>
      </c>
      <c r="D3135" s="3">
        <f>IFERROR(__xludf.DUMMYFUNCTION("""COMPUTED_VALUE"""),11.0)</f>
        <v>11</v>
      </c>
      <c r="E3135" s="2"/>
      <c r="F3135" s="2"/>
    </row>
    <row r="3136">
      <c r="A3136" s="2">
        <f>IFERROR(__xludf.DUMMYFUNCTION("""COMPUTED_VALUE"""),45479.0)</f>
        <v>45479</v>
      </c>
      <c r="B3136" s="2">
        <f>IFERROR(__xludf.DUMMYFUNCTION("""COMPUTED_VALUE"""),0.0)</f>
        <v>0</v>
      </c>
      <c r="C3136" s="2">
        <f>IFERROR(__xludf.DUMMYFUNCTION("""COMPUTED_VALUE"""),800.0)</f>
        <v>800</v>
      </c>
      <c r="D3136" s="3">
        <f>IFERROR(__xludf.DUMMYFUNCTION("""COMPUTED_VALUE"""),305.0)</f>
        <v>305</v>
      </c>
      <c r="E3136" s="2"/>
      <c r="F3136" s="2"/>
    </row>
    <row r="3137">
      <c r="A3137" s="2">
        <f>IFERROR(__xludf.DUMMYFUNCTION("""COMPUTED_VALUE"""),45481.0)</f>
        <v>45481</v>
      </c>
      <c r="B3137" s="2">
        <f>IFERROR(__xludf.DUMMYFUNCTION("""COMPUTED_VALUE"""),1.0)</f>
        <v>1</v>
      </c>
      <c r="C3137" s="2">
        <f>IFERROR(__xludf.DUMMYFUNCTION("""COMPUTED_VALUE"""),571.0)</f>
        <v>571</v>
      </c>
      <c r="D3137" s="3">
        <f>IFERROR(__xludf.DUMMYFUNCTION("""COMPUTED_VALUE"""),494.0)</f>
        <v>494</v>
      </c>
      <c r="E3137" s="2"/>
      <c r="F3137" s="2"/>
    </row>
    <row r="3138">
      <c r="A3138" s="2">
        <f>IFERROR(__xludf.DUMMYFUNCTION("""COMPUTED_VALUE"""),80001.0)</f>
        <v>80001</v>
      </c>
      <c r="B3138" s="2">
        <f>IFERROR(__xludf.DUMMYFUNCTION("""COMPUTED_VALUE"""),0.0)</f>
        <v>0</v>
      </c>
      <c r="C3138" s="2">
        <f>IFERROR(__xludf.DUMMYFUNCTION("""COMPUTED_VALUE"""),637.0)</f>
        <v>637</v>
      </c>
      <c r="D3138" s="3">
        <f>IFERROR(__xludf.DUMMYFUNCTION("""COMPUTED_VALUE"""),61.0)</f>
        <v>61</v>
      </c>
      <c r="E3138" s="2"/>
      <c r="F3138" s="2"/>
    </row>
    <row r="3139">
      <c r="A3139" s="2">
        <f>IFERROR(__xludf.DUMMYFUNCTION("""COMPUTED_VALUE"""),10068.0)</f>
        <v>10068</v>
      </c>
      <c r="B3139" s="2">
        <f>IFERROR(__xludf.DUMMYFUNCTION("""COMPUTED_VALUE"""),0.0)</f>
        <v>0</v>
      </c>
      <c r="C3139" s="2">
        <f>IFERROR(__xludf.DUMMYFUNCTION("""COMPUTED_VALUE"""),505.0)</f>
        <v>505</v>
      </c>
      <c r="D3139" s="3">
        <f>IFERROR(__xludf.DUMMYFUNCTION("""COMPUTED_VALUE"""),191.0)</f>
        <v>191</v>
      </c>
      <c r="E3139" s="2"/>
      <c r="F3139" s="2"/>
    </row>
    <row r="3140">
      <c r="A3140" s="2">
        <f>IFERROR(__xludf.DUMMYFUNCTION("""COMPUTED_VALUE"""),10054.0)</f>
        <v>10054</v>
      </c>
      <c r="B3140" s="2">
        <f>IFERROR(__xludf.DUMMYFUNCTION("""COMPUTED_VALUE"""),0.0)</f>
        <v>0</v>
      </c>
      <c r="C3140" s="2">
        <f>IFERROR(__xludf.DUMMYFUNCTION("""COMPUTED_VALUE"""),550.0)</f>
        <v>550</v>
      </c>
      <c r="D3140" s="3">
        <f>IFERROR(__xludf.DUMMYFUNCTION("""COMPUTED_VALUE"""),403.0)</f>
        <v>403</v>
      </c>
      <c r="E3140" s="2"/>
      <c r="F3140" s="2"/>
    </row>
    <row r="3141">
      <c r="A3141" s="2">
        <f>IFERROR(__xludf.DUMMYFUNCTION("""COMPUTED_VALUE"""),10070.0)</f>
        <v>10070</v>
      </c>
      <c r="B3141" s="2">
        <f>IFERROR(__xludf.DUMMYFUNCTION("""COMPUTED_VALUE"""),0.0)</f>
        <v>0</v>
      </c>
      <c r="C3141" s="2">
        <f>IFERROR(__xludf.DUMMYFUNCTION("""COMPUTED_VALUE"""),721.0)</f>
        <v>721</v>
      </c>
      <c r="D3141" s="3">
        <f>IFERROR(__xludf.DUMMYFUNCTION("""COMPUTED_VALUE"""),82.0)</f>
        <v>82</v>
      </c>
      <c r="E3141" s="2"/>
      <c r="F3141" s="2"/>
    </row>
    <row r="3142">
      <c r="A3142" s="2">
        <f>IFERROR(__xludf.DUMMYFUNCTION("""COMPUTED_VALUE"""),45480.0)</f>
        <v>45480</v>
      </c>
      <c r="B3142" s="2">
        <f>IFERROR(__xludf.DUMMYFUNCTION("""COMPUTED_VALUE"""),1.0)</f>
        <v>1</v>
      </c>
      <c r="C3142" s="2">
        <f>IFERROR(__xludf.DUMMYFUNCTION("""COMPUTED_VALUE"""),50.0)</f>
        <v>50</v>
      </c>
      <c r="D3142" s="3">
        <f>IFERROR(__xludf.DUMMYFUNCTION("""COMPUTED_VALUE"""),1.0)</f>
        <v>1</v>
      </c>
      <c r="E3142" s="2"/>
      <c r="F3142" s="2"/>
    </row>
    <row r="3143">
      <c r="A3143" s="2">
        <f>IFERROR(__xludf.DUMMYFUNCTION("""COMPUTED_VALUE"""),92791.0)</f>
        <v>92791</v>
      </c>
      <c r="B3143" s="2">
        <f>IFERROR(__xludf.DUMMYFUNCTION("""COMPUTED_VALUE"""),0.0)</f>
        <v>0</v>
      </c>
      <c r="C3143" s="2">
        <f>IFERROR(__xludf.DUMMYFUNCTION("""COMPUTED_VALUE"""),289.0)</f>
        <v>289</v>
      </c>
      <c r="D3143" s="3">
        <f>IFERROR(__xludf.DUMMYFUNCTION("""COMPUTED_VALUE"""),5.0)</f>
        <v>5</v>
      </c>
      <c r="E3143" s="2"/>
      <c r="F3143" s="2"/>
    </row>
    <row r="3144">
      <c r="A3144" s="2">
        <f>IFERROR(__xludf.DUMMYFUNCTION("""COMPUTED_VALUE"""),188722.0)</f>
        <v>188722</v>
      </c>
      <c r="B3144" s="2">
        <f>IFERROR(__xludf.DUMMYFUNCTION("""COMPUTED_VALUE"""),1.0)</f>
        <v>1</v>
      </c>
      <c r="C3144" s="2">
        <f>IFERROR(__xludf.DUMMYFUNCTION("""COMPUTED_VALUE"""),281.0)</f>
        <v>281</v>
      </c>
      <c r="D3144" s="3">
        <f>IFERROR(__xludf.DUMMYFUNCTION("""COMPUTED_VALUE"""),281.0)</f>
        <v>281</v>
      </c>
      <c r="E3144" s="2"/>
      <c r="F3144" s="2"/>
    </row>
    <row r="3145">
      <c r="A3145" s="2">
        <f>IFERROR(__xludf.DUMMYFUNCTION("""COMPUTED_VALUE"""),10061.0)</f>
        <v>10061</v>
      </c>
      <c r="B3145" s="2">
        <f>IFERROR(__xludf.DUMMYFUNCTION("""COMPUTED_VALUE"""),0.0)</f>
        <v>0</v>
      </c>
      <c r="C3145" s="2">
        <f>IFERROR(__xludf.DUMMYFUNCTION("""COMPUTED_VALUE"""),752.0)</f>
        <v>752</v>
      </c>
      <c r="D3145" s="3">
        <f>IFERROR(__xludf.DUMMYFUNCTION("""COMPUTED_VALUE"""),148.0)</f>
        <v>148</v>
      </c>
      <c r="E3145" s="2"/>
      <c r="F3145" s="2"/>
    </row>
    <row r="3146">
      <c r="A3146" s="2">
        <f>IFERROR(__xludf.DUMMYFUNCTION("""COMPUTED_VALUE"""),188708.0)</f>
        <v>188708</v>
      </c>
      <c r="B3146" s="2">
        <f>IFERROR(__xludf.DUMMYFUNCTION("""COMPUTED_VALUE"""),1.0)</f>
        <v>1</v>
      </c>
      <c r="C3146" s="2">
        <f>IFERROR(__xludf.DUMMYFUNCTION("""COMPUTED_VALUE"""),720.0)</f>
        <v>720</v>
      </c>
      <c r="D3146" s="3">
        <f>IFERROR(__xludf.DUMMYFUNCTION("""COMPUTED_VALUE"""),600.0)</f>
        <v>600</v>
      </c>
      <c r="E3146" s="2"/>
      <c r="F3146" s="2"/>
    </row>
    <row r="3147">
      <c r="A3147" s="2">
        <f>IFERROR(__xludf.DUMMYFUNCTION("""COMPUTED_VALUE"""),110927.0)</f>
        <v>110927</v>
      </c>
      <c r="B3147" s="2">
        <f>IFERROR(__xludf.DUMMYFUNCTION("""COMPUTED_VALUE"""),1.0)</f>
        <v>1</v>
      </c>
      <c r="C3147" s="2">
        <f>IFERROR(__xludf.DUMMYFUNCTION("""COMPUTED_VALUE"""),603.0)</f>
        <v>603</v>
      </c>
      <c r="D3147" s="3">
        <f>IFERROR(__xludf.DUMMYFUNCTION("""COMPUTED_VALUE"""),50.0)</f>
        <v>50</v>
      </c>
      <c r="E3147" s="2"/>
      <c r="F3147" s="2"/>
    </row>
    <row r="3148">
      <c r="A3148" s="2">
        <f>IFERROR(__xludf.DUMMYFUNCTION("""COMPUTED_VALUE"""),188729.0)</f>
        <v>188729</v>
      </c>
      <c r="B3148" s="2">
        <f>IFERROR(__xludf.DUMMYFUNCTION("""COMPUTED_VALUE"""),1.0)</f>
        <v>1</v>
      </c>
      <c r="C3148" s="2">
        <f>IFERROR(__xludf.DUMMYFUNCTION("""COMPUTED_VALUE"""),219.0)</f>
        <v>219</v>
      </c>
      <c r="D3148" s="3">
        <f>IFERROR(__xludf.DUMMYFUNCTION("""COMPUTED_VALUE"""),179.0)</f>
        <v>179</v>
      </c>
      <c r="E3148" s="2"/>
      <c r="F3148" s="2"/>
    </row>
    <row r="3149">
      <c r="A3149" s="2">
        <f>IFERROR(__xludf.DUMMYFUNCTION("""COMPUTED_VALUE"""),120969.0)</f>
        <v>120969</v>
      </c>
      <c r="B3149" s="2">
        <f>IFERROR(__xludf.DUMMYFUNCTION("""COMPUTED_VALUE"""),0.0)</f>
        <v>0</v>
      </c>
      <c r="C3149" s="2">
        <f>IFERROR(__xludf.DUMMYFUNCTION("""COMPUTED_VALUE"""),136.0)</f>
        <v>136</v>
      </c>
      <c r="D3149" s="3">
        <f>IFERROR(__xludf.DUMMYFUNCTION("""COMPUTED_VALUE"""),47.0)</f>
        <v>47</v>
      </c>
      <c r="E3149" s="2"/>
      <c r="F3149" s="2"/>
    </row>
    <row r="3150">
      <c r="A3150" s="2">
        <f>IFERROR(__xludf.DUMMYFUNCTION("""COMPUTED_VALUE"""),188728.0)</f>
        <v>188728</v>
      </c>
      <c r="B3150" s="2">
        <f>IFERROR(__xludf.DUMMYFUNCTION("""COMPUTED_VALUE"""),1.0)</f>
        <v>1</v>
      </c>
      <c r="C3150" s="2">
        <f>IFERROR(__xludf.DUMMYFUNCTION("""COMPUTED_VALUE"""),676.0)</f>
        <v>676</v>
      </c>
      <c r="D3150" s="3">
        <f>IFERROR(__xludf.DUMMYFUNCTION("""COMPUTED_VALUE"""),477.0)</f>
        <v>477</v>
      </c>
      <c r="E3150" s="2"/>
      <c r="F3150" s="2"/>
    </row>
    <row r="3151">
      <c r="A3151" s="2">
        <f>IFERROR(__xludf.DUMMYFUNCTION("""COMPUTED_VALUE"""),188663.0)</f>
        <v>188663</v>
      </c>
      <c r="B3151" s="2">
        <f>IFERROR(__xludf.DUMMYFUNCTION("""COMPUTED_VALUE"""),0.0)</f>
        <v>0</v>
      </c>
      <c r="C3151" s="2">
        <f>IFERROR(__xludf.DUMMYFUNCTION("""COMPUTED_VALUE"""),289.0)</f>
        <v>289</v>
      </c>
      <c r="D3151" s="3">
        <f>IFERROR(__xludf.DUMMYFUNCTION("""COMPUTED_VALUE"""),175.0)</f>
        <v>175</v>
      </c>
      <c r="E3151" s="2"/>
      <c r="F3151" s="2"/>
    </row>
    <row r="3152">
      <c r="A3152" s="2">
        <f>IFERROR(__xludf.DUMMYFUNCTION("""COMPUTED_VALUE"""),188727.0)</f>
        <v>188727</v>
      </c>
      <c r="B3152" s="2">
        <f>IFERROR(__xludf.DUMMYFUNCTION("""COMPUTED_VALUE"""),0.0)</f>
        <v>0</v>
      </c>
      <c r="C3152" s="2">
        <f>IFERROR(__xludf.DUMMYFUNCTION("""COMPUTED_VALUE"""),417.0)</f>
        <v>417</v>
      </c>
      <c r="D3152" s="3">
        <f>IFERROR(__xludf.DUMMYFUNCTION("""COMPUTED_VALUE"""),131.0)</f>
        <v>131</v>
      </c>
      <c r="E3152" s="2"/>
      <c r="F3152" s="2"/>
    </row>
    <row r="3153">
      <c r="A3153" s="2">
        <f>IFERROR(__xludf.DUMMYFUNCTION("""COMPUTED_VALUE"""),9741.0)</f>
        <v>9741</v>
      </c>
      <c r="B3153" s="2">
        <f>IFERROR(__xludf.DUMMYFUNCTION("""COMPUTED_VALUE"""),1.0)</f>
        <v>1</v>
      </c>
      <c r="C3153" s="2">
        <f>IFERROR(__xludf.DUMMYFUNCTION("""COMPUTED_VALUE"""),800.0)</f>
        <v>800</v>
      </c>
      <c r="D3153" s="3">
        <f>IFERROR(__xludf.DUMMYFUNCTION("""COMPUTED_VALUE"""),492.0)</f>
        <v>492</v>
      </c>
      <c r="E3153" s="2"/>
      <c r="F3153" s="2"/>
    </row>
    <row r="3154">
      <c r="A3154" s="2">
        <f>IFERROR(__xludf.DUMMYFUNCTION("""COMPUTED_VALUE"""),70406.0)</f>
        <v>70406</v>
      </c>
      <c r="B3154" s="2">
        <f>IFERROR(__xludf.DUMMYFUNCTION("""COMPUTED_VALUE"""),1.0)</f>
        <v>1</v>
      </c>
      <c r="C3154" s="2">
        <f>IFERROR(__xludf.DUMMYFUNCTION("""COMPUTED_VALUE"""),784.0)</f>
        <v>784</v>
      </c>
      <c r="D3154" s="3">
        <f>IFERROR(__xludf.DUMMYFUNCTION("""COMPUTED_VALUE"""),333.0)</f>
        <v>333</v>
      </c>
      <c r="E3154" s="2"/>
      <c r="F3154" s="2"/>
    </row>
    <row r="3155">
      <c r="A3155" s="2">
        <f>IFERROR(__xludf.DUMMYFUNCTION("""COMPUTED_VALUE"""),112114.0)</f>
        <v>112114</v>
      </c>
      <c r="B3155" s="2">
        <f>IFERROR(__xludf.DUMMYFUNCTION("""COMPUTED_VALUE"""),0.0)</f>
        <v>0</v>
      </c>
      <c r="C3155" s="2">
        <f>IFERROR(__xludf.DUMMYFUNCTION("""COMPUTED_VALUE"""),383.0)</f>
        <v>383</v>
      </c>
      <c r="D3155" s="3">
        <f>IFERROR(__xludf.DUMMYFUNCTION("""COMPUTED_VALUE"""),206.0)</f>
        <v>206</v>
      </c>
      <c r="E3155" s="2"/>
      <c r="F3155" s="2"/>
    </row>
    <row r="3156">
      <c r="A3156" s="2">
        <f>IFERROR(__xludf.DUMMYFUNCTION("""COMPUTED_VALUE"""),70405.0)</f>
        <v>70405</v>
      </c>
      <c r="B3156" s="2">
        <f>IFERROR(__xludf.DUMMYFUNCTION("""COMPUTED_VALUE"""),0.0)</f>
        <v>0</v>
      </c>
      <c r="C3156" s="2">
        <f>IFERROR(__xludf.DUMMYFUNCTION("""COMPUTED_VALUE"""),900.0)</f>
        <v>900</v>
      </c>
      <c r="D3156" s="3">
        <f>IFERROR(__xludf.DUMMYFUNCTION("""COMPUTED_VALUE"""),523.0)</f>
        <v>523</v>
      </c>
      <c r="E3156" s="2"/>
      <c r="F3156" s="2"/>
    </row>
    <row r="3157">
      <c r="A3157" s="2">
        <f>IFERROR(__xludf.DUMMYFUNCTION("""COMPUTED_VALUE"""),20405.0)</f>
        <v>20405</v>
      </c>
      <c r="B3157" s="2">
        <f>IFERROR(__xludf.DUMMYFUNCTION("""COMPUTED_VALUE"""),1.0)</f>
        <v>1</v>
      </c>
      <c r="C3157" s="2">
        <f>IFERROR(__xludf.DUMMYFUNCTION("""COMPUTED_VALUE"""),523.0)</f>
        <v>523</v>
      </c>
      <c r="D3157" s="3">
        <f>IFERROR(__xludf.DUMMYFUNCTION("""COMPUTED_VALUE"""),226.0)</f>
        <v>226</v>
      </c>
      <c r="E3157" s="2"/>
      <c r="F3157" s="2"/>
    </row>
    <row r="3158">
      <c r="A3158" s="2">
        <f>IFERROR(__xludf.DUMMYFUNCTION("""COMPUTED_VALUE"""),121308.0)</f>
        <v>121308</v>
      </c>
      <c r="B3158" s="2">
        <f>IFERROR(__xludf.DUMMYFUNCTION("""COMPUTED_VALUE"""),1.0)</f>
        <v>1</v>
      </c>
      <c r="C3158" s="2">
        <f>IFERROR(__xludf.DUMMYFUNCTION("""COMPUTED_VALUE"""),10.0)</f>
        <v>10</v>
      </c>
      <c r="D3158" s="3">
        <f>IFERROR(__xludf.DUMMYFUNCTION("""COMPUTED_VALUE"""),5.0)</f>
        <v>5</v>
      </c>
      <c r="E3158" s="2"/>
      <c r="F3158" s="2"/>
    </row>
    <row r="3159">
      <c r="A3159" s="2">
        <f>IFERROR(__xludf.DUMMYFUNCTION("""COMPUTED_VALUE"""),121311.0)</f>
        <v>121311</v>
      </c>
      <c r="B3159" s="2">
        <f>IFERROR(__xludf.DUMMYFUNCTION("""COMPUTED_VALUE"""),0.0)</f>
        <v>0</v>
      </c>
      <c r="C3159" s="2">
        <f>IFERROR(__xludf.DUMMYFUNCTION("""COMPUTED_VALUE"""),393.0)</f>
        <v>393</v>
      </c>
      <c r="D3159" s="3">
        <f>IFERROR(__xludf.DUMMYFUNCTION("""COMPUTED_VALUE"""),256.0)</f>
        <v>256</v>
      </c>
      <c r="E3159" s="2"/>
      <c r="F3159" s="2"/>
    </row>
    <row r="3160">
      <c r="A3160" s="2">
        <f>IFERROR(__xludf.DUMMYFUNCTION("""COMPUTED_VALUE"""),124748.0)</f>
        <v>124748</v>
      </c>
      <c r="B3160" s="2">
        <f>IFERROR(__xludf.DUMMYFUNCTION("""COMPUTED_VALUE"""),0.0)</f>
        <v>0</v>
      </c>
      <c r="C3160" s="2">
        <f>IFERROR(__xludf.DUMMYFUNCTION("""COMPUTED_VALUE"""),748.0)</f>
        <v>748</v>
      </c>
      <c r="D3160" s="3">
        <f>IFERROR(__xludf.DUMMYFUNCTION("""COMPUTED_VALUE"""),511.0)</f>
        <v>511</v>
      </c>
      <c r="E3160" s="2"/>
      <c r="F3160" s="2"/>
    </row>
    <row r="3161">
      <c r="A3161" s="2">
        <f>IFERROR(__xludf.DUMMYFUNCTION("""COMPUTED_VALUE"""),104315.0)</f>
        <v>104315</v>
      </c>
      <c r="B3161" s="2">
        <f>IFERROR(__xludf.DUMMYFUNCTION("""COMPUTED_VALUE"""),0.0)</f>
        <v>0</v>
      </c>
      <c r="C3161" s="2">
        <f>IFERROR(__xludf.DUMMYFUNCTION("""COMPUTED_VALUE"""),36.0)</f>
        <v>36</v>
      </c>
      <c r="D3161" s="3">
        <f>IFERROR(__xludf.DUMMYFUNCTION("""COMPUTED_VALUE"""),18.0)</f>
        <v>18</v>
      </c>
      <c r="E3161" s="2"/>
      <c r="F3161" s="2"/>
    </row>
    <row r="3162">
      <c r="A3162" s="2">
        <f>IFERROR(__xludf.DUMMYFUNCTION("""COMPUTED_VALUE"""),104314.0)</f>
        <v>104314</v>
      </c>
      <c r="B3162" s="2">
        <f>IFERROR(__xludf.DUMMYFUNCTION("""COMPUTED_VALUE"""),1.0)</f>
        <v>1</v>
      </c>
      <c r="C3162" s="2">
        <f>IFERROR(__xludf.DUMMYFUNCTION("""COMPUTED_VALUE"""),984.0)</f>
        <v>984</v>
      </c>
      <c r="D3162" s="3">
        <f>IFERROR(__xludf.DUMMYFUNCTION("""COMPUTED_VALUE"""),602.0)</f>
        <v>602</v>
      </c>
      <c r="E3162" s="2"/>
      <c r="F3162" s="2"/>
    </row>
    <row r="3163">
      <c r="A3163" s="2">
        <f>IFERROR(__xludf.DUMMYFUNCTION("""COMPUTED_VALUE"""),69287.0)</f>
        <v>69287</v>
      </c>
      <c r="B3163" s="2">
        <f>IFERROR(__xludf.DUMMYFUNCTION("""COMPUTED_VALUE"""),0.0)</f>
        <v>0</v>
      </c>
      <c r="C3163" s="2">
        <f>IFERROR(__xludf.DUMMYFUNCTION("""COMPUTED_VALUE"""),903.0)</f>
        <v>903</v>
      </c>
      <c r="D3163" s="3">
        <f>IFERROR(__xludf.DUMMYFUNCTION("""COMPUTED_VALUE"""),363.0)</f>
        <v>363</v>
      </c>
      <c r="E3163" s="2"/>
      <c r="F3163" s="2"/>
    </row>
    <row r="3164">
      <c r="A3164" s="2">
        <f>IFERROR(__xludf.DUMMYFUNCTION("""COMPUTED_VALUE"""),5789.0)</f>
        <v>5789</v>
      </c>
      <c r="B3164" s="2">
        <f>IFERROR(__xludf.DUMMYFUNCTION("""COMPUTED_VALUE"""),1.0)</f>
        <v>1</v>
      </c>
      <c r="C3164" s="2">
        <f>IFERROR(__xludf.DUMMYFUNCTION("""COMPUTED_VALUE"""),255.0)</f>
        <v>255</v>
      </c>
      <c r="D3164" s="3">
        <f>IFERROR(__xludf.DUMMYFUNCTION("""COMPUTED_VALUE"""),116.0)</f>
        <v>116</v>
      </c>
      <c r="E3164" s="2"/>
      <c r="F3164" s="2"/>
    </row>
    <row r="3165">
      <c r="A3165" s="2">
        <f>IFERROR(__xludf.DUMMYFUNCTION("""COMPUTED_VALUE"""),14013.0)</f>
        <v>14013</v>
      </c>
      <c r="B3165" s="2">
        <f>IFERROR(__xludf.DUMMYFUNCTION("""COMPUTED_VALUE"""),1.0)</f>
        <v>1</v>
      </c>
      <c r="C3165" s="2">
        <f>IFERROR(__xludf.DUMMYFUNCTION("""COMPUTED_VALUE"""),750.0)</f>
        <v>750</v>
      </c>
      <c r="D3165" s="3">
        <f>IFERROR(__xludf.DUMMYFUNCTION("""COMPUTED_VALUE"""),503.0)</f>
        <v>503</v>
      </c>
      <c r="E3165" s="2"/>
      <c r="F3165" s="2"/>
    </row>
    <row r="3166">
      <c r="A3166" s="2">
        <f>IFERROR(__xludf.DUMMYFUNCTION("""COMPUTED_VALUE"""),14015.0)</f>
        <v>14015</v>
      </c>
      <c r="B3166" s="2">
        <f>IFERROR(__xludf.DUMMYFUNCTION("""COMPUTED_VALUE"""),1.0)</f>
        <v>1</v>
      </c>
      <c r="C3166" s="2">
        <f>IFERROR(__xludf.DUMMYFUNCTION("""COMPUTED_VALUE"""),36.0)</f>
        <v>36</v>
      </c>
      <c r="D3166" s="3">
        <f>IFERROR(__xludf.DUMMYFUNCTION("""COMPUTED_VALUE"""),30.0)</f>
        <v>30</v>
      </c>
      <c r="E3166" s="2"/>
      <c r="F3166" s="2"/>
    </row>
    <row r="3167">
      <c r="A3167" s="2">
        <f>IFERROR(__xludf.DUMMYFUNCTION("""COMPUTED_VALUE"""),69291.0)</f>
        <v>69291</v>
      </c>
      <c r="B3167" s="2">
        <f>IFERROR(__xludf.DUMMYFUNCTION("""COMPUTED_VALUE"""),1.0)</f>
        <v>1</v>
      </c>
      <c r="C3167" s="2">
        <f>IFERROR(__xludf.DUMMYFUNCTION("""COMPUTED_VALUE"""),59.0)</f>
        <v>59</v>
      </c>
      <c r="D3167" s="3">
        <f>IFERROR(__xludf.DUMMYFUNCTION("""COMPUTED_VALUE"""),42.0)</f>
        <v>42</v>
      </c>
      <c r="E3167" s="2"/>
      <c r="F3167" s="2"/>
    </row>
    <row r="3168">
      <c r="A3168" s="2">
        <f>IFERROR(__xludf.DUMMYFUNCTION("""COMPUTED_VALUE"""),26057.0)</f>
        <v>26057</v>
      </c>
      <c r="B3168" s="2">
        <f>IFERROR(__xludf.DUMMYFUNCTION("""COMPUTED_VALUE"""),1.0)</f>
        <v>1</v>
      </c>
      <c r="C3168" s="2">
        <f>IFERROR(__xludf.DUMMYFUNCTION("""COMPUTED_VALUE"""),547.0)</f>
        <v>547</v>
      </c>
      <c r="D3168" s="3">
        <f>IFERROR(__xludf.DUMMYFUNCTION("""COMPUTED_VALUE"""),65.0)</f>
        <v>65</v>
      </c>
      <c r="E3168" s="2"/>
      <c r="F3168" s="2"/>
    </row>
    <row r="3169">
      <c r="A3169" s="2">
        <f>IFERROR(__xludf.DUMMYFUNCTION("""COMPUTED_VALUE"""),14022.0)</f>
        <v>14022</v>
      </c>
      <c r="B3169" s="2">
        <f>IFERROR(__xludf.DUMMYFUNCTION("""COMPUTED_VALUE"""),0.0)</f>
        <v>0</v>
      </c>
      <c r="C3169" s="2">
        <f>IFERROR(__xludf.DUMMYFUNCTION("""COMPUTED_VALUE"""),503.0)</f>
        <v>503</v>
      </c>
      <c r="D3169" s="3">
        <f>IFERROR(__xludf.DUMMYFUNCTION("""COMPUTED_VALUE"""),121.0)</f>
        <v>121</v>
      </c>
      <c r="E3169" s="2"/>
      <c r="F3169" s="2"/>
    </row>
    <row r="3170">
      <c r="A3170" s="2">
        <f>IFERROR(__xludf.DUMMYFUNCTION("""COMPUTED_VALUE"""),80109.0)</f>
        <v>80109</v>
      </c>
      <c r="B3170" s="2">
        <f>IFERROR(__xludf.DUMMYFUNCTION("""COMPUTED_VALUE"""),1.0)</f>
        <v>1</v>
      </c>
      <c r="C3170" s="2">
        <f>IFERROR(__xludf.DUMMYFUNCTION("""COMPUTED_VALUE"""),42.0)</f>
        <v>42</v>
      </c>
      <c r="D3170" s="3">
        <f>IFERROR(__xludf.DUMMYFUNCTION("""COMPUTED_VALUE"""),16.0)</f>
        <v>16</v>
      </c>
      <c r="E3170" s="2"/>
      <c r="F3170" s="2"/>
    </row>
    <row r="3171">
      <c r="A3171" s="2">
        <f>IFERROR(__xludf.DUMMYFUNCTION("""COMPUTED_VALUE"""),121686.0)</f>
        <v>121686</v>
      </c>
      <c r="B3171" s="2">
        <f>IFERROR(__xludf.DUMMYFUNCTION("""COMPUTED_VALUE"""),0.0)</f>
        <v>0</v>
      </c>
      <c r="C3171" s="2">
        <f>IFERROR(__xludf.DUMMYFUNCTION("""COMPUTED_VALUE"""),866.0)</f>
        <v>866</v>
      </c>
      <c r="D3171" s="3">
        <f>IFERROR(__xludf.DUMMYFUNCTION("""COMPUTED_VALUE"""),637.0)</f>
        <v>637</v>
      </c>
      <c r="E3171" s="2"/>
      <c r="F3171" s="2"/>
    </row>
    <row r="3172">
      <c r="A3172" s="2">
        <f>IFERROR(__xludf.DUMMYFUNCTION("""COMPUTED_VALUE"""),60365.0)</f>
        <v>60365</v>
      </c>
      <c r="B3172" s="2">
        <f>IFERROR(__xludf.DUMMYFUNCTION("""COMPUTED_VALUE"""),0.0)</f>
        <v>0</v>
      </c>
      <c r="C3172" s="2">
        <f>IFERROR(__xludf.DUMMYFUNCTION("""COMPUTED_VALUE"""),26.0)</f>
        <v>26</v>
      </c>
      <c r="D3172" s="3">
        <f>IFERROR(__xludf.DUMMYFUNCTION("""COMPUTED_VALUE"""),8.0)</f>
        <v>8</v>
      </c>
      <c r="E3172" s="2"/>
      <c r="F3172" s="2"/>
    </row>
    <row r="3173">
      <c r="A3173" s="2">
        <f>IFERROR(__xludf.DUMMYFUNCTION("""COMPUTED_VALUE"""),86488.0)</f>
        <v>86488</v>
      </c>
      <c r="B3173" s="2">
        <f>IFERROR(__xludf.DUMMYFUNCTION("""COMPUTED_VALUE"""),0.0)</f>
        <v>0</v>
      </c>
      <c r="C3173" s="2">
        <f>IFERROR(__xludf.DUMMYFUNCTION("""COMPUTED_VALUE"""),356.0)</f>
        <v>356</v>
      </c>
      <c r="D3173" s="3">
        <f>IFERROR(__xludf.DUMMYFUNCTION("""COMPUTED_VALUE"""),258.0)</f>
        <v>258</v>
      </c>
      <c r="E3173" s="2"/>
      <c r="F3173" s="2"/>
    </row>
    <row r="3174">
      <c r="A3174" s="2">
        <f>IFERROR(__xludf.DUMMYFUNCTION("""COMPUTED_VALUE"""),122530.0)</f>
        <v>122530</v>
      </c>
      <c r="B3174" s="2">
        <f>IFERROR(__xludf.DUMMYFUNCTION("""COMPUTED_VALUE"""),1.0)</f>
        <v>1</v>
      </c>
      <c r="C3174" s="2">
        <f>IFERROR(__xludf.DUMMYFUNCTION("""COMPUTED_VALUE"""),24.0)</f>
        <v>24</v>
      </c>
      <c r="D3174" s="3">
        <f>IFERROR(__xludf.DUMMYFUNCTION("""COMPUTED_VALUE"""),2.0)</f>
        <v>2</v>
      </c>
      <c r="E3174" s="2"/>
      <c r="F3174" s="2"/>
    </row>
    <row r="3175">
      <c r="A3175" s="2">
        <f>IFERROR(__xludf.DUMMYFUNCTION("""COMPUTED_VALUE"""),60526.0)</f>
        <v>60526</v>
      </c>
      <c r="B3175" s="2">
        <f>IFERROR(__xludf.DUMMYFUNCTION("""COMPUTED_VALUE"""),0.0)</f>
        <v>0</v>
      </c>
      <c r="C3175" s="2">
        <f>IFERROR(__xludf.DUMMYFUNCTION("""COMPUTED_VALUE"""),35.0)</f>
        <v>35</v>
      </c>
      <c r="D3175" s="3">
        <f>IFERROR(__xludf.DUMMYFUNCTION("""COMPUTED_VALUE"""),20.0)</f>
        <v>20</v>
      </c>
      <c r="E3175" s="2"/>
      <c r="F3175" s="2"/>
    </row>
    <row r="3176">
      <c r="A3176" s="2">
        <f>IFERROR(__xludf.DUMMYFUNCTION("""COMPUTED_VALUE"""),116807.0)</f>
        <v>116807</v>
      </c>
      <c r="B3176" s="2">
        <f>IFERROR(__xludf.DUMMYFUNCTION("""COMPUTED_VALUE"""),0.0)</f>
        <v>0</v>
      </c>
      <c r="C3176" s="2">
        <f>IFERROR(__xludf.DUMMYFUNCTION("""COMPUTED_VALUE"""),669.0)</f>
        <v>669</v>
      </c>
      <c r="D3176" s="3">
        <f>IFERROR(__xludf.DUMMYFUNCTION("""COMPUTED_VALUE"""),408.0)</f>
        <v>408</v>
      </c>
      <c r="E3176" s="2"/>
      <c r="F3176" s="2"/>
    </row>
    <row r="3177">
      <c r="A3177" s="2">
        <f>IFERROR(__xludf.DUMMYFUNCTION("""COMPUTED_VALUE"""),80030.0)</f>
        <v>80030</v>
      </c>
      <c r="B3177" s="2">
        <f>IFERROR(__xludf.DUMMYFUNCTION("""COMPUTED_VALUE"""),1.0)</f>
        <v>1</v>
      </c>
      <c r="C3177" s="2">
        <f>IFERROR(__xludf.DUMMYFUNCTION("""COMPUTED_VALUE"""),576.0)</f>
        <v>576</v>
      </c>
      <c r="D3177" s="3">
        <f>IFERROR(__xludf.DUMMYFUNCTION("""COMPUTED_VALUE"""),535.0)</f>
        <v>535</v>
      </c>
      <c r="E3177" s="2"/>
      <c r="F3177" s="2"/>
    </row>
    <row r="3178">
      <c r="A3178" s="2">
        <f>IFERROR(__xludf.DUMMYFUNCTION("""COMPUTED_VALUE"""),122529.0)</f>
        <v>122529</v>
      </c>
      <c r="B3178" s="2">
        <f>IFERROR(__xludf.DUMMYFUNCTION("""COMPUTED_VALUE"""),0.0)</f>
        <v>0</v>
      </c>
      <c r="C3178" s="2">
        <f>IFERROR(__xludf.DUMMYFUNCTION("""COMPUTED_VALUE"""),679.0)</f>
        <v>679</v>
      </c>
      <c r="D3178" s="3">
        <f>IFERROR(__xludf.DUMMYFUNCTION("""COMPUTED_VALUE"""),537.0)</f>
        <v>537</v>
      </c>
      <c r="E3178" s="2"/>
      <c r="F3178" s="2"/>
    </row>
    <row r="3179">
      <c r="A3179" s="2">
        <f>IFERROR(__xludf.DUMMYFUNCTION("""COMPUTED_VALUE"""),14042.0)</f>
        <v>14042</v>
      </c>
      <c r="B3179" s="2">
        <f>IFERROR(__xludf.DUMMYFUNCTION("""COMPUTED_VALUE"""),1.0)</f>
        <v>1</v>
      </c>
      <c r="C3179" s="2">
        <f>IFERROR(__xludf.DUMMYFUNCTION("""COMPUTED_VALUE"""),728.0)</f>
        <v>728</v>
      </c>
      <c r="D3179" s="3">
        <f>IFERROR(__xludf.DUMMYFUNCTION("""COMPUTED_VALUE"""),81.0)</f>
        <v>81</v>
      </c>
      <c r="E3179" s="2"/>
      <c r="F3179" s="2"/>
    </row>
    <row r="3180">
      <c r="A3180" s="2">
        <f>IFERROR(__xludf.DUMMYFUNCTION("""COMPUTED_VALUE"""),14043.0)</f>
        <v>14043</v>
      </c>
      <c r="B3180" s="2">
        <f>IFERROR(__xludf.DUMMYFUNCTION("""COMPUTED_VALUE"""),0.0)</f>
        <v>0</v>
      </c>
      <c r="C3180" s="2">
        <f>IFERROR(__xludf.DUMMYFUNCTION("""COMPUTED_VALUE"""),627.0)</f>
        <v>627</v>
      </c>
      <c r="D3180" s="3">
        <f>IFERROR(__xludf.DUMMYFUNCTION("""COMPUTED_VALUE"""),72.0)</f>
        <v>72</v>
      </c>
      <c r="E3180" s="2"/>
      <c r="F3180" s="2"/>
    </row>
    <row r="3181">
      <c r="A3181" s="2">
        <f>IFERROR(__xludf.DUMMYFUNCTION("""COMPUTED_VALUE"""),9157.0)</f>
        <v>9157</v>
      </c>
      <c r="B3181" s="2">
        <f>IFERROR(__xludf.DUMMYFUNCTION("""COMPUTED_VALUE"""),1.0)</f>
        <v>1</v>
      </c>
      <c r="C3181" s="2">
        <f>IFERROR(__xludf.DUMMYFUNCTION("""COMPUTED_VALUE"""),781.0)</f>
        <v>781</v>
      </c>
      <c r="D3181" s="3">
        <f>IFERROR(__xludf.DUMMYFUNCTION("""COMPUTED_VALUE"""),216.0)</f>
        <v>216</v>
      </c>
      <c r="E3181" s="2"/>
      <c r="F3181" s="2"/>
    </row>
    <row r="3182">
      <c r="A3182" s="2">
        <f>IFERROR(__xludf.DUMMYFUNCTION("""COMPUTED_VALUE"""),149968.0)</f>
        <v>149968</v>
      </c>
      <c r="B3182" s="2">
        <f>IFERROR(__xludf.DUMMYFUNCTION("""COMPUTED_VALUE"""),0.0)</f>
        <v>0</v>
      </c>
      <c r="C3182" s="2">
        <f>IFERROR(__xludf.DUMMYFUNCTION("""COMPUTED_VALUE"""),92.0)</f>
        <v>92</v>
      </c>
      <c r="D3182" s="3">
        <f>IFERROR(__xludf.DUMMYFUNCTION("""COMPUTED_VALUE"""),88.0)</f>
        <v>88</v>
      </c>
      <c r="E3182" s="2"/>
      <c r="F3182" s="2"/>
    </row>
    <row r="3183">
      <c r="A3183" s="2">
        <f>IFERROR(__xludf.DUMMYFUNCTION("""COMPUTED_VALUE"""),47299.0)</f>
        <v>47299</v>
      </c>
      <c r="B3183" s="2">
        <f>IFERROR(__xludf.DUMMYFUNCTION("""COMPUTED_VALUE"""),0.0)</f>
        <v>0</v>
      </c>
      <c r="C3183" s="2">
        <f>IFERROR(__xludf.DUMMYFUNCTION("""COMPUTED_VALUE"""),834.0)</f>
        <v>834</v>
      </c>
      <c r="D3183" s="3">
        <f>IFERROR(__xludf.DUMMYFUNCTION("""COMPUTED_VALUE"""),496.0)</f>
        <v>496</v>
      </c>
      <c r="E3183" s="2"/>
      <c r="F3183" s="2"/>
    </row>
    <row r="3184">
      <c r="A3184" s="2">
        <f>IFERROR(__xludf.DUMMYFUNCTION("""COMPUTED_VALUE"""),109275.0)</f>
        <v>109275</v>
      </c>
      <c r="B3184" s="2">
        <f>IFERROR(__xludf.DUMMYFUNCTION("""COMPUTED_VALUE"""),0.0)</f>
        <v>0</v>
      </c>
      <c r="C3184" s="2">
        <f>IFERROR(__xludf.DUMMYFUNCTION("""COMPUTED_VALUE"""),288.0)</f>
        <v>288</v>
      </c>
      <c r="D3184" s="3">
        <f>IFERROR(__xludf.DUMMYFUNCTION("""COMPUTED_VALUE"""),244.0)</f>
        <v>244</v>
      </c>
      <c r="E3184" s="2"/>
      <c r="F3184" s="2"/>
    </row>
    <row r="3185">
      <c r="A3185" s="2">
        <f>IFERROR(__xludf.DUMMYFUNCTION("""COMPUTED_VALUE"""),122768.0)</f>
        <v>122768</v>
      </c>
      <c r="B3185" s="2">
        <f>IFERROR(__xludf.DUMMYFUNCTION("""COMPUTED_VALUE"""),1.0)</f>
        <v>1</v>
      </c>
      <c r="C3185" s="2">
        <f>IFERROR(__xludf.DUMMYFUNCTION("""COMPUTED_VALUE"""),916.0)</f>
        <v>916</v>
      </c>
      <c r="D3185" s="3">
        <f>IFERROR(__xludf.DUMMYFUNCTION("""COMPUTED_VALUE"""),365.0)</f>
        <v>365</v>
      </c>
      <c r="E3185" s="2"/>
      <c r="F3185" s="2"/>
    </row>
    <row r="3186">
      <c r="A3186" s="2">
        <f>IFERROR(__xludf.DUMMYFUNCTION("""COMPUTED_VALUE"""),80400.0)</f>
        <v>80400</v>
      </c>
      <c r="B3186" s="2">
        <f>IFERROR(__xludf.DUMMYFUNCTION("""COMPUTED_VALUE"""),1.0)</f>
        <v>1</v>
      </c>
      <c r="C3186" s="2">
        <f>IFERROR(__xludf.DUMMYFUNCTION("""COMPUTED_VALUE"""),287.0)</f>
        <v>287</v>
      </c>
      <c r="D3186" s="3">
        <f>IFERROR(__xludf.DUMMYFUNCTION("""COMPUTED_VALUE"""),12.0)</f>
        <v>12</v>
      </c>
      <c r="E3186" s="2"/>
      <c r="F3186" s="2"/>
    </row>
    <row r="3187">
      <c r="A3187" s="2">
        <f>IFERROR(__xludf.DUMMYFUNCTION("""COMPUTED_VALUE"""),8803.0)</f>
        <v>8803</v>
      </c>
      <c r="B3187" s="2">
        <f>IFERROR(__xludf.DUMMYFUNCTION("""COMPUTED_VALUE"""),0.0)</f>
        <v>0</v>
      </c>
      <c r="C3187" s="2">
        <f>IFERROR(__xludf.DUMMYFUNCTION("""COMPUTED_VALUE"""),176.0)</f>
        <v>176</v>
      </c>
      <c r="D3187" s="3">
        <f>IFERROR(__xludf.DUMMYFUNCTION("""COMPUTED_VALUE"""),32.0)</f>
        <v>32</v>
      </c>
      <c r="E3187" s="2"/>
      <c r="F3187" s="2"/>
    </row>
    <row r="3188">
      <c r="A3188" s="2">
        <f>IFERROR(__xludf.DUMMYFUNCTION("""COMPUTED_VALUE"""),80085.0)</f>
        <v>80085</v>
      </c>
      <c r="B3188" s="2">
        <f>IFERROR(__xludf.DUMMYFUNCTION("""COMPUTED_VALUE"""),0.0)</f>
        <v>0</v>
      </c>
      <c r="C3188" s="2">
        <f>IFERROR(__xludf.DUMMYFUNCTION("""COMPUTED_VALUE"""),286.0)</f>
        <v>286</v>
      </c>
      <c r="D3188" s="3">
        <f>IFERROR(__xludf.DUMMYFUNCTION("""COMPUTED_VALUE"""),17.0)</f>
        <v>17</v>
      </c>
      <c r="E3188" s="2"/>
      <c r="F3188" s="2"/>
    </row>
    <row r="3189">
      <c r="A3189" s="2">
        <f>IFERROR(__xludf.DUMMYFUNCTION("""COMPUTED_VALUE"""),47379.0)</f>
        <v>47379</v>
      </c>
      <c r="B3189" s="2">
        <f>IFERROR(__xludf.DUMMYFUNCTION("""COMPUTED_VALUE"""),0.0)</f>
        <v>0</v>
      </c>
      <c r="C3189" s="2">
        <f>IFERROR(__xludf.DUMMYFUNCTION("""COMPUTED_VALUE"""),263.0)</f>
        <v>263</v>
      </c>
      <c r="D3189" s="3">
        <f>IFERROR(__xludf.DUMMYFUNCTION("""COMPUTED_VALUE"""),55.0)</f>
        <v>55</v>
      </c>
      <c r="E3189" s="2"/>
      <c r="F3189" s="2"/>
    </row>
    <row r="3190">
      <c r="A3190" s="2">
        <f>IFERROR(__xludf.DUMMYFUNCTION("""COMPUTED_VALUE"""),47366.0)</f>
        <v>47366</v>
      </c>
      <c r="B3190" s="2">
        <f>IFERROR(__xludf.DUMMYFUNCTION("""COMPUTED_VALUE"""),1.0)</f>
        <v>1</v>
      </c>
      <c r="C3190" s="2">
        <f>IFERROR(__xludf.DUMMYFUNCTION("""COMPUTED_VALUE"""),691.0)</f>
        <v>691</v>
      </c>
      <c r="D3190" s="3">
        <f>IFERROR(__xludf.DUMMYFUNCTION("""COMPUTED_VALUE"""),278.0)</f>
        <v>278</v>
      </c>
      <c r="E3190" s="2"/>
      <c r="F3190" s="2"/>
    </row>
    <row r="3191">
      <c r="A3191" s="2">
        <f>IFERROR(__xludf.DUMMYFUNCTION("""COMPUTED_VALUE"""),47376.0)</f>
        <v>47376</v>
      </c>
      <c r="B3191" s="2">
        <f>IFERROR(__xludf.DUMMYFUNCTION("""COMPUTED_VALUE"""),0.0)</f>
        <v>0</v>
      </c>
      <c r="C3191" s="2">
        <f>IFERROR(__xludf.DUMMYFUNCTION("""COMPUTED_VALUE"""),33.0)</f>
        <v>33</v>
      </c>
      <c r="D3191" s="3">
        <f>IFERROR(__xludf.DUMMYFUNCTION("""COMPUTED_VALUE"""),2.0)</f>
        <v>2</v>
      </c>
      <c r="E3191" s="2"/>
      <c r="F3191" s="2"/>
    </row>
    <row r="3192">
      <c r="A3192" s="2">
        <f>IFERROR(__xludf.DUMMYFUNCTION("""COMPUTED_VALUE"""),95799.0)</f>
        <v>95799</v>
      </c>
      <c r="B3192" s="2">
        <f>IFERROR(__xludf.DUMMYFUNCTION("""COMPUTED_VALUE"""),0.0)</f>
        <v>0</v>
      </c>
      <c r="C3192" s="2">
        <f>IFERROR(__xludf.DUMMYFUNCTION("""COMPUTED_VALUE"""),31.0)</f>
        <v>31</v>
      </c>
      <c r="D3192" s="3">
        <f>IFERROR(__xludf.DUMMYFUNCTION("""COMPUTED_VALUE"""),21.0)</f>
        <v>21</v>
      </c>
      <c r="E3192" s="2"/>
      <c r="F3192" s="2"/>
    </row>
    <row r="3193">
      <c r="A3193" s="2">
        <f>IFERROR(__xludf.DUMMYFUNCTION("""COMPUTED_VALUE"""),112733.0)</f>
        <v>112733</v>
      </c>
      <c r="B3193" s="2">
        <f>IFERROR(__xludf.DUMMYFUNCTION("""COMPUTED_VALUE"""),1.0)</f>
        <v>1</v>
      </c>
      <c r="C3193" s="2">
        <f>IFERROR(__xludf.DUMMYFUNCTION("""COMPUTED_VALUE"""),630.0)</f>
        <v>630</v>
      </c>
      <c r="D3193" s="3">
        <f>IFERROR(__xludf.DUMMYFUNCTION("""COMPUTED_VALUE"""),533.0)</f>
        <v>533</v>
      </c>
      <c r="E3193" s="2"/>
      <c r="F3193" s="2"/>
    </row>
    <row r="3194">
      <c r="A3194" s="2">
        <f>IFERROR(__xludf.DUMMYFUNCTION("""COMPUTED_VALUE"""),47050.0)</f>
        <v>47050</v>
      </c>
      <c r="B3194" s="2">
        <f>IFERROR(__xludf.DUMMYFUNCTION("""COMPUTED_VALUE"""),1.0)</f>
        <v>1</v>
      </c>
      <c r="C3194" s="2">
        <f>IFERROR(__xludf.DUMMYFUNCTION("""COMPUTED_VALUE"""),526.0)</f>
        <v>526</v>
      </c>
      <c r="D3194" s="3">
        <f>IFERROR(__xludf.DUMMYFUNCTION("""COMPUTED_VALUE"""),506.0)</f>
        <v>506</v>
      </c>
      <c r="E3194" s="2"/>
      <c r="F3194" s="2"/>
    </row>
    <row r="3195">
      <c r="A3195" s="2">
        <f>IFERROR(__xludf.DUMMYFUNCTION("""COMPUTED_VALUE"""),112449.0)</f>
        <v>112449</v>
      </c>
      <c r="B3195" s="2">
        <f>IFERROR(__xludf.DUMMYFUNCTION("""COMPUTED_VALUE"""),0.0)</f>
        <v>0</v>
      </c>
      <c r="C3195" s="2">
        <f>IFERROR(__xludf.DUMMYFUNCTION("""COMPUTED_VALUE"""),336.0)</f>
        <v>336</v>
      </c>
      <c r="D3195" s="3">
        <f>IFERROR(__xludf.DUMMYFUNCTION("""COMPUTED_VALUE"""),38.0)</f>
        <v>38</v>
      </c>
      <c r="E3195" s="2"/>
      <c r="F3195" s="2"/>
    </row>
    <row r="3196">
      <c r="A3196" s="2">
        <f>IFERROR(__xludf.DUMMYFUNCTION("""COMPUTED_VALUE"""),14025.0)</f>
        <v>14025</v>
      </c>
      <c r="B3196" s="2">
        <f>IFERROR(__xludf.DUMMYFUNCTION("""COMPUTED_VALUE"""),1.0)</f>
        <v>1</v>
      </c>
      <c r="C3196" s="2">
        <f>IFERROR(__xludf.DUMMYFUNCTION("""COMPUTED_VALUE"""),498.0)</f>
        <v>498</v>
      </c>
      <c r="D3196" s="3">
        <f>IFERROR(__xludf.DUMMYFUNCTION("""COMPUTED_VALUE"""),15.0)</f>
        <v>15</v>
      </c>
      <c r="E3196" s="2"/>
      <c r="F3196" s="2"/>
    </row>
    <row r="3197">
      <c r="A3197" s="2">
        <f>IFERROR(__xludf.DUMMYFUNCTION("""COMPUTED_VALUE"""),26054.0)</f>
        <v>26054</v>
      </c>
      <c r="B3197" s="2">
        <f>IFERROR(__xludf.DUMMYFUNCTION("""COMPUTED_VALUE"""),0.0)</f>
        <v>0</v>
      </c>
      <c r="C3197" s="2">
        <f>IFERROR(__xludf.DUMMYFUNCTION("""COMPUTED_VALUE"""),776.0)</f>
        <v>776</v>
      </c>
      <c r="D3197" s="3">
        <f>IFERROR(__xludf.DUMMYFUNCTION("""COMPUTED_VALUE"""),10.0)</f>
        <v>10</v>
      </c>
      <c r="E3197" s="2"/>
      <c r="F3197" s="2"/>
    </row>
    <row r="3198">
      <c r="A3198" s="2">
        <f>IFERROR(__xludf.DUMMYFUNCTION("""COMPUTED_VALUE"""),60366.0)</f>
        <v>60366</v>
      </c>
      <c r="B3198" s="2">
        <f>IFERROR(__xludf.DUMMYFUNCTION("""COMPUTED_VALUE"""),0.0)</f>
        <v>0</v>
      </c>
      <c r="C3198" s="2">
        <f>IFERROR(__xludf.DUMMYFUNCTION("""COMPUTED_VALUE"""),358.0)</f>
        <v>358</v>
      </c>
      <c r="D3198" s="3">
        <f>IFERROR(__xludf.DUMMYFUNCTION("""COMPUTED_VALUE"""),276.0)</f>
        <v>276</v>
      </c>
      <c r="E3198" s="2"/>
      <c r="F3198" s="2"/>
    </row>
    <row r="3199">
      <c r="A3199" s="2">
        <f>IFERROR(__xludf.DUMMYFUNCTION("""COMPUTED_VALUE"""),116805.0)</f>
        <v>116805</v>
      </c>
      <c r="B3199" s="2">
        <f>IFERROR(__xludf.DUMMYFUNCTION("""COMPUTED_VALUE"""),1.0)</f>
        <v>1</v>
      </c>
      <c r="C3199" s="2">
        <f>IFERROR(__xludf.DUMMYFUNCTION("""COMPUTED_VALUE"""),752.0)</f>
        <v>752</v>
      </c>
      <c r="D3199" s="3">
        <f>IFERROR(__xludf.DUMMYFUNCTION("""COMPUTED_VALUE"""),141.0)</f>
        <v>141</v>
      </c>
      <c r="E3199" s="2"/>
      <c r="F3199" s="2"/>
    </row>
    <row r="3200">
      <c r="A3200" s="2">
        <f>IFERROR(__xludf.DUMMYFUNCTION("""COMPUTED_VALUE"""),8804.0)</f>
        <v>8804</v>
      </c>
      <c r="B3200" s="2">
        <f>IFERROR(__xludf.DUMMYFUNCTION("""COMPUTED_VALUE"""),1.0)</f>
        <v>1</v>
      </c>
      <c r="C3200" s="2">
        <f>IFERROR(__xludf.DUMMYFUNCTION("""COMPUTED_VALUE"""),438.0)</f>
        <v>438</v>
      </c>
      <c r="D3200" s="3">
        <f>IFERROR(__xludf.DUMMYFUNCTION("""COMPUTED_VALUE"""),435.0)</f>
        <v>435</v>
      </c>
      <c r="E3200" s="2"/>
      <c r="F3200" s="2"/>
    </row>
    <row r="3201">
      <c r="A3201" s="2">
        <f>IFERROR(__xludf.DUMMYFUNCTION("""COMPUTED_VALUE"""),48470.0)</f>
        <v>48470</v>
      </c>
      <c r="B3201" s="2">
        <f>IFERROR(__xludf.DUMMYFUNCTION("""COMPUTED_VALUE"""),1.0)</f>
        <v>1</v>
      </c>
      <c r="C3201" s="2">
        <f>IFERROR(__xludf.DUMMYFUNCTION("""COMPUTED_VALUE"""),206.0)</f>
        <v>206</v>
      </c>
      <c r="D3201" s="3">
        <f>IFERROR(__xludf.DUMMYFUNCTION("""COMPUTED_VALUE"""),193.0)</f>
        <v>193</v>
      </c>
      <c r="E3201" s="2"/>
      <c r="F3201" s="2"/>
    </row>
    <row r="3202">
      <c r="A3202" s="2">
        <f>IFERROR(__xludf.DUMMYFUNCTION("""COMPUTED_VALUE"""),86485.0)</f>
        <v>86485</v>
      </c>
      <c r="B3202" s="2">
        <f>IFERROR(__xludf.DUMMYFUNCTION("""COMPUTED_VALUE"""),1.0)</f>
        <v>1</v>
      </c>
      <c r="C3202" s="2">
        <f>IFERROR(__xludf.DUMMYFUNCTION("""COMPUTED_VALUE"""),141.0)</f>
        <v>141</v>
      </c>
      <c r="D3202" s="3">
        <f>IFERROR(__xludf.DUMMYFUNCTION("""COMPUTED_VALUE"""),41.0)</f>
        <v>41</v>
      </c>
      <c r="E3202" s="2"/>
      <c r="F3202" s="2"/>
    </row>
    <row r="3203">
      <c r="A3203" s="2">
        <f>IFERROR(__xludf.DUMMYFUNCTION("""COMPUTED_VALUE"""),73872.0)</f>
        <v>73872</v>
      </c>
      <c r="B3203" s="2">
        <f>IFERROR(__xludf.DUMMYFUNCTION("""COMPUTED_VALUE"""),1.0)</f>
        <v>1</v>
      </c>
      <c r="C3203" s="2">
        <f>IFERROR(__xludf.DUMMYFUNCTION("""COMPUTED_VALUE"""),46.0)</f>
        <v>46</v>
      </c>
      <c r="D3203" s="3">
        <f>IFERROR(__xludf.DUMMYFUNCTION("""COMPUTED_VALUE"""),28.0)</f>
        <v>28</v>
      </c>
      <c r="E3203" s="2"/>
      <c r="F3203" s="2"/>
    </row>
    <row r="3204">
      <c r="A3204" s="2">
        <f>IFERROR(__xludf.DUMMYFUNCTION("""COMPUTED_VALUE"""),72852.0)</f>
        <v>72852</v>
      </c>
      <c r="B3204" s="2">
        <f>IFERROR(__xludf.DUMMYFUNCTION("""COMPUTED_VALUE"""),0.0)</f>
        <v>0</v>
      </c>
      <c r="C3204" s="2">
        <f>IFERROR(__xludf.DUMMYFUNCTION("""COMPUTED_VALUE"""),876.0)</f>
        <v>876</v>
      </c>
      <c r="D3204" s="3">
        <f>IFERROR(__xludf.DUMMYFUNCTION("""COMPUTED_VALUE"""),657.0)</f>
        <v>657</v>
      </c>
      <c r="E3204" s="2"/>
      <c r="F3204" s="2"/>
    </row>
    <row r="3205">
      <c r="A3205" s="2">
        <f>IFERROR(__xludf.DUMMYFUNCTION("""COMPUTED_VALUE"""),85856.0)</f>
        <v>85856</v>
      </c>
      <c r="B3205" s="2">
        <f>IFERROR(__xludf.DUMMYFUNCTION("""COMPUTED_VALUE"""),1.0)</f>
        <v>1</v>
      </c>
      <c r="C3205" s="2">
        <f>IFERROR(__xludf.DUMMYFUNCTION("""COMPUTED_VALUE"""),838.0)</f>
        <v>838</v>
      </c>
      <c r="D3205" s="3">
        <f>IFERROR(__xludf.DUMMYFUNCTION("""COMPUTED_VALUE"""),389.0)</f>
        <v>389</v>
      </c>
      <c r="E3205" s="2"/>
      <c r="F3205" s="2"/>
    </row>
    <row r="3206">
      <c r="A3206" s="2">
        <f>IFERROR(__xludf.DUMMYFUNCTION("""COMPUTED_VALUE"""),14018.0)</f>
        <v>14018</v>
      </c>
      <c r="B3206" s="2">
        <f>IFERROR(__xludf.DUMMYFUNCTION("""COMPUTED_VALUE"""),0.0)</f>
        <v>0</v>
      </c>
      <c r="C3206" s="2">
        <f>IFERROR(__xludf.DUMMYFUNCTION("""COMPUTED_VALUE"""),213.0)</f>
        <v>213</v>
      </c>
      <c r="D3206" s="3">
        <f>IFERROR(__xludf.DUMMYFUNCTION("""COMPUTED_VALUE"""),110.0)</f>
        <v>110</v>
      </c>
      <c r="E3206" s="2"/>
      <c r="F3206" s="2"/>
    </row>
    <row r="3207">
      <c r="A3207" s="2">
        <f>IFERROR(__xludf.DUMMYFUNCTION("""COMPUTED_VALUE"""),100262.0)</f>
        <v>100262</v>
      </c>
      <c r="B3207" s="2">
        <f>IFERROR(__xludf.DUMMYFUNCTION("""COMPUTED_VALUE"""),1.0)</f>
        <v>1</v>
      </c>
      <c r="C3207" s="2">
        <f>IFERROR(__xludf.DUMMYFUNCTION("""COMPUTED_VALUE"""),225.0)</f>
        <v>225</v>
      </c>
      <c r="D3207" s="3">
        <f>IFERROR(__xludf.DUMMYFUNCTION("""COMPUTED_VALUE"""),76.0)</f>
        <v>76</v>
      </c>
      <c r="E3207" s="2"/>
      <c r="F3207" s="2"/>
    </row>
    <row r="3208">
      <c r="A3208" s="2">
        <f>IFERROR(__xludf.DUMMYFUNCTION("""COMPUTED_VALUE"""),114657.0)</f>
        <v>114657</v>
      </c>
      <c r="B3208" s="2">
        <f>IFERROR(__xludf.DUMMYFUNCTION("""COMPUTED_VALUE"""),1.0)</f>
        <v>1</v>
      </c>
      <c r="C3208" s="2">
        <f>IFERROR(__xludf.DUMMYFUNCTION("""COMPUTED_VALUE"""),564.0)</f>
        <v>564</v>
      </c>
      <c r="D3208" s="3">
        <f>IFERROR(__xludf.DUMMYFUNCTION("""COMPUTED_VALUE"""),389.0)</f>
        <v>389</v>
      </c>
      <c r="E3208" s="2"/>
      <c r="F3208" s="2"/>
    </row>
    <row r="3209">
      <c r="A3209" s="2">
        <f>IFERROR(__xludf.DUMMYFUNCTION("""COMPUTED_VALUE"""),150281.0)</f>
        <v>150281</v>
      </c>
      <c r="B3209" s="2">
        <f>IFERROR(__xludf.DUMMYFUNCTION("""COMPUTED_VALUE"""),1.0)</f>
        <v>1</v>
      </c>
      <c r="C3209" s="2">
        <f>IFERROR(__xludf.DUMMYFUNCTION("""COMPUTED_VALUE"""),335.0)</f>
        <v>335</v>
      </c>
      <c r="D3209" s="3">
        <f>IFERROR(__xludf.DUMMYFUNCTION("""COMPUTED_VALUE"""),304.0)</f>
        <v>304</v>
      </c>
      <c r="E3209" s="2"/>
      <c r="F3209" s="2"/>
    </row>
    <row r="3210">
      <c r="A3210" s="2">
        <f>IFERROR(__xludf.DUMMYFUNCTION("""COMPUTED_VALUE"""),81491.0)</f>
        <v>81491</v>
      </c>
      <c r="B3210" s="2">
        <f>IFERROR(__xludf.DUMMYFUNCTION("""COMPUTED_VALUE"""),0.0)</f>
        <v>0</v>
      </c>
      <c r="C3210" s="2">
        <f>IFERROR(__xludf.DUMMYFUNCTION("""COMPUTED_VALUE"""),225.0)</f>
        <v>225</v>
      </c>
      <c r="D3210" s="3">
        <f>IFERROR(__xludf.DUMMYFUNCTION("""COMPUTED_VALUE"""),126.0)</f>
        <v>126</v>
      </c>
      <c r="E3210" s="2"/>
      <c r="F3210" s="2"/>
    </row>
    <row r="3211">
      <c r="A3211" s="2">
        <f>IFERROR(__xludf.DUMMYFUNCTION("""COMPUTED_VALUE"""),88519.0)</f>
        <v>88519</v>
      </c>
      <c r="B3211" s="2">
        <f>IFERROR(__xludf.DUMMYFUNCTION("""COMPUTED_VALUE"""),0.0)</f>
        <v>0</v>
      </c>
      <c r="C3211" s="2">
        <f>IFERROR(__xludf.DUMMYFUNCTION("""COMPUTED_VALUE"""),831.0)</f>
        <v>831</v>
      </c>
      <c r="D3211" s="3">
        <f>IFERROR(__xludf.DUMMYFUNCTION("""COMPUTED_VALUE"""),437.0)</f>
        <v>437</v>
      </c>
      <c r="E3211" s="2"/>
      <c r="F3211" s="2"/>
    </row>
    <row r="3212">
      <c r="A3212" s="2">
        <f>IFERROR(__xludf.DUMMYFUNCTION("""COMPUTED_VALUE"""),116800.0)</f>
        <v>116800</v>
      </c>
      <c r="B3212" s="2">
        <f>IFERROR(__xludf.DUMMYFUNCTION("""COMPUTED_VALUE"""),0.0)</f>
        <v>0</v>
      </c>
      <c r="C3212" s="2">
        <f>IFERROR(__xludf.DUMMYFUNCTION("""COMPUTED_VALUE"""),692.0)</f>
        <v>692</v>
      </c>
      <c r="D3212" s="3">
        <f>IFERROR(__xludf.DUMMYFUNCTION("""COMPUTED_VALUE"""),26.0)</f>
        <v>26</v>
      </c>
      <c r="E3212" s="2"/>
      <c r="F3212" s="2"/>
    </row>
    <row r="3213">
      <c r="A3213" s="2">
        <f>IFERROR(__xludf.DUMMYFUNCTION("""COMPUTED_VALUE"""),117675.0)</f>
        <v>117675</v>
      </c>
      <c r="B3213" s="2">
        <f>IFERROR(__xludf.DUMMYFUNCTION("""COMPUTED_VALUE"""),1.0)</f>
        <v>1</v>
      </c>
      <c r="C3213" s="2">
        <f>IFERROR(__xludf.DUMMYFUNCTION("""COMPUTED_VALUE"""),305.0)</f>
        <v>305</v>
      </c>
      <c r="D3213" s="3">
        <f>IFERROR(__xludf.DUMMYFUNCTION("""COMPUTED_VALUE"""),264.0)</f>
        <v>264</v>
      </c>
      <c r="E3213" s="2"/>
      <c r="F3213" s="2"/>
    </row>
    <row r="3214">
      <c r="A3214" s="2">
        <f>IFERROR(__xludf.DUMMYFUNCTION("""COMPUTED_VALUE"""),47051.0)</f>
        <v>47051</v>
      </c>
      <c r="B3214" s="2">
        <f>IFERROR(__xludf.DUMMYFUNCTION("""COMPUTED_VALUE"""),1.0)</f>
        <v>1</v>
      </c>
      <c r="C3214" s="2">
        <f>IFERROR(__xludf.DUMMYFUNCTION("""COMPUTED_VALUE"""),94.0)</f>
        <v>94</v>
      </c>
      <c r="D3214" s="3">
        <f>IFERROR(__xludf.DUMMYFUNCTION("""COMPUTED_VALUE"""),45.0)</f>
        <v>45</v>
      </c>
      <c r="E3214" s="2"/>
      <c r="F3214" s="2"/>
    </row>
    <row r="3215">
      <c r="A3215" s="2">
        <f>IFERROR(__xludf.DUMMYFUNCTION("""COMPUTED_VALUE"""),103171.0)</f>
        <v>103171</v>
      </c>
      <c r="B3215" s="2">
        <f>IFERROR(__xludf.DUMMYFUNCTION("""COMPUTED_VALUE"""),0.0)</f>
        <v>0</v>
      </c>
      <c r="C3215" s="2">
        <f>IFERROR(__xludf.DUMMYFUNCTION("""COMPUTED_VALUE"""),76.0)</f>
        <v>76</v>
      </c>
      <c r="D3215" s="3">
        <f>IFERROR(__xludf.DUMMYFUNCTION("""COMPUTED_VALUE"""),74.0)</f>
        <v>74</v>
      </c>
      <c r="E3215" s="2"/>
      <c r="F3215" s="2"/>
    </row>
    <row r="3216">
      <c r="A3216" s="2">
        <f>IFERROR(__xludf.DUMMYFUNCTION("""COMPUTED_VALUE"""),47049.0)</f>
        <v>47049</v>
      </c>
      <c r="B3216" s="2">
        <f>IFERROR(__xludf.DUMMYFUNCTION("""COMPUTED_VALUE"""),1.0)</f>
        <v>1</v>
      </c>
      <c r="C3216" s="2">
        <f>IFERROR(__xludf.DUMMYFUNCTION("""COMPUTED_VALUE"""),360.0)</f>
        <v>360</v>
      </c>
      <c r="D3216" s="3">
        <f>IFERROR(__xludf.DUMMYFUNCTION("""COMPUTED_VALUE"""),54.0)</f>
        <v>54</v>
      </c>
      <c r="E3216" s="2"/>
      <c r="F3216" s="2"/>
    </row>
    <row r="3217">
      <c r="A3217" s="2">
        <f>IFERROR(__xludf.DUMMYFUNCTION("""COMPUTED_VALUE"""),47351.0)</f>
        <v>47351</v>
      </c>
      <c r="B3217" s="2">
        <f>IFERROR(__xludf.DUMMYFUNCTION("""COMPUTED_VALUE"""),0.0)</f>
        <v>0</v>
      </c>
      <c r="C3217" s="2">
        <f>IFERROR(__xludf.DUMMYFUNCTION("""COMPUTED_VALUE"""),929.0)</f>
        <v>929</v>
      </c>
      <c r="D3217" s="3">
        <f>IFERROR(__xludf.DUMMYFUNCTION("""COMPUTED_VALUE"""),519.0)</f>
        <v>519</v>
      </c>
      <c r="E3217" s="2"/>
      <c r="F3217" s="2"/>
    </row>
    <row r="3218">
      <c r="A3218" s="2">
        <f>IFERROR(__xludf.DUMMYFUNCTION("""COMPUTED_VALUE"""),47575.0)</f>
        <v>47575</v>
      </c>
      <c r="B3218" s="2">
        <f>IFERROR(__xludf.DUMMYFUNCTION("""COMPUTED_VALUE"""),0.0)</f>
        <v>0</v>
      </c>
      <c r="C3218" s="2">
        <f>IFERROR(__xludf.DUMMYFUNCTION("""COMPUTED_VALUE"""),377.0)</f>
        <v>377</v>
      </c>
      <c r="D3218" s="3">
        <f>IFERROR(__xludf.DUMMYFUNCTION("""COMPUTED_VALUE"""),105.0)</f>
        <v>105</v>
      </c>
      <c r="E3218" s="2"/>
      <c r="F3218" s="2"/>
    </row>
    <row r="3219">
      <c r="A3219" s="2">
        <f>IFERROR(__xludf.DUMMYFUNCTION("""COMPUTED_VALUE"""),80088.0)</f>
        <v>80088</v>
      </c>
      <c r="B3219" s="2">
        <f>IFERROR(__xludf.DUMMYFUNCTION("""COMPUTED_VALUE"""),1.0)</f>
        <v>1</v>
      </c>
      <c r="C3219" s="2">
        <f>IFERROR(__xludf.DUMMYFUNCTION("""COMPUTED_VALUE"""),332.0)</f>
        <v>332</v>
      </c>
      <c r="D3219" s="3">
        <f>IFERROR(__xludf.DUMMYFUNCTION("""COMPUTED_VALUE"""),24.0)</f>
        <v>24</v>
      </c>
      <c r="E3219" s="2"/>
      <c r="F3219" s="2"/>
    </row>
    <row r="3220">
      <c r="A3220" s="2">
        <f>IFERROR(__xludf.DUMMYFUNCTION("""COMPUTED_VALUE"""),47298.0)</f>
        <v>47298</v>
      </c>
      <c r="B3220" s="2">
        <f>IFERROR(__xludf.DUMMYFUNCTION("""COMPUTED_VALUE"""),0.0)</f>
        <v>0</v>
      </c>
      <c r="C3220" s="2">
        <f>IFERROR(__xludf.DUMMYFUNCTION("""COMPUTED_VALUE"""),386.0)</f>
        <v>386</v>
      </c>
      <c r="D3220" s="3">
        <f>IFERROR(__xludf.DUMMYFUNCTION("""COMPUTED_VALUE"""),364.0)</f>
        <v>364</v>
      </c>
      <c r="E3220" s="2"/>
      <c r="F3220" s="2"/>
    </row>
    <row r="3221">
      <c r="A3221" s="2">
        <f>IFERROR(__xludf.DUMMYFUNCTION("""COMPUTED_VALUE"""),100271.0)</f>
        <v>100271</v>
      </c>
      <c r="B3221" s="2">
        <f>IFERROR(__xludf.DUMMYFUNCTION("""COMPUTED_VALUE"""),0.0)</f>
        <v>0</v>
      </c>
      <c r="C3221" s="2">
        <f>IFERROR(__xludf.DUMMYFUNCTION("""COMPUTED_VALUE"""),556.0)</f>
        <v>556</v>
      </c>
      <c r="D3221" s="3">
        <f>IFERROR(__xludf.DUMMYFUNCTION("""COMPUTED_VALUE"""),177.0)</f>
        <v>177</v>
      </c>
      <c r="E3221" s="2"/>
      <c r="F3221" s="2"/>
    </row>
    <row r="3222">
      <c r="A3222" s="2">
        <f>IFERROR(__xludf.DUMMYFUNCTION("""COMPUTED_VALUE"""),47621.0)</f>
        <v>47621</v>
      </c>
      <c r="B3222" s="2">
        <f>IFERROR(__xludf.DUMMYFUNCTION("""COMPUTED_VALUE"""),0.0)</f>
        <v>0</v>
      </c>
      <c r="C3222" s="2">
        <f>IFERROR(__xludf.DUMMYFUNCTION("""COMPUTED_VALUE"""),797.0)</f>
        <v>797</v>
      </c>
      <c r="D3222" s="3">
        <f>IFERROR(__xludf.DUMMYFUNCTION("""COMPUTED_VALUE"""),781.0)</f>
        <v>781</v>
      </c>
      <c r="E3222" s="2"/>
      <c r="F3222" s="2"/>
    </row>
    <row r="3223">
      <c r="A3223" s="2">
        <f>IFERROR(__xludf.DUMMYFUNCTION("""COMPUTED_VALUE"""),117609.0)</f>
        <v>117609</v>
      </c>
      <c r="B3223" s="2">
        <f>IFERROR(__xludf.DUMMYFUNCTION("""COMPUTED_VALUE"""),0.0)</f>
        <v>0</v>
      </c>
      <c r="C3223" s="2">
        <f>IFERROR(__xludf.DUMMYFUNCTION("""COMPUTED_VALUE"""),797.0)</f>
        <v>797</v>
      </c>
      <c r="D3223" s="3">
        <f>IFERROR(__xludf.DUMMYFUNCTION("""COMPUTED_VALUE"""),260.0)</f>
        <v>260</v>
      </c>
      <c r="E3223" s="2"/>
      <c r="F3223" s="2"/>
    </row>
    <row r="3224">
      <c r="A3224" s="2">
        <f>IFERROR(__xludf.DUMMYFUNCTION("""COMPUTED_VALUE"""),103873.0)</f>
        <v>103873</v>
      </c>
      <c r="B3224" s="2">
        <f>IFERROR(__xludf.DUMMYFUNCTION("""COMPUTED_VALUE"""),1.0)</f>
        <v>1</v>
      </c>
      <c r="C3224" s="2">
        <f>IFERROR(__xludf.DUMMYFUNCTION("""COMPUTED_VALUE"""),498.0)</f>
        <v>498</v>
      </c>
      <c r="D3224" s="3">
        <f>IFERROR(__xludf.DUMMYFUNCTION("""COMPUTED_VALUE"""),153.0)</f>
        <v>153</v>
      </c>
      <c r="E3224" s="2"/>
      <c r="F3224" s="2"/>
    </row>
    <row r="3225">
      <c r="A3225" s="2">
        <f>IFERROR(__xludf.DUMMYFUNCTION("""COMPUTED_VALUE"""),14026.0)</f>
        <v>14026</v>
      </c>
      <c r="B3225" s="2">
        <f>IFERROR(__xludf.DUMMYFUNCTION("""COMPUTED_VALUE"""),1.0)</f>
        <v>1</v>
      </c>
      <c r="C3225" s="2">
        <f>IFERROR(__xludf.DUMMYFUNCTION("""COMPUTED_VALUE"""),217.0)</f>
        <v>217</v>
      </c>
      <c r="D3225" s="3">
        <f>IFERROR(__xludf.DUMMYFUNCTION("""COMPUTED_VALUE"""),59.0)</f>
        <v>59</v>
      </c>
      <c r="E3225" s="2"/>
      <c r="F3225" s="2"/>
    </row>
    <row r="3226">
      <c r="A3226" s="2">
        <f>IFERROR(__xludf.DUMMYFUNCTION("""COMPUTED_VALUE"""),95951.0)</f>
        <v>95951</v>
      </c>
      <c r="B3226" s="2">
        <f>IFERROR(__xludf.DUMMYFUNCTION("""COMPUTED_VALUE"""),0.0)</f>
        <v>0</v>
      </c>
      <c r="C3226" s="2">
        <f>IFERROR(__xludf.DUMMYFUNCTION("""COMPUTED_VALUE"""),66.0)</f>
        <v>66</v>
      </c>
      <c r="D3226" s="3">
        <f>IFERROR(__xludf.DUMMYFUNCTION("""COMPUTED_VALUE"""),59.0)</f>
        <v>59</v>
      </c>
      <c r="E3226" s="2"/>
      <c r="F3226" s="2"/>
    </row>
    <row r="3227">
      <c r="A3227" s="2">
        <f>IFERROR(__xludf.DUMMYFUNCTION("""COMPUTED_VALUE"""),9162.0)</f>
        <v>9162</v>
      </c>
      <c r="B3227" s="2">
        <f>IFERROR(__xludf.DUMMYFUNCTION("""COMPUTED_VALUE"""),0.0)</f>
        <v>0</v>
      </c>
      <c r="C3227" s="2">
        <f>IFERROR(__xludf.DUMMYFUNCTION("""COMPUTED_VALUE"""),499.0)</f>
        <v>499</v>
      </c>
      <c r="D3227" s="3">
        <f>IFERROR(__xludf.DUMMYFUNCTION("""COMPUTED_VALUE"""),236.0)</f>
        <v>236</v>
      </c>
      <c r="E3227" s="2"/>
      <c r="F3227" s="2"/>
    </row>
    <row r="3228">
      <c r="A3228" s="2">
        <f>IFERROR(__xludf.DUMMYFUNCTION("""COMPUTED_VALUE"""),80089.0)</f>
        <v>80089</v>
      </c>
      <c r="B3228" s="2">
        <f>IFERROR(__xludf.DUMMYFUNCTION("""COMPUTED_VALUE"""),0.0)</f>
        <v>0</v>
      </c>
      <c r="C3228" s="2">
        <f>IFERROR(__xludf.DUMMYFUNCTION("""COMPUTED_VALUE"""),876.0)</f>
        <v>876</v>
      </c>
      <c r="D3228" s="3">
        <f>IFERROR(__xludf.DUMMYFUNCTION("""COMPUTED_VALUE"""),607.0)</f>
        <v>607</v>
      </c>
      <c r="E3228" s="2"/>
      <c r="F3228" s="2"/>
    </row>
    <row r="3229">
      <c r="A3229" s="2">
        <f>IFERROR(__xludf.DUMMYFUNCTION("""COMPUTED_VALUE"""),122521.0)</f>
        <v>122521</v>
      </c>
      <c r="B3229" s="2">
        <f>IFERROR(__xludf.DUMMYFUNCTION("""COMPUTED_VALUE"""),1.0)</f>
        <v>1</v>
      </c>
      <c r="C3229" s="2">
        <f>IFERROR(__xludf.DUMMYFUNCTION("""COMPUTED_VALUE"""),905.0)</f>
        <v>905</v>
      </c>
      <c r="D3229" s="3">
        <f>IFERROR(__xludf.DUMMYFUNCTION("""COMPUTED_VALUE"""),782.0)</f>
        <v>782</v>
      </c>
      <c r="E3229" s="2"/>
      <c r="F3229" s="2"/>
    </row>
    <row r="3230">
      <c r="A3230" s="2">
        <f>IFERROR(__xludf.DUMMYFUNCTION("""COMPUTED_VALUE"""),69300.0)</f>
        <v>69300</v>
      </c>
      <c r="B3230" s="2">
        <f>IFERROR(__xludf.DUMMYFUNCTION("""COMPUTED_VALUE"""),1.0)</f>
        <v>1</v>
      </c>
      <c r="C3230" s="2">
        <f>IFERROR(__xludf.DUMMYFUNCTION("""COMPUTED_VALUE"""),335.0)</f>
        <v>335</v>
      </c>
      <c r="D3230" s="3">
        <f>IFERROR(__xludf.DUMMYFUNCTION("""COMPUTED_VALUE"""),193.0)</f>
        <v>193</v>
      </c>
      <c r="E3230" s="2"/>
      <c r="F3230" s="2"/>
    </row>
    <row r="3231">
      <c r="A3231" s="2">
        <f>IFERROR(__xludf.DUMMYFUNCTION("""COMPUTED_VALUE"""),80417.0)</f>
        <v>80417</v>
      </c>
      <c r="B3231" s="2">
        <f>IFERROR(__xludf.DUMMYFUNCTION("""COMPUTED_VALUE"""),0.0)</f>
        <v>0</v>
      </c>
      <c r="C3231" s="2">
        <f>IFERROR(__xludf.DUMMYFUNCTION("""COMPUTED_VALUE"""),389.0)</f>
        <v>389</v>
      </c>
      <c r="D3231" s="3">
        <f>IFERROR(__xludf.DUMMYFUNCTION("""COMPUTED_VALUE"""),140.0)</f>
        <v>140</v>
      </c>
      <c r="E3231" s="2"/>
      <c r="F3231" s="2"/>
    </row>
    <row r="3232">
      <c r="A3232" s="2">
        <f>IFERROR(__xludf.DUMMYFUNCTION("""COMPUTED_VALUE"""),128323.0)</f>
        <v>128323</v>
      </c>
      <c r="B3232" s="2">
        <f>IFERROR(__xludf.DUMMYFUNCTION("""COMPUTED_VALUE"""),0.0)</f>
        <v>0</v>
      </c>
      <c r="C3232" s="2">
        <f>IFERROR(__xludf.DUMMYFUNCTION("""COMPUTED_VALUE"""),849.0)</f>
        <v>849</v>
      </c>
      <c r="D3232" s="3">
        <f>IFERROR(__xludf.DUMMYFUNCTION("""COMPUTED_VALUE"""),53.0)</f>
        <v>53</v>
      </c>
      <c r="E3232" s="2"/>
      <c r="F3232" s="2"/>
    </row>
    <row r="3233">
      <c r="A3233" s="2">
        <f>IFERROR(__xludf.DUMMYFUNCTION("""COMPUTED_VALUE"""),80091.0)</f>
        <v>80091</v>
      </c>
      <c r="B3233" s="2">
        <f>IFERROR(__xludf.DUMMYFUNCTION("""COMPUTED_VALUE"""),1.0)</f>
        <v>1</v>
      </c>
      <c r="C3233" s="2">
        <f>IFERROR(__xludf.DUMMYFUNCTION("""COMPUTED_VALUE"""),351.0)</f>
        <v>351</v>
      </c>
      <c r="D3233" s="3">
        <f>IFERROR(__xludf.DUMMYFUNCTION("""COMPUTED_VALUE"""),172.0)</f>
        <v>172</v>
      </c>
      <c r="E3233" s="2"/>
      <c r="F3233" s="2"/>
    </row>
    <row r="3234">
      <c r="A3234" s="2">
        <f>IFERROR(__xludf.DUMMYFUNCTION("""COMPUTED_VALUE"""),92927.0)</f>
        <v>92927</v>
      </c>
      <c r="B3234" s="2">
        <f>IFERROR(__xludf.DUMMYFUNCTION("""COMPUTED_VALUE"""),0.0)</f>
        <v>0</v>
      </c>
      <c r="C3234" s="2">
        <f>IFERROR(__xludf.DUMMYFUNCTION("""COMPUTED_VALUE"""),176.0)</f>
        <v>176</v>
      </c>
      <c r="D3234" s="3">
        <f>IFERROR(__xludf.DUMMYFUNCTION("""COMPUTED_VALUE"""),103.0)</f>
        <v>103</v>
      </c>
      <c r="E3234" s="2"/>
      <c r="F3234" s="2"/>
    </row>
    <row r="3235">
      <c r="A3235" s="2">
        <f>IFERROR(__xludf.DUMMYFUNCTION("""COMPUTED_VALUE"""),9158.0)</f>
        <v>9158</v>
      </c>
      <c r="B3235" s="2">
        <f>IFERROR(__xludf.DUMMYFUNCTION("""COMPUTED_VALUE"""),1.0)</f>
        <v>1</v>
      </c>
      <c r="C3235" s="2">
        <f>IFERROR(__xludf.DUMMYFUNCTION("""COMPUTED_VALUE"""),555.0)</f>
        <v>555</v>
      </c>
      <c r="D3235" s="3">
        <f>IFERROR(__xludf.DUMMYFUNCTION("""COMPUTED_VALUE"""),183.0)</f>
        <v>183</v>
      </c>
      <c r="E3235" s="2"/>
      <c r="F3235" s="2"/>
    </row>
    <row r="3236">
      <c r="A3236" s="2">
        <f>IFERROR(__xludf.DUMMYFUNCTION("""COMPUTED_VALUE"""),103872.0)</f>
        <v>103872</v>
      </c>
      <c r="B3236" s="2">
        <f>IFERROR(__xludf.DUMMYFUNCTION("""COMPUTED_VALUE"""),1.0)</f>
        <v>1</v>
      </c>
      <c r="C3236" s="2">
        <f>IFERROR(__xludf.DUMMYFUNCTION("""COMPUTED_VALUE"""),876.0)</f>
        <v>876</v>
      </c>
      <c r="D3236" s="3">
        <f>IFERROR(__xludf.DUMMYFUNCTION("""COMPUTED_VALUE"""),702.0)</f>
        <v>702</v>
      </c>
      <c r="E3236" s="2"/>
      <c r="F3236" s="2"/>
    </row>
    <row r="3237">
      <c r="A3237" s="2">
        <f>IFERROR(__xludf.DUMMYFUNCTION("""COMPUTED_VALUE"""),116809.0)</f>
        <v>116809</v>
      </c>
      <c r="B3237" s="2">
        <f>IFERROR(__xludf.DUMMYFUNCTION("""COMPUTED_VALUE"""),0.0)</f>
        <v>0</v>
      </c>
      <c r="C3237" s="2">
        <f>IFERROR(__xludf.DUMMYFUNCTION("""COMPUTED_VALUE"""),73.0)</f>
        <v>73</v>
      </c>
      <c r="D3237" s="3">
        <f>IFERROR(__xludf.DUMMYFUNCTION("""COMPUTED_VALUE"""),32.0)</f>
        <v>32</v>
      </c>
      <c r="E3237" s="2"/>
      <c r="F3237" s="2"/>
    </row>
    <row r="3238">
      <c r="A3238" s="2">
        <f>IFERROR(__xludf.DUMMYFUNCTION("""COMPUTED_VALUE"""),114655.0)</f>
        <v>114655</v>
      </c>
      <c r="B3238" s="2">
        <f>IFERROR(__xludf.DUMMYFUNCTION("""COMPUTED_VALUE"""),1.0)</f>
        <v>1</v>
      </c>
      <c r="C3238" s="2">
        <f>IFERROR(__xludf.DUMMYFUNCTION("""COMPUTED_VALUE"""),728.0)</f>
        <v>728</v>
      </c>
      <c r="D3238" s="3">
        <f>IFERROR(__xludf.DUMMYFUNCTION("""COMPUTED_VALUE"""),405.0)</f>
        <v>405</v>
      </c>
      <c r="E3238" s="2"/>
      <c r="F3238" s="2"/>
    </row>
    <row r="3239">
      <c r="A3239" s="2">
        <f>IFERROR(__xludf.DUMMYFUNCTION("""COMPUTED_VALUE"""),80228.0)</f>
        <v>80228</v>
      </c>
      <c r="B3239" s="2">
        <f>IFERROR(__xludf.DUMMYFUNCTION("""COMPUTED_VALUE"""),0.0)</f>
        <v>0</v>
      </c>
      <c r="C3239" s="2">
        <f>IFERROR(__xludf.DUMMYFUNCTION("""COMPUTED_VALUE"""),472.0)</f>
        <v>472</v>
      </c>
      <c r="D3239" s="3">
        <f>IFERROR(__xludf.DUMMYFUNCTION("""COMPUTED_VALUE"""),98.0)</f>
        <v>98</v>
      </c>
      <c r="E3239" s="2"/>
      <c r="F3239" s="2"/>
    </row>
    <row r="3240">
      <c r="A3240" s="2">
        <f>IFERROR(__xludf.DUMMYFUNCTION("""COMPUTED_VALUE"""),47207.0)</f>
        <v>47207</v>
      </c>
      <c r="B3240" s="2">
        <f>IFERROR(__xludf.DUMMYFUNCTION("""COMPUTED_VALUE"""),0.0)</f>
        <v>0</v>
      </c>
      <c r="C3240" s="2">
        <f>IFERROR(__xludf.DUMMYFUNCTION("""COMPUTED_VALUE"""),743.0)</f>
        <v>743</v>
      </c>
      <c r="D3240" s="3">
        <f>IFERROR(__xludf.DUMMYFUNCTION("""COMPUTED_VALUE"""),653.0)</f>
        <v>653</v>
      </c>
      <c r="E3240" s="2"/>
      <c r="F3240" s="2"/>
    </row>
    <row r="3241">
      <c r="A3241" s="2">
        <f>IFERROR(__xludf.DUMMYFUNCTION("""COMPUTED_VALUE"""),116402.0)</f>
        <v>116402</v>
      </c>
      <c r="B3241" s="2">
        <f>IFERROR(__xludf.DUMMYFUNCTION("""COMPUTED_VALUE"""),1.0)</f>
        <v>1</v>
      </c>
      <c r="C3241" s="2">
        <f>IFERROR(__xludf.DUMMYFUNCTION("""COMPUTED_VALUE"""),393.0)</f>
        <v>393</v>
      </c>
      <c r="D3241" s="3">
        <f>IFERROR(__xludf.DUMMYFUNCTION("""COMPUTED_VALUE"""),90.0)</f>
        <v>90</v>
      </c>
      <c r="E3241" s="2"/>
      <c r="F3241" s="2"/>
    </row>
    <row r="3242">
      <c r="A3242" s="2">
        <f>IFERROR(__xludf.DUMMYFUNCTION("""COMPUTED_VALUE"""),116408.0)</f>
        <v>116408</v>
      </c>
      <c r="B3242" s="2">
        <f>IFERROR(__xludf.DUMMYFUNCTION("""COMPUTED_VALUE"""),0.0)</f>
        <v>0</v>
      </c>
      <c r="C3242" s="2">
        <f>IFERROR(__xludf.DUMMYFUNCTION("""COMPUTED_VALUE"""),66.0)</f>
        <v>66</v>
      </c>
      <c r="D3242" s="3">
        <f>IFERROR(__xludf.DUMMYFUNCTION("""COMPUTED_VALUE"""),6.0)</f>
        <v>6</v>
      </c>
      <c r="E3242" s="2"/>
      <c r="F3242" s="2"/>
    </row>
    <row r="3243">
      <c r="A3243" s="2">
        <f>IFERROR(__xludf.DUMMYFUNCTION("""COMPUTED_VALUE"""),83592.0)</f>
        <v>83592</v>
      </c>
      <c r="B3243" s="2">
        <f>IFERROR(__xludf.DUMMYFUNCTION("""COMPUTED_VALUE"""),1.0)</f>
        <v>1</v>
      </c>
      <c r="C3243" s="2">
        <f>IFERROR(__xludf.DUMMYFUNCTION("""COMPUTED_VALUE"""),72.0)</f>
        <v>72</v>
      </c>
      <c r="D3243" s="3">
        <f>IFERROR(__xludf.DUMMYFUNCTION("""COMPUTED_VALUE"""),69.0)</f>
        <v>69</v>
      </c>
      <c r="E3243" s="2"/>
      <c r="F3243" s="2"/>
    </row>
    <row r="3244">
      <c r="A3244" s="2">
        <f>IFERROR(__xludf.DUMMYFUNCTION("""COMPUTED_VALUE"""),122241.0)</f>
        <v>122241</v>
      </c>
      <c r="B3244" s="2">
        <f>IFERROR(__xludf.DUMMYFUNCTION("""COMPUTED_VALUE"""),1.0)</f>
        <v>1</v>
      </c>
      <c r="C3244" s="2">
        <f>IFERROR(__xludf.DUMMYFUNCTION("""COMPUTED_VALUE"""),761.0)</f>
        <v>761</v>
      </c>
      <c r="D3244" s="3">
        <f>IFERROR(__xludf.DUMMYFUNCTION("""COMPUTED_VALUE"""),521.0)</f>
        <v>521</v>
      </c>
      <c r="E3244" s="2"/>
      <c r="F3244" s="2"/>
    </row>
    <row r="3245">
      <c r="A3245" s="2">
        <f>IFERROR(__xludf.DUMMYFUNCTION("""COMPUTED_VALUE"""),112799.0)</f>
        <v>112799</v>
      </c>
      <c r="B3245" s="2">
        <f>IFERROR(__xludf.DUMMYFUNCTION("""COMPUTED_VALUE"""),0.0)</f>
        <v>0</v>
      </c>
      <c r="C3245" s="2">
        <f>IFERROR(__xludf.DUMMYFUNCTION("""COMPUTED_VALUE"""),473.0)</f>
        <v>473</v>
      </c>
      <c r="D3245" s="3">
        <f>IFERROR(__xludf.DUMMYFUNCTION("""COMPUTED_VALUE"""),431.0)</f>
        <v>431</v>
      </c>
      <c r="E3245" s="2"/>
      <c r="F3245" s="2"/>
    </row>
    <row r="3246">
      <c r="A3246" s="2">
        <f>IFERROR(__xludf.DUMMYFUNCTION("""COMPUTED_VALUE"""),122659.0)</f>
        <v>122659</v>
      </c>
      <c r="B3246" s="2">
        <f>IFERROR(__xludf.DUMMYFUNCTION("""COMPUTED_VALUE"""),1.0)</f>
        <v>1</v>
      </c>
      <c r="C3246" s="2">
        <f>IFERROR(__xludf.DUMMYFUNCTION("""COMPUTED_VALUE"""),230.0)</f>
        <v>230</v>
      </c>
      <c r="D3246" s="3">
        <f>IFERROR(__xludf.DUMMYFUNCTION("""COMPUTED_VALUE"""),102.0)</f>
        <v>102</v>
      </c>
      <c r="E3246" s="2"/>
      <c r="F3246" s="2"/>
    </row>
    <row r="3247">
      <c r="A3247" s="2">
        <f>IFERROR(__xludf.DUMMYFUNCTION("""COMPUTED_VALUE"""),112797.0)</f>
        <v>112797</v>
      </c>
      <c r="B3247" s="2">
        <f>IFERROR(__xludf.DUMMYFUNCTION("""COMPUTED_VALUE"""),1.0)</f>
        <v>1</v>
      </c>
      <c r="C3247" s="2">
        <f>IFERROR(__xludf.DUMMYFUNCTION("""COMPUTED_VALUE"""),836.0)</f>
        <v>836</v>
      </c>
      <c r="D3247" s="3">
        <f>IFERROR(__xludf.DUMMYFUNCTION("""COMPUTED_VALUE"""),561.0)</f>
        <v>561</v>
      </c>
      <c r="E3247" s="2"/>
      <c r="F3247" s="2"/>
    </row>
    <row r="3248">
      <c r="A3248" s="2">
        <f>IFERROR(__xludf.DUMMYFUNCTION("""COMPUTED_VALUE"""),122663.0)</f>
        <v>122663</v>
      </c>
      <c r="B3248" s="2">
        <f>IFERROR(__xludf.DUMMYFUNCTION("""COMPUTED_VALUE"""),0.0)</f>
        <v>0</v>
      </c>
      <c r="C3248" s="2">
        <f>IFERROR(__xludf.DUMMYFUNCTION("""COMPUTED_VALUE"""),561.0)</f>
        <v>561</v>
      </c>
      <c r="D3248" s="3">
        <f>IFERROR(__xludf.DUMMYFUNCTION("""COMPUTED_VALUE"""),374.0)</f>
        <v>374</v>
      </c>
      <c r="E3248" s="2"/>
      <c r="F3248" s="2"/>
    </row>
    <row r="3249">
      <c r="A3249" s="2">
        <f>IFERROR(__xludf.DUMMYFUNCTION("""COMPUTED_VALUE"""),112809.0)</f>
        <v>112809</v>
      </c>
      <c r="B3249" s="2">
        <f>IFERROR(__xludf.DUMMYFUNCTION("""COMPUTED_VALUE"""),1.0)</f>
        <v>1</v>
      </c>
      <c r="C3249" s="2">
        <f>IFERROR(__xludf.DUMMYFUNCTION("""COMPUTED_VALUE"""),35.0)</f>
        <v>35</v>
      </c>
      <c r="D3249" s="3">
        <f>IFERROR(__xludf.DUMMYFUNCTION("""COMPUTED_VALUE"""),22.0)</f>
        <v>22</v>
      </c>
      <c r="E3249" s="2"/>
      <c r="F3249" s="2"/>
    </row>
    <row r="3250">
      <c r="A3250" s="2">
        <f>IFERROR(__xludf.DUMMYFUNCTION("""COMPUTED_VALUE"""),80220.0)</f>
        <v>80220</v>
      </c>
      <c r="B3250" s="2">
        <f>IFERROR(__xludf.DUMMYFUNCTION("""COMPUTED_VALUE"""),0.0)</f>
        <v>0</v>
      </c>
      <c r="C3250" s="2">
        <f>IFERROR(__xludf.DUMMYFUNCTION("""COMPUTED_VALUE"""),852.0)</f>
        <v>852</v>
      </c>
      <c r="D3250" s="3">
        <f>IFERROR(__xludf.DUMMYFUNCTION("""COMPUTED_VALUE"""),670.0)</f>
        <v>670</v>
      </c>
      <c r="E3250" s="2"/>
      <c r="F3250" s="2"/>
    </row>
    <row r="3251">
      <c r="A3251" s="2">
        <f>IFERROR(__xludf.DUMMYFUNCTION("""COMPUTED_VALUE"""),112732.0)</f>
        <v>112732</v>
      </c>
      <c r="B3251" s="2">
        <f>IFERROR(__xludf.DUMMYFUNCTION("""COMPUTED_VALUE"""),0.0)</f>
        <v>0</v>
      </c>
      <c r="C3251" s="2">
        <f>IFERROR(__xludf.DUMMYFUNCTION("""COMPUTED_VALUE"""),672.0)</f>
        <v>672</v>
      </c>
      <c r="D3251" s="3">
        <f>IFERROR(__xludf.DUMMYFUNCTION("""COMPUTED_VALUE"""),534.0)</f>
        <v>534</v>
      </c>
      <c r="E3251" s="2"/>
      <c r="F3251" s="2"/>
    </row>
    <row r="3252">
      <c r="A3252" s="2">
        <f>IFERROR(__xludf.DUMMYFUNCTION("""COMPUTED_VALUE"""),83354.0)</f>
        <v>83354</v>
      </c>
      <c r="B3252" s="2">
        <f>IFERROR(__xludf.DUMMYFUNCTION("""COMPUTED_VALUE"""),1.0)</f>
        <v>1</v>
      </c>
      <c r="C3252" s="2">
        <f>IFERROR(__xludf.DUMMYFUNCTION("""COMPUTED_VALUE"""),355.0)</f>
        <v>355</v>
      </c>
      <c r="D3252" s="3">
        <f>IFERROR(__xludf.DUMMYFUNCTION("""COMPUTED_VALUE"""),229.0)</f>
        <v>229</v>
      </c>
      <c r="E3252" s="2"/>
      <c r="F3252" s="2"/>
    </row>
    <row r="3253">
      <c r="A3253" s="2">
        <f>IFERROR(__xludf.DUMMYFUNCTION("""COMPUTED_VALUE"""),116410.0)</f>
        <v>116410</v>
      </c>
      <c r="B3253" s="2">
        <f>IFERROR(__xludf.DUMMYFUNCTION("""COMPUTED_VALUE"""),0.0)</f>
        <v>0</v>
      </c>
      <c r="C3253" s="2">
        <f>IFERROR(__xludf.DUMMYFUNCTION("""COMPUTED_VALUE"""),101.0)</f>
        <v>101</v>
      </c>
      <c r="D3253" s="3">
        <f>IFERROR(__xludf.DUMMYFUNCTION("""COMPUTED_VALUE"""),93.0)</f>
        <v>93</v>
      </c>
      <c r="E3253" s="2"/>
      <c r="F3253" s="2"/>
    </row>
    <row r="3254">
      <c r="A3254" s="2">
        <f>IFERROR(__xludf.DUMMYFUNCTION("""COMPUTED_VALUE"""),103841.0)</f>
        <v>103841</v>
      </c>
      <c r="B3254" s="2">
        <f>IFERROR(__xludf.DUMMYFUNCTION("""COMPUTED_VALUE"""),1.0)</f>
        <v>1</v>
      </c>
      <c r="C3254" s="2">
        <f>IFERROR(__xludf.DUMMYFUNCTION("""COMPUTED_VALUE"""),522.0)</f>
        <v>522</v>
      </c>
      <c r="D3254" s="3">
        <f>IFERROR(__xludf.DUMMYFUNCTION("""COMPUTED_VALUE"""),43.0)</f>
        <v>43</v>
      </c>
      <c r="E3254" s="2"/>
      <c r="F3254" s="2"/>
    </row>
    <row r="3255">
      <c r="A3255" s="2">
        <f>IFERROR(__xludf.DUMMYFUNCTION("""COMPUTED_VALUE"""),116746.0)</f>
        <v>116746</v>
      </c>
      <c r="B3255" s="2">
        <f>IFERROR(__xludf.DUMMYFUNCTION("""COMPUTED_VALUE"""),1.0)</f>
        <v>1</v>
      </c>
      <c r="C3255" s="2">
        <f>IFERROR(__xludf.DUMMYFUNCTION("""COMPUTED_VALUE"""),753.0)</f>
        <v>753</v>
      </c>
      <c r="D3255" s="3">
        <f>IFERROR(__xludf.DUMMYFUNCTION("""COMPUTED_VALUE"""),458.0)</f>
        <v>458</v>
      </c>
      <c r="E3255" s="2"/>
      <c r="F3255" s="2"/>
    </row>
    <row r="3256">
      <c r="A3256" s="2">
        <f>IFERROR(__xludf.DUMMYFUNCTION("""COMPUTED_VALUE"""),116405.0)</f>
        <v>116405</v>
      </c>
      <c r="B3256" s="2">
        <f>IFERROR(__xludf.DUMMYFUNCTION("""COMPUTED_VALUE"""),0.0)</f>
        <v>0</v>
      </c>
      <c r="C3256" s="2">
        <f>IFERROR(__xludf.DUMMYFUNCTION("""COMPUTED_VALUE"""),497.0)</f>
        <v>497</v>
      </c>
      <c r="D3256" s="3">
        <f>IFERROR(__xludf.DUMMYFUNCTION("""COMPUTED_VALUE"""),166.0)</f>
        <v>166</v>
      </c>
      <c r="E3256" s="2"/>
      <c r="F3256" s="2"/>
    </row>
    <row r="3257">
      <c r="A3257" s="2">
        <f>IFERROR(__xludf.DUMMYFUNCTION("""COMPUTED_VALUE"""),112810.0)</f>
        <v>112810</v>
      </c>
      <c r="B3257" s="2">
        <f>IFERROR(__xludf.DUMMYFUNCTION("""COMPUTED_VALUE"""),1.0)</f>
        <v>1</v>
      </c>
      <c r="C3257" s="2">
        <f>IFERROR(__xludf.DUMMYFUNCTION("""COMPUTED_VALUE"""),905.0)</f>
        <v>905</v>
      </c>
      <c r="D3257" s="3">
        <f>IFERROR(__xludf.DUMMYFUNCTION("""COMPUTED_VALUE"""),460.0)</f>
        <v>460</v>
      </c>
      <c r="E3257" s="2"/>
      <c r="F3257" s="2"/>
    </row>
    <row r="3258">
      <c r="A3258" s="2">
        <f>IFERROR(__xludf.DUMMYFUNCTION("""COMPUTED_VALUE"""),47347.0)</f>
        <v>47347</v>
      </c>
      <c r="B3258" s="2">
        <f>IFERROR(__xludf.DUMMYFUNCTION("""COMPUTED_VALUE"""),1.0)</f>
        <v>1</v>
      </c>
      <c r="C3258" s="2">
        <f>IFERROR(__xludf.DUMMYFUNCTION("""COMPUTED_VALUE"""),369.0)</f>
        <v>369</v>
      </c>
      <c r="D3258" s="3">
        <f>IFERROR(__xludf.DUMMYFUNCTION("""COMPUTED_VALUE"""),317.0)</f>
        <v>317</v>
      </c>
      <c r="E3258" s="2"/>
      <c r="F3258" s="2"/>
    </row>
    <row r="3259">
      <c r="A3259" s="2">
        <f>IFERROR(__xludf.DUMMYFUNCTION("""COMPUTED_VALUE"""),101902.0)</f>
        <v>101902</v>
      </c>
      <c r="B3259" s="2">
        <f>IFERROR(__xludf.DUMMYFUNCTION("""COMPUTED_VALUE"""),0.0)</f>
        <v>0</v>
      </c>
      <c r="C3259" s="2">
        <f>IFERROR(__xludf.DUMMYFUNCTION("""COMPUTED_VALUE"""),425.0)</f>
        <v>425</v>
      </c>
      <c r="D3259" s="3">
        <f>IFERROR(__xludf.DUMMYFUNCTION("""COMPUTED_VALUE"""),120.0)</f>
        <v>120</v>
      </c>
      <c r="E3259" s="2"/>
      <c r="F3259" s="2"/>
    </row>
    <row r="3260">
      <c r="A3260" s="2">
        <f>IFERROR(__xludf.DUMMYFUNCTION("""COMPUTED_VALUE"""),92926.0)</f>
        <v>92926</v>
      </c>
      <c r="B3260" s="2">
        <f>IFERROR(__xludf.DUMMYFUNCTION("""COMPUTED_VALUE"""),0.0)</f>
        <v>0</v>
      </c>
      <c r="C3260" s="2">
        <f>IFERROR(__xludf.DUMMYFUNCTION("""COMPUTED_VALUE"""),828.0)</f>
        <v>828</v>
      </c>
      <c r="D3260" s="3">
        <f>IFERROR(__xludf.DUMMYFUNCTION("""COMPUTED_VALUE"""),104.0)</f>
        <v>104</v>
      </c>
      <c r="E3260" s="2"/>
      <c r="F3260" s="2"/>
    </row>
    <row r="3261">
      <c r="A3261" s="2">
        <f>IFERROR(__xludf.DUMMYFUNCTION("""COMPUTED_VALUE"""),47345.0)</f>
        <v>47345</v>
      </c>
      <c r="B3261" s="2">
        <f>IFERROR(__xludf.DUMMYFUNCTION("""COMPUTED_VALUE"""),0.0)</f>
        <v>0</v>
      </c>
      <c r="C3261" s="2">
        <f>IFERROR(__xludf.DUMMYFUNCTION("""COMPUTED_VALUE"""),292.0)</f>
        <v>292</v>
      </c>
      <c r="D3261" s="3">
        <f>IFERROR(__xludf.DUMMYFUNCTION("""COMPUTED_VALUE"""),262.0)</f>
        <v>262</v>
      </c>
      <c r="E3261" s="2"/>
      <c r="F3261" s="2"/>
    </row>
    <row r="3262">
      <c r="A3262" s="2">
        <f>IFERROR(__xludf.DUMMYFUNCTION("""COMPUTED_VALUE"""),121611.0)</f>
        <v>121611</v>
      </c>
      <c r="B3262" s="2">
        <f>IFERROR(__xludf.DUMMYFUNCTION("""COMPUTED_VALUE"""),1.0)</f>
        <v>1</v>
      </c>
      <c r="C3262" s="2">
        <f>IFERROR(__xludf.DUMMYFUNCTION("""COMPUTED_VALUE"""),766.0)</f>
        <v>766</v>
      </c>
      <c r="D3262" s="3">
        <f>IFERROR(__xludf.DUMMYFUNCTION("""COMPUTED_VALUE"""),57.0)</f>
        <v>57</v>
      </c>
      <c r="E3262" s="2"/>
      <c r="F3262" s="2"/>
    </row>
    <row r="3263">
      <c r="A3263" s="2">
        <f>IFERROR(__xludf.DUMMYFUNCTION("""COMPUTED_VALUE"""),73310.0)</f>
        <v>73310</v>
      </c>
      <c r="B3263" s="2">
        <f>IFERROR(__xludf.DUMMYFUNCTION("""COMPUTED_VALUE"""),1.0)</f>
        <v>1</v>
      </c>
      <c r="C3263" s="2">
        <f>IFERROR(__xludf.DUMMYFUNCTION("""COMPUTED_VALUE"""),186.0)</f>
        <v>186</v>
      </c>
      <c r="D3263" s="3">
        <f>IFERROR(__xludf.DUMMYFUNCTION("""COMPUTED_VALUE"""),63.0)</f>
        <v>63</v>
      </c>
      <c r="E3263" s="2"/>
      <c r="F3263" s="2"/>
    </row>
    <row r="3264">
      <c r="A3264" s="2">
        <f>IFERROR(__xludf.DUMMYFUNCTION("""COMPUTED_VALUE"""),80102.0)</f>
        <v>80102</v>
      </c>
      <c r="B3264" s="2">
        <f>IFERROR(__xludf.DUMMYFUNCTION("""COMPUTED_VALUE"""),1.0)</f>
        <v>1</v>
      </c>
      <c r="C3264" s="2">
        <f>IFERROR(__xludf.DUMMYFUNCTION("""COMPUTED_VALUE"""),430.0)</f>
        <v>430</v>
      </c>
      <c r="D3264" s="3">
        <f>IFERROR(__xludf.DUMMYFUNCTION("""COMPUTED_VALUE"""),252.0)</f>
        <v>252</v>
      </c>
      <c r="E3264" s="2"/>
      <c r="F3264" s="2"/>
    </row>
    <row r="3265">
      <c r="A3265" s="2">
        <f>IFERROR(__xludf.DUMMYFUNCTION("""COMPUTED_VALUE"""),122773.0)</f>
        <v>122773</v>
      </c>
      <c r="B3265" s="2">
        <f>IFERROR(__xludf.DUMMYFUNCTION("""COMPUTED_VALUE"""),0.0)</f>
        <v>0</v>
      </c>
      <c r="C3265" s="2">
        <f>IFERROR(__xludf.DUMMYFUNCTION("""COMPUTED_VALUE"""),258.0)</f>
        <v>258</v>
      </c>
      <c r="D3265" s="3">
        <f>IFERROR(__xludf.DUMMYFUNCTION("""COMPUTED_VALUE"""),162.0)</f>
        <v>162</v>
      </c>
      <c r="E3265" s="2"/>
      <c r="F3265" s="2"/>
    </row>
    <row r="3266">
      <c r="A3266" s="2">
        <f>IFERROR(__xludf.DUMMYFUNCTION("""COMPUTED_VALUE"""),119421.0)</f>
        <v>119421</v>
      </c>
      <c r="B3266" s="2">
        <f>IFERROR(__xludf.DUMMYFUNCTION("""COMPUTED_VALUE"""),1.0)</f>
        <v>1</v>
      </c>
      <c r="C3266" s="2">
        <f>IFERROR(__xludf.DUMMYFUNCTION("""COMPUTED_VALUE"""),492.0)</f>
        <v>492</v>
      </c>
      <c r="D3266" s="3">
        <f>IFERROR(__xludf.DUMMYFUNCTION("""COMPUTED_VALUE"""),313.0)</f>
        <v>313</v>
      </c>
      <c r="E3266" s="2"/>
      <c r="F3266" s="2"/>
    </row>
    <row r="3267">
      <c r="A3267" s="2">
        <f>IFERROR(__xludf.DUMMYFUNCTION("""COMPUTED_VALUE"""),118276.0)</f>
        <v>118276</v>
      </c>
      <c r="B3267" s="2">
        <f>IFERROR(__xludf.DUMMYFUNCTION("""COMPUTED_VALUE"""),1.0)</f>
        <v>1</v>
      </c>
      <c r="C3267" s="2">
        <f>IFERROR(__xludf.DUMMYFUNCTION("""COMPUTED_VALUE"""),202.0)</f>
        <v>202</v>
      </c>
      <c r="D3267" s="3">
        <f>IFERROR(__xludf.DUMMYFUNCTION("""COMPUTED_VALUE"""),18.0)</f>
        <v>18</v>
      </c>
      <c r="E3267" s="2"/>
      <c r="F3267" s="2"/>
    </row>
    <row r="3268">
      <c r="A3268" s="2">
        <f>IFERROR(__xludf.DUMMYFUNCTION("""COMPUTED_VALUE"""),47314.0)</f>
        <v>47314</v>
      </c>
      <c r="B3268" s="2">
        <f>IFERROR(__xludf.DUMMYFUNCTION("""COMPUTED_VALUE"""),0.0)</f>
        <v>0</v>
      </c>
      <c r="C3268" s="2">
        <f>IFERROR(__xludf.DUMMYFUNCTION("""COMPUTED_VALUE"""),629.0)</f>
        <v>629</v>
      </c>
      <c r="D3268" s="3">
        <f>IFERROR(__xludf.DUMMYFUNCTION("""COMPUTED_VALUE"""),345.0)</f>
        <v>345</v>
      </c>
      <c r="E3268" s="2"/>
      <c r="F3268" s="2"/>
    </row>
    <row r="3269">
      <c r="A3269" s="2">
        <f>IFERROR(__xludf.DUMMYFUNCTION("""COMPUTED_VALUE"""),122771.0)</f>
        <v>122771</v>
      </c>
      <c r="B3269" s="2">
        <f>IFERROR(__xludf.DUMMYFUNCTION("""COMPUTED_VALUE"""),0.0)</f>
        <v>0</v>
      </c>
      <c r="C3269" s="2">
        <f>IFERROR(__xludf.DUMMYFUNCTION("""COMPUTED_VALUE"""),479.0)</f>
        <v>479</v>
      </c>
      <c r="D3269" s="3">
        <f>IFERROR(__xludf.DUMMYFUNCTION("""COMPUTED_VALUE"""),322.0)</f>
        <v>322</v>
      </c>
      <c r="E3269" s="2"/>
      <c r="F3269" s="2"/>
    </row>
    <row r="3270">
      <c r="A3270" s="2">
        <f>IFERROR(__xludf.DUMMYFUNCTION("""COMPUTED_VALUE"""),47380.0)</f>
        <v>47380</v>
      </c>
      <c r="B3270" s="2">
        <f>IFERROR(__xludf.DUMMYFUNCTION("""COMPUTED_VALUE"""),0.0)</f>
        <v>0</v>
      </c>
      <c r="C3270" s="2">
        <f>IFERROR(__xludf.DUMMYFUNCTION("""COMPUTED_VALUE"""),232.0)</f>
        <v>232</v>
      </c>
      <c r="D3270" s="3">
        <f>IFERROR(__xludf.DUMMYFUNCTION("""COMPUTED_VALUE"""),156.0)</f>
        <v>156</v>
      </c>
      <c r="E3270" s="2"/>
      <c r="F3270" s="2"/>
    </row>
    <row r="3271">
      <c r="A3271" s="2">
        <f>IFERROR(__xludf.DUMMYFUNCTION("""COMPUTED_VALUE"""),98329.0)</f>
        <v>98329</v>
      </c>
      <c r="B3271" s="2">
        <f>IFERROR(__xludf.DUMMYFUNCTION("""COMPUTED_VALUE"""),0.0)</f>
        <v>0</v>
      </c>
      <c r="C3271" s="2">
        <f>IFERROR(__xludf.DUMMYFUNCTION("""COMPUTED_VALUE"""),791.0)</f>
        <v>791</v>
      </c>
      <c r="D3271" s="3">
        <f>IFERROR(__xludf.DUMMYFUNCTION("""COMPUTED_VALUE"""),253.0)</f>
        <v>253</v>
      </c>
      <c r="E3271" s="2"/>
      <c r="F3271" s="2"/>
    </row>
    <row r="3272">
      <c r="A3272" s="2">
        <f>IFERROR(__xludf.DUMMYFUNCTION("""COMPUTED_VALUE"""),81485.0)</f>
        <v>81485</v>
      </c>
      <c r="B3272" s="2">
        <f>IFERROR(__xludf.DUMMYFUNCTION("""COMPUTED_VALUE"""),0.0)</f>
        <v>0</v>
      </c>
      <c r="C3272" s="2">
        <f>IFERROR(__xludf.DUMMYFUNCTION("""COMPUTED_VALUE"""),41.0)</f>
        <v>41</v>
      </c>
      <c r="D3272" s="3">
        <f>IFERROR(__xludf.DUMMYFUNCTION("""COMPUTED_VALUE"""),36.0)</f>
        <v>36</v>
      </c>
      <c r="E3272" s="2"/>
      <c r="F3272" s="2"/>
    </row>
    <row r="3273">
      <c r="A3273" s="2">
        <f>IFERROR(__xludf.DUMMYFUNCTION("""COMPUTED_VALUE"""),77847.0)</f>
        <v>77847</v>
      </c>
      <c r="B3273" s="2">
        <f>IFERROR(__xludf.DUMMYFUNCTION("""COMPUTED_VALUE"""),0.0)</f>
        <v>0</v>
      </c>
      <c r="C3273" s="2">
        <f>IFERROR(__xludf.DUMMYFUNCTION("""COMPUTED_VALUE"""),629.0)</f>
        <v>629</v>
      </c>
      <c r="D3273" s="3">
        <f>IFERROR(__xludf.DUMMYFUNCTION("""COMPUTED_VALUE"""),544.0)</f>
        <v>544</v>
      </c>
      <c r="E3273" s="2"/>
      <c r="F3273" s="2"/>
    </row>
    <row r="3274">
      <c r="A3274" s="2">
        <f>IFERROR(__xludf.DUMMYFUNCTION("""COMPUTED_VALUE"""),77290.0)</f>
        <v>77290</v>
      </c>
      <c r="B3274" s="2">
        <f>IFERROR(__xludf.DUMMYFUNCTION("""COMPUTED_VALUE"""),0.0)</f>
        <v>0</v>
      </c>
      <c r="C3274" s="2">
        <f>IFERROR(__xludf.DUMMYFUNCTION("""COMPUTED_VALUE"""),268.0)</f>
        <v>268</v>
      </c>
      <c r="D3274" s="3">
        <f>IFERROR(__xludf.DUMMYFUNCTION("""COMPUTED_VALUE"""),225.0)</f>
        <v>225</v>
      </c>
      <c r="E3274" s="2"/>
      <c r="F3274" s="2"/>
    </row>
    <row r="3275">
      <c r="A3275" s="2">
        <f>IFERROR(__xludf.DUMMYFUNCTION("""COMPUTED_VALUE"""),114656.0)</f>
        <v>114656</v>
      </c>
      <c r="B3275" s="2">
        <f>IFERROR(__xludf.DUMMYFUNCTION("""COMPUTED_VALUE"""),0.0)</f>
        <v>0</v>
      </c>
      <c r="C3275" s="2">
        <f>IFERROR(__xludf.DUMMYFUNCTION("""COMPUTED_VALUE"""),324.0)</f>
        <v>324</v>
      </c>
      <c r="D3275" s="3">
        <f>IFERROR(__xludf.DUMMYFUNCTION("""COMPUTED_VALUE"""),151.0)</f>
        <v>151</v>
      </c>
      <c r="E3275" s="2"/>
      <c r="F3275" s="2"/>
    </row>
    <row r="3276">
      <c r="A3276" s="2">
        <f>IFERROR(__xludf.DUMMYFUNCTION("""COMPUTED_VALUE"""),118486.0)</f>
        <v>118486</v>
      </c>
      <c r="B3276" s="2">
        <f>IFERROR(__xludf.DUMMYFUNCTION("""COMPUTED_VALUE"""),1.0)</f>
        <v>1</v>
      </c>
      <c r="C3276" s="2">
        <f>IFERROR(__xludf.DUMMYFUNCTION("""COMPUTED_VALUE"""),865.0)</f>
        <v>865</v>
      </c>
      <c r="D3276" s="3">
        <f>IFERROR(__xludf.DUMMYFUNCTION("""COMPUTED_VALUE"""),118.0)</f>
        <v>118</v>
      </c>
      <c r="E3276" s="2"/>
      <c r="F3276" s="2"/>
    </row>
    <row r="3277">
      <c r="A3277" s="2">
        <f>IFERROR(__xludf.DUMMYFUNCTION("""COMPUTED_VALUE"""),101889.0)</f>
        <v>101889</v>
      </c>
      <c r="B3277" s="2">
        <f>IFERROR(__xludf.DUMMYFUNCTION("""COMPUTED_VALUE"""),0.0)</f>
        <v>0</v>
      </c>
      <c r="C3277" s="2">
        <f>IFERROR(__xludf.DUMMYFUNCTION("""COMPUTED_VALUE"""),473.0)</f>
        <v>473</v>
      </c>
      <c r="D3277" s="3">
        <f>IFERROR(__xludf.DUMMYFUNCTION("""COMPUTED_VALUE"""),348.0)</f>
        <v>348</v>
      </c>
      <c r="E3277" s="2"/>
      <c r="F3277" s="2"/>
    </row>
    <row r="3278">
      <c r="A3278" s="2">
        <f>IFERROR(__xludf.DUMMYFUNCTION("""COMPUTED_VALUE"""),14030.0)</f>
        <v>14030</v>
      </c>
      <c r="B3278" s="2">
        <f>IFERROR(__xludf.DUMMYFUNCTION("""COMPUTED_VALUE"""),0.0)</f>
        <v>0</v>
      </c>
      <c r="C3278" s="2">
        <f>IFERROR(__xludf.DUMMYFUNCTION("""COMPUTED_VALUE"""),463.0)</f>
        <v>463</v>
      </c>
      <c r="D3278" s="3">
        <f>IFERROR(__xludf.DUMMYFUNCTION("""COMPUTED_VALUE"""),177.0)</f>
        <v>177</v>
      </c>
      <c r="E3278" s="2"/>
      <c r="F3278" s="2"/>
    </row>
    <row r="3279">
      <c r="A3279" s="2">
        <f>IFERROR(__xludf.DUMMYFUNCTION("""COMPUTED_VALUE"""),47381.0)</f>
        <v>47381</v>
      </c>
      <c r="B3279" s="2">
        <f>IFERROR(__xludf.DUMMYFUNCTION("""COMPUTED_VALUE"""),1.0)</f>
        <v>1</v>
      </c>
      <c r="C3279" s="2">
        <f>IFERROR(__xludf.DUMMYFUNCTION("""COMPUTED_VALUE"""),383.0)</f>
        <v>383</v>
      </c>
      <c r="D3279" s="3">
        <f>IFERROR(__xludf.DUMMYFUNCTION("""COMPUTED_VALUE"""),293.0)</f>
        <v>293</v>
      </c>
      <c r="E3279" s="2"/>
      <c r="F3279" s="2"/>
    </row>
    <row r="3280">
      <c r="A3280" s="2">
        <f>IFERROR(__xludf.DUMMYFUNCTION("""COMPUTED_VALUE"""),101888.0)</f>
        <v>101888</v>
      </c>
      <c r="B3280" s="2">
        <f>IFERROR(__xludf.DUMMYFUNCTION("""COMPUTED_VALUE"""),0.0)</f>
        <v>0</v>
      </c>
      <c r="C3280" s="2">
        <f>IFERROR(__xludf.DUMMYFUNCTION("""COMPUTED_VALUE"""),94.0)</f>
        <v>94</v>
      </c>
      <c r="D3280" s="3">
        <f>IFERROR(__xludf.DUMMYFUNCTION("""COMPUTED_VALUE"""),54.0)</f>
        <v>54</v>
      </c>
      <c r="E3280" s="2"/>
      <c r="F3280" s="2"/>
    </row>
    <row r="3281">
      <c r="A3281" s="2">
        <f>IFERROR(__xludf.DUMMYFUNCTION("""COMPUTED_VALUE"""),98328.0)</f>
        <v>98328</v>
      </c>
      <c r="B3281" s="2">
        <f>IFERROR(__xludf.DUMMYFUNCTION("""COMPUTED_VALUE"""),0.0)</f>
        <v>0</v>
      </c>
      <c r="C3281" s="2">
        <f>IFERROR(__xludf.DUMMYFUNCTION("""COMPUTED_VALUE"""),360.0)</f>
        <v>360</v>
      </c>
      <c r="D3281" s="3">
        <f>IFERROR(__xludf.DUMMYFUNCTION("""COMPUTED_VALUE"""),225.0)</f>
        <v>225</v>
      </c>
      <c r="E3281" s="2"/>
      <c r="F3281" s="2"/>
    </row>
    <row r="3282">
      <c r="A3282" s="2">
        <f>IFERROR(__xludf.DUMMYFUNCTION("""COMPUTED_VALUE"""),79775.0)</f>
        <v>79775</v>
      </c>
      <c r="B3282" s="2">
        <f>IFERROR(__xludf.DUMMYFUNCTION("""COMPUTED_VALUE"""),0.0)</f>
        <v>0</v>
      </c>
      <c r="C3282" s="2">
        <f>IFERROR(__xludf.DUMMYFUNCTION("""COMPUTED_VALUE"""),902.0)</f>
        <v>902</v>
      </c>
      <c r="D3282" s="3">
        <f>IFERROR(__xludf.DUMMYFUNCTION("""COMPUTED_VALUE"""),581.0)</f>
        <v>581</v>
      </c>
      <c r="E3282" s="2"/>
      <c r="F3282" s="2"/>
    </row>
    <row r="3283">
      <c r="A3283" s="2">
        <f>IFERROR(__xludf.DUMMYFUNCTION("""COMPUTED_VALUE"""),122616.0)</f>
        <v>122616</v>
      </c>
      <c r="B3283" s="2">
        <f>IFERROR(__xludf.DUMMYFUNCTION("""COMPUTED_VALUE"""),1.0)</f>
        <v>1</v>
      </c>
      <c r="C3283" s="2">
        <f>IFERROR(__xludf.DUMMYFUNCTION("""COMPUTED_VALUE"""),122.0)</f>
        <v>122</v>
      </c>
      <c r="D3283" s="3">
        <f>IFERROR(__xludf.DUMMYFUNCTION("""COMPUTED_VALUE"""),0.0)</f>
        <v>0</v>
      </c>
      <c r="E3283" s="2"/>
      <c r="F3283" s="2"/>
    </row>
    <row r="3284">
      <c r="A3284" s="2">
        <f>IFERROR(__xludf.DUMMYFUNCTION("""COMPUTED_VALUE"""),101950.0)</f>
        <v>101950</v>
      </c>
      <c r="B3284" s="2">
        <f>IFERROR(__xludf.DUMMYFUNCTION("""COMPUTED_VALUE"""),0.0)</f>
        <v>0</v>
      </c>
      <c r="C3284" s="2">
        <f>IFERROR(__xludf.DUMMYFUNCTION("""COMPUTED_VALUE"""),934.0)</f>
        <v>934</v>
      </c>
      <c r="D3284" s="3">
        <f>IFERROR(__xludf.DUMMYFUNCTION("""COMPUTED_VALUE"""),522.0)</f>
        <v>522</v>
      </c>
      <c r="E3284" s="2"/>
      <c r="F3284" s="2"/>
    </row>
    <row r="3285">
      <c r="A3285" s="2">
        <f>IFERROR(__xludf.DUMMYFUNCTION("""COMPUTED_VALUE"""),9163.0)</f>
        <v>9163</v>
      </c>
      <c r="B3285" s="2">
        <f>IFERROR(__xludf.DUMMYFUNCTION("""COMPUTED_VALUE"""),1.0)</f>
        <v>1</v>
      </c>
      <c r="C3285" s="2">
        <f>IFERROR(__xludf.DUMMYFUNCTION("""COMPUTED_VALUE"""),601.0)</f>
        <v>601</v>
      </c>
      <c r="D3285" s="3">
        <f>IFERROR(__xludf.DUMMYFUNCTION("""COMPUTED_VALUE"""),418.0)</f>
        <v>418</v>
      </c>
      <c r="E3285" s="2"/>
      <c r="F3285" s="2"/>
    </row>
    <row r="3286">
      <c r="A3286" s="2">
        <f>IFERROR(__xludf.DUMMYFUNCTION("""COMPUTED_VALUE"""),110106.0)</f>
        <v>110106</v>
      </c>
      <c r="B3286" s="2">
        <f>IFERROR(__xludf.DUMMYFUNCTION("""COMPUTED_VALUE"""),0.0)</f>
        <v>0</v>
      </c>
      <c r="C3286" s="2">
        <f>IFERROR(__xludf.DUMMYFUNCTION("""COMPUTED_VALUE"""),524.0)</f>
        <v>524</v>
      </c>
      <c r="D3286" s="3">
        <f>IFERROR(__xludf.DUMMYFUNCTION("""COMPUTED_VALUE"""),437.0)</f>
        <v>437</v>
      </c>
      <c r="E3286" s="2"/>
      <c r="F3286" s="2"/>
    </row>
    <row r="3287">
      <c r="A3287" s="2">
        <f>IFERROR(__xludf.DUMMYFUNCTION("""COMPUTED_VALUE"""),14045.0)</f>
        <v>14045</v>
      </c>
      <c r="B3287" s="2">
        <f>IFERROR(__xludf.DUMMYFUNCTION("""COMPUTED_VALUE"""),0.0)</f>
        <v>0</v>
      </c>
      <c r="C3287" s="2">
        <f>IFERROR(__xludf.DUMMYFUNCTION("""COMPUTED_VALUE"""),403.0)</f>
        <v>403</v>
      </c>
      <c r="D3287" s="3">
        <f>IFERROR(__xludf.DUMMYFUNCTION("""COMPUTED_VALUE"""),384.0)</f>
        <v>384</v>
      </c>
      <c r="E3287" s="2"/>
      <c r="F3287" s="2"/>
    </row>
    <row r="3288">
      <c r="A3288" s="2">
        <f>IFERROR(__xludf.DUMMYFUNCTION("""COMPUTED_VALUE"""),95993.0)</f>
        <v>95993</v>
      </c>
      <c r="B3288" s="2">
        <f>IFERROR(__xludf.DUMMYFUNCTION("""COMPUTED_VALUE"""),1.0)</f>
        <v>1</v>
      </c>
      <c r="C3288" s="2">
        <f>IFERROR(__xludf.DUMMYFUNCTION("""COMPUTED_VALUE"""),340.0)</f>
        <v>340</v>
      </c>
      <c r="D3288" s="3">
        <f>IFERROR(__xludf.DUMMYFUNCTION("""COMPUTED_VALUE"""),276.0)</f>
        <v>276</v>
      </c>
      <c r="E3288" s="2"/>
      <c r="F3288" s="2"/>
    </row>
    <row r="3289">
      <c r="A3289" s="2">
        <f>IFERROR(__xludf.DUMMYFUNCTION("""COMPUTED_VALUE"""),81488.0)</f>
        <v>81488</v>
      </c>
      <c r="B3289" s="2">
        <f>IFERROR(__xludf.DUMMYFUNCTION("""COMPUTED_VALUE"""),0.0)</f>
        <v>0</v>
      </c>
      <c r="C3289" s="2">
        <f>IFERROR(__xludf.DUMMYFUNCTION("""COMPUTED_VALUE"""),320.0)</f>
        <v>320</v>
      </c>
      <c r="D3289" s="3">
        <f>IFERROR(__xludf.DUMMYFUNCTION("""COMPUTED_VALUE"""),118.0)</f>
        <v>118</v>
      </c>
      <c r="E3289" s="2"/>
      <c r="F3289" s="2"/>
    </row>
    <row r="3290">
      <c r="A3290" s="2">
        <f>IFERROR(__xludf.DUMMYFUNCTION("""COMPUTED_VALUE"""),14049.0)</f>
        <v>14049</v>
      </c>
      <c r="B3290" s="2">
        <f>IFERROR(__xludf.DUMMYFUNCTION("""COMPUTED_VALUE"""),0.0)</f>
        <v>0</v>
      </c>
      <c r="C3290" s="2">
        <f>IFERROR(__xludf.DUMMYFUNCTION("""COMPUTED_VALUE"""),288.0)</f>
        <v>288</v>
      </c>
      <c r="D3290" s="3">
        <f>IFERROR(__xludf.DUMMYFUNCTION("""COMPUTED_VALUE"""),241.0)</f>
        <v>241</v>
      </c>
      <c r="E3290" s="2"/>
      <c r="F3290" s="2"/>
    </row>
    <row r="3291">
      <c r="A3291" s="2">
        <f>IFERROR(__xludf.DUMMYFUNCTION("""COMPUTED_VALUE"""),121749.0)</f>
        <v>121749</v>
      </c>
      <c r="B3291" s="2">
        <f>IFERROR(__xludf.DUMMYFUNCTION("""COMPUTED_VALUE"""),0.0)</f>
        <v>0</v>
      </c>
      <c r="C3291" s="2">
        <f>IFERROR(__xludf.DUMMYFUNCTION("""COMPUTED_VALUE"""),427.0)</f>
        <v>427</v>
      </c>
      <c r="D3291" s="3">
        <f>IFERROR(__xludf.DUMMYFUNCTION("""COMPUTED_VALUE"""),128.0)</f>
        <v>128</v>
      </c>
      <c r="E3291" s="2"/>
      <c r="F3291" s="2"/>
    </row>
    <row r="3292">
      <c r="A3292" s="2">
        <f>IFERROR(__xludf.DUMMYFUNCTION("""COMPUTED_VALUE"""),101927.0)</f>
        <v>101927</v>
      </c>
      <c r="B3292" s="2">
        <f>IFERROR(__xludf.DUMMYFUNCTION("""COMPUTED_VALUE"""),0.0)</f>
        <v>0</v>
      </c>
      <c r="C3292" s="2">
        <f>IFERROR(__xludf.DUMMYFUNCTION("""COMPUTED_VALUE"""),199.0)</f>
        <v>199</v>
      </c>
      <c r="D3292" s="3">
        <f>IFERROR(__xludf.DUMMYFUNCTION("""COMPUTED_VALUE"""),57.0)</f>
        <v>57</v>
      </c>
      <c r="E3292" s="2"/>
      <c r="F3292" s="2"/>
    </row>
    <row r="3293">
      <c r="A3293" s="2">
        <f>IFERROR(__xludf.DUMMYFUNCTION("""COMPUTED_VALUE"""),103864.0)</f>
        <v>103864</v>
      </c>
      <c r="B3293" s="2">
        <f>IFERROR(__xludf.DUMMYFUNCTION("""COMPUTED_VALUE"""),0.0)</f>
        <v>0</v>
      </c>
      <c r="C3293" s="2">
        <f>IFERROR(__xludf.DUMMYFUNCTION("""COMPUTED_VALUE"""),195.0)</f>
        <v>195</v>
      </c>
      <c r="D3293" s="3">
        <f>IFERROR(__xludf.DUMMYFUNCTION("""COMPUTED_VALUE"""),146.0)</f>
        <v>146</v>
      </c>
      <c r="E3293" s="2"/>
      <c r="F3293" s="2"/>
    </row>
    <row r="3294">
      <c r="A3294" s="2">
        <f>IFERROR(__xludf.DUMMYFUNCTION("""COMPUTED_VALUE"""),85862.0)</f>
        <v>85862</v>
      </c>
      <c r="B3294" s="2">
        <f>IFERROR(__xludf.DUMMYFUNCTION("""COMPUTED_VALUE"""),1.0)</f>
        <v>1</v>
      </c>
      <c r="C3294" s="2">
        <f>IFERROR(__xludf.DUMMYFUNCTION("""COMPUTED_VALUE"""),303.0)</f>
        <v>303</v>
      </c>
      <c r="D3294" s="3">
        <f>IFERROR(__xludf.DUMMYFUNCTION("""COMPUTED_VALUE"""),222.0)</f>
        <v>222</v>
      </c>
      <c r="E3294" s="2"/>
      <c r="F3294" s="2"/>
    </row>
    <row r="3295">
      <c r="A3295" s="2">
        <f>IFERROR(__xludf.DUMMYFUNCTION("""COMPUTED_VALUE"""),46124.0)</f>
        <v>46124</v>
      </c>
      <c r="B3295" s="2">
        <f>IFERROR(__xludf.DUMMYFUNCTION("""COMPUTED_VALUE"""),1.0)</f>
        <v>1</v>
      </c>
      <c r="C3295" s="2">
        <f>IFERROR(__xludf.DUMMYFUNCTION("""COMPUTED_VALUE"""),367.0)</f>
        <v>367</v>
      </c>
      <c r="D3295" s="3">
        <f>IFERROR(__xludf.DUMMYFUNCTION("""COMPUTED_VALUE"""),136.0)</f>
        <v>136</v>
      </c>
      <c r="E3295" s="2"/>
      <c r="F3295" s="2"/>
    </row>
    <row r="3296">
      <c r="A3296" s="2">
        <f>IFERROR(__xludf.DUMMYFUNCTION("""COMPUTED_VALUE"""),114346.0)</f>
        <v>114346</v>
      </c>
      <c r="B3296" s="2">
        <f>IFERROR(__xludf.DUMMYFUNCTION("""COMPUTED_VALUE"""),1.0)</f>
        <v>1</v>
      </c>
      <c r="C3296" s="2">
        <f>IFERROR(__xludf.DUMMYFUNCTION("""COMPUTED_VALUE"""),931.0)</f>
        <v>931</v>
      </c>
      <c r="D3296" s="3">
        <f>IFERROR(__xludf.DUMMYFUNCTION("""COMPUTED_VALUE"""),402.0)</f>
        <v>402</v>
      </c>
      <c r="E3296" s="2"/>
      <c r="F3296" s="2"/>
    </row>
    <row r="3297">
      <c r="A3297" s="2">
        <f>IFERROR(__xludf.DUMMYFUNCTION("""COMPUTED_VALUE"""),80194.0)</f>
        <v>80194</v>
      </c>
      <c r="B3297" s="2">
        <f>IFERROR(__xludf.DUMMYFUNCTION("""COMPUTED_VALUE"""),1.0)</f>
        <v>1</v>
      </c>
      <c r="C3297" s="2">
        <f>IFERROR(__xludf.DUMMYFUNCTION("""COMPUTED_VALUE"""),236.0)</f>
        <v>236</v>
      </c>
      <c r="D3297" s="3">
        <f>IFERROR(__xludf.DUMMYFUNCTION("""COMPUTED_VALUE"""),177.0)</f>
        <v>177</v>
      </c>
      <c r="E3297" s="2"/>
      <c r="F3297" s="2"/>
    </row>
    <row r="3298">
      <c r="A3298" s="2">
        <f>IFERROR(__xludf.DUMMYFUNCTION("""COMPUTED_VALUE"""),80192.0)</f>
        <v>80192</v>
      </c>
      <c r="B3298" s="2">
        <f>IFERROR(__xludf.DUMMYFUNCTION("""COMPUTED_VALUE"""),1.0)</f>
        <v>1</v>
      </c>
      <c r="C3298" s="2">
        <f>IFERROR(__xludf.DUMMYFUNCTION("""COMPUTED_VALUE"""),722.0)</f>
        <v>722</v>
      </c>
      <c r="D3298" s="3">
        <f>IFERROR(__xludf.DUMMYFUNCTION("""COMPUTED_VALUE"""),244.0)</f>
        <v>244</v>
      </c>
      <c r="E3298" s="2"/>
      <c r="F3298" s="2"/>
    </row>
    <row r="3299">
      <c r="A3299" s="2">
        <f>IFERROR(__xludf.DUMMYFUNCTION("""COMPUTED_VALUE"""),46109.0)</f>
        <v>46109</v>
      </c>
      <c r="B3299" s="2">
        <f>IFERROR(__xludf.DUMMYFUNCTION("""COMPUTED_VALUE"""),1.0)</f>
        <v>1</v>
      </c>
      <c r="C3299" s="2">
        <f>IFERROR(__xludf.DUMMYFUNCTION("""COMPUTED_VALUE"""),881.0)</f>
        <v>881</v>
      </c>
      <c r="D3299" s="3">
        <f>IFERROR(__xludf.DUMMYFUNCTION("""COMPUTED_VALUE"""),147.0)</f>
        <v>147</v>
      </c>
      <c r="E3299" s="2"/>
      <c r="F3299" s="2"/>
    </row>
    <row r="3300">
      <c r="A3300" s="2">
        <f>IFERROR(__xludf.DUMMYFUNCTION("""COMPUTED_VALUE"""),80196.0)</f>
        <v>80196</v>
      </c>
      <c r="B3300" s="2">
        <f>IFERROR(__xludf.DUMMYFUNCTION("""COMPUTED_VALUE"""),0.0)</f>
        <v>0</v>
      </c>
      <c r="C3300" s="2">
        <f>IFERROR(__xludf.DUMMYFUNCTION("""COMPUTED_VALUE"""),773.0)</f>
        <v>773</v>
      </c>
      <c r="D3300" s="3">
        <f>IFERROR(__xludf.DUMMYFUNCTION("""COMPUTED_VALUE"""),760.0)</f>
        <v>760</v>
      </c>
      <c r="E3300" s="2"/>
      <c r="F3300" s="2"/>
    </row>
    <row r="3301">
      <c r="A3301" s="2">
        <f>IFERROR(__xludf.DUMMYFUNCTION("""COMPUTED_VALUE"""),149602.0)</f>
        <v>149602</v>
      </c>
      <c r="B3301" s="2">
        <f>IFERROR(__xludf.DUMMYFUNCTION("""COMPUTED_VALUE"""),0.0)</f>
        <v>0</v>
      </c>
      <c r="C3301" s="2">
        <f>IFERROR(__xludf.DUMMYFUNCTION("""COMPUTED_VALUE"""),796.0)</f>
        <v>796</v>
      </c>
      <c r="D3301" s="3">
        <f>IFERROR(__xludf.DUMMYFUNCTION("""COMPUTED_VALUE"""),103.0)</f>
        <v>103</v>
      </c>
      <c r="E3301" s="2"/>
      <c r="F3301" s="2"/>
    </row>
    <row r="3302">
      <c r="A3302" s="2">
        <f>IFERROR(__xludf.DUMMYFUNCTION("""COMPUTED_VALUE"""),46123.0)</f>
        <v>46123</v>
      </c>
      <c r="B3302" s="2">
        <f>IFERROR(__xludf.DUMMYFUNCTION("""COMPUTED_VALUE"""),0.0)</f>
        <v>0</v>
      </c>
      <c r="C3302" s="2">
        <f>IFERROR(__xludf.DUMMYFUNCTION("""COMPUTED_VALUE"""),674.0)</f>
        <v>674</v>
      </c>
      <c r="D3302" s="3">
        <f>IFERROR(__xludf.DUMMYFUNCTION("""COMPUTED_VALUE"""),647.0)</f>
        <v>647</v>
      </c>
      <c r="E3302" s="2"/>
      <c r="F3302" s="2"/>
    </row>
    <row r="3303">
      <c r="A3303" s="2">
        <f>IFERROR(__xludf.DUMMYFUNCTION("""COMPUTED_VALUE"""),46113.0)</f>
        <v>46113</v>
      </c>
      <c r="B3303" s="2">
        <f>IFERROR(__xludf.DUMMYFUNCTION("""COMPUTED_VALUE"""),1.0)</f>
        <v>1</v>
      </c>
      <c r="C3303" s="2">
        <f>IFERROR(__xludf.DUMMYFUNCTION("""COMPUTED_VALUE"""),53.0)</f>
        <v>53</v>
      </c>
      <c r="D3303" s="3">
        <f>IFERROR(__xludf.DUMMYFUNCTION("""COMPUTED_VALUE"""),53.0)</f>
        <v>53</v>
      </c>
      <c r="E3303" s="2"/>
      <c r="F3303" s="2"/>
    </row>
    <row r="3304">
      <c r="A3304" s="2">
        <f>IFERROR(__xludf.DUMMYFUNCTION("""COMPUTED_VALUE"""),46116.0)</f>
        <v>46116</v>
      </c>
      <c r="B3304" s="2">
        <f>IFERROR(__xludf.DUMMYFUNCTION("""COMPUTED_VALUE"""),0.0)</f>
        <v>0</v>
      </c>
      <c r="C3304" s="2">
        <f>IFERROR(__xludf.DUMMYFUNCTION("""COMPUTED_VALUE"""),99.0)</f>
        <v>99</v>
      </c>
      <c r="D3304" s="3">
        <f>IFERROR(__xludf.DUMMYFUNCTION("""COMPUTED_VALUE"""),15.0)</f>
        <v>15</v>
      </c>
      <c r="E3304" s="2"/>
      <c r="F3304" s="2"/>
    </row>
    <row r="3305">
      <c r="A3305" s="2">
        <f>IFERROR(__xludf.DUMMYFUNCTION("""COMPUTED_VALUE"""),46119.0)</f>
        <v>46119</v>
      </c>
      <c r="B3305" s="2">
        <f>IFERROR(__xludf.DUMMYFUNCTION("""COMPUTED_VALUE"""),1.0)</f>
        <v>1</v>
      </c>
      <c r="C3305" s="2">
        <f>IFERROR(__xludf.DUMMYFUNCTION("""COMPUTED_VALUE"""),482.0)</f>
        <v>482</v>
      </c>
      <c r="D3305" s="3">
        <f>IFERROR(__xludf.DUMMYFUNCTION("""COMPUTED_VALUE"""),465.0)</f>
        <v>465</v>
      </c>
      <c r="E3305" s="2"/>
      <c r="F3305" s="2"/>
    </row>
    <row r="3306">
      <c r="A3306" s="2">
        <f>IFERROR(__xludf.DUMMYFUNCTION("""COMPUTED_VALUE"""),63867.0)</f>
        <v>63867</v>
      </c>
      <c r="B3306" s="2">
        <f>IFERROR(__xludf.DUMMYFUNCTION("""COMPUTED_VALUE"""),1.0)</f>
        <v>1</v>
      </c>
      <c r="C3306" s="2">
        <f>IFERROR(__xludf.DUMMYFUNCTION("""COMPUTED_VALUE"""),264.0)</f>
        <v>264</v>
      </c>
      <c r="D3306" s="3">
        <f>IFERROR(__xludf.DUMMYFUNCTION("""COMPUTED_VALUE"""),239.0)</f>
        <v>239</v>
      </c>
      <c r="E3306" s="2"/>
      <c r="F3306" s="2"/>
    </row>
    <row r="3307">
      <c r="A3307" s="2">
        <f>IFERROR(__xludf.DUMMYFUNCTION("""COMPUTED_VALUE"""),80190.0)</f>
        <v>80190</v>
      </c>
      <c r="B3307" s="2">
        <f>IFERROR(__xludf.DUMMYFUNCTION("""COMPUTED_VALUE"""),0.0)</f>
        <v>0</v>
      </c>
      <c r="C3307" s="2">
        <f>IFERROR(__xludf.DUMMYFUNCTION("""COMPUTED_VALUE"""),556.0)</f>
        <v>556</v>
      </c>
      <c r="D3307" s="3">
        <f>IFERROR(__xludf.DUMMYFUNCTION("""COMPUTED_VALUE"""),209.0)</f>
        <v>209</v>
      </c>
      <c r="E3307" s="2"/>
      <c r="F3307" s="2"/>
    </row>
    <row r="3308">
      <c r="A3308" s="2">
        <f>IFERROR(__xludf.DUMMYFUNCTION("""COMPUTED_VALUE"""),48485.0)</f>
        <v>48485</v>
      </c>
      <c r="B3308" s="2">
        <f>IFERROR(__xludf.DUMMYFUNCTION("""COMPUTED_VALUE"""),1.0)</f>
        <v>1</v>
      </c>
      <c r="C3308" s="2">
        <f>IFERROR(__xludf.DUMMYFUNCTION("""COMPUTED_VALUE"""),837.0)</f>
        <v>837</v>
      </c>
      <c r="D3308" s="3">
        <f>IFERROR(__xludf.DUMMYFUNCTION("""COMPUTED_VALUE"""),295.0)</f>
        <v>295</v>
      </c>
      <c r="E3308" s="2"/>
      <c r="F3308" s="2"/>
    </row>
    <row r="3309">
      <c r="A3309" s="2">
        <f>IFERROR(__xludf.DUMMYFUNCTION("""COMPUTED_VALUE"""),80203.0)</f>
        <v>80203</v>
      </c>
      <c r="B3309" s="2">
        <f>IFERROR(__xludf.DUMMYFUNCTION("""COMPUTED_VALUE"""),1.0)</f>
        <v>1</v>
      </c>
      <c r="C3309" s="2">
        <f>IFERROR(__xludf.DUMMYFUNCTION("""COMPUTED_VALUE"""),787.0)</f>
        <v>787</v>
      </c>
      <c r="D3309" s="3">
        <f>IFERROR(__xludf.DUMMYFUNCTION("""COMPUTED_VALUE"""),696.0)</f>
        <v>696</v>
      </c>
      <c r="E3309" s="2"/>
      <c r="F3309" s="2"/>
    </row>
    <row r="3310">
      <c r="A3310" s="2">
        <f>IFERROR(__xludf.DUMMYFUNCTION("""COMPUTED_VALUE"""),100670.0)</f>
        <v>100670</v>
      </c>
      <c r="B3310" s="2">
        <f>IFERROR(__xludf.DUMMYFUNCTION("""COMPUTED_VALUE"""),1.0)</f>
        <v>1</v>
      </c>
      <c r="C3310" s="2">
        <f>IFERROR(__xludf.DUMMYFUNCTION("""COMPUTED_VALUE"""),182.0)</f>
        <v>182</v>
      </c>
      <c r="D3310" s="3">
        <f>IFERROR(__xludf.DUMMYFUNCTION("""COMPUTED_VALUE"""),10.0)</f>
        <v>10</v>
      </c>
      <c r="E3310" s="2"/>
      <c r="F3310" s="2"/>
    </row>
    <row r="3311">
      <c r="A3311" s="2">
        <f>IFERROR(__xludf.DUMMYFUNCTION("""COMPUTED_VALUE"""),16546.0)</f>
        <v>16546</v>
      </c>
      <c r="B3311" s="2">
        <f>IFERROR(__xludf.DUMMYFUNCTION("""COMPUTED_VALUE"""),1.0)</f>
        <v>1</v>
      </c>
      <c r="C3311" s="2">
        <f>IFERROR(__xludf.DUMMYFUNCTION("""COMPUTED_VALUE"""),580.0)</f>
        <v>580</v>
      </c>
      <c r="D3311" s="3">
        <f>IFERROR(__xludf.DUMMYFUNCTION("""COMPUTED_VALUE"""),165.0)</f>
        <v>165</v>
      </c>
      <c r="E3311" s="2"/>
      <c r="F3311" s="2"/>
    </row>
    <row r="3312">
      <c r="A3312" s="2">
        <f>IFERROR(__xludf.DUMMYFUNCTION("""COMPUTED_VALUE"""),121622.0)</f>
        <v>121622</v>
      </c>
      <c r="B3312" s="2">
        <f>IFERROR(__xludf.DUMMYFUNCTION("""COMPUTED_VALUE"""),1.0)</f>
        <v>1</v>
      </c>
      <c r="C3312" s="2">
        <f>IFERROR(__xludf.DUMMYFUNCTION("""COMPUTED_VALUE"""),192.0)</f>
        <v>192</v>
      </c>
      <c r="D3312" s="3">
        <f>IFERROR(__xludf.DUMMYFUNCTION("""COMPUTED_VALUE"""),164.0)</f>
        <v>164</v>
      </c>
      <c r="E3312" s="2"/>
      <c r="F3312" s="2"/>
    </row>
    <row r="3313">
      <c r="A3313" s="2">
        <f>IFERROR(__xludf.DUMMYFUNCTION("""COMPUTED_VALUE"""),80202.0)</f>
        <v>80202</v>
      </c>
      <c r="B3313" s="2">
        <f>IFERROR(__xludf.DUMMYFUNCTION("""COMPUTED_VALUE"""),1.0)</f>
        <v>1</v>
      </c>
      <c r="C3313" s="2">
        <f>IFERROR(__xludf.DUMMYFUNCTION("""COMPUTED_VALUE"""),776.0)</f>
        <v>776</v>
      </c>
      <c r="D3313" s="3">
        <f>IFERROR(__xludf.DUMMYFUNCTION("""COMPUTED_VALUE"""),205.0)</f>
        <v>205</v>
      </c>
      <c r="E3313" s="2"/>
      <c r="F3313" s="2"/>
    </row>
    <row r="3314">
      <c r="A3314" s="2">
        <f>IFERROR(__xludf.DUMMYFUNCTION("""COMPUTED_VALUE"""),24263.0)</f>
        <v>24263</v>
      </c>
      <c r="B3314" s="2">
        <f>IFERROR(__xludf.DUMMYFUNCTION("""COMPUTED_VALUE"""),0.0)</f>
        <v>0</v>
      </c>
      <c r="C3314" s="2">
        <f>IFERROR(__xludf.DUMMYFUNCTION("""COMPUTED_VALUE"""),716.0)</f>
        <v>716</v>
      </c>
      <c r="D3314" s="3">
        <f>IFERROR(__xludf.DUMMYFUNCTION("""COMPUTED_VALUE"""),606.0)</f>
        <v>606</v>
      </c>
      <c r="E3314" s="2"/>
      <c r="F3314" s="2"/>
    </row>
    <row r="3315">
      <c r="A3315" s="2">
        <f>IFERROR(__xludf.DUMMYFUNCTION("""COMPUTED_VALUE"""),16552.0)</f>
        <v>16552</v>
      </c>
      <c r="B3315" s="2">
        <f>IFERROR(__xludf.DUMMYFUNCTION("""COMPUTED_VALUE"""),1.0)</f>
        <v>1</v>
      </c>
      <c r="C3315" s="2">
        <f>IFERROR(__xludf.DUMMYFUNCTION("""COMPUTED_VALUE"""),203.0)</f>
        <v>203</v>
      </c>
      <c r="D3315" s="3">
        <f>IFERROR(__xludf.DUMMYFUNCTION("""COMPUTED_VALUE"""),25.0)</f>
        <v>25</v>
      </c>
      <c r="E3315" s="2"/>
      <c r="F3315" s="2"/>
    </row>
    <row r="3316">
      <c r="A3316" s="2">
        <f>IFERROR(__xludf.DUMMYFUNCTION("""COMPUTED_VALUE"""),112771.0)</f>
        <v>112771</v>
      </c>
      <c r="B3316" s="2">
        <f>IFERROR(__xludf.DUMMYFUNCTION("""COMPUTED_VALUE"""),1.0)</f>
        <v>1</v>
      </c>
      <c r="C3316" s="2">
        <f>IFERROR(__xludf.DUMMYFUNCTION("""COMPUTED_VALUE"""),459.0)</f>
        <v>459</v>
      </c>
      <c r="D3316" s="3">
        <f>IFERROR(__xludf.DUMMYFUNCTION("""COMPUTED_VALUE"""),111.0)</f>
        <v>111</v>
      </c>
      <c r="E3316" s="2"/>
      <c r="F3316" s="2"/>
    </row>
    <row r="3317">
      <c r="A3317" s="2">
        <f>IFERROR(__xludf.DUMMYFUNCTION("""COMPUTED_VALUE"""),116197.0)</f>
        <v>116197</v>
      </c>
      <c r="B3317" s="2">
        <f>IFERROR(__xludf.DUMMYFUNCTION("""COMPUTED_VALUE"""),1.0)</f>
        <v>1</v>
      </c>
      <c r="C3317" s="2">
        <f>IFERROR(__xludf.DUMMYFUNCTION("""COMPUTED_VALUE"""),356.0)</f>
        <v>356</v>
      </c>
      <c r="D3317" s="3">
        <f>IFERROR(__xludf.DUMMYFUNCTION("""COMPUTED_VALUE"""),129.0)</f>
        <v>129</v>
      </c>
      <c r="E3317" s="2"/>
      <c r="F3317" s="2"/>
    </row>
    <row r="3318">
      <c r="A3318" s="2">
        <f>IFERROR(__xludf.DUMMYFUNCTION("""COMPUTED_VALUE"""),46138.0)</f>
        <v>46138</v>
      </c>
      <c r="B3318" s="2">
        <f>IFERROR(__xludf.DUMMYFUNCTION("""COMPUTED_VALUE"""),0.0)</f>
        <v>0</v>
      </c>
      <c r="C3318" s="2">
        <f>IFERROR(__xludf.DUMMYFUNCTION("""COMPUTED_VALUE"""),873.0)</f>
        <v>873</v>
      </c>
      <c r="D3318" s="3">
        <f>IFERROR(__xludf.DUMMYFUNCTION("""COMPUTED_VALUE"""),638.0)</f>
        <v>638</v>
      </c>
      <c r="E3318" s="2"/>
      <c r="F3318" s="2"/>
    </row>
    <row r="3319">
      <c r="A3319" s="2">
        <f>IFERROR(__xludf.DUMMYFUNCTION("""COMPUTED_VALUE"""),109546.0)</f>
        <v>109546</v>
      </c>
      <c r="B3319" s="2">
        <f>IFERROR(__xludf.DUMMYFUNCTION("""COMPUTED_VALUE"""),0.0)</f>
        <v>0</v>
      </c>
      <c r="C3319" s="2">
        <f>IFERROR(__xludf.DUMMYFUNCTION("""COMPUTED_VALUE"""),349.0)</f>
        <v>349</v>
      </c>
      <c r="D3319" s="3">
        <f>IFERROR(__xludf.DUMMYFUNCTION("""COMPUTED_VALUE"""),272.0)</f>
        <v>272</v>
      </c>
      <c r="E3319" s="2"/>
      <c r="F3319" s="2"/>
    </row>
    <row r="3320">
      <c r="A3320" s="2">
        <f>IFERROR(__xludf.DUMMYFUNCTION("""COMPUTED_VALUE"""),199475.0)</f>
        <v>199475</v>
      </c>
      <c r="B3320" s="2">
        <f>IFERROR(__xludf.DUMMYFUNCTION("""COMPUTED_VALUE"""),0.0)</f>
        <v>0</v>
      </c>
      <c r="C3320" s="2">
        <f>IFERROR(__xludf.DUMMYFUNCTION("""COMPUTED_VALUE"""),819.0)</f>
        <v>819</v>
      </c>
      <c r="D3320" s="3">
        <f>IFERROR(__xludf.DUMMYFUNCTION("""COMPUTED_VALUE"""),330.0)</f>
        <v>330</v>
      </c>
      <c r="E3320" s="2"/>
      <c r="F3320" s="2"/>
    </row>
    <row r="3321">
      <c r="A3321" s="2">
        <f>IFERROR(__xludf.DUMMYFUNCTION("""COMPUTED_VALUE"""),199479.0)</f>
        <v>199479</v>
      </c>
      <c r="B3321" s="2">
        <f>IFERROR(__xludf.DUMMYFUNCTION("""COMPUTED_VALUE"""),1.0)</f>
        <v>1</v>
      </c>
      <c r="C3321" s="2">
        <f>IFERROR(__xludf.DUMMYFUNCTION("""COMPUTED_VALUE"""),161.0)</f>
        <v>161</v>
      </c>
      <c r="D3321" s="3">
        <f>IFERROR(__xludf.DUMMYFUNCTION("""COMPUTED_VALUE"""),116.0)</f>
        <v>116</v>
      </c>
      <c r="E3321" s="2"/>
      <c r="F3321" s="2"/>
    </row>
    <row r="3322">
      <c r="A3322" s="2">
        <f>IFERROR(__xludf.DUMMYFUNCTION("""COMPUTED_VALUE"""),48180.0)</f>
        <v>48180</v>
      </c>
      <c r="B3322" s="2">
        <f>IFERROR(__xludf.DUMMYFUNCTION("""COMPUTED_VALUE"""),1.0)</f>
        <v>1</v>
      </c>
      <c r="C3322" s="2">
        <f>IFERROR(__xludf.DUMMYFUNCTION("""COMPUTED_VALUE"""),136.0)</f>
        <v>136</v>
      </c>
      <c r="D3322" s="3">
        <f>IFERROR(__xludf.DUMMYFUNCTION("""COMPUTED_VALUE"""),133.0)</f>
        <v>133</v>
      </c>
      <c r="E3322" s="2"/>
      <c r="F3322" s="2"/>
    </row>
    <row r="3323">
      <c r="A3323" s="2">
        <f>IFERROR(__xludf.DUMMYFUNCTION("""COMPUTED_VALUE"""),90374.0)</f>
        <v>90374</v>
      </c>
      <c r="B3323" s="2">
        <f>IFERROR(__xludf.DUMMYFUNCTION("""COMPUTED_VALUE"""),0.0)</f>
        <v>0</v>
      </c>
      <c r="C3323" s="2">
        <f>IFERROR(__xludf.DUMMYFUNCTION("""COMPUTED_VALUE"""),963.0)</f>
        <v>963</v>
      </c>
      <c r="D3323" s="3">
        <f>IFERROR(__xludf.DUMMYFUNCTION("""COMPUTED_VALUE"""),696.0)</f>
        <v>696</v>
      </c>
      <c r="E3323" s="2"/>
      <c r="F3323" s="2"/>
    </row>
    <row r="3324">
      <c r="A3324" s="2">
        <f>IFERROR(__xludf.DUMMYFUNCTION("""COMPUTED_VALUE"""),80318.0)</f>
        <v>80318</v>
      </c>
      <c r="B3324" s="2">
        <f>IFERROR(__xludf.DUMMYFUNCTION("""COMPUTED_VALUE"""),1.0)</f>
        <v>1</v>
      </c>
      <c r="C3324" s="2">
        <f>IFERROR(__xludf.DUMMYFUNCTION("""COMPUTED_VALUE"""),167.0)</f>
        <v>167</v>
      </c>
      <c r="D3324" s="3">
        <f>IFERROR(__xludf.DUMMYFUNCTION("""COMPUTED_VALUE"""),154.0)</f>
        <v>154</v>
      </c>
      <c r="E3324" s="2"/>
      <c r="F3324" s="2"/>
    </row>
    <row r="3325">
      <c r="A3325" s="2">
        <f>IFERROR(__xludf.DUMMYFUNCTION("""COMPUTED_VALUE"""),6206.0)</f>
        <v>6206</v>
      </c>
      <c r="B3325" s="2">
        <f>IFERROR(__xludf.DUMMYFUNCTION("""COMPUTED_VALUE"""),1.0)</f>
        <v>1</v>
      </c>
      <c r="C3325" s="2">
        <f>IFERROR(__xludf.DUMMYFUNCTION("""COMPUTED_VALUE"""),394.0)</f>
        <v>394</v>
      </c>
      <c r="D3325" s="3">
        <f>IFERROR(__xludf.DUMMYFUNCTION("""COMPUTED_VALUE"""),140.0)</f>
        <v>140</v>
      </c>
      <c r="E3325" s="2"/>
      <c r="F3325" s="2"/>
    </row>
    <row r="3326">
      <c r="A3326" s="2">
        <f>IFERROR(__xludf.DUMMYFUNCTION("""COMPUTED_VALUE"""),181492.0)</f>
        <v>181492</v>
      </c>
      <c r="B3326" s="2">
        <f>IFERROR(__xludf.DUMMYFUNCTION("""COMPUTED_VALUE"""),0.0)</f>
        <v>0</v>
      </c>
      <c r="C3326" s="2">
        <f>IFERROR(__xludf.DUMMYFUNCTION("""COMPUTED_VALUE"""),136.0)</f>
        <v>136</v>
      </c>
      <c r="D3326" s="3">
        <f>IFERROR(__xludf.DUMMYFUNCTION("""COMPUTED_VALUE"""),17.0)</f>
        <v>17</v>
      </c>
      <c r="E3326" s="2"/>
      <c r="F3326" s="2"/>
    </row>
    <row r="3327">
      <c r="A3327" s="2">
        <f>IFERROR(__xludf.DUMMYFUNCTION("""COMPUTED_VALUE"""),148738.0)</f>
        <v>148738</v>
      </c>
      <c r="B3327" s="2">
        <f>IFERROR(__xludf.DUMMYFUNCTION("""COMPUTED_VALUE"""),0.0)</f>
        <v>0</v>
      </c>
      <c r="C3327" s="2">
        <f>IFERROR(__xludf.DUMMYFUNCTION("""COMPUTED_VALUE"""),81.0)</f>
        <v>81</v>
      </c>
      <c r="D3327" s="3">
        <f>IFERROR(__xludf.DUMMYFUNCTION("""COMPUTED_VALUE"""),21.0)</f>
        <v>21</v>
      </c>
      <c r="E3327" s="2"/>
      <c r="F3327" s="2"/>
    </row>
    <row r="3328">
      <c r="A3328" s="2">
        <f>IFERROR(__xludf.DUMMYFUNCTION("""COMPUTED_VALUE"""),100692.0)</f>
        <v>100692</v>
      </c>
      <c r="B3328" s="2">
        <f>IFERROR(__xludf.DUMMYFUNCTION("""COMPUTED_VALUE"""),1.0)</f>
        <v>1</v>
      </c>
      <c r="C3328" s="2">
        <f>IFERROR(__xludf.DUMMYFUNCTION("""COMPUTED_VALUE"""),746.0)</f>
        <v>746</v>
      </c>
      <c r="D3328" s="3">
        <f>IFERROR(__xludf.DUMMYFUNCTION("""COMPUTED_VALUE"""),564.0)</f>
        <v>564</v>
      </c>
      <c r="E3328" s="2"/>
      <c r="F3328" s="2"/>
    </row>
    <row r="3329">
      <c r="A3329" s="2">
        <f>IFERROR(__xludf.DUMMYFUNCTION("""COMPUTED_VALUE"""),121708.0)</f>
        <v>121708</v>
      </c>
      <c r="B3329" s="2">
        <f>IFERROR(__xludf.DUMMYFUNCTION("""COMPUTED_VALUE"""),1.0)</f>
        <v>1</v>
      </c>
      <c r="C3329" s="2">
        <f>IFERROR(__xludf.DUMMYFUNCTION("""COMPUTED_VALUE"""),900.0)</f>
        <v>900</v>
      </c>
      <c r="D3329" s="3">
        <f>IFERROR(__xludf.DUMMYFUNCTION("""COMPUTED_VALUE"""),598.0)</f>
        <v>598</v>
      </c>
      <c r="E3329" s="2"/>
      <c r="F3329" s="2"/>
    </row>
    <row r="3330">
      <c r="A3330" s="2">
        <f>IFERROR(__xludf.DUMMYFUNCTION("""COMPUTED_VALUE"""),47508.0)</f>
        <v>47508</v>
      </c>
      <c r="B3330" s="2">
        <f>IFERROR(__xludf.DUMMYFUNCTION("""COMPUTED_VALUE"""),0.0)</f>
        <v>0</v>
      </c>
      <c r="C3330" s="2">
        <f>IFERROR(__xludf.DUMMYFUNCTION("""COMPUTED_VALUE"""),192.0)</f>
        <v>192</v>
      </c>
      <c r="D3330" s="3">
        <f>IFERROR(__xludf.DUMMYFUNCTION("""COMPUTED_VALUE"""),41.0)</f>
        <v>41</v>
      </c>
      <c r="E3330" s="2"/>
      <c r="F3330" s="2"/>
    </row>
    <row r="3331">
      <c r="A3331" s="2">
        <f>IFERROR(__xludf.DUMMYFUNCTION("""COMPUTED_VALUE"""),89514.0)</f>
        <v>89514</v>
      </c>
      <c r="B3331" s="2">
        <f>IFERROR(__xludf.DUMMYFUNCTION("""COMPUTED_VALUE"""),1.0)</f>
        <v>1</v>
      </c>
      <c r="C3331" s="2">
        <f>IFERROR(__xludf.DUMMYFUNCTION("""COMPUTED_VALUE"""),935.0)</f>
        <v>935</v>
      </c>
      <c r="D3331" s="3">
        <f>IFERROR(__xludf.DUMMYFUNCTION("""COMPUTED_VALUE"""),131.0)</f>
        <v>131</v>
      </c>
      <c r="E3331" s="2"/>
      <c r="F3331" s="2"/>
    </row>
    <row r="3332">
      <c r="A3332" s="2">
        <f>IFERROR(__xludf.DUMMYFUNCTION("""COMPUTED_VALUE"""),117918.0)</f>
        <v>117918</v>
      </c>
      <c r="B3332" s="2">
        <f>IFERROR(__xludf.DUMMYFUNCTION("""COMPUTED_VALUE"""),0.0)</f>
        <v>0</v>
      </c>
      <c r="C3332" s="2">
        <f>IFERROR(__xludf.DUMMYFUNCTION("""COMPUTED_VALUE"""),8.0)</f>
        <v>8</v>
      </c>
      <c r="D3332" s="3">
        <f>IFERROR(__xludf.DUMMYFUNCTION("""COMPUTED_VALUE"""),7.0)</f>
        <v>7</v>
      </c>
      <c r="E3332" s="2"/>
      <c r="F3332" s="2"/>
    </row>
    <row r="3333">
      <c r="A3333" s="2">
        <f>IFERROR(__xludf.DUMMYFUNCTION("""COMPUTED_VALUE"""),16645.0)</f>
        <v>16645</v>
      </c>
      <c r="B3333" s="2">
        <f>IFERROR(__xludf.DUMMYFUNCTION("""COMPUTED_VALUE"""),0.0)</f>
        <v>0</v>
      </c>
      <c r="C3333" s="2">
        <f>IFERROR(__xludf.DUMMYFUNCTION("""COMPUTED_VALUE"""),521.0)</f>
        <v>521</v>
      </c>
      <c r="D3333" s="3">
        <f>IFERROR(__xludf.DUMMYFUNCTION("""COMPUTED_VALUE"""),391.0)</f>
        <v>391</v>
      </c>
      <c r="E3333" s="2"/>
      <c r="F3333" s="2"/>
    </row>
    <row r="3334">
      <c r="A3334" s="2">
        <f>IFERROR(__xludf.DUMMYFUNCTION("""COMPUTED_VALUE"""),148740.0)</f>
        <v>148740</v>
      </c>
      <c r="B3334" s="2">
        <f>IFERROR(__xludf.DUMMYFUNCTION("""COMPUTED_VALUE"""),0.0)</f>
        <v>0</v>
      </c>
      <c r="C3334" s="2">
        <f>IFERROR(__xludf.DUMMYFUNCTION("""COMPUTED_VALUE"""),54.0)</f>
        <v>54</v>
      </c>
      <c r="D3334" s="3">
        <f>IFERROR(__xludf.DUMMYFUNCTION("""COMPUTED_VALUE"""),50.0)</f>
        <v>50</v>
      </c>
      <c r="E3334" s="2"/>
      <c r="F3334" s="2"/>
    </row>
    <row r="3335">
      <c r="A3335" s="2">
        <f>IFERROR(__xludf.DUMMYFUNCTION("""COMPUTED_VALUE"""),100688.0)</f>
        <v>100688</v>
      </c>
      <c r="B3335" s="2">
        <f>IFERROR(__xludf.DUMMYFUNCTION("""COMPUTED_VALUE"""),0.0)</f>
        <v>0</v>
      </c>
      <c r="C3335" s="2">
        <f>IFERROR(__xludf.DUMMYFUNCTION("""COMPUTED_VALUE"""),21.0)</f>
        <v>21</v>
      </c>
      <c r="D3335" s="3">
        <f>IFERROR(__xludf.DUMMYFUNCTION("""COMPUTED_VALUE"""),20.0)</f>
        <v>20</v>
      </c>
      <c r="E3335" s="2"/>
      <c r="F3335" s="2"/>
    </row>
    <row r="3336">
      <c r="A3336" s="2">
        <f>IFERROR(__xludf.DUMMYFUNCTION("""COMPUTED_VALUE"""),148741.0)</f>
        <v>148741</v>
      </c>
      <c r="B3336" s="2">
        <f>IFERROR(__xludf.DUMMYFUNCTION("""COMPUTED_VALUE"""),1.0)</f>
        <v>1</v>
      </c>
      <c r="C3336" s="2">
        <f>IFERROR(__xludf.DUMMYFUNCTION("""COMPUTED_VALUE"""),729.0)</f>
        <v>729</v>
      </c>
      <c r="D3336" s="3">
        <f>IFERROR(__xludf.DUMMYFUNCTION("""COMPUTED_VALUE"""),723.0)</f>
        <v>723</v>
      </c>
      <c r="E3336" s="2"/>
      <c r="F3336" s="2"/>
    </row>
    <row r="3337">
      <c r="A3337" s="2">
        <f>IFERROR(__xludf.DUMMYFUNCTION("""COMPUTED_VALUE"""),109299.0)</f>
        <v>109299</v>
      </c>
      <c r="B3337" s="2">
        <f>IFERROR(__xludf.DUMMYFUNCTION("""COMPUTED_VALUE"""),1.0)</f>
        <v>1</v>
      </c>
      <c r="C3337" s="2">
        <f>IFERROR(__xludf.DUMMYFUNCTION("""COMPUTED_VALUE"""),425.0)</f>
        <v>425</v>
      </c>
      <c r="D3337" s="3">
        <f>IFERROR(__xludf.DUMMYFUNCTION("""COMPUTED_VALUE"""),173.0)</f>
        <v>173</v>
      </c>
      <c r="E3337" s="2"/>
      <c r="F3337" s="2"/>
    </row>
    <row r="3338">
      <c r="A3338" s="2">
        <f>IFERROR(__xludf.DUMMYFUNCTION("""COMPUTED_VALUE"""),196109.0)</f>
        <v>196109</v>
      </c>
      <c r="B3338" s="2">
        <f>IFERROR(__xludf.DUMMYFUNCTION("""COMPUTED_VALUE"""),0.0)</f>
        <v>0</v>
      </c>
      <c r="C3338" s="2">
        <f>IFERROR(__xludf.DUMMYFUNCTION("""COMPUTED_VALUE"""),33.0)</f>
        <v>33</v>
      </c>
      <c r="D3338" s="3">
        <f>IFERROR(__xludf.DUMMYFUNCTION("""COMPUTED_VALUE"""),17.0)</f>
        <v>17</v>
      </c>
      <c r="E3338" s="2"/>
      <c r="F3338" s="2"/>
    </row>
    <row r="3339">
      <c r="A3339" s="2">
        <f>IFERROR(__xludf.DUMMYFUNCTION("""COMPUTED_VALUE"""),72155.0)</f>
        <v>72155</v>
      </c>
      <c r="B3339" s="2">
        <f>IFERROR(__xludf.DUMMYFUNCTION("""COMPUTED_VALUE"""),1.0)</f>
        <v>1</v>
      </c>
      <c r="C3339" s="2">
        <f>IFERROR(__xludf.DUMMYFUNCTION("""COMPUTED_VALUE"""),189.0)</f>
        <v>189</v>
      </c>
      <c r="D3339" s="3">
        <f>IFERROR(__xludf.DUMMYFUNCTION("""COMPUTED_VALUE"""),85.0)</f>
        <v>85</v>
      </c>
      <c r="E3339" s="2"/>
      <c r="F3339" s="2"/>
    </row>
    <row r="3340">
      <c r="A3340" s="2">
        <f>IFERROR(__xludf.DUMMYFUNCTION("""COMPUTED_VALUE"""),80245.0)</f>
        <v>80245</v>
      </c>
      <c r="B3340" s="2">
        <f>IFERROR(__xludf.DUMMYFUNCTION("""COMPUTED_VALUE"""),1.0)</f>
        <v>1</v>
      </c>
      <c r="C3340" s="2">
        <f>IFERROR(__xludf.DUMMYFUNCTION("""COMPUTED_VALUE"""),313.0)</f>
        <v>313</v>
      </c>
      <c r="D3340" s="3">
        <f>IFERROR(__xludf.DUMMYFUNCTION("""COMPUTED_VALUE"""),95.0)</f>
        <v>95</v>
      </c>
      <c r="E3340" s="2"/>
      <c r="F3340" s="2"/>
    </row>
    <row r="3341">
      <c r="A3341" s="2">
        <f>IFERROR(__xludf.DUMMYFUNCTION("""COMPUTED_VALUE"""),6215.0)</f>
        <v>6215</v>
      </c>
      <c r="B3341" s="2">
        <f>IFERROR(__xludf.DUMMYFUNCTION("""COMPUTED_VALUE"""),1.0)</f>
        <v>1</v>
      </c>
      <c r="C3341" s="2">
        <f>IFERROR(__xludf.DUMMYFUNCTION("""COMPUTED_VALUE"""),5.0)</f>
        <v>5</v>
      </c>
      <c r="D3341" s="3">
        <f>IFERROR(__xludf.DUMMYFUNCTION("""COMPUTED_VALUE"""),0.0)</f>
        <v>0</v>
      </c>
      <c r="E3341" s="2"/>
      <c r="F3341" s="2"/>
    </row>
    <row r="3342">
      <c r="A3342" s="2">
        <f>IFERROR(__xludf.DUMMYFUNCTION("""COMPUTED_VALUE"""),45810.0)</f>
        <v>45810</v>
      </c>
      <c r="B3342" s="2">
        <f>IFERROR(__xludf.DUMMYFUNCTION("""COMPUTED_VALUE"""),1.0)</f>
        <v>1</v>
      </c>
      <c r="C3342" s="2">
        <f>IFERROR(__xludf.DUMMYFUNCTION("""COMPUTED_VALUE"""),71.0)</f>
        <v>71</v>
      </c>
      <c r="D3342" s="3">
        <f>IFERROR(__xludf.DUMMYFUNCTION("""COMPUTED_VALUE"""),38.0)</f>
        <v>38</v>
      </c>
      <c r="E3342" s="2"/>
      <c r="F3342" s="2"/>
    </row>
    <row r="3343">
      <c r="A3343" s="2">
        <f>IFERROR(__xludf.DUMMYFUNCTION("""COMPUTED_VALUE"""),80205.0)</f>
        <v>80205</v>
      </c>
      <c r="B3343" s="2">
        <f>IFERROR(__xludf.DUMMYFUNCTION("""COMPUTED_VALUE"""),1.0)</f>
        <v>1</v>
      </c>
      <c r="C3343" s="2">
        <f>IFERROR(__xludf.DUMMYFUNCTION("""COMPUTED_VALUE"""),865.0)</f>
        <v>865</v>
      </c>
      <c r="D3343" s="3">
        <f>IFERROR(__xludf.DUMMYFUNCTION("""COMPUTED_VALUE"""),198.0)</f>
        <v>198</v>
      </c>
      <c r="E3343" s="2"/>
      <c r="F3343" s="2"/>
    </row>
    <row r="3344">
      <c r="A3344" s="2">
        <f>IFERROR(__xludf.DUMMYFUNCTION("""COMPUTED_VALUE"""),107064.0)</f>
        <v>107064</v>
      </c>
      <c r="B3344" s="2">
        <f>IFERROR(__xludf.DUMMYFUNCTION("""COMPUTED_VALUE"""),0.0)</f>
        <v>0</v>
      </c>
      <c r="C3344" s="2">
        <f>IFERROR(__xludf.DUMMYFUNCTION("""COMPUTED_VALUE"""),105.0)</f>
        <v>105</v>
      </c>
      <c r="D3344" s="3">
        <f>IFERROR(__xludf.DUMMYFUNCTION("""COMPUTED_VALUE"""),59.0)</f>
        <v>59</v>
      </c>
      <c r="E3344" s="2"/>
      <c r="F3344" s="2"/>
    </row>
    <row r="3345">
      <c r="A3345" s="2">
        <f>IFERROR(__xludf.DUMMYFUNCTION("""COMPUTED_VALUE"""),6211.0)</f>
        <v>6211</v>
      </c>
      <c r="B3345" s="2">
        <f>IFERROR(__xludf.DUMMYFUNCTION("""COMPUTED_VALUE"""),0.0)</f>
        <v>0</v>
      </c>
      <c r="C3345" s="2">
        <f>IFERROR(__xludf.DUMMYFUNCTION("""COMPUTED_VALUE"""),332.0)</f>
        <v>332</v>
      </c>
      <c r="D3345" s="3">
        <f>IFERROR(__xludf.DUMMYFUNCTION("""COMPUTED_VALUE"""),75.0)</f>
        <v>75</v>
      </c>
      <c r="E3345" s="2"/>
      <c r="F3345" s="2"/>
    </row>
    <row r="3346">
      <c r="A3346" s="2">
        <f>IFERROR(__xludf.DUMMYFUNCTION("""COMPUTED_VALUE"""),44036.0)</f>
        <v>44036</v>
      </c>
      <c r="B3346" s="2">
        <f>IFERROR(__xludf.DUMMYFUNCTION("""COMPUTED_VALUE"""),0.0)</f>
        <v>0</v>
      </c>
      <c r="C3346" s="2">
        <f>IFERROR(__xludf.DUMMYFUNCTION("""COMPUTED_VALUE"""),720.0)</f>
        <v>720</v>
      </c>
      <c r="D3346" s="3">
        <f>IFERROR(__xludf.DUMMYFUNCTION("""COMPUTED_VALUE"""),30.0)</f>
        <v>30</v>
      </c>
      <c r="E3346" s="2"/>
      <c r="F3346" s="2"/>
    </row>
    <row r="3347">
      <c r="A3347" s="2">
        <f>IFERROR(__xludf.DUMMYFUNCTION("""COMPUTED_VALUE"""),181493.0)</f>
        <v>181493</v>
      </c>
      <c r="B3347" s="2">
        <f>IFERROR(__xludf.DUMMYFUNCTION("""COMPUTED_VALUE"""),0.0)</f>
        <v>0</v>
      </c>
      <c r="C3347" s="2">
        <f>IFERROR(__xludf.DUMMYFUNCTION("""COMPUTED_VALUE"""),944.0)</f>
        <v>944</v>
      </c>
      <c r="D3347" s="3">
        <f>IFERROR(__xludf.DUMMYFUNCTION("""COMPUTED_VALUE"""),289.0)</f>
        <v>289</v>
      </c>
      <c r="E3347" s="2"/>
      <c r="F3347" s="2"/>
    </row>
    <row r="3348">
      <c r="A3348" s="2">
        <f>IFERROR(__xludf.DUMMYFUNCTION("""COMPUTED_VALUE"""),6210.0)</f>
        <v>6210</v>
      </c>
      <c r="B3348" s="2">
        <f>IFERROR(__xludf.DUMMYFUNCTION("""COMPUTED_VALUE"""),1.0)</f>
        <v>1</v>
      </c>
      <c r="C3348" s="2">
        <f>IFERROR(__xludf.DUMMYFUNCTION("""COMPUTED_VALUE"""),548.0)</f>
        <v>548</v>
      </c>
      <c r="D3348" s="3">
        <f>IFERROR(__xludf.DUMMYFUNCTION("""COMPUTED_VALUE"""),475.0)</f>
        <v>475</v>
      </c>
      <c r="E3348" s="2"/>
      <c r="F3348" s="2"/>
    </row>
    <row r="3349">
      <c r="A3349" s="2">
        <f>IFERROR(__xludf.DUMMYFUNCTION("""COMPUTED_VALUE"""),110431.0)</f>
        <v>110431</v>
      </c>
      <c r="B3349" s="2">
        <f>IFERROR(__xludf.DUMMYFUNCTION("""COMPUTED_VALUE"""),1.0)</f>
        <v>1</v>
      </c>
      <c r="C3349" s="2">
        <f>IFERROR(__xludf.DUMMYFUNCTION("""COMPUTED_VALUE"""),112.0)</f>
        <v>112</v>
      </c>
      <c r="D3349" s="3">
        <f>IFERROR(__xludf.DUMMYFUNCTION("""COMPUTED_VALUE"""),51.0)</f>
        <v>51</v>
      </c>
      <c r="E3349" s="2"/>
      <c r="F3349" s="2"/>
    </row>
    <row r="3350">
      <c r="A3350" s="2">
        <f>IFERROR(__xludf.DUMMYFUNCTION("""COMPUTED_VALUE"""),122878.0)</f>
        <v>122878</v>
      </c>
      <c r="B3350" s="2">
        <f>IFERROR(__xludf.DUMMYFUNCTION("""COMPUTED_VALUE"""),0.0)</f>
        <v>0</v>
      </c>
      <c r="C3350" s="2">
        <f>IFERROR(__xludf.DUMMYFUNCTION("""COMPUTED_VALUE"""),882.0)</f>
        <v>882</v>
      </c>
      <c r="D3350" s="3">
        <f>IFERROR(__xludf.DUMMYFUNCTION("""COMPUTED_VALUE"""),47.0)</f>
        <v>47</v>
      </c>
      <c r="E3350" s="2"/>
      <c r="F3350" s="2"/>
    </row>
    <row r="3351">
      <c r="A3351" s="2">
        <f>IFERROR(__xludf.DUMMYFUNCTION("""COMPUTED_VALUE"""),14092.0)</f>
        <v>14092</v>
      </c>
      <c r="B3351" s="2">
        <f>IFERROR(__xludf.DUMMYFUNCTION("""COMPUTED_VALUE"""),0.0)</f>
        <v>0</v>
      </c>
      <c r="C3351" s="2">
        <f>IFERROR(__xludf.DUMMYFUNCTION("""COMPUTED_VALUE"""),567.0)</f>
        <v>567</v>
      </c>
      <c r="D3351" s="3">
        <f>IFERROR(__xludf.DUMMYFUNCTION("""COMPUTED_VALUE"""),428.0)</f>
        <v>428</v>
      </c>
      <c r="E3351" s="2"/>
      <c r="F3351" s="2"/>
    </row>
    <row r="3352">
      <c r="A3352" s="2">
        <f>IFERROR(__xludf.DUMMYFUNCTION("""COMPUTED_VALUE"""),121621.0)</f>
        <v>121621</v>
      </c>
      <c r="B3352" s="2">
        <f>IFERROR(__xludf.DUMMYFUNCTION("""COMPUTED_VALUE"""),1.0)</f>
        <v>1</v>
      </c>
      <c r="C3352" s="2">
        <f>IFERROR(__xludf.DUMMYFUNCTION("""COMPUTED_VALUE"""),350.0)</f>
        <v>350</v>
      </c>
      <c r="D3352" s="3">
        <f>IFERROR(__xludf.DUMMYFUNCTION("""COMPUTED_VALUE"""),6.0)</f>
        <v>6</v>
      </c>
      <c r="E3352" s="2"/>
      <c r="F3352" s="2"/>
    </row>
    <row r="3353">
      <c r="A3353" s="2">
        <f>IFERROR(__xludf.DUMMYFUNCTION("""COMPUTED_VALUE"""),120511.0)</f>
        <v>120511</v>
      </c>
      <c r="B3353" s="2">
        <f>IFERROR(__xludf.DUMMYFUNCTION("""COMPUTED_VALUE"""),1.0)</f>
        <v>1</v>
      </c>
      <c r="C3353" s="2">
        <f>IFERROR(__xludf.DUMMYFUNCTION("""COMPUTED_VALUE"""),197.0)</f>
        <v>197</v>
      </c>
      <c r="D3353" s="3">
        <f>IFERROR(__xludf.DUMMYFUNCTION("""COMPUTED_VALUE"""),132.0)</f>
        <v>132</v>
      </c>
      <c r="E3353" s="2"/>
      <c r="F3353" s="2"/>
    </row>
    <row r="3354">
      <c r="A3354" s="2">
        <f>IFERROR(__xludf.DUMMYFUNCTION("""COMPUTED_VALUE"""),46132.0)</f>
        <v>46132</v>
      </c>
      <c r="B3354" s="2">
        <f>IFERROR(__xludf.DUMMYFUNCTION("""COMPUTED_VALUE"""),0.0)</f>
        <v>0</v>
      </c>
      <c r="C3354" s="2">
        <f>IFERROR(__xludf.DUMMYFUNCTION("""COMPUTED_VALUE"""),780.0)</f>
        <v>780</v>
      </c>
      <c r="D3354" s="3">
        <f>IFERROR(__xludf.DUMMYFUNCTION("""COMPUTED_VALUE"""),572.0)</f>
        <v>572</v>
      </c>
      <c r="E3354" s="2"/>
      <c r="F3354" s="2"/>
    </row>
    <row r="3355">
      <c r="A3355" s="2">
        <f>IFERROR(__xludf.DUMMYFUNCTION("""COMPUTED_VALUE"""),83014.0)</f>
        <v>83014</v>
      </c>
      <c r="B3355" s="2">
        <f>IFERROR(__xludf.DUMMYFUNCTION("""COMPUTED_VALUE"""),1.0)</f>
        <v>1</v>
      </c>
      <c r="C3355" s="2">
        <f>IFERROR(__xludf.DUMMYFUNCTION("""COMPUTED_VALUE"""),704.0)</f>
        <v>704</v>
      </c>
      <c r="D3355" s="3">
        <f>IFERROR(__xludf.DUMMYFUNCTION("""COMPUTED_VALUE"""),679.0)</f>
        <v>679</v>
      </c>
      <c r="E3355" s="2"/>
      <c r="F3355" s="2"/>
    </row>
    <row r="3356">
      <c r="A3356" s="2">
        <f>IFERROR(__xludf.DUMMYFUNCTION("""COMPUTED_VALUE"""),80199.0)</f>
        <v>80199</v>
      </c>
      <c r="B3356" s="2">
        <f>IFERROR(__xludf.DUMMYFUNCTION("""COMPUTED_VALUE"""),0.0)</f>
        <v>0</v>
      </c>
      <c r="C3356" s="2">
        <f>IFERROR(__xludf.DUMMYFUNCTION("""COMPUTED_VALUE"""),571.0)</f>
        <v>571</v>
      </c>
      <c r="D3356" s="3">
        <f>IFERROR(__xludf.DUMMYFUNCTION("""COMPUTED_VALUE"""),183.0)</f>
        <v>183</v>
      </c>
      <c r="E3356" s="2"/>
      <c r="F3356" s="2"/>
    </row>
    <row r="3357">
      <c r="A3357" s="2">
        <f>IFERROR(__xludf.DUMMYFUNCTION("""COMPUTED_VALUE"""),80201.0)</f>
        <v>80201</v>
      </c>
      <c r="B3357" s="2">
        <f>IFERROR(__xludf.DUMMYFUNCTION("""COMPUTED_VALUE"""),0.0)</f>
        <v>0</v>
      </c>
      <c r="C3357" s="2">
        <f>IFERROR(__xludf.DUMMYFUNCTION("""COMPUTED_VALUE"""),929.0)</f>
        <v>929</v>
      </c>
      <c r="D3357" s="3">
        <f>IFERROR(__xludf.DUMMYFUNCTION("""COMPUTED_VALUE"""),510.0)</f>
        <v>510</v>
      </c>
      <c r="E3357" s="2"/>
      <c r="F3357" s="2"/>
    </row>
    <row r="3358">
      <c r="A3358" s="2">
        <f>IFERROR(__xludf.DUMMYFUNCTION("""COMPUTED_VALUE"""),46131.0)</f>
        <v>46131</v>
      </c>
      <c r="B3358" s="2">
        <f>IFERROR(__xludf.DUMMYFUNCTION("""COMPUTED_VALUE"""),0.0)</f>
        <v>0</v>
      </c>
      <c r="C3358" s="2">
        <f>IFERROR(__xludf.DUMMYFUNCTION("""COMPUTED_VALUE"""),765.0)</f>
        <v>765</v>
      </c>
      <c r="D3358" s="3">
        <f>IFERROR(__xludf.DUMMYFUNCTION("""COMPUTED_VALUE"""),507.0)</f>
        <v>507</v>
      </c>
      <c r="E3358" s="2"/>
      <c r="F3358" s="2"/>
    </row>
    <row r="3359">
      <c r="A3359" s="2">
        <f>IFERROR(__xludf.DUMMYFUNCTION("""COMPUTED_VALUE"""),102346.0)</f>
        <v>102346</v>
      </c>
      <c r="B3359" s="2">
        <f>IFERROR(__xludf.DUMMYFUNCTION("""COMPUTED_VALUE"""),1.0)</f>
        <v>1</v>
      </c>
      <c r="C3359" s="2">
        <f>IFERROR(__xludf.DUMMYFUNCTION("""COMPUTED_VALUE"""),788.0)</f>
        <v>788</v>
      </c>
      <c r="D3359" s="3">
        <f>IFERROR(__xludf.DUMMYFUNCTION("""COMPUTED_VALUE"""),28.0)</f>
        <v>28</v>
      </c>
      <c r="E3359" s="2"/>
      <c r="F3359" s="2"/>
    </row>
    <row r="3360">
      <c r="A3360" s="2">
        <f>IFERROR(__xludf.DUMMYFUNCTION("""COMPUTED_VALUE"""),14094.0)</f>
        <v>14094</v>
      </c>
      <c r="B3360" s="2">
        <f>IFERROR(__xludf.DUMMYFUNCTION("""COMPUTED_VALUE"""),1.0)</f>
        <v>1</v>
      </c>
      <c r="C3360" s="2">
        <f>IFERROR(__xludf.DUMMYFUNCTION("""COMPUTED_VALUE"""),615.0)</f>
        <v>615</v>
      </c>
      <c r="D3360" s="3">
        <f>IFERROR(__xludf.DUMMYFUNCTION("""COMPUTED_VALUE"""),562.0)</f>
        <v>562</v>
      </c>
      <c r="E3360" s="2"/>
      <c r="F3360" s="2"/>
    </row>
    <row r="3361">
      <c r="A3361" s="2">
        <f>IFERROR(__xludf.DUMMYFUNCTION("""COMPUTED_VALUE"""),100679.0)</f>
        <v>100679</v>
      </c>
      <c r="B3361" s="2">
        <f>IFERROR(__xludf.DUMMYFUNCTION("""COMPUTED_VALUE"""),0.0)</f>
        <v>0</v>
      </c>
      <c r="C3361" s="2">
        <f>IFERROR(__xludf.DUMMYFUNCTION("""COMPUTED_VALUE"""),532.0)</f>
        <v>532</v>
      </c>
      <c r="D3361" s="3">
        <f>IFERROR(__xludf.DUMMYFUNCTION("""COMPUTED_VALUE"""),315.0)</f>
        <v>315</v>
      </c>
      <c r="E3361" s="2"/>
      <c r="F3361" s="2"/>
    </row>
    <row r="3362">
      <c r="A3362" s="2">
        <f>IFERROR(__xludf.DUMMYFUNCTION("""COMPUTED_VALUE"""),102345.0)</f>
        <v>102345</v>
      </c>
      <c r="B3362" s="2">
        <f>IFERROR(__xludf.DUMMYFUNCTION("""COMPUTED_VALUE"""),1.0)</f>
        <v>1</v>
      </c>
      <c r="C3362" s="2">
        <f>IFERROR(__xludf.DUMMYFUNCTION("""COMPUTED_VALUE"""),742.0)</f>
        <v>742</v>
      </c>
      <c r="D3362" s="3">
        <f>IFERROR(__xludf.DUMMYFUNCTION("""COMPUTED_VALUE"""),599.0)</f>
        <v>599</v>
      </c>
      <c r="E3362" s="2"/>
      <c r="F3362" s="2"/>
    </row>
    <row r="3363">
      <c r="A3363" s="2">
        <f>IFERROR(__xludf.DUMMYFUNCTION("""COMPUTED_VALUE"""),121695.0)</f>
        <v>121695</v>
      </c>
      <c r="B3363" s="2">
        <f>IFERROR(__xludf.DUMMYFUNCTION("""COMPUTED_VALUE"""),0.0)</f>
        <v>0</v>
      </c>
      <c r="C3363" s="2">
        <f>IFERROR(__xludf.DUMMYFUNCTION("""COMPUTED_VALUE"""),683.0)</f>
        <v>683</v>
      </c>
      <c r="D3363" s="3">
        <f>IFERROR(__xludf.DUMMYFUNCTION("""COMPUTED_VALUE"""),340.0)</f>
        <v>340</v>
      </c>
      <c r="E3363" s="2"/>
      <c r="F3363" s="2"/>
    </row>
    <row r="3364">
      <c r="A3364" s="2">
        <f>IFERROR(__xludf.DUMMYFUNCTION("""COMPUTED_VALUE"""),6204.0)</f>
        <v>6204</v>
      </c>
      <c r="B3364" s="2">
        <f>IFERROR(__xludf.DUMMYFUNCTION("""COMPUTED_VALUE"""),0.0)</f>
        <v>0</v>
      </c>
      <c r="C3364" s="2">
        <f>IFERROR(__xludf.DUMMYFUNCTION("""COMPUTED_VALUE"""),162.0)</f>
        <v>162</v>
      </c>
      <c r="D3364" s="3">
        <f>IFERROR(__xludf.DUMMYFUNCTION("""COMPUTED_VALUE"""),107.0)</f>
        <v>107</v>
      </c>
      <c r="E3364" s="2"/>
      <c r="F3364" s="2"/>
    </row>
    <row r="3365">
      <c r="A3365" s="2">
        <f>IFERROR(__xludf.DUMMYFUNCTION("""COMPUTED_VALUE"""),16571.0)</f>
        <v>16571</v>
      </c>
      <c r="B3365" s="2">
        <f>IFERROR(__xludf.DUMMYFUNCTION("""COMPUTED_VALUE"""),1.0)</f>
        <v>1</v>
      </c>
      <c r="C3365" s="2">
        <f>IFERROR(__xludf.DUMMYFUNCTION("""COMPUTED_VALUE"""),902.0)</f>
        <v>902</v>
      </c>
      <c r="D3365" s="3">
        <f>IFERROR(__xludf.DUMMYFUNCTION("""COMPUTED_VALUE"""),805.0)</f>
        <v>805</v>
      </c>
      <c r="E3365" s="2"/>
      <c r="F3365" s="2"/>
    </row>
    <row r="3366">
      <c r="A3366" s="2">
        <f>IFERROR(__xludf.DUMMYFUNCTION("""COMPUTED_VALUE"""),181494.0)</f>
        <v>181494</v>
      </c>
      <c r="B3366" s="2">
        <f>IFERROR(__xludf.DUMMYFUNCTION("""COMPUTED_VALUE"""),1.0)</f>
        <v>1</v>
      </c>
      <c r="C3366" s="2">
        <f>IFERROR(__xludf.DUMMYFUNCTION("""COMPUTED_VALUE"""),892.0)</f>
        <v>892</v>
      </c>
      <c r="D3366" s="3">
        <f>IFERROR(__xludf.DUMMYFUNCTION("""COMPUTED_VALUE"""),460.0)</f>
        <v>460</v>
      </c>
      <c r="E3366" s="2"/>
      <c r="F3366" s="2"/>
    </row>
    <row r="3367">
      <c r="A3367" s="2">
        <f>IFERROR(__xludf.DUMMYFUNCTION("""COMPUTED_VALUE"""),80315.0)</f>
        <v>80315</v>
      </c>
      <c r="B3367" s="2">
        <f>IFERROR(__xludf.DUMMYFUNCTION("""COMPUTED_VALUE"""),1.0)</f>
        <v>1</v>
      </c>
      <c r="C3367" s="2">
        <f>IFERROR(__xludf.DUMMYFUNCTION("""COMPUTED_VALUE"""),309.0)</f>
        <v>309</v>
      </c>
      <c r="D3367" s="3">
        <f>IFERROR(__xludf.DUMMYFUNCTION("""COMPUTED_VALUE"""),256.0)</f>
        <v>256</v>
      </c>
      <c r="E3367" s="2"/>
      <c r="F3367" s="2"/>
    </row>
    <row r="3368">
      <c r="A3368" s="2">
        <f>IFERROR(__xludf.DUMMYFUNCTION("""COMPUTED_VALUE"""),83054.0)</f>
        <v>83054</v>
      </c>
      <c r="B3368" s="2">
        <f>IFERROR(__xludf.DUMMYFUNCTION("""COMPUTED_VALUE"""),0.0)</f>
        <v>0</v>
      </c>
      <c r="C3368" s="2">
        <f>IFERROR(__xludf.DUMMYFUNCTION("""COMPUTED_VALUE"""),382.0)</f>
        <v>382</v>
      </c>
      <c r="D3368" s="3">
        <f>IFERROR(__xludf.DUMMYFUNCTION("""COMPUTED_VALUE"""),242.0)</f>
        <v>242</v>
      </c>
      <c r="E3368" s="2"/>
      <c r="F3368" s="2"/>
    </row>
    <row r="3369">
      <c r="A3369" s="2">
        <f>IFERROR(__xludf.DUMMYFUNCTION("""COMPUTED_VALUE"""),83056.0)</f>
        <v>83056</v>
      </c>
      <c r="B3369" s="2">
        <f>IFERROR(__xludf.DUMMYFUNCTION("""COMPUTED_VALUE"""),0.0)</f>
        <v>0</v>
      </c>
      <c r="C3369" s="2">
        <f>IFERROR(__xludf.DUMMYFUNCTION("""COMPUTED_VALUE"""),383.0)</f>
        <v>383</v>
      </c>
      <c r="D3369" s="3">
        <f>IFERROR(__xludf.DUMMYFUNCTION("""COMPUTED_VALUE"""),233.0)</f>
        <v>233</v>
      </c>
      <c r="E3369" s="2"/>
      <c r="F3369" s="2"/>
    </row>
    <row r="3370">
      <c r="A3370" s="2">
        <f>IFERROR(__xludf.DUMMYFUNCTION("""COMPUTED_VALUE"""),83055.0)</f>
        <v>83055</v>
      </c>
      <c r="B3370" s="2">
        <f>IFERROR(__xludf.DUMMYFUNCTION("""COMPUTED_VALUE"""),1.0)</f>
        <v>1</v>
      </c>
      <c r="C3370" s="2">
        <f>IFERROR(__xludf.DUMMYFUNCTION("""COMPUTED_VALUE"""),775.0)</f>
        <v>775</v>
      </c>
      <c r="D3370" s="3">
        <f>IFERROR(__xludf.DUMMYFUNCTION("""COMPUTED_VALUE"""),548.0)</f>
        <v>548</v>
      </c>
      <c r="E3370" s="2"/>
      <c r="F3370" s="2"/>
    </row>
    <row r="3371">
      <c r="A3371" s="2">
        <f>IFERROR(__xludf.DUMMYFUNCTION("""COMPUTED_VALUE"""),46134.0)</f>
        <v>46134</v>
      </c>
      <c r="B3371" s="2">
        <f>IFERROR(__xludf.DUMMYFUNCTION("""COMPUTED_VALUE"""),0.0)</f>
        <v>0</v>
      </c>
      <c r="C3371" s="2">
        <f>IFERROR(__xludf.DUMMYFUNCTION("""COMPUTED_VALUE"""),39.0)</f>
        <v>39</v>
      </c>
      <c r="D3371" s="3">
        <f>IFERROR(__xludf.DUMMYFUNCTION("""COMPUTED_VALUE"""),9.0)</f>
        <v>9</v>
      </c>
      <c r="E3371" s="2"/>
      <c r="F3371" s="2"/>
    </row>
    <row r="3372">
      <c r="A3372" s="2">
        <f>IFERROR(__xludf.DUMMYFUNCTION("""COMPUTED_VALUE"""),121693.0)</f>
        <v>121693</v>
      </c>
      <c r="B3372" s="2">
        <f>IFERROR(__xludf.DUMMYFUNCTION("""COMPUTED_VALUE"""),0.0)</f>
        <v>0</v>
      </c>
      <c r="C3372" s="2">
        <f>IFERROR(__xludf.DUMMYFUNCTION("""COMPUTED_VALUE"""),220.0)</f>
        <v>220</v>
      </c>
      <c r="D3372" s="3">
        <f>IFERROR(__xludf.DUMMYFUNCTION("""COMPUTED_VALUE"""),80.0)</f>
        <v>80</v>
      </c>
      <c r="E3372" s="2"/>
      <c r="F3372" s="2"/>
    </row>
    <row r="3373">
      <c r="A3373" s="2">
        <f>IFERROR(__xludf.DUMMYFUNCTION("""COMPUTED_VALUE"""),102344.0)</f>
        <v>102344</v>
      </c>
      <c r="B3373" s="2">
        <f>IFERROR(__xludf.DUMMYFUNCTION("""COMPUTED_VALUE"""),0.0)</f>
        <v>0</v>
      </c>
      <c r="C3373" s="2">
        <f>IFERROR(__xludf.DUMMYFUNCTION("""COMPUTED_VALUE"""),192.0)</f>
        <v>192</v>
      </c>
      <c r="D3373" s="3">
        <f>IFERROR(__xludf.DUMMYFUNCTION("""COMPUTED_VALUE"""),89.0)</f>
        <v>89</v>
      </c>
      <c r="E3373" s="2"/>
      <c r="F3373" s="2"/>
    </row>
    <row r="3374">
      <c r="A3374" s="2">
        <f>IFERROR(__xludf.DUMMYFUNCTION("""COMPUTED_VALUE"""),100687.0)</f>
        <v>100687</v>
      </c>
      <c r="B3374" s="2">
        <f>IFERROR(__xludf.DUMMYFUNCTION("""COMPUTED_VALUE"""),0.0)</f>
        <v>0</v>
      </c>
      <c r="C3374" s="2">
        <f>IFERROR(__xludf.DUMMYFUNCTION("""COMPUTED_VALUE"""),885.0)</f>
        <v>885</v>
      </c>
      <c r="D3374" s="3">
        <f>IFERROR(__xludf.DUMMYFUNCTION("""COMPUTED_VALUE"""),467.0)</f>
        <v>467</v>
      </c>
      <c r="E3374" s="2"/>
      <c r="F3374" s="2"/>
    </row>
    <row r="3375">
      <c r="A3375" s="2">
        <f>IFERROR(__xludf.DUMMYFUNCTION("""COMPUTED_VALUE"""),70327.0)</f>
        <v>70327</v>
      </c>
      <c r="B3375" s="2">
        <f>IFERROR(__xludf.DUMMYFUNCTION("""COMPUTED_VALUE"""),1.0)</f>
        <v>1</v>
      </c>
      <c r="C3375" s="2">
        <f>IFERROR(__xludf.DUMMYFUNCTION("""COMPUTED_VALUE"""),196.0)</f>
        <v>196</v>
      </c>
      <c r="D3375" s="3">
        <f>IFERROR(__xludf.DUMMYFUNCTION("""COMPUTED_VALUE"""),170.0)</f>
        <v>170</v>
      </c>
      <c r="E3375" s="2"/>
      <c r="F3375" s="2"/>
    </row>
    <row r="3376">
      <c r="A3376" s="2">
        <f>IFERROR(__xludf.DUMMYFUNCTION("""COMPUTED_VALUE"""),80191.0)</f>
        <v>80191</v>
      </c>
      <c r="B3376" s="2">
        <f>IFERROR(__xludf.DUMMYFUNCTION("""COMPUTED_VALUE"""),0.0)</f>
        <v>0</v>
      </c>
      <c r="C3376" s="2">
        <f>IFERROR(__xludf.DUMMYFUNCTION("""COMPUTED_VALUE"""),447.0)</f>
        <v>447</v>
      </c>
      <c r="D3376" s="3">
        <f>IFERROR(__xludf.DUMMYFUNCTION("""COMPUTED_VALUE"""),175.0)</f>
        <v>175</v>
      </c>
      <c r="E3376" s="2"/>
      <c r="F3376" s="2"/>
    </row>
    <row r="3377">
      <c r="A3377" s="2">
        <f>IFERROR(__xludf.DUMMYFUNCTION("""COMPUTED_VALUE"""),103037.0)</f>
        <v>103037</v>
      </c>
      <c r="B3377" s="2">
        <f>IFERROR(__xludf.DUMMYFUNCTION("""COMPUTED_VALUE"""),0.0)</f>
        <v>0</v>
      </c>
      <c r="C3377" s="2">
        <f>IFERROR(__xludf.DUMMYFUNCTION("""COMPUTED_VALUE"""),146.0)</f>
        <v>146</v>
      </c>
      <c r="D3377" s="3">
        <f>IFERROR(__xludf.DUMMYFUNCTION("""COMPUTED_VALUE"""),119.0)</f>
        <v>119</v>
      </c>
      <c r="E3377" s="2"/>
      <c r="F3377" s="2"/>
    </row>
    <row r="3378">
      <c r="A3378" s="2">
        <f>IFERROR(__xludf.DUMMYFUNCTION("""COMPUTED_VALUE"""),6205.0)</f>
        <v>6205</v>
      </c>
      <c r="B3378" s="2">
        <f>IFERROR(__xludf.DUMMYFUNCTION("""COMPUTED_VALUE"""),0.0)</f>
        <v>0</v>
      </c>
      <c r="C3378" s="2">
        <f>IFERROR(__xludf.DUMMYFUNCTION("""COMPUTED_VALUE"""),830.0)</f>
        <v>830</v>
      </c>
      <c r="D3378" s="3">
        <f>IFERROR(__xludf.DUMMYFUNCTION("""COMPUTED_VALUE"""),455.0)</f>
        <v>455</v>
      </c>
      <c r="E3378" s="2"/>
      <c r="F3378" s="2"/>
    </row>
    <row r="3379">
      <c r="A3379" s="2">
        <f>IFERROR(__xludf.DUMMYFUNCTION("""COMPUTED_VALUE"""),70387.0)</f>
        <v>70387</v>
      </c>
      <c r="B3379" s="2">
        <f>IFERROR(__xludf.DUMMYFUNCTION("""COMPUTED_VALUE"""),0.0)</f>
        <v>0</v>
      </c>
      <c r="C3379" s="2">
        <f>IFERROR(__xludf.DUMMYFUNCTION("""COMPUTED_VALUE"""),18.0)</f>
        <v>18</v>
      </c>
      <c r="D3379" s="3">
        <f>IFERROR(__xludf.DUMMYFUNCTION("""COMPUTED_VALUE"""),10.0)</f>
        <v>10</v>
      </c>
      <c r="E3379" s="2"/>
      <c r="F3379" s="2"/>
    </row>
    <row r="3380">
      <c r="A3380" s="2">
        <f>IFERROR(__xludf.DUMMYFUNCTION("""COMPUTED_VALUE"""),122278.0)</f>
        <v>122278</v>
      </c>
      <c r="B3380" s="2">
        <f>IFERROR(__xludf.DUMMYFUNCTION("""COMPUTED_VALUE"""),1.0)</f>
        <v>1</v>
      </c>
      <c r="C3380" s="2">
        <f>IFERROR(__xludf.DUMMYFUNCTION("""COMPUTED_VALUE"""),456.0)</f>
        <v>456</v>
      </c>
      <c r="D3380" s="3">
        <f>IFERROR(__xludf.DUMMYFUNCTION("""COMPUTED_VALUE"""),424.0)</f>
        <v>424</v>
      </c>
      <c r="E3380" s="2"/>
      <c r="F3380" s="2"/>
    </row>
    <row r="3381">
      <c r="A3381" s="2">
        <f>IFERROR(__xludf.DUMMYFUNCTION("""COMPUTED_VALUE"""),29365.0)</f>
        <v>29365</v>
      </c>
      <c r="B3381" s="2">
        <f>IFERROR(__xludf.DUMMYFUNCTION("""COMPUTED_VALUE"""),0.0)</f>
        <v>0</v>
      </c>
      <c r="C3381" s="2">
        <f>IFERROR(__xludf.DUMMYFUNCTION("""COMPUTED_VALUE"""),852.0)</f>
        <v>852</v>
      </c>
      <c r="D3381" s="3">
        <f>IFERROR(__xludf.DUMMYFUNCTION("""COMPUTED_VALUE"""),268.0)</f>
        <v>268</v>
      </c>
      <c r="E3381" s="2"/>
      <c r="F3381" s="2"/>
    </row>
    <row r="3382">
      <c r="A3382" s="2">
        <f>IFERROR(__xludf.DUMMYFUNCTION("""COMPUTED_VALUE"""),17769.0)</f>
        <v>17769</v>
      </c>
      <c r="B3382" s="2">
        <f>IFERROR(__xludf.DUMMYFUNCTION("""COMPUTED_VALUE"""),0.0)</f>
        <v>0</v>
      </c>
      <c r="C3382" s="2">
        <f>IFERROR(__xludf.DUMMYFUNCTION("""COMPUTED_VALUE"""),441.0)</f>
        <v>441</v>
      </c>
      <c r="D3382" s="3">
        <f>IFERROR(__xludf.DUMMYFUNCTION("""COMPUTED_VALUE"""),227.0)</f>
        <v>227</v>
      </c>
      <c r="E3382" s="2"/>
      <c r="F3382" s="2"/>
    </row>
    <row r="3383">
      <c r="A3383" s="2">
        <f>IFERROR(__xludf.DUMMYFUNCTION("""COMPUTED_VALUE"""),23144.0)</f>
        <v>23144</v>
      </c>
      <c r="B3383" s="2">
        <f>IFERROR(__xludf.DUMMYFUNCTION("""COMPUTED_VALUE"""),1.0)</f>
        <v>1</v>
      </c>
      <c r="C3383" s="2">
        <f>IFERROR(__xludf.DUMMYFUNCTION("""COMPUTED_VALUE"""),424.0)</f>
        <v>424</v>
      </c>
      <c r="D3383" s="3">
        <f>IFERROR(__xludf.DUMMYFUNCTION("""COMPUTED_VALUE"""),375.0)</f>
        <v>375</v>
      </c>
      <c r="E3383" s="2"/>
      <c r="F3383" s="2"/>
    </row>
    <row r="3384">
      <c r="A3384" s="2">
        <f>IFERROR(__xludf.DUMMYFUNCTION("""COMPUTED_VALUE"""),120115.0)</f>
        <v>120115</v>
      </c>
      <c r="B3384" s="2">
        <f>IFERROR(__xludf.DUMMYFUNCTION("""COMPUTED_VALUE"""),1.0)</f>
        <v>1</v>
      </c>
      <c r="C3384" s="2">
        <f>IFERROR(__xludf.DUMMYFUNCTION("""COMPUTED_VALUE"""),744.0)</f>
        <v>744</v>
      </c>
      <c r="D3384" s="3">
        <f>IFERROR(__xludf.DUMMYFUNCTION("""COMPUTED_VALUE"""),482.0)</f>
        <v>482</v>
      </c>
      <c r="E3384" s="2"/>
      <c r="F3384" s="2"/>
    </row>
    <row r="3385">
      <c r="A3385" s="2">
        <f>IFERROR(__xludf.DUMMYFUNCTION("""COMPUTED_VALUE"""),29384.0)</f>
        <v>29384</v>
      </c>
      <c r="B3385" s="2">
        <f>IFERROR(__xludf.DUMMYFUNCTION("""COMPUTED_VALUE"""),0.0)</f>
        <v>0</v>
      </c>
      <c r="C3385" s="2">
        <f>IFERROR(__xludf.DUMMYFUNCTION("""COMPUTED_VALUE"""),502.0)</f>
        <v>502</v>
      </c>
      <c r="D3385" s="3">
        <f>IFERROR(__xludf.DUMMYFUNCTION("""COMPUTED_VALUE"""),479.0)</f>
        <v>479</v>
      </c>
      <c r="E3385" s="2"/>
      <c r="F3385" s="2"/>
    </row>
    <row r="3386">
      <c r="A3386" s="2">
        <f>IFERROR(__xludf.DUMMYFUNCTION("""COMPUTED_VALUE"""),17746.0)</f>
        <v>17746</v>
      </c>
      <c r="B3386" s="2">
        <f>IFERROR(__xludf.DUMMYFUNCTION("""COMPUTED_VALUE"""),0.0)</f>
        <v>0</v>
      </c>
      <c r="C3386" s="2">
        <f>IFERROR(__xludf.DUMMYFUNCTION("""COMPUTED_VALUE"""),617.0)</f>
        <v>617</v>
      </c>
      <c r="D3386" s="3">
        <f>IFERROR(__xludf.DUMMYFUNCTION("""COMPUTED_VALUE"""),104.0)</f>
        <v>104</v>
      </c>
      <c r="E3386" s="2"/>
      <c r="F3386" s="2"/>
    </row>
    <row r="3387">
      <c r="A3387" s="2">
        <f>IFERROR(__xludf.DUMMYFUNCTION("""COMPUTED_VALUE"""),121630.0)</f>
        <v>121630</v>
      </c>
      <c r="B3387" s="2">
        <f>IFERROR(__xludf.DUMMYFUNCTION("""COMPUTED_VALUE"""),0.0)</f>
        <v>0</v>
      </c>
      <c r="C3387" s="2">
        <f>IFERROR(__xludf.DUMMYFUNCTION("""COMPUTED_VALUE"""),34.0)</f>
        <v>34</v>
      </c>
      <c r="D3387" s="3">
        <f>IFERROR(__xludf.DUMMYFUNCTION("""COMPUTED_VALUE"""),22.0)</f>
        <v>22</v>
      </c>
      <c r="E3387" s="2"/>
      <c r="F3387" s="2"/>
    </row>
    <row r="3388">
      <c r="A3388" s="2">
        <f>IFERROR(__xludf.DUMMYFUNCTION("""COMPUTED_VALUE"""),29385.0)</f>
        <v>29385</v>
      </c>
      <c r="B3388" s="2">
        <f>IFERROR(__xludf.DUMMYFUNCTION("""COMPUTED_VALUE"""),0.0)</f>
        <v>0</v>
      </c>
      <c r="C3388" s="2">
        <f>IFERROR(__xludf.DUMMYFUNCTION("""COMPUTED_VALUE"""),355.0)</f>
        <v>355</v>
      </c>
      <c r="D3388" s="3">
        <f>IFERROR(__xludf.DUMMYFUNCTION("""COMPUTED_VALUE"""),124.0)</f>
        <v>124</v>
      </c>
      <c r="E3388" s="2"/>
      <c r="F3388" s="2"/>
    </row>
    <row r="3389">
      <c r="A3389" s="2">
        <f>IFERROR(__xludf.DUMMYFUNCTION("""COMPUTED_VALUE"""),17767.0)</f>
        <v>17767</v>
      </c>
      <c r="B3389" s="2">
        <f>IFERROR(__xludf.DUMMYFUNCTION("""COMPUTED_VALUE"""),0.0)</f>
        <v>0</v>
      </c>
      <c r="C3389" s="2">
        <f>IFERROR(__xludf.DUMMYFUNCTION("""COMPUTED_VALUE"""),797.0)</f>
        <v>797</v>
      </c>
      <c r="D3389" s="3">
        <f>IFERROR(__xludf.DUMMYFUNCTION("""COMPUTED_VALUE"""),689.0)</f>
        <v>689</v>
      </c>
      <c r="E3389" s="2"/>
      <c r="F3389" s="2"/>
    </row>
    <row r="3390">
      <c r="A3390" s="2">
        <f>IFERROR(__xludf.DUMMYFUNCTION("""COMPUTED_VALUE"""),103047.0)</f>
        <v>103047</v>
      </c>
      <c r="B3390" s="2">
        <f>IFERROR(__xludf.DUMMYFUNCTION("""COMPUTED_VALUE"""),1.0)</f>
        <v>1</v>
      </c>
      <c r="C3390" s="2">
        <f>IFERROR(__xludf.DUMMYFUNCTION("""COMPUTED_VALUE"""),160.0)</f>
        <v>160</v>
      </c>
      <c r="D3390" s="3">
        <f>IFERROR(__xludf.DUMMYFUNCTION("""COMPUTED_VALUE"""),85.0)</f>
        <v>85</v>
      </c>
      <c r="E3390" s="2"/>
      <c r="F3390" s="2"/>
    </row>
    <row r="3391">
      <c r="A3391" s="2">
        <f>IFERROR(__xludf.DUMMYFUNCTION("""COMPUTED_VALUE"""),70209.0)</f>
        <v>70209</v>
      </c>
      <c r="B3391" s="2">
        <f>IFERROR(__xludf.DUMMYFUNCTION("""COMPUTED_VALUE"""),0.0)</f>
        <v>0</v>
      </c>
      <c r="C3391" s="2">
        <f>IFERROR(__xludf.DUMMYFUNCTION("""COMPUTED_VALUE"""),834.0)</f>
        <v>834</v>
      </c>
      <c r="D3391" s="3">
        <f>IFERROR(__xludf.DUMMYFUNCTION("""COMPUTED_VALUE"""),701.0)</f>
        <v>701</v>
      </c>
      <c r="E3391" s="2"/>
      <c r="F3391" s="2"/>
    </row>
    <row r="3392">
      <c r="A3392" s="2">
        <f>IFERROR(__xludf.DUMMYFUNCTION("""COMPUTED_VALUE"""),29372.0)</f>
        <v>29372</v>
      </c>
      <c r="B3392" s="2">
        <f>IFERROR(__xludf.DUMMYFUNCTION("""COMPUTED_VALUE"""),0.0)</f>
        <v>0</v>
      </c>
      <c r="C3392" s="2">
        <f>IFERROR(__xludf.DUMMYFUNCTION("""COMPUTED_VALUE"""),446.0)</f>
        <v>446</v>
      </c>
      <c r="D3392" s="3">
        <f>IFERROR(__xludf.DUMMYFUNCTION("""COMPUTED_VALUE"""),285.0)</f>
        <v>285</v>
      </c>
      <c r="E3392" s="2"/>
      <c r="F3392" s="2"/>
    </row>
    <row r="3393">
      <c r="A3393" s="2">
        <f>IFERROR(__xludf.DUMMYFUNCTION("""COMPUTED_VALUE"""),120485.0)</f>
        <v>120485</v>
      </c>
      <c r="B3393" s="2">
        <f>IFERROR(__xludf.DUMMYFUNCTION("""COMPUTED_VALUE"""),0.0)</f>
        <v>0</v>
      </c>
      <c r="C3393" s="2">
        <f>IFERROR(__xludf.DUMMYFUNCTION("""COMPUTED_VALUE"""),232.0)</f>
        <v>232</v>
      </c>
      <c r="D3393" s="3">
        <f>IFERROR(__xludf.DUMMYFUNCTION("""COMPUTED_VALUE"""),91.0)</f>
        <v>91</v>
      </c>
      <c r="E3393" s="2"/>
      <c r="F3393" s="2"/>
    </row>
    <row r="3394">
      <c r="A3394" s="2">
        <f>IFERROR(__xludf.DUMMYFUNCTION("""COMPUTED_VALUE"""),120486.0)</f>
        <v>120486</v>
      </c>
      <c r="B3394" s="2">
        <f>IFERROR(__xludf.DUMMYFUNCTION("""COMPUTED_VALUE"""),1.0)</f>
        <v>1</v>
      </c>
      <c r="C3394" s="2">
        <f>IFERROR(__xludf.DUMMYFUNCTION("""COMPUTED_VALUE"""),569.0)</f>
        <v>569</v>
      </c>
      <c r="D3394" s="3">
        <f>IFERROR(__xludf.DUMMYFUNCTION("""COMPUTED_VALUE"""),148.0)</f>
        <v>148</v>
      </c>
      <c r="E3394" s="2"/>
      <c r="F3394" s="2"/>
    </row>
    <row r="3395">
      <c r="A3395" s="2">
        <f>IFERROR(__xludf.DUMMYFUNCTION("""COMPUTED_VALUE"""),70293.0)</f>
        <v>70293</v>
      </c>
      <c r="B3395" s="2">
        <f>IFERROR(__xludf.DUMMYFUNCTION("""COMPUTED_VALUE"""),1.0)</f>
        <v>1</v>
      </c>
      <c r="C3395" s="2">
        <f>IFERROR(__xludf.DUMMYFUNCTION("""COMPUTED_VALUE"""),946.0)</f>
        <v>946</v>
      </c>
      <c r="D3395" s="3">
        <f>IFERROR(__xludf.DUMMYFUNCTION("""COMPUTED_VALUE"""),427.0)</f>
        <v>427</v>
      </c>
      <c r="E3395" s="2"/>
      <c r="F3395" s="2"/>
    </row>
    <row r="3396">
      <c r="A3396" s="2">
        <f>IFERROR(__xludf.DUMMYFUNCTION("""COMPUTED_VALUE"""),71772.0)</f>
        <v>71772</v>
      </c>
      <c r="B3396" s="2">
        <f>IFERROR(__xludf.DUMMYFUNCTION("""COMPUTED_VALUE"""),0.0)</f>
        <v>0</v>
      </c>
      <c r="C3396" s="2">
        <f>IFERROR(__xludf.DUMMYFUNCTION("""COMPUTED_VALUE"""),324.0)</f>
        <v>324</v>
      </c>
      <c r="D3396" s="3">
        <f>IFERROR(__xludf.DUMMYFUNCTION("""COMPUTED_VALUE"""),36.0)</f>
        <v>36</v>
      </c>
      <c r="E3396" s="2"/>
      <c r="F3396" s="2"/>
    </row>
    <row r="3397">
      <c r="A3397" s="2">
        <f>IFERROR(__xludf.DUMMYFUNCTION("""COMPUTED_VALUE"""),86111.0)</f>
        <v>86111</v>
      </c>
      <c r="B3397" s="2">
        <f>IFERROR(__xludf.DUMMYFUNCTION("""COMPUTED_VALUE"""),0.0)</f>
        <v>0</v>
      </c>
      <c r="C3397" s="2">
        <f>IFERROR(__xludf.DUMMYFUNCTION("""COMPUTED_VALUE"""),148.0)</f>
        <v>148</v>
      </c>
      <c r="D3397" s="3">
        <f>IFERROR(__xludf.DUMMYFUNCTION("""COMPUTED_VALUE"""),144.0)</f>
        <v>144</v>
      </c>
      <c r="E3397" s="2"/>
      <c r="F3397" s="2"/>
    </row>
    <row r="3398">
      <c r="A3398" s="2">
        <f>IFERROR(__xludf.DUMMYFUNCTION("""COMPUTED_VALUE"""),71840.0)</f>
        <v>71840</v>
      </c>
      <c r="B3398" s="2">
        <f>IFERROR(__xludf.DUMMYFUNCTION("""COMPUTED_VALUE"""),0.0)</f>
        <v>0</v>
      </c>
      <c r="C3398" s="2">
        <f>IFERROR(__xludf.DUMMYFUNCTION("""COMPUTED_VALUE"""),148.0)</f>
        <v>148</v>
      </c>
      <c r="D3398" s="3">
        <f>IFERROR(__xludf.DUMMYFUNCTION("""COMPUTED_VALUE"""),66.0)</f>
        <v>66</v>
      </c>
      <c r="E3398" s="2"/>
      <c r="F3398" s="2"/>
    </row>
    <row r="3399">
      <c r="A3399" s="2">
        <f>IFERROR(__xludf.DUMMYFUNCTION("""COMPUTED_VALUE"""),28533.0)</f>
        <v>28533</v>
      </c>
      <c r="B3399" s="2">
        <f>IFERROR(__xludf.DUMMYFUNCTION("""COMPUTED_VALUE"""),0.0)</f>
        <v>0</v>
      </c>
      <c r="C3399" s="2">
        <f>IFERROR(__xludf.DUMMYFUNCTION("""COMPUTED_VALUE"""),63.0)</f>
        <v>63</v>
      </c>
      <c r="D3399" s="3">
        <f>IFERROR(__xludf.DUMMYFUNCTION("""COMPUTED_VALUE"""),54.0)</f>
        <v>54</v>
      </c>
      <c r="E3399" s="2"/>
      <c r="F3399" s="2"/>
    </row>
    <row r="3400">
      <c r="A3400" s="2">
        <f>IFERROR(__xludf.DUMMYFUNCTION("""COMPUTED_VALUE"""),86994.0)</f>
        <v>86994</v>
      </c>
      <c r="B3400" s="2">
        <f>IFERROR(__xludf.DUMMYFUNCTION("""COMPUTED_VALUE"""),0.0)</f>
        <v>0</v>
      </c>
      <c r="C3400" s="2">
        <f>IFERROR(__xludf.DUMMYFUNCTION("""COMPUTED_VALUE"""),690.0)</f>
        <v>690</v>
      </c>
      <c r="D3400" s="3">
        <f>IFERROR(__xludf.DUMMYFUNCTION("""COMPUTED_VALUE"""),577.0)</f>
        <v>577</v>
      </c>
      <c r="E3400" s="2"/>
      <c r="F3400" s="2"/>
    </row>
    <row r="3401">
      <c r="A3401" s="2">
        <f>IFERROR(__xludf.DUMMYFUNCTION("""COMPUTED_VALUE"""),124881.0)</f>
        <v>124881</v>
      </c>
      <c r="B3401" s="2">
        <f>IFERROR(__xludf.DUMMYFUNCTION("""COMPUTED_VALUE"""),0.0)</f>
        <v>0</v>
      </c>
      <c r="C3401" s="2">
        <f>IFERROR(__xludf.DUMMYFUNCTION("""COMPUTED_VALUE"""),667.0)</f>
        <v>667</v>
      </c>
      <c r="D3401" s="3">
        <f>IFERROR(__xludf.DUMMYFUNCTION("""COMPUTED_VALUE"""),381.0)</f>
        <v>381</v>
      </c>
      <c r="E3401" s="2"/>
      <c r="F3401" s="2"/>
    </row>
    <row r="3402">
      <c r="A3402" s="2">
        <f>IFERROR(__xludf.DUMMYFUNCTION("""COMPUTED_VALUE"""),119280.0)</f>
        <v>119280</v>
      </c>
      <c r="B3402" s="2">
        <f>IFERROR(__xludf.DUMMYFUNCTION("""COMPUTED_VALUE"""),0.0)</f>
        <v>0</v>
      </c>
      <c r="C3402" s="2">
        <f>IFERROR(__xludf.DUMMYFUNCTION("""COMPUTED_VALUE"""),607.0)</f>
        <v>607</v>
      </c>
      <c r="D3402" s="3">
        <f>IFERROR(__xludf.DUMMYFUNCTION("""COMPUTED_VALUE"""),124.0)</f>
        <v>124</v>
      </c>
      <c r="E3402" s="2"/>
      <c r="F3402" s="2"/>
    </row>
    <row r="3403">
      <c r="A3403" s="2">
        <f>IFERROR(__xludf.DUMMYFUNCTION("""COMPUTED_VALUE"""),87001.0)</f>
        <v>87001</v>
      </c>
      <c r="B3403" s="2">
        <f>IFERROR(__xludf.DUMMYFUNCTION("""COMPUTED_VALUE"""),0.0)</f>
        <v>0</v>
      </c>
      <c r="C3403" s="2">
        <f>IFERROR(__xludf.DUMMYFUNCTION("""COMPUTED_VALUE"""),258.0)</f>
        <v>258</v>
      </c>
      <c r="D3403" s="3">
        <f>IFERROR(__xludf.DUMMYFUNCTION("""COMPUTED_VALUE"""),193.0)</f>
        <v>193</v>
      </c>
      <c r="E3403" s="2"/>
      <c r="F3403" s="2"/>
    </row>
    <row r="3404">
      <c r="A3404" s="2">
        <f>IFERROR(__xludf.DUMMYFUNCTION("""COMPUTED_VALUE"""),71839.0)</f>
        <v>71839</v>
      </c>
      <c r="B3404" s="2">
        <f>IFERROR(__xludf.DUMMYFUNCTION("""COMPUTED_VALUE"""),1.0)</f>
        <v>1</v>
      </c>
      <c r="C3404" s="2">
        <f>IFERROR(__xludf.DUMMYFUNCTION("""COMPUTED_VALUE"""),143.0)</f>
        <v>143</v>
      </c>
      <c r="D3404" s="3">
        <f>IFERROR(__xludf.DUMMYFUNCTION("""COMPUTED_VALUE"""),136.0)</f>
        <v>136</v>
      </c>
      <c r="E3404" s="2"/>
      <c r="F3404" s="2"/>
    </row>
    <row r="3405">
      <c r="A3405" s="2">
        <f>IFERROR(__xludf.DUMMYFUNCTION("""COMPUTED_VALUE"""),119288.0)</f>
        <v>119288</v>
      </c>
      <c r="B3405" s="2">
        <f>IFERROR(__xludf.DUMMYFUNCTION("""COMPUTED_VALUE"""),0.0)</f>
        <v>0</v>
      </c>
      <c r="C3405" s="2">
        <f>IFERROR(__xludf.DUMMYFUNCTION("""COMPUTED_VALUE"""),331.0)</f>
        <v>331</v>
      </c>
      <c r="D3405" s="3">
        <f>IFERROR(__xludf.DUMMYFUNCTION("""COMPUTED_VALUE"""),331.0)</f>
        <v>331</v>
      </c>
      <c r="E3405" s="2"/>
      <c r="F3405" s="2"/>
    </row>
    <row r="3406">
      <c r="A3406" s="2">
        <f>IFERROR(__xludf.DUMMYFUNCTION("""COMPUTED_VALUE"""),71770.0)</f>
        <v>71770</v>
      </c>
      <c r="B3406" s="2">
        <f>IFERROR(__xludf.DUMMYFUNCTION("""COMPUTED_VALUE"""),1.0)</f>
        <v>1</v>
      </c>
      <c r="C3406" s="2">
        <f>IFERROR(__xludf.DUMMYFUNCTION("""COMPUTED_VALUE"""),103.0)</f>
        <v>103</v>
      </c>
      <c r="D3406" s="3">
        <f>IFERROR(__xludf.DUMMYFUNCTION("""COMPUTED_VALUE"""),2.0)</f>
        <v>2</v>
      </c>
      <c r="E3406" s="2"/>
      <c r="F3406" s="2"/>
    </row>
    <row r="3407">
      <c r="A3407" s="2">
        <f>IFERROR(__xludf.DUMMYFUNCTION("""COMPUTED_VALUE"""),28536.0)</f>
        <v>28536</v>
      </c>
      <c r="B3407" s="2">
        <f>IFERROR(__xludf.DUMMYFUNCTION("""COMPUTED_VALUE"""),1.0)</f>
        <v>1</v>
      </c>
      <c r="C3407" s="2">
        <f>IFERROR(__xludf.DUMMYFUNCTION("""COMPUTED_VALUE"""),33.0)</f>
        <v>33</v>
      </c>
      <c r="D3407" s="3">
        <f>IFERROR(__xludf.DUMMYFUNCTION("""COMPUTED_VALUE"""),9.0)</f>
        <v>9</v>
      </c>
      <c r="E3407" s="2"/>
      <c r="F3407" s="2"/>
    </row>
    <row r="3408">
      <c r="A3408" s="2">
        <f>IFERROR(__xludf.DUMMYFUNCTION("""COMPUTED_VALUE"""),90007.0)</f>
        <v>90007</v>
      </c>
      <c r="B3408" s="2">
        <f>IFERROR(__xludf.DUMMYFUNCTION("""COMPUTED_VALUE"""),1.0)</f>
        <v>1</v>
      </c>
      <c r="C3408" s="2">
        <f>IFERROR(__xludf.DUMMYFUNCTION("""COMPUTED_VALUE"""),676.0)</f>
        <v>676</v>
      </c>
      <c r="D3408" s="3">
        <f>IFERROR(__xludf.DUMMYFUNCTION("""COMPUTED_VALUE"""),317.0)</f>
        <v>317</v>
      </c>
      <c r="E3408" s="2"/>
      <c r="F3408" s="2"/>
    </row>
    <row r="3409">
      <c r="A3409" s="2">
        <f>IFERROR(__xludf.DUMMYFUNCTION("""COMPUTED_VALUE"""),71830.0)</f>
        <v>71830</v>
      </c>
      <c r="B3409" s="2">
        <f>IFERROR(__xludf.DUMMYFUNCTION("""COMPUTED_VALUE"""),1.0)</f>
        <v>1</v>
      </c>
      <c r="C3409" s="2">
        <f>IFERROR(__xludf.DUMMYFUNCTION("""COMPUTED_VALUE"""),713.0)</f>
        <v>713</v>
      </c>
      <c r="D3409" s="3">
        <f>IFERROR(__xludf.DUMMYFUNCTION("""COMPUTED_VALUE"""),580.0)</f>
        <v>580</v>
      </c>
      <c r="E3409" s="2"/>
      <c r="F3409" s="2"/>
    </row>
    <row r="3410">
      <c r="A3410" s="2">
        <f>IFERROR(__xludf.DUMMYFUNCTION("""COMPUTED_VALUE"""),71837.0)</f>
        <v>71837</v>
      </c>
      <c r="B3410" s="2">
        <f>IFERROR(__xludf.DUMMYFUNCTION("""COMPUTED_VALUE"""),0.0)</f>
        <v>0</v>
      </c>
      <c r="C3410" s="2">
        <f>IFERROR(__xludf.DUMMYFUNCTION("""COMPUTED_VALUE"""),207.0)</f>
        <v>207</v>
      </c>
      <c r="D3410" s="3">
        <f>IFERROR(__xludf.DUMMYFUNCTION("""COMPUTED_VALUE"""),120.0)</f>
        <v>120</v>
      </c>
      <c r="E3410" s="2"/>
      <c r="F3410" s="2"/>
    </row>
    <row r="3411">
      <c r="A3411" s="2">
        <f>IFERROR(__xludf.DUMMYFUNCTION("""COMPUTED_VALUE"""),83640.0)</f>
        <v>83640</v>
      </c>
      <c r="B3411" s="2">
        <f>IFERROR(__xludf.DUMMYFUNCTION("""COMPUTED_VALUE"""),1.0)</f>
        <v>1</v>
      </c>
      <c r="C3411" s="2">
        <f>IFERROR(__xludf.DUMMYFUNCTION("""COMPUTED_VALUE"""),24.0)</f>
        <v>24</v>
      </c>
      <c r="D3411" s="3">
        <f>IFERROR(__xludf.DUMMYFUNCTION("""COMPUTED_VALUE"""),8.0)</f>
        <v>8</v>
      </c>
      <c r="E3411" s="2"/>
      <c r="F3411" s="2"/>
    </row>
    <row r="3412">
      <c r="A3412" s="2">
        <f>IFERROR(__xludf.DUMMYFUNCTION("""COMPUTED_VALUE"""),111191.0)</f>
        <v>111191</v>
      </c>
      <c r="B3412" s="2">
        <f>IFERROR(__xludf.DUMMYFUNCTION("""COMPUTED_VALUE"""),0.0)</f>
        <v>0</v>
      </c>
      <c r="C3412" s="2">
        <f>IFERROR(__xludf.DUMMYFUNCTION("""COMPUTED_VALUE"""),332.0)</f>
        <v>332</v>
      </c>
      <c r="D3412" s="3">
        <f>IFERROR(__xludf.DUMMYFUNCTION("""COMPUTED_VALUE"""),61.0)</f>
        <v>61</v>
      </c>
      <c r="E3412" s="2"/>
      <c r="F3412" s="2"/>
    </row>
    <row r="3413">
      <c r="A3413" s="2">
        <f>IFERROR(__xludf.DUMMYFUNCTION("""COMPUTED_VALUE"""),70442.0)</f>
        <v>70442</v>
      </c>
      <c r="B3413" s="2">
        <f>IFERROR(__xludf.DUMMYFUNCTION("""COMPUTED_VALUE"""),1.0)</f>
        <v>1</v>
      </c>
      <c r="C3413" s="2">
        <f>IFERROR(__xludf.DUMMYFUNCTION("""COMPUTED_VALUE"""),705.0)</f>
        <v>705</v>
      </c>
      <c r="D3413" s="3">
        <f>IFERROR(__xludf.DUMMYFUNCTION("""COMPUTED_VALUE"""),285.0)</f>
        <v>285</v>
      </c>
      <c r="E3413" s="2"/>
      <c r="F3413" s="2"/>
    </row>
    <row r="3414">
      <c r="A3414" s="2">
        <f>IFERROR(__xludf.DUMMYFUNCTION("""COMPUTED_VALUE"""),122228.0)</f>
        <v>122228</v>
      </c>
      <c r="B3414" s="2">
        <f>IFERROR(__xludf.DUMMYFUNCTION("""COMPUTED_VALUE"""),0.0)</f>
        <v>0</v>
      </c>
      <c r="C3414" s="2">
        <f>IFERROR(__xludf.DUMMYFUNCTION("""COMPUTED_VALUE"""),470.0)</f>
        <v>470</v>
      </c>
      <c r="D3414" s="3">
        <f>IFERROR(__xludf.DUMMYFUNCTION("""COMPUTED_VALUE"""),77.0)</f>
        <v>77</v>
      </c>
      <c r="E3414" s="2"/>
      <c r="F3414" s="2"/>
    </row>
    <row r="3415">
      <c r="A3415" s="2">
        <f>IFERROR(__xludf.DUMMYFUNCTION("""COMPUTED_VALUE"""),46822.0)</f>
        <v>46822</v>
      </c>
      <c r="B3415" s="2">
        <f>IFERROR(__xludf.DUMMYFUNCTION("""COMPUTED_VALUE"""),0.0)</f>
        <v>0</v>
      </c>
      <c r="C3415" s="2">
        <f>IFERROR(__xludf.DUMMYFUNCTION("""COMPUTED_VALUE"""),380.0)</f>
        <v>380</v>
      </c>
      <c r="D3415" s="3">
        <f>IFERROR(__xludf.DUMMYFUNCTION("""COMPUTED_VALUE"""),331.0)</f>
        <v>331</v>
      </c>
      <c r="E3415" s="2"/>
      <c r="F3415" s="2"/>
    </row>
    <row r="3416">
      <c r="A3416" s="2">
        <f>IFERROR(__xludf.DUMMYFUNCTION("""COMPUTED_VALUE"""),71769.0)</f>
        <v>71769</v>
      </c>
      <c r="B3416" s="2">
        <f>IFERROR(__xludf.DUMMYFUNCTION("""COMPUTED_VALUE"""),0.0)</f>
        <v>0</v>
      </c>
      <c r="C3416" s="2">
        <f>IFERROR(__xludf.DUMMYFUNCTION("""COMPUTED_VALUE"""),776.0)</f>
        <v>776</v>
      </c>
      <c r="D3416" s="3">
        <f>IFERROR(__xludf.DUMMYFUNCTION("""COMPUTED_VALUE"""),366.0)</f>
        <v>366</v>
      </c>
      <c r="E3416" s="2"/>
      <c r="F3416" s="2"/>
    </row>
    <row r="3417">
      <c r="A3417" s="2">
        <f>IFERROR(__xludf.DUMMYFUNCTION("""COMPUTED_VALUE"""),9302.0)</f>
        <v>9302</v>
      </c>
      <c r="B3417" s="2">
        <f>IFERROR(__xludf.DUMMYFUNCTION("""COMPUTED_VALUE"""),1.0)</f>
        <v>1</v>
      </c>
      <c r="C3417" s="2">
        <f>IFERROR(__xludf.DUMMYFUNCTION("""COMPUTED_VALUE"""),940.0)</f>
        <v>940</v>
      </c>
      <c r="D3417" s="3">
        <f>IFERROR(__xludf.DUMMYFUNCTION("""COMPUTED_VALUE"""),614.0)</f>
        <v>614</v>
      </c>
      <c r="E3417" s="2"/>
      <c r="F3417" s="2"/>
    </row>
    <row r="3418">
      <c r="A3418" s="2">
        <f>IFERROR(__xludf.DUMMYFUNCTION("""COMPUTED_VALUE"""),90006.0)</f>
        <v>90006</v>
      </c>
      <c r="B3418" s="2">
        <f>IFERROR(__xludf.DUMMYFUNCTION("""COMPUTED_VALUE"""),1.0)</f>
        <v>1</v>
      </c>
      <c r="C3418" s="2">
        <f>IFERROR(__xludf.DUMMYFUNCTION("""COMPUTED_VALUE"""),238.0)</f>
        <v>238</v>
      </c>
      <c r="D3418" s="3">
        <f>IFERROR(__xludf.DUMMYFUNCTION("""COMPUTED_VALUE"""),122.0)</f>
        <v>122</v>
      </c>
      <c r="E3418" s="2"/>
      <c r="F3418" s="2"/>
    </row>
    <row r="3419">
      <c r="A3419" s="2">
        <f>IFERROR(__xludf.DUMMYFUNCTION("""COMPUTED_VALUE"""),80673.0)</f>
        <v>80673</v>
      </c>
      <c r="B3419" s="2">
        <f>IFERROR(__xludf.DUMMYFUNCTION("""COMPUTED_VALUE"""),1.0)</f>
        <v>1</v>
      </c>
      <c r="C3419" s="2">
        <f>IFERROR(__xludf.DUMMYFUNCTION("""COMPUTED_VALUE"""),695.0)</f>
        <v>695</v>
      </c>
      <c r="D3419" s="3">
        <f>IFERROR(__xludf.DUMMYFUNCTION("""COMPUTED_VALUE"""),572.0)</f>
        <v>572</v>
      </c>
      <c r="E3419" s="2"/>
      <c r="F3419" s="2"/>
    </row>
    <row r="3420">
      <c r="A3420" s="2">
        <f>IFERROR(__xludf.DUMMYFUNCTION("""COMPUTED_VALUE"""),71834.0)</f>
        <v>71834</v>
      </c>
      <c r="B3420" s="2">
        <f>IFERROR(__xludf.DUMMYFUNCTION("""COMPUTED_VALUE"""),0.0)</f>
        <v>0</v>
      </c>
      <c r="C3420" s="2">
        <f>IFERROR(__xludf.DUMMYFUNCTION("""COMPUTED_VALUE"""),242.0)</f>
        <v>242</v>
      </c>
      <c r="D3420" s="3">
        <f>IFERROR(__xludf.DUMMYFUNCTION("""COMPUTED_VALUE"""),168.0)</f>
        <v>168</v>
      </c>
      <c r="E3420" s="2"/>
      <c r="F3420" s="2"/>
    </row>
    <row r="3421">
      <c r="A3421" s="2">
        <f>IFERROR(__xludf.DUMMYFUNCTION("""COMPUTED_VALUE"""),107310.0)</f>
        <v>107310</v>
      </c>
      <c r="B3421" s="2">
        <f>IFERROR(__xludf.DUMMYFUNCTION("""COMPUTED_VALUE"""),0.0)</f>
        <v>0</v>
      </c>
      <c r="C3421" s="2">
        <f>IFERROR(__xludf.DUMMYFUNCTION("""COMPUTED_VALUE"""),200.0)</f>
        <v>200</v>
      </c>
      <c r="D3421" s="3">
        <f>IFERROR(__xludf.DUMMYFUNCTION("""COMPUTED_VALUE"""),128.0)</f>
        <v>128</v>
      </c>
      <c r="E3421" s="2"/>
      <c r="F3421" s="2"/>
    </row>
    <row r="3422">
      <c r="A3422" s="2">
        <f>IFERROR(__xludf.DUMMYFUNCTION("""COMPUTED_VALUE"""),71843.0)</f>
        <v>71843</v>
      </c>
      <c r="B3422" s="2">
        <f>IFERROR(__xludf.DUMMYFUNCTION("""COMPUTED_VALUE"""),0.0)</f>
        <v>0</v>
      </c>
      <c r="C3422" s="2">
        <f>IFERROR(__xludf.DUMMYFUNCTION("""COMPUTED_VALUE"""),779.0)</f>
        <v>779</v>
      </c>
      <c r="D3422" s="3">
        <f>IFERROR(__xludf.DUMMYFUNCTION("""COMPUTED_VALUE"""),733.0)</f>
        <v>733</v>
      </c>
      <c r="E3422" s="2"/>
      <c r="F3422" s="2"/>
    </row>
    <row r="3423">
      <c r="A3423" s="2">
        <f>IFERROR(__xludf.DUMMYFUNCTION("""COMPUTED_VALUE"""),107358.0)</f>
        <v>107358</v>
      </c>
      <c r="B3423" s="2">
        <f>IFERROR(__xludf.DUMMYFUNCTION("""COMPUTED_VALUE"""),1.0)</f>
        <v>1</v>
      </c>
      <c r="C3423" s="2">
        <f>IFERROR(__xludf.DUMMYFUNCTION("""COMPUTED_VALUE"""),258.0)</f>
        <v>258</v>
      </c>
      <c r="D3423" s="3">
        <f>IFERROR(__xludf.DUMMYFUNCTION("""COMPUTED_VALUE"""),27.0)</f>
        <v>27</v>
      </c>
      <c r="E3423" s="2"/>
      <c r="F3423" s="2"/>
    </row>
    <row r="3424">
      <c r="A3424" s="2">
        <f>IFERROR(__xludf.DUMMYFUNCTION("""COMPUTED_VALUE"""),44842.0)</f>
        <v>44842</v>
      </c>
      <c r="B3424" s="2">
        <f>IFERROR(__xludf.DUMMYFUNCTION("""COMPUTED_VALUE"""),0.0)</f>
        <v>0</v>
      </c>
      <c r="C3424" s="2">
        <f>IFERROR(__xludf.DUMMYFUNCTION("""COMPUTED_VALUE"""),395.0)</f>
        <v>395</v>
      </c>
      <c r="D3424" s="3">
        <f>IFERROR(__xludf.DUMMYFUNCTION("""COMPUTED_VALUE"""),176.0)</f>
        <v>176</v>
      </c>
      <c r="E3424" s="2"/>
      <c r="F3424" s="2"/>
    </row>
    <row r="3425">
      <c r="A3425" s="2">
        <f>IFERROR(__xludf.DUMMYFUNCTION("""COMPUTED_VALUE"""),111181.0)</f>
        <v>111181</v>
      </c>
      <c r="B3425" s="2">
        <f>IFERROR(__xludf.DUMMYFUNCTION("""COMPUTED_VALUE"""),0.0)</f>
        <v>0</v>
      </c>
      <c r="C3425" s="2">
        <f>IFERROR(__xludf.DUMMYFUNCTION("""COMPUTED_VALUE"""),114.0)</f>
        <v>114</v>
      </c>
      <c r="D3425" s="3">
        <f>IFERROR(__xludf.DUMMYFUNCTION("""COMPUTED_VALUE"""),6.0)</f>
        <v>6</v>
      </c>
      <c r="E3425" s="2"/>
      <c r="F3425" s="2"/>
    </row>
    <row r="3426">
      <c r="A3426" s="2">
        <f>IFERROR(__xludf.DUMMYFUNCTION("""COMPUTED_VALUE"""),71773.0)</f>
        <v>71773</v>
      </c>
      <c r="B3426" s="2">
        <f>IFERROR(__xludf.DUMMYFUNCTION("""COMPUTED_VALUE"""),1.0)</f>
        <v>1</v>
      </c>
      <c r="C3426" s="2">
        <f>IFERROR(__xludf.DUMMYFUNCTION("""COMPUTED_VALUE"""),668.0)</f>
        <v>668</v>
      </c>
      <c r="D3426" s="3">
        <f>IFERROR(__xludf.DUMMYFUNCTION("""COMPUTED_VALUE"""),160.0)</f>
        <v>160</v>
      </c>
      <c r="E3426" s="2"/>
      <c r="F3426" s="2"/>
    </row>
    <row r="3427">
      <c r="A3427" s="2">
        <f>IFERROR(__xludf.DUMMYFUNCTION("""COMPUTED_VALUE"""),71836.0)</f>
        <v>71836</v>
      </c>
      <c r="B3427" s="2">
        <f>IFERROR(__xludf.DUMMYFUNCTION("""COMPUTED_VALUE"""),0.0)</f>
        <v>0</v>
      </c>
      <c r="C3427" s="2">
        <f>IFERROR(__xludf.DUMMYFUNCTION("""COMPUTED_VALUE"""),212.0)</f>
        <v>212</v>
      </c>
      <c r="D3427" s="3">
        <f>IFERROR(__xludf.DUMMYFUNCTION("""COMPUTED_VALUE"""),210.0)</f>
        <v>210</v>
      </c>
      <c r="E3427" s="2"/>
      <c r="F3427" s="2"/>
    </row>
    <row r="3428">
      <c r="A3428" s="2">
        <f>IFERROR(__xludf.DUMMYFUNCTION("""COMPUTED_VALUE"""),70276.0)</f>
        <v>70276</v>
      </c>
      <c r="B3428" s="2">
        <f>IFERROR(__xludf.DUMMYFUNCTION("""COMPUTED_VALUE"""),1.0)</f>
        <v>1</v>
      </c>
      <c r="C3428" s="2">
        <f>IFERROR(__xludf.DUMMYFUNCTION("""COMPUTED_VALUE"""),537.0)</f>
        <v>537</v>
      </c>
      <c r="D3428" s="3">
        <f>IFERROR(__xludf.DUMMYFUNCTION("""COMPUTED_VALUE"""),326.0)</f>
        <v>326</v>
      </c>
      <c r="E3428" s="2"/>
      <c r="F3428" s="2"/>
    </row>
    <row r="3429">
      <c r="A3429" s="2">
        <f>IFERROR(__xludf.DUMMYFUNCTION("""COMPUTED_VALUE"""),71775.0)</f>
        <v>71775</v>
      </c>
      <c r="B3429" s="2">
        <f>IFERROR(__xludf.DUMMYFUNCTION("""COMPUTED_VALUE"""),0.0)</f>
        <v>0</v>
      </c>
      <c r="C3429" s="2">
        <f>IFERROR(__xludf.DUMMYFUNCTION("""COMPUTED_VALUE"""),862.0)</f>
        <v>862</v>
      </c>
      <c r="D3429" s="3">
        <f>IFERROR(__xludf.DUMMYFUNCTION("""COMPUTED_VALUE"""),307.0)</f>
        <v>307</v>
      </c>
      <c r="E3429" s="2"/>
      <c r="F3429" s="2"/>
    </row>
    <row r="3430">
      <c r="A3430" s="2">
        <f>IFERROR(__xludf.DUMMYFUNCTION("""COMPUTED_VALUE"""),44844.0)</f>
        <v>44844</v>
      </c>
      <c r="B3430" s="2">
        <f>IFERROR(__xludf.DUMMYFUNCTION("""COMPUTED_VALUE"""),1.0)</f>
        <v>1</v>
      </c>
      <c r="C3430" s="2">
        <f>IFERROR(__xludf.DUMMYFUNCTION("""COMPUTED_VALUE"""),178.0)</f>
        <v>178</v>
      </c>
      <c r="D3430" s="3">
        <f>IFERROR(__xludf.DUMMYFUNCTION("""COMPUTED_VALUE"""),117.0)</f>
        <v>117</v>
      </c>
      <c r="E3430" s="2"/>
      <c r="F3430" s="2"/>
    </row>
    <row r="3431">
      <c r="A3431" s="2">
        <f>IFERROR(__xludf.DUMMYFUNCTION("""COMPUTED_VALUE"""),156181.0)</f>
        <v>156181</v>
      </c>
      <c r="B3431" s="2">
        <f>IFERROR(__xludf.DUMMYFUNCTION("""COMPUTED_VALUE"""),0.0)</f>
        <v>0</v>
      </c>
      <c r="C3431" s="2">
        <f>IFERROR(__xludf.DUMMYFUNCTION("""COMPUTED_VALUE"""),96.0)</f>
        <v>96</v>
      </c>
      <c r="D3431" s="3">
        <f>IFERROR(__xludf.DUMMYFUNCTION("""COMPUTED_VALUE"""),80.0)</f>
        <v>80</v>
      </c>
      <c r="E3431" s="2"/>
      <c r="F3431" s="2"/>
    </row>
    <row r="3432">
      <c r="A3432" s="2">
        <f>IFERROR(__xludf.DUMMYFUNCTION("""COMPUTED_VALUE"""),102898.0)</f>
        <v>102898</v>
      </c>
      <c r="B3432" s="2">
        <f>IFERROR(__xludf.DUMMYFUNCTION("""COMPUTED_VALUE"""),1.0)</f>
        <v>1</v>
      </c>
      <c r="C3432" s="2">
        <f>IFERROR(__xludf.DUMMYFUNCTION("""COMPUTED_VALUE"""),544.0)</f>
        <v>544</v>
      </c>
      <c r="D3432" s="3">
        <f>IFERROR(__xludf.DUMMYFUNCTION("""COMPUTED_VALUE"""),299.0)</f>
        <v>299</v>
      </c>
      <c r="E3432" s="2"/>
      <c r="F3432" s="2"/>
    </row>
    <row r="3433">
      <c r="A3433" s="2">
        <f>IFERROR(__xludf.DUMMYFUNCTION("""COMPUTED_VALUE"""),47600.0)</f>
        <v>47600</v>
      </c>
      <c r="B3433" s="2">
        <f>IFERROR(__xludf.DUMMYFUNCTION("""COMPUTED_VALUE"""),1.0)</f>
        <v>1</v>
      </c>
      <c r="C3433" s="2">
        <f>IFERROR(__xludf.DUMMYFUNCTION("""COMPUTED_VALUE"""),117.0)</f>
        <v>117</v>
      </c>
      <c r="D3433" s="3">
        <f>IFERROR(__xludf.DUMMYFUNCTION("""COMPUTED_VALUE"""),20.0)</f>
        <v>20</v>
      </c>
      <c r="E3433" s="2"/>
      <c r="F3433" s="2"/>
    </row>
    <row r="3434">
      <c r="A3434" s="2">
        <f>IFERROR(__xludf.DUMMYFUNCTION("""COMPUTED_VALUE"""),111173.0)</f>
        <v>111173</v>
      </c>
      <c r="B3434" s="2">
        <f>IFERROR(__xludf.DUMMYFUNCTION("""COMPUTED_VALUE"""),0.0)</f>
        <v>0</v>
      </c>
      <c r="C3434" s="2">
        <f>IFERROR(__xludf.DUMMYFUNCTION("""COMPUTED_VALUE"""),601.0)</f>
        <v>601</v>
      </c>
      <c r="D3434" s="3">
        <f>IFERROR(__xludf.DUMMYFUNCTION("""COMPUTED_VALUE"""),406.0)</f>
        <v>406</v>
      </c>
      <c r="E3434" s="2"/>
      <c r="F3434" s="2"/>
    </row>
    <row r="3435">
      <c r="A3435" s="2">
        <f>IFERROR(__xludf.DUMMYFUNCTION("""COMPUTED_VALUE"""),70201.0)</f>
        <v>70201</v>
      </c>
      <c r="B3435" s="2">
        <f>IFERROR(__xludf.DUMMYFUNCTION("""COMPUTED_VALUE"""),0.0)</f>
        <v>0</v>
      </c>
      <c r="C3435" s="2">
        <f>IFERROR(__xludf.DUMMYFUNCTION("""COMPUTED_VALUE"""),685.0)</f>
        <v>685</v>
      </c>
      <c r="D3435" s="3">
        <f>IFERROR(__xludf.DUMMYFUNCTION("""COMPUTED_VALUE"""),175.0)</f>
        <v>175</v>
      </c>
      <c r="E3435" s="2"/>
      <c r="F3435" s="2"/>
    </row>
    <row r="3436">
      <c r="A3436" s="2">
        <f>IFERROR(__xludf.DUMMYFUNCTION("""COMPUTED_VALUE"""),71842.0)</f>
        <v>71842</v>
      </c>
      <c r="B3436" s="2">
        <f>IFERROR(__xludf.DUMMYFUNCTION("""COMPUTED_VALUE"""),1.0)</f>
        <v>1</v>
      </c>
      <c r="C3436" s="2">
        <f>IFERROR(__xludf.DUMMYFUNCTION("""COMPUTED_VALUE"""),563.0)</f>
        <v>563</v>
      </c>
      <c r="D3436" s="3">
        <f>IFERROR(__xludf.DUMMYFUNCTION("""COMPUTED_VALUE"""),218.0)</f>
        <v>218</v>
      </c>
      <c r="E3436" s="2"/>
      <c r="F3436" s="2"/>
    </row>
    <row r="3437">
      <c r="A3437" s="2">
        <f>IFERROR(__xludf.DUMMYFUNCTION("""COMPUTED_VALUE"""),47601.0)</f>
        <v>47601</v>
      </c>
      <c r="B3437" s="2">
        <f>IFERROR(__xludf.DUMMYFUNCTION("""COMPUTED_VALUE"""),1.0)</f>
        <v>1</v>
      </c>
      <c r="C3437" s="2">
        <f>IFERROR(__xludf.DUMMYFUNCTION("""COMPUTED_VALUE"""),152.0)</f>
        <v>152</v>
      </c>
      <c r="D3437" s="3">
        <f>IFERROR(__xludf.DUMMYFUNCTION("""COMPUTED_VALUE"""),33.0)</f>
        <v>33</v>
      </c>
      <c r="E3437" s="2"/>
      <c r="F3437" s="2"/>
    </row>
    <row r="3438">
      <c r="A3438" s="2">
        <f>IFERROR(__xludf.DUMMYFUNCTION("""COMPUTED_VALUE"""),87000.0)</f>
        <v>87000</v>
      </c>
      <c r="B3438" s="2">
        <f>IFERROR(__xludf.DUMMYFUNCTION("""COMPUTED_VALUE"""),1.0)</f>
        <v>1</v>
      </c>
      <c r="C3438" s="2">
        <f>IFERROR(__xludf.DUMMYFUNCTION("""COMPUTED_VALUE"""),514.0)</f>
        <v>514</v>
      </c>
      <c r="D3438" s="3">
        <f>IFERROR(__xludf.DUMMYFUNCTION("""COMPUTED_VALUE"""),42.0)</f>
        <v>42</v>
      </c>
      <c r="E3438" s="2"/>
      <c r="F3438" s="2"/>
    </row>
    <row r="3439">
      <c r="A3439" s="2">
        <f>IFERROR(__xludf.DUMMYFUNCTION("""COMPUTED_VALUE"""),103457.0)</f>
        <v>103457</v>
      </c>
      <c r="B3439" s="2">
        <f>IFERROR(__xludf.DUMMYFUNCTION("""COMPUTED_VALUE"""),1.0)</f>
        <v>1</v>
      </c>
      <c r="C3439" s="2">
        <f>IFERROR(__xludf.DUMMYFUNCTION("""COMPUTED_VALUE"""),988.0)</f>
        <v>988</v>
      </c>
      <c r="D3439" s="3">
        <f>IFERROR(__xludf.DUMMYFUNCTION("""COMPUTED_VALUE"""),77.0)</f>
        <v>77</v>
      </c>
      <c r="E3439" s="2"/>
      <c r="F3439" s="2"/>
    </row>
    <row r="3440">
      <c r="A3440" s="2">
        <f>IFERROR(__xludf.DUMMYFUNCTION("""COMPUTED_VALUE"""),42198.0)</f>
        <v>42198</v>
      </c>
      <c r="B3440" s="2">
        <f>IFERROR(__xludf.DUMMYFUNCTION("""COMPUTED_VALUE"""),1.0)</f>
        <v>1</v>
      </c>
      <c r="C3440" s="2">
        <f>IFERROR(__xludf.DUMMYFUNCTION("""COMPUTED_VALUE"""),910.0)</f>
        <v>910</v>
      </c>
      <c r="D3440" s="3">
        <f>IFERROR(__xludf.DUMMYFUNCTION("""COMPUTED_VALUE"""),345.0)</f>
        <v>345</v>
      </c>
      <c r="E3440" s="2"/>
      <c r="F3440" s="2"/>
    </row>
    <row r="3441">
      <c r="A3441" s="2">
        <f>IFERROR(__xludf.DUMMYFUNCTION("""COMPUTED_VALUE"""),46823.0)</f>
        <v>46823</v>
      </c>
      <c r="B3441" s="2">
        <f>IFERROR(__xludf.DUMMYFUNCTION("""COMPUTED_VALUE"""),0.0)</f>
        <v>0</v>
      </c>
      <c r="C3441" s="2">
        <f>IFERROR(__xludf.DUMMYFUNCTION("""COMPUTED_VALUE"""),152.0)</f>
        <v>152</v>
      </c>
      <c r="D3441" s="3">
        <f>IFERROR(__xludf.DUMMYFUNCTION("""COMPUTED_VALUE"""),91.0)</f>
        <v>91</v>
      </c>
      <c r="E3441" s="2"/>
      <c r="F3441" s="2"/>
    </row>
    <row r="3442">
      <c r="A3442" s="2">
        <f>IFERROR(__xludf.DUMMYFUNCTION("""COMPUTED_VALUE"""),116196.0)</f>
        <v>116196</v>
      </c>
      <c r="B3442" s="2">
        <f>IFERROR(__xludf.DUMMYFUNCTION("""COMPUTED_VALUE"""),1.0)</f>
        <v>1</v>
      </c>
      <c r="C3442" s="2">
        <f>IFERROR(__xludf.DUMMYFUNCTION("""COMPUTED_VALUE"""),858.0)</f>
        <v>858</v>
      </c>
      <c r="D3442" s="3">
        <f>IFERROR(__xludf.DUMMYFUNCTION("""COMPUTED_VALUE"""),663.0)</f>
        <v>663</v>
      </c>
      <c r="E3442" s="2"/>
      <c r="F3442" s="2"/>
    </row>
    <row r="3443">
      <c r="A3443" s="2">
        <f>IFERROR(__xludf.DUMMYFUNCTION("""COMPUTED_VALUE"""),111177.0)</f>
        <v>111177</v>
      </c>
      <c r="B3443" s="2">
        <f>IFERROR(__xludf.DUMMYFUNCTION("""COMPUTED_VALUE"""),0.0)</f>
        <v>0</v>
      </c>
      <c r="C3443" s="2">
        <f>IFERROR(__xludf.DUMMYFUNCTION("""COMPUTED_VALUE"""),143.0)</f>
        <v>143</v>
      </c>
      <c r="D3443" s="3">
        <f>IFERROR(__xludf.DUMMYFUNCTION("""COMPUTED_VALUE"""),2.0)</f>
        <v>2</v>
      </c>
      <c r="E3443" s="2"/>
      <c r="F3443" s="2"/>
    </row>
    <row r="3444">
      <c r="A3444" s="2">
        <f>IFERROR(__xludf.DUMMYFUNCTION("""COMPUTED_VALUE"""),70292.0)</f>
        <v>70292</v>
      </c>
      <c r="B3444" s="2">
        <f>IFERROR(__xludf.DUMMYFUNCTION("""COMPUTED_VALUE"""),1.0)</f>
        <v>1</v>
      </c>
      <c r="C3444" s="2">
        <f>IFERROR(__xludf.DUMMYFUNCTION("""COMPUTED_VALUE"""),92.0)</f>
        <v>92</v>
      </c>
      <c r="D3444" s="3">
        <f>IFERROR(__xludf.DUMMYFUNCTION("""COMPUTED_VALUE"""),80.0)</f>
        <v>80</v>
      </c>
      <c r="E3444" s="2"/>
      <c r="F3444" s="2"/>
    </row>
    <row r="3445">
      <c r="A3445" s="2">
        <f>IFERROR(__xludf.DUMMYFUNCTION("""COMPUTED_VALUE"""),90008.0)</f>
        <v>90008</v>
      </c>
      <c r="B3445" s="2">
        <f>IFERROR(__xludf.DUMMYFUNCTION("""COMPUTED_VALUE"""),0.0)</f>
        <v>0</v>
      </c>
      <c r="C3445" s="2">
        <f>IFERROR(__xludf.DUMMYFUNCTION("""COMPUTED_VALUE"""),695.0)</f>
        <v>695</v>
      </c>
      <c r="D3445" s="3">
        <f>IFERROR(__xludf.DUMMYFUNCTION("""COMPUTED_VALUE"""),549.0)</f>
        <v>549</v>
      </c>
      <c r="E3445" s="2"/>
      <c r="F3445" s="2"/>
    </row>
    <row r="3446">
      <c r="A3446" s="2">
        <f>IFERROR(__xludf.DUMMYFUNCTION("""COMPUTED_VALUE"""),71768.0)</f>
        <v>71768</v>
      </c>
      <c r="B3446" s="2">
        <f>IFERROR(__xludf.DUMMYFUNCTION("""COMPUTED_VALUE"""),1.0)</f>
        <v>1</v>
      </c>
      <c r="C3446" s="2">
        <f>IFERROR(__xludf.DUMMYFUNCTION("""COMPUTED_VALUE"""),856.0)</f>
        <v>856</v>
      </c>
      <c r="D3446" s="3">
        <f>IFERROR(__xludf.DUMMYFUNCTION("""COMPUTED_VALUE"""),472.0)</f>
        <v>472</v>
      </c>
      <c r="E3446" s="2"/>
      <c r="F3446" s="2"/>
    </row>
    <row r="3447">
      <c r="A3447" s="2">
        <f>IFERROR(__xludf.DUMMYFUNCTION("""COMPUTED_VALUE"""),86972.0)</f>
        <v>86972</v>
      </c>
      <c r="B3447" s="2">
        <f>IFERROR(__xludf.DUMMYFUNCTION("""COMPUTED_VALUE"""),1.0)</f>
        <v>1</v>
      </c>
      <c r="C3447" s="2">
        <f>IFERROR(__xludf.DUMMYFUNCTION("""COMPUTED_VALUE"""),554.0)</f>
        <v>554</v>
      </c>
      <c r="D3447" s="3">
        <f>IFERROR(__xludf.DUMMYFUNCTION("""COMPUTED_VALUE"""),391.0)</f>
        <v>391</v>
      </c>
      <c r="E3447" s="2"/>
      <c r="F3447" s="2"/>
    </row>
    <row r="3448">
      <c r="A3448" s="2">
        <f>IFERROR(__xludf.DUMMYFUNCTION("""COMPUTED_VALUE"""),111179.0)</f>
        <v>111179</v>
      </c>
      <c r="B3448" s="2">
        <f>IFERROR(__xludf.DUMMYFUNCTION("""COMPUTED_VALUE"""),0.0)</f>
        <v>0</v>
      </c>
      <c r="C3448" s="2">
        <f>IFERROR(__xludf.DUMMYFUNCTION("""COMPUTED_VALUE"""),591.0)</f>
        <v>591</v>
      </c>
      <c r="D3448" s="3">
        <f>IFERROR(__xludf.DUMMYFUNCTION("""COMPUTED_VALUE"""),131.0)</f>
        <v>131</v>
      </c>
      <c r="E3448" s="2"/>
      <c r="F3448" s="2"/>
    </row>
    <row r="3449">
      <c r="A3449" s="2">
        <f>IFERROR(__xludf.DUMMYFUNCTION("""COMPUTED_VALUE"""),81726.0)</f>
        <v>81726</v>
      </c>
      <c r="B3449" s="2">
        <f>IFERROR(__xludf.DUMMYFUNCTION("""COMPUTED_VALUE"""),0.0)</f>
        <v>0</v>
      </c>
      <c r="C3449" s="2">
        <f>IFERROR(__xludf.DUMMYFUNCTION("""COMPUTED_VALUE"""),817.0)</f>
        <v>817</v>
      </c>
      <c r="D3449" s="3">
        <f>IFERROR(__xludf.DUMMYFUNCTION("""COMPUTED_VALUE"""),81.0)</f>
        <v>81</v>
      </c>
      <c r="E3449" s="2"/>
      <c r="F3449" s="2"/>
    </row>
    <row r="3450">
      <c r="A3450" s="2">
        <f>IFERROR(__xludf.DUMMYFUNCTION("""COMPUTED_VALUE"""),28535.0)</f>
        <v>28535</v>
      </c>
      <c r="B3450" s="2">
        <f>IFERROR(__xludf.DUMMYFUNCTION("""COMPUTED_VALUE"""),1.0)</f>
        <v>1</v>
      </c>
      <c r="C3450" s="2">
        <f>IFERROR(__xludf.DUMMYFUNCTION("""COMPUTED_VALUE"""),779.0)</f>
        <v>779</v>
      </c>
      <c r="D3450" s="3">
        <f>IFERROR(__xludf.DUMMYFUNCTION("""COMPUTED_VALUE"""),747.0)</f>
        <v>747</v>
      </c>
      <c r="E3450" s="2"/>
      <c r="F3450" s="2"/>
    </row>
    <row r="3451">
      <c r="A3451" s="2">
        <f>IFERROR(__xludf.DUMMYFUNCTION("""COMPUTED_VALUE"""),80682.0)</f>
        <v>80682</v>
      </c>
      <c r="B3451" s="2">
        <f>IFERROR(__xludf.DUMMYFUNCTION("""COMPUTED_VALUE"""),0.0)</f>
        <v>0</v>
      </c>
      <c r="C3451" s="2">
        <f>IFERROR(__xludf.DUMMYFUNCTION("""COMPUTED_VALUE"""),845.0)</f>
        <v>845</v>
      </c>
      <c r="D3451" s="3">
        <f>IFERROR(__xludf.DUMMYFUNCTION("""COMPUTED_VALUE"""),483.0)</f>
        <v>483</v>
      </c>
      <c r="E3451" s="2"/>
      <c r="F3451" s="2"/>
    </row>
    <row r="3452">
      <c r="A3452" s="2">
        <f>IFERROR(__xludf.DUMMYFUNCTION("""COMPUTED_VALUE"""),144008.0)</f>
        <v>144008</v>
      </c>
      <c r="B3452" s="2">
        <f>IFERROR(__xludf.DUMMYFUNCTION("""COMPUTED_VALUE"""),0.0)</f>
        <v>0</v>
      </c>
      <c r="C3452" s="2">
        <f>IFERROR(__xludf.DUMMYFUNCTION("""COMPUTED_VALUE"""),943.0)</f>
        <v>943</v>
      </c>
      <c r="D3452" s="3">
        <f>IFERROR(__xludf.DUMMYFUNCTION("""COMPUTED_VALUE"""),348.0)</f>
        <v>348</v>
      </c>
      <c r="E3452" s="2"/>
      <c r="F3452" s="2"/>
    </row>
    <row r="3453">
      <c r="A3453" s="2">
        <f>IFERROR(__xludf.DUMMYFUNCTION("""COMPUTED_VALUE"""),111129.0)</f>
        <v>111129</v>
      </c>
      <c r="B3453" s="2">
        <f>IFERROR(__xludf.DUMMYFUNCTION("""COMPUTED_VALUE"""),1.0)</f>
        <v>1</v>
      </c>
      <c r="C3453" s="2">
        <f>IFERROR(__xludf.DUMMYFUNCTION("""COMPUTED_VALUE"""),807.0)</f>
        <v>807</v>
      </c>
      <c r="D3453" s="3">
        <f>IFERROR(__xludf.DUMMYFUNCTION("""COMPUTED_VALUE"""),276.0)</f>
        <v>276</v>
      </c>
      <c r="E3453" s="2"/>
      <c r="F3453" s="2"/>
    </row>
    <row r="3454">
      <c r="A3454" s="2">
        <f>IFERROR(__xludf.DUMMYFUNCTION("""COMPUTED_VALUE"""),107307.0)</f>
        <v>107307</v>
      </c>
      <c r="B3454" s="2">
        <f>IFERROR(__xludf.DUMMYFUNCTION("""COMPUTED_VALUE"""),1.0)</f>
        <v>1</v>
      </c>
      <c r="C3454" s="2">
        <f>IFERROR(__xludf.DUMMYFUNCTION("""COMPUTED_VALUE"""),588.0)</f>
        <v>588</v>
      </c>
      <c r="D3454" s="3">
        <f>IFERROR(__xludf.DUMMYFUNCTION("""COMPUTED_VALUE"""),336.0)</f>
        <v>336</v>
      </c>
      <c r="E3454" s="2"/>
      <c r="F3454" s="2"/>
    </row>
    <row r="3455">
      <c r="A3455" s="2">
        <f>IFERROR(__xludf.DUMMYFUNCTION("""COMPUTED_VALUE"""),70206.0)</f>
        <v>70206</v>
      </c>
      <c r="B3455" s="2">
        <f>IFERROR(__xludf.DUMMYFUNCTION("""COMPUTED_VALUE"""),0.0)</f>
        <v>0</v>
      </c>
      <c r="C3455" s="2">
        <f>IFERROR(__xludf.DUMMYFUNCTION("""COMPUTED_VALUE"""),852.0)</f>
        <v>852</v>
      </c>
      <c r="D3455" s="3">
        <f>IFERROR(__xludf.DUMMYFUNCTION("""COMPUTED_VALUE"""),823.0)</f>
        <v>823</v>
      </c>
      <c r="E3455" s="2"/>
      <c r="F3455" s="2"/>
    </row>
    <row r="3456">
      <c r="A3456" s="2">
        <f>IFERROR(__xludf.DUMMYFUNCTION("""COMPUTED_VALUE"""),107349.0)</f>
        <v>107349</v>
      </c>
      <c r="B3456" s="2">
        <f>IFERROR(__xludf.DUMMYFUNCTION("""COMPUTED_VALUE"""),0.0)</f>
        <v>0</v>
      </c>
      <c r="C3456" s="2">
        <f>IFERROR(__xludf.DUMMYFUNCTION("""COMPUTED_VALUE"""),442.0)</f>
        <v>442</v>
      </c>
      <c r="D3456" s="3">
        <f>IFERROR(__xludf.DUMMYFUNCTION("""COMPUTED_VALUE"""),139.0)</f>
        <v>139</v>
      </c>
      <c r="E3456" s="2"/>
      <c r="F3456" s="2"/>
    </row>
    <row r="3457">
      <c r="A3457" s="2">
        <f>IFERROR(__xludf.DUMMYFUNCTION("""COMPUTED_VALUE"""),122231.0)</f>
        <v>122231</v>
      </c>
      <c r="B3457" s="2">
        <f>IFERROR(__xludf.DUMMYFUNCTION("""COMPUTED_VALUE"""),0.0)</f>
        <v>0</v>
      </c>
      <c r="C3457" s="2">
        <f>IFERROR(__xludf.DUMMYFUNCTION("""COMPUTED_VALUE"""),11.0)</f>
        <v>11</v>
      </c>
      <c r="D3457" s="3">
        <f>IFERROR(__xludf.DUMMYFUNCTION("""COMPUTED_VALUE"""),4.0)</f>
        <v>4</v>
      </c>
      <c r="E3457" s="2"/>
      <c r="F3457" s="2"/>
    </row>
    <row r="3458">
      <c r="A3458" s="2">
        <f>IFERROR(__xludf.DUMMYFUNCTION("""COMPUTED_VALUE"""),103458.0)</f>
        <v>103458</v>
      </c>
      <c r="B3458" s="2">
        <f>IFERROR(__xludf.DUMMYFUNCTION("""COMPUTED_VALUE"""),0.0)</f>
        <v>0</v>
      </c>
      <c r="C3458" s="2">
        <f>IFERROR(__xludf.DUMMYFUNCTION("""COMPUTED_VALUE"""),978.0)</f>
        <v>978</v>
      </c>
      <c r="D3458" s="3">
        <f>IFERROR(__xludf.DUMMYFUNCTION("""COMPUTED_VALUE"""),19.0)</f>
        <v>19</v>
      </c>
      <c r="E3458" s="2"/>
      <c r="F3458" s="2"/>
    </row>
    <row r="3459">
      <c r="A3459" s="2">
        <f>IFERROR(__xludf.DUMMYFUNCTION("""COMPUTED_VALUE"""),71838.0)</f>
        <v>71838</v>
      </c>
      <c r="B3459" s="2">
        <f>IFERROR(__xludf.DUMMYFUNCTION("""COMPUTED_VALUE"""),0.0)</f>
        <v>0</v>
      </c>
      <c r="C3459" s="2">
        <f>IFERROR(__xludf.DUMMYFUNCTION("""COMPUTED_VALUE"""),857.0)</f>
        <v>857</v>
      </c>
      <c r="D3459" s="3">
        <f>IFERROR(__xludf.DUMMYFUNCTION("""COMPUTED_VALUE"""),179.0)</f>
        <v>179</v>
      </c>
      <c r="E3459" s="2"/>
      <c r="F3459" s="2"/>
    </row>
    <row r="3460">
      <c r="A3460" s="2">
        <f>IFERROR(__xludf.DUMMYFUNCTION("""COMPUTED_VALUE"""),104671.0)</f>
        <v>104671</v>
      </c>
      <c r="B3460" s="2">
        <f>IFERROR(__xludf.DUMMYFUNCTION("""COMPUTED_VALUE"""),1.0)</f>
        <v>1</v>
      </c>
      <c r="C3460" s="2">
        <f>IFERROR(__xludf.DUMMYFUNCTION("""COMPUTED_VALUE"""),648.0)</f>
        <v>648</v>
      </c>
      <c r="D3460" s="3">
        <f>IFERROR(__xludf.DUMMYFUNCTION("""COMPUTED_VALUE"""),42.0)</f>
        <v>42</v>
      </c>
      <c r="E3460" s="2"/>
      <c r="F3460" s="2"/>
    </row>
    <row r="3461">
      <c r="A3461" s="2">
        <f>IFERROR(__xludf.DUMMYFUNCTION("""COMPUTED_VALUE"""),83793.0)</f>
        <v>83793</v>
      </c>
      <c r="B3461" s="2">
        <f>IFERROR(__xludf.DUMMYFUNCTION("""COMPUTED_VALUE"""),1.0)</f>
        <v>1</v>
      </c>
      <c r="C3461" s="2">
        <f>IFERROR(__xludf.DUMMYFUNCTION("""COMPUTED_VALUE"""),778.0)</f>
        <v>778</v>
      </c>
      <c r="D3461" s="3">
        <f>IFERROR(__xludf.DUMMYFUNCTION("""COMPUTED_VALUE"""),400.0)</f>
        <v>400</v>
      </c>
      <c r="E3461" s="2"/>
      <c r="F3461" s="2"/>
    </row>
    <row r="3462">
      <c r="A3462" s="2">
        <f>IFERROR(__xludf.DUMMYFUNCTION("""COMPUTED_VALUE"""),50478.0)</f>
        <v>50478</v>
      </c>
      <c r="B3462" s="2">
        <f>IFERROR(__xludf.DUMMYFUNCTION("""COMPUTED_VALUE"""),0.0)</f>
        <v>0</v>
      </c>
      <c r="C3462" s="2">
        <f>IFERROR(__xludf.DUMMYFUNCTION("""COMPUTED_VALUE"""),380.0)</f>
        <v>380</v>
      </c>
      <c r="D3462" s="3">
        <f>IFERROR(__xludf.DUMMYFUNCTION("""COMPUTED_VALUE"""),49.0)</f>
        <v>49</v>
      </c>
      <c r="E3462" s="2"/>
      <c r="F3462" s="2"/>
    </row>
    <row r="3463">
      <c r="A3463" s="2">
        <f>IFERROR(__xludf.DUMMYFUNCTION("""COMPUTED_VALUE"""),118891.0)</f>
        <v>118891</v>
      </c>
      <c r="B3463" s="2">
        <f>IFERROR(__xludf.DUMMYFUNCTION("""COMPUTED_VALUE"""),0.0)</f>
        <v>0</v>
      </c>
      <c r="C3463" s="2">
        <f>IFERROR(__xludf.DUMMYFUNCTION("""COMPUTED_VALUE"""),420.0)</f>
        <v>420</v>
      </c>
      <c r="D3463" s="3">
        <f>IFERROR(__xludf.DUMMYFUNCTION("""COMPUTED_VALUE"""),170.0)</f>
        <v>170</v>
      </c>
      <c r="E3463" s="2"/>
      <c r="F3463" s="2"/>
    </row>
    <row r="3464">
      <c r="A3464" s="2">
        <f>IFERROR(__xludf.DUMMYFUNCTION("""COMPUTED_VALUE"""),70440.0)</f>
        <v>70440</v>
      </c>
      <c r="B3464" s="2">
        <f>IFERROR(__xludf.DUMMYFUNCTION("""COMPUTED_VALUE"""),0.0)</f>
        <v>0</v>
      </c>
      <c r="C3464" s="2">
        <f>IFERROR(__xludf.DUMMYFUNCTION("""COMPUTED_VALUE"""),361.0)</f>
        <v>361</v>
      </c>
      <c r="D3464" s="3">
        <f>IFERROR(__xludf.DUMMYFUNCTION("""COMPUTED_VALUE"""),339.0)</f>
        <v>339</v>
      </c>
      <c r="E3464" s="2"/>
      <c r="F3464" s="2"/>
    </row>
    <row r="3465">
      <c r="A3465" s="2">
        <f>IFERROR(__xludf.DUMMYFUNCTION("""COMPUTED_VALUE"""),44840.0)</f>
        <v>44840</v>
      </c>
      <c r="B3465" s="2">
        <f>IFERROR(__xludf.DUMMYFUNCTION("""COMPUTED_VALUE"""),1.0)</f>
        <v>1</v>
      </c>
      <c r="C3465" s="2">
        <f>IFERROR(__xludf.DUMMYFUNCTION("""COMPUTED_VALUE"""),247.0)</f>
        <v>247</v>
      </c>
      <c r="D3465" s="3">
        <f>IFERROR(__xludf.DUMMYFUNCTION("""COMPUTED_VALUE"""),188.0)</f>
        <v>188</v>
      </c>
      <c r="E3465" s="2"/>
      <c r="F3465" s="2"/>
    </row>
    <row r="3466">
      <c r="A3466" s="2">
        <f>IFERROR(__xludf.DUMMYFUNCTION("""COMPUTED_VALUE"""),107304.0)</f>
        <v>107304</v>
      </c>
      <c r="B3466" s="2">
        <f>IFERROR(__xludf.DUMMYFUNCTION("""COMPUTED_VALUE"""),0.0)</f>
        <v>0</v>
      </c>
      <c r="C3466" s="2">
        <f>IFERROR(__xludf.DUMMYFUNCTION("""COMPUTED_VALUE"""),97.0)</f>
        <v>97</v>
      </c>
      <c r="D3466" s="3">
        <f>IFERROR(__xludf.DUMMYFUNCTION("""COMPUTED_VALUE"""),12.0)</f>
        <v>12</v>
      </c>
      <c r="E3466" s="2"/>
      <c r="F3466" s="2"/>
    </row>
    <row r="3467">
      <c r="A3467" s="2">
        <f>IFERROR(__xludf.DUMMYFUNCTION("""COMPUTED_VALUE"""),116195.0)</f>
        <v>116195</v>
      </c>
      <c r="B3467" s="2">
        <f>IFERROR(__xludf.DUMMYFUNCTION("""COMPUTED_VALUE"""),1.0)</f>
        <v>1</v>
      </c>
      <c r="C3467" s="2">
        <f>IFERROR(__xludf.DUMMYFUNCTION("""COMPUTED_VALUE"""),432.0)</f>
        <v>432</v>
      </c>
      <c r="D3467" s="3">
        <f>IFERROR(__xludf.DUMMYFUNCTION("""COMPUTED_VALUE"""),221.0)</f>
        <v>221</v>
      </c>
      <c r="E3467" s="2"/>
      <c r="F3467" s="2"/>
    </row>
    <row r="3468">
      <c r="A3468" s="2">
        <f>IFERROR(__xludf.DUMMYFUNCTION("""COMPUTED_VALUE"""),86980.0)</f>
        <v>86980</v>
      </c>
      <c r="B3468" s="2">
        <f>IFERROR(__xludf.DUMMYFUNCTION("""COMPUTED_VALUE"""),1.0)</f>
        <v>1</v>
      </c>
      <c r="C3468" s="2">
        <f>IFERROR(__xludf.DUMMYFUNCTION("""COMPUTED_VALUE"""),535.0)</f>
        <v>535</v>
      </c>
      <c r="D3468" s="3">
        <f>IFERROR(__xludf.DUMMYFUNCTION("""COMPUTED_VALUE"""),45.0)</f>
        <v>45</v>
      </c>
      <c r="E3468" s="2"/>
      <c r="F3468" s="2"/>
    </row>
    <row r="3469">
      <c r="A3469" s="2">
        <f>IFERROR(__xludf.DUMMYFUNCTION("""COMPUTED_VALUE"""),122230.0)</f>
        <v>122230</v>
      </c>
      <c r="B3469" s="2">
        <f>IFERROR(__xludf.DUMMYFUNCTION("""COMPUTED_VALUE"""),0.0)</f>
        <v>0</v>
      </c>
      <c r="C3469" s="2">
        <f>IFERROR(__xludf.DUMMYFUNCTION("""COMPUTED_VALUE"""),14.0)</f>
        <v>14</v>
      </c>
      <c r="D3469" s="3">
        <f>IFERROR(__xludf.DUMMYFUNCTION("""COMPUTED_VALUE"""),2.0)</f>
        <v>2</v>
      </c>
      <c r="E3469" s="2"/>
      <c r="F3469" s="2"/>
    </row>
    <row r="3470">
      <c r="A3470" s="2">
        <f>IFERROR(__xludf.DUMMYFUNCTION("""COMPUTED_VALUE"""),47602.0)</f>
        <v>47602</v>
      </c>
      <c r="B3470" s="2">
        <f>IFERROR(__xludf.DUMMYFUNCTION("""COMPUTED_VALUE"""),1.0)</f>
        <v>1</v>
      </c>
      <c r="C3470" s="2">
        <f>IFERROR(__xludf.DUMMYFUNCTION("""COMPUTED_VALUE"""),1.0)</f>
        <v>1</v>
      </c>
      <c r="D3470" s="3">
        <f>IFERROR(__xludf.DUMMYFUNCTION("""COMPUTED_VALUE"""),1.0)</f>
        <v>1</v>
      </c>
      <c r="E3470" s="2"/>
      <c r="F3470" s="2"/>
    </row>
    <row r="3471">
      <c r="A3471" s="2">
        <f>IFERROR(__xludf.DUMMYFUNCTION("""COMPUTED_VALUE"""),42190.0)</f>
        <v>42190</v>
      </c>
      <c r="B3471" s="2">
        <f>IFERROR(__xludf.DUMMYFUNCTION("""COMPUTED_VALUE"""),0.0)</f>
        <v>0</v>
      </c>
      <c r="C3471" s="2">
        <f>IFERROR(__xludf.DUMMYFUNCTION("""COMPUTED_VALUE"""),390.0)</f>
        <v>390</v>
      </c>
      <c r="D3471" s="3">
        <f>IFERROR(__xludf.DUMMYFUNCTION("""COMPUTED_VALUE"""),226.0)</f>
        <v>226</v>
      </c>
      <c r="E3471" s="2"/>
      <c r="F3471" s="2"/>
    </row>
    <row r="3472">
      <c r="A3472" s="2">
        <f>IFERROR(__xludf.DUMMYFUNCTION("""COMPUTED_VALUE"""),111130.0)</f>
        <v>111130</v>
      </c>
      <c r="B3472" s="2">
        <f>IFERROR(__xludf.DUMMYFUNCTION("""COMPUTED_VALUE"""),1.0)</f>
        <v>1</v>
      </c>
      <c r="C3472" s="2">
        <f>IFERROR(__xludf.DUMMYFUNCTION("""COMPUTED_VALUE"""),778.0)</f>
        <v>778</v>
      </c>
      <c r="D3472" s="3">
        <f>IFERROR(__xludf.DUMMYFUNCTION("""COMPUTED_VALUE"""),366.0)</f>
        <v>366</v>
      </c>
      <c r="E3472" s="2"/>
      <c r="F3472" s="2"/>
    </row>
    <row r="3473">
      <c r="A3473" s="2">
        <f>IFERROR(__xludf.DUMMYFUNCTION("""COMPUTED_VALUE"""),71774.0)</f>
        <v>71774</v>
      </c>
      <c r="B3473" s="2">
        <f>IFERROR(__xludf.DUMMYFUNCTION("""COMPUTED_VALUE"""),0.0)</f>
        <v>0</v>
      </c>
      <c r="C3473" s="2">
        <f>IFERROR(__xludf.DUMMYFUNCTION("""COMPUTED_VALUE"""),933.0)</f>
        <v>933</v>
      </c>
      <c r="D3473" s="3">
        <f>IFERROR(__xludf.DUMMYFUNCTION("""COMPUTED_VALUE"""),485.0)</f>
        <v>485</v>
      </c>
      <c r="E3473" s="2"/>
      <c r="F3473" s="2"/>
    </row>
    <row r="3474">
      <c r="A3474" s="2">
        <f>IFERROR(__xludf.DUMMYFUNCTION("""COMPUTED_VALUE"""),75010.0)</f>
        <v>75010</v>
      </c>
      <c r="B3474" s="2">
        <f>IFERROR(__xludf.DUMMYFUNCTION("""COMPUTED_VALUE"""),1.0)</f>
        <v>1</v>
      </c>
      <c r="C3474" s="2">
        <f>IFERROR(__xludf.DUMMYFUNCTION("""COMPUTED_VALUE"""),997.0)</f>
        <v>997</v>
      </c>
      <c r="D3474" s="3">
        <f>IFERROR(__xludf.DUMMYFUNCTION("""COMPUTED_VALUE"""),887.0)</f>
        <v>887</v>
      </c>
      <c r="E3474" s="2"/>
      <c r="F3474" s="2"/>
    </row>
    <row r="3475">
      <c r="A3475" s="2">
        <f>IFERROR(__xludf.DUMMYFUNCTION("""COMPUTED_VALUE"""),119276.0)</f>
        <v>119276</v>
      </c>
      <c r="B3475" s="2">
        <f>IFERROR(__xludf.DUMMYFUNCTION("""COMPUTED_VALUE"""),1.0)</f>
        <v>1</v>
      </c>
      <c r="C3475" s="2">
        <f>IFERROR(__xludf.DUMMYFUNCTION("""COMPUTED_VALUE"""),-1.0)</f>
        <v>-1</v>
      </c>
      <c r="D3475" s="3">
        <f>IFERROR(__xludf.DUMMYFUNCTION("""COMPUTED_VALUE"""),0.0)</f>
        <v>0</v>
      </c>
      <c r="E3475" s="2"/>
      <c r="F3475" s="2"/>
    </row>
    <row r="3476">
      <c r="A3476" s="2">
        <f>IFERROR(__xludf.DUMMYFUNCTION("""COMPUTED_VALUE"""),83789.0)</f>
        <v>83789</v>
      </c>
      <c r="B3476" s="2">
        <f>IFERROR(__xludf.DUMMYFUNCTION("""COMPUTED_VALUE"""),1.0)</f>
        <v>1</v>
      </c>
      <c r="C3476" s="2">
        <f>IFERROR(__xludf.DUMMYFUNCTION("""COMPUTED_VALUE"""),119.0)</f>
        <v>119</v>
      </c>
      <c r="D3476" s="3">
        <f>IFERROR(__xludf.DUMMYFUNCTION("""COMPUTED_VALUE"""),14.0)</f>
        <v>14</v>
      </c>
      <c r="E3476" s="2"/>
      <c r="F3476" s="2"/>
    </row>
    <row r="3477">
      <c r="A3477" s="2">
        <f>IFERROR(__xludf.DUMMYFUNCTION("""COMPUTED_VALUE"""),86999.0)</f>
        <v>86999</v>
      </c>
      <c r="B3477" s="2">
        <f>IFERROR(__xludf.DUMMYFUNCTION("""COMPUTED_VALUE"""),0.0)</f>
        <v>0</v>
      </c>
      <c r="C3477" s="2">
        <f>IFERROR(__xludf.DUMMYFUNCTION("""COMPUTED_VALUE"""),316.0)</f>
        <v>316</v>
      </c>
      <c r="D3477" s="3">
        <f>IFERROR(__xludf.DUMMYFUNCTION("""COMPUTED_VALUE"""),295.0)</f>
        <v>295</v>
      </c>
      <c r="E3477" s="2"/>
      <c r="F3477" s="2"/>
    </row>
    <row r="3478">
      <c r="A3478" s="2">
        <f>IFERROR(__xludf.DUMMYFUNCTION("""COMPUTED_VALUE"""),80678.0)</f>
        <v>80678</v>
      </c>
      <c r="B3478" s="2">
        <f>IFERROR(__xludf.DUMMYFUNCTION("""COMPUTED_VALUE"""),1.0)</f>
        <v>1</v>
      </c>
      <c r="C3478" s="2">
        <f>IFERROR(__xludf.DUMMYFUNCTION("""COMPUTED_VALUE"""),147.0)</f>
        <v>147</v>
      </c>
      <c r="D3478" s="3">
        <f>IFERROR(__xludf.DUMMYFUNCTION("""COMPUTED_VALUE"""),15.0)</f>
        <v>15</v>
      </c>
      <c r="E3478" s="2"/>
      <c r="F3478" s="2"/>
    </row>
    <row r="3479">
      <c r="A3479" s="2">
        <f>IFERROR(__xludf.DUMMYFUNCTION("""COMPUTED_VALUE"""),86973.0)</f>
        <v>86973</v>
      </c>
      <c r="B3479" s="2">
        <f>IFERROR(__xludf.DUMMYFUNCTION("""COMPUTED_VALUE"""),0.0)</f>
        <v>0</v>
      </c>
      <c r="C3479" s="2">
        <f>IFERROR(__xludf.DUMMYFUNCTION("""COMPUTED_VALUE"""),899.0)</f>
        <v>899</v>
      </c>
      <c r="D3479" s="3">
        <f>IFERROR(__xludf.DUMMYFUNCTION("""COMPUTED_VALUE"""),463.0)</f>
        <v>463</v>
      </c>
      <c r="E3479" s="2"/>
      <c r="F3479" s="2"/>
    </row>
    <row r="3480">
      <c r="A3480" s="2">
        <f>IFERROR(__xludf.DUMMYFUNCTION("""COMPUTED_VALUE"""),81724.0)</f>
        <v>81724</v>
      </c>
      <c r="B3480" s="2">
        <f>IFERROR(__xludf.DUMMYFUNCTION("""COMPUTED_VALUE"""),1.0)</f>
        <v>1</v>
      </c>
      <c r="C3480" s="2">
        <f>IFERROR(__xludf.DUMMYFUNCTION("""COMPUTED_VALUE"""),601.0)</f>
        <v>601</v>
      </c>
      <c r="D3480" s="3">
        <f>IFERROR(__xludf.DUMMYFUNCTION("""COMPUTED_VALUE"""),476.0)</f>
        <v>476</v>
      </c>
      <c r="E3480" s="2"/>
      <c r="F3480" s="2"/>
    </row>
    <row r="3481">
      <c r="A3481" s="2">
        <f>IFERROR(__xludf.DUMMYFUNCTION("""COMPUTED_VALUE"""),104678.0)</f>
        <v>104678</v>
      </c>
      <c r="B3481" s="2">
        <f>IFERROR(__xludf.DUMMYFUNCTION("""COMPUTED_VALUE"""),0.0)</f>
        <v>0</v>
      </c>
      <c r="C3481" s="2">
        <f>IFERROR(__xludf.DUMMYFUNCTION("""COMPUTED_VALUE"""),915.0)</f>
        <v>915</v>
      </c>
      <c r="D3481" s="3">
        <f>IFERROR(__xludf.DUMMYFUNCTION("""COMPUTED_VALUE"""),56.0)</f>
        <v>56</v>
      </c>
      <c r="E3481" s="2"/>
      <c r="F3481" s="2"/>
    </row>
    <row r="3482">
      <c r="A3482" s="2">
        <f>IFERROR(__xludf.DUMMYFUNCTION("""COMPUTED_VALUE"""),71844.0)</f>
        <v>71844</v>
      </c>
      <c r="B3482" s="2">
        <f>IFERROR(__xludf.DUMMYFUNCTION("""COMPUTED_VALUE"""),1.0)</f>
        <v>1</v>
      </c>
      <c r="C3482" s="2">
        <f>IFERROR(__xludf.DUMMYFUNCTION("""COMPUTED_VALUE"""),155.0)</f>
        <v>155</v>
      </c>
      <c r="D3482" s="3">
        <f>IFERROR(__xludf.DUMMYFUNCTION("""COMPUTED_VALUE"""),116.0)</f>
        <v>116</v>
      </c>
      <c r="E3482" s="2"/>
      <c r="F3482" s="2"/>
    </row>
    <row r="3483">
      <c r="A3483" s="2">
        <f>IFERROR(__xludf.DUMMYFUNCTION("""COMPUTED_VALUE"""),42287.0)</f>
        <v>42287</v>
      </c>
      <c r="B3483" s="2">
        <f>IFERROR(__xludf.DUMMYFUNCTION("""COMPUTED_VALUE"""),0.0)</f>
        <v>0</v>
      </c>
      <c r="C3483" s="2">
        <f>IFERROR(__xludf.DUMMYFUNCTION("""COMPUTED_VALUE"""),937.0)</f>
        <v>937</v>
      </c>
      <c r="D3483" s="3">
        <f>IFERROR(__xludf.DUMMYFUNCTION("""COMPUTED_VALUE"""),615.0)</f>
        <v>615</v>
      </c>
      <c r="E3483" s="2"/>
      <c r="F3483" s="2"/>
    </row>
    <row r="3484">
      <c r="A3484" s="2">
        <f>IFERROR(__xludf.DUMMYFUNCTION("""COMPUTED_VALUE"""),116678.0)</f>
        <v>116678</v>
      </c>
      <c r="B3484" s="2">
        <f>IFERROR(__xludf.DUMMYFUNCTION("""COMPUTED_VALUE"""),1.0)</f>
        <v>1</v>
      </c>
      <c r="C3484" s="2">
        <f>IFERROR(__xludf.DUMMYFUNCTION("""COMPUTED_VALUE"""),97.0)</f>
        <v>97</v>
      </c>
      <c r="D3484" s="3">
        <f>IFERROR(__xludf.DUMMYFUNCTION("""COMPUTED_VALUE"""),49.0)</f>
        <v>49</v>
      </c>
      <c r="E3484" s="2"/>
      <c r="F3484" s="2"/>
    </row>
    <row r="3485">
      <c r="A3485" s="2">
        <f>IFERROR(__xludf.DUMMYFUNCTION("""COMPUTED_VALUE"""),116845.0)</f>
        <v>116845</v>
      </c>
      <c r="B3485" s="2">
        <f>IFERROR(__xludf.DUMMYFUNCTION("""COMPUTED_VALUE"""),1.0)</f>
        <v>1</v>
      </c>
      <c r="C3485" s="2">
        <f>IFERROR(__xludf.DUMMYFUNCTION("""COMPUTED_VALUE"""),516.0)</f>
        <v>516</v>
      </c>
      <c r="D3485" s="3">
        <f>IFERROR(__xludf.DUMMYFUNCTION("""COMPUTED_VALUE"""),81.0)</f>
        <v>81</v>
      </c>
      <c r="E3485" s="2"/>
      <c r="F3485" s="2"/>
    </row>
    <row r="3486">
      <c r="A3486" s="2">
        <f>IFERROR(__xludf.DUMMYFUNCTION("""COMPUTED_VALUE"""),114252.0)</f>
        <v>114252</v>
      </c>
      <c r="B3486" s="2">
        <f>IFERROR(__xludf.DUMMYFUNCTION("""COMPUTED_VALUE"""),1.0)</f>
        <v>1</v>
      </c>
      <c r="C3486" s="2">
        <f>IFERROR(__xludf.DUMMYFUNCTION("""COMPUTED_VALUE"""),509.0)</f>
        <v>509</v>
      </c>
      <c r="D3486" s="3">
        <f>IFERROR(__xludf.DUMMYFUNCTION("""COMPUTED_VALUE"""),148.0)</f>
        <v>148</v>
      </c>
      <c r="E3486" s="2"/>
      <c r="F3486" s="2"/>
    </row>
    <row r="3487">
      <c r="A3487" s="2">
        <f>IFERROR(__xludf.DUMMYFUNCTION("""COMPUTED_VALUE"""),117595.0)</f>
        <v>117595</v>
      </c>
      <c r="B3487" s="2">
        <f>IFERROR(__xludf.DUMMYFUNCTION("""COMPUTED_VALUE"""),0.0)</f>
        <v>0</v>
      </c>
      <c r="C3487" s="2">
        <f>IFERROR(__xludf.DUMMYFUNCTION("""COMPUTED_VALUE"""),612.0)</f>
        <v>612</v>
      </c>
      <c r="D3487" s="3">
        <f>IFERROR(__xludf.DUMMYFUNCTION("""COMPUTED_VALUE"""),558.0)</f>
        <v>558</v>
      </c>
      <c r="E3487" s="2"/>
      <c r="F3487" s="2"/>
    </row>
    <row r="3488">
      <c r="A3488" s="2">
        <f>IFERROR(__xludf.DUMMYFUNCTION("""COMPUTED_VALUE"""),109579.0)</f>
        <v>109579</v>
      </c>
      <c r="B3488" s="2">
        <f>IFERROR(__xludf.DUMMYFUNCTION("""COMPUTED_VALUE"""),0.0)</f>
        <v>0</v>
      </c>
      <c r="C3488" s="2">
        <f>IFERROR(__xludf.DUMMYFUNCTION("""COMPUTED_VALUE"""),869.0)</f>
        <v>869</v>
      </c>
      <c r="D3488" s="3">
        <f>IFERROR(__xludf.DUMMYFUNCTION("""COMPUTED_VALUE"""),529.0)</f>
        <v>529</v>
      </c>
      <c r="E3488" s="2"/>
      <c r="F3488" s="2"/>
    </row>
    <row r="3489">
      <c r="A3489" s="2">
        <f>IFERROR(__xludf.DUMMYFUNCTION("""COMPUTED_VALUE"""),117597.0)</f>
        <v>117597</v>
      </c>
      <c r="B3489" s="2">
        <f>IFERROR(__xludf.DUMMYFUNCTION("""COMPUTED_VALUE"""),0.0)</f>
        <v>0</v>
      </c>
      <c r="C3489" s="2">
        <f>IFERROR(__xludf.DUMMYFUNCTION("""COMPUTED_VALUE"""),941.0)</f>
        <v>941</v>
      </c>
      <c r="D3489" s="3">
        <f>IFERROR(__xludf.DUMMYFUNCTION("""COMPUTED_VALUE"""),245.0)</f>
        <v>245</v>
      </c>
      <c r="E3489" s="2"/>
      <c r="F3489" s="2"/>
    </row>
    <row r="3490">
      <c r="A3490" s="2">
        <f>IFERROR(__xludf.DUMMYFUNCTION("""COMPUTED_VALUE"""),14401.0)</f>
        <v>14401</v>
      </c>
      <c r="B3490" s="2">
        <f>IFERROR(__xludf.DUMMYFUNCTION("""COMPUTED_VALUE"""),1.0)</f>
        <v>1</v>
      </c>
      <c r="C3490" s="2">
        <f>IFERROR(__xludf.DUMMYFUNCTION("""COMPUTED_VALUE"""),435.0)</f>
        <v>435</v>
      </c>
      <c r="D3490" s="3">
        <f>IFERROR(__xludf.DUMMYFUNCTION("""COMPUTED_VALUE"""),380.0)</f>
        <v>380</v>
      </c>
      <c r="E3490" s="2"/>
      <c r="F3490" s="2"/>
    </row>
    <row r="3491">
      <c r="A3491" s="2">
        <f>IFERROR(__xludf.DUMMYFUNCTION("""COMPUTED_VALUE"""),109290.0)</f>
        <v>109290</v>
      </c>
      <c r="B3491" s="2">
        <f>IFERROR(__xludf.DUMMYFUNCTION("""COMPUTED_VALUE"""),0.0)</f>
        <v>0</v>
      </c>
      <c r="C3491" s="2">
        <f>IFERROR(__xludf.DUMMYFUNCTION("""COMPUTED_VALUE"""),541.0)</f>
        <v>541</v>
      </c>
      <c r="D3491" s="3">
        <f>IFERROR(__xludf.DUMMYFUNCTION("""COMPUTED_VALUE"""),473.0)</f>
        <v>473</v>
      </c>
      <c r="E3491" s="2"/>
      <c r="F3491" s="2"/>
    </row>
    <row r="3492">
      <c r="A3492" s="2">
        <f>IFERROR(__xludf.DUMMYFUNCTION("""COMPUTED_VALUE"""),117665.0)</f>
        <v>117665</v>
      </c>
      <c r="B3492" s="2">
        <f>IFERROR(__xludf.DUMMYFUNCTION("""COMPUTED_VALUE"""),0.0)</f>
        <v>0</v>
      </c>
      <c r="C3492" s="2">
        <f>IFERROR(__xludf.DUMMYFUNCTION("""COMPUTED_VALUE"""),143.0)</f>
        <v>143</v>
      </c>
      <c r="D3492" s="3">
        <f>IFERROR(__xludf.DUMMYFUNCTION("""COMPUTED_VALUE"""),4.0)</f>
        <v>4</v>
      </c>
      <c r="E3492" s="2"/>
      <c r="F3492" s="2"/>
    </row>
    <row r="3493">
      <c r="A3493" s="2">
        <f>IFERROR(__xludf.DUMMYFUNCTION("""COMPUTED_VALUE"""),117681.0)</f>
        <v>117681</v>
      </c>
      <c r="B3493" s="2">
        <f>IFERROR(__xludf.DUMMYFUNCTION("""COMPUTED_VALUE"""),0.0)</f>
        <v>0</v>
      </c>
      <c r="C3493" s="2">
        <f>IFERROR(__xludf.DUMMYFUNCTION("""COMPUTED_VALUE"""),501.0)</f>
        <v>501</v>
      </c>
      <c r="D3493" s="3">
        <f>IFERROR(__xludf.DUMMYFUNCTION("""COMPUTED_VALUE"""),203.0)</f>
        <v>203</v>
      </c>
      <c r="E3493" s="2"/>
      <c r="F3493" s="2"/>
    </row>
    <row r="3494">
      <c r="A3494" s="2">
        <f>IFERROR(__xludf.DUMMYFUNCTION("""COMPUTED_VALUE"""),119406.0)</f>
        <v>119406</v>
      </c>
      <c r="B3494" s="2">
        <f>IFERROR(__xludf.DUMMYFUNCTION("""COMPUTED_VALUE"""),0.0)</f>
        <v>0</v>
      </c>
      <c r="C3494" s="2">
        <f>IFERROR(__xludf.DUMMYFUNCTION("""COMPUTED_VALUE"""),726.0)</f>
        <v>726</v>
      </c>
      <c r="D3494" s="3">
        <f>IFERROR(__xludf.DUMMYFUNCTION("""COMPUTED_VALUE"""),670.0)</f>
        <v>670</v>
      </c>
      <c r="E3494" s="2"/>
      <c r="F3494" s="2"/>
    </row>
    <row r="3495">
      <c r="A3495" s="2">
        <f>IFERROR(__xludf.DUMMYFUNCTION("""COMPUTED_VALUE"""),117676.0)</f>
        <v>117676</v>
      </c>
      <c r="B3495" s="2">
        <f>IFERROR(__xludf.DUMMYFUNCTION("""COMPUTED_VALUE"""),0.0)</f>
        <v>0</v>
      </c>
      <c r="C3495" s="2">
        <f>IFERROR(__xludf.DUMMYFUNCTION("""COMPUTED_VALUE"""),727.0)</f>
        <v>727</v>
      </c>
      <c r="D3495" s="3">
        <f>IFERROR(__xludf.DUMMYFUNCTION("""COMPUTED_VALUE"""),345.0)</f>
        <v>345</v>
      </c>
      <c r="E3495" s="2"/>
      <c r="F3495" s="2"/>
    </row>
    <row r="3496">
      <c r="A3496" s="2">
        <f>IFERROR(__xludf.DUMMYFUNCTION("""COMPUTED_VALUE"""),109571.0)</f>
        <v>109571</v>
      </c>
      <c r="B3496" s="2">
        <f>IFERROR(__xludf.DUMMYFUNCTION("""COMPUTED_VALUE"""),1.0)</f>
        <v>1</v>
      </c>
      <c r="C3496" s="2">
        <f>IFERROR(__xludf.DUMMYFUNCTION("""COMPUTED_VALUE"""),397.0)</f>
        <v>397</v>
      </c>
      <c r="D3496" s="3">
        <f>IFERROR(__xludf.DUMMYFUNCTION("""COMPUTED_VALUE"""),233.0)</f>
        <v>233</v>
      </c>
      <c r="E3496" s="2"/>
      <c r="F3496" s="2"/>
    </row>
    <row r="3497">
      <c r="A3497" s="2">
        <f>IFERROR(__xludf.DUMMYFUNCTION("""COMPUTED_VALUE"""),116676.0)</f>
        <v>116676</v>
      </c>
      <c r="B3497" s="2">
        <f>IFERROR(__xludf.DUMMYFUNCTION("""COMPUTED_VALUE"""),0.0)</f>
        <v>0</v>
      </c>
      <c r="C3497" s="2">
        <f>IFERROR(__xludf.DUMMYFUNCTION("""COMPUTED_VALUE"""),107.0)</f>
        <v>107</v>
      </c>
      <c r="D3497" s="3">
        <f>IFERROR(__xludf.DUMMYFUNCTION("""COMPUTED_VALUE"""),94.0)</f>
        <v>94</v>
      </c>
      <c r="E3497" s="2"/>
      <c r="F3497" s="2"/>
    </row>
    <row r="3498">
      <c r="A3498" s="2">
        <f>IFERROR(__xludf.DUMMYFUNCTION("""COMPUTED_VALUE"""),116816.0)</f>
        <v>116816</v>
      </c>
      <c r="B3498" s="2">
        <f>IFERROR(__xludf.DUMMYFUNCTION("""COMPUTED_VALUE"""),0.0)</f>
        <v>0</v>
      </c>
      <c r="C3498" s="2">
        <f>IFERROR(__xludf.DUMMYFUNCTION("""COMPUTED_VALUE"""),187.0)</f>
        <v>187</v>
      </c>
      <c r="D3498" s="3">
        <f>IFERROR(__xludf.DUMMYFUNCTION("""COMPUTED_VALUE"""),109.0)</f>
        <v>109</v>
      </c>
      <c r="E3498" s="2"/>
      <c r="F3498" s="2"/>
    </row>
    <row r="3499">
      <c r="A3499" s="2">
        <f>IFERROR(__xludf.DUMMYFUNCTION("""COMPUTED_VALUE"""),117663.0)</f>
        <v>117663</v>
      </c>
      <c r="B3499" s="2">
        <f>IFERROR(__xludf.DUMMYFUNCTION("""COMPUTED_VALUE"""),1.0)</f>
        <v>1</v>
      </c>
      <c r="C3499" s="2">
        <f>IFERROR(__xludf.DUMMYFUNCTION("""COMPUTED_VALUE"""),562.0)</f>
        <v>562</v>
      </c>
      <c r="D3499" s="3">
        <f>IFERROR(__xludf.DUMMYFUNCTION("""COMPUTED_VALUE"""),43.0)</f>
        <v>43</v>
      </c>
      <c r="E3499" s="2"/>
      <c r="F3499" s="2"/>
    </row>
    <row r="3500">
      <c r="A3500" s="2">
        <f>IFERROR(__xludf.DUMMYFUNCTION("""COMPUTED_VALUE"""),117652.0)</f>
        <v>117652</v>
      </c>
      <c r="B3500" s="2">
        <f>IFERROR(__xludf.DUMMYFUNCTION("""COMPUTED_VALUE"""),0.0)</f>
        <v>0</v>
      </c>
      <c r="C3500" s="2">
        <f>IFERROR(__xludf.DUMMYFUNCTION("""COMPUTED_VALUE"""),562.0)</f>
        <v>562</v>
      </c>
      <c r="D3500" s="3">
        <f>IFERROR(__xludf.DUMMYFUNCTION("""COMPUTED_VALUE"""),504.0)</f>
        <v>504</v>
      </c>
      <c r="E3500" s="2"/>
      <c r="F3500" s="2"/>
    </row>
    <row r="3501">
      <c r="A3501" s="2">
        <f>IFERROR(__xludf.DUMMYFUNCTION("""COMPUTED_VALUE"""),109289.0)</f>
        <v>109289</v>
      </c>
      <c r="B3501" s="2">
        <f>IFERROR(__xludf.DUMMYFUNCTION("""COMPUTED_VALUE"""),1.0)</f>
        <v>1</v>
      </c>
      <c r="C3501" s="2">
        <f>IFERROR(__xludf.DUMMYFUNCTION("""COMPUTED_VALUE"""),260.0)</f>
        <v>260</v>
      </c>
      <c r="D3501" s="3">
        <f>IFERROR(__xludf.DUMMYFUNCTION("""COMPUTED_VALUE"""),167.0)</f>
        <v>167</v>
      </c>
      <c r="E3501" s="2"/>
      <c r="F3501" s="2"/>
    </row>
    <row r="3502">
      <c r="A3502" s="2">
        <f>IFERROR(__xludf.DUMMYFUNCTION("""COMPUTED_VALUE"""),117656.0)</f>
        <v>117656</v>
      </c>
      <c r="B3502" s="2">
        <f>IFERROR(__xludf.DUMMYFUNCTION("""COMPUTED_VALUE"""),0.0)</f>
        <v>0</v>
      </c>
      <c r="C3502" s="2">
        <f>IFERROR(__xludf.DUMMYFUNCTION("""COMPUTED_VALUE"""),438.0)</f>
        <v>438</v>
      </c>
      <c r="D3502" s="3">
        <f>IFERROR(__xludf.DUMMYFUNCTION("""COMPUTED_VALUE"""),135.0)</f>
        <v>135</v>
      </c>
      <c r="E3502" s="2"/>
      <c r="F3502" s="2"/>
    </row>
    <row r="3503">
      <c r="A3503" s="2">
        <f>IFERROR(__xludf.DUMMYFUNCTION("""COMPUTED_VALUE"""),117677.0)</f>
        <v>117677</v>
      </c>
      <c r="B3503" s="2">
        <f>IFERROR(__xludf.DUMMYFUNCTION("""COMPUTED_VALUE"""),1.0)</f>
        <v>1</v>
      </c>
      <c r="C3503" s="2">
        <f>IFERROR(__xludf.DUMMYFUNCTION("""COMPUTED_VALUE"""),397.0)</f>
        <v>397</v>
      </c>
      <c r="D3503" s="3">
        <f>IFERROR(__xludf.DUMMYFUNCTION("""COMPUTED_VALUE"""),379.0)</f>
        <v>379</v>
      </c>
      <c r="E3503" s="2"/>
      <c r="F3503" s="2"/>
    </row>
    <row r="3504">
      <c r="A3504" s="2">
        <f>IFERROR(__xludf.DUMMYFUNCTION("""COMPUTED_VALUE"""),116677.0)</f>
        <v>116677</v>
      </c>
      <c r="B3504" s="2">
        <f>IFERROR(__xludf.DUMMYFUNCTION("""COMPUTED_VALUE"""),1.0)</f>
        <v>1</v>
      </c>
      <c r="C3504" s="2">
        <f>IFERROR(__xludf.DUMMYFUNCTION("""COMPUTED_VALUE"""),0.0)</f>
        <v>0</v>
      </c>
      <c r="D3504" s="3">
        <f>IFERROR(__xludf.DUMMYFUNCTION("""COMPUTED_VALUE"""),0.0)</f>
        <v>0</v>
      </c>
      <c r="E3504" s="2"/>
      <c r="F3504" s="2"/>
    </row>
    <row r="3505">
      <c r="A3505" s="2">
        <f>IFERROR(__xludf.DUMMYFUNCTION("""COMPUTED_VALUE"""),117256.0)</f>
        <v>117256</v>
      </c>
      <c r="B3505" s="2">
        <f>IFERROR(__xludf.DUMMYFUNCTION("""COMPUTED_VALUE"""),1.0)</f>
        <v>1</v>
      </c>
      <c r="C3505" s="2">
        <f>IFERROR(__xludf.DUMMYFUNCTION("""COMPUTED_VALUE"""),732.0)</f>
        <v>732</v>
      </c>
      <c r="D3505" s="3">
        <f>IFERROR(__xludf.DUMMYFUNCTION("""COMPUTED_VALUE"""),294.0)</f>
        <v>294</v>
      </c>
      <c r="E3505" s="2"/>
      <c r="F3505" s="2"/>
    </row>
    <row r="3506">
      <c r="A3506" s="2">
        <f>IFERROR(__xludf.DUMMYFUNCTION("""COMPUTED_VALUE"""),122738.0)</f>
        <v>122738</v>
      </c>
      <c r="B3506" s="2">
        <f>IFERROR(__xludf.DUMMYFUNCTION("""COMPUTED_VALUE"""),1.0)</f>
        <v>1</v>
      </c>
      <c r="C3506" s="2">
        <f>IFERROR(__xludf.DUMMYFUNCTION("""COMPUTED_VALUE"""),229.0)</f>
        <v>229</v>
      </c>
      <c r="D3506" s="3">
        <f>IFERROR(__xludf.DUMMYFUNCTION("""COMPUTED_VALUE"""),110.0)</f>
        <v>110</v>
      </c>
      <c r="E3506" s="2"/>
      <c r="F3506" s="2"/>
    </row>
    <row r="3507">
      <c r="A3507" s="2">
        <f>IFERROR(__xludf.DUMMYFUNCTION("""COMPUTED_VALUE"""),116679.0)</f>
        <v>116679</v>
      </c>
      <c r="B3507" s="2">
        <f>IFERROR(__xludf.DUMMYFUNCTION("""COMPUTED_VALUE"""),1.0)</f>
        <v>1</v>
      </c>
      <c r="C3507" s="2">
        <f>IFERROR(__xludf.DUMMYFUNCTION("""COMPUTED_VALUE"""),705.0)</f>
        <v>705</v>
      </c>
      <c r="D3507" s="3">
        <f>IFERROR(__xludf.DUMMYFUNCTION("""COMPUTED_VALUE"""),606.0)</f>
        <v>606</v>
      </c>
      <c r="E3507" s="2"/>
      <c r="F3507" s="2"/>
    </row>
    <row r="3508">
      <c r="A3508" s="2">
        <f>IFERROR(__xludf.DUMMYFUNCTION("""COMPUTED_VALUE"""),116831.0)</f>
        <v>116831</v>
      </c>
      <c r="B3508" s="2">
        <f>IFERROR(__xludf.DUMMYFUNCTION("""COMPUTED_VALUE"""),1.0)</f>
        <v>1</v>
      </c>
      <c r="C3508" s="2">
        <f>IFERROR(__xludf.DUMMYFUNCTION("""COMPUTED_VALUE"""),692.0)</f>
        <v>692</v>
      </c>
      <c r="D3508" s="3">
        <f>IFERROR(__xludf.DUMMYFUNCTION("""COMPUTED_VALUE"""),621.0)</f>
        <v>621</v>
      </c>
      <c r="E3508" s="2"/>
      <c r="F3508" s="2"/>
    </row>
    <row r="3509">
      <c r="A3509" s="2">
        <f>IFERROR(__xludf.DUMMYFUNCTION("""COMPUTED_VALUE"""),109577.0)</f>
        <v>109577</v>
      </c>
      <c r="B3509" s="2">
        <f>IFERROR(__xludf.DUMMYFUNCTION("""COMPUTED_VALUE"""),0.0)</f>
        <v>0</v>
      </c>
      <c r="C3509" s="2">
        <f>IFERROR(__xludf.DUMMYFUNCTION("""COMPUTED_VALUE"""),974.0)</f>
        <v>974</v>
      </c>
      <c r="D3509" s="3">
        <f>IFERROR(__xludf.DUMMYFUNCTION("""COMPUTED_VALUE"""),698.0)</f>
        <v>698</v>
      </c>
      <c r="E3509" s="2"/>
      <c r="F3509" s="2"/>
    </row>
    <row r="3510">
      <c r="A3510" s="2">
        <f>IFERROR(__xludf.DUMMYFUNCTION("""COMPUTED_VALUE"""),77790.0)</f>
        <v>77790</v>
      </c>
      <c r="B3510" s="2">
        <f>IFERROR(__xludf.DUMMYFUNCTION("""COMPUTED_VALUE"""),1.0)</f>
        <v>1</v>
      </c>
      <c r="C3510" s="2">
        <f>IFERROR(__xludf.DUMMYFUNCTION("""COMPUTED_VALUE"""),39.0)</f>
        <v>39</v>
      </c>
      <c r="D3510" s="3">
        <f>IFERROR(__xludf.DUMMYFUNCTION("""COMPUTED_VALUE"""),28.0)</f>
        <v>28</v>
      </c>
      <c r="E3510" s="2"/>
      <c r="F3510" s="2"/>
    </row>
    <row r="3511">
      <c r="A3511" s="2">
        <f>IFERROR(__xludf.DUMMYFUNCTION("""COMPUTED_VALUE"""),101172.0)</f>
        <v>101172</v>
      </c>
      <c r="B3511" s="2">
        <f>IFERROR(__xludf.DUMMYFUNCTION("""COMPUTED_VALUE"""),0.0)</f>
        <v>0</v>
      </c>
      <c r="C3511" s="2">
        <f>IFERROR(__xludf.DUMMYFUNCTION("""COMPUTED_VALUE"""),471.0)</f>
        <v>471</v>
      </c>
      <c r="D3511" s="3">
        <f>IFERROR(__xludf.DUMMYFUNCTION("""COMPUTED_VALUE"""),389.0)</f>
        <v>389</v>
      </c>
      <c r="E3511" s="2"/>
      <c r="F3511" s="2"/>
    </row>
    <row r="3512">
      <c r="A3512" s="2">
        <f>IFERROR(__xludf.DUMMYFUNCTION("""COMPUTED_VALUE"""),87023.0)</f>
        <v>87023</v>
      </c>
      <c r="B3512" s="2">
        <f>IFERROR(__xludf.DUMMYFUNCTION("""COMPUTED_VALUE"""),1.0)</f>
        <v>1</v>
      </c>
      <c r="C3512" s="2">
        <f>IFERROR(__xludf.DUMMYFUNCTION("""COMPUTED_VALUE"""),656.0)</f>
        <v>656</v>
      </c>
      <c r="D3512" s="3">
        <f>IFERROR(__xludf.DUMMYFUNCTION("""COMPUTED_VALUE"""),440.0)</f>
        <v>440</v>
      </c>
      <c r="E3512" s="2"/>
      <c r="F3512" s="2"/>
    </row>
    <row r="3513">
      <c r="A3513" s="2">
        <f>IFERROR(__xludf.DUMMYFUNCTION("""COMPUTED_VALUE"""),101520.0)</f>
        <v>101520</v>
      </c>
      <c r="B3513" s="2">
        <f>IFERROR(__xludf.DUMMYFUNCTION("""COMPUTED_VALUE"""),1.0)</f>
        <v>1</v>
      </c>
      <c r="C3513" s="2">
        <f>IFERROR(__xludf.DUMMYFUNCTION("""COMPUTED_VALUE"""),626.0)</f>
        <v>626</v>
      </c>
      <c r="D3513" s="3">
        <f>IFERROR(__xludf.DUMMYFUNCTION("""COMPUTED_VALUE"""),52.0)</f>
        <v>52</v>
      </c>
      <c r="E3513" s="2"/>
      <c r="F3513" s="2"/>
    </row>
    <row r="3514">
      <c r="A3514" s="2">
        <f>IFERROR(__xludf.DUMMYFUNCTION("""COMPUTED_VALUE"""),118362.0)</f>
        <v>118362</v>
      </c>
      <c r="B3514" s="2">
        <f>IFERROR(__xludf.DUMMYFUNCTION("""COMPUTED_VALUE"""),0.0)</f>
        <v>0</v>
      </c>
      <c r="C3514" s="2">
        <f>IFERROR(__xludf.DUMMYFUNCTION("""COMPUTED_VALUE"""),943.0)</f>
        <v>943</v>
      </c>
      <c r="D3514" s="3">
        <f>IFERROR(__xludf.DUMMYFUNCTION("""COMPUTED_VALUE"""),155.0)</f>
        <v>155</v>
      </c>
      <c r="E3514" s="2"/>
      <c r="F3514" s="2"/>
    </row>
    <row r="3515">
      <c r="A3515" s="2">
        <f>IFERROR(__xludf.DUMMYFUNCTION("""COMPUTED_VALUE"""),87313.0)</f>
        <v>87313</v>
      </c>
      <c r="B3515" s="2">
        <f>IFERROR(__xludf.DUMMYFUNCTION("""COMPUTED_VALUE"""),0.0)</f>
        <v>0</v>
      </c>
      <c r="C3515" s="2">
        <f>IFERROR(__xludf.DUMMYFUNCTION("""COMPUTED_VALUE"""),388.0)</f>
        <v>388</v>
      </c>
      <c r="D3515" s="3">
        <f>IFERROR(__xludf.DUMMYFUNCTION("""COMPUTED_VALUE"""),170.0)</f>
        <v>170</v>
      </c>
      <c r="E3515" s="2"/>
      <c r="F3515" s="2"/>
    </row>
    <row r="3516">
      <c r="A3516" s="2">
        <f>IFERROR(__xludf.DUMMYFUNCTION("""COMPUTED_VALUE"""),111015.0)</f>
        <v>111015</v>
      </c>
      <c r="B3516" s="2">
        <f>IFERROR(__xludf.DUMMYFUNCTION("""COMPUTED_VALUE"""),0.0)</f>
        <v>0</v>
      </c>
      <c r="C3516" s="2">
        <f>IFERROR(__xludf.DUMMYFUNCTION("""COMPUTED_VALUE"""),962.0)</f>
        <v>962</v>
      </c>
      <c r="D3516" s="3">
        <f>IFERROR(__xludf.DUMMYFUNCTION("""COMPUTED_VALUE"""),557.0)</f>
        <v>557</v>
      </c>
      <c r="E3516" s="2"/>
      <c r="F3516" s="2"/>
    </row>
    <row r="3517">
      <c r="A3517" s="2">
        <f>IFERROR(__xludf.DUMMYFUNCTION("""COMPUTED_VALUE"""),87312.0)</f>
        <v>87312</v>
      </c>
      <c r="B3517" s="2">
        <f>IFERROR(__xludf.DUMMYFUNCTION("""COMPUTED_VALUE"""),1.0)</f>
        <v>1</v>
      </c>
      <c r="C3517" s="2">
        <f>IFERROR(__xludf.DUMMYFUNCTION("""COMPUTED_VALUE"""),176.0)</f>
        <v>176</v>
      </c>
      <c r="D3517" s="3">
        <f>IFERROR(__xludf.DUMMYFUNCTION("""COMPUTED_VALUE"""),62.0)</f>
        <v>62</v>
      </c>
      <c r="E3517" s="2"/>
      <c r="F3517" s="2"/>
    </row>
    <row r="3518">
      <c r="A3518" s="2">
        <f>IFERROR(__xludf.DUMMYFUNCTION("""COMPUTED_VALUE"""),87025.0)</f>
        <v>87025</v>
      </c>
      <c r="B3518" s="2">
        <f>IFERROR(__xludf.DUMMYFUNCTION("""COMPUTED_VALUE"""),1.0)</f>
        <v>1</v>
      </c>
      <c r="C3518" s="2">
        <f>IFERROR(__xludf.DUMMYFUNCTION("""COMPUTED_VALUE"""),668.0)</f>
        <v>668</v>
      </c>
      <c r="D3518" s="3">
        <f>IFERROR(__xludf.DUMMYFUNCTION("""COMPUTED_VALUE"""),548.0)</f>
        <v>548</v>
      </c>
      <c r="E3518" s="2"/>
      <c r="F3518" s="2"/>
    </row>
    <row r="3519">
      <c r="A3519" s="2">
        <f>IFERROR(__xludf.DUMMYFUNCTION("""COMPUTED_VALUE"""),111587.0)</f>
        <v>111587</v>
      </c>
      <c r="B3519" s="2">
        <f>IFERROR(__xludf.DUMMYFUNCTION("""COMPUTED_VALUE"""),0.0)</f>
        <v>0</v>
      </c>
      <c r="C3519" s="2">
        <f>IFERROR(__xludf.DUMMYFUNCTION("""COMPUTED_VALUE"""),38.0)</f>
        <v>38</v>
      </c>
      <c r="D3519" s="3">
        <f>IFERROR(__xludf.DUMMYFUNCTION("""COMPUTED_VALUE"""),5.0)</f>
        <v>5</v>
      </c>
      <c r="E3519" s="2"/>
      <c r="F3519" s="2"/>
    </row>
    <row r="3520">
      <c r="A3520" s="2">
        <f>IFERROR(__xludf.DUMMYFUNCTION("""COMPUTED_VALUE"""),114934.0)</f>
        <v>114934</v>
      </c>
      <c r="B3520" s="2">
        <f>IFERROR(__xludf.DUMMYFUNCTION("""COMPUTED_VALUE"""),1.0)</f>
        <v>1</v>
      </c>
      <c r="C3520" s="2">
        <f>IFERROR(__xludf.DUMMYFUNCTION("""COMPUTED_VALUE"""),229.0)</f>
        <v>229</v>
      </c>
      <c r="D3520" s="3">
        <f>IFERROR(__xludf.DUMMYFUNCTION("""COMPUTED_VALUE"""),161.0)</f>
        <v>161</v>
      </c>
      <c r="E3520" s="2"/>
      <c r="F3520" s="2"/>
    </row>
    <row r="3521">
      <c r="A3521" s="2">
        <f>IFERROR(__xludf.DUMMYFUNCTION("""COMPUTED_VALUE"""),116519.0)</f>
        <v>116519</v>
      </c>
      <c r="B3521" s="2">
        <f>IFERROR(__xludf.DUMMYFUNCTION("""COMPUTED_VALUE"""),0.0)</f>
        <v>0</v>
      </c>
      <c r="C3521" s="2">
        <f>IFERROR(__xludf.DUMMYFUNCTION("""COMPUTED_VALUE"""),613.0)</f>
        <v>613</v>
      </c>
      <c r="D3521" s="3">
        <f>IFERROR(__xludf.DUMMYFUNCTION("""COMPUTED_VALUE"""),140.0)</f>
        <v>140</v>
      </c>
      <c r="E3521" s="2"/>
      <c r="F3521" s="2"/>
    </row>
    <row r="3522">
      <c r="A3522" s="2">
        <f>IFERROR(__xludf.DUMMYFUNCTION("""COMPUTED_VALUE"""),116516.0)</f>
        <v>116516</v>
      </c>
      <c r="B3522" s="2">
        <f>IFERROR(__xludf.DUMMYFUNCTION("""COMPUTED_VALUE"""),0.0)</f>
        <v>0</v>
      </c>
      <c r="C3522" s="2">
        <f>IFERROR(__xludf.DUMMYFUNCTION("""COMPUTED_VALUE"""),805.0)</f>
        <v>805</v>
      </c>
      <c r="D3522" s="3">
        <f>IFERROR(__xludf.DUMMYFUNCTION("""COMPUTED_VALUE"""),280.0)</f>
        <v>280</v>
      </c>
      <c r="E3522" s="2"/>
      <c r="F3522" s="2"/>
    </row>
    <row r="3523">
      <c r="A3523" s="2">
        <f>IFERROR(__xludf.DUMMYFUNCTION("""COMPUTED_VALUE"""),104931.0)</f>
        <v>104931</v>
      </c>
      <c r="B3523" s="2">
        <f>IFERROR(__xludf.DUMMYFUNCTION("""COMPUTED_VALUE"""),0.0)</f>
        <v>0</v>
      </c>
      <c r="C3523" s="2">
        <f>IFERROR(__xludf.DUMMYFUNCTION("""COMPUTED_VALUE"""),900.0)</f>
        <v>900</v>
      </c>
      <c r="D3523" s="3">
        <f>IFERROR(__xludf.DUMMYFUNCTION("""COMPUTED_VALUE"""),618.0)</f>
        <v>618</v>
      </c>
      <c r="E3523" s="2"/>
      <c r="F3523" s="2"/>
    </row>
    <row r="3524">
      <c r="A3524" s="2">
        <f>IFERROR(__xludf.DUMMYFUNCTION("""COMPUTED_VALUE"""),105656.0)</f>
        <v>105656</v>
      </c>
      <c r="B3524" s="2">
        <f>IFERROR(__xludf.DUMMYFUNCTION("""COMPUTED_VALUE"""),0.0)</f>
        <v>0</v>
      </c>
      <c r="C3524" s="2">
        <f>IFERROR(__xludf.DUMMYFUNCTION("""COMPUTED_VALUE"""),602.0)</f>
        <v>602</v>
      </c>
      <c r="D3524" s="3">
        <f>IFERROR(__xludf.DUMMYFUNCTION("""COMPUTED_VALUE"""),144.0)</f>
        <v>144</v>
      </c>
      <c r="E3524" s="2"/>
      <c r="F3524" s="2"/>
    </row>
    <row r="3525">
      <c r="A3525" s="2">
        <f>IFERROR(__xludf.DUMMYFUNCTION("""COMPUTED_VALUE"""),117702.0)</f>
        <v>117702</v>
      </c>
      <c r="B3525" s="2">
        <f>IFERROR(__xludf.DUMMYFUNCTION("""COMPUTED_VALUE"""),1.0)</f>
        <v>1</v>
      </c>
      <c r="C3525" s="2">
        <f>IFERROR(__xludf.DUMMYFUNCTION("""COMPUTED_VALUE"""),931.0)</f>
        <v>931</v>
      </c>
      <c r="D3525" s="3">
        <f>IFERROR(__xludf.DUMMYFUNCTION("""COMPUTED_VALUE"""),910.0)</f>
        <v>910</v>
      </c>
      <c r="E3525" s="2"/>
      <c r="F3525" s="2"/>
    </row>
    <row r="3526">
      <c r="A3526" s="2">
        <f>IFERROR(__xludf.DUMMYFUNCTION("""COMPUTED_VALUE"""),88385.0)</f>
        <v>88385</v>
      </c>
      <c r="B3526" s="2">
        <f>IFERROR(__xludf.DUMMYFUNCTION("""COMPUTED_VALUE"""),1.0)</f>
        <v>1</v>
      </c>
      <c r="C3526" s="2">
        <f>IFERROR(__xludf.DUMMYFUNCTION("""COMPUTED_VALUE"""),513.0)</f>
        <v>513</v>
      </c>
      <c r="D3526" s="3">
        <f>IFERROR(__xludf.DUMMYFUNCTION("""COMPUTED_VALUE"""),65.0)</f>
        <v>65</v>
      </c>
      <c r="E3526" s="2"/>
      <c r="F3526" s="2"/>
    </row>
    <row r="3527">
      <c r="A3527" s="2">
        <f>IFERROR(__xludf.DUMMYFUNCTION("""COMPUTED_VALUE"""),76451.0)</f>
        <v>76451</v>
      </c>
      <c r="B3527" s="2">
        <f>IFERROR(__xludf.DUMMYFUNCTION("""COMPUTED_VALUE"""),1.0)</f>
        <v>1</v>
      </c>
      <c r="C3527" s="2">
        <f>IFERROR(__xludf.DUMMYFUNCTION("""COMPUTED_VALUE"""),480.0)</f>
        <v>480</v>
      </c>
      <c r="D3527" s="3">
        <f>IFERROR(__xludf.DUMMYFUNCTION("""COMPUTED_VALUE"""),208.0)</f>
        <v>208</v>
      </c>
      <c r="E3527" s="2"/>
      <c r="F3527" s="2"/>
    </row>
    <row r="3528">
      <c r="A3528" s="2">
        <f>IFERROR(__xludf.DUMMYFUNCTION("""COMPUTED_VALUE"""),199950.0)</f>
        <v>199950</v>
      </c>
      <c r="B3528" s="2">
        <f>IFERROR(__xludf.DUMMYFUNCTION("""COMPUTED_VALUE"""),1.0)</f>
        <v>1</v>
      </c>
      <c r="C3528" s="2">
        <f>IFERROR(__xludf.DUMMYFUNCTION("""COMPUTED_VALUE"""),518.0)</f>
        <v>518</v>
      </c>
      <c r="D3528" s="3">
        <f>IFERROR(__xludf.DUMMYFUNCTION("""COMPUTED_VALUE"""),498.0)</f>
        <v>498</v>
      </c>
      <c r="E3528" s="2"/>
      <c r="F3528" s="2"/>
    </row>
    <row r="3529">
      <c r="A3529" s="2">
        <f>IFERROR(__xludf.DUMMYFUNCTION("""COMPUTED_VALUE"""),121167.0)</f>
        <v>121167</v>
      </c>
      <c r="B3529" s="2">
        <f>IFERROR(__xludf.DUMMYFUNCTION("""COMPUTED_VALUE"""),1.0)</f>
        <v>1</v>
      </c>
      <c r="C3529" s="2">
        <f>IFERROR(__xludf.DUMMYFUNCTION("""COMPUTED_VALUE"""),926.0)</f>
        <v>926</v>
      </c>
      <c r="D3529" s="3">
        <f>IFERROR(__xludf.DUMMYFUNCTION("""COMPUTED_VALUE"""),917.0)</f>
        <v>917</v>
      </c>
      <c r="E3529" s="2"/>
      <c r="F3529" s="2"/>
    </row>
    <row r="3530">
      <c r="A3530" s="2">
        <f>IFERROR(__xludf.DUMMYFUNCTION("""COMPUTED_VALUE"""),199954.0)</f>
        <v>199954</v>
      </c>
      <c r="B3530" s="2">
        <f>IFERROR(__xludf.DUMMYFUNCTION("""COMPUTED_VALUE"""),1.0)</f>
        <v>1</v>
      </c>
      <c r="C3530" s="2">
        <f>IFERROR(__xludf.DUMMYFUNCTION("""COMPUTED_VALUE"""),664.0)</f>
        <v>664</v>
      </c>
      <c r="D3530" s="3">
        <f>IFERROR(__xludf.DUMMYFUNCTION("""COMPUTED_VALUE"""),254.0)</f>
        <v>254</v>
      </c>
      <c r="E3530" s="2"/>
      <c r="F3530" s="2"/>
    </row>
    <row r="3531">
      <c r="A3531" s="2">
        <f>IFERROR(__xludf.DUMMYFUNCTION("""COMPUTED_VALUE"""),190713.0)</f>
        <v>190713</v>
      </c>
      <c r="B3531" s="2">
        <f>IFERROR(__xludf.DUMMYFUNCTION("""COMPUTED_VALUE"""),0.0)</f>
        <v>0</v>
      </c>
      <c r="C3531" s="2">
        <f>IFERROR(__xludf.DUMMYFUNCTION("""COMPUTED_VALUE"""),262.0)</f>
        <v>262</v>
      </c>
      <c r="D3531" s="3">
        <f>IFERROR(__xludf.DUMMYFUNCTION("""COMPUTED_VALUE"""),15.0)</f>
        <v>15</v>
      </c>
      <c r="E3531" s="2"/>
      <c r="F3531" s="2"/>
    </row>
    <row r="3532">
      <c r="A3532" s="2">
        <f>IFERROR(__xludf.DUMMYFUNCTION("""COMPUTED_VALUE"""),199951.0)</f>
        <v>199951</v>
      </c>
      <c r="B3532" s="2">
        <f>IFERROR(__xludf.DUMMYFUNCTION("""COMPUTED_VALUE"""),0.0)</f>
        <v>0</v>
      </c>
      <c r="C3532" s="2">
        <f>IFERROR(__xludf.DUMMYFUNCTION("""COMPUTED_VALUE"""),591.0)</f>
        <v>591</v>
      </c>
      <c r="D3532" s="3">
        <f>IFERROR(__xludf.DUMMYFUNCTION("""COMPUTED_VALUE"""),566.0)</f>
        <v>566</v>
      </c>
      <c r="E3532" s="2"/>
      <c r="F3532" s="2"/>
    </row>
    <row r="3533">
      <c r="A3533" s="2">
        <f>IFERROR(__xludf.DUMMYFUNCTION("""COMPUTED_VALUE"""),85263.0)</f>
        <v>85263</v>
      </c>
      <c r="B3533" s="2">
        <f>IFERROR(__xludf.DUMMYFUNCTION("""COMPUTED_VALUE"""),1.0)</f>
        <v>1</v>
      </c>
      <c r="C3533" s="2">
        <f>IFERROR(__xludf.DUMMYFUNCTION("""COMPUTED_VALUE"""),602.0)</f>
        <v>602</v>
      </c>
      <c r="D3533" s="3">
        <f>IFERROR(__xludf.DUMMYFUNCTION("""COMPUTED_VALUE"""),460.0)</f>
        <v>460</v>
      </c>
      <c r="E3533" s="2"/>
      <c r="F3533" s="2"/>
    </row>
    <row r="3534">
      <c r="A3534" s="2">
        <f>IFERROR(__xludf.DUMMYFUNCTION("""COMPUTED_VALUE"""),180016.0)</f>
        <v>180016</v>
      </c>
      <c r="B3534" s="2">
        <f>IFERROR(__xludf.DUMMYFUNCTION("""COMPUTED_VALUE"""),0.0)</f>
        <v>0</v>
      </c>
      <c r="C3534" s="2">
        <f>IFERROR(__xludf.DUMMYFUNCTION("""COMPUTED_VALUE"""),725.0)</f>
        <v>725</v>
      </c>
      <c r="D3534" s="3">
        <f>IFERROR(__xludf.DUMMYFUNCTION("""COMPUTED_VALUE"""),422.0)</f>
        <v>422</v>
      </c>
      <c r="E3534" s="2"/>
      <c r="F3534" s="2"/>
    </row>
    <row r="3535">
      <c r="A3535" s="2">
        <f>IFERROR(__xludf.DUMMYFUNCTION("""COMPUTED_VALUE"""),129432.0)</f>
        <v>129432</v>
      </c>
      <c r="B3535" s="2">
        <f>IFERROR(__xludf.DUMMYFUNCTION("""COMPUTED_VALUE"""),0.0)</f>
        <v>0</v>
      </c>
      <c r="C3535" s="2">
        <f>IFERROR(__xludf.DUMMYFUNCTION("""COMPUTED_VALUE"""),30.0)</f>
        <v>30</v>
      </c>
      <c r="D3535" s="3">
        <f>IFERROR(__xludf.DUMMYFUNCTION("""COMPUTED_VALUE"""),3.0)</f>
        <v>3</v>
      </c>
      <c r="E3535" s="2"/>
      <c r="F3535" s="2"/>
    </row>
    <row r="3536">
      <c r="A3536" s="2">
        <f>IFERROR(__xludf.DUMMYFUNCTION("""COMPUTED_VALUE"""),120052.0)</f>
        <v>120052</v>
      </c>
      <c r="B3536" s="2">
        <f>IFERROR(__xludf.DUMMYFUNCTION("""COMPUTED_VALUE"""),1.0)</f>
        <v>1</v>
      </c>
      <c r="C3536" s="2">
        <f>IFERROR(__xludf.DUMMYFUNCTION("""COMPUTED_VALUE"""),498.0)</f>
        <v>498</v>
      </c>
      <c r="D3536" s="3">
        <f>IFERROR(__xludf.DUMMYFUNCTION("""COMPUTED_VALUE"""),413.0)</f>
        <v>413</v>
      </c>
      <c r="E3536" s="2"/>
      <c r="F3536" s="2"/>
    </row>
    <row r="3537">
      <c r="A3537" s="2">
        <f>IFERROR(__xludf.DUMMYFUNCTION("""COMPUTED_VALUE"""),111876.0)</f>
        <v>111876</v>
      </c>
      <c r="B3537" s="2">
        <f>IFERROR(__xludf.DUMMYFUNCTION("""COMPUTED_VALUE"""),0.0)</f>
        <v>0</v>
      </c>
      <c r="C3537" s="2">
        <f>IFERROR(__xludf.DUMMYFUNCTION("""COMPUTED_VALUE"""),721.0)</f>
        <v>721</v>
      </c>
      <c r="D3537" s="3">
        <f>IFERROR(__xludf.DUMMYFUNCTION("""COMPUTED_VALUE"""),673.0)</f>
        <v>673</v>
      </c>
      <c r="E3537" s="2"/>
      <c r="F3537" s="2"/>
    </row>
    <row r="3538">
      <c r="A3538" s="2">
        <f>IFERROR(__xludf.DUMMYFUNCTION("""COMPUTED_VALUE"""),85092.0)</f>
        <v>85092</v>
      </c>
      <c r="B3538" s="2">
        <f>IFERROR(__xludf.DUMMYFUNCTION("""COMPUTED_VALUE"""),0.0)</f>
        <v>0</v>
      </c>
      <c r="C3538" s="2">
        <f>IFERROR(__xludf.DUMMYFUNCTION("""COMPUTED_VALUE"""),221.0)</f>
        <v>221</v>
      </c>
      <c r="D3538" s="3">
        <f>IFERROR(__xludf.DUMMYFUNCTION("""COMPUTED_VALUE"""),184.0)</f>
        <v>184</v>
      </c>
      <c r="E3538" s="2"/>
      <c r="F3538" s="2"/>
    </row>
    <row r="3539">
      <c r="A3539" s="2">
        <f>IFERROR(__xludf.DUMMYFUNCTION("""COMPUTED_VALUE"""),121046.0)</f>
        <v>121046</v>
      </c>
      <c r="B3539" s="2">
        <f>IFERROR(__xludf.DUMMYFUNCTION("""COMPUTED_VALUE"""),1.0)</f>
        <v>1</v>
      </c>
      <c r="C3539" s="2">
        <f>IFERROR(__xludf.DUMMYFUNCTION("""COMPUTED_VALUE"""),360.0)</f>
        <v>360</v>
      </c>
      <c r="D3539" s="3">
        <f>IFERROR(__xludf.DUMMYFUNCTION("""COMPUTED_VALUE"""),359.0)</f>
        <v>359</v>
      </c>
      <c r="E3539" s="2"/>
      <c r="F3539" s="2"/>
    </row>
    <row r="3540">
      <c r="A3540" s="2">
        <f>IFERROR(__xludf.DUMMYFUNCTION("""COMPUTED_VALUE"""),849.0)</f>
        <v>849</v>
      </c>
      <c r="B3540" s="2">
        <f>IFERROR(__xludf.DUMMYFUNCTION("""COMPUTED_VALUE"""),0.0)</f>
        <v>0</v>
      </c>
      <c r="C3540" s="2">
        <f>IFERROR(__xludf.DUMMYFUNCTION("""COMPUTED_VALUE"""),134.0)</f>
        <v>134</v>
      </c>
      <c r="D3540" s="3">
        <f>IFERROR(__xludf.DUMMYFUNCTION("""COMPUTED_VALUE"""),118.0)</f>
        <v>118</v>
      </c>
      <c r="E3540" s="2"/>
      <c r="F3540" s="2"/>
    </row>
    <row r="3541">
      <c r="A3541" s="2">
        <f>IFERROR(__xludf.DUMMYFUNCTION("""COMPUTED_VALUE"""),21662.0)</f>
        <v>21662</v>
      </c>
      <c r="B3541" s="2">
        <f>IFERROR(__xludf.DUMMYFUNCTION("""COMPUTED_VALUE"""),0.0)</f>
        <v>0</v>
      </c>
      <c r="C3541" s="2">
        <f>IFERROR(__xludf.DUMMYFUNCTION("""COMPUTED_VALUE"""),915.0)</f>
        <v>915</v>
      </c>
      <c r="D3541" s="3">
        <f>IFERROR(__xludf.DUMMYFUNCTION("""COMPUTED_VALUE"""),905.0)</f>
        <v>905</v>
      </c>
      <c r="E3541" s="2"/>
      <c r="F3541" s="2"/>
    </row>
    <row r="3542">
      <c r="A3542" s="2">
        <f>IFERROR(__xludf.DUMMYFUNCTION("""COMPUTED_VALUE"""),127038.0)</f>
        <v>127038</v>
      </c>
      <c r="B3542" s="2">
        <f>IFERROR(__xludf.DUMMYFUNCTION("""COMPUTED_VALUE"""),0.0)</f>
        <v>0</v>
      </c>
      <c r="C3542" s="2">
        <f>IFERROR(__xludf.DUMMYFUNCTION("""COMPUTED_VALUE"""),841.0)</f>
        <v>841</v>
      </c>
      <c r="D3542" s="3">
        <f>IFERROR(__xludf.DUMMYFUNCTION("""COMPUTED_VALUE"""),555.0)</f>
        <v>555</v>
      </c>
      <c r="E3542" s="2"/>
      <c r="F3542" s="2"/>
    </row>
    <row r="3543">
      <c r="A3543" s="2">
        <f>IFERROR(__xludf.DUMMYFUNCTION("""COMPUTED_VALUE"""),91954.0)</f>
        <v>91954</v>
      </c>
      <c r="B3543" s="2">
        <f>IFERROR(__xludf.DUMMYFUNCTION("""COMPUTED_VALUE"""),1.0)</f>
        <v>1</v>
      </c>
      <c r="C3543" s="2">
        <f>IFERROR(__xludf.DUMMYFUNCTION("""COMPUTED_VALUE"""),755.0)</f>
        <v>755</v>
      </c>
      <c r="D3543" s="3">
        <f>IFERROR(__xludf.DUMMYFUNCTION("""COMPUTED_VALUE"""),102.0)</f>
        <v>102</v>
      </c>
      <c r="E3543" s="2"/>
      <c r="F3543" s="2"/>
    </row>
    <row r="3544">
      <c r="A3544" s="2">
        <f>IFERROR(__xludf.DUMMYFUNCTION("""COMPUTED_VALUE"""),96365.0)</f>
        <v>96365</v>
      </c>
      <c r="B3544" s="2">
        <f>IFERROR(__xludf.DUMMYFUNCTION("""COMPUTED_VALUE"""),1.0)</f>
        <v>1</v>
      </c>
      <c r="C3544" s="2">
        <f>IFERROR(__xludf.DUMMYFUNCTION("""COMPUTED_VALUE"""),170.0)</f>
        <v>170</v>
      </c>
      <c r="D3544" s="3">
        <f>IFERROR(__xludf.DUMMYFUNCTION("""COMPUTED_VALUE"""),21.0)</f>
        <v>21</v>
      </c>
      <c r="E3544" s="2"/>
      <c r="F3544" s="2"/>
    </row>
    <row r="3545">
      <c r="A3545" s="2">
        <f>IFERROR(__xludf.DUMMYFUNCTION("""COMPUTED_VALUE"""),121172.0)</f>
        <v>121172</v>
      </c>
      <c r="B3545" s="2">
        <f>IFERROR(__xludf.DUMMYFUNCTION("""COMPUTED_VALUE"""),0.0)</f>
        <v>0</v>
      </c>
      <c r="C3545" s="2">
        <f>IFERROR(__xludf.DUMMYFUNCTION("""COMPUTED_VALUE"""),565.0)</f>
        <v>565</v>
      </c>
      <c r="D3545" s="3">
        <f>IFERROR(__xludf.DUMMYFUNCTION("""COMPUTED_VALUE"""),67.0)</f>
        <v>67</v>
      </c>
      <c r="E3545" s="2"/>
      <c r="F3545" s="2"/>
    </row>
    <row r="3546">
      <c r="A3546" s="2">
        <f>IFERROR(__xludf.DUMMYFUNCTION("""COMPUTED_VALUE"""),74331.0)</f>
        <v>74331</v>
      </c>
      <c r="B3546" s="2">
        <f>IFERROR(__xludf.DUMMYFUNCTION("""COMPUTED_VALUE"""),1.0)</f>
        <v>1</v>
      </c>
      <c r="C3546" s="2">
        <f>IFERROR(__xludf.DUMMYFUNCTION("""COMPUTED_VALUE"""),15.0)</f>
        <v>15</v>
      </c>
      <c r="D3546" s="3">
        <f>IFERROR(__xludf.DUMMYFUNCTION("""COMPUTED_VALUE"""),9.0)</f>
        <v>9</v>
      </c>
      <c r="E3546" s="2"/>
      <c r="F3546" s="2"/>
    </row>
    <row r="3547">
      <c r="A3547" s="2">
        <f>IFERROR(__xludf.DUMMYFUNCTION("""COMPUTED_VALUE"""),105657.0)</f>
        <v>105657</v>
      </c>
      <c r="B3547" s="2">
        <f>IFERROR(__xludf.DUMMYFUNCTION("""COMPUTED_VALUE"""),1.0)</f>
        <v>1</v>
      </c>
      <c r="C3547" s="2">
        <f>IFERROR(__xludf.DUMMYFUNCTION("""COMPUTED_VALUE"""),206.0)</f>
        <v>206</v>
      </c>
      <c r="D3547" s="3">
        <f>IFERROR(__xludf.DUMMYFUNCTION("""COMPUTED_VALUE"""),108.0)</f>
        <v>108</v>
      </c>
      <c r="E3547" s="2"/>
      <c r="F3547" s="2"/>
    </row>
    <row r="3548">
      <c r="A3548" s="2">
        <f>IFERROR(__xludf.DUMMYFUNCTION("""COMPUTED_VALUE"""),113716.0)</f>
        <v>113716</v>
      </c>
      <c r="B3548" s="2">
        <f>IFERROR(__xludf.DUMMYFUNCTION("""COMPUTED_VALUE"""),1.0)</f>
        <v>1</v>
      </c>
      <c r="C3548" s="2">
        <f>IFERROR(__xludf.DUMMYFUNCTION("""COMPUTED_VALUE"""),144.0)</f>
        <v>144</v>
      </c>
      <c r="D3548" s="3">
        <f>IFERROR(__xludf.DUMMYFUNCTION("""COMPUTED_VALUE"""),120.0)</f>
        <v>120</v>
      </c>
      <c r="E3548" s="2"/>
      <c r="F3548" s="2"/>
    </row>
    <row r="3549">
      <c r="A3549" s="2">
        <f>IFERROR(__xludf.DUMMYFUNCTION("""COMPUTED_VALUE"""),104510.0)</f>
        <v>104510</v>
      </c>
      <c r="B3549" s="2">
        <f>IFERROR(__xludf.DUMMYFUNCTION("""COMPUTED_VALUE"""),0.0)</f>
        <v>0</v>
      </c>
      <c r="C3549" s="2">
        <f>IFERROR(__xludf.DUMMYFUNCTION("""COMPUTED_VALUE"""),881.0)</f>
        <v>881</v>
      </c>
      <c r="D3549" s="3">
        <f>IFERROR(__xludf.DUMMYFUNCTION("""COMPUTED_VALUE"""),456.0)</f>
        <v>456</v>
      </c>
      <c r="E3549" s="2"/>
      <c r="F3549" s="2"/>
    </row>
    <row r="3550">
      <c r="A3550" s="2">
        <f>IFERROR(__xludf.DUMMYFUNCTION("""COMPUTED_VALUE"""),105059.0)</f>
        <v>105059</v>
      </c>
      <c r="B3550" s="2">
        <f>IFERROR(__xludf.DUMMYFUNCTION("""COMPUTED_VALUE"""),1.0)</f>
        <v>1</v>
      </c>
      <c r="C3550" s="2">
        <f>IFERROR(__xludf.DUMMYFUNCTION("""COMPUTED_VALUE"""),683.0)</f>
        <v>683</v>
      </c>
      <c r="D3550" s="3">
        <f>IFERROR(__xludf.DUMMYFUNCTION("""COMPUTED_VALUE"""),472.0)</f>
        <v>472</v>
      </c>
      <c r="E3550" s="2"/>
      <c r="F3550" s="2"/>
    </row>
    <row r="3551">
      <c r="A3551" s="2">
        <f>IFERROR(__xludf.DUMMYFUNCTION("""COMPUTED_VALUE"""),63608.0)</f>
        <v>63608</v>
      </c>
      <c r="B3551" s="2">
        <f>IFERROR(__xludf.DUMMYFUNCTION("""COMPUTED_VALUE"""),0.0)</f>
        <v>0</v>
      </c>
      <c r="C3551" s="2">
        <f>IFERROR(__xludf.DUMMYFUNCTION("""COMPUTED_VALUE"""),293.0)</f>
        <v>293</v>
      </c>
      <c r="D3551" s="3">
        <f>IFERROR(__xludf.DUMMYFUNCTION("""COMPUTED_VALUE"""),144.0)</f>
        <v>144</v>
      </c>
      <c r="E3551" s="2"/>
      <c r="F3551" s="2"/>
    </row>
    <row r="3552">
      <c r="A3552" s="2">
        <f>IFERROR(__xludf.DUMMYFUNCTION("""COMPUTED_VALUE"""),121095.0)</f>
        <v>121095</v>
      </c>
      <c r="B3552" s="2">
        <f>IFERROR(__xludf.DUMMYFUNCTION("""COMPUTED_VALUE"""),0.0)</f>
        <v>0</v>
      </c>
      <c r="C3552" s="2">
        <f>IFERROR(__xludf.DUMMYFUNCTION("""COMPUTED_VALUE"""),500.0)</f>
        <v>500</v>
      </c>
      <c r="D3552" s="3">
        <f>IFERROR(__xludf.DUMMYFUNCTION("""COMPUTED_VALUE"""),266.0)</f>
        <v>266</v>
      </c>
      <c r="E3552" s="2"/>
      <c r="F3552" s="2"/>
    </row>
    <row r="3553">
      <c r="A3553" s="2">
        <f>IFERROR(__xludf.DUMMYFUNCTION("""COMPUTED_VALUE"""),76450.0)</f>
        <v>76450</v>
      </c>
      <c r="B3553" s="2">
        <f>IFERROR(__xludf.DUMMYFUNCTION("""COMPUTED_VALUE"""),0.0)</f>
        <v>0</v>
      </c>
      <c r="C3553" s="2">
        <f>IFERROR(__xludf.DUMMYFUNCTION("""COMPUTED_VALUE"""),168.0)</f>
        <v>168</v>
      </c>
      <c r="D3553" s="3">
        <f>IFERROR(__xludf.DUMMYFUNCTION("""COMPUTED_VALUE"""),7.0)</f>
        <v>7</v>
      </c>
      <c r="E3553" s="2"/>
      <c r="F3553" s="2"/>
    </row>
    <row r="3554">
      <c r="A3554" s="2">
        <f>IFERROR(__xludf.DUMMYFUNCTION("""COMPUTED_VALUE"""),121012.0)</f>
        <v>121012</v>
      </c>
      <c r="B3554" s="2">
        <f>IFERROR(__xludf.DUMMYFUNCTION("""COMPUTED_VALUE"""),0.0)</f>
        <v>0</v>
      </c>
      <c r="C3554" s="2">
        <f>IFERROR(__xludf.DUMMYFUNCTION("""COMPUTED_VALUE"""),791.0)</f>
        <v>791</v>
      </c>
      <c r="D3554" s="3">
        <f>IFERROR(__xludf.DUMMYFUNCTION("""COMPUTED_VALUE"""),83.0)</f>
        <v>83</v>
      </c>
      <c r="E3554" s="2"/>
      <c r="F3554" s="2"/>
    </row>
    <row r="3555">
      <c r="A3555" s="2">
        <f>IFERROR(__xludf.DUMMYFUNCTION("""COMPUTED_VALUE"""),113187.0)</f>
        <v>113187</v>
      </c>
      <c r="B3555" s="2">
        <f>IFERROR(__xludf.DUMMYFUNCTION("""COMPUTED_VALUE"""),0.0)</f>
        <v>0</v>
      </c>
      <c r="C3555" s="2">
        <f>IFERROR(__xludf.DUMMYFUNCTION("""COMPUTED_VALUE"""),798.0)</f>
        <v>798</v>
      </c>
      <c r="D3555" s="3">
        <f>IFERROR(__xludf.DUMMYFUNCTION("""COMPUTED_VALUE"""),665.0)</f>
        <v>665</v>
      </c>
      <c r="E3555" s="2"/>
      <c r="F3555" s="2"/>
    </row>
    <row r="3556">
      <c r="A3556" s="2">
        <f>IFERROR(__xludf.DUMMYFUNCTION("""COMPUTED_VALUE"""),101946.0)</f>
        <v>101946</v>
      </c>
      <c r="B3556" s="2">
        <f>IFERROR(__xludf.DUMMYFUNCTION("""COMPUTED_VALUE"""),0.0)</f>
        <v>0</v>
      </c>
      <c r="C3556" s="2">
        <f>IFERROR(__xludf.DUMMYFUNCTION("""COMPUTED_VALUE"""),353.0)</f>
        <v>353</v>
      </c>
      <c r="D3556" s="3">
        <f>IFERROR(__xludf.DUMMYFUNCTION("""COMPUTED_VALUE"""),41.0)</f>
        <v>41</v>
      </c>
      <c r="E3556" s="2"/>
      <c r="F3556" s="2"/>
    </row>
    <row r="3557">
      <c r="A3557" s="2">
        <f>IFERROR(__xludf.DUMMYFUNCTION("""COMPUTED_VALUE"""),117275.0)</f>
        <v>117275</v>
      </c>
      <c r="B3557" s="2">
        <f>IFERROR(__xludf.DUMMYFUNCTION("""COMPUTED_VALUE"""),0.0)</f>
        <v>0</v>
      </c>
      <c r="C3557" s="2">
        <f>IFERROR(__xludf.DUMMYFUNCTION("""COMPUTED_VALUE"""),596.0)</f>
        <v>596</v>
      </c>
      <c r="D3557" s="3">
        <f>IFERROR(__xludf.DUMMYFUNCTION("""COMPUTED_VALUE"""),539.0)</f>
        <v>539</v>
      </c>
      <c r="E3557" s="2"/>
      <c r="F3557" s="2"/>
    </row>
    <row r="3558">
      <c r="A3558" s="2">
        <f>IFERROR(__xludf.DUMMYFUNCTION("""COMPUTED_VALUE"""),117695.0)</f>
        <v>117695</v>
      </c>
      <c r="B3558" s="2">
        <f>IFERROR(__xludf.DUMMYFUNCTION("""COMPUTED_VALUE"""),0.0)</f>
        <v>0</v>
      </c>
      <c r="C3558" s="2">
        <f>IFERROR(__xludf.DUMMYFUNCTION("""COMPUTED_VALUE"""),718.0)</f>
        <v>718</v>
      </c>
      <c r="D3558" s="3">
        <f>IFERROR(__xludf.DUMMYFUNCTION("""COMPUTED_VALUE"""),586.0)</f>
        <v>586</v>
      </c>
      <c r="E3558" s="2"/>
      <c r="F3558" s="2"/>
    </row>
    <row r="3559">
      <c r="A3559" s="2">
        <f>IFERROR(__xludf.DUMMYFUNCTION("""COMPUTED_VALUE"""),74398.0)</f>
        <v>74398</v>
      </c>
      <c r="B3559" s="2">
        <f>IFERROR(__xludf.DUMMYFUNCTION("""COMPUTED_VALUE"""),1.0)</f>
        <v>1</v>
      </c>
      <c r="C3559" s="2">
        <f>IFERROR(__xludf.DUMMYFUNCTION("""COMPUTED_VALUE"""),782.0)</f>
        <v>782</v>
      </c>
      <c r="D3559" s="3">
        <f>IFERROR(__xludf.DUMMYFUNCTION("""COMPUTED_VALUE"""),722.0)</f>
        <v>722</v>
      </c>
      <c r="E3559" s="2"/>
      <c r="F3559" s="2"/>
    </row>
    <row r="3560">
      <c r="A3560" s="2">
        <f>IFERROR(__xludf.DUMMYFUNCTION("""COMPUTED_VALUE"""),105230.0)</f>
        <v>105230</v>
      </c>
      <c r="B3560" s="2">
        <f>IFERROR(__xludf.DUMMYFUNCTION("""COMPUTED_VALUE"""),0.0)</f>
        <v>0</v>
      </c>
      <c r="C3560" s="2">
        <f>IFERROR(__xludf.DUMMYFUNCTION("""COMPUTED_VALUE"""),288.0)</f>
        <v>288</v>
      </c>
      <c r="D3560" s="3">
        <f>IFERROR(__xludf.DUMMYFUNCTION("""COMPUTED_VALUE"""),218.0)</f>
        <v>218</v>
      </c>
      <c r="E3560" s="2"/>
      <c r="F3560" s="2"/>
    </row>
    <row r="3561">
      <c r="A3561" s="2">
        <f>IFERROR(__xludf.DUMMYFUNCTION("""COMPUTED_VALUE"""),112776.0)</f>
        <v>112776</v>
      </c>
      <c r="B3561" s="2">
        <f>IFERROR(__xludf.DUMMYFUNCTION("""COMPUTED_VALUE"""),0.0)</f>
        <v>0</v>
      </c>
      <c r="C3561" s="2">
        <f>IFERROR(__xludf.DUMMYFUNCTION("""COMPUTED_VALUE"""),276.0)</f>
        <v>276</v>
      </c>
      <c r="D3561" s="3">
        <f>IFERROR(__xludf.DUMMYFUNCTION("""COMPUTED_VALUE"""),80.0)</f>
        <v>80</v>
      </c>
      <c r="E3561" s="2"/>
      <c r="F3561" s="2"/>
    </row>
    <row r="3562">
      <c r="A3562" s="2">
        <f>IFERROR(__xludf.DUMMYFUNCTION("""COMPUTED_VALUE"""),23968.0)</f>
        <v>23968</v>
      </c>
      <c r="B3562" s="2">
        <f>IFERROR(__xludf.DUMMYFUNCTION("""COMPUTED_VALUE"""),0.0)</f>
        <v>0</v>
      </c>
      <c r="C3562" s="2">
        <f>IFERROR(__xludf.DUMMYFUNCTION("""COMPUTED_VALUE"""),819.0)</f>
        <v>819</v>
      </c>
      <c r="D3562" s="3">
        <f>IFERROR(__xludf.DUMMYFUNCTION("""COMPUTED_VALUE"""),600.0)</f>
        <v>600</v>
      </c>
      <c r="E3562" s="2"/>
      <c r="F3562" s="2"/>
    </row>
    <row r="3563">
      <c r="A3563" s="2">
        <f>IFERROR(__xludf.DUMMYFUNCTION("""COMPUTED_VALUE"""),127025.0)</f>
        <v>127025</v>
      </c>
      <c r="B3563" s="2">
        <f>IFERROR(__xludf.DUMMYFUNCTION("""COMPUTED_VALUE"""),1.0)</f>
        <v>1</v>
      </c>
      <c r="C3563" s="2">
        <f>IFERROR(__xludf.DUMMYFUNCTION("""COMPUTED_VALUE"""),934.0)</f>
        <v>934</v>
      </c>
      <c r="D3563" s="3">
        <f>IFERROR(__xludf.DUMMYFUNCTION("""COMPUTED_VALUE"""),654.0)</f>
        <v>654</v>
      </c>
      <c r="E3563" s="2"/>
      <c r="F3563" s="2"/>
    </row>
    <row r="3564">
      <c r="A3564" s="2">
        <f>IFERROR(__xludf.DUMMYFUNCTION("""COMPUTED_VALUE"""),118956.0)</f>
        <v>118956</v>
      </c>
      <c r="B3564" s="2">
        <f>IFERROR(__xludf.DUMMYFUNCTION("""COMPUTED_VALUE"""),0.0)</f>
        <v>0</v>
      </c>
      <c r="C3564" s="2">
        <f>IFERROR(__xludf.DUMMYFUNCTION("""COMPUTED_VALUE"""),525.0)</f>
        <v>525</v>
      </c>
      <c r="D3564" s="3">
        <f>IFERROR(__xludf.DUMMYFUNCTION("""COMPUTED_VALUE"""),258.0)</f>
        <v>258</v>
      </c>
      <c r="E3564" s="2"/>
      <c r="F3564" s="2"/>
    </row>
    <row r="3565">
      <c r="A3565" s="2">
        <f>IFERROR(__xludf.DUMMYFUNCTION("""COMPUTED_VALUE"""),118947.0)</f>
        <v>118947</v>
      </c>
      <c r="B3565" s="2">
        <f>IFERROR(__xludf.DUMMYFUNCTION("""COMPUTED_VALUE"""),1.0)</f>
        <v>1</v>
      </c>
      <c r="C3565" s="2">
        <f>IFERROR(__xludf.DUMMYFUNCTION("""COMPUTED_VALUE"""),13.0)</f>
        <v>13</v>
      </c>
      <c r="D3565" s="3">
        <f>IFERROR(__xludf.DUMMYFUNCTION("""COMPUTED_VALUE"""),8.0)</f>
        <v>8</v>
      </c>
      <c r="E3565" s="2"/>
      <c r="F3565" s="2"/>
    </row>
    <row r="3566">
      <c r="A3566" s="2">
        <f>IFERROR(__xludf.DUMMYFUNCTION("""COMPUTED_VALUE"""),95873.0)</f>
        <v>95873</v>
      </c>
      <c r="B3566" s="2">
        <f>IFERROR(__xludf.DUMMYFUNCTION("""COMPUTED_VALUE"""),0.0)</f>
        <v>0</v>
      </c>
      <c r="C3566" s="2">
        <f>IFERROR(__xludf.DUMMYFUNCTION("""COMPUTED_VALUE"""),540.0)</f>
        <v>540</v>
      </c>
      <c r="D3566" s="3">
        <f>IFERROR(__xludf.DUMMYFUNCTION("""COMPUTED_VALUE"""),457.0)</f>
        <v>457</v>
      </c>
      <c r="E3566" s="2"/>
      <c r="F3566" s="2"/>
    </row>
    <row r="3567">
      <c r="A3567" s="2">
        <f>IFERROR(__xludf.DUMMYFUNCTION("""COMPUTED_VALUE"""),118946.0)</f>
        <v>118946</v>
      </c>
      <c r="B3567" s="2">
        <f>IFERROR(__xludf.DUMMYFUNCTION("""COMPUTED_VALUE"""),0.0)</f>
        <v>0</v>
      </c>
      <c r="C3567" s="2">
        <f>IFERROR(__xludf.DUMMYFUNCTION("""COMPUTED_VALUE"""),716.0)</f>
        <v>716</v>
      </c>
      <c r="D3567" s="3">
        <f>IFERROR(__xludf.DUMMYFUNCTION("""COMPUTED_VALUE"""),54.0)</f>
        <v>54</v>
      </c>
      <c r="E3567" s="2"/>
      <c r="F3567" s="2"/>
    </row>
    <row r="3568">
      <c r="A3568" s="2">
        <f>IFERROR(__xludf.DUMMYFUNCTION("""COMPUTED_VALUE"""),44991.0)</f>
        <v>44991</v>
      </c>
      <c r="B3568" s="2">
        <f>IFERROR(__xludf.DUMMYFUNCTION("""COMPUTED_VALUE"""),0.0)</f>
        <v>0</v>
      </c>
      <c r="C3568" s="2">
        <f>IFERROR(__xludf.DUMMYFUNCTION("""COMPUTED_VALUE"""),616.0)</f>
        <v>616</v>
      </c>
      <c r="D3568" s="3">
        <f>IFERROR(__xludf.DUMMYFUNCTION("""COMPUTED_VALUE"""),40.0)</f>
        <v>40</v>
      </c>
      <c r="E3568" s="2"/>
      <c r="F3568" s="2"/>
    </row>
    <row r="3569">
      <c r="A3569" s="2">
        <f>IFERROR(__xludf.DUMMYFUNCTION("""COMPUTED_VALUE"""),122398.0)</f>
        <v>122398</v>
      </c>
      <c r="B3569" s="2">
        <f>IFERROR(__xludf.DUMMYFUNCTION("""COMPUTED_VALUE"""),1.0)</f>
        <v>1</v>
      </c>
      <c r="C3569" s="2">
        <f>IFERROR(__xludf.DUMMYFUNCTION("""COMPUTED_VALUE"""),734.0)</f>
        <v>734</v>
      </c>
      <c r="D3569" s="3">
        <f>IFERROR(__xludf.DUMMYFUNCTION("""COMPUTED_VALUE"""),708.0)</f>
        <v>708</v>
      </c>
      <c r="E3569" s="2"/>
      <c r="F3569" s="2"/>
    </row>
    <row r="3570">
      <c r="A3570" s="2">
        <f>IFERROR(__xludf.DUMMYFUNCTION("""COMPUTED_VALUE"""),108638.0)</f>
        <v>108638</v>
      </c>
      <c r="B3570" s="2">
        <f>IFERROR(__xludf.DUMMYFUNCTION("""COMPUTED_VALUE"""),0.0)</f>
        <v>0</v>
      </c>
      <c r="C3570" s="2">
        <f>IFERROR(__xludf.DUMMYFUNCTION("""COMPUTED_VALUE"""),500.0)</f>
        <v>500</v>
      </c>
      <c r="D3570" s="3">
        <f>IFERROR(__xludf.DUMMYFUNCTION("""COMPUTED_VALUE"""),238.0)</f>
        <v>238</v>
      </c>
      <c r="E3570" s="2"/>
      <c r="F3570" s="2"/>
    </row>
    <row r="3571">
      <c r="A3571" s="2">
        <f>IFERROR(__xludf.DUMMYFUNCTION("""COMPUTED_VALUE"""),113633.0)</f>
        <v>113633</v>
      </c>
      <c r="B3571" s="2">
        <f>IFERROR(__xludf.DUMMYFUNCTION("""COMPUTED_VALUE"""),1.0)</f>
        <v>1</v>
      </c>
      <c r="C3571" s="2">
        <f>IFERROR(__xludf.DUMMYFUNCTION("""COMPUTED_VALUE"""),416.0)</f>
        <v>416</v>
      </c>
      <c r="D3571" s="3">
        <f>IFERROR(__xludf.DUMMYFUNCTION("""COMPUTED_VALUE"""),214.0)</f>
        <v>214</v>
      </c>
      <c r="E3571" s="2"/>
      <c r="F3571" s="2"/>
    </row>
    <row r="3572">
      <c r="A3572" s="2">
        <f>IFERROR(__xludf.DUMMYFUNCTION("""COMPUTED_VALUE"""),113649.0)</f>
        <v>113649</v>
      </c>
      <c r="B3572" s="2">
        <f>IFERROR(__xludf.DUMMYFUNCTION("""COMPUTED_VALUE"""),0.0)</f>
        <v>0</v>
      </c>
      <c r="C3572" s="2">
        <f>IFERROR(__xludf.DUMMYFUNCTION("""COMPUTED_VALUE"""),774.0)</f>
        <v>774</v>
      </c>
      <c r="D3572" s="3">
        <f>IFERROR(__xludf.DUMMYFUNCTION("""COMPUTED_VALUE"""),347.0)</f>
        <v>347</v>
      </c>
      <c r="E3572" s="2"/>
      <c r="F3572" s="2"/>
    </row>
    <row r="3573">
      <c r="A3573" s="2">
        <f>IFERROR(__xludf.DUMMYFUNCTION("""COMPUTED_VALUE"""),113619.0)</f>
        <v>113619</v>
      </c>
      <c r="B3573" s="2">
        <f>IFERROR(__xludf.DUMMYFUNCTION("""COMPUTED_VALUE"""),0.0)</f>
        <v>0</v>
      </c>
      <c r="C3573" s="2">
        <f>IFERROR(__xludf.DUMMYFUNCTION("""COMPUTED_VALUE"""),65.0)</f>
        <v>65</v>
      </c>
      <c r="D3573" s="3">
        <f>IFERROR(__xludf.DUMMYFUNCTION("""COMPUTED_VALUE"""),2.0)</f>
        <v>2</v>
      </c>
      <c r="E3573" s="2"/>
      <c r="F3573" s="2"/>
    </row>
    <row r="3574">
      <c r="A3574" s="2">
        <f>IFERROR(__xludf.DUMMYFUNCTION("""COMPUTED_VALUE"""),113648.0)</f>
        <v>113648</v>
      </c>
      <c r="B3574" s="2">
        <f>IFERROR(__xludf.DUMMYFUNCTION("""COMPUTED_VALUE"""),0.0)</f>
        <v>0</v>
      </c>
      <c r="C3574" s="2">
        <f>IFERROR(__xludf.DUMMYFUNCTION("""COMPUTED_VALUE"""),258.0)</f>
        <v>258</v>
      </c>
      <c r="D3574" s="3">
        <f>IFERROR(__xludf.DUMMYFUNCTION("""COMPUTED_VALUE"""),141.0)</f>
        <v>141</v>
      </c>
      <c r="E3574" s="2"/>
      <c r="F3574" s="2"/>
    </row>
    <row r="3575">
      <c r="A3575" s="2">
        <f>IFERROR(__xludf.DUMMYFUNCTION("""COMPUTED_VALUE"""),120889.0)</f>
        <v>120889</v>
      </c>
      <c r="B3575" s="2">
        <f>IFERROR(__xludf.DUMMYFUNCTION("""COMPUTED_VALUE"""),0.0)</f>
        <v>0</v>
      </c>
      <c r="C3575" s="2">
        <f>IFERROR(__xludf.DUMMYFUNCTION("""COMPUTED_VALUE"""),618.0)</f>
        <v>618</v>
      </c>
      <c r="D3575" s="3">
        <f>IFERROR(__xludf.DUMMYFUNCTION("""COMPUTED_VALUE"""),51.0)</f>
        <v>51</v>
      </c>
      <c r="E3575" s="2"/>
      <c r="F3575" s="2"/>
    </row>
    <row r="3576">
      <c r="A3576" s="2">
        <f>IFERROR(__xludf.DUMMYFUNCTION("""COMPUTED_VALUE"""),113620.0)</f>
        <v>113620</v>
      </c>
      <c r="B3576" s="2">
        <f>IFERROR(__xludf.DUMMYFUNCTION("""COMPUTED_VALUE"""),1.0)</f>
        <v>1</v>
      </c>
      <c r="C3576" s="2">
        <f>IFERROR(__xludf.DUMMYFUNCTION("""COMPUTED_VALUE"""),962.0)</f>
        <v>962</v>
      </c>
      <c r="D3576" s="3">
        <f>IFERROR(__xludf.DUMMYFUNCTION("""COMPUTED_VALUE"""),21.0)</f>
        <v>21</v>
      </c>
      <c r="E3576" s="2"/>
      <c r="F3576" s="2"/>
    </row>
    <row r="3577">
      <c r="A3577" s="2">
        <f>IFERROR(__xludf.DUMMYFUNCTION("""COMPUTED_VALUE"""),113626.0)</f>
        <v>113626</v>
      </c>
      <c r="B3577" s="2">
        <f>IFERROR(__xludf.DUMMYFUNCTION("""COMPUTED_VALUE"""),1.0)</f>
        <v>1</v>
      </c>
      <c r="C3577" s="2">
        <f>IFERROR(__xludf.DUMMYFUNCTION("""COMPUTED_VALUE"""),95.0)</f>
        <v>95</v>
      </c>
      <c r="D3577" s="3">
        <f>IFERROR(__xludf.DUMMYFUNCTION("""COMPUTED_VALUE"""),38.0)</f>
        <v>38</v>
      </c>
      <c r="E3577" s="2"/>
      <c r="F3577" s="2"/>
    </row>
    <row r="3578">
      <c r="A3578" s="2">
        <f>IFERROR(__xludf.DUMMYFUNCTION("""COMPUTED_VALUE"""),113657.0)</f>
        <v>113657</v>
      </c>
      <c r="B3578" s="2">
        <f>IFERROR(__xludf.DUMMYFUNCTION("""COMPUTED_VALUE"""),1.0)</f>
        <v>1</v>
      </c>
      <c r="C3578" s="2">
        <f>IFERROR(__xludf.DUMMYFUNCTION("""COMPUTED_VALUE"""),11.0)</f>
        <v>11</v>
      </c>
      <c r="D3578" s="3">
        <f>IFERROR(__xludf.DUMMYFUNCTION("""COMPUTED_VALUE"""),10.0)</f>
        <v>10</v>
      </c>
      <c r="E3578" s="2"/>
      <c r="F3578" s="2"/>
    </row>
    <row r="3579">
      <c r="A3579" s="2">
        <f>IFERROR(__xludf.DUMMYFUNCTION("""COMPUTED_VALUE"""),113645.0)</f>
        <v>113645</v>
      </c>
      <c r="B3579" s="2">
        <f>IFERROR(__xludf.DUMMYFUNCTION("""COMPUTED_VALUE"""),1.0)</f>
        <v>1</v>
      </c>
      <c r="C3579" s="2">
        <f>IFERROR(__xludf.DUMMYFUNCTION("""COMPUTED_VALUE"""),746.0)</f>
        <v>746</v>
      </c>
      <c r="D3579" s="3">
        <f>IFERROR(__xludf.DUMMYFUNCTION("""COMPUTED_VALUE"""),136.0)</f>
        <v>136</v>
      </c>
      <c r="E3579" s="2"/>
      <c r="F3579" s="2"/>
    </row>
    <row r="3580">
      <c r="A3580" s="2">
        <f>IFERROR(__xludf.DUMMYFUNCTION("""COMPUTED_VALUE"""),18247.0)</f>
        <v>18247</v>
      </c>
      <c r="B3580" s="2">
        <f>IFERROR(__xludf.DUMMYFUNCTION("""COMPUTED_VALUE"""),1.0)</f>
        <v>1</v>
      </c>
      <c r="C3580" s="2">
        <f>IFERROR(__xludf.DUMMYFUNCTION("""COMPUTED_VALUE"""),457.0)</f>
        <v>457</v>
      </c>
      <c r="D3580" s="3">
        <f>IFERROR(__xludf.DUMMYFUNCTION("""COMPUTED_VALUE"""),170.0)</f>
        <v>170</v>
      </c>
      <c r="E3580" s="2"/>
      <c r="F3580" s="2"/>
    </row>
    <row r="3581">
      <c r="A3581" s="2">
        <f>IFERROR(__xludf.DUMMYFUNCTION("""COMPUTED_VALUE"""),121249.0)</f>
        <v>121249</v>
      </c>
      <c r="B3581" s="2">
        <f>IFERROR(__xludf.DUMMYFUNCTION("""COMPUTED_VALUE"""),1.0)</f>
        <v>1</v>
      </c>
      <c r="C3581" s="2">
        <f>IFERROR(__xludf.DUMMYFUNCTION("""COMPUTED_VALUE"""),213.0)</f>
        <v>213</v>
      </c>
      <c r="D3581" s="3">
        <f>IFERROR(__xludf.DUMMYFUNCTION("""COMPUTED_VALUE"""),108.0)</f>
        <v>108</v>
      </c>
      <c r="E3581" s="2"/>
      <c r="F3581" s="2"/>
    </row>
    <row r="3582">
      <c r="A3582" s="2">
        <f>IFERROR(__xludf.DUMMYFUNCTION("""COMPUTED_VALUE"""),104912.0)</f>
        <v>104912</v>
      </c>
      <c r="B3582" s="2">
        <f>IFERROR(__xludf.DUMMYFUNCTION("""COMPUTED_VALUE"""),1.0)</f>
        <v>1</v>
      </c>
      <c r="C3582" s="2">
        <f>IFERROR(__xludf.DUMMYFUNCTION("""COMPUTED_VALUE"""),139.0)</f>
        <v>139</v>
      </c>
      <c r="D3582" s="3">
        <f>IFERROR(__xludf.DUMMYFUNCTION("""COMPUTED_VALUE"""),13.0)</f>
        <v>13</v>
      </c>
      <c r="E3582" s="2"/>
      <c r="F3582" s="2"/>
    </row>
    <row r="3583">
      <c r="A3583" s="2">
        <f>IFERROR(__xludf.DUMMYFUNCTION("""COMPUTED_VALUE"""),73222.0)</f>
        <v>73222</v>
      </c>
      <c r="B3583" s="2">
        <f>IFERROR(__xludf.DUMMYFUNCTION("""COMPUTED_VALUE"""),1.0)</f>
        <v>1</v>
      </c>
      <c r="C3583" s="2">
        <f>IFERROR(__xludf.DUMMYFUNCTION("""COMPUTED_VALUE"""),29.0)</f>
        <v>29</v>
      </c>
      <c r="D3583" s="3">
        <f>IFERROR(__xludf.DUMMYFUNCTION("""COMPUTED_VALUE"""),18.0)</f>
        <v>18</v>
      </c>
      <c r="E3583" s="2"/>
      <c r="F3583" s="2"/>
    </row>
    <row r="3584">
      <c r="A3584" s="2">
        <f>IFERROR(__xludf.DUMMYFUNCTION("""COMPUTED_VALUE"""),78834.0)</f>
        <v>78834</v>
      </c>
      <c r="B3584" s="2">
        <f>IFERROR(__xludf.DUMMYFUNCTION("""COMPUTED_VALUE"""),0.0)</f>
        <v>0</v>
      </c>
      <c r="C3584" s="2">
        <f>IFERROR(__xludf.DUMMYFUNCTION("""COMPUTED_VALUE"""),446.0)</f>
        <v>446</v>
      </c>
      <c r="D3584" s="3">
        <f>IFERROR(__xludf.DUMMYFUNCTION("""COMPUTED_VALUE"""),195.0)</f>
        <v>195</v>
      </c>
      <c r="E3584" s="2"/>
      <c r="F3584" s="2"/>
    </row>
    <row r="3585">
      <c r="A3585" s="2">
        <f>IFERROR(__xludf.DUMMYFUNCTION("""COMPUTED_VALUE"""),15109.0)</f>
        <v>15109</v>
      </c>
      <c r="B3585" s="2">
        <f>IFERROR(__xludf.DUMMYFUNCTION("""COMPUTED_VALUE"""),0.0)</f>
        <v>0</v>
      </c>
      <c r="C3585" s="2">
        <f>IFERROR(__xludf.DUMMYFUNCTION("""COMPUTED_VALUE"""),147.0)</f>
        <v>147</v>
      </c>
      <c r="D3585" s="3">
        <f>IFERROR(__xludf.DUMMYFUNCTION("""COMPUTED_VALUE"""),84.0)</f>
        <v>84</v>
      </c>
      <c r="E3585" s="2"/>
      <c r="F3585" s="2"/>
    </row>
    <row r="3586">
      <c r="A3586" s="2">
        <f>IFERROR(__xludf.DUMMYFUNCTION("""COMPUTED_VALUE"""),26126.0)</f>
        <v>26126</v>
      </c>
      <c r="B3586" s="2">
        <f>IFERROR(__xludf.DUMMYFUNCTION("""COMPUTED_VALUE"""),0.0)</f>
        <v>0</v>
      </c>
      <c r="C3586" s="2">
        <f>IFERROR(__xludf.DUMMYFUNCTION("""COMPUTED_VALUE"""),801.0)</f>
        <v>801</v>
      </c>
      <c r="D3586" s="3">
        <f>IFERROR(__xludf.DUMMYFUNCTION("""COMPUTED_VALUE"""),216.0)</f>
        <v>216</v>
      </c>
      <c r="E3586" s="2"/>
      <c r="F3586" s="2"/>
    </row>
    <row r="3587">
      <c r="A3587" s="2">
        <f>IFERROR(__xludf.DUMMYFUNCTION("""COMPUTED_VALUE"""),48724.0)</f>
        <v>48724</v>
      </c>
      <c r="B3587" s="2">
        <f>IFERROR(__xludf.DUMMYFUNCTION("""COMPUTED_VALUE"""),0.0)</f>
        <v>0</v>
      </c>
      <c r="C3587" s="2">
        <f>IFERROR(__xludf.DUMMYFUNCTION("""COMPUTED_VALUE"""),202.0)</f>
        <v>202</v>
      </c>
      <c r="D3587" s="3">
        <f>IFERROR(__xludf.DUMMYFUNCTION("""COMPUTED_VALUE"""),60.0)</f>
        <v>60</v>
      </c>
      <c r="E3587" s="2"/>
      <c r="F3587" s="2"/>
    </row>
    <row r="3588">
      <c r="A3588" s="2">
        <f>IFERROR(__xludf.DUMMYFUNCTION("""COMPUTED_VALUE"""),98888.0)</f>
        <v>98888</v>
      </c>
      <c r="B3588" s="2">
        <f>IFERROR(__xludf.DUMMYFUNCTION("""COMPUTED_VALUE"""),1.0)</f>
        <v>1</v>
      </c>
      <c r="C3588" s="2">
        <f>IFERROR(__xludf.DUMMYFUNCTION("""COMPUTED_VALUE"""),907.0)</f>
        <v>907</v>
      </c>
      <c r="D3588" s="3">
        <f>IFERROR(__xludf.DUMMYFUNCTION("""COMPUTED_VALUE"""),163.0)</f>
        <v>163</v>
      </c>
      <c r="E3588" s="2"/>
      <c r="F3588" s="2"/>
    </row>
    <row r="3589">
      <c r="A3589" s="2">
        <f>IFERROR(__xludf.DUMMYFUNCTION("""COMPUTED_VALUE"""),48605.0)</f>
        <v>48605</v>
      </c>
      <c r="B3589" s="2">
        <f>IFERROR(__xludf.DUMMYFUNCTION("""COMPUTED_VALUE"""),0.0)</f>
        <v>0</v>
      </c>
      <c r="C3589" s="2">
        <f>IFERROR(__xludf.DUMMYFUNCTION("""COMPUTED_VALUE"""),246.0)</f>
        <v>246</v>
      </c>
      <c r="D3589" s="3">
        <f>IFERROR(__xludf.DUMMYFUNCTION("""COMPUTED_VALUE"""),34.0)</f>
        <v>34</v>
      </c>
      <c r="E3589" s="2"/>
      <c r="F3589" s="2"/>
    </row>
    <row r="3590">
      <c r="A3590" s="2">
        <f>IFERROR(__xludf.DUMMYFUNCTION("""COMPUTED_VALUE"""),119243.0)</f>
        <v>119243</v>
      </c>
      <c r="B3590" s="2">
        <f>IFERROR(__xludf.DUMMYFUNCTION("""COMPUTED_VALUE"""),1.0)</f>
        <v>1</v>
      </c>
      <c r="C3590" s="2">
        <f>IFERROR(__xludf.DUMMYFUNCTION("""COMPUTED_VALUE"""),227.0)</f>
        <v>227</v>
      </c>
      <c r="D3590" s="3">
        <f>IFERROR(__xludf.DUMMYFUNCTION("""COMPUTED_VALUE"""),178.0)</f>
        <v>178</v>
      </c>
      <c r="E3590" s="2"/>
      <c r="F3590" s="2"/>
    </row>
    <row r="3591">
      <c r="A3591" s="2">
        <f>IFERROR(__xludf.DUMMYFUNCTION("""COMPUTED_VALUE"""),22045.0)</f>
        <v>22045</v>
      </c>
      <c r="B3591" s="2">
        <f>IFERROR(__xludf.DUMMYFUNCTION("""COMPUTED_VALUE"""),0.0)</f>
        <v>0</v>
      </c>
      <c r="C3591" s="2">
        <f>IFERROR(__xludf.DUMMYFUNCTION("""COMPUTED_VALUE"""),944.0)</f>
        <v>944</v>
      </c>
      <c r="D3591" s="3">
        <f>IFERROR(__xludf.DUMMYFUNCTION("""COMPUTED_VALUE"""),296.0)</f>
        <v>296</v>
      </c>
      <c r="E3591" s="2"/>
      <c r="F3591" s="2"/>
    </row>
    <row r="3592">
      <c r="A3592" s="2">
        <f>IFERROR(__xludf.DUMMYFUNCTION("""COMPUTED_VALUE"""),73221.0)</f>
        <v>73221</v>
      </c>
      <c r="B3592" s="2">
        <f>IFERROR(__xludf.DUMMYFUNCTION("""COMPUTED_VALUE"""),0.0)</f>
        <v>0</v>
      </c>
      <c r="C3592" s="2">
        <f>IFERROR(__xludf.DUMMYFUNCTION("""COMPUTED_VALUE"""),830.0)</f>
        <v>830</v>
      </c>
      <c r="D3592" s="3">
        <f>IFERROR(__xludf.DUMMYFUNCTION("""COMPUTED_VALUE"""),789.0)</f>
        <v>789</v>
      </c>
      <c r="E3592" s="2"/>
      <c r="F3592" s="2"/>
    </row>
    <row r="3593">
      <c r="A3593" s="2">
        <f>IFERROR(__xludf.DUMMYFUNCTION("""COMPUTED_VALUE"""),72168.0)</f>
        <v>72168</v>
      </c>
      <c r="B3593" s="2">
        <f>IFERROR(__xludf.DUMMYFUNCTION("""COMPUTED_VALUE"""),1.0)</f>
        <v>1</v>
      </c>
      <c r="C3593" s="2">
        <f>IFERROR(__xludf.DUMMYFUNCTION("""COMPUTED_VALUE"""),315.0)</f>
        <v>315</v>
      </c>
      <c r="D3593" s="3">
        <f>IFERROR(__xludf.DUMMYFUNCTION("""COMPUTED_VALUE"""),76.0)</f>
        <v>76</v>
      </c>
      <c r="E3593" s="2"/>
      <c r="F3593" s="2"/>
    </row>
    <row r="3594">
      <c r="A3594" s="2">
        <f>IFERROR(__xludf.DUMMYFUNCTION("""COMPUTED_VALUE"""),127039.0)</f>
        <v>127039</v>
      </c>
      <c r="B3594" s="2">
        <f>IFERROR(__xludf.DUMMYFUNCTION("""COMPUTED_VALUE"""),1.0)</f>
        <v>1</v>
      </c>
      <c r="C3594" s="2">
        <f>IFERROR(__xludf.DUMMYFUNCTION("""COMPUTED_VALUE"""),925.0)</f>
        <v>925</v>
      </c>
      <c r="D3594" s="3">
        <f>IFERROR(__xludf.DUMMYFUNCTION("""COMPUTED_VALUE"""),483.0)</f>
        <v>483</v>
      </c>
      <c r="E3594" s="2"/>
      <c r="F3594" s="2"/>
    </row>
    <row r="3595">
      <c r="A3595" s="2">
        <f>IFERROR(__xludf.DUMMYFUNCTION("""COMPUTED_VALUE"""),155861.0)</f>
        <v>155861</v>
      </c>
      <c r="B3595" s="2">
        <f>IFERROR(__xludf.DUMMYFUNCTION("""COMPUTED_VALUE"""),0.0)</f>
        <v>0</v>
      </c>
      <c r="C3595" s="2">
        <f>IFERROR(__xludf.DUMMYFUNCTION("""COMPUTED_VALUE"""),120.0)</f>
        <v>120</v>
      </c>
      <c r="D3595" s="3">
        <f>IFERROR(__xludf.DUMMYFUNCTION("""COMPUTED_VALUE"""),30.0)</f>
        <v>30</v>
      </c>
      <c r="E3595" s="2"/>
      <c r="F3595" s="2"/>
    </row>
    <row r="3596">
      <c r="A3596" s="2">
        <f>IFERROR(__xludf.DUMMYFUNCTION("""COMPUTED_VALUE"""),6213.0)</f>
        <v>6213</v>
      </c>
      <c r="B3596" s="2">
        <f>IFERROR(__xludf.DUMMYFUNCTION("""COMPUTED_VALUE"""),0.0)</f>
        <v>0</v>
      </c>
      <c r="C3596" s="2">
        <f>IFERROR(__xludf.DUMMYFUNCTION("""COMPUTED_VALUE"""),733.0)</f>
        <v>733</v>
      </c>
      <c r="D3596" s="3">
        <f>IFERROR(__xludf.DUMMYFUNCTION("""COMPUTED_VALUE"""),349.0)</f>
        <v>349</v>
      </c>
      <c r="E3596" s="2"/>
      <c r="F3596" s="2"/>
    </row>
    <row r="3597">
      <c r="A3597" s="2">
        <f>IFERROR(__xludf.DUMMYFUNCTION("""COMPUTED_VALUE"""),6476.0)</f>
        <v>6476</v>
      </c>
      <c r="B3597" s="2">
        <f>IFERROR(__xludf.DUMMYFUNCTION("""COMPUTED_VALUE"""),1.0)</f>
        <v>1</v>
      </c>
      <c r="C3597" s="2">
        <f>IFERROR(__xludf.DUMMYFUNCTION("""COMPUTED_VALUE"""),590.0)</f>
        <v>590</v>
      </c>
      <c r="D3597" s="3">
        <f>IFERROR(__xludf.DUMMYFUNCTION("""COMPUTED_VALUE"""),269.0)</f>
        <v>269</v>
      </c>
      <c r="E3597" s="2"/>
      <c r="F3597" s="2"/>
    </row>
    <row r="3598">
      <c r="A3598" s="2">
        <f>IFERROR(__xludf.DUMMYFUNCTION("""COMPUTED_VALUE"""),114933.0)</f>
        <v>114933</v>
      </c>
      <c r="B3598" s="2">
        <f>IFERROR(__xludf.DUMMYFUNCTION("""COMPUTED_VALUE"""),1.0)</f>
        <v>1</v>
      </c>
      <c r="C3598" s="2">
        <f>IFERROR(__xludf.DUMMYFUNCTION("""COMPUTED_VALUE"""),633.0)</f>
        <v>633</v>
      </c>
      <c r="D3598" s="3">
        <f>IFERROR(__xludf.DUMMYFUNCTION("""COMPUTED_VALUE"""),83.0)</f>
        <v>83</v>
      </c>
      <c r="E3598" s="2"/>
      <c r="F3598" s="2"/>
    </row>
    <row r="3599">
      <c r="A3599" s="2">
        <f>IFERROR(__xludf.DUMMYFUNCTION("""COMPUTED_VALUE"""),6473.0)</f>
        <v>6473</v>
      </c>
      <c r="B3599" s="2">
        <f>IFERROR(__xludf.DUMMYFUNCTION("""COMPUTED_VALUE"""),0.0)</f>
        <v>0</v>
      </c>
      <c r="C3599" s="2">
        <f>IFERROR(__xludf.DUMMYFUNCTION("""COMPUTED_VALUE"""),970.0)</f>
        <v>970</v>
      </c>
      <c r="D3599" s="3">
        <f>IFERROR(__xludf.DUMMYFUNCTION("""COMPUTED_VALUE"""),110.0)</f>
        <v>110</v>
      </c>
      <c r="E3599" s="2"/>
      <c r="F3599" s="2"/>
    </row>
    <row r="3600">
      <c r="A3600" s="2">
        <f>IFERROR(__xludf.DUMMYFUNCTION("""COMPUTED_VALUE"""),99248.0)</f>
        <v>99248</v>
      </c>
      <c r="B3600" s="2">
        <f>IFERROR(__xludf.DUMMYFUNCTION("""COMPUTED_VALUE"""),1.0)</f>
        <v>1</v>
      </c>
      <c r="C3600" s="2">
        <f>IFERROR(__xludf.DUMMYFUNCTION("""COMPUTED_VALUE"""),743.0)</f>
        <v>743</v>
      </c>
      <c r="D3600" s="3">
        <f>IFERROR(__xludf.DUMMYFUNCTION("""COMPUTED_VALUE"""),587.0)</f>
        <v>587</v>
      </c>
      <c r="E3600" s="2"/>
      <c r="F3600" s="2"/>
    </row>
    <row r="3601">
      <c r="A3601" s="2">
        <f>IFERROR(__xludf.DUMMYFUNCTION("""COMPUTED_VALUE"""),6477.0)</f>
        <v>6477</v>
      </c>
      <c r="B3601" s="2">
        <f>IFERROR(__xludf.DUMMYFUNCTION("""COMPUTED_VALUE"""),0.0)</f>
        <v>0</v>
      </c>
      <c r="C3601" s="2">
        <f>IFERROR(__xludf.DUMMYFUNCTION("""COMPUTED_VALUE"""),131.0)</f>
        <v>131</v>
      </c>
      <c r="D3601" s="3">
        <f>IFERROR(__xludf.DUMMYFUNCTION("""COMPUTED_VALUE"""),111.0)</f>
        <v>111</v>
      </c>
      <c r="E3601" s="2"/>
      <c r="F3601" s="2"/>
    </row>
    <row r="3602">
      <c r="A3602" s="2">
        <f>IFERROR(__xludf.DUMMYFUNCTION("""COMPUTED_VALUE"""),6478.0)</f>
        <v>6478</v>
      </c>
      <c r="B3602" s="2">
        <f>IFERROR(__xludf.DUMMYFUNCTION("""COMPUTED_VALUE"""),1.0)</f>
        <v>1</v>
      </c>
      <c r="C3602" s="2">
        <f>IFERROR(__xludf.DUMMYFUNCTION("""COMPUTED_VALUE"""),597.0)</f>
        <v>597</v>
      </c>
      <c r="D3602" s="3">
        <f>IFERROR(__xludf.DUMMYFUNCTION("""COMPUTED_VALUE"""),139.0)</f>
        <v>139</v>
      </c>
      <c r="E3602" s="2"/>
      <c r="F3602" s="2"/>
    </row>
    <row r="3603">
      <c r="A3603" s="2">
        <f>IFERROR(__xludf.DUMMYFUNCTION("""COMPUTED_VALUE"""),6474.0)</f>
        <v>6474</v>
      </c>
      <c r="B3603" s="2">
        <f>IFERROR(__xludf.DUMMYFUNCTION("""COMPUTED_VALUE"""),1.0)</f>
        <v>1</v>
      </c>
      <c r="C3603" s="2">
        <f>IFERROR(__xludf.DUMMYFUNCTION("""COMPUTED_VALUE"""),790.0)</f>
        <v>790</v>
      </c>
      <c r="D3603" s="3">
        <f>IFERROR(__xludf.DUMMYFUNCTION("""COMPUTED_VALUE"""),206.0)</f>
        <v>206</v>
      </c>
      <c r="E3603" s="2"/>
      <c r="F3603" s="2"/>
    </row>
    <row r="3604">
      <c r="A3604" s="2">
        <f>IFERROR(__xludf.DUMMYFUNCTION("""COMPUTED_VALUE"""),70574.0)</f>
        <v>70574</v>
      </c>
      <c r="B3604" s="2">
        <f>IFERROR(__xludf.DUMMYFUNCTION("""COMPUTED_VALUE"""),1.0)</f>
        <v>1</v>
      </c>
      <c r="C3604" s="2">
        <f>IFERROR(__xludf.DUMMYFUNCTION("""COMPUTED_VALUE"""),589.0)</f>
        <v>589</v>
      </c>
      <c r="D3604" s="3">
        <f>IFERROR(__xludf.DUMMYFUNCTION("""COMPUTED_VALUE"""),215.0)</f>
        <v>215</v>
      </c>
      <c r="E3604" s="2"/>
      <c r="F3604" s="2"/>
    </row>
    <row r="3605">
      <c r="A3605" s="2">
        <f>IFERROR(__xludf.DUMMYFUNCTION("""COMPUTED_VALUE"""),101302.0)</f>
        <v>101302</v>
      </c>
      <c r="B3605" s="2">
        <f>IFERROR(__xludf.DUMMYFUNCTION("""COMPUTED_VALUE"""),1.0)</f>
        <v>1</v>
      </c>
      <c r="C3605" s="2">
        <f>IFERROR(__xludf.DUMMYFUNCTION("""COMPUTED_VALUE"""),540.0)</f>
        <v>540</v>
      </c>
      <c r="D3605" s="3">
        <f>IFERROR(__xludf.DUMMYFUNCTION("""COMPUTED_VALUE"""),109.0)</f>
        <v>109</v>
      </c>
      <c r="E3605" s="2"/>
      <c r="F3605" s="2"/>
    </row>
    <row r="3606">
      <c r="A3606" s="2">
        <f>IFERROR(__xludf.DUMMYFUNCTION("""COMPUTED_VALUE"""),104475.0)</f>
        <v>104475</v>
      </c>
      <c r="B3606" s="2">
        <f>IFERROR(__xludf.DUMMYFUNCTION("""COMPUTED_VALUE"""),1.0)</f>
        <v>1</v>
      </c>
      <c r="C3606" s="2">
        <f>IFERROR(__xludf.DUMMYFUNCTION("""COMPUTED_VALUE"""),169.0)</f>
        <v>169</v>
      </c>
      <c r="D3606" s="3">
        <f>IFERROR(__xludf.DUMMYFUNCTION("""COMPUTED_VALUE"""),14.0)</f>
        <v>14</v>
      </c>
      <c r="E3606" s="2"/>
      <c r="F3606" s="2"/>
    </row>
    <row r="3607">
      <c r="A3607" s="2">
        <f>IFERROR(__xludf.DUMMYFUNCTION("""COMPUTED_VALUE"""),101296.0)</f>
        <v>101296</v>
      </c>
      <c r="B3607" s="2">
        <f>IFERROR(__xludf.DUMMYFUNCTION("""COMPUTED_VALUE"""),1.0)</f>
        <v>1</v>
      </c>
      <c r="C3607" s="2">
        <f>IFERROR(__xludf.DUMMYFUNCTION("""COMPUTED_VALUE"""),280.0)</f>
        <v>280</v>
      </c>
      <c r="D3607" s="3">
        <f>IFERROR(__xludf.DUMMYFUNCTION("""COMPUTED_VALUE"""),201.0)</f>
        <v>201</v>
      </c>
      <c r="E3607" s="2"/>
      <c r="F3607" s="2"/>
    </row>
    <row r="3608">
      <c r="A3608" s="2">
        <f>IFERROR(__xludf.DUMMYFUNCTION("""COMPUTED_VALUE"""),122029.0)</f>
        <v>122029</v>
      </c>
      <c r="B3608" s="2">
        <f>IFERROR(__xludf.DUMMYFUNCTION("""COMPUTED_VALUE"""),1.0)</f>
        <v>1</v>
      </c>
      <c r="C3608" s="2">
        <f>IFERROR(__xludf.DUMMYFUNCTION("""COMPUTED_VALUE"""),874.0)</f>
        <v>874</v>
      </c>
      <c r="D3608" s="3">
        <f>IFERROR(__xludf.DUMMYFUNCTION("""COMPUTED_VALUE"""),464.0)</f>
        <v>464</v>
      </c>
      <c r="E3608" s="2"/>
      <c r="F3608" s="2"/>
    </row>
    <row r="3609">
      <c r="A3609" s="2">
        <f>IFERROR(__xludf.DUMMYFUNCTION("""COMPUTED_VALUE"""),102549.0)</f>
        <v>102549</v>
      </c>
      <c r="B3609" s="2">
        <f>IFERROR(__xludf.DUMMYFUNCTION("""COMPUTED_VALUE"""),1.0)</f>
        <v>1</v>
      </c>
      <c r="C3609" s="2">
        <f>IFERROR(__xludf.DUMMYFUNCTION("""COMPUTED_VALUE"""),448.0)</f>
        <v>448</v>
      </c>
      <c r="D3609" s="3">
        <f>IFERROR(__xludf.DUMMYFUNCTION("""COMPUTED_VALUE"""),225.0)</f>
        <v>225</v>
      </c>
      <c r="E3609" s="2"/>
      <c r="F3609" s="2"/>
    </row>
    <row r="3610">
      <c r="A3610" s="2">
        <f>IFERROR(__xludf.DUMMYFUNCTION("""COMPUTED_VALUE"""),122026.0)</f>
        <v>122026</v>
      </c>
      <c r="B3610" s="2">
        <f>IFERROR(__xludf.DUMMYFUNCTION("""COMPUTED_VALUE"""),1.0)</f>
        <v>1</v>
      </c>
      <c r="C3610" s="2">
        <f>IFERROR(__xludf.DUMMYFUNCTION("""COMPUTED_VALUE"""),385.0)</f>
        <v>385</v>
      </c>
      <c r="D3610" s="3">
        <f>IFERROR(__xludf.DUMMYFUNCTION("""COMPUTED_VALUE"""),171.0)</f>
        <v>171</v>
      </c>
      <c r="E3610" s="2"/>
      <c r="F3610" s="2"/>
    </row>
    <row r="3611">
      <c r="A3611" s="2">
        <f>IFERROR(__xludf.DUMMYFUNCTION("""COMPUTED_VALUE"""),101303.0)</f>
        <v>101303</v>
      </c>
      <c r="B3611" s="2">
        <f>IFERROR(__xludf.DUMMYFUNCTION("""COMPUTED_VALUE"""),0.0)</f>
        <v>0</v>
      </c>
      <c r="C3611" s="2">
        <f>IFERROR(__xludf.DUMMYFUNCTION("""COMPUTED_VALUE"""),114.0)</f>
        <v>114</v>
      </c>
      <c r="D3611" s="3">
        <f>IFERROR(__xludf.DUMMYFUNCTION("""COMPUTED_VALUE"""),43.0)</f>
        <v>43</v>
      </c>
      <c r="E3611" s="2"/>
      <c r="F3611" s="2"/>
    </row>
    <row r="3612">
      <c r="A3612" s="2">
        <f>IFERROR(__xludf.DUMMYFUNCTION("""COMPUTED_VALUE"""),102548.0)</f>
        <v>102548</v>
      </c>
      <c r="B3612" s="2">
        <f>IFERROR(__xludf.DUMMYFUNCTION("""COMPUTED_VALUE"""),0.0)</f>
        <v>0</v>
      </c>
      <c r="C3612" s="2">
        <f>IFERROR(__xludf.DUMMYFUNCTION("""COMPUTED_VALUE"""),304.0)</f>
        <v>304</v>
      </c>
      <c r="D3612" s="3">
        <f>IFERROR(__xludf.DUMMYFUNCTION("""COMPUTED_VALUE"""),132.0)</f>
        <v>132</v>
      </c>
      <c r="E3612" s="2"/>
      <c r="F3612" s="2"/>
    </row>
    <row r="3613">
      <c r="A3613" s="2">
        <f>IFERROR(__xludf.DUMMYFUNCTION("""COMPUTED_VALUE"""),122027.0)</f>
        <v>122027</v>
      </c>
      <c r="B3613" s="2">
        <f>IFERROR(__xludf.DUMMYFUNCTION("""COMPUTED_VALUE"""),1.0)</f>
        <v>1</v>
      </c>
      <c r="C3613" s="2">
        <f>IFERROR(__xludf.DUMMYFUNCTION("""COMPUTED_VALUE"""),797.0)</f>
        <v>797</v>
      </c>
      <c r="D3613" s="3">
        <f>IFERROR(__xludf.DUMMYFUNCTION("""COMPUTED_VALUE"""),387.0)</f>
        <v>387</v>
      </c>
      <c r="E3613" s="2"/>
      <c r="F3613" s="2"/>
    </row>
    <row r="3614">
      <c r="A3614" s="2">
        <f>IFERROR(__xludf.DUMMYFUNCTION("""COMPUTED_VALUE"""),46963.0)</f>
        <v>46963</v>
      </c>
      <c r="B3614" s="2">
        <f>IFERROR(__xludf.DUMMYFUNCTION("""COMPUTED_VALUE"""),0.0)</f>
        <v>0</v>
      </c>
      <c r="C3614" s="2">
        <f>IFERROR(__xludf.DUMMYFUNCTION("""COMPUTED_VALUE"""),527.0)</f>
        <v>527</v>
      </c>
      <c r="D3614" s="3">
        <f>IFERROR(__xludf.DUMMYFUNCTION("""COMPUTED_VALUE"""),482.0)</f>
        <v>482</v>
      </c>
      <c r="E3614" s="2"/>
      <c r="F3614" s="2"/>
    </row>
    <row r="3615">
      <c r="A3615" s="2">
        <f>IFERROR(__xludf.DUMMYFUNCTION("""COMPUTED_VALUE"""),102268.0)</f>
        <v>102268</v>
      </c>
      <c r="B3615" s="2">
        <f>IFERROR(__xludf.DUMMYFUNCTION("""COMPUTED_VALUE"""),1.0)</f>
        <v>1</v>
      </c>
      <c r="C3615" s="2">
        <f>IFERROR(__xludf.DUMMYFUNCTION("""COMPUTED_VALUE"""),827.0)</f>
        <v>827</v>
      </c>
      <c r="D3615" s="3">
        <f>IFERROR(__xludf.DUMMYFUNCTION("""COMPUTED_VALUE"""),225.0)</f>
        <v>225</v>
      </c>
      <c r="E3615" s="2"/>
      <c r="F3615" s="2"/>
    </row>
    <row r="3616">
      <c r="A3616" s="2">
        <f>IFERROR(__xludf.DUMMYFUNCTION("""COMPUTED_VALUE"""),26649.0)</f>
        <v>26649</v>
      </c>
      <c r="B3616" s="2">
        <f>IFERROR(__xludf.DUMMYFUNCTION("""COMPUTED_VALUE"""),1.0)</f>
        <v>1</v>
      </c>
      <c r="C3616" s="2">
        <f>IFERROR(__xludf.DUMMYFUNCTION("""COMPUTED_VALUE"""),324.0)</f>
        <v>324</v>
      </c>
      <c r="D3616" s="3">
        <f>IFERROR(__xludf.DUMMYFUNCTION("""COMPUTED_VALUE"""),310.0)</f>
        <v>310</v>
      </c>
      <c r="E3616" s="2"/>
      <c r="F3616" s="2"/>
    </row>
    <row r="3617">
      <c r="A3617" s="2">
        <f>IFERROR(__xludf.DUMMYFUNCTION("""COMPUTED_VALUE"""),102275.0)</f>
        <v>102275</v>
      </c>
      <c r="B3617" s="2">
        <f>IFERROR(__xludf.DUMMYFUNCTION("""COMPUTED_VALUE"""),1.0)</f>
        <v>1</v>
      </c>
      <c r="C3617" s="2">
        <f>IFERROR(__xludf.DUMMYFUNCTION("""COMPUTED_VALUE"""),896.0)</f>
        <v>896</v>
      </c>
      <c r="D3617" s="3">
        <f>IFERROR(__xludf.DUMMYFUNCTION("""COMPUTED_VALUE"""),776.0)</f>
        <v>776</v>
      </c>
      <c r="E3617" s="2"/>
      <c r="F3617" s="2"/>
    </row>
    <row r="3618">
      <c r="A3618" s="2">
        <f>IFERROR(__xludf.DUMMYFUNCTION("""COMPUTED_VALUE"""),43943.0)</f>
        <v>43943</v>
      </c>
      <c r="B3618" s="2">
        <f>IFERROR(__xludf.DUMMYFUNCTION("""COMPUTED_VALUE"""),0.0)</f>
        <v>0</v>
      </c>
      <c r="C3618" s="2">
        <f>IFERROR(__xludf.DUMMYFUNCTION("""COMPUTED_VALUE"""),351.0)</f>
        <v>351</v>
      </c>
      <c r="D3618" s="3">
        <f>IFERROR(__xludf.DUMMYFUNCTION("""COMPUTED_VALUE"""),315.0)</f>
        <v>315</v>
      </c>
      <c r="E3618" s="2"/>
      <c r="F3618" s="2"/>
    </row>
    <row r="3619">
      <c r="A3619" s="2">
        <f>IFERROR(__xludf.DUMMYFUNCTION("""COMPUTED_VALUE"""),102550.0)</f>
        <v>102550</v>
      </c>
      <c r="B3619" s="2">
        <f>IFERROR(__xludf.DUMMYFUNCTION("""COMPUTED_VALUE"""),0.0)</f>
        <v>0</v>
      </c>
      <c r="C3619" s="2">
        <f>IFERROR(__xludf.DUMMYFUNCTION("""COMPUTED_VALUE"""),868.0)</f>
        <v>868</v>
      </c>
      <c r="D3619" s="3">
        <f>IFERROR(__xludf.DUMMYFUNCTION("""COMPUTED_VALUE"""),30.0)</f>
        <v>30</v>
      </c>
      <c r="E3619" s="2"/>
      <c r="F3619" s="2"/>
    </row>
    <row r="3620">
      <c r="A3620" s="2">
        <f>IFERROR(__xludf.DUMMYFUNCTION("""COMPUTED_VALUE"""),26650.0)</f>
        <v>26650</v>
      </c>
      <c r="B3620" s="2">
        <f>IFERROR(__xludf.DUMMYFUNCTION("""COMPUTED_VALUE"""),1.0)</f>
        <v>1</v>
      </c>
      <c r="C3620" s="2">
        <f>IFERROR(__xludf.DUMMYFUNCTION("""COMPUTED_VALUE"""),525.0)</f>
        <v>525</v>
      </c>
      <c r="D3620" s="3">
        <f>IFERROR(__xludf.DUMMYFUNCTION("""COMPUTED_VALUE"""),292.0)</f>
        <v>292</v>
      </c>
      <c r="E3620" s="2"/>
      <c r="F3620" s="2"/>
    </row>
    <row r="3621">
      <c r="A3621" s="2">
        <f>IFERROR(__xludf.DUMMYFUNCTION("""COMPUTED_VALUE"""),117728.0)</f>
        <v>117728</v>
      </c>
      <c r="B3621" s="2">
        <f>IFERROR(__xludf.DUMMYFUNCTION("""COMPUTED_VALUE"""),0.0)</f>
        <v>0</v>
      </c>
      <c r="C3621" s="2">
        <f>IFERROR(__xludf.DUMMYFUNCTION("""COMPUTED_VALUE"""),892.0)</f>
        <v>892</v>
      </c>
      <c r="D3621" s="3">
        <f>IFERROR(__xludf.DUMMYFUNCTION("""COMPUTED_VALUE"""),382.0)</f>
        <v>382</v>
      </c>
      <c r="E3621" s="2"/>
      <c r="F3621" s="2"/>
    </row>
    <row r="3622">
      <c r="A3622" s="2">
        <f>IFERROR(__xludf.DUMMYFUNCTION("""COMPUTED_VALUE"""),103588.0)</f>
        <v>103588</v>
      </c>
      <c r="B3622" s="2">
        <f>IFERROR(__xludf.DUMMYFUNCTION("""COMPUTED_VALUE"""),1.0)</f>
        <v>1</v>
      </c>
      <c r="C3622" s="2">
        <f>IFERROR(__xludf.DUMMYFUNCTION("""COMPUTED_VALUE"""),386.0)</f>
        <v>386</v>
      </c>
      <c r="D3622" s="3">
        <f>IFERROR(__xludf.DUMMYFUNCTION("""COMPUTED_VALUE"""),354.0)</f>
        <v>354</v>
      </c>
      <c r="E3622" s="2"/>
      <c r="F3622" s="2"/>
    </row>
    <row r="3623">
      <c r="A3623" s="2">
        <f>IFERROR(__xludf.DUMMYFUNCTION("""COMPUTED_VALUE"""),101297.0)</f>
        <v>101297</v>
      </c>
      <c r="B3623" s="2">
        <f>IFERROR(__xludf.DUMMYFUNCTION("""COMPUTED_VALUE"""),1.0)</f>
        <v>1</v>
      </c>
      <c r="C3623" s="2">
        <f>IFERROR(__xludf.DUMMYFUNCTION("""COMPUTED_VALUE"""),165.0)</f>
        <v>165</v>
      </c>
      <c r="D3623" s="3">
        <f>IFERROR(__xludf.DUMMYFUNCTION("""COMPUTED_VALUE"""),33.0)</f>
        <v>33</v>
      </c>
      <c r="E3623" s="2"/>
      <c r="F3623" s="2"/>
    </row>
    <row r="3624">
      <c r="A3624" s="2">
        <f>IFERROR(__xludf.DUMMYFUNCTION("""COMPUTED_VALUE"""),101298.0)</f>
        <v>101298</v>
      </c>
      <c r="B3624" s="2">
        <f>IFERROR(__xludf.DUMMYFUNCTION("""COMPUTED_VALUE"""),1.0)</f>
        <v>1</v>
      </c>
      <c r="C3624" s="2">
        <f>IFERROR(__xludf.DUMMYFUNCTION("""COMPUTED_VALUE"""),754.0)</f>
        <v>754</v>
      </c>
      <c r="D3624" s="3">
        <f>IFERROR(__xludf.DUMMYFUNCTION("""COMPUTED_VALUE"""),246.0)</f>
        <v>246</v>
      </c>
      <c r="E3624" s="2"/>
      <c r="F3624" s="2"/>
    </row>
    <row r="3625">
      <c r="A3625" s="2">
        <f>IFERROR(__xludf.DUMMYFUNCTION("""COMPUTED_VALUE"""),113129.0)</f>
        <v>113129</v>
      </c>
      <c r="B3625" s="2">
        <f>IFERROR(__xludf.DUMMYFUNCTION("""COMPUTED_VALUE"""),1.0)</f>
        <v>1</v>
      </c>
      <c r="C3625" s="2">
        <f>IFERROR(__xludf.DUMMYFUNCTION("""COMPUTED_VALUE"""),642.0)</f>
        <v>642</v>
      </c>
      <c r="D3625" s="3">
        <f>IFERROR(__xludf.DUMMYFUNCTION("""COMPUTED_VALUE"""),300.0)</f>
        <v>300</v>
      </c>
      <c r="E3625" s="2"/>
      <c r="F3625" s="2"/>
    </row>
    <row r="3626">
      <c r="A3626" s="2">
        <f>IFERROR(__xludf.DUMMYFUNCTION("""COMPUTED_VALUE"""),102551.0)</f>
        <v>102551</v>
      </c>
      <c r="B3626" s="2">
        <f>IFERROR(__xludf.DUMMYFUNCTION("""COMPUTED_VALUE"""),0.0)</f>
        <v>0</v>
      </c>
      <c r="C3626" s="2">
        <f>IFERROR(__xludf.DUMMYFUNCTION("""COMPUTED_VALUE"""),692.0)</f>
        <v>692</v>
      </c>
      <c r="D3626" s="3">
        <f>IFERROR(__xludf.DUMMYFUNCTION("""COMPUTED_VALUE"""),203.0)</f>
        <v>203</v>
      </c>
      <c r="E3626" s="2"/>
      <c r="F3626" s="2"/>
    </row>
    <row r="3627">
      <c r="A3627" s="2">
        <f>IFERROR(__xludf.DUMMYFUNCTION("""COMPUTED_VALUE"""),117735.0)</f>
        <v>117735</v>
      </c>
      <c r="B3627" s="2">
        <f>IFERROR(__xludf.DUMMYFUNCTION("""COMPUTED_VALUE"""),1.0)</f>
        <v>1</v>
      </c>
      <c r="C3627" s="2">
        <f>IFERROR(__xludf.DUMMYFUNCTION("""COMPUTED_VALUE"""),760.0)</f>
        <v>760</v>
      </c>
      <c r="D3627" s="3">
        <f>IFERROR(__xludf.DUMMYFUNCTION("""COMPUTED_VALUE"""),546.0)</f>
        <v>546</v>
      </c>
      <c r="E3627" s="2"/>
      <c r="F3627" s="2"/>
    </row>
    <row r="3628">
      <c r="A3628" s="2">
        <f>IFERROR(__xludf.DUMMYFUNCTION("""COMPUTED_VALUE"""),101299.0)</f>
        <v>101299</v>
      </c>
      <c r="B3628" s="2">
        <f>IFERROR(__xludf.DUMMYFUNCTION("""COMPUTED_VALUE"""),1.0)</f>
        <v>1</v>
      </c>
      <c r="C3628" s="2">
        <f>IFERROR(__xludf.DUMMYFUNCTION("""COMPUTED_VALUE"""),1.0)</f>
        <v>1</v>
      </c>
      <c r="D3628" s="3">
        <f>IFERROR(__xludf.DUMMYFUNCTION("""COMPUTED_VALUE"""),1.0)</f>
        <v>1</v>
      </c>
      <c r="E3628" s="2"/>
      <c r="F3628" s="2"/>
    </row>
    <row r="3629">
      <c r="A3629" s="2">
        <f>IFERROR(__xludf.DUMMYFUNCTION("""COMPUTED_VALUE"""),103590.0)</f>
        <v>103590</v>
      </c>
      <c r="B3629" s="2">
        <f>IFERROR(__xludf.DUMMYFUNCTION("""COMPUTED_VALUE"""),1.0)</f>
        <v>1</v>
      </c>
      <c r="C3629" s="2">
        <f>IFERROR(__xludf.DUMMYFUNCTION("""COMPUTED_VALUE"""),808.0)</f>
        <v>808</v>
      </c>
      <c r="D3629" s="3">
        <f>IFERROR(__xludf.DUMMYFUNCTION("""COMPUTED_VALUE"""),690.0)</f>
        <v>690</v>
      </c>
      <c r="E3629" s="2"/>
      <c r="F3629" s="2"/>
    </row>
    <row r="3630">
      <c r="A3630" s="2">
        <f>IFERROR(__xludf.DUMMYFUNCTION("""COMPUTED_VALUE"""),43944.0)</f>
        <v>43944</v>
      </c>
      <c r="B3630" s="2">
        <f>IFERROR(__xludf.DUMMYFUNCTION("""COMPUTED_VALUE"""),0.0)</f>
        <v>0</v>
      </c>
      <c r="C3630" s="2">
        <f>IFERROR(__xludf.DUMMYFUNCTION("""COMPUTED_VALUE"""),273.0)</f>
        <v>273</v>
      </c>
      <c r="D3630" s="3">
        <f>IFERROR(__xludf.DUMMYFUNCTION("""COMPUTED_VALUE"""),54.0)</f>
        <v>54</v>
      </c>
      <c r="E3630" s="2"/>
      <c r="F3630" s="2"/>
    </row>
    <row r="3631">
      <c r="A3631" s="2">
        <f>IFERROR(__xludf.DUMMYFUNCTION("""COMPUTED_VALUE"""),113128.0)</f>
        <v>113128</v>
      </c>
      <c r="B3631" s="2">
        <f>IFERROR(__xludf.DUMMYFUNCTION("""COMPUTED_VALUE"""),0.0)</f>
        <v>0</v>
      </c>
      <c r="C3631" s="2">
        <f>IFERROR(__xludf.DUMMYFUNCTION("""COMPUTED_VALUE"""),308.0)</f>
        <v>308</v>
      </c>
      <c r="D3631" s="3">
        <f>IFERROR(__xludf.DUMMYFUNCTION("""COMPUTED_VALUE"""),134.0)</f>
        <v>134</v>
      </c>
      <c r="E3631" s="2"/>
      <c r="F3631" s="2"/>
    </row>
    <row r="3632">
      <c r="A3632" s="2">
        <f>IFERROR(__xludf.DUMMYFUNCTION("""COMPUTED_VALUE"""),102553.0)</f>
        <v>102553</v>
      </c>
      <c r="B3632" s="2">
        <f>IFERROR(__xludf.DUMMYFUNCTION("""COMPUTED_VALUE"""),0.0)</f>
        <v>0</v>
      </c>
      <c r="C3632" s="2">
        <f>IFERROR(__xludf.DUMMYFUNCTION("""COMPUTED_VALUE"""),826.0)</f>
        <v>826</v>
      </c>
      <c r="D3632" s="3">
        <f>IFERROR(__xludf.DUMMYFUNCTION("""COMPUTED_VALUE"""),563.0)</f>
        <v>563</v>
      </c>
      <c r="E3632" s="2"/>
      <c r="F3632" s="2"/>
    </row>
    <row r="3633">
      <c r="A3633" s="2">
        <f>IFERROR(__xludf.DUMMYFUNCTION("""COMPUTED_VALUE"""),114230.0)</f>
        <v>114230</v>
      </c>
      <c r="B3633" s="2">
        <f>IFERROR(__xludf.DUMMYFUNCTION("""COMPUTED_VALUE"""),0.0)</f>
        <v>0</v>
      </c>
      <c r="C3633" s="2">
        <f>IFERROR(__xludf.DUMMYFUNCTION("""COMPUTED_VALUE"""),572.0)</f>
        <v>572</v>
      </c>
      <c r="D3633" s="3">
        <f>IFERROR(__xludf.DUMMYFUNCTION("""COMPUTED_VALUE"""),504.0)</f>
        <v>504</v>
      </c>
      <c r="E3633" s="2"/>
      <c r="F3633" s="2"/>
    </row>
    <row r="3634">
      <c r="A3634" s="2">
        <f>IFERROR(__xludf.DUMMYFUNCTION("""COMPUTED_VALUE"""),122028.0)</f>
        <v>122028</v>
      </c>
      <c r="B3634" s="2">
        <f>IFERROR(__xludf.DUMMYFUNCTION("""COMPUTED_VALUE"""),0.0)</f>
        <v>0</v>
      </c>
      <c r="C3634" s="2">
        <f>IFERROR(__xludf.DUMMYFUNCTION("""COMPUTED_VALUE"""),346.0)</f>
        <v>346</v>
      </c>
      <c r="D3634" s="3">
        <f>IFERROR(__xludf.DUMMYFUNCTION("""COMPUTED_VALUE"""),155.0)</f>
        <v>155</v>
      </c>
      <c r="E3634" s="2"/>
      <c r="F3634" s="2"/>
    </row>
    <row r="3635">
      <c r="A3635" s="2">
        <f>IFERROR(__xludf.DUMMYFUNCTION("""COMPUTED_VALUE"""),102269.0)</f>
        <v>102269</v>
      </c>
      <c r="B3635" s="2">
        <f>IFERROR(__xludf.DUMMYFUNCTION("""COMPUTED_VALUE"""),1.0)</f>
        <v>1</v>
      </c>
      <c r="C3635" s="2">
        <f>IFERROR(__xludf.DUMMYFUNCTION("""COMPUTED_VALUE"""),836.0)</f>
        <v>836</v>
      </c>
      <c r="D3635" s="3">
        <f>IFERROR(__xludf.DUMMYFUNCTION("""COMPUTED_VALUE"""),602.0)</f>
        <v>602</v>
      </c>
      <c r="E3635" s="2"/>
      <c r="F3635" s="2"/>
    </row>
    <row r="3636">
      <c r="A3636" s="2">
        <f>IFERROR(__xludf.DUMMYFUNCTION("""COMPUTED_VALUE"""),26651.0)</f>
        <v>26651</v>
      </c>
      <c r="B3636" s="2">
        <f>IFERROR(__xludf.DUMMYFUNCTION("""COMPUTED_VALUE"""),1.0)</f>
        <v>1</v>
      </c>
      <c r="C3636" s="2">
        <f>IFERROR(__xludf.DUMMYFUNCTION("""COMPUTED_VALUE"""),737.0)</f>
        <v>737</v>
      </c>
      <c r="D3636" s="3">
        <f>IFERROR(__xludf.DUMMYFUNCTION("""COMPUTED_VALUE"""),609.0)</f>
        <v>609</v>
      </c>
      <c r="E3636" s="2"/>
      <c r="F3636" s="2"/>
    </row>
    <row r="3637">
      <c r="A3637" s="2">
        <f>IFERROR(__xludf.DUMMYFUNCTION("""COMPUTED_VALUE"""),101316.0)</f>
        <v>101316</v>
      </c>
      <c r="B3637" s="2">
        <f>IFERROR(__xludf.DUMMYFUNCTION("""COMPUTED_VALUE"""),1.0)</f>
        <v>1</v>
      </c>
      <c r="C3637" s="2">
        <f>IFERROR(__xludf.DUMMYFUNCTION("""COMPUTED_VALUE"""),135.0)</f>
        <v>135</v>
      </c>
      <c r="D3637" s="3">
        <f>IFERROR(__xludf.DUMMYFUNCTION("""COMPUTED_VALUE"""),96.0)</f>
        <v>96</v>
      </c>
      <c r="E3637" s="2"/>
      <c r="F3637" s="2"/>
    </row>
    <row r="3638">
      <c r="A3638" s="2">
        <f>IFERROR(__xludf.DUMMYFUNCTION("""COMPUTED_VALUE"""),117742.0)</f>
        <v>117742</v>
      </c>
      <c r="B3638" s="2">
        <f>IFERROR(__xludf.DUMMYFUNCTION("""COMPUTED_VALUE"""),1.0)</f>
        <v>1</v>
      </c>
      <c r="C3638" s="2">
        <f>IFERROR(__xludf.DUMMYFUNCTION("""COMPUTED_VALUE"""),234.0)</f>
        <v>234</v>
      </c>
      <c r="D3638" s="3">
        <f>IFERROR(__xludf.DUMMYFUNCTION("""COMPUTED_VALUE"""),234.0)</f>
        <v>234</v>
      </c>
      <c r="E3638" s="2"/>
      <c r="F3638" s="2"/>
    </row>
    <row r="3639">
      <c r="A3639" s="2">
        <f>IFERROR(__xludf.DUMMYFUNCTION("""COMPUTED_VALUE"""),101315.0)</f>
        <v>101315</v>
      </c>
      <c r="B3639" s="2">
        <f>IFERROR(__xludf.DUMMYFUNCTION("""COMPUTED_VALUE"""),0.0)</f>
        <v>0</v>
      </c>
      <c r="C3639" s="2">
        <f>IFERROR(__xludf.DUMMYFUNCTION("""COMPUTED_VALUE"""),518.0)</f>
        <v>518</v>
      </c>
      <c r="D3639" s="3">
        <f>IFERROR(__xludf.DUMMYFUNCTION("""COMPUTED_VALUE"""),387.0)</f>
        <v>387</v>
      </c>
      <c r="E3639" s="2"/>
      <c r="F3639" s="2"/>
    </row>
    <row r="3640">
      <c r="A3640" s="2">
        <f>IFERROR(__xludf.DUMMYFUNCTION("""COMPUTED_VALUE"""),43945.0)</f>
        <v>43945</v>
      </c>
      <c r="B3640" s="2">
        <f>IFERROR(__xludf.DUMMYFUNCTION("""COMPUTED_VALUE"""),0.0)</f>
        <v>0</v>
      </c>
      <c r="C3640" s="2">
        <f>IFERROR(__xludf.DUMMYFUNCTION("""COMPUTED_VALUE"""),974.0)</f>
        <v>974</v>
      </c>
      <c r="D3640" s="3">
        <f>IFERROR(__xludf.DUMMYFUNCTION("""COMPUTED_VALUE"""),935.0)</f>
        <v>935</v>
      </c>
      <c r="E3640" s="2"/>
      <c r="F3640" s="2"/>
    </row>
    <row r="3641">
      <c r="A3641" s="2">
        <f>IFERROR(__xludf.DUMMYFUNCTION("""COMPUTED_VALUE"""),103589.0)</f>
        <v>103589</v>
      </c>
      <c r="B3641" s="2">
        <f>IFERROR(__xludf.DUMMYFUNCTION("""COMPUTED_VALUE"""),0.0)</f>
        <v>0</v>
      </c>
      <c r="C3641" s="2">
        <f>IFERROR(__xludf.DUMMYFUNCTION("""COMPUTED_VALUE"""),799.0)</f>
        <v>799</v>
      </c>
      <c r="D3641" s="3">
        <f>IFERROR(__xludf.DUMMYFUNCTION("""COMPUTED_VALUE"""),759.0)</f>
        <v>759</v>
      </c>
      <c r="E3641" s="2"/>
      <c r="F3641" s="2"/>
    </row>
    <row r="3642">
      <c r="A3642" s="2">
        <f>IFERROR(__xludf.DUMMYFUNCTION("""COMPUTED_VALUE"""),88896.0)</f>
        <v>88896</v>
      </c>
      <c r="B3642" s="2">
        <f>IFERROR(__xludf.DUMMYFUNCTION("""COMPUTED_VALUE"""),1.0)</f>
        <v>1</v>
      </c>
      <c r="C3642" s="2">
        <f>IFERROR(__xludf.DUMMYFUNCTION("""COMPUTED_VALUE"""),482.0)</f>
        <v>482</v>
      </c>
      <c r="D3642" s="3">
        <f>IFERROR(__xludf.DUMMYFUNCTION("""COMPUTED_VALUE"""),243.0)</f>
        <v>243</v>
      </c>
      <c r="E3642" s="2"/>
      <c r="F3642" s="2"/>
    </row>
    <row r="3643">
      <c r="A3643" s="2">
        <f>IFERROR(__xludf.DUMMYFUNCTION("""COMPUTED_VALUE"""),103595.0)</f>
        <v>103595</v>
      </c>
      <c r="B3643" s="2">
        <f>IFERROR(__xludf.DUMMYFUNCTION("""COMPUTED_VALUE"""),1.0)</f>
        <v>1</v>
      </c>
      <c r="C3643" s="2">
        <f>IFERROR(__xludf.DUMMYFUNCTION("""COMPUTED_VALUE"""),448.0)</f>
        <v>448</v>
      </c>
      <c r="D3643" s="3">
        <f>IFERROR(__xludf.DUMMYFUNCTION("""COMPUTED_VALUE"""),67.0)</f>
        <v>67</v>
      </c>
      <c r="E3643" s="2"/>
      <c r="F3643" s="2"/>
    </row>
    <row r="3644">
      <c r="A3644" s="2">
        <f>IFERROR(__xludf.DUMMYFUNCTION("""COMPUTED_VALUE"""),101300.0)</f>
        <v>101300</v>
      </c>
      <c r="B3644" s="2">
        <f>IFERROR(__xludf.DUMMYFUNCTION("""COMPUTED_VALUE"""),1.0)</f>
        <v>1</v>
      </c>
      <c r="C3644" s="2">
        <f>IFERROR(__xludf.DUMMYFUNCTION("""COMPUTED_VALUE"""),117.0)</f>
        <v>117</v>
      </c>
      <c r="D3644" s="3">
        <f>IFERROR(__xludf.DUMMYFUNCTION("""COMPUTED_VALUE"""),56.0)</f>
        <v>56</v>
      </c>
      <c r="E3644" s="2"/>
      <c r="F3644" s="2"/>
    </row>
    <row r="3645">
      <c r="A3645" s="2">
        <f>IFERROR(__xludf.DUMMYFUNCTION("""COMPUTED_VALUE"""),113130.0)</f>
        <v>113130</v>
      </c>
      <c r="B3645" s="2">
        <f>IFERROR(__xludf.DUMMYFUNCTION("""COMPUTED_VALUE"""),1.0)</f>
        <v>1</v>
      </c>
      <c r="C3645" s="2">
        <f>IFERROR(__xludf.DUMMYFUNCTION("""COMPUTED_VALUE"""),419.0)</f>
        <v>419</v>
      </c>
      <c r="D3645" s="3">
        <f>IFERROR(__xludf.DUMMYFUNCTION("""COMPUTED_VALUE"""),114.0)</f>
        <v>114</v>
      </c>
      <c r="E3645" s="2"/>
      <c r="F3645" s="2"/>
    </row>
    <row r="3646">
      <c r="A3646" s="2">
        <f>IFERROR(__xludf.DUMMYFUNCTION("""COMPUTED_VALUE"""),102272.0)</f>
        <v>102272</v>
      </c>
      <c r="B3646" s="2">
        <f>IFERROR(__xludf.DUMMYFUNCTION("""COMPUTED_VALUE"""),0.0)</f>
        <v>0</v>
      </c>
      <c r="C3646" s="2">
        <f>IFERROR(__xludf.DUMMYFUNCTION("""COMPUTED_VALUE"""),327.0)</f>
        <v>327</v>
      </c>
      <c r="D3646" s="3">
        <f>IFERROR(__xludf.DUMMYFUNCTION("""COMPUTED_VALUE"""),129.0)</f>
        <v>129</v>
      </c>
      <c r="E3646" s="2"/>
      <c r="F3646" s="2"/>
    </row>
    <row r="3647">
      <c r="A3647" s="2">
        <f>IFERROR(__xludf.DUMMYFUNCTION("""COMPUTED_VALUE"""),43947.0)</f>
        <v>43947</v>
      </c>
      <c r="B3647" s="2">
        <f>IFERROR(__xludf.DUMMYFUNCTION("""COMPUTED_VALUE"""),1.0)</f>
        <v>1</v>
      </c>
      <c r="C3647" s="2">
        <f>IFERROR(__xludf.DUMMYFUNCTION("""COMPUTED_VALUE"""),748.0)</f>
        <v>748</v>
      </c>
      <c r="D3647" s="3">
        <f>IFERROR(__xludf.DUMMYFUNCTION("""COMPUTED_VALUE"""),599.0)</f>
        <v>599</v>
      </c>
      <c r="E3647" s="2"/>
      <c r="F3647" s="2"/>
    </row>
    <row r="3648">
      <c r="A3648" s="2">
        <f>IFERROR(__xludf.DUMMYFUNCTION("""COMPUTED_VALUE"""),102271.0)</f>
        <v>102271</v>
      </c>
      <c r="B3648" s="2">
        <f>IFERROR(__xludf.DUMMYFUNCTION("""COMPUTED_VALUE"""),0.0)</f>
        <v>0</v>
      </c>
      <c r="C3648" s="2">
        <f>IFERROR(__xludf.DUMMYFUNCTION("""COMPUTED_VALUE"""),621.0)</f>
        <v>621</v>
      </c>
      <c r="D3648" s="3">
        <f>IFERROR(__xludf.DUMMYFUNCTION("""COMPUTED_VALUE"""),25.0)</f>
        <v>25</v>
      </c>
      <c r="E3648" s="2"/>
      <c r="F3648" s="2"/>
    </row>
    <row r="3649">
      <c r="A3649" s="2">
        <f>IFERROR(__xludf.DUMMYFUNCTION("""COMPUTED_VALUE"""),103592.0)</f>
        <v>103592</v>
      </c>
      <c r="B3649" s="2">
        <f>IFERROR(__xludf.DUMMYFUNCTION("""COMPUTED_VALUE"""),1.0)</f>
        <v>1</v>
      </c>
      <c r="C3649" s="2">
        <f>IFERROR(__xludf.DUMMYFUNCTION("""COMPUTED_VALUE"""),31.0)</f>
        <v>31</v>
      </c>
      <c r="D3649" s="3">
        <f>IFERROR(__xludf.DUMMYFUNCTION("""COMPUTED_VALUE"""),22.0)</f>
        <v>22</v>
      </c>
      <c r="E3649" s="2"/>
      <c r="F3649" s="2"/>
    </row>
    <row r="3650">
      <c r="A3650" s="2">
        <f>IFERROR(__xludf.DUMMYFUNCTION("""COMPUTED_VALUE"""),26652.0)</f>
        <v>26652</v>
      </c>
      <c r="B3650" s="2">
        <f>IFERROR(__xludf.DUMMYFUNCTION("""COMPUTED_VALUE"""),1.0)</f>
        <v>1</v>
      </c>
      <c r="C3650" s="2">
        <f>IFERROR(__xludf.DUMMYFUNCTION("""COMPUTED_VALUE"""),233.0)</f>
        <v>233</v>
      </c>
      <c r="D3650" s="3">
        <f>IFERROR(__xludf.DUMMYFUNCTION("""COMPUTED_VALUE"""),139.0)</f>
        <v>139</v>
      </c>
      <c r="E3650" s="2"/>
      <c r="F3650" s="2"/>
    </row>
    <row r="3651">
      <c r="A3651" s="2">
        <f>IFERROR(__xludf.DUMMYFUNCTION("""COMPUTED_VALUE"""),43946.0)</f>
        <v>43946</v>
      </c>
      <c r="B3651" s="2">
        <f>IFERROR(__xludf.DUMMYFUNCTION("""COMPUTED_VALUE"""),0.0)</f>
        <v>0</v>
      </c>
      <c r="C3651" s="2">
        <f>IFERROR(__xludf.DUMMYFUNCTION("""COMPUTED_VALUE"""),76.0)</f>
        <v>76</v>
      </c>
      <c r="D3651" s="3">
        <f>IFERROR(__xludf.DUMMYFUNCTION("""COMPUTED_VALUE"""),48.0)</f>
        <v>48</v>
      </c>
      <c r="E3651" s="2"/>
      <c r="F3651" s="2"/>
    </row>
    <row r="3652">
      <c r="A3652" s="2">
        <f>IFERROR(__xludf.DUMMYFUNCTION("""COMPUTED_VALUE"""),101301.0)</f>
        <v>101301</v>
      </c>
      <c r="B3652" s="2">
        <f>IFERROR(__xludf.DUMMYFUNCTION("""COMPUTED_VALUE"""),0.0)</f>
        <v>0</v>
      </c>
      <c r="C3652" s="2">
        <f>IFERROR(__xludf.DUMMYFUNCTION("""COMPUTED_VALUE"""),60.0)</f>
        <v>60</v>
      </c>
      <c r="D3652" s="3">
        <f>IFERROR(__xludf.DUMMYFUNCTION("""COMPUTED_VALUE"""),38.0)</f>
        <v>38</v>
      </c>
      <c r="E3652" s="2"/>
      <c r="F3652" s="2"/>
    </row>
    <row r="3653">
      <c r="A3653" s="2">
        <f>IFERROR(__xludf.DUMMYFUNCTION("""COMPUTED_VALUE"""),108458.0)</f>
        <v>108458</v>
      </c>
      <c r="B3653" s="2">
        <f>IFERROR(__xludf.DUMMYFUNCTION("""COMPUTED_VALUE"""),1.0)</f>
        <v>1</v>
      </c>
      <c r="C3653" s="2">
        <f>IFERROR(__xludf.DUMMYFUNCTION("""COMPUTED_VALUE"""),132.0)</f>
        <v>132</v>
      </c>
      <c r="D3653" s="3">
        <f>IFERROR(__xludf.DUMMYFUNCTION("""COMPUTED_VALUE"""),33.0)</f>
        <v>33</v>
      </c>
      <c r="E3653" s="2"/>
      <c r="F3653" s="2"/>
    </row>
    <row r="3654">
      <c r="A3654" s="2">
        <f>IFERROR(__xludf.DUMMYFUNCTION("""COMPUTED_VALUE"""),117736.0)</f>
        <v>117736</v>
      </c>
      <c r="B3654" s="2">
        <f>IFERROR(__xludf.DUMMYFUNCTION("""COMPUTED_VALUE"""),0.0)</f>
        <v>0</v>
      </c>
      <c r="C3654" s="2">
        <f>IFERROR(__xludf.DUMMYFUNCTION("""COMPUTED_VALUE"""),87.0)</f>
        <v>87</v>
      </c>
      <c r="D3654" s="3">
        <f>IFERROR(__xludf.DUMMYFUNCTION("""COMPUTED_VALUE"""),29.0)</f>
        <v>29</v>
      </c>
      <c r="E3654" s="2"/>
      <c r="F3654" s="2"/>
    </row>
    <row r="3655">
      <c r="A3655" s="2">
        <f>IFERROR(__xludf.DUMMYFUNCTION("""COMPUTED_VALUE"""),49606.0)</f>
        <v>49606</v>
      </c>
      <c r="B3655" s="2">
        <f>IFERROR(__xludf.DUMMYFUNCTION("""COMPUTED_VALUE"""),0.0)</f>
        <v>0</v>
      </c>
      <c r="C3655" s="2">
        <f>IFERROR(__xludf.DUMMYFUNCTION("""COMPUTED_VALUE"""),167.0)</f>
        <v>167</v>
      </c>
      <c r="D3655" s="3">
        <f>IFERROR(__xludf.DUMMYFUNCTION("""COMPUTED_VALUE"""),20.0)</f>
        <v>20</v>
      </c>
      <c r="E3655" s="2"/>
      <c r="F3655" s="2"/>
    </row>
    <row r="3656">
      <c r="A3656" s="2">
        <f>IFERROR(__xludf.DUMMYFUNCTION("""COMPUTED_VALUE"""),106297.0)</f>
        <v>106297</v>
      </c>
      <c r="B3656" s="2">
        <f>IFERROR(__xludf.DUMMYFUNCTION("""COMPUTED_VALUE"""),1.0)</f>
        <v>1</v>
      </c>
      <c r="C3656" s="2">
        <f>IFERROR(__xludf.DUMMYFUNCTION("""COMPUTED_VALUE"""),436.0)</f>
        <v>436</v>
      </c>
      <c r="D3656" s="3">
        <f>IFERROR(__xludf.DUMMYFUNCTION("""COMPUTED_VALUE"""),24.0)</f>
        <v>24</v>
      </c>
      <c r="E3656" s="2"/>
      <c r="F3656" s="2"/>
    </row>
    <row r="3657">
      <c r="A3657" s="2">
        <f>IFERROR(__xludf.DUMMYFUNCTION("""COMPUTED_VALUE"""),15556.0)</f>
        <v>15556</v>
      </c>
      <c r="B3657" s="2">
        <f>IFERROR(__xludf.DUMMYFUNCTION("""COMPUTED_VALUE"""),1.0)</f>
        <v>1</v>
      </c>
      <c r="C3657" s="2">
        <f>IFERROR(__xludf.DUMMYFUNCTION("""COMPUTED_VALUE"""),772.0)</f>
        <v>772</v>
      </c>
      <c r="D3657" s="3">
        <f>IFERROR(__xludf.DUMMYFUNCTION("""COMPUTED_VALUE"""),705.0)</f>
        <v>705</v>
      </c>
      <c r="E3657" s="2"/>
      <c r="F3657" s="2"/>
    </row>
    <row r="3658">
      <c r="A3658" s="2">
        <f>IFERROR(__xludf.DUMMYFUNCTION("""COMPUTED_VALUE"""),49605.0)</f>
        <v>49605</v>
      </c>
      <c r="B3658" s="2">
        <f>IFERROR(__xludf.DUMMYFUNCTION("""COMPUTED_VALUE"""),0.0)</f>
        <v>0</v>
      </c>
      <c r="C3658" s="2">
        <f>IFERROR(__xludf.DUMMYFUNCTION("""COMPUTED_VALUE"""),949.0)</f>
        <v>949</v>
      </c>
      <c r="D3658" s="3">
        <f>IFERROR(__xludf.DUMMYFUNCTION("""COMPUTED_VALUE"""),560.0)</f>
        <v>560</v>
      </c>
      <c r="E3658" s="2"/>
      <c r="F3658" s="2"/>
    </row>
    <row r="3659">
      <c r="A3659" s="2">
        <f>IFERROR(__xludf.DUMMYFUNCTION("""COMPUTED_VALUE"""),102312.0)</f>
        <v>102312</v>
      </c>
      <c r="B3659" s="2">
        <f>IFERROR(__xludf.DUMMYFUNCTION("""COMPUTED_VALUE"""),1.0)</f>
        <v>1</v>
      </c>
      <c r="C3659" s="2">
        <f>IFERROR(__xludf.DUMMYFUNCTION("""COMPUTED_VALUE"""),758.0)</f>
        <v>758</v>
      </c>
      <c r="D3659" s="3">
        <f>IFERROR(__xludf.DUMMYFUNCTION("""COMPUTED_VALUE"""),237.0)</f>
        <v>237</v>
      </c>
      <c r="E3659" s="2"/>
      <c r="F3659" s="2"/>
    </row>
    <row r="3660">
      <c r="A3660" s="2">
        <f>IFERROR(__xludf.DUMMYFUNCTION("""COMPUTED_VALUE"""),121125.0)</f>
        <v>121125</v>
      </c>
      <c r="B3660" s="2">
        <f>IFERROR(__xludf.DUMMYFUNCTION("""COMPUTED_VALUE"""),1.0)</f>
        <v>1</v>
      </c>
      <c r="C3660" s="2">
        <f>IFERROR(__xludf.DUMMYFUNCTION("""COMPUTED_VALUE"""),564.0)</f>
        <v>564</v>
      </c>
      <c r="D3660" s="3">
        <f>IFERROR(__xludf.DUMMYFUNCTION("""COMPUTED_VALUE"""),468.0)</f>
        <v>468</v>
      </c>
      <c r="E3660" s="2"/>
      <c r="F3660" s="2"/>
    </row>
    <row r="3661">
      <c r="A3661" s="2">
        <f>IFERROR(__xludf.DUMMYFUNCTION("""COMPUTED_VALUE"""),106401.0)</f>
        <v>106401</v>
      </c>
      <c r="B3661" s="2">
        <f>IFERROR(__xludf.DUMMYFUNCTION("""COMPUTED_VALUE"""),0.0)</f>
        <v>0</v>
      </c>
      <c r="C3661" s="2">
        <f>IFERROR(__xludf.DUMMYFUNCTION("""COMPUTED_VALUE"""),136.0)</f>
        <v>136</v>
      </c>
      <c r="D3661" s="3">
        <f>IFERROR(__xludf.DUMMYFUNCTION("""COMPUTED_VALUE"""),65.0)</f>
        <v>65</v>
      </c>
      <c r="E3661" s="2"/>
      <c r="F3661" s="2"/>
    </row>
    <row r="3662">
      <c r="A3662" s="2">
        <f>IFERROR(__xludf.DUMMYFUNCTION("""COMPUTED_VALUE"""),116834.0)</f>
        <v>116834</v>
      </c>
      <c r="B3662" s="2">
        <f>IFERROR(__xludf.DUMMYFUNCTION("""COMPUTED_VALUE"""),0.0)</f>
        <v>0</v>
      </c>
      <c r="C3662" s="2">
        <f>IFERROR(__xludf.DUMMYFUNCTION("""COMPUTED_VALUE"""),856.0)</f>
        <v>856</v>
      </c>
      <c r="D3662" s="3">
        <f>IFERROR(__xludf.DUMMYFUNCTION("""COMPUTED_VALUE"""),267.0)</f>
        <v>267</v>
      </c>
      <c r="E3662" s="2"/>
      <c r="F3662" s="2"/>
    </row>
    <row r="3663">
      <c r="A3663" s="2">
        <f>IFERROR(__xludf.DUMMYFUNCTION("""COMPUTED_VALUE"""),1953.0)</f>
        <v>1953</v>
      </c>
      <c r="B3663" s="2">
        <f>IFERROR(__xludf.DUMMYFUNCTION("""COMPUTED_VALUE"""),0.0)</f>
        <v>0</v>
      </c>
      <c r="C3663" s="2">
        <f>IFERROR(__xludf.DUMMYFUNCTION("""COMPUTED_VALUE"""),553.0)</f>
        <v>553</v>
      </c>
      <c r="D3663" s="3">
        <f>IFERROR(__xludf.DUMMYFUNCTION("""COMPUTED_VALUE"""),131.0)</f>
        <v>131</v>
      </c>
      <c r="E3663" s="2"/>
      <c r="F3663" s="2"/>
    </row>
    <row r="3664">
      <c r="A3664" s="2">
        <f>IFERROR(__xludf.DUMMYFUNCTION("""COMPUTED_VALUE"""),106305.0)</f>
        <v>106305</v>
      </c>
      <c r="B3664" s="2">
        <f>IFERROR(__xludf.DUMMYFUNCTION("""COMPUTED_VALUE"""),0.0)</f>
        <v>0</v>
      </c>
      <c r="C3664" s="2">
        <f>IFERROR(__xludf.DUMMYFUNCTION("""COMPUTED_VALUE"""),885.0)</f>
        <v>885</v>
      </c>
      <c r="D3664" s="3">
        <f>IFERROR(__xludf.DUMMYFUNCTION("""COMPUTED_VALUE"""),451.0)</f>
        <v>451</v>
      </c>
      <c r="E3664" s="2"/>
      <c r="F3664" s="2"/>
    </row>
    <row r="3665">
      <c r="A3665" s="2">
        <f>IFERROR(__xludf.DUMMYFUNCTION("""COMPUTED_VALUE"""),108278.0)</f>
        <v>108278</v>
      </c>
      <c r="B3665" s="2">
        <f>IFERROR(__xludf.DUMMYFUNCTION("""COMPUTED_VALUE"""),0.0)</f>
        <v>0</v>
      </c>
      <c r="C3665" s="2">
        <f>IFERROR(__xludf.DUMMYFUNCTION("""COMPUTED_VALUE"""),383.0)</f>
        <v>383</v>
      </c>
      <c r="D3665" s="3">
        <f>IFERROR(__xludf.DUMMYFUNCTION("""COMPUTED_VALUE"""),73.0)</f>
        <v>73</v>
      </c>
      <c r="E3665" s="2"/>
      <c r="F3665" s="2"/>
    </row>
    <row r="3666">
      <c r="A3666" s="2">
        <f>IFERROR(__xludf.DUMMYFUNCTION("""COMPUTED_VALUE"""),47660.0)</f>
        <v>47660</v>
      </c>
      <c r="B3666" s="2">
        <f>IFERROR(__xludf.DUMMYFUNCTION("""COMPUTED_VALUE"""),0.0)</f>
        <v>0</v>
      </c>
      <c r="C3666" s="2">
        <f>IFERROR(__xludf.DUMMYFUNCTION("""COMPUTED_VALUE"""),552.0)</f>
        <v>552</v>
      </c>
      <c r="D3666" s="3">
        <f>IFERROR(__xludf.DUMMYFUNCTION("""COMPUTED_VALUE"""),481.0)</f>
        <v>481</v>
      </c>
      <c r="E3666" s="2"/>
      <c r="F3666" s="2"/>
    </row>
    <row r="3667">
      <c r="A3667" s="2">
        <f>IFERROR(__xludf.DUMMYFUNCTION("""COMPUTED_VALUE"""),47657.0)</f>
        <v>47657</v>
      </c>
      <c r="B3667" s="2">
        <f>IFERROR(__xludf.DUMMYFUNCTION("""COMPUTED_VALUE"""),0.0)</f>
        <v>0</v>
      </c>
      <c r="C3667" s="2">
        <f>IFERROR(__xludf.DUMMYFUNCTION("""COMPUTED_VALUE"""),696.0)</f>
        <v>696</v>
      </c>
      <c r="D3667" s="3">
        <f>IFERROR(__xludf.DUMMYFUNCTION("""COMPUTED_VALUE"""),181.0)</f>
        <v>181</v>
      </c>
      <c r="E3667" s="2"/>
      <c r="F3667" s="2"/>
    </row>
    <row r="3668">
      <c r="A3668" s="2">
        <f>IFERROR(__xludf.DUMMYFUNCTION("""COMPUTED_VALUE"""),64185.0)</f>
        <v>64185</v>
      </c>
      <c r="B3668" s="2">
        <f>IFERROR(__xludf.DUMMYFUNCTION("""COMPUTED_VALUE"""),1.0)</f>
        <v>1</v>
      </c>
      <c r="C3668" s="2">
        <f>IFERROR(__xludf.DUMMYFUNCTION("""COMPUTED_VALUE"""),486.0)</f>
        <v>486</v>
      </c>
      <c r="D3668" s="3">
        <f>IFERROR(__xludf.DUMMYFUNCTION("""COMPUTED_VALUE"""),439.0)</f>
        <v>439</v>
      </c>
      <c r="E3668" s="2"/>
      <c r="F3668" s="2"/>
    </row>
    <row r="3669">
      <c r="A3669" s="2">
        <f>IFERROR(__xludf.DUMMYFUNCTION("""COMPUTED_VALUE"""),108256.0)</f>
        <v>108256</v>
      </c>
      <c r="B3669" s="2">
        <f>IFERROR(__xludf.DUMMYFUNCTION("""COMPUTED_VALUE"""),1.0)</f>
        <v>1</v>
      </c>
      <c r="C3669" s="2">
        <f>IFERROR(__xludf.DUMMYFUNCTION("""COMPUTED_VALUE"""),98.0)</f>
        <v>98</v>
      </c>
      <c r="D3669" s="3">
        <f>IFERROR(__xludf.DUMMYFUNCTION("""COMPUTED_VALUE"""),69.0)</f>
        <v>69</v>
      </c>
      <c r="E3669" s="2"/>
      <c r="F3669" s="2"/>
    </row>
    <row r="3670">
      <c r="A3670" s="2">
        <f>IFERROR(__xludf.DUMMYFUNCTION("""COMPUTED_VALUE"""),62597.0)</f>
        <v>62597</v>
      </c>
      <c r="B3670" s="2">
        <f>IFERROR(__xludf.DUMMYFUNCTION("""COMPUTED_VALUE"""),0.0)</f>
        <v>0</v>
      </c>
      <c r="C3670" s="2">
        <f>IFERROR(__xludf.DUMMYFUNCTION("""COMPUTED_VALUE"""),195.0)</f>
        <v>195</v>
      </c>
      <c r="D3670" s="3">
        <f>IFERROR(__xludf.DUMMYFUNCTION("""COMPUTED_VALUE"""),51.0)</f>
        <v>51</v>
      </c>
      <c r="E3670" s="2"/>
      <c r="F3670" s="2"/>
    </row>
    <row r="3671">
      <c r="A3671" s="2">
        <f>IFERROR(__xludf.DUMMYFUNCTION("""COMPUTED_VALUE"""),102304.0)</f>
        <v>102304</v>
      </c>
      <c r="B3671" s="2">
        <f>IFERROR(__xludf.DUMMYFUNCTION("""COMPUTED_VALUE"""),1.0)</f>
        <v>1</v>
      </c>
      <c r="C3671" s="2">
        <f>IFERROR(__xludf.DUMMYFUNCTION("""COMPUTED_VALUE"""),195.0)</f>
        <v>195</v>
      </c>
      <c r="D3671" s="3">
        <f>IFERROR(__xludf.DUMMYFUNCTION("""COMPUTED_VALUE"""),88.0)</f>
        <v>88</v>
      </c>
      <c r="E3671" s="2"/>
      <c r="F3671" s="2"/>
    </row>
    <row r="3672">
      <c r="A3672" s="2">
        <f>IFERROR(__xludf.DUMMYFUNCTION("""COMPUTED_VALUE"""),118242.0)</f>
        <v>118242</v>
      </c>
      <c r="B3672" s="2">
        <f>IFERROR(__xludf.DUMMYFUNCTION("""COMPUTED_VALUE"""),1.0)</f>
        <v>1</v>
      </c>
      <c r="C3672" s="2">
        <f>IFERROR(__xludf.DUMMYFUNCTION("""COMPUTED_VALUE"""),823.0)</f>
        <v>823</v>
      </c>
      <c r="D3672" s="3">
        <f>IFERROR(__xludf.DUMMYFUNCTION("""COMPUTED_VALUE"""),76.0)</f>
        <v>76</v>
      </c>
      <c r="E3672" s="2"/>
      <c r="F3672" s="2"/>
    </row>
    <row r="3673">
      <c r="A3673" s="2">
        <f>IFERROR(__xludf.DUMMYFUNCTION("""COMPUTED_VALUE"""),121743.0)</f>
        <v>121743</v>
      </c>
      <c r="B3673" s="2">
        <f>IFERROR(__xludf.DUMMYFUNCTION("""COMPUTED_VALUE"""),0.0)</f>
        <v>0</v>
      </c>
      <c r="C3673" s="2">
        <f>IFERROR(__xludf.DUMMYFUNCTION("""COMPUTED_VALUE"""),954.0)</f>
        <v>954</v>
      </c>
      <c r="D3673" s="3">
        <f>IFERROR(__xludf.DUMMYFUNCTION("""COMPUTED_VALUE"""),291.0)</f>
        <v>291</v>
      </c>
      <c r="E3673" s="2"/>
      <c r="F3673" s="2"/>
    </row>
    <row r="3674">
      <c r="A3674" s="2">
        <f>IFERROR(__xludf.DUMMYFUNCTION("""COMPUTED_VALUE"""),108257.0)</f>
        <v>108257</v>
      </c>
      <c r="B3674" s="2">
        <f>IFERROR(__xludf.DUMMYFUNCTION("""COMPUTED_VALUE"""),0.0)</f>
        <v>0</v>
      </c>
      <c r="C3674" s="2">
        <f>IFERROR(__xludf.DUMMYFUNCTION("""COMPUTED_VALUE"""),64.0)</f>
        <v>64</v>
      </c>
      <c r="D3674" s="3">
        <f>IFERROR(__xludf.DUMMYFUNCTION("""COMPUTED_VALUE"""),11.0)</f>
        <v>11</v>
      </c>
      <c r="E3674" s="2"/>
      <c r="F3674" s="2"/>
    </row>
    <row r="3675">
      <c r="A3675" s="2">
        <f>IFERROR(__xludf.DUMMYFUNCTION("""COMPUTED_VALUE"""),117756.0)</f>
        <v>117756</v>
      </c>
      <c r="B3675" s="2">
        <f>IFERROR(__xludf.DUMMYFUNCTION("""COMPUTED_VALUE"""),1.0)</f>
        <v>1</v>
      </c>
      <c r="C3675" s="2">
        <f>IFERROR(__xludf.DUMMYFUNCTION("""COMPUTED_VALUE"""),549.0)</f>
        <v>549</v>
      </c>
      <c r="D3675" s="3">
        <f>IFERROR(__xludf.DUMMYFUNCTION("""COMPUTED_VALUE"""),97.0)</f>
        <v>97</v>
      </c>
      <c r="E3675" s="2"/>
      <c r="F3675" s="2"/>
    </row>
    <row r="3676">
      <c r="A3676" s="2">
        <f>IFERROR(__xludf.DUMMYFUNCTION("""COMPUTED_VALUE"""),110334.0)</f>
        <v>110334</v>
      </c>
      <c r="B3676" s="2">
        <f>IFERROR(__xludf.DUMMYFUNCTION("""COMPUTED_VALUE"""),1.0)</f>
        <v>1</v>
      </c>
      <c r="C3676" s="2">
        <f>IFERROR(__xludf.DUMMYFUNCTION("""COMPUTED_VALUE"""),74.0)</f>
        <v>74</v>
      </c>
      <c r="D3676" s="3">
        <f>IFERROR(__xludf.DUMMYFUNCTION("""COMPUTED_VALUE"""),35.0)</f>
        <v>35</v>
      </c>
      <c r="E3676" s="2"/>
      <c r="F3676" s="2"/>
    </row>
    <row r="3677">
      <c r="A3677" s="2">
        <f>IFERROR(__xludf.DUMMYFUNCTION("""COMPUTED_VALUE"""),102307.0)</f>
        <v>102307</v>
      </c>
      <c r="B3677" s="2">
        <f>IFERROR(__xludf.DUMMYFUNCTION("""COMPUTED_VALUE"""),1.0)</f>
        <v>1</v>
      </c>
      <c r="C3677" s="2">
        <f>IFERROR(__xludf.DUMMYFUNCTION("""COMPUTED_VALUE"""),882.0)</f>
        <v>882</v>
      </c>
      <c r="D3677" s="3">
        <f>IFERROR(__xludf.DUMMYFUNCTION("""COMPUTED_VALUE"""),548.0)</f>
        <v>548</v>
      </c>
      <c r="E3677" s="2"/>
      <c r="F3677" s="2"/>
    </row>
    <row r="3678">
      <c r="A3678" s="2">
        <f>IFERROR(__xludf.DUMMYFUNCTION("""COMPUTED_VALUE"""),117750.0)</f>
        <v>117750</v>
      </c>
      <c r="B3678" s="2">
        <f>IFERROR(__xludf.DUMMYFUNCTION("""COMPUTED_VALUE"""),1.0)</f>
        <v>1</v>
      </c>
      <c r="C3678" s="2">
        <f>IFERROR(__xludf.DUMMYFUNCTION("""COMPUTED_VALUE"""),127.0)</f>
        <v>127</v>
      </c>
      <c r="D3678" s="3">
        <f>IFERROR(__xludf.DUMMYFUNCTION("""COMPUTED_VALUE"""),32.0)</f>
        <v>32</v>
      </c>
      <c r="E3678" s="2"/>
      <c r="F3678" s="2"/>
    </row>
    <row r="3679">
      <c r="A3679" s="2">
        <f>IFERROR(__xludf.DUMMYFUNCTION("""COMPUTED_VALUE"""),181976.0)</f>
        <v>181976</v>
      </c>
      <c r="B3679" s="2">
        <f>IFERROR(__xludf.DUMMYFUNCTION("""COMPUTED_VALUE"""),1.0)</f>
        <v>1</v>
      </c>
      <c r="C3679" s="2">
        <f>IFERROR(__xludf.DUMMYFUNCTION("""COMPUTED_VALUE"""),160.0)</f>
        <v>160</v>
      </c>
      <c r="D3679" s="3">
        <f>IFERROR(__xludf.DUMMYFUNCTION("""COMPUTED_VALUE"""),38.0)</f>
        <v>38</v>
      </c>
      <c r="E3679" s="2"/>
      <c r="F3679" s="2"/>
    </row>
    <row r="3680">
      <c r="A3680" s="2">
        <f>IFERROR(__xludf.DUMMYFUNCTION("""COMPUTED_VALUE"""),108258.0)</f>
        <v>108258</v>
      </c>
      <c r="B3680" s="2">
        <f>IFERROR(__xludf.DUMMYFUNCTION("""COMPUTED_VALUE"""),1.0)</f>
        <v>1</v>
      </c>
      <c r="C3680" s="2">
        <f>IFERROR(__xludf.DUMMYFUNCTION("""COMPUTED_VALUE"""),416.0)</f>
        <v>416</v>
      </c>
      <c r="D3680" s="3">
        <f>IFERROR(__xludf.DUMMYFUNCTION("""COMPUTED_VALUE"""),93.0)</f>
        <v>93</v>
      </c>
      <c r="E3680" s="2"/>
      <c r="F3680" s="2"/>
    </row>
    <row r="3681">
      <c r="A3681" s="2">
        <f>IFERROR(__xludf.DUMMYFUNCTION("""COMPUTED_VALUE"""),110241.0)</f>
        <v>110241</v>
      </c>
      <c r="B3681" s="2">
        <f>IFERROR(__xludf.DUMMYFUNCTION("""COMPUTED_VALUE"""),1.0)</f>
        <v>1</v>
      </c>
      <c r="C3681" s="2">
        <f>IFERROR(__xludf.DUMMYFUNCTION("""COMPUTED_VALUE"""),249.0)</f>
        <v>249</v>
      </c>
      <c r="D3681" s="3">
        <f>IFERROR(__xludf.DUMMYFUNCTION("""COMPUTED_VALUE"""),9.0)</f>
        <v>9</v>
      </c>
      <c r="E3681" s="2"/>
      <c r="F3681" s="2"/>
    </row>
    <row r="3682">
      <c r="A3682" s="2">
        <f>IFERROR(__xludf.DUMMYFUNCTION("""COMPUTED_VALUE"""),110337.0)</f>
        <v>110337</v>
      </c>
      <c r="B3682" s="2">
        <f>IFERROR(__xludf.DUMMYFUNCTION("""COMPUTED_VALUE"""),1.0)</f>
        <v>1</v>
      </c>
      <c r="C3682" s="2">
        <f>IFERROR(__xludf.DUMMYFUNCTION("""COMPUTED_VALUE"""),666.0)</f>
        <v>666</v>
      </c>
      <c r="D3682" s="3">
        <f>IFERROR(__xludf.DUMMYFUNCTION("""COMPUTED_VALUE"""),9.0)</f>
        <v>9</v>
      </c>
      <c r="E3682" s="2"/>
      <c r="F3682" s="2"/>
    </row>
    <row r="3683">
      <c r="A3683" s="2">
        <f>IFERROR(__xludf.DUMMYFUNCTION("""COMPUTED_VALUE"""),118243.0)</f>
        <v>118243</v>
      </c>
      <c r="B3683" s="2">
        <f>IFERROR(__xludf.DUMMYFUNCTION("""COMPUTED_VALUE"""),1.0)</f>
        <v>1</v>
      </c>
      <c r="C3683" s="2">
        <f>IFERROR(__xludf.DUMMYFUNCTION("""COMPUTED_VALUE"""),558.0)</f>
        <v>558</v>
      </c>
      <c r="D3683" s="3">
        <f>IFERROR(__xludf.DUMMYFUNCTION("""COMPUTED_VALUE"""),58.0)</f>
        <v>58</v>
      </c>
      <c r="E3683" s="2"/>
      <c r="F3683" s="2"/>
    </row>
    <row r="3684">
      <c r="A3684" s="2">
        <f>IFERROR(__xludf.DUMMYFUNCTION("""COMPUTED_VALUE"""),102305.0)</f>
        <v>102305</v>
      </c>
      <c r="B3684" s="2">
        <f>IFERROR(__xludf.DUMMYFUNCTION("""COMPUTED_VALUE"""),0.0)</f>
        <v>0</v>
      </c>
      <c r="C3684" s="2">
        <f>IFERROR(__xludf.DUMMYFUNCTION("""COMPUTED_VALUE"""),735.0)</f>
        <v>735</v>
      </c>
      <c r="D3684" s="3">
        <f>IFERROR(__xludf.DUMMYFUNCTION("""COMPUTED_VALUE"""),58.0)</f>
        <v>58</v>
      </c>
      <c r="E3684" s="2"/>
      <c r="F3684" s="2"/>
    </row>
    <row r="3685">
      <c r="A3685" s="2">
        <f>IFERROR(__xludf.DUMMYFUNCTION("""COMPUTED_VALUE"""),110342.0)</f>
        <v>110342</v>
      </c>
      <c r="B3685" s="2">
        <f>IFERROR(__xludf.DUMMYFUNCTION("""COMPUTED_VALUE"""),1.0)</f>
        <v>1</v>
      </c>
      <c r="C3685" s="2">
        <f>IFERROR(__xludf.DUMMYFUNCTION("""COMPUTED_VALUE"""),208.0)</f>
        <v>208</v>
      </c>
      <c r="D3685" s="3">
        <f>IFERROR(__xludf.DUMMYFUNCTION("""COMPUTED_VALUE"""),85.0)</f>
        <v>85</v>
      </c>
      <c r="E3685" s="2"/>
      <c r="F3685" s="2"/>
    </row>
    <row r="3686">
      <c r="A3686" s="2">
        <f>IFERROR(__xludf.DUMMYFUNCTION("""COMPUTED_VALUE"""),102306.0)</f>
        <v>102306</v>
      </c>
      <c r="B3686" s="2">
        <f>IFERROR(__xludf.DUMMYFUNCTION("""COMPUTED_VALUE"""),1.0)</f>
        <v>1</v>
      </c>
      <c r="C3686" s="2">
        <f>IFERROR(__xludf.DUMMYFUNCTION("""COMPUTED_VALUE"""),859.0)</f>
        <v>859</v>
      </c>
      <c r="D3686" s="3">
        <f>IFERROR(__xludf.DUMMYFUNCTION("""COMPUTED_VALUE"""),210.0)</f>
        <v>210</v>
      </c>
      <c r="E3686" s="2"/>
      <c r="F3686" s="2"/>
    </row>
    <row r="3687">
      <c r="A3687" s="2">
        <f>IFERROR(__xludf.DUMMYFUNCTION("""COMPUTED_VALUE"""),194045.0)</f>
        <v>194045</v>
      </c>
      <c r="B3687" s="2">
        <f>IFERROR(__xludf.DUMMYFUNCTION("""COMPUTED_VALUE"""),1.0)</f>
        <v>1</v>
      </c>
      <c r="C3687" s="2">
        <f>IFERROR(__xludf.DUMMYFUNCTION("""COMPUTED_VALUE"""),652.0)</f>
        <v>652</v>
      </c>
      <c r="D3687" s="3">
        <f>IFERROR(__xludf.DUMMYFUNCTION("""COMPUTED_VALUE"""),91.0)</f>
        <v>91</v>
      </c>
      <c r="E3687" s="2"/>
      <c r="F3687" s="2"/>
    </row>
    <row r="3688">
      <c r="A3688" s="2">
        <f>IFERROR(__xludf.DUMMYFUNCTION("""COMPUTED_VALUE"""),96009.0)</f>
        <v>96009</v>
      </c>
      <c r="B3688" s="2">
        <f>IFERROR(__xludf.DUMMYFUNCTION("""COMPUTED_VALUE"""),0.0)</f>
        <v>0</v>
      </c>
      <c r="C3688" s="2">
        <f>IFERROR(__xludf.DUMMYFUNCTION("""COMPUTED_VALUE"""),254.0)</f>
        <v>254</v>
      </c>
      <c r="D3688" s="3">
        <f>IFERROR(__xludf.DUMMYFUNCTION("""COMPUTED_VALUE"""),175.0)</f>
        <v>175</v>
      </c>
      <c r="E3688" s="2"/>
      <c r="F3688" s="2"/>
    </row>
    <row r="3689">
      <c r="A3689" s="2">
        <f>IFERROR(__xludf.DUMMYFUNCTION("""COMPUTED_VALUE"""),104087.0)</f>
        <v>104087</v>
      </c>
      <c r="B3689" s="2">
        <f>IFERROR(__xludf.DUMMYFUNCTION("""COMPUTED_VALUE"""),0.0)</f>
        <v>0</v>
      </c>
      <c r="C3689" s="2">
        <f>IFERROR(__xludf.DUMMYFUNCTION("""COMPUTED_VALUE"""),515.0)</f>
        <v>515</v>
      </c>
      <c r="D3689" s="3">
        <f>IFERROR(__xludf.DUMMYFUNCTION("""COMPUTED_VALUE"""),309.0)</f>
        <v>309</v>
      </c>
      <c r="E3689" s="2"/>
      <c r="F3689" s="2"/>
    </row>
    <row r="3690">
      <c r="A3690" s="2">
        <f>IFERROR(__xludf.DUMMYFUNCTION("""COMPUTED_VALUE"""),77448.0)</f>
        <v>77448</v>
      </c>
      <c r="B3690" s="2">
        <f>IFERROR(__xludf.DUMMYFUNCTION("""COMPUTED_VALUE"""),1.0)</f>
        <v>1</v>
      </c>
      <c r="C3690" s="2">
        <f>IFERROR(__xludf.DUMMYFUNCTION("""COMPUTED_VALUE"""),885.0)</f>
        <v>885</v>
      </c>
      <c r="D3690" s="3">
        <f>IFERROR(__xludf.DUMMYFUNCTION("""COMPUTED_VALUE"""),225.0)</f>
        <v>225</v>
      </c>
      <c r="E3690" s="2"/>
      <c r="F3690" s="2"/>
    </row>
    <row r="3691">
      <c r="A3691" s="2">
        <f>IFERROR(__xludf.DUMMYFUNCTION("""COMPUTED_VALUE"""),5801.0)</f>
        <v>5801</v>
      </c>
      <c r="B3691" s="2">
        <f>IFERROR(__xludf.DUMMYFUNCTION("""COMPUTED_VALUE"""),0.0)</f>
        <v>0</v>
      </c>
      <c r="C3691" s="2">
        <f>IFERROR(__xludf.DUMMYFUNCTION("""COMPUTED_VALUE"""),913.0)</f>
        <v>913</v>
      </c>
      <c r="D3691" s="3">
        <f>IFERROR(__xludf.DUMMYFUNCTION("""COMPUTED_VALUE"""),580.0)</f>
        <v>580</v>
      </c>
      <c r="E3691" s="2"/>
      <c r="F3691" s="2"/>
    </row>
    <row r="3692">
      <c r="A3692" s="2">
        <f>IFERROR(__xludf.DUMMYFUNCTION("""COMPUTED_VALUE"""),90650.0)</f>
        <v>90650</v>
      </c>
      <c r="B3692" s="2">
        <f>IFERROR(__xludf.DUMMYFUNCTION("""COMPUTED_VALUE"""),0.0)</f>
        <v>0</v>
      </c>
      <c r="C3692" s="2">
        <f>IFERROR(__xludf.DUMMYFUNCTION("""COMPUTED_VALUE"""),560.0)</f>
        <v>560</v>
      </c>
      <c r="D3692" s="3">
        <f>IFERROR(__xludf.DUMMYFUNCTION("""COMPUTED_VALUE"""),426.0)</f>
        <v>426</v>
      </c>
      <c r="E3692" s="2"/>
      <c r="F3692" s="2"/>
    </row>
    <row r="3693">
      <c r="A3693" s="2">
        <f>IFERROR(__xludf.DUMMYFUNCTION("""COMPUTED_VALUE"""),6395.0)</f>
        <v>6395</v>
      </c>
      <c r="B3693" s="2">
        <f>IFERROR(__xludf.DUMMYFUNCTION("""COMPUTED_VALUE"""),1.0)</f>
        <v>1</v>
      </c>
      <c r="C3693" s="2">
        <f>IFERROR(__xludf.DUMMYFUNCTION("""COMPUTED_VALUE"""),706.0)</f>
        <v>706</v>
      </c>
      <c r="D3693" s="3">
        <f>IFERROR(__xludf.DUMMYFUNCTION("""COMPUTED_VALUE"""),18.0)</f>
        <v>18</v>
      </c>
      <c r="E3693" s="2"/>
      <c r="F3693" s="2"/>
    </row>
    <row r="3694">
      <c r="A3694" s="2">
        <f>IFERROR(__xludf.DUMMYFUNCTION("""COMPUTED_VALUE"""),77444.0)</f>
        <v>77444</v>
      </c>
      <c r="B3694" s="2">
        <f>IFERROR(__xludf.DUMMYFUNCTION("""COMPUTED_VALUE"""),1.0)</f>
        <v>1</v>
      </c>
      <c r="C3694" s="2">
        <f>IFERROR(__xludf.DUMMYFUNCTION("""COMPUTED_VALUE"""),941.0)</f>
        <v>941</v>
      </c>
      <c r="D3694" s="3">
        <f>IFERROR(__xludf.DUMMYFUNCTION("""COMPUTED_VALUE"""),918.0)</f>
        <v>918</v>
      </c>
      <c r="E3694" s="2"/>
      <c r="F3694" s="2"/>
    </row>
    <row r="3695">
      <c r="A3695" s="2">
        <f>IFERROR(__xludf.DUMMYFUNCTION("""COMPUTED_VALUE"""),20389.0)</f>
        <v>20389</v>
      </c>
      <c r="B3695" s="2">
        <f>IFERROR(__xludf.DUMMYFUNCTION("""COMPUTED_VALUE"""),0.0)</f>
        <v>0</v>
      </c>
      <c r="C3695" s="2">
        <f>IFERROR(__xludf.DUMMYFUNCTION("""COMPUTED_VALUE"""),161.0)</f>
        <v>161</v>
      </c>
      <c r="D3695" s="3">
        <f>IFERROR(__xludf.DUMMYFUNCTION("""COMPUTED_VALUE"""),86.0)</f>
        <v>86</v>
      </c>
      <c r="E3695" s="2"/>
      <c r="F3695" s="2"/>
    </row>
    <row r="3696">
      <c r="A3696" s="2">
        <f>IFERROR(__xludf.DUMMYFUNCTION("""COMPUTED_VALUE"""),68293.0)</f>
        <v>68293</v>
      </c>
      <c r="B3696" s="2">
        <f>IFERROR(__xludf.DUMMYFUNCTION("""COMPUTED_VALUE"""),0.0)</f>
        <v>0</v>
      </c>
      <c r="C3696" s="2">
        <f>IFERROR(__xludf.DUMMYFUNCTION("""COMPUTED_VALUE"""),592.0)</f>
        <v>592</v>
      </c>
      <c r="D3696" s="3">
        <f>IFERROR(__xludf.DUMMYFUNCTION("""COMPUTED_VALUE"""),545.0)</f>
        <v>545</v>
      </c>
      <c r="E3696" s="2"/>
      <c r="F3696" s="2"/>
    </row>
    <row r="3697">
      <c r="A3697" s="2">
        <f>IFERROR(__xludf.DUMMYFUNCTION("""COMPUTED_VALUE"""),90982.0)</f>
        <v>90982</v>
      </c>
      <c r="B3697" s="2">
        <f>IFERROR(__xludf.DUMMYFUNCTION("""COMPUTED_VALUE"""),1.0)</f>
        <v>1</v>
      </c>
      <c r="C3697" s="2">
        <f>IFERROR(__xludf.DUMMYFUNCTION("""COMPUTED_VALUE"""),564.0)</f>
        <v>564</v>
      </c>
      <c r="D3697" s="3">
        <f>IFERROR(__xludf.DUMMYFUNCTION("""COMPUTED_VALUE"""),388.0)</f>
        <v>388</v>
      </c>
      <c r="E3697" s="2"/>
      <c r="F3697" s="2"/>
    </row>
    <row r="3698">
      <c r="A3698" s="2">
        <f>IFERROR(__xludf.DUMMYFUNCTION("""COMPUTED_VALUE"""),48279.0)</f>
        <v>48279</v>
      </c>
      <c r="B3698" s="2">
        <f>IFERROR(__xludf.DUMMYFUNCTION("""COMPUTED_VALUE"""),1.0)</f>
        <v>1</v>
      </c>
      <c r="C3698" s="2">
        <f>IFERROR(__xludf.DUMMYFUNCTION("""COMPUTED_VALUE"""),756.0)</f>
        <v>756</v>
      </c>
      <c r="D3698" s="3">
        <f>IFERROR(__xludf.DUMMYFUNCTION("""COMPUTED_VALUE"""),566.0)</f>
        <v>566</v>
      </c>
      <c r="E3698" s="2"/>
      <c r="F3698" s="2"/>
    </row>
    <row r="3699">
      <c r="A3699" s="2">
        <f>IFERROR(__xludf.DUMMYFUNCTION("""COMPUTED_VALUE"""),77447.0)</f>
        <v>77447</v>
      </c>
      <c r="B3699" s="2">
        <f>IFERROR(__xludf.DUMMYFUNCTION("""COMPUTED_VALUE"""),1.0)</f>
        <v>1</v>
      </c>
      <c r="C3699" s="2">
        <f>IFERROR(__xludf.DUMMYFUNCTION("""COMPUTED_VALUE"""),912.0)</f>
        <v>912</v>
      </c>
      <c r="D3699" s="3">
        <f>IFERROR(__xludf.DUMMYFUNCTION("""COMPUTED_VALUE"""),577.0)</f>
        <v>577</v>
      </c>
      <c r="E3699" s="2"/>
      <c r="F3699" s="2"/>
    </row>
    <row r="3700">
      <c r="A3700" s="2">
        <f>IFERROR(__xludf.DUMMYFUNCTION("""COMPUTED_VALUE"""),5710.0)</f>
        <v>5710</v>
      </c>
      <c r="B3700" s="2">
        <f>IFERROR(__xludf.DUMMYFUNCTION("""COMPUTED_VALUE"""),1.0)</f>
        <v>1</v>
      </c>
      <c r="C3700" s="2">
        <f>IFERROR(__xludf.DUMMYFUNCTION("""COMPUTED_VALUE"""),492.0)</f>
        <v>492</v>
      </c>
      <c r="D3700" s="3">
        <f>IFERROR(__xludf.DUMMYFUNCTION("""COMPUTED_VALUE"""),126.0)</f>
        <v>126</v>
      </c>
      <c r="E3700" s="2"/>
      <c r="F3700" s="2"/>
    </row>
    <row r="3701">
      <c r="A3701" s="2">
        <f>IFERROR(__xludf.DUMMYFUNCTION("""COMPUTED_VALUE"""),90906.0)</f>
        <v>90906</v>
      </c>
      <c r="B3701" s="2">
        <f>IFERROR(__xludf.DUMMYFUNCTION("""COMPUTED_VALUE"""),0.0)</f>
        <v>0</v>
      </c>
      <c r="C3701" s="2">
        <f>IFERROR(__xludf.DUMMYFUNCTION("""COMPUTED_VALUE"""),278.0)</f>
        <v>278</v>
      </c>
      <c r="D3701" s="3">
        <f>IFERROR(__xludf.DUMMYFUNCTION("""COMPUTED_VALUE"""),90.0)</f>
        <v>90</v>
      </c>
      <c r="E3701" s="2"/>
      <c r="F3701" s="2"/>
    </row>
    <row r="3702">
      <c r="A3702" s="2">
        <f>IFERROR(__xludf.DUMMYFUNCTION("""COMPUTED_VALUE"""),90883.0)</f>
        <v>90883</v>
      </c>
      <c r="B3702" s="2">
        <f>IFERROR(__xludf.DUMMYFUNCTION("""COMPUTED_VALUE"""),1.0)</f>
        <v>1</v>
      </c>
      <c r="C3702" s="2">
        <f>IFERROR(__xludf.DUMMYFUNCTION("""COMPUTED_VALUE"""),495.0)</f>
        <v>495</v>
      </c>
      <c r="D3702" s="3">
        <f>IFERROR(__xludf.DUMMYFUNCTION("""COMPUTED_VALUE"""),315.0)</f>
        <v>315</v>
      </c>
      <c r="E3702" s="2"/>
      <c r="F3702" s="2"/>
    </row>
    <row r="3703">
      <c r="A3703" s="2">
        <f>IFERROR(__xludf.DUMMYFUNCTION("""COMPUTED_VALUE"""),113093.0)</f>
        <v>113093</v>
      </c>
      <c r="B3703" s="2">
        <f>IFERROR(__xludf.DUMMYFUNCTION("""COMPUTED_VALUE"""),0.0)</f>
        <v>0</v>
      </c>
      <c r="C3703" s="2">
        <f>IFERROR(__xludf.DUMMYFUNCTION("""COMPUTED_VALUE"""),112.0)</f>
        <v>112</v>
      </c>
      <c r="D3703" s="3">
        <f>IFERROR(__xludf.DUMMYFUNCTION("""COMPUTED_VALUE"""),92.0)</f>
        <v>92</v>
      </c>
      <c r="E3703" s="2"/>
      <c r="F3703" s="2"/>
    </row>
    <row r="3704">
      <c r="A3704" s="2">
        <f>IFERROR(__xludf.DUMMYFUNCTION("""COMPUTED_VALUE"""),73926.0)</f>
        <v>73926</v>
      </c>
      <c r="B3704" s="2">
        <f>IFERROR(__xludf.DUMMYFUNCTION("""COMPUTED_VALUE"""),0.0)</f>
        <v>0</v>
      </c>
      <c r="C3704" s="2">
        <f>IFERROR(__xludf.DUMMYFUNCTION("""COMPUTED_VALUE"""),138.0)</f>
        <v>138</v>
      </c>
      <c r="D3704" s="3">
        <f>IFERROR(__xludf.DUMMYFUNCTION("""COMPUTED_VALUE"""),111.0)</f>
        <v>111</v>
      </c>
      <c r="E3704" s="2"/>
      <c r="F3704" s="2"/>
    </row>
    <row r="3705">
      <c r="A3705" s="2">
        <f>IFERROR(__xludf.DUMMYFUNCTION("""COMPUTED_VALUE"""),110083.0)</f>
        <v>110083</v>
      </c>
      <c r="B3705" s="2">
        <f>IFERROR(__xludf.DUMMYFUNCTION("""COMPUTED_VALUE"""),0.0)</f>
        <v>0</v>
      </c>
      <c r="C3705" s="2">
        <f>IFERROR(__xludf.DUMMYFUNCTION("""COMPUTED_VALUE"""),775.0)</f>
        <v>775</v>
      </c>
      <c r="D3705" s="3">
        <f>IFERROR(__xludf.DUMMYFUNCTION("""COMPUTED_VALUE"""),417.0)</f>
        <v>417</v>
      </c>
      <c r="E3705" s="2"/>
      <c r="F3705" s="2"/>
    </row>
    <row r="3706">
      <c r="A3706" s="2">
        <f>IFERROR(__xludf.DUMMYFUNCTION("""COMPUTED_VALUE"""),76313.0)</f>
        <v>76313</v>
      </c>
      <c r="B3706" s="2">
        <f>IFERROR(__xludf.DUMMYFUNCTION("""COMPUTED_VALUE"""),0.0)</f>
        <v>0</v>
      </c>
      <c r="C3706" s="2">
        <f>IFERROR(__xludf.DUMMYFUNCTION("""COMPUTED_VALUE"""),790.0)</f>
        <v>790</v>
      </c>
      <c r="D3706" s="3">
        <f>IFERROR(__xludf.DUMMYFUNCTION("""COMPUTED_VALUE"""),155.0)</f>
        <v>155</v>
      </c>
      <c r="E3706" s="2"/>
      <c r="F3706" s="2"/>
    </row>
    <row r="3707">
      <c r="A3707" s="2">
        <f>IFERROR(__xludf.DUMMYFUNCTION("""COMPUTED_VALUE"""),68404.0)</f>
        <v>68404</v>
      </c>
      <c r="B3707" s="2">
        <f>IFERROR(__xludf.DUMMYFUNCTION("""COMPUTED_VALUE"""),1.0)</f>
        <v>1</v>
      </c>
      <c r="C3707" s="2">
        <f>IFERROR(__xludf.DUMMYFUNCTION("""COMPUTED_VALUE"""),921.0)</f>
        <v>921</v>
      </c>
      <c r="D3707" s="3">
        <f>IFERROR(__xludf.DUMMYFUNCTION("""COMPUTED_VALUE"""),548.0)</f>
        <v>548</v>
      </c>
      <c r="E3707" s="2"/>
      <c r="F3707" s="2"/>
    </row>
    <row r="3708">
      <c r="A3708" s="2">
        <f>IFERROR(__xludf.DUMMYFUNCTION("""COMPUTED_VALUE"""),68322.0)</f>
        <v>68322</v>
      </c>
      <c r="B3708" s="2">
        <f>IFERROR(__xludf.DUMMYFUNCTION("""COMPUTED_VALUE"""),1.0)</f>
        <v>1</v>
      </c>
      <c r="C3708" s="2">
        <f>IFERROR(__xludf.DUMMYFUNCTION("""COMPUTED_VALUE"""),52.0)</f>
        <v>52</v>
      </c>
      <c r="D3708" s="3">
        <f>IFERROR(__xludf.DUMMYFUNCTION("""COMPUTED_VALUE"""),21.0)</f>
        <v>21</v>
      </c>
      <c r="E3708" s="2"/>
      <c r="F3708" s="2"/>
    </row>
    <row r="3709">
      <c r="A3709" s="2">
        <f>IFERROR(__xludf.DUMMYFUNCTION("""COMPUTED_VALUE"""),73947.0)</f>
        <v>73947</v>
      </c>
      <c r="B3709" s="2">
        <f>IFERROR(__xludf.DUMMYFUNCTION("""COMPUTED_VALUE"""),0.0)</f>
        <v>0</v>
      </c>
      <c r="C3709" s="2">
        <f>IFERROR(__xludf.DUMMYFUNCTION("""COMPUTED_VALUE"""),584.0)</f>
        <v>584</v>
      </c>
      <c r="D3709" s="3">
        <f>IFERROR(__xludf.DUMMYFUNCTION("""COMPUTED_VALUE"""),424.0)</f>
        <v>424</v>
      </c>
      <c r="E3709" s="2"/>
      <c r="F3709" s="2"/>
    </row>
    <row r="3710">
      <c r="A3710" s="2">
        <f>IFERROR(__xludf.DUMMYFUNCTION("""COMPUTED_VALUE"""),29116.0)</f>
        <v>29116</v>
      </c>
      <c r="B3710" s="2">
        <f>IFERROR(__xludf.DUMMYFUNCTION("""COMPUTED_VALUE"""),1.0)</f>
        <v>1</v>
      </c>
      <c r="C3710" s="2">
        <f>IFERROR(__xludf.DUMMYFUNCTION("""COMPUTED_VALUE"""),408.0)</f>
        <v>408</v>
      </c>
      <c r="D3710" s="3">
        <f>IFERROR(__xludf.DUMMYFUNCTION("""COMPUTED_VALUE"""),3.0)</f>
        <v>3</v>
      </c>
      <c r="E3710" s="2"/>
      <c r="F3710" s="2"/>
    </row>
    <row r="3711">
      <c r="A3711" s="2">
        <f>IFERROR(__xludf.DUMMYFUNCTION("""COMPUTED_VALUE"""),90846.0)</f>
        <v>90846</v>
      </c>
      <c r="B3711" s="2">
        <f>IFERROR(__xludf.DUMMYFUNCTION("""COMPUTED_VALUE"""),0.0)</f>
        <v>0</v>
      </c>
      <c r="C3711" s="2">
        <f>IFERROR(__xludf.DUMMYFUNCTION("""COMPUTED_VALUE"""),784.0)</f>
        <v>784</v>
      </c>
      <c r="D3711" s="3">
        <f>IFERROR(__xludf.DUMMYFUNCTION("""COMPUTED_VALUE"""),653.0)</f>
        <v>653</v>
      </c>
      <c r="E3711" s="2"/>
      <c r="F3711" s="2"/>
    </row>
    <row r="3712">
      <c r="A3712" s="2">
        <f>IFERROR(__xludf.DUMMYFUNCTION("""COMPUTED_VALUE"""),110084.0)</f>
        <v>110084</v>
      </c>
      <c r="B3712" s="2">
        <f>IFERROR(__xludf.DUMMYFUNCTION("""COMPUTED_VALUE"""),0.0)</f>
        <v>0</v>
      </c>
      <c r="C3712" s="2">
        <f>IFERROR(__xludf.DUMMYFUNCTION("""COMPUTED_VALUE"""),636.0)</f>
        <v>636</v>
      </c>
      <c r="D3712" s="3">
        <f>IFERROR(__xludf.DUMMYFUNCTION("""COMPUTED_VALUE"""),17.0)</f>
        <v>17</v>
      </c>
      <c r="E3712" s="2"/>
      <c r="F3712" s="2"/>
    </row>
    <row r="3713">
      <c r="A3713" s="2">
        <f>IFERROR(__xludf.DUMMYFUNCTION("""COMPUTED_VALUE"""),73925.0)</f>
        <v>73925</v>
      </c>
      <c r="B3713" s="2">
        <f>IFERROR(__xludf.DUMMYFUNCTION("""COMPUTED_VALUE"""),1.0)</f>
        <v>1</v>
      </c>
      <c r="C3713" s="2">
        <f>IFERROR(__xludf.DUMMYFUNCTION("""COMPUTED_VALUE"""),227.0)</f>
        <v>227</v>
      </c>
      <c r="D3713" s="3">
        <f>IFERROR(__xludf.DUMMYFUNCTION("""COMPUTED_VALUE"""),132.0)</f>
        <v>132</v>
      </c>
      <c r="E3713" s="2"/>
      <c r="F3713" s="2"/>
    </row>
    <row r="3714">
      <c r="A3714" s="2">
        <f>IFERROR(__xludf.DUMMYFUNCTION("""COMPUTED_VALUE"""),68296.0)</f>
        <v>68296</v>
      </c>
      <c r="B3714" s="2">
        <f>IFERROR(__xludf.DUMMYFUNCTION("""COMPUTED_VALUE"""),0.0)</f>
        <v>0</v>
      </c>
      <c r="C3714" s="2">
        <f>IFERROR(__xludf.DUMMYFUNCTION("""COMPUTED_VALUE"""),848.0)</f>
        <v>848</v>
      </c>
      <c r="D3714" s="3">
        <f>IFERROR(__xludf.DUMMYFUNCTION("""COMPUTED_VALUE"""),511.0)</f>
        <v>511</v>
      </c>
      <c r="E3714" s="2"/>
      <c r="F3714" s="2"/>
    </row>
    <row r="3715">
      <c r="A3715" s="2">
        <f>IFERROR(__xludf.DUMMYFUNCTION("""COMPUTED_VALUE"""),90873.0)</f>
        <v>90873</v>
      </c>
      <c r="B3715" s="2">
        <f>IFERROR(__xludf.DUMMYFUNCTION("""COMPUTED_VALUE"""),0.0)</f>
        <v>0</v>
      </c>
      <c r="C3715" s="2">
        <f>IFERROR(__xludf.DUMMYFUNCTION("""COMPUTED_VALUE"""),649.0)</f>
        <v>649</v>
      </c>
      <c r="D3715" s="3">
        <f>IFERROR(__xludf.DUMMYFUNCTION("""COMPUTED_VALUE"""),76.0)</f>
        <v>76</v>
      </c>
      <c r="E3715" s="2"/>
      <c r="F3715" s="2"/>
    </row>
    <row r="3716">
      <c r="A3716" s="2">
        <f>IFERROR(__xludf.DUMMYFUNCTION("""COMPUTED_VALUE"""),90874.0)</f>
        <v>90874</v>
      </c>
      <c r="B3716" s="2">
        <f>IFERROR(__xludf.DUMMYFUNCTION("""COMPUTED_VALUE"""),0.0)</f>
        <v>0</v>
      </c>
      <c r="C3716" s="2">
        <f>IFERROR(__xludf.DUMMYFUNCTION("""COMPUTED_VALUE"""),938.0)</f>
        <v>938</v>
      </c>
      <c r="D3716" s="3">
        <f>IFERROR(__xludf.DUMMYFUNCTION("""COMPUTED_VALUE"""),258.0)</f>
        <v>258</v>
      </c>
      <c r="E3716" s="2"/>
      <c r="F3716" s="2"/>
    </row>
    <row r="3717">
      <c r="A3717" s="2">
        <f>IFERROR(__xludf.DUMMYFUNCTION("""COMPUTED_VALUE"""),90842.0)</f>
        <v>90842</v>
      </c>
      <c r="B3717" s="2">
        <f>IFERROR(__xludf.DUMMYFUNCTION("""COMPUTED_VALUE"""),0.0)</f>
        <v>0</v>
      </c>
      <c r="C3717" s="2">
        <f>IFERROR(__xludf.DUMMYFUNCTION("""COMPUTED_VALUE"""),63.0)</f>
        <v>63</v>
      </c>
      <c r="D3717" s="3">
        <f>IFERROR(__xludf.DUMMYFUNCTION("""COMPUTED_VALUE"""),53.0)</f>
        <v>53</v>
      </c>
      <c r="E3717" s="2"/>
      <c r="F3717" s="2"/>
    </row>
    <row r="3718">
      <c r="A3718" s="2">
        <f>IFERROR(__xludf.DUMMYFUNCTION("""COMPUTED_VALUE"""),5709.0)</f>
        <v>5709</v>
      </c>
      <c r="B3718" s="2">
        <f>IFERROR(__xludf.DUMMYFUNCTION("""COMPUTED_VALUE"""),0.0)</f>
        <v>0</v>
      </c>
      <c r="C3718" s="2">
        <f>IFERROR(__xludf.DUMMYFUNCTION("""COMPUTED_VALUE"""),91.0)</f>
        <v>91</v>
      </c>
      <c r="D3718" s="3">
        <f>IFERROR(__xludf.DUMMYFUNCTION("""COMPUTED_VALUE"""),14.0)</f>
        <v>14</v>
      </c>
      <c r="E3718" s="2"/>
      <c r="F3718" s="2"/>
    </row>
    <row r="3719">
      <c r="A3719" s="2">
        <f>IFERROR(__xludf.DUMMYFUNCTION("""COMPUTED_VALUE"""),76341.0)</f>
        <v>76341</v>
      </c>
      <c r="B3719" s="2">
        <f>IFERROR(__xludf.DUMMYFUNCTION("""COMPUTED_VALUE"""),0.0)</f>
        <v>0</v>
      </c>
      <c r="C3719" s="2">
        <f>IFERROR(__xludf.DUMMYFUNCTION("""COMPUTED_VALUE"""),455.0)</f>
        <v>455</v>
      </c>
      <c r="D3719" s="3">
        <f>IFERROR(__xludf.DUMMYFUNCTION("""COMPUTED_VALUE"""),244.0)</f>
        <v>244</v>
      </c>
      <c r="E3719" s="2"/>
      <c r="F3719" s="2"/>
    </row>
    <row r="3720">
      <c r="A3720" s="2">
        <f>IFERROR(__xludf.DUMMYFUNCTION("""COMPUTED_VALUE"""),113094.0)</f>
        <v>113094</v>
      </c>
      <c r="B3720" s="2">
        <f>IFERROR(__xludf.DUMMYFUNCTION("""COMPUTED_VALUE"""),0.0)</f>
        <v>0</v>
      </c>
      <c r="C3720" s="2">
        <f>IFERROR(__xludf.DUMMYFUNCTION("""COMPUTED_VALUE"""),685.0)</f>
        <v>685</v>
      </c>
      <c r="D3720" s="3">
        <f>IFERROR(__xludf.DUMMYFUNCTION("""COMPUTED_VALUE"""),254.0)</f>
        <v>254</v>
      </c>
      <c r="E3720" s="2"/>
      <c r="F3720" s="2"/>
    </row>
    <row r="3721">
      <c r="A3721" s="2">
        <f>IFERROR(__xludf.DUMMYFUNCTION("""COMPUTED_VALUE"""),76301.0)</f>
        <v>76301</v>
      </c>
      <c r="B3721" s="2">
        <f>IFERROR(__xludf.DUMMYFUNCTION("""COMPUTED_VALUE"""),0.0)</f>
        <v>0</v>
      </c>
      <c r="C3721" s="2">
        <f>IFERROR(__xludf.DUMMYFUNCTION("""COMPUTED_VALUE"""),207.0)</f>
        <v>207</v>
      </c>
      <c r="D3721" s="3">
        <f>IFERROR(__xludf.DUMMYFUNCTION("""COMPUTED_VALUE"""),122.0)</f>
        <v>122</v>
      </c>
      <c r="E3721" s="2"/>
      <c r="F3721" s="2"/>
    </row>
    <row r="3722">
      <c r="A3722" s="2">
        <f>IFERROR(__xludf.DUMMYFUNCTION("""COMPUTED_VALUE"""),90844.0)</f>
        <v>90844</v>
      </c>
      <c r="B3722" s="2">
        <f>IFERROR(__xludf.DUMMYFUNCTION("""COMPUTED_VALUE"""),1.0)</f>
        <v>1</v>
      </c>
      <c r="C3722" s="2">
        <f>IFERROR(__xludf.DUMMYFUNCTION("""COMPUTED_VALUE"""),330.0)</f>
        <v>330</v>
      </c>
      <c r="D3722" s="3">
        <f>IFERROR(__xludf.DUMMYFUNCTION("""COMPUTED_VALUE"""),324.0)</f>
        <v>324</v>
      </c>
      <c r="E3722" s="2"/>
      <c r="F3722" s="2"/>
    </row>
    <row r="3723">
      <c r="A3723" s="2">
        <f>IFERROR(__xludf.DUMMYFUNCTION("""COMPUTED_VALUE"""),90848.0)</f>
        <v>90848</v>
      </c>
      <c r="B3723" s="2">
        <f>IFERROR(__xludf.DUMMYFUNCTION("""COMPUTED_VALUE"""),0.0)</f>
        <v>0</v>
      </c>
      <c r="C3723" s="2">
        <f>IFERROR(__xludf.DUMMYFUNCTION("""COMPUTED_VALUE"""),724.0)</f>
        <v>724</v>
      </c>
      <c r="D3723" s="3">
        <f>IFERROR(__xludf.DUMMYFUNCTION("""COMPUTED_VALUE"""),81.0)</f>
        <v>81</v>
      </c>
      <c r="E3723" s="2"/>
      <c r="F3723" s="2"/>
    </row>
    <row r="3724">
      <c r="A3724" s="2">
        <f>IFERROR(__xludf.DUMMYFUNCTION("""COMPUTED_VALUE"""),76318.0)</f>
        <v>76318</v>
      </c>
      <c r="B3724" s="2">
        <f>IFERROR(__xludf.DUMMYFUNCTION("""COMPUTED_VALUE"""),0.0)</f>
        <v>0</v>
      </c>
      <c r="C3724" s="2">
        <f>IFERROR(__xludf.DUMMYFUNCTION("""COMPUTED_VALUE"""),474.0)</f>
        <v>474</v>
      </c>
      <c r="D3724" s="3">
        <f>IFERROR(__xludf.DUMMYFUNCTION("""COMPUTED_VALUE"""),133.0)</f>
        <v>133</v>
      </c>
      <c r="E3724" s="2"/>
      <c r="F3724" s="2"/>
    </row>
    <row r="3725">
      <c r="A3725" s="2">
        <f>IFERROR(__xludf.DUMMYFUNCTION("""COMPUTED_VALUE"""),118885.0)</f>
        <v>118885</v>
      </c>
      <c r="B3725" s="2">
        <f>IFERROR(__xludf.DUMMYFUNCTION("""COMPUTED_VALUE"""),1.0)</f>
        <v>1</v>
      </c>
      <c r="C3725" s="2">
        <f>IFERROR(__xludf.DUMMYFUNCTION("""COMPUTED_VALUE"""),271.0)</f>
        <v>271</v>
      </c>
      <c r="D3725" s="3">
        <f>IFERROR(__xludf.DUMMYFUNCTION("""COMPUTED_VALUE"""),102.0)</f>
        <v>102</v>
      </c>
      <c r="E3725" s="2"/>
      <c r="F3725" s="2"/>
    </row>
    <row r="3726">
      <c r="A3726" s="2">
        <f>IFERROR(__xludf.DUMMYFUNCTION("""COMPUTED_VALUE"""),76349.0)</f>
        <v>76349</v>
      </c>
      <c r="B3726" s="2">
        <f>IFERROR(__xludf.DUMMYFUNCTION("""COMPUTED_VALUE"""),1.0)</f>
        <v>1</v>
      </c>
      <c r="C3726" s="2">
        <f>IFERROR(__xludf.DUMMYFUNCTION("""COMPUTED_VALUE"""),402.0)</f>
        <v>402</v>
      </c>
      <c r="D3726" s="3">
        <f>IFERROR(__xludf.DUMMYFUNCTION("""COMPUTED_VALUE"""),346.0)</f>
        <v>346</v>
      </c>
      <c r="E3726" s="2"/>
      <c r="F3726" s="2"/>
    </row>
    <row r="3727">
      <c r="A3727" s="2">
        <f>IFERROR(__xludf.DUMMYFUNCTION("""COMPUTED_VALUE"""),30878.0)</f>
        <v>30878</v>
      </c>
      <c r="B3727" s="2">
        <f>IFERROR(__xludf.DUMMYFUNCTION("""COMPUTED_VALUE"""),1.0)</f>
        <v>1</v>
      </c>
      <c r="C3727" s="2">
        <f>IFERROR(__xludf.DUMMYFUNCTION("""COMPUTED_VALUE"""),909.0)</f>
        <v>909</v>
      </c>
      <c r="D3727" s="3">
        <f>IFERROR(__xludf.DUMMYFUNCTION("""COMPUTED_VALUE"""),213.0)</f>
        <v>213</v>
      </c>
      <c r="E3727" s="2"/>
      <c r="F3727" s="2"/>
    </row>
    <row r="3728">
      <c r="A3728" s="2">
        <f>IFERROR(__xludf.DUMMYFUNCTION("""COMPUTED_VALUE"""),104176.0)</f>
        <v>104176</v>
      </c>
      <c r="B3728" s="2">
        <f>IFERROR(__xludf.DUMMYFUNCTION("""COMPUTED_VALUE"""),0.0)</f>
        <v>0</v>
      </c>
      <c r="C3728" s="2">
        <f>IFERROR(__xludf.DUMMYFUNCTION("""COMPUTED_VALUE"""),496.0)</f>
        <v>496</v>
      </c>
      <c r="D3728" s="3">
        <f>IFERROR(__xludf.DUMMYFUNCTION("""COMPUTED_VALUE"""),231.0)</f>
        <v>231</v>
      </c>
      <c r="E3728" s="2"/>
      <c r="F3728" s="2"/>
    </row>
    <row r="3729">
      <c r="A3729" s="2">
        <f>IFERROR(__xludf.DUMMYFUNCTION("""COMPUTED_VALUE"""),78516.0)</f>
        <v>78516</v>
      </c>
      <c r="B3729" s="2">
        <f>IFERROR(__xludf.DUMMYFUNCTION("""COMPUTED_VALUE"""),1.0)</f>
        <v>1</v>
      </c>
      <c r="C3729" s="2">
        <f>IFERROR(__xludf.DUMMYFUNCTION("""COMPUTED_VALUE"""),895.0)</f>
        <v>895</v>
      </c>
      <c r="D3729" s="3">
        <f>IFERROR(__xludf.DUMMYFUNCTION("""COMPUTED_VALUE"""),366.0)</f>
        <v>366</v>
      </c>
      <c r="E3729" s="2"/>
      <c r="F3729" s="2"/>
    </row>
    <row r="3730">
      <c r="A3730" s="2">
        <f>IFERROR(__xludf.DUMMYFUNCTION("""COMPUTED_VALUE"""),118884.0)</f>
        <v>118884</v>
      </c>
      <c r="B3730" s="2">
        <f>IFERROR(__xludf.DUMMYFUNCTION("""COMPUTED_VALUE"""),0.0)</f>
        <v>0</v>
      </c>
      <c r="C3730" s="2">
        <f>IFERROR(__xludf.DUMMYFUNCTION("""COMPUTED_VALUE"""),407.0)</f>
        <v>407</v>
      </c>
      <c r="D3730" s="3">
        <f>IFERROR(__xludf.DUMMYFUNCTION("""COMPUTED_VALUE"""),84.0)</f>
        <v>84</v>
      </c>
      <c r="E3730" s="2"/>
      <c r="F3730" s="2"/>
    </row>
    <row r="3731">
      <c r="A3731" s="2">
        <f>IFERROR(__xludf.DUMMYFUNCTION("""COMPUTED_VALUE"""),119239.0)</f>
        <v>119239</v>
      </c>
      <c r="B3731" s="2">
        <f>IFERROR(__xludf.DUMMYFUNCTION("""COMPUTED_VALUE"""),1.0)</f>
        <v>1</v>
      </c>
      <c r="C3731" s="2">
        <f>IFERROR(__xludf.DUMMYFUNCTION("""COMPUTED_VALUE"""),439.0)</f>
        <v>439</v>
      </c>
      <c r="D3731" s="3">
        <f>IFERROR(__xludf.DUMMYFUNCTION("""COMPUTED_VALUE"""),312.0)</f>
        <v>312</v>
      </c>
      <c r="E3731" s="2"/>
      <c r="F3731" s="2"/>
    </row>
    <row r="3732">
      <c r="A3732" s="2">
        <f>IFERROR(__xludf.DUMMYFUNCTION("""COMPUTED_VALUE"""),30875.0)</f>
        <v>30875</v>
      </c>
      <c r="B3732" s="2">
        <f>IFERROR(__xludf.DUMMYFUNCTION("""COMPUTED_VALUE"""),1.0)</f>
        <v>1</v>
      </c>
      <c r="C3732" s="2">
        <f>IFERROR(__xludf.DUMMYFUNCTION("""COMPUTED_VALUE"""),81.0)</f>
        <v>81</v>
      </c>
      <c r="D3732" s="3">
        <f>IFERROR(__xludf.DUMMYFUNCTION("""COMPUTED_VALUE"""),5.0)</f>
        <v>5</v>
      </c>
      <c r="E3732" s="2"/>
      <c r="F3732" s="2"/>
    </row>
    <row r="3733">
      <c r="A3733" s="2">
        <f>IFERROR(__xludf.DUMMYFUNCTION("""COMPUTED_VALUE"""),73946.0)</f>
        <v>73946</v>
      </c>
      <c r="B3733" s="2">
        <f>IFERROR(__xludf.DUMMYFUNCTION("""COMPUTED_VALUE"""),1.0)</f>
        <v>1</v>
      </c>
      <c r="C3733" s="2">
        <f>IFERROR(__xludf.DUMMYFUNCTION("""COMPUTED_VALUE"""),335.0)</f>
        <v>335</v>
      </c>
      <c r="D3733" s="3">
        <f>IFERROR(__xludf.DUMMYFUNCTION("""COMPUTED_VALUE"""),103.0)</f>
        <v>103</v>
      </c>
      <c r="E3733" s="2"/>
      <c r="F3733" s="2"/>
    </row>
    <row r="3734">
      <c r="A3734" s="2">
        <f>IFERROR(__xludf.DUMMYFUNCTION("""COMPUTED_VALUE"""),90690.0)</f>
        <v>90690</v>
      </c>
      <c r="B3734" s="2">
        <f>IFERROR(__xludf.DUMMYFUNCTION("""COMPUTED_VALUE"""),0.0)</f>
        <v>0</v>
      </c>
      <c r="C3734" s="2">
        <f>IFERROR(__xludf.DUMMYFUNCTION("""COMPUTED_VALUE"""),702.0)</f>
        <v>702</v>
      </c>
      <c r="D3734" s="3">
        <f>IFERROR(__xludf.DUMMYFUNCTION("""COMPUTED_VALUE"""),305.0)</f>
        <v>305</v>
      </c>
      <c r="E3734" s="2"/>
      <c r="F3734" s="2"/>
    </row>
    <row r="3735">
      <c r="A3735" s="2">
        <f>IFERROR(__xludf.DUMMYFUNCTION("""COMPUTED_VALUE"""),101380.0)</f>
        <v>101380</v>
      </c>
      <c r="B3735" s="2">
        <f>IFERROR(__xludf.DUMMYFUNCTION("""COMPUTED_VALUE"""),0.0)</f>
        <v>0</v>
      </c>
      <c r="C3735" s="2">
        <f>IFERROR(__xludf.DUMMYFUNCTION("""COMPUTED_VALUE"""),843.0)</f>
        <v>843</v>
      </c>
      <c r="D3735" s="3">
        <f>IFERROR(__xludf.DUMMYFUNCTION("""COMPUTED_VALUE"""),811.0)</f>
        <v>811</v>
      </c>
      <c r="E3735" s="2"/>
      <c r="F3735" s="2"/>
    </row>
    <row r="3736">
      <c r="A3736" s="2">
        <f>IFERROR(__xludf.DUMMYFUNCTION("""COMPUTED_VALUE"""),5804.0)</f>
        <v>5804</v>
      </c>
      <c r="B3736" s="2">
        <f>IFERROR(__xludf.DUMMYFUNCTION("""COMPUTED_VALUE"""),0.0)</f>
        <v>0</v>
      </c>
      <c r="C3736" s="2">
        <f>IFERROR(__xludf.DUMMYFUNCTION("""COMPUTED_VALUE"""),466.0)</f>
        <v>466</v>
      </c>
      <c r="D3736" s="3">
        <f>IFERROR(__xludf.DUMMYFUNCTION("""COMPUTED_VALUE"""),409.0)</f>
        <v>409</v>
      </c>
      <c r="E3736" s="2"/>
      <c r="F3736" s="2"/>
    </row>
    <row r="3737">
      <c r="A3737" s="2">
        <f>IFERROR(__xludf.DUMMYFUNCTION("""COMPUTED_VALUE"""),82372.0)</f>
        <v>82372</v>
      </c>
      <c r="B3737" s="2">
        <f>IFERROR(__xludf.DUMMYFUNCTION("""COMPUTED_VALUE"""),1.0)</f>
        <v>1</v>
      </c>
      <c r="C3737" s="2">
        <f>IFERROR(__xludf.DUMMYFUNCTION("""COMPUTED_VALUE"""),435.0)</f>
        <v>435</v>
      </c>
      <c r="D3737" s="3">
        <f>IFERROR(__xludf.DUMMYFUNCTION("""COMPUTED_VALUE"""),270.0)</f>
        <v>270</v>
      </c>
      <c r="E3737" s="2"/>
      <c r="F3737" s="2"/>
    </row>
    <row r="3738">
      <c r="A3738" s="2">
        <f>IFERROR(__xludf.DUMMYFUNCTION("""COMPUTED_VALUE"""),90643.0)</f>
        <v>90643</v>
      </c>
      <c r="B3738" s="2">
        <f>IFERROR(__xludf.DUMMYFUNCTION("""COMPUTED_VALUE"""),0.0)</f>
        <v>0</v>
      </c>
      <c r="C3738" s="2">
        <f>IFERROR(__xludf.DUMMYFUNCTION("""COMPUTED_VALUE"""),349.0)</f>
        <v>349</v>
      </c>
      <c r="D3738" s="3">
        <f>IFERROR(__xludf.DUMMYFUNCTION("""COMPUTED_VALUE"""),58.0)</f>
        <v>58</v>
      </c>
      <c r="E3738" s="2"/>
      <c r="F3738" s="2"/>
    </row>
    <row r="3739">
      <c r="A3739" s="2">
        <f>IFERROR(__xludf.DUMMYFUNCTION("""COMPUTED_VALUE"""),68412.0)</f>
        <v>68412</v>
      </c>
      <c r="B3739" s="2">
        <f>IFERROR(__xludf.DUMMYFUNCTION("""COMPUTED_VALUE"""),0.0)</f>
        <v>0</v>
      </c>
      <c r="C3739" s="2">
        <f>IFERROR(__xludf.DUMMYFUNCTION("""COMPUTED_VALUE"""),841.0)</f>
        <v>841</v>
      </c>
      <c r="D3739" s="3">
        <f>IFERROR(__xludf.DUMMYFUNCTION("""COMPUTED_VALUE"""),31.0)</f>
        <v>31</v>
      </c>
      <c r="E3739" s="2"/>
      <c r="F3739" s="2"/>
    </row>
    <row r="3740">
      <c r="A3740" s="2">
        <f>IFERROR(__xludf.DUMMYFUNCTION("""COMPUTED_VALUE"""),82393.0)</f>
        <v>82393</v>
      </c>
      <c r="B3740" s="2">
        <f>IFERROR(__xludf.DUMMYFUNCTION("""COMPUTED_VALUE"""),1.0)</f>
        <v>1</v>
      </c>
      <c r="C3740" s="2">
        <f>IFERROR(__xludf.DUMMYFUNCTION("""COMPUTED_VALUE"""),986.0)</f>
        <v>986</v>
      </c>
      <c r="D3740" s="3">
        <f>IFERROR(__xludf.DUMMYFUNCTION("""COMPUTED_VALUE"""),971.0)</f>
        <v>971</v>
      </c>
      <c r="E3740" s="2"/>
      <c r="F3740" s="2"/>
    </row>
    <row r="3741">
      <c r="A3741" s="2">
        <f>IFERROR(__xludf.DUMMYFUNCTION("""COMPUTED_VALUE"""),5803.0)</f>
        <v>5803</v>
      </c>
      <c r="B3741" s="2">
        <f>IFERROR(__xludf.DUMMYFUNCTION("""COMPUTED_VALUE"""),0.0)</f>
        <v>0</v>
      </c>
      <c r="C3741" s="2">
        <f>IFERROR(__xludf.DUMMYFUNCTION("""COMPUTED_VALUE"""),37.0)</f>
        <v>37</v>
      </c>
      <c r="D3741" s="3">
        <f>IFERROR(__xludf.DUMMYFUNCTION("""COMPUTED_VALUE"""),37.0)</f>
        <v>37</v>
      </c>
      <c r="E3741" s="2"/>
      <c r="F3741" s="2"/>
    </row>
    <row r="3742">
      <c r="A3742" s="2">
        <f>IFERROR(__xludf.DUMMYFUNCTION("""COMPUTED_VALUE"""),121706.0)</f>
        <v>121706</v>
      </c>
      <c r="B3742" s="2">
        <f>IFERROR(__xludf.DUMMYFUNCTION("""COMPUTED_VALUE"""),1.0)</f>
        <v>1</v>
      </c>
      <c r="C3742" s="2">
        <f>IFERROR(__xludf.DUMMYFUNCTION("""COMPUTED_VALUE"""),295.0)</f>
        <v>295</v>
      </c>
      <c r="D3742" s="3">
        <f>IFERROR(__xludf.DUMMYFUNCTION("""COMPUTED_VALUE"""),162.0)</f>
        <v>162</v>
      </c>
      <c r="E3742" s="2"/>
      <c r="F3742" s="2"/>
    </row>
    <row r="3743">
      <c r="A3743" s="2">
        <f>IFERROR(__xludf.DUMMYFUNCTION("""COMPUTED_VALUE"""),68374.0)</f>
        <v>68374</v>
      </c>
      <c r="B3743" s="2">
        <f>IFERROR(__xludf.DUMMYFUNCTION("""COMPUTED_VALUE"""),0.0)</f>
        <v>0</v>
      </c>
      <c r="C3743" s="2">
        <f>IFERROR(__xludf.DUMMYFUNCTION("""COMPUTED_VALUE"""),74.0)</f>
        <v>74</v>
      </c>
      <c r="D3743" s="3">
        <f>IFERROR(__xludf.DUMMYFUNCTION("""COMPUTED_VALUE"""),56.0)</f>
        <v>56</v>
      </c>
      <c r="E3743" s="2"/>
      <c r="F3743" s="2"/>
    </row>
    <row r="3744">
      <c r="A3744" s="2">
        <f>IFERROR(__xludf.DUMMYFUNCTION("""COMPUTED_VALUE"""),90946.0)</f>
        <v>90946</v>
      </c>
      <c r="B3744" s="2">
        <f>IFERROR(__xludf.DUMMYFUNCTION("""COMPUTED_VALUE"""),0.0)</f>
        <v>0</v>
      </c>
      <c r="C3744" s="2">
        <f>IFERROR(__xludf.DUMMYFUNCTION("""COMPUTED_VALUE"""),764.0)</f>
        <v>764</v>
      </c>
      <c r="D3744" s="3">
        <f>IFERROR(__xludf.DUMMYFUNCTION("""COMPUTED_VALUE"""),464.0)</f>
        <v>464</v>
      </c>
      <c r="E3744" s="2"/>
      <c r="F3744" s="2"/>
    </row>
    <row r="3745">
      <c r="A3745" s="2">
        <f>IFERROR(__xludf.DUMMYFUNCTION("""COMPUTED_VALUE"""),69312.0)</f>
        <v>69312</v>
      </c>
      <c r="B3745" s="2">
        <f>IFERROR(__xludf.DUMMYFUNCTION("""COMPUTED_VALUE"""),1.0)</f>
        <v>1</v>
      </c>
      <c r="C3745" s="2">
        <f>IFERROR(__xludf.DUMMYFUNCTION("""COMPUTED_VALUE"""),78.0)</f>
        <v>78</v>
      </c>
      <c r="D3745" s="3">
        <f>IFERROR(__xludf.DUMMYFUNCTION("""COMPUTED_VALUE"""),64.0)</f>
        <v>64</v>
      </c>
      <c r="E3745" s="2"/>
      <c r="F3745" s="2"/>
    </row>
    <row r="3746">
      <c r="A3746" s="2">
        <f>IFERROR(__xludf.DUMMYFUNCTION("""COMPUTED_VALUE"""),87128.0)</f>
        <v>87128</v>
      </c>
      <c r="B3746" s="2">
        <f>IFERROR(__xludf.DUMMYFUNCTION("""COMPUTED_VALUE"""),0.0)</f>
        <v>0</v>
      </c>
      <c r="C3746" s="2">
        <f>IFERROR(__xludf.DUMMYFUNCTION("""COMPUTED_VALUE"""),594.0)</f>
        <v>594</v>
      </c>
      <c r="D3746" s="3">
        <f>IFERROR(__xludf.DUMMYFUNCTION("""COMPUTED_VALUE"""),339.0)</f>
        <v>339</v>
      </c>
      <c r="E3746" s="2"/>
      <c r="F3746" s="2"/>
    </row>
    <row r="3747">
      <c r="A3747" s="2">
        <f>IFERROR(__xludf.DUMMYFUNCTION("""COMPUTED_VALUE"""),149506.0)</f>
        <v>149506</v>
      </c>
      <c r="B3747" s="2">
        <f>IFERROR(__xludf.DUMMYFUNCTION("""COMPUTED_VALUE"""),0.0)</f>
        <v>0</v>
      </c>
      <c r="C3747" s="2">
        <f>IFERROR(__xludf.DUMMYFUNCTION("""COMPUTED_VALUE"""),12.0)</f>
        <v>12</v>
      </c>
      <c r="D3747" s="3">
        <f>IFERROR(__xludf.DUMMYFUNCTION("""COMPUTED_VALUE"""),3.0)</f>
        <v>3</v>
      </c>
      <c r="E3747" s="2"/>
      <c r="F3747" s="2"/>
    </row>
    <row r="3748">
      <c r="A3748" s="2">
        <f>IFERROR(__xludf.DUMMYFUNCTION("""COMPUTED_VALUE"""),5722.0)</f>
        <v>5722</v>
      </c>
      <c r="B3748" s="2">
        <f>IFERROR(__xludf.DUMMYFUNCTION("""COMPUTED_VALUE"""),0.0)</f>
        <v>0</v>
      </c>
      <c r="C3748" s="2">
        <f>IFERROR(__xludf.DUMMYFUNCTION("""COMPUTED_VALUE"""),202.0)</f>
        <v>202</v>
      </c>
      <c r="D3748" s="3">
        <f>IFERROR(__xludf.DUMMYFUNCTION("""COMPUTED_VALUE"""),154.0)</f>
        <v>154</v>
      </c>
      <c r="E3748" s="2"/>
      <c r="F3748" s="2"/>
    </row>
    <row r="3749">
      <c r="A3749" s="2">
        <f>IFERROR(__xludf.DUMMYFUNCTION("""COMPUTED_VALUE"""),5697.0)</f>
        <v>5697</v>
      </c>
      <c r="B3749" s="2">
        <f>IFERROR(__xludf.DUMMYFUNCTION("""COMPUTED_VALUE"""),0.0)</f>
        <v>0</v>
      </c>
      <c r="C3749" s="2">
        <f>IFERROR(__xludf.DUMMYFUNCTION("""COMPUTED_VALUE"""),960.0)</f>
        <v>960</v>
      </c>
      <c r="D3749" s="3">
        <f>IFERROR(__xludf.DUMMYFUNCTION("""COMPUTED_VALUE"""),647.0)</f>
        <v>647</v>
      </c>
      <c r="E3749" s="2"/>
      <c r="F3749" s="2"/>
    </row>
    <row r="3750">
      <c r="A3750" s="2">
        <f>IFERROR(__xludf.DUMMYFUNCTION("""COMPUTED_VALUE"""),29117.0)</f>
        <v>29117</v>
      </c>
      <c r="B3750" s="2">
        <f>IFERROR(__xludf.DUMMYFUNCTION("""COMPUTED_VALUE"""),1.0)</f>
        <v>1</v>
      </c>
      <c r="C3750" s="2">
        <f>IFERROR(__xludf.DUMMYFUNCTION("""COMPUTED_VALUE"""),790.0)</f>
        <v>790</v>
      </c>
      <c r="D3750" s="3">
        <f>IFERROR(__xludf.DUMMYFUNCTION("""COMPUTED_VALUE"""),159.0)</f>
        <v>159</v>
      </c>
      <c r="E3750" s="2"/>
      <c r="F3750" s="2"/>
    </row>
    <row r="3751">
      <c r="A3751" s="2">
        <f>IFERROR(__xludf.DUMMYFUNCTION("""COMPUTED_VALUE"""),68305.0)</f>
        <v>68305</v>
      </c>
      <c r="B3751" s="2">
        <f>IFERROR(__xludf.DUMMYFUNCTION("""COMPUTED_VALUE"""),1.0)</f>
        <v>1</v>
      </c>
      <c r="C3751" s="2">
        <f>IFERROR(__xludf.DUMMYFUNCTION("""COMPUTED_VALUE"""),345.0)</f>
        <v>345</v>
      </c>
      <c r="D3751" s="3">
        <f>IFERROR(__xludf.DUMMYFUNCTION("""COMPUTED_VALUE"""),313.0)</f>
        <v>313</v>
      </c>
      <c r="E3751" s="2"/>
      <c r="F3751" s="2"/>
    </row>
    <row r="3752">
      <c r="A3752" s="2">
        <f>IFERROR(__xludf.DUMMYFUNCTION("""COMPUTED_VALUE"""),5714.0)</f>
        <v>5714</v>
      </c>
      <c r="B3752" s="2">
        <f>IFERROR(__xludf.DUMMYFUNCTION("""COMPUTED_VALUE"""),1.0)</f>
        <v>1</v>
      </c>
      <c r="C3752" s="2">
        <f>IFERROR(__xludf.DUMMYFUNCTION("""COMPUTED_VALUE"""),809.0)</f>
        <v>809</v>
      </c>
      <c r="D3752" s="3">
        <f>IFERROR(__xludf.DUMMYFUNCTION("""COMPUTED_VALUE"""),260.0)</f>
        <v>260</v>
      </c>
      <c r="E3752" s="2"/>
      <c r="F3752" s="2"/>
    </row>
    <row r="3753">
      <c r="A3753" s="2">
        <f>IFERROR(__xludf.DUMMYFUNCTION("""COMPUTED_VALUE"""),73951.0)</f>
        <v>73951</v>
      </c>
      <c r="B3753" s="2">
        <f>IFERROR(__xludf.DUMMYFUNCTION("""COMPUTED_VALUE"""),1.0)</f>
        <v>1</v>
      </c>
      <c r="C3753" s="2">
        <f>IFERROR(__xludf.DUMMYFUNCTION("""COMPUTED_VALUE"""),253.0)</f>
        <v>253</v>
      </c>
      <c r="D3753" s="3">
        <f>IFERROR(__xludf.DUMMYFUNCTION("""COMPUTED_VALUE"""),60.0)</f>
        <v>60</v>
      </c>
      <c r="E3753" s="2"/>
      <c r="F3753" s="2"/>
    </row>
    <row r="3754">
      <c r="A3754" s="2">
        <f>IFERROR(__xludf.DUMMYFUNCTION("""COMPUTED_VALUE"""),68337.0)</f>
        <v>68337</v>
      </c>
      <c r="B3754" s="2">
        <f>IFERROR(__xludf.DUMMYFUNCTION("""COMPUTED_VALUE"""),0.0)</f>
        <v>0</v>
      </c>
      <c r="C3754" s="2">
        <f>IFERROR(__xludf.DUMMYFUNCTION("""COMPUTED_VALUE"""),950.0)</f>
        <v>950</v>
      </c>
      <c r="D3754" s="3">
        <f>IFERROR(__xludf.DUMMYFUNCTION("""COMPUTED_VALUE"""),112.0)</f>
        <v>112</v>
      </c>
      <c r="E3754" s="2"/>
      <c r="F3754" s="2"/>
    </row>
    <row r="3755">
      <c r="A3755" s="2">
        <f>IFERROR(__xludf.DUMMYFUNCTION("""COMPUTED_VALUE"""),76338.0)</f>
        <v>76338</v>
      </c>
      <c r="B3755" s="2">
        <f>IFERROR(__xludf.DUMMYFUNCTION("""COMPUTED_VALUE"""),0.0)</f>
        <v>0</v>
      </c>
      <c r="C3755" s="2">
        <f>IFERROR(__xludf.DUMMYFUNCTION("""COMPUTED_VALUE"""),910.0)</f>
        <v>910</v>
      </c>
      <c r="D3755" s="3">
        <f>IFERROR(__xludf.DUMMYFUNCTION("""COMPUTED_VALUE"""),615.0)</f>
        <v>615</v>
      </c>
      <c r="E3755" s="2"/>
      <c r="F3755" s="2"/>
    </row>
    <row r="3756">
      <c r="A3756" s="2">
        <f>IFERROR(__xludf.DUMMYFUNCTION("""COMPUTED_VALUE"""),202592.0)</f>
        <v>202592</v>
      </c>
      <c r="B3756" s="2">
        <f>IFERROR(__xludf.DUMMYFUNCTION("""COMPUTED_VALUE"""),1.0)</f>
        <v>1</v>
      </c>
      <c r="C3756" s="2">
        <f>IFERROR(__xludf.DUMMYFUNCTION("""COMPUTED_VALUE"""),267.0)</f>
        <v>267</v>
      </c>
      <c r="D3756" s="3">
        <f>IFERROR(__xludf.DUMMYFUNCTION("""COMPUTED_VALUE"""),51.0)</f>
        <v>51</v>
      </c>
      <c r="E3756" s="2"/>
      <c r="F3756" s="2"/>
    </row>
    <row r="3757">
      <c r="A3757" s="2">
        <f>IFERROR(__xludf.DUMMYFUNCTION("""COMPUTED_VALUE"""),69578.0)</f>
        <v>69578</v>
      </c>
      <c r="B3757" s="2">
        <f>IFERROR(__xludf.DUMMYFUNCTION("""COMPUTED_VALUE"""),0.0)</f>
        <v>0</v>
      </c>
      <c r="C3757" s="2">
        <f>IFERROR(__xludf.DUMMYFUNCTION("""COMPUTED_VALUE"""),503.0)</f>
        <v>503</v>
      </c>
      <c r="D3757" s="3">
        <f>IFERROR(__xludf.DUMMYFUNCTION("""COMPUTED_VALUE"""),478.0)</f>
        <v>478</v>
      </c>
      <c r="E3757" s="2"/>
      <c r="F3757" s="2"/>
    </row>
    <row r="3758">
      <c r="A3758" s="2">
        <f>IFERROR(__xludf.DUMMYFUNCTION("""COMPUTED_VALUE"""),76383.0)</f>
        <v>76383</v>
      </c>
      <c r="B3758" s="2">
        <f>IFERROR(__xludf.DUMMYFUNCTION("""COMPUTED_VALUE"""),0.0)</f>
        <v>0</v>
      </c>
      <c r="C3758" s="2">
        <f>IFERROR(__xludf.DUMMYFUNCTION("""COMPUTED_VALUE"""),801.0)</f>
        <v>801</v>
      </c>
      <c r="D3758" s="3">
        <f>IFERROR(__xludf.DUMMYFUNCTION("""COMPUTED_VALUE"""),26.0)</f>
        <v>26</v>
      </c>
      <c r="E3758" s="2"/>
      <c r="F3758" s="2"/>
    </row>
    <row r="3759">
      <c r="A3759" s="2">
        <f>IFERROR(__xludf.DUMMYFUNCTION("""COMPUTED_VALUE"""),5696.0)</f>
        <v>5696</v>
      </c>
      <c r="B3759" s="2">
        <f>IFERROR(__xludf.DUMMYFUNCTION("""COMPUTED_VALUE"""),0.0)</f>
        <v>0</v>
      </c>
      <c r="C3759" s="2">
        <f>IFERROR(__xludf.DUMMYFUNCTION("""COMPUTED_VALUE"""),31.0)</f>
        <v>31</v>
      </c>
      <c r="D3759" s="3">
        <f>IFERROR(__xludf.DUMMYFUNCTION("""COMPUTED_VALUE"""),16.0)</f>
        <v>16</v>
      </c>
      <c r="E3759" s="2"/>
      <c r="F3759" s="2"/>
    </row>
    <row r="3760">
      <c r="A3760" s="2">
        <f>IFERROR(__xludf.DUMMYFUNCTION("""COMPUTED_VALUE"""),90929.0)</f>
        <v>90929</v>
      </c>
      <c r="B3760" s="2">
        <f>IFERROR(__xludf.DUMMYFUNCTION("""COMPUTED_VALUE"""),0.0)</f>
        <v>0</v>
      </c>
      <c r="C3760" s="2">
        <f>IFERROR(__xludf.DUMMYFUNCTION("""COMPUTED_VALUE"""),243.0)</f>
        <v>243</v>
      </c>
      <c r="D3760" s="3">
        <f>IFERROR(__xludf.DUMMYFUNCTION("""COMPUTED_VALUE"""),219.0)</f>
        <v>219</v>
      </c>
      <c r="E3760" s="2"/>
      <c r="F3760" s="2"/>
    </row>
    <row r="3761">
      <c r="A3761" s="2">
        <f>IFERROR(__xludf.DUMMYFUNCTION("""COMPUTED_VALUE"""),90926.0)</f>
        <v>90926</v>
      </c>
      <c r="B3761" s="2">
        <f>IFERROR(__xludf.DUMMYFUNCTION("""COMPUTED_VALUE"""),1.0)</f>
        <v>1</v>
      </c>
      <c r="C3761" s="2">
        <f>IFERROR(__xludf.DUMMYFUNCTION("""COMPUTED_VALUE"""),440.0)</f>
        <v>440</v>
      </c>
      <c r="D3761" s="3">
        <f>IFERROR(__xludf.DUMMYFUNCTION("""COMPUTED_VALUE"""),21.0)</f>
        <v>21</v>
      </c>
      <c r="E3761" s="2"/>
      <c r="F3761" s="2"/>
    </row>
    <row r="3762">
      <c r="A3762" s="2">
        <f>IFERROR(__xludf.DUMMYFUNCTION("""COMPUTED_VALUE"""),76364.0)</f>
        <v>76364</v>
      </c>
      <c r="B3762" s="2">
        <f>IFERROR(__xludf.DUMMYFUNCTION("""COMPUTED_VALUE"""),1.0)</f>
        <v>1</v>
      </c>
      <c r="C3762" s="2">
        <f>IFERROR(__xludf.DUMMYFUNCTION("""COMPUTED_VALUE"""),199.0)</f>
        <v>199</v>
      </c>
      <c r="D3762" s="3">
        <f>IFERROR(__xludf.DUMMYFUNCTION("""COMPUTED_VALUE"""),171.0)</f>
        <v>171</v>
      </c>
      <c r="E3762" s="2"/>
      <c r="F3762" s="2"/>
    </row>
    <row r="3763">
      <c r="A3763" s="2">
        <f>IFERROR(__xludf.DUMMYFUNCTION("""COMPUTED_VALUE"""),79152.0)</f>
        <v>79152</v>
      </c>
      <c r="B3763" s="2">
        <f>IFERROR(__xludf.DUMMYFUNCTION("""COMPUTED_VALUE"""),0.0)</f>
        <v>0</v>
      </c>
      <c r="C3763" s="2">
        <f>IFERROR(__xludf.DUMMYFUNCTION("""COMPUTED_VALUE"""),414.0)</f>
        <v>414</v>
      </c>
      <c r="D3763" s="3">
        <f>IFERROR(__xludf.DUMMYFUNCTION("""COMPUTED_VALUE"""),205.0)</f>
        <v>205</v>
      </c>
      <c r="E3763" s="2"/>
      <c r="F3763" s="2"/>
    </row>
    <row r="3764">
      <c r="A3764" s="2">
        <f>IFERROR(__xludf.DUMMYFUNCTION("""COMPUTED_VALUE"""),30874.0)</f>
        <v>30874</v>
      </c>
      <c r="B3764" s="2">
        <f>IFERROR(__xludf.DUMMYFUNCTION("""COMPUTED_VALUE"""),0.0)</f>
        <v>0</v>
      </c>
      <c r="C3764" s="2">
        <f>IFERROR(__xludf.DUMMYFUNCTION("""COMPUTED_VALUE"""),95.0)</f>
        <v>95</v>
      </c>
      <c r="D3764" s="3">
        <f>IFERROR(__xludf.DUMMYFUNCTION("""COMPUTED_VALUE"""),19.0)</f>
        <v>19</v>
      </c>
      <c r="E3764" s="2"/>
      <c r="F3764" s="2"/>
    </row>
    <row r="3765">
      <c r="A3765" s="2">
        <f>IFERROR(__xludf.DUMMYFUNCTION("""COMPUTED_VALUE"""),5718.0)</f>
        <v>5718</v>
      </c>
      <c r="B3765" s="2">
        <f>IFERROR(__xludf.DUMMYFUNCTION("""COMPUTED_VALUE"""),1.0)</f>
        <v>1</v>
      </c>
      <c r="C3765" s="2">
        <f>IFERROR(__xludf.DUMMYFUNCTION("""COMPUTED_VALUE"""),383.0)</f>
        <v>383</v>
      </c>
      <c r="D3765" s="3">
        <f>IFERROR(__xludf.DUMMYFUNCTION("""COMPUTED_VALUE"""),220.0)</f>
        <v>220</v>
      </c>
      <c r="E3765" s="2"/>
      <c r="F3765" s="2"/>
    </row>
    <row r="3766">
      <c r="A3766" s="2">
        <f>IFERROR(__xludf.DUMMYFUNCTION("""COMPUTED_VALUE"""),126542.0)</f>
        <v>126542</v>
      </c>
      <c r="B3766" s="2">
        <f>IFERROR(__xludf.DUMMYFUNCTION("""COMPUTED_VALUE"""),1.0)</f>
        <v>1</v>
      </c>
      <c r="C3766" s="2">
        <f>IFERROR(__xludf.DUMMYFUNCTION("""COMPUTED_VALUE"""),326.0)</f>
        <v>326</v>
      </c>
      <c r="D3766" s="3">
        <f>IFERROR(__xludf.DUMMYFUNCTION("""COMPUTED_VALUE"""),179.0)</f>
        <v>179</v>
      </c>
      <c r="E3766" s="2"/>
      <c r="F3766" s="2"/>
    </row>
    <row r="3767">
      <c r="A3767" s="2">
        <f>IFERROR(__xludf.DUMMYFUNCTION("""COMPUTED_VALUE"""),90852.0)</f>
        <v>90852</v>
      </c>
      <c r="B3767" s="2">
        <f>IFERROR(__xludf.DUMMYFUNCTION("""COMPUTED_VALUE"""),1.0)</f>
        <v>1</v>
      </c>
      <c r="C3767" s="2">
        <f>IFERROR(__xludf.DUMMYFUNCTION("""COMPUTED_VALUE"""),196.0)</f>
        <v>196</v>
      </c>
      <c r="D3767" s="3">
        <f>IFERROR(__xludf.DUMMYFUNCTION("""COMPUTED_VALUE"""),153.0)</f>
        <v>153</v>
      </c>
      <c r="E3767" s="2"/>
      <c r="F3767" s="2"/>
    </row>
    <row r="3768">
      <c r="A3768" s="2">
        <f>IFERROR(__xludf.DUMMYFUNCTION("""COMPUTED_VALUE"""),122139.0)</f>
        <v>122139</v>
      </c>
      <c r="B3768" s="2">
        <f>IFERROR(__xludf.DUMMYFUNCTION("""COMPUTED_VALUE"""),0.0)</f>
        <v>0</v>
      </c>
      <c r="C3768" s="2">
        <f>IFERROR(__xludf.DUMMYFUNCTION("""COMPUTED_VALUE"""),522.0)</f>
        <v>522</v>
      </c>
      <c r="D3768" s="3">
        <f>IFERROR(__xludf.DUMMYFUNCTION("""COMPUTED_VALUE"""),74.0)</f>
        <v>74</v>
      </c>
      <c r="E3768" s="2"/>
      <c r="F3768" s="2"/>
    </row>
    <row r="3769">
      <c r="A3769" s="2">
        <f>IFERROR(__xludf.DUMMYFUNCTION("""COMPUTED_VALUE"""),126975.0)</f>
        <v>126975</v>
      </c>
      <c r="B3769" s="2">
        <f>IFERROR(__xludf.DUMMYFUNCTION("""COMPUTED_VALUE"""),1.0)</f>
        <v>1</v>
      </c>
      <c r="C3769" s="2">
        <f>IFERROR(__xludf.DUMMYFUNCTION("""COMPUTED_VALUE"""),401.0)</f>
        <v>401</v>
      </c>
      <c r="D3769" s="3">
        <f>IFERROR(__xludf.DUMMYFUNCTION("""COMPUTED_VALUE"""),159.0)</f>
        <v>159</v>
      </c>
      <c r="E3769" s="2"/>
      <c r="F3769" s="2"/>
    </row>
    <row r="3770">
      <c r="A3770" s="2">
        <f>IFERROR(__xludf.DUMMYFUNCTION("""COMPUTED_VALUE"""),202593.0)</f>
        <v>202593</v>
      </c>
      <c r="B3770" s="2">
        <f>IFERROR(__xludf.DUMMYFUNCTION("""COMPUTED_VALUE"""),1.0)</f>
        <v>1</v>
      </c>
      <c r="C3770" s="2">
        <f>IFERROR(__xludf.DUMMYFUNCTION("""COMPUTED_VALUE"""),337.0)</f>
        <v>337</v>
      </c>
      <c r="D3770" s="3">
        <f>IFERROR(__xludf.DUMMYFUNCTION("""COMPUTED_VALUE"""),321.0)</f>
        <v>321</v>
      </c>
      <c r="E3770" s="2"/>
      <c r="F3770" s="2"/>
    </row>
    <row r="3771">
      <c r="A3771" s="2">
        <f>IFERROR(__xludf.DUMMYFUNCTION("""COMPUTED_VALUE"""),73940.0)</f>
        <v>73940</v>
      </c>
      <c r="B3771" s="2">
        <f>IFERROR(__xludf.DUMMYFUNCTION("""COMPUTED_VALUE"""),0.0)</f>
        <v>0</v>
      </c>
      <c r="C3771" s="2">
        <f>IFERROR(__xludf.DUMMYFUNCTION("""COMPUTED_VALUE"""),930.0)</f>
        <v>930</v>
      </c>
      <c r="D3771" s="3">
        <f>IFERROR(__xludf.DUMMYFUNCTION("""COMPUTED_VALUE"""),900.0)</f>
        <v>900</v>
      </c>
      <c r="E3771" s="2"/>
      <c r="F3771" s="2"/>
    </row>
    <row r="3772">
      <c r="A3772" s="2">
        <f>IFERROR(__xludf.DUMMYFUNCTION("""COMPUTED_VALUE"""),76360.0)</f>
        <v>76360</v>
      </c>
      <c r="B3772" s="2">
        <f>IFERROR(__xludf.DUMMYFUNCTION("""COMPUTED_VALUE"""),0.0)</f>
        <v>0</v>
      </c>
      <c r="C3772" s="2">
        <f>IFERROR(__xludf.DUMMYFUNCTION("""COMPUTED_VALUE"""),274.0)</f>
        <v>274</v>
      </c>
      <c r="D3772" s="3">
        <f>IFERROR(__xludf.DUMMYFUNCTION("""COMPUTED_VALUE"""),206.0)</f>
        <v>206</v>
      </c>
      <c r="E3772" s="2"/>
      <c r="F3772" s="2"/>
    </row>
    <row r="3773">
      <c r="A3773" s="2">
        <f>IFERROR(__xludf.DUMMYFUNCTION("""COMPUTED_VALUE"""),118876.0)</f>
        <v>118876</v>
      </c>
      <c r="B3773" s="2">
        <f>IFERROR(__xludf.DUMMYFUNCTION("""COMPUTED_VALUE"""),1.0)</f>
        <v>1</v>
      </c>
      <c r="C3773" s="2">
        <f>IFERROR(__xludf.DUMMYFUNCTION("""COMPUTED_VALUE"""),690.0)</f>
        <v>690</v>
      </c>
      <c r="D3773" s="3">
        <f>IFERROR(__xludf.DUMMYFUNCTION("""COMPUTED_VALUE"""),688.0)</f>
        <v>688</v>
      </c>
      <c r="E3773" s="2"/>
      <c r="F3773" s="2"/>
    </row>
    <row r="3774">
      <c r="A3774" s="2">
        <f>IFERROR(__xludf.DUMMYFUNCTION("""COMPUTED_VALUE"""),76366.0)</f>
        <v>76366</v>
      </c>
      <c r="B3774" s="2">
        <f>IFERROR(__xludf.DUMMYFUNCTION("""COMPUTED_VALUE"""),1.0)</f>
        <v>1</v>
      </c>
      <c r="C3774" s="2">
        <f>IFERROR(__xludf.DUMMYFUNCTION("""COMPUTED_VALUE"""),570.0)</f>
        <v>570</v>
      </c>
      <c r="D3774" s="3">
        <f>IFERROR(__xludf.DUMMYFUNCTION("""COMPUTED_VALUE"""),558.0)</f>
        <v>558</v>
      </c>
      <c r="E3774" s="2"/>
      <c r="F3774" s="2"/>
    </row>
    <row r="3775">
      <c r="A3775" s="2">
        <f>IFERROR(__xludf.DUMMYFUNCTION("""COMPUTED_VALUE"""),122645.0)</f>
        <v>122645</v>
      </c>
      <c r="B3775" s="2">
        <f>IFERROR(__xludf.DUMMYFUNCTION("""COMPUTED_VALUE"""),0.0)</f>
        <v>0</v>
      </c>
      <c r="C3775" s="2">
        <f>IFERROR(__xludf.DUMMYFUNCTION("""COMPUTED_VALUE"""),696.0)</f>
        <v>696</v>
      </c>
      <c r="D3775" s="3">
        <f>IFERROR(__xludf.DUMMYFUNCTION("""COMPUTED_VALUE"""),33.0)</f>
        <v>33</v>
      </c>
      <c r="E3775" s="2"/>
      <c r="F3775" s="2"/>
    </row>
    <row r="3776">
      <c r="A3776" s="2">
        <f>IFERROR(__xludf.DUMMYFUNCTION("""COMPUTED_VALUE"""),76372.0)</f>
        <v>76372</v>
      </c>
      <c r="B3776" s="2">
        <f>IFERROR(__xludf.DUMMYFUNCTION("""COMPUTED_VALUE"""),1.0)</f>
        <v>1</v>
      </c>
      <c r="C3776" s="2">
        <f>IFERROR(__xludf.DUMMYFUNCTION("""COMPUTED_VALUE"""),685.0)</f>
        <v>685</v>
      </c>
      <c r="D3776" s="3">
        <f>IFERROR(__xludf.DUMMYFUNCTION("""COMPUTED_VALUE"""),476.0)</f>
        <v>476</v>
      </c>
      <c r="E3776" s="2"/>
      <c r="F3776" s="2"/>
    </row>
    <row r="3777">
      <c r="A3777" s="2">
        <f>IFERROR(__xludf.DUMMYFUNCTION("""COMPUTED_VALUE"""),5720.0)</f>
        <v>5720</v>
      </c>
      <c r="B3777" s="2">
        <f>IFERROR(__xludf.DUMMYFUNCTION("""COMPUTED_VALUE"""),0.0)</f>
        <v>0</v>
      </c>
      <c r="C3777" s="2">
        <f>IFERROR(__xludf.DUMMYFUNCTION("""COMPUTED_VALUE"""),809.0)</f>
        <v>809</v>
      </c>
      <c r="D3777" s="3">
        <f>IFERROR(__xludf.DUMMYFUNCTION("""COMPUTED_VALUE"""),80.0)</f>
        <v>80</v>
      </c>
      <c r="E3777" s="2"/>
      <c r="F3777" s="2"/>
    </row>
    <row r="3778">
      <c r="A3778" s="2">
        <f>IFERROR(__xludf.DUMMYFUNCTION("""COMPUTED_VALUE"""),5695.0)</f>
        <v>5695</v>
      </c>
      <c r="B3778" s="2">
        <f>IFERROR(__xludf.DUMMYFUNCTION("""COMPUTED_VALUE"""),0.0)</f>
        <v>0</v>
      </c>
      <c r="C3778" s="2">
        <f>IFERROR(__xludf.DUMMYFUNCTION("""COMPUTED_VALUE"""),328.0)</f>
        <v>328</v>
      </c>
      <c r="D3778" s="3">
        <f>IFERROR(__xludf.DUMMYFUNCTION("""COMPUTED_VALUE"""),49.0)</f>
        <v>49</v>
      </c>
      <c r="E3778" s="2"/>
      <c r="F3778" s="2"/>
    </row>
    <row r="3779">
      <c r="A3779" s="2">
        <f>IFERROR(__xludf.DUMMYFUNCTION("""COMPUTED_VALUE"""),90931.0)</f>
        <v>90931</v>
      </c>
      <c r="B3779" s="2">
        <f>IFERROR(__xludf.DUMMYFUNCTION("""COMPUTED_VALUE"""),0.0)</f>
        <v>0</v>
      </c>
      <c r="C3779" s="2">
        <f>IFERROR(__xludf.DUMMYFUNCTION("""COMPUTED_VALUE"""),118.0)</f>
        <v>118</v>
      </c>
      <c r="D3779" s="3">
        <f>IFERROR(__xludf.DUMMYFUNCTION("""COMPUTED_VALUE"""),92.0)</f>
        <v>92</v>
      </c>
      <c r="E3779" s="2"/>
      <c r="F3779" s="2"/>
    </row>
    <row r="3780">
      <c r="A3780" s="2">
        <f>IFERROR(__xludf.DUMMYFUNCTION("""COMPUTED_VALUE"""),110085.0)</f>
        <v>110085</v>
      </c>
      <c r="B3780" s="2">
        <f>IFERROR(__xludf.DUMMYFUNCTION("""COMPUTED_VALUE"""),1.0)</f>
        <v>1</v>
      </c>
      <c r="C3780" s="2">
        <f>IFERROR(__xludf.DUMMYFUNCTION("""COMPUTED_VALUE"""),560.0)</f>
        <v>560</v>
      </c>
      <c r="D3780" s="3">
        <f>IFERROR(__xludf.DUMMYFUNCTION("""COMPUTED_VALUE"""),70.0)</f>
        <v>70</v>
      </c>
      <c r="E3780" s="2"/>
      <c r="F3780" s="2"/>
    </row>
    <row r="3781">
      <c r="A3781" s="2">
        <f>IFERROR(__xludf.DUMMYFUNCTION("""COMPUTED_VALUE"""),113096.0)</f>
        <v>113096</v>
      </c>
      <c r="B3781" s="2">
        <f>IFERROR(__xludf.DUMMYFUNCTION("""COMPUTED_VALUE"""),0.0)</f>
        <v>0</v>
      </c>
      <c r="C3781" s="2">
        <f>IFERROR(__xludf.DUMMYFUNCTION("""COMPUTED_VALUE"""),72.0)</f>
        <v>72</v>
      </c>
      <c r="D3781" s="3">
        <f>IFERROR(__xludf.DUMMYFUNCTION("""COMPUTED_VALUE"""),44.0)</f>
        <v>44</v>
      </c>
      <c r="E3781" s="2"/>
      <c r="F3781" s="2"/>
    </row>
    <row r="3782">
      <c r="A3782" s="2">
        <f>IFERROR(__xludf.DUMMYFUNCTION("""COMPUTED_VALUE"""),90878.0)</f>
        <v>90878</v>
      </c>
      <c r="B3782" s="2">
        <f>IFERROR(__xludf.DUMMYFUNCTION("""COMPUTED_VALUE"""),1.0)</f>
        <v>1</v>
      </c>
      <c r="C3782" s="2">
        <f>IFERROR(__xludf.DUMMYFUNCTION("""COMPUTED_VALUE"""),455.0)</f>
        <v>455</v>
      </c>
      <c r="D3782" s="3">
        <f>IFERROR(__xludf.DUMMYFUNCTION("""COMPUTED_VALUE"""),381.0)</f>
        <v>381</v>
      </c>
      <c r="E3782" s="2"/>
      <c r="F3782" s="2"/>
    </row>
    <row r="3783">
      <c r="A3783" s="2">
        <f>IFERROR(__xludf.DUMMYFUNCTION("""COMPUTED_VALUE"""),73938.0)</f>
        <v>73938</v>
      </c>
      <c r="B3783" s="2">
        <f>IFERROR(__xludf.DUMMYFUNCTION("""COMPUTED_VALUE"""),1.0)</f>
        <v>1</v>
      </c>
      <c r="C3783" s="2">
        <f>IFERROR(__xludf.DUMMYFUNCTION("""COMPUTED_VALUE"""),754.0)</f>
        <v>754</v>
      </c>
      <c r="D3783" s="3">
        <f>IFERROR(__xludf.DUMMYFUNCTION("""COMPUTED_VALUE"""),312.0)</f>
        <v>312</v>
      </c>
      <c r="E3783" s="2"/>
      <c r="F3783" s="2"/>
    </row>
    <row r="3784">
      <c r="A3784" s="2">
        <f>IFERROR(__xludf.DUMMYFUNCTION("""COMPUTED_VALUE"""),5698.0)</f>
        <v>5698</v>
      </c>
      <c r="B3784" s="2">
        <f>IFERROR(__xludf.DUMMYFUNCTION("""COMPUTED_VALUE"""),0.0)</f>
        <v>0</v>
      </c>
      <c r="C3784" s="2">
        <f>IFERROR(__xludf.DUMMYFUNCTION("""COMPUTED_VALUE"""),873.0)</f>
        <v>873</v>
      </c>
      <c r="D3784" s="3">
        <f>IFERROR(__xludf.DUMMYFUNCTION("""COMPUTED_VALUE"""),483.0)</f>
        <v>483</v>
      </c>
      <c r="E3784" s="2"/>
      <c r="F3784" s="2"/>
    </row>
    <row r="3785">
      <c r="A3785" s="2">
        <f>IFERROR(__xludf.DUMMYFUNCTION("""COMPUTED_VALUE"""),76373.0)</f>
        <v>76373</v>
      </c>
      <c r="B3785" s="2">
        <f>IFERROR(__xludf.DUMMYFUNCTION("""COMPUTED_VALUE"""),1.0)</f>
        <v>1</v>
      </c>
      <c r="C3785" s="2">
        <f>IFERROR(__xludf.DUMMYFUNCTION("""COMPUTED_VALUE"""),115.0)</f>
        <v>115</v>
      </c>
      <c r="D3785" s="3">
        <f>IFERROR(__xludf.DUMMYFUNCTION("""COMPUTED_VALUE"""),75.0)</f>
        <v>75</v>
      </c>
      <c r="E3785" s="2"/>
      <c r="F3785" s="2"/>
    </row>
    <row r="3786">
      <c r="A3786" s="2">
        <f>IFERROR(__xludf.DUMMYFUNCTION("""COMPUTED_VALUE"""),73945.0)</f>
        <v>73945</v>
      </c>
      <c r="B3786" s="2">
        <f>IFERROR(__xludf.DUMMYFUNCTION("""COMPUTED_VALUE"""),0.0)</f>
        <v>0</v>
      </c>
      <c r="C3786" s="2">
        <f>IFERROR(__xludf.DUMMYFUNCTION("""COMPUTED_VALUE"""),529.0)</f>
        <v>529</v>
      </c>
      <c r="D3786" s="3">
        <f>IFERROR(__xludf.DUMMYFUNCTION("""COMPUTED_VALUE"""),383.0)</f>
        <v>383</v>
      </c>
      <c r="E3786" s="2"/>
      <c r="F3786" s="2"/>
    </row>
    <row r="3787">
      <c r="A3787" s="2">
        <f>IFERROR(__xludf.DUMMYFUNCTION("""COMPUTED_VALUE"""),159200.0)</f>
        <v>159200</v>
      </c>
      <c r="B3787" s="2">
        <f>IFERROR(__xludf.DUMMYFUNCTION("""COMPUTED_VALUE"""),1.0)</f>
        <v>1</v>
      </c>
      <c r="C3787" s="2">
        <f>IFERROR(__xludf.DUMMYFUNCTION("""COMPUTED_VALUE"""),695.0)</f>
        <v>695</v>
      </c>
      <c r="D3787" s="3">
        <f>IFERROR(__xludf.DUMMYFUNCTION("""COMPUTED_VALUE"""),486.0)</f>
        <v>486</v>
      </c>
      <c r="E3787" s="2"/>
      <c r="F3787" s="2"/>
    </row>
    <row r="3788">
      <c r="A3788" s="2">
        <f>IFERROR(__xludf.DUMMYFUNCTION("""COMPUTED_VALUE"""),68354.0)</f>
        <v>68354</v>
      </c>
      <c r="B3788" s="2">
        <f>IFERROR(__xludf.DUMMYFUNCTION("""COMPUTED_VALUE"""),1.0)</f>
        <v>1</v>
      </c>
      <c r="C3788" s="2">
        <f>IFERROR(__xludf.DUMMYFUNCTION("""COMPUTED_VALUE"""),248.0)</f>
        <v>248</v>
      </c>
      <c r="D3788" s="3">
        <f>IFERROR(__xludf.DUMMYFUNCTION("""COMPUTED_VALUE"""),191.0)</f>
        <v>191</v>
      </c>
      <c r="E3788" s="2"/>
      <c r="F3788" s="2"/>
    </row>
    <row r="3789">
      <c r="A3789" s="2">
        <f>IFERROR(__xludf.DUMMYFUNCTION("""COMPUTED_VALUE"""),5712.0)</f>
        <v>5712</v>
      </c>
      <c r="B3789" s="2">
        <f>IFERROR(__xludf.DUMMYFUNCTION("""COMPUTED_VALUE"""),1.0)</f>
        <v>1</v>
      </c>
      <c r="C3789" s="2">
        <f>IFERROR(__xludf.DUMMYFUNCTION("""COMPUTED_VALUE"""),538.0)</f>
        <v>538</v>
      </c>
      <c r="D3789" s="3">
        <f>IFERROR(__xludf.DUMMYFUNCTION("""COMPUTED_VALUE"""),194.0)</f>
        <v>194</v>
      </c>
      <c r="E3789" s="2"/>
      <c r="F3789" s="2"/>
    </row>
    <row r="3790">
      <c r="A3790" s="2">
        <f>IFERROR(__xludf.DUMMYFUNCTION("""COMPUTED_VALUE"""),114471.0)</f>
        <v>114471</v>
      </c>
      <c r="B3790" s="2">
        <f>IFERROR(__xludf.DUMMYFUNCTION("""COMPUTED_VALUE"""),0.0)</f>
        <v>0</v>
      </c>
      <c r="C3790" s="2">
        <f>IFERROR(__xludf.DUMMYFUNCTION("""COMPUTED_VALUE"""),245.0)</f>
        <v>245</v>
      </c>
      <c r="D3790" s="3">
        <f>IFERROR(__xludf.DUMMYFUNCTION("""COMPUTED_VALUE"""),99.0)</f>
        <v>99</v>
      </c>
      <c r="E3790" s="2"/>
      <c r="F3790" s="2"/>
    </row>
    <row r="3791">
      <c r="A3791" s="2">
        <f>IFERROR(__xludf.DUMMYFUNCTION("""COMPUTED_VALUE"""),90934.0)</f>
        <v>90934</v>
      </c>
      <c r="B3791" s="2">
        <f>IFERROR(__xludf.DUMMYFUNCTION("""COMPUTED_VALUE"""),0.0)</f>
        <v>0</v>
      </c>
      <c r="C3791" s="2">
        <f>IFERROR(__xludf.DUMMYFUNCTION("""COMPUTED_VALUE"""),271.0)</f>
        <v>271</v>
      </c>
      <c r="D3791" s="3">
        <f>IFERROR(__xludf.DUMMYFUNCTION("""COMPUTED_VALUE"""),92.0)</f>
        <v>92</v>
      </c>
      <c r="E3791" s="2"/>
      <c r="F3791" s="2"/>
    </row>
    <row r="3792">
      <c r="A3792" s="2">
        <f>IFERROR(__xludf.DUMMYFUNCTION("""COMPUTED_VALUE"""),87851.0)</f>
        <v>87851</v>
      </c>
      <c r="B3792" s="2">
        <f>IFERROR(__xludf.DUMMYFUNCTION("""COMPUTED_VALUE"""),0.0)</f>
        <v>0</v>
      </c>
      <c r="C3792" s="2">
        <f>IFERROR(__xludf.DUMMYFUNCTION("""COMPUTED_VALUE"""),26.0)</f>
        <v>26</v>
      </c>
      <c r="D3792" s="3">
        <f>IFERROR(__xludf.DUMMYFUNCTION("""COMPUTED_VALUE"""),19.0)</f>
        <v>19</v>
      </c>
      <c r="E3792" s="2"/>
      <c r="F3792" s="2"/>
    </row>
    <row r="3793">
      <c r="A3793" s="2">
        <f>IFERROR(__xludf.DUMMYFUNCTION("""COMPUTED_VALUE"""),90891.0)</f>
        <v>90891</v>
      </c>
      <c r="B3793" s="2">
        <f>IFERROR(__xludf.DUMMYFUNCTION("""COMPUTED_VALUE"""),1.0)</f>
        <v>1</v>
      </c>
      <c r="C3793" s="2">
        <f>IFERROR(__xludf.DUMMYFUNCTION("""COMPUTED_VALUE"""),11.0)</f>
        <v>11</v>
      </c>
      <c r="D3793" s="3">
        <f>IFERROR(__xludf.DUMMYFUNCTION("""COMPUTED_VALUE"""),8.0)</f>
        <v>8</v>
      </c>
      <c r="E3793" s="2"/>
      <c r="F3793" s="2"/>
    </row>
    <row r="3794">
      <c r="A3794" s="2">
        <f>IFERROR(__xludf.DUMMYFUNCTION("""COMPUTED_VALUE"""),69579.0)</f>
        <v>69579</v>
      </c>
      <c r="B3794" s="2">
        <f>IFERROR(__xludf.DUMMYFUNCTION("""COMPUTED_VALUE"""),1.0)</f>
        <v>1</v>
      </c>
      <c r="C3794" s="2">
        <f>IFERROR(__xludf.DUMMYFUNCTION("""COMPUTED_VALUE"""),574.0)</f>
        <v>574</v>
      </c>
      <c r="D3794" s="3">
        <f>IFERROR(__xludf.DUMMYFUNCTION("""COMPUTED_VALUE"""),386.0)</f>
        <v>386</v>
      </c>
      <c r="E3794" s="2"/>
      <c r="F3794" s="2"/>
    </row>
    <row r="3795">
      <c r="A3795" s="2">
        <f>IFERROR(__xludf.DUMMYFUNCTION("""COMPUTED_VALUE"""),90924.0)</f>
        <v>90924</v>
      </c>
      <c r="B3795" s="2">
        <f>IFERROR(__xludf.DUMMYFUNCTION("""COMPUTED_VALUE"""),1.0)</f>
        <v>1</v>
      </c>
      <c r="C3795" s="2">
        <f>IFERROR(__xludf.DUMMYFUNCTION("""COMPUTED_VALUE"""),924.0)</f>
        <v>924</v>
      </c>
      <c r="D3795" s="3">
        <f>IFERROR(__xludf.DUMMYFUNCTION("""COMPUTED_VALUE"""),333.0)</f>
        <v>333</v>
      </c>
      <c r="E3795" s="2"/>
      <c r="F3795" s="2"/>
    </row>
    <row r="3796">
      <c r="A3796" s="2">
        <f>IFERROR(__xludf.DUMMYFUNCTION("""COMPUTED_VALUE"""),69311.0)</f>
        <v>69311</v>
      </c>
      <c r="B3796" s="2">
        <f>IFERROR(__xludf.DUMMYFUNCTION("""COMPUTED_VALUE"""),0.0)</f>
        <v>0</v>
      </c>
      <c r="C3796" s="2">
        <f>IFERROR(__xludf.DUMMYFUNCTION("""COMPUTED_VALUE"""),648.0)</f>
        <v>648</v>
      </c>
      <c r="D3796" s="3">
        <f>IFERROR(__xludf.DUMMYFUNCTION("""COMPUTED_VALUE"""),473.0)</f>
        <v>473</v>
      </c>
      <c r="E3796" s="2"/>
      <c r="F3796" s="2"/>
    </row>
    <row r="3797">
      <c r="A3797" s="2">
        <f>IFERROR(__xludf.DUMMYFUNCTION("""COMPUTED_VALUE"""),90923.0)</f>
        <v>90923</v>
      </c>
      <c r="B3797" s="2">
        <f>IFERROR(__xludf.DUMMYFUNCTION("""COMPUTED_VALUE"""),1.0)</f>
        <v>1</v>
      </c>
      <c r="C3797" s="2">
        <f>IFERROR(__xludf.DUMMYFUNCTION("""COMPUTED_VALUE"""),717.0)</f>
        <v>717</v>
      </c>
      <c r="D3797" s="3">
        <f>IFERROR(__xludf.DUMMYFUNCTION("""COMPUTED_VALUE"""),156.0)</f>
        <v>156</v>
      </c>
      <c r="E3797" s="2"/>
      <c r="F3797" s="2"/>
    </row>
    <row r="3798">
      <c r="A3798" s="2">
        <f>IFERROR(__xludf.DUMMYFUNCTION("""COMPUTED_VALUE"""),159197.0)</f>
        <v>159197</v>
      </c>
      <c r="B3798" s="2">
        <f>IFERROR(__xludf.DUMMYFUNCTION("""COMPUTED_VALUE"""),0.0)</f>
        <v>0</v>
      </c>
      <c r="C3798" s="2">
        <f>IFERROR(__xludf.DUMMYFUNCTION("""COMPUTED_VALUE"""),529.0)</f>
        <v>529</v>
      </c>
      <c r="D3798" s="3">
        <f>IFERROR(__xludf.DUMMYFUNCTION("""COMPUTED_VALUE"""),375.0)</f>
        <v>375</v>
      </c>
      <c r="E3798" s="2"/>
      <c r="F3798" s="2"/>
    </row>
    <row r="3799">
      <c r="A3799" s="2">
        <f>IFERROR(__xludf.DUMMYFUNCTION("""COMPUTED_VALUE"""),88268.0)</f>
        <v>88268</v>
      </c>
      <c r="B3799" s="2">
        <f>IFERROR(__xludf.DUMMYFUNCTION("""COMPUTED_VALUE"""),1.0)</f>
        <v>1</v>
      </c>
      <c r="C3799" s="2">
        <f>IFERROR(__xludf.DUMMYFUNCTION("""COMPUTED_VALUE"""),627.0)</f>
        <v>627</v>
      </c>
      <c r="D3799" s="3">
        <f>IFERROR(__xludf.DUMMYFUNCTION("""COMPUTED_VALUE"""),518.0)</f>
        <v>518</v>
      </c>
      <c r="E3799" s="2"/>
      <c r="F3799" s="2"/>
    </row>
    <row r="3800">
      <c r="A3800" s="2">
        <f>IFERROR(__xludf.DUMMYFUNCTION("""COMPUTED_VALUE"""),90913.0)</f>
        <v>90913</v>
      </c>
      <c r="B3800" s="2">
        <f>IFERROR(__xludf.DUMMYFUNCTION("""COMPUTED_VALUE"""),0.0)</f>
        <v>0</v>
      </c>
      <c r="C3800" s="2">
        <f>IFERROR(__xludf.DUMMYFUNCTION("""COMPUTED_VALUE"""),295.0)</f>
        <v>295</v>
      </c>
      <c r="D3800" s="3">
        <f>IFERROR(__xludf.DUMMYFUNCTION("""COMPUTED_VALUE"""),236.0)</f>
        <v>236</v>
      </c>
      <c r="E3800" s="2"/>
      <c r="F3800" s="2"/>
    </row>
    <row r="3801">
      <c r="A3801" s="2">
        <f>IFERROR(__xludf.DUMMYFUNCTION("""COMPUTED_VALUE"""),76365.0)</f>
        <v>76365</v>
      </c>
      <c r="B3801" s="2">
        <f>IFERROR(__xludf.DUMMYFUNCTION("""COMPUTED_VALUE"""),1.0)</f>
        <v>1</v>
      </c>
      <c r="C3801" s="2">
        <f>IFERROR(__xludf.DUMMYFUNCTION("""COMPUTED_VALUE"""),971.0)</f>
        <v>971</v>
      </c>
      <c r="D3801" s="3">
        <f>IFERROR(__xludf.DUMMYFUNCTION("""COMPUTED_VALUE"""),654.0)</f>
        <v>654</v>
      </c>
      <c r="E3801" s="2"/>
      <c r="F3801" s="2"/>
    </row>
    <row r="3802">
      <c r="A3802" s="2">
        <f>IFERROR(__xludf.DUMMYFUNCTION("""COMPUTED_VALUE"""),9205.0)</f>
        <v>9205</v>
      </c>
      <c r="B3802" s="2">
        <f>IFERROR(__xludf.DUMMYFUNCTION("""COMPUTED_VALUE"""),0.0)</f>
        <v>0</v>
      </c>
      <c r="C3802" s="2">
        <f>IFERROR(__xludf.DUMMYFUNCTION("""COMPUTED_VALUE"""),38.0)</f>
        <v>38</v>
      </c>
      <c r="D3802" s="3">
        <f>IFERROR(__xludf.DUMMYFUNCTION("""COMPUTED_VALUE"""),13.0)</f>
        <v>13</v>
      </c>
      <c r="E3802" s="2"/>
      <c r="F3802" s="2"/>
    </row>
    <row r="3803">
      <c r="A3803" s="2">
        <f>IFERROR(__xludf.DUMMYFUNCTION("""COMPUTED_VALUE"""),76363.0)</f>
        <v>76363</v>
      </c>
      <c r="B3803" s="2">
        <f>IFERROR(__xludf.DUMMYFUNCTION("""COMPUTED_VALUE"""),0.0)</f>
        <v>0</v>
      </c>
      <c r="C3803" s="2">
        <f>IFERROR(__xludf.DUMMYFUNCTION("""COMPUTED_VALUE"""),525.0)</f>
        <v>525</v>
      </c>
      <c r="D3803" s="3">
        <f>IFERROR(__xludf.DUMMYFUNCTION("""COMPUTED_VALUE"""),115.0)</f>
        <v>115</v>
      </c>
      <c r="E3803" s="2"/>
      <c r="F3803" s="2"/>
    </row>
    <row r="3804">
      <c r="A3804" s="2">
        <f>IFERROR(__xludf.DUMMYFUNCTION("""COMPUTED_VALUE"""),121967.0)</f>
        <v>121967</v>
      </c>
      <c r="B3804" s="2">
        <f>IFERROR(__xludf.DUMMYFUNCTION("""COMPUTED_VALUE"""),1.0)</f>
        <v>1</v>
      </c>
      <c r="C3804" s="2">
        <f>IFERROR(__xludf.DUMMYFUNCTION("""COMPUTED_VALUE"""),556.0)</f>
        <v>556</v>
      </c>
      <c r="D3804" s="3">
        <f>IFERROR(__xludf.DUMMYFUNCTION("""COMPUTED_VALUE"""),125.0)</f>
        <v>125</v>
      </c>
      <c r="E3804" s="2"/>
      <c r="F3804" s="2"/>
    </row>
    <row r="3805">
      <c r="A3805" s="2">
        <f>IFERROR(__xludf.DUMMYFUNCTION("""COMPUTED_VALUE"""),90935.0)</f>
        <v>90935</v>
      </c>
      <c r="B3805" s="2">
        <f>IFERROR(__xludf.DUMMYFUNCTION("""COMPUTED_VALUE"""),0.0)</f>
        <v>0</v>
      </c>
      <c r="C3805" s="2">
        <f>IFERROR(__xludf.DUMMYFUNCTION("""COMPUTED_VALUE"""),197.0)</f>
        <v>197</v>
      </c>
      <c r="D3805" s="3">
        <f>IFERROR(__xludf.DUMMYFUNCTION("""COMPUTED_VALUE"""),170.0)</f>
        <v>170</v>
      </c>
      <c r="E3805" s="2"/>
      <c r="F3805" s="2"/>
    </row>
    <row r="3806">
      <c r="A3806" s="2">
        <f>IFERROR(__xludf.DUMMYFUNCTION("""COMPUTED_VALUE"""),87126.0)</f>
        <v>87126</v>
      </c>
      <c r="B3806" s="2">
        <f>IFERROR(__xludf.DUMMYFUNCTION("""COMPUTED_VALUE"""),0.0)</f>
        <v>0</v>
      </c>
      <c r="C3806" s="2">
        <f>IFERROR(__xludf.DUMMYFUNCTION("""COMPUTED_VALUE"""),61.0)</f>
        <v>61</v>
      </c>
      <c r="D3806" s="3">
        <f>IFERROR(__xludf.DUMMYFUNCTION("""COMPUTED_VALUE"""),43.0)</f>
        <v>43</v>
      </c>
      <c r="E3806" s="2"/>
      <c r="F3806" s="2"/>
    </row>
    <row r="3807">
      <c r="A3807" s="2">
        <f>IFERROR(__xludf.DUMMYFUNCTION("""COMPUTED_VALUE"""),90928.0)</f>
        <v>90928</v>
      </c>
      <c r="B3807" s="2">
        <f>IFERROR(__xludf.DUMMYFUNCTION("""COMPUTED_VALUE"""),0.0)</f>
        <v>0</v>
      </c>
      <c r="C3807" s="2">
        <f>IFERROR(__xludf.DUMMYFUNCTION("""COMPUTED_VALUE"""),592.0)</f>
        <v>592</v>
      </c>
      <c r="D3807" s="3">
        <f>IFERROR(__xludf.DUMMYFUNCTION("""COMPUTED_VALUE"""),514.0)</f>
        <v>514</v>
      </c>
      <c r="E3807" s="2"/>
      <c r="F3807" s="2"/>
    </row>
    <row r="3808">
      <c r="A3808" s="2">
        <f>IFERROR(__xludf.DUMMYFUNCTION("""COMPUTED_VALUE"""),90912.0)</f>
        <v>90912</v>
      </c>
      <c r="B3808" s="2">
        <f>IFERROR(__xludf.DUMMYFUNCTION("""COMPUTED_VALUE"""),1.0)</f>
        <v>1</v>
      </c>
      <c r="C3808" s="2">
        <f>IFERROR(__xludf.DUMMYFUNCTION("""COMPUTED_VALUE"""),847.0)</f>
        <v>847</v>
      </c>
      <c r="D3808" s="3">
        <f>IFERROR(__xludf.DUMMYFUNCTION("""COMPUTED_VALUE"""),622.0)</f>
        <v>622</v>
      </c>
      <c r="E3808" s="2"/>
      <c r="F3808" s="2"/>
    </row>
    <row r="3809">
      <c r="A3809" s="2">
        <f>IFERROR(__xludf.DUMMYFUNCTION("""COMPUTED_VALUE"""),48508.0)</f>
        <v>48508</v>
      </c>
      <c r="B3809" s="2">
        <f>IFERROR(__xludf.DUMMYFUNCTION("""COMPUTED_VALUE"""),1.0)</f>
        <v>1</v>
      </c>
      <c r="C3809" s="2">
        <f>IFERROR(__xludf.DUMMYFUNCTION("""COMPUTED_VALUE"""),80.0)</f>
        <v>80</v>
      </c>
      <c r="D3809" s="3">
        <f>IFERROR(__xludf.DUMMYFUNCTION("""COMPUTED_VALUE"""),10.0)</f>
        <v>10</v>
      </c>
      <c r="E3809" s="2"/>
      <c r="F3809" s="2"/>
    </row>
    <row r="3810">
      <c r="A3810" s="2">
        <f>IFERROR(__xludf.DUMMYFUNCTION("""COMPUTED_VALUE"""),90853.0)</f>
        <v>90853</v>
      </c>
      <c r="B3810" s="2">
        <f>IFERROR(__xludf.DUMMYFUNCTION("""COMPUTED_VALUE"""),0.0)</f>
        <v>0</v>
      </c>
      <c r="C3810" s="2">
        <f>IFERROR(__xludf.DUMMYFUNCTION("""COMPUTED_VALUE"""),247.0)</f>
        <v>247</v>
      </c>
      <c r="D3810" s="3">
        <f>IFERROR(__xludf.DUMMYFUNCTION("""COMPUTED_VALUE"""),15.0)</f>
        <v>15</v>
      </c>
      <c r="E3810" s="2"/>
      <c r="F3810" s="2"/>
    </row>
    <row r="3811">
      <c r="A3811" s="2">
        <f>IFERROR(__xludf.DUMMYFUNCTION("""COMPUTED_VALUE"""),117628.0)</f>
        <v>117628</v>
      </c>
      <c r="B3811" s="2">
        <f>IFERROR(__xludf.DUMMYFUNCTION("""COMPUTED_VALUE"""),0.0)</f>
        <v>0</v>
      </c>
      <c r="C3811" s="2">
        <f>IFERROR(__xludf.DUMMYFUNCTION("""COMPUTED_VALUE"""),309.0)</f>
        <v>309</v>
      </c>
      <c r="D3811" s="3">
        <f>IFERROR(__xludf.DUMMYFUNCTION("""COMPUTED_VALUE"""),89.0)</f>
        <v>89</v>
      </c>
      <c r="E3811" s="2"/>
      <c r="F3811" s="2"/>
    </row>
    <row r="3812">
      <c r="A3812" s="2">
        <f>IFERROR(__xludf.DUMMYFUNCTION("""COMPUTED_VALUE"""),5699.0)</f>
        <v>5699</v>
      </c>
      <c r="B3812" s="2">
        <f>IFERROR(__xludf.DUMMYFUNCTION("""COMPUTED_VALUE"""),0.0)</f>
        <v>0</v>
      </c>
      <c r="C3812" s="2">
        <f>IFERROR(__xludf.DUMMYFUNCTION("""COMPUTED_VALUE"""),111.0)</f>
        <v>111</v>
      </c>
      <c r="D3812" s="3">
        <f>IFERROR(__xludf.DUMMYFUNCTION("""COMPUTED_VALUE"""),4.0)</f>
        <v>4</v>
      </c>
      <c r="E3812" s="2"/>
      <c r="F3812" s="2"/>
    </row>
    <row r="3813">
      <c r="A3813" s="2">
        <f>IFERROR(__xludf.DUMMYFUNCTION("""COMPUTED_VALUE"""),5735.0)</f>
        <v>5735</v>
      </c>
      <c r="B3813" s="2">
        <f>IFERROR(__xludf.DUMMYFUNCTION("""COMPUTED_VALUE"""),0.0)</f>
        <v>0</v>
      </c>
      <c r="C3813" s="2">
        <f>IFERROR(__xludf.DUMMYFUNCTION("""COMPUTED_VALUE"""),413.0)</f>
        <v>413</v>
      </c>
      <c r="D3813" s="3">
        <f>IFERROR(__xludf.DUMMYFUNCTION("""COMPUTED_VALUE"""),197.0)</f>
        <v>197</v>
      </c>
      <c r="E3813" s="2"/>
      <c r="F3813" s="2"/>
    </row>
    <row r="3814">
      <c r="A3814" s="2">
        <f>IFERROR(__xludf.DUMMYFUNCTION("""COMPUTED_VALUE"""),109832.0)</f>
        <v>109832</v>
      </c>
      <c r="B3814" s="2">
        <f>IFERROR(__xludf.DUMMYFUNCTION("""COMPUTED_VALUE"""),1.0)</f>
        <v>1</v>
      </c>
      <c r="C3814" s="2">
        <f>IFERROR(__xludf.DUMMYFUNCTION("""COMPUTED_VALUE"""),172.0)</f>
        <v>172</v>
      </c>
      <c r="D3814" s="3">
        <f>IFERROR(__xludf.DUMMYFUNCTION("""COMPUTED_VALUE"""),122.0)</f>
        <v>122</v>
      </c>
      <c r="E3814" s="2"/>
      <c r="F3814" s="2"/>
    </row>
    <row r="3815">
      <c r="A3815" s="2">
        <f>IFERROR(__xludf.DUMMYFUNCTION("""COMPUTED_VALUE"""),122675.0)</f>
        <v>122675</v>
      </c>
      <c r="B3815" s="2">
        <f>IFERROR(__xludf.DUMMYFUNCTION("""COMPUTED_VALUE"""),0.0)</f>
        <v>0</v>
      </c>
      <c r="C3815" s="2">
        <f>IFERROR(__xludf.DUMMYFUNCTION("""COMPUTED_VALUE"""),25.0)</f>
        <v>25</v>
      </c>
      <c r="D3815" s="3">
        <f>IFERROR(__xludf.DUMMYFUNCTION("""COMPUTED_VALUE"""),7.0)</f>
        <v>7</v>
      </c>
      <c r="E3815" s="2"/>
      <c r="F3815" s="2"/>
    </row>
    <row r="3816">
      <c r="A3816" s="2">
        <f>IFERROR(__xludf.DUMMYFUNCTION("""COMPUTED_VALUE"""),87225.0)</f>
        <v>87225</v>
      </c>
      <c r="B3816" s="2">
        <f>IFERROR(__xludf.DUMMYFUNCTION("""COMPUTED_VALUE"""),0.0)</f>
        <v>0</v>
      </c>
      <c r="C3816" s="2">
        <f>IFERROR(__xludf.DUMMYFUNCTION("""COMPUTED_VALUE"""),494.0)</f>
        <v>494</v>
      </c>
      <c r="D3816" s="3">
        <f>IFERROR(__xludf.DUMMYFUNCTION("""COMPUTED_VALUE"""),419.0)</f>
        <v>419</v>
      </c>
      <c r="E3816" s="2"/>
      <c r="F3816" s="2"/>
    </row>
    <row r="3817">
      <c r="A3817" s="2">
        <f>IFERROR(__xludf.DUMMYFUNCTION("""COMPUTED_VALUE"""),82373.0)</f>
        <v>82373</v>
      </c>
      <c r="B3817" s="2">
        <f>IFERROR(__xludf.DUMMYFUNCTION("""COMPUTED_VALUE"""),1.0)</f>
        <v>1</v>
      </c>
      <c r="C3817" s="2">
        <f>IFERROR(__xludf.DUMMYFUNCTION("""COMPUTED_VALUE"""),204.0)</f>
        <v>204</v>
      </c>
      <c r="D3817" s="3">
        <f>IFERROR(__xludf.DUMMYFUNCTION("""COMPUTED_VALUE"""),87.0)</f>
        <v>87</v>
      </c>
      <c r="E3817" s="2"/>
      <c r="F3817" s="2"/>
    </row>
    <row r="3818">
      <c r="A3818" s="2">
        <f>IFERROR(__xludf.DUMMYFUNCTION("""COMPUTED_VALUE"""),77254.0)</f>
        <v>77254</v>
      </c>
      <c r="B3818" s="2">
        <f>IFERROR(__xludf.DUMMYFUNCTION("""COMPUTED_VALUE"""),1.0)</f>
        <v>1</v>
      </c>
      <c r="C3818" s="2">
        <f>IFERROR(__xludf.DUMMYFUNCTION("""COMPUTED_VALUE"""),562.0)</f>
        <v>562</v>
      </c>
      <c r="D3818" s="3">
        <f>IFERROR(__xludf.DUMMYFUNCTION("""COMPUTED_VALUE"""),484.0)</f>
        <v>484</v>
      </c>
      <c r="E3818" s="2"/>
      <c r="F3818" s="2"/>
    </row>
    <row r="3819">
      <c r="A3819" s="2">
        <f>IFERROR(__xludf.DUMMYFUNCTION("""COMPUTED_VALUE"""),5742.0)</f>
        <v>5742</v>
      </c>
      <c r="B3819" s="2">
        <f>IFERROR(__xludf.DUMMYFUNCTION("""COMPUTED_VALUE"""),1.0)</f>
        <v>1</v>
      </c>
      <c r="C3819" s="2">
        <f>IFERROR(__xludf.DUMMYFUNCTION("""COMPUTED_VALUE"""),972.0)</f>
        <v>972</v>
      </c>
      <c r="D3819" s="3">
        <f>IFERROR(__xludf.DUMMYFUNCTION("""COMPUTED_VALUE"""),182.0)</f>
        <v>182</v>
      </c>
      <c r="E3819" s="2"/>
      <c r="F3819" s="2"/>
    </row>
    <row r="3820">
      <c r="A3820" s="2">
        <f>IFERROR(__xludf.DUMMYFUNCTION("""COMPUTED_VALUE"""),117622.0)</f>
        <v>117622</v>
      </c>
      <c r="B3820" s="2">
        <f>IFERROR(__xludf.DUMMYFUNCTION("""COMPUTED_VALUE"""),1.0)</f>
        <v>1</v>
      </c>
      <c r="C3820" s="2">
        <f>IFERROR(__xludf.DUMMYFUNCTION("""COMPUTED_VALUE"""),516.0)</f>
        <v>516</v>
      </c>
      <c r="D3820" s="3">
        <f>IFERROR(__xludf.DUMMYFUNCTION("""COMPUTED_VALUE"""),347.0)</f>
        <v>347</v>
      </c>
      <c r="E3820" s="2"/>
      <c r="F3820" s="2"/>
    </row>
    <row r="3821">
      <c r="A3821" s="2">
        <f>IFERROR(__xludf.DUMMYFUNCTION("""COMPUTED_VALUE"""),77255.0)</f>
        <v>77255</v>
      </c>
      <c r="B3821" s="2">
        <f>IFERROR(__xludf.DUMMYFUNCTION("""COMPUTED_VALUE"""),1.0)</f>
        <v>1</v>
      </c>
      <c r="C3821" s="2">
        <f>IFERROR(__xludf.DUMMYFUNCTION("""COMPUTED_VALUE"""),618.0)</f>
        <v>618</v>
      </c>
      <c r="D3821" s="3">
        <f>IFERROR(__xludf.DUMMYFUNCTION("""COMPUTED_VALUE"""),187.0)</f>
        <v>187</v>
      </c>
      <c r="E3821" s="2"/>
      <c r="F3821" s="2"/>
    </row>
    <row r="3822">
      <c r="A3822" s="2">
        <f>IFERROR(__xludf.DUMMYFUNCTION("""COMPUTED_VALUE"""),101964.0)</f>
        <v>101964</v>
      </c>
      <c r="B3822" s="2">
        <f>IFERROR(__xludf.DUMMYFUNCTION("""COMPUTED_VALUE"""),1.0)</f>
        <v>1</v>
      </c>
      <c r="C3822" s="2">
        <f>IFERROR(__xludf.DUMMYFUNCTION("""COMPUTED_VALUE"""),147.0)</f>
        <v>147</v>
      </c>
      <c r="D3822" s="3">
        <f>IFERROR(__xludf.DUMMYFUNCTION("""COMPUTED_VALUE"""),66.0)</f>
        <v>66</v>
      </c>
      <c r="E3822" s="2"/>
      <c r="F3822" s="2"/>
    </row>
    <row r="3823">
      <c r="A3823" s="2">
        <f>IFERROR(__xludf.DUMMYFUNCTION("""COMPUTED_VALUE"""),48491.0)</f>
        <v>48491</v>
      </c>
      <c r="B3823" s="2">
        <f>IFERROR(__xludf.DUMMYFUNCTION("""COMPUTED_VALUE"""),1.0)</f>
        <v>1</v>
      </c>
      <c r="C3823" s="2">
        <f>IFERROR(__xludf.DUMMYFUNCTION("""COMPUTED_VALUE"""),254.0)</f>
        <v>254</v>
      </c>
      <c r="D3823" s="3">
        <f>IFERROR(__xludf.DUMMYFUNCTION("""COMPUTED_VALUE"""),103.0)</f>
        <v>103</v>
      </c>
      <c r="E3823" s="2"/>
      <c r="F3823" s="2"/>
    </row>
    <row r="3824">
      <c r="A3824" s="2">
        <f>IFERROR(__xludf.DUMMYFUNCTION("""COMPUTED_VALUE"""),82368.0)</f>
        <v>82368</v>
      </c>
      <c r="B3824" s="2">
        <f>IFERROR(__xludf.DUMMYFUNCTION("""COMPUTED_VALUE"""),0.0)</f>
        <v>0</v>
      </c>
      <c r="C3824" s="2">
        <f>IFERROR(__xludf.DUMMYFUNCTION("""COMPUTED_VALUE"""),374.0)</f>
        <v>374</v>
      </c>
      <c r="D3824" s="3">
        <f>IFERROR(__xludf.DUMMYFUNCTION("""COMPUTED_VALUE"""),341.0)</f>
        <v>341</v>
      </c>
      <c r="E3824" s="2"/>
      <c r="F3824" s="2"/>
    </row>
    <row r="3825">
      <c r="A3825" s="2">
        <f>IFERROR(__xludf.DUMMYFUNCTION("""COMPUTED_VALUE"""),82367.0)</f>
        <v>82367</v>
      </c>
      <c r="B3825" s="2">
        <f>IFERROR(__xludf.DUMMYFUNCTION("""COMPUTED_VALUE"""),1.0)</f>
        <v>1</v>
      </c>
      <c r="C3825" s="2">
        <f>IFERROR(__xludf.DUMMYFUNCTION("""COMPUTED_VALUE"""),399.0)</f>
        <v>399</v>
      </c>
      <c r="D3825" s="3">
        <f>IFERROR(__xludf.DUMMYFUNCTION("""COMPUTED_VALUE"""),64.0)</f>
        <v>64</v>
      </c>
      <c r="E3825" s="2"/>
      <c r="F3825" s="2"/>
    </row>
    <row r="3826">
      <c r="A3826" s="2">
        <f>IFERROR(__xludf.DUMMYFUNCTION("""COMPUTED_VALUE"""),118426.0)</f>
        <v>118426</v>
      </c>
      <c r="B3826" s="2">
        <f>IFERROR(__xludf.DUMMYFUNCTION("""COMPUTED_VALUE"""),1.0)</f>
        <v>1</v>
      </c>
      <c r="C3826" s="2">
        <f>IFERROR(__xludf.DUMMYFUNCTION("""COMPUTED_VALUE"""),747.0)</f>
        <v>747</v>
      </c>
      <c r="D3826" s="3">
        <f>IFERROR(__xludf.DUMMYFUNCTION("""COMPUTED_VALUE"""),55.0)</f>
        <v>55</v>
      </c>
      <c r="E3826" s="2"/>
      <c r="F3826" s="2"/>
    </row>
    <row r="3827">
      <c r="A3827" s="2">
        <f>IFERROR(__xludf.DUMMYFUNCTION("""COMPUTED_VALUE"""),5068.0)</f>
        <v>5068</v>
      </c>
      <c r="B3827" s="2">
        <f>IFERROR(__xludf.DUMMYFUNCTION("""COMPUTED_VALUE"""),0.0)</f>
        <v>0</v>
      </c>
      <c r="C3827" s="2">
        <f>IFERROR(__xludf.DUMMYFUNCTION("""COMPUTED_VALUE"""),205.0)</f>
        <v>205</v>
      </c>
      <c r="D3827" s="3">
        <f>IFERROR(__xludf.DUMMYFUNCTION("""COMPUTED_VALUE"""),112.0)</f>
        <v>112</v>
      </c>
      <c r="E3827" s="2"/>
      <c r="F3827" s="2"/>
    </row>
    <row r="3828">
      <c r="A3828" s="2">
        <f>IFERROR(__xludf.DUMMYFUNCTION("""COMPUTED_VALUE"""),84660.0)</f>
        <v>84660</v>
      </c>
      <c r="B3828" s="2">
        <f>IFERROR(__xludf.DUMMYFUNCTION("""COMPUTED_VALUE"""),1.0)</f>
        <v>1</v>
      </c>
      <c r="C3828" s="2">
        <f>IFERROR(__xludf.DUMMYFUNCTION("""COMPUTED_VALUE"""),514.0)</f>
        <v>514</v>
      </c>
      <c r="D3828" s="3">
        <f>IFERROR(__xludf.DUMMYFUNCTION("""COMPUTED_VALUE"""),270.0)</f>
        <v>270</v>
      </c>
      <c r="E3828" s="2"/>
      <c r="F3828" s="2"/>
    </row>
    <row r="3829">
      <c r="A3829" s="2">
        <f>IFERROR(__xludf.DUMMYFUNCTION("""COMPUTED_VALUE"""),5070.0)</f>
        <v>5070</v>
      </c>
      <c r="B3829" s="2">
        <f>IFERROR(__xludf.DUMMYFUNCTION("""COMPUTED_VALUE"""),0.0)</f>
        <v>0</v>
      </c>
      <c r="C3829" s="2">
        <f>IFERROR(__xludf.DUMMYFUNCTION("""COMPUTED_VALUE"""),17.0)</f>
        <v>17</v>
      </c>
      <c r="D3829" s="3">
        <f>IFERROR(__xludf.DUMMYFUNCTION("""COMPUTED_VALUE"""),14.0)</f>
        <v>14</v>
      </c>
      <c r="E3829" s="2"/>
      <c r="F3829" s="2"/>
    </row>
    <row r="3830">
      <c r="A3830" s="2">
        <f>IFERROR(__xludf.DUMMYFUNCTION("""COMPUTED_VALUE"""),84681.0)</f>
        <v>84681</v>
      </c>
      <c r="B3830" s="2">
        <f>IFERROR(__xludf.DUMMYFUNCTION("""COMPUTED_VALUE"""),1.0)</f>
        <v>1</v>
      </c>
      <c r="C3830" s="2">
        <f>IFERROR(__xludf.DUMMYFUNCTION("""COMPUTED_VALUE"""),918.0)</f>
        <v>918</v>
      </c>
      <c r="D3830" s="3">
        <f>IFERROR(__xludf.DUMMYFUNCTION("""COMPUTED_VALUE"""),13.0)</f>
        <v>13</v>
      </c>
      <c r="E3830" s="2"/>
      <c r="F3830" s="2"/>
    </row>
    <row r="3831">
      <c r="A3831" s="2">
        <f>IFERROR(__xludf.DUMMYFUNCTION("""COMPUTED_VALUE"""),102596.0)</f>
        <v>102596</v>
      </c>
      <c r="B3831" s="2">
        <f>IFERROR(__xludf.DUMMYFUNCTION("""COMPUTED_VALUE"""),1.0)</f>
        <v>1</v>
      </c>
      <c r="C3831" s="2">
        <f>IFERROR(__xludf.DUMMYFUNCTION("""COMPUTED_VALUE"""),924.0)</f>
        <v>924</v>
      </c>
      <c r="D3831" s="3">
        <f>IFERROR(__xludf.DUMMYFUNCTION("""COMPUTED_VALUE"""),469.0)</f>
        <v>469</v>
      </c>
      <c r="E3831" s="2"/>
      <c r="F3831" s="2"/>
    </row>
    <row r="3832">
      <c r="A3832" s="2">
        <f>IFERROR(__xludf.DUMMYFUNCTION("""COMPUTED_VALUE"""),5037.0)</f>
        <v>5037</v>
      </c>
      <c r="B3832" s="2">
        <f>IFERROR(__xludf.DUMMYFUNCTION("""COMPUTED_VALUE"""),0.0)</f>
        <v>0</v>
      </c>
      <c r="C3832" s="2">
        <f>IFERROR(__xludf.DUMMYFUNCTION("""COMPUTED_VALUE"""),669.0)</f>
        <v>669</v>
      </c>
      <c r="D3832" s="3">
        <f>IFERROR(__xludf.DUMMYFUNCTION("""COMPUTED_VALUE"""),8.0)</f>
        <v>8</v>
      </c>
      <c r="E3832" s="2"/>
      <c r="F3832" s="2"/>
    </row>
    <row r="3833">
      <c r="A3833" s="2">
        <f>IFERROR(__xludf.DUMMYFUNCTION("""COMPUTED_VALUE"""),5052.0)</f>
        <v>5052</v>
      </c>
      <c r="B3833" s="2">
        <f>IFERROR(__xludf.DUMMYFUNCTION("""COMPUTED_VALUE"""),1.0)</f>
        <v>1</v>
      </c>
      <c r="C3833" s="2">
        <f>IFERROR(__xludf.DUMMYFUNCTION("""COMPUTED_VALUE"""),109.0)</f>
        <v>109</v>
      </c>
      <c r="D3833" s="3">
        <f>IFERROR(__xludf.DUMMYFUNCTION("""COMPUTED_VALUE"""),65.0)</f>
        <v>65</v>
      </c>
      <c r="E3833" s="2"/>
      <c r="F3833" s="2"/>
    </row>
    <row r="3834">
      <c r="A3834" s="2">
        <f>IFERROR(__xludf.DUMMYFUNCTION("""COMPUTED_VALUE"""),5051.0)</f>
        <v>5051</v>
      </c>
      <c r="B3834" s="2">
        <f>IFERROR(__xludf.DUMMYFUNCTION("""COMPUTED_VALUE"""),0.0)</f>
        <v>0</v>
      </c>
      <c r="C3834" s="2">
        <f>IFERROR(__xludf.DUMMYFUNCTION("""COMPUTED_VALUE"""),688.0)</f>
        <v>688</v>
      </c>
      <c r="D3834" s="3">
        <f>IFERROR(__xludf.DUMMYFUNCTION("""COMPUTED_VALUE"""),80.0)</f>
        <v>80</v>
      </c>
      <c r="E3834" s="2"/>
      <c r="F3834" s="2"/>
    </row>
    <row r="3835">
      <c r="A3835" s="2">
        <f>IFERROR(__xludf.DUMMYFUNCTION("""COMPUTED_VALUE"""),102647.0)</f>
        <v>102647</v>
      </c>
      <c r="B3835" s="2">
        <f>IFERROR(__xludf.DUMMYFUNCTION("""COMPUTED_VALUE"""),0.0)</f>
        <v>0</v>
      </c>
      <c r="C3835" s="2">
        <f>IFERROR(__xludf.DUMMYFUNCTION("""COMPUTED_VALUE"""),969.0)</f>
        <v>969</v>
      </c>
      <c r="D3835" s="3">
        <f>IFERROR(__xludf.DUMMYFUNCTION("""COMPUTED_VALUE"""),798.0)</f>
        <v>798</v>
      </c>
      <c r="E3835" s="2"/>
      <c r="F3835" s="2"/>
    </row>
    <row r="3836">
      <c r="A3836" s="2">
        <f>IFERROR(__xludf.DUMMYFUNCTION("""COMPUTED_VALUE"""),5061.0)</f>
        <v>5061</v>
      </c>
      <c r="B3836" s="2">
        <f>IFERROR(__xludf.DUMMYFUNCTION("""COMPUTED_VALUE"""),0.0)</f>
        <v>0</v>
      </c>
      <c r="C3836" s="2">
        <f>IFERROR(__xludf.DUMMYFUNCTION("""COMPUTED_VALUE"""),637.0)</f>
        <v>637</v>
      </c>
      <c r="D3836" s="3">
        <f>IFERROR(__xludf.DUMMYFUNCTION("""COMPUTED_VALUE"""),297.0)</f>
        <v>297</v>
      </c>
      <c r="E3836" s="2"/>
      <c r="F3836" s="2"/>
    </row>
    <row r="3837">
      <c r="A3837" s="2">
        <f>IFERROR(__xludf.DUMMYFUNCTION("""COMPUTED_VALUE"""),102649.0)</f>
        <v>102649</v>
      </c>
      <c r="B3837" s="2">
        <f>IFERROR(__xludf.DUMMYFUNCTION("""COMPUTED_VALUE"""),1.0)</f>
        <v>1</v>
      </c>
      <c r="C3837" s="2">
        <f>IFERROR(__xludf.DUMMYFUNCTION("""COMPUTED_VALUE"""),667.0)</f>
        <v>667</v>
      </c>
      <c r="D3837" s="3">
        <f>IFERROR(__xludf.DUMMYFUNCTION("""COMPUTED_VALUE"""),444.0)</f>
        <v>444</v>
      </c>
      <c r="E3837" s="2"/>
      <c r="F3837" s="2"/>
    </row>
    <row r="3838">
      <c r="A3838" s="2">
        <f>IFERROR(__xludf.DUMMYFUNCTION("""COMPUTED_VALUE"""),102662.0)</f>
        <v>102662</v>
      </c>
      <c r="B3838" s="2">
        <f>IFERROR(__xludf.DUMMYFUNCTION("""COMPUTED_VALUE"""),0.0)</f>
        <v>0</v>
      </c>
      <c r="C3838" s="2">
        <f>IFERROR(__xludf.DUMMYFUNCTION("""COMPUTED_VALUE"""),145.0)</f>
        <v>145</v>
      </c>
      <c r="D3838" s="3">
        <f>IFERROR(__xludf.DUMMYFUNCTION("""COMPUTED_VALUE"""),106.0)</f>
        <v>106</v>
      </c>
      <c r="E3838" s="2"/>
      <c r="F3838" s="2"/>
    </row>
    <row r="3839">
      <c r="A3839" s="2">
        <f>IFERROR(__xludf.DUMMYFUNCTION("""COMPUTED_VALUE"""),108337.0)</f>
        <v>108337</v>
      </c>
      <c r="B3839" s="2">
        <f>IFERROR(__xludf.DUMMYFUNCTION("""COMPUTED_VALUE"""),1.0)</f>
        <v>1</v>
      </c>
      <c r="C3839" s="2">
        <f>IFERROR(__xludf.DUMMYFUNCTION("""COMPUTED_VALUE"""),655.0)</f>
        <v>655</v>
      </c>
      <c r="D3839" s="3">
        <f>IFERROR(__xludf.DUMMYFUNCTION("""COMPUTED_VALUE"""),606.0)</f>
        <v>606</v>
      </c>
      <c r="E3839" s="2"/>
      <c r="F3839" s="2"/>
    </row>
    <row r="3840">
      <c r="A3840" s="2">
        <f>IFERROR(__xludf.DUMMYFUNCTION("""COMPUTED_VALUE"""),188352.0)</f>
        <v>188352</v>
      </c>
      <c r="B3840" s="2">
        <f>IFERROR(__xludf.DUMMYFUNCTION("""COMPUTED_VALUE"""),1.0)</f>
        <v>1</v>
      </c>
      <c r="C3840" s="2">
        <f>IFERROR(__xludf.DUMMYFUNCTION("""COMPUTED_VALUE"""),654.0)</f>
        <v>654</v>
      </c>
      <c r="D3840" s="3">
        <f>IFERROR(__xludf.DUMMYFUNCTION("""COMPUTED_VALUE"""),198.0)</f>
        <v>198</v>
      </c>
      <c r="E3840" s="2"/>
      <c r="F3840" s="2"/>
    </row>
    <row r="3841">
      <c r="A3841" s="2">
        <f>IFERROR(__xludf.DUMMYFUNCTION("""COMPUTED_VALUE"""),11459.0)</f>
        <v>11459</v>
      </c>
      <c r="B3841" s="2">
        <f>IFERROR(__xludf.DUMMYFUNCTION("""COMPUTED_VALUE"""),1.0)</f>
        <v>1</v>
      </c>
      <c r="C3841" s="2">
        <f>IFERROR(__xludf.DUMMYFUNCTION("""COMPUTED_VALUE"""),223.0)</f>
        <v>223</v>
      </c>
      <c r="D3841" s="3">
        <f>IFERROR(__xludf.DUMMYFUNCTION("""COMPUTED_VALUE"""),125.0)</f>
        <v>125</v>
      </c>
      <c r="E3841" s="2"/>
      <c r="F3841" s="2"/>
    </row>
    <row r="3842">
      <c r="A3842" s="2">
        <f>IFERROR(__xludf.DUMMYFUNCTION("""COMPUTED_VALUE"""),11443.0)</f>
        <v>11443</v>
      </c>
      <c r="B3842" s="2">
        <f>IFERROR(__xludf.DUMMYFUNCTION("""COMPUTED_VALUE"""),1.0)</f>
        <v>1</v>
      </c>
      <c r="C3842" s="2">
        <f>IFERROR(__xludf.DUMMYFUNCTION("""COMPUTED_VALUE"""),74.0)</f>
        <v>74</v>
      </c>
      <c r="D3842" s="3">
        <f>IFERROR(__xludf.DUMMYFUNCTION("""COMPUTED_VALUE"""),21.0)</f>
        <v>21</v>
      </c>
      <c r="E3842" s="2"/>
      <c r="F3842" s="2"/>
    </row>
    <row r="3843">
      <c r="A3843" s="2">
        <f>IFERROR(__xludf.DUMMYFUNCTION("""COMPUTED_VALUE"""),70560.0)</f>
        <v>70560</v>
      </c>
      <c r="B3843" s="2">
        <f>IFERROR(__xludf.DUMMYFUNCTION("""COMPUTED_VALUE"""),0.0)</f>
        <v>0</v>
      </c>
      <c r="C3843" s="2">
        <f>IFERROR(__xludf.DUMMYFUNCTION("""COMPUTED_VALUE"""),127.0)</f>
        <v>127</v>
      </c>
      <c r="D3843" s="3">
        <f>IFERROR(__xludf.DUMMYFUNCTION("""COMPUTED_VALUE"""),8.0)</f>
        <v>8</v>
      </c>
      <c r="E3843" s="2"/>
      <c r="F3843" s="2"/>
    </row>
    <row r="3844">
      <c r="A3844" s="2">
        <f>IFERROR(__xludf.DUMMYFUNCTION("""COMPUTED_VALUE"""),110363.0)</f>
        <v>110363</v>
      </c>
      <c r="B3844" s="2">
        <f>IFERROR(__xludf.DUMMYFUNCTION("""COMPUTED_VALUE"""),0.0)</f>
        <v>0</v>
      </c>
      <c r="C3844" s="2">
        <f>IFERROR(__xludf.DUMMYFUNCTION("""COMPUTED_VALUE"""),743.0)</f>
        <v>743</v>
      </c>
      <c r="D3844" s="3">
        <f>IFERROR(__xludf.DUMMYFUNCTION("""COMPUTED_VALUE"""),435.0)</f>
        <v>435</v>
      </c>
      <c r="E3844" s="2"/>
      <c r="F3844" s="2"/>
    </row>
    <row r="3845">
      <c r="A3845" s="2">
        <f>IFERROR(__xludf.DUMMYFUNCTION("""COMPUTED_VALUE"""),11449.0)</f>
        <v>11449</v>
      </c>
      <c r="B3845" s="2">
        <f>IFERROR(__xludf.DUMMYFUNCTION("""COMPUTED_VALUE"""),1.0)</f>
        <v>1</v>
      </c>
      <c r="C3845" s="2">
        <f>IFERROR(__xludf.DUMMYFUNCTION("""COMPUTED_VALUE"""),941.0)</f>
        <v>941</v>
      </c>
      <c r="D3845" s="3">
        <f>IFERROR(__xludf.DUMMYFUNCTION("""COMPUTED_VALUE"""),927.0)</f>
        <v>927</v>
      </c>
      <c r="E3845" s="2"/>
      <c r="F3845" s="2"/>
    </row>
    <row r="3846">
      <c r="A3846" s="2">
        <f>IFERROR(__xludf.DUMMYFUNCTION("""COMPUTED_VALUE"""),119793.0)</f>
        <v>119793</v>
      </c>
      <c r="B3846" s="2">
        <f>IFERROR(__xludf.DUMMYFUNCTION("""COMPUTED_VALUE"""),1.0)</f>
        <v>1</v>
      </c>
      <c r="C3846" s="2">
        <f>IFERROR(__xludf.DUMMYFUNCTION("""COMPUTED_VALUE"""),28.0)</f>
        <v>28</v>
      </c>
      <c r="D3846" s="3">
        <f>IFERROR(__xludf.DUMMYFUNCTION("""COMPUTED_VALUE"""),23.0)</f>
        <v>23</v>
      </c>
      <c r="E3846" s="2"/>
      <c r="F3846" s="2"/>
    </row>
    <row r="3847">
      <c r="A3847" s="2">
        <f>IFERROR(__xludf.DUMMYFUNCTION("""COMPUTED_VALUE"""),41107.0)</f>
        <v>41107</v>
      </c>
      <c r="B3847" s="2">
        <f>IFERROR(__xludf.DUMMYFUNCTION("""COMPUTED_VALUE"""),1.0)</f>
        <v>1</v>
      </c>
      <c r="C3847" s="2">
        <f>IFERROR(__xludf.DUMMYFUNCTION("""COMPUTED_VALUE"""),749.0)</f>
        <v>749</v>
      </c>
      <c r="D3847" s="3">
        <f>IFERROR(__xludf.DUMMYFUNCTION("""COMPUTED_VALUE"""),565.0)</f>
        <v>565</v>
      </c>
      <c r="E3847" s="2"/>
      <c r="F3847" s="2"/>
    </row>
    <row r="3848">
      <c r="A3848" s="2">
        <f>IFERROR(__xludf.DUMMYFUNCTION("""COMPUTED_VALUE"""),78358.0)</f>
        <v>78358</v>
      </c>
      <c r="B3848" s="2">
        <f>IFERROR(__xludf.DUMMYFUNCTION("""COMPUTED_VALUE"""),0.0)</f>
        <v>0</v>
      </c>
      <c r="C3848" s="2">
        <f>IFERROR(__xludf.DUMMYFUNCTION("""COMPUTED_VALUE"""),708.0)</f>
        <v>708</v>
      </c>
      <c r="D3848" s="3">
        <f>IFERROR(__xludf.DUMMYFUNCTION("""COMPUTED_VALUE"""),694.0)</f>
        <v>694</v>
      </c>
      <c r="E3848" s="2"/>
      <c r="F3848" s="2"/>
    </row>
    <row r="3849">
      <c r="A3849" s="2">
        <f>IFERROR(__xludf.DUMMYFUNCTION("""COMPUTED_VALUE"""),77048.0)</f>
        <v>77048</v>
      </c>
      <c r="B3849" s="2">
        <f>IFERROR(__xludf.DUMMYFUNCTION("""COMPUTED_VALUE"""),1.0)</f>
        <v>1</v>
      </c>
      <c r="C3849" s="2">
        <f>IFERROR(__xludf.DUMMYFUNCTION("""COMPUTED_VALUE"""),391.0)</f>
        <v>391</v>
      </c>
      <c r="D3849" s="3">
        <f>IFERROR(__xludf.DUMMYFUNCTION("""COMPUTED_VALUE"""),254.0)</f>
        <v>254</v>
      </c>
      <c r="E3849" s="2"/>
      <c r="F3849" s="2"/>
    </row>
    <row r="3850">
      <c r="A3850" s="2">
        <f>IFERROR(__xludf.DUMMYFUNCTION("""COMPUTED_VALUE"""),27428.0)</f>
        <v>27428</v>
      </c>
      <c r="B3850" s="2">
        <f>IFERROR(__xludf.DUMMYFUNCTION("""COMPUTED_VALUE"""),0.0)</f>
        <v>0</v>
      </c>
      <c r="C3850" s="2">
        <f>IFERROR(__xludf.DUMMYFUNCTION("""COMPUTED_VALUE"""),924.0)</f>
        <v>924</v>
      </c>
      <c r="D3850" s="3">
        <f>IFERROR(__xludf.DUMMYFUNCTION("""COMPUTED_VALUE"""),138.0)</f>
        <v>138</v>
      </c>
      <c r="E3850" s="2"/>
      <c r="F3850" s="2"/>
    </row>
    <row r="3851">
      <c r="A3851" s="2">
        <f>IFERROR(__xludf.DUMMYFUNCTION("""COMPUTED_VALUE"""),8530.0)</f>
        <v>8530</v>
      </c>
      <c r="B3851" s="2">
        <f>IFERROR(__xludf.DUMMYFUNCTION("""COMPUTED_VALUE"""),1.0)</f>
        <v>1</v>
      </c>
      <c r="C3851" s="2">
        <f>IFERROR(__xludf.DUMMYFUNCTION("""COMPUTED_VALUE"""),912.0)</f>
        <v>912</v>
      </c>
      <c r="D3851" s="3">
        <f>IFERROR(__xludf.DUMMYFUNCTION("""COMPUTED_VALUE"""),185.0)</f>
        <v>185</v>
      </c>
      <c r="E3851" s="2"/>
      <c r="F3851" s="2"/>
    </row>
    <row r="3852">
      <c r="A3852" s="2">
        <f>IFERROR(__xludf.DUMMYFUNCTION("""COMPUTED_VALUE"""),14281.0)</f>
        <v>14281</v>
      </c>
      <c r="B3852" s="2">
        <f>IFERROR(__xludf.DUMMYFUNCTION("""COMPUTED_VALUE"""),1.0)</f>
        <v>1</v>
      </c>
      <c r="C3852" s="2">
        <f>IFERROR(__xludf.DUMMYFUNCTION("""COMPUTED_VALUE"""),691.0)</f>
        <v>691</v>
      </c>
      <c r="D3852" s="3">
        <f>IFERROR(__xludf.DUMMYFUNCTION("""COMPUTED_VALUE"""),36.0)</f>
        <v>36</v>
      </c>
      <c r="E3852" s="2"/>
      <c r="F3852" s="2"/>
    </row>
    <row r="3853">
      <c r="A3853" s="2">
        <f>IFERROR(__xludf.DUMMYFUNCTION("""COMPUTED_VALUE"""),140582.0)</f>
        <v>140582</v>
      </c>
      <c r="B3853" s="2">
        <f>IFERROR(__xludf.DUMMYFUNCTION("""COMPUTED_VALUE"""),0.0)</f>
        <v>0</v>
      </c>
      <c r="C3853" s="2">
        <f>IFERROR(__xludf.DUMMYFUNCTION("""COMPUTED_VALUE"""),90.0)</f>
        <v>90</v>
      </c>
      <c r="D3853" s="3">
        <f>IFERROR(__xludf.DUMMYFUNCTION("""COMPUTED_VALUE"""),62.0)</f>
        <v>62</v>
      </c>
      <c r="E3853" s="2"/>
      <c r="F3853" s="2"/>
    </row>
    <row r="3854">
      <c r="A3854" s="2">
        <f>IFERROR(__xludf.DUMMYFUNCTION("""COMPUTED_VALUE"""),98895.0)</f>
        <v>98895</v>
      </c>
      <c r="B3854" s="2">
        <f>IFERROR(__xludf.DUMMYFUNCTION("""COMPUTED_VALUE"""),1.0)</f>
        <v>1</v>
      </c>
      <c r="C3854" s="2">
        <f>IFERROR(__xludf.DUMMYFUNCTION("""COMPUTED_VALUE"""),514.0)</f>
        <v>514</v>
      </c>
      <c r="D3854" s="3">
        <f>IFERROR(__xludf.DUMMYFUNCTION("""COMPUTED_VALUE"""),72.0)</f>
        <v>72</v>
      </c>
      <c r="E3854" s="2"/>
      <c r="F3854" s="2"/>
    </row>
    <row r="3855">
      <c r="A3855" s="2">
        <f>IFERROR(__xludf.DUMMYFUNCTION("""COMPUTED_VALUE"""),77491.0)</f>
        <v>77491</v>
      </c>
      <c r="B3855" s="2">
        <f>IFERROR(__xludf.DUMMYFUNCTION("""COMPUTED_VALUE"""),0.0)</f>
        <v>0</v>
      </c>
      <c r="C3855" s="2">
        <f>IFERROR(__xludf.DUMMYFUNCTION("""COMPUTED_VALUE"""),424.0)</f>
        <v>424</v>
      </c>
      <c r="D3855" s="3">
        <f>IFERROR(__xludf.DUMMYFUNCTION("""COMPUTED_VALUE"""),59.0)</f>
        <v>59</v>
      </c>
      <c r="E3855" s="2"/>
      <c r="F3855" s="2"/>
    </row>
    <row r="3856">
      <c r="A3856" s="2">
        <f>IFERROR(__xludf.DUMMYFUNCTION("""COMPUTED_VALUE"""),81704.0)</f>
        <v>81704</v>
      </c>
      <c r="B3856" s="2">
        <f>IFERROR(__xludf.DUMMYFUNCTION("""COMPUTED_VALUE"""),0.0)</f>
        <v>0</v>
      </c>
      <c r="C3856" s="2">
        <f>IFERROR(__xludf.DUMMYFUNCTION("""COMPUTED_VALUE"""),232.0)</f>
        <v>232</v>
      </c>
      <c r="D3856" s="3">
        <f>IFERROR(__xludf.DUMMYFUNCTION("""COMPUTED_VALUE"""),12.0)</f>
        <v>12</v>
      </c>
      <c r="E3856" s="2"/>
      <c r="F3856" s="2"/>
    </row>
    <row r="3857">
      <c r="A3857" s="2">
        <f>IFERROR(__xludf.DUMMYFUNCTION("""COMPUTED_VALUE"""),111565.0)</f>
        <v>111565</v>
      </c>
      <c r="B3857" s="2">
        <f>IFERROR(__xludf.DUMMYFUNCTION("""COMPUTED_VALUE"""),1.0)</f>
        <v>1</v>
      </c>
      <c r="C3857" s="2">
        <f>IFERROR(__xludf.DUMMYFUNCTION("""COMPUTED_VALUE"""),86.0)</f>
        <v>86</v>
      </c>
      <c r="D3857" s="3">
        <f>IFERROR(__xludf.DUMMYFUNCTION("""COMPUTED_VALUE"""),61.0)</f>
        <v>61</v>
      </c>
      <c r="E3857" s="2"/>
      <c r="F3857" s="2"/>
    </row>
    <row r="3858">
      <c r="A3858" s="2">
        <f>IFERROR(__xludf.DUMMYFUNCTION("""COMPUTED_VALUE"""),5774.0)</f>
        <v>5774</v>
      </c>
      <c r="B3858" s="2">
        <f>IFERROR(__xludf.DUMMYFUNCTION("""COMPUTED_VALUE"""),1.0)</f>
        <v>1</v>
      </c>
      <c r="C3858" s="2">
        <f>IFERROR(__xludf.DUMMYFUNCTION("""COMPUTED_VALUE"""),621.0)</f>
        <v>621</v>
      </c>
      <c r="D3858" s="3">
        <f>IFERROR(__xludf.DUMMYFUNCTION("""COMPUTED_VALUE"""),203.0)</f>
        <v>203</v>
      </c>
      <c r="E3858" s="2"/>
      <c r="F3858" s="2"/>
    </row>
    <row r="3859">
      <c r="A3859" s="2">
        <f>IFERROR(__xludf.DUMMYFUNCTION("""COMPUTED_VALUE"""),112075.0)</f>
        <v>112075</v>
      </c>
      <c r="B3859" s="2">
        <f>IFERROR(__xludf.DUMMYFUNCTION("""COMPUTED_VALUE"""),0.0)</f>
        <v>0</v>
      </c>
      <c r="C3859" s="2">
        <f>IFERROR(__xludf.DUMMYFUNCTION("""COMPUTED_VALUE"""),845.0)</f>
        <v>845</v>
      </c>
      <c r="D3859" s="3">
        <f>IFERROR(__xludf.DUMMYFUNCTION("""COMPUTED_VALUE"""),768.0)</f>
        <v>768</v>
      </c>
      <c r="E3859" s="2"/>
      <c r="F3859" s="2"/>
    </row>
    <row r="3860">
      <c r="A3860" s="2">
        <f>IFERROR(__xludf.DUMMYFUNCTION("""COMPUTED_VALUE"""),88469.0)</f>
        <v>88469</v>
      </c>
      <c r="B3860" s="2">
        <f>IFERROR(__xludf.DUMMYFUNCTION("""COMPUTED_VALUE"""),0.0)</f>
        <v>0</v>
      </c>
      <c r="C3860" s="2">
        <f>IFERROR(__xludf.DUMMYFUNCTION("""COMPUTED_VALUE"""),218.0)</f>
        <v>218</v>
      </c>
      <c r="D3860" s="3">
        <f>IFERROR(__xludf.DUMMYFUNCTION("""COMPUTED_VALUE"""),58.0)</f>
        <v>58</v>
      </c>
      <c r="E3860" s="2"/>
      <c r="F3860" s="2"/>
    </row>
    <row r="3861">
      <c r="A3861" s="2">
        <f>IFERROR(__xludf.DUMMYFUNCTION("""COMPUTED_VALUE"""),112249.0)</f>
        <v>112249</v>
      </c>
      <c r="B3861" s="2">
        <f>IFERROR(__xludf.DUMMYFUNCTION("""COMPUTED_VALUE"""),1.0)</f>
        <v>1</v>
      </c>
      <c r="C3861" s="2">
        <f>IFERROR(__xludf.DUMMYFUNCTION("""COMPUTED_VALUE"""),409.0)</f>
        <v>409</v>
      </c>
      <c r="D3861" s="3">
        <f>IFERROR(__xludf.DUMMYFUNCTION("""COMPUTED_VALUE"""),133.0)</f>
        <v>133</v>
      </c>
      <c r="E3861" s="2"/>
      <c r="F3861" s="2"/>
    </row>
    <row r="3862">
      <c r="A3862" s="2">
        <f>IFERROR(__xludf.DUMMYFUNCTION("""COMPUTED_VALUE"""),5775.0)</f>
        <v>5775</v>
      </c>
      <c r="B3862" s="2">
        <f>IFERROR(__xludf.DUMMYFUNCTION("""COMPUTED_VALUE"""),1.0)</f>
        <v>1</v>
      </c>
      <c r="C3862" s="2">
        <f>IFERROR(__xludf.DUMMYFUNCTION("""COMPUTED_VALUE"""),454.0)</f>
        <v>454</v>
      </c>
      <c r="D3862" s="3">
        <f>IFERROR(__xludf.DUMMYFUNCTION("""COMPUTED_VALUE"""),319.0)</f>
        <v>319</v>
      </c>
      <c r="E3862" s="2"/>
      <c r="F3862" s="2"/>
    </row>
    <row r="3863">
      <c r="A3863" s="2">
        <f>IFERROR(__xludf.DUMMYFUNCTION("""COMPUTED_VALUE"""),77506.0)</f>
        <v>77506</v>
      </c>
      <c r="B3863" s="2">
        <f>IFERROR(__xludf.DUMMYFUNCTION("""COMPUTED_VALUE"""),0.0)</f>
        <v>0</v>
      </c>
      <c r="C3863" s="2">
        <f>IFERROR(__xludf.DUMMYFUNCTION("""COMPUTED_VALUE"""),486.0)</f>
        <v>486</v>
      </c>
      <c r="D3863" s="3">
        <f>IFERROR(__xludf.DUMMYFUNCTION("""COMPUTED_VALUE"""),221.0)</f>
        <v>221</v>
      </c>
      <c r="E3863" s="2"/>
      <c r="F3863" s="2"/>
    </row>
    <row r="3864">
      <c r="A3864" s="2">
        <f>IFERROR(__xludf.DUMMYFUNCTION("""COMPUTED_VALUE"""),83646.0)</f>
        <v>83646</v>
      </c>
      <c r="B3864" s="2">
        <f>IFERROR(__xludf.DUMMYFUNCTION("""COMPUTED_VALUE"""),1.0)</f>
        <v>1</v>
      </c>
      <c r="C3864" s="2">
        <f>IFERROR(__xludf.DUMMYFUNCTION("""COMPUTED_VALUE"""),421.0)</f>
        <v>421</v>
      </c>
      <c r="D3864" s="3">
        <f>IFERROR(__xludf.DUMMYFUNCTION("""COMPUTED_VALUE"""),329.0)</f>
        <v>329</v>
      </c>
      <c r="E3864" s="2"/>
      <c r="F3864" s="2"/>
    </row>
    <row r="3865">
      <c r="A3865" s="2">
        <f>IFERROR(__xludf.DUMMYFUNCTION("""COMPUTED_VALUE"""),77484.0)</f>
        <v>77484</v>
      </c>
      <c r="B3865" s="2">
        <f>IFERROR(__xludf.DUMMYFUNCTION("""COMPUTED_VALUE"""),0.0)</f>
        <v>0</v>
      </c>
      <c r="C3865" s="2">
        <f>IFERROR(__xludf.DUMMYFUNCTION("""COMPUTED_VALUE"""),241.0)</f>
        <v>241</v>
      </c>
      <c r="D3865" s="3">
        <f>IFERROR(__xludf.DUMMYFUNCTION("""COMPUTED_VALUE"""),54.0)</f>
        <v>54</v>
      </c>
      <c r="E3865" s="2"/>
      <c r="F3865" s="2"/>
    </row>
    <row r="3866">
      <c r="A3866" s="2">
        <f>IFERROR(__xludf.DUMMYFUNCTION("""COMPUTED_VALUE"""),77481.0)</f>
        <v>77481</v>
      </c>
      <c r="B3866" s="2">
        <f>IFERROR(__xludf.DUMMYFUNCTION("""COMPUTED_VALUE"""),0.0)</f>
        <v>0</v>
      </c>
      <c r="C3866" s="2">
        <f>IFERROR(__xludf.DUMMYFUNCTION("""COMPUTED_VALUE"""),668.0)</f>
        <v>668</v>
      </c>
      <c r="D3866" s="3">
        <f>IFERROR(__xludf.DUMMYFUNCTION("""COMPUTED_VALUE"""),630.0)</f>
        <v>630</v>
      </c>
      <c r="E3866" s="2"/>
      <c r="F3866" s="2"/>
    </row>
    <row r="3867">
      <c r="A3867" s="2">
        <f>IFERROR(__xludf.DUMMYFUNCTION("""COMPUTED_VALUE"""),17075.0)</f>
        <v>17075</v>
      </c>
      <c r="B3867" s="2">
        <f>IFERROR(__xludf.DUMMYFUNCTION("""COMPUTED_VALUE"""),0.0)</f>
        <v>0</v>
      </c>
      <c r="C3867" s="2">
        <f>IFERROR(__xludf.DUMMYFUNCTION("""COMPUTED_VALUE"""),424.0)</f>
        <v>424</v>
      </c>
      <c r="D3867" s="3">
        <f>IFERROR(__xludf.DUMMYFUNCTION("""COMPUTED_VALUE"""),21.0)</f>
        <v>21</v>
      </c>
      <c r="E3867" s="2"/>
      <c r="F3867" s="2"/>
    </row>
    <row r="3868">
      <c r="A3868" s="2">
        <f>IFERROR(__xludf.DUMMYFUNCTION("""COMPUTED_VALUE"""),77492.0)</f>
        <v>77492</v>
      </c>
      <c r="B3868" s="2">
        <f>IFERROR(__xludf.DUMMYFUNCTION("""COMPUTED_VALUE"""),0.0)</f>
        <v>0</v>
      </c>
      <c r="C3868" s="2">
        <f>IFERROR(__xludf.DUMMYFUNCTION("""COMPUTED_VALUE"""),738.0)</f>
        <v>738</v>
      </c>
      <c r="D3868" s="3">
        <f>IFERROR(__xludf.DUMMYFUNCTION("""COMPUTED_VALUE"""),600.0)</f>
        <v>600</v>
      </c>
      <c r="E3868" s="2"/>
      <c r="F3868" s="2"/>
    </row>
    <row r="3869">
      <c r="A3869" s="2">
        <f>IFERROR(__xludf.DUMMYFUNCTION("""COMPUTED_VALUE"""),112084.0)</f>
        <v>112084</v>
      </c>
      <c r="B3869" s="2">
        <f>IFERROR(__xludf.DUMMYFUNCTION("""COMPUTED_VALUE"""),0.0)</f>
        <v>0</v>
      </c>
      <c r="C3869" s="2">
        <f>IFERROR(__xludf.DUMMYFUNCTION("""COMPUTED_VALUE"""),357.0)</f>
        <v>357</v>
      </c>
      <c r="D3869" s="3">
        <f>IFERROR(__xludf.DUMMYFUNCTION("""COMPUTED_VALUE"""),83.0)</f>
        <v>83</v>
      </c>
      <c r="E3869" s="2"/>
      <c r="F3869" s="2"/>
    </row>
    <row r="3870">
      <c r="A3870" s="2">
        <f>IFERROR(__xludf.DUMMYFUNCTION("""COMPUTED_VALUE"""),12041.0)</f>
        <v>12041</v>
      </c>
      <c r="B3870" s="2">
        <f>IFERROR(__xludf.DUMMYFUNCTION("""COMPUTED_VALUE"""),0.0)</f>
        <v>0</v>
      </c>
      <c r="C3870" s="2">
        <f>IFERROR(__xludf.DUMMYFUNCTION("""COMPUTED_VALUE"""),558.0)</f>
        <v>558</v>
      </c>
      <c r="D3870" s="3">
        <f>IFERROR(__xludf.DUMMYFUNCTION("""COMPUTED_VALUE"""),173.0)</f>
        <v>173</v>
      </c>
      <c r="E3870" s="2"/>
      <c r="F3870" s="2"/>
    </row>
    <row r="3871">
      <c r="A3871" s="2">
        <f>IFERROR(__xludf.DUMMYFUNCTION("""COMPUTED_VALUE"""),83042.0)</f>
        <v>83042</v>
      </c>
      <c r="B3871" s="2">
        <f>IFERROR(__xludf.DUMMYFUNCTION("""COMPUTED_VALUE"""),1.0)</f>
        <v>1</v>
      </c>
      <c r="C3871" s="2">
        <f>IFERROR(__xludf.DUMMYFUNCTION("""COMPUTED_VALUE"""),439.0)</f>
        <v>439</v>
      </c>
      <c r="D3871" s="3">
        <f>IFERROR(__xludf.DUMMYFUNCTION("""COMPUTED_VALUE"""),93.0)</f>
        <v>93</v>
      </c>
      <c r="E3871" s="2"/>
      <c r="F3871" s="2"/>
    </row>
    <row r="3872">
      <c r="A3872" s="2">
        <f>IFERROR(__xludf.DUMMYFUNCTION("""COMPUTED_VALUE"""),77490.0)</f>
        <v>77490</v>
      </c>
      <c r="B3872" s="2">
        <f>IFERROR(__xludf.DUMMYFUNCTION("""COMPUTED_VALUE"""),1.0)</f>
        <v>1</v>
      </c>
      <c r="C3872" s="2">
        <f>IFERROR(__xludf.DUMMYFUNCTION("""COMPUTED_VALUE"""),158.0)</f>
        <v>158</v>
      </c>
      <c r="D3872" s="3">
        <f>IFERROR(__xludf.DUMMYFUNCTION("""COMPUTED_VALUE"""),122.0)</f>
        <v>122</v>
      </c>
      <c r="E3872" s="2"/>
      <c r="F3872" s="2"/>
    </row>
    <row r="3873">
      <c r="A3873" s="2">
        <f>IFERROR(__xludf.DUMMYFUNCTION("""COMPUTED_VALUE"""),43336.0)</f>
        <v>43336</v>
      </c>
      <c r="B3873" s="2">
        <f>IFERROR(__xludf.DUMMYFUNCTION("""COMPUTED_VALUE"""),0.0)</f>
        <v>0</v>
      </c>
      <c r="C3873" s="2">
        <f>IFERROR(__xludf.DUMMYFUNCTION("""COMPUTED_VALUE"""),582.0)</f>
        <v>582</v>
      </c>
      <c r="D3873" s="3">
        <f>IFERROR(__xludf.DUMMYFUNCTION("""COMPUTED_VALUE"""),579.0)</f>
        <v>579</v>
      </c>
      <c r="E3873" s="2"/>
      <c r="F3873" s="2"/>
    </row>
    <row r="3874">
      <c r="A3874" s="2">
        <f>IFERROR(__xludf.DUMMYFUNCTION("""COMPUTED_VALUE"""),48609.0)</f>
        <v>48609</v>
      </c>
      <c r="B3874" s="2">
        <f>IFERROR(__xludf.DUMMYFUNCTION("""COMPUTED_VALUE"""),0.0)</f>
        <v>0</v>
      </c>
      <c r="C3874" s="2">
        <f>IFERROR(__xludf.DUMMYFUNCTION("""COMPUTED_VALUE"""),306.0)</f>
        <v>306</v>
      </c>
      <c r="D3874" s="3">
        <f>IFERROR(__xludf.DUMMYFUNCTION("""COMPUTED_VALUE"""),9.0)</f>
        <v>9</v>
      </c>
      <c r="E3874" s="2"/>
      <c r="F3874" s="2"/>
    </row>
    <row r="3875">
      <c r="A3875" s="2">
        <f>IFERROR(__xludf.DUMMYFUNCTION("""COMPUTED_VALUE"""),117074.0)</f>
        <v>117074</v>
      </c>
      <c r="B3875" s="2">
        <f>IFERROR(__xludf.DUMMYFUNCTION("""COMPUTED_VALUE"""),0.0)</f>
        <v>0</v>
      </c>
      <c r="C3875" s="2">
        <f>IFERROR(__xludf.DUMMYFUNCTION("""COMPUTED_VALUE"""),633.0)</f>
        <v>633</v>
      </c>
      <c r="D3875" s="3">
        <f>IFERROR(__xludf.DUMMYFUNCTION("""COMPUTED_VALUE"""),196.0)</f>
        <v>196</v>
      </c>
      <c r="E3875" s="2"/>
      <c r="F3875" s="2"/>
    </row>
    <row r="3876">
      <c r="A3876" s="2">
        <f>IFERROR(__xludf.DUMMYFUNCTION("""COMPUTED_VALUE"""),112085.0)</f>
        <v>112085</v>
      </c>
      <c r="B3876" s="2">
        <f>IFERROR(__xludf.DUMMYFUNCTION("""COMPUTED_VALUE"""),1.0)</f>
        <v>1</v>
      </c>
      <c r="C3876" s="2">
        <f>IFERROR(__xludf.DUMMYFUNCTION("""COMPUTED_VALUE"""),245.0)</f>
        <v>245</v>
      </c>
      <c r="D3876" s="3">
        <f>IFERROR(__xludf.DUMMYFUNCTION("""COMPUTED_VALUE"""),206.0)</f>
        <v>206</v>
      </c>
      <c r="E3876" s="2"/>
      <c r="F3876" s="2"/>
    </row>
    <row r="3877">
      <c r="A3877" s="2">
        <f>IFERROR(__xludf.DUMMYFUNCTION("""COMPUTED_VALUE"""),106656.0)</f>
        <v>106656</v>
      </c>
      <c r="B3877" s="2">
        <f>IFERROR(__xludf.DUMMYFUNCTION("""COMPUTED_VALUE"""),1.0)</f>
        <v>1</v>
      </c>
      <c r="C3877" s="2">
        <f>IFERROR(__xludf.DUMMYFUNCTION("""COMPUTED_VALUE"""),325.0)</f>
        <v>325</v>
      </c>
      <c r="D3877" s="3">
        <f>IFERROR(__xludf.DUMMYFUNCTION("""COMPUTED_VALUE"""),294.0)</f>
        <v>294</v>
      </c>
      <c r="E3877" s="2"/>
      <c r="F3877" s="2"/>
    </row>
    <row r="3878">
      <c r="A3878" s="2">
        <f>IFERROR(__xludf.DUMMYFUNCTION("""COMPUTED_VALUE"""),119244.0)</f>
        <v>119244</v>
      </c>
      <c r="B3878" s="2">
        <f>IFERROR(__xludf.DUMMYFUNCTION("""COMPUTED_VALUE"""),0.0)</f>
        <v>0</v>
      </c>
      <c r="C3878" s="2">
        <f>IFERROR(__xludf.DUMMYFUNCTION("""COMPUTED_VALUE"""),639.0)</f>
        <v>639</v>
      </c>
      <c r="D3878" s="3">
        <f>IFERROR(__xludf.DUMMYFUNCTION("""COMPUTED_VALUE"""),550.0)</f>
        <v>550</v>
      </c>
      <c r="E3878" s="2"/>
      <c r="F3878" s="2"/>
    </row>
    <row r="3879">
      <c r="A3879" s="2">
        <f>IFERROR(__xludf.DUMMYFUNCTION("""COMPUTED_VALUE"""),73236.0)</f>
        <v>73236</v>
      </c>
      <c r="B3879" s="2">
        <f>IFERROR(__xludf.DUMMYFUNCTION("""COMPUTED_VALUE"""),1.0)</f>
        <v>1</v>
      </c>
      <c r="C3879" s="2">
        <f>IFERROR(__xludf.DUMMYFUNCTION("""COMPUTED_VALUE"""),507.0)</f>
        <v>507</v>
      </c>
      <c r="D3879" s="3">
        <f>IFERROR(__xludf.DUMMYFUNCTION("""COMPUTED_VALUE"""),388.0)</f>
        <v>388</v>
      </c>
      <c r="E3879" s="2"/>
      <c r="F3879" s="2"/>
    </row>
    <row r="3880">
      <c r="A3880" s="2">
        <f>IFERROR(__xludf.DUMMYFUNCTION("""COMPUTED_VALUE"""),127582.0)</f>
        <v>127582</v>
      </c>
      <c r="B3880" s="2">
        <f>IFERROR(__xludf.DUMMYFUNCTION("""COMPUTED_VALUE"""),0.0)</f>
        <v>0</v>
      </c>
      <c r="C3880" s="2">
        <f>IFERROR(__xludf.DUMMYFUNCTION("""COMPUTED_VALUE"""),365.0)</f>
        <v>365</v>
      </c>
      <c r="D3880" s="3">
        <f>IFERROR(__xludf.DUMMYFUNCTION("""COMPUTED_VALUE"""),68.0)</f>
        <v>68</v>
      </c>
      <c r="E3880" s="2"/>
      <c r="F3880" s="2"/>
    </row>
    <row r="3881">
      <c r="A3881" s="2">
        <f>IFERROR(__xludf.DUMMYFUNCTION("""COMPUTED_VALUE"""),128210.0)</f>
        <v>128210</v>
      </c>
      <c r="B3881" s="2">
        <f>IFERROR(__xludf.DUMMYFUNCTION("""COMPUTED_VALUE"""),1.0)</f>
        <v>1</v>
      </c>
      <c r="C3881" s="2">
        <f>IFERROR(__xludf.DUMMYFUNCTION("""COMPUTED_VALUE"""),499.0)</f>
        <v>499</v>
      </c>
      <c r="D3881" s="3">
        <f>IFERROR(__xludf.DUMMYFUNCTION("""COMPUTED_VALUE"""),45.0)</f>
        <v>45</v>
      </c>
      <c r="E3881" s="2"/>
      <c r="F3881" s="2"/>
    </row>
    <row r="3882">
      <c r="A3882" s="2">
        <f>IFERROR(__xludf.DUMMYFUNCTION("""COMPUTED_VALUE"""),73187.0)</f>
        <v>73187</v>
      </c>
      <c r="B3882" s="2">
        <f>IFERROR(__xludf.DUMMYFUNCTION("""COMPUTED_VALUE"""),1.0)</f>
        <v>1</v>
      </c>
      <c r="C3882" s="2">
        <f>IFERROR(__xludf.DUMMYFUNCTION("""COMPUTED_VALUE"""),89.0)</f>
        <v>89</v>
      </c>
      <c r="D3882" s="3">
        <f>IFERROR(__xludf.DUMMYFUNCTION("""COMPUTED_VALUE"""),51.0)</f>
        <v>51</v>
      </c>
      <c r="E3882" s="2"/>
      <c r="F3882" s="2"/>
    </row>
    <row r="3883">
      <c r="A3883" s="2">
        <f>IFERROR(__xludf.DUMMYFUNCTION("""COMPUTED_VALUE"""),41681.0)</f>
        <v>41681</v>
      </c>
      <c r="B3883" s="2">
        <f>IFERROR(__xludf.DUMMYFUNCTION("""COMPUTED_VALUE"""),0.0)</f>
        <v>0</v>
      </c>
      <c r="C3883" s="2">
        <f>IFERROR(__xludf.DUMMYFUNCTION("""COMPUTED_VALUE"""),693.0)</f>
        <v>693</v>
      </c>
      <c r="D3883" s="3">
        <f>IFERROR(__xludf.DUMMYFUNCTION("""COMPUTED_VALUE"""),387.0)</f>
        <v>387</v>
      </c>
      <c r="E3883" s="2"/>
      <c r="F3883" s="2"/>
    </row>
    <row r="3884">
      <c r="A3884" s="2">
        <f>IFERROR(__xludf.DUMMYFUNCTION("""COMPUTED_VALUE"""),30624.0)</f>
        <v>30624</v>
      </c>
      <c r="B3884" s="2">
        <f>IFERROR(__xludf.DUMMYFUNCTION("""COMPUTED_VALUE"""),0.0)</f>
        <v>0</v>
      </c>
      <c r="C3884" s="2">
        <f>IFERROR(__xludf.DUMMYFUNCTION("""COMPUTED_VALUE"""),582.0)</f>
        <v>582</v>
      </c>
      <c r="D3884" s="3">
        <f>IFERROR(__xludf.DUMMYFUNCTION("""COMPUTED_VALUE"""),547.0)</f>
        <v>547</v>
      </c>
      <c r="E3884" s="2"/>
      <c r="F3884" s="2"/>
    </row>
    <row r="3885">
      <c r="A3885" s="2">
        <f>IFERROR(__xludf.DUMMYFUNCTION("""COMPUTED_VALUE"""),114267.0)</f>
        <v>114267</v>
      </c>
      <c r="B3885" s="2">
        <f>IFERROR(__xludf.DUMMYFUNCTION("""COMPUTED_VALUE"""),0.0)</f>
        <v>0</v>
      </c>
      <c r="C3885" s="2">
        <f>IFERROR(__xludf.DUMMYFUNCTION("""COMPUTED_VALUE"""),781.0)</f>
        <v>781</v>
      </c>
      <c r="D3885" s="3">
        <f>IFERROR(__xludf.DUMMYFUNCTION("""COMPUTED_VALUE"""),17.0)</f>
        <v>17</v>
      </c>
      <c r="E3885" s="2"/>
      <c r="F3885" s="2"/>
    </row>
    <row r="3886">
      <c r="A3886" s="2">
        <f>IFERROR(__xludf.DUMMYFUNCTION("""COMPUTED_VALUE"""),77441.0)</f>
        <v>77441</v>
      </c>
      <c r="B3886" s="2">
        <f>IFERROR(__xludf.DUMMYFUNCTION("""COMPUTED_VALUE"""),1.0)</f>
        <v>1</v>
      </c>
      <c r="C3886" s="2">
        <f>IFERROR(__xludf.DUMMYFUNCTION("""COMPUTED_VALUE"""),483.0)</f>
        <v>483</v>
      </c>
      <c r="D3886" s="3">
        <f>IFERROR(__xludf.DUMMYFUNCTION("""COMPUTED_VALUE"""),90.0)</f>
        <v>90</v>
      </c>
      <c r="E3886" s="2"/>
      <c r="F3886" s="2"/>
    </row>
    <row r="3887">
      <c r="A3887" s="2">
        <f>IFERROR(__xludf.DUMMYFUNCTION("""COMPUTED_VALUE"""),116636.0)</f>
        <v>116636</v>
      </c>
      <c r="B3887" s="2">
        <f>IFERROR(__xludf.DUMMYFUNCTION("""COMPUTED_VALUE"""),0.0)</f>
        <v>0</v>
      </c>
      <c r="C3887" s="2">
        <f>IFERROR(__xludf.DUMMYFUNCTION("""COMPUTED_VALUE"""),789.0)</f>
        <v>789</v>
      </c>
      <c r="D3887" s="3">
        <f>IFERROR(__xludf.DUMMYFUNCTION("""COMPUTED_VALUE"""),66.0)</f>
        <v>66</v>
      </c>
      <c r="E3887" s="2"/>
      <c r="F3887" s="2"/>
    </row>
    <row r="3888">
      <c r="A3888" s="2">
        <f>IFERROR(__xludf.DUMMYFUNCTION("""COMPUTED_VALUE"""),115198.0)</f>
        <v>115198</v>
      </c>
      <c r="B3888" s="2">
        <f>IFERROR(__xludf.DUMMYFUNCTION("""COMPUTED_VALUE"""),1.0)</f>
        <v>1</v>
      </c>
      <c r="C3888" s="2">
        <f>IFERROR(__xludf.DUMMYFUNCTION("""COMPUTED_VALUE"""),241.0)</f>
        <v>241</v>
      </c>
      <c r="D3888" s="3">
        <f>IFERROR(__xludf.DUMMYFUNCTION("""COMPUTED_VALUE"""),133.0)</f>
        <v>133</v>
      </c>
      <c r="E3888" s="2"/>
      <c r="F3888" s="2"/>
    </row>
    <row r="3889">
      <c r="A3889" s="2">
        <f>IFERROR(__xludf.DUMMYFUNCTION("""COMPUTED_VALUE"""),89845.0)</f>
        <v>89845</v>
      </c>
      <c r="B3889" s="2">
        <f>IFERROR(__xludf.DUMMYFUNCTION("""COMPUTED_VALUE"""),0.0)</f>
        <v>0</v>
      </c>
      <c r="C3889" s="2">
        <f>IFERROR(__xludf.DUMMYFUNCTION("""COMPUTED_VALUE"""),114.0)</f>
        <v>114</v>
      </c>
      <c r="D3889" s="3">
        <f>IFERROR(__xludf.DUMMYFUNCTION("""COMPUTED_VALUE"""),18.0)</f>
        <v>18</v>
      </c>
      <c r="E3889" s="2"/>
      <c r="F3889" s="2"/>
    </row>
    <row r="3890">
      <c r="A3890" s="2">
        <f>IFERROR(__xludf.DUMMYFUNCTION("""COMPUTED_VALUE"""),112248.0)</f>
        <v>112248</v>
      </c>
      <c r="B3890" s="2">
        <f>IFERROR(__xludf.DUMMYFUNCTION("""COMPUTED_VALUE"""),0.0)</f>
        <v>0</v>
      </c>
      <c r="C3890" s="2">
        <f>IFERROR(__xludf.DUMMYFUNCTION("""COMPUTED_VALUE"""),322.0)</f>
        <v>322</v>
      </c>
      <c r="D3890" s="3">
        <f>IFERROR(__xludf.DUMMYFUNCTION("""COMPUTED_VALUE"""),44.0)</f>
        <v>44</v>
      </c>
      <c r="E3890" s="2"/>
      <c r="F3890" s="2"/>
    </row>
    <row r="3891">
      <c r="A3891" s="2">
        <f>IFERROR(__xludf.DUMMYFUNCTION("""COMPUTED_VALUE"""),89849.0)</f>
        <v>89849</v>
      </c>
      <c r="B3891" s="2">
        <f>IFERROR(__xludf.DUMMYFUNCTION("""COMPUTED_VALUE"""),1.0)</f>
        <v>1</v>
      </c>
      <c r="C3891" s="2">
        <f>IFERROR(__xludf.DUMMYFUNCTION("""COMPUTED_VALUE"""),739.0)</f>
        <v>739</v>
      </c>
      <c r="D3891" s="3">
        <f>IFERROR(__xludf.DUMMYFUNCTION("""COMPUTED_VALUE"""),677.0)</f>
        <v>677</v>
      </c>
      <c r="E3891" s="2"/>
      <c r="F3891" s="2"/>
    </row>
    <row r="3892">
      <c r="A3892" s="2">
        <f>IFERROR(__xludf.DUMMYFUNCTION("""COMPUTED_VALUE"""),121709.0)</f>
        <v>121709</v>
      </c>
      <c r="B3892" s="2">
        <f>IFERROR(__xludf.DUMMYFUNCTION("""COMPUTED_VALUE"""),0.0)</f>
        <v>0</v>
      </c>
      <c r="C3892" s="2">
        <f>IFERROR(__xludf.DUMMYFUNCTION("""COMPUTED_VALUE"""),137.0)</f>
        <v>137</v>
      </c>
      <c r="D3892" s="3">
        <f>IFERROR(__xludf.DUMMYFUNCTION("""COMPUTED_VALUE"""),86.0)</f>
        <v>86</v>
      </c>
      <c r="E3892" s="2"/>
      <c r="F3892" s="2"/>
    </row>
    <row r="3893">
      <c r="A3893" s="2">
        <f>IFERROR(__xludf.DUMMYFUNCTION("""COMPUTED_VALUE"""),122653.0)</f>
        <v>122653</v>
      </c>
      <c r="B3893" s="2">
        <f>IFERROR(__xludf.DUMMYFUNCTION("""COMPUTED_VALUE"""),1.0)</f>
        <v>1</v>
      </c>
      <c r="C3893" s="2">
        <f>IFERROR(__xludf.DUMMYFUNCTION("""COMPUTED_VALUE"""),302.0)</f>
        <v>302</v>
      </c>
      <c r="D3893" s="3">
        <f>IFERROR(__xludf.DUMMYFUNCTION("""COMPUTED_VALUE"""),268.0)</f>
        <v>268</v>
      </c>
      <c r="E3893" s="2"/>
      <c r="F3893" s="2"/>
    </row>
    <row r="3894">
      <c r="A3894" s="2">
        <f>IFERROR(__xludf.DUMMYFUNCTION("""COMPUTED_VALUE"""),9759.0)</f>
        <v>9759</v>
      </c>
      <c r="B3894" s="2">
        <f>IFERROR(__xludf.DUMMYFUNCTION("""COMPUTED_VALUE"""),0.0)</f>
        <v>0</v>
      </c>
      <c r="C3894" s="2">
        <f>IFERROR(__xludf.DUMMYFUNCTION("""COMPUTED_VALUE"""),723.0)</f>
        <v>723</v>
      </c>
      <c r="D3894" s="3">
        <f>IFERROR(__xludf.DUMMYFUNCTION("""COMPUTED_VALUE"""),113.0)</f>
        <v>113</v>
      </c>
      <c r="E3894" s="2"/>
      <c r="F3894" s="2"/>
    </row>
    <row r="3895">
      <c r="A3895" s="2">
        <f>IFERROR(__xludf.DUMMYFUNCTION("""COMPUTED_VALUE"""),86782.0)</f>
        <v>86782</v>
      </c>
      <c r="B3895" s="2">
        <f>IFERROR(__xludf.DUMMYFUNCTION("""COMPUTED_VALUE"""),0.0)</f>
        <v>0</v>
      </c>
      <c r="C3895" s="2">
        <f>IFERROR(__xludf.DUMMYFUNCTION("""COMPUTED_VALUE"""),151.0)</f>
        <v>151</v>
      </c>
      <c r="D3895" s="3">
        <f>IFERROR(__xludf.DUMMYFUNCTION("""COMPUTED_VALUE"""),27.0)</f>
        <v>27</v>
      </c>
      <c r="E3895" s="2"/>
      <c r="F3895" s="2"/>
    </row>
    <row r="3896">
      <c r="A3896" s="2">
        <f>IFERROR(__xludf.DUMMYFUNCTION("""COMPUTED_VALUE"""),119246.0)</f>
        <v>119246</v>
      </c>
      <c r="B3896" s="2">
        <f>IFERROR(__xludf.DUMMYFUNCTION("""COMPUTED_VALUE"""),0.0)</f>
        <v>0</v>
      </c>
      <c r="C3896" s="2">
        <f>IFERROR(__xludf.DUMMYFUNCTION("""COMPUTED_VALUE"""),83.0)</f>
        <v>83</v>
      </c>
      <c r="D3896" s="3">
        <f>IFERROR(__xludf.DUMMYFUNCTION("""COMPUTED_VALUE"""),1.0)</f>
        <v>1</v>
      </c>
      <c r="E3896" s="2"/>
      <c r="F3896" s="2"/>
    </row>
    <row r="3897">
      <c r="A3897" s="2">
        <f>IFERROR(__xludf.DUMMYFUNCTION("""COMPUTED_VALUE"""),6047.0)</f>
        <v>6047</v>
      </c>
      <c r="B3897" s="2">
        <f>IFERROR(__xludf.DUMMYFUNCTION("""COMPUTED_VALUE"""),0.0)</f>
        <v>0</v>
      </c>
      <c r="C3897" s="2">
        <f>IFERROR(__xludf.DUMMYFUNCTION("""COMPUTED_VALUE"""),587.0)</f>
        <v>587</v>
      </c>
      <c r="D3897" s="3">
        <f>IFERROR(__xludf.DUMMYFUNCTION("""COMPUTED_VALUE"""),252.0)</f>
        <v>252</v>
      </c>
      <c r="E3897" s="2"/>
      <c r="F3897" s="2"/>
    </row>
    <row r="3898">
      <c r="A3898" s="2">
        <f>IFERROR(__xludf.DUMMYFUNCTION("""COMPUTED_VALUE"""),117526.0)</f>
        <v>117526</v>
      </c>
      <c r="B3898" s="2">
        <f>IFERROR(__xludf.DUMMYFUNCTION("""COMPUTED_VALUE"""),0.0)</f>
        <v>0</v>
      </c>
      <c r="C3898" s="2">
        <f>IFERROR(__xludf.DUMMYFUNCTION("""COMPUTED_VALUE"""),635.0)</f>
        <v>635</v>
      </c>
      <c r="D3898" s="3">
        <f>IFERROR(__xludf.DUMMYFUNCTION("""COMPUTED_VALUE"""),52.0)</f>
        <v>52</v>
      </c>
      <c r="E3898" s="2"/>
      <c r="F3898" s="2"/>
    </row>
    <row r="3899">
      <c r="A3899" s="2">
        <f>IFERROR(__xludf.DUMMYFUNCTION("""COMPUTED_VALUE"""),106671.0)</f>
        <v>106671</v>
      </c>
      <c r="B3899" s="2">
        <f>IFERROR(__xludf.DUMMYFUNCTION("""COMPUTED_VALUE"""),0.0)</f>
        <v>0</v>
      </c>
      <c r="C3899" s="2">
        <f>IFERROR(__xludf.DUMMYFUNCTION("""COMPUTED_VALUE"""),581.0)</f>
        <v>581</v>
      </c>
      <c r="D3899" s="3">
        <f>IFERROR(__xludf.DUMMYFUNCTION("""COMPUTED_VALUE"""),425.0)</f>
        <v>425</v>
      </c>
      <c r="E3899" s="2"/>
      <c r="F3899" s="2"/>
    </row>
    <row r="3900">
      <c r="A3900" s="2">
        <f>IFERROR(__xludf.DUMMYFUNCTION("""COMPUTED_VALUE"""),30889.0)</f>
        <v>30889</v>
      </c>
      <c r="B3900" s="2">
        <f>IFERROR(__xludf.DUMMYFUNCTION("""COMPUTED_VALUE"""),1.0)</f>
        <v>1</v>
      </c>
      <c r="C3900" s="2">
        <f>IFERROR(__xludf.DUMMYFUNCTION("""COMPUTED_VALUE"""),136.0)</f>
        <v>136</v>
      </c>
      <c r="D3900" s="3">
        <f>IFERROR(__xludf.DUMMYFUNCTION("""COMPUTED_VALUE"""),122.0)</f>
        <v>122</v>
      </c>
      <c r="E3900" s="2"/>
      <c r="F3900" s="2"/>
    </row>
    <row r="3901">
      <c r="A3901" s="2">
        <f>IFERROR(__xludf.DUMMYFUNCTION("""COMPUTED_VALUE"""),80634.0)</f>
        <v>80634</v>
      </c>
      <c r="B3901" s="2">
        <f>IFERROR(__xludf.DUMMYFUNCTION("""COMPUTED_VALUE"""),1.0)</f>
        <v>1</v>
      </c>
      <c r="C3901" s="2">
        <f>IFERROR(__xludf.DUMMYFUNCTION("""COMPUTED_VALUE"""),468.0)</f>
        <v>468</v>
      </c>
      <c r="D3901" s="3">
        <f>IFERROR(__xludf.DUMMYFUNCTION("""COMPUTED_VALUE"""),79.0)</f>
        <v>79</v>
      </c>
      <c r="E3901" s="2"/>
      <c r="F3901" s="2"/>
    </row>
    <row r="3902">
      <c r="A3902" s="2">
        <f>IFERROR(__xludf.DUMMYFUNCTION("""COMPUTED_VALUE"""),114269.0)</f>
        <v>114269</v>
      </c>
      <c r="B3902" s="2">
        <f>IFERROR(__xludf.DUMMYFUNCTION("""COMPUTED_VALUE"""),1.0)</f>
        <v>1</v>
      </c>
      <c r="C3902" s="2">
        <f>IFERROR(__xludf.DUMMYFUNCTION("""COMPUTED_VALUE"""),634.0)</f>
        <v>634</v>
      </c>
      <c r="D3902" s="3">
        <f>IFERROR(__xludf.DUMMYFUNCTION("""COMPUTED_VALUE"""),463.0)</f>
        <v>463</v>
      </c>
      <c r="E3902" s="2"/>
      <c r="F3902" s="2"/>
    </row>
    <row r="3903">
      <c r="A3903" s="2">
        <f>IFERROR(__xludf.DUMMYFUNCTION("""COMPUTED_VALUE"""),84034.0)</f>
        <v>84034</v>
      </c>
      <c r="B3903" s="2">
        <f>IFERROR(__xludf.DUMMYFUNCTION("""COMPUTED_VALUE"""),1.0)</f>
        <v>1</v>
      </c>
      <c r="C3903" s="2">
        <f>IFERROR(__xludf.DUMMYFUNCTION("""COMPUTED_VALUE"""),510.0)</f>
        <v>510</v>
      </c>
      <c r="D3903" s="3">
        <f>IFERROR(__xludf.DUMMYFUNCTION("""COMPUTED_VALUE"""),496.0)</f>
        <v>496</v>
      </c>
      <c r="E3903" s="2"/>
      <c r="F3903" s="2"/>
    </row>
    <row r="3904">
      <c r="A3904" s="2">
        <f>IFERROR(__xludf.DUMMYFUNCTION("""COMPUTED_VALUE"""),103271.0)</f>
        <v>103271</v>
      </c>
      <c r="B3904" s="2">
        <f>IFERROR(__xludf.DUMMYFUNCTION("""COMPUTED_VALUE"""),1.0)</f>
        <v>1</v>
      </c>
      <c r="C3904" s="2">
        <f>IFERROR(__xludf.DUMMYFUNCTION("""COMPUTED_VALUE"""),883.0)</f>
        <v>883</v>
      </c>
      <c r="D3904" s="3">
        <f>IFERROR(__xludf.DUMMYFUNCTION("""COMPUTED_VALUE"""),188.0)</f>
        <v>188</v>
      </c>
      <c r="E3904" s="2"/>
      <c r="F3904" s="2"/>
    </row>
    <row r="3905">
      <c r="A3905" s="2">
        <f>IFERROR(__xludf.DUMMYFUNCTION("""COMPUTED_VALUE"""),72248.0)</f>
        <v>72248</v>
      </c>
      <c r="B3905" s="2">
        <f>IFERROR(__xludf.DUMMYFUNCTION("""COMPUTED_VALUE"""),1.0)</f>
        <v>1</v>
      </c>
      <c r="C3905" s="2">
        <f>IFERROR(__xludf.DUMMYFUNCTION("""COMPUTED_VALUE"""),937.0)</f>
        <v>937</v>
      </c>
      <c r="D3905" s="3">
        <f>IFERROR(__xludf.DUMMYFUNCTION("""COMPUTED_VALUE"""),63.0)</f>
        <v>63</v>
      </c>
      <c r="E3905" s="2"/>
      <c r="F3905" s="2"/>
    </row>
    <row r="3906">
      <c r="A3906" s="2">
        <f>IFERROR(__xludf.DUMMYFUNCTION("""COMPUTED_VALUE"""),7672.0)</f>
        <v>7672</v>
      </c>
      <c r="B3906" s="2">
        <f>IFERROR(__xludf.DUMMYFUNCTION("""COMPUTED_VALUE"""),0.0)</f>
        <v>0</v>
      </c>
      <c r="C3906" s="2">
        <f>IFERROR(__xludf.DUMMYFUNCTION("""COMPUTED_VALUE"""),706.0)</f>
        <v>706</v>
      </c>
      <c r="D3906" s="3">
        <f>IFERROR(__xludf.DUMMYFUNCTION("""COMPUTED_VALUE"""),676.0)</f>
        <v>676</v>
      </c>
      <c r="E3906" s="2"/>
      <c r="F3906" s="2"/>
    </row>
    <row r="3907">
      <c r="A3907" s="2">
        <f>IFERROR(__xludf.DUMMYFUNCTION("""COMPUTED_VALUE"""),82844.0)</f>
        <v>82844</v>
      </c>
      <c r="B3907" s="2">
        <f>IFERROR(__xludf.DUMMYFUNCTION("""COMPUTED_VALUE"""),1.0)</f>
        <v>1</v>
      </c>
      <c r="C3907" s="2">
        <f>IFERROR(__xludf.DUMMYFUNCTION("""COMPUTED_VALUE"""),340.0)</f>
        <v>340</v>
      </c>
      <c r="D3907" s="3">
        <f>IFERROR(__xludf.DUMMYFUNCTION("""COMPUTED_VALUE"""),280.0)</f>
        <v>280</v>
      </c>
      <c r="E3907" s="2"/>
      <c r="F3907" s="2"/>
    </row>
    <row r="3908">
      <c r="A3908" s="2">
        <f>IFERROR(__xludf.DUMMYFUNCTION("""COMPUTED_VALUE"""),7685.0)</f>
        <v>7685</v>
      </c>
      <c r="B3908" s="2">
        <f>IFERROR(__xludf.DUMMYFUNCTION("""COMPUTED_VALUE"""),1.0)</f>
        <v>1</v>
      </c>
      <c r="C3908" s="2">
        <f>IFERROR(__xludf.DUMMYFUNCTION("""COMPUTED_VALUE"""),615.0)</f>
        <v>615</v>
      </c>
      <c r="D3908" s="3">
        <f>IFERROR(__xludf.DUMMYFUNCTION("""COMPUTED_VALUE"""),405.0)</f>
        <v>405</v>
      </c>
      <c r="E3908" s="2"/>
      <c r="F3908" s="2"/>
    </row>
    <row r="3909">
      <c r="A3909" s="2">
        <f>IFERROR(__xludf.DUMMYFUNCTION("""COMPUTED_VALUE"""),7673.0)</f>
        <v>7673</v>
      </c>
      <c r="B3909" s="2">
        <f>IFERROR(__xludf.DUMMYFUNCTION("""COMPUTED_VALUE"""),0.0)</f>
        <v>0</v>
      </c>
      <c r="C3909" s="2">
        <f>IFERROR(__xludf.DUMMYFUNCTION("""COMPUTED_VALUE"""),73.0)</f>
        <v>73</v>
      </c>
      <c r="D3909" s="3">
        <f>IFERROR(__xludf.DUMMYFUNCTION("""COMPUTED_VALUE"""),24.0)</f>
        <v>24</v>
      </c>
      <c r="E3909" s="2"/>
      <c r="F3909" s="2"/>
    </row>
    <row r="3910">
      <c r="A3910" s="2">
        <f>IFERROR(__xludf.DUMMYFUNCTION("""COMPUTED_VALUE"""),72328.0)</f>
        <v>72328</v>
      </c>
      <c r="B3910" s="2">
        <f>IFERROR(__xludf.DUMMYFUNCTION("""COMPUTED_VALUE"""),1.0)</f>
        <v>1</v>
      </c>
      <c r="C3910" s="2">
        <f>IFERROR(__xludf.DUMMYFUNCTION("""COMPUTED_VALUE"""),216.0)</f>
        <v>216</v>
      </c>
      <c r="D3910" s="3">
        <f>IFERROR(__xludf.DUMMYFUNCTION("""COMPUTED_VALUE"""),215.0)</f>
        <v>215</v>
      </c>
      <c r="E3910" s="2"/>
      <c r="F3910" s="2"/>
    </row>
    <row r="3911">
      <c r="A3911" s="2">
        <f>IFERROR(__xludf.DUMMYFUNCTION("""COMPUTED_VALUE"""),87967.0)</f>
        <v>87967</v>
      </c>
      <c r="B3911" s="2">
        <f>IFERROR(__xludf.DUMMYFUNCTION("""COMPUTED_VALUE"""),1.0)</f>
        <v>1</v>
      </c>
      <c r="C3911" s="2">
        <f>IFERROR(__xludf.DUMMYFUNCTION("""COMPUTED_VALUE"""),560.0)</f>
        <v>560</v>
      </c>
      <c r="D3911" s="3">
        <f>IFERROR(__xludf.DUMMYFUNCTION("""COMPUTED_VALUE"""),321.0)</f>
        <v>321</v>
      </c>
      <c r="E3911" s="2"/>
      <c r="F3911" s="2"/>
    </row>
    <row r="3912">
      <c r="A3912" s="2">
        <f>IFERROR(__xludf.DUMMYFUNCTION("""COMPUTED_VALUE"""),113193.0)</f>
        <v>113193</v>
      </c>
      <c r="B3912" s="2">
        <f>IFERROR(__xludf.DUMMYFUNCTION("""COMPUTED_VALUE"""),0.0)</f>
        <v>0</v>
      </c>
      <c r="C3912" s="2">
        <f>IFERROR(__xludf.DUMMYFUNCTION("""COMPUTED_VALUE"""),63.0)</f>
        <v>63</v>
      </c>
      <c r="D3912" s="3">
        <f>IFERROR(__xludf.DUMMYFUNCTION("""COMPUTED_VALUE"""),58.0)</f>
        <v>58</v>
      </c>
      <c r="E3912" s="2"/>
      <c r="F3912" s="2"/>
    </row>
    <row r="3913">
      <c r="A3913" s="2">
        <f>IFERROR(__xludf.DUMMYFUNCTION("""COMPUTED_VALUE"""),82821.0)</f>
        <v>82821</v>
      </c>
      <c r="B3913" s="2">
        <f>IFERROR(__xludf.DUMMYFUNCTION("""COMPUTED_VALUE"""),0.0)</f>
        <v>0</v>
      </c>
      <c r="C3913" s="2">
        <f>IFERROR(__xludf.DUMMYFUNCTION("""COMPUTED_VALUE"""),299.0)</f>
        <v>299</v>
      </c>
      <c r="D3913" s="3">
        <f>IFERROR(__xludf.DUMMYFUNCTION("""COMPUTED_VALUE"""),219.0)</f>
        <v>219</v>
      </c>
      <c r="E3913" s="2"/>
      <c r="F3913" s="2"/>
    </row>
    <row r="3914">
      <c r="A3914" s="2">
        <f>IFERROR(__xludf.DUMMYFUNCTION("""COMPUTED_VALUE"""),87964.0)</f>
        <v>87964</v>
      </c>
      <c r="B3914" s="2">
        <f>IFERROR(__xludf.DUMMYFUNCTION("""COMPUTED_VALUE"""),1.0)</f>
        <v>1</v>
      </c>
      <c r="C3914" s="2">
        <f>IFERROR(__xludf.DUMMYFUNCTION("""COMPUTED_VALUE"""),79.0)</f>
        <v>79</v>
      </c>
      <c r="D3914" s="3">
        <f>IFERROR(__xludf.DUMMYFUNCTION("""COMPUTED_VALUE"""),42.0)</f>
        <v>42</v>
      </c>
      <c r="E3914" s="2"/>
      <c r="F3914" s="2"/>
    </row>
    <row r="3915">
      <c r="A3915" s="2">
        <f>IFERROR(__xludf.DUMMYFUNCTION("""COMPUTED_VALUE"""),201751.0)</f>
        <v>201751</v>
      </c>
      <c r="B3915" s="2">
        <f>IFERROR(__xludf.DUMMYFUNCTION("""COMPUTED_VALUE"""),1.0)</f>
        <v>1</v>
      </c>
      <c r="C3915" s="2">
        <f>IFERROR(__xludf.DUMMYFUNCTION("""COMPUTED_VALUE"""),588.0)</f>
        <v>588</v>
      </c>
      <c r="D3915" s="3">
        <f>IFERROR(__xludf.DUMMYFUNCTION("""COMPUTED_VALUE"""),437.0)</f>
        <v>437</v>
      </c>
      <c r="E3915" s="2"/>
      <c r="F3915" s="2"/>
    </row>
    <row r="3916">
      <c r="A3916" s="2">
        <f>IFERROR(__xludf.DUMMYFUNCTION("""COMPUTED_VALUE"""),79057.0)</f>
        <v>79057</v>
      </c>
      <c r="B3916" s="2">
        <f>IFERROR(__xludf.DUMMYFUNCTION("""COMPUTED_VALUE"""),1.0)</f>
        <v>1</v>
      </c>
      <c r="C3916" s="2">
        <f>IFERROR(__xludf.DUMMYFUNCTION("""COMPUTED_VALUE"""),460.0)</f>
        <v>460</v>
      </c>
      <c r="D3916" s="3">
        <f>IFERROR(__xludf.DUMMYFUNCTION("""COMPUTED_VALUE"""),402.0)</f>
        <v>402</v>
      </c>
      <c r="E3916" s="2"/>
      <c r="F3916" s="2"/>
    </row>
    <row r="3917">
      <c r="A3917" s="2">
        <f>IFERROR(__xludf.DUMMYFUNCTION("""COMPUTED_VALUE"""),41225.0)</f>
        <v>41225</v>
      </c>
      <c r="B3917" s="2">
        <f>IFERROR(__xludf.DUMMYFUNCTION("""COMPUTED_VALUE"""),1.0)</f>
        <v>1</v>
      </c>
      <c r="C3917" s="2">
        <f>IFERROR(__xludf.DUMMYFUNCTION("""COMPUTED_VALUE"""),416.0)</f>
        <v>416</v>
      </c>
      <c r="D3917" s="3">
        <f>IFERROR(__xludf.DUMMYFUNCTION("""COMPUTED_VALUE"""),29.0)</f>
        <v>29</v>
      </c>
      <c r="E3917" s="2"/>
      <c r="F3917" s="2"/>
    </row>
    <row r="3918">
      <c r="A3918" s="2">
        <f>IFERROR(__xludf.DUMMYFUNCTION("""COMPUTED_VALUE"""),113300.0)</f>
        <v>113300</v>
      </c>
      <c r="B3918" s="2">
        <f>IFERROR(__xludf.DUMMYFUNCTION("""COMPUTED_VALUE"""),1.0)</f>
        <v>1</v>
      </c>
      <c r="C3918" s="2">
        <f>IFERROR(__xludf.DUMMYFUNCTION("""COMPUTED_VALUE"""),778.0)</f>
        <v>778</v>
      </c>
      <c r="D3918" s="3">
        <f>IFERROR(__xludf.DUMMYFUNCTION("""COMPUTED_VALUE"""),362.0)</f>
        <v>362</v>
      </c>
      <c r="E3918" s="2"/>
      <c r="F3918" s="2"/>
    </row>
    <row r="3919">
      <c r="A3919" s="2">
        <f>IFERROR(__xludf.DUMMYFUNCTION("""COMPUTED_VALUE"""),113299.0)</f>
        <v>113299</v>
      </c>
      <c r="B3919" s="2">
        <f>IFERROR(__xludf.DUMMYFUNCTION("""COMPUTED_VALUE"""),1.0)</f>
        <v>1</v>
      </c>
      <c r="C3919" s="2">
        <f>IFERROR(__xludf.DUMMYFUNCTION("""COMPUTED_VALUE"""),226.0)</f>
        <v>226</v>
      </c>
      <c r="D3919" s="3">
        <f>IFERROR(__xludf.DUMMYFUNCTION("""COMPUTED_VALUE"""),109.0)</f>
        <v>109</v>
      </c>
      <c r="E3919" s="2"/>
      <c r="F3919" s="2"/>
    </row>
    <row r="3920">
      <c r="A3920" s="2">
        <f>IFERROR(__xludf.DUMMYFUNCTION("""COMPUTED_VALUE"""),105475.0)</f>
        <v>105475</v>
      </c>
      <c r="B3920" s="2">
        <f>IFERROR(__xludf.DUMMYFUNCTION("""COMPUTED_VALUE"""),0.0)</f>
        <v>0</v>
      </c>
      <c r="C3920" s="2">
        <f>IFERROR(__xludf.DUMMYFUNCTION("""COMPUTED_VALUE"""),150.0)</f>
        <v>150</v>
      </c>
      <c r="D3920" s="3">
        <f>IFERROR(__xludf.DUMMYFUNCTION("""COMPUTED_VALUE"""),27.0)</f>
        <v>27</v>
      </c>
      <c r="E3920" s="2"/>
      <c r="F3920" s="2"/>
    </row>
    <row r="3921">
      <c r="A3921" s="2">
        <f>IFERROR(__xludf.DUMMYFUNCTION("""COMPUTED_VALUE"""),114724.0)</f>
        <v>114724</v>
      </c>
      <c r="B3921" s="2">
        <f>IFERROR(__xludf.DUMMYFUNCTION("""COMPUTED_VALUE"""),0.0)</f>
        <v>0</v>
      </c>
      <c r="C3921" s="2">
        <f>IFERROR(__xludf.DUMMYFUNCTION("""COMPUTED_VALUE"""),220.0)</f>
        <v>220</v>
      </c>
      <c r="D3921" s="3">
        <f>IFERROR(__xludf.DUMMYFUNCTION("""COMPUTED_VALUE"""),91.0)</f>
        <v>91</v>
      </c>
      <c r="E3921" s="2"/>
      <c r="F3921" s="2"/>
    </row>
    <row r="3922">
      <c r="A3922" s="2">
        <f>IFERROR(__xludf.DUMMYFUNCTION("""COMPUTED_VALUE"""),113298.0)</f>
        <v>113298</v>
      </c>
      <c r="B3922" s="2">
        <f>IFERROR(__xludf.DUMMYFUNCTION("""COMPUTED_VALUE"""),1.0)</f>
        <v>1</v>
      </c>
      <c r="C3922" s="2">
        <f>IFERROR(__xludf.DUMMYFUNCTION("""COMPUTED_VALUE"""),584.0)</f>
        <v>584</v>
      </c>
      <c r="D3922" s="3">
        <f>IFERROR(__xludf.DUMMYFUNCTION("""COMPUTED_VALUE"""),301.0)</f>
        <v>301</v>
      </c>
      <c r="E3922" s="2"/>
      <c r="F3922" s="2"/>
    </row>
    <row r="3923">
      <c r="A3923" s="2">
        <f>IFERROR(__xludf.DUMMYFUNCTION("""COMPUTED_VALUE"""),82838.0)</f>
        <v>82838</v>
      </c>
      <c r="B3923" s="2">
        <f>IFERROR(__xludf.DUMMYFUNCTION("""COMPUTED_VALUE"""),0.0)</f>
        <v>0</v>
      </c>
      <c r="C3923" s="2">
        <f>IFERROR(__xludf.DUMMYFUNCTION("""COMPUTED_VALUE"""),336.0)</f>
        <v>336</v>
      </c>
      <c r="D3923" s="3">
        <f>IFERROR(__xludf.DUMMYFUNCTION("""COMPUTED_VALUE"""),302.0)</f>
        <v>302</v>
      </c>
      <c r="E3923" s="2"/>
      <c r="F3923" s="2"/>
    </row>
    <row r="3924">
      <c r="A3924" s="2">
        <f>IFERROR(__xludf.DUMMYFUNCTION("""COMPUTED_VALUE"""),111960.0)</f>
        <v>111960</v>
      </c>
      <c r="B3924" s="2">
        <f>IFERROR(__xludf.DUMMYFUNCTION("""COMPUTED_VALUE"""),0.0)</f>
        <v>0</v>
      </c>
      <c r="C3924" s="2">
        <f>IFERROR(__xludf.DUMMYFUNCTION("""COMPUTED_VALUE"""),56.0)</f>
        <v>56</v>
      </c>
      <c r="D3924" s="3">
        <f>IFERROR(__xludf.DUMMYFUNCTION("""COMPUTED_VALUE"""),37.0)</f>
        <v>37</v>
      </c>
      <c r="E3924" s="2"/>
      <c r="F3924" s="2"/>
    </row>
    <row r="3925">
      <c r="A3925" s="2">
        <f>IFERROR(__xludf.DUMMYFUNCTION("""COMPUTED_VALUE"""),108840.0)</f>
        <v>108840</v>
      </c>
      <c r="B3925" s="2">
        <f>IFERROR(__xludf.DUMMYFUNCTION("""COMPUTED_VALUE"""),0.0)</f>
        <v>0</v>
      </c>
      <c r="C3925" s="2">
        <f>IFERROR(__xludf.DUMMYFUNCTION("""COMPUTED_VALUE"""),971.0)</f>
        <v>971</v>
      </c>
      <c r="D3925" s="3">
        <f>IFERROR(__xludf.DUMMYFUNCTION("""COMPUTED_VALUE"""),650.0)</f>
        <v>650</v>
      </c>
      <c r="E3925" s="2"/>
      <c r="F3925" s="2"/>
    </row>
    <row r="3926">
      <c r="A3926" s="2">
        <f>IFERROR(__xludf.DUMMYFUNCTION("""COMPUTED_VALUE"""),201044.0)</f>
        <v>201044</v>
      </c>
      <c r="B3926" s="2">
        <f>IFERROR(__xludf.DUMMYFUNCTION("""COMPUTED_VALUE"""),1.0)</f>
        <v>1</v>
      </c>
      <c r="C3926" s="2">
        <f>IFERROR(__xludf.DUMMYFUNCTION("""COMPUTED_VALUE"""),533.0)</f>
        <v>533</v>
      </c>
      <c r="D3926" s="3">
        <f>IFERROR(__xludf.DUMMYFUNCTION("""COMPUTED_VALUE"""),106.0)</f>
        <v>106</v>
      </c>
      <c r="E3926" s="2"/>
      <c r="F3926" s="2"/>
    </row>
    <row r="3927">
      <c r="A3927" s="2">
        <f>IFERROR(__xludf.DUMMYFUNCTION("""COMPUTED_VALUE"""),81880.0)</f>
        <v>81880</v>
      </c>
      <c r="B3927" s="2">
        <f>IFERROR(__xludf.DUMMYFUNCTION("""COMPUTED_VALUE"""),0.0)</f>
        <v>0</v>
      </c>
      <c r="C3927" s="2">
        <f>IFERROR(__xludf.DUMMYFUNCTION("""COMPUTED_VALUE"""),193.0)</f>
        <v>193</v>
      </c>
      <c r="D3927" s="3">
        <f>IFERROR(__xludf.DUMMYFUNCTION("""COMPUTED_VALUE"""),2.0)</f>
        <v>2</v>
      </c>
      <c r="E3927" s="2"/>
      <c r="F3927" s="2"/>
    </row>
    <row r="3928">
      <c r="A3928" s="2">
        <f>IFERROR(__xludf.DUMMYFUNCTION("""COMPUTED_VALUE"""),81873.0)</f>
        <v>81873</v>
      </c>
      <c r="B3928" s="2">
        <f>IFERROR(__xludf.DUMMYFUNCTION("""COMPUTED_VALUE"""),1.0)</f>
        <v>1</v>
      </c>
      <c r="C3928" s="2">
        <f>IFERROR(__xludf.DUMMYFUNCTION("""COMPUTED_VALUE"""),353.0)</f>
        <v>353</v>
      </c>
      <c r="D3928" s="3">
        <f>IFERROR(__xludf.DUMMYFUNCTION("""COMPUTED_VALUE"""),325.0)</f>
        <v>325</v>
      </c>
      <c r="E3928" s="2"/>
      <c r="F3928" s="2"/>
    </row>
    <row r="3929">
      <c r="A3929" s="2">
        <f>IFERROR(__xludf.DUMMYFUNCTION("""COMPUTED_VALUE"""),117613.0)</f>
        <v>117613</v>
      </c>
      <c r="B3929" s="2">
        <f>IFERROR(__xludf.DUMMYFUNCTION("""COMPUTED_VALUE"""),0.0)</f>
        <v>0</v>
      </c>
      <c r="C3929" s="2">
        <f>IFERROR(__xludf.DUMMYFUNCTION("""COMPUTED_VALUE"""),587.0)</f>
        <v>587</v>
      </c>
      <c r="D3929" s="3">
        <f>IFERROR(__xludf.DUMMYFUNCTION("""COMPUTED_VALUE"""),570.0)</f>
        <v>570</v>
      </c>
      <c r="E3929" s="2"/>
      <c r="F3929" s="2"/>
    </row>
    <row r="3930">
      <c r="A3930" s="2">
        <f>IFERROR(__xludf.DUMMYFUNCTION("""COMPUTED_VALUE"""),81876.0)</f>
        <v>81876</v>
      </c>
      <c r="B3930" s="2">
        <f>IFERROR(__xludf.DUMMYFUNCTION("""COMPUTED_VALUE"""),0.0)</f>
        <v>0</v>
      </c>
      <c r="C3930" s="2">
        <f>IFERROR(__xludf.DUMMYFUNCTION("""COMPUTED_VALUE"""),753.0)</f>
        <v>753</v>
      </c>
      <c r="D3930" s="3">
        <f>IFERROR(__xludf.DUMMYFUNCTION("""COMPUTED_VALUE"""),691.0)</f>
        <v>691</v>
      </c>
      <c r="E3930" s="2"/>
      <c r="F3930" s="2"/>
    </row>
    <row r="3931">
      <c r="A3931" s="2">
        <f>IFERROR(__xludf.DUMMYFUNCTION("""COMPUTED_VALUE"""),104050.0)</f>
        <v>104050</v>
      </c>
      <c r="B3931" s="2">
        <f>IFERROR(__xludf.DUMMYFUNCTION("""COMPUTED_VALUE"""),1.0)</f>
        <v>1</v>
      </c>
      <c r="C3931" s="2">
        <f>IFERROR(__xludf.DUMMYFUNCTION("""COMPUTED_VALUE"""),176.0)</f>
        <v>176</v>
      </c>
      <c r="D3931" s="3">
        <f>IFERROR(__xludf.DUMMYFUNCTION("""COMPUTED_VALUE"""),143.0)</f>
        <v>143</v>
      </c>
      <c r="E3931" s="2"/>
      <c r="F3931" s="2"/>
    </row>
    <row r="3932">
      <c r="A3932" s="2">
        <f>IFERROR(__xludf.DUMMYFUNCTION("""COMPUTED_VALUE"""),111934.0)</f>
        <v>111934</v>
      </c>
      <c r="B3932" s="2">
        <f>IFERROR(__xludf.DUMMYFUNCTION("""COMPUTED_VALUE"""),0.0)</f>
        <v>0</v>
      </c>
      <c r="C3932" s="2">
        <f>IFERROR(__xludf.DUMMYFUNCTION("""COMPUTED_VALUE"""),677.0)</f>
        <v>677</v>
      </c>
      <c r="D3932" s="3">
        <f>IFERROR(__xludf.DUMMYFUNCTION("""COMPUTED_VALUE"""),593.0)</f>
        <v>593</v>
      </c>
      <c r="E3932" s="2"/>
      <c r="F3932" s="2"/>
    </row>
    <row r="3933">
      <c r="A3933" s="2">
        <f>IFERROR(__xludf.DUMMYFUNCTION("""COMPUTED_VALUE"""),29819.0)</f>
        <v>29819</v>
      </c>
      <c r="B3933" s="2">
        <f>IFERROR(__xludf.DUMMYFUNCTION("""COMPUTED_VALUE"""),0.0)</f>
        <v>0</v>
      </c>
      <c r="C3933" s="2">
        <f>IFERROR(__xludf.DUMMYFUNCTION("""COMPUTED_VALUE"""),375.0)</f>
        <v>375</v>
      </c>
      <c r="D3933" s="3">
        <f>IFERROR(__xludf.DUMMYFUNCTION("""COMPUTED_VALUE"""),40.0)</f>
        <v>40</v>
      </c>
      <c r="E3933" s="2"/>
      <c r="F3933" s="2"/>
    </row>
    <row r="3934">
      <c r="A3934" s="2">
        <f>IFERROR(__xludf.DUMMYFUNCTION("""COMPUTED_VALUE"""),120392.0)</f>
        <v>120392</v>
      </c>
      <c r="B3934" s="2">
        <f>IFERROR(__xludf.DUMMYFUNCTION("""COMPUTED_VALUE"""),0.0)</f>
        <v>0</v>
      </c>
      <c r="C3934" s="2">
        <f>IFERROR(__xludf.DUMMYFUNCTION("""COMPUTED_VALUE"""),375.0)</f>
        <v>375</v>
      </c>
      <c r="D3934" s="3">
        <f>IFERROR(__xludf.DUMMYFUNCTION("""COMPUTED_VALUE"""),146.0)</f>
        <v>146</v>
      </c>
      <c r="E3934" s="2"/>
      <c r="F3934" s="2"/>
    </row>
    <row r="3935">
      <c r="A3935" s="2">
        <f>IFERROR(__xludf.DUMMYFUNCTION("""COMPUTED_VALUE"""),29820.0)</f>
        <v>29820</v>
      </c>
      <c r="B3935" s="2">
        <f>IFERROR(__xludf.DUMMYFUNCTION("""COMPUTED_VALUE"""),1.0)</f>
        <v>1</v>
      </c>
      <c r="C3935" s="2">
        <f>IFERROR(__xludf.DUMMYFUNCTION("""COMPUTED_VALUE"""),376.0)</f>
        <v>376</v>
      </c>
      <c r="D3935" s="3">
        <f>IFERROR(__xludf.DUMMYFUNCTION("""COMPUTED_VALUE"""),340.0)</f>
        <v>340</v>
      </c>
      <c r="E3935" s="2"/>
      <c r="F3935" s="2"/>
    </row>
    <row r="3936">
      <c r="A3936" s="2">
        <f>IFERROR(__xludf.DUMMYFUNCTION("""COMPUTED_VALUE"""),83755.0)</f>
        <v>83755</v>
      </c>
      <c r="B3936" s="2">
        <f>IFERROR(__xludf.DUMMYFUNCTION("""COMPUTED_VALUE"""),0.0)</f>
        <v>0</v>
      </c>
      <c r="C3936" s="2">
        <f>IFERROR(__xludf.DUMMYFUNCTION("""COMPUTED_VALUE"""),103.0)</f>
        <v>103</v>
      </c>
      <c r="D3936" s="3">
        <f>IFERROR(__xludf.DUMMYFUNCTION("""COMPUTED_VALUE"""),59.0)</f>
        <v>59</v>
      </c>
      <c r="E3936" s="2"/>
      <c r="F3936" s="2"/>
    </row>
    <row r="3937">
      <c r="A3937" s="2">
        <f>IFERROR(__xludf.DUMMYFUNCTION("""COMPUTED_VALUE"""),111941.0)</f>
        <v>111941</v>
      </c>
      <c r="B3937" s="2">
        <f>IFERROR(__xludf.DUMMYFUNCTION("""COMPUTED_VALUE"""),0.0)</f>
        <v>0</v>
      </c>
      <c r="C3937" s="2">
        <f>IFERROR(__xludf.DUMMYFUNCTION("""COMPUTED_VALUE"""),406.0)</f>
        <v>406</v>
      </c>
      <c r="D3937" s="3">
        <f>IFERROR(__xludf.DUMMYFUNCTION("""COMPUTED_VALUE"""),379.0)</f>
        <v>379</v>
      </c>
      <c r="E3937" s="2"/>
      <c r="F3937" s="2"/>
    </row>
    <row r="3938">
      <c r="A3938" s="2">
        <f>IFERROR(__xludf.DUMMYFUNCTION("""COMPUTED_VALUE"""),80858.0)</f>
        <v>80858</v>
      </c>
      <c r="B3938" s="2">
        <f>IFERROR(__xludf.DUMMYFUNCTION("""COMPUTED_VALUE"""),1.0)</f>
        <v>1</v>
      </c>
      <c r="C3938" s="2">
        <f>IFERROR(__xludf.DUMMYFUNCTION("""COMPUTED_VALUE"""),105.0)</f>
        <v>105</v>
      </c>
      <c r="D3938" s="3">
        <f>IFERROR(__xludf.DUMMYFUNCTION("""COMPUTED_VALUE"""),75.0)</f>
        <v>75</v>
      </c>
      <c r="E3938" s="2"/>
      <c r="F3938" s="2"/>
    </row>
    <row r="3939">
      <c r="A3939" s="2">
        <f>IFERROR(__xludf.DUMMYFUNCTION("""COMPUTED_VALUE"""),81902.0)</f>
        <v>81902</v>
      </c>
      <c r="B3939" s="2">
        <f>IFERROR(__xludf.DUMMYFUNCTION("""COMPUTED_VALUE"""),0.0)</f>
        <v>0</v>
      </c>
      <c r="C3939" s="2">
        <f>IFERROR(__xludf.DUMMYFUNCTION("""COMPUTED_VALUE"""),890.0)</f>
        <v>890</v>
      </c>
      <c r="D3939" s="3">
        <f>IFERROR(__xludf.DUMMYFUNCTION("""COMPUTED_VALUE"""),750.0)</f>
        <v>750</v>
      </c>
      <c r="E3939" s="2"/>
      <c r="F3939" s="2"/>
    </row>
    <row r="3940">
      <c r="A3940" s="2">
        <f>IFERROR(__xludf.DUMMYFUNCTION("""COMPUTED_VALUE"""),83754.0)</f>
        <v>83754</v>
      </c>
      <c r="B3940" s="2">
        <f>IFERROR(__xludf.DUMMYFUNCTION("""COMPUTED_VALUE"""),1.0)</f>
        <v>1</v>
      </c>
      <c r="C3940" s="2">
        <f>IFERROR(__xludf.DUMMYFUNCTION("""COMPUTED_VALUE"""),609.0)</f>
        <v>609</v>
      </c>
      <c r="D3940" s="3">
        <f>IFERROR(__xludf.DUMMYFUNCTION("""COMPUTED_VALUE"""),469.0)</f>
        <v>469</v>
      </c>
      <c r="E3940" s="2"/>
      <c r="F3940" s="2"/>
    </row>
    <row r="3941">
      <c r="A3941" s="2">
        <f>IFERROR(__xludf.DUMMYFUNCTION("""COMPUTED_VALUE"""),116233.0)</f>
        <v>116233</v>
      </c>
      <c r="B3941" s="2">
        <f>IFERROR(__xludf.DUMMYFUNCTION("""COMPUTED_VALUE"""),0.0)</f>
        <v>0</v>
      </c>
      <c r="C3941" s="2">
        <f>IFERROR(__xludf.DUMMYFUNCTION("""COMPUTED_VALUE"""),68.0)</f>
        <v>68</v>
      </c>
      <c r="D3941" s="3">
        <f>IFERROR(__xludf.DUMMYFUNCTION("""COMPUTED_VALUE"""),19.0)</f>
        <v>19</v>
      </c>
      <c r="E3941" s="2"/>
      <c r="F3941" s="2"/>
    </row>
    <row r="3942">
      <c r="A3942" s="2">
        <f>IFERROR(__xludf.DUMMYFUNCTION("""COMPUTED_VALUE"""),112192.0)</f>
        <v>112192</v>
      </c>
      <c r="B3942" s="2">
        <f>IFERROR(__xludf.DUMMYFUNCTION("""COMPUTED_VALUE"""),0.0)</f>
        <v>0</v>
      </c>
      <c r="C3942" s="2">
        <f>IFERROR(__xludf.DUMMYFUNCTION("""COMPUTED_VALUE"""),483.0)</f>
        <v>483</v>
      </c>
      <c r="D3942" s="3">
        <f>IFERROR(__xludf.DUMMYFUNCTION("""COMPUTED_VALUE"""),286.0)</f>
        <v>286</v>
      </c>
      <c r="E3942" s="2"/>
      <c r="F3942" s="2"/>
    </row>
    <row r="3943">
      <c r="A3943" s="2">
        <f>IFERROR(__xludf.DUMMYFUNCTION("""COMPUTED_VALUE"""),119728.0)</f>
        <v>119728</v>
      </c>
      <c r="B3943" s="2">
        <f>IFERROR(__xludf.DUMMYFUNCTION("""COMPUTED_VALUE"""),1.0)</f>
        <v>1</v>
      </c>
      <c r="C3943" s="2">
        <f>IFERROR(__xludf.DUMMYFUNCTION("""COMPUTED_VALUE"""),125.0)</f>
        <v>125</v>
      </c>
      <c r="D3943" s="3">
        <f>IFERROR(__xludf.DUMMYFUNCTION("""COMPUTED_VALUE"""),14.0)</f>
        <v>14</v>
      </c>
      <c r="E3943" s="2"/>
      <c r="F3943" s="2"/>
    </row>
    <row r="3944">
      <c r="A3944" s="2">
        <f>IFERROR(__xludf.DUMMYFUNCTION("""COMPUTED_VALUE"""),81901.0)</f>
        <v>81901</v>
      </c>
      <c r="B3944" s="2">
        <f>IFERROR(__xludf.DUMMYFUNCTION("""COMPUTED_VALUE"""),0.0)</f>
        <v>0</v>
      </c>
      <c r="C3944" s="2">
        <f>IFERROR(__xludf.DUMMYFUNCTION("""COMPUTED_VALUE"""),819.0)</f>
        <v>819</v>
      </c>
      <c r="D3944" s="3">
        <f>IFERROR(__xludf.DUMMYFUNCTION("""COMPUTED_VALUE"""),588.0)</f>
        <v>588</v>
      </c>
      <c r="E3944" s="2"/>
      <c r="F3944" s="2"/>
    </row>
    <row r="3945">
      <c r="A3945" s="2">
        <f>IFERROR(__xludf.DUMMYFUNCTION("""COMPUTED_VALUE"""),141878.0)</f>
        <v>141878</v>
      </c>
      <c r="B3945" s="2">
        <f>IFERROR(__xludf.DUMMYFUNCTION("""COMPUTED_VALUE"""),0.0)</f>
        <v>0</v>
      </c>
      <c r="C3945" s="2">
        <f>IFERROR(__xludf.DUMMYFUNCTION("""COMPUTED_VALUE"""),272.0)</f>
        <v>272</v>
      </c>
      <c r="D3945" s="3">
        <f>IFERROR(__xludf.DUMMYFUNCTION("""COMPUTED_VALUE"""),123.0)</f>
        <v>123</v>
      </c>
      <c r="E3945" s="2"/>
      <c r="F3945" s="2"/>
    </row>
    <row r="3946">
      <c r="A3946" s="2">
        <f>IFERROR(__xludf.DUMMYFUNCTION("""COMPUTED_VALUE"""),116236.0)</f>
        <v>116236</v>
      </c>
      <c r="B3946" s="2">
        <f>IFERROR(__xludf.DUMMYFUNCTION("""COMPUTED_VALUE"""),0.0)</f>
        <v>0</v>
      </c>
      <c r="C3946" s="2">
        <f>IFERROR(__xludf.DUMMYFUNCTION("""COMPUTED_VALUE"""),443.0)</f>
        <v>443</v>
      </c>
      <c r="D3946" s="3">
        <f>IFERROR(__xludf.DUMMYFUNCTION("""COMPUTED_VALUE"""),65.0)</f>
        <v>65</v>
      </c>
      <c r="E3946" s="2"/>
      <c r="F3946" s="2"/>
    </row>
    <row r="3947">
      <c r="A3947" s="2">
        <f>IFERROR(__xludf.DUMMYFUNCTION("""COMPUTED_VALUE"""),120751.0)</f>
        <v>120751</v>
      </c>
      <c r="B3947" s="2">
        <f>IFERROR(__xludf.DUMMYFUNCTION("""COMPUTED_VALUE"""),0.0)</f>
        <v>0</v>
      </c>
      <c r="C3947" s="2">
        <f>IFERROR(__xludf.DUMMYFUNCTION("""COMPUTED_VALUE"""),278.0)</f>
        <v>278</v>
      </c>
      <c r="D3947" s="3">
        <f>IFERROR(__xludf.DUMMYFUNCTION("""COMPUTED_VALUE"""),31.0)</f>
        <v>31</v>
      </c>
      <c r="E3947" s="2"/>
      <c r="F3947" s="2"/>
    </row>
    <row r="3948">
      <c r="A3948" s="2">
        <f>IFERROR(__xludf.DUMMYFUNCTION("""COMPUTED_VALUE"""),80756.0)</f>
        <v>80756</v>
      </c>
      <c r="B3948" s="2">
        <f>IFERROR(__xludf.DUMMYFUNCTION("""COMPUTED_VALUE"""),1.0)</f>
        <v>1</v>
      </c>
      <c r="C3948" s="2">
        <f>IFERROR(__xludf.DUMMYFUNCTION("""COMPUTED_VALUE"""),311.0)</f>
        <v>311</v>
      </c>
      <c r="D3948" s="3">
        <f>IFERROR(__xludf.DUMMYFUNCTION("""COMPUTED_VALUE"""),242.0)</f>
        <v>242</v>
      </c>
      <c r="E3948" s="2"/>
      <c r="F3948" s="2"/>
    </row>
    <row r="3949">
      <c r="A3949" s="2">
        <f>IFERROR(__xludf.DUMMYFUNCTION("""COMPUTED_VALUE"""),119729.0)</f>
        <v>119729</v>
      </c>
      <c r="B3949" s="2">
        <f>IFERROR(__xludf.DUMMYFUNCTION("""COMPUTED_VALUE"""),1.0)</f>
        <v>1</v>
      </c>
      <c r="C3949" s="2">
        <f>IFERROR(__xludf.DUMMYFUNCTION("""COMPUTED_VALUE"""),255.0)</f>
        <v>255</v>
      </c>
      <c r="D3949" s="3">
        <f>IFERROR(__xludf.DUMMYFUNCTION("""COMPUTED_VALUE"""),181.0)</f>
        <v>181</v>
      </c>
      <c r="E3949" s="2"/>
      <c r="F3949" s="2"/>
    </row>
    <row r="3950">
      <c r="A3950" s="2">
        <f>IFERROR(__xludf.DUMMYFUNCTION("""COMPUTED_VALUE"""),119028.0)</f>
        <v>119028</v>
      </c>
      <c r="B3950" s="2">
        <f>IFERROR(__xludf.DUMMYFUNCTION("""COMPUTED_VALUE"""),1.0)</f>
        <v>1</v>
      </c>
      <c r="C3950" s="2">
        <f>IFERROR(__xludf.DUMMYFUNCTION("""COMPUTED_VALUE"""),867.0)</f>
        <v>867</v>
      </c>
      <c r="D3950" s="3">
        <f>IFERROR(__xludf.DUMMYFUNCTION("""COMPUTED_VALUE"""),649.0)</f>
        <v>649</v>
      </c>
      <c r="E3950" s="2"/>
      <c r="F3950" s="2"/>
    </row>
    <row r="3951">
      <c r="A3951" s="2">
        <f>IFERROR(__xludf.DUMMYFUNCTION("""COMPUTED_VALUE"""),116957.0)</f>
        <v>116957</v>
      </c>
      <c r="B3951" s="2">
        <f>IFERROR(__xludf.DUMMYFUNCTION("""COMPUTED_VALUE"""),0.0)</f>
        <v>0</v>
      </c>
      <c r="C3951" s="2">
        <f>IFERROR(__xludf.DUMMYFUNCTION("""COMPUTED_VALUE"""),820.0)</f>
        <v>820</v>
      </c>
      <c r="D3951" s="3">
        <f>IFERROR(__xludf.DUMMYFUNCTION("""COMPUTED_VALUE"""),92.0)</f>
        <v>92</v>
      </c>
      <c r="E3951" s="2"/>
      <c r="F3951" s="2"/>
    </row>
    <row r="3952">
      <c r="A3952" s="2">
        <f>IFERROR(__xludf.DUMMYFUNCTION("""COMPUTED_VALUE"""),78235.0)</f>
        <v>78235</v>
      </c>
      <c r="B3952" s="2">
        <f>IFERROR(__xludf.DUMMYFUNCTION("""COMPUTED_VALUE"""),0.0)</f>
        <v>0</v>
      </c>
      <c r="C3952" s="2">
        <f>IFERROR(__xludf.DUMMYFUNCTION("""COMPUTED_VALUE"""),642.0)</f>
        <v>642</v>
      </c>
      <c r="D3952" s="3">
        <f>IFERROR(__xludf.DUMMYFUNCTION("""COMPUTED_VALUE"""),577.0)</f>
        <v>577</v>
      </c>
      <c r="E3952" s="2"/>
      <c r="F3952" s="2"/>
    </row>
    <row r="3953">
      <c r="A3953" s="2">
        <f>IFERROR(__xludf.DUMMYFUNCTION("""COMPUTED_VALUE"""),119803.0)</f>
        <v>119803</v>
      </c>
      <c r="B3953" s="2">
        <f>IFERROR(__xludf.DUMMYFUNCTION("""COMPUTED_VALUE"""),0.0)</f>
        <v>0</v>
      </c>
      <c r="C3953" s="2">
        <f>IFERROR(__xludf.DUMMYFUNCTION("""COMPUTED_VALUE"""),417.0)</f>
        <v>417</v>
      </c>
      <c r="D3953" s="3">
        <f>IFERROR(__xludf.DUMMYFUNCTION("""COMPUTED_VALUE"""),222.0)</f>
        <v>222</v>
      </c>
      <c r="E3953" s="2"/>
      <c r="F3953" s="2"/>
    </row>
    <row r="3954">
      <c r="A3954" s="2">
        <f>IFERROR(__xludf.DUMMYFUNCTION("""COMPUTED_VALUE"""),7669.0)</f>
        <v>7669</v>
      </c>
      <c r="B3954" s="2">
        <f>IFERROR(__xludf.DUMMYFUNCTION("""COMPUTED_VALUE"""),0.0)</f>
        <v>0</v>
      </c>
      <c r="C3954" s="2">
        <f>IFERROR(__xludf.DUMMYFUNCTION("""COMPUTED_VALUE"""),793.0)</f>
        <v>793</v>
      </c>
      <c r="D3954" s="3">
        <f>IFERROR(__xludf.DUMMYFUNCTION("""COMPUTED_VALUE"""),716.0)</f>
        <v>716</v>
      </c>
      <c r="E3954" s="2"/>
      <c r="F3954" s="2"/>
    </row>
    <row r="3955">
      <c r="A3955" s="2">
        <f>IFERROR(__xludf.DUMMYFUNCTION("""COMPUTED_VALUE"""),139312.0)</f>
        <v>139312</v>
      </c>
      <c r="B3955" s="2">
        <f>IFERROR(__xludf.DUMMYFUNCTION("""COMPUTED_VALUE"""),0.0)</f>
        <v>0</v>
      </c>
      <c r="C3955" s="2">
        <f>IFERROR(__xludf.DUMMYFUNCTION("""COMPUTED_VALUE"""),403.0)</f>
        <v>403</v>
      </c>
      <c r="D3955" s="3">
        <f>IFERROR(__xludf.DUMMYFUNCTION("""COMPUTED_VALUE"""),218.0)</f>
        <v>218</v>
      </c>
      <c r="E3955" s="2"/>
      <c r="F3955" s="2"/>
    </row>
    <row r="3956">
      <c r="A3956" s="2">
        <f>IFERROR(__xludf.DUMMYFUNCTION("""COMPUTED_VALUE"""),77773.0)</f>
        <v>77773</v>
      </c>
      <c r="B3956" s="2">
        <f>IFERROR(__xludf.DUMMYFUNCTION("""COMPUTED_VALUE"""),1.0)</f>
        <v>1</v>
      </c>
      <c r="C3956" s="2">
        <f>IFERROR(__xludf.DUMMYFUNCTION("""COMPUTED_VALUE"""),523.0)</f>
        <v>523</v>
      </c>
      <c r="D3956" s="3">
        <f>IFERROR(__xludf.DUMMYFUNCTION("""COMPUTED_VALUE"""),310.0)</f>
        <v>310</v>
      </c>
      <c r="E3956" s="2"/>
      <c r="F3956" s="2"/>
    </row>
    <row r="3957">
      <c r="A3957" s="2">
        <f>IFERROR(__xludf.DUMMYFUNCTION("""COMPUTED_VALUE"""),73442.0)</f>
        <v>73442</v>
      </c>
      <c r="B3957" s="2">
        <f>IFERROR(__xludf.DUMMYFUNCTION("""COMPUTED_VALUE"""),0.0)</f>
        <v>0</v>
      </c>
      <c r="C3957" s="2">
        <f>IFERROR(__xludf.DUMMYFUNCTION("""COMPUTED_VALUE"""),851.0)</f>
        <v>851</v>
      </c>
      <c r="D3957" s="3">
        <f>IFERROR(__xludf.DUMMYFUNCTION("""COMPUTED_VALUE"""),533.0)</f>
        <v>533</v>
      </c>
      <c r="E3957" s="2"/>
      <c r="F3957" s="2"/>
    </row>
    <row r="3958">
      <c r="A3958" s="2">
        <f>IFERROR(__xludf.DUMMYFUNCTION("""COMPUTED_VALUE"""),3974.0)</f>
        <v>3974</v>
      </c>
      <c r="B3958" s="2">
        <f>IFERROR(__xludf.DUMMYFUNCTION("""COMPUTED_VALUE"""),0.0)</f>
        <v>0</v>
      </c>
      <c r="C3958" s="2">
        <f>IFERROR(__xludf.DUMMYFUNCTION("""COMPUTED_VALUE"""),514.0)</f>
        <v>514</v>
      </c>
      <c r="D3958" s="3">
        <f>IFERROR(__xludf.DUMMYFUNCTION("""COMPUTED_VALUE"""),304.0)</f>
        <v>304</v>
      </c>
      <c r="E3958" s="2"/>
      <c r="F3958" s="2"/>
    </row>
    <row r="3959">
      <c r="A3959" s="2">
        <f>IFERROR(__xludf.DUMMYFUNCTION("""COMPUTED_VALUE"""),104032.0)</f>
        <v>104032</v>
      </c>
      <c r="B3959" s="2">
        <f>IFERROR(__xludf.DUMMYFUNCTION("""COMPUTED_VALUE"""),0.0)</f>
        <v>0</v>
      </c>
      <c r="C3959" s="2">
        <f>IFERROR(__xludf.DUMMYFUNCTION("""COMPUTED_VALUE"""),724.0)</f>
        <v>724</v>
      </c>
      <c r="D3959" s="3">
        <f>IFERROR(__xludf.DUMMYFUNCTION("""COMPUTED_VALUE"""),138.0)</f>
        <v>138</v>
      </c>
      <c r="E3959" s="2"/>
      <c r="F3959" s="2"/>
    </row>
    <row r="3960">
      <c r="A3960" s="2">
        <f>IFERROR(__xludf.DUMMYFUNCTION("""COMPUTED_VALUE"""),24162.0)</f>
        <v>24162</v>
      </c>
      <c r="B3960" s="2">
        <f>IFERROR(__xludf.DUMMYFUNCTION("""COMPUTED_VALUE"""),1.0)</f>
        <v>1</v>
      </c>
      <c r="C3960" s="2">
        <f>IFERROR(__xludf.DUMMYFUNCTION("""COMPUTED_VALUE"""),811.0)</f>
        <v>811</v>
      </c>
      <c r="D3960" s="3">
        <f>IFERROR(__xludf.DUMMYFUNCTION("""COMPUTED_VALUE"""),429.0)</f>
        <v>429</v>
      </c>
      <c r="E3960" s="2"/>
      <c r="F3960" s="2"/>
    </row>
    <row r="3961">
      <c r="A3961" s="2">
        <f>IFERROR(__xludf.DUMMYFUNCTION("""COMPUTED_VALUE"""),24167.0)</f>
        <v>24167</v>
      </c>
      <c r="B3961" s="2">
        <f>IFERROR(__xludf.DUMMYFUNCTION("""COMPUTED_VALUE"""),1.0)</f>
        <v>1</v>
      </c>
      <c r="C3961" s="2">
        <f>IFERROR(__xludf.DUMMYFUNCTION("""COMPUTED_VALUE"""),517.0)</f>
        <v>517</v>
      </c>
      <c r="D3961" s="3">
        <f>IFERROR(__xludf.DUMMYFUNCTION("""COMPUTED_VALUE"""),446.0)</f>
        <v>446</v>
      </c>
      <c r="E3961" s="2"/>
      <c r="F3961" s="2"/>
    </row>
    <row r="3962">
      <c r="A3962" s="2">
        <f>IFERROR(__xludf.DUMMYFUNCTION("""COMPUTED_VALUE"""),24174.0)</f>
        <v>24174</v>
      </c>
      <c r="B3962" s="2">
        <f>IFERROR(__xludf.DUMMYFUNCTION("""COMPUTED_VALUE"""),0.0)</f>
        <v>0</v>
      </c>
      <c r="C3962" s="2">
        <f>IFERROR(__xludf.DUMMYFUNCTION("""COMPUTED_VALUE"""),530.0)</f>
        <v>530</v>
      </c>
      <c r="D3962" s="3">
        <f>IFERROR(__xludf.DUMMYFUNCTION("""COMPUTED_VALUE"""),491.0)</f>
        <v>491</v>
      </c>
      <c r="E3962" s="2"/>
      <c r="F3962" s="2"/>
    </row>
    <row r="3963">
      <c r="A3963" s="2">
        <f>IFERROR(__xludf.DUMMYFUNCTION("""COMPUTED_VALUE"""),24161.0)</f>
        <v>24161</v>
      </c>
      <c r="B3963" s="2">
        <f>IFERROR(__xludf.DUMMYFUNCTION("""COMPUTED_VALUE"""),0.0)</f>
        <v>0</v>
      </c>
      <c r="C3963" s="2">
        <f>IFERROR(__xludf.DUMMYFUNCTION("""COMPUTED_VALUE"""),948.0)</f>
        <v>948</v>
      </c>
      <c r="D3963" s="3">
        <f>IFERROR(__xludf.DUMMYFUNCTION("""COMPUTED_VALUE"""),162.0)</f>
        <v>162</v>
      </c>
      <c r="E3963" s="2"/>
      <c r="F3963" s="2"/>
    </row>
    <row r="3964">
      <c r="A3964" s="2">
        <f>IFERROR(__xludf.DUMMYFUNCTION("""COMPUTED_VALUE"""),88594.0)</f>
        <v>88594</v>
      </c>
      <c r="B3964" s="2">
        <f>IFERROR(__xludf.DUMMYFUNCTION("""COMPUTED_VALUE"""),0.0)</f>
        <v>0</v>
      </c>
      <c r="C3964" s="2">
        <f>IFERROR(__xludf.DUMMYFUNCTION("""COMPUTED_VALUE"""),890.0)</f>
        <v>890</v>
      </c>
      <c r="D3964" s="3">
        <f>IFERROR(__xludf.DUMMYFUNCTION("""COMPUTED_VALUE"""),874.0)</f>
        <v>874</v>
      </c>
      <c r="E3964" s="2"/>
      <c r="F3964" s="2"/>
    </row>
    <row r="3965">
      <c r="A3965" s="2">
        <f>IFERROR(__xludf.DUMMYFUNCTION("""COMPUTED_VALUE"""),118818.0)</f>
        <v>118818</v>
      </c>
      <c r="B3965" s="2">
        <f>IFERROR(__xludf.DUMMYFUNCTION("""COMPUTED_VALUE"""),1.0)</f>
        <v>1</v>
      </c>
      <c r="C3965" s="2">
        <f>IFERROR(__xludf.DUMMYFUNCTION("""COMPUTED_VALUE"""),883.0)</f>
        <v>883</v>
      </c>
      <c r="D3965" s="3">
        <f>IFERROR(__xludf.DUMMYFUNCTION("""COMPUTED_VALUE"""),194.0)</f>
        <v>194</v>
      </c>
      <c r="E3965" s="2"/>
      <c r="F3965" s="2"/>
    </row>
    <row r="3966">
      <c r="A3966" s="2">
        <f>IFERROR(__xludf.DUMMYFUNCTION("""COMPUTED_VALUE"""),24166.0)</f>
        <v>24166</v>
      </c>
      <c r="B3966" s="2">
        <f>IFERROR(__xludf.DUMMYFUNCTION("""COMPUTED_VALUE"""),1.0)</f>
        <v>1</v>
      </c>
      <c r="C3966" s="2">
        <f>IFERROR(__xludf.DUMMYFUNCTION("""COMPUTED_VALUE"""),158.0)</f>
        <v>158</v>
      </c>
      <c r="D3966" s="3">
        <f>IFERROR(__xludf.DUMMYFUNCTION("""COMPUTED_VALUE"""),26.0)</f>
        <v>26</v>
      </c>
      <c r="E3966" s="2"/>
      <c r="F3966" s="2"/>
    </row>
    <row r="3967">
      <c r="A3967" s="2">
        <f>IFERROR(__xludf.DUMMYFUNCTION("""COMPUTED_VALUE"""),118828.0)</f>
        <v>118828</v>
      </c>
      <c r="B3967" s="2">
        <f>IFERROR(__xludf.DUMMYFUNCTION("""COMPUTED_VALUE"""),0.0)</f>
        <v>0</v>
      </c>
      <c r="C3967" s="2">
        <f>IFERROR(__xludf.DUMMYFUNCTION("""COMPUTED_VALUE"""),494.0)</f>
        <v>494</v>
      </c>
      <c r="D3967" s="3">
        <f>IFERROR(__xludf.DUMMYFUNCTION("""COMPUTED_VALUE"""),317.0)</f>
        <v>317</v>
      </c>
      <c r="E3967" s="2"/>
      <c r="F3967" s="2"/>
    </row>
    <row r="3968">
      <c r="A3968" s="2">
        <f>IFERROR(__xludf.DUMMYFUNCTION("""COMPUTED_VALUE"""),86169.0)</f>
        <v>86169</v>
      </c>
      <c r="B3968" s="2">
        <f>IFERROR(__xludf.DUMMYFUNCTION("""COMPUTED_VALUE"""),1.0)</f>
        <v>1</v>
      </c>
      <c r="C3968" s="2">
        <f>IFERROR(__xludf.DUMMYFUNCTION("""COMPUTED_VALUE"""),922.0)</f>
        <v>922</v>
      </c>
      <c r="D3968" s="3">
        <f>IFERROR(__xludf.DUMMYFUNCTION("""COMPUTED_VALUE"""),48.0)</f>
        <v>48</v>
      </c>
      <c r="E3968" s="2"/>
      <c r="F3968" s="2"/>
    </row>
    <row r="3969">
      <c r="A3969" s="2">
        <f>IFERROR(__xludf.DUMMYFUNCTION("""COMPUTED_VALUE"""),118851.0)</f>
        <v>118851</v>
      </c>
      <c r="B3969" s="2">
        <f>IFERROR(__xludf.DUMMYFUNCTION("""COMPUTED_VALUE"""),0.0)</f>
        <v>0</v>
      </c>
      <c r="C3969" s="2">
        <f>IFERROR(__xludf.DUMMYFUNCTION("""COMPUTED_VALUE"""),398.0)</f>
        <v>398</v>
      </c>
      <c r="D3969" s="3">
        <f>IFERROR(__xludf.DUMMYFUNCTION("""COMPUTED_VALUE"""),358.0)</f>
        <v>358</v>
      </c>
      <c r="E3969" s="2"/>
      <c r="F3969" s="2"/>
    </row>
    <row r="3970">
      <c r="A3970" s="2">
        <f>IFERROR(__xludf.DUMMYFUNCTION("""COMPUTED_VALUE"""),118824.0)</f>
        <v>118824</v>
      </c>
      <c r="B3970" s="2">
        <f>IFERROR(__xludf.DUMMYFUNCTION("""COMPUTED_VALUE"""),1.0)</f>
        <v>1</v>
      </c>
      <c r="C3970" s="2">
        <f>IFERROR(__xludf.DUMMYFUNCTION("""COMPUTED_VALUE"""),69.0)</f>
        <v>69</v>
      </c>
      <c r="D3970" s="3">
        <f>IFERROR(__xludf.DUMMYFUNCTION("""COMPUTED_VALUE"""),42.0)</f>
        <v>42</v>
      </c>
      <c r="E3970" s="2"/>
      <c r="F3970" s="2"/>
    </row>
    <row r="3971">
      <c r="A3971" s="2">
        <f>IFERROR(__xludf.DUMMYFUNCTION("""COMPUTED_VALUE"""),122728.0)</f>
        <v>122728</v>
      </c>
      <c r="B3971" s="2">
        <f>IFERROR(__xludf.DUMMYFUNCTION("""COMPUTED_VALUE"""),0.0)</f>
        <v>0</v>
      </c>
      <c r="C3971" s="2">
        <f>IFERROR(__xludf.DUMMYFUNCTION("""COMPUTED_VALUE"""),669.0)</f>
        <v>669</v>
      </c>
      <c r="D3971" s="3">
        <f>IFERROR(__xludf.DUMMYFUNCTION("""COMPUTED_VALUE"""),122.0)</f>
        <v>122</v>
      </c>
      <c r="E3971" s="2"/>
      <c r="F3971" s="2"/>
    </row>
    <row r="3972">
      <c r="A3972" s="2">
        <f>IFERROR(__xludf.DUMMYFUNCTION("""COMPUTED_VALUE"""),103474.0)</f>
        <v>103474</v>
      </c>
      <c r="B3972" s="2">
        <f>IFERROR(__xludf.DUMMYFUNCTION("""COMPUTED_VALUE"""),0.0)</f>
        <v>0</v>
      </c>
      <c r="C3972" s="2">
        <f>IFERROR(__xludf.DUMMYFUNCTION("""COMPUTED_VALUE"""),432.0)</f>
        <v>432</v>
      </c>
      <c r="D3972" s="3">
        <f>IFERROR(__xludf.DUMMYFUNCTION("""COMPUTED_VALUE"""),34.0)</f>
        <v>34</v>
      </c>
      <c r="E3972" s="2"/>
      <c r="F3972" s="2"/>
    </row>
    <row r="3973">
      <c r="A3973" s="2">
        <f>IFERROR(__xludf.DUMMYFUNCTION("""COMPUTED_VALUE"""),120635.0)</f>
        <v>120635</v>
      </c>
      <c r="B3973" s="2">
        <f>IFERROR(__xludf.DUMMYFUNCTION("""COMPUTED_VALUE"""),0.0)</f>
        <v>0</v>
      </c>
      <c r="C3973" s="2">
        <f>IFERROR(__xludf.DUMMYFUNCTION("""COMPUTED_VALUE"""),236.0)</f>
        <v>236</v>
      </c>
      <c r="D3973" s="3">
        <f>IFERROR(__xludf.DUMMYFUNCTION("""COMPUTED_VALUE"""),119.0)</f>
        <v>119</v>
      </c>
      <c r="E3973" s="2"/>
      <c r="F3973" s="2"/>
    </row>
    <row r="3974">
      <c r="A3974" s="2">
        <f>IFERROR(__xludf.DUMMYFUNCTION("""COMPUTED_VALUE"""),120633.0)</f>
        <v>120633</v>
      </c>
      <c r="B3974" s="2">
        <f>IFERROR(__xludf.DUMMYFUNCTION("""COMPUTED_VALUE"""),1.0)</f>
        <v>1</v>
      </c>
      <c r="C3974" s="2">
        <f>IFERROR(__xludf.DUMMYFUNCTION("""COMPUTED_VALUE"""),333.0)</f>
        <v>333</v>
      </c>
      <c r="D3974" s="3">
        <f>IFERROR(__xludf.DUMMYFUNCTION("""COMPUTED_VALUE"""),162.0)</f>
        <v>162</v>
      </c>
      <c r="E3974" s="2"/>
      <c r="F3974" s="2"/>
    </row>
    <row r="3975">
      <c r="A3975" s="2">
        <f>IFERROR(__xludf.DUMMYFUNCTION("""COMPUTED_VALUE"""),121477.0)</f>
        <v>121477</v>
      </c>
      <c r="B3975" s="2">
        <f>IFERROR(__xludf.DUMMYFUNCTION("""COMPUTED_VALUE"""),1.0)</f>
        <v>1</v>
      </c>
      <c r="C3975" s="2">
        <f>IFERROR(__xludf.DUMMYFUNCTION("""COMPUTED_VALUE"""),836.0)</f>
        <v>836</v>
      </c>
      <c r="D3975" s="3">
        <f>IFERROR(__xludf.DUMMYFUNCTION("""COMPUTED_VALUE"""),686.0)</f>
        <v>686</v>
      </c>
      <c r="E3975" s="2"/>
      <c r="F3975" s="2"/>
    </row>
    <row r="3976">
      <c r="A3976" s="2">
        <f>IFERROR(__xludf.DUMMYFUNCTION("""COMPUTED_VALUE"""),156024.0)</f>
        <v>156024</v>
      </c>
      <c r="B3976" s="2">
        <f>IFERROR(__xludf.DUMMYFUNCTION("""COMPUTED_VALUE"""),1.0)</f>
        <v>1</v>
      </c>
      <c r="C3976" s="2">
        <f>IFERROR(__xludf.DUMMYFUNCTION("""COMPUTED_VALUE"""),628.0)</f>
        <v>628</v>
      </c>
      <c r="D3976" s="3">
        <f>IFERROR(__xludf.DUMMYFUNCTION("""COMPUTED_VALUE"""),385.0)</f>
        <v>385</v>
      </c>
      <c r="E3976" s="2"/>
      <c r="F3976" s="2"/>
    </row>
    <row r="3977">
      <c r="A3977" s="2">
        <f>IFERROR(__xludf.DUMMYFUNCTION("""COMPUTED_VALUE"""),70191.0)</f>
        <v>70191</v>
      </c>
      <c r="B3977" s="2">
        <f>IFERROR(__xludf.DUMMYFUNCTION("""COMPUTED_VALUE"""),0.0)</f>
        <v>0</v>
      </c>
      <c r="C3977" s="2">
        <f>IFERROR(__xludf.DUMMYFUNCTION("""COMPUTED_VALUE"""),317.0)</f>
        <v>317</v>
      </c>
      <c r="D3977" s="3">
        <f>IFERROR(__xludf.DUMMYFUNCTION("""COMPUTED_VALUE"""),14.0)</f>
        <v>14</v>
      </c>
      <c r="E3977" s="2"/>
      <c r="F3977" s="2"/>
    </row>
    <row r="3978">
      <c r="A3978" s="2">
        <f>IFERROR(__xludf.DUMMYFUNCTION("""COMPUTED_VALUE"""),19822.0)</f>
        <v>19822</v>
      </c>
      <c r="B3978" s="2">
        <f>IFERROR(__xludf.DUMMYFUNCTION("""COMPUTED_VALUE"""),0.0)</f>
        <v>0</v>
      </c>
      <c r="C3978" s="2">
        <f>IFERROR(__xludf.DUMMYFUNCTION("""COMPUTED_VALUE"""),657.0)</f>
        <v>657</v>
      </c>
      <c r="D3978" s="3">
        <f>IFERROR(__xludf.DUMMYFUNCTION("""COMPUTED_VALUE"""),512.0)</f>
        <v>512</v>
      </c>
      <c r="E3978" s="2"/>
      <c r="F3978" s="2"/>
    </row>
    <row r="3979">
      <c r="A3979" s="2">
        <f>IFERROR(__xludf.DUMMYFUNCTION("""COMPUTED_VALUE"""),156023.0)</f>
        <v>156023</v>
      </c>
      <c r="B3979" s="2">
        <f>IFERROR(__xludf.DUMMYFUNCTION("""COMPUTED_VALUE"""),1.0)</f>
        <v>1</v>
      </c>
      <c r="C3979" s="2">
        <f>IFERROR(__xludf.DUMMYFUNCTION("""COMPUTED_VALUE"""),295.0)</f>
        <v>295</v>
      </c>
      <c r="D3979" s="3">
        <f>IFERROR(__xludf.DUMMYFUNCTION("""COMPUTED_VALUE"""),96.0)</f>
        <v>96</v>
      </c>
      <c r="E3979" s="2"/>
      <c r="F3979" s="2"/>
    </row>
    <row r="3980">
      <c r="A3980" s="2">
        <f>IFERROR(__xludf.DUMMYFUNCTION("""COMPUTED_VALUE"""),120628.0)</f>
        <v>120628</v>
      </c>
      <c r="B3980" s="2">
        <f>IFERROR(__xludf.DUMMYFUNCTION("""COMPUTED_VALUE"""),0.0)</f>
        <v>0</v>
      </c>
      <c r="C3980" s="2">
        <f>IFERROR(__xludf.DUMMYFUNCTION("""COMPUTED_VALUE"""),551.0)</f>
        <v>551</v>
      </c>
      <c r="D3980" s="3">
        <f>IFERROR(__xludf.DUMMYFUNCTION("""COMPUTED_VALUE"""),57.0)</f>
        <v>57</v>
      </c>
      <c r="E3980" s="2"/>
      <c r="F3980" s="2"/>
    </row>
    <row r="3981">
      <c r="A3981" s="2">
        <f>IFERROR(__xludf.DUMMYFUNCTION("""COMPUTED_VALUE"""),45830.0)</f>
        <v>45830</v>
      </c>
      <c r="B3981" s="2">
        <f>IFERROR(__xludf.DUMMYFUNCTION("""COMPUTED_VALUE"""),0.0)</f>
        <v>0</v>
      </c>
      <c r="C3981" s="2">
        <f>IFERROR(__xludf.DUMMYFUNCTION("""COMPUTED_VALUE"""),362.0)</f>
        <v>362</v>
      </c>
      <c r="D3981" s="3">
        <f>IFERROR(__xludf.DUMMYFUNCTION("""COMPUTED_VALUE"""),36.0)</f>
        <v>36</v>
      </c>
      <c r="E3981" s="2"/>
      <c r="F3981" s="2"/>
    </row>
    <row r="3982">
      <c r="A3982" s="2">
        <f>IFERROR(__xludf.DUMMYFUNCTION("""COMPUTED_VALUE"""),86192.0)</f>
        <v>86192</v>
      </c>
      <c r="B3982" s="2">
        <f>IFERROR(__xludf.DUMMYFUNCTION("""COMPUTED_VALUE"""),0.0)</f>
        <v>0</v>
      </c>
      <c r="C3982" s="2">
        <f>IFERROR(__xludf.DUMMYFUNCTION("""COMPUTED_VALUE"""),19.0)</f>
        <v>19</v>
      </c>
      <c r="D3982" s="3">
        <f>IFERROR(__xludf.DUMMYFUNCTION("""COMPUTED_VALUE"""),13.0)</f>
        <v>13</v>
      </c>
      <c r="E3982" s="2"/>
      <c r="F3982" s="2"/>
    </row>
    <row r="3983">
      <c r="A3983" s="2">
        <f>IFERROR(__xludf.DUMMYFUNCTION("""COMPUTED_VALUE"""),127372.0)</f>
        <v>127372</v>
      </c>
      <c r="B3983" s="2">
        <f>IFERROR(__xludf.DUMMYFUNCTION("""COMPUTED_VALUE"""),0.0)</f>
        <v>0</v>
      </c>
      <c r="C3983" s="2">
        <f>IFERROR(__xludf.DUMMYFUNCTION("""COMPUTED_VALUE"""),735.0)</f>
        <v>735</v>
      </c>
      <c r="D3983" s="3">
        <f>IFERROR(__xludf.DUMMYFUNCTION("""COMPUTED_VALUE"""),285.0)</f>
        <v>285</v>
      </c>
      <c r="E3983" s="2"/>
      <c r="F3983" s="2"/>
    </row>
    <row r="3984">
      <c r="A3984" s="2">
        <f>IFERROR(__xludf.DUMMYFUNCTION("""COMPUTED_VALUE"""),113902.0)</f>
        <v>113902</v>
      </c>
      <c r="B3984" s="2">
        <f>IFERROR(__xludf.DUMMYFUNCTION("""COMPUTED_VALUE"""),0.0)</f>
        <v>0</v>
      </c>
      <c r="C3984" s="2">
        <f>IFERROR(__xludf.DUMMYFUNCTION("""COMPUTED_VALUE"""),477.0)</f>
        <v>477</v>
      </c>
      <c r="D3984" s="3">
        <f>IFERROR(__xludf.DUMMYFUNCTION("""COMPUTED_VALUE"""),405.0)</f>
        <v>405</v>
      </c>
      <c r="E3984" s="2"/>
      <c r="F3984" s="2"/>
    </row>
    <row r="3985">
      <c r="A3985" s="2">
        <f>IFERROR(__xludf.DUMMYFUNCTION("""COMPUTED_VALUE"""),119133.0)</f>
        <v>119133</v>
      </c>
      <c r="B3985" s="2">
        <f>IFERROR(__xludf.DUMMYFUNCTION("""COMPUTED_VALUE"""),0.0)</f>
        <v>0</v>
      </c>
      <c r="C3985" s="2">
        <f>IFERROR(__xludf.DUMMYFUNCTION("""COMPUTED_VALUE"""),337.0)</f>
        <v>337</v>
      </c>
      <c r="D3985" s="3">
        <f>IFERROR(__xludf.DUMMYFUNCTION("""COMPUTED_VALUE"""),17.0)</f>
        <v>17</v>
      </c>
      <c r="E3985" s="2"/>
      <c r="F3985" s="2"/>
    </row>
    <row r="3986">
      <c r="A3986" s="2">
        <f>IFERROR(__xludf.DUMMYFUNCTION("""COMPUTED_VALUE"""),114946.0)</f>
        <v>114946</v>
      </c>
      <c r="B3986" s="2">
        <f>IFERROR(__xludf.DUMMYFUNCTION("""COMPUTED_VALUE"""),0.0)</f>
        <v>0</v>
      </c>
      <c r="C3986" s="2">
        <f>IFERROR(__xludf.DUMMYFUNCTION("""COMPUTED_VALUE"""),939.0)</f>
        <v>939</v>
      </c>
      <c r="D3986" s="3">
        <f>IFERROR(__xludf.DUMMYFUNCTION("""COMPUTED_VALUE"""),490.0)</f>
        <v>490</v>
      </c>
      <c r="E3986" s="2"/>
      <c r="F3986" s="2"/>
    </row>
    <row r="3987">
      <c r="A3987" s="2">
        <f>IFERROR(__xludf.DUMMYFUNCTION("""COMPUTED_VALUE"""),118832.0)</f>
        <v>118832</v>
      </c>
      <c r="B3987" s="2">
        <f>IFERROR(__xludf.DUMMYFUNCTION("""COMPUTED_VALUE"""),1.0)</f>
        <v>1</v>
      </c>
      <c r="C3987" s="2">
        <f>IFERROR(__xludf.DUMMYFUNCTION("""COMPUTED_VALUE"""),908.0)</f>
        <v>908</v>
      </c>
      <c r="D3987" s="3">
        <f>IFERROR(__xludf.DUMMYFUNCTION("""COMPUTED_VALUE"""),578.0)</f>
        <v>578</v>
      </c>
      <c r="E3987" s="2"/>
      <c r="F3987" s="2"/>
    </row>
    <row r="3988">
      <c r="A3988" s="2">
        <f>IFERROR(__xludf.DUMMYFUNCTION("""COMPUTED_VALUE"""),86499.0)</f>
        <v>86499</v>
      </c>
      <c r="B3988" s="2">
        <f>IFERROR(__xludf.DUMMYFUNCTION("""COMPUTED_VALUE"""),0.0)</f>
        <v>0</v>
      </c>
      <c r="C3988" s="2">
        <f>IFERROR(__xludf.DUMMYFUNCTION("""COMPUTED_VALUE"""),366.0)</f>
        <v>366</v>
      </c>
      <c r="D3988" s="3">
        <f>IFERROR(__xludf.DUMMYFUNCTION("""COMPUTED_VALUE"""),245.0)</f>
        <v>245</v>
      </c>
      <c r="E3988" s="2"/>
      <c r="F3988" s="2"/>
    </row>
    <row r="3989">
      <c r="A3989" s="2">
        <f>IFERROR(__xludf.DUMMYFUNCTION("""COMPUTED_VALUE"""),81790.0)</f>
        <v>81790</v>
      </c>
      <c r="B3989" s="2">
        <f>IFERROR(__xludf.DUMMYFUNCTION("""COMPUTED_VALUE"""),0.0)</f>
        <v>0</v>
      </c>
      <c r="C3989" s="2">
        <f>IFERROR(__xludf.DUMMYFUNCTION("""COMPUTED_VALUE"""),587.0)</f>
        <v>587</v>
      </c>
      <c r="D3989" s="3">
        <f>IFERROR(__xludf.DUMMYFUNCTION("""COMPUTED_VALUE"""),488.0)</f>
        <v>488</v>
      </c>
      <c r="E3989" s="2"/>
      <c r="F3989" s="2"/>
    </row>
    <row r="3990">
      <c r="A3990" s="2">
        <f>IFERROR(__xludf.DUMMYFUNCTION("""COMPUTED_VALUE"""),45898.0)</f>
        <v>45898</v>
      </c>
      <c r="B3990" s="2">
        <f>IFERROR(__xludf.DUMMYFUNCTION("""COMPUTED_VALUE"""),0.0)</f>
        <v>0</v>
      </c>
      <c r="C3990" s="2">
        <f>IFERROR(__xludf.DUMMYFUNCTION("""COMPUTED_VALUE"""),232.0)</f>
        <v>232</v>
      </c>
      <c r="D3990" s="3">
        <f>IFERROR(__xludf.DUMMYFUNCTION("""COMPUTED_VALUE"""),189.0)</f>
        <v>189</v>
      </c>
      <c r="E3990" s="2"/>
      <c r="F3990" s="2"/>
    </row>
    <row r="3991">
      <c r="A3991" s="2">
        <f>IFERROR(__xludf.DUMMYFUNCTION("""COMPUTED_VALUE"""),24144.0)</f>
        <v>24144</v>
      </c>
      <c r="B3991" s="2">
        <f>IFERROR(__xludf.DUMMYFUNCTION("""COMPUTED_VALUE"""),1.0)</f>
        <v>1</v>
      </c>
      <c r="C3991" s="2">
        <f>IFERROR(__xludf.DUMMYFUNCTION("""COMPUTED_VALUE"""),859.0)</f>
        <v>859</v>
      </c>
      <c r="D3991" s="3">
        <f>IFERROR(__xludf.DUMMYFUNCTION("""COMPUTED_VALUE"""),278.0)</f>
        <v>278</v>
      </c>
      <c r="E3991" s="2"/>
      <c r="F3991" s="2"/>
    </row>
    <row r="3992">
      <c r="A3992" s="2">
        <f>IFERROR(__xludf.DUMMYFUNCTION("""COMPUTED_VALUE"""),98351.0)</f>
        <v>98351</v>
      </c>
      <c r="B3992" s="2">
        <f>IFERROR(__xludf.DUMMYFUNCTION("""COMPUTED_VALUE"""),1.0)</f>
        <v>1</v>
      </c>
      <c r="C3992" s="2">
        <f>IFERROR(__xludf.DUMMYFUNCTION("""COMPUTED_VALUE"""),578.0)</f>
        <v>578</v>
      </c>
      <c r="D3992" s="3">
        <f>IFERROR(__xludf.DUMMYFUNCTION("""COMPUTED_VALUE"""),362.0)</f>
        <v>362</v>
      </c>
      <c r="E3992" s="2"/>
      <c r="F3992" s="2"/>
    </row>
    <row r="3993">
      <c r="A3993" s="2">
        <f>IFERROR(__xludf.DUMMYFUNCTION("""COMPUTED_VALUE"""),86481.0)</f>
        <v>86481</v>
      </c>
      <c r="B3993" s="2">
        <f>IFERROR(__xludf.DUMMYFUNCTION("""COMPUTED_VALUE"""),0.0)</f>
        <v>0</v>
      </c>
      <c r="C3993" s="2">
        <f>IFERROR(__xludf.DUMMYFUNCTION("""COMPUTED_VALUE"""),676.0)</f>
        <v>676</v>
      </c>
      <c r="D3993" s="3">
        <f>IFERROR(__xludf.DUMMYFUNCTION("""COMPUTED_VALUE"""),659.0)</f>
        <v>659</v>
      </c>
      <c r="E3993" s="2"/>
      <c r="F3993" s="2"/>
    </row>
    <row r="3994">
      <c r="A3994" s="2">
        <f>IFERROR(__xludf.DUMMYFUNCTION("""COMPUTED_VALUE"""),115747.0)</f>
        <v>115747</v>
      </c>
      <c r="B3994" s="2">
        <f>IFERROR(__xludf.DUMMYFUNCTION("""COMPUTED_VALUE"""),0.0)</f>
        <v>0</v>
      </c>
      <c r="C3994" s="2">
        <f>IFERROR(__xludf.DUMMYFUNCTION("""COMPUTED_VALUE"""),710.0)</f>
        <v>710</v>
      </c>
      <c r="D3994" s="3">
        <f>IFERROR(__xludf.DUMMYFUNCTION("""COMPUTED_VALUE"""),597.0)</f>
        <v>597</v>
      </c>
      <c r="E3994" s="2"/>
      <c r="F3994" s="2"/>
    </row>
    <row r="3995">
      <c r="A3995" s="2">
        <f>IFERROR(__xludf.DUMMYFUNCTION("""COMPUTED_VALUE"""),116187.0)</f>
        <v>116187</v>
      </c>
      <c r="B3995" s="2">
        <f>IFERROR(__xludf.DUMMYFUNCTION("""COMPUTED_VALUE"""),0.0)</f>
        <v>0</v>
      </c>
      <c r="C3995" s="2">
        <f>IFERROR(__xludf.DUMMYFUNCTION("""COMPUTED_VALUE"""),733.0)</f>
        <v>733</v>
      </c>
      <c r="D3995" s="3">
        <f>IFERROR(__xludf.DUMMYFUNCTION("""COMPUTED_VALUE"""),489.0)</f>
        <v>489</v>
      </c>
      <c r="E3995" s="2"/>
      <c r="F3995" s="2"/>
    </row>
    <row r="3996">
      <c r="A3996" s="2">
        <f>IFERROR(__xludf.DUMMYFUNCTION("""COMPUTED_VALUE"""),86162.0)</f>
        <v>86162</v>
      </c>
      <c r="B3996" s="2">
        <f>IFERROR(__xludf.DUMMYFUNCTION("""COMPUTED_VALUE"""),1.0)</f>
        <v>1</v>
      </c>
      <c r="C3996" s="2">
        <f>IFERROR(__xludf.DUMMYFUNCTION("""COMPUTED_VALUE"""),247.0)</f>
        <v>247</v>
      </c>
      <c r="D3996" s="3">
        <f>IFERROR(__xludf.DUMMYFUNCTION("""COMPUTED_VALUE"""),55.0)</f>
        <v>55</v>
      </c>
      <c r="E3996" s="2"/>
      <c r="F3996" s="2"/>
    </row>
    <row r="3997">
      <c r="A3997" s="2">
        <f>IFERROR(__xludf.DUMMYFUNCTION("""COMPUTED_VALUE"""),90654.0)</f>
        <v>90654</v>
      </c>
      <c r="B3997" s="2">
        <f>IFERROR(__xludf.DUMMYFUNCTION("""COMPUTED_VALUE"""),1.0)</f>
        <v>1</v>
      </c>
      <c r="C3997" s="2">
        <f>IFERROR(__xludf.DUMMYFUNCTION("""COMPUTED_VALUE"""),961.0)</f>
        <v>961</v>
      </c>
      <c r="D3997" s="3">
        <f>IFERROR(__xludf.DUMMYFUNCTION("""COMPUTED_VALUE"""),946.0)</f>
        <v>946</v>
      </c>
      <c r="E3997" s="2"/>
      <c r="F3997" s="2"/>
    </row>
    <row r="3998">
      <c r="A3998" s="2">
        <f>IFERROR(__xludf.DUMMYFUNCTION("""COMPUTED_VALUE"""),71743.0)</f>
        <v>71743</v>
      </c>
      <c r="B3998" s="2">
        <f>IFERROR(__xludf.DUMMYFUNCTION("""COMPUTED_VALUE"""),1.0)</f>
        <v>1</v>
      </c>
      <c r="C3998" s="2">
        <f>IFERROR(__xludf.DUMMYFUNCTION("""COMPUTED_VALUE"""),549.0)</f>
        <v>549</v>
      </c>
      <c r="D3998" s="3">
        <f>IFERROR(__xludf.DUMMYFUNCTION("""COMPUTED_VALUE"""),527.0)</f>
        <v>527</v>
      </c>
      <c r="E3998" s="2"/>
      <c r="F3998" s="2"/>
    </row>
    <row r="3999">
      <c r="A3999" s="2">
        <f>IFERROR(__xludf.DUMMYFUNCTION("""COMPUTED_VALUE"""),71744.0)</f>
        <v>71744</v>
      </c>
      <c r="B3999" s="2">
        <f>IFERROR(__xludf.DUMMYFUNCTION("""COMPUTED_VALUE"""),1.0)</f>
        <v>1</v>
      </c>
      <c r="C3999" s="2">
        <f>IFERROR(__xludf.DUMMYFUNCTION("""COMPUTED_VALUE"""),675.0)</f>
        <v>675</v>
      </c>
      <c r="D3999" s="3">
        <f>IFERROR(__xludf.DUMMYFUNCTION("""COMPUTED_VALUE"""),311.0)</f>
        <v>311</v>
      </c>
      <c r="E3999" s="2"/>
      <c r="F3999" s="2"/>
    </row>
    <row r="4000">
      <c r="A4000" s="2">
        <f>IFERROR(__xludf.DUMMYFUNCTION("""COMPUTED_VALUE"""),88590.0)</f>
        <v>88590</v>
      </c>
      <c r="B4000" s="2">
        <f>IFERROR(__xludf.DUMMYFUNCTION("""COMPUTED_VALUE"""),1.0)</f>
        <v>1</v>
      </c>
      <c r="C4000" s="2">
        <f>IFERROR(__xludf.DUMMYFUNCTION("""COMPUTED_VALUE"""),397.0)</f>
        <v>397</v>
      </c>
      <c r="D4000" s="3">
        <f>IFERROR(__xludf.DUMMYFUNCTION("""COMPUTED_VALUE"""),325.0)</f>
        <v>325</v>
      </c>
      <c r="E4000" s="2"/>
      <c r="F4000" s="2"/>
    </row>
    <row r="4001">
      <c r="A4001" s="2">
        <f>IFERROR(__xludf.DUMMYFUNCTION("""COMPUTED_VALUE"""),78940.0)</f>
        <v>78940</v>
      </c>
      <c r="B4001" s="2">
        <f>IFERROR(__xludf.DUMMYFUNCTION("""COMPUTED_VALUE"""),1.0)</f>
        <v>1</v>
      </c>
      <c r="C4001" s="2">
        <f>IFERROR(__xludf.DUMMYFUNCTION("""COMPUTED_VALUE"""),876.0)</f>
        <v>876</v>
      </c>
      <c r="D4001" s="3">
        <f>IFERROR(__xludf.DUMMYFUNCTION("""COMPUTED_VALUE"""),313.0)</f>
        <v>313</v>
      </c>
      <c r="E4001" s="2"/>
      <c r="F4001" s="2"/>
    </row>
    <row r="4002">
      <c r="A4002" s="2">
        <f>IFERROR(__xludf.DUMMYFUNCTION("""COMPUTED_VALUE"""),194752.0)</f>
        <v>194752</v>
      </c>
      <c r="B4002" s="2">
        <f>IFERROR(__xludf.DUMMYFUNCTION("""COMPUTED_VALUE"""),0.0)</f>
        <v>0</v>
      </c>
      <c r="C4002" s="2">
        <f>IFERROR(__xludf.DUMMYFUNCTION("""COMPUTED_VALUE"""),703.0)</f>
        <v>703</v>
      </c>
      <c r="D4002" s="3">
        <f>IFERROR(__xludf.DUMMYFUNCTION("""COMPUTED_VALUE"""),478.0)</f>
        <v>478</v>
      </c>
      <c r="E4002" s="2"/>
      <c r="F4002" s="2"/>
    </row>
    <row r="4003">
      <c r="A4003" s="2">
        <f>IFERROR(__xludf.DUMMYFUNCTION("""COMPUTED_VALUE"""),194748.0)</f>
        <v>194748</v>
      </c>
      <c r="B4003" s="2">
        <f>IFERROR(__xludf.DUMMYFUNCTION("""COMPUTED_VALUE"""),0.0)</f>
        <v>0</v>
      </c>
      <c r="C4003" s="2">
        <f>IFERROR(__xludf.DUMMYFUNCTION("""COMPUTED_VALUE"""),18.0)</f>
        <v>18</v>
      </c>
      <c r="D4003" s="3">
        <f>IFERROR(__xludf.DUMMYFUNCTION("""COMPUTED_VALUE"""),12.0)</f>
        <v>12</v>
      </c>
      <c r="E4003" s="2"/>
      <c r="F4003" s="2"/>
    </row>
    <row r="4004">
      <c r="A4004" s="2">
        <f>IFERROR(__xludf.DUMMYFUNCTION("""COMPUTED_VALUE"""),111580.0)</f>
        <v>111580</v>
      </c>
      <c r="B4004" s="2">
        <f>IFERROR(__xludf.DUMMYFUNCTION("""COMPUTED_VALUE"""),1.0)</f>
        <v>1</v>
      </c>
      <c r="C4004" s="2">
        <f>IFERROR(__xludf.DUMMYFUNCTION("""COMPUTED_VALUE"""),27.0)</f>
        <v>27</v>
      </c>
      <c r="D4004" s="3">
        <f>IFERROR(__xludf.DUMMYFUNCTION("""COMPUTED_VALUE"""),7.0)</f>
        <v>7</v>
      </c>
      <c r="E4004" s="2"/>
      <c r="F4004" s="2"/>
    </row>
    <row r="4005">
      <c r="A4005" s="2">
        <f>IFERROR(__xludf.DUMMYFUNCTION("""COMPUTED_VALUE"""),194741.0)</f>
        <v>194741</v>
      </c>
      <c r="B4005" s="2">
        <f>IFERROR(__xludf.DUMMYFUNCTION("""COMPUTED_VALUE"""),1.0)</f>
        <v>1</v>
      </c>
      <c r="C4005" s="2">
        <f>IFERROR(__xludf.DUMMYFUNCTION("""COMPUTED_VALUE"""),397.0)</f>
        <v>397</v>
      </c>
      <c r="D4005" s="3">
        <f>IFERROR(__xludf.DUMMYFUNCTION("""COMPUTED_VALUE"""),227.0)</f>
        <v>227</v>
      </c>
      <c r="E4005" s="2"/>
      <c r="F4005" s="2"/>
    </row>
    <row r="4006">
      <c r="A4006" s="2">
        <f>IFERROR(__xludf.DUMMYFUNCTION("""COMPUTED_VALUE"""),107082.0)</f>
        <v>107082</v>
      </c>
      <c r="B4006" s="2">
        <f>IFERROR(__xludf.DUMMYFUNCTION("""COMPUTED_VALUE"""),0.0)</f>
        <v>0</v>
      </c>
      <c r="C4006" s="2">
        <f>IFERROR(__xludf.DUMMYFUNCTION("""COMPUTED_VALUE"""),133.0)</f>
        <v>133</v>
      </c>
      <c r="D4006" s="3">
        <f>IFERROR(__xludf.DUMMYFUNCTION("""COMPUTED_VALUE"""),42.0)</f>
        <v>42</v>
      </c>
      <c r="E4006" s="2"/>
      <c r="F4006" s="2"/>
    </row>
    <row r="4007">
      <c r="A4007" s="2">
        <f>IFERROR(__xludf.DUMMYFUNCTION("""COMPUTED_VALUE"""),83092.0)</f>
        <v>83092</v>
      </c>
      <c r="B4007" s="2">
        <f>IFERROR(__xludf.DUMMYFUNCTION("""COMPUTED_VALUE"""),0.0)</f>
        <v>0</v>
      </c>
      <c r="C4007" s="2">
        <f>IFERROR(__xludf.DUMMYFUNCTION("""COMPUTED_VALUE"""),182.0)</f>
        <v>182</v>
      </c>
      <c r="D4007" s="3">
        <f>IFERROR(__xludf.DUMMYFUNCTION("""COMPUTED_VALUE"""),114.0)</f>
        <v>114</v>
      </c>
      <c r="E4007" s="2"/>
      <c r="F4007" s="2"/>
    </row>
    <row r="4008">
      <c r="A4008" s="2">
        <f>IFERROR(__xludf.DUMMYFUNCTION("""COMPUTED_VALUE"""),111581.0)</f>
        <v>111581</v>
      </c>
      <c r="B4008" s="2">
        <f>IFERROR(__xludf.DUMMYFUNCTION("""COMPUTED_VALUE"""),0.0)</f>
        <v>0</v>
      </c>
      <c r="C4008" s="2">
        <f>IFERROR(__xludf.DUMMYFUNCTION("""COMPUTED_VALUE"""),548.0)</f>
        <v>548</v>
      </c>
      <c r="D4008" s="3">
        <f>IFERROR(__xludf.DUMMYFUNCTION("""COMPUTED_VALUE"""),234.0)</f>
        <v>234</v>
      </c>
      <c r="E4008" s="2"/>
      <c r="F4008" s="2"/>
    </row>
    <row r="4009">
      <c r="A4009" s="2">
        <f>IFERROR(__xludf.DUMMYFUNCTION("""COMPUTED_VALUE"""),88402.0)</f>
        <v>88402</v>
      </c>
      <c r="B4009" s="2">
        <f>IFERROR(__xludf.DUMMYFUNCTION("""COMPUTED_VALUE"""),0.0)</f>
        <v>0</v>
      </c>
      <c r="C4009" s="2">
        <f>IFERROR(__xludf.DUMMYFUNCTION("""COMPUTED_VALUE"""),114.0)</f>
        <v>114</v>
      </c>
      <c r="D4009" s="3">
        <f>IFERROR(__xludf.DUMMYFUNCTION("""COMPUTED_VALUE"""),49.0)</f>
        <v>49</v>
      </c>
      <c r="E4009" s="2"/>
      <c r="F4009" s="2"/>
    </row>
    <row r="4010">
      <c r="A4010" s="2">
        <f>IFERROR(__xludf.DUMMYFUNCTION("""COMPUTED_VALUE"""),88413.0)</f>
        <v>88413</v>
      </c>
      <c r="B4010" s="2">
        <f>IFERROR(__xludf.DUMMYFUNCTION("""COMPUTED_VALUE"""),0.0)</f>
        <v>0</v>
      </c>
      <c r="C4010" s="2">
        <f>IFERROR(__xludf.DUMMYFUNCTION("""COMPUTED_VALUE"""),501.0)</f>
        <v>501</v>
      </c>
      <c r="D4010" s="3">
        <f>IFERROR(__xludf.DUMMYFUNCTION("""COMPUTED_VALUE"""),443.0)</f>
        <v>443</v>
      </c>
      <c r="E4010" s="2"/>
      <c r="F4010" s="2"/>
    </row>
    <row r="4011">
      <c r="A4011" s="2">
        <f>IFERROR(__xludf.DUMMYFUNCTION("""COMPUTED_VALUE"""),86560.0)</f>
        <v>86560</v>
      </c>
      <c r="B4011" s="2">
        <f>IFERROR(__xludf.DUMMYFUNCTION("""COMPUTED_VALUE"""),0.0)</f>
        <v>0</v>
      </c>
      <c r="C4011" s="2">
        <f>IFERROR(__xludf.DUMMYFUNCTION("""COMPUTED_VALUE"""),35.0)</f>
        <v>35</v>
      </c>
      <c r="D4011" s="3">
        <f>IFERROR(__xludf.DUMMYFUNCTION("""COMPUTED_VALUE"""),0.0)</f>
        <v>0</v>
      </c>
      <c r="E4011" s="2"/>
      <c r="F4011" s="2"/>
    </row>
    <row r="4012">
      <c r="A4012" s="2">
        <f>IFERROR(__xludf.DUMMYFUNCTION("""COMPUTED_VALUE"""),127584.0)</f>
        <v>127584</v>
      </c>
      <c r="B4012" s="2">
        <f>IFERROR(__xludf.DUMMYFUNCTION("""COMPUTED_VALUE"""),0.0)</f>
        <v>0</v>
      </c>
      <c r="C4012" s="2">
        <f>IFERROR(__xludf.DUMMYFUNCTION("""COMPUTED_VALUE"""),795.0)</f>
        <v>795</v>
      </c>
      <c r="D4012" s="3">
        <f>IFERROR(__xludf.DUMMYFUNCTION("""COMPUTED_VALUE"""),152.0)</f>
        <v>152</v>
      </c>
      <c r="E4012" s="2"/>
      <c r="F4012" s="2"/>
    </row>
    <row r="4013">
      <c r="A4013" s="2">
        <f>IFERROR(__xludf.DUMMYFUNCTION("""COMPUTED_VALUE"""),122254.0)</f>
        <v>122254</v>
      </c>
      <c r="B4013" s="2">
        <f>IFERROR(__xludf.DUMMYFUNCTION("""COMPUTED_VALUE"""),1.0)</f>
        <v>1</v>
      </c>
      <c r="C4013" s="2">
        <f>IFERROR(__xludf.DUMMYFUNCTION("""COMPUTED_VALUE"""),537.0)</f>
        <v>537</v>
      </c>
      <c r="D4013" s="3">
        <f>IFERROR(__xludf.DUMMYFUNCTION("""COMPUTED_VALUE"""),23.0)</f>
        <v>23</v>
      </c>
      <c r="E4013" s="2"/>
      <c r="F4013" s="2"/>
    </row>
    <row r="4014">
      <c r="A4014" s="2">
        <f>IFERROR(__xludf.DUMMYFUNCTION("""COMPUTED_VALUE"""),118849.0)</f>
        <v>118849</v>
      </c>
      <c r="B4014" s="2">
        <f>IFERROR(__xludf.DUMMYFUNCTION("""COMPUTED_VALUE"""),0.0)</f>
        <v>0</v>
      </c>
      <c r="C4014" s="2">
        <f>IFERROR(__xludf.DUMMYFUNCTION("""COMPUTED_VALUE"""),770.0)</f>
        <v>770</v>
      </c>
      <c r="D4014" s="3">
        <f>IFERROR(__xludf.DUMMYFUNCTION("""COMPUTED_VALUE"""),642.0)</f>
        <v>642</v>
      </c>
      <c r="E4014" s="2"/>
      <c r="F4014" s="2"/>
    </row>
    <row r="4015">
      <c r="A4015" s="2">
        <f>IFERROR(__xludf.DUMMYFUNCTION("""COMPUTED_VALUE"""),107187.0)</f>
        <v>107187</v>
      </c>
      <c r="B4015" s="2">
        <f>IFERROR(__xludf.DUMMYFUNCTION("""COMPUTED_VALUE"""),1.0)</f>
        <v>1</v>
      </c>
      <c r="C4015" s="2">
        <f>IFERROR(__xludf.DUMMYFUNCTION("""COMPUTED_VALUE"""),82.0)</f>
        <v>82</v>
      </c>
      <c r="D4015" s="3">
        <f>IFERROR(__xludf.DUMMYFUNCTION("""COMPUTED_VALUE"""),57.0)</f>
        <v>57</v>
      </c>
      <c r="E4015" s="2"/>
      <c r="F4015" s="2"/>
    </row>
    <row r="4016">
      <c r="A4016" s="2">
        <f>IFERROR(__xludf.DUMMYFUNCTION("""COMPUTED_VALUE"""),119932.0)</f>
        <v>119932</v>
      </c>
      <c r="B4016" s="2">
        <f>IFERROR(__xludf.DUMMYFUNCTION("""COMPUTED_VALUE"""),1.0)</f>
        <v>1</v>
      </c>
      <c r="C4016" s="2">
        <f>IFERROR(__xludf.DUMMYFUNCTION("""COMPUTED_VALUE"""),473.0)</f>
        <v>473</v>
      </c>
      <c r="D4016" s="3">
        <f>IFERROR(__xludf.DUMMYFUNCTION("""COMPUTED_VALUE"""),313.0)</f>
        <v>313</v>
      </c>
      <c r="E4016" s="2"/>
      <c r="F4016" s="2"/>
    </row>
    <row r="4017">
      <c r="A4017" s="2">
        <f>IFERROR(__xludf.DUMMYFUNCTION("""COMPUTED_VALUE"""),92045.0)</f>
        <v>92045</v>
      </c>
      <c r="B4017" s="2">
        <f>IFERROR(__xludf.DUMMYFUNCTION("""COMPUTED_VALUE"""),1.0)</f>
        <v>1</v>
      </c>
      <c r="C4017" s="2">
        <f>IFERROR(__xludf.DUMMYFUNCTION("""COMPUTED_VALUE"""),387.0)</f>
        <v>387</v>
      </c>
      <c r="D4017" s="3">
        <f>IFERROR(__xludf.DUMMYFUNCTION("""COMPUTED_VALUE"""),197.0)</f>
        <v>197</v>
      </c>
      <c r="E4017" s="2"/>
      <c r="F4017" s="2"/>
    </row>
    <row r="4018">
      <c r="A4018" s="2">
        <f>IFERROR(__xludf.DUMMYFUNCTION("""COMPUTED_VALUE"""),82168.0)</f>
        <v>82168</v>
      </c>
      <c r="B4018" s="2">
        <f>IFERROR(__xludf.DUMMYFUNCTION("""COMPUTED_VALUE"""),0.0)</f>
        <v>0</v>
      </c>
      <c r="C4018" s="2">
        <f>IFERROR(__xludf.DUMMYFUNCTION("""COMPUTED_VALUE"""),96.0)</f>
        <v>96</v>
      </c>
      <c r="D4018" s="3">
        <f>IFERROR(__xludf.DUMMYFUNCTION("""COMPUTED_VALUE"""),96.0)</f>
        <v>96</v>
      </c>
      <c r="E4018" s="2"/>
      <c r="F4018" s="2"/>
    </row>
    <row r="4019">
      <c r="A4019" s="2">
        <f>IFERROR(__xludf.DUMMYFUNCTION("""COMPUTED_VALUE"""),79263.0)</f>
        <v>79263</v>
      </c>
      <c r="B4019" s="2">
        <f>IFERROR(__xludf.DUMMYFUNCTION("""COMPUTED_VALUE"""),0.0)</f>
        <v>0</v>
      </c>
      <c r="C4019" s="2">
        <f>IFERROR(__xludf.DUMMYFUNCTION("""COMPUTED_VALUE"""),72.0)</f>
        <v>72</v>
      </c>
      <c r="D4019" s="3">
        <f>IFERROR(__xludf.DUMMYFUNCTION("""COMPUTED_VALUE"""),5.0)</f>
        <v>5</v>
      </c>
      <c r="E4019" s="2"/>
      <c r="F4019" s="2"/>
    </row>
    <row r="4020">
      <c r="A4020" s="2">
        <f>IFERROR(__xludf.DUMMYFUNCTION("""COMPUTED_VALUE"""),92044.0)</f>
        <v>92044</v>
      </c>
      <c r="B4020" s="2">
        <f>IFERROR(__xludf.DUMMYFUNCTION("""COMPUTED_VALUE"""),1.0)</f>
        <v>1</v>
      </c>
      <c r="C4020" s="2">
        <f>IFERROR(__xludf.DUMMYFUNCTION("""COMPUTED_VALUE"""),90.0)</f>
        <v>90</v>
      </c>
      <c r="D4020" s="3">
        <f>IFERROR(__xludf.DUMMYFUNCTION("""COMPUTED_VALUE"""),36.0)</f>
        <v>36</v>
      </c>
      <c r="E4020" s="2"/>
      <c r="F4020" s="2"/>
    </row>
    <row r="4021">
      <c r="A4021" s="2">
        <f>IFERROR(__xludf.DUMMYFUNCTION("""COMPUTED_VALUE"""),114725.0)</f>
        <v>114725</v>
      </c>
      <c r="B4021" s="2">
        <f>IFERROR(__xludf.DUMMYFUNCTION("""COMPUTED_VALUE"""),1.0)</f>
        <v>1</v>
      </c>
      <c r="C4021" s="2">
        <f>IFERROR(__xludf.DUMMYFUNCTION("""COMPUTED_VALUE"""),780.0)</f>
        <v>780</v>
      </c>
      <c r="D4021" s="3">
        <f>IFERROR(__xludf.DUMMYFUNCTION("""COMPUTED_VALUE"""),142.0)</f>
        <v>142</v>
      </c>
      <c r="E4021" s="2"/>
      <c r="F4021" s="2"/>
    </row>
    <row r="4022">
      <c r="A4022" s="2">
        <f>IFERROR(__xludf.DUMMYFUNCTION("""COMPUTED_VALUE"""),50684.0)</f>
        <v>50684</v>
      </c>
      <c r="B4022" s="2">
        <f>IFERROR(__xludf.DUMMYFUNCTION("""COMPUTED_VALUE"""),0.0)</f>
        <v>0</v>
      </c>
      <c r="C4022" s="2">
        <f>IFERROR(__xludf.DUMMYFUNCTION("""COMPUTED_VALUE"""),425.0)</f>
        <v>425</v>
      </c>
      <c r="D4022" s="3">
        <f>IFERROR(__xludf.DUMMYFUNCTION("""COMPUTED_VALUE"""),36.0)</f>
        <v>36</v>
      </c>
      <c r="E4022" s="2"/>
      <c r="F4022" s="2"/>
    </row>
    <row r="4023">
      <c r="A4023" s="2">
        <f>IFERROR(__xludf.DUMMYFUNCTION("""COMPUTED_VALUE"""),82167.0)</f>
        <v>82167</v>
      </c>
      <c r="B4023" s="2">
        <f>IFERROR(__xludf.DUMMYFUNCTION("""COMPUTED_VALUE"""),1.0)</f>
        <v>1</v>
      </c>
      <c r="C4023" s="2">
        <f>IFERROR(__xludf.DUMMYFUNCTION("""COMPUTED_VALUE"""),74.0)</f>
        <v>74</v>
      </c>
      <c r="D4023" s="3">
        <f>IFERROR(__xludf.DUMMYFUNCTION("""COMPUTED_VALUE"""),0.0)</f>
        <v>0</v>
      </c>
      <c r="E4023" s="2"/>
      <c r="F4023" s="2"/>
    </row>
    <row r="4024">
      <c r="A4024" s="2">
        <f>IFERROR(__xludf.DUMMYFUNCTION("""COMPUTED_VALUE"""),68513.0)</f>
        <v>68513</v>
      </c>
      <c r="B4024" s="2">
        <f>IFERROR(__xludf.DUMMYFUNCTION("""COMPUTED_VALUE"""),0.0)</f>
        <v>0</v>
      </c>
      <c r="C4024" s="2">
        <f>IFERROR(__xludf.DUMMYFUNCTION("""COMPUTED_VALUE"""),394.0)</f>
        <v>394</v>
      </c>
      <c r="D4024" s="3">
        <f>IFERROR(__xludf.DUMMYFUNCTION("""COMPUTED_VALUE"""),313.0)</f>
        <v>313</v>
      </c>
      <c r="E4024" s="2"/>
      <c r="F4024" s="2"/>
    </row>
    <row r="4025">
      <c r="A4025" s="2">
        <f>IFERROR(__xludf.DUMMYFUNCTION("""COMPUTED_VALUE"""),76566.0)</f>
        <v>76566</v>
      </c>
      <c r="B4025" s="2">
        <f>IFERROR(__xludf.DUMMYFUNCTION("""COMPUTED_VALUE"""),1.0)</f>
        <v>1</v>
      </c>
      <c r="C4025" s="2">
        <f>IFERROR(__xludf.DUMMYFUNCTION("""COMPUTED_VALUE"""),468.0)</f>
        <v>468</v>
      </c>
      <c r="D4025" s="3">
        <f>IFERROR(__xludf.DUMMYFUNCTION("""COMPUTED_VALUE"""),420.0)</f>
        <v>420</v>
      </c>
      <c r="E4025" s="2"/>
      <c r="F4025" s="2"/>
    </row>
    <row r="4026">
      <c r="A4026" s="2">
        <f>IFERROR(__xludf.DUMMYFUNCTION("""COMPUTED_VALUE"""),119088.0)</f>
        <v>119088</v>
      </c>
      <c r="B4026" s="2">
        <f>IFERROR(__xludf.DUMMYFUNCTION("""COMPUTED_VALUE"""),1.0)</f>
        <v>1</v>
      </c>
      <c r="C4026" s="2">
        <f>IFERROR(__xludf.DUMMYFUNCTION("""COMPUTED_VALUE"""),371.0)</f>
        <v>371</v>
      </c>
      <c r="D4026" s="3">
        <f>IFERROR(__xludf.DUMMYFUNCTION("""COMPUTED_VALUE"""),30.0)</f>
        <v>30</v>
      </c>
      <c r="E4026" s="2"/>
      <c r="F4026" s="2"/>
    </row>
    <row r="4027">
      <c r="A4027" s="2">
        <f>IFERROR(__xludf.DUMMYFUNCTION("""COMPUTED_VALUE"""),119431.0)</f>
        <v>119431</v>
      </c>
      <c r="B4027" s="2">
        <f>IFERROR(__xludf.DUMMYFUNCTION("""COMPUTED_VALUE"""),0.0)</f>
        <v>0</v>
      </c>
      <c r="C4027" s="2">
        <f>IFERROR(__xludf.DUMMYFUNCTION("""COMPUTED_VALUE"""),47.0)</f>
        <v>47</v>
      </c>
      <c r="D4027" s="3">
        <f>IFERROR(__xludf.DUMMYFUNCTION("""COMPUTED_VALUE"""),21.0)</f>
        <v>21</v>
      </c>
      <c r="E4027" s="2"/>
      <c r="F4027" s="2"/>
    </row>
    <row r="4028">
      <c r="A4028" s="2">
        <f>IFERROR(__xludf.DUMMYFUNCTION("""COMPUTED_VALUE"""),101279.0)</f>
        <v>101279</v>
      </c>
      <c r="B4028" s="2">
        <f>IFERROR(__xludf.DUMMYFUNCTION("""COMPUTED_VALUE"""),1.0)</f>
        <v>1</v>
      </c>
      <c r="C4028" s="2">
        <f>IFERROR(__xludf.DUMMYFUNCTION("""COMPUTED_VALUE"""),533.0)</f>
        <v>533</v>
      </c>
      <c r="D4028" s="3">
        <f>IFERROR(__xludf.DUMMYFUNCTION("""COMPUTED_VALUE"""),235.0)</f>
        <v>235</v>
      </c>
      <c r="E4028" s="2"/>
      <c r="F4028" s="2"/>
    </row>
    <row r="4029">
      <c r="A4029" s="2">
        <f>IFERROR(__xludf.DUMMYFUNCTION("""COMPUTED_VALUE"""),101270.0)</f>
        <v>101270</v>
      </c>
      <c r="B4029" s="2">
        <f>IFERROR(__xludf.DUMMYFUNCTION("""COMPUTED_VALUE"""),0.0)</f>
        <v>0</v>
      </c>
      <c r="C4029" s="2">
        <f>IFERROR(__xludf.DUMMYFUNCTION("""COMPUTED_VALUE"""),513.0)</f>
        <v>513</v>
      </c>
      <c r="D4029" s="3">
        <f>IFERROR(__xludf.DUMMYFUNCTION("""COMPUTED_VALUE"""),99.0)</f>
        <v>99</v>
      </c>
      <c r="E4029" s="2"/>
      <c r="F4029" s="2"/>
    </row>
    <row r="4030">
      <c r="A4030" s="2">
        <f>IFERROR(__xludf.DUMMYFUNCTION("""COMPUTED_VALUE"""),101282.0)</f>
        <v>101282</v>
      </c>
      <c r="B4030" s="2">
        <f>IFERROR(__xludf.DUMMYFUNCTION("""COMPUTED_VALUE"""),0.0)</f>
        <v>0</v>
      </c>
      <c r="C4030" s="2">
        <f>IFERROR(__xludf.DUMMYFUNCTION("""COMPUTED_VALUE"""),287.0)</f>
        <v>287</v>
      </c>
      <c r="D4030" s="3">
        <f>IFERROR(__xludf.DUMMYFUNCTION("""COMPUTED_VALUE"""),163.0)</f>
        <v>163</v>
      </c>
      <c r="E4030" s="2"/>
      <c r="F4030" s="2"/>
    </row>
    <row r="4031">
      <c r="A4031" s="2">
        <f>IFERROR(__xludf.DUMMYFUNCTION("""COMPUTED_VALUE"""),70291.0)</f>
        <v>70291</v>
      </c>
      <c r="B4031" s="2">
        <f>IFERROR(__xludf.DUMMYFUNCTION("""COMPUTED_VALUE"""),1.0)</f>
        <v>1</v>
      </c>
      <c r="C4031" s="2">
        <f>IFERROR(__xludf.DUMMYFUNCTION("""COMPUTED_VALUE"""),509.0)</f>
        <v>509</v>
      </c>
      <c r="D4031" s="3">
        <f>IFERROR(__xludf.DUMMYFUNCTION("""COMPUTED_VALUE"""),123.0)</f>
        <v>123</v>
      </c>
      <c r="E4031" s="2"/>
      <c r="F4031" s="2"/>
    </row>
    <row r="4032">
      <c r="A4032" s="2">
        <f>IFERROR(__xludf.DUMMYFUNCTION("""COMPUTED_VALUE"""),70290.0)</f>
        <v>70290</v>
      </c>
      <c r="B4032" s="2">
        <f>IFERROR(__xludf.DUMMYFUNCTION("""COMPUTED_VALUE"""),1.0)</f>
        <v>1</v>
      </c>
      <c r="C4032" s="2">
        <f>IFERROR(__xludf.DUMMYFUNCTION("""COMPUTED_VALUE"""),990.0)</f>
        <v>990</v>
      </c>
      <c r="D4032" s="3">
        <f>IFERROR(__xludf.DUMMYFUNCTION("""COMPUTED_VALUE"""),856.0)</f>
        <v>856</v>
      </c>
      <c r="E4032" s="2"/>
      <c r="F4032" s="2"/>
    </row>
    <row r="4033">
      <c r="A4033" s="2">
        <f>IFERROR(__xludf.DUMMYFUNCTION("""COMPUTED_VALUE"""),19188.0)</f>
        <v>19188</v>
      </c>
      <c r="B4033" s="2">
        <f>IFERROR(__xludf.DUMMYFUNCTION("""COMPUTED_VALUE"""),1.0)</f>
        <v>1</v>
      </c>
      <c r="C4033" s="2">
        <f>IFERROR(__xludf.DUMMYFUNCTION("""COMPUTED_VALUE"""),22.0)</f>
        <v>22</v>
      </c>
      <c r="D4033" s="3">
        <f>IFERROR(__xludf.DUMMYFUNCTION("""COMPUTED_VALUE"""),22.0)</f>
        <v>22</v>
      </c>
      <c r="E4033" s="2"/>
      <c r="F4033" s="2"/>
    </row>
    <row r="4034">
      <c r="A4034" s="2">
        <f>IFERROR(__xludf.DUMMYFUNCTION("""COMPUTED_VALUE"""),41117.0)</f>
        <v>41117</v>
      </c>
      <c r="B4034" s="2">
        <f>IFERROR(__xludf.DUMMYFUNCTION("""COMPUTED_VALUE"""),0.0)</f>
        <v>0</v>
      </c>
      <c r="C4034" s="2">
        <f>IFERROR(__xludf.DUMMYFUNCTION("""COMPUTED_VALUE"""),391.0)</f>
        <v>391</v>
      </c>
      <c r="D4034" s="3">
        <f>IFERROR(__xludf.DUMMYFUNCTION("""COMPUTED_VALUE"""),342.0)</f>
        <v>342</v>
      </c>
      <c r="E4034" s="2"/>
      <c r="F4034" s="2"/>
    </row>
    <row r="4035">
      <c r="A4035" s="2">
        <f>IFERROR(__xludf.DUMMYFUNCTION("""COMPUTED_VALUE"""),30625.0)</f>
        <v>30625</v>
      </c>
      <c r="B4035" s="2">
        <f>IFERROR(__xludf.DUMMYFUNCTION("""COMPUTED_VALUE"""),0.0)</f>
        <v>0</v>
      </c>
      <c r="C4035" s="2">
        <f>IFERROR(__xludf.DUMMYFUNCTION("""COMPUTED_VALUE"""),882.0)</f>
        <v>882</v>
      </c>
      <c r="D4035" s="3">
        <f>IFERROR(__xludf.DUMMYFUNCTION("""COMPUTED_VALUE"""),398.0)</f>
        <v>398</v>
      </c>
      <c r="E4035" s="2"/>
      <c r="F4035" s="2"/>
    </row>
    <row r="4036">
      <c r="A4036" s="2">
        <f>IFERROR(__xludf.DUMMYFUNCTION("""COMPUTED_VALUE"""),11462.0)</f>
        <v>11462</v>
      </c>
      <c r="B4036" s="2">
        <f>IFERROR(__xludf.DUMMYFUNCTION("""COMPUTED_VALUE"""),0.0)</f>
        <v>0</v>
      </c>
      <c r="C4036" s="2">
        <f>IFERROR(__xludf.DUMMYFUNCTION("""COMPUTED_VALUE"""),144.0)</f>
        <v>144</v>
      </c>
      <c r="D4036" s="3">
        <f>IFERROR(__xludf.DUMMYFUNCTION("""COMPUTED_VALUE"""),72.0)</f>
        <v>72</v>
      </c>
      <c r="E4036" s="2"/>
      <c r="F4036" s="2"/>
    </row>
    <row r="4037">
      <c r="A4037" s="2">
        <f>IFERROR(__xludf.DUMMYFUNCTION("""COMPUTED_VALUE"""),120733.0)</f>
        <v>120733</v>
      </c>
      <c r="B4037" s="2">
        <f>IFERROR(__xludf.DUMMYFUNCTION("""COMPUTED_VALUE"""),0.0)</f>
        <v>0</v>
      </c>
      <c r="C4037" s="2">
        <f>IFERROR(__xludf.DUMMYFUNCTION("""COMPUTED_VALUE"""),605.0)</f>
        <v>605</v>
      </c>
      <c r="D4037" s="3">
        <f>IFERROR(__xludf.DUMMYFUNCTION("""COMPUTED_VALUE"""),118.0)</f>
        <v>118</v>
      </c>
      <c r="E4037" s="2"/>
      <c r="F4037" s="2"/>
    </row>
    <row r="4038">
      <c r="A4038" s="2">
        <f>IFERROR(__xludf.DUMMYFUNCTION("""COMPUTED_VALUE"""),83487.0)</f>
        <v>83487</v>
      </c>
      <c r="B4038" s="2">
        <f>IFERROR(__xludf.DUMMYFUNCTION("""COMPUTED_VALUE"""),1.0)</f>
        <v>1</v>
      </c>
      <c r="C4038" s="2">
        <f>IFERROR(__xludf.DUMMYFUNCTION("""COMPUTED_VALUE"""),755.0)</f>
        <v>755</v>
      </c>
      <c r="D4038" s="3">
        <f>IFERROR(__xludf.DUMMYFUNCTION("""COMPUTED_VALUE"""),155.0)</f>
        <v>155</v>
      </c>
      <c r="E4038" s="2"/>
      <c r="F4038" s="2"/>
    </row>
    <row r="4039">
      <c r="A4039" s="2">
        <f>IFERROR(__xludf.DUMMYFUNCTION("""COMPUTED_VALUE"""),117610.0)</f>
        <v>117610</v>
      </c>
      <c r="B4039" s="2">
        <f>IFERROR(__xludf.DUMMYFUNCTION("""COMPUTED_VALUE"""),0.0)</f>
        <v>0</v>
      </c>
      <c r="C4039" s="2">
        <f>IFERROR(__xludf.DUMMYFUNCTION("""COMPUTED_VALUE"""),485.0)</f>
        <v>485</v>
      </c>
      <c r="D4039" s="3">
        <f>IFERROR(__xludf.DUMMYFUNCTION("""COMPUTED_VALUE"""),136.0)</f>
        <v>136</v>
      </c>
      <c r="E4039" s="2"/>
      <c r="F4039" s="2"/>
    </row>
    <row r="4040">
      <c r="A4040" s="2">
        <f>IFERROR(__xludf.DUMMYFUNCTION("""COMPUTED_VALUE"""),112177.0)</f>
        <v>112177</v>
      </c>
      <c r="B4040" s="2">
        <f>IFERROR(__xludf.DUMMYFUNCTION("""COMPUTED_VALUE"""),1.0)</f>
        <v>1</v>
      </c>
      <c r="C4040" s="2">
        <f>IFERROR(__xludf.DUMMYFUNCTION("""COMPUTED_VALUE"""),670.0)</f>
        <v>670</v>
      </c>
      <c r="D4040" s="3">
        <f>IFERROR(__xludf.DUMMYFUNCTION("""COMPUTED_VALUE"""),391.0)</f>
        <v>391</v>
      </c>
      <c r="E4040" s="2"/>
      <c r="F4040" s="2"/>
    </row>
    <row r="4041">
      <c r="A4041" s="2">
        <f>IFERROR(__xludf.DUMMYFUNCTION("""COMPUTED_VALUE"""),11412.0)</f>
        <v>11412</v>
      </c>
      <c r="B4041" s="2">
        <f>IFERROR(__xludf.DUMMYFUNCTION("""COMPUTED_VALUE"""),0.0)</f>
        <v>0</v>
      </c>
      <c r="C4041" s="2">
        <f>IFERROR(__xludf.DUMMYFUNCTION("""COMPUTED_VALUE"""),76.0)</f>
        <v>76</v>
      </c>
      <c r="D4041" s="3">
        <f>IFERROR(__xludf.DUMMYFUNCTION("""COMPUTED_VALUE"""),11.0)</f>
        <v>11</v>
      </c>
      <c r="E4041" s="2"/>
      <c r="F4041" s="2"/>
    </row>
    <row r="4042">
      <c r="A4042" s="2">
        <f>IFERROR(__xludf.DUMMYFUNCTION("""COMPUTED_VALUE"""),76842.0)</f>
        <v>76842</v>
      </c>
      <c r="B4042" s="2">
        <f>IFERROR(__xludf.DUMMYFUNCTION("""COMPUTED_VALUE"""),1.0)</f>
        <v>1</v>
      </c>
      <c r="C4042" s="2">
        <f>IFERROR(__xludf.DUMMYFUNCTION("""COMPUTED_VALUE"""),883.0)</f>
        <v>883</v>
      </c>
      <c r="D4042" s="3">
        <f>IFERROR(__xludf.DUMMYFUNCTION("""COMPUTED_VALUE"""),20.0)</f>
        <v>20</v>
      </c>
      <c r="E4042" s="2"/>
      <c r="F4042" s="2"/>
    </row>
    <row r="4043">
      <c r="A4043" s="2">
        <f>IFERROR(__xludf.DUMMYFUNCTION("""COMPUTED_VALUE"""),78366.0)</f>
        <v>78366</v>
      </c>
      <c r="B4043" s="2">
        <f>IFERROR(__xludf.DUMMYFUNCTION("""COMPUTED_VALUE"""),0.0)</f>
        <v>0</v>
      </c>
      <c r="C4043" s="2">
        <f>IFERROR(__xludf.DUMMYFUNCTION("""COMPUTED_VALUE"""),423.0)</f>
        <v>423</v>
      </c>
      <c r="D4043" s="3">
        <f>IFERROR(__xludf.DUMMYFUNCTION("""COMPUTED_VALUE"""),324.0)</f>
        <v>324</v>
      </c>
      <c r="E4043" s="2"/>
      <c r="F4043" s="2"/>
    </row>
    <row r="4044">
      <c r="A4044" s="2">
        <f>IFERROR(__xludf.DUMMYFUNCTION("""COMPUTED_VALUE"""),98984.0)</f>
        <v>98984</v>
      </c>
      <c r="B4044" s="2">
        <f>IFERROR(__xludf.DUMMYFUNCTION("""COMPUTED_VALUE"""),0.0)</f>
        <v>0</v>
      </c>
      <c r="C4044" s="2">
        <f>IFERROR(__xludf.DUMMYFUNCTION("""COMPUTED_VALUE"""),32.0)</f>
        <v>32</v>
      </c>
      <c r="D4044" s="3">
        <f>IFERROR(__xludf.DUMMYFUNCTION("""COMPUTED_VALUE"""),30.0)</f>
        <v>30</v>
      </c>
      <c r="E4044" s="2"/>
      <c r="F4044" s="2"/>
    </row>
    <row r="4045">
      <c r="A4045" s="2">
        <f>IFERROR(__xludf.DUMMYFUNCTION("""COMPUTED_VALUE"""),120310.0)</f>
        <v>120310</v>
      </c>
      <c r="B4045" s="2">
        <f>IFERROR(__xludf.DUMMYFUNCTION("""COMPUTED_VALUE"""),0.0)</f>
        <v>0</v>
      </c>
      <c r="C4045" s="2">
        <f>IFERROR(__xludf.DUMMYFUNCTION("""COMPUTED_VALUE"""),86.0)</f>
        <v>86</v>
      </c>
      <c r="D4045" s="3">
        <f>IFERROR(__xludf.DUMMYFUNCTION("""COMPUTED_VALUE"""),55.0)</f>
        <v>55</v>
      </c>
      <c r="E4045" s="2"/>
      <c r="F4045" s="2"/>
    </row>
    <row r="4046">
      <c r="A4046" s="2">
        <f>IFERROR(__xludf.DUMMYFUNCTION("""COMPUTED_VALUE"""),116277.0)</f>
        <v>116277</v>
      </c>
      <c r="B4046" s="2">
        <f>IFERROR(__xludf.DUMMYFUNCTION("""COMPUTED_VALUE"""),0.0)</f>
        <v>0</v>
      </c>
      <c r="C4046" s="2">
        <f>IFERROR(__xludf.DUMMYFUNCTION("""COMPUTED_VALUE"""),763.0)</f>
        <v>763</v>
      </c>
      <c r="D4046" s="3">
        <f>IFERROR(__xludf.DUMMYFUNCTION("""COMPUTED_VALUE"""),367.0)</f>
        <v>367</v>
      </c>
      <c r="E4046" s="2"/>
      <c r="F4046" s="2"/>
    </row>
    <row r="4047">
      <c r="A4047" s="2">
        <f>IFERROR(__xludf.DUMMYFUNCTION("""COMPUTED_VALUE"""),77670.0)</f>
        <v>77670</v>
      </c>
      <c r="B4047" s="2">
        <f>IFERROR(__xludf.DUMMYFUNCTION("""COMPUTED_VALUE"""),0.0)</f>
        <v>0</v>
      </c>
      <c r="C4047" s="2">
        <f>IFERROR(__xludf.DUMMYFUNCTION("""COMPUTED_VALUE"""),968.0)</f>
        <v>968</v>
      </c>
      <c r="D4047" s="3">
        <f>IFERROR(__xludf.DUMMYFUNCTION("""COMPUTED_VALUE"""),921.0)</f>
        <v>921</v>
      </c>
      <c r="E4047" s="2"/>
      <c r="F4047" s="2"/>
    </row>
    <row r="4048">
      <c r="A4048" s="2">
        <f>IFERROR(__xludf.DUMMYFUNCTION("""COMPUTED_VALUE"""),78363.0)</f>
        <v>78363</v>
      </c>
      <c r="B4048" s="2">
        <f>IFERROR(__xludf.DUMMYFUNCTION("""COMPUTED_VALUE"""),1.0)</f>
        <v>1</v>
      </c>
      <c r="C4048" s="2">
        <f>IFERROR(__xludf.DUMMYFUNCTION("""COMPUTED_VALUE"""),412.0)</f>
        <v>412</v>
      </c>
      <c r="D4048" s="3">
        <f>IFERROR(__xludf.DUMMYFUNCTION("""COMPUTED_VALUE"""),0.0)</f>
        <v>0</v>
      </c>
      <c r="E4048" s="2"/>
      <c r="F4048" s="2"/>
    </row>
    <row r="4049">
      <c r="A4049" s="2">
        <f>IFERROR(__xludf.DUMMYFUNCTION("""COMPUTED_VALUE"""),11458.0)</f>
        <v>11458</v>
      </c>
      <c r="B4049" s="2">
        <f>IFERROR(__xludf.DUMMYFUNCTION("""COMPUTED_VALUE"""),0.0)</f>
        <v>0</v>
      </c>
      <c r="C4049" s="2">
        <f>IFERROR(__xludf.DUMMYFUNCTION("""COMPUTED_VALUE"""),858.0)</f>
        <v>858</v>
      </c>
      <c r="D4049" s="3">
        <f>IFERROR(__xludf.DUMMYFUNCTION("""COMPUTED_VALUE"""),221.0)</f>
        <v>221</v>
      </c>
      <c r="E4049" s="2"/>
      <c r="F4049" s="2"/>
    </row>
    <row r="4050">
      <c r="A4050" s="2">
        <f>IFERROR(__xludf.DUMMYFUNCTION("""COMPUTED_VALUE"""),11456.0)</f>
        <v>11456</v>
      </c>
      <c r="B4050" s="2">
        <f>IFERROR(__xludf.DUMMYFUNCTION("""COMPUTED_VALUE"""),1.0)</f>
        <v>1</v>
      </c>
      <c r="C4050" s="2">
        <f>IFERROR(__xludf.DUMMYFUNCTION("""COMPUTED_VALUE"""),885.0)</f>
        <v>885</v>
      </c>
      <c r="D4050" s="3">
        <f>IFERROR(__xludf.DUMMYFUNCTION("""COMPUTED_VALUE"""),200.0)</f>
        <v>200</v>
      </c>
      <c r="E4050" s="2"/>
      <c r="F4050" s="2"/>
    </row>
    <row r="4051">
      <c r="A4051" s="2">
        <f>IFERROR(__xludf.DUMMYFUNCTION("""COMPUTED_VALUE"""),120726.0)</f>
        <v>120726</v>
      </c>
      <c r="B4051" s="2">
        <f>IFERROR(__xludf.DUMMYFUNCTION("""COMPUTED_VALUE"""),1.0)</f>
        <v>1</v>
      </c>
      <c r="C4051" s="2">
        <f>IFERROR(__xludf.DUMMYFUNCTION("""COMPUTED_VALUE"""),514.0)</f>
        <v>514</v>
      </c>
      <c r="D4051" s="3">
        <f>IFERROR(__xludf.DUMMYFUNCTION("""COMPUTED_VALUE"""),45.0)</f>
        <v>45</v>
      </c>
      <c r="E4051" s="2"/>
      <c r="F4051" s="2"/>
    </row>
    <row r="4052">
      <c r="A4052" s="2">
        <f>IFERROR(__xludf.DUMMYFUNCTION("""COMPUTED_VALUE"""),11404.0)</f>
        <v>11404</v>
      </c>
      <c r="B4052" s="2">
        <f>IFERROR(__xludf.DUMMYFUNCTION("""COMPUTED_VALUE"""),1.0)</f>
        <v>1</v>
      </c>
      <c r="C4052" s="2">
        <f>IFERROR(__xludf.DUMMYFUNCTION("""COMPUTED_VALUE"""),64.0)</f>
        <v>64</v>
      </c>
      <c r="D4052" s="3">
        <f>IFERROR(__xludf.DUMMYFUNCTION("""COMPUTED_VALUE"""),64.0)</f>
        <v>64</v>
      </c>
      <c r="E4052" s="2"/>
      <c r="F4052" s="2"/>
    </row>
    <row r="4053">
      <c r="A4053" s="2">
        <f>IFERROR(__xludf.DUMMYFUNCTION("""COMPUTED_VALUE"""),11408.0)</f>
        <v>11408</v>
      </c>
      <c r="B4053" s="2">
        <f>IFERROR(__xludf.DUMMYFUNCTION("""COMPUTED_VALUE"""),0.0)</f>
        <v>0</v>
      </c>
      <c r="C4053" s="2">
        <f>IFERROR(__xludf.DUMMYFUNCTION("""COMPUTED_VALUE"""),725.0)</f>
        <v>725</v>
      </c>
      <c r="D4053" s="3">
        <f>IFERROR(__xludf.DUMMYFUNCTION("""COMPUTED_VALUE"""),252.0)</f>
        <v>252</v>
      </c>
      <c r="E4053" s="2"/>
      <c r="F4053" s="2"/>
    </row>
    <row r="4054">
      <c r="A4054" s="2">
        <f>IFERROR(__xludf.DUMMYFUNCTION("""COMPUTED_VALUE"""),120708.0)</f>
        <v>120708</v>
      </c>
      <c r="B4054" s="2">
        <f>IFERROR(__xludf.DUMMYFUNCTION("""COMPUTED_VALUE"""),1.0)</f>
        <v>1</v>
      </c>
      <c r="C4054" s="2">
        <f>IFERROR(__xludf.DUMMYFUNCTION("""COMPUTED_VALUE"""),439.0)</f>
        <v>439</v>
      </c>
      <c r="D4054" s="3">
        <f>IFERROR(__xludf.DUMMYFUNCTION("""COMPUTED_VALUE"""),279.0)</f>
        <v>279</v>
      </c>
      <c r="E4054" s="2"/>
      <c r="F4054" s="2"/>
    </row>
    <row r="4055">
      <c r="A4055" s="2">
        <f>IFERROR(__xludf.DUMMYFUNCTION("""COMPUTED_VALUE"""),74419.0)</f>
        <v>74419</v>
      </c>
      <c r="B4055" s="2">
        <f>IFERROR(__xludf.DUMMYFUNCTION("""COMPUTED_VALUE"""),0.0)</f>
        <v>0</v>
      </c>
      <c r="C4055" s="2">
        <f>IFERROR(__xludf.DUMMYFUNCTION("""COMPUTED_VALUE"""),338.0)</f>
        <v>338</v>
      </c>
      <c r="D4055" s="3">
        <f>IFERROR(__xludf.DUMMYFUNCTION("""COMPUTED_VALUE"""),262.0)</f>
        <v>262</v>
      </c>
      <c r="E4055" s="2"/>
      <c r="F4055" s="2"/>
    </row>
    <row r="4056">
      <c r="A4056" s="2">
        <f>IFERROR(__xludf.DUMMYFUNCTION("""COMPUTED_VALUE"""),113278.0)</f>
        <v>113278</v>
      </c>
      <c r="B4056" s="2">
        <f>IFERROR(__xludf.DUMMYFUNCTION("""COMPUTED_VALUE"""),0.0)</f>
        <v>0</v>
      </c>
      <c r="C4056" s="2">
        <f>IFERROR(__xludf.DUMMYFUNCTION("""COMPUTED_VALUE"""),183.0)</f>
        <v>183</v>
      </c>
      <c r="D4056" s="3">
        <f>IFERROR(__xludf.DUMMYFUNCTION("""COMPUTED_VALUE"""),146.0)</f>
        <v>146</v>
      </c>
      <c r="E4056" s="2"/>
      <c r="F4056" s="2"/>
    </row>
    <row r="4057">
      <c r="A4057" s="2">
        <f>IFERROR(__xludf.DUMMYFUNCTION("""COMPUTED_VALUE"""),83486.0)</f>
        <v>83486</v>
      </c>
      <c r="B4057" s="2">
        <f>IFERROR(__xludf.DUMMYFUNCTION("""COMPUTED_VALUE"""),0.0)</f>
        <v>0</v>
      </c>
      <c r="C4057" s="2">
        <f>IFERROR(__xludf.DUMMYFUNCTION("""COMPUTED_VALUE"""),765.0)</f>
        <v>765</v>
      </c>
      <c r="D4057" s="3">
        <f>IFERROR(__xludf.DUMMYFUNCTION("""COMPUTED_VALUE"""),31.0)</f>
        <v>31</v>
      </c>
      <c r="E4057" s="2"/>
      <c r="F4057" s="2"/>
    </row>
    <row r="4058">
      <c r="A4058" s="2">
        <f>IFERROR(__xludf.DUMMYFUNCTION("""COMPUTED_VALUE"""),11452.0)</f>
        <v>11452</v>
      </c>
      <c r="B4058" s="2">
        <f>IFERROR(__xludf.DUMMYFUNCTION("""COMPUTED_VALUE"""),1.0)</f>
        <v>1</v>
      </c>
      <c r="C4058" s="2">
        <f>IFERROR(__xludf.DUMMYFUNCTION("""COMPUTED_VALUE"""),310.0)</f>
        <v>310</v>
      </c>
      <c r="D4058" s="3">
        <f>IFERROR(__xludf.DUMMYFUNCTION("""COMPUTED_VALUE"""),136.0)</f>
        <v>136</v>
      </c>
      <c r="E4058" s="2"/>
      <c r="F4058" s="2"/>
    </row>
    <row r="4059">
      <c r="A4059" s="2">
        <f>IFERROR(__xludf.DUMMYFUNCTION("""COMPUTED_VALUE"""),116803.0)</f>
        <v>116803</v>
      </c>
      <c r="B4059" s="2">
        <f>IFERROR(__xludf.DUMMYFUNCTION("""COMPUTED_VALUE"""),1.0)</f>
        <v>1</v>
      </c>
      <c r="C4059" s="2">
        <f>IFERROR(__xludf.DUMMYFUNCTION("""COMPUTED_VALUE"""),592.0)</f>
        <v>592</v>
      </c>
      <c r="D4059" s="3">
        <f>IFERROR(__xludf.DUMMYFUNCTION("""COMPUTED_VALUE"""),323.0)</f>
        <v>323</v>
      </c>
      <c r="E4059" s="2"/>
      <c r="F4059" s="2"/>
    </row>
    <row r="4060">
      <c r="A4060" s="2">
        <f>IFERROR(__xludf.DUMMYFUNCTION("""COMPUTED_VALUE"""),77657.0)</f>
        <v>77657</v>
      </c>
      <c r="B4060" s="2">
        <f>IFERROR(__xludf.DUMMYFUNCTION("""COMPUTED_VALUE"""),1.0)</f>
        <v>1</v>
      </c>
      <c r="C4060" s="2">
        <f>IFERROR(__xludf.DUMMYFUNCTION("""COMPUTED_VALUE"""),811.0)</f>
        <v>811</v>
      </c>
      <c r="D4060" s="3">
        <f>IFERROR(__xludf.DUMMYFUNCTION("""COMPUTED_VALUE"""),413.0)</f>
        <v>413</v>
      </c>
      <c r="E4060" s="2"/>
      <c r="F4060" s="2"/>
    </row>
    <row r="4061">
      <c r="A4061" s="2">
        <f>IFERROR(__xludf.DUMMYFUNCTION("""COMPUTED_VALUE"""),120309.0)</f>
        <v>120309</v>
      </c>
      <c r="B4061" s="2">
        <f>IFERROR(__xludf.DUMMYFUNCTION("""COMPUTED_VALUE"""),0.0)</f>
        <v>0</v>
      </c>
      <c r="C4061" s="2">
        <f>IFERROR(__xludf.DUMMYFUNCTION("""COMPUTED_VALUE"""),492.0)</f>
        <v>492</v>
      </c>
      <c r="D4061" s="3">
        <f>IFERROR(__xludf.DUMMYFUNCTION("""COMPUTED_VALUE"""),111.0)</f>
        <v>111</v>
      </c>
      <c r="E4061" s="2"/>
      <c r="F4061" s="2"/>
    </row>
    <row r="4062">
      <c r="A4062" s="2">
        <f>IFERROR(__xludf.DUMMYFUNCTION("""COMPUTED_VALUE"""),116276.0)</f>
        <v>116276</v>
      </c>
      <c r="B4062" s="2">
        <f>IFERROR(__xludf.DUMMYFUNCTION("""COMPUTED_VALUE"""),1.0)</f>
        <v>1</v>
      </c>
      <c r="C4062" s="2">
        <f>IFERROR(__xludf.DUMMYFUNCTION("""COMPUTED_VALUE"""),767.0)</f>
        <v>767</v>
      </c>
      <c r="D4062" s="3">
        <f>IFERROR(__xludf.DUMMYFUNCTION("""COMPUTED_VALUE"""),562.0)</f>
        <v>562</v>
      </c>
      <c r="E4062" s="2"/>
      <c r="F4062" s="2"/>
    </row>
    <row r="4063">
      <c r="A4063" s="2">
        <f>IFERROR(__xludf.DUMMYFUNCTION("""COMPUTED_VALUE"""),104623.0)</f>
        <v>104623</v>
      </c>
      <c r="B4063" s="2">
        <f>IFERROR(__xludf.DUMMYFUNCTION("""COMPUTED_VALUE"""),0.0)</f>
        <v>0</v>
      </c>
      <c r="C4063" s="2">
        <f>IFERROR(__xludf.DUMMYFUNCTION("""COMPUTED_VALUE"""),447.0)</f>
        <v>447</v>
      </c>
      <c r="D4063" s="3">
        <f>IFERROR(__xludf.DUMMYFUNCTION("""COMPUTED_VALUE"""),313.0)</f>
        <v>313</v>
      </c>
      <c r="E4063" s="2"/>
      <c r="F4063" s="2"/>
    </row>
    <row r="4064">
      <c r="A4064" s="2">
        <f>IFERROR(__xludf.DUMMYFUNCTION("""COMPUTED_VALUE"""),78364.0)</f>
        <v>78364</v>
      </c>
      <c r="B4064" s="2">
        <f>IFERROR(__xludf.DUMMYFUNCTION("""COMPUTED_VALUE"""),0.0)</f>
        <v>0</v>
      </c>
      <c r="C4064" s="2">
        <f>IFERROR(__xludf.DUMMYFUNCTION("""COMPUTED_VALUE"""),965.0)</f>
        <v>965</v>
      </c>
      <c r="D4064" s="3">
        <f>IFERROR(__xludf.DUMMYFUNCTION("""COMPUTED_VALUE"""),198.0)</f>
        <v>198</v>
      </c>
      <c r="E4064" s="2"/>
      <c r="F4064" s="2"/>
    </row>
    <row r="4065">
      <c r="A4065" s="2">
        <f>IFERROR(__xludf.DUMMYFUNCTION("""COMPUTED_VALUE"""),76837.0)</f>
        <v>76837</v>
      </c>
      <c r="B4065" s="2">
        <f>IFERROR(__xludf.DUMMYFUNCTION("""COMPUTED_VALUE"""),1.0)</f>
        <v>1</v>
      </c>
      <c r="C4065" s="2">
        <f>IFERROR(__xludf.DUMMYFUNCTION("""COMPUTED_VALUE"""),740.0)</f>
        <v>740</v>
      </c>
      <c r="D4065" s="3">
        <f>IFERROR(__xludf.DUMMYFUNCTION("""COMPUTED_VALUE"""),733.0)</f>
        <v>733</v>
      </c>
      <c r="E4065" s="2"/>
      <c r="F4065" s="2"/>
    </row>
    <row r="4066">
      <c r="A4066" s="2">
        <f>IFERROR(__xludf.DUMMYFUNCTION("""COMPUTED_VALUE"""),82873.0)</f>
        <v>82873</v>
      </c>
      <c r="B4066" s="2">
        <f>IFERROR(__xludf.DUMMYFUNCTION("""COMPUTED_VALUE"""),1.0)</f>
        <v>1</v>
      </c>
      <c r="C4066" s="2">
        <f>IFERROR(__xludf.DUMMYFUNCTION("""COMPUTED_VALUE"""),232.0)</f>
        <v>232</v>
      </c>
      <c r="D4066" s="3">
        <f>IFERROR(__xludf.DUMMYFUNCTION("""COMPUTED_VALUE"""),129.0)</f>
        <v>129</v>
      </c>
      <c r="E4066" s="2"/>
      <c r="F4066" s="2"/>
    </row>
    <row r="4067">
      <c r="A4067" s="2">
        <f>IFERROR(__xludf.DUMMYFUNCTION("""COMPUTED_VALUE"""),110341.0)</f>
        <v>110341</v>
      </c>
      <c r="B4067" s="2">
        <f>IFERROR(__xludf.DUMMYFUNCTION("""COMPUTED_VALUE"""),1.0)</f>
        <v>1</v>
      </c>
      <c r="C4067" s="2">
        <f>IFERROR(__xludf.DUMMYFUNCTION("""COMPUTED_VALUE"""),214.0)</f>
        <v>214</v>
      </c>
      <c r="D4067" s="3">
        <f>IFERROR(__xludf.DUMMYFUNCTION("""COMPUTED_VALUE"""),103.0)</f>
        <v>103</v>
      </c>
      <c r="E4067" s="2"/>
      <c r="F4067" s="2"/>
    </row>
    <row r="4068">
      <c r="A4068" s="2">
        <f>IFERROR(__xludf.DUMMYFUNCTION("""COMPUTED_VALUE"""),76874.0)</f>
        <v>76874</v>
      </c>
      <c r="B4068" s="2">
        <f>IFERROR(__xludf.DUMMYFUNCTION("""COMPUTED_VALUE"""),1.0)</f>
        <v>1</v>
      </c>
      <c r="C4068" s="2">
        <f>IFERROR(__xludf.DUMMYFUNCTION("""COMPUTED_VALUE"""),5.0)</f>
        <v>5</v>
      </c>
      <c r="D4068" s="3">
        <f>IFERROR(__xludf.DUMMYFUNCTION("""COMPUTED_VALUE"""),3.0)</f>
        <v>3</v>
      </c>
      <c r="E4068" s="2"/>
      <c r="F4068" s="2"/>
    </row>
    <row r="4069">
      <c r="A4069" s="2">
        <f>IFERROR(__xludf.DUMMYFUNCTION("""COMPUTED_VALUE"""),110340.0)</f>
        <v>110340</v>
      </c>
      <c r="B4069" s="2">
        <f>IFERROR(__xludf.DUMMYFUNCTION("""COMPUTED_VALUE"""),1.0)</f>
        <v>1</v>
      </c>
      <c r="C4069" s="2">
        <f>IFERROR(__xludf.DUMMYFUNCTION("""COMPUTED_VALUE"""),450.0)</f>
        <v>450</v>
      </c>
      <c r="D4069" s="3">
        <f>IFERROR(__xludf.DUMMYFUNCTION("""COMPUTED_VALUE"""),362.0)</f>
        <v>362</v>
      </c>
      <c r="E4069" s="2"/>
      <c r="F4069" s="2"/>
    </row>
    <row r="4070">
      <c r="A4070" s="2">
        <f>IFERROR(__xludf.DUMMYFUNCTION("""COMPUTED_VALUE"""),44409.0)</f>
        <v>44409</v>
      </c>
      <c r="B4070" s="2">
        <f>IFERROR(__xludf.DUMMYFUNCTION("""COMPUTED_VALUE"""),0.0)</f>
        <v>0</v>
      </c>
      <c r="C4070" s="2">
        <f>IFERROR(__xludf.DUMMYFUNCTION("""COMPUTED_VALUE"""),821.0)</f>
        <v>821</v>
      </c>
      <c r="D4070" s="3">
        <f>IFERROR(__xludf.DUMMYFUNCTION("""COMPUTED_VALUE"""),504.0)</f>
        <v>504</v>
      </c>
      <c r="E4070" s="2"/>
      <c r="F4070" s="2"/>
    </row>
    <row r="4071">
      <c r="A4071" s="2">
        <f>IFERROR(__xludf.DUMMYFUNCTION("""COMPUTED_VALUE"""),73831.0)</f>
        <v>73831</v>
      </c>
      <c r="B4071" s="2">
        <f>IFERROR(__xludf.DUMMYFUNCTION("""COMPUTED_VALUE"""),1.0)</f>
        <v>1</v>
      </c>
      <c r="C4071" s="2">
        <f>IFERROR(__xludf.DUMMYFUNCTION("""COMPUTED_VALUE"""),148.0)</f>
        <v>148</v>
      </c>
      <c r="D4071" s="3">
        <f>IFERROR(__xludf.DUMMYFUNCTION("""COMPUTED_VALUE"""),125.0)</f>
        <v>125</v>
      </c>
      <c r="E4071" s="2"/>
      <c r="F4071" s="2"/>
    </row>
    <row r="4072">
      <c r="A4072" s="2">
        <f>IFERROR(__xludf.DUMMYFUNCTION("""COMPUTED_VALUE"""),79035.0)</f>
        <v>79035</v>
      </c>
      <c r="B4072" s="2">
        <f>IFERROR(__xludf.DUMMYFUNCTION("""COMPUTED_VALUE"""),0.0)</f>
        <v>0</v>
      </c>
      <c r="C4072" s="2">
        <f>IFERROR(__xludf.DUMMYFUNCTION("""COMPUTED_VALUE"""),945.0)</f>
        <v>945</v>
      </c>
      <c r="D4072" s="3">
        <f>IFERROR(__xludf.DUMMYFUNCTION("""COMPUTED_VALUE"""),62.0)</f>
        <v>62</v>
      </c>
      <c r="E4072" s="2"/>
      <c r="F4072" s="2"/>
    </row>
    <row r="4073">
      <c r="A4073" s="2">
        <f>IFERROR(__xludf.DUMMYFUNCTION("""COMPUTED_VALUE"""),94951.0)</f>
        <v>94951</v>
      </c>
      <c r="B4073" s="2">
        <f>IFERROR(__xludf.DUMMYFUNCTION("""COMPUTED_VALUE"""),1.0)</f>
        <v>1</v>
      </c>
      <c r="C4073" s="2">
        <f>IFERROR(__xludf.DUMMYFUNCTION("""COMPUTED_VALUE"""),418.0)</f>
        <v>418</v>
      </c>
      <c r="D4073" s="3">
        <f>IFERROR(__xludf.DUMMYFUNCTION("""COMPUTED_VALUE"""),26.0)</f>
        <v>26</v>
      </c>
      <c r="E4073" s="2"/>
      <c r="F4073" s="2"/>
    </row>
    <row r="4074">
      <c r="A4074" s="2">
        <f>IFERROR(__xludf.DUMMYFUNCTION("""COMPUTED_VALUE"""),22248.0)</f>
        <v>22248</v>
      </c>
      <c r="B4074" s="2">
        <f>IFERROR(__xludf.DUMMYFUNCTION("""COMPUTED_VALUE"""),1.0)</f>
        <v>1</v>
      </c>
      <c r="C4074" s="2">
        <f>IFERROR(__xludf.DUMMYFUNCTION("""COMPUTED_VALUE"""),-17.0)</f>
        <v>-17</v>
      </c>
      <c r="D4074" s="3">
        <f>IFERROR(__xludf.DUMMYFUNCTION("""COMPUTED_VALUE"""),0.0)</f>
        <v>0</v>
      </c>
      <c r="E4074" s="2"/>
      <c r="F4074" s="2"/>
    </row>
    <row r="4075">
      <c r="A4075" s="2">
        <f>IFERROR(__xludf.DUMMYFUNCTION("""COMPUTED_VALUE"""),16088.0)</f>
        <v>16088</v>
      </c>
      <c r="B4075" s="2">
        <f>IFERROR(__xludf.DUMMYFUNCTION("""COMPUTED_VALUE"""),1.0)</f>
        <v>1</v>
      </c>
      <c r="C4075" s="2">
        <f>IFERROR(__xludf.DUMMYFUNCTION("""COMPUTED_VALUE"""),710.0)</f>
        <v>710</v>
      </c>
      <c r="D4075" s="3">
        <f>IFERROR(__xludf.DUMMYFUNCTION("""COMPUTED_VALUE"""),155.0)</f>
        <v>155</v>
      </c>
      <c r="E4075" s="2"/>
      <c r="F4075" s="2"/>
    </row>
    <row r="4076">
      <c r="A4076" s="2">
        <f>IFERROR(__xludf.DUMMYFUNCTION("""COMPUTED_VALUE"""),10571.0)</f>
        <v>10571</v>
      </c>
      <c r="B4076" s="2">
        <f>IFERROR(__xludf.DUMMYFUNCTION("""COMPUTED_VALUE"""),1.0)</f>
        <v>1</v>
      </c>
      <c r="C4076" s="2">
        <f>IFERROR(__xludf.DUMMYFUNCTION("""COMPUTED_VALUE"""),926.0)</f>
        <v>926</v>
      </c>
      <c r="D4076" s="3">
        <f>IFERROR(__xludf.DUMMYFUNCTION("""COMPUTED_VALUE"""),513.0)</f>
        <v>513</v>
      </c>
      <c r="E4076" s="2"/>
      <c r="F4076" s="2"/>
    </row>
    <row r="4077">
      <c r="A4077" s="2">
        <f>IFERROR(__xludf.DUMMYFUNCTION("""COMPUTED_VALUE"""),182012.0)</f>
        <v>182012</v>
      </c>
      <c r="B4077" s="2">
        <f>IFERROR(__xludf.DUMMYFUNCTION("""COMPUTED_VALUE"""),1.0)</f>
        <v>1</v>
      </c>
      <c r="C4077" s="2">
        <f>IFERROR(__xludf.DUMMYFUNCTION("""COMPUTED_VALUE"""),330.0)</f>
        <v>330</v>
      </c>
      <c r="D4077" s="3">
        <f>IFERROR(__xludf.DUMMYFUNCTION("""COMPUTED_VALUE"""),53.0)</f>
        <v>53</v>
      </c>
      <c r="E4077" s="2"/>
      <c r="F4077" s="2"/>
    </row>
    <row r="4078">
      <c r="A4078" s="2">
        <f>IFERROR(__xludf.DUMMYFUNCTION("""COMPUTED_VALUE"""),182013.0)</f>
        <v>182013</v>
      </c>
      <c r="B4078" s="2">
        <f>IFERROR(__xludf.DUMMYFUNCTION("""COMPUTED_VALUE"""),1.0)</f>
        <v>1</v>
      </c>
      <c r="C4078" s="2">
        <f>IFERROR(__xludf.DUMMYFUNCTION("""COMPUTED_VALUE"""),490.0)</f>
        <v>490</v>
      </c>
      <c r="D4078" s="3">
        <f>IFERROR(__xludf.DUMMYFUNCTION("""COMPUTED_VALUE"""),487.0)</f>
        <v>487</v>
      </c>
      <c r="E4078" s="2"/>
      <c r="F4078" s="2"/>
    </row>
    <row r="4079">
      <c r="A4079" s="2">
        <f>IFERROR(__xludf.DUMMYFUNCTION("""COMPUTED_VALUE"""),107400.0)</f>
        <v>107400</v>
      </c>
      <c r="B4079" s="2">
        <f>IFERROR(__xludf.DUMMYFUNCTION("""COMPUTED_VALUE"""),0.0)</f>
        <v>0</v>
      </c>
      <c r="C4079" s="2">
        <f>IFERROR(__xludf.DUMMYFUNCTION("""COMPUTED_VALUE"""),266.0)</f>
        <v>266</v>
      </c>
      <c r="D4079" s="3">
        <f>IFERROR(__xludf.DUMMYFUNCTION("""COMPUTED_VALUE"""),139.0)</f>
        <v>139</v>
      </c>
      <c r="E4079" s="2"/>
      <c r="F4079" s="2"/>
    </row>
    <row r="4080">
      <c r="A4080" s="2">
        <f>IFERROR(__xludf.DUMMYFUNCTION("""COMPUTED_VALUE"""),48623.0)</f>
        <v>48623</v>
      </c>
      <c r="B4080" s="2">
        <f>IFERROR(__xludf.DUMMYFUNCTION("""COMPUTED_VALUE"""),0.0)</f>
        <v>0</v>
      </c>
      <c r="C4080" s="2">
        <f>IFERROR(__xludf.DUMMYFUNCTION("""COMPUTED_VALUE"""),393.0)</f>
        <v>393</v>
      </c>
      <c r="D4080" s="3">
        <f>IFERROR(__xludf.DUMMYFUNCTION("""COMPUTED_VALUE"""),131.0)</f>
        <v>131</v>
      </c>
      <c r="E4080" s="2"/>
      <c r="F4080" s="2"/>
    </row>
    <row r="4081">
      <c r="A4081" s="2">
        <f>IFERROR(__xludf.DUMMYFUNCTION("""COMPUTED_VALUE"""),48616.0)</f>
        <v>48616</v>
      </c>
      <c r="B4081" s="2">
        <f>IFERROR(__xludf.DUMMYFUNCTION("""COMPUTED_VALUE"""),0.0)</f>
        <v>0</v>
      </c>
      <c r="C4081" s="2">
        <f>IFERROR(__xludf.DUMMYFUNCTION("""COMPUTED_VALUE"""),248.0)</f>
        <v>248</v>
      </c>
      <c r="D4081" s="3">
        <f>IFERROR(__xludf.DUMMYFUNCTION("""COMPUTED_VALUE"""),121.0)</f>
        <v>121</v>
      </c>
      <c r="E4081" s="2"/>
      <c r="F4081" s="2"/>
    </row>
    <row r="4082">
      <c r="A4082" s="2">
        <f>IFERROR(__xludf.DUMMYFUNCTION("""COMPUTED_VALUE"""),47515.0)</f>
        <v>47515</v>
      </c>
      <c r="B4082" s="2">
        <f>IFERROR(__xludf.DUMMYFUNCTION("""COMPUTED_VALUE"""),0.0)</f>
        <v>0</v>
      </c>
      <c r="C4082" s="2">
        <f>IFERROR(__xludf.DUMMYFUNCTION("""COMPUTED_VALUE"""),414.0)</f>
        <v>414</v>
      </c>
      <c r="D4082" s="3">
        <f>IFERROR(__xludf.DUMMYFUNCTION("""COMPUTED_VALUE"""),197.0)</f>
        <v>197</v>
      </c>
      <c r="E4082" s="2"/>
      <c r="F4082" s="2"/>
    </row>
    <row r="4083">
      <c r="A4083" s="2">
        <f>IFERROR(__xludf.DUMMYFUNCTION("""COMPUTED_VALUE"""),81915.0)</f>
        <v>81915</v>
      </c>
      <c r="B4083" s="2">
        <f>IFERROR(__xludf.DUMMYFUNCTION("""COMPUTED_VALUE"""),1.0)</f>
        <v>1</v>
      </c>
      <c r="C4083" s="2">
        <f>IFERROR(__xludf.DUMMYFUNCTION("""COMPUTED_VALUE"""),264.0)</f>
        <v>264</v>
      </c>
      <c r="D4083" s="3">
        <f>IFERROR(__xludf.DUMMYFUNCTION("""COMPUTED_VALUE"""),204.0)</f>
        <v>204</v>
      </c>
      <c r="E4083" s="2"/>
      <c r="F4083" s="2"/>
    </row>
    <row r="4084">
      <c r="A4084" s="2">
        <f>IFERROR(__xludf.DUMMYFUNCTION("""COMPUTED_VALUE"""),108920.0)</f>
        <v>108920</v>
      </c>
      <c r="B4084" s="2">
        <f>IFERROR(__xludf.DUMMYFUNCTION("""COMPUTED_VALUE"""),1.0)</f>
        <v>1</v>
      </c>
      <c r="C4084" s="2">
        <f>IFERROR(__xludf.DUMMYFUNCTION("""COMPUTED_VALUE"""),571.0)</f>
        <v>571</v>
      </c>
      <c r="D4084" s="3">
        <f>IFERROR(__xludf.DUMMYFUNCTION("""COMPUTED_VALUE"""),20.0)</f>
        <v>20</v>
      </c>
      <c r="E4084" s="2"/>
      <c r="F4084" s="2"/>
    </row>
    <row r="4085">
      <c r="A4085" s="2">
        <f>IFERROR(__xludf.DUMMYFUNCTION("""COMPUTED_VALUE"""),107406.0)</f>
        <v>107406</v>
      </c>
      <c r="B4085" s="2">
        <f>IFERROR(__xludf.DUMMYFUNCTION("""COMPUTED_VALUE"""),1.0)</f>
        <v>1</v>
      </c>
      <c r="C4085" s="2">
        <f>IFERROR(__xludf.DUMMYFUNCTION("""COMPUTED_VALUE"""),425.0)</f>
        <v>425</v>
      </c>
      <c r="D4085" s="3">
        <f>IFERROR(__xludf.DUMMYFUNCTION("""COMPUTED_VALUE"""),411.0)</f>
        <v>411</v>
      </c>
      <c r="E4085" s="2"/>
      <c r="F4085" s="2"/>
    </row>
    <row r="4086">
      <c r="A4086" s="2">
        <f>IFERROR(__xludf.DUMMYFUNCTION("""COMPUTED_VALUE"""),24074.0)</f>
        <v>24074</v>
      </c>
      <c r="B4086" s="2">
        <f>IFERROR(__xludf.DUMMYFUNCTION("""COMPUTED_VALUE"""),1.0)</f>
        <v>1</v>
      </c>
      <c r="C4086" s="2">
        <f>IFERROR(__xludf.DUMMYFUNCTION("""COMPUTED_VALUE"""),192.0)</f>
        <v>192</v>
      </c>
      <c r="D4086" s="3">
        <f>IFERROR(__xludf.DUMMYFUNCTION("""COMPUTED_VALUE"""),42.0)</f>
        <v>42</v>
      </c>
      <c r="E4086" s="2"/>
      <c r="F4086" s="2"/>
    </row>
    <row r="4087">
      <c r="A4087" s="2">
        <f>IFERROR(__xludf.DUMMYFUNCTION("""COMPUTED_VALUE"""),107388.0)</f>
        <v>107388</v>
      </c>
      <c r="B4087" s="2">
        <f>IFERROR(__xludf.DUMMYFUNCTION("""COMPUTED_VALUE"""),0.0)</f>
        <v>0</v>
      </c>
      <c r="C4087" s="2">
        <f>IFERROR(__xludf.DUMMYFUNCTION("""COMPUTED_VALUE"""),455.0)</f>
        <v>455</v>
      </c>
      <c r="D4087" s="3">
        <f>IFERROR(__xludf.DUMMYFUNCTION("""COMPUTED_VALUE"""),75.0)</f>
        <v>75</v>
      </c>
      <c r="E4087" s="2"/>
      <c r="F4087" s="2"/>
    </row>
    <row r="4088">
      <c r="A4088" s="2">
        <f>IFERROR(__xludf.DUMMYFUNCTION("""COMPUTED_VALUE"""),24075.0)</f>
        <v>24075</v>
      </c>
      <c r="B4088" s="2">
        <f>IFERROR(__xludf.DUMMYFUNCTION("""COMPUTED_VALUE"""),0.0)</f>
        <v>0</v>
      </c>
      <c r="C4088" s="2">
        <f>IFERROR(__xludf.DUMMYFUNCTION("""COMPUTED_VALUE"""),271.0)</f>
        <v>271</v>
      </c>
      <c r="D4088" s="3">
        <f>IFERROR(__xludf.DUMMYFUNCTION("""COMPUTED_VALUE"""),35.0)</f>
        <v>35</v>
      </c>
      <c r="E4088" s="2"/>
      <c r="F4088" s="2"/>
    </row>
    <row r="4089">
      <c r="A4089" s="2">
        <f>IFERROR(__xludf.DUMMYFUNCTION("""COMPUTED_VALUE"""),27639.0)</f>
        <v>27639</v>
      </c>
      <c r="B4089" s="2">
        <f>IFERROR(__xludf.DUMMYFUNCTION("""COMPUTED_VALUE"""),0.0)</f>
        <v>0</v>
      </c>
      <c r="C4089" s="2">
        <f>IFERROR(__xludf.DUMMYFUNCTION("""COMPUTED_VALUE"""),837.0)</f>
        <v>837</v>
      </c>
      <c r="D4089" s="3">
        <f>IFERROR(__xludf.DUMMYFUNCTION("""COMPUTED_VALUE"""),837.0)</f>
        <v>837</v>
      </c>
      <c r="E4089" s="2"/>
      <c r="F4089" s="2"/>
    </row>
    <row r="4090">
      <c r="A4090" s="2">
        <f>IFERROR(__xludf.DUMMYFUNCTION("""COMPUTED_VALUE"""),103632.0)</f>
        <v>103632</v>
      </c>
      <c r="B4090" s="2">
        <f>IFERROR(__xludf.DUMMYFUNCTION("""COMPUTED_VALUE"""),0.0)</f>
        <v>0</v>
      </c>
      <c r="C4090" s="2">
        <f>IFERROR(__xludf.DUMMYFUNCTION("""COMPUTED_VALUE"""),839.0)</f>
        <v>839</v>
      </c>
      <c r="D4090" s="3">
        <f>IFERROR(__xludf.DUMMYFUNCTION("""COMPUTED_VALUE"""),831.0)</f>
        <v>831</v>
      </c>
      <c r="E4090" s="2"/>
      <c r="F4090" s="2"/>
    </row>
    <row r="4091">
      <c r="A4091" s="2">
        <f>IFERROR(__xludf.DUMMYFUNCTION("""COMPUTED_VALUE"""),10569.0)</f>
        <v>10569</v>
      </c>
      <c r="B4091" s="2">
        <f>IFERROR(__xludf.DUMMYFUNCTION("""COMPUTED_VALUE"""),1.0)</f>
        <v>1</v>
      </c>
      <c r="C4091" s="2">
        <f>IFERROR(__xludf.DUMMYFUNCTION("""COMPUTED_VALUE"""),303.0)</f>
        <v>303</v>
      </c>
      <c r="D4091" s="3">
        <f>IFERROR(__xludf.DUMMYFUNCTION("""COMPUTED_VALUE"""),188.0)</f>
        <v>188</v>
      </c>
      <c r="E4091" s="2"/>
      <c r="F4091" s="2"/>
    </row>
    <row r="4092">
      <c r="A4092" s="2">
        <f>IFERROR(__xludf.DUMMYFUNCTION("""COMPUTED_VALUE"""),182007.0)</f>
        <v>182007</v>
      </c>
      <c r="B4092" s="2">
        <f>IFERROR(__xludf.DUMMYFUNCTION("""COMPUTED_VALUE"""),0.0)</f>
        <v>0</v>
      </c>
      <c r="C4092" s="2">
        <f>IFERROR(__xludf.DUMMYFUNCTION("""COMPUTED_VALUE"""),122.0)</f>
        <v>122</v>
      </c>
      <c r="D4092" s="3">
        <f>IFERROR(__xludf.DUMMYFUNCTION("""COMPUTED_VALUE"""),108.0)</f>
        <v>108</v>
      </c>
      <c r="E4092" s="2"/>
      <c r="F4092" s="2"/>
    </row>
    <row r="4093">
      <c r="A4093" s="2">
        <f>IFERROR(__xludf.DUMMYFUNCTION("""COMPUTED_VALUE"""),182009.0)</f>
        <v>182009</v>
      </c>
      <c r="B4093" s="2">
        <f>IFERROR(__xludf.DUMMYFUNCTION("""COMPUTED_VALUE"""),1.0)</f>
        <v>1</v>
      </c>
      <c r="C4093" s="2">
        <f>IFERROR(__xludf.DUMMYFUNCTION("""COMPUTED_VALUE"""),501.0)</f>
        <v>501</v>
      </c>
      <c r="D4093" s="3">
        <f>IFERROR(__xludf.DUMMYFUNCTION("""COMPUTED_VALUE"""),274.0)</f>
        <v>274</v>
      </c>
      <c r="E4093" s="2"/>
      <c r="F4093" s="2"/>
    </row>
    <row r="4094">
      <c r="A4094" s="2">
        <f>IFERROR(__xludf.DUMMYFUNCTION("""COMPUTED_VALUE"""),103630.0)</f>
        <v>103630</v>
      </c>
      <c r="B4094" s="2">
        <f>IFERROR(__xludf.DUMMYFUNCTION("""COMPUTED_VALUE"""),0.0)</f>
        <v>0</v>
      </c>
      <c r="C4094" s="2">
        <f>IFERROR(__xludf.DUMMYFUNCTION("""COMPUTED_VALUE"""),450.0)</f>
        <v>450</v>
      </c>
      <c r="D4094" s="3">
        <f>IFERROR(__xludf.DUMMYFUNCTION("""COMPUTED_VALUE"""),223.0)</f>
        <v>223</v>
      </c>
      <c r="E4094" s="2"/>
      <c r="F4094" s="2"/>
    </row>
    <row r="4095">
      <c r="A4095" s="2">
        <f>IFERROR(__xludf.DUMMYFUNCTION("""COMPUTED_VALUE"""),47514.0)</f>
        <v>47514</v>
      </c>
      <c r="B4095" s="2">
        <f>IFERROR(__xludf.DUMMYFUNCTION("""COMPUTED_VALUE"""),1.0)</f>
        <v>1</v>
      </c>
      <c r="C4095" s="2">
        <f>IFERROR(__xludf.DUMMYFUNCTION("""COMPUTED_VALUE"""),541.0)</f>
        <v>541</v>
      </c>
      <c r="D4095" s="3">
        <f>IFERROR(__xludf.DUMMYFUNCTION("""COMPUTED_VALUE"""),449.0)</f>
        <v>449</v>
      </c>
      <c r="E4095" s="2"/>
      <c r="F4095" s="2"/>
    </row>
    <row r="4096">
      <c r="A4096" s="2">
        <f>IFERROR(__xludf.DUMMYFUNCTION("""COMPUTED_VALUE"""),86370.0)</f>
        <v>86370</v>
      </c>
      <c r="B4096" s="2">
        <f>IFERROR(__xludf.DUMMYFUNCTION("""COMPUTED_VALUE"""),0.0)</f>
        <v>0</v>
      </c>
      <c r="C4096" s="2">
        <f>IFERROR(__xludf.DUMMYFUNCTION("""COMPUTED_VALUE"""),779.0)</f>
        <v>779</v>
      </c>
      <c r="D4096" s="3">
        <f>IFERROR(__xludf.DUMMYFUNCTION("""COMPUTED_VALUE"""),213.0)</f>
        <v>213</v>
      </c>
      <c r="E4096" s="2"/>
      <c r="F4096" s="2"/>
    </row>
    <row r="4097">
      <c r="A4097" s="2">
        <f>IFERROR(__xludf.DUMMYFUNCTION("""COMPUTED_VALUE"""),86368.0)</f>
        <v>86368</v>
      </c>
      <c r="B4097" s="2">
        <f>IFERROR(__xludf.DUMMYFUNCTION("""COMPUTED_VALUE"""),0.0)</f>
        <v>0</v>
      </c>
      <c r="C4097" s="2">
        <f>IFERROR(__xludf.DUMMYFUNCTION("""COMPUTED_VALUE"""),982.0)</f>
        <v>982</v>
      </c>
      <c r="D4097" s="3">
        <f>IFERROR(__xludf.DUMMYFUNCTION("""COMPUTED_VALUE"""),124.0)</f>
        <v>124</v>
      </c>
      <c r="E4097" s="2"/>
      <c r="F4097" s="2"/>
    </row>
    <row r="4098">
      <c r="A4098" s="2">
        <f>IFERROR(__xludf.DUMMYFUNCTION("""COMPUTED_VALUE"""),103174.0)</f>
        <v>103174</v>
      </c>
      <c r="B4098" s="2">
        <f>IFERROR(__xludf.DUMMYFUNCTION("""COMPUTED_VALUE"""),0.0)</f>
        <v>0</v>
      </c>
      <c r="C4098" s="2">
        <f>IFERROR(__xludf.DUMMYFUNCTION("""COMPUTED_VALUE"""),410.0)</f>
        <v>410</v>
      </c>
      <c r="D4098" s="3">
        <f>IFERROR(__xludf.DUMMYFUNCTION("""COMPUTED_VALUE"""),99.0)</f>
        <v>99</v>
      </c>
      <c r="E4098" s="2"/>
      <c r="F4098" s="2"/>
    </row>
    <row r="4099">
      <c r="A4099" s="2">
        <f>IFERROR(__xludf.DUMMYFUNCTION("""COMPUTED_VALUE"""),48632.0)</f>
        <v>48632</v>
      </c>
      <c r="B4099" s="2">
        <f>IFERROR(__xludf.DUMMYFUNCTION("""COMPUTED_VALUE"""),1.0)</f>
        <v>1</v>
      </c>
      <c r="C4099" s="2">
        <f>IFERROR(__xludf.DUMMYFUNCTION("""COMPUTED_VALUE"""),739.0)</f>
        <v>739</v>
      </c>
      <c r="D4099" s="3">
        <f>IFERROR(__xludf.DUMMYFUNCTION("""COMPUTED_VALUE"""),22.0)</f>
        <v>22</v>
      </c>
      <c r="E4099" s="2"/>
      <c r="F4099" s="2"/>
    </row>
    <row r="4100">
      <c r="A4100" s="2">
        <f>IFERROR(__xludf.DUMMYFUNCTION("""COMPUTED_VALUE"""),48630.0)</f>
        <v>48630</v>
      </c>
      <c r="B4100" s="2">
        <f>IFERROR(__xludf.DUMMYFUNCTION("""COMPUTED_VALUE"""),0.0)</f>
        <v>0</v>
      </c>
      <c r="C4100" s="2">
        <f>IFERROR(__xludf.DUMMYFUNCTION("""COMPUTED_VALUE"""),66.0)</f>
        <v>66</v>
      </c>
      <c r="D4100" s="3">
        <f>IFERROR(__xludf.DUMMYFUNCTION("""COMPUTED_VALUE"""),39.0)</f>
        <v>39</v>
      </c>
      <c r="E4100" s="2"/>
      <c r="F4100" s="2"/>
    </row>
    <row r="4101">
      <c r="A4101" s="2">
        <f>IFERROR(__xludf.DUMMYFUNCTION("""COMPUTED_VALUE"""),48624.0)</f>
        <v>48624</v>
      </c>
      <c r="B4101" s="2">
        <f>IFERROR(__xludf.DUMMYFUNCTION("""COMPUTED_VALUE"""),1.0)</f>
        <v>1</v>
      </c>
      <c r="C4101" s="2">
        <f>IFERROR(__xludf.DUMMYFUNCTION("""COMPUTED_VALUE"""),685.0)</f>
        <v>685</v>
      </c>
      <c r="D4101" s="3">
        <f>IFERROR(__xludf.DUMMYFUNCTION("""COMPUTED_VALUE"""),246.0)</f>
        <v>246</v>
      </c>
      <c r="E4101" s="2"/>
      <c r="F4101" s="2"/>
    </row>
    <row r="4102">
      <c r="A4102" s="2">
        <f>IFERROR(__xludf.DUMMYFUNCTION("""COMPUTED_VALUE"""),10573.0)</f>
        <v>10573</v>
      </c>
      <c r="B4102" s="2">
        <f>IFERROR(__xludf.DUMMYFUNCTION("""COMPUTED_VALUE"""),1.0)</f>
        <v>1</v>
      </c>
      <c r="C4102" s="2">
        <f>IFERROR(__xludf.DUMMYFUNCTION("""COMPUTED_VALUE"""),918.0)</f>
        <v>918</v>
      </c>
      <c r="D4102" s="3">
        <f>IFERROR(__xludf.DUMMYFUNCTION("""COMPUTED_VALUE"""),485.0)</f>
        <v>485</v>
      </c>
      <c r="E4102" s="2"/>
      <c r="F4102" s="2"/>
    </row>
    <row r="4103">
      <c r="A4103" s="2">
        <f>IFERROR(__xludf.DUMMYFUNCTION("""COMPUTED_VALUE"""),18115.0)</f>
        <v>18115</v>
      </c>
      <c r="B4103" s="2">
        <f>IFERROR(__xludf.DUMMYFUNCTION("""COMPUTED_VALUE"""),0.0)</f>
        <v>0</v>
      </c>
      <c r="C4103" s="2">
        <f>IFERROR(__xludf.DUMMYFUNCTION("""COMPUTED_VALUE"""),818.0)</f>
        <v>818</v>
      </c>
      <c r="D4103" s="3">
        <f>IFERROR(__xludf.DUMMYFUNCTION("""COMPUTED_VALUE"""),395.0)</f>
        <v>395</v>
      </c>
      <c r="E4103" s="2"/>
      <c r="F4103" s="2"/>
    </row>
    <row r="4104">
      <c r="A4104" s="2">
        <f>IFERROR(__xludf.DUMMYFUNCTION("""COMPUTED_VALUE"""),83057.0)</f>
        <v>83057</v>
      </c>
      <c r="B4104" s="2">
        <f>IFERROR(__xludf.DUMMYFUNCTION("""COMPUTED_VALUE"""),0.0)</f>
        <v>0</v>
      </c>
      <c r="C4104" s="2">
        <f>IFERROR(__xludf.DUMMYFUNCTION("""COMPUTED_VALUE"""),494.0)</f>
        <v>494</v>
      </c>
      <c r="D4104" s="3">
        <f>IFERROR(__xludf.DUMMYFUNCTION("""COMPUTED_VALUE"""),315.0)</f>
        <v>315</v>
      </c>
      <c r="E4104" s="2"/>
      <c r="F4104" s="2"/>
    </row>
    <row r="4105">
      <c r="A4105" s="2">
        <f>IFERROR(__xludf.DUMMYFUNCTION("""COMPUTED_VALUE"""),26727.0)</f>
        <v>26727</v>
      </c>
      <c r="B4105" s="2">
        <f>IFERROR(__xludf.DUMMYFUNCTION("""COMPUTED_VALUE"""),0.0)</f>
        <v>0</v>
      </c>
      <c r="C4105" s="2">
        <f>IFERROR(__xludf.DUMMYFUNCTION("""COMPUTED_VALUE"""),372.0)</f>
        <v>372</v>
      </c>
      <c r="D4105" s="3">
        <f>IFERROR(__xludf.DUMMYFUNCTION("""COMPUTED_VALUE"""),145.0)</f>
        <v>145</v>
      </c>
      <c r="E4105" s="2"/>
      <c r="F4105" s="2"/>
    </row>
    <row r="4106">
      <c r="A4106" s="2">
        <f>IFERROR(__xludf.DUMMYFUNCTION("""COMPUTED_VALUE"""),85779.0)</f>
        <v>85779</v>
      </c>
      <c r="B4106" s="2">
        <f>IFERROR(__xludf.DUMMYFUNCTION("""COMPUTED_VALUE"""),1.0)</f>
        <v>1</v>
      </c>
      <c r="C4106" s="2">
        <f>IFERROR(__xludf.DUMMYFUNCTION("""COMPUTED_VALUE"""),436.0)</f>
        <v>436</v>
      </c>
      <c r="D4106" s="3">
        <f>IFERROR(__xludf.DUMMYFUNCTION("""COMPUTED_VALUE"""),151.0)</f>
        <v>151</v>
      </c>
      <c r="E4106" s="2"/>
      <c r="F4106" s="2"/>
    </row>
    <row r="4107">
      <c r="A4107" s="2">
        <f>IFERROR(__xludf.DUMMYFUNCTION("""COMPUTED_VALUE"""),84396.0)</f>
        <v>84396</v>
      </c>
      <c r="B4107" s="2">
        <f>IFERROR(__xludf.DUMMYFUNCTION("""COMPUTED_VALUE"""),1.0)</f>
        <v>1</v>
      </c>
      <c r="C4107" s="2">
        <f>IFERROR(__xludf.DUMMYFUNCTION("""COMPUTED_VALUE"""),549.0)</f>
        <v>549</v>
      </c>
      <c r="D4107" s="3">
        <f>IFERROR(__xludf.DUMMYFUNCTION("""COMPUTED_VALUE"""),319.0)</f>
        <v>319</v>
      </c>
      <c r="E4107" s="2"/>
      <c r="F4107" s="2"/>
    </row>
    <row r="4108">
      <c r="A4108" s="2">
        <f>IFERROR(__xludf.DUMMYFUNCTION("""COMPUTED_VALUE"""),42676.0)</f>
        <v>42676</v>
      </c>
      <c r="B4108" s="2">
        <f>IFERROR(__xludf.DUMMYFUNCTION("""COMPUTED_VALUE"""),1.0)</f>
        <v>1</v>
      </c>
      <c r="C4108" s="2">
        <f>IFERROR(__xludf.DUMMYFUNCTION("""COMPUTED_VALUE"""),569.0)</f>
        <v>569</v>
      </c>
      <c r="D4108" s="3">
        <f>IFERROR(__xludf.DUMMYFUNCTION("""COMPUTED_VALUE"""),528.0)</f>
        <v>528</v>
      </c>
      <c r="E4108" s="2"/>
      <c r="F4108" s="2"/>
    </row>
    <row r="4109">
      <c r="A4109" s="2">
        <f>IFERROR(__xludf.DUMMYFUNCTION("""COMPUTED_VALUE"""),108380.0)</f>
        <v>108380</v>
      </c>
      <c r="B4109" s="2">
        <f>IFERROR(__xludf.DUMMYFUNCTION("""COMPUTED_VALUE"""),1.0)</f>
        <v>1</v>
      </c>
      <c r="C4109" s="2">
        <f>IFERROR(__xludf.DUMMYFUNCTION("""COMPUTED_VALUE"""),767.0)</f>
        <v>767</v>
      </c>
      <c r="D4109" s="3">
        <f>IFERROR(__xludf.DUMMYFUNCTION("""COMPUTED_VALUE"""),169.0)</f>
        <v>169</v>
      </c>
      <c r="E4109" s="2"/>
      <c r="F4109" s="2"/>
    </row>
    <row r="4110">
      <c r="A4110" s="2">
        <f>IFERROR(__xludf.DUMMYFUNCTION("""COMPUTED_VALUE"""),10565.0)</f>
        <v>10565</v>
      </c>
      <c r="B4110" s="2">
        <f>IFERROR(__xludf.DUMMYFUNCTION("""COMPUTED_VALUE"""),0.0)</f>
        <v>0</v>
      </c>
      <c r="C4110" s="2">
        <f>IFERROR(__xludf.DUMMYFUNCTION("""COMPUTED_VALUE"""),542.0)</f>
        <v>542</v>
      </c>
      <c r="D4110" s="3">
        <f>IFERROR(__xludf.DUMMYFUNCTION("""COMPUTED_VALUE"""),510.0)</f>
        <v>510</v>
      </c>
      <c r="E4110" s="2"/>
      <c r="F4110" s="2"/>
    </row>
    <row r="4111">
      <c r="A4111" s="2">
        <f>IFERROR(__xludf.DUMMYFUNCTION("""COMPUTED_VALUE"""),107631.0)</f>
        <v>107631</v>
      </c>
      <c r="B4111" s="2">
        <f>IFERROR(__xludf.DUMMYFUNCTION("""COMPUTED_VALUE"""),0.0)</f>
        <v>0</v>
      </c>
      <c r="C4111" s="2">
        <f>IFERROR(__xludf.DUMMYFUNCTION("""COMPUTED_VALUE"""),996.0)</f>
        <v>996</v>
      </c>
      <c r="D4111" s="3">
        <f>IFERROR(__xludf.DUMMYFUNCTION("""COMPUTED_VALUE"""),246.0)</f>
        <v>246</v>
      </c>
      <c r="E4111" s="2"/>
      <c r="F4111" s="2"/>
    </row>
    <row r="4112">
      <c r="A4112" s="2">
        <f>IFERROR(__xludf.DUMMYFUNCTION("""COMPUTED_VALUE"""),24061.0)</f>
        <v>24061</v>
      </c>
      <c r="B4112" s="2">
        <f>IFERROR(__xludf.DUMMYFUNCTION("""COMPUTED_VALUE"""),1.0)</f>
        <v>1</v>
      </c>
      <c r="C4112" s="2">
        <f>IFERROR(__xludf.DUMMYFUNCTION("""COMPUTED_VALUE"""),212.0)</f>
        <v>212</v>
      </c>
      <c r="D4112" s="3">
        <f>IFERROR(__xludf.DUMMYFUNCTION("""COMPUTED_VALUE"""),206.0)</f>
        <v>206</v>
      </c>
      <c r="E4112" s="2"/>
      <c r="F4112" s="2"/>
    </row>
    <row r="4113">
      <c r="A4113" s="2">
        <f>IFERROR(__xludf.DUMMYFUNCTION("""COMPUTED_VALUE"""),182051.0)</f>
        <v>182051</v>
      </c>
      <c r="B4113" s="2">
        <f>IFERROR(__xludf.DUMMYFUNCTION("""COMPUTED_VALUE"""),1.0)</f>
        <v>1</v>
      </c>
      <c r="C4113" s="2">
        <f>IFERROR(__xludf.DUMMYFUNCTION("""COMPUTED_VALUE"""),932.0)</f>
        <v>932</v>
      </c>
      <c r="D4113" s="3">
        <f>IFERROR(__xludf.DUMMYFUNCTION("""COMPUTED_VALUE"""),499.0)</f>
        <v>499</v>
      </c>
      <c r="E4113" s="2"/>
      <c r="F4113" s="2"/>
    </row>
    <row r="4114">
      <c r="A4114" s="2">
        <f>IFERROR(__xludf.DUMMYFUNCTION("""COMPUTED_VALUE"""),86360.0)</f>
        <v>86360</v>
      </c>
      <c r="B4114" s="2">
        <f>IFERROR(__xludf.DUMMYFUNCTION("""COMPUTED_VALUE"""),0.0)</f>
        <v>0</v>
      </c>
      <c r="C4114" s="2">
        <f>IFERROR(__xludf.DUMMYFUNCTION("""COMPUTED_VALUE"""),399.0)</f>
        <v>399</v>
      </c>
      <c r="D4114" s="3">
        <f>IFERROR(__xludf.DUMMYFUNCTION("""COMPUTED_VALUE"""),305.0)</f>
        <v>305</v>
      </c>
      <c r="E4114" s="2"/>
      <c r="F4114" s="2"/>
    </row>
    <row r="4115">
      <c r="A4115" s="2">
        <f>IFERROR(__xludf.DUMMYFUNCTION("""COMPUTED_VALUE"""),10566.0)</f>
        <v>10566</v>
      </c>
      <c r="B4115" s="2">
        <f>IFERROR(__xludf.DUMMYFUNCTION("""COMPUTED_VALUE"""),1.0)</f>
        <v>1</v>
      </c>
      <c r="C4115" s="2">
        <f>IFERROR(__xludf.DUMMYFUNCTION("""COMPUTED_VALUE"""),278.0)</f>
        <v>278</v>
      </c>
      <c r="D4115" s="3">
        <f>IFERROR(__xludf.DUMMYFUNCTION("""COMPUTED_VALUE"""),221.0)</f>
        <v>221</v>
      </c>
      <c r="E4115" s="2"/>
      <c r="F4115" s="2"/>
    </row>
    <row r="4116">
      <c r="A4116" s="2">
        <f>IFERROR(__xludf.DUMMYFUNCTION("""COMPUTED_VALUE"""),182014.0)</f>
        <v>182014</v>
      </c>
      <c r="B4116" s="2">
        <f>IFERROR(__xludf.DUMMYFUNCTION("""COMPUTED_VALUE"""),1.0)</f>
        <v>1</v>
      </c>
      <c r="C4116" s="2">
        <f>IFERROR(__xludf.DUMMYFUNCTION("""COMPUTED_VALUE"""),320.0)</f>
        <v>320</v>
      </c>
      <c r="D4116" s="3">
        <f>IFERROR(__xludf.DUMMYFUNCTION("""COMPUTED_VALUE"""),139.0)</f>
        <v>139</v>
      </c>
      <c r="E4116" s="2"/>
      <c r="F4116" s="2"/>
    </row>
    <row r="4117">
      <c r="A4117" s="2">
        <f>IFERROR(__xludf.DUMMYFUNCTION("""COMPUTED_VALUE"""),182010.0)</f>
        <v>182010</v>
      </c>
      <c r="B4117" s="2">
        <f>IFERROR(__xludf.DUMMYFUNCTION("""COMPUTED_VALUE"""),1.0)</f>
        <v>1</v>
      </c>
      <c r="C4117" s="2">
        <f>IFERROR(__xludf.DUMMYFUNCTION("""COMPUTED_VALUE"""),46.0)</f>
        <v>46</v>
      </c>
      <c r="D4117" s="3">
        <f>IFERROR(__xludf.DUMMYFUNCTION("""COMPUTED_VALUE"""),5.0)</f>
        <v>5</v>
      </c>
      <c r="E4117" s="2"/>
      <c r="F4117" s="2"/>
    </row>
    <row r="4118">
      <c r="A4118" s="2">
        <f>IFERROR(__xludf.DUMMYFUNCTION("""COMPUTED_VALUE"""),24076.0)</f>
        <v>24076</v>
      </c>
      <c r="B4118" s="2">
        <f>IFERROR(__xludf.DUMMYFUNCTION("""COMPUTED_VALUE"""),1.0)</f>
        <v>1</v>
      </c>
      <c r="C4118" s="2">
        <f>IFERROR(__xludf.DUMMYFUNCTION("""COMPUTED_VALUE"""),894.0)</f>
        <v>894</v>
      </c>
      <c r="D4118" s="3">
        <f>IFERROR(__xludf.DUMMYFUNCTION("""COMPUTED_VALUE"""),800.0)</f>
        <v>800</v>
      </c>
      <c r="E4118" s="2"/>
      <c r="F4118" s="2"/>
    </row>
    <row r="4119">
      <c r="A4119" s="2">
        <f>IFERROR(__xludf.DUMMYFUNCTION("""COMPUTED_VALUE"""),10572.0)</f>
        <v>10572</v>
      </c>
      <c r="B4119" s="2">
        <f>IFERROR(__xludf.DUMMYFUNCTION("""COMPUTED_VALUE"""),1.0)</f>
        <v>1</v>
      </c>
      <c r="C4119" s="2">
        <f>IFERROR(__xludf.DUMMYFUNCTION("""COMPUTED_VALUE"""),513.0)</f>
        <v>513</v>
      </c>
      <c r="D4119" s="3">
        <f>IFERROR(__xludf.DUMMYFUNCTION("""COMPUTED_VALUE"""),112.0)</f>
        <v>112</v>
      </c>
      <c r="E4119" s="2"/>
      <c r="F4119" s="2"/>
    </row>
    <row r="4120">
      <c r="A4120" s="2">
        <f>IFERROR(__xludf.DUMMYFUNCTION("""COMPUTED_VALUE"""),47527.0)</f>
        <v>47527</v>
      </c>
      <c r="B4120" s="2">
        <f>IFERROR(__xludf.DUMMYFUNCTION("""COMPUTED_VALUE"""),1.0)</f>
        <v>1</v>
      </c>
      <c r="C4120" s="2">
        <f>IFERROR(__xludf.DUMMYFUNCTION("""COMPUTED_VALUE"""),552.0)</f>
        <v>552</v>
      </c>
      <c r="D4120" s="3">
        <f>IFERROR(__xludf.DUMMYFUNCTION("""COMPUTED_VALUE"""),521.0)</f>
        <v>521</v>
      </c>
      <c r="E4120" s="2"/>
      <c r="F4120" s="2"/>
    </row>
    <row r="4121">
      <c r="A4121" s="2">
        <f>IFERROR(__xludf.DUMMYFUNCTION("""COMPUTED_VALUE"""),10577.0)</f>
        <v>10577</v>
      </c>
      <c r="B4121" s="2">
        <f>IFERROR(__xludf.DUMMYFUNCTION("""COMPUTED_VALUE"""),1.0)</f>
        <v>1</v>
      </c>
      <c r="C4121" s="2">
        <f>IFERROR(__xludf.DUMMYFUNCTION("""COMPUTED_VALUE"""),205.0)</f>
        <v>205</v>
      </c>
      <c r="D4121" s="3">
        <f>IFERROR(__xludf.DUMMYFUNCTION("""COMPUTED_VALUE"""),30.0)</f>
        <v>30</v>
      </c>
      <c r="E4121" s="2"/>
      <c r="F4121" s="2"/>
    </row>
    <row r="4122">
      <c r="A4122" s="2">
        <f>IFERROR(__xludf.DUMMYFUNCTION("""COMPUTED_VALUE"""),81914.0)</f>
        <v>81914</v>
      </c>
      <c r="B4122" s="2">
        <f>IFERROR(__xludf.DUMMYFUNCTION("""COMPUTED_VALUE"""),0.0)</f>
        <v>0</v>
      </c>
      <c r="C4122" s="2">
        <f>IFERROR(__xludf.DUMMYFUNCTION("""COMPUTED_VALUE"""),542.0)</f>
        <v>542</v>
      </c>
      <c r="D4122" s="3">
        <f>IFERROR(__xludf.DUMMYFUNCTION("""COMPUTED_VALUE"""),151.0)</f>
        <v>151</v>
      </c>
      <c r="E4122" s="2"/>
      <c r="F4122" s="2"/>
    </row>
    <row r="4123">
      <c r="A4123" s="2">
        <f>IFERROR(__xludf.DUMMYFUNCTION("""COMPUTED_VALUE"""),120186.0)</f>
        <v>120186</v>
      </c>
      <c r="B4123" s="2">
        <f>IFERROR(__xludf.DUMMYFUNCTION("""COMPUTED_VALUE"""),0.0)</f>
        <v>0</v>
      </c>
      <c r="C4123" s="2">
        <f>IFERROR(__xludf.DUMMYFUNCTION("""COMPUTED_VALUE"""),374.0)</f>
        <v>374</v>
      </c>
      <c r="D4123" s="3">
        <f>IFERROR(__xludf.DUMMYFUNCTION("""COMPUTED_VALUE"""),26.0)</f>
        <v>26</v>
      </c>
      <c r="E4123" s="2"/>
      <c r="F4123" s="2"/>
    </row>
    <row r="4124">
      <c r="A4124" s="2">
        <f>IFERROR(__xludf.DUMMYFUNCTION("""COMPUTED_VALUE"""),182015.0)</f>
        <v>182015</v>
      </c>
      <c r="B4124" s="2">
        <f>IFERROR(__xludf.DUMMYFUNCTION("""COMPUTED_VALUE"""),1.0)</f>
        <v>1</v>
      </c>
      <c r="C4124" s="2">
        <f>IFERROR(__xludf.DUMMYFUNCTION("""COMPUTED_VALUE"""),883.0)</f>
        <v>883</v>
      </c>
      <c r="D4124" s="3">
        <f>IFERROR(__xludf.DUMMYFUNCTION("""COMPUTED_VALUE"""),308.0)</f>
        <v>308</v>
      </c>
      <c r="E4124" s="2"/>
      <c r="F4124" s="2"/>
    </row>
    <row r="4125">
      <c r="A4125" s="2">
        <f>IFERROR(__xludf.DUMMYFUNCTION("""COMPUTED_VALUE"""),117919.0)</f>
        <v>117919</v>
      </c>
      <c r="B4125" s="2">
        <f>IFERROR(__xludf.DUMMYFUNCTION("""COMPUTED_VALUE"""),0.0)</f>
        <v>0</v>
      </c>
      <c r="C4125" s="2">
        <f>IFERROR(__xludf.DUMMYFUNCTION("""COMPUTED_VALUE"""),30.0)</f>
        <v>30</v>
      </c>
      <c r="D4125" s="3">
        <f>IFERROR(__xludf.DUMMYFUNCTION("""COMPUTED_VALUE"""),14.0)</f>
        <v>14</v>
      </c>
      <c r="E4125" s="2"/>
      <c r="F4125" s="2"/>
    </row>
    <row r="4126">
      <c r="A4126" s="2">
        <f>IFERROR(__xludf.DUMMYFUNCTION("""COMPUTED_VALUE"""),71228.0)</f>
        <v>71228</v>
      </c>
      <c r="B4126" s="2">
        <f>IFERROR(__xludf.DUMMYFUNCTION("""COMPUTED_VALUE"""),0.0)</f>
        <v>0</v>
      </c>
      <c r="C4126" s="2">
        <f>IFERROR(__xludf.DUMMYFUNCTION("""COMPUTED_VALUE"""),680.0)</f>
        <v>680</v>
      </c>
      <c r="D4126" s="3">
        <f>IFERROR(__xludf.DUMMYFUNCTION("""COMPUTED_VALUE"""),522.0)</f>
        <v>522</v>
      </c>
      <c r="E4126" s="2"/>
      <c r="F4126" s="2"/>
    </row>
    <row r="4127">
      <c r="A4127" s="2">
        <f>IFERROR(__xludf.DUMMYFUNCTION("""COMPUTED_VALUE"""),67264.0)</f>
        <v>67264</v>
      </c>
      <c r="B4127" s="2">
        <f>IFERROR(__xludf.DUMMYFUNCTION("""COMPUTED_VALUE"""),1.0)</f>
        <v>1</v>
      </c>
      <c r="C4127" s="2">
        <f>IFERROR(__xludf.DUMMYFUNCTION("""COMPUTED_VALUE"""),68.0)</f>
        <v>68</v>
      </c>
      <c r="D4127" s="3">
        <f>IFERROR(__xludf.DUMMYFUNCTION("""COMPUTED_VALUE"""),44.0)</f>
        <v>44</v>
      </c>
      <c r="E4127" s="2"/>
      <c r="F4127" s="2"/>
    </row>
    <row r="4128">
      <c r="A4128" s="2">
        <f>IFERROR(__xludf.DUMMYFUNCTION("""COMPUTED_VALUE"""),82984.0)</f>
        <v>82984</v>
      </c>
      <c r="B4128" s="2">
        <f>IFERROR(__xludf.DUMMYFUNCTION("""COMPUTED_VALUE"""),1.0)</f>
        <v>1</v>
      </c>
      <c r="C4128" s="2">
        <f>IFERROR(__xludf.DUMMYFUNCTION("""COMPUTED_VALUE"""),503.0)</f>
        <v>503</v>
      </c>
      <c r="D4128" s="3">
        <f>IFERROR(__xludf.DUMMYFUNCTION("""COMPUTED_VALUE"""),292.0)</f>
        <v>292</v>
      </c>
      <c r="E4128" s="2"/>
      <c r="F4128" s="2"/>
    </row>
    <row r="4129">
      <c r="A4129" s="2">
        <f>IFERROR(__xludf.DUMMYFUNCTION("""COMPUTED_VALUE"""),86420.0)</f>
        <v>86420</v>
      </c>
      <c r="B4129" s="2">
        <f>IFERROR(__xludf.DUMMYFUNCTION("""COMPUTED_VALUE"""),0.0)</f>
        <v>0</v>
      </c>
      <c r="C4129" s="2">
        <f>IFERROR(__xludf.DUMMYFUNCTION("""COMPUTED_VALUE"""),877.0)</f>
        <v>877</v>
      </c>
      <c r="D4129" s="3">
        <f>IFERROR(__xludf.DUMMYFUNCTION("""COMPUTED_VALUE"""),235.0)</f>
        <v>235</v>
      </c>
      <c r="E4129" s="2"/>
      <c r="F4129" s="2"/>
    </row>
    <row r="4130">
      <c r="A4130" s="2">
        <f>IFERROR(__xludf.DUMMYFUNCTION("""COMPUTED_VALUE"""),71227.0)</f>
        <v>71227</v>
      </c>
      <c r="B4130" s="2">
        <f>IFERROR(__xludf.DUMMYFUNCTION("""COMPUTED_VALUE"""),1.0)</f>
        <v>1</v>
      </c>
      <c r="C4130" s="2">
        <f>IFERROR(__xludf.DUMMYFUNCTION("""COMPUTED_VALUE"""),893.0)</f>
        <v>893</v>
      </c>
      <c r="D4130" s="3">
        <f>IFERROR(__xludf.DUMMYFUNCTION("""COMPUTED_VALUE"""),537.0)</f>
        <v>537</v>
      </c>
      <c r="E4130" s="2"/>
      <c r="F4130" s="2"/>
    </row>
    <row r="4131">
      <c r="A4131" s="2">
        <f>IFERROR(__xludf.DUMMYFUNCTION("""COMPUTED_VALUE"""),18055.0)</f>
        <v>18055</v>
      </c>
      <c r="B4131" s="2">
        <f>IFERROR(__xludf.DUMMYFUNCTION("""COMPUTED_VALUE"""),1.0)</f>
        <v>1</v>
      </c>
      <c r="C4131" s="2">
        <f>IFERROR(__xludf.DUMMYFUNCTION("""COMPUTED_VALUE"""),733.0)</f>
        <v>733</v>
      </c>
      <c r="D4131" s="3">
        <f>IFERROR(__xludf.DUMMYFUNCTION("""COMPUTED_VALUE"""),270.0)</f>
        <v>270</v>
      </c>
      <c r="E4131" s="2"/>
      <c r="F4131" s="2"/>
    </row>
    <row r="4132">
      <c r="A4132" s="2">
        <f>IFERROR(__xludf.DUMMYFUNCTION("""COMPUTED_VALUE"""),82989.0)</f>
        <v>82989</v>
      </c>
      <c r="B4132" s="2">
        <f>IFERROR(__xludf.DUMMYFUNCTION("""COMPUTED_VALUE"""),0.0)</f>
        <v>0</v>
      </c>
      <c r="C4132" s="2">
        <f>IFERROR(__xludf.DUMMYFUNCTION("""COMPUTED_VALUE"""),106.0)</f>
        <v>106</v>
      </c>
      <c r="D4132" s="3">
        <f>IFERROR(__xludf.DUMMYFUNCTION("""COMPUTED_VALUE"""),61.0)</f>
        <v>61</v>
      </c>
      <c r="E4132" s="2"/>
      <c r="F4132" s="2"/>
    </row>
    <row r="4133">
      <c r="A4133" s="2">
        <f>IFERROR(__xludf.DUMMYFUNCTION("""COMPUTED_VALUE"""),86438.0)</f>
        <v>86438</v>
      </c>
      <c r="B4133" s="2">
        <f>IFERROR(__xludf.DUMMYFUNCTION("""COMPUTED_VALUE"""),1.0)</f>
        <v>1</v>
      </c>
      <c r="C4133" s="2">
        <f>IFERROR(__xludf.DUMMYFUNCTION("""COMPUTED_VALUE"""),494.0)</f>
        <v>494</v>
      </c>
      <c r="D4133" s="3">
        <f>IFERROR(__xludf.DUMMYFUNCTION("""COMPUTED_VALUE"""),223.0)</f>
        <v>223</v>
      </c>
      <c r="E4133" s="2"/>
      <c r="F4133" s="2"/>
    </row>
    <row r="4134">
      <c r="A4134" s="2">
        <f>IFERROR(__xludf.DUMMYFUNCTION("""COMPUTED_VALUE"""),18061.0)</f>
        <v>18061</v>
      </c>
      <c r="B4134" s="2">
        <f>IFERROR(__xludf.DUMMYFUNCTION("""COMPUTED_VALUE"""),1.0)</f>
        <v>1</v>
      </c>
      <c r="C4134" s="2">
        <f>IFERROR(__xludf.DUMMYFUNCTION("""COMPUTED_VALUE"""),246.0)</f>
        <v>246</v>
      </c>
      <c r="D4134" s="3">
        <f>IFERROR(__xludf.DUMMYFUNCTION("""COMPUTED_VALUE"""),206.0)</f>
        <v>206</v>
      </c>
      <c r="E4134" s="2"/>
      <c r="F4134" s="2"/>
    </row>
    <row r="4135">
      <c r="A4135" s="2">
        <f>IFERROR(__xludf.DUMMYFUNCTION("""COMPUTED_VALUE"""),67265.0)</f>
        <v>67265</v>
      </c>
      <c r="B4135" s="2">
        <f>IFERROR(__xludf.DUMMYFUNCTION("""COMPUTED_VALUE"""),1.0)</f>
        <v>1</v>
      </c>
      <c r="C4135" s="2">
        <f>IFERROR(__xludf.DUMMYFUNCTION("""COMPUTED_VALUE"""),288.0)</f>
        <v>288</v>
      </c>
      <c r="D4135" s="3">
        <f>IFERROR(__xludf.DUMMYFUNCTION("""COMPUTED_VALUE"""),144.0)</f>
        <v>144</v>
      </c>
      <c r="E4135" s="2"/>
      <c r="F4135" s="2"/>
    </row>
    <row r="4136">
      <c r="A4136" s="2">
        <f>IFERROR(__xludf.DUMMYFUNCTION("""COMPUTED_VALUE"""),69552.0)</f>
        <v>69552</v>
      </c>
      <c r="B4136" s="2">
        <f>IFERROR(__xludf.DUMMYFUNCTION("""COMPUTED_VALUE"""),1.0)</f>
        <v>1</v>
      </c>
      <c r="C4136" s="2">
        <f>IFERROR(__xludf.DUMMYFUNCTION("""COMPUTED_VALUE"""),939.0)</f>
        <v>939</v>
      </c>
      <c r="D4136" s="3">
        <f>IFERROR(__xludf.DUMMYFUNCTION("""COMPUTED_VALUE"""),297.0)</f>
        <v>297</v>
      </c>
      <c r="E4136" s="2"/>
      <c r="F4136" s="2"/>
    </row>
    <row r="4137">
      <c r="A4137" s="2">
        <f>IFERROR(__xludf.DUMMYFUNCTION("""COMPUTED_VALUE"""),110955.0)</f>
        <v>110955</v>
      </c>
      <c r="B4137" s="2">
        <f>IFERROR(__xludf.DUMMYFUNCTION("""COMPUTED_VALUE"""),1.0)</f>
        <v>1</v>
      </c>
      <c r="C4137" s="2">
        <f>IFERROR(__xludf.DUMMYFUNCTION("""COMPUTED_VALUE"""),948.0)</f>
        <v>948</v>
      </c>
      <c r="D4137" s="3">
        <f>IFERROR(__xludf.DUMMYFUNCTION("""COMPUTED_VALUE"""),844.0)</f>
        <v>844</v>
      </c>
      <c r="E4137" s="2"/>
      <c r="F4137" s="2"/>
    </row>
    <row r="4138">
      <c r="A4138" s="2">
        <f>IFERROR(__xludf.DUMMYFUNCTION("""COMPUTED_VALUE"""),79505.0)</f>
        <v>79505</v>
      </c>
      <c r="B4138" s="2">
        <f>IFERROR(__xludf.DUMMYFUNCTION("""COMPUTED_VALUE"""),1.0)</f>
        <v>1</v>
      </c>
      <c r="C4138" s="2">
        <f>IFERROR(__xludf.DUMMYFUNCTION("""COMPUTED_VALUE"""),880.0)</f>
        <v>880</v>
      </c>
      <c r="D4138" s="3">
        <f>IFERROR(__xludf.DUMMYFUNCTION("""COMPUTED_VALUE"""),201.0)</f>
        <v>201</v>
      </c>
      <c r="E4138" s="2"/>
      <c r="F4138" s="2"/>
    </row>
    <row r="4139">
      <c r="A4139" s="2">
        <f>IFERROR(__xludf.DUMMYFUNCTION("""COMPUTED_VALUE"""),110943.0)</f>
        <v>110943</v>
      </c>
      <c r="B4139" s="2">
        <f>IFERROR(__xludf.DUMMYFUNCTION("""COMPUTED_VALUE"""),0.0)</f>
        <v>0</v>
      </c>
      <c r="C4139" s="2">
        <f>IFERROR(__xludf.DUMMYFUNCTION("""COMPUTED_VALUE"""),80.0)</f>
        <v>80</v>
      </c>
      <c r="D4139" s="3">
        <f>IFERROR(__xludf.DUMMYFUNCTION("""COMPUTED_VALUE"""),22.0)</f>
        <v>22</v>
      </c>
      <c r="E4139" s="2"/>
      <c r="F4139" s="2"/>
    </row>
    <row r="4140">
      <c r="A4140" s="2">
        <f>IFERROR(__xludf.DUMMYFUNCTION("""COMPUTED_VALUE"""),119048.0)</f>
        <v>119048</v>
      </c>
      <c r="B4140" s="2">
        <f>IFERROR(__xludf.DUMMYFUNCTION("""COMPUTED_VALUE"""),0.0)</f>
        <v>0</v>
      </c>
      <c r="C4140" s="2">
        <f>IFERROR(__xludf.DUMMYFUNCTION("""COMPUTED_VALUE"""),202.0)</f>
        <v>202</v>
      </c>
      <c r="D4140" s="3">
        <f>IFERROR(__xludf.DUMMYFUNCTION("""COMPUTED_VALUE"""),155.0)</f>
        <v>155</v>
      </c>
      <c r="E4140" s="2"/>
      <c r="F4140" s="2"/>
    </row>
    <row r="4141">
      <c r="A4141" s="2">
        <f>IFERROR(__xludf.DUMMYFUNCTION("""COMPUTED_VALUE"""),42695.0)</f>
        <v>42695</v>
      </c>
      <c r="B4141" s="2">
        <f>IFERROR(__xludf.DUMMYFUNCTION("""COMPUTED_VALUE"""),1.0)</f>
        <v>1</v>
      </c>
      <c r="C4141" s="2">
        <f>IFERROR(__xludf.DUMMYFUNCTION("""COMPUTED_VALUE"""),360.0)</f>
        <v>360</v>
      </c>
      <c r="D4141" s="3">
        <f>IFERROR(__xludf.DUMMYFUNCTION("""COMPUTED_VALUE"""),39.0)</f>
        <v>39</v>
      </c>
      <c r="E4141" s="2"/>
      <c r="F4141" s="2"/>
    </row>
    <row r="4142">
      <c r="A4142" s="2">
        <f>IFERROR(__xludf.DUMMYFUNCTION("""COMPUTED_VALUE"""),88980.0)</f>
        <v>88980</v>
      </c>
      <c r="B4142" s="2">
        <f>IFERROR(__xludf.DUMMYFUNCTION("""COMPUTED_VALUE"""),0.0)</f>
        <v>0</v>
      </c>
      <c r="C4142" s="2">
        <f>IFERROR(__xludf.DUMMYFUNCTION("""COMPUTED_VALUE"""),101.0)</f>
        <v>101</v>
      </c>
      <c r="D4142" s="3">
        <f>IFERROR(__xludf.DUMMYFUNCTION("""COMPUTED_VALUE"""),28.0)</f>
        <v>28</v>
      </c>
      <c r="E4142" s="2"/>
      <c r="F4142" s="2"/>
    </row>
    <row r="4143">
      <c r="A4143" s="2">
        <f>IFERROR(__xludf.DUMMYFUNCTION("""COMPUTED_VALUE"""),149507.0)</f>
        <v>149507</v>
      </c>
      <c r="B4143" s="2">
        <f>IFERROR(__xludf.DUMMYFUNCTION("""COMPUTED_VALUE"""),0.0)</f>
        <v>0</v>
      </c>
      <c r="C4143" s="2">
        <f>IFERROR(__xludf.DUMMYFUNCTION("""COMPUTED_VALUE"""),503.0)</f>
        <v>503</v>
      </c>
      <c r="D4143" s="3">
        <f>IFERROR(__xludf.DUMMYFUNCTION("""COMPUTED_VALUE"""),396.0)</f>
        <v>396</v>
      </c>
      <c r="E4143" s="2"/>
      <c r="F4143" s="2"/>
    </row>
    <row r="4144">
      <c r="A4144" s="2">
        <f>IFERROR(__xludf.DUMMYFUNCTION("""COMPUTED_VALUE"""),86988.0)</f>
        <v>86988</v>
      </c>
      <c r="B4144" s="2">
        <f>IFERROR(__xludf.DUMMYFUNCTION("""COMPUTED_VALUE"""),1.0)</f>
        <v>1</v>
      </c>
      <c r="C4144" s="2">
        <f>IFERROR(__xludf.DUMMYFUNCTION("""COMPUTED_VALUE"""),401.0)</f>
        <v>401</v>
      </c>
      <c r="D4144" s="3">
        <f>IFERROR(__xludf.DUMMYFUNCTION("""COMPUTED_VALUE"""),140.0)</f>
        <v>140</v>
      </c>
      <c r="E4144" s="2"/>
      <c r="F4144" s="2"/>
    </row>
    <row r="4145">
      <c r="A4145" s="2">
        <f>IFERROR(__xludf.DUMMYFUNCTION("""COMPUTED_VALUE"""),73836.0)</f>
        <v>73836</v>
      </c>
      <c r="B4145" s="2">
        <f>IFERROR(__xludf.DUMMYFUNCTION("""COMPUTED_VALUE"""),1.0)</f>
        <v>1</v>
      </c>
      <c r="C4145" s="2">
        <f>IFERROR(__xludf.DUMMYFUNCTION("""COMPUTED_VALUE"""),181.0)</f>
        <v>181</v>
      </c>
      <c r="D4145" s="3">
        <f>IFERROR(__xludf.DUMMYFUNCTION("""COMPUTED_VALUE"""),77.0)</f>
        <v>77</v>
      </c>
      <c r="E4145" s="2"/>
      <c r="F4145" s="2"/>
    </row>
    <row r="4146">
      <c r="A4146" s="2">
        <f>IFERROR(__xludf.DUMMYFUNCTION("""COMPUTED_VALUE"""),69322.0)</f>
        <v>69322</v>
      </c>
      <c r="B4146" s="2">
        <f>IFERROR(__xludf.DUMMYFUNCTION("""COMPUTED_VALUE"""),1.0)</f>
        <v>1</v>
      </c>
      <c r="C4146" s="2">
        <f>IFERROR(__xludf.DUMMYFUNCTION("""COMPUTED_VALUE"""),415.0)</f>
        <v>415</v>
      </c>
      <c r="D4146" s="3">
        <f>IFERROR(__xludf.DUMMYFUNCTION("""COMPUTED_VALUE"""),192.0)</f>
        <v>192</v>
      </c>
      <c r="E4146" s="2"/>
      <c r="F4146" s="2"/>
    </row>
    <row r="4147">
      <c r="A4147" s="2">
        <f>IFERROR(__xludf.DUMMYFUNCTION("""COMPUTED_VALUE"""),8696.0)</f>
        <v>8696</v>
      </c>
      <c r="B4147" s="2">
        <f>IFERROR(__xludf.DUMMYFUNCTION("""COMPUTED_VALUE"""),0.0)</f>
        <v>0</v>
      </c>
      <c r="C4147" s="2">
        <f>IFERROR(__xludf.DUMMYFUNCTION("""COMPUTED_VALUE"""),788.0)</f>
        <v>788</v>
      </c>
      <c r="D4147" s="3">
        <f>IFERROR(__xludf.DUMMYFUNCTION("""COMPUTED_VALUE"""),333.0)</f>
        <v>333</v>
      </c>
      <c r="E4147" s="2"/>
      <c r="F4147" s="2"/>
    </row>
    <row r="4148">
      <c r="A4148" s="2">
        <f>IFERROR(__xludf.DUMMYFUNCTION("""COMPUTED_VALUE"""),119062.0)</f>
        <v>119062</v>
      </c>
      <c r="B4148" s="2">
        <f>IFERROR(__xludf.DUMMYFUNCTION("""COMPUTED_VALUE"""),0.0)</f>
        <v>0</v>
      </c>
      <c r="C4148" s="2">
        <f>IFERROR(__xludf.DUMMYFUNCTION("""COMPUTED_VALUE"""),-10.0)</f>
        <v>-10</v>
      </c>
      <c r="D4148" s="3">
        <f>IFERROR(__xludf.DUMMYFUNCTION("""COMPUTED_VALUE"""),-8.0)</f>
        <v>-8</v>
      </c>
      <c r="E4148" s="2"/>
      <c r="F4148" s="2"/>
    </row>
    <row r="4149">
      <c r="A4149" s="2">
        <f>IFERROR(__xludf.DUMMYFUNCTION("""COMPUTED_VALUE"""),188931.0)</f>
        <v>188931</v>
      </c>
      <c r="B4149" s="2">
        <f>IFERROR(__xludf.DUMMYFUNCTION("""COMPUTED_VALUE"""),1.0)</f>
        <v>1</v>
      </c>
      <c r="C4149" s="2">
        <f>IFERROR(__xludf.DUMMYFUNCTION("""COMPUTED_VALUE"""),315.0)</f>
        <v>315</v>
      </c>
      <c r="D4149" s="3">
        <f>IFERROR(__xludf.DUMMYFUNCTION("""COMPUTED_VALUE"""),297.0)</f>
        <v>297</v>
      </c>
      <c r="E4149" s="2"/>
      <c r="F4149" s="2"/>
    </row>
    <row r="4150">
      <c r="A4150" s="2">
        <f>IFERROR(__xludf.DUMMYFUNCTION("""COMPUTED_VALUE"""),100238.0)</f>
        <v>100238</v>
      </c>
      <c r="B4150" s="2">
        <f>IFERROR(__xludf.DUMMYFUNCTION("""COMPUTED_VALUE"""),1.0)</f>
        <v>1</v>
      </c>
      <c r="C4150" s="2">
        <f>IFERROR(__xludf.DUMMYFUNCTION("""COMPUTED_VALUE"""),466.0)</f>
        <v>466</v>
      </c>
      <c r="D4150" s="3">
        <f>IFERROR(__xludf.DUMMYFUNCTION("""COMPUTED_VALUE"""),17.0)</f>
        <v>17</v>
      </c>
      <c r="E4150" s="2"/>
      <c r="F4150" s="2"/>
    </row>
    <row r="4151">
      <c r="A4151" s="2">
        <f>IFERROR(__xludf.DUMMYFUNCTION("""COMPUTED_VALUE"""),47010.0)</f>
        <v>47010</v>
      </c>
      <c r="B4151" s="2">
        <f>IFERROR(__xludf.DUMMYFUNCTION("""COMPUTED_VALUE"""),0.0)</f>
        <v>0</v>
      </c>
      <c r="C4151" s="2">
        <f>IFERROR(__xludf.DUMMYFUNCTION("""COMPUTED_VALUE"""),496.0)</f>
        <v>496</v>
      </c>
      <c r="D4151" s="3">
        <f>IFERROR(__xludf.DUMMYFUNCTION("""COMPUTED_VALUE"""),37.0)</f>
        <v>37</v>
      </c>
      <c r="E4151" s="2"/>
      <c r="F4151" s="2"/>
    </row>
    <row r="4152">
      <c r="A4152" s="2">
        <f>IFERROR(__xludf.DUMMYFUNCTION("""COMPUTED_VALUE"""),104605.0)</f>
        <v>104605</v>
      </c>
      <c r="B4152" s="2">
        <f>IFERROR(__xludf.DUMMYFUNCTION("""COMPUTED_VALUE"""),0.0)</f>
        <v>0</v>
      </c>
      <c r="C4152" s="2">
        <f>IFERROR(__xludf.DUMMYFUNCTION("""COMPUTED_VALUE"""),379.0)</f>
        <v>379</v>
      </c>
      <c r="D4152" s="3">
        <f>IFERROR(__xludf.DUMMYFUNCTION("""COMPUTED_VALUE"""),24.0)</f>
        <v>24</v>
      </c>
      <c r="E4152" s="2"/>
      <c r="F4152" s="2"/>
    </row>
    <row r="4153">
      <c r="A4153" s="2">
        <f>IFERROR(__xludf.DUMMYFUNCTION("""COMPUTED_VALUE"""),42694.0)</f>
        <v>42694</v>
      </c>
      <c r="B4153" s="2">
        <f>IFERROR(__xludf.DUMMYFUNCTION("""COMPUTED_VALUE"""),0.0)</f>
        <v>0</v>
      </c>
      <c r="C4153" s="2">
        <f>IFERROR(__xludf.DUMMYFUNCTION("""COMPUTED_VALUE"""),827.0)</f>
        <v>827</v>
      </c>
      <c r="D4153" s="3">
        <f>IFERROR(__xludf.DUMMYFUNCTION("""COMPUTED_VALUE"""),414.0)</f>
        <v>414</v>
      </c>
      <c r="E4153" s="2"/>
      <c r="F4153" s="2"/>
    </row>
    <row r="4154">
      <c r="A4154" s="2">
        <f>IFERROR(__xludf.DUMMYFUNCTION("""COMPUTED_VALUE"""),8697.0)</f>
        <v>8697</v>
      </c>
      <c r="B4154" s="2">
        <f>IFERROR(__xludf.DUMMYFUNCTION("""COMPUTED_VALUE"""),1.0)</f>
        <v>1</v>
      </c>
      <c r="C4154" s="2">
        <f>IFERROR(__xludf.DUMMYFUNCTION("""COMPUTED_VALUE"""),594.0)</f>
        <v>594</v>
      </c>
      <c r="D4154" s="3">
        <f>IFERROR(__xludf.DUMMYFUNCTION("""COMPUTED_VALUE"""),444.0)</f>
        <v>444</v>
      </c>
      <c r="E4154" s="2"/>
      <c r="F4154" s="2"/>
    </row>
    <row r="4155">
      <c r="A4155" s="2">
        <f>IFERROR(__xludf.DUMMYFUNCTION("""COMPUTED_VALUE"""),110957.0)</f>
        <v>110957</v>
      </c>
      <c r="B4155" s="2">
        <f>IFERROR(__xludf.DUMMYFUNCTION("""COMPUTED_VALUE"""),0.0)</f>
        <v>0</v>
      </c>
      <c r="C4155" s="2">
        <f>IFERROR(__xludf.DUMMYFUNCTION("""COMPUTED_VALUE"""),809.0)</f>
        <v>809</v>
      </c>
      <c r="D4155" s="3">
        <f>IFERROR(__xludf.DUMMYFUNCTION("""COMPUTED_VALUE"""),270.0)</f>
        <v>270</v>
      </c>
      <c r="E4155" s="2"/>
      <c r="F4155" s="2"/>
    </row>
    <row r="4156">
      <c r="A4156" s="2">
        <f>IFERROR(__xludf.DUMMYFUNCTION("""COMPUTED_VALUE"""),86989.0)</f>
        <v>86989</v>
      </c>
      <c r="B4156" s="2">
        <f>IFERROR(__xludf.DUMMYFUNCTION("""COMPUTED_VALUE"""),0.0)</f>
        <v>0</v>
      </c>
      <c r="C4156" s="2">
        <f>IFERROR(__xludf.DUMMYFUNCTION("""COMPUTED_VALUE"""),492.0)</f>
        <v>492</v>
      </c>
      <c r="D4156" s="3">
        <f>IFERROR(__xludf.DUMMYFUNCTION("""COMPUTED_VALUE"""),0.0)</f>
        <v>0</v>
      </c>
      <c r="E4156" s="2"/>
      <c r="F4156" s="2"/>
    </row>
    <row r="4157">
      <c r="A4157" s="2">
        <f>IFERROR(__xludf.DUMMYFUNCTION("""COMPUTED_VALUE"""),8695.0)</f>
        <v>8695</v>
      </c>
      <c r="B4157" s="2">
        <f>IFERROR(__xludf.DUMMYFUNCTION("""COMPUTED_VALUE"""),1.0)</f>
        <v>1</v>
      </c>
      <c r="C4157" s="2">
        <f>IFERROR(__xludf.DUMMYFUNCTION("""COMPUTED_VALUE"""),655.0)</f>
        <v>655</v>
      </c>
      <c r="D4157" s="3">
        <f>IFERROR(__xludf.DUMMYFUNCTION("""COMPUTED_VALUE"""),144.0)</f>
        <v>144</v>
      </c>
      <c r="E4157" s="2"/>
      <c r="F4157" s="2"/>
    </row>
    <row r="4158">
      <c r="A4158" s="2">
        <f>IFERROR(__xludf.DUMMYFUNCTION("""COMPUTED_VALUE"""),122792.0)</f>
        <v>122792</v>
      </c>
      <c r="B4158" s="2">
        <f>IFERROR(__xludf.DUMMYFUNCTION("""COMPUTED_VALUE"""),0.0)</f>
        <v>0</v>
      </c>
      <c r="C4158" s="2">
        <f>IFERROR(__xludf.DUMMYFUNCTION("""COMPUTED_VALUE"""),924.0)</f>
        <v>924</v>
      </c>
      <c r="D4158" s="3">
        <f>IFERROR(__xludf.DUMMYFUNCTION("""COMPUTED_VALUE"""),158.0)</f>
        <v>158</v>
      </c>
      <c r="E4158" s="2"/>
      <c r="F4158" s="2"/>
    </row>
    <row r="4159">
      <c r="A4159" s="2">
        <f>IFERROR(__xludf.DUMMYFUNCTION("""COMPUTED_VALUE"""),8698.0)</f>
        <v>8698</v>
      </c>
      <c r="B4159" s="2">
        <f>IFERROR(__xludf.DUMMYFUNCTION("""COMPUTED_VALUE"""),1.0)</f>
        <v>1</v>
      </c>
      <c r="C4159" s="2">
        <f>IFERROR(__xludf.DUMMYFUNCTION("""COMPUTED_VALUE"""),941.0)</f>
        <v>941</v>
      </c>
      <c r="D4159" s="3">
        <f>IFERROR(__xludf.DUMMYFUNCTION("""COMPUTED_VALUE"""),117.0)</f>
        <v>117</v>
      </c>
      <c r="E4159" s="2"/>
      <c r="F4159" s="2"/>
    </row>
    <row r="4160">
      <c r="A4160" s="2">
        <f>IFERROR(__xludf.DUMMYFUNCTION("""COMPUTED_VALUE"""),103866.0)</f>
        <v>103866</v>
      </c>
      <c r="B4160" s="2">
        <f>IFERROR(__xludf.DUMMYFUNCTION("""COMPUTED_VALUE"""),1.0)</f>
        <v>1</v>
      </c>
      <c r="C4160" s="2">
        <f>IFERROR(__xludf.DUMMYFUNCTION("""COMPUTED_VALUE"""),50.0)</f>
        <v>50</v>
      </c>
      <c r="D4160" s="3">
        <f>IFERROR(__xludf.DUMMYFUNCTION("""COMPUTED_VALUE"""),32.0)</f>
        <v>32</v>
      </c>
      <c r="E4160" s="2"/>
      <c r="F4160" s="2"/>
    </row>
    <row r="4161">
      <c r="A4161" s="2">
        <f>IFERROR(__xludf.DUMMYFUNCTION("""COMPUTED_VALUE"""),103865.0)</f>
        <v>103865</v>
      </c>
      <c r="B4161" s="2">
        <f>IFERROR(__xludf.DUMMYFUNCTION("""COMPUTED_VALUE"""),0.0)</f>
        <v>0</v>
      </c>
      <c r="C4161" s="2">
        <f>IFERROR(__xludf.DUMMYFUNCTION("""COMPUTED_VALUE"""),278.0)</f>
        <v>278</v>
      </c>
      <c r="D4161" s="3">
        <f>IFERROR(__xludf.DUMMYFUNCTION("""COMPUTED_VALUE"""),207.0)</f>
        <v>207</v>
      </c>
      <c r="E4161" s="2"/>
      <c r="F4161" s="2"/>
    </row>
    <row r="4162">
      <c r="A4162" s="2">
        <f>IFERROR(__xludf.DUMMYFUNCTION("""COMPUTED_VALUE"""),110945.0)</f>
        <v>110945</v>
      </c>
      <c r="B4162" s="2">
        <f>IFERROR(__xludf.DUMMYFUNCTION("""COMPUTED_VALUE"""),1.0)</f>
        <v>1</v>
      </c>
      <c r="C4162" s="2">
        <f>IFERROR(__xludf.DUMMYFUNCTION("""COMPUTED_VALUE"""),598.0)</f>
        <v>598</v>
      </c>
      <c r="D4162" s="3">
        <f>IFERROR(__xludf.DUMMYFUNCTION("""COMPUTED_VALUE"""),408.0)</f>
        <v>408</v>
      </c>
      <c r="E4162" s="2"/>
      <c r="F4162" s="2"/>
    </row>
    <row r="4163">
      <c r="A4163" s="2">
        <f>IFERROR(__xludf.DUMMYFUNCTION("""COMPUTED_VALUE"""),158671.0)</f>
        <v>158671</v>
      </c>
      <c r="B4163" s="2">
        <f>IFERROR(__xludf.DUMMYFUNCTION("""COMPUTED_VALUE"""),0.0)</f>
        <v>0</v>
      </c>
      <c r="C4163" s="2">
        <f>IFERROR(__xludf.DUMMYFUNCTION("""COMPUTED_VALUE"""),628.0)</f>
        <v>628</v>
      </c>
      <c r="D4163" s="3">
        <f>IFERROR(__xludf.DUMMYFUNCTION("""COMPUTED_VALUE"""),202.0)</f>
        <v>202</v>
      </c>
      <c r="E4163" s="2"/>
      <c r="F4163" s="2"/>
    </row>
    <row r="4164">
      <c r="A4164" s="2">
        <f>IFERROR(__xludf.DUMMYFUNCTION("""COMPUTED_VALUE"""),118915.0)</f>
        <v>118915</v>
      </c>
      <c r="B4164" s="2">
        <f>IFERROR(__xludf.DUMMYFUNCTION("""COMPUTED_VALUE"""),1.0)</f>
        <v>1</v>
      </c>
      <c r="C4164" s="2">
        <f>IFERROR(__xludf.DUMMYFUNCTION("""COMPUTED_VALUE"""),545.0)</f>
        <v>545</v>
      </c>
      <c r="D4164" s="3">
        <f>IFERROR(__xludf.DUMMYFUNCTION("""COMPUTED_VALUE"""),155.0)</f>
        <v>155</v>
      </c>
      <c r="E4164" s="2"/>
      <c r="F4164" s="2"/>
    </row>
    <row r="4165">
      <c r="A4165" s="2">
        <f>IFERROR(__xludf.DUMMYFUNCTION("""COMPUTED_VALUE"""),88990.0)</f>
        <v>88990</v>
      </c>
      <c r="B4165" s="2">
        <f>IFERROR(__xludf.DUMMYFUNCTION("""COMPUTED_VALUE"""),1.0)</f>
        <v>1</v>
      </c>
      <c r="C4165" s="2">
        <f>IFERROR(__xludf.DUMMYFUNCTION("""COMPUTED_VALUE"""),179.0)</f>
        <v>179</v>
      </c>
      <c r="D4165" s="3">
        <f>IFERROR(__xludf.DUMMYFUNCTION("""COMPUTED_VALUE"""),108.0)</f>
        <v>108</v>
      </c>
      <c r="E4165" s="2"/>
      <c r="F4165" s="2"/>
    </row>
    <row r="4166">
      <c r="A4166" s="2">
        <f>IFERROR(__xludf.DUMMYFUNCTION("""COMPUTED_VALUE"""),73835.0)</f>
        <v>73835</v>
      </c>
      <c r="B4166" s="2">
        <f>IFERROR(__xludf.DUMMYFUNCTION("""COMPUTED_VALUE"""),1.0)</f>
        <v>1</v>
      </c>
      <c r="C4166" s="2">
        <f>IFERROR(__xludf.DUMMYFUNCTION("""COMPUTED_VALUE"""),602.0)</f>
        <v>602</v>
      </c>
      <c r="D4166" s="3">
        <f>IFERROR(__xludf.DUMMYFUNCTION("""COMPUTED_VALUE"""),585.0)</f>
        <v>585</v>
      </c>
      <c r="E4166" s="2"/>
      <c r="F4166" s="2"/>
    </row>
    <row r="4167">
      <c r="A4167" s="2">
        <f>IFERROR(__xludf.DUMMYFUNCTION("""COMPUTED_VALUE"""),8699.0)</f>
        <v>8699</v>
      </c>
      <c r="B4167" s="2">
        <f>IFERROR(__xludf.DUMMYFUNCTION("""COMPUTED_VALUE"""),0.0)</f>
        <v>0</v>
      </c>
      <c r="C4167" s="2">
        <f>IFERROR(__xludf.DUMMYFUNCTION("""COMPUTED_VALUE"""),130.0)</f>
        <v>130</v>
      </c>
      <c r="D4167" s="3">
        <f>IFERROR(__xludf.DUMMYFUNCTION("""COMPUTED_VALUE"""),79.0)</f>
        <v>79</v>
      </c>
      <c r="E4167" s="2"/>
      <c r="F4167" s="2"/>
    </row>
    <row r="4168">
      <c r="A4168" s="2">
        <f>IFERROR(__xludf.DUMMYFUNCTION("""COMPUTED_VALUE"""),81494.0)</f>
        <v>81494</v>
      </c>
      <c r="B4168" s="2">
        <f>IFERROR(__xludf.DUMMYFUNCTION("""COMPUTED_VALUE"""),0.0)</f>
        <v>0</v>
      </c>
      <c r="C4168" s="2">
        <f>IFERROR(__xludf.DUMMYFUNCTION("""COMPUTED_VALUE"""),264.0)</f>
        <v>264</v>
      </c>
      <c r="D4168" s="3">
        <f>IFERROR(__xludf.DUMMYFUNCTION("""COMPUTED_VALUE"""),25.0)</f>
        <v>25</v>
      </c>
      <c r="E4168" s="2"/>
      <c r="F4168" s="2"/>
    </row>
    <row r="4169">
      <c r="A4169" s="2">
        <f>IFERROR(__xludf.DUMMYFUNCTION("""COMPUTED_VALUE"""),89821.0)</f>
        <v>89821</v>
      </c>
      <c r="B4169" s="2">
        <f>IFERROR(__xludf.DUMMYFUNCTION("""COMPUTED_VALUE"""),1.0)</f>
        <v>1</v>
      </c>
      <c r="C4169" s="2">
        <f>IFERROR(__xludf.DUMMYFUNCTION("""COMPUTED_VALUE"""),785.0)</f>
        <v>785</v>
      </c>
      <c r="D4169" s="3">
        <f>IFERROR(__xludf.DUMMYFUNCTION("""COMPUTED_VALUE"""),285.0)</f>
        <v>285</v>
      </c>
      <c r="E4169" s="2"/>
      <c r="F4169" s="2"/>
    </row>
    <row r="4170">
      <c r="A4170" s="2">
        <f>IFERROR(__xludf.DUMMYFUNCTION("""COMPUTED_VALUE"""),83567.0)</f>
        <v>83567</v>
      </c>
      <c r="B4170" s="2">
        <f>IFERROR(__xludf.DUMMYFUNCTION("""COMPUTED_VALUE"""),0.0)</f>
        <v>0</v>
      </c>
      <c r="C4170" s="2">
        <f>IFERROR(__xludf.DUMMYFUNCTION("""COMPUTED_VALUE"""),826.0)</f>
        <v>826</v>
      </c>
      <c r="D4170" s="3">
        <f>IFERROR(__xludf.DUMMYFUNCTION("""COMPUTED_VALUE"""),330.0)</f>
        <v>330</v>
      </c>
      <c r="E4170" s="2"/>
      <c r="F4170" s="2"/>
    </row>
    <row r="4171">
      <c r="A4171" s="2">
        <f>IFERROR(__xludf.DUMMYFUNCTION("""COMPUTED_VALUE"""),69323.0)</f>
        <v>69323</v>
      </c>
      <c r="B4171" s="2">
        <f>IFERROR(__xludf.DUMMYFUNCTION("""COMPUTED_VALUE"""),1.0)</f>
        <v>1</v>
      </c>
      <c r="C4171" s="2">
        <f>IFERROR(__xludf.DUMMYFUNCTION("""COMPUTED_VALUE"""),799.0)</f>
        <v>799</v>
      </c>
      <c r="D4171" s="3">
        <f>IFERROR(__xludf.DUMMYFUNCTION("""COMPUTED_VALUE"""),722.0)</f>
        <v>722</v>
      </c>
      <c r="E4171" s="2"/>
      <c r="F4171" s="2"/>
    </row>
    <row r="4172">
      <c r="A4172" s="2">
        <f>IFERROR(__xludf.DUMMYFUNCTION("""COMPUTED_VALUE"""),88976.0)</f>
        <v>88976</v>
      </c>
      <c r="B4172" s="2">
        <f>IFERROR(__xludf.DUMMYFUNCTION("""COMPUTED_VALUE"""),0.0)</f>
        <v>0</v>
      </c>
      <c r="C4172" s="2">
        <f>IFERROR(__xludf.DUMMYFUNCTION("""COMPUTED_VALUE"""),358.0)</f>
        <v>358</v>
      </c>
      <c r="D4172" s="3">
        <f>IFERROR(__xludf.DUMMYFUNCTION("""COMPUTED_VALUE"""),129.0)</f>
        <v>129</v>
      </c>
      <c r="E4172" s="2"/>
      <c r="F4172" s="2"/>
    </row>
    <row r="4173">
      <c r="A4173" s="2">
        <f>IFERROR(__xludf.DUMMYFUNCTION("""COMPUTED_VALUE"""),199415.0)</f>
        <v>199415</v>
      </c>
      <c r="B4173" s="2">
        <f>IFERROR(__xludf.DUMMYFUNCTION("""COMPUTED_VALUE"""),0.0)</f>
        <v>0</v>
      </c>
      <c r="C4173" s="2">
        <f>IFERROR(__xludf.DUMMYFUNCTION("""COMPUTED_VALUE"""),802.0)</f>
        <v>802</v>
      </c>
      <c r="D4173" s="3">
        <f>IFERROR(__xludf.DUMMYFUNCTION("""COMPUTED_VALUE"""),381.0)</f>
        <v>381</v>
      </c>
      <c r="E4173" s="2"/>
      <c r="F4173" s="2"/>
    </row>
    <row r="4174">
      <c r="A4174" s="2">
        <f>IFERROR(__xludf.DUMMYFUNCTION("""COMPUTED_VALUE"""),112792.0)</f>
        <v>112792</v>
      </c>
      <c r="B4174" s="2">
        <f>IFERROR(__xludf.DUMMYFUNCTION("""COMPUTED_VALUE"""),1.0)</f>
        <v>1</v>
      </c>
      <c r="C4174" s="2">
        <f>IFERROR(__xludf.DUMMYFUNCTION("""COMPUTED_VALUE"""),615.0)</f>
        <v>615</v>
      </c>
      <c r="D4174" s="3">
        <f>IFERROR(__xludf.DUMMYFUNCTION("""COMPUTED_VALUE"""),513.0)</f>
        <v>513</v>
      </c>
      <c r="E4174" s="2"/>
      <c r="F4174" s="2"/>
    </row>
    <row r="4175">
      <c r="A4175" s="2">
        <f>IFERROR(__xludf.DUMMYFUNCTION("""COMPUTED_VALUE"""),104322.0)</f>
        <v>104322</v>
      </c>
      <c r="B4175" s="2">
        <f>IFERROR(__xludf.DUMMYFUNCTION("""COMPUTED_VALUE"""),0.0)</f>
        <v>0</v>
      </c>
      <c r="C4175" s="2">
        <f>IFERROR(__xludf.DUMMYFUNCTION("""COMPUTED_VALUE"""),514.0)</f>
        <v>514</v>
      </c>
      <c r="D4175" s="3">
        <f>IFERROR(__xludf.DUMMYFUNCTION("""COMPUTED_VALUE"""),124.0)</f>
        <v>124</v>
      </c>
      <c r="E4175" s="2"/>
      <c r="F4175" s="2"/>
    </row>
    <row r="4176">
      <c r="A4176" s="2">
        <f>IFERROR(__xludf.DUMMYFUNCTION("""COMPUTED_VALUE"""),69321.0)</f>
        <v>69321</v>
      </c>
      <c r="B4176" s="2">
        <f>IFERROR(__xludf.DUMMYFUNCTION("""COMPUTED_VALUE"""),1.0)</f>
        <v>1</v>
      </c>
      <c r="C4176" s="2">
        <f>IFERROR(__xludf.DUMMYFUNCTION("""COMPUTED_VALUE"""),857.0)</f>
        <v>857</v>
      </c>
      <c r="D4176" s="3">
        <f>IFERROR(__xludf.DUMMYFUNCTION("""COMPUTED_VALUE"""),506.0)</f>
        <v>506</v>
      </c>
      <c r="E4176" s="2"/>
      <c r="F4176" s="2"/>
    </row>
    <row r="4177">
      <c r="A4177" s="2">
        <f>IFERROR(__xludf.DUMMYFUNCTION("""COMPUTED_VALUE"""),110948.0)</f>
        <v>110948</v>
      </c>
      <c r="B4177" s="2">
        <f>IFERROR(__xludf.DUMMYFUNCTION("""COMPUTED_VALUE"""),1.0)</f>
        <v>1</v>
      </c>
      <c r="C4177" s="2">
        <f>IFERROR(__xludf.DUMMYFUNCTION("""COMPUTED_VALUE"""),73.0)</f>
        <v>73</v>
      </c>
      <c r="D4177" s="3">
        <f>IFERROR(__xludf.DUMMYFUNCTION("""COMPUTED_VALUE"""),47.0)</f>
        <v>47</v>
      </c>
      <c r="E4177" s="2"/>
      <c r="F4177" s="2"/>
    </row>
    <row r="4178">
      <c r="A4178" s="2">
        <f>IFERROR(__xludf.DUMMYFUNCTION("""COMPUTED_VALUE"""),82008.0)</f>
        <v>82008</v>
      </c>
      <c r="B4178" s="2">
        <f>IFERROR(__xludf.DUMMYFUNCTION("""COMPUTED_VALUE"""),1.0)</f>
        <v>1</v>
      </c>
      <c r="C4178" s="2">
        <f>IFERROR(__xludf.DUMMYFUNCTION("""COMPUTED_VALUE"""),522.0)</f>
        <v>522</v>
      </c>
      <c r="D4178" s="3">
        <f>IFERROR(__xludf.DUMMYFUNCTION("""COMPUTED_VALUE"""),91.0)</f>
        <v>91</v>
      </c>
      <c r="E4178" s="2"/>
      <c r="F4178" s="2"/>
    </row>
    <row r="4179">
      <c r="A4179" s="2">
        <f>IFERROR(__xludf.DUMMYFUNCTION("""COMPUTED_VALUE"""),86987.0)</f>
        <v>86987</v>
      </c>
      <c r="B4179" s="2">
        <f>IFERROR(__xludf.DUMMYFUNCTION("""COMPUTED_VALUE"""),1.0)</f>
        <v>1</v>
      </c>
      <c r="C4179" s="2">
        <f>IFERROR(__xludf.DUMMYFUNCTION("""COMPUTED_VALUE"""),417.0)</f>
        <v>417</v>
      </c>
      <c r="D4179" s="3">
        <f>IFERROR(__xludf.DUMMYFUNCTION("""COMPUTED_VALUE"""),318.0)</f>
        <v>318</v>
      </c>
      <c r="E4179" s="2"/>
      <c r="F4179" s="2"/>
    </row>
    <row r="4180">
      <c r="A4180" s="2">
        <f>IFERROR(__xludf.DUMMYFUNCTION("""COMPUTED_VALUE"""),118912.0)</f>
        <v>118912</v>
      </c>
      <c r="B4180" s="2">
        <f>IFERROR(__xludf.DUMMYFUNCTION("""COMPUTED_VALUE"""),1.0)</f>
        <v>1</v>
      </c>
      <c r="C4180" s="2">
        <f>IFERROR(__xludf.DUMMYFUNCTION("""COMPUTED_VALUE"""),301.0)</f>
        <v>301</v>
      </c>
      <c r="D4180" s="3">
        <f>IFERROR(__xludf.DUMMYFUNCTION("""COMPUTED_VALUE"""),9.0)</f>
        <v>9</v>
      </c>
      <c r="E4180" s="2"/>
      <c r="F4180" s="2"/>
    </row>
    <row r="4181">
      <c r="A4181" s="2">
        <f>IFERROR(__xludf.DUMMYFUNCTION("""COMPUTED_VALUE"""),47048.0)</f>
        <v>47048</v>
      </c>
      <c r="B4181" s="2">
        <f>IFERROR(__xludf.DUMMYFUNCTION("""COMPUTED_VALUE"""),0.0)</f>
        <v>0</v>
      </c>
      <c r="C4181" s="2">
        <f>IFERROR(__xludf.DUMMYFUNCTION("""COMPUTED_VALUE"""),444.0)</f>
        <v>444</v>
      </c>
      <c r="D4181" s="3">
        <f>IFERROR(__xludf.DUMMYFUNCTION("""COMPUTED_VALUE"""),332.0)</f>
        <v>332</v>
      </c>
      <c r="E4181" s="2"/>
      <c r="F4181" s="2"/>
    </row>
    <row r="4182">
      <c r="A4182" s="2">
        <f>IFERROR(__xludf.DUMMYFUNCTION("""COMPUTED_VALUE"""),103870.0)</f>
        <v>103870</v>
      </c>
      <c r="B4182" s="2">
        <f>IFERROR(__xludf.DUMMYFUNCTION("""COMPUTED_VALUE"""),0.0)</f>
        <v>0</v>
      </c>
      <c r="C4182" s="2">
        <f>IFERROR(__xludf.DUMMYFUNCTION("""COMPUTED_VALUE"""),29.0)</f>
        <v>29</v>
      </c>
      <c r="D4182" s="3">
        <f>IFERROR(__xludf.DUMMYFUNCTION("""COMPUTED_VALUE"""),18.0)</f>
        <v>18</v>
      </c>
      <c r="E4182" s="2"/>
      <c r="F4182" s="2"/>
    </row>
    <row r="4183">
      <c r="A4183" s="2">
        <f>IFERROR(__xludf.DUMMYFUNCTION("""COMPUTED_VALUE"""),86985.0)</f>
        <v>86985</v>
      </c>
      <c r="B4183" s="2">
        <f>IFERROR(__xludf.DUMMYFUNCTION("""COMPUTED_VALUE"""),1.0)</f>
        <v>1</v>
      </c>
      <c r="C4183" s="2">
        <f>IFERROR(__xludf.DUMMYFUNCTION("""COMPUTED_VALUE"""),780.0)</f>
        <v>780</v>
      </c>
      <c r="D4183" s="3">
        <f>IFERROR(__xludf.DUMMYFUNCTION("""COMPUTED_VALUE"""),697.0)</f>
        <v>697</v>
      </c>
      <c r="E4183" s="2"/>
      <c r="F4183" s="2"/>
    </row>
    <row r="4184">
      <c r="A4184" s="2">
        <f>IFERROR(__xludf.DUMMYFUNCTION("""COMPUTED_VALUE"""),82005.0)</f>
        <v>82005</v>
      </c>
      <c r="B4184" s="2">
        <f>IFERROR(__xludf.DUMMYFUNCTION("""COMPUTED_VALUE"""),1.0)</f>
        <v>1</v>
      </c>
      <c r="C4184" s="2">
        <f>IFERROR(__xludf.DUMMYFUNCTION("""COMPUTED_VALUE"""),44.0)</f>
        <v>44</v>
      </c>
      <c r="D4184" s="3">
        <f>IFERROR(__xludf.DUMMYFUNCTION("""COMPUTED_VALUE"""),17.0)</f>
        <v>17</v>
      </c>
      <c r="E4184" s="2"/>
      <c r="F4184" s="2"/>
    </row>
    <row r="4185">
      <c r="A4185" s="2">
        <f>IFERROR(__xludf.DUMMYFUNCTION("""COMPUTED_VALUE"""),119053.0)</f>
        <v>119053</v>
      </c>
      <c r="B4185" s="2">
        <f>IFERROR(__xludf.DUMMYFUNCTION("""COMPUTED_VALUE"""),0.0)</f>
        <v>0</v>
      </c>
      <c r="C4185" s="2">
        <f>IFERROR(__xludf.DUMMYFUNCTION("""COMPUTED_VALUE"""),668.0)</f>
        <v>668</v>
      </c>
      <c r="D4185" s="3">
        <f>IFERROR(__xludf.DUMMYFUNCTION("""COMPUTED_VALUE"""),554.0)</f>
        <v>554</v>
      </c>
      <c r="E4185" s="2"/>
      <c r="F4185" s="2"/>
    </row>
    <row r="4186">
      <c r="A4186" s="2">
        <f>IFERROR(__xludf.DUMMYFUNCTION("""COMPUTED_VALUE"""),102015.0)</f>
        <v>102015</v>
      </c>
      <c r="B4186" s="2">
        <f>IFERROR(__xludf.DUMMYFUNCTION("""COMPUTED_VALUE"""),1.0)</f>
        <v>1</v>
      </c>
      <c r="C4186" s="2">
        <f>IFERROR(__xludf.DUMMYFUNCTION("""COMPUTED_VALUE"""),14.0)</f>
        <v>14</v>
      </c>
      <c r="D4186" s="3">
        <f>IFERROR(__xludf.DUMMYFUNCTION("""COMPUTED_VALUE"""),6.0)</f>
        <v>6</v>
      </c>
      <c r="E4186" s="2"/>
      <c r="F4186" s="2"/>
    </row>
    <row r="4187">
      <c r="A4187" s="2">
        <f>IFERROR(__xludf.DUMMYFUNCTION("""COMPUTED_VALUE"""),92823.0)</f>
        <v>92823</v>
      </c>
      <c r="B4187" s="2">
        <f>IFERROR(__xludf.DUMMYFUNCTION("""COMPUTED_VALUE"""),0.0)</f>
        <v>0</v>
      </c>
      <c r="C4187" s="2">
        <f>IFERROR(__xludf.DUMMYFUNCTION("""COMPUTED_VALUE"""),73.0)</f>
        <v>73</v>
      </c>
      <c r="D4187" s="3">
        <f>IFERROR(__xludf.DUMMYFUNCTION("""COMPUTED_VALUE"""),32.0)</f>
        <v>32</v>
      </c>
      <c r="E4187" s="2"/>
      <c r="F4187" s="2"/>
    </row>
    <row r="4188">
      <c r="A4188" s="2">
        <f>IFERROR(__xludf.DUMMYFUNCTION("""COMPUTED_VALUE"""),108060.0)</f>
        <v>108060</v>
      </c>
      <c r="B4188" s="2">
        <f>IFERROR(__xludf.DUMMYFUNCTION("""COMPUTED_VALUE"""),0.0)</f>
        <v>0</v>
      </c>
      <c r="C4188" s="2">
        <f>IFERROR(__xludf.DUMMYFUNCTION("""COMPUTED_VALUE"""),803.0)</f>
        <v>803</v>
      </c>
      <c r="D4188" s="3">
        <f>IFERROR(__xludf.DUMMYFUNCTION("""COMPUTED_VALUE"""),421.0)</f>
        <v>421</v>
      </c>
      <c r="E4188" s="2"/>
      <c r="F4188" s="2"/>
    </row>
    <row r="4189">
      <c r="A4189" s="2">
        <f>IFERROR(__xludf.DUMMYFUNCTION("""COMPUTED_VALUE"""),4214.0)</f>
        <v>4214</v>
      </c>
      <c r="B4189" s="2">
        <f>IFERROR(__xludf.DUMMYFUNCTION("""COMPUTED_VALUE"""),0.0)</f>
        <v>0</v>
      </c>
      <c r="C4189" s="2">
        <f>IFERROR(__xludf.DUMMYFUNCTION("""COMPUTED_VALUE"""),95.0)</f>
        <v>95</v>
      </c>
      <c r="D4189" s="3">
        <f>IFERROR(__xludf.DUMMYFUNCTION("""COMPUTED_VALUE"""),7.0)</f>
        <v>7</v>
      </c>
      <c r="E4189" s="2"/>
      <c r="F4189" s="2"/>
    </row>
    <row r="4190">
      <c r="A4190" s="2">
        <f>IFERROR(__xludf.DUMMYFUNCTION("""COMPUTED_VALUE"""),14715.0)</f>
        <v>14715</v>
      </c>
      <c r="B4190" s="2">
        <f>IFERROR(__xludf.DUMMYFUNCTION("""COMPUTED_VALUE"""),1.0)</f>
        <v>1</v>
      </c>
      <c r="C4190" s="2">
        <f>IFERROR(__xludf.DUMMYFUNCTION("""COMPUTED_VALUE"""),854.0)</f>
        <v>854</v>
      </c>
      <c r="D4190" s="3">
        <f>IFERROR(__xludf.DUMMYFUNCTION("""COMPUTED_VALUE"""),105.0)</f>
        <v>105</v>
      </c>
      <c r="E4190" s="2"/>
      <c r="F4190" s="2"/>
    </row>
    <row r="4191">
      <c r="A4191" s="2">
        <f>IFERROR(__xludf.DUMMYFUNCTION("""COMPUTED_VALUE"""),16771.0)</f>
        <v>16771</v>
      </c>
      <c r="B4191" s="2">
        <f>IFERROR(__xludf.DUMMYFUNCTION("""COMPUTED_VALUE"""),0.0)</f>
        <v>0</v>
      </c>
      <c r="C4191" s="2">
        <f>IFERROR(__xludf.DUMMYFUNCTION("""COMPUTED_VALUE"""),662.0)</f>
        <v>662</v>
      </c>
      <c r="D4191" s="3">
        <f>IFERROR(__xludf.DUMMYFUNCTION("""COMPUTED_VALUE"""),291.0)</f>
        <v>291</v>
      </c>
      <c r="E4191" s="2"/>
      <c r="F4191" s="2"/>
    </row>
    <row r="4192">
      <c r="A4192" s="2">
        <f>IFERROR(__xludf.DUMMYFUNCTION("""COMPUTED_VALUE"""),97945.0)</f>
        <v>97945</v>
      </c>
      <c r="B4192" s="2">
        <f>IFERROR(__xludf.DUMMYFUNCTION("""COMPUTED_VALUE"""),1.0)</f>
        <v>1</v>
      </c>
      <c r="C4192" s="2">
        <f>IFERROR(__xludf.DUMMYFUNCTION("""COMPUTED_VALUE"""),13.0)</f>
        <v>13</v>
      </c>
      <c r="D4192" s="3">
        <f>IFERROR(__xludf.DUMMYFUNCTION("""COMPUTED_VALUE"""),0.0)</f>
        <v>0</v>
      </c>
      <c r="E4192" s="2"/>
      <c r="F4192" s="2"/>
    </row>
    <row r="4193">
      <c r="A4193" s="2">
        <f>IFERROR(__xludf.DUMMYFUNCTION("""COMPUTED_VALUE"""),144740.0)</f>
        <v>144740</v>
      </c>
      <c r="B4193" s="2">
        <f>IFERROR(__xludf.DUMMYFUNCTION("""COMPUTED_VALUE"""),1.0)</f>
        <v>1</v>
      </c>
      <c r="C4193" s="2">
        <f>IFERROR(__xludf.DUMMYFUNCTION("""COMPUTED_VALUE"""),516.0)</f>
        <v>516</v>
      </c>
      <c r="D4193" s="3">
        <f>IFERROR(__xludf.DUMMYFUNCTION("""COMPUTED_VALUE"""),383.0)</f>
        <v>383</v>
      </c>
      <c r="E4193" s="2"/>
      <c r="F4193" s="2"/>
    </row>
    <row r="4194">
      <c r="A4194" s="2">
        <f>IFERROR(__xludf.DUMMYFUNCTION("""COMPUTED_VALUE"""),75342.0)</f>
        <v>75342</v>
      </c>
      <c r="B4194" s="2">
        <f>IFERROR(__xludf.DUMMYFUNCTION("""COMPUTED_VALUE"""),0.0)</f>
        <v>0</v>
      </c>
      <c r="C4194" s="2">
        <f>IFERROR(__xludf.DUMMYFUNCTION("""COMPUTED_VALUE"""),288.0)</f>
        <v>288</v>
      </c>
      <c r="D4194" s="3">
        <f>IFERROR(__xludf.DUMMYFUNCTION("""COMPUTED_VALUE"""),118.0)</f>
        <v>118</v>
      </c>
      <c r="E4194" s="2"/>
      <c r="F4194" s="2"/>
    </row>
    <row r="4195">
      <c r="A4195" s="2">
        <f>IFERROR(__xludf.DUMMYFUNCTION("""COMPUTED_VALUE"""),88189.0)</f>
        <v>88189</v>
      </c>
      <c r="B4195" s="2">
        <f>IFERROR(__xludf.DUMMYFUNCTION("""COMPUTED_VALUE"""),1.0)</f>
        <v>1</v>
      </c>
      <c r="C4195" s="2">
        <f>IFERROR(__xludf.DUMMYFUNCTION("""COMPUTED_VALUE"""),26.0)</f>
        <v>26</v>
      </c>
      <c r="D4195" s="3">
        <f>IFERROR(__xludf.DUMMYFUNCTION("""COMPUTED_VALUE"""),4.0)</f>
        <v>4</v>
      </c>
      <c r="E4195" s="2"/>
      <c r="F4195" s="2"/>
    </row>
    <row r="4196">
      <c r="A4196" s="2">
        <f>IFERROR(__xludf.DUMMYFUNCTION("""COMPUTED_VALUE"""),70677.0)</f>
        <v>70677</v>
      </c>
      <c r="B4196" s="2">
        <f>IFERROR(__xludf.DUMMYFUNCTION("""COMPUTED_VALUE"""),0.0)</f>
        <v>0</v>
      </c>
      <c r="C4196" s="2">
        <f>IFERROR(__xludf.DUMMYFUNCTION("""COMPUTED_VALUE"""),875.0)</f>
        <v>875</v>
      </c>
      <c r="D4196" s="3">
        <f>IFERROR(__xludf.DUMMYFUNCTION("""COMPUTED_VALUE"""),680.0)</f>
        <v>680</v>
      </c>
      <c r="E4196" s="2"/>
      <c r="F4196" s="2"/>
    </row>
    <row r="4197">
      <c r="A4197" s="2">
        <f>IFERROR(__xludf.DUMMYFUNCTION("""COMPUTED_VALUE"""),86506.0)</f>
        <v>86506</v>
      </c>
      <c r="B4197" s="2">
        <f>IFERROR(__xludf.DUMMYFUNCTION("""COMPUTED_VALUE"""),1.0)</f>
        <v>1</v>
      </c>
      <c r="C4197" s="2">
        <f>IFERROR(__xludf.DUMMYFUNCTION("""COMPUTED_VALUE"""),33.0)</f>
        <v>33</v>
      </c>
      <c r="D4197" s="3">
        <f>IFERROR(__xludf.DUMMYFUNCTION("""COMPUTED_VALUE"""),28.0)</f>
        <v>28</v>
      </c>
      <c r="E4197" s="2"/>
      <c r="F4197" s="2"/>
    </row>
    <row r="4198">
      <c r="A4198" s="2">
        <f>IFERROR(__xludf.DUMMYFUNCTION("""COMPUTED_VALUE"""),17360.0)</f>
        <v>17360</v>
      </c>
      <c r="B4198" s="2">
        <f>IFERROR(__xludf.DUMMYFUNCTION("""COMPUTED_VALUE"""),0.0)</f>
        <v>0</v>
      </c>
      <c r="C4198" s="2">
        <f>IFERROR(__xludf.DUMMYFUNCTION("""COMPUTED_VALUE"""),356.0)</f>
        <v>356</v>
      </c>
      <c r="D4198" s="3">
        <f>IFERROR(__xludf.DUMMYFUNCTION("""COMPUTED_VALUE"""),289.0)</f>
        <v>289</v>
      </c>
      <c r="E4198" s="2"/>
      <c r="F4198" s="2"/>
    </row>
    <row r="4199">
      <c r="A4199" s="2">
        <f>IFERROR(__xludf.DUMMYFUNCTION("""COMPUTED_VALUE"""),9819.0)</f>
        <v>9819</v>
      </c>
      <c r="B4199" s="2">
        <f>IFERROR(__xludf.DUMMYFUNCTION("""COMPUTED_VALUE"""),1.0)</f>
        <v>1</v>
      </c>
      <c r="C4199" s="2">
        <f>IFERROR(__xludf.DUMMYFUNCTION("""COMPUTED_VALUE"""),5.0)</f>
        <v>5</v>
      </c>
      <c r="D4199" s="3">
        <f>IFERROR(__xludf.DUMMYFUNCTION("""COMPUTED_VALUE"""),2.0)</f>
        <v>2</v>
      </c>
      <c r="E4199" s="2"/>
      <c r="F4199" s="2"/>
    </row>
    <row r="4200">
      <c r="A4200" s="2">
        <f>IFERROR(__xludf.DUMMYFUNCTION("""COMPUTED_VALUE"""),28574.0)</f>
        <v>28574</v>
      </c>
      <c r="B4200" s="2">
        <f>IFERROR(__xludf.DUMMYFUNCTION("""COMPUTED_VALUE"""),1.0)</f>
        <v>1</v>
      </c>
      <c r="C4200" s="2">
        <f>IFERROR(__xludf.DUMMYFUNCTION("""COMPUTED_VALUE"""),535.0)</f>
        <v>535</v>
      </c>
      <c r="D4200" s="3">
        <f>IFERROR(__xludf.DUMMYFUNCTION("""COMPUTED_VALUE"""),501.0)</f>
        <v>501</v>
      </c>
      <c r="E4200" s="2"/>
      <c r="F4200" s="2"/>
    </row>
    <row r="4201">
      <c r="A4201" s="2">
        <f>IFERROR(__xludf.DUMMYFUNCTION("""COMPUTED_VALUE"""),102395.0)</f>
        <v>102395</v>
      </c>
      <c r="B4201" s="2">
        <f>IFERROR(__xludf.DUMMYFUNCTION("""COMPUTED_VALUE"""),1.0)</f>
        <v>1</v>
      </c>
      <c r="C4201" s="2">
        <f>IFERROR(__xludf.DUMMYFUNCTION("""COMPUTED_VALUE"""),40.0)</f>
        <v>40</v>
      </c>
      <c r="D4201" s="3">
        <f>IFERROR(__xludf.DUMMYFUNCTION("""COMPUTED_VALUE"""),15.0)</f>
        <v>15</v>
      </c>
      <c r="E4201" s="2"/>
      <c r="F4201" s="2"/>
    </row>
    <row r="4202">
      <c r="A4202" s="2">
        <f>IFERROR(__xludf.DUMMYFUNCTION("""COMPUTED_VALUE"""),147302.0)</f>
        <v>147302</v>
      </c>
      <c r="B4202" s="2">
        <f>IFERROR(__xludf.DUMMYFUNCTION("""COMPUTED_VALUE"""),0.0)</f>
        <v>0</v>
      </c>
      <c r="C4202" s="2">
        <f>IFERROR(__xludf.DUMMYFUNCTION("""COMPUTED_VALUE"""),480.0)</f>
        <v>480</v>
      </c>
      <c r="D4202" s="3">
        <f>IFERROR(__xludf.DUMMYFUNCTION("""COMPUTED_VALUE"""),266.0)</f>
        <v>266</v>
      </c>
      <c r="E4202" s="2"/>
      <c r="F4202" s="2"/>
    </row>
    <row r="4203">
      <c r="A4203" s="2">
        <f>IFERROR(__xludf.DUMMYFUNCTION("""COMPUTED_VALUE"""),85049.0)</f>
        <v>85049</v>
      </c>
      <c r="B4203" s="2">
        <f>IFERROR(__xludf.DUMMYFUNCTION("""COMPUTED_VALUE"""),1.0)</f>
        <v>1</v>
      </c>
      <c r="C4203" s="2">
        <f>IFERROR(__xludf.DUMMYFUNCTION("""COMPUTED_VALUE"""),72.0)</f>
        <v>72</v>
      </c>
      <c r="D4203" s="3">
        <f>IFERROR(__xludf.DUMMYFUNCTION("""COMPUTED_VALUE"""),26.0)</f>
        <v>26</v>
      </c>
      <c r="E4203" s="2"/>
      <c r="F4203" s="2"/>
    </row>
    <row r="4204">
      <c r="A4204" s="2">
        <f>IFERROR(__xludf.DUMMYFUNCTION("""COMPUTED_VALUE"""),1683.0)</f>
        <v>1683</v>
      </c>
      <c r="B4204" s="2">
        <f>IFERROR(__xludf.DUMMYFUNCTION("""COMPUTED_VALUE"""),1.0)</f>
        <v>1</v>
      </c>
      <c r="C4204" s="2">
        <f>IFERROR(__xludf.DUMMYFUNCTION("""COMPUTED_VALUE"""),306.0)</f>
        <v>306</v>
      </c>
      <c r="D4204" s="3">
        <f>IFERROR(__xludf.DUMMYFUNCTION("""COMPUTED_VALUE"""),128.0)</f>
        <v>128</v>
      </c>
      <c r="E4204" s="2"/>
      <c r="F4204" s="2"/>
    </row>
    <row r="4205">
      <c r="A4205" s="2">
        <f>IFERROR(__xludf.DUMMYFUNCTION("""COMPUTED_VALUE"""),1685.0)</f>
        <v>1685</v>
      </c>
      <c r="B4205" s="2">
        <f>IFERROR(__xludf.DUMMYFUNCTION("""COMPUTED_VALUE"""),0.0)</f>
        <v>0</v>
      </c>
      <c r="C4205" s="2">
        <f>IFERROR(__xludf.DUMMYFUNCTION("""COMPUTED_VALUE"""),506.0)</f>
        <v>506</v>
      </c>
      <c r="D4205" s="3">
        <f>IFERROR(__xludf.DUMMYFUNCTION("""COMPUTED_VALUE"""),99.0)</f>
        <v>99</v>
      </c>
      <c r="E4205" s="2"/>
      <c r="F4205" s="2"/>
    </row>
    <row r="4206">
      <c r="A4206" s="2">
        <f>IFERROR(__xludf.DUMMYFUNCTION("""COMPUTED_VALUE"""),22193.0)</f>
        <v>22193</v>
      </c>
      <c r="B4206" s="2">
        <f>IFERROR(__xludf.DUMMYFUNCTION("""COMPUTED_VALUE"""),1.0)</f>
        <v>1</v>
      </c>
      <c r="C4206" s="2">
        <f>IFERROR(__xludf.DUMMYFUNCTION("""COMPUTED_VALUE"""),762.0)</f>
        <v>762</v>
      </c>
      <c r="D4206" s="3">
        <f>IFERROR(__xludf.DUMMYFUNCTION("""COMPUTED_VALUE"""),715.0)</f>
        <v>715</v>
      </c>
      <c r="E4206" s="2"/>
      <c r="F4206" s="2"/>
    </row>
    <row r="4207">
      <c r="A4207" s="2">
        <f>IFERROR(__xludf.DUMMYFUNCTION("""COMPUTED_VALUE"""),9786.0)</f>
        <v>9786</v>
      </c>
      <c r="B4207" s="2">
        <f>IFERROR(__xludf.DUMMYFUNCTION("""COMPUTED_VALUE"""),0.0)</f>
        <v>0</v>
      </c>
      <c r="C4207" s="2">
        <f>IFERROR(__xludf.DUMMYFUNCTION("""COMPUTED_VALUE"""),646.0)</f>
        <v>646</v>
      </c>
      <c r="D4207" s="3">
        <f>IFERROR(__xludf.DUMMYFUNCTION("""COMPUTED_VALUE"""),627.0)</f>
        <v>627</v>
      </c>
      <c r="E4207" s="2"/>
      <c r="F4207" s="2"/>
    </row>
    <row r="4208">
      <c r="A4208" s="2">
        <f>IFERROR(__xludf.DUMMYFUNCTION("""COMPUTED_VALUE"""),108770.0)</f>
        <v>108770</v>
      </c>
      <c r="B4208" s="2">
        <f>IFERROR(__xludf.DUMMYFUNCTION("""COMPUTED_VALUE"""),1.0)</f>
        <v>1</v>
      </c>
      <c r="C4208" s="2">
        <f>IFERROR(__xludf.DUMMYFUNCTION("""COMPUTED_VALUE"""),633.0)</f>
        <v>633</v>
      </c>
      <c r="D4208" s="3">
        <f>IFERROR(__xludf.DUMMYFUNCTION("""COMPUTED_VALUE"""),159.0)</f>
        <v>159</v>
      </c>
      <c r="E4208" s="2"/>
      <c r="F4208" s="2"/>
    </row>
    <row r="4209">
      <c r="A4209" s="2">
        <f>IFERROR(__xludf.DUMMYFUNCTION("""COMPUTED_VALUE"""),109536.0)</f>
        <v>109536</v>
      </c>
      <c r="B4209" s="2">
        <f>IFERROR(__xludf.DUMMYFUNCTION("""COMPUTED_VALUE"""),1.0)</f>
        <v>1</v>
      </c>
      <c r="C4209" s="2">
        <f>IFERROR(__xludf.DUMMYFUNCTION("""COMPUTED_VALUE"""),197.0)</f>
        <v>197</v>
      </c>
      <c r="D4209" s="3">
        <f>IFERROR(__xludf.DUMMYFUNCTION("""COMPUTED_VALUE"""),49.0)</f>
        <v>49</v>
      </c>
      <c r="E4209" s="2"/>
      <c r="F4209" s="2"/>
    </row>
    <row r="4210">
      <c r="A4210" s="2">
        <f>IFERROR(__xludf.DUMMYFUNCTION("""COMPUTED_VALUE"""),111743.0)</f>
        <v>111743</v>
      </c>
      <c r="B4210" s="2">
        <f>IFERROR(__xludf.DUMMYFUNCTION("""COMPUTED_VALUE"""),1.0)</f>
        <v>1</v>
      </c>
      <c r="C4210" s="2">
        <f>IFERROR(__xludf.DUMMYFUNCTION("""COMPUTED_VALUE"""),251.0)</f>
        <v>251</v>
      </c>
      <c r="D4210" s="3">
        <f>IFERROR(__xludf.DUMMYFUNCTION("""COMPUTED_VALUE"""),209.0)</f>
        <v>209</v>
      </c>
      <c r="E4210" s="2"/>
      <c r="F4210" s="2"/>
    </row>
    <row r="4211">
      <c r="A4211" s="2">
        <f>IFERROR(__xludf.DUMMYFUNCTION("""COMPUTED_VALUE"""),108769.0)</f>
        <v>108769</v>
      </c>
      <c r="B4211" s="2">
        <f>IFERROR(__xludf.DUMMYFUNCTION("""COMPUTED_VALUE"""),0.0)</f>
        <v>0</v>
      </c>
      <c r="C4211" s="2">
        <f>IFERROR(__xludf.DUMMYFUNCTION("""COMPUTED_VALUE"""),66.0)</f>
        <v>66</v>
      </c>
      <c r="D4211" s="3">
        <f>IFERROR(__xludf.DUMMYFUNCTION("""COMPUTED_VALUE"""),16.0)</f>
        <v>16</v>
      </c>
      <c r="E4211" s="2"/>
      <c r="F4211" s="2"/>
    </row>
    <row r="4212">
      <c r="A4212" s="2">
        <f>IFERROR(__xludf.DUMMYFUNCTION("""COMPUTED_VALUE"""),111742.0)</f>
        <v>111742</v>
      </c>
      <c r="B4212" s="2">
        <f>IFERROR(__xludf.DUMMYFUNCTION("""COMPUTED_VALUE"""),0.0)</f>
        <v>0</v>
      </c>
      <c r="C4212" s="2">
        <f>IFERROR(__xludf.DUMMYFUNCTION("""COMPUTED_VALUE"""),26.0)</f>
        <v>26</v>
      </c>
      <c r="D4212" s="3">
        <f>IFERROR(__xludf.DUMMYFUNCTION("""COMPUTED_VALUE"""),18.0)</f>
        <v>18</v>
      </c>
      <c r="E4212" s="2"/>
      <c r="F4212" s="2"/>
    </row>
    <row r="4213">
      <c r="A4213" s="2">
        <f>IFERROR(__xludf.DUMMYFUNCTION("""COMPUTED_VALUE"""),88989.0)</f>
        <v>88989</v>
      </c>
      <c r="B4213" s="2">
        <f>IFERROR(__xludf.DUMMYFUNCTION("""COMPUTED_VALUE"""),1.0)</f>
        <v>1</v>
      </c>
      <c r="C4213" s="2">
        <f>IFERROR(__xludf.DUMMYFUNCTION("""COMPUTED_VALUE"""),184.0)</f>
        <v>184</v>
      </c>
      <c r="D4213" s="3">
        <f>IFERROR(__xludf.DUMMYFUNCTION("""COMPUTED_VALUE"""),8.0)</f>
        <v>8</v>
      </c>
      <c r="E4213" s="2"/>
      <c r="F4213" s="2"/>
    </row>
    <row r="4214">
      <c r="A4214" s="2">
        <f>IFERROR(__xludf.DUMMYFUNCTION("""COMPUTED_VALUE"""),88987.0)</f>
        <v>88987</v>
      </c>
      <c r="B4214" s="2">
        <f>IFERROR(__xludf.DUMMYFUNCTION("""COMPUTED_VALUE"""),1.0)</f>
        <v>1</v>
      </c>
      <c r="C4214" s="2">
        <f>IFERROR(__xludf.DUMMYFUNCTION("""COMPUTED_VALUE"""),659.0)</f>
        <v>659</v>
      </c>
      <c r="D4214" s="3">
        <f>IFERROR(__xludf.DUMMYFUNCTION("""COMPUTED_VALUE"""),465.0)</f>
        <v>465</v>
      </c>
      <c r="E4214" s="2"/>
      <c r="F4214" s="2"/>
    </row>
    <row r="4215">
      <c r="A4215" s="2">
        <f>IFERROR(__xludf.DUMMYFUNCTION("""COMPUTED_VALUE"""),88988.0)</f>
        <v>88988</v>
      </c>
      <c r="B4215" s="2">
        <f>IFERROR(__xludf.DUMMYFUNCTION("""COMPUTED_VALUE"""),1.0)</f>
        <v>1</v>
      </c>
      <c r="C4215" s="2">
        <f>IFERROR(__xludf.DUMMYFUNCTION("""COMPUTED_VALUE"""),613.0)</f>
        <v>613</v>
      </c>
      <c r="D4215" s="3">
        <f>IFERROR(__xludf.DUMMYFUNCTION("""COMPUTED_VALUE"""),1.0)</f>
        <v>1</v>
      </c>
      <c r="E4215" s="2"/>
      <c r="F4215" s="2"/>
    </row>
    <row r="4216">
      <c r="A4216" s="2">
        <f>IFERROR(__xludf.DUMMYFUNCTION("""COMPUTED_VALUE"""),102816.0)</f>
        <v>102816</v>
      </c>
      <c r="B4216" s="2">
        <f>IFERROR(__xludf.DUMMYFUNCTION("""COMPUTED_VALUE"""),0.0)</f>
        <v>0</v>
      </c>
      <c r="C4216" s="2">
        <f>IFERROR(__xludf.DUMMYFUNCTION("""COMPUTED_VALUE"""),151.0)</f>
        <v>151</v>
      </c>
      <c r="D4216" s="3">
        <f>IFERROR(__xludf.DUMMYFUNCTION("""COMPUTED_VALUE"""),75.0)</f>
        <v>75</v>
      </c>
      <c r="E4216" s="2"/>
      <c r="F4216" s="2"/>
    </row>
    <row r="4217">
      <c r="A4217" s="2">
        <f>IFERROR(__xludf.DUMMYFUNCTION("""COMPUTED_VALUE"""),49803.0)</f>
        <v>49803</v>
      </c>
      <c r="B4217" s="2">
        <f>IFERROR(__xludf.DUMMYFUNCTION("""COMPUTED_VALUE"""),1.0)</f>
        <v>1</v>
      </c>
      <c r="C4217" s="2">
        <f>IFERROR(__xludf.DUMMYFUNCTION("""COMPUTED_VALUE"""),245.0)</f>
        <v>245</v>
      </c>
      <c r="D4217" s="3">
        <f>IFERROR(__xludf.DUMMYFUNCTION("""COMPUTED_VALUE"""),0.0)</f>
        <v>0</v>
      </c>
      <c r="E4217" s="2"/>
      <c r="F4217" s="2"/>
    </row>
    <row r="4218">
      <c r="A4218" s="2">
        <f>IFERROR(__xludf.DUMMYFUNCTION("""COMPUTED_VALUE"""),77302.0)</f>
        <v>77302</v>
      </c>
      <c r="B4218" s="2">
        <f>IFERROR(__xludf.DUMMYFUNCTION("""COMPUTED_VALUE"""),0.0)</f>
        <v>0</v>
      </c>
      <c r="C4218" s="2">
        <f>IFERROR(__xludf.DUMMYFUNCTION("""COMPUTED_VALUE"""),379.0)</f>
        <v>379</v>
      </c>
      <c r="D4218" s="3">
        <f>IFERROR(__xludf.DUMMYFUNCTION("""COMPUTED_VALUE"""),295.0)</f>
        <v>295</v>
      </c>
      <c r="E4218" s="2"/>
      <c r="F4218" s="2"/>
    </row>
    <row r="4219">
      <c r="A4219" s="2">
        <f>IFERROR(__xludf.DUMMYFUNCTION("""COMPUTED_VALUE"""),94000.0)</f>
        <v>94000</v>
      </c>
      <c r="B4219" s="2">
        <f>IFERROR(__xludf.DUMMYFUNCTION("""COMPUTED_VALUE"""),0.0)</f>
        <v>0</v>
      </c>
      <c r="C4219" s="2">
        <f>IFERROR(__xludf.DUMMYFUNCTION("""COMPUTED_VALUE"""),888.0)</f>
        <v>888</v>
      </c>
      <c r="D4219" s="3">
        <f>IFERROR(__xludf.DUMMYFUNCTION("""COMPUTED_VALUE"""),727.0)</f>
        <v>727</v>
      </c>
      <c r="E4219" s="2"/>
      <c r="F4219" s="2"/>
    </row>
    <row r="4220">
      <c r="A4220" s="2">
        <f>IFERROR(__xludf.DUMMYFUNCTION("""COMPUTED_VALUE"""),9616.0)</f>
        <v>9616</v>
      </c>
      <c r="B4220" s="2">
        <f>IFERROR(__xludf.DUMMYFUNCTION("""COMPUTED_VALUE"""),1.0)</f>
        <v>1</v>
      </c>
      <c r="C4220" s="2">
        <f>IFERROR(__xludf.DUMMYFUNCTION("""COMPUTED_VALUE"""),277.0)</f>
        <v>277</v>
      </c>
      <c r="D4220" s="3">
        <f>IFERROR(__xludf.DUMMYFUNCTION("""COMPUTED_VALUE"""),191.0)</f>
        <v>191</v>
      </c>
      <c r="E4220" s="2"/>
      <c r="F4220" s="2"/>
    </row>
    <row r="4221">
      <c r="A4221" s="2">
        <f>IFERROR(__xludf.DUMMYFUNCTION("""COMPUTED_VALUE"""),115135.0)</f>
        <v>115135</v>
      </c>
      <c r="B4221" s="2">
        <f>IFERROR(__xludf.DUMMYFUNCTION("""COMPUTED_VALUE"""),1.0)</f>
        <v>1</v>
      </c>
      <c r="C4221" s="2">
        <f>IFERROR(__xludf.DUMMYFUNCTION("""COMPUTED_VALUE"""),373.0)</f>
        <v>373</v>
      </c>
      <c r="D4221" s="3">
        <f>IFERROR(__xludf.DUMMYFUNCTION("""COMPUTED_VALUE"""),18.0)</f>
        <v>18</v>
      </c>
      <c r="E4221" s="2"/>
      <c r="F4221" s="2"/>
    </row>
    <row r="4222">
      <c r="A4222" s="2">
        <f>IFERROR(__xludf.DUMMYFUNCTION("""COMPUTED_VALUE"""),90727.0)</f>
        <v>90727</v>
      </c>
      <c r="B4222" s="2">
        <f>IFERROR(__xludf.DUMMYFUNCTION("""COMPUTED_VALUE"""),0.0)</f>
        <v>0</v>
      </c>
      <c r="C4222" s="2">
        <f>IFERROR(__xludf.DUMMYFUNCTION("""COMPUTED_VALUE"""),103.0)</f>
        <v>103</v>
      </c>
      <c r="D4222" s="3">
        <f>IFERROR(__xludf.DUMMYFUNCTION("""COMPUTED_VALUE"""),16.0)</f>
        <v>16</v>
      </c>
      <c r="E4222" s="2"/>
      <c r="F4222" s="2"/>
    </row>
    <row r="4223">
      <c r="A4223" s="2">
        <f>IFERROR(__xludf.DUMMYFUNCTION("""COMPUTED_VALUE"""),24060.0)</f>
        <v>24060</v>
      </c>
      <c r="B4223" s="2">
        <f>IFERROR(__xludf.DUMMYFUNCTION("""COMPUTED_VALUE"""),0.0)</f>
        <v>0</v>
      </c>
      <c r="C4223" s="2">
        <f>IFERROR(__xludf.DUMMYFUNCTION("""COMPUTED_VALUE"""),210.0)</f>
        <v>210</v>
      </c>
      <c r="D4223" s="3">
        <f>IFERROR(__xludf.DUMMYFUNCTION("""COMPUTED_VALUE"""),87.0)</f>
        <v>87</v>
      </c>
      <c r="E4223" s="2"/>
      <c r="F4223" s="2"/>
    </row>
    <row r="4224">
      <c r="A4224" s="2">
        <f>IFERROR(__xludf.DUMMYFUNCTION("""COMPUTED_VALUE"""),112086.0)</f>
        <v>112086</v>
      </c>
      <c r="B4224" s="2">
        <f>IFERROR(__xludf.DUMMYFUNCTION("""COMPUTED_VALUE"""),0.0)</f>
        <v>0</v>
      </c>
      <c r="C4224" s="2">
        <f>IFERROR(__xludf.DUMMYFUNCTION("""COMPUTED_VALUE"""),290.0)</f>
        <v>290</v>
      </c>
      <c r="D4224" s="3">
        <f>IFERROR(__xludf.DUMMYFUNCTION("""COMPUTED_VALUE"""),52.0)</f>
        <v>52</v>
      </c>
      <c r="E4224" s="2"/>
      <c r="F4224" s="2"/>
    </row>
    <row r="4225">
      <c r="A4225" s="2">
        <f>IFERROR(__xludf.DUMMYFUNCTION("""COMPUTED_VALUE"""),90723.0)</f>
        <v>90723</v>
      </c>
      <c r="B4225" s="2">
        <f>IFERROR(__xludf.DUMMYFUNCTION("""COMPUTED_VALUE"""),0.0)</f>
        <v>0</v>
      </c>
      <c r="C4225" s="2">
        <f>IFERROR(__xludf.DUMMYFUNCTION("""COMPUTED_VALUE"""),458.0)</f>
        <v>458</v>
      </c>
      <c r="D4225" s="3">
        <f>IFERROR(__xludf.DUMMYFUNCTION("""COMPUTED_VALUE"""),436.0)</f>
        <v>436</v>
      </c>
      <c r="E4225" s="2"/>
      <c r="F4225" s="2"/>
    </row>
    <row r="4226">
      <c r="A4226" s="2">
        <f>IFERROR(__xludf.DUMMYFUNCTION("""COMPUTED_VALUE"""),77601.0)</f>
        <v>77601</v>
      </c>
      <c r="B4226" s="2">
        <f>IFERROR(__xludf.DUMMYFUNCTION("""COMPUTED_VALUE"""),1.0)</f>
        <v>1</v>
      </c>
      <c r="C4226" s="2">
        <f>IFERROR(__xludf.DUMMYFUNCTION("""COMPUTED_VALUE"""),277.0)</f>
        <v>277</v>
      </c>
      <c r="D4226" s="3">
        <f>IFERROR(__xludf.DUMMYFUNCTION("""COMPUTED_VALUE"""),87.0)</f>
        <v>87</v>
      </c>
      <c r="E4226" s="2"/>
      <c r="F4226" s="2"/>
    </row>
    <row r="4227">
      <c r="A4227" s="2">
        <f>IFERROR(__xludf.DUMMYFUNCTION("""COMPUTED_VALUE"""),12005.0)</f>
        <v>12005</v>
      </c>
      <c r="B4227" s="2">
        <f>IFERROR(__xludf.DUMMYFUNCTION("""COMPUTED_VALUE"""),0.0)</f>
        <v>0</v>
      </c>
      <c r="C4227" s="2">
        <f>IFERROR(__xludf.DUMMYFUNCTION("""COMPUTED_VALUE"""),838.0)</f>
        <v>838</v>
      </c>
      <c r="D4227" s="3">
        <f>IFERROR(__xludf.DUMMYFUNCTION("""COMPUTED_VALUE"""),535.0)</f>
        <v>535</v>
      </c>
      <c r="E4227" s="2"/>
      <c r="F4227" s="2"/>
    </row>
    <row r="4228">
      <c r="A4228" s="2">
        <f>IFERROR(__xludf.DUMMYFUNCTION("""COMPUTED_VALUE"""),41680.0)</f>
        <v>41680</v>
      </c>
      <c r="B4228" s="2">
        <f>IFERROR(__xludf.DUMMYFUNCTION("""COMPUTED_VALUE"""),0.0)</f>
        <v>0</v>
      </c>
      <c r="C4228" s="2">
        <f>IFERROR(__xludf.DUMMYFUNCTION("""COMPUTED_VALUE"""),634.0)</f>
        <v>634</v>
      </c>
      <c r="D4228" s="3">
        <f>IFERROR(__xludf.DUMMYFUNCTION("""COMPUTED_VALUE"""),532.0)</f>
        <v>532</v>
      </c>
      <c r="E4228" s="2"/>
      <c r="F4228" s="2"/>
    </row>
    <row r="4229">
      <c r="A4229" s="2">
        <f>IFERROR(__xludf.DUMMYFUNCTION("""COMPUTED_VALUE"""),12000.0)</f>
        <v>12000</v>
      </c>
      <c r="B4229" s="2">
        <f>IFERROR(__xludf.DUMMYFUNCTION("""COMPUTED_VALUE"""),0.0)</f>
        <v>0</v>
      </c>
      <c r="C4229" s="2">
        <f>IFERROR(__xludf.DUMMYFUNCTION("""COMPUTED_VALUE"""),752.0)</f>
        <v>752</v>
      </c>
      <c r="D4229" s="3">
        <f>IFERROR(__xludf.DUMMYFUNCTION("""COMPUTED_VALUE"""),451.0)</f>
        <v>451</v>
      </c>
      <c r="E4229" s="2"/>
      <c r="F4229" s="2"/>
    </row>
    <row r="4230">
      <c r="A4230" s="2">
        <f>IFERROR(__xludf.DUMMYFUNCTION("""COMPUTED_VALUE"""),12022.0)</f>
        <v>12022</v>
      </c>
      <c r="B4230" s="2">
        <f>IFERROR(__xludf.DUMMYFUNCTION("""COMPUTED_VALUE"""),0.0)</f>
        <v>0</v>
      </c>
      <c r="C4230" s="2">
        <f>IFERROR(__xludf.DUMMYFUNCTION("""COMPUTED_VALUE"""),8.0)</f>
        <v>8</v>
      </c>
      <c r="D4230" s="3">
        <f>IFERROR(__xludf.DUMMYFUNCTION("""COMPUTED_VALUE"""),7.0)</f>
        <v>7</v>
      </c>
      <c r="E4230" s="2"/>
      <c r="F4230" s="2"/>
    </row>
    <row r="4231">
      <c r="A4231" s="2">
        <f>IFERROR(__xludf.DUMMYFUNCTION("""COMPUTED_VALUE"""),113596.0)</f>
        <v>113596</v>
      </c>
      <c r="B4231" s="2">
        <f>IFERROR(__xludf.DUMMYFUNCTION("""COMPUTED_VALUE"""),0.0)</f>
        <v>0</v>
      </c>
      <c r="C4231" s="2">
        <f>IFERROR(__xludf.DUMMYFUNCTION("""COMPUTED_VALUE"""),988.0)</f>
        <v>988</v>
      </c>
      <c r="D4231" s="3">
        <f>IFERROR(__xludf.DUMMYFUNCTION("""COMPUTED_VALUE"""),383.0)</f>
        <v>383</v>
      </c>
      <c r="E4231" s="2"/>
      <c r="F4231" s="2"/>
    </row>
    <row r="4232">
      <c r="A4232" s="2">
        <f>IFERROR(__xludf.DUMMYFUNCTION("""COMPUTED_VALUE"""),11998.0)</f>
        <v>11998</v>
      </c>
      <c r="B4232" s="2">
        <f>IFERROR(__xludf.DUMMYFUNCTION("""COMPUTED_VALUE"""),0.0)</f>
        <v>0</v>
      </c>
      <c r="C4232" s="2">
        <f>IFERROR(__xludf.DUMMYFUNCTION("""COMPUTED_VALUE"""),436.0)</f>
        <v>436</v>
      </c>
      <c r="D4232" s="3">
        <f>IFERROR(__xludf.DUMMYFUNCTION("""COMPUTED_VALUE"""),414.0)</f>
        <v>414</v>
      </c>
      <c r="E4232" s="2"/>
      <c r="F4232" s="2"/>
    </row>
    <row r="4233">
      <c r="A4233" s="2">
        <f>IFERROR(__xludf.DUMMYFUNCTION("""COMPUTED_VALUE"""),12063.0)</f>
        <v>12063</v>
      </c>
      <c r="B4233" s="2">
        <f>IFERROR(__xludf.DUMMYFUNCTION("""COMPUTED_VALUE"""),0.0)</f>
        <v>0</v>
      </c>
      <c r="C4233" s="2">
        <f>IFERROR(__xludf.DUMMYFUNCTION("""COMPUTED_VALUE"""),904.0)</f>
        <v>904</v>
      </c>
      <c r="D4233" s="3">
        <f>IFERROR(__xludf.DUMMYFUNCTION("""COMPUTED_VALUE"""),240.0)</f>
        <v>240</v>
      </c>
      <c r="E4233" s="2"/>
      <c r="F4233" s="2"/>
    </row>
    <row r="4234">
      <c r="A4234" s="2">
        <f>IFERROR(__xludf.DUMMYFUNCTION("""COMPUTED_VALUE"""),96069.0)</f>
        <v>96069</v>
      </c>
      <c r="B4234" s="2">
        <f>IFERROR(__xludf.DUMMYFUNCTION("""COMPUTED_VALUE"""),1.0)</f>
        <v>1</v>
      </c>
      <c r="C4234" s="2">
        <f>IFERROR(__xludf.DUMMYFUNCTION("""COMPUTED_VALUE"""),327.0)</f>
        <v>327</v>
      </c>
      <c r="D4234" s="3">
        <f>IFERROR(__xludf.DUMMYFUNCTION("""COMPUTED_VALUE"""),21.0)</f>
        <v>21</v>
      </c>
      <c r="E4234" s="2"/>
      <c r="F4234" s="2"/>
    </row>
    <row r="4235">
      <c r="A4235" s="2">
        <f>IFERROR(__xludf.DUMMYFUNCTION("""COMPUTED_VALUE"""),12007.0)</f>
        <v>12007</v>
      </c>
      <c r="B4235" s="2">
        <f>IFERROR(__xludf.DUMMYFUNCTION("""COMPUTED_VALUE"""),0.0)</f>
        <v>0</v>
      </c>
      <c r="C4235" s="2">
        <f>IFERROR(__xludf.DUMMYFUNCTION("""COMPUTED_VALUE"""),353.0)</f>
        <v>353</v>
      </c>
      <c r="D4235" s="3">
        <f>IFERROR(__xludf.DUMMYFUNCTION("""COMPUTED_VALUE"""),133.0)</f>
        <v>133</v>
      </c>
      <c r="E4235" s="2"/>
      <c r="F4235" s="2"/>
    </row>
    <row r="4236">
      <c r="A4236" s="2">
        <f>IFERROR(__xludf.DUMMYFUNCTION("""COMPUTED_VALUE"""),113592.0)</f>
        <v>113592</v>
      </c>
      <c r="B4236" s="2">
        <f>IFERROR(__xludf.DUMMYFUNCTION("""COMPUTED_VALUE"""),0.0)</f>
        <v>0</v>
      </c>
      <c r="C4236" s="2">
        <f>IFERROR(__xludf.DUMMYFUNCTION("""COMPUTED_VALUE"""),530.0)</f>
        <v>530</v>
      </c>
      <c r="D4236" s="3">
        <f>IFERROR(__xludf.DUMMYFUNCTION("""COMPUTED_VALUE"""),108.0)</f>
        <v>108</v>
      </c>
      <c r="E4236" s="2"/>
      <c r="F4236" s="2"/>
    </row>
    <row r="4237">
      <c r="A4237" s="2">
        <f>IFERROR(__xludf.DUMMYFUNCTION("""COMPUTED_VALUE"""),147308.0)</f>
        <v>147308</v>
      </c>
      <c r="B4237" s="2">
        <f>IFERROR(__xludf.DUMMYFUNCTION("""COMPUTED_VALUE"""),0.0)</f>
        <v>0</v>
      </c>
      <c r="C4237" s="2">
        <f>IFERROR(__xludf.DUMMYFUNCTION("""COMPUTED_VALUE"""),462.0)</f>
        <v>462</v>
      </c>
      <c r="D4237" s="3">
        <f>IFERROR(__xludf.DUMMYFUNCTION("""COMPUTED_VALUE"""),240.0)</f>
        <v>240</v>
      </c>
      <c r="E4237" s="2"/>
      <c r="F4237" s="2"/>
    </row>
    <row r="4238">
      <c r="A4238" s="2">
        <f>IFERROR(__xludf.DUMMYFUNCTION("""COMPUTED_VALUE"""),41679.0)</f>
        <v>41679</v>
      </c>
      <c r="B4238" s="2">
        <f>IFERROR(__xludf.DUMMYFUNCTION("""COMPUTED_VALUE"""),1.0)</f>
        <v>1</v>
      </c>
      <c r="C4238" s="2">
        <f>IFERROR(__xludf.DUMMYFUNCTION("""COMPUTED_VALUE"""),564.0)</f>
        <v>564</v>
      </c>
      <c r="D4238" s="3">
        <f>IFERROR(__xludf.DUMMYFUNCTION("""COMPUTED_VALUE"""),261.0)</f>
        <v>261</v>
      </c>
      <c r="E4238" s="2"/>
      <c r="F4238" s="2"/>
    </row>
    <row r="4239">
      <c r="A4239" s="2">
        <f>IFERROR(__xludf.DUMMYFUNCTION("""COMPUTED_VALUE"""),112077.0)</f>
        <v>112077</v>
      </c>
      <c r="B4239" s="2">
        <f>IFERROR(__xludf.DUMMYFUNCTION("""COMPUTED_VALUE"""),0.0)</f>
        <v>0</v>
      </c>
      <c r="C4239" s="2">
        <f>IFERROR(__xludf.DUMMYFUNCTION("""COMPUTED_VALUE"""),221.0)</f>
        <v>221</v>
      </c>
      <c r="D4239" s="3">
        <f>IFERROR(__xludf.DUMMYFUNCTION("""COMPUTED_VALUE"""),153.0)</f>
        <v>153</v>
      </c>
      <c r="E4239" s="2"/>
      <c r="F4239" s="2"/>
    </row>
    <row r="4240">
      <c r="A4240" s="2">
        <f>IFERROR(__xludf.DUMMYFUNCTION("""COMPUTED_VALUE"""),115133.0)</f>
        <v>115133</v>
      </c>
      <c r="B4240" s="2">
        <f>IFERROR(__xludf.DUMMYFUNCTION("""COMPUTED_VALUE"""),1.0)</f>
        <v>1</v>
      </c>
      <c r="C4240" s="2">
        <f>IFERROR(__xludf.DUMMYFUNCTION("""COMPUTED_VALUE"""),840.0)</f>
        <v>840</v>
      </c>
      <c r="D4240" s="3">
        <f>IFERROR(__xludf.DUMMYFUNCTION("""COMPUTED_VALUE"""),326.0)</f>
        <v>326</v>
      </c>
      <c r="E4240" s="2"/>
      <c r="F4240" s="2"/>
    </row>
    <row r="4241">
      <c r="A4241" s="2">
        <f>IFERROR(__xludf.DUMMYFUNCTION("""COMPUTED_VALUE"""),30465.0)</f>
        <v>30465</v>
      </c>
      <c r="B4241" s="2">
        <f>IFERROR(__xludf.DUMMYFUNCTION("""COMPUTED_VALUE"""),1.0)</f>
        <v>1</v>
      </c>
      <c r="C4241" s="2">
        <f>IFERROR(__xludf.DUMMYFUNCTION("""COMPUTED_VALUE"""),115.0)</f>
        <v>115</v>
      </c>
      <c r="D4241" s="3">
        <f>IFERROR(__xludf.DUMMYFUNCTION("""COMPUTED_VALUE"""),6.0)</f>
        <v>6</v>
      </c>
      <c r="E4241" s="2"/>
      <c r="F4241" s="2"/>
    </row>
    <row r="4242">
      <c r="A4242" s="2">
        <f>IFERROR(__xludf.DUMMYFUNCTION("""COMPUTED_VALUE"""),87405.0)</f>
        <v>87405</v>
      </c>
      <c r="B4242" s="2">
        <f>IFERROR(__xludf.DUMMYFUNCTION("""COMPUTED_VALUE"""),1.0)</f>
        <v>1</v>
      </c>
      <c r="C4242" s="2">
        <f>IFERROR(__xludf.DUMMYFUNCTION("""COMPUTED_VALUE"""),434.0)</f>
        <v>434</v>
      </c>
      <c r="D4242" s="3">
        <f>IFERROR(__xludf.DUMMYFUNCTION("""COMPUTED_VALUE"""),29.0)</f>
        <v>29</v>
      </c>
      <c r="E4242" s="2"/>
      <c r="F4242" s="2"/>
    </row>
    <row r="4243">
      <c r="A4243" s="2">
        <f>IFERROR(__xludf.DUMMYFUNCTION("""COMPUTED_VALUE"""),77602.0)</f>
        <v>77602</v>
      </c>
      <c r="B4243" s="2">
        <f>IFERROR(__xludf.DUMMYFUNCTION("""COMPUTED_VALUE"""),0.0)</f>
        <v>0</v>
      </c>
      <c r="C4243" s="2">
        <f>IFERROR(__xludf.DUMMYFUNCTION("""COMPUTED_VALUE"""),422.0)</f>
        <v>422</v>
      </c>
      <c r="D4243" s="3">
        <f>IFERROR(__xludf.DUMMYFUNCTION("""COMPUTED_VALUE"""),164.0)</f>
        <v>164</v>
      </c>
      <c r="E4243" s="2"/>
      <c r="F4243" s="2"/>
    </row>
    <row r="4244">
      <c r="A4244" s="2">
        <f>IFERROR(__xludf.DUMMYFUNCTION("""COMPUTED_VALUE"""),107058.0)</f>
        <v>107058</v>
      </c>
      <c r="B4244" s="2">
        <f>IFERROR(__xludf.DUMMYFUNCTION("""COMPUTED_VALUE"""),1.0)</f>
        <v>1</v>
      </c>
      <c r="C4244" s="2">
        <f>IFERROR(__xludf.DUMMYFUNCTION("""COMPUTED_VALUE"""),664.0)</f>
        <v>664</v>
      </c>
      <c r="D4244" s="3">
        <f>IFERROR(__xludf.DUMMYFUNCTION("""COMPUTED_VALUE"""),156.0)</f>
        <v>156</v>
      </c>
      <c r="E4244" s="2"/>
      <c r="F4244" s="2"/>
    </row>
    <row r="4245">
      <c r="A4245" s="2">
        <f>IFERROR(__xludf.DUMMYFUNCTION("""COMPUTED_VALUE"""),5807.0)</f>
        <v>5807</v>
      </c>
      <c r="B4245" s="2">
        <f>IFERROR(__xludf.DUMMYFUNCTION("""COMPUTED_VALUE"""),0.0)</f>
        <v>0</v>
      </c>
      <c r="C4245" s="2">
        <f>IFERROR(__xludf.DUMMYFUNCTION("""COMPUTED_VALUE"""),916.0)</f>
        <v>916</v>
      </c>
      <c r="D4245" s="3">
        <f>IFERROR(__xludf.DUMMYFUNCTION("""COMPUTED_VALUE"""),90.0)</f>
        <v>90</v>
      </c>
      <c r="E4245" s="2"/>
      <c r="F4245" s="2"/>
    </row>
    <row r="4246">
      <c r="A4246" s="2">
        <f>IFERROR(__xludf.DUMMYFUNCTION("""COMPUTED_VALUE"""),87061.0)</f>
        <v>87061</v>
      </c>
      <c r="B4246" s="2">
        <f>IFERROR(__xludf.DUMMYFUNCTION("""COMPUTED_VALUE"""),0.0)</f>
        <v>0</v>
      </c>
      <c r="C4246" s="2">
        <f>IFERROR(__xludf.DUMMYFUNCTION("""COMPUTED_VALUE"""),374.0)</f>
        <v>374</v>
      </c>
      <c r="D4246" s="3">
        <f>IFERROR(__xludf.DUMMYFUNCTION("""COMPUTED_VALUE"""),101.0)</f>
        <v>101</v>
      </c>
      <c r="E4246" s="2"/>
      <c r="F4246" s="2"/>
    </row>
    <row r="4247">
      <c r="A4247" s="2">
        <f>IFERROR(__xludf.DUMMYFUNCTION("""COMPUTED_VALUE"""),108039.0)</f>
        <v>108039</v>
      </c>
      <c r="B4247" s="2">
        <f>IFERROR(__xludf.DUMMYFUNCTION("""COMPUTED_VALUE"""),1.0)</f>
        <v>1</v>
      </c>
      <c r="C4247" s="2">
        <f>IFERROR(__xludf.DUMMYFUNCTION("""COMPUTED_VALUE"""),508.0)</f>
        <v>508</v>
      </c>
      <c r="D4247" s="3">
        <f>IFERROR(__xludf.DUMMYFUNCTION("""COMPUTED_VALUE"""),158.0)</f>
        <v>158</v>
      </c>
      <c r="E4247" s="2"/>
      <c r="F4247" s="2"/>
    </row>
    <row r="4248">
      <c r="A4248" s="2">
        <f>IFERROR(__xludf.DUMMYFUNCTION("""COMPUTED_VALUE"""),90837.0)</f>
        <v>90837</v>
      </c>
      <c r="B4248" s="2">
        <f>IFERROR(__xludf.DUMMYFUNCTION("""COMPUTED_VALUE"""),1.0)</f>
        <v>1</v>
      </c>
      <c r="C4248" s="2">
        <f>IFERROR(__xludf.DUMMYFUNCTION("""COMPUTED_VALUE"""),676.0)</f>
        <v>676</v>
      </c>
      <c r="D4248" s="3">
        <f>IFERROR(__xludf.DUMMYFUNCTION("""COMPUTED_VALUE"""),286.0)</f>
        <v>286</v>
      </c>
      <c r="E4248" s="2"/>
      <c r="F4248" s="2"/>
    </row>
    <row r="4249">
      <c r="A4249" s="2">
        <f>IFERROR(__xludf.DUMMYFUNCTION("""COMPUTED_VALUE"""),88461.0)</f>
        <v>88461</v>
      </c>
      <c r="B4249" s="2">
        <f>IFERROR(__xludf.DUMMYFUNCTION("""COMPUTED_VALUE"""),1.0)</f>
        <v>1</v>
      </c>
      <c r="C4249" s="2">
        <f>IFERROR(__xludf.DUMMYFUNCTION("""COMPUTED_VALUE"""),830.0)</f>
        <v>830</v>
      </c>
      <c r="D4249" s="3">
        <f>IFERROR(__xludf.DUMMYFUNCTION("""COMPUTED_VALUE"""),503.0)</f>
        <v>503</v>
      </c>
      <c r="E4249" s="2"/>
      <c r="F4249" s="2"/>
    </row>
    <row r="4250">
      <c r="A4250" s="2">
        <f>IFERROR(__xludf.DUMMYFUNCTION("""COMPUTED_VALUE"""),81504.0)</f>
        <v>81504</v>
      </c>
      <c r="B4250" s="2">
        <f>IFERROR(__xludf.DUMMYFUNCTION("""COMPUTED_VALUE"""),1.0)</f>
        <v>1</v>
      </c>
      <c r="C4250" s="2">
        <f>IFERROR(__xludf.DUMMYFUNCTION("""COMPUTED_VALUE"""),887.0)</f>
        <v>887</v>
      </c>
      <c r="D4250" s="3">
        <f>IFERROR(__xludf.DUMMYFUNCTION("""COMPUTED_VALUE"""),33.0)</f>
        <v>33</v>
      </c>
      <c r="E4250" s="2"/>
      <c r="F4250" s="2"/>
    </row>
    <row r="4251">
      <c r="A4251" s="2">
        <f>IFERROR(__xludf.DUMMYFUNCTION("""COMPUTED_VALUE"""),12027.0)</f>
        <v>12027</v>
      </c>
      <c r="B4251" s="2">
        <f>IFERROR(__xludf.DUMMYFUNCTION("""COMPUTED_VALUE"""),0.0)</f>
        <v>0</v>
      </c>
      <c r="C4251" s="2">
        <f>IFERROR(__xludf.DUMMYFUNCTION("""COMPUTED_VALUE"""),578.0)</f>
        <v>578</v>
      </c>
      <c r="D4251" s="3">
        <f>IFERROR(__xludf.DUMMYFUNCTION("""COMPUTED_VALUE"""),210.0)</f>
        <v>210</v>
      </c>
      <c r="E4251" s="2"/>
      <c r="F4251" s="2"/>
    </row>
    <row r="4252">
      <c r="A4252" s="2">
        <f>IFERROR(__xludf.DUMMYFUNCTION("""COMPUTED_VALUE"""),8883.0)</f>
        <v>8883</v>
      </c>
      <c r="B4252" s="2">
        <f>IFERROR(__xludf.DUMMYFUNCTION("""COMPUTED_VALUE"""),0.0)</f>
        <v>0</v>
      </c>
      <c r="C4252" s="2">
        <f>IFERROR(__xludf.DUMMYFUNCTION("""COMPUTED_VALUE"""),202.0)</f>
        <v>202</v>
      </c>
      <c r="D4252" s="3">
        <f>IFERROR(__xludf.DUMMYFUNCTION("""COMPUTED_VALUE"""),22.0)</f>
        <v>22</v>
      </c>
      <c r="E4252" s="2"/>
      <c r="F4252" s="2"/>
    </row>
    <row r="4253">
      <c r="A4253" s="2">
        <f>IFERROR(__xludf.DUMMYFUNCTION("""COMPUTED_VALUE"""),112082.0)</f>
        <v>112082</v>
      </c>
      <c r="B4253" s="2">
        <f>IFERROR(__xludf.DUMMYFUNCTION("""COMPUTED_VALUE"""),0.0)</f>
        <v>0</v>
      </c>
      <c r="C4253" s="2">
        <f>IFERROR(__xludf.DUMMYFUNCTION("""COMPUTED_VALUE"""),657.0)</f>
        <v>657</v>
      </c>
      <c r="D4253" s="3">
        <f>IFERROR(__xludf.DUMMYFUNCTION("""COMPUTED_VALUE"""),313.0)</f>
        <v>313</v>
      </c>
      <c r="E4253" s="2"/>
      <c r="F4253" s="2"/>
    </row>
    <row r="4254">
      <c r="A4254" s="2">
        <f>IFERROR(__xludf.DUMMYFUNCTION("""COMPUTED_VALUE"""),114961.0)</f>
        <v>114961</v>
      </c>
      <c r="B4254" s="2">
        <f>IFERROR(__xludf.DUMMYFUNCTION("""COMPUTED_VALUE"""),1.0)</f>
        <v>1</v>
      </c>
      <c r="C4254" s="2">
        <f>IFERROR(__xludf.DUMMYFUNCTION("""COMPUTED_VALUE"""),976.0)</f>
        <v>976</v>
      </c>
      <c r="D4254" s="3">
        <f>IFERROR(__xludf.DUMMYFUNCTION("""COMPUTED_VALUE"""),505.0)</f>
        <v>505</v>
      </c>
      <c r="E4254" s="2"/>
      <c r="F4254" s="2"/>
    </row>
    <row r="4255">
      <c r="A4255" s="2">
        <f>IFERROR(__xludf.DUMMYFUNCTION("""COMPUTED_VALUE"""),112078.0)</f>
        <v>112078</v>
      </c>
      <c r="B4255" s="2">
        <f>IFERROR(__xludf.DUMMYFUNCTION("""COMPUTED_VALUE"""),0.0)</f>
        <v>0</v>
      </c>
      <c r="C4255" s="2">
        <f>IFERROR(__xludf.DUMMYFUNCTION("""COMPUTED_VALUE"""),444.0)</f>
        <v>444</v>
      </c>
      <c r="D4255" s="3">
        <f>IFERROR(__xludf.DUMMYFUNCTION("""COMPUTED_VALUE"""),108.0)</f>
        <v>108</v>
      </c>
      <c r="E4255" s="2"/>
      <c r="F4255" s="2"/>
    </row>
    <row r="4256">
      <c r="A4256" s="2">
        <f>IFERROR(__xludf.DUMMYFUNCTION("""COMPUTED_VALUE"""),12025.0)</f>
        <v>12025</v>
      </c>
      <c r="B4256" s="2">
        <f>IFERROR(__xludf.DUMMYFUNCTION("""COMPUTED_VALUE"""),0.0)</f>
        <v>0</v>
      </c>
      <c r="C4256" s="2">
        <f>IFERROR(__xludf.DUMMYFUNCTION("""COMPUTED_VALUE"""),594.0)</f>
        <v>594</v>
      </c>
      <c r="D4256" s="3">
        <f>IFERROR(__xludf.DUMMYFUNCTION("""COMPUTED_VALUE"""),213.0)</f>
        <v>213</v>
      </c>
      <c r="E4256" s="2"/>
      <c r="F4256" s="2"/>
    </row>
    <row r="4257">
      <c r="A4257" s="2">
        <f>IFERROR(__xludf.DUMMYFUNCTION("""COMPUTED_VALUE"""),11992.0)</f>
        <v>11992</v>
      </c>
      <c r="B4257" s="2">
        <f>IFERROR(__xludf.DUMMYFUNCTION("""COMPUTED_VALUE"""),1.0)</f>
        <v>1</v>
      </c>
      <c r="C4257" s="2">
        <f>IFERROR(__xludf.DUMMYFUNCTION("""COMPUTED_VALUE"""),808.0)</f>
        <v>808</v>
      </c>
      <c r="D4257" s="3">
        <f>IFERROR(__xludf.DUMMYFUNCTION("""COMPUTED_VALUE"""),403.0)</f>
        <v>403</v>
      </c>
      <c r="E4257" s="2"/>
      <c r="F4257" s="2"/>
    </row>
    <row r="4258">
      <c r="A4258" s="2">
        <f>IFERROR(__xludf.DUMMYFUNCTION("""COMPUTED_VALUE"""),188850.0)</f>
        <v>188850</v>
      </c>
      <c r="B4258" s="2">
        <f>IFERROR(__xludf.DUMMYFUNCTION("""COMPUTED_VALUE"""),0.0)</f>
        <v>0</v>
      </c>
      <c r="C4258" s="2">
        <f>IFERROR(__xludf.DUMMYFUNCTION("""COMPUTED_VALUE"""),234.0)</f>
        <v>234</v>
      </c>
      <c r="D4258" s="3">
        <f>IFERROR(__xludf.DUMMYFUNCTION("""COMPUTED_VALUE"""),127.0)</f>
        <v>127</v>
      </c>
      <c r="E4258" s="2"/>
      <c r="F4258" s="2"/>
    </row>
    <row r="4259">
      <c r="A4259" s="2">
        <f>IFERROR(__xludf.DUMMYFUNCTION("""COMPUTED_VALUE"""),69296.0)</f>
        <v>69296</v>
      </c>
      <c r="B4259" s="2">
        <f>IFERROR(__xludf.DUMMYFUNCTION("""COMPUTED_VALUE"""),0.0)</f>
        <v>0</v>
      </c>
      <c r="C4259" s="2">
        <f>IFERROR(__xludf.DUMMYFUNCTION("""COMPUTED_VALUE"""),62.0)</f>
        <v>62</v>
      </c>
      <c r="D4259" s="3">
        <f>IFERROR(__xludf.DUMMYFUNCTION("""COMPUTED_VALUE"""),33.0)</f>
        <v>33</v>
      </c>
      <c r="E4259" s="2"/>
      <c r="F4259" s="2"/>
    </row>
    <row r="4260">
      <c r="A4260" s="2">
        <f>IFERROR(__xludf.DUMMYFUNCTION("""COMPUTED_VALUE"""),115141.0)</f>
        <v>115141</v>
      </c>
      <c r="B4260" s="2">
        <f>IFERROR(__xludf.DUMMYFUNCTION("""COMPUTED_VALUE"""),0.0)</f>
        <v>0</v>
      </c>
      <c r="C4260" s="2">
        <f>IFERROR(__xludf.DUMMYFUNCTION("""COMPUTED_VALUE"""),308.0)</f>
        <v>308</v>
      </c>
      <c r="D4260" s="3">
        <f>IFERROR(__xludf.DUMMYFUNCTION("""COMPUTED_VALUE"""),165.0)</f>
        <v>165</v>
      </c>
      <c r="E4260" s="2"/>
      <c r="F4260" s="2"/>
    </row>
    <row r="4261">
      <c r="A4261" s="2">
        <f>IFERROR(__xludf.DUMMYFUNCTION("""COMPUTED_VALUE"""),112081.0)</f>
        <v>112081</v>
      </c>
      <c r="B4261" s="2">
        <f>IFERROR(__xludf.DUMMYFUNCTION("""COMPUTED_VALUE"""),1.0)</f>
        <v>1</v>
      </c>
      <c r="C4261" s="2">
        <f>IFERROR(__xludf.DUMMYFUNCTION("""COMPUTED_VALUE"""),584.0)</f>
        <v>584</v>
      </c>
      <c r="D4261" s="3">
        <f>IFERROR(__xludf.DUMMYFUNCTION("""COMPUTED_VALUE"""),369.0)</f>
        <v>369</v>
      </c>
      <c r="E4261" s="2"/>
      <c r="F4261" s="2"/>
    </row>
    <row r="4262">
      <c r="A4262" s="2">
        <f>IFERROR(__xludf.DUMMYFUNCTION("""COMPUTED_VALUE"""),77611.0)</f>
        <v>77611</v>
      </c>
      <c r="B4262" s="2">
        <f>IFERROR(__xludf.DUMMYFUNCTION("""COMPUTED_VALUE"""),1.0)</f>
        <v>1</v>
      </c>
      <c r="C4262" s="2">
        <f>IFERROR(__xludf.DUMMYFUNCTION("""COMPUTED_VALUE"""),683.0)</f>
        <v>683</v>
      </c>
      <c r="D4262" s="3">
        <f>IFERROR(__xludf.DUMMYFUNCTION("""COMPUTED_VALUE"""),326.0)</f>
        <v>326</v>
      </c>
      <c r="E4262" s="2"/>
      <c r="F4262" s="2"/>
    </row>
    <row r="4263">
      <c r="A4263" s="2">
        <f>IFERROR(__xludf.DUMMYFUNCTION("""COMPUTED_VALUE"""),111722.0)</f>
        <v>111722</v>
      </c>
      <c r="B4263" s="2">
        <f>IFERROR(__xludf.DUMMYFUNCTION("""COMPUTED_VALUE"""),1.0)</f>
        <v>1</v>
      </c>
      <c r="C4263" s="2">
        <f>IFERROR(__xludf.DUMMYFUNCTION("""COMPUTED_VALUE"""),186.0)</f>
        <v>186</v>
      </c>
      <c r="D4263" s="3">
        <f>IFERROR(__xludf.DUMMYFUNCTION("""COMPUTED_VALUE"""),100.0)</f>
        <v>100</v>
      </c>
      <c r="E4263" s="2"/>
      <c r="F4263" s="2"/>
    </row>
    <row r="4264">
      <c r="A4264" s="2">
        <f>IFERROR(__xludf.DUMMYFUNCTION("""COMPUTED_VALUE"""),81503.0)</f>
        <v>81503</v>
      </c>
      <c r="B4264" s="2">
        <f>IFERROR(__xludf.DUMMYFUNCTION("""COMPUTED_VALUE"""),0.0)</f>
        <v>0</v>
      </c>
      <c r="C4264" s="2">
        <f>IFERROR(__xludf.DUMMYFUNCTION("""COMPUTED_VALUE"""),475.0)</f>
        <v>475</v>
      </c>
      <c r="D4264" s="3">
        <f>IFERROR(__xludf.DUMMYFUNCTION("""COMPUTED_VALUE"""),436.0)</f>
        <v>436</v>
      </c>
      <c r="E4264" s="2"/>
      <c r="F4264" s="2"/>
    </row>
    <row r="4265">
      <c r="A4265" s="2">
        <f>IFERROR(__xludf.DUMMYFUNCTION("""COMPUTED_VALUE"""),117559.0)</f>
        <v>117559</v>
      </c>
      <c r="B4265" s="2">
        <f>IFERROR(__xludf.DUMMYFUNCTION("""COMPUTED_VALUE"""),1.0)</f>
        <v>1</v>
      </c>
      <c r="C4265" s="2">
        <f>IFERROR(__xludf.DUMMYFUNCTION("""COMPUTED_VALUE"""),245.0)</f>
        <v>245</v>
      </c>
      <c r="D4265" s="3">
        <f>IFERROR(__xludf.DUMMYFUNCTION("""COMPUTED_VALUE"""),79.0)</f>
        <v>79</v>
      </c>
      <c r="E4265" s="2"/>
      <c r="F4265" s="2"/>
    </row>
    <row r="4266">
      <c r="A4266" s="2">
        <f>IFERROR(__xludf.DUMMYFUNCTION("""COMPUTED_VALUE"""),110230.0)</f>
        <v>110230</v>
      </c>
      <c r="B4266" s="2">
        <f>IFERROR(__xludf.DUMMYFUNCTION("""COMPUTED_VALUE"""),1.0)</f>
        <v>1</v>
      </c>
      <c r="C4266" s="2">
        <f>IFERROR(__xludf.DUMMYFUNCTION("""COMPUTED_VALUE"""),399.0)</f>
        <v>399</v>
      </c>
      <c r="D4266" s="3">
        <f>IFERROR(__xludf.DUMMYFUNCTION("""COMPUTED_VALUE"""),316.0)</f>
        <v>316</v>
      </c>
      <c r="E4266" s="2"/>
      <c r="F4266" s="2"/>
    </row>
    <row r="4267">
      <c r="A4267" s="2">
        <f>IFERROR(__xludf.DUMMYFUNCTION("""COMPUTED_VALUE"""),122854.0)</f>
        <v>122854</v>
      </c>
      <c r="B4267" s="2">
        <f>IFERROR(__xludf.DUMMYFUNCTION("""COMPUTED_VALUE"""),0.0)</f>
        <v>0</v>
      </c>
      <c r="C4267" s="2">
        <f>IFERROR(__xludf.DUMMYFUNCTION("""COMPUTED_VALUE"""),370.0)</f>
        <v>370</v>
      </c>
      <c r="D4267" s="3">
        <f>IFERROR(__xludf.DUMMYFUNCTION("""COMPUTED_VALUE"""),36.0)</f>
        <v>36</v>
      </c>
      <c r="E4267" s="2"/>
      <c r="F4267" s="2"/>
    </row>
    <row r="4268">
      <c r="A4268" s="2">
        <f>IFERROR(__xludf.DUMMYFUNCTION("""COMPUTED_VALUE"""),95371.0)</f>
        <v>95371</v>
      </c>
      <c r="B4268" s="2">
        <f>IFERROR(__xludf.DUMMYFUNCTION("""COMPUTED_VALUE"""),0.0)</f>
        <v>0</v>
      </c>
      <c r="C4268" s="2">
        <f>IFERROR(__xludf.DUMMYFUNCTION("""COMPUTED_VALUE"""),721.0)</f>
        <v>721</v>
      </c>
      <c r="D4268" s="3">
        <f>IFERROR(__xludf.DUMMYFUNCTION("""COMPUTED_VALUE"""),670.0)</f>
        <v>670</v>
      </c>
      <c r="E4268" s="2"/>
      <c r="F4268" s="2"/>
    </row>
    <row r="4269">
      <c r="A4269" s="2">
        <f>IFERROR(__xludf.DUMMYFUNCTION("""COMPUTED_VALUE"""),101190.0)</f>
        <v>101190</v>
      </c>
      <c r="B4269" s="2">
        <f>IFERROR(__xludf.DUMMYFUNCTION("""COMPUTED_VALUE"""),1.0)</f>
        <v>1</v>
      </c>
      <c r="C4269" s="2">
        <f>IFERROR(__xludf.DUMMYFUNCTION("""COMPUTED_VALUE"""),460.0)</f>
        <v>460</v>
      </c>
      <c r="D4269" s="3">
        <f>IFERROR(__xludf.DUMMYFUNCTION("""COMPUTED_VALUE"""),206.0)</f>
        <v>206</v>
      </c>
      <c r="E4269" s="2"/>
      <c r="F4269" s="2"/>
    </row>
    <row r="4270">
      <c r="A4270" s="2">
        <f>IFERROR(__xludf.DUMMYFUNCTION("""COMPUTED_VALUE"""),121532.0)</f>
        <v>121532</v>
      </c>
      <c r="B4270" s="2">
        <f>IFERROR(__xludf.DUMMYFUNCTION("""COMPUTED_VALUE"""),1.0)</f>
        <v>1</v>
      </c>
      <c r="C4270" s="2">
        <f>IFERROR(__xludf.DUMMYFUNCTION("""COMPUTED_VALUE"""),848.0)</f>
        <v>848</v>
      </c>
      <c r="D4270" s="3">
        <f>IFERROR(__xludf.DUMMYFUNCTION("""COMPUTED_VALUE"""),843.0)</f>
        <v>843</v>
      </c>
      <c r="E4270" s="2"/>
      <c r="F4270" s="2"/>
    </row>
    <row r="4271">
      <c r="A4271" s="2">
        <f>IFERROR(__xludf.DUMMYFUNCTION("""COMPUTED_VALUE"""),6614.0)</f>
        <v>6614</v>
      </c>
      <c r="B4271" s="2">
        <f>IFERROR(__xludf.DUMMYFUNCTION("""COMPUTED_VALUE"""),0.0)</f>
        <v>0</v>
      </c>
      <c r="C4271" s="2">
        <f>IFERROR(__xludf.DUMMYFUNCTION("""COMPUTED_VALUE"""),877.0)</f>
        <v>877</v>
      </c>
      <c r="D4271" s="3">
        <f>IFERROR(__xludf.DUMMYFUNCTION("""COMPUTED_VALUE"""),721.0)</f>
        <v>721</v>
      </c>
      <c r="E4271" s="2"/>
      <c r="F4271" s="2"/>
    </row>
    <row r="4272">
      <c r="A4272" s="2">
        <f>IFERROR(__xludf.DUMMYFUNCTION("""COMPUTED_VALUE"""),6618.0)</f>
        <v>6618</v>
      </c>
      <c r="B4272" s="2">
        <f>IFERROR(__xludf.DUMMYFUNCTION("""COMPUTED_VALUE"""),1.0)</f>
        <v>1</v>
      </c>
      <c r="C4272" s="2">
        <f>IFERROR(__xludf.DUMMYFUNCTION("""COMPUTED_VALUE"""),43.0)</f>
        <v>43</v>
      </c>
      <c r="D4272" s="3">
        <f>IFERROR(__xludf.DUMMYFUNCTION("""COMPUTED_VALUE"""),36.0)</f>
        <v>36</v>
      </c>
      <c r="E4272" s="2"/>
      <c r="F4272" s="2"/>
    </row>
    <row r="4273">
      <c r="A4273" s="2">
        <f>IFERROR(__xludf.DUMMYFUNCTION("""COMPUTED_VALUE"""),96096.0)</f>
        <v>96096</v>
      </c>
      <c r="B4273" s="2">
        <f>IFERROR(__xludf.DUMMYFUNCTION("""COMPUTED_VALUE"""),0.0)</f>
        <v>0</v>
      </c>
      <c r="C4273" s="2">
        <f>IFERROR(__xludf.DUMMYFUNCTION("""COMPUTED_VALUE"""),257.0)</f>
        <v>257</v>
      </c>
      <c r="D4273" s="3">
        <f>IFERROR(__xludf.DUMMYFUNCTION("""COMPUTED_VALUE"""),69.0)</f>
        <v>69</v>
      </c>
      <c r="E4273" s="2"/>
      <c r="F4273" s="2"/>
    </row>
    <row r="4274">
      <c r="A4274" s="2">
        <f>IFERROR(__xludf.DUMMYFUNCTION("""COMPUTED_VALUE"""),105977.0)</f>
        <v>105977</v>
      </c>
      <c r="B4274" s="2">
        <f>IFERROR(__xludf.DUMMYFUNCTION("""COMPUTED_VALUE"""),0.0)</f>
        <v>0</v>
      </c>
      <c r="C4274" s="2">
        <f>IFERROR(__xludf.DUMMYFUNCTION("""COMPUTED_VALUE"""),862.0)</f>
        <v>862</v>
      </c>
      <c r="D4274" s="3">
        <f>IFERROR(__xludf.DUMMYFUNCTION("""COMPUTED_VALUE"""),724.0)</f>
        <v>724</v>
      </c>
      <c r="E4274" s="2"/>
      <c r="F4274" s="2"/>
    </row>
    <row r="4275">
      <c r="A4275" s="2">
        <f>IFERROR(__xludf.DUMMYFUNCTION("""COMPUTED_VALUE"""),105901.0)</f>
        <v>105901</v>
      </c>
      <c r="B4275" s="2">
        <f>IFERROR(__xludf.DUMMYFUNCTION("""COMPUTED_VALUE"""),0.0)</f>
        <v>0</v>
      </c>
      <c r="C4275" s="2">
        <f>IFERROR(__xludf.DUMMYFUNCTION("""COMPUTED_VALUE"""),425.0)</f>
        <v>425</v>
      </c>
      <c r="D4275" s="3">
        <f>IFERROR(__xludf.DUMMYFUNCTION("""COMPUTED_VALUE"""),336.0)</f>
        <v>336</v>
      </c>
      <c r="E4275" s="2"/>
      <c r="F4275" s="2"/>
    </row>
    <row r="4276">
      <c r="A4276" s="2">
        <f>IFERROR(__xludf.DUMMYFUNCTION("""COMPUTED_VALUE"""),180823.0)</f>
        <v>180823</v>
      </c>
      <c r="B4276" s="2">
        <f>IFERROR(__xludf.DUMMYFUNCTION("""COMPUTED_VALUE"""),1.0)</f>
        <v>1</v>
      </c>
      <c r="C4276" s="2">
        <f>IFERROR(__xludf.DUMMYFUNCTION("""COMPUTED_VALUE"""),834.0)</f>
        <v>834</v>
      </c>
      <c r="D4276" s="3">
        <f>IFERROR(__xludf.DUMMYFUNCTION("""COMPUTED_VALUE"""),113.0)</f>
        <v>113</v>
      </c>
      <c r="E4276" s="2"/>
      <c r="F4276" s="2"/>
    </row>
    <row r="4277">
      <c r="A4277" s="2">
        <f>IFERROR(__xludf.DUMMYFUNCTION("""COMPUTED_VALUE"""),118979.0)</f>
        <v>118979</v>
      </c>
      <c r="B4277" s="2">
        <f>IFERROR(__xludf.DUMMYFUNCTION("""COMPUTED_VALUE"""),0.0)</f>
        <v>0</v>
      </c>
      <c r="C4277" s="2">
        <f>IFERROR(__xludf.DUMMYFUNCTION("""COMPUTED_VALUE"""),650.0)</f>
        <v>650</v>
      </c>
      <c r="D4277" s="3">
        <f>IFERROR(__xludf.DUMMYFUNCTION("""COMPUTED_VALUE"""),379.0)</f>
        <v>379</v>
      </c>
      <c r="E4277" s="2"/>
      <c r="F4277" s="2"/>
    </row>
    <row r="4278">
      <c r="A4278" s="2">
        <f>IFERROR(__xludf.DUMMYFUNCTION("""COMPUTED_VALUE"""),111502.0)</f>
        <v>111502</v>
      </c>
      <c r="B4278" s="2">
        <f>IFERROR(__xludf.DUMMYFUNCTION("""COMPUTED_VALUE"""),1.0)</f>
        <v>1</v>
      </c>
      <c r="C4278" s="2">
        <f>IFERROR(__xludf.DUMMYFUNCTION("""COMPUTED_VALUE"""),381.0)</f>
        <v>381</v>
      </c>
      <c r="D4278" s="3">
        <f>IFERROR(__xludf.DUMMYFUNCTION("""COMPUTED_VALUE"""),64.0)</f>
        <v>64</v>
      </c>
      <c r="E4278" s="2"/>
      <c r="F4278" s="2"/>
    </row>
    <row r="4279">
      <c r="A4279" s="2">
        <f>IFERROR(__xludf.DUMMYFUNCTION("""COMPUTED_VALUE"""),180822.0)</f>
        <v>180822</v>
      </c>
      <c r="B4279" s="2">
        <f>IFERROR(__xludf.DUMMYFUNCTION("""COMPUTED_VALUE"""),0.0)</f>
        <v>0</v>
      </c>
      <c r="C4279" s="2">
        <f>IFERROR(__xludf.DUMMYFUNCTION("""COMPUTED_VALUE"""),209.0)</f>
        <v>209</v>
      </c>
      <c r="D4279" s="3">
        <f>IFERROR(__xludf.DUMMYFUNCTION("""COMPUTED_VALUE"""),198.0)</f>
        <v>198</v>
      </c>
      <c r="E4279" s="2"/>
      <c r="F4279" s="2"/>
    </row>
    <row r="4280">
      <c r="A4280" s="2">
        <f>IFERROR(__xludf.DUMMYFUNCTION("""COMPUTED_VALUE"""),101196.0)</f>
        <v>101196</v>
      </c>
      <c r="B4280" s="2">
        <f>IFERROR(__xludf.DUMMYFUNCTION("""COMPUTED_VALUE"""),1.0)</f>
        <v>1</v>
      </c>
      <c r="C4280" s="2">
        <f>IFERROR(__xludf.DUMMYFUNCTION("""COMPUTED_VALUE"""),839.0)</f>
        <v>839</v>
      </c>
      <c r="D4280" s="3">
        <f>IFERROR(__xludf.DUMMYFUNCTION("""COMPUTED_VALUE"""),709.0)</f>
        <v>709</v>
      </c>
      <c r="E4280" s="2"/>
      <c r="F4280" s="2"/>
    </row>
    <row r="4281">
      <c r="A4281" s="2">
        <f>IFERROR(__xludf.DUMMYFUNCTION("""COMPUTED_VALUE"""),180824.0)</f>
        <v>180824</v>
      </c>
      <c r="B4281" s="2">
        <f>IFERROR(__xludf.DUMMYFUNCTION("""COMPUTED_VALUE"""),0.0)</f>
        <v>0</v>
      </c>
      <c r="C4281" s="2">
        <f>IFERROR(__xludf.DUMMYFUNCTION("""COMPUTED_VALUE"""),434.0)</f>
        <v>434</v>
      </c>
      <c r="D4281" s="3">
        <f>IFERROR(__xludf.DUMMYFUNCTION("""COMPUTED_VALUE"""),342.0)</f>
        <v>342</v>
      </c>
      <c r="E4281" s="2"/>
      <c r="F4281" s="2"/>
    </row>
    <row r="4282">
      <c r="A4282" s="2">
        <f>IFERROR(__xludf.DUMMYFUNCTION("""COMPUTED_VALUE"""),105905.0)</f>
        <v>105905</v>
      </c>
      <c r="B4282" s="2">
        <f>IFERROR(__xludf.DUMMYFUNCTION("""COMPUTED_VALUE"""),1.0)</f>
        <v>1</v>
      </c>
      <c r="C4282" s="2">
        <f>IFERROR(__xludf.DUMMYFUNCTION("""COMPUTED_VALUE"""),277.0)</f>
        <v>277</v>
      </c>
      <c r="D4282" s="3">
        <f>IFERROR(__xludf.DUMMYFUNCTION("""COMPUTED_VALUE"""),132.0)</f>
        <v>132</v>
      </c>
      <c r="E4282" s="2"/>
      <c r="F4282" s="2"/>
    </row>
    <row r="4283">
      <c r="A4283" s="2">
        <f>IFERROR(__xludf.DUMMYFUNCTION("""COMPUTED_VALUE"""),101194.0)</f>
        <v>101194</v>
      </c>
      <c r="B4283" s="2">
        <f>IFERROR(__xludf.DUMMYFUNCTION("""COMPUTED_VALUE"""),0.0)</f>
        <v>0</v>
      </c>
      <c r="C4283" s="2">
        <f>IFERROR(__xludf.DUMMYFUNCTION("""COMPUTED_VALUE"""),362.0)</f>
        <v>362</v>
      </c>
      <c r="D4283" s="3">
        <f>IFERROR(__xludf.DUMMYFUNCTION("""COMPUTED_VALUE"""),267.0)</f>
        <v>267</v>
      </c>
      <c r="E4283" s="2"/>
      <c r="F4283" s="2"/>
    </row>
    <row r="4284">
      <c r="A4284" s="2">
        <f>IFERROR(__xludf.DUMMYFUNCTION("""COMPUTED_VALUE"""),113719.0)</f>
        <v>113719</v>
      </c>
      <c r="B4284" s="2">
        <f>IFERROR(__xludf.DUMMYFUNCTION("""COMPUTED_VALUE"""),0.0)</f>
        <v>0</v>
      </c>
      <c r="C4284" s="2">
        <f>IFERROR(__xludf.DUMMYFUNCTION("""COMPUTED_VALUE"""),226.0)</f>
        <v>226</v>
      </c>
      <c r="D4284" s="3">
        <f>IFERROR(__xludf.DUMMYFUNCTION("""COMPUTED_VALUE"""),53.0)</f>
        <v>53</v>
      </c>
      <c r="E4284" s="2"/>
      <c r="F4284" s="2"/>
    </row>
    <row r="4285">
      <c r="A4285" s="2">
        <f>IFERROR(__xludf.DUMMYFUNCTION("""COMPUTED_VALUE"""),111330.0)</f>
        <v>111330</v>
      </c>
      <c r="B4285" s="2">
        <f>IFERROR(__xludf.DUMMYFUNCTION("""COMPUTED_VALUE"""),0.0)</f>
        <v>0</v>
      </c>
      <c r="C4285" s="2">
        <f>IFERROR(__xludf.DUMMYFUNCTION("""COMPUTED_VALUE"""),203.0)</f>
        <v>203</v>
      </c>
      <c r="D4285" s="3">
        <f>IFERROR(__xludf.DUMMYFUNCTION("""COMPUTED_VALUE"""),32.0)</f>
        <v>32</v>
      </c>
      <c r="E4285" s="2"/>
      <c r="F4285" s="2"/>
    </row>
    <row r="4286">
      <c r="A4286" s="2">
        <f>IFERROR(__xludf.DUMMYFUNCTION("""COMPUTED_VALUE"""),102089.0)</f>
        <v>102089</v>
      </c>
      <c r="B4286" s="2">
        <f>IFERROR(__xludf.DUMMYFUNCTION("""COMPUTED_VALUE"""),0.0)</f>
        <v>0</v>
      </c>
      <c r="C4286" s="2">
        <f>IFERROR(__xludf.DUMMYFUNCTION("""COMPUTED_VALUE"""),589.0)</f>
        <v>589</v>
      </c>
      <c r="D4286" s="3">
        <f>IFERROR(__xludf.DUMMYFUNCTION("""COMPUTED_VALUE"""),583.0)</f>
        <v>583</v>
      </c>
      <c r="E4286" s="2"/>
      <c r="F4286" s="2"/>
    </row>
    <row r="4287">
      <c r="A4287" s="2">
        <f>IFERROR(__xludf.DUMMYFUNCTION("""COMPUTED_VALUE"""),116867.0)</f>
        <v>116867</v>
      </c>
      <c r="B4287" s="2">
        <f>IFERROR(__xludf.DUMMYFUNCTION("""COMPUTED_VALUE"""),1.0)</f>
        <v>1</v>
      </c>
      <c r="C4287" s="2">
        <f>IFERROR(__xludf.DUMMYFUNCTION("""COMPUTED_VALUE"""),844.0)</f>
        <v>844</v>
      </c>
      <c r="D4287" s="3">
        <f>IFERROR(__xludf.DUMMYFUNCTION("""COMPUTED_VALUE"""),387.0)</f>
        <v>387</v>
      </c>
      <c r="E4287" s="2"/>
      <c r="F4287" s="2"/>
    </row>
    <row r="4288">
      <c r="A4288" s="2">
        <f>IFERROR(__xludf.DUMMYFUNCTION("""COMPUTED_VALUE"""),150297.0)</f>
        <v>150297</v>
      </c>
      <c r="B4288" s="2">
        <f>IFERROR(__xludf.DUMMYFUNCTION("""COMPUTED_VALUE"""),0.0)</f>
        <v>0</v>
      </c>
      <c r="C4288" s="2">
        <f>IFERROR(__xludf.DUMMYFUNCTION("""COMPUTED_VALUE"""),418.0)</f>
        <v>418</v>
      </c>
      <c r="D4288" s="3">
        <f>IFERROR(__xludf.DUMMYFUNCTION("""COMPUTED_VALUE"""),89.0)</f>
        <v>89</v>
      </c>
      <c r="E4288" s="2"/>
      <c r="F4288" s="2"/>
    </row>
    <row r="4289">
      <c r="A4289" s="2">
        <f>IFERROR(__xludf.DUMMYFUNCTION("""COMPUTED_VALUE"""),23628.0)</f>
        <v>23628</v>
      </c>
      <c r="B4289" s="2">
        <f>IFERROR(__xludf.DUMMYFUNCTION("""COMPUTED_VALUE"""),0.0)</f>
        <v>0</v>
      </c>
      <c r="C4289" s="2">
        <f>IFERROR(__xludf.DUMMYFUNCTION("""COMPUTED_VALUE"""),672.0)</f>
        <v>672</v>
      </c>
      <c r="D4289" s="3">
        <f>IFERROR(__xludf.DUMMYFUNCTION("""COMPUTED_VALUE"""),75.0)</f>
        <v>75</v>
      </c>
      <c r="E4289" s="2"/>
      <c r="F4289" s="2"/>
    </row>
    <row r="4290">
      <c r="A4290" s="2">
        <f>IFERROR(__xludf.DUMMYFUNCTION("""COMPUTED_VALUE"""),120369.0)</f>
        <v>120369</v>
      </c>
      <c r="B4290" s="2">
        <f>IFERROR(__xludf.DUMMYFUNCTION("""COMPUTED_VALUE"""),0.0)</f>
        <v>0</v>
      </c>
      <c r="C4290" s="2">
        <f>IFERROR(__xludf.DUMMYFUNCTION("""COMPUTED_VALUE"""),846.0)</f>
        <v>846</v>
      </c>
      <c r="D4290" s="3">
        <f>IFERROR(__xludf.DUMMYFUNCTION("""COMPUTED_VALUE"""),63.0)</f>
        <v>63</v>
      </c>
      <c r="E4290" s="2"/>
      <c r="F4290" s="2"/>
    </row>
    <row r="4291">
      <c r="A4291" s="2">
        <f>IFERROR(__xludf.DUMMYFUNCTION("""COMPUTED_VALUE"""),114175.0)</f>
        <v>114175</v>
      </c>
      <c r="B4291" s="2">
        <f>IFERROR(__xludf.DUMMYFUNCTION("""COMPUTED_VALUE"""),1.0)</f>
        <v>1</v>
      </c>
      <c r="C4291" s="2">
        <f>IFERROR(__xludf.DUMMYFUNCTION("""COMPUTED_VALUE"""),109.0)</f>
        <v>109</v>
      </c>
      <c r="D4291" s="3">
        <f>IFERROR(__xludf.DUMMYFUNCTION("""COMPUTED_VALUE"""),10.0)</f>
        <v>10</v>
      </c>
      <c r="E4291" s="2"/>
      <c r="F4291" s="2"/>
    </row>
    <row r="4292">
      <c r="A4292" s="2">
        <f>IFERROR(__xludf.DUMMYFUNCTION("""COMPUTED_VALUE"""),23649.0)</f>
        <v>23649</v>
      </c>
      <c r="B4292" s="2">
        <f>IFERROR(__xludf.DUMMYFUNCTION("""COMPUTED_VALUE"""),0.0)</f>
        <v>0</v>
      </c>
      <c r="C4292" s="2">
        <f>IFERROR(__xludf.DUMMYFUNCTION("""COMPUTED_VALUE"""),695.0)</f>
        <v>695</v>
      </c>
      <c r="D4292" s="3">
        <f>IFERROR(__xludf.DUMMYFUNCTION("""COMPUTED_VALUE"""),33.0)</f>
        <v>33</v>
      </c>
      <c r="E4292" s="2"/>
      <c r="F4292" s="2"/>
    </row>
    <row r="4293">
      <c r="A4293" s="2">
        <f>IFERROR(__xludf.DUMMYFUNCTION("""COMPUTED_VALUE"""),80419.0)</f>
        <v>80419</v>
      </c>
      <c r="B4293" s="2">
        <f>IFERROR(__xludf.DUMMYFUNCTION("""COMPUTED_VALUE"""),0.0)</f>
        <v>0</v>
      </c>
      <c r="C4293" s="2">
        <f>IFERROR(__xludf.DUMMYFUNCTION("""COMPUTED_VALUE"""),253.0)</f>
        <v>253</v>
      </c>
      <c r="D4293" s="3">
        <f>IFERROR(__xludf.DUMMYFUNCTION("""COMPUTED_VALUE"""),127.0)</f>
        <v>127</v>
      </c>
      <c r="E4293" s="2"/>
      <c r="F4293" s="2"/>
    </row>
    <row r="4294">
      <c r="A4294" s="2">
        <f>IFERROR(__xludf.DUMMYFUNCTION("""COMPUTED_VALUE"""),114173.0)</f>
        <v>114173</v>
      </c>
      <c r="B4294" s="2">
        <f>IFERROR(__xludf.DUMMYFUNCTION("""COMPUTED_VALUE"""),1.0)</f>
        <v>1</v>
      </c>
      <c r="C4294" s="2">
        <f>IFERROR(__xludf.DUMMYFUNCTION("""COMPUTED_VALUE"""),57.0)</f>
        <v>57</v>
      </c>
      <c r="D4294" s="3">
        <f>IFERROR(__xludf.DUMMYFUNCTION("""COMPUTED_VALUE"""),49.0)</f>
        <v>49</v>
      </c>
      <c r="E4294" s="2"/>
      <c r="F4294" s="2"/>
    </row>
    <row r="4295">
      <c r="A4295" s="2">
        <f>IFERROR(__xludf.DUMMYFUNCTION("""COMPUTED_VALUE"""),91562.0)</f>
        <v>91562</v>
      </c>
      <c r="B4295" s="2">
        <f>IFERROR(__xludf.DUMMYFUNCTION("""COMPUTED_VALUE"""),1.0)</f>
        <v>1</v>
      </c>
      <c r="C4295" s="2">
        <f>IFERROR(__xludf.DUMMYFUNCTION("""COMPUTED_VALUE"""),692.0)</f>
        <v>692</v>
      </c>
      <c r="D4295" s="3">
        <f>IFERROR(__xludf.DUMMYFUNCTION("""COMPUTED_VALUE"""),14.0)</f>
        <v>14</v>
      </c>
      <c r="E4295" s="2"/>
      <c r="F4295" s="2"/>
    </row>
    <row r="4296">
      <c r="A4296" s="2">
        <f>IFERROR(__xludf.DUMMYFUNCTION("""COMPUTED_VALUE"""),23662.0)</f>
        <v>23662</v>
      </c>
      <c r="B4296" s="2">
        <f>IFERROR(__xludf.DUMMYFUNCTION("""COMPUTED_VALUE"""),1.0)</f>
        <v>1</v>
      </c>
      <c r="C4296" s="2">
        <f>IFERROR(__xludf.DUMMYFUNCTION("""COMPUTED_VALUE"""),766.0)</f>
        <v>766</v>
      </c>
      <c r="D4296" s="3">
        <f>IFERROR(__xludf.DUMMYFUNCTION("""COMPUTED_VALUE"""),756.0)</f>
        <v>756</v>
      </c>
      <c r="E4296" s="2"/>
      <c r="F4296" s="2"/>
    </row>
    <row r="4297">
      <c r="A4297" s="2">
        <f>IFERROR(__xludf.DUMMYFUNCTION("""COMPUTED_VALUE"""),76466.0)</f>
        <v>76466</v>
      </c>
      <c r="B4297" s="2">
        <f>IFERROR(__xludf.DUMMYFUNCTION("""COMPUTED_VALUE"""),0.0)</f>
        <v>0</v>
      </c>
      <c r="C4297" s="2">
        <f>IFERROR(__xludf.DUMMYFUNCTION("""COMPUTED_VALUE"""),114.0)</f>
        <v>114</v>
      </c>
      <c r="D4297" s="3">
        <f>IFERROR(__xludf.DUMMYFUNCTION("""COMPUTED_VALUE"""),38.0)</f>
        <v>38</v>
      </c>
      <c r="E4297" s="2"/>
      <c r="F4297" s="2"/>
    </row>
    <row r="4298">
      <c r="A4298" s="2">
        <f>IFERROR(__xludf.DUMMYFUNCTION("""COMPUTED_VALUE"""),76465.0)</f>
        <v>76465</v>
      </c>
      <c r="B4298" s="2">
        <f>IFERROR(__xludf.DUMMYFUNCTION("""COMPUTED_VALUE"""),0.0)</f>
        <v>0</v>
      </c>
      <c r="C4298" s="2">
        <f>IFERROR(__xludf.DUMMYFUNCTION("""COMPUTED_VALUE"""),323.0)</f>
        <v>323</v>
      </c>
      <c r="D4298" s="3">
        <f>IFERROR(__xludf.DUMMYFUNCTION("""COMPUTED_VALUE"""),38.0)</f>
        <v>38</v>
      </c>
      <c r="E4298" s="2"/>
      <c r="F4298" s="2"/>
    </row>
    <row r="4299">
      <c r="A4299" s="2">
        <f>IFERROR(__xludf.DUMMYFUNCTION("""COMPUTED_VALUE"""),68329.0)</f>
        <v>68329</v>
      </c>
      <c r="B4299" s="2">
        <f>IFERROR(__xludf.DUMMYFUNCTION("""COMPUTED_VALUE"""),0.0)</f>
        <v>0</v>
      </c>
      <c r="C4299" s="2">
        <f>IFERROR(__xludf.DUMMYFUNCTION("""COMPUTED_VALUE"""),770.0)</f>
        <v>770</v>
      </c>
      <c r="D4299" s="3">
        <f>IFERROR(__xludf.DUMMYFUNCTION("""COMPUTED_VALUE"""),64.0)</f>
        <v>64</v>
      </c>
      <c r="E4299" s="2"/>
      <c r="F4299" s="2"/>
    </row>
    <row r="4300">
      <c r="A4300" s="2">
        <f>IFERROR(__xludf.DUMMYFUNCTION("""COMPUTED_VALUE"""),114470.0)</f>
        <v>114470</v>
      </c>
      <c r="B4300" s="2">
        <f>IFERROR(__xludf.DUMMYFUNCTION("""COMPUTED_VALUE"""),1.0)</f>
        <v>1</v>
      </c>
      <c r="C4300" s="2">
        <f>IFERROR(__xludf.DUMMYFUNCTION("""COMPUTED_VALUE"""),849.0)</f>
        <v>849</v>
      </c>
      <c r="D4300" s="3">
        <f>IFERROR(__xludf.DUMMYFUNCTION("""COMPUTED_VALUE"""),305.0)</f>
        <v>305</v>
      </c>
      <c r="E4300" s="2"/>
      <c r="F4300" s="2"/>
    </row>
    <row r="4301">
      <c r="A4301" s="2">
        <f>IFERROR(__xludf.DUMMYFUNCTION("""COMPUTED_VALUE"""),110568.0)</f>
        <v>110568</v>
      </c>
      <c r="B4301" s="2">
        <f>IFERROR(__xludf.DUMMYFUNCTION("""COMPUTED_VALUE"""),1.0)</f>
        <v>1</v>
      </c>
      <c r="C4301" s="2">
        <f>IFERROR(__xludf.DUMMYFUNCTION("""COMPUTED_VALUE"""),787.0)</f>
        <v>787</v>
      </c>
      <c r="D4301" s="3">
        <f>IFERROR(__xludf.DUMMYFUNCTION("""COMPUTED_VALUE"""),296.0)</f>
        <v>296</v>
      </c>
      <c r="E4301" s="2"/>
      <c r="F4301" s="2"/>
    </row>
    <row r="4302">
      <c r="A4302" s="2">
        <f>IFERROR(__xludf.DUMMYFUNCTION("""COMPUTED_VALUE"""),76470.0)</f>
        <v>76470</v>
      </c>
      <c r="B4302" s="2">
        <f>IFERROR(__xludf.DUMMYFUNCTION("""COMPUTED_VALUE"""),0.0)</f>
        <v>0</v>
      </c>
      <c r="C4302" s="2">
        <f>IFERROR(__xludf.DUMMYFUNCTION("""COMPUTED_VALUE"""),75.0)</f>
        <v>75</v>
      </c>
      <c r="D4302" s="3">
        <f>IFERROR(__xludf.DUMMYFUNCTION("""COMPUTED_VALUE"""),21.0)</f>
        <v>21</v>
      </c>
      <c r="E4302" s="2"/>
      <c r="F4302" s="2"/>
    </row>
    <row r="4303">
      <c r="A4303" s="2">
        <f>IFERROR(__xludf.DUMMYFUNCTION("""COMPUTED_VALUE"""),5604.0)</f>
        <v>5604</v>
      </c>
      <c r="B4303" s="2">
        <f>IFERROR(__xludf.DUMMYFUNCTION("""COMPUTED_VALUE"""),1.0)</f>
        <v>1</v>
      </c>
      <c r="C4303" s="2">
        <f>IFERROR(__xludf.DUMMYFUNCTION("""COMPUTED_VALUE"""),190.0)</f>
        <v>190</v>
      </c>
      <c r="D4303" s="3">
        <f>IFERROR(__xludf.DUMMYFUNCTION("""COMPUTED_VALUE"""),11.0)</f>
        <v>11</v>
      </c>
      <c r="E4303" s="2"/>
      <c r="F4303" s="2"/>
    </row>
    <row r="4304">
      <c r="A4304" s="2">
        <f>IFERROR(__xludf.DUMMYFUNCTION("""COMPUTED_VALUE"""),28613.0)</f>
        <v>28613</v>
      </c>
      <c r="B4304" s="2">
        <f>IFERROR(__xludf.DUMMYFUNCTION("""COMPUTED_VALUE"""),1.0)</f>
        <v>1</v>
      </c>
      <c r="C4304" s="2">
        <f>IFERROR(__xludf.DUMMYFUNCTION("""COMPUTED_VALUE"""),617.0)</f>
        <v>617</v>
      </c>
      <c r="D4304" s="3">
        <f>IFERROR(__xludf.DUMMYFUNCTION("""COMPUTED_VALUE"""),443.0)</f>
        <v>443</v>
      </c>
      <c r="E4304" s="2"/>
      <c r="F4304" s="2"/>
    </row>
    <row r="4305">
      <c r="A4305" s="2">
        <f>IFERROR(__xludf.DUMMYFUNCTION("""COMPUTED_VALUE"""),159402.0)</f>
        <v>159402</v>
      </c>
      <c r="B4305" s="2">
        <f>IFERROR(__xludf.DUMMYFUNCTION("""COMPUTED_VALUE"""),0.0)</f>
        <v>0</v>
      </c>
      <c r="C4305" s="2">
        <f>IFERROR(__xludf.DUMMYFUNCTION("""COMPUTED_VALUE"""),228.0)</f>
        <v>228</v>
      </c>
      <c r="D4305" s="3">
        <f>IFERROR(__xludf.DUMMYFUNCTION("""COMPUTED_VALUE"""),58.0)</f>
        <v>58</v>
      </c>
      <c r="E4305" s="2"/>
      <c r="F4305" s="2"/>
    </row>
    <row r="4306">
      <c r="A4306" s="2">
        <f>IFERROR(__xludf.DUMMYFUNCTION("""COMPUTED_VALUE"""),68379.0)</f>
        <v>68379</v>
      </c>
      <c r="B4306" s="2">
        <f>IFERROR(__xludf.DUMMYFUNCTION("""COMPUTED_VALUE"""),0.0)</f>
        <v>0</v>
      </c>
      <c r="C4306" s="2">
        <f>IFERROR(__xludf.DUMMYFUNCTION("""COMPUTED_VALUE"""),592.0)</f>
        <v>592</v>
      </c>
      <c r="D4306" s="3">
        <f>IFERROR(__xludf.DUMMYFUNCTION("""COMPUTED_VALUE"""),162.0)</f>
        <v>162</v>
      </c>
      <c r="E4306" s="2"/>
      <c r="F4306" s="2"/>
    </row>
    <row r="4307">
      <c r="A4307" s="2">
        <f>IFERROR(__xludf.DUMMYFUNCTION("""COMPUTED_VALUE"""),91069.0)</f>
        <v>91069</v>
      </c>
      <c r="B4307" s="2">
        <f>IFERROR(__xludf.DUMMYFUNCTION("""COMPUTED_VALUE"""),0.0)</f>
        <v>0</v>
      </c>
      <c r="C4307" s="2">
        <f>IFERROR(__xludf.DUMMYFUNCTION("""COMPUTED_VALUE"""),428.0)</f>
        <v>428</v>
      </c>
      <c r="D4307" s="3">
        <f>IFERROR(__xludf.DUMMYFUNCTION("""COMPUTED_VALUE"""),154.0)</f>
        <v>154</v>
      </c>
      <c r="E4307" s="2"/>
      <c r="F4307" s="2"/>
    </row>
    <row r="4308">
      <c r="A4308" s="2">
        <f>IFERROR(__xludf.DUMMYFUNCTION("""COMPUTED_VALUE"""),91060.0)</f>
        <v>91060</v>
      </c>
      <c r="B4308" s="2">
        <f>IFERROR(__xludf.DUMMYFUNCTION("""COMPUTED_VALUE"""),0.0)</f>
        <v>0</v>
      </c>
      <c r="C4308" s="2">
        <f>IFERROR(__xludf.DUMMYFUNCTION("""COMPUTED_VALUE"""),437.0)</f>
        <v>437</v>
      </c>
      <c r="D4308" s="3">
        <f>IFERROR(__xludf.DUMMYFUNCTION("""COMPUTED_VALUE"""),26.0)</f>
        <v>26</v>
      </c>
      <c r="E4308" s="2"/>
      <c r="F4308" s="2"/>
    </row>
    <row r="4309">
      <c r="A4309" s="2">
        <f>IFERROR(__xludf.DUMMYFUNCTION("""COMPUTED_VALUE"""),182274.0)</f>
        <v>182274</v>
      </c>
      <c r="B4309" s="2">
        <f>IFERROR(__xludf.DUMMYFUNCTION("""COMPUTED_VALUE"""),0.0)</f>
        <v>0</v>
      </c>
      <c r="C4309" s="2">
        <f>IFERROR(__xludf.DUMMYFUNCTION("""COMPUTED_VALUE"""),416.0)</f>
        <v>416</v>
      </c>
      <c r="D4309" s="3">
        <f>IFERROR(__xludf.DUMMYFUNCTION("""COMPUTED_VALUE"""),230.0)</f>
        <v>230</v>
      </c>
      <c r="E4309" s="2"/>
      <c r="F4309" s="2"/>
    </row>
    <row r="4310">
      <c r="A4310" s="2">
        <f>IFERROR(__xludf.DUMMYFUNCTION("""COMPUTED_VALUE"""),110566.0)</f>
        <v>110566</v>
      </c>
      <c r="B4310" s="2">
        <f>IFERROR(__xludf.DUMMYFUNCTION("""COMPUTED_VALUE"""),1.0)</f>
        <v>1</v>
      </c>
      <c r="C4310" s="2">
        <f>IFERROR(__xludf.DUMMYFUNCTION("""COMPUTED_VALUE"""),587.0)</f>
        <v>587</v>
      </c>
      <c r="D4310" s="3">
        <f>IFERROR(__xludf.DUMMYFUNCTION("""COMPUTED_VALUE"""),258.0)</f>
        <v>258</v>
      </c>
      <c r="E4310" s="2"/>
      <c r="F4310" s="2"/>
    </row>
    <row r="4311">
      <c r="A4311" s="2">
        <f>IFERROR(__xludf.DUMMYFUNCTION("""COMPUTED_VALUE"""),78877.0)</f>
        <v>78877</v>
      </c>
      <c r="B4311" s="2">
        <f>IFERROR(__xludf.DUMMYFUNCTION("""COMPUTED_VALUE"""),0.0)</f>
        <v>0</v>
      </c>
      <c r="C4311" s="2">
        <f>IFERROR(__xludf.DUMMYFUNCTION("""COMPUTED_VALUE"""),373.0)</f>
        <v>373</v>
      </c>
      <c r="D4311" s="3">
        <f>IFERROR(__xludf.DUMMYFUNCTION("""COMPUTED_VALUE"""),65.0)</f>
        <v>65</v>
      </c>
      <c r="E4311" s="2"/>
      <c r="F4311" s="2"/>
    </row>
    <row r="4312">
      <c r="A4312" s="2">
        <f>IFERROR(__xludf.DUMMYFUNCTION("""COMPUTED_VALUE"""),5490.0)</f>
        <v>5490</v>
      </c>
      <c r="B4312" s="2">
        <f>IFERROR(__xludf.DUMMYFUNCTION("""COMPUTED_VALUE"""),1.0)</f>
        <v>1</v>
      </c>
      <c r="C4312" s="2">
        <f>IFERROR(__xludf.DUMMYFUNCTION("""COMPUTED_VALUE"""),638.0)</f>
        <v>638</v>
      </c>
      <c r="D4312" s="3">
        <f>IFERROR(__xludf.DUMMYFUNCTION("""COMPUTED_VALUE"""),244.0)</f>
        <v>244</v>
      </c>
      <c r="E4312" s="2"/>
      <c r="F4312" s="2"/>
    </row>
    <row r="4313">
      <c r="A4313" s="2">
        <f>IFERROR(__xludf.DUMMYFUNCTION("""COMPUTED_VALUE"""),68382.0)</f>
        <v>68382</v>
      </c>
      <c r="B4313" s="2">
        <f>IFERROR(__xludf.DUMMYFUNCTION("""COMPUTED_VALUE"""),0.0)</f>
        <v>0</v>
      </c>
      <c r="C4313" s="2">
        <f>IFERROR(__xludf.DUMMYFUNCTION("""COMPUTED_VALUE"""),450.0)</f>
        <v>450</v>
      </c>
      <c r="D4313" s="3">
        <f>IFERROR(__xludf.DUMMYFUNCTION("""COMPUTED_VALUE"""),168.0)</f>
        <v>168</v>
      </c>
      <c r="E4313" s="2"/>
      <c r="F4313" s="2"/>
    </row>
    <row r="4314">
      <c r="A4314" s="2">
        <f>IFERROR(__xludf.DUMMYFUNCTION("""COMPUTED_VALUE"""),114663.0)</f>
        <v>114663</v>
      </c>
      <c r="B4314" s="2">
        <f>IFERROR(__xludf.DUMMYFUNCTION("""COMPUTED_VALUE"""),0.0)</f>
        <v>0</v>
      </c>
      <c r="C4314" s="2">
        <f>IFERROR(__xludf.DUMMYFUNCTION("""COMPUTED_VALUE"""),296.0)</f>
        <v>296</v>
      </c>
      <c r="D4314" s="3">
        <f>IFERROR(__xludf.DUMMYFUNCTION("""COMPUTED_VALUE"""),48.0)</f>
        <v>48</v>
      </c>
      <c r="E4314" s="2"/>
      <c r="F4314" s="2"/>
    </row>
    <row r="4315">
      <c r="A4315" s="2">
        <f>IFERROR(__xludf.DUMMYFUNCTION("""COMPUTED_VALUE"""),76474.0)</f>
        <v>76474</v>
      </c>
      <c r="B4315" s="2">
        <f>IFERROR(__xludf.DUMMYFUNCTION("""COMPUTED_VALUE"""),1.0)</f>
        <v>1</v>
      </c>
      <c r="C4315" s="2">
        <f>IFERROR(__xludf.DUMMYFUNCTION("""COMPUTED_VALUE"""),55.0)</f>
        <v>55</v>
      </c>
      <c r="D4315" s="3">
        <f>IFERROR(__xludf.DUMMYFUNCTION("""COMPUTED_VALUE"""),52.0)</f>
        <v>52</v>
      </c>
      <c r="E4315" s="2"/>
      <c r="F4315" s="2"/>
    </row>
    <row r="4316">
      <c r="A4316" s="2">
        <f>IFERROR(__xludf.DUMMYFUNCTION("""COMPUTED_VALUE"""),76455.0)</f>
        <v>76455</v>
      </c>
      <c r="B4316" s="2">
        <f>IFERROR(__xludf.DUMMYFUNCTION("""COMPUTED_VALUE"""),1.0)</f>
        <v>1</v>
      </c>
      <c r="C4316" s="2">
        <f>IFERROR(__xludf.DUMMYFUNCTION("""COMPUTED_VALUE"""),917.0)</f>
        <v>917</v>
      </c>
      <c r="D4316" s="3">
        <f>IFERROR(__xludf.DUMMYFUNCTION("""COMPUTED_VALUE"""),581.0)</f>
        <v>581</v>
      </c>
      <c r="E4316" s="2"/>
      <c r="F4316" s="2"/>
    </row>
    <row r="4317">
      <c r="A4317" s="2">
        <f>IFERROR(__xludf.DUMMYFUNCTION("""COMPUTED_VALUE"""),46337.0)</f>
        <v>46337</v>
      </c>
      <c r="B4317" s="2">
        <f>IFERROR(__xludf.DUMMYFUNCTION("""COMPUTED_VALUE"""),0.0)</f>
        <v>0</v>
      </c>
      <c r="C4317" s="2">
        <f>IFERROR(__xludf.DUMMYFUNCTION("""COMPUTED_VALUE"""),146.0)</f>
        <v>146</v>
      </c>
      <c r="D4317" s="3">
        <f>IFERROR(__xludf.DUMMYFUNCTION("""COMPUTED_VALUE"""),85.0)</f>
        <v>85</v>
      </c>
      <c r="E4317" s="2"/>
      <c r="F4317" s="2"/>
    </row>
    <row r="4318">
      <c r="A4318" s="2">
        <f>IFERROR(__xludf.DUMMYFUNCTION("""COMPUTED_VALUE"""),78430.0)</f>
        <v>78430</v>
      </c>
      <c r="B4318" s="2">
        <f>IFERROR(__xludf.DUMMYFUNCTION("""COMPUTED_VALUE"""),1.0)</f>
        <v>1</v>
      </c>
      <c r="C4318" s="2">
        <f>IFERROR(__xludf.DUMMYFUNCTION("""COMPUTED_VALUE"""),101.0)</f>
        <v>101</v>
      </c>
      <c r="D4318" s="3">
        <f>IFERROR(__xludf.DUMMYFUNCTION("""COMPUTED_VALUE"""),99.0)</f>
        <v>99</v>
      </c>
      <c r="E4318" s="2"/>
      <c r="F4318" s="2"/>
    </row>
    <row r="4319">
      <c r="A4319" s="2">
        <f>IFERROR(__xludf.DUMMYFUNCTION("""COMPUTED_VALUE"""),5605.0)</f>
        <v>5605</v>
      </c>
      <c r="B4319" s="2">
        <f>IFERROR(__xludf.DUMMYFUNCTION("""COMPUTED_VALUE"""),1.0)</f>
        <v>1</v>
      </c>
      <c r="C4319" s="2">
        <f>IFERROR(__xludf.DUMMYFUNCTION("""COMPUTED_VALUE"""),124.0)</f>
        <v>124</v>
      </c>
      <c r="D4319" s="3">
        <f>IFERROR(__xludf.DUMMYFUNCTION("""COMPUTED_VALUE"""),18.0)</f>
        <v>18</v>
      </c>
      <c r="E4319" s="2"/>
      <c r="F4319" s="2"/>
    </row>
    <row r="4320">
      <c r="A4320" s="2">
        <f>IFERROR(__xludf.DUMMYFUNCTION("""COMPUTED_VALUE"""),77419.0)</f>
        <v>77419</v>
      </c>
      <c r="B4320" s="2">
        <f>IFERROR(__xludf.DUMMYFUNCTION("""COMPUTED_VALUE"""),0.0)</f>
        <v>0</v>
      </c>
      <c r="C4320" s="2">
        <f>IFERROR(__xludf.DUMMYFUNCTION("""COMPUTED_VALUE"""),142.0)</f>
        <v>142</v>
      </c>
      <c r="D4320" s="3">
        <f>IFERROR(__xludf.DUMMYFUNCTION("""COMPUTED_VALUE"""),89.0)</f>
        <v>89</v>
      </c>
      <c r="E4320" s="2"/>
      <c r="F4320" s="2"/>
    </row>
    <row r="4321">
      <c r="A4321" s="2">
        <f>IFERROR(__xludf.DUMMYFUNCTION("""COMPUTED_VALUE"""),121701.0)</f>
        <v>121701</v>
      </c>
      <c r="B4321" s="2">
        <f>IFERROR(__xludf.DUMMYFUNCTION("""COMPUTED_VALUE"""),1.0)</f>
        <v>1</v>
      </c>
      <c r="C4321" s="2">
        <f>IFERROR(__xludf.DUMMYFUNCTION("""COMPUTED_VALUE"""),101.0)</f>
        <v>101</v>
      </c>
      <c r="D4321" s="3">
        <f>IFERROR(__xludf.DUMMYFUNCTION("""COMPUTED_VALUE"""),55.0)</f>
        <v>55</v>
      </c>
      <c r="E4321" s="2"/>
      <c r="F4321" s="2"/>
    </row>
    <row r="4322">
      <c r="A4322" s="2">
        <f>IFERROR(__xludf.DUMMYFUNCTION("""COMPUTED_VALUE"""),91072.0)</f>
        <v>91072</v>
      </c>
      <c r="B4322" s="2">
        <f>IFERROR(__xludf.DUMMYFUNCTION("""COMPUTED_VALUE"""),1.0)</f>
        <v>1</v>
      </c>
      <c r="C4322" s="2">
        <f>IFERROR(__xludf.DUMMYFUNCTION("""COMPUTED_VALUE"""),331.0)</f>
        <v>331</v>
      </c>
      <c r="D4322" s="3">
        <f>IFERROR(__xludf.DUMMYFUNCTION("""COMPUTED_VALUE"""),72.0)</f>
        <v>72</v>
      </c>
      <c r="E4322" s="2"/>
      <c r="F4322" s="2"/>
    </row>
    <row r="4323">
      <c r="A4323" s="2">
        <f>IFERROR(__xludf.DUMMYFUNCTION("""COMPUTED_VALUE"""),68486.0)</f>
        <v>68486</v>
      </c>
      <c r="B4323" s="2">
        <f>IFERROR(__xludf.DUMMYFUNCTION("""COMPUTED_VALUE"""),0.0)</f>
        <v>0</v>
      </c>
      <c r="C4323" s="2">
        <f>IFERROR(__xludf.DUMMYFUNCTION("""COMPUTED_VALUE"""),39.0)</f>
        <v>39</v>
      </c>
      <c r="D4323" s="3">
        <f>IFERROR(__xludf.DUMMYFUNCTION("""COMPUTED_VALUE"""),1.0)</f>
        <v>1</v>
      </c>
      <c r="E4323" s="2"/>
      <c r="F4323" s="2"/>
    </row>
    <row r="4324">
      <c r="A4324" s="2">
        <f>IFERROR(__xludf.DUMMYFUNCTION("""COMPUTED_VALUE"""),110576.0)</f>
        <v>110576</v>
      </c>
      <c r="B4324" s="2">
        <f>IFERROR(__xludf.DUMMYFUNCTION("""COMPUTED_VALUE"""),0.0)</f>
        <v>0</v>
      </c>
      <c r="C4324" s="2">
        <f>IFERROR(__xludf.DUMMYFUNCTION("""COMPUTED_VALUE"""),547.0)</f>
        <v>547</v>
      </c>
      <c r="D4324" s="3">
        <f>IFERROR(__xludf.DUMMYFUNCTION("""COMPUTED_VALUE"""),394.0)</f>
        <v>394</v>
      </c>
      <c r="E4324" s="2"/>
      <c r="F4324" s="2"/>
    </row>
    <row r="4325">
      <c r="A4325" s="2">
        <f>IFERROR(__xludf.DUMMYFUNCTION("""COMPUTED_VALUE"""),78503.0)</f>
        <v>78503</v>
      </c>
      <c r="B4325" s="2">
        <f>IFERROR(__xludf.DUMMYFUNCTION("""COMPUTED_VALUE"""),1.0)</f>
        <v>1</v>
      </c>
      <c r="C4325" s="2">
        <f>IFERROR(__xludf.DUMMYFUNCTION("""COMPUTED_VALUE"""),652.0)</f>
        <v>652</v>
      </c>
      <c r="D4325" s="3">
        <f>IFERROR(__xludf.DUMMYFUNCTION("""COMPUTED_VALUE"""),42.0)</f>
        <v>42</v>
      </c>
      <c r="E4325" s="2"/>
      <c r="F4325" s="2"/>
    </row>
    <row r="4326">
      <c r="A4326" s="2">
        <f>IFERROR(__xludf.DUMMYFUNCTION("""COMPUTED_VALUE"""),77439.0)</f>
        <v>77439</v>
      </c>
      <c r="B4326" s="2">
        <f>IFERROR(__xludf.DUMMYFUNCTION("""COMPUTED_VALUE"""),1.0)</f>
        <v>1</v>
      </c>
      <c r="C4326" s="2">
        <f>IFERROR(__xludf.DUMMYFUNCTION("""COMPUTED_VALUE"""),442.0)</f>
        <v>442</v>
      </c>
      <c r="D4326" s="3">
        <f>IFERROR(__xludf.DUMMYFUNCTION("""COMPUTED_VALUE"""),242.0)</f>
        <v>242</v>
      </c>
      <c r="E4326" s="2"/>
      <c r="F4326" s="2"/>
    </row>
    <row r="4327">
      <c r="A4327" s="2">
        <f>IFERROR(__xludf.DUMMYFUNCTION("""COMPUTED_VALUE"""),5615.0)</f>
        <v>5615</v>
      </c>
      <c r="B4327" s="2">
        <f>IFERROR(__xludf.DUMMYFUNCTION("""COMPUTED_VALUE"""),1.0)</f>
        <v>1</v>
      </c>
      <c r="C4327" s="2">
        <f>IFERROR(__xludf.DUMMYFUNCTION("""COMPUTED_VALUE"""),641.0)</f>
        <v>641</v>
      </c>
      <c r="D4327" s="3">
        <f>IFERROR(__xludf.DUMMYFUNCTION("""COMPUTED_VALUE"""),340.0)</f>
        <v>340</v>
      </c>
      <c r="E4327" s="2"/>
      <c r="F4327" s="2"/>
    </row>
    <row r="4328">
      <c r="A4328" s="2">
        <f>IFERROR(__xludf.DUMMYFUNCTION("""COMPUTED_VALUE"""),5602.0)</f>
        <v>5602</v>
      </c>
      <c r="B4328" s="2">
        <f>IFERROR(__xludf.DUMMYFUNCTION("""COMPUTED_VALUE"""),0.0)</f>
        <v>0</v>
      </c>
      <c r="C4328" s="2">
        <f>IFERROR(__xludf.DUMMYFUNCTION("""COMPUTED_VALUE"""),13.0)</f>
        <v>13</v>
      </c>
      <c r="D4328" s="3">
        <f>IFERROR(__xludf.DUMMYFUNCTION("""COMPUTED_VALUE"""),8.0)</f>
        <v>8</v>
      </c>
      <c r="E4328" s="2"/>
      <c r="F4328" s="2"/>
    </row>
    <row r="4329">
      <c r="A4329" s="2">
        <f>IFERROR(__xludf.DUMMYFUNCTION("""COMPUTED_VALUE"""),28612.0)</f>
        <v>28612</v>
      </c>
      <c r="B4329" s="2">
        <f>IFERROR(__xludf.DUMMYFUNCTION("""COMPUTED_VALUE"""),1.0)</f>
        <v>1</v>
      </c>
      <c r="C4329" s="2">
        <f>IFERROR(__xludf.DUMMYFUNCTION("""COMPUTED_VALUE"""),320.0)</f>
        <v>320</v>
      </c>
      <c r="D4329" s="3">
        <f>IFERROR(__xludf.DUMMYFUNCTION("""COMPUTED_VALUE"""),80.0)</f>
        <v>80</v>
      </c>
      <c r="E4329" s="2"/>
      <c r="F4329" s="2"/>
    </row>
    <row r="4330">
      <c r="A4330" s="2">
        <f>IFERROR(__xludf.DUMMYFUNCTION("""COMPUTED_VALUE"""),72247.0)</f>
        <v>72247</v>
      </c>
      <c r="B4330" s="2">
        <f>IFERROR(__xludf.DUMMYFUNCTION("""COMPUTED_VALUE"""),0.0)</f>
        <v>0</v>
      </c>
      <c r="C4330" s="2">
        <f>IFERROR(__xludf.DUMMYFUNCTION("""COMPUTED_VALUE"""),50.0)</f>
        <v>50</v>
      </c>
      <c r="D4330" s="3">
        <f>IFERROR(__xludf.DUMMYFUNCTION("""COMPUTED_VALUE"""),14.0)</f>
        <v>14</v>
      </c>
      <c r="E4330" s="2"/>
      <c r="F4330" s="2"/>
    </row>
    <row r="4331">
      <c r="A4331" s="2">
        <f>IFERROR(__xludf.DUMMYFUNCTION("""COMPUTED_VALUE"""),76469.0)</f>
        <v>76469</v>
      </c>
      <c r="B4331" s="2">
        <f>IFERROR(__xludf.DUMMYFUNCTION("""COMPUTED_VALUE"""),1.0)</f>
        <v>1</v>
      </c>
      <c r="C4331" s="2">
        <f>IFERROR(__xludf.DUMMYFUNCTION("""COMPUTED_VALUE"""),799.0)</f>
        <v>799</v>
      </c>
      <c r="D4331" s="3">
        <f>IFERROR(__xludf.DUMMYFUNCTION("""COMPUTED_VALUE"""),379.0)</f>
        <v>379</v>
      </c>
      <c r="E4331" s="2"/>
      <c r="F4331" s="2"/>
    </row>
    <row r="4332">
      <c r="A4332" s="2">
        <f>IFERROR(__xludf.DUMMYFUNCTION("""COMPUTED_VALUE"""),78876.0)</f>
        <v>78876</v>
      </c>
      <c r="B4332" s="2">
        <f>IFERROR(__xludf.DUMMYFUNCTION("""COMPUTED_VALUE"""),0.0)</f>
        <v>0</v>
      </c>
      <c r="C4332" s="2">
        <f>IFERROR(__xludf.DUMMYFUNCTION("""COMPUTED_VALUE"""),516.0)</f>
        <v>516</v>
      </c>
      <c r="D4332" s="3">
        <f>IFERROR(__xludf.DUMMYFUNCTION("""COMPUTED_VALUE"""),371.0)</f>
        <v>371</v>
      </c>
      <c r="E4332" s="2"/>
      <c r="F4332" s="2"/>
    </row>
    <row r="4333">
      <c r="A4333" s="2">
        <f>IFERROR(__xludf.DUMMYFUNCTION("""COMPUTED_VALUE"""),91064.0)</f>
        <v>91064</v>
      </c>
      <c r="B4333" s="2">
        <f>IFERROR(__xludf.DUMMYFUNCTION("""COMPUTED_VALUE"""),0.0)</f>
        <v>0</v>
      </c>
      <c r="C4333" s="2">
        <f>IFERROR(__xludf.DUMMYFUNCTION("""COMPUTED_VALUE"""),733.0)</f>
        <v>733</v>
      </c>
      <c r="D4333" s="3">
        <f>IFERROR(__xludf.DUMMYFUNCTION("""COMPUTED_VALUE"""),719.0)</f>
        <v>719</v>
      </c>
      <c r="E4333" s="2"/>
      <c r="F4333" s="2"/>
    </row>
    <row r="4334">
      <c r="A4334" s="2">
        <f>IFERROR(__xludf.DUMMYFUNCTION("""COMPUTED_VALUE"""),5603.0)</f>
        <v>5603</v>
      </c>
      <c r="B4334" s="2">
        <f>IFERROR(__xludf.DUMMYFUNCTION("""COMPUTED_VALUE"""),1.0)</f>
        <v>1</v>
      </c>
      <c r="C4334" s="2">
        <f>IFERROR(__xludf.DUMMYFUNCTION("""COMPUTED_VALUE"""),34.0)</f>
        <v>34</v>
      </c>
      <c r="D4334" s="3">
        <f>IFERROR(__xludf.DUMMYFUNCTION("""COMPUTED_VALUE"""),33.0)</f>
        <v>33</v>
      </c>
      <c r="E4334" s="2"/>
      <c r="F4334" s="2"/>
    </row>
    <row r="4335">
      <c r="A4335" s="2">
        <f>IFERROR(__xludf.DUMMYFUNCTION("""COMPUTED_VALUE"""),5612.0)</f>
        <v>5612</v>
      </c>
      <c r="B4335" s="2">
        <f>IFERROR(__xludf.DUMMYFUNCTION("""COMPUTED_VALUE"""),0.0)</f>
        <v>0</v>
      </c>
      <c r="C4335" s="2">
        <f>IFERROR(__xludf.DUMMYFUNCTION("""COMPUTED_VALUE"""),831.0)</f>
        <v>831</v>
      </c>
      <c r="D4335" s="3">
        <f>IFERROR(__xludf.DUMMYFUNCTION("""COMPUTED_VALUE"""),198.0)</f>
        <v>198</v>
      </c>
      <c r="E4335" s="2"/>
      <c r="F4335" s="2"/>
    </row>
    <row r="4336">
      <c r="A4336" s="2">
        <f>IFERROR(__xludf.DUMMYFUNCTION("""COMPUTED_VALUE"""),43897.0)</f>
        <v>43897</v>
      </c>
      <c r="B4336" s="2">
        <f>IFERROR(__xludf.DUMMYFUNCTION("""COMPUTED_VALUE"""),1.0)</f>
        <v>1</v>
      </c>
      <c r="C4336" s="2">
        <f>IFERROR(__xludf.DUMMYFUNCTION("""COMPUTED_VALUE"""),767.0)</f>
        <v>767</v>
      </c>
      <c r="D4336" s="3">
        <f>IFERROR(__xludf.DUMMYFUNCTION("""COMPUTED_VALUE"""),222.0)</f>
        <v>222</v>
      </c>
      <c r="E4336" s="2"/>
      <c r="F4336" s="2"/>
    </row>
    <row r="4337">
      <c r="A4337" s="2">
        <f>IFERROR(__xludf.DUMMYFUNCTION("""COMPUTED_VALUE"""),91058.0)</f>
        <v>91058</v>
      </c>
      <c r="B4337" s="2">
        <f>IFERROR(__xludf.DUMMYFUNCTION("""COMPUTED_VALUE"""),1.0)</f>
        <v>1</v>
      </c>
      <c r="C4337" s="2">
        <f>IFERROR(__xludf.DUMMYFUNCTION("""COMPUTED_VALUE"""),961.0)</f>
        <v>961</v>
      </c>
      <c r="D4337" s="3">
        <f>IFERROR(__xludf.DUMMYFUNCTION("""COMPUTED_VALUE"""),550.0)</f>
        <v>550</v>
      </c>
      <c r="E4337" s="2"/>
      <c r="F4337" s="2"/>
    </row>
    <row r="4338">
      <c r="A4338" s="2">
        <f>IFERROR(__xludf.DUMMYFUNCTION("""COMPUTED_VALUE"""),107998.0)</f>
        <v>107998</v>
      </c>
      <c r="B4338" s="2">
        <f>IFERROR(__xludf.DUMMYFUNCTION("""COMPUTED_VALUE"""),0.0)</f>
        <v>0</v>
      </c>
      <c r="C4338" s="2">
        <f>IFERROR(__xludf.DUMMYFUNCTION("""COMPUTED_VALUE"""),66.0)</f>
        <v>66</v>
      </c>
      <c r="D4338" s="3">
        <f>IFERROR(__xludf.DUMMYFUNCTION("""COMPUTED_VALUE"""),53.0)</f>
        <v>53</v>
      </c>
      <c r="E4338" s="2"/>
      <c r="F4338" s="2"/>
    </row>
    <row r="4339">
      <c r="A4339" s="2">
        <f>IFERROR(__xludf.DUMMYFUNCTION("""COMPUTED_VALUE"""),112194.0)</f>
        <v>112194</v>
      </c>
      <c r="B4339" s="2">
        <f>IFERROR(__xludf.DUMMYFUNCTION("""COMPUTED_VALUE"""),0.0)</f>
        <v>0</v>
      </c>
      <c r="C4339" s="2">
        <f>IFERROR(__xludf.DUMMYFUNCTION("""COMPUTED_VALUE"""),747.0)</f>
        <v>747</v>
      </c>
      <c r="D4339" s="3">
        <f>IFERROR(__xludf.DUMMYFUNCTION("""COMPUTED_VALUE"""),632.0)</f>
        <v>632</v>
      </c>
      <c r="E4339" s="2"/>
      <c r="F4339" s="2"/>
    </row>
    <row r="4340">
      <c r="A4340" s="2">
        <f>IFERROR(__xludf.DUMMYFUNCTION("""COMPUTED_VALUE"""),68232.0)</f>
        <v>68232</v>
      </c>
      <c r="B4340" s="2">
        <f>IFERROR(__xludf.DUMMYFUNCTION("""COMPUTED_VALUE"""),1.0)</f>
        <v>1</v>
      </c>
      <c r="C4340" s="2">
        <f>IFERROR(__xludf.DUMMYFUNCTION("""COMPUTED_VALUE"""),630.0)</f>
        <v>630</v>
      </c>
      <c r="D4340" s="3">
        <f>IFERROR(__xludf.DUMMYFUNCTION("""COMPUTED_VALUE"""),381.0)</f>
        <v>381</v>
      </c>
      <c r="E4340" s="2"/>
      <c r="F4340" s="2"/>
    </row>
    <row r="4341">
      <c r="A4341" s="2">
        <f>IFERROR(__xludf.DUMMYFUNCTION("""COMPUTED_VALUE"""),159386.0)</f>
        <v>159386</v>
      </c>
      <c r="B4341" s="2">
        <f>IFERROR(__xludf.DUMMYFUNCTION("""COMPUTED_VALUE"""),0.0)</f>
        <v>0</v>
      </c>
      <c r="C4341" s="2">
        <f>IFERROR(__xludf.DUMMYFUNCTION("""COMPUTED_VALUE"""),466.0)</f>
        <v>466</v>
      </c>
      <c r="D4341" s="3">
        <f>IFERROR(__xludf.DUMMYFUNCTION("""COMPUTED_VALUE"""),296.0)</f>
        <v>296</v>
      </c>
      <c r="E4341" s="2"/>
      <c r="F4341" s="2"/>
    </row>
    <row r="4342">
      <c r="A4342" s="2">
        <f>IFERROR(__xludf.DUMMYFUNCTION("""COMPUTED_VALUE"""),76471.0)</f>
        <v>76471</v>
      </c>
      <c r="B4342" s="2">
        <f>IFERROR(__xludf.DUMMYFUNCTION("""COMPUTED_VALUE"""),1.0)</f>
        <v>1</v>
      </c>
      <c r="C4342" s="2">
        <f>IFERROR(__xludf.DUMMYFUNCTION("""COMPUTED_VALUE"""),422.0)</f>
        <v>422</v>
      </c>
      <c r="D4342" s="3">
        <f>IFERROR(__xludf.DUMMYFUNCTION("""COMPUTED_VALUE"""),341.0)</f>
        <v>341</v>
      </c>
      <c r="E4342" s="2"/>
      <c r="F4342" s="2"/>
    </row>
    <row r="4343">
      <c r="A4343" s="2">
        <f>IFERROR(__xludf.DUMMYFUNCTION("""COMPUTED_VALUE"""),68357.0)</f>
        <v>68357</v>
      </c>
      <c r="B4343" s="2">
        <f>IFERROR(__xludf.DUMMYFUNCTION("""COMPUTED_VALUE"""),1.0)</f>
        <v>1</v>
      </c>
      <c r="C4343" s="2">
        <f>IFERROR(__xludf.DUMMYFUNCTION("""COMPUTED_VALUE"""),303.0)</f>
        <v>303</v>
      </c>
      <c r="D4343" s="3">
        <f>IFERROR(__xludf.DUMMYFUNCTION("""COMPUTED_VALUE"""),165.0)</f>
        <v>165</v>
      </c>
      <c r="E4343" s="2"/>
      <c r="F4343" s="2"/>
    </row>
    <row r="4344">
      <c r="A4344" s="2">
        <f>IFERROR(__xludf.DUMMYFUNCTION("""COMPUTED_VALUE"""),68303.0)</f>
        <v>68303</v>
      </c>
      <c r="B4344" s="2">
        <f>IFERROR(__xludf.DUMMYFUNCTION("""COMPUTED_VALUE"""),0.0)</f>
        <v>0</v>
      </c>
      <c r="C4344" s="2">
        <f>IFERROR(__xludf.DUMMYFUNCTION("""COMPUTED_VALUE"""),262.0)</f>
        <v>262</v>
      </c>
      <c r="D4344" s="3">
        <f>IFERROR(__xludf.DUMMYFUNCTION("""COMPUTED_VALUE"""),55.0)</f>
        <v>55</v>
      </c>
      <c r="E4344" s="2"/>
      <c r="F4344" s="2"/>
    </row>
    <row r="4345">
      <c r="A4345" s="2">
        <f>IFERROR(__xludf.DUMMYFUNCTION("""COMPUTED_VALUE"""),68325.0)</f>
        <v>68325</v>
      </c>
      <c r="B4345" s="2">
        <f>IFERROR(__xludf.DUMMYFUNCTION("""COMPUTED_VALUE"""),0.0)</f>
        <v>0</v>
      </c>
      <c r="C4345" s="2">
        <f>IFERROR(__xludf.DUMMYFUNCTION("""COMPUTED_VALUE"""),225.0)</f>
        <v>225</v>
      </c>
      <c r="D4345" s="3">
        <f>IFERROR(__xludf.DUMMYFUNCTION("""COMPUTED_VALUE"""),50.0)</f>
        <v>50</v>
      </c>
      <c r="E4345" s="2"/>
      <c r="F4345" s="2"/>
    </row>
    <row r="4346">
      <c r="A4346" s="2">
        <f>IFERROR(__xludf.DUMMYFUNCTION("""COMPUTED_VALUE"""),68515.0)</f>
        <v>68515</v>
      </c>
      <c r="B4346" s="2">
        <f>IFERROR(__xludf.DUMMYFUNCTION("""COMPUTED_VALUE"""),0.0)</f>
        <v>0</v>
      </c>
      <c r="C4346" s="2">
        <f>IFERROR(__xludf.DUMMYFUNCTION("""COMPUTED_VALUE"""),592.0)</f>
        <v>592</v>
      </c>
      <c r="D4346" s="3">
        <f>IFERROR(__xludf.DUMMYFUNCTION("""COMPUTED_VALUE"""),515.0)</f>
        <v>515</v>
      </c>
      <c r="E4346" s="2"/>
      <c r="F4346" s="2"/>
    </row>
    <row r="4347">
      <c r="A4347" s="2">
        <f>IFERROR(__xludf.DUMMYFUNCTION("""COMPUTED_VALUE"""),107989.0)</f>
        <v>107989</v>
      </c>
      <c r="B4347" s="2">
        <f>IFERROR(__xludf.DUMMYFUNCTION("""COMPUTED_VALUE"""),1.0)</f>
        <v>1</v>
      </c>
      <c r="C4347" s="2">
        <f>IFERROR(__xludf.DUMMYFUNCTION("""COMPUTED_VALUE"""),958.0)</f>
        <v>958</v>
      </c>
      <c r="D4347" s="3">
        <f>IFERROR(__xludf.DUMMYFUNCTION("""COMPUTED_VALUE"""),103.0)</f>
        <v>103</v>
      </c>
      <c r="E4347" s="2"/>
      <c r="F4347" s="2"/>
    </row>
    <row r="4348">
      <c r="A4348" s="2">
        <f>IFERROR(__xludf.DUMMYFUNCTION("""COMPUTED_VALUE"""),76732.0)</f>
        <v>76732</v>
      </c>
      <c r="B4348" s="2">
        <f>IFERROR(__xludf.DUMMYFUNCTION("""COMPUTED_VALUE"""),0.0)</f>
        <v>0</v>
      </c>
      <c r="C4348" s="2">
        <f>IFERROR(__xludf.DUMMYFUNCTION("""COMPUTED_VALUE"""),47.0)</f>
        <v>47</v>
      </c>
      <c r="D4348" s="3">
        <f>IFERROR(__xludf.DUMMYFUNCTION("""COMPUTED_VALUE"""),21.0)</f>
        <v>21</v>
      </c>
      <c r="E4348" s="2"/>
      <c r="F4348" s="2"/>
    </row>
    <row r="4349">
      <c r="A4349" s="2">
        <f>IFERROR(__xludf.DUMMYFUNCTION("""COMPUTED_VALUE"""),14711.0)</f>
        <v>14711</v>
      </c>
      <c r="B4349" s="2">
        <f>IFERROR(__xludf.DUMMYFUNCTION("""COMPUTED_VALUE"""),0.0)</f>
        <v>0</v>
      </c>
      <c r="C4349" s="2">
        <f>IFERROR(__xludf.DUMMYFUNCTION("""COMPUTED_VALUE"""),197.0)</f>
        <v>197</v>
      </c>
      <c r="D4349" s="3">
        <f>IFERROR(__xludf.DUMMYFUNCTION("""COMPUTED_VALUE"""),77.0)</f>
        <v>77</v>
      </c>
      <c r="E4349" s="2"/>
      <c r="F4349" s="2"/>
    </row>
    <row r="4350">
      <c r="A4350" s="2">
        <f>IFERROR(__xludf.DUMMYFUNCTION("""COMPUTED_VALUE"""),14706.0)</f>
        <v>14706</v>
      </c>
      <c r="B4350" s="2">
        <f>IFERROR(__xludf.DUMMYFUNCTION("""COMPUTED_VALUE"""),1.0)</f>
        <v>1</v>
      </c>
      <c r="C4350" s="2">
        <f>IFERROR(__xludf.DUMMYFUNCTION("""COMPUTED_VALUE"""),339.0)</f>
        <v>339</v>
      </c>
      <c r="D4350" s="3">
        <f>IFERROR(__xludf.DUMMYFUNCTION("""COMPUTED_VALUE"""),289.0)</f>
        <v>289</v>
      </c>
      <c r="E4350" s="2"/>
      <c r="F4350" s="2"/>
    </row>
    <row r="4351">
      <c r="A4351" s="2">
        <f>IFERROR(__xludf.DUMMYFUNCTION("""COMPUTED_VALUE"""),23975.0)</f>
        <v>23975</v>
      </c>
      <c r="B4351" s="2">
        <f>IFERROR(__xludf.DUMMYFUNCTION("""COMPUTED_VALUE"""),0.0)</f>
        <v>0</v>
      </c>
      <c r="C4351" s="2">
        <f>IFERROR(__xludf.DUMMYFUNCTION("""COMPUTED_VALUE"""),339.0)</f>
        <v>339</v>
      </c>
      <c r="D4351" s="3">
        <f>IFERROR(__xludf.DUMMYFUNCTION("""COMPUTED_VALUE"""),136.0)</f>
        <v>136</v>
      </c>
      <c r="E4351" s="2"/>
      <c r="F4351" s="2"/>
    </row>
    <row r="4352">
      <c r="A4352" s="2">
        <f>IFERROR(__xludf.DUMMYFUNCTION("""COMPUTED_VALUE"""),90665.0)</f>
        <v>90665</v>
      </c>
      <c r="B4352" s="2">
        <f>IFERROR(__xludf.DUMMYFUNCTION("""COMPUTED_VALUE"""),0.0)</f>
        <v>0</v>
      </c>
      <c r="C4352" s="2">
        <f>IFERROR(__xludf.DUMMYFUNCTION("""COMPUTED_VALUE"""),437.0)</f>
        <v>437</v>
      </c>
      <c r="D4352" s="3">
        <f>IFERROR(__xludf.DUMMYFUNCTION("""COMPUTED_VALUE"""),92.0)</f>
        <v>92</v>
      </c>
      <c r="E4352" s="2"/>
      <c r="F4352" s="2"/>
    </row>
    <row r="4353">
      <c r="A4353" s="2">
        <f>IFERROR(__xludf.DUMMYFUNCTION("""COMPUTED_VALUE"""),69551.0)</f>
        <v>69551</v>
      </c>
      <c r="B4353" s="2">
        <f>IFERROR(__xludf.DUMMYFUNCTION("""COMPUTED_VALUE"""),1.0)</f>
        <v>1</v>
      </c>
      <c r="C4353" s="2">
        <f>IFERROR(__xludf.DUMMYFUNCTION("""COMPUTED_VALUE"""),420.0)</f>
        <v>420</v>
      </c>
      <c r="D4353" s="3">
        <f>IFERROR(__xludf.DUMMYFUNCTION("""COMPUTED_VALUE"""),99.0)</f>
        <v>99</v>
      </c>
      <c r="E4353" s="2"/>
      <c r="F4353" s="2"/>
    </row>
    <row r="4354">
      <c r="A4354" s="2">
        <f>IFERROR(__xludf.DUMMYFUNCTION("""COMPUTED_VALUE"""),69503.0)</f>
        <v>69503</v>
      </c>
      <c r="B4354" s="2">
        <f>IFERROR(__xludf.DUMMYFUNCTION("""COMPUTED_VALUE"""),0.0)</f>
        <v>0</v>
      </c>
      <c r="C4354" s="2">
        <f>IFERROR(__xludf.DUMMYFUNCTION("""COMPUTED_VALUE"""),769.0)</f>
        <v>769</v>
      </c>
      <c r="D4354" s="3">
        <f>IFERROR(__xludf.DUMMYFUNCTION("""COMPUTED_VALUE"""),273.0)</f>
        <v>273</v>
      </c>
      <c r="E4354" s="2"/>
      <c r="F4354" s="2"/>
    </row>
    <row r="4355">
      <c r="A4355" s="2">
        <f>IFERROR(__xludf.DUMMYFUNCTION("""COMPUTED_VALUE"""),23473.0)</f>
        <v>23473</v>
      </c>
      <c r="B4355" s="2">
        <f>IFERROR(__xludf.DUMMYFUNCTION("""COMPUTED_VALUE"""),1.0)</f>
        <v>1</v>
      </c>
      <c r="C4355" s="2">
        <f>IFERROR(__xludf.DUMMYFUNCTION("""COMPUTED_VALUE"""),798.0)</f>
        <v>798</v>
      </c>
      <c r="D4355" s="3">
        <f>IFERROR(__xludf.DUMMYFUNCTION("""COMPUTED_VALUE"""),426.0)</f>
        <v>426</v>
      </c>
      <c r="E4355" s="2"/>
      <c r="F4355" s="2"/>
    </row>
    <row r="4356">
      <c r="A4356" s="2">
        <f>IFERROR(__xludf.DUMMYFUNCTION("""COMPUTED_VALUE"""),69500.0)</f>
        <v>69500</v>
      </c>
      <c r="B4356" s="2">
        <f>IFERROR(__xludf.DUMMYFUNCTION("""COMPUTED_VALUE"""),0.0)</f>
        <v>0</v>
      </c>
      <c r="C4356" s="2">
        <f>IFERROR(__xludf.DUMMYFUNCTION("""COMPUTED_VALUE"""),175.0)</f>
        <v>175</v>
      </c>
      <c r="D4356" s="3">
        <f>IFERROR(__xludf.DUMMYFUNCTION("""COMPUTED_VALUE"""),68.0)</f>
        <v>68</v>
      </c>
      <c r="E4356" s="2"/>
      <c r="F4356" s="2"/>
    </row>
    <row r="4357">
      <c r="A4357" s="2">
        <f>IFERROR(__xludf.DUMMYFUNCTION("""COMPUTED_VALUE"""),14689.0)</f>
        <v>14689</v>
      </c>
      <c r="B4357" s="2">
        <f>IFERROR(__xludf.DUMMYFUNCTION("""COMPUTED_VALUE"""),1.0)</f>
        <v>1</v>
      </c>
      <c r="C4357" s="2">
        <f>IFERROR(__xludf.DUMMYFUNCTION("""COMPUTED_VALUE"""),359.0)</f>
        <v>359</v>
      </c>
      <c r="D4357" s="3">
        <f>IFERROR(__xludf.DUMMYFUNCTION("""COMPUTED_VALUE"""),118.0)</f>
        <v>118</v>
      </c>
      <c r="E4357" s="2"/>
      <c r="F4357" s="2"/>
    </row>
    <row r="4358">
      <c r="A4358" s="2">
        <f>IFERROR(__xludf.DUMMYFUNCTION("""COMPUTED_VALUE"""),19409.0)</f>
        <v>19409</v>
      </c>
      <c r="B4358" s="2">
        <f>IFERROR(__xludf.DUMMYFUNCTION("""COMPUTED_VALUE"""),1.0)</f>
        <v>1</v>
      </c>
      <c r="C4358" s="2">
        <f>IFERROR(__xludf.DUMMYFUNCTION("""COMPUTED_VALUE"""),313.0)</f>
        <v>313</v>
      </c>
      <c r="D4358" s="3">
        <f>IFERROR(__xludf.DUMMYFUNCTION("""COMPUTED_VALUE"""),271.0)</f>
        <v>271</v>
      </c>
      <c r="E4358" s="2"/>
      <c r="F4358" s="2"/>
    </row>
    <row r="4359">
      <c r="A4359" s="2">
        <f>IFERROR(__xludf.DUMMYFUNCTION("""COMPUTED_VALUE"""),69526.0)</f>
        <v>69526</v>
      </c>
      <c r="B4359" s="2">
        <f>IFERROR(__xludf.DUMMYFUNCTION("""COMPUTED_VALUE"""),1.0)</f>
        <v>1</v>
      </c>
      <c r="C4359" s="2">
        <f>IFERROR(__xludf.DUMMYFUNCTION("""COMPUTED_VALUE"""),685.0)</f>
        <v>685</v>
      </c>
      <c r="D4359" s="3">
        <f>IFERROR(__xludf.DUMMYFUNCTION("""COMPUTED_VALUE"""),50.0)</f>
        <v>50</v>
      </c>
      <c r="E4359" s="2"/>
      <c r="F4359" s="2"/>
    </row>
    <row r="4360">
      <c r="A4360" s="2">
        <f>IFERROR(__xludf.DUMMYFUNCTION("""COMPUTED_VALUE"""),19412.0)</f>
        <v>19412</v>
      </c>
      <c r="B4360" s="2">
        <f>IFERROR(__xludf.DUMMYFUNCTION("""COMPUTED_VALUE"""),1.0)</f>
        <v>1</v>
      </c>
      <c r="C4360" s="2">
        <f>IFERROR(__xludf.DUMMYFUNCTION("""COMPUTED_VALUE"""),663.0)</f>
        <v>663</v>
      </c>
      <c r="D4360" s="3">
        <f>IFERROR(__xludf.DUMMYFUNCTION("""COMPUTED_VALUE"""),647.0)</f>
        <v>647</v>
      </c>
      <c r="E4360" s="2"/>
      <c r="F4360" s="2"/>
    </row>
    <row r="4361">
      <c r="A4361" s="2">
        <f>IFERROR(__xludf.DUMMYFUNCTION("""COMPUTED_VALUE"""),23471.0)</f>
        <v>23471</v>
      </c>
      <c r="B4361" s="2">
        <f>IFERROR(__xludf.DUMMYFUNCTION("""COMPUTED_VALUE"""),1.0)</f>
        <v>1</v>
      </c>
      <c r="C4361" s="2">
        <f>IFERROR(__xludf.DUMMYFUNCTION("""COMPUTED_VALUE"""),338.0)</f>
        <v>338</v>
      </c>
      <c r="D4361" s="3">
        <f>IFERROR(__xludf.DUMMYFUNCTION("""COMPUTED_VALUE"""),76.0)</f>
        <v>76</v>
      </c>
      <c r="E4361" s="2"/>
      <c r="F4361" s="2"/>
    </row>
    <row r="4362">
      <c r="A4362" s="2">
        <f>IFERROR(__xludf.DUMMYFUNCTION("""COMPUTED_VALUE"""),14670.0)</f>
        <v>14670</v>
      </c>
      <c r="B4362" s="2">
        <f>IFERROR(__xludf.DUMMYFUNCTION("""COMPUTED_VALUE"""),0.0)</f>
        <v>0</v>
      </c>
      <c r="C4362" s="2">
        <f>IFERROR(__xludf.DUMMYFUNCTION("""COMPUTED_VALUE"""),369.0)</f>
        <v>369</v>
      </c>
      <c r="D4362" s="3">
        <f>IFERROR(__xludf.DUMMYFUNCTION("""COMPUTED_VALUE"""),323.0)</f>
        <v>323</v>
      </c>
      <c r="E4362" s="2"/>
      <c r="F4362" s="2"/>
    </row>
    <row r="4363">
      <c r="A4363" s="2">
        <f>IFERROR(__xludf.DUMMYFUNCTION("""COMPUTED_VALUE"""),69499.0)</f>
        <v>69499</v>
      </c>
      <c r="B4363" s="2">
        <f>IFERROR(__xludf.DUMMYFUNCTION("""COMPUTED_VALUE"""),1.0)</f>
        <v>1</v>
      </c>
      <c r="C4363" s="2">
        <f>IFERROR(__xludf.DUMMYFUNCTION("""COMPUTED_VALUE"""),450.0)</f>
        <v>450</v>
      </c>
      <c r="D4363" s="3">
        <f>IFERROR(__xludf.DUMMYFUNCTION("""COMPUTED_VALUE"""),190.0)</f>
        <v>190</v>
      </c>
      <c r="E4363" s="2"/>
      <c r="F4363" s="2"/>
    </row>
    <row r="4364">
      <c r="A4364" s="2">
        <f>IFERROR(__xludf.DUMMYFUNCTION("""COMPUTED_VALUE"""),90686.0)</f>
        <v>90686</v>
      </c>
      <c r="B4364" s="2">
        <f>IFERROR(__xludf.DUMMYFUNCTION("""COMPUTED_VALUE"""),1.0)</f>
        <v>1</v>
      </c>
      <c r="C4364" s="2">
        <f>IFERROR(__xludf.DUMMYFUNCTION("""COMPUTED_VALUE"""),508.0)</f>
        <v>508</v>
      </c>
      <c r="D4364" s="3">
        <f>IFERROR(__xludf.DUMMYFUNCTION("""COMPUTED_VALUE"""),408.0)</f>
        <v>408</v>
      </c>
      <c r="E4364" s="2"/>
      <c r="F4364" s="2"/>
    </row>
    <row r="4365">
      <c r="A4365" s="2">
        <f>IFERROR(__xludf.DUMMYFUNCTION("""COMPUTED_VALUE"""),111872.0)</f>
        <v>111872</v>
      </c>
      <c r="B4365" s="2">
        <f>IFERROR(__xludf.DUMMYFUNCTION("""COMPUTED_VALUE"""),1.0)</f>
        <v>1</v>
      </c>
      <c r="C4365" s="2">
        <f>IFERROR(__xludf.DUMMYFUNCTION("""COMPUTED_VALUE"""),754.0)</f>
        <v>754</v>
      </c>
      <c r="D4365" s="3">
        <f>IFERROR(__xludf.DUMMYFUNCTION("""COMPUTED_VALUE"""),272.0)</f>
        <v>272</v>
      </c>
      <c r="E4365" s="2"/>
      <c r="F4365" s="2"/>
    </row>
    <row r="4366">
      <c r="A4366" s="2">
        <f>IFERROR(__xludf.DUMMYFUNCTION("""COMPUTED_VALUE"""),23964.0)</f>
        <v>23964</v>
      </c>
      <c r="B4366" s="2">
        <f>IFERROR(__xludf.DUMMYFUNCTION("""COMPUTED_VALUE"""),0.0)</f>
        <v>0</v>
      </c>
      <c r="C4366" s="2">
        <f>IFERROR(__xludf.DUMMYFUNCTION("""COMPUTED_VALUE"""),320.0)</f>
        <v>320</v>
      </c>
      <c r="D4366" s="3">
        <f>IFERROR(__xludf.DUMMYFUNCTION("""COMPUTED_VALUE"""),178.0)</f>
        <v>178</v>
      </c>
      <c r="E4366" s="2"/>
      <c r="F4366" s="2"/>
    </row>
    <row r="4367">
      <c r="A4367" s="2">
        <f>IFERROR(__xludf.DUMMYFUNCTION("""COMPUTED_VALUE"""),111837.0)</f>
        <v>111837</v>
      </c>
      <c r="B4367" s="2">
        <f>IFERROR(__xludf.DUMMYFUNCTION("""COMPUTED_VALUE"""),0.0)</f>
        <v>0</v>
      </c>
      <c r="C4367" s="2">
        <f>IFERROR(__xludf.DUMMYFUNCTION("""COMPUTED_VALUE"""),422.0)</f>
        <v>422</v>
      </c>
      <c r="D4367" s="3">
        <f>IFERROR(__xludf.DUMMYFUNCTION("""COMPUTED_VALUE"""),172.0)</f>
        <v>172</v>
      </c>
      <c r="E4367" s="2"/>
      <c r="F4367" s="2"/>
    </row>
    <row r="4368">
      <c r="A4368" s="2">
        <f>IFERROR(__xludf.DUMMYFUNCTION("""COMPUTED_VALUE"""),19377.0)</f>
        <v>19377</v>
      </c>
      <c r="B4368" s="2">
        <f>IFERROR(__xludf.DUMMYFUNCTION("""COMPUTED_VALUE"""),1.0)</f>
        <v>1</v>
      </c>
      <c r="C4368" s="2">
        <f>IFERROR(__xludf.DUMMYFUNCTION("""COMPUTED_VALUE"""),379.0)</f>
        <v>379</v>
      </c>
      <c r="D4368" s="3">
        <f>IFERROR(__xludf.DUMMYFUNCTION("""COMPUTED_VALUE"""),349.0)</f>
        <v>349</v>
      </c>
      <c r="E4368" s="2"/>
      <c r="F4368" s="2"/>
    </row>
    <row r="4369">
      <c r="A4369" s="2">
        <f>IFERROR(__xludf.DUMMYFUNCTION("""COMPUTED_VALUE"""),111836.0)</f>
        <v>111836</v>
      </c>
      <c r="B4369" s="2">
        <f>IFERROR(__xludf.DUMMYFUNCTION("""COMPUTED_VALUE"""),1.0)</f>
        <v>1</v>
      </c>
      <c r="C4369" s="2">
        <f>IFERROR(__xludf.DUMMYFUNCTION("""COMPUTED_VALUE"""),706.0)</f>
        <v>706</v>
      </c>
      <c r="D4369" s="3">
        <f>IFERROR(__xludf.DUMMYFUNCTION("""COMPUTED_VALUE"""),192.0)</f>
        <v>192</v>
      </c>
      <c r="E4369" s="2"/>
      <c r="F4369" s="2"/>
    </row>
    <row r="4370">
      <c r="A4370" s="2">
        <f>IFERROR(__xludf.DUMMYFUNCTION("""COMPUTED_VALUE"""),190103.0)</f>
        <v>190103</v>
      </c>
      <c r="B4370" s="2">
        <f>IFERROR(__xludf.DUMMYFUNCTION("""COMPUTED_VALUE"""),0.0)</f>
        <v>0</v>
      </c>
      <c r="C4370" s="2">
        <f>IFERROR(__xludf.DUMMYFUNCTION("""COMPUTED_VALUE"""),912.0)</f>
        <v>912</v>
      </c>
      <c r="D4370" s="3">
        <f>IFERROR(__xludf.DUMMYFUNCTION("""COMPUTED_VALUE"""),454.0)</f>
        <v>454</v>
      </c>
      <c r="E4370" s="2"/>
      <c r="F4370" s="2"/>
    </row>
    <row r="4371">
      <c r="A4371" s="2">
        <f>IFERROR(__xludf.DUMMYFUNCTION("""COMPUTED_VALUE"""),19408.0)</f>
        <v>19408</v>
      </c>
      <c r="B4371" s="2">
        <f>IFERROR(__xludf.DUMMYFUNCTION("""COMPUTED_VALUE"""),0.0)</f>
        <v>0</v>
      </c>
      <c r="C4371" s="2">
        <f>IFERROR(__xludf.DUMMYFUNCTION("""COMPUTED_VALUE"""),695.0)</f>
        <v>695</v>
      </c>
      <c r="D4371" s="3">
        <f>IFERROR(__xludf.DUMMYFUNCTION("""COMPUTED_VALUE"""),385.0)</f>
        <v>385</v>
      </c>
      <c r="E4371" s="2"/>
      <c r="F4371" s="2"/>
    </row>
    <row r="4372">
      <c r="A4372" s="2">
        <f>IFERROR(__xludf.DUMMYFUNCTION("""COMPUTED_VALUE"""),14694.0)</f>
        <v>14694</v>
      </c>
      <c r="B4372" s="2">
        <f>IFERROR(__xludf.DUMMYFUNCTION("""COMPUTED_VALUE"""),0.0)</f>
        <v>0</v>
      </c>
      <c r="C4372" s="2">
        <f>IFERROR(__xludf.DUMMYFUNCTION("""COMPUTED_VALUE"""),484.0)</f>
        <v>484</v>
      </c>
      <c r="D4372" s="3">
        <f>IFERROR(__xludf.DUMMYFUNCTION("""COMPUTED_VALUE"""),114.0)</f>
        <v>114</v>
      </c>
      <c r="E4372" s="2"/>
      <c r="F4372" s="2"/>
    </row>
    <row r="4373">
      <c r="A4373" s="2">
        <f>IFERROR(__xludf.DUMMYFUNCTION("""COMPUTED_VALUE"""),5686.0)</f>
        <v>5686</v>
      </c>
      <c r="B4373" s="2">
        <f>IFERROR(__xludf.DUMMYFUNCTION("""COMPUTED_VALUE"""),0.0)</f>
        <v>0</v>
      </c>
      <c r="C4373" s="2">
        <f>IFERROR(__xludf.DUMMYFUNCTION("""COMPUTED_VALUE"""),674.0)</f>
        <v>674</v>
      </c>
      <c r="D4373" s="3">
        <f>IFERROR(__xludf.DUMMYFUNCTION("""COMPUTED_VALUE"""),324.0)</f>
        <v>324</v>
      </c>
      <c r="E4373" s="2"/>
      <c r="F4373" s="2"/>
    </row>
    <row r="4374">
      <c r="A4374" s="2">
        <f>IFERROR(__xludf.DUMMYFUNCTION("""COMPUTED_VALUE"""),111842.0)</f>
        <v>111842</v>
      </c>
      <c r="B4374" s="2">
        <f>IFERROR(__xludf.DUMMYFUNCTION("""COMPUTED_VALUE"""),1.0)</f>
        <v>1</v>
      </c>
      <c r="C4374" s="2">
        <f>IFERROR(__xludf.DUMMYFUNCTION("""COMPUTED_VALUE"""),662.0)</f>
        <v>662</v>
      </c>
      <c r="D4374" s="3">
        <f>IFERROR(__xludf.DUMMYFUNCTION("""COMPUTED_VALUE"""),308.0)</f>
        <v>308</v>
      </c>
      <c r="E4374" s="2"/>
      <c r="F4374" s="2"/>
    </row>
    <row r="4375">
      <c r="A4375" s="2">
        <f>IFERROR(__xludf.DUMMYFUNCTION("""COMPUTED_VALUE"""),23978.0)</f>
        <v>23978</v>
      </c>
      <c r="B4375" s="2">
        <f>IFERROR(__xludf.DUMMYFUNCTION("""COMPUTED_VALUE"""),1.0)</f>
        <v>1</v>
      </c>
      <c r="C4375" s="2">
        <f>IFERROR(__xludf.DUMMYFUNCTION("""COMPUTED_VALUE"""),811.0)</f>
        <v>811</v>
      </c>
      <c r="D4375" s="3">
        <f>IFERROR(__xludf.DUMMYFUNCTION("""COMPUTED_VALUE"""),234.0)</f>
        <v>234</v>
      </c>
      <c r="E4375" s="2"/>
      <c r="F4375" s="2"/>
    </row>
    <row r="4376">
      <c r="A4376" s="2">
        <f>IFERROR(__xludf.DUMMYFUNCTION("""COMPUTED_VALUE"""),14682.0)</f>
        <v>14682</v>
      </c>
      <c r="B4376" s="2">
        <f>IFERROR(__xludf.DUMMYFUNCTION("""COMPUTED_VALUE"""),1.0)</f>
        <v>1</v>
      </c>
      <c r="C4376" s="2">
        <f>IFERROR(__xludf.DUMMYFUNCTION("""COMPUTED_VALUE"""),78.0)</f>
        <v>78</v>
      </c>
      <c r="D4376" s="3">
        <f>IFERROR(__xludf.DUMMYFUNCTION("""COMPUTED_VALUE"""),71.0)</f>
        <v>71</v>
      </c>
      <c r="E4376" s="2"/>
      <c r="F4376" s="2"/>
    </row>
    <row r="4377">
      <c r="A4377" s="2">
        <f>IFERROR(__xludf.DUMMYFUNCTION("""COMPUTED_VALUE"""),111873.0)</f>
        <v>111873</v>
      </c>
      <c r="B4377" s="2">
        <f>IFERROR(__xludf.DUMMYFUNCTION("""COMPUTED_VALUE"""),1.0)</f>
        <v>1</v>
      </c>
      <c r="C4377" s="2">
        <f>IFERROR(__xludf.DUMMYFUNCTION("""COMPUTED_VALUE"""),167.0)</f>
        <v>167</v>
      </c>
      <c r="D4377" s="3">
        <f>IFERROR(__xludf.DUMMYFUNCTION("""COMPUTED_VALUE"""),137.0)</f>
        <v>137</v>
      </c>
      <c r="E4377" s="2"/>
      <c r="F4377" s="2"/>
    </row>
    <row r="4378">
      <c r="A4378" s="2">
        <f>IFERROR(__xludf.DUMMYFUNCTION("""COMPUTED_VALUE"""),23454.0)</f>
        <v>23454</v>
      </c>
      <c r="B4378" s="2">
        <f>IFERROR(__xludf.DUMMYFUNCTION("""COMPUTED_VALUE"""),0.0)</f>
        <v>0</v>
      </c>
      <c r="C4378" s="2">
        <f>IFERROR(__xludf.DUMMYFUNCTION("""COMPUTED_VALUE"""),294.0)</f>
        <v>294</v>
      </c>
      <c r="D4378" s="3">
        <f>IFERROR(__xludf.DUMMYFUNCTION("""COMPUTED_VALUE"""),74.0)</f>
        <v>74</v>
      </c>
      <c r="E4378" s="2"/>
      <c r="F4378" s="2"/>
    </row>
    <row r="4379">
      <c r="A4379" s="2">
        <f>IFERROR(__xludf.DUMMYFUNCTION("""COMPUTED_VALUE"""),16760.0)</f>
        <v>16760</v>
      </c>
      <c r="B4379" s="2">
        <f>IFERROR(__xludf.DUMMYFUNCTION("""COMPUTED_VALUE"""),0.0)</f>
        <v>0</v>
      </c>
      <c r="C4379" s="2">
        <f>IFERROR(__xludf.DUMMYFUNCTION("""COMPUTED_VALUE"""),254.0)</f>
        <v>254</v>
      </c>
      <c r="D4379" s="3">
        <f>IFERROR(__xludf.DUMMYFUNCTION("""COMPUTED_VALUE"""),148.0)</f>
        <v>148</v>
      </c>
      <c r="E4379" s="2"/>
      <c r="F4379" s="2"/>
    </row>
    <row r="4380">
      <c r="A4380" s="2">
        <f>IFERROR(__xludf.DUMMYFUNCTION("""COMPUTED_VALUE"""),14709.0)</f>
        <v>14709</v>
      </c>
      <c r="B4380" s="2">
        <f>IFERROR(__xludf.DUMMYFUNCTION("""COMPUTED_VALUE"""),1.0)</f>
        <v>1</v>
      </c>
      <c r="C4380" s="2">
        <f>IFERROR(__xludf.DUMMYFUNCTION("""COMPUTED_VALUE"""),490.0)</f>
        <v>490</v>
      </c>
      <c r="D4380" s="3">
        <f>IFERROR(__xludf.DUMMYFUNCTION("""COMPUTED_VALUE"""),119.0)</f>
        <v>119</v>
      </c>
      <c r="E4380" s="2"/>
      <c r="F4380" s="2"/>
    </row>
    <row r="4381">
      <c r="A4381" s="2">
        <f>IFERROR(__xludf.DUMMYFUNCTION("""COMPUTED_VALUE"""),14665.0)</f>
        <v>14665</v>
      </c>
      <c r="B4381" s="2">
        <f>IFERROR(__xludf.DUMMYFUNCTION("""COMPUTED_VALUE"""),1.0)</f>
        <v>1</v>
      </c>
      <c r="C4381" s="2">
        <f>IFERROR(__xludf.DUMMYFUNCTION("""COMPUTED_VALUE"""),82.0)</f>
        <v>82</v>
      </c>
      <c r="D4381" s="3">
        <f>IFERROR(__xludf.DUMMYFUNCTION("""COMPUTED_VALUE"""),18.0)</f>
        <v>18</v>
      </c>
      <c r="E4381" s="2"/>
      <c r="F4381" s="2"/>
    </row>
    <row r="4382">
      <c r="A4382" s="2">
        <f>IFERROR(__xludf.DUMMYFUNCTION("""COMPUTED_VALUE"""),8869.0)</f>
        <v>8869</v>
      </c>
      <c r="B4382" s="2">
        <f>IFERROR(__xludf.DUMMYFUNCTION("""COMPUTED_VALUE"""),1.0)</f>
        <v>1</v>
      </c>
      <c r="C4382" s="2">
        <f>IFERROR(__xludf.DUMMYFUNCTION("""COMPUTED_VALUE"""),672.0)</f>
        <v>672</v>
      </c>
      <c r="D4382" s="3">
        <f>IFERROR(__xludf.DUMMYFUNCTION("""COMPUTED_VALUE"""),341.0)</f>
        <v>341</v>
      </c>
      <c r="E4382" s="2"/>
      <c r="F4382" s="2"/>
    </row>
    <row r="4383">
      <c r="A4383" s="2">
        <f>IFERROR(__xludf.DUMMYFUNCTION("""COMPUTED_VALUE"""),68520.0)</f>
        <v>68520</v>
      </c>
      <c r="B4383" s="2">
        <f>IFERROR(__xludf.DUMMYFUNCTION("""COMPUTED_VALUE"""),0.0)</f>
        <v>0</v>
      </c>
      <c r="C4383" s="2">
        <f>IFERROR(__xludf.DUMMYFUNCTION("""COMPUTED_VALUE"""),278.0)</f>
        <v>278</v>
      </c>
      <c r="D4383" s="3">
        <f>IFERROR(__xludf.DUMMYFUNCTION("""COMPUTED_VALUE"""),18.0)</f>
        <v>18</v>
      </c>
      <c r="E4383" s="2"/>
      <c r="F4383" s="2"/>
    </row>
    <row r="4384">
      <c r="A4384" s="2">
        <f>IFERROR(__xludf.DUMMYFUNCTION("""COMPUTED_VALUE"""),107331.0)</f>
        <v>107331</v>
      </c>
      <c r="B4384" s="2">
        <f>IFERROR(__xludf.DUMMYFUNCTION("""COMPUTED_VALUE"""),1.0)</f>
        <v>1</v>
      </c>
      <c r="C4384" s="2">
        <f>IFERROR(__xludf.DUMMYFUNCTION("""COMPUTED_VALUE"""),868.0)</f>
        <v>868</v>
      </c>
      <c r="D4384" s="3">
        <f>IFERROR(__xludf.DUMMYFUNCTION("""COMPUTED_VALUE"""),804.0)</f>
        <v>804</v>
      </c>
      <c r="E4384" s="2"/>
      <c r="F4384" s="2"/>
    </row>
    <row r="4385">
      <c r="A4385" s="2">
        <f>IFERROR(__xludf.DUMMYFUNCTION("""COMPUTED_VALUE"""),107325.0)</f>
        <v>107325</v>
      </c>
      <c r="B4385" s="2">
        <f>IFERROR(__xludf.DUMMYFUNCTION("""COMPUTED_VALUE"""),0.0)</f>
        <v>0</v>
      </c>
      <c r="C4385" s="2">
        <f>IFERROR(__xludf.DUMMYFUNCTION("""COMPUTED_VALUE"""),413.0)</f>
        <v>413</v>
      </c>
      <c r="D4385" s="3">
        <f>IFERROR(__xludf.DUMMYFUNCTION("""COMPUTED_VALUE"""),97.0)</f>
        <v>97</v>
      </c>
      <c r="E4385" s="2"/>
      <c r="F4385" s="2"/>
    </row>
    <row r="4386">
      <c r="A4386" s="2">
        <f>IFERROR(__xludf.DUMMYFUNCTION("""COMPUTED_VALUE"""),8871.0)</f>
        <v>8871</v>
      </c>
      <c r="B4386" s="2">
        <f>IFERROR(__xludf.DUMMYFUNCTION("""COMPUTED_VALUE"""),1.0)</f>
        <v>1</v>
      </c>
      <c r="C4386" s="2">
        <f>IFERROR(__xludf.DUMMYFUNCTION("""COMPUTED_VALUE"""),883.0)</f>
        <v>883</v>
      </c>
      <c r="D4386" s="3">
        <f>IFERROR(__xludf.DUMMYFUNCTION("""COMPUTED_VALUE"""),818.0)</f>
        <v>818</v>
      </c>
      <c r="E4386" s="2"/>
      <c r="F4386" s="2"/>
    </row>
    <row r="4387">
      <c r="A4387" s="2">
        <f>IFERROR(__xludf.DUMMYFUNCTION("""COMPUTED_VALUE"""),107334.0)</f>
        <v>107334</v>
      </c>
      <c r="B4387" s="2">
        <f>IFERROR(__xludf.DUMMYFUNCTION("""COMPUTED_VALUE"""),0.0)</f>
        <v>0</v>
      </c>
      <c r="C4387" s="2">
        <f>IFERROR(__xludf.DUMMYFUNCTION("""COMPUTED_VALUE"""),571.0)</f>
        <v>571</v>
      </c>
      <c r="D4387" s="3">
        <f>IFERROR(__xludf.DUMMYFUNCTION("""COMPUTED_VALUE"""),443.0)</f>
        <v>443</v>
      </c>
      <c r="E4387" s="2"/>
      <c r="F4387" s="2"/>
    </row>
    <row r="4388">
      <c r="A4388" s="2">
        <f>IFERROR(__xludf.DUMMYFUNCTION("""COMPUTED_VALUE"""),120302.0)</f>
        <v>120302</v>
      </c>
      <c r="B4388" s="2">
        <f>IFERROR(__xludf.DUMMYFUNCTION("""COMPUTED_VALUE"""),0.0)</f>
        <v>0</v>
      </c>
      <c r="C4388" s="2">
        <f>IFERROR(__xludf.DUMMYFUNCTION("""COMPUTED_VALUE"""),623.0)</f>
        <v>623</v>
      </c>
      <c r="D4388" s="3">
        <f>IFERROR(__xludf.DUMMYFUNCTION("""COMPUTED_VALUE"""),595.0)</f>
        <v>595</v>
      </c>
      <c r="E4388" s="2"/>
      <c r="F4388" s="2"/>
    </row>
    <row r="4389">
      <c r="A4389" s="2">
        <f>IFERROR(__xludf.DUMMYFUNCTION("""COMPUTED_VALUE"""),117661.0)</f>
        <v>117661</v>
      </c>
      <c r="B4389" s="2">
        <f>IFERROR(__xludf.DUMMYFUNCTION("""COMPUTED_VALUE"""),1.0)</f>
        <v>1</v>
      </c>
      <c r="C4389" s="2">
        <f>IFERROR(__xludf.DUMMYFUNCTION("""COMPUTED_VALUE"""),584.0)</f>
        <v>584</v>
      </c>
      <c r="D4389" s="3">
        <f>IFERROR(__xludf.DUMMYFUNCTION("""COMPUTED_VALUE"""),306.0)</f>
        <v>306</v>
      </c>
      <c r="E4389" s="2"/>
      <c r="F4389" s="2"/>
    </row>
    <row r="4390">
      <c r="A4390" s="2">
        <f>IFERROR(__xludf.DUMMYFUNCTION("""COMPUTED_VALUE"""),79006.0)</f>
        <v>79006</v>
      </c>
      <c r="B4390" s="2">
        <f>IFERROR(__xludf.DUMMYFUNCTION("""COMPUTED_VALUE"""),0.0)</f>
        <v>0</v>
      </c>
      <c r="C4390" s="2">
        <f>IFERROR(__xludf.DUMMYFUNCTION("""COMPUTED_VALUE"""),739.0)</f>
        <v>739</v>
      </c>
      <c r="D4390" s="3">
        <f>IFERROR(__xludf.DUMMYFUNCTION("""COMPUTED_VALUE"""),112.0)</f>
        <v>112</v>
      </c>
      <c r="E4390" s="2"/>
      <c r="F4390" s="2"/>
    </row>
    <row r="4391">
      <c r="A4391" s="2">
        <f>IFERROR(__xludf.DUMMYFUNCTION("""COMPUTED_VALUE"""),17133.0)</f>
        <v>17133</v>
      </c>
      <c r="B4391" s="2">
        <f>IFERROR(__xludf.DUMMYFUNCTION("""COMPUTED_VALUE"""),0.0)</f>
        <v>0</v>
      </c>
      <c r="C4391" s="2">
        <f>IFERROR(__xludf.DUMMYFUNCTION("""COMPUTED_VALUE"""),538.0)</f>
        <v>538</v>
      </c>
      <c r="D4391" s="3">
        <f>IFERROR(__xludf.DUMMYFUNCTION("""COMPUTED_VALUE"""),12.0)</f>
        <v>12</v>
      </c>
      <c r="E4391" s="2"/>
      <c r="F4391" s="2"/>
    </row>
    <row r="4392">
      <c r="A4392" s="2">
        <f>IFERROR(__xludf.DUMMYFUNCTION("""COMPUTED_VALUE"""),76818.0)</f>
        <v>76818</v>
      </c>
      <c r="B4392" s="2">
        <f>IFERROR(__xludf.DUMMYFUNCTION("""COMPUTED_VALUE"""),1.0)</f>
        <v>1</v>
      </c>
      <c r="C4392" s="2">
        <f>IFERROR(__xludf.DUMMYFUNCTION("""COMPUTED_VALUE"""),465.0)</f>
        <v>465</v>
      </c>
      <c r="D4392" s="3">
        <f>IFERROR(__xludf.DUMMYFUNCTION("""COMPUTED_VALUE"""),31.0)</f>
        <v>31</v>
      </c>
      <c r="E4392" s="2"/>
      <c r="F4392" s="2"/>
    </row>
    <row r="4393">
      <c r="A4393" s="2">
        <f>IFERROR(__xludf.DUMMYFUNCTION("""COMPUTED_VALUE"""),70236.0)</f>
        <v>70236</v>
      </c>
      <c r="B4393" s="2">
        <f>IFERROR(__xludf.DUMMYFUNCTION("""COMPUTED_VALUE"""),0.0)</f>
        <v>0</v>
      </c>
      <c r="C4393" s="2">
        <f>IFERROR(__xludf.DUMMYFUNCTION("""COMPUTED_VALUE"""),242.0)</f>
        <v>242</v>
      </c>
      <c r="D4393" s="3">
        <f>IFERROR(__xludf.DUMMYFUNCTION("""COMPUTED_VALUE"""),199.0)</f>
        <v>199</v>
      </c>
      <c r="E4393" s="2"/>
      <c r="F4393" s="2"/>
    </row>
    <row r="4394">
      <c r="A4394" s="2">
        <f>IFERROR(__xludf.DUMMYFUNCTION("""COMPUTED_VALUE"""),91342.0)</f>
        <v>91342</v>
      </c>
      <c r="B4394" s="2">
        <f>IFERROR(__xludf.DUMMYFUNCTION("""COMPUTED_VALUE"""),0.0)</f>
        <v>0</v>
      </c>
      <c r="C4394" s="2">
        <f>IFERROR(__xludf.DUMMYFUNCTION("""COMPUTED_VALUE"""),458.0)</f>
        <v>458</v>
      </c>
      <c r="D4394" s="3">
        <f>IFERROR(__xludf.DUMMYFUNCTION("""COMPUTED_VALUE"""),332.0)</f>
        <v>332</v>
      </c>
      <c r="E4394" s="2"/>
      <c r="F4394" s="2"/>
    </row>
    <row r="4395">
      <c r="A4395" s="2">
        <f>IFERROR(__xludf.DUMMYFUNCTION("""COMPUTED_VALUE"""),121782.0)</f>
        <v>121782</v>
      </c>
      <c r="B4395" s="2">
        <f>IFERROR(__xludf.DUMMYFUNCTION("""COMPUTED_VALUE"""),0.0)</f>
        <v>0</v>
      </c>
      <c r="C4395" s="2">
        <f>IFERROR(__xludf.DUMMYFUNCTION("""COMPUTED_VALUE"""),646.0)</f>
        <v>646</v>
      </c>
      <c r="D4395" s="3">
        <f>IFERROR(__xludf.DUMMYFUNCTION("""COMPUTED_VALUE"""),505.0)</f>
        <v>505</v>
      </c>
      <c r="E4395" s="2"/>
      <c r="F4395" s="2"/>
    </row>
    <row r="4396">
      <c r="A4396" s="2">
        <f>IFERROR(__xludf.DUMMYFUNCTION("""COMPUTED_VALUE"""),76822.0)</f>
        <v>76822</v>
      </c>
      <c r="B4396" s="2">
        <f>IFERROR(__xludf.DUMMYFUNCTION("""COMPUTED_VALUE"""),0.0)</f>
        <v>0</v>
      </c>
      <c r="C4396" s="2">
        <f>IFERROR(__xludf.DUMMYFUNCTION("""COMPUTED_VALUE"""),818.0)</f>
        <v>818</v>
      </c>
      <c r="D4396" s="3">
        <f>IFERROR(__xludf.DUMMYFUNCTION("""COMPUTED_VALUE"""),296.0)</f>
        <v>296</v>
      </c>
      <c r="E4396" s="2"/>
      <c r="F4396" s="2"/>
    </row>
    <row r="4397">
      <c r="A4397" s="2">
        <f>IFERROR(__xludf.DUMMYFUNCTION("""COMPUTED_VALUE"""),100278.0)</f>
        <v>100278</v>
      </c>
      <c r="B4397" s="2">
        <f>IFERROR(__xludf.DUMMYFUNCTION("""COMPUTED_VALUE"""),1.0)</f>
        <v>1</v>
      </c>
      <c r="C4397" s="2">
        <f>IFERROR(__xludf.DUMMYFUNCTION("""COMPUTED_VALUE"""),621.0)</f>
        <v>621</v>
      </c>
      <c r="D4397" s="3">
        <f>IFERROR(__xludf.DUMMYFUNCTION("""COMPUTED_VALUE"""),262.0)</f>
        <v>262</v>
      </c>
      <c r="E4397" s="2"/>
      <c r="F4397" s="2"/>
    </row>
    <row r="4398">
      <c r="A4398" s="2">
        <f>IFERROR(__xludf.DUMMYFUNCTION("""COMPUTED_VALUE"""),122795.0)</f>
        <v>122795</v>
      </c>
      <c r="B4398" s="2">
        <f>IFERROR(__xludf.DUMMYFUNCTION("""COMPUTED_VALUE"""),0.0)</f>
        <v>0</v>
      </c>
      <c r="C4398" s="2">
        <f>IFERROR(__xludf.DUMMYFUNCTION("""COMPUTED_VALUE"""),493.0)</f>
        <v>493</v>
      </c>
      <c r="D4398" s="3">
        <f>IFERROR(__xludf.DUMMYFUNCTION("""COMPUTED_VALUE"""),269.0)</f>
        <v>269</v>
      </c>
      <c r="E4398" s="2"/>
      <c r="F4398" s="2"/>
    </row>
    <row r="4399">
      <c r="A4399" s="2">
        <f>IFERROR(__xludf.DUMMYFUNCTION("""COMPUTED_VALUE"""),100282.0)</f>
        <v>100282</v>
      </c>
      <c r="B4399" s="2">
        <f>IFERROR(__xludf.DUMMYFUNCTION("""COMPUTED_VALUE"""),0.0)</f>
        <v>0</v>
      </c>
      <c r="C4399" s="2">
        <f>IFERROR(__xludf.DUMMYFUNCTION("""COMPUTED_VALUE"""),300.0)</f>
        <v>300</v>
      </c>
      <c r="D4399" s="3">
        <f>IFERROR(__xludf.DUMMYFUNCTION("""COMPUTED_VALUE"""),54.0)</f>
        <v>54</v>
      </c>
      <c r="E4399" s="2"/>
      <c r="F4399" s="2"/>
    </row>
    <row r="4400">
      <c r="A4400" s="2">
        <f>IFERROR(__xludf.DUMMYFUNCTION("""COMPUTED_VALUE"""),68867.0)</f>
        <v>68867</v>
      </c>
      <c r="B4400" s="2">
        <f>IFERROR(__xludf.DUMMYFUNCTION("""COMPUTED_VALUE"""),0.0)</f>
        <v>0</v>
      </c>
      <c r="C4400" s="2">
        <f>IFERROR(__xludf.DUMMYFUNCTION("""COMPUTED_VALUE"""),211.0)</f>
        <v>211</v>
      </c>
      <c r="D4400" s="3">
        <f>IFERROR(__xludf.DUMMYFUNCTION("""COMPUTED_VALUE"""),85.0)</f>
        <v>85</v>
      </c>
      <c r="E4400" s="2"/>
      <c r="F4400" s="2"/>
    </row>
    <row r="4401">
      <c r="A4401" s="2">
        <f>IFERROR(__xludf.DUMMYFUNCTION("""COMPUTED_VALUE"""),8862.0)</f>
        <v>8862</v>
      </c>
      <c r="B4401" s="2">
        <f>IFERROR(__xludf.DUMMYFUNCTION("""COMPUTED_VALUE"""),0.0)</f>
        <v>0</v>
      </c>
      <c r="C4401" s="2">
        <f>IFERROR(__xludf.DUMMYFUNCTION("""COMPUTED_VALUE"""),601.0)</f>
        <v>601</v>
      </c>
      <c r="D4401" s="3">
        <f>IFERROR(__xludf.DUMMYFUNCTION("""COMPUTED_VALUE"""),265.0)</f>
        <v>265</v>
      </c>
      <c r="E4401" s="2"/>
      <c r="F4401" s="2"/>
    </row>
    <row r="4402">
      <c r="A4402" s="2">
        <f>IFERROR(__xludf.DUMMYFUNCTION("""COMPUTED_VALUE"""),72131.0)</f>
        <v>72131</v>
      </c>
      <c r="B4402" s="2">
        <f>IFERROR(__xludf.DUMMYFUNCTION("""COMPUTED_VALUE"""),1.0)</f>
        <v>1</v>
      </c>
      <c r="C4402" s="2">
        <f>IFERROR(__xludf.DUMMYFUNCTION("""COMPUTED_VALUE"""),651.0)</f>
        <v>651</v>
      </c>
      <c r="D4402" s="3">
        <f>IFERROR(__xludf.DUMMYFUNCTION("""COMPUTED_VALUE"""),474.0)</f>
        <v>474</v>
      </c>
      <c r="E4402" s="2"/>
      <c r="F4402" s="2"/>
    </row>
    <row r="4403">
      <c r="A4403" s="2">
        <f>IFERROR(__xludf.DUMMYFUNCTION("""COMPUTED_VALUE"""),12047.0)</f>
        <v>12047</v>
      </c>
      <c r="B4403" s="2">
        <f>IFERROR(__xludf.DUMMYFUNCTION("""COMPUTED_VALUE"""),0.0)</f>
        <v>0</v>
      </c>
      <c r="C4403" s="2">
        <f>IFERROR(__xludf.DUMMYFUNCTION("""COMPUTED_VALUE"""),588.0)</f>
        <v>588</v>
      </c>
      <c r="D4403" s="3">
        <f>IFERROR(__xludf.DUMMYFUNCTION("""COMPUTED_VALUE"""),211.0)</f>
        <v>211</v>
      </c>
      <c r="E4403" s="2"/>
      <c r="F4403" s="2"/>
    </row>
    <row r="4404">
      <c r="A4404" s="2">
        <f>IFERROR(__xludf.DUMMYFUNCTION("""COMPUTED_VALUE"""),121790.0)</f>
        <v>121790</v>
      </c>
      <c r="B4404" s="2">
        <f>IFERROR(__xludf.DUMMYFUNCTION("""COMPUTED_VALUE"""),1.0)</f>
        <v>1</v>
      </c>
      <c r="C4404" s="2">
        <f>IFERROR(__xludf.DUMMYFUNCTION("""COMPUTED_VALUE"""),376.0)</f>
        <v>376</v>
      </c>
      <c r="D4404" s="3">
        <f>IFERROR(__xludf.DUMMYFUNCTION("""COMPUTED_VALUE"""),182.0)</f>
        <v>182</v>
      </c>
      <c r="E4404" s="2"/>
      <c r="F4404" s="2"/>
    </row>
    <row r="4405">
      <c r="A4405" s="2">
        <f>IFERROR(__xludf.DUMMYFUNCTION("""COMPUTED_VALUE"""),121787.0)</f>
        <v>121787</v>
      </c>
      <c r="B4405" s="2">
        <f>IFERROR(__xludf.DUMMYFUNCTION("""COMPUTED_VALUE"""),1.0)</f>
        <v>1</v>
      </c>
      <c r="C4405" s="2">
        <f>IFERROR(__xludf.DUMMYFUNCTION("""COMPUTED_VALUE"""),75.0)</f>
        <v>75</v>
      </c>
      <c r="D4405" s="3">
        <f>IFERROR(__xludf.DUMMYFUNCTION("""COMPUTED_VALUE"""),34.0)</f>
        <v>34</v>
      </c>
      <c r="E4405" s="2"/>
      <c r="F4405" s="2"/>
    </row>
    <row r="4406">
      <c r="A4406" s="2">
        <f>IFERROR(__xludf.DUMMYFUNCTION("""COMPUTED_VALUE"""),70239.0)</f>
        <v>70239</v>
      </c>
      <c r="B4406" s="2">
        <f>IFERROR(__xludf.DUMMYFUNCTION("""COMPUTED_VALUE"""),1.0)</f>
        <v>1</v>
      </c>
      <c r="C4406" s="2">
        <f>IFERROR(__xludf.DUMMYFUNCTION("""COMPUTED_VALUE"""),924.0)</f>
        <v>924</v>
      </c>
      <c r="D4406" s="3">
        <f>IFERROR(__xludf.DUMMYFUNCTION("""COMPUTED_VALUE"""),81.0)</f>
        <v>81</v>
      </c>
      <c r="E4406" s="2"/>
      <c r="F4406" s="2"/>
    </row>
    <row r="4407">
      <c r="A4407" s="2">
        <f>IFERROR(__xludf.DUMMYFUNCTION("""COMPUTED_VALUE"""),113942.0)</f>
        <v>113942</v>
      </c>
      <c r="B4407" s="2">
        <f>IFERROR(__xludf.DUMMYFUNCTION("""COMPUTED_VALUE"""),1.0)</f>
        <v>1</v>
      </c>
      <c r="C4407" s="2">
        <f>IFERROR(__xludf.DUMMYFUNCTION("""COMPUTED_VALUE"""),770.0)</f>
        <v>770</v>
      </c>
      <c r="D4407" s="3">
        <f>IFERROR(__xludf.DUMMYFUNCTION("""COMPUTED_VALUE"""),758.0)</f>
        <v>758</v>
      </c>
      <c r="E4407" s="2"/>
      <c r="F4407" s="2"/>
    </row>
    <row r="4408">
      <c r="A4408" s="2">
        <f>IFERROR(__xludf.DUMMYFUNCTION("""COMPUTED_VALUE"""),119134.0)</f>
        <v>119134</v>
      </c>
      <c r="B4408" s="2">
        <f>IFERROR(__xludf.DUMMYFUNCTION("""COMPUTED_VALUE"""),0.0)</f>
        <v>0</v>
      </c>
      <c r="C4408" s="2">
        <f>IFERROR(__xludf.DUMMYFUNCTION("""COMPUTED_VALUE"""),602.0)</f>
        <v>602</v>
      </c>
      <c r="D4408" s="3">
        <f>IFERROR(__xludf.DUMMYFUNCTION("""COMPUTED_VALUE"""),326.0)</f>
        <v>326</v>
      </c>
      <c r="E4408" s="2"/>
      <c r="F4408" s="2"/>
    </row>
    <row r="4409">
      <c r="A4409" s="2">
        <f>IFERROR(__xludf.DUMMYFUNCTION("""COMPUTED_VALUE"""),76813.0)</f>
        <v>76813</v>
      </c>
      <c r="B4409" s="2">
        <f>IFERROR(__xludf.DUMMYFUNCTION("""COMPUTED_VALUE"""),0.0)</f>
        <v>0</v>
      </c>
      <c r="C4409" s="2">
        <f>IFERROR(__xludf.DUMMYFUNCTION("""COMPUTED_VALUE"""),795.0)</f>
        <v>795</v>
      </c>
      <c r="D4409" s="3">
        <f>IFERROR(__xludf.DUMMYFUNCTION("""COMPUTED_VALUE"""),125.0)</f>
        <v>125</v>
      </c>
      <c r="E4409" s="2"/>
      <c r="F4409" s="2"/>
    </row>
    <row r="4410">
      <c r="A4410" s="2">
        <f>IFERROR(__xludf.DUMMYFUNCTION("""COMPUTED_VALUE"""),121793.0)</f>
        <v>121793</v>
      </c>
      <c r="B4410" s="2">
        <f>IFERROR(__xludf.DUMMYFUNCTION("""COMPUTED_VALUE"""),0.0)</f>
        <v>0</v>
      </c>
      <c r="C4410" s="2">
        <f>IFERROR(__xludf.DUMMYFUNCTION("""COMPUTED_VALUE"""),366.0)</f>
        <v>366</v>
      </c>
      <c r="D4410" s="3">
        <f>IFERROR(__xludf.DUMMYFUNCTION("""COMPUTED_VALUE"""),100.0)</f>
        <v>100</v>
      </c>
      <c r="E4410" s="2"/>
      <c r="F4410" s="2"/>
    </row>
    <row r="4411">
      <c r="A4411" s="2">
        <f>IFERROR(__xludf.DUMMYFUNCTION("""COMPUTED_VALUE"""),100283.0)</f>
        <v>100283</v>
      </c>
      <c r="B4411" s="2">
        <f>IFERROR(__xludf.DUMMYFUNCTION("""COMPUTED_VALUE"""),1.0)</f>
        <v>1</v>
      </c>
      <c r="C4411" s="2">
        <f>IFERROR(__xludf.DUMMYFUNCTION("""COMPUTED_VALUE"""),961.0)</f>
        <v>961</v>
      </c>
      <c r="D4411" s="3">
        <f>IFERROR(__xludf.DUMMYFUNCTION("""COMPUTED_VALUE"""),203.0)</f>
        <v>203</v>
      </c>
      <c r="E4411" s="2"/>
      <c r="F4411" s="2"/>
    </row>
    <row r="4412">
      <c r="A4412" s="2">
        <f>IFERROR(__xludf.DUMMYFUNCTION("""COMPUTED_VALUE"""),75028.0)</f>
        <v>75028</v>
      </c>
      <c r="B4412" s="2">
        <f>IFERROR(__xludf.DUMMYFUNCTION("""COMPUTED_VALUE"""),1.0)</f>
        <v>1</v>
      </c>
      <c r="C4412" s="2">
        <f>IFERROR(__xludf.DUMMYFUNCTION("""COMPUTED_VALUE"""),24.0)</f>
        <v>24</v>
      </c>
      <c r="D4412" s="3">
        <f>IFERROR(__xludf.DUMMYFUNCTION("""COMPUTED_VALUE"""),21.0)</f>
        <v>21</v>
      </c>
      <c r="E4412" s="2"/>
      <c r="F4412" s="2"/>
    </row>
    <row r="4413">
      <c r="A4413" s="2">
        <f>IFERROR(__xludf.DUMMYFUNCTION("""COMPUTED_VALUE"""),113946.0)</f>
        <v>113946</v>
      </c>
      <c r="B4413" s="2">
        <f>IFERROR(__xludf.DUMMYFUNCTION("""COMPUTED_VALUE"""),1.0)</f>
        <v>1</v>
      </c>
      <c r="C4413" s="2">
        <f>IFERROR(__xludf.DUMMYFUNCTION("""COMPUTED_VALUE"""),482.0)</f>
        <v>482</v>
      </c>
      <c r="D4413" s="3">
        <f>IFERROR(__xludf.DUMMYFUNCTION("""COMPUTED_VALUE"""),327.0)</f>
        <v>327</v>
      </c>
      <c r="E4413" s="2"/>
      <c r="F4413" s="2"/>
    </row>
    <row r="4414">
      <c r="A4414" s="2">
        <f>IFERROR(__xludf.DUMMYFUNCTION("""COMPUTED_VALUE"""),12050.0)</f>
        <v>12050</v>
      </c>
      <c r="B4414" s="2">
        <f>IFERROR(__xludf.DUMMYFUNCTION("""COMPUTED_VALUE"""),0.0)</f>
        <v>0</v>
      </c>
      <c r="C4414" s="2">
        <f>IFERROR(__xludf.DUMMYFUNCTION("""COMPUTED_VALUE"""),917.0)</f>
        <v>917</v>
      </c>
      <c r="D4414" s="3">
        <f>IFERROR(__xludf.DUMMYFUNCTION("""COMPUTED_VALUE"""),205.0)</f>
        <v>205</v>
      </c>
      <c r="E4414" s="2"/>
      <c r="F4414" s="2"/>
    </row>
    <row r="4415">
      <c r="A4415" s="2">
        <f>IFERROR(__xludf.DUMMYFUNCTION("""COMPUTED_VALUE"""),104312.0)</f>
        <v>104312</v>
      </c>
      <c r="B4415" s="2">
        <f>IFERROR(__xludf.DUMMYFUNCTION("""COMPUTED_VALUE"""),1.0)</f>
        <v>1</v>
      </c>
      <c r="C4415" s="2">
        <f>IFERROR(__xludf.DUMMYFUNCTION("""COMPUTED_VALUE"""),49.0)</f>
        <v>49</v>
      </c>
      <c r="D4415" s="3">
        <f>IFERROR(__xludf.DUMMYFUNCTION("""COMPUTED_VALUE"""),33.0)</f>
        <v>33</v>
      </c>
      <c r="E4415" s="2"/>
      <c r="F4415" s="2"/>
    </row>
    <row r="4416">
      <c r="A4416" s="2">
        <f>IFERROR(__xludf.DUMMYFUNCTION("""COMPUTED_VALUE"""),121780.0)</f>
        <v>121780</v>
      </c>
      <c r="B4416" s="2">
        <f>IFERROR(__xludf.DUMMYFUNCTION("""COMPUTED_VALUE"""),1.0)</f>
        <v>1</v>
      </c>
      <c r="C4416" s="2">
        <f>IFERROR(__xludf.DUMMYFUNCTION("""COMPUTED_VALUE"""),940.0)</f>
        <v>940</v>
      </c>
      <c r="D4416" s="3">
        <f>IFERROR(__xludf.DUMMYFUNCTION("""COMPUTED_VALUE"""),22.0)</f>
        <v>22</v>
      </c>
      <c r="E4416" s="2"/>
      <c r="F4416" s="2"/>
    </row>
    <row r="4417">
      <c r="A4417" s="2">
        <f>IFERROR(__xludf.DUMMYFUNCTION("""COMPUTED_VALUE"""),88638.0)</f>
        <v>88638</v>
      </c>
      <c r="B4417" s="2">
        <f>IFERROR(__xludf.DUMMYFUNCTION("""COMPUTED_VALUE"""),1.0)</f>
        <v>1</v>
      </c>
      <c r="C4417" s="2">
        <f>IFERROR(__xludf.DUMMYFUNCTION("""COMPUTED_VALUE"""),694.0)</f>
        <v>694</v>
      </c>
      <c r="D4417" s="3">
        <f>IFERROR(__xludf.DUMMYFUNCTION("""COMPUTED_VALUE"""),256.0)</f>
        <v>256</v>
      </c>
      <c r="E4417" s="2"/>
      <c r="F4417" s="2"/>
    </row>
    <row r="4418">
      <c r="A4418" s="2">
        <f>IFERROR(__xludf.DUMMYFUNCTION("""COMPUTED_VALUE"""),70238.0)</f>
        <v>70238</v>
      </c>
      <c r="B4418" s="2">
        <f>IFERROR(__xludf.DUMMYFUNCTION("""COMPUTED_VALUE"""),0.0)</f>
        <v>0</v>
      </c>
      <c r="C4418" s="2">
        <f>IFERROR(__xludf.DUMMYFUNCTION("""COMPUTED_VALUE"""),925.0)</f>
        <v>925</v>
      </c>
      <c r="D4418" s="3">
        <f>IFERROR(__xludf.DUMMYFUNCTION("""COMPUTED_VALUE"""),620.0)</f>
        <v>620</v>
      </c>
      <c r="E4418" s="2"/>
      <c r="F4418" s="2"/>
    </row>
    <row r="4419">
      <c r="A4419" s="2">
        <f>IFERROR(__xludf.DUMMYFUNCTION("""COMPUTED_VALUE"""),121839.0)</f>
        <v>121839</v>
      </c>
      <c r="B4419" s="2">
        <f>IFERROR(__xludf.DUMMYFUNCTION("""COMPUTED_VALUE"""),1.0)</f>
        <v>1</v>
      </c>
      <c r="C4419" s="2">
        <f>IFERROR(__xludf.DUMMYFUNCTION("""COMPUTED_VALUE"""),560.0)</f>
        <v>560</v>
      </c>
      <c r="D4419" s="3">
        <f>IFERROR(__xludf.DUMMYFUNCTION("""COMPUTED_VALUE"""),232.0)</f>
        <v>232</v>
      </c>
      <c r="E4419" s="2"/>
      <c r="F4419" s="2"/>
    </row>
    <row r="4420">
      <c r="A4420" s="2">
        <f>IFERROR(__xludf.DUMMYFUNCTION("""COMPUTED_VALUE"""),77621.0)</f>
        <v>77621</v>
      </c>
      <c r="B4420" s="2">
        <f>IFERROR(__xludf.DUMMYFUNCTION("""COMPUTED_VALUE"""),1.0)</f>
        <v>1</v>
      </c>
      <c r="C4420" s="2">
        <f>IFERROR(__xludf.DUMMYFUNCTION("""COMPUTED_VALUE"""),50.0)</f>
        <v>50</v>
      </c>
      <c r="D4420" s="3">
        <f>IFERROR(__xludf.DUMMYFUNCTION("""COMPUTED_VALUE"""),9.0)</f>
        <v>9</v>
      </c>
      <c r="E4420" s="2"/>
      <c r="F4420" s="2"/>
    </row>
    <row r="4421">
      <c r="A4421" s="2">
        <f>IFERROR(__xludf.DUMMYFUNCTION("""COMPUTED_VALUE"""),121783.0)</f>
        <v>121783</v>
      </c>
      <c r="B4421" s="2">
        <f>IFERROR(__xludf.DUMMYFUNCTION("""COMPUTED_VALUE"""),0.0)</f>
        <v>0</v>
      </c>
      <c r="C4421" s="2">
        <f>IFERROR(__xludf.DUMMYFUNCTION("""COMPUTED_VALUE"""),487.0)</f>
        <v>487</v>
      </c>
      <c r="D4421" s="3">
        <f>IFERROR(__xludf.DUMMYFUNCTION("""COMPUTED_VALUE"""),198.0)</f>
        <v>198</v>
      </c>
      <c r="E4421" s="2"/>
      <c r="F4421" s="2"/>
    </row>
    <row r="4422">
      <c r="A4422" s="2">
        <f>IFERROR(__xludf.DUMMYFUNCTION("""COMPUTED_VALUE"""),75033.0)</f>
        <v>75033</v>
      </c>
      <c r="B4422" s="2">
        <f>IFERROR(__xludf.DUMMYFUNCTION("""COMPUTED_VALUE"""),1.0)</f>
        <v>1</v>
      </c>
      <c r="C4422" s="2">
        <f>IFERROR(__xludf.DUMMYFUNCTION("""COMPUTED_VALUE"""),411.0)</f>
        <v>411</v>
      </c>
      <c r="D4422" s="3">
        <f>IFERROR(__xludf.DUMMYFUNCTION("""COMPUTED_VALUE"""),196.0)</f>
        <v>196</v>
      </c>
      <c r="E4422" s="2"/>
      <c r="F4422" s="2"/>
    </row>
    <row r="4423">
      <c r="A4423" s="2">
        <f>IFERROR(__xludf.DUMMYFUNCTION("""COMPUTED_VALUE"""),12053.0)</f>
        <v>12053</v>
      </c>
      <c r="B4423" s="2">
        <f>IFERROR(__xludf.DUMMYFUNCTION("""COMPUTED_VALUE"""),1.0)</f>
        <v>1</v>
      </c>
      <c r="C4423" s="2">
        <f>IFERROR(__xludf.DUMMYFUNCTION("""COMPUTED_VALUE"""),969.0)</f>
        <v>969</v>
      </c>
      <c r="D4423" s="3">
        <f>IFERROR(__xludf.DUMMYFUNCTION("""COMPUTED_VALUE"""),373.0)</f>
        <v>373</v>
      </c>
      <c r="E4423" s="2"/>
      <c r="F4423" s="2"/>
    </row>
    <row r="4424">
      <c r="A4424" s="2">
        <f>IFERROR(__xludf.DUMMYFUNCTION("""COMPUTED_VALUE"""),113954.0)</f>
        <v>113954</v>
      </c>
      <c r="B4424" s="2">
        <f>IFERROR(__xludf.DUMMYFUNCTION("""COMPUTED_VALUE"""),0.0)</f>
        <v>0</v>
      </c>
      <c r="C4424" s="2">
        <f>IFERROR(__xludf.DUMMYFUNCTION("""COMPUTED_VALUE"""),969.0)</f>
        <v>969</v>
      </c>
      <c r="D4424" s="3">
        <f>IFERROR(__xludf.DUMMYFUNCTION("""COMPUTED_VALUE"""),784.0)</f>
        <v>784</v>
      </c>
      <c r="E4424" s="2"/>
      <c r="F4424" s="2"/>
    </row>
    <row r="4425">
      <c r="A4425" s="2">
        <f>IFERROR(__xludf.DUMMYFUNCTION("""COMPUTED_VALUE"""),5782.0)</f>
        <v>5782</v>
      </c>
      <c r="B4425" s="2">
        <f>IFERROR(__xludf.DUMMYFUNCTION("""COMPUTED_VALUE"""),1.0)</f>
        <v>1</v>
      </c>
      <c r="C4425" s="2">
        <f>IFERROR(__xludf.DUMMYFUNCTION("""COMPUTED_VALUE"""),223.0)</f>
        <v>223</v>
      </c>
      <c r="D4425" s="3">
        <f>IFERROR(__xludf.DUMMYFUNCTION("""COMPUTED_VALUE"""),104.0)</f>
        <v>104</v>
      </c>
      <c r="E4425" s="2"/>
      <c r="F4425" s="2"/>
    </row>
    <row r="4426">
      <c r="A4426" s="2">
        <f>IFERROR(__xludf.DUMMYFUNCTION("""COMPUTED_VALUE"""),107915.0)</f>
        <v>107915</v>
      </c>
      <c r="B4426" s="2">
        <f>IFERROR(__xludf.DUMMYFUNCTION("""COMPUTED_VALUE"""),0.0)</f>
        <v>0</v>
      </c>
      <c r="C4426" s="2">
        <f>IFERROR(__xludf.DUMMYFUNCTION("""COMPUTED_VALUE"""),439.0)</f>
        <v>439</v>
      </c>
      <c r="D4426" s="3">
        <f>IFERROR(__xludf.DUMMYFUNCTION("""COMPUTED_VALUE"""),379.0)</f>
        <v>379</v>
      </c>
      <c r="E4426" s="2"/>
      <c r="F4426" s="2"/>
    </row>
    <row r="4427">
      <c r="A4427" s="2">
        <f>IFERROR(__xludf.DUMMYFUNCTION("""COMPUTED_VALUE"""),68866.0)</f>
        <v>68866</v>
      </c>
      <c r="B4427" s="2">
        <f>IFERROR(__xludf.DUMMYFUNCTION("""COMPUTED_VALUE"""),0.0)</f>
        <v>0</v>
      </c>
      <c r="C4427" s="2">
        <f>IFERROR(__xludf.DUMMYFUNCTION("""COMPUTED_VALUE"""),2.0)</f>
        <v>2</v>
      </c>
      <c r="D4427" s="3">
        <f>IFERROR(__xludf.DUMMYFUNCTION("""COMPUTED_VALUE"""),0.0)</f>
        <v>0</v>
      </c>
      <c r="E4427" s="2"/>
      <c r="F4427" s="2"/>
    </row>
    <row r="4428">
      <c r="A4428" s="2">
        <f>IFERROR(__xludf.DUMMYFUNCTION("""COMPUTED_VALUE"""),121837.0)</f>
        <v>121837</v>
      </c>
      <c r="B4428" s="2">
        <f>IFERROR(__xludf.DUMMYFUNCTION("""COMPUTED_VALUE"""),1.0)</f>
        <v>1</v>
      </c>
      <c r="C4428" s="2">
        <f>IFERROR(__xludf.DUMMYFUNCTION("""COMPUTED_VALUE"""),615.0)</f>
        <v>615</v>
      </c>
      <c r="D4428" s="3">
        <f>IFERROR(__xludf.DUMMYFUNCTION("""COMPUTED_VALUE"""),455.0)</f>
        <v>455</v>
      </c>
      <c r="E4428" s="2"/>
      <c r="F4428" s="2"/>
    </row>
    <row r="4429">
      <c r="A4429" s="2">
        <f>IFERROR(__xludf.DUMMYFUNCTION("""COMPUTED_VALUE"""),121840.0)</f>
        <v>121840</v>
      </c>
      <c r="B4429" s="2">
        <f>IFERROR(__xludf.DUMMYFUNCTION("""COMPUTED_VALUE"""),1.0)</f>
        <v>1</v>
      </c>
      <c r="C4429" s="2">
        <f>IFERROR(__xludf.DUMMYFUNCTION("""COMPUTED_VALUE"""),920.0)</f>
        <v>920</v>
      </c>
      <c r="D4429" s="3">
        <f>IFERROR(__xludf.DUMMYFUNCTION("""COMPUTED_VALUE"""),471.0)</f>
        <v>471</v>
      </c>
      <c r="E4429" s="2"/>
      <c r="F4429" s="2"/>
    </row>
    <row r="4430">
      <c r="A4430" s="2">
        <f>IFERROR(__xludf.DUMMYFUNCTION("""COMPUTED_VALUE"""),90979.0)</f>
        <v>90979</v>
      </c>
      <c r="B4430" s="2">
        <f>IFERROR(__xludf.DUMMYFUNCTION("""COMPUTED_VALUE"""),1.0)</f>
        <v>1</v>
      </c>
      <c r="C4430" s="2">
        <f>IFERROR(__xludf.DUMMYFUNCTION("""COMPUTED_VALUE"""),50.0)</f>
        <v>50</v>
      </c>
      <c r="D4430" s="3">
        <f>IFERROR(__xludf.DUMMYFUNCTION("""COMPUTED_VALUE"""),50.0)</f>
        <v>50</v>
      </c>
      <c r="E4430" s="2"/>
      <c r="F4430" s="2"/>
    </row>
    <row r="4431">
      <c r="A4431" s="2">
        <f>IFERROR(__xludf.DUMMYFUNCTION("""COMPUTED_VALUE"""),114350.0)</f>
        <v>114350</v>
      </c>
      <c r="B4431" s="2">
        <f>IFERROR(__xludf.DUMMYFUNCTION("""COMPUTED_VALUE"""),0.0)</f>
        <v>0</v>
      </c>
      <c r="C4431" s="2">
        <f>IFERROR(__xludf.DUMMYFUNCTION("""COMPUTED_VALUE"""),948.0)</f>
        <v>948</v>
      </c>
      <c r="D4431" s="3">
        <f>IFERROR(__xludf.DUMMYFUNCTION("""COMPUTED_VALUE"""),301.0)</f>
        <v>301</v>
      </c>
      <c r="E4431" s="2"/>
      <c r="F4431" s="2"/>
    </row>
    <row r="4432">
      <c r="A4432" s="2">
        <f>IFERROR(__xludf.DUMMYFUNCTION("""COMPUTED_VALUE"""),47539.0)</f>
        <v>47539</v>
      </c>
      <c r="B4432" s="2">
        <f>IFERROR(__xludf.DUMMYFUNCTION("""COMPUTED_VALUE"""),0.0)</f>
        <v>0</v>
      </c>
      <c r="C4432" s="2">
        <f>IFERROR(__xludf.DUMMYFUNCTION("""COMPUTED_VALUE"""),653.0)</f>
        <v>653</v>
      </c>
      <c r="D4432" s="3">
        <f>IFERROR(__xludf.DUMMYFUNCTION("""COMPUTED_VALUE"""),318.0)</f>
        <v>318</v>
      </c>
      <c r="E4432" s="2"/>
      <c r="F4432" s="2"/>
    </row>
    <row r="4433">
      <c r="A4433" s="2">
        <f>IFERROR(__xludf.DUMMYFUNCTION("""COMPUTED_VALUE"""),83948.0)</f>
        <v>83948</v>
      </c>
      <c r="B4433" s="2">
        <f>IFERROR(__xludf.DUMMYFUNCTION("""COMPUTED_VALUE"""),1.0)</f>
        <v>1</v>
      </c>
      <c r="C4433" s="2">
        <f>IFERROR(__xludf.DUMMYFUNCTION("""COMPUTED_VALUE"""),26.0)</f>
        <v>26</v>
      </c>
      <c r="D4433" s="3">
        <f>IFERROR(__xludf.DUMMYFUNCTION("""COMPUTED_VALUE"""),0.0)</f>
        <v>0</v>
      </c>
      <c r="E4433" s="2"/>
      <c r="F4433" s="2"/>
    </row>
    <row r="4434">
      <c r="A4434" s="2">
        <f>IFERROR(__xludf.DUMMYFUNCTION("""COMPUTED_VALUE"""),17139.0)</f>
        <v>17139</v>
      </c>
      <c r="B4434" s="2">
        <f>IFERROR(__xludf.DUMMYFUNCTION("""COMPUTED_VALUE"""),0.0)</f>
        <v>0</v>
      </c>
      <c r="C4434" s="2">
        <f>IFERROR(__xludf.DUMMYFUNCTION("""COMPUTED_VALUE"""),-11.0)</f>
        <v>-11</v>
      </c>
      <c r="D4434" s="3">
        <f>IFERROR(__xludf.DUMMYFUNCTION("""COMPUTED_VALUE"""),-11.0)</f>
        <v>-11</v>
      </c>
      <c r="E4434" s="2"/>
      <c r="F4434" s="2"/>
    </row>
    <row r="4435">
      <c r="A4435" s="2">
        <f>IFERROR(__xludf.DUMMYFUNCTION("""COMPUTED_VALUE"""),12051.0)</f>
        <v>12051</v>
      </c>
      <c r="B4435" s="2">
        <f>IFERROR(__xludf.DUMMYFUNCTION("""COMPUTED_VALUE"""),1.0)</f>
        <v>1</v>
      </c>
      <c r="C4435" s="2">
        <f>IFERROR(__xludf.DUMMYFUNCTION("""COMPUTED_VALUE"""),112.0)</f>
        <v>112</v>
      </c>
      <c r="D4435" s="3">
        <f>IFERROR(__xludf.DUMMYFUNCTION("""COMPUTED_VALUE"""),106.0)</f>
        <v>106</v>
      </c>
      <c r="E4435" s="2"/>
      <c r="F4435" s="2"/>
    </row>
    <row r="4436">
      <c r="A4436" s="2">
        <f>IFERROR(__xludf.DUMMYFUNCTION("""COMPUTED_VALUE"""),12052.0)</f>
        <v>12052</v>
      </c>
      <c r="B4436" s="2">
        <f>IFERROR(__xludf.DUMMYFUNCTION("""COMPUTED_VALUE"""),1.0)</f>
        <v>1</v>
      </c>
      <c r="C4436" s="2">
        <f>IFERROR(__xludf.DUMMYFUNCTION("""COMPUTED_VALUE"""),257.0)</f>
        <v>257</v>
      </c>
      <c r="D4436" s="3">
        <f>IFERROR(__xludf.DUMMYFUNCTION("""COMPUTED_VALUE"""),96.0)</f>
        <v>96</v>
      </c>
      <c r="E4436" s="2"/>
      <c r="F4436" s="2"/>
    </row>
    <row r="4437">
      <c r="A4437" s="2">
        <f>IFERROR(__xludf.DUMMYFUNCTION("""COMPUTED_VALUE"""),121838.0)</f>
        <v>121838</v>
      </c>
      <c r="B4437" s="2">
        <f>IFERROR(__xludf.DUMMYFUNCTION("""COMPUTED_VALUE"""),1.0)</f>
        <v>1</v>
      </c>
      <c r="C4437" s="2">
        <f>IFERROR(__xludf.DUMMYFUNCTION("""COMPUTED_VALUE"""),428.0)</f>
        <v>428</v>
      </c>
      <c r="D4437" s="3">
        <f>IFERROR(__xludf.DUMMYFUNCTION("""COMPUTED_VALUE"""),275.0)</f>
        <v>275</v>
      </c>
      <c r="E4437" s="2"/>
      <c r="F4437" s="2"/>
    </row>
    <row r="4438">
      <c r="A4438" s="2">
        <f>IFERROR(__xludf.DUMMYFUNCTION("""COMPUTED_VALUE"""),107917.0)</f>
        <v>107917</v>
      </c>
      <c r="B4438" s="2">
        <f>IFERROR(__xludf.DUMMYFUNCTION("""COMPUTED_VALUE"""),1.0)</f>
        <v>1</v>
      </c>
      <c r="C4438" s="2">
        <f>IFERROR(__xludf.DUMMYFUNCTION("""COMPUTED_VALUE"""),41.0)</f>
        <v>41</v>
      </c>
      <c r="D4438" s="3">
        <f>IFERROR(__xludf.DUMMYFUNCTION("""COMPUTED_VALUE"""),4.0)</f>
        <v>4</v>
      </c>
      <c r="E4438" s="2"/>
      <c r="F4438" s="2"/>
    </row>
    <row r="4439">
      <c r="A4439" s="2">
        <f>IFERROR(__xludf.DUMMYFUNCTION("""COMPUTED_VALUE"""),5779.0)</f>
        <v>5779</v>
      </c>
      <c r="B4439" s="2">
        <f>IFERROR(__xludf.DUMMYFUNCTION("""COMPUTED_VALUE"""),1.0)</f>
        <v>1</v>
      </c>
      <c r="C4439" s="2">
        <f>IFERROR(__xludf.DUMMYFUNCTION("""COMPUTED_VALUE"""),409.0)</f>
        <v>409</v>
      </c>
      <c r="D4439" s="3">
        <f>IFERROR(__xludf.DUMMYFUNCTION("""COMPUTED_VALUE"""),184.0)</f>
        <v>184</v>
      </c>
      <c r="E4439" s="2"/>
      <c r="F4439" s="2"/>
    </row>
    <row r="4440">
      <c r="A4440" s="2">
        <f>IFERROR(__xludf.DUMMYFUNCTION("""COMPUTED_VALUE"""),120303.0)</f>
        <v>120303</v>
      </c>
      <c r="B4440" s="2">
        <f>IFERROR(__xludf.DUMMYFUNCTION("""COMPUTED_VALUE"""),0.0)</f>
        <v>0</v>
      </c>
      <c r="C4440" s="2">
        <f>IFERROR(__xludf.DUMMYFUNCTION("""COMPUTED_VALUE"""),798.0)</f>
        <v>798</v>
      </c>
      <c r="D4440" s="3">
        <f>IFERROR(__xludf.DUMMYFUNCTION("""COMPUTED_VALUE"""),30.0)</f>
        <v>30</v>
      </c>
      <c r="E4440" s="2"/>
      <c r="F4440" s="2"/>
    </row>
    <row r="4441">
      <c r="A4441" s="2">
        <f>IFERROR(__xludf.DUMMYFUNCTION("""COMPUTED_VALUE"""),121784.0)</f>
        <v>121784</v>
      </c>
      <c r="B4441" s="2">
        <f>IFERROR(__xludf.DUMMYFUNCTION("""COMPUTED_VALUE"""),1.0)</f>
        <v>1</v>
      </c>
      <c r="C4441" s="2">
        <f>IFERROR(__xludf.DUMMYFUNCTION("""COMPUTED_VALUE"""),430.0)</f>
        <v>430</v>
      </c>
      <c r="D4441" s="3">
        <f>IFERROR(__xludf.DUMMYFUNCTION("""COMPUTED_VALUE"""),352.0)</f>
        <v>352</v>
      </c>
      <c r="E4441" s="2"/>
      <c r="F4441" s="2"/>
    </row>
    <row r="4442">
      <c r="A4442" s="2">
        <f>IFERROR(__xludf.DUMMYFUNCTION("""COMPUTED_VALUE"""),107913.0)</f>
        <v>107913</v>
      </c>
      <c r="B4442" s="2">
        <f>IFERROR(__xludf.DUMMYFUNCTION("""COMPUTED_VALUE"""),1.0)</f>
        <v>1</v>
      </c>
      <c r="C4442" s="2">
        <f>IFERROR(__xludf.DUMMYFUNCTION("""COMPUTED_VALUE"""),949.0)</f>
        <v>949</v>
      </c>
      <c r="D4442" s="3">
        <f>IFERROR(__xludf.DUMMYFUNCTION("""COMPUTED_VALUE"""),841.0)</f>
        <v>841</v>
      </c>
      <c r="E4442" s="2"/>
      <c r="F4442" s="2"/>
    </row>
    <row r="4443">
      <c r="A4443" s="2">
        <f>IFERROR(__xludf.DUMMYFUNCTION("""COMPUTED_VALUE"""),58759.0)</f>
        <v>58759</v>
      </c>
      <c r="B4443" s="2">
        <f>IFERROR(__xludf.DUMMYFUNCTION("""COMPUTED_VALUE"""),1.0)</f>
        <v>1</v>
      </c>
      <c r="C4443" s="2">
        <f>IFERROR(__xludf.DUMMYFUNCTION("""COMPUTED_VALUE"""),118.0)</f>
        <v>118</v>
      </c>
      <c r="D4443" s="3">
        <f>IFERROR(__xludf.DUMMYFUNCTION("""COMPUTED_VALUE"""),108.0)</f>
        <v>108</v>
      </c>
      <c r="E4443" s="2"/>
      <c r="F4443" s="2"/>
    </row>
    <row r="4444">
      <c r="A4444" s="2">
        <f>IFERROR(__xludf.DUMMYFUNCTION("""COMPUTED_VALUE"""),158697.0)</f>
        <v>158697</v>
      </c>
      <c r="B4444" s="2">
        <f>IFERROR(__xludf.DUMMYFUNCTION("""COMPUTED_VALUE"""),0.0)</f>
        <v>0</v>
      </c>
      <c r="C4444" s="2">
        <f>IFERROR(__xludf.DUMMYFUNCTION("""COMPUTED_VALUE"""),811.0)</f>
        <v>811</v>
      </c>
      <c r="D4444" s="3">
        <f>IFERROR(__xludf.DUMMYFUNCTION("""COMPUTED_VALUE"""),693.0)</f>
        <v>693</v>
      </c>
      <c r="E4444" s="2"/>
      <c r="F4444" s="2"/>
    </row>
    <row r="4445">
      <c r="A4445" s="2">
        <f>IFERROR(__xludf.DUMMYFUNCTION("""COMPUTED_VALUE"""),87160.0)</f>
        <v>87160</v>
      </c>
      <c r="B4445" s="2">
        <f>IFERROR(__xludf.DUMMYFUNCTION("""COMPUTED_VALUE"""),0.0)</f>
        <v>0</v>
      </c>
      <c r="C4445" s="2">
        <f>IFERROR(__xludf.DUMMYFUNCTION("""COMPUTED_VALUE"""),192.0)</f>
        <v>192</v>
      </c>
      <c r="D4445" s="3">
        <f>IFERROR(__xludf.DUMMYFUNCTION("""COMPUTED_VALUE"""),110.0)</f>
        <v>110</v>
      </c>
      <c r="E4445" s="2"/>
      <c r="F4445" s="2"/>
    </row>
    <row r="4446">
      <c r="A4446" s="2">
        <f>IFERROR(__xludf.DUMMYFUNCTION("""COMPUTED_VALUE"""),88694.0)</f>
        <v>88694</v>
      </c>
      <c r="B4446" s="2">
        <f>IFERROR(__xludf.DUMMYFUNCTION("""COMPUTED_VALUE"""),0.0)</f>
        <v>0</v>
      </c>
      <c r="C4446" s="2">
        <f>IFERROR(__xludf.DUMMYFUNCTION("""COMPUTED_VALUE"""),796.0)</f>
        <v>796</v>
      </c>
      <c r="D4446" s="3">
        <f>IFERROR(__xludf.DUMMYFUNCTION("""COMPUTED_VALUE"""),581.0)</f>
        <v>581</v>
      </c>
      <c r="E4446" s="2"/>
      <c r="F4446" s="2"/>
    </row>
    <row r="4447">
      <c r="A4447" s="2">
        <f>IFERROR(__xludf.DUMMYFUNCTION("""COMPUTED_VALUE"""),120393.0)</f>
        <v>120393</v>
      </c>
      <c r="B4447" s="2">
        <f>IFERROR(__xludf.DUMMYFUNCTION("""COMPUTED_VALUE"""),0.0)</f>
        <v>0</v>
      </c>
      <c r="C4447" s="2">
        <f>IFERROR(__xludf.DUMMYFUNCTION("""COMPUTED_VALUE"""),823.0)</f>
        <v>823</v>
      </c>
      <c r="D4447" s="3">
        <f>IFERROR(__xludf.DUMMYFUNCTION("""COMPUTED_VALUE"""),550.0)</f>
        <v>550</v>
      </c>
      <c r="E4447" s="2"/>
      <c r="F4447" s="2"/>
    </row>
    <row r="4448">
      <c r="A4448" s="2">
        <f>IFERROR(__xludf.DUMMYFUNCTION("""COMPUTED_VALUE"""),89581.0)</f>
        <v>89581</v>
      </c>
      <c r="B4448" s="2">
        <f>IFERROR(__xludf.DUMMYFUNCTION("""COMPUTED_VALUE"""),1.0)</f>
        <v>1</v>
      </c>
      <c r="C4448" s="2">
        <f>IFERROR(__xludf.DUMMYFUNCTION("""COMPUTED_VALUE"""),44.0)</f>
        <v>44</v>
      </c>
      <c r="D4448" s="3">
        <f>IFERROR(__xludf.DUMMYFUNCTION("""COMPUTED_VALUE"""),8.0)</f>
        <v>8</v>
      </c>
      <c r="E4448" s="2"/>
      <c r="F4448" s="2"/>
    </row>
    <row r="4449">
      <c r="A4449" s="2">
        <f>IFERROR(__xludf.DUMMYFUNCTION("""COMPUTED_VALUE"""),6514.0)</f>
        <v>6514</v>
      </c>
      <c r="B4449" s="2">
        <f>IFERROR(__xludf.DUMMYFUNCTION("""COMPUTED_VALUE"""),1.0)</f>
        <v>1</v>
      </c>
      <c r="C4449" s="2">
        <f>IFERROR(__xludf.DUMMYFUNCTION("""COMPUTED_VALUE"""),715.0)</f>
        <v>715</v>
      </c>
      <c r="D4449" s="3">
        <f>IFERROR(__xludf.DUMMYFUNCTION("""COMPUTED_VALUE"""),474.0)</f>
        <v>474</v>
      </c>
      <c r="E4449" s="2"/>
      <c r="F4449" s="2"/>
    </row>
    <row r="4450">
      <c r="A4450" s="2">
        <f>IFERROR(__xludf.DUMMYFUNCTION("""COMPUTED_VALUE"""),105340.0)</f>
        <v>105340</v>
      </c>
      <c r="B4450" s="2">
        <f>IFERROR(__xludf.DUMMYFUNCTION("""COMPUTED_VALUE"""),0.0)</f>
        <v>0</v>
      </c>
      <c r="C4450" s="2">
        <f>IFERROR(__xludf.DUMMYFUNCTION("""COMPUTED_VALUE"""),83.0)</f>
        <v>83</v>
      </c>
      <c r="D4450" s="3">
        <f>IFERROR(__xludf.DUMMYFUNCTION("""COMPUTED_VALUE"""),9.0)</f>
        <v>9</v>
      </c>
      <c r="E4450" s="2"/>
      <c r="F4450" s="2"/>
    </row>
    <row r="4451">
      <c r="A4451" s="2">
        <f>IFERROR(__xludf.DUMMYFUNCTION("""COMPUTED_VALUE"""),120865.0)</f>
        <v>120865</v>
      </c>
      <c r="B4451" s="2">
        <f>IFERROR(__xludf.DUMMYFUNCTION("""COMPUTED_VALUE"""),1.0)</f>
        <v>1</v>
      </c>
      <c r="C4451" s="2">
        <f>IFERROR(__xludf.DUMMYFUNCTION("""COMPUTED_VALUE"""),72.0)</f>
        <v>72</v>
      </c>
      <c r="D4451" s="3">
        <f>IFERROR(__xludf.DUMMYFUNCTION("""COMPUTED_VALUE"""),39.0)</f>
        <v>39</v>
      </c>
      <c r="E4451" s="2"/>
      <c r="F4451" s="2"/>
    </row>
    <row r="4452">
      <c r="A4452" s="2">
        <f>IFERROR(__xludf.DUMMYFUNCTION("""COMPUTED_VALUE"""),110078.0)</f>
        <v>110078</v>
      </c>
      <c r="B4452" s="2">
        <f>IFERROR(__xludf.DUMMYFUNCTION("""COMPUTED_VALUE"""),0.0)</f>
        <v>0</v>
      </c>
      <c r="C4452" s="2">
        <f>IFERROR(__xludf.DUMMYFUNCTION("""COMPUTED_VALUE"""),45.0)</f>
        <v>45</v>
      </c>
      <c r="D4452" s="3">
        <f>IFERROR(__xludf.DUMMYFUNCTION("""COMPUTED_VALUE"""),35.0)</f>
        <v>35</v>
      </c>
      <c r="E4452" s="2"/>
      <c r="F4452" s="2"/>
    </row>
    <row r="4453">
      <c r="A4453" s="2">
        <f>IFERROR(__xludf.DUMMYFUNCTION("""COMPUTED_VALUE"""),122343.0)</f>
        <v>122343</v>
      </c>
      <c r="B4453" s="2">
        <f>IFERROR(__xludf.DUMMYFUNCTION("""COMPUTED_VALUE"""),0.0)</f>
        <v>0</v>
      </c>
      <c r="C4453" s="2">
        <f>IFERROR(__xludf.DUMMYFUNCTION("""COMPUTED_VALUE"""),482.0)</f>
        <v>482</v>
      </c>
      <c r="D4453" s="3">
        <f>IFERROR(__xludf.DUMMYFUNCTION("""COMPUTED_VALUE"""),418.0)</f>
        <v>418</v>
      </c>
      <c r="E4453" s="2"/>
      <c r="F4453" s="2"/>
    </row>
    <row r="4454">
      <c r="A4454" s="2">
        <f>IFERROR(__xludf.DUMMYFUNCTION("""COMPUTED_VALUE"""),12296.0)</f>
        <v>12296</v>
      </c>
      <c r="B4454" s="2">
        <f>IFERROR(__xludf.DUMMYFUNCTION("""COMPUTED_VALUE"""),0.0)</f>
        <v>0</v>
      </c>
      <c r="C4454" s="2">
        <f>IFERROR(__xludf.DUMMYFUNCTION("""COMPUTED_VALUE"""),696.0)</f>
        <v>696</v>
      </c>
      <c r="D4454" s="3">
        <f>IFERROR(__xludf.DUMMYFUNCTION("""COMPUTED_VALUE"""),357.0)</f>
        <v>357</v>
      </c>
      <c r="E4454" s="2"/>
      <c r="F4454" s="2"/>
    </row>
    <row r="4455">
      <c r="A4455" s="2">
        <f>IFERROR(__xludf.DUMMYFUNCTION("""COMPUTED_VALUE"""),96952.0)</f>
        <v>96952</v>
      </c>
      <c r="B4455" s="2">
        <f>IFERROR(__xludf.DUMMYFUNCTION("""COMPUTED_VALUE"""),0.0)</f>
        <v>0</v>
      </c>
      <c r="C4455" s="2">
        <f>IFERROR(__xludf.DUMMYFUNCTION("""COMPUTED_VALUE"""),814.0)</f>
        <v>814</v>
      </c>
      <c r="D4455" s="3">
        <f>IFERROR(__xludf.DUMMYFUNCTION("""COMPUTED_VALUE"""),269.0)</f>
        <v>269</v>
      </c>
      <c r="E4455" s="2"/>
      <c r="F4455" s="2"/>
    </row>
    <row r="4456">
      <c r="A4456" s="2">
        <f>IFERROR(__xludf.DUMMYFUNCTION("""COMPUTED_VALUE"""),82193.0)</f>
        <v>82193</v>
      </c>
      <c r="B4456" s="2">
        <f>IFERROR(__xludf.DUMMYFUNCTION("""COMPUTED_VALUE"""),1.0)</f>
        <v>1</v>
      </c>
      <c r="C4456" s="2">
        <f>IFERROR(__xludf.DUMMYFUNCTION("""COMPUTED_VALUE"""),813.0)</f>
        <v>813</v>
      </c>
      <c r="D4456" s="3">
        <f>IFERROR(__xludf.DUMMYFUNCTION("""COMPUTED_VALUE"""),660.0)</f>
        <v>660</v>
      </c>
      <c r="E4456" s="2"/>
      <c r="F4456" s="2"/>
    </row>
    <row r="4457">
      <c r="A4457" s="2">
        <f>IFERROR(__xludf.DUMMYFUNCTION("""COMPUTED_VALUE"""),89802.0)</f>
        <v>89802</v>
      </c>
      <c r="B4457" s="2">
        <f>IFERROR(__xludf.DUMMYFUNCTION("""COMPUTED_VALUE"""),0.0)</f>
        <v>0</v>
      </c>
      <c r="C4457" s="2">
        <f>IFERROR(__xludf.DUMMYFUNCTION("""COMPUTED_VALUE"""),-15.0)</f>
        <v>-15</v>
      </c>
      <c r="D4457" s="3">
        <f>IFERROR(__xludf.DUMMYFUNCTION("""COMPUTED_VALUE"""),-4.0)</f>
        <v>-4</v>
      </c>
      <c r="E4457" s="2"/>
      <c r="F4457" s="2"/>
    </row>
    <row r="4458">
      <c r="A4458" s="2">
        <f>IFERROR(__xludf.DUMMYFUNCTION("""COMPUTED_VALUE"""),87044.0)</f>
        <v>87044</v>
      </c>
      <c r="B4458" s="2">
        <f>IFERROR(__xludf.DUMMYFUNCTION("""COMPUTED_VALUE"""),0.0)</f>
        <v>0</v>
      </c>
      <c r="C4458" s="2">
        <f>IFERROR(__xludf.DUMMYFUNCTION("""COMPUTED_VALUE"""),659.0)</f>
        <v>659</v>
      </c>
      <c r="D4458" s="3">
        <f>IFERROR(__xludf.DUMMYFUNCTION("""COMPUTED_VALUE"""),579.0)</f>
        <v>579</v>
      </c>
      <c r="E4458" s="2"/>
      <c r="F4458" s="2"/>
    </row>
    <row r="4459">
      <c r="A4459" s="2">
        <f>IFERROR(__xludf.DUMMYFUNCTION("""COMPUTED_VALUE"""),87042.0)</f>
        <v>87042</v>
      </c>
      <c r="B4459" s="2">
        <f>IFERROR(__xludf.DUMMYFUNCTION("""COMPUTED_VALUE"""),1.0)</f>
        <v>1</v>
      </c>
      <c r="C4459" s="2">
        <f>IFERROR(__xludf.DUMMYFUNCTION("""COMPUTED_VALUE"""),230.0)</f>
        <v>230</v>
      </c>
      <c r="D4459" s="3">
        <f>IFERROR(__xludf.DUMMYFUNCTION("""COMPUTED_VALUE"""),115.0)</f>
        <v>115</v>
      </c>
      <c r="E4459" s="2"/>
      <c r="F4459" s="2"/>
    </row>
    <row r="4460">
      <c r="A4460" s="2">
        <f>IFERROR(__xludf.DUMMYFUNCTION("""COMPUTED_VALUE"""),116274.0)</f>
        <v>116274</v>
      </c>
      <c r="B4460" s="2">
        <f>IFERROR(__xludf.DUMMYFUNCTION("""COMPUTED_VALUE"""),0.0)</f>
        <v>0</v>
      </c>
      <c r="C4460" s="2">
        <f>IFERROR(__xludf.DUMMYFUNCTION("""COMPUTED_VALUE"""),634.0)</f>
        <v>634</v>
      </c>
      <c r="D4460" s="3">
        <f>IFERROR(__xludf.DUMMYFUNCTION("""COMPUTED_VALUE"""),470.0)</f>
        <v>470</v>
      </c>
      <c r="E4460" s="2"/>
      <c r="F4460" s="2"/>
    </row>
    <row r="4461">
      <c r="A4461" s="2">
        <f>IFERROR(__xludf.DUMMYFUNCTION("""COMPUTED_VALUE"""),122344.0)</f>
        <v>122344</v>
      </c>
      <c r="B4461" s="2">
        <f>IFERROR(__xludf.DUMMYFUNCTION("""COMPUTED_VALUE"""),1.0)</f>
        <v>1</v>
      </c>
      <c r="C4461" s="2">
        <f>IFERROR(__xludf.DUMMYFUNCTION("""COMPUTED_VALUE"""),970.0)</f>
        <v>970</v>
      </c>
      <c r="D4461" s="3">
        <f>IFERROR(__xludf.DUMMYFUNCTION("""COMPUTED_VALUE"""),305.0)</f>
        <v>305</v>
      </c>
      <c r="E4461" s="2"/>
      <c r="F4461" s="2"/>
    </row>
    <row r="4462">
      <c r="A4462" s="2">
        <f>IFERROR(__xludf.DUMMYFUNCTION("""COMPUTED_VALUE"""),122345.0)</f>
        <v>122345</v>
      </c>
      <c r="B4462" s="2">
        <f>IFERROR(__xludf.DUMMYFUNCTION("""COMPUTED_VALUE"""),0.0)</f>
        <v>0</v>
      </c>
      <c r="C4462" s="2">
        <f>IFERROR(__xludf.DUMMYFUNCTION("""COMPUTED_VALUE"""),77.0)</f>
        <v>77</v>
      </c>
      <c r="D4462" s="3">
        <f>IFERROR(__xludf.DUMMYFUNCTION("""COMPUTED_VALUE"""),11.0)</f>
        <v>11</v>
      </c>
      <c r="E4462" s="2"/>
      <c r="F4462" s="2"/>
    </row>
    <row r="4463">
      <c r="A4463" s="2">
        <f>IFERROR(__xludf.DUMMYFUNCTION("""COMPUTED_VALUE"""),120867.0)</f>
        <v>120867</v>
      </c>
      <c r="B4463" s="2">
        <f>IFERROR(__xludf.DUMMYFUNCTION("""COMPUTED_VALUE"""),0.0)</f>
        <v>0</v>
      </c>
      <c r="C4463" s="2">
        <f>IFERROR(__xludf.DUMMYFUNCTION("""COMPUTED_VALUE"""),319.0)</f>
        <v>319</v>
      </c>
      <c r="D4463" s="3">
        <f>IFERROR(__xludf.DUMMYFUNCTION("""COMPUTED_VALUE"""),183.0)</f>
        <v>183</v>
      </c>
      <c r="E4463" s="2"/>
      <c r="F4463" s="2"/>
    </row>
    <row r="4464">
      <c r="A4464" s="2">
        <f>IFERROR(__xludf.DUMMYFUNCTION("""COMPUTED_VALUE"""),28494.0)</f>
        <v>28494</v>
      </c>
      <c r="B4464" s="2">
        <f>IFERROR(__xludf.DUMMYFUNCTION("""COMPUTED_VALUE"""),0.0)</f>
        <v>0</v>
      </c>
      <c r="C4464" s="2">
        <f>IFERROR(__xludf.DUMMYFUNCTION("""COMPUTED_VALUE"""),284.0)</f>
        <v>284</v>
      </c>
      <c r="D4464" s="3">
        <f>IFERROR(__xludf.DUMMYFUNCTION("""COMPUTED_VALUE"""),190.0)</f>
        <v>190</v>
      </c>
      <c r="E4464" s="2"/>
      <c r="F4464" s="2"/>
    </row>
    <row r="4465">
      <c r="A4465" s="2">
        <f>IFERROR(__xludf.DUMMYFUNCTION("""COMPUTED_VALUE"""),8882.0)</f>
        <v>8882</v>
      </c>
      <c r="B4465" s="2">
        <f>IFERROR(__xludf.DUMMYFUNCTION("""COMPUTED_VALUE"""),1.0)</f>
        <v>1</v>
      </c>
      <c r="C4465" s="2">
        <f>IFERROR(__xludf.DUMMYFUNCTION("""COMPUTED_VALUE"""),884.0)</f>
        <v>884</v>
      </c>
      <c r="D4465" s="3">
        <f>IFERROR(__xludf.DUMMYFUNCTION("""COMPUTED_VALUE"""),666.0)</f>
        <v>666</v>
      </c>
      <c r="E4465" s="2"/>
      <c r="F4465" s="2"/>
    </row>
    <row r="4466">
      <c r="A4466" s="2">
        <f>IFERROR(__xludf.DUMMYFUNCTION("""COMPUTED_VALUE"""),116275.0)</f>
        <v>116275</v>
      </c>
      <c r="B4466" s="2">
        <f>IFERROR(__xludf.DUMMYFUNCTION("""COMPUTED_VALUE"""),0.0)</f>
        <v>0</v>
      </c>
      <c r="C4466" s="2">
        <f>IFERROR(__xludf.DUMMYFUNCTION("""COMPUTED_VALUE"""),781.0)</f>
        <v>781</v>
      </c>
      <c r="D4466" s="3">
        <f>IFERROR(__xludf.DUMMYFUNCTION("""COMPUTED_VALUE"""),2.0)</f>
        <v>2</v>
      </c>
      <c r="E4466" s="2"/>
      <c r="F4466" s="2"/>
    </row>
    <row r="4467">
      <c r="A4467" s="2">
        <f>IFERROR(__xludf.DUMMYFUNCTION("""COMPUTED_VALUE"""),121424.0)</f>
        <v>121424</v>
      </c>
      <c r="B4467" s="2">
        <f>IFERROR(__xludf.DUMMYFUNCTION("""COMPUTED_VALUE"""),0.0)</f>
        <v>0</v>
      </c>
      <c r="C4467" s="2">
        <f>IFERROR(__xludf.DUMMYFUNCTION("""COMPUTED_VALUE"""),875.0)</f>
        <v>875</v>
      </c>
      <c r="D4467" s="3">
        <f>IFERROR(__xludf.DUMMYFUNCTION("""COMPUTED_VALUE"""),277.0)</f>
        <v>277</v>
      </c>
      <c r="E4467" s="2"/>
      <c r="F4467" s="2"/>
    </row>
    <row r="4468">
      <c r="A4468" s="2">
        <f>IFERROR(__xludf.DUMMYFUNCTION("""COMPUTED_VALUE"""),75058.0)</f>
        <v>75058</v>
      </c>
      <c r="B4468" s="2">
        <f>IFERROR(__xludf.DUMMYFUNCTION("""COMPUTED_VALUE"""),0.0)</f>
        <v>0</v>
      </c>
      <c r="C4468" s="2">
        <f>IFERROR(__xludf.DUMMYFUNCTION("""COMPUTED_VALUE"""),492.0)</f>
        <v>492</v>
      </c>
      <c r="D4468" s="3">
        <f>IFERROR(__xludf.DUMMYFUNCTION("""COMPUTED_VALUE"""),62.0)</f>
        <v>62</v>
      </c>
      <c r="E4468" s="2"/>
      <c r="F4468" s="2"/>
    </row>
    <row r="4469">
      <c r="A4469" s="2">
        <f>IFERROR(__xludf.DUMMYFUNCTION("""COMPUTED_VALUE"""),75056.0)</f>
        <v>75056</v>
      </c>
      <c r="B4469" s="2">
        <f>IFERROR(__xludf.DUMMYFUNCTION("""COMPUTED_VALUE"""),1.0)</f>
        <v>1</v>
      </c>
      <c r="C4469" s="2">
        <f>IFERROR(__xludf.DUMMYFUNCTION("""COMPUTED_VALUE"""),668.0)</f>
        <v>668</v>
      </c>
      <c r="D4469" s="3">
        <f>IFERROR(__xludf.DUMMYFUNCTION("""COMPUTED_VALUE"""),625.0)</f>
        <v>625</v>
      </c>
      <c r="E4469" s="2"/>
      <c r="F4469" s="2"/>
    </row>
    <row r="4470">
      <c r="A4470" s="2">
        <f>IFERROR(__xludf.DUMMYFUNCTION("""COMPUTED_VALUE"""),42239.0)</f>
        <v>42239</v>
      </c>
      <c r="B4470" s="2">
        <f>IFERROR(__xludf.DUMMYFUNCTION("""COMPUTED_VALUE"""),1.0)</f>
        <v>1</v>
      </c>
      <c r="C4470" s="2">
        <f>IFERROR(__xludf.DUMMYFUNCTION("""COMPUTED_VALUE"""),729.0)</f>
        <v>729</v>
      </c>
      <c r="D4470" s="3">
        <f>IFERROR(__xludf.DUMMYFUNCTION("""COMPUTED_VALUE"""),167.0)</f>
        <v>167</v>
      </c>
      <c r="E4470" s="2"/>
      <c r="F4470" s="2"/>
    </row>
    <row r="4471">
      <c r="A4471" s="2">
        <f>IFERROR(__xludf.DUMMYFUNCTION("""COMPUTED_VALUE"""),42237.0)</f>
        <v>42237</v>
      </c>
      <c r="B4471" s="2">
        <f>IFERROR(__xludf.DUMMYFUNCTION("""COMPUTED_VALUE"""),1.0)</f>
        <v>1</v>
      </c>
      <c r="C4471" s="2">
        <f>IFERROR(__xludf.DUMMYFUNCTION("""COMPUTED_VALUE"""),24.0)</f>
        <v>24</v>
      </c>
      <c r="D4471" s="3">
        <f>IFERROR(__xludf.DUMMYFUNCTION("""COMPUTED_VALUE"""),24.0)</f>
        <v>24</v>
      </c>
      <c r="E4471" s="2"/>
      <c r="F4471" s="2"/>
    </row>
    <row r="4472">
      <c r="A4472" s="2">
        <f>IFERROR(__xludf.DUMMYFUNCTION("""COMPUTED_VALUE"""),69457.0)</f>
        <v>69457</v>
      </c>
      <c r="B4472" s="2">
        <f>IFERROR(__xludf.DUMMYFUNCTION("""COMPUTED_VALUE"""),0.0)</f>
        <v>0</v>
      </c>
      <c r="C4472" s="2">
        <f>IFERROR(__xludf.DUMMYFUNCTION("""COMPUTED_VALUE"""),792.0)</f>
        <v>792</v>
      </c>
      <c r="D4472" s="3">
        <f>IFERROR(__xludf.DUMMYFUNCTION("""COMPUTED_VALUE"""),607.0)</f>
        <v>607</v>
      </c>
      <c r="E4472" s="2"/>
      <c r="F4472" s="2"/>
    </row>
    <row r="4473">
      <c r="A4473" s="2">
        <f>IFERROR(__xludf.DUMMYFUNCTION("""COMPUTED_VALUE"""),69328.0)</f>
        <v>69328</v>
      </c>
      <c r="B4473" s="2">
        <f>IFERROR(__xludf.DUMMYFUNCTION("""COMPUTED_VALUE"""),1.0)</f>
        <v>1</v>
      </c>
      <c r="C4473" s="2">
        <f>IFERROR(__xludf.DUMMYFUNCTION("""COMPUTED_VALUE"""),598.0)</f>
        <v>598</v>
      </c>
      <c r="D4473" s="3">
        <f>IFERROR(__xludf.DUMMYFUNCTION("""COMPUTED_VALUE"""),208.0)</f>
        <v>208</v>
      </c>
      <c r="E4473" s="2"/>
      <c r="F4473" s="2"/>
    </row>
    <row r="4474">
      <c r="A4474" s="2">
        <f>IFERROR(__xludf.DUMMYFUNCTION("""COMPUTED_VALUE"""),69454.0)</f>
        <v>69454</v>
      </c>
      <c r="B4474" s="2">
        <f>IFERROR(__xludf.DUMMYFUNCTION("""COMPUTED_VALUE"""),1.0)</f>
        <v>1</v>
      </c>
      <c r="C4474" s="2">
        <f>IFERROR(__xludf.DUMMYFUNCTION("""COMPUTED_VALUE"""),220.0)</f>
        <v>220</v>
      </c>
      <c r="D4474" s="3">
        <f>IFERROR(__xludf.DUMMYFUNCTION("""COMPUTED_VALUE"""),209.0)</f>
        <v>209</v>
      </c>
      <c r="E4474" s="2"/>
      <c r="F4474" s="2"/>
    </row>
    <row r="4475">
      <c r="A4475" s="2">
        <f>IFERROR(__xludf.DUMMYFUNCTION("""COMPUTED_VALUE"""),69469.0)</f>
        <v>69469</v>
      </c>
      <c r="B4475" s="2">
        <f>IFERROR(__xludf.DUMMYFUNCTION("""COMPUTED_VALUE"""),1.0)</f>
        <v>1</v>
      </c>
      <c r="C4475" s="2">
        <f>IFERROR(__xludf.DUMMYFUNCTION("""COMPUTED_VALUE"""),274.0)</f>
        <v>274</v>
      </c>
      <c r="D4475" s="3">
        <f>IFERROR(__xludf.DUMMYFUNCTION("""COMPUTED_VALUE"""),136.0)</f>
        <v>136</v>
      </c>
      <c r="E4475" s="2"/>
      <c r="F4475" s="2"/>
    </row>
    <row r="4476">
      <c r="A4476" s="2">
        <f>IFERROR(__xludf.DUMMYFUNCTION("""COMPUTED_VALUE"""),193264.0)</f>
        <v>193264</v>
      </c>
      <c r="B4476" s="2">
        <f>IFERROR(__xludf.DUMMYFUNCTION("""COMPUTED_VALUE"""),1.0)</f>
        <v>1</v>
      </c>
      <c r="C4476" s="2">
        <f>IFERROR(__xludf.DUMMYFUNCTION("""COMPUTED_VALUE"""),679.0)</f>
        <v>679</v>
      </c>
      <c r="D4476" s="3">
        <f>IFERROR(__xludf.DUMMYFUNCTION("""COMPUTED_VALUE"""),561.0)</f>
        <v>561</v>
      </c>
      <c r="E4476" s="2"/>
      <c r="F4476" s="2"/>
    </row>
    <row r="4477">
      <c r="A4477" s="2">
        <f>IFERROR(__xludf.DUMMYFUNCTION("""COMPUTED_VALUE"""),115763.0)</f>
        <v>115763</v>
      </c>
      <c r="B4477" s="2">
        <f>IFERROR(__xludf.DUMMYFUNCTION("""COMPUTED_VALUE"""),0.0)</f>
        <v>0</v>
      </c>
      <c r="C4477" s="2">
        <f>IFERROR(__xludf.DUMMYFUNCTION("""COMPUTED_VALUE"""),358.0)</f>
        <v>358</v>
      </c>
      <c r="D4477" s="3">
        <f>IFERROR(__xludf.DUMMYFUNCTION("""COMPUTED_VALUE"""),174.0)</f>
        <v>174</v>
      </c>
      <c r="E4477" s="2"/>
      <c r="F4477" s="2"/>
    </row>
    <row r="4478">
      <c r="A4478" s="2">
        <f>IFERROR(__xludf.DUMMYFUNCTION("""COMPUTED_VALUE"""),69463.0)</f>
        <v>69463</v>
      </c>
      <c r="B4478" s="2">
        <f>IFERROR(__xludf.DUMMYFUNCTION("""COMPUTED_VALUE"""),1.0)</f>
        <v>1</v>
      </c>
      <c r="C4478" s="2">
        <f>IFERROR(__xludf.DUMMYFUNCTION("""COMPUTED_VALUE"""),517.0)</f>
        <v>517</v>
      </c>
      <c r="D4478" s="3">
        <f>IFERROR(__xludf.DUMMYFUNCTION("""COMPUTED_VALUE"""),279.0)</f>
        <v>279</v>
      </c>
      <c r="E4478" s="2"/>
      <c r="F4478" s="2"/>
    </row>
    <row r="4479">
      <c r="A4479" s="2">
        <f>IFERROR(__xludf.DUMMYFUNCTION("""COMPUTED_VALUE"""),84168.0)</f>
        <v>84168</v>
      </c>
      <c r="B4479" s="2">
        <f>IFERROR(__xludf.DUMMYFUNCTION("""COMPUTED_VALUE"""),1.0)</f>
        <v>1</v>
      </c>
      <c r="C4479" s="2">
        <f>IFERROR(__xludf.DUMMYFUNCTION("""COMPUTED_VALUE"""),44.0)</f>
        <v>44</v>
      </c>
      <c r="D4479" s="3">
        <f>IFERROR(__xludf.DUMMYFUNCTION("""COMPUTED_VALUE"""),39.0)</f>
        <v>39</v>
      </c>
      <c r="E4479" s="2"/>
      <c r="F4479" s="2"/>
    </row>
    <row r="4480">
      <c r="A4480" s="2">
        <f>IFERROR(__xludf.DUMMYFUNCTION("""COMPUTED_VALUE"""),75077.0)</f>
        <v>75077</v>
      </c>
      <c r="B4480" s="2">
        <f>IFERROR(__xludf.DUMMYFUNCTION("""COMPUTED_VALUE"""),0.0)</f>
        <v>0</v>
      </c>
      <c r="C4480" s="2">
        <f>IFERROR(__xludf.DUMMYFUNCTION("""COMPUTED_VALUE"""),965.0)</f>
        <v>965</v>
      </c>
      <c r="D4480" s="3">
        <f>IFERROR(__xludf.DUMMYFUNCTION("""COMPUTED_VALUE"""),8.0)</f>
        <v>8</v>
      </c>
      <c r="E4480" s="2"/>
      <c r="F4480" s="2"/>
    </row>
    <row r="4481">
      <c r="A4481" s="2">
        <f>IFERROR(__xludf.DUMMYFUNCTION("""COMPUTED_VALUE"""),42229.0)</f>
        <v>42229</v>
      </c>
      <c r="B4481" s="2">
        <f>IFERROR(__xludf.DUMMYFUNCTION("""COMPUTED_VALUE"""),0.0)</f>
        <v>0</v>
      </c>
      <c r="C4481" s="2">
        <f>IFERROR(__xludf.DUMMYFUNCTION("""COMPUTED_VALUE"""),629.0)</f>
        <v>629</v>
      </c>
      <c r="D4481" s="3">
        <f>IFERROR(__xludf.DUMMYFUNCTION("""COMPUTED_VALUE"""),3.0)</f>
        <v>3</v>
      </c>
      <c r="E4481" s="2"/>
      <c r="F4481" s="2"/>
    </row>
    <row r="4482">
      <c r="A4482" s="2">
        <f>IFERROR(__xludf.DUMMYFUNCTION("""COMPUTED_VALUE"""),89588.0)</f>
        <v>89588</v>
      </c>
      <c r="B4482" s="2">
        <f>IFERROR(__xludf.DUMMYFUNCTION("""COMPUTED_VALUE"""),1.0)</f>
        <v>1</v>
      </c>
      <c r="C4482" s="2">
        <f>IFERROR(__xludf.DUMMYFUNCTION("""COMPUTED_VALUE"""),699.0)</f>
        <v>699</v>
      </c>
      <c r="D4482" s="3">
        <f>IFERROR(__xludf.DUMMYFUNCTION("""COMPUTED_VALUE"""),218.0)</f>
        <v>218</v>
      </c>
      <c r="E4482" s="2"/>
      <c r="F4482" s="2"/>
    </row>
    <row r="4483">
      <c r="A4483" s="2">
        <f>IFERROR(__xludf.DUMMYFUNCTION("""COMPUTED_VALUE"""),99973.0)</f>
        <v>99973</v>
      </c>
      <c r="B4483" s="2">
        <f>IFERROR(__xludf.DUMMYFUNCTION("""COMPUTED_VALUE"""),0.0)</f>
        <v>0</v>
      </c>
      <c r="C4483" s="2">
        <f>IFERROR(__xludf.DUMMYFUNCTION("""COMPUTED_VALUE"""),571.0)</f>
        <v>571</v>
      </c>
      <c r="D4483" s="3">
        <f>IFERROR(__xludf.DUMMYFUNCTION("""COMPUTED_VALUE"""),419.0)</f>
        <v>419</v>
      </c>
      <c r="E4483" s="2"/>
      <c r="F4483" s="2"/>
    </row>
    <row r="4484">
      <c r="A4484" s="2">
        <f>IFERROR(__xludf.DUMMYFUNCTION("""COMPUTED_VALUE"""),70241.0)</f>
        <v>70241</v>
      </c>
      <c r="B4484" s="2">
        <f>IFERROR(__xludf.DUMMYFUNCTION("""COMPUTED_VALUE"""),0.0)</f>
        <v>0</v>
      </c>
      <c r="C4484" s="2">
        <f>IFERROR(__xludf.DUMMYFUNCTION("""COMPUTED_VALUE"""),679.0)</f>
        <v>679</v>
      </c>
      <c r="D4484" s="3">
        <f>IFERROR(__xludf.DUMMYFUNCTION("""COMPUTED_VALUE"""),483.0)</f>
        <v>483</v>
      </c>
      <c r="E4484" s="2"/>
      <c r="F4484" s="2"/>
    </row>
    <row r="4485">
      <c r="A4485" s="2">
        <f>IFERROR(__xludf.DUMMYFUNCTION("""COMPUTED_VALUE"""),129479.0)</f>
        <v>129479</v>
      </c>
      <c r="B4485" s="2">
        <f>IFERROR(__xludf.DUMMYFUNCTION("""COMPUTED_VALUE"""),1.0)</f>
        <v>1</v>
      </c>
      <c r="C4485" s="2">
        <f>IFERROR(__xludf.DUMMYFUNCTION("""COMPUTED_VALUE"""),925.0)</f>
        <v>925</v>
      </c>
      <c r="D4485" s="3">
        <f>IFERROR(__xludf.DUMMYFUNCTION("""COMPUTED_VALUE"""),677.0)</f>
        <v>677</v>
      </c>
      <c r="E4485" s="2"/>
      <c r="F4485" s="2"/>
    </row>
    <row r="4486">
      <c r="A4486" s="2">
        <f>IFERROR(__xludf.DUMMYFUNCTION("""COMPUTED_VALUE"""),107926.0)</f>
        <v>107926</v>
      </c>
      <c r="B4486" s="2">
        <f>IFERROR(__xludf.DUMMYFUNCTION("""COMPUTED_VALUE"""),0.0)</f>
        <v>0</v>
      </c>
      <c r="C4486" s="2">
        <f>IFERROR(__xludf.DUMMYFUNCTION("""COMPUTED_VALUE"""),-6.0)</f>
        <v>-6</v>
      </c>
      <c r="D4486" s="3">
        <f>IFERROR(__xludf.DUMMYFUNCTION("""COMPUTED_VALUE"""),-4.0)</f>
        <v>-4</v>
      </c>
      <c r="E4486" s="2"/>
      <c r="F4486" s="2"/>
    </row>
    <row r="4487">
      <c r="A4487" s="2">
        <f>IFERROR(__xludf.DUMMYFUNCTION("""COMPUTED_VALUE"""),42232.0)</f>
        <v>42232</v>
      </c>
      <c r="B4487" s="2">
        <f>IFERROR(__xludf.DUMMYFUNCTION("""COMPUTED_VALUE"""),0.0)</f>
        <v>0</v>
      </c>
      <c r="C4487" s="2">
        <f>IFERROR(__xludf.DUMMYFUNCTION("""COMPUTED_VALUE"""),456.0)</f>
        <v>456</v>
      </c>
      <c r="D4487" s="3">
        <f>IFERROR(__xludf.DUMMYFUNCTION("""COMPUTED_VALUE"""),445.0)</f>
        <v>445</v>
      </c>
      <c r="E4487" s="2"/>
      <c r="F4487" s="2"/>
    </row>
    <row r="4488">
      <c r="A4488" s="2">
        <f>IFERROR(__xludf.DUMMYFUNCTION("""COMPUTED_VALUE"""),122106.0)</f>
        <v>122106</v>
      </c>
      <c r="B4488" s="2">
        <f>IFERROR(__xludf.DUMMYFUNCTION("""COMPUTED_VALUE"""),1.0)</f>
        <v>1</v>
      </c>
      <c r="C4488" s="2">
        <f>IFERROR(__xludf.DUMMYFUNCTION("""COMPUTED_VALUE"""),602.0)</f>
        <v>602</v>
      </c>
      <c r="D4488" s="3">
        <f>IFERROR(__xludf.DUMMYFUNCTION("""COMPUTED_VALUE"""),400.0)</f>
        <v>400</v>
      </c>
      <c r="E4488" s="2"/>
      <c r="F4488" s="2"/>
    </row>
    <row r="4489">
      <c r="A4489" s="2">
        <f>IFERROR(__xludf.DUMMYFUNCTION("""COMPUTED_VALUE"""),69456.0)</f>
        <v>69456</v>
      </c>
      <c r="B4489" s="2">
        <f>IFERROR(__xludf.DUMMYFUNCTION("""COMPUTED_VALUE"""),0.0)</f>
        <v>0</v>
      </c>
      <c r="C4489" s="2">
        <f>IFERROR(__xludf.DUMMYFUNCTION("""COMPUTED_VALUE"""),860.0)</f>
        <v>860</v>
      </c>
      <c r="D4489" s="3">
        <f>IFERROR(__xludf.DUMMYFUNCTION("""COMPUTED_VALUE"""),691.0)</f>
        <v>691</v>
      </c>
      <c r="E4489" s="2"/>
      <c r="F4489" s="2"/>
    </row>
    <row r="4490">
      <c r="A4490" s="2">
        <f>IFERROR(__xludf.DUMMYFUNCTION("""COMPUTED_VALUE"""),118888.0)</f>
        <v>118888</v>
      </c>
      <c r="B4490" s="2">
        <f>IFERROR(__xludf.DUMMYFUNCTION("""COMPUTED_VALUE"""),1.0)</f>
        <v>1</v>
      </c>
      <c r="C4490" s="2">
        <f>IFERROR(__xludf.DUMMYFUNCTION("""COMPUTED_VALUE"""),862.0)</f>
        <v>862</v>
      </c>
      <c r="D4490" s="3">
        <f>IFERROR(__xludf.DUMMYFUNCTION("""COMPUTED_VALUE"""),392.0)</f>
        <v>392</v>
      </c>
      <c r="E4490" s="2"/>
      <c r="F4490" s="2"/>
    </row>
    <row r="4491">
      <c r="A4491" s="2">
        <f>IFERROR(__xludf.DUMMYFUNCTION("""COMPUTED_VALUE"""),69468.0)</f>
        <v>69468</v>
      </c>
      <c r="B4491" s="2">
        <f>IFERROR(__xludf.DUMMYFUNCTION("""COMPUTED_VALUE"""),1.0)</f>
        <v>1</v>
      </c>
      <c r="C4491" s="2">
        <f>IFERROR(__xludf.DUMMYFUNCTION("""COMPUTED_VALUE"""),667.0)</f>
        <v>667</v>
      </c>
      <c r="D4491" s="3">
        <f>IFERROR(__xludf.DUMMYFUNCTION("""COMPUTED_VALUE"""),481.0)</f>
        <v>481</v>
      </c>
      <c r="E4491" s="2"/>
      <c r="F4491" s="2"/>
    </row>
    <row r="4492">
      <c r="A4492" s="2">
        <f>IFERROR(__xludf.DUMMYFUNCTION("""COMPUTED_VALUE"""),117629.0)</f>
        <v>117629</v>
      </c>
      <c r="B4492" s="2">
        <f>IFERROR(__xludf.DUMMYFUNCTION("""COMPUTED_VALUE"""),0.0)</f>
        <v>0</v>
      </c>
      <c r="C4492" s="2">
        <f>IFERROR(__xludf.DUMMYFUNCTION("""COMPUTED_VALUE"""),905.0)</f>
        <v>905</v>
      </c>
      <c r="D4492" s="3">
        <f>IFERROR(__xludf.DUMMYFUNCTION("""COMPUTED_VALUE"""),694.0)</f>
        <v>694</v>
      </c>
      <c r="E4492" s="2"/>
      <c r="F4492" s="2"/>
    </row>
    <row r="4493">
      <c r="A4493" s="2">
        <f>IFERROR(__xludf.DUMMYFUNCTION("""COMPUTED_VALUE"""),121475.0)</f>
        <v>121475</v>
      </c>
      <c r="B4493" s="2">
        <f>IFERROR(__xludf.DUMMYFUNCTION("""COMPUTED_VALUE"""),0.0)</f>
        <v>0</v>
      </c>
      <c r="C4493" s="2">
        <f>IFERROR(__xludf.DUMMYFUNCTION("""COMPUTED_VALUE"""),509.0)</f>
        <v>509</v>
      </c>
      <c r="D4493" s="3">
        <f>IFERROR(__xludf.DUMMYFUNCTION("""COMPUTED_VALUE"""),499.0)</f>
        <v>499</v>
      </c>
      <c r="E4493" s="2"/>
      <c r="F4493" s="2"/>
    </row>
    <row r="4494">
      <c r="A4494" s="2">
        <f>IFERROR(__xludf.DUMMYFUNCTION("""COMPUTED_VALUE"""),80412.0)</f>
        <v>80412</v>
      </c>
      <c r="B4494" s="2">
        <f>IFERROR(__xludf.DUMMYFUNCTION("""COMPUTED_VALUE"""),1.0)</f>
        <v>1</v>
      </c>
      <c r="C4494" s="2">
        <f>IFERROR(__xludf.DUMMYFUNCTION("""COMPUTED_VALUE"""),745.0)</f>
        <v>745</v>
      </c>
      <c r="D4494" s="3">
        <f>IFERROR(__xludf.DUMMYFUNCTION("""COMPUTED_VALUE"""),323.0)</f>
        <v>323</v>
      </c>
      <c r="E4494" s="2"/>
      <c r="F4494" s="2"/>
    </row>
    <row r="4495">
      <c r="A4495" s="2">
        <f>IFERROR(__xludf.DUMMYFUNCTION("""COMPUTED_VALUE"""),122857.0)</f>
        <v>122857</v>
      </c>
      <c r="B4495" s="2">
        <f>IFERROR(__xludf.DUMMYFUNCTION("""COMPUTED_VALUE"""),0.0)</f>
        <v>0</v>
      </c>
      <c r="C4495" s="2">
        <f>IFERROR(__xludf.DUMMYFUNCTION("""COMPUTED_VALUE"""),569.0)</f>
        <v>569</v>
      </c>
      <c r="D4495" s="3">
        <f>IFERROR(__xludf.DUMMYFUNCTION("""COMPUTED_VALUE"""),448.0)</f>
        <v>448</v>
      </c>
      <c r="E4495" s="2"/>
      <c r="F4495" s="2"/>
    </row>
    <row r="4496">
      <c r="A4496" s="2">
        <f>IFERROR(__xludf.DUMMYFUNCTION("""COMPUTED_VALUE"""),115769.0)</f>
        <v>115769</v>
      </c>
      <c r="B4496" s="2">
        <f>IFERROR(__xludf.DUMMYFUNCTION("""COMPUTED_VALUE"""),0.0)</f>
        <v>0</v>
      </c>
      <c r="C4496" s="2">
        <f>IFERROR(__xludf.DUMMYFUNCTION("""COMPUTED_VALUE"""),45.0)</f>
        <v>45</v>
      </c>
      <c r="D4496" s="3">
        <f>IFERROR(__xludf.DUMMYFUNCTION("""COMPUTED_VALUE"""),9.0)</f>
        <v>9</v>
      </c>
      <c r="E4496" s="2"/>
      <c r="F4496" s="2"/>
    </row>
    <row r="4497">
      <c r="A4497" s="2">
        <f>IFERROR(__xludf.DUMMYFUNCTION("""COMPUTED_VALUE"""),115774.0)</f>
        <v>115774</v>
      </c>
      <c r="B4497" s="2">
        <f>IFERROR(__xludf.DUMMYFUNCTION("""COMPUTED_VALUE"""),0.0)</f>
        <v>0</v>
      </c>
      <c r="C4497" s="2">
        <f>IFERROR(__xludf.DUMMYFUNCTION("""COMPUTED_VALUE"""),446.0)</f>
        <v>446</v>
      </c>
      <c r="D4497" s="3">
        <f>IFERROR(__xludf.DUMMYFUNCTION("""COMPUTED_VALUE"""),292.0)</f>
        <v>292</v>
      </c>
      <c r="E4497" s="2"/>
      <c r="F4497" s="2"/>
    </row>
    <row r="4498">
      <c r="A4498" s="2">
        <f>IFERROR(__xludf.DUMMYFUNCTION("""COMPUTED_VALUE"""),118889.0)</f>
        <v>118889</v>
      </c>
      <c r="B4498" s="2">
        <f>IFERROR(__xludf.DUMMYFUNCTION("""COMPUTED_VALUE"""),0.0)</f>
        <v>0</v>
      </c>
      <c r="C4498" s="2">
        <f>IFERROR(__xludf.DUMMYFUNCTION("""COMPUTED_VALUE"""),136.0)</f>
        <v>136</v>
      </c>
      <c r="D4498" s="3">
        <f>IFERROR(__xludf.DUMMYFUNCTION("""COMPUTED_VALUE"""),21.0)</f>
        <v>21</v>
      </c>
      <c r="E4498" s="2"/>
      <c r="F4498" s="2"/>
    </row>
    <row r="4499">
      <c r="A4499" s="2">
        <f>IFERROR(__xludf.DUMMYFUNCTION("""COMPUTED_VALUE"""),115758.0)</f>
        <v>115758</v>
      </c>
      <c r="B4499" s="2">
        <f>IFERROR(__xludf.DUMMYFUNCTION("""COMPUTED_VALUE"""),1.0)</f>
        <v>1</v>
      </c>
      <c r="C4499" s="2">
        <f>IFERROR(__xludf.DUMMYFUNCTION("""COMPUTED_VALUE"""),344.0)</f>
        <v>344</v>
      </c>
      <c r="D4499" s="3">
        <f>IFERROR(__xludf.DUMMYFUNCTION("""COMPUTED_VALUE"""),181.0)</f>
        <v>181</v>
      </c>
      <c r="E4499" s="2"/>
      <c r="F4499" s="2"/>
    </row>
    <row r="4500">
      <c r="A4500" s="2">
        <f>IFERROR(__xludf.DUMMYFUNCTION("""COMPUTED_VALUE"""),115755.0)</f>
        <v>115755</v>
      </c>
      <c r="B4500" s="2">
        <f>IFERROR(__xludf.DUMMYFUNCTION("""COMPUTED_VALUE"""),0.0)</f>
        <v>0</v>
      </c>
      <c r="C4500" s="2">
        <f>IFERROR(__xludf.DUMMYFUNCTION("""COMPUTED_VALUE"""),481.0)</f>
        <v>481</v>
      </c>
      <c r="D4500" s="3">
        <f>IFERROR(__xludf.DUMMYFUNCTION("""COMPUTED_VALUE"""),50.0)</f>
        <v>50</v>
      </c>
      <c r="E4500" s="2"/>
      <c r="F4500" s="2"/>
    </row>
    <row r="4501">
      <c r="A4501" s="2">
        <f>IFERROR(__xludf.DUMMYFUNCTION("""COMPUTED_VALUE"""),114964.0)</f>
        <v>114964</v>
      </c>
      <c r="B4501" s="2">
        <f>IFERROR(__xludf.DUMMYFUNCTION("""COMPUTED_VALUE"""),0.0)</f>
        <v>0</v>
      </c>
      <c r="C4501" s="2">
        <f>IFERROR(__xludf.DUMMYFUNCTION("""COMPUTED_VALUE"""),896.0)</f>
        <v>896</v>
      </c>
      <c r="D4501" s="3">
        <f>IFERROR(__xludf.DUMMYFUNCTION("""COMPUTED_VALUE"""),533.0)</f>
        <v>533</v>
      </c>
      <c r="E4501" s="2"/>
      <c r="F4501" s="2"/>
    </row>
    <row r="4502">
      <c r="A4502" s="2">
        <f>IFERROR(__xludf.DUMMYFUNCTION("""COMPUTED_VALUE"""),87617.0)</f>
        <v>87617</v>
      </c>
      <c r="B4502" s="2">
        <f>IFERROR(__xludf.DUMMYFUNCTION("""COMPUTED_VALUE"""),1.0)</f>
        <v>1</v>
      </c>
      <c r="C4502" s="2">
        <f>IFERROR(__xludf.DUMMYFUNCTION("""COMPUTED_VALUE"""),781.0)</f>
        <v>781</v>
      </c>
      <c r="D4502" s="3">
        <f>IFERROR(__xludf.DUMMYFUNCTION("""COMPUTED_VALUE"""),159.0)</f>
        <v>159</v>
      </c>
      <c r="E4502" s="2"/>
      <c r="F4502" s="2"/>
    </row>
    <row r="4503">
      <c r="A4503" s="2">
        <f>IFERROR(__xludf.DUMMYFUNCTION("""COMPUTED_VALUE"""),118542.0)</f>
        <v>118542</v>
      </c>
      <c r="B4503" s="2">
        <f>IFERROR(__xludf.DUMMYFUNCTION("""COMPUTED_VALUE"""),1.0)</f>
        <v>1</v>
      </c>
      <c r="C4503" s="2">
        <f>IFERROR(__xludf.DUMMYFUNCTION("""COMPUTED_VALUE"""),172.0)</f>
        <v>172</v>
      </c>
      <c r="D4503" s="3">
        <f>IFERROR(__xludf.DUMMYFUNCTION("""COMPUTED_VALUE"""),63.0)</f>
        <v>63</v>
      </c>
      <c r="E4503" s="2"/>
      <c r="F4503" s="2"/>
    </row>
    <row r="4504">
      <c r="A4504" s="2">
        <f>IFERROR(__xludf.DUMMYFUNCTION("""COMPUTED_VALUE"""),122845.0)</f>
        <v>122845</v>
      </c>
      <c r="B4504" s="2">
        <f>IFERROR(__xludf.DUMMYFUNCTION("""COMPUTED_VALUE"""),0.0)</f>
        <v>0</v>
      </c>
      <c r="C4504" s="2">
        <f>IFERROR(__xludf.DUMMYFUNCTION("""COMPUTED_VALUE"""),689.0)</f>
        <v>689</v>
      </c>
      <c r="D4504" s="3">
        <f>IFERROR(__xludf.DUMMYFUNCTION("""COMPUTED_VALUE"""),269.0)</f>
        <v>269</v>
      </c>
      <c r="E4504" s="2"/>
      <c r="F4504" s="2"/>
    </row>
    <row r="4505">
      <c r="A4505" s="2">
        <f>IFERROR(__xludf.DUMMYFUNCTION("""COMPUTED_VALUE"""),114967.0)</f>
        <v>114967</v>
      </c>
      <c r="B4505" s="2">
        <f>IFERROR(__xludf.DUMMYFUNCTION("""COMPUTED_VALUE"""),0.0)</f>
        <v>0</v>
      </c>
      <c r="C4505" s="2">
        <f>IFERROR(__xludf.DUMMYFUNCTION("""COMPUTED_VALUE"""),393.0)</f>
        <v>393</v>
      </c>
      <c r="D4505" s="3">
        <f>IFERROR(__xludf.DUMMYFUNCTION("""COMPUTED_VALUE"""),335.0)</f>
        <v>335</v>
      </c>
      <c r="E4505" s="2"/>
      <c r="F4505" s="2"/>
    </row>
    <row r="4506">
      <c r="A4506" s="2">
        <f>IFERROR(__xludf.DUMMYFUNCTION("""COMPUTED_VALUE"""),121476.0)</f>
        <v>121476</v>
      </c>
      <c r="B4506" s="2">
        <f>IFERROR(__xludf.DUMMYFUNCTION("""COMPUTED_VALUE"""),1.0)</f>
        <v>1</v>
      </c>
      <c r="C4506" s="2">
        <f>IFERROR(__xludf.DUMMYFUNCTION("""COMPUTED_VALUE"""),876.0)</f>
        <v>876</v>
      </c>
      <c r="D4506" s="3">
        <f>IFERROR(__xludf.DUMMYFUNCTION("""COMPUTED_VALUE"""),364.0)</f>
        <v>364</v>
      </c>
      <c r="E4506" s="2"/>
      <c r="F4506" s="2"/>
    </row>
    <row r="4507">
      <c r="A4507" s="2">
        <f>IFERROR(__xludf.DUMMYFUNCTION("""COMPUTED_VALUE"""),120529.0)</f>
        <v>120529</v>
      </c>
      <c r="B4507" s="2">
        <f>IFERROR(__xludf.DUMMYFUNCTION("""COMPUTED_VALUE"""),1.0)</f>
        <v>1</v>
      </c>
      <c r="C4507" s="2">
        <f>IFERROR(__xludf.DUMMYFUNCTION("""COMPUTED_VALUE"""),977.0)</f>
        <v>977</v>
      </c>
      <c r="D4507" s="3">
        <f>IFERROR(__xludf.DUMMYFUNCTION("""COMPUTED_VALUE"""),673.0)</f>
        <v>673</v>
      </c>
      <c r="E4507" s="2"/>
      <c r="F4507" s="2"/>
    </row>
    <row r="4508">
      <c r="A4508" s="2">
        <f>IFERROR(__xludf.DUMMYFUNCTION("""COMPUTED_VALUE"""),120530.0)</f>
        <v>120530</v>
      </c>
      <c r="B4508" s="2">
        <f>IFERROR(__xludf.DUMMYFUNCTION("""COMPUTED_VALUE"""),0.0)</f>
        <v>0</v>
      </c>
      <c r="C4508" s="2">
        <f>IFERROR(__xludf.DUMMYFUNCTION("""COMPUTED_VALUE"""),13.0)</f>
        <v>13</v>
      </c>
      <c r="D4508" s="3">
        <f>IFERROR(__xludf.DUMMYFUNCTION("""COMPUTED_VALUE"""),0.0)</f>
        <v>0</v>
      </c>
      <c r="E4508" s="2"/>
      <c r="F4508" s="2"/>
    </row>
    <row r="4509">
      <c r="A4509" s="2">
        <f>IFERROR(__xludf.DUMMYFUNCTION("""COMPUTED_VALUE"""),117638.0)</f>
        <v>117638</v>
      </c>
      <c r="B4509" s="2">
        <f>IFERROR(__xludf.DUMMYFUNCTION("""COMPUTED_VALUE"""),0.0)</f>
        <v>0</v>
      </c>
      <c r="C4509" s="2">
        <f>IFERROR(__xludf.DUMMYFUNCTION("""COMPUTED_VALUE"""),297.0)</f>
        <v>297</v>
      </c>
      <c r="D4509" s="3">
        <f>IFERROR(__xludf.DUMMYFUNCTION("""COMPUTED_VALUE"""),146.0)</f>
        <v>146</v>
      </c>
      <c r="E4509" s="2"/>
      <c r="F4509" s="2"/>
    </row>
    <row r="4510">
      <c r="A4510" s="2">
        <f>IFERROR(__xludf.DUMMYFUNCTION("""COMPUTED_VALUE"""),108240.0)</f>
        <v>108240</v>
      </c>
      <c r="B4510" s="2">
        <f>IFERROR(__xludf.DUMMYFUNCTION("""COMPUTED_VALUE"""),0.0)</f>
        <v>0</v>
      </c>
      <c r="C4510" s="2">
        <f>IFERROR(__xludf.DUMMYFUNCTION("""COMPUTED_VALUE"""),381.0)</f>
        <v>381</v>
      </c>
      <c r="D4510" s="3">
        <f>IFERROR(__xludf.DUMMYFUNCTION("""COMPUTED_VALUE"""),209.0)</f>
        <v>209</v>
      </c>
      <c r="E4510" s="2"/>
      <c r="F4510" s="2"/>
    </row>
    <row r="4511">
      <c r="A4511" s="2">
        <f>IFERROR(__xludf.DUMMYFUNCTION("""COMPUTED_VALUE"""),88635.0)</f>
        <v>88635</v>
      </c>
      <c r="B4511" s="2">
        <f>IFERROR(__xludf.DUMMYFUNCTION("""COMPUTED_VALUE"""),0.0)</f>
        <v>0</v>
      </c>
      <c r="C4511" s="2">
        <f>IFERROR(__xludf.DUMMYFUNCTION("""COMPUTED_VALUE"""),467.0)</f>
        <v>467</v>
      </c>
      <c r="D4511" s="3">
        <f>IFERROR(__xludf.DUMMYFUNCTION("""COMPUTED_VALUE"""),120.0)</f>
        <v>120</v>
      </c>
      <c r="E4511" s="2"/>
      <c r="F4511" s="2"/>
    </row>
    <row r="4512">
      <c r="A4512" s="2">
        <f>IFERROR(__xludf.DUMMYFUNCTION("""COMPUTED_VALUE"""),69340.0)</f>
        <v>69340</v>
      </c>
      <c r="B4512" s="2">
        <f>IFERROR(__xludf.DUMMYFUNCTION("""COMPUTED_VALUE"""),0.0)</f>
        <v>0</v>
      </c>
      <c r="C4512" s="2">
        <f>IFERROR(__xludf.DUMMYFUNCTION("""COMPUTED_VALUE"""),573.0)</f>
        <v>573</v>
      </c>
      <c r="D4512" s="3">
        <f>IFERROR(__xludf.DUMMYFUNCTION("""COMPUTED_VALUE"""),292.0)</f>
        <v>292</v>
      </c>
      <c r="E4512" s="2"/>
      <c r="F4512" s="2"/>
    </row>
    <row r="4513">
      <c r="A4513" s="2">
        <f>IFERROR(__xludf.DUMMYFUNCTION("""COMPUTED_VALUE"""),199472.0)</f>
        <v>199472</v>
      </c>
      <c r="B4513" s="2">
        <f>IFERROR(__xludf.DUMMYFUNCTION("""COMPUTED_VALUE"""),0.0)</f>
        <v>0</v>
      </c>
      <c r="C4513" s="2">
        <f>IFERROR(__xludf.DUMMYFUNCTION("""COMPUTED_VALUE"""),648.0)</f>
        <v>648</v>
      </c>
      <c r="D4513" s="3">
        <f>IFERROR(__xludf.DUMMYFUNCTION("""COMPUTED_VALUE"""),47.0)</f>
        <v>47</v>
      </c>
      <c r="E4513" s="2"/>
      <c r="F4513" s="2"/>
    </row>
    <row r="4514">
      <c r="A4514" s="2">
        <f>IFERROR(__xludf.DUMMYFUNCTION("""COMPUTED_VALUE"""),117646.0)</f>
        <v>117646</v>
      </c>
      <c r="B4514" s="2">
        <f>IFERROR(__xludf.DUMMYFUNCTION("""COMPUTED_VALUE"""),0.0)</f>
        <v>0</v>
      </c>
      <c r="C4514" s="2">
        <f>IFERROR(__xludf.DUMMYFUNCTION("""COMPUTED_VALUE"""),184.0)</f>
        <v>184</v>
      </c>
      <c r="D4514" s="3">
        <f>IFERROR(__xludf.DUMMYFUNCTION("""COMPUTED_VALUE"""),153.0)</f>
        <v>153</v>
      </c>
      <c r="E4514" s="2"/>
      <c r="F4514" s="2"/>
    </row>
    <row r="4515">
      <c r="A4515" s="2">
        <f>IFERROR(__xludf.DUMMYFUNCTION("""COMPUTED_VALUE"""),84167.0)</f>
        <v>84167</v>
      </c>
      <c r="B4515" s="2">
        <f>IFERROR(__xludf.DUMMYFUNCTION("""COMPUTED_VALUE"""),1.0)</f>
        <v>1</v>
      </c>
      <c r="C4515" s="2">
        <f>IFERROR(__xludf.DUMMYFUNCTION("""COMPUTED_VALUE"""),367.0)</f>
        <v>367</v>
      </c>
      <c r="D4515" s="3">
        <f>IFERROR(__xludf.DUMMYFUNCTION("""COMPUTED_VALUE"""),191.0)</f>
        <v>191</v>
      </c>
      <c r="E4515" s="2"/>
      <c r="F4515" s="2"/>
    </row>
    <row r="4516">
      <c r="A4516" s="2">
        <f>IFERROR(__xludf.DUMMYFUNCTION("""COMPUTED_VALUE"""),81742.0)</f>
        <v>81742</v>
      </c>
      <c r="B4516" s="2">
        <f>IFERROR(__xludf.DUMMYFUNCTION("""COMPUTED_VALUE"""),0.0)</f>
        <v>0</v>
      </c>
      <c r="C4516" s="2">
        <f>IFERROR(__xludf.DUMMYFUNCTION("""COMPUTED_VALUE"""),382.0)</f>
        <v>382</v>
      </c>
      <c r="D4516" s="3">
        <f>IFERROR(__xludf.DUMMYFUNCTION("""COMPUTED_VALUE"""),300.0)</f>
        <v>300</v>
      </c>
      <c r="E4516" s="2"/>
      <c r="F4516" s="2"/>
    </row>
    <row r="4517">
      <c r="A4517" s="2">
        <f>IFERROR(__xludf.DUMMYFUNCTION("""COMPUTED_VALUE"""),115754.0)</f>
        <v>115754</v>
      </c>
      <c r="B4517" s="2">
        <f>IFERROR(__xludf.DUMMYFUNCTION("""COMPUTED_VALUE"""),0.0)</f>
        <v>0</v>
      </c>
      <c r="C4517" s="2">
        <f>IFERROR(__xludf.DUMMYFUNCTION("""COMPUTED_VALUE"""),120.0)</f>
        <v>120</v>
      </c>
      <c r="D4517" s="3">
        <f>IFERROR(__xludf.DUMMYFUNCTION("""COMPUTED_VALUE"""),102.0)</f>
        <v>102</v>
      </c>
      <c r="E4517" s="2"/>
      <c r="F4517" s="2"/>
    </row>
    <row r="4518">
      <c r="A4518" s="2">
        <f>IFERROR(__xludf.DUMMYFUNCTION("""COMPUTED_VALUE"""),69334.0)</f>
        <v>69334</v>
      </c>
      <c r="B4518" s="2">
        <f>IFERROR(__xludf.DUMMYFUNCTION("""COMPUTED_VALUE"""),0.0)</f>
        <v>0</v>
      </c>
      <c r="C4518" s="2">
        <f>IFERROR(__xludf.DUMMYFUNCTION("""COMPUTED_VALUE"""),524.0)</f>
        <v>524</v>
      </c>
      <c r="D4518" s="3">
        <f>IFERROR(__xludf.DUMMYFUNCTION("""COMPUTED_VALUE"""),307.0)</f>
        <v>307</v>
      </c>
      <c r="E4518" s="2"/>
      <c r="F4518" s="2"/>
    </row>
    <row r="4519">
      <c r="A4519" s="2">
        <f>IFERROR(__xludf.DUMMYFUNCTION("""COMPUTED_VALUE"""),117753.0)</f>
        <v>117753</v>
      </c>
      <c r="B4519" s="2">
        <f>IFERROR(__xludf.DUMMYFUNCTION("""COMPUTED_VALUE"""),0.0)</f>
        <v>0</v>
      </c>
      <c r="C4519" s="2">
        <f>IFERROR(__xludf.DUMMYFUNCTION("""COMPUTED_VALUE"""),492.0)</f>
        <v>492</v>
      </c>
      <c r="D4519" s="3">
        <f>IFERROR(__xludf.DUMMYFUNCTION("""COMPUTED_VALUE"""),199.0)</f>
        <v>199</v>
      </c>
      <c r="E4519" s="2"/>
      <c r="F4519" s="2"/>
    </row>
    <row r="4520">
      <c r="A4520" s="2">
        <f>IFERROR(__xludf.DUMMYFUNCTION("""COMPUTED_VALUE"""),129482.0)</f>
        <v>129482</v>
      </c>
      <c r="B4520" s="2">
        <f>IFERROR(__xludf.DUMMYFUNCTION("""COMPUTED_VALUE"""),0.0)</f>
        <v>0</v>
      </c>
      <c r="C4520" s="2">
        <f>IFERROR(__xludf.DUMMYFUNCTION("""COMPUTED_VALUE"""),556.0)</f>
        <v>556</v>
      </c>
      <c r="D4520" s="3">
        <f>IFERROR(__xludf.DUMMYFUNCTION("""COMPUTED_VALUE"""),213.0)</f>
        <v>213</v>
      </c>
      <c r="E4520" s="2"/>
      <c r="F4520" s="2"/>
    </row>
    <row r="4521">
      <c r="A4521" s="2">
        <f>IFERROR(__xludf.DUMMYFUNCTION("""COMPUTED_VALUE"""),117634.0)</f>
        <v>117634</v>
      </c>
      <c r="B4521" s="2">
        <f>IFERROR(__xludf.DUMMYFUNCTION("""COMPUTED_VALUE"""),1.0)</f>
        <v>1</v>
      </c>
      <c r="C4521" s="2">
        <f>IFERROR(__xludf.DUMMYFUNCTION("""COMPUTED_VALUE"""),530.0)</f>
        <v>530</v>
      </c>
      <c r="D4521" s="3">
        <f>IFERROR(__xludf.DUMMYFUNCTION("""COMPUTED_VALUE"""),354.0)</f>
        <v>354</v>
      </c>
      <c r="E4521" s="2"/>
      <c r="F4521" s="2"/>
    </row>
    <row r="4522">
      <c r="A4522" s="2">
        <f>IFERROR(__xludf.DUMMYFUNCTION("""COMPUTED_VALUE"""),111027.0)</f>
        <v>111027</v>
      </c>
      <c r="B4522" s="2">
        <f>IFERROR(__xludf.DUMMYFUNCTION("""COMPUTED_VALUE"""),0.0)</f>
        <v>0</v>
      </c>
      <c r="C4522" s="2">
        <f>IFERROR(__xludf.DUMMYFUNCTION("""COMPUTED_VALUE"""),773.0)</f>
        <v>773</v>
      </c>
      <c r="D4522" s="3">
        <f>IFERROR(__xludf.DUMMYFUNCTION("""COMPUTED_VALUE"""),130.0)</f>
        <v>130</v>
      </c>
      <c r="E4522" s="2"/>
      <c r="F4522" s="2"/>
    </row>
    <row r="4523">
      <c r="A4523" s="2">
        <f>IFERROR(__xludf.DUMMYFUNCTION("""COMPUTED_VALUE"""),115772.0)</f>
        <v>115772</v>
      </c>
      <c r="B4523" s="2">
        <f>IFERROR(__xludf.DUMMYFUNCTION("""COMPUTED_VALUE"""),0.0)</f>
        <v>0</v>
      </c>
      <c r="C4523" s="2">
        <f>IFERROR(__xludf.DUMMYFUNCTION("""COMPUTED_VALUE"""),63.0)</f>
        <v>63</v>
      </c>
      <c r="D4523" s="3">
        <f>IFERROR(__xludf.DUMMYFUNCTION("""COMPUTED_VALUE"""),12.0)</f>
        <v>12</v>
      </c>
      <c r="E4523" s="2"/>
      <c r="F4523" s="2"/>
    </row>
    <row r="4524">
      <c r="A4524" s="2">
        <f>IFERROR(__xludf.DUMMYFUNCTION("""COMPUTED_VALUE"""),115768.0)</f>
        <v>115768</v>
      </c>
      <c r="B4524" s="2">
        <f>IFERROR(__xludf.DUMMYFUNCTION("""COMPUTED_VALUE"""),0.0)</f>
        <v>0</v>
      </c>
      <c r="C4524" s="2">
        <f>IFERROR(__xludf.DUMMYFUNCTION("""COMPUTED_VALUE"""),434.0)</f>
        <v>434</v>
      </c>
      <c r="D4524" s="3">
        <f>IFERROR(__xludf.DUMMYFUNCTION("""COMPUTED_VALUE"""),85.0)</f>
        <v>85</v>
      </c>
      <c r="E4524" s="2"/>
      <c r="F4524" s="2"/>
    </row>
    <row r="4525">
      <c r="A4525" s="2">
        <f>IFERROR(__xludf.DUMMYFUNCTION("""COMPUTED_VALUE"""),69476.0)</f>
        <v>69476</v>
      </c>
      <c r="B4525" s="2">
        <f>IFERROR(__xludf.DUMMYFUNCTION("""COMPUTED_VALUE"""),1.0)</f>
        <v>1</v>
      </c>
      <c r="C4525" s="2">
        <f>IFERROR(__xludf.DUMMYFUNCTION("""COMPUTED_VALUE"""),250.0)</f>
        <v>250</v>
      </c>
      <c r="D4525" s="3">
        <f>IFERROR(__xludf.DUMMYFUNCTION("""COMPUTED_VALUE"""),129.0)</f>
        <v>129</v>
      </c>
      <c r="E4525" s="2"/>
      <c r="F4525" s="2"/>
    </row>
    <row r="4526">
      <c r="A4526" s="2">
        <f>IFERROR(__xludf.DUMMYFUNCTION("""COMPUTED_VALUE"""),122118.0)</f>
        <v>122118</v>
      </c>
      <c r="B4526" s="2">
        <f>IFERROR(__xludf.DUMMYFUNCTION("""COMPUTED_VALUE"""),0.0)</f>
        <v>0</v>
      </c>
      <c r="C4526" s="2">
        <f>IFERROR(__xludf.DUMMYFUNCTION("""COMPUTED_VALUE"""),452.0)</f>
        <v>452</v>
      </c>
      <c r="D4526" s="3">
        <f>IFERROR(__xludf.DUMMYFUNCTION("""COMPUTED_VALUE"""),302.0)</f>
        <v>302</v>
      </c>
      <c r="E4526" s="2"/>
      <c r="F4526" s="2"/>
    </row>
    <row r="4527">
      <c r="A4527" s="2">
        <f>IFERROR(__xludf.DUMMYFUNCTION("""COMPUTED_VALUE"""),87447.0)</f>
        <v>87447</v>
      </c>
      <c r="B4527" s="2">
        <f>IFERROR(__xludf.DUMMYFUNCTION("""COMPUTED_VALUE"""),1.0)</f>
        <v>1</v>
      </c>
      <c r="C4527" s="2">
        <f>IFERROR(__xludf.DUMMYFUNCTION("""COMPUTED_VALUE"""),927.0)</f>
        <v>927</v>
      </c>
      <c r="D4527" s="3">
        <f>IFERROR(__xludf.DUMMYFUNCTION("""COMPUTED_VALUE"""),200.0)</f>
        <v>200</v>
      </c>
      <c r="E4527" s="2"/>
      <c r="F4527" s="2"/>
    </row>
    <row r="4528">
      <c r="A4528" s="2">
        <f>IFERROR(__xludf.DUMMYFUNCTION("""COMPUTED_VALUE"""),129480.0)</f>
        <v>129480</v>
      </c>
      <c r="B4528" s="2">
        <f>IFERROR(__xludf.DUMMYFUNCTION("""COMPUTED_VALUE"""),1.0)</f>
        <v>1</v>
      </c>
      <c r="C4528" s="2">
        <f>IFERROR(__xludf.DUMMYFUNCTION("""COMPUTED_VALUE"""),389.0)</f>
        <v>389</v>
      </c>
      <c r="D4528" s="3">
        <f>IFERROR(__xludf.DUMMYFUNCTION("""COMPUTED_VALUE"""),179.0)</f>
        <v>179</v>
      </c>
      <c r="E4528" s="2"/>
      <c r="F4528" s="2"/>
    </row>
    <row r="4529">
      <c r="A4529" s="2">
        <f>IFERROR(__xludf.DUMMYFUNCTION("""COMPUTED_VALUE"""),84164.0)</f>
        <v>84164</v>
      </c>
      <c r="B4529" s="2">
        <f>IFERROR(__xludf.DUMMYFUNCTION("""COMPUTED_VALUE"""),1.0)</f>
        <v>1</v>
      </c>
      <c r="C4529" s="2">
        <f>IFERROR(__xludf.DUMMYFUNCTION("""COMPUTED_VALUE"""),58.0)</f>
        <v>58</v>
      </c>
      <c r="D4529" s="3">
        <f>IFERROR(__xludf.DUMMYFUNCTION("""COMPUTED_VALUE"""),22.0)</f>
        <v>22</v>
      </c>
      <c r="E4529" s="2"/>
      <c r="F4529" s="2"/>
    </row>
    <row r="4530">
      <c r="A4530" s="2">
        <f>IFERROR(__xludf.DUMMYFUNCTION("""COMPUTED_VALUE"""),69338.0)</f>
        <v>69338</v>
      </c>
      <c r="B4530" s="2">
        <f>IFERROR(__xludf.DUMMYFUNCTION("""COMPUTED_VALUE"""),0.0)</f>
        <v>0</v>
      </c>
      <c r="C4530" s="2">
        <f>IFERROR(__xludf.DUMMYFUNCTION("""COMPUTED_VALUE"""),746.0)</f>
        <v>746</v>
      </c>
      <c r="D4530" s="3">
        <f>IFERROR(__xludf.DUMMYFUNCTION("""COMPUTED_VALUE"""),19.0)</f>
        <v>19</v>
      </c>
      <c r="E4530" s="2"/>
      <c r="F4530" s="2"/>
    </row>
    <row r="4531">
      <c r="A4531" s="2">
        <f>IFERROR(__xludf.DUMMYFUNCTION("""COMPUTED_VALUE"""),120531.0)</f>
        <v>120531</v>
      </c>
      <c r="B4531" s="2">
        <f>IFERROR(__xludf.DUMMYFUNCTION("""COMPUTED_VALUE"""),1.0)</f>
        <v>1</v>
      </c>
      <c r="C4531" s="2">
        <f>IFERROR(__xludf.DUMMYFUNCTION("""COMPUTED_VALUE"""),10.0)</f>
        <v>10</v>
      </c>
      <c r="D4531" s="3">
        <f>IFERROR(__xludf.DUMMYFUNCTION("""COMPUTED_VALUE"""),7.0)</f>
        <v>7</v>
      </c>
      <c r="E4531" s="2"/>
      <c r="F4531" s="2"/>
    </row>
    <row r="4532">
      <c r="A4532" s="2">
        <f>IFERROR(__xludf.DUMMYFUNCTION("""COMPUTED_VALUE"""),120524.0)</f>
        <v>120524</v>
      </c>
      <c r="B4532" s="2">
        <f>IFERROR(__xludf.DUMMYFUNCTION("""COMPUTED_VALUE"""),1.0)</f>
        <v>1</v>
      </c>
      <c r="C4532" s="2">
        <f>IFERROR(__xludf.DUMMYFUNCTION("""COMPUTED_VALUE"""),320.0)</f>
        <v>320</v>
      </c>
      <c r="D4532" s="3">
        <f>IFERROR(__xludf.DUMMYFUNCTION("""COMPUTED_VALUE"""),319.0)</f>
        <v>319</v>
      </c>
      <c r="E4532" s="2"/>
      <c r="F4532" s="2"/>
    </row>
    <row r="4533">
      <c r="A4533" s="2">
        <f>IFERROR(__xludf.DUMMYFUNCTION("""COMPUTED_VALUE"""),117631.0)</f>
        <v>117631</v>
      </c>
      <c r="B4533" s="2">
        <f>IFERROR(__xludf.DUMMYFUNCTION("""COMPUTED_VALUE"""),1.0)</f>
        <v>1</v>
      </c>
      <c r="C4533" s="2">
        <f>IFERROR(__xludf.DUMMYFUNCTION("""COMPUTED_VALUE"""),169.0)</f>
        <v>169</v>
      </c>
      <c r="D4533" s="3">
        <f>IFERROR(__xludf.DUMMYFUNCTION("""COMPUTED_VALUE"""),152.0)</f>
        <v>152</v>
      </c>
      <c r="E4533" s="2"/>
      <c r="F4533" s="2"/>
    </row>
    <row r="4534">
      <c r="A4534" s="2">
        <f>IFERROR(__xludf.DUMMYFUNCTION("""COMPUTED_VALUE"""),115757.0)</f>
        <v>115757</v>
      </c>
      <c r="B4534" s="2">
        <f>IFERROR(__xludf.DUMMYFUNCTION("""COMPUTED_VALUE"""),0.0)</f>
        <v>0</v>
      </c>
      <c r="C4534" s="2">
        <f>IFERROR(__xludf.DUMMYFUNCTION("""COMPUTED_VALUE"""),211.0)</f>
        <v>211</v>
      </c>
      <c r="D4534" s="3">
        <f>IFERROR(__xludf.DUMMYFUNCTION("""COMPUTED_VALUE"""),180.0)</f>
        <v>180</v>
      </c>
      <c r="E4534" s="2"/>
      <c r="F4534" s="2"/>
    </row>
    <row r="4535">
      <c r="A4535" s="2">
        <f>IFERROR(__xludf.DUMMYFUNCTION("""COMPUTED_VALUE"""),42243.0)</f>
        <v>42243</v>
      </c>
      <c r="B4535" s="2">
        <f>IFERROR(__xludf.DUMMYFUNCTION("""COMPUTED_VALUE"""),0.0)</f>
        <v>0</v>
      </c>
      <c r="C4535" s="2">
        <f>IFERROR(__xludf.DUMMYFUNCTION("""COMPUTED_VALUE"""),933.0)</f>
        <v>933</v>
      </c>
      <c r="D4535" s="3">
        <f>IFERROR(__xludf.DUMMYFUNCTION("""COMPUTED_VALUE"""),287.0)</f>
        <v>287</v>
      </c>
      <c r="E4535" s="2"/>
      <c r="F4535" s="2"/>
    </row>
    <row r="4536">
      <c r="A4536" s="2">
        <f>IFERROR(__xludf.DUMMYFUNCTION("""COMPUTED_VALUE"""),115761.0)</f>
        <v>115761</v>
      </c>
      <c r="B4536" s="2">
        <f>IFERROR(__xludf.DUMMYFUNCTION("""COMPUTED_VALUE"""),0.0)</f>
        <v>0</v>
      </c>
      <c r="C4536" s="2">
        <f>IFERROR(__xludf.DUMMYFUNCTION("""COMPUTED_VALUE"""),494.0)</f>
        <v>494</v>
      </c>
      <c r="D4536" s="3">
        <f>IFERROR(__xludf.DUMMYFUNCTION("""COMPUTED_VALUE"""),480.0)</f>
        <v>480</v>
      </c>
      <c r="E4536" s="2"/>
      <c r="F4536" s="2"/>
    </row>
    <row r="4537">
      <c r="A4537" s="2">
        <f>IFERROR(__xludf.DUMMYFUNCTION("""COMPUTED_VALUE"""),113960.0)</f>
        <v>113960</v>
      </c>
      <c r="B4537" s="2">
        <f>IFERROR(__xludf.DUMMYFUNCTION("""COMPUTED_VALUE"""),0.0)</f>
        <v>0</v>
      </c>
      <c r="C4537" s="2">
        <f>IFERROR(__xludf.DUMMYFUNCTION("""COMPUTED_VALUE"""),304.0)</f>
        <v>304</v>
      </c>
      <c r="D4537" s="3">
        <f>IFERROR(__xludf.DUMMYFUNCTION("""COMPUTED_VALUE"""),259.0)</f>
        <v>259</v>
      </c>
      <c r="E4537" s="2"/>
      <c r="F4537" s="2"/>
    </row>
    <row r="4538">
      <c r="A4538" s="2">
        <f>IFERROR(__xludf.DUMMYFUNCTION("""COMPUTED_VALUE"""),42241.0)</f>
        <v>42241</v>
      </c>
      <c r="B4538" s="2">
        <f>IFERROR(__xludf.DUMMYFUNCTION("""COMPUTED_VALUE"""),1.0)</f>
        <v>1</v>
      </c>
      <c r="C4538" s="2">
        <f>IFERROR(__xludf.DUMMYFUNCTION("""COMPUTED_VALUE"""),756.0)</f>
        <v>756</v>
      </c>
      <c r="D4538" s="3">
        <f>IFERROR(__xludf.DUMMYFUNCTION("""COMPUTED_VALUE"""),570.0)</f>
        <v>570</v>
      </c>
      <c r="E4538" s="2"/>
      <c r="F4538" s="2"/>
    </row>
    <row r="4539">
      <c r="A4539" s="2">
        <f>IFERROR(__xludf.DUMMYFUNCTION("""COMPUTED_VALUE"""),115770.0)</f>
        <v>115770</v>
      </c>
      <c r="B4539" s="2">
        <f>IFERROR(__xludf.DUMMYFUNCTION("""COMPUTED_VALUE"""),0.0)</f>
        <v>0</v>
      </c>
      <c r="C4539" s="2">
        <f>IFERROR(__xludf.DUMMYFUNCTION("""COMPUTED_VALUE"""),11.0)</f>
        <v>11</v>
      </c>
      <c r="D4539" s="3">
        <f>IFERROR(__xludf.DUMMYFUNCTION("""COMPUTED_VALUE"""),6.0)</f>
        <v>6</v>
      </c>
      <c r="E4539" s="2"/>
      <c r="F4539" s="2"/>
    </row>
    <row r="4540">
      <c r="A4540" s="2">
        <f>IFERROR(__xludf.DUMMYFUNCTION("""COMPUTED_VALUE"""),118541.0)</f>
        <v>118541</v>
      </c>
      <c r="B4540" s="2">
        <f>IFERROR(__xludf.DUMMYFUNCTION("""COMPUTED_VALUE"""),0.0)</f>
        <v>0</v>
      </c>
      <c r="C4540" s="2">
        <f>IFERROR(__xludf.DUMMYFUNCTION("""COMPUTED_VALUE"""),462.0)</f>
        <v>462</v>
      </c>
      <c r="D4540" s="3">
        <f>IFERROR(__xludf.DUMMYFUNCTION("""COMPUTED_VALUE"""),317.0)</f>
        <v>317</v>
      </c>
      <c r="E4540" s="2"/>
      <c r="F4540" s="2"/>
    </row>
    <row r="4541">
      <c r="A4541" s="2">
        <f>IFERROR(__xludf.DUMMYFUNCTION("""COMPUTED_VALUE"""),115750.0)</f>
        <v>115750</v>
      </c>
      <c r="B4541" s="2">
        <f>IFERROR(__xludf.DUMMYFUNCTION("""COMPUTED_VALUE"""),1.0)</f>
        <v>1</v>
      </c>
      <c r="C4541" s="2">
        <f>IFERROR(__xludf.DUMMYFUNCTION("""COMPUTED_VALUE"""),170.0)</f>
        <v>170</v>
      </c>
      <c r="D4541" s="3">
        <f>IFERROR(__xludf.DUMMYFUNCTION("""COMPUTED_VALUE"""),32.0)</f>
        <v>32</v>
      </c>
      <c r="E4541" s="2"/>
      <c r="F4541" s="2"/>
    </row>
    <row r="4542">
      <c r="A4542" s="2">
        <f>IFERROR(__xludf.DUMMYFUNCTION("""COMPUTED_VALUE"""),99969.0)</f>
        <v>99969</v>
      </c>
      <c r="B4542" s="2">
        <f>IFERROR(__xludf.DUMMYFUNCTION("""COMPUTED_VALUE"""),1.0)</f>
        <v>1</v>
      </c>
      <c r="C4542" s="2">
        <f>IFERROR(__xludf.DUMMYFUNCTION("""COMPUTED_VALUE"""),185.0)</f>
        <v>185</v>
      </c>
      <c r="D4542" s="3">
        <f>IFERROR(__xludf.DUMMYFUNCTION("""COMPUTED_VALUE"""),157.0)</f>
        <v>157</v>
      </c>
      <c r="E4542" s="2"/>
      <c r="F4542" s="2"/>
    </row>
    <row r="4543">
      <c r="A4543" s="2">
        <f>IFERROR(__xludf.DUMMYFUNCTION("""COMPUTED_VALUE"""),129483.0)</f>
        <v>129483</v>
      </c>
      <c r="B4543" s="2">
        <f>IFERROR(__xludf.DUMMYFUNCTION("""COMPUTED_VALUE"""),1.0)</f>
        <v>1</v>
      </c>
      <c r="C4543" s="2">
        <f>IFERROR(__xludf.DUMMYFUNCTION("""COMPUTED_VALUE"""),196.0)</f>
        <v>196</v>
      </c>
      <c r="D4543" s="3">
        <f>IFERROR(__xludf.DUMMYFUNCTION("""COMPUTED_VALUE"""),151.0)</f>
        <v>151</v>
      </c>
      <c r="E4543" s="2"/>
      <c r="F4543" s="2"/>
    </row>
    <row r="4544">
      <c r="A4544" s="2">
        <f>IFERROR(__xludf.DUMMYFUNCTION("""COMPUTED_VALUE"""),42255.0)</f>
        <v>42255</v>
      </c>
      <c r="B4544" s="2">
        <f>IFERROR(__xludf.DUMMYFUNCTION("""COMPUTED_VALUE"""),0.0)</f>
        <v>0</v>
      </c>
      <c r="C4544" s="2">
        <f>IFERROR(__xludf.DUMMYFUNCTION("""COMPUTED_VALUE"""),594.0)</f>
        <v>594</v>
      </c>
      <c r="D4544" s="3">
        <f>IFERROR(__xludf.DUMMYFUNCTION("""COMPUTED_VALUE"""),115.0)</f>
        <v>115</v>
      </c>
      <c r="E4544" s="2"/>
      <c r="F4544" s="2"/>
    </row>
    <row r="4545">
      <c r="A4545" s="2">
        <f>IFERROR(__xludf.DUMMYFUNCTION("""COMPUTED_VALUE"""),100235.0)</f>
        <v>100235</v>
      </c>
      <c r="B4545" s="2">
        <f>IFERROR(__xludf.DUMMYFUNCTION("""COMPUTED_VALUE"""),0.0)</f>
        <v>0</v>
      </c>
      <c r="C4545" s="2">
        <f>IFERROR(__xludf.DUMMYFUNCTION("""COMPUTED_VALUE"""),595.0)</f>
        <v>595</v>
      </c>
      <c r="D4545" s="3">
        <f>IFERROR(__xludf.DUMMYFUNCTION("""COMPUTED_VALUE"""),294.0)</f>
        <v>294</v>
      </c>
      <c r="E4545" s="2"/>
      <c r="F4545" s="2"/>
    </row>
    <row r="4546">
      <c r="A4546" s="2">
        <f>IFERROR(__xludf.DUMMYFUNCTION("""COMPUTED_VALUE"""),129481.0)</f>
        <v>129481</v>
      </c>
      <c r="B4546" s="2">
        <f>IFERROR(__xludf.DUMMYFUNCTION("""COMPUTED_VALUE"""),0.0)</f>
        <v>0</v>
      </c>
      <c r="C4546" s="2">
        <f>IFERROR(__xludf.DUMMYFUNCTION("""COMPUTED_VALUE"""),970.0)</f>
        <v>970</v>
      </c>
      <c r="D4546" s="3">
        <f>IFERROR(__xludf.DUMMYFUNCTION("""COMPUTED_VALUE"""),2.0)</f>
        <v>2</v>
      </c>
      <c r="E4546" s="2"/>
      <c r="F4546" s="2"/>
    </row>
    <row r="4547">
      <c r="A4547" s="2">
        <f>IFERROR(__xludf.DUMMYFUNCTION("""COMPUTED_VALUE"""),87455.0)</f>
        <v>87455</v>
      </c>
      <c r="B4547" s="2">
        <f>IFERROR(__xludf.DUMMYFUNCTION("""COMPUTED_VALUE"""),0.0)</f>
        <v>0</v>
      </c>
      <c r="C4547" s="2">
        <f>IFERROR(__xludf.DUMMYFUNCTION("""COMPUTED_VALUE"""),38.0)</f>
        <v>38</v>
      </c>
      <c r="D4547" s="3">
        <f>IFERROR(__xludf.DUMMYFUNCTION("""COMPUTED_VALUE"""),35.0)</f>
        <v>35</v>
      </c>
      <c r="E4547" s="2"/>
      <c r="F4547" s="2"/>
    </row>
    <row r="4548">
      <c r="A4548" s="2">
        <f>IFERROR(__xludf.DUMMYFUNCTION("""COMPUTED_VALUE"""),120257.0)</f>
        <v>120257</v>
      </c>
      <c r="B4548" s="2">
        <f>IFERROR(__xludf.DUMMYFUNCTION("""COMPUTED_VALUE"""),1.0)</f>
        <v>1</v>
      </c>
      <c r="C4548" s="2">
        <f>IFERROR(__xludf.DUMMYFUNCTION("""COMPUTED_VALUE"""),369.0)</f>
        <v>369</v>
      </c>
      <c r="D4548" s="3">
        <f>IFERROR(__xludf.DUMMYFUNCTION("""COMPUTED_VALUE"""),162.0)</f>
        <v>162</v>
      </c>
      <c r="E4548" s="2"/>
      <c r="F4548" s="2"/>
    </row>
    <row r="4549">
      <c r="A4549" s="2">
        <f>IFERROR(__xludf.DUMMYFUNCTION("""COMPUTED_VALUE"""),122221.0)</f>
        <v>122221</v>
      </c>
      <c r="B4549" s="2">
        <f>IFERROR(__xludf.DUMMYFUNCTION("""COMPUTED_VALUE"""),0.0)</f>
        <v>0</v>
      </c>
      <c r="C4549" s="2">
        <f>IFERROR(__xludf.DUMMYFUNCTION("""COMPUTED_VALUE"""),467.0)</f>
        <v>467</v>
      </c>
      <c r="D4549" s="3">
        <f>IFERROR(__xludf.DUMMYFUNCTION("""COMPUTED_VALUE"""),190.0)</f>
        <v>190</v>
      </c>
      <c r="E4549" s="2"/>
      <c r="F4549" s="2"/>
    </row>
    <row r="4550">
      <c r="A4550" s="2">
        <f>IFERROR(__xludf.DUMMYFUNCTION("""COMPUTED_VALUE"""),122216.0)</f>
        <v>122216</v>
      </c>
      <c r="B4550" s="2">
        <f>IFERROR(__xludf.DUMMYFUNCTION("""COMPUTED_VALUE"""),0.0)</f>
        <v>0</v>
      </c>
      <c r="C4550" s="2">
        <f>IFERROR(__xludf.DUMMYFUNCTION("""COMPUTED_VALUE"""),955.0)</f>
        <v>955</v>
      </c>
      <c r="D4550" s="3">
        <f>IFERROR(__xludf.DUMMYFUNCTION("""COMPUTED_VALUE"""),548.0)</f>
        <v>548</v>
      </c>
      <c r="E4550" s="2"/>
      <c r="F4550" s="2"/>
    </row>
    <row r="4551">
      <c r="A4551" s="2">
        <f>IFERROR(__xludf.DUMMYFUNCTION("""COMPUTED_VALUE"""),140598.0)</f>
        <v>140598</v>
      </c>
      <c r="B4551" s="2">
        <f>IFERROR(__xludf.DUMMYFUNCTION("""COMPUTED_VALUE"""),0.0)</f>
        <v>0</v>
      </c>
      <c r="C4551" s="2">
        <f>IFERROR(__xludf.DUMMYFUNCTION("""COMPUTED_VALUE"""),454.0)</f>
        <v>454</v>
      </c>
      <c r="D4551" s="3">
        <f>IFERROR(__xludf.DUMMYFUNCTION("""COMPUTED_VALUE"""),435.0)</f>
        <v>435</v>
      </c>
      <c r="E4551" s="2"/>
      <c r="F4551" s="2"/>
    </row>
    <row r="4552">
      <c r="A4552" s="2">
        <f>IFERROR(__xludf.DUMMYFUNCTION("""COMPUTED_VALUE"""),112123.0)</f>
        <v>112123</v>
      </c>
      <c r="B4552" s="2">
        <f>IFERROR(__xludf.DUMMYFUNCTION("""COMPUTED_VALUE"""),0.0)</f>
        <v>0</v>
      </c>
      <c r="C4552" s="2">
        <f>IFERROR(__xludf.DUMMYFUNCTION("""COMPUTED_VALUE"""),172.0)</f>
        <v>172</v>
      </c>
      <c r="D4552" s="3">
        <f>IFERROR(__xludf.DUMMYFUNCTION("""COMPUTED_VALUE"""),26.0)</f>
        <v>26</v>
      </c>
      <c r="E4552" s="2"/>
      <c r="F4552" s="2"/>
    </row>
    <row r="4553">
      <c r="A4553" s="2">
        <f>IFERROR(__xludf.DUMMYFUNCTION("""COMPUTED_VALUE"""),70402.0)</f>
        <v>70402</v>
      </c>
      <c r="B4553" s="2">
        <f>IFERROR(__xludf.DUMMYFUNCTION("""COMPUTED_VALUE"""),1.0)</f>
        <v>1</v>
      </c>
      <c r="C4553" s="2">
        <f>IFERROR(__xludf.DUMMYFUNCTION("""COMPUTED_VALUE"""),797.0)</f>
        <v>797</v>
      </c>
      <c r="D4553" s="3">
        <f>IFERROR(__xludf.DUMMYFUNCTION("""COMPUTED_VALUE"""),522.0)</f>
        <v>522</v>
      </c>
      <c r="E4553" s="2"/>
      <c r="F4553" s="2"/>
    </row>
    <row r="4554">
      <c r="A4554" s="2">
        <f>IFERROR(__xludf.DUMMYFUNCTION("""COMPUTED_VALUE"""),119110.0)</f>
        <v>119110</v>
      </c>
      <c r="B4554" s="2">
        <f>IFERROR(__xludf.DUMMYFUNCTION("""COMPUTED_VALUE"""),1.0)</f>
        <v>1</v>
      </c>
      <c r="C4554" s="2">
        <f>IFERROR(__xludf.DUMMYFUNCTION("""COMPUTED_VALUE"""),802.0)</f>
        <v>802</v>
      </c>
      <c r="D4554" s="3">
        <f>IFERROR(__xludf.DUMMYFUNCTION("""COMPUTED_VALUE"""),439.0)</f>
        <v>439</v>
      </c>
      <c r="E4554" s="2"/>
      <c r="F4554" s="2"/>
    </row>
    <row r="4555">
      <c r="A4555" s="2">
        <f>IFERROR(__xludf.DUMMYFUNCTION("""COMPUTED_VALUE"""),139295.0)</f>
        <v>139295</v>
      </c>
      <c r="B4555" s="2">
        <f>IFERROR(__xludf.DUMMYFUNCTION("""COMPUTED_VALUE"""),1.0)</f>
        <v>1</v>
      </c>
      <c r="C4555" s="2">
        <f>IFERROR(__xludf.DUMMYFUNCTION("""COMPUTED_VALUE"""),658.0)</f>
        <v>658</v>
      </c>
      <c r="D4555" s="3">
        <f>IFERROR(__xludf.DUMMYFUNCTION("""COMPUTED_VALUE"""),201.0)</f>
        <v>201</v>
      </c>
      <c r="E4555" s="2"/>
      <c r="F4555" s="2"/>
    </row>
    <row r="4556">
      <c r="A4556" s="2">
        <f>IFERROR(__xludf.DUMMYFUNCTION("""COMPUTED_VALUE"""),71056.0)</f>
        <v>71056</v>
      </c>
      <c r="B4556" s="2">
        <f>IFERROR(__xludf.DUMMYFUNCTION("""COMPUTED_VALUE"""),0.0)</f>
        <v>0</v>
      </c>
      <c r="C4556" s="2">
        <f>IFERROR(__xludf.DUMMYFUNCTION("""COMPUTED_VALUE"""),466.0)</f>
        <v>466</v>
      </c>
      <c r="D4556" s="3">
        <f>IFERROR(__xludf.DUMMYFUNCTION("""COMPUTED_VALUE"""),8.0)</f>
        <v>8</v>
      </c>
      <c r="E4556" s="2"/>
      <c r="F4556" s="2"/>
    </row>
    <row r="4557">
      <c r="A4557" s="2">
        <f>IFERROR(__xludf.DUMMYFUNCTION("""COMPUTED_VALUE"""),122218.0)</f>
        <v>122218</v>
      </c>
      <c r="B4557" s="2">
        <f>IFERROR(__xludf.DUMMYFUNCTION("""COMPUTED_VALUE"""),0.0)</f>
        <v>0</v>
      </c>
      <c r="C4557" s="2">
        <f>IFERROR(__xludf.DUMMYFUNCTION("""COMPUTED_VALUE"""),151.0)</f>
        <v>151</v>
      </c>
      <c r="D4557" s="3">
        <f>IFERROR(__xludf.DUMMYFUNCTION("""COMPUTED_VALUE"""),66.0)</f>
        <v>66</v>
      </c>
      <c r="E4557" s="2"/>
      <c r="F4557" s="2"/>
    </row>
    <row r="4558">
      <c r="A4558" s="2">
        <f>IFERROR(__xludf.DUMMYFUNCTION("""COMPUTED_VALUE"""),122217.0)</f>
        <v>122217</v>
      </c>
      <c r="B4558" s="2">
        <f>IFERROR(__xludf.DUMMYFUNCTION("""COMPUTED_VALUE"""),0.0)</f>
        <v>0</v>
      </c>
      <c r="C4558" s="2">
        <f>IFERROR(__xludf.DUMMYFUNCTION("""COMPUTED_VALUE"""),737.0)</f>
        <v>737</v>
      </c>
      <c r="D4558" s="3">
        <f>IFERROR(__xludf.DUMMYFUNCTION("""COMPUTED_VALUE"""),365.0)</f>
        <v>365</v>
      </c>
      <c r="E4558" s="2"/>
      <c r="F4558" s="2"/>
    </row>
    <row r="4559">
      <c r="A4559" s="2">
        <f>IFERROR(__xludf.DUMMYFUNCTION("""COMPUTED_VALUE"""),119119.0)</f>
        <v>119119</v>
      </c>
      <c r="B4559" s="2">
        <f>IFERROR(__xludf.DUMMYFUNCTION("""COMPUTED_VALUE"""),0.0)</f>
        <v>0</v>
      </c>
      <c r="C4559" s="2">
        <f>IFERROR(__xludf.DUMMYFUNCTION("""COMPUTED_VALUE"""),27.0)</f>
        <v>27</v>
      </c>
      <c r="D4559" s="3">
        <f>IFERROR(__xludf.DUMMYFUNCTION("""COMPUTED_VALUE"""),4.0)</f>
        <v>4</v>
      </c>
      <c r="E4559" s="2"/>
      <c r="F4559" s="2"/>
    </row>
    <row r="4560">
      <c r="A4560" s="2">
        <f>IFERROR(__xludf.DUMMYFUNCTION("""COMPUTED_VALUE"""),46933.0)</f>
        <v>46933</v>
      </c>
      <c r="B4560" s="2">
        <f>IFERROR(__xludf.DUMMYFUNCTION("""COMPUTED_VALUE"""),0.0)</f>
        <v>0</v>
      </c>
      <c r="C4560" s="2">
        <f>IFERROR(__xludf.DUMMYFUNCTION("""COMPUTED_VALUE"""),855.0)</f>
        <v>855</v>
      </c>
      <c r="D4560" s="3">
        <f>IFERROR(__xludf.DUMMYFUNCTION("""COMPUTED_VALUE"""),297.0)</f>
        <v>297</v>
      </c>
      <c r="E4560" s="2"/>
      <c r="F4560" s="2"/>
    </row>
    <row r="4561">
      <c r="A4561" s="2">
        <f>IFERROR(__xludf.DUMMYFUNCTION("""COMPUTED_VALUE"""),119118.0)</f>
        <v>119118</v>
      </c>
      <c r="B4561" s="2">
        <f>IFERROR(__xludf.DUMMYFUNCTION("""COMPUTED_VALUE"""),1.0)</f>
        <v>1</v>
      </c>
      <c r="C4561" s="2">
        <f>IFERROR(__xludf.DUMMYFUNCTION("""COMPUTED_VALUE"""),348.0)</f>
        <v>348</v>
      </c>
      <c r="D4561" s="3">
        <f>IFERROR(__xludf.DUMMYFUNCTION("""COMPUTED_VALUE"""),43.0)</f>
        <v>43</v>
      </c>
      <c r="E4561" s="2"/>
      <c r="F4561" s="2"/>
    </row>
    <row r="4562">
      <c r="A4562" s="2">
        <f>IFERROR(__xludf.DUMMYFUNCTION("""COMPUTED_VALUE"""),41035.0)</f>
        <v>41035</v>
      </c>
      <c r="B4562" s="2">
        <f>IFERROR(__xludf.DUMMYFUNCTION("""COMPUTED_VALUE"""),1.0)</f>
        <v>1</v>
      </c>
      <c r="C4562" s="2">
        <f>IFERROR(__xludf.DUMMYFUNCTION("""COMPUTED_VALUE"""),561.0)</f>
        <v>561</v>
      </c>
      <c r="D4562" s="3">
        <f>IFERROR(__xludf.DUMMYFUNCTION("""COMPUTED_VALUE"""),167.0)</f>
        <v>167</v>
      </c>
      <c r="E4562" s="2"/>
      <c r="F4562" s="2"/>
    </row>
    <row r="4563">
      <c r="A4563" s="2">
        <f>IFERROR(__xludf.DUMMYFUNCTION("""COMPUTED_VALUE"""),139303.0)</f>
        <v>139303</v>
      </c>
      <c r="B4563" s="2">
        <f>IFERROR(__xludf.DUMMYFUNCTION("""COMPUTED_VALUE"""),1.0)</f>
        <v>1</v>
      </c>
      <c r="C4563" s="2">
        <f>IFERROR(__xludf.DUMMYFUNCTION("""COMPUTED_VALUE"""),535.0)</f>
        <v>535</v>
      </c>
      <c r="D4563" s="3">
        <f>IFERROR(__xludf.DUMMYFUNCTION("""COMPUTED_VALUE"""),101.0)</f>
        <v>101</v>
      </c>
      <c r="E4563" s="2"/>
      <c r="F4563" s="2"/>
    </row>
    <row r="4564">
      <c r="A4564" s="2">
        <f>IFERROR(__xludf.DUMMYFUNCTION("""COMPUTED_VALUE"""),101784.0)</f>
        <v>101784</v>
      </c>
      <c r="B4564" s="2">
        <f>IFERROR(__xludf.DUMMYFUNCTION("""COMPUTED_VALUE"""),0.0)</f>
        <v>0</v>
      </c>
      <c r="C4564" s="2">
        <f>IFERROR(__xludf.DUMMYFUNCTION("""COMPUTED_VALUE"""),687.0)</f>
        <v>687</v>
      </c>
      <c r="D4564" s="3">
        <f>IFERROR(__xludf.DUMMYFUNCTION("""COMPUTED_VALUE"""),177.0)</f>
        <v>177</v>
      </c>
      <c r="E4564" s="2"/>
      <c r="F4564" s="2"/>
    </row>
    <row r="4565">
      <c r="A4565" s="2">
        <f>IFERROR(__xludf.DUMMYFUNCTION("""COMPUTED_VALUE"""),122219.0)</f>
        <v>122219</v>
      </c>
      <c r="B4565" s="2">
        <f>IFERROR(__xludf.DUMMYFUNCTION("""COMPUTED_VALUE"""),0.0)</f>
        <v>0</v>
      </c>
      <c r="C4565" s="2">
        <f>IFERROR(__xludf.DUMMYFUNCTION("""COMPUTED_VALUE"""),93.0)</f>
        <v>93</v>
      </c>
      <c r="D4565" s="3">
        <f>IFERROR(__xludf.DUMMYFUNCTION("""COMPUTED_VALUE"""),8.0)</f>
        <v>8</v>
      </c>
      <c r="E4565" s="2"/>
      <c r="F4565" s="2"/>
    </row>
    <row r="4566">
      <c r="A4566" s="2">
        <f>IFERROR(__xludf.DUMMYFUNCTION("""COMPUTED_VALUE"""),122215.0)</f>
        <v>122215</v>
      </c>
      <c r="B4566" s="2">
        <f>IFERROR(__xludf.DUMMYFUNCTION("""COMPUTED_VALUE"""),1.0)</f>
        <v>1</v>
      </c>
      <c r="C4566" s="2">
        <f>IFERROR(__xludf.DUMMYFUNCTION("""COMPUTED_VALUE"""),767.0)</f>
        <v>767</v>
      </c>
      <c r="D4566" s="3">
        <f>IFERROR(__xludf.DUMMYFUNCTION("""COMPUTED_VALUE"""),247.0)</f>
        <v>247</v>
      </c>
      <c r="E4566" s="2"/>
      <c r="F4566" s="2"/>
    </row>
    <row r="4567">
      <c r="A4567" s="2">
        <f>IFERROR(__xludf.DUMMYFUNCTION("""COMPUTED_VALUE"""),111154.0)</f>
        <v>111154</v>
      </c>
      <c r="B4567" s="2">
        <f>IFERROR(__xludf.DUMMYFUNCTION("""COMPUTED_VALUE"""),1.0)</f>
        <v>1</v>
      </c>
      <c r="C4567" s="2">
        <f>IFERROR(__xludf.DUMMYFUNCTION("""COMPUTED_VALUE"""),258.0)</f>
        <v>258</v>
      </c>
      <c r="D4567" s="3">
        <f>IFERROR(__xludf.DUMMYFUNCTION("""COMPUTED_VALUE"""),145.0)</f>
        <v>145</v>
      </c>
      <c r="E4567" s="2"/>
      <c r="F4567" s="2"/>
    </row>
    <row r="4568">
      <c r="A4568" s="2">
        <f>IFERROR(__xludf.DUMMYFUNCTION("""COMPUTED_VALUE"""),119117.0)</f>
        <v>119117</v>
      </c>
      <c r="B4568" s="2">
        <f>IFERROR(__xludf.DUMMYFUNCTION("""COMPUTED_VALUE"""),0.0)</f>
        <v>0</v>
      </c>
      <c r="C4568" s="2">
        <f>IFERROR(__xludf.DUMMYFUNCTION("""COMPUTED_VALUE"""),659.0)</f>
        <v>659</v>
      </c>
      <c r="D4568" s="3">
        <f>IFERROR(__xludf.DUMMYFUNCTION("""COMPUTED_VALUE"""),204.0)</f>
        <v>204</v>
      </c>
      <c r="E4568" s="2"/>
      <c r="F4568" s="2"/>
    </row>
    <row r="4569">
      <c r="A4569" s="2">
        <f>IFERROR(__xludf.DUMMYFUNCTION("""COMPUTED_VALUE"""),20419.0)</f>
        <v>20419</v>
      </c>
      <c r="B4569" s="2">
        <f>IFERROR(__xludf.DUMMYFUNCTION("""COMPUTED_VALUE"""),1.0)</f>
        <v>1</v>
      </c>
      <c r="C4569" s="2">
        <f>IFERROR(__xludf.DUMMYFUNCTION("""COMPUTED_VALUE"""),892.0)</f>
        <v>892</v>
      </c>
      <c r="D4569" s="3">
        <f>IFERROR(__xludf.DUMMYFUNCTION("""COMPUTED_VALUE"""),359.0)</f>
        <v>359</v>
      </c>
      <c r="E4569" s="2"/>
      <c r="F4569" s="2"/>
    </row>
    <row r="4570">
      <c r="A4570" s="2">
        <f>IFERROR(__xludf.DUMMYFUNCTION("""COMPUTED_VALUE"""),122220.0)</f>
        <v>122220</v>
      </c>
      <c r="B4570" s="2">
        <f>IFERROR(__xludf.DUMMYFUNCTION("""COMPUTED_VALUE"""),1.0)</f>
        <v>1</v>
      </c>
      <c r="C4570" s="2">
        <f>IFERROR(__xludf.DUMMYFUNCTION("""COMPUTED_VALUE"""),930.0)</f>
        <v>930</v>
      </c>
      <c r="D4570" s="3">
        <f>IFERROR(__xludf.DUMMYFUNCTION("""COMPUTED_VALUE"""),580.0)</f>
        <v>580</v>
      </c>
      <c r="E4570" s="2"/>
      <c r="F4570" s="2"/>
    </row>
    <row r="4571">
      <c r="A4571" s="2">
        <f>IFERROR(__xludf.DUMMYFUNCTION("""COMPUTED_VALUE"""),122214.0)</f>
        <v>122214</v>
      </c>
      <c r="B4571" s="2">
        <f>IFERROR(__xludf.DUMMYFUNCTION("""COMPUTED_VALUE"""),1.0)</f>
        <v>1</v>
      </c>
      <c r="C4571" s="2">
        <f>IFERROR(__xludf.DUMMYFUNCTION("""COMPUTED_VALUE"""),117.0)</f>
        <v>117</v>
      </c>
      <c r="D4571" s="3">
        <f>IFERROR(__xludf.DUMMYFUNCTION("""COMPUTED_VALUE"""),79.0)</f>
        <v>79</v>
      </c>
      <c r="E4571" s="2"/>
      <c r="F4571" s="2"/>
    </row>
    <row r="4572">
      <c r="A4572" s="2">
        <f>IFERROR(__xludf.DUMMYFUNCTION("""COMPUTED_VALUE"""),46936.0)</f>
        <v>46936</v>
      </c>
      <c r="B4572" s="2">
        <f>IFERROR(__xludf.DUMMYFUNCTION("""COMPUTED_VALUE"""),1.0)</f>
        <v>1</v>
      </c>
      <c r="C4572" s="2">
        <f>IFERROR(__xludf.DUMMYFUNCTION("""COMPUTED_VALUE"""),640.0)</f>
        <v>640</v>
      </c>
      <c r="D4572" s="3">
        <f>IFERROR(__xludf.DUMMYFUNCTION("""COMPUTED_VALUE"""),329.0)</f>
        <v>329</v>
      </c>
      <c r="E4572" s="2"/>
      <c r="F4572" s="2"/>
    </row>
    <row r="4573">
      <c r="A4573" s="2">
        <f>IFERROR(__xludf.DUMMYFUNCTION("""COMPUTED_VALUE"""),112122.0)</f>
        <v>112122</v>
      </c>
      <c r="B4573" s="2">
        <f>IFERROR(__xludf.DUMMYFUNCTION("""COMPUTED_VALUE"""),1.0)</f>
        <v>1</v>
      </c>
      <c r="C4573" s="2">
        <f>IFERROR(__xludf.DUMMYFUNCTION("""COMPUTED_VALUE"""),216.0)</f>
        <v>216</v>
      </c>
      <c r="D4573" s="3">
        <f>IFERROR(__xludf.DUMMYFUNCTION("""COMPUTED_VALUE"""),210.0)</f>
        <v>210</v>
      </c>
      <c r="E4573" s="2"/>
      <c r="F4573" s="2"/>
    </row>
    <row r="4574">
      <c r="A4574" s="2">
        <f>IFERROR(__xludf.DUMMYFUNCTION("""COMPUTED_VALUE"""),71055.0)</f>
        <v>71055</v>
      </c>
      <c r="B4574" s="2">
        <f>IFERROR(__xludf.DUMMYFUNCTION("""COMPUTED_VALUE"""),1.0)</f>
        <v>1</v>
      </c>
      <c r="C4574" s="2">
        <f>IFERROR(__xludf.DUMMYFUNCTION("""COMPUTED_VALUE"""),246.0)</f>
        <v>246</v>
      </c>
      <c r="D4574" s="3">
        <f>IFERROR(__xludf.DUMMYFUNCTION("""COMPUTED_VALUE"""),200.0)</f>
        <v>200</v>
      </c>
      <c r="E4574" s="2"/>
      <c r="F4574" s="2"/>
    </row>
    <row r="4575">
      <c r="A4575" s="2">
        <f>IFERROR(__xludf.DUMMYFUNCTION("""COMPUTED_VALUE"""),41034.0)</f>
        <v>41034</v>
      </c>
      <c r="B4575" s="2">
        <f>IFERROR(__xludf.DUMMYFUNCTION("""COMPUTED_VALUE"""),0.0)</f>
        <v>0</v>
      </c>
      <c r="C4575" s="2">
        <f>IFERROR(__xludf.DUMMYFUNCTION("""COMPUTED_VALUE"""),973.0)</f>
        <v>973</v>
      </c>
      <c r="D4575" s="3">
        <f>IFERROR(__xludf.DUMMYFUNCTION("""COMPUTED_VALUE"""),676.0)</f>
        <v>676</v>
      </c>
      <c r="E4575" s="2"/>
      <c r="F4575" s="2"/>
    </row>
    <row r="4576">
      <c r="A4576" s="2">
        <f>IFERROR(__xludf.DUMMYFUNCTION("""COMPUTED_VALUE"""),111153.0)</f>
        <v>111153</v>
      </c>
      <c r="B4576" s="2">
        <f>IFERROR(__xludf.DUMMYFUNCTION("""COMPUTED_VALUE"""),1.0)</f>
        <v>1</v>
      </c>
      <c r="C4576" s="2">
        <f>IFERROR(__xludf.DUMMYFUNCTION("""COMPUTED_VALUE"""),800.0)</f>
        <v>800</v>
      </c>
      <c r="D4576" s="3">
        <f>IFERROR(__xludf.DUMMYFUNCTION("""COMPUTED_VALUE"""),116.0)</f>
        <v>116</v>
      </c>
      <c r="E4576" s="2"/>
      <c r="F4576" s="2"/>
    </row>
    <row r="4577">
      <c r="A4577" s="2">
        <f>IFERROR(__xludf.DUMMYFUNCTION("""COMPUTED_VALUE"""),119120.0)</f>
        <v>119120</v>
      </c>
      <c r="B4577" s="2">
        <f>IFERROR(__xludf.DUMMYFUNCTION("""COMPUTED_VALUE"""),0.0)</f>
        <v>0</v>
      </c>
      <c r="C4577" s="2">
        <f>IFERROR(__xludf.DUMMYFUNCTION("""COMPUTED_VALUE"""),516.0)</f>
        <v>516</v>
      </c>
      <c r="D4577" s="3">
        <f>IFERROR(__xludf.DUMMYFUNCTION("""COMPUTED_VALUE"""),140.0)</f>
        <v>140</v>
      </c>
      <c r="E4577" s="2"/>
      <c r="F4577" s="2"/>
    </row>
    <row r="4578">
      <c r="A4578" s="2">
        <f>IFERROR(__xludf.DUMMYFUNCTION("""COMPUTED_VALUE"""),139297.0)</f>
        <v>139297</v>
      </c>
      <c r="B4578" s="2">
        <f>IFERROR(__xludf.DUMMYFUNCTION("""COMPUTED_VALUE"""),1.0)</f>
        <v>1</v>
      </c>
      <c r="C4578" s="2">
        <f>IFERROR(__xludf.DUMMYFUNCTION("""COMPUTED_VALUE"""),691.0)</f>
        <v>691</v>
      </c>
      <c r="D4578" s="3">
        <f>IFERROR(__xludf.DUMMYFUNCTION("""COMPUTED_VALUE"""),270.0)</f>
        <v>270</v>
      </c>
      <c r="E4578" s="2"/>
      <c r="F4578" s="2"/>
    </row>
    <row r="4579">
      <c r="A4579" s="2">
        <f>IFERROR(__xludf.DUMMYFUNCTION("""COMPUTED_VALUE"""),48476.0)</f>
        <v>48476</v>
      </c>
      <c r="B4579" s="2">
        <f>IFERROR(__xludf.DUMMYFUNCTION("""COMPUTED_VALUE"""),0.0)</f>
        <v>0</v>
      </c>
      <c r="C4579" s="2">
        <f>IFERROR(__xludf.DUMMYFUNCTION("""COMPUTED_VALUE"""),824.0)</f>
        <v>824</v>
      </c>
      <c r="D4579" s="3">
        <f>IFERROR(__xludf.DUMMYFUNCTION("""COMPUTED_VALUE"""),285.0)</f>
        <v>285</v>
      </c>
      <c r="E4579" s="2"/>
      <c r="F4579" s="2"/>
    </row>
    <row r="4580">
      <c r="A4580" s="2">
        <f>IFERROR(__xludf.DUMMYFUNCTION("""COMPUTED_VALUE"""),103454.0)</f>
        <v>103454</v>
      </c>
      <c r="B4580" s="2">
        <f>IFERROR(__xludf.DUMMYFUNCTION("""COMPUTED_VALUE"""),1.0)</f>
        <v>1</v>
      </c>
      <c r="C4580" s="2">
        <f>IFERROR(__xludf.DUMMYFUNCTION("""COMPUTED_VALUE"""),92.0)</f>
        <v>92</v>
      </c>
      <c r="D4580" s="3">
        <f>IFERROR(__xludf.DUMMYFUNCTION("""COMPUTED_VALUE"""),76.0)</f>
        <v>76</v>
      </c>
      <c r="E4580" s="2"/>
      <c r="F4580" s="2"/>
    </row>
    <row r="4581">
      <c r="A4581" s="2">
        <f>IFERROR(__xludf.DUMMYFUNCTION("""COMPUTED_VALUE"""),103456.0)</f>
        <v>103456</v>
      </c>
      <c r="B4581" s="2">
        <f>IFERROR(__xludf.DUMMYFUNCTION("""COMPUTED_VALUE"""),1.0)</f>
        <v>1</v>
      </c>
      <c r="C4581" s="2">
        <f>IFERROR(__xludf.DUMMYFUNCTION("""COMPUTED_VALUE"""),896.0)</f>
        <v>896</v>
      </c>
      <c r="D4581" s="3">
        <f>IFERROR(__xludf.DUMMYFUNCTION("""COMPUTED_VALUE"""),468.0)</f>
        <v>468</v>
      </c>
      <c r="E4581" s="2"/>
      <c r="F4581" s="2"/>
    </row>
    <row r="4582">
      <c r="A4582" s="2">
        <f>IFERROR(__xludf.DUMMYFUNCTION("""COMPUTED_VALUE"""),139304.0)</f>
        <v>139304</v>
      </c>
      <c r="B4582" s="2">
        <f>IFERROR(__xludf.DUMMYFUNCTION("""COMPUTED_VALUE"""),1.0)</f>
        <v>1</v>
      </c>
      <c r="C4582" s="2">
        <f>IFERROR(__xludf.DUMMYFUNCTION("""COMPUTED_VALUE"""),795.0)</f>
        <v>795</v>
      </c>
      <c r="D4582" s="3">
        <f>IFERROR(__xludf.DUMMYFUNCTION("""COMPUTED_VALUE"""),574.0)</f>
        <v>574</v>
      </c>
      <c r="E4582" s="2"/>
      <c r="F4582" s="2"/>
    </row>
    <row r="4583">
      <c r="A4583" s="2">
        <f>IFERROR(__xludf.DUMMYFUNCTION("""COMPUTED_VALUE"""),158661.0)</f>
        <v>158661</v>
      </c>
      <c r="B4583" s="2">
        <f>IFERROR(__xludf.DUMMYFUNCTION("""COMPUTED_VALUE"""),1.0)</f>
        <v>1</v>
      </c>
      <c r="C4583" s="2">
        <f>IFERROR(__xludf.DUMMYFUNCTION("""COMPUTED_VALUE"""),155.0)</f>
        <v>155</v>
      </c>
      <c r="D4583" s="3">
        <f>IFERROR(__xludf.DUMMYFUNCTION("""COMPUTED_VALUE"""),115.0)</f>
        <v>115</v>
      </c>
      <c r="E4583" s="2"/>
      <c r="F4583" s="2"/>
    </row>
    <row r="4584">
      <c r="A4584" s="2">
        <f>IFERROR(__xludf.DUMMYFUNCTION("""COMPUTED_VALUE"""),162441.0)</f>
        <v>162441</v>
      </c>
      <c r="B4584" s="2">
        <f>IFERROR(__xludf.DUMMYFUNCTION("""COMPUTED_VALUE"""),0.0)</f>
        <v>0</v>
      </c>
      <c r="C4584" s="2">
        <f>IFERROR(__xludf.DUMMYFUNCTION("""COMPUTED_VALUE"""),185.0)</f>
        <v>185</v>
      </c>
      <c r="D4584" s="3">
        <f>IFERROR(__xludf.DUMMYFUNCTION("""COMPUTED_VALUE"""),56.0)</f>
        <v>56</v>
      </c>
      <c r="E4584" s="2"/>
      <c r="F4584" s="2"/>
    </row>
    <row r="4585">
      <c r="A4585" s="2">
        <f>IFERROR(__xludf.DUMMYFUNCTION("""COMPUTED_VALUE"""),102695.0)</f>
        <v>102695</v>
      </c>
      <c r="B4585" s="2">
        <f>IFERROR(__xludf.DUMMYFUNCTION("""COMPUTED_VALUE"""),1.0)</f>
        <v>1</v>
      </c>
      <c r="C4585" s="2">
        <f>IFERROR(__xludf.DUMMYFUNCTION("""COMPUTED_VALUE"""),645.0)</f>
        <v>645</v>
      </c>
      <c r="D4585" s="3">
        <f>IFERROR(__xludf.DUMMYFUNCTION("""COMPUTED_VALUE"""),407.0)</f>
        <v>407</v>
      </c>
      <c r="E4585" s="2"/>
      <c r="F4585" s="2"/>
    </row>
    <row r="4586">
      <c r="A4586" s="2">
        <f>IFERROR(__xludf.DUMMYFUNCTION("""COMPUTED_VALUE"""),78913.0)</f>
        <v>78913</v>
      </c>
      <c r="B4586" s="2">
        <f>IFERROR(__xludf.DUMMYFUNCTION("""COMPUTED_VALUE"""),1.0)</f>
        <v>1</v>
      </c>
      <c r="C4586" s="2">
        <f>IFERROR(__xludf.DUMMYFUNCTION("""COMPUTED_VALUE"""),141.0)</f>
        <v>141</v>
      </c>
      <c r="D4586" s="3">
        <f>IFERROR(__xludf.DUMMYFUNCTION("""COMPUTED_VALUE"""),52.0)</f>
        <v>52</v>
      </c>
      <c r="E4586" s="2"/>
      <c r="F4586" s="2"/>
    </row>
    <row r="4587">
      <c r="A4587" s="2">
        <f>IFERROR(__xludf.DUMMYFUNCTION("""COMPUTED_VALUE"""),71397.0)</f>
        <v>71397</v>
      </c>
      <c r="B4587" s="2">
        <f>IFERROR(__xludf.DUMMYFUNCTION("""COMPUTED_VALUE"""),0.0)</f>
        <v>0</v>
      </c>
      <c r="C4587" s="2">
        <f>IFERROR(__xludf.DUMMYFUNCTION("""COMPUTED_VALUE"""),458.0)</f>
        <v>458</v>
      </c>
      <c r="D4587" s="3">
        <f>IFERROR(__xludf.DUMMYFUNCTION("""COMPUTED_VALUE"""),211.0)</f>
        <v>211</v>
      </c>
      <c r="E4587" s="2"/>
      <c r="F4587" s="2"/>
    </row>
    <row r="4588">
      <c r="A4588" s="2">
        <f>IFERROR(__xludf.DUMMYFUNCTION("""COMPUTED_VALUE"""),17596.0)</f>
        <v>17596</v>
      </c>
      <c r="B4588" s="2">
        <f>IFERROR(__xludf.DUMMYFUNCTION("""COMPUTED_VALUE"""),0.0)</f>
        <v>0</v>
      </c>
      <c r="C4588" s="2">
        <f>IFERROR(__xludf.DUMMYFUNCTION("""COMPUTED_VALUE"""),789.0)</f>
        <v>789</v>
      </c>
      <c r="D4588" s="3">
        <f>IFERROR(__xludf.DUMMYFUNCTION("""COMPUTED_VALUE"""),553.0)</f>
        <v>553</v>
      </c>
      <c r="E4588" s="2"/>
      <c r="F4588" s="2"/>
    </row>
    <row r="4589">
      <c r="A4589" s="2">
        <f>IFERROR(__xludf.DUMMYFUNCTION("""COMPUTED_VALUE"""),71398.0)</f>
        <v>71398</v>
      </c>
      <c r="B4589" s="2">
        <f>IFERROR(__xludf.DUMMYFUNCTION("""COMPUTED_VALUE"""),0.0)</f>
        <v>0</v>
      </c>
      <c r="C4589" s="2">
        <f>IFERROR(__xludf.DUMMYFUNCTION("""COMPUTED_VALUE"""),320.0)</f>
        <v>320</v>
      </c>
      <c r="D4589" s="3">
        <f>IFERROR(__xludf.DUMMYFUNCTION("""COMPUTED_VALUE"""),200.0)</f>
        <v>200</v>
      </c>
      <c r="E4589" s="2"/>
      <c r="F4589" s="2"/>
    </row>
    <row r="4590">
      <c r="A4590" s="2">
        <f>IFERROR(__xludf.DUMMYFUNCTION("""COMPUTED_VALUE"""),17627.0)</f>
        <v>17627</v>
      </c>
      <c r="B4590" s="2">
        <f>IFERROR(__xludf.DUMMYFUNCTION("""COMPUTED_VALUE"""),1.0)</f>
        <v>1</v>
      </c>
      <c r="C4590" s="2">
        <f>IFERROR(__xludf.DUMMYFUNCTION("""COMPUTED_VALUE"""),204.0)</f>
        <v>204</v>
      </c>
      <c r="D4590" s="3">
        <f>IFERROR(__xludf.DUMMYFUNCTION("""COMPUTED_VALUE"""),22.0)</f>
        <v>22</v>
      </c>
      <c r="E4590" s="2"/>
      <c r="F4590" s="2"/>
    </row>
    <row r="4591">
      <c r="A4591" s="2">
        <f>IFERROR(__xludf.DUMMYFUNCTION("""COMPUTED_VALUE"""),86166.0)</f>
        <v>86166</v>
      </c>
      <c r="B4591" s="2">
        <f>IFERROR(__xludf.DUMMYFUNCTION("""COMPUTED_VALUE"""),0.0)</f>
        <v>0</v>
      </c>
      <c r="C4591" s="2">
        <f>IFERROR(__xludf.DUMMYFUNCTION("""COMPUTED_VALUE"""),290.0)</f>
        <v>290</v>
      </c>
      <c r="D4591" s="3">
        <f>IFERROR(__xludf.DUMMYFUNCTION("""COMPUTED_VALUE"""),198.0)</f>
        <v>198</v>
      </c>
      <c r="E4591" s="2"/>
      <c r="F4591" s="2"/>
    </row>
    <row r="4592">
      <c r="A4592" s="2">
        <f>IFERROR(__xludf.DUMMYFUNCTION("""COMPUTED_VALUE"""),71409.0)</f>
        <v>71409</v>
      </c>
      <c r="B4592" s="2">
        <f>IFERROR(__xludf.DUMMYFUNCTION("""COMPUTED_VALUE"""),1.0)</f>
        <v>1</v>
      </c>
      <c r="C4592" s="2">
        <f>IFERROR(__xludf.DUMMYFUNCTION("""COMPUTED_VALUE"""),880.0)</f>
        <v>880</v>
      </c>
      <c r="D4592" s="3">
        <f>IFERROR(__xludf.DUMMYFUNCTION("""COMPUTED_VALUE"""),173.0)</f>
        <v>173</v>
      </c>
      <c r="E4592" s="2"/>
      <c r="F4592" s="2"/>
    </row>
    <row r="4593">
      <c r="A4593" s="2">
        <f>IFERROR(__xludf.DUMMYFUNCTION("""COMPUTED_VALUE"""),12877.0)</f>
        <v>12877</v>
      </c>
      <c r="B4593" s="2">
        <f>IFERROR(__xludf.DUMMYFUNCTION("""COMPUTED_VALUE"""),1.0)</f>
        <v>1</v>
      </c>
      <c r="C4593" s="2">
        <f>IFERROR(__xludf.DUMMYFUNCTION("""COMPUTED_VALUE"""),671.0)</f>
        <v>671</v>
      </c>
      <c r="D4593" s="3">
        <f>IFERROR(__xludf.DUMMYFUNCTION("""COMPUTED_VALUE"""),416.0)</f>
        <v>416</v>
      </c>
      <c r="E4593" s="2"/>
      <c r="F4593" s="2"/>
    </row>
    <row r="4594">
      <c r="A4594" s="2">
        <f>IFERROR(__xludf.DUMMYFUNCTION("""COMPUTED_VALUE"""),121868.0)</f>
        <v>121868</v>
      </c>
      <c r="B4594" s="2">
        <f>IFERROR(__xludf.DUMMYFUNCTION("""COMPUTED_VALUE"""),0.0)</f>
        <v>0</v>
      </c>
      <c r="C4594" s="2">
        <f>IFERROR(__xludf.DUMMYFUNCTION("""COMPUTED_VALUE"""),516.0)</f>
        <v>516</v>
      </c>
      <c r="D4594" s="3">
        <f>IFERROR(__xludf.DUMMYFUNCTION("""COMPUTED_VALUE"""),447.0)</f>
        <v>447</v>
      </c>
      <c r="E4594" s="2"/>
      <c r="F4594" s="2"/>
    </row>
    <row r="4595">
      <c r="A4595" s="2">
        <f>IFERROR(__xludf.DUMMYFUNCTION("""COMPUTED_VALUE"""),17626.0)</f>
        <v>17626</v>
      </c>
      <c r="B4595" s="2">
        <f>IFERROR(__xludf.DUMMYFUNCTION("""COMPUTED_VALUE"""),0.0)</f>
        <v>0</v>
      </c>
      <c r="C4595" s="2">
        <f>IFERROR(__xludf.DUMMYFUNCTION("""COMPUTED_VALUE"""),541.0)</f>
        <v>541</v>
      </c>
      <c r="D4595" s="3">
        <f>IFERROR(__xludf.DUMMYFUNCTION("""COMPUTED_VALUE"""),142.0)</f>
        <v>142</v>
      </c>
      <c r="E4595" s="2"/>
      <c r="F4595" s="2"/>
    </row>
    <row r="4596">
      <c r="A4596" s="2">
        <f>IFERROR(__xludf.DUMMYFUNCTION("""COMPUTED_VALUE"""),71394.0)</f>
        <v>71394</v>
      </c>
      <c r="B4596" s="2">
        <f>IFERROR(__xludf.DUMMYFUNCTION("""COMPUTED_VALUE"""),1.0)</f>
        <v>1</v>
      </c>
      <c r="C4596" s="2">
        <f>IFERROR(__xludf.DUMMYFUNCTION("""COMPUTED_VALUE"""),20.0)</f>
        <v>20</v>
      </c>
      <c r="D4596" s="3">
        <f>IFERROR(__xludf.DUMMYFUNCTION("""COMPUTED_VALUE"""),16.0)</f>
        <v>16</v>
      </c>
      <c r="E4596" s="2"/>
      <c r="F4596" s="2"/>
    </row>
    <row r="4597">
      <c r="A4597" s="2">
        <f>IFERROR(__xludf.DUMMYFUNCTION("""COMPUTED_VALUE"""),17620.0)</f>
        <v>17620</v>
      </c>
      <c r="B4597" s="2">
        <f>IFERROR(__xludf.DUMMYFUNCTION("""COMPUTED_VALUE"""),1.0)</f>
        <v>1</v>
      </c>
      <c r="C4597" s="2">
        <f>IFERROR(__xludf.DUMMYFUNCTION("""COMPUTED_VALUE"""),22.0)</f>
        <v>22</v>
      </c>
      <c r="D4597" s="3">
        <f>IFERROR(__xludf.DUMMYFUNCTION("""COMPUTED_VALUE"""),13.0)</f>
        <v>13</v>
      </c>
      <c r="E4597" s="2"/>
      <c r="F4597" s="2"/>
    </row>
    <row r="4598">
      <c r="A4598" s="2">
        <f>IFERROR(__xludf.DUMMYFUNCTION("""COMPUTED_VALUE"""),86186.0)</f>
        <v>86186</v>
      </c>
      <c r="B4598" s="2">
        <f>IFERROR(__xludf.DUMMYFUNCTION("""COMPUTED_VALUE"""),0.0)</f>
        <v>0</v>
      </c>
      <c r="C4598" s="2">
        <f>IFERROR(__xludf.DUMMYFUNCTION("""COMPUTED_VALUE"""),746.0)</f>
        <v>746</v>
      </c>
      <c r="D4598" s="3">
        <f>IFERROR(__xludf.DUMMYFUNCTION("""COMPUTED_VALUE"""),470.0)</f>
        <v>470</v>
      </c>
      <c r="E4598" s="2"/>
      <c r="F4598" s="2"/>
    </row>
    <row r="4599">
      <c r="A4599" s="2">
        <f>IFERROR(__xludf.DUMMYFUNCTION("""COMPUTED_VALUE"""),71410.0)</f>
        <v>71410</v>
      </c>
      <c r="B4599" s="2">
        <f>IFERROR(__xludf.DUMMYFUNCTION("""COMPUTED_VALUE"""),1.0)</f>
        <v>1</v>
      </c>
      <c r="C4599" s="2">
        <f>IFERROR(__xludf.DUMMYFUNCTION("""COMPUTED_VALUE"""),766.0)</f>
        <v>766</v>
      </c>
      <c r="D4599" s="3">
        <f>IFERROR(__xludf.DUMMYFUNCTION("""COMPUTED_VALUE"""),355.0)</f>
        <v>355</v>
      </c>
      <c r="E4599" s="2"/>
      <c r="F4599" s="2"/>
    </row>
    <row r="4600">
      <c r="A4600" s="2">
        <f>IFERROR(__xludf.DUMMYFUNCTION("""COMPUTED_VALUE"""),121869.0)</f>
        <v>121869</v>
      </c>
      <c r="B4600" s="2">
        <f>IFERROR(__xludf.DUMMYFUNCTION("""COMPUTED_VALUE"""),0.0)</f>
        <v>0</v>
      </c>
      <c r="C4600" s="2">
        <f>IFERROR(__xludf.DUMMYFUNCTION("""COMPUTED_VALUE"""),510.0)</f>
        <v>510</v>
      </c>
      <c r="D4600" s="3">
        <f>IFERROR(__xludf.DUMMYFUNCTION("""COMPUTED_VALUE"""),280.0)</f>
        <v>280</v>
      </c>
      <c r="E4600" s="2"/>
      <c r="F4600" s="2"/>
    </row>
    <row r="4601">
      <c r="A4601" s="2">
        <f>IFERROR(__xludf.DUMMYFUNCTION("""COMPUTED_VALUE"""),17624.0)</f>
        <v>17624</v>
      </c>
      <c r="B4601" s="2">
        <f>IFERROR(__xludf.DUMMYFUNCTION("""COMPUTED_VALUE"""),1.0)</f>
        <v>1</v>
      </c>
      <c r="C4601" s="2">
        <f>IFERROR(__xludf.DUMMYFUNCTION("""COMPUTED_VALUE"""),547.0)</f>
        <v>547</v>
      </c>
      <c r="D4601" s="3">
        <f>IFERROR(__xludf.DUMMYFUNCTION("""COMPUTED_VALUE"""),236.0)</f>
        <v>236</v>
      </c>
      <c r="E4601" s="2"/>
      <c r="F4601" s="2"/>
    </row>
    <row r="4602">
      <c r="A4602" s="2">
        <f>IFERROR(__xludf.DUMMYFUNCTION("""COMPUTED_VALUE"""),119737.0)</f>
        <v>119737</v>
      </c>
      <c r="B4602" s="2">
        <f>IFERROR(__xludf.DUMMYFUNCTION("""COMPUTED_VALUE"""),0.0)</f>
        <v>0</v>
      </c>
      <c r="C4602" s="2">
        <f>IFERROR(__xludf.DUMMYFUNCTION("""COMPUTED_VALUE"""),524.0)</f>
        <v>524</v>
      </c>
      <c r="D4602" s="3">
        <f>IFERROR(__xludf.DUMMYFUNCTION("""COMPUTED_VALUE"""),422.0)</f>
        <v>422</v>
      </c>
      <c r="E4602" s="2"/>
      <c r="F4602" s="2"/>
    </row>
    <row r="4603">
      <c r="A4603" s="2">
        <f>IFERROR(__xludf.DUMMYFUNCTION("""COMPUTED_VALUE"""),17618.0)</f>
        <v>17618</v>
      </c>
      <c r="B4603" s="2">
        <f>IFERROR(__xludf.DUMMYFUNCTION("""COMPUTED_VALUE"""),0.0)</f>
        <v>0</v>
      </c>
      <c r="C4603" s="2">
        <f>IFERROR(__xludf.DUMMYFUNCTION("""COMPUTED_VALUE"""),848.0)</f>
        <v>848</v>
      </c>
      <c r="D4603" s="3">
        <f>IFERROR(__xludf.DUMMYFUNCTION("""COMPUTED_VALUE"""),567.0)</f>
        <v>567</v>
      </c>
      <c r="E4603" s="2"/>
      <c r="F4603" s="2"/>
    </row>
    <row r="4604">
      <c r="A4604" s="2">
        <f>IFERROR(__xludf.DUMMYFUNCTION("""COMPUTED_VALUE"""),78741.0)</f>
        <v>78741</v>
      </c>
      <c r="B4604" s="2">
        <f>IFERROR(__xludf.DUMMYFUNCTION("""COMPUTED_VALUE"""),0.0)</f>
        <v>0</v>
      </c>
      <c r="C4604" s="2">
        <f>IFERROR(__xludf.DUMMYFUNCTION("""COMPUTED_VALUE"""),246.0)</f>
        <v>246</v>
      </c>
      <c r="D4604" s="3">
        <f>IFERROR(__xludf.DUMMYFUNCTION("""COMPUTED_VALUE"""),240.0)</f>
        <v>240</v>
      </c>
      <c r="E4604" s="2"/>
      <c r="F4604" s="2"/>
    </row>
    <row r="4605">
      <c r="A4605" s="2">
        <f>IFERROR(__xludf.DUMMYFUNCTION("""COMPUTED_VALUE"""),86864.0)</f>
        <v>86864</v>
      </c>
      <c r="B4605" s="2">
        <f>IFERROR(__xludf.DUMMYFUNCTION("""COMPUTED_VALUE"""),1.0)</f>
        <v>1</v>
      </c>
      <c r="C4605" s="2">
        <f>IFERROR(__xludf.DUMMYFUNCTION("""COMPUTED_VALUE"""),85.0)</f>
        <v>85</v>
      </c>
      <c r="D4605" s="3">
        <f>IFERROR(__xludf.DUMMYFUNCTION("""COMPUTED_VALUE"""),43.0)</f>
        <v>43</v>
      </c>
      <c r="E4605" s="2"/>
      <c r="F4605" s="2"/>
    </row>
    <row r="4606">
      <c r="A4606" s="2">
        <f>IFERROR(__xludf.DUMMYFUNCTION("""COMPUTED_VALUE"""),71421.0)</f>
        <v>71421</v>
      </c>
      <c r="B4606" s="2">
        <f>IFERROR(__xludf.DUMMYFUNCTION("""COMPUTED_VALUE"""),0.0)</f>
        <v>0</v>
      </c>
      <c r="C4606" s="2">
        <f>IFERROR(__xludf.DUMMYFUNCTION("""COMPUTED_VALUE"""),55.0)</f>
        <v>55</v>
      </c>
      <c r="D4606" s="3">
        <f>IFERROR(__xludf.DUMMYFUNCTION("""COMPUTED_VALUE"""),24.0)</f>
        <v>24</v>
      </c>
      <c r="E4606" s="2"/>
      <c r="F4606" s="2"/>
    </row>
    <row r="4607">
      <c r="A4607" s="2">
        <f>IFERROR(__xludf.DUMMYFUNCTION("""COMPUTED_VALUE"""),115776.0)</f>
        <v>115776</v>
      </c>
      <c r="B4607" s="2">
        <f>IFERROR(__xludf.DUMMYFUNCTION("""COMPUTED_VALUE"""),0.0)</f>
        <v>0</v>
      </c>
      <c r="C4607" s="2">
        <f>IFERROR(__xludf.DUMMYFUNCTION("""COMPUTED_VALUE"""),764.0)</f>
        <v>764</v>
      </c>
      <c r="D4607" s="3">
        <f>IFERROR(__xludf.DUMMYFUNCTION("""COMPUTED_VALUE"""),34.0)</f>
        <v>34</v>
      </c>
      <c r="E4607" s="2"/>
      <c r="F4607" s="2"/>
    </row>
    <row r="4608">
      <c r="A4608" s="2">
        <f>IFERROR(__xludf.DUMMYFUNCTION("""COMPUTED_VALUE"""),71393.0)</f>
        <v>71393</v>
      </c>
      <c r="B4608" s="2">
        <f>IFERROR(__xludf.DUMMYFUNCTION("""COMPUTED_VALUE"""),0.0)</f>
        <v>0</v>
      </c>
      <c r="C4608" s="2">
        <f>IFERROR(__xludf.DUMMYFUNCTION("""COMPUTED_VALUE"""),496.0)</f>
        <v>496</v>
      </c>
      <c r="D4608" s="3">
        <f>IFERROR(__xludf.DUMMYFUNCTION("""COMPUTED_VALUE"""),217.0)</f>
        <v>217</v>
      </c>
      <c r="E4608" s="2"/>
      <c r="F4608" s="2"/>
    </row>
    <row r="4609">
      <c r="A4609" s="2">
        <f>IFERROR(__xludf.DUMMYFUNCTION("""COMPUTED_VALUE"""),78739.0)</f>
        <v>78739</v>
      </c>
      <c r="B4609" s="2">
        <f>IFERROR(__xludf.DUMMYFUNCTION("""COMPUTED_VALUE"""),1.0)</f>
        <v>1</v>
      </c>
      <c r="C4609" s="2">
        <f>IFERROR(__xludf.DUMMYFUNCTION("""COMPUTED_VALUE"""),976.0)</f>
        <v>976</v>
      </c>
      <c r="D4609" s="3">
        <f>IFERROR(__xludf.DUMMYFUNCTION("""COMPUTED_VALUE"""),435.0)</f>
        <v>435</v>
      </c>
      <c r="E4609" s="2"/>
      <c r="F4609" s="2"/>
    </row>
    <row r="4610">
      <c r="A4610" s="2">
        <f>IFERROR(__xludf.DUMMYFUNCTION("""COMPUTED_VALUE"""),71408.0)</f>
        <v>71408</v>
      </c>
      <c r="B4610" s="2">
        <f>IFERROR(__xludf.DUMMYFUNCTION("""COMPUTED_VALUE"""),1.0)</f>
        <v>1</v>
      </c>
      <c r="C4610" s="2">
        <f>IFERROR(__xludf.DUMMYFUNCTION("""COMPUTED_VALUE"""),601.0)</f>
        <v>601</v>
      </c>
      <c r="D4610" s="3">
        <f>IFERROR(__xludf.DUMMYFUNCTION("""COMPUTED_VALUE"""),333.0)</f>
        <v>333</v>
      </c>
      <c r="E4610" s="2"/>
      <c r="F4610" s="2"/>
    </row>
    <row r="4611">
      <c r="A4611" s="2">
        <f>IFERROR(__xludf.DUMMYFUNCTION("""COMPUTED_VALUE"""),109194.0)</f>
        <v>109194</v>
      </c>
      <c r="B4611" s="2">
        <f>IFERROR(__xludf.DUMMYFUNCTION("""COMPUTED_VALUE"""),1.0)</f>
        <v>1</v>
      </c>
      <c r="C4611" s="2">
        <f>IFERROR(__xludf.DUMMYFUNCTION("""COMPUTED_VALUE"""),460.0)</f>
        <v>460</v>
      </c>
      <c r="D4611" s="3">
        <f>IFERROR(__xludf.DUMMYFUNCTION("""COMPUTED_VALUE"""),341.0)</f>
        <v>341</v>
      </c>
      <c r="E4611" s="2"/>
      <c r="F4611" s="2"/>
    </row>
    <row r="4612">
      <c r="A4612" s="2">
        <f>IFERROR(__xludf.DUMMYFUNCTION("""COMPUTED_VALUE"""),84448.0)</f>
        <v>84448</v>
      </c>
      <c r="B4612" s="2">
        <f>IFERROR(__xludf.DUMMYFUNCTION("""COMPUTED_VALUE"""),1.0)</f>
        <v>1</v>
      </c>
      <c r="C4612" s="2">
        <f>IFERROR(__xludf.DUMMYFUNCTION("""COMPUTED_VALUE"""),88.0)</f>
        <v>88</v>
      </c>
      <c r="D4612" s="3">
        <f>IFERROR(__xludf.DUMMYFUNCTION("""COMPUTED_VALUE"""),10.0)</f>
        <v>10</v>
      </c>
      <c r="E4612" s="2"/>
      <c r="F4612" s="2"/>
    </row>
    <row r="4613">
      <c r="A4613" s="2">
        <f>IFERROR(__xludf.DUMMYFUNCTION("""COMPUTED_VALUE"""),140575.0)</f>
        <v>140575</v>
      </c>
      <c r="B4613" s="2">
        <f>IFERROR(__xludf.DUMMYFUNCTION("""COMPUTED_VALUE"""),0.0)</f>
        <v>0</v>
      </c>
      <c r="C4613" s="2">
        <f>IFERROR(__xludf.DUMMYFUNCTION("""COMPUTED_VALUE"""),535.0)</f>
        <v>535</v>
      </c>
      <c r="D4613" s="3">
        <f>IFERROR(__xludf.DUMMYFUNCTION("""COMPUTED_VALUE"""),23.0)</f>
        <v>23</v>
      </c>
      <c r="E4613" s="2"/>
      <c r="F4613" s="2"/>
    </row>
    <row r="4614">
      <c r="A4614" s="2">
        <f>IFERROR(__xludf.DUMMYFUNCTION("""COMPUTED_VALUE"""),71420.0)</f>
        <v>71420</v>
      </c>
      <c r="B4614" s="2">
        <f>IFERROR(__xludf.DUMMYFUNCTION("""COMPUTED_VALUE"""),0.0)</f>
        <v>0</v>
      </c>
      <c r="C4614" s="2">
        <f>IFERROR(__xludf.DUMMYFUNCTION("""COMPUTED_VALUE"""),592.0)</f>
        <v>592</v>
      </c>
      <c r="D4614" s="3">
        <f>IFERROR(__xludf.DUMMYFUNCTION("""COMPUTED_VALUE"""),550.0)</f>
        <v>550</v>
      </c>
      <c r="E4614" s="2"/>
      <c r="F4614" s="2"/>
    </row>
    <row r="4615">
      <c r="A4615" s="2">
        <f>IFERROR(__xludf.DUMMYFUNCTION("""COMPUTED_VALUE"""),71375.0)</f>
        <v>71375</v>
      </c>
      <c r="B4615" s="2">
        <f>IFERROR(__xludf.DUMMYFUNCTION("""COMPUTED_VALUE"""),1.0)</f>
        <v>1</v>
      </c>
      <c r="C4615" s="2">
        <f>IFERROR(__xludf.DUMMYFUNCTION("""COMPUTED_VALUE"""),924.0)</f>
        <v>924</v>
      </c>
      <c r="D4615" s="3">
        <f>IFERROR(__xludf.DUMMYFUNCTION("""COMPUTED_VALUE"""),393.0)</f>
        <v>393</v>
      </c>
      <c r="E4615" s="2"/>
      <c r="F4615" s="2"/>
    </row>
    <row r="4616">
      <c r="A4616" s="2">
        <f>IFERROR(__xludf.DUMMYFUNCTION("""COMPUTED_VALUE"""),71376.0)</f>
        <v>71376</v>
      </c>
      <c r="B4616" s="2">
        <f>IFERROR(__xludf.DUMMYFUNCTION("""COMPUTED_VALUE"""),0.0)</f>
        <v>0</v>
      </c>
      <c r="C4616" s="2">
        <f>IFERROR(__xludf.DUMMYFUNCTION("""COMPUTED_VALUE"""),742.0)</f>
        <v>742</v>
      </c>
      <c r="D4616" s="3">
        <f>IFERROR(__xludf.DUMMYFUNCTION("""COMPUTED_VALUE"""),368.0)</f>
        <v>368</v>
      </c>
      <c r="E4616" s="2"/>
      <c r="F4616" s="2"/>
    </row>
    <row r="4617">
      <c r="A4617" s="2">
        <f>IFERROR(__xludf.DUMMYFUNCTION("""COMPUTED_VALUE"""),110975.0)</f>
        <v>110975</v>
      </c>
      <c r="B4617" s="2">
        <f>IFERROR(__xludf.DUMMYFUNCTION("""COMPUTED_VALUE"""),0.0)</f>
        <v>0</v>
      </c>
      <c r="C4617" s="2">
        <f>IFERROR(__xludf.DUMMYFUNCTION("""COMPUTED_VALUE"""),770.0)</f>
        <v>770</v>
      </c>
      <c r="D4617" s="3">
        <f>IFERROR(__xludf.DUMMYFUNCTION("""COMPUTED_VALUE"""),382.0)</f>
        <v>382</v>
      </c>
      <c r="E4617" s="2"/>
      <c r="F4617" s="2"/>
    </row>
    <row r="4618">
      <c r="A4618" s="2">
        <f>IFERROR(__xludf.DUMMYFUNCTION("""COMPUTED_VALUE"""),86170.0)</f>
        <v>86170</v>
      </c>
      <c r="B4618" s="2">
        <f>IFERROR(__xludf.DUMMYFUNCTION("""COMPUTED_VALUE"""),1.0)</f>
        <v>1</v>
      </c>
      <c r="C4618" s="2">
        <f>IFERROR(__xludf.DUMMYFUNCTION("""COMPUTED_VALUE"""),117.0)</f>
        <v>117</v>
      </c>
      <c r="D4618" s="3">
        <f>IFERROR(__xludf.DUMMYFUNCTION("""COMPUTED_VALUE"""),24.0)</f>
        <v>24</v>
      </c>
      <c r="E4618" s="2"/>
      <c r="F4618" s="2"/>
    </row>
    <row r="4619">
      <c r="A4619" s="2">
        <f>IFERROR(__xludf.DUMMYFUNCTION("""COMPUTED_VALUE"""),142787.0)</f>
        <v>142787</v>
      </c>
      <c r="B4619" s="2">
        <f>IFERROR(__xludf.DUMMYFUNCTION("""COMPUTED_VALUE"""),1.0)</f>
        <v>1</v>
      </c>
      <c r="C4619" s="2">
        <f>IFERROR(__xludf.DUMMYFUNCTION("""COMPUTED_VALUE"""),731.0)</f>
        <v>731</v>
      </c>
      <c r="D4619" s="3">
        <f>IFERROR(__xludf.DUMMYFUNCTION("""COMPUTED_VALUE"""),430.0)</f>
        <v>430</v>
      </c>
      <c r="E4619" s="2"/>
      <c r="F4619" s="2"/>
    </row>
    <row r="4620">
      <c r="A4620" s="2">
        <f>IFERROR(__xludf.DUMMYFUNCTION("""COMPUTED_VALUE"""),109185.0)</f>
        <v>109185</v>
      </c>
      <c r="B4620" s="2">
        <f>IFERROR(__xludf.DUMMYFUNCTION("""COMPUTED_VALUE"""),1.0)</f>
        <v>1</v>
      </c>
      <c r="C4620" s="2">
        <f>IFERROR(__xludf.DUMMYFUNCTION("""COMPUTED_VALUE"""),334.0)</f>
        <v>334</v>
      </c>
      <c r="D4620" s="3">
        <f>IFERROR(__xludf.DUMMYFUNCTION("""COMPUTED_VALUE"""),111.0)</f>
        <v>111</v>
      </c>
      <c r="E4620" s="2"/>
      <c r="F4620" s="2"/>
    </row>
    <row r="4621">
      <c r="A4621" s="2">
        <f>IFERROR(__xludf.DUMMYFUNCTION("""COMPUTED_VALUE"""),109184.0)</f>
        <v>109184</v>
      </c>
      <c r="B4621" s="2">
        <f>IFERROR(__xludf.DUMMYFUNCTION("""COMPUTED_VALUE"""),1.0)</f>
        <v>1</v>
      </c>
      <c r="C4621" s="2">
        <f>IFERROR(__xludf.DUMMYFUNCTION("""COMPUTED_VALUE"""),898.0)</f>
        <v>898</v>
      </c>
      <c r="D4621" s="3">
        <f>IFERROR(__xludf.DUMMYFUNCTION("""COMPUTED_VALUE"""),442.0)</f>
        <v>442</v>
      </c>
      <c r="E4621" s="2"/>
      <c r="F4621" s="2"/>
    </row>
    <row r="4622">
      <c r="A4622" s="2">
        <f>IFERROR(__xludf.DUMMYFUNCTION("""COMPUTED_VALUE"""),72575.0)</f>
        <v>72575</v>
      </c>
      <c r="B4622" s="2">
        <f>IFERROR(__xludf.DUMMYFUNCTION("""COMPUTED_VALUE"""),0.0)</f>
        <v>0</v>
      </c>
      <c r="C4622" s="2">
        <f>IFERROR(__xludf.DUMMYFUNCTION("""COMPUTED_VALUE"""),527.0)</f>
        <v>527</v>
      </c>
      <c r="D4622" s="3">
        <f>IFERROR(__xludf.DUMMYFUNCTION("""COMPUTED_VALUE"""),113.0)</f>
        <v>113</v>
      </c>
      <c r="E4622" s="2"/>
      <c r="F4622" s="2"/>
    </row>
    <row r="4623">
      <c r="A4623" s="2">
        <f>IFERROR(__xludf.DUMMYFUNCTION("""COMPUTED_VALUE"""),78909.0)</f>
        <v>78909</v>
      </c>
      <c r="B4623" s="2">
        <f>IFERROR(__xludf.DUMMYFUNCTION("""COMPUTED_VALUE"""),1.0)</f>
        <v>1</v>
      </c>
      <c r="C4623" s="2">
        <f>IFERROR(__xludf.DUMMYFUNCTION("""COMPUTED_VALUE"""),548.0)</f>
        <v>548</v>
      </c>
      <c r="D4623" s="3">
        <f>IFERROR(__xludf.DUMMYFUNCTION("""COMPUTED_VALUE"""),508.0)</f>
        <v>508</v>
      </c>
      <c r="E4623" s="2"/>
      <c r="F4623" s="2"/>
    </row>
    <row r="4624">
      <c r="A4624" s="2">
        <f>IFERROR(__xludf.DUMMYFUNCTION("""COMPUTED_VALUE"""),17630.0)</f>
        <v>17630</v>
      </c>
      <c r="B4624" s="2">
        <f>IFERROR(__xludf.DUMMYFUNCTION("""COMPUTED_VALUE"""),1.0)</f>
        <v>1</v>
      </c>
      <c r="C4624" s="2">
        <f>IFERROR(__xludf.DUMMYFUNCTION("""COMPUTED_VALUE"""),736.0)</f>
        <v>736</v>
      </c>
      <c r="D4624" s="3">
        <f>IFERROR(__xludf.DUMMYFUNCTION("""COMPUTED_VALUE"""),558.0)</f>
        <v>558</v>
      </c>
      <c r="E4624" s="2"/>
      <c r="F4624" s="2"/>
    </row>
    <row r="4625">
      <c r="A4625" s="2">
        <f>IFERROR(__xludf.DUMMYFUNCTION("""COMPUTED_VALUE"""),78924.0)</f>
        <v>78924</v>
      </c>
      <c r="B4625" s="2">
        <f>IFERROR(__xludf.DUMMYFUNCTION("""COMPUTED_VALUE"""),0.0)</f>
        <v>0</v>
      </c>
      <c r="C4625" s="2">
        <f>IFERROR(__xludf.DUMMYFUNCTION("""COMPUTED_VALUE"""),746.0)</f>
        <v>746</v>
      </c>
      <c r="D4625" s="3">
        <f>IFERROR(__xludf.DUMMYFUNCTION("""COMPUTED_VALUE"""),330.0)</f>
        <v>330</v>
      </c>
      <c r="E4625" s="2"/>
      <c r="F4625" s="2"/>
    </row>
    <row r="4626">
      <c r="A4626" s="2">
        <f>IFERROR(__xludf.DUMMYFUNCTION("""COMPUTED_VALUE"""),82196.0)</f>
        <v>82196</v>
      </c>
      <c r="B4626" s="2">
        <f>IFERROR(__xludf.DUMMYFUNCTION("""COMPUTED_VALUE"""),0.0)</f>
        <v>0</v>
      </c>
      <c r="C4626" s="2">
        <f>IFERROR(__xludf.DUMMYFUNCTION("""COMPUTED_VALUE"""),686.0)</f>
        <v>686</v>
      </c>
      <c r="D4626" s="3">
        <f>IFERROR(__xludf.DUMMYFUNCTION("""COMPUTED_VALUE"""),130.0)</f>
        <v>130</v>
      </c>
      <c r="E4626" s="2"/>
      <c r="F4626" s="2"/>
    </row>
    <row r="4627">
      <c r="A4627" s="2">
        <f>IFERROR(__xludf.DUMMYFUNCTION("""COMPUTED_VALUE"""),86184.0)</f>
        <v>86184</v>
      </c>
      <c r="B4627" s="2">
        <f>IFERROR(__xludf.DUMMYFUNCTION("""COMPUTED_VALUE"""),1.0)</f>
        <v>1</v>
      </c>
      <c r="C4627" s="2">
        <f>IFERROR(__xludf.DUMMYFUNCTION("""COMPUTED_VALUE"""),431.0)</f>
        <v>431</v>
      </c>
      <c r="D4627" s="3">
        <f>IFERROR(__xludf.DUMMYFUNCTION("""COMPUTED_VALUE"""),283.0)</f>
        <v>283</v>
      </c>
      <c r="E4627" s="2"/>
      <c r="F4627" s="2"/>
    </row>
    <row r="4628">
      <c r="A4628" s="2">
        <f>IFERROR(__xludf.DUMMYFUNCTION("""COMPUTED_VALUE"""),6219.0)</f>
        <v>6219</v>
      </c>
      <c r="B4628" s="2">
        <f>IFERROR(__xludf.DUMMYFUNCTION("""COMPUTED_VALUE"""),1.0)</f>
        <v>1</v>
      </c>
      <c r="C4628" s="2">
        <f>IFERROR(__xludf.DUMMYFUNCTION("""COMPUTED_VALUE"""),958.0)</f>
        <v>958</v>
      </c>
      <c r="D4628" s="3">
        <f>IFERROR(__xludf.DUMMYFUNCTION("""COMPUTED_VALUE"""),0.0)</f>
        <v>0</v>
      </c>
      <c r="E4628" s="2"/>
      <c r="F4628" s="2"/>
    </row>
    <row r="4629">
      <c r="A4629" s="2">
        <f>IFERROR(__xludf.DUMMYFUNCTION("""COMPUTED_VALUE"""),116185.0)</f>
        <v>116185</v>
      </c>
      <c r="B4629" s="2">
        <f>IFERROR(__xludf.DUMMYFUNCTION("""COMPUTED_VALUE"""),1.0)</f>
        <v>1</v>
      </c>
      <c r="C4629" s="2">
        <f>IFERROR(__xludf.DUMMYFUNCTION("""COMPUTED_VALUE"""),386.0)</f>
        <v>386</v>
      </c>
      <c r="D4629" s="3">
        <f>IFERROR(__xludf.DUMMYFUNCTION("""COMPUTED_VALUE"""),187.0)</f>
        <v>187</v>
      </c>
      <c r="E4629" s="2"/>
      <c r="F4629" s="2"/>
    </row>
    <row r="4630">
      <c r="A4630" s="2">
        <f>IFERROR(__xludf.DUMMYFUNCTION("""COMPUTED_VALUE"""),12873.0)</f>
        <v>12873</v>
      </c>
      <c r="B4630" s="2">
        <f>IFERROR(__xludf.DUMMYFUNCTION("""COMPUTED_VALUE"""),1.0)</f>
        <v>1</v>
      </c>
      <c r="C4630" s="2">
        <f>IFERROR(__xludf.DUMMYFUNCTION("""COMPUTED_VALUE"""),831.0)</f>
        <v>831</v>
      </c>
      <c r="D4630" s="3">
        <f>IFERROR(__xludf.DUMMYFUNCTION("""COMPUTED_VALUE"""),344.0)</f>
        <v>344</v>
      </c>
      <c r="E4630" s="2"/>
      <c r="F4630" s="2"/>
    </row>
    <row r="4631">
      <c r="A4631" s="2">
        <f>IFERROR(__xludf.DUMMYFUNCTION("""COMPUTED_VALUE"""),71413.0)</f>
        <v>71413</v>
      </c>
      <c r="B4631" s="2">
        <f>IFERROR(__xludf.DUMMYFUNCTION("""COMPUTED_VALUE"""),0.0)</f>
        <v>0</v>
      </c>
      <c r="C4631" s="2">
        <f>IFERROR(__xludf.DUMMYFUNCTION("""COMPUTED_VALUE"""),0.0)</f>
        <v>0</v>
      </c>
      <c r="D4631" s="3">
        <f>IFERROR(__xludf.DUMMYFUNCTION("""COMPUTED_VALUE"""),0.0)</f>
        <v>0</v>
      </c>
      <c r="E4631" s="2"/>
      <c r="F4631" s="2"/>
    </row>
    <row r="4632">
      <c r="A4632" s="2">
        <f>IFERROR(__xludf.DUMMYFUNCTION("""COMPUTED_VALUE"""),128352.0)</f>
        <v>128352</v>
      </c>
      <c r="B4632" s="2">
        <f>IFERROR(__xludf.DUMMYFUNCTION("""COMPUTED_VALUE"""),1.0)</f>
        <v>1</v>
      </c>
      <c r="C4632" s="2">
        <f>IFERROR(__xludf.DUMMYFUNCTION("""COMPUTED_VALUE"""),128.0)</f>
        <v>128</v>
      </c>
      <c r="D4632" s="3">
        <f>IFERROR(__xludf.DUMMYFUNCTION("""COMPUTED_VALUE"""),35.0)</f>
        <v>35</v>
      </c>
      <c r="E4632" s="2"/>
      <c r="F4632" s="2"/>
    </row>
    <row r="4633">
      <c r="A4633" s="2">
        <f>IFERROR(__xludf.DUMMYFUNCTION("""COMPUTED_VALUE"""),17594.0)</f>
        <v>17594</v>
      </c>
      <c r="B4633" s="2">
        <f>IFERROR(__xludf.DUMMYFUNCTION("""COMPUTED_VALUE"""),0.0)</f>
        <v>0</v>
      </c>
      <c r="C4633" s="2">
        <f>IFERROR(__xludf.DUMMYFUNCTION("""COMPUTED_VALUE"""),314.0)</f>
        <v>314</v>
      </c>
      <c r="D4633" s="3">
        <f>IFERROR(__xludf.DUMMYFUNCTION("""COMPUTED_VALUE"""),6.0)</f>
        <v>6</v>
      </c>
      <c r="E4633" s="2"/>
      <c r="F4633" s="2"/>
    </row>
    <row r="4634">
      <c r="A4634" s="2">
        <f>IFERROR(__xludf.DUMMYFUNCTION("""COMPUTED_VALUE"""),71404.0)</f>
        <v>71404</v>
      </c>
      <c r="B4634" s="2">
        <f>IFERROR(__xludf.DUMMYFUNCTION("""COMPUTED_VALUE"""),0.0)</f>
        <v>0</v>
      </c>
      <c r="C4634" s="2">
        <f>IFERROR(__xludf.DUMMYFUNCTION("""COMPUTED_VALUE"""),644.0)</f>
        <v>644</v>
      </c>
      <c r="D4634" s="3">
        <f>IFERROR(__xludf.DUMMYFUNCTION("""COMPUTED_VALUE"""),236.0)</f>
        <v>236</v>
      </c>
      <c r="E4634" s="2"/>
      <c r="F4634" s="2"/>
    </row>
    <row r="4635">
      <c r="A4635" s="2">
        <f>IFERROR(__xludf.DUMMYFUNCTION("""COMPUTED_VALUE"""),129473.0)</f>
        <v>129473</v>
      </c>
      <c r="B4635" s="2">
        <f>IFERROR(__xludf.DUMMYFUNCTION("""COMPUTED_VALUE"""),1.0)</f>
        <v>1</v>
      </c>
      <c r="C4635" s="2">
        <f>IFERROR(__xludf.DUMMYFUNCTION("""COMPUTED_VALUE"""),-16.0)</f>
        <v>-16</v>
      </c>
      <c r="D4635" s="3">
        <f>IFERROR(__xludf.DUMMYFUNCTION("""COMPUTED_VALUE"""),-8.0)</f>
        <v>-8</v>
      </c>
      <c r="E4635" s="2"/>
      <c r="F4635" s="2"/>
    </row>
    <row r="4636">
      <c r="A4636" s="2">
        <f>IFERROR(__xludf.DUMMYFUNCTION("""COMPUTED_VALUE"""),78904.0)</f>
        <v>78904</v>
      </c>
      <c r="B4636" s="2">
        <f>IFERROR(__xludf.DUMMYFUNCTION("""COMPUTED_VALUE"""),0.0)</f>
        <v>0</v>
      </c>
      <c r="C4636" s="2">
        <f>IFERROR(__xludf.DUMMYFUNCTION("""COMPUTED_VALUE"""),911.0)</f>
        <v>911</v>
      </c>
      <c r="D4636" s="3">
        <f>IFERROR(__xludf.DUMMYFUNCTION("""COMPUTED_VALUE"""),518.0)</f>
        <v>518</v>
      </c>
      <c r="E4636" s="2"/>
      <c r="F4636" s="2"/>
    </row>
    <row r="4637">
      <c r="A4637" s="2">
        <f>IFERROR(__xludf.DUMMYFUNCTION("""COMPUTED_VALUE"""),122311.0)</f>
        <v>122311</v>
      </c>
      <c r="B4637" s="2">
        <f>IFERROR(__xludf.DUMMYFUNCTION("""COMPUTED_VALUE"""),1.0)</f>
        <v>1</v>
      </c>
      <c r="C4637" s="2">
        <f>IFERROR(__xludf.DUMMYFUNCTION("""COMPUTED_VALUE"""),525.0)</f>
        <v>525</v>
      </c>
      <c r="D4637" s="3">
        <f>IFERROR(__xludf.DUMMYFUNCTION("""COMPUTED_VALUE"""),340.0)</f>
        <v>340</v>
      </c>
      <c r="E4637" s="2"/>
      <c r="F4637" s="2"/>
    </row>
    <row r="4638">
      <c r="A4638" s="2">
        <f>IFERROR(__xludf.DUMMYFUNCTION("""COMPUTED_VALUE"""),86172.0)</f>
        <v>86172</v>
      </c>
      <c r="B4638" s="2">
        <f>IFERROR(__xludf.DUMMYFUNCTION("""COMPUTED_VALUE"""),1.0)</f>
        <v>1</v>
      </c>
      <c r="C4638" s="2">
        <f>IFERROR(__xludf.DUMMYFUNCTION("""COMPUTED_VALUE"""),211.0)</f>
        <v>211</v>
      </c>
      <c r="D4638" s="3">
        <f>IFERROR(__xludf.DUMMYFUNCTION("""COMPUTED_VALUE"""),114.0)</f>
        <v>114</v>
      </c>
      <c r="E4638" s="2"/>
      <c r="F4638" s="2"/>
    </row>
    <row r="4639">
      <c r="A4639" s="2">
        <f>IFERROR(__xludf.DUMMYFUNCTION("""COMPUTED_VALUE"""),17592.0)</f>
        <v>17592</v>
      </c>
      <c r="B4639" s="2">
        <f>IFERROR(__xludf.DUMMYFUNCTION("""COMPUTED_VALUE"""),1.0)</f>
        <v>1</v>
      </c>
      <c r="C4639" s="2">
        <f>IFERROR(__xludf.DUMMYFUNCTION("""COMPUTED_VALUE"""),670.0)</f>
        <v>670</v>
      </c>
      <c r="D4639" s="3">
        <f>IFERROR(__xludf.DUMMYFUNCTION("""COMPUTED_VALUE"""),647.0)</f>
        <v>647</v>
      </c>
      <c r="E4639" s="2"/>
      <c r="F4639" s="2"/>
    </row>
    <row r="4640">
      <c r="A4640" s="2">
        <f>IFERROR(__xludf.DUMMYFUNCTION("""COMPUTED_VALUE"""),89981.0)</f>
        <v>89981</v>
      </c>
      <c r="B4640" s="2">
        <f>IFERROR(__xludf.DUMMYFUNCTION("""COMPUTED_VALUE"""),0.0)</f>
        <v>0</v>
      </c>
      <c r="C4640" s="2">
        <f>IFERROR(__xludf.DUMMYFUNCTION("""COMPUTED_VALUE"""),50.0)</f>
        <v>50</v>
      </c>
      <c r="D4640" s="3">
        <f>IFERROR(__xludf.DUMMYFUNCTION("""COMPUTED_VALUE"""),15.0)</f>
        <v>15</v>
      </c>
      <c r="E4640" s="2"/>
      <c r="F4640" s="2"/>
    </row>
    <row r="4641">
      <c r="A4641" s="2">
        <f>IFERROR(__xludf.DUMMYFUNCTION("""COMPUTED_VALUE"""),71399.0)</f>
        <v>71399</v>
      </c>
      <c r="B4641" s="2">
        <f>IFERROR(__xludf.DUMMYFUNCTION("""COMPUTED_VALUE"""),1.0)</f>
        <v>1</v>
      </c>
      <c r="C4641" s="2">
        <f>IFERROR(__xludf.DUMMYFUNCTION("""COMPUTED_VALUE"""),74.0)</f>
        <v>74</v>
      </c>
      <c r="D4641" s="3">
        <f>IFERROR(__xludf.DUMMYFUNCTION("""COMPUTED_VALUE"""),61.0)</f>
        <v>61</v>
      </c>
      <c r="E4641" s="2"/>
      <c r="F4641" s="2"/>
    </row>
    <row r="4642">
      <c r="A4642" s="2">
        <f>IFERROR(__xludf.DUMMYFUNCTION("""COMPUTED_VALUE"""),17587.0)</f>
        <v>17587</v>
      </c>
      <c r="B4642" s="2">
        <f>IFERROR(__xludf.DUMMYFUNCTION("""COMPUTED_VALUE"""),1.0)</f>
        <v>1</v>
      </c>
      <c r="C4642" s="2">
        <f>IFERROR(__xludf.DUMMYFUNCTION("""COMPUTED_VALUE"""),447.0)</f>
        <v>447</v>
      </c>
      <c r="D4642" s="3">
        <f>IFERROR(__xludf.DUMMYFUNCTION("""COMPUTED_VALUE"""),9.0)</f>
        <v>9</v>
      </c>
      <c r="E4642" s="2"/>
      <c r="F4642" s="2"/>
    </row>
    <row r="4643">
      <c r="A4643" s="2">
        <f>IFERROR(__xludf.DUMMYFUNCTION("""COMPUTED_VALUE"""),17647.0)</f>
        <v>17647</v>
      </c>
      <c r="B4643" s="2">
        <f>IFERROR(__xludf.DUMMYFUNCTION("""COMPUTED_VALUE"""),1.0)</f>
        <v>1</v>
      </c>
      <c r="C4643" s="2">
        <f>IFERROR(__xludf.DUMMYFUNCTION("""COMPUTED_VALUE"""),24.0)</f>
        <v>24</v>
      </c>
      <c r="D4643" s="3">
        <f>IFERROR(__xludf.DUMMYFUNCTION("""COMPUTED_VALUE"""),0.0)</f>
        <v>0</v>
      </c>
      <c r="E4643" s="2"/>
      <c r="F4643" s="2"/>
    </row>
    <row r="4644">
      <c r="A4644" s="2">
        <f>IFERROR(__xludf.DUMMYFUNCTION("""COMPUTED_VALUE"""),107364.0)</f>
        <v>107364</v>
      </c>
      <c r="B4644" s="2">
        <f>IFERROR(__xludf.DUMMYFUNCTION("""COMPUTED_VALUE"""),0.0)</f>
        <v>0</v>
      </c>
      <c r="C4644" s="2">
        <f>IFERROR(__xludf.DUMMYFUNCTION("""COMPUTED_VALUE"""),50.0)</f>
        <v>50</v>
      </c>
      <c r="D4644" s="3">
        <f>IFERROR(__xludf.DUMMYFUNCTION("""COMPUTED_VALUE"""),46.0)</f>
        <v>46</v>
      </c>
      <c r="E4644" s="2"/>
      <c r="F4644" s="2"/>
    </row>
    <row r="4645">
      <c r="A4645" s="2">
        <f>IFERROR(__xludf.DUMMYFUNCTION("""COMPUTED_VALUE"""),24118.0)</f>
        <v>24118</v>
      </c>
      <c r="B4645" s="2">
        <f>IFERROR(__xludf.DUMMYFUNCTION("""COMPUTED_VALUE"""),0.0)</f>
        <v>0</v>
      </c>
      <c r="C4645" s="2">
        <f>IFERROR(__xludf.DUMMYFUNCTION("""COMPUTED_VALUE"""),657.0)</f>
        <v>657</v>
      </c>
      <c r="D4645" s="3">
        <f>IFERROR(__xludf.DUMMYFUNCTION("""COMPUTED_VALUE"""),68.0)</f>
        <v>68</v>
      </c>
      <c r="E4645" s="2"/>
      <c r="F4645" s="2"/>
    </row>
    <row r="4646">
      <c r="A4646" s="2">
        <f>IFERROR(__xludf.DUMMYFUNCTION("""COMPUTED_VALUE"""),86181.0)</f>
        <v>86181</v>
      </c>
      <c r="B4646" s="2">
        <f>IFERROR(__xludf.DUMMYFUNCTION("""COMPUTED_VALUE"""),1.0)</f>
        <v>1</v>
      </c>
      <c r="C4646" s="2">
        <f>IFERROR(__xludf.DUMMYFUNCTION("""COMPUTED_VALUE"""),638.0)</f>
        <v>638</v>
      </c>
      <c r="D4646" s="3">
        <f>IFERROR(__xludf.DUMMYFUNCTION("""COMPUTED_VALUE"""),414.0)</f>
        <v>414</v>
      </c>
      <c r="E4646" s="2"/>
      <c r="F4646" s="2"/>
    </row>
    <row r="4647">
      <c r="A4647" s="2">
        <f>IFERROR(__xludf.DUMMYFUNCTION("""COMPUTED_VALUE"""),129474.0)</f>
        <v>129474</v>
      </c>
      <c r="B4647" s="2">
        <f>IFERROR(__xludf.DUMMYFUNCTION("""COMPUTED_VALUE"""),1.0)</f>
        <v>1</v>
      </c>
      <c r="C4647" s="2">
        <f>IFERROR(__xludf.DUMMYFUNCTION("""COMPUTED_VALUE"""),412.0)</f>
        <v>412</v>
      </c>
      <c r="D4647" s="3">
        <f>IFERROR(__xludf.DUMMYFUNCTION("""COMPUTED_VALUE"""),134.0)</f>
        <v>134</v>
      </c>
      <c r="E4647" s="2"/>
      <c r="F4647" s="2"/>
    </row>
    <row r="4648">
      <c r="A4648" s="2">
        <f>IFERROR(__xludf.DUMMYFUNCTION("""COMPUTED_VALUE"""),17601.0)</f>
        <v>17601</v>
      </c>
      <c r="B4648" s="2">
        <f>IFERROR(__xludf.DUMMYFUNCTION("""COMPUTED_VALUE"""),1.0)</f>
        <v>1</v>
      </c>
      <c r="C4648" s="2">
        <f>IFERROR(__xludf.DUMMYFUNCTION("""COMPUTED_VALUE"""),932.0)</f>
        <v>932</v>
      </c>
      <c r="D4648" s="3">
        <f>IFERROR(__xludf.DUMMYFUNCTION("""COMPUTED_VALUE"""),251.0)</f>
        <v>251</v>
      </c>
      <c r="E4648" s="2"/>
      <c r="F4648" s="2"/>
    </row>
    <row r="4649">
      <c r="A4649" s="2">
        <f>IFERROR(__xludf.DUMMYFUNCTION("""COMPUTED_VALUE"""),78938.0)</f>
        <v>78938</v>
      </c>
      <c r="B4649" s="2">
        <f>IFERROR(__xludf.DUMMYFUNCTION("""COMPUTED_VALUE"""),1.0)</f>
        <v>1</v>
      </c>
      <c r="C4649" s="2">
        <f>IFERROR(__xludf.DUMMYFUNCTION("""COMPUTED_VALUE"""),909.0)</f>
        <v>909</v>
      </c>
      <c r="D4649" s="3">
        <f>IFERROR(__xludf.DUMMYFUNCTION("""COMPUTED_VALUE"""),232.0)</f>
        <v>232</v>
      </c>
      <c r="E4649" s="2"/>
      <c r="F4649" s="2"/>
    </row>
    <row r="4650">
      <c r="A4650" s="2">
        <f>IFERROR(__xludf.DUMMYFUNCTION("""COMPUTED_VALUE"""),17609.0)</f>
        <v>17609</v>
      </c>
      <c r="B4650" s="2">
        <f>IFERROR(__xludf.DUMMYFUNCTION("""COMPUTED_VALUE"""),0.0)</f>
        <v>0</v>
      </c>
      <c r="C4650" s="2">
        <f>IFERROR(__xludf.DUMMYFUNCTION("""COMPUTED_VALUE"""),519.0)</f>
        <v>519</v>
      </c>
      <c r="D4650" s="3">
        <f>IFERROR(__xludf.DUMMYFUNCTION("""COMPUTED_VALUE"""),212.0)</f>
        <v>212</v>
      </c>
      <c r="E4650" s="2"/>
      <c r="F4650" s="2"/>
    </row>
    <row r="4651">
      <c r="A4651" s="2">
        <f>IFERROR(__xludf.DUMMYFUNCTION("""COMPUTED_VALUE"""),129452.0)</f>
        <v>129452</v>
      </c>
      <c r="B4651" s="2">
        <f>IFERROR(__xludf.DUMMYFUNCTION("""COMPUTED_VALUE"""),1.0)</f>
        <v>1</v>
      </c>
      <c r="C4651" s="2">
        <f>IFERROR(__xludf.DUMMYFUNCTION("""COMPUTED_VALUE"""),860.0)</f>
        <v>860</v>
      </c>
      <c r="D4651" s="3">
        <f>IFERROR(__xludf.DUMMYFUNCTION("""COMPUTED_VALUE"""),208.0)</f>
        <v>208</v>
      </c>
      <c r="E4651" s="2"/>
      <c r="F4651" s="2"/>
    </row>
    <row r="4652">
      <c r="A4652" s="2">
        <f>IFERROR(__xludf.DUMMYFUNCTION("""COMPUTED_VALUE"""),88587.0)</f>
        <v>88587</v>
      </c>
      <c r="B4652" s="2">
        <f>IFERROR(__xludf.DUMMYFUNCTION("""COMPUTED_VALUE"""),0.0)</f>
        <v>0</v>
      </c>
      <c r="C4652" s="2">
        <f>IFERROR(__xludf.DUMMYFUNCTION("""COMPUTED_VALUE"""),94.0)</f>
        <v>94</v>
      </c>
      <c r="D4652" s="3">
        <f>IFERROR(__xludf.DUMMYFUNCTION("""COMPUTED_VALUE"""),73.0)</f>
        <v>73</v>
      </c>
      <c r="E4652" s="2"/>
      <c r="F4652" s="2"/>
    </row>
    <row r="4653">
      <c r="A4653" s="2">
        <f>IFERROR(__xludf.DUMMYFUNCTION("""COMPUTED_VALUE"""),17645.0)</f>
        <v>17645</v>
      </c>
      <c r="B4653" s="2">
        <f>IFERROR(__xludf.DUMMYFUNCTION("""COMPUTED_VALUE"""),1.0)</f>
        <v>1</v>
      </c>
      <c r="C4653" s="2">
        <f>IFERROR(__xludf.DUMMYFUNCTION("""COMPUTED_VALUE"""),387.0)</f>
        <v>387</v>
      </c>
      <c r="D4653" s="3">
        <f>IFERROR(__xludf.DUMMYFUNCTION("""COMPUTED_VALUE"""),385.0)</f>
        <v>385</v>
      </c>
      <c r="E4653" s="2"/>
      <c r="F4653" s="2"/>
    </row>
    <row r="4654">
      <c r="A4654" s="2">
        <f>IFERROR(__xludf.DUMMYFUNCTION("""COMPUTED_VALUE"""),78899.0)</f>
        <v>78899</v>
      </c>
      <c r="B4654" s="2">
        <f>IFERROR(__xludf.DUMMYFUNCTION("""COMPUTED_VALUE"""),1.0)</f>
        <v>1</v>
      </c>
      <c r="C4654" s="2">
        <f>IFERROR(__xludf.DUMMYFUNCTION("""COMPUTED_VALUE"""),90.0)</f>
        <v>90</v>
      </c>
      <c r="D4654" s="3">
        <f>IFERROR(__xludf.DUMMYFUNCTION("""COMPUTED_VALUE"""),32.0)</f>
        <v>32</v>
      </c>
      <c r="E4654" s="2"/>
      <c r="F4654" s="2"/>
    </row>
    <row r="4655">
      <c r="A4655" s="2">
        <f>IFERROR(__xludf.DUMMYFUNCTION("""COMPUTED_VALUE"""),71402.0)</f>
        <v>71402</v>
      </c>
      <c r="B4655" s="2">
        <f>IFERROR(__xludf.DUMMYFUNCTION("""COMPUTED_VALUE"""),0.0)</f>
        <v>0</v>
      </c>
      <c r="C4655" s="2">
        <f>IFERROR(__xludf.DUMMYFUNCTION("""COMPUTED_VALUE"""),210.0)</f>
        <v>210</v>
      </c>
      <c r="D4655" s="3">
        <f>IFERROR(__xludf.DUMMYFUNCTION("""COMPUTED_VALUE"""),47.0)</f>
        <v>47</v>
      </c>
      <c r="E4655" s="2"/>
      <c r="F4655" s="2"/>
    </row>
    <row r="4656">
      <c r="A4656" s="2">
        <f>IFERROR(__xludf.DUMMYFUNCTION("""COMPUTED_VALUE"""),12875.0)</f>
        <v>12875</v>
      </c>
      <c r="B4656" s="2">
        <f>IFERROR(__xludf.DUMMYFUNCTION("""COMPUTED_VALUE"""),0.0)</f>
        <v>0</v>
      </c>
      <c r="C4656" s="2">
        <f>IFERROR(__xludf.DUMMYFUNCTION("""COMPUTED_VALUE"""),784.0)</f>
        <v>784</v>
      </c>
      <c r="D4656" s="3">
        <f>IFERROR(__xludf.DUMMYFUNCTION("""COMPUTED_VALUE"""),183.0)</f>
        <v>183</v>
      </c>
      <c r="E4656" s="2"/>
      <c r="F4656" s="2"/>
    </row>
    <row r="4657">
      <c r="A4657" s="2">
        <f>IFERROR(__xludf.DUMMYFUNCTION("""COMPUTED_VALUE"""),17615.0)</f>
        <v>17615</v>
      </c>
      <c r="B4657" s="2">
        <f>IFERROR(__xludf.DUMMYFUNCTION("""COMPUTED_VALUE"""),0.0)</f>
        <v>0</v>
      </c>
      <c r="C4657" s="2">
        <f>IFERROR(__xludf.DUMMYFUNCTION("""COMPUTED_VALUE"""),553.0)</f>
        <v>553</v>
      </c>
      <c r="D4657" s="3">
        <f>IFERROR(__xludf.DUMMYFUNCTION("""COMPUTED_VALUE"""),269.0)</f>
        <v>269</v>
      </c>
      <c r="E4657" s="2"/>
      <c r="F4657" s="2"/>
    </row>
    <row r="4658">
      <c r="A4658" s="2">
        <f>IFERROR(__xludf.DUMMYFUNCTION("""COMPUTED_VALUE"""),193116.0)</f>
        <v>193116</v>
      </c>
      <c r="B4658" s="2">
        <f>IFERROR(__xludf.DUMMYFUNCTION("""COMPUTED_VALUE"""),1.0)</f>
        <v>1</v>
      </c>
      <c r="C4658" s="2">
        <f>IFERROR(__xludf.DUMMYFUNCTION("""COMPUTED_VALUE"""),647.0)</f>
        <v>647</v>
      </c>
      <c r="D4658" s="3">
        <f>IFERROR(__xludf.DUMMYFUNCTION("""COMPUTED_VALUE"""),365.0)</f>
        <v>365</v>
      </c>
      <c r="E4658" s="2"/>
      <c r="F4658" s="2"/>
    </row>
    <row r="4659">
      <c r="A4659" s="2">
        <f>IFERROR(__xludf.DUMMYFUNCTION("""COMPUTED_VALUE"""),72577.0)</f>
        <v>72577</v>
      </c>
      <c r="B4659" s="2">
        <f>IFERROR(__xludf.DUMMYFUNCTION("""COMPUTED_VALUE"""),0.0)</f>
        <v>0</v>
      </c>
      <c r="C4659" s="2">
        <f>IFERROR(__xludf.DUMMYFUNCTION("""COMPUTED_VALUE"""),435.0)</f>
        <v>435</v>
      </c>
      <c r="D4659" s="3">
        <f>IFERROR(__xludf.DUMMYFUNCTION("""COMPUTED_VALUE"""),402.0)</f>
        <v>402</v>
      </c>
      <c r="E4659" s="2"/>
      <c r="F4659" s="2"/>
    </row>
    <row r="4660">
      <c r="A4660" s="2">
        <f>IFERROR(__xludf.DUMMYFUNCTION("""COMPUTED_VALUE"""),78916.0)</f>
        <v>78916</v>
      </c>
      <c r="B4660" s="2">
        <f>IFERROR(__xludf.DUMMYFUNCTION("""COMPUTED_VALUE"""),0.0)</f>
        <v>0</v>
      </c>
      <c r="C4660" s="2">
        <f>IFERROR(__xludf.DUMMYFUNCTION("""COMPUTED_VALUE"""),87.0)</f>
        <v>87</v>
      </c>
      <c r="D4660" s="3">
        <f>IFERROR(__xludf.DUMMYFUNCTION("""COMPUTED_VALUE"""),58.0)</f>
        <v>58</v>
      </c>
      <c r="E4660" s="2"/>
      <c r="F4660" s="2"/>
    </row>
    <row r="4661">
      <c r="A4661" s="2">
        <f>IFERROR(__xludf.DUMMYFUNCTION("""COMPUTED_VALUE"""),71419.0)</f>
        <v>71419</v>
      </c>
      <c r="B4661" s="2">
        <f>IFERROR(__xludf.DUMMYFUNCTION("""COMPUTED_VALUE"""),0.0)</f>
        <v>0</v>
      </c>
      <c r="C4661" s="2">
        <f>IFERROR(__xludf.DUMMYFUNCTION("""COMPUTED_VALUE"""),139.0)</f>
        <v>139</v>
      </c>
      <c r="D4661" s="3">
        <f>IFERROR(__xludf.DUMMYFUNCTION("""COMPUTED_VALUE"""),103.0)</f>
        <v>103</v>
      </c>
      <c r="E4661" s="2"/>
      <c r="F4661" s="2"/>
    </row>
    <row r="4662">
      <c r="A4662" s="2">
        <f>IFERROR(__xludf.DUMMYFUNCTION("""COMPUTED_VALUE"""),188223.0)</f>
        <v>188223</v>
      </c>
      <c r="B4662" s="2">
        <f>IFERROR(__xludf.DUMMYFUNCTION("""COMPUTED_VALUE"""),0.0)</f>
        <v>0</v>
      </c>
      <c r="C4662" s="2">
        <f>IFERROR(__xludf.DUMMYFUNCTION("""COMPUTED_VALUE"""),617.0)</f>
        <v>617</v>
      </c>
      <c r="D4662" s="3">
        <f>IFERROR(__xludf.DUMMYFUNCTION("""COMPUTED_VALUE"""),71.0)</f>
        <v>71</v>
      </c>
      <c r="E4662" s="2"/>
      <c r="F4662" s="2"/>
    </row>
    <row r="4663">
      <c r="A4663" s="2">
        <f>IFERROR(__xludf.DUMMYFUNCTION("""COMPUTED_VALUE"""),71417.0)</f>
        <v>71417</v>
      </c>
      <c r="B4663" s="2">
        <f>IFERROR(__xludf.DUMMYFUNCTION("""COMPUTED_VALUE"""),1.0)</f>
        <v>1</v>
      </c>
      <c r="C4663" s="2">
        <f>IFERROR(__xludf.DUMMYFUNCTION("""COMPUTED_VALUE"""),308.0)</f>
        <v>308</v>
      </c>
      <c r="D4663" s="3">
        <f>IFERROR(__xludf.DUMMYFUNCTION("""COMPUTED_VALUE"""),297.0)</f>
        <v>297</v>
      </c>
      <c r="E4663" s="2"/>
      <c r="F4663" s="2"/>
    </row>
    <row r="4664">
      <c r="A4664" s="2">
        <f>IFERROR(__xludf.DUMMYFUNCTION("""COMPUTED_VALUE"""),46895.0)</f>
        <v>46895</v>
      </c>
      <c r="B4664" s="2">
        <f>IFERROR(__xludf.DUMMYFUNCTION("""COMPUTED_VALUE"""),0.0)</f>
        <v>0</v>
      </c>
      <c r="C4664" s="2">
        <f>IFERROR(__xludf.DUMMYFUNCTION("""COMPUTED_VALUE"""),453.0)</f>
        <v>453</v>
      </c>
      <c r="D4664" s="3">
        <f>IFERROR(__xludf.DUMMYFUNCTION("""COMPUTED_VALUE"""),369.0)</f>
        <v>369</v>
      </c>
      <c r="E4664" s="2"/>
      <c r="F4664" s="2"/>
    </row>
    <row r="4665">
      <c r="A4665" s="2">
        <f>IFERROR(__xludf.DUMMYFUNCTION("""COMPUTED_VALUE"""),86157.0)</f>
        <v>86157</v>
      </c>
      <c r="B4665" s="2">
        <f>IFERROR(__xludf.DUMMYFUNCTION("""COMPUTED_VALUE"""),1.0)</f>
        <v>1</v>
      </c>
      <c r="C4665" s="2">
        <f>IFERROR(__xludf.DUMMYFUNCTION("""COMPUTED_VALUE"""),132.0)</f>
        <v>132</v>
      </c>
      <c r="D4665" s="3">
        <f>IFERROR(__xludf.DUMMYFUNCTION("""COMPUTED_VALUE"""),46.0)</f>
        <v>46</v>
      </c>
      <c r="E4665" s="2"/>
      <c r="F4665" s="2"/>
    </row>
    <row r="4666">
      <c r="A4666" s="2">
        <f>IFERROR(__xludf.DUMMYFUNCTION("""COMPUTED_VALUE"""),159110.0)</f>
        <v>159110</v>
      </c>
      <c r="B4666" s="2">
        <f>IFERROR(__xludf.DUMMYFUNCTION("""COMPUTED_VALUE"""),1.0)</f>
        <v>1</v>
      </c>
      <c r="C4666" s="2">
        <f>IFERROR(__xludf.DUMMYFUNCTION("""COMPUTED_VALUE"""),361.0)</f>
        <v>361</v>
      </c>
      <c r="D4666" s="3">
        <f>IFERROR(__xludf.DUMMYFUNCTION("""COMPUTED_VALUE"""),351.0)</f>
        <v>351</v>
      </c>
      <c r="E4666" s="2"/>
      <c r="F4666" s="2"/>
    </row>
    <row r="4667">
      <c r="A4667" s="2">
        <f>IFERROR(__xludf.DUMMYFUNCTION("""COMPUTED_VALUE"""),46913.0)</f>
        <v>46913</v>
      </c>
      <c r="B4667" s="2">
        <f>IFERROR(__xludf.DUMMYFUNCTION("""COMPUTED_VALUE"""),0.0)</f>
        <v>0</v>
      </c>
      <c r="C4667" s="2">
        <f>IFERROR(__xludf.DUMMYFUNCTION("""COMPUTED_VALUE"""),597.0)</f>
        <v>597</v>
      </c>
      <c r="D4667" s="3">
        <f>IFERROR(__xludf.DUMMYFUNCTION("""COMPUTED_VALUE"""),80.0)</f>
        <v>80</v>
      </c>
      <c r="E4667" s="2"/>
      <c r="F4667" s="2"/>
    </row>
    <row r="4668">
      <c r="A4668" s="2">
        <f>IFERROR(__xludf.DUMMYFUNCTION("""COMPUTED_VALUE"""),71400.0)</f>
        <v>71400</v>
      </c>
      <c r="B4668" s="2">
        <f>IFERROR(__xludf.DUMMYFUNCTION("""COMPUTED_VALUE"""),1.0)</f>
        <v>1</v>
      </c>
      <c r="C4668" s="2">
        <f>IFERROR(__xludf.DUMMYFUNCTION("""COMPUTED_VALUE"""),200.0)</f>
        <v>200</v>
      </c>
      <c r="D4668" s="3">
        <f>IFERROR(__xludf.DUMMYFUNCTION("""COMPUTED_VALUE"""),89.0)</f>
        <v>89</v>
      </c>
      <c r="E4668" s="2"/>
      <c r="F4668" s="2"/>
    </row>
    <row r="4669">
      <c r="A4669" s="2">
        <f>IFERROR(__xludf.DUMMYFUNCTION("""COMPUTED_VALUE"""),46914.0)</f>
        <v>46914</v>
      </c>
      <c r="B4669" s="2">
        <f>IFERROR(__xludf.DUMMYFUNCTION("""COMPUTED_VALUE"""),0.0)</f>
        <v>0</v>
      </c>
      <c r="C4669" s="2">
        <f>IFERROR(__xludf.DUMMYFUNCTION("""COMPUTED_VALUE"""),177.0)</f>
        <v>177</v>
      </c>
      <c r="D4669" s="3">
        <f>IFERROR(__xludf.DUMMYFUNCTION("""COMPUTED_VALUE"""),93.0)</f>
        <v>93</v>
      </c>
      <c r="E4669" s="2"/>
      <c r="F4669" s="2"/>
    </row>
    <row r="4670">
      <c r="A4670" s="2">
        <f>IFERROR(__xludf.DUMMYFUNCTION("""COMPUTED_VALUE"""),120300.0)</f>
        <v>120300</v>
      </c>
      <c r="B4670" s="2">
        <f>IFERROR(__xludf.DUMMYFUNCTION("""COMPUTED_VALUE"""),0.0)</f>
        <v>0</v>
      </c>
      <c r="C4670" s="2">
        <f>IFERROR(__xludf.DUMMYFUNCTION("""COMPUTED_VALUE"""),325.0)</f>
        <v>325</v>
      </c>
      <c r="D4670" s="3">
        <f>IFERROR(__xludf.DUMMYFUNCTION("""COMPUTED_VALUE"""),285.0)</f>
        <v>285</v>
      </c>
      <c r="E4670" s="2"/>
      <c r="F4670" s="2"/>
    </row>
    <row r="4671">
      <c r="A4671" s="2">
        <f>IFERROR(__xludf.DUMMYFUNCTION("""COMPUTED_VALUE"""),71412.0)</f>
        <v>71412</v>
      </c>
      <c r="B4671" s="2">
        <f>IFERROR(__xludf.DUMMYFUNCTION("""COMPUTED_VALUE"""),1.0)</f>
        <v>1</v>
      </c>
      <c r="C4671" s="2">
        <f>IFERROR(__xludf.DUMMYFUNCTION("""COMPUTED_VALUE"""),739.0)</f>
        <v>739</v>
      </c>
      <c r="D4671" s="3">
        <f>IFERROR(__xludf.DUMMYFUNCTION("""COMPUTED_VALUE"""),437.0)</f>
        <v>437</v>
      </c>
      <c r="E4671" s="2"/>
      <c r="F4671" s="2"/>
    </row>
    <row r="4672">
      <c r="A4672" s="2">
        <f>IFERROR(__xludf.DUMMYFUNCTION("""COMPUTED_VALUE"""),71415.0)</f>
        <v>71415</v>
      </c>
      <c r="B4672" s="2">
        <f>IFERROR(__xludf.DUMMYFUNCTION("""COMPUTED_VALUE"""),0.0)</f>
        <v>0</v>
      </c>
      <c r="C4672" s="2">
        <f>IFERROR(__xludf.DUMMYFUNCTION("""COMPUTED_VALUE"""),744.0)</f>
        <v>744</v>
      </c>
      <c r="D4672" s="3">
        <f>IFERROR(__xludf.DUMMYFUNCTION("""COMPUTED_VALUE"""),259.0)</f>
        <v>259</v>
      </c>
      <c r="E4672" s="2"/>
      <c r="F4672" s="2"/>
    </row>
    <row r="4673">
      <c r="A4673" s="2">
        <f>IFERROR(__xludf.DUMMYFUNCTION("""COMPUTED_VALUE"""),71414.0)</f>
        <v>71414</v>
      </c>
      <c r="B4673" s="2">
        <f>IFERROR(__xludf.DUMMYFUNCTION("""COMPUTED_VALUE"""),0.0)</f>
        <v>0</v>
      </c>
      <c r="C4673" s="2">
        <f>IFERROR(__xludf.DUMMYFUNCTION("""COMPUTED_VALUE"""),196.0)</f>
        <v>196</v>
      </c>
      <c r="D4673" s="3">
        <f>IFERROR(__xludf.DUMMYFUNCTION("""COMPUTED_VALUE"""),112.0)</f>
        <v>112</v>
      </c>
      <c r="E4673" s="2"/>
      <c r="F4673" s="2"/>
    </row>
    <row r="4674">
      <c r="A4674" s="2">
        <f>IFERROR(__xludf.DUMMYFUNCTION("""COMPUTED_VALUE"""),10336.0)</f>
        <v>10336</v>
      </c>
      <c r="B4674" s="2">
        <f>IFERROR(__xludf.DUMMYFUNCTION("""COMPUTED_VALUE"""),0.0)</f>
        <v>0</v>
      </c>
      <c r="C4674" s="2">
        <f>IFERROR(__xludf.DUMMYFUNCTION("""COMPUTED_VALUE"""),300.0)</f>
        <v>300</v>
      </c>
      <c r="D4674" s="3">
        <f>IFERROR(__xludf.DUMMYFUNCTION("""COMPUTED_VALUE"""),40.0)</f>
        <v>40</v>
      </c>
      <c r="E4674" s="2"/>
      <c r="F4674" s="2"/>
    </row>
    <row r="4675">
      <c r="A4675" s="2">
        <f>IFERROR(__xludf.DUMMYFUNCTION("""COMPUTED_VALUE"""),125173.0)</f>
        <v>125173</v>
      </c>
      <c r="B4675" s="2">
        <f>IFERROR(__xludf.DUMMYFUNCTION("""COMPUTED_VALUE"""),0.0)</f>
        <v>0</v>
      </c>
      <c r="C4675" s="2">
        <f>IFERROR(__xludf.DUMMYFUNCTION("""COMPUTED_VALUE"""),264.0)</f>
        <v>264</v>
      </c>
      <c r="D4675" s="3">
        <f>IFERROR(__xludf.DUMMYFUNCTION("""COMPUTED_VALUE"""),138.0)</f>
        <v>138</v>
      </c>
      <c r="E4675" s="2"/>
      <c r="F4675" s="2"/>
    </row>
    <row r="4676">
      <c r="A4676" s="2">
        <f>IFERROR(__xludf.DUMMYFUNCTION("""COMPUTED_VALUE"""),112994.0)</f>
        <v>112994</v>
      </c>
      <c r="B4676" s="2">
        <f>IFERROR(__xludf.DUMMYFUNCTION("""COMPUTED_VALUE"""),0.0)</f>
        <v>0</v>
      </c>
      <c r="C4676" s="2">
        <f>IFERROR(__xludf.DUMMYFUNCTION("""COMPUTED_VALUE"""),56.0)</f>
        <v>56</v>
      </c>
      <c r="D4676" s="3">
        <f>IFERROR(__xludf.DUMMYFUNCTION("""COMPUTED_VALUE"""),12.0)</f>
        <v>12</v>
      </c>
      <c r="E4676" s="2"/>
      <c r="F4676" s="2"/>
    </row>
    <row r="4677">
      <c r="A4677" s="2">
        <f>IFERROR(__xludf.DUMMYFUNCTION("""COMPUTED_VALUE"""),125182.0)</f>
        <v>125182</v>
      </c>
      <c r="B4677" s="2">
        <f>IFERROR(__xludf.DUMMYFUNCTION("""COMPUTED_VALUE"""),1.0)</f>
        <v>1</v>
      </c>
      <c r="C4677" s="2">
        <f>IFERROR(__xludf.DUMMYFUNCTION("""COMPUTED_VALUE"""),892.0)</f>
        <v>892</v>
      </c>
      <c r="D4677" s="3">
        <f>IFERROR(__xludf.DUMMYFUNCTION("""COMPUTED_VALUE"""),864.0)</f>
        <v>864</v>
      </c>
      <c r="E4677" s="2"/>
      <c r="F4677" s="2"/>
    </row>
    <row r="4678">
      <c r="A4678" s="2">
        <f>IFERROR(__xludf.DUMMYFUNCTION("""COMPUTED_VALUE"""),121112.0)</f>
        <v>121112</v>
      </c>
      <c r="B4678" s="2">
        <f>IFERROR(__xludf.DUMMYFUNCTION("""COMPUTED_VALUE"""),1.0)</f>
        <v>1</v>
      </c>
      <c r="C4678" s="2">
        <f>IFERROR(__xludf.DUMMYFUNCTION("""COMPUTED_VALUE"""),794.0)</f>
        <v>794</v>
      </c>
      <c r="D4678" s="3">
        <f>IFERROR(__xludf.DUMMYFUNCTION("""COMPUTED_VALUE"""),124.0)</f>
        <v>124</v>
      </c>
      <c r="E4678" s="2"/>
      <c r="F4678" s="2"/>
    </row>
    <row r="4679">
      <c r="A4679" s="2">
        <f>IFERROR(__xludf.DUMMYFUNCTION("""COMPUTED_VALUE"""),125172.0)</f>
        <v>125172</v>
      </c>
      <c r="B4679" s="2">
        <f>IFERROR(__xludf.DUMMYFUNCTION("""COMPUTED_VALUE"""),0.0)</f>
        <v>0</v>
      </c>
      <c r="C4679" s="2">
        <f>IFERROR(__xludf.DUMMYFUNCTION("""COMPUTED_VALUE"""),182.0)</f>
        <v>182</v>
      </c>
      <c r="D4679" s="3">
        <f>IFERROR(__xludf.DUMMYFUNCTION("""COMPUTED_VALUE"""),169.0)</f>
        <v>169</v>
      </c>
      <c r="E4679" s="2"/>
      <c r="F4679" s="2"/>
    </row>
    <row r="4680">
      <c r="A4680" s="2">
        <f>IFERROR(__xludf.DUMMYFUNCTION("""COMPUTED_VALUE"""),125196.0)</f>
        <v>125196</v>
      </c>
      <c r="B4680" s="2">
        <f>IFERROR(__xludf.DUMMYFUNCTION("""COMPUTED_VALUE"""),0.0)</f>
        <v>0</v>
      </c>
      <c r="C4680" s="2">
        <f>IFERROR(__xludf.DUMMYFUNCTION("""COMPUTED_VALUE"""),393.0)</f>
        <v>393</v>
      </c>
      <c r="D4680" s="3">
        <f>IFERROR(__xludf.DUMMYFUNCTION("""COMPUTED_VALUE"""),152.0)</f>
        <v>152</v>
      </c>
      <c r="E4680" s="2"/>
      <c r="F4680" s="2"/>
    </row>
    <row r="4681">
      <c r="A4681" s="2">
        <f>IFERROR(__xludf.DUMMYFUNCTION("""COMPUTED_VALUE"""),125192.0)</f>
        <v>125192</v>
      </c>
      <c r="B4681" s="2">
        <f>IFERROR(__xludf.DUMMYFUNCTION("""COMPUTED_VALUE"""),1.0)</f>
        <v>1</v>
      </c>
      <c r="C4681" s="2">
        <f>IFERROR(__xludf.DUMMYFUNCTION("""COMPUTED_VALUE"""),864.0)</f>
        <v>864</v>
      </c>
      <c r="D4681" s="3">
        <f>IFERROR(__xludf.DUMMYFUNCTION("""COMPUTED_VALUE"""),560.0)</f>
        <v>560</v>
      </c>
      <c r="E4681" s="2"/>
      <c r="F4681" s="2"/>
    </row>
    <row r="4682">
      <c r="A4682" s="2">
        <f>IFERROR(__xludf.DUMMYFUNCTION("""COMPUTED_VALUE"""),125194.0)</f>
        <v>125194</v>
      </c>
      <c r="B4682" s="2">
        <f>IFERROR(__xludf.DUMMYFUNCTION("""COMPUTED_VALUE"""),0.0)</f>
        <v>0</v>
      </c>
      <c r="C4682" s="2">
        <f>IFERROR(__xludf.DUMMYFUNCTION("""COMPUTED_VALUE"""),627.0)</f>
        <v>627</v>
      </c>
      <c r="D4682" s="3">
        <f>IFERROR(__xludf.DUMMYFUNCTION("""COMPUTED_VALUE"""),167.0)</f>
        <v>167</v>
      </c>
      <c r="E4682" s="2"/>
      <c r="F4682" s="2"/>
    </row>
    <row r="4683">
      <c r="A4683" s="2">
        <f>IFERROR(__xludf.DUMMYFUNCTION("""COMPUTED_VALUE"""),125198.0)</f>
        <v>125198</v>
      </c>
      <c r="B4683" s="2">
        <f>IFERROR(__xludf.DUMMYFUNCTION("""COMPUTED_VALUE"""),1.0)</f>
        <v>1</v>
      </c>
      <c r="C4683" s="2">
        <f>IFERROR(__xludf.DUMMYFUNCTION("""COMPUTED_VALUE"""),399.0)</f>
        <v>399</v>
      </c>
      <c r="D4683" s="3">
        <f>IFERROR(__xludf.DUMMYFUNCTION("""COMPUTED_VALUE"""),126.0)</f>
        <v>126</v>
      </c>
      <c r="E4683" s="2"/>
      <c r="F4683" s="2"/>
    </row>
    <row r="4684">
      <c r="A4684" s="2">
        <f>IFERROR(__xludf.DUMMYFUNCTION("""COMPUTED_VALUE"""),111220.0)</f>
        <v>111220</v>
      </c>
      <c r="B4684" s="2">
        <f>IFERROR(__xludf.DUMMYFUNCTION("""COMPUTED_VALUE"""),0.0)</f>
        <v>0</v>
      </c>
      <c r="C4684" s="2">
        <f>IFERROR(__xludf.DUMMYFUNCTION("""COMPUTED_VALUE"""),170.0)</f>
        <v>170</v>
      </c>
      <c r="D4684" s="3">
        <f>IFERROR(__xludf.DUMMYFUNCTION("""COMPUTED_VALUE"""),37.0)</f>
        <v>37</v>
      </c>
      <c r="E4684" s="2"/>
      <c r="F4684" s="2"/>
    </row>
    <row r="4685">
      <c r="A4685" s="2">
        <f>IFERROR(__xludf.DUMMYFUNCTION("""COMPUTED_VALUE"""),105969.0)</f>
        <v>105969</v>
      </c>
      <c r="B4685" s="2">
        <f>IFERROR(__xludf.DUMMYFUNCTION("""COMPUTED_VALUE"""),1.0)</f>
        <v>1</v>
      </c>
      <c r="C4685" s="2">
        <f>IFERROR(__xludf.DUMMYFUNCTION("""COMPUTED_VALUE"""),122.0)</f>
        <v>122</v>
      </c>
      <c r="D4685" s="3">
        <f>IFERROR(__xludf.DUMMYFUNCTION("""COMPUTED_VALUE"""),49.0)</f>
        <v>49</v>
      </c>
      <c r="E4685" s="2"/>
      <c r="F4685" s="2"/>
    </row>
    <row r="4686">
      <c r="A4686" s="2">
        <f>IFERROR(__xludf.DUMMYFUNCTION("""COMPUTED_VALUE"""),105981.0)</f>
        <v>105981</v>
      </c>
      <c r="B4686" s="2">
        <f>IFERROR(__xludf.DUMMYFUNCTION("""COMPUTED_VALUE"""),0.0)</f>
        <v>0</v>
      </c>
      <c r="C4686" s="2">
        <f>IFERROR(__xludf.DUMMYFUNCTION("""COMPUTED_VALUE"""),660.0)</f>
        <v>660</v>
      </c>
      <c r="D4686" s="3">
        <f>IFERROR(__xludf.DUMMYFUNCTION("""COMPUTED_VALUE"""),56.0)</f>
        <v>56</v>
      </c>
      <c r="E4686" s="2"/>
      <c r="F4686" s="2"/>
    </row>
    <row r="4687">
      <c r="A4687" s="2">
        <f>IFERROR(__xludf.DUMMYFUNCTION("""COMPUTED_VALUE"""),125185.0)</f>
        <v>125185</v>
      </c>
      <c r="B4687" s="2">
        <f>IFERROR(__xludf.DUMMYFUNCTION("""COMPUTED_VALUE"""),1.0)</f>
        <v>1</v>
      </c>
      <c r="C4687" s="2">
        <f>IFERROR(__xludf.DUMMYFUNCTION("""COMPUTED_VALUE"""),218.0)</f>
        <v>218</v>
      </c>
      <c r="D4687" s="3">
        <f>IFERROR(__xludf.DUMMYFUNCTION("""COMPUTED_VALUE"""),158.0)</f>
        <v>158</v>
      </c>
      <c r="E4687" s="2"/>
      <c r="F4687" s="2"/>
    </row>
    <row r="4688">
      <c r="A4688" s="2">
        <f>IFERROR(__xludf.DUMMYFUNCTION("""COMPUTED_VALUE"""),111605.0)</f>
        <v>111605</v>
      </c>
      <c r="B4688" s="2">
        <f>IFERROR(__xludf.DUMMYFUNCTION("""COMPUTED_VALUE"""),0.0)</f>
        <v>0</v>
      </c>
      <c r="C4688" s="2">
        <f>IFERROR(__xludf.DUMMYFUNCTION("""COMPUTED_VALUE"""),246.0)</f>
        <v>246</v>
      </c>
      <c r="D4688" s="3">
        <f>IFERROR(__xludf.DUMMYFUNCTION("""COMPUTED_VALUE"""),208.0)</f>
        <v>208</v>
      </c>
      <c r="E4688" s="2"/>
      <c r="F4688" s="2"/>
    </row>
    <row r="4689">
      <c r="A4689" s="2">
        <f>IFERROR(__xludf.DUMMYFUNCTION("""COMPUTED_VALUE"""),111608.0)</f>
        <v>111608</v>
      </c>
      <c r="B4689" s="2">
        <f>IFERROR(__xludf.DUMMYFUNCTION("""COMPUTED_VALUE"""),1.0)</f>
        <v>1</v>
      </c>
      <c r="C4689" s="2">
        <f>IFERROR(__xludf.DUMMYFUNCTION("""COMPUTED_VALUE"""),459.0)</f>
        <v>459</v>
      </c>
      <c r="D4689" s="3">
        <f>IFERROR(__xludf.DUMMYFUNCTION("""COMPUTED_VALUE"""),38.0)</f>
        <v>38</v>
      </c>
      <c r="E4689" s="2"/>
      <c r="F4689" s="2"/>
    </row>
    <row r="4690">
      <c r="A4690" s="2">
        <f>IFERROR(__xludf.DUMMYFUNCTION("""COMPUTED_VALUE"""),97023.0)</f>
        <v>97023</v>
      </c>
      <c r="B4690" s="2">
        <f>IFERROR(__xludf.DUMMYFUNCTION("""COMPUTED_VALUE"""),1.0)</f>
        <v>1</v>
      </c>
      <c r="C4690" s="2">
        <f>IFERROR(__xludf.DUMMYFUNCTION("""COMPUTED_VALUE"""),80.0)</f>
        <v>80</v>
      </c>
      <c r="D4690" s="3">
        <f>IFERROR(__xludf.DUMMYFUNCTION("""COMPUTED_VALUE"""),10.0)</f>
        <v>10</v>
      </c>
      <c r="E4690" s="2"/>
      <c r="F4690" s="2"/>
    </row>
    <row r="4691">
      <c r="A4691" s="2">
        <f>IFERROR(__xludf.DUMMYFUNCTION("""COMPUTED_VALUE"""),111607.0)</f>
        <v>111607</v>
      </c>
      <c r="B4691" s="2">
        <f>IFERROR(__xludf.DUMMYFUNCTION("""COMPUTED_VALUE"""),1.0)</f>
        <v>1</v>
      </c>
      <c r="C4691" s="2">
        <f>IFERROR(__xludf.DUMMYFUNCTION("""COMPUTED_VALUE"""),35.0)</f>
        <v>35</v>
      </c>
      <c r="D4691" s="3">
        <f>IFERROR(__xludf.DUMMYFUNCTION("""COMPUTED_VALUE"""),27.0)</f>
        <v>27</v>
      </c>
      <c r="E4691" s="2"/>
      <c r="F4691" s="2"/>
    </row>
    <row r="4692">
      <c r="A4692" s="2">
        <f>IFERROR(__xludf.DUMMYFUNCTION("""COMPUTED_VALUE"""),71083.0)</f>
        <v>71083</v>
      </c>
      <c r="B4692" s="2">
        <f>IFERROR(__xludf.DUMMYFUNCTION("""COMPUTED_VALUE"""),1.0)</f>
        <v>1</v>
      </c>
      <c r="C4692" s="2">
        <f>IFERROR(__xludf.DUMMYFUNCTION("""COMPUTED_VALUE"""),659.0)</f>
        <v>659</v>
      </c>
      <c r="D4692" s="3">
        <f>IFERROR(__xludf.DUMMYFUNCTION("""COMPUTED_VALUE"""),247.0)</f>
        <v>247</v>
      </c>
      <c r="E4692" s="2"/>
      <c r="F4692" s="2"/>
    </row>
    <row r="4693">
      <c r="A4693" s="2">
        <f>IFERROR(__xludf.DUMMYFUNCTION("""COMPUTED_VALUE"""),118178.0)</f>
        <v>118178</v>
      </c>
      <c r="B4693" s="2">
        <f>IFERROR(__xludf.DUMMYFUNCTION("""COMPUTED_VALUE"""),0.0)</f>
        <v>0</v>
      </c>
      <c r="C4693" s="2">
        <f>IFERROR(__xludf.DUMMYFUNCTION("""COMPUTED_VALUE"""),634.0)</f>
        <v>634</v>
      </c>
      <c r="D4693" s="3">
        <f>IFERROR(__xludf.DUMMYFUNCTION("""COMPUTED_VALUE"""),0.0)</f>
        <v>0</v>
      </c>
      <c r="E4693" s="2"/>
      <c r="F4693" s="2"/>
    </row>
    <row r="4694">
      <c r="A4694" s="2">
        <f>IFERROR(__xludf.DUMMYFUNCTION("""COMPUTED_VALUE"""),81767.0)</f>
        <v>81767</v>
      </c>
      <c r="B4694" s="2">
        <f>IFERROR(__xludf.DUMMYFUNCTION("""COMPUTED_VALUE"""),0.0)</f>
        <v>0</v>
      </c>
      <c r="C4694" s="2">
        <f>IFERROR(__xludf.DUMMYFUNCTION("""COMPUTED_VALUE"""),848.0)</f>
        <v>848</v>
      </c>
      <c r="D4694" s="3">
        <f>IFERROR(__xludf.DUMMYFUNCTION("""COMPUTED_VALUE"""),129.0)</f>
        <v>129</v>
      </c>
      <c r="E4694" s="2"/>
      <c r="F4694" s="2"/>
    </row>
    <row r="4695">
      <c r="A4695" s="2">
        <f>IFERROR(__xludf.DUMMYFUNCTION("""COMPUTED_VALUE"""),118186.0)</f>
        <v>118186</v>
      </c>
      <c r="B4695" s="2">
        <f>IFERROR(__xludf.DUMMYFUNCTION("""COMPUTED_VALUE"""),0.0)</f>
        <v>0</v>
      </c>
      <c r="C4695" s="2">
        <f>IFERROR(__xludf.DUMMYFUNCTION("""COMPUTED_VALUE"""),636.0)</f>
        <v>636</v>
      </c>
      <c r="D4695" s="3">
        <f>IFERROR(__xludf.DUMMYFUNCTION("""COMPUTED_VALUE"""),306.0)</f>
        <v>306</v>
      </c>
      <c r="E4695" s="2"/>
      <c r="F4695" s="2"/>
    </row>
    <row r="4696">
      <c r="A4696" s="2">
        <f>IFERROR(__xludf.DUMMYFUNCTION("""COMPUTED_VALUE"""),43228.0)</f>
        <v>43228</v>
      </c>
      <c r="B4696" s="2">
        <f>IFERROR(__xludf.DUMMYFUNCTION("""COMPUTED_VALUE"""),1.0)</f>
        <v>1</v>
      </c>
      <c r="C4696" s="2">
        <f>IFERROR(__xludf.DUMMYFUNCTION("""COMPUTED_VALUE"""),655.0)</f>
        <v>655</v>
      </c>
      <c r="D4696" s="3">
        <f>IFERROR(__xludf.DUMMYFUNCTION("""COMPUTED_VALUE"""),246.0)</f>
        <v>246</v>
      </c>
      <c r="E4696" s="2"/>
      <c r="F4696" s="2"/>
    </row>
    <row r="4697">
      <c r="A4697" s="2">
        <f>IFERROR(__xludf.DUMMYFUNCTION("""COMPUTED_VALUE"""),199268.0)</f>
        <v>199268</v>
      </c>
      <c r="B4697" s="2">
        <f>IFERROR(__xludf.DUMMYFUNCTION("""COMPUTED_VALUE"""),1.0)</f>
        <v>1</v>
      </c>
      <c r="C4697" s="2">
        <f>IFERROR(__xludf.DUMMYFUNCTION("""COMPUTED_VALUE"""),363.0)</f>
        <v>363</v>
      </c>
      <c r="D4697" s="3">
        <f>IFERROR(__xludf.DUMMYFUNCTION("""COMPUTED_VALUE"""),289.0)</f>
        <v>289</v>
      </c>
      <c r="E4697" s="2"/>
      <c r="F4697" s="2"/>
    </row>
    <row r="4698">
      <c r="A4698" s="2">
        <f>IFERROR(__xludf.DUMMYFUNCTION("""COMPUTED_VALUE"""),118196.0)</f>
        <v>118196</v>
      </c>
      <c r="B4698" s="2">
        <f>IFERROR(__xludf.DUMMYFUNCTION("""COMPUTED_VALUE"""),0.0)</f>
        <v>0</v>
      </c>
      <c r="C4698" s="2">
        <f>IFERROR(__xludf.DUMMYFUNCTION("""COMPUTED_VALUE"""),312.0)</f>
        <v>312</v>
      </c>
      <c r="D4698" s="3">
        <f>IFERROR(__xludf.DUMMYFUNCTION("""COMPUTED_VALUE"""),143.0)</f>
        <v>143</v>
      </c>
      <c r="E4698" s="2"/>
      <c r="F4698" s="2"/>
    </row>
    <row r="4699">
      <c r="A4699" s="2">
        <f>IFERROR(__xludf.DUMMYFUNCTION("""COMPUTED_VALUE"""),71084.0)</f>
        <v>71084</v>
      </c>
      <c r="B4699" s="2">
        <f>IFERROR(__xludf.DUMMYFUNCTION("""COMPUTED_VALUE"""),1.0)</f>
        <v>1</v>
      </c>
      <c r="C4699" s="2">
        <f>IFERROR(__xludf.DUMMYFUNCTION("""COMPUTED_VALUE"""),906.0)</f>
        <v>906</v>
      </c>
      <c r="D4699" s="3">
        <f>IFERROR(__xludf.DUMMYFUNCTION("""COMPUTED_VALUE"""),253.0)</f>
        <v>253</v>
      </c>
      <c r="E4699" s="2"/>
      <c r="F4699" s="2"/>
    </row>
    <row r="4700">
      <c r="A4700" s="2">
        <f>IFERROR(__xludf.DUMMYFUNCTION("""COMPUTED_VALUE"""),120587.0)</f>
        <v>120587</v>
      </c>
      <c r="B4700" s="2">
        <f>IFERROR(__xludf.DUMMYFUNCTION("""COMPUTED_VALUE"""),1.0)</f>
        <v>1</v>
      </c>
      <c r="C4700" s="2">
        <f>IFERROR(__xludf.DUMMYFUNCTION("""COMPUTED_VALUE"""),881.0)</f>
        <v>881</v>
      </c>
      <c r="D4700" s="3">
        <f>IFERROR(__xludf.DUMMYFUNCTION("""COMPUTED_VALUE"""),816.0)</f>
        <v>816</v>
      </c>
      <c r="E4700" s="2"/>
      <c r="F4700" s="2"/>
    </row>
    <row r="4701">
      <c r="A4701" s="2">
        <f>IFERROR(__xludf.DUMMYFUNCTION("""COMPUTED_VALUE"""),80952.0)</f>
        <v>80952</v>
      </c>
      <c r="B4701" s="2">
        <f>IFERROR(__xludf.DUMMYFUNCTION("""COMPUTED_VALUE"""),0.0)</f>
        <v>0</v>
      </c>
      <c r="C4701" s="2">
        <f>IFERROR(__xludf.DUMMYFUNCTION("""COMPUTED_VALUE"""),705.0)</f>
        <v>705</v>
      </c>
      <c r="D4701" s="3">
        <f>IFERROR(__xludf.DUMMYFUNCTION("""COMPUTED_VALUE"""),180.0)</f>
        <v>180</v>
      </c>
      <c r="E4701" s="2"/>
      <c r="F4701" s="2"/>
    </row>
    <row r="4702">
      <c r="A4702" s="2">
        <f>IFERROR(__xludf.DUMMYFUNCTION("""COMPUTED_VALUE"""),120575.0)</f>
        <v>120575</v>
      </c>
      <c r="B4702" s="2">
        <f>IFERROR(__xludf.DUMMYFUNCTION("""COMPUTED_VALUE"""),0.0)</f>
        <v>0</v>
      </c>
      <c r="C4702" s="2">
        <f>IFERROR(__xludf.DUMMYFUNCTION("""COMPUTED_VALUE"""),422.0)</f>
        <v>422</v>
      </c>
      <c r="D4702" s="3">
        <f>IFERROR(__xludf.DUMMYFUNCTION("""COMPUTED_VALUE"""),279.0)</f>
        <v>279</v>
      </c>
      <c r="E4702" s="2"/>
      <c r="F4702" s="2"/>
    </row>
    <row r="4703">
      <c r="A4703" s="2">
        <f>IFERROR(__xludf.DUMMYFUNCTION("""COMPUTED_VALUE"""),43244.0)</f>
        <v>43244</v>
      </c>
      <c r="B4703" s="2">
        <f>IFERROR(__xludf.DUMMYFUNCTION("""COMPUTED_VALUE"""),1.0)</f>
        <v>1</v>
      </c>
      <c r="C4703" s="2">
        <f>IFERROR(__xludf.DUMMYFUNCTION("""COMPUTED_VALUE"""),771.0)</f>
        <v>771</v>
      </c>
      <c r="D4703" s="3">
        <f>IFERROR(__xludf.DUMMYFUNCTION("""COMPUTED_VALUE"""),532.0)</f>
        <v>532</v>
      </c>
      <c r="E4703" s="2"/>
      <c r="F4703" s="2"/>
    </row>
    <row r="4704">
      <c r="A4704" s="2">
        <f>IFERROR(__xludf.DUMMYFUNCTION("""COMPUTED_VALUE"""),116477.0)</f>
        <v>116477</v>
      </c>
      <c r="B4704" s="2">
        <f>IFERROR(__xludf.DUMMYFUNCTION("""COMPUTED_VALUE"""),1.0)</f>
        <v>1</v>
      </c>
      <c r="C4704" s="2">
        <f>IFERROR(__xludf.DUMMYFUNCTION("""COMPUTED_VALUE"""),218.0)</f>
        <v>218</v>
      </c>
      <c r="D4704" s="3">
        <f>IFERROR(__xludf.DUMMYFUNCTION("""COMPUTED_VALUE"""),162.0)</f>
        <v>162</v>
      </c>
      <c r="E4704" s="2"/>
      <c r="F4704" s="2"/>
    </row>
    <row r="4705">
      <c r="A4705" s="2">
        <f>IFERROR(__xludf.DUMMYFUNCTION("""COMPUTED_VALUE"""),110480.0)</f>
        <v>110480</v>
      </c>
      <c r="B4705" s="2">
        <f>IFERROR(__xludf.DUMMYFUNCTION("""COMPUTED_VALUE"""),0.0)</f>
        <v>0</v>
      </c>
      <c r="C4705" s="2">
        <f>IFERROR(__xludf.DUMMYFUNCTION("""COMPUTED_VALUE"""),537.0)</f>
        <v>537</v>
      </c>
      <c r="D4705" s="3">
        <f>IFERROR(__xludf.DUMMYFUNCTION("""COMPUTED_VALUE"""),412.0)</f>
        <v>412</v>
      </c>
      <c r="E4705" s="2"/>
      <c r="F4705" s="2"/>
    </row>
    <row r="4706">
      <c r="A4706" s="2">
        <f>IFERROR(__xludf.DUMMYFUNCTION("""COMPUTED_VALUE"""),87548.0)</f>
        <v>87548</v>
      </c>
      <c r="B4706" s="2">
        <f>IFERROR(__xludf.DUMMYFUNCTION("""COMPUTED_VALUE"""),1.0)</f>
        <v>1</v>
      </c>
      <c r="C4706" s="2">
        <f>IFERROR(__xludf.DUMMYFUNCTION("""COMPUTED_VALUE"""),831.0)</f>
        <v>831</v>
      </c>
      <c r="D4706" s="3">
        <f>IFERROR(__xludf.DUMMYFUNCTION("""COMPUTED_VALUE"""),382.0)</f>
        <v>382</v>
      </c>
      <c r="E4706" s="2"/>
      <c r="F4706" s="2"/>
    </row>
    <row r="4707">
      <c r="A4707" s="2">
        <f>IFERROR(__xludf.DUMMYFUNCTION("""COMPUTED_VALUE"""),77223.0)</f>
        <v>77223</v>
      </c>
      <c r="B4707" s="2">
        <f>IFERROR(__xludf.DUMMYFUNCTION("""COMPUTED_VALUE"""),1.0)</f>
        <v>1</v>
      </c>
      <c r="C4707" s="2">
        <f>IFERROR(__xludf.DUMMYFUNCTION("""COMPUTED_VALUE"""),956.0)</f>
        <v>956</v>
      </c>
      <c r="D4707" s="3">
        <f>IFERROR(__xludf.DUMMYFUNCTION("""COMPUTED_VALUE"""),493.0)</f>
        <v>493</v>
      </c>
      <c r="E4707" s="2"/>
      <c r="F4707" s="2"/>
    </row>
    <row r="4708">
      <c r="A4708" s="2">
        <f>IFERROR(__xludf.DUMMYFUNCTION("""COMPUTED_VALUE"""),43241.0)</f>
        <v>43241</v>
      </c>
      <c r="B4708" s="2">
        <f>IFERROR(__xludf.DUMMYFUNCTION("""COMPUTED_VALUE"""),1.0)</f>
        <v>1</v>
      </c>
      <c r="C4708" s="2">
        <f>IFERROR(__xludf.DUMMYFUNCTION("""COMPUTED_VALUE"""),208.0)</f>
        <v>208</v>
      </c>
      <c r="D4708" s="3">
        <f>IFERROR(__xludf.DUMMYFUNCTION("""COMPUTED_VALUE"""),74.0)</f>
        <v>74</v>
      </c>
      <c r="E4708" s="2"/>
      <c r="F4708" s="2"/>
    </row>
    <row r="4709">
      <c r="A4709" s="2">
        <f>IFERROR(__xludf.DUMMYFUNCTION("""COMPUTED_VALUE"""),71161.0)</f>
        <v>71161</v>
      </c>
      <c r="B4709" s="2">
        <f>IFERROR(__xludf.DUMMYFUNCTION("""COMPUTED_VALUE"""),1.0)</f>
        <v>1</v>
      </c>
      <c r="C4709" s="2">
        <f>IFERROR(__xludf.DUMMYFUNCTION("""COMPUTED_VALUE"""),661.0)</f>
        <v>661</v>
      </c>
      <c r="D4709" s="3">
        <f>IFERROR(__xludf.DUMMYFUNCTION("""COMPUTED_VALUE"""),253.0)</f>
        <v>253</v>
      </c>
      <c r="E4709" s="2"/>
      <c r="F4709" s="2"/>
    </row>
    <row r="4710">
      <c r="A4710" s="2">
        <f>IFERROR(__xludf.DUMMYFUNCTION("""COMPUTED_VALUE"""),77224.0)</f>
        <v>77224</v>
      </c>
      <c r="B4710" s="2">
        <f>IFERROR(__xludf.DUMMYFUNCTION("""COMPUTED_VALUE"""),0.0)</f>
        <v>0</v>
      </c>
      <c r="C4710" s="2">
        <f>IFERROR(__xludf.DUMMYFUNCTION("""COMPUTED_VALUE"""),698.0)</f>
        <v>698</v>
      </c>
      <c r="D4710" s="3">
        <f>IFERROR(__xludf.DUMMYFUNCTION("""COMPUTED_VALUE"""),73.0)</f>
        <v>73</v>
      </c>
      <c r="E4710" s="2"/>
      <c r="F4710" s="2"/>
    </row>
    <row r="4711">
      <c r="A4711" s="2">
        <f>IFERROR(__xludf.DUMMYFUNCTION("""COMPUTED_VALUE"""),113992.0)</f>
        <v>113992</v>
      </c>
      <c r="B4711" s="2">
        <f>IFERROR(__xludf.DUMMYFUNCTION("""COMPUTED_VALUE"""),0.0)</f>
        <v>0</v>
      </c>
      <c r="C4711" s="2">
        <f>IFERROR(__xludf.DUMMYFUNCTION("""COMPUTED_VALUE"""),186.0)</f>
        <v>186</v>
      </c>
      <c r="D4711" s="3">
        <f>IFERROR(__xludf.DUMMYFUNCTION("""COMPUTED_VALUE"""),96.0)</f>
        <v>96</v>
      </c>
      <c r="E4711" s="2"/>
      <c r="F4711" s="2"/>
    </row>
    <row r="4712">
      <c r="A4712" s="2">
        <f>IFERROR(__xludf.DUMMYFUNCTION("""COMPUTED_VALUE"""),112611.0)</f>
        <v>112611</v>
      </c>
      <c r="B4712" s="2">
        <f>IFERROR(__xludf.DUMMYFUNCTION("""COMPUTED_VALUE"""),1.0)</f>
        <v>1</v>
      </c>
      <c r="C4712" s="2">
        <f>IFERROR(__xludf.DUMMYFUNCTION("""COMPUTED_VALUE"""),345.0)</f>
        <v>345</v>
      </c>
      <c r="D4712" s="3">
        <f>IFERROR(__xludf.DUMMYFUNCTION("""COMPUTED_VALUE"""),99.0)</f>
        <v>99</v>
      </c>
      <c r="E4712" s="2"/>
      <c r="F4712" s="2"/>
    </row>
    <row r="4713">
      <c r="A4713" s="2">
        <f>IFERROR(__xludf.DUMMYFUNCTION("""COMPUTED_VALUE"""),116482.0)</f>
        <v>116482</v>
      </c>
      <c r="B4713" s="2">
        <f>IFERROR(__xludf.DUMMYFUNCTION("""COMPUTED_VALUE"""),0.0)</f>
        <v>0</v>
      </c>
      <c r="C4713" s="2">
        <f>IFERROR(__xludf.DUMMYFUNCTION("""COMPUTED_VALUE"""),539.0)</f>
        <v>539</v>
      </c>
      <c r="D4713" s="3">
        <f>IFERROR(__xludf.DUMMYFUNCTION("""COMPUTED_VALUE"""),146.0)</f>
        <v>146</v>
      </c>
      <c r="E4713" s="2"/>
      <c r="F4713" s="2"/>
    </row>
    <row r="4714">
      <c r="A4714" s="2">
        <f>IFERROR(__xludf.DUMMYFUNCTION("""COMPUTED_VALUE"""),77246.0)</f>
        <v>77246</v>
      </c>
      <c r="B4714" s="2">
        <f>IFERROR(__xludf.DUMMYFUNCTION("""COMPUTED_VALUE"""),1.0)</f>
        <v>1</v>
      </c>
      <c r="C4714" s="2">
        <f>IFERROR(__xludf.DUMMYFUNCTION("""COMPUTED_VALUE"""),153.0)</f>
        <v>153</v>
      </c>
      <c r="D4714" s="3">
        <f>IFERROR(__xludf.DUMMYFUNCTION("""COMPUTED_VALUE"""),68.0)</f>
        <v>68</v>
      </c>
      <c r="E4714" s="2"/>
      <c r="F4714" s="2"/>
    </row>
    <row r="4715">
      <c r="A4715" s="2">
        <f>IFERROR(__xludf.DUMMYFUNCTION("""COMPUTED_VALUE"""),122798.0)</f>
        <v>122798</v>
      </c>
      <c r="B4715" s="2">
        <f>IFERROR(__xludf.DUMMYFUNCTION("""COMPUTED_VALUE"""),1.0)</f>
        <v>1</v>
      </c>
      <c r="C4715" s="2">
        <f>IFERROR(__xludf.DUMMYFUNCTION("""COMPUTED_VALUE"""),301.0)</f>
        <v>301</v>
      </c>
      <c r="D4715" s="3">
        <f>IFERROR(__xludf.DUMMYFUNCTION("""COMPUTED_VALUE"""),67.0)</f>
        <v>67</v>
      </c>
      <c r="E4715" s="2"/>
      <c r="F4715" s="2"/>
    </row>
    <row r="4716">
      <c r="A4716" s="2">
        <f>IFERROR(__xludf.DUMMYFUNCTION("""COMPUTED_VALUE"""),120590.0)</f>
        <v>120590</v>
      </c>
      <c r="B4716" s="2">
        <f>IFERROR(__xludf.DUMMYFUNCTION("""COMPUTED_VALUE"""),0.0)</f>
        <v>0</v>
      </c>
      <c r="C4716" s="2">
        <f>IFERROR(__xludf.DUMMYFUNCTION("""COMPUTED_VALUE"""),172.0)</f>
        <v>172</v>
      </c>
      <c r="D4716" s="3">
        <f>IFERROR(__xludf.DUMMYFUNCTION("""COMPUTED_VALUE"""),74.0)</f>
        <v>74</v>
      </c>
      <c r="E4716" s="2"/>
      <c r="F4716" s="2"/>
    </row>
    <row r="4717">
      <c r="A4717" s="2">
        <f>IFERROR(__xludf.DUMMYFUNCTION("""COMPUTED_VALUE"""),71914.0)</f>
        <v>71914</v>
      </c>
      <c r="B4717" s="2">
        <f>IFERROR(__xludf.DUMMYFUNCTION("""COMPUTED_VALUE"""),0.0)</f>
        <v>0</v>
      </c>
      <c r="C4717" s="2">
        <f>IFERROR(__xludf.DUMMYFUNCTION("""COMPUTED_VALUE"""),955.0)</f>
        <v>955</v>
      </c>
      <c r="D4717" s="3">
        <f>IFERROR(__xludf.DUMMYFUNCTION("""COMPUTED_VALUE"""),722.0)</f>
        <v>722</v>
      </c>
      <c r="E4717" s="2"/>
      <c r="F4717" s="2"/>
    </row>
    <row r="4718">
      <c r="A4718" s="2">
        <f>IFERROR(__xludf.DUMMYFUNCTION("""COMPUTED_VALUE"""),118206.0)</f>
        <v>118206</v>
      </c>
      <c r="B4718" s="2">
        <f>IFERROR(__xludf.DUMMYFUNCTION("""COMPUTED_VALUE"""),1.0)</f>
        <v>1</v>
      </c>
      <c r="C4718" s="2">
        <f>IFERROR(__xludf.DUMMYFUNCTION("""COMPUTED_VALUE"""),194.0)</f>
        <v>194</v>
      </c>
      <c r="D4718" s="3">
        <f>IFERROR(__xludf.DUMMYFUNCTION("""COMPUTED_VALUE"""),190.0)</f>
        <v>190</v>
      </c>
      <c r="E4718" s="2"/>
      <c r="F4718" s="2"/>
    </row>
    <row r="4719">
      <c r="A4719" s="2">
        <f>IFERROR(__xludf.DUMMYFUNCTION("""COMPUTED_VALUE"""),118179.0)</f>
        <v>118179</v>
      </c>
      <c r="B4719" s="2">
        <f>IFERROR(__xludf.DUMMYFUNCTION("""COMPUTED_VALUE"""),0.0)</f>
        <v>0</v>
      </c>
      <c r="C4719" s="2">
        <f>IFERROR(__xludf.DUMMYFUNCTION("""COMPUTED_VALUE"""),564.0)</f>
        <v>564</v>
      </c>
      <c r="D4719" s="3">
        <f>IFERROR(__xludf.DUMMYFUNCTION("""COMPUTED_VALUE"""),100.0)</f>
        <v>100</v>
      </c>
      <c r="E4719" s="2"/>
      <c r="F4719" s="2"/>
    </row>
    <row r="4720">
      <c r="A4720" s="2">
        <f>IFERROR(__xludf.DUMMYFUNCTION("""COMPUTED_VALUE"""),43247.0)</f>
        <v>43247</v>
      </c>
      <c r="B4720" s="2">
        <f>IFERROR(__xludf.DUMMYFUNCTION("""COMPUTED_VALUE"""),1.0)</f>
        <v>1</v>
      </c>
      <c r="C4720" s="2">
        <f>IFERROR(__xludf.DUMMYFUNCTION("""COMPUTED_VALUE"""),505.0)</f>
        <v>505</v>
      </c>
      <c r="D4720" s="3">
        <f>IFERROR(__xludf.DUMMYFUNCTION("""COMPUTED_VALUE"""),365.0)</f>
        <v>365</v>
      </c>
      <c r="E4720" s="2"/>
      <c r="F4720" s="2"/>
    </row>
    <row r="4721">
      <c r="A4721" s="2">
        <f>IFERROR(__xludf.DUMMYFUNCTION("""COMPUTED_VALUE"""),71166.0)</f>
        <v>71166</v>
      </c>
      <c r="B4721" s="2">
        <f>IFERROR(__xludf.DUMMYFUNCTION("""COMPUTED_VALUE"""),1.0)</f>
        <v>1</v>
      </c>
      <c r="C4721" s="2">
        <f>IFERROR(__xludf.DUMMYFUNCTION("""COMPUTED_VALUE"""),636.0)</f>
        <v>636</v>
      </c>
      <c r="D4721" s="3">
        <f>IFERROR(__xludf.DUMMYFUNCTION("""COMPUTED_VALUE"""),180.0)</f>
        <v>180</v>
      </c>
      <c r="E4721" s="2"/>
      <c r="F4721" s="2"/>
    </row>
    <row r="4722">
      <c r="A4722" s="2">
        <f>IFERROR(__xludf.DUMMYFUNCTION("""COMPUTED_VALUE"""),43238.0)</f>
        <v>43238</v>
      </c>
      <c r="B4722" s="2">
        <f>IFERROR(__xludf.DUMMYFUNCTION("""COMPUTED_VALUE"""),1.0)</f>
        <v>1</v>
      </c>
      <c r="C4722" s="2">
        <f>IFERROR(__xludf.DUMMYFUNCTION("""COMPUTED_VALUE"""),524.0)</f>
        <v>524</v>
      </c>
      <c r="D4722" s="3">
        <f>IFERROR(__xludf.DUMMYFUNCTION("""COMPUTED_VALUE"""),282.0)</f>
        <v>282</v>
      </c>
      <c r="E4722" s="2"/>
      <c r="F4722" s="2"/>
    </row>
    <row r="4723">
      <c r="A4723" s="2">
        <f>IFERROR(__xludf.DUMMYFUNCTION("""COMPUTED_VALUE"""),114003.0)</f>
        <v>114003</v>
      </c>
      <c r="B4723" s="2">
        <f>IFERROR(__xludf.DUMMYFUNCTION("""COMPUTED_VALUE"""),0.0)</f>
        <v>0</v>
      </c>
      <c r="C4723" s="2">
        <f>IFERROR(__xludf.DUMMYFUNCTION("""COMPUTED_VALUE"""),516.0)</f>
        <v>516</v>
      </c>
      <c r="D4723" s="3">
        <f>IFERROR(__xludf.DUMMYFUNCTION("""COMPUTED_VALUE"""),307.0)</f>
        <v>307</v>
      </c>
      <c r="E4723" s="2"/>
      <c r="F4723" s="2"/>
    </row>
    <row r="4724">
      <c r="A4724" s="2">
        <f>IFERROR(__xludf.DUMMYFUNCTION("""COMPUTED_VALUE"""),87540.0)</f>
        <v>87540</v>
      </c>
      <c r="B4724" s="2">
        <f>IFERROR(__xludf.DUMMYFUNCTION("""COMPUTED_VALUE"""),1.0)</f>
        <v>1</v>
      </c>
      <c r="C4724" s="2">
        <f>IFERROR(__xludf.DUMMYFUNCTION("""COMPUTED_VALUE"""),46.0)</f>
        <v>46</v>
      </c>
      <c r="D4724" s="3">
        <f>IFERROR(__xludf.DUMMYFUNCTION("""COMPUTED_VALUE"""),7.0)</f>
        <v>7</v>
      </c>
      <c r="E4724" s="2"/>
      <c r="F4724" s="2"/>
    </row>
    <row r="4725">
      <c r="A4725" s="2">
        <f>IFERROR(__xludf.DUMMYFUNCTION("""COMPUTED_VALUE"""),77229.0)</f>
        <v>77229</v>
      </c>
      <c r="B4725" s="2">
        <f>IFERROR(__xludf.DUMMYFUNCTION("""COMPUTED_VALUE"""),1.0)</f>
        <v>1</v>
      </c>
      <c r="C4725" s="2">
        <f>IFERROR(__xludf.DUMMYFUNCTION("""COMPUTED_VALUE"""),732.0)</f>
        <v>732</v>
      </c>
      <c r="D4725" s="3">
        <f>IFERROR(__xludf.DUMMYFUNCTION("""COMPUTED_VALUE"""),358.0)</f>
        <v>358</v>
      </c>
      <c r="E4725" s="2"/>
      <c r="F4725" s="2"/>
    </row>
    <row r="4726">
      <c r="A4726" s="2">
        <f>IFERROR(__xludf.DUMMYFUNCTION("""COMPUTED_VALUE"""),113994.0)</f>
        <v>113994</v>
      </c>
      <c r="B4726" s="2">
        <f>IFERROR(__xludf.DUMMYFUNCTION("""COMPUTED_VALUE"""),1.0)</f>
        <v>1</v>
      </c>
      <c r="C4726" s="2">
        <f>IFERROR(__xludf.DUMMYFUNCTION("""COMPUTED_VALUE"""),372.0)</f>
        <v>372</v>
      </c>
      <c r="D4726" s="3">
        <f>IFERROR(__xludf.DUMMYFUNCTION("""COMPUTED_VALUE"""),269.0)</f>
        <v>269</v>
      </c>
      <c r="E4726" s="2"/>
      <c r="F4726" s="2"/>
    </row>
    <row r="4727">
      <c r="A4727" s="2">
        <f>IFERROR(__xludf.DUMMYFUNCTION("""COMPUTED_VALUE"""),106725.0)</f>
        <v>106725</v>
      </c>
      <c r="B4727" s="2">
        <f>IFERROR(__xludf.DUMMYFUNCTION("""COMPUTED_VALUE"""),1.0)</f>
        <v>1</v>
      </c>
      <c r="C4727" s="2">
        <f>IFERROR(__xludf.DUMMYFUNCTION("""COMPUTED_VALUE"""),182.0)</f>
        <v>182</v>
      </c>
      <c r="D4727" s="3">
        <f>IFERROR(__xludf.DUMMYFUNCTION("""COMPUTED_VALUE"""),112.0)</f>
        <v>112</v>
      </c>
      <c r="E4727" s="2"/>
      <c r="F4727" s="2"/>
    </row>
    <row r="4728">
      <c r="A4728" s="2">
        <f>IFERROR(__xludf.DUMMYFUNCTION("""COMPUTED_VALUE"""),43235.0)</f>
        <v>43235</v>
      </c>
      <c r="B4728" s="2">
        <f>IFERROR(__xludf.DUMMYFUNCTION("""COMPUTED_VALUE"""),0.0)</f>
        <v>0</v>
      </c>
      <c r="C4728" s="2">
        <f>IFERROR(__xludf.DUMMYFUNCTION("""COMPUTED_VALUE"""),611.0)</f>
        <v>611</v>
      </c>
      <c r="D4728" s="3">
        <f>IFERROR(__xludf.DUMMYFUNCTION("""COMPUTED_VALUE"""),536.0)</f>
        <v>536</v>
      </c>
      <c r="E4728" s="2"/>
      <c r="F4728" s="2"/>
    </row>
    <row r="4729">
      <c r="A4729" s="2">
        <f>IFERROR(__xludf.DUMMYFUNCTION("""COMPUTED_VALUE"""),118176.0)</f>
        <v>118176</v>
      </c>
      <c r="B4729" s="2">
        <f>IFERROR(__xludf.DUMMYFUNCTION("""COMPUTED_VALUE"""),0.0)</f>
        <v>0</v>
      </c>
      <c r="C4729" s="2">
        <f>IFERROR(__xludf.DUMMYFUNCTION("""COMPUTED_VALUE"""),567.0)</f>
        <v>567</v>
      </c>
      <c r="D4729" s="3">
        <f>IFERROR(__xludf.DUMMYFUNCTION("""COMPUTED_VALUE"""),483.0)</f>
        <v>483</v>
      </c>
      <c r="E4729" s="2"/>
      <c r="F4729" s="2"/>
    </row>
    <row r="4730">
      <c r="A4730" s="2">
        <f>IFERROR(__xludf.DUMMYFUNCTION("""COMPUTED_VALUE"""),114018.0)</f>
        <v>114018</v>
      </c>
      <c r="B4730" s="2">
        <f>IFERROR(__xludf.DUMMYFUNCTION("""COMPUTED_VALUE"""),0.0)</f>
        <v>0</v>
      </c>
      <c r="C4730" s="2">
        <f>IFERROR(__xludf.DUMMYFUNCTION("""COMPUTED_VALUE"""),290.0)</f>
        <v>290</v>
      </c>
      <c r="D4730" s="3">
        <f>IFERROR(__xludf.DUMMYFUNCTION("""COMPUTED_VALUE"""),251.0)</f>
        <v>251</v>
      </c>
      <c r="E4730" s="2"/>
      <c r="F4730" s="2"/>
    </row>
    <row r="4731">
      <c r="A4731" s="2">
        <f>IFERROR(__xludf.DUMMYFUNCTION("""COMPUTED_VALUE"""),116480.0)</f>
        <v>116480</v>
      </c>
      <c r="B4731" s="2">
        <f>IFERROR(__xludf.DUMMYFUNCTION("""COMPUTED_VALUE"""),0.0)</f>
        <v>0</v>
      </c>
      <c r="C4731" s="2">
        <f>IFERROR(__xludf.DUMMYFUNCTION("""COMPUTED_VALUE"""),265.0)</f>
        <v>265</v>
      </c>
      <c r="D4731" s="3">
        <f>IFERROR(__xludf.DUMMYFUNCTION("""COMPUTED_VALUE"""),89.0)</f>
        <v>89</v>
      </c>
      <c r="E4731" s="2"/>
      <c r="F4731" s="2"/>
    </row>
    <row r="4732">
      <c r="A4732" s="2">
        <f>IFERROR(__xludf.DUMMYFUNCTION("""COMPUTED_VALUE"""),120577.0)</f>
        <v>120577</v>
      </c>
      <c r="B4732" s="2">
        <f>IFERROR(__xludf.DUMMYFUNCTION("""COMPUTED_VALUE"""),0.0)</f>
        <v>0</v>
      </c>
      <c r="C4732" s="2">
        <f>IFERROR(__xludf.DUMMYFUNCTION("""COMPUTED_VALUE"""),342.0)</f>
        <v>342</v>
      </c>
      <c r="D4732" s="3">
        <f>IFERROR(__xludf.DUMMYFUNCTION("""COMPUTED_VALUE"""),339.0)</f>
        <v>339</v>
      </c>
      <c r="E4732" s="2"/>
      <c r="F4732" s="2"/>
    </row>
    <row r="4733">
      <c r="A4733" s="2">
        <f>IFERROR(__xludf.DUMMYFUNCTION("""COMPUTED_VALUE"""),118201.0)</f>
        <v>118201</v>
      </c>
      <c r="B4733" s="2">
        <f>IFERROR(__xludf.DUMMYFUNCTION("""COMPUTED_VALUE"""),1.0)</f>
        <v>1</v>
      </c>
      <c r="C4733" s="2">
        <f>IFERROR(__xludf.DUMMYFUNCTION("""COMPUTED_VALUE"""),215.0)</f>
        <v>215</v>
      </c>
      <c r="D4733" s="3">
        <f>IFERROR(__xludf.DUMMYFUNCTION("""COMPUTED_VALUE"""),140.0)</f>
        <v>140</v>
      </c>
      <c r="E4733" s="2"/>
      <c r="F4733" s="2"/>
    </row>
    <row r="4734">
      <c r="A4734" s="2">
        <f>IFERROR(__xludf.DUMMYFUNCTION("""COMPUTED_VALUE"""),77245.0)</f>
        <v>77245</v>
      </c>
      <c r="B4734" s="2">
        <f>IFERROR(__xludf.DUMMYFUNCTION("""COMPUTED_VALUE"""),1.0)</f>
        <v>1</v>
      </c>
      <c r="C4734" s="2">
        <f>IFERROR(__xludf.DUMMYFUNCTION("""COMPUTED_VALUE"""),543.0)</f>
        <v>543</v>
      </c>
      <c r="D4734" s="3">
        <f>IFERROR(__xludf.DUMMYFUNCTION("""COMPUTED_VALUE"""),480.0)</f>
        <v>480</v>
      </c>
      <c r="E4734" s="2"/>
      <c r="F4734" s="2"/>
    </row>
    <row r="4735">
      <c r="A4735" s="2">
        <f>IFERROR(__xludf.DUMMYFUNCTION("""COMPUTED_VALUE"""),118195.0)</f>
        <v>118195</v>
      </c>
      <c r="B4735" s="2">
        <f>IFERROR(__xludf.DUMMYFUNCTION("""COMPUTED_VALUE"""),1.0)</f>
        <v>1</v>
      </c>
      <c r="C4735" s="2">
        <f>IFERROR(__xludf.DUMMYFUNCTION("""COMPUTED_VALUE"""),294.0)</f>
        <v>294</v>
      </c>
      <c r="D4735" s="3">
        <f>IFERROR(__xludf.DUMMYFUNCTION("""COMPUTED_VALUE"""),21.0)</f>
        <v>21</v>
      </c>
      <c r="E4735" s="2"/>
      <c r="F4735" s="2"/>
    </row>
    <row r="4736">
      <c r="A4736" s="2">
        <f>IFERROR(__xludf.DUMMYFUNCTION("""COMPUTED_VALUE"""),118197.0)</f>
        <v>118197</v>
      </c>
      <c r="B4736" s="2">
        <f>IFERROR(__xludf.DUMMYFUNCTION("""COMPUTED_VALUE"""),1.0)</f>
        <v>1</v>
      </c>
      <c r="C4736" s="2">
        <f>IFERROR(__xludf.DUMMYFUNCTION("""COMPUTED_VALUE"""),434.0)</f>
        <v>434</v>
      </c>
      <c r="D4736" s="3">
        <f>IFERROR(__xludf.DUMMYFUNCTION("""COMPUTED_VALUE"""),58.0)</f>
        <v>58</v>
      </c>
      <c r="E4736" s="2"/>
      <c r="F4736" s="2"/>
    </row>
    <row r="4737">
      <c r="A4737" s="2">
        <f>IFERROR(__xludf.DUMMYFUNCTION("""COMPUTED_VALUE"""),187317.0)</f>
        <v>187317</v>
      </c>
      <c r="B4737" s="2">
        <f>IFERROR(__xludf.DUMMYFUNCTION("""COMPUTED_VALUE"""),0.0)</f>
        <v>0</v>
      </c>
      <c r="C4737" s="2">
        <f>IFERROR(__xludf.DUMMYFUNCTION("""COMPUTED_VALUE"""),474.0)</f>
        <v>474</v>
      </c>
      <c r="D4737" s="3">
        <f>IFERROR(__xludf.DUMMYFUNCTION("""COMPUTED_VALUE"""),273.0)</f>
        <v>273</v>
      </c>
      <c r="E4737" s="2"/>
      <c r="F4737" s="2"/>
    </row>
    <row r="4738">
      <c r="A4738" s="2">
        <f>IFERROR(__xludf.DUMMYFUNCTION("""COMPUTED_VALUE"""),199484.0)</f>
        <v>199484</v>
      </c>
      <c r="B4738" s="2">
        <f>IFERROR(__xludf.DUMMYFUNCTION("""COMPUTED_VALUE"""),1.0)</f>
        <v>1</v>
      </c>
      <c r="C4738" s="2">
        <f>IFERROR(__xludf.DUMMYFUNCTION("""COMPUTED_VALUE"""),852.0)</f>
        <v>852</v>
      </c>
      <c r="D4738" s="3">
        <f>IFERROR(__xludf.DUMMYFUNCTION("""COMPUTED_VALUE"""),770.0)</f>
        <v>770</v>
      </c>
      <c r="E4738" s="2"/>
      <c r="F4738" s="2"/>
    </row>
    <row r="4739">
      <c r="A4739" s="2">
        <f>IFERROR(__xludf.DUMMYFUNCTION("""COMPUTED_VALUE"""),113995.0)</f>
        <v>113995</v>
      </c>
      <c r="B4739" s="2">
        <f>IFERROR(__xludf.DUMMYFUNCTION("""COMPUTED_VALUE"""),0.0)</f>
        <v>0</v>
      </c>
      <c r="C4739" s="2">
        <f>IFERROR(__xludf.DUMMYFUNCTION("""COMPUTED_VALUE"""),896.0)</f>
        <v>896</v>
      </c>
      <c r="D4739" s="3">
        <f>IFERROR(__xludf.DUMMYFUNCTION("""COMPUTED_VALUE"""),781.0)</f>
        <v>781</v>
      </c>
      <c r="E4739" s="2"/>
      <c r="F4739" s="2"/>
    </row>
    <row r="4740">
      <c r="A4740" s="2">
        <f>IFERROR(__xludf.DUMMYFUNCTION("""COMPUTED_VALUE"""),113669.0)</f>
        <v>113669</v>
      </c>
      <c r="B4740" s="2">
        <f>IFERROR(__xludf.DUMMYFUNCTION("""COMPUTED_VALUE"""),0.0)</f>
        <v>0</v>
      </c>
      <c r="C4740" s="2">
        <f>IFERROR(__xludf.DUMMYFUNCTION("""COMPUTED_VALUE"""),418.0)</f>
        <v>418</v>
      </c>
      <c r="D4740" s="3">
        <f>IFERROR(__xludf.DUMMYFUNCTION("""COMPUTED_VALUE"""),229.0)</f>
        <v>229</v>
      </c>
      <c r="E4740" s="2"/>
      <c r="F4740" s="2"/>
    </row>
    <row r="4741">
      <c r="A4741" s="2">
        <f>IFERROR(__xludf.DUMMYFUNCTION("""COMPUTED_VALUE"""),111584.0)</f>
        <v>111584</v>
      </c>
      <c r="B4741" s="2">
        <f>IFERROR(__xludf.DUMMYFUNCTION("""COMPUTED_VALUE"""),0.0)</f>
        <v>0</v>
      </c>
      <c r="C4741" s="2">
        <f>IFERROR(__xludf.DUMMYFUNCTION("""COMPUTED_VALUE"""),747.0)</f>
        <v>747</v>
      </c>
      <c r="D4741" s="3">
        <f>IFERROR(__xludf.DUMMYFUNCTION("""COMPUTED_VALUE"""),611.0)</f>
        <v>611</v>
      </c>
      <c r="E4741" s="2"/>
      <c r="F4741" s="2"/>
    </row>
    <row r="4742">
      <c r="A4742" s="2">
        <f>IFERROR(__xludf.DUMMYFUNCTION("""COMPUTED_VALUE"""),26123.0)</f>
        <v>26123</v>
      </c>
      <c r="B4742" s="2">
        <f>IFERROR(__xludf.DUMMYFUNCTION("""COMPUTED_VALUE"""),0.0)</f>
        <v>0</v>
      </c>
      <c r="C4742" s="2">
        <f>IFERROR(__xludf.DUMMYFUNCTION("""COMPUTED_VALUE"""),135.0)</f>
        <v>135</v>
      </c>
      <c r="D4742" s="3">
        <f>IFERROR(__xludf.DUMMYFUNCTION("""COMPUTED_VALUE"""),79.0)</f>
        <v>79</v>
      </c>
      <c r="E4742" s="2"/>
      <c r="F4742" s="2"/>
    </row>
    <row r="4743">
      <c r="A4743" s="2">
        <f>IFERROR(__xludf.DUMMYFUNCTION("""COMPUTED_VALUE"""),113665.0)</f>
        <v>113665</v>
      </c>
      <c r="B4743" s="2">
        <f>IFERROR(__xludf.DUMMYFUNCTION("""COMPUTED_VALUE"""),0.0)</f>
        <v>0</v>
      </c>
      <c r="C4743" s="2">
        <f>IFERROR(__xludf.DUMMYFUNCTION("""COMPUTED_VALUE"""),888.0)</f>
        <v>888</v>
      </c>
      <c r="D4743" s="3">
        <f>IFERROR(__xludf.DUMMYFUNCTION("""COMPUTED_VALUE"""),697.0)</f>
        <v>697</v>
      </c>
      <c r="E4743" s="2"/>
      <c r="F4743" s="2"/>
    </row>
    <row r="4744">
      <c r="A4744" s="2">
        <f>IFERROR(__xludf.DUMMYFUNCTION("""COMPUTED_VALUE"""),181241.0)</f>
        <v>181241</v>
      </c>
      <c r="B4744" s="2">
        <f>IFERROR(__xludf.DUMMYFUNCTION("""COMPUTED_VALUE"""),1.0)</f>
        <v>1</v>
      </c>
      <c r="C4744" s="2">
        <f>IFERROR(__xludf.DUMMYFUNCTION("""COMPUTED_VALUE"""),779.0)</f>
        <v>779</v>
      </c>
      <c r="D4744" s="3">
        <f>IFERROR(__xludf.DUMMYFUNCTION("""COMPUTED_VALUE"""),505.0)</f>
        <v>505</v>
      </c>
      <c r="E4744" s="2"/>
      <c r="F4744" s="2"/>
    </row>
    <row r="4745">
      <c r="A4745" s="2">
        <f>IFERROR(__xludf.DUMMYFUNCTION("""COMPUTED_VALUE"""),113664.0)</f>
        <v>113664</v>
      </c>
      <c r="B4745" s="2">
        <f>IFERROR(__xludf.DUMMYFUNCTION("""COMPUTED_VALUE"""),1.0)</f>
        <v>1</v>
      </c>
      <c r="C4745" s="2">
        <f>IFERROR(__xludf.DUMMYFUNCTION("""COMPUTED_VALUE"""),217.0)</f>
        <v>217</v>
      </c>
      <c r="D4745" s="3">
        <f>IFERROR(__xludf.DUMMYFUNCTION("""COMPUTED_VALUE"""),105.0)</f>
        <v>105</v>
      </c>
      <c r="E4745" s="2"/>
      <c r="F4745" s="2"/>
    </row>
    <row r="4746">
      <c r="A4746" s="2">
        <f>IFERROR(__xludf.DUMMYFUNCTION("""COMPUTED_VALUE"""),113677.0)</f>
        <v>113677</v>
      </c>
      <c r="B4746" s="2">
        <f>IFERROR(__xludf.DUMMYFUNCTION("""COMPUTED_VALUE"""),0.0)</f>
        <v>0</v>
      </c>
      <c r="C4746" s="2">
        <f>IFERROR(__xludf.DUMMYFUNCTION("""COMPUTED_VALUE"""),425.0)</f>
        <v>425</v>
      </c>
      <c r="D4746" s="3">
        <f>IFERROR(__xludf.DUMMYFUNCTION("""COMPUTED_VALUE"""),333.0)</f>
        <v>333</v>
      </c>
      <c r="E4746" s="2"/>
      <c r="F4746" s="2"/>
    </row>
    <row r="4747">
      <c r="A4747" s="2">
        <f>IFERROR(__xludf.DUMMYFUNCTION("""COMPUTED_VALUE"""),120343.0)</f>
        <v>120343</v>
      </c>
      <c r="B4747" s="2">
        <f>IFERROR(__xludf.DUMMYFUNCTION("""COMPUTED_VALUE"""),1.0)</f>
        <v>1</v>
      </c>
      <c r="C4747" s="2">
        <f>IFERROR(__xludf.DUMMYFUNCTION("""COMPUTED_VALUE"""),511.0)</f>
        <v>511</v>
      </c>
      <c r="D4747" s="3">
        <f>IFERROR(__xludf.DUMMYFUNCTION("""COMPUTED_VALUE"""),134.0)</f>
        <v>134</v>
      </c>
      <c r="E4747" s="2"/>
      <c r="F4747" s="2"/>
    </row>
    <row r="4748">
      <c r="A4748" s="2">
        <f>IFERROR(__xludf.DUMMYFUNCTION("""COMPUTED_VALUE"""),113666.0)</f>
        <v>113666</v>
      </c>
      <c r="B4748" s="2">
        <f>IFERROR(__xludf.DUMMYFUNCTION("""COMPUTED_VALUE"""),1.0)</f>
        <v>1</v>
      </c>
      <c r="C4748" s="2">
        <f>IFERROR(__xludf.DUMMYFUNCTION("""COMPUTED_VALUE"""),819.0)</f>
        <v>819</v>
      </c>
      <c r="D4748" s="3">
        <f>IFERROR(__xludf.DUMMYFUNCTION("""COMPUTED_VALUE"""),516.0)</f>
        <v>516</v>
      </c>
      <c r="E4748" s="2"/>
      <c r="F4748" s="2"/>
    </row>
    <row r="4749">
      <c r="A4749" s="2">
        <f>IFERROR(__xludf.DUMMYFUNCTION("""COMPUTED_VALUE"""),113663.0)</f>
        <v>113663</v>
      </c>
      <c r="B4749" s="2">
        <f>IFERROR(__xludf.DUMMYFUNCTION("""COMPUTED_VALUE"""),1.0)</f>
        <v>1</v>
      </c>
      <c r="C4749" s="2">
        <f>IFERROR(__xludf.DUMMYFUNCTION("""COMPUTED_VALUE"""),408.0)</f>
        <v>408</v>
      </c>
      <c r="D4749" s="3">
        <f>IFERROR(__xludf.DUMMYFUNCTION("""COMPUTED_VALUE"""),375.0)</f>
        <v>375</v>
      </c>
      <c r="E4749" s="2"/>
      <c r="F4749" s="2"/>
    </row>
    <row r="4750">
      <c r="A4750" s="2">
        <f>IFERROR(__xludf.DUMMYFUNCTION("""COMPUTED_VALUE"""),116983.0)</f>
        <v>116983</v>
      </c>
      <c r="B4750" s="2">
        <f>IFERROR(__xludf.DUMMYFUNCTION("""COMPUTED_VALUE"""),1.0)</f>
        <v>1</v>
      </c>
      <c r="C4750" s="2">
        <f>IFERROR(__xludf.DUMMYFUNCTION("""COMPUTED_VALUE"""),160.0)</f>
        <v>160</v>
      </c>
      <c r="D4750" s="3">
        <f>IFERROR(__xludf.DUMMYFUNCTION("""COMPUTED_VALUE"""),144.0)</f>
        <v>144</v>
      </c>
      <c r="E4750" s="2"/>
      <c r="F4750" s="2"/>
    </row>
    <row r="4751">
      <c r="A4751" s="2">
        <f>IFERROR(__xludf.DUMMYFUNCTION("""COMPUTED_VALUE"""),94043.0)</f>
        <v>94043</v>
      </c>
      <c r="B4751" s="2">
        <f>IFERROR(__xludf.DUMMYFUNCTION("""COMPUTED_VALUE"""),0.0)</f>
        <v>0</v>
      </c>
      <c r="C4751" s="2">
        <f>IFERROR(__xludf.DUMMYFUNCTION("""COMPUTED_VALUE"""),249.0)</f>
        <v>249</v>
      </c>
      <c r="D4751" s="3">
        <f>IFERROR(__xludf.DUMMYFUNCTION("""COMPUTED_VALUE"""),223.0)</f>
        <v>223</v>
      </c>
      <c r="E4751" s="2"/>
      <c r="F4751" s="2"/>
    </row>
    <row r="4752">
      <c r="A4752" s="2">
        <f>IFERROR(__xludf.DUMMYFUNCTION("""COMPUTED_VALUE"""),68216.0)</f>
        <v>68216</v>
      </c>
      <c r="B4752" s="2">
        <f>IFERROR(__xludf.DUMMYFUNCTION("""COMPUTED_VALUE"""),0.0)</f>
        <v>0</v>
      </c>
      <c r="C4752" s="2">
        <f>IFERROR(__xludf.DUMMYFUNCTION("""COMPUTED_VALUE"""),614.0)</f>
        <v>614</v>
      </c>
      <c r="D4752" s="3">
        <f>IFERROR(__xludf.DUMMYFUNCTION("""COMPUTED_VALUE"""),390.0)</f>
        <v>390</v>
      </c>
      <c r="E4752" s="2"/>
      <c r="F4752" s="2"/>
    </row>
    <row r="4753">
      <c r="A4753" s="2">
        <f>IFERROR(__xludf.DUMMYFUNCTION("""COMPUTED_VALUE"""),80131.0)</f>
        <v>80131</v>
      </c>
      <c r="B4753" s="2">
        <f>IFERROR(__xludf.DUMMYFUNCTION("""COMPUTED_VALUE"""),0.0)</f>
        <v>0</v>
      </c>
      <c r="C4753" s="2">
        <f>IFERROR(__xludf.DUMMYFUNCTION("""COMPUTED_VALUE"""),821.0)</f>
        <v>821</v>
      </c>
      <c r="D4753" s="3">
        <f>IFERROR(__xludf.DUMMYFUNCTION("""COMPUTED_VALUE"""),731.0)</f>
        <v>731</v>
      </c>
      <c r="E4753" s="2"/>
      <c r="F4753" s="2"/>
    </row>
    <row r="4754">
      <c r="A4754" s="2">
        <f>IFERROR(__xludf.DUMMYFUNCTION("""COMPUTED_VALUE"""),80998.0)</f>
        <v>80998</v>
      </c>
      <c r="B4754" s="2">
        <f>IFERROR(__xludf.DUMMYFUNCTION("""COMPUTED_VALUE"""),0.0)</f>
        <v>0</v>
      </c>
      <c r="C4754" s="2">
        <f>IFERROR(__xludf.DUMMYFUNCTION("""COMPUTED_VALUE"""),715.0)</f>
        <v>715</v>
      </c>
      <c r="D4754" s="3">
        <f>IFERROR(__xludf.DUMMYFUNCTION("""COMPUTED_VALUE"""),480.0)</f>
        <v>480</v>
      </c>
      <c r="E4754" s="2"/>
      <c r="F4754" s="2"/>
    </row>
    <row r="4755">
      <c r="A4755" s="2">
        <f>IFERROR(__xludf.DUMMYFUNCTION("""COMPUTED_VALUE"""),87014.0)</f>
        <v>87014</v>
      </c>
      <c r="B4755" s="2">
        <f>IFERROR(__xludf.DUMMYFUNCTION("""COMPUTED_VALUE"""),0.0)</f>
        <v>0</v>
      </c>
      <c r="C4755" s="2">
        <f>IFERROR(__xludf.DUMMYFUNCTION("""COMPUTED_VALUE"""),847.0)</f>
        <v>847</v>
      </c>
      <c r="D4755" s="3">
        <f>IFERROR(__xludf.DUMMYFUNCTION("""COMPUTED_VALUE"""),672.0)</f>
        <v>672</v>
      </c>
      <c r="E4755" s="2"/>
      <c r="F4755" s="2"/>
    </row>
    <row r="4756">
      <c r="A4756" s="2">
        <f>IFERROR(__xludf.DUMMYFUNCTION("""COMPUTED_VALUE"""),102900.0)</f>
        <v>102900</v>
      </c>
      <c r="B4756" s="2">
        <f>IFERROR(__xludf.DUMMYFUNCTION("""COMPUTED_VALUE"""),0.0)</f>
        <v>0</v>
      </c>
      <c r="C4756" s="2">
        <f>IFERROR(__xludf.DUMMYFUNCTION("""COMPUTED_VALUE"""),895.0)</f>
        <v>895</v>
      </c>
      <c r="D4756" s="3">
        <f>IFERROR(__xludf.DUMMYFUNCTION("""COMPUTED_VALUE"""),376.0)</f>
        <v>376</v>
      </c>
      <c r="E4756" s="2"/>
      <c r="F4756" s="2"/>
    </row>
    <row r="4757">
      <c r="A4757" s="2">
        <f>IFERROR(__xludf.DUMMYFUNCTION("""COMPUTED_VALUE"""),80997.0)</f>
        <v>80997</v>
      </c>
      <c r="B4757" s="2">
        <f>IFERROR(__xludf.DUMMYFUNCTION("""COMPUTED_VALUE"""),1.0)</f>
        <v>1</v>
      </c>
      <c r="C4757" s="2">
        <f>IFERROR(__xludf.DUMMYFUNCTION("""COMPUTED_VALUE"""),34.0)</f>
        <v>34</v>
      </c>
      <c r="D4757" s="3">
        <f>IFERROR(__xludf.DUMMYFUNCTION("""COMPUTED_VALUE"""),21.0)</f>
        <v>21</v>
      </c>
      <c r="E4757" s="2"/>
      <c r="F4757" s="2"/>
    </row>
    <row r="4758">
      <c r="A4758" s="2">
        <f>IFERROR(__xludf.DUMMYFUNCTION("""COMPUTED_VALUE"""),116989.0)</f>
        <v>116989</v>
      </c>
      <c r="B4758" s="2">
        <f>IFERROR(__xludf.DUMMYFUNCTION("""COMPUTED_VALUE"""),1.0)</f>
        <v>1</v>
      </c>
      <c r="C4758" s="2">
        <f>IFERROR(__xludf.DUMMYFUNCTION("""COMPUTED_VALUE"""),44.0)</f>
        <v>44</v>
      </c>
      <c r="D4758" s="3">
        <f>IFERROR(__xludf.DUMMYFUNCTION("""COMPUTED_VALUE"""),40.0)</f>
        <v>40</v>
      </c>
      <c r="E4758" s="2"/>
      <c r="F4758" s="2"/>
    </row>
    <row r="4759">
      <c r="A4759" s="2">
        <f>IFERROR(__xludf.DUMMYFUNCTION("""COMPUTED_VALUE"""),43826.0)</f>
        <v>43826</v>
      </c>
      <c r="B4759" s="2">
        <f>IFERROR(__xludf.DUMMYFUNCTION("""COMPUTED_VALUE"""),0.0)</f>
        <v>0</v>
      </c>
      <c r="C4759" s="2">
        <f>IFERROR(__xludf.DUMMYFUNCTION("""COMPUTED_VALUE"""),481.0)</f>
        <v>481</v>
      </c>
      <c r="D4759" s="3">
        <f>IFERROR(__xludf.DUMMYFUNCTION("""COMPUTED_VALUE"""),106.0)</f>
        <v>106</v>
      </c>
      <c r="E4759" s="2"/>
      <c r="F4759" s="2"/>
    </row>
    <row r="4760">
      <c r="A4760" s="2">
        <f>IFERROR(__xludf.DUMMYFUNCTION("""COMPUTED_VALUE"""),8769.0)</f>
        <v>8769</v>
      </c>
      <c r="B4760" s="2">
        <f>IFERROR(__xludf.DUMMYFUNCTION("""COMPUTED_VALUE"""),1.0)</f>
        <v>1</v>
      </c>
      <c r="C4760" s="2">
        <f>IFERROR(__xludf.DUMMYFUNCTION("""COMPUTED_VALUE"""),776.0)</f>
        <v>776</v>
      </c>
      <c r="D4760" s="3">
        <f>IFERROR(__xludf.DUMMYFUNCTION("""COMPUTED_VALUE"""),205.0)</f>
        <v>205</v>
      </c>
      <c r="E4760" s="2"/>
      <c r="F4760" s="2"/>
    </row>
    <row r="4761">
      <c r="A4761" s="2">
        <f>IFERROR(__xludf.DUMMYFUNCTION("""COMPUTED_VALUE"""),104427.0)</f>
        <v>104427</v>
      </c>
      <c r="B4761" s="2">
        <f>IFERROR(__xludf.DUMMYFUNCTION("""COMPUTED_VALUE"""),0.0)</f>
        <v>0</v>
      </c>
      <c r="C4761" s="2">
        <f>IFERROR(__xludf.DUMMYFUNCTION("""COMPUTED_VALUE"""),259.0)</f>
        <v>259</v>
      </c>
      <c r="D4761" s="3">
        <f>IFERROR(__xludf.DUMMYFUNCTION("""COMPUTED_VALUE"""),25.0)</f>
        <v>25</v>
      </c>
      <c r="E4761" s="2"/>
      <c r="F4761" s="2"/>
    </row>
    <row r="4762">
      <c r="A4762" s="2">
        <f>IFERROR(__xludf.DUMMYFUNCTION("""COMPUTED_VALUE"""),8770.0)</f>
        <v>8770</v>
      </c>
      <c r="B4762" s="2">
        <f>IFERROR(__xludf.DUMMYFUNCTION("""COMPUTED_VALUE"""),0.0)</f>
        <v>0</v>
      </c>
      <c r="C4762" s="2">
        <f>IFERROR(__xludf.DUMMYFUNCTION("""COMPUTED_VALUE"""),175.0)</f>
        <v>175</v>
      </c>
      <c r="D4762" s="3">
        <f>IFERROR(__xludf.DUMMYFUNCTION("""COMPUTED_VALUE"""),109.0)</f>
        <v>109</v>
      </c>
      <c r="E4762" s="2"/>
      <c r="F4762" s="2"/>
    </row>
    <row r="4763">
      <c r="A4763" s="2">
        <f>IFERROR(__xludf.DUMMYFUNCTION("""COMPUTED_VALUE"""),94930.0)</f>
        <v>94930</v>
      </c>
      <c r="B4763" s="2">
        <f>IFERROR(__xludf.DUMMYFUNCTION("""COMPUTED_VALUE"""),0.0)</f>
        <v>0</v>
      </c>
      <c r="C4763" s="2">
        <f>IFERROR(__xludf.DUMMYFUNCTION("""COMPUTED_VALUE"""),184.0)</f>
        <v>184</v>
      </c>
      <c r="D4763" s="3">
        <f>IFERROR(__xludf.DUMMYFUNCTION("""COMPUTED_VALUE"""),62.0)</f>
        <v>62</v>
      </c>
      <c r="E4763" s="2"/>
      <c r="F4763" s="2"/>
    </row>
    <row r="4764">
      <c r="A4764" s="2">
        <f>IFERROR(__xludf.DUMMYFUNCTION("""COMPUTED_VALUE"""),111576.0)</f>
        <v>111576</v>
      </c>
      <c r="B4764" s="2">
        <f>IFERROR(__xludf.DUMMYFUNCTION("""COMPUTED_VALUE"""),1.0)</f>
        <v>1</v>
      </c>
      <c r="C4764" s="2">
        <f>IFERROR(__xludf.DUMMYFUNCTION("""COMPUTED_VALUE"""),372.0)</f>
        <v>372</v>
      </c>
      <c r="D4764" s="3">
        <f>IFERROR(__xludf.DUMMYFUNCTION("""COMPUTED_VALUE"""),12.0)</f>
        <v>12</v>
      </c>
      <c r="E4764" s="2"/>
      <c r="F4764" s="2"/>
    </row>
    <row r="4765">
      <c r="A4765" s="2">
        <f>IFERROR(__xludf.DUMMYFUNCTION("""COMPUTED_VALUE"""),71715.0)</f>
        <v>71715</v>
      </c>
      <c r="B4765" s="2">
        <f>IFERROR(__xludf.DUMMYFUNCTION("""COMPUTED_VALUE"""),0.0)</f>
        <v>0</v>
      </c>
      <c r="C4765" s="2">
        <f>IFERROR(__xludf.DUMMYFUNCTION("""COMPUTED_VALUE"""),859.0)</f>
        <v>859</v>
      </c>
      <c r="D4765" s="3">
        <f>IFERROR(__xludf.DUMMYFUNCTION("""COMPUTED_VALUE"""),380.0)</f>
        <v>380</v>
      </c>
      <c r="E4765" s="2"/>
      <c r="F4765" s="2"/>
    </row>
    <row r="4766">
      <c r="A4766" s="2">
        <f>IFERROR(__xludf.DUMMYFUNCTION("""COMPUTED_VALUE"""),71710.0)</f>
        <v>71710</v>
      </c>
      <c r="B4766" s="2">
        <f>IFERROR(__xludf.DUMMYFUNCTION("""COMPUTED_VALUE"""),1.0)</f>
        <v>1</v>
      </c>
      <c r="C4766" s="2">
        <f>IFERROR(__xludf.DUMMYFUNCTION("""COMPUTED_VALUE"""),428.0)</f>
        <v>428</v>
      </c>
      <c r="D4766" s="3">
        <f>IFERROR(__xludf.DUMMYFUNCTION("""COMPUTED_VALUE"""),61.0)</f>
        <v>61</v>
      </c>
      <c r="E4766" s="2"/>
      <c r="F4766" s="2"/>
    </row>
    <row r="4767">
      <c r="A4767" s="2">
        <f>IFERROR(__xludf.DUMMYFUNCTION("""COMPUTED_VALUE"""),102790.0)</f>
        <v>102790</v>
      </c>
      <c r="B4767" s="2">
        <f>IFERROR(__xludf.DUMMYFUNCTION("""COMPUTED_VALUE"""),1.0)</f>
        <v>1</v>
      </c>
      <c r="C4767" s="2">
        <f>IFERROR(__xludf.DUMMYFUNCTION("""COMPUTED_VALUE"""),913.0)</f>
        <v>913</v>
      </c>
      <c r="D4767" s="3">
        <f>IFERROR(__xludf.DUMMYFUNCTION("""COMPUTED_VALUE"""),538.0)</f>
        <v>538</v>
      </c>
      <c r="E4767" s="2"/>
      <c r="F4767" s="2"/>
    </row>
    <row r="4768">
      <c r="A4768" s="2">
        <f>IFERROR(__xludf.DUMMYFUNCTION("""COMPUTED_VALUE"""),3518.0)</f>
        <v>3518</v>
      </c>
      <c r="B4768" s="2">
        <f>IFERROR(__xludf.DUMMYFUNCTION("""COMPUTED_VALUE"""),1.0)</f>
        <v>1</v>
      </c>
      <c r="C4768" s="2">
        <f>IFERROR(__xludf.DUMMYFUNCTION("""COMPUTED_VALUE"""),642.0)</f>
        <v>642</v>
      </c>
      <c r="D4768" s="3">
        <f>IFERROR(__xludf.DUMMYFUNCTION("""COMPUTED_VALUE"""),637.0)</f>
        <v>637</v>
      </c>
      <c r="E4768" s="2"/>
      <c r="F4768" s="2"/>
    </row>
    <row r="4769">
      <c r="A4769" s="2">
        <f>IFERROR(__xludf.DUMMYFUNCTION("""COMPUTED_VALUE"""),18318.0)</f>
        <v>18318</v>
      </c>
      <c r="B4769" s="2">
        <f>IFERROR(__xludf.DUMMYFUNCTION("""COMPUTED_VALUE"""),1.0)</f>
        <v>1</v>
      </c>
      <c r="C4769" s="2">
        <f>IFERROR(__xludf.DUMMYFUNCTION("""COMPUTED_VALUE"""),508.0)</f>
        <v>508</v>
      </c>
      <c r="D4769" s="3">
        <f>IFERROR(__xludf.DUMMYFUNCTION("""COMPUTED_VALUE"""),504.0)</f>
        <v>504</v>
      </c>
      <c r="E4769" s="2"/>
      <c r="F4769" s="2"/>
    </row>
    <row r="4770">
      <c r="A4770" s="2">
        <f>IFERROR(__xludf.DUMMYFUNCTION("""COMPUTED_VALUE"""),104220.0)</f>
        <v>104220</v>
      </c>
      <c r="B4770" s="2">
        <f>IFERROR(__xludf.DUMMYFUNCTION("""COMPUTED_VALUE"""),0.0)</f>
        <v>0</v>
      </c>
      <c r="C4770" s="2">
        <f>IFERROR(__xludf.DUMMYFUNCTION("""COMPUTED_VALUE"""),977.0)</f>
        <v>977</v>
      </c>
      <c r="D4770" s="3">
        <f>IFERROR(__xludf.DUMMYFUNCTION("""COMPUTED_VALUE"""),486.0)</f>
        <v>486</v>
      </c>
      <c r="E4770" s="2"/>
      <c r="F4770" s="2"/>
    </row>
    <row r="4771">
      <c r="A4771" s="2">
        <f>IFERROR(__xludf.DUMMYFUNCTION("""COMPUTED_VALUE"""),106109.0)</f>
        <v>106109</v>
      </c>
      <c r="B4771" s="2">
        <f>IFERROR(__xludf.DUMMYFUNCTION("""COMPUTED_VALUE"""),1.0)</f>
        <v>1</v>
      </c>
      <c r="C4771" s="2">
        <f>IFERROR(__xludf.DUMMYFUNCTION("""COMPUTED_VALUE"""),595.0)</f>
        <v>595</v>
      </c>
      <c r="D4771" s="3">
        <f>IFERROR(__xludf.DUMMYFUNCTION("""COMPUTED_VALUE"""),542.0)</f>
        <v>542</v>
      </c>
      <c r="E4771" s="2"/>
      <c r="F4771" s="2"/>
    </row>
    <row r="4772">
      <c r="A4772" s="2">
        <f>IFERROR(__xludf.DUMMYFUNCTION("""COMPUTED_VALUE"""),72162.0)</f>
        <v>72162</v>
      </c>
      <c r="B4772" s="2">
        <f>IFERROR(__xludf.DUMMYFUNCTION("""COMPUTED_VALUE"""),1.0)</f>
        <v>1</v>
      </c>
      <c r="C4772" s="2">
        <f>IFERROR(__xludf.DUMMYFUNCTION("""COMPUTED_VALUE"""),360.0)</f>
        <v>360</v>
      </c>
      <c r="D4772" s="3">
        <f>IFERROR(__xludf.DUMMYFUNCTION("""COMPUTED_VALUE"""),317.0)</f>
        <v>317</v>
      </c>
      <c r="E4772" s="2"/>
      <c r="F4772" s="2"/>
    </row>
    <row r="4773">
      <c r="A4773" s="2">
        <f>IFERROR(__xludf.DUMMYFUNCTION("""COMPUTED_VALUE"""),104410.0)</f>
        <v>104410</v>
      </c>
      <c r="B4773" s="2">
        <f>IFERROR(__xludf.DUMMYFUNCTION("""COMPUTED_VALUE"""),0.0)</f>
        <v>0</v>
      </c>
      <c r="C4773" s="2">
        <f>IFERROR(__xludf.DUMMYFUNCTION("""COMPUTED_VALUE"""),448.0)</f>
        <v>448</v>
      </c>
      <c r="D4773" s="3">
        <f>IFERROR(__xludf.DUMMYFUNCTION("""COMPUTED_VALUE"""),48.0)</f>
        <v>48</v>
      </c>
      <c r="E4773" s="2"/>
      <c r="F4773" s="2"/>
    </row>
    <row r="4774">
      <c r="A4774" s="2">
        <f>IFERROR(__xludf.DUMMYFUNCTION("""COMPUTED_VALUE"""),88825.0)</f>
        <v>88825</v>
      </c>
      <c r="B4774" s="2">
        <f>IFERROR(__xludf.DUMMYFUNCTION("""COMPUTED_VALUE"""),1.0)</f>
        <v>1</v>
      </c>
      <c r="C4774" s="2">
        <f>IFERROR(__xludf.DUMMYFUNCTION("""COMPUTED_VALUE"""),536.0)</f>
        <v>536</v>
      </c>
      <c r="D4774" s="3">
        <f>IFERROR(__xludf.DUMMYFUNCTION("""COMPUTED_VALUE"""),153.0)</f>
        <v>153</v>
      </c>
      <c r="E4774" s="2"/>
      <c r="F4774" s="2"/>
    </row>
    <row r="4775">
      <c r="A4775" s="2">
        <f>IFERROR(__xludf.DUMMYFUNCTION("""COMPUTED_VALUE"""),13928.0)</f>
        <v>13928</v>
      </c>
      <c r="B4775" s="2">
        <f>IFERROR(__xludf.DUMMYFUNCTION("""COMPUTED_VALUE"""),0.0)</f>
        <v>0</v>
      </c>
      <c r="C4775" s="2">
        <f>IFERROR(__xludf.DUMMYFUNCTION("""COMPUTED_VALUE"""),186.0)</f>
        <v>186</v>
      </c>
      <c r="D4775" s="3">
        <f>IFERROR(__xludf.DUMMYFUNCTION("""COMPUTED_VALUE"""),141.0)</f>
        <v>141</v>
      </c>
      <c r="E4775" s="2"/>
      <c r="F4775" s="2"/>
    </row>
    <row r="4776">
      <c r="A4776" s="2">
        <f>IFERROR(__xludf.DUMMYFUNCTION("""COMPUTED_VALUE"""),45368.0)</f>
        <v>45368</v>
      </c>
      <c r="B4776" s="2">
        <f>IFERROR(__xludf.DUMMYFUNCTION("""COMPUTED_VALUE"""),1.0)</f>
        <v>1</v>
      </c>
      <c r="C4776" s="2">
        <f>IFERROR(__xludf.DUMMYFUNCTION("""COMPUTED_VALUE"""),4.0)</f>
        <v>4</v>
      </c>
      <c r="D4776" s="3">
        <f>IFERROR(__xludf.DUMMYFUNCTION("""COMPUTED_VALUE"""),1.0)</f>
        <v>1</v>
      </c>
      <c r="E4776" s="2"/>
      <c r="F4776" s="2"/>
    </row>
    <row r="4777">
      <c r="A4777" s="2">
        <f>IFERROR(__xludf.DUMMYFUNCTION("""COMPUTED_VALUE"""),119732.0)</f>
        <v>119732</v>
      </c>
      <c r="B4777" s="2">
        <f>IFERROR(__xludf.DUMMYFUNCTION("""COMPUTED_VALUE"""),1.0)</f>
        <v>1</v>
      </c>
      <c r="C4777" s="2">
        <f>IFERROR(__xludf.DUMMYFUNCTION("""COMPUTED_VALUE"""),290.0)</f>
        <v>290</v>
      </c>
      <c r="D4777" s="3">
        <f>IFERROR(__xludf.DUMMYFUNCTION("""COMPUTED_VALUE"""),249.0)</f>
        <v>249</v>
      </c>
      <c r="E4777" s="2"/>
      <c r="F4777" s="2"/>
    </row>
    <row r="4778">
      <c r="A4778" s="2">
        <f>IFERROR(__xludf.DUMMYFUNCTION("""COMPUTED_VALUE"""),90467.0)</f>
        <v>90467</v>
      </c>
      <c r="B4778" s="2">
        <f>IFERROR(__xludf.DUMMYFUNCTION("""COMPUTED_VALUE"""),0.0)</f>
        <v>0</v>
      </c>
      <c r="C4778" s="2">
        <f>IFERROR(__xludf.DUMMYFUNCTION("""COMPUTED_VALUE"""),102.0)</f>
        <v>102</v>
      </c>
      <c r="D4778" s="3">
        <f>IFERROR(__xludf.DUMMYFUNCTION("""COMPUTED_VALUE"""),80.0)</f>
        <v>80</v>
      </c>
      <c r="E4778" s="2"/>
      <c r="F4778" s="2"/>
    </row>
    <row r="4779">
      <c r="A4779" s="2">
        <f>IFERROR(__xludf.DUMMYFUNCTION("""COMPUTED_VALUE"""),119874.0)</f>
        <v>119874</v>
      </c>
      <c r="B4779" s="2">
        <f>IFERROR(__xludf.DUMMYFUNCTION("""COMPUTED_VALUE"""),0.0)</f>
        <v>0</v>
      </c>
      <c r="C4779" s="2">
        <f>IFERROR(__xludf.DUMMYFUNCTION("""COMPUTED_VALUE"""),720.0)</f>
        <v>720</v>
      </c>
      <c r="D4779" s="3">
        <f>IFERROR(__xludf.DUMMYFUNCTION("""COMPUTED_VALUE"""),34.0)</f>
        <v>34</v>
      </c>
      <c r="E4779" s="2"/>
      <c r="F4779" s="2"/>
    </row>
    <row r="4780">
      <c r="A4780" s="2">
        <f>IFERROR(__xludf.DUMMYFUNCTION("""COMPUTED_VALUE"""),121316.0)</f>
        <v>121316</v>
      </c>
      <c r="B4780" s="2">
        <f>IFERROR(__xludf.DUMMYFUNCTION("""COMPUTED_VALUE"""),1.0)</f>
        <v>1</v>
      </c>
      <c r="C4780" s="2">
        <f>IFERROR(__xludf.DUMMYFUNCTION("""COMPUTED_VALUE"""),879.0)</f>
        <v>879</v>
      </c>
      <c r="D4780" s="3">
        <f>IFERROR(__xludf.DUMMYFUNCTION("""COMPUTED_VALUE"""),406.0)</f>
        <v>406</v>
      </c>
      <c r="E4780" s="2"/>
      <c r="F4780" s="2"/>
    </row>
    <row r="4781">
      <c r="A4781" s="2">
        <f>IFERROR(__xludf.DUMMYFUNCTION("""COMPUTED_VALUE"""),77390.0)</f>
        <v>77390</v>
      </c>
      <c r="B4781" s="2">
        <f>IFERROR(__xludf.DUMMYFUNCTION("""COMPUTED_VALUE"""),0.0)</f>
        <v>0</v>
      </c>
      <c r="C4781" s="2">
        <f>IFERROR(__xludf.DUMMYFUNCTION("""COMPUTED_VALUE"""),661.0)</f>
        <v>661</v>
      </c>
      <c r="D4781" s="3">
        <f>IFERROR(__xludf.DUMMYFUNCTION("""COMPUTED_VALUE"""),496.0)</f>
        <v>496</v>
      </c>
      <c r="E4781" s="2"/>
      <c r="F4781" s="2"/>
    </row>
    <row r="4782">
      <c r="A4782" s="2">
        <f>IFERROR(__xludf.DUMMYFUNCTION("""COMPUTED_VALUE"""),11444.0)</f>
        <v>11444</v>
      </c>
      <c r="B4782" s="2">
        <f>IFERROR(__xludf.DUMMYFUNCTION("""COMPUTED_VALUE"""),0.0)</f>
        <v>0</v>
      </c>
      <c r="C4782" s="2">
        <f>IFERROR(__xludf.DUMMYFUNCTION("""COMPUTED_VALUE"""),894.0)</f>
        <v>894</v>
      </c>
      <c r="D4782" s="3">
        <f>IFERROR(__xludf.DUMMYFUNCTION("""COMPUTED_VALUE"""),613.0)</f>
        <v>613</v>
      </c>
      <c r="E4782" s="2"/>
      <c r="F4782" s="2"/>
    </row>
    <row r="4783">
      <c r="A4783" s="2">
        <f>IFERROR(__xludf.DUMMYFUNCTION("""COMPUTED_VALUE"""),74416.0)</f>
        <v>74416</v>
      </c>
      <c r="B4783" s="2">
        <f>IFERROR(__xludf.DUMMYFUNCTION("""COMPUTED_VALUE"""),0.0)</f>
        <v>0</v>
      </c>
      <c r="C4783" s="2">
        <f>IFERROR(__xludf.DUMMYFUNCTION("""COMPUTED_VALUE"""),743.0)</f>
        <v>743</v>
      </c>
      <c r="D4783" s="3">
        <f>IFERROR(__xludf.DUMMYFUNCTION("""COMPUTED_VALUE"""),159.0)</f>
        <v>159</v>
      </c>
      <c r="E4783" s="2"/>
      <c r="F4783" s="2"/>
    </row>
    <row r="4784">
      <c r="A4784" s="2">
        <f>IFERROR(__xludf.DUMMYFUNCTION("""COMPUTED_VALUE"""),75323.0)</f>
        <v>75323</v>
      </c>
      <c r="B4784" s="2">
        <f>IFERROR(__xludf.DUMMYFUNCTION("""COMPUTED_VALUE"""),1.0)</f>
        <v>1</v>
      </c>
      <c r="C4784" s="2">
        <f>IFERROR(__xludf.DUMMYFUNCTION("""COMPUTED_VALUE"""),321.0)</f>
        <v>321</v>
      </c>
      <c r="D4784" s="3">
        <f>IFERROR(__xludf.DUMMYFUNCTION("""COMPUTED_VALUE"""),161.0)</f>
        <v>161</v>
      </c>
      <c r="E4784" s="2"/>
      <c r="F4784" s="2"/>
    </row>
    <row r="4785">
      <c r="A4785" s="2">
        <f>IFERROR(__xludf.DUMMYFUNCTION("""COMPUTED_VALUE"""),86619.0)</f>
        <v>86619</v>
      </c>
      <c r="B4785" s="2">
        <f>IFERROR(__xludf.DUMMYFUNCTION("""COMPUTED_VALUE"""),0.0)</f>
        <v>0</v>
      </c>
      <c r="C4785" s="2">
        <f>IFERROR(__xludf.DUMMYFUNCTION("""COMPUTED_VALUE"""),21.0)</f>
        <v>21</v>
      </c>
      <c r="D4785" s="3">
        <f>IFERROR(__xludf.DUMMYFUNCTION("""COMPUTED_VALUE"""),1.0)</f>
        <v>1</v>
      </c>
      <c r="E4785" s="2"/>
      <c r="F4785" s="2"/>
    </row>
    <row r="4786">
      <c r="A4786" s="2">
        <f>IFERROR(__xludf.DUMMYFUNCTION("""COMPUTED_VALUE"""),119801.0)</f>
        <v>119801</v>
      </c>
      <c r="B4786" s="2">
        <f>IFERROR(__xludf.DUMMYFUNCTION("""COMPUTED_VALUE"""),1.0)</f>
        <v>1</v>
      </c>
      <c r="C4786" s="2">
        <f>IFERROR(__xludf.DUMMYFUNCTION("""COMPUTED_VALUE"""),561.0)</f>
        <v>561</v>
      </c>
      <c r="D4786" s="3">
        <f>IFERROR(__xludf.DUMMYFUNCTION("""COMPUTED_VALUE"""),278.0)</f>
        <v>278</v>
      </c>
      <c r="E4786" s="2"/>
      <c r="F4786" s="2"/>
    </row>
    <row r="4787">
      <c r="A4787" s="2">
        <f>IFERROR(__xludf.DUMMYFUNCTION("""COMPUTED_VALUE"""),126576.0)</f>
        <v>126576</v>
      </c>
      <c r="B4787" s="2">
        <f>IFERROR(__xludf.DUMMYFUNCTION("""COMPUTED_VALUE"""),0.0)</f>
        <v>0</v>
      </c>
      <c r="C4787" s="2">
        <f>IFERROR(__xludf.DUMMYFUNCTION("""COMPUTED_VALUE"""),794.0)</f>
        <v>794</v>
      </c>
      <c r="D4787" s="3">
        <f>IFERROR(__xludf.DUMMYFUNCTION("""COMPUTED_VALUE"""),721.0)</f>
        <v>721</v>
      </c>
      <c r="E4787" s="2"/>
      <c r="F4787" s="2"/>
    </row>
    <row r="4788">
      <c r="A4788" s="2">
        <f>IFERROR(__xludf.DUMMYFUNCTION("""COMPUTED_VALUE"""),108841.0)</f>
        <v>108841</v>
      </c>
      <c r="B4788" s="2">
        <f>IFERROR(__xludf.DUMMYFUNCTION("""COMPUTED_VALUE"""),1.0)</f>
        <v>1</v>
      </c>
      <c r="C4788" s="2">
        <f>IFERROR(__xludf.DUMMYFUNCTION("""COMPUTED_VALUE"""),114.0)</f>
        <v>114</v>
      </c>
      <c r="D4788" s="3">
        <f>IFERROR(__xludf.DUMMYFUNCTION("""COMPUTED_VALUE"""),68.0)</f>
        <v>68</v>
      </c>
      <c r="E4788" s="2"/>
      <c r="F4788" s="2"/>
    </row>
    <row r="4789">
      <c r="A4789" s="2">
        <f>IFERROR(__xludf.DUMMYFUNCTION("""COMPUTED_VALUE"""),82820.0)</f>
        <v>82820</v>
      </c>
      <c r="B4789" s="2">
        <f>IFERROR(__xludf.DUMMYFUNCTION("""COMPUTED_VALUE"""),1.0)</f>
        <v>1</v>
      </c>
      <c r="C4789" s="2">
        <f>IFERROR(__xludf.DUMMYFUNCTION("""COMPUTED_VALUE"""),413.0)</f>
        <v>413</v>
      </c>
      <c r="D4789" s="3">
        <f>IFERROR(__xludf.DUMMYFUNCTION("""COMPUTED_VALUE"""),217.0)</f>
        <v>217</v>
      </c>
      <c r="E4789" s="2"/>
      <c r="F4789" s="2"/>
    </row>
    <row r="4790">
      <c r="A4790" s="2">
        <f>IFERROR(__xludf.DUMMYFUNCTION("""COMPUTED_VALUE"""),116826.0)</f>
        <v>116826</v>
      </c>
      <c r="B4790" s="2">
        <f>IFERROR(__xludf.DUMMYFUNCTION("""COMPUTED_VALUE"""),1.0)</f>
        <v>1</v>
      </c>
      <c r="C4790" s="2">
        <f>IFERROR(__xludf.DUMMYFUNCTION("""COMPUTED_VALUE"""),846.0)</f>
        <v>846</v>
      </c>
      <c r="D4790" s="3">
        <f>IFERROR(__xludf.DUMMYFUNCTION("""COMPUTED_VALUE"""),269.0)</f>
        <v>269</v>
      </c>
      <c r="E4790" s="2"/>
      <c r="F4790" s="2"/>
    </row>
    <row r="4791">
      <c r="A4791" s="2">
        <f>IFERROR(__xludf.DUMMYFUNCTION("""COMPUTED_VALUE"""),126965.0)</f>
        <v>126965</v>
      </c>
      <c r="B4791" s="2">
        <f>IFERROR(__xludf.DUMMYFUNCTION("""COMPUTED_VALUE"""),1.0)</f>
        <v>1</v>
      </c>
      <c r="C4791" s="2">
        <f>IFERROR(__xludf.DUMMYFUNCTION("""COMPUTED_VALUE"""),543.0)</f>
        <v>543</v>
      </c>
      <c r="D4791" s="3">
        <f>IFERROR(__xludf.DUMMYFUNCTION("""COMPUTED_VALUE"""),208.0)</f>
        <v>208</v>
      </c>
      <c r="E4791" s="2"/>
      <c r="F4791" s="2"/>
    </row>
    <row r="4792">
      <c r="A4792" s="2">
        <f>IFERROR(__xludf.DUMMYFUNCTION("""COMPUTED_VALUE"""),103795.0)</f>
        <v>103795</v>
      </c>
      <c r="B4792" s="2">
        <f>IFERROR(__xludf.DUMMYFUNCTION("""COMPUTED_VALUE"""),0.0)</f>
        <v>0</v>
      </c>
      <c r="C4792" s="2">
        <f>IFERROR(__xludf.DUMMYFUNCTION("""COMPUTED_VALUE"""),333.0)</f>
        <v>333</v>
      </c>
      <c r="D4792" s="3">
        <f>IFERROR(__xludf.DUMMYFUNCTION("""COMPUTED_VALUE"""),54.0)</f>
        <v>54</v>
      </c>
      <c r="E4792" s="2"/>
      <c r="F4792" s="2"/>
    </row>
    <row r="4793">
      <c r="A4793" s="2">
        <f>IFERROR(__xludf.DUMMYFUNCTION("""COMPUTED_VALUE"""),116821.0)</f>
        <v>116821</v>
      </c>
      <c r="B4793" s="2">
        <f>IFERROR(__xludf.DUMMYFUNCTION("""COMPUTED_VALUE"""),0.0)</f>
        <v>0</v>
      </c>
      <c r="C4793" s="2">
        <f>IFERROR(__xludf.DUMMYFUNCTION("""COMPUTED_VALUE"""),273.0)</f>
        <v>273</v>
      </c>
      <c r="D4793" s="3">
        <f>IFERROR(__xludf.DUMMYFUNCTION("""COMPUTED_VALUE"""),81.0)</f>
        <v>81</v>
      </c>
      <c r="E4793" s="2"/>
      <c r="F4793" s="2"/>
    </row>
    <row r="4794">
      <c r="A4794" s="2">
        <f>IFERROR(__xludf.DUMMYFUNCTION("""COMPUTED_VALUE"""),126577.0)</f>
        <v>126577</v>
      </c>
      <c r="B4794" s="2">
        <f>IFERROR(__xludf.DUMMYFUNCTION("""COMPUTED_VALUE"""),0.0)</f>
        <v>0</v>
      </c>
      <c r="C4794" s="2">
        <f>IFERROR(__xludf.DUMMYFUNCTION("""COMPUTED_VALUE"""),-2.0)</f>
        <v>-2</v>
      </c>
      <c r="D4794" s="3">
        <f>IFERROR(__xludf.DUMMYFUNCTION("""COMPUTED_VALUE"""),-1.0)</f>
        <v>-1</v>
      </c>
      <c r="E4794" s="2"/>
      <c r="F4794" s="2"/>
    </row>
    <row r="4795">
      <c r="A4795" s="2">
        <f>IFERROR(__xludf.DUMMYFUNCTION("""COMPUTED_VALUE"""),82806.0)</f>
        <v>82806</v>
      </c>
      <c r="B4795" s="2">
        <f>IFERROR(__xludf.DUMMYFUNCTION("""COMPUTED_VALUE"""),0.0)</f>
        <v>0</v>
      </c>
      <c r="C4795" s="2">
        <f>IFERROR(__xludf.DUMMYFUNCTION("""COMPUTED_VALUE"""),807.0)</f>
        <v>807</v>
      </c>
      <c r="D4795" s="3">
        <f>IFERROR(__xludf.DUMMYFUNCTION("""COMPUTED_VALUE"""),193.0)</f>
        <v>193</v>
      </c>
      <c r="E4795" s="2"/>
      <c r="F4795" s="2"/>
    </row>
    <row r="4796">
      <c r="A4796" s="2">
        <f>IFERROR(__xludf.DUMMYFUNCTION("""COMPUTED_VALUE"""),68099.0)</f>
        <v>68099</v>
      </c>
      <c r="B4796" s="2">
        <f>IFERROR(__xludf.DUMMYFUNCTION("""COMPUTED_VALUE"""),1.0)</f>
        <v>1</v>
      </c>
      <c r="C4796" s="2">
        <f>IFERROR(__xludf.DUMMYFUNCTION("""COMPUTED_VALUE"""),147.0)</f>
        <v>147</v>
      </c>
      <c r="D4796" s="3">
        <f>IFERROR(__xludf.DUMMYFUNCTION("""COMPUTED_VALUE"""),26.0)</f>
        <v>26</v>
      </c>
      <c r="E4796" s="2"/>
      <c r="F4796" s="2"/>
    </row>
    <row r="4797">
      <c r="A4797" s="2">
        <f>IFERROR(__xludf.DUMMYFUNCTION("""COMPUTED_VALUE"""),82827.0)</f>
        <v>82827</v>
      </c>
      <c r="B4797" s="2">
        <f>IFERROR(__xludf.DUMMYFUNCTION("""COMPUTED_VALUE"""),0.0)</f>
        <v>0</v>
      </c>
      <c r="C4797" s="2">
        <f>IFERROR(__xludf.DUMMYFUNCTION("""COMPUTED_VALUE"""),648.0)</f>
        <v>648</v>
      </c>
      <c r="D4797" s="3">
        <f>IFERROR(__xludf.DUMMYFUNCTION("""COMPUTED_VALUE"""),187.0)</f>
        <v>187</v>
      </c>
      <c r="E4797" s="2"/>
      <c r="F4797" s="2"/>
    </row>
    <row r="4798">
      <c r="A4798" s="2">
        <f>IFERROR(__xludf.DUMMYFUNCTION("""COMPUTED_VALUE"""),77127.0)</f>
        <v>77127</v>
      </c>
      <c r="B4798" s="2">
        <f>IFERROR(__xludf.DUMMYFUNCTION("""COMPUTED_VALUE"""),1.0)</f>
        <v>1</v>
      </c>
      <c r="C4798" s="2">
        <f>IFERROR(__xludf.DUMMYFUNCTION("""COMPUTED_VALUE"""),768.0)</f>
        <v>768</v>
      </c>
      <c r="D4798" s="3">
        <f>IFERROR(__xludf.DUMMYFUNCTION("""COMPUTED_VALUE"""),508.0)</f>
        <v>508</v>
      </c>
      <c r="E4798" s="2"/>
      <c r="F4798" s="2"/>
    </row>
    <row r="4799">
      <c r="A4799" s="2">
        <f>IFERROR(__xludf.DUMMYFUNCTION("""COMPUTED_VALUE"""),69002.0)</f>
        <v>69002</v>
      </c>
      <c r="B4799" s="2">
        <f>IFERROR(__xludf.DUMMYFUNCTION("""COMPUTED_VALUE"""),1.0)</f>
        <v>1</v>
      </c>
      <c r="C4799" s="2">
        <f>IFERROR(__xludf.DUMMYFUNCTION("""COMPUTED_VALUE"""),48.0)</f>
        <v>48</v>
      </c>
      <c r="D4799" s="3">
        <f>IFERROR(__xludf.DUMMYFUNCTION("""COMPUTED_VALUE"""),46.0)</f>
        <v>46</v>
      </c>
      <c r="E4799" s="2"/>
      <c r="F4799" s="2"/>
    </row>
    <row r="4800">
      <c r="A4800" s="2">
        <f>IFERROR(__xludf.DUMMYFUNCTION("""COMPUTED_VALUE"""),119847.0)</f>
        <v>119847</v>
      </c>
      <c r="B4800" s="2">
        <f>IFERROR(__xludf.DUMMYFUNCTION("""COMPUTED_VALUE"""),0.0)</f>
        <v>0</v>
      </c>
      <c r="C4800" s="2">
        <f>IFERROR(__xludf.DUMMYFUNCTION("""COMPUTED_VALUE"""),158.0)</f>
        <v>158</v>
      </c>
      <c r="D4800" s="3">
        <f>IFERROR(__xludf.DUMMYFUNCTION("""COMPUTED_VALUE"""),92.0)</f>
        <v>92</v>
      </c>
      <c r="E4800" s="2"/>
      <c r="F4800" s="2"/>
    </row>
    <row r="4801">
      <c r="A4801" s="2">
        <f>IFERROR(__xludf.DUMMYFUNCTION("""COMPUTED_VALUE"""),11446.0)</f>
        <v>11446</v>
      </c>
      <c r="B4801" s="2">
        <f>IFERROR(__xludf.DUMMYFUNCTION("""COMPUTED_VALUE"""),1.0)</f>
        <v>1</v>
      </c>
      <c r="C4801" s="2">
        <f>IFERROR(__xludf.DUMMYFUNCTION("""COMPUTED_VALUE"""),951.0)</f>
        <v>951</v>
      </c>
      <c r="D4801" s="3">
        <f>IFERROR(__xludf.DUMMYFUNCTION("""COMPUTED_VALUE"""),683.0)</f>
        <v>683</v>
      </c>
      <c r="E4801" s="2"/>
      <c r="F4801" s="2"/>
    </row>
    <row r="4802">
      <c r="A4802" s="2">
        <f>IFERROR(__xludf.DUMMYFUNCTION("""COMPUTED_VALUE"""),30628.0)</f>
        <v>30628</v>
      </c>
      <c r="B4802" s="2">
        <f>IFERROR(__xludf.DUMMYFUNCTION("""COMPUTED_VALUE"""),0.0)</f>
        <v>0</v>
      </c>
      <c r="C4802" s="2">
        <f>IFERROR(__xludf.DUMMYFUNCTION("""COMPUTED_VALUE"""),488.0)</f>
        <v>488</v>
      </c>
      <c r="D4802" s="3">
        <f>IFERROR(__xludf.DUMMYFUNCTION("""COMPUTED_VALUE"""),285.0)</f>
        <v>285</v>
      </c>
      <c r="E4802" s="2"/>
      <c r="F4802" s="2"/>
    </row>
    <row r="4803">
      <c r="A4803" s="2">
        <f>IFERROR(__xludf.DUMMYFUNCTION("""COMPUTED_VALUE"""),113003.0)</f>
        <v>113003</v>
      </c>
      <c r="B4803" s="2">
        <f>IFERROR(__xludf.DUMMYFUNCTION("""COMPUTED_VALUE"""),0.0)</f>
        <v>0</v>
      </c>
      <c r="C4803" s="2">
        <f>IFERROR(__xludf.DUMMYFUNCTION("""COMPUTED_VALUE"""),643.0)</f>
        <v>643</v>
      </c>
      <c r="D4803" s="3">
        <f>IFERROR(__xludf.DUMMYFUNCTION("""COMPUTED_VALUE"""),394.0)</f>
        <v>394</v>
      </c>
      <c r="E4803" s="2"/>
      <c r="F4803" s="2"/>
    </row>
    <row r="4804">
      <c r="A4804" s="2">
        <f>IFERROR(__xludf.DUMMYFUNCTION("""COMPUTED_VALUE"""),30631.0)</f>
        <v>30631</v>
      </c>
      <c r="B4804" s="2">
        <f>IFERROR(__xludf.DUMMYFUNCTION("""COMPUTED_VALUE"""),1.0)</f>
        <v>1</v>
      </c>
      <c r="C4804" s="2">
        <f>IFERROR(__xludf.DUMMYFUNCTION("""COMPUTED_VALUE"""),908.0)</f>
        <v>908</v>
      </c>
      <c r="D4804" s="3">
        <f>IFERROR(__xludf.DUMMYFUNCTION("""COMPUTED_VALUE"""),862.0)</f>
        <v>862</v>
      </c>
      <c r="E4804" s="2"/>
      <c r="F4804" s="2"/>
    </row>
    <row r="4805">
      <c r="A4805" s="2">
        <f>IFERROR(__xludf.DUMMYFUNCTION("""COMPUTED_VALUE"""),188351.0)</f>
        <v>188351</v>
      </c>
      <c r="B4805" s="2">
        <f>IFERROR(__xludf.DUMMYFUNCTION("""COMPUTED_VALUE"""),0.0)</f>
        <v>0</v>
      </c>
      <c r="C4805" s="2">
        <f>IFERROR(__xludf.DUMMYFUNCTION("""COMPUTED_VALUE"""),503.0)</f>
        <v>503</v>
      </c>
      <c r="D4805" s="3">
        <f>IFERROR(__xludf.DUMMYFUNCTION("""COMPUTED_VALUE"""),137.0)</f>
        <v>137</v>
      </c>
      <c r="E4805" s="2"/>
      <c r="F4805" s="2"/>
    </row>
    <row r="4806">
      <c r="A4806" s="2">
        <f>IFERROR(__xludf.DUMMYFUNCTION("""COMPUTED_VALUE"""),67025.0)</f>
        <v>67025</v>
      </c>
      <c r="B4806" s="2">
        <f>IFERROR(__xludf.DUMMYFUNCTION("""COMPUTED_VALUE"""),0.0)</f>
        <v>0</v>
      </c>
      <c r="C4806" s="2">
        <f>IFERROR(__xludf.DUMMYFUNCTION("""COMPUTED_VALUE"""),67.0)</f>
        <v>67</v>
      </c>
      <c r="D4806" s="3">
        <f>IFERROR(__xludf.DUMMYFUNCTION("""COMPUTED_VALUE"""),58.0)</f>
        <v>58</v>
      </c>
      <c r="E4806" s="2"/>
      <c r="F4806" s="2"/>
    </row>
    <row r="4807">
      <c r="A4807" s="2">
        <f>IFERROR(__xludf.DUMMYFUNCTION("""COMPUTED_VALUE"""),119797.0)</f>
        <v>119797</v>
      </c>
      <c r="B4807" s="2">
        <f>IFERROR(__xludf.DUMMYFUNCTION("""COMPUTED_VALUE"""),1.0)</f>
        <v>1</v>
      </c>
      <c r="C4807" s="2">
        <f>IFERROR(__xludf.DUMMYFUNCTION("""COMPUTED_VALUE"""),876.0)</f>
        <v>876</v>
      </c>
      <c r="D4807" s="3">
        <f>IFERROR(__xludf.DUMMYFUNCTION("""COMPUTED_VALUE"""),352.0)</f>
        <v>352</v>
      </c>
      <c r="E4807" s="2"/>
      <c r="F4807" s="2"/>
    </row>
    <row r="4808">
      <c r="A4808" s="2">
        <f>IFERROR(__xludf.DUMMYFUNCTION("""COMPUTED_VALUE"""),3592.0)</f>
        <v>3592</v>
      </c>
      <c r="B4808" s="2">
        <f>IFERROR(__xludf.DUMMYFUNCTION("""COMPUTED_VALUE"""),1.0)</f>
        <v>1</v>
      </c>
      <c r="C4808" s="2">
        <f>IFERROR(__xludf.DUMMYFUNCTION("""COMPUTED_VALUE"""),143.0)</f>
        <v>143</v>
      </c>
      <c r="D4808" s="3">
        <f>IFERROR(__xludf.DUMMYFUNCTION("""COMPUTED_VALUE"""),105.0)</f>
        <v>105</v>
      </c>
      <c r="E4808" s="2"/>
      <c r="F4808" s="2"/>
    </row>
    <row r="4809">
      <c r="A4809" s="2">
        <f>IFERROR(__xludf.DUMMYFUNCTION("""COMPUTED_VALUE"""),3586.0)</f>
        <v>3586</v>
      </c>
      <c r="B4809" s="2">
        <f>IFERROR(__xludf.DUMMYFUNCTION("""COMPUTED_VALUE"""),0.0)</f>
        <v>0</v>
      </c>
      <c r="C4809" s="2">
        <f>IFERROR(__xludf.DUMMYFUNCTION("""COMPUTED_VALUE"""),36.0)</f>
        <v>36</v>
      </c>
      <c r="D4809" s="3">
        <f>IFERROR(__xludf.DUMMYFUNCTION("""COMPUTED_VALUE"""),35.0)</f>
        <v>35</v>
      </c>
      <c r="E4809" s="2"/>
      <c r="F4809" s="2"/>
    </row>
    <row r="4810">
      <c r="A4810" s="2">
        <f>IFERROR(__xludf.DUMMYFUNCTION("""COMPUTED_VALUE"""),3591.0)</f>
        <v>3591</v>
      </c>
      <c r="B4810" s="2">
        <f>IFERROR(__xludf.DUMMYFUNCTION("""COMPUTED_VALUE"""),0.0)</f>
        <v>0</v>
      </c>
      <c r="C4810" s="2">
        <f>IFERROR(__xludf.DUMMYFUNCTION("""COMPUTED_VALUE"""),766.0)</f>
        <v>766</v>
      </c>
      <c r="D4810" s="3">
        <f>IFERROR(__xludf.DUMMYFUNCTION("""COMPUTED_VALUE"""),104.0)</f>
        <v>104</v>
      </c>
      <c r="E4810" s="2"/>
      <c r="F4810" s="2"/>
    </row>
    <row r="4811">
      <c r="A4811" s="2">
        <f>IFERROR(__xludf.DUMMYFUNCTION("""COMPUTED_VALUE"""),73847.0)</f>
        <v>73847</v>
      </c>
      <c r="B4811" s="2">
        <f>IFERROR(__xludf.DUMMYFUNCTION("""COMPUTED_VALUE"""),1.0)</f>
        <v>1</v>
      </c>
      <c r="C4811" s="2">
        <f>IFERROR(__xludf.DUMMYFUNCTION("""COMPUTED_VALUE"""),501.0)</f>
        <v>501</v>
      </c>
      <c r="D4811" s="3">
        <f>IFERROR(__xludf.DUMMYFUNCTION("""COMPUTED_VALUE"""),277.0)</f>
        <v>277</v>
      </c>
      <c r="E4811" s="2"/>
      <c r="F4811" s="2"/>
    </row>
    <row r="4812">
      <c r="A4812" s="2">
        <f>IFERROR(__xludf.DUMMYFUNCTION("""COMPUTED_VALUE"""),3590.0)</f>
        <v>3590</v>
      </c>
      <c r="B4812" s="2">
        <f>IFERROR(__xludf.DUMMYFUNCTION("""COMPUTED_VALUE"""),0.0)</f>
        <v>0</v>
      </c>
      <c r="C4812" s="2">
        <f>IFERROR(__xludf.DUMMYFUNCTION("""COMPUTED_VALUE"""),174.0)</f>
        <v>174</v>
      </c>
      <c r="D4812" s="3">
        <f>IFERROR(__xludf.DUMMYFUNCTION("""COMPUTED_VALUE"""),161.0)</f>
        <v>161</v>
      </c>
      <c r="E4812" s="2"/>
      <c r="F4812" s="2"/>
    </row>
    <row r="4813">
      <c r="A4813" s="2">
        <f>IFERROR(__xludf.DUMMYFUNCTION("""COMPUTED_VALUE"""),116903.0)</f>
        <v>116903</v>
      </c>
      <c r="B4813" s="2">
        <f>IFERROR(__xludf.DUMMYFUNCTION("""COMPUTED_VALUE"""),0.0)</f>
        <v>0</v>
      </c>
      <c r="C4813" s="2">
        <f>IFERROR(__xludf.DUMMYFUNCTION("""COMPUTED_VALUE"""),427.0)</f>
        <v>427</v>
      </c>
      <c r="D4813" s="3">
        <f>IFERROR(__xludf.DUMMYFUNCTION("""COMPUTED_VALUE"""),326.0)</f>
        <v>326</v>
      </c>
      <c r="E4813" s="2"/>
      <c r="F4813" s="2"/>
    </row>
    <row r="4814">
      <c r="A4814" s="2">
        <f>IFERROR(__xludf.DUMMYFUNCTION("""COMPUTED_VALUE"""),116780.0)</f>
        <v>116780</v>
      </c>
      <c r="B4814" s="2">
        <f>IFERROR(__xludf.DUMMYFUNCTION("""COMPUTED_VALUE"""),0.0)</f>
        <v>0</v>
      </c>
      <c r="C4814" s="2">
        <f>IFERROR(__xludf.DUMMYFUNCTION("""COMPUTED_VALUE"""),434.0)</f>
        <v>434</v>
      </c>
      <c r="D4814" s="3">
        <f>IFERROR(__xludf.DUMMYFUNCTION("""COMPUTED_VALUE"""),332.0)</f>
        <v>332</v>
      </c>
      <c r="E4814" s="2"/>
      <c r="F4814" s="2"/>
    </row>
    <row r="4815">
      <c r="A4815" s="2">
        <f>IFERROR(__xludf.DUMMYFUNCTION("""COMPUTED_VALUE"""),114912.0)</f>
        <v>114912</v>
      </c>
      <c r="B4815" s="2">
        <f>IFERROR(__xludf.DUMMYFUNCTION("""COMPUTED_VALUE"""),1.0)</f>
        <v>1</v>
      </c>
      <c r="C4815" s="2">
        <f>IFERROR(__xludf.DUMMYFUNCTION("""COMPUTED_VALUE"""),637.0)</f>
        <v>637</v>
      </c>
      <c r="D4815" s="3">
        <f>IFERROR(__xludf.DUMMYFUNCTION("""COMPUTED_VALUE"""),634.0)</f>
        <v>634</v>
      </c>
      <c r="E4815" s="2"/>
      <c r="F4815" s="2"/>
    </row>
    <row r="4816">
      <c r="A4816" s="2">
        <f>IFERROR(__xludf.DUMMYFUNCTION("""COMPUTED_VALUE"""),111970.0)</f>
        <v>111970</v>
      </c>
      <c r="B4816" s="2">
        <f>IFERROR(__xludf.DUMMYFUNCTION("""COMPUTED_VALUE"""),1.0)</f>
        <v>1</v>
      </c>
      <c r="C4816" s="2">
        <f>IFERROR(__xludf.DUMMYFUNCTION("""COMPUTED_VALUE"""),548.0)</f>
        <v>548</v>
      </c>
      <c r="D4816" s="3">
        <f>IFERROR(__xludf.DUMMYFUNCTION("""COMPUTED_VALUE"""),538.0)</f>
        <v>538</v>
      </c>
      <c r="E4816" s="2"/>
      <c r="F4816" s="2"/>
    </row>
    <row r="4817">
      <c r="A4817" s="2">
        <f>IFERROR(__xludf.DUMMYFUNCTION("""COMPUTED_VALUE"""),126973.0)</f>
        <v>126973</v>
      </c>
      <c r="B4817" s="2">
        <f>IFERROR(__xludf.DUMMYFUNCTION("""COMPUTED_VALUE"""),1.0)</f>
        <v>1</v>
      </c>
      <c r="C4817" s="2">
        <f>IFERROR(__xludf.DUMMYFUNCTION("""COMPUTED_VALUE"""),820.0)</f>
        <v>820</v>
      </c>
      <c r="D4817" s="3">
        <f>IFERROR(__xludf.DUMMYFUNCTION("""COMPUTED_VALUE"""),677.0)</f>
        <v>677</v>
      </c>
      <c r="E4817" s="2"/>
      <c r="F4817" s="2"/>
    </row>
    <row r="4818">
      <c r="A4818" s="2">
        <f>IFERROR(__xludf.DUMMYFUNCTION("""COMPUTED_VALUE"""),116964.0)</f>
        <v>116964</v>
      </c>
      <c r="B4818" s="2">
        <f>IFERROR(__xludf.DUMMYFUNCTION("""COMPUTED_VALUE"""),0.0)</f>
        <v>0</v>
      </c>
      <c r="C4818" s="2">
        <f>IFERROR(__xludf.DUMMYFUNCTION("""COMPUTED_VALUE"""),120.0)</f>
        <v>120</v>
      </c>
      <c r="D4818" s="3">
        <f>IFERROR(__xludf.DUMMYFUNCTION("""COMPUTED_VALUE"""),100.0)</f>
        <v>100</v>
      </c>
      <c r="E4818" s="2"/>
      <c r="F4818" s="2"/>
    </row>
    <row r="4819">
      <c r="A4819" s="2">
        <f>IFERROR(__xludf.DUMMYFUNCTION("""COMPUTED_VALUE"""),122340.0)</f>
        <v>122340</v>
      </c>
      <c r="B4819" s="2">
        <f>IFERROR(__xludf.DUMMYFUNCTION("""COMPUTED_VALUE"""),0.0)</f>
        <v>0</v>
      </c>
      <c r="C4819" s="2">
        <f>IFERROR(__xludf.DUMMYFUNCTION("""COMPUTED_VALUE"""),323.0)</f>
        <v>323</v>
      </c>
      <c r="D4819" s="3">
        <f>IFERROR(__xludf.DUMMYFUNCTION("""COMPUTED_VALUE"""),156.0)</f>
        <v>156</v>
      </c>
      <c r="E4819" s="2"/>
      <c r="F4819" s="2"/>
    </row>
    <row r="4820">
      <c r="A4820" s="2">
        <f>IFERROR(__xludf.DUMMYFUNCTION("""COMPUTED_VALUE"""),116963.0)</f>
        <v>116963</v>
      </c>
      <c r="B4820" s="2">
        <f>IFERROR(__xludf.DUMMYFUNCTION("""COMPUTED_VALUE"""),0.0)</f>
        <v>0</v>
      </c>
      <c r="C4820" s="2">
        <f>IFERROR(__xludf.DUMMYFUNCTION("""COMPUTED_VALUE"""),354.0)</f>
        <v>354</v>
      </c>
      <c r="D4820" s="3">
        <f>IFERROR(__xludf.DUMMYFUNCTION("""COMPUTED_VALUE"""),144.0)</f>
        <v>144</v>
      </c>
      <c r="E4820" s="2"/>
      <c r="F4820" s="2"/>
    </row>
    <row r="4821">
      <c r="A4821" s="2">
        <f>IFERROR(__xludf.DUMMYFUNCTION("""COMPUTED_VALUE"""),120241.0)</f>
        <v>120241</v>
      </c>
      <c r="B4821" s="2">
        <f>IFERROR(__xludf.DUMMYFUNCTION("""COMPUTED_VALUE"""),1.0)</f>
        <v>1</v>
      </c>
      <c r="C4821" s="2">
        <f>IFERROR(__xludf.DUMMYFUNCTION("""COMPUTED_VALUE"""),910.0)</f>
        <v>910</v>
      </c>
      <c r="D4821" s="3">
        <f>IFERROR(__xludf.DUMMYFUNCTION("""COMPUTED_VALUE"""),803.0)</f>
        <v>803</v>
      </c>
      <c r="E4821" s="2"/>
      <c r="F4821" s="2"/>
    </row>
    <row r="4822">
      <c r="A4822" s="2">
        <f>IFERROR(__xludf.DUMMYFUNCTION("""COMPUTED_VALUE"""),120205.0)</f>
        <v>120205</v>
      </c>
      <c r="B4822" s="2">
        <f>IFERROR(__xludf.DUMMYFUNCTION("""COMPUTED_VALUE"""),0.0)</f>
        <v>0</v>
      </c>
      <c r="C4822" s="2">
        <f>IFERROR(__xludf.DUMMYFUNCTION("""COMPUTED_VALUE"""),849.0)</f>
        <v>849</v>
      </c>
      <c r="D4822" s="3">
        <f>IFERROR(__xludf.DUMMYFUNCTION("""COMPUTED_VALUE"""),245.0)</f>
        <v>245</v>
      </c>
      <c r="E4822" s="2"/>
      <c r="F4822" s="2"/>
    </row>
    <row r="4823">
      <c r="A4823" s="2">
        <f>IFERROR(__xludf.DUMMYFUNCTION("""COMPUTED_VALUE"""),104162.0)</f>
        <v>104162</v>
      </c>
      <c r="B4823" s="2">
        <f>IFERROR(__xludf.DUMMYFUNCTION("""COMPUTED_VALUE"""),1.0)</f>
        <v>1</v>
      </c>
      <c r="C4823" s="2">
        <f>IFERROR(__xludf.DUMMYFUNCTION("""COMPUTED_VALUE"""),488.0)</f>
        <v>488</v>
      </c>
      <c r="D4823" s="3">
        <f>IFERROR(__xludf.DUMMYFUNCTION("""COMPUTED_VALUE"""),336.0)</f>
        <v>336</v>
      </c>
      <c r="E4823" s="2"/>
      <c r="F4823" s="2"/>
    </row>
    <row r="4824">
      <c r="A4824" s="2">
        <f>IFERROR(__xludf.DUMMYFUNCTION("""COMPUTED_VALUE"""),110792.0)</f>
        <v>110792</v>
      </c>
      <c r="B4824" s="2">
        <f>IFERROR(__xludf.DUMMYFUNCTION("""COMPUTED_VALUE"""),0.0)</f>
        <v>0</v>
      </c>
      <c r="C4824" s="2">
        <f>IFERROR(__xludf.DUMMYFUNCTION("""COMPUTED_VALUE"""),423.0)</f>
        <v>423</v>
      </c>
      <c r="D4824" s="3">
        <f>IFERROR(__xludf.DUMMYFUNCTION("""COMPUTED_VALUE"""),330.0)</f>
        <v>330</v>
      </c>
      <c r="E4824" s="2"/>
      <c r="F4824" s="2"/>
    </row>
    <row r="4825">
      <c r="A4825" s="2">
        <f>IFERROR(__xludf.DUMMYFUNCTION("""COMPUTED_VALUE"""),104169.0)</f>
        <v>104169</v>
      </c>
      <c r="B4825" s="2">
        <f>IFERROR(__xludf.DUMMYFUNCTION("""COMPUTED_VALUE"""),0.0)</f>
        <v>0</v>
      </c>
      <c r="C4825" s="2">
        <f>IFERROR(__xludf.DUMMYFUNCTION("""COMPUTED_VALUE"""),330.0)</f>
        <v>330</v>
      </c>
      <c r="D4825" s="3">
        <f>IFERROR(__xludf.DUMMYFUNCTION("""COMPUTED_VALUE"""),248.0)</f>
        <v>248</v>
      </c>
      <c r="E4825" s="2"/>
      <c r="F4825" s="2"/>
    </row>
    <row r="4826">
      <c r="A4826" s="2">
        <f>IFERROR(__xludf.DUMMYFUNCTION("""COMPUTED_VALUE"""),111957.0)</f>
        <v>111957</v>
      </c>
      <c r="B4826" s="2">
        <f>IFERROR(__xludf.DUMMYFUNCTION("""COMPUTED_VALUE"""),0.0)</f>
        <v>0</v>
      </c>
      <c r="C4826" s="2">
        <f>IFERROR(__xludf.DUMMYFUNCTION("""COMPUTED_VALUE"""),515.0)</f>
        <v>515</v>
      </c>
      <c r="D4826" s="3">
        <f>IFERROR(__xludf.DUMMYFUNCTION("""COMPUTED_VALUE"""),221.0)</f>
        <v>221</v>
      </c>
      <c r="E4826" s="2"/>
      <c r="F4826" s="2"/>
    </row>
    <row r="4827">
      <c r="A4827" s="2">
        <f>IFERROR(__xludf.DUMMYFUNCTION("""COMPUTED_VALUE"""),89201.0)</f>
        <v>89201</v>
      </c>
      <c r="B4827" s="2">
        <f>IFERROR(__xludf.DUMMYFUNCTION("""COMPUTED_VALUE"""),0.0)</f>
        <v>0</v>
      </c>
      <c r="C4827" s="2">
        <f>IFERROR(__xludf.DUMMYFUNCTION("""COMPUTED_VALUE"""),626.0)</f>
        <v>626</v>
      </c>
      <c r="D4827" s="3">
        <f>IFERROR(__xludf.DUMMYFUNCTION("""COMPUTED_VALUE"""),381.0)</f>
        <v>381</v>
      </c>
      <c r="E4827" s="2"/>
      <c r="F4827" s="2"/>
    </row>
    <row r="4828">
      <c r="A4828" s="2">
        <f>IFERROR(__xludf.DUMMYFUNCTION("""COMPUTED_VALUE"""),87305.0)</f>
        <v>87305</v>
      </c>
      <c r="B4828" s="2">
        <f>IFERROR(__xludf.DUMMYFUNCTION("""COMPUTED_VALUE"""),1.0)</f>
        <v>1</v>
      </c>
      <c r="C4828" s="2">
        <f>IFERROR(__xludf.DUMMYFUNCTION("""COMPUTED_VALUE"""),507.0)</f>
        <v>507</v>
      </c>
      <c r="D4828" s="3">
        <f>IFERROR(__xludf.DUMMYFUNCTION("""COMPUTED_VALUE"""),424.0)</f>
        <v>424</v>
      </c>
      <c r="E4828" s="2"/>
      <c r="F4828" s="2"/>
    </row>
    <row r="4829">
      <c r="A4829" s="2">
        <f>IFERROR(__xludf.DUMMYFUNCTION("""COMPUTED_VALUE"""),3480.0)</f>
        <v>3480</v>
      </c>
      <c r="B4829" s="2">
        <f>IFERROR(__xludf.DUMMYFUNCTION("""COMPUTED_VALUE"""),1.0)</f>
        <v>1</v>
      </c>
      <c r="C4829" s="2">
        <f>IFERROR(__xludf.DUMMYFUNCTION("""COMPUTED_VALUE"""),643.0)</f>
        <v>643</v>
      </c>
      <c r="D4829" s="3">
        <f>IFERROR(__xludf.DUMMYFUNCTION("""COMPUTED_VALUE"""),14.0)</f>
        <v>14</v>
      </c>
      <c r="E4829" s="2"/>
      <c r="F4829" s="2"/>
    </row>
    <row r="4830">
      <c r="A4830" s="2">
        <f>IFERROR(__xludf.DUMMYFUNCTION("""COMPUTED_VALUE"""),116817.0)</f>
        <v>116817</v>
      </c>
      <c r="B4830" s="2">
        <f>IFERROR(__xludf.DUMMYFUNCTION("""COMPUTED_VALUE"""),0.0)</f>
        <v>0</v>
      </c>
      <c r="C4830" s="2">
        <f>IFERROR(__xludf.DUMMYFUNCTION("""COMPUTED_VALUE"""),356.0)</f>
        <v>356</v>
      </c>
      <c r="D4830" s="3">
        <f>IFERROR(__xludf.DUMMYFUNCTION("""COMPUTED_VALUE"""),194.0)</f>
        <v>194</v>
      </c>
      <c r="E4830" s="2"/>
      <c r="F4830" s="2"/>
    </row>
    <row r="4831">
      <c r="A4831" s="2">
        <f>IFERROR(__xludf.DUMMYFUNCTION("""COMPUTED_VALUE"""),47209.0)</f>
        <v>47209</v>
      </c>
      <c r="B4831" s="2">
        <f>IFERROR(__xludf.DUMMYFUNCTION("""COMPUTED_VALUE"""),0.0)</f>
        <v>0</v>
      </c>
      <c r="C4831" s="2">
        <f>IFERROR(__xludf.DUMMYFUNCTION("""COMPUTED_VALUE"""),454.0)</f>
        <v>454</v>
      </c>
      <c r="D4831" s="3">
        <f>IFERROR(__xludf.DUMMYFUNCTION("""COMPUTED_VALUE"""),373.0)</f>
        <v>373</v>
      </c>
      <c r="E4831" s="2"/>
      <c r="F4831" s="2"/>
    </row>
    <row r="4832">
      <c r="A4832" s="2">
        <f>IFERROR(__xludf.DUMMYFUNCTION("""COMPUTED_VALUE"""),68213.0)</f>
        <v>68213</v>
      </c>
      <c r="B4832" s="2">
        <f>IFERROR(__xludf.DUMMYFUNCTION("""COMPUTED_VALUE"""),1.0)</f>
        <v>1</v>
      </c>
      <c r="C4832" s="2">
        <f>IFERROR(__xludf.DUMMYFUNCTION("""COMPUTED_VALUE"""),583.0)</f>
        <v>583</v>
      </c>
      <c r="D4832" s="3">
        <f>IFERROR(__xludf.DUMMYFUNCTION("""COMPUTED_VALUE"""),96.0)</f>
        <v>96</v>
      </c>
      <c r="E4832" s="2"/>
      <c r="F4832" s="2"/>
    </row>
    <row r="4833">
      <c r="A4833" s="2">
        <f>IFERROR(__xludf.DUMMYFUNCTION("""COMPUTED_VALUE"""),100999.0)</f>
        <v>100999</v>
      </c>
      <c r="B4833" s="2">
        <f>IFERROR(__xludf.DUMMYFUNCTION("""COMPUTED_VALUE"""),0.0)</f>
        <v>0</v>
      </c>
      <c r="C4833" s="2">
        <f>IFERROR(__xludf.DUMMYFUNCTION("""COMPUTED_VALUE"""),721.0)</f>
        <v>721</v>
      </c>
      <c r="D4833" s="3">
        <f>IFERROR(__xludf.DUMMYFUNCTION("""COMPUTED_VALUE"""),243.0)</f>
        <v>243</v>
      </c>
      <c r="E4833" s="2"/>
      <c r="F4833" s="2"/>
    </row>
    <row r="4834">
      <c r="A4834" s="2">
        <f>IFERROR(__xludf.DUMMYFUNCTION("""COMPUTED_VALUE"""),119241.0)</f>
        <v>119241</v>
      </c>
      <c r="B4834" s="2">
        <f>IFERROR(__xludf.DUMMYFUNCTION("""COMPUTED_VALUE"""),1.0)</f>
        <v>1</v>
      </c>
      <c r="C4834" s="2">
        <f>IFERROR(__xludf.DUMMYFUNCTION("""COMPUTED_VALUE"""),759.0)</f>
        <v>759</v>
      </c>
      <c r="D4834" s="3">
        <f>IFERROR(__xludf.DUMMYFUNCTION("""COMPUTED_VALUE"""),172.0)</f>
        <v>172</v>
      </c>
      <c r="E4834" s="2"/>
      <c r="F4834" s="2"/>
    </row>
    <row r="4835">
      <c r="A4835" s="2">
        <f>IFERROR(__xludf.DUMMYFUNCTION("""COMPUTED_VALUE"""),133917.0)</f>
        <v>133917</v>
      </c>
      <c r="B4835" s="2">
        <f>IFERROR(__xludf.DUMMYFUNCTION("""COMPUTED_VALUE"""),1.0)</f>
        <v>1</v>
      </c>
      <c r="C4835" s="2">
        <f>IFERROR(__xludf.DUMMYFUNCTION("""COMPUTED_VALUE"""),142.0)</f>
        <v>142</v>
      </c>
      <c r="D4835" s="3">
        <f>IFERROR(__xludf.DUMMYFUNCTION("""COMPUTED_VALUE"""),17.0)</f>
        <v>17</v>
      </c>
      <c r="E4835" s="2"/>
      <c r="F4835" s="2"/>
    </row>
    <row r="4836">
      <c r="A4836" s="2">
        <f>IFERROR(__xludf.DUMMYFUNCTION("""COMPUTED_VALUE"""),128334.0)</f>
        <v>128334</v>
      </c>
      <c r="B4836" s="2">
        <f>IFERROR(__xludf.DUMMYFUNCTION("""COMPUTED_VALUE"""),1.0)</f>
        <v>1</v>
      </c>
      <c r="C4836" s="2">
        <f>IFERROR(__xludf.DUMMYFUNCTION("""COMPUTED_VALUE"""),604.0)</f>
        <v>604</v>
      </c>
      <c r="D4836" s="3">
        <f>IFERROR(__xludf.DUMMYFUNCTION("""COMPUTED_VALUE"""),434.0)</f>
        <v>434</v>
      </c>
      <c r="E4836" s="2"/>
      <c r="F4836" s="2"/>
    </row>
    <row r="4837">
      <c r="A4837" s="2">
        <f>IFERROR(__xludf.DUMMYFUNCTION("""COMPUTED_VALUE"""),113235.0)</f>
        <v>113235</v>
      </c>
      <c r="B4837" s="2">
        <f>IFERROR(__xludf.DUMMYFUNCTION("""COMPUTED_VALUE"""),1.0)</f>
        <v>1</v>
      </c>
      <c r="C4837" s="2">
        <f>IFERROR(__xludf.DUMMYFUNCTION("""COMPUTED_VALUE"""),752.0)</f>
        <v>752</v>
      </c>
      <c r="D4837" s="3">
        <f>IFERROR(__xludf.DUMMYFUNCTION("""COMPUTED_VALUE"""),439.0)</f>
        <v>439</v>
      </c>
      <c r="E4837" s="2"/>
      <c r="F4837" s="2"/>
    </row>
    <row r="4838">
      <c r="A4838" s="2">
        <f>IFERROR(__xludf.DUMMYFUNCTION("""COMPUTED_VALUE"""),113249.0)</f>
        <v>113249</v>
      </c>
      <c r="B4838" s="2">
        <f>IFERROR(__xludf.DUMMYFUNCTION("""COMPUTED_VALUE"""),0.0)</f>
        <v>0</v>
      </c>
      <c r="C4838" s="2">
        <f>IFERROR(__xludf.DUMMYFUNCTION("""COMPUTED_VALUE"""),566.0)</f>
        <v>566</v>
      </c>
      <c r="D4838" s="3">
        <f>IFERROR(__xludf.DUMMYFUNCTION("""COMPUTED_VALUE"""),290.0)</f>
        <v>290</v>
      </c>
      <c r="E4838" s="2"/>
      <c r="F4838" s="2"/>
    </row>
    <row r="4839">
      <c r="A4839" s="2">
        <f>IFERROR(__xludf.DUMMYFUNCTION("""COMPUTED_VALUE"""),89210.0)</f>
        <v>89210</v>
      </c>
      <c r="B4839" s="2">
        <f>IFERROR(__xludf.DUMMYFUNCTION("""COMPUTED_VALUE"""),1.0)</f>
        <v>1</v>
      </c>
      <c r="C4839" s="2">
        <f>IFERROR(__xludf.DUMMYFUNCTION("""COMPUTED_VALUE"""),301.0)</f>
        <v>301</v>
      </c>
      <c r="D4839" s="3">
        <f>IFERROR(__xludf.DUMMYFUNCTION("""COMPUTED_VALUE"""),167.0)</f>
        <v>167</v>
      </c>
      <c r="E4839" s="2"/>
      <c r="F4839" s="2"/>
    </row>
    <row r="4840">
      <c r="A4840" s="2">
        <f>IFERROR(__xludf.DUMMYFUNCTION("""COMPUTED_VALUE"""),104170.0)</f>
        <v>104170</v>
      </c>
      <c r="B4840" s="2">
        <f>IFERROR(__xludf.DUMMYFUNCTION("""COMPUTED_VALUE"""),1.0)</f>
        <v>1</v>
      </c>
      <c r="C4840" s="2">
        <f>IFERROR(__xludf.DUMMYFUNCTION("""COMPUTED_VALUE"""),283.0)</f>
        <v>283</v>
      </c>
      <c r="D4840" s="3">
        <f>IFERROR(__xludf.DUMMYFUNCTION("""COMPUTED_VALUE"""),44.0)</f>
        <v>44</v>
      </c>
      <c r="E4840" s="2"/>
      <c r="F4840" s="2"/>
    </row>
    <row r="4841">
      <c r="A4841" s="2">
        <f>IFERROR(__xludf.DUMMYFUNCTION("""COMPUTED_VALUE"""),18671.0)</f>
        <v>18671</v>
      </c>
      <c r="B4841" s="2">
        <f>IFERROR(__xludf.DUMMYFUNCTION("""COMPUTED_VALUE"""),1.0)</f>
        <v>1</v>
      </c>
      <c r="C4841" s="2">
        <f>IFERROR(__xludf.DUMMYFUNCTION("""COMPUTED_VALUE"""),521.0)</f>
        <v>521</v>
      </c>
      <c r="D4841" s="3">
        <f>IFERROR(__xludf.DUMMYFUNCTION("""COMPUTED_VALUE"""),86.0)</f>
        <v>86</v>
      </c>
      <c r="E4841" s="2"/>
      <c r="F4841" s="2"/>
    </row>
    <row r="4842">
      <c r="A4842" s="2">
        <f>IFERROR(__xludf.DUMMYFUNCTION("""COMPUTED_VALUE"""),83804.0)</f>
        <v>83804</v>
      </c>
      <c r="B4842" s="2">
        <f>IFERROR(__xludf.DUMMYFUNCTION("""COMPUTED_VALUE"""),0.0)</f>
        <v>0</v>
      </c>
      <c r="C4842" s="2">
        <f>IFERROR(__xludf.DUMMYFUNCTION("""COMPUTED_VALUE"""),181.0)</f>
        <v>181</v>
      </c>
      <c r="D4842" s="3">
        <f>IFERROR(__xludf.DUMMYFUNCTION("""COMPUTED_VALUE"""),77.0)</f>
        <v>77</v>
      </c>
      <c r="E4842" s="2"/>
      <c r="F4842" s="2"/>
    </row>
    <row r="4843">
      <c r="A4843" s="2">
        <f>IFERROR(__xludf.DUMMYFUNCTION("""COMPUTED_VALUE"""),104415.0)</f>
        <v>104415</v>
      </c>
      <c r="B4843" s="2">
        <f>IFERROR(__xludf.DUMMYFUNCTION("""COMPUTED_VALUE"""),0.0)</f>
        <v>0</v>
      </c>
      <c r="C4843" s="2">
        <f>IFERROR(__xludf.DUMMYFUNCTION("""COMPUTED_VALUE"""),490.0)</f>
        <v>490</v>
      </c>
      <c r="D4843" s="3">
        <f>IFERROR(__xludf.DUMMYFUNCTION("""COMPUTED_VALUE"""),205.0)</f>
        <v>205</v>
      </c>
      <c r="E4843" s="2"/>
      <c r="F4843" s="2"/>
    </row>
    <row r="4844">
      <c r="A4844" s="2">
        <f>IFERROR(__xludf.DUMMYFUNCTION("""COMPUTED_VALUE"""),78351.0)</f>
        <v>78351</v>
      </c>
      <c r="B4844" s="2">
        <f>IFERROR(__xludf.DUMMYFUNCTION("""COMPUTED_VALUE"""),1.0)</f>
        <v>1</v>
      </c>
      <c r="C4844" s="2">
        <f>IFERROR(__xludf.DUMMYFUNCTION("""COMPUTED_VALUE"""),918.0)</f>
        <v>918</v>
      </c>
      <c r="D4844" s="3">
        <f>IFERROR(__xludf.DUMMYFUNCTION("""COMPUTED_VALUE"""),479.0)</f>
        <v>479</v>
      </c>
      <c r="E4844" s="2"/>
      <c r="F4844" s="2"/>
    </row>
    <row r="4845">
      <c r="A4845" s="2">
        <f>IFERROR(__xludf.DUMMYFUNCTION("""COMPUTED_VALUE"""),112174.0)</f>
        <v>112174</v>
      </c>
      <c r="B4845" s="2">
        <f>IFERROR(__xludf.DUMMYFUNCTION("""COMPUTED_VALUE"""),1.0)</f>
        <v>1</v>
      </c>
      <c r="C4845" s="2">
        <f>IFERROR(__xludf.DUMMYFUNCTION("""COMPUTED_VALUE"""),256.0)</f>
        <v>256</v>
      </c>
      <c r="D4845" s="3">
        <f>IFERROR(__xludf.DUMMYFUNCTION("""COMPUTED_VALUE"""),254.0)</f>
        <v>254</v>
      </c>
      <c r="E4845" s="2"/>
      <c r="F4845" s="2"/>
    </row>
    <row r="4846">
      <c r="A4846" s="2">
        <f>IFERROR(__xludf.DUMMYFUNCTION("""COMPUTED_VALUE"""),120248.0)</f>
        <v>120248</v>
      </c>
      <c r="B4846" s="2">
        <f>IFERROR(__xludf.DUMMYFUNCTION("""COMPUTED_VALUE"""),0.0)</f>
        <v>0</v>
      </c>
      <c r="C4846" s="2">
        <f>IFERROR(__xludf.DUMMYFUNCTION("""COMPUTED_VALUE"""),311.0)</f>
        <v>311</v>
      </c>
      <c r="D4846" s="3">
        <f>IFERROR(__xludf.DUMMYFUNCTION("""COMPUTED_VALUE"""),15.0)</f>
        <v>15</v>
      </c>
      <c r="E4846" s="2"/>
      <c r="F4846" s="2"/>
    </row>
    <row r="4847">
      <c r="A4847" s="2">
        <f>IFERROR(__xludf.DUMMYFUNCTION("""COMPUTED_VALUE"""),18672.0)</f>
        <v>18672</v>
      </c>
      <c r="B4847" s="2">
        <f>IFERROR(__xludf.DUMMYFUNCTION("""COMPUTED_VALUE"""),0.0)</f>
        <v>0</v>
      </c>
      <c r="C4847" s="2">
        <f>IFERROR(__xludf.DUMMYFUNCTION("""COMPUTED_VALUE"""),827.0)</f>
        <v>827</v>
      </c>
      <c r="D4847" s="3">
        <f>IFERROR(__xludf.DUMMYFUNCTION("""COMPUTED_VALUE"""),246.0)</f>
        <v>246</v>
      </c>
      <c r="E4847" s="2"/>
      <c r="F4847" s="2"/>
    </row>
    <row r="4848">
      <c r="A4848" s="2">
        <f>IFERROR(__xludf.DUMMYFUNCTION("""COMPUTED_VALUE"""),13517.0)</f>
        <v>13517</v>
      </c>
      <c r="B4848" s="2">
        <f>IFERROR(__xludf.DUMMYFUNCTION("""COMPUTED_VALUE"""),1.0)</f>
        <v>1</v>
      </c>
      <c r="C4848" s="2">
        <f>IFERROR(__xludf.DUMMYFUNCTION("""COMPUTED_VALUE"""),234.0)</f>
        <v>234</v>
      </c>
      <c r="D4848" s="3">
        <f>IFERROR(__xludf.DUMMYFUNCTION("""COMPUTED_VALUE"""),75.0)</f>
        <v>75</v>
      </c>
      <c r="E4848" s="2"/>
      <c r="F4848" s="2"/>
    </row>
    <row r="4849">
      <c r="A4849" s="2">
        <f>IFERROR(__xludf.DUMMYFUNCTION("""COMPUTED_VALUE"""),119896.0)</f>
        <v>119896</v>
      </c>
      <c r="B4849" s="2">
        <f>IFERROR(__xludf.DUMMYFUNCTION("""COMPUTED_VALUE"""),1.0)</f>
        <v>1</v>
      </c>
      <c r="C4849" s="2">
        <f>IFERROR(__xludf.DUMMYFUNCTION("""COMPUTED_VALUE"""),690.0)</f>
        <v>690</v>
      </c>
      <c r="D4849" s="3">
        <f>IFERROR(__xludf.DUMMYFUNCTION("""COMPUTED_VALUE"""),638.0)</f>
        <v>638</v>
      </c>
      <c r="E4849" s="2"/>
      <c r="F4849" s="2"/>
    </row>
    <row r="4850">
      <c r="A4850" s="2">
        <f>IFERROR(__xludf.DUMMYFUNCTION("""COMPUTED_VALUE"""),120249.0)</f>
        <v>120249</v>
      </c>
      <c r="B4850" s="2">
        <f>IFERROR(__xludf.DUMMYFUNCTION("""COMPUTED_VALUE"""),1.0)</f>
        <v>1</v>
      </c>
      <c r="C4850" s="2">
        <f>IFERROR(__xludf.DUMMYFUNCTION("""COMPUTED_VALUE"""),222.0)</f>
        <v>222</v>
      </c>
      <c r="D4850" s="3">
        <f>IFERROR(__xludf.DUMMYFUNCTION("""COMPUTED_VALUE"""),91.0)</f>
        <v>91</v>
      </c>
      <c r="E4850" s="2"/>
      <c r="F4850" s="2"/>
    </row>
    <row r="4851">
      <c r="A4851" s="2">
        <f>IFERROR(__xludf.DUMMYFUNCTION("""COMPUTED_VALUE"""),78352.0)</f>
        <v>78352</v>
      </c>
      <c r="B4851" s="2">
        <f>IFERROR(__xludf.DUMMYFUNCTION("""COMPUTED_VALUE"""),1.0)</f>
        <v>1</v>
      </c>
      <c r="C4851" s="2">
        <f>IFERROR(__xludf.DUMMYFUNCTION("""COMPUTED_VALUE"""),69.0)</f>
        <v>69</v>
      </c>
      <c r="D4851" s="3">
        <f>IFERROR(__xludf.DUMMYFUNCTION("""COMPUTED_VALUE"""),14.0)</f>
        <v>14</v>
      </c>
      <c r="E4851" s="2"/>
      <c r="F4851" s="2"/>
    </row>
    <row r="4852">
      <c r="A4852" s="2">
        <f>IFERROR(__xludf.DUMMYFUNCTION("""COMPUTED_VALUE"""),45630.0)</f>
        <v>45630</v>
      </c>
      <c r="B4852" s="2">
        <f>IFERROR(__xludf.DUMMYFUNCTION("""COMPUTED_VALUE"""),1.0)</f>
        <v>1</v>
      </c>
      <c r="C4852" s="2">
        <f>IFERROR(__xludf.DUMMYFUNCTION("""COMPUTED_VALUE"""),728.0)</f>
        <v>728</v>
      </c>
      <c r="D4852" s="3">
        <f>IFERROR(__xludf.DUMMYFUNCTION("""COMPUTED_VALUE"""),245.0)</f>
        <v>245</v>
      </c>
      <c r="E4852" s="2"/>
      <c r="F4852" s="2"/>
    </row>
    <row r="4853">
      <c r="A4853" s="2">
        <f>IFERROR(__xludf.DUMMYFUNCTION("""COMPUTED_VALUE"""),99726.0)</f>
        <v>99726</v>
      </c>
      <c r="B4853" s="2">
        <f>IFERROR(__xludf.DUMMYFUNCTION("""COMPUTED_VALUE"""),1.0)</f>
        <v>1</v>
      </c>
      <c r="C4853" s="2">
        <f>IFERROR(__xludf.DUMMYFUNCTION("""COMPUTED_VALUE"""),854.0)</f>
        <v>854</v>
      </c>
      <c r="D4853" s="3">
        <f>IFERROR(__xludf.DUMMYFUNCTION("""COMPUTED_VALUE"""),176.0)</f>
        <v>176</v>
      </c>
      <c r="E4853" s="2"/>
      <c r="F4853" s="2"/>
    </row>
    <row r="4854">
      <c r="A4854" s="2">
        <f>IFERROR(__xludf.DUMMYFUNCTION("""COMPUTED_VALUE"""),88619.0)</f>
        <v>88619</v>
      </c>
      <c r="B4854" s="2">
        <f>IFERROR(__xludf.DUMMYFUNCTION("""COMPUTED_VALUE"""),1.0)</f>
        <v>1</v>
      </c>
      <c r="C4854" s="2">
        <f>IFERROR(__xludf.DUMMYFUNCTION("""COMPUTED_VALUE"""),406.0)</f>
        <v>406</v>
      </c>
      <c r="D4854" s="3">
        <f>IFERROR(__xludf.DUMMYFUNCTION("""COMPUTED_VALUE"""),338.0)</f>
        <v>338</v>
      </c>
      <c r="E4854" s="2"/>
      <c r="F4854" s="2"/>
    </row>
    <row r="4855">
      <c r="A4855" s="2">
        <f>IFERROR(__xludf.DUMMYFUNCTION("""COMPUTED_VALUE"""),73430.0)</f>
        <v>73430</v>
      </c>
      <c r="B4855" s="2">
        <f>IFERROR(__xludf.DUMMYFUNCTION("""COMPUTED_VALUE"""),1.0)</f>
        <v>1</v>
      </c>
      <c r="C4855" s="2">
        <f>IFERROR(__xludf.DUMMYFUNCTION("""COMPUTED_VALUE"""),266.0)</f>
        <v>266</v>
      </c>
      <c r="D4855" s="3">
        <f>IFERROR(__xludf.DUMMYFUNCTION("""COMPUTED_VALUE"""),198.0)</f>
        <v>198</v>
      </c>
      <c r="E4855" s="2"/>
      <c r="F4855" s="2"/>
    </row>
    <row r="4856">
      <c r="A4856" s="2">
        <f>IFERROR(__xludf.DUMMYFUNCTION("""COMPUTED_VALUE"""),98939.0)</f>
        <v>98939</v>
      </c>
      <c r="B4856" s="2">
        <f>IFERROR(__xludf.DUMMYFUNCTION("""COMPUTED_VALUE"""),1.0)</f>
        <v>1</v>
      </c>
      <c r="C4856" s="2">
        <f>IFERROR(__xludf.DUMMYFUNCTION("""COMPUTED_VALUE"""),883.0)</f>
        <v>883</v>
      </c>
      <c r="D4856" s="3">
        <f>IFERROR(__xludf.DUMMYFUNCTION("""COMPUTED_VALUE"""),59.0)</f>
        <v>59</v>
      </c>
      <c r="E4856" s="2"/>
      <c r="F4856" s="2"/>
    </row>
    <row r="4857">
      <c r="A4857" s="2">
        <f>IFERROR(__xludf.DUMMYFUNCTION("""COMPUTED_VALUE"""),45826.0)</f>
        <v>45826</v>
      </c>
      <c r="B4857" s="2">
        <f>IFERROR(__xludf.DUMMYFUNCTION("""COMPUTED_VALUE"""),0.0)</f>
        <v>0</v>
      </c>
      <c r="C4857" s="2">
        <f>IFERROR(__xludf.DUMMYFUNCTION("""COMPUTED_VALUE"""),423.0)</f>
        <v>423</v>
      </c>
      <c r="D4857" s="3">
        <f>IFERROR(__xludf.DUMMYFUNCTION("""COMPUTED_VALUE"""),370.0)</f>
        <v>370</v>
      </c>
      <c r="E4857" s="2"/>
      <c r="F4857" s="2"/>
    </row>
    <row r="4858">
      <c r="A4858" s="2">
        <f>IFERROR(__xludf.DUMMYFUNCTION("""COMPUTED_VALUE"""),100797.0)</f>
        <v>100797</v>
      </c>
      <c r="B4858" s="2">
        <f>IFERROR(__xludf.DUMMYFUNCTION("""COMPUTED_VALUE"""),1.0)</f>
        <v>1</v>
      </c>
      <c r="C4858" s="2">
        <f>IFERROR(__xludf.DUMMYFUNCTION("""COMPUTED_VALUE"""),709.0)</f>
        <v>709</v>
      </c>
      <c r="D4858" s="3">
        <f>IFERROR(__xludf.DUMMYFUNCTION("""COMPUTED_VALUE"""),275.0)</f>
        <v>275</v>
      </c>
      <c r="E4858" s="2"/>
      <c r="F4858" s="2"/>
    </row>
    <row r="4859">
      <c r="A4859" s="2">
        <f>IFERROR(__xludf.DUMMYFUNCTION("""COMPUTED_VALUE"""),104429.0)</f>
        <v>104429</v>
      </c>
      <c r="B4859" s="2">
        <f>IFERROR(__xludf.DUMMYFUNCTION("""COMPUTED_VALUE"""),0.0)</f>
        <v>0</v>
      </c>
      <c r="C4859" s="2">
        <f>IFERROR(__xludf.DUMMYFUNCTION("""COMPUTED_VALUE"""),346.0)</f>
        <v>346</v>
      </c>
      <c r="D4859" s="3">
        <f>IFERROR(__xludf.DUMMYFUNCTION("""COMPUTED_VALUE"""),189.0)</f>
        <v>189</v>
      </c>
      <c r="E4859" s="2"/>
      <c r="F4859" s="2"/>
    </row>
    <row r="4860">
      <c r="A4860" s="2">
        <f>IFERROR(__xludf.DUMMYFUNCTION("""COMPUTED_VALUE"""),119806.0)</f>
        <v>119806</v>
      </c>
      <c r="B4860" s="2">
        <f>IFERROR(__xludf.DUMMYFUNCTION("""COMPUTED_VALUE"""),0.0)</f>
        <v>0</v>
      </c>
      <c r="C4860" s="2">
        <f>IFERROR(__xludf.DUMMYFUNCTION("""COMPUTED_VALUE"""),282.0)</f>
        <v>282</v>
      </c>
      <c r="D4860" s="3">
        <f>IFERROR(__xludf.DUMMYFUNCTION("""COMPUTED_VALUE"""),141.0)</f>
        <v>141</v>
      </c>
      <c r="E4860" s="2"/>
      <c r="F4860" s="2"/>
    </row>
    <row r="4861">
      <c r="A4861" s="2">
        <f>IFERROR(__xludf.DUMMYFUNCTION("""COMPUTED_VALUE"""),120734.0)</f>
        <v>120734</v>
      </c>
      <c r="B4861" s="2">
        <f>IFERROR(__xludf.DUMMYFUNCTION("""COMPUTED_VALUE"""),0.0)</f>
        <v>0</v>
      </c>
      <c r="C4861" s="2">
        <f>IFERROR(__xludf.DUMMYFUNCTION("""COMPUTED_VALUE"""),385.0)</f>
        <v>385</v>
      </c>
      <c r="D4861" s="3">
        <f>IFERROR(__xludf.DUMMYFUNCTION("""COMPUTED_VALUE"""),63.0)</f>
        <v>63</v>
      </c>
      <c r="E4861" s="2"/>
      <c r="F4861" s="2"/>
    </row>
    <row r="4862">
      <c r="A4862" s="2">
        <f>IFERROR(__xludf.DUMMYFUNCTION("""COMPUTED_VALUE"""),104423.0)</f>
        <v>104423</v>
      </c>
      <c r="B4862" s="2">
        <f>IFERROR(__xludf.DUMMYFUNCTION("""COMPUTED_VALUE"""),0.0)</f>
        <v>0</v>
      </c>
      <c r="C4862" s="2">
        <f>IFERROR(__xludf.DUMMYFUNCTION("""COMPUTED_VALUE"""),678.0)</f>
        <v>678</v>
      </c>
      <c r="D4862" s="3">
        <f>IFERROR(__xludf.DUMMYFUNCTION("""COMPUTED_VALUE"""),199.0)</f>
        <v>199</v>
      </c>
      <c r="E4862" s="2"/>
      <c r="F4862" s="2"/>
    </row>
    <row r="4863">
      <c r="A4863" s="2">
        <f>IFERROR(__xludf.DUMMYFUNCTION("""COMPUTED_VALUE"""),120286.0)</f>
        <v>120286</v>
      </c>
      <c r="B4863" s="2">
        <f>IFERROR(__xludf.DUMMYFUNCTION("""COMPUTED_VALUE"""),0.0)</f>
        <v>0</v>
      </c>
      <c r="C4863" s="2">
        <f>IFERROR(__xludf.DUMMYFUNCTION("""COMPUTED_VALUE"""),637.0)</f>
        <v>637</v>
      </c>
      <c r="D4863" s="3">
        <f>IFERROR(__xludf.DUMMYFUNCTION("""COMPUTED_VALUE"""),100.0)</f>
        <v>100</v>
      </c>
      <c r="E4863" s="2"/>
      <c r="F4863" s="2"/>
    </row>
    <row r="4864">
      <c r="A4864" s="2">
        <f>IFERROR(__xludf.DUMMYFUNCTION("""COMPUTED_VALUE"""),81838.0)</f>
        <v>81838</v>
      </c>
      <c r="B4864" s="2">
        <f>IFERROR(__xludf.DUMMYFUNCTION("""COMPUTED_VALUE"""),1.0)</f>
        <v>1</v>
      </c>
      <c r="C4864" s="2">
        <f>IFERROR(__xludf.DUMMYFUNCTION("""COMPUTED_VALUE"""),27.0)</f>
        <v>27</v>
      </c>
      <c r="D4864" s="3">
        <f>IFERROR(__xludf.DUMMYFUNCTION("""COMPUTED_VALUE"""),14.0)</f>
        <v>14</v>
      </c>
      <c r="E4864" s="2"/>
      <c r="F4864" s="2"/>
    </row>
    <row r="4865">
      <c r="A4865" s="2">
        <f>IFERROR(__xludf.DUMMYFUNCTION("""COMPUTED_VALUE"""),117718.0)</f>
        <v>117718</v>
      </c>
      <c r="B4865" s="2">
        <f>IFERROR(__xludf.DUMMYFUNCTION("""COMPUTED_VALUE"""),1.0)</f>
        <v>1</v>
      </c>
      <c r="C4865" s="2">
        <f>IFERROR(__xludf.DUMMYFUNCTION("""COMPUTED_VALUE"""),345.0)</f>
        <v>345</v>
      </c>
      <c r="D4865" s="3">
        <f>IFERROR(__xludf.DUMMYFUNCTION("""COMPUTED_VALUE"""),248.0)</f>
        <v>248</v>
      </c>
      <c r="E4865" s="2"/>
      <c r="F4865" s="2"/>
    </row>
    <row r="4866">
      <c r="A4866" s="2">
        <f>IFERROR(__xludf.DUMMYFUNCTION("""COMPUTED_VALUE"""),70611.0)</f>
        <v>70611</v>
      </c>
      <c r="B4866" s="2">
        <f>IFERROR(__xludf.DUMMYFUNCTION("""COMPUTED_VALUE"""),1.0)</f>
        <v>1</v>
      </c>
      <c r="C4866" s="2">
        <f>IFERROR(__xludf.DUMMYFUNCTION("""COMPUTED_VALUE"""),680.0)</f>
        <v>680</v>
      </c>
      <c r="D4866" s="3">
        <f>IFERROR(__xludf.DUMMYFUNCTION("""COMPUTED_VALUE"""),603.0)</f>
        <v>603</v>
      </c>
      <c r="E4866" s="2"/>
      <c r="F4866" s="2"/>
    </row>
    <row r="4867">
      <c r="A4867" s="2">
        <f>IFERROR(__xludf.DUMMYFUNCTION("""COMPUTED_VALUE"""),110848.0)</f>
        <v>110848</v>
      </c>
      <c r="B4867" s="2">
        <f>IFERROR(__xludf.DUMMYFUNCTION("""COMPUTED_VALUE"""),0.0)</f>
        <v>0</v>
      </c>
      <c r="C4867" s="2">
        <f>IFERROR(__xludf.DUMMYFUNCTION("""COMPUTED_VALUE"""),604.0)</f>
        <v>604</v>
      </c>
      <c r="D4867" s="3">
        <f>IFERROR(__xludf.DUMMYFUNCTION("""COMPUTED_VALUE"""),285.0)</f>
        <v>285</v>
      </c>
      <c r="E4867" s="2"/>
      <c r="F4867" s="2"/>
    </row>
    <row r="4868">
      <c r="A4868" s="2">
        <f>IFERROR(__xludf.DUMMYFUNCTION("""COMPUTED_VALUE"""),107925.0)</f>
        <v>107925</v>
      </c>
      <c r="B4868" s="2">
        <f>IFERROR(__xludf.DUMMYFUNCTION("""COMPUTED_VALUE"""),1.0)</f>
        <v>1</v>
      </c>
      <c r="C4868" s="2">
        <f>IFERROR(__xludf.DUMMYFUNCTION("""COMPUTED_VALUE"""),541.0)</f>
        <v>541</v>
      </c>
      <c r="D4868" s="3">
        <f>IFERROR(__xludf.DUMMYFUNCTION("""COMPUTED_VALUE"""),346.0)</f>
        <v>346</v>
      </c>
      <c r="E4868" s="2"/>
      <c r="F4868" s="2"/>
    </row>
    <row r="4869">
      <c r="A4869" s="2">
        <f>IFERROR(__xludf.DUMMYFUNCTION("""COMPUTED_VALUE"""),156038.0)</f>
        <v>156038</v>
      </c>
      <c r="B4869" s="2">
        <f>IFERROR(__xludf.DUMMYFUNCTION("""COMPUTED_VALUE"""),0.0)</f>
        <v>0</v>
      </c>
      <c r="C4869" s="2">
        <f>IFERROR(__xludf.DUMMYFUNCTION("""COMPUTED_VALUE"""),750.0)</f>
        <v>750</v>
      </c>
      <c r="D4869" s="3">
        <f>IFERROR(__xludf.DUMMYFUNCTION("""COMPUTED_VALUE"""),655.0)</f>
        <v>655</v>
      </c>
      <c r="E4869" s="2"/>
      <c r="F4869" s="2"/>
    </row>
    <row r="4870">
      <c r="A4870" s="2">
        <f>IFERROR(__xludf.DUMMYFUNCTION("""COMPUTED_VALUE"""),117392.0)</f>
        <v>117392</v>
      </c>
      <c r="B4870" s="2">
        <f>IFERROR(__xludf.DUMMYFUNCTION("""COMPUTED_VALUE"""),0.0)</f>
        <v>0</v>
      </c>
      <c r="C4870" s="2">
        <f>IFERROR(__xludf.DUMMYFUNCTION("""COMPUTED_VALUE"""),43.0)</f>
        <v>43</v>
      </c>
      <c r="D4870" s="3">
        <f>IFERROR(__xludf.DUMMYFUNCTION("""COMPUTED_VALUE"""),31.0)</f>
        <v>31</v>
      </c>
      <c r="E4870" s="2"/>
      <c r="F4870" s="2"/>
    </row>
    <row r="4871">
      <c r="A4871" s="2">
        <f>IFERROR(__xludf.DUMMYFUNCTION("""COMPUTED_VALUE"""),86620.0)</f>
        <v>86620</v>
      </c>
      <c r="B4871" s="2">
        <f>IFERROR(__xludf.DUMMYFUNCTION("""COMPUTED_VALUE"""),1.0)</f>
        <v>1</v>
      </c>
      <c r="C4871" s="2">
        <f>IFERROR(__xludf.DUMMYFUNCTION("""COMPUTED_VALUE"""),288.0)</f>
        <v>288</v>
      </c>
      <c r="D4871" s="3">
        <f>IFERROR(__xludf.DUMMYFUNCTION("""COMPUTED_VALUE"""),10.0)</f>
        <v>10</v>
      </c>
      <c r="E4871" s="2"/>
      <c r="F4871" s="2"/>
    </row>
    <row r="4872">
      <c r="A4872" s="2">
        <f>IFERROR(__xludf.DUMMYFUNCTION("""COMPUTED_VALUE"""),27871.0)</f>
        <v>27871</v>
      </c>
      <c r="B4872" s="2">
        <f>IFERROR(__xludf.DUMMYFUNCTION("""COMPUTED_VALUE"""),0.0)</f>
        <v>0</v>
      </c>
      <c r="C4872" s="2">
        <f>IFERROR(__xludf.DUMMYFUNCTION("""COMPUTED_VALUE"""),527.0)</f>
        <v>527</v>
      </c>
      <c r="D4872" s="3">
        <f>IFERROR(__xludf.DUMMYFUNCTION("""COMPUTED_VALUE"""),404.0)</f>
        <v>404</v>
      </c>
      <c r="E4872" s="2"/>
      <c r="F4872" s="2"/>
    </row>
    <row r="4873">
      <c r="A4873" s="2">
        <f>IFERROR(__xludf.DUMMYFUNCTION("""COMPUTED_VALUE"""),82874.0)</f>
        <v>82874</v>
      </c>
      <c r="B4873" s="2">
        <f>IFERROR(__xludf.DUMMYFUNCTION("""COMPUTED_VALUE"""),0.0)</f>
        <v>0</v>
      </c>
      <c r="C4873" s="2">
        <f>IFERROR(__xludf.DUMMYFUNCTION("""COMPUTED_VALUE"""),366.0)</f>
        <v>366</v>
      </c>
      <c r="D4873" s="3">
        <f>IFERROR(__xludf.DUMMYFUNCTION("""COMPUTED_VALUE"""),57.0)</f>
        <v>57</v>
      </c>
      <c r="E4873" s="2"/>
      <c r="F4873" s="2"/>
    </row>
    <row r="4874">
      <c r="A4874" s="2">
        <f>IFERROR(__xludf.DUMMYFUNCTION("""COMPUTED_VALUE"""),120292.0)</f>
        <v>120292</v>
      </c>
      <c r="B4874" s="2">
        <f>IFERROR(__xludf.DUMMYFUNCTION("""COMPUTED_VALUE"""),0.0)</f>
        <v>0</v>
      </c>
      <c r="C4874" s="2">
        <f>IFERROR(__xludf.DUMMYFUNCTION("""COMPUTED_VALUE"""),398.0)</f>
        <v>398</v>
      </c>
      <c r="D4874" s="3">
        <f>IFERROR(__xludf.DUMMYFUNCTION("""COMPUTED_VALUE"""),44.0)</f>
        <v>44</v>
      </c>
      <c r="E4874" s="2"/>
      <c r="F4874" s="2"/>
    </row>
    <row r="4875">
      <c r="A4875" s="2">
        <f>IFERROR(__xludf.DUMMYFUNCTION("""COMPUTED_VALUE"""),120293.0)</f>
        <v>120293</v>
      </c>
      <c r="B4875" s="2">
        <f>IFERROR(__xludf.DUMMYFUNCTION("""COMPUTED_VALUE"""),0.0)</f>
        <v>0</v>
      </c>
      <c r="C4875" s="2">
        <f>IFERROR(__xludf.DUMMYFUNCTION("""COMPUTED_VALUE"""),917.0)</f>
        <v>917</v>
      </c>
      <c r="D4875" s="3">
        <f>IFERROR(__xludf.DUMMYFUNCTION("""COMPUTED_VALUE"""),457.0)</f>
        <v>457</v>
      </c>
      <c r="E4875" s="2"/>
      <c r="F4875" s="2"/>
    </row>
    <row r="4876">
      <c r="A4876" s="2">
        <f>IFERROR(__xludf.DUMMYFUNCTION("""COMPUTED_VALUE"""),44522.0)</f>
        <v>44522</v>
      </c>
      <c r="B4876" s="2">
        <f>IFERROR(__xludf.DUMMYFUNCTION("""COMPUTED_VALUE"""),0.0)</f>
        <v>0</v>
      </c>
      <c r="C4876" s="2">
        <f>IFERROR(__xludf.DUMMYFUNCTION("""COMPUTED_VALUE"""),605.0)</f>
        <v>605</v>
      </c>
      <c r="D4876" s="3">
        <f>IFERROR(__xludf.DUMMYFUNCTION("""COMPUTED_VALUE"""),463.0)</f>
        <v>463</v>
      </c>
      <c r="E4876" s="2"/>
      <c r="F4876" s="2"/>
    </row>
    <row r="4877">
      <c r="A4877" s="2">
        <f>IFERROR(__xludf.DUMMYFUNCTION("""COMPUTED_VALUE"""),143999.0)</f>
        <v>143999</v>
      </c>
      <c r="B4877" s="2">
        <f>IFERROR(__xludf.DUMMYFUNCTION("""COMPUTED_VALUE"""),1.0)</f>
        <v>1</v>
      </c>
      <c r="C4877" s="2">
        <f>IFERROR(__xludf.DUMMYFUNCTION("""COMPUTED_VALUE"""),886.0)</f>
        <v>886</v>
      </c>
      <c r="D4877" s="3">
        <f>IFERROR(__xludf.DUMMYFUNCTION("""COMPUTED_VALUE"""),112.0)</f>
        <v>112</v>
      </c>
      <c r="E4877" s="2"/>
      <c r="F4877" s="2"/>
    </row>
    <row r="4878">
      <c r="A4878" s="2">
        <f>IFERROR(__xludf.DUMMYFUNCTION("""COMPUTED_VALUE"""),144000.0)</f>
        <v>144000</v>
      </c>
      <c r="B4878" s="2">
        <f>IFERROR(__xludf.DUMMYFUNCTION("""COMPUTED_VALUE"""),0.0)</f>
        <v>0</v>
      </c>
      <c r="C4878" s="2">
        <f>IFERROR(__xludf.DUMMYFUNCTION("""COMPUTED_VALUE"""),769.0)</f>
        <v>769</v>
      </c>
      <c r="D4878" s="3">
        <f>IFERROR(__xludf.DUMMYFUNCTION("""COMPUTED_VALUE"""),55.0)</f>
        <v>55</v>
      </c>
      <c r="E4878" s="2"/>
      <c r="F4878" s="2"/>
    </row>
    <row r="4879">
      <c r="A4879" s="2">
        <f>IFERROR(__xludf.DUMMYFUNCTION("""COMPUTED_VALUE"""),91236.0)</f>
        <v>91236</v>
      </c>
      <c r="B4879" s="2">
        <f>IFERROR(__xludf.DUMMYFUNCTION("""COMPUTED_VALUE"""),1.0)</f>
        <v>1</v>
      </c>
      <c r="C4879" s="2">
        <f>IFERROR(__xludf.DUMMYFUNCTION("""COMPUTED_VALUE"""),381.0)</f>
        <v>381</v>
      </c>
      <c r="D4879" s="3">
        <f>IFERROR(__xludf.DUMMYFUNCTION("""COMPUTED_VALUE"""),135.0)</f>
        <v>135</v>
      </c>
      <c r="E4879" s="2"/>
      <c r="F4879" s="2"/>
    </row>
    <row r="4880">
      <c r="A4880" s="2">
        <f>IFERROR(__xludf.DUMMYFUNCTION("""COMPUTED_VALUE"""),78213.0)</f>
        <v>78213</v>
      </c>
      <c r="B4880" s="2">
        <f>IFERROR(__xludf.DUMMYFUNCTION("""COMPUTED_VALUE"""),0.0)</f>
        <v>0</v>
      </c>
      <c r="C4880" s="2">
        <f>IFERROR(__xludf.DUMMYFUNCTION("""COMPUTED_VALUE"""),473.0)</f>
        <v>473</v>
      </c>
      <c r="D4880" s="3">
        <f>IFERROR(__xludf.DUMMYFUNCTION("""COMPUTED_VALUE"""),203.0)</f>
        <v>203</v>
      </c>
      <c r="E4880" s="2"/>
      <c r="F4880" s="2"/>
    </row>
    <row r="4881">
      <c r="A4881" s="2">
        <f>IFERROR(__xludf.DUMMYFUNCTION("""COMPUTED_VALUE"""),119254.0)</f>
        <v>119254</v>
      </c>
      <c r="B4881" s="2">
        <f>IFERROR(__xludf.DUMMYFUNCTION("""COMPUTED_VALUE"""),1.0)</f>
        <v>1</v>
      </c>
      <c r="C4881" s="2">
        <f>IFERROR(__xludf.DUMMYFUNCTION("""COMPUTED_VALUE"""),693.0)</f>
        <v>693</v>
      </c>
      <c r="D4881" s="3">
        <f>IFERROR(__xludf.DUMMYFUNCTION("""COMPUTED_VALUE"""),542.0)</f>
        <v>542</v>
      </c>
      <c r="E4881" s="2"/>
      <c r="F4881" s="2"/>
    </row>
    <row r="4882">
      <c r="A4882" s="2">
        <f>IFERROR(__xludf.DUMMYFUNCTION("""COMPUTED_VALUE"""),82149.0)</f>
        <v>82149</v>
      </c>
      <c r="B4882" s="2">
        <f>IFERROR(__xludf.DUMMYFUNCTION("""COMPUTED_VALUE"""),1.0)</f>
        <v>1</v>
      </c>
      <c r="C4882" s="2">
        <f>IFERROR(__xludf.DUMMYFUNCTION("""COMPUTED_VALUE"""),628.0)</f>
        <v>628</v>
      </c>
      <c r="D4882" s="3">
        <f>IFERROR(__xludf.DUMMYFUNCTION("""COMPUTED_VALUE"""),96.0)</f>
        <v>96</v>
      </c>
      <c r="E4882" s="2"/>
      <c r="F4882" s="2"/>
    </row>
    <row r="4883">
      <c r="A4883" s="2">
        <f>IFERROR(__xludf.DUMMYFUNCTION("""COMPUTED_VALUE"""),30864.0)</f>
        <v>30864</v>
      </c>
      <c r="B4883" s="2">
        <f>IFERROR(__xludf.DUMMYFUNCTION("""COMPUTED_VALUE"""),0.0)</f>
        <v>0</v>
      </c>
      <c r="C4883" s="2">
        <f>IFERROR(__xludf.DUMMYFUNCTION("""COMPUTED_VALUE"""),311.0)</f>
        <v>311</v>
      </c>
      <c r="D4883" s="3">
        <f>IFERROR(__xludf.DUMMYFUNCTION("""COMPUTED_VALUE"""),62.0)</f>
        <v>62</v>
      </c>
      <c r="E4883" s="2"/>
      <c r="F4883" s="2"/>
    </row>
    <row r="4884">
      <c r="A4884" s="2">
        <f>IFERROR(__xludf.DUMMYFUNCTION("""COMPUTED_VALUE"""),82148.0)</f>
        <v>82148</v>
      </c>
      <c r="B4884" s="2">
        <f>IFERROR(__xludf.DUMMYFUNCTION("""COMPUTED_VALUE"""),0.0)</f>
        <v>0</v>
      </c>
      <c r="C4884" s="2">
        <f>IFERROR(__xludf.DUMMYFUNCTION("""COMPUTED_VALUE"""),840.0)</f>
        <v>840</v>
      </c>
      <c r="D4884" s="3">
        <f>IFERROR(__xludf.DUMMYFUNCTION("""COMPUTED_VALUE"""),334.0)</f>
        <v>334</v>
      </c>
      <c r="E4884" s="2"/>
      <c r="F4884" s="2"/>
    </row>
    <row r="4885">
      <c r="A4885" s="2">
        <f>IFERROR(__xludf.DUMMYFUNCTION("""COMPUTED_VALUE"""),78069.0)</f>
        <v>78069</v>
      </c>
      <c r="B4885" s="2">
        <f>IFERROR(__xludf.DUMMYFUNCTION("""COMPUTED_VALUE"""),1.0)</f>
        <v>1</v>
      </c>
      <c r="C4885" s="2">
        <f>IFERROR(__xludf.DUMMYFUNCTION("""COMPUTED_VALUE"""),958.0)</f>
        <v>958</v>
      </c>
      <c r="D4885" s="3">
        <f>IFERROR(__xludf.DUMMYFUNCTION("""COMPUTED_VALUE"""),4.0)</f>
        <v>4</v>
      </c>
      <c r="E4885" s="2"/>
      <c r="F4885" s="2"/>
    </row>
    <row r="4886">
      <c r="A4886" s="2">
        <f>IFERROR(__xludf.DUMMYFUNCTION("""COMPUTED_VALUE"""),68623.0)</f>
        <v>68623</v>
      </c>
      <c r="B4886" s="2">
        <f>IFERROR(__xludf.DUMMYFUNCTION("""COMPUTED_VALUE"""),0.0)</f>
        <v>0</v>
      </c>
      <c r="C4886" s="2">
        <f>IFERROR(__xludf.DUMMYFUNCTION("""COMPUTED_VALUE"""),493.0)</f>
        <v>493</v>
      </c>
      <c r="D4886" s="3">
        <f>IFERROR(__xludf.DUMMYFUNCTION("""COMPUTED_VALUE"""),107.0)</f>
        <v>107</v>
      </c>
      <c r="E4886" s="2"/>
      <c r="F4886" s="2"/>
    </row>
    <row r="4887">
      <c r="A4887" s="2">
        <f>IFERROR(__xludf.DUMMYFUNCTION("""COMPUTED_VALUE"""),108904.0)</f>
        <v>108904</v>
      </c>
      <c r="B4887" s="2">
        <f>IFERROR(__xludf.DUMMYFUNCTION("""COMPUTED_VALUE"""),1.0)</f>
        <v>1</v>
      </c>
      <c r="C4887" s="2">
        <f>IFERROR(__xludf.DUMMYFUNCTION("""COMPUTED_VALUE"""),587.0)</f>
        <v>587</v>
      </c>
      <c r="D4887" s="3">
        <f>IFERROR(__xludf.DUMMYFUNCTION("""COMPUTED_VALUE"""),558.0)</f>
        <v>558</v>
      </c>
      <c r="E4887" s="2"/>
      <c r="F4887" s="2"/>
    </row>
    <row r="4888">
      <c r="A4888" s="2">
        <f>IFERROR(__xludf.DUMMYFUNCTION("""COMPUTED_VALUE"""),113967.0)</f>
        <v>113967</v>
      </c>
      <c r="B4888" s="2">
        <f>IFERROR(__xludf.DUMMYFUNCTION("""COMPUTED_VALUE"""),1.0)</f>
        <v>1</v>
      </c>
      <c r="C4888" s="2">
        <f>IFERROR(__xludf.DUMMYFUNCTION("""COMPUTED_VALUE"""),840.0)</f>
        <v>840</v>
      </c>
      <c r="D4888" s="3">
        <f>IFERROR(__xludf.DUMMYFUNCTION("""COMPUTED_VALUE"""),92.0)</f>
        <v>92</v>
      </c>
      <c r="E4888" s="2"/>
      <c r="F4888" s="2"/>
    </row>
    <row r="4889">
      <c r="A4889" s="2">
        <f>IFERROR(__xludf.DUMMYFUNCTION("""COMPUTED_VALUE"""),10145.0)</f>
        <v>10145</v>
      </c>
      <c r="B4889" s="2">
        <f>IFERROR(__xludf.DUMMYFUNCTION("""COMPUTED_VALUE"""),1.0)</f>
        <v>1</v>
      </c>
      <c r="C4889" s="2">
        <f>IFERROR(__xludf.DUMMYFUNCTION("""COMPUTED_VALUE"""),161.0)</f>
        <v>161</v>
      </c>
      <c r="D4889" s="3">
        <f>IFERROR(__xludf.DUMMYFUNCTION("""COMPUTED_VALUE"""),12.0)</f>
        <v>12</v>
      </c>
      <c r="E4889" s="2"/>
      <c r="F4889" s="2"/>
    </row>
    <row r="4890">
      <c r="A4890" s="2">
        <f>IFERROR(__xludf.DUMMYFUNCTION("""COMPUTED_VALUE"""),116960.0)</f>
        <v>116960</v>
      </c>
      <c r="B4890" s="2">
        <f>IFERROR(__xludf.DUMMYFUNCTION("""COMPUTED_VALUE"""),1.0)</f>
        <v>1</v>
      </c>
      <c r="C4890" s="2">
        <f>IFERROR(__xludf.DUMMYFUNCTION("""COMPUTED_VALUE"""),813.0)</f>
        <v>813</v>
      </c>
      <c r="D4890" s="3">
        <f>IFERROR(__xludf.DUMMYFUNCTION("""COMPUTED_VALUE"""),395.0)</f>
        <v>395</v>
      </c>
      <c r="E4890" s="2"/>
      <c r="F4890" s="2"/>
    </row>
    <row r="4891">
      <c r="A4891" s="2">
        <f>IFERROR(__xludf.DUMMYFUNCTION("""COMPUTED_VALUE"""),103663.0)</f>
        <v>103663</v>
      </c>
      <c r="B4891" s="2">
        <f>IFERROR(__xludf.DUMMYFUNCTION("""COMPUTED_VALUE"""),0.0)</f>
        <v>0</v>
      </c>
      <c r="C4891" s="2">
        <f>IFERROR(__xludf.DUMMYFUNCTION("""COMPUTED_VALUE"""),85.0)</f>
        <v>85</v>
      </c>
      <c r="D4891" s="3">
        <f>IFERROR(__xludf.DUMMYFUNCTION("""COMPUTED_VALUE"""),74.0)</f>
        <v>74</v>
      </c>
      <c r="E4891" s="2"/>
      <c r="F4891" s="2"/>
    </row>
    <row r="4892">
      <c r="A4892" s="2">
        <f>IFERROR(__xludf.DUMMYFUNCTION("""COMPUTED_VALUE"""),45983.0)</f>
        <v>45983</v>
      </c>
      <c r="B4892" s="2">
        <f>IFERROR(__xludf.DUMMYFUNCTION("""COMPUTED_VALUE"""),0.0)</f>
        <v>0</v>
      </c>
      <c r="C4892" s="2">
        <f>IFERROR(__xludf.DUMMYFUNCTION("""COMPUTED_VALUE"""),402.0)</f>
        <v>402</v>
      </c>
      <c r="D4892" s="3">
        <f>IFERROR(__xludf.DUMMYFUNCTION("""COMPUTED_VALUE"""),333.0)</f>
        <v>333</v>
      </c>
      <c r="E4892" s="2"/>
      <c r="F4892" s="2"/>
    </row>
    <row r="4893">
      <c r="A4893" s="2">
        <f>IFERROR(__xludf.DUMMYFUNCTION("""COMPUTED_VALUE"""),103662.0)</f>
        <v>103662</v>
      </c>
      <c r="B4893" s="2">
        <f>IFERROR(__xludf.DUMMYFUNCTION("""COMPUTED_VALUE"""),0.0)</f>
        <v>0</v>
      </c>
      <c r="C4893" s="2">
        <f>IFERROR(__xludf.DUMMYFUNCTION("""COMPUTED_VALUE"""),367.0)</f>
        <v>367</v>
      </c>
      <c r="D4893" s="3">
        <f>IFERROR(__xludf.DUMMYFUNCTION("""COMPUTED_VALUE"""),245.0)</f>
        <v>245</v>
      </c>
      <c r="E4893" s="2"/>
      <c r="F4893" s="2"/>
    </row>
    <row r="4894">
      <c r="A4894" s="2">
        <f>IFERROR(__xludf.DUMMYFUNCTION("""COMPUTED_VALUE"""),78318.0)</f>
        <v>78318</v>
      </c>
      <c r="B4894" s="2">
        <f>IFERROR(__xludf.DUMMYFUNCTION("""COMPUTED_VALUE"""),0.0)</f>
        <v>0</v>
      </c>
      <c r="C4894" s="2">
        <f>IFERROR(__xludf.DUMMYFUNCTION("""COMPUTED_VALUE"""),899.0)</f>
        <v>899</v>
      </c>
      <c r="D4894" s="3">
        <f>IFERROR(__xludf.DUMMYFUNCTION("""COMPUTED_VALUE"""),519.0)</f>
        <v>519</v>
      </c>
      <c r="E4894" s="2"/>
      <c r="F4894" s="2"/>
    </row>
    <row r="4895">
      <c r="A4895" s="2">
        <f>IFERROR(__xludf.DUMMYFUNCTION("""COMPUTED_VALUE"""),120179.0)</f>
        <v>120179</v>
      </c>
      <c r="B4895" s="2">
        <f>IFERROR(__xludf.DUMMYFUNCTION("""COMPUTED_VALUE"""),1.0)</f>
        <v>1</v>
      </c>
      <c r="C4895" s="2">
        <f>IFERROR(__xludf.DUMMYFUNCTION("""COMPUTED_VALUE"""),913.0)</f>
        <v>913</v>
      </c>
      <c r="D4895" s="3">
        <f>IFERROR(__xludf.DUMMYFUNCTION("""COMPUTED_VALUE"""),704.0)</f>
        <v>704</v>
      </c>
      <c r="E4895" s="2"/>
      <c r="F4895" s="2"/>
    </row>
    <row r="4896">
      <c r="A4896" s="2">
        <f>IFERROR(__xludf.DUMMYFUNCTION("""COMPUTED_VALUE"""),10144.0)</f>
        <v>10144</v>
      </c>
      <c r="B4896" s="2">
        <f>IFERROR(__xludf.DUMMYFUNCTION("""COMPUTED_VALUE"""),1.0)</f>
        <v>1</v>
      </c>
      <c r="C4896" s="2">
        <f>IFERROR(__xludf.DUMMYFUNCTION("""COMPUTED_VALUE"""),899.0)</f>
        <v>899</v>
      </c>
      <c r="D4896" s="3">
        <f>IFERROR(__xludf.DUMMYFUNCTION("""COMPUTED_VALUE"""),435.0)</f>
        <v>435</v>
      </c>
      <c r="E4896" s="2"/>
      <c r="F4896" s="2"/>
    </row>
    <row r="4897">
      <c r="A4897" s="2">
        <f>IFERROR(__xludf.DUMMYFUNCTION("""COMPUTED_VALUE"""),78304.0)</f>
        <v>78304</v>
      </c>
      <c r="B4897" s="2">
        <f>IFERROR(__xludf.DUMMYFUNCTION("""COMPUTED_VALUE"""),1.0)</f>
        <v>1</v>
      </c>
      <c r="C4897" s="2">
        <f>IFERROR(__xludf.DUMMYFUNCTION("""COMPUTED_VALUE"""),161.0)</f>
        <v>161</v>
      </c>
      <c r="D4897" s="3">
        <f>IFERROR(__xludf.DUMMYFUNCTION("""COMPUTED_VALUE"""),110.0)</f>
        <v>110</v>
      </c>
      <c r="E4897" s="2"/>
      <c r="F4897" s="2"/>
    </row>
    <row r="4898">
      <c r="A4898" s="2">
        <f>IFERROR(__xludf.DUMMYFUNCTION("""COMPUTED_VALUE"""),86598.0)</f>
        <v>86598</v>
      </c>
      <c r="B4898" s="2">
        <f>IFERROR(__xludf.DUMMYFUNCTION("""COMPUTED_VALUE"""),0.0)</f>
        <v>0</v>
      </c>
      <c r="C4898" s="2">
        <f>IFERROR(__xludf.DUMMYFUNCTION("""COMPUTED_VALUE"""),184.0)</f>
        <v>184</v>
      </c>
      <c r="D4898" s="3">
        <f>IFERROR(__xludf.DUMMYFUNCTION("""COMPUTED_VALUE"""),61.0)</f>
        <v>61</v>
      </c>
      <c r="E4898" s="2"/>
      <c r="F4898" s="2"/>
    </row>
    <row r="4899">
      <c r="A4899" s="2">
        <f>IFERROR(__xludf.DUMMYFUNCTION("""COMPUTED_VALUE"""),103665.0)</f>
        <v>103665</v>
      </c>
      <c r="B4899" s="2">
        <f>IFERROR(__xludf.DUMMYFUNCTION("""COMPUTED_VALUE"""),1.0)</f>
        <v>1</v>
      </c>
      <c r="C4899" s="2">
        <f>IFERROR(__xludf.DUMMYFUNCTION("""COMPUTED_VALUE"""),614.0)</f>
        <v>614</v>
      </c>
      <c r="D4899" s="3">
        <f>IFERROR(__xludf.DUMMYFUNCTION("""COMPUTED_VALUE"""),368.0)</f>
        <v>368</v>
      </c>
      <c r="E4899" s="2"/>
      <c r="F4899" s="2"/>
    </row>
    <row r="4900">
      <c r="A4900" s="2">
        <f>IFERROR(__xludf.DUMMYFUNCTION("""COMPUTED_VALUE"""),77771.0)</f>
        <v>77771</v>
      </c>
      <c r="B4900" s="2">
        <f>IFERROR(__xludf.DUMMYFUNCTION("""COMPUTED_VALUE"""),0.0)</f>
        <v>0</v>
      </c>
      <c r="C4900" s="2">
        <f>IFERROR(__xludf.DUMMYFUNCTION("""COMPUTED_VALUE"""),283.0)</f>
        <v>283</v>
      </c>
      <c r="D4900" s="3">
        <f>IFERROR(__xludf.DUMMYFUNCTION("""COMPUTED_VALUE"""),8.0)</f>
        <v>8</v>
      </c>
      <c r="E4900" s="2"/>
      <c r="F4900" s="2"/>
    </row>
    <row r="4901">
      <c r="A4901" s="2">
        <f>IFERROR(__xludf.DUMMYFUNCTION("""COMPUTED_VALUE"""),116798.0)</f>
        <v>116798</v>
      </c>
      <c r="B4901" s="2">
        <f>IFERROR(__xludf.DUMMYFUNCTION("""COMPUTED_VALUE"""),1.0)</f>
        <v>1</v>
      </c>
      <c r="C4901" s="2">
        <f>IFERROR(__xludf.DUMMYFUNCTION("""COMPUTED_VALUE"""),553.0)</f>
        <v>553</v>
      </c>
      <c r="D4901" s="3">
        <f>IFERROR(__xludf.DUMMYFUNCTION("""COMPUTED_VALUE"""),64.0)</f>
        <v>64</v>
      </c>
      <c r="E4901" s="2"/>
      <c r="F4901" s="2"/>
    </row>
    <row r="4902">
      <c r="A4902" s="2">
        <f>IFERROR(__xludf.DUMMYFUNCTION("""COMPUTED_VALUE"""),100610.0)</f>
        <v>100610</v>
      </c>
      <c r="B4902" s="2">
        <f>IFERROR(__xludf.DUMMYFUNCTION("""COMPUTED_VALUE"""),0.0)</f>
        <v>0</v>
      </c>
      <c r="C4902" s="2">
        <f>IFERROR(__xludf.DUMMYFUNCTION("""COMPUTED_VALUE"""),316.0)</f>
        <v>316</v>
      </c>
      <c r="D4902" s="3">
        <f>IFERROR(__xludf.DUMMYFUNCTION("""COMPUTED_VALUE"""),138.0)</f>
        <v>138</v>
      </c>
      <c r="E4902" s="2"/>
      <c r="F4902" s="2"/>
    </row>
    <row r="4903">
      <c r="A4903" s="2">
        <f>IFERROR(__xludf.DUMMYFUNCTION("""COMPUTED_VALUE"""),77772.0)</f>
        <v>77772</v>
      </c>
      <c r="B4903" s="2">
        <f>IFERROR(__xludf.DUMMYFUNCTION("""COMPUTED_VALUE"""),1.0)</f>
        <v>1</v>
      </c>
      <c r="C4903" s="2">
        <f>IFERROR(__xludf.DUMMYFUNCTION("""COMPUTED_VALUE"""),15.0)</f>
        <v>15</v>
      </c>
      <c r="D4903" s="3">
        <f>IFERROR(__xludf.DUMMYFUNCTION("""COMPUTED_VALUE"""),1.0)</f>
        <v>1</v>
      </c>
      <c r="E4903" s="2"/>
      <c r="F4903" s="2"/>
    </row>
    <row r="4904">
      <c r="A4904" s="2">
        <f>IFERROR(__xludf.DUMMYFUNCTION("""COMPUTED_VALUE"""),119914.0)</f>
        <v>119914</v>
      </c>
      <c r="B4904" s="2">
        <f>IFERROR(__xludf.DUMMYFUNCTION("""COMPUTED_VALUE"""),0.0)</f>
        <v>0</v>
      </c>
      <c r="C4904" s="2">
        <f>IFERROR(__xludf.DUMMYFUNCTION("""COMPUTED_VALUE"""),718.0)</f>
        <v>718</v>
      </c>
      <c r="D4904" s="3">
        <f>IFERROR(__xludf.DUMMYFUNCTION("""COMPUTED_VALUE"""),366.0)</f>
        <v>366</v>
      </c>
      <c r="E4904" s="2"/>
      <c r="F4904" s="2"/>
    </row>
    <row r="4905">
      <c r="A4905" s="2">
        <f>IFERROR(__xludf.DUMMYFUNCTION("""COMPUTED_VALUE"""),88495.0)</f>
        <v>88495</v>
      </c>
      <c r="B4905" s="2">
        <f>IFERROR(__xludf.DUMMYFUNCTION("""COMPUTED_VALUE"""),0.0)</f>
        <v>0</v>
      </c>
      <c r="C4905" s="2">
        <f>IFERROR(__xludf.DUMMYFUNCTION("""COMPUTED_VALUE"""),888.0)</f>
        <v>888</v>
      </c>
      <c r="D4905" s="3">
        <f>IFERROR(__xludf.DUMMYFUNCTION("""COMPUTED_VALUE"""),125.0)</f>
        <v>125</v>
      </c>
      <c r="E4905" s="2"/>
      <c r="F4905" s="2"/>
    </row>
    <row r="4906">
      <c r="A4906" s="2">
        <f>IFERROR(__xludf.DUMMYFUNCTION("""COMPUTED_VALUE"""),88487.0)</f>
        <v>88487</v>
      </c>
      <c r="B4906" s="2">
        <f>IFERROR(__xludf.DUMMYFUNCTION("""COMPUTED_VALUE"""),1.0)</f>
        <v>1</v>
      </c>
      <c r="C4906" s="2">
        <f>IFERROR(__xludf.DUMMYFUNCTION("""COMPUTED_VALUE"""),343.0)</f>
        <v>343</v>
      </c>
      <c r="D4906" s="3">
        <f>IFERROR(__xludf.DUMMYFUNCTION("""COMPUTED_VALUE"""),265.0)</f>
        <v>265</v>
      </c>
      <c r="E4906" s="2"/>
      <c r="F4906" s="2"/>
    </row>
    <row r="4907">
      <c r="A4907" s="2">
        <f>IFERROR(__xludf.DUMMYFUNCTION("""COMPUTED_VALUE"""),109488.0)</f>
        <v>109488</v>
      </c>
      <c r="B4907" s="2">
        <f>IFERROR(__xludf.DUMMYFUNCTION("""COMPUTED_VALUE"""),0.0)</f>
        <v>0</v>
      </c>
      <c r="C4907" s="2">
        <f>IFERROR(__xludf.DUMMYFUNCTION("""COMPUTED_VALUE"""),623.0)</f>
        <v>623</v>
      </c>
      <c r="D4907" s="3">
        <f>IFERROR(__xludf.DUMMYFUNCTION("""COMPUTED_VALUE"""),414.0)</f>
        <v>414</v>
      </c>
      <c r="E4907" s="2"/>
      <c r="F4907" s="2"/>
    </row>
    <row r="4908">
      <c r="A4908" s="2">
        <f>IFERROR(__xludf.DUMMYFUNCTION("""COMPUTED_VALUE"""),11401.0)</f>
        <v>11401</v>
      </c>
      <c r="B4908" s="2">
        <f>IFERROR(__xludf.DUMMYFUNCTION("""COMPUTED_VALUE"""),1.0)</f>
        <v>1</v>
      </c>
      <c r="C4908" s="2">
        <f>IFERROR(__xludf.DUMMYFUNCTION("""COMPUTED_VALUE"""),400.0)</f>
        <v>400</v>
      </c>
      <c r="D4908" s="3">
        <f>IFERROR(__xludf.DUMMYFUNCTION("""COMPUTED_VALUE"""),318.0)</f>
        <v>318</v>
      </c>
      <c r="E4908" s="2"/>
      <c r="F4908" s="2"/>
    </row>
    <row r="4909">
      <c r="A4909" s="2">
        <f>IFERROR(__xludf.DUMMYFUNCTION("""COMPUTED_VALUE"""),45530.0)</f>
        <v>45530</v>
      </c>
      <c r="B4909" s="2">
        <f>IFERROR(__xludf.DUMMYFUNCTION("""COMPUTED_VALUE"""),1.0)</f>
        <v>1</v>
      </c>
      <c r="C4909" s="2">
        <f>IFERROR(__xludf.DUMMYFUNCTION("""COMPUTED_VALUE"""),387.0)</f>
        <v>387</v>
      </c>
      <c r="D4909" s="3">
        <f>IFERROR(__xludf.DUMMYFUNCTION("""COMPUTED_VALUE"""),346.0)</f>
        <v>346</v>
      </c>
      <c r="E4909" s="2"/>
      <c r="F4909" s="2"/>
    </row>
    <row r="4910">
      <c r="A4910" s="2">
        <f>IFERROR(__xludf.DUMMYFUNCTION("""COMPUTED_VALUE"""),104426.0)</f>
        <v>104426</v>
      </c>
      <c r="B4910" s="2">
        <f>IFERROR(__xludf.DUMMYFUNCTION("""COMPUTED_VALUE"""),0.0)</f>
        <v>0</v>
      </c>
      <c r="C4910" s="2">
        <f>IFERROR(__xludf.DUMMYFUNCTION("""COMPUTED_VALUE"""),241.0)</f>
        <v>241</v>
      </c>
      <c r="D4910" s="3">
        <f>IFERROR(__xludf.DUMMYFUNCTION("""COMPUTED_VALUE"""),91.0)</f>
        <v>91</v>
      </c>
      <c r="E4910" s="2"/>
      <c r="F4910" s="2"/>
    </row>
    <row r="4911">
      <c r="A4911" s="2">
        <f>IFERROR(__xludf.DUMMYFUNCTION("""COMPUTED_VALUE"""),119827.0)</f>
        <v>119827</v>
      </c>
      <c r="B4911" s="2">
        <f>IFERROR(__xludf.DUMMYFUNCTION("""COMPUTED_VALUE"""),0.0)</f>
        <v>0</v>
      </c>
      <c r="C4911" s="2">
        <f>IFERROR(__xludf.DUMMYFUNCTION("""COMPUTED_VALUE"""),304.0)</f>
        <v>304</v>
      </c>
      <c r="D4911" s="3">
        <f>IFERROR(__xludf.DUMMYFUNCTION("""COMPUTED_VALUE"""),237.0)</f>
        <v>237</v>
      </c>
      <c r="E4911" s="2"/>
      <c r="F4911" s="2"/>
    </row>
    <row r="4912">
      <c r="A4912" s="2">
        <f>IFERROR(__xludf.DUMMYFUNCTION("""COMPUTED_VALUE"""),104384.0)</f>
        <v>104384</v>
      </c>
      <c r="B4912" s="2">
        <f>IFERROR(__xludf.DUMMYFUNCTION("""COMPUTED_VALUE"""),1.0)</f>
        <v>1</v>
      </c>
      <c r="C4912" s="2">
        <f>IFERROR(__xludf.DUMMYFUNCTION("""COMPUTED_VALUE"""),528.0)</f>
        <v>528</v>
      </c>
      <c r="D4912" s="3">
        <f>IFERROR(__xludf.DUMMYFUNCTION("""COMPUTED_VALUE"""),127.0)</f>
        <v>127</v>
      </c>
      <c r="E4912" s="2"/>
      <c r="F4912" s="2"/>
    </row>
    <row r="4913">
      <c r="A4913" s="2">
        <f>IFERROR(__xludf.DUMMYFUNCTION("""COMPUTED_VALUE"""),121966.0)</f>
        <v>121966</v>
      </c>
      <c r="B4913" s="2">
        <f>IFERROR(__xludf.DUMMYFUNCTION("""COMPUTED_VALUE"""),1.0)</f>
        <v>1</v>
      </c>
      <c r="C4913" s="2">
        <f>IFERROR(__xludf.DUMMYFUNCTION("""COMPUTED_VALUE"""),480.0)</f>
        <v>480</v>
      </c>
      <c r="D4913" s="3">
        <f>IFERROR(__xludf.DUMMYFUNCTION("""COMPUTED_VALUE"""),399.0)</f>
        <v>399</v>
      </c>
      <c r="E4913" s="2"/>
      <c r="F4913" s="2"/>
    </row>
    <row r="4914">
      <c r="A4914" s="2">
        <f>IFERROR(__xludf.DUMMYFUNCTION("""COMPUTED_VALUE"""),120183.0)</f>
        <v>120183</v>
      </c>
      <c r="B4914" s="2">
        <f>IFERROR(__xludf.DUMMYFUNCTION("""COMPUTED_VALUE"""),1.0)</f>
        <v>1</v>
      </c>
      <c r="C4914" s="2">
        <f>IFERROR(__xludf.DUMMYFUNCTION("""COMPUTED_VALUE"""),341.0)</f>
        <v>341</v>
      </c>
      <c r="D4914" s="3">
        <f>IFERROR(__xludf.DUMMYFUNCTION("""COMPUTED_VALUE"""),245.0)</f>
        <v>245</v>
      </c>
      <c r="E4914" s="2"/>
      <c r="F4914" s="2"/>
    </row>
    <row r="4915">
      <c r="A4915" s="2">
        <f>IFERROR(__xludf.DUMMYFUNCTION("""COMPUTED_VALUE"""),82832.0)</f>
        <v>82832</v>
      </c>
      <c r="B4915" s="2">
        <f>IFERROR(__xludf.DUMMYFUNCTION("""COMPUTED_VALUE"""),0.0)</f>
        <v>0</v>
      </c>
      <c r="C4915" s="2">
        <f>IFERROR(__xludf.DUMMYFUNCTION("""COMPUTED_VALUE"""),70.0)</f>
        <v>70</v>
      </c>
      <c r="D4915" s="3">
        <f>IFERROR(__xludf.DUMMYFUNCTION("""COMPUTED_VALUE"""),53.0)</f>
        <v>53</v>
      </c>
      <c r="E4915" s="2"/>
      <c r="F4915" s="2"/>
    </row>
    <row r="4916">
      <c r="A4916" s="2">
        <f>IFERROR(__xludf.DUMMYFUNCTION("""COMPUTED_VALUE"""),117607.0)</f>
        <v>117607</v>
      </c>
      <c r="B4916" s="2">
        <f>IFERROR(__xludf.DUMMYFUNCTION("""COMPUTED_VALUE"""),1.0)</f>
        <v>1</v>
      </c>
      <c r="C4916" s="2">
        <f>IFERROR(__xludf.DUMMYFUNCTION("""COMPUTED_VALUE"""),553.0)</f>
        <v>553</v>
      </c>
      <c r="D4916" s="3">
        <f>IFERROR(__xludf.DUMMYFUNCTION("""COMPUTED_VALUE"""),66.0)</f>
        <v>66</v>
      </c>
      <c r="E4916" s="2"/>
      <c r="F4916" s="2"/>
    </row>
    <row r="4917">
      <c r="A4917" s="2">
        <f>IFERROR(__xludf.DUMMYFUNCTION("""COMPUTED_VALUE"""),116244.0)</f>
        <v>116244</v>
      </c>
      <c r="B4917" s="2">
        <f>IFERROR(__xludf.DUMMYFUNCTION("""COMPUTED_VALUE"""),1.0)</f>
        <v>1</v>
      </c>
      <c r="C4917" s="2">
        <f>IFERROR(__xludf.DUMMYFUNCTION("""COMPUTED_VALUE"""),978.0)</f>
        <v>978</v>
      </c>
      <c r="D4917" s="3">
        <f>IFERROR(__xludf.DUMMYFUNCTION("""COMPUTED_VALUE"""),903.0)</f>
        <v>903</v>
      </c>
      <c r="E4917" s="2"/>
      <c r="F4917" s="2"/>
    </row>
    <row r="4918">
      <c r="A4918" s="2">
        <f>IFERROR(__xludf.DUMMYFUNCTION("""COMPUTED_VALUE"""),81045.0)</f>
        <v>81045</v>
      </c>
      <c r="B4918" s="2">
        <f>IFERROR(__xludf.DUMMYFUNCTION("""COMPUTED_VALUE"""),1.0)</f>
        <v>1</v>
      </c>
      <c r="C4918" s="2">
        <f>IFERROR(__xludf.DUMMYFUNCTION("""COMPUTED_VALUE"""),966.0)</f>
        <v>966</v>
      </c>
      <c r="D4918" s="3">
        <f>IFERROR(__xludf.DUMMYFUNCTION("""COMPUTED_VALUE"""),609.0)</f>
        <v>609</v>
      </c>
      <c r="E4918" s="2"/>
      <c r="F4918" s="2"/>
    </row>
    <row r="4919">
      <c r="A4919" s="2">
        <f>IFERROR(__xludf.DUMMYFUNCTION("""COMPUTED_VALUE"""),106021.0)</f>
        <v>106021</v>
      </c>
      <c r="B4919" s="2">
        <f>IFERROR(__xludf.DUMMYFUNCTION("""COMPUTED_VALUE"""),1.0)</f>
        <v>1</v>
      </c>
      <c r="C4919" s="2">
        <f>IFERROR(__xludf.DUMMYFUNCTION("""COMPUTED_VALUE"""),373.0)</f>
        <v>373</v>
      </c>
      <c r="D4919" s="3">
        <f>IFERROR(__xludf.DUMMYFUNCTION("""COMPUTED_VALUE"""),193.0)</f>
        <v>193</v>
      </c>
      <c r="E4919" s="2"/>
      <c r="F4919" s="2"/>
    </row>
    <row r="4920">
      <c r="A4920" s="2">
        <f>IFERROR(__xludf.DUMMYFUNCTION("""COMPUTED_VALUE"""),86622.0)</f>
        <v>86622</v>
      </c>
      <c r="B4920" s="2">
        <f>IFERROR(__xludf.DUMMYFUNCTION("""COMPUTED_VALUE"""),0.0)</f>
        <v>0</v>
      </c>
      <c r="C4920" s="2">
        <f>IFERROR(__xludf.DUMMYFUNCTION("""COMPUTED_VALUE"""),4.0)</f>
        <v>4</v>
      </c>
      <c r="D4920" s="3">
        <f>IFERROR(__xludf.DUMMYFUNCTION("""COMPUTED_VALUE"""),3.0)</f>
        <v>3</v>
      </c>
      <c r="E4920" s="2"/>
      <c r="F4920" s="2"/>
    </row>
    <row r="4921">
      <c r="A4921" s="2">
        <f>IFERROR(__xludf.DUMMYFUNCTION("""COMPUTED_VALUE"""),82834.0)</f>
        <v>82834</v>
      </c>
      <c r="B4921" s="2">
        <f>IFERROR(__xludf.DUMMYFUNCTION("""COMPUTED_VALUE"""),1.0)</f>
        <v>1</v>
      </c>
      <c r="C4921" s="2">
        <f>IFERROR(__xludf.DUMMYFUNCTION("""COMPUTED_VALUE"""),667.0)</f>
        <v>667</v>
      </c>
      <c r="D4921" s="3">
        <f>IFERROR(__xludf.DUMMYFUNCTION("""COMPUTED_VALUE"""),564.0)</f>
        <v>564</v>
      </c>
      <c r="E4921" s="2"/>
      <c r="F4921" s="2"/>
    </row>
    <row r="4922">
      <c r="A4922" s="2">
        <f>IFERROR(__xludf.DUMMYFUNCTION("""COMPUTED_VALUE"""),81008.0)</f>
        <v>81008</v>
      </c>
      <c r="B4922" s="2">
        <f>IFERROR(__xludf.DUMMYFUNCTION("""COMPUTED_VALUE"""),0.0)</f>
        <v>0</v>
      </c>
      <c r="C4922" s="2">
        <f>IFERROR(__xludf.DUMMYFUNCTION("""COMPUTED_VALUE"""),472.0)</f>
        <v>472</v>
      </c>
      <c r="D4922" s="3">
        <f>IFERROR(__xludf.DUMMYFUNCTION("""COMPUTED_VALUE"""),39.0)</f>
        <v>39</v>
      </c>
      <c r="E4922" s="2"/>
      <c r="F4922" s="2"/>
    </row>
    <row r="4923">
      <c r="A4923" s="2">
        <f>IFERROR(__xludf.DUMMYFUNCTION("""COMPUTED_VALUE"""),83167.0)</f>
        <v>83167</v>
      </c>
      <c r="B4923" s="2">
        <f>IFERROR(__xludf.DUMMYFUNCTION("""COMPUTED_VALUE"""),1.0)</f>
        <v>1</v>
      </c>
      <c r="C4923" s="2">
        <f>IFERROR(__xludf.DUMMYFUNCTION("""COMPUTED_VALUE"""),683.0)</f>
        <v>683</v>
      </c>
      <c r="D4923" s="3">
        <f>IFERROR(__xludf.DUMMYFUNCTION("""COMPUTED_VALUE"""),343.0)</f>
        <v>343</v>
      </c>
      <c r="E4923" s="2"/>
      <c r="F4923" s="2"/>
    </row>
    <row r="4924">
      <c r="A4924" s="2">
        <f>IFERROR(__xludf.DUMMYFUNCTION("""COMPUTED_VALUE"""),86584.0)</f>
        <v>86584</v>
      </c>
      <c r="B4924" s="2">
        <f>IFERROR(__xludf.DUMMYFUNCTION("""COMPUTED_VALUE"""),0.0)</f>
        <v>0</v>
      </c>
      <c r="C4924" s="2">
        <f>IFERROR(__xludf.DUMMYFUNCTION("""COMPUTED_VALUE"""),271.0)</f>
        <v>271</v>
      </c>
      <c r="D4924" s="3">
        <f>IFERROR(__xludf.DUMMYFUNCTION("""COMPUTED_VALUE"""),256.0)</f>
        <v>256</v>
      </c>
      <c r="E4924" s="2"/>
      <c r="F4924" s="2"/>
    </row>
    <row r="4925">
      <c r="A4925" s="2">
        <f>IFERROR(__xludf.DUMMYFUNCTION("""COMPUTED_VALUE"""),79902.0)</f>
        <v>79902</v>
      </c>
      <c r="B4925" s="2">
        <f>IFERROR(__xludf.DUMMYFUNCTION("""COMPUTED_VALUE"""),1.0)</f>
        <v>1</v>
      </c>
      <c r="C4925" s="2">
        <f>IFERROR(__xludf.DUMMYFUNCTION("""COMPUTED_VALUE"""),924.0)</f>
        <v>924</v>
      </c>
      <c r="D4925" s="3">
        <f>IFERROR(__xludf.DUMMYFUNCTION("""COMPUTED_VALUE"""),867.0)</f>
        <v>867</v>
      </c>
      <c r="E4925" s="2"/>
      <c r="F4925" s="2"/>
    </row>
    <row r="4926">
      <c r="A4926" s="2">
        <f>IFERROR(__xludf.DUMMYFUNCTION("""COMPUTED_VALUE"""),41328.0)</f>
        <v>41328</v>
      </c>
      <c r="B4926" s="2">
        <f>IFERROR(__xludf.DUMMYFUNCTION("""COMPUTED_VALUE"""),0.0)</f>
        <v>0</v>
      </c>
      <c r="C4926" s="2">
        <f>IFERROR(__xludf.DUMMYFUNCTION("""COMPUTED_VALUE"""),732.0)</f>
        <v>732</v>
      </c>
      <c r="D4926" s="3">
        <f>IFERROR(__xludf.DUMMYFUNCTION("""COMPUTED_VALUE"""),167.0)</f>
        <v>167</v>
      </c>
      <c r="E4926" s="2"/>
      <c r="F4926" s="2"/>
    </row>
    <row r="4927">
      <c r="A4927" s="2">
        <f>IFERROR(__xludf.DUMMYFUNCTION("""COMPUTED_VALUE"""),79907.0)</f>
        <v>79907</v>
      </c>
      <c r="B4927" s="2">
        <f>IFERROR(__xludf.DUMMYFUNCTION("""COMPUTED_VALUE"""),0.0)</f>
        <v>0</v>
      </c>
      <c r="C4927" s="2">
        <f>IFERROR(__xludf.DUMMYFUNCTION("""COMPUTED_VALUE"""),141.0)</f>
        <v>141</v>
      </c>
      <c r="D4927" s="3">
        <f>IFERROR(__xludf.DUMMYFUNCTION("""COMPUTED_VALUE"""),26.0)</f>
        <v>26</v>
      </c>
      <c r="E4927" s="2"/>
      <c r="F4927" s="2"/>
    </row>
    <row r="4928">
      <c r="A4928" s="2">
        <f>IFERROR(__xludf.DUMMYFUNCTION("""COMPUTED_VALUE"""),70588.0)</f>
        <v>70588</v>
      </c>
      <c r="B4928" s="2">
        <f>IFERROR(__xludf.DUMMYFUNCTION("""COMPUTED_VALUE"""),0.0)</f>
        <v>0</v>
      </c>
      <c r="C4928" s="2">
        <f>IFERROR(__xludf.DUMMYFUNCTION("""COMPUTED_VALUE"""),842.0)</f>
        <v>842</v>
      </c>
      <c r="D4928" s="3">
        <f>IFERROR(__xludf.DUMMYFUNCTION("""COMPUTED_VALUE"""),185.0)</f>
        <v>185</v>
      </c>
      <c r="E4928" s="2"/>
      <c r="F4928" s="2"/>
    </row>
    <row r="4929">
      <c r="A4929" s="2">
        <f>IFERROR(__xludf.DUMMYFUNCTION("""COMPUTED_VALUE"""),70587.0)</f>
        <v>70587</v>
      </c>
      <c r="B4929" s="2">
        <f>IFERROR(__xludf.DUMMYFUNCTION("""COMPUTED_VALUE"""),0.0)</f>
        <v>0</v>
      </c>
      <c r="C4929" s="2">
        <f>IFERROR(__xludf.DUMMYFUNCTION("""COMPUTED_VALUE"""),32.0)</f>
        <v>32</v>
      </c>
      <c r="D4929" s="3">
        <f>IFERROR(__xludf.DUMMYFUNCTION("""COMPUTED_VALUE"""),30.0)</f>
        <v>30</v>
      </c>
      <c r="E4929" s="2"/>
      <c r="F4929" s="2"/>
    </row>
    <row r="4930">
      <c r="A4930" s="2">
        <f>IFERROR(__xludf.DUMMYFUNCTION("""COMPUTED_VALUE"""),109356.0)</f>
        <v>109356</v>
      </c>
      <c r="B4930" s="2">
        <f>IFERROR(__xludf.DUMMYFUNCTION("""COMPUTED_VALUE"""),1.0)</f>
        <v>1</v>
      </c>
      <c r="C4930" s="2">
        <f>IFERROR(__xludf.DUMMYFUNCTION("""COMPUTED_VALUE"""),544.0)</f>
        <v>544</v>
      </c>
      <c r="D4930" s="3">
        <f>IFERROR(__xludf.DUMMYFUNCTION("""COMPUTED_VALUE"""),443.0)</f>
        <v>443</v>
      </c>
      <c r="E4930" s="2"/>
      <c r="F4930" s="2"/>
    </row>
    <row r="4931">
      <c r="A4931" s="2">
        <f>IFERROR(__xludf.DUMMYFUNCTION("""COMPUTED_VALUE"""),47892.0)</f>
        <v>47892</v>
      </c>
      <c r="B4931" s="2">
        <f>IFERROR(__xludf.DUMMYFUNCTION("""COMPUTED_VALUE"""),1.0)</f>
        <v>1</v>
      </c>
      <c r="C4931" s="2">
        <f>IFERROR(__xludf.DUMMYFUNCTION("""COMPUTED_VALUE"""),392.0)</f>
        <v>392</v>
      </c>
      <c r="D4931" s="3">
        <f>IFERROR(__xludf.DUMMYFUNCTION("""COMPUTED_VALUE"""),217.0)</f>
        <v>217</v>
      </c>
      <c r="E4931" s="2"/>
      <c r="F4931" s="2"/>
    </row>
    <row r="4932">
      <c r="A4932" s="2">
        <f>IFERROR(__xludf.DUMMYFUNCTION("""COMPUTED_VALUE"""),79901.0)</f>
        <v>79901</v>
      </c>
      <c r="B4932" s="2">
        <f>IFERROR(__xludf.DUMMYFUNCTION("""COMPUTED_VALUE"""),1.0)</f>
        <v>1</v>
      </c>
      <c r="C4932" s="2">
        <f>IFERROR(__xludf.DUMMYFUNCTION("""COMPUTED_VALUE"""),240.0)</f>
        <v>240</v>
      </c>
      <c r="D4932" s="3">
        <f>IFERROR(__xludf.DUMMYFUNCTION("""COMPUTED_VALUE"""),168.0)</f>
        <v>168</v>
      </c>
      <c r="E4932" s="2"/>
      <c r="F4932" s="2"/>
    </row>
    <row r="4933">
      <c r="A4933" s="2">
        <f>IFERROR(__xludf.DUMMYFUNCTION("""COMPUTED_VALUE"""),70585.0)</f>
        <v>70585</v>
      </c>
      <c r="B4933" s="2">
        <f>IFERROR(__xludf.DUMMYFUNCTION("""COMPUTED_VALUE"""),0.0)</f>
        <v>0</v>
      </c>
      <c r="C4933" s="2">
        <f>IFERROR(__xludf.DUMMYFUNCTION("""COMPUTED_VALUE"""),91.0)</f>
        <v>91</v>
      </c>
      <c r="D4933" s="3">
        <f>IFERROR(__xludf.DUMMYFUNCTION("""COMPUTED_VALUE"""),21.0)</f>
        <v>21</v>
      </c>
      <c r="E4933" s="2"/>
      <c r="F4933" s="2"/>
    </row>
    <row r="4934">
      <c r="A4934" s="2">
        <f>IFERROR(__xludf.DUMMYFUNCTION("""COMPUTED_VALUE"""),4375.0)</f>
        <v>4375</v>
      </c>
      <c r="B4934" s="2">
        <f>IFERROR(__xludf.DUMMYFUNCTION("""COMPUTED_VALUE"""),0.0)</f>
        <v>0</v>
      </c>
      <c r="C4934" s="2">
        <f>IFERROR(__xludf.DUMMYFUNCTION("""COMPUTED_VALUE"""),729.0)</f>
        <v>729</v>
      </c>
      <c r="D4934" s="3">
        <f>IFERROR(__xludf.DUMMYFUNCTION("""COMPUTED_VALUE"""),251.0)</f>
        <v>251</v>
      </c>
      <c r="E4934" s="2"/>
      <c r="F4934" s="2"/>
    </row>
    <row r="4935">
      <c r="A4935" s="2">
        <f>IFERROR(__xludf.DUMMYFUNCTION("""COMPUTED_VALUE"""),4380.0)</f>
        <v>4380</v>
      </c>
      <c r="B4935" s="2">
        <f>IFERROR(__xludf.DUMMYFUNCTION("""COMPUTED_VALUE"""),1.0)</f>
        <v>1</v>
      </c>
      <c r="C4935" s="2">
        <f>IFERROR(__xludf.DUMMYFUNCTION("""COMPUTED_VALUE"""),930.0)</f>
        <v>930</v>
      </c>
      <c r="D4935" s="3">
        <f>IFERROR(__xludf.DUMMYFUNCTION("""COMPUTED_VALUE"""),875.0)</f>
        <v>875</v>
      </c>
      <c r="E4935" s="2"/>
      <c r="F4935" s="2"/>
    </row>
    <row r="4936">
      <c r="A4936" s="2">
        <f>IFERROR(__xludf.DUMMYFUNCTION("""COMPUTED_VALUE"""),84967.0)</f>
        <v>84967</v>
      </c>
      <c r="B4936" s="2">
        <f>IFERROR(__xludf.DUMMYFUNCTION("""COMPUTED_VALUE"""),1.0)</f>
        <v>1</v>
      </c>
      <c r="C4936" s="2">
        <f>IFERROR(__xludf.DUMMYFUNCTION("""COMPUTED_VALUE"""),749.0)</f>
        <v>749</v>
      </c>
      <c r="D4936" s="3">
        <f>IFERROR(__xludf.DUMMYFUNCTION("""COMPUTED_VALUE"""),318.0)</f>
        <v>318</v>
      </c>
      <c r="E4936" s="2"/>
      <c r="F4936" s="2"/>
    </row>
    <row r="4937">
      <c r="A4937" s="2">
        <f>IFERROR(__xludf.DUMMYFUNCTION("""COMPUTED_VALUE"""),4381.0)</f>
        <v>4381</v>
      </c>
      <c r="B4937" s="2">
        <f>IFERROR(__xludf.DUMMYFUNCTION("""COMPUTED_VALUE"""),1.0)</f>
        <v>1</v>
      </c>
      <c r="C4937" s="2">
        <f>IFERROR(__xludf.DUMMYFUNCTION("""COMPUTED_VALUE"""),248.0)</f>
        <v>248</v>
      </c>
      <c r="D4937" s="3">
        <f>IFERROR(__xludf.DUMMYFUNCTION("""COMPUTED_VALUE"""),171.0)</f>
        <v>171</v>
      </c>
      <c r="E4937" s="2"/>
      <c r="F4937" s="2"/>
    </row>
    <row r="4938">
      <c r="A4938" s="2">
        <f>IFERROR(__xludf.DUMMYFUNCTION("""COMPUTED_VALUE"""),4379.0)</f>
        <v>4379</v>
      </c>
      <c r="B4938" s="2">
        <f>IFERROR(__xludf.DUMMYFUNCTION("""COMPUTED_VALUE"""),0.0)</f>
        <v>0</v>
      </c>
      <c r="C4938" s="2">
        <f>IFERROR(__xludf.DUMMYFUNCTION("""COMPUTED_VALUE"""),622.0)</f>
        <v>622</v>
      </c>
      <c r="D4938" s="3">
        <f>IFERROR(__xludf.DUMMYFUNCTION("""COMPUTED_VALUE"""),360.0)</f>
        <v>360</v>
      </c>
      <c r="E4938" s="2"/>
      <c r="F4938" s="2"/>
    </row>
    <row r="4939">
      <c r="A4939" s="2">
        <f>IFERROR(__xludf.DUMMYFUNCTION("""COMPUTED_VALUE"""),4383.0)</f>
        <v>4383</v>
      </c>
      <c r="B4939" s="2">
        <f>IFERROR(__xludf.DUMMYFUNCTION("""COMPUTED_VALUE"""),1.0)</f>
        <v>1</v>
      </c>
      <c r="C4939" s="2">
        <f>IFERROR(__xludf.DUMMYFUNCTION("""COMPUTED_VALUE"""),777.0)</f>
        <v>777</v>
      </c>
      <c r="D4939" s="3">
        <f>IFERROR(__xludf.DUMMYFUNCTION("""COMPUTED_VALUE"""),669.0)</f>
        <v>669</v>
      </c>
      <c r="E4939" s="2"/>
      <c r="F4939" s="2"/>
    </row>
    <row r="4940">
      <c r="A4940" s="2">
        <f>IFERROR(__xludf.DUMMYFUNCTION("""COMPUTED_VALUE"""),110770.0)</f>
        <v>110770</v>
      </c>
      <c r="B4940" s="2">
        <f>IFERROR(__xludf.DUMMYFUNCTION("""COMPUTED_VALUE"""),1.0)</f>
        <v>1</v>
      </c>
      <c r="C4940" s="2">
        <f>IFERROR(__xludf.DUMMYFUNCTION("""COMPUTED_VALUE"""),748.0)</f>
        <v>748</v>
      </c>
      <c r="D4940" s="3">
        <f>IFERROR(__xludf.DUMMYFUNCTION("""COMPUTED_VALUE"""),255.0)</f>
        <v>255</v>
      </c>
      <c r="E4940" s="2"/>
      <c r="F4940" s="2"/>
    </row>
    <row r="4941">
      <c r="A4941" s="2">
        <f>IFERROR(__xludf.DUMMYFUNCTION("""COMPUTED_VALUE"""),110764.0)</f>
        <v>110764</v>
      </c>
      <c r="B4941" s="2">
        <f>IFERROR(__xludf.DUMMYFUNCTION("""COMPUTED_VALUE"""),0.0)</f>
        <v>0</v>
      </c>
      <c r="C4941" s="2">
        <f>IFERROR(__xludf.DUMMYFUNCTION("""COMPUTED_VALUE"""),512.0)</f>
        <v>512</v>
      </c>
      <c r="D4941" s="3">
        <f>IFERROR(__xludf.DUMMYFUNCTION("""COMPUTED_VALUE"""),350.0)</f>
        <v>350</v>
      </c>
      <c r="E4941" s="2"/>
      <c r="F4941" s="2"/>
    </row>
    <row r="4942">
      <c r="A4942" s="2">
        <f>IFERROR(__xludf.DUMMYFUNCTION("""COMPUTED_VALUE"""),109355.0)</f>
        <v>109355</v>
      </c>
      <c r="B4942" s="2">
        <f>IFERROR(__xludf.DUMMYFUNCTION("""COMPUTED_VALUE"""),0.0)</f>
        <v>0</v>
      </c>
      <c r="C4942" s="2">
        <f>IFERROR(__xludf.DUMMYFUNCTION("""COMPUTED_VALUE"""),65.0)</f>
        <v>65</v>
      </c>
      <c r="D4942" s="3">
        <f>IFERROR(__xludf.DUMMYFUNCTION("""COMPUTED_VALUE"""),11.0)</f>
        <v>11</v>
      </c>
      <c r="E4942" s="2"/>
      <c r="F4942" s="2"/>
    </row>
    <row r="4943">
      <c r="A4943" s="2">
        <f>IFERROR(__xludf.DUMMYFUNCTION("""COMPUTED_VALUE"""),110765.0)</f>
        <v>110765</v>
      </c>
      <c r="B4943" s="2">
        <f>IFERROR(__xludf.DUMMYFUNCTION("""COMPUTED_VALUE"""),1.0)</f>
        <v>1</v>
      </c>
      <c r="C4943" s="2">
        <f>IFERROR(__xludf.DUMMYFUNCTION("""COMPUTED_VALUE"""),944.0)</f>
        <v>944</v>
      </c>
      <c r="D4943" s="3">
        <f>IFERROR(__xludf.DUMMYFUNCTION("""COMPUTED_VALUE"""),12.0)</f>
        <v>12</v>
      </c>
      <c r="E4943" s="2"/>
      <c r="F4943" s="2"/>
    </row>
    <row r="4944">
      <c r="A4944" s="2">
        <f>IFERROR(__xludf.DUMMYFUNCTION("""COMPUTED_VALUE"""),103510.0)</f>
        <v>103510</v>
      </c>
      <c r="B4944" s="2">
        <f>IFERROR(__xludf.DUMMYFUNCTION("""COMPUTED_VALUE"""),1.0)</f>
        <v>1</v>
      </c>
      <c r="C4944" s="2">
        <f>IFERROR(__xludf.DUMMYFUNCTION("""COMPUTED_VALUE"""),590.0)</f>
        <v>590</v>
      </c>
      <c r="D4944" s="3">
        <f>IFERROR(__xludf.DUMMYFUNCTION("""COMPUTED_VALUE"""),169.0)</f>
        <v>169</v>
      </c>
      <c r="E4944" s="2"/>
      <c r="F4944" s="2"/>
    </row>
    <row r="4945">
      <c r="A4945" s="2">
        <f>IFERROR(__xludf.DUMMYFUNCTION("""COMPUTED_VALUE"""),114936.0)</f>
        <v>114936</v>
      </c>
      <c r="B4945" s="2">
        <f>IFERROR(__xludf.DUMMYFUNCTION("""COMPUTED_VALUE"""),1.0)</f>
        <v>1</v>
      </c>
      <c r="C4945" s="2">
        <f>IFERROR(__xludf.DUMMYFUNCTION("""COMPUTED_VALUE"""),202.0)</f>
        <v>202</v>
      </c>
      <c r="D4945" s="3">
        <f>IFERROR(__xludf.DUMMYFUNCTION("""COMPUTED_VALUE"""),8.0)</f>
        <v>8</v>
      </c>
      <c r="E4945" s="2"/>
      <c r="F4945" s="2"/>
    </row>
    <row r="4946">
      <c r="A4946" s="2">
        <f>IFERROR(__xludf.DUMMYFUNCTION("""COMPUTED_VALUE"""),114935.0)</f>
        <v>114935</v>
      </c>
      <c r="B4946" s="2">
        <f>IFERROR(__xludf.DUMMYFUNCTION("""COMPUTED_VALUE"""),1.0)</f>
        <v>1</v>
      </c>
      <c r="C4946" s="2">
        <f>IFERROR(__xludf.DUMMYFUNCTION("""COMPUTED_VALUE"""),312.0)</f>
        <v>312</v>
      </c>
      <c r="D4946" s="3">
        <f>IFERROR(__xludf.DUMMYFUNCTION("""COMPUTED_VALUE"""),94.0)</f>
        <v>94</v>
      </c>
      <c r="E4946" s="2"/>
      <c r="F4946" s="2"/>
    </row>
    <row r="4947">
      <c r="A4947" s="2">
        <f>IFERROR(__xludf.DUMMYFUNCTION("""COMPUTED_VALUE"""),110768.0)</f>
        <v>110768</v>
      </c>
      <c r="B4947" s="2">
        <f>IFERROR(__xludf.DUMMYFUNCTION("""COMPUTED_VALUE"""),1.0)</f>
        <v>1</v>
      </c>
      <c r="C4947" s="2">
        <f>IFERROR(__xludf.DUMMYFUNCTION("""COMPUTED_VALUE"""),437.0)</f>
        <v>437</v>
      </c>
      <c r="D4947" s="3">
        <f>IFERROR(__xludf.DUMMYFUNCTION("""COMPUTED_VALUE"""),34.0)</f>
        <v>34</v>
      </c>
      <c r="E4947" s="2"/>
      <c r="F4947" s="2"/>
    </row>
    <row r="4948">
      <c r="A4948" s="2">
        <f>IFERROR(__xludf.DUMMYFUNCTION("""COMPUTED_VALUE"""),120256.0)</f>
        <v>120256</v>
      </c>
      <c r="B4948" s="2">
        <f>IFERROR(__xludf.DUMMYFUNCTION("""COMPUTED_VALUE"""),0.0)</f>
        <v>0</v>
      </c>
      <c r="C4948" s="2">
        <f>IFERROR(__xludf.DUMMYFUNCTION("""COMPUTED_VALUE"""),970.0)</f>
        <v>970</v>
      </c>
      <c r="D4948" s="3">
        <f>IFERROR(__xludf.DUMMYFUNCTION("""COMPUTED_VALUE"""),776.0)</f>
        <v>776</v>
      </c>
      <c r="E4948" s="2"/>
      <c r="F4948" s="2"/>
    </row>
    <row r="4949">
      <c r="A4949" s="2">
        <f>IFERROR(__xludf.DUMMYFUNCTION("""COMPUTED_VALUE"""),101783.0)</f>
        <v>101783</v>
      </c>
      <c r="B4949" s="2">
        <f>IFERROR(__xludf.DUMMYFUNCTION("""COMPUTED_VALUE"""),1.0)</f>
        <v>1</v>
      </c>
      <c r="C4949" s="2">
        <f>IFERROR(__xludf.DUMMYFUNCTION("""COMPUTED_VALUE"""),622.0)</f>
        <v>622</v>
      </c>
      <c r="D4949" s="3">
        <f>IFERROR(__xludf.DUMMYFUNCTION("""COMPUTED_VALUE"""),113.0)</f>
        <v>113</v>
      </c>
      <c r="E4949" s="2"/>
      <c r="F4949" s="2"/>
    </row>
    <row r="4950">
      <c r="A4950" s="2">
        <f>IFERROR(__xludf.DUMMYFUNCTION("""COMPUTED_VALUE"""),75766.0)</f>
        <v>75766</v>
      </c>
      <c r="B4950" s="2">
        <f>IFERROR(__xludf.DUMMYFUNCTION("""COMPUTED_VALUE"""),0.0)</f>
        <v>0</v>
      </c>
      <c r="C4950" s="2">
        <f>IFERROR(__xludf.DUMMYFUNCTION("""COMPUTED_VALUE"""),845.0)</f>
        <v>845</v>
      </c>
      <c r="D4950" s="3">
        <f>IFERROR(__xludf.DUMMYFUNCTION("""COMPUTED_VALUE"""),123.0)</f>
        <v>123</v>
      </c>
      <c r="E4950" s="2"/>
      <c r="F4950" s="2"/>
    </row>
    <row r="4951">
      <c r="A4951" s="2">
        <f>IFERROR(__xludf.DUMMYFUNCTION("""COMPUTED_VALUE"""),69756.0)</f>
        <v>69756</v>
      </c>
      <c r="B4951" s="2">
        <f>IFERROR(__xludf.DUMMYFUNCTION("""COMPUTED_VALUE"""),0.0)</f>
        <v>0</v>
      </c>
      <c r="C4951" s="2">
        <f>IFERROR(__xludf.DUMMYFUNCTION("""COMPUTED_VALUE"""),95.0)</f>
        <v>95</v>
      </c>
      <c r="D4951" s="3">
        <f>IFERROR(__xludf.DUMMYFUNCTION("""COMPUTED_VALUE"""),70.0)</f>
        <v>70</v>
      </c>
      <c r="E4951" s="2"/>
      <c r="F4951" s="2"/>
    </row>
    <row r="4952">
      <c r="A4952" s="2">
        <f>IFERROR(__xludf.DUMMYFUNCTION("""COMPUTED_VALUE"""),112471.0)</f>
        <v>112471</v>
      </c>
      <c r="B4952" s="2">
        <f>IFERROR(__xludf.DUMMYFUNCTION("""COMPUTED_VALUE"""),1.0)</f>
        <v>1</v>
      </c>
      <c r="C4952" s="2">
        <f>IFERROR(__xludf.DUMMYFUNCTION("""COMPUTED_VALUE"""),918.0)</f>
        <v>918</v>
      </c>
      <c r="D4952" s="3">
        <f>IFERROR(__xludf.DUMMYFUNCTION("""COMPUTED_VALUE"""),630.0)</f>
        <v>630</v>
      </c>
      <c r="E4952" s="2"/>
      <c r="F4952" s="2"/>
    </row>
    <row r="4953">
      <c r="A4953" s="2">
        <f>IFERROR(__xludf.DUMMYFUNCTION("""COMPUTED_VALUE"""),99040.0)</f>
        <v>99040</v>
      </c>
      <c r="B4953" s="2">
        <f>IFERROR(__xludf.DUMMYFUNCTION("""COMPUTED_VALUE"""),0.0)</f>
        <v>0</v>
      </c>
      <c r="C4953" s="2">
        <f>IFERROR(__xludf.DUMMYFUNCTION("""COMPUTED_VALUE"""),342.0)</f>
        <v>342</v>
      </c>
      <c r="D4953" s="3">
        <f>IFERROR(__xludf.DUMMYFUNCTION("""COMPUTED_VALUE"""),27.0)</f>
        <v>27</v>
      </c>
      <c r="E4953" s="2"/>
      <c r="F4953" s="2"/>
    </row>
    <row r="4954">
      <c r="A4954" s="2">
        <f>IFERROR(__xludf.DUMMYFUNCTION("""COMPUTED_VALUE"""),112321.0)</f>
        <v>112321</v>
      </c>
      <c r="B4954" s="2">
        <f>IFERROR(__xludf.DUMMYFUNCTION("""COMPUTED_VALUE"""),0.0)</f>
        <v>0</v>
      </c>
      <c r="C4954" s="2">
        <f>IFERROR(__xludf.DUMMYFUNCTION("""COMPUTED_VALUE"""),75.0)</f>
        <v>75</v>
      </c>
      <c r="D4954" s="3">
        <f>IFERROR(__xludf.DUMMYFUNCTION("""COMPUTED_VALUE"""),64.0)</f>
        <v>64</v>
      </c>
      <c r="E4954" s="2"/>
      <c r="F4954" s="2"/>
    </row>
    <row r="4955">
      <c r="A4955" s="2">
        <f>IFERROR(__xludf.DUMMYFUNCTION("""COMPUTED_VALUE"""),139296.0)</f>
        <v>139296</v>
      </c>
      <c r="B4955" s="2">
        <f>IFERROR(__xludf.DUMMYFUNCTION("""COMPUTED_VALUE"""),1.0)</f>
        <v>1</v>
      </c>
      <c r="C4955" s="2">
        <f>IFERROR(__xludf.DUMMYFUNCTION("""COMPUTED_VALUE"""),552.0)</f>
        <v>552</v>
      </c>
      <c r="D4955" s="3">
        <f>IFERROR(__xludf.DUMMYFUNCTION("""COMPUTED_VALUE"""),126.0)</f>
        <v>126</v>
      </c>
      <c r="E4955" s="2"/>
      <c r="F4955" s="2"/>
    </row>
    <row r="4956">
      <c r="A4956" s="2">
        <f>IFERROR(__xludf.DUMMYFUNCTION("""COMPUTED_VALUE"""),112318.0)</f>
        <v>112318</v>
      </c>
      <c r="B4956" s="2">
        <f>IFERROR(__xludf.DUMMYFUNCTION("""COMPUTED_VALUE"""),0.0)</f>
        <v>0</v>
      </c>
      <c r="C4956" s="2">
        <f>IFERROR(__xludf.DUMMYFUNCTION("""COMPUTED_VALUE"""),818.0)</f>
        <v>818</v>
      </c>
      <c r="D4956" s="3">
        <f>IFERROR(__xludf.DUMMYFUNCTION("""COMPUTED_VALUE"""),802.0)</f>
        <v>802</v>
      </c>
      <c r="E4956" s="2"/>
      <c r="F4956" s="2"/>
    </row>
    <row r="4957">
      <c r="A4957" s="2">
        <f>IFERROR(__xludf.DUMMYFUNCTION("""COMPUTED_VALUE"""),86119.0)</f>
        <v>86119</v>
      </c>
      <c r="B4957" s="2">
        <f>IFERROR(__xludf.DUMMYFUNCTION("""COMPUTED_VALUE"""),0.0)</f>
        <v>0</v>
      </c>
      <c r="C4957" s="2">
        <f>IFERROR(__xludf.DUMMYFUNCTION("""COMPUTED_VALUE"""),544.0)</f>
        <v>544</v>
      </c>
      <c r="D4957" s="3">
        <f>IFERROR(__xludf.DUMMYFUNCTION("""COMPUTED_VALUE"""),39.0)</f>
        <v>39</v>
      </c>
      <c r="E4957" s="2"/>
      <c r="F4957" s="2"/>
    </row>
    <row r="4958">
      <c r="A4958" s="2">
        <f>IFERROR(__xludf.DUMMYFUNCTION("""COMPUTED_VALUE"""),79895.0)</f>
        <v>79895</v>
      </c>
      <c r="B4958" s="2">
        <f>IFERROR(__xludf.DUMMYFUNCTION("""COMPUTED_VALUE"""),1.0)</f>
        <v>1</v>
      </c>
      <c r="C4958" s="2">
        <f>IFERROR(__xludf.DUMMYFUNCTION("""COMPUTED_VALUE"""),844.0)</f>
        <v>844</v>
      </c>
      <c r="D4958" s="3">
        <f>IFERROR(__xludf.DUMMYFUNCTION("""COMPUTED_VALUE"""),440.0)</f>
        <v>440</v>
      </c>
      <c r="E4958" s="2"/>
      <c r="F4958" s="2"/>
    </row>
    <row r="4959">
      <c r="A4959" s="2">
        <f>IFERROR(__xludf.DUMMYFUNCTION("""COMPUTED_VALUE"""),133909.0)</f>
        <v>133909</v>
      </c>
      <c r="B4959" s="2">
        <f>IFERROR(__xludf.DUMMYFUNCTION("""COMPUTED_VALUE"""),0.0)</f>
        <v>0</v>
      </c>
      <c r="C4959" s="2">
        <f>IFERROR(__xludf.DUMMYFUNCTION("""COMPUTED_VALUE"""),414.0)</f>
        <v>414</v>
      </c>
      <c r="D4959" s="3">
        <f>IFERROR(__xludf.DUMMYFUNCTION("""COMPUTED_VALUE"""),286.0)</f>
        <v>286</v>
      </c>
      <c r="E4959" s="2"/>
      <c r="F4959" s="2"/>
    </row>
    <row r="4960">
      <c r="A4960" s="2">
        <f>IFERROR(__xludf.DUMMYFUNCTION("""COMPUTED_VALUE"""),128338.0)</f>
        <v>128338</v>
      </c>
      <c r="B4960" s="2">
        <f>IFERROR(__xludf.DUMMYFUNCTION("""COMPUTED_VALUE"""),0.0)</f>
        <v>0</v>
      </c>
      <c r="C4960" s="2">
        <f>IFERROR(__xludf.DUMMYFUNCTION("""COMPUTED_VALUE"""),790.0)</f>
        <v>790</v>
      </c>
      <c r="D4960" s="3">
        <f>IFERROR(__xludf.DUMMYFUNCTION("""COMPUTED_VALUE"""),117.0)</f>
        <v>117</v>
      </c>
      <c r="E4960" s="2"/>
      <c r="F4960" s="2"/>
    </row>
    <row r="4961">
      <c r="A4961" s="2">
        <f>IFERROR(__xludf.DUMMYFUNCTION("""COMPUTED_VALUE"""),42990.0)</f>
        <v>42990</v>
      </c>
      <c r="B4961" s="2">
        <f>IFERROR(__xludf.DUMMYFUNCTION("""COMPUTED_VALUE"""),0.0)</f>
        <v>0</v>
      </c>
      <c r="C4961" s="2">
        <f>IFERROR(__xludf.DUMMYFUNCTION("""COMPUTED_VALUE"""),835.0)</f>
        <v>835</v>
      </c>
      <c r="D4961" s="3">
        <f>IFERROR(__xludf.DUMMYFUNCTION("""COMPUTED_VALUE"""),81.0)</f>
        <v>81</v>
      </c>
      <c r="E4961" s="2"/>
      <c r="F4961" s="2"/>
    </row>
    <row r="4962">
      <c r="A4962" s="2">
        <f>IFERROR(__xludf.DUMMYFUNCTION("""COMPUTED_VALUE"""),128339.0)</f>
        <v>128339</v>
      </c>
      <c r="B4962" s="2">
        <f>IFERROR(__xludf.DUMMYFUNCTION("""COMPUTED_VALUE"""),1.0)</f>
        <v>1</v>
      </c>
      <c r="C4962" s="2">
        <f>IFERROR(__xludf.DUMMYFUNCTION("""COMPUTED_VALUE"""),290.0)</f>
        <v>290</v>
      </c>
      <c r="D4962" s="3">
        <f>IFERROR(__xludf.DUMMYFUNCTION("""COMPUTED_VALUE"""),140.0)</f>
        <v>140</v>
      </c>
      <c r="E4962" s="2"/>
      <c r="F4962" s="2"/>
    </row>
    <row r="4963">
      <c r="A4963" s="2">
        <f>IFERROR(__xludf.DUMMYFUNCTION("""COMPUTED_VALUE"""),42008.0)</f>
        <v>42008</v>
      </c>
      <c r="B4963" s="2">
        <f>IFERROR(__xludf.DUMMYFUNCTION("""COMPUTED_VALUE"""),1.0)</f>
        <v>1</v>
      </c>
      <c r="C4963" s="2">
        <f>IFERROR(__xludf.DUMMYFUNCTION("""COMPUTED_VALUE"""),36.0)</f>
        <v>36</v>
      </c>
      <c r="D4963" s="3">
        <f>IFERROR(__xludf.DUMMYFUNCTION("""COMPUTED_VALUE"""),0.0)</f>
        <v>0</v>
      </c>
      <c r="E4963" s="2"/>
      <c r="F4963" s="2"/>
    </row>
    <row r="4964">
      <c r="A4964" s="2">
        <f>IFERROR(__xludf.DUMMYFUNCTION("""COMPUTED_VALUE"""),112320.0)</f>
        <v>112320</v>
      </c>
      <c r="B4964" s="2">
        <f>IFERROR(__xludf.DUMMYFUNCTION("""COMPUTED_VALUE"""),1.0)</f>
        <v>1</v>
      </c>
      <c r="C4964" s="2">
        <f>IFERROR(__xludf.DUMMYFUNCTION("""COMPUTED_VALUE"""),254.0)</f>
        <v>254</v>
      </c>
      <c r="D4964" s="3">
        <f>IFERROR(__xludf.DUMMYFUNCTION("""COMPUTED_VALUE"""),204.0)</f>
        <v>204</v>
      </c>
      <c r="E4964" s="2"/>
      <c r="F4964" s="2"/>
    </row>
    <row r="4965">
      <c r="A4965" s="2">
        <f>IFERROR(__xludf.DUMMYFUNCTION("""COMPUTED_VALUE"""),111150.0)</f>
        <v>111150</v>
      </c>
      <c r="B4965" s="2">
        <f>IFERROR(__xludf.DUMMYFUNCTION("""COMPUTED_VALUE"""),1.0)</f>
        <v>1</v>
      </c>
      <c r="C4965" s="2">
        <f>IFERROR(__xludf.DUMMYFUNCTION("""COMPUTED_VALUE"""),621.0)</f>
        <v>621</v>
      </c>
      <c r="D4965" s="3">
        <f>IFERROR(__xludf.DUMMYFUNCTION("""COMPUTED_VALUE"""),113.0)</f>
        <v>113</v>
      </c>
      <c r="E4965" s="2"/>
      <c r="F4965" s="2"/>
    </row>
    <row r="4966">
      <c r="A4966" s="2">
        <f>IFERROR(__xludf.DUMMYFUNCTION("""COMPUTED_VALUE"""),101782.0)</f>
        <v>101782</v>
      </c>
      <c r="B4966" s="2">
        <f>IFERROR(__xludf.DUMMYFUNCTION("""COMPUTED_VALUE"""),1.0)</f>
        <v>1</v>
      </c>
      <c r="C4966" s="2">
        <f>IFERROR(__xludf.DUMMYFUNCTION("""COMPUTED_VALUE"""),576.0)</f>
        <v>576</v>
      </c>
      <c r="D4966" s="3">
        <f>IFERROR(__xludf.DUMMYFUNCTION("""COMPUTED_VALUE"""),260.0)</f>
        <v>260</v>
      </c>
      <c r="E4966" s="2"/>
      <c r="F4966" s="2"/>
    </row>
    <row r="4967">
      <c r="A4967" s="2">
        <f>IFERROR(__xludf.DUMMYFUNCTION("""COMPUTED_VALUE"""),128402.0)</f>
        <v>128402</v>
      </c>
      <c r="B4967" s="2">
        <f>IFERROR(__xludf.DUMMYFUNCTION("""COMPUTED_VALUE"""),1.0)</f>
        <v>1</v>
      </c>
      <c r="C4967" s="2">
        <f>IFERROR(__xludf.DUMMYFUNCTION("""COMPUTED_VALUE"""),787.0)</f>
        <v>787</v>
      </c>
      <c r="D4967" s="3">
        <f>IFERROR(__xludf.DUMMYFUNCTION("""COMPUTED_VALUE"""),655.0)</f>
        <v>655</v>
      </c>
      <c r="E4967" s="2"/>
      <c r="F4967" s="2"/>
    </row>
    <row r="4968">
      <c r="A4968" s="2">
        <f>IFERROR(__xludf.DUMMYFUNCTION("""COMPUTED_VALUE"""),112322.0)</f>
        <v>112322</v>
      </c>
      <c r="B4968" s="2">
        <f>IFERROR(__xludf.DUMMYFUNCTION("""COMPUTED_VALUE"""),1.0)</f>
        <v>1</v>
      </c>
      <c r="C4968" s="2">
        <f>IFERROR(__xludf.DUMMYFUNCTION("""COMPUTED_VALUE"""),954.0)</f>
        <v>954</v>
      </c>
      <c r="D4968" s="3">
        <f>IFERROR(__xludf.DUMMYFUNCTION("""COMPUTED_VALUE"""),161.0)</f>
        <v>161</v>
      </c>
      <c r="E4968" s="2"/>
      <c r="F4968" s="2"/>
    </row>
    <row r="4969">
      <c r="A4969" s="2">
        <f>IFERROR(__xludf.DUMMYFUNCTION("""COMPUTED_VALUE"""),41994.0)</f>
        <v>41994</v>
      </c>
      <c r="B4969" s="2">
        <f>IFERROR(__xludf.DUMMYFUNCTION("""COMPUTED_VALUE"""),1.0)</f>
        <v>1</v>
      </c>
      <c r="C4969" s="2">
        <f>IFERROR(__xludf.DUMMYFUNCTION("""COMPUTED_VALUE"""),372.0)</f>
        <v>372</v>
      </c>
      <c r="D4969" s="3">
        <f>IFERROR(__xludf.DUMMYFUNCTION("""COMPUTED_VALUE"""),258.0)</f>
        <v>258</v>
      </c>
      <c r="E4969" s="2"/>
      <c r="F4969" s="2"/>
    </row>
    <row r="4970">
      <c r="A4970" s="2">
        <f>IFERROR(__xludf.DUMMYFUNCTION("""COMPUTED_VALUE"""),112319.0)</f>
        <v>112319</v>
      </c>
      <c r="B4970" s="2">
        <f>IFERROR(__xludf.DUMMYFUNCTION("""COMPUTED_VALUE"""),0.0)</f>
        <v>0</v>
      </c>
      <c r="C4970" s="2">
        <f>IFERROR(__xludf.DUMMYFUNCTION("""COMPUTED_VALUE"""),555.0)</f>
        <v>555</v>
      </c>
      <c r="D4970" s="3">
        <f>IFERROR(__xludf.DUMMYFUNCTION("""COMPUTED_VALUE"""),12.0)</f>
        <v>12</v>
      </c>
      <c r="E4970" s="2"/>
      <c r="F4970" s="2"/>
    </row>
    <row r="4971">
      <c r="A4971" s="2">
        <f>IFERROR(__xludf.DUMMYFUNCTION("""COMPUTED_VALUE"""),42002.0)</f>
        <v>42002</v>
      </c>
      <c r="B4971" s="2">
        <f>IFERROR(__xludf.DUMMYFUNCTION("""COMPUTED_VALUE"""),1.0)</f>
        <v>1</v>
      </c>
      <c r="C4971" s="2">
        <f>IFERROR(__xludf.DUMMYFUNCTION("""COMPUTED_VALUE"""),395.0)</f>
        <v>395</v>
      </c>
      <c r="D4971" s="3">
        <f>IFERROR(__xludf.DUMMYFUNCTION("""COMPUTED_VALUE"""),157.0)</f>
        <v>157</v>
      </c>
      <c r="E4971" s="2"/>
      <c r="F4971" s="2"/>
    </row>
    <row r="4972">
      <c r="A4972" s="2">
        <f>IFERROR(__xludf.DUMMYFUNCTION("""COMPUTED_VALUE"""),120263.0)</f>
        <v>120263</v>
      </c>
      <c r="B4972" s="2">
        <f>IFERROR(__xludf.DUMMYFUNCTION("""COMPUTED_VALUE"""),1.0)</f>
        <v>1</v>
      </c>
      <c r="C4972" s="2">
        <f>IFERROR(__xludf.DUMMYFUNCTION("""COMPUTED_VALUE"""),417.0)</f>
        <v>417</v>
      </c>
      <c r="D4972" s="3">
        <f>IFERROR(__xludf.DUMMYFUNCTION("""COMPUTED_VALUE"""),379.0)</f>
        <v>379</v>
      </c>
      <c r="E4972" s="2"/>
      <c r="F4972" s="2"/>
    </row>
    <row r="4973">
      <c r="A4973" s="2">
        <f>IFERROR(__xludf.DUMMYFUNCTION("""COMPUTED_VALUE"""),112855.0)</f>
        <v>112855</v>
      </c>
      <c r="B4973" s="2">
        <f>IFERROR(__xludf.DUMMYFUNCTION("""COMPUTED_VALUE"""),1.0)</f>
        <v>1</v>
      </c>
      <c r="C4973" s="2">
        <f>IFERROR(__xludf.DUMMYFUNCTION("""COMPUTED_VALUE"""),631.0)</f>
        <v>631</v>
      </c>
      <c r="D4973" s="3">
        <f>IFERROR(__xludf.DUMMYFUNCTION("""COMPUTED_VALUE"""),273.0)</f>
        <v>273</v>
      </c>
      <c r="E4973" s="2"/>
      <c r="F4973" s="2"/>
    </row>
    <row r="4974">
      <c r="A4974" s="2">
        <f>IFERROR(__xludf.DUMMYFUNCTION("""COMPUTED_VALUE"""),111151.0)</f>
        <v>111151</v>
      </c>
      <c r="B4974" s="2">
        <f>IFERROR(__xludf.DUMMYFUNCTION("""COMPUTED_VALUE"""),0.0)</f>
        <v>0</v>
      </c>
      <c r="C4974" s="2">
        <f>IFERROR(__xludf.DUMMYFUNCTION("""COMPUTED_VALUE"""),390.0)</f>
        <v>390</v>
      </c>
      <c r="D4974" s="3">
        <f>IFERROR(__xludf.DUMMYFUNCTION("""COMPUTED_VALUE"""),64.0)</f>
        <v>64</v>
      </c>
      <c r="E4974" s="2"/>
      <c r="F4974" s="2"/>
    </row>
    <row r="4975">
      <c r="A4975" s="2">
        <f>IFERROR(__xludf.DUMMYFUNCTION("""COMPUTED_VALUE"""),111152.0)</f>
        <v>111152</v>
      </c>
      <c r="B4975" s="2">
        <f>IFERROR(__xludf.DUMMYFUNCTION("""COMPUTED_VALUE"""),1.0)</f>
        <v>1</v>
      </c>
      <c r="C4975" s="2">
        <f>IFERROR(__xludf.DUMMYFUNCTION("""COMPUTED_VALUE"""),292.0)</f>
        <v>292</v>
      </c>
      <c r="D4975" s="3">
        <f>IFERROR(__xludf.DUMMYFUNCTION("""COMPUTED_VALUE"""),14.0)</f>
        <v>14</v>
      </c>
      <c r="E4975" s="2"/>
      <c r="F4975" s="2"/>
    </row>
    <row r="4976">
      <c r="A4976" s="2">
        <f>IFERROR(__xludf.DUMMYFUNCTION("""COMPUTED_VALUE"""),122224.0)</f>
        <v>122224</v>
      </c>
      <c r="B4976" s="2">
        <f>IFERROR(__xludf.DUMMYFUNCTION("""COMPUTED_VALUE"""),1.0)</f>
        <v>1</v>
      </c>
      <c r="C4976" s="2">
        <f>IFERROR(__xludf.DUMMYFUNCTION("""COMPUTED_VALUE"""),437.0)</f>
        <v>437</v>
      </c>
      <c r="D4976" s="3">
        <f>IFERROR(__xludf.DUMMYFUNCTION("""COMPUTED_VALUE"""),238.0)</f>
        <v>238</v>
      </c>
      <c r="E4976" s="2"/>
      <c r="F4976" s="2"/>
    </row>
    <row r="4977">
      <c r="A4977" s="2">
        <f>IFERROR(__xludf.DUMMYFUNCTION("""COMPUTED_VALUE"""),124709.0)</f>
        <v>124709</v>
      </c>
      <c r="B4977" s="2">
        <f>IFERROR(__xludf.DUMMYFUNCTION("""COMPUTED_VALUE"""),1.0)</f>
        <v>1</v>
      </c>
      <c r="C4977" s="2">
        <f>IFERROR(__xludf.DUMMYFUNCTION("""COMPUTED_VALUE"""),99.0)</f>
        <v>99</v>
      </c>
      <c r="D4977" s="3">
        <f>IFERROR(__xludf.DUMMYFUNCTION("""COMPUTED_VALUE"""),69.0)</f>
        <v>69</v>
      </c>
      <c r="E4977" s="2"/>
      <c r="F4977" s="2"/>
    </row>
    <row r="4978">
      <c r="A4978" s="2">
        <f>IFERROR(__xludf.DUMMYFUNCTION("""COMPUTED_VALUE"""),99039.0)</f>
        <v>99039</v>
      </c>
      <c r="B4978" s="2">
        <f>IFERROR(__xludf.DUMMYFUNCTION("""COMPUTED_VALUE"""),1.0)</f>
        <v>1</v>
      </c>
      <c r="C4978" s="2">
        <f>IFERROR(__xludf.DUMMYFUNCTION("""COMPUTED_VALUE"""),148.0)</f>
        <v>148</v>
      </c>
      <c r="D4978" s="3">
        <f>IFERROR(__xludf.DUMMYFUNCTION("""COMPUTED_VALUE"""),101.0)</f>
        <v>101</v>
      </c>
      <c r="E4978" s="2"/>
      <c r="F4978" s="2"/>
    </row>
    <row r="4979">
      <c r="A4979" s="2">
        <f>IFERROR(__xludf.DUMMYFUNCTION("""COMPUTED_VALUE"""),82928.0)</f>
        <v>82928</v>
      </c>
      <c r="B4979" s="2">
        <f>IFERROR(__xludf.DUMMYFUNCTION("""COMPUTED_VALUE"""),0.0)</f>
        <v>0</v>
      </c>
      <c r="C4979" s="2">
        <f>IFERROR(__xludf.DUMMYFUNCTION("""COMPUTED_VALUE"""),143.0)</f>
        <v>143</v>
      </c>
      <c r="D4979" s="3">
        <f>IFERROR(__xludf.DUMMYFUNCTION("""COMPUTED_VALUE"""),69.0)</f>
        <v>69</v>
      </c>
      <c r="E4979" s="2"/>
      <c r="F4979" s="2"/>
    </row>
    <row r="4980">
      <c r="A4980" s="2">
        <f>IFERROR(__xludf.DUMMYFUNCTION("""COMPUTED_VALUE"""),111149.0)</f>
        <v>111149</v>
      </c>
      <c r="B4980" s="2">
        <f>IFERROR(__xludf.DUMMYFUNCTION("""COMPUTED_VALUE"""),1.0)</f>
        <v>1</v>
      </c>
      <c r="C4980" s="2">
        <f>IFERROR(__xludf.DUMMYFUNCTION("""COMPUTED_VALUE"""),631.0)</f>
        <v>631</v>
      </c>
      <c r="D4980" s="3">
        <f>IFERROR(__xludf.DUMMYFUNCTION("""COMPUTED_VALUE"""),631.0)</f>
        <v>631</v>
      </c>
      <c r="E4980" s="2"/>
      <c r="F4980" s="2"/>
    </row>
    <row r="4981">
      <c r="A4981" s="2">
        <f>IFERROR(__xludf.DUMMYFUNCTION("""COMPUTED_VALUE"""),82927.0)</f>
        <v>82927</v>
      </c>
      <c r="B4981" s="2">
        <f>IFERROR(__xludf.DUMMYFUNCTION("""COMPUTED_VALUE"""),0.0)</f>
        <v>0</v>
      </c>
      <c r="C4981" s="2">
        <f>IFERROR(__xludf.DUMMYFUNCTION("""COMPUTED_VALUE"""),505.0)</f>
        <v>505</v>
      </c>
      <c r="D4981" s="3">
        <f>IFERROR(__xludf.DUMMYFUNCTION("""COMPUTED_VALUE"""),140.0)</f>
        <v>140</v>
      </c>
      <c r="E4981" s="2"/>
      <c r="F4981" s="2"/>
    </row>
    <row r="4982">
      <c r="A4982" s="2">
        <f>IFERROR(__xludf.DUMMYFUNCTION("""COMPUTED_VALUE"""),112317.0)</f>
        <v>112317</v>
      </c>
      <c r="B4982" s="2">
        <f>IFERROR(__xludf.DUMMYFUNCTION("""COMPUTED_VALUE"""),0.0)</f>
        <v>0</v>
      </c>
      <c r="C4982" s="2">
        <f>IFERROR(__xludf.DUMMYFUNCTION("""COMPUTED_VALUE"""),310.0)</f>
        <v>310</v>
      </c>
      <c r="D4982" s="3">
        <f>IFERROR(__xludf.DUMMYFUNCTION("""COMPUTED_VALUE"""),284.0)</f>
        <v>284</v>
      </c>
      <c r="E4982" s="2"/>
      <c r="F4982" s="2"/>
    </row>
    <row r="4983">
      <c r="A4983" s="2">
        <f>IFERROR(__xludf.DUMMYFUNCTION("""COMPUTED_VALUE"""),140597.0)</f>
        <v>140597</v>
      </c>
      <c r="B4983" s="2">
        <f>IFERROR(__xludf.DUMMYFUNCTION("""COMPUTED_VALUE"""),0.0)</f>
        <v>0</v>
      </c>
      <c r="C4983" s="2">
        <f>IFERROR(__xludf.DUMMYFUNCTION("""COMPUTED_VALUE"""),594.0)</f>
        <v>594</v>
      </c>
      <c r="D4983" s="3">
        <f>IFERROR(__xludf.DUMMYFUNCTION("""COMPUTED_VALUE"""),310.0)</f>
        <v>310</v>
      </c>
      <c r="E4983" s="2"/>
      <c r="F4983" s="2"/>
    </row>
    <row r="4984">
      <c r="A4984" s="2">
        <f>IFERROR(__xludf.DUMMYFUNCTION("""COMPUTED_VALUE"""),122229.0)</f>
        <v>122229</v>
      </c>
      <c r="B4984" s="2">
        <f>IFERROR(__xludf.DUMMYFUNCTION("""COMPUTED_VALUE"""),0.0)</f>
        <v>0</v>
      </c>
      <c r="C4984" s="2">
        <f>IFERROR(__xludf.DUMMYFUNCTION("""COMPUTED_VALUE"""),590.0)</f>
        <v>590</v>
      </c>
      <c r="D4984" s="3">
        <f>IFERROR(__xludf.DUMMYFUNCTION("""COMPUTED_VALUE"""),135.0)</f>
        <v>135</v>
      </c>
      <c r="E4984" s="2"/>
      <c r="F4984" s="2"/>
    </row>
    <row r="4985">
      <c r="A4985" s="2">
        <f>IFERROR(__xludf.DUMMYFUNCTION("""COMPUTED_VALUE"""),112473.0)</f>
        <v>112473</v>
      </c>
      <c r="B4985" s="2">
        <f>IFERROR(__xludf.DUMMYFUNCTION("""COMPUTED_VALUE"""),0.0)</f>
        <v>0</v>
      </c>
      <c r="C4985" s="2">
        <f>IFERROR(__xludf.DUMMYFUNCTION("""COMPUTED_VALUE"""),303.0)</f>
        <v>303</v>
      </c>
      <c r="D4985" s="3">
        <f>IFERROR(__xludf.DUMMYFUNCTION("""COMPUTED_VALUE"""),219.0)</f>
        <v>219</v>
      </c>
      <c r="E4985" s="2"/>
      <c r="F4985" s="2"/>
    </row>
    <row r="4986">
      <c r="A4986" s="2">
        <f>IFERROR(__xludf.DUMMYFUNCTION("""COMPUTED_VALUE"""),122226.0)</f>
        <v>122226</v>
      </c>
      <c r="B4986" s="2">
        <f>IFERROR(__xludf.DUMMYFUNCTION("""COMPUTED_VALUE"""),0.0)</f>
        <v>0</v>
      </c>
      <c r="C4986" s="2">
        <f>IFERROR(__xludf.DUMMYFUNCTION("""COMPUTED_VALUE"""),411.0)</f>
        <v>411</v>
      </c>
      <c r="D4986" s="3">
        <f>IFERROR(__xludf.DUMMYFUNCTION("""COMPUTED_VALUE"""),38.0)</f>
        <v>38</v>
      </c>
      <c r="E4986" s="2"/>
      <c r="F4986" s="2"/>
    </row>
    <row r="4987">
      <c r="A4987" s="2">
        <f>IFERROR(__xludf.DUMMYFUNCTION("""COMPUTED_VALUE"""),4385.0)</f>
        <v>4385</v>
      </c>
      <c r="B4987" s="2">
        <f>IFERROR(__xludf.DUMMYFUNCTION("""COMPUTED_VALUE"""),1.0)</f>
        <v>1</v>
      </c>
      <c r="C4987" s="2">
        <f>IFERROR(__xludf.DUMMYFUNCTION("""COMPUTED_VALUE"""),520.0)</f>
        <v>520</v>
      </c>
      <c r="D4987" s="3">
        <f>IFERROR(__xludf.DUMMYFUNCTION("""COMPUTED_VALUE"""),283.0)</f>
        <v>283</v>
      </c>
      <c r="E4987" s="2"/>
      <c r="F4987" s="2"/>
    </row>
    <row r="4988">
      <c r="A4988" s="2">
        <f>IFERROR(__xludf.DUMMYFUNCTION("""COMPUTED_VALUE"""),41029.0)</f>
        <v>41029</v>
      </c>
      <c r="B4988" s="2">
        <f>IFERROR(__xludf.DUMMYFUNCTION("""COMPUTED_VALUE"""),0.0)</f>
        <v>0</v>
      </c>
      <c r="C4988" s="2">
        <f>IFERROR(__xludf.DUMMYFUNCTION("""COMPUTED_VALUE"""),114.0)</f>
        <v>114</v>
      </c>
      <c r="D4988" s="3">
        <f>IFERROR(__xludf.DUMMYFUNCTION("""COMPUTED_VALUE"""),105.0)</f>
        <v>105</v>
      </c>
      <c r="E4988" s="2"/>
      <c r="F4988" s="2"/>
    </row>
    <row r="4989">
      <c r="A4989" s="2">
        <f>IFERROR(__xludf.DUMMYFUNCTION("""COMPUTED_VALUE"""),4386.0)</f>
        <v>4386</v>
      </c>
      <c r="B4989" s="2">
        <f>IFERROR(__xludf.DUMMYFUNCTION("""COMPUTED_VALUE"""),0.0)</f>
        <v>0</v>
      </c>
      <c r="C4989" s="2">
        <f>IFERROR(__xludf.DUMMYFUNCTION("""COMPUTED_VALUE"""),996.0)</f>
        <v>996</v>
      </c>
      <c r="D4989" s="3">
        <f>IFERROR(__xludf.DUMMYFUNCTION("""COMPUTED_VALUE"""),374.0)</f>
        <v>374</v>
      </c>
      <c r="E4989" s="2"/>
      <c r="F4989" s="2"/>
    </row>
    <row r="4990">
      <c r="A4990" s="2">
        <f>IFERROR(__xludf.DUMMYFUNCTION("""COMPUTED_VALUE"""),41030.0)</f>
        <v>41030</v>
      </c>
      <c r="B4990" s="2">
        <f>IFERROR(__xludf.DUMMYFUNCTION("""COMPUTED_VALUE"""),1.0)</f>
        <v>1</v>
      </c>
      <c r="C4990" s="2">
        <f>IFERROR(__xludf.DUMMYFUNCTION("""COMPUTED_VALUE"""),334.0)</f>
        <v>334</v>
      </c>
      <c r="D4990" s="3">
        <f>IFERROR(__xludf.DUMMYFUNCTION("""COMPUTED_VALUE"""),226.0)</f>
        <v>226</v>
      </c>
      <c r="E4990" s="2"/>
      <c r="F4990" s="2"/>
    </row>
    <row r="4991">
      <c r="A4991" s="2">
        <f>IFERROR(__xludf.DUMMYFUNCTION("""COMPUTED_VALUE"""),84950.0)</f>
        <v>84950</v>
      </c>
      <c r="B4991" s="2">
        <f>IFERROR(__xludf.DUMMYFUNCTION("""COMPUTED_VALUE"""),1.0)</f>
        <v>1</v>
      </c>
      <c r="C4991" s="2">
        <f>IFERROR(__xludf.DUMMYFUNCTION("""COMPUTED_VALUE"""),297.0)</f>
        <v>297</v>
      </c>
      <c r="D4991" s="3">
        <f>IFERROR(__xludf.DUMMYFUNCTION("""COMPUTED_VALUE"""),213.0)</f>
        <v>213</v>
      </c>
      <c r="E4991" s="2"/>
      <c r="F4991" s="2"/>
    </row>
    <row r="4992">
      <c r="A4992" s="2">
        <f>IFERROR(__xludf.DUMMYFUNCTION("""COMPUTED_VALUE"""),45255.0)</f>
        <v>45255</v>
      </c>
      <c r="B4992" s="2">
        <f>IFERROR(__xludf.DUMMYFUNCTION("""COMPUTED_VALUE"""),1.0)</f>
        <v>1</v>
      </c>
      <c r="C4992" s="2">
        <f>IFERROR(__xludf.DUMMYFUNCTION("""COMPUTED_VALUE"""),299.0)</f>
        <v>299</v>
      </c>
      <c r="D4992" s="3">
        <f>IFERROR(__xludf.DUMMYFUNCTION("""COMPUTED_VALUE"""),165.0)</f>
        <v>165</v>
      </c>
      <c r="E4992" s="2"/>
      <c r="F4992" s="2"/>
    </row>
    <row r="4993">
      <c r="A4993" s="2">
        <f>IFERROR(__xludf.DUMMYFUNCTION("""COMPUTED_VALUE"""),108070.0)</f>
        <v>108070</v>
      </c>
      <c r="B4993" s="2">
        <f>IFERROR(__xludf.DUMMYFUNCTION("""COMPUTED_VALUE"""),0.0)</f>
        <v>0</v>
      </c>
      <c r="C4993" s="2">
        <f>IFERROR(__xludf.DUMMYFUNCTION("""COMPUTED_VALUE"""),884.0)</f>
        <v>884</v>
      </c>
      <c r="D4993" s="3">
        <f>IFERROR(__xludf.DUMMYFUNCTION("""COMPUTED_VALUE"""),336.0)</f>
        <v>336</v>
      </c>
      <c r="E4993" s="2"/>
      <c r="F4993" s="2"/>
    </row>
    <row r="4994">
      <c r="A4994" s="2">
        <f>IFERROR(__xludf.DUMMYFUNCTION("""COMPUTED_VALUE"""),108069.0)</f>
        <v>108069</v>
      </c>
      <c r="B4994" s="2">
        <f>IFERROR(__xludf.DUMMYFUNCTION("""COMPUTED_VALUE"""),0.0)</f>
        <v>0</v>
      </c>
      <c r="C4994" s="2">
        <f>IFERROR(__xludf.DUMMYFUNCTION("""COMPUTED_VALUE"""),915.0)</f>
        <v>915</v>
      </c>
      <c r="D4994" s="3">
        <f>IFERROR(__xludf.DUMMYFUNCTION("""COMPUTED_VALUE"""),59.0)</f>
        <v>59</v>
      </c>
      <c r="E4994" s="2"/>
      <c r="F4994" s="2"/>
    </row>
    <row r="4995">
      <c r="A4995" s="2">
        <f>IFERROR(__xludf.DUMMYFUNCTION("""COMPUTED_VALUE"""),9668.0)</f>
        <v>9668</v>
      </c>
      <c r="B4995" s="2">
        <f>IFERROR(__xludf.DUMMYFUNCTION("""COMPUTED_VALUE"""),0.0)</f>
        <v>0</v>
      </c>
      <c r="C4995" s="2">
        <f>IFERROR(__xludf.DUMMYFUNCTION("""COMPUTED_VALUE"""),467.0)</f>
        <v>467</v>
      </c>
      <c r="D4995" s="3">
        <f>IFERROR(__xludf.DUMMYFUNCTION("""COMPUTED_VALUE"""),459.0)</f>
        <v>459</v>
      </c>
      <c r="E4995" s="2"/>
      <c r="F4995" s="2"/>
    </row>
    <row r="4996">
      <c r="A4996" s="2">
        <f>IFERROR(__xludf.DUMMYFUNCTION("""COMPUTED_VALUE"""),26322.0)</f>
        <v>26322</v>
      </c>
      <c r="B4996" s="2">
        <f>IFERROR(__xludf.DUMMYFUNCTION("""COMPUTED_VALUE"""),0.0)</f>
        <v>0</v>
      </c>
      <c r="C4996" s="2">
        <f>IFERROR(__xludf.DUMMYFUNCTION("""COMPUTED_VALUE"""),408.0)</f>
        <v>408</v>
      </c>
      <c r="D4996" s="3">
        <f>IFERROR(__xludf.DUMMYFUNCTION("""COMPUTED_VALUE"""),403.0)</f>
        <v>403</v>
      </c>
      <c r="E4996" s="2"/>
      <c r="F4996" s="2"/>
    </row>
    <row r="4997">
      <c r="A4997" s="2">
        <f>IFERROR(__xludf.DUMMYFUNCTION("""COMPUTED_VALUE"""),70413.0)</f>
        <v>70413</v>
      </c>
      <c r="B4997" s="2">
        <f>IFERROR(__xludf.DUMMYFUNCTION("""COMPUTED_VALUE"""),0.0)</f>
        <v>0</v>
      </c>
      <c r="C4997" s="2">
        <f>IFERROR(__xludf.DUMMYFUNCTION("""COMPUTED_VALUE"""),199.0)</f>
        <v>199</v>
      </c>
      <c r="D4997" s="3">
        <f>IFERROR(__xludf.DUMMYFUNCTION("""COMPUTED_VALUE"""),45.0)</f>
        <v>45</v>
      </c>
      <c r="E4997" s="2"/>
      <c r="F4997" s="2"/>
    </row>
    <row r="4998">
      <c r="A4998" s="2">
        <f>IFERROR(__xludf.DUMMYFUNCTION("""COMPUTED_VALUE"""),4389.0)</f>
        <v>4389</v>
      </c>
      <c r="B4998" s="2">
        <f>IFERROR(__xludf.DUMMYFUNCTION("""COMPUTED_VALUE"""),1.0)</f>
        <v>1</v>
      </c>
      <c r="C4998" s="2">
        <f>IFERROR(__xludf.DUMMYFUNCTION("""COMPUTED_VALUE"""),193.0)</f>
        <v>193</v>
      </c>
      <c r="D4998" s="3">
        <f>IFERROR(__xludf.DUMMYFUNCTION("""COMPUTED_VALUE"""),175.0)</f>
        <v>175</v>
      </c>
      <c r="E4998" s="2"/>
      <c r="F4998" s="2"/>
    </row>
    <row r="4999">
      <c r="A4999" s="2">
        <f>IFERROR(__xludf.DUMMYFUNCTION("""COMPUTED_VALUE"""),128340.0)</f>
        <v>128340</v>
      </c>
      <c r="B4999" s="2">
        <f>IFERROR(__xludf.DUMMYFUNCTION("""COMPUTED_VALUE"""),0.0)</f>
        <v>0</v>
      </c>
      <c r="C4999" s="2">
        <f>IFERROR(__xludf.DUMMYFUNCTION("""COMPUTED_VALUE"""),61.0)</f>
        <v>61</v>
      </c>
      <c r="D4999" s="3">
        <f>IFERROR(__xludf.DUMMYFUNCTION("""COMPUTED_VALUE"""),1.0)</f>
        <v>1</v>
      </c>
      <c r="E4999" s="2"/>
      <c r="F4999" s="2"/>
    </row>
    <row r="5000">
      <c r="A5000" s="2">
        <f>IFERROR(__xludf.DUMMYFUNCTION("""COMPUTED_VALUE"""),108071.0)</f>
        <v>108071</v>
      </c>
      <c r="B5000" s="2">
        <f>IFERROR(__xludf.DUMMYFUNCTION("""COMPUTED_VALUE"""),1.0)</f>
        <v>1</v>
      </c>
      <c r="C5000" s="2">
        <f>IFERROR(__xludf.DUMMYFUNCTION("""COMPUTED_VALUE"""),914.0)</f>
        <v>914</v>
      </c>
      <c r="D5000" s="3">
        <f>IFERROR(__xludf.DUMMYFUNCTION("""COMPUTED_VALUE"""),729.0)</f>
        <v>729</v>
      </c>
      <c r="E5000" s="2"/>
      <c r="F5000" s="2"/>
    </row>
    <row r="5001">
      <c r="A5001" s="2">
        <f>IFERROR(__xludf.DUMMYFUNCTION("""COMPUTED_VALUE"""),108068.0)</f>
        <v>108068</v>
      </c>
      <c r="B5001" s="2">
        <f>IFERROR(__xludf.DUMMYFUNCTION("""COMPUTED_VALUE"""),1.0)</f>
        <v>1</v>
      </c>
      <c r="C5001" s="2">
        <f>IFERROR(__xludf.DUMMYFUNCTION("""COMPUTED_VALUE"""),376.0)</f>
        <v>376</v>
      </c>
      <c r="D5001" s="3">
        <f>IFERROR(__xludf.DUMMYFUNCTION("""COMPUTED_VALUE"""),222.0)</f>
        <v>222</v>
      </c>
      <c r="E5001" s="2"/>
      <c r="F5001" s="2"/>
    </row>
    <row r="5002">
      <c r="A5002" s="2">
        <f>IFERROR(__xludf.DUMMYFUNCTION("""COMPUTED_VALUE"""),9662.0)</f>
        <v>9662</v>
      </c>
      <c r="B5002" s="2">
        <f>IFERROR(__xludf.DUMMYFUNCTION("""COMPUTED_VALUE"""),1.0)</f>
        <v>1</v>
      </c>
      <c r="C5002" s="2">
        <f>IFERROR(__xludf.DUMMYFUNCTION("""COMPUTED_VALUE"""),541.0)</f>
        <v>541</v>
      </c>
      <c r="D5002" s="3">
        <f>IFERROR(__xludf.DUMMYFUNCTION("""COMPUTED_VALUE"""),491.0)</f>
        <v>491</v>
      </c>
      <c r="E5002" s="2"/>
      <c r="F5002" s="2"/>
    </row>
    <row r="5003">
      <c r="A5003" s="2">
        <f>IFERROR(__xludf.DUMMYFUNCTION("""COMPUTED_VALUE"""),117611.0)</f>
        <v>117611</v>
      </c>
      <c r="B5003" s="2">
        <f>IFERROR(__xludf.DUMMYFUNCTION("""COMPUTED_VALUE"""),1.0)</f>
        <v>1</v>
      </c>
      <c r="C5003" s="2">
        <f>IFERROR(__xludf.DUMMYFUNCTION("""COMPUTED_VALUE"""),886.0)</f>
        <v>886</v>
      </c>
      <c r="D5003" s="3">
        <f>IFERROR(__xludf.DUMMYFUNCTION("""COMPUTED_VALUE"""),453.0)</f>
        <v>453</v>
      </c>
      <c r="E5003" s="2"/>
      <c r="F5003" s="2"/>
    </row>
    <row r="5004">
      <c r="A5004" s="2">
        <f>IFERROR(__xludf.DUMMYFUNCTION("""COMPUTED_VALUE"""),111148.0)</f>
        <v>111148</v>
      </c>
      <c r="B5004" s="2">
        <f>IFERROR(__xludf.DUMMYFUNCTION("""COMPUTED_VALUE"""),0.0)</f>
        <v>0</v>
      </c>
      <c r="C5004" s="2">
        <f>IFERROR(__xludf.DUMMYFUNCTION("""COMPUTED_VALUE"""),185.0)</f>
        <v>185</v>
      </c>
      <c r="D5004" s="3">
        <f>IFERROR(__xludf.DUMMYFUNCTION("""COMPUTED_VALUE"""),38.0)</f>
        <v>38</v>
      </c>
      <c r="E5004" s="2"/>
      <c r="F5004" s="2"/>
    </row>
    <row r="5005">
      <c r="A5005" s="2">
        <f>IFERROR(__xludf.DUMMYFUNCTION("""COMPUTED_VALUE"""),9680.0)</f>
        <v>9680</v>
      </c>
      <c r="B5005" s="2">
        <f>IFERROR(__xludf.DUMMYFUNCTION("""COMPUTED_VALUE"""),0.0)</f>
        <v>0</v>
      </c>
      <c r="C5005" s="2">
        <f>IFERROR(__xludf.DUMMYFUNCTION("""COMPUTED_VALUE"""),704.0)</f>
        <v>704</v>
      </c>
      <c r="D5005" s="3">
        <f>IFERROR(__xludf.DUMMYFUNCTION("""COMPUTED_VALUE"""),525.0)</f>
        <v>525</v>
      </c>
      <c r="E5005" s="2"/>
      <c r="F5005" s="2"/>
    </row>
    <row r="5006">
      <c r="A5006" s="2">
        <f>IFERROR(__xludf.DUMMYFUNCTION("""COMPUTED_VALUE"""),117605.0)</f>
        <v>117605</v>
      </c>
      <c r="B5006" s="2">
        <f>IFERROR(__xludf.DUMMYFUNCTION("""COMPUTED_VALUE"""),1.0)</f>
        <v>1</v>
      </c>
      <c r="C5006" s="2">
        <f>IFERROR(__xludf.DUMMYFUNCTION("""COMPUTED_VALUE"""),376.0)</f>
        <v>376</v>
      </c>
      <c r="D5006" s="3">
        <f>IFERROR(__xludf.DUMMYFUNCTION("""COMPUTED_VALUE"""),291.0)</f>
        <v>291</v>
      </c>
      <c r="E5006" s="2"/>
      <c r="F5006" s="2"/>
    </row>
    <row r="5007">
      <c r="A5007" s="2">
        <f>IFERROR(__xludf.DUMMYFUNCTION("""COMPUTED_VALUE"""),108077.0)</f>
        <v>108077</v>
      </c>
      <c r="B5007" s="2">
        <f>IFERROR(__xludf.DUMMYFUNCTION("""COMPUTED_VALUE"""),1.0)</f>
        <v>1</v>
      </c>
      <c r="C5007" s="2">
        <f>IFERROR(__xludf.DUMMYFUNCTION("""COMPUTED_VALUE"""),695.0)</f>
        <v>695</v>
      </c>
      <c r="D5007" s="3">
        <f>IFERROR(__xludf.DUMMYFUNCTION("""COMPUTED_VALUE"""),261.0)</f>
        <v>261</v>
      </c>
      <c r="E5007" s="2"/>
      <c r="F5007" s="2"/>
    </row>
    <row r="5008">
      <c r="A5008" s="2">
        <f>IFERROR(__xludf.DUMMYFUNCTION("""COMPUTED_VALUE"""),9681.0)</f>
        <v>9681</v>
      </c>
      <c r="B5008" s="2">
        <f>IFERROR(__xludf.DUMMYFUNCTION("""COMPUTED_VALUE"""),1.0)</f>
        <v>1</v>
      </c>
      <c r="C5008" s="2">
        <f>IFERROR(__xludf.DUMMYFUNCTION("""COMPUTED_VALUE"""),408.0)</f>
        <v>408</v>
      </c>
      <c r="D5008" s="3">
        <f>IFERROR(__xludf.DUMMYFUNCTION("""COMPUTED_VALUE"""),216.0)</f>
        <v>216</v>
      </c>
      <c r="E5008" s="2"/>
      <c r="F5008" s="2"/>
    </row>
    <row r="5009">
      <c r="A5009" s="2">
        <f>IFERROR(__xludf.DUMMYFUNCTION("""COMPUTED_VALUE"""),4388.0)</f>
        <v>4388</v>
      </c>
      <c r="B5009" s="2">
        <f>IFERROR(__xludf.DUMMYFUNCTION("""COMPUTED_VALUE"""),0.0)</f>
        <v>0</v>
      </c>
      <c r="C5009" s="2">
        <f>IFERROR(__xludf.DUMMYFUNCTION("""COMPUTED_VALUE"""),141.0)</f>
        <v>141</v>
      </c>
      <c r="D5009" s="3">
        <f>IFERROR(__xludf.DUMMYFUNCTION("""COMPUTED_VALUE"""),63.0)</f>
        <v>63</v>
      </c>
      <c r="E5009" s="2"/>
      <c r="F5009" s="2"/>
    </row>
    <row r="5010">
      <c r="A5010" s="2">
        <f>IFERROR(__xludf.DUMMYFUNCTION("""COMPUTED_VALUE"""),99036.0)</f>
        <v>99036</v>
      </c>
      <c r="B5010" s="2">
        <f>IFERROR(__xludf.DUMMYFUNCTION("""COMPUTED_VALUE"""),0.0)</f>
        <v>0</v>
      </c>
      <c r="C5010" s="2">
        <f>IFERROR(__xludf.DUMMYFUNCTION("""COMPUTED_VALUE"""),337.0)</f>
        <v>337</v>
      </c>
      <c r="D5010" s="3">
        <f>IFERROR(__xludf.DUMMYFUNCTION("""COMPUTED_VALUE"""),168.0)</f>
        <v>168</v>
      </c>
      <c r="E5010" s="2"/>
      <c r="F5010" s="2"/>
    </row>
    <row r="5011">
      <c r="A5011" s="2">
        <f>IFERROR(__xludf.DUMMYFUNCTION("""COMPUTED_VALUE"""),109344.0)</f>
        <v>109344</v>
      </c>
      <c r="B5011" s="2">
        <f>IFERROR(__xludf.DUMMYFUNCTION("""COMPUTED_VALUE"""),0.0)</f>
        <v>0</v>
      </c>
      <c r="C5011" s="2">
        <f>IFERROR(__xludf.DUMMYFUNCTION("""COMPUTED_VALUE"""),488.0)</f>
        <v>488</v>
      </c>
      <c r="D5011" s="3">
        <f>IFERROR(__xludf.DUMMYFUNCTION("""COMPUTED_VALUE"""),340.0)</f>
        <v>340</v>
      </c>
      <c r="E5011" s="2"/>
      <c r="F5011" s="2"/>
    </row>
    <row r="5012">
      <c r="A5012" s="2">
        <f>IFERROR(__xludf.DUMMYFUNCTION("""COMPUTED_VALUE"""),9663.0)</f>
        <v>9663</v>
      </c>
      <c r="B5012" s="2">
        <f>IFERROR(__xludf.DUMMYFUNCTION("""COMPUTED_VALUE"""),0.0)</f>
        <v>0</v>
      </c>
      <c r="C5012" s="2">
        <f>IFERROR(__xludf.DUMMYFUNCTION("""COMPUTED_VALUE"""),881.0)</f>
        <v>881</v>
      </c>
      <c r="D5012" s="3">
        <f>IFERROR(__xludf.DUMMYFUNCTION("""COMPUTED_VALUE"""),251.0)</f>
        <v>251</v>
      </c>
      <c r="E5012" s="2"/>
      <c r="F5012" s="2"/>
    </row>
    <row r="5013">
      <c r="A5013" s="2">
        <f>IFERROR(__xludf.DUMMYFUNCTION("""COMPUTED_VALUE"""),119106.0)</f>
        <v>119106</v>
      </c>
      <c r="B5013" s="2">
        <f>IFERROR(__xludf.DUMMYFUNCTION("""COMPUTED_VALUE"""),0.0)</f>
        <v>0</v>
      </c>
      <c r="C5013" s="2">
        <f>IFERROR(__xludf.DUMMYFUNCTION("""COMPUTED_VALUE"""),498.0)</f>
        <v>498</v>
      </c>
      <c r="D5013" s="3">
        <f>IFERROR(__xludf.DUMMYFUNCTION("""COMPUTED_VALUE"""),459.0)</f>
        <v>459</v>
      </c>
      <c r="E5013" s="2"/>
      <c r="F5013" s="2"/>
    </row>
    <row r="5014">
      <c r="A5014" s="2">
        <f>IFERROR(__xludf.DUMMYFUNCTION("""COMPUTED_VALUE"""),9664.0)</f>
        <v>9664</v>
      </c>
      <c r="B5014" s="2">
        <f>IFERROR(__xludf.DUMMYFUNCTION("""COMPUTED_VALUE"""),1.0)</f>
        <v>1</v>
      </c>
      <c r="C5014" s="2">
        <f>IFERROR(__xludf.DUMMYFUNCTION("""COMPUTED_VALUE"""),597.0)</f>
        <v>597</v>
      </c>
      <c r="D5014" s="3">
        <f>IFERROR(__xludf.DUMMYFUNCTION("""COMPUTED_VALUE"""),361.0)</f>
        <v>361</v>
      </c>
      <c r="E5014" s="2"/>
      <c r="F5014" s="2"/>
    </row>
    <row r="5015">
      <c r="A5015" s="2">
        <f>IFERROR(__xludf.DUMMYFUNCTION("""COMPUTED_VALUE"""),108064.0)</f>
        <v>108064</v>
      </c>
      <c r="B5015" s="2">
        <f>IFERROR(__xludf.DUMMYFUNCTION("""COMPUTED_VALUE"""),1.0)</f>
        <v>1</v>
      </c>
      <c r="C5015" s="2">
        <f>IFERROR(__xludf.DUMMYFUNCTION("""COMPUTED_VALUE"""),94.0)</f>
        <v>94</v>
      </c>
      <c r="D5015" s="3">
        <f>IFERROR(__xludf.DUMMYFUNCTION("""COMPUTED_VALUE"""),12.0)</f>
        <v>12</v>
      </c>
      <c r="E5015" s="2"/>
      <c r="F5015" s="2"/>
    </row>
    <row r="5016">
      <c r="A5016" s="2">
        <f>IFERROR(__xludf.DUMMYFUNCTION("""COMPUTED_VALUE"""),70414.0)</f>
        <v>70414</v>
      </c>
      <c r="B5016" s="2">
        <f>IFERROR(__xludf.DUMMYFUNCTION("""COMPUTED_VALUE"""),1.0)</f>
        <v>1</v>
      </c>
      <c r="C5016" s="2">
        <f>IFERROR(__xludf.DUMMYFUNCTION("""COMPUTED_VALUE"""),236.0)</f>
        <v>236</v>
      </c>
      <c r="D5016" s="3">
        <f>IFERROR(__xludf.DUMMYFUNCTION("""COMPUTED_VALUE"""),24.0)</f>
        <v>24</v>
      </c>
      <c r="E5016" s="2"/>
      <c r="F5016" s="2"/>
    </row>
    <row r="5017">
      <c r="A5017" s="2">
        <f>IFERROR(__xludf.DUMMYFUNCTION("""COMPUTED_VALUE"""),9673.0)</f>
        <v>9673</v>
      </c>
      <c r="B5017" s="2">
        <f>IFERROR(__xludf.DUMMYFUNCTION("""COMPUTED_VALUE"""),0.0)</f>
        <v>0</v>
      </c>
      <c r="C5017" s="2">
        <f>IFERROR(__xludf.DUMMYFUNCTION("""COMPUTED_VALUE"""),530.0)</f>
        <v>530</v>
      </c>
      <c r="D5017" s="3">
        <f>IFERROR(__xludf.DUMMYFUNCTION("""COMPUTED_VALUE"""),303.0)</f>
        <v>303</v>
      </c>
      <c r="E5017" s="2"/>
      <c r="F5017" s="2"/>
    </row>
    <row r="5018">
      <c r="A5018" s="2">
        <f>IFERROR(__xludf.DUMMYFUNCTION("""COMPUTED_VALUE"""),117604.0)</f>
        <v>117604</v>
      </c>
      <c r="B5018" s="2">
        <f>IFERROR(__xludf.DUMMYFUNCTION("""COMPUTED_VALUE"""),0.0)</f>
        <v>0</v>
      </c>
      <c r="C5018" s="2">
        <f>IFERROR(__xludf.DUMMYFUNCTION("""COMPUTED_VALUE"""),667.0)</f>
        <v>667</v>
      </c>
      <c r="D5018" s="3">
        <f>IFERROR(__xludf.DUMMYFUNCTION("""COMPUTED_VALUE"""),275.0)</f>
        <v>275</v>
      </c>
      <c r="E5018" s="2"/>
      <c r="F5018" s="2"/>
    </row>
    <row r="5019">
      <c r="A5019" s="2">
        <f>IFERROR(__xludf.DUMMYFUNCTION("""COMPUTED_VALUE"""),45165.0)</f>
        <v>45165</v>
      </c>
      <c r="B5019" s="2">
        <f>IFERROR(__xludf.DUMMYFUNCTION("""COMPUTED_VALUE"""),1.0)</f>
        <v>1</v>
      </c>
      <c r="C5019" s="2">
        <f>IFERROR(__xludf.DUMMYFUNCTION("""COMPUTED_VALUE"""),875.0)</f>
        <v>875</v>
      </c>
      <c r="D5019" s="3">
        <f>IFERROR(__xludf.DUMMYFUNCTION("""COMPUTED_VALUE"""),757.0)</f>
        <v>757</v>
      </c>
      <c r="E5019" s="2"/>
      <c r="F5019" s="2"/>
    </row>
    <row r="5020">
      <c r="A5020" s="2">
        <f>IFERROR(__xludf.DUMMYFUNCTION("""COMPUTED_VALUE"""),128341.0)</f>
        <v>128341</v>
      </c>
      <c r="B5020" s="2">
        <f>IFERROR(__xludf.DUMMYFUNCTION("""COMPUTED_VALUE"""),1.0)</f>
        <v>1</v>
      </c>
      <c r="C5020" s="2">
        <f>IFERROR(__xludf.DUMMYFUNCTION("""COMPUTED_VALUE"""),869.0)</f>
        <v>869</v>
      </c>
      <c r="D5020" s="3">
        <f>IFERROR(__xludf.DUMMYFUNCTION("""COMPUTED_VALUE"""),539.0)</f>
        <v>539</v>
      </c>
      <c r="E5020" s="2"/>
      <c r="F5020" s="2"/>
    </row>
    <row r="5021">
      <c r="A5021" s="2">
        <f>IFERROR(__xludf.DUMMYFUNCTION("""COMPUTED_VALUE"""),101917.0)</f>
        <v>101917</v>
      </c>
      <c r="B5021" s="2">
        <f>IFERROR(__xludf.DUMMYFUNCTION("""COMPUTED_VALUE"""),0.0)</f>
        <v>0</v>
      </c>
      <c r="C5021" s="2">
        <f>IFERROR(__xludf.DUMMYFUNCTION("""COMPUTED_VALUE"""),109.0)</f>
        <v>109</v>
      </c>
      <c r="D5021" s="3">
        <f>IFERROR(__xludf.DUMMYFUNCTION("""COMPUTED_VALUE"""),11.0)</f>
        <v>11</v>
      </c>
      <c r="E5021" s="2"/>
      <c r="F5021" s="2"/>
    </row>
    <row r="5022">
      <c r="A5022" s="2">
        <f>IFERROR(__xludf.DUMMYFUNCTION("""COMPUTED_VALUE"""),79419.0)</f>
        <v>79419</v>
      </c>
      <c r="B5022" s="2">
        <f>IFERROR(__xludf.DUMMYFUNCTION("""COMPUTED_VALUE"""),0.0)</f>
        <v>0</v>
      </c>
      <c r="C5022" s="2">
        <f>IFERROR(__xludf.DUMMYFUNCTION("""COMPUTED_VALUE"""),765.0)</f>
        <v>765</v>
      </c>
      <c r="D5022" s="3">
        <f>IFERROR(__xludf.DUMMYFUNCTION("""COMPUTED_VALUE"""),477.0)</f>
        <v>477</v>
      </c>
      <c r="E5022" s="2"/>
      <c r="F5022" s="2"/>
    </row>
    <row r="5023">
      <c r="A5023" s="2">
        <f>IFERROR(__xludf.DUMMYFUNCTION("""COMPUTED_VALUE"""),9675.0)</f>
        <v>9675</v>
      </c>
      <c r="B5023" s="2">
        <f>IFERROR(__xludf.DUMMYFUNCTION("""COMPUTED_VALUE"""),1.0)</f>
        <v>1</v>
      </c>
      <c r="C5023" s="2">
        <f>IFERROR(__xludf.DUMMYFUNCTION("""COMPUTED_VALUE"""),971.0)</f>
        <v>971</v>
      </c>
      <c r="D5023" s="3">
        <f>IFERROR(__xludf.DUMMYFUNCTION("""COMPUTED_VALUE"""),361.0)</f>
        <v>361</v>
      </c>
      <c r="E5023" s="2"/>
      <c r="F5023" s="2"/>
    </row>
    <row r="5024">
      <c r="A5024" s="2">
        <f>IFERROR(__xludf.DUMMYFUNCTION("""COMPUTED_VALUE"""),9671.0)</f>
        <v>9671</v>
      </c>
      <c r="B5024" s="2">
        <f>IFERROR(__xludf.DUMMYFUNCTION("""COMPUTED_VALUE"""),1.0)</f>
        <v>1</v>
      </c>
      <c r="C5024" s="2">
        <f>IFERROR(__xludf.DUMMYFUNCTION("""COMPUTED_VALUE"""),352.0)</f>
        <v>352</v>
      </c>
      <c r="D5024" s="3">
        <f>IFERROR(__xludf.DUMMYFUNCTION("""COMPUTED_VALUE"""),89.0)</f>
        <v>89</v>
      </c>
      <c r="E5024" s="2"/>
      <c r="F5024" s="2"/>
    </row>
    <row r="5025">
      <c r="A5025" s="2">
        <f>IFERROR(__xludf.DUMMYFUNCTION("""COMPUTED_VALUE"""),20247.0)</f>
        <v>20247</v>
      </c>
      <c r="B5025" s="2">
        <f>IFERROR(__xludf.DUMMYFUNCTION("""COMPUTED_VALUE"""),1.0)</f>
        <v>1</v>
      </c>
      <c r="C5025" s="2">
        <f>IFERROR(__xludf.DUMMYFUNCTION("""COMPUTED_VALUE"""),760.0)</f>
        <v>760</v>
      </c>
      <c r="D5025" s="3">
        <f>IFERROR(__xludf.DUMMYFUNCTION("""COMPUTED_VALUE"""),749.0)</f>
        <v>749</v>
      </c>
      <c r="E5025" s="2"/>
      <c r="F5025" s="2"/>
    </row>
    <row r="5026">
      <c r="A5026" s="2">
        <f>IFERROR(__xludf.DUMMYFUNCTION("""COMPUTED_VALUE"""),109240.0)</f>
        <v>109240</v>
      </c>
      <c r="B5026" s="2">
        <f>IFERROR(__xludf.DUMMYFUNCTION("""COMPUTED_VALUE"""),1.0)</f>
        <v>1</v>
      </c>
      <c r="C5026" s="2">
        <f>IFERROR(__xludf.DUMMYFUNCTION("""COMPUTED_VALUE"""),483.0)</f>
        <v>483</v>
      </c>
      <c r="D5026" s="3">
        <f>IFERROR(__xludf.DUMMYFUNCTION("""COMPUTED_VALUE"""),369.0)</f>
        <v>369</v>
      </c>
      <c r="E5026" s="2"/>
      <c r="F5026" s="2"/>
    </row>
    <row r="5027">
      <c r="A5027" s="2">
        <f>IFERROR(__xludf.DUMMYFUNCTION("""COMPUTED_VALUE"""),104079.0)</f>
        <v>104079</v>
      </c>
      <c r="B5027" s="2">
        <f>IFERROR(__xludf.DUMMYFUNCTION("""COMPUTED_VALUE"""),0.0)</f>
        <v>0</v>
      </c>
      <c r="C5027" s="2">
        <f>IFERROR(__xludf.DUMMYFUNCTION("""COMPUTED_VALUE"""),62.0)</f>
        <v>62</v>
      </c>
      <c r="D5027" s="3">
        <f>IFERROR(__xludf.DUMMYFUNCTION("""COMPUTED_VALUE"""),53.0)</f>
        <v>53</v>
      </c>
      <c r="E5027" s="2"/>
      <c r="F5027" s="2"/>
    </row>
    <row r="5028">
      <c r="A5028" s="2">
        <f>IFERROR(__xludf.DUMMYFUNCTION("""COMPUTED_VALUE"""),126567.0)</f>
        <v>126567</v>
      </c>
      <c r="B5028" s="2">
        <f>IFERROR(__xludf.DUMMYFUNCTION("""COMPUTED_VALUE"""),0.0)</f>
        <v>0</v>
      </c>
      <c r="C5028" s="2">
        <f>IFERROR(__xludf.DUMMYFUNCTION("""COMPUTED_VALUE"""),939.0)</f>
        <v>939</v>
      </c>
      <c r="D5028" s="3">
        <f>IFERROR(__xludf.DUMMYFUNCTION("""COMPUTED_VALUE"""),703.0)</f>
        <v>703</v>
      </c>
      <c r="E5028" s="2"/>
      <c r="F5028" s="2"/>
    </row>
    <row r="5029">
      <c r="A5029" s="2">
        <f>IFERROR(__xludf.DUMMYFUNCTION("""COMPUTED_VALUE"""),45567.0)</f>
        <v>45567</v>
      </c>
      <c r="B5029" s="2">
        <f>IFERROR(__xludf.DUMMYFUNCTION("""COMPUTED_VALUE"""),1.0)</f>
        <v>1</v>
      </c>
      <c r="C5029" s="2">
        <f>IFERROR(__xludf.DUMMYFUNCTION("""COMPUTED_VALUE"""),801.0)</f>
        <v>801</v>
      </c>
      <c r="D5029" s="3">
        <f>IFERROR(__xludf.DUMMYFUNCTION("""COMPUTED_VALUE"""),457.0)</f>
        <v>457</v>
      </c>
      <c r="E5029" s="2"/>
      <c r="F5029" s="2"/>
    </row>
    <row r="5030">
      <c r="A5030" s="2">
        <f>IFERROR(__xludf.DUMMYFUNCTION("""COMPUTED_VALUE"""),109241.0)</f>
        <v>109241</v>
      </c>
      <c r="B5030" s="2">
        <f>IFERROR(__xludf.DUMMYFUNCTION("""COMPUTED_VALUE"""),1.0)</f>
        <v>1</v>
      </c>
      <c r="C5030" s="2">
        <f>IFERROR(__xludf.DUMMYFUNCTION("""COMPUTED_VALUE"""),669.0)</f>
        <v>669</v>
      </c>
      <c r="D5030" s="3">
        <f>IFERROR(__xludf.DUMMYFUNCTION("""COMPUTED_VALUE"""),62.0)</f>
        <v>62</v>
      </c>
      <c r="E5030" s="2"/>
      <c r="F5030" s="2"/>
    </row>
    <row r="5031">
      <c r="A5031" s="2">
        <f>IFERROR(__xludf.DUMMYFUNCTION("""COMPUTED_VALUE"""),126564.0)</f>
        <v>126564</v>
      </c>
      <c r="B5031" s="2">
        <f>IFERROR(__xludf.DUMMYFUNCTION("""COMPUTED_VALUE"""),1.0)</f>
        <v>1</v>
      </c>
      <c r="C5031" s="2">
        <f>IFERROR(__xludf.DUMMYFUNCTION("""COMPUTED_VALUE"""),496.0)</f>
        <v>496</v>
      </c>
      <c r="D5031" s="3">
        <f>IFERROR(__xludf.DUMMYFUNCTION("""COMPUTED_VALUE"""),156.0)</f>
        <v>156</v>
      </c>
      <c r="E5031" s="2"/>
      <c r="F5031" s="2"/>
    </row>
    <row r="5032">
      <c r="A5032" s="2">
        <f>IFERROR(__xludf.DUMMYFUNCTION("""COMPUTED_VALUE"""),20246.0)</f>
        <v>20246</v>
      </c>
      <c r="B5032" s="2">
        <f>IFERROR(__xludf.DUMMYFUNCTION("""COMPUTED_VALUE"""),1.0)</f>
        <v>1</v>
      </c>
      <c r="C5032" s="2">
        <f>IFERROR(__xludf.DUMMYFUNCTION("""COMPUTED_VALUE"""),280.0)</f>
        <v>280</v>
      </c>
      <c r="D5032" s="3">
        <f>IFERROR(__xludf.DUMMYFUNCTION("""COMPUTED_VALUE"""),221.0)</f>
        <v>221</v>
      </c>
      <c r="E5032" s="2"/>
      <c r="F5032" s="2"/>
    </row>
    <row r="5033">
      <c r="A5033" s="2">
        <f>IFERROR(__xludf.DUMMYFUNCTION("""COMPUTED_VALUE"""),99321.0)</f>
        <v>99321</v>
      </c>
      <c r="B5033" s="2">
        <f>IFERROR(__xludf.DUMMYFUNCTION("""COMPUTED_VALUE"""),0.0)</f>
        <v>0</v>
      </c>
      <c r="C5033" s="2">
        <f>IFERROR(__xludf.DUMMYFUNCTION("""COMPUTED_VALUE"""),124.0)</f>
        <v>124</v>
      </c>
      <c r="D5033" s="3">
        <f>IFERROR(__xludf.DUMMYFUNCTION("""COMPUTED_VALUE"""),104.0)</f>
        <v>104</v>
      </c>
      <c r="E5033" s="2"/>
      <c r="F5033" s="2"/>
    </row>
    <row r="5034">
      <c r="A5034" s="2">
        <f>IFERROR(__xludf.DUMMYFUNCTION("""COMPUTED_VALUE"""),99322.0)</f>
        <v>99322</v>
      </c>
      <c r="B5034" s="2">
        <f>IFERROR(__xludf.DUMMYFUNCTION("""COMPUTED_VALUE"""),1.0)</f>
        <v>1</v>
      </c>
      <c r="C5034" s="2">
        <f>IFERROR(__xludf.DUMMYFUNCTION("""COMPUTED_VALUE"""),340.0)</f>
        <v>340</v>
      </c>
      <c r="D5034" s="3">
        <f>IFERROR(__xludf.DUMMYFUNCTION("""COMPUTED_VALUE"""),194.0)</f>
        <v>194</v>
      </c>
      <c r="E5034" s="2"/>
      <c r="F5034" s="2"/>
    </row>
    <row r="5035">
      <c r="A5035" s="2">
        <f>IFERROR(__xludf.DUMMYFUNCTION("""COMPUTED_VALUE"""),126561.0)</f>
        <v>126561</v>
      </c>
      <c r="B5035" s="2">
        <f>IFERROR(__xludf.DUMMYFUNCTION("""COMPUTED_VALUE"""),0.0)</f>
        <v>0</v>
      </c>
      <c r="C5035" s="2">
        <f>IFERROR(__xludf.DUMMYFUNCTION("""COMPUTED_VALUE"""),666.0)</f>
        <v>666</v>
      </c>
      <c r="D5035" s="3">
        <f>IFERROR(__xludf.DUMMYFUNCTION("""COMPUTED_VALUE"""),107.0)</f>
        <v>107</v>
      </c>
      <c r="E5035" s="2"/>
      <c r="F5035" s="2"/>
    </row>
    <row r="5036">
      <c r="A5036" s="2">
        <f>IFERROR(__xludf.DUMMYFUNCTION("""COMPUTED_VALUE"""),113871.0)</f>
        <v>113871</v>
      </c>
      <c r="B5036" s="2">
        <f>IFERROR(__xludf.DUMMYFUNCTION("""COMPUTED_VALUE"""),1.0)</f>
        <v>1</v>
      </c>
      <c r="C5036" s="2">
        <f>IFERROR(__xludf.DUMMYFUNCTION("""COMPUTED_VALUE"""),801.0)</f>
        <v>801</v>
      </c>
      <c r="D5036" s="3">
        <f>IFERROR(__xludf.DUMMYFUNCTION("""COMPUTED_VALUE"""),673.0)</f>
        <v>673</v>
      </c>
      <c r="E5036" s="2"/>
      <c r="F5036" s="2"/>
    </row>
    <row r="5037">
      <c r="A5037" s="2">
        <f>IFERROR(__xludf.DUMMYFUNCTION("""COMPUTED_VALUE"""),68332.0)</f>
        <v>68332</v>
      </c>
      <c r="B5037" s="2">
        <f>IFERROR(__xludf.DUMMYFUNCTION("""COMPUTED_VALUE"""),1.0)</f>
        <v>1</v>
      </c>
      <c r="C5037" s="2">
        <f>IFERROR(__xludf.DUMMYFUNCTION("""COMPUTED_VALUE"""),390.0)</f>
        <v>390</v>
      </c>
      <c r="D5037" s="3">
        <f>IFERROR(__xludf.DUMMYFUNCTION("""COMPUTED_VALUE"""),114.0)</f>
        <v>114</v>
      </c>
      <c r="E5037" s="2"/>
      <c r="F5037" s="2"/>
    </row>
    <row r="5038">
      <c r="A5038" s="2">
        <f>IFERROR(__xludf.DUMMYFUNCTION("""COMPUTED_VALUE"""),102081.0)</f>
        <v>102081</v>
      </c>
      <c r="B5038" s="2">
        <f>IFERROR(__xludf.DUMMYFUNCTION("""COMPUTED_VALUE"""),0.0)</f>
        <v>0</v>
      </c>
      <c r="C5038" s="2">
        <f>IFERROR(__xludf.DUMMYFUNCTION("""COMPUTED_VALUE"""),536.0)</f>
        <v>536</v>
      </c>
      <c r="D5038" s="3">
        <f>IFERROR(__xludf.DUMMYFUNCTION("""COMPUTED_VALUE"""),243.0)</f>
        <v>243</v>
      </c>
      <c r="E5038" s="2"/>
      <c r="F5038" s="2"/>
    </row>
    <row r="5039">
      <c r="A5039" s="2">
        <f>IFERROR(__xludf.DUMMYFUNCTION("""COMPUTED_VALUE"""),84213.0)</f>
        <v>84213</v>
      </c>
      <c r="B5039" s="2">
        <f>IFERROR(__xludf.DUMMYFUNCTION("""COMPUTED_VALUE"""),1.0)</f>
        <v>1</v>
      </c>
      <c r="C5039" s="2">
        <f>IFERROR(__xludf.DUMMYFUNCTION("""COMPUTED_VALUE"""),923.0)</f>
        <v>923</v>
      </c>
      <c r="D5039" s="3">
        <f>IFERROR(__xludf.DUMMYFUNCTION("""COMPUTED_VALUE"""),178.0)</f>
        <v>178</v>
      </c>
      <c r="E5039" s="2"/>
      <c r="F5039" s="2"/>
    </row>
    <row r="5040">
      <c r="A5040" s="2">
        <f>IFERROR(__xludf.DUMMYFUNCTION("""COMPUTED_VALUE"""),68302.0)</f>
        <v>68302</v>
      </c>
      <c r="B5040" s="2">
        <f>IFERROR(__xludf.DUMMYFUNCTION("""COMPUTED_VALUE"""),0.0)</f>
        <v>0</v>
      </c>
      <c r="C5040" s="2">
        <f>IFERROR(__xludf.DUMMYFUNCTION("""COMPUTED_VALUE"""),740.0)</f>
        <v>740</v>
      </c>
      <c r="D5040" s="3">
        <f>IFERROR(__xludf.DUMMYFUNCTION("""COMPUTED_VALUE"""),469.0)</f>
        <v>469</v>
      </c>
      <c r="E5040" s="2"/>
      <c r="F5040" s="2"/>
    </row>
    <row r="5041">
      <c r="A5041" s="2">
        <f>IFERROR(__xludf.DUMMYFUNCTION("""COMPUTED_VALUE"""),88238.0)</f>
        <v>88238</v>
      </c>
      <c r="B5041" s="2">
        <f>IFERROR(__xludf.DUMMYFUNCTION("""COMPUTED_VALUE"""),0.0)</f>
        <v>0</v>
      </c>
      <c r="C5041" s="2">
        <f>IFERROR(__xludf.DUMMYFUNCTION("""COMPUTED_VALUE"""),827.0)</f>
        <v>827</v>
      </c>
      <c r="D5041" s="3">
        <f>IFERROR(__xludf.DUMMYFUNCTION("""COMPUTED_VALUE"""),473.0)</f>
        <v>473</v>
      </c>
      <c r="E5041" s="2"/>
      <c r="F5041" s="2"/>
    </row>
    <row r="5042">
      <c r="A5042" s="2">
        <f>IFERROR(__xludf.DUMMYFUNCTION("""COMPUTED_VALUE"""),84202.0)</f>
        <v>84202</v>
      </c>
      <c r="B5042" s="2">
        <f>IFERROR(__xludf.DUMMYFUNCTION("""COMPUTED_VALUE"""),1.0)</f>
        <v>1</v>
      </c>
      <c r="C5042" s="2">
        <f>IFERROR(__xludf.DUMMYFUNCTION("""COMPUTED_VALUE"""),493.0)</f>
        <v>493</v>
      </c>
      <c r="D5042" s="3">
        <f>IFERROR(__xludf.DUMMYFUNCTION("""COMPUTED_VALUE"""),403.0)</f>
        <v>403</v>
      </c>
      <c r="E5042" s="2"/>
      <c r="F5042" s="2"/>
    </row>
    <row r="5043">
      <c r="A5043" s="2">
        <f>IFERROR(__xludf.DUMMYFUNCTION("""COMPUTED_VALUE"""),84226.0)</f>
        <v>84226</v>
      </c>
      <c r="B5043" s="2">
        <f>IFERROR(__xludf.DUMMYFUNCTION("""COMPUTED_VALUE"""),1.0)</f>
        <v>1</v>
      </c>
      <c r="C5043" s="2">
        <f>IFERROR(__xludf.DUMMYFUNCTION("""COMPUTED_VALUE"""),368.0)</f>
        <v>368</v>
      </c>
      <c r="D5043" s="3">
        <f>IFERROR(__xludf.DUMMYFUNCTION("""COMPUTED_VALUE"""),198.0)</f>
        <v>198</v>
      </c>
      <c r="E5043" s="2"/>
      <c r="F5043" s="2"/>
    </row>
    <row r="5044">
      <c r="A5044" s="2">
        <f>IFERROR(__xludf.DUMMYFUNCTION("""COMPUTED_VALUE"""),104071.0)</f>
        <v>104071</v>
      </c>
      <c r="B5044" s="2">
        <f>IFERROR(__xludf.DUMMYFUNCTION("""COMPUTED_VALUE"""),0.0)</f>
        <v>0</v>
      </c>
      <c r="C5044" s="2">
        <f>IFERROR(__xludf.DUMMYFUNCTION("""COMPUTED_VALUE"""),506.0)</f>
        <v>506</v>
      </c>
      <c r="D5044" s="3">
        <f>IFERROR(__xludf.DUMMYFUNCTION("""COMPUTED_VALUE"""),119.0)</f>
        <v>119</v>
      </c>
      <c r="E5044" s="2"/>
      <c r="F5044" s="2"/>
    </row>
    <row r="5045">
      <c r="A5045" s="2">
        <f>IFERROR(__xludf.DUMMYFUNCTION("""COMPUTED_VALUE"""),104075.0)</f>
        <v>104075</v>
      </c>
      <c r="B5045" s="2">
        <f>IFERROR(__xludf.DUMMYFUNCTION("""COMPUTED_VALUE"""),0.0)</f>
        <v>0</v>
      </c>
      <c r="C5045" s="2">
        <f>IFERROR(__xludf.DUMMYFUNCTION("""COMPUTED_VALUE"""),219.0)</f>
        <v>219</v>
      </c>
      <c r="D5045" s="3">
        <f>IFERROR(__xludf.DUMMYFUNCTION("""COMPUTED_VALUE"""),50.0)</f>
        <v>50</v>
      </c>
      <c r="E5045" s="2"/>
      <c r="F5045" s="2"/>
    </row>
    <row r="5046">
      <c r="A5046" s="2">
        <f>IFERROR(__xludf.DUMMYFUNCTION("""COMPUTED_VALUE"""),91042.0)</f>
        <v>91042</v>
      </c>
      <c r="B5046" s="2">
        <f>IFERROR(__xludf.DUMMYFUNCTION("""COMPUTED_VALUE"""),0.0)</f>
        <v>0</v>
      </c>
      <c r="C5046" s="2">
        <f>IFERROR(__xludf.DUMMYFUNCTION("""COMPUTED_VALUE"""),253.0)</f>
        <v>253</v>
      </c>
      <c r="D5046" s="3">
        <f>IFERROR(__xludf.DUMMYFUNCTION("""COMPUTED_VALUE"""),31.0)</f>
        <v>31</v>
      </c>
      <c r="E5046" s="2"/>
      <c r="F5046" s="2"/>
    </row>
    <row r="5047">
      <c r="A5047" s="2">
        <f>IFERROR(__xludf.DUMMYFUNCTION("""COMPUTED_VALUE"""),108047.0)</f>
        <v>108047</v>
      </c>
      <c r="B5047" s="2">
        <f>IFERROR(__xludf.DUMMYFUNCTION("""COMPUTED_VALUE"""),1.0)</f>
        <v>1</v>
      </c>
      <c r="C5047" s="2">
        <f>IFERROR(__xludf.DUMMYFUNCTION("""COMPUTED_VALUE"""),489.0)</f>
        <v>489</v>
      </c>
      <c r="D5047" s="3">
        <f>IFERROR(__xludf.DUMMYFUNCTION("""COMPUTED_VALUE"""),109.0)</f>
        <v>109</v>
      </c>
      <c r="E5047" s="2"/>
      <c r="F5047" s="2"/>
    </row>
    <row r="5048">
      <c r="A5048" s="2">
        <f>IFERROR(__xludf.DUMMYFUNCTION("""COMPUTED_VALUE"""),90993.0)</f>
        <v>90993</v>
      </c>
      <c r="B5048" s="2">
        <f>IFERROR(__xludf.DUMMYFUNCTION("""COMPUTED_VALUE"""),0.0)</f>
        <v>0</v>
      </c>
      <c r="C5048" s="2">
        <f>IFERROR(__xludf.DUMMYFUNCTION("""COMPUTED_VALUE"""),410.0)</f>
        <v>410</v>
      </c>
      <c r="D5048" s="3">
        <f>IFERROR(__xludf.DUMMYFUNCTION("""COMPUTED_VALUE"""),369.0)</f>
        <v>369</v>
      </c>
      <c r="E5048" s="2"/>
      <c r="F5048" s="2"/>
    </row>
    <row r="5049">
      <c r="A5049" s="2">
        <f>IFERROR(__xludf.DUMMYFUNCTION("""COMPUTED_VALUE"""),19277.0)</f>
        <v>19277</v>
      </c>
      <c r="B5049" s="2">
        <f>IFERROR(__xludf.DUMMYFUNCTION("""COMPUTED_VALUE"""),0.0)</f>
        <v>0</v>
      </c>
      <c r="C5049" s="2">
        <f>IFERROR(__xludf.DUMMYFUNCTION("""COMPUTED_VALUE"""),18.0)</f>
        <v>18</v>
      </c>
      <c r="D5049" s="3">
        <f>IFERROR(__xludf.DUMMYFUNCTION("""COMPUTED_VALUE"""),7.0)</f>
        <v>7</v>
      </c>
      <c r="E5049" s="2"/>
      <c r="F5049" s="2"/>
    </row>
    <row r="5050">
      <c r="A5050" s="2">
        <f>IFERROR(__xludf.DUMMYFUNCTION("""COMPUTED_VALUE"""),84223.0)</f>
        <v>84223</v>
      </c>
      <c r="B5050" s="2">
        <f>IFERROR(__xludf.DUMMYFUNCTION("""COMPUTED_VALUE"""),1.0)</f>
        <v>1</v>
      </c>
      <c r="C5050" s="2">
        <f>IFERROR(__xludf.DUMMYFUNCTION("""COMPUTED_VALUE"""),638.0)</f>
        <v>638</v>
      </c>
      <c r="D5050" s="3">
        <f>IFERROR(__xludf.DUMMYFUNCTION("""COMPUTED_VALUE"""),329.0)</f>
        <v>329</v>
      </c>
      <c r="E5050" s="2"/>
      <c r="F5050" s="2"/>
    </row>
    <row r="5051">
      <c r="A5051" s="2">
        <f>IFERROR(__xludf.DUMMYFUNCTION("""COMPUTED_VALUE"""),84225.0)</f>
        <v>84225</v>
      </c>
      <c r="B5051" s="2">
        <f>IFERROR(__xludf.DUMMYFUNCTION("""COMPUTED_VALUE"""),1.0)</f>
        <v>1</v>
      </c>
      <c r="C5051" s="2">
        <f>IFERROR(__xludf.DUMMYFUNCTION("""COMPUTED_VALUE"""),85.0)</f>
        <v>85</v>
      </c>
      <c r="D5051" s="3">
        <f>IFERROR(__xludf.DUMMYFUNCTION("""COMPUTED_VALUE"""),82.0)</f>
        <v>82</v>
      </c>
      <c r="E5051" s="2"/>
      <c r="F5051" s="2"/>
    </row>
    <row r="5052">
      <c r="A5052" s="2">
        <f>IFERROR(__xludf.DUMMYFUNCTION("""COMPUTED_VALUE"""),113865.0)</f>
        <v>113865</v>
      </c>
      <c r="B5052" s="2">
        <f>IFERROR(__xludf.DUMMYFUNCTION("""COMPUTED_VALUE"""),0.0)</f>
        <v>0</v>
      </c>
      <c r="C5052" s="2">
        <f>IFERROR(__xludf.DUMMYFUNCTION("""COMPUTED_VALUE"""),827.0)</f>
        <v>827</v>
      </c>
      <c r="D5052" s="3">
        <f>IFERROR(__xludf.DUMMYFUNCTION("""COMPUTED_VALUE"""),130.0)</f>
        <v>130</v>
      </c>
      <c r="E5052" s="2"/>
      <c r="F5052" s="2"/>
    </row>
    <row r="5053">
      <c r="A5053" s="2">
        <f>IFERROR(__xludf.DUMMYFUNCTION("""COMPUTED_VALUE"""),94645.0)</f>
        <v>94645</v>
      </c>
      <c r="B5053" s="2">
        <f>IFERROR(__xludf.DUMMYFUNCTION("""COMPUTED_VALUE"""),0.0)</f>
        <v>0</v>
      </c>
      <c r="C5053" s="2">
        <f>IFERROR(__xludf.DUMMYFUNCTION("""COMPUTED_VALUE"""),629.0)</f>
        <v>629</v>
      </c>
      <c r="D5053" s="3">
        <f>IFERROR(__xludf.DUMMYFUNCTION("""COMPUTED_VALUE"""),311.0)</f>
        <v>311</v>
      </c>
      <c r="E5053" s="2"/>
      <c r="F5053" s="2"/>
    </row>
    <row r="5054">
      <c r="A5054" s="2">
        <f>IFERROR(__xludf.DUMMYFUNCTION("""COMPUTED_VALUE"""),104073.0)</f>
        <v>104073</v>
      </c>
      <c r="B5054" s="2">
        <f>IFERROR(__xludf.DUMMYFUNCTION("""COMPUTED_VALUE"""),0.0)</f>
        <v>0</v>
      </c>
      <c r="C5054" s="2">
        <f>IFERROR(__xludf.DUMMYFUNCTION("""COMPUTED_VALUE"""),966.0)</f>
        <v>966</v>
      </c>
      <c r="D5054" s="3">
        <f>IFERROR(__xludf.DUMMYFUNCTION("""COMPUTED_VALUE"""),17.0)</f>
        <v>17</v>
      </c>
      <c r="E5054" s="2"/>
      <c r="F5054" s="2"/>
    </row>
    <row r="5055">
      <c r="A5055" s="2">
        <f>IFERROR(__xludf.DUMMYFUNCTION("""COMPUTED_VALUE"""),113880.0)</f>
        <v>113880</v>
      </c>
      <c r="B5055" s="2">
        <f>IFERROR(__xludf.DUMMYFUNCTION("""COMPUTED_VALUE"""),0.0)</f>
        <v>0</v>
      </c>
      <c r="C5055" s="2">
        <f>IFERROR(__xludf.DUMMYFUNCTION("""COMPUTED_VALUE"""),57.0)</f>
        <v>57</v>
      </c>
      <c r="D5055" s="3">
        <f>IFERROR(__xludf.DUMMYFUNCTION("""COMPUTED_VALUE"""),18.0)</f>
        <v>18</v>
      </c>
      <c r="E5055" s="2"/>
      <c r="F5055" s="2"/>
    </row>
    <row r="5056">
      <c r="A5056" s="2">
        <f>IFERROR(__xludf.DUMMYFUNCTION("""COMPUTED_VALUE"""),91045.0)</f>
        <v>91045</v>
      </c>
      <c r="B5056" s="2">
        <f>IFERROR(__xludf.DUMMYFUNCTION("""COMPUTED_VALUE"""),0.0)</f>
        <v>0</v>
      </c>
      <c r="C5056" s="2">
        <f>IFERROR(__xludf.DUMMYFUNCTION("""COMPUTED_VALUE"""),171.0)</f>
        <v>171</v>
      </c>
      <c r="D5056" s="3">
        <f>IFERROR(__xludf.DUMMYFUNCTION("""COMPUTED_VALUE"""),105.0)</f>
        <v>105</v>
      </c>
      <c r="E5056" s="2"/>
      <c r="F5056" s="2"/>
    </row>
    <row r="5057">
      <c r="A5057" s="2">
        <f>IFERROR(__xludf.DUMMYFUNCTION("""COMPUTED_VALUE"""),84231.0)</f>
        <v>84231</v>
      </c>
      <c r="B5057" s="2">
        <f>IFERROR(__xludf.DUMMYFUNCTION("""COMPUTED_VALUE"""),0.0)</f>
        <v>0</v>
      </c>
      <c r="C5057" s="2">
        <f>IFERROR(__xludf.DUMMYFUNCTION("""COMPUTED_VALUE"""),194.0)</f>
        <v>194</v>
      </c>
      <c r="D5057" s="3">
        <f>IFERROR(__xludf.DUMMYFUNCTION("""COMPUTED_VALUE"""),27.0)</f>
        <v>27</v>
      </c>
      <c r="E5057" s="2"/>
      <c r="F5057" s="2"/>
    </row>
    <row r="5058">
      <c r="A5058" s="2">
        <f>IFERROR(__xludf.DUMMYFUNCTION("""COMPUTED_VALUE"""),68321.0)</f>
        <v>68321</v>
      </c>
      <c r="B5058" s="2">
        <f>IFERROR(__xludf.DUMMYFUNCTION("""COMPUTED_VALUE"""),1.0)</f>
        <v>1</v>
      </c>
      <c r="C5058" s="2">
        <f>IFERROR(__xludf.DUMMYFUNCTION("""COMPUTED_VALUE"""),586.0)</f>
        <v>586</v>
      </c>
      <c r="D5058" s="3">
        <f>IFERROR(__xludf.DUMMYFUNCTION("""COMPUTED_VALUE"""),261.0)</f>
        <v>261</v>
      </c>
      <c r="E5058" s="2"/>
      <c r="F5058" s="2"/>
    </row>
    <row r="5059">
      <c r="A5059" s="2">
        <f>IFERROR(__xludf.DUMMYFUNCTION("""COMPUTED_VALUE"""),84211.0)</f>
        <v>84211</v>
      </c>
      <c r="B5059" s="2">
        <f>IFERROR(__xludf.DUMMYFUNCTION("""COMPUTED_VALUE"""),1.0)</f>
        <v>1</v>
      </c>
      <c r="C5059" s="2">
        <f>IFERROR(__xludf.DUMMYFUNCTION("""COMPUTED_VALUE"""),432.0)</f>
        <v>432</v>
      </c>
      <c r="D5059" s="3">
        <f>IFERROR(__xludf.DUMMYFUNCTION("""COMPUTED_VALUE"""),243.0)</f>
        <v>243</v>
      </c>
      <c r="E5059" s="2"/>
      <c r="F5059" s="2"/>
    </row>
    <row r="5060">
      <c r="A5060" s="2">
        <f>IFERROR(__xludf.DUMMYFUNCTION("""COMPUTED_VALUE"""),158663.0)</f>
        <v>158663</v>
      </c>
      <c r="B5060" s="2">
        <f>IFERROR(__xludf.DUMMYFUNCTION("""COMPUTED_VALUE"""),0.0)</f>
        <v>0</v>
      </c>
      <c r="C5060" s="2">
        <f>IFERROR(__xludf.DUMMYFUNCTION("""COMPUTED_VALUE"""),776.0)</f>
        <v>776</v>
      </c>
      <c r="D5060" s="3">
        <f>IFERROR(__xludf.DUMMYFUNCTION("""COMPUTED_VALUE"""),44.0)</f>
        <v>44</v>
      </c>
      <c r="E5060" s="2"/>
      <c r="F5060" s="2"/>
    </row>
    <row r="5061">
      <c r="A5061" s="2">
        <f>IFERROR(__xludf.DUMMYFUNCTION("""COMPUTED_VALUE"""),113874.0)</f>
        <v>113874</v>
      </c>
      <c r="B5061" s="2">
        <f>IFERROR(__xludf.DUMMYFUNCTION("""COMPUTED_VALUE"""),1.0)</f>
        <v>1</v>
      </c>
      <c r="C5061" s="2">
        <f>IFERROR(__xludf.DUMMYFUNCTION("""COMPUTED_VALUE"""),491.0)</f>
        <v>491</v>
      </c>
      <c r="D5061" s="3">
        <f>IFERROR(__xludf.DUMMYFUNCTION("""COMPUTED_VALUE"""),54.0)</f>
        <v>54</v>
      </c>
      <c r="E5061" s="2"/>
      <c r="F5061" s="2"/>
    </row>
    <row r="5062">
      <c r="A5062" s="2">
        <f>IFERROR(__xludf.DUMMYFUNCTION("""COMPUTED_VALUE"""),84234.0)</f>
        <v>84234</v>
      </c>
      <c r="B5062" s="2">
        <f>IFERROR(__xludf.DUMMYFUNCTION("""COMPUTED_VALUE"""),0.0)</f>
        <v>0</v>
      </c>
      <c r="C5062" s="2">
        <f>IFERROR(__xludf.DUMMYFUNCTION("""COMPUTED_VALUE"""),861.0)</f>
        <v>861</v>
      </c>
      <c r="D5062" s="3">
        <f>IFERROR(__xludf.DUMMYFUNCTION("""COMPUTED_VALUE"""),797.0)</f>
        <v>797</v>
      </c>
      <c r="E5062" s="2"/>
      <c r="F5062" s="2"/>
    </row>
    <row r="5063">
      <c r="A5063" s="2">
        <f>IFERROR(__xludf.DUMMYFUNCTION("""COMPUTED_VALUE"""),76642.0)</f>
        <v>76642</v>
      </c>
      <c r="B5063" s="2">
        <f>IFERROR(__xludf.DUMMYFUNCTION("""COMPUTED_VALUE"""),0.0)</f>
        <v>0</v>
      </c>
      <c r="C5063" s="2">
        <f>IFERROR(__xludf.DUMMYFUNCTION("""COMPUTED_VALUE"""),297.0)</f>
        <v>297</v>
      </c>
      <c r="D5063" s="3">
        <f>IFERROR(__xludf.DUMMYFUNCTION("""COMPUTED_VALUE"""),165.0)</f>
        <v>165</v>
      </c>
      <c r="E5063" s="2"/>
      <c r="F5063" s="2"/>
    </row>
    <row r="5064">
      <c r="A5064" s="2">
        <f>IFERROR(__xludf.DUMMYFUNCTION("""COMPUTED_VALUE"""),126573.0)</f>
        <v>126573</v>
      </c>
      <c r="B5064" s="2">
        <f>IFERROR(__xludf.DUMMYFUNCTION("""COMPUTED_VALUE"""),1.0)</f>
        <v>1</v>
      </c>
      <c r="C5064" s="2">
        <f>IFERROR(__xludf.DUMMYFUNCTION("""COMPUTED_VALUE"""),100.0)</f>
        <v>100</v>
      </c>
      <c r="D5064" s="3">
        <f>IFERROR(__xludf.DUMMYFUNCTION("""COMPUTED_VALUE"""),31.0)</f>
        <v>31</v>
      </c>
      <c r="E5064" s="2"/>
      <c r="F5064" s="2"/>
    </row>
    <row r="5065">
      <c r="A5065" s="2">
        <f>IFERROR(__xludf.DUMMYFUNCTION("""COMPUTED_VALUE"""),113877.0)</f>
        <v>113877</v>
      </c>
      <c r="B5065" s="2">
        <f>IFERROR(__xludf.DUMMYFUNCTION("""COMPUTED_VALUE"""),1.0)</f>
        <v>1</v>
      </c>
      <c r="C5065" s="2">
        <f>IFERROR(__xludf.DUMMYFUNCTION("""COMPUTED_VALUE"""),50.0)</f>
        <v>50</v>
      </c>
      <c r="D5065" s="3">
        <f>IFERROR(__xludf.DUMMYFUNCTION("""COMPUTED_VALUE"""),31.0)</f>
        <v>31</v>
      </c>
      <c r="E5065" s="2"/>
      <c r="F5065" s="2"/>
    </row>
    <row r="5066">
      <c r="A5066" s="2">
        <f>IFERROR(__xludf.DUMMYFUNCTION("""COMPUTED_VALUE"""),84212.0)</f>
        <v>84212</v>
      </c>
      <c r="B5066" s="2">
        <f>IFERROR(__xludf.DUMMYFUNCTION("""COMPUTED_VALUE"""),1.0)</f>
        <v>1</v>
      </c>
      <c r="C5066" s="2">
        <f>IFERROR(__xludf.DUMMYFUNCTION("""COMPUTED_VALUE"""),160.0)</f>
        <v>160</v>
      </c>
      <c r="D5066" s="3">
        <f>IFERROR(__xludf.DUMMYFUNCTION("""COMPUTED_VALUE"""),60.0)</f>
        <v>60</v>
      </c>
      <c r="E5066" s="2"/>
      <c r="F5066" s="2"/>
    </row>
    <row r="5067">
      <c r="A5067" s="2">
        <f>IFERROR(__xludf.DUMMYFUNCTION("""COMPUTED_VALUE"""),84203.0)</f>
        <v>84203</v>
      </c>
      <c r="B5067" s="2">
        <f>IFERROR(__xludf.DUMMYFUNCTION("""COMPUTED_VALUE"""),0.0)</f>
        <v>0</v>
      </c>
      <c r="C5067" s="2">
        <f>IFERROR(__xludf.DUMMYFUNCTION("""COMPUTED_VALUE"""),448.0)</f>
        <v>448</v>
      </c>
      <c r="D5067" s="3">
        <f>IFERROR(__xludf.DUMMYFUNCTION("""COMPUTED_VALUE"""),37.0)</f>
        <v>37</v>
      </c>
      <c r="E5067" s="2"/>
      <c r="F5067" s="2"/>
    </row>
    <row r="5068">
      <c r="A5068" s="2">
        <f>IFERROR(__xludf.DUMMYFUNCTION("""COMPUTED_VALUE"""),91038.0)</f>
        <v>91038</v>
      </c>
      <c r="B5068" s="2">
        <f>IFERROR(__xludf.DUMMYFUNCTION("""COMPUTED_VALUE"""),0.0)</f>
        <v>0</v>
      </c>
      <c r="C5068" s="2">
        <f>IFERROR(__xludf.DUMMYFUNCTION("""COMPUTED_VALUE"""),29.0)</f>
        <v>29</v>
      </c>
      <c r="D5068" s="3">
        <f>IFERROR(__xludf.DUMMYFUNCTION("""COMPUTED_VALUE"""),5.0)</f>
        <v>5</v>
      </c>
      <c r="E5068" s="2"/>
      <c r="F5068" s="2"/>
    </row>
    <row r="5069">
      <c r="A5069" s="2">
        <f>IFERROR(__xludf.DUMMYFUNCTION("""COMPUTED_VALUE"""),19335.0)</f>
        <v>19335</v>
      </c>
      <c r="B5069" s="2">
        <f>IFERROR(__xludf.DUMMYFUNCTION("""COMPUTED_VALUE"""),1.0)</f>
        <v>1</v>
      </c>
      <c r="C5069" s="2">
        <f>IFERROR(__xludf.DUMMYFUNCTION("""COMPUTED_VALUE"""),693.0)</f>
        <v>693</v>
      </c>
      <c r="D5069" s="3">
        <f>IFERROR(__xludf.DUMMYFUNCTION("""COMPUTED_VALUE"""),290.0)</f>
        <v>290</v>
      </c>
      <c r="E5069" s="2"/>
      <c r="F5069" s="2"/>
    </row>
    <row r="5070">
      <c r="A5070" s="2">
        <f>IFERROR(__xludf.DUMMYFUNCTION("""COMPUTED_VALUE"""),103073.0)</f>
        <v>103073</v>
      </c>
      <c r="B5070" s="2">
        <f>IFERROR(__xludf.DUMMYFUNCTION("""COMPUTED_VALUE"""),1.0)</f>
        <v>1</v>
      </c>
      <c r="C5070" s="2">
        <f>IFERROR(__xludf.DUMMYFUNCTION("""COMPUTED_VALUE"""),703.0)</f>
        <v>703</v>
      </c>
      <c r="D5070" s="3">
        <f>IFERROR(__xludf.DUMMYFUNCTION("""COMPUTED_VALUE"""),261.0)</f>
        <v>261</v>
      </c>
      <c r="E5070" s="2"/>
      <c r="F5070" s="2"/>
    </row>
    <row r="5071">
      <c r="A5071" s="2">
        <f>IFERROR(__xludf.DUMMYFUNCTION("""COMPUTED_VALUE"""),122261.0)</f>
        <v>122261</v>
      </c>
      <c r="B5071" s="2">
        <f>IFERROR(__xludf.DUMMYFUNCTION("""COMPUTED_VALUE"""),0.0)</f>
        <v>0</v>
      </c>
      <c r="C5071" s="2">
        <f>IFERROR(__xludf.DUMMYFUNCTION("""COMPUTED_VALUE"""),275.0)</f>
        <v>275</v>
      </c>
      <c r="D5071" s="3">
        <f>IFERROR(__xludf.DUMMYFUNCTION("""COMPUTED_VALUE"""),240.0)</f>
        <v>240</v>
      </c>
      <c r="E5071" s="2"/>
      <c r="F5071" s="2"/>
    </row>
    <row r="5072">
      <c r="A5072" s="2">
        <f>IFERROR(__xludf.DUMMYFUNCTION("""COMPUTED_VALUE"""),68315.0)</f>
        <v>68315</v>
      </c>
      <c r="B5072" s="2">
        <f>IFERROR(__xludf.DUMMYFUNCTION("""COMPUTED_VALUE"""),1.0)</f>
        <v>1</v>
      </c>
      <c r="C5072" s="2">
        <f>IFERROR(__xludf.DUMMYFUNCTION("""COMPUTED_VALUE"""),191.0)</f>
        <v>191</v>
      </c>
      <c r="D5072" s="3">
        <f>IFERROR(__xludf.DUMMYFUNCTION("""COMPUTED_VALUE"""),136.0)</f>
        <v>136</v>
      </c>
      <c r="E5072" s="2"/>
      <c r="F5072" s="2"/>
    </row>
    <row r="5073">
      <c r="A5073" s="2">
        <f>IFERROR(__xludf.DUMMYFUNCTION("""COMPUTED_VALUE"""),110229.0)</f>
        <v>110229</v>
      </c>
      <c r="B5073" s="2">
        <f>IFERROR(__xludf.DUMMYFUNCTION("""COMPUTED_VALUE"""),0.0)</f>
        <v>0</v>
      </c>
      <c r="C5073" s="2">
        <f>IFERROR(__xludf.DUMMYFUNCTION("""COMPUTED_VALUE"""),555.0)</f>
        <v>555</v>
      </c>
      <c r="D5073" s="3">
        <f>IFERROR(__xludf.DUMMYFUNCTION("""COMPUTED_VALUE"""),301.0)</f>
        <v>301</v>
      </c>
      <c r="E5073" s="2"/>
      <c r="F5073" s="2"/>
    </row>
    <row r="5074">
      <c r="A5074" s="2">
        <f>IFERROR(__xludf.DUMMYFUNCTION("""COMPUTED_VALUE"""),5548.0)</f>
        <v>5548</v>
      </c>
      <c r="B5074" s="2">
        <f>IFERROR(__xludf.DUMMYFUNCTION("""COMPUTED_VALUE"""),1.0)</f>
        <v>1</v>
      </c>
      <c r="C5074" s="2">
        <f>IFERROR(__xludf.DUMMYFUNCTION("""COMPUTED_VALUE"""),48.0)</f>
        <v>48</v>
      </c>
      <c r="D5074" s="3">
        <f>IFERROR(__xludf.DUMMYFUNCTION("""COMPUTED_VALUE"""),45.0)</f>
        <v>45</v>
      </c>
      <c r="E5074" s="2"/>
      <c r="F5074" s="2"/>
    </row>
    <row r="5075">
      <c r="A5075" s="2">
        <f>IFERROR(__xludf.DUMMYFUNCTION("""COMPUTED_VALUE"""),126544.0)</f>
        <v>126544</v>
      </c>
      <c r="B5075" s="2">
        <f>IFERROR(__xludf.DUMMYFUNCTION("""COMPUTED_VALUE"""),1.0)</f>
        <v>1</v>
      </c>
      <c r="C5075" s="2">
        <f>IFERROR(__xludf.DUMMYFUNCTION("""COMPUTED_VALUE"""),778.0)</f>
        <v>778</v>
      </c>
      <c r="D5075" s="3">
        <f>IFERROR(__xludf.DUMMYFUNCTION("""COMPUTED_VALUE"""),566.0)</f>
        <v>566</v>
      </c>
      <c r="E5075" s="2"/>
      <c r="F5075" s="2"/>
    </row>
    <row r="5076">
      <c r="A5076" s="2">
        <f>IFERROR(__xludf.DUMMYFUNCTION("""COMPUTED_VALUE"""),90792.0)</f>
        <v>90792</v>
      </c>
      <c r="B5076" s="2">
        <f>IFERROR(__xludf.DUMMYFUNCTION("""COMPUTED_VALUE"""),0.0)</f>
        <v>0</v>
      </c>
      <c r="C5076" s="2">
        <f>IFERROR(__xludf.DUMMYFUNCTION("""COMPUTED_VALUE"""),781.0)</f>
        <v>781</v>
      </c>
      <c r="D5076" s="3">
        <f>IFERROR(__xludf.DUMMYFUNCTION("""COMPUTED_VALUE"""),533.0)</f>
        <v>533</v>
      </c>
      <c r="E5076" s="2"/>
      <c r="F5076" s="2"/>
    </row>
    <row r="5077">
      <c r="A5077" s="2">
        <f>IFERROR(__xludf.DUMMYFUNCTION("""COMPUTED_VALUE"""),126541.0)</f>
        <v>126541</v>
      </c>
      <c r="B5077" s="2">
        <f>IFERROR(__xludf.DUMMYFUNCTION("""COMPUTED_VALUE"""),0.0)</f>
        <v>0</v>
      </c>
      <c r="C5077" s="2">
        <f>IFERROR(__xludf.DUMMYFUNCTION("""COMPUTED_VALUE"""),911.0)</f>
        <v>911</v>
      </c>
      <c r="D5077" s="3">
        <f>IFERROR(__xludf.DUMMYFUNCTION("""COMPUTED_VALUE"""),160.0)</f>
        <v>160</v>
      </c>
      <c r="E5077" s="2"/>
      <c r="F5077" s="2"/>
    </row>
    <row r="5078">
      <c r="A5078" s="2">
        <f>IFERROR(__xludf.DUMMYFUNCTION("""COMPUTED_VALUE"""),71190.0)</f>
        <v>71190</v>
      </c>
      <c r="B5078" s="2">
        <f>IFERROR(__xludf.DUMMYFUNCTION("""COMPUTED_VALUE"""),0.0)</f>
        <v>0</v>
      </c>
      <c r="C5078" s="2">
        <f>IFERROR(__xludf.DUMMYFUNCTION("""COMPUTED_VALUE"""),571.0)</f>
        <v>571</v>
      </c>
      <c r="D5078" s="3">
        <f>IFERROR(__xludf.DUMMYFUNCTION("""COMPUTED_VALUE"""),323.0)</f>
        <v>323</v>
      </c>
      <c r="E5078" s="2"/>
      <c r="F5078" s="2"/>
    </row>
    <row r="5079">
      <c r="A5079" s="2">
        <f>IFERROR(__xludf.DUMMYFUNCTION("""COMPUTED_VALUE"""),76425.0)</f>
        <v>76425</v>
      </c>
      <c r="B5079" s="2">
        <f>IFERROR(__xludf.DUMMYFUNCTION("""COMPUTED_VALUE"""),1.0)</f>
        <v>1</v>
      </c>
      <c r="C5079" s="2">
        <f>IFERROR(__xludf.DUMMYFUNCTION("""COMPUTED_VALUE"""),858.0)</f>
        <v>858</v>
      </c>
      <c r="D5079" s="3">
        <f>IFERROR(__xludf.DUMMYFUNCTION("""COMPUTED_VALUE"""),124.0)</f>
        <v>124</v>
      </c>
      <c r="E5079" s="2"/>
      <c r="F5079" s="2"/>
    </row>
    <row r="5080">
      <c r="A5080" s="2">
        <f>IFERROR(__xludf.DUMMYFUNCTION("""COMPUTED_VALUE"""),76422.0)</f>
        <v>76422</v>
      </c>
      <c r="B5080" s="2">
        <f>IFERROR(__xludf.DUMMYFUNCTION("""COMPUTED_VALUE"""),0.0)</f>
        <v>0</v>
      </c>
      <c r="C5080" s="2">
        <f>IFERROR(__xludf.DUMMYFUNCTION("""COMPUTED_VALUE"""),345.0)</f>
        <v>345</v>
      </c>
      <c r="D5080" s="3">
        <f>IFERROR(__xludf.DUMMYFUNCTION("""COMPUTED_VALUE"""),6.0)</f>
        <v>6</v>
      </c>
      <c r="E5080" s="2"/>
      <c r="F5080" s="2"/>
    </row>
    <row r="5081">
      <c r="A5081" s="2">
        <f>IFERROR(__xludf.DUMMYFUNCTION("""COMPUTED_VALUE"""),159201.0)</f>
        <v>159201</v>
      </c>
      <c r="B5081" s="2">
        <f>IFERROR(__xludf.DUMMYFUNCTION("""COMPUTED_VALUE"""),0.0)</f>
        <v>0</v>
      </c>
      <c r="C5081" s="2">
        <f>IFERROR(__xludf.DUMMYFUNCTION("""COMPUTED_VALUE"""),174.0)</f>
        <v>174</v>
      </c>
      <c r="D5081" s="3">
        <f>IFERROR(__xludf.DUMMYFUNCTION("""COMPUTED_VALUE"""),61.0)</f>
        <v>61</v>
      </c>
      <c r="E5081" s="2"/>
      <c r="F5081" s="2"/>
    </row>
    <row r="5082">
      <c r="A5082" s="2">
        <f>IFERROR(__xludf.DUMMYFUNCTION("""COMPUTED_VALUE"""),76421.0)</f>
        <v>76421</v>
      </c>
      <c r="B5082" s="2">
        <f>IFERROR(__xludf.DUMMYFUNCTION("""COMPUTED_VALUE"""),0.0)</f>
        <v>0</v>
      </c>
      <c r="C5082" s="2">
        <f>IFERROR(__xludf.DUMMYFUNCTION("""COMPUTED_VALUE"""),833.0)</f>
        <v>833</v>
      </c>
      <c r="D5082" s="3">
        <f>IFERROR(__xludf.DUMMYFUNCTION("""COMPUTED_VALUE"""),285.0)</f>
        <v>285</v>
      </c>
      <c r="E5082" s="2"/>
      <c r="F5082" s="2"/>
    </row>
    <row r="5083">
      <c r="A5083" s="2">
        <f>IFERROR(__xludf.DUMMYFUNCTION("""COMPUTED_VALUE"""),76424.0)</f>
        <v>76424</v>
      </c>
      <c r="B5083" s="2">
        <f>IFERROR(__xludf.DUMMYFUNCTION("""COMPUTED_VALUE"""),0.0)</f>
        <v>0</v>
      </c>
      <c r="C5083" s="2">
        <f>IFERROR(__xludf.DUMMYFUNCTION("""COMPUTED_VALUE"""),83.0)</f>
        <v>83</v>
      </c>
      <c r="D5083" s="3">
        <f>IFERROR(__xludf.DUMMYFUNCTION("""COMPUTED_VALUE"""),50.0)</f>
        <v>50</v>
      </c>
      <c r="E5083" s="2"/>
      <c r="F5083" s="2"/>
    </row>
    <row r="5084">
      <c r="A5084" s="2">
        <f>IFERROR(__xludf.DUMMYFUNCTION("""COMPUTED_VALUE"""),90766.0)</f>
        <v>90766</v>
      </c>
      <c r="B5084" s="2">
        <f>IFERROR(__xludf.DUMMYFUNCTION("""COMPUTED_VALUE"""),1.0)</f>
        <v>1</v>
      </c>
      <c r="C5084" s="2">
        <f>IFERROR(__xludf.DUMMYFUNCTION("""COMPUTED_VALUE"""),616.0)</f>
        <v>616</v>
      </c>
      <c r="D5084" s="3">
        <f>IFERROR(__xludf.DUMMYFUNCTION("""COMPUTED_VALUE"""),224.0)</f>
        <v>224</v>
      </c>
      <c r="E5084" s="2"/>
      <c r="F5084" s="2"/>
    </row>
    <row r="5085">
      <c r="A5085" s="2">
        <f>IFERROR(__xludf.DUMMYFUNCTION("""COMPUTED_VALUE"""),5538.0)</f>
        <v>5538</v>
      </c>
      <c r="B5085" s="2">
        <f>IFERROR(__xludf.DUMMYFUNCTION("""COMPUTED_VALUE"""),1.0)</f>
        <v>1</v>
      </c>
      <c r="C5085" s="2">
        <f>IFERROR(__xludf.DUMMYFUNCTION("""COMPUTED_VALUE"""),288.0)</f>
        <v>288</v>
      </c>
      <c r="D5085" s="3">
        <f>IFERROR(__xludf.DUMMYFUNCTION("""COMPUTED_VALUE"""),282.0)</f>
        <v>282</v>
      </c>
      <c r="E5085" s="2"/>
      <c r="F5085" s="2"/>
    </row>
    <row r="5086">
      <c r="A5086" s="2">
        <f>IFERROR(__xludf.DUMMYFUNCTION("""COMPUTED_VALUE"""),68371.0)</f>
        <v>68371</v>
      </c>
      <c r="B5086" s="2">
        <f>IFERROR(__xludf.DUMMYFUNCTION("""COMPUTED_VALUE"""),0.0)</f>
        <v>0</v>
      </c>
      <c r="C5086" s="2">
        <f>IFERROR(__xludf.DUMMYFUNCTION("""COMPUTED_VALUE"""),593.0)</f>
        <v>593</v>
      </c>
      <c r="D5086" s="3">
        <f>IFERROR(__xludf.DUMMYFUNCTION("""COMPUTED_VALUE"""),299.0)</f>
        <v>299</v>
      </c>
      <c r="E5086" s="2"/>
      <c r="F5086" s="2"/>
    </row>
    <row r="5087">
      <c r="A5087" s="2">
        <f>IFERROR(__xludf.DUMMYFUNCTION("""COMPUTED_VALUE"""),90808.0)</f>
        <v>90808</v>
      </c>
      <c r="B5087" s="2">
        <f>IFERROR(__xludf.DUMMYFUNCTION("""COMPUTED_VALUE"""),0.0)</f>
        <v>0</v>
      </c>
      <c r="C5087" s="2">
        <f>IFERROR(__xludf.DUMMYFUNCTION("""COMPUTED_VALUE"""),74.0)</f>
        <v>74</v>
      </c>
      <c r="D5087" s="3">
        <f>IFERROR(__xludf.DUMMYFUNCTION("""COMPUTED_VALUE"""),59.0)</f>
        <v>59</v>
      </c>
      <c r="E5087" s="2"/>
      <c r="F5087" s="2"/>
    </row>
    <row r="5088">
      <c r="A5088" s="2">
        <f>IFERROR(__xludf.DUMMYFUNCTION("""COMPUTED_VALUE"""),5543.0)</f>
        <v>5543</v>
      </c>
      <c r="B5088" s="2">
        <f>IFERROR(__xludf.DUMMYFUNCTION("""COMPUTED_VALUE"""),1.0)</f>
        <v>1</v>
      </c>
      <c r="C5088" s="2">
        <f>IFERROR(__xludf.DUMMYFUNCTION("""COMPUTED_VALUE"""),305.0)</f>
        <v>305</v>
      </c>
      <c r="D5088" s="3">
        <f>IFERROR(__xludf.DUMMYFUNCTION("""COMPUTED_VALUE"""),216.0)</f>
        <v>216</v>
      </c>
      <c r="E5088" s="2"/>
      <c r="F5088" s="2"/>
    </row>
    <row r="5089">
      <c r="A5089" s="2">
        <f>IFERROR(__xludf.DUMMYFUNCTION("""COMPUTED_VALUE"""),76420.0)</f>
        <v>76420</v>
      </c>
      <c r="B5089" s="2">
        <f>IFERROR(__xludf.DUMMYFUNCTION("""COMPUTED_VALUE"""),0.0)</f>
        <v>0</v>
      </c>
      <c r="C5089" s="2">
        <f>IFERROR(__xludf.DUMMYFUNCTION("""COMPUTED_VALUE"""),667.0)</f>
        <v>667</v>
      </c>
      <c r="D5089" s="3">
        <f>IFERROR(__xludf.DUMMYFUNCTION("""COMPUTED_VALUE"""),168.0)</f>
        <v>168</v>
      </c>
      <c r="E5089" s="2"/>
      <c r="F5089" s="2"/>
    </row>
    <row r="5090">
      <c r="A5090" s="2">
        <f>IFERROR(__xludf.DUMMYFUNCTION("""COMPUTED_VALUE"""),68364.0)</f>
        <v>68364</v>
      </c>
      <c r="B5090" s="2">
        <f>IFERROR(__xludf.DUMMYFUNCTION("""COMPUTED_VALUE"""),1.0)</f>
        <v>1</v>
      </c>
      <c r="C5090" s="2">
        <f>IFERROR(__xludf.DUMMYFUNCTION("""COMPUTED_VALUE"""),660.0)</f>
        <v>660</v>
      </c>
      <c r="D5090" s="3">
        <f>IFERROR(__xludf.DUMMYFUNCTION("""COMPUTED_VALUE"""),34.0)</f>
        <v>34</v>
      </c>
      <c r="E5090" s="2"/>
      <c r="F5090" s="2"/>
    </row>
    <row r="5091">
      <c r="A5091" s="2">
        <f>IFERROR(__xludf.DUMMYFUNCTION("""COMPUTED_VALUE"""),5541.0)</f>
        <v>5541</v>
      </c>
      <c r="B5091" s="2">
        <f>IFERROR(__xludf.DUMMYFUNCTION("""COMPUTED_VALUE"""),0.0)</f>
        <v>0</v>
      </c>
      <c r="C5091" s="2">
        <f>IFERROR(__xludf.DUMMYFUNCTION("""COMPUTED_VALUE"""),225.0)</f>
        <v>225</v>
      </c>
      <c r="D5091" s="3">
        <f>IFERROR(__xludf.DUMMYFUNCTION("""COMPUTED_VALUE"""),33.0)</f>
        <v>33</v>
      </c>
      <c r="E5091" s="2"/>
      <c r="F5091" s="2"/>
    </row>
    <row r="5092">
      <c r="A5092" s="2">
        <f>IFERROR(__xludf.DUMMYFUNCTION("""COMPUTED_VALUE"""),5544.0)</f>
        <v>5544</v>
      </c>
      <c r="B5092" s="2">
        <f>IFERROR(__xludf.DUMMYFUNCTION("""COMPUTED_VALUE"""),0.0)</f>
        <v>0</v>
      </c>
      <c r="C5092" s="2">
        <f>IFERROR(__xludf.DUMMYFUNCTION("""COMPUTED_VALUE"""),790.0)</f>
        <v>790</v>
      </c>
      <c r="D5092" s="3">
        <f>IFERROR(__xludf.DUMMYFUNCTION("""COMPUTED_VALUE"""),181.0)</f>
        <v>181</v>
      </c>
      <c r="E5092" s="2"/>
      <c r="F5092" s="2"/>
    </row>
    <row r="5093">
      <c r="A5093" s="2">
        <f>IFERROR(__xludf.DUMMYFUNCTION("""COMPUTED_VALUE"""),122257.0)</f>
        <v>122257</v>
      </c>
      <c r="B5093" s="2">
        <f>IFERROR(__xludf.DUMMYFUNCTION("""COMPUTED_VALUE"""),1.0)</f>
        <v>1</v>
      </c>
      <c r="C5093" s="2">
        <f>IFERROR(__xludf.DUMMYFUNCTION("""COMPUTED_VALUE"""),778.0)</f>
        <v>778</v>
      </c>
      <c r="D5093" s="3">
        <f>IFERROR(__xludf.DUMMYFUNCTION("""COMPUTED_VALUE"""),431.0)</f>
        <v>431</v>
      </c>
      <c r="E5093" s="2"/>
      <c r="F5093" s="2"/>
    </row>
    <row r="5094">
      <c r="A5094" s="2">
        <f>IFERROR(__xludf.DUMMYFUNCTION("""COMPUTED_VALUE"""),90740.0)</f>
        <v>90740</v>
      </c>
      <c r="B5094" s="2">
        <f>IFERROR(__xludf.DUMMYFUNCTION("""COMPUTED_VALUE"""),0.0)</f>
        <v>0</v>
      </c>
      <c r="C5094" s="2">
        <f>IFERROR(__xludf.DUMMYFUNCTION("""COMPUTED_VALUE"""),363.0)</f>
        <v>363</v>
      </c>
      <c r="D5094" s="3">
        <f>IFERROR(__xludf.DUMMYFUNCTION("""COMPUTED_VALUE"""),164.0)</f>
        <v>164</v>
      </c>
      <c r="E5094" s="2"/>
      <c r="F5094" s="2"/>
    </row>
    <row r="5095">
      <c r="A5095" s="2">
        <f>IFERROR(__xludf.DUMMYFUNCTION("""COMPUTED_VALUE"""),48280.0)</f>
        <v>48280</v>
      </c>
      <c r="B5095" s="2">
        <f>IFERROR(__xludf.DUMMYFUNCTION("""COMPUTED_VALUE"""),0.0)</f>
        <v>0</v>
      </c>
      <c r="C5095" s="2">
        <f>IFERROR(__xludf.DUMMYFUNCTION("""COMPUTED_VALUE"""),841.0)</f>
        <v>841</v>
      </c>
      <c r="D5095" s="3">
        <f>IFERROR(__xludf.DUMMYFUNCTION("""COMPUTED_VALUE"""),559.0)</f>
        <v>559</v>
      </c>
      <c r="E5095" s="2"/>
      <c r="F5095" s="2"/>
    </row>
    <row r="5096">
      <c r="A5096" s="2">
        <f>IFERROR(__xludf.DUMMYFUNCTION("""COMPUTED_VALUE"""),71191.0)</f>
        <v>71191</v>
      </c>
      <c r="B5096" s="2">
        <f>IFERROR(__xludf.DUMMYFUNCTION("""COMPUTED_VALUE"""),1.0)</f>
        <v>1</v>
      </c>
      <c r="C5096" s="2">
        <f>IFERROR(__xludf.DUMMYFUNCTION("""COMPUTED_VALUE"""),216.0)</f>
        <v>216</v>
      </c>
      <c r="D5096" s="3">
        <f>IFERROR(__xludf.DUMMYFUNCTION("""COMPUTED_VALUE"""),173.0)</f>
        <v>173</v>
      </c>
      <c r="E5096" s="2"/>
      <c r="F5096" s="2"/>
    </row>
    <row r="5097">
      <c r="A5097" s="2">
        <f>IFERROR(__xludf.DUMMYFUNCTION("""COMPUTED_VALUE"""),76418.0)</f>
        <v>76418</v>
      </c>
      <c r="B5097" s="2">
        <f>IFERROR(__xludf.DUMMYFUNCTION("""COMPUTED_VALUE"""),1.0)</f>
        <v>1</v>
      </c>
      <c r="C5097" s="2">
        <f>IFERROR(__xludf.DUMMYFUNCTION("""COMPUTED_VALUE"""),390.0)</f>
        <v>390</v>
      </c>
      <c r="D5097" s="3">
        <f>IFERROR(__xludf.DUMMYFUNCTION("""COMPUTED_VALUE"""),331.0)</f>
        <v>331</v>
      </c>
      <c r="E5097" s="2"/>
      <c r="F5097" s="2"/>
    </row>
    <row r="5098">
      <c r="A5098" s="2">
        <f>IFERROR(__xludf.DUMMYFUNCTION("""COMPUTED_VALUE"""),87161.0)</f>
        <v>87161</v>
      </c>
      <c r="B5098" s="2">
        <f>IFERROR(__xludf.DUMMYFUNCTION("""COMPUTED_VALUE"""),1.0)</f>
        <v>1</v>
      </c>
      <c r="C5098" s="2">
        <f>IFERROR(__xludf.DUMMYFUNCTION("""COMPUTED_VALUE"""),498.0)</f>
        <v>498</v>
      </c>
      <c r="D5098" s="3">
        <f>IFERROR(__xludf.DUMMYFUNCTION("""COMPUTED_VALUE"""),213.0)</f>
        <v>213</v>
      </c>
      <c r="E5098" s="2"/>
      <c r="F5098" s="2"/>
    </row>
    <row r="5099">
      <c r="A5099" s="2">
        <f>IFERROR(__xludf.DUMMYFUNCTION("""COMPUTED_VALUE"""),68323.0)</f>
        <v>68323</v>
      </c>
      <c r="B5099" s="2">
        <f>IFERROR(__xludf.DUMMYFUNCTION("""COMPUTED_VALUE"""),1.0)</f>
        <v>1</v>
      </c>
      <c r="C5099" s="2">
        <f>IFERROR(__xludf.DUMMYFUNCTION("""COMPUTED_VALUE"""),292.0)</f>
        <v>292</v>
      </c>
      <c r="D5099" s="3">
        <f>IFERROR(__xludf.DUMMYFUNCTION("""COMPUTED_VALUE"""),26.0)</f>
        <v>26</v>
      </c>
      <c r="E5099" s="2"/>
      <c r="F5099" s="2"/>
    </row>
    <row r="5100">
      <c r="A5100" s="2">
        <f>IFERROR(__xludf.DUMMYFUNCTION("""COMPUTED_VALUE"""),72847.0)</f>
        <v>72847</v>
      </c>
      <c r="B5100" s="2">
        <f>IFERROR(__xludf.DUMMYFUNCTION("""COMPUTED_VALUE"""),0.0)</f>
        <v>0</v>
      </c>
      <c r="C5100" s="2">
        <f>IFERROR(__xludf.DUMMYFUNCTION("""COMPUTED_VALUE"""),847.0)</f>
        <v>847</v>
      </c>
      <c r="D5100" s="3">
        <f>IFERROR(__xludf.DUMMYFUNCTION("""COMPUTED_VALUE"""),692.0)</f>
        <v>692</v>
      </c>
      <c r="E5100" s="2"/>
      <c r="F5100" s="2"/>
    </row>
    <row r="5101">
      <c r="A5101" s="2">
        <f>IFERROR(__xludf.DUMMYFUNCTION("""COMPUTED_VALUE"""),90799.0)</f>
        <v>90799</v>
      </c>
      <c r="B5101" s="2">
        <f>IFERROR(__xludf.DUMMYFUNCTION("""COMPUTED_VALUE"""),0.0)</f>
        <v>0</v>
      </c>
      <c r="C5101" s="2">
        <f>IFERROR(__xludf.DUMMYFUNCTION("""COMPUTED_VALUE"""),673.0)</f>
        <v>673</v>
      </c>
      <c r="D5101" s="3">
        <f>IFERROR(__xludf.DUMMYFUNCTION("""COMPUTED_VALUE"""),22.0)</f>
        <v>22</v>
      </c>
      <c r="E5101" s="2"/>
      <c r="F5101" s="2"/>
    </row>
    <row r="5102">
      <c r="A5102" s="2">
        <f>IFERROR(__xludf.DUMMYFUNCTION("""COMPUTED_VALUE"""),71194.0)</f>
        <v>71194</v>
      </c>
      <c r="B5102" s="2">
        <f>IFERROR(__xludf.DUMMYFUNCTION("""COMPUTED_VALUE"""),0.0)</f>
        <v>0</v>
      </c>
      <c r="C5102" s="2">
        <f>IFERROR(__xludf.DUMMYFUNCTION("""COMPUTED_VALUE"""),685.0)</f>
        <v>685</v>
      </c>
      <c r="D5102" s="3">
        <f>IFERROR(__xludf.DUMMYFUNCTION("""COMPUTED_VALUE"""),188.0)</f>
        <v>188</v>
      </c>
      <c r="E5102" s="2"/>
      <c r="F5102" s="2"/>
    </row>
    <row r="5103">
      <c r="A5103" s="2">
        <f>IFERROR(__xludf.DUMMYFUNCTION("""COMPUTED_VALUE"""),68378.0)</f>
        <v>68378</v>
      </c>
      <c r="B5103" s="2">
        <f>IFERROR(__xludf.DUMMYFUNCTION("""COMPUTED_VALUE"""),1.0)</f>
        <v>1</v>
      </c>
      <c r="C5103" s="2">
        <f>IFERROR(__xludf.DUMMYFUNCTION("""COMPUTED_VALUE"""),901.0)</f>
        <v>901</v>
      </c>
      <c r="D5103" s="3">
        <f>IFERROR(__xludf.DUMMYFUNCTION("""COMPUTED_VALUE"""),587.0)</f>
        <v>587</v>
      </c>
      <c r="E5103" s="2"/>
      <c r="F5103" s="2"/>
    </row>
    <row r="5104">
      <c r="A5104" s="2">
        <f>IFERROR(__xludf.DUMMYFUNCTION("""COMPUTED_VALUE"""),76426.0)</f>
        <v>76426</v>
      </c>
      <c r="B5104" s="2">
        <f>IFERROR(__xludf.DUMMYFUNCTION("""COMPUTED_VALUE"""),1.0)</f>
        <v>1</v>
      </c>
      <c r="C5104" s="2">
        <f>IFERROR(__xludf.DUMMYFUNCTION("""COMPUTED_VALUE"""),587.0)</f>
        <v>587</v>
      </c>
      <c r="D5104" s="3">
        <f>IFERROR(__xludf.DUMMYFUNCTION("""COMPUTED_VALUE"""),551.0)</f>
        <v>551</v>
      </c>
      <c r="E5104" s="2"/>
      <c r="F5104" s="2"/>
    </row>
    <row r="5105">
      <c r="A5105" s="2">
        <f>IFERROR(__xludf.DUMMYFUNCTION("""COMPUTED_VALUE"""),76413.0)</f>
        <v>76413</v>
      </c>
      <c r="B5105" s="2">
        <f>IFERROR(__xludf.DUMMYFUNCTION("""COMPUTED_VALUE"""),1.0)</f>
        <v>1</v>
      </c>
      <c r="C5105" s="2">
        <f>IFERROR(__xludf.DUMMYFUNCTION("""COMPUTED_VALUE"""),735.0)</f>
        <v>735</v>
      </c>
      <c r="D5105" s="3">
        <f>IFERROR(__xludf.DUMMYFUNCTION("""COMPUTED_VALUE"""),579.0)</f>
        <v>579</v>
      </c>
      <c r="E5105" s="2"/>
      <c r="F5105" s="2"/>
    </row>
    <row r="5106">
      <c r="A5106" s="2">
        <f>IFERROR(__xludf.DUMMYFUNCTION("""COMPUTED_VALUE"""),68306.0)</f>
        <v>68306</v>
      </c>
      <c r="B5106" s="2">
        <f>IFERROR(__xludf.DUMMYFUNCTION("""COMPUTED_VALUE"""),1.0)</f>
        <v>1</v>
      </c>
      <c r="C5106" s="2">
        <f>IFERROR(__xludf.DUMMYFUNCTION("""COMPUTED_VALUE"""),-7.0)</f>
        <v>-7</v>
      </c>
      <c r="D5106" s="3">
        <f>IFERROR(__xludf.DUMMYFUNCTION("""COMPUTED_VALUE"""),-2.0)</f>
        <v>-2</v>
      </c>
      <c r="E5106" s="2"/>
      <c r="F5106" s="2"/>
    </row>
    <row r="5107">
      <c r="A5107" s="2">
        <f>IFERROR(__xludf.DUMMYFUNCTION("""COMPUTED_VALUE"""),48283.0)</f>
        <v>48283</v>
      </c>
      <c r="B5107" s="2">
        <f>IFERROR(__xludf.DUMMYFUNCTION("""COMPUTED_VALUE"""),1.0)</f>
        <v>1</v>
      </c>
      <c r="C5107" s="2">
        <f>IFERROR(__xludf.DUMMYFUNCTION("""COMPUTED_VALUE"""),256.0)</f>
        <v>256</v>
      </c>
      <c r="D5107" s="3">
        <f>IFERROR(__xludf.DUMMYFUNCTION("""COMPUTED_VALUE"""),7.0)</f>
        <v>7</v>
      </c>
      <c r="E5107" s="2"/>
      <c r="F5107" s="2"/>
    </row>
    <row r="5108">
      <c r="A5108" s="2">
        <f>IFERROR(__xludf.DUMMYFUNCTION("""COMPUTED_VALUE"""),81172.0)</f>
        <v>81172</v>
      </c>
      <c r="B5108" s="2">
        <f>IFERROR(__xludf.DUMMYFUNCTION("""COMPUTED_VALUE"""),1.0)</f>
        <v>1</v>
      </c>
      <c r="C5108" s="2">
        <f>IFERROR(__xludf.DUMMYFUNCTION("""COMPUTED_VALUE"""),580.0)</f>
        <v>580</v>
      </c>
      <c r="D5108" s="3">
        <f>IFERROR(__xludf.DUMMYFUNCTION("""COMPUTED_VALUE"""),121.0)</f>
        <v>121</v>
      </c>
      <c r="E5108" s="2"/>
      <c r="F5108" s="2"/>
    </row>
    <row r="5109">
      <c r="A5109" s="2">
        <f>IFERROR(__xludf.DUMMYFUNCTION("""COMPUTED_VALUE"""),68328.0)</f>
        <v>68328</v>
      </c>
      <c r="B5109" s="2">
        <f>IFERROR(__xludf.DUMMYFUNCTION("""COMPUTED_VALUE"""),1.0)</f>
        <v>1</v>
      </c>
      <c r="C5109" s="2">
        <f>IFERROR(__xludf.DUMMYFUNCTION("""COMPUTED_VALUE"""),605.0)</f>
        <v>605</v>
      </c>
      <c r="D5109" s="3">
        <f>IFERROR(__xludf.DUMMYFUNCTION("""COMPUTED_VALUE"""),158.0)</f>
        <v>158</v>
      </c>
      <c r="E5109" s="2"/>
      <c r="F5109" s="2"/>
    </row>
    <row r="5110">
      <c r="A5110" s="2">
        <f>IFERROR(__xludf.DUMMYFUNCTION("""COMPUTED_VALUE"""),158667.0)</f>
        <v>158667</v>
      </c>
      <c r="B5110" s="2">
        <f>IFERROR(__xludf.DUMMYFUNCTION("""COMPUTED_VALUE"""),0.0)</f>
        <v>0</v>
      </c>
      <c r="C5110" s="2">
        <f>IFERROR(__xludf.DUMMYFUNCTION("""COMPUTED_VALUE"""),513.0)</f>
        <v>513</v>
      </c>
      <c r="D5110" s="3">
        <f>IFERROR(__xludf.DUMMYFUNCTION("""COMPUTED_VALUE"""),193.0)</f>
        <v>193</v>
      </c>
      <c r="E5110" s="2"/>
      <c r="F5110" s="2"/>
    </row>
    <row r="5111">
      <c r="A5111" s="2">
        <f>IFERROR(__xludf.DUMMYFUNCTION("""COMPUTED_VALUE"""),5539.0)</f>
        <v>5539</v>
      </c>
      <c r="B5111" s="2">
        <f>IFERROR(__xludf.DUMMYFUNCTION("""COMPUTED_VALUE"""),1.0)</f>
        <v>1</v>
      </c>
      <c r="C5111" s="2">
        <f>IFERROR(__xludf.DUMMYFUNCTION("""COMPUTED_VALUE"""),180.0)</f>
        <v>180</v>
      </c>
      <c r="D5111" s="3">
        <f>IFERROR(__xludf.DUMMYFUNCTION("""COMPUTED_VALUE"""),73.0)</f>
        <v>73</v>
      </c>
      <c r="E5111" s="2"/>
      <c r="F5111" s="2"/>
    </row>
    <row r="5112">
      <c r="A5112" s="2">
        <f>IFERROR(__xludf.DUMMYFUNCTION("""COMPUTED_VALUE"""),68413.0)</f>
        <v>68413</v>
      </c>
      <c r="B5112" s="2">
        <f>IFERROR(__xludf.DUMMYFUNCTION("""COMPUTED_VALUE"""),0.0)</f>
        <v>0</v>
      </c>
      <c r="C5112" s="2">
        <f>IFERROR(__xludf.DUMMYFUNCTION("""COMPUTED_VALUE"""),582.0)</f>
        <v>582</v>
      </c>
      <c r="D5112" s="3">
        <f>IFERROR(__xludf.DUMMYFUNCTION("""COMPUTED_VALUE"""),482.0)</f>
        <v>482</v>
      </c>
      <c r="E5112" s="2"/>
      <c r="F5112" s="2"/>
    </row>
    <row r="5113">
      <c r="A5113" s="2">
        <f>IFERROR(__xludf.DUMMYFUNCTION("""COMPUTED_VALUE"""),68345.0)</f>
        <v>68345</v>
      </c>
      <c r="B5113" s="2">
        <f>IFERROR(__xludf.DUMMYFUNCTION("""COMPUTED_VALUE"""),1.0)</f>
        <v>1</v>
      </c>
      <c r="C5113" s="2">
        <f>IFERROR(__xludf.DUMMYFUNCTION("""COMPUTED_VALUE"""),734.0)</f>
        <v>734</v>
      </c>
      <c r="D5113" s="3">
        <f>IFERROR(__xludf.DUMMYFUNCTION("""COMPUTED_VALUE"""),287.0)</f>
        <v>287</v>
      </c>
      <c r="E5113" s="2"/>
      <c r="F5113" s="2"/>
    </row>
    <row r="5114">
      <c r="A5114" s="2">
        <f>IFERROR(__xludf.DUMMYFUNCTION("""COMPUTED_VALUE"""),70377.0)</f>
        <v>70377</v>
      </c>
      <c r="B5114" s="2">
        <f>IFERROR(__xludf.DUMMYFUNCTION("""COMPUTED_VALUE"""),1.0)</f>
        <v>1</v>
      </c>
      <c r="C5114" s="2">
        <f>IFERROR(__xludf.DUMMYFUNCTION("""COMPUTED_VALUE"""),574.0)</f>
        <v>574</v>
      </c>
      <c r="D5114" s="3">
        <f>IFERROR(__xludf.DUMMYFUNCTION("""COMPUTED_VALUE"""),241.0)</f>
        <v>241</v>
      </c>
      <c r="E5114" s="2"/>
      <c r="F5114" s="2"/>
    </row>
    <row r="5115">
      <c r="A5115" s="2">
        <f>IFERROR(__xludf.DUMMYFUNCTION("""COMPUTED_VALUE"""),126547.0)</f>
        <v>126547</v>
      </c>
      <c r="B5115" s="2">
        <f>IFERROR(__xludf.DUMMYFUNCTION("""COMPUTED_VALUE"""),0.0)</f>
        <v>0</v>
      </c>
      <c r="C5115" s="2">
        <f>IFERROR(__xludf.DUMMYFUNCTION("""COMPUTED_VALUE"""),439.0)</f>
        <v>439</v>
      </c>
      <c r="D5115" s="3">
        <f>IFERROR(__xludf.DUMMYFUNCTION("""COMPUTED_VALUE"""),239.0)</f>
        <v>239</v>
      </c>
      <c r="E5115" s="2"/>
      <c r="F5115" s="2"/>
    </row>
    <row r="5116">
      <c r="A5116" s="2">
        <f>IFERROR(__xludf.DUMMYFUNCTION("""COMPUTED_VALUE"""),117218.0)</f>
        <v>117218</v>
      </c>
      <c r="B5116" s="2">
        <f>IFERROR(__xludf.DUMMYFUNCTION("""COMPUTED_VALUE"""),0.0)</f>
        <v>0</v>
      </c>
      <c r="C5116" s="2">
        <f>IFERROR(__xludf.DUMMYFUNCTION("""COMPUTED_VALUE"""),415.0)</f>
        <v>415</v>
      </c>
      <c r="D5116" s="3">
        <f>IFERROR(__xludf.DUMMYFUNCTION("""COMPUTED_VALUE"""),263.0)</f>
        <v>263</v>
      </c>
      <c r="E5116" s="2"/>
      <c r="F5116" s="2"/>
    </row>
    <row r="5117">
      <c r="A5117" s="2">
        <f>IFERROR(__xludf.DUMMYFUNCTION("""COMPUTED_VALUE"""),158668.0)</f>
        <v>158668</v>
      </c>
      <c r="B5117" s="2">
        <f>IFERROR(__xludf.DUMMYFUNCTION("""COMPUTED_VALUE"""),1.0)</f>
        <v>1</v>
      </c>
      <c r="C5117" s="2">
        <f>IFERROR(__xludf.DUMMYFUNCTION("""COMPUTED_VALUE"""),111.0)</f>
        <v>111</v>
      </c>
      <c r="D5117" s="3">
        <f>IFERROR(__xludf.DUMMYFUNCTION("""COMPUTED_VALUE"""),80.0)</f>
        <v>80</v>
      </c>
      <c r="E5117" s="2"/>
      <c r="F5117" s="2"/>
    </row>
    <row r="5118">
      <c r="A5118" s="2">
        <f>IFERROR(__xludf.DUMMYFUNCTION("""COMPUTED_VALUE"""),19314.0)</f>
        <v>19314</v>
      </c>
      <c r="B5118" s="2">
        <f>IFERROR(__xludf.DUMMYFUNCTION("""COMPUTED_VALUE"""),1.0)</f>
        <v>1</v>
      </c>
      <c r="C5118" s="2">
        <f>IFERROR(__xludf.DUMMYFUNCTION("""COMPUTED_VALUE"""),428.0)</f>
        <v>428</v>
      </c>
      <c r="D5118" s="3">
        <f>IFERROR(__xludf.DUMMYFUNCTION("""COMPUTED_VALUE"""),93.0)</f>
        <v>93</v>
      </c>
      <c r="E5118" s="2"/>
      <c r="F5118" s="2"/>
    </row>
    <row r="5119">
      <c r="A5119" s="2">
        <f>IFERROR(__xludf.DUMMYFUNCTION("""COMPUTED_VALUE"""),113867.0)</f>
        <v>113867</v>
      </c>
      <c r="B5119" s="2">
        <f>IFERROR(__xludf.DUMMYFUNCTION("""COMPUTED_VALUE"""),0.0)</f>
        <v>0</v>
      </c>
      <c r="C5119" s="2">
        <f>IFERROR(__xludf.DUMMYFUNCTION("""COMPUTED_VALUE"""),897.0)</f>
        <v>897</v>
      </c>
      <c r="D5119" s="3">
        <f>IFERROR(__xludf.DUMMYFUNCTION("""COMPUTED_VALUE"""),24.0)</f>
        <v>24</v>
      </c>
      <c r="E5119" s="2"/>
      <c r="F5119" s="2"/>
    </row>
    <row r="5120">
      <c r="A5120" s="2">
        <f>IFERROR(__xludf.DUMMYFUNCTION("""COMPUTED_VALUE"""),19294.0)</f>
        <v>19294</v>
      </c>
      <c r="B5120" s="2">
        <f>IFERROR(__xludf.DUMMYFUNCTION("""COMPUTED_VALUE"""),1.0)</f>
        <v>1</v>
      </c>
      <c r="C5120" s="2">
        <f>IFERROR(__xludf.DUMMYFUNCTION("""COMPUTED_VALUE"""),226.0)</f>
        <v>226</v>
      </c>
      <c r="D5120" s="3">
        <f>IFERROR(__xludf.DUMMYFUNCTION("""COMPUTED_VALUE"""),182.0)</f>
        <v>182</v>
      </c>
      <c r="E5120" s="2"/>
      <c r="F5120" s="2"/>
    </row>
    <row r="5121">
      <c r="A5121" s="2">
        <f>IFERROR(__xludf.DUMMYFUNCTION("""COMPUTED_VALUE"""),90961.0)</f>
        <v>90961</v>
      </c>
      <c r="B5121" s="2">
        <f>IFERROR(__xludf.DUMMYFUNCTION("""COMPUTED_VALUE"""),1.0)</f>
        <v>1</v>
      </c>
      <c r="C5121" s="2">
        <f>IFERROR(__xludf.DUMMYFUNCTION("""COMPUTED_VALUE"""),566.0)</f>
        <v>566</v>
      </c>
      <c r="D5121" s="3">
        <f>IFERROR(__xludf.DUMMYFUNCTION("""COMPUTED_VALUE"""),161.0)</f>
        <v>161</v>
      </c>
      <c r="E5121" s="2"/>
      <c r="F5121" s="2"/>
    </row>
    <row r="5122">
      <c r="A5122" s="2">
        <f>IFERROR(__xludf.DUMMYFUNCTION("""COMPUTED_VALUE"""),118480.0)</f>
        <v>118480</v>
      </c>
      <c r="B5122" s="2">
        <f>IFERROR(__xludf.DUMMYFUNCTION("""COMPUTED_VALUE"""),0.0)</f>
        <v>0</v>
      </c>
      <c r="C5122" s="2">
        <f>IFERROR(__xludf.DUMMYFUNCTION("""COMPUTED_VALUE"""),313.0)</f>
        <v>313</v>
      </c>
      <c r="D5122" s="3">
        <f>IFERROR(__xludf.DUMMYFUNCTION("""COMPUTED_VALUE"""),84.0)</f>
        <v>84</v>
      </c>
      <c r="E5122" s="2"/>
      <c r="F5122" s="2"/>
    </row>
    <row r="5123">
      <c r="A5123" s="2">
        <f>IFERROR(__xludf.DUMMYFUNCTION("""COMPUTED_VALUE"""),98337.0)</f>
        <v>98337</v>
      </c>
      <c r="B5123" s="2">
        <f>IFERROR(__xludf.DUMMYFUNCTION("""COMPUTED_VALUE"""),0.0)</f>
        <v>0</v>
      </c>
      <c r="C5123" s="2">
        <f>IFERROR(__xludf.DUMMYFUNCTION("""COMPUTED_VALUE"""),590.0)</f>
        <v>590</v>
      </c>
      <c r="D5123" s="3">
        <f>IFERROR(__xludf.DUMMYFUNCTION("""COMPUTED_VALUE"""),261.0)</f>
        <v>261</v>
      </c>
      <c r="E5123" s="2"/>
      <c r="F5123" s="2"/>
    </row>
    <row r="5124">
      <c r="A5124" s="2">
        <f>IFERROR(__xludf.DUMMYFUNCTION("""COMPUTED_VALUE"""),90955.0)</f>
        <v>90955</v>
      </c>
      <c r="B5124" s="2">
        <f>IFERROR(__xludf.DUMMYFUNCTION("""COMPUTED_VALUE"""),0.0)</f>
        <v>0</v>
      </c>
      <c r="C5124" s="2">
        <f>IFERROR(__xludf.DUMMYFUNCTION("""COMPUTED_VALUE"""),913.0)</f>
        <v>913</v>
      </c>
      <c r="D5124" s="3">
        <f>IFERROR(__xludf.DUMMYFUNCTION("""COMPUTED_VALUE"""),47.0)</f>
        <v>47</v>
      </c>
      <c r="E5124" s="2"/>
      <c r="F5124" s="2"/>
    </row>
    <row r="5125">
      <c r="A5125" s="2">
        <f>IFERROR(__xludf.DUMMYFUNCTION("""COMPUTED_VALUE"""),19303.0)</f>
        <v>19303</v>
      </c>
      <c r="B5125" s="2">
        <f>IFERROR(__xludf.DUMMYFUNCTION("""COMPUTED_VALUE"""),1.0)</f>
        <v>1</v>
      </c>
      <c r="C5125" s="2">
        <f>IFERROR(__xludf.DUMMYFUNCTION("""COMPUTED_VALUE"""),316.0)</f>
        <v>316</v>
      </c>
      <c r="D5125" s="3">
        <f>IFERROR(__xludf.DUMMYFUNCTION("""COMPUTED_VALUE"""),222.0)</f>
        <v>222</v>
      </c>
      <c r="E5125" s="2"/>
      <c r="F5125" s="2"/>
    </row>
    <row r="5126">
      <c r="A5126" s="2">
        <f>IFERROR(__xludf.DUMMYFUNCTION("""COMPUTED_VALUE"""),98338.0)</f>
        <v>98338</v>
      </c>
      <c r="B5126" s="2">
        <f>IFERROR(__xludf.DUMMYFUNCTION("""COMPUTED_VALUE"""),0.0)</f>
        <v>0</v>
      </c>
      <c r="C5126" s="2">
        <f>IFERROR(__xludf.DUMMYFUNCTION("""COMPUTED_VALUE"""),878.0)</f>
        <v>878</v>
      </c>
      <c r="D5126" s="3">
        <f>IFERROR(__xludf.DUMMYFUNCTION("""COMPUTED_VALUE"""),580.0)</f>
        <v>580</v>
      </c>
      <c r="E5126" s="2"/>
      <c r="F5126" s="2"/>
    </row>
    <row r="5127">
      <c r="A5127" s="2">
        <f>IFERROR(__xludf.DUMMYFUNCTION("""COMPUTED_VALUE"""),98339.0)</f>
        <v>98339</v>
      </c>
      <c r="B5127" s="2">
        <f>IFERROR(__xludf.DUMMYFUNCTION("""COMPUTED_VALUE"""),1.0)</f>
        <v>1</v>
      </c>
      <c r="C5127" s="2">
        <f>IFERROR(__xludf.DUMMYFUNCTION("""COMPUTED_VALUE"""),414.0)</f>
        <v>414</v>
      </c>
      <c r="D5127" s="3">
        <f>IFERROR(__xludf.DUMMYFUNCTION("""COMPUTED_VALUE"""),294.0)</f>
        <v>294</v>
      </c>
      <c r="E5127" s="2"/>
      <c r="F5127" s="2"/>
    </row>
    <row r="5128">
      <c r="A5128" s="2">
        <f>IFERROR(__xludf.DUMMYFUNCTION("""COMPUTED_VALUE"""),19296.0)</f>
        <v>19296</v>
      </c>
      <c r="B5128" s="2">
        <f>IFERROR(__xludf.DUMMYFUNCTION("""COMPUTED_VALUE"""),1.0)</f>
        <v>1</v>
      </c>
      <c r="C5128" s="2">
        <f>IFERROR(__xludf.DUMMYFUNCTION("""COMPUTED_VALUE"""),51.0)</f>
        <v>51</v>
      </c>
      <c r="D5128" s="3">
        <f>IFERROR(__xludf.DUMMYFUNCTION("""COMPUTED_VALUE"""),34.0)</f>
        <v>34</v>
      </c>
      <c r="E5128" s="2"/>
      <c r="F5128" s="2"/>
    </row>
    <row r="5129">
      <c r="A5129" s="2">
        <f>IFERROR(__xludf.DUMMYFUNCTION("""COMPUTED_VALUE"""),19306.0)</f>
        <v>19306</v>
      </c>
      <c r="B5129" s="2">
        <f>IFERROR(__xludf.DUMMYFUNCTION("""COMPUTED_VALUE"""),1.0)</f>
        <v>1</v>
      </c>
      <c r="C5129" s="2">
        <f>IFERROR(__xludf.DUMMYFUNCTION("""COMPUTED_VALUE"""),266.0)</f>
        <v>266</v>
      </c>
      <c r="D5129" s="3">
        <f>IFERROR(__xludf.DUMMYFUNCTION("""COMPUTED_VALUE"""),99.0)</f>
        <v>99</v>
      </c>
      <c r="E5129" s="2"/>
      <c r="F5129" s="2"/>
    </row>
    <row r="5130">
      <c r="A5130" s="2">
        <f>IFERROR(__xludf.DUMMYFUNCTION("""COMPUTED_VALUE"""),90969.0)</f>
        <v>90969</v>
      </c>
      <c r="B5130" s="2">
        <f>IFERROR(__xludf.DUMMYFUNCTION("""COMPUTED_VALUE"""),0.0)</f>
        <v>0</v>
      </c>
      <c r="C5130" s="2">
        <f>IFERROR(__xludf.DUMMYFUNCTION("""COMPUTED_VALUE"""),514.0)</f>
        <v>514</v>
      </c>
      <c r="D5130" s="3">
        <f>IFERROR(__xludf.DUMMYFUNCTION("""COMPUTED_VALUE"""),292.0)</f>
        <v>292</v>
      </c>
      <c r="E5130" s="2"/>
      <c r="F5130" s="2"/>
    </row>
    <row r="5131">
      <c r="A5131" s="2">
        <f>IFERROR(__xludf.DUMMYFUNCTION("""COMPUTED_VALUE"""),19299.0)</f>
        <v>19299</v>
      </c>
      <c r="B5131" s="2">
        <f>IFERROR(__xludf.DUMMYFUNCTION("""COMPUTED_VALUE"""),0.0)</f>
        <v>0</v>
      </c>
      <c r="C5131" s="2">
        <f>IFERROR(__xludf.DUMMYFUNCTION("""COMPUTED_VALUE"""),342.0)</f>
        <v>342</v>
      </c>
      <c r="D5131" s="3">
        <f>IFERROR(__xludf.DUMMYFUNCTION("""COMPUTED_VALUE"""),216.0)</f>
        <v>216</v>
      </c>
      <c r="E5131" s="2"/>
      <c r="F5131" s="2"/>
    </row>
    <row r="5132">
      <c r="A5132" s="2">
        <f>IFERROR(__xludf.DUMMYFUNCTION("""COMPUTED_VALUE"""),5764.0)</f>
        <v>5764</v>
      </c>
      <c r="B5132" s="2">
        <f>IFERROR(__xludf.DUMMYFUNCTION("""COMPUTED_VALUE"""),1.0)</f>
        <v>1</v>
      </c>
      <c r="C5132" s="2">
        <f>IFERROR(__xludf.DUMMYFUNCTION("""COMPUTED_VALUE"""),494.0)</f>
        <v>494</v>
      </c>
      <c r="D5132" s="3">
        <f>IFERROR(__xludf.DUMMYFUNCTION("""COMPUTED_VALUE"""),235.0)</f>
        <v>235</v>
      </c>
      <c r="E5132" s="2"/>
      <c r="F5132" s="2"/>
    </row>
    <row r="5133">
      <c r="A5133" s="2">
        <f>IFERROR(__xludf.DUMMYFUNCTION("""COMPUTED_VALUE"""),114667.0)</f>
        <v>114667</v>
      </c>
      <c r="B5133" s="2">
        <f>IFERROR(__xludf.DUMMYFUNCTION("""COMPUTED_VALUE"""),0.0)</f>
        <v>0</v>
      </c>
      <c r="C5133" s="2">
        <f>IFERROR(__xludf.DUMMYFUNCTION("""COMPUTED_VALUE"""),386.0)</f>
        <v>386</v>
      </c>
      <c r="D5133" s="3">
        <f>IFERROR(__xludf.DUMMYFUNCTION("""COMPUTED_VALUE"""),290.0)</f>
        <v>290</v>
      </c>
      <c r="E5133" s="2"/>
      <c r="F5133" s="2"/>
    </row>
    <row r="5134">
      <c r="A5134" s="2">
        <f>IFERROR(__xludf.DUMMYFUNCTION("""COMPUTED_VALUE"""),113870.0)</f>
        <v>113870</v>
      </c>
      <c r="B5134" s="2">
        <f>IFERROR(__xludf.DUMMYFUNCTION("""COMPUTED_VALUE"""),1.0)</f>
        <v>1</v>
      </c>
      <c r="C5134" s="2">
        <f>IFERROR(__xludf.DUMMYFUNCTION("""COMPUTED_VALUE"""),578.0)</f>
        <v>578</v>
      </c>
      <c r="D5134" s="3">
        <f>IFERROR(__xludf.DUMMYFUNCTION("""COMPUTED_VALUE"""),368.0)</f>
        <v>368</v>
      </c>
      <c r="E5134" s="2"/>
      <c r="F5134" s="2"/>
    </row>
    <row r="5135">
      <c r="A5135" s="2">
        <f>IFERROR(__xludf.DUMMYFUNCTION("""COMPUTED_VALUE"""),127918.0)</f>
        <v>127918</v>
      </c>
      <c r="B5135" s="2">
        <f>IFERROR(__xludf.DUMMYFUNCTION("""COMPUTED_VALUE"""),0.0)</f>
        <v>0</v>
      </c>
      <c r="C5135" s="2">
        <f>IFERROR(__xludf.DUMMYFUNCTION("""COMPUTED_VALUE"""),883.0)</f>
        <v>883</v>
      </c>
      <c r="D5135" s="3">
        <f>IFERROR(__xludf.DUMMYFUNCTION("""COMPUTED_VALUE"""),541.0)</f>
        <v>541</v>
      </c>
      <c r="E5135" s="2"/>
      <c r="F5135" s="2"/>
    </row>
    <row r="5136">
      <c r="A5136" s="2">
        <f>IFERROR(__xludf.DUMMYFUNCTION("""COMPUTED_VALUE"""),127917.0)</f>
        <v>127917</v>
      </c>
      <c r="B5136" s="2">
        <f>IFERROR(__xludf.DUMMYFUNCTION("""COMPUTED_VALUE"""),0.0)</f>
        <v>0</v>
      </c>
      <c r="C5136" s="2">
        <f>IFERROR(__xludf.DUMMYFUNCTION("""COMPUTED_VALUE"""),-9.0)</f>
        <v>-9</v>
      </c>
      <c r="D5136" s="3">
        <f>IFERROR(__xludf.DUMMYFUNCTION("""COMPUTED_VALUE"""),-9.0)</f>
        <v>-9</v>
      </c>
      <c r="E5136" s="2"/>
      <c r="F5136" s="2"/>
    </row>
    <row r="5137">
      <c r="A5137" s="2">
        <f>IFERROR(__xludf.DUMMYFUNCTION("""COMPUTED_VALUE"""),19297.0)</f>
        <v>19297</v>
      </c>
      <c r="B5137" s="2">
        <f>IFERROR(__xludf.DUMMYFUNCTION("""COMPUTED_VALUE"""),0.0)</f>
        <v>0</v>
      </c>
      <c r="C5137" s="2">
        <f>IFERROR(__xludf.DUMMYFUNCTION("""COMPUTED_VALUE"""),608.0)</f>
        <v>608</v>
      </c>
      <c r="D5137" s="3">
        <f>IFERROR(__xludf.DUMMYFUNCTION("""COMPUTED_VALUE"""),451.0)</f>
        <v>451</v>
      </c>
      <c r="E5137" s="2"/>
      <c r="F5137" s="2"/>
    </row>
    <row r="5138">
      <c r="A5138" s="2">
        <f>IFERROR(__xludf.DUMMYFUNCTION("""COMPUTED_VALUE"""),19316.0)</f>
        <v>19316</v>
      </c>
      <c r="B5138" s="2">
        <f>IFERROR(__xludf.DUMMYFUNCTION("""COMPUTED_VALUE"""),1.0)</f>
        <v>1</v>
      </c>
      <c r="C5138" s="2">
        <f>IFERROR(__xludf.DUMMYFUNCTION("""COMPUTED_VALUE"""),117.0)</f>
        <v>117</v>
      </c>
      <c r="D5138" s="3">
        <f>IFERROR(__xludf.DUMMYFUNCTION("""COMPUTED_VALUE"""),10.0)</f>
        <v>10</v>
      </c>
      <c r="E5138" s="2"/>
      <c r="F5138" s="2"/>
    </row>
    <row r="5139">
      <c r="A5139" s="2">
        <f>IFERROR(__xludf.DUMMYFUNCTION("""COMPUTED_VALUE"""),118481.0)</f>
        <v>118481</v>
      </c>
      <c r="B5139" s="2">
        <f>IFERROR(__xludf.DUMMYFUNCTION("""COMPUTED_VALUE"""),1.0)</f>
        <v>1</v>
      </c>
      <c r="C5139" s="2">
        <f>IFERROR(__xludf.DUMMYFUNCTION("""COMPUTED_VALUE"""),769.0)</f>
        <v>769</v>
      </c>
      <c r="D5139" s="3">
        <f>IFERROR(__xludf.DUMMYFUNCTION("""COMPUTED_VALUE"""),461.0)</f>
        <v>461</v>
      </c>
      <c r="E5139" s="2"/>
      <c r="F5139" s="2"/>
    </row>
    <row r="5140">
      <c r="A5140" s="2">
        <f>IFERROR(__xludf.DUMMYFUNCTION("""COMPUTED_VALUE"""),118366.0)</f>
        <v>118366</v>
      </c>
      <c r="B5140" s="2">
        <f>IFERROR(__xludf.DUMMYFUNCTION("""COMPUTED_VALUE"""),0.0)</f>
        <v>0</v>
      </c>
      <c r="C5140" s="2">
        <f>IFERROR(__xludf.DUMMYFUNCTION("""COMPUTED_VALUE"""),757.0)</f>
        <v>757</v>
      </c>
      <c r="D5140" s="3">
        <f>IFERROR(__xludf.DUMMYFUNCTION("""COMPUTED_VALUE"""),678.0)</f>
        <v>678</v>
      </c>
      <c r="E5140" s="2"/>
      <c r="F5140" s="2"/>
    </row>
    <row r="5141">
      <c r="A5141" s="2">
        <f>IFERROR(__xludf.DUMMYFUNCTION("""COMPUTED_VALUE"""),111183.0)</f>
        <v>111183</v>
      </c>
      <c r="B5141" s="2">
        <f>IFERROR(__xludf.DUMMYFUNCTION("""COMPUTED_VALUE"""),0.0)</f>
        <v>0</v>
      </c>
      <c r="C5141" s="2">
        <f>IFERROR(__xludf.DUMMYFUNCTION("""COMPUTED_VALUE"""),107.0)</f>
        <v>107</v>
      </c>
      <c r="D5141" s="3">
        <f>IFERROR(__xludf.DUMMYFUNCTION("""COMPUTED_VALUE"""),52.0)</f>
        <v>52</v>
      </c>
      <c r="E5141" s="2"/>
      <c r="F5141" s="2"/>
    </row>
    <row r="5142">
      <c r="A5142" s="2">
        <f>IFERROR(__xludf.DUMMYFUNCTION("""COMPUTED_VALUE"""),124735.0)</f>
        <v>124735</v>
      </c>
      <c r="B5142" s="2">
        <f>IFERROR(__xludf.DUMMYFUNCTION("""COMPUTED_VALUE"""),1.0)</f>
        <v>1</v>
      </c>
      <c r="C5142" s="2">
        <f>IFERROR(__xludf.DUMMYFUNCTION("""COMPUTED_VALUE"""),654.0)</f>
        <v>654</v>
      </c>
      <c r="D5142" s="3">
        <f>IFERROR(__xludf.DUMMYFUNCTION("""COMPUTED_VALUE"""),561.0)</f>
        <v>561</v>
      </c>
      <c r="E5142" s="2"/>
      <c r="F5142" s="2"/>
    </row>
    <row r="5143">
      <c r="A5143" s="2">
        <f>IFERROR(__xludf.DUMMYFUNCTION("""COMPUTED_VALUE"""),78727.0)</f>
        <v>78727</v>
      </c>
      <c r="B5143" s="2">
        <f>IFERROR(__xludf.DUMMYFUNCTION("""COMPUTED_VALUE"""),1.0)</f>
        <v>1</v>
      </c>
      <c r="C5143" s="2">
        <f>IFERROR(__xludf.DUMMYFUNCTION("""COMPUTED_VALUE"""),389.0)</f>
        <v>389</v>
      </c>
      <c r="D5143" s="3">
        <f>IFERROR(__xludf.DUMMYFUNCTION("""COMPUTED_VALUE"""),186.0)</f>
        <v>186</v>
      </c>
      <c r="E5143" s="2"/>
      <c r="F5143" s="2"/>
    </row>
    <row r="5144">
      <c r="A5144" s="2">
        <f>IFERROR(__xludf.DUMMYFUNCTION("""COMPUTED_VALUE"""),111182.0)</f>
        <v>111182</v>
      </c>
      <c r="B5144" s="2">
        <f>IFERROR(__xludf.DUMMYFUNCTION("""COMPUTED_VALUE"""),1.0)</f>
        <v>1</v>
      </c>
      <c r="C5144" s="2">
        <f>IFERROR(__xludf.DUMMYFUNCTION("""COMPUTED_VALUE"""),698.0)</f>
        <v>698</v>
      </c>
      <c r="D5144" s="3">
        <f>IFERROR(__xludf.DUMMYFUNCTION("""COMPUTED_VALUE"""),41.0)</f>
        <v>41</v>
      </c>
      <c r="E5144" s="2"/>
      <c r="F5144" s="2"/>
    </row>
    <row r="5145">
      <c r="A5145" s="2">
        <f>IFERROR(__xludf.DUMMYFUNCTION("""COMPUTED_VALUE"""),78734.0)</f>
        <v>78734</v>
      </c>
      <c r="B5145" s="2">
        <f>IFERROR(__xludf.DUMMYFUNCTION("""COMPUTED_VALUE"""),0.0)</f>
        <v>0</v>
      </c>
      <c r="C5145" s="2">
        <f>IFERROR(__xludf.DUMMYFUNCTION("""COMPUTED_VALUE"""),537.0)</f>
        <v>537</v>
      </c>
      <c r="D5145" s="3">
        <f>IFERROR(__xludf.DUMMYFUNCTION("""COMPUTED_VALUE"""),181.0)</f>
        <v>181</v>
      </c>
      <c r="E5145" s="2"/>
      <c r="F5145" s="2"/>
    </row>
    <row r="5146">
      <c r="A5146" s="2">
        <f>IFERROR(__xludf.DUMMYFUNCTION("""COMPUTED_VALUE"""),78729.0)</f>
        <v>78729</v>
      </c>
      <c r="B5146" s="2">
        <f>IFERROR(__xludf.DUMMYFUNCTION("""COMPUTED_VALUE"""),0.0)</f>
        <v>0</v>
      </c>
      <c r="C5146" s="2">
        <f>IFERROR(__xludf.DUMMYFUNCTION("""COMPUTED_VALUE"""),537.0)</f>
        <v>537</v>
      </c>
      <c r="D5146" s="3">
        <f>IFERROR(__xludf.DUMMYFUNCTION("""COMPUTED_VALUE"""),247.0)</f>
        <v>247</v>
      </c>
      <c r="E5146" s="2"/>
      <c r="F5146" s="2"/>
    </row>
    <row r="5147">
      <c r="A5147" s="2">
        <f>IFERROR(__xludf.DUMMYFUNCTION("""COMPUTED_VALUE"""),111662.0)</f>
        <v>111662</v>
      </c>
      <c r="B5147" s="2">
        <f>IFERROR(__xludf.DUMMYFUNCTION("""COMPUTED_VALUE"""),0.0)</f>
        <v>0</v>
      </c>
      <c r="C5147" s="2">
        <f>IFERROR(__xludf.DUMMYFUNCTION("""COMPUTED_VALUE"""),542.0)</f>
        <v>542</v>
      </c>
      <c r="D5147" s="3">
        <f>IFERROR(__xludf.DUMMYFUNCTION("""COMPUTED_VALUE"""),338.0)</f>
        <v>338</v>
      </c>
      <c r="E5147" s="2"/>
      <c r="F5147" s="2"/>
    </row>
    <row r="5148">
      <c r="A5148" s="2">
        <f>IFERROR(__xludf.DUMMYFUNCTION("""COMPUTED_VALUE"""),78728.0)</f>
        <v>78728</v>
      </c>
      <c r="B5148" s="2">
        <f>IFERROR(__xludf.DUMMYFUNCTION("""COMPUTED_VALUE"""),0.0)</f>
        <v>0</v>
      </c>
      <c r="C5148" s="2">
        <f>IFERROR(__xludf.DUMMYFUNCTION("""COMPUTED_VALUE"""),672.0)</f>
        <v>672</v>
      </c>
      <c r="D5148" s="3">
        <f>IFERROR(__xludf.DUMMYFUNCTION("""COMPUTED_VALUE"""),0.0)</f>
        <v>0</v>
      </c>
      <c r="E5148" s="2"/>
      <c r="F5148" s="2"/>
    </row>
    <row r="5149">
      <c r="A5149" s="2">
        <f>IFERROR(__xludf.DUMMYFUNCTION("""COMPUTED_VALUE"""),119082.0)</f>
        <v>119082</v>
      </c>
      <c r="B5149" s="2">
        <f>IFERROR(__xludf.DUMMYFUNCTION("""COMPUTED_VALUE"""),0.0)</f>
        <v>0</v>
      </c>
      <c r="C5149" s="2">
        <f>IFERROR(__xludf.DUMMYFUNCTION("""COMPUTED_VALUE"""),260.0)</f>
        <v>260</v>
      </c>
      <c r="D5149" s="3">
        <f>IFERROR(__xludf.DUMMYFUNCTION("""COMPUTED_VALUE"""),94.0)</f>
        <v>94</v>
      </c>
      <c r="E5149" s="2"/>
      <c r="F5149" s="2"/>
    </row>
    <row r="5150">
      <c r="A5150" s="2">
        <f>IFERROR(__xludf.DUMMYFUNCTION("""COMPUTED_VALUE"""),5770.0)</f>
        <v>5770</v>
      </c>
      <c r="B5150" s="2">
        <f>IFERROR(__xludf.DUMMYFUNCTION("""COMPUTED_VALUE"""),0.0)</f>
        <v>0</v>
      </c>
      <c r="C5150" s="2">
        <f>IFERROR(__xludf.DUMMYFUNCTION("""COMPUTED_VALUE"""),482.0)</f>
        <v>482</v>
      </c>
      <c r="D5150" s="3">
        <f>IFERROR(__xludf.DUMMYFUNCTION("""COMPUTED_VALUE"""),272.0)</f>
        <v>272</v>
      </c>
      <c r="E5150" s="2"/>
      <c r="F5150" s="2"/>
    </row>
    <row r="5151">
      <c r="A5151" s="2">
        <f>IFERROR(__xludf.DUMMYFUNCTION("""COMPUTED_VALUE"""),103072.0)</f>
        <v>103072</v>
      </c>
      <c r="B5151" s="2">
        <f>IFERROR(__xludf.DUMMYFUNCTION("""COMPUTED_VALUE"""),0.0)</f>
        <v>0</v>
      </c>
      <c r="C5151" s="2">
        <f>IFERROR(__xludf.DUMMYFUNCTION("""COMPUTED_VALUE"""),873.0)</f>
        <v>873</v>
      </c>
      <c r="D5151" s="3">
        <f>IFERROR(__xludf.DUMMYFUNCTION("""COMPUTED_VALUE"""),668.0)</f>
        <v>668</v>
      </c>
      <c r="E5151" s="2"/>
      <c r="F5151" s="2"/>
    </row>
    <row r="5152">
      <c r="A5152" s="2">
        <f>IFERROR(__xludf.DUMMYFUNCTION("""COMPUTED_VALUE"""),19344.0)</f>
        <v>19344</v>
      </c>
      <c r="B5152" s="2">
        <f>IFERROR(__xludf.DUMMYFUNCTION("""COMPUTED_VALUE"""),1.0)</f>
        <v>1</v>
      </c>
      <c r="C5152" s="2">
        <f>IFERROR(__xludf.DUMMYFUNCTION("""COMPUTED_VALUE"""),624.0)</f>
        <v>624</v>
      </c>
      <c r="D5152" s="3">
        <f>IFERROR(__xludf.DUMMYFUNCTION("""COMPUTED_VALUE"""),68.0)</f>
        <v>68</v>
      </c>
      <c r="E5152" s="2"/>
      <c r="F5152" s="2"/>
    </row>
    <row r="5153">
      <c r="A5153" s="2">
        <f>IFERROR(__xludf.DUMMYFUNCTION("""COMPUTED_VALUE"""),84219.0)</f>
        <v>84219</v>
      </c>
      <c r="B5153" s="2">
        <f>IFERROR(__xludf.DUMMYFUNCTION("""COMPUTED_VALUE"""),0.0)</f>
        <v>0</v>
      </c>
      <c r="C5153" s="2">
        <f>IFERROR(__xludf.DUMMYFUNCTION("""COMPUTED_VALUE"""),293.0)</f>
        <v>293</v>
      </c>
      <c r="D5153" s="3">
        <f>IFERROR(__xludf.DUMMYFUNCTION("""COMPUTED_VALUE"""),133.0)</f>
        <v>133</v>
      </c>
      <c r="E5153" s="2"/>
      <c r="F5153" s="2"/>
    </row>
    <row r="5154">
      <c r="A5154" s="2">
        <f>IFERROR(__xludf.DUMMYFUNCTION("""COMPUTED_VALUE"""),19345.0)</f>
        <v>19345</v>
      </c>
      <c r="B5154" s="2">
        <f>IFERROR(__xludf.DUMMYFUNCTION("""COMPUTED_VALUE"""),0.0)</f>
        <v>0</v>
      </c>
      <c r="C5154" s="2">
        <f>IFERROR(__xludf.DUMMYFUNCTION("""COMPUTED_VALUE"""),268.0)</f>
        <v>268</v>
      </c>
      <c r="D5154" s="3">
        <f>IFERROR(__xludf.DUMMYFUNCTION("""COMPUTED_VALUE"""),120.0)</f>
        <v>120</v>
      </c>
      <c r="E5154" s="2"/>
      <c r="F5154" s="2"/>
    </row>
    <row r="5155">
      <c r="A5155" s="2">
        <f>IFERROR(__xludf.DUMMYFUNCTION("""COMPUTED_VALUE"""),90816.0)</f>
        <v>90816</v>
      </c>
      <c r="B5155" s="2">
        <f>IFERROR(__xludf.DUMMYFUNCTION("""COMPUTED_VALUE"""),1.0)</f>
        <v>1</v>
      </c>
      <c r="C5155" s="2">
        <f>IFERROR(__xludf.DUMMYFUNCTION("""COMPUTED_VALUE"""),433.0)</f>
        <v>433</v>
      </c>
      <c r="D5155" s="3">
        <f>IFERROR(__xludf.DUMMYFUNCTION("""COMPUTED_VALUE"""),38.0)</f>
        <v>38</v>
      </c>
      <c r="E5155" s="2"/>
      <c r="F5155" s="2"/>
    </row>
    <row r="5156">
      <c r="A5156" s="2">
        <f>IFERROR(__xludf.DUMMYFUNCTION("""COMPUTED_VALUE"""),23198.0)</f>
        <v>23198</v>
      </c>
      <c r="B5156" s="2">
        <f>IFERROR(__xludf.DUMMYFUNCTION("""COMPUTED_VALUE"""),0.0)</f>
        <v>0</v>
      </c>
      <c r="C5156" s="2">
        <f>IFERROR(__xludf.DUMMYFUNCTION("""COMPUTED_VALUE"""),881.0)</f>
        <v>881</v>
      </c>
      <c r="D5156" s="3">
        <f>IFERROR(__xludf.DUMMYFUNCTION("""COMPUTED_VALUE"""),131.0)</f>
        <v>131</v>
      </c>
      <c r="E5156" s="2"/>
      <c r="F5156" s="2"/>
    </row>
    <row r="5157">
      <c r="A5157" s="2">
        <f>IFERROR(__xludf.DUMMYFUNCTION("""COMPUTED_VALUE"""),87207.0)</f>
        <v>87207</v>
      </c>
      <c r="B5157" s="2">
        <f>IFERROR(__xludf.DUMMYFUNCTION("""COMPUTED_VALUE"""),1.0)</f>
        <v>1</v>
      </c>
      <c r="C5157" s="2">
        <f>IFERROR(__xludf.DUMMYFUNCTION("""COMPUTED_VALUE"""),922.0)</f>
        <v>922</v>
      </c>
      <c r="D5157" s="3">
        <f>IFERROR(__xludf.DUMMYFUNCTION("""COMPUTED_VALUE"""),30.0)</f>
        <v>30</v>
      </c>
      <c r="E5157" s="2"/>
      <c r="F5157" s="2"/>
    </row>
    <row r="5158">
      <c r="A5158" s="2">
        <f>IFERROR(__xludf.DUMMYFUNCTION("""COMPUTED_VALUE"""),5694.0)</f>
        <v>5694</v>
      </c>
      <c r="B5158" s="2">
        <f>IFERROR(__xludf.DUMMYFUNCTION("""COMPUTED_VALUE"""),0.0)</f>
        <v>0</v>
      </c>
      <c r="C5158" s="2">
        <f>IFERROR(__xludf.DUMMYFUNCTION("""COMPUTED_VALUE"""),118.0)</f>
        <v>118</v>
      </c>
      <c r="D5158" s="3">
        <f>IFERROR(__xludf.DUMMYFUNCTION("""COMPUTED_VALUE"""),67.0)</f>
        <v>67</v>
      </c>
      <c r="E5158" s="2"/>
      <c r="F5158" s="2"/>
    </row>
    <row r="5159">
      <c r="A5159" s="2">
        <f>IFERROR(__xludf.DUMMYFUNCTION("""COMPUTED_VALUE"""),119084.0)</f>
        <v>119084</v>
      </c>
      <c r="B5159" s="2">
        <f>IFERROR(__xludf.DUMMYFUNCTION("""COMPUTED_VALUE"""),0.0)</f>
        <v>0</v>
      </c>
      <c r="C5159" s="2">
        <f>IFERROR(__xludf.DUMMYFUNCTION("""COMPUTED_VALUE"""),654.0)</f>
        <v>654</v>
      </c>
      <c r="D5159" s="3">
        <f>IFERROR(__xludf.DUMMYFUNCTION("""COMPUTED_VALUE"""),211.0)</f>
        <v>211</v>
      </c>
      <c r="E5159" s="2"/>
      <c r="F5159" s="2"/>
    </row>
    <row r="5160">
      <c r="A5160" s="2">
        <f>IFERROR(__xludf.DUMMYFUNCTION("""COMPUTED_VALUE"""),127927.0)</f>
        <v>127927</v>
      </c>
      <c r="B5160" s="2">
        <f>IFERROR(__xludf.DUMMYFUNCTION("""COMPUTED_VALUE"""),1.0)</f>
        <v>1</v>
      </c>
      <c r="C5160" s="2">
        <f>IFERROR(__xludf.DUMMYFUNCTION("""COMPUTED_VALUE"""),318.0)</f>
        <v>318</v>
      </c>
      <c r="D5160" s="3">
        <f>IFERROR(__xludf.DUMMYFUNCTION("""COMPUTED_VALUE"""),109.0)</f>
        <v>109</v>
      </c>
      <c r="E5160" s="2"/>
      <c r="F5160" s="2"/>
    </row>
    <row r="5161">
      <c r="A5161" s="2">
        <f>IFERROR(__xludf.DUMMYFUNCTION("""COMPUTED_VALUE"""),111184.0)</f>
        <v>111184</v>
      </c>
      <c r="B5161" s="2">
        <f>IFERROR(__xludf.DUMMYFUNCTION("""COMPUTED_VALUE"""),1.0)</f>
        <v>1</v>
      </c>
      <c r="C5161" s="2">
        <f>IFERROR(__xludf.DUMMYFUNCTION("""COMPUTED_VALUE"""),488.0)</f>
        <v>488</v>
      </c>
      <c r="D5161" s="3">
        <f>IFERROR(__xludf.DUMMYFUNCTION("""COMPUTED_VALUE"""),216.0)</f>
        <v>216</v>
      </c>
      <c r="E5161" s="2"/>
      <c r="F5161" s="2"/>
    </row>
    <row r="5162">
      <c r="A5162" s="2">
        <f>IFERROR(__xludf.DUMMYFUNCTION("""COMPUTED_VALUE"""),19341.0)</f>
        <v>19341</v>
      </c>
      <c r="B5162" s="2">
        <f>IFERROR(__xludf.DUMMYFUNCTION("""COMPUTED_VALUE"""),0.0)</f>
        <v>0</v>
      </c>
      <c r="C5162" s="2">
        <f>IFERROR(__xludf.DUMMYFUNCTION("""COMPUTED_VALUE"""),597.0)</f>
        <v>597</v>
      </c>
      <c r="D5162" s="3">
        <f>IFERROR(__xludf.DUMMYFUNCTION("""COMPUTED_VALUE"""),361.0)</f>
        <v>361</v>
      </c>
      <c r="E5162" s="2"/>
      <c r="F5162" s="2"/>
    </row>
    <row r="5163">
      <c r="A5163" s="2">
        <f>IFERROR(__xludf.DUMMYFUNCTION("""COMPUTED_VALUE"""),118485.0)</f>
        <v>118485</v>
      </c>
      <c r="B5163" s="2">
        <f>IFERROR(__xludf.DUMMYFUNCTION("""COMPUTED_VALUE"""),0.0)</f>
        <v>0</v>
      </c>
      <c r="C5163" s="2">
        <f>IFERROR(__xludf.DUMMYFUNCTION("""COMPUTED_VALUE"""),463.0)</f>
        <v>463</v>
      </c>
      <c r="D5163" s="3">
        <f>IFERROR(__xludf.DUMMYFUNCTION("""COMPUTED_VALUE"""),267.0)</f>
        <v>267</v>
      </c>
      <c r="E5163" s="2"/>
      <c r="F5163" s="2"/>
    </row>
    <row r="5164">
      <c r="A5164" s="2">
        <f>IFERROR(__xludf.DUMMYFUNCTION("""COMPUTED_VALUE"""),110565.0)</f>
        <v>110565</v>
      </c>
      <c r="B5164" s="2">
        <f>IFERROR(__xludf.DUMMYFUNCTION("""COMPUTED_VALUE"""),1.0)</f>
        <v>1</v>
      </c>
      <c r="C5164" s="2">
        <f>IFERROR(__xludf.DUMMYFUNCTION("""COMPUTED_VALUE"""),790.0)</f>
        <v>790</v>
      </c>
      <c r="D5164" s="3">
        <f>IFERROR(__xludf.DUMMYFUNCTION("""COMPUTED_VALUE"""),177.0)</f>
        <v>177</v>
      </c>
      <c r="E5164" s="2"/>
      <c r="F5164" s="2"/>
    </row>
    <row r="5165">
      <c r="A5165" s="2">
        <f>IFERROR(__xludf.DUMMYFUNCTION("""COMPUTED_VALUE"""),118484.0)</f>
        <v>118484</v>
      </c>
      <c r="B5165" s="2">
        <f>IFERROR(__xludf.DUMMYFUNCTION("""COMPUTED_VALUE"""),0.0)</f>
        <v>0</v>
      </c>
      <c r="C5165" s="2">
        <f>IFERROR(__xludf.DUMMYFUNCTION("""COMPUTED_VALUE"""),152.0)</f>
        <v>152</v>
      </c>
      <c r="D5165" s="3">
        <f>IFERROR(__xludf.DUMMYFUNCTION("""COMPUTED_VALUE"""),36.0)</f>
        <v>36</v>
      </c>
      <c r="E5165" s="2"/>
      <c r="F5165" s="2"/>
    </row>
    <row r="5166">
      <c r="A5166" s="2">
        <f>IFERROR(__xludf.DUMMYFUNCTION("""COMPUTED_VALUE"""),107652.0)</f>
        <v>107652</v>
      </c>
      <c r="B5166" s="2">
        <f>IFERROR(__xludf.DUMMYFUNCTION("""COMPUTED_VALUE"""),1.0)</f>
        <v>1</v>
      </c>
      <c r="C5166" s="2">
        <f>IFERROR(__xludf.DUMMYFUNCTION("""COMPUTED_VALUE"""),213.0)</f>
        <v>213</v>
      </c>
      <c r="D5166" s="3">
        <f>IFERROR(__xludf.DUMMYFUNCTION("""COMPUTED_VALUE"""),8.0)</f>
        <v>8</v>
      </c>
      <c r="E5166" s="2"/>
      <c r="F5166" s="2"/>
    </row>
    <row r="5167">
      <c r="A5167" s="2">
        <f>IFERROR(__xludf.DUMMYFUNCTION("""COMPUTED_VALUE"""),107673.0)</f>
        <v>107673</v>
      </c>
      <c r="B5167" s="2">
        <f>IFERROR(__xludf.DUMMYFUNCTION("""COMPUTED_VALUE"""),1.0)</f>
        <v>1</v>
      </c>
      <c r="C5167" s="2">
        <f>IFERROR(__xludf.DUMMYFUNCTION("""COMPUTED_VALUE"""),783.0)</f>
        <v>783</v>
      </c>
      <c r="D5167" s="3">
        <f>IFERROR(__xludf.DUMMYFUNCTION("""COMPUTED_VALUE"""),684.0)</f>
        <v>684</v>
      </c>
      <c r="E5167" s="2"/>
      <c r="F5167" s="2"/>
    </row>
    <row r="5168">
      <c r="A5168" s="2">
        <f>IFERROR(__xludf.DUMMYFUNCTION("""COMPUTED_VALUE"""),107902.0)</f>
        <v>107902</v>
      </c>
      <c r="B5168" s="2">
        <f>IFERROR(__xludf.DUMMYFUNCTION("""COMPUTED_VALUE"""),1.0)</f>
        <v>1</v>
      </c>
      <c r="C5168" s="2">
        <f>IFERROR(__xludf.DUMMYFUNCTION("""COMPUTED_VALUE"""),947.0)</f>
        <v>947</v>
      </c>
      <c r="D5168" s="3">
        <f>IFERROR(__xludf.DUMMYFUNCTION("""COMPUTED_VALUE"""),779.0)</f>
        <v>779</v>
      </c>
      <c r="E5168" s="2"/>
      <c r="F5168" s="2"/>
    </row>
    <row r="5169">
      <c r="A5169" s="2">
        <f>IFERROR(__xludf.DUMMYFUNCTION("""COMPUTED_VALUE"""),19340.0)</f>
        <v>19340</v>
      </c>
      <c r="B5169" s="2">
        <f>IFERROR(__xludf.DUMMYFUNCTION("""COMPUTED_VALUE"""),1.0)</f>
        <v>1</v>
      </c>
      <c r="C5169" s="2">
        <f>IFERROR(__xludf.DUMMYFUNCTION("""COMPUTED_VALUE"""),202.0)</f>
        <v>202</v>
      </c>
      <c r="D5169" s="3">
        <f>IFERROR(__xludf.DUMMYFUNCTION("""COMPUTED_VALUE"""),25.0)</f>
        <v>25</v>
      </c>
      <c r="E5169" s="2"/>
      <c r="F5169" s="2"/>
    </row>
    <row r="5170">
      <c r="A5170" s="2">
        <f>IFERROR(__xludf.DUMMYFUNCTION("""COMPUTED_VALUE"""),69190.0)</f>
        <v>69190</v>
      </c>
      <c r="B5170" s="2">
        <f>IFERROR(__xludf.DUMMYFUNCTION("""COMPUTED_VALUE"""),0.0)</f>
        <v>0</v>
      </c>
      <c r="C5170" s="2">
        <f>IFERROR(__xludf.DUMMYFUNCTION("""COMPUTED_VALUE"""),188.0)</f>
        <v>188</v>
      </c>
      <c r="D5170" s="3">
        <f>IFERROR(__xludf.DUMMYFUNCTION("""COMPUTED_VALUE"""),77.0)</f>
        <v>77</v>
      </c>
      <c r="E5170" s="2"/>
      <c r="F5170" s="2"/>
    </row>
    <row r="5171">
      <c r="A5171" s="2">
        <f>IFERROR(__xludf.DUMMYFUNCTION("""COMPUTED_VALUE"""),48451.0)</f>
        <v>48451</v>
      </c>
      <c r="B5171" s="2">
        <f>IFERROR(__xludf.DUMMYFUNCTION("""COMPUTED_VALUE"""),0.0)</f>
        <v>0</v>
      </c>
      <c r="C5171" s="2">
        <f>IFERROR(__xludf.DUMMYFUNCTION("""COMPUTED_VALUE"""),880.0)</f>
        <v>880</v>
      </c>
      <c r="D5171" s="3">
        <f>IFERROR(__xludf.DUMMYFUNCTION("""COMPUTED_VALUE"""),548.0)</f>
        <v>548</v>
      </c>
      <c r="E5171" s="2"/>
      <c r="F5171" s="2"/>
    </row>
    <row r="5172">
      <c r="A5172" s="2">
        <f>IFERROR(__xludf.DUMMYFUNCTION("""COMPUTED_VALUE"""),19339.0)</f>
        <v>19339</v>
      </c>
      <c r="B5172" s="2">
        <f>IFERROR(__xludf.DUMMYFUNCTION("""COMPUTED_VALUE"""),0.0)</f>
        <v>0</v>
      </c>
      <c r="C5172" s="2">
        <f>IFERROR(__xludf.DUMMYFUNCTION("""COMPUTED_VALUE"""),901.0)</f>
        <v>901</v>
      </c>
      <c r="D5172" s="3">
        <f>IFERROR(__xludf.DUMMYFUNCTION("""COMPUTED_VALUE"""),287.0)</f>
        <v>287</v>
      </c>
      <c r="E5172" s="2"/>
      <c r="F5172" s="2"/>
    </row>
    <row r="5173">
      <c r="A5173" s="2">
        <f>IFERROR(__xludf.DUMMYFUNCTION("""COMPUTED_VALUE"""),69195.0)</f>
        <v>69195</v>
      </c>
      <c r="B5173" s="2">
        <f>IFERROR(__xludf.DUMMYFUNCTION("""COMPUTED_VALUE"""),0.0)</f>
        <v>0</v>
      </c>
      <c r="C5173" s="2">
        <f>IFERROR(__xludf.DUMMYFUNCTION("""COMPUTED_VALUE"""),904.0)</f>
        <v>904</v>
      </c>
      <c r="D5173" s="3">
        <f>IFERROR(__xludf.DUMMYFUNCTION("""COMPUTED_VALUE"""),462.0)</f>
        <v>462</v>
      </c>
      <c r="E5173" s="2"/>
      <c r="F5173" s="2"/>
    </row>
    <row r="5174">
      <c r="A5174" s="2">
        <f>IFERROR(__xludf.DUMMYFUNCTION("""COMPUTED_VALUE"""),77192.0)</f>
        <v>77192</v>
      </c>
      <c r="B5174" s="2">
        <f>IFERROR(__xludf.DUMMYFUNCTION("""COMPUTED_VALUE"""),0.0)</f>
        <v>0</v>
      </c>
      <c r="C5174" s="2">
        <f>IFERROR(__xludf.DUMMYFUNCTION("""COMPUTED_VALUE"""),298.0)</f>
        <v>298</v>
      </c>
      <c r="D5174" s="3">
        <f>IFERROR(__xludf.DUMMYFUNCTION("""COMPUTED_VALUE"""),246.0)</f>
        <v>246</v>
      </c>
      <c r="E5174" s="2"/>
      <c r="F5174" s="2"/>
    </row>
    <row r="5175">
      <c r="A5175" s="2">
        <f>IFERROR(__xludf.DUMMYFUNCTION("""COMPUTED_VALUE"""),95922.0)</f>
        <v>95922</v>
      </c>
      <c r="B5175" s="2">
        <f>IFERROR(__xludf.DUMMYFUNCTION("""COMPUTED_VALUE"""),0.0)</f>
        <v>0</v>
      </c>
      <c r="C5175" s="2">
        <f>IFERROR(__xludf.DUMMYFUNCTION("""COMPUTED_VALUE"""),529.0)</f>
        <v>529</v>
      </c>
      <c r="D5175" s="3">
        <f>IFERROR(__xludf.DUMMYFUNCTION("""COMPUTED_VALUE"""),429.0)</f>
        <v>429</v>
      </c>
      <c r="E5175" s="2"/>
      <c r="F5175" s="2"/>
    </row>
    <row r="5176">
      <c r="A5176" s="2">
        <f>IFERROR(__xludf.DUMMYFUNCTION("""COMPUTED_VALUE"""),116779.0)</f>
        <v>116779</v>
      </c>
      <c r="B5176" s="2">
        <f>IFERROR(__xludf.DUMMYFUNCTION("""COMPUTED_VALUE"""),0.0)</f>
        <v>0</v>
      </c>
      <c r="C5176" s="2">
        <f>IFERROR(__xludf.DUMMYFUNCTION("""COMPUTED_VALUE"""),441.0)</f>
        <v>441</v>
      </c>
      <c r="D5176" s="3">
        <f>IFERROR(__xludf.DUMMYFUNCTION("""COMPUTED_VALUE"""),206.0)</f>
        <v>206</v>
      </c>
      <c r="E5176" s="2"/>
      <c r="F5176" s="2"/>
    </row>
    <row r="5177">
      <c r="A5177" s="2">
        <f>IFERROR(__xludf.DUMMYFUNCTION("""COMPUTED_VALUE"""),69238.0)</f>
        <v>69238</v>
      </c>
      <c r="B5177" s="2">
        <f>IFERROR(__xludf.DUMMYFUNCTION("""COMPUTED_VALUE"""),1.0)</f>
        <v>1</v>
      </c>
      <c r="C5177" s="2">
        <f>IFERROR(__xludf.DUMMYFUNCTION("""COMPUTED_VALUE"""),769.0)</f>
        <v>769</v>
      </c>
      <c r="D5177" s="3">
        <f>IFERROR(__xludf.DUMMYFUNCTION("""COMPUTED_VALUE"""),643.0)</f>
        <v>643</v>
      </c>
      <c r="E5177" s="2"/>
      <c r="F5177" s="2"/>
    </row>
    <row r="5178">
      <c r="A5178" s="2">
        <f>IFERROR(__xludf.DUMMYFUNCTION("""COMPUTED_VALUE"""),19337.0)</f>
        <v>19337</v>
      </c>
      <c r="B5178" s="2">
        <f>IFERROR(__xludf.DUMMYFUNCTION("""COMPUTED_VALUE"""),0.0)</f>
        <v>0</v>
      </c>
      <c r="C5178" s="2">
        <f>IFERROR(__xludf.DUMMYFUNCTION("""COMPUTED_VALUE"""),132.0)</f>
        <v>132</v>
      </c>
      <c r="D5178" s="3">
        <f>IFERROR(__xludf.DUMMYFUNCTION("""COMPUTED_VALUE"""),31.0)</f>
        <v>31</v>
      </c>
      <c r="E5178" s="2"/>
      <c r="F5178" s="2"/>
    </row>
    <row r="5179">
      <c r="A5179" s="2">
        <f>IFERROR(__xludf.DUMMYFUNCTION("""COMPUTED_VALUE"""),19326.0)</f>
        <v>19326</v>
      </c>
      <c r="B5179" s="2">
        <f>IFERROR(__xludf.DUMMYFUNCTION("""COMPUTED_VALUE"""),1.0)</f>
        <v>1</v>
      </c>
      <c r="C5179" s="2">
        <f>IFERROR(__xludf.DUMMYFUNCTION("""COMPUTED_VALUE"""),832.0)</f>
        <v>832</v>
      </c>
      <c r="D5179" s="3">
        <f>IFERROR(__xludf.DUMMYFUNCTION("""COMPUTED_VALUE"""),212.0)</f>
        <v>212</v>
      </c>
      <c r="E5179" s="2"/>
      <c r="F5179" s="2"/>
    </row>
    <row r="5180">
      <c r="A5180" s="2">
        <f>IFERROR(__xludf.DUMMYFUNCTION("""COMPUTED_VALUE"""),69251.0)</f>
        <v>69251</v>
      </c>
      <c r="B5180" s="2">
        <f>IFERROR(__xludf.DUMMYFUNCTION("""COMPUTED_VALUE"""),0.0)</f>
        <v>0</v>
      </c>
      <c r="C5180" s="2">
        <f>IFERROR(__xludf.DUMMYFUNCTION("""COMPUTED_VALUE"""),222.0)</f>
        <v>222</v>
      </c>
      <c r="D5180" s="3">
        <f>IFERROR(__xludf.DUMMYFUNCTION("""COMPUTED_VALUE"""),97.0)</f>
        <v>97</v>
      </c>
      <c r="E5180" s="2"/>
      <c r="F5180" s="2"/>
    </row>
    <row r="5181">
      <c r="A5181" s="2">
        <f>IFERROR(__xludf.DUMMYFUNCTION("""COMPUTED_VALUE"""),81871.0)</f>
        <v>81871</v>
      </c>
      <c r="B5181" s="2">
        <f>IFERROR(__xludf.DUMMYFUNCTION("""COMPUTED_VALUE"""),1.0)</f>
        <v>1</v>
      </c>
      <c r="C5181" s="2">
        <f>IFERROR(__xludf.DUMMYFUNCTION("""COMPUTED_VALUE"""),640.0)</f>
        <v>640</v>
      </c>
      <c r="D5181" s="3">
        <f>IFERROR(__xludf.DUMMYFUNCTION("""COMPUTED_VALUE"""),24.0)</f>
        <v>24</v>
      </c>
      <c r="E5181" s="2"/>
      <c r="F5181" s="2"/>
    </row>
    <row r="5182">
      <c r="A5182" s="2">
        <f>IFERROR(__xludf.DUMMYFUNCTION("""COMPUTED_VALUE"""),19321.0)</f>
        <v>19321</v>
      </c>
      <c r="B5182" s="2">
        <f>IFERROR(__xludf.DUMMYFUNCTION("""COMPUTED_VALUE"""),0.0)</f>
        <v>0</v>
      </c>
      <c r="C5182" s="2">
        <f>IFERROR(__xludf.DUMMYFUNCTION("""COMPUTED_VALUE"""),845.0)</f>
        <v>845</v>
      </c>
      <c r="D5182" s="3">
        <f>IFERROR(__xludf.DUMMYFUNCTION("""COMPUTED_VALUE"""),187.0)</f>
        <v>187</v>
      </c>
      <c r="E5182" s="2"/>
      <c r="F5182" s="2"/>
    </row>
    <row r="5183">
      <c r="A5183" s="2">
        <f>IFERROR(__xludf.DUMMYFUNCTION("""COMPUTED_VALUE"""),117618.0)</f>
        <v>117618</v>
      </c>
      <c r="B5183" s="2">
        <f>IFERROR(__xludf.DUMMYFUNCTION("""COMPUTED_VALUE"""),1.0)</f>
        <v>1</v>
      </c>
      <c r="C5183" s="2">
        <f>IFERROR(__xludf.DUMMYFUNCTION("""COMPUTED_VALUE"""),415.0)</f>
        <v>415</v>
      </c>
      <c r="D5183" s="3">
        <f>IFERROR(__xludf.DUMMYFUNCTION("""COMPUTED_VALUE"""),46.0)</f>
        <v>46</v>
      </c>
      <c r="E5183" s="2"/>
      <c r="F5183" s="2"/>
    </row>
    <row r="5184">
      <c r="A5184" s="2">
        <f>IFERROR(__xludf.DUMMYFUNCTION("""COMPUTED_VALUE"""),117623.0)</f>
        <v>117623</v>
      </c>
      <c r="B5184" s="2">
        <f>IFERROR(__xludf.DUMMYFUNCTION("""COMPUTED_VALUE"""),0.0)</f>
        <v>0</v>
      </c>
      <c r="C5184" s="2">
        <f>IFERROR(__xludf.DUMMYFUNCTION("""COMPUTED_VALUE"""),779.0)</f>
        <v>779</v>
      </c>
      <c r="D5184" s="3">
        <f>IFERROR(__xludf.DUMMYFUNCTION("""COMPUTED_VALUE"""),532.0)</f>
        <v>532</v>
      </c>
      <c r="E5184" s="2"/>
      <c r="F5184" s="2"/>
    </row>
    <row r="5185">
      <c r="A5185" s="2">
        <f>IFERROR(__xludf.DUMMYFUNCTION("""COMPUTED_VALUE"""),117614.0)</f>
        <v>117614</v>
      </c>
      <c r="B5185" s="2">
        <f>IFERROR(__xludf.DUMMYFUNCTION("""COMPUTED_VALUE"""),1.0)</f>
        <v>1</v>
      </c>
      <c r="C5185" s="2">
        <f>IFERROR(__xludf.DUMMYFUNCTION("""COMPUTED_VALUE"""),874.0)</f>
        <v>874</v>
      </c>
      <c r="D5185" s="3">
        <f>IFERROR(__xludf.DUMMYFUNCTION("""COMPUTED_VALUE"""),109.0)</f>
        <v>109</v>
      </c>
      <c r="E5185" s="2"/>
      <c r="F5185" s="2"/>
    </row>
    <row r="5186">
      <c r="A5186" s="2">
        <f>IFERROR(__xludf.DUMMYFUNCTION("""COMPUTED_VALUE"""),14393.0)</f>
        <v>14393</v>
      </c>
      <c r="B5186" s="2">
        <f>IFERROR(__xludf.DUMMYFUNCTION("""COMPUTED_VALUE"""),0.0)</f>
        <v>0</v>
      </c>
      <c r="C5186" s="2">
        <f>IFERROR(__xludf.DUMMYFUNCTION("""COMPUTED_VALUE"""),148.0)</f>
        <v>148</v>
      </c>
      <c r="D5186" s="3">
        <f>IFERROR(__xludf.DUMMYFUNCTION("""COMPUTED_VALUE"""),114.0)</f>
        <v>114</v>
      </c>
      <c r="E5186" s="2"/>
      <c r="F5186" s="2"/>
    </row>
    <row r="5187">
      <c r="A5187" s="2">
        <f>IFERROR(__xludf.DUMMYFUNCTION("""COMPUTED_VALUE"""),70419.0)</f>
        <v>70419</v>
      </c>
      <c r="B5187" s="2">
        <f>IFERROR(__xludf.DUMMYFUNCTION("""COMPUTED_VALUE"""),0.0)</f>
        <v>0</v>
      </c>
      <c r="C5187" s="2">
        <f>IFERROR(__xludf.DUMMYFUNCTION("""COMPUTED_VALUE"""),312.0)</f>
        <v>312</v>
      </c>
      <c r="D5187" s="3">
        <f>IFERROR(__xludf.DUMMYFUNCTION("""COMPUTED_VALUE"""),239.0)</f>
        <v>239</v>
      </c>
      <c r="E5187" s="2"/>
      <c r="F5187" s="2"/>
    </row>
    <row r="5188">
      <c r="A5188" s="2">
        <f>IFERROR(__xludf.DUMMYFUNCTION("""COMPUTED_VALUE"""),111147.0)</f>
        <v>111147</v>
      </c>
      <c r="B5188" s="2">
        <f>IFERROR(__xludf.DUMMYFUNCTION("""COMPUTED_VALUE"""),1.0)</f>
        <v>1</v>
      </c>
      <c r="C5188" s="2">
        <f>IFERROR(__xludf.DUMMYFUNCTION("""COMPUTED_VALUE"""),850.0)</f>
        <v>850</v>
      </c>
      <c r="D5188" s="3">
        <f>IFERROR(__xludf.DUMMYFUNCTION("""COMPUTED_VALUE"""),519.0)</f>
        <v>519</v>
      </c>
      <c r="E5188" s="2"/>
      <c r="F5188" s="2"/>
    </row>
    <row r="5189">
      <c r="A5189" s="2">
        <f>IFERROR(__xludf.DUMMYFUNCTION("""COMPUTED_VALUE"""),4325.0)</f>
        <v>4325</v>
      </c>
      <c r="B5189" s="2">
        <f>IFERROR(__xludf.DUMMYFUNCTION("""COMPUTED_VALUE"""),1.0)</f>
        <v>1</v>
      </c>
      <c r="C5189" s="2">
        <f>IFERROR(__xludf.DUMMYFUNCTION("""COMPUTED_VALUE"""),619.0)</f>
        <v>619</v>
      </c>
      <c r="D5189" s="3">
        <f>IFERROR(__xludf.DUMMYFUNCTION("""COMPUTED_VALUE"""),324.0)</f>
        <v>324</v>
      </c>
      <c r="E5189" s="2"/>
      <c r="F5189" s="2"/>
    </row>
    <row r="5190">
      <c r="A5190" s="2">
        <f>IFERROR(__xludf.DUMMYFUNCTION("""COMPUTED_VALUE"""),4321.0)</f>
        <v>4321</v>
      </c>
      <c r="B5190" s="2">
        <f>IFERROR(__xludf.DUMMYFUNCTION("""COMPUTED_VALUE"""),0.0)</f>
        <v>0</v>
      </c>
      <c r="C5190" s="2">
        <f>IFERROR(__xludf.DUMMYFUNCTION("""COMPUTED_VALUE"""),280.0)</f>
        <v>280</v>
      </c>
      <c r="D5190" s="3">
        <f>IFERROR(__xludf.DUMMYFUNCTION("""COMPUTED_VALUE"""),151.0)</f>
        <v>151</v>
      </c>
      <c r="E5190" s="2"/>
      <c r="F5190" s="2"/>
    </row>
    <row r="5191">
      <c r="A5191" s="2">
        <f>IFERROR(__xludf.DUMMYFUNCTION("""COMPUTED_VALUE"""),70418.0)</f>
        <v>70418</v>
      </c>
      <c r="B5191" s="2">
        <f>IFERROR(__xludf.DUMMYFUNCTION("""COMPUTED_VALUE"""),1.0)</f>
        <v>1</v>
      </c>
      <c r="C5191" s="2">
        <f>IFERROR(__xludf.DUMMYFUNCTION("""COMPUTED_VALUE"""),515.0)</f>
        <v>515</v>
      </c>
      <c r="D5191" s="3">
        <f>IFERROR(__xludf.DUMMYFUNCTION("""COMPUTED_VALUE"""),174.0)</f>
        <v>174</v>
      </c>
      <c r="E5191" s="2"/>
      <c r="F5191" s="2"/>
    </row>
    <row r="5192">
      <c r="A5192" s="2">
        <f>IFERROR(__xludf.DUMMYFUNCTION("""COMPUTED_VALUE"""),80648.0)</f>
        <v>80648</v>
      </c>
      <c r="B5192" s="2">
        <f>IFERROR(__xludf.DUMMYFUNCTION("""COMPUTED_VALUE"""),1.0)</f>
        <v>1</v>
      </c>
      <c r="C5192" s="2">
        <f>IFERROR(__xludf.DUMMYFUNCTION("""COMPUTED_VALUE"""),707.0)</f>
        <v>707</v>
      </c>
      <c r="D5192" s="3">
        <f>IFERROR(__xludf.DUMMYFUNCTION("""COMPUTED_VALUE"""),449.0)</f>
        <v>449</v>
      </c>
      <c r="E5192" s="2"/>
      <c r="F5192" s="2"/>
    </row>
    <row r="5193">
      <c r="A5193" s="2">
        <f>IFERROR(__xludf.DUMMYFUNCTION("""COMPUTED_VALUE"""),70417.0)</f>
        <v>70417</v>
      </c>
      <c r="B5193" s="2">
        <f>IFERROR(__xludf.DUMMYFUNCTION("""COMPUTED_VALUE"""),1.0)</f>
        <v>1</v>
      </c>
      <c r="C5193" s="2">
        <f>IFERROR(__xludf.DUMMYFUNCTION("""COMPUTED_VALUE"""),322.0)</f>
        <v>322</v>
      </c>
      <c r="D5193" s="3">
        <f>IFERROR(__xludf.DUMMYFUNCTION("""COMPUTED_VALUE"""),146.0)</f>
        <v>146</v>
      </c>
      <c r="E5193" s="2"/>
      <c r="F5193" s="2"/>
    </row>
    <row r="5194">
      <c r="A5194" s="2">
        <f>IFERROR(__xludf.DUMMYFUNCTION("""COMPUTED_VALUE"""),79420.0)</f>
        <v>79420</v>
      </c>
      <c r="B5194" s="2">
        <f>IFERROR(__xludf.DUMMYFUNCTION("""COMPUTED_VALUE"""),0.0)</f>
        <v>0</v>
      </c>
      <c r="C5194" s="2">
        <f>IFERROR(__xludf.DUMMYFUNCTION("""COMPUTED_VALUE"""),960.0)</f>
        <v>960</v>
      </c>
      <c r="D5194" s="3">
        <f>IFERROR(__xludf.DUMMYFUNCTION("""COMPUTED_VALUE"""),757.0)</f>
        <v>757</v>
      </c>
      <c r="E5194" s="2"/>
      <c r="F5194" s="2"/>
    </row>
    <row r="5195">
      <c r="A5195" s="2">
        <f>IFERROR(__xludf.DUMMYFUNCTION("""COMPUTED_VALUE"""),4327.0)</f>
        <v>4327</v>
      </c>
      <c r="B5195" s="2">
        <f>IFERROR(__xludf.DUMMYFUNCTION("""COMPUTED_VALUE"""),0.0)</f>
        <v>0</v>
      </c>
      <c r="C5195" s="2">
        <f>IFERROR(__xludf.DUMMYFUNCTION("""COMPUTED_VALUE"""),432.0)</f>
        <v>432</v>
      </c>
      <c r="D5195" s="3">
        <f>IFERROR(__xludf.DUMMYFUNCTION("""COMPUTED_VALUE"""),124.0)</f>
        <v>124</v>
      </c>
      <c r="E5195" s="2"/>
      <c r="F5195" s="2"/>
    </row>
    <row r="5196">
      <c r="A5196" s="2">
        <f>IFERROR(__xludf.DUMMYFUNCTION("""COMPUTED_VALUE"""),89505.0)</f>
        <v>89505</v>
      </c>
      <c r="B5196" s="2">
        <f>IFERROR(__xludf.DUMMYFUNCTION("""COMPUTED_VALUE"""),0.0)</f>
        <v>0</v>
      </c>
      <c r="C5196" s="2">
        <f>IFERROR(__xludf.DUMMYFUNCTION("""COMPUTED_VALUE"""),785.0)</f>
        <v>785</v>
      </c>
      <c r="D5196" s="3">
        <f>IFERROR(__xludf.DUMMYFUNCTION("""COMPUTED_VALUE"""),102.0)</f>
        <v>102</v>
      </c>
      <c r="E5196" s="2"/>
      <c r="F5196" s="2"/>
    </row>
    <row r="5197">
      <c r="A5197" s="2">
        <f>IFERROR(__xludf.DUMMYFUNCTION("""COMPUTED_VALUE"""),128344.0)</f>
        <v>128344</v>
      </c>
      <c r="B5197" s="2">
        <f>IFERROR(__xludf.DUMMYFUNCTION("""COMPUTED_VALUE"""),1.0)</f>
        <v>1</v>
      </c>
      <c r="C5197" s="2">
        <f>IFERROR(__xludf.DUMMYFUNCTION("""COMPUTED_VALUE"""),154.0)</f>
        <v>154</v>
      </c>
      <c r="D5197" s="3">
        <f>IFERROR(__xludf.DUMMYFUNCTION("""COMPUTED_VALUE"""),139.0)</f>
        <v>139</v>
      </c>
      <c r="E5197" s="2"/>
      <c r="F5197" s="2"/>
    </row>
    <row r="5198">
      <c r="A5198" s="2">
        <f>IFERROR(__xludf.DUMMYFUNCTION("""COMPUTED_VALUE"""),79421.0)</f>
        <v>79421</v>
      </c>
      <c r="B5198" s="2">
        <f>IFERROR(__xludf.DUMMYFUNCTION("""COMPUTED_VALUE"""),1.0)</f>
        <v>1</v>
      </c>
      <c r="C5198" s="2">
        <f>IFERROR(__xludf.DUMMYFUNCTION("""COMPUTED_VALUE"""),843.0)</f>
        <v>843</v>
      </c>
      <c r="D5198" s="3">
        <f>IFERROR(__xludf.DUMMYFUNCTION("""COMPUTED_VALUE"""),695.0)</f>
        <v>695</v>
      </c>
      <c r="E5198" s="2"/>
      <c r="F5198" s="2"/>
    </row>
    <row r="5199">
      <c r="A5199" s="2">
        <f>IFERROR(__xludf.DUMMYFUNCTION("""COMPUTED_VALUE"""),128336.0)</f>
        <v>128336</v>
      </c>
      <c r="B5199" s="2">
        <f>IFERROR(__xludf.DUMMYFUNCTION("""COMPUTED_VALUE"""),0.0)</f>
        <v>0</v>
      </c>
      <c r="C5199" s="2">
        <f>IFERROR(__xludf.DUMMYFUNCTION("""COMPUTED_VALUE"""),29.0)</f>
        <v>29</v>
      </c>
      <c r="D5199" s="3">
        <f>IFERROR(__xludf.DUMMYFUNCTION("""COMPUTED_VALUE"""),1.0)</f>
        <v>1</v>
      </c>
      <c r="E5199" s="2"/>
      <c r="F5199" s="2"/>
    </row>
    <row r="5200">
      <c r="A5200" s="2">
        <f>IFERROR(__xludf.DUMMYFUNCTION("""COMPUTED_VALUE"""),5081.0)</f>
        <v>5081</v>
      </c>
      <c r="B5200" s="2">
        <f>IFERROR(__xludf.DUMMYFUNCTION("""COMPUTED_VALUE"""),1.0)</f>
        <v>1</v>
      </c>
      <c r="C5200" s="2">
        <f>IFERROR(__xludf.DUMMYFUNCTION("""COMPUTED_VALUE"""),-6.0)</f>
        <v>-6</v>
      </c>
      <c r="D5200" s="3">
        <f>IFERROR(__xludf.DUMMYFUNCTION("""COMPUTED_VALUE"""),-2.0)</f>
        <v>-2</v>
      </c>
      <c r="E5200" s="2"/>
      <c r="F5200" s="2"/>
    </row>
    <row r="5201">
      <c r="A5201" s="2">
        <f>IFERROR(__xludf.DUMMYFUNCTION("""COMPUTED_VALUE"""),79423.0)</f>
        <v>79423</v>
      </c>
      <c r="B5201" s="2">
        <f>IFERROR(__xludf.DUMMYFUNCTION("""COMPUTED_VALUE"""),1.0)</f>
        <v>1</v>
      </c>
      <c r="C5201" s="2">
        <f>IFERROR(__xludf.DUMMYFUNCTION("""COMPUTED_VALUE"""),287.0)</f>
        <v>287</v>
      </c>
      <c r="D5201" s="3">
        <f>IFERROR(__xludf.DUMMYFUNCTION("""COMPUTED_VALUE"""),138.0)</f>
        <v>138</v>
      </c>
      <c r="E5201" s="2"/>
      <c r="F5201" s="2"/>
    </row>
    <row r="5202">
      <c r="A5202" s="2">
        <f>IFERROR(__xludf.DUMMYFUNCTION("""COMPUTED_VALUE"""),116481.0)</f>
        <v>116481</v>
      </c>
      <c r="B5202" s="2">
        <f>IFERROR(__xludf.DUMMYFUNCTION("""COMPUTED_VALUE"""),1.0)</f>
        <v>1</v>
      </c>
      <c r="C5202" s="2">
        <f>IFERROR(__xludf.DUMMYFUNCTION("""COMPUTED_VALUE"""),697.0)</f>
        <v>697</v>
      </c>
      <c r="D5202" s="3">
        <f>IFERROR(__xludf.DUMMYFUNCTION("""COMPUTED_VALUE"""),228.0)</f>
        <v>228</v>
      </c>
      <c r="E5202" s="2"/>
      <c r="F5202" s="2"/>
    </row>
    <row r="5203">
      <c r="A5203" s="2">
        <f>IFERROR(__xludf.DUMMYFUNCTION("""COMPUTED_VALUE"""),118278.0)</f>
        <v>118278</v>
      </c>
      <c r="B5203" s="2">
        <f>IFERROR(__xludf.DUMMYFUNCTION("""COMPUTED_VALUE"""),0.0)</f>
        <v>0</v>
      </c>
      <c r="C5203" s="2">
        <f>IFERROR(__xludf.DUMMYFUNCTION("""COMPUTED_VALUE"""),141.0)</f>
        <v>141</v>
      </c>
      <c r="D5203" s="3">
        <f>IFERROR(__xludf.DUMMYFUNCTION("""COMPUTED_VALUE"""),21.0)</f>
        <v>21</v>
      </c>
      <c r="E5203" s="2"/>
      <c r="F5203" s="2"/>
    </row>
    <row r="5204">
      <c r="A5204" s="2">
        <f>IFERROR(__xludf.DUMMYFUNCTION("""COMPUTED_VALUE"""),116440.0)</f>
        <v>116440</v>
      </c>
      <c r="B5204" s="2">
        <f>IFERROR(__xludf.DUMMYFUNCTION("""COMPUTED_VALUE"""),0.0)</f>
        <v>0</v>
      </c>
      <c r="C5204" s="2">
        <f>IFERROR(__xludf.DUMMYFUNCTION("""COMPUTED_VALUE"""),266.0)</f>
        <v>266</v>
      </c>
      <c r="D5204" s="3">
        <f>IFERROR(__xludf.DUMMYFUNCTION("""COMPUTED_VALUE"""),213.0)</f>
        <v>213</v>
      </c>
      <c r="E5204" s="2"/>
      <c r="F5204" s="2"/>
    </row>
    <row r="5205">
      <c r="A5205" s="2">
        <f>IFERROR(__xludf.DUMMYFUNCTION("""COMPUTED_VALUE"""),116478.0)</f>
        <v>116478</v>
      </c>
      <c r="B5205" s="2">
        <f>IFERROR(__xludf.DUMMYFUNCTION("""COMPUTED_VALUE"""),0.0)</f>
        <v>0</v>
      </c>
      <c r="C5205" s="2">
        <f>IFERROR(__xludf.DUMMYFUNCTION("""COMPUTED_VALUE"""),811.0)</f>
        <v>811</v>
      </c>
      <c r="D5205" s="3">
        <f>IFERROR(__xludf.DUMMYFUNCTION("""COMPUTED_VALUE"""),110.0)</f>
        <v>110</v>
      </c>
      <c r="E5205" s="2"/>
      <c r="F5205" s="2"/>
    </row>
    <row r="5206">
      <c r="A5206" s="2">
        <f>IFERROR(__xludf.DUMMYFUNCTION("""COMPUTED_VALUE"""),139305.0)</f>
        <v>139305</v>
      </c>
      <c r="B5206" s="2">
        <f>IFERROR(__xludf.DUMMYFUNCTION("""COMPUTED_VALUE"""),0.0)</f>
        <v>0</v>
      </c>
      <c r="C5206" s="2">
        <f>IFERROR(__xludf.DUMMYFUNCTION("""COMPUTED_VALUE"""),203.0)</f>
        <v>203</v>
      </c>
      <c r="D5206" s="3">
        <f>IFERROR(__xludf.DUMMYFUNCTION("""COMPUTED_VALUE"""),117.0)</f>
        <v>117</v>
      </c>
      <c r="E5206" s="2"/>
      <c r="F5206" s="2"/>
    </row>
    <row r="5207">
      <c r="A5207" s="2">
        <f>IFERROR(__xludf.DUMMYFUNCTION("""COMPUTED_VALUE"""),118280.0)</f>
        <v>118280</v>
      </c>
      <c r="B5207" s="2">
        <f>IFERROR(__xludf.DUMMYFUNCTION("""COMPUTED_VALUE"""),0.0)</f>
        <v>0</v>
      </c>
      <c r="C5207" s="2">
        <f>IFERROR(__xludf.DUMMYFUNCTION("""COMPUTED_VALUE"""),518.0)</f>
        <v>518</v>
      </c>
      <c r="D5207" s="3">
        <f>IFERROR(__xludf.DUMMYFUNCTION("""COMPUTED_VALUE"""),51.0)</f>
        <v>51</v>
      </c>
      <c r="E5207" s="2"/>
      <c r="F5207" s="2"/>
    </row>
    <row r="5208">
      <c r="A5208" s="2">
        <f>IFERROR(__xludf.DUMMYFUNCTION("""COMPUTED_VALUE"""),116506.0)</f>
        <v>116506</v>
      </c>
      <c r="B5208" s="2">
        <f>IFERROR(__xludf.DUMMYFUNCTION("""COMPUTED_VALUE"""),0.0)</f>
        <v>0</v>
      </c>
      <c r="C5208" s="2">
        <f>IFERROR(__xludf.DUMMYFUNCTION("""COMPUTED_VALUE"""),137.0)</f>
        <v>137</v>
      </c>
      <c r="D5208" s="3">
        <f>IFERROR(__xludf.DUMMYFUNCTION("""COMPUTED_VALUE"""),100.0)</f>
        <v>100</v>
      </c>
      <c r="E5208" s="2"/>
      <c r="F5208" s="2"/>
    </row>
    <row r="5209">
      <c r="A5209" s="2">
        <f>IFERROR(__xludf.DUMMYFUNCTION("""COMPUTED_VALUE"""),116504.0)</f>
        <v>116504</v>
      </c>
      <c r="B5209" s="2">
        <f>IFERROR(__xludf.DUMMYFUNCTION("""COMPUTED_VALUE"""),0.0)</f>
        <v>0</v>
      </c>
      <c r="C5209" s="2">
        <f>IFERROR(__xludf.DUMMYFUNCTION("""COMPUTED_VALUE"""),567.0)</f>
        <v>567</v>
      </c>
      <c r="D5209" s="3">
        <f>IFERROR(__xludf.DUMMYFUNCTION("""COMPUTED_VALUE"""),431.0)</f>
        <v>431</v>
      </c>
      <c r="E5209" s="2"/>
      <c r="F5209" s="2"/>
    </row>
    <row r="5210">
      <c r="A5210" s="2">
        <f>IFERROR(__xludf.DUMMYFUNCTION("""COMPUTED_VALUE"""),116435.0)</f>
        <v>116435</v>
      </c>
      <c r="B5210" s="2">
        <f>IFERROR(__xludf.DUMMYFUNCTION("""COMPUTED_VALUE"""),1.0)</f>
        <v>1</v>
      </c>
      <c r="C5210" s="2">
        <f>IFERROR(__xludf.DUMMYFUNCTION("""COMPUTED_VALUE"""),801.0)</f>
        <v>801</v>
      </c>
      <c r="D5210" s="3">
        <f>IFERROR(__xludf.DUMMYFUNCTION("""COMPUTED_VALUE"""),523.0)</f>
        <v>523</v>
      </c>
      <c r="E5210" s="2"/>
      <c r="F5210" s="2"/>
    </row>
    <row r="5211">
      <c r="A5211" s="2">
        <f>IFERROR(__xludf.DUMMYFUNCTION("""COMPUTED_VALUE"""),70575.0)</f>
        <v>70575</v>
      </c>
      <c r="B5211" s="2">
        <f>IFERROR(__xludf.DUMMYFUNCTION("""COMPUTED_VALUE"""),0.0)</f>
        <v>0</v>
      </c>
      <c r="C5211" s="2">
        <f>IFERROR(__xludf.DUMMYFUNCTION("""COMPUTED_VALUE"""),756.0)</f>
        <v>756</v>
      </c>
      <c r="D5211" s="3">
        <f>IFERROR(__xludf.DUMMYFUNCTION("""COMPUTED_VALUE"""),56.0)</f>
        <v>56</v>
      </c>
      <c r="E5211" s="2"/>
      <c r="F5211" s="2"/>
    </row>
    <row r="5212">
      <c r="A5212" s="2">
        <f>IFERROR(__xludf.DUMMYFUNCTION("""COMPUTED_VALUE"""),128343.0)</f>
        <v>128343</v>
      </c>
      <c r="B5212" s="2">
        <f>IFERROR(__xludf.DUMMYFUNCTION("""COMPUTED_VALUE"""),1.0)</f>
        <v>1</v>
      </c>
      <c r="C5212" s="2">
        <f>IFERROR(__xludf.DUMMYFUNCTION("""COMPUTED_VALUE"""),93.0)</f>
        <v>93</v>
      </c>
      <c r="D5212" s="3">
        <f>IFERROR(__xludf.DUMMYFUNCTION("""COMPUTED_VALUE"""),38.0)</f>
        <v>38</v>
      </c>
      <c r="E5212" s="2"/>
      <c r="F5212" s="2"/>
    </row>
    <row r="5213">
      <c r="A5213" s="2">
        <f>IFERROR(__xludf.DUMMYFUNCTION("""COMPUTED_VALUE"""),112099.0)</f>
        <v>112099</v>
      </c>
      <c r="B5213" s="2">
        <f>IFERROR(__xludf.DUMMYFUNCTION("""COMPUTED_VALUE"""),1.0)</f>
        <v>1</v>
      </c>
      <c r="C5213" s="2">
        <f>IFERROR(__xludf.DUMMYFUNCTION("""COMPUTED_VALUE"""),320.0)</f>
        <v>320</v>
      </c>
      <c r="D5213" s="3">
        <f>IFERROR(__xludf.DUMMYFUNCTION("""COMPUTED_VALUE"""),193.0)</f>
        <v>193</v>
      </c>
      <c r="E5213" s="2"/>
      <c r="F5213" s="2"/>
    </row>
    <row r="5214">
      <c r="A5214" s="2">
        <f>IFERROR(__xludf.DUMMYFUNCTION("""COMPUTED_VALUE"""),128337.0)</f>
        <v>128337</v>
      </c>
      <c r="B5214" s="2">
        <f>IFERROR(__xludf.DUMMYFUNCTION("""COMPUTED_VALUE"""),1.0)</f>
        <v>1</v>
      </c>
      <c r="C5214" s="2">
        <f>IFERROR(__xludf.DUMMYFUNCTION("""COMPUTED_VALUE"""),181.0)</f>
        <v>181</v>
      </c>
      <c r="D5214" s="3">
        <f>IFERROR(__xludf.DUMMYFUNCTION("""COMPUTED_VALUE"""),73.0)</f>
        <v>73</v>
      </c>
      <c r="E5214" s="2"/>
      <c r="F5214" s="2"/>
    </row>
    <row r="5215">
      <c r="A5215" s="2">
        <f>IFERROR(__xludf.DUMMYFUNCTION("""COMPUTED_VALUE"""),4339.0)</f>
        <v>4339</v>
      </c>
      <c r="B5215" s="2">
        <f>IFERROR(__xludf.DUMMYFUNCTION("""COMPUTED_VALUE"""),0.0)</f>
        <v>0</v>
      </c>
      <c r="C5215" s="2">
        <f>IFERROR(__xludf.DUMMYFUNCTION("""COMPUTED_VALUE"""),859.0)</f>
        <v>859</v>
      </c>
      <c r="D5215" s="3">
        <f>IFERROR(__xludf.DUMMYFUNCTION("""COMPUTED_VALUE"""),533.0)</f>
        <v>533</v>
      </c>
      <c r="E5215" s="2"/>
      <c r="F5215" s="2"/>
    </row>
    <row r="5216">
      <c r="A5216" s="2">
        <f>IFERROR(__xludf.DUMMYFUNCTION("""COMPUTED_VALUE"""),14399.0)</f>
        <v>14399</v>
      </c>
      <c r="B5216" s="2">
        <f>IFERROR(__xludf.DUMMYFUNCTION("""COMPUTED_VALUE"""),0.0)</f>
        <v>0</v>
      </c>
      <c r="C5216" s="2">
        <f>IFERROR(__xludf.DUMMYFUNCTION("""COMPUTED_VALUE"""),222.0)</f>
        <v>222</v>
      </c>
      <c r="D5216" s="3">
        <f>IFERROR(__xludf.DUMMYFUNCTION("""COMPUTED_VALUE"""),154.0)</f>
        <v>154</v>
      </c>
      <c r="E5216" s="2"/>
      <c r="F5216" s="2"/>
    </row>
    <row r="5217">
      <c r="A5217" s="2">
        <f>IFERROR(__xludf.DUMMYFUNCTION("""COMPUTED_VALUE"""),4340.0)</f>
        <v>4340</v>
      </c>
      <c r="B5217" s="2">
        <f>IFERROR(__xludf.DUMMYFUNCTION("""COMPUTED_VALUE"""),1.0)</f>
        <v>1</v>
      </c>
      <c r="C5217" s="2">
        <f>IFERROR(__xludf.DUMMYFUNCTION("""COMPUTED_VALUE"""),789.0)</f>
        <v>789</v>
      </c>
      <c r="D5217" s="3">
        <f>IFERROR(__xludf.DUMMYFUNCTION("""COMPUTED_VALUE"""),764.0)</f>
        <v>764</v>
      </c>
      <c r="E5217" s="2"/>
      <c r="F5217" s="2"/>
    </row>
    <row r="5218">
      <c r="A5218" s="2">
        <f>IFERROR(__xludf.DUMMYFUNCTION("""COMPUTED_VALUE"""),45250.0)</f>
        <v>45250</v>
      </c>
      <c r="B5218" s="2">
        <f>IFERROR(__xludf.DUMMYFUNCTION("""COMPUTED_VALUE"""),0.0)</f>
        <v>0</v>
      </c>
      <c r="C5218" s="2">
        <f>IFERROR(__xludf.DUMMYFUNCTION("""COMPUTED_VALUE"""),663.0)</f>
        <v>663</v>
      </c>
      <c r="D5218" s="3">
        <f>IFERROR(__xludf.DUMMYFUNCTION("""COMPUTED_VALUE"""),440.0)</f>
        <v>440</v>
      </c>
      <c r="E5218" s="2"/>
      <c r="F5218" s="2"/>
    </row>
    <row r="5219">
      <c r="A5219" s="2">
        <f>IFERROR(__xludf.DUMMYFUNCTION("""COMPUTED_VALUE"""),9651.0)</f>
        <v>9651</v>
      </c>
      <c r="B5219" s="2">
        <f>IFERROR(__xludf.DUMMYFUNCTION("""COMPUTED_VALUE"""),0.0)</f>
        <v>0</v>
      </c>
      <c r="C5219" s="2">
        <f>IFERROR(__xludf.DUMMYFUNCTION("""COMPUTED_VALUE"""),322.0)</f>
        <v>322</v>
      </c>
      <c r="D5219" s="3">
        <f>IFERROR(__xludf.DUMMYFUNCTION("""COMPUTED_VALUE"""),220.0)</f>
        <v>220</v>
      </c>
      <c r="E5219" s="2"/>
      <c r="F5219" s="2"/>
    </row>
    <row r="5220">
      <c r="A5220" s="2">
        <f>IFERROR(__xludf.DUMMYFUNCTION("""COMPUTED_VALUE"""),4329.0)</f>
        <v>4329</v>
      </c>
      <c r="B5220" s="2">
        <f>IFERROR(__xludf.DUMMYFUNCTION("""COMPUTED_VALUE"""),0.0)</f>
        <v>0</v>
      </c>
      <c r="C5220" s="2">
        <f>IFERROR(__xludf.DUMMYFUNCTION("""COMPUTED_VALUE"""),720.0)</f>
        <v>720</v>
      </c>
      <c r="D5220" s="3">
        <f>IFERROR(__xludf.DUMMYFUNCTION("""COMPUTED_VALUE"""),621.0)</f>
        <v>621</v>
      </c>
      <c r="E5220" s="2"/>
      <c r="F5220" s="2"/>
    </row>
    <row r="5221">
      <c r="A5221" s="2">
        <f>IFERROR(__xludf.DUMMYFUNCTION("""COMPUTED_VALUE"""),4338.0)</f>
        <v>4338</v>
      </c>
      <c r="B5221" s="2">
        <f>IFERROR(__xludf.DUMMYFUNCTION("""COMPUTED_VALUE"""),1.0)</f>
        <v>1</v>
      </c>
      <c r="C5221" s="2">
        <f>IFERROR(__xludf.DUMMYFUNCTION("""COMPUTED_VALUE"""),231.0)</f>
        <v>231</v>
      </c>
      <c r="D5221" s="3">
        <f>IFERROR(__xludf.DUMMYFUNCTION("""COMPUTED_VALUE"""),162.0)</f>
        <v>162</v>
      </c>
      <c r="E5221" s="2"/>
      <c r="F5221" s="2"/>
    </row>
    <row r="5222">
      <c r="A5222" s="2">
        <f>IFERROR(__xludf.DUMMYFUNCTION("""COMPUTED_VALUE"""),112100.0)</f>
        <v>112100</v>
      </c>
      <c r="B5222" s="2">
        <f>IFERROR(__xludf.DUMMYFUNCTION("""COMPUTED_VALUE"""),0.0)</f>
        <v>0</v>
      </c>
      <c r="C5222" s="2">
        <f>IFERROR(__xludf.DUMMYFUNCTION("""COMPUTED_VALUE"""),455.0)</f>
        <v>455</v>
      </c>
      <c r="D5222" s="3">
        <f>IFERROR(__xludf.DUMMYFUNCTION("""COMPUTED_VALUE"""),390.0)</f>
        <v>390</v>
      </c>
      <c r="E5222" s="2"/>
      <c r="F5222" s="2"/>
    </row>
    <row r="5223">
      <c r="A5223" s="2">
        <f>IFERROR(__xludf.DUMMYFUNCTION("""COMPUTED_VALUE"""),9650.0)</f>
        <v>9650</v>
      </c>
      <c r="B5223" s="2">
        <f>IFERROR(__xludf.DUMMYFUNCTION("""COMPUTED_VALUE"""),1.0)</f>
        <v>1</v>
      </c>
      <c r="C5223" s="2">
        <f>IFERROR(__xludf.DUMMYFUNCTION("""COMPUTED_VALUE"""),437.0)</f>
        <v>437</v>
      </c>
      <c r="D5223" s="3">
        <f>IFERROR(__xludf.DUMMYFUNCTION("""COMPUTED_VALUE"""),302.0)</f>
        <v>302</v>
      </c>
      <c r="E5223" s="2"/>
      <c r="F5223" s="2"/>
    </row>
    <row r="5224">
      <c r="A5224" s="2">
        <f>IFERROR(__xludf.DUMMYFUNCTION("""COMPUTED_VALUE"""),9649.0)</f>
        <v>9649</v>
      </c>
      <c r="B5224" s="2">
        <f>IFERROR(__xludf.DUMMYFUNCTION("""COMPUTED_VALUE"""),1.0)</f>
        <v>1</v>
      </c>
      <c r="C5224" s="2">
        <f>IFERROR(__xludf.DUMMYFUNCTION("""COMPUTED_VALUE"""),733.0)</f>
        <v>733</v>
      </c>
      <c r="D5224" s="3">
        <f>IFERROR(__xludf.DUMMYFUNCTION("""COMPUTED_VALUE"""),113.0)</f>
        <v>113</v>
      </c>
      <c r="E5224" s="2"/>
      <c r="F5224" s="2"/>
    </row>
    <row r="5225">
      <c r="A5225" s="2">
        <f>IFERROR(__xludf.DUMMYFUNCTION("""COMPUTED_VALUE"""),9652.0)</f>
        <v>9652</v>
      </c>
      <c r="B5225" s="2">
        <f>IFERROR(__xludf.DUMMYFUNCTION("""COMPUTED_VALUE"""),0.0)</f>
        <v>0</v>
      </c>
      <c r="C5225" s="2">
        <f>IFERROR(__xludf.DUMMYFUNCTION("""COMPUTED_VALUE"""),602.0)</f>
        <v>602</v>
      </c>
      <c r="D5225" s="3">
        <f>IFERROR(__xludf.DUMMYFUNCTION("""COMPUTED_VALUE"""),544.0)</f>
        <v>544</v>
      </c>
      <c r="E5225" s="2"/>
      <c r="F5225" s="2"/>
    </row>
    <row r="5226">
      <c r="A5226" s="2">
        <f>IFERROR(__xludf.DUMMYFUNCTION("""COMPUTED_VALUE"""),79426.0)</f>
        <v>79426</v>
      </c>
      <c r="B5226" s="2">
        <f>IFERROR(__xludf.DUMMYFUNCTION("""COMPUTED_VALUE"""),1.0)</f>
        <v>1</v>
      </c>
      <c r="C5226" s="2">
        <f>IFERROR(__xludf.DUMMYFUNCTION("""COMPUTED_VALUE"""),947.0)</f>
        <v>947</v>
      </c>
      <c r="D5226" s="3">
        <f>IFERROR(__xludf.DUMMYFUNCTION("""COMPUTED_VALUE"""),516.0)</f>
        <v>516</v>
      </c>
      <c r="E5226" s="2"/>
      <c r="F5226" s="2"/>
    </row>
    <row r="5227">
      <c r="A5227" s="2">
        <f>IFERROR(__xludf.DUMMYFUNCTION("""COMPUTED_VALUE"""),79425.0)</f>
        <v>79425</v>
      </c>
      <c r="B5227" s="2">
        <f>IFERROR(__xludf.DUMMYFUNCTION("""COMPUTED_VALUE"""),1.0)</f>
        <v>1</v>
      </c>
      <c r="C5227" s="2">
        <f>IFERROR(__xludf.DUMMYFUNCTION("""COMPUTED_VALUE"""),169.0)</f>
        <v>169</v>
      </c>
      <c r="D5227" s="3">
        <f>IFERROR(__xludf.DUMMYFUNCTION("""COMPUTED_VALUE"""),154.0)</f>
        <v>154</v>
      </c>
      <c r="E5227" s="2"/>
      <c r="F5227" s="2"/>
    </row>
    <row r="5228">
      <c r="A5228" s="2">
        <f>IFERROR(__xludf.DUMMYFUNCTION("""COMPUTED_VALUE"""),4335.0)</f>
        <v>4335</v>
      </c>
      <c r="B5228" s="2">
        <f>IFERROR(__xludf.DUMMYFUNCTION("""COMPUTED_VALUE"""),1.0)</f>
        <v>1</v>
      </c>
      <c r="C5228" s="2">
        <f>IFERROR(__xludf.DUMMYFUNCTION("""COMPUTED_VALUE"""),646.0)</f>
        <v>646</v>
      </c>
      <c r="D5228" s="3">
        <f>IFERROR(__xludf.DUMMYFUNCTION("""COMPUTED_VALUE"""),334.0)</f>
        <v>334</v>
      </c>
      <c r="E5228" s="2"/>
      <c r="F5228" s="2"/>
    </row>
    <row r="5229">
      <c r="A5229" s="2">
        <f>IFERROR(__xludf.DUMMYFUNCTION("""COMPUTED_VALUE"""),70420.0)</f>
        <v>70420</v>
      </c>
      <c r="B5229" s="2">
        <f>IFERROR(__xludf.DUMMYFUNCTION("""COMPUTED_VALUE"""),1.0)</f>
        <v>1</v>
      </c>
      <c r="C5229" s="2">
        <f>IFERROR(__xludf.DUMMYFUNCTION("""COMPUTED_VALUE"""),18.0)</f>
        <v>18</v>
      </c>
      <c r="D5229" s="3">
        <f>IFERROR(__xludf.DUMMYFUNCTION("""COMPUTED_VALUE"""),14.0)</f>
        <v>14</v>
      </c>
      <c r="E5229" s="2"/>
      <c r="F5229" s="2"/>
    </row>
    <row r="5230">
      <c r="A5230" s="2">
        <f>IFERROR(__xludf.DUMMYFUNCTION("""COMPUTED_VALUE"""),9655.0)</f>
        <v>9655</v>
      </c>
      <c r="B5230" s="2">
        <f>IFERROR(__xludf.DUMMYFUNCTION("""COMPUTED_VALUE"""),1.0)</f>
        <v>1</v>
      </c>
      <c r="C5230" s="2">
        <f>IFERROR(__xludf.DUMMYFUNCTION("""COMPUTED_VALUE"""),29.0)</f>
        <v>29</v>
      </c>
      <c r="D5230" s="3">
        <f>IFERROR(__xludf.DUMMYFUNCTION("""COMPUTED_VALUE"""),28.0)</f>
        <v>28</v>
      </c>
      <c r="E5230" s="2"/>
      <c r="F5230" s="2"/>
    </row>
    <row r="5231">
      <c r="A5231" s="2">
        <f>IFERROR(__xludf.DUMMYFUNCTION("""COMPUTED_VALUE"""),68510.0)</f>
        <v>68510</v>
      </c>
      <c r="B5231" s="2">
        <f>IFERROR(__xludf.DUMMYFUNCTION("""COMPUTED_VALUE"""),1.0)</f>
        <v>1</v>
      </c>
      <c r="C5231" s="2">
        <f>IFERROR(__xludf.DUMMYFUNCTION("""COMPUTED_VALUE"""),365.0)</f>
        <v>365</v>
      </c>
      <c r="D5231" s="3">
        <f>IFERROR(__xludf.DUMMYFUNCTION("""COMPUTED_VALUE"""),353.0)</f>
        <v>353</v>
      </c>
      <c r="E5231" s="2"/>
      <c r="F5231" s="2"/>
    </row>
    <row r="5232">
      <c r="A5232" s="2">
        <f>IFERROR(__xludf.DUMMYFUNCTION("""COMPUTED_VALUE"""),11068.0)</f>
        <v>11068</v>
      </c>
      <c r="B5232" s="2">
        <f>IFERROR(__xludf.DUMMYFUNCTION("""COMPUTED_VALUE"""),0.0)</f>
        <v>0</v>
      </c>
      <c r="C5232" s="2">
        <f>IFERROR(__xludf.DUMMYFUNCTION("""COMPUTED_VALUE"""),419.0)</f>
        <v>419</v>
      </c>
      <c r="D5232" s="3">
        <f>IFERROR(__xludf.DUMMYFUNCTION("""COMPUTED_VALUE"""),206.0)</f>
        <v>206</v>
      </c>
      <c r="E5232" s="2"/>
      <c r="F5232" s="2"/>
    </row>
    <row r="5233">
      <c r="A5233" s="2">
        <f>IFERROR(__xludf.DUMMYFUNCTION("""COMPUTED_VALUE"""),79888.0)</f>
        <v>79888</v>
      </c>
      <c r="B5233" s="2">
        <f>IFERROR(__xludf.DUMMYFUNCTION("""COMPUTED_VALUE"""),0.0)</f>
        <v>0</v>
      </c>
      <c r="C5233" s="2">
        <f>IFERROR(__xludf.DUMMYFUNCTION("""COMPUTED_VALUE"""),46.0)</f>
        <v>46</v>
      </c>
      <c r="D5233" s="3">
        <f>IFERROR(__xludf.DUMMYFUNCTION("""COMPUTED_VALUE"""),44.0)</f>
        <v>44</v>
      </c>
      <c r="E5233" s="2"/>
      <c r="F5233" s="2"/>
    </row>
    <row r="5234">
      <c r="A5234" s="2">
        <f>IFERROR(__xludf.DUMMYFUNCTION("""COMPUTED_VALUE"""),108982.0)</f>
        <v>108982</v>
      </c>
      <c r="B5234" s="2">
        <f>IFERROR(__xludf.DUMMYFUNCTION("""COMPUTED_VALUE"""),1.0)</f>
        <v>1</v>
      </c>
      <c r="C5234" s="2">
        <f>IFERROR(__xludf.DUMMYFUNCTION("""COMPUTED_VALUE"""),664.0)</f>
        <v>664</v>
      </c>
      <c r="D5234" s="3">
        <f>IFERROR(__xludf.DUMMYFUNCTION("""COMPUTED_VALUE"""),547.0)</f>
        <v>547</v>
      </c>
      <c r="E5234" s="2"/>
      <c r="F5234" s="2"/>
    </row>
    <row r="5235">
      <c r="A5235" s="2">
        <f>IFERROR(__xludf.DUMMYFUNCTION("""COMPUTED_VALUE"""),88020.0)</f>
        <v>88020</v>
      </c>
      <c r="B5235" s="2">
        <f>IFERROR(__xludf.DUMMYFUNCTION("""COMPUTED_VALUE"""),1.0)</f>
        <v>1</v>
      </c>
      <c r="C5235" s="2">
        <f>IFERROR(__xludf.DUMMYFUNCTION("""COMPUTED_VALUE"""),546.0)</f>
        <v>546</v>
      </c>
      <c r="D5235" s="3">
        <f>IFERROR(__xludf.DUMMYFUNCTION("""COMPUTED_VALUE"""),127.0)</f>
        <v>127</v>
      </c>
      <c r="E5235" s="2"/>
      <c r="F5235" s="2"/>
    </row>
    <row r="5236">
      <c r="A5236" s="2">
        <f>IFERROR(__xludf.DUMMYFUNCTION("""COMPUTED_VALUE"""),44824.0)</f>
        <v>44824</v>
      </c>
      <c r="B5236" s="2">
        <f>IFERROR(__xludf.DUMMYFUNCTION("""COMPUTED_VALUE"""),0.0)</f>
        <v>0</v>
      </c>
      <c r="C5236" s="2">
        <f>IFERROR(__xludf.DUMMYFUNCTION("""COMPUTED_VALUE"""),846.0)</f>
        <v>846</v>
      </c>
      <c r="D5236" s="3">
        <f>IFERROR(__xludf.DUMMYFUNCTION("""COMPUTED_VALUE"""),759.0)</f>
        <v>759</v>
      </c>
      <c r="E5236" s="2"/>
      <c r="F5236" s="2"/>
    </row>
    <row r="5237">
      <c r="A5237" s="2">
        <f>IFERROR(__xludf.DUMMYFUNCTION("""COMPUTED_VALUE"""),46900.0)</f>
        <v>46900</v>
      </c>
      <c r="B5237" s="2">
        <f>IFERROR(__xludf.DUMMYFUNCTION("""COMPUTED_VALUE"""),1.0)</f>
        <v>1</v>
      </c>
      <c r="C5237" s="2">
        <f>IFERROR(__xludf.DUMMYFUNCTION("""COMPUTED_VALUE"""),25.0)</f>
        <v>25</v>
      </c>
      <c r="D5237" s="3">
        <f>IFERROR(__xludf.DUMMYFUNCTION("""COMPUTED_VALUE"""),24.0)</f>
        <v>24</v>
      </c>
      <c r="E5237" s="2"/>
      <c r="F5237" s="2"/>
    </row>
    <row r="5238">
      <c r="A5238" s="2">
        <f>IFERROR(__xludf.DUMMYFUNCTION("""COMPUTED_VALUE"""),41981.0)</f>
        <v>41981</v>
      </c>
      <c r="B5238" s="2">
        <f>IFERROR(__xludf.DUMMYFUNCTION("""COMPUTED_VALUE"""),1.0)</f>
        <v>1</v>
      </c>
      <c r="C5238" s="2">
        <f>IFERROR(__xludf.DUMMYFUNCTION("""COMPUTED_VALUE"""),140.0)</f>
        <v>140</v>
      </c>
      <c r="D5238" s="3">
        <f>IFERROR(__xludf.DUMMYFUNCTION("""COMPUTED_VALUE"""),13.0)</f>
        <v>13</v>
      </c>
      <c r="E5238" s="2"/>
      <c r="F5238" s="2"/>
    </row>
    <row r="5239">
      <c r="A5239" s="2">
        <f>IFERROR(__xludf.DUMMYFUNCTION("""COMPUTED_VALUE"""),44825.0)</f>
        <v>44825</v>
      </c>
      <c r="B5239" s="2">
        <f>IFERROR(__xludf.DUMMYFUNCTION("""COMPUTED_VALUE"""),1.0)</f>
        <v>1</v>
      </c>
      <c r="C5239" s="2">
        <f>IFERROR(__xludf.DUMMYFUNCTION("""COMPUTED_VALUE"""),645.0)</f>
        <v>645</v>
      </c>
      <c r="D5239" s="3">
        <f>IFERROR(__xludf.DUMMYFUNCTION("""COMPUTED_VALUE"""),521.0)</f>
        <v>521</v>
      </c>
      <c r="E5239" s="2"/>
      <c r="F5239" s="2"/>
    </row>
    <row r="5240">
      <c r="A5240" s="2">
        <f>IFERROR(__xludf.DUMMYFUNCTION("""COMPUTED_VALUE"""),6875.0)</f>
        <v>6875</v>
      </c>
      <c r="B5240" s="2">
        <f>IFERROR(__xludf.DUMMYFUNCTION("""COMPUTED_VALUE"""),0.0)</f>
        <v>0</v>
      </c>
      <c r="C5240" s="2">
        <f>IFERROR(__xludf.DUMMYFUNCTION("""COMPUTED_VALUE"""),128.0)</f>
        <v>128</v>
      </c>
      <c r="D5240" s="3">
        <f>IFERROR(__xludf.DUMMYFUNCTION("""COMPUTED_VALUE"""),77.0)</f>
        <v>77</v>
      </c>
      <c r="E5240" s="2"/>
      <c r="F5240" s="2"/>
    </row>
    <row r="5241">
      <c r="A5241" s="2">
        <f>IFERROR(__xludf.DUMMYFUNCTION("""COMPUTED_VALUE"""),108981.0)</f>
        <v>108981</v>
      </c>
      <c r="B5241" s="2">
        <f>IFERROR(__xludf.DUMMYFUNCTION("""COMPUTED_VALUE"""),1.0)</f>
        <v>1</v>
      </c>
      <c r="C5241" s="2">
        <f>IFERROR(__xludf.DUMMYFUNCTION("""COMPUTED_VALUE"""),528.0)</f>
        <v>528</v>
      </c>
      <c r="D5241" s="3">
        <f>IFERROR(__xludf.DUMMYFUNCTION("""COMPUTED_VALUE"""),420.0)</f>
        <v>420</v>
      </c>
      <c r="E5241" s="2"/>
      <c r="F5241" s="2"/>
    </row>
    <row r="5242">
      <c r="A5242" s="2">
        <f>IFERROR(__xludf.DUMMYFUNCTION("""COMPUTED_VALUE"""),110931.0)</f>
        <v>110931</v>
      </c>
      <c r="B5242" s="2">
        <f>IFERROR(__xludf.DUMMYFUNCTION("""COMPUTED_VALUE"""),0.0)</f>
        <v>0</v>
      </c>
      <c r="C5242" s="2">
        <f>IFERROR(__xludf.DUMMYFUNCTION("""COMPUTED_VALUE"""),770.0)</f>
        <v>770</v>
      </c>
      <c r="D5242" s="3">
        <f>IFERROR(__xludf.DUMMYFUNCTION("""COMPUTED_VALUE"""),118.0)</f>
        <v>118</v>
      </c>
      <c r="E5242" s="2"/>
      <c r="F5242" s="2"/>
    </row>
    <row r="5243">
      <c r="A5243" s="2">
        <f>IFERROR(__xludf.DUMMYFUNCTION("""COMPUTED_VALUE"""),99037.0)</f>
        <v>99037</v>
      </c>
      <c r="B5243" s="2">
        <f>IFERROR(__xludf.DUMMYFUNCTION("""COMPUTED_VALUE"""),1.0)</f>
        <v>1</v>
      </c>
      <c r="C5243" s="2">
        <f>IFERROR(__xludf.DUMMYFUNCTION("""COMPUTED_VALUE"""),298.0)</f>
        <v>298</v>
      </c>
      <c r="D5243" s="3">
        <f>IFERROR(__xludf.DUMMYFUNCTION("""COMPUTED_VALUE"""),260.0)</f>
        <v>260</v>
      </c>
      <c r="E5243" s="2"/>
      <c r="F5243" s="2"/>
    </row>
    <row r="5244">
      <c r="A5244" s="2">
        <f>IFERROR(__xludf.DUMMYFUNCTION("""COMPUTED_VALUE"""),99096.0)</f>
        <v>99096</v>
      </c>
      <c r="B5244" s="2">
        <f>IFERROR(__xludf.DUMMYFUNCTION("""COMPUTED_VALUE"""),0.0)</f>
        <v>0</v>
      </c>
      <c r="C5244" s="2">
        <f>IFERROR(__xludf.DUMMYFUNCTION("""COMPUTED_VALUE"""),618.0)</f>
        <v>618</v>
      </c>
      <c r="D5244" s="3">
        <f>IFERROR(__xludf.DUMMYFUNCTION("""COMPUTED_VALUE"""),444.0)</f>
        <v>444</v>
      </c>
      <c r="E5244" s="2"/>
      <c r="F5244" s="2"/>
    </row>
    <row r="5245">
      <c r="A5245" s="2">
        <f>IFERROR(__xludf.DUMMYFUNCTION("""COMPUTED_VALUE"""),41986.0)</f>
        <v>41986</v>
      </c>
      <c r="B5245" s="2">
        <f>IFERROR(__xludf.DUMMYFUNCTION("""COMPUTED_VALUE"""),0.0)</f>
        <v>0</v>
      </c>
      <c r="C5245" s="2">
        <f>IFERROR(__xludf.DUMMYFUNCTION("""COMPUTED_VALUE"""),575.0)</f>
        <v>575</v>
      </c>
      <c r="D5245" s="3">
        <f>IFERROR(__xludf.DUMMYFUNCTION("""COMPUTED_VALUE"""),97.0)</f>
        <v>97</v>
      </c>
      <c r="E5245" s="2"/>
      <c r="F5245" s="2"/>
    </row>
    <row r="5246">
      <c r="A5246" s="2">
        <f>IFERROR(__xludf.DUMMYFUNCTION("""COMPUTED_VALUE"""),79430.0)</f>
        <v>79430</v>
      </c>
      <c r="B5246" s="2">
        <f>IFERROR(__xludf.DUMMYFUNCTION("""COMPUTED_VALUE"""),0.0)</f>
        <v>0</v>
      </c>
      <c r="C5246" s="2">
        <f>IFERROR(__xludf.DUMMYFUNCTION("""COMPUTED_VALUE"""),34.0)</f>
        <v>34</v>
      </c>
      <c r="D5246" s="3">
        <f>IFERROR(__xludf.DUMMYFUNCTION("""COMPUTED_VALUE"""),12.0)</f>
        <v>12</v>
      </c>
      <c r="E5246" s="2"/>
      <c r="F5246" s="2"/>
    </row>
    <row r="5247">
      <c r="A5247" s="2">
        <f>IFERROR(__xludf.DUMMYFUNCTION("""COMPUTED_VALUE"""),41921.0)</f>
        <v>41921</v>
      </c>
      <c r="B5247" s="2">
        <f>IFERROR(__xludf.DUMMYFUNCTION("""COMPUTED_VALUE"""),1.0)</f>
        <v>1</v>
      </c>
      <c r="C5247" s="2">
        <f>IFERROR(__xludf.DUMMYFUNCTION("""COMPUTED_VALUE"""),507.0)</f>
        <v>507</v>
      </c>
      <c r="D5247" s="3">
        <f>IFERROR(__xludf.DUMMYFUNCTION("""COMPUTED_VALUE"""),320.0)</f>
        <v>320</v>
      </c>
      <c r="E5247" s="2"/>
      <c r="F5247" s="2"/>
    </row>
    <row r="5248">
      <c r="A5248" s="2">
        <f>IFERROR(__xludf.DUMMYFUNCTION("""COMPUTED_VALUE"""),41910.0)</f>
        <v>41910</v>
      </c>
      <c r="B5248" s="2">
        <f>IFERROR(__xludf.DUMMYFUNCTION("""COMPUTED_VALUE"""),1.0)</f>
        <v>1</v>
      </c>
      <c r="C5248" s="2">
        <f>IFERROR(__xludf.DUMMYFUNCTION("""COMPUTED_VALUE"""),422.0)</f>
        <v>422</v>
      </c>
      <c r="D5248" s="3">
        <f>IFERROR(__xludf.DUMMYFUNCTION("""COMPUTED_VALUE"""),363.0)</f>
        <v>363</v>
      </c>
      <c r="E5248" s="2"/>
      <c r="F5248" s="2"/>
    </row>
    <row r="5249">
      <c r="A5249" s="2">
        <f>IFERROR(__xludf.DUMMYFUNCTION("""COMPUTED_VALUE"""),11069.0)</f>
        <v>11069</v>
      </c>
      <c r="B5249" s="2">
        <f>IFERROR(__xludf.DUMMYFUNCTION("""COMPUTED_VALUE"""),1.0)</f>
        <v>1</v>
      </c>
      <c r="C5249" s="2">
        <f>IFERROR(__xludf.DUMMYFUNCTION("""COMPUTED_VALUE"""),44.0)</f>
        <v>44</v>
      </c>
      <c r="D5249" s="3">
        <f>IFERROR(__xludf.DUMMYFUNCTION("""COMPUTED_VALUE"""),16.0)</f>
        <v>16</v>
      </c>
      <c r="E5249" s="2"/>
      <c r="F5249" s="2"/>
    </row>
    <row r="5250">
      <c r="A5250" s="2">
        <f>IFERROR(__xludf.DUMMYFUNCTION("""COMPUTED_VALUE"""),41924.0)</f>
        <v>41924</v>
      </c>
      <c r="B5250" s="2">
        <f>IFERROR(__xludf.DUMMYFUNCTION("""COMPUTED_VALUE"""),1.0)</f>
        <v>1</v>
      </c>
      <c r="C5250" s="2">
        <f>IFERROR(__xludf.DUMMYFUNCTION("""COMPUTED_VALUE"""),342.0)</f>
        <v>342</v>
      </c>
      <c r="D5250" s="3">
        <f>IFERROR(__xludf.DUMMYFUNCTION("""COMPUTED_VALUE"""),167.0)</f>
        <v>167</v>
      </c>
      <c r="E5250" s="2"/>
      <c r="F5250" s="2"/>
    </row>
    <row r="5251">
      <c r="A5251" s="2">
        <f>IFERROR(__xludf.DUMMYFUNCTION("""COMPUTED_VALUE"""),133913.0)</f>
        <v>133913</v>
      </c>
      <c r="B5251" s="2">
        <f>IFERROR(__xludf.DUMMYFUNCTION("""COMPUTED_VALUE"""),0.0)</f>
        <v>0</v>
      </c>
      <c r="C5251" s="2">
        <f>IFERROR(__xludf.DUMMYFUNCTION("""COMPUTED_VALUE"""),377.0)</f>
        <v>377</v>
      </c>
      <c r="D5251" s="3">
        <f>IFERROR(__xludf.DUMMYFUNCTION("""COMPUTED_VALUE"""),121.0)</f>
        <v>121</v>
      </c>
      <c r="E5251" s="2"/>
      <c r="F5251" s="2"/>
    </row>
    <row r="5252">
      <c r="A5252" s="2">
        <f>IFERROR(__xludf.DUMMYFUNCTION("""COMPUTED_VALUE"""),70422.0)</f>
        <v>70422</v>
      </c>
      <c r="B5252" s="2">
        <f>IFERROR(__xludf.DUMMYFUNCTION("""COMPUTED_VALUE"""),1.0)</f>
        <v>1</v>
      </c>
      <c r="C5252" s="2">
        <f>IFERROR(__xludf.DUMMYFUNCTION("""COMPUTED_VALUE"""),901.0)</f>
        <v>901</v>
      </c>
      <c r="D5252" s="3">
        <f>IFERROR(__xludf.DUMMYFUNCTION("""COMPUTED_VALUE"""),707.0)</f>
        <v>707</v>
      </c>
      <c r="E5252" s="2"/>
      <c r="F5252" s="2"/>
    </row>
    <row r="5253">
      <c r="A5253" s="2">
        <f>IFERROR(__xludf.DUMMYFUNCTION("""COMPUTED_VALUE"""),17812.0)</f>
        <v>17812</v>
      </c>
      <c r="B5253" s="2">
        <f>IFERROR(__xludf.DUMMYFUNCTION("""COMPUTED_VALUE"""),1.0)</f>
        <v>1</v>
      </c>
      <c r="C5253" s="2">
        <f>IFERROR(__xludf.DUMMYFUNCTION("""COMPUTED_VALUE"""),946.0)</f>
        <v>946</v>
      </c>
      <c r="D5253" s="3">
        <f>IFERROR(__xludf.DUMMYFUNCTION("""COMPUTED_VALUE"""),920.0)</f>
        <v>920</v>
      </c>
      <c r="E5253" s="2"/>
      <c r="F5253" s="2"/>
    </row>
    <row r="5254">
      <c r="A5254" s="2">
        <f>IFERROR(__xludf.DUMMYFUNCTION("""COMPUTED_VALUE"""),70429.0)</f>
        <v>70429</v>
      </c>
      <c r="B5254" s="2">
        <f>IFERROR(__xludf.DUMMYFUNCTION("""COMPUTED_VALUE"""),0.0)</f>
        <v>0</v>
      </c>
      <c r="C5254" s="2">
        <f>IFERROR(__xludf.DUMMYFUNCTION("""COMPUTED_VALUE"""),908.0)</f>
        <v>908</v>
      </c>
      <c r="D5254" s="3">
        <f>IFERROR(__xludf.DUMMYFUNCTION("""COMPUTED_VALUE"""),505.0)</f>
        <v>505</v>
      </c>
      <c r="E5254" s="2"/>
      <c r="F5254" s="2"/>
    </row>
    <row r="5255">
      <c r="A5255" s="2">
        <f>IFERROR(__xludf.DUMMYFUNCTION("""COMPUTED_VALUE"""),70428.0)</f>
        <v>70428</v>
      </c>
      <c r="B5255" s="2">
        <f>IFERROR(__xludf.DUMMYFUNCTION("""COMPUTED_VALUE"""),1.0)</f>
        <v>1</v>
      </c>
      <c r="C5255" s="2">
        <f>IFERROR(__xludf.DUMMYFUNCTION("""COMPUTED_VALUE"""),633.0)</f>
        <v>633</v>
      </c>
      <c r="D5255" s="3">
        <f>IFERROR(__xludf.DUMMYFUNCTION("""COMPUTED_VALUE"""),357.0)</f>
        <v>357</v>
      </c>
      <c r="E5255" s="2"/>
      <c r="F5255" s="2"/>
    </row>
    <row r="5256">
      <c r="A5256" s="2">
        <f>IFERROR(__xludf.DUMMYFUNCTION("""COMPUTED_VALUE"""),99038.0)</f>
        <v>99038</v>
      </c>
      <c r="B5256" s="2">
        <f>IFERROR(__xludf.DUMMYFUNCTION("""COMPUTED_VALUE"""),0.0)</f>
        <v>0</v>
      </c>
      <c r="C5256" s="2">
        <f>IFERROR(__xludf.DUMMYFUNCTION("""COMPUTED_VALUE"""),89.0)</f>
        <v>89</v>
      </c>
      <c r="D5256" s="3">
        <f>IFERROR(__xludf.DUMMYFUNCTION("""COMPUTED_VALUE"""),12.0)</f>
        <v>12</v>
      </c>
      <c r="E5256" s="2"/>
      <c r="F5256" s="2"/>
    </row>
    <row r="5257">
      <c r="A5257" s="2">
        <f>IFERROR(__xludf.DUMMYFUNCTION("""COMPUTED_VALUE"""),11071.0)</f>
        <v>11071</v>
      </c>
      <c r="B5257" s="2">
        <f>IFERROR(__xludf.DUMMYFUNCTION("""COMPUTED_VALUE"""),0.0)</f>
        <v>0</v>
      </c>
      <c r="C5257" s="2">
        <f>IFERROR(__xludf.DUMMYFUNCTION("""COMPUTED_VALUE"""),76.0)</f>
        <v>76</v>
      </c>
      <c r="D5257" s="3">
        <f>IFERROR(__xludf.DUMMYFUNCTION("""COMPUTED_VALUE"""),47.0)</f>
        <v>47</v>
      </c>
      <c r="E5257" s="2"/>
      <c r="F5257" s="2"/>
    </row>
    <row r="5258">
      <c r="A5258" s="2">
        <f>IFERROR(__xludf.DUMMYFUNCTION("""COMPUTED_VALUE"""),17066.0)</f>
        <v>17066</v>
      </c>
      <c r="B5258" s="2">
        <f>IFERROR(__xludf.DUMMYFUNCTION("""COMPUTED_VALUE"""),0.0)</f>
        <v>0</v>
      </c>
      <c r="C5258" s="2">
        <f>IFERROR(__xludf.DUMMYFUNCTION("""COMPUTED_VALUE"""),153.0)</f>
        <v>153</v>
      </c>
      <c r="D5258" s="3">
        <f>IFERROR(__xludf.DUMMYFUNCTION("""COMPUTED_VALUE"""),70.0)</f>
        <v>70</v>
      </c>
      <c r="E5258" s="2"/>
      <c r="F5258" s="2"/>
    </row>
    <row r="5259">
      <c r="A5259" s="2">
        <f>IFERROR(__xludf.DUMMYFUNCTION("""COMPUTED_VALUE"""),117649.0)</f>
        <v>117649</v>
      </c>
      <c r="B5259" s="2">
        <f>IFERROR(__xludf.DUMMYFUNCTION("""COMPUTED_VALUE"""),0.0)</f>
        <v>0</v>
      </c>
      <c r="C5259" s="2">
        <f>IFERROR(__xludf.DUMMYFUNCTION("""COMPUTED_VALUE"""),228.0)</f>
        <v>228</v>
      </c>
      <c r="D5259" s="3">
        <f>IFERROR(__xludf.DUMMYFUNCTION("""COMPUTED_VALUE"""),211.0)</f>
        <v>211</v>
      </c>
      <c r="E5259" s="2"/>
      <c r="F5259" s="2"/>
    </row>
    <row r="5260">
      <c r="A5260" s="2">
        <f>IFERROR(__xludf.DUMMYFUNCTION("""COMPUTED_VALUE"""),70426.0)</f>
        <v>70426</v>
      </c>
      <c r="B5260" s="2">
        <f>IFERROR(__xludf.DUMMYFUNCTION("""COMPUTED_VALUE"""),0.0)</f>
        <v>0</v>
      </c>
      <c r="C5260" s="2">
        <f>IFERROR(__xludf.DUMMYFUNCTION("""COMPUTED_VALUE"""),584.0)</f>
        <v>584</v>
      </c>
      <c r="D5260" s="3">
        <f>IFERROR(__xludf.DUMMYFUNCTION("""COMPUTED_VALUE"""),227.0)</f>
        <v>227</v>
      </c>
      <c r="E5260" s="2"/>
      <c r="F5260" s="2"/>
    </row>
    <row r="5261">
      <c r="A5261" s="2">
        <f>IFERROR(__xludf.DUMMYFUNCTION("""COMPUTED_VALUE"""),75750.0)</f>
        <v>75750</v>
      </c>
      <c r="B5261" s="2">
        <f>IFERROR(__xludf.DUMMYFUNCTION("""COMPUTED_VALUE"""),1.0)</f>
        <v>1</v>
      </c>
      <c r="C5261" s="2">
        <f>IFERROR(__xludf.DUMMYFUNCTION("""COMPUTED_VALUE"""),893.0)</f>
        <v>893</v>
      </c>
      <c r="D5261" s="3">
        <f>IFERROR(__xludf.DUMMYFUNCTION("""COMPUTED_VALUE"""),259.0)</f>
        <v>259</v>
      </c>
      <c r="E5261" s="2"/>
      <c r="F5261" s="2"/>
    </row>
    <row r="5262">
      <c r="A5262" s="2">
        <f>IFERROR(__xludf.DUMMYFUNCTION("""COMPUTED_VALUE"""),117644.0)</f>
        <v>117644</v>
      </c>
      <c r="B5262" s="2">
        <f>IFERROR(__xludf.DUMMYFUNCTION("""COMPUTED_VALUE"""),0.0)</f>
        <v>0</v>
      </c>
      <c r="C5262" s="2">
        <f>IFERROR(__xludf.DUMMYFUNCTION("""COMPUTED_VALUE"""),909.0)</f>
        <v>909</v>
      </c>
      <c r="D5262" s="3">
        <f>IFERROR(__xludf.DUMMYFUNCTION("""COMPUTED_VALUE"""),165.0)</f>
        <v>165</v>
      </c>
      <c r="E5262" s="2"/>
      <c r="F5262" s="2"/>
    </row>
    <row r="5263">
      <c r="A5263" s="2">
        <f>IFERROR(__xludf.DUMMYFUNCTION("""COMPUTED_VALUE"""),68512.0)</f>
        <v>68512</v>
      </c>
      <c r="B5263" s="2">
        <f>IFERROR(__xludf.DUMMYFUNCTION("""COMPUTED_VALUE"""),1.0)</f>
        <v>1</v>
      </c>
      <c r="C5263" s="2">
        <f>IFERROR(__xludf.DUMMYFUNCTION("""COMPUTED_VALUE"""),539.0)</f>
        <v>539</v>
      </c>
      <c r="D5263" s="3">
        <f>IFERROR(__xludf.DUMMYFUNCTION("""COMPUTED_VALUE"""),333.0)</f>
        <v>333</v>
      </c>
      <c r="E5263" s="2"/>
      <c r="F5263" s="2"/>
    </row>
    <row r="5264">
      <c r="A5264" s="2">
        <f>IFERROR(__xludf.DUMMYFUNCTION("""COMPUTED_VALUE"""),12792.0)</f>
        <v>12792</v>
      </c>
      <c r="B5264" s="2">
        <f>IFERROR(__xludf.DUMMYFUNCTION("""COMPUTED_VALUE"""),0.0)</f>
        <v>0</v>
      </c>
      <c r="C5264" s="2">
        <f>IFERROR(__xludf.DUMMYFUNCTION("""COMPUTED_VALUE"""),330.0)</f>
        <v>330</v>
      </c>
      <c r="D5264" s="3">
        <f>IFERROR(__xludf.DUMMYFUNCTION("""COMPUTED_VALUE"""),31.0)</f>
        <v>31</v>
      </c>
      <c r="E5264" s="2"/>
      <c r="F5264" s="2"/>
    </row>
    <row r="5265">
      <c r="A5265" s="2">
        <f>IFERROR(__xludf.DUMMYFUNCTION("""COMPUTED_VALUE"""),46684.0)</f>
        <v>46684</v>
      </c>
      <c r="B5265" s="2">
        <f>IFERROR(__xludf.DUMMYFUNCTION("""COMPUTED_VALUE"""),1.0)</f>
        <v>1</v>
      </c>
      <c r="C5265" s="2">
        <f>IFERROR(__xludf.DUMMYFUNCTION("""COMPUTED_VALUE"""),469.0)</f>
        <v>469</v>
      </c>
      <c r="D5265" s="3">
        <f>IFERROR(__xludf.DUMMYFUNCTION("""COMPUTED_VALUE"""),170.0)</f>
        <v>170</v>
      </c>
      <c r="E5265" s="2"/>
      <c r="F5265" s="2"/>
    </row>
    <row r="5266">
      <c r="A5266" s="2">
        <f>IFERROR(__xludf.DUMMYFUNCTION("""COMPUTED_VALUE"""),12795.0)</f>
        <v>12795</v>
      </c>
      <c r="B5266" s="2">
        <f>IFERROR(__xludf.DUMMYFUNCTION("""COMPUTED_VALUE"""),0.0)</f>
        <v>0</v>
      </c>
      <c r="C5266" s="2">
        <f>IFERROR(__xludf.DUMMYFUNCTION("""COMPUTED_VALUE"""),645.0)</f>
        <v>645</v>
      </c>
      <c r="D5266" s="3">
        <f>IFERROR(__xludf.DUMMYFUNCTION("""COMPUTED_VALUE"""),68.0)</f>
        <v>68</v>
      </c>
      <c r="E5266" s="2"/>
      <c r="F5266" s="2"/>
    </row>
    <row r="5267">
      <c r="A5267" s="2">
        <f>IFERROR(__xludf.DUMMYFUNCTION("""COMPUTED_VALUE"""),46686.0)</f>
        <v>46686</v>
      </c>
      <c r="B5267" s="2">
        <f>IFERROR(__xludf.DUMMYFUNCTION("""COMPUTED_VALUE"""),1.0)</f>
        <v>1</v>
      </c>
      <c r="C5267" s="2">
        <f>IFERROR(__xludf.DUMMYFUNCTION("""COMPUTED_VALUE"""),514.0)</f>
        <v>514</v>
      </c>
      <c r="D5267" s="3">
        <f>IFERROR(__xludf.DUMMYFUNCTION("""COMPUTED_VALUE"""),144.0)</f>
        <v>144</v>
      </c>
      <c r="E5267" s="2"/>
      <c r="F5267" s="2"/>
    </row>
    <row r="5268">
      <c r="A5268" s="2">
        <f>IFERROR(__xludf.DUMMYFUNCTION("""COMPUTED_VALUE"""),12804.0)</f>
        <v>12804</v>
      </c>
      <c r="B5268" s="2">
        <f>IFERROR(__xludf.DUMMYFUNCTION("""COMPUTED_VALUE"""),1.0)</f>
        <v>1</v>
      </c>
      <c r="C5268" s="2">
        <f>IFERROR(__xludf.DUMMYFUNCTION("""COMPUTED_VALUE"""),885.0)</f>
        <v>885</v>
      </c>
      <c r="D5268" s="3">
        <f>IFERROR(__xludf.DUMMYFUNCTION("""COMPUTED_VALUE"""),137.0)</f>
        <v>137</v>
      </c>
      <c r="E5268" s="2"/>
      <c r="F5268" s="2"/>
    </row>
    <row r="5269">
      <c r="A5269" s="2">
        <f>IFERROR(__xludf.DUMMYFUNCTION("""COMPUTED_VALUE"""),12799.0)</f>
        <v>12799</v>
      </c>
      <c r="B5269" s="2">
        <f>IFERROR(__xludf.DUMMYFUNCTION("""COMPUTED_VALUE"""),0.0)</f>
        <v>0</v>
      </c>
      <c r="C5269" s="2">
        <f>IFERROR(__xludf.DUMMYFUNCTION("""COMPUTED_VALUE"""),458.0)</f>
        <v>458</v>
      </c>
      <c r="D5269" s="3">
        <f>IFERROR(__xludf.DUMMYFUNCTION("""COMPUTED_VALUE"""),153.0)</f>
        <v>153</v>
      </c>
      <c r="E5269" s="2"/>
      <c r="F5269" s="2"/>
    </row>
    <row r="5270">
      <c r="A5270" s="2">
        <f>IFERROR(__xludf.DUMMYFUNCTION("""COMPUTED_VALUE"""),100914.0)</f>
        <v>100914</v>
      </c>
      <c r="B5270" s="2">
        <f>IFERROR(__xludf.DUMMYFUNCTION("""COMPUTED_VALUE"""),0.0)</f>
        <v>0</v>
      </c>
      <c r="C5270" s="2">
        <f>IFERROR(__xludf.DUMMYFUNCTION("""COMPUTED_VALUE"""),40.0)</f>
        <v>40</v>
      </c>
      <c r="D5270" s="3">
        <f>IFERROR(__xludf.DUMMYFUNCTION("""COMPUTED_VALUE"""),20.0)</f>
        <v>20</v>
      </c>
      <c r="E5270" s="2"/>
      <c r="F5270" s="2"/>
    </row>
    <row r="5271">
      <c r="A5271" s="2">
        <f>IFERROR(__xludf.DUMMYFUNCTION("""COMPUTED_VALUE"""),12802.0)</f>
        <v>12802</v>
      </c>
      <c r="B5271" s="2">
        <f>IFERROR(__xludf.DUMMYFUNCTION("""COMPUTED_VALUE"""),0.0)</f>
        <v>0</v>
      </c>
      <c r="C5271" s="2">
        <f>IFERROR(__xludf.DUMMYFUNCTION("""COMPUTED_VALUE"""),692.0)</f>
        <v>692</v>
      </c>
      <c r="D5271" s="3">
        <f>IFERROR(__xludf.DUMMYFUNCTION("""COMPUTED_VALUE"""),645.0)</f>
        <v>645</v>
      </c>
      <c r="E5271" s="2"/>
      <c r="F5271" s="2"/>
    </row>
    <row r="5272">
      <c r="A5272" s="2">
        <f>IFERROR(__xludf.DUMMYFUNCTION("""COMPUTED_VALUE"""),100907.0)</f>
        <v>100907</v>
      </c>
      <c r="B5272" s="2">
        <f>IFERROR(__xludf.DUMMYFUNCTION("""COMPUTED_VALUE"""),1.0)</f>
        <v>1</v>
      </c>
      <c r="C5272" s="2">
        <f>IFERROR(__xludf.DUMMYFUNCTION("""COMPUTED_VALUE"""),669.0)</f>
        <v>669</v>
      </c>
      <c r="D5272" s="3">
        <f>IFERROR(__xludf.DUMMYFUNCTION("""COMPUTED_VALUE"""),208.0)</f>
        <v>208</v>
      </c>
      <c r="E5272" s="2"/>
      <c r="F5272" s="2"/>
    </row>
    <row r="5273">
      <c r="A5273" s="2">
        <f>IFERROR(__xludf.DUMMYFUNCTION("""COMPUTED_VALUE"""),12794.0)</f>
        <v>12794</v>
      </c>
      <c r="B5273" s="2">
        <f>IFERROR(__xludf.DUMMYFUNCTION("""COMPUTED_VALUE"""),0.0)</f>
        <v>0</v>
      </c>
      <c r="C5273" s="2">
        <f>IFERROR(__xludf.DUMMYFUNCTION("""COMPUTED_VALUE"""),793.0)</f>
        <v>793</v>
      </c>
      <c r="D5273" s="3">
        <f>IFERROR(__xludf.DUMMYFUNCTION("""COMPUTED_VALUE"""),228.0)</f>
        <v>228</v>
      </c>
      <c r="E5273" s="2"/>
      <c r="F5273" s="2"/>
    </row>
    <row r="5274">
      <c r="A5274" s="2">
        <f>IFERROR(__xludf.DUMMYFUNCTION("""COMPUTED_VALUE"""),4261.0)</f>
        <v>4261</v>
      </c>
      <c r="B5274" s="2">
        <f>IFERROR(__xludf.DUMMYFUNCTION("""COMPUTED_VALUE"""),1.0)</f>
        <v>1</v>
      </c>
      <c r="C5274" s="2">
        <f>IFERROR(__xludf.DUMMYFUNCTION("""COMPUTED_VALUE"""),846.0)</f>
        <v>846</v>
      </c>
      <c r="D5274" s="3">
        <f>IFERROR(__xludf.DUMMYFUNCTION("""COMPUTED_VALUE"""),241.0)</f>
        <v>241</v>
      </c>
      <c r="E5274" s="2"/>
      <c r="F5274" s="2"/>
    </row>
    <row r="5275">
      <c r="A5275" s="2">
        <f>IFERROR(__xludf.DUMMYFUNCTION("""COMPUTED_VALUE"""),9656.0)</f>
        <v>9656</v>
      </c>
      <c r="B5275" s="2">
        <f>IFERROR(__xludf.DUMMYFUNCTION("""COMPUTED_VALUE"""),1.0)</f>
        <v>1</v>
      </c>
      <c r="C5275" s="2">
        <f>IFERROR(__xludf.DUMMYFUNCTION("""COMPUTED_VALUE"""),497.0)</f>
        <v>497</v>
      </c>
      <c r="D5275" s="3">
        <f>IFERROR(__xludf.DUMMYFUNCTION("""COMPUTED_VALUE"""),382.0)</f>
        <v>382</v>
      </c>
      <c r="E5275" s="2"/>
      <c r="F5275" s="2"/>
    </row>
    <row r="5276">
      <c r="A5276" s="2">
        <f>IFERROR(__xludf.DUMMYFUNCTION("""COMPUTED_VALUE"""),9657.0)</f>
        <v>9657</v>
      </c>
      <c r="B5276" s="2">
        <f>IFERROR(__xludf.DUMMYFUNCTION("""COMPUTED_VALUE"""),1.0)</f>
        <v>1</v>
      </c>
      <c r="C5276" s="2">
        <f>IFERROR(__xludf.DUMMYFUNCTION("""COMPUTED_VALUE"""),606.0)</f>
        <v>606</v>
      </c>
      <c r="D5276" s="3">
        <f>IFERROR(__xludf.DUMMYFUNCTION("""COMPUTED_VALUE"""),298.0)</f>
        <v>298</v>
      </c>
      <c r="E5276" s="2"/>
      <c r="F5276" s="2"/>
    </row>
    <row r="5277">
      <c r="A5277" s="2">
        <f>IFERROR(__xludf.DUMMYFUNCTION("""COMPUTED_VALUE"""),9660.0)</f>
        <v>9660</v>
      </c>
      <c r="B5277" s="2">
        <f>IFERROR(__xludf.DUMMYFUNCTION("""COMPUTED_VALUE"""),0.0)</f>
        <v>0</v>
      </c>
      <c r="C5277" s="2">
        <f>IFERROR(__xludf.DUMMYFUNCTION("""COMPUTED_VALUE"""),768.0)</f>
        <v>768</v>
      </c>
      <c r="D5277" s="3">
        <f>IFERROR(__xludf.DUMMYFUNCTION("""COMPUTED_VALUE"""),642.0)</f>
        <v>642</v>
      </c>
      <c r="E5277" s="2"/>
      <c r="F5277" s="2"/>
    </row>
    <row r="5278">
      <c r="A5278" s="2">
        <f>IFERROR(__xludf.DUMMYFUNCTION("""COMPUTED_VALUE"""),9648.0)</f>
        <v>9648</v>
      </c>
      <c r="B5278" s="2">
        <f>IFERROR(__xludf.DUMMYFUNCTION("""COMPUTED_VALUE"""),0.0)</f>
        <v>0</v>
      </c>
      <c r="C5278" s="2">
        <f>IFERROR(__xludf.DUMMYFUNCTION("""COMPUTED_VALUE"""),963.0)</f>
        <v>963</v>
      </c>
      <c r="D5278" s="3">
        <f>IFERROR(__xludf.DUMMYFUNCTION("""COMPUTED_VALUE"""),189.0)</f>
        <v>189</v>
      </c>
      <c r="E5278" s="2"/>
      <c r="F5278" s="2"/>
    </row>
    <row r="5279">
      <c r="A5279" s="2">
        <f>IFERROR(__xludf.DUMMYFUNCTION("""COMPUTED_VALUE"""),79424.0)</f>
        <v>79424</v>
      </c>
      <c r="B5279" s="2">
        <f>IFERROR(__xludf.DUMMYFUNCTION("""COMPUTED_VALUE"""),0.0)</f>
        <v>0</v>
      </c>
      <c r="C5279" s="2">
        <f>IFERROR(__xludf.DUMMYFUNCTION("""COMPUTED_VALUE"""),8.0)</f>
        <v>8</v>
      </c>
      <c r="D5279" s="3">
        <f>IFERROR(__xludf.DUMMYFUNCTION("""COMPUTED_VALUE"""),7.0)</f>
        <v>7</v>
      </c>
      <c r="E5279" s="2"/>
      <c r="F5279" s="2"/>
    </row>
    <row r="5280">
      <c r="A5280" s="2">
        <f>IFERROR(__xludf.DUMMYFUNCTION("""COMPUTED_VALUE"""),4267.0)</f>
        <v>4267</v>
      </c>
      <c r="B5280" s="2">
        <f>IFERROR(__xludf.DUMMYFUNCTION("""COMPUTED_VALUE"""),0.0)</f>
        <v>0</v>
      </c>
      <c r="C5280" s="2">
        <f>IFERROR(__xludf.DUMMYFUNCTION("""COMPUTED_VALUE"""),450.0)</f>
        <v>450</v>
      </c>
      <c r="D5280" s="3">
        <f>IFERROR(__xludf.DUMMYFUNCTION("""COMPUTED_VALUE"""),86.0)</f>
        <v>86</v>
      </c>
      <c r="E5280" s="2"/>
      <c r="F5280" s="2"/>
    </row>
    <row r="5281">
      <c r="A5281" s="2">
        <f>IFERROR(__xludf.DUMMYFUNCTION("""COMPUTED_VALUE"""),9647.0)</f>
        <v>9647</v>
      </c>
      <c r="B5281" s="2">
        <f>IFERROR(__xludf.DUMMYFUNCTION("""COMPUTED_VALUE"""),0.0)</f>
        <v>0</v>
      </c>
      <c r="C5281" s="2">
        <f>IFERROR(__xludf.DUMMYFUNCTION("""COMPUTED_VALUE"""),203.0)</f>
        <v>203</v>
      </c>
      <c r="D5281" s="3">
        <f>IFERROR(__xludf.DUMMYFUNCTION("""COMPUTED_VALUE"""),24.0)</f>
        <v>24</v>
      </c>
      <c r="E5281" s="2"/>
      <c r="F5281" s="2"/>
    </row>
    <row r="5282">
      <c r="A5282" s="2">
        <f>IFERROR(__xludf.DUMMYFUNCTION("""COMPUTED_VALUE"""),110772.0)</f>
        <v>110772</v>
      </c>
      <c r="B5282" s="2">
        <f>IFERROR(__xludf.DUMMYFUNCTION("""COMPUTED_VALUE"""),0.0)</f>
        <v>0</v>
      </c>
      <c r="C5282" s="2">
        <f>IFERROR(__xludf.DUMMYFUNCTION("""COMPUTED_VALUE"""),43.0)</f>
        <v>43</v>
      </c>
      <c r="D5282" s="3">
        <f>IFERROR(__xludf.DUMMYFUNCTION("""COMPUTED_VALUE"""),19.0)</f>
        <v>19</v>
      </c>
      <c r="E5282" s="2"/>
      <c r="F5282" s="2"/>
    </row>
    <row r="5283">
      <c r="A5283" s="2">
        <f>IFERROR(__xludf.DUMMYFUNCTION("""COMPUTED_VALUE"""),4255.0)</f>
        <v>4255</v>
      </c>
      <c r="B5283" s="2">
        <f>IFERROR(__xludf.DUMMYFUNCTION("""COMPUTED_VALUE"""),1.0)</f>
        <v>1</v>
      </c>
      <c r="C5283" s="2">
        <f>IFERROR(__xludf.DUMMYFUNCTION("""COMPUTED_VALUE"""),690.0)</f>
        <v>690</v>
      </c>
      <c r="D5283" s="3">
        <f>IFERROR(__xludf.DUMMYFUNCTION("""COMPUTED_VALUE"""),290.0)</f>
        <v>290</v>
      </c>
      <c r="E5283" s="2"/>
      <c r="F5283" s="2"/>
    </row>
    <row r="5284">
      <c r="A5284" s="2">
        <f>IFERROR(__xludf.DUMMYFUNCTION("""COMPUTED_VALUE"""),4270.0)</f>
        <v>4270</v>
      </c>
      <c r="B5284" s="2">
        <f>IFERROR(__xludf.DUMMYFUNCTION("""COMPUTED_VALUE"""),0.0)</f>
        <v>0</v>
      </c>
      <c r="C5284" s="2">
        <f>IFERROR(__xludf.DUMMYFUNCTION("""COMPUTED_VALUE"""),714.0)</f>
        <v>714</v>
      </c>
      <c r="D5284" s="3">
        <f>IFERROR(__xludf.DUMMYFUNCTION("""COMPUTED_VALUE"""),61.0)</f>
        <v>61</v>
      </c>
      <c r="E5284" s="2"/>
      <c r="F5284" s="2"/>
    </row>
    <row r="5285">
      <c r="A5285" s="2">
        <f>IFERROR(__xludf.DUMMYFUNCTION("""COMPUTED_VALUE"""),4264.0)</f>
        <v>4264</v>
      </c>
      <c r="B5285" s="2">
        <f>IFERROR(__xludf.DUMMYFUNCTION("""COMPUTED_VALUE"""),1.0)</f>
        <v>1</v>
      </c>
      <c r="C5285" s="2">
        <f>IFERROR(__xludf.DUMMYFUNCTION("""COMPUTED_VALUE"""),316.0)</f>
        <v>316</v>
      </c>
      <c r="D5285" s="3">
        <f>IFERROR(__xludf.DUMMYFUNCTION("""COMPUTED_VALUE"""),60.0)</f>
        <v>60</v>
      </c>
      <c r="E5285" s="2"/>
      <c r="F5285" s="2"/>
    </row>
    <row r="5286">
      <c r="A5286" s="2">
        <f>IFERROR(__xludf.DUMMYFUNCTION("""COMPUTED_VALUE"""),4271.0)</f>
        <v>4271</v>
      </c>
      <c r="B5286" s="2">
        <f>IFERROR(__xludf.DUMMYFUNCTION("""COMPUTED_VALUE"""),1.0)</f>
        <v>1</v>
      </c>
      <c r="C5286" s="2">
        <f>IFERROR(__xludf.DUMMYFUNCTION("""COMPUTED_VALUE"""),783.0)</f>
        <v>783</v>
      </c>
      <c r="D5286" s="3">
        <f>IFERROR(__xludf.DUMMYFUNCTION("""COMPUTED_VALUE"""),386.0)</f>
        <v>386</v>
      </c>
      <c r="E5286" s="2"/>
      <c r="F5286" s="2"/>
    </row>
    <row r="5287">
      <c r="A5287" s="2">
        <f>IFERROR(__xludf.DUMMYFUNCTION("""COMPUTED_VALUE"""),79428.0)</f>
        <v>79428</v>
      </c>
      <c r="B5287" s="2">
        <f>IFERROR(__xludf.DUMMYFUNCTION("""COMPUTED_VALUE"""),1.0)</f>
        <v>1</v>
      </c>
      <c r="C5287" s="2">
        <f>IFERROR(__xludf.DUMMYFUNCTION("""COMPUTED_VALUE"""),773.0)</f>
        <v>773</v>
      </c>
      <c r="D5287" s="3">
        <f>IFERROR(__xludf.DUMMYFUNCTION("""COMPUTED_VALUE"""),604.0)</f>
        <v>604</v>
      </c>
      <c r="E5287" s="2"/>
      <c r="F5287" s="2"/>
    </row>
    <row r="5288">
      <c r="A5288" s="2">
        <f>IFERROR(__xludf.DUMMYFUNCTION("""COMPUTED_VALUE"""),68509.0)</f>
        <v>68509</v>
      </c>
      <c r="B5288" s="2">
        <f>IFERROR(__xludf.DUMMYFUNCTION("""COMPUTED_VALUE"""),1.0)</f>
        <v>1</v>
      </c>
      <c r="C5288" s="2">
        <f>IFERROR(__xludf.DUMMYFUNCTION("""COMPUTED_VALUE"""),905.0)</f>
        <v>905</v>
      </c>
      <c r="D5288" s="3">
        <f>IFERROR(__xludf.DUMMYFUNCTION("""COMPUTED_VALUE"""),442.0)</f>
        <v>442</v>
      </c>
      <c r="E5288" s="2"/>
      <c r="F5288" s="2"/>
    </row>
    <row r="5289">
      <c r="A5289" s="2">
        <f>IFERROR(__xludf.DUMMYFUNCTION("""COMPUTED_VALUE"""),112104.0)</f>
        <v>112104</v>
      </c>
      <c r="B5289" s="2">
        <f>IFERROR(__xludf.DUMMYFUNCTION("""COMPUTED_VALUE"""),0.0)</f>
        <v>0</v>
      </c>
      <c r="C5289" s="2">
        <f>IFERROR(__xludf.DUMMYFUNCTION("""COMPUTED_VALUE"""),821.0)</f>
        <v>821</v>
      </c>
      <c r="D5289" s="3">
        <f>IFERROR(__xludf.DUMMYFUNCTION("""COMPUTED_VALUE"""),207.0)</f>
        <v>207</v>
      </c>
      <c r="E5289" s="2"/>
      <c r="F5289" s="2"/>
    </row>
    <row r="5290">
      <c r="A5290" s="2">
        <f>IFERROR(__xludf.DUMMYFUNCTION("""COMPUTED_VALUE"""),79885.0)</f>
        <v>79885</v>
      </c>
      <c r="B5290" s="2">
        <f>IFERROR(__xludf.DUMMYFUNCTION("""COMPUTED_VALUE"""),0.0)</f>
        <v>0</v>
      </c>
      <c r="C5290" s="2">
        <f>IFERROR(__xludf.DUMMYFUNCTION("""COMPUTED_VALUE"""),901.0)</f>
        <v>901</v>
      </c>
      <c r="D5290" s="3">
        <f>IFERROR(__xludf.DUMMYFUNCTION("""COMPUTED_VALUE"""),463.0)</f>
        <v>463</v>
      </c>
      <c r="E5290" s="2"/>
      <c r="F5290" s="2"/>
    </row>
    <row r="5291">
      <c r="A5291" s="2">
        <f>IFERROR(__xludf.DUMMYFUNCTION("""COMPUTED_VALUE"""),6876.0)</f>
        <v>6876</v>
      </c>
      <c r="B5291" s="2">
        <f>IFERROR(__xludf.DUMMYFUNCTION("""COMPUTED_VALUE"""),1.0)</f>
        <v>1</v>
      </c>
      <c r="C5291" s="2">
        <f>IFERROR(__xludf.DUMMYFUNCTION("""COMPUTED_VALUE"""),706.0)</f>
        <v>706</v>
      </c>
      <c r="D5291" s="3">
        <f>IFERROR(__xludf.DUMMYFUNCTION("""COMPUTED_VALUE"""),666.0)</f>
        <v>666</v>
      </c>
      <c r="E5291" s="2"/>
      <c r="F5291" s="2"/>
    </row>
    <row r="5292">
      <c r="A5292" s="2">
        <f>IFERROR(__xludf.DUMMYFUNCTION("""COMPUTED_VALUE"""),79427.0)</f>
        <v>79427</v>
      </c>
      <c r="B5292" s="2">
        <f>IFERROR(__xludf.DUMMYFUNCTION("""COMPUTED_VALUE"""),1.0)</f>
        <v>1</v>
      </c>
      <c r="C5292" s="2">
        <f>IFERROR(__xludf.DUMMYFUNCTION("""COMPUTED_VALUE"""),630.0)</f>
        <v>630</v>
      </c>
      <c r="D5292" s="3">
        <f>IFERROR(__xludf.DUMMYFUNCTION("""COMPUTED_VALUE"""),75.0)</f>
        <v>75</v>
      </c>
      <c r="E5292" s="2"/>
      <c r="F5292" s="2"/>
    </row>
    <row r="5293">
      <c r="A5293" s="2">
        <f>IFERROR(__xludf.DUMMYFUNCTION("""COMPUTED_VALUE"""),44828.0)</f>
        <v>44828</v>
      </c>
      <c r="B5293" s="2">
        <f>IFERROR(__xludf.DUMMYFUNCTION("""COMPUTED_VALUE"""),1.0)</f>
        <v>1</v>
      </c>
      <c r="C5293" s="2">
        <f>IFERROR(__xludf.DUMMYFUNCTION("""COMPUTED_VALUE"""),783.0)</f>
        <v>783</v>
      </c>
      <c r="D5293" s="3">
        <f>IFERROR(__xludf.DUMMYFUNCTION("""COMPUTED_VALUE"""),376.0)</f>
        <v>376</v>
      </c>
      <c r="E5293" s="2"/>
      <c r="F5293" s="2"/>
    </row>
    <row r="5294">
      <c r="A5294" s="2">
        <f>IFERROR(__xludf.DUMMYFUNCTION("""COMPUTED_VALUE"""),122213.0)</f>
        <v>122213</v>
      </c>
      <c r="B5294" s="2">
        <f>IFERROR(__xludf.DUMMYFUNCTION("""COMPUTED_VALUE"""),0.0)</f>
        <v>0</v>
      </c>
      <c r="C5294" s="2">
        <f>IFERROR(__xludf.DUMMYFUNCTION("""COMPUTED_VALUE"""),687.0)</f>
        <v>687</v>
      </c>
      <c r="D5294" s="3">
        <f>IFERROR(__xludf.DUMMYFUNCTION("""COMPUTED_VALUE"""),284.0)</f>
        <v>284</v>
      </c>
      <c r="E5294" s="2"/>
      <c r="F5294" s="2"/>
    </row>
    <row r="5295">
      <c r="A5295" s="2">
        <f>IFERROR(__xludf.DUMMYFUNCTION("""COMPUTED_VALUE"""),46903.0)</f>
        <v>46903</v>
      </c>
      <c r="B5295" s="2">
        <f>IFERROR(__xludf.DUMMYFUNCTION("""COMPUTED_VALUE"""),0.0)</f>
        <v>0</v>
      </c>
      <c r="C5295" s="2">
        <f>IFERROR(__xludf.DUMMYFUNCTION("""COMPUTED_VALUE"""),238.0)</f>
        <v>238</v>
      </c>
      <c r="D5295" s="3">
        <f>IFERROR(__xludf.DUMMYFUNCTION("""COMPUTED_VALUE"""),88.0)</f>
        <v>88</v>
      </c>
      <c r="E5295" s="2"/>
      <c r="F5295" s="2"/>
    </row>
    <row r="5296">
      <c r="A5296" s="2">
        <f>IFERROR(__xludf.DUMMYFUNCTION("""COMPUTED_VALUE"""),80359.0)</f>
        <v>80359</v>
      </c>
      <c r="B5296" s="2">
        <f>IFERROR(__xludf.DUMMYFUNCTION("""COMPUTED_VALUE"""),1.0)</f>
        <v>1</v>
      </c>
      <c r="C5296" s="2">
        <f>IFERROR(__xludf.DUMMYFUNCTION("""COMPUTED_VALUE"""),806.0)</f>
        <v>806</v>
      </c>
      <c r="D5296" s="3">
        <f>IFERROR(__xludf.DUMMYFUNCTION("""COMPUTED_VALUE"""),728.0)</f>
        <v>728</v>
      </c>
      <c r="E5296" s="2"/>
      <c r="F5296" s="2"/>
    </row>
    <row r="5297">
      <c r="A5297" s="2">
        <f>IFERROR(__xludf.DUMMYFUNCTION("""COMPUTED_VALUE"""),44827.0)</f>
        <v>44827</v>
      </c>
      <c r="B5297" s="2">
        <f>IFERROR(__xludf.DUMMYFUNCTION("""COMPUTED_VALUE"""),1.0)</f>
        <v>1</v>
      </c>
      <c r="C5297" s="2">
        <f>IFERROR(__xludf.DUMMYFUNCTION("""COMPUTED_VALUE"""),498.0)</f>
        <v>498</v>
      </c>
      <c r="D5297" s="3">
        <f>IFERROR(__xludf.DUMMYFUNCTION("""COMPUTED_VALUE"""),211.0)</f>
        <v>211</v>
      </c>
      <c r="E5297" s="2"/>
      <c r="F5297" s="2"/>
    </row>
    <row r="5298">
      <c r="A5298" s="2">
        <f>IFERROR(__xludf.DUMMYFUNCTION("""COMPUTED_VALUE"""),79882.0)</f>
        <v>79882</v>
      </c>
      <c r="B5298" s="2">
        <f>IFERROR(__xludf.DUMMYFUNCTION("""COMPUTED_VALUE"""),0.0)</f>
        <v>0</v>
      </c>
      <c r="C5298" s="2">
        <f>IFERROR(__xludf.DUMMYFUNCTION("""COMPUTED_VALUE"""),241.0)</f>
        <v>241</v>
      </c>
      <c r="D5298" s="3">
        <f>IFERROR(__xludf.DUMMYFUNCTION("""COMPUTED_VALUE"""),35.0)</f>
        <v>35</v>
      </c>
      <c r="E5298" s="2"/>
      <c r="F5298" s="2"/>
    </row>
    <row r="5299">
      <c r="A5299" s="2">
        <f>IFERROR(__xludf.DUMMYFUNCTION("""COMPUTED_VALUE"""),11065.0)</f>
        <v>11065</v>
      </c>
      <c r="B5299" s="2">
        <f>IFERROR(__xludf.DUMMYFUNCTION("""COMPUTED_VALUE"""),1.0)</f>
        <v>1</v>
      </c>
      <c r="C5299" s="2">
        <f>IFERROR(__xludf.DUMMYFUNCTION("""COMPUTED_VALUE"""),939.0)</f>
        <v>939</v>
      </c>
      <c r="D5299" s="3">
        <f>IFERROR(__xludf.DUMMYFUNCTION("""COMPUTED_VALUE"""),629.0)</f>
        <v>629</v>
      </c>
      <c r="E5299" s="2"/>
      <c r="F5299" s="2"/>
    </row>
    <row r="5300">
      <c r="A5300" s="2">
        <f>IFERROR(__xludf.DUMMYFUNCTION("""COMPUTED_VALUE"""),41991.0)</f>
        <v>41991</v>
      </c>
      <c r="B5300" s="2">
        <f>IFERROR(__xludf.DUMMYFUNCTION("""COMPUTED_VALUE"""),0.0)</f>
        <v>0</v>
      </c>
      <c r="C5300" s="2">
        <f>IFERROR(__xludf.DUMMYFUNCTION("""COMPUTED_VALUE"""),579.0)</f>
        <v>579</v>
      </c>
      <c r="D5300" s="3">
        <f>IFERROR(__xludf.DUMMYFUNCTION("""COMPUTED_VALUE"""),61.0)</f>
        <v>61</v>
      </c>
      <c r="E5300" s="2"/>
      <c r="F5300" s="2"/>
    </row>
    <row r="5301">
      <c r="A5301" s="2">
        <f>IFERROR(__xludf.DUMMYFUNCTION("""COMPUTED_VALUE"""),6877.0)</f>
        <v>6877</v>
      </c>
      <c r="B5301" s="2">
        <f>IFERROR(__xludf.DUMMYFUNCTION("""COMPUTED_VALUE"""),1.0)</f>
        <v>1</v>
      </c>
      <c r="C5301" s="2">
        <f>IFERROR(__xludf.DUMMYFUNCTION("""COMPUTED_VALUE"""),303.0)</f>
        <v>303</v>
      </c>
      <c r="D5301" s="3">
        <f>IFERROR(__xludf.DUMMYFUNCTION("""COMPUTED_VALUE"""),171.0)</f>
        <v>171</v>
      </c>
      <c r="E5301" s="2"/>
      <c r="F5301" s="2"/>
    </row>
    <row r="5302">
      <c r="A5302" s="2">
        <f>IFERROR(__xludf.DUMMYFUNCTION("""COMPUTED_VALUE"""),4290.0)</f>
        <v>4290</v>
      </c>
      <c r="B5302" s="2">
        <f>IFERROR(__xludf.DUMMYFUNCTION("""COMPUTED_VALUE"""),1.0)</f>
        <v>1</v>
      </c>
      <c r="C5302" s="2">
        <f>IFERROR(__xludf.DUMMYFUNCTION("""COMPUTED_VALUE"""),140.0)</f>
        <v>140</v>
      </c>
      <c r="D5302" s="3">
        <f>IFERROR(__xludf.DUMMYFUNCTION("""COMPUTED_VALUE"""),95.0)</f>
        <v>95</v>
      </c>
      <c r="E5302" s="2"/>
      <c r="F5302" s="2"/>
    </row>
    <row r="5303">
      <c r="A5303" s="2">
        <f>IFERROR(__xludf.DUMMYFUNCTION("""COMPUTED_VALUE"""),4905.0)</f>
        <v>4905</v>
      </c>
      <c r="B5303" s="2">
        <f>IFERROR(__xludf.DUMMYFUNCTION("""COMPUTED_VALUE"""),0.0)</f>
        <v>0</v>
      </c>
      <c r="C5303" s="2">
        <f>IFERROR(__xludf.DUMMYFUNCTION("""COMPUTED_VALUE"""),225.0)</f>
        <v>225</v>
      </c>
      <c r="D5303" s="3">
        <f>IFERROR(__xludf.DUMMYFUNCTION("""COMPUTED_VALUE"""),8.0)</f>
        <v>8</v>
      </c>
      <c r="E5303" s="2"/>
      <c r="F5303" s="2"/>
    </row>
    <row r="5304">
      <c r="A5304" s="2">
        <f>IFERROR(__xludf.DUMMYFUNCTION("""COMPUTED_VALUE"""),41979.0)</f>
        <v>41979</v>
      </c>
      <c r="B5304" s="2">
        <f>IFERROR(__xludf.DUMMYFUNCTION("""COMPUTED_VALUE"""),0.0)</f>
        <v>0</v>
      </c>
      <c r="C5304" s="2">
        <f>IFERROR(__xludf.DUMMYFUNCTION("""COMPUTED_VALUE"""),78.0)</f>
        <v>78</v>
      </c>
      <c r="D5304" s="3">
        <f>IFERROR(__xludf.DUMMYFUNCTION("""COMPUTED_VALUE"""),18.0)</f>
        <v>18</v>
      </c>
      <c r="E5304" s="2"/>
      <c r="F5304" s="2"/>
    </row>
    <row r="5305">
      <c r="A5305" s="2">
        <f>IFERROR(__xludf.DUMMYFUNCTION("""COMPUTED_VALUE"""),41925.0)</f>
        <v>41925</v>
      </c>
      <c r="B5305" s="2">
        <f>IFERROR(__xludf.DUMMYFUNCTION("""COMPUTED_VALUE"""),0.0)</f>
        <v>0</v>
      </c>
      <c r="C5305" s="2">
        <f>IFERROR(__xludf.DUMMYFUNCTION("""COMPUTED_VALUE"""),399.0)</f>
        <v>399</v>
      </c>
      <c r="D5305" s="3">
        <f>IFERROR(__xludf.DUMMYFUNCTION("""COMPUTED_VALUE"""),138.0)</f>
        <v>138</v>
      </c>
      <c r="E5305" s="2"/>
      <c r="F5305" s="2"/>
    </row>
    <row r="5306">
      <c r="A5306" s="2">
        <f>IFERROR(__xludf.DUMMYFUNCTION("""COMPUTED_VALUE"""),17067.0)</f>
        <v>17067</v>
      </c>
      <c r="B5306" s="2">
        <f>IFERROR(__xludf.DUMMYFUNCTION("""COMPUTED_VALUE"""),1.0)</f>
        <v>1</v>
      </c>
      <c r="C5306" s="2">
        <f>IFERROR(__xludf.DUMMYFUNCTION("""COMPUTED_VALUE"""),713.0)</f>
        <v>713</v>
      </c>
      <c r="D5306" s="3">
        <f>IFERROR(__xludf.DUMMYFUNCTION("""COMPUTED_VALUE"""),405.0)</f>
        <v>405</v>
      </c>
      <c r="E5306" s="2"/>
      <c r="F5306" s="2"/>
    </row>
    <row r="5307">
      <c r="A5307" s="2">
        <f>IFERROR(__xludf.DUMMYFUNCTION("""COMPUTED_VALUE"""),70425.0)</f>
        <v>70425</v>
      </c>
      <c r="B5307" s="2">
        <f>IFERROR(__xludf.DUMMYFUNCTION("""COMPUTED_VALUE"""),1.0)</f>
        <v>1</v>
      </c>
      <c r="C5307" s="2">
        <f>IFERROR(__xludf.DUMMYFUNCTION("""COMPUTED_VALUE"""),734.0)</f>
        <v>734</v>
      </c>
      <c r="D5307" s="3">
        <f>IFERROR(__xludf.DUMMYFUNCTION("""COMPUTED_VALUE"""),472.0)</f>
        <v>472</v>
      </c>
      <c r="E5307" s="2"/>
      <c r="F5307" s="2"/>
    </row>
    <row r="5308">
      <c r="A5308" s="2">
        <f>IFERROR(__xludf.DUMMYFUNCTION("""COMPUTED_VALUE"""),17065.0)</f>
        <v>17065</v>
      </c>
      <c r="B5308" s="2">
        <f>IFERROR(__xludf.DUMMYFUNCTION("""COMPUTED_VALUE"""),0.0)</f>
        <v>0</v>
      </c>
      <c r="C5308" s="2">
        <f>IFERROR(__xludf.DUMMYFUNCTION("""COMPUTED_VALUE"""),850.0)</f>
        <v>850</v>
      </c>
      <c r="D5308" s="3">
        <f>IFERROR(__xludf.DUMMYFUNCTION("""COMPUTED_VALUE"""),480.0)</f>
        <v>480</v>
      </c>
      <c r="E5308" s="2"/>
      <c r="F5308" s="2"/>
    </row>
    <row r="5309">
      <c r="A5309" s="2">
        <f>IFERROR(__xludf.DUMMYFUNCTION("""COMPUTED_VALUE"""),103514.0)</f>
        <v>103514</v>
      </c>
      <c r="B5309" s="2">
        <f>IFERROR(__xludf.DUMMYFUNCTION("""COMPUTED_VALUE"""),1.0)</f>
        <v>1</v>
      </c>
      <c r="C5309" s="2">
        <f>IFERROR(__xludf.DUMMYFUNCTION("""COMPUTED_VALUE"""),59.0)</f>
        <v>59</v>
      </c>
      <c r="D5309" s="3">
        <f>IFERROR(__xludf.DUMMYFUNCTION("""COMPUTED_VALUE"""),42.0)</f>
        <v>42</v>
      </c>
      <c r="E5309" s="2"/>
      <c r="F5309" s="2"/>
    </row>
    <row r="5310">
      <c r="A5310" s="2">
        <f>IFERROR(__xludf.DUMMYFUNCTION("""COMPUTED_VALUE"""),4298.0)</f>
        <v>4298</v>
      </c>
      <c r="B5310" s="2">
        <f>IFERROR(__xludf.DUMMYFUNCTION("""COMPUTED_VALUE"""),1.0)</f>
        <v>1</v>
      </c>
      <c r="C5310" s="2">
        <f>IFERROR(__xludf.DUMMYFUNCTION("""COMPUTED_VALUE"""),416.0)</f>
        <v>416</v>
      </c>
      <c r="D5310" s="3">
        <f>IFERROR(__xludf.DUMMYFUNCTION("""COMPUTED_VALUE"""),329.0)</f>
        <v>329</v>
      </c>
      <c r="E5310" s="2"/>
      <c r="F5310" s="2"/>
    </row>
    <row r="5311">
      <c r="A5311" s="2">
        <f>IFERROR(__xludf.DUMMYFUNCTION("""COMPUTED_VALUE"""),4301.0)</f>
        <v>4301</v>
      </c>
      <c r="B5311" s="2">
        <f>IFERROR(__xludf.DUMMYFUNCTION("""COMPUTED_VALUE"""),0.0)</f>
        <v>0</v>
      </c>
      <c r="C5311" s="2">
        <f>IFERROR(__xludf.DUMMYFUNCTION("""COMPUTED_VALUE"""),875.0)</f>
        <v>875</v>
      </c>
      <c r="D5311" s="3">
        <f>IFERROR(__xludf.DUMMYFUNCTION("""COMPUTED_VALUE"""),118.0)</f>
        <v>118</v>
      </c>
      <c r="E5311" s="2"/>
      <c r="F5311" s="2"/>
    </row>
    <row r="5312">
      <c r="A5312" s="2">
        <f>IFERROR(__xludf.DUMMYFUNCTION("""COMPUTED_VALUE"""),75752.0)</f>
        <v>75752</v>
      </c>
      <c r="B5312" s="2">
        <f>IFERROR(__xludf.DUMMYFUNCTION("""COMPUTED_VALUE"""),1.0)</f>
        <v>1</v>
      </c>
      <c r="C5312" s="2">
        <f>IFERROR(__xludf.DUMMYFUNCTION("""COMPUTED_VALUE"""),698.0)</f>
        <v>698</v>
      </c>
      <c r="D5312" s="3">
        <f>IFERROR(__xludf.DUMMYFUNCTION("""COMPUTED_VALUE"""),651.0)</f>
        <v>651</v>
      </c>
      <c r="E5312" s="2"/>
      <c r="F5312" s="2"/>
    </row>
    <row r="5313">
      <c r="A5313" s="2">
        <f>IFERROR(__xludf.DUMMYFUNCTION("""COMPUTED_VALUE"""),21520.0)</f>
        <v>21520</v>
      </c>
      <c r="B5313" s="2">
        <f>IFERROR(__xludf.DUMMYFUNCTION("""COMPUTED_VALUE"""),1.0)</f>
        <v>1</v>
      </c>
      <c r="C5313" s="2">
        <f>IFERROR(__xludf.DUMMYFUNCTION("""COMPUTED_VALUE"""),109.0)</f>
        <v>109</v>
      </c>
      <c r="D5313" s="3">
        <f>IFERROR(__xludf.DUMMYFUNCTION("""COMPUTED_VALUE"""),30.0)</f>
        <v>30</v>
      </c>
      <c r="E5313" s="2"/>
      <c r="F5313" s="2"/>
    </row>
    <row r="5314">
      <c r="A5314" s="2">
        <f>IFERROR(__xludf.DUMMYFUNCTION("""COMPUTED_VALUE"""),82206.0)</f>
        <v>82206</v>
      </c>
      <c r="B5314" s="2">
        <f>IFERROR(__xludf.DUMMYFUNCTION("""COMPUTED_VALUE"""),1.0)</f>
        <v>1</v>
      </c>
      <c r="C5314" s="2">
        <f>IFERROR(__xludf.DUMMYFUNCTION("""COMPUTED_VALUE"""),885.0)</f>
        <v>885</v>
      </c>
      <c r="D5314" s="3">
        <f>IFERROR(__xludf.DUMMYFUNCTION("""COMPUTED_VALUE"""),640.0)</f>
        <v>640</v>
      </c>
      <c r="E5314" s="2"/>
      <c r="F5314" s="2"/>
    </row>
    <row r="5315">
      <c r="A5315" s="2">
        <f>IFERROR(__xludf.DUMMYFUNCTION("""COMPUTED_VALUE"""),5599.0)</f>
        <v>5599</v>
      </c>
      <c r="B5315" s="2">
        <f>IFERROR(__xludf.DUMMYFUNCTION("""COMPUTED_VALUE"""),0.0)</f>
        <v>0</v>
      </c>
      <c r="C5315" s="2">
        <f>IFERROR(__xludf.DUMMYFUNCTION("""COMPUTED_VALUE"""),441.0)</f>
        <v>441</v>
      </c>
      <c r="D5315" s="3">
        <f>IFERROR(__xludf.DUMMYFUNCTION("""COMPUTED_VALUE"""),94.0)</f>
        <v>94</v>
      </c>
      <c r="E5315" s="2"/>
      <c r="F5315" s="2"/>
    </row>
    <row r="5316">
      <c r="A5316" s="2">
        <f>IFERROR(__xludf.DUMMYFUNCTION("""COMPUTED_VALUE"""),87231.0)</f>
        <v>87231</v>
      </c>
      <c r="B5316" s="2">
        <f>IFERROR(__xludf.DUMMYFUNCTION("""COMPUTED_VALUE"""),1.0)</f>
        <v>1</v>
      </c>
      <c r="C5316" s="2">
        <f>IFERROR(__xludf.DUMMYFUNCTION("""COMPUTED_VALUE"""),201.0)</f>
        <v>201</v>
      </c>
      <c r="D5316" s="3">
        <f>IFERROR(__xludf.DUMMYFUNCTION("""COMPUTED_VALUE"""),188.0)</f>
        <v>188</v>
      </c>
      <c r="E5316" s="2"/>
      <c r="F5316" s="2"/>
    </row>
    <row r="5317">
      <c r="A5317" s="2">
        <f>IFERROR(__xludf.DUMMYFUNCTION("""COMPUTED_VALUE"""),5861.0)</f>
        <v>5861</v>
      </c>
      <c r="B5317" s="2">
        <f>IFERROR(__xludf.DUMMYFUNCTION("""COMPUTED_VALUE"""),0.0)</f>
        <v>0</v>
      </c>
      <c r="C5317" s="2">
        <f>IFERROR(__xludf.DUMMYFUNCTION("""COMPUTED_VALUE"""),407.0)</f>
        <v>407</v>
      </c>
      <c r="D5317" s="3">
        <f>IFERROR(__xludf.DUMMYFUNCTION("""COMPUTED_VALUE"""),190.0)</f>
        <v>190</v>
      </c>
      <c r="E5317" s="2"/>
      <c r="F5317" s="2"/>
    </row>
    <row r="5318">
      <c r="A5318" s="2">
        <f>IFERROR(__xludf.DUMMYFUNCTION("""COMPUTED_VALUE"""),90909.0)</f>
        <v>90909</v>
      </c>
      <c r="B5318" s="2">
        <f>IFERROR(__xludf.DUMMYFUNCTION("""COMPUTED_VALUE"""),1.0)</f>
        <v>1</v>
      </c>
      <c r="C5318" s="2">
        <f>IFERROR(__xludf.DUMMYFUNCTION("""COMPUTED_VALUE"""),848.0)</f>
        <v>848</v>
      </c>
      <c r="D5318" s="3">
        <f>IFERROR(__xludf.DUMMYFUNCTION("""COMPUTED_VALUE"""),573.0)</f>
        <v>573</v>
      </c>
      <c r="E5318" s="2"/>
      <c r="F5318" s="2"/>
    </row>
    <row r="5319">
      <c r="A5319" s="2">
        <f>IFERROR(__xludf.DUMMYFUNCTION("""COMPUTED_VALUE"""),21523.0)</f>
        <v>21523</v>
      </c>
      <c r="B5319" s="2">
        <f>IFERROR(__xludf.DUMMYFUNCTION("""COMPUTED_VALUE"""),0.0)</f>
        <v>0</v>
      </c>
      <c r="C5319" s="2">
        <f>IFERROR(__xludf.DUMMYFUNCTION("""COMPUTED_VALUE"""),912.0)</f>
        <v>912</v>
      </c>
      <c r="D5319" s="3">
        <f>IFERROR(__xludf.DUMMYFUNCTION("""COMPUTED_VALUE"""),414.0)</f>
        <v>414</v>
      </c>
      <c r="E5319" s="2"/>
      <c r="F5319" s="2"/>
    </row>
    <row r="5320">
      <c r="A5320" s="2">
        <f>IFERROR(__xludf.DUMMYFUNCTION("""COMPUTED_VALUE"""),5485.0)</f>
        <v>5485</v>
      </c>
      <c r="B5320" s="2">
        <f>IFERROR(__xludf.DUMMYFUNCTION("""COMPUTED_VALUE"""),0.0)</f>
        <v>0</v>
      </c>
      <c r="C5320" s="2">
        <f>IFERROR(__xludf.DUMMYFUNCTION("""COMPUTED_VALUE"""),692.0)</f>
        <v>692</v>
      </c>
      <c r="D5320" s="3">
        <f>IFERROR(__xludf.DUMMYFUNCTION("""COMPUTED_VALUE"""),11.0)</f>
        <v>11</v>
      </c>
      <c r="E5320" s="2"/>
      <c r="F5320" s="2"/>
    </row>
    <row r="5321">
      <c r="A5321" s="2">
        <f>IFERROR(__xludf.DUMMYFUNCTION("""COMPUTED_VALUE"""),77294.0)</f>
        <v>77294</v>
      </c>
      <c r="B5321" s="2">
        <f>IFERROR(__xludf.DUMMYFUNCTION("""COMPUTED_VALUE"""),1.0)</f>
        <v>1</v>
      </c>
      <c r="C5321" s="2">
        <f>IFERROR(__xludf.DUMMYFUNCTION("""COMPUTED_VALUE"""),478.0)</f>
        <v>478</v>
      </c>
      <c r="D5321" s="3">
        <f>IFERROR(__xludf.DUMMYFUNCTION("""COMPUTED_VALUE"""),458.0)</f>
        <v>458</v>
      </c>
      <c r="E5321" s="2"/>
      <c r="F5321" s="2"/>
    </row>
    <row r="5322">
      <c r="A5322" s="2">
        <f>IFERROR(__xludf.DUMMYFUNCTION("""COMPUTED_VALUE"""),5486.0)</f>
        <v>5486</v>
      </c>
      <c r="B5322" s="2">
        <f>IFERROR(__xludf.DUMMYFUNCTION("""COMPUTED_VALUE"""),0.0)</f>
        <v>0</v>
      </c>
      <c r="C5322" s="2">
        <f>IFERROR(__xludf.DUMMYFUNCTION("""COMPUTED_VALUE"""),298.0)</f>
        <v>298</v>
      </c>
      <c r="D5322" s="3">
        <f>IFERROR(__xludf.DUMMYFUNCTION("""COMPUTED_VALUE"""),163.0)</f>
        <v>163</v>
      </c>
      <c r="E5322" s="2"/>
      <c r="F5322" s="2"/>
    </row>
    <row r="5323">
      <c r="A5323" s="2">
        <f>IFERROR(__xludf.DUMMYFUNCTION("""COMPUTED_VALUE"""),77293.0)</f>
        <v>77293</v>
      </c>
      <c r="B5323" s="2">
        <f>IFERROR(__xludf.DUMMYFUNCTION("""COMPUTED_VALUE"""),0.0)</f>
        <v>0</v>
      </c>
      <c r="C5323" s="2">
        <f>IFERROR(__xludf.DUMMYFUNCTION("""COMPUTED_VALUE"""),117.0)</f>
        <v>117</v>
      </c>
      <c r="D5323" s="3">
        <f>IFERROR(__xludf.DUMMYFUNCTION("""COMPUTED_VALUE"""),92.0)</f>
        <v>92</v>
      </c>
      <c r="E5323" s="2"/>
      <c r="F5323" s="2"/>
    </row>
    <row r="5324">
      <c r="A5324" s="2">
        <f>IFERROR(__xludf.DUMMYFUNCTION("""COMPUTED_VALUE"""),112230.0)</f>
        <v>112230</v>
      </c>
      <c r="B5324" s="2">
        <f>IFERROR(__xludf.DUMMYFUNCTION("""COMPUTED_VALUE"""),1.0)</f>
        <v>1</v>
      </c>
      <c r="C5324" s="2">
        <f>IFERROR(__xludf.DUMMYFUNCTION("""COMPUTED_VALUE"""),726.0)</f>
        <v>726</v>
      </c>
      <c r="D5324" s="3">
        <f>IFERROR(__xludf.DUMMYFUNCTION("""COMPUTED_VALUE"""),278.0)</f>
        <v>278</v>
      </c>
      <c r="E5324" s="2"/>
      <c r="F5324" s="2"/>
    </row>
    <row r="5325">
      <c r="A5325" s="2">
        <f>IFERROR(__xludf.DUMMYFUNCTION("""COMPUTED_VALUE"""),83607.0)</f>
        <v>83607</v>
      </c>
      <c r="B5325" s="2">
        <f>IFERROR(__xludf.DUMMYFUNCTION("""COMPUTED_VALUE"""),0.0)</f>
        <v>0</v>
      </c>
      <c r="C5325" s="2">
        <f>IFERROR(__xludf.DUMMYFUNCTION("""COMPUTED_VALUE"""),867.0)</f>
        <v>867</v>
      </c>
      <c r="D5325" s="3">
        <f>IFERROR(__xludf.DUMMYFUNCTION("""COMPUTED_VALUE"""),657.0)</f>
        <v>657</v>
      </c>
      <c r="E5325" s="2"/>
      <c r="F5325" s="2"/>
    </row>
    <row r="5326">
      <c r="A5326" s="2">
        <f>IFERROR(__xludf.DUMMYFUNCTION("""COMPUTED_VALUE"""),117216.0)</f>
        <v>117216</v>
      </c>
      <c r="B5326" s="2">
        <f>IFERROR(__xludf.DUMMYFUNCTION("""COMPUTED_VALUE"""),0.0)</f>
        <v>0</v>
      </c>
      <c r="C5326" s="2">
        <f>IFERROR(__xludf.DUMMYFUNCTION("""COMPUTED_VALUE"""),91.0)</f>
        <v>91</v>
      </c>
      <c r="D5326" s="3">
        <f>IFERROR(__xludf.DUMMYFUNCTION("""COMPUTED_VALUE"""),32.0)</f>
        <v>32</v>
      </c>
      <c r="E5326" s="2"/>
      <c r="F5326" s="2"/>
    </row>
    <row r="5327">
      <c r="A5327" s="2">
        <f>IFERROR(__xludf.DUMMYFUNCTION("""COMPUTED_VALUE"""),5487.0)</f>
        <v>5487</v>
      </c>
      <c r="B5327" s="2">
        <f>IFERROR(__xludf.DUMMYFUNCTION("""COMPUTED_VALUE"""),1.0)</f>
        <v>1</v>
      </c>
      <c r="C5327" s="2">
        <f>IFERROR(__xludf.DUMMYFUNCTION("""COMPUTED_VALUE"""),219.0)</f>
        <v>219</v>
      </c>
      <c r="D5327" s="3">
        <f>IFERROR(__xludf.DUMMYFUNCTION("""COMPUTED_VALUE"""),90.0)</f>
        <v>90</v>
      </c>
      <c r="E5327" s="2"/>
      <c r="F5327" s="2"/>
    </row>
    <row r="5328">
      <c r="A5328" s="2">
        <f>IFERROR(__xludf.DUMMYFUNCTION("""COMPUTED_VALUE"""),77295.0)</f>
        <v>77295</v>
      </c>
      <c r="B5328" s="2">
        <f>IFERROR(__xludf.DUMMYFUNCTION("""COMPUTED_VALUE"""),1.0)</f>
        <v>1</v>
      </c>
      <c r="C5328" s="2">
        <f>IFERROR(__xludf.DUMMYFUNCTION("""COMPUTED_VALUE"""),646.0)</f>
        <v>646</v>
      </c>
      <c r="D5328" s="3">
        <f>IFERROR(__xludf.DUMMYFUNCTION("""COMPUTED_VALUE"""),512.0)</f>
        <v>512</v>
      </c>
      <c r="E5328" s="2"/>
      <c r="F5328" s="2"/>
    </row>
    <row r="5329">
      <c r="A5329" s="2">
        <f>IFERROR(__xludf.DUMMYFUNCTION("""COMPUTED_VALUE"""),89774.0)</f>
        <v>89774</v>
      </c>
      <c r="B5329" s="2">
        <f>IFERROR(__xludf.DUMMYFUNCTION("""COMPUTED_VALUE"""),0.0)</f>
        <v>0</v>
      </c>
      <c r="C5329" s="2">
        <f>IFERROR(__xludf.DUMMYFUNCTION("""COMPUTED_VALUE"""),858.0)</f>
        <v>858</v>
      </c>
      <c r="D5329" s="3">
        <f>IFERROR(__xludf.DUMMYFUNCTION("""COMPUTED_VALUE"""),292.0)</f>
        <v>292</v>
      </c>
      <c r="E5329" s="2"/>
      <c r="F5329" s="2"/>
    </row>
    <row r="5330">
      <c r="A5330" s="2">
        <f>IFERROR(__xludf.DUMMYFUNCTION("""COMPUTED_VALUE"""),5483.0)</f>
        <v>5483</v>
      </c>
      <c r="B5330" s="2">
        <f>IFERROR(__xludf.DUMMYFUNCTION("""COMPUTED_VALUE"""),1.0)</f>
        <v>1</v>
      </c>
      <c r="C5330" s="2">
        <f>IFERROR(__xludf.DUMMYFUNCTION("""COMPUTED_VALUE"""),543.0)</f>
        <v>543</v>
      </c>
      <c r="D5330" s="3">
        <f>IFERROR(__xludf.DUMMYFUNCTION("""COMPUTED_VALUE"""),263.0)</f>
        <v>263</v>
      </c>
      <c r="E5330" s="2"/>
      <c r="F5330" s="2"/>
    </row>
    <row r="5331">
      <c r="A5331" s="2">
        <f>IFERROR(__xludf.DUMMYFUNCTION("""COMPUTED_VALUE"""),120541.0)</f>
        <v>120541</v>
      </c>
      <c r="B5331" s="2">
        <f>IFERROR(__xludf.DUMMYFUNCTION("""COMPUTED_VALUE"""),1.0)</f>
        <v>1</v>
      </c>
      <c r="C5331" s="2">
        <f>IFERROR(__xludf.DUMMYFUNCTION("""COMPUTED_VALUE"""),590.0)</f>
        <v>590</v>
      </c>
      <c r="D5331" s="3">
        <f>IFERROR(__xludf.DUMMYFUNCTION("""COMPUTED_VALUE"""),363.0)</f>
        <v>363</v>
      </c>
      <c r="E5331" s="2"/>
      <c r="F5331" s="2"/>
    </row>
    <row r="5332">
      <c r="A5332" s="2">
        <f>IFERROR(__xludf.DUMMYFUNCTION("""COMPUTED_VALUE"""),100249.0)</f>
        <v>100249</v>
      </c>
      <c r="B5332" s="2">
        <f>IFERROR(__xludf.DUMMYFUNCTION("""COMPUTED_VALUE"""),1.0)</f>
        <v>1</v>
      </c>
      <c r="C5332" s="2">
        <f>IFERROR(__xludf.DUMMYFUNCTION("""COMPUTED_VALUE"""),932.0)</f>
        <v>932</v>
      </c>
      <c r="D5332" s="3">
        <f>IFERROR(__xludf.DUMMYFUNCTION("""COMPUTED_VALUE"""),474.0)</f>
        <v>474</v>
      </c>
      <c r="E5332" s="2"/>
      <c r="F5332" s="2"/>
    </row>
    <row r="5333">
      <c r="A5333" s="2">
        <f>IFERROR(__xludf.DUMMYFUNCTION("""COMPUTED_VALUE"""),119242.0)</f>
        <v>119242</v>
      </c>
      <c r="B5333" s="2">
        <f>IFERROR(__xludf.DUMMYFUNCTION("""COMPUTED_VALUE"""),1.0)</f>
        <v>1</v>
      </c>
      <c r="C5333" s="2">
        <f>IFERROR(__xludf.DUMMYFUNCTION("""COMPUTED_VALUE"""),893.0)</f>
        <v>893</v>
      </c>
      <c r="D5333" s="3">
        <f>IFERROR(__xludf.DUMMYFUNCTION("""COMPUTED_VALUE"""),299.0)</f>
        <v>299</v>
      </c>
      <c r="E5333" s="2"/>
      <c r="F5333" s="2"/>
    </row>
    <row r="5334">
      <c r="A5334" s="2">
        <f>IFERROR(__xludf.DUMMYFUNCTION("""COMPUTED_VALUE"""),90868.0)</f>
        <v>90868</v>
      </c>
      <c r="B5334" s="2">
        <f>IFERROR(__xludf.DUMMYFUNCTION("""COMPUTED_VALUE"""),0.0)</f>
        <v>0</v>
      </c>
      <c r="C5334" s="2">
        <f>IFERROR(__xludf.DUMMYFUNCTION("""COMPUTED_VALUE"""),611.0)</f>
        <v>611</v>
      </c>
      <c r="D5334" s="3">
        <f>IFERROR(__xludf.DUMMYFUNCTION("""COMPUTED_VALUE"""),247.0)</f>
        <v>247</v>
      </c>
      <c r="E5334" s="2"/>
      <c r="F5334" s="2"/>
    </row>
    <row r="5335">
      <c r="A5335" s="2">
        <f>IFERROR(__xludf.DUMMYFUNCTION("""COMPUTED_VALUE"""),90854.0)</f>
        <v>90854</v>
      </c>
      <c r="B5335" s="2">
        <f>IFERROR(__xludf.DUMMYFUNCTION("""COMPUTED_VALUE"""),1.0)</f>
        <v>1</v>
      </c>
      <c r="C5335" s="2">
        <f>IFERROR(__xludf.DUMMYFUNCTION("""COMPUTED_VALUE"""),70.0)</f>
        <v>70</v>
      </c>
      <c r="D5335" s="3">
        <f>IFERROR(__xludf.DUMMYFUNCTION("""COMPUTED_VALUE"""),35.0)</f>
        <v>35</v>
      </c>
      <c r="E5335" s="2"/>
      <c r="F5335" s="2"/>
    </row>
    <row r="5336">
      <c r="A5336" s="2">
        <f>IFERROR(__xludf.DUMMYFUNCTION("""COMPUTED_VALUE"""),76568.0)</f>
        <v>76568</v>
      </c>
      <c r="B5336" s="2">
        <f>IFERROR(__xludf.DUMMYFUNCTION("""COMPUTED_VALUE"""),1.0)</f>
        <v>1</v>
      </c>
      <c r="C5336" s="2">
        <f>IFERROR(__xludf.DUMMYFUNCTION("""COMPUTED_VALUE"""),7.0)</f>
        <v>7</v>
      </c>
      <c r="D5336" s="3">
        <f>IFERROR(__xludf.DUMMYFUNCTION("""COMPUTED_VALUE"""),6.0)</f>
        <v>6</v>
      </c>
      <c r="E5336" s="2"/>
      <c r="F5336" s="2"/>
    </row>
    <row r="5337">
      <c r="A5337" s="2">
        <f>IFERROR(__xludf.DUMMYFUNCTION("""COMPUTED_VALUE"""),76589.0)</f>
        <v>76589</v>
      </c>
      <c r="B5337" s="2">
        <f>IFERROR(__xludf.DUMMYFUNCTION("""COMPUTED_VALUE"""),0.0)</f>
        <v>0</v>
      </c>
      <c r="C5337" s="2">
        <f>IFERROR(__xludf.DUMMYFUNCTION("""COMPUTED_VALUE"""),375.0)</f>
        <v>375</v>
      </c>
      <c r="D5337" s="3">
        <f>IFERROR(__xludf.DUMMYFUNCTION("""COMPUTED_VALUE"""),70.0)</f>
        <v>70</v>
      </c>
      <c r="E5337" s="2"/>
      <c r="F5337" s="2"/>
    </row>
    <row r="5338">
      <c r="A5338" s="2">
        <f>IFERROR(__xludf.DUMMYFUNCTION("""COMPUTED_VALUE"""),76581.0)</f>
        <v>76581</v>
      </c>
      <c r="B5338" s="2">
        <f>IFERROR(__xludf.DUMMYFUNCTION("""COMPUTED_VALUE"""),0.0)</f>
        <v>0</v>
      </c>
      <c r="C5338" s="2">
        <f>IFERROR(__xludf.DUMMYFUNCTION("""COMPUTED_VALUE"""),209.0)</f>
        <v>209</v>
      </c>
      <c r="D5338" s="3">
        <f>IFERROR(__xludf.DUMMYFUNCTION("""COMPUTED_VALUE"""),127.0)</f>
        <v>127</v>
      </c>
      <c r="E5338" s="2"/>
      <c r="F5338" s="2"/>
    </row>
    <row r="5339">
      <c r="A5339" s="2">
        <f>IFERROR(__xludf.DUMMYFUNCTION("""COMPUTED_VALUE"""),77250.0)</f>
        <v>77250</v>
      </c>
      <c r="B5339" s="2">
        <f>IFERROR(__xludf.DUMMYFUNCTION("""COMPUTED_VALUE"""),1.0)</f>
        <v>1</v>
      </c>
      <c r="C5339" s="2">
        <f>IFERROR(__xludf.DUMMYFUNCTION("""COMPUTED_VALUE"""),349.0)</f>
        <v>349</v>
      </c>
      <c r="D5339" s="3">
        <f>IFERROR(__xludf.DUMMYFUNCTION("""COMPUTED_VALUE"""),284.0)</f>
        <v>284</v>
      </c>
      <c r="E5339" s="2"/>
      <c r="F5339" s="2"/>
    </row>
    <row r="5340">
      <c r="A5340" s="2">
        <f>IFERROR(__xludf.DUMMYFUNCTION("""COMPUTED_VALUE"""),87222.0)</f>
        <v>87222</v>
      </c>
      <c r="B5340" s="2">
        <f>IFERROR(__xludf.DUMMYFUNCTION("""COMPUTED_VALUE"""),0.0)</f>
        <v>0</v>
      </c>
      <c r="C5340" s="2">
        <f>IFERROR(__xludf.DUMMYFUNCTION("""COMPUTED_VALUE"""),822.0)</f>
        <v>822</v>
      </c>
      <c r="D5340" s="3">
        <f>IFERROR(__xludf.DUMMYFUNCTION("""COMPUTED_VALUE"""),2.0)</f>
        <v>2</v>
      </c>
      <c r="E5340" s="2"/>
      <c r="F5340" s="2"/>
    </row>
    <row r="5341">
      <c r="A5341" s="2">
        <f>IFERROR(__xludf.DUMMYFUNCTION("""COMPUTED_VALUE"""),122120.0)</f>
        <v>122120</v>
      </c>
      <c r="B5341" s="2">
        <f>IFERROR(__xludf.DUMMYFUNCTION("""COMPUTED_VALUE"""),0.0)</f>
        <v>0</v>
      </c>
      <c r="C5341" s="2">
        <f>IFERROR(__xludf.DUMMYFUNCTION("""COMPUTED_VALUE"""),629.0)</f>
        <v>629</v>
      </c>
      <c r="D5341" s="3">
        <f>IFERROR(__xludf.DUMMYFUNCTION("""COMPUTED_VALUE"""),92.0)</f>
        <v>92</v>
      </c>
      <c r="E5341" s="2"/>
      <c r="F5341" s="2"/>
    </row>
    <row r="5342">
      <c r="A5342" s="2">
        <f>IFERROR(__xludf.DUMMYFUNCTION("""COMPUTED_VALUE"""),122121.0)</f>
        <v>122121</v>
      </c>
      <c r="B5342" s="2">
        <f>IFERROR(__xludf.DUMMYFUNCTION("""COMPUTED_VALUE"""),0.0)</f>
        <v>0</v>
      </c>
      <c r="C5342" s="2">
        <f>IFERROR(__xludf.DUMMYFUNCTION("""COMPUTED_VALUE"""),11.0)</f>
        <v>11</v>
      </c>
      <c r="D5342" s="3">
        <f>IFERROR(__xludf.DUMMYFUNCTION("""COMPUTED_VALUE"""),1.0)</f>
        <v>1</v>
      </c>
      <c r="E5342" s="2"/>
      <c r="F5342" s="2"/>
    </row>
    <row r="5343">
      <c r="A5343" s="2">
        <f>IFERROR(__xludf.DUMMYFUNCTION("""COMPUTED_VALUE"""),90880.0)</f>
        <v>90880</v>
      </c>
      <c r="B5343" s="2">
        <f>IFERROR(__xludf.DUMMYFUNCTION("""COMPUTED_VALUE"""),0.0)</f>
        <v>0</v>
      </c>
      <c r="C5343" s="2">
        <f>IFERROR(__xludf.DUMMYFUNCTION("""COMPUTED_VALUE"""),339.0)</f>
        <v>339</v>
      </c>
      <c r="D5343" s="3">
        <f>IFERROR(__xludf.DUMMYFUNCTION("""COMPUTED_VALUE"""),239.0)</f>
        <v>239</v>
      </c>
      <c r="E5343" s="2"/>
      <c r="F5343" s="2"/>
    </row>
    <row r="5344">
      <c r="A5344" s="2">
        <f>IFERROR(__xludf.DUMMYFUNCTION("""COMPUTED_VALUE"""),122088.0)</f>
        <v>122088</v>
      </c>
      <c r="B5344" s="2">
        <f>IFERROR(__xludf.DUMMYFUNCTION("""COMPUTED_VALUE"""),0.0)</f>
        <v>0</v>
      </c>
      <c r="C5344" s="2">
        <f>IFERROR(__xludf.DUMMYFUNCTION("""COMPUTED_VALUE"""),76.0)</f>
        <v>76</v>
      </c>
      <c r="D5344" s="3">
        <f>IFERROR(__xludf.DUMMYFUNCTION("""COMPUTED_VALUE"""),60.0)</f>
        <v>60</v>
      </c>
      <c r="E5344" s="2"/>
      <c r="F5344" s="2"/>
    </row>
    <row r="5345">
      <c r="A5345" s="2">
        <f>IFERROR(__xludf.DUMMYFUNCTION("""COMPUTED_VALUE"""),90886.0)</f>
        <v>90886</v>
      </c>
      <c r="B5345" s="2">
        <f>IFERROR(__xludf.DUMMYFUNCTION("""COMPUTED_VALUE"""),1.0)</f>
        <v>1</v>
      </c>
      <c r="C5345" s="2">
        <f>IFERROR(__xludf.DUMMYFUNCTION("""COMPUTED_VALUE"""),750.0)</f>
        <v>750</v>
      </c>
      <c r="D5345" s="3">
        <f>IFERROR(__xludf.DUMMYFUNCTION("""COMPUTED_VALUE"""),286.0)</f>
        <v>286</v>
      </c>
      <c r="E5345" s="2"/>
      <c r="F5345" s="2"/>
    </row>
    <row r="5346">
      <c r="A5346" s="2">
        <f>IFERROR(__xludf.DUMMYFUNCTION("""COMPUTED_VALUE"""),90755.0)</f>
        <v>90755</v>
      </c>
      <c r="B5346" s="2">
        <f>IFERROR(__xludf.DUMMYFUNCTION("""COMPUTED_VALUE"""),1.0)</f>
        <v>1</v>
      </c>
      <c r="C5346" s="2">
        <f>IFERROR(__xludf.DUMMYFUNCTION("""COMPUTED_VALUE"""),683.0)</f>
        <v>683</v>
      </c>
      <c r="D5346" s="3">
        <f>IFERROR(__xludf.DUMMYFUNCTION("""COMPUTED_VALUE"""),657.0)</f>
        <v>657</v>
      </c>
      <c r="E5346" s="2"/>
      <c r="F5346" s="2"/>
    </row>
    <row r="5347">
      <c r="A5347" s="2">
        <f>IFERROR(__xludf.DUMMYFUNCTION("""COMPUTED_VALUE"""),111045.0)</f>
        <v>111045</v>
      </c>
      <c r="B5347" s="2">
        <f>IFERROR(__xludf.DUMMYFUNCTION("""COMPUTED_VALUE"""),0.0)</f>
        <v>0</v>
      </c>
      <c r="C5347" s="2">
        <f>IFERROR(__xludf.DUMMYFUNCTION("""COMPUTED_VALUE"""),853.0)</f>
        <v>853</v>
      </c>
      <c r="D5347" s="3">
        <f>IFERROR(__xludf.DUMMYFUNCTION("""COMPUTED_VALUE"""),789.0)</f>
        <v>789</v>
      </c>
      <c r="E5347" s="2"/>
      <c r="F5347" s="2"/>
    </row>
    <row r="5348">
      <c r="A5348" s="2">
        <f>IFERROR(__xludf.DUMMYFUNCTION("""COMPUTED_VALUE"""),76582.0)</f>
        <v>76582</v>
      </c>
      <c r="B5348" s="2">
        <f>IFERROR(__xludf.DUMMYFUNCTION("""COMPUTED_VALUE"""),0.0)</f>
        <v>0</v>
      </c>
      <c r="C5348" s="2">
        <f>IFERROR(__xludf.DUMMYFUNCTION("""COMPUTED_VALUE"""),99.0)</f>
        <v>99</v>
      </c>
      <c r="D5348" s="3">
        <f>IFERROR(__xludf.DUMMYFUNCTION("""COMPUTED_VALUE"""),80.0)</f>
        <v>80</v>
      </c>
      <c r="E5348" s="2"/>
      <c r="F5348" s="2"/>
    </row>
    <row r="5349">
      <c r="A5349" s="2">
        <f>IFERROR(__xludf.DUMMYFUNCTION("""COMPUTED_VALUE"""),76570.0)</f>
        <v>76570</v>
      </c>
      <c r="B5349" s="2">
        <f>IFERROR(__xludf.DUMMYFUNCTION("""COMPUTED_VALUE"""),0.0)</f>
        <v>0</v>
      </c>
      <c r="C5349" s="2">
        <f>IFERROR(__xludf.DUMMYFUNCTION("""COMPUTED_VALUE"""),242.0)</f>
        <v>242</v>
      </c>
      <c r="D5349" s="3">
        <f>IFERROR(__xludf.DUMMYFUNCTION("""COMPUTED_VALUE"""),58.0)</f>
        <v>58</v>
      </c>
      <c r="E5349" s="2"/>
      <c r="F5349" s="2"/>
    </row>
    <row r="5350">
      <c r="A5350" s="2">
        <f>IFERROR(__xludf.DUMMYFUNCTION("""COMPUTED_VALUE"""),87099.0)</f>
        <v>87099</v>
      </c>
      <c r="B5350" s="2">
        <f>IFERROR(__xludf.DUMMYFUNCTION("""COMPUTED_VALUE"""),0.0)</f>
        <v>0</v>
      </c>
      <c r="C5350" s="2">
        <f>IFERROR(__xludf.DUMMYFUNCTION("""COMPUTED_VALUE"""),776.0)</f>
        <v>776</v>
      </c>
      <c r="D5350" s="3">
        <f>IFERROR(__xludf.DUMMYFUNCTION("""COMPUTED_VALUE"""),647.0)</f>
        <v>647</v>
      </c>
      <c r="E5350" s="2"/>
      <c r="F5350" s="2"/>
    </row>
    <row r="5351">
      <c r="A5351" s="2">
        <f>IFERROR(__xludf.DUMMYFUNCTION("""COMPUTED_VALUE"""),76569.0)</f>
        <v>76569</v>
      </c>
      <c r="B5351" s="2">
        <f>IFERROR(__xludf.DUMMYFUNCTION("""COMPUTED_VALUE"""),1.0)</f>
        <v>1</v>
      </c>
      <c r="C5351" s="2">
        <f>IFERROR(__xludf.DUMMYFUNCTION("""COMPUTED_VALUE"""),581.0)</f>
        <v>581</v>
      </c>
      <c r="D5351" s="3">
        <f>IFERROR(__xludf.DUMMYFUNCTION("""COMPUTED_VALUE"""),510.0)</f>
        <v>510</v>
      </c>
      <c r="E5351" s="2"/>
      <c r="F5351" s="2"/>
    </row>
    <row r="5352">
      <c r="A5352" s="2">
        <f>IFERROR(__xludf.DUMMYFUNCTION("""COMPUTED_VALUE"""),5586.0)</f>
        <v>5586</v>
      </c>
      <c r="B5352" s="2">
        <f>IFERROR(__xludf.DUMMYFUNCTION("""COMPUTED_VALUE"""),0.0)</f>
        <v>0</v>
      </c>
      <c r="C5352" s="2">
        <f>IFERROR(__xludf.DUMMYFUNCTION("""COMPUTED_VALUE"""),167.0)</f>
        <v>167</v>
      </c>
      <c r="D5352" s="3">
        <f>IFERROR(__xludf.DUMMYFUNCTION("""COMPUTED_VALUE"""),0.0)</f>
        <v>0</v>
      </c>
      <c r="E5352" s="2"/>
      <c r="F5352" s="2"/>
    </row>
    <row r="5353">
      <c r="A5353" s="2">
        <f>IFERROR(__xludf.DUMMYFUNCTION("""COMPUTED_VALUE"""),5600.0)</f>
        <v>5600</v>
      </c>
      <c r="B5353" s="2">
        <f>IFERROR(__xludf.DUMMYFUNCTION("""COMPUTED_VALUE"""),1.0)</f>
        <v>1</v>
      </c>
      <c r="C5353" s="2">
        <f>IFERROR(__xludf.DUMMYFUNCTION("""COMPUTED_VALUE"""),883.0)</f>
        <v>883</v>
      </c>
      <c r="D5353" s="3">
        <f>IFERROR(__xludf.DUMMYFUNCTION("""COMPUTED_VALUE"""),360.0)</f>
        <v>360</v>
      </c>
      <c r="E5353" s="2"/>
      <c r="F5353" s="2"/>
    </row>
    <row r="5354">
      <c r="A5354" s="2">
        <f>IFERROR(__xludf.DUMMYFUNCTION("""COMPUTED_VALUE"""),120390.0)</f>
        <v>120390</v>
      </c>
      <c r="B5354" s="2">
        <f>IFERROR(__xludf.DUMMYFUNCTION("""COMPUTED_VALUE"""),1.0)</f>
        <v>1</v>
      </c>
      <c r="C5354" s="2">
        <f>IFERROR(__xludf.DUMMYFUNCTION("""COMPUTED_VALUE"""),872.0)</f>
        <v>872</v>
      </c>
      <c r="D5354" s="3">
        <f>IFERROR(__xludf.DUMMYFUNCTION("""COMPUTED_VALUE"""),9.0)</f>
        <v>9</v>
      </c>
      <c r="E5354" s="2"/>
      <c r="F5354" s="2"/>
    </row>
    <row r="5355">
      <c r="A5355" s="2">
        <f>IFERROR(__xludf.DUMMYFUNCTION("""COMPUTED_VALUE"""),76389.0)</f>
        <v>76389</v>
      </c>
      <c r="B5355" s="2">
        <f>IFERROR(__xludf.DUMMYFUNCTION("""COMPUTED_VALUE"""),0.0)</f>
        <v>0</v>
      </c>
      <c r="C5355" s="2">
        <f>IFERROR(__xludf.DUMMYFUNCTION("""COMPUTED_VALUE"""),819.0)</f>
        <v>819</v>
      </c>
      <c r="D5355" s="3">
        <f>IFERROR(__xludf.DUMMYFUNCTION("""COMPUTED_VALUE"""),613.0)</f>
        <v>613</v>
      </c>
      <c r="E5355" s="2"/>
      <c r="F5355" s="2"/>
    </row>
    <row r="5356">
      <c r="A5356" s="2">
        <f>IFERROR(__xludf.DUMMYFUNCTION("""COMPUTED_VALUE"""),5601.0)</f>
        <v>5601</v>
      </c>
      <c r="B5356" s="2">
        <f>IFERROR(__xludf.DUMMYFUNCTION("""COMPUTED_VALUE"""),1.0)</f>
        <v>1</v>
      </c>
      <c r="C5356" s="2">
        <f>IFERROR(__xludf.DUMMYFUNCTION("""COMPUTED_VALUE"""),154.0)</f>
        <v>154</v>
      </c>
      <c r="D5356" s="3">
        <f>IFERROR(__xludf.DUMMYFUNCTION("""COMPUTED_VALUE"""),52.0)</f>
        <v>52</v>
      </c>
      <c r="E5356" s="2"/>
      <c r="F5356" s="2"/>
    </row>
    <row r="5357">
      <c r="A5357" s="2">
        <f>IFERROR(__xludf.DUMMYFUNCTION("""COMPUTED_VALUE"""),202579.0)</f>
        <v>202579</v>
      </c>
      <c r="B5357" s="2">
        <f>IFERROR(__xludf.DUMMYFUNCTION("""COMPUTED_VALUE"""),0.0)</f>
        <v>0</v>
      </c>
      <c r="C5357" s="2">
        <f>IFERROR(__xludf.DUMMYFUNCTION("""COMPUTED_VALUE"""),452.0)</f>
        <v>452</v>
      </c>
      <c r="D5357" s="3">
        <f>IFERROR(__xludf.DUMMYFUNCTION("""COMPUTED_VALUE"""),100.0)</f>
        <v>100</v>
      </c>
      <c r="E5357" s="2"/>
      <c r="F5357" s="2"/>
    </row>
    <row r="5358">
      <c r="A5358" s="2">
        <f>IFERROR(__xludf.DUMMYFUNCTION("""COMPUTED_VALUE"""),5584.0)</f>
        <v>5584</v>
      </c>
      <c r="B5358" s="2">
        <f>IFERROR(__xludf.DUMMYFUNCTION("""COMPUTED_VALUE"""),1.0)</f>
        <v>1</v>
      </c>
      <c r="C5358" s="2">
        <f>IFERROR(__xludf.DUMMYFUNCTION("""COMPUTED_VALUE"""),626.0)</f>
        <v>626</v>
      </c>
      <c r="D5358" s="3">
        <f>IFERROR(__xludf.DUMMYFUNCTION("""COMPUTED_VALUE"""),259.0)</f>
        <v>259</v>
      </c>
      <c r="E5358" s="2"/>
      <c r="F5358" s="2"/>
    </row>
    <row r="5359">
      <c r="A5359" s="2">
        <f>IFERROR(__xludf.DUMMYFUNCTION("""COMPUTED_VALUE"""),90888.0)</f>
        <v>90888</v>
      </c>
      <c r="B5359" s="2">
        <f>IFERROR(__xludf.DUMMYFUNCTION("""COMPUTED_VALUE"""),1.0)</f>
        <v>1</v>
      </c>
      <c r="C5359" s="2">
        <f>IFERROR(__xludf.DUMMYFUNCTION("""COMPUTED_VALUE"""),989.0)</f>
        <v>989</v>
      </c>
      <c r="D5359" s="3">
        <f>IFERROR(__xludf.DUMMYFUNCTION("""COMPUTED_VALUE"""),482.0)</f>
        <v>482</v>
      </c>
      <c r="E5359" s="2"/>
      <c r="F5359" s="2"/>
    </row>
    <row r="5360">
      <c r="A5360" s="2">
        <f>IFERROR(__xludf.DUMMYFUNCTION("""COMPUTED_VALUE"""),76584.0)</f>
        <v>76584</v>
      </c>
      <c r="B5360" s="2">
        <f>IFERROR(__xludf.DUMMYFUNCTION("""COMPUTED_VALUE"""),0.0)</f>
        <v>0</v>
      </c>
      <c r="C5360" s="2">
        <f>IFERROR(__xludf.DUMMYFUNCTION("""COMPUTED_VALUE"""),833.0)</f>
        <v>833</v>
      </c>
      <c r="D5360" s="3">
        <f>IFERROR(__xludf.DUMMYFUNCTION("""COMPUTED_VALUE"""),551.0)</f>
        <v>551</v>
      </c>
      <c r="E5360" s="2"/>
      <c r="F5360" s="2"/>
    </row>
    <row r="5361">
      <c r="A5361" s="2">
        <f>IFERROR(__xludf.DUMMYFUNCTION("""COMPUTED_VALUE"""),87171.0)</f>
        <v>87171</v>
      </c>
      <c r="B5361" s="2">
        <f>IFERROR(__xludf.DUMMYFUNCTION("""COMPUTED_VALUE"""),1.0)</f>
        <v>1</v>
      </c>
      <c r="C5361" s="2">
        <f>IFERROR(__xludf.DUMMYFUNCTION("""COMPUTED_VALUE"""),901.0)</f>
        <v>901</v>
      </c>
      <c r="D5361" s="3">
        <f>IFERROR(__xludf.DUMMYFUNCTION("""COMPUTED_VALUE"""),511.0)</f>
        <v>511</v>
      </c>
      <c r="E5361" s="2"/>
      <c r="F5361" s="2"/>
    </row>
    <row r="5362">
      <c r="A5362" s="2">
        <f>IFERROR(__xludf.DUMMYFUNCTION("""COMPUTED_VALUE"""),110569.0)</f>
        <v>110569</v>
      </c>
      <c r="B5362" s="2">
        <f>IFERROR(__xludf.DUMMYFUNCTION("""COMPUTED_VALUE"""),1.0)</f>
        <v>1</v>
      </c>
      <c r="C5362" s="2">
        <f>IFERROR(__xludf.DUMMYFUNCTION("""COMPUTED_VALUE"""),114.0)</f>
        <v>114</v>
      </c>
      <c r="D5362" s="3">
        <f>IFERROR(__xludf.DUMMYFUNCTION("""COMPUTED_VALUE"""),29.0)</f>
        <v>29</v>
      </c>
      <c r="E5362" s="2"/>
      <c r="F5362" s="2"/>
    </row>
    <row r="5363">
      <c r="A5363" s="2">
        <f>IFERROR(__xludf.DUMMYFUNCTION("""COMPUTED_VALUE"""),5588.0)</f>
        <v>5588</v>
      </c>
      <c r="B5363" s="2">
        <f>IFERROR(__xludf.DUMMYFUNCTION("""COMPUTED_VALUE"""),0.0)</f>
        <v>0</v>
      </c>
      <c r="C5363" s="2">
        <f>IFERROR(__xludf.DUMMYFUNCTION("""COMPUTED_VALUE"""),706.0)</f>
        <v>706</v>
      </c>
      <c r="D5363" s="3">
        <f>IFERROR(__xludf.DUMMYFUNCTION("""COMPUTED_VALUE"""),199.0)</f>
        <v>199</v>
      </c>
      <c r="E5363" s="2"/>
      <c r="F5363" s="2"/>
    </row>
    <row r="5364">
      <c r="A5364" s="2">
        <f>IFERROR(__xludf.DUMMYFUNCTION("""COMPUTED_VALUE"""),117165.0)</f>
        <v>117165</v>
      </c>
      <c r="B5364" s="2">
        <f>IFERROR(__xludf.DUMMYFUNCTION("""COMPUTED_VALUE"""),1.0)</f>
        <v>1</v>
      </c>
      <c r="C5364" s="2">
        <f>IFERROR(__xludf.DUMMYFUNCTION("""COMPUTED_VALUE"""),975.0)</f>
        <v>975</v>
      </c>
      <c r="D5364" s="3">
        <f>IFERROR(__xludf.DUMMYFUNCTION("""COMPUTED_VALUE"""),832.0)</f>
        <v>832</v>
      </c>
      <c r="E5364" s="2"/>
      <c r="F5364" s="2"/>
    </row>
    <row r="5365">
      <c r="A5365" s="2">
        <f>IFERROR(__xludf.DUMMYFUNCTION("""COMPUTED_VALUE"""),5587.0)</f>
        <v>5587</v>
      </c>
      <c r="B5365" s="2">
        <f>IFERROR(__xludf.DUMMYFUNCTION("""COMPUTED_VALUE"""),1.0)</f>
        <v>1</v>
      </c>
      <c r="C5365" s="2">
        <f>IFERROR(__xludf.DUMMYFUNCTION("""COMPUTED_VALUE"""),608.0)</f>
        <v>608</v>
      </c>
      <c r="D5365" s="3">
        <f>IFERROR(__xludf.DUMMYFUNCTION("""COMPUTED_VALUE"""),257.0)</f>
        <v>257</v>
      </c>
      <c r="E5365" s="2"/>
      <c r="F5365" s="2"/>
    </row>
    <row r="5366">
      <c r="A5366" s="2">
        <f>IFERROR(__xludf.DUMMYFUNCTION("""COMPUTED_VALUE"""),68359.0)</f>
        <v>68359</v>
      </c>
      <c r="B5366" s="2">
        <f>IFERROR(__xludf.DUMMYFUNCTION("""COMPUTED_VALUE"""),0.0)</f>
        <v>0</v>
      </c>
      <c r="C5366" s="2">
        <f>IFERROR(__xludf.DUMMYFUNCTION("""COMPUTED_VALUE"""),203.0)</f>
        <v>203</v>
      </c>
      <c r="D5366" s="3">
        <f>IFERROR(__xludf.DUMMYFUNCTION("""COMPUTED_VALUE"""),72.0)</f>
        <v>72</v>
      </c>
      <c r="E5366" s="2"/>
      <c r="F5366" s="2"/>
    </row>
    <row r="5367">
      <c r="A5367" s="2">
        <f>IFERROR(__xludf.DUMMYFUNCTION("""COMPUTED_VALUE"""),5590.0)</f>
        <v>5590</v>
      </c>
      <c r="B5367" s="2">
        <f>IFERROR(__xludf.DUMMYFUNCTION("""COMPUTED_VALUE"""),1.0)</f>
        <v>1</v>
      </c>
      <c r="C5367" s="2">
        <f>IFERROR(__xludf.DUMMYFUNCTION("""COMPUTED_VALUE"""),46.0)</f>
        <v>46</v>
      </c>
      <c r="D5367" s="3">
        <f>IFERROR(__xludf.DUMMYFUNCTION("""COMPUTED_VALUE"""),3.0)</f>
        <v>3</v>
      </c>
      <c r="E5367" s="2"/>
      <c r="F5367" s="2"/>
    </row>
    <row r="5368">
      <c r="A5368" s="2">
        <f>IFERROR(__xludf.DUMMYFUNCTION("""COMPUTED_VALUE"""),76475.0)</f>
        <v>76475</v>
      </c>
      <c r="B5368" s="2">
        <f>IFERROR(__xludf.DUMMYFUNCTION("""COMPUTED_VALUE"""),0.0)</f>
        <v>0</v>
      </c>
      <c r="C5368" s="2">
        <f>IFERROR(__xludf.DUMMYFUNCTION("""COMPUTED_VALUE"""),14.0)</f>
        <v>14</v>
      </c>
      <c r="D5368" s="3">
        <f>IFERROR(__xludf.DUMMYFUNCTION("""COMPUTED_VALUE"""),7.0)</f>
        <v>7</v>
      </c>
      <c r="E5368" s="2"/>
      <c r="F5368" s="2"/>
    </row>
    <row r="5369">
      <c r="A5369" s="2">
        <f>IFERROR(__xludf.DUMMYFUNCTION("""COMPUTED_VALUE"""),147309.0)</f>
        <v>147309</v>
      </c>
      <c r="B5369" s="2">
        <f>IFERROR(__xludf.DUMMYFUNCTION("""COMPUTED_VALUE"""),0.0)</f>
        <v>0</v>
      </c>
      <c r="C5369" s="2">
        <f>IFERROR(__xludf.DUMMYFUNCTION("""COMPUTED_VALUE"""),784.0)</f>
        <v>784</v>
      </c>
      <c r="D5369" s="3">
        <f>IFERROR(__xludf.DUMMYFUNCTION("""COMPUTED_VALUE"""),583.0)</f>
        <v>583</v>
      </c>
      <c r="E5369" s="2"/>
      <c r="F5369" s="2"/>
    </row>
    <row r="5370">
      <c r="A5370" s="2">
        <f>IFERROR(__xludf.DUMMYFUNCTION("""COMPUTED_VALUE"""),120533.0)</f>
        <v>120533</v>
      </c>
      <c r="B5370" s="2">
        <f>IFERROR(__xludf.DUMMYFUNCTION("""COMPUTED_VALUE"""),0.0)</f>
        <v>0</v>
      </c>
      <c r="C5370" s="2">
        <f>IFERROR(__xludf.DUMMYFUNCTION("""COMPUTED_VALUE"""),96.0)</f>
        <v>96</v>
      </c>
      <c r="D5370" s="3">
        <f>IFERROR(__xludf.DUMMYFUNCTION("""COMPUTED_VALUE"""),42.0)</f>
        <v>42</v>
      </c>
      <c r="E5370" s="2"/>
      <c r="F5370" s="2"/>
    </row>
    <row r="5371">
      <c r="A5371" s="2">
        <f>IFERROR(__xludf.DUMMYFUNCTION("""COMPUTED_VALUE"""),5591.0)</f>
        <v>5591</v>
      </c>
      <c r="B5371" s="2">
        <f>IFERROR(__xludf.DUMMYFUNCTION("""COMPUTED_VALUE"""),0.0)</f>
        <v>0</v>
      </c>
      <c r="C5371" s="2">
        <f>IFERROR(__xludf.DUMMYFUNCTION("""COMPUTED_VALUE"""),643.0)</f>
        <v>643</v>
      </c>
      <c r="D5371" s="3">
        <f>IFERROR(__xludf.DUMMYFUNCTION("""COMPUTED_VALUE"""),614.0)</f>
        <v>614</v>
      </c>
      <c r="E5371" s="2"/>
      <c r="F5371" s="2"/>
    </row>
    <row r="5372">
      <c r="A5372" s="2">
        <f>IFERROR(__xludf.DUMMYFUNCTION("""COMPUTED_VALUE"""),77248.0)</f>
        <v>77248</v>
      </c>
      <c r="B5372" s="2">
        <f>IFERROR(__xludf.DUMMYFUNCTION("""COMPUTED_VALUE"""),0.0)</f>
        <v>0</v>
      </c>
      <c r="C5372" s="2">
        <f>IFERROR(__xludf.DUMMYFUNCTION("""COMPUTED_VALUE"""),612.0)</f>
        <v>612</v>
      </c>
      <c r="D5372" s="3">
        <f>IFERROR(__xludf.DUMMYFUNCTION("""COMPUTED_VALUE"""),564.0)</f>
        <v>564</v>
      </c>
      <c r="E5372" s="2"/>
      <c r="F5372" s="2"/>
    </row>
    <row r="5373">
      <c r="A5373" s="2">
        <f>IFERROR(__xludf.DUMMYFUNCTION("""COMPUTED_VALUE"""),90819.0)</f>
        <v>90819</v>
      </c>
      <c r="B5373" s="2">
        <f>IFERROR(__xludf.DUMMYFUNCTION("""COMPUTED_VALUE"""),0.0)</f>
        <v>0</v>
      </c>
      <c r="C5373" s="2">
        <f>IFERROR(__xludf.DUMMYFUNCTION("""COMPUTED_VALUE"""),49.0)</f>
        <v>49</v>
      </c>
      <c r="D5373" s="3">
        <f>IFERROR(__xludf.DUMMYFUNCTION("""COMPUTED_VALUE"""),14.0)</f>
        <v>14</v>
      </c>
      <c r="E5373" s="2"/>
      <c r="F5373" s="2"/>
    </row>
    <row r="5374">
      <c r="A5374" s="2">
        <f>IFERROR(__xludf.DUMMYFUNCTION("""COMPUTED_VALUE"""),90820.0)</f>
        <v>90820</v>
      </c>
      <c r="B5374" s="2">
        <f>IFERROR(__xludf.DUMMYFUNCTION("""COMPUTED_VALUE"""),0.0)</f>
        <v>0</v>
      </c>
      <c r="C5374" s="2">
        <f>IFERROR(__xludf.DUMMYFUNCTION("""COMPUTED_VALUE"""),307.0)</f>
        <v>307</v>
      </c>
      <c r="D5374" s="3">
        <f>IFERROR(__xludf.DUMMYFUNCTION("""COMPUTED_VALUE"""),254.0)</f>
        <v>254</v>
      </c>
      <c r="E5374" s="2"/>
      <c r="F5374" s="2"/>
    </row>
    <row r="5375">
      <c r="A5375" s="2">
        <f>IFERROR(__xludf.DUMMYFUNCTION("""COMPUTED_VALUE"""),90839.0)</f>
        <v>90839</v>
      </c>
      <c r="B5375" s="2">
        <f>IFERROR(__xludf.DUMMYFUNCTION("""COMPUTED_VALUE"""),0.0)</f>
        <v>0</v>
      </c>
      <c r="C5375" s="2">
        <f>IFERROR(__xludf.DUMMYFUNCTION("""COMPUTED_VALUE"""),467.0)</f>
        <v>467</v>
      </c>
      <c r="D5375" s="3">
        <f>IFERROR(__xludf.DUMMYFUNCTION("""COMPUTED_VALUE"""),152.0)</f>
        <v>152</v>
      </c>
      <c r="E5375" s="2"/>
      <c r="F5375" s="2"/>
    </row>
    <row r="5376">
      <c r="A5376" s="2">
        <f>IFERROR(__xludf.DUMMYFUNCTION("""COMPUTED_VALUE"""),90858.0)</f>
        <v>90858</v>
      </c>
      <c r="B5376" s="2">
        <f>IFERROR(__xludf.DUMMYFUNCTION("""COMPUTED_VALUE"""),1.0)</f>
        <v>1</v>
      </c>
      <c r="C5376" s="2">
        <f>IFERROR(__xludf.DUMMYFUNCTION("""COMPUTED_VALUE"""),560.0)</f>
        <v>560</v>
      </c>
      <c r="D5376" s="3">
        <f>IFERROR(__xludf.DUMMYFUNCTION("""COMPUTED_VALUE"""),212.0)</f>
        <v>212</v>
      </c>
      <c r="E5376" s="2"/>
      <c r="F5376" s="2"/>
    </row>
    <row r="5377">
      <c r="A5377" s="2">
        <f>IFERROR(__xludf.DUMMYFUNCTION("""COMPUTED_VALUE"""),76588.0)</f>
        <v>76588</v>
      </c>
      <c r="B5377" s="2">
        <f>IFERROR(__xludf.DUMMYFUNCTION("""COMPUTED_VALUE"""),1.0)</f>
        <v>1</v>
      </c>
      <c r="C5377" s="2">
        <f>IFERROR(__xludf.DUMMYFUNCTION("""COMPUTED_VALUE"""),62.0)</f>
        <v>62</v>
      </c>
      <c r="D5377" s="3">
        <f>IFERROR(__xludf.DUMMYFUNCTION("""COMPUTED_VALUE"""),50.0)</f>
        <v>50</v>
      </c>
      <c r="E5377" s="2"/>
      <c r="F5377" s="2"/>
    </row>
    <row r="5378">
      <c r="A5378" s="2">
        <f>IFERROR(__xludf.DUMMYFUNCTION("""COMPUTED_VALUE"""),90671.0)</f>
        <v>90671</v>
      </c>
      <c r="B5378" s="2">
        <f>IFERROR(__xludf.DUMMYFUNCTION("""COMPUTED_VALUE"""),0.0)</f>
        <v>0</v>
      </c>
      <c r="C5378" s="2">
        <f>IFERROR(__xludf.DUMMYFUNCTION("""COMPUTED_VALUE"""),281.0)</f>
        <v>281</v>
      </c>
      <c r="D5378" s="3">
        <f>IFERROR(__xludf.DUMMYFUNCTION("""COMPUTED_VALUE"""),248.0)</f>
        <v>248</v>
      </c>
      <c r="E5378" s="2"/>
      <c r="F5378" s="2"/>
    </row>
    <row r="5379">
      <c r="A5379" s="2">
        <f>IFERROR(__xludf.DUMMYFUNCTION("""COMPUTED_VALUE"""),77194.0)</f>
        <v>77194</v>
      </c>
      <c r="B5379" s="2">
        <f>IFERROR(__xludf.DUMMYFUNCTION("""COMPUTED_VALUE"""),1.0)</f>
        <v>1</v>
      </c>
      <c r="C5379" s="2">
        <f>IFERROR(__xludf.DUMMYFUNCTION("""COMPUTED_VALUE"""),401.0)</f>
        <v>401</v>
      </c>
      <c r="D5379" s="3">
        <f>IFERROR(__xludf.DUMMYFUNCTION("""COMPUTED_VALUE"""),202.0)</f>
        <v>202</v>
      </c>
      <c r="E5379" s="2"/>
      <c r="F5379" s="2"/>
    </row>
    <row r="5380">
      <c r="A5380" s="2">
        <f>IFERROR(__xludf.DUMMYFUNCTION("""COMPUTED_VALUE"""),5504.0)</f>
        <v>5504</v>
      </c>
      <c r="B5380" s="2">
        <f>IFERROR(__xludf.DUMMYFUNCTION("""COMPUTED_VALUE"""),1.0)</f>
        <v>1</v>
      </c>
      <c r="C5380" s="2">
        <f>IFERROR(__xludf.DUMMYFUNCTION("""COMPUTED_VALUE"""),321.0)</f>
        <v>321</v>
      </c>
      <c r="D5380" s="3">
        <f>IFERROR(__xludf.DUMMYFUNCTION("""COMPUTED_VALUE"""),201.0)</f>
        <v>201</v>
      </c>
      <c r="E5380" s="2"/>
      <c r="F5380" s="2"/>
    </row>
    <row r="5381">
      <c r="A5381" s="2">
        <f>IFERROR(__xludf.DUMMYFUNCTION("""COMPUTED_VALUE"""),90662.0)</f>
        <v>90662</v>
      </c>
      <c r="B5381" s="2">
        <f>IFERROR(__xludf.DUMMYFUNCTION("""COMPUTED_VALUE"""),1.0)</f>
        <v>1</v>
      </c>
      <c r="C5381" s="2">
        <f>IFERROR(__xludf.DUMMYFUNCTION("""COMPUTED_VALUE"""),445.0)</f>
        <v>445</v>
      </c>
      <c r="D5381" s="3">
        <f>IFERROR(__xludf.DUMMYFUNCTION("""COMPUTED_VALUE"""),269.0)</f>
        <v>269</v>
      </c>
      <c r="E5381" s="2"/>
      <c r="F5381" s="2"/>
    </row>
    <row r="5382">
      <c r="A5382" s="2">
        <f>IFERROR(__xludf.DUMMYFUNCTION("""COMPUTED_VALUE"""),87288.0)</f>
        <v>87288</v>
      </c>
      <c r="B5382" s="2">
        <f>IFERROR(__xludf.DUMMYFUNCTION("""COMPUTED_VALUE"""),0.0)</f>
        <v>0</v>
      </c>
      <c r="C5382" s="2">
        <f>IFERROR(__xludf.DUMMYFUNCTION("""COMPUTED_VALUE"""),394.0)</f>
        <v>394</v>
      </c>
      <c r="D5382" s="3">
        <f>IFERROR(__xludf.DUMMYFUNCTION("""COMPUTED_VALUE"""),96.0)</f>
        <v>96</v>
      </c>
      <c r="E5382" s="2"/>
      <c r="F5382" s="2"/>
    </row>
    <row r="5383">
      <c r="A5383" s="2">
        <f>IFERROR(__xludf.DUMMYFUNCTION("""COMPUTED_VALUE"""),5494.0)</f>
        <v>5494</v>
      </c>
      <c r="B5383" s="2">
        <f>IFERROR(__xludf.DUMMYFUNCTION("""COMPUTED_VALUE"""),0.0)</f>
        <v>0</v>
      </c>
      <c r="C5383" s="2">
        <f>IFERROR(__xludf.DUMMYFUNCTION("""COMPUTED_VALUE"""),180.0)</f>
        <v>180</v>
      </c>
      <c r="D5383" s="3">
        <f>IFERROR(__xludf.DUMMYFUNCTION("""COMPUTED_VALUE"""),122.0)</f>
        <v>122</v>
      </c>
      <c r="E5383" s="2"/>
      <c r="F5383" s="2"/>
    </row>
    <row r="5384">
      <c r="A5384" s="2">
        <f>IFERROR(__xludf.DUMMYFUNCTION("""COMPUTED_VALUE"""),76637.0)</f>
        <v>76637</v>
      </c>
      <c r="B5384" s="2">
        <f>IFERROR(__xludf.DUMMYFUNCTION("""COMPUTED_VALUE"""),1.0)</f>
        <v>1</v>
      </c>
      <c r="C5384" s="2">
        <f>IFERROR(__xludf.DUMMYFUNCTION("""COMPUTED_VALUE"""),432.0)</f>
        <v>432</v>
      </c>
      <c r="D5384" s="3">
        <f>IFERROR(__xludf.DUMMYFUNCTION("""COMPUTED_VALUE"""),420.0)</f>
        <v>420</v>
      </c>
      <c r="E5384" s="2"/>
      <c r="F5384" s="2"/>
    </row>
    <row r="5385">
      <c r="A5385" s="2">
        <f>IFERROR(__xludf.DUMMYFUNCTION("""COMPUTED_VALUE"""),76601.0)</f>
        <v>76601</v>
      </c>
      <c r="B5385" s="2">
        <f>IFERROR(__xludf.DUMMYFUNCTION("""COMPUTED_VALUE"""),1.0)</f>
        <v>1</v>
      </c>
      <c r="C5385" s="2">
        <f>IFERROR(__xludf.DUMMYFUNCTION("""COMPUTED_VALUE"""),769.0)</f>
        <v>769</v>
      </c>
      <c r="D5385" s="3">
        <f>IFERROR(__xludf.DUMMYFUNCTION("""COMPUTED_VALUE"""),769.0)</f>
        <v>769</v>
      </c>
      <c r="E5385" s="2"/>
      <c r="F5385" s="2"/>
    </row>
    <row r="5386">
      <c r="A5386" s="2">
        <f>IFERROR(__xludf.DUMMYFUNCTION("""COMPUTED_VALUE"""),87202.0)</f>
        <v>87202</v>
      </c>
      <c r="B5386" s="2">
        <f>IFERROR(__xludf.DUMMYFUNCTION("""COMPUTED_VALUE"""),1.0)</f>
        <v>1</v>
      </c>
      <c r="C5386" s="2">
        <f>IFERROR(__xludf.DUMMYFUNCTION("""COMPUTED_VALUE"""),238.0)</f>
        <v>238</v>
      </c>
      <c r="D5386" s="3">
        <f>IFERROR(__xludf.DUMMYFUNCTION("""COMPUTED_VALUE"""),223.0)</f>
        <v>223</v>
      </c>
      <c r="E5386" s="2"/>
      <c r="F5386" s="2"/>
    </row>
    <row r="5387">
      <c r="A5387" s="2">
        <f>IFERROR(__xludf.DUMMYFUNCTION("""COMPUTED_VALUE"""),122244.0)</f>
        <v>122244</v>
      </c>
      <c r="B5387" s="2">
        <f>IFERROR(__xludf.DUMMYFUNCTION("""COMPUTED_VALUE"""),0.0)</f>
        <v>0</v>
      </c>
      <c r="C5387" s="2">
        <f>IFERROR(__xludf.DUMMYFUNCTION("""COMPUTED_VALUE"""),675.0)</f>
        <v>675</v>
      </c>
      <c r="D5387" s="3">
        <f>IFERROR(__xludf.DUMMYFUNCTION("""COMPUTED_VALUE"""),119.0)</f>
        <v>119</v>
      </c>
      <c r="E5387" s="2"/>
      <c r="F5387" s="2"/>
    </row>
    <row r="5388">
      <c r="A5388" s="2">
        <f>IFERROR(__xludf.DUMMYFUNCTION("""COMPUTED_VALUE"""),122075.0)</f>
        <v>122075</v>
      </c>
      <c r="B5388" s="2">
        <f>IFERROR(__xludf.DUMMYFUNCTION("""COMPUTED_VALUE"""),1.0)</f>
        <v>1</v>
      </c>
      <c r="C5388" s="2">
        <f>IFERROR(__xludf.DUMMYFUNCTION("""COMPUTED_VALUE"""),922.0)</f>
        <v>922</v>
      </c>
      <c r="D5388" s="3">
        <f>IFERROR(__xludf.DUMMYFUNCTION("""COMPUTED_VALUE"""),61.0)</f>
        <v>61</v>
      </c>
      <c r="E5388" s="2"/>
      <c r="F5388" s="2"/>
    </row>
    <row r="5389">
      <c r="A5389" s="2">
        <f>IFERROR(__xludf.DUMMYFUNCTION("""COMPUTED_VALUE"""),90735.0)</f>
        <v>90735</v>
      </c>
      <c r="B5389" s="2">
        <f>IFERROR(__xludf.DUMMYFUNCTION("""COMPUTED_VALUE"""),1.0)</f>
        <v>1</v>
      </c>
      <c r="C5389" s="2">
        <f>IFERROR(__xludf.DUMMYFUNCTION("""COMPUTED_VALUE"""),640.0)</f>
        <v>640</v>
      </c>
      <c r="D5389" s="3">
        <f>IFERROR(__xludf.DUMMYFUNCTION("""COMPUTED_VALUE"""),457.0)</f>
        <v>457</v>
      </c>
      <c r="E5389" s="2"/>
      <c r="F5389" s="2"/>
    </row>
    <row r="5390">
      <c r="A5390" s="2">
        <f>IFERROR(__xludf.DUMMYFUNCTION("""COMPUTED_VALUE"""),20951.0)</f>
        <v>20951</v>
      </c>
      <c r="B5390" s="2">
        <f>IFERROR(__xludf.DUMMYFUNCTION("""COMPUTED_VALUE"""),0.0)</f>
        <v>0</v>
      </c>
      <c r="C5390" s="2">
        <f>IFERROR(__xludf.DUMMYFUNCTION("""COMPUTED_VALUE"""),519.0)</f>
        <v>519</v>
      </c>
      <c r="D5390" s="3">
        <f>IFERROR(__xludf.DUMMYFUNCTION("""COMPUTED_VALUE"""),418.0)</f>
        <v>418</v>
      </c>
      <c r="E5390" s="2"/>
      <c r="F5390" s="2"/>
    </row>
    <row r="5391">
      <c r="A5391" s="2">
        <f>IFERROR(__xludf.DUMMYFUNCTION("""COMPUTED_VALUE"""),5502.0)</f>
        <v>5502</v>
      </c>
      <c r="B5391" s="2">
        <f>IFERROR(__xludf.DUMMYFUNCTION("""COMPUTED_VALUE"""),1.0)</f>
        <v>1</v>
      </c>
      <c r="C5391" s="2">
        <f>IFERROR(__xludf.DUMMYFUNCTION("""COMPUTED_VALUE"""),192.0)</f>
        <v>192</v>
      </c>
      <c r="D5391" s="3">
        <f>IFERROR(__xludf.DUMMYFUNCTION("""COMPUTED_VALUE"""),159.0)</f>
        <v>159</v>
      </c>
      <c r="E5391" s="2"/>
      <c r="F5391" s="2"/>
    </row>
    <row r="5392">
      <c r="A5392" s="2">
        <f>IFERROR(__xludf.DUMMYFUNCTION("""COMPUTED_VALUE"""),90669.0)</f>
        <v>90669</v>
      </c>
      <c r="B5392" s="2">
        <f>IFERROR(__xludf.DUMMYFUNCTION("""COMPUTED_VALUE"""),0.0)</f>
        <v>0</v>
      </c>
      <c r="C5392" s="2">
        <f>IFERROR(__xludf.DUMMYFUNCTION("""COMPUTED_VALUE"""),849.0)</f>
        <v>849</v>
      </c>
      <c r="D5392" s="3">
        <f>IFERROR(__xludf.DUMMYFUNCTION("""COMPUTED_VALUE"""),461.0)</f>
        <v>461</v>
      </c>
      <c r="E5392" s="2"/>
      <c r="F5392" s="2"/>
    </row>
    <row r="5393">
      <c r="A5393" s="2">
        <f>IFERROR(__xludf.DUMMYFUNCTION("""COMPUTED_VALUE"""),90673.0)</f>
        <v>90673</v>
      </c>
      <c r="B5393" s="2">
        <f>IFERROR(__xludf.DUMMYFUNCTION("""COMPUTED_VALUE"""),0.0)</f>
        <v>0</v>
      </c>
      <c r="C5393" s="2">
        <f>IFERROR(__xludf.DUMMYFUNCTION("""COMPUTED_VALUE"""),794.0)</f>
        <v>794</v>
      </c>
      <c r="D5393" s="3">
        <f>IFERROR(__xludf.DUMMYFUNCTION("""COMPUTED_VALUE"""),673.0)</f>
        <v>673</v>
      </c>
      <c r="E5393" s="2"/>
      <c r="F5393" s="2"/>
    </row>
    <row r="5394">
      <c r="A5394" s="2">
        <f>IFERROR(__xludf.DUMMYFUNCTION("""COMPUTED_VALUE"""),68403.0)</f>
        <v>68403</v>
      </c>
      <c r="B5394" s="2">
        <f>IFERROR(__xludf.DUMMYFUNCTION("""COMPUTED_VALUE"""),1.0)</f>
        <v>1</v>
      </c>
      <c r="C5394" s="2">
        <f>IFERROR(__xludf.DUMMYFUNCTION("""COMPUTED_VALUE"""),-10.0)</f>
        <v>-10</v>
      </c>
      <c r="D5394" s="3">
        <f>IFERROR(__xludf.DUMMYFUNCTION("""COMPUTED_VALUE"""),-6.0)</f>
        <v>-6</v>
      </c>
      <c r="E5394" s="2"/>
      <c r="F5394" s="2"/>
    </row>
    <row r="5395">
      <c r="A5395" s="2">
        <f>IFERROR(__xludf.DUMMYFUNCTION("""COMPUTED_VALUE"""),76636.0)</f>
        <v>76636</v>
      </c>
      <c r="B5395" s="2">
        <f>IFERROR(__xludf.DUMMYFUNCTION("""COMPUTED_VALUE"""),1.0)</f>
        <v>1</v>
      </c>
      <c r="C5395" s="2">
        <f>IFERROR(__xludf.DUMMYFUNCTION("""COMPUTED_VALUE"""),821.0)</f>
        <v>821</v>
      </c>
      <c r="D5395" s="3">
        <f>IFERROR(__xludf.DUMMYFUNCTION("""COMPUTED_VALUE"""),124.0)</f>
        <v>124</v>
      </c>
      <c r="E5395" s="2"/>
      <c r="F5395" s="2"/>
    </row>
    <row r="5396">
      <c r="A5396" s="2">
        <f>IFERROR(__xludf.DUMMYFUNCTION("""COMPUTED_VALUE"""),77397.0)</f>
        <v>77397</v>
      </c>
      <c r="B5396" s="2">
        <f>IFERROR(__xludf.DUMMYFUNCTION("""COMPUTED_VALUE"""),0.0)</f>
        <v>0</v>
      </c>
      <c r="C5396" s="2">
        <f>IFERROR(__xludf.DUMMYFUNCTION("""COMPUTED_VALUE"""),189.0)</f>
        <v>189</v>
      </c>
      <c r="D5396" s="3">
        <f>IFERROR(__xludf.DUMMYFUNCTION("""COMPUTED_VALUE"""),19.0)</f>
        <v>19</v>
      </c>
      <c r="E5396" s="2"/>
      <c r="F5396" s="2"/>
    </row>
    <row r="5397">
      <c r="A5397" s="2">
        <f>IFERROR(__xludf.DUMMYFUNCTION("""COMPUTED_VALUE"""),76195.0)</f>
        <v>76195</v>
      </c>
      <c r="B5397" s="2">
        <f>IFERROR(__xludf.DUMMYFUNCTION("""COMPUTED_VALUE"""),1.0)</f>
        <v>1</v>
      </c>
      <c r="C5397" s="2">
        <f>IFERROR(__xludf.DUMMYFUNCTION("""COMPUTED_VALUE"""),356.0)</f>
        <v>356</v>
      </c>
      <c r="D5397" s="3">
        <f>IFERROR(__xludf.DUMMYFUNCTION("""COMPUTED_VALUE"""),220.0)</f>
        <v>220</v>
      </c>
      <c r="E5397" s="2"/>
      <c r="F5397" s="2"/>
    </row>
    <row r="5398">
      <c r="A5398" s="2">
        <f>IFERROR(__xludf.DUMMYFUNCTION("""COMPUTED_VALUE"""),90710.0)</f>
        <v>90710</v>
      </c>
      <c r="B5398" s="2">
        <f>IFERROR(__xludf.DUMMYFUNCTION("""COMPUTED_VALUE"""),1.0)</f>
        <v>1</v>
      </c>
      <c r="C5398" s="2">
        <f>IFERROR(__xludf.DUMMYFUNCTION("""COMPUTED_VALUE"""),228.0)</f>
        <v>228</v>
      </c>
      <c r="D5398" s="3">
        <f>IFERROR(__xludf.DUMMYFUNCTION("""COMPUTED_VALUE"""),152.0)</f>
        <v>152</v>
      </c>
      <c r="E5398" s="2"/>
      <c r="F5398" s="2"/>
    </row>
    <row r="5399">
      <c r="A5399" s="2">
        <f>IFERROR(__xludf.DUMMYFUNCTION("""COMPUTED_VALUE"""),117148.0)</f>
        <v>117148</v>
      </c>
      <c r="B5399" s="2">
        <f>IFERROR(__xludf.DUMMYFUNCTION("""COMPUTED_VALUE"""),0.0)</f>
        <v>0</v>
      </c>
      <c r="C5399" s="2">
        <f>IFERROR(__xludf.DUMMYFUNCTION("""COMPUTED_VALUE"""),58.0)</f>
        <v>58</v>
      </c>
      <c r="D5399" s="3">
        <f>IFERROR(__xludf.DUMMYFUNCTION("""COMPUTED_VALUE"""),35.0)</f>
        <v>35</v>
      </c>
      <c r="E5399" s="2"/>
      <c r="F5399" s="2"/>
    </row>
    <row r="5400">
      <c r="A5400" s="2">
        <f>IFERROR(__xludf.DUMMYFUNCTION("""COMPUTED_VALUE"""),5493.0)</f>
        <v>5493</v>
      </c>
      <c r="B5400" s="2">
        <f>IFERROR(__xludf.DUMMYFUNCTION("""COMPUTED_VALUE"""),0.0)</f>
        <v>0</v>
      </c>
      <c r="C5400" s="2">
        <f>IFERROR(__xludf.DUMMYFUNCTION("""COMPUTED_VALUE"""),367.0)</f>
        <v>367</v>
      </c>
      <c r="D5400" s="3">
        <f>IFERROR(__xludf.DUMMYFUNCTION("""COMPUTED_VALUE"""),263.0)</f>
        <v>263</v>
      </c>
      <c r="E5400" s="2"/>
      <c r="F5400" s="2"/>
    </row>
    <row r="5401">
      <c r="A5401" s="2">
        <f>IFERROR(__xludf.DUMMYFUNCTION("""COMPUTED_VALUE"""),76671.0)</f>
        <v>76671</v>
      </c>
      <c r="B5401" s="2">
        <f>IFERROR(__xludf.DUMMYFUNCTION("""COMPUTED_VALUE"""),1.0)</f>
        <v>1</v>
      </c>
      <c r="C5401" s="2">
        <f>IFERROR(__xludf.DUMMYFUNCTION("""COMPUTED_VALUE"""),648.0)</f>
        <v>648</v>
      </c>
      <c r="D5401" s="3">
        <f>IFERROR(__xludf.DUMMYFUNCTION("""COMPUTED_VALUE"""),321.0)</f>
        <v>321</v>
      </c>
      <c r="E5401" s="2"/>
      <c r="F5401" s="2"/>
    </row>
    <row r="5402">
      <c r="A5402" s="2">
        <f>IFERROR(__xludf.DUMMYFUNCTION("""COMPUTED_VALUE"""),90678.0)</f>
        <v>90678</v>
      </c>
      <c r="B5402" s="2">
        <f>IFERROR(__xludf.DUMMYFUNCTION("""COMPUTED_VALUE"""),1.0)</f>
        <v>1</v>
      </c>
      <c r="C5402" s="2">
        <f>IFERROR(__xludf.DUMMYFUNCTION("""COMPUTED_VALUE"""),866.0)</f>
        <v>866</v>
      </c>
      <c r="D5402" s="3">
        <f>IFERROR(__xludf.DUMMYFUNCTION("""COMPUTED_VALUE"""),125.0)</f>
        <v>125</v>
      </c>
      <c r="E5402" s="2"/>
      <c r="F5402" s="2"/>
    </row>
    <row r="5403">
      <c r="A5403" s="2">
        <f>IFERROR(__xludf.DUMMYFUNCTION("""COMPUTED_VALUE"""),76207.0)</f>
        <v>76207</v>
      </c>
      <c r="B5403" s="2">
        <f>IFERROR(__xludf.DUMMYFUNCTION("""COMPUTED_VALUE"""),0.0)</f>
        <v>0</v>
      </c>
      <c r="C5403" s="2">
        <f>IFERROR(__xludf.DUMMYFUNCTION("""COMPUTED_VALUE"""),50.0)</f>
        <v>50</v>
      </c>
      <c r="D5403" s="3">
        <f>IFERROR(__xludf.DUMMYFUNCTION("""COMPUTED_VALUE"""),15.0)</f>
        <v>15</v>
      </c>
      <c r="E5403" s="2"/>
      <c r="F5403" s="2"/>
    </row>
    <row r="5404">
      <c r="A5404" s="2">
        <f>IFERROR(__xludf.DUMMYFUNCTION("""COMPUTED_VALUE"""),5500.0)</f>
        <v>5500</v>
      </c>
      <c r="B5404" s="2">
        <f>IFERROR(__xludf.DUMMYFUNCTION("""COMPUTED_VALUE"""),0.0)</f>
        <v>0</v>
      </c>
      <c r="C5404" s="2">
        <f>IFERROR(__xludf.DUMMYFUNCTION("""COMPUTED_VALUE"""),379.0)</f>
        <v>379</v>
      </c>
      <c r="D5404" s="3">
        <f>IFERROR(__xludf.DUMMYFUNCTION("""COMPUTED_VALUE"""),205.0)</f>
        <v>205</v>
      </c>
      <c r="E5404" s="2"/>
      <c r="F5404" s="2"/>
    </row>
    <row r="5405">
      <c r="A5405" s="2">
        <f>IFERROR(__xludf.DUMMYFUNCTION("""COMPUTED_VALUE"""),122081.0)</f>
        <v>122081</v>
      </c>
      <c r="B5405" s="2">
        <f>IFERROR(__xludf.DUMMYFUNCTION("""COMPUTED_VALUE"""),1.0)</f>
        <v>1</v>
      </c>
      <c r="C5405" s="2">
        <f>IFERROR(__xludf.DUMMYFUNCTION("""COMPUTED_VALUE"""),739.0)</f>
        <v>739</v>
      </c>
      <c r="D5405" s="3">
        <f>IFERROR(__xludf.DUMMYFUNCTION("""COMPUTED_VALUE"""),550.0)</f>
        <v>550</v>
      </c>
      <c r="E5405" s="2"/>
      <c r="F5405" s="2"/>
    </row>
    <row r="5406">
      <c r="A5406" s="2">
        <f>IFERROR(__xludf.DUMMYFUNCTION("""COMPUTED_VALUE"""),77396.0)</f>
        <v>77396</v>
      </c>
      <c r="B5406" s="2">
        <f>IFERROR(__xludf.DUMMYFUNCTION("""COMPUTED_VALUE"""),1.0)</f>
        <v>1</v>
      </c>
      <c r="C5406" s="2">
        <f>IFERROR(__xludf.DUMMYFUNCTION("""COMPUTED_VALUE"""),434.0)</f>
        <v>434</v>
      </c>
      <c r="D5406" s="3">
        <f>IFERROR(__xludf.DUMMYFUNCTION("""COMPUTED_VALUE"""),354.0)</f>
        <v>354</v>
      </c>
      <c r="E5406" s="2"/>
      <c r="F5406" s="2"/>
    </row>
    <row r="5407">
      <c r="A5407" s="2">
        <f>IFERROR(__xludf.DUMMYFUNCTION("""COMPUTED_VALUE"""),77398.0)</f>
        <v>77398</v>
      </c>
      <c r="B5407" s="2">
        <f>IFERROR(__xludf.DUMMYFUNCTION("""COMPUTED_VALUE"""),1.0)</f>
        <v>1</v>
      </c>
      <c r="C5407" s="2">
        <f>IFERROR(__xludf.DUMMYFUNCTION("""COMPUTED_VALUE"""),313.0)</f>
        <v>313</v>
      </c>
      <c r="D5407" s="3">
        <f>IFERROR(__xludf.DUMMYFUNCTION("""COMPUTED_VALUE"""),309.0)</f>
        <v>309</v>
      </c>
      <c r="E5407" s="2"/>
      <c r="F5407" s="2"/>
    </row>
    <row r="5408">
      <c r="A5408" s="2">
        <f>IFERROR(__xludf.DUMMYFUNCTION("""COMPUTED_VALUE"""),90716.0)</f>
        <v>90716</v>
      </c>
      <c r="B5408" s="2">
        <f>IFERROR(__xludf.DUMMYFUNCTION("""COMPUTED_VALUE"""),0.0)</f>
        <v>0</v>
      </c>
      <c r="C5408" s="2">
        <f>IFERROR(__xludf.DUMMYFUNCTION("""COMPUTED_VALUE"""),620.0)</f>
        <v>620</v>
      </c>
      <c r="D5408" s="3">
        <f>IFERROR(__xludf.DUMMYFUNCTION("""COMPUTED_VALUE"""),606.0)</f>
        <v>606</v>
      </c>
      <c r="E5408" s="2"/>
      <c r="F5408" s="2"/>
    </row>
    <row r="5409">
      <c r="A5409" s="2">
        <f>IFERROR(__xludf.DUMMYFUNCTION("""COMPUTED_VALUE"""),122846.0)</f>
        <v>122846</v>
      </c>
      <c r="B5409" s="2">
        <f>IFERROR(__xludf.DUMMYFUNCTION("""COMPUTED_VALUE"""),0.0)</f>
        <v>0</v>
      </c>
      <c r="C5409" s="2">
        <f>IFERROR(__xludf.DUMMYFUNCTION("""COMPUTED_VALUE"""),324.0)</f>
        <v>324</v>
      </c>
      <c r="D5409" s="3">
        <f>IFERROR(__xludf.DUMMYFUNCTION("""COMPUTED_VALUE"""),157.0)</f>
        <v>157</v>
      </c>
      <c r="E5409" s="2"/>
      <c r="F5409" s="2"/>
    </row>
    <row r="5410">
      <c r="A5410" s="2">
        <f>IFERROR(__xludf.DUMMYFUNCTION("""COMPUTED_VALUE"""),77410.0)</f>
        <v>77410</v>
      </c>
      <c r="B5410" s="2">
        <f>IFERROR(__xludf.DUMMYFUNCTION("""COMPUTED_VALUE"""),1.0)</f>
        <v>1</v>
      </c>
      <c r="C5410" s="2">
        <f>IFERROR(__xludf.DUMMYFUNCTION("""COMPUTED_VALUE"""),255.0)</f>
        <v>255</v>
      </c>
      <c r="D5410" s="3">
        <f>IFERROR(__xludf.DUMMYFUNCTION("""COMPUTED_VALUE"""),57.0)</f>
        <v>57</v>
      </c>
      <c r="E5410" s="2"/>
      <c r="F5410" s="2"/>
    </row>
    <row r="5411">
      <c r="A5411" s="2">
        <f>IFERROR(__xludf.DUMMYFUNCTION("""COMPUTED_VALUE"""),87083.0)</f>
        <v>87083</v>
      </c>
      <c r="B5411" s="2">
        <f>IFERROR(__xludf.DUMMYFUNCTION("""COMPUTED_VALUE"""),0.0)</f>
        <v>0</v>
      </c>
      <c r="C5411" s="2">
        <f>IFERROR(__xludf.DUMMYFUNCTION("""COMPUTED_VALUE"""),200.0)</f>
        <v>200</v>
      </c>
      <c r="D5411" s="3">
        <f>IFERROR(__xludf.DUMMYFUNCTION("""COMPUTED_VALUE"""),122.0)</f>
        <v>122</v>
      </c>
      <c r="E5411" s="2"/>
      <c r="F5411" s="2"/>
    </row>
    <row r="5412">
      <c r="A5412" s="2">
        <f>IFERROR(__xludf.DUMMYFUNCTION("""COMPUTED_VALUE"""),73630.0)</f>
        <v>73630</v>
      </c>
      <c r="B5412" s="2">
        <f>IFERROR(__xludf.DUMMYFUNCTION("""COMPUTED_VALUE"""),1.0)</f>
        <v>1</v>
      </c>
      <c r="C5412" s="2">
        <f>IFERROR(__xludf.DUMMYFUNCTION("""COMPUTED_VALUE"""),315.0)</f>
        <v>315</v>
      </c>
      <c r="D5412" s="3">
        <f>IFERROR(__xludf.DUMMYFUNCTION("""COMPUTED_VALUE"""),49.0)</f>
        <v>49</v>
      </c>
      <c r="E5412" s="2"/>
      <c r="F5412" s="2"/>
    </row>
    <row r="5413">
      <c r="A5413" s="2">
        <f>IFERROR(__xludf.DUMMYFUNCTION("""COMPUTED_VALUE"""),90659.0)</f>
        <v>90659</v>
      </c>
      <c r="B5413" s="2">
        <f>IFERROR(__xludf.DUMMYFUNCTION("""COMPUTED_VALUE"""),1.0)</f>
        <v>1</v>
      </c>
      <c r="C5413" s="2">
        <f>IFERROR(__xludf.DUMMYFUNCTION("""COMPUTED_VALUE"""),321.0)</f>
        <v>321</v>
      </c>
      <c r="D5413" s="3">
        <f>IFERROR(__xludf.DUMMYFUNCTION("""COMPUTED_VALUE"""),273.0)</f>
        <v>273</v>
      </c>
      <c r="E5413" s="2"/>
      <c r="F5413" s="2"/>
    </row>
    <row r="5414">
      <c r="A5414" s="2">
        <f>IFERROR(__xludf.DUMMYFUNCTION("""COMPUTED_VALUE"""),122079.0)</f>
        <v>122079</v>
      </c>
      <c r="B5414" s="2">
        <f>IFERROR(__xludf.DUMMYFUNCTION("""COMPUTED_VALUE"""),1.0)</f>
        <v>1</v>
      </c>
      <c r="C5414" s="2">
        <f>IFERROR(__xludf.DUMMYFUNCTION("""COMPUTED_VALUE"""),454.0)</f>
        <v>454</v>
      </c>
      <c r="D5414" s="3">
        <f>IFERROR(__xludf.DUMMYFUNCTION("""COMPUTED_VALUE"""),370.0)</f>
        <v>370</v>
      </c>
      <c r="E5414" s="2"/>
      <c r="F5414" s="2"/>
    </row>
    <row r="5415">
      <c r="A5415" s="2">
        <f>IFERROR(__xludf.DUMMYFUNCTION("""COMPUTED_VALUE"""),5551.0)</f>
        <v>5551</v>
      </c>
      <c r="B5415" s="2">
        <f>IFERROR(__xludf.DUMMYFUNCTION("""COMPUTED_VALUE"""),1.0)</f>
        <v>1</v>
      </c>
      <c r="C5415" s="2">
        <f>IFERROR(__xludf.DUMMYFUNCTION("""COMPUTED_VALUE"""),630.0)</f>
        <v>630</v>
      </c>
      <c r="D5415" s="3">
        <f>IFERROR(__xludf.DUMMYFUNCTION("""COMPUTED_VALUE"""),119.0)</f>
        <v>119</v>
      </c>
      <c r="E5415" s="2"/>
      <c r="F5415" s="2"/>
    </row>
    <row r="5416">
      <c r="A5416" s="2">
        <f>IFERROR(__xludf.DUMMYFUNCTION("""COMPUTED_VALUE"""),90624.0)</f>
        <v>90624</v>
      </c>
      <c r="B5416" s="2">
        <f>IFERROR(__xludf.DUMMYFUNCTION("""COMPUTED_VALUE"""),0.0)</f>
        <v>0</v>
      </c>
      <c r="C5416" s="2">
        <f>IFERROR(__xludf.DUMMYFUNCTION("""COMPUTED_VALUE"""),448.0)</f>
        <v>448</v>
      </c>
      <c r="D5416" s="3">
        <f>IFERROR(__xludf.DUMMYFUNCTION("""COMPUTED_VALUE"""),308.0)</f>
        <v>308</v>
      </c>
      <c r="E5416" s="2"/>
      <c r="F5416" s="2"/>
    </row>
    <row r="5417">
      <c r="A5417" s="2">
        <f>IFERROR(__xludf.DUMMYFUNCTION("""COMPUTED_VALUE"""),29100.0)</f>
        <v>29100</v>
      </c>
      <c r="B5417" s="2">
        <f>IFERROR(__xludf.DUMMYFUNCTION("""COMPUTED_VALUE"""),1.0)</f>
        <v>1</v>
      </c>
      <c r="C5417" s="2">
        <f>IFERROR(__xludf.DUMMYFUNCTION("""COMPUTED_VALUE"""),164.0)</f>
        <v>164</v>
      </c>
      <c r="D5417" s="3">
        <f>IFERROR(__xludf.DUMMYFUNCTION("""COMPUTED_VALUE"""),54.0)</f>
        <v>54</v>
      </c>
      <c r="E5417" s="2"/>
      <c r="F5417" s="2"/>
    </row>
    <row r="5418">
      <c r="A5418" s="2">
        <f>IFERROR(__xludf.DUMMYFUNCTION("""COMPUTED_VALUE"""),46330.0)</f>
        <v>46330</v>
      </c>
      <c r="B5418" s="2">
        <f>IFERROR(__xludf.DUMMYFUNCTION("""COMPUTED_VALUE"""),1.0)</f>
        <v>1</v>
      </c>
      <c r="C5418" s="2">
        <f>IFERROR(__xludf.DUMMYFUNCTION("""COMPUTED_VALUE"""),480.0)</f>
        <v>480</v>
      </c>
      <c r="D5418" s="3">
        <f>IFERROR(__xludf.DUMMYFUNCTION("""COMPUTED_VALUE"""),82.0)</f>
        <v>82</v>
      </c>
      <c r="E5418" s="2"/>
      <c r="F5418" s="2"/>
    </row>
    <row r="5419">
      <c r="A5419" s="2">
        <f>IFERROR(__xludf.DUMMYFUNCTION("""COMPUTED_VALUE"""),117659.0)</f>
        <v>117659</v>
      </c>
      <c r="B5419" s="2">
        <f>IFERROR(__xludf.DUMMYFUNCTION("""COMPUTED_VALUE"""),1.0)</f>
        <v>1</v>
      </c>
      <c r="C5419" s="2">
        <f>IFERROR(__xludf.DUMMYFUNCTION("""COMPUTED_VALUE"""),466.0)</f>
        <v>466</v>
      </c>
      <c r="D5419" s="3">
        <f>IFERROR(__xludf.DUMMYFUNCTION("""COMPUTED_VALUE"""),124.0)</f>
        <v>124</v>
      </c>
      <c r="E5419" s="2"/>
      <c r="F5419" s="2"/>
    </row>
    <row r="5420">
      <c r="A5420" s="2">
        <f>IFERROR(__xludf.DUMMYFUNCTION("""COMPUTED_VALUE"""),48149.0)</f>
        <v>48149</v>
      </c>
      <c r="B5420" s="2">
        <f>IFERROR(__xludf.DUMMYFUNCTION("""COMPUTED_VALUE"""),1.0)</f>
        <v>1</v>
      </c>
      <c r="C5420" s="2">
        <f>IFERROR(__xludf.DUMMYFUNCTION("""COMPUTED_VALUE"""),93.0)</f>
        <v>93</v>
      </c>
      <c r="D5420" s="3">
        <f>IFERROR(__xludf.DUMMYFUNCTION("""COMPUTED_VALUE"""),23.0)</f>
        <v>23</v>
      </c>
      <c r="E5420" s="2"/>
      <c r="F5420" s="2"/>
    </row>
    <row r="5421">
      <c r="A5421" s="2">
        <f>IFERROR(__xludf.DUMMYFUNCTION("""COMPUTED_VALUE"""),113739.0)</f>
        <v>113739</v>
      </c>
      <c r="B5421" s="2">
        <f>IFERROR(__xludf.DUMMYFUNCTION("""COMPUTED_VALUE"""),0.0)</f>
        <v>0</v>
      </c>
      <c r="C5421" s="2">
        <f>IFERROR(__xludf.DUMMYFUNCTION("""COMPUTED_VALUE"""),45.0)</f>
        <v>45</v>
      </c>
      <c r="D5421" s="3">
        <f>IFERROR(__xludf.DUMMYFUNCTION("""COMPUTED_VALUE"""),7.0)</f>
        <v>7</v>
      </c>
      <c r="E5421" s="2"/>
      <c r="F5421" s="2"/>
    </row>
    <row r="5422">
      <c r="A5422" s="2">
        <f>IFERROR(__xludf.DUMMYFUNCTION("""COMPUTED_VALUE"""),147316.0)</f>
        <v>147316</v>
      </c>
      <c r="B5422" s="2">
        <f>IFERROR(__xludf.DUMMYFUNCTION("""COMPUTED_VALUE"""),0.0)</f>
        <v>0</v>
      </c>
      <c r="C5422" s="2">
        <f>IFERROR(__xludf.DUMMYFUNCTION("""COMPUTED_VALUE"""),296.0)</f>
        <v>296</v>
      </c>
      <c r="D5422" s="3">
        <f>IFERROR(__xludf.DUMMYFUNCTION("""COMPUTED_VALUE"""),286.0)</f>
        <v>286</v>
      </c>
      <c r="E5422" s="2"/>
      <c r="F5422" s="2"/>
    </row>
    <row r="5423">
      <c r="A5423" s="2">
        <f>IFERROR(__xludf.DUMMYFUNCTION("""COMPUTED_VALUE"""),76297.0)</f>
        <v>76297</v>
      </c>
      <c r="B5423" s="2">
        <f>IFERROR(__xludf.DUMMYFUNCTION("""COMPUTED_VALUE"""),0.0)</f>
        <v>0</v>
      </c>
      <c r="C5423" s="2">
        <f>IFERROR(__xludf.DUMMYFUNCTION("""COMPUTED_VALUE"""),823.0)</f>
        <v>823</v>
      </c>
      <c r="D5423" s="3">
        <f>IFERROR(__xludf.DUMMYFUNCTION("""COMPUTED_VALUE"""),305.0)</f>
        <v>305</v>
      </c>
      <c r="E5423" s="2"/>
      <c r="F5423" s="2"/>
    </row>
    <row r="5424">
      <c r="A5424" s="2">
        <f>IFERROR(__xludf.DUMMYFUNCTION("""COMPUTED_VALUE"""),102698.0)</f>
        <v>102698</v>
      </c>
      <c r="B5424" s="2">
        <f>IFERROR(__xludf.DUMMYFUNCTION("""COMPUTED_VALUE"""),1.0)</f>
        <v>1</v>
      </c>
      <c r="C5424" s="2">
        <f>IFERROR(__xludf.DUMMYFUNCTION("""COMPUTED_VALUE"""),747.0)</f>
        <v>747</v>
      </c>
      <c r="D5424" s="3">
        <f>IFERROR(__xludf.DUMMYFUNCTION("""COMPUTED_VALUE"""),697.0)</f>
        <v>697</v>
      </c>
      <c r="E5424" s="2"/>
      <c r="F5424" s="2"/>
    </row>
    <row r="5425">
      <c r="A5425" s="2">
        <f>IFERROR(__xludf.DUMMYFUNCTION("""COMPUTED_VALUE"""),102699.0)</f>
        <v>102699</v>
      </c>
      <c r="B5425" s="2">
        <f>IFERROR(__xludf.DUMMYFUNCTION("""COMPUTED_VALUE"""),0.0)</f>
        <v>0</v>
      </c>
      <c r="C5425" s="2">
        <f>IFERROR(__xludf.DUMMYFUNCTION("""COMPUTED_VALUE"""),793.0)</f>
        <v>793</v>
      </c>
      <c r="D5425" s="3">
        <f>IFERROR(__xludf.DUMMYFUNCTION("""COMPUTED_VALUE"""),397.0)</f>
        <v>397</v>
      </c>
      <c r="E5425" s="2"/>
      <c r="F5425" s="2"/>
    </row>
    <row r="5426">
      <c r="A5426" s="2">
        <f>IFERROR(__xludf.DUMMYFUNCTION("""COMPUTED_VALUE"""),5556.0)</f>
        <v>5556</v>
      </c>
      <c r="B5426" s="2">
        <f>IFERROR(__xludf.DUMMYFUNCTION("""COMPUTED_VALUE"""),0.0)</f>
        <v>0</v>
      </c>
      <c r="C5426" s="2">
        <f>IFERROR(__xludf.DUMMYFUNCTION("""COMPUTED_VALUE"""),87.0)</f>
        <v>87</v>
      </c>
      <c r="D5426" s="3">
        <f>IFERROR(__xludf.DUMMYFUNCTION("""COMPUTED_VALUE"""),63.0)</f>
        <v>63</v>
      </c>
      <c r="E5426" s="2"/>
      <c r="F5426" s="2"/>
    </row>
    <row r="5427">
      <c r="A5427" s="2">
        <f>IFERROR(__xludf.DUMMYFUNCTION("""COMPUTED_VALUE"""),73629.0)</f>
        <v>73629</v>
      </c>
      <c r="B5427" s="2">
        <f>IFERROR(__xludf.DUMMYFUNCTION("""COMPUTED_VALUE"""),0.0)</f>
        <v>0</v>
      </c>
      <c r="C5427" s="2">
        <f>IFERROR(__xludf.DUMMYFUNCTION("""COMPUTED_VALUE"""),854.0)</f>
        <v>854</v>
      </c>
      <c r="D5427" s="3">
        <f>IFERROR(__xludf.DUMMYFUNCTION("""COMPUTED_VALUE"""),542.0)</f>
        <v>542</v>
      </c>
      <c r="E5427" s="2"/>
      <c r="F5427" s="2"/>
    </row>
    <row r="5428">
      <c r="A5428" s="2">
        <f>IFERROR(__xludf.DUMMYFUNCTION("""COMPUTED_VALUE"""),77253.0)</f>
        <v>77253</v>
      </c>
      <c r="B5428" s="2">
        <f>IFERROR(__xludf.DUMMYFUNCTION("""COMPUTED_VALUE"""),0.0)</f>
        <v>0</v>
      </c>
      <c r="C5428" s="2">
        <f>IFERROR(__xludf.DUMMYFUNCTION("""COMPUTED_VALUE"""),129.0)</f>
        <v>129</v>
      </c>
      <c r="D5428" s="3">
        <f>IFERROR(__xludf.DUMMYFUNCTION("""COMPUTED_VALUE"""),89.0)</f>
        <v>89</v>
      </c>
      <c r="E5428" s="2"/>
      <c r="F5428" s="2"/>
    </row>
    <row r="5429">
      <c r="A5429" s="2">
        <f>IFERROR(__xludf.DUMMYFUNCTION("""COMPUTED_VALUE"""),5552.0)</f>
        <v>5552</v>
      </c>
      <c r="B5429" s="2">
        <f>IFERROR(__xludf.DUMMYFUNCTION("""COMPUTED_VALUE"""),0.0)</f>
        <v>0</v>
      </c>
      <c r="C5429" s="2">
        <f>IFERROR(__xludf.DUMMYFUNCTION("""COMPUTED_VALUE"""),65.0)</f>
        <v>65</v>
      </c>
      <c r="D5429" s="3">
        <f>IFERROR(__xludf.DUMMYFUNCTION("""COMPUTED_VALUE"""),61.0)</f>
        <v>61</v>
      </c>
      <c r="E5429" s="2"/>
      <c r="F5429" s="2"/>
    </row>
    <row r="5430">
      <c r="A5430" s="2">
        <f>IFERROR(__xludf.DUMMYFUNCTION("""COMPUTED_VALUE"""),73805.0)</f>
        <v>73805</v>
      </c>
      <c r="B5430" s="2">
        <f>IFERROR(__xludf.DUMMYFUNCTION("""COMPUTED_VALUE"""),0.0)</f>
        <v>0</v>
      </c>
      <c r="C5430" s="2">
        <f>IFERROR(__xludf.DUMMYFUNCTION("""COMPUTED_VALUE"""),-4.0)</f>
        <v>-4</v>
      </c>
      <c r="D5430" s="3">
        <f>IFERROR(__xludf.DUMMYFUNCTION("""COMPUTED_VALUE"""),-2.0)</f>
        <v>-2</v>
      </c>
      <c r="E5430" s="2"/>
      <c r="F5430" s="2"/>
    </row>
    <row r="5431">
      <c r="A5431" s="2">
        <f>IFERROR(__xludf.DUMMYFUNCTION("""COMPUTED_VALUE"""),48403.0)</f>
        <v>48403</v>
      </c>
      <c r="B5431" s="2">
        <f>IFERROR(__xludf.DUMMYFUNCTION("""COMPUTED_VALUE"""),1.0)</f>
        <v>1</v>
      </c>
      <c r="C5431" s="2">
        <f>IFERROR(__xludf.DUMMYFUNCTION("""COMPUTED_VALUE"""),259.0)</f>
        <v>259</v>
      </c>
      <c r="D5431" s="3">
        <f>IFERROR(__xludf.DUMMYFUNCTION("""COMPUTED_VALUE"""),27.0)</f>
        <v>27</v>
      </c>
      <c r="E5431" s="2"/>
      <c r="F5431" s="2"/>
    </row>
    <row r="5432">
      <c r="A5432" s="2">
        <f>IFERROR(__xludf.DUMMYFUNCTION("""COMPUTED_VALUE"""),90626.0)</f>
        <v>90626</v>
      </c>
      <c r="B5432" s="2">
        <f>IFERROR(__xludf.DUMMYFUNCTION("""COMPUTED_VALUE"""),0.0)</f>
        <v>0</v>
      </c>
      <c r="C5432" s="2">
        <f>IFERROR(__xludf.DUMMYFUNCTION("""COMPUTED_VALUE"""),231.0)</f>
        <v>231</v>
      </c>
      <c r="D5432" s="3">
        <f>IFERROR(__xludf.DUMMYFUNCTION("""COMPUTED_VALUE"""),168.0)</f>
        <v>168</v>
      </c>
      <c r="E5432" s="2"/>
      <c r="F5432" s="2"/>
    </row>
    <row r="5433">
      <c r="A5433" s="2">
        <f>IFERROR(__xludf.DUMMYFUNCTION("""COMPUTED_VALUE"""),147324.0)</f>
        <v>147324</v>
      </c>
      <c r="B5433" s="2">
        <f>IFERROR(__xludf.DUMMYFUNCTION("""COMPUTED_VALUE"""),0.0)</f>
        <v>0</v>
      </c>
      <c r="C5433" s="2">
        <f>IFERROR(__xludf.DUMMYFUNCTION("""COMPUTED_VALUE"""),-1.0)</f>
        <v>-1</v>
      </c>
      <c r="D5433" s="3">
        <f>IFERROR(__xludf.DUMMYFUNCTION("""COMPUTED_VALUE"""),-1.0)</f>
        <v>-1</v>
      </c>
      <c r="E5433" s="2"/>
      <c r="F5433" s="2"/>
    </row>
    <row r="5434">
      <c r="A5434" s="2">
        <f>IFERROR(__xludf.DUMMYFUNCTION("""COMPUTED_VALUE"""),77411.0)</f>
        <v>77411</v>
      </c>
      <c r="B5434" s="2">
        <f>IFERROR(__xludf.DUMMYFUNCTION("""COMPUTED_VALUE"""),1.0)</f>
        <v>1</v>
      </c>
      <c r="C5434" s="2">
        <f>IFERROR(__xludf.DUMMYFUNCTION("""COMPUTED_VALUE"""),59.0)</f>
        <v>59</v>
      </c>
      <c r="D5434" s="3">
        <f>IFERROR(__xludf.DUMMYFUNCTION("""COMPUTED_VALUE"""),43.0)</f>
        <v>43</v>
      </c>
      <c r="E5434" s="2"/>
      <c r="F5434" s="2"/>
    </row>
    <row r="5435">
      <c r="A5435" s="2">
        <f>IFERROR(__xludf.DUMMYFUNCTION("""COMPUTED_VALUE"""),87085.0)</f>
        <v>87085</v>
      </c>
      <c r="B5435" s="2">
        <f>IFERROR(__xludf.DUMMYFUNCTION("""COMPUTED_VALUE"""),1.0)</f>
        <v>1</v>
      </c>
      <c r="C5435" s="2">
        <f>IFERROR(__xludf.DUMMYFUNCTION("""COMPUTED_VALUE"""),379.0)</f>
        <v>379</v>
      </c>
      <c r="D5435" s="3">
        <f>IFERROR(__xludf.DUMMYFUNCTION("""COMPUTED_VALUE"""),372.0)</f>
        <v>372</v>
      </c>
      <c r="E5435" s="2"/>
      <c r="F5435" s="2"/>
    </row>
    <row r="5436">
      <c r="A5436" s="2">
        <f>IFERROR(__xludf.DUMMYFUNCTION("""COMPUTED_VALUE"""),76212.0)</f>
        <v>76212</v>
      </c>
      <c r="B5436" s="2">
        <f>IFERROR(__xludf.DUMMYFUNCTION("""COMPUTED_VALUE"""),0.0)</f>
        <v>0</v>
      </c>
      <c r="C5436" s="2">
        <f>IFERROR(__xludf.DUMMYFUNCTION("""COMPUTED_VALUE"""),553.0)</f>
        <v>553</v>
      </c>
      <c r="D5436" s="3">
        <f>IFERROR(__xludf.DUMMYFUNCTION("""COMPUTED_VALUE"""),275.0)</f>
        <v>275</v>
      </c>
      <c r="E5436" s="2"/>
      <c r="F5436" s="2"/>
    </row>
    <row r="5437">
      <c r="A5437" s="2">
        <f>IFERROR(__xludf.DUMMYFUNCTION("""COMPUTED_VALUE"""),117655.0)</f>
        <v>117655</v>
      </c>
      <c r="B5437" s="2">
        <f>IFERROR(__xludf.DUMMYFUNCTION("""COMPUTED_VALUE"""),0.0)</f>
        <v>0</v>
      </c>
      <c r="C5437" s="2">
        <f>IFERROR(__xludf.DUMMYFUNCTION("""COMPUTED_VALUE"""),185.0)</f>
        <v>185</v>
      </c>
      <c r="D5437" s="3">
        <f>IFERROR(__xludf.DUMMYFUNCTION("""COMPUTED_VALUE"""),130.0)</f>
        <v>130</v>
      </c>
      <c r="E5437" s="2"/>
      <c r="F5437" s="2"/>
    </row>
    <row r="5438">
      <c r="A5438" s="2">
        <f>IFERROR(__xludf.DUMMYFUNCTION("""COMPUTED_VALUE"""),83596.0)</f>
        <v>83596</v>
      </c>
      <c r="B5438" s="2">
        <f>IFERROR(__xludf.DUMMYFUNCTION("""COMPUTED_VALUE"""),1.0)</f>
        <v>1</v>
      </c>
      <c r="C5438" s="2">
        <f>IFERROR(__xludf.DUMMYFUNCTION("""COMPUTED_VALUE"""),200.0)</f>
        <v>200</v>
      </c>
      <c r="D5438" s="3">
        <f>IFERROR(__xludf.DUMMYFUNCTION("""COMPUTED_VALUE"""),85.0)</f>
        <v>85</v>
      </c>
      <c r="E5438" s="2"/>
      <c r="F5438" s="2"/>
    </row>
    <row r="5439">
      <c r="A5439" s="2">
        <f>IFERROR(__xludf.DUMMYFUNCTION("""COMPUTED_VALUE"""),5561.0)</f>
        <v>5561</v>
      </c>
      <c r="B5439" s="2">
        <f>IFERROR(__xludf.DUMMYFUNCTION("""COMPUTED_VALUE"""),1.0)</f>
        <v>1</v>
      </c>
      <c r="C5439" s="2">
        <f>IFERROR(__xludf.DUMMYFUNCTION("""COMPUTED_VALUE"""),754.0)</f>
        <v>754</v>
      </c>
      <c r="D5439" s="3">
        <f>IFERROR(__xludf.DUMMYFUNCTION("""COMPUTED_VALUE"""),522.0)</f>
        <v>522</v>
      </c>
      <c r="E5439" s="2"/>
      <c r="F5439" s="2"/>
    </row>
    <row r="5440">
      <c r="A5440" s="2">
        <f>IFERROR(__xludf.DUMMYFUNCTION("""COMPUTED_VALUE"""),87304.0)</f>
        <v>87304</v>
      </c>
      <c r="B5440" s="2">
        <f>IFERROR(__xludf.DUMMYFUNCTION("""COMPUTED_VALUE"""),0.0)</f>
        <v>0</v>
      </c>
      <c r="C5440" s="2">
        <f>IFERROR(__xludf.DUMMYFUNCTION("""COMPUTED_VALUE"""),273.0)</f>
        <v>273</v>
      </c>
      <c r="D5440" s="3">
        <f>IFERROR(__xludf.DUMMYFUNCTION("""COMPUTED_VALUE"""),124.0)</f>
        <v>124</v>
      </c>
      <c r="E5440" s="2"/>
      <c r="F5440" s="2"/>
    </row>
    <row r="5441">
      <c r="A5441" s="2">
        <f>IFERROR(__xludf.DUMMYFUNCTION("""COMPUTED_VALUE"""),113735.0)</f>
        <v>113735</v>
      </c>
      <c r="B5441" s="2">
        <f>IFERROR(__xludf.DUMMYFUNCTION("""COMPUTED_VALUE"""),1.0)</f>
        <v>1</v>
      </c>
      <c r="C5441" s="2">
        <f>IFERROR(__xludf.DUMMYFUNCTION("""COMPUTED_VALUE"""),670.0)</f>
        <v>670</v>
      </c>
      <c r="D5441" s="3">
        <f>IFERROR(__xludf.DUMMYFUNCTION("""COMPUTED_VALUE"""),510.0)</f>
        <v>510</v>
      </c>
      <c r="E5441" s="2"/>
      <c r="F5441" s="2"/>
    </row>
    <row r="5442">
      <c r="A5442" s="2">
        <f>IFERROR(__xludf.DUMMYFUNCTION("""COMPUTED_VALUE"""),90661.0)</f>
        <v>90661</v>
      </c>
      <c r="B5442" s="2">
        <f>IFERROR(__xludf.DUMMYFUNCTION("""COMPUTED_VALUE"""),0.0)</f>
        <v>0</v>
      </c>
      <c r="C5442" s="2">
        <f>IFERROR(__xludf.DUMMYFUNCTION("""COMPUTED_VALUE"""),892.0)</f>
        <v>892</v>
      </c>
      <c r="D5442" s="3">
        <f>IFERROR(__xludf.DUMMYFUNCTION("""COMPUTED_VALUE"""),824.0)</f>
        <v>824</v>
      </c>
      <c r="E5442" s="2"/>
      <c r="F5442" s="2"/>
    </row>
    <row r="5443">
      <c r="A5443" s="2">
        <f>IFERROR(__xludf.DUMMYFUNCTION("""COMPUTED_VALUE"""),76281.0)</f>
        <v>76281</v>
      </c>
      <c r="B5443" s="2">
        <f>IFERROR(__xludf.DUMMYFUNCTION("""COMPUTED_VALUE"""),0.0)</f>
        <v>0</v>
      </c>
      <c r="C5443" s="2">
        <f>IFERROR(__xludf.DUMMYFUNCTION("""COMPUTED_VALUE"""),836.0)</f>
        <v>836</v>
      </c>
      <c r="D5443" s="3">
        <f>IFERROR(__xludf.DUMMYFUNCTION("""COMPUTED_VALUE"""),730.0)</f>
        <v>730</v>
      </c>
      <c r="E5443" s="2"/>
      <c r="F5443" s="2"/>
    </row>
    <row r="5444">
      <c r="A5444" s="2">
        <f>IFERROR(__xludf.DUMMYFUNCTION("""COMPUTED_VALUE"""),90622.0)</f>
        <v>90622</v>
      </c>
      <c r="B5444" s="2">
        <f>IFERROR(__xludf.DUMMYFUNCTION("""COMPUTED_VALUE"""),0.0)</f>
        <v>0</v>
      </c>
      <c r="C5444" s="2">
        <f>IFERROR(__xludf.DUMMYFUNCTION("""COMPUTED_VALUE"""),57.0)</f>
        <v>57</v>
      </c>
      <c r="D5444" s="3">
        <f>IFERROR(__xludf.DUMMYFUNCTION("""COMPUTED_VALUE"""),33.0)</f>
        <v>33</v>
      </c>
      <c r="E5444" s="2"/>
      <c r="F5444" s="2"/>
    </row>
    <row r="5445">
      <c r="A5445" s="2">
        <f>IFERROR(__xludf.DUMMYFUNCTION("""COMPUTED_VALUE"""),90637.0)</f>
        <v>90637</v>
      </c>
      <c r="B5445" s="2">
        <f>IFERROR(__xludf.DUMMYFUNCTION("""COMPUTED_VALUE"""),1.0)</f>
        <v>1</v>
      </c>
      <c r="C5445" s="2">
        <f>IFERROR(__xludf.DUMMYFUNCTION("""COMPUTED_VALUE"""),853.0)</f>
        <v>853</v>
      </c>
      <c r="D5445" s="3">
        <f>IFERROR(__xludf.DUMMYFUNCTION("""COMPUTED_VALUE"""),267.0)</f>
        <v>267</v>
      </c>
      <c r="E5445" s="2"/>
      <c r="F5445" s="2"/>
    </row>
    <row r="5446">
      <c r="A5446" s="2">
        <f>IFERROR(__xludf.DUMMYFUNCTION("""COMPUTED_VALUE"""),76208.0)</f>
        <v>76208</v>
      </c>
      <c r="B5446" s="2">
        <f>IFERROR(__xludf.DUMMYFUNCTION("""COMPUTED_VALUE"""),0.0)</f>
        <v>0</v>
      </c>
      <c r="C5446" s="2">
        <f>IFERROR(__xludf.DUMMYFUNCTION("""COMPUTED_VALUE"""),321.0)</f>
        <v>321</v>
      </c>
      <c r="D5446" s="3">
        <f>IFERROR(__xludf.DUMMYFUNCTION("""COMPUTED_VALUE"""),126.0)</f>
        <v>126</v>
      </c>
      <c r="E5446" s="2"/>
      <c r="F5446" s="2"/>
    </row>
    <row r="5447">
      <c r="A5447" s="2">
        <f>IFERROR(__xludf.DUMMYFUNCTION("""COMPUTED_VALUE"""),91355.0)</f>
        <v>91355</v>
      </c>
      <c r="B5447" s="2">
        <f>IFERROR(__xludf.DUMMYFUNCTION("""COMPUTED_VALUE"""),0.0)</f>
        <v>0</v>
      </c>
      <c r="C5447" s="2">
        <f>IFERROR(__xludf.DUMMYFUNCTION("""COMPUTED_VALUE"""),284.0)</f>
        <v>284</v>
      </c>
      <c r="D5447" s="3">
        <f>IFERROR(__xludf.DUMMYFUNCTION("""COMPUTED_VALUE"""),41.0)</f>
        <v>41</v>
      </c>
      <c r="E5447" s="2"/>
      <c r="F5447" s="2"/>
    </row>
    <row r="5448">
      <c r="A5448" s="2">
        <f>IFERROR(__xludf.DUMMYFUNCTION("""COMPUTED_VALUE"""),122068.0)</f>
        <v>122068</v>
      </c>
      <c r="B5448" s="2">
        <f>IFERROR(__xludf.DUMMYFUNCTION("""COMPUTED_VALUE"""),0.0)</f>
        <v>0</v>
      </c>
      <c r="C5448" s="2">
        <f>IFERROR(__xludf.DUMMYFUNCTION("""COMPUTED_VALUE"""),922.0)</f>
        <v>922</v>
      </c>
      <c r="D5448" s="3">
        <f>IFERROR(__xludf.DUMMYFUNCTION("""COMPUTED_VALUE"""),448.0)</f>
        <v>448</v>
      </c>
      <c r="E5448" s="2"/>
      <c r="F5448" s="2"/>
    </row>
    <row r="5449">
      <c r="A5449" s="2">
        <f>IFERROR(__xludf.DUMMYFUNCTION("""COMPUTED_VALUE"""),48404.0)</f>
        <v>48404</v>
      </c>
      <c r="B5449" s="2">
        <f>IFERROR(__xludf.DUMMYFUNCTION("""COMPUTED_VALUE"""),0.0)</f>
        <v>0</v>
      </c>
      <c r="C5449" s="2">
        <f>IFERROR(__xludf.DUMMYFUNCTION("""COMPUTED_VALUE"""),308.0)</f>
        <v>308</v>
      </c>
      <c r="D5449" s="3">
        <f>IFERROR(__xludf.DUMMYFUNCTION("""COMPUTED_VALUE"""),284.0)</f>
        <v>284</v>
      </c>
      <c r="E5449" s="2"/>
      <c r="F5449" s="2"/>
    </row>
    <row r="5450">
      <c r="A5450" s="2">
        <f>IFERROR(__xludf.DUMMYFUNCTION("""COMPUTED_VALUE"""),5553.0)</f>
        <v>5553</v>
      </c>
      <c r="B5450" s="2">
        <f>IFERROR(__xludf.DUMMYFUNCTION("""COMPUTED_VALUE"""),1.0)</f>
        <v>1</v>
      </c>
      <c r="C5450" s="2">
        <f>IFERROR(__xludf.DUMMYFUNCTION("""COMPUTED_VALUE"""),797.0)</f>
        <v>797</v>
      </c>
      <c r="D5450" s="3">
        <f>IFERROR(__xludf.DUMMYFUNCTION("""COMPUTED_VALUE"""),687.0)</f>
        <v>687</v>
      </c>
      <c r="E5450" s="2"/>
      <c r="F5450" s="2"/>
    </row>
    <row r="5451">
      <c r="A5451" s="2">
        <f>IFERROR(__xludf.DUMMYFUNCTION("""COMPUTED_VALUE"""),76282.0)</f>
        <v>76282</v>
      </c>
      <c r="B5451" s="2">
        <f>IFERROR(__xludf.DUMMYFUNCTION("""COMPUTED_VALUE"""),1.0)</f>
        <v>1</v>
      </c>
      <c r="C5451" s="2">
        <f>IFERROR(__xludf.DUMMYFUNCTION("""COMPUTED_VALUE"""),346.0)</f>
        <v>346</v>
      </c>
      <c r="D5451" s="3">
        <f>IFERROR(__xludf.DUMMYFUNCTION("""COMPUTED_VALUE"""),35.0)</f>
        <v>35</v>
      </c>
      <c r="E5451" s="2"/>
      <c r="F5451" s="2"/>
    </row>
    <row r="5452">
      <c r="A5452" s="2">
        <f>IFERROR(__xludf.DUMMYFUNCTION("""COMPUTED_VALUE"""),5554.0)</f>
        <v>5554</v>
      </c>
      <c r="B5452" s="2">
        <f>IFERROR(__xludf.DUMMYFUNCTION("""COMPUTED_VALUE"""),1.0)</f>
        <v>1</v>
      </c>
      <c r="C5452" s="2">
        <f>IFERROR(__xludf.DUMMYFUNCTION("""COMPUTED_VALUE"""),351.0)</f>
        <v>351</v>
      </c>
      <c r="D5452" s="3">
        <f>IFERROR(__xludf.DUMMYFUNCTION("""COMPUTED_VALUE"""),48.0)</f>
        <v>48</v>
      </c>
      <c r="E5452" s="2"/>
      <c r="F5452" s="2"/>
    </row>
    <row r="5453">
      <c r="A5453" s="2">
        <f>IFERROR(__xludf.DUMMYFUNCTION("""COMPUTED_VALUE"""),77408.0)</f>
        <v>77408</v>
      </c>
      <c r="B5453" s="2">
        <f>IFERROR(__xludf.DUMMYFUNCTION("""COMPUTED_VALUE"""),0.0)</f>
        <v>0</v>
      </c>
      <c r="C5453" s="2">
        <f>IFERROR(__xludf.DUMMYFUNCTION("""COMPUTED_VALUE"""),852.0)</f>
        <v>852</v>
      </c>
      <c r="D5453" s="3">
        <f>IFERROR(__xludf.DUMMYFUNCTION("""COMPUTED_VALUE"""),253.0)</f>
        <v>253</v>
      </c>
      <c r="E5453" s="2"/>
      <c r="F5453" s="2"/>
    </row>
    <row r="5454">
      <c r="A5454" s="2">
        <f>IFERROR(__xludf.DUMMYFUNCTION("""COMPUTED_VALUE"""),147312.0)</f>
        <v>147312</v>
      </c>
      <c r="B5454" s="2">
        <f>IFERROR(__xludf.DUMMYFUNCTION("""COMPUTED_VALUE"""),0.0)</f>
        <v>0</v>
      </c>
      <c r="C5454" s="2">
        <f>IFERROR(__xludf.DUMMYFUNCTION("""COMPUTED_VALUE"""),423.0)</f>
        <v>423</v>
      </c>
      <c r="D5454" s="3">
        <f>IFERROR(__xludf.DUMMYFUNCTION("""COMPUTED_VALUE"""),78.0)</f>
        <v>78</v>
      </c>
      <c r="E5454" s="2"/>
      <c r="F5454" s="2"/>
    </row>
    <row r="5455">
      <c r="A5455" s="2">
        <f>IFERROR(__xludf.DUMMYFUNCTION("""COMPUTED_VALUE"""),113741.0)</f>
        <v>113741</v>
      </c>
      <c r="B5455" s="2">
        <f>IFERROR(__xludf.DUMMYFUNCTION("""COMPUTED_VALUE"""),1.0)</f>
        <v>1</v>
      </c>
      <c r="C5455" s="2">
        <f>IFERROR(__xludf.DUMMYFUNCTION("""COMPUTED_VALUE"""),255.0)</f>
        <v>255</v>
      </c>
      <c r="D5455" s="3">
        <f>IFERROR(__xludf.DUMMYFUNCTION("""COMPUTED_VALUE"""),55.0)</f>
        <v>55</v>
      </c>
      <c r="E5455" s="2"/>
      <c r="F5455" s="2"/>
    </row>
    <row r="5456">
      <c r="A5456" s="2">
        <f>IFERROR(__xludf.DUMMYFUNCTION("""COMPUTED_VALUE"""),76290.0)</f>
        <v>76290</v>
      </c>
      <c r="B5456" s="2">
        <f>IFERROR(__xludf.DUMMYFUNCTION("""COMPUTED_VALUE"""),1.0)</f>
        <v>1</v>
      </c>
      <c r="C5456" s="2">
        <f>IFERROR(__xludf.DUMMYFUNCTION("""COMPUTED_VALUE"""),761.0)</f>
        <v>761</v>
      </c>
      <c r="D5456" s="3">
        <f>IFERROR(__xludf.DUMMYFUNCTION("""COMPUTED_VALUE"""),293.0)</f>
        <v>293</v>
      </c>
      <c r="E5456" s="2"/>
      <c r="F5456" s="2"/>
    </row>
    <row r="5457">
      <c r="A5457" s="2">
        <f>IFERROR(__xludf.DUMMYFUNCTION("""COMPUTED_VALUE"""),5559.0)</f>
        <v>5559</v>
      </c>
      <c r="B5457" s="2">
        <f>IFERROR(__xludf.DUMMYFUNCTION("""COMPUTED_VALUE"""),1.0)</f>
        <v>1</v>
      </c>
      <c r="C5457" s="2">
        <f>IFERROR(__xludf.DUMMYFUNCTION("""COMPUTED_VALUE"""),178.0)</f>
        <v>178</v>
      </c>
      <c r="D5457" s="3">
        <f>IFERROR(__xludf.DUMMYFUNCTION("""COMPUTED_VALUE"""),171.0)</f>
        <v>171</v>
      </c>
      <c r="E5457" s="2"/>
      <c r="F5457" s="2"/>
    </row>
    <row r="5458">
      <c r="A5458" s="2">
        <f>IFERROR(__xludf.DUMMYFUNCTION("""COMPUTED_VALUE"""),68351.0)</f>
        <v>68351</v>
      </c>
      <c r="B5458" s="2">
        <f>IFERROR(__xludf.DUMMYFUNCTION("""COMPUTED_VALUE"""),0.0)</f>
        <v>0</v>
      </c>
      <c r="C5458" s="2">
        <f>IFERROR(__xludf.DUMMYFUNCTION("""COMPUTED_VALUE"""),712.0)</f>
        <v>712</v>
      </c>
      <c r="D5458" s="3">
        <f>IFERROR(__xludf.DUMMYFUNCTION("""COMPUTED_VALUE"""),440.0)</f>
        <v>440</v>
      </c>
      <c r="E5458" s="2"/>
      <c r="F5458" s="2"/>
    </row>
    <row r="5459">
      <c r="A5459" s="2">
        <f>IFERROR(__xludf.DUMMYFUNCTION("""COMPUTED_VALUE"""),113736.0)</f>
        <v>113736</v>
      </c>
      <c r="B5459" s="2">
        <f>IFERROR(__xludf.DUMMYFUNCTION("""COMPUTED_VALUE"""),0.0)</f>
        <v>0</v>
      </c>
      <c r="C5459" s="2">
        <f>IFERROR(__xludf.DUMMYFUNCTION("""COMPUTED_VALUE"""),588.0)</f>
        <v>588</v>
      </c>
      <c r="D5459" s="3">
        <f>IFERROR(__xludf.DUMMYFUNCTION("""COMPUTED_VALUE"""),546.0)</f>
        <v>546</v>
      </c>
      <c r="E5459" s="2"/>
      <c r="F5459" s="2"/>
    </row>
    <row r="5460">
      <c r="A5460" s="2">
        <f>IFERROR(__xludf.DUMMYFUNCTION("""COMPUTED_VALUE"""),113738.0)</f>
        <v>113738</v>
      </c>
      <c r="B5460" s="2">
        <f>IFERROR(__xludf.DUMMYFUNCTION("""COMPUTED_VALUE"""),1.0)</f>
        <v>1</v>
      </c>
      <c r="C5460" s="2">
        <f>IFERROR(__xludf.DUMMYFUNCTION("""COMPUTED_VALUE"""),445.0)</f>
        <v>445</v>
      </c>
      <c r="D5460" s="3">
        <f>IFERROR(__xludf.DUMMYFUNCTION("""COMPUTED_VALUE"""),349.0)</f>
        <v>349</v>
      </c>
      <c r="E5460" s="2"/>
      <c r="F5460" s="2"/>
    </row>
    <row r="5461">
      <c r="A5461" s="2">
        <f>IFERROR(__xludf.DUMMYFUNCTION("""COMPUTED_VALUE"""),113737.0)</f>
        <v>113737</v>
      </c>
      <c r="B5461" s="2">
        <f>IFERROR(__xludf.DUMMYFUNCTION("""COMPUTED_VALUE"""),1.0)</f>
        <v>1</v>
      </c>
      <c r="C5461" s="2">
        <f>IFERROR(__xludf.DUMMYFUNCTION("""COMPUTED_VALUE"""),447.0)</f>
        <v>447</v>
      </c>
      <c r="D5461" s="3">
        <f>IFERROR(__xludf.DUMMYFUNCTION("""COMPUTED_VALUE"""),18.0)</f>
        <v>18</v>
      </c>
      <c r="E5461" s="2"/>
      <c r="F5461" s="2"/>
    </row>
    <row r="5462">
      <c r="A5462" s="2">
        <f>IFERROR(__xludf.DUMMYFUNCTION("""COMPUTED_VALUE"""),73767.0)</f>
        <v>73767</v>
      </c>
      <c r="B5462" s="2">
        <f>IFERROR(__xludf.DUMMYFUNCTION("""COMPUTED_VALUE"""),1.0)</f>
        <v>1</v>
      </c>
      <c r="C5462" s="2">
        <f>IFERROR(__xludf.DUMMYFUNCTION("""COMPUTED_VALUE"""),166.0)</f>
        <v>166</v>
      </c>
      <c r="D5462" s="3">
        <f>IFERROR(__xludf.DUMMYFUNCTION("""COMPUTED_VALUE"""),78.0)</f>
        <v>78</v>
      </c>
      <c r="E5462" s="2"/>
      <c r="F5462" s="2"/>
    </row>
    <row r="5463">
      <c r="A5463" s="2">
        <f>IFERROR(__xludf.DUMMYFUNCTION("""COMPUTED_VALUE"""),89559.0)</f>
        <v>89559</v>
      </c>
      <c r="B5463" s="2">
        <f>IFERROR(__xludf.DUMMYFUNCTION("""COMPUTED_VALUE"""),0.0)</f>
        <v>0</v>
      </c>
      <c r="C5463" s="2">
        <f>IFERROR(__xludf.DUMMYFUNCTION("""COMPUTED_VALUE"""),689.0)</f>
        <v>689</v>
      </c>
      <c r="D5463" s="3">
        <f>IFERROR(__xludf.DUMMYFUNCTION("""COMPUTED_VALUE"""),666.0)</f>
        <v>666</v>
      </c>
      <c r="E5463" s="2"/>
      <c r="F5463" s="2"/>
    </row>
    <row r="5464">
      <c r="A5464" s="2">
        <f>IFERROR(__xludf.DUMMYFUNCTION("""COMPUTED_VALUE"""),102720.0)</f>
        <v>102720</v>
      </c>
      <c r="B5464" s="2">
        <f>IFERROR(__xludf.DUMMYFUNCTION("""COMPUTED_VALUE"""),0.0)</f>
        <v>0</v>
      </c>
      <c r="C5464" s="2">
        <f>IFERROR(__xludf.DUMMYFUNCTION("""COMPUTED_VALUE"""),934.0)</f>
        <v>934</v>
      </c>
      <c r="D5464" s="3">
        <f>IFERROR(__xludf.DUMMYFUNCTION("""COMPUTED_VALUE"""),165.0)</f>
        <v>165</v>
      </c>
      <c r="E5464" s="2"/>
      <c r="F5464" s="2"/>
    </row>
    <row r="5465">
      <c r="A5465" s="2">
        <f>IFERROR(__xludf.DUMMYFUNCTION("""COMPUTED_VALUE"""),114668.0)</f>
        <v>114668</v>
      </c>
      <c r="B5465" s="2">
        <f>IFERROR(__xludf.DUMMYFUNCTION("""COMPUTED_VALUE"""),1.0)</f>
        <v>1</v>
      </c>
      <c r="C5465" s="2">
        <f>IFERROR(__xludf.DUMMYFUNCTION("""COMPUTED_VALUE"""),482.0)</f>
        <v>482</v>
      </c>
      <c r="D5465" s="3">
        <f>IFERROR(__xludf.DUMMYFUNCTION("""COMPUTED_VALUE"""),73.0)</f>
        <v>73</v>
      </c>
      <c r="E5465" s="2"/>
      <c r="F5465" s="2"/>
    </row>
    <row r="5466">
      <c r="A5466" s="2">
        <f>IFERROR(__xludf.DUMMYFUNCTION("""COMPUTED_VALUE"""),159208.0)</f>
        <v>159208</v>
      </c>
      <c r="B5466" s="2">
        <f>IFERROR(__xludf.DUMMYFUNCTION("""COMPUTED_VALUE"""),1.0)</f>
        <v>1</v>
      </c>
      <c r="C5466" s="2">
        <f>IFERROR(__xludf.DUMMYFUNCTION("""COMPUTED_VALUE"""),486.0)</f>
        <v>486</v>
      </c>
      <c r="D5466" s="3">
        <f>IFERROR(__xludf.DUMMYFUNCTION("""COMPUTED_VALUE"""),63.0)</f>
        <v>63</v>
      </c>
      <c r="E5466" s="2"/>
      <c r="F5466" s="2"/>
    </row>
    <row r="5467">
      <c r="A5467" s="2">
        <f>IFERROR(__xludf.DUMMYFUNCTION("""COMPUTED_VALUE"""),108476.0)</f>
        <v>108476</v>
      </c>
      <c r="B5467" s="2">
        <f>IFERROR(__xludf.DUMMYFUNCTION("""COMPUTED_VALUE"""),0.0)</f>
        <v>0</v>
      </c>
      <c r="C5467" s="2">
        <f>IFERROR(__xludf.DUMMYFUNCTION("""COMPUTED_VALUE"""),779.0)</f>
        <v>779</v>
      </c>
      <c r="D5467" s="3">
        <f>IFERROR(__xludf.DUMMYFUNCTION("""COMPUTED_VALUE"""),674.0)</f>
        <v>674</v>
      </c>
      <c r="E5467" s="2"/>
      <c r="F5467" s="2"/>
    </row>
    <row r="5468">
      <c r="A5468" s="2">
        <f>IFERROR(__xludf.DUMMYFUNCTION("""COMPUTED_VALUE"""),76603.0)</f>
        <v>76603</v>
      </c>
      <c r="B5468" s="2">
        <f>IFERROR(__xludf.DUMMYFUNCTION("""COMPUTED_VALUE"""),1.0)</f>
        <v>1</v>
      </c>
      <c r="C5468" s="2">
        <f>IFERROR(__xludf.DUMMYFUNCTION("""COMPUTED_VALUE"""),860.0)</f>
        <v>860</v>
      </c>
      <c r="D5468" s="3">
        <f>IFERROR(__xludf.DUMMYFUNCTION("""COMPUTED_VALUE"""),349.0)</f>
        <v>349</v>
      </c>
      <c r="E5468" s="2"/>
      <c r="F5468" s="2"/>
    </row>
    <row r="5469">
      <c r="A5469" s="2">
        <f>IFERROR(__xludf.DUMMYFUNCTION("""COMPUTED_VALUE"""),117672.0)</f>
        <v>117672</v>
      </c>
      <c r="B5469" s="2">
        <f>IFERROR(__xludf.DUMMYFUNCTION("""COMPUTED_VALUE"""),1.0)</f>
        <v>1</v>
      </c>
      <c r="C5469" s="2">
        <f>IFERROR(__xludf.DUMMYFUNCTION("""COMPUTED_VALUE"""),590.0)</f>
        <v>590</v>
      </c>
      <c r="D5469" s="3">
        <f>IFERROR(__xludf.DUMMYFUNCTION("""COMPUTED_VALUE"""),58.0)</f>
        <v>58</v>
      </c>
      <c r="E5469" s="2"/>
      <c r="F5469" s="2"/>
    </row>
    <row r="5470">
      <c r="A5470" s="2">
        <f>IFERROR(__xludf.DUMMYFUNCTION("""COMPUTED_VALUE"""),73968.0)</f>
        <v>73968</v>
      </c>
      <c r="B5470" s="2">
        <f>IFERROR(__xludf.DUMMYFUNCTION("""COMPUTED_VALUE"""),0.0)</f>
        <v>0</v>
      </c>
      <c r="C5470" s="2">
        <f>IFERROR(__xludf.DUMMYFUNCTION("""COMPUTED_VALUE"""),471.0)</f>
        <v>471</v>
      </c>
      <c r="D5470" s="3">
        <f>IFERROR(__xludf.DUMMYFUNCTION("""COMPUTED_VALUE"""),298.0)</f>
        <v>298</v>
      </c>
      <c r="E5470" s="2"/>
      <c r="F5470" s="2"/>
    </row>
    <row r="5471">
      <c r="A5471" s="2">
        <f>IFERROR(__xludf.DUMMYFUNCTION("""COMPUTED_VALUE"""),73967.0)</f>
        <v>73967</v>
      </c>
      <c r="B5471" s="2">
        <f>IFERROR(__xludf.DUMMYFUNCTION("""COMPUTED_VALUE"""),0.0)</f>
        <v>0</v>
      </c>
      <c r="C5471" s="2">
        <f>IFERROR(__xludf.DUMMYFUNCTION("""COMPUTED_VALUE"""),167.0)</f>
        <v>167</v>
      </c>
      <c r="D5471" s="3">
        <f>IFERROR(__xludf.DUMMYFUNCTION("""COMPUTED_VALUE"""),95.0)</f>
        <v>95</v>
      </c>
      <c r="E5471" s="2"/>
      <c r="F5471" s="2"/>
    </row>
    <row r="5472">
      <c r="A5472" s="2">
        <f>IFERROR(__xludf.DUMMYFUNCTION("""COMPUTED_VALUE"""),159209.0)</f>
        <v>159209</v>
      </c>
      <c r="B5472" s="2">
        <f>IFERROR(__xludf.DUMMYFUNCTION("""COMPUTED_VALUE"""),0.0)</f>
        <v>0</v>
      </c>
      <c r="C5472" s="2">
        <f>IFERROR(__xludf.DUMMYFUNCTION("""COMPUTED_VALUE"""),123.0)</f>
        <v>123</v>
      </c>
      <c r="D5472" s="3">
        <f>IFERROR(__xludf.DUMMYFUNCTION("""COMPUTED_VALUE"""),62.0)</f>
        <v>62</v>
      </c>
      <c r="E5472" s="2"/>
      <c r="F5472" s="2"/>
    </row>
    <row r="5473">
      <c r="A5473" s="2">
        <f>IFERROR(__xludf.DUMMYFUNCTION("""COMPUTED_VALUE"""),90675.0)</f>
        <v>90675</v>
      </c>
      <c r="B5473" s="2">
        <f>IFERROR(__xludf.DUMMYFUNCTION("""COMPUTED_VALUE"""),1.0)</f>
        <v>1</v>
      </c>
      <c r="C5473" s="2">
        <f>IFERROR(__xludf.DUMMYFUNCTION("""COMPUTED_VALUE"""),917.0)</f>
        <v>917</v>
      </c>
      <c r="D5473" s="3">
        <f>IFERROR(__xludf.DUMMYFUNCTION("""COMPUTED_VALUE"""),547.0)</f>
        <v>547</v>
      </c>
      <c r="E5473" s="2"/>
      <c r="F5473" s="2"/>
    </row>
    <row r="5474">
      <c r="A5474" s="2">
        <f>IFERROR(__xludf.DUMMYFUNCTION("""COMPUTED_VALUE"""),117671.0)</f>
        <v>117671</v>
      </c>
      <c r="B5474" s="2">
        <f>IFERROR(__xludf.DUMMYFUNCTION("""COMPUTED_VALUE"""),1.0)</f>
        <v>1</v>
      </c>
      <c r="C5474" s="2">
        <f>IFERROR(__xludf.DUMMYFUNCTION("""COMPUTED_VALUE"""),623.0)</f>
        <v>623</v>
      </c>
      <c r="D5474" s="3">
        <f>IFERROR(__xludf.DUMMYFUNCTION("""COMPUTED_VALUE"""),311.0)</f>
        <v>311</v>
      </c>
      <c r="E5474" s="2"/>
      <c r="F5474" s="2"/>
    </row>
    <row r="5475">
      <c r="A5475" s="2">
        <f>IFERROR(__xludf.DUMMYFUNCTION("""COMPUTED_VALUE"""),100015.0)</f>
        <v>100015</v>
      </c>
      <c r="B5475" s="2">
        <f>IFERROR(__xludf.DUMMYFUNCTION("""COMPUTED_VALUE"""),1.0)</f>
        <v>1</v>
      </c>
      <c r="C5475" s="2">
        <f>IFERROR(__xludf.DUMMYFUNCTION("""COMPUTED_VALUE"""),366.0)</f>
        <v>366</v>
      </c>
      <c r="D5475" s="3">
        <f>IFERROR(__xludf.DUMMYFUNCTION("""COMPUTED_VALUE"""),128.0)</f>
        <v>128</v>
      </c>
      <c r="E5475" s="2"/>
      <c r="F5475" s="2"/>
    </row>
    <row r="5476">
      <c r="A5476" s="2">
        <f>IFERROR(__xludf.DUMMYFUNCTION("""COMPUTED_VALUE"""),90680.0)</f>
        <v>90680</v>
      </c>
      <c r="B5476" s="2">
        <f>IFERROR(__xludf.DUMMYFUNCTION("""COMPUTED_VALUE"""),1.0)</f>
        <v>1</v>
      </c>
      <c r="C5476" s="2">
        <f>IFERROR(__xludf.DUMMYFUNCTION("""COMPUTED_VALUE"""),806.0)</f>
        <v>806</v>
      </c>
      <c r="D5476" s="3">
        <f>IFERROR(__xludf.DUMMYFUNCTION("""COMPUTED_VALUE"""),307.0)</f>
        <v>307</v>
      </c>
      <c r="E5476" s="2"/>
      <c r="F5476" s="2"/>
    </row>
    <row r="5477">
      <c r="A5477" s="2">
        <f>IFERROR(__xludf.DUMMYFUNCTION("""COMPUTED_VALUE"""),88351.0)</f>
        <v>88351</v>
      </c>
      <c r="B5477" s="2">
        <f>IFERROR(__xludf.DUMMYFUNCTION("""COMPUTED_VALUE"""),1.0)</f>
        <v>1</v>
      </c>
      <c r="C5477" s="2">
        <f>IFERROR(__xludf.DUMMYFUNCTION("""COMPUTED_VALUE"""),285.0)</f>
        <v>285</v>
      </c>
      <c r="D5477" s="3">
        <f>IFERROR(__xludf.DUMMYFUNCTION("""COMPUTED_VALUE"""),120.0)</f>
        <v>120</v>
      </c>
      <c r="E5477" s="2"/>
      <c r="F5477" s="2"/>
    </row>
    <row r="5478">
      <c r="A5478" s="2">
        <f>IFERROR(__xludf.DUMMYFUNCTION("""COMPUTED_VALUE"""),108475.0)</f>
        <v>108475</v>
      </c>
      <c r="B5478" s="2">
        <f>IFERROR(__xludf.DUMMYFUNCTION("""COMPUTED_VALUE"""),1.0)</f>
        <v>1</v>
      </c>
      <c r="C5478" s="2">
        <f>IFERROR(__xludf.DUMMYFUNCTION("""COMPUTED_VALUE"""),341.0)</f>
        <v>341</v>
      </c>
      <c r="D5478" s="3">
        <f>IFERROR(__xludf.DUMMYFUNCTION("""COMPUTED_VALUE"""),122.0)</f>
        <v>122</v>
      </c>
      <c r="E5478" s="2"/>
      <c r="F5478" s="2"/>
    </row>
    <row r="5479">
      <c r="A5479" s="2">
        <f>IFERROR(__xludf.DUMMYFUNCTION("""COMPUTED_VALUE"""),90676.0)</f>
        <v>90676</v>
      </c>
      <c r="B5479" s="2">
        <f>IFERROR(__xludf.DUMMYFUNCTION("""COMPUTED_VALUE"""),1.0)</f>
        <v>1</v>
      </c>
      <c r="C5479" s="2">
        <f>IFERROR(__xludf.DUMMYFUNCTION("""COMPUTED_VALUE"""),-4.0)</f>
        <v>-4</v>
      </c>
      <c r="D5479" s="3">
        <f>IFERROR(__xludf.DUMMYFUNCTION("""COMPUTED_VALUE"""),-2.0)</f>
        <v>-2</v>
      </c>
      <c r="E5479" s="2"/>
      <c r="F5479" s="2"/>
    </row>
    <row r="5480">
      <c r="A5480" s="2">
        <f>IFERROR(__xludf.DUMMYFUNCTION("""COMPUTED_VALUE"""),43118.0)</f>
        <v>43118</v>
      </c>
      <c r="B5480" s="2">
        <f>IFERROR(__xludf.DUMMYFUNCTION("""COMPUTED_VALUE"""),0.0)</f>
        <v>0</v>
      </c>
      <c r="C5480" s="2">
        <f>IFERROR(__xludf.DUMMYFUNCTION("""COMPUTED_VALUE"""),986.0)</f>
        <v>986</v>
      </c>
      <c r="D5480" s="3">
        <f>IFERROR(__xludf.DUMMYFUNCTION("""COMPUTED_VALUE"""),742.0)</f>
        <v>742</v>
      </c>
      <c r="E5480" s="2"/>
      <c r="F5480" s="2"/>
    </row>
    <row r="5481">
      <c r="A5481" s="2">
        <f>IFERROR(__xludf.DUMMYFUNCTION("""COMPUTED_VALUE"""),112472.0)</f>
        <v>112472</v>
      </c>
      <c r="B5481" s="2">
        <f>IFERROR(__xludf.DUMMYFUNCTION("""COMPUTED_VALUE"""),0.0)</f>
        <v>0</v>
      </c>
      <c r="C5481" s="2">
        <f>IFERROR(__xludf.DUMMYFUNCTION("""COMPUTED_VALUE"""),637.0)</f>
        <v>637</v>
      </c>
      <c r="D5481" s="3">
        <f>IFERROR(__xludf.DUMMYFUNCTION("""COMPUTED_VALUE"""),119.0)</f>
        <v>119</v>
      </c>
      <c r="E5481" s="2"/>
      <c r="F5481" s="2"/>
    </row>
    <row r="5482">
      <c r="A5482" s="2">
        <f>IFERROR(__xludf.DUMMYFUNCTION("""COMPUTED_VALUE"""),108083.0)</f>
        <v>108083</v>
      </c>
      <c r="B5482" s="2">
        <f>IFERROR(__xludf.DUMMYFUNCTION("""COMPUTED_VALUE"""),0.0)</f>
        <v>0</v>
      </c>
      <c r="C5482" s="2">
        <f>IFERROR(__xludf.DUMMYFUNCTION("""COMPUTED_VALUE"""),840.0)</f>
        <v>840</v>
      </c>
      <c r="D5482" s="3">
        <f>IFERROR(__xludf.DUMMYFUNCTION("""COMPUTED_VALUE"""),151.0)</f>
        <v>151</v>
      </c>
      <c r="E5482" s="2"/>
      <c r="F5482" s="2"/>
    </row>
    <row r="5483">
      <c r="A5483" s="2">
        <f>IFERROR(__xludf.DUMMYFUNCTION("""COMPUTED_VALUE"""),133907.0)</f>
        <v>133907</v>
      </c>
      <c r="B5483" s="2">
        <f>IFERROR(__xludf.DUMMYFUNCTION("""COMPUTED_VALUE"""),1.0)</f>
        <v>1</v>
      </c>
      <c r="C5483" s="2">
        <f>IFERROR(__xludf.DUMMYFUNCTION("""COMPUTED_VALUE"""),864.0)</f>
        <v>864</v>
      </c>
      <c r="D5483" s="3">
        <f>IFERROR(__xludf.DUMMYFUNCTION("""COMPUTED_VALUE"""),843.0)</f>
        <v>843</v>
      </c>
      <c r="E5483" s="2"/>
      <c r="F5483" s="2"/>
    </row>
    <row r="5484">
      <c r="A5484" s="2">
        <f>IFERROR(__xludf.DUMMYFUNCTION("""COMPUTED_VALUE"""),45176.0)</f>
        <v>45176</v>
      </c>
      <c r="B5484" s="2">
        <f>IFERROR(__xludf.DUMMYFUNCTION("""COMPUTED_VALUE"""),1.0)</f>
        <v>1</v>
      </c>
      <c r="C5484" s="2">
        <f>IFERROR(__xludf.DUMMYFUNCTION("""COMPUTED_VALUE"""),793.0)</f>
        <v>793</v>
      </c>
      <c r="D5484" s="3">
        <f>IFERROR(__xludf.DUMMYFUNCTION("""COMPUTED_VALUE"""),523.0)</f>
        <v>523</v>
      </c>
      <c r="E5484" s="2"/>
      <c r="F5484" s="2"/>
    </row>
    <row r="5485">
      <c r="A5485" s="2">
        <f>IFERROR(__xludf.DUMMYFUNCTION("""COMPUTED_VALUE"""),5480.0)</f>
        <v>5480</v>
      </c>
      <c r="B5485" s="2">
        <f>IFERROR(__xludf.DUMMYFUNCTION("""COMPUTED_VALUE"""),1.0)</f>
        <v>1</v>
      </c>
      <c r="C5485" s="2">
        <f>IFERROR(__xludf.DUMMYFUNCTION("""COMPUTED_VALUE"""),833.0)</f>
        <v>833</v>
      </c>
      <c r="D5485" s="3">
        <f>IFERROR(__xludf.DUMMYFUNCTION("""COMPUTED_VALUE"""),331.0)</f>
        <v>331</v>
      </c>
      <c r="E5485" s="2"/>
      <c r="F5485" s="2"/>
    </row>
    <row r="5486">
      <c r="A5486" s="2">
        <f>IFERROR(__xludf.DUMMYFUNCTION("""COMPUTED_VALUE"""),119086.0)</f>
        <v>119086</v>
      </c>
      <c r="B5486" s="2">
        <f>IFERROR(__xludf.DUMMYFUNCTION("""COMPUTED_VALUE"""),1.0)</f>
        <v>1</v>
      </c>
      <c r="C5486" s="2">
        <f>IFERROR(__xludf.DUMMYFUNCTION("""COMPUTED_VALUE"""),315.0)</f>
        <v>315</v>
      </c>
      <c r="D5486" s="3">
        <f>IFERROR(__xludf.DUMMYFUNCTION("""COMPUTED_VALUE"""),154.0)</f>
        <v>154</v>
      </c>
      <c r="E5486" s="2"/>
      <c r="F5486" s="2"/>
    </row>
    <row r="5487">
      <c r="A5487" s="2">
        <f>IFERROR(__xludf.DUMMYFUNCTION("""COMPUTED_VALUE"""),108084.0)</f>
        <v>108084</v>
      </c>
      <c r="B5487" s="2">
        <f>IFERROR(__xludf.DUMMYFUNCTION("""COMPUTED_VALUE"""),1.0)</f>
        <v>1</v>
      </c>
      <c r="C5487" s="2">
        <f>IFERROR(__xludf.DUMMYFUNCTION("""COMPUTED_VALUE"""),810.0)</f>
        <v>810</v>
      </c>
      <c r="D5487" s="3">
        <f>IFERROR(__xludf.DUMMYFUNCTION("""COMPUTED_VALUE"""),283.0)</f>
        <v>283</v>
      </c>
      <c r="E5487" s="2"/>
      <c r="F5487" s="2"/>
    </row>
    <row r="5488">
      <c r="A5488" s="2">
        <f>IFERROR(__xludf.DUMMYFUNCTION("""COMPUTED_VALUE"""),45192.0)</f>
        <v>45192</v>
      </c>
      <c r="B5488" s="2">
        <f>IFERROR(__xludf.DUMMYFUNCTION("""COMPUTED_VALUE"""),1.0)</f>
        <v>1</v>
      </c>
      <c r="C5488" s="2">
        <f>IFERROR(__xludf.DUMMYFUNCTION("""COMPUTED_VALUE"""),1.0)</f>
        <v>1</v>
      </c>
      <c r="D5488" s="3">
        <f>IFERROR(__xludf.DUMMYFUNCTION("""COMPUTED_VALUE"""),0.0)</f>
        <v>0</v>
      </c>
      <c r="E5488" s="2"/>
      <c r="F5488" s="2"/>
    </row>
    <row r="5489">
      <c r="A5489" s="2">
        <f>IFERROR(__xludf.DUMMYFUNCTION("""COMPUTED_VALUE"""),26320.0)</f>
        <v>26320</v>
      </c>
      <c r="B5489" s="2">
        <f>IFERROR(__xludf.DUMMYFUNCTION("""COMPUTED_VALUE"""),0.0)</f>
        <v>0</v>
      </c>
      <c r="C5489" s="2">
        <f>IFERROR(__xludf.DUMMYFUNCTION("""COMPUTED_VALUE"""),721.0)</f>
        <v>721</v>
      </c>
      <c r="D5489" s="3">
        <f>IFERROR(__xludf.DUMMYFUNCTION("""COMPUTED_VALUE"""),406.0)</f>
        <v>406</v>
      </c>
      <c r="E5489" s="2"/>
      <c r="F5489" s="2"/>
    </row>
    <row r="5490">
      <c r="A5490" s="2">
        <f>IFERROR(__xludf.DUMMYFUNCTION("""COMPUTED_VALUE"""),133910.0)</f>
        <v>133910</v>
      </c>
      <c r="B5490" s="2">
        <f>IFERROR(__xludf.DUMMYFUNCTION("""COMPUTED_VALUE"""),0.0)</f>
        <v>0</v>
      </c>
      <c r="C5490" s="2">
        <f>IFERROR(__xludf.DUMMYFUNCTION("""COMPUTED_VALUE"""),577.0)</f>
        <v>577</v>
      </c>
      <c r="D5490" s="3">
        <f>IFERROR(__xludf.DUMMYFUNCTION("""COMPUTED_VALUE"""),115.0)</f>
        <v>115</v>
      </c>
      <c r="E5490" s="2"/>
      <c r="F5490" s="2"/>
    </row>
    <row r="5491">
      <c r="A5491" s="2">
        <f>IFERROR(__xludf.DUMMYFUNCTION("""COMPUTED_VALUE"""),133908.0)</f>
        <v>133908</v>
      </c>
      <c r="B5491" s="2">
        <f>IFERROR(__xludf.DUMMYFUNCTION("""COMPUTED_VALUE"""),0.0)</f>
        <v>0</v>
      </c>
      <c r="C5491" s="2">
        <f>IFERROR(__xludf.DUMMYFUNCTION("""COMPUTED_VALUE"""),105.0)</f>
        <v>105</v>
      </c>
      <c r="D5491" s="3">
        <f>IFERROR(__xludf.DUMMYFUNCTION("""COMPUTED_VALUE"""),15.0)</f>
        <v>15</v>
      </c>
      <c r="E5491" s="2"/>
      <c r="F5491" s="2"/>
    </row>
    <row r="5492">
      <c r="A5492" s="2">
        <f>IFERROR(__xludf.DUMMYFUNCTION("""COMPUTED_VALUE"""),9646.0)</f>
        <v>9646</v>
      </c>
      <c r="B5492" s="2">
        <f>IFERROR(__xludf.DUMMYFUNCTION("""COMPUTED_VALUE"""),0.0)</f>
        <v>0</v>
      </c>
      <c r="C5492" s="2">
        <f>IFERROR(__xludf.DUMMYFUNCTION("""COMPUTED_VALUE"""),934.0)</f>
        <v>934</v>
      </c>
      <c r="D5492" s="3">
        <f>IFERROR(__xludf.DUMMYFUNCTION("""COMPUTED_VALUE"""),689.0)</f>
        <v>689</v>
      </c>
      <c r="E5492" s="2"/>
      <c r="F5492" s="2"/>
    </row>
    <row r="5493">
      <c r="A5493" s="2">
        <f>IFERROR(__xludf.DUMMYFUNCTION("""COMPUTED_VALUE"""),108091.0)</f>
        <v>108091</v>
      </c>
      <c r="B5493" s="2">
        <f>IFERROR(__xludf.DUMMYFUNCTION("""COMPUTED_VALUE"""),1.0)</f>
        <v>1</v>
      </c>
      <c r="C5493" s="2">
        <f>IFERROR(__xludf.DUMMYFUNCTION("""COMPUTED_VALUE"""),108.0)</f>
        <v>108</v>
      </c>
      <c r="D5493" s="3">
        <f>IFERROR(__xludf.DUMMYFUNCTION("""COMPUTED_VALUE"""),104.0)</f>
        <v>104</v>
      </c>
      <c r="E5493" s="2"/>
      <c r="F5493" s="2"/>
    </row>
    <row r="5494">
      <c r="A5494" s="2">
        <f>IFERROR(__xludf.DUMMYFUNCTION("""COMPUTED_VALUE"""),108114.0)</f>
        <v>108114</v>
      </c>
      <c r="B5494" s="2">
        <f>IFERROR(__xludf.DUMMYFUNCTION("""COMPUTED_VALUE"""),0.0)</f>
        <v>0</v>
      </c>
      <c r="C5494" s="2">
        <f>IFERROR(__xludf.DUMMYFUNCTION("""COMPUTED_VALUE"""),414.0)</f>
        <v>414</v>
      </c>
      <c r="D5494" s="3">
        <f>IFERROR(__xludf.DUMMYFUNCTION("""COMPUTED_VALUE"""),383.0)</f>
        <v>383</v>
      </c>
      <c r="E5494" s="2"/>
      <c r="F5494" s="2"/>
    </row>
    <row r="5495">
      <c r="A5495" s="2">
        <f>IFERROR(__xludf.DUMMYFUNCTION("""COMPUTED_VALUE"""),9639.0)</f>
        <v>9639</v>
      </c>
      <c r="B5495" s="2">
        <f>IFERROR(__xludf.DUMMYFUNCTION("""COMPUTED_VALUE"""),0.0)</f>
        <v>0</v>
      </c>
      <c r="C5495" s="2">
        <f>IFERROR(__xludf.DUMMYFUNCTION("""COMPUTED_VALUE"""),926.0)</f>
        <v>926</v>
      </c>
      <c r="D5495" s="3">
        <f>IFERROR(__xludf.DUMMYFUNCTION("""COMPUTED_VALUE"""),494.0)</f>
        <v>494</v>
      </c>
      <c r="E5495" s="2"/>
      <c r="F5495" s="2"/>
    </row>
    <row r="5496">
      <c r="A5496" s="2">
        <f>IFERROR(__xludf.DUMMYFUNCTION("""COMPUTED_VALUE"""),108108.0)</f>
        <v>108108</v>
      </c>
      <c r="B5496" s="2">
        <f>IFERROR(__xludf.DUMMYFUNCTION("""COMPUTED_VALUE"""),0.0)</f>
        <v>0</v>
      </c>
      <c r="C5496" s="2">
        <f>IFERROR(__xludf.DUMMYFUNCTION("""COMPUTED_VALUE"""),548.0)</f>
        <v>548</v>
      </c>
      <c r="D5496" s="3">
        <f>IFERROR(__xludf.DUMMYFUNCTION("""COMPUTED_VALUE"""),521.0)</f>
        <v>521</v>
      </c>
      <c r="E5496" s="2"/>
      <c r="F5496" s="2"/>
    </row>
    <row r="5497">
      <c r="A5497" s="2">
        <f>IFERROR(__xludf.DUMMYFUNCTION("""COMPUTED_VALUE"""),108081.0)</f>
        <v>108081</v>
      </c>
      <c r="B5497" s="2">
        <f>IFERROR(__xludf.DUMMYFUNCTION("""COMPUTED_VALUE"""),1.0)</f>
        <v>1</v>
      </c>
      <c r="C5497" s="2">
        <f>IFERROR(__xludf.DUMMYFUNCTION("""COMPUTED_VALUE"""),65.0)</f>
        <v>65</v>
      </c>
      <c r="D5497" s="3">
        <f>IFERROR(__xludf.DUMMYFUNCTION("""COMPUTED_VALUE"""),62.0)</f>
        <v>62</v>
      </c>
      <c r="E5497" s="2"/>
      <c r="F5497" s="2"/>
    </row>
    <row r="5498">
      <c r="A5498" s="2">
        <f>IFERROR(__xludf.DUMMYFUNCTION("""COMPUTED_VALUE"""),4243.0)</f>
        <v>4243</v>
      </c>
      <c r="B5498" s="2">
        <f>IFERROR(__xludf.DUMMYFUNCTION("""COMPUTED_VALUE"""),1.0)</f>
        <v>1</v>
      </c>
      <c r="C5498" s="2">
        <f>IFERROR(__xludf.DUMMYFUNCTION("""COMPUTED_VALUE"""),8.0)</f>
        <v>8</v>
      </c>
      <c r="D5498" s="3">
        <f>IFERROR(__xludf.DUMMYFUNCTION("""COMPUTED_VALUE"""),6.0)</f>
        <v>6</v>
      </c>
      <c r="E5498" s="2"/>
      <c r="F5498" s="2"/>
    </row>
    <row r="5499">
      <c r="A5499" s="2">
        <f>IFERROR(__xludf.DUMMYFUNCTION("""COMPUTED_VALUE"""),108090.0)</f>
        <v>108090</v>
      </c>
      <c r="B5499" s="2">
        <f>IFERROR(__xludf.DUMMYFUNCTION("""COMPUTED_VALUE"""),1.0)</f>
        <v>1</v>
      </c>
      <c r="C5499" s="2">
        <f>IFERROR(__xludf.DUMMYFUNCTION("""COMPUTED_VALUE"""),479.0)</f>
        <v>479</v>
      </c>
      <c r="D5499" s="3">
        <f>IFERROR(__xludf.DUMMYFUNCTION("""COMPUTED_VALUE"""),158.0)</f>
        <v>158</v>
      </c>
      <c r="E5499" s="2"/>
      <c r="F5499" s="2"/>
    </row>
    <row r="5500">
      <c r="A5500" s="2">
        <f>IFERROR(__xludf.DUMMYFUNCTION("""COMPUTED_VALUE"""),133912.0)</f>
        <v>133912</v>
      </c>
      <c r="B5500" s="2">
        <f>IFERROR(__xludf.DUMMYFUNCTION("""COMPUTED_VALUE"""),0.0)</f>
        <v>0</v>
      </c>
      <c r="C5500" s="2">
        <f>IFERROR(__xludf.DUMMYFUNCTION("""COMPUTED_VALUE"""),168.0)</f>
        <v>168</v>
      </c>
      <c r="D5500" s="3">
        <f>IFERROR(__xludf.DUMMYFUNCTION("""COMPUTED_VALUE"""),112.0)</f>
        <v>112</v>
      </c>
      <c r="E5500" s="2"/>
      <c r="F5500" s="2"/>
    </row>
    <row r="5501">
      <c r="A5501" s="2">
        <f>IFERROR(__xludf.DUMMYFUNCTION("""COMPUTED_VALUE"""),108087.0)</f>
        <v>108087</v>
      </c>
      <c r="B5501" s="2">
        <f>IFERROR(__xludf.DUMMYFUNCTION("""COMPUTED_VALUE"""),1.0)</f>
        <v>1</v>
      </c>
      <c r="C5501" s="2">
        <f>IFERROR(__xludf.DUMMYFUNCTION("""COMPUTED_VALUE"""),738.0)</f>
        <v>738</v>
      </c>
      <c r="D5501" s="3">
        <f>IFERROR(__xludf.DUMMYFUNCTION("""COMPUTED_VALUE"""),110.0)</f>
        <v>110</v>
      </c>
      <c r="E5501" s="2"/>
      <c r="F5501" s="2"/>
    </row>
    <row r="5502">
      <c r="A5502" s="2">
        <f>IFERROR(__xludf.DUMMYFUNCTION("""COMPUTED_VALUE"""),78866.0)</f>
        <v>78866</v>
      </c>
      <c r="B5502" s="2">
        <f>IFERROR(__xludf.DUMMYFUNCTION("""COMPUTED_VALUE"""),0.0)</f>
        <v>0</v>
      </c>
      <c r="C5502" s="2">
        <f>IFERROR(__xludf.DUMMYFUNCTION("""COMPUTED_VALUE"""),645.0)</f>
        <v>645</v>
      </c>
      <c r="D5502" s="3">
        <f>IFERROR(__xludf.DUMMYFUNCTION("""COMPUTED_VALUE"""),355.0)</f>
        <v>355</v>
      </c>
      <c r="E5502" s="2"/>
      <c r="F5502" s="2"/>
    </row>
    <row r="5503">
      <c r="A5503" s="2">
        <f>IFERROR(__xludf.DUMMYFUNCTION("""COMPUTED_VALUE"""),70415.0)</f>
        <v>70415</v>
      </c>
      <c r="B5503" s="2">
        <f>IFERROR(__xludf.DUMMYFUNCTION("""COMPUTED_VALUE"""),0.0)</f>
        <v>0</v>
      </c>
      <c r="C5503" s="2">
        <f>IFERROR(__xludf.DUMMYFUNCTION("""COMPUTED_VALUE"""),412.0)</f>
        <v>412</v>
      </c>
      <c r="D5503" s="3">
        <f>IFERROR(__xludf.DUMMYFUNCTION("""COMPUTED_VALUE"""),74.0)</f>
        <v>74</v>
      </c>
      <c r="E5503" s="2"/>
      <c r="F5503" s="2"/>
    </row>
    <row r="5504">
      <c r="A5504" s="2">
        <f>IFERROR(__xludf.DUMMYFUNCTION("""COMPUTED_VALUE"""),9644.0)</f>
        <v>9644</v>
      </c>
      <c r="B5504" s="2">
        <f>IFERROR(__xludf.DUMMYFUNCTION("""COMPUTED_VALUE"""),1.0)</f>
        <v>1</v>
      </c>
      <c r="C5504" s="2">
        <f>IFERROR(__xludf.DUMMYFUNCTION("""COMPUTED_VALUE"""),892.0)</f>
        <v>892</v>
      </c>
      <c r="D5504" s="3">
        <f>IFERROR(__xludf.DUMMYFUNCTION("""COMPUTED_VALUE"""),106.0)</f>
        <v>106</v>
      </c>
      <c r="E5504" s="2"/>
      <c r="F5504" s="2"/>
    </row>
    <row r="5505">
      <c r="A5505" s="2">
        <f>IFERROR(__xludf.DUMMYFUNCTION("""COMPUTED_VALUE"""),4247.0)</f>
        <v>4247</v>
      </c>
      <c r="B5505" s="2">
        <f>IFERROR(__xludf.DUMMYFUNCTION("""COMPUTED_VALUE"""),1.0)</f>
        <v>1</v>
      </c>
      <c r="C5505" s="2">
        <f>IFERROR(__xludf.DUMMYFUNCTION("""COMPUTED_VALUE"""),524.0)</f>
        <v>524</v>
      </c>
      <c r="D5505" s="3">
        <f>IFERROR(__xludf.DUMMYFUNCTION("""COMPUTED_VALUE"""),505.0)</f>
        <v>505</v>
      </c>
      <c r="E5505" s="2"/>
      <c r="F5505" s="2"/>
    </row>
    <row r="5506">
      <c r="A5506" s="2">
        <f>IFERROR(__xludf.DUMMYFUNCTION("""COMPUTED_VALUE"""),119087.0)</f>
        <v>119087</v>
      </c>
      <c r="B5506" s="2">
        <f>IFERROR(__xludf.DUMMYFUNCTION("""COMPUTED_VALUE"""),0.0)</f>
        <v>0</v>
      </c>
      <c r="C5506" s="2">
        <f>IFERROR(__xludf.DUMMYFUNCTION("""COMPUTED_VALUE"""),155.0)</f>
        <v>155</v>
      </c>
      <c r="D5506" s="3">
        <f>IFERROR(__xludf.DUMMYFUNCTION("""COMPUTED_VALUE"""),117.0)</f>
        <v>117</v>
      </c>
      <c r="E5506" s="2"/>
      <c r="F5506" s="2"/>
    </row>
    <row r="5507">
      <c r="A5507" s="2">
        <f>IFERROR(__xludf.DUMMYFUNCTION("""COMPUTED_VALUE"""),9635.0)</f>
        <v>9635</v>
      </c>
      <c r="B5507" s="2">
        <f>IFERROR(__xludf.DUMMYFUNCTION("""COMPUTED_VALUE"""),1.0)</f>
        <v>1</v>
      </c>
      <c r="C5507" s="2">
        <f>IFERROR(__xludf.DUMMYFUNCTION("""COMPUTED_VALUE"""),452.0)</f>
        <v>452</v>
      </c>
      <c r="D5507" s="3">
        <f>IFERROR(__xludf.DUMMYFUNCTION("""COMPUTED_VALUE"""),129.0)</f>
        <v>129</v>
      </c>
      <c r="E5507" s="2"/>
      <c r="F5507" s="2"/>
    </row>
    <row r="5508">
      <c r="A5508" s="2">
        <f>IFERROR(__xludf.DUMMYFUNCTION("""COMPUTED_VALUE"""),108082.0)</f>
        <v>108082</v>
      </c>
      <c r="B5508" s="2">
        <f>IFERROR(__xludf.DUMMYFUNCTION("""COMPUTED_VALUE"""),1.0)</f>
        <v>1</v>
      </c>
      <c r="C5508" s="2">
        <f>IFERROR(__xludf.DUMMYFUNCTION("""COMPUTED_VALUE"""),917.0)</f>
        <v>917</v>
      </c>
      <c r="D5508" s="3">
        <f>IFERROR(__xludf.DUMMYFUNCTION("""COMPUTED_VALUE"""),464.0)</f>
        <v>464</v>
      </c>
      <c r="E5508" s="2"/>
      <c r="F5508" s="2"/>
    </row>
    <row r="5509">
      <c r="A5509" s="2">
        <f>IFERROR(__xludf.DUMMYFUNCTION("""COMPUTED_VALUE"""),9643.0)</f>
        <v>9643</v>
      </c>
      <c r="B5509" s="2">
        <f>IFERROR(__xludf.DUMMYFUNCTION("""COMPUTED_VALUE"""),1.0)</f>
        <v>1</v>
      </c>
      <c r="C5509" s="2">
        <f>IFERROR(__xludf.DUMMYFUNCTION("""COMPUTED_VALUE"""),661.0)</f>
        <v>661</v>
      </c>
      <c r="D5509" s="3">
        <f>IFERROR(__xludf.DUMMYFUNCTION("""COMPUTED_VALUE"""),14.0)</f>
        <v>14</v>
      </c>
      <c r="E5509" s="2"/>
      <c r="F5509" s="2"/>
    </row>
    <row r="5510">
      <c r="A5510" s="2">
        <f>IFERROR(__xludf.DUMMYFUNCTION("""COMPUTED_VALUE"""),117601.0)</f>
        <v>117601</v>
      </c>
      <c r="B5510" s="2">
        <f>IFERROR(__xludf.DUMMYFUNCTION("""COMPUTED_VALUE"""),1.0)</f>
        <v>1</v>
      </c>
      <c r="C5510" s="2">
        <f>IFERROR(__xludf.DUMMYFUNCTION("""COMPUTED_VALUE"""),989.0)</f>
        <v>989</v>
      </c>
      <c r="D5510" s="3">
        <f>IFERROR(__xludf.DUMMYFUNCTION("""COMPUTED_VALUE"""),436.0)</f>
        <v>436</v>
      </c>
      <c r="E5510" s="2"/>
      <c r="F5510" s="2"/>
    </row>
    <row r="5511">
      <c r="A5511" s="2">
        <f>IFERROR(__xludf.DUMMYFUNCTION("""COMPUTED_VALUE"""),108085.0)</f>
        <v>108085</v>
      </c>
      <c r="B5511" s="2">
        <f>IFERROR(__xludf.DUMMYFUNCTION("""COMPUTED_VALUE"""),0.0)</f>
        <v>0</v>
      </c>
      <c r="C5511" s="2">
        <f>IFERROR(__xludf.DUMMYFUNCTION("""COMPUTED_VALUE"""),581.0)</f>
        <v>581</v>
      </c>
      <c r="D5511" s="3">
        <f>IFERROR(__xludf.DUMMYFUNCTION("""COMPUTED_VALUE"""),404.0)</f>
        <v>404</v>
      </c>
      <c r="E5511" s="2"/>
      <c r="F5511" s="2"/>
    </row>
    <row r="5512">
      <c r="A5512" s="2">
        <f>IFERROR(__xludf.DUMMYFUNCTION("""COMPUTED_VALUE"""),133914.0)</f>
        <v>133914</v>
      </c>
      <c r="B5512" s="2">
        <f>IFERROR(__xludf.DUMMYFUNCTION("""COMPUTED_VALUE"""),1.0)</f>
        <v>1</v>
      </c>
      <c r="C5512" s="2">
        <f>IFERROR(__xludf.DUMMYFUNCTION("""COMPUTED_VALUE"""),526.0)</f>
        <v>526</v>
      </c>
      <c r="D5512" s="3">
        <f>IFERROR(__xludf.DUMMYFUNCTION("""COMPUTED_VALUE"""),386.0)</f>
        <v>386</v>
      </c>
      <c r="E5512" s="2"/>
      <c r="F5512" s="2"/>
    </row>
    <row r="5513">
      <c r="A5513" s="2">
        <f>IFERROR(__xludf.DUMMYFUNCTION("""COMPUTED_VALUE"""),103503.0)</f>
        <v>103503</v>
      </c>
      <c r="B5513" s="2">
        <f>IFERROR(__xludf.DUMMYFUNCTION("""COMPUTED_VALUE"""),1.0)</f>
        <v>1</v>
      </c>
      <c r="C5513" s="2">
        <f>IFERROR(__xludf.DUMMYFUNCTION("""COMPUTED_VALUE"""),353.0)</f>
        <v>353</v>
      </c>
      <c r="D5513" s="3">
        <f>IFERROR(__xludf.DUMMYFUNCTION("""COMPUTED_VALUE"""),239.0)</f>
        <v>239</v>
      </c>
      <c r="E5513" s="2"/>
      <c r="F5513" s="2"/>
    </row>
    <row r="5514">
      <c r="A5514" s="2">
        <f>IFERROR(__xludf.DUMMYFUNCTION("""COMPUTED_VALUE"""),128363.0)</f>
        <v>128363</v>
      </c>
      <c r="B5514" s="2">
        <f>IFERROR(__xludf.DUMMYFUNCTION("""COMPUTED_VALUE"""),0.0)</f>
        <v>0</v>
      </c>
      <c r="C5514" s="2">
        <f>IFERROR(__xludf.DUMMYFUNCTION("""COMPUTED_VALUE"""),739.0)</f>
        <v>739</v>
      </c>
      <c r="D5514" s="3">
        <f>IFERROR(__xludf.DUMMYFUNCTION("""COMPUTED_VALUE"""),226.0)</f>
        <v>226</v>
      </c>
      <c r="E5514" s="2"/>
      <c r="F5514" s="2"/>
    </row>
    <row r="5515">
      <c r="A5515" s="2">
        <f>IFERROR(__xludf.DUMMYFUNCTION("""COMPUTED_VALUE"""),13863.0)</f>
        <v>13863</v>
      </c>
      <c r="B5515" s="2">
        <f>IFERROR(__xludf.DUMMYFUNCTION("""COMPUTED_VALUE"""),1.0)</f>
        <v>1</v>
      </c>
      <c r="C5515" s="2">
        <f>IFERROR(__xludf.DUMMYFUNCTION("""COMPUTED_VALUE"""),672.0)</f>
        <v>672</v>
      </c>
      <c r="D5515" s="3">
        <f>IFERROR(__xludf.DUMMYFUNCTION("""COMPUTED_VALUE"""),620.0)</f>
        <v>620</v>
      </c>
      <c r="E5515" s="2"/>
      <c r="F5515" s="2"/>
    </row>
    <row r="5516">
      <c r="A5516" s="2">
        <f>IFERROR(__xludf.DUMMYFUNCTION("""COMPUTED_VALUE"""),74454.0)</f>
        <v>74454</v>
      </c>
      <c r="B5516" s="2">
        <f>IFERROR(__xludf.DUMMYFUNCTION("""COMPUTED_VALUE"""),0.0)</f>
        <v>0</v>
      </c>
      <c r="C5516" s="2">
        <f>IFERROR(__xludf.DUMMYFUNCTION("""COMPUTED_VALUE"""),289.0)</f>
        <v>289</v>
      </c>
      <c r="D5516" s="3">
        <f>IFERROR(__xludf.DUMMYFUNCTION("""COMPUTED_VALUE"""),270.0)</f>
        <v>270</v>
      </c>
      <c r="E5516" s="2"/>
      <c r="F5516" s="2"/>
    </row>
    <row r="5517">
      <c r="A5517" s="2">
        <f>IFERROR(__xludf.DUMMYFUNCTION("""COMPUTED_VALUE"""),12500.0)</f>
        <v>12500</v>
      </c>
      <c r="B5517" s="2">
        <f>IFERROR(__xludf.DUMMYFUNCTION("""COMPUTED_VALUE"""),0.0)</f>
        <v>0</v>
      </c>
      <c r="C5517" s="2">
        <f>IFERROR(__xludf.DUMMYFUNCTION("""COMPUTED_VALUE"""),326.0)</f>
        <v>326</v>
      </c>
      <c r="D5517" s="3">
        <f>IFERROR(__xludf.DUMMYFUNCTION("""COMPUTED_VALUE"""),176.0)</f>
        <v>176</v>
      </c>
      <c r="E5517" s="2"/>
      <c r="F5517" s="2"/>
    </row>
    <row r="5518">
      <c r="A5518" s="2">
        <f>IFERROR(__xludf.DUMMYFUNCTION("""COMPUTED_VALUE"""),116555.0)</f>
        <v>116555</v>
      </c>
      <c r="B5518" s="2">
        <f>IFERROR(__xludf.DUMMYFUNCTION("""COMPUTED_VALUE"""),1.0)</f>
        <v>1</v>
      </c>
      <c r="C5518" s="2">
        <f>IFERROR(__xludf.DUMMYFUNCTION("""COMPUTED_VALUE"""),341.0)</f>
        <v>341</v>
      </c>
      <c r="D5518" s="3">
        <f>IFERROR(__xludf.DUMMYFUNCTION("""COMPUTED_VALUE"""),266.0)</f>
        <v>266</v>
      </c>
      <c r="E5518" s="2"/>
      <c r="F5518" s="2"/>
    </row>
    <row r="5519">
      <c r="A5519" s="2">
        <f>IFERROR(__xludf.DUMMYFUNCTION("""COMPUTED_VALUE"""),77622.0)</f>
        <v>77622</v>
      </c>
      <c r="B5519" s="2">
        <f>IFERROR(__xludf.DUMMYFUNCTION("""COMPUTED_VALUE"""),0.0)</f>
        <v>0</v>
      </c>
      <c r="C5519" s="2">
        <f>IFERROR(__xludf.DUMMYFUNCTION("""COMPUTED_VALUE"""),352.0)</f>
        <v>352</v>
      </c>
      <c r="D5519" s="3">
        <f>IFERROR(__xludf.DUMMYFUNCTION("""COMPUTED_VALUE"""),199.0)</f>
        <v>199</v>
      </c>
      <c r="E5519" s="2"/>
      <c r="F5519" s="2"/>
    </row>
    <row r="5520">
      <c r="A5520" s="2">
        <f>IFERROR(__xludf.DUMMYFUNCTION("""COMPUTED_VALUE"""),68294.0)</f>
        <v>68294</v>
      </c>
      <c r="B5520" s="2">
        <f>IFERROR(__xludf.DUMMYFUNCTION("""COMPUTED_VALUE"""),0.0)</f>
        <v>0</v>
      </c>
      <c r="C5520" s="2">
        <f>IFERROR(__xludf.DUMMYFUNCTION("""COMPUTED_VALUE"""),585.0)</f>
        <v>585</v>
      </c>
      <c r="D5520" s="3">
        <f>IFERROR(__xludf.DUMMYFUNCTION("""COMPUTED_VALUE"""),160.0)</f>
        <v>160</v>
      </c>
      <c r="E5520" s="2"/>
      <c r="F5520" s="2"/>
    </row>
    <row r="5521">
      <c r="A5521" s="2">
        <f>IFERROR(__xludf.DUMMYFUNCTION("""COMPUTED_VALUE"""),12497.0)</f>
        <v>12497</v>
      </c>
      <c r="B5521" s="2">
        <f>IFERROR(__xludf.DUMMYFUNCTION("""COMPUTED_VALUE"""),0.0)</f>
        <v>0</v>
      </c>
      <c r="C5521" s="2">
        <f>IFERROR(__xludf.DUMMYFUNCTION("""COMPUTED_VALUE"""),440.0)</f>
        <v>440</v>
      </c>
      <c r="D5521" s="3">
        <f>IFERROR(__xludf.DUMMYFUNCTION("""COMPUTED_VALUE"""),251.0)</f>
        <v>251</v>
      </c>
      <c r="E5521" s="2"/>
      <c r="F5521" s="2"/>
    </row>
    <row r="5522">
      <c r="A5522" s="2">
        <f>IFERROR(__xludf.DUMMYFUNCTION("""COMPUTED_VALUE"""),74453.0)</f>
        <v>74453</v>
      </c>
      <c r="B5522" s="2">
        <f>IFERROR(__xludf.DUMMYFUNCTION("""COMPUTED_VALUE"""),0.0)</f>
        <v>0</v>
      </c>
      <c r="C5522" s="2">
        <f>IFERROR(__xludf.DUMMYFUNCTION("""COMPUTED_VALUE"""),669.0)</f>
        <v>669</v>
      </c>
      <c r="D5522" s="3">
        <f>IFERROR(__xludf.DUMMYFUNCTION("""COMPUTED_VALUE"""),31.0)</f>
        <v>31</v>
      </c>
      <c r="E5522" s="2"/>
      <c r="F5522" s="2"/>
    </row>
    <row r="5523">
      <c r="A5523" s="2">
        <f>IFERROR(__xludf.DUMMYFUNCTION("""COMPUTED_VALUE"""),112246.0)</f>
        <v>112246</v>
      </c>
      <c r="B5523" s="2">
        <f>IFERROR(__xludf.DUMMYFUNCTION("""COMPUTED_VALUE"""),1.0)</f>
        <v>1</v>
      </c>
      <c r="C5523" s="2">
        <f>IFERROR(__xludf.DUMMYFUNCTION("""COMPUTED_VALUE"""),713.0)</f>
        <v>713</v>
      </c>
      <c r="D5523" s="3">
        <f>IFERROR(__xludf.DUMMYFUNCTION("""COMPUTED_VALUE"""),477.0)</f>
        <v>477</v>
      </c>
      <c r="E5523" s="2"/>
      <c r="F5523" s="2"/>
    </row>
    <row r="5524">
      <c r="A5524" s="2">
        <f>IFERROR(__xludf.DUMMYFUNCTION("""COMPUTED_VALUE"""),110776.0)</f>
        <v>110776</v>
      </c>
      <c r="B5524" s="2">
        <f>IFERROR(__xludf.DUMMYFUNCTION("""COMPUTED_VALUE"""),0.0)</f>
        <v>0</v>
      </c>
      <c r="C5524" s="2">
        <f>IFERROR(__xludf.DUMMYFUNCTION("""COMPUTED_VALUE"""),239.0)</f>
        <v>239</v>
      </c>
      <c r="D5524" s="3">
        <f>IFERROR(__xludf.DUMMYFUNCTION("""COMPUTED_VALUE"""),215.0)</f>
        <v>215</v>
      </c>
      <c r="E5524" s="2"/>
      <c r="F5524" s="2"/>
    </row>
    <row r="5525">
      <c r="A5525" s="2">
        <f>IFERROR(__xludf.DUMMYFUNCTION("""COMPUTED_VALUE"""),92846.0)</f>
        <v>92846</v>
      </c>
      <c r="B5525" s="2">
        <f>IFERROR(__xludf.DUMMYFUNCTION("""COMPUTED_VALUE"""),1.0)</f>
        <v>1</v>
      </c>
      <c r="C5525" s="2">
        <f>IFERROR(__xludf.DUMMYFUNCTION("""COMPUTED_VALUE"""),850.0)</f>
        <v>850</v>
      </c>
      <c r="D5525" s="3">
        <f>IFERROR(__xludf.DUMMYFUNCTION("""COMPUTED_VALUE"""),834.0)</f>
        <v>834</v>
      </c>
      <c r="E5525" s="2"/>
      <c r="F5525" s="2"/>
    </row>
    <row r="5526">
      <c r="A5526" s="2">
        <f>IFERROR(__xludf.DUMMYFUNCTION("""COMPUTED_VALUE"""),119257.0)</f>
        <v>119257</v>
      </c>
      <c r="B5526" s="2">
        <f>IFERROR(__xludf.DUMMYFUNCTION("""COMPUTED_VALUE"""),1.0)</f>
        <v>1</v>
      </c>
      <c r="C5526" s="2">
        <f>IFERROR(__xludf.DUMMYFUNCTION("""COMPUTED_VALUE"""),746.0)</f>
        <v>746</v>
      </c>
      <c r="D5526" s="3">
        <f>IFERROR(__xludf.DUMMYFUNCTION("""COMPUTED_VALUE"""),228.0)</f>
        <v>228</v>
      </c>
      <c r="E5526" s="2"/>
      <c r="F5526" s="2"/>
    </row>
    <row r="5527">
      <c r="A5527" s="2">
        <f>IFERROR(__xludf.DUMMYFUNCTION("""COMPUTED_VALUE"""),68313.0)</f>
        <v>68313</v>
      </c>
      <c r="B5527" s="2">
        <f>IFERROR(__xludf.DUMMYFUNCTION("""COMPUTED_VALUE"""),1.0)</f>
        <v>1</v>
      </c>
      <c r="C5527" s="2">
        <f>IFERROR(__xludf.DUMMYFUNCTION("""COMPUTED_VALUE"""),163.0)</f>
        <v>163</v>
      </c>
      <c r="D5527" s="3">
        <f>IFERROR(__xludf.DUMMYFUNCTION("""COMPUTED_VALUE"""),139.0)</f>
        <v>139</v>
      </c>
      <c r="E5527" s="2"/>
      <c r="F5527" s="2"/>
    </row>
    <row r="5528">
      <c r="A5528" s="2">
        <f>IFERROR(__xludf.DUMMYFUNCTION("""COMPUTED_VALUE"""),12503.0)</f>
        <v>12503</v>
      </c>
      <c r="B5528" s="2">
        <f>IFERROR(__xludf.DUMMYFUNCTION("""COMPUTED_VALUE"""),0.0)</f>
        <v>0</v>
      </c>
      <c r="C5528" s="2">
        <f>IFERROR(__xludf.DUMMYFUNCTION("""COMPUTED_VALUE"""),769.0)</f>
        <v>769</v>
      </c>
      <c r="D5528" s="3">
        <f>IFERROR(__xludf.DUMMYFUNCTION("""COMPUTED_VALUE"""),497.0)</f>
        <v>497</v>
      </c>
      <c r="E5528" s="2"/>
      <c r="F5528" s="2"/>
    </row>
    <row r="5529">
      <c r="A5529" s="2">
        <f>IFERROR(__xludf.DUMMYFUNCTION("""COMPUTED_VALUE"""),77624.0)</f>
        <v>77624</v>
      </c>
      <c r="B5529" s="2">
        <f>IFERROR(__xludf.DUMMYFUNCTION("""COMPUTED_VALUE"""),0.0)</f>
        <v>0</v>
      </c>
      <c r="C5529" s="2">
        <f>IFERROR(__xludf.DUMMYFUNCTION("""COMPUTED_VALUE"""),895.0)</f>
        <v>895</v>
      </c>
      <c r="D5529" s="3">
        <f>IFERROR(__xludf.DUMMYFUNCTION("""COMPUTED_VALUE"""),158.0)</f>
        <v>158</v>
      </c>
      <c r="E5529" s="2"/>
      <c r="F5529" s="2"/>
    </row>
    <row r="5530">
      <c r="A5530" s="2">
        <f>IFERROR(__xludf.DUMMYFUNCTION("""COMPUTED_VALUE"""),77432.0)</f>
        <v>77432</v>
      </c>
      <c r="B5530" s="2">
        <f>IFERROR(__xludf.DUMMYFUNCTION("""COMPUTED_VALUE"""),1.0)</f>
        <v>1</v>
      </c>
      <c r="C5530" s="2">
        <f>IFERROR(__xludf.DUMMYFUNCTION("""COMPUTED_VALUE"""),475.0)</f>
        <v>475</v>
      </c>
      <c r="D5530" s="3">
        <f>IFERROR(__xludf.DUMMYFUNCTION("""COMPUTED_VALUE"""),424.0)</f>
        <v>424</v>
      </c>
      <c r="E5530" s="2"/>
      <c r="F5530" s="2"/>
    </row>
    <row r="5531">
      <c r="A5531" s="2">
        <f>IFERROR(__xludf.DUMMYFUNCTION("""COMPUTED_VALUE"""),77429.0)</f>
        <v>77429</v>
      </c>
      <c r="B5531" s="2">
        <f>IFERROR(__xludf.DUMMYFUNCTION("""COMPUTED_VALUE"""),1.0)</f>
        <v>1</v>
      </c>
      <c r="C5531" s="2">
        <f>IFERROR(__xludf.DUMMYFUNCTION("""COMPUTED_VALUE"""),914.0)</f>
        <v>914</v>
      </c>
      <c r="D5531" s="3">
        <f>IFERROR(__xludf.DUMMYFUNCTION("""COMPUTED_VALUE"""),470.0)</f>
        <v>470</v>
      </c>
      <c r="E5531" s="2"/>
      <c r="F5531" s="2"/>
    </row>
    <row r="5532">
      <c r="A5532" s="2">
        <f>IFERROR(__xludf.DUMMYFUNCTION("""COMPUTED_VALUE"""),93995.0)</f>
        <v>93995</v>
      </c>
      <c r="B5532" s="2">
        <f>IFERROR(__xludf.DUMMYFUNCTION("""COMPUTED_VALUE"""),1.0)</f>
        <v>1</v>
      </c>
      <c r="C5532" s="2">
        <f>IFERROR(__xludf.DUMMYFUNCTION("""COMPUTED_VALUE"""),532.0)</f>
        <v>532</v>
      </c>
      <c r="D5532" s="3">
        <f>IFERROR(__xludf.DUMMYFUNCTION("""COMPUTED_VALUE"""),278.0)</f>
        <v>278</v>
      </c>
      <c r="E5532" s="2"/>
      <c r="F5532" s="2"/>
    </row>
    <row r="5533">
      <c r="A5533" s="2">
        <f>IFERROR(__xludf.DUMMYFUNCTION("""COMPUTED_VALUE"""),103185.0)</f>
        <v>103185</v>
      </c>
      <c r="B5533" s="2">
        <f>IFERROR(__xludf.DUMMYFUNCTION("""COMPUTED_VALUE"""),0.0)</f>
        <v>0</v>
      </c>
      <c r="C5533" s="2">
        <f>IFERROR(__xludf.DUMMYFUNCTION("""COMPUTED_VALUE"""),273.0)</f>
        <v>273</v>
      </c>
      <c r="D5533" s="3">
        <f>IFERROR(__xludf.DUMMYFUNCTION("""COMPUTED_VALUE"""),30.0)</f>
        <v>30</v>
      </c>
      <c r="E5533" s="2"/>
      <c r="F5533" s="2"/>
    </row>
    <row r="5534">
      <c r="A5534" s="2">
        <f>IFERROR(__xludf.DUMMYFUNCTION("""COMPUTED_VALUE"""),13868.0)</f>
        <v>13868</v>
      </c>
      <c r="B5534" s="2">
        <f>IFERROR(__xludf.DUMMYFUNCTION("""COMPUTED_VALUE"""),0.0)</f>
        <v>0</v>
      </c>
      <c r="C5534" s="2">
        <f>IFERROR(__xludf.DUMMYFUNCTION("""COMPUTED_VALUE"""),561.0)</f>
        <v>561</v>
      </c>
      <c r="D5534" s="3">
        <f>IFERROR(__xludf.DUMMYFUNCTION("""COMPUTED_VALUE"""),120.0)</f>
        <v>120</v>
      </c>
      <c r="E5534" s="2"/>
      <c r="F5534" s="2"/>
    </row>
    <row r="5535">
      <c r="A5535" s="2">
        <f>IFERROR(__xludf.DUMMYFUNCTION("""COMPUTED_VALUE"""),9504.0)</f>
        <v>9504</v>
      </c>
      <c r="B5535" s="2">
        <f>IFERROR(__xludf.DUMMYFUNCTION("""COMPUTED_VALUE"""),1.0)</f>
        <v>1</v>
      </c>
      <c r="C5535" s="2">
        <f>IFERROR(__xludf.DUMMYFUNCTION("""COMPUTED_VALUE"""),350.0)</f>
        <v>350</v>
      </c>
      <c r="D5535" s="3">
        <f>IFERROR(__xludf.DUMMYFUNCTION("""COMPUTED_VALUE"""),43.0)</f>
        <v>43</v>
      </c>
      <c r="E5535" s="2"/>
      <c r="F5535" s="2"/>
    </row>
    <row r="5536">
      <c r="A5536" s="2">
        <f>IFERROR(__xludf.DUMMYFUNCTION("""COMPUTED_VALUE"""),77446.0)</f>
        <v>77446</v>
      </c>
      <c r="B5536" s="2">
        <f>IFERROR(__xludf.DUMMYFUNCTION("""COMPUTED_VALUE"""),0.0)</f>
        <v>0</v>
      </c>
      <c r="C5536" s="2">
        <f>IFERROR(__xludf.DUMMYFUNCTION("""COMPUTED_VALUE"""),916.0)</f>
        <v>916</v>
      </c>
      <c r="D5536" s="3">
        <f>IFERROR(__xludf.DUMMYFUNCTION("""COMPUTED_VALUE"""),249.0)</f>
        <v>249</v>
      </c>
      <c r="E5536" s="2"/>
      <c r="F5536" s="2"/>
    </row>
    <row r="5537">
      <c r="A5537" s="2">
        <f>IFERROR(__xludf.DUMMYFUNCTION("""COMPUTED_VALUE"""),77498.0)</f>
        <v>77498</v>
      </c>
      <c r="B5537" s="2">
        <f>IFERROR(__xludf.DUMMYFUNCTION("""COMPUTED_VALUE"""),0.0)</f>
        <v>0</v>
      </c>
      <c r="C5537" s="2">
        <f>IFERROR(__xludf.DUMMYFUNCTION("""COMPUTED_VALUE"""),873.0)</f>
        <v>873</v>
      </c>
      <c r="D5537" s="3">
        <f>IFERROR(__xludf.DUMMYFUNCTION("""COMPUTED_VALUE"""),429.0)</f>
        <v>429</v>
      </c>
      <c r="E5537" s="2"/>
      <c r="F5537" s="2"/>
    </row>
    <row r="5538">
      <c r="A5538" s="2">
        <f>IFERROR(__xludf.DUMMYFUNCTION("""COMPUTED_VALUE"""),77488.0)</f>
        <v>77488</v>
      </c>
      <c r="B5538" s="2">
        <f>IFERROR(__xludf.DUMMYFUNCTION("""COMPUTED_VALUE"""),1.0)</f>
        <v>1</v>
      </c>
      <c r="C5538" s="2">
        <f>IFERROR(__xludf.DUMMYFUNCTION("""COMPUTED_VALUE"""),435.0)</f>
        <v>435</v>
      </c>
      <c r="D5538" s="3">
        <f>IFERROR(__xludf.DUMMYFUNCTION("""COMPUTED_VALUE"""),297.0)</f>
        <v>297</v>
      </c>
      <c r="E5538" s="2"/>
      <c r="F5538" s="2"/>
    </row>
    <row r="5539">
      <c r="A5539" s="2">
        <f>IFERROR(__xludf.DUMMYFUNCTION("""COMPUTED_VALUE"""),82203.0)</f>
        <v>82203</v>
      </c>
      <c r="B5539" s="2">
        <f>IFERROR(__xludf.DUMMYFUNCTION("""COMPUTED_VALUE"""),0.0)</f>
        <v>0</v>
      </c>
      <c r="C5539" s="2">
        <f>IFERROR(__xludf.DUMMYFUNCTION("""COMPUTED_VALUE"""),866.0)</f>
        <v>866</v>
      </c>
      <c r="D5539" s="3">
        <f>IFERROR(__xludf.DUMMYFUNCTION("""COMPUTED_VALUE"""),90.0)</f>
        <v>90</v>
      </c>
      <c r="E5539" s="2"/>
      <c r="F5539" s="2"/>
    </row>
    <row r="5540">
      <c r="A5540" s="2">
        <f>IFERROR(__xludf.DUMMYFUNCTION("""COMPUTED_VALUE"""),82754.0)</f>
        <v>82754</v>
      </c>
      <c r="B5540" s="2">
        <f>IFERROR(__xludf.DUMMYFUNCTION("""COMPUTED_VALUE"""),1.0)</f>
        <v>1</v>
      </c>
      <c r="C5540" s="2">
        <f>IFERROR(__xludf.DUMMYFUNCTION("""COMPUTED_VALUE"""),754.0)</f>
        <v>754</v>
      </c>
      <c r="D5540" s="3">
        <f>IFERROR(__xludf.DUMMYFUNCTION("""COMPUTED_VALUE"""),520.0)</f>
        <v>520</v>
      </c>
      <c r="E5540" s="2"/>
      <c r="F5540" s="2"/>
    </row>
    <row r="5541">
      <c r="A5541" s="2">
        <f>IFERROR(__xludf.DUMMYFUNCTION("""COMPUTED_VALUE"""),110837.0)</f>
        <v>110837</v>
      </c>
      <c r="B5541" s="2">
        <f>IFERROR(__xludf.DUMMYFUNCTION("""COMPUTED_VALUE"""),0.0)</f>
        <v>0</v>
      </c>
      <c r="C5541" s="2">
        <f>IFERROR(__xludf.DUMMYFUNCTION("""COMPUTED_VALUE"""),924.0)</f>
        <v>924</v>
      </c>
      <c r="D5541" s="3">
        <f>IFERROR(__xludf.DUMMYFUNCTION("""COMPUTED_VALUE"""),869.0)</f>
        <v>869</v>
      </c>
      <c r="E5541" s="2"/>
      <c r="F5541" s="2"/>
    </row>
    <row r="5542">
      <c r="A5542" s="2">
        <f>IFERROR(__xludf.DUMMYFUNCTION("""COMPUTED_VALUE"""),9591.0)</f>
        <v>9591</v>
      </c>
      <c r="B5542" s="2">
        <f>IFERROR(__xludf.DUMMYFUNCTION("""COMPUTED_VALUE"""),0.0)</f>
        <v>0</v>
      </c>
      <c r="C5542" s="2">
        <f>IFERROR(__xludf.DUMMYFUNCTION("""COMPUTED_VALUE"""),643.0)</f>
        <v>643</v>
      </c>
      <c r="D5542" s="3">
        <f>IFERROR(__xludf.DUMMYFUNCTION("""COMPUTED_VALUE"""),509.0)</f>
        <v>509</v>
      </c>
      <c r="E5542" s="2"/>
      <c r="F5542" s="2"/>
    </row>
    <row r="5543">
      <c r="A5543" s="2">
        <f>IFERROR(__xludf.DUMMYFUNCTION("""COMPUTED_VALUE"""),94040.0)</f>
        <v>94040</v>
      </c>
      <c r="B5543" s="2">
        <f>IFERROR(__xludf.DUMMYFUNCTION("""COMPUTED_VALUE"""),0.0)</f>
        <v>0</v>
      </c>
      <c r="C5543" s="2">
        <f>IFERROR(__xludf.DUMMYFUNCTION("""COMPUTED_VALUE"""),353.0)</f>
        <v>353</v>
      </c>
      <c r="D5543" s="3">
        <f>IFERROR(__xludf.DUMMYFUNCTION("""COMPUTED_VALUE"""),312.0)</f>
        <v>312</v>
      </c>
      <c r="E5543" s="2"/>
      <c r="F5543" s="2"/>
    </row>
    <row r="5544">
      <c r="A5544" s="2">
        <f>IFERROR(__xludf.DUMMYFUNCTION("""COMPUTED_VALUE"""),9513.0)</f>
        <v>9513</v>
      </c>
      <c r="B5544" s="2">
        <f>IFERROR(__xludf.DUMMYFUNCTION("""COMPUTED_VALUE"""),0.0)</f>
        <v>0</v>
      </c>
      <c r="C5544" s="2">
        <f>IFERROR(__xludf.DUMMYFUNCTION("""COMPUTED_VALUE"""),788.0)</f>
        <v>788</v>
      </c>
      <c r="D5544" s="3">
        <f>IFERROR(__xludf.DUMMYFUNCTION("""COMPUTED_VALUE"""),429.0)</f>
        <v>429</v>
      </c>
      <c r="E5544" s="2"/>
      <c r="F5544" s="2"/>
    </row>
    <row r="5545">
      <c r="A5545" s="2">
        <f>IFERROR(__xludf.DUMMYFUNCTION("""COMPUTED_VALUE"""),121543.0)</f>
        <v>121543</v>
      </c>
      <c r="B5545" s="2">
        <f>IFERROR(__xludf.DUMMYFUNCTION("""COMPUTED_VALUE"""),0.0)</f>
        <v>0</v>
      </c>
      <c r="C5545" s="2">
        <f>IFERROR(__xludf.DUMMYFUNCTION("""COMPUTED_VALUE"""),739.0)</f>
        <v>739</v>
      </c>
      <c r="D5545" s="3">
        <f>IFERROR(__xludf.DUMMYFUNCTION("""COMPUTED_VALUE"""),379.0)</f>
        <v>379</v>
      </c>
      <c r="E5545" s="2"/>
      <c r="F5545" s="2"/>
    </row>
    <row r="5546">
      <c r="A5546" s="2">
        <f>IFERROR(__xludf.DUMMYFUNCTION("""COMPUTED_VALUE"""),164638.0)</f>
        <v>164638</v>
      </c>
      <c r="B5546" s="2">
        <f>IFERROR(__xludf.DUMMYFUNCTION("""COMPUTED_VALUE"""),0.0)</f>
        <v>0</v>
      </c>
      <c r="C5546" s="2">
        <f>IFERROR(__xludf.DUMMYFUNCTION("""COMPUTED_VALUE"""),712.0)</f>
        <v>712</v>
      </c>
      <c r="D5546" s="3">
        <f>IFERROR(__xludf.DUMMYFUNCTION("""COMPUTED_VALUE"""),476.0)</f>
        <v>476</v>
      </c>
      <c r="E5546" s="2"/>
      <c r="F5546" s="2"/>
    </row>
    <row r="5547">
      <c r="A5547" s="2">
        <f>IFERROR(__xludf.DUMMYFUNCTION("""COMPUTED_VALUE"""),9554.0)</f>
        <v>9554</v>
      </c>
      <c r="B5547" s="2">
        <f>IFERROR(__xludf.DUMMYFUNCTION("""COMPUTED_VALUE"""),1.0)</f>
        <v>1</v>
      </c>
      <c r="C5547" s="2">
        <f>IFERROR(__xludf.DUMMYFUNCTION("""COMPUTED_VALUE"""),170.0)</f>
        <v>170</v>
      </c>
      <c r="D5547" s="3">
        <f>IFERROR(__xludf.DUMMYFUNCTION("""COMPUTED_VALUE"""),91.0)</f>
        <v>91</v>
      </c>
      <c r="E5547" s="2"/>
      <c r="F5547" s="2"/>
    </row>
    <row r="5548">
      <c r="A5548" s="2">
        <f>IFERROR(__xludf.DUMMYFUNCTION("""COMPUTED_VALUE"""),117798.0)</f>
        <v>117798</v>
      </c>
      <c r="B5548" s="2">
        <f>IFERROR(__xludf.DUMMYFUNCTION("""COMPUTED_VALUE"""),1.0)</f>
        <v>1</v>
      </c>
      <c r="C5548" s="2">
        <f>IFERROR(__xludf.DUMMYFUNCTION("""COMPUTED_VALUE"""),504.0)</f>
        <v>504</v>
      </c>
      <c r="D5548" s="3">
        <f>IFERROR(__xludf.DUMMYFUNCTION("""COMPUTED_VALUE"""),463.0)</f>
        <v>463</v>
      </c>
      <c r="E5548" s="2"/>
      <c r="F5548" s="2"/>
    </row>
    <row r="5549">
      <c r="A5549" s="2">
        <f>IFERROR(__xludf.DUMMYFUNCTION("""COMPUTED_VALUE"""),77480.0)</f>
        <v>77480</v>
      </c>
      <c r="B5549" s="2">
        <f>IFERROR(__xludf.DUMMYFUNCTION("""COMPUTED_VALUE"""),1.0)</f>
        <v>1</v>
      </c>
      <c r="C5549" s="2">
        <f>IFERROR(__xludf.DUMMYFUNCTION("""COMPUTED_VALUE"""),198.0)</f>
        <v>198</v>
      </c>
      <c r="D5549" s="3">
        <f>IFERROR(__xludf.DUMMYFUNCTION("""COMPUTED_VALUE"""),184.0)</f>
        <v>184</v>
      </c>
      <c r="E5549" s="2"/>
      <c r="F5549" s="2"/>
    </row>
    <row r="5550">
      <c r="A5550" s="2">
        <f>IFERROR(__xludf.DUMMYFUNCTION("""COMPUTED_VALUE"""),9547.0)</f>
        <v>9547</v>
      </c>
      <c r="B5550" s="2">
        <f>IFERROR(__xludf.DUMMYFUNCTION("""COMPUTED_VALUE"""),0.0)</f>
        <v>0</v>
      </c>
      <c r="C5550" s="2">
        <f>IFERROR(__xludf.DUMMYFUNCTION("""COMPUTED_VALUE"""),481.0)</f>
        <v>481</v>
      </c>
      <c r="D5550" s="3">
        <f>IFERROR(__xludf.DUMMYFUNCTION("""COMPUTED_VALUE"""),108.0)</f>
        <v>108</v>
      </c>
      <c r="E5550" s="2"/>
      <c r="F5550" s="2"/>
    </row>
    <row r="5551">
      <c r="A5551" s="2">
        <f>IFERROR(__xludf.DUMMYFUNCTION("""COMPUTED_VALUE"""),9551.0)</f>
        <v>9551</v>
      </c>
      <c r="B5551" s="2">
        <f>IFERROR(__xludf.DUMMYFUNCTION("""COMPUTED_VALUE"""),1.0)</f>
        <v>1</v>
      </c>
      <c r="C5551" s="2">
        <f>IFERROR(__xludf.DUMMYFUNCTION("""COMPUTED_VALUE"""),351.0)</f>
        <v>351</v>
      </c>
      <c r="D5551" s="3">
        <f>IFERROR(__xludf.DUMMYFUNCTION("""COMPUTED_VALUE"""),248.0)</f>
        <v>248</v>
      </c>
      <c r="E5551" s="2"/>
      <c r="F5551" s="2"/>
    </row>
    <row r="5552">
      <c r="A5552" s="2">
        <f>IFERROR(__xludf.DUMMYFUNCTION("""COMPUTED_VALUE"""),9514.0)</f>
        <v>9514</v>
      </c>
      <c r="B5552" s="2">
        <f>IFERROR(__xludf.DUMMYFUNCTION("""COMPUTED_VALUE"""),0.0)</f>
        <v>0</v>
      </c>
      <c r="C5552" s="2">
        <f>IFERROR(__xludf.DUMMYFUNCTION("""COMPUTED_VALUE"""),870.0)</f>
        <v>870</v>
      </c>
      <c r="D5552" s="3">
        <f>IFERROR(__xludf.DUMMYFUNCTION("""COMPUTED_VALUE"""),805.0)</f>
        <v>805</v>
      </c>
      <c r="E5552" s="2"/>
      <c r="F5552" s="2"/>
    </row>
    <row r="5553">
      <c r="A5553" s="2">
        <f>IFERROR(__xludf.DUMMYFUNCTION("""COMPUTED_VALUE"""),147310.0)</f>
        <v>147310</v>
      </c>
      <c r="B5553" s="2">
        <f>IFERROR(__xludf.DUMMYFUNCTION("""COMPUTED_VALUE"""),1.0)</f>
        <v>1</v>
      </c>
      <c r="C5553" s="2">
        <f>IFERROR(__xludf.DUMMYFUNCTION("""COMPUTED_VALUE"""),211.0)</f>
        <v>211</v>
      </c>
      <c r="D5553" s="3">
        <f>IFERROR(__xludf.DUMMYFUNCTION("""COMPUTED_VALUE"""),100.0)</f>
        <v>100</v>
      </c>
      <c r="E5553" s="2"/>
      <c r="F5553" s="2"/>
    </row>
    <row r="5554">
      <c r="A5554" s="2">
        <f>IFERROR(__xludf.DUMMYFUNCTION("""COMPUTED_VALUE"""),13865.0)</f>
        <v>13865</v>
      </c>
      <c r="B5554" s="2">
        <f>IFERROR(__xludf.DUMMYFUNCTION("""COMPUTED_VALUE"""),1.0)</f>
        <v>1</v>
      </c>
      <c r="C5554" s="2">
        <f>IFERROR(__xludf.DUMMYFUNCTION("""COMPUTED_VALUE"""),847.0)</f>
        <v>847</v>
      </c>
      <c r="D5554" s="3">
        <f>IFERROR(__xludf.DUMMYFUNCTION("""COMPUTED_VALUE"""),726.0)</f>
        <v>726</v>
      </c>
      <c r="E5554" s="2"/>
      <c r="F5554" s="2"/>
    </row>
    <row r="5555">
      <c r="A5555" s="2">
        <f>IFERROR(__xludf.DUMMYFUNCTION("""COMPUTED_VALUE"""),9521.0)</f>
        <v>9521</v>
      </c>
      <c r="B5555" s="2">
        <f>IFERROR(__xludf.DUMMYFUNCTION("""COMPUTED_VALUE"""),1.0)</f>
        <v>1</v>
      </c>
      <c r="C5555" s="2">
        <f>IFERROR(__xludf.DUMMYFUNCTION("""COMPUTED_VALUE"""),213.0)</f>
        <v>213</v>
      </c>
      <c r="D5555" s="3">
        <f>IFERROR(__xludf.DUMMYFUNCTION("""COMPUTED_VALUE"""),162.0)</f>
        <v>162</v>
      </c>
      <c r="E5555" s="2"/>
      <c r="F5555" s="2"/>
    </row>
    <row r="5556">
      <c r="A5556" s="2">
        <f>IFERROR(__xludf.DUMMYFUNCTION("""COMPUTED_VALUE"""),9522.0)</f>
        <v>9522</v>
      </c>
      <c r="B5556" s="2">
        <f>IFERROR(__xludf.DUMMYFUNCTION("""COMPUTED_VALUE"""),1.0)</f>
        <v>1</v>
      </c>
      <c r="C5556" s="2">
        <f>IFERROR(__xludf.DUMMYFUNCTION("""COMPUTED_VALUE"""),53.0)</f>
        <v>53</v>
      </c>
      <c r="D5556" s="3">
        <f>IFERROR(__xludf.DUMMYFUNCTION("""COMPUTED_VALUE"""),29.0)</f>
        <v>29</v>
      </c>
      <c r="E5556" s="2"/>
      <c r="F5556" s="2"/>
    </row>
    <row r="5557">
      <c r="A5557" s="2">
        <f>IFERROR(__xludf.DUMMYFUNCTION("""COMPUTED_VALUE"""),94048.0)</f>
        <v>94048</v>
      </c>
      <c r="B5557" s="2">
        <f>IFERROR(__xludf.DUMMYFUNCTION("""COMPUTED_VALUE"""),1.0)</f>
        <v>1</v>
      </c>
      <c r="C5557" s="2">
        <f>IFERROR(__xludf.DUMMYFUNCTION("""COMPUTED_VALUE"""),266.0)</f>
        <v>266</v>
      </c>
      <c r="D5557" s="3">
        <f>IFERROR(__xludf.DUMMYFUNCTION("""COMPUTED_VALUE"""),247.0)</f>
        <v>247</v>
      </c>
      <c r="E5557" s="2"/>
      <c r="F5557" s="2"/>
    </row>
    <row r="5558">
      <c r="A5558" s="2">
        <f>IFERROR(__xludf.DUMMYFUNCTION("""COMPUTED_VALUE"""),121549.0)</f>
        <v>121549</v>
      </c>
      <c r="B5558" s="2">
        <f>IFERROR(__xludf.DUMMYFUNCTION("""COMPUTED_VALUE"""),0.0)</f>
        <v>0</v>
      </c>
      <c r="C5558" s="2">
        <f>IFERROR(__xludf.DUMMYFUNCTION("""COMPUTED_VALUE"""),430.0)</f>
        <v>430</v>
      </c>
      <c r="D5558" s="3">
        <f>IFERROR(__xludf.DUMMYFUNCTION("""COMPUTED_VALUE"""),173.0)</f>
        <v>173</v>
      </c>
      <c r="E5558" s="2"/>
      <c r="F5558" s="2"/>
    </row>
    <row r="5559">
      <c r="A5559" s="2">
        <f>IFERROR(__xludf.DUMMYFUNCTION("""COMPUTED_VALUE"""),9593.0)</f>
        <v>9593</v>
      </c>
      <c r="B5559" s="2">
        <f>IFERROR(__xludf.DUMMYFUNCTION("""COMPUTED_VALUE"""),0.0)</f>
        <v>0</v>
      </c>
      <c r="C5559" s="2">
        <f>IFERROR(__xludf.DUMMYFUNCTION("""COMPUTED_VALUE"""),348.0)</f>
        <v>348</v>
      </c>
      <c r="D5559" s="3">
        <f>IFERROR(__xludf.DUMMYFUNCTION("""COMPUTED_VALUE"""),237.0)</f>
        <v>237</v>
      </c>
      <c r="E5559" s="2"/>
      <c r="F5559" s="2"/>
    </row>
    <row r="5560">
      <c r="A5560" s="2">
        <f>IFERROR(__xludf.DUMMYFUNCTION("""COMPUTED_VALUE"""),119247.0)</f>
        <v>119247</v>
      </c>
      <c r="B5560" s="2">
        <f>IFERROR(__xludf.DUMMYFUNCTION("""COMPUTED_VALUE"""),0.0)</f>
        <v>0</v>
      </c>
      <c r="C5560" s="2">
        <f>IFERROR(__xludf.DUMMYFUNCTION("""COMPUTED_VALUE"""),859.0)</f>
        <v>859</v>
      </c>
      <c r="D5560" s="3">
        <f>IFERROR(__xludf.DUMMYFUNCTION("""COMPUTED_VALUE"""),195.0)</f>
        <v>195</v>
      </c>
      <c r="E5560" s="2"/>
      <c r="F5560" s="2"/>
    </row>
    <row r="5561">
      <c r="A5561" s="2">
        <f>IFERROR(__xludf.DUMMYFUNCTION("""COMPUTED_VALUE"""),9516.0)</f>
        <v>9516</v>
      </c>
      <c r="B5561" s="2">
        <f>IFERROR(__xludf.DUMMYFUNCTION("""COMPUTED_VALUE"""),1.0)</f>
        <v>1</v>
      </c>
      <c r="C5561" s="2">
        <f>IFERROR(__xludf.DUMMYFUNCTION("""COMPUTED_VALUE"""),683.0)</f>
        <v>683</v>
      </c>
      <c r="D5561" s="3">
        <f>IFERROR(__xludf.DUMMYFUNCTION("""COMPUTED_VALUE"""),399.0)</f>
        <v>399</v>
      </c>
      <c r="E5561" s="2"/>
      <c r="F5561" s="2"/>
    </row>
    <row r="5562">
      <c r="A5562" s="2">
        <f>IFERROR(__xludf.DUMMYFUNCTION("""COMPUTED_VALUE"""),193265.0)</f>
        <v>193265</v>
      </c>
      <c r="B5562" s="2">
        <f>IFERROR(__xludf.DUMMYFUNCTION("""COMPUTED_VALUE"""),1.0)</f>
        <v>1</v>
      </c>
      <c r="C5562" s="2">
        <f>IFERROR(__xludf.DUMMYFUNCTION("""COMPUTED_VALUE"""),753.0)</f>
        <v>753</v>
      </c>
      <c r="D5562" s="3">
        <f>IFERROR(__xludf.DUMMYFUNCTION("""COMPUTED_VALUE"""),528.0)</f>
        <v>528</v>
      </c>
      <c r="E5562" s="2"/>
      <c r="F5562" s="2"/>
    </row>
    <row r="5563">
      <c r="A5563" s="2">
        <f>IFERROR(__xludf.DUMMYFUNCTION("""COMPUTED_VALUE"""),13869.0)</f>
        <v>13869</v>
      </c>
      <c r="B5563" s="2">
        <f>IFERROR(__xludf.DUMMYFUNCTION("""COMPUTED_VALUE"""),1.0)</f>
        <v>1</v>
      </c>
      <c r="C5563" s="2">
        <f>IFERROR(__xludf.DUMMYFUNCTION("""COMPUTED_VALUE"""),311.0)</f>
        <v>311</v>
      </c>
      <c r="D5563" s="3">
        <f>IFERROR(__xludf.DUMMYFUNCTION("""COMPUTED_VALUE"""),226.0)</f>
        <v>226</v>
      </c>
      <c r="E5563" s="2"/>
      <c r="F5563" s="2"/>
    </row>
    <row r="5564">
      <c r="A5564" s="2">
        <f>IFERROR(__xludf.DUMMYFUNCTION("""COMPUTED_VALUE"""),13877.0)</f>
        <v>13877</v>
      </c>
      <c r="B5564" s="2">
        <f>IFERROR(__xludf.DUMMYFUNCTION("""COMPUTED_VALUE"""),1.0)</f>
        <v>1</v>
      </c>
      <c r="C5564" s="2">
        <f>IFERROR(__xludf.DUMMYFUNCTION("""COMPUTED_VALUE"""),185.0)</f>
        <v>185</v>
      </c>
      <c r="D5564" s="3">
        <f>IFERROR(__xludf.DUMMYFUNCTION("""COMPUTED_VALUE"""),69.0)</f>
        <v>69</v>
      </c>
      <c r="E5564" s="2"/>
      <c r="F5564" s="2"/>
    </row>
    <row r="5565">
      <c r="A5565" s="2">
        <f>IFERROR(__xludf.DUMMYFUNCTION("""COMPUTED_VALUE"""),9493.0)</f>
        <v>9493</v>
      </c>
      <c r="B5565" s="2">
        <f>IFERROR(__xludf.DUMMYFUNCTION("""COMPUTED_VALUE"""),0.0)</f>
        <v>0</v>
      </c>
      <c r="C5565" s="2">
        <f>IFERROR(__xludf.DUMMYFUNCTION("""COMPUTED_VALUE"""),584.0)</f>
        <v>584</v>
      </c>
      <c r="D5565" s="3">
        <f>IFERROR(__xludf.DUMMYFUNCTION("""COMPUTED_VALUE"""),167.0)</f>
        <v>167</v>
      </c>
      <c r="E5565" s="2"/>
      <c r="F5565" s="2"/>
    </row>
    <row r="5566">
      <c r="A5566" s="2">
        <f>IFERROR(__xludf.DUMMYFUNCTION("""COMPUTED_VALUE"""),9502.0)</f>
        <v>9502</v>
      </c>
      <c r="B5566" s="2">
        <f>IFERROR(__xludf.DUMMYFUNCTION("""COMPUTED_VALUE"""),0.0)</f>
        <v>0</v>
      </c>
      <c r="C5566" s="2">
        <f>IFERROR(__xludf.DUMMYFUNCTION("""COMPUTED_VALUE"""),527.0)</f>
        <v>527</v>
      </c>
      <c r="D5566" s="3">
        <f>IFERROR(__xludf.DUMMYFUNCTION("""COMPUTED_VALUE"""),309.0)</f>
        <v>309</v>
      </c>
      <c r="E5566" s="2"/>
      <c r="F5566" s="2"/>
    </row>
    <row r="5567">
      <c r="A5567" s="2">
        <f>IFERROR(__xludf.DUMMYFUNCTION("""COMPUTED_VALUE"""),147301.0)</f>
        <v>147301</v>
      </c>
      <c r="B5567" s="2">
        <f>IFERROR(__xludf.DUMMYFUNCTION("""COMPUTED_VALUE"""),1.0)</f>
        <v>1</v>
      </c>
      <c r="C5567" s="2">
        <f>IFERROR(__xludf.DUMMYFUNCTION("""COMPUTED_VALUE"""),330.0)</f>
        <v>330</v>
      </c>
      <c r="D5567" s="3">
        <f>IFERROR(__xludf.DUMMYFUNCTION("""COMPUTED_VALUE"""),281.0)</f>
        <v>281</v>
      </c>
      <c r="E5567" s="2"/>
      <c r="F5567" s="2"/>
    </row>
    <row r="5568">
      <c r="A5568" s="2">
        <f>IFERROR(__xludf.DUMMYFUNCTION("""COMPUTED_VALUE"""),30569.0)</f>
        <v>30569</v>
      </c>
      <c r="B5568" s="2">
        <f>IFERROR(__xludf.DUMMYFUNCTION("""COMPUTED_VALUE"""),1.0)</f>
        <v>1</v>
      </c>
      <c r="C5568" s="2">
        <f>IFERROR(__xludf.DUMMYFUNCTION("""COMPUTED_VALUE"""),115.0)</f>
        <v>115</v>
      </c>
      <c r="D5568" s="3">
        <f>IFERROR(__xludf.DUMMYFUNCTION("""COMPUTED_VALUE"""),106.0)</f>
        <v>106</v>
      </c>
      <c r="E5568" s="2"/>
      <c r="F5568" s="2"/>
    </row>
    <row r="5569">
      <c r="A5569" s="2">
        <f>IFERROR(__xludf.DUMMYFUNCTION("""COMPUTED_VALUE"""),112190.0)</f>
        <v>112190</v>
      </c>
      <c r="B5569" s="2">
        <f>IFERROR(__xludf.DUMMYFUNCTION("""COMPUTED_VALUE"""),0.0)</f>
        <v>0</v>
      </c>
      <c r="C5569" s="2">
        <f>IFERROR(__xludf.DUMMYFUNCTION("""COMPUTED_VALUE"""),863.0)</f>
        <v>863</v>
      </c>
      <c r="D5569" s="3">
        <f>IFERROR(__xludf.DUMMYFUNCTION("""COMPUTED_VALUE"""),353.0)</f>
        <v>353</v>
      </c>
      <c r="E5569" s="2"/>
      <c r="F5569" s="2"/>
    </row>
    <row r="5570">
      <c r="A5570" s="2">
        <f>IFERROR(__xludf.DUMMYFUNCTION("""COMPUTED_VALUE"""),110833.0)</f>
        <v>110833</v>
      </c>
      <c r="B5570" s="2">
        <f>IFERROR(__xludf.DUMMYFUNCTION("""COMPUTED_VALUE"""),1.0)</f>
        <v>1</v>
      </c>
      <c r="C5570" s="2">
        <f>IFERROR(__xludf.DUMMYFUNCTION("""COMPUTED_VALUE"""),504.0)</f>
        <v>504</v>
      </c>
      <c r="D5570" s="3">
        <f>IFERROR(__xludf.DUMMYFUNCTION("""COMPUTED_VALUE"""),322.0)</f>
        <v>322</v>
      </c>
      <c r="E5570" s="2"/>
      <c r="F5570" s="2"/>
    </row>
    <row r="5571">
      <c r="A5571" s="2">
        <f>IFERROR(__xludf.DUMMYFUNCTION("""COMPUTED_VALUE"""),9505.0)</f>
        <v>9505</v>
      </c>
      <c r="B5571" s="2">
        <f>IFERROR(__xludf.DUMMYFUNCTION("""COMPUTED_VALUE"""),0.0)</f>
        <v>0</v>
      </c>
      <c r="C5571" s="2">
        <f>IFERROR(__xludf.DUMMYFUNCTION("""COMPUTED_VALUE"""),333.0)</f>
        <v>333</v>
      </c>
      <c r="D5571" s="3">
        <f>IFERROR(__xludf.DUMMYFUNCTION("""COMPUTED_VALUE"""),210.0)</f>
        <v>210</v>
      </c>
      <c r="E5571" s="2"/>
      <c r="F5571" s="2"/>
    </row>
    <row r="5572">
      <c r="A5572" s="2">
        <f>IFERROR(__xludf.DUMMYFUNCTION("""COMPUTED_VALUE"""),119248.0)</f>
        <v>119248</v>
      </c>
      <c r="B5572" s="2">
        <f>IFERROR(__xludf.DUMMYFUNCTION("""COMPUTED_VALUE"""),0.0)</f>
        <v>0</v>
      </c>
      <c r="C5572" s="2">
        <f>IFERROR(__xludf.DUMMYFUNCTION("""COMPUTED_VALUE"""),72.0)</f>
        <v>72</v>
      </c>
      <c r="D5572" s="3">
        <f>IFERROR(__xludf.DUMMYFUNCTION("""COMPUTED_VALUE"""),6.0)</f>
        <v>6</v>
      </c>
      <c r="E5572" s="2"/>
      <c r="F5572" s="2"/>
    </row>
    <row r="5573">
      <c r="A5573" s="2">
        <f>IFERROR(__xludf.DUMMYFUNCTION("""COMPUTED_VALUE"""),147306.0)</f>
        <v>147306</v>
      </c>
      <c r="B5573" s="2">
        <f>IFERROR(__xludf.DUMMYFUNCTION("""COMPUTED_VALUE"""),1.0)</f>
        <v>1</v>
      </c>
      <c r="C5573" s="2">
        <f>IFERROR(__xludf.DUMMYFUNCTION("""COMPUTED_VALUE"""),0.0)</f>
        <v>0</v>
      </c>
      <c r="D5573" s="3">
        <f>IFERROR(__xludf.DUMMYFUNCTION("""COMPUTED_VALUE"""),0.0)</f>
        <v>0</v>
      </c>
      <c r="E5573" s="2"/>
      <c r="F5573" s="2"/>
    </row>
    <row r="5574">
      <c r="A5574" s="2">
        <f>IFERROR(__xludf.DUMMYFUNCTION("""COMPUTED_VALUE"""),77425.0)</f>
        <v>77425</v>
      </c>
      <c r="B5574" s="2">
        <f>IFERROR(__xludf.DUMMYFUNCTION("""COMPUTED_VALUE"""),1.0)</f>
        <v>1</v>
      </c>
      <c r="C5574" s="2">
        <f>IFERROR(__xludf.DUMMYFUNCTION("""COMPUTED_VALUE"""),447.0)</f>
        <v>447</v>
      </c>
      <c r="D5574" s="3">
        <f>IFERROR(__xludf.DUMMYFUNCTION("""COMPUTED_VALUE"""),359.0)</f>
        <v>359</v>
      </c>
      <c r="E5574" s="2"/>
      <c r="F5574" s="2"/>
    </row>
    <row r="5575">
      <c r="A5575" s="2">
        <f>IFERROR(__xludf.DUMMYFUNCTION("""COMPUTED_VALUE"""),9497.0)</f>
        <v>9497</v>
      </c>
      <c r="B5575" s="2">
        <f>IFERROR(__xludf.DUMMYFUNCTION("""COMPUTED_VALUE"""),1.0)</f>
        <v>1</v>
      </c>
      <c r="C5575" s="2">
        <f>IFERROR(__xludf.DUMMYFUNCTION("""COMPUTED_VALUE"""),186.0)</f>
        <v>186</v>
      </c>
      <c r="D5575" s="3">
        <f>IFERROR(__xludf.DUMMYFUNCTION("""COMPUTED_VALUE"""),58.0)</f>
        <v>58</v>
      </c>
      <c r="E5575" s="2"/>
      <c r="F5575" s="2"/>
    </row>
    <row r="5576">
      <c r="A5576" s="2">
        <f>IFERROR(__xludf.DUMMYFUNCTION("""COMPUTED_VALUE"""),9601.0)</f>
        <v>9601</v>
      </c>
      <c r="B5576" s="2">
        <f>IFERROR(__xludf.DUMMYFUNCTION("""COMPUTED_VALUE"""),0.0)</f>
        <v>0</v>
      </c>
      <c r="C5576" s="2">
        <f>IFERROR(__xludf.DUMMYFUNCTION("""COMPUTED_VALUE"""),778.0)</f>
        <v>778</v>
      </c>
      <c r="D5576" s="3">
        <f>IFERROR(__xludf.DUMMYFUNCTION("""COMPUTED_VALUE"""),564.0)</f>
        <v>564</v>
      </c>
      <c r="E5576" s="2"/>
      <c r="F5576" s="2"/>
    </row>
    <row r="5577">
      <c r="A5577" s="2">
        <f>IFERROR(__xludf.DUMMYFUNCTION("""COMPUTED_VALUE"""),117799.0)</f>
        <v>117799</v>
      </c>
      <c r="B5577" s="2">
        <f>IFERROR(__xludf.DUMMYFUNCTION("""COMPUTED_VALUE"""),1.0)</f>
        <v>1</v>
      </c>
      <c r="C5577" s="2">
        <f>IFERROR(__xludf.DUMMYFUNCTION("""COMPUTED_VALUE"""),176.0)</f>
        <v>176</v>
      </c>
      <c r="D5577" s="3">
        <f>IFERROR(__xludf.DUMMYFUNCTION("""COMPUTED_VALUE"""),82.0)</f>
        <v>82</v>
      </c>
      <c r="E5577" s="2"/>
      <c r="F5577" s="2"/>
    </row>
    <row r="5578">
      <c r="A5578" s="2">
        <f>IFERROR(__xludf.DUMMYFUNCTION("""COMPUTED_VALUE"""),82770.0)</f>
        <v>82770</v>
      </c>
      <c r="B5578" s="2">
        <f>IFERROR(__xludf.DUMMYFUNCTION("""COMPUTED_VALUE"""),0.0)</f>
        <v>0</v>
      </c>
      <c r="C5578" s="2">
        <f>IFERROR(__xludf.DUMMYFUNCTION("""COMPUTED_VALUE"""),965.0)</f>
        <v>965</v>
      </c>
      <c r="D5578" s="3">
        <f>IFERROR(__xludf.DUMMYFUNCTION("""COMPUTED_VALUE"""),152.0)</f>
        <v>152</v>
      </c>
      <c r="E5578" s="2"/>
      <c r="F5578" s="2"/>
    </row>
    <row r="5579">
      <c r="A5579" s="2">
        <f>IFERROR(__xludf.DUMMYFUNCTION("""COMPUTED_VALUE"""),119249.0)</f>
        <v>119249</v>
      </c>
      <c r="B5579" s="2">
        <f>IFERROR(__xludf.DUMMYFUNCTION("""COMPUTED_VALUE"""),0.0)</f>
        <v>0</v>
      </c>
      <c r="C5579" s="2">
        <f>IFERROR(__xludf.DUMMYFUNCTION("""COMPUTED_VALUE"""),652.0)</f>
        <v>652</v>
      </c>
      <c r="D5579" s="3">
        <f>IFERROR(__xludf.DUMMYFUNCTION("""COMPUTED_VALUE"""),267.0)</f>
        <v>267</v>
      </c>
      <c r="E5579" s="2"/>
      <c r="F5579" s="2"/>
    </row>
    <row r="5580">
      <c r="A5580" s="2">
        <f>IFERROR(__xludf.DUMMYFUNCTION("""COMPUTED_VALUE"""),86191.0)</f>
        <v>86191</v>
      </c>
      <c r="B5580" s="2">
        <f>IFERROR(__xludf.DUMMYFUNCTION("""COMPUTED_VALUE"""),1.0)</f>
        <v>1</v>
      </c>
      <c r="C5580" s="2">
        <f>IFERROR(__xludf.DUMMYFUNCTION("""COMPUTED_VALUE"""),848.0)</f>
        <v>848</v>
      </c>
      <c r="D5580" s="3">
        <f>IFERROR(__xludf.DUMMYFUNCTION("""COMPUTED_VALUE"""),9.0)</f>
        <v>9</v>
      </c>
      <c r="E5580" s="2"/>
      <c r="F5580" s="2"/>
    </row>
    <row r="5581">
      <c r="A5581" s="2">
        <f>IFERROR(__xludf.DUMMYFUNCTION("""COMPUTED_VALUE"""),9503.0)</f>
        <v>9503</v>
      </c>
      <c r="B5581" s="2">
        <f>IFERROR(__xludf.DUMMYFUNCTION("""COMPUTED_VALUE"""),1.0)</f>
        <v>1</v>
      </c>
      <c r="C5581" s="2">
        <f>IFERROR(__xludf.DUMMYFUNCTION("""COMPUTED_VALUE"""),792.0)</f>
        <v>792</v>
      </c>
      <c r="D5581" s="3">
        <f>IFERROR(__xludf.DUMMYFUNCTION("""COMPUTED_VALUE"""),271.0)</f>
        <v>271</v>
      </c>
      <c r="E5581" s="2"/>
      <c r="F5581" s="2"/>
    </row>
    <row r="5582">
      <c r="A5582" s="2">
        <f>IFERROR(__xludf.DUMMYFUNCTION("""COMPUTED_VALUE"""),94007.0)</f>
        <v>94007</v>
      </c>
      <c r="B5582" s="2">
        <f>IFERROR(__xludf.DUMMYFUNCTION("""COMPUTED_VALUE"""),0.0)</f>
        <v>0</v>
      </c>
      <c r="C5582" s="2">
        <f>IFERROR(__xludf.DUMMYFUNCTION("""COMPUTED_VALUE"""),61.0)</f>
        <v>61</v>
      </c>
      <c r="D5582" s="3">
        <f>IFERROR(__xludf.DUMMYFUNCTION("""COMPUTED_VALUE"""),31.0)</f>
        <v>31</v>
      </c>
      <c r="E5582" s="2"/>
      <c r="F5582" s="2"/>
    </row>
    <row r="5583">
      <c r="A5583" s="2">
        <f>IFERROR(__xludf.DUMMYFUNCTION("""COMPUTED_VALUE"""),82761.0)</f>
        <v>82761</v>
      </c>
      <c r="B5583" s="2">
        <f>IFERROR(__xludf.DUMMYFUNCTION("""COMPUTED_VALUE"""),1.0)</f>
        <v>1</v>
      </c>
      <c r="C5583" s="2">
        <f>IFERROR(__xludf.DUMMYFUNCTION("""COMPUTED_VALUE"""),954.0)</f>
        <v>954</v>
      </c>
      <c r="D5583" s="3">
        <f>IFERROR(__xludf.DUMMYFUNCTION("""COMPUTED_VALUE"""),855.0)</f>
        <v>855</v>
      </c>
      <c r="E5583" s="2"/>
      <c r="F5583" s="2"/>
    </row>
    <row r="5584">
      <c r="A5584" s="2">
        <f>IFERROR(__xludf.DUMMYFUNCTION("""COMPUTED_VALUE"""),9599.0)</f>
        <v>9599</v>
      </c>
      <c r="B5584" s="2">
        <f>IFERROR(__xludf.DUMMYFUNCTION("""COMPUTED_VALUE"""),1.0)</f>
        <v>1</v>
      </c>
      <c r="C5584" s="2">
        <f>IFERROR(__xludf.DUMMYFUNCTION("""COMPUTED_VALUE"""),874.0)</f>
        <v>874</v>
      </c>
      <c r="D5584" s="3">
        <f>IFERROR(__xludf.DUMMYFUNCTION("""COMPUTED_VALUE"""),98.0)</f>
        <v>98</v>
      </c>
      <c r="E5584" s="2"/>
      <c r="F5584" s="2"/>
    </row>
    <row r="5585">
      <c r="A5585" s="2">
        <f>IFERROR(__xludf.DUMMYFUNCTION("""COMPUTED_VALUE"""),9496.0)</f>
        <v>9496</v>
      </c>
      <c r="B5585" s="2">
        <f>IFERROR(__xludf.DUMMYFUNCTION("""COMPUTED_VALUE"""),1.0)</f>
        <v>1</v>
      </c>
      <c r="C5585" s="2">
        <f>IFERROR(__xludf.DUMMYFUNCTION("""COMPUTED_VALUE"""),321.0)</f>
        <v>321</v>
      </c>
      <c r="D5585" s="3">
        <f>IFERROR(__xludf.DUMMYFUNCTION("""COMPUTED_VALUE"""),319.0)</f>
        <v>319</v>
      </c>
      <c r="E5585" s="2"/>
      <c r="F5585" s="2"/>
    </row>
    <row r="5586">
      <c r="A5586" s="2">
        <f>IFERROR(__xludf.DUMMYFUNCTION("""COMPUTED_VALUE"""),195072.0)</f>
        <v>195072</v>
      </c>
      <c r="B5586" s="2">
        <f>IFERROR(__xludf.DUMMYFUNCTION("""COMPUTED_VALUE"""),0.0)</f>
        <v>0</v>
      </c>
      <c r="C5586" s="2">
        <f>IFERROR(__xludf.DUMMYFUNCTION("""COMPUTED_VALUE"""),300.0)</f>
        <v>300</v>
      </c>
      <c r="D5586" s="3">
        <f>IFERROR(__xludf.DUMMYFUNCTION("""COMPUTED_VALUE"""),155.0)</f>
        <v>155</v>
      </c>
      <c r="E5586" s="2"/>
      <c r="F5586" s="2"/>
    </row>
    <row r="5587">
      <c r="A5587" s="2">
        <f>IFERROR(__xludf.DUMMYFUNCTION("""COMPUTED_VALUE"""),119252.0)</f>
        <v>119252</v>
      </c>
      <c r="B5587" s="2">
        <f>IFERROR(__xludf.DUMMYFUNCTION("""COMPUTED_VALUE"""),1.0)</f>
        <v>1</v>
      </c>
      <c r="C5587" s="2">
        <f>IFERROR(__xludf.DUMMYFUNCTION("""COMPUTED_VALUE"""),891.0)</f>
        <v>891</v>
      </c>
      <c r="D5587" s="3">
        <f>IFERROR(__xludf.DUMMYFUNCTION("""COMPUTED_VALUE"""),214.0)</f>
        <v>214</v>
      </c>
      <c r="E5587" s="2"/>
      <c r="F5587" s="2"/>
    </row>
    <row r="5588">
      <c r="A5588" s="2">
        <f>IFERROR(__xludf.DUMMYFUNCTION("""COMPUTED_VALUE"""),9501.0)</f>
        <v>9501</v>
      </c>
      <c r="B5588" s="2">
        <f>IFERROR(__xludf.DUMMYFUNCTION("""COMPUTED_VALUE"""),0.0)</f>
        <v>0</v>
      </c>
      <c r="C5588" s="2">
        <f>IFERROR(__xludf.DUMMYFUNCTION("""COMPUTED_VALUE"""),477.0)</f>
        <v>477</v>
      </c>
      <c r="D5588" s="3">
        <f>IFERROR(__xludf.DUMMYFUNCTION("""COMPUTED_VALUE"""),213.0)</f>
        <v>213</v>
      </c>
      <c r="E5588" s="2"/>
      <c r="F5588" s="2"/>
    </row>
    <row r="5589">
      <c r="A5589" s="2">
        <f>IFERROR(__xludf.DUMMYFUNCTION("""COMPUTED_VALUE"""),9491.0)</f>
        <v>9491</v>
      </c>
      <c r="B5589" s="2">
        <f>IFERROR(__xludf.DUMMYFUNCTION("""COMPUTED_VALUE"""),1.0)</f>
        <v>1</v>
      </c>
      <c r="C5589" s="2">
        <f>IFERROR(__xludf.DUMMYFUNCTION("""COMPUTED_VALUE"""),426.0)</f>
        <v>426</v>
      </c>
      <c r="D5589" s="3">
        <f>IFERROR(__xludf.DUMMYFUNCTION("""COMPUTED_VALUE"""),88.0)</f>
        <v>88</v>
      </c>
      <c r="E5589" s="2"/>
      <c r="F5589" s="2"/>
    </row>
    <row r="5590">
      <c r="A5590" s="2">
        <f>IFERROR(__xludf.DUMMYFUNCTION("""COMPUTED_VALUE"""),194058.0)</f>
        <v>194058</v>
      </c>
      <c r="B5590" s="2">
        <f>IFERROR(__xludf.DUMMYFUNCTION("""COMPUTED_VALUE"""),0.0)</f>
        <v>0</v>
      </c>
      <c r="C5590" s="2">
        <f>IFERROR(__xludf.DUMMYFUNCTION("""COMPUTED_VALUE"""),694.0)</f>
        <v>694</v>
      </c>
      <c r="D5590" s="3">
        <f>IFERROR(__xludf.DUMMYFUNCTION("""COMPUTED_VALUE"""),356.0)</f>
        <v>356</v>
      </c>
      <c r="E5590" s="2"/>
      <c r="F5590" s="2"/>
    </row>
    <row r="5591">
      <c r="A5591" s="2">
        <f>IFERROR(__xludf.DUMMYFUNCTION("""COMPUTED_VALUE"""),111319.0)</f>
        <v>111319</v>
      </c>
      <c r="B5591" s="2">
        <f>IFERROR(__xludf.DUMMYFUNCTION("""COMPUTED_VALUE"""),0.0)</f>
        <v>0</v>
      </c>
      <c r="C5591" s="2">
        <f>IFERROR(__xludf.DUMMYFUNCTION("""COMPUTED_VALUE"""),921.0)</f>
        <v>921</v>
      </c>
      <c r="D5591" s="3">
        <f>IFERROR(__xludf.DUMMYFUNCTION("""COMPUTED_VALUE"""),346.0)</f>
        <v>346</v>
      </c>
      <c r="E5591" s="2"/>
      <c r="F5591" s="2"/>
    </row>
    <row r="5592">
      <c r="A5592" s="2">
        <f>IFERROR(__xludf.DUMMYFUNCTION("""COMPUTED_VALUE"""),86655.0)</f>
        <v>86655</v>
      </c>
      <c r="B5592" s="2">
        <f>IFERROR(__xludf.DUMMYFUNCTION("""COMPUTED_VALUE"""),1.0)</f>
        <v>1</v>
      </c>
      <c r="C5592" s="2">
        <f>IFERROR(__xludf.DUMMYFUNCTION("""COMPUTED_VALUE"""),194.0)</f>
        <v>194</v>
      </c>
      <c r="D5592" s="3">
        <f>IFERROR(__xludf.DUMMYFUNCTION("""COMPUTED_VALUE"""),152.0)</f>
        <v>152</v>
      </c>
      <c r="E5592" s="2"/>
      <c r="F5592" s="2"/>
    </row>
    <row r="5593">
      <c r="A5593" s="2">
        <f>IFERROR(__xludf.DUMMYFUNCTION("""COMPUTED_VALUE"""),147300.0)</f>
        <v>147300</v>
      </c>
      <c r="B5593" s="2">
        <f>IFERROR(__xludf.DUMMYFUNCTION("""COMPUTED_VALUE"""),1.0)</f>
        <v>1</v>
      </c>
      <c r="C5593" s="2">
        <f>IFERROR(__xludf.DUMMYFUNCTION("""COMPUTED_VALUE"""),3.0)</f>
        <v>3</v>
      </c>
      <c r="D5593" s="3">
        <f>IFERROR(__xludf.DUMMYFUNCTION("""COMPUTED_VALUE"""),3.0)</f>
        <v>3</v>
      </c>
      <c r="E5593" s="2"/>
      <c r="F5593" s="2"/>
    </row>
    <row r="5594">
      <c r="A5594" s="2">
        <f>IFERROR(__xludf.DUMMYFUNCTION("""COMPUTED_VALUE"""),13861.0)</f>
        <v>13861</v>
      </c>
      <c r="B5594" s="2">
        <f>IFERROR(__xludf.DUMMYFUNCTION("""COMPUTED_VALUE"""),1.0)</f>
        <v>1</v>
      </c>
      <c r="C5594" s="2">
        <f>IFERROR(__xludf.DUMMYFUNCTION("""COMPUTED_VALUE"""),273.0)</f>
        <v>273</v>
      </c>
      <c r="D5594" s="3">
        <f>IFERROR(__xludf.DUMMYFUNCTION("""COMPUTED_VALUE"""),224.0)</f>
        <v>224</v>
      </c>
      <c r="E5594" s="2"/>
      <c r="F5594" s="2"/>
    </row>
    <row r="5595">
      <c r="A5595" s="2">
        <f>IFERROR(__xludf.DUMMYFUNCTION("""COMPUTED_VALUE"""),81510.0)</f>
        <v>81510</v>
      </c>
      <c r="B5595" s="2">
        <f>IFERROR(__xludf.DUMMYFUNCTION("""COMPUTED_VALUE"""),1.0)</f>
        <v>1</v>
      </c>
      <c r="C5595" s="2">
        <f>IFERROR(__xludf.DUMMYFUNCTION("""COMPUTED_VALUE"""),116.0)</f>
        <v>116</v>
      </c>
      <c r="D5595" s="3">
        <f>IFERROR(__xludf.DUMMYFUNCTION("""COMPUTED_VALUE"""),30.0)</f>
        <v>30</v>
      </c>
      <c r="E5595" s="2"/>
      <c r="F5595" s="2"/>
    </row>
    <row r="5596">
      <c r="A5596" s="2">
        <f>IFERROR(__xludf.DUMMYFUNCTION("""COMPUTED_VALUE"""),9560.0)</f>
        <v>9560</v>
      </c>
      <c r="B5596" s="2">
        <f>IFERROR(__xludf.DUMMYFUNCTION("""COMPUTED_VALUE"""),1.0)</f>
        <v>1</v>
      </c>
      <c r="C5596" s="2">
        <f>IFERROR(__xludf.DUMMYFUNCTION("""COMPUTED_VALUE"""),735.0)</f>
        <v>735</v>
      </c>
      <c r="D5596" s="3">
        <f>IFERROR(__xludf.DUMMYFUNCTION("""COMPUTED_VALUE"""),90.0)</f>
        <v>90</v>
      </c>
      <c r="E5596" s="2"/>
      <c r="F5596" s="2"/>
    </row>
    <row r="5597">
      <c r="A5597" s="2">
        <f>IFERROR(__xludf.DUMMYFUNCTION("""COMPUTED_VALUE"""),72161.0)</f>
        <v>72161</v>
      </c>
      <c r="B5597" s="2">
        <f>IFERROR(__xludf.DUMMYFUNCTION("""COMPUTED_VALUE"""),1.0)</f>
        <v>1</v>
      </c>
      <c r="C5597" s="2">
        <f>IFERROR(__xludf.DUMMYFUNCTION("""COMPUTED_VALUE"""),173.0)</f>
        <v>173</v>
      </c>
      <c r="D5597" s="3">
        <f>IFERROR(__xludf.DUMMYFUNCTION("""COMPUTED_VALUE"""),59.0)</f>
        <v>59</v>
      </c>
      <c r="E5597" s="2"/>
      <c r="F5597" s="2"/>
    </row>
    <row r="5598">
      <c r="A5598" s="2">
        <f>IFERROR(__xludf.DUMMYFUNCTION("""COMPUTED_VALUE"""),9561.0)</f>
        <v>9561</v>
      </c>
      <c r="B5598" s="2">
        <f>IFERROR(__xludf.DUMMYFUNCTION("""COMPUTED_VALUE"""),1.0)</f>
        <v>1</v>
      </c>
      <c r="C5598" s="2">
        <f>IFERROR(__xludf.DUMMYFUNCTION("""COMPUTED_VALUE"""),670.0)</f>
        <v>670</v>
      </c>
      <c r="D5598" s="3">
        <f>IFERROR(__xludf.DUMMYFUNCTION("""COMPUTED_VALUE"""),177.0)</f>
        <v>177</v>
      </c>
      <c r="E5598" s="2"/>
      <c r="F5598" s="2"/>
    </row>
    <row r="5599">
      <c r="A5599" s="2">
        <f>IFERROR(__xludf.DUMMYFUNCTION("""COMPUTED_VALUE"""),9562.0)</f>
        <v>9562</v>
      </c>
      <c r="B5599" s="2">
        <f>IFERROR(__xludf.DUMMYFUNCTION("""COMPUTED_VALUE"""),1.0)</f>
        <v>1</v>
      </c>
      <c r="C5599" s="2">
        <f>IFERROR(__xludf.DUMMYFUNCTION("""COMPUTED_VALUE"""),982.0)</f>
        <v>982</v>
      </c>
      <c r="D5599" s="3">
        <f>IFERROR(__xludf.DUMMYFUNCTION("""COMPUTED_VALUE"""),799.0)</f>
        <v>799</v>
      </c>
      <c r="E5599" s="2"/>
      <c r="F5599" s="2"/>
    </row>
    <row r="5600">
      <c r="A5600" s="2">
        <f>IFERROR(__xludf.DUMMYFUNCTION("""COMPUTED_VALUE"""),119250.0)</f>
        <v>119250</v>
      </c>
      <c r="B5600" s="2">
        <f>IFERROR(__xludf.DUMMYFUNCTION("""COMPUTED_VALUE"""),1.0)</f>
        <v>1</v>
      </c>
      <c r="C5600" s="2">
        <f>IFERROR(__xludf.DUMMYFUNCTION("""COMPUTED_VALUE"""),129.0)</f>
        <v>129</v>
      </c>
      <c r="D5600" s="3">
        <f>IFERROR(__xludf.DUMMYFUNCTION("""COMPUTED_VALUE"""),98.0)</f>
        <v>98</v>
      </c>
      <c r="E5600" s="2"/>
      <c r="F5600" s="2"/>
    </row>
    <row r="5601">
      <c r="A5601" s="2">
        <f>IFERROR(__xludf.DUMMYFUNCTION("""COMPUTED_VALUE"""),122297.0)</f>
        <v>122297</v>
      </c>
      <c r="B5601" s="2">
        <f>IFERROR(__xludf.DUMMYFUNCTION("""COMPUTED_VALUE"""),1.0)</f>
        <v>1</v>
      </c>
      <c r="C5601" s="2">
        <f>IFERROR(__xludf.DUMMYFUNCTION("""COMPUTED_VALUE"""),576.0)</f>
        <v>576</v>
      </c>
      <c r="D5601" s="3">
        <f>IFERROR(__xludf.DUMMYFUNCTION("""COMPUTED_VALUE"""),120.0)</f>
        <v>120</v>
      </c>
      <c r="E5601" s="2"/>
      <c r="F5601" s="2"/>
    </row>
    <row r="5602">
      <c r="A5602" s="2">
        <f>IFERROR(__xludf.DUMMYFUNCTION("""COMPUTED_VALUE"""),164879.0)</f>
        <v>164879</v>
      </c>
      <c r="B5602" s="2">
        <f>IFERROR(__xludf.DUMMYFUNCTION("""COMPUTED_VALUE"""),0.0)</f>
        <v>0</v>
      </c>
      <c r="C5602" s="2">
        <f>IFERROR(__xludf.DUMMYFUNCTION("""COMPUTED_VALUE"""),859.0)</f>
        <v>859</v>
      </c>
      <c r="D5602" s="3">
        <f>IFERROR(__xludf.DUMMYFUNCTION("""COMPUTED_VALUE"""),583.0)</f>
        <v>583</v>
      </c>
      <c r="E5602" s="2"/>
      <c r="F5602" s="2"/>
    </row>
    <row r="5603">
      <c r="A5603" s="2">
        <f>IFERROR(__xludf.DUMMYFUNCTION("""COMPUTED_VALUE"""),48697.0)</f>
        <v>48697</v>
      </c>
      <c r="B5603" s="2">
        <f>IFERROR(__xludf.DUMMYFUNCTION("""COMPUTED_VALUE"""),0.0)</f>
        <v>0</v>
      </c>
      <c r="C5603" s="2">
        <f>IFERROR(__xludf.DUMMYFUNCTION("""COMPUTED_VALUE"""),364.0)</f>
        <v>364</v>
      </c>
      <c r="D5603" s="3">
        <f>IFERROR(__xludf.DUMMYFUNCTION("""COMPUTED_VALUE"""),272.0)</f>
        <v>272</v>
      </c>
      <c r="E5603" s="2"/>
      <c r="F5603" s="2"/>
    </row>
    <row r="5604">
      <c r="A5604" s="2">
        <f>IFERROR(__xludf.DUMMYFUNCTION("""COMPUTED_VALUE"""),122299.0)</f>
        <v>122299</v>
      </c>
      <c r="B5604" s="2">
        <f>IFERROR(__xludf.DUMMYFUNCTION("""COMPUTED_VALUE"""),0.0)</f>
        <v>0</v>
      </c>
      <c r="C5604" s="2">
        <f>IFERROR(__xludf.DUMMYFUNCTION("""COMPUTED_VALUE"""),542.0)</f>
        <v>542</v>
      </c>
      <c r="D5604" s="3">
        <f>IFERROR(__xludf.DUMMYFUNCTION("""COMPUTED_VALUE"""),328.0)</f>
        <v>328</v>
      </c>
      <c r="E5604" s="2"/>
      <c r="F5604" s="2"/>
    </row>
    <row r="5605">
      <c r="A5605" s="2">
        <f>IFERROR(__xludf.DUMMYFUNCTION("""COMPUTED_VALUE"""),82997.0)</f>
        <v>82997</v>
      </c>
      <c r="B5605" s="2">
        <f>IFERROR(__xludf.DUMMYFUNCTION("""COMPUTED_VALUE"""),1.0)</f>
        <v>1</v>
      </c>
      <c r="C5605" s="2">
        <f>IFERROR(__xludf.DUMMYFUNCTION("""COMPUTED_VALUE"""),205.0)</f>
        <v>205</v>
      </c>
      <c r="D5605" s="3">
        <f>IFERROR(__xludf.DUMMYFUNCTION("""COMPUTED_VALUE"""),36.0)</f>
        <v>36</v>
      </c>
      <c r="E5605" s="2"/>
      <c r="F5605" s="2"/>
    </row>
    <row r="5606">
      <c r="A5606" s="2">
        <f>IFERROR(__xludf.DUMMYFUNCTION("""COMPUTED_VALUE"""),108350.0)</f>
        <v>108350</v>
      </c>
      <c r="B5606" s="2">
        <f>IFERROR(__xludf.DUMMYFUNCTION("""COMPUTED_VALUE"""),0.0)</f>
        <v>0</v>
      </c>
      <c r="C5606" s="2">
        <f>IFERROR(__xludf.DUMMYFUNCTION("""COMPUTED_VALUE"""),377.0)</f>
        <v>377</v>
      </c>
      <c r="D5606" s="3">
        <f>IFERROR(__xludf.DUMMYFUNCTION("""COMPUTED_VALUE"""),41.0)</f>
        <v>41</v>
      </c>
      <c r="E5606" s="2"/>
      <c r="F5606" s="2"/>
    </row>
    <row r="5607">
      <c r="A5607" s="2">
        <f>IFERROR(__xludf.DUMMYFUNCTION("""COMPUTED_VALUE"""),48699.0)</f>
        <v>48699</v>
      </c>
      <c r="B5607" s="2">
        <f>IFERROR(__xludf.DUMMYFUNCTION("""COMPUTED_VALUE"""),1.0)</f>
        <v>1</v>
      </c>
      <c r="C5607" s="2">
        <f>IFERROR(__xludf.DUMMYFUNCTION("""COMPUTED_VALUE"""),426.0)</f>
        <v>426</v>
      </c>
      <c r="D5607" s="3">
        <f>IFERROR(__xludf.DUMMYFUNCTION("""COMPUTED_VALUE"""),98.0)</f>
        <v>98</v>
      </c>
      <c r="E5607" s="2"/>
      <c r="F5607" s="2"/>
    </row>
    <row r="5608">
      <c r="A5608" s="2">
        <f>IFERROR(__xludf.DUMMYFUNCTION("""COMPUTED_VALUE"""),108364.0)</f>
        <v>108364</v>
      </c>
      <c r="B5608" s="2">
        <f>IFERROR(__xludf.DUMMYFUNCTION("""COMPUTED_VALUE"""),1.0)</f>
        <v>1</v>
      </c>
      <c r="C5608" s="2">
        <f>IFERROR(__xludf.DUMMYFUNCTION("""COMPUTED_VALUE"""),551.0)</f>
        <v>551</v>
      </c>
      <c r="D5608" s="3">
        <f>IFERROR(__xludf.DUMMYFUNCTION("""COMPUTED_VALUE"""),121.0)</f>
        <v>121</v>
      </c>
      <c r="E5608" s="2"/>
      <c r="F5608" s="2"/>
    </row>
    <row r="5609">
      <c r="A5609" s="2">
        <f>IFERROR(__xludf.DUMMYFUNCTION("""COMPUTED_VALUE"""),5799.0)</f>
        <v>5799</v>
      </c>
      <c r="B5609" s="2">
        <f>IFERROR(__xludf.DUMMYFUNCTION("""COMPUTED_VALUE"""),0.0)</f>
        <v>0</v>
      </c>
      <c r="C5609" s="2">
        <f>IFERROR(__xludf.DUMMYFUNCTION("""COMPUTED_VALUE"""),145.0)</f>
        <v>145</v>
      </c>
      <c r="D5609" s="3">
        <f>IFERROR(__xludf.DUMMYFUNCTION("""COMPUTED_VALUE"""),66.0)</f>
        <v>66</v>
      </c>
      <c r="E5609" s="2"/>
      <c r="F5609" s="2"/>
    </row>
    <row r="5610">
      <c r="A5610" s="2">
        <f>IFERROR(__xludf.DUMMYFUNCTION("""COMPUTED_VALUE"""),81501.0)</f>
        <v>81501</v>
      </c>
      <c r="B5610" s="2">
        <f>IFERROR(__xludf.DUMMYFUNCTION("""COMPUTED_VALUE"""),1.0)</f>
        <v>1</v>
      </c>
      <c r="C5610" s="2">
        <f>IFERROR(__xludf.DUMMYFUNCTION("""COMPUTED_VALUE"""),500.0)</f>
        <v>500</v>
      </c>
      <c r="D5610" s="3">
        <f>IFERROR(__xludf.DUMMYFUNCTION("""COMPUTED_VALUE"""),176.0)</f>
        <v>176</v>
      </c>
      <c r="E5610" s="2"/>
      <c r="F5610" s="2"/>
    </row>
    <row r="5611">
      <c r="A5611" s="2">
        <f>IFERROR(__xludf.DUMMYFUNCTION("""COMPUTED_VALUE"""),47648.0)</f>
        <v>47648</v>
      </c>
      <c r="B5611" s="2">
        <f>IFERROR(__xludf.DUMMYFUNCTION("""COMPUTED_VALUE"""),1.0)</f>
        <v>1</v>
      </c>
      <c r="C5611" s="2">
        <f>IFERROR(__xludf.DUMMYFUNCTION("""COMPUTED_VALUE"""),665.0)</f>
        <v>665</v>
      </c>
      <c r="D5611" s="3">
        <f>IFERROR(__xludf.DUMMYFUNCTION("""COMPUTED_VALUE"""),86.0)</f>
        <v>86</v>
      </c>
      <c r="E5611" s="2"/>
      <c r="F5611" s="2"/>
    </row>
    <row r="5612">
      <c r="A5612" s="2">
        <f>IFERROR(__xludf.DUMMYFUNCTION("""COMPUTED_VALUE"""),105328.0)</f>
        <v>105328</v>
      </c>
      <c r="B5612" s="2">
        <f>IFERROR(__xludf.DUMMYFUNCTION("""COMPUTED_VALUE"""),0.0)</f>
        <v>0</v>
      </c>
      <c r="C5612" s="2">
        <f>IFERROR(__xludf.DUMMYFUNCTION("""COMPUTED_VALUE"""),82.0)</f>
        <v>82</v>
      </c>
      <c r="D5612" s="3">
        <f>IFERROR(__xludf.DUMMYFUNCTION("""COMPUTED_VALUE"""),37.0)</f>
        <v>37</v>
      </c>
      <c r="E5612" s="2"/>
      <c r="F5612" s="2"/>
    </row>
    <row r="5613">
      <c r="A5613" s="2">
        <f>IFERROR(__xludf.DUMMYFUNCTION("""COMPUTED_VALUE"""),47654.0)</f>
        <v>47654</v>
      </c>
      <c r="B5613" s="2">
        <f>IFERROR(__xludf.DUMMYFUNCTION("""COMPUTED_VALUE"""),0.0)</f>
        <v>0</v>
      </c>
      <c r="C5613" s="2">
        <f>IFERROR(__xludf.DUMMYFUNCTION("""COMPUTED_VALUE"""),304.0)</f>
        <v>304</v>
      </c>
      <c r="D5613" s="3">
        <f>IFERROR(__xludf.DUMMYFUNCTION("""COMPUTED_VALUE"""),276.0)</f>
        <v>276</v>
      </c>
      <c r="E5613" s="2"/>
      <c r="F5613" s="2"/>
    </row>
    <row r="5614">
      <c r="A5614" s="2">
        <f>IFERROR(__xludf.DUMMYFUNCTION("""COMPUTED_VALUE"""),82371.0)</f>
        <v>82371</v>
      </c>
      <c r="B5614" s="2">
        <f>IFERROR(__xludf.DUMMYFUNCTION("""COMPUTED_VALUE"""),1.0)</f>
        <v>1</v>
      </c>
      <c r="C5614" s="2">
        <f>IFERROR(__xludf.DUMMYFUNCTION("""COMPUTED_VALUE"""),287.0)</f>
        <v>287</v>
      </c>
      <c r="D5614" s="3">
        <f>IFERROR(__xludf.DUMMYFUNCTION("""COMPUTED_VALUE"""),261.0)</f>
        <v>261</v>
      </c>
      <c r="E5614" s="2"/>
      <c r="F5614" s="2"/>
    </row>
    <row r="5615">
      <c r="A5615" s="2">
        <f>IFERROR(__xludf.DUMMYFUNCTION("""COMPUTED_VALUE"""),81500.0)</f>
        <v>81500</v>
      </c>
      <c r="B5615" s="2">
        <f>IFERROR(__xludf.DUMMYFUNCTION("""COMPUTED_VALUE"""),0.0)</f>
        <v>0</v>
      </c>
      <c r="C5615" s="2">
        <f>IFERROR(__xludf.DUMMYFUNCTION("""COMPUTED_VALUE"""),566.0)</f>
        <v>566</v>
      </c>
      <c r="D5615" s="3">
        <f>IFERROR(__xludf.DUMMYFUNCTION("""COMPUTED_VALUE"""),367.0)</f>
        <v>367</v>
      </c>
      <c r="E5615" s="2"/>
      <c r="F5615" s="2"/>
    </row>
    <row r="5616">
      <c r="A5616" s="2">
        <f>IFERROR(__xludf.DUMMYFUNCTION("""COMPUTED_VALUE"""),48501.0)</f>
        <v>48501</v>
      </c>
      <c r="B5616" s="2">
        <f>IFERROR(__xludf.DUMMYFUNCTION("""COMPUTED_VALUE"""),0.0)</f>
        <v>0</v>
      </c>
      <c r="C5616" s="2">
        <f>IFERROR(__xludf.DUMMYFUNCTION("""COMPUTED_VALUE"""),207.0)</f>
        <v>207</v>
      </c>
      <c r="D5616" s="3">
        <f>IFERROR(__xludf.DUMMYFUNCTION("""COMPUTED_VALUE"""),67.0)</f>
        <v>67</v>
      </c>
      <c r="E5616" s="2"/>
      <c r="F5616" s="2"/>
    </row>
    <row r="5617">
      <c r="A5617" s="2">
        <f>IFERROR(__xludf.DUMMYFUNCTION("""COMPUTED_VALUE"""),81498.0)</f>
        <v>81498</v>
      </c>
      <c r="B5617" s="2">
        <f>IFERROR(__xludf.DUMMYFUNCTION("""COMPUTED_VALUE"""),0.0)</f>
        <v>0</v>
      </c>
      <c r="C5617" s="2">
        <f>IFERROR(__xludf.DUMMYFUNCTION("""COMPUTED_VALUE"""),542.0)</f>
        <v>542</v>
      </c>
      <c r="D5617" s="3">
        <f>IFERROR(__xludf.DUMMYFUNCTION("""COMPUTED_VALUE"""),506.0)</f>
        <v>506</v>
      </c>
      <c r="E5617" s="2"/>
      <c r="F5617" s="2"/>
    </row>
    <row r="5618">
      <c r="A5618" s="2">
        <f>IFERROR(__xludf.DUMMYFUNCTION("""COMPUTED_VALUE"""),48498.0)</f>
        <v>48498</v>
      </c>
      <c r="B5618" s="2">
        <f>IFERROR(__xludf.DUMMYFUNCTION("""COMPUTED_VALUE"""),1.0)</f>
        <v>1</v>
      </c>
      <c r="C5618" s="2">
        <f>IFERROR(__xludf.DUMMYFUNCTION("""COMPUTED_VALUE"""),336.0)</f>
        <v>336</v>
      </c>
      <c r="D5618" s="3">
        <f>IFERROR(__xludf.DUMMYFUNCTION("""COMPUTED_VALUE"""),164.0)</f>
        <v>164</v>
      </c>
      <c r="E5618" s="2"/>
      <c r="F5618" s="2"/>
    </row>
    <row r="5619">
      <c r="A5619" s="2">
        <f>IFERROR(__xludf.DUMMYFUNCTION("""COMPUTED_VALUE"""),88628.0)</f>
        <v>88628</v>
      </c>
      <c r="B5619" s="2">
        <f>IFERROR(__xludf.DUMMYFUNCTION("""COMPUTED_VALUE"""),0.0)</f>
        <v>0</v>
      </c>
      <c r="C5619" s="2">
        <f>IFERROR(__xludf.DUMMYFUNCTION("""COMPUTED_VALUE"""),550.0)</f>
        <v>550</v>
      </c>
      <c r="D5619" s="3">
        <f>IFERROR(__xludf.DUMMYFUNCTION("""COMPUTED_VALUE"""),422.0)</f>
        <v>422</v>
      </c>
      <c r="E5619" s="2"/>
      <c r="F5619" s="2"/>
    </row>
    <row r="5620">
      <c r="A5620" s="2">
        <f>IFERROR(__xludf.DUMMYFUNCTION("""COMPUTED_VALUE"""),180340.0)</f>
        <v>180340</v>
      </c>
      <c r="B5620" s="2">
        <f>IFERROR(__xludf.DUMMYFUNCTION("""COMPUTED_VALUE"""),0.0)</f>
        <v>0</v>
      </c>
      <c r="C5620" s="2">
        <f>IFERROR(__xludf.DUMMYFUNCTION("""COMPUTED_VALUE"""),106.0)</f>
        <v>106</v>
      </c>
      <c r="D5620" s="3">
        <f>IFERROR(__xludf.DUMMYFUNCTION("""COMPUTED_VALUE"""),64.0)</f>
        <v>64</v>
      </c>
      <c r="E5620" s="2"/>
      <c r="F5620" s="2"/>
    </row>
    <row r="5621">
      <c r="A5621" s="2">
        <f>IFERROR(__xludf.DUMMYFUNCTION("""COMPUTED_VALUE"""),48503.0)</f>
        <v>48503</v>
      </c>
      <c r="B5621" s="2">
        <f>IFERROR(__xludf.DUMMYFUNCTION("""COMPUTED_VALUE"""),0.0)</f>
        <v>0</v>
      </c>
      <c r="C5621" s="2">
        <f>IFERROR(__xludf.DUMMYFUNCTION("""COMPUTED_VALUE"""),152.0)</f>
        <v>152</v>
      </c>
      <c r="D5621" s="3">
        <f>IFERROR(__xludf.DUMMYFUNCTION("""COMPUTED_VALUE"""),10.0)</f>
        <v>10</v>
      </c>
      <c r="E5621" s="2"/>
      <c r="F5621" s="2"/>
    </row>
    <row r="5622">
      <c r="A5622" s="2">
        <f>IFERROR(__xludf.DUMMYFUNCTION("""COMPUTED_VALUE"""),74819.0)</f>
        <v>74819</v>
      </c>
      <c r="B5622" s="2">
        <f>IFERROR(__xludf.DUMMYFUNCTION("""COMPUTED_VALUE"""),1.0)</f>
        <v>1</v>
      </c>
      <c r="C5622" s="2">
        <f>IFERROR(__xludf.DUMMYFUNCTION("""COMPUTED_VALUE"""),444.0)</f>
        <v>444</v>
      </c>
      <c r="D5622" s="3">
        <f>IFERROR(__xludf.DUMMYFUNCTION("""COMPUTED_VALUE"""),38.0)</f>
        <v>38</v>
      </c>
      <c r="E5622" s="2"/>
      <c r="F5622" s="2"/>
    </row>
    <row r="5623">
      <c r="A5623" s="2">
        <f>IFERROR(__xludf.DUMMYFUNCTION("""COMPUTED_VALUE"""),48502.0)</f>
        <v>48502</v>
      </c>
      <c r="B5623" s="2">
        <f>IFERROR(__xludf.DUMMYFUNCTION("""COMPUTED_VALUE"""),1.0)</f>
        <v>1</v>
      </c>
      <c r="C5623" s="2">
        <f>IFERROR(__xludf.DUMMYFUNCTION("""COMPUTED_VALUE"""),424.0)</f>
        <v>424</v>
      </c>
      <c r="D5623" s="3">
        <f>IFERROR(__xludf.DUMMYFUNCTION("""COMPUTED_VALUE"""),414.0)</f>
        <v>414</v>
      </c>
      <c r="E5623" s="2"/>
      <c r="F5623" s="2"/>
    </row>
    <row r="5624">
      <c r="A5624" s="2">
        <f>IFERROR(__xludf.DUMMYFUNCTION("""COMPUTED_VALUE"""),96001.0)</f>
        <v>96001</v>
      </c>
      <c r="B5624" s="2">
        <f>IFERROR(__xludf.DUMMYFUNCTION("""COMPUTED_VALUE"""),1.0)</f>
        <v>1</v>
      </c>
      <c r="C5624" s="2">
        <f>IFERROR(__xludf.DUMMYFUNCTION("""COMPUTED_VALUE"""),670.0)</f>
        <v>670</v>
      </c>
      <c r="D5624" s="3">
        <f>IFERROR(__xludf.DUMMYFUNCTION("""COMPUTED_VALUE"""),286.0)</f>
        <v>286</v>
      </c>
      <c r="E5624" s="2"/>
      <c r="F5624" s="2"/>
    </row>
    <row r="5625">
      <c r="A5625" s="2">
        <f>IFERROR(__xludf.DUMMYFUNCTION("""COMPUTED_VALUE"""),103095.0)</f>
        <v>103095</v>
      </c>
      <c r="B5625" s="2">
        <f>IFERROR(__xludf.DUMMYFUNCTION("""COMPUTED_VALUE"""),1.0)</f>
        <v>1</v>
      </c>
      <c r="C5625" s="2">
        <f>IFERROR(__xludf.DUMMYFUNCTION("""COMPUTED_VALUE"""),147.0)</f>
        <v>147</v>
      </c>
      <c r="D5625" s="3">
        <f>IFERROR(__xludf.DUMMYFUNCTION("""COMPUTED_VALUE"""),52.0)</f>
        <v>52</v>
      </c>
      <c r="E5625" s="2"/>
      <c r="F5625" s="2"/>
    </row>
    <row r="5626">
      <c r="A5626" s="2">
        <f>IFERROR(__xludf.DUMMYFUNCTION("""COMPUTED_VALUE"""),88627.0)</f>
        <v>88627</v>
      </c>
      <c r="B5626" s="2">
        <f>IFERROR(__xludf.DUMMYFUNCTION("""COMPUTED_VALUE"""),1.0)</f>
        <v>1</v>
      </c>
      <c r="C5626" s="2">
        <f>IFERROR(__xludf.DUMMYFUNCTION("""COMPUTED_VALUE"""),601.0)</f>
        <v>601</v>
      </c>
      <c r="D5626" s="3">
        <f>IFERROR(__xludf.DUMMYFUNCTION("""COMPUTED_VALUE"""),18.0)</f>
        <v>18</v>
      </c>
      <c r="E5626" s="2"/>
      <c r="F5626" s="2"/>
    </row>
    <row r="5627">
      <c r="A5627" s="2">
        <f>IFERROR(__xludf.DUMMYFUNCTION("""COMPUTED_VALUE"""),105329.0)</f>
        <v>105329</v>
      </c>
      <c r="B5627" s="2">
        <f>IFERROR(__xludf.DUMMYFUNCTION("""COMPUTED_VALUE"""),0.0)</f>
        <v>0</v>
      </c>
      <c r="C5627" s="2">
        <f>IFERROR(__xludf.DUMMYFUNCTION("""COMPUTED_VALUE"""),167.0)</f>
        <v>167</v>
      </c>
      <c r="D5627" s="3">
        <f>IFERROR(__xludf.DUMMYFUNCTION("""COMPUTED_VALUE"""),155.0)</f>
        <v>155</v>
      </c>
      <c r="E5627" s="2"/>
      <c r="F5627" s="2"/>
    </row>
    <row r="5628">
      <c r="A5628" s="2">
        <f>IFERROR(__xludf.DUMMYFUNCTION("""COMPUTED_VALUE"""),105330.0)</f>
        <v>105330</v>
      </c>
      <c r="B5628" s="2">
        <f>IFERROR(__xludf.DUMMYFUNCTION("""COMPUTED_VALUE"""),1.0)</f>
        <v>1</v>
      </c>
      <c r="C5628" s="2">
        <f>IFERROR(__xludf.DUMMYFUNCTION("""COMPUTED_VALUE"""),515.0)</f>
        <v>515</v>
      </c>
      <c r="D5628" s="3">
        <f>IFERROR(__xludf.DUMMYFUNCTION("""COMPUTED_VALUE"""),329.0)</f>
        <v>329</v>
      </c>
      <c r="E5628" s="2"/>
      <c r="F5628" s="2"/>
    </row>
    <row r="5629">
      <c r="A5629" s="2">
        <f>IFERROR(__xludf.DUMMYFUNCTION("""COMPUTED_VALUE"""),80252.0)</f>
        <v>80252</v>
      </c>
      <c r="B5629" s="2">
        <f>IFERROR(__xludf.DUMMYFUNCTION("""COMPUTED_VALUE"""),1.0)</f>
        <v>1</v>
      </c>
      <c r="C5629" s="2">
        <f>IFERROR(__xludf.DUMMYFUNCTION("""COMPUTED_VALUE"""),817.0)</f>
        <v>817</v>
      </c>
      <c r="D5629" s="3">
        <f>IFERROR(__xludf.DUMMYFUNCTION("""COMPUTED_VALUE"""),43.0)</f>
        <v>43</v>
      </c>
      <c r="E5629" s="2"/>
      <c r="F5629" s="2"/>
    </row>
    <row r="5630">
      <c r="A5630" s="2">
        <f>IFERROR(__xludf.DUMMYFUNCTION("""COMPUTED_VALUE"""),77468.0)</f>
        <v>77468</v>
      </c>
      <c r="B5630" s="2">
        <f>IFERROR(__xludf.DUMMYFUNCTION("""COMPUTED_VALUE"""),1.0)</f>
        <v>1</v>
      </c>
      <c r="C5630" s="2">
        <f>IFERROR(__xludf.DUMMYFUNCTION("""COMPUTED_VALUE"""),408.0)</f>
        <v>408</v>
      </c>
      <c r="D5630" s="3">
        <f>IFERROR(__xludf.DUMMYFUNCTION("""COMPUTED_VALUE"""),181.0)</f>
        <v>181</v>
      </c>
      <c r="E5630" s="2"/>
      <c r="F5630" s="2"/>
    </row>
    <row r="5631">
      <c r="A5631" s="2">
        <f>IFERROR(__xludf.DUMMYFUNCTION("""COMPUTED_VALUE"""),24203.0)</f>
        <v>24203</v>
      </c>
      <c r="B5631" s="2">
        <f>IFERROR(__xludf.DUMMYFUNCTION("""COMPUTED_VALUE"""),0.0)</f>
        <v>0</v>
      </c>
      <c r="C5631" s="2">
        <f>IFERROR(__xludf.DUMMYFUNCTION("""COMPUTED_VALUE"""),372.0)</f>
        <v>372</v>
      </c>
      <c r="D5631" s="3">
        <f>IFERROR(__xludf.DUMMYFUNCTION("""COMPUTED_VALUE"""),279.0)</f>
        <v>279</v>
      </c>
      <c r="E5631" s="2"/>
      <c r="F5631" s="2"/>
    </row>
    <row r="5632">
      <c r="A5632" s="2">
        <f>IFERROR(__xludf.DUMMYFUNCTION("""COMPUTED_VALUE"""),139291.0)</f>
        <v>139291</v>
      </c>
      <c r="B5632" s="2">
        <f>IFERROR(__xludf.DUMMYFUNCTION("""COMPUTED_VALUE"""),0.0)</f>
        <v>0</v>
      </c>
      <c r="C5632" s="2">
        <f>IFERROR(__xludf.DUMMYFUNCTION("""COMPUTED_VALUE"""),717.0)</f>
        <v>717</v>
      </c>
      <c r="D5632" s="3">
        <f>IFERROR(__xludf.DUMMYFUNCTION("""COMPUTED_VALUE"""),374.0)</f>
        <v>374</v>
      </c>
      <c r="E5632" s="2"/>
      <c r="F5632" s="2"/>
    </row>
    <row r="5633">
      <c r="A5633" s="2">
        <f>IFERROR(__xludf.DUMMYFUNCTION("""COMPUTED_VALUE"""),77426.0)</f>
        <v>77426</v>
      </c>
      <c r="B5633" s="2">
        <f>IFERROR(__xludf.DUMMYFUNCTION("""COMPUTED_VALUE"""),1.0)</f>
        <v>1</v>
      </c>
      <c r="C5633" s="2">
        <f>IFERROR(__xludf.DUMMYFUNCTION("""COMPUTED_VALUE"""),468.0)</f>
        <v>468</v>
      </c>
      <c r="D5633" s="3">
        <f>IFERROR(__xludf.DUMMYFUNCTION("""COMPUTED_VALUE"""),432.0)</f>
        <v>432</v>
      </c>
      <c r="E5633" s="2"/>
      <c r="F5633" s="2"/>
    </row>
    <row r="5634">
      <c r="A5634" s="2">
        <f>IFERROR(__xludf.DUMMYFUNCTION("""COMPUTED_VALUE"""),94039.0)</f>
        <v>94039</v>
      </c>
      <c r="B5634" s="2">
        <f>IFERROR(__xludf.DUMMYFUNCTION("""COMPUTED_VALUE"""),0.0)</f>
        <v>0</v>
      </c>
      <c r="C5634" s="2">
        <f>IFERROR(__xludf.DUMMYFUNCTION("""COMPUTED_VALUE"""),759.0)</f>
        <v>759</v>
      </c>
      <c r="D5634" s="3">
        <f>IFERROR(__xludf.DUMMYFUNCTION("""COMPUTED_VALUE"""),321.0)</f>
        <v>321</v>
      </c>
      <c r="E5634" s="2"/>
      <c r="F5634" s="2"/>
    </row>
    <row r="5635">
      <c r="A5635" s="2">
        <f>IFERROR(__xludf.DUMMYFUNCTION("""COMPUTED_VALUE"""),9508.0)</f>
        <v>9508</v>
      </c>
      <c r="B5635" s="2">
        <f>IFERROR(__xludf.DUMMYFUNCTION("""COMPUTED_VALUE"""),1.0)</f>
        <v>1</v>
      </c>
      <c r="C5635" s="2">
        <f>IFERROR(__xludf.DUMMYFUNCTION("""COMPUTED_VALUE"""),545.0)</f>
        <v>545</v>
      </c>
      <c r="D5635" s="3">
        <f>IFERROR(__xludf.DUMMYFUNCTION("""COMPUTED_VALUE"""),320.0)</f>
        <v>320</v>
      </c>
      <c r="E5635" s="2"/>
      <c r="F5635" s="2"/>
    </row>
    <row r="5636">
      <c r="A5636" s="2">
        <f>IFERROR(__xludf.DUMMYFUNCTION("""COMPUTED_VALUE"""),121595.0)</f>
        <v>121595</v>
      </c>
      <c r="B5636" s="2">
        <f>IFERROR(__xludf.DUMMYFUNCTION("""COMPUTED_VALUE"""),1.0)</f>
        <v>1</v>
      </c>
      <c r="C5636" s="2">
        <f>IFERROR(__xludf.DUMMYFUNCTION("""COMPUTED_VALUE"""),599.0)</f>
        <v>599</v>
      </c>
      <c r="D5636" s="3">
        <f>IFERROR(__xludf.DUMMYFUNCTION("""COMPUTED_VALUE"""),236.0)</f>
        <v>236</v>
      </c>
      <c r="E5636" s="2"/>
      <c r="F5636" s="2"/>
    </row>
    <row r="5637">
      <c r="A5637" s="2">
        <f>IFERROR(__xludf.DUMMYFUNCTION("""COMPUTED_VALUE"""),124762.0)</f>
        <v>124762</v>
      </c>
      <c r="B5637" s="2">
        <f>IFERROR(__xludf.DUMMYFUNCTION("""COMPUTED_VALUE"""),1.0)</f>
        <v>1</v>
      </c>
      <c r="C5637" s="2">
        <f>IFERROR(__xludf.DUMMYFUNCTION("""COMPUTED_VALUE"""),38.0)</f>
        <v>38</v>
      </c>
      <c r="D5637" s="3">
        <f>IFERROR(__xludf.DUMMYFUNCTION("""COMPUTED_VALUE"""),32.0)</f>
        <v>32</v>
      </c>
      <c r="E5637" s="2"/>
      <c r="F5637" s="2"/>
    </row>
    <row r="5638">
      <c r="A5638" s="2">
        <f>IFERROR(__xludf.DUMMYFUNCTION("""COMPUTED_VALUE"""),77462.0)</f>
        <v>77462</v>
      </c>
      <c r="B5638" s="2">
        <f>IFERROR(__xludf.DUMMYFUNCTION("""COMPUTED_VALUE"""),0.0)</f>
        <v>0</v>
      </c>
      <c r="C5638" s="2">
        <f>IFERROR(__xludf.DUMMYFUNCTION("""COMPUTED_VALUE"""),708.0)</f>
        <v>708</v>
      </c>
      <c r="D5638" s="3">
        <f>IFERROR(__xludf.DUMMYFUNCTION("""COMPUTED_VALUE"""),377.0)</f>
        <v>377</v>
      </c>
      <c r="E5638" s="2"/>
      <c r="F5638" s="2"/>
    </row>
    <row r="5639">
      <c r="A5639" s="2">
        <f>IFERROR(__xludf.DUMMYFUNCTION("""COMPUTED_VALUE"""),49158.0)</f>
        <v>49158</v>
      </c>
      <c r="B5639" s="2">
        <f>IFERROR(__xludf.DUMMYFUNCTION("""COMPUTED_VALUE"""),1.0)</f>
        <v>1</v>
      </c>
      <c r="C5639" s="2">
        <f>IFERROR(__xludf.DUMMYFUNCTION("""COMPUTED_VALUE"""),499.0)</f>
        <v>499</v>
      </c>
      <c r="D5639" s="3">
        <f>IFERROR(__xludf.DUMMYFUNCTION("""COMPUTED_VALUE"""),464.0)</f>
        <v>464</v>
      </c>
      <c r="E5639" s="2"/>
      <c r="F5639" s="2"/>
    </row>
    <row r="5640">
      <c r="A5640" s="2">
        <f>IFERROR(__xludf.DUMMYFUNCTION("""COMPUTED_VALUE"""),93982.0)</f>
        <v>93982</v>
      </c>
      <c r="B5640" s="2">
        <f>IFERROR(__xludf.DUMMYFUNCTION("""COMPUTED_VALUE"""),1.0)</f>
        <v>1</v>
      </c>
      <c r="C5640" s="2">
        <f>IFERROR(__xludf.DUMMYFUNCTION("""COMPUTED_VALUE"""),80.0)</f>
        <v>80</v>
      </c>
      <c r="D5640" s="3">
        <f>IFERROR(__xludf.DUMMYFUNCTION("""COMPUTED_VALUE"""),69.0)</f>
        <v>69</v>
      </c>
      <c r="E5640" s="2"/>
      <c r="F5640" s="2"/>
    </row>
    <row r="5641">
      <c r="A5641" s="2">
        <f>IFERROR(__xludf.DUMMYFUNCTION("""COMPUTED_VALUE"""),9546.0)</f>
        <v>9546</v>
      </c>
      <c r="B5641" s="2">
        <f>IFERROR(__xludf.DUMMYFUNCTION("""COMPUTED_VALUE"""),0.0)</f>
        <v>0</v>
      </c>
      <c r="C5641" s="2">
        <f>IFERROR(__xludf.DUMMYFUNCTION("""COMPUTED_VALUE"""),688.0)</f>
        <v>688</v>
      </c>
      <c r="D5641" s="3">
        <f>IFERROR(__xludf.DUMMYFUNCTION("""COMPUTED_VALUE"""),639.0)</f>
        <v>639</v>
      </c>
      <c r="E5641" s="2"/>
      <c r="F5641" s="2"/>
    </row>
    <row r="5642">
      <c r="A5642" s="2">
        <f>IFERROR(__xludf.DUMMYFUNCTION("""COMPUTED_VALUE"""),9482.0)</f>
        <v>9482</v>
      </c>
      <c r="B5642" s="2">
        <f>IFERROR(__xludf.DUMMYFUNCTION("""COMPUTED_VALUE"""),0.0)</f>
        <v>0</v>
      </c>
      <c r="C5642" s="2">
        <f>IFERROR(__xludf.DUMMYFUNCTION("""COMPUTED_VALUE"""),687.0)</f>
        <v>687</v>
      </c>
      <c r="D5642" s="3">
        <f>IFERROR(__xludf.DUMMYFUNCTION("""COMPUTED_VALUE"""),246.0)</f>
        <v>246</v>
      </c>
      <c r="E5642" s="2"/>
      <c r="F5642" s="2"/>
    </row>
    <row r="5643">
      <c r="A5643" s="2">
        <f>IFERROR(__xludf.DUMMYFUNCTION("""COMPUTED_VALUE"""),139290.0)</f>
        <v>139290</v>
      </c>
      <c r="B5643" s="2">
        <f>IFERROR(__xludf.DUMMYFUNCTION("""COMPUTED_VALUE"""),0.0)</f>
        <v>0</v>
      </c>
      <c r="C5643" s="2">
        <f>IFERROR(__xludf.DUMMYFUNCTION("""COMPUTED_VALUE"""),360.0)</f>
        <v>360</v>
      </c>
      <c r="D5643" s="3">
        <f>IFERROR(__xludf.DUMMYFUNCTION("""COMPUTED_VALUE"""),312.0)</f>
        <v>312</v>
      </c>
      <c r="E5643" s="2"/>
      <c r="F5643" s="2"/>
    </row>
    <row r="5644">
      <c r="A5644" s="2">
        <f>IFERROR(__xludf.DUMMYFUNCTION("""COMPUTED_VALUE"""),121596.0)</f>
        <v>121596</v>
      </c>
      <c r="B5644" s="2">
        <f>IFERROR(__xludf.DUMMYFUNCTION("""COMPUTED_VALUE"""),1.0)</f>
        <v>1</v>
      </c>
      <c r="C5644" s="2">
        <f>IFERROR(__xludf.DUMMYFUNCTION("""COMPUTED_VALUE"""),626.0)</f>
        <v>626</v>
      </c>
      <c r="D5644" s="3">
        <f>IFERROR(__xludf.DUMMYFUNCTION("""COMPUTED_VALUE"""),260.0)</f>
        <v>260</v>
      </c>
      <c r="E5644" s="2"/>
      <c r="F5644" s="2"/>
    </row>
    <row r="5645">
      <c r="A5645" s="2">
        <f>IFERROR(__xludf.DUMMYFUNCTION("""COMPUTED_VALUE"""),14441.0)</f>
        <v>14441</v>
      </c>
      <c r="B5645" s="2">
        <f>IFERROR(__xludf.DUMMYFUNCTION("""COMPUTED_VALUE"""),1.0)</f>
        <v>1</v>
      </c>
      <c r="C5645" s="2">
        <f>IFERROR(__xludf.DUMMYFUNCTION("""COMPUTED_VALUE"""),930.0)</f>
        <v>930</v>
      </c>
      <c r="D5645" s="3">
        <f>IFERROR(__xludf.DUMMYFUNCTION("""COMPUTED_VALUE"""),662.0)</f>
        <v>662</v>
      </c>
      <c r="E5645" s="2"/>
      <c r="F5645" s="2"/>
    </row>
    <row r="5646">
      <c r="A5646" s="2">
        <f>IFERROR(__xludf.DUMMYFUNCTION("""COMPUTED_VALUE"""),9489.0)</f>
        <v>9489</v>
      </c>
      <c r="B5646" s="2">
        <f>IFERROR(__xludf.DUMMYFUNCTION("""COMPUTED_VALUE"""),0.0)</f>
        <v>0</v>
      </c>
      <c r="C5646" s="2">
        <f>IFERROR(__xludf.DUMMYFUNCTION("""COMPUTED_VALUE"""),20.0)</f>
        <v>20</v>
      </c>
      <c r="D5646" s="3">
        <f>IFERROR(__xludf.DUMMYFUNCTION("""COMPUTED_VALUE"""),10.0)</f>
        <v>10</v>
      </c>
      <c r="E5646" s="2"/>
      <c r="F5646" s="2"/>
    </row>
    <row r="5647">
      <c r="A5647" s="2">
        <f>IFERROR(__xludf.DUMMYFUNCTION("""COMPUTED_VALUE"""),103189.0)</f>
        <v>103189</v>
      </c>
      <c r="B5647" s="2">
        <f>IFERROR(__xludf.DUMMYFUNCTION("""COMPUTED_VALUE"""),0.0)</f>
        <v>0</v>
      </c>
      <c r="C5647" s="2">
        <f>IFERROR(__xludf.DUMMYFUNCTION("""COMPUTED_VALUE"""),465.0)</f>
        <v>465</v>
      </c>
      <c r="D5647" s="3">
        <f>IFERROR(__xludf.DUMMYFUNCTION("""COMPUTED_VALUE"""),123.0)</f>
        <v>123</v>
      </c>
      <c r="E5647" s="2"/>
      <c r="F5647" s="2"/>
    </row>
    <row r="5648">
      <c r="A5648" s="2">
        <f>IFERROR(__xludf.DUMMYFUNCTION("""COMPUTED_VALUE"""),9567.0)</f>
        <v>9567</v>
      </c>
      <c r="B5648" s="2">
        <f>IFERROR(__xludf.DUMMYFUNCTION("""COMPUTED_VALUE"""),1.0)</f>
        <v>1</v>
      </c>
      <c r="C5648" s="2">
        <f>IFERROR(__xludf.DUMMYFUNCTION("""COMPUTED_VALUE"""),903.0)</f>
        <v>903</v>
      </c>
      <c r="D5648" s="3">
        <f>IFERROR(__xludf.DUMMYFUNCTION("""COMPUTED_VALUE"""),37.0)</f>
        <v>37</v>
      </c>
      <c r="E5648" s="2"/>
      <c r="F5648" s="2"/>
    </row>
    <row r="5649">
      <c r="A5649" s="2">
        <f>IFERROR(__xludf.DUMMYFUNCTION("""COMPUTED_VALUE"""),9543.0)</f>
        <v>9543</v>
      </c>
      <c r="B5649" s="2">
        <f>IFERROR(__xludf.DUMMYFUNCTION("""COMPUTED_VALUE"""),0.0)</f>
        <v>0</v>
      </c>
      <c r="C5649" s="2">
        <f>IFERROR(__xludf.DUMMYFUNCTION("""COMPUTED_VALUE"""),932.0)</f>
        <v>932</v>
      </c>
      <c r="D5649" s="3">
        <f>IFERROR(__xludf.DUMMYFUNCTION("""COMPUTED_VALUE"""),49.0)</f>
        <v>49</v>
      </c>
      <c r="E5649" s="2"/>
      <c r="F5649" s="2"/>
    </row>
    <row r="5650">
      <c r="A5650" s="2">
        <f>IFERROR(__xludf.DUMMYFUNCTION("""COMPUTED_VALUE"""),77471.0)</f>
        <v>77471</v>
      </c>
      <c r="B5650" s="2">
        <f>IFERROR(__xludf.DUMMYFUNCTION("""COMPUTED_VALUE"""),0.0)</f>
        <v>0</v>
      </c>
      <c r="C5650" s="2">
        <f>IFERROR(__xludf.DUMMYFUNCTION("""COMPUTED_VALUE"""),557.0)</f>
        <v>557</v>
      </c>
      <c r="D5650" s="3">
        <f>IFERROR(__xludf.DUMMYFUNCTION("""COMPUTED_VALUE"""),420.0)</f>
        <v>420</v>
      </c>
      <c r="E5650" s="2"/>
      <c r="F5650" s="2"/>
    </row>
    <row r="5651">
      <c r="A5651" s="2">
        <f>IFERROR(__xludf.DUMMYFUNCTION("""COMPUTED_VALUE"""),164631.0)</f>
        <v>164631</v>
      </c>
      <c r="B5651" s="2">
        <f>IFERROR(__xludf.DUMMYFUNCTION("""COMPUTED_VALUE"""),1.0)</f>
        <v>1</v>
      </c>
      <c r="C5651" s="2">
        <f>IFERROR(__xludf.DUMMYFUNCTION("""COMPUTED_VALUE"""),56.0)</f>
        <v>56</v>
      </c>
      <c r="D5651" s="3">
        <f>IFERROR(__xludf.DUMMYFUNCTION("""COMPUTED_VALUE"""),14.0)</f>
        <v>14</v>
      </c>
      <c r="E5651" s="2"/>
      <c r="F5651" s="2"/>
    </row>
    <row r="5652">
      <c r="A5652" s="2">
        <f>IFERROR(__xludf.DUMMYFUNCTION("""COMPUTED_VALUE"""),9606.0)</f>
        <v>9606</v>
      </c>
      <c r="B5652" s="2">
        <f>IFERROR(__xludf.DUMMYFUNCTION("""COMPUTED_VALUE"""),0.0)</f>
        <v>0</v>
      </c>
      <c r="C5652" s="2">
        <f>IFERROR(__xludf.DUMMYFUNCTION("""COMPUTED_VALUE"""),192.0)</f>
        <v>192</v>
      </c>
      <c r="D5652" s="3">
        <f>IFERROR(__xludf.DUMMYFUNCTION("""COMPUTED_VALUE"""),63.0)</f>
        <v>63</v>
      </c>
      <c r="E5652" s="2"/>
      <c r="F5652" s="2"/>
    </row>
    <row r="5653">
      <c r="A5653" s="2">
        <f>IFERROR(__xludf.DUMMYFUNCTION("""COMPUTED_VALUE"""),77473.0)</f>
        <v>77473</v>
      </c>
      <c r="B5653" s="2">
        <f>IFERROR(__xludf.DUMMYFUNCTION("""COMPUTED_VALUE"""),1.0)</f>
        <v>1</v>
      </c>
      <c r="C5653" s="2">
        <f>IFERROR(__xludf.DUMMYFUNCTION("""COMPUTED_VALUE"""),57.0)</f>
        <v>57</v>
      </c>
      <c r="D5653" s="3">
        <f>IFERROR(__xludf.DUMMYFUNCTION("""COMPUTED_VALUE"""),45.0)</f>
        <v>45</v>
      </c>
      <c r="E5653" s="2"/>
      <c r="F5653" s="2"/>
    </row>
    <row r="5654">
      <c r="A5654" s="2">
        <f>IFERROR(__xludf.DUMMYFUNCTION("""COMPUTED_VALUE"""),9484.0)</f>
        <v>9484</v>
      </c>
      <c r="B5654" s="2">
        <f>IFERROR(__xludf.DUMMYFUNCTION("""COMPUTED_VALUE"""),0.0)</f>
        <v>0</v>
      </c>
      <c r="C5654" s="2">
        <f>IFERROR(__xludf.DUMMYFUNCTION("""COMPUTED_VALUE"""),188.0)</f>
        <v>188</v>
      </c>
      <c r="D5654" s="3">
        <f>IFERROR(__xludf.DUMMYFUNCTION("""COMPUTED_VALUE"""),104.0)</f>
        <v>104</v>
      </c>
      <c r="E5654" s="2"/>
      <c r="F5654" s="2"/>
    </row>
    <row r="5655">
      <c r="A5655" s="2">
        <f>IFERROR(__xludf.DUMMYFUNCTION("""COMPUTED_VALUE"""),14439.0)</f>
        <v>14439</v>
      </c>
      <c r="B5655" s="2">
        <f>IFERROR(__xludf.DUMMYFUNCTION("""COMPUTED_VALUE"""),1.0)</f>
        <v>1</v>
      </c>
      <c r="C5655" s="2">
        <f>IFERROR(__xludf.DUMMYFUNCTION("""COMPUTED_VALUE"""),474.0)</f>
        <v>474</v>
      </c>
      <c r="D5655" s="3">
        <f>IFERROR(__xludf.DUMMYFUNCTION("""COMPUTED_VALUE"""),464.0)</f>
        <v>464</v>
      </c>
      <c r="E5655" s="2"/>
      <c r="F5655" s="2"/>
    </row>
    <row r="5656">
      <c r="A5656" s="2">
        <f>IFERROR(__xludf.DUMMYFUNCTION("""COMPUTED_VALUE"""),124761.0)</f>
        <v>124761</v>
      </c>
      <c r="B5656" s="2">
        <f>IFERROR(__xludf.DUMMYFUNCTION("""COMPUTED_VALUE"""),0.0)</f>
        <v>0</v>
      </c>
      <c r="C5656" s="2">
        <f>IFERROR(__xludf.DUMMYFUNCTION("""COMPUTED_VALUE"""),633.0)</f>
        <v>633</v>
      </c>
      <c r="D5656" s="3">
        <f>IFERROR(__xludf.DUMMYFUNCTION("""COMPUTED_VALUE"""),107.0)</f>
        <v>107</v>
      </c>
      <c r="E5656" s="2"/>
      <c r="F5656" s="2"/>
    </row>
    <row r="5657">
      <c r="A5657" s="2">
        <f>IFERROR(__xludf.DUMMYFUNCTION("""COMPUTED_VALUE"""),14440.0)</f>
        <v>14440</v>
      </c>
      <c r="B5657" s="2">
        <f>IFERROR(__xludf.DUMMYFUNCTION("""COMPUTED_VALUE"""),1.0)</f>
        <v>1</v>
      </c>
      <c r="C5657" s="2">
        <f>IFERROR(__xludf.DUMMYFUNCTION("""COMPUTED_VALUE"""),27.0)</f>
        <v>27</v>
      </c>
      <c r="D5657" s="3">
        <f>IFERROR(__xludf.DUMMYFUNCTION("""COMPUTED_VALUE"""),27.0)</f>
        <v>27</v>
      </c>
      <c r="E5657" s="2"/>
      <c r="F5657" s="2"/>
    </row>
    <row r="5658">
      <c r="A5658" s="2">
        <f>IFERROR(__xludf.DUMMYFUNCTION("""COMPUTED_VALUE"""),9544.0)</f>
        <v>9544</v>
      </c>
      <c r="B5658" s="2">
        <f>IFERROR(__xludf.DUMMYFUNCTION("""COMPUTED_VALUE"""),1.0)</f>
        <v>1</v>
      </c>
      <c r="C5658" s="2">
        <f>IFERROR(__xludf.DUMMYFUNCTION("""COMPUTED_VALUE"""),374.0)</f>
        <v>374</v>
      </c>
      <c r="D5658" s="3">
        <f>IFERROR(__xludf.DUMMYFUNCTION("""COMPUTED_VALUE"""),266.0)</f>
        <v>266</v>
      </c>
      <c r="E5658" s="2"/>
      <c r="F5658" s="2"/>
    </row>
    <row r="5659">
      <c r="A5659" s="2">
        <f>IFERROR(__xludf.DUMMYFUNCTION("""COMPUTED_VALUE"""),46482.0)</f>
        <v>46482</v>
      </c>
      <c r="B5659" s="2">
        <f>IFERROR(__xludf.DUMMYFUNCTION("""COMPUTED_VALUE"""),0.0)</f>
        <v>0</v>
      </c>
      <c r="C5659" s="2">
        <f>IFERROR(__xludf.DUMMYFUNCTION("""COMPUTED_VALUE"""),727.0)</f>
        <v>727</v>
      </c>
      <c r="D5659" s="3">
        <f>IFERROR(__xludf.DUMMYFUNCTION("""COMPUTED_VALUE"""),709.0)</f>
        <v>709</v>
      </c>
      <c r="E5659" s="2"/>
      <c r="F5659" s="2"/>
    </row>
    <row r="5660">
      <c r="A5660" s="2">
        <f>IFERROR(__xludf.DUMMYFUNCTION("""COMPUTED_VALUE"""),46773.0)</f>
        <v>46773</v>
      </c>
      <c r="B5660" s="2">
        <f>IFERROR(__xludf.DUMMYFUNCTION("""COMPUTED_VALUE"""),1.0)</f>
        <v>1</v>
      </c>
      <c r="C5660" s="2">
        <f>IFERROR(__xludf.DUMMYFUNCTION("""COMPUTED_VALUE"""),668.0)</f>
        <v>668</v>
      </c>
      <c r="D5660" s="3">
        <f>IFERROR(__xludf.DUMMYFUNCTION("""COMPUTED_VALUE"""),108.0)</f>
        <v>108</v>
      </c>
      <c r="E5660" s="2"/>
      <c r="F5660" s="2"/>
    </row>
    <row r="5661">
      <c r="A5661" s="2">
        <f>IFERROR(__xludf.DUMMYFUNCTION("""COMPUTED_VALUE"""),81502.0)</f>
        <v>81502</v>
      </c>
      <c r="B5661" s="2">
        <f>IFERROR(__xludf.DUMMYFUNCTION("""COMPUTED_VALUE"""),1.0)</f>
        <v>1</v>
      </c>
      <c r="C5661" s="2">
        <f>IFERROR(__xludf.DUMMYFUNCTION("""COMPUTED_VALUE"""),293.0)</f>
        <v>293</v>
      </c>
      <c r="D5661" s="3">
        <f>IFERROR(__xludf.DUMMYFUNCTION("""COMPUTED_VALUE"""),217.0)</f>
        <v>217</v>
      </c>
      <c r="E5661" s="2"/>
      <c r="F5661" s="2"/>
    </row>
    <row r="5662">
      <c r="A5662" s="2">
        <f>IFERROR(__xludf.DUMMYFUNCTION("""COMPUTED_VALUE"""),76035.0)</f>
        <v>76035</v>
      </c>
      <c r="B5662" s="2">
        <f>IFERROR(__xludf.DUMMYFUNCTION("""COMPUTED_VALUE"""),0.0)</f>
        <v>0</v>
      </c>
      <c r="C5662" s="2">
        <f>IFERROR(__xludf.DUMMYFUNCTION("""COMPUTED_VALUE"""),333.0)</f>
        <v>333</v>
      </c>
      <c r="D5662" s="3">
        <f>IFERROR(__xludf.DUMMYFUNCTION("""COMPUTED_VALUE"""),259.0)</f>
        <v>259</v>
      </c>
      <c r="E5662" s="2"/>
      <c r="F5662" s="2"/>
    </row>
    <row r="5663">
      <c r="A5663" s="2">
        <f>IFERROR(__xludf.DUMMYFUNCTION("""COMPUTED_VALUE"""),46774.0)</f>
        <v>46774</v>
      </c>
      <c r="B5663" s="2">
        <f>IFERROR(__xludf.DUMMYFUNCTION("""COMPUTED_VALUE"""),1.0)</f>
        <v>1</v>
      </c>
      <c r="C5663" s="2">
        <f>IFERROR(__xludf.DUMMYFUNCTION("""COMPUTED_VALUE"""),210.0)</f>
        <v>210</v>
      </c>
      <c r="D5663" s="3">
        <f>IFERROR(__xludf.DUMMYFUNCTION("""COMPUTED_VALUE"""),149.0)</f>
        <v>149</v>
      </c>
      <c r="E5663" s="2"/>
      <c r="F5663" s="2"/>
    </row>
    <row r="5664">
      <c r="A5664" s="2">
        <f>IFERROR(__xludf.DUMMYFUNCTION("""COMPUTED_VALUE"""),121029.0)</f>
        <v>121029</v>
      </c>
      <c r="B5664" s="2">
        <f>IFERROR(__xludf.DUMMYFUNCTION("""COMPUTED_VALUE"""),1.0)</f>
        <v>1</v>
      </c>
      <c r="C5664" s="2">
        <f>IFERROR(__xludf.DUMMYFUNCTION("""COMPUTED_VALUE"""),360.0)</f>
        <v>360</v>
      </c>
      <c r="D5664" s="3">
        <f>IFERROR(__xludf.DUMMYFUNCTION("""COMPUTED_VALUE"""),244.0)</f>
        <v>244</v>
      </c>
      <c r="E5664" s="2"/>
      <c r="F5664" s="2"/>
    </row>
    <row r="5665">
      <c r="A5665" s="2">
        <f>IFERROR(__xludf.DUMMYFUNCTION("""COMPUTED_VALUE"""),128199.0)</f>
        <v>128199</v>
      </c>
      <c r="B5665" s="2">
        <f>IFERROR(__xludf.DUMMYFUNCTION("""COMPUTED_VALUE"""),1.0)</f>
        <v>1</v>
      </c>
      <c r="C5665" s="2">
        <f>IFERROR(__xludf.DUMMYFUNCTION("""COMPUTED_VALUE"""),492.0)</f>
        <v>492</v>
      </c>
      <c r="D5665" s="3">
        <f>IFERROR(__xludf.DUMMYFUNCTION("""COMPUTED_VALUE"""),108.0)</f>
        <v>108</v>
      </c>
      <c r="E5665" s="2"/>
      <c r="F5665" s="2"/>
    </row>
    <row r="5666">
      <c r="A5666" s="2">
        <f>IFERROR(__xludf.DUMMYFUNCTION("""COMPUTED_VALUE"""),82408.0)</f>
        <v>82408</v>
      </c>
      <c r="B5666" s="2">
        <f>IFERROR(__xludf.DUMMYFUNCTION("""COMPUTED_VALUE"""),0.0)</f>
        <v>0</v>
      </c>
      <c r="C5666" s="2">
        <f>IFERROR(__xludf.DUMMYFUNCTION("""COMPUTED_VALUE"""),98.0)</f>
        <v>98</v>
      </c>
      <c r="D5666" s="3">
        <f>IFERROR(__xludf.DUMMYFUNCTION("""COMPUTED_VALUE"""),56.0)</f>
        <v>56</v>
      </c>
      <c r="E5666" s="2"/>
      <c r="F5666" s="2"/>
    </row>
    <row r="5667">
      <c r="A5667" s="2">
        <f>IFERROR(__xludf.DUMMYFUNCTION("""COMPUTED_VALUE"""),139298.0)</f>
        <v>139298</v>
      </c>
      <c r="B5667" s="2">
        <f>IFERROR(__xludf.DUMMYFUNCTION("""COMPUTED_VALUE"""),0.0)</f>
        <v>0</v>
      </c>
      <c r="C5667" s="2">
        <f>IFERROR(__xludf.DUMMYFUNCTION("""COMPUTED_VALUE"""),106.0)</f>
        <v>106</v>
      </c>
      <c r="D5667" s="3">
        <f>IFERROR(__xludf.DUMMYFUNCTION("""COMPUTED_VALUE"""),12.0)</f>
        <v>12</v>
      </c>
      <c r="E5667" s="2"/>
      <c r="F5667" s="2"/>
    </row>
    <row r="5668">
      <c r="A5668" s="2">
        <f>IFERROR(__xludf.DUMMYFUNCTION("""COMPUTED_VALUE"""),91397.0)</f>
        <v>91397</v>
      </c>
      <c r="B5668" s="2">
        <f>IFERROR(__xludf.DUMMYFUNCTION("""COMPUTED_VALUE"""),0.0)</f>
        <v>0</v>
      </c>
      <c r="C5668" s="2">
        <f>IFERROR(__xludf.DUMMYFUNCTION("""COMPUTED_VALUE"""),479.0)</f>
        <v>479</v>
      </c>
      <c r="D5668" s="3">
        <f>IFERROR(__xludf.DUMMYFUNCTION("""COMPUTED_VALUE"""),479.0)</f>
        <v>479</v>
      </c>
      <c r="E5668" s="2"/>
      <c r="F5668" s="2"/>
    </row>
    <row r="5669">
      <c r="A5669" s="2">
        <f>IFERROR(__xludf.DUMMYFUNCTION("""COMPUTED_VALUE"""),91396.0)</f>
        <v>91396</v>
      </c>
      <c r="B5669" s="2">
        <f>IFERROR(__xludf.DUMMYFUNCTION("""COMPUTED_VALUE"""),0.0)</f>
        <v>0</v>
      </c>
      <c r="C5669" s="2">
        <f>IFERROR(__xludf.DUMMYFUNCTION("""COMPUTED_VALUE"""),47.0)</f>
        <v>47</v>
      </c>
      <c r="D5669" s="3">
        <f>IFERROR(__xludf.DUMMYFUNCTION("""COMPUTED_VALUE"""),36.0)</f>
        <v>36</v>
      </c>
      <c r="E5669" s="2"/>
      <c r="F5669" s="2"/>
    </row>
    <row r="5670">
      <c r="A5670" s="2">
        <f>IFERROR(__xludf.DUMMYFUNCTION("""COMPUTED_VALUE"""),139302.0)</f>
        <v>139302</v>
      </c>
      <c r="B5670" s="2">
        <f>IFERROR(__xludf.DUMMYFUNCTION("""COMPUTED_VALUE"""),1.0)</f>
        <v>1</v>
      </c>
      <c r="C5670" s="2">
        <f>IFERROR(__xludf.DUMMYFUNCTION("""COMPUTED_VALUE"""),553.0)</f>
        <v>553</v>
      </c>
      <c r="D5670" s="3">
        <f>IFERROR(__xludf.DUMMYFUNCTION("""COMPUTED_VALUE"""),284.0)</f>
        <v>284</v>
      </c>
      <c r="E5670" s="2"/>
      <c r="F5670" s="2"/>
    </row>
    <row r="5671">
      <c r="A5671" s="2">
        <f>IFERROR(__xludf.DUMMYFUNCTION("""COMPUTED_VALUE"""),118283.0)</f>
        <v>118283</v>
      </c>
      <c r="B5671" s="2">
        <f>IFERROR(__xludf.DUMMYFUNCTION("""COMPUTED_VALUE"""),1.0)</f>
        <v>1</v>
      </c>
      <c r="C5671" s="2">
        <f>IFERROR(__xludf.DUMMYFUNCTION("""COMPUTED_VALUE"""),389.0)</f>
        <v>389</v>
      </c>
      <c r="D5671" s="3">
        <f>IFERROR(__xludf.DUMMYFUNCTION("""COMPUTED_VALUE"""),3.0)</f>
        <v>3</v>
      </c>
      <c r="E5671" s="2"/>
      <c r="F5671" s="2"/>
    </row>
    <row r="5672">
      <c r="A5672" s="2">
        <f>IFERROR(__xludf.DUMMYFUNCTION("""COMPUTED_VALUE"""),118286.0)</f>
        <v>118286</v>
      </c>
      <c r="B5672" s="2">
        <f>IFERROR(__xludf.DUMMYFUNCTION("""COMPUTED_VALUE"""),0.0)</f>
        <v>0</v>
      </c>
      <c r="C5672" s="2">
        <f>IFERROR(__xludf.DUMMYFUNCTION("""COMPUTED_VALUE"""),66.0)</f>
        <v>66</v>
      </c>
      <c r="D5672" s="3">
        <f>IFERROR(__xludf.DUMMYFUNCTION("""COMPUTED_VALUE"""),0.0)</f>
        <v>0</v>
      </c>
      <c r="E5672" s="2"/>
      <c r="F5672" s="2"/>
    </row>
    <row r="5673">
      <c r="A5673" s="2">
        <f>IFERROR(__xludf.DUMMYFUNCTION("""COMPUTED_VALUE"""),3375.0)</f>
        <v>3375</v>
      </c>
      <c r="B5673" s="2">
        <f>IFERROR(__xludf.DUMMYFUNCTION("""COMPUTED_VALUE"""),1.0)</f>
        <v>1</v>
      </c>
      <c r="C5673" s="2">
        <f>IFERROR(__xludf.DUMMYFUNCTION("""COMPUTED_VALUE"""),914.0)</f>
        <v>914</v>
      </c>
      <c r="D5673" s="3">
        <f>IFERROR(__xludf.DUMMYFUNCTION("""COMPUTED_VALUE"""),737.0)</f>
        <v>737</v>
      </c>
      <c r="E5673" s="2"/>
      <c r="F5673" s="2"/>
    </row>
    <row r="5674">
      <c r="A5674" s="2">
        <f>IFERROR(__xludf.DUMMYFUNCTION("""COMPUTED_VALUE"""),118285.0)</f>
        <v>118285</v>
      </c>
      <c r="B5674" s="2">
        <f>IFERROR(__xludf.DUMMYFUNCTION("""COMPUTED_VALUE"""),0.0)</f>
        <v>0</v>
      </c>
      <c r="C5674" s="2">
        <f>IFERROR(__xludf.DUMMYFUNCTION("""COMPUTED_VALUE"""),560.0)</f>
        <v>560</v>
      </c>
      <c r="D5674" s="3">
        <f>IFERROR(__xludf.DUMMYFUNCTION("""COMPUTED_VALUE"""),239.0)</f>
        <v>239</v>
      </c>
      <c r="E5674" s="2"/>
      <c r="F5674" s="2"/>
    </row>
    <row r="5675">
      <c r="A5675" s="2">
        <f>IFERROR(__xludf.DUMMYFUNCTION("""COMPUTED_VALUE"""),118284.0)</f>
        <v>118284</v>
      </c>
      <c r="B5675" s="2">
        <f>IFERROR(__xludf.DUMMYFUNCTION("""COMPUTED_VALUE"""),1.0)</f>
        <v>1</v>
      </c>
      <c r="C5675" s="2">
        <f>IFERROR(__xludf.DUMMYFUNCTION("""COMPUTED_VALUE"""),384.0)</f>
        <v>384</v>
      </c>
      <c r="D5675" s="3">
        <f>IFERROR(__xludf.DUMMYFUNCTION("""COMPUTED_VALUE"""),122.0)</f>
        <v>122</v>
      </c>
      <c r="E5675" s="2"/>
      <c r="F5675" s="2"/>
    </row>
    <row r="5676">
      <c r="A5676" s="2">
        <f>IFERROR(__xludf.DUMMYFUNCTION("""COMPUTED_VALUE"""),116522.0)</f>
        <v>116522</v>
      </c>
      <c r="B5676" s="2">
        <f>IFERROR(__xludf.DUMMYFUNCTION("""COMPUTED_VALUE"""),0.0)</f>
        <v>0</v>
      </c>
      <c r="C5676" s="2">
        <f>IFERROR(__xludf.DUMMYFUNCTION("""COMPUTED_VALUE"""),699.0)</f>
        <v>699</v>
      </c>
      <c r="D5676" s="3">
        <f>IFERROR(__xludf.DUMMYFUNCTION("""COMPUTED_VALUE"""),505.0)</f>
        <v>505</v>
      </c>
      <c r="E5676" s="2"/>
      <c r="F5676" s="2"/>
    </row>
    <row r="5677">
      <c r="A5677" s="2">
        <f>IFERROR(__xludf.DUMMYFUNCTION("""COMPUTED_VALUE"""),139307.0)</f>
        <v>139307</v>
      </c>
      <c r="B5677" s="2">
        <f>IFERROR(__xludf.DUMMYFUNCTION("""COMPUTED_VALUE"""),0.0)</f>
        <v>0</v>
      </c>
      <c r="C5677" s="2">
        <f>IFERROR(__xludf.DUMMYFUNCTION("""COMPUTED_VALUE"""),231.0)</f>
        <v>231</v>
      </c>
      <c r="D5677" s="3">
        <f>IFERROR(__xludf.DUMMYFUNCTION("""COMPUTED_VALUE"""),215.0)</f>
        <v>215</v>
      </c>
      <c r="E5677" s="2"/>
      <c r="F5677" s="2"/>
    </row>
    <row r="5678">
      <c r="A5678" s="2">
        <f>IFERROR(__xludf.DUMMYFUNCTION("""COMPUTED_VALUE"""),120253.0)</f>
        <v>120253</v>
      </c>
      <c r="B5678" s="2">
        <f>IFERROR(__xludf.DUMMYFUNCTION("""COMPUTED_VALUE"""),1.0)</f>
        <v>1</v>
      </c>
      <c r="C5678" s="2">
        <f>IFERROR(__xludf.DUMMYFUNCTION("""COMPUTED_VALUE"""),660.0)</f>
        <v>660</v>
      </c>
      <c r="D5678" s="3">
        <f>IFERROR(__xludf.DUMMYFUNCTION("""COMPUTED_VALUE"""),512.0)</f>
        <v>512</v>
      </c>
      <c r="E5678" s="2"/>
      <c r="F5678" s="2"/>
    </row>
    <row r="5679">
      <c r="A5679" s="2">
        <f>IFERROR(__xludf.DUMMYFUNCTION("""COMPUTED_VALUE"""),120252.0)</f>
        <v>120252</v>
      </c>
      <c r="B5679" s="2">
        <f>IFERROR(__xludf.DUMMYFUNCTION("""COMPUTED_VALUE"""),0.0)</f>
        <v>0</v>
      </c>
      <c r="C5679" s="2">
        <f>IFERROR(__xludf.DUMMYFUNCTION("""COMPUTED_VALUE"""),738.0)</f>
        <v>738</v>
      </c>
      <c r="D5679" s="3">
        <f>IFERROR(__xludf.DUMMYFUNCTION("""COMPUTED_VALUE"""),631.0)</f>
        <v>631</v>
      </c>
      <c r="E5679" s="2"/>
      <c r="F5679" s="2"/>
    </row>
    <row r="5680">
      <c r="A5680" s="2">
        <f>IFERROR(__xludf.DUMMYFUNCTION("""COMPUTED_VALUE"""),120251.0)</f>
        <v>120251</v>
      </c>
      <c r="B5680" s="2">
        <f>IFERROR(__xludf.DUMMYFUNCTION("""COMPUTED_VALUE"""),0.0)</f>
        <v>0</v>
      </c>
      <c r="C5680" s="2">
        <f>IFERROR(__xludf.DUMMYFUNCTION("""COMPUTED_VALUE"""),912.0)</f>
        <v>912</v>
      </c>
      <c r="D5680" s="3">
        <f>IFERROR(__xludf.DUMMYFUNCTION("""COMPUTED_VALUE"""),310.0)</f>
        <v>310</v>
      </c>
      <c r="E5680" s="2"/>
      <c r="F5680" s="2"/>
    </row>
    <row r="5681">
      <c r="A5681" s="2">
        <f>IFERROR(__xludf.DUMMYFUNCTION("""COMPUTED_VALUE"""),139306.0)</f>
        <v>139306</v>
      </c>
      <c r="B5681" s="2">
        <f>IFERROR(__xludf.DUMMYFUNCTION("""COMPUTED_VALUE"""),1.0)</f>
        <v>1</v>
      </c>
      <c r="C5681" s="2">
        <f>IFERROR(__xludf.DUMMYFUNCTION("""COMPUTED_VALUE"""),803.0)</f>
        <v>803</v>
      </c>
      <c r="D5681" s="3">
        <f>IFERROR(__xludf.DUMMYFUNCTION("""COMPUTED_VALUE"""),683.0)</f>
        <v>683</v>
      </c>
      <c r="E5681" s="2"/>
      <c r="F5681" s="2"/>
    </row>
    <row r="5682">
      <c r="A5682" s="2">
        <f>IFERROR(__xludf.DUMMYFUNCTION("""COMPUTED_VALUE"""),120255.0)</f>
        <v>120255</v>
      </c>
      <c r="B5682" s="2">
        <f>IFERROR(__xludf.DUMMYFUNCTION("""COMPUTED_VALUE"""),0.0)</f>
        <v>0</v>
      </c>
      <c r="C5682" s="2">
        <f>IFERROR(__xludf.DUMMYFUNCTION("""COMPUTED_VALUE"""),374.0)</f>
        <v>374</v>
      </c>
      <c r="D5682" s="3">
        <f>IFERROR(__xludf.DUMMYFUNCTION("""COMPUTED_VALUE"""),206.0)</f>
        <v>206</v>
      </c>
      <c r="E5682" s="2"/>
      <c r="F5682" s="2"/>
    </row>
    <row r="5683">
      <c r="A5683" s="2">
        <f>IFERROR(__xludf.DUMMYFUNCTION("""COMPUTED_VALUE"""),120980.0)</f>
        <v>120980</v>
      </c>
      <c r="B5683" s="2">
        <f>IFERROR(__xludf.DUMMYFUNCTION("""COMPUTED_VALUE"""),0.0)</f>
        <v>0</v>
      </c>
      <c r="C5683" s="2">
        <f>IFERROR(__xludf.DUMMYFUNCTION("""COMPUTED_VALUE"""),499.0)</f>
        <v>499</v>
      </c>
      <c r="D5683" s="3">
        <f>IFERROR(__xludf.DUMMYFUNCTION("""COMPUTED_VALUE"""),158.0)</f>
        <v>158</v>
      </c>
      <c r="E5683" s="2"/>
      <c r="F5683" s="2"/>
    </row>
    <row r="5684">
      <c r="A5684" s="2">
        <f>IFERROR(__xludf.DUMMYFUNCTION("""COMPUTED_VALUE"""),139299.0)</f>
        <v>139299</v>
      </c>
      <c r="B5684" s="2">
        <f>IFERROR(__xludf.DUMMYFUNCTION("""COMPUTED_VALUE"""),1.0)</f>
        <v>1</v>
      </c>
      <c r="C5684" s="2">
        <f>IFERROR(__xludf.DUMMYFUNCTION("""COMPUTED_VALUE"""),671.0)</f>
        <v>671</v>
      </c>
      <c r="D5684" s="3">
        <f>IFERROR(__xludf.DUMMYFUNCTION("""COMPUTED_VALUE"""),402.0)</f>
        <v>402</v>
      </c>
      <c r="E5684" s="2"/>
      <c r="F5684" s="2"/>
    </row>
    <row r="5685">
      <c r="A5685" s="2">
        <f>IFERROR(__xludf.DUMMYFUNCTION("""COMPUTED_VALUE"""),73635.0)</f>
        <v>73635</v>
      </c>
      <c r="B5685" s="2">
        <f>IFERROR(__xludf.DUMMYFUNCTION("""COMPUTED_VALUE"""),1.0)</f>
        <v>1</v>
      </c>
      <c r="C5685" s="2">
        <f>IFERROR(__xludf.DUMMYFUNCTION("""COMPUTED_VALUE"""),362.0)</f>
        <v>362</v>
      </c>
      <c r="D5685" s="3">
        <f>IFERROR(__xludf.DUMMYFUNCTION("""COMPUTED_VALUE"""),181.0)</f>
        <v>181</v>
      </c>
      <c r="E5685" s="2"/>
      <c r="F5685" s="2"/>
    </row>
    <row r="5686">
      <c r="A5686" s="2">
        <f>IFERROR(__xludf.DUMMYFUNCTION("""COMPUTED_VALUE"""),116537.0)</f>
        <v>116537</v>
      </c>
      <c r="B5686" s="2">
        <f>IFERROR(__xludf.DUMMYFUNCTION("""COMPUTED_VALUE"""),0.0)</f>
        <v>0</v>
      </c>
      <c r="C5686" s="2">
        <f>IFERROR(__xludf.DUMMYFUNCTION("""COMPUTED_VALUE"""),338.0)</f>
        <v>338</v>
      </c>
      <c r="D5686" s="3">
        <f>IFERROR(__xludf.DUMMYFUNCTION("""COMPUTED_VALUE"""),195.0)</f>
        <v>195</v>
      </c>
      <c r="E5686" s="2"/>
      <c r="F5686" s="2"/>
    </row>
    <row r="5687">
      <c r="A5687" s="2">
        <f>IFERROR(__xludf.DUMMYFUNCTION("""COMPUTED_VALUE"""),46716.0)</f>
        <v>46716</v>
      </c>
      <c r="B5687" s="2">
        <f>IFERROR(__xludf.DUMMYFUNCTION("""COMPUTED_VALUE"""),1.0)</f>
        <v>1</v>
      </c>
      <c r="C5687" s="2">
        <f>IFERROR(__xludf.DUMMYFUNCTION("""COMPUTED_VALUE"""),172.0)</f>
        <v>172</v>
      </c>
      <c r="D5687" s="3">
        <f>IFERROR(__xludf.DUMMYFUNCTION("""COMPUTED_VALUE"""),155.0)</f>
        <v>155</v>
      </c>
      <c r="E5687" s="2"/>
      <c r="F5687" s="2"/>
    </row>
    <row r="5688">
      <c r="A5688" s="2">
        <f>IFERROR(__xludf.DUMMYFUNCTION("""COMPUTED_VALUE"""),109161.0)</f>
        <v>109161</v>
      </c>
      <c r="B5688" s="2">
        <f>IFERROR(__xludf.DUMMYFUNCTION("""COMPUTED_VALUE"""),0.0)</f>
        <v>0</v>
      </c>
      <c r="C5688" s="2">
        <f>IFERROR(__xludf.DUMMYFUNCTION("""COMPUTED_VALUE"""),926.0)</f>
        <v>926</v>
      </c>
      <c r="D5688" s="3">
        <f>IFERROR(__xludf.DUMMYFUNCTION("""COMPUTED_VALUE"""),804.0)</f>
        <v>804</v>
      </c>
      <c r="E5688" s="2"/>
      <c r="F5688" s="2"/>
    </row>
    <row r="5689">
      <c r="A5689" s="2">
        <f>IFERROR(__xludf.DUMMYFUNCTION("""COMPUTED_VALUE"""),110760.0)</f>
        <v>110760</v>
      </c>
      <c r="B5689" s="2">
        <f>IFERROR(__xludf.DUMMYFUNCTION("""COMPUTED_VALUE"""),1.0)</f>
        <v>1</v>
      </c>
      <c r="C5689" s="2">
        <f>IFERROR(__xludf.DUMMYFUNCTION("""COMPUTED_VALUE"""),267.0)</f>
        <v>267</v>
      </c>
      <c r="D5689" s="3">
        <f>IFERROR(__xludf.DUMMYFUNCTION("""COMPUTED_VALUE"""),211.0)</f>
        <v>211</v>
      </c>
      <c r="E5689" s="2"/>
      <c r="F5689" s="2"/>
    </row>
    <row r="5690">
      <c r="A5690" s="2">
        <f>IFERROR(__xludf.DUMMYFUNCTION("""COMPUTED_VALUE"""),112095.0)</f>
        <v>112095</v>
      </c>
      <c r="B5690" s="2">
        <f>IFERROR(__xludf.DUMMYFUNCTION("""COMPUTED_VALUE"""),0.0)</f>
        <v>0</v>
      </c>
      <c r="C5690" s="2">
        <f>IFERROR(__xludf.DUMMYFUNCTION("""COMPUTED_VALUE"""),495.0)</f>
        <v>495</v>
      </c>
      <c r="D5690" s="3">
        <f>IFERROR(__xludf.DUMMYFUNCTION("""COMPUTED_VALUE"""),395.0)</f>
        <v>395</v>
      </c>
      <c r="E5690" s="2"/>
      <c r="F5690" s="2"/>
    </row>
    <row r="5691">
      <c r="A5691" s="2">
        <f>IFERROR(__xludf.DUMMYFUNCTION("""COMPUTED_VALUE"""),120261.0)</f>
        <v>120261</v>
      </c>
      <c r="B5691" s="2">
        <f>IFERROR(__xludf.DUMMYFUNCTION("""COMPUTED_VALUE"""),1.0)</f>
        <v>1</v>
      </c>
      <c r="C5691" s="2">
        <f>IFERROR(__xludf.DUMMYFUNCTION("""COMPUTED_VALUE"""),952.0)</f>
        <v>952</v>
      </c>
      <c r="D5691" s="3">
        <f>IFERROR(__xludf.DUMMYFUNCTION("""COMPUTED_VALUE"""),393.0)</f>
        <v>393</v>
      </c>
      <c r="E5691" s="2"/>
      <c r="F5691" s="2"/>
    </row>
    <row r="5692">
      <c r="A5692" s="2">
        <f>IFERROR(__xludf.DUMMYFUNCTION("""COMPUTED_VALUE"""),142302.0)</f>
        <v>142302</v>
      </c>
      <c r="B5692" s="2">
        <f>IFERROR(__xludf.DUMMYFUNCTION("""COMPUTED_VALUE"""),0.0)</f>
        <v>0</v>
      </c>
      <c r="C5692" s="2">
        <f>IFERROR(__xludf.DUMMYFUNCTION("""COMPUTED_VALUE"""),736.0)</f>
        <v>736</v>
      </c>
      <c r="D5692" s="3">
        <f>IFERROR(__xludf.DUMMYFUNCTION("""COMPUTED_VALUE"""),703.0)</f>
        <v>703</v>
      </c>
      <c r="E5692" s="2"/>
      <c r="F5692" s="2"/>
    </row>
    <row r="5693">
      <c r="A5693" s="2">
        <f>IFERROR(__xludf.DUMMYFUNCTION("""COMPUTED_VALUE"""),46715.0)</f>
        <v>46715</v>
      </c>
      <c r="B5693" s="2">
        <f>IFERROR(__xludf.DUMMYFUNCTION("""COMPUTED_VALUE"""),1.0)</f>
        <v>1</v>
      </c>
      <c r="C5693" s="2">
        <f>IFERROR(__xludf.DUMMYFUNCTION("""COMPUTED_VALUE"""),76.0)</f>
        <v>76</v>
      </c>
      <c r="D5693" s="3">
        <f>IFERROR(__xludf.DUMMYFUNCTION("""COMPUTED_VALUE"""),39.0)</f>
        <v>39</v>
      </c>
      <c r="E5693" s="2"/>
      <c r="F5693" s="2"/>
    </row>
    <row r="5694">
      <c r="A5694" s="2">
        <f>IFERROR(__xludf.DUMMYFUNCTION("""COMPUTED_VALUE"""),102190.0)</f>
        <v>102190</v>
      </c>
      <c r="B5694" s="2">
        <f>IFERROR(__xludf.DUMMYFUNCTION("""COMPUTED_VALUE"""),0.0)</f>
        <v>0</v>
      </c>
      <c r="C5694" s="2">
        <f>IFERROR(__xludf.DUMMYFUNCTION("""COMPUTED_VALUE"""),274.0)</f>
        <v>274</v>
      </c>
      <c r="D5694" s="3">
        <f>IFERROR(__xludf.DUMMYFUNCTION("""COMPUTED_VALUE"""),212.0)</f>
        <v>212</v>
      </c>
      <c r="E5694" s="2"/>
      <c r="F5694" s="2"/>
    </row>
    <row r="5695">
      <c r="A5695" s="2">
        <f>IFERROR(__xludf.DUMMYFUNCTION("""COMPUTED_VALUE"""),112098.0)</f>
        <v>112098</v>
      </c>
      <c r="B5695" s="2">
        <f>IFERROR(__xludf.DUMMYFUNCTION("""COMPUTED_VALUE"""),1.0)</f>
        <v>1</v>
      </c>
      <c r="C5695" s="2">
        <f>IFERROR(__xludf.DUMMYFUNCTION("""COMPUTED_VALUE"""),531.0)</f>
        <v>531</v>
      </c>
      <c r="D5695" s="3">
        <f>IFERROR(__xludf.DUMMYFUNCTION("""COMPUTED_VALUE"""),258.0)</f>
        <v>258</v>
      </c>
      <c r="E5695" s="2"/>
      <c r="F5695" s="2"/>
    </row>
    <row r="5696">
      <c r="A5696" s="2">
        <f>IFERROR(__xludf.DUMMYFUNCTION("""COMPUTED_VALUE"""),110761.0)</f>
        <v>110761</v>
      </c>
      <c r="B5696" s="2">
        <f>IFERROR(__xludf.DUMMYFUNCTION("""COMPUTED_VALUE"""),1.0)</f>
        <v>1</v>
      </c>
      <c r="C5696" s="2">
        <f>IFERROR(__xludf.DUMMYFUNCTION("""COMPUTED_VALUE"""),296.0)</f>
        <v>296</v>
      </c>
      <c r="D5696" s="3">
        <f>IFERROR(__xludf.DUMMYFUNCTION("""COMPUTED_VALUE"""),132.0)</f>
        <v>132</v>
      </c>
      <c r="E5696" s="2"/>
      <c r="F5696" s="2"/>
    </row>
    <row r="5697">
      <c r="A5697" s="2">
        <f>IFERROR(__xludf.DUMMYFUNCTION("""COMPUTED_VALUE"""),116529.0)</f>
        <v>116529</v>
      </c>
      <c r="B5697" s="2">
        <f>IFERROR(__xludf.DUMMYFUNCTION("""COMPUTED_VALUE"""),1.0)</f>
        <v>1</v>
      </c>
      <c r="C5697" s="2">
        <f>IFERROR(__xludf.DUMMYFUNCTION("""COMPUTED_VALUE"""),703.0)</f>
        <v>703</v>
      </c>
      <c r="D5697" s="3">
        <f>IFERROR(__xludf.DUMMYFUNCTION("""COMPUTED_VALUE"""),415.0)</f>
        <v>415</v>
      </c>
      <c r="E5697" s="2"/>
      <c r="F5697" s="2"/>
    </row>
    <row r="5698">
      <c r="A5698" s="2">
        <f>IFERROR(__xludf.DUMMYFUNCTION("""COMPUTED_VALUE"""),119245.0)</f>
        <v>119245</v>
      </c>
      <c r="B5698" s="2">
        <f>IFERROR(__xludf.DUMMYFUNCTION("""COMPUTED_VALUE"""),0.0)</f>
        <v>0</v>
      </c>
      <c r="C5698" s="2">
        <f>IFERROR(__xludf.DUMMYFUNCTION("""COMPUTED_VALUE"""),234.0)</f>
        <v>234</v>
      </c>
      <c r="D5698" s="3">
        <f>IFERROR(__xludf.DUMMYFUNCTION("""COMPUTED_VALUE"""),189.0)</f>
        <v>189</v>
      </c>
      <c r="E5698" s="2"/>
      <c r="F5698" s="2"/>
    </row>
    <row r="5699">
      <c r="A5699" s="2">
        <f>IFERROR(__xludf.DUMMYFUNCTION("""COMPUTED_VALUE"""),119454.0)</f>
        <v>119454</v>
      </c>
      <c r="B5699" s="2">
        <f>IFERROR(__xludf.DUMMYFUNCTION("""COMPUTED_VALUE"""),1.0)</f>
        <v>1</v>
      </c>
      <c r="C5699" s="2">
        <f>IFERROR(__xludf.DUMMYFUNCTION("""COMPUTED_VALUE"""),433.0)</f>
        <v>433</v>
      </c>
      <c r="D5699" s="3">
        <f>IFERROR(__xludf.DUMMYFUNCTION("""COMPUTED_VALUE"""),345.0)</f>
        <v>345</v>
      </c>
      <c r="E5699" s="2"/>
      <c r="F5699" s="2"/>
    </row>
    <row r="5700">
      <c r="A5700" s="2">
        <f>IFERROR(__xludf.DUMMYFUNCTION("""COMPUTED_VALUE"""),118131.0)</f>
        <v>118131</v>
      </c>
      <c r="B5700" s="2">
        <f>IFERROR(__xludf.DUMMYFUNCTION("""COMPUTED_VALUE"""),0.0)</f>
        <v>0</v>
      </c>
      <c r="C5700" s="2">
        <f>IFERROR(__xludf.DUMMYFUNCTION("""COMPUTED_VALUE"""),493.0)</f>
        <v>493</v>
      </c>
      <c r="D5700" s="3">
        <f>IFERROR(__xludf.DUMMYFUNCTION("""COMPUTED_VALUE"""),145.0)</f>
        <v>145</v>
      </c>
      <c r="E5700" s="2"/>
      <c r="F5700" s="2"/>
    </row>
    <row r="5701">
      <c r="A5701" s="2">
        <f>IFERROR(__xludf.DUMMYFUNCTION("""COMPUTED_VALUE"""),128395.0)</f>
        <v>128395</v>
      </c>
      <c r="B5701" s="2">
        <f>IFERROR(__xludf.DUMMYFUNCTION("""COMPUTED_VALUE"""),1.0)</f>
        <v>1</v>
      </c>
      <c r="C5701" s="2">
        <f>IFERROR(__xludf.DUMMYFUNCTION("""COMPUTED_VALUE"""),925.0)</f>
        <v>925</v>
      </c>
      <c r="D5701" s="3">
        <f>IFERROR(__xludf.DUMMYFUNCTION("""COMPUTED_VALUE"""),18.0)</f>
        <v>18</v>
      </c>
      <c r="E5701" s="2"/>
      <c r="F5701" s="2"/>
    </row>
    <row r="5702">
      <c r="A5702" s="2">
        <f>IFERROR(__xludf.DUMMYFUNCTION("""COMPUTED_VALUE"""),117482.0)</f>
        <v>117482</v>
      </c>
      <c r="B5702" s="2">
        <f>IFERROR(__xludf.DUMMYFUNCTION("""COMPUTED_VALUE"""),0.0)</f>
        <v>0</v>
      </c>
      <c r="C5702" s="2">
        <f>IFERROR(__xludf.DUMMYFUNCTION("""COMPUTED_VALUE"""),814.0)</f>
        <v>814</v>
      </c>
      <c r="D5702" s="3">
        <f>IFERROR(__xludf.DUMMYFUNCTION("""COMPUTED_VALUE"""),41.0)</f>
        <v>41</v>
      </c>
      <c r="E5702" s="2"/>
      <c r="F5702" s="2"/>
    </row>
    <row r="5703">
      <c r="A5703" s="2">
        <f>IFERROR(__xludf.DUMMYFUNCTION("""COMPUTED_VALUE"""),118130.0)</f>
        <v>118130</v>
      </c>
      <c r="B5703" s="2">
        <f>IFERROR(__xludf.DUMMYFUNCTION("""COMPUTED_VALUE"""),1.0)</f>
        <v>1</v>
      </c>
      <c r="C5703" s="2">
        <f>IFERROR(__xludf.DUMMYFUNCTION("""COMPUTED_VALUE"""),639.0)</f>
        <v>639</v>
      </c>
      <c r="D5703" s="3">
        <f>IFERROR(__xludf.DUMMYFUNCTION("""COMPUTED_VALUE"""),400.0)</f>
        <v>400</v>
      </c>
      <c r="E5703" s="2"/>
      <c r="F5703" s="2"/>
    </row>
    <row r="5704">
      <c r="A5704" s="2">
        <f>IFERROR(__xludf.DUMMYFUNCTION("""COMPUTED_VALUE"""),109209.0)</f>
        <v>109209</v>
      </c>
      <c r="B5704" s="2">
        <f>IFERROR(__xludf.DUMMYFUNCTION("""COMPUTED_VALUE"""),1.0)</f>
        <v>1</v>
      </c>
      <c r="C5704" s="2">
        <f>IFERROR(__xludf.DUMMYFUNCTION("""COMPUTED_VALUE"""),404.0)</f>
        <v>404</v>
      </c>
      <c r="D5704" s="3">
        <f>IFERROR(__xludf.DUMMYFUNCTION("""COMPUTED_VALUE"""),238.0)</f>
        <v>238</v>
      </c>
      <c r="E5704" s="2"/>
      <c r="F5704" s="2"/>
    </row>
    <row r="5705">
      <c r="A5705" s="2">
        <f>IFERROR(__xludf.DUMMYFUNCTION("""COMPUTED_VALUE"""),74428.0)</f>
        <v>74428</v>
      </c>
      <c r="B5705" s="2">
        <f>IFERROR(__xludf.DUMMYFUNCTION("""COMPUTED_VALUE"""),0.0)</f>
        <v>0</v>
      </c>
      <c r="C5705" s="2">
        <f>IFERROR(__xludf.DUMMYFUNCTION("""COMPUTED_VALUE"""),759.0)</f>
        <v>759</v>
      </c>
      <c r="D5705" s="3">
        <f>IFERROR(__xludf.DUMMYFUNCTION("""COMPUTED_VALUE"""),585.0)</f>
        <v>585</v>
      </c>
      <c r="E5705" s="2"/>
      <c r="F5705" s="2"/>
    </row>
    <row r="5706">
      <c r="A5706" s="2">
        <f>IFERROR(__xludf.DUMMYFUNCTION("""COMPUTED_VALUE"""),13941.0)</f>
        <v>13941</v>
      </c>
      <c r="B5706" s="2">
        <f>IFERROR(__xludf.DUMMYFUNCTION("""COMPUTED_VALUE"""),1.0)</f>
        <v>1</v>
      </c>
      <c r="C5706" s="2">
        <f>IFERROR(__xludf.DUMMYFUNCTION("""COMPUTED_VALUE"""),668.0)</f>
        <v>668</v>
      </c>
      <c r="D5706" s="3">
        <f>IFERROR(__xludf.DUMMYFUNCTION("""COMPUTED_VALUE"""),346.0)</f>
        <v>346</v>
      </c>
      <c r="E5706" s="2"/>
      <c r="F5706" s="2"/>
    </row>
    <row r="5707">
      <c r="A5707" s="2">
        <f>IFERROR(__xludf.DUMMYFUNCTION("""COMPUTED_VALUE"""),44316.0)</f>
        <v>44316</v>
      </c>
      <c r="B5707" s="2">
        <f>IFERROR(__xludf.DUMMYFUNCTION("""COMPUTED_VALUE"""),1.0)</f>
        <v>1</v>
      </c>
      <c r="C5707" s="2">
        <f>IFERROR(__xludf.DUMMYFUNCTION("""COMPUTED_VALUE"""),29.0)</f>
        <v>29</v>
      </c>
      <c r="D5707" s="3">
        <f>IFERROR(__xludf.DUMMYFUNCTION("""COMPUTED_VALUE"""),10.0)</f>
        <v>10</v>
      </c>
      <c r="E5707" s="2"/>
      <c r="F5707" s="2"/>
    </row>
    <row r="5708">
      <c r="A5708" s="2">
        <f>IFERROR(__xludf.DUMMYFUNCTION("""COMPUTED_VALUE"""),122748.0)</f>
        <v>122748</v>
      </c>
      <c r="B5708" s="2">
        <f>IFERROR(__xludf.DUMMYFUNCTION("""COMPUTED_VALUE"""),1.0)</f>
        <v>1</v>
      </c>
      <c r="C5708" s="2">
        <f>IFERROR(__xludf.DUMMYFUNCTION("""COMPUTED_VALUE"""),311.0)</f>
        <v>311</v>
      </c>
      <c r="D5708" s="3">
        <f>IFERROR(__xludf.DUMMYFUNCTION("""COMPUTED_VALUE"""),157.0)</f>
        <v>157</v>
      </c>
      <c r="E5708" s="2"/>
      <c r="F5708" s="2"/>
    </row>
    <row r="5709">
      <c r="A5709" s="2">
        <f>IFERROR(__xludf.DUMMYFUNCTION("""COMPUTED_VALUE"""),118936.0)</f>
        <v>118936</v>
      </c>
      <c r="B5709" s="2">
        <f>IFERROR(__xludf.DUMMYFUNCTION("""COMPUTED_VALUE"""),1.0)</f>
        <v>1</v>
      </c>
      <c r="C5709" s="2">
        <f>IFERROR(__xludf.DUMMYFUNCTION("""COMPUTED_VALUE"""),312.0)</f>
        <v>312</v>
      </c>
      <c r="D5709" s="3">
        <f>IFERROR(__xludf.DUMMYFUNCTION("""COMPUTED_VALUE"""),233.0)</f>
        <v>233</v>
      </c>
      <c r="E5709" s="2"/>
      <c r="F5709" s="2"/>
    </row>
    <row r="5710">
      <c r="A5710" s="2">
        <f>IFERROR(__xludf.DUMMYFUNCTION("""COMPUTED_VALUE"""),122746.0)</f>
        <v>122746</v>
      </c>
      <c r="B5710" s="2">
        <f>IFERROR(__xludf.DUMMYFUNCTION("""COMPUTED_VALUE"""),1.0)</f>
        <v>1</v>
      </c>
      <c r="C5710" s="2">
        <f>IFERROR(__xludf.DUMMYFUNCTION("""COMPUTED_VALUE"""),340.0)</f>
        <v>340</v>
      </c>
      <c r="D5710" s="3">
        <f>IFERROR(__xludf.DUMMYFUNCTION("""COMPUTED_VALUE"""),28.0)</f>
        <v>28</v>
      </c>
      <c r="E5710" s="2"/>
      <c r="F5710" s="2"/>
    </row>
    <row r="5711">
      <c r="A5711" s="2">
        <f>IFERROR(__xludf.DUMMYFUNCTION("""COMPUTED_VALUE"""),76567.0)</f>
        <v>76567</v>
      </c>
      <c r="B5711" s="2">
        <f>IFERROR(__xludf.DUMMYFUNCTION("""COMPUTED_VALUE"""),0.0)</f>
        <v>0</v>
      </c>
      <c r="C5711" s="2">
        <f>IFERROR(__xludf.DUMMYFUNCTION("""COMPUTED_VALUE"""),594.0)</f>
        <v>594</v>
      </c>
      <c r="D5711" s="3">
        <f>IFERROR(__xludf.DUMMYFUNCTION("""COMPUTED_VALUE"""),275.0)</f>
        <v>275</v>
      </c>
      <c r="E5711" s="2"/>
      <c r="F5711" s="2"/>
    </row>
    <row r="5712">
      <c r="A5712" s="2">
        <f>IFERROR(__xludf.DUMMYFUNCTION("""COMPUTED_VALUE"""),122747.0)</f>
        <v>122747</v>
      </c>
      <c r="B5712" s="2">
        <f>IFERROR(__xludf.DUMMYFUNCTION("""COMPUTED_VALUE"""),1.0)</f>
        <v>1</v>
      </c>
      <c r="C5712" s="2">
        <f>IFERROR(__xludf.DUMMYFUNCTION("""COMPUTED_VALUE"""),486.0)</f>
        <v>486</v>
      </c>
      <c r="D5712" s="3">
        <f>IFERROR(__xludf.DUMMYFUNCTION("""COMPUTED_VALUE"""),58.0)</f>
        <v>58</v>
      </c>
      <c r="E5712" s="2"/>
      <c r="F5712" s="2"/>
    </row>
    <row r="5713">
      <c r="A5713" s="2">
        <f>IFERROR(__xludf.DUMMYFUNCTION("""COMPUTED_VALUE"""),48484.0)</f>
        <v>48484</v>
      </c>
      <c r="B5713" s="2">
        <f>IFERROR(__xludf.DUMMYFUNCTION("""COMPUTED_VALUE"""),1.0)</f>
        <v>1</v>
      </c>
      <c r="C5713" s="2">
        <f>IFERROR(__xludf.DUMMYFUNCTION("""COMPUTED_VALUE"""),642.0)</f>
        <v>642</v>
      </c>
      <c r="D5713" s="3">
        <f>IFERROR(__xludf.DUMMYFUNCTION("""COMPUTED_VALUE"""),390.0)</f>
        <v>390</v>
      </c>
      <c r="E5713" s="2"/>
      <c r="F5713" s="2"/>
    </row>
    <row r="5714">
      <c r="A5714" s="2">
        <f>IFERROR(__xludf.DUMMYFUNCTION("""COMPUTED_VALUE"""),10856.0)</f>
        <v>10856</v>
      </c>
      <c r="B5714" s="2">
        <f>IFERROR(__xludf.DUMMYFUNCTION("""COMPUTED_VALUE"""),1.0)</f>
        <v>1</v>
      </c>
      <c r="C5714" s="2">
        <f>IFERROR(__xludf.DUMMYFUNCTION("""COMPUTED_VALUE"""),267.0)</f>
        <v>267</v>
      </c>
      <c r="D5714" s="3">
        <f>IFERROR(__xludf.DUMMYFUNCTION("""COMPUTED_VALUE"""),137.0)</f>
        <v>137</v>
      </c>
      <c r="E5714" s="2"/>
      <c r="F5714" s="2"/>
    </row>
    <row r="5715">
      <c r="A5715" s="2">
        <f>IFERROR(__xludf.DUMMYFUNCTION("""COMPUTED_VALUE"""),48486.0)</f>
        <v>48486</v>
      </c>
      <c r="B5715" s="2">
        <f>IFERROR(__xludf.DUMMYFUNCTION("""COMPUTED_VALUE"""),1.0)</f>
        <v>1</v>
      </c>
      <c r="C5715" s="2">
        <f>IFERROR(__xludf.DUMMYFUNCTION("""COMPUTED_VALUE"""),676.0)</f>
        <v>676</v>
      </c>
      <c r="D5715" s="3">
        <f>IFERROR(__xludf.DUMMYFUNCTION("""COMPUTED_VALUE"""),106.0)</f>
        <v>106</v>
      </c>
      <c r="E5715" s="2"/>
      <c r="F5715" s="2"/>
    </row>
    <row r="5716">
      <c r="A5716" s="2">
        <f>IFERROR(__xludf.DUMMYFUNCTION("""COMPUTED_VALUE"""),108707.0)</f>
        <v>108707</v>
      </c>
      <c r="B5716" s="2">
        <f>IFERROR(__xludf.DUMMYFUNCTION("""COMPUTED_VALUE"""),0.0)</f>
        <v>0</v>
      </c>
      <c r="C5716" s="2">
        <f>IFERROR(__xludf.DUMMYFUNCTION("""COMPUTED_VALUE"""),953.0)</f>
        <v>953</v>
      </c>
      <c r="D5716" s="3">
        <f>IFERROR(__xludf.DUMMYFUNCTION("""COMPUTED_VALUE"""),58.0)</f>
        <v>58</v>
      </c>
      <c r="E5716" s="2"/>
      <c r="F5716" s="2"/>
    </row>
    <row r="5717">
      <c r="A5717" s="2">
        <f>IFERROR(__xludf.DUMMYFUNCTION("""COMPUTED_VALUE"""),109565.0)</f>
        <v>109565</v>
      </c>
      <c r="B5717" s="2">
        <f>IFERROR(__xludf.DUMMYFUNCTION("""COMPUTED_VALUE"""),1.0)</f>
        <v>1</v>
      </c>
      <c r="C5717" s="2">
        <f>IFERROR(__xludf.DUMMYFUNCTION("""COMPUTED_VALUE"""),524.0)</f>
        <v>524</v>
      </c>
      <c r="D5717" s="3">
        <f>IFERROR(__xludf.DUMMYFUNCTION("""COMPUTED_VALUE"""),515.0)</f>
        <v>515</v>
      </c>
      <c r="E5717" s="2"/>
      <c r="F5717" s="2"/>
    </row>
    <row r="5718">
      <c r="A5718" s="2">
        <f>IFERROR(__xludf.DUMMYFUNCTION("""COMPUTED_VALUE"""),99181.0)</f>
        <v>99181</v>
      </c>
      <c r="B5718" s="2">
        <f>IFERROR(__xludf.DUMMYFUNCTION("""COMPUTED_VALUE"""),0.0)</f>
        <v>0</v>
      </c>
      <c r="C5718" s="2">
        <f>IFERROR(__xludf.DUMMYFUNCTION("""COMPUTED_VALUE"""),822.0)</f>
        <v>822</v>
      </c>
      <c r="D5718" s="3">
        <f>IFERROR(__xludf.DUMMYFUNCTION("""COMPUTED_VALUE"""),14.0)</f>
        <v>14</v>
      </c>
      <c r="E5718" s="2"/>
      <c r="F5718" s="2"/>
    </row>
    <row r="5719">
      <c r="A5719" s="2">
        <f>IFERROR(__xludf.DUMMYFUNCTION("""COMPUTED_VALUE"""),109060.0)</f>
        <v>109060</v>
      </c>
      <c r="B5719" s="2">
        <f>IFERROR(__xludf.DUMMYFUNCTION("""COMPUTED_VALUE"""),1.0)</f>
        <v>1</v>
      </c>
      <c r="C5719" s="2">
        <f>IFERROR(__xludf.DUMMYFUNCTION("""COMPUTED_VALUE"""),494.0)</f>
        <v>494</v>
      </c>
      <c r="D5719" s="3">
        <f>IFERROR(__xludf.DUMMYFUNCTION("""COMPUTED_VALUE"""),460.0)</f>
        <v>460</v>
      </c>
      <c r="E5719" s="2"/>
      <c r="F5719" s="2"/>
    </row>
    <row r="5720">
      <c r="A5720" s="2">
        <f>IFERROR(__xludf.DUMMYFUNCTION("""COMPUTED_VALUE"""),109628.0)</f>
        <v>109628</v>
      </c>
      <c r="B5720" s="2">
        <f>IFERROR(__xludf.DUMMYFUNCTION("""COMPUTED_VALUE"""),0.0)</f>
        <v>0</v>
      </c>
      <c r="C5720" s="2">
        <f>IFERROR(__xludf.DUMMYFUNCTION("""COMPUTED_VALUE"""),237.0)</f>
        <v>237</v>
      </c>
      <c r="D5720" s="3">
        <f>IFERROR(__xludf.DUMMYFUNCTION("""COMPUTED_VALUE"""),228.0)</f>
        <v>228</v>
      </c>
      <c r="E5720" s="2"/>
      <c r="F5720" s="2"/>
    </row>
    <row r="5721">
      <c r="A5721" s="2">
        <f>IFERROR(__xludf.DUMMYFUNCTION("""COMPUTED_VALUE"""),128346.0)</f>
        <v>128346</v>
      </c>
      <c r="B5721" s="2">
        <f>IFERROR(__xludf.DUMMYFUNCTION("""COMPUTED_VALUE"""),1.0)</f>
        <v>1</v>
      </c>
      <c r="C5721" s="2">
        <f>IFERROR(__xludf.DUMMYFUNCTION("""COMPUTED_VALUE"""),23.0)</f>
        <v>23</v>
      </c>
      <c r="D5721" s="3">
        <f>IFERROR(__xludf.DUMMYFUNCTION("""COMPUTED_VALUE"""),0.0)</f>
        <v>0</v>
      </c>
      <c r="E5721" s="2"/>
      <c r="F5721" s="2"/>
    </row>
    <row r="5722">
      <c r="A5722" s="2">
        <f>IFERROR(__xludf.DUMMYFUNCTION("""COMPUTED_VALUE"""),90319.0)</f>
        <v>90319</v>
      </c>
      <c r="B5722" s="2">
        <f>IFERROR(__xludf.DUMMYFUNCTION("""COMPUTED_VALUE"""),0.0)</f>
        <v>0</v>
      </c>
      <c r="C5722" s="2">
        <f>IFERROR(__xludf.DUMMYFUNCTION("""COMPUTED_VALUE"""),521.0)</f>
        <v>521</v>
      </c>
      <c r="D5722" s="3">
        <f>IFERROR(__xludf.DUMMYFUNCTION("""COMPUTED_VALUE"""),11.0)</f>
        <v>11</v>
      </c>
      <c r="E5722" s="2"/>
      <c r="F5722" s="2"/>
    </row>
    <row r="5723">
      <c r="A5723" s="2">
        <f>IFERROR(__xludf.DUMMYFUNCTION("""COMPUTED_VALUE"""),96287.0)</f>
        <v>96287</v>
      </c>
      <c r="B5723" s="2">
        <f>IFERROR(__xludf.DUMMYFUNCTION("""COMPUTED_VALUE"""),0.0)</f>
        <v>0</v>
      </c>
      <c r="C5723" s="2">
        <f>IFERROR(__xludf.DUMMYFUNCTION("""COMPUTED_VALUE"""),519.0)</f>
        <v>519</v>
      </c>
      <c r="D5723" s="3">
        <f>IFERROR(__xludf.DUMMYFUNCTION("""COMPUTED_VALUE"""),58.0)</f>
        <v>58</v>
      </c>
      <c r="E5723" s="2"/>
      <c r="F5723" s="2"/>
    </row>
    <row r="5724">
      <c r="A5724" s="2">
        <f>IFERROR(__xludf.DUMMYFUNCTION("""COMPUTED_VALUE"""),96238.0)</f>
        <v>96238</v>
      </c>
      <c r="B5724" s="2">
        <f>IFERROR(__xludf.DUMMYFUNCTION("""COMPUTED_VALUE"""),1.0)</f>
        <v>1</v>
      </c>
      <c r="C5724" s="2">
        <f>IFERROR(__xludf.DUMMYFUNCTION("""COMPUTED_VALUE"""),208.0)</f>
        <v>208</v>
      </c>
      <c r="D5724" s="3">
        <f>IFERROR(__xludf.DUMMYFUNCTION("""COMPUTED_VALUE"""),71.0)</f>
        <v>71</v>
      </c>
      <c r="E5724" s="2"/>
      <c r="F5724" s="2"/>
    </row>
    <row r="5725">
      <c r="A5725" s="2">
        <f>IFERROR(__xludf.DUMMYFUNCTION("""COMPUTED_VALUE"""),116553.0)</f>
        <v>116553</v>
      </c>
      <c r="B5725" s="2">
        <f>IFERROR(__xludf.DUMMYFUNCTION("""COMPUTED_VALUE"""),1.0)</f>
        <v>1</v>
      </c>
      <c r="C5725" s="2">
        <f>IFERROR(__xludf.DUMMYFUNCTION("""COMPUTED_VALUE"""),736.0)</f>
        <v>736</v>
      </c>
      <c r="D5725" s="3">
        <f>IFERROR(__xludf.DUMMYFUNCTION("""COMPUTED_VALUE"""),695.0)</f>
        <v>695</v>
      </c>
      <c r="E5725" s="2"/>
      <c r="F5725" s="2"/>
    </row>
    <row r="5726">
      <c r="A5726" s="2">
        <f>IFERROR(__xludf.DUMMYFUNCTION("""COMPUTED_VALUE"""),116539.0)</f>
        <v>116539</v>
      </c>
      <c r="B5726" s="2">
        <f>IFERROR(__xludf.DUMMYFUNCTION("""COMPUTED_VALUE"""),0.0)</f>
        <v>0</v>
      </c>
      <c r="C5726" s="2">
        <f>IFERROR(__xludf.DUMMYFUNCTION("""COMPUTED_VALUE"""),727.0)</f>
        <v>727</v>
      </c>
      <c r="D5726" s="3">
        <f>IFERROR(__xludf.DUMMYFUNCTION("""COMPUTED_VALUE"""),554.0)</f>
        <v>554</v>
      </c>
      <c r="E5726" s="2"/>
      <c r="F5726" s="2"/>
    </row>
    <row r="5727">
      <c r="A5727" s="2">
        <f>IFERROR(__xludf.DUMMYFUNCTION("""COMPUTED_VALUE"""),156015.0)</f>
        <v>156015</v>
      </c>
      <c r="B5727" s="2">
        <f>IFERROR(__xludf.DUMMYFUNCTION("""COMPUTED_VALUE"""),0.0)</f>
        <v>0</v>
      </c>
      <c r="C5727" s="2">
        <f>IFERROR(__xludf.DUMMYFUNCTION("""COMPUTED_VALUE"""),586.0)</f>
        <v>586</v>
      </c>
      <c r="D5727" s="3">
        <f>IFERROR(__xludf.DUMMYFUNCTION("""COMPUTED_VALUE"""),362.0)</f>
        <v>362</v>
      </c>
      <c r="E5727" s="2"/>
      <c r="F5727" s="2"/>
    </row>
    <row r="5728">
      <c r="A5728" s="2">
        <f>IFERROR(__xludf.DUMMYFUNCTION("""COMPUTED_VALUE"""),77049.0)</f>
        <v>77049</v>
      </c>
      <c r="B5728" s="2">
        <f>IFERROR(__xludf.DUMMYFUNCTION("""COMPUTED_VALUE"""),1.0)</f>
        <v>1</v>
      </c>
      <c r="C5728" s="2">
        <f>IFERROR(__xludf.DUMMYFUNCTION("""COMPUTED_VALUE"""),439.0)</f>
        <v>439</v>
      </c>
      <c r="D5728" s="3">
        <f>IFERROR(__xludf.DUMMYFUNCTION("""COMPUTED_VALUE"""),364.0)</f>
        <v>364</v>
      </c>
      <c r="E5728" s="2"/>
      <c r="F5728" s="2"/>
    </row>
    <row r="5729">
      <c r="A5729" s="2">
        <f>IFERROR(__xludf.DUMMYFUNCTION("""COMPUTED_VALUE"""),92906.0)</f>
        <v>92906</v>
      </c>
      <c r="B5729" s="2">
        <f>IFERROR(__xludf.DUMMYFUNCTION("""COMPUTED_VALUE"""),1.0)</f>
        <v>1</v>
      </c>
      <c r="C5729" s="2">
        <f>IFERROR(__xludf.DUMMYFUNCTION("""COMPUTED_VALUE"""),963.0)</f>
        <v>963</v>
      </c>
      <c r="D5729" s="3">
        <f>IFERROR(__xludf.DUMMYFUNCTION("""COMPUTED_VALUE"""),66.0)</f>
        <v>66</v>
      </c>
      <c r="E5729" s="2"/>
      <c r="F5729" s="2"/>
    </row>
    <row r="5730">
      <c r="A5730" s="2">
        <f>IFERROR(__xludf.DUMMYFUNCTION("""COMPUTED_VALUE"""),6425.0)</f>
        <v>6425</v>
      </c>
      <c r="B5730" s="2">
        <f>IFERROR(__xludf.DUMMYFUNCTION("""COMPUTED_VALUE"""),0.0)</f>
        <v>0</v>
      </c>
      <c r="C5730" s="2">
        <f>IFERROR(__xludf.DUMMYFUNCTION("""COMPUTED_VALUE"""),317.0)</f>
        <v>317</v>
      </c>
      <c r="D5730" s="3">
        <f>IFERROR(__xludf.DUMMYFUNCTION("""COMPUTED_VALUE"""),210.0)</f>
        <v>210</v>
      </c>
      <c r="E5730" s="2"/>
      <c r="F5730" s="2"/>
    </row>
    <row r="5731">
      <c r="A5731" s="2">
        <f>IFERROR(__xludf.DUMMYFUNCTION("""COMPUTED_VALUE"""),77653.0)</f>
        <v>77653</v>
      </c>
      <c r="B5731" s="2">
        <f>IFERROR(__xludf.DUMMYFUNCTION("""COMPUTED_VALUE"""),1.0)</f>
        <v>1</v>
      </c>
      <c r="C5731" s="2">
        <f>IFERROR(__xludf.DUMMYFUNCTION("""COMPUTED_VALUE"""),330.0)</f>
        <v>330</v>
      </c>
      <c r="D5731" s="3">
        <f>IFERROR(__xludf.DUMMYFUNCTION("""COMPUTED_VALUE"""),25.0)</f>
        <v>25</v>
      </c>
      <c r="E5731" s="2"/>
      <c r="F5731" s="2"/>
    </row>
    <row r="5732">
      <c r="A5732" s="2">
        <f>IFERROR(__xludf.DUMMYFUNCTION("""COMPUTED_VALUE"""),156029.0)</f>
        <v>156029</v>
      </c>
      <c r="B5732" s="2">
        <f>IFERROR(__xludf.DUMMYFUNCTION("""COMPUTED_VALUE"""),1.0)</f>
        <v>1</v>
      </c>
      <c r="C5732" s="2">
        <f>IFERROR(__xludf.DUMMYFUNCTION("""COMPUTED_VALUE"""),558.0)</f>
        <v>558</v>
      </c>
      <c r="D5732" s="3">
        <f>IFERROR(__xludf.DUMMYFUNCTION("""COMPUTED_VALUE"""),283.0)</f>
        <v>283</v>
      </c>
      <c r="E5732" s="2"/>
      <c r="F5732" s="2"/>
    </row>
    <row r="5733">
      <c r="A5733" s="2">
        <f>IFERROR(__xludf.DUMMYFUNCTION("""COMPUTED_VALUE"""),182726.0)</f>
        <v>182726</v>
      </c>
      <c r="B5733" s="2">
        <f>IFERROR(__xludf.DUMMYFUNCTION("""COMPUTED_VALUE"""),1.0)</f>
        <v>1</v>
      </c>
      <c r="C5733" s="2">
        <f>IFERROR(__xludf.DUMMYFUNCTION("""COMPUTED_VALUE"""),204.0)</f>
        <v>204</v>
      </c>
      <c r="D5733" s="3">
        <f>IFERROR(__xludf.DUMMYFUNCTION("""COMPUTED_VALUE"""),3.0)</f>
        <v>3</v>
      </c>
      <c r="E5733" s="2"/>
      <c r="F5733" s="2"/>
    </row>
    <row r="5734">
      <c r="A5734" s="2">
        <f>IFERROR(__xludf.DUMMYFUNCTION("""COMPUTED_VALUE"""),3536.0)</f>
        <v>3536</v>
      </c>
      <c r="B5734" s="2">
        <f>IFERROR(__xludf.DUMMYFUNCTION("""COMPUTED_VALUE"""),0.0)</f>
        <v>0</v>
      </c>
      <c r="C5734" s="2">
        <f>IFERROR(__xludf.DUMMYFUNCTION("""COMPUTED_VALUE"""),284.0)</f>
        <v>284</v>
      </c>
      <c r="D5734" s="3">
        <f>IFERROR(__xludf.DUMMYFUNCTION("""COMPUTED_VALUE"""),224.0)</f>
        <v>224</v>
      </c>
      <c r="E5734" s="2"/>
      <c r="F5734" s="2"/>
    </row>
    <row r="5735">
      <c r="A5735" s="2">
        <f>IFERROR(__xludf.DUMMYFUNCTION("""COMPUTED_VALUE"""),3541.0)</f>
        <v>3541</v>
      </c>
      <c r="B5735" s="2">
        <f>IFERROR(__xludf.DUMMYFUNCTION("""COMPUTED_VALUE"""),1.0)</f>
        <v>1</v>
      </c>
      <c r="C5735" s="2">
        <f>IFERROR(__xludf.DUMMYFUNCTION("""COMPUTED_VALUE"""),386.0)</f>
        <v>386</v>
      </c>
      <c r="D5735" s="3">
        <f>IFERROR(__xludf.DUMMYFUNCTION("""COMPUTED_VALUE"""),25.0)</f>
        <v>25</v>
      </c>
      <c r="E5735" s="2"/>
      <c r="F5735" s="2"/>
    </row>
    <row r="5736">
      <c r="A5736" s="2">
        <f>IFERROR(__xludf.DUMMYFUNCTION("""COMPUTED_VALUE"""),147335.0)</f>
        <v>147335</v>
      </c>
      <c r="B5736" s="2">
        <f>IFERROR(__xludf.DUMMYFUNCTION("""COMPUTED_VALUE"""),1.0)</f>
        <v>1</v>
      </c>
      <c r="C5736" s="2">
        <f>IFERROR(__xludf.DUMMYFUNCTION("""COMPUTED_VALUE"""),126.0)</f>
        <v>126</v>
      </c>
      <c r="D5736" s="3">
        <f>IFERROR(__xludf.DUMMYFUNCTION("""COMPUTED_VALUE"""),118.0)</f>
        <v>118</v>
      </c>
      <c r="E5736" s="2"/>
      <c r="F5736" s="2"/>
    </row>
    <row r="5737">
      <c r="A5737" s="2">
        <f>IFERROR(__xludf.DUMMYFUNCTION("""COMPUTED_VALUE"""),46896.0)</f>
        <v>46896</v>
      </c>
      <c r="B5737" s="2">
        <f>IFERROR(__xludf.DUMMYFUNCTION("""COMPUTED_VALUE"""),1.0)</f>
        <v>1</v>
      </c>
      <c r="C5737" s="2">
        <f>IFERROR(__xludf.DUMMYFUNCTION("""COMPUTED_VALUE"""),251.0)</f>
        <v>251</v>
      </c>
      <c r="D5737" s="3">
        <f>IFERROR(__xludf.DUMMYFUNCTION("""COMPUTED_VALUE"""),200.0)</f>
        <v>200</v>
      </c>
      <c r="E5737" s="2"/>
      <c r="F5737" s="2"/>
    </row>
    <row r="5738">
      <c r="A5738" s="2">
        <f>IFERROR(__xludf.DUMMYFUNCTION("""COMPUTED_VALUE"""),46897.0)</f>
        <v>46897</v>
      </c>
      <c r="B5738" s="2">
        <f>IFERROR(__xludf.DUMMYFUNCTION("""COMPUTED_VALUE"""),0.0)</f>
        <v>0</v>
      </c>
      <c r="C5738" s="2">
        <f>IFERROR(__xludf.DUMMYFUNCTION("""COMPUTED_VALUE"""),208.0)</f>
        <v>208</v>
      </c>
      <c r="D5738" s="3">
        <f>IFERROR(__xludf.DUMMYFUNCTION("""COMPUTED_VALUE"""),59.0)</f>
        <v>59</v>
      </c>
      <c r="E5738" s="2"/>
      <c r="F5738" s="2"/>
    </row>
    <row r="5739">
      <c r="A5739" s="2">
        <f>IFERROR(__xludf.DUMMYFUNCTION("""COMPUTED_VALUE"""),71729.0)</f>
        <v>71729</v>
      </c>
      <c r="B5739" s="2">
        <f>IFERROR(__xludf.DUMMYFUNCTION("""COMPUTED_VALUE"""),0.0)</f>
        <v>0</v>
      </c>
      <c r="C5739" s="2">
        <f>IFERROR(__xludf.DUMMYFUNCTION("""COMPUTED_VALUE"""),350.0)</f>
        <v>350</v>
      </c>
      <c r="D5739" s="3">
        <f>IFERROR(__xludf.DUMMYFUNCTION("""COMPUTED_VALUE"""),233.0)</f>
        <v>233</v>
      </c>
      <c r="E5739" s="2"/>
      <c r="F5739" s="2"/>
    </row>
    <row r="5740">
      <c r="A5740" s="2">
        <f>IFERROR(__xludf.DUMMYFUNCTION("""COMPUTED_VALUE"""),45471.0)</f>
        <v>45471</v>
      </c>
      <c r="B5740" s="2">
        <f>IFERROR(__xludf.DUMMYFUNCTION("""COMPUTED_VALUE"""),1.0)</f>
        <v>1</v>
      </c>
      <c r="C5740" s="2">
        <f>IFERROR(__xludf.DUMMYFUNCTION("""COMPUTED_VALUE"""),511.0)</f>
        <v>511</v>
      </c>
      <c r="D5740" s="3">
        <f>IFERROR(__xludf.DUMMYFUNCTION("""COMPUTED_VALUE"""),260.0)</f>
        <v>260</v>
      </c>
      <c r="E5740" s="2"/>
      <c r="F5740" s="2"/>
    </row>
    <row r="5741">
      <c r="A5741" s="2">
        <f>IFERROR(__xludf.DUMMYFUNCTION("""COMPUTED_VALUE"""),80622.0)</f>
        <v>80622</v>
      </c>
      <c r="B5741" s="2">
        <f>IFERROR(__xludf.DUMMYFUNCTION("""COMPUTED_VALUE"""),1.0)</f>
        <v>1</v>
      </c>
      <c r="C5741" s="2">
        <f>IFERROR(__xludf.DUMMYFUNCTION("""COMPUTED_VALUE"""),860.0)</f>
        <v>860</v>
      </c>
      <c r="D5741" s="3">
        <f>IFERROR(__xludf.DUMMYFUNCTION("""COMPUTED_VALUE"""),491.0)</f>
        <v>491</v>
      </c>
      <c r="E5741" s="2"/>
      <c r="F5741" s="2"/>
    </row>
    <row r="5742">
      <c r="A5742" s="2">
        <f>IFERROR(__xludf.DUMMYFUNCTION("""COMPUTED_VALUE"""),111204.0)</f>
        <v>111204</v>
      </c>
      <c r="B5742" s="2">
        <f>IFERROR(__xludf.DUMMYFUNCTION("""COMPUTED_VALUE"""),1.0)</f>
        <v>1</v>
      </c>
      <c r="C5742" s="2">
        <f>IFERROR(__xludf.DUMMYFUNCTION("""COMPUTED_VALUE"""),415.0)</f>
        <v>415</v>
      </c>
      <c r="D5742" s="3">
        <f>IFERROR(__xludf.DUMMYFUNCTION("""COMPUTED_VALUE"""),159.0)</f>
        <v>159</v>
      </c>
      <c r="E5742" s="2"/>
      <c r="F5742" s="2"/>
    </row>
    <row r="5743">
      <c r="A5743" s="2">
        <f>IFERROR(__xludf.DUMMYFUNCTION("""COMPUTED_VALUE"""),27843.0)</f>
        <v>27843</v>
      </c>
      <c r="B5743" s="2">
        <f>IFERROR(__xludf.DUMMYFUNCTION("""COMPUTED_VALUE"""),1.0)</f>
        <v>1</v>
      </c>
      <c r="C5743" s="2">
        <f>IFERROR(__xludf.DUMMYFUNCTION("""COMPUTED_VALUE"""),695.0)</f>
        <v>695</v>
      </c>
      <c r="D5743" s="3">
        <f>IFERROR(__xludf.DUMMYFUNCTION("""COMPUTED_VALUE"""),687.0)</f>
        <v>687</v>
      </c>
      <c r="E5743" s="2"/>
      <c r="F5743" s="2"/>
    </row>
    <row r="5744">
      <c r="A5744" s="2">
        <f>IFERROR(__xludf.DUMMYFUNCTION("""COMPUTED_VALUE"""),111656.0)</f>
        <v>111656</v>
      </c>
      <c r="B5744" s="2">
        <f>IFERROR(__xludf.DUMMYFUNCTION("""COMPUTED_VALUE"""),0.0)</f>
        <v>0</v>
      </c>
      <c r="C5744" s="2">
        <f>IFERROR(__xludf.DUMMYFUNCTION("""COMPUTED_VALUE"""),927.0)</f>
        <v>927</v>
      </c>
      <c r="D5744" s="3">
        <f>IFERROR(__xludf.DUMMYFUNCTION("""COMPUTED_VALUE"""),757.0)</f>
        <v>757</v>
      </c>
      <c r="E5744" s="2"/>
      <c r="F5744" s="2"/>
    </row>
    <row r="5745">
      <c r="A5745" s="2">
        <f>IFERROR(__xludf.DUMMYFUNCTION("""COMPUTED_VALUE"""),70043.0)</f>
        <v>70043</v>
      </c>
      <c r="B5745" s="2">
        <f>IFERROR(__xludf.DUMMYFUNCTION("""COMPUTED_VALUE"""),0.0)</f>
        <v>0</v>
      </c>
      <c r="C5745" s="2">
        <f>IFERROR(__xludf.DUMMYFUNCTION("""COMPUTED_VALUE"""),730.0)</f>
        <v>730</v>
      </c>
      <c r="D5745" s="3">
        <f>IFERROR(__xludf.DUMMYFUNCTION("""COMPUTED_VALUE"""),169.0)</f>
        <v>169</v>
      </c>
      <c r="E5745" s="2"/>
      <c r="F5745" s="2"/>
    </row>
    <row r="5746">
      <c r="A5746" s="2">
        <f>IFERROR(__xludf.DUMMYFUNCTION("""COMPUTED_VALUE"""),127017.0)</f>
        <v>127017</v>
      </c>
      <c r="B5746" s="2">
        <f>IFERROR(__xludf.DUMMYFUNCTION("""COMPUTED_VALUE"""),1.0)</f>
        <v>1</v>
      </c>
      <c r="C5746" s="2">
        <f>IFERROR(__xludf.DUMMYFUNCTION("""COMPUTED_VALUE"""),830.0)</f>
        <v>830</v>
      </c>
      <c r="D5746" s="3">
        <f>IFERROR(__xludf.DUMMYFUNCTION("""COMPUTED_VALUE"""),388.0)</f>
        <v>388</v>
      </c>
      <c r="E5746" s="2"/>
      <c r="F5746" s="2"/>
    </row>
    <row r="5747">
      <c r="A5747" s="2">
        <f>IFERROR(__xludf.DUMMYFUNCTION("""COMPUTED_VALUE"""),92320.0)</f>
        <v>92320</v>
      </c>
      <c r="B5747" s="2">
        <f>IFERROR(__xludf.DUMMYFUNCTION("""COMPUTED_VALUE"""),0.0)</f>
        <v>0</v>
      </c>
      <c r="C5747" s="2">
        <f>IFERROR(__xludf.DUMMYFUNCTION("""COMPUTED_VALUE"""),661.0)</f>
        <v>661</v>
      </c>
      <c r="D5747" s="3">
        <f>IFERROR(__xludf.DUMMYFUNCTION("""COMPUTED_VALUE"""),406.0)</f>
        <v>406</v>
      </c>
      <c r="E5747" s="2"/>
      <c r="F5747" s="2"/>
    </row>
    <row r="5748">
      <c r="A5748" s="2">
        <f>IFERROR(__xludf.DUMMYFUNCTION("""COMPUTED_VALUE"""),109985.0)</f>
        <v>109985</v>
      </c>
      <c r="B5748" s="2">
        <f>IFERROR(__xludf.DUMMYFUNCTION("""COMPUTED_VALUE"""),0.0)</f>
        <v>0</v>
      </c>
      <c r="C5748" s="2">
        <f>IFERROR(__xludf.DUMMYFUNCTION("""COMPUTED_VALUE"""),20.0)</f>
        <v>20</v>
      </c>
      <c r="D5748" s="3">
        <f>IFERROR(__xludf.DUMMYFUNCTION("""COMPUTED_VALUE"""),3.0)</f>
        <v>3</v>
      </c>
      <c r="E5748" s="2"/>
      <c r="F5748" s="2"/>
    </row>
    <row r="5749">
      <c r="A5749" s="2">
        <f>IFERROR(__xludf.DUMMYFUNCTION("""COMPUTED_VALUE"""),110415.0)</f>
        <v>110415</v>
      </c>
      <c r="B5749" s="2">
        <f>IFERROR(__xludf.DUMMYFUNCTION("""COMPUTED_VALUE"""),1.0)</f>
        <v>1</v>
      </c>
      <c r="C5749" s="2">
        <f>IFERROR(__xludf.DUMMYFUNCTION("""COMPUTED_VALUE"""),353.0)</f>
        <v>353</v>
      </c>
      <c r="D5749" s="3">
        <f>IFERROR(__xludf.DUMMYFUNCTION("""COMPUTED_VALUE"""),83.0)</f>
        <v>83</v>
      </c>
      <c r="E5749" s="2"/>
      <c r="F5749" s="2"/>
    </row>
    <row r="5750">
      <c r="A5750" s="2">
        <f>IFERROR(__xludf.DUMMYFUNCTION("""COMPUTED_VALUE"""),101325.0)</f>
        <v>101325</v>
      </c>
      <c r="B5750" s="2">
        <f>IFERROR(__xludf.DUMMYFUNCTION("""COMPUTED_VALUE"""),0.0)</f>
        <v>0</v>
      </c>
      <c r="C5750" s="2">
        <f>IFERROR(__xludf.DUMMYFUNCTION("""COMPUTED_VALUE"""),643.0)</f>
        <v>643</v>
      </c>
      <c r="D5750" s="3">
        <f>IFERROR(__xludf.DUMMYFUNCTION("""COMPUTED_VALUE"""),400.0)</f>
        <v>400</v>
      </c>
      <c r="E5750" s="2"/>
      <c r="F5750" s="2"/>
    </row>
    <row r="5751">
      <c r="A5751" s="2">
        <f>IFERROR(__xludf.DUMMYFUNCTION("""COMPUTED_VALUE"""),133904.0)</f>
        <v>133904</v>
      </c>
      <c r="B5751" s="2">
        <f>IFERROR(__xludf.DUMMYFUNCTION("""COMPUTED_VALUE"""),1.0)</f>
        <v>1</v>
      </c>
      <c r="C5751" s="2">
        <f>IFERROR(__xludf.DUMMYFUNCTION("""COMPUTED_VALUE"""),103.0)</f>
        <v>103</v>
      </c>
      <c r="D5751" s="3">
        <f>IFERROR(__xludf.DUMMYFUNCTION("""COMPUTED_VALUE"""),15.0)</f>
        <v>15</v>
      </c>
      <c r="E5751" s="2"/>
      <c r="F5751" s="2"/>
    </row>
    <row r="5752">
      <c r="A5752" s="2">
        <f>IFERROR(__xludf.DUMMYFUNCTION("""COMPUTED_VALUE"""),91357.0)</f>
        <v>91357</v>
      </c>
      <c r="B5752" s="2">
        <f>IFERROR(__xludf.DUMMYFUNCTION("""COMPUTED_VALUE"""),0.0)</f>
        <v>0</v>
      </c>
      <c r="C5752" s="2">
        <f>IFERROR(__xludf.DUMMYFUNCTION("""COMPUTED_VALUE"""),653.0)</f>
        <v>653</v>
      </c>
      <c r="D5752" s="3">
        <f>IFERROR(__xludf.DUMMYFUNCTION("""COMPUTED_VALUE"""),633.0)</f>
        <v>633</v>
      </c>
      <c r="E5752" s="2"/>
      <c r="F5752" s="2"/>
    </row>
    <row r="5753">
      <c r="A5753" s="2">
        <f>IFERROR(__xludf.DUMMYFUNCTION("""COMPUTED_VALUE"""),92330.0)</f>
        <v>92330</v>
      </c>
      <c r="B5753" s="2">
        <f>IFERROR(__xludf.DUMMYFUNCTION("""COMPUTED_VALUE"""),0.0)</f>
        <v>0</v>
      </c>
      <c r="C5753" s="2">
        <f>IFERROR(__xludf.DUMMYFUNCTION("""COMPUTED_VALUE"""),232.0)</f>
        <v>232</v>
      </c>
      <c r="D5753" s="3">
        <f>IFERROR(__xludf.DUMMYFUNCTION("""COMPUTED_VALUE"""),134.0)</f>
        <v>134</v>
      </c>
      <c r="E5753" s="2"/>
      <c r="F5753" s="2"/>
    </row>
    <row r="5754">
      <c r="A5754" s="2">
        <f>IFERROR(__xludf.DUMMYFUNCTION("""COMPUTED_VALUE"""),128409.0)</f>
        <v>128409</v>
      </c>
      <c r="B5754" s="2">
        <f>IFERROR(__xludf.DUMMYFUNCTION("""COMPUTED_VALUE"""),1.0)</f>
        <v>1</v>
      </c>
      <c r="C5754" s="2">
        <f>IFERROR(__xludf.DUMMYFUNCTION("""COMPUTED_VALUE"""),282.0)</f>
        <v>282</v>
      </c>
      <c r="D5754" s="3">
        <f>IFERROR(__xludf.DUMMYFUNCTION("""COMPUTED_VALUE"""),143.0)</f>
        <v>143</v>
      </c>
      <c r="E5754" s="2"/>
      <c r="F5754" s="2"/>
    </row>
    <row r="5755">
      <c r="A5755" s="2">
        <f>IFERROR(__xludf.DUMMYFUNCTION("""COMPUTED_VALUE"""),124704.0)</f>
        <v>124704</v>
      </c>
      <c r="B5755" s="2">
        <f>IFERROR(__xludf.DUMMYFUNCTION("""COMPUTED_VALUE"""),1.0)</f>
        <v>1</v>
      </c>
      <c r="C5755" s="2">
        <f>IFERROR(__xludf.DUMMYFUNCTION("""COMPUTED_VALUE"""),487.0)</f>
        <v>487</v>
      </c>
      <c r="D5755" s="3">
        <f>IFERROR(__xludf.DUMMYFUNCTION("""COMPUTED_VALUE"""),76.0)</f>
        <v>76</v>
      </c>
      <c r="E5755" s="2"/>
      <c r="F5755" s="2"/>
    </row>
    <row r="5756">
      <c r="A5756" s="2">
        <f>IFERROR(__xludf.DUMMYFUNCTION("""COMPUTED_VALUE"""),122252.0)</f>
        <v>122252</v>
      </c>
      <c r="B5756" s="2">
        <f>IFERROR(__xludf.DUMMYFUNCTION("""COMPUTED_VALUE"""),1.0)</f>
        <v>1</v>
      </c>
      <c r="C5756" s="2">
        <f>IFERROR(__xludf.DUMMYFUNCTION("""COMPUTED_VALUE"""),723.0)</f>
        <v>723</v>
      </c>
      <c r="D5756" s="3">
        <f>IFERROR(__xludf.DUMMYFUNCTION("""COMPUTED_VALUE"""),456.0)</f>
        <v>456</v>
      </c>
      <c r="E5756" s="2"/>
      <c r="F5756" s="2"/>
    </row>
    <row r="5757">
      <c r="A5757" s="2">
        <f>IFERROR(__xludf.DUMMYFUNCTION("""COMPUTED_VALUE"""),85159.0)</f>
        <v>85159</v>
      </c>
      <c r="B5757" s="2">
        <f>IFERROR(__xludf.DUMMYFUNCTION("""COMPUTED_VALUE"""),1.0)</f>
        <v>1</v>
      </c>
      <c r="C5757" s="2">
        <f>IFERROR(__xludf.DUMMYFUNCTION("""COMPUTED_VALUE"""),86.0)</f>
        <v>86</v>
      </c>
      <c r="D5757" s="3">
        <f>IFERROR(__xludf.DUMMYFUNCTION("""COMPUTED_VALUE"""),74.0)</f>
        <v>74</v>
      </c>
      <c r="E5757" s="2"/>
      <c r="F5757" s="2"/>
    </row>
    <row r="5758">
      <c r="A5758" s="2">
        <f>IFERROR(__xludf.DUMMYFUNCTION("""COMPUTED_VALUE"""),103604.0)</f>
        <v>103604</v>
      </c>
      <c r="B5758" s="2">
        <f>IFERROR(__xludf.DUMMYFUNCTION("""COMPUTED_VALUE"""),0.0)</f>
        <v>0</v>
      </c>
      <c r="C5758" s="2">
        <f>IFERROR(__xludf.DUMMYFUNCTION("""COMPUTED_VALUE"""),173.0)</f>
        <v>173</v>
      </c>
      <c r="D5758" s="3">
        <f>IFERROR(__xludf.DUMMYFUNCTION("""COMPUTED_VALUE"""),67.0)</f>
        <v>67</v>
      </c>
      <c r="E5758" s="2"/>
      <c r="F5758" s="2"/>
    </row>
    <row r="5759">
      <c r="A5759" s="2">
        <f>IFERROR(__xludf.DUMMYFUNCTION("""COMPUTED_VALUE"""),27845.0)</f>
        <v>27845</v>
      </c>
      <c r="B5759" s="2">
        <f>IFERROR(__xludf.DUMMYFUNCTION("""COMPUTED_VALUE"""),1.0)</f>
        <v>1</v>
      </c>
      <c r="C5759" s="2">
        <f>IFERROR(__xludf.DUMMYFUNCTION("""COMPUTED_VALUE"""),593.0)</f>
        <v>593</v>
      </c>
      <c r="D5759" s="3">
        <f>IFERROR(__xludf.DUMMYFUNCTION("""COMPUTED_VALUE"""),527.0)</f>
        <v>527</v>
      </c>
      <c r="E5759" s="2"/>
      <c r="F5759" s="2"/>
    </row>
    <row r="5760">
      <c r="A5760" s="2">
        <f>IFERROR(__xludf.DUMMYFUNCTION("""COMPUTED_VALUE"""),11666.0)</f>
        <v>11666</v>
      </c>
      <c r="B5760" s="2">
        <f>IFERROR(__xludf.DUMMYFUNCTION("""COMPUTED_VALUE"""),1.0)</f>
        <v>1</v>
      </c>
      <c r="C5760" s="2">
        <f>IFERROR(__xludf.DUMMYFUNCTION("""COMPUTED_VALUE"""),934.0)</f>
        <v>934</v>
      </c>
      <c r="D5760" s="3">
        <f>IFERROR(__xludf.DUMMYFUNCTION("""COMPUTED_VALUE"""),878.0)</f>
        <v>878</v>
      </c>
      <c r="E5760" s="2"/>
      <c r="F5760" s="2"/>
    </row>
    <row r="5761">
      <c r="A5761" s="2">
        <f>IFERROR(__xludf.DUMMYFUNCTION("""COMPUTED_VALUE"""),127016.0)</f>
        <v>127016</v>
      </c>
      <c r="B5761" s="2">
        <f>IFERROR(__xludf.DUMMYFUNCTION("""COMPUTED_VALUE"""),0.0)</f>
        <v>0</v>
      </c>
      <c r="C5761" s="2">
        <f>IFERROR(__xludf.DUMMYFUNCTION("""COMPUTED_VALUE"""),186.0)</f>
        <v>186</v>
      </c>
      <c r="D5761" s="3">
        <f>IFERROR(__xludf.DUMMYFUNCTION("""COMPUTED_VALUE"""),132.0)</f>
        <v>132</v>
      </c>
      <c r="E5761" s="2"/>
      <c r="F5761" s="2"/>
    </row>
    <row r="5762">
      <c r="A5762" s="2">
        <f>IFERROR(__xludf.DUMMYFUNCTION("""COMPUTED_VALUE"""),2046.0)</f>
        <v>2046</v>
      </c>
      <c r="B5762" s="2">
        <f>IFERROR(__xludf.DUMMYFUNCTION("""COMPUTED_VALUE"""),0.0)</f>
        <v>0</v>
      </c>
      <c r="C5762" s="2">
        <f>IFERROR(__xludf.DUMMYFUNCTION("""COMPUTED_VALUE"""),737.0)</f>
        <v>737</v>
      </c>
      <c r="D5762" s="3">
        <f>IFERROR(__xludf.DUMMYFUNCTION("""COMPUTED_VALUE"""),736.0)</f>
        <v>736</v>
      </c>
      <c r="E5762" s="2"/>
      <c r="F5762" s="2"/>
    </row>
    <row r="5763">
      <c r="A5763" s="2">
        <f>IFERROR(__xludf.DUMMYFUNCTION("""COMPUTED_VALUE"""),66998.0)</f>
        <v>66998</v>
      </c>
      <c r="B5763" s="2">
        <f>IFERROR(__xludf.DUMMYFUNCTION("""COMPUTED_VALUE"""),1.0)</f>
        <v>1</v>
      </c>
      <c r="C5763" s="2">
        <f>IFERROR(__xludf.DUMMYFUNCTION("""COMPUTED_VALUE"""),-1.0)</f>
        <v>-1</v>
      </c>
      <c r="D5763" s="3">
        <f>IFERROR(__xludf.DUMMYFUNCTION("""COMPUTED_VALUE"""),0.0)</f>
        <v>0</v>
      </c>
      <c r="E5763" s="2"/>
      <c r="F5763" s="2"/>
    </row>
    <row r="5764">
      <c r="A5764" s="2">
        <f>IFERROR(__xludf.DUMMYFUNCTION("""COMPUTED_VALUE"""),103626.0)</f>
        <v>103626</v>
      </c>
      <c r="B5764" s="2">
        <f>IFERROR(__xludf.DUMMYFUNCTION("""COMPUTED_VALUE"""),0.0)</f>
        <v>0</v>
      </c>
      <c r="C5764" s="2">
        <f>IFERROR(__xludf.DUMMYFUNCTION("""COMPUTED_VALUE"""),150.0)</f>
        <v>150</v>
      </c>
      <c r="D5764" s="3">
        <f>IFERROR(__xludf.DUMMYFUNCTION("""COMPUTED_VALUE"""),145.0)</f>
        <v>145</v>
      </c>
      <c r="E5764" s="2"/>
      <c r="F5764" s="2"/>
    </row>
    <row r="5765">
      <c r="A5765" s="2">
        <f>IFERROR(__xludf.DUMMYFUNCTION("""COMPUTED_VALUE"""),103603.0)</f>
        <v>103603</v>
      </c>
      <c r="B5765" s="2">
        <f>IFERROR(__xludf.DUMMYFUNCTION("""COMPUTED_VALUE"""),1.0)</f>
        <v>1</v>
      </c>
      <c r="C5765" s="2">
        <f>IFERROR(__xludf.DUMMYFUNCTION("""COMPUTED_VALUE"""),633.0)</f>
        <v>633</v>
      </c>
      <c r="D5765" s="3">
        <f>IFERROR(__xludf.DUMMYFUNCTION("""COMPUTED_VALUE"""),343.0)</f>
        <v>343</v>
      </c>
      <c r="E5765" s="2"/>
      <c r="F5765" s="2"/>
    </row>
    <row r="5766">
      <c r="A5766" s="2">
        <f>IFERROR(__xludf.DUMMYFUNCTION("""COMPUTED_VALUE"""),85156.0)</f>
        <v>85156</v>
      </c>
      <c r="B5766" s="2">
        <f>IFERROR(__xludf.DUMMYFUNCTION("""COMPUTED_VALUE"""),0.0)</f>
        <v>0</v>
      </c>
      <c r="C5766" s="2">
        <f>IFERROR(__xludf.DUMMYFUNCTION("""COMPUTED_VALUE"""),45.0)</f>
        <v>45</v>
      </c>
      <c r="D5766" s="3">
        <f>IFERROR(__xludf.DUMMYFUNCTION("""COMPUTED_VALUE"""),14.0)</f>
        <v>14</v>
      </c>
      <c r="E5766" s="2"/>
      <c r="F5766" s="2"/>
    </row>
    <row r="5767">
      <c r="A5767" s="2">
        <f>IFERROR(__xludf.DUMMYFUNCTION("""COMPUTED_VALUE"""),8118.0)</f>
        <v>8118</v>
      </c>
      <c r="B5767" s="2">
        <f>IFERROR(__xludf.DUMMYFUNCTION("""COMPUTED_VALUE"""),1.0)</f>
        <v>1</v>
      </c>
      <c r="C5767" s="2">
        <f>IFERROR(__xludf.DUMMYFUNCTION("""COMPUTED_VALUE"""),783.0)</f>
        <v>783</v>
      </c>
      <c r="D5767" s="3">
        <f>IFERROR(__xludf.DUMMYFUNCTION("""COMPUTED_VALUE"""),438.0)</f>
        <v>438</v>
      </c>
      <c r="E5767" s="2"/>
      <c r="F5767" s="2"/>
    </row>
    <row r="5768">
      <c r="A5768" s="2">
        <f>IFERROR(__xludf.DUMMYFUNCTION("""COMPUTED_VALUE"""),109984.0)</f>
        <v>109984</v>
      </c>
      <c r="B5768" s="2">
        <f>IFERROR(__xludf.DUMMYFUNCTION("""COMPUTED_VALUE"""),0.0)</f>
        <v>0</v>
      </c>
      <c r="C5768" s="2">
        <f>IFERROR(__xludf.DUMMYFUNCTION("""COMPUTED_VALUE"""),817.0)</f>
        <v>817</v>
      </c>
      <c r="D5768" s="3">
        <f>IFERROR(__xludf.DUMMYFUNCTION("""COMPUTED_VALUE"""),784.0)</f>
        <v>784</v>
      </c>
      <c r="E5768" s="2"/>
      <c r="F5768" s="2"/>
    </row>
    <row r="5769">
      <c r="A5769" s="2">
        <f>IFERROR(__xludf.DUMMYFUNCTION("""COMPUTED_VALUE"""),92134.0)</f>
        <v>92134</v>
      </c>
      <c r="B5769" s="2">
        <f>IFERROR(__xludf.DUMMYFUNCTION("""COMPUTED_VALUE"""),0.0)</f>
        <v>0</v>
      </c>
      <c r="C5769" s="2">
        <f>IFERROR(__xludf.DUMMYFUNCTION("""COMPUTED_VALUE"""),687.0)</f>
        <v>687</v>
      </c>
      <c r="D5769" s="3">
        <f>IFERROR(__xludf.DUMMYFUNCTION("""COMPUTED_VALUE"""),649.0)</f>
        <v>649</v>
      </c>
      <c r="E5769" s="2"/>
      <c r="F5769" s="2"/>
    </row>
    <row r="5770">
      <c r="A5770" s="2">
        <f>IFERROR(__xludf.DUMMYFUNCTION("""COMPUTED_VALUE"""),129420.0)</f>
        <v>129420</v>
      </c>
      <c r="B5770" s="2">
        <f>IFERROR(__xludf.DUMMYFUNCTION("""COMPUTED_VALUE"""),0.0)</f>
        <v>0</v>
      </c>
      <c r="C5770" s="2">
        <f>IFERROR(__xludf.DUMMYFUNCTION("""COMPUTED_VALUE"""),218.0)</f>
        <v>218</v>
      </c>
      <c r="D5770" s="3">
        <f>IFERROR(__xludf.DUMMYFUNCTION("""COMPUTED_VALUE"""),62.0)</f>
        <v>62</v>
      </c>
      <c r="E5770" s="2"/>
      <c r="F5770" s="2"/>
    </row>
    <row r="5771">
      <c r="A5771" s="2">
        <f>IFERROR(__xludf.DUMMYFUNCTION("""COMPUTED_VALUE"""),111010.0)</f>
        <v>111010</v>
      </c>
      <c r="B5771" s="2">
        <f>IFERROR(__xludf.DUMMYFUNCTION("""COMPUTED_VALUE"""),1.0)</f>
        <v>1</v>
      </c>
      <c r="C5771" s="2">
        <f>IFERROR(__xludf.DUMMYFUNCTION("""COMPUTED_VALUE"""),833.0)</f>
        <v>833</v>
      </c>
      <c r="D5771" s="3">
        <f>IFERROR(__xludf.DUMMYFUNCTION("""COMPUTED_VALUE"""),733.0)</f>
        <v>733</v>
      </c>
      <c r="E5771" s="2"/>
      <c r="F5771" s="2"/>
    </row>
    <row r="5772">
      <c r="A5772" s="2">
        <f>IFERROR(__xludf.DUMMYFUNCTION("""COMPUTED_VALUE"""),46771.0)</f>
        <v>46771</v>
      </c>
      <c r="B5772" s="2">
        <f>IFERROR(__xludf.DUMMYFUNCTION("""COMPUTED_VALUE"""),0.0)</f>
        <v>0</v>
      </c>
      <c r="C5772" s="2">
        <f>IFERROR(__xludf.DUMMYFUNCTION("""COMPUTED_VALUE"""),301.0)</f>
        <v>301</v>
      </c>
      <c r="D5772" s="3">
        <f>IFERROR(__xludf.DUMMYFUNCTION("""COMPUTED_VALUE"""),193.0)</f>
        <v>193</v>
      </c>
      <c r="E5772" s="2"/>
      <c r="F5772" s="2"/>
    </row>
    <row r="5773">
      <c r="A5773" s="2">
        <f>IFERROR(__xludf.DUMMYFUNCTION("""COMPUTED_VALUE"""),88396.0)</f>
        <v>88396</v>
      </c>
      <c r="B5773" s="2">
        <f>IFERROR(__xludf.DUMMYFUNCTION("""COMPUTED_VALUE"""),1.0)</f>
        <v>1</v>
      </c>
      <c r="C5773" s="2">
        <f>IFERROR(__xludf.DUMMYFUNCTION("""COMPUTED_VALUE"""),62.0)</f>
        <v>62</v>
      </c>
      <c r="D5773" s="3">
        <f>IFERROR(__xludf.DUMMYFUNCTION("""COMPUTED_VALUE"""),27.0)</f>
        <v>27</v>
      </c>
      <c r="E5773" s="2"/>
      <c r="F5773" s="2"/>
    </row>
    <row r="5774">
      <c r="A5774" s="2">
        <f>IFERROR(__xludf.DUMMYFUNCTION("""COMPUTED_VALUE"""),88188.0)</f>
        <v>88188</v>
      </c>
      <c r="B5774" s="2">
        <f>IFERROR(__xludf.DUMMYFUNCTION("""COMPUTED_VALUE"""),1.0)</f>
        <v>1</v>
      </c>
      <c r="C5774" s="2">
        <f>IFERROR(__xludf.DUMMYFUNCTION("""COMPUTED_VALUE"""),969.0)</f>
        <v>969</v>
      </c>
      <c r="D5774" s="3">
        <f>IFERROR(__xludf.DUMMYFUNCTION("""COMPUTED_VALUE"""),429.0)</f>
        <v>429</v>
      </c>
      <c r="E5774" s="2"/>
      <c r="F5774" s="2"/>
    </row>
    <row r="5775">
      <c r="A5775" s="2">
        <f>IFERROR(__xludf.DUMMYFUNCTION("""COMPUTED_VALUE"""),129373.0)</f>
        <v>129373</v>
      </c>
      <c r="B5775" s="2">
        <f>IFERROR(__xludf.DUMMYFUNCTION("""COMPUTED_VALUE"""),1.0)</f>
        <v>1</v>
      </c>
      <c r="C5775" s="2">
        <f>IFERROR(__xludf.DUMMYFUNCTION("""COMPUTED_VALUE"""),876.0)</f>
        <v>876</v>
      </c>
      <c r="D5775" s="3">
        <f>IFERROR(__xludf.DUMMYFUNCTION("""COMPUTED_VALUE"""),263.0)</f>
        <v>263</v>
      </c>
      <c r="E5775" s="2"/>
      <c r="F5775" s="2"/>
    </row>
    <row r="5776">
      <c r="A5776" s="2">
        <f>IFERROR(__xludf.DUMMYFUNCTION("""COMPUTED_VALUE"""),103625.0)</f>
        <v>103625</v>
      </c>
      <c r="B5776" s="2">
        <f>IFERROR(__xludf.DUMMYFUNCTION("""COMPUTED_VALUE"""),0.0)</f>
        <v>0</v>
      </c>
      <c r="C5776" s="2">
        <f>IFERROR(__xludf.DUMMYFUNCTION("""COMPUTED_VALUE"""),648.0)</f>
        <v>648</v>
      </c>
      <c r="D5776" s="3">
        <f>IFERROR(__xludf.DUMMYFUNCTION("""COMPUTED_VALUE"""),232.0)</f>
        <v>232</v>
      </c>
      <c r="E5776" s="2"/>
      <c r="F5776" s="2"/>
    </row>
    <row r="5777">
      <c r="A5777" s="2">
        <f>IFERROR(__xludf.DUMMYFUNCTION("""COMPUTED_VALUE"""),109332.0)</f>
        <v>109332</v>
      </c>
      <c r="B5777" s="2">
        <f>IFERROR(__xludf.DUMMYFUNCTION("""COMPUTED_VALUE"""),0.0)</f>
        <v>0</v>
      </c>
      <c r="C5777" s="2">
        <f>IFERROR(__xludf.DUMMYFUNCTION("""COMPUTED_VALUE"""),747.0)</f>
        <v>747</v>
      </c>
      <c r="D5777" s="3">
        <f>IFERROR(__xludf.DUMMYFUNCTION("""COMPUTED_VALUE"""),262.0)</f>
        <v>262</v>
      </c>
      <c r="E5777" s="2"/>
      <c r="F5777" s="2"/>
    </row>
    <row r="5778">
      <c r="A5778" s="2">
        <f>IFERROR(__xludf.DUMMYFUNCTION("""COMPUTED_VALUE"""),92327.0)</f>
        <v>92327</v>
      </c>
      <c r="B5778" s="2">
        <f>IFERROR(__xludf.DUMMYFUNCTION("""COMPUTED_VALUE"""),1.0)</f>
        <v>1</v>
      </c>
      <c r="C5778" s="2">
        <f>IFERROR(__xludf.DUMMYFUNCTION("""COMPUTED_VALUE"""),969.0)</f>
        <v>969</v>
      </c>
      <c r="D5778" s="3">
        <f>IFERROR(__xludf.DUMMYFUNCTION("""COMPUTED_VALUE"""),441.0)</f>
        <v>441</v>
      </c>
      <c r="E5778" s="2"/>
      <c r="F5778" s="2"/>
    </row>
    <row r="5779">
      <c r="A5779" s="2">
        <f>IFERROR(__xludf.DUMMYFUNCTION("""COMPUTED_VALUE"""),80699.0)</f>
        <v>80699</v>
      </c>
      <c r="B5779" s="2">
        <f>IFERROR(__xludf.DUMMYFUNCTION("""COMPUTED_VALUE"""),1.0)</f>
        <v>1</v>
      </c>
      <c r="C5779" s="2">
        <f>IFERROR(__xludf.DUMMYFUNCTION("""COMPUTED_VALUE"""),498.0)</f>
        <v>498</v>
      </c>
      <c r="D5779" s="3">
        <f>IFERROR(__xludf.DUMMYFUNCTION("""COMPUTED_VALUE"""),223.0)</f>
        <v>223</v>
      </c>
      <c r="E5779" s="2"/>
      <c r="F5779" s="2"/>
    </row>
    <row r="5780">
      <c r="A5780" s="2">
        <f>IFERROR(__xludf.DUMMYFUNCTION("""COMPUTED_VALUE"""),101043.0)</f>
        <v>101043</v>
      </c>
      <c r="B5780" s="2">
        <f>IFERROR(__xludf.DUMMYFUNCTION("""COMPUTED_VALUE"""),1.0)</f>
        <v>1</v>
      </c>
      <c r="C5780" s="2">
        <f>IFERROR(__xludf.DUMMYFUNCTION("""COMPUTED_VALUE"""),855.0)</f>
        <v>855</v>
      </c>
      <c r="D5780" s="3">
        <f>IFERROR(__xludf.DUMMYFUNCTION("""COMPUTED_VALUE"""),584.0)</f>
        <v>584</v>
      </c>
      <c r="E5780" s="2"/>
      <c r="F5780" s="2"/>
    </row>
    <row r="5781">
      <c r="A5781" s="2">
        <f>IFERROR(__xludf.DUMMYFUNCTION("""COMPUTED_VALUE"""),46760.0)</f>
        <v>46760</v>
      </c>
      <c r="B5781" s="2">
        <f>IFERROR(__xludf.DUMMYFUNCTION("""COMPUTED_VALUE"""),1.0)</f>
        <v>1</v>
      </c>
      <c r="C5781" s="2">
        <f>IFERROR(__xludf.DUMMYFUNCTION("""COMPUTED_VALUE"""),389.0)</f>
        <v>389</v>
      </c>
      <c r="D5781" s="3">
        <f>IFERROR(__xludf.DUMMYFUNCTION("""COMPUTED_VALUE"""),77.0)</f>
        <v>77</v>
      </c>
      <c r="E5781" s="2"/>
      <c r="F5781" s="2"/>
    </row>
    <row r="5782">
      <c r="A5782" s="2">
        <f>IFERROR(__xludf.DUMMYFUNCTION("""COMPUTED_VALUE"""),109966.0)</f>
        <v>109966</v>
      </c>
      <c r="B5782" s="2">
        <f>IFERROR(__xludf.DUMMYFUNCTION("""COMPUTED_VALUE"""),1.0)</f>
        <v>1</v>
      </c>
      <c r="C5782" s="2">
        <f>IFERROR(__xludf.DUMMYFUNCTION("""COMPUTED_VALUE"""),130.0)</f>
        <v>130</v>
      </c>
      <c r="D5782" s="3">
        <f>IFERROR(__xludf.DUMMYFUNCTION("""COMPUTED_VALUE"""),127.0)</f>
        <v>127</v>
      </c>
      <c r="E5782" s="2"/>
      <c r="F5782" s="2"/>
    </row>
    <row r="5783">
      <c r="A5783" s="2">
        <f>IFERROR(__xludf.DUMMYFUNCTION("""COMPUTED_VALUE"""),128408.0)</f>
        <v>128408</v>
      </c>
      <c r="B5783" s="2">
        <f>IFERROR(__xludf.DUMMYFUNCTION("""COMPUTED_VALUE"""),0.0)</f>
        <v>0</v>
      </c>
      <c r="C5783" s="2">
        <f>IFERROR(__xludf.DUMMYFUNCTION("""COMPUTED_VALUE"""),301.0)</f>
        <v>301</v>
      </c>
      <c r="D5783" s="3">
        <f>IFERROR(__xludf.DUMMYFUNCTION("""COMPUTED_VALUE"""),289.0)</f>
        <v>289</v>
      </c>
      <c r="E5783" s="2"/>
      <c r="F5783" s="2"/>
    </row>
    <row r="5784">
      <c r="A5784" s="2">
        <f>IFERROR(__xludf.DUMMYFUNCTION("""COMPUTED_VALUE"""),81128.0)</f>
        <v>81128</v>
      </c>
      <c r="B5784" s="2">
        <f>IFERROR(__xludf.DUMMYFUNCTION("""COMPUTED_VALUE"""),0.0)</f>
        <v>0</v>
      </c>
      <c r="C5784" s="2">
        <f>IFERROR(__xludf.DUMMYFUNCTION("""COMPUTED_VALUE"""),489.0)</f>
        <v>489</v>
      </c>
      <c r="D5784" s="3">
        <f>IFERROR(__xludf.DUMMYFUNCTION("""COMPUTED_VALUE"""),145.0)</f>
        <v>145</v>
      </c>
      <c r="E5784" s="2"/>
      <c r="F5784" s="2"/>
    </row>
    <row r="5785">
      <c r="A5785" s="2">
        <f>IFERROR(__xludf.DUMMYFUNCTION("""COMPUTED_VALUE"""),45571.0)</f>
        <v>45571</v>
      </c>
      <c r="B5785" s="2">
        <f>IFERROR(__xludf.DUMMYFUNCTION("""COMPUTED_VALUE"""),0.0)</f>
        <v>0</v>
      </c>
      <c r="C5785" s="2">
        <f>IFERROR(__xludf.DUMMYFUNCTION("""COMPUTED_VALUE"""),976.0)</f>
        <v>976</v>
      </c>
      <c r="D5785" s="3">
        <f>IFERROR(__xludf.DUMMYFUNCTION("""COMPUTED_VALUE"""),187.0)</f>
        <v>187</v>
      </c>
      <c r="E5785" s="2"/>
      <c r="F5785" s="2"/>
    </row>
    <row r="5786">
      <c r="A5786" s="2">
        <f>IFERROR(__xludf.DUMMYFUNCTION("""COMPUTED_VALUE"""),44612.0)</f>
        <v>44612</v>
      </c>
      <c r="B5786" s="2">
        <f>IFERROR(__xludf.DUMMYFUNCTION("""COMPUTED_VALUE"""),0.0)</f>
        <v>0</v>
      </c>
      <c r="C5786" s="2">
        <f>IFERROR(__xludf.DUMMYFUNCTION("""COMPUTED_VALUE"""),889.0)</f>
        <v>889</v>
      </c>
      <c r="D5786" s="3">
        <f>IFERROR(__xludf.DUMMYFUNCTION("""COMPUTED_VALUE"""),555.0)</f>
        <v>555</v>
      </c>
      <c r="E5786" s="2"/>
      <c r="F5786" s="2"/>
    </row>
    <row r="5787">
      <c r="A5787" s="2">
        <f>IFERROR(__xludf.DUMMYFUNCTION("""COMPUTED_VALUE"""),124684.0)</f>
        <v>124684</v>
      </c>
      <c r="B5787" s="2">
        <f>IFERROR(__xludf.DUMMYFUNCTION("""COMPUTED_VALUE"""),0.0)</f>
        <v>0</v>
      </c>
      <c r="C5787" s="2">
        <f>IFERROR(__xludf.DUMMYFUNCTION("""COMPUTED_VALUE"""),678.0)</f>
        <v>678</v>
      </c>
      <c r="D5787" s="3">
        <f>IFERROR(__xludf.DUMMYFUNCTION("""COMPUTED_VALUE"""),307.0)</f>
        <v>307</v>
      </c>
      <c r="E5787" s="2"/>
      <c r="F5787" s="2"/>
    </row>
    <row r="5788">
      <c r="A5788" s="2">
        <f>IFERROR(__xludf.DUMMYFUNCTION("""COMPUTED_VALUE"""),112365.0)</f>
        <v>112365</v>
      </c>
      <c r="B5788" s="2">
        <f>IFERROR(__xludf.DUMMYFUNCTION("""COMPUTED_VALUE"""),0.0)</f>
        <v>0</v>
      </c>
      <c r="C5788" s="2">
        <f>IFERROR(__xludf.DUMMYFUNCTION("""COMPUTED_VALUE"""),251.0)</f>
        <v>251</v>
      </c>
      <c r="D5788" s="3">
        <f>IFERROR(__xludf.DUMMYFUNCTION("""COMPUTED_VALUE"""),70.0)</f>
        <v>70</v>
      </c>
      <c r="E5788" s="2"/>
      <c r="F5788" s="2"/>
    </row>
    <row r="5789">
      <c r="A5789" s="2">
        <f>IFERROR(__xludf.DUMMYFUNCTION("""COMPUTED_VALUE"""),41038.0)</f>
        <v>41038</v>
      </c>
      <c r="B5789" s="2">
        <f>IFERROR(__xludf.DUMMYFUNCTION("""COMPUTED_VALUE"""),1.0)</f>
        <v>1</v>
      </c>
      <c r="C5789" s="2">
        <f>IFERROR(__xludf.DUMMYFUNCTION("""COMPUTED_VALUE"""),888.0)</f>
        <v>888</v>
      </c>
      <c r="D5789" s="3">
        <f>IFERROR(__xludf.DUMMYFUNCTION("""COMPUTED_VALUE"""),371.0)</f>
        <v>371</v>
      </c>
      <c r="E5789" s="2"/>
      <c r="F5789" s="2"/>
    </row>
    <row r="5790">
      <c r="A5790" s="2">
        <f>IFERROR(__xludf.DUMMYFUNCTION("""COMPUTED_VALUE"""),87761.0)</f>
        <v>87761</v>
      </c>
      <c r="B5790" s="2">
        <f>IFERROR(__xludf.DUMMYFUNCTION("""COMPUTED_VALUE"""),0.0)</f>
        <v>0</v>
      </c>
      <c r="C5790" s="2">
        <f>IFERROR(__xludf.DUMMYFUNCTION("""COMPUTED_VALUE"""),91.0)</f>
        <v>91</v>
      </c>
      <c r="D5790" s="3">
        <f>IFERROR(__xludf.DUMMYFUNCTION("""COMPUTED_VALUE"""),35.0)</f>
        <v>35</v>
      </c>
      <c r="E5790" s="2"/>
      <c r="F5790" s="2"/>
    </row>
    <row r="5791">
      <c r="A5791" s="2">
        <f>IFERROR(__xludf.DUMMYFUNCTION("""COMPUTED_VALUE"""),106590.0)</f>
        <v>106590</v>
      </c>
      <c r="B5791" s="2">
        <f>IFERROR(__xludf.DUMMYFUNCTION("""COMPUTED_VALUE"""),1.0)</f>
        <v>1</v>
      </c>
      <c r="C5791" s="2">
        <f>IFERROR(__xludf.DUMMYFUNCTION("""COMPUTED_VALUE"""),529.0)</f>
        <v>529</v>
      </c>
      <c r="D5791" s="3">
        <f>IFERROR(__xludf.DUMMYFUNCTION("""COMPUTED_VALUE"""),53.0)</f>
        <v>53</v>
      </c>
      <c r="E5791" s="2"/>
      <c r="F5791" s="2"/>
    </row>
    <row r="5792">
      <c r="A5792" s="2">
        <f>IFERROR(__xludf.DUMMYFUNCTION("""COMPUTED_VALUE"""),85734.0)</f>
        <v>85734</v>
      </c>
      <c r="B5792" s="2">
        <f>IFERROR(__xludf.DUMMYFUNCTION("""COMPUTED_VALUE"""),1.0)</f>
        <v>1</v>
      </c>
      <c r="C5792" s="2">
        <f>IFERROR(__xludf.DUMMYFUNCTION("""COMPUTED_VALUE"""),886.0)</f>
        <v>886</v>
      </c>
      <c r="D5792" s="3">
        <f>IFERROR(__xludf.DUMMYFUNCTION("""COMPUTED_VALUE"""),513.0)</f>
        <v>513</v>
      </c>
      <c r="E5792" s="2"/>
      <c r="F5792" s="2"/>
    </row>
    <row r="5793">
      <c r="A5793" s="2">
        <f>IFERROR(__xludf.DUMMYFUNCTION("""COMPUTED_VALUE"""),122511.0)</f>
        <v>122511</v>
      </c>
      <c r="B5793" s="2">
        <f>IFERROR(__xludf.DUMMYFUNCTION("""COMPUTED_VALUE"""),1.0)</f>
        <v>1</v>
      </c>
      <c r="C5793" s="2">
        <f>IFERROR(__xludf.DUMMYFUNCTION("""COMPUTED_VALUE"""),230.0)</f>
        <v>230</v>
      </c>
      <c r="D5793" s="3">
        <f>IFERROR(__xludf.DUMMYFUNCTION("""COMPUTED_VALUE"""),67.0)</f>
        <v>67</v>
      </c>
      <c r="E5793" s="2"/>
      <c r="F5793" s="2"/>
    </row>
    <row r="5794">
      <c r="A5794" s="2">
        <f>IFERROR(__xludf.DUMMYFUNCTION("""COMPUTED_VALUE"""),2335.0)</f>
        <v>2335</v>
      </c>
      <c r="B5794" s="2">
        <f>IFERROR(__xludf.DUMMYFUNCTION("""COMPUTED_VALUE"""),0.0)</f>
        <v>0</v>
      </c>
      <c r="C5794" s="2">
        <f>IFERROR(__xludf.DUMMYFUNCTION("""COMPUTED_VALUE"""),862.0)</f>
        <v>862</v>
      </c>
      <c r="D5794" s="3">
        <f>IFERROR(__xludf.DUMMYFUNCTION("""COMPUTED_VALUE"""),542.0)</f>
        <v>542</v>
      </c>
      <c r="E5794" s="2"/>
      <c r="F5794" s="2"/>
    </row>
    <row r="5795">
      <c r="A5795" s="2">
        <f>IFERROR(__xludf.DUMMYFUNCTION("""COMPUTED_VALUE"""),2339.0)</f>
        <v>2339</v>
      </c>
      <c r="B5795" s="2">
        <f>IFERROR(__xludf.DUMMYFUNCTION("""COMPUTED_VALUE"""),0.0)</f>
        <v>0</v>
      </c>
      <c r="C5795" s="2">
        <f>IFERROR(__xludf.DUMMYFUNCTION("""COMPUTED_VALUE"""),685.0)</f>
        <v>685</v>
      </c>
      <c r="D5795" s="3">
        <f>IFERROR(__xludf.DUMMYFUNCTION("""COMPUTED_VALUE"""),146.0)</f>
        <v>146</v>
      </c>
      <c r="E5795" s="2"/>
      <c r="F5795" s="2"/>
    </row>
    <row r="5796">
      <c r="A5796" s="2">
        <f>IFERROR(__xludf.DUMMYFUNCTION("""COMPUTED_VALUE"""),108468.0)</f>
        <v>108468</v>
      </c>
      <c r="B5796" s="2">
        <f>IFERROR(__xludf.DUMMYFUNCTION("""COMPUTED_VALUE"""),1.0)</f>
        <v>1</v>
      </c>
      <c r="C5796" s="2">
        <f>IFERROR(__xludf.DUMMYFUNCTION("""COMPUTED_VALUE"""),36.0)</f>
        <v>36</v>
      </c>
      <c r="D5796" s="3">
        <f>IFERROR(__xludf.DUMMYFUNCTION("""COMPUTED_VALUE"""),3.0)</f>
        <v>3</v>
      </c>
      <c r="E5796" s="2"/>
      <c r="F5796" s="2"/>
    </row>
    <row r="5797">
      <c r="A5797" s="2">
        <f>IFERROR(__xludf.DUMMYFUNCTION("""COMPUTED_VALUE"""),3439.0)</f>
        <v>3439</v>
      </c>
      <c r="B5797" s="2">
        <f>IFERROR(__xludf.DUMMYFUNCTION("""COMPUTED_VALUE"""),1.0)</f>
        <v>1</v>
      </c>
      <c r="C5797" s="2">
        <f>IFERROR(__xludf.DUMMYFUNCTION("""COMPUTED_VALUE"""),336.0)</f>
        <v>336</v>
      </c>
      <c r="D5797" s="3">
        <f>IFERROR(__xludf.DUMMYFUNCTION("""COMPUTED_VALUE"""),57.0)</f>
        <v>57</v>
      </c>
      <c r="E5797" s="2"/>
      <c r="F5797" s="2"/>
    </row>
    <row r="5798">
      <c r="A5798" s="2">
        <f>IFERROR(__xludf.DUMMYFUNCTION("""COMPUTED_VALUE"""),2044.0)</f>
        <v>2044</v>
      </c>
      <c r="B5798" s="2">
        <f>IFERROR(__xludf.DUMMYFUNCTION("""COMPUTED_VALUE"""),0.0)</f>
        <v>0</v>
      </c>
      <c r="C5798" s="2">
        <f>IFERROR(__xludf.DUMMYFUNCTION("""COMPUTED_VALUE"""),32.0)</f>
        <v>32</v>
      </c>
      <c r="D5798" s="3">
        <f>IFERROR(__xludf.DUMMYFUNCTION("""COMPUTED_VALUE"""),24.0)</f>
        <v>24</v>
      </c>
      <c r="E5798" s="2"/>
      <c r="F5798" s="2"/>
    </row>
    <row r="5799">
      <c r="A5799" s="2">
        <f>IFERROR(__xludf.DUMMYFUNCTION("""COMPUTED_VALUE"""),188354.0)</f>
        <v>188354</v>
      </c>
      <c r="B5799" s="2">
        <f>IFERROR(__xludf.DUMMYFUNCTION("""COMPUTED_VALUE"""),0.0)</f>
        <v>0</v>
      </c>
      <c r="C5799" s="2">
        <f>IFERROR(__xludf.DUMMYFUNCTION("""COMPUTED_VALUE"""),664.0)</f>
        <v>664</v>
      </c>
      <c r="D5799" s="3">
        <f>IFERROR(__xludf.DUMMYFUNCTION("""COMPUTED_VALUE"""),242.0)</f>
        <v>242</v>
      </c>
      <c r="E5799" s="2"/>
      <c r="F5799" s="2"/>
    </row>
    <row r="5800">
      <c r="A5800" s="2">
        <f>IFERROR(__xludf.DUMMYFUNCTION("""COMPUTED_VALUE"""),27848.0)</f>
        <v>27848</v>
      </c>
      <c r="B5800" s="2">
        <f>IFERROR(__xludf.DUMMYFUNCTION("""COMPUTED_VALUE"""),1.0)</f>
        <v>1</v>
      </c>
      <c r="C5800" s="2">
        <f>IFERROR(__xludf.DUMMYFUNCTION("""COMPUTED_VALUE"""),896.0)</f>
        <v>896</v>
      </c>
      <c r="D5800" s="3">
        <f>IFERROR(__xludf.DUMMYFUNCTION("""COMPUTED_VALUE"""),490.0)</f>
        <v>490</v>
      </c>
      <c r="E5800" s="2"/>
      <c r="F5800" s="2"/>
    </row>
    <row r="5801">
      <c r="A5801" s="2">
        <f>IFERROR(__xludf.DUMMYFUNCTION("""COMPUTED_VALUE"""),45642.0)</f>
        <v>45642</v>
      </c>
      <c r="B5801" s="2">
        <f>IFERROR(__xludf.DUMMYFUNCTION("""COMPUTED_VALUE"""),0.0)</f>
        <v>0</v>
      </c>
      <c r="C5801" s="2">
        <f>IFERROR(__xludf.DUMMYFUNCTION("""COMPUTED_VALUE"""),364.0)</f>
        <v>364</v>
      </c>
      <c r="D5801" s="3">
        <f>IFERROR(__xludf.DUMMYFUNCTION("""COMPUTED_VALUE"""),135.0)</f>
        <v>135</v>
      </c>
      <c r="E5801" s="2"/>
      <c r="F5801" s="2"/>
    </row>
    <row r="5802">
      <c r="A5802" s="2">
        <f>IFERROR(__xludf.DUMMYFUNCTION("""COMPUTED_VALUE"""),79815.0)</f>
        <v>79815</v>
      </c>
      <c r="B5802" s="2">
        <f>IFERROR(__xludf.DUMMYFUNCTION("""COMPUTED_VALUE"""),0.0)</f>
        <v>0</v>
      </c>
      <c r="C5802" s="2">
        <f>IFERROR(__xludf.DUMMYFUNCTION("""COMPUTED_VALUE"""),82.0)</f>
        <v>82</v>
      </c>
      <c r="D5802" s="3">
        <f>IFERROR(__xludf.DUMMYFUNCTION("""COMPUTED_VALUE"""),38.0)</f>
        <v>38</v>
      </c>
      <c r="E5802" s="2"/>
      <c r="F5802" s="2"/>
    </row>
    <row r="5803">
      <c r="A5803" s="2">
        <f>IFERROR(__xludf.DUMMYFUNCTION("""COMPUTED_VALUE"""),87643.0)</f>
        <v>87643</v>
      </c>
      <c r="B5803" s="2">
        <f>IFERROR(__xludf.DUMMYFUNCTION("""COMPUTED_VALUE"""),1.0)</f>
        <v>1</v>
      </c>
      <c r="C5803" s="2">
        <f>IFERROR(__xludf.DUMMYFUNCTION("""COMPUTED_VALUE"""),81.0)</f>
        <v>81</v>
      </c>
      <c r="D5803" s="3">
        <f>IFERROR(__xludf.DUMMYFUNCTION("""COMPUTED_VALUE"""),54.0)</f>
        <v>54</v>
      </c>
      <c r="E5803" s="2"/>
      <c r="F5803" s="2"/>
    </row>
    <row r="5804">
      <c r="A5804" s="2">
        <f>IFERROR(__xludf.DUMMYFUNCTION("""COMPUTED_VALUE"""),30501.0)</f>
        <v>30501</v>
      </c>
      <c r="B5804" s="2">
        <f>IFERROR(__xludf.DUMMYFUNCTION("""COMPUTED_VALUE"""),0.0)</f>
        <v>0</v>
      </c>
      <c r="C5804" s="2">
        <f>IFERROR(__xludf.DUMMYFUNCTION("""COMPUTED_VALUE"""),197.0)</f>
        <v>197</v>
      </c>
      <c r="D5804" s="3">
        <f>IFERROR(__xludf.DUMMYFUNCTION("""COMPUTED_VALUE"""),154.0)</f>
        <v>154</v>
      </c>
      <c r="E5804" s="2"/>
      <c r="F5804" s="2"/>
    </row>
    <row r="5805">
      <c r="A5805" s="2">
        <f>IFERROR(__xludf.DUMMYFUNCTION("""COMPUTED_VALUE"""),118198.0)</f>
        <v>118198</v>
      </c>
      <c r="B5805" s="2">
        <f>IFERROR(__xludf.DUMMYFUNCTION("""COMPUTED_VALUE"""),1.0)</f>
        <v>1</v>
      </c>
      <c r="C5805" s="2">
        <f>IFERROR(__xludf.DUMMYFUNCTION("""COMPUTED_VALUE"""),708.0)</f>
        <v>708</v>
      </c>
      <c r="D5805" s="3">
        <f>IFERROR(__xludf.DUMMYFUNCTION("""COMPUTED_VALUE"""),474.0)</f>
        <v>474</v>
      </c>
      <c r="E5805" s="2"/>
      <c r="F5805" s="2"/>
    </row>
    <row r="5806">
      <c r="A5806" s="2">
        <f>IFERROR(__xludf.DUMMYFUNCTION("""COMPUTED_VALUE"""),4891.0)</f>
        <v>4891</v>
      </c>
      <c r="B5806" s="2">
        <f>IFERROR(__xludf.DUMMYFUNCTION("""COMPUTED_VALUE"""),1.0)</f>
        <v>1</v>
      </c>
      <c r="C5806" s="2">
        <f>IFERROR(__xludf.DUMMYFUNCTION("""COMPUTED_VALUE"""),204.0)</f>
        <v>204</v>
      </c>
      <c r="D5806" s="3">
        <f>IFERROR(__xludf.DUMMYFUNCTION("""COMPUTED_VALUE"""),38.0)</f>
        <v>38</v>
      </c>
      <c r="E5806" s="2"/>
      <c r="F5806" s="2"/>
    </row>
    <row r="5807">
      <c r="A5807" s="2">
        <f>IFERROR(__xludf.DUMMYFUNCTION("""COMPUTED_VALUE"""),23050.0)</f>
        <v>23050</v>
      </c>
      <c r="B5807" s="2">
        <f>IFERROR(__xludf.DUMMYFUNCTION("""COMPUTED_VALUE"""),0.0)</f>
        <v>0</v>
      </c>
      <c r="C5807" s="2">
        <f>IFERROR(__xludf.DUMMYFUNCTION("""COMPUTED_VALUE"""),162.0)</f>
        <v>162</v>
      </c>
      <c r="D5807" s="3">
        <f>IFERROR(__xludf.DUMMYFUNCTION("""COMPUTED_VALUE"""),104.0)</f>
        <v>104</v>
      </c>
      <c r="E5807" s="2"/>
      <c r="F5807" s="2"/>
    </row>
    <row r="5808">
      <c r="A5808" s="2">
        <f>IFERROR(__xludf.DUMMYFUNCTION("""COMPUTED_VALUE"""),94612.0)</f>
        <v>94612</v>
      </c>
      <c r="B5808" s="2">
        <f>IFERROR(__xludf.DUMMYFUNCTION("""COMPUTED_VALUE"""),1.0)</f>
        <v>1</v>
      </c>
      <c r="C5808" s="2">
        <f>IFERROR(__xludf.DUMMYFUNCTION("""COMPUTED_VALUE"""),435.0)</f>
        <v>435</v>
      </c>
      <c r="D5808" s="3">
        <f>IFERROR(__xludf.DUMMYFUNCTION("""COMPUTED_VALUE"""),163.0)</f>
        <v>163</v>
      </c>
      <c r="E5808" s="2"/>
      <c r="F5808" s="2"/>
    </row>
    <row r="5809">
      <c r="A5809" s="2">
        <f>IFERROR(__xludf.DUMMYFUNCTION("""COMPUTED_VALUE"""),109983.0)</f>
        <v>109983</v>
      </c>
      <c r="B5809" s="2">
        <f>IFERROR(__xludf.DUMMYFUNCTION("""COMPUTED_VALUE"""),0.0)</f>
        <v>0</v>
      </c>
      <c r="C5809" s="2">
        <f>IFERROR(__xludf.DUMMYFUNCTION("""COMPUTED_VALUE"""),651.0)</f>
        <v>651</v>
      </c>
      <c r="D5809" s="3">
        <f>IFERROR(__xludf.DUMMYFUNCTION("""COMPUTED_VALUE"""),417.0)</f>
        <v>417</v>
      </c>
      <c r="E5809" s="2"/>
      <c r="F5809" s="2"/>
    </row>
    <row r="5810">
      <c r="A5810" s="2">
        <f>IFERROR(__xludf.DUMMYFUNCTION("""COMPUTED_VALUE"""),110854.0)</f>
        <v>110854</v>
      </c>
      <c r="B5810" s="2">
        <f>IFERROR(__xludf.DUMMYFUNCTION("""COMPUTED_VALUE"""),1.0)</f>
        <v>1</v>
      </c>
      <c r="C5810" s="2">
        <f>IFERROR(__xludf.DUMMYFUNCTION("""COMPUTED_VALUE"""),-3.0)</f>
        <v>-3</v>
      </c>
      <c r="D5810" s="3">
        <f>IFERROR(__xludf.DUMMYFUNCTION("""COMPUTED_VALUE"""),0.0)</f>
        <v>0</v>
      </c>
      <c r="E5810" s="2"/>
      <c r="F5810" s="2"/>
    </row>
    <row r="5811">
      <c r="A5811" s="2">
        <f>IFERROR(__xludf.DUMMYFUNCTION("""COMPUTED_VALUE"""),110414.0)</f>
        <v>110414</v>
      </c>
      <c r="B5811" s="2">
        <f>IFERROR(__xludf.DUMMYFUNCTION("""COMPUTED_VALUE"""),1.0)</f>
        <v>1</v>
      </c>
      <c r="C5811" s="2">
        <f>IFERROR(__xludf.DUMMYFUNCTION("""COMPUTED_VALUE"""),486.0)</f>
        <v>486</v>
      </c>
      <c r="D5811" s="3">
        <f>IFERROR(__xludf.DUMMYFUNCTION("""COMPUTED_VALUE"""),437.0)</f>
        <v>437</v>
      </c>
      <c r="E5811" s="2"/>
      <c r="F5811" s="2"/>
    </row>
    <row r="5812">
      <c r="A5812" s="2">
        <f>IFERROR(__xludf.DUMMYFUNCTION("""COMPUTED_VALUE"""),103631.0)</f>
        <v>103631</v>
      </c>
      <c r="B5812" s="2">
        <f>IFERROR(__xludf.DUMMYFUNCTION("""COMPUTED_VALUE"""),1.0)</f>
        <v>1</v>
      </c>
      <c r="C5812" s="2">
        <f>IFERROR(__xludf.DUMMYFUNCTION("""COMPUTED_VALUE"""),298.0)</f>
        <v>298</v>
      </c>
      <c r="D5812" s="3">
        <f>IFERROR(__xludf.DUMMYFUNCTION("""COMPUTED_VALUE"""),292.0)</f>
        <v>292</v>
      </c>
      <c r="E5812" s="2"/>
      <c r="F5812" s="2"/>
    </row>
    <row r="5813">
      <c r="A5813" s="2">
        <f>IFERROR(__xludf.DUMMYFUNCTION("""COMPUTED_VALUE"""),111009.0)</f>
        <v>111009</v>
      </c>
      <c r="B5813" s="2">
        <f>IFERROR(__xludf.DUMMYFUNCTION("""COMPUTED_VALUE"""),0.0)</f>
        <v>0</v>
      </c>
      <c r="C5813" s="2">
        <f>IFERROR(__xludf.DUMMYFUNCTION("""COMPUTED_VALUE"""),356.0)</f>
        <v>356</v>
      </c>
      <c r="D5813" s="3">
        <f>IFERROR(__xludf.DUMMYFUNCTION("""COMPUTED_VALUE"""),265.0)</f>
        <v>265</v>
      </c>
      <c r="E5813" s="2"/>
      <c r="F5813" s="2"/>
    </row>
    <row r="5814">
      <c r="A5814" s="2">
        <f>IFERROR(__xludf.DUMMYFUNCTION("""COMPUTED_VALUE"""),109213.0)</f>
        <v>109213</v>
      </c>
      <c r="B5814" s="2">
        <f>IFERROR(__xludf.DUMMYFUNCTION("""COMPUTED_VALUE"""),0.0)</f>
        <v>0</v>
      </c>
      <c r="C5814" s="2">
        <f>IFERROR(__xludf.DUMMYFUNCTION("""COMPUTED_VALUE"""),852.0)</f>
        <v>852</v>
      </c>
      <c r="D5814" s="3">
        <f>IFERROR(__xludf.DUMMYFUNCTION("""COMPUTED_VALUE"""),580.0)</f>
        <v>580</v>
      </c>
      <c r="E5814" s="2"/>
      <c r="F5814" s="2"/>
    </row>
    <row r="5815">
      <c r="A5815" s="2">
        <f>IFERROR(__xludf.DUMMYFUNCTION("""COMPUTED_VALUE"""),103847.0)</f>
        <v>103847</v>
      </c>
      <c r="B5815" s="2">
        <f>IFERROR(__xludf.DUMMYFUNCTION("""COMPUTED_VALUE"""),0.0)</f>
        <v>0</v>
      </c>
      <c r="C5815" s="2">
        <f>IFERROR(__xludf.DUMMYFUNCTION("""COMPUTED_VALUE"""),486.0)</f>
        <v>486</v>
      </c>
      <c r="D5815" s="3">
        <f>IFERROR(__xludf.DUMMYFUNCTION("""COMPUTED_VALUE"""),394.0)</f>
        <v>394</v>
      </c>
      <c r="E5815" s="2"/>
      <c r="F5815" s="2"/>
    </row>
    <row r="5816">
      <c r="A5816" s="2">
        <f>IFERROR(__xludf.DUMMYFUNCTION("""COMPUTED_VALUE"""),96156.0)</f>
        <v>96156</v>
      </c>
      <c r="B5816" s="2">
        <f>IFERROR(__xludf.DUMMYFUNCTION("""COMPUTED_VALUE"""),1.0)</f>
        <v>1</v>
      </c>
      <c r="C5816" s="2">
        <f>IFERROR(__xludf.DUMMYFUNCTION("""COMPUTED_VALUE"""),482.0)</f>
        <v>482</v>
      </c>
      <c r="D5816" s="3">
        <f>IFERROR(__xludf.DUMMYFUNCTION("""COMPUTED_VALUE"""),108.0)</f>
        <v>108</v>
      </c>
      <c r="E5816" s="2"/>
      <c r="F5816" s="2"/>
    </row>
    <row r="5817">
      <c r="A5817" s="2">
        <f>IFERROR(__xludf.DUMMYFUNCTION("""COMPUTED_VALUE"""),4887.0)</f>
        <v>4887</v>
      </c>
      <c r="B5817" s="2">
        <f>IFERROR(__xludf.DUMMYFUNCTION("""COMPUTED_VALUE"""),0.0)</f>
        <v>0</v>
      </c>
      <c r="C5817" s="2">
        <f>IFERROR(__xludf.DUMMYFUNCTION("""COMPUTED_VALUE"""),466.0)</f>
        <v>466</v>
      </c>
      <c r="D5817" s="3">
        <f>IFERROR(__xludf.DUMMYFUNCTION("""COMPUTED_VALUE"""),113.0)</f>
        <v>113</v>
      </c>
      <c r="E5817" s="2"/>
      <c r="F5817" s="2"/>
    </row>
    <row r="5818">
      <c r="A5818" s="2">
        <f>IFERROR(__xludf.DUMMYFUNCTION("""COMPUTED_VALUE"""),92146.0)</f>
        <v>92146</v>
      </c>
      <c r="B5818" s="2">
        <f>IFERROR(__xludf.DUMMYFUNCTION("""COMPUTED_VALUE"""),0.0)</f>
        <v>0</v>
      </c>
      <c r="C5818" s="2">
        <f>IFERROR(__xludf.DUMMYFUNCTION("""COMPUTED_VALUE"""),806.0)</f>
        <v>806</v>
      </c>
      <c r="D5818" s="3">
        <f>IFERROR(__xludf.DUMMYFUNCTION("""COMPUTED_VALUE"""),56.0)</f>
        <v>56</v>
      </c>
      <c r="E5818" s="2"/>
      <c r="F5818" s="2"/>
    </row>
    <row r="5819">
      <c r="A5819" s="2">
        <f>IFERROR(__xludf.DUMMYFUNCTION("""COMPUTED_VALUE"""),122248.0)</f>
        <v>122248</v>
      </c>
      <c r="B5819" s="2">
        <f>IFERROR(__xludf.DUMMYFUNCTION("""COMPUTED_VALUE"""),1.0)</f>
        <v>1</v>
      </c>
      <c r="C5819" s="2">
        <f>IFERROR(__xludf.DUMMYFUNCTION("""COMPUTED_VALUE"""),806.0)</f>
        <v>806</v>
      </c>
      <c r="D5819" s="3">
        <f>IFERROR(__xludf.DUMMYFUNCTION("""COMPUTED_VALUE"""),471.0)</f>
        <v>471</v>
      </c>
      <c r="E5819" s="2"/>
      <c r="F5819" s="2"/>
    </row>
    <row r="5820">
      <c r="A5820" s="2">
        <f>IFERROR(__xludf.DUMMYFUNCTION("""COMPUTED_VALUE"""),122251.0)</f>
        <v>122251</v>
      </c>
      <c r="B5820" s="2">
        <f>IFERROR(__xludf.DUMMYFUNCTION("""COMPUTED_VALUE"""),1.0)</f>
        <v>1</v>
      </c>
      <c r="C5820" s="2">
        <f>IFERROR(__xludf.DUMMYFUNCTION("""COMPUTED_VALUE"""),424.0)</f>
        <v>424</v>
      </c>
      <c r="D5820" s="3">
        <f>IFERROR(__xludf.DUMMYFUNCTION("""COMPUTED_VALUE"""),145.0)</f>
        <v>145</v>
      </c>
      <c r="E5820" s="2"/>
      <c r="F5820" s="2"/>
    </row>
    <row r="5821">
      <c r="A5821" s="2">
        <f>IFERROR(__xludf.DUMMYFUNCTION("""COMPUTED_VALUE"""),103638.0)</f>
        <v>103638</v>
      </c>
      <c r="B5821" s="2">
        <f>IFERROR(__xludf.DUMMYFUNCTION("""COMPUTED_VALUE"""),1.0)</f>
        <v>1</v>
      </c>
      <c r="C5821" s="2">
        <f>IFERROR(__xludf.DUMMYFUNCTION("""COMPUTED_VALUE"""),734.0)</f>
        <v>734</v>
      </c>
      <c r="D5821" s="3">
        <f>IFERROR(__xludf.DUMMYFUNCTION("""COMPUTED_VALUE"""),294.0)</f>
        <v>294</v>
      </c>
      <c r="E5821" s="2"/>
      <c r="F5821" s="2"/>
    </row>
    <row r="5822">
      <c r="A5822" s="2">
        <f>IFERROR(__xludf.DUMMYFUNCTION("""COMPUTED_VALUE"""),111655.0)</f>
        <v>111655</v>
      </c>
      <c r="B5822" s="2">
        <f>IFERROR(__xludf.DUMMYFUNCTION("""COMPUTED_VALUE"""),1.0)</f>
        <v>1</v>
      </c>
      <c r="C5822" s="2">
        <f>IFERROR(__xludf.DUMMYFUNCTION("""COMPUTED_VALUE"""),938.0)</f>
        <v>938</v>
      </c>
      <c r="D5822" s="3">
        <f>IFERROR(__xludf.DUMMYFUNCTION("""COMPUTED_VALUE"""),509.0)</f>
        <v>509</v>
      </c>
      <c r="E5822" s="2"/>
      <c r="F5822" s="2"/>
    </row>
    <row r="5823">
      <c r="A5823" s="2">
        <f>IFERROR(__xludf.DUMMYFUNCTION("""COMPUTED_VALUE"""),84201.0)</f>
        <v>84201</v>
      </c>
      <c r="B5823" s="2">
        <f>IFERROR(__xludf.DUMMYFUNCTION("""COMPUTED_VALUE"""),0.0)</f>
        <v>0</v>
      </c>
      <c r="C5823" s="2">
        <f>IFERROR(__xludf.DUMMYFUNCTION("""COMPUTED_VALUE"""),264.0)</f>
        <v>264</v>
      </c>
      <c r="D5823" s="3">
        <f>IFERROR(__xludf.DUMMYFUNCTION("""COMPUTED_VALUE"""),23.0)</f>
        <v>23</v>
      </c>
      <c r="E5823" s="2"/>
      <c r="F5823" s="2"/>
    </row>
    <row r="5824">
      <c r="A5824" s="2">
        <f>IFERROR(__xludf.DUMMYFUNCTION("""COMPUTED_VALUE"""),80697.0)</f>
        <v>80697</v>
      </c>
      <c r="B5824" s="2">
        <f>IFERROR(__xludf.DUMMYFUNCTION("""COMPUTED_VALUE"""),1.0)</f>
        <v>1</v>
      </c>
      <c r="C5824" s="2">
        <f>IFERROR(__xludf.DUMMYFUNCTION("""COMPUTED_VALUE"""),32.0)</f>
        <v>32</v>
      </c>
      <c r="D5824" s="3">
        <f>IFERROR(__xludf.DUMMYFUNCTION("""COMPUTED_VALUE"""),2.0)</f>
        <v>2</v>
      </c>
      <c r="E5824" s="2"/>
      <c r="F5824" s="2"/>
    </row>
    <row r="5825">
      <c r="A5825" s="2">
        <f>IFERROR(__xludf.DUMMYFUNCTION("""COMPUTED_VALUE"""),117394.0)</f>
        <v>117394</v>
      </c>
      <c r="B5825" s="2">
        <f>IFERROR(__xludf.DUMMYFUNCTION("""COMPUTED_VALUE"""),0.0)</f>
        <v>0</v>
      </c>
      <c r="C5825" s="2">
        <f>IFERROR(__xludf.DUMMYFUNCTION("""COMPUTED_VALUE"""),832.0)</f>
        <v>832</v>
      </c>
      <c r="D5825" s="3">
        <f>IFERROR(__xludf.DUMMYFUNCTION("""COMPUTED_VALUE"""),246.0)</f>
        <v>246</v>
      </c>
      <c r="E5825" s="2"/>
      <c r="F5825" s="2"/>
    </row>
    <row r="5826">
      <c r="A5826" s="2">
        <f>IFERROR(__xludf.DUMMYFUNCTION("""COMPUTED_VALUE"""),103636.0)</f>
        <v>103636</v>
      </c>
      <c r="B5826" s="2">
        <f>IFERROR(__xludf.DUMMYFUNCTION("""COMPUTED_VALUE"""),0.0)</f>
        <v>0</v>
      </c>
      <c r="C5826" s="2">
        <f>IFERROR(__xludf.DUMMYFUNCTION("""COMPUTED_VALUE"""),943.0)</f>
        <v>943</v>
      </c>
      <c r="D5826" s="3">
        <f>IFERROR(__xludf.DUMMYFUNCTION("""COMPUTED_VALUE"""),224.0)</f>
        <v>224</v>
      </c>
      <c r="E5826" s="2"/>
      <c r="F5826" s="2"/>
    </row>
    <row r="5827">
      <c r="A5827" s="2">
        <f>IFERROR(__xludf.DUMMYFUNCTION("""COMPUTED_VALUE"""),67001.0)</f>
        <v>67001</v>
      </c>
      <c r="B5827" s="2">
        <f>IFERROR(__xludf.DUMMYFUNCTION("""COMPUTED_VALUE"""),0.0)</f>
        <v>0</v>
      </c>
      <c r="C5827" s="2">
        <f>IFERROR(__xludf.DUMMYFUNCTION("""COMPUTED_VALUE"""),376.0)</f>
        <v>376</v>
      </c>
      <c r="D5827" s="3">
        <f>IFERROR(__xludf.DUMMYFUNCTION("""COMPUTED_VALUE"""),372.0)</f>
        <v>372</v>
      </c>
      <c r="E5827" s="2"/>
      <c r="F5827" s="2"/>
    </row>
    <row r="5828">
      <c r="A5828" s="2">
        <f>IFERROR(__xludf.DUMMYFUNCTION("""COMPUTED_VALUE"""),2148.0)</f>
        <v>2148</v>
      </c>
      <c r="B5828" s="2">
        <f>IFERROR(__xludf.DUMMYFUNCTION("""COMPUTED_VALUE"""),1.0)</f>
        <v>1</v>
      </c>
      <c r="C5828" s="2">
        <f>IFERROR(__xludf.DUMMYFUNCTION("""COMPUTED_VALUE"""),965.0)</f>
        <v>965</v>
      </c>
      <c r="D5828" s="3">
        <f>IFERROR(__xludf.DUMMYFUNCTION("""COMPUTED_VALUE"""),566.0)</f>
        <v>566</v>
      </c>
      <c r="E5828" s="2"/>
      <c r="F5828" s="2"/>
    </row>
    <row r="5829">
      <c r="A5829" s="2">
        <f>IFERROR(__xludf.DUMMYFUNCTION("""COMPUTED_VALUE"""),111672.0)</f>
        <v>111672</v>
      </c>
      <c r="B5829" s="2">
        <f>IFERROR(__xludf.DUMMYFUNCTION("""COMPUTED_VALUE"""),0.0)</f>
        <v>0</v>
      </c>
      <c r="C5829" s="2">
        <f>IFERROR(__xludf.DUMMYFUNCTION("""COMPUTED_VALUE"""),833.0)</f>
        <v>833</v>
      </c>
      <c r="D5829" s="3">
        <f>IFERROR(__xludf.DUMMYFUNCTION("""COMPUTED_VALUE"""),739.0)</f>
        <v>739</v>
      </c>
      <c r="E5829" s="2"/>
      <c r="F5829" s="2"/>
    </row>
    <row r="5830">
      <c r="A5830" s="2">
        <f>IFERROR(__xludf.DUMMYFUNCTION("""COMPUTED_VALUE"""),80696.0)</f>
        <v>80696</v>
      </c>
      <c r="B5830" s="2">
        <f>IFERROR(__xludf.DUMMYFUNCTION("""COMPUTED_VALUE"""),1.0)</f>
        <v>1</v>
      </c>
      <c r="C5830" s="2">
        <f>IFERROR(__xludf.DUMMYFUNCTION("""COMPUTED_VALUE"""),29.0)</f>
        <v>29</v>
      </c>
      <c r="D5830" s="3">
        <f>IFERROR(__xludf.DUMMYFUNCTION("""COMPUTED_VALUE"""),16.0)</f>
        <v>16</v>
      </c>
      <c r="E5830" s="2"/>
      <c r="F5830" s="2"/>
    </row>
    <row r="5831">
      <c r="A5831" s="2">
        <f>IFERROR(__xludf.DUMMYFUNCTION("""COMPUTED_VALUE"""),96853.0)</f>
        <v>96853</v>
      </c>
      <c r="B5831" s="2">
        <f>IFERROR(__xludf.DUMMYFUNCTION("""COMPUTED_VALUE"""),1.0)</f>
        <v>1</v>
      </c>
      <c r="C5831" s="2">
        <f>IFERROR(__xludf.DUMMYFUNCTION("""COMPUTED_VALUE"""),493.0)</f>
        <v>493</v>
      </c>
      <c r="D5831" s="3">
        <f>IFERROR(__xludf.DUMMYFUNCTION("""COMPUTED_VALUE"""),48.0)</f>
        <v>48</v>
      </c>
      <c r="E5831" s="2"/>
      <c r="F5831" s="2"/>
    </row>
    <row r="5832">
      <c r="A5832" s="2">
        <f>IFERROR(__xludf.DUMMYFUNCTION("""COMPUTED_VALUE"""),117388.0)</f>
        <v>117388</v>
      </c>
      <c r="B5832" s="2">
        <f>IFERROR(__xludf.DUMMYFUNCTION("""COMPUTED_VALUE"""),1.0)</f>
        <v>1</v>
      </c>
      <c r="C5832" s="2">
        <f>IFERROR(__xludf.DUMMYFUNCTION("""COMPUTED_VALUE"""),415.0)</f>
        <v>415</v>
      </c>
      <c r="D5832" s="3">
        <f>IFERROR(__xludf.DUMMYFUNCTION("""COMPUTED_VALUE"""),82.0)</f>
        <v>82</v>
      </c>
      <c r="E5832" s="2"/>
      <c r="F5832" s="2"/>
    </row>
    <row r="5833">
      <c r="A5833" s="2">
        <f>IFERROR(__xludf.DUMMYFUNCTION("""COMPUTED_VALUE"""),109971.0)</f>
        <v>109971</v>
      </c>
      <c r="B5833" s="2">
        <f>IFERROR(__xludf.DUMMYFUNCTION("""COMPUTED_VALUE"""),0.0)</f>
        <v>0</v>
      </c>
      <c r="C5833" s="2">
        <f>IFERROR(__xludf.DUMMYFUNCTION("""COMPUTED_VALUE"""),357.0)</f>
        <v>357</v>
      </c>
      <c r="D5833" s="3">
        <f>IFERROR(__xludf.DUMMYFUNCTION("""COMPUTED_VALUE"""),220.0)</f>
        <v>220</v>
      </c>
      <c r="E5833" s="2"/>
      <c r="F5833" s="2"/>
    </row>
    <row r="5834">
      <c r="A5834" s="2">
        <f>IFERROR(__xludf.DUMMYFUNCTION("""COMPUTED_VALUE"""),122247.0)</f>
        <v>122247</v>
      </c>
      <c r="B5834" s="2">
        <f>IFERROR(__xludf.DUMMYFUNCTION("""COMPUTED_VALUE"""),0.0)</f>
        <v>0</v>
      </c>
      <c r="C5834" s="2">
        <f>IFERROR(__xludf.DUMMYFUNCTION("""COMPUTED_VALUE"""),448.0)</f>
        <v>448</v>
      </c>
      <c r="D5834" s="3">
        <f>IFERROR(__xludf.DUMMYFUNCTION("""COMPUTED_VALUE"""),392.0)</f>
        <v>392</v>
      </c>
      <c r="E5834" s="2"/>
      <c r="F5834" s="2"/>
    </row>
    <row r="5835">
      <c r="A5835" s="2">
        <f>IFERROR(__xludf.DUMMYFUNCTION("""COMPUTED_VALUE"""),103635.0)</f>
        <v>103635</v>
      </c>
      <c r="B5835" s="2">
        <f>IFERROR(__xludf.DUMMYFUNCTION("""COMPUTED_VALUE"""),1.0)</f>
        <v>1</v>
      </c>
      <c r="C5835" s="2">
        <f>IFERROR(__xludf.DUMMYFUNCTION("""COMPUTED_VALUE"""),962.0)</f>
        <v>962</v>
      </c>
      <c r="D5835" s="3">
        <f>IFERROR(__xludf.DUMMYFUNCTION("""COMPUTED_VALUE"""),281.0)</f>
        <v>281</v>
      </c>
      <c r="E5835" s="2"/>
      <c r="F5835" s="2"/>
    </row>
    <row r="5836">
      <c r="A5836" s="2">
        <f>IFERROR(__xludf.DUMMYFUNCTION("""COMPUTED_VALUE"""),122295.0)</f>
        <v>122295</v>
      </c>
      <c r="B5836" s="2">
        <f>IFERROR(__xludf.DUMMYFUNCTION("""COMPUTED_VALUE"""),0.0)</f>
        <v>0</v>
      </c>
      <c r="C5836" s="2">
        <f>IFERROR(__xludf.DUMMYFUNCTION("""COMPUTED_VALUE"""),512.0)</f>
        <v>512</v>
      </c>
      <c r="D5836" s="3">
        <f>IFERROR(__xludf.DUMMYFUNCTION("""COMPUTED_VALUE"""),420.0)</f>
        <v>420</v>
      </c>
      <c r="E5836" s="2"/>
      <c r="F5836" s="2"/>
    </row>
    <row r="5837">
      <c r="A5837" s="2">
        <f>IFERROR(__xludf.DUMMYFUNCTION("""COMPUTED_VALUE"""),118351.0)</f>
        <v>118351</v>
      </c>
      <c r="B5837" s="2">
        <f>IFERROR(__xludf.DUMMYFUNCTION("""COMPUTED_VALUE"""),1.0)</f>
        <v>1</v>
      </c>
      <c r="C5837" s="2">
        <f>IFERROR(__xludf.DUMMYFUNCTION("""COMPUTED_VALUE"""),941.0)</f>
        <v>941</v>
      </c>
      <c r="D5837" s="3">
        <f>IFERROR(__xludf.DUMMYFUNCTION("""COMPUTED_VALUE"""),852.0)</f>
        <v>852</v>
      </c>
      <c r="E5837" s="2"/>
      <c r="F5837" s="2"/>
    </row>
    <row r="5838">
      <c r="A5838" s="2">
        <f>IFERROR(__xludf.DUMMYFUNCTION("""COMPUTED_VALUE"""),91624.0)</f>
        <v>91624</v>
      </c>
      <c r="B5838" s="2">
        <f>IFERROR(__xludf.DUMMYFUNCTION("""COMPUTED_VALUE"""),1.0)</f>
        <v>1</v>
      </c>
      <c r="C5838" s="2">
        <f>IFERROR(__xludf.DUMMYFUNCTION("""COMPUTED_VALUE"""),976.0)</f>
        <v>976</v>
      </c>
      <c r="D5838" s="3">
        <f>IFERROR(__xludf.DUMMYFUNCTION("""COMPUTED_VALUE"""),360.0)</f>
        <v>360</v>
      </c>
      <c r="E5838" s="2"/>
      <c r="F5838" s="2"/>
    </row>
    <row r="5839">
      <c r="A5839" s="2">
        <f>IFERROR(__xludf.DUMMYFUNCTION("""COMPUTED_VALUE"""),27765.0)</f>
        <v>27765</v>
      </c>
      <c r="B5839" s="2">
        <f>IFERROR(__xludf.DUMMYFUNCTION("""COMPUTED_VALUE"""),0.0)</f>
        <v>0</v>
      </c>
      <c r="C5839" s="2">
        <f>IFERROR(__xludf.DUMMYFUNCTION("""COMPUTED_VALUE"""),911.0)</f>
        <v>911</v>
      </c>
      <c r="D5839" s="3">
        <f>IFERROR(__xludf.DUMMYFUNCTION("""COMPUTED_VALUE"""),217.0)</f>
        <v>217</v>
      </c>
      <c r="E5839" s="2"/>
      <c r="F5839" s="2"/>
    </row>
    <row r="5840">
      <c r="A5840" s="2">
        <f>IFERROR(__xludf.DUMMYFUNCTION("""COMPUTED_VALUE"""),26313.0)</f>
        <v>26313</v>
      </c>
      <c r="B5840" s="2">
        <f>IFERROR(__xludf.DUMMYFUNCTION("""COMPUTED_VALUE"""),0.0)</f>
        <v>0</v>
      </c>
      <c r="C5840" s="2">
        <f>IFERROR(__xludf.DUMMYFUNCTION("""COMPUTED_VALUE"""),98.0)</f>
        <v>98</v>
      </c>
      <c r="D5840" s="3">
        <f>IFERROR(__xludf.DUMMYFUNCTION("""COMPUTED_VALUE"""),65.0)</f>
        <v>65</v>
      </c>
      <c r="E5840" s="2"/>
      <c r="F5840" s="2"/>
    </row>
    <row r="5841">
      <c r="A5841" s="2">
        <f>IFERROR(__xludf.DUMMYFUNCTION("""COMPUTED_VALUE"""),26314.0)</f>
        <v>26314</v>
      </c>
      <c r="B5841" s="2">
        <f>IFERROR(__xludf.DUMMYFUNCTION("""COMPUTED_VALUE"""),1.0)</f>
        <v>1</v>
      </c>
      <c r="C5841" s="2">
        <f>IFERROR(__xludf.DUMMYFUNCTION("""COMPUTED_VALUE"""),760.0)</f>
        <v>760</v>
      </c>
      <c r="D5841" s="3">
        <f>IFERROR(__xludf.DUMMYFUNCTION("""COMPUTED_VALUE"""),326.0)</f>
        <v>326</v>
      </c>
      <c r="E5841" s="2"/>
      <c r="F5841" s="2"/>
    </row>
    <row r="5842">
      <c r="A5842" s="2">
        <f>IFERROR(__xludf.DUMMYFUNCTION("""COMPUTED_VALUE"""),91626.0)</f>
        <v>91626</v>
      </c>
      <c r="B5842" s="2">
        <f>IFERROR(__xludf.DUMMYFUNCTION("""COMPUTED_VALUE"""),0.0)</f>
        <v>0</v>
      </c>
      <c r="C5842" s="2">
        <f>IFERROR(__xludf.DUMMYFUNCTION("""COMPUTED_VALUE"""),466.0)</f>
        <v>466</v>
      </c>
      <c r="D5842" s="3">
        <f>IFERROR(__xludf.DUMMYFUNCTION("""COMPUTED_VALUE"""),381.0)</f>
        <v>381</v>
      </c>
      <c r="E5842" s="2"/>
      <c r="F5842" s="2"/>
    </row>
    <row r="5843">
      <c r="A5843" s="2">
        <f>IFERROR(__xludf.DUMMYFUNCTION("""COMPUTED_VALUE"""),112264.0)</f>
        <v>112264</v>
      </c>
      <c r="B5843" s="2">
        <f>IFERROR(__xludf.DUMMYFUNCTION("""COMPUTED_VALUE"""),0.0)</f>
        <v>0</v>
      </c>
      <c r="C5843" s="2">
        <f>IFERROR(__xludf.DUMMYFUNCTION("""COMPUTED_VALUE"""),458.0)</f>
        <v>458</v>
      </c>
      <c r="D5843" s="3">
        <f>IFERROR(__xludf.DUMMYFUNCTION("""COMPUTED_VALUE"""),209.0)</f>
        <v>209</v>
      </c>
      <c r="E5843" s="2"/>
      <c r="F5843" s="2"/>
    </row>
    <row r="5844">
      <c r="A5844" s="2">
        <f>IFERROR(__xludf.DUMMYFUNCTION("""COMPUTED_VALUE"""),27764.0)</f>
        <v>27764</v>
      </c>
      <c r="B5844" s="2">
        <f>IFERROR(__xludf.DUMMYFUNCTION("""COMPUTED_VALUE"""),0.0)</f>
        <v>0</v>
      </c>
      <c r="C5844" s="2">
        <f>IFERROR(__xludf.DUMMYFUNCTION("""COMPUTED_VALUE"""),814.0)</f>
        <v>814</v>
      </c>
      <c r="D5844" s="3">
        <f>IFERROR(__xludf.DUMMYFUNCTION("""COMPUTED_VALUE"""),177.0)</f>
        <v>177</v>
      </c>
      <c r="E5844" s="2"/>
      <c r="F5844" s="2"/>
    </row>
    <row r="5845">
      <c r="A5845" s="2">
        <f>IFERROR(__xludf.DUMMYFUNCTION("""COMPUTED_VALUE"""),92653.0)</f>
        <v>92653</v>
      </c>
      <c r="B5845" s="2">
        <f>IFERROR(__xludf.DUMMYFUNCTION("""COMPUTED_VALUE"""),0.0)</f>
        <v>0</v>
      </c>
      <c r="C5845" s="2">
        <f>IFERROR(__xludf.DUMMYFUNCTION("""COMPUTED_VALUE"""),46.0)</f>
        <v>46</v>
      </c>
      <c r="D5845" s="3">
        <f>IFERROR(__xludf.DUMMYFUNCTION("""COMPUTED_VALUE"""),43.0)</f>
        <v>43</v>
      </c>
      <c r="E5845" s="2"/>
      <c r="F5845" s="2"/>
    </row>
    <row r="5846">
      <c r="A5846" s="2">
        <f>IFERROR(__xludf.DUMMYFUNCTION("""COMPUTED_VALUE"""),117990.0)</f>
        <v>117990</v>
      </c>
      <c r="B5846" s="2">
        <f>IFERROR(__xludf.DUMMYFUNCTION("""COMPUTED_VALUE"""),1.0)</f>
        <v>1</v>
      </c>
      <c r="C5846" s="2">
        <f>IFERROR(__xludf.DUMMYFUNCTION("""COMPUTED_VALUE"""),490.0)</f>
        <v>490</v>
      </c>
      <c r="D5846" s="3">
        <f>IFERROR(__xludf.DUMMYFUNCTION("""COMPUTED_VALUE"""),398.0)</f>
        <v>398</v>
      </c>
      <c r="E5846" s="2"/>
      <c r="F5846" s="2"/>
    </row>
    <row r="5847">
      <c r="A5847" s="2">
        <f>IFERROR(__xludf.DUMMYFUNCTION("""COMPUTED_VALUE"""),92651.0)</f>
        <v>92651</v>
      </c>
      <c r="B5847" s="2">
        <f>IFERROR(__xludf.DUMMYFUNCTION("""COMPUTED_VALUE"""),1.0)</f>
        <v>1</v>
      </c>
      <c r="C5847" s="2">
        <f>IFERROR(__xludf.DUMMYFUNCTION("""COMPUTED_VALUE"""),361.0)</f>
        <v>361</v>
      </c>
      <c r="D5847" s="3">
        <f>IFERROR(__xludf.DUMMYFUNCTION("""COMPUTED_VALUE"""),45.0)</f>
        <v>45</v>
      </c>
      <c r="E5847" s="2"/>
      <c r="F5847" s="2"/>
    </row>
    <row r="5848">
      <c r="A5848" s="2">
        <f>IFERROR(__xludf.DUMMYFUNCTION("""COMPUTED_VALUE"""),104143.0)</f>
        <v>104143</v>
      </c>
      <c r="B5848" s="2">
        <f>IFERROR(__xludf.DUMMYFUNCTION("""COMPUTED_VALUE"""),0.0)</f>
        <v>0</v>
      </c>
      <c r="C5848" s="2">
        <f>IFERROR(__xludf.DUMMYFUNCTION("""COMPUTED_VALUE"""),891.0)</f>
        <v>891</v>
      </c>
      <c r="D5848" s="3">
        <f>IFERROR(__xludf.DUMMYFUNCTION("""COMPUTED_VALUE"""),172.0)</f>
        <v>172</v>
      </c>
      <c r="E5848" s="2"/>
      <c r="F5848" s="2"/>
    </row>
    <row r="5849">
      <c r="A5849" s="2">
        <f>IFERROR(__xludf.DUMMYFUNCTION("""COMPUTED_VALUE"""),48641.0)</f>
        <v>48641</v>
      </c>
      <c r="B5849" s="2">
        <f>IFERROR(__xludf.DUMMYFUNCTION("""COMPUTED_VALUE"""),1.0)</f>
        <v>1</v>
      </c>
      <c r="C5849" s="2">
        <f>IFERROR(__xludf.DUMMYFUNCTION("""COMPUTED_VALUE"""),637.0)</f>
        <v>637</v>
      </c>
      <c r="D5849" s="3">
        <f>IFERROR(__xludf.DUMMYFUNCTION("""COMPUTED_VALUE"""),370.0)</f>
        <v>370</v>
      </c>
      <c r="E5849" s="2"/>
      <c r="F5849" s="2"/>
    </row>
    <row r="5850">
      <c r="A5850" s="2">
        <f>IFERROR(__xludf.DUMMYFUNCTION("""COMPUTED_VALUE"""),47543.0)</f>
        <v>47543</v>
      </c>
      <c r="B5850" s="2">
        <f>IFERROR(__xludf.DUMMYFUNCTION("""COMPUTED_VALUE"""),1.0)</f>
        <v>1</v>
      </c>
      <c r="C5850" s="2">
        <f>IFERROR(__xludf.DUMMYFUNCTION("""COMPUTED_VALUE"""),281.0)</f>
        <v>281</v>
      </c>
      <c r="D5850" s="3">
        <f>IFERROR(__xludf.DUMMYFUNCTION("""COMPUTED_VALUE"""),66.0)</f>
        <v>66</v>
      </c>
      <c r="E5850" s="2"/>
      <c r="F5850" s="2"/>
    </row>
    <row r="5851">
      <c r="A5851" s="2">
        <f>IFERROR(__xludf.DUMMYFUNCTION("""COMPUTED_VALUE"""),117045.0)</f>
        <v>117045</v>
      </c>
      <c r="B5851" s="2">
        <f>IFERROR(__xludf.DUMMYFUNCTION("""COMPUTED_VALUE"""),0.0)</f>
        <v>0</v>
      </c>
      <c r="C5851" s="2">
        <f>IFERROR(__xludf.DUMMYFUNCTION("""COMPUTED_VALUE"""),448.0)</f>
        <v>448</v>
      </c>
      <c r="D5851" s="3">
        <f>IFERROR(__xludf.DUMMYFUNCTION("""COMPUTED_VALUE"""),412.0)</f>
        <v>412</v>
      </c>
      <c r="E5851" s="2"/>
      <c r="F5851" s="2"/>
    </row>
    <row r="5852">
      <c r="A5852" s="2">
        <f>IFERROR(__xludf.DUMMYFUNCTION("""COMPUTED_VALUE"""),109276.0)</f>
        <v>109276</v>
      </c>
      <c r="B5852" s="2">
        <f>IFERROR(__xludf.DUMMYFUNCTION("""COMPUTED_VALUE"""),0.0)</f>
        <v>0</v>
      </c>
      <c r="C5852" s="2">
        <f>IFERROR(__xludf.DUMMYFUNCTION("""COMPUTED_VALUE"""),601.0)</f>
        <v>601</v>
      </c>
      <c r="D5852" s="3">
        <f>IFERROR(__xludf.DUMMYFUNCTION("""COMPUTED_VALUE"""),81.0)</f>
        <v>81</v>
      </c>
      <c r="E5852" s="2"/>
      <c r="F5852" s="2"/>
    </row>
    <row r="5853">
      <c r="A5853" s="2">
        <f>IFERROR(__xludf.DUMMYFUNCTION("""COMPUTED_VALUE"""),117040.0)</f>
        <v>117040</v>
      </c>
      <c r="B5853" s="2">
        <f>IFERROR(__xludf.DUMMYFUNCTION("""COMPUTED_VALUE"""),0.0)</f>
        <v>0</v>
      </c>
      <c r="C5853" s="2">
        <f>IFERROR(__xludf.DUMMYFUNCTION("""COMPUTED_VALUE"""),179.0)</f>
        <v>179</v>
      </c>
      <c r="D5853" s="3">
        <f>IFERROR(__xludf.DUMMYFUNCTION("""COMPUTED_VALUE"""),140.0)</f>
        <v>140</v>
      </c>
      <c r="E5853" s="2"/>
      <c r="F5853" s="2"/>
    </row>
    <row r="5854">
      <c r="A5854" s="2">
        <f>IFERROR(__xludf.DUMMYFUNCTION("""COMPUTED_VALUE"""),108485.0)</f>
        <v>108485</v>
      </c>
      <c r="B5854" s="2">
        <f>IFERROR(__xludf.DUMMYFUNCTION("""COMPUTED_VALUE"""),1.0)</f>
        <v>1</v>
      </c>
      <c r="C5854" s="2">
        <f>IFERROR(__xludf.DUMMYFUNCTION("""COMPUTED_VALUE"""),543.0)</f>
        <v>543</v>
      </c>
      <c r="D5854" s="3">
        <f>IFERROR(__xludf.DUMMYFUNCTION("""COMPUTED_VALUE"""),5.0)</f>
        <v>5</v>
      </c>
      <c r="E5854" s="2"/>
      <c r="F5854" s="2"/>
    </row>
    <row r="5855">
      <c r="A5855" s="2">
        <f>IFERROR(__xludf.DUMMYFUNCTION("""COMPUTED_VALUE"""),80095.0)</f>
        <v>80095</v>
      </c>
      <c r="B5855" s="2">
        <f>IFERROR(__xludf.DUMMYFUNCTION("""COMPUTED_VALUE"""),0.0)</f>
        <v>0</v>
      </c>
      <c r="C5855" s="2">
        <f>IFERROR(__xludf.DUMMYFUNCTION("""COMPUTED_VALUE"""),712.0)</f>
        <v>712</v>
      </c>
      <c r="D5855" s="3">
        <f>IFERROR(__xludf.DUMMYFUNCTION("""COMPUTED_VALUE"""),697.0)</f>
        <v>697</v>
      </c>
      <c r="E5855" s="2"/>
      <c r="F5855" s="2"/>
    </row>
    <row r="5856">
      <c r="A5856" s="2">
        <f>IFERROR(__xludf.DUMMYFUNCTION("""COMPUTED_VALUE"""),117044.0)</f>
        <v>117044</v>
      </c>
      <c r="B5856" s="2">
        <f>IFERROR(__xludf.DUMMYFUNCTION("""COMPUTED_VALUE"""),0.0)</f>
        <v>0</v>
      </c>
      <c r="C5856" s="2">
        <f>IFERROR(__xludf.DUMMYFUNCTION("""COMPUTED_VALUE"""),923.0)</f>
        <v>923</v>
      </c>
      <c r="D5856" s="3">
        <f>IFERROR(__xludf.DUMMYFUNCTION("""COMPUTED_VALUE"""),321.0)</f>
        <v>321</v>
      </c>
      <c r="E5856" s="2"/>
      <c r="F5856" s="2"/>
    </row>
    <row r="5857">
      <c r="A5857" s="2">
        <f>IFERROR(__xludf.DUMMYFUNCTION("""COMPUTED_VALUE"""),69279.0)</f>
        <v>69279</v>
      </c>
      <c r="B5857" s="2">
        <f>IFERROR(__xludf.DUMMYFUNCTION("""COMPUTED_VALUE"""),1.0)</f>
        <v>1</v>
      </c>
      <c r="C5857" s="2">
        <f>IFERROR(__xludf.DUMMYFUNCTION("""COMPUTED_VALUE"""),201.0)</f>
        <v>201</v>
      </c>
      <c r="D5857" s="3">
        <f>IFERROR(__xludf.DUMMYFUNCTION("""COMPUTED_VALUE"""),20.0)</f>
        <v>20</v>
      </c>
      <c r="E5857" s="2"/>
      <c r="F5857" s="2"/>
    </row>
    <row r="5858">
      <c r="A5858" s="2">
        <f>IFERROR(__xludf.DUMMYFUNCTION("""COMPUTED_VALUE"""),48642.0)</f>
        <v>48642</v>
      </c>
      <c r="B5858" s="2">
        <f>IFERROR(__xludf.DUMMYFUNCTION("""COMPUTED_VALUE"""),0.0)</f>
        <v>0</v>
      </c>
      <c r="C5858" s="2">
        <f>IFERROR(__xludf.DUMMYFUNCTION("""COMPUTED_VALUE"""),447.0)</f>
        <v>447</v>
      </c>
      <c r="D5858" s="3">
        <f>IFERROR(__xludf.DUMMYFUNCTION("""COMPUTED_VALUE"""),244.0)</f>
        <v>244</v>
      </c>
      <c r="E5858" s="2"/>
      <c r="F5858" s="2"/>
    </row>
    <row r="5859">
      <c r="A5859" s="2">
        <f>IFERROR(__xludf.DUMMYFUNCTION("""COMPUTED_VALUE"""),117569.0)</f>
        <v>117569</v>
      </c>
      <c r="B5859" s="2">
        <f>IFERROR(__xludf.DUMMYFUNCTION("""COMPUTED_VALUE"""),1.0)</f>
        <v>1</v>
      </c>
      <c r="C5859" s="2">
        <f>IFERROR(__xludf.DUMMYFUNCTION("""COMPUTED_VALUE"""),702.0)</f>
        <v>702</v>
      </c>
      <c r="D5859" s="3">
        <f>IFERROR(__xludf.DUMMYFUNCTION("""COMPUTED_VALUE"""),548.0)</f>
        <v>548</v>
      </c>
      <c r="E5859" s="2"/>
      <c r="F5859" s="2"/>
    </row>
    <row r="5860">
      <c r="A5860" s="2">
        <f>IFERROR(__xludf.DUMMYFUNCTION("""COMPUTED_VALUE"""),83590.0)</f>
        <v>83590</v>
      </c>
      <c r="B5860" s="2">
        <f>IFERROR(__xludf.DUMMYFUNCTION("""COMPUTED_VALUE"""),0.0)</f>
        <v>0</v>
      </c>
      <c r="C5860" s="2">
        <f>IFERROR(__xludf.DUMMYFUNCTION("""COMPUTED_VALUE"""),-6.0)</f>
        <v>-6</v>
      </c>
      <c r="D5860" s="3">
        <f>IFERROR(__xludf.DUMMYFUNCTION("""COMPUTED_VALUE"""),0.0)</f>
        <v>0</v>
      </c>
      <c r="E5860" s="2"/>
      <c r="F5860" s="2"/>
    </row>
    <row r="5861">
      <c r="A5861" s="2">
        <f>IFERROR(__xludf.DUMMYFUNCTION("""COMPUTED_VALUE"""),117566.0)</f>
        <v>117566</v>
      </c>
      <c r="B5861" s="2">
        <f>IFERROR(__xludf.DUMMYFUNCTION("""COMPUTED_VALUE"""),0.0)</f>
        <v>0</v>
      </c>
      <c r="C5861" s="2">
        <f>IFERROR(__xludf.DUMMYFUNCTION("""COMPUTED_VALUE"""),698.0)</f>
        <v>698</v>
      </c>
      <c r="D5861" s="3">
        <f>IFERROR(__xludf.DUMMYFUNCTION("""COMPUTED_VALUE"""),660.0)</f>
        <v>660</v>
      </c>
      <c r="E5861" s="2"/>
      <c r="F5861" s="2"/>
    </row>
    <row r="5862">
      <c r="A5862" s="2">
        <f>IFERROR(__xludf.DUMMYFUNCTION("""COMPUTED_VALUE"""),116391.0)</f>
        <v>116391</v>
      </c>
      <c r="B5862" s="2">
        <f>IFERROR(__xludf.DUMMYFUNCTION("""COMPUTED_VALUE"""),1.0)</f>
        <v>1</v>
      </c>
      <c r="C5862" s="2">
        <f>IFERROR(__xludf.DUMMYFUNCTION("""COMPUTED_VALUE"""),659.0)</f>
        <v>659</v>
      </c>
      <c r="D5862" s="3">
        <f>IFERROR(__xludf.DUMMYFUNCTION("""COMPUTED_VALUE"""),371.0)</f>
        <v>371</v>
      </c>
      <c r="E5862" s="2"/>
      <c r="F5862" s="2"/>
    </row>
    <row r="5863">
      <c r="A5863" s="2">
        <f>IFERROR(__xludf.DUMMYFUNCTION("""COMPUTED_VALUE"""),47388.0)</f>
        <v>47388</v>
      </c>
      <c r="B5863" s="2">
        <f>IFERROR(__xludf.DUMMYFUNCTION("""COMPUTED_VALUE"""),1.0)</f>
        <v>1</v>
      </c>
      <c r="C5863" s="2">
        <f>IFERROR(__xludf.DUMMYFUNCTION("""COMPUTED_VALUE"""),334.0)</f>
        <v>334</v>
      </c>
      <c r="D5863" s="3">
        <f>IFERROR(__xludf.DUMMYFUNCTION("""COMPUTED_VALUE"""),99.0)</f>
        <v>99</v>
      </c>
      <c r="E5863" s="2"/>
      <c r="F5863" s="2"/>
    </row>
    <row r="5864">
      <c r="A5864" s="2">
        <f>IFERROR(__xludf.DUMMYFUNCTION("""COMPUTED_VALUE"""),117567.0)</f>
        <v>117567</v>
      </c>
      <c r="B5864" s="2">
        <f>IFERROR(__xludf.DUMMYFUNCTION("""COMPUTED_VALUE"""),0.0)</f>
        <v>0</v>
      </c>
      <c r="C5864" s="2">
        <f>IFERROR(__xludf.DUMMYFUNCTION("""COMPUTED_VALUE"""),874.0)</f>
        <v>874</v>
      </c>
      <c r="D5864" s="3">
        <f>IFERROR(__xludf.DUMMYFUNCTION("""COMPUTED_VALUE"""),807.0)</f>
        <v>807</v>
      </c>
      <c r="E5864" s="2"/>
      <c r="F5864" s="2"/>
    </row>
    <row r="5865">
      <c r="A5865" s="2">
        <f>IFERROR(__xludf.DUMMYFUNCTION("""COMPUTED_VALUE"""),104319.0)</f>
        <v>104319</v>
      </c>
      <c r="B5865" s="2">
        <f>IFERROR(__xludf.DUMMYFUNCTION("""COMPUTED_VALUE"""),0.0)</f>
        <v>0</v>
      </c>
      <c r="C5865" s="2">
        <f>IFERROR(__xludf.DUMMYFUNCTION("""COMPUTED_VALUE"""),550.0)</f>
        <v>550</v>
      </c>
      <c r="D5865" s="3">
        <f>IFERROR(__xludf.DUMMYFUNCTION("""COMPUTED_VALUE"""),74.0)</f>
        <v>74</v>
      </c>
      <c r="E5865" s="2"/>
      <c r="F5865" s="2"/>
    </row>
    <row r="5866">
      <c r="A5866" s="2">
        <f>IFERROR(__xludf.DUMMYFUNCTION("""COMPUTED_VALUE"""),120399.0)</f>
        <v>120399</v>
      </c>
      <c r="B5866" s="2">
        <f>IFERROR(__xludf.DUMMYFUNCTION("""COMPUTED_VALUE"""),0.0)</f>
        <v>0</v>
      </c>
      <c r="C5866" s="2">
        <f>IFERROR(__xludf.DUMMYFUNCTION("""COMPUTED_VALUE"""),165.0)</f>
        <v>165</v>
      </c>
      <c r="D5866" s="3">
        <f>IFERROR(__xludf.DUMMYFUNCTION("""COMPUTED_VALUE"""),107.0)</f>
        <v>107</v>
      </c>
      <c r="E5866" s="2"/>
      <c r="F5866" s="2"/>
    </row>
    <row r="5867">
      <c r="A5867" s="2">
        <f>IFERROR(__xludf.DUMMYFUNCTION("""COMPUTED_VALUE"""),47389.0)</f>
        <v>47389</v>
      </c>
      <c r="B5867" s="2">
        <f>IFERROR(__xludf.DUMMYFUNCTION("""COMPUTED_VALUE"""),0.0)</f>
        <v>0</v>
      </c>
      <c r="C5867" s="2">
        <f>IFERROR(__xludf.DUMMYFUNCTION("""COMPUTED_VALUE"""),894.0)</f>
        <v>894</v>
      </c>
      <c r="D5867" s="3">
        <f>IFERROR(__xludf.DUMMYFUNCTION("""COMPUTED_VALUE"""),281.0)</f>
        <v>281</v>
      </c>
      <c r="E5867" s="2"/>
      <c r="F5867" s="2"/>
    </row>
    <row r="5868">
      <c r="A5868" s="2">
        <f>IFERROR(__xludf.DUMMYFUNCTION("""COMPUTED_VALUE"""),47384.0)</f>
        <v>47384</v>
      </c>
      <c r="B5868" s="2">
        <f>IFERROR(__xludf.DUMMYFUNCTION("""COMPUTED_VALUE"""),1.0)</f>
        <v>1</v>
      </c>
      <c r="C5868" s="2">
        <f>IFERROR(__xludf.DUMMYFUNCTION("""COMPUTED_VALUE"""),685.0)</f>
        <v>685</v>
      </c>
      <c r="D5868" s="3">
        <f>IFERROR(__xludf.DUMMYFUNCTION("""COMPUTED_VALUE"""),666.0)</f>
        <v>666</v>
      </c>
      <c r="E5868" s="2"/>
      <c r="F5868" s="2"/>
    </row>
    <row r="5869">
      <c r="A5869" s="2">
        <f>IFERROR(__xludf.DUMMYFUNCTION("""COMPUTED_VALUE"""),117568.0)</f>
        <v>117568</v>
      </c>
      <c r="B5869" s="2">
        <f>IFERROR(__xludf.DUMMYFUNCTION("""COMPUTED_VALUE"""),1.0)</f>
        <v>1</v>
      </c>
      <c r="C5869" s="2">
        <f>IFERROR(__xludf.DUMMYFUNCTION("""COMPUTED_VALUE"""),796.0)</f>
        <v>796</v>
      </c>
      <c r="D5869" s="3">
        <f>IFERROR(__xludf.DUMMYFUNCTION("""COMPUTED_VALUE"""),141.0)</f>
        <v>141</v>
      </c>
      <c r="E5869" s="2"/>
      <c r="F5869" s="2"/>
    </row>
    <row r="5870">
      <c r="A5870" s="2">
        <f>IFERROR(__xludf.DUMMYFUNCTION("""COMPUTED_VALUE"""),80233.0)</f>
        <v>80233</v>
      </c>
      <c r="B5870" s="2">
        <f>IFERROR(__xludf.DUMMYFUNCTION("""COMPUTED_VALUE"""),1.0)</f>
        <v>1</v>
      </c>
      <c r="C5870" s="2">
        <f>IFERROR(__xludf.DUMMYFUNCTION("""COMPUTED_VALUE"""),873.0)</f>
        <v>873</v>
      </c>
      <c r="D5870" s="3">
        <f>IFERROR(__xludf.DUMMYFUNCTION("""COMPUTED_VALUE"""),343.0)</f>
        <v>343</v>
      </c>
      <c r="E5870" s="2"/>
      <c r="F5870" s="2"/>
    </row>
    <row r="5871">
      <c r="A5871" s="2">
        <f>IFERROR(__xludf.DUMMYFUNCTION("""COMPUTED_VALUE"""),120396.0)</f>
        <v>120396</v>
      </c>
      <c r="B5871" s="2">
        <f>IFERROR(__xludf.DUMMYFUNCTION("""COMPUTED_VALUE"""),0.0)</f>
        <v>0</v>
      </c>
      <c r="C5871" s="2">
        <f>IFERROR(__xludf.DUMMYFUNCTION("""COMPUTED_VALUE"""),286.0)</f>
        <v>286</v>
      </c>
      <c r="D5871" s="3">
        <f>IFERROR(__xludf.DUMMYFUNCTION("""COMPUTED_VALUE"""),68.0)</f>
        <v>68</v>
      </c>
      <c r="E5871" s="2"/>
      <c r="F5871" s="2"/>
    </row>
    <row r="5872">
      <c r="A5872" s="2">
        <f>IFERROR(__xludf.DUMMYFUNCTION("""COMPUTED_VALUE"""),47386.0)</f>
        <v>47386</v>
      </c>
      <c r="B5872" s="2">
        <f>IFERROR(__xludf.DUMMYFUNCTION("""COMPUTED_VALUE"""),0.0)</f>
        <v>0</v>
      </c>
      <c r="C5872" s="2">
        <f>IFERROR(__xludf.DUMMYFUNCTION("""COMPUTED_VALUE"""),908.0)</f>
        <v>908</v>
      </c>
      <c r="D5872" s="3">
        <f>IFERROR(__xludf.DUMMYFUNCTION("""COMPUTED_VALUE"""),796.0)</f>
        <v>796</v>
      </c>
      <c r="E5872" s="2"/>
      <c r="F5872" s="2"/>
    </row>
    <row r="5873">
      <c r="A5873" s="2">
        <f>IFERROR(__xludf.DUMMYFUNCTION("""COMPUTED_VALUE"""),110294.0)</f>
        <v>110294</v>
      </c>
      <c r="B5873" s="2">
        <f>IFERROR(__xludf.DUMMYFUNCTION("""COMPUTED_VALUE"""),1.0)</f>
        <v>1</v>
      </c>
      <c r="C5873" s="2">
        <f>IFERROR(__xludf.DUMMYFUNCTION("""COMPUTED_VALUE"""),320.0)</f>
        <v>320</v>
      </c>
      <c r="D5873" s="3">
        <f>IFERROR(__xludf.DUMMYFUNCTION("""COMPUTED_VALUE"""),171.0)</f>
        <v>171</v>
      </c>
      <c r="E5873" s="2"/>
      <c r="F5873" s="2"/>
    </row>
    <row r="5874">
      <c r="A5874" s="2">
        <f>IFERROR(__xludf.DUMMYFUNCTION("""COMPUTED_VALUE"""),47374.0)</f>
        <v>47374</v>
      </c>
      <c r="B5874" s="2">
        <f>IFERROR(__xludf.DUMMYFUNCTION("""COMPUTED_VALUE"""),0.0)</f>
        <v>0</v>
      </c>
      <c r="C5874" s="2">
        <f>IFERROR(__xludf.DUMMYFUNCTION("""COMPUTED_VALUE"""),764.0)</f>
        <v>764</v>
      </c>
      <c r="D5874" s="3">
        <f>IFERROR(__xludf.DUMMYFUNCTION("""COMPUTED_VALUE"""),173.0)</f>
        <v>173</v>
      </c>
      <c r="E5874" s="2"/>
      <c r="F5874" s="2"/>
    </row>
    <row r="5875">
      <c r="A5875" s="2">
        <f>IFERROR(__xludf.DUMMYFUNCTION("""COMPUTED_VALUE"""),115586.0)</f>
        <v>115586</v>
      </c>
      <c r="B5875" s="2">
        <f>IFERROR(__xludf.DUMMYFUNCTION("""COMPUTED_VALUE"""),1.0)</f>
        <v>1</v>
      </c>
      <c r="C5875" s="2">
        <f>IFERROR(__xludf.DUMMYFUNCTION("""COMPUTED_VALUE"""),496.0)</f>
        <v>496</v>
      </c>
      <c r="D5875" s="3">
        <f>IFERROR(__xludf.DUMMYFUNCTION("""COMPUTED_VALUE"""),464.0)</f>
        <v>464</v>
      </c>
      <c r="E5875" s="2"/>
      <c r="F5875" s="2"/>
    </row>
    <row r="5876">
      <c r="A5876" s="2">
        <f>IFERROR(__xludf.DUMMYFUNCTION("""COMPUTED_VALUE"""),112736.0)</f>
        <v>112736</v>
      </c>
      <c r="B5876" s="2">
        <f>IFERROR(__xludf.DUMMYFUNCTION("""COMPUTED_VALUE"""),1.0)</f>
        <v>1</v>
      </c>
      <c r="C5876" s="2">
        <f>IFERROR(__xludf.DUMMYFUNCTION("""COMPUTED_VALUE"""),743.0)</f>
        <v>743</v>
      </c>
      <c r="D5876" s="3">
        <f>IFERROR(__xludf.DUMMYFUNCTION("""COMPUTED_VALUE"""),231.0)</f>
        <v>231</v>
      </c>
      <c r="E5876" s="2"/>
      <c r="F5876" s="2"/>
    </row>
    <row r="5877">
      <c r="A5877" s="2">
        <f>IFERROR(__xludf.DUMMYFUNCTION("""COMPUTED_VALUE"""),80234.0)</f>
        <v>80234</v>
      </c>
      <c r="B5877" s="2">
        <f>IFERROR(__xludf.DUMMYFUNCTION("""COMPUTED_VALUE"""),1.0)</f>
        <v>1</v>
      </c>
      <c r="C5877" s="2">
        <f>IFERROR(__xludf.DUMMYFUNCTION("""COMPUTED_VALUE"""),282.0)</f>
        <v>282</v>
      </c>
      <c r="D5877" s="3">
        <f>IFERROR(__xludf.DUMMYFUNCTION("""COMPUTED_VALUE"""),137.0)</f>
        <v>137</v>
      </c>
      <c r="E5877" s="2"/>
      <c r="F5877" s="2"/>
    </row>
    <row r="5878">
      <c r="A5878" s="2">
        <f>IFERROR(__xludf.DUMMYFUNCTION("""COMPUTED_VALUE"""),92426.0)</f>
        <v>92426</v>
      </c>
      <c r="B5878" s="2">
        <f>IFERROR(__xludf.DUMMYFUNCTION("""COMPUTED_VALUE"""),0.0)</f>
        <v>0</v>
      </c>
      <c r="C5878" s="2">
        <f>IFERROR(__xludf.DUMMYFUNCTION("""COMPUTED_VALUE"""),293.0)</f>
        <v>293</v>
      </c>
      <c r="D5878" s="3">
        <f>IFERROR(__xludf.DUMMYFUNCTION("""COMPUTED_VALUE"""),176.0)</f>
        <v>176</v>
      </c>
      <c r="E5878" s="2"/>
      <c r="F5878" s="2"/>
    </row>
    <row r="5879">
      <c r="A5879" s="2">
        <f>IFERROR(__xludf.DUMMYFUNCTION("""COMPUTED_VALUE"""),92429.0)</f>
        <v>92429</v>
      </c>
      <c r="B5879" s="2">
        <f>IFERROR(__xludf.DUMMYFUNCTION("""COMPUTED_VALUE"""),1.0)</f>
        <v>1</v>
      </c>
      <c r="C5879" s="2">
        <f>IFERROR(__xludf.DUMMYFUNCTION("""COMPUTED_VALUE"""),15.0)</f>
        <v>15</v>
      </c>
      <c r="D5879" s="3">
        <f>IFERROR(__xludf.DUMMYFUNCTION("""COMPUTED_VALUE"""),8.0)</f>
        <v>8</v>
      </c>
      <c r="E5879" s="2"/>
      <c r="F5879" s="2"/>
    </row>
    <row r="5880">
      <c r="A5880" s="2">
        <f>IFERROR(__xludf.DUMMYFUNCTION("""COMPUTED_VALUE"""),117572.0)</f>
        <v>117572</v>
      </c>
      <c r="B5880" s="2">
        <f>IFERROR(__xludf.DUMMYFUNCTION("""COMPUTED_VALUE"""),0.0)</f>
        <v>0</v>
      </c>
      <c r="C5880" s="2">
        <f>IFERROR(__xludf.DUMMYFUNCTION("""COMPUTED_VALUE"""),398.0)</f>
        <v>398</v>
      </c>
      <c r="D5880" s="3">
        <f>IFERROR(__xludf.DUMMYFUNCTION("""COMPUTED_VALUE"""),127.0)</f>
        <v>127</v>
      </c>
      <c r="E5880" s="2"/>
      <c r="F5880" s="2"/>
    </row>
    <row r="5881">
      <c r="A5881" s="2">
        <f>IFERROR(__xludf.DUMMYFUNCTION("""COMPUTED_VALUE"""),110982.0)</f>
        <v>110982</v>
      </c>
      <c r="B5881" s="2">
        <f>IFERROR(__xludf.DUMMYFUNCTION("""COMPUTED_VALUE"""),1.0)</f>
        <v>1</v>
      </c>
      <c r="C5881" s="2">
        <f>IFERROR(__xludf.DUMMYFUNCTION("""COMPUTED_VALUE"""),720.0)</f>
        <v>720</v>
      </c>
      <c r="D5881" s="3">
        <f>IFERROR(__xludf.DUMMYFUNCTION("""COMPUTED_VALUE"""),509.0)</f>
        <v>509</v>
      </c>
      <c r="E5881" s="2"/>
      <c r="F5881" s="2"/>
    </row>
    <row r="5882">
      <c r="A5882" s="2">
        <f>IFERROR(__xludf.DUMMYFUNCTION("""COMPUTED_VALUE"""),92442.0)</f>
        <v>92442</v>
      </c>
      <c r="B5882" s="2">
        <f>IFERROR(__xludf.DUMMYFUNCTION("""COMPUTED_VALUE"""),1.0)</f>
        <v>1</v>
      </c>
      <c r="C5882" s="2">
        <f>IFERROR(__xludf.DUMMYFUNCTION("""COMPUTED_VALUE"""),15.0)</f>
        <v>15</v>
      </c>
      <c r="D5882" s="3">
        <f>IFERROR(__xludf.DUMMYFUNCTION("""COMPUTED_VALUE"""),13.0)</f>
        <v>13</v>
      </c>
      <c r="E5882" s="2"/>
      <c r="F5882" s="2"/>
    </row>
    <row r="5883">
      <c r="A5883" s="2">
        <f>IFERROR(__xludf.DUMMYFUNCTION("""COMPUTED_VALUE"""),83591.0)</f>
        <v>83591</v>
      </c>
      <c r="B5883" s="2">
        <f>IFERROR(__xludf.DUMMYFUNCTION("""COMPUTED_VALUE"""),1.0)</f>
        <v>1</v>
      </c>
      <c r="C5883" s="2">
        <f>IFERROR(__xludf.DUMMYFUNCTION("""COMPUTED_VALUE"""),688.0)</f>
        <v>688</v>
      </c>
      <c r="D5883" s="3">
        <f>IFERROR(__xludf.DUMMYFUNCTION("""COMPUTED_VALUE"""),662.0)</f>
        <v>662</v>
      </c>
      <c r="E5883" s="2"/>
      <c r="F5883" s="2"/>
    </row>
    <row r="5884">
      <c r="A5884" s="2">
        <f>IFERROR(__xludf.DUMMYFUNCTION("""COMPUTED_VALUE"""),104318.0)</f>
        <v>104318</v>
      </c>
      <c r="B5884" s="2">
        <f>IFERROR(__xludf.DUMMYFUNCTION("""COMPUTED_VALUE"""),0.0)</f>
        <v>0</v>
      </c>
      <c r="C5884" s="2">
        <f>IFERROR(__xludf.DUMMYFUNCTION("""COMPUTED_VALUE"""),452.0)</f>
        <v>452</v>
      </c>
      <c r="D5884" s="3">
        <f>IFERROR(__xludf.DUMMYFUNCTION("""COMPUTED_VALUE"""),71.0)</f>
        <v>71</v>
      </c>
      <c r="E5884" s="2"/>
      <c r="F5884" s="2"/>
    </row>
    <row r="5885">
      <c r="A5885" s="2">
        <f>IFERROR(__xludf.DUMMYFUNCTION("""COMPUTED_VALUE"""),112740.0)</f>
        <v>112740</v>
      </c>
      <c r="B5885" s="2">
        <f>IFERROR(__xludf.DUMMYFUNCTION("""COMPUTED_VALUE"""),0.0)</f>
        <v>0</v>
      </c>
      <c r="C5885" s="2">
        <f>IFERROR(__xludf.DUMMYFUNCTION("""COMPUTED_VALUE"""),35.0)</f>
        <v>35</v>
      </c>
      <c r="D5885" s="3">
        <f>IFERROR(__xludf.DUMMYFUNCTION("""COMPUTED_VALUE"""),19.0)</f>
        <v>19</v>
      </c>
      <c r="E5885" s="2"/>
      <c r="F5885" s="2"/>
    </row>
    <row r="5886">
      <c r="A5886" s="2">
        <f>IFERROR(__xludf.DUMMYFUNCTION("""COMPUTED_VALUE"""),117570.0)</f>
        <v>117570</v>
      </c>
      <c r="B5886" s="2">
        <f>IFERROR(__xludf.DUMMYFUNCTION("""COMPUTED_VALUE"""),0.0)</f>
        <v>0</v>
      </c>
      <c r="C5886" s="2">
        <f>IFERROR(__xludf.DUMMYFUNCTION("""COMPUTED_VALUE"""),633.0)</f>
        <v>633</v>
      </c>
      <c r="D5886" s="3">
        <f>IFERROR(__xludf.DUMMYFUNCTION("""COMPUTED_VALUE"""),484.0)</f>
        <v>484</v>
      </c>
      <c r="E5886" s="2"/>
      <c r="F5886" s="2"/>
    </row>
    <row r="5887">
      <c r="A5887" s="2">
        <f>IFERROR(__xludf.DUMMYFUNCTION("""COMPUTED_VALUE"""),115584.0)</f>
        <v>115584</v>
      </c>
      <c r="B5887" s="2">
        <f>IFERROR(__xludf.DUMMYFUNCTION("""COMPUTED_VALUE"""),0.0)</f>
        <v>0</v>
      </c>
      <c r="C5887" s="2">
        <f>IFERROR(__xludf.DUMMYFUNCTION("""COMPUTED_VALUE"""),744.0)</f>
        <v>744</v>
      </c>
      <c r="D5887" s="3">
        <f>IFERROR(__xludf.DUMMYFUNCTION("""COMPUTED_VALUE"""),512.0)</f>
        <v>512</v>
      </c>
      <c r="E5887" s="2"/>
      <c r="F5887" s="2"/>
    </row>
    <row r="5888">
      <c r="A5888" s="2">
        <f>IFERROR(__xludf.DUMMYFUNCTION("""COMPUTED_VALUE"""),47629.0)</f>
        <v>47629</v>
      </c>
      <c r="B5888" s="2">
        <f>IFERROR(__xludf.DUMMYFUNCTION("""COMPUTED_VALUE"""),1.0)</f>
        <v>1</v>
      </c>
      <c r="C5888" s="2">
        <f>IFERROR(__xludf.DUMMYFUNCTION("""COMPUTED_VALUE"""),514.0)</f>
        <v>514</v>
      </c>
      <c r="D5888" s="3">
        <f>IFERROR(__xludf.DUMMYFUNCTION("""COMPUTED_VALUE"""),147.0)</f>
        <v>147</v>
      </c>
      <c r="E5888" s="2"/>
      <c r="F5888" s="2"/>
    </row>
    <row r="5889">
      <c r="A5889" s="2">
        <f>IFERROR(__xludf.DUMMYFUNCTION("""COMPUTED_VALUE"""),116389.0)</f>
        <v>116389</v>
      </c>
      <c r="B5889" s="2">
        <f>IFERROR(__xludf.DUMMYFUNCTION("""COMPUTED_VALUE"""),1.0)</f>
        <v>1</v>
      </c>
      <c r="C5889" s="2">
        <f>IFERROR(__xludf.DUMMYFUNCTION("""COMPUTED_VALUE"""),895.0)</f>
        <v>895</v>
      </c>
      <c r="D5889" s="3">
        <f>IFERROR(__xludf.DUMMYFUNCTION("""COMPUTED_VALUE"""),436.0)</f>
        <v>436</v>
      </c>
      <c r="E5889" s="2"/>
      <c r="F5889" s="2"/>
    </row>
    <row r="5890">
      <c r="A5890" s="2">
        <f>IFERROR(__xludf.DUMMYFUNCTION("""COMPUTED_VALUE"""),117573.0)</f>
        <v>117573</v>
      </c>
      <c r="B5890" s="2">
        <f>IFERROR(__xludf.DUMMYFUNCTION("""COMPUTED_VALUE"""),0.0)</f>
        <v>0</v>
      </c>
      <c r="C5890" s="2">
        <f>IFERROR(__xludf.DUMMYFUNCTION("""COMPUTED_VALUE"""),438.0)</f>
        <v>438</v>
      </c>
      <c r="D5890" s="3">
        <f>IFERROR(__xludf.DUMMYFUNCTION("""COMPUTED_VALUE"""),312.0)</f>
        <v>312</v>
      </c>
      <c r="E5890" s="2"/>
      <c r="F5890" s="2"/>
    </row>
    <row r="5891">
      <c r="A5891" s="2">
        <f>IFERROR(__xludf.DUMMYFUNCTION("""COMPUTED_VALUE"""),47638.0)</f>
        <v>47638</v>
      </c>
      <c r="B5891" s="2">
        <f>IFERROR(__xludf.DUMMYFUNCTION("""COMPUTED_VALUE"""),0.0)</f>
        <v>0</v>
      </c>
      <c r="C5891" s="2">
        <f>IFERROR(__xludf.DUMMYFUNCTION("""COMPUTED_VALUE"""),245.0)</f>
        <v>245</v>
      </c>
      <c r="D5891" s="3">
        <f>IFERROR(__xludf.DUMMYFUNCTION("""COMPUTED_VALUE"""),205.0)</f>
        <v>205</v>
      </c>
      <c r="E5891" s="2"/>
      <c r="F5891" s="2"/>
    </row>
    <row r="5892">
      <c r="A5892" s="2">
        <f>IFERROR(__xludf.DUMMYFUNCTION("""COMPUTED_VALUE"""),110219.0)</f>
        <v>110219</v>
      </c>
      <c r="B5892" s="2">
        <f>IFERROR(__xludf.DUMMYFUNCTION("""COMPUTED_VALUE"""),1.0)</f>
        <v>1</v>
      </c>
      <c r="C5892" s="2">
        <f>IFERROR(__xludf.DUMMYFUNCTION("""COMPUTED_VALUE"""),272.0)</f>
        <v>272</v>
      </c>
      <c r="D5892" s="3">
        <f>IFERROR(__xludf.DUMMYFUNCTION("""COMPUTED_VALUE"""),152.0)</f>
        <v>152</v>
      </c>
      <c r="E5892" s="2"/>
      <c r="F5892" s="2"/>
    </row>
    <row r="5893">
      <c r="A5893" s="2">
        <f>IFERROR(__xludf.DUMMYFUNCTION("""COMPUTED_VALUE"""),116851.0)</f>
        <v>116851</v>
      </c>
      <c r="B5893" s="2">
        <f>IFERROR(__xludf.DUMMYFUNCTION("""COMPUTED_VALUE"""),0.0)</f>
        <v>0</v>
      </c>
      <c r="C5893" s="2">
        <f>IFERROR(__xludf.DUMMYFUNCTION("""COMPUTED_VALUE"""),980.0)</f>
        <v>980</v>
      </c>
      <c r="D5893" s="3">
        <f>IFERROR(__xludf.DUMMYFUNCTION("""COMPUTED_VALUE"""),2.0)</f>
        <v>2</v>
      </c>
      <c r="E5893" s="2"/>
      <c r="F5893" s="2"/>
    </row>
    <row r="5894">
      <c r="A5894" s="2">
        <f>IFERROR(__xludf.DUMMYFUNCTION("""COMPUTED_VALUE"""),122737.0)</f>
        <v>122737</v>
      </c>
      <c r="B5894" s="2">
        <f>IFERROR(__xludf.DUMMYFUNCTION("""COMPUTED_VALUE"""),0.0)</f>
        <v>0</v>
      </c>
      <c r="C5894" s="2">
        <f>IFERROR(__xludf.DUMMYFUNCTION("""COMPUTED_VALUE"""),928.0)</f>
        <v>928</v>
      </c>
      <c r="D5894" s="3">
        <f>IFERROR(__xludf.DUMMYFUNCTION("""COMPUTED_VALUE"""),371.0)</f>
        <v>371</v>
      </c>
      <c r="E5894" s="2"/>
      <c r="F5894" s="2"/>
    </row>
    <row r="5895">
      <c r="A5895" s="2">
        <f>IFERROR(__xludf.DUMMYFUNCTION("""COMPUTED_VALUE"""),110226.0)</f>
        <v>110226</v>
      </c>
      <c r="B5895" s="2">
        <f>IFERROR(__xludf.DUMMYFUNCTION("""COMPUTED_VALUE"""),0.0)</f>
        <v>0</v>
      </c>
      <c r="C5895" s="2">
        <f>IFERROR(__xludf.DUMMYFUNCTION("""COMPUTED_VALUE"""),342.0)</f>
        <v>342</v>
      </c>
      <c r="D5895" s="3">
        <f>IFERROR(__xludf.DUMMYFUNCTION("""COMPUTED_VALUE"""),85.0)</f>
        <v>85</v>
      </c>
      <c r="E5895" s="2"/>
      <c r="F5895" s="2"/>
    </row>
    <row r="5896">
      <c r="A5896" s="2">
        <f>IFERROR(__xludf.DUMMYFUNCTION("""COMPUTED_VALUE"""),115773.0)</f>
        <v>115773</v>
      </c>
      <c r="B5896" s="2">
        <f>IFERROR(__xludf.DUMMYFUNCTION("""COMPUTED_VALUE"""),0.0)</f>
        <v>0</v>
      </c>
      <c r="C5896" s="2">
        <f>IFERROR(__xludf.DUMMYFUNCTION("""COMPUTED_VALUE"""),632.0)</f>
        <v>632</v>
      </c>
      <c r="D5896" s="3">
        <f>IFERROR(__xludf.DUMMYFUNCTION("""COMPUTED_VALUE"""),243.0)</f>
        <v>243</v>
      </c>
      <c r="E5896" s="2"/>
      <c r="F5896" s="2"/>
    </row>
    <row r="5897">
      <c r="A5897" s="2">
        <f>IFERROR(__xludf.DUMMYFUNCTION("""COMPUTED_VALUE"""),109580.0)</f>
        <v>109580</v>
      </c>
      <c r="B5897" s="2">
        <f>IFERROR(__xludf.DUMMYFUNCTION("""COMPUTED_VALUE"""),1.0)</f>
        <v>1</v>
      </c>
      <c r="C5897" s="2">
        <f>IFERROR(__xludf.DUMMYFUNCTION("""COMPUTED_VALUE"""),84.0)</f>
        <v>84</v>
      </c>
      <c r="D5897" s="3">
        <f>IFERROR(__xludf.DUMMYFUNCTION("""COMPUTED_VALUE"""),5.0)</f>
        <v>5</v>
      </c>
      <c r="E5897" s="2"/>
      <c r="F5897" s="2"/>
    </row>
    <row r="5898">
      <c r="A5898" s="2">
        <f>IFERROR(__xludf.DUMMYFUNCTION("""COMPUTED_VALUE"""),114255.0)</f>
        <v>114255</v>
      </c>
      <c r="B5898" s="2">
        <f>IFERROR(__xludf.DUMMYFUNCTION("""COMPUTED_VALUE"""),0.0)</f>
        <v>0</v>
      </c>
      <c r="C5898" s="2">
        <f>IFERROR(__xludf.DUMMYFUNCTION("""COMPUTED_VALUE"""),493.0)</f>
        <v>493</v>
      </c>
      <c r="D5898" s="3">
        <f>IFERROR(__xludf.DUMMYFUNCTION("""COMPUTED_VALUE"""),107.0)</f>
        <v>107</v>
      </c>
      <c r="E5898" s="2"/>
      <c r="F5898" s="2"/>
    </row>
    <row r="5899">
      <c r="A5899" s="2">
        <f>IFERROR(__xludf.DUMMYFUNCTION("""COMPUTED_VALUE"""),122745.0)</f>
        <v>122745</v>
      </c>
      <c r="B5899" s="2">
        <f>IFERROR(__xludf.DUMMYFUNCTION("""COMPUTED_VALUE"""),1.0)</f>
        <v>1</v>
      </c>
      <c r="C5899" s="2">
        <f>IFERROR(__xludf.DUMMYFUNCTION("""COMPUTED_VALUE"""),320.0)</f>
        <v>320</v>
      </c>
      <c r="D5899" s="3">
        <f>IFERROR(__xludf.DUMMYFUNCTION("""COMPUTED_VALUE"""),188.0)</f>
        <v>188</v>
      </c>
      <c r="E5899" s="2"/>
      <c r="F5899" s="2"/>
    </row>
    <row r="5900">
      <c r="A5900" s="2">
        <f>IFERROR(__xludf.DUMMYFUNCTION("""COMPUTED_VALUE"""),116873.0)</f>
        <v>116873</v>
      </c>
      <c r="B5900" s="2">
        <f>IFERROR(__xludf.DUMMYFUNCTION("""COMPUTED_VALUE"""),1.0)</f>
        <v>1</v>
      </c>
      <c r="C5900" s="2">
        <f>IFERROR(__xludf.DUMMYFUNCTION("""COMPUTED_VALUE"""),865.0)</f>
        <v>865</v>
      </c>
      <c r="D5900" s="3">
        <f>IFERROR(__xludf.DUMMYFUNCTION("""COMPUTED_VALUE"""),281.0)</f>
        <v>281</v>
      </c>
      <c r="E5900" s="2"/>
      <c r="F5900" s="2"/>
    </row>
    <row r="5901">
      <c r="A5901" s="2">
        <f>IFERROR(__xludf.DUMMYFUNCTION("""COMPUTED_VALUE"""),110228.0)</f>
        <v>110228</v>
      </c>
      <c r="B5901" s="2">
        <f>IFERROR(__xludf.DUMMYFUNCTION("""COMPUTED_VALUE"""),1.0)</f>
        <v>1</v>
      </c>
      <c r="C5901" s="2">
        <f>IFERROR(__xludf.DUMMYFUNCTION("""COMPUTED_VALUE"""),329.0)</f>
        <v>329</v>
      </c>
      <c r="D5901" s="3">
        <f>IFERROR(__xludf.DUMMYFUNCTION("""COMPUTED_VALUE"""),135.0)</f>
        <v>135</v>
      </c>
      <c r="E5901" s="2"/>
      <c r="F5901"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tr">
        <f>IFERROR(__xludf.DUMMYFUNCTION("IMPORTRANGE(""https://docs.google.com/spreadsheets/d/1n4Zg-vRlTZzP5FR21bautORUV5kNU7wGUHO1GM0ql3s/edit"",""product!A:Z"")"),"product_id")</f>
        <v>product_id</v>
      </c>
      <c r="B1" s="2" t="str">
        <f>IFERROR(__xludf.DUMMYFUNCTION("""COMPUTED_VALUE"""),"category_1")</f>
        <v>category_1</v>
      </c>
      <c r="C1" s="2" t="str">
        <f>IFERROR(__xludf.DUMMYFUNCTION("""COMPUTED_VALUE"""),"category_2")</f>
        <v>category_2</v>
      </c>
      <c r="D1" s="2" t="str">
        <f>IFERROR(__xludf.DUMMYFUNCTION("""COMPUTED_VALUE"""),"category_3")</f>
        <v>category_3</v>
      </c>
      <c r="E1" s="2" t="str">
        <f>IFERROR(__xludf.DUMMYFUNCTION("""COMPUTED_VALUE"""),"pp_cat")</f>
        <v>pp_cat</v>
      </c>
      <c r="F1" s="6"/>
      <c r="G1" s="2"/>
      <c r="H1" s="2"/>
      <c r="I1" s="2"/>
    </row>
    <row r="2">
      <c r="A2" s="2">
        <f>IFERROR(__xludf.DUMMYFUNCTION("""COMPUTED_VALUE"""),112463.0)</f>
        <v>112463</v>
      </c>
      <c r="B2" s="2" t="str">
        <f>IFERROR(__xludf.DUMMYFUNCTION("""COMPUTED_VALUE"""),"Fiction")</f>
        <v>Fiction</v>
      </c>
      <c r="C2" s="2" t="str">
        <f>IFERROR(__xludf.DUMMYFUNCTION("""COMPUTED_VALUE"""),"Literary Fiction")</f>
        <v>Literary Fiction</v>
      </c>
      <c r="D2" s="2" t="str">
        <f>IFERROR(__xludf.DUMMYFUNCTION("""COMPUTED_VALUE"""),"Blue Oak Publishing")</f>
        <v>Blue Oak Publishing</v>
      </c>
      <c r="E2" s="2">
        <f>IFERROR(__xludf.DUMMYFUNCTION("""COMPUTED_VALUE"""),4.1)</f>
        <v>4.1</v>
      </c>
      <c r="F2" s="2"/>
      <c r="G2" s="2"/>
      <c r="H2" s="2"/>
      <c r="I2" s="2"/>
    </row>
    <row r="3">
      <c r="A3" s="2">
        <f>IFERROR(__xludf.DUMMYFUNCTION("""COMPUTED_VALUE"""),112481.0)</f>
        <v>112481</v>
      </c>
      <c r="B3" s="2" t="str">
        <f>IFERROR(__xludf.DUMMYFUNCTION("""COMPUTED_VALUE"""),"Fiction")</f>
        <v>Fiction</v>
      </c>
      <c r="C3" s="2" t="str">
        <f>IFERROR(__xludf.DUMMYFUNCTION("""COMPUTED_VALUE"""),"Literary Fiction")</f>
        <v>Literary Fiction</v>
      </c>
      <c r="D3" s="2" t="str">
        <f>IFERROR(__xludf.DUMMYFUNCTION("""COMPUTED_VALUE"""),"Blue Oak Publishing")</f>
        <v>Blue Oak Publishing</v>
      </c>
      <c r="E3" s="2">
        <f>IFERROR(__xludf.DUMMYFUNCTION("""COMPUTED_VALUE"""),5.86)</f>
        <v>5.86</v>
      </c>
      <c r="F3" s="2"/>
      <c r="G3" s="2"/>
      <c r="H3" s="2"/>
      <c r="I3" s="2"/>
    </row>
    <row r="4">
      <c r="A4" s="2">
        <f>IFERROR(__xludf.DUMMYFUNCTION("""COMPUTED_VALUE"""),13346.0)</f>
        <v>13346</v>
      </c>
      <c r="B4" s="2" t="str">
        <f>IFERROR(__xludf.DUMMYFUNCTION("""COMPUTED_VALUE"""),"Fiction")</f>
        <v>Fiction</v>
      </c>
      <c r="C4" s="2" t="str">
        <f>IFERROR(__xludf.DUMMYFUNCTION("""COMPUTED_VALUE"""),"Literary Fiction")</f>
        <v>Literary Fiction</v>
      </c>
      <c r="D4" s="2" t="str">
        <f>IFERROR(__xludf.DUMMYFUNCTION("""COMPUTED_VALUE"""),"Blue Oak Publishing")</f>
        <v>Blue Oak Publishing</v>
      </c>
      <c r="E4" s="2">
        <f>IFERROR(__xludf.DUMMYFUNCTION("""COMPUTED_VALUE"""),2.16)</f>
        <v>2.16</v>
      </c>
      <c r="F4" s="2"/>
      <c r="G4" s="2"/>
      <c r="H4" s="2"/>
      <c r="I4" s="2"/>
    </row>
    <row r="5">
      <c r="A5" s="2">
        <f>IFERROR(__xludf.DUMMYFUNCTION("""COMPUTED_VALUE"""),112454.0)</f>
        <v>112454</v>
      </c>
      <c r="B5" s="2" t="str">
        <f>IFERROR(__xludf.DUMMYFUNCTION("""COMPUTED_VALUE"""),"Fiction")</f>
        <v>Fiction</v>
      </c>
      <c r="C5" s="2" t="str">
        <f>IFERROR(__xludf.DUMMYFUNCTION("""COMPUTED_VALUE"""),"Literary Fiction")</f>
        <v>Literary Fiction</v>
      </c>
      <c r="D5" s="2" t="str">
        <f>IFERROR(__xludf.DUMMYFUNCTION("""COMPUTED_VALUE"""),"Blue Oak Publishing")</f>
        <v>Blue Oak Publishing</v>
      </c>
      <c r="E5" s="2">
        <f>IFERROR(__xludf.DUMMYFUNCTION("""COMPUTED_VALUE"""),0.93)</f>
        <v>0.93</v>
      </c>
      <c r="F5" s="2"/>
      <c r="G5" s="2"/>
      <c r="H5" s="2"/>
      <c r="I5" s="2"/>
    </row>
    <row r="6">
      <c r="A6" s="2">
        <f>IFERROR(__xludf.DUMMYFUNCTION("""COMPUTED_VALUE"""),112461.0)</f>
        <v>112461</v>
      </c>
      <c r="B6" s="2" t="str">
        <f>IFERROR(__xludf.DUMMYFUNCTION("""COMPUTED_VALUE"""),"Fiction")</f>
        <v>Fiction</v>
      </c>
      <c r="C6" s="2" t="str">
        <f>IFERROR(__xludf.DUMMYFUNCTION("""COMPUTED_VALUE"""),"Literary Fiction")</f>
        <v>Literary Fiction</v>
      </c>
      <c r="D6" s="2" t="str">
        <f>IFERROR(__xludf.DUMMYFUNCTION("""COMPUTED_VALUE"""),"Blue Oak Publishing")</f>
        <v>Blue Oak Publishing</v>
      </c>
      <c r="E6" s="2">
        <f>IFERROR(__xludf.DUMMYFUNCTION("""COMPUTED_VALUE"""),1.07)</f>
        <v>1.07</v>
      </c>
      <c r="F6" s="2"/>
      <c r="G6" s="2"/>
      <c r="H6" s="2"/>
      <c r="I6" s="2"/>
    </row>
    <row r="7">
      <c r="A7" s="2">
        <f>IFERROR(__xludf.DUMMYFUNCTION("""COMPUTED_VALUE"""),106532.0)</f>
        <v>106532</v>
      </c>
      <c r="B7" s="2" t="str">
        <f>IFERROR(__xludf.DUMMYFUNCTION("""COMPUTED_VALUE"""),"Fiction")</f>
        <v>Fiction</v>
      </c>
      <c r="C7" s="2" t="str">
        <f>IFERROR(__xludf.DUMMYFUNCTION("""COMPUTED_VALUE"""),"Literary Fiction")</f>
        <v>Literary Fiction</v>
      </c>
      <c r="D7" s="2" t="str">
        <f>IFERROR(__xludf.DUMMYFUNCTION("""COMPUTED_VALUE"""),"Silver Leaf Press")</f>
        <v>Silver Leaf Press</v>
      </c>
      <c r="E7" s="2">
        <f>IFERROR(__xludf.DUMMYFUNCTION("""COMPUTED_VALUE"""),8.9)</f>
        <v>8.9</v>
      </c>
      <c r="F7" s="2"/>
      <c r="G7" s="2"/>
      <c r="H7" s="2"/>
      <c r="I7" s="2"/>
    </row>
    <row r="8">
      <c r="A8" s="2">
        <f>IFERROR(__xludf.DUMMYFUNCTION("""COMPUTED_VALUE"""),121135.0)</f>
        <v>121135</v>
      </c>
      <c r="B8" s="2" t="str">
        <f>IFERROR(__xludf.DUMMYFUNCTION("""COMPUTED_VALUE"""),"Fiction")</f>
        <v>Fiction</v>
      </c>
      <c r="C8" s="2" t="str">
        <f>IFERROR(__xludf.DUMMYFUNCTION("""COMPUTED_VALUE"""),"Literary Fiction")</f>
        <v>Literary Fiction</v>
      </c>
      <c r="D8" s="2" t="str">
        <f>IFERROR(__xludf.DUMMYFUNCTION("""COMPUTED_VALUE"""),"Silver Leaf Press")</f>
        <v>Silver Leaf Press</v>
      </c>
      <c r="E8" s="2">
        <f>IFERROR(__xludf.DUMMYFUNCTION("""COMPUTED_VALUE"""),8.84)</f>
        <v>8.84</v>
      </c>
      <c r="F8" s="2"/>
      <c r="G8" s="2"/>
      <c r="H8" s="2"/>
      <c r="I8" s="2"/>
    </row>
    <row r="9">
      <c r="A9" s="2">
        <f>IFERROR(__xludf.DUMMYFUNCTION("""COMPUTED_VALUE"""),128362.0)</f>
        <v>128362</v>
      </c>
      <c r="B9" s="2" t="str">
        <f>IFERROR(__xludf.DUMMYFUNCTION("""COMPUTED_VALUE"""),"History")</f>
        <v>History</v>
      </c>
      <c r="C9" s="2" t="str">
        <f>IFERROR(__xludf.DUMMYFUNCTION("""COMPUTED_VALUE"""),"Mystery")</f>
        <v>Mystery</v>
      </c>
      <c r="D9" s="2" t="str">
        <f>IFERROR(__xludf.DUMMYFUNCTION("""COMPUTED_VALUE"""),"Northbridge Books")</f>
        <v>Northbridge Books</v>
      </c>
      <c r="E9" s="2">
        <f>IFERROR(__xludf.DUMMYFUNCTION("""COMPUTED_VALUE"""),4.89)</f>
        <v>4.89</v>
      </c>
      <c r="F9" s="2"/>
      <c r="G9" s="2"/>
      <c r="H9" s="2"/>
      <c r="I9" s="2"/>
    </row>
    <row r="10">
      <c r="A10" s="2">
        <f>IFERROR(__xludf.DUMMYFUNCTION("""COMPUTED_VALUE"""),71200.0)</f>
        <v>71200</v>
      </c>
      <c r="B10" s="2" t="str">
        <f>IFERROR(__xludf.DUMMYFUNCTION("""COMPUTED_VALUE"""),"History")</f>
        <v>History</v>
      </c>
      <c r="C10" s="2" t="str">
        <f>IFERROR(__xludf.DUMMYFUNCTION("""COMPUTED_VALUE"""),"Mystery")</f>
        <v>Mystery</v>
      </c>
      <c r="D10" s="2" t="str">
        <f>IFERROR(__xludf.DUMMYFUNCTION("""COMPUTED_VALUE"""),"Riverstone Publishing")</f>
        <v>Riverstone Publishing</v>
      </c>
      <c r="E10" s="2">
        <f>IFERROR(__xludf.DUMMYFUNCTION("""COMPUTED_VALUE"""),1.94)</f>
        <v>1.94</v>
      </c>
      <c r="F10" s="2"/>
      <c r="G10" s="2"/>
      <c r="H10" s="2"/>
      <c r="I10" s="2"/>
    </row>
    <row r="11">
      <c r="A11" s="2">
        <f>IFERROR(__xludf.DUMMYFUNCTION("""COMPUTED_VALUE"""),19812.0)</f>
        <v>19812</v>
      </c>
      <c r="B11" s="2" t="str">
        <f>IFERROR(__xludf.DUMMYFUNCTION("""COMPUTED_VALUE"""),"History")</f>
        <v>History</v>
      </c>
      <c r="C11" s="2" t="str">
        <f>IFERROR(__xludf.DUMMYFUNCTION("""COMPUTED_VALUE"""),"Mystery")</f>
        <v>Mystery</v>
      </c>
      <c r="D11" s="2" t="str">
        <f>IFERROR(__xludf.DUMMYFUNCTION("""COMPUTED_VALUE"""),"Riverstone Publishing")</f>
        <v>Riverstone Publishing</v>
      </c>
      <c r="E11" s="2">
        <f>IFERROR(__xludf.DUMMYFUNCTION("""COMPUTED_VALUE"""),1.77)</f>
        <v>1.77</v>
      </c>
      <c r="F11" s="2"/>
      <c r="G11" s="2"/>
      <c r="H11" s="2"/>
      <c r="I11" s="2"/>
    </row>
    <row r="12">
      <c r="A12" s="2">
        <f>IFERROR(__xludf.DUMMYFUNCTION("""COMPUTED_VALUE"""),122259.0)</f>
        <v>122259</v>
      </c>
      <c r="B12" s="2" t="str">
        <f>IFERROR(__xludf.DUMMYFUNCTION("""COMPUTED_VALUE"""),"History")</f>
        <v>History</v>
      </c>
      <c r="C12" s="2" t="str">
        <f>IFERROR(__xludf.DUMMYFUNCTION("""COMPUTED_VALUE"""),"Mystery")</f>
        <v>Mystery</v>
      </c>
      <c r="D12" s="2" t="str">
        <f>IFERROR(__xludf.DUMMYFUNCTION("""COMPUTED_VALUE"""),"Golden Quill Press")</f>
        <v>Golden Quill Press</v>
      </c>
      <c r="E12" s="2">
        <f>IFERROR(__xludf.DUMMYFUNCTION("""COMPUTED_VALUE"""),2.88)</f>
        <v>2.88</v>
      </c>
      <c r="F12" s="2"/>
      <c r="G12" s="2"/>
      <c r="H12" s="2"/>
      <c r="I12" s="2"/>
    </row>
    <row r="13">
      <c r="A13" s="2">
        <f>IFERROR(__xludf.DUMMYFUNCTION("""COMPUTED_VALUE"""),199526.0)</f>
        <v>199526</v>
      </c>
      <c r="B13" s="2" t="str">
        <f>IFERROR(__xludf.DUMMYFUNCTION("""COMPUTED_VALUE"""),"History")</f>
        <v>History</v>
      </c>
      <c r="C13" s="2" t="str">
        <f>IFERROR(__xludf.DUMMYFUNCTION("""COMPUTED_VALUE"""),"Mystery")</f>
        <v>Mystery</v>
      </c>
      <c r="D13" s="2" t="str">
        <f>IFERROR(__xludf.DUMMYFUNCTION("""COMPUTED_VALUE"""),"Golden Quill Press")</f>
        <v>Golden Quill Press</v>
      </c>
      <c r="E13" s="2">
        <f>IFERROR(__xludf.DUMMYFUNCTION("""COMPUTED_VALUE"""),1.83)</f>
        <v>1.83</v>
      </c>
      <c r="F13" s="2"/>
      <c r="G13" s="2"/>
      <c r="H13" s="2"/>
      <c r="I13" s="2"/>
    </row>
    <row r="14">
      <c r="A14" s="2">
        <f>IFERROR(__xludf.DUMMYFUNCTION("""COMPUTED_VALUE"""),140581.0)</f>
        <v>140581</v>
      </c>
      <c r="B14" s="2" t="str">
        <f>IFERROR(__xludf.DUMMYFUNCTION("""COMPUTED_VALUE"""),"History")</f>
        <v>History</v>
      </c>
      <c r="C14" s="2" t="str">
        <f>IFERROR(__xludf.DUMMYFUNCTION("""COMPUTED_VALUE"""),"Mystery")</f>
        <v>Mystery</v>
      </c>
      <c r="D14" s="2" t="str">
        <f>IFERROR(__xludf.DUMMYFUNCTION("""COMPUTED_VALUE"""),"Golden Quill Press")</f>
        <v>Golden Quill Press</v>
      </c>
      <c r="E14" s="2">
        <f>IFERROR(__xludf.DUMMYFUNCTION("""COMPUTED_VALUE"""),4.04)</f>
        <v>4.04</v>
      </c>
      <c r="F14" s="2"/>
      <c r="G14" s="2"/>
      <c r="H14" s="2"/>
      <c r="I14" s="2"/>
    </row>
    <row r="15">
      <c r="A15" s="2">
        <f>IFERROR(__xludf.DUMMYFUNCTION("""COMPUTED_VALUE"""),118383.0)</f>
        <v>118383</v>
      </c>
      <c r="B15" s="2" t="str">
        <f>IFERROR(__xludf.DUMMYFUNCTION("""COMPUTED_VALUE"""),"History")</f>
        <v>History</v>
      </c>
      <c r="C15" s="2" t="str">
        <f>IFERROR(__xludf.DUMMYFUNCTION("""COMPUTED_VALUE"""),"Mystery")</f>
        <v>Mystery</v>
      </c>
      <c r="D15" s="2" t="str">
        <f>IFERROR(__xludf.DUMMYFUNCTION("""COMPUTED_VALUE"""),"Golden Quill Press")</f>
        <v>Golden Quill Press</v>
      </c>
      <c r="E15" s="2">
        <f>IFERROR(__xludf.DUMMYFUNCTION("""COMPUTED_VALUE"""),1.5)</f>
        <v>1.5</v>
      </c>
      <c r="F15" s="2"/>
      <c r="G15" s="2"/>
      <c r="H15" s="2"/>
      <c r="I15" s="2"/>
    </row>
    <row r="16">
      <c r="A16" s="2">
        <f>IFERROR(__xludf.DUMMYFUNCTION("""COMPUTED_VALUE"""),122262.0)</f>
        <v>122262</v>
      </c>
      <c r="B16" s="2" t="str">
        <f>IFERROR(__xludf.DUMMYFUNCTION("""COMPUTED_VALUE"""),"History")</f>
        <v>History</v>
      </c>
      <c r="C16" s="2" t="str">
        <f>IFERROR(__xludf.DUMMYFUNCTION("""COMPUTED_VALUE"""),"Mystery")</f>
        <v>Mystery</v>
      </c>
      <c r="D16" s="2" t="str">
        <f>IFERROR(__xludf.DUMMYFUNCTION("""COMPUTED_VALUE"""),"Golden Quill Press")</f>
        <v>Golden Quill Press</v>
      </c>
      <c r="E16" s="2">
        <f>IFERROR(__xludf.DUMMYFUNCTION("""COMPUTED_VALUE"""),2.65)</f>
        <v>2.65</v>
      </c>
      <c r="F16" s="2"/>
      <c r="G16" s="2"/>
      <c r="H16" s="2"/>
      <c r="I16" s="2"/>
    </row>
    <row r="17">
      <c r="A17" s="2">
        <f>IFERROR(__xludf.DUMMYFUNCTION("""COMPUTED_VALUE"""),141879.0)</f>
        <v>141879</v>
      </c>
      <c r="B17" s="2" t="str">
        <f>IFERROR(__xludf.DUMMYFUNCTION("""COMPUTED_VALUE"""),"History")</f>
        <v>History</v>
      </c>
      <c r="C17" s="2" t="str">
        <f>IFERROR(__xludf.DUMMYFUNCTION("""COMPUTED_VALUE"""),"Mystery")</f>
        <v>Mystery</v>
      </c>
      <c r="D17" s="2" t="str">
        <f>IFERROR(__xludf.DUMMYFUNCTION("""COMPUTED_VALUE"""),"Golden Quill Press")</f>
        <v>Golden Quill Press</v>
      </c>
      <c r="E17" s="2">
        <f>IFERROR(__xludf.DUMMYFUNCTION("""COMPUTED_VALUE"""),2.04)</f>
        <v>2.04</v>
      </c>
      <c r="F17" s="2"/>
      <c r="G17" s="2"/>
      <c r="H17" s="2"/>
      <c r="I17" s="2"/>
    </row>
    <row r="18">
      <c r="A18" s="2">
        <f>IFERROR(__xludf.DUMMYFUNCTION("""COMPUTED_VALUE"""),19826.0)</f>
        <v>19826</v>
      </c>
      <c r="B18" s="2" t="str">
        <f>IFERROR(__xludf.DUMMYFUNCTION("""COMPUTED_VALUE"""),"History")</f>
        <v>History</v>
      </c>
      <c r="C18" s="2" t="str">
        <f>IFERROR(__xludf.DUMMYFUNCTION("""COMPUTED_VALUE"""),"Thriller")</f>
        <v>Thriller</v>
      </c>
      <c r="D18" s="2" t="str">
        <f>IFERROR(__xludf.DUMMYFUNCTION("""COMPUTED_VALUE"""),"Harbor Light Books")</f>
        <v>Harbor Light Books</v>
      </c>
      <c r="E18" s="2">
        <f>IFERROR(__xludf.DUMMYFUNCTION("""COMPUTED_VALUE"""),2.88)</f>
        <v>2.88</v>
      </c>
      <c r="F18" s="2"/>
      <c r="G18" s="2"/>
      <c r="H18" s="2"/>
      <c r="I18" s="2"/>
    </row>
    <row r="19">
      <c r="A19" s="2">
        <f>IFERROR(__xludf.DUMMYFUNCTION("""COMPUTED_VALUE"""),93039.0)</f>
        <v>93039</v>
      </c>
      <c r="B19" s="2" t="str">
        <f>IFERROR(__xludf.DUMMYFUNCTION("""COMPUTED_VALUE"""),"History")</f>
        <v>History</v>
      </c>
      <c r="C19" s="2" t="str">
        <f>IFERROR(__xludf.DUMMYFUNCTION("""COMPUTED_VALUE"""),"Thriller")</f>
        <v>Thriller</v>
      </c>
      <c r="D19" s="2" t="str">
        <f>IFERROR(__xludf.DUMMYFUNCTION("""COMPUTED_VALUE"""),"Harbor Light Books")</f>
        <v>Harbor Light Books</v>
      </c>
      <c r="E19" s="2">
        <f>IFERROR(__xludf.DUMMYFUNCTION("""COMPUTED_VALUE"""),3.23)</f>
        <v>3.23</v>
      </c>
      <c r="F19" s="2"/>
      <c r="G19" s="2"/>
      <c r="H19" s="2"/>
      <c r="I19" s="2"/>
    </row>
    <row r="20">
      <c r="A20" s="2">
        <f>IFERROR(__xludf.DUMMYFUNCTION("""COMPUTED_VALUE"""),128213.0)</f>
        <v>128213</v>
      </c>
      <c r="B20" s="2" t="str">
        <f>IFERROR(__xludf.DUMMYFUNCTION("""COMPUTED_VALUE"""),"History")</f>
        <v>History</v>
      </c>
      <c r="C20" s="2" t="str">
        <f>IFERROR(__xludf.DUMMYFUNCTION("""COMPUTED_VALUE"""),"Thriller")</f>
        <v>Thriller</v>
      </c>
      <c r="D20" s="2" t="str">
        <f>IFERROR(__xludf.DUMMYFUNCTION("""COMPUTED_VALUE"""),"Harbor Light Books")</f>
        <v>Harbor Light Books</v>
      </c>
      <c r="E20" s="2">
        <f>IFERROR(__xludf.DUMMYFUNCTION("""COMPUTED_VALUE"""),4.72)</f>
        <v>4.72</v>
      </c>
      <c r="F20" s="2"/>
      <c r="G20" s="2"/>
      <c r="H20" s="2"/>
      <c r="I20" s="2"/>
    </row>
    <row r="21">
      <c r="A21" s="2">
        <f>IFERROR(__xludf.DUMMYFUNCTION("""COMPUTED_VALUE"""),83797.0)</f>
        <v>83797</v>
      </c>
      <c r="B21" s="2" t="str">
        <f>IFERROR(__xludf.DUMMYFUNCTION("""COMPUTED_VALUE"""),"History")</f>
        <v>History</v>
      </c>
      <c r="C21" s="2" t="str">
        <f>IFERROR(__xludf.DUMMYFUNCTION("""COMPUTED_VALUE"""),"Thriller")</f>
        <v>Thriller</v>
      </c>
      <c r="D21" s="2" t="str">
        <f>IFERROR(__xludf.DUMMYFUNCTION("""COMPUTED_VALUE"""),"Harbor Light Books")</f>
        <v>Harbor Light Books</v>
      </c>
      <c r="E21" s="2">
        <f>IFERROR(__xludf.DUMMYFUNCTION("""COMPUTED_VALUE"""),6.05)</f>
        <v>6.05</v>
      </c>
      <c r="F21" s="2"/>
      <c r="G21" s="2"/>
      <c r="H21" s="2"/>
      <c r="I21" s="2"/>
    </row>
    <row r="22">
      <c r="A22" s="2">
        <f>IFERROR(__xludf.DUMMYFUNCTION("""COMPUTED_VALUE"""),19831.0)</f>
        <v>19831</v>
      </c>
      <c r="B22" s="2" t="str">
        <f>IFERROR(__xludf.DUMMYFUNCTION("""COMPUTED_VALUE"""),"History")</f>
        <v>History</v>
      </c>
      <c r="C22" s="2" t="str">
        <f>IFERROR(__xludf.DUMMYFUNCTION("""COMPUTED_VALUE"""),"Thriller")</f>
        <v>Thriller</v>
      </c>
      <c r="D22" s="2" t="str">
        <f>IFERROR(__xludf.DUMMYFUNCTION("""COMPUTED_VALUE"""),"Harbor Light Books")</f>
        <v>Harbor Light Books</v>
      </c>
      <c r="E22" s="2">
        <f>IFERROR(__xludf.DUMMYFUNCTION("""COMPUTED_VALUE"""),3.86)</f>
        <v>3.86</v>
      </c>
      <c r="F22" s="2"/>
      <c r="G22" s="2"/>
      <c r="H22" s="2"/>
      <c r="I22" s="2"/>
    </row>
    <row r="23">
      <c r="A23" s="2">
        <f>IFERROR(__xludf.DUMMYFUNCTION("""COMPUTED_VALUE"""),93025.0)</f>
        <v>93025</v>
      </c>
      <c r="B23" s="2" t="str">
        <f>IFERROR(__xludf.DUMMYFUNCTION("""COMPUTED_VALUE"""),"History")</f>
        <v>History</v>
      </c>
      <c r="C23" s="2" t="str">
        <f>IFERROR(__xludf.DUMMYFUNCTION("""COMPUTED_VALUE"""),"Thriller")</f>
        <v>Thriller</v>
      </c>
      <c r="D23" s="2" t="str">
        <f>IFERROR(__xludf.DUMMYFUNCTION("""COMPUTED_VALUE"""),"Harbor Light Books")</f>
        <v>Harbor Light Books</v>
      </c>
      <c r="E23" s="2">
        <f>IFERROR(__xludf.DUMMYFUNCTION("""COMPUTED_VALUE"""),2.31)</f>
        <v>2.31</v>
      </c>
      <c r="F23" s="2"/>
      <c r="G23" s="2"/>
      <c r="H23" s="2"/>
      <c r="I23" s="2"/>
    </row>
    <row r="24">
      <c r="A24" s="2">
        <f>IFERROR(__xludf.DUMMYFUNCTION("""COMPUTED_VALUE"""),81624.0)</f>
        <v>81624</v>
      </c>
      <c r="B24" s="2" t="str">
        <f>IFERROR(__xludf.DUMMYFUNCTION("""COMPUTED_VALUE"""),"History")</f>
        <v>History</v>
      </c>
      <c r="C24" s="2" t="str">
        <f>IFERROR(__xludf.DUMMYFUNCTION("""COMPUTED_VALUE"""),"Thriller")</f>
        <v>Thriller</v>
      </c>
      <c r="D24" s="2" t="str">
        <f>IFERROR(__xludf.DUMMYFUNCTION("""COMPUTED_VALUE"""),"Harbor Light Books")</f>
        <v>Harbor Light Books</v>
      </c>
      <c r="E24" s="2">
        <f>IFERROR(__xludf.DUMMYFUNCTION("""COMPUTED_VALUE"""),7.35)</f>
        <v>7.35</v>
      </c>
      <c r="F24" s="2"/>
      <c r="G24" s="2"/>
      <c r="H24" s="2"/>
      <c r="I24" s="2"/>
    </row>
    <row r="25">
      <c r="A25" s="2">
        <f>IFERROR(__xludf.DUMMYFUNCTION("""COMPUTED_VALUE"""),92913.0)</f>
        <v>92913</v>
      </c>
      <c r="B25" s="2" t="str">
        <f>IFERROR(__xludf.DUMMYFUNCTION("""COMPUTED_VALUE"""),"History")</f>
        <v>History</v>
      </c>
      <c r="C25" s="2" t="str">
        <f>IFERROR(__xludf.DUMMYFUNCTION("""COMPUTED_VALUE"""),"Thriller")</f>
        <v>Thriller</v>
      </c>
      <c r="D25" s="2" t="str">
        <f>IFERROR(__xludf.DUMMYFUNCTION("""COMPUTED_VALUE"""),"Harbor Light Books")</f>
        <v>Harbor Light Books</v>
      </c>
      <c r="E25" s="2">
        <f>IFERROR(__xludf.DUMMYFUNCTION("""COMPUTED_VALUE"""),7.02)</f>
        <v>7.02</v>
      </c>
      <c r="F25" s="2"/>
      <c r="G25" s="2"/>
      <c r="H25" s="2"/>
      <c r="I25" s="2"/>
    </row>
    <row r="26">
      <c r="A26" s="2">
        <f>IFERROR(__xludf.DUMMYFUNCTION("""COMPUTED_VALUE"""),126983.0)</f>
        <v>126983</v>
      </c>
      <c r="B26" s="2" t="str">
        <f>IFERROR(__xludf.DUMMYFUNCTION("""COMPUTED_VALUE"""),"History")</f>
        <v>History</v>
      </c>
      <c r="C26" s="2" t="str">
        <f>IFERROR(__xludf.DUMMYFUNCTION("""COMPUTED_VALUE"""),"Thriller")</f>
        <v>Thriller</v>
      </c>
      <c r="D26" s="2" t="str">
        <f>IFERROR(__xludf.DUMMYFUNCTION("""COMPUTED_VALUE"""),"Harbor Light Books")</f>
        <v>Harbor Light Books</v>
      </c>
      <c r="E26" s="2">
        <f>IFERROR(__xludf.DUMMYFUNCTION("""COMPUTED_VALUE"""),2.69)</f>
        <v>2.69</v>
      </c>
      <c r="F26" s="2"/>
      <c r="G26" s="2"/>
      <c r="H26" s="2"/>
      <c r="I26" s="2"/>
    </row>
    <row r="27">
      <c r="A27" s="2">
        <f>IFERROR(__xludf.DUMMYFUNCTION("""COMPUTED_VALUE"""),118226.0)</f>
        <v>118226</v>
      </c>
      <c r="B27" s="2" t="str">
        <f>IFERROR(__xludf.DUMMYFUNCTION("""COMPUTED_VALUE"""),"History")</f>
        <v>History</v>
      </c>
      <c r="C27" s="2" t="str">
        <f>IFERROR(__xludf.DUMMYFUNCTION("""COMPUTED_VALUE"""),"Thriller")</f>
        <v>Thriller</v>
      </c>
      <c r="D27" s="2" t="str">
        <f>IFERROR(__xludf.DUMMYFUNCTION("""COMPUTED_VALUE"""),"Harbor Light Books")</f>
        <v>Harbor Light Books</v>
      </c>
      <c r="E27" s="2">
        <f>IFERROR(__xludf.DUMMYFUNCTION("""COMPUTED_VALUE"""),1.89)</f>
        <v>1.89</v>
      </c>
      <c r="F27" s="2"/>
      <c r="G27" s="2"/>
      <c r="H27" s="2"/>
      <c r="I27" s="2"/>
    </row>
    <row r="28">
      <c r="A28" s="2">
        <f>IFERROR(__xludf.DUMMYFUNCTION("""COMPUTED_VALUE"""),48618.0)</f>
        <v>48618</v>
      </c>
      <c r="B28" s="2" t="str">
        <f>IFERROR(__xludf.DUMMYFUNCTION("""COMPUTED_VALUE"""),"History")</f>
        <v>History</v>
      </c>
      <c r="C28" s="2" t="str">
        <f>IFERROR(__xludf.DUMMYFUNCTION("""COMPUTED_VALUE"""),"Thriller")</f>
        <v>Thriller</v>
      </c>
      <c r="D28" s="2" t="str">
        <f>IFERROR(__xludf.DUMMYFUNCTION("""COMPUTED_VALUE"""),"Harbor Light Books")</f>
        <v>Harbor Light Books</v>
      </c>
      <c r="E28" s="2">
        <f>IFERROR(__xludf.DUMMYFUNCTION("""COMPUTED_VALUE"""),2.39)</f>
        <v>2.39</v>
      </c>
      <c r="F28" s="2"/>
      <c r="G28" s="2"/>
      <c r="H28" s="2"/>
      <c r="I28" s="2"/>
    </row>
    <row r="29">
      <c r="A29" s="2">
        <f>IFERROR(__xludf.DUMMYFUNCTION("""COMPUTED_VALUE"""),93037.0)</f>
        <v>93037</v>
      </c>
      <c r="B29" s="2" t="str">
        <f>IFERROR(__xludf.DUMMYFUNCTION("""COMPUTED_VALUE"""),"History")</f>
        <v>History</v>
      </c>
      <c r="C29" s="2" t="str">
        <f>IFERROR(__xludf.DUMMYFUNCTION("""COMPUTED_VALUE"""),"Thriller")</f>
        <v>Thriller</v>
      </c>
      <c r="D29" s="2" t="str">
        <f>IFERROR(__xludf.DUMMYFUNCTION("""COMPUTED_VALUE"""),"Harbor Light Books")</f>
        <v>Harbor Light Books</v>
      </c>
      <c r="E29" s="2">
        <f>IFERROR(__xludf.DUMMYFUNCTION("""COMPUTED_VALUE"""),2.93)</f>
        <v>2.93</v>
      </c>
      <c r="F29" s="2"/>
      <c r="G29" s="2"/>
      <c r="H29" s="2"/>
      <c r="I29" s="2"/>
    </row>
    <row r="30">
      <c r="A30" s="2">
        <f>IFERROR(__xludf.DUMMYFUNCTION("""COMPUTED_VALUE"""),126984.0)</f>
        <v>126984</v>
      </c>
      <c r="B30" s="2" t="str">
        <f>IFERROR(__xludf.DUMMYFUNCTION("""COMPUTED_VALUE"""),"History")</f>
        <v>History</v>
      </c>
      <c r="C30" s="2" t="str">
        <f>IFERROR(__xludf.DUMMYFUNCTION("""COMPUTED_VALUE"""),"Thriller")</f>
        <v>Thriller</v>
      </c>
      <c r="D30" s="2" t="str">
        <f>IFERROR(__xludf.DUMMYFUNCTION("""COMPUTED_VALUE"""),"Harbor Light Books")</f>
        <v>Harbor Light Books</v>
      </c>
      <c r="E30" s="2">
        <f>IFERROR(__xludf.DUMMYFUNCTION("""COMPUTED_VALUE"""),2.02)</f>
        <v>2.02</v>
      </c>
      <c r="F30" s="2"/>
      <c r="G30" s="2"/>
      <c r="H30" s="2"/>
      <c r="I30" s="2"/>
    </row>
    <row r="31">
      <c r="A31" s="2">
        <f>IFERROR(__xludf.DUMMYFUNCTION("""COMPUTED_VALUE"""),47393.0)</f>
        <v>47393</v>
      </c>
      <c r="B31" s="2" t="str">
        <f>IFERROR(__xludf.DUMMYFUNCTION("""COMPUTED_VALUE"""),"History")</f>
        <v>History</v>
      </c>
      <c r="C31" s="2" t="str">
        <f>IFERROR(__xludf.DUMMYFUNCTION("""COMPUTED_VALUE"""),"Thriller")</f>
        <v>Thriller</v>
      </c>
      <c r="D31" s="2" t="str">
        <f>IFERROR(__xludf.DUMMYFUNCTION("""COMPUTED_VALUE"""),"Harbor Light Books")</f>
        <v>Harbor Light Books</v>
      </c>
      <c r="E31" s="2">
        <f>IFERROR(__xludf.DUMMYFUNCTION("""COMPUTED_VALUE"""),2.66)</f>
        <v>2.66</v>
      </c>
      <c r="F31" s="2"/>
      <c r="G31" s="2"/>
      <c r="H31" s="2"/>
      <c r="I31" s="2"/>
    </row>
    <row r="32">
      <c r="A32" s="2">
        <f>IFERROR(__xludf.DUMMYFUNCTION("""COMPUTED_VALUE"""),128214.0)</f>
        <v>128214</v>
      </c>
      <c r="B32" s="2" t="str">
        <f>IFERROR(__xludf.DUMMYFUNCTION("""COMPUTED_VALUE"""),"History")</f>
        <v>History</v>
      </c>
      <c r="C32" s="2" t="str">
        <f>IFERROR(__xludf.DUMMYFUNCTION("""COMPUTED_VALUE"""),"Thriller")</f>
        <v>Thriller</v>
      </c>
      <c r="D32" s="2" t="str">
        <f>IFERROR(__xludf.DUMMYFUNCTION("""COMPUTED_VALUE"""),"Harbor Light Books")</f>
        <v>Harbor Light Books</v>
      </c>
      <c r="E32" s="2">
        <f>IFERROR(__xludf.DUMMYFUNCTION("""COMPUTED_VALUE"""),4.35)</f>
        <v>4.35</v>
      </c>
      <c r="F32" s="2"/>
      <c r="G32" s="2"/>
      <c r="H32" s="2"/>
      <c r="I32" s="2"/>
    </row>
    <row r="33">
      <c r="A33" s="2">
        <f>IFERROR(__xludf.DUMMYFUNCTION("""COMPUTED_VALUE"""),83802.0)</f>
        <v>83802</v>
      </c>
      <c r="B33" s="2" t="str">
        <f>IFERROR(__xludf.DUMMYFUNCTION("""COMPUTED_VALUE"""),"History")</f>
        <v>History</v>
      </c>
      <c r="C33" s="2" t="str">
        <f>IFERROR(__xludf.DUMMYFUNCTION("""COMPUTED_VALUE"""),"Thriller")</f>
        <v>Thriller</v>
      </c>
      <c r="D33" s="2" t="str">
        <f>IFERROR(__xludf.DUMMYFUNCTION("""COMPUTED_VALUE"""),"Harbor Light Books")</f>
        <v>Harbor Light Books</v>
      </c>
      <c r="E33" s="2">
        <f>IFERROR(__xludf.DUMMYFUNCTION("""COMPUTED_VALUE"""),3.33)</f>
        <v>3.33</v>
      </c>
      <c r="F33" s="2"/>
      <c r="G33" s="2"/>
      <c r="H33" s="2"/>
      <c r="I33" s="2"/>
    </row>
    <row r="34">
      <c r="A34" s="2">
        <f>IFERROR(__xludf.DUMMYFUNCTION("""COMPUTED_VALUE"""),48625.0)</f>
        <v>48625</v>
      </c>
      <c r="B34" s="2" t="str">
        <f>IFERROR(__xludf.DUMMYFUNCTION("""COMPUTED_VALUE"""),"History")</f>
        <v>History</v>
      </c>
      <c r="C34" s="2" t="str">
        <f>IFERROR(__xludf.DUMMYFUNCTION("""COMPUTED_VALUE"""),"Thriller")</f>
        <v>Thriller</v>
      </c>
      <c r="D34" s="2" t="str">
        <f>IFERROR(__xludf.DUMMYFUNCTION("""COMPUTED_VALUE"""),"Harbor Light Books")</f>
        <v>Harbor Light Books</v>
      </c>
      <c r="E34" s="2">
        <f>IFERROR(__xludf.DUMMYFUNCTION("""COMPUTED_VALUE"""),4.12)</f>
        <v>4.12</v>
      </c>
      <c r="F34" s="2"/>
      <c r="G34" s="2"/>
      <c r="H34" s="2"/>
      <c r="I34" s="2"/>
    </row>
    <row r="35">
      <c r="A35" s="2">
        <f>IFERROR(__xludf.DUMMYFUNCTION("""COMPUTED_VALUE"""),83602.0)</f>
        <v>83602</v>
      </c>
      <c r="B35" s="2" t="str">
        <f>IFERROR(__xludf.DUMMYFUNCTION("""COMPUTED_VALUE"""),"History")</f>
        <v>History</v>
      </c>
      <c r="C35" s="2" t="str">
        <f>IFERROR(__xludf.DUMMYFUNCTION("""COMPUTED_VALUE"""),"Thriller")</f>
        <v>Thriller</v>
      </c>
      <c r="D35" s="2" t="str">
        <f>IFERROR(__xludf.DUMMYFUNCTION("""COMPUTED_VALUE"""),"Harbor Light Books")</f>
        <v>Harbor Light Books</v>
      </c>
      <c r="E35" s="2">
        <f>IFERROR(__xludf.DUMMYFUNCTION("""COMPUTED_VALUE"""),12.34)</f>
        <v>12.34</v>
      </c>
      <c r="F35" s="2"/>
      <c r="G35" s="2"/>
      <c r="H35" s="2"/>
      <c r="I35" s="2"/>
    </row>
    <row r="36">
      <c r="A36" s="2">
        <f>IFERROR(__xludf.DUMMYFUNCTION("""COMPUTED_VALUE"""),98867.0)</f>
        <v>98867</v>
      </c>
      <c r="B36" s="2" t="str">
        <f>IFERROR(__xludf.DUMMYFUNCTION("""COMPUTED_VALUE"""),"History")</f>
        <v>History</v>
      </c>
      <c r="C36" s="2" t="str">
        <f>IFERROR(__xludf.DUMMYFUNCTION("""COMPUTED_VALUE"""),"Thriller")</f>
        <v>Thriller</v>
      </c>
      <c r="D36" s="2" t="str">
        <f>IFERROR(__xludf.DUMMYFUNCTION("""COMPUTED_VALUE"""),"Ironwood Publishing")</f>
        <v>Ironwood Publishing</v>
      </c>
      <c r="E36" s="2">
        <f>IFERROR(__xludf.DUMMYFUNCTION("""COMPUTED_VALUE"""),4.2)</f>
        <v>4.2</v>
      </c>
      <c r="F36" s="2"/>
      <c r="G36" s="2"/>
      <c r="H36" s="2"/>
      <c r="I36" s="2"/>
    </row>
    <row r="37">
      <c r="A37" s="2">
        <f>IFERROR(__xludf.DUMMYFUNCTION("""COMPUTED_VALUE"""),127042.0)</f>
        <v>127042</v>
      </c>
      <c r="B37" s="2" t="str">
        <f>IFERROR(__xludf.DUMMYFUNCTION("""COMPUTED_VALUE"""),"History")</f>
        <v>History</v>
      </c>
      <c r="C37" s="2" t="str">
        <f>IFERROR(__xludf.DUMMYFUNCTION("""COMPUTED_VALUE"""),"Thriller")</f>
        <v>Thriller</v>
      </c>
      <c r="D37" s="2" t="str">
        <f>IFERROR(__xludf.DUMMYFUNCTION("""COMPUTED_VALUE"""),"Ironwood Publishing")</f>
        <v>Ironwood Publishing</v>
      </c>
      <c r="E37" s="2">
        <f>IFERROR(__xludf.DUMMYFUNCTION("""COMPUTED_VALUE"""),4.05)</f>
        <v>4.05</v>
      </c>
      <c r="F37" s="2"/>
      <c r="G37" s="2"/>
      <c r="H37" s="2"/>
      <c r="I37" s="2"/>
    </row>
    <row r="38">
      <c r="A38" s="2">
        <f>IFERROR(__xludf.DUMMYFUNCTION("""COMPUTED_VALUE"""),127241.0)</f>
        <v>127241</v>
      </c>
      <c r="B38" s="2" t="str">
        <f>IFERROR(__xludf.DUMMYFUNCTION("""COMPUTED_VALUE"""),"History")</f>
        <v>History</v>
      </c>
      <c r="C38" s="2" t="str">
        <f>IFERROR(__xludf.DUMMYFUNCTION("""COMPUTED_VALUE"""),"Thriller")</f>
        <v>Thriller</v>
      </c>
      <c r="D38" s="2" t="str">
        <f>IFERROR(__xludf.DUMMYFUNCTION("""COMPUTED_VALUE"""),"Maple Grove Press")</f>
        <v>Maple Grove Press</v>
      </c>
      <c r="E38" s="2">
        <f>IFERROR(__xludf.DUMMYFUNCTION("""COMPUTED_VALUE"""),12.24)</f>
        <v>12.24</v>
      </c>
      <c r="F38" s="2"/>
      <c r="G38" s="2"/>
      <c r="H38" s="2"/>
      <c r="I38" s="2"/>
    </row>
    <row r="39">
      <c r="A39" s="2">
        <f>IFERROR(__xludf.DUMMYFUNCTION("""COMPUTED_VALUE"""),118220.0)</f>
        <v>118220</v>
      </c>
      <c r="B39" s="2" t="str">
        <f>IFERROR(__xludf.DUMMYFUNCTION("""COMPUTED_VALUE"""),"History")</f>
        <v>History</v>
      </c>
      <c r="C39" s="2" t="str">
        <f>IFERROR(__xludf.DUMMYFUNCTION("""COMPUTED_VALUE"""),"Thriller")</f>
        <v>Thriller</v>
      </c>
      <c r="D39" s="2" t="str">
        <f>IFERROR(__xludf.DUMMYFUNCTION("""COMPUTED_VALUE"""),"Maple Grove Press")</f>
        <v>Maple Grove Press</v>
      </c>
      <c r="E39" s="2">
        <f>IFERROR(__xludf.DUMMYFUNCTION("""COMPUTED_VALUE"""),8.54)</f>
        <v>8.54</v>
      </c>
      <c r="F39" s="2"/>
      <c r="G39" s="2"/>
      <c r="H39" s="2"/>
      <c r="I39" s="2"/>
    </row>
    <row r="40">
      <c r="A40" s="2">
        <f>IFERROR(__xludf.DUMMYFUNCTION("""COMPUTED_VALUE"""),128216.0)</f>
        <v>128216</v>
      </c>
      <c r="B40" s="2" t="str">
        <f>IFERROR(__xludf.DUMMYFUNCTION("""COMPUTED_VALUE"""),"History")</f>
        <v>History</v>
      </c>
      <c r="C40" s="2" t="str">
        <f>IFERROR(__xludf.DUMMYFUNCTION("""COMPUTED_VALUE"""),"Thriller")</f>
        <v>Thriller</v>
      </c>
      <c r="D40" s="2" t="str">
        <f>IFERROR(__xludf.DUMMYFUNCTION("""COMPUTED_VALUE"""),"Maple Grove Press")</f>
        <v>Maple Grove Press</v>
      </c>
      <c r="E40" s="2">
        <f>IFERROR(__xludf.DUMMYFUNCTION("""COMPUTED_VALUE"""),12.08)</f>
        <v>12.08</v>
      </c>
      <c r="F40" s="2"/>
      <c r="G40" s="2"/>
      <c r="H40" s="2"/>
      <c r="I40" s="2"/>
    </row>
    <row r="41">
      <c r="A41" s="2">
        <f>IFERROR(__xludf.DUMMYFUNCTION("""COMPUTED_VALUE"""),93049.0)</f>
        <v>93049</v>
      </c>
      <c r="B41" s="2" t="str">
        <f>IFERROR(__xludf.DUMMYFUNCTION("""COMPUTED_VALUE"""),"History")</f>
        <v>History</v>
      </c>
      <c r="C41" s="2" t="str">
        <f>IFERROR(__xludf.DUMMYFUNCTION("""COMPUTED_VALUE"""),"Thriller")</f>
        <v>Thriller</v>
      </c>
      <c r="D41" s="2" t="str">
        <f>IFERROR(__xludf.DUMMYFUNCTION("""COMPUTED_VALUE"""),"Maple Grove Press")</f>
        <v>Maple Grove Press</v>
      </c>
      <c r="E41" s="2">
        <f>IFERROR(__xludf.DUMMYFUNCTION("""COMPUTED_VALUE"""),11.06)</f>
        <v>11.06</v>
      </c>
      <c r="F41" s="2"/>
      <c r="G41" s="2"/>
      <c r="H41" s="2"/>
      <c r="I41" s="2"/>
    </row>
    <row r="42">
      <c r="A42" s="2">
        <f>IFERROR(__xludf.DUMMYFUNCTION("""COMPUTED_VALUE"""),118216.0)</f>
        <v>118216</v>
      </c>
      <c r="B42" s="2" t="str">
        <f>IFERROR(__xludf.DUMMYFUNCTION("""COMPUTED_VALUE"""),"History")</f>
        <v>History</v>
      </c>
      <c r="C42" s="2" t="str">
        <f>IFERROR(__xludf.DUMMYFUNCTION("""COMPUTED_VALUE"""),"Thriller")</f>
        <v>Thriller</v>
      </c>
      <c r="D42" s="2" t="str">
        <f>IFERROR(__xludf.DUMMYFUNCTION("""COMPUTED_VALUE"""),"Maple Grove Press")</f>
        <v>Maple Grove Press</v>
      </c>
      <c r="E42" s="2">
        <f>IFERROR(__xludf.DUMMYFUNCTION("""COMPUTED_VALUE"""),6.52)</f>
        <v>6.52</v>
      </c>
      <c r="F42" s="2"/>
      <c r="G42" s="2"/>
      <c r="H42" s="2"/>
      <c r="I42" s="2"/>
    </row>
    <row r="43">
      <c r="A43" s="2">
        <f>IFERROR(__xludf.DUMMYFUNCTION("""COMPUTED_VALUE"""),118221.0)</f>
        <v>118221</v>
      </c>
      <c r="B43" s="2" t="str">
        <f>IFERROR(__xludf.DUMMYFUNCTION("""COMPUTED_VALUE"""),"History")</f>
        <v>History</v>
      </c>
      <c r="C43" s="2" t="str">
        <f>IFERROR(__xludf.DUMMYFUNCTION("""COMPUTED_VALUE"""),"Thriller")</f>
        <v>Thriller</v>
      </c>
      <c r="D43" s="2" t="str">
        <f>IFERROR(__xludf.DUMMYFUNCTION("""COMPUTED_VALUE"""),"Maple Grove Press")</f>
        <v>Maple Grove Press</v>
      </c>
      <c r="E43" s="2">
        <f>IFERROR(__xludf.DUMMYFUNCTION("""COMPUTED_VALUE"""),7.19)</f>
        <v>7.19</v>
      </c>
      <c r="F43" s="2"/>
      <c r="G43" s="2"/>
      <c r="H43" s="2"/>
      <c r="I43" s="2"/>
    </row>
    <row r="44">
      <c r="A44" s="2">
        <f>IFERROR(__xludf.DUMMYFUNCTION("""COMPUTED_VALUE"""),92900.0)</f>
        <v>92900</v>
      </c>
      <c r="B44" s="2" t="str">
        <f>IFERROR(__xludf.DUMMYFUNCTION("""COMPUTED_VALUE"""),"History")</f>
        <v>History</v>
      </c>
      <c r="C44" s="2" t="str">
        <f>IFERROR(__xludf.DUMMYFUNCTION("""COMPUTED_VALUE"""),"Thriller")</f>
        <v>Thriller</v>
      </c>
      <c r="D44" s="2" t="str">
        <f>IFERROR(__xludf.DUMMYFUNCTION("""COMPUTED_VALUE"""),"Maple Grove Press")</f>
        <v>Maple Grove Press</v>
      </c>
      <c r="E44" s="2">
        <f>IFERROR(__xludf.DUMMYFUNCTION("""COMPUTED_VALUE"""),6.25)</f>
        <v>6.25</v>
      </c>
      <c r="F44" s="2"/>
      <c r="G44" s="2"/>
      <c r="H44" s="2"/>
      <c r="I44" s="2"/>
    </row>
    <row r="45">
      <c r="A45" s="2">
        <f>IFERROR(__xludf.DUMMYFUNCTION("""COMPUTED_VALUE"""),118215.0)</f>
        <v>118215</v>
      </c>
      <c r="B45" s="2" t="str">
        <f>IFERROR(__xludf.DUMMYFUNCTION("""COMPUTED_VALUE"""),"History")</f>
        <v>History</v>
      </c>
      <c r="C45" s="2" t="str">
        <f>IFERROR(__xludf.DUMMYFUNCTION("""COMPUTED_VALUE"""),"Thriller")</f>
        <v>Thriller</v>
      </c>
      <c r="D45" s="2" t="str">
        <f>IFERROR(__xludf.DUMMYFUNCTION("""COMPUTED_VALUE"""),"Maple Grove Press")</f>
        <v>Maple Grove Press</v>
      </c>
      <c r="E45" s="2">
        <f>IFERROR(__xludf.DUMMYFUNCTION("""COMPUTED_VALUE"""),10.64)</f>
        <v>10.64</v>
      </c>
      <c r="F45" s="2"/>
      <c r="G45" s="2"/>
      <c r="H45" s="2"/>
      <c r="I45" s="2"/>
    </row>
    <row r="46">
      <c r="A46" s="2">
        <f>IFERROR(__xludf.DUMMYFUNCTION("""COMPUTED_VALUE"""),19832.0)</f>
        <v>19832</v>
      </c>
      <c r="B46" s="2" t="str">
        <f>IFERROR(__xludf.DUMMYFUNCTION("""COMPUTED_VALUE"""),"History")</f>
        <v>History</v>
      </c>
      <c r="C46" s="2" t="str">
        <f>IFERROR(__xludf.DUMMYFUNCTION("""COMPUTED_VALUE"""),"Thriller")</f>
        <v>Thriller</v>
      </c>
      <c r="D46" s="2" t="str">
        <f>IFERROR(__xludf.DUMMYFUNCTION("""COMPUTED_VALUE"""),"Maple Grove Press")</f>
        <v>Maple Grove Press</v>
      </c>
      <c r="E46" s="2">
        <f>IFERROR(__xludf.DUMMYFUNCTION("""COMPUTED_VALUE"""),7.29)</f>
        <v>7.29</v>
      </c>
      <c r="F46" s="2"/>
      <c r="G46" s="2"/>
      <c r="H46" s="2"/>
      <c r="I46" s="2"/>
    </row>
    <row r="47">
      <c r="A47" s="2">
        <f>IFERROR(__xludf.DUMMYFUNCTION("""COMPUTED_VALUE"""),93071.0)</f>
        <v>93071</v>
      </c>
      <c r="B47" s="2" t="str">
        <f>IFERROR(__xludf.DUMMYFUNCTION("""COMPUTED_VALUE"""),"History")</f>
        <v>History</v>
      </c>
      <c r="C47" s="2" t="str">
        <f>IFERROR(__xludf.DUMMYFUNCTION("""COMPUTED_VALUE"""),"Thriller")</f>
        <v>Thriller</v>
      </c>
      <c r="D47" s="2" t="str">
        <f>IFERROR(__xludf.DUMMYFUNCTION("""COMPUTED_VALUE"""),"Maple Grove Press")</f>
        <v>Maple Grove Press</v>
      </c>
      <c r="E47" s="2">
        <f>IFERROR(__xludf.DUMMYFUNCTION("""COMPUTED_VALUE"""),11.11)</f>
        <v>11.11</v>
      </c>
      <c r="F47" s="2"/>
      <c r="G47" s="2"/>
      <c r="H47" s="2"/>
      <c r="I47" s="2"/>
    </row>
    <row r="48">
      <c r="A48" s="2">
        <f>IFERROR(__xludf.DUMMYFUNCTION("""COMPUTED_VALUE"""),122395.0)</f>
        <v>122395</v>
      </c>
      <c r="B48" s="2" t="str">
        <f>IFERROR(__xludf.DUMMYFUNCTION("""COMPUTED_VALUE"""),"History")</f>
        <v>History</v>
      </c>
      <c r="C48" s="2" t="str">
        <f>IFERROR(__xludf.DUMMYFUNCTION("""COMPUTED_VALUE"""),"Thriller")</f>
        <v>Thriller</v>
      </c>
      <c r="D48" s="2" t="str">
        <f>IFERROR(__xludf.DUMMYFUNCTION("""COMPUTED_VALUE"""),"Maple Grove Press")</f>
        <v>Maple Grove Press</v>
      </c>
      <c r="E48" s="2">
        <f>IFERROR(__xludf.DUMMYFUNCTION("""COMPUTED_VALUE"""),11.53)</f>
        <v>11.53</v>
      </c>
      <c r="F48" s="2"/>
      <c r="G48" s="2"/>
      <c r="H48" s="2"/>
      <c r="I48" s="2"/>
    </row>
    <row r="49">
      <c r="A49" s="2">
        <f>IFERROR(__xludf.DUMMYFUNCTION("""COMPUTED_VALUE"""),116946.0)</f>
        <v>116946</v>
      </c>
      <c r="B49" s="2" t="str">
        <f>IFERROR(__xludf.DUMMYFUNCTION("""COMPUTED_VALUE"""),"History")</f>
        <v>History</v>
      </c>
      <c r="C49" s="2" t="str">
        <f>IFERROR(__xludf.DUMMYFUNCTION("""COMPUTED_VALUE"""),"Thriller")</f>
        <v>Thriller</v>
      </c>
      <c r="D49" s="2" t="str">
        <f>IFERROR(__xludf.DUMMYFUNCTION("""COMPUTED_VALUE"""),"Maple Grove Press")</f>
        <v>Maple Grove Press</v>
      </c>
      <c r="E49" s="2">
        <f>IFERROR(__xludf.DUMMYFUNCTION("""COMPUTED_VALUE"""),8.85)</f>
        <v>8.85</v>
      </c>
      <c r="F49" s="2"/>
      <c r="G49" s="2"/>
      <c r="H49" s="2"/>
      <c r="I49" s="2"/>
    </row>
    <row r="50">
      <c r="A50" s="2">
        <f>IFERROR(__xludf.DUMMYFUNCTION("""COMPUTED_VALUE"""),97538.0)</f>
        <v>97538</v>
      </c>
      <c r="B50" s="2" t="str">
        <f>IFERROR(__xludf.DUMMYFUNCTION("""COMPUTED_VALUE"""),"History")</f>
        <v>History</v>
      </c>
      <c r="C50" s="2" t="str">
        <f>IFERROR(__xludf.DUMMYFUNCTION("""COMPUTED_VALUE"""),"Thriller")</f>
        <v>Thriller</v>
      </c>
      <c r="D50" s="2" t="str">
        <f>IFERROR(__xludf.DUMMYFUNCTION("""COMPUTED_VALUE"""),"Maple Grove Press")</f>
        <v>Maple Grove Press</v>
      </c>
      <c r="E50" s="2">
        <f>IFERROR(__xludf.DUMMYFUNCTION("""COMPUTED_VALUE"""),6.99)</f>
        <v>6.99</v>
      </c>
      <c r="F50" s="2"/>
      <c r="G50" s="2"/>
      <c r="H50" s="2"/>
      <c r="I50" s="2"/>
    </row>
    <row r="51">
      <c r="A51" s="2">
        <f>IFERROR(__xludf.DUMMYFUNCTION("""COMPUTED_VALUE"""),127238.0)</f>
        <v>127238</v>
      </c>
      <c r="B51" s="2" t="str">
        <f>IFERROR(__xludf.DUMMYFUNCTION("""COMPUTED_VALUE"""),"History")</f>
        <v>History</v>
      </c>
      <c r="C51" s="2" t="str">
        <f>IFERROR(__xludf.DUMMYFUNCTION("""COMPUTED_VALUE"""),"Thriller")</f>
        <v>Thriller</v>
      </c>
      <c r="D51" s="2" t="str">
        <f>IFERROR(__xludf.DUMMYFUNCTION("""COMPUTED_VALUE"""),"Maple Grove Press")</f>
        <v>Maple Grove Press</v>
      </c>
      <c r="E51" s="2">
        <f>IFERROR(__xludf.DUMMYFUNCTION("""COMPUTED_VALUE"""),8.8)</f>
        <v>8.8</v>
      </c>
      <c r="F51" s="2"/>
      <c r="G51" s="2"/>
      <c r="H51" s="2"/>
      <c r="I51" s="2"/>
    </row>
    <row r="52">
      <c r="A52" s="2">
        <f>IFERROR(__xludf.DUMMYFUNCTION("""COMPUTED_VALUE"""),81646.0)</f>
        <v>81646</v>
      </c>
      <c r="B52" s="2" t="str">
        <f>IFERROR(__xludf.DUMMYFUNCTION("""COMPUTED_VALUE"""),"History")</f>
        <v>History</v>
      </c>
      <c r="C52" s="2" t="str">
        <f>IFERROR(__xludf.DUMMYFUNCTION("""COMPUTED_VALUE"""),"Thriller")</f>
        <v>Thriller</v>
      </c>
      <c r="D52" s="2" t="str">
        <f>IFERROR(__xludf.DUMMYFUNCTION("""COMPUTED_VALUE"""),"Maple Grove Press")</f>
        <v>Maple Grove Press</v>
      </c>
      <c r="E52" s="2">
        <f>IFERROR(__xludf.DUMMYFUNCTION("""COMPUTED_VALUE"""),8.45)</f>
        <v>8.45</v>
      </c>
      <c r="F52" s="2"/>
      <c r="G52" s="2"/>
      <c r="H52" s="2"/>
      <c r="I52" s="2"/>
    </row>
    <row r="53">
      <c r="A53" s="2">
        <f>IFERROR(__xludf.DUMMYFUNCTION("""COMPUTED_VALUE"""),81643.0)</f>
        <v>81643</v>
      </c>
      <c r="B53" s="2" t="str">
        <f>IFERROR(__xludf.DUMMYFUNCTION("""COMPUTED_VALUE"""),"History")</f>
        <v>History</v>
      </c>
      <c r="C53" s="2" t="str">
        <f>IFERROR(__xludf.DUMMYFUNCTION("""COMPUTED_VALUE"""),"Thriller")</f>
        <v>Thriller</v>
      </c>
      <c r="D53" s="2" t="str">
        <f>IFERROR(__xludf.DUMMYFUNCTION("""COMPUTED_VALUE"""),"Maple Grove Press")</f>
        <v>Maple Grove Press</v>
      </c>
      <c r="E53" s="2">
        <f>IFERROR(__xludf.DUMMYFUNCTION("""COMPUTED_VALUE"""),8.46)</f>
        <v>8.46</v>
      </c>
      <c r="F53" s="2"/>
      <c r="G53" s="2"/>
      <c r="H53" s="2"/>
      <c r="I53" s="2"/>
    </row>
    <row r="54">
      <c r="A54" s="2">
        <f>IFERROR(__xludf.DUMMYFUNCTION("""COMPUTED_VALUE"""),128215.0)</f>
        <v>128215</v>
      </c>
      <c r="B54" s="2" t="str">
        <f>IFERROR(__xludf.DUMMYFUNCTION("""COMPUTED_VALUE"""),"History")</f>
        <v>History</v>
      </c>
      <c r="C54" s="2" t="str">
        <f>IFERROR(__xludf.DUMMYFUNCTION("""COMPUTED_VALUE"""),"Thriller")</f>
        <v>Thriller</v>
      </c>
      <c r="D54" s="2" t="str">
        <f>IFERROR(__xludf.DUMMYFUNCTION("""COMPUTED_VALUE"""),"Maple Grove Press")</f>
        <v>Maple Grove Press</v>
      </c>
      <c r="E54" s="2">
        <f>IFERROR(__xludf.DUMMYFUNCTION("""COMPUTED_VALUE"""),11.73)</f>
        <v>11.73</v>
      </c>
      <c r="F54" s="2"/>
      <c r="G54" s="2"/>
      <c r="H54" s="2"/>
      <c r="I54" s="2"/>
    </row>
    <row r="55">
      <c r="A55" s="2">
        <f>IFERROR(__xludf.DUMMYFUNCTION("""COMPUTED_VALUE"""),108022.0)</f>
        <v>108022</v>
      </c>
      <c r="B55" s="2" t="str">
        <f>IFERROR(__xludf.DUMMYFUNCTION("""COMPUTED_VALUE"""),"History")</f>
        <v>History</v>
      </c>
      <c r="C55" s="2" t="str">
        <f>IFERROR(__xludf.DUMMYFUNCTION("""COMPUTED_VALUE"""),"Thriller")</f>
        <v>Thriller</v>
      </c>
      <c r="D55" s="2" t="str">
        <f>IFERROR(__xludf.DUMMYFUNCTION("""COMPUTED_VALUE"""),"Maple Grove Press")</f>
        <v>Maple Grove Press</v>
      </c>
      <c r="E55" s="2">
        <f>IFERROR(__xludf.DUMMYFUNCTION("""COMPUTED_VALUE"""),6.76)</f>
        <v>6.76</v>
      </c>
      <c r="F55" s="2"/>
      <c r="G55" s="2"/>
      <c r="H55" s="2"/>
      <c r="I55" s="2"/>
    </row>
    <row r="56">
      <c r="A56" s="2">
        <f>IFERROR(__xludf.DUMMYFUNCTION("""COMPUTED_VALUE"""),81647.0)</f>
        <v>81647</v>
      </c>
      <c r="B56" s="2" t="str">
        <f>IFERROR(__xludf.DUMMYFUNCTION("""COMPUTED_VALUE"""),"History")</f>
        <v>History</v>
      </c>
      <c r="C56" s="2" t="str">
        <f>IFERROR(__xludf.DUMMYFUNCTION("""COMPUTED_VALUE"""),"Thriller")</f>
        <v>Thriller</v>
      </c>
      <c r="D56" s="2" t="str">
        <f>IFERROR(__xludf.DUMMYFUNCTION("""COMPUTED_VALUE"""),"Maple Grove Press")</f>
        <v>Maple Grove Press</v>
      </c>
      <c r="E56" s="2">
        <f>IFERROR(__xludf.DUMMYFUNCTION("""COMPUTED_VALUE"""),8.75)</f>
        <v>8.75</v>
      </c>
      <c r="F56" s="2"/>
      <c r="G56" s="2"/>
      <c r="H56" s="2"/>
      <c r="I56" s="2"/>
    </row>
    <row r="57">
      <c r="A57" s="2">
        <f>IFERROR(__xludf.DUMMYFUNCTION("""COMPUTED_VALUE"""),83603.0)</f>
        <v>83603</v>
      </c>
      <c r="B57" s="2" t="str">
        <f>IFERROR(__xludf.DUMMYFUNCTION("""COMPUTED_VALUE"""),"History")</f>
        <v>History</v>
      </c>
      <c r="C57" s="2" t="str">
        <f>IFERROR(__xludf.DUMMYFUNCTION("""COMPUTED_VALUE"""),"Thriller")</f>
        <v>Thriller</v>
      </c>
      <c r="D57" s="2" t="str">
        <f>IFERROR(__xludf.DUMMYFUNCTION("""COMPUTED_VALUE"""),"Maple Grove Press")</f>
        <v>Maple Grove Press</v>
      </c>
      <c r="E57" s="2">
        <f>IFERROR(__xludf.DUMMYFUNCTION("""COMPUTED_VALUE"""),12.18)</f>
        <v>12.18</v>
      </c>
      <c r="F57" s="2"/>
      <c r="G57" s="2"/>
      <c r="H57" s="2"/>
      <c r="I57" s="2"/>
    </row>
    <row r="58">
      <c r="A58" s="2">
        <f>IFERROR(__xludf.DUMMYFUNCTION("""COMPUTED_VALUE"""),118219.0)</f>
        <v>118219</v>
      </c>
      <c r="B58" s="2" t="str">
        <f>IFERROR(__xludf.DUMMYFUNCTION("""COMPUTED_VALUE"""),"History")</f>
        <v>History</v>
      </c>
      <c r="C58" s="2" t="str">
        <f>IFERROR(__xludf.DUMMYFUNCTION("""COMPUTED_VALUE"""),"Thriller")</f>
        <v>Thriller</v>
      </c>
      <c r="D58" s="2" t="str">
        <f>IFERROR(__xludf.DUMMYFUNCTION("""COMPUTED_VALUE"""),"Maple Grove Press")</f>
        <v>Maple Grove Press</v>
      </c>
      <c r="E58" s="2">
        <f>IFERROR(__xludf.DUMMYFUNCTION("""COMPUTED_VALUE"""),8.81)</f>
        <v>8.81</v>
      </c>
      <c r="F58" s="2"/>
      <c r="G58" s="2"/>
      <c r="H58" s="2"/>
      <c r="I58" s="2"/>
    </row>
    <row r="59">
      <c r="A59" s="2">
        <f>IFERROR(__xludf.DUMMYFUNCTION("""COMPUTED_VALUE"""),120952.0)</f>
        <v>120952</v>
      </c>
      <c r="B59" s="2" t="str">
        <f>IFERROR(__xludf.DUMMYFUNCTION("""COMPUTED_VALUE"""),"History")</f>
        <v>History</v>
      </c>
      <c r="C59" s="2" t="str">
        <f>IFERROR(__xludf.DUMMYFUNCTION("""COMPUTED_VALUE"""),"Thriller")</f>
        <v>Thriller</v>
      </c>
      <c r="D59" s="2" t="str">
        <f>IFERROR(__xludf.DUMMYFUNCTION("""COMPUTED_VALUE"""),"Cedar Hill Books")</f>
        <v>Cedar Hill Books</v>
      </c>
      <c r="E59" s="2">
        <f>IFERROR(__xludf.DUMMYFUNCTION("""COMPUTED_VALUE"""),3.05)</f>
        <v>3.05</v>
      </c>
      <c r="F59" s="2"/>
      <c r="G59" s="2"/>
      <c r="H59" s="2"/>
      <c r="I59" s="2"/>
    </row>
    <row r="60">
      <c r="A60" s="2">
        <f>IFERROR(__xludf.DUMMYFUNCTION("""COMPUTED_VALUE"""),81658.0)</f>
        <v>81658</v>
      </c>
      <c r="B60" s="2" t="str">
        <f>IFERROR(__xludf.DUMMYFUNCTION("""COMPUTED_VALUE"""),"History")</f>
        <v>History</v>
      </c>
      <c r="C60" s="2" t="str">
        <f>IFERROR(__xludf.DUMMYFUNCTION("""COMPUTED_VALUE"""),"Thriller")</f>
        <v>Thriller</v>
      </c>
      <c r="D60" s="2" t="str">
        <f>IFERROR(__xludf.DUMMYFUNCTION("""COMPUTED_VALUE"""),"Cedar Hill Books")</f>
        <v>Cedar Hill Books</v>
      </c>
      <c r="E60" s="2">
        <f>IFERROR(__xludf.DUMMYFUNCTION("""COMPUTED_VALUE"""),5.24)</f>
        <v>5.24</v>
      </c>
      <c r="F60" s="2"/>
      <c r="G60" s="2"/>
      <c r="H60" s="2"/>
      <c r="I60" s="2"/>
    </row>
    <row r="61">
      <c r="A61" s="2">
        <f>IFERROR(__xludf.DUMMYFUNCTION("""COMPUTED_VALUE"""),93047.0)</f>
        <v>93047</v>
      </c>
      <c r="B61" s="2" t="str">
        <f>IFERROR(__xludf.DUMMYFUNCTION("""COMPUTED_VALUE"""),"History")</f>
        <v>History</v>
      </c>
      <c r="C61" s="2" t="str">
        <f>IFERROR(__xludf.DUMMYFUNCTION("""COMPUTED_VALUE"""),"Thriller")</f>
        <v>Thriller</v>
      </c>
      <c r="D61" s="2" t="str">
        <f>IFERROR(__xludf.DUMMYFUNCTION("""COMPUTED_VALUE"""),"Cedar Hill Books")</f>
        <v>Cedar Hill Books</v>
      </c>
      <c r="E61" s="2">
        <f>IFERROR(__xludf.DUMMYFUNCTION("""COMPUTED_VALUE"""),3.53)</f>
        <v>3.53</v>
      </c>
      <c r="F61" s="2"/>
      <c r="G61" s="2"/>
      <c r="H61" s="2"/>
      <c r="I61" s="2"/>
    </row>
    <row r="62">
      <c r="A62" s="2">
        <f>IFERROR(__xludf.DUMMYFUNCTION("""COMPUTED_VALUE"""),83807.0)</f>
        <v>83807</v>
      </c>
      <c r="B62" s="2" t="str">
        <f>IFERROR(__xludf.DUMMYFUNCTION("""COMPUTED_VALUE"""),"History")</f>
        <v>History</v>
      </c>
      <c r="C62" s="2" t="str">
        <f>IFERROR(__xludf.DUMMYFUNCTION("""COMPUTED_VALUE"""),"Thriller")</f>
        <v>Thriller</v>
      </c>
      <c r="D62" s="2" t="str">
        <f>IFERROR(__xludf.DUMMYFUNCTION("""COMPUTED_VALUE"""),"Cedar Hill Books")</f>
        <v>Cedar Hill Books</v>
      </c>
      <c r="E62" s="2">
        <f>IFERROR(__xludf.DUMMYFUNCTION("""COMPUTED_VALUE"""),3.72)</f>
        <v>3.72</v>
      </c>
      <c r="F62" s="2"/>
      <c r="G62" s="2"/>
      <c r="H62" s="2"/>
      <c r="I62" s="2"/>
    </row>
    <row r="63">
      <c r="A63" s="2">
        <f>IFERROR(__xludf.DUMMYFUNCTION("""COMPUTED_VALUE"""),92915.0)</f>
        <v>92915</v>
      </c>
      <c r="B63" s="2" t="str">
        <f>IFERROR(__xludf.DUMMYFUNCTION("""COMPUTED_VALUE"""),"History")</f>
        <v>History</v>
      </c>
      <c r="C63" s="2" t="str">
        <f>IFERROR(__xludf.DUMMYFUNCTION("""COMPUTED_VALUE"""),"Thriller")</f>
        <v>Thriller</v>
      </c>
      <c r="D63" s="2" t="str">
        <f>IFERROR(__xludf.DUMMYFUNCTION("""COMPUTED_VALUE"""),"Cedar Hill Books")</f>
        <v>Cedar Hill Books</v>
      </c>
      <c r="E63" s="2">
        <f>IFERROR(__xludf.DUMMYFUNCTION("""COMPUTED_VALUE"""),6.35)</f>
        <v>6.35</v>
      </c>
      <c r="F63" s="2"/>
      <c r="G63" s="2"/>
      <c r="H63" s="2"/>
      <c r="I63" s="2"/>
    </row>
    <row r="64">
      <c r="A64" s="2">
        <f>IFERROR(__xludf.DUMMYFUNCTION("""COMPUTED_VALUE"""),81653.0)</f>
        <v>81653</v>
      </c>
      <c r="B64" s="2" t="str">
        <f>IFERROR(__xludf.DUMMYFUNCTION("""COMPUTED_VALUE"""),"History")</f>
        <v>History</v>
      </c>
      <c r="C64" s="2" t="str">
        <f>IFERROR(__xludf.DUMMYFUNCTION("""COMPUTED_VALUE"""),"Thriller")</f>
        <v>Thriller</v>
      </c>
      <c r="D64" s="2" t="str">
        <f>IFERROR(__xludf.DUMMYFUNCTION("""COMPUTED_VALUE"""),"Cedar Hill Books")</f>
        <v>Cedar Hill Books</v>
      </c>
      <c r="E64" s="2">
        <f>IFERROR(__xludf.DUMMYFUNCTION("""COMPUTED_VALUE"""),4.3)</f>
        <v>4.3</v>
      </c>
      <c r="F64" s="2"/>
      <c r="G64" s="2"/>
      <c r="H64" s="2"/>
      <c r="I64" s="2"/>
    </row>
    <row r="65">
      <c r="A65" s="2">
        <f>IFERROR(__xludf.DUMMYFUNCTION("""COMPUTED_VALUE"""),81618.0)</f>
        <v>81618</v>
      </c>
      <c r="B65" s="2" t="str">
        <f>IFERROR(__xludf.DUMMYFUNCTION("""COMPUTED_VALUE"""),"History")</f>
        <v>History</v>
      </c>
      <c r="C65" s="2" t="str">
        <f>IFERROR(__xludf.DUMMYFUNCTION("""COMPUTED_VALUE"""),"Thriller")</f>
        <v>Thriller</v>
      </c>
      <c r="D65" s="2" t="str">
        <f>IFERROR(__xludf.DUMMYFUNCTION("""COMPUTED_VALUE"""),"Cedar Hill Books")</f>
        <v>Cedar Hill Books</v>
      </c>
      <c r="E65" s="2">
        <f>IFERROR(__xludf.DUMMYFUNCTION("""COMPUTED_VALUE"""),3.55)</f>
        <v>3.55</v>
      </c>
      <c r="F65" s="2"/>
      <c r="G65" s="2"/>
      <c r="H65" s="2"/>
      <c r="I65" s="2"/>
    </row>
    <row r="66">
      <c r="A66" s="2">
        <f>IFERROR(__xludf.DUMMYFUNCTION("""COMPUTED_VALUE"""),118241.0)</f>
        <v>118241</v>
      </c>
      <c r="B66" s="2" t="str">
        <f>IFERROR(__xludf.DUMMYFUNCTION("""COMPUTED_VALUE"""),"History")</f>
        <v>History</v>
      </c>
      <c r="C66" s="2" t="str">
        <f>IFERROR(__xludf.DUMMYFUNCTION("""COMPUTED_VALUE"""),"Thriller")</f>
        <v>Thriller</v>
      </c>
      <c r="D66" s="2" t="str">
        <f>IFERROR(__xludf.DUMMYFUNCTION("""COMPUTED_VALUE"""),"Willow Creek Publishing")</f>
        <v>Willow Creek Publishing</v>
      </c>
      <c r="E66" s="2">
        <f>IFERROR(__xludf.DUMMYFUNCTION("""COMPUTED_VALUE"""),2.33)</f>
        <v>2.33</v>
      </c>
      <c r="F66" s="2"/>
      <c r="G66" s="2"/>
      <c r="H66" s="2"/>
      <c r="I66" s="2"/>
    </row>
    <row r="67">
      <c r="A67" s="2">
        <f>IFERROR(__xludf.DUMMYFUNCTION("""COMPUTED_VALUE"""),48634.0)</f>
        <v>48634</v>
      </c>
      <c r="B67" s="2" t="str">
        <f>IFERROR(__xludf.DUMMYFUNCTION("""COMPUTED_VALUE"""),"History")</f>
        <v>History</v>
      </c>
      <c r="C67" s="2" t="str">
        <f>IFERROR(__xludf.DUMMYFUNCTION("""COMPUTED_VALUE"""),"Thriller")</f>
        <v>Thriller</v>
      </c>
      <c r="D67" s="2" t="str">
        <f>IFERROR(__xludf.DUMMYFUNCTION("""COMPUTED_VALUE"""),"Willow Creek Publishing")</f>
        <v>Willow Creek Publishing</v>
      </c>
      <c r="E67" s="2">
        <f>IFERROR(__xludf.DUMMYFUNCTION("""COMPUTED_VALUE"""),3.0)</f>
        <v>3</v>
      </c>
      <c r="F67" s="2"/>
      <c r="G67" s="2"/>
      <c r="H67" s="2"/>
      <c r="I67" s="2"/>
    </row>
    <row r="68">
      <c r="A68" s="2">
        <f>IFERROR(__xludf.DUMMYFUNCTION("""COMPUTED_VALUE"""),48636.0)</f>
        <v>48636</v>
      </c>
      <c r="B68" s="2" t="str">
        <f>IFERROR(__xludf.DUMMYFUNCTION("""COMPUTED_VALUE"""),"History")</f>
        <v>History</v>
      </c>
      <c r="C68" s="2" t="str">
        <f>IFERROR(__xludf.DUMMYFUNCTION("""COMPUTED_VALUE"""),"Thriller")</f>
        <v>Thriller</v>
      </c>
      <c r="D68" s="2" t="str">
        <f>IFERROR(__xludf.DUMMYFUNCTION("""COMPUTED_VALUE"""),"Willow Creek Publishing")</f>
        <v>Willow Creek Publishing</v>
      </c>
      <c r="E68" s="2">
        <f>IFERROR(__xludf.DUMMYFUNCTION("""COMPUTED_VALUE"""),3.02)</f>
        <v>3.02</v>
      </c>
      <c r="F68" s="2"/>
      <c r="G68" s="2"/>
      <c r="H68" s="2"/>
      <c r="I68" s="2"/>
    </row>
    <row r="69">
      <c r="A69" s="2">
        <f>IFERROR(__xludf.DUMMYFUNCTION("""COMPUTED_VALUE"""),48629.0)</f>
        <v>48629</v>
      </c>
      <c r="B69" s="2" t="str">
        <f>IFERROR(__xludf.DUMMYFUNCTION("""COMPUTED_VALUE"""),"History")</f>
        <v>History</v>
      </c>
      <c r="C69" s="2" t="str">
        <f>IFERROR(__xludf.DUMMYFUNCTION("""COMPUTED_VALUE"""),"Thriller")</f>
        <v>Thriller</v>
      </c>
      <c r="D69" s="2" t="str">
        <f>IFERROR(__xludf.DUMMYFUNCTION("""COMPUTED_VALUE"""),"Willow Creek Publishing")</f>
        <v>Willow Creek Publishing</v>
      </c>
      <c r="E69" s="2">
        <f>IFERROR(__xludf.DUMMYFUNCTION("""COMPUTED_VALUE"""),2.63)</f>
        <v>2.63</v>
      </c>
      <c r="F69" s="2"/>
      <c r="G69" s="2"/>
      <c r="H69" s="2"/>
      <c r="I69" s="2"/>
    </row>
    <row r="70">
      <c r="A70" s="2">
        <f>IFERROR(__xludf.DUMMYFUNCTION("""COMPUTED_VALUE"""),47400.0)</f>
        <v>47400</v>
      </c>
      <c r="B70" s="2" t="str">
        <f>IFERROR(__xludf.DUMMYFUNCTION("""COMPUTED_VALUE"""),"History")</f>
        <v>History</v>
      </c>
      <c r="C70" s="2" t="str">
        <f>IFERROR(__xludf.DUMMYFUNCTION("""COMPUTED_VALUE"""),"Thriller")</f>
        <v>Thriller</v>
      </c>
      <c r="D70" s="2" t="str">
        <f>IFERROR(__xludf.DUMMYFUNCTION("""COMPUTED_VALUE"""),"Willow Creek Publishing")</f>
        <v>Willow Creek Publishing</v>
      </c>
      <c r="E70" s="2">
        <f>IFERROR(__xludf.DUMMYFUNCTION("""COMPUTED_VALUE"""),2.13)</f>
        <v>2.13</v>
      </c>
      <c r="F70" s="2"/>
      <c r="G70" s="2"/>
      <c r="H70" s="2"/>
      <c r="I70" s="2"/>
    </row>
    <row r="71">
      <c r="A71" s="2">
        <f>IFERROR(__xludf.DUMMYFUNCTION("""COMPUTED_VALUE"""),111237.0)</f>
        <v>111237</v>
      </c>
      <c r="B71" s="2" t="str">
        <f>IFERROR(__xludf.DUMMYFUNCTION("""COMPUTED_VALUE"""),"History")</f>
        <v>History</v>
      </c>
      <c r="C71" s="2" t="str">
        <f>IFERROR(__xludf.DUMMYFUNCTION("""COMPUTED_VALUE"""),"Thriller")</f>
        <v>Thriller</v>
      </c>
      <c r="D71" s="2" t="str">
        <f>IFERROR(__xludf.DUMMYFUNCTION("""COMPUTED_VALUE"""),"Willow Creek Publishing")</f>
        <v>Willow Creek Publishing</v>
      </c>
      <c r="E71" s="2">
        <f>IFERROR(__xludf.DUMMYFUNCTION("""COMPUTED_VALUE"""),4.21)</f>
        <v>4.21</v>
      </c>
      <c r="F71" s="2"/>
      <c r="G71" s="2"/>
      <c r="H71" s="2"/>
      <c r="I71" s="2"/>
    </row>
    <row r="72">
      <c r="A72" s="2">
        <f>IFERROR(__xludf.DUMMYFUNCTION("""COMPUTED_VALUE"""),18042.0)</f>
        <v>18042</v>
      </c>
      <c r="B72" s="2" t="str">
        <f>IFERROR(__xludf.DUMMYFUNCTION("""COMPUTED_VALUE"""),"History")</f>
        <v>History</v>
      </c>
      <c r="C72" s="2" t="str">
        <f>IFERROR(__xludf.DUMMYFUNCTION("""COMPUTED_VALUE"""),"Thriller")</f>
        <v>Thriller</v>
      </c>
      <c r="D72" s="2" t="str">
        <f>IFERROR(__xludf.DUMMYFUNCTION("""COMPUTED_VALUE"""),"Bright Horizon Press")</f>
        <v>Bright Horizon Press</v>
      </c>
      <c r="E72" s="2">
        <f>IFERROR(__xludf.DUMMYFUNCTION("""COMPUTED_VALUE"""),3.5)</f>
        <v>3.5</v>
      </c>
      <c r="F72" s="2"/>
      <c r="G72" s="2"/>
      <c r="H72" s="2"/>
      <c r="I72" s="2"/>
    </row>
    <row r="73">
      <c r="A73" s="2">
        <f>IFERROR(__xludf.DUMMYFUNCTION("""COMPUTED_VALUE"""),114978.0)</f>
        <v>114978</v>
      </c>
      <c r="B73" s="2" t="str">
        <f>IFERROR(__xludf.DUMMYFUNCTION("""COMPUTED_VALUE"""),"History")</f>
        <v>History</v>
      </c>
      <c r="C73" s="2" t="str">
        <f>IFERROR(__xludf.DUMMYFUNCTION("""COMPUTED_VALUE"""),"Thriller")</f>
        <v>Thriller</v>
      </c>
      <c r="D73" s="2" t="str">
        <f>IFERROR(__xludf.DUMMYFUNCTION("""COMPUTED_VALUE"""),"Bright Horizon Press")</f>
        <v>Bright Horizon Press</v>
      </c>
      <c r="E73" s="2">
        <f>IFERROR(__xludf.DUMMYFUNCTION("""COMPUTED_VALUE"""),4.41)</f>
        <v>4.41</v>
      </c>
      <c r="F73" s="2"/>
      <c r="G73" s="2"/>
      <c r="H73" s="2"/>
      <c r="I73" s="2"/>
    </row>
    <row r="74">
      <c r="A74" s="2">
        <f>IFERROR(__xludf.DUMMYFUNCTION("""COMPUTED_VALUE"""),82980.0)</f>
        <v>82980</v>
      </c>
      <c r="B74" s="2" t="str">
        <f>IFERROR(__xludf.DUMMYFUNCTION("""COMPUTED_VALUE"""),"History")</f>
        <v>History</v>
      </c>
      <c r="C74" s="2" t="str">
        <f>IFERROR(__xludf.DUMMYFUNCTION("""COMPUTED_VALUE"""),"Thriller")</f>
        <v>Thriller</v>
      </c>
      <c r="D74" s="2" t="str">
        <f>IFERROR(__xludf.DUMMYFUNCTION("""COMPUTED_VALUE"""),"Bright Horizon Press")</f>
        <v>Bright Horizon Press</v>
      </c>
      <c r="E74" s="2">
        <f>IFERROR(__xludf.DUMMYFUNCTION("""COMPUTED_VALUE"""),2.29)</f>
        <v>2.29</v>
      </c>
      <c r="F74" s="2"/>
      <c r="G74" s="2"/>
      <c r="H74" s="2"/>
      <c r="I74" s="2"/>
    </row>
    <row r="75">
      <c r="A75" s="2">
        <f>IFERROR(__xludf.DUMMYFUNCTION("""COMPUTED_VALUE"""),83093.0)</f>
        <v>83093</v>
      </c>
      <c r="B75" s="2" t="str">
        <f>IFERROR(__xludf.DUMMYFUNCTION("""COMPUTED_VALUE"""),"History")</f>
        <v>History</v>
      </c>
      <c r="C75" s="2" t="str">
        <f>IFERROR(__xludf.DUMMYFUNCTION("""COMPUTED_VALUE"""),"Thriller")</f>
        <v>Thriller</v>
      </c>
      <c r="D75" s="2" t="str">
        <f>IFERROR(__xludf.DUMMYFUNCTION("""COMPUTED_VALUE"""),"Bright Horizon Press")</f>
        <v>Bright Horizon Press</v>
      </c>
      <c r="E75" s="2">
        <f>IFERROR(__xludf.DUMMYFUNCTION("""COMPUTED_VALUE"""),4.19)</f>
        <v>4.19</v>
      </c>
      <c r="F75" s="2"/>
      <c r="G75" s="2"/>
      <c r="H75" s="2"/>
      <c r="I75" s="2"/>
    </row>
    <row r="76">
      <c r="A76" s="2">
        <f>IFERROR(__xludf.DUMMYFUNCTION("""COMPUTED_VALUE"""),18134.0)</f>
        <v>18134</v>
      </c>
      <c r="B76" s="2" t="str">
        <f>IFERROR(__xludf.DUMMYFUNCTION("""COMPUTED_VALUE"""),"History")</f>
        <v>History</v>
      </c>
      <c r="C76" s="2" t="str">
        <f>IFERROR(__xludf.DUMMYFUNCTION("""COMPUTED_VALUE"""),"Thriller")</f>
        <v>Thriller</v>
      </c>
      <c r="D76" s="2" t="str">
        <f>IFERROR(__xludf.DUMMYFUNCTION("""COMPUTED_VALUE"""),"Bright Horizon Press")</f>
        <v>Bright Horizon Press</v>
      </c>
      <c r="E76" s="2">
        <f>IFERROR(__xludf.DUMMYFUNCTION("""COMPUTED_VALUE"""),3.99)</f>
        <v>3.99</v>
      </c>
      <c r="F76" s="2"/>
      <c r="G76" s="2"/>
      <c r="H76" s="2"/>
      <c r="I76" s="2"/>
    </row>
    <row r="77">
      <c r="A77" s="2">
        <f>IFERROR(__xludf.DUMMYFUNCTION("""COMPUTED_VALUE"""),107857.0)</f>
        <v>107857</v>
      </c>
      <c r="B77" s="2" t="str">
        <f>IFERROR(__xludf.DUMMYFUNCTION("""COMPUTED_VALUE"""),"History")</f>
        <v>History</v>
      </c>
      <c r="C77" s="2" t="str">
        <f>IFERROR(__xludf.DUMMYFUNCTION("""COMPUTED_VALUE"""),"Thriller")</f>
        <v>Thriller</v>
      </c>
      <c r="D77" s="2" t="str">
        <f>IFERROR(__xludf.DUMMYFUNCTION("""COMPUTED_VALUE"""),"Bright Horizon Press")</f>
        <v>Bright Horizon Press</v>
      </c>
      <c r="E77" s="2">
        <f>IFERROR(__xludf.DUMMYFUNCTION("""COMPUTED_VALUE"""),3.99)</f>
        <v>3.99</v>
      </c>
      <c r="F77" s="2"/>
      <c r="G77" s="2"/>
      <c r="H77" s="2"/>
      <c r="I77" s="2"/>
    </row>
    <row r="78">
      <c r="A78" s="2">
        <f>IFERROR(__xludf.DUMMYFUNCTION("""COMPUTED_VALUE"""),18136.0)</f>
        <v>18136</v>
      </c>
      <c r="B78" s="2" t="str">
        <f>IFERROR(__xludf.DUMMYFUNCTION("""COMPUTED_VALUE"""),"History")</f>
        <v>History</v>
      </c>
      <c r="C78" s="2" t="str">
        <f>IFERROR(__xludf.DUMMYFUNCTION("""COMPUTED_VALUE"""),"Thriller")</f>
        <v>Thriller</v>
      </c>
      <c r="D78" s="2" t="str">
        <f>IFERROR(__xludf.DUMMYFUNCTION("""COMPUTED_VALUE"""),"Bright Horizon Press")</f>
        <v>Bright Horizon Press</v>
      </c>
      <c r="E78" s="2">
        <f>IFERROR(__xludf.DUMMYFUNCTION("""COMPUTED_VALUE"""),5.27)</f>
        <v>5.27</v>
      </c>
      <c r="F78" s="2"/>
      <c r="G78" s="2"/>
      <c r="H78" s="2"/>
      <c r="I78" s="2"/>
    </row>
    <row r="79">
      <c r="A79" s="2">
        <f>IFERROR(__xludf.DUMMYFUNCTION("""COMPUTED_VALUE"""),69138.0)</f>
        <v>69138</v>
      </c>
      <c r="B79" s="2" t="str">
        <f>IFERROR(__xludf.DUMMYFUNCTION("""COMPUTED_VALUE"""),"History")</f>
        <v>History</v>
      </c>
      <c r="C79" s="2" t="str">
        <f>IFERROR(__xludf.DUMMYFUNCTION("""COMPUTED_VALUE"""),"Thriller")</f>
        <v>Thriller</v>
      </c>
      <c r="D79" s="2" t="str">
        <f>IFERROR(__xludf.DUMMYFUNCTION("""COMPUTED_VALUE"""),"Bright Horizon Press")</f>
        <v>Bright Horizon Press</v>
      </c>
      <c r="E79" s="2">
        <f>IFERROR(__xludf.DUMMYFUNCTION("""COMPUTED_VALUE"""),5.32)</f>
        <v>5.32</v>
      </c>
      <c r="F79" s="2"/>
      <c r="G79" s="2"/>
      <c r="H79" s="2"/>
      <c r="I79" s="2"/>
    </row>
    <row r="80">
      <c r="A80" s="2">
        <f>IFERROR(__xludf.DUMMYFUNCTION("""COMPUTED_VALUE"""),74828.0)</f>
        <v>74828</v>
      </c>
      <c r="B80" s="2" t="str">
        <f>IFERROR(__xludf.DUMMYFUNCTION("""COMPUTED_VALUE"""),"History")</f>
        <v>History</v>
      </c>
      <c r="C80" s="2" t="str">
        <f>IFERROR(__xludf.DUMMYFUNCTION("""COMPUTED_VALUE"""),"Thriller")</f>
        <v>Thriller</v>
      </c>
      <c r="D80" s="2" t="str">
        <f>IFERROR(__xludf.DUMMYFUNCTION("""COMPUTED_VALUE"""),"Bright Horizon Press")</f>
        <v>Bright Horizon Press</v>
      </c>
      <c r="E80" s="2">
        <f>IFERROR(__xludf.DUMMYFUNCTION("""COMPUTED_VALUE"""),4.74)</f>
        <v>4.74</v>
      </c>
      <c r="F80" s="2"/>
      <c r="G80" s="2"/>
      <c r="H80" s="2"/>
      <c r="I80" s="2"/>
    </row>
    <row r="81">
      <c r="A81" s="2">
        <f>IFERROR(__xludf.DUMMYFUNCTION("""COMPUTED_VALUE"""),74884.0)</f>
        <v>74884</v>
      </c>
      <c r="B81" s="2" t="str">
        <f>IFERROR(__xludf.DUMMYFUNCTION("""COMPUTED_VALUE"""),"History")</f>
        <v>History</v>
      </c>
      <c r="C81" s="2" t="str">
        <f>IFERROR(__xludf.DUMMYFUNCTION("""COMPUTED_VALUE"""),"Thriller")</f>
        <v>Thriller</v>
      </c>
      <c r="D81" s="2" t="str">
        <f>IFERROR(__xludf.DUMMYFUNCTION("""COMPUTED_VALUE"""),"Bright Horizon Press")</f>
        <v>Bright Horizon Press</v>
      </c>
      <c r="E81" s="2">
        <f>IFERROR(__xludf.DUMMYFUNCTION("""COMPUTED_VALUE"""),5.05)</f>
        <v>5.05</v>
      </c>
      <c r="F81" s="2"/>
      <c r="G81" s="2"/>
      <c r="H81" s="2"/>
      <c r="I81" s="2"/>
    </row>
    <row r="82">
      <c r="A82" s="2">
        <f>IFERROR(__xludf.DUMMYFUNCTION("""COMPUTED_VALUE"""),127232.0)</f>
        <v>127232</v>
      </c>
      <c r="B82" s="2" t="str">
        <f>IFERROR(__xludf.DUMMYFUNCTION("""COMPUTED_VALUE"""),"History")</f>
        <v>History</v>
      </c>
      <c r="C82" s="2" t="str">
        <f>IFERROR(__xludf.DUMMYFUNCTION("""COMPUTED_VALUE"""),"Thriller")</f>
        <v>Thriller</v>
      </c>
      <c r="D82" s="2" t="str">
        <f>IFERROR(__xludf.DUMMYFUNCTION("""COMPUTED_VALUE"""),"Bright Horizon Press")</f>
        <v>Bright Horizon Press</v>
      </c>
      <c r="E82" s="2">
        <f>IFERROR(__xludf.DUMMYFUNCTION("""COMPUTED_VALUE"""),2.95)</f>
        <v>2.95</v>
      </c>
      <c r="F82" s="2"/>
      <c r="G82" s="2"/>
      <c r="H82" s="2"/>
      <c r="I82" s="2"/>
    </row>
    <row r="83">
      <c r="A83" s="2">
        <f>IFERROR(__xludf.DUMMYFUNCTION("""COMPUTED_VALUE"""),82979.0)</f>
        <v>82979</v>
      </c>
      <c r="B83" s="2" t="str">
        <f>IFERROR(__xludf.DUMMYFUNCTION("""COMPUTED_VALUE"""),"History")</f>
        <v>History</v>
      </c>
      <c r="C83" s="2" t="str">
        <f>IFERROR(__xludf.DUMMYFUNCTION("""COMPUTED_VALUE"""),"Thriller")</f>
        <v>Thriller</v>
      </c>
      <c r="D83" s="2" t="str">
        <f>IFERROR(__xludf.DUMMYFUNCTION("""COMPUTED_VALUE"""),"Bright Horizon Press")</f>
        <v>Bright Horizon Press</v>
      </c>
      <c r="E83" s="2">
        <f>IFERROR(__xludf.DUMMYFUNCTION("""COMPUTED_VALUE"""),1.92)</f>
        <v>1.92</v>
      </c>
      <c r="F83" s="2"/>
      <c r="G83" s="2"/>
      <c r="H83" s="2"/>
      <c r="I83" s="2"/>
    </row>
    <row r="84">
      <c r="A84" s="2">
        <f>IFERROR(__xludf.DUMMYFUNCTION("""COMPUTED_VALUE"""),18138.0)</f>
        <v>18138</v>
      </c>
      <c r="B84" s="2" t="str">
        <f>IFERROR(__xludf.DUMMYFUNCTION("""COMPUTED_VALUE"""),"History")</f>
        <v>History</v>
      </c>
      <c r="C84" s="2" t="str">
        <f>IFERROR(__xludf.DUMMYFUNCTION("""COMPUTED_VALUE"""),"Thriller")</f>
        <v>Thriller</v>
      </c>
      <c r="D84" s="2" t="str">
        <f>IFERROR(__xludf.DUMMYFUNCTION("""COMPUTED_VALUE"""),"Bright Horizon Press")</f>
        <v>Bright Horizon Press</v>
      </c>
      <c r="E84" s="2">
        <f>IFERROR(__xludf.DUMMYFUNCTION("""COMPUTED_VALUE"""),6.07)</f>
        <v>6.07</v>
      </c>
      <c r="F84" s="2"/>
      <c r="G84" s="2"/>
      <c r="H84" s="2"/>
      <c r="I84" s="2"/>
    </row>
    <row r="85">
      <c r="A85" s="2">
        <f>IFERROR(__xludf.DUMMYFUNCTION("""COMPUTED_VALUE"""),127003.0)</f>
        <v>127003</v>
      </c>
      <c r="B85" s="2" t="str">
        <f>IFERROR(__xludf.DUMMYFUNCTION("""COMPUTED_VALUE"""),"History")</f>
        <v>History</v>
      </c>
      <c r="C85" s="2" t="str">
        <f>IFERROR(__xludf.DUMMYFUNCTION("""COMPUTED_VALUE"""),"Thriller")</f>
        <v>Thriller</v>
      </c>
      <c r="D85" s="2" t="str">
        <f>IFERROR(__xludf.DUMMYFUNCTION("""COMPUTED_VALUE"""),"Evergreen House")</f>
        <v>Evergreen House</v>
      </c>
      <c r="E85" s="2">
        <f>IFERROR(__xludf.DUMMYFUNCTION("""COMPUTED_VALUE"""),3.58)</f>
        <v>3.58</v>
      </c>
      <c r="F85" s="2"/>
      <c r="G85" s="2"/>
      <c r="H85" s="2"/>
      <c r="I85" s="2"/>
    </row>
    <row r="86">
      <c r="A86" s="2">
        <f>IFERROR(__xludf.DUMMYFUNCTION("""COMPUTED_VALUE"""),6036.0)</f>
        <v>6036</v>
      </c>
      <c r="B86" s="2" t="str">
        <f>IFERROR(__xludf.DUMMYFUNCTION("""COMPUTED_VALUE"""),"History")</f>
        <v>History</v>
      </c>
      <c r="C86" s="2" t="str">
        <f>IFERROR(__xludf.DUMMYFUNCTION("""COMPUTED_VALUE"""),"Crime")</f>
        <v>Crime</v>
      </c>
      <c r="D86" s="2"/>
      <c r="E86" s="2">
        <f>IFERROR(__xludf.DUMMYFUNCTION("""COMPUTED_VALUE"""),3.72)</f>
        <v>3.72</v>
      </c>
      <c r="F86" s="2"/>
      <c r="G86" s="2"/>
      <c r="H86" s="2"/>
      <c r="I86" s="2"/>
    </row>
    <row r="87">
      <c r="A87" s="2">
        <f>IFERROR(__xludf.DUMMYFUNCTION("""COMPUTED_VALUE"""),6046.0)</f>
        <v>6046</v>
      </c>
      <c r="B87" s="2" t="str">
        <f>IFERROR(__xludf.DUMMYFUNCTION("""COMPUTED_VALUE"""),"History")</f>
        <v>History</v>
      </c>
      <c r="C87" s="2" t="str">
        <f>IFERROR(__xludf.DUMMYFUNCTION("""COMPUTED_VALUE"""),"Crime")</f>
        <v>Crime</v>
      </c>
      <c r="D87" s="2"/>
      <c r="E87" s="2">
        <f>IFERROR(__xludf.DUMMYFUNCTION("""COMPUTED_VALUE"""),5.07)</f>
        <v>5.07</v>
      </c>
      <c r="F87" s="2"/>
      <c r="G87" s="2"/>
      <c r="H87" s="2"/>
      <c r="I87" s="2"/>
    </row>
    <row r="88">
      <c r="A88" s="2">
        <f>IFERROR(__xludf.DUMMYFUNCTION("""COMPUTED_VALUE"""),6037.0)</f>
        <v>6037</v>
      </c>
      <c r="B88" s="2" t="str">
        <f>IFERROR(__xludf.DUMMYFUNCTION("""COMPUTED_VALUE"""),"History")</f>
        <v>History</v>
      </c>
      <c r="C88" s="2" t="str">
        <f>IFERROR(__xludf.DUMMYFUNCTION("""COMPUTED_VALUE"""),"Crime")</f>
        <v>Crime</v>
      </c>
      <c r="D88" s="2"/>
      <c r="E88" s="2">
        <f>IFERROR(__xludf.DUMMYFUNCTION("""COMPUTED_VALUE"""),4.47)</f>
        <v>4.47</v>
      </c>
      <c r="F88" s="2"/>
      <c r="G88" s="2"/>
      <c r="H88" s="2"/>
      <c r="I88" s="2"/>
    </row>
    <row r="89">
      <c r="A89" s="2">
        <f>IFERROR(__xludf.DUMMYFUNCTION("""COMPUTED_VALUE"""),6026.0)</f>
        <v>6026</v>
      </c>
      <c r="B89" s="2" t="str">
        <f>IFERROR(__xludf.DUMMYFUNCTION("""COMPUTED_VALUE"""),"History")</f>
        <v>History</v>
      </c>
      <c r="C89" s="2" t="str">
        <f>IFERROR(__xludf.DUMMYFUNCTION("""COMPUTED_VALUE"""),"Crime")</f>
        <v>Crime</v>
      </c>
      <c r="D89" s="2"/>
      <c r="E89" s="2">
        <f>IFERROR(__xludf.DUMMYFUNCTION("""COMPUTED_VALUE"""),3.36)</f>
        <v>3.36</v>
      </c>
      <c r="F89" s="2"/>
      <c r="G89" s="2"/>
      <c r="H89" s="2"/>
      <c r="I89" s="2"/>
    </row>
    <row r="90">
      <c r="A90" s="2">
        <f>IFERROR(__xludf.DUMMYFUNCTION("""COMPUTED_VALUE"""),47431.0)</f>
        <v>47431</v>
      </c>
      <c r="B90" s="2" t="str">
        <f>IFERROR(__xludf.DUMMYFUNCTION("""COMPUTED_VALUE"""),"History")</f>
        <v>History</v>
      </c>
      <c r="C90" s="2" t="str">
        <f>IFERROR(__xludf.DUMMYFUNCTION("""COMPUTED_VALUE"""),"Crime")</f>
        <v>Crime</v>
      </c>
      <c r="D90" s="2"/>
      <c r="E90" s="2">
        <f>IFERROR(__xludf.DUMMYFUNCTION("""COMPUTED_VALUE"""),3.16)</f>
        <v>3.16</v>
      </c>
      <c r="F90" s="2"/>
      <c r="G90" s="2"/>
      <c r="H90" s="2"/>
      <c r="I90" s="2"/>
    </row>
    <row r="91">
      <c r="A91" s="2">
        <f>IFERROR(__xludf.DUMMYFUNCTION("""COMPUTED_VALUE"""),82914.0)</f>
        <v>82914</v>
      </c>
      <c r="B91" s="2" t="str">
        <f>IFERROR(__xludf.DUMMYFUNCTION("""COMPUTED_VALUE"""),"History")</f>
        <v>History</v>
      </c>
      <c r="C91" s="2" t="str">
        <f>IFERROR(__xludf.DUMMYFUNCTION("""COMPUTED_VALUE"""),"Crime")</f>
        <v>Crime</v>
      </c>
      <c r="D91" s="2"/>
      <c r="E91" s="2">
        <f>IFERROR(__xludf.DUMMYFUNCTION("""COMPUTED_VALUE"""),4.55)</f>
        <v>4.55</v>
      </c>
      <c r="F91" s="2"/>
      <c r="G91" s="2"/>
      <c r="H91" s="2"/>
      <c r="I91" s="2"/>
    </row>
    <row r="92">
      <c r="A92" s="2">
        <f>IFERROR(__xludf.DUMMYFUNCTION("""COMPUTED_VALUE"""),6044.0)</f>
        <v>6044</v>
      </c>
      <c r="B92" s="2" t="str">
        <f>IFERROR(__xludf.DUMMYFUNCTION("""COMPUTED_VALUE"""),"History")</f>
        <v>History</v>
      </c>
      <c r="C92" s="2" t="str">
        <f>IFERROR(__xludf.DUMMYFUNCTION("""COMPUTED_VALUE"""),"Crime")</f>
        <v>Crime</v>
      </c>
      <c r="D92" s="2"/>
      <c r="E92" s="2">
        <f>IFERROR(__xludf.DUMMYFUNCTION("""COMPUTED_VALUE"""),5.48)</f>
        <v>5.48</v>
      </c>
      <c r="F92" s="2"/>
      <c r="G92" s="2"/>
      <c r="H92" s="2"/>
      <c r="I92" s="2"/>
    </row>
    <row r="93">
      <c r="A93" s="2">
        <f>IFERROR(__xludf.DUMMYFUNCTION("""COMPUTED_VALUE"""),82913.0)</f>
        <v>82913</v>
      </c>
      <c r="B93" s="2" t="str">
        <f>IFERROR(__xludf.DUMMYFUNCTION("""COMPUTED_VALUE"""),"History")</f>
        <v>History</v>
      </c>
      <c r="C93" s="2" t="str">
        <f>IFERROR(__xludf.DUMMYFUNCTION("""COMPUTED_VALUE"""),"Crime")</f>
        <v>Crime</v>
      </c>
      <c r="D93" s="2"/>
      <c r="E93" s="2">
        <f>IFERROR(__xludf.DUMMYFUNCTION("""COMPUTED_VALUE"""),4.12)</f>
        <v>4.12</v>
      </c>
      <c r="F93" s="2"/>
      <c r="G93" s="2"/>
      <c r="H93" s="2"/>
      <c r="I93" s="2"/>
    </row>
    <row r="94">
      <c r="A94" s="2">
        <f>IFERROR(__xludf.DUMMYFUNCTION("""COMPUTED_VALUE"""),82922.0)</f>
        <v>82922</v>
      </c>
      <c r="B94" s="2" t="str">
        <f>IFERROR(__xludf.DUMMYFUNCTION("""COMPUTED_VALUE"""),"History")</f>
        <v>History</v>
      </c>
      <c r="C94" s="2" t="str">
        <f>IFERROR(__xludf.DUMMYFUNCTION("""COMPUTED_VALUE"""),"Crime")</f>
        <v>Crime</v>
      </c>
      <c r="D94" s="2"/>
      <c r="E94" s="2">
        <f>IFERROR(__xludf.DUMMYFUNCTION("""COMPUTED_VALUE"""),4.66)</f>
        <v>4.66</v>
      </c>
      <c r="F94" s="2"/>
      <c r="G94" s="2"/>
      <c r="H94" s="2"/>
      <c r="I94" s="2"/>
    </row>
    <row r="95">
      <c r="A95" s="2">
        <f>IFERROR(__xludf.DUMMYFUNCTION("""COMPUTED_VALUE"""),6045.0)</f>
        <v>6045</v>
      </c>
      <c r="B95" s="2" t="str">
        <f>IFERROR(__xludf.DUMMYFUNCTION("""COMPUTED_VALUE"""),"History")</f>
        <v>History</v>
      </c>
      <c r="C95" s="2" t="str">
        <f>IFERROR(__xludf.DUMMYFUNCTION("""COMPUTED_VALUE"""),"Crime")</f>
        <v>Crime</v>
      </c>
      <c r="D95" s="2"/>
      <c r="E95" s="2">
        <f>IFERROR(__xludf.DUMMYFUNCTION("""COMPUTED_VALUE"""),5.21)</f>
        <v>5.21</v>
      </c>
      <c r="F95" s="2"/>
      <c r="G95" s="2"/>
      <c r="H95" s="2"/>
      <c r="I95" s="2"/>
    </row>
    <row r="96">
      <c r="A96" s="2">
        <f>IFERROR(__xludf.DUMMYFUNCTION("""COMPUTED_VALUE"""),6027.0)</f>
        <v>6027</v>
      </c>
      <c r="B96" s="2" t="str">
        <f>IFERROR(__xludf.DUMMYFUNCTION("""COMPUTED_VALUE"""),"History")</f>
        <v>History</v>
      </c>
      <c r="C96" s="2" t="str">
        <f>IFERROR(__xludf.DUMMYFUNCTION("""COMPUTED_VALUE"""),"Crime")</f>
        <v>Crime</v>
      </c>
      <c r="D96" s="2"/>
      <c r="E96" s="2">
        <f>IFERROR(__xludf.DUMMYFUNCTION("""COMPUTED_VALUE"""),3.3)</f>
        <v>3.3</v>
      </c>
      <c r="F96" s="2"/>
      <c r="G96" s="2"/>
      <c r="H96" s="2"/>
      <c r="I96" s="2"/>
    </row>
    <row r="97">
      <c r="A97" s="2">
        <f>IFERROR(__xludf.DUMMYFUNCTION("""COMPUTED_VALUE"""),97088.0)</f>
        <v>97088</v>
      </c>
      <c r="B97" s="2" t="str">
        <f>IFERROR(__xludf.DUMMYFUNCTION("""COMPUTED_VALUE"""),"History")</f>
        <v>History</v>
      </c>
      <c r="C97" s="2" t="str">
        <f>IFERROR(__xludf.DUMMYFUNCTION("""COMPUTED_VALUE"""),"Fantasy")</f>
        <v>Fantasy</v>
      </c>
      <c r="D97" s="2" t="str">
        <f>IFERROR(__xludf.DUMMYFUNCTION("""COMPUTED_VALUE"""),"Redwood Publishing")</f>
        <v>Redwood Publishing</v>
      </c>
      <c r="E97" s="2">
        <f>IFERROR(__xludf.DUMMYFUNCTION("""COMPUTED_VALUE"""),2.49)</f>
        <v>2.49</v>
      </c>
      <c r="F97" s="2"/>
      <c r="G97" s="2"/>
      <c r="H97" s="2"/>
      <c r="I97" s="2"/>
    </row>
    <row r="98">
      <c r="A98" s="2">
        <f>IFERROR(__xludf.DUMMYFUNCTION("""COMPUTED_VALUE"""),122235.0)</f>
        <v>122235</v>
      </c>
      <c r="B98" s="2" t="str">
        <f>IFERROR(__xludf.DUMMYFUNCTION("""COMPUTED_VALUE"""),"History")</f>
        <v>History</v>
      </c>
      <c r="C98" s="2" t="str">
        <f>IFERROR(__xludf.DUMMYFUNCTION("""COMPUTED_VALUE"""),"Fantasy")</f>
        <v>Fantasy</v>
      </c>
      <c r="D98" s="2" t="str">
        <f>IFERROR(__xludf.DUMMYFUNCTION("""COMPUTED_VALUE"""),"Crown Gate Press")</f>
        <v>Crown Gate Press</v>
      </c>
      <c r="E98" s="2">
        <f>IFERROR(__xludf.DUMMYFUNCTION("""COMPUTED_VALUE"""),12.97)</f>
        <v>12.97</v>
      </c>
      <c r="F98" s="2"/>
      <c r="G98" s="2"/>
      <c r="H98" s="2"/>
      <c r="I98" s="2"/>
    </row>
    <row r="99">
      <c r="A99" s="2">
        <f>IFERROR(__xludf.DUMMYFUNCTION("""COMPUTED_VALUE"""),119887.0)</f>
        <v>119887</v>
      </c>
      <c r="B99" s="2" t="str">
        <f>IFERROR(__xludf.DUMMYFUNCTION("""COMPUTED_VALUE"""),"History")</f>
        <v>History</v>
      </c>
      <c r="C99" s="2" t="str">
        <f>IFERROR(__xludf.DUMMYFUNCTION("""COMPUTED_VALUE"""),"Fantasy")</f>
        <v>Fantasy</v>
      </c>
      <c r="D99" s="2" t="str">
        <f>IFERROR(__xludf.DUMMYFUNCTION("""COMPUTED_VALUE"""),"Crown Gate Press")</f>
        <v>Crown Gate Press</v>
      </c>
      <c r="E99" s="2">
        <f>IFERROR(__xludf.DUMMYFUNCTION("""COMPUTED_VALUE"""),18.29)</f>
        <v>18.29</v>
      </c>
      <c r="F99" s="2"/>
      <c r="G99" s="2"/>
      <c r="H99" s="2"/>
      <c r="I99" s="2"/>
    </row>
    <row r="100">
      <c r="A100" s="2">
        <f>IFERROR(__xludf.DUMMYFUNCTION("""COMPUTED_VALUE"""),97980.0)</f>
        <v>97980</v>
      </c>
      <c r="B100" s="2" t="str">
        <f>IFERROR(__xludf.DUMMYFUNCTION("""COMPUTED_VALUE"""),"History")</f>
        <v>History</v>
      </c>
      <c r="C100" s="2" t="str">
        <f>IFERROR(__xludf.DUMMYFUNCTION("""COMPUTED_VALUE"""),"Fantasy")</f>
        <v>Fantasy</v>
      </c>
      <c r="D100" s="2" t="str">
        <f>IFERROR(__xludf.DUMMYFUNCTION("""COMPUTED_VALUE"""),"Aurora Book House")</f>
        <v>Aurora Book House</v>
      </c>
      <c r="E100" s="2">
        <f>IFERROR(__xludf.DUMMYFUNCTION("""COMPUTED_VALUE"""),13.46)</f>
        <v>13.46</v>
      </c>
      <c r="F100" s="2"/>
      <c r="G100" s="2"/>
      <c r="H100" s="2"/>
      <c r="I100" s="2"/>
    </row>
    <row r="101">
      <c r="A101" s="2">
        <f>IFERROR(__xludf.DUMMYFUNCTION("""COMPUTED_VALUE"""),119876.0)</f>
        <v>119876</v>
      </c>
      <c r="B101" s="2" t="str">
        <f>IFERROR(__xludf.DUMMYFUNCTION("""COMPUTED_VALUE"""),"History")</f>
        <v>History</v>
      </c>
      <c r="C101" s="2" t="str">
        <f>IFERROR(__xludf.DUMMYFUNCTION("""COMPUTED_VALUE"""),"Fantasy")</f>
        <v>Fantasy</v>
      </c>
      <c r="D101" s="2" t="str">
        <f>IFERROR(__xludf.DUMMYFUNCTION("""COMPUTED_VALUE"""),"Aurora Book House")</f>
        <v>Aurora Book House</v>
      </c>
      <c r="E101" s="2">
        <f>IFERROR(__xludf.DUMMYFUNCTION("""COMPUTED_VALUE"""),14.78)</f>
        <v>14.78</v>
      </c>
      <c r="F101" s="2"/>
      <c r="G101" s="2"/>
      <c r="H101" s="2"/>
      <c r="I101" s="2"/>
    </row>
    <row r="102">
      <c r="A102" s="2">
        <f>IFERROR(__xludf.DUMMYFUNCTION("""COMPUTED_VALUE"""),119881.0)</f>
        <v>119881</v>
      </c>
      <c r="B102" s="2" t="str">
        <f>IFERROR(__xludf.DUMMYFUNCTION("""COMPUTED_VALUE"""),"History")</f>
        <v>History</v>
      </c>
      <c r="C102" s="2" t="str">
        <f>IFERROR(__xludf.DUMMYFUNCTION("""COMPUTED_VALUE"""),"Fantasy")</f>
        <v>Fantasy</v>
      </c>
      <c r="D102" s="2" t="str">
        <f>IFERROR(__xludf.DUMMYFUNCTION("""COMPUTED_VALUE"""),"Aurora Book House")</f>
        <v>Aurora Book House</v>
      </c>
      <c r="E102" s="2">
        <f>IFERROR(__xludf.DUMMYFUNCTION("""COMPUTED_VALUE"""),14.14)</f>
        <v>14.14</v>
      </c>
      <c r="F102" s="2"/>
      <c r="G102" s="2"/>
      <c r="H102" s="2"/>
      <c r="I102" s="2"/>
    </row>
    <row r="103">
      <c r="A103" s="2">
        <f>IFERROR(__xludf.DUMMYFUNCTION("""COMPUTED_VALUE"""),26127.0)</f>
        <v>26127</v>
      </c>
      <c r="B103" s="2" t="str">
        <f>IFERROR(__xludf.DUMMYFUNCTION("""COMPUTED_VALUE"""),"History")</f>
        <v>History</v>
      </c>
      <c r="C103" s="2" t="str">
        <f>IFERROR(__xludf.DUMMYFUNCTION("""COMPUTED_VALUE"""),"Epic Fantasy")</f>
        <v>Epic Fantasy</v>
      </c>
      <c r="D103" s="2" t="str">
        <f>IFERROR(__xludf.DUMMYFUNCTION("""COMPUTED_VALUE"""),"Summit Ridge Press")</f>
        <v>Summit Ridge Press</v>
      </c>
      <c r="E103" s="2">
        <f>IFERROR(__xludf.DUMMYFUNCTION("""COMPUTED_VALUE"""),1.2)</f>
        <v>1.2</v>
      </c>
      <c r="F103" s="2"/>
      <c r="G103" s="2"/>
      <c r="H103" s="2"/>
      <c r="I103" s="2"/>
    </row>
    <row r="104">
      <c r="A104" s="2">
        <f>IFERROR(__xludf.DUMMYFUNCTION("""COMPUTED_VALUE"""),87365.0)</f>
        <v>87365</v>
      </c>
      <c r="B104" s="2" t="str">
        <f>IFERROR(__xludf.DUMMYFUNCTION("""COMPUTED_VALUE"""),"History")</f>
        <v>History</v>
      </c>
      <c r="C104" s="2" t="str">
        <f>IFERROR(__xludf.DUMMYFUNCTION("""COMPUTED_VALUE"""),"Epic Fantasy")</f>
        <v>Epic Fantasy</v>
      </c>
      <c r="D104" s="2" t="str">
        <f>IFERROR(__xludf.DUMMYFUNCTION("""COMPUTED_VALUE"""),"Summit Ridge Press")</f>
        <v>Summit Ridge Press</v>
      </c>
      <c r="E104" s="2">
        <f>IFERROR(__xludf.DUMMYFUNCTION("""COMPUTED_VALUE"""),2.86)</f>
        <v>2.86</v>
      </c>
      <c r="F104" s="2"/>
      <c r="G104" s="2"/>
      <c r="H104" s="2"/>
      <c r="I104" s="2"/>
    </row>
    <row r="105">
      <c r="A105" s="2">
        <f>IFERROR(__xludf.DUMMYFUNCTION("""COMPUTED_VALUE"""),87381.0)</f>
        <v>87381</v>
      </c>
      <c r="B105" s="2" t="str">
        <f>IFERROR(__xludf.DUMMYFUNCTION("""COMPUTED_VALUE"""),"History")</f>
        <v>History</v>
      </c>
      <c r="C105" s="2" t="str">
        <f>IFERROR(__xludf.DUMMYFUNCTION("""COMPUTED_VALUE"""),"Epic Fantasy")</f>
        <v>Epic Fantasy</v>
      </c>
      <c r="D105" s="2" t="str">
        <f>IFERROR(__xludf.DUMMYFUNCTION("""COMPUTED_VALUE"""),"Summit Ridge Press")</f>
        <v>Summit Ridge Press</v>
      </c>
      <c r="E105" s="2">
        <f>IFERROR(__xludf.DUMMYFUNCTION("""COMPUTED_VALUE"""),1.44)</f>
        <v>1.44</v>
      </c>
      <c r="F105" s="2"/>
      <c r="G105" s="2"/>
      <c r="H105" s="2"/>
      <c r="I105" s="2"/>
    </row>
    <row r="106">
      <c r="A106" s="2">
        <f>IFERROR(__xludf.DUMMYFUNCTION("""COMPUTED_VALUE"""),122828.0)</f>
        <v>122828</v>
      </c>
      <c r="B106" s="2" t="str">
        <f>IFERROR(__xludf.DUMMYFUNCTION("""COMPUTED_VALUE"""),"History")</f>
        <v>History</v>
      </c>
      <c r="C106" s="2" t="str">
        <f>IFERROR(__xludf.DUMMYFUNCTION("""COMPUTED_VALUE"""),"Epic Fantasy")</f>
        <v>Epic Fantasy</v>
      </c>
      <c r="D106" s="2" t="str">
        <f>IFERROR(__xludf.DUMMYFUNCTION("""COMPUTED_VALUE"""),"Summit Ridge Press")</f>
        <v>Summit Ridge Press</v>
      </c>
      <c r="E106" s="2">
        <f>IFERROR(__xludf.DUMMYFUNCTION("""COMPUTED_VALUE"""),1.56)</f>
        <v>1.56</v>
      </c>
      <c r="F106" s="2"/>
      <c r="G106" s="2"/>
      <c r="H106" s="2"/>
      <c r="I106" s="2"/>
    </row>
    <row r="107">
      <c r="A107" s="2">
        <f>IFERROR(__xludf.DUMMYFUNCTION("""COMPUTED_VALUE"""),73841.0)</f>
        <v>73841</v>
      </c>
      <c r="B107" s="2" t="str">
        <f>IFERROR(__xludf.DUMMYFUNCTION("""COMPUTED_VALUE"""),"History")</f>
        <v>History</v>
      </c>
      <c r="C107" s="2" t="str">
        <f>IFERROR(__xludf.DUMMYFUNCTION("""COMPUTED_VALUE"""),"Epic Fantasy")</f>
        <v>Epic Fantasy</v>
      </c>
      <c r="D107" s="2" t="str">
        <f>IFERROR(__xludf.DUMMYFUNCTION("""COMPUTED_VALUE"""),"Summit Ridge Press")</f>
        <v>Summit Ridge Press</v>
      </c>
      <c r="E107" s="2">
        <f>IFERROR(__xludf.DUMMYFUNCTION("""COMPUTED_VALUE"""),1.05)</f>
        <v>1.05</v>
      </c>
      <c r="F107" s="2"/>
      <c r="G107" s="2"/>
      <c r="H107" s="2"/>
      <c r="I107" s="2"/>
    </row>
    <row r="108">
      <c r="A108" s="2">
        <f>IFERROR(__xludf.DUMMYFUNCTION("""COMPUTED_VALUE"""),73838.0)</f>
        <v>73838</v>
      </c>
      <c r="B108" s="2" t="str">
        <f>IFERROR(__xludf.DUMMYFUNCTION("""COMPUTED_VALUE"""),"History")</f>
        <v>History</v>
      </c>
      <c r="C108" s="2" t="str">
        <f>IFERROR(__xludf.DUMMYFUNCTION("""COMPUTED_VALUE"""),"Epic Fantasy")</f>
        <v>Epic Fantasy</v>
      </c>
      <c r="D108" s="2" t="str">
        <f>IFERROR(__xludf.DUMMYFUNCTION("""COMPUTED_VALUE"""),"Pioneer Books")</f>
        <v>Pioneer Books</v>
      </c>
      <c r="E108" s="2">
        <f>IFERROR(__xludf.DUMMYFUNCTION("""COMPUTED_VALUE"""),1.4)</f>
        <v>1.4</v>
      </c>
      <c r="F108" s="2"/>
      <c r="G108" s="2"/>
      <c r="H108" s="2"/>
      <c r="I108" s="2"/>
    </row>
    <row r="109">
      <c r="A109" s="2">
        <f>IFERROR(__xludf.DUMMYFUNCTION("""COMPUTED_VALUE"""),87372.0)</f>
        <v>87372</v>
      </c>
      <c r="B109" s="2" t="str">
        <f>IFERROR(__xludf.DUMMYFUNCTION("""COMPUTED_VALUE"""),"History")</f>
        <v>History</v>
      </c>
      <c r="C109" s="2" t="str">
        <f>IFERROR(__xludf.DUMMYFUNCTION("""COMPUTED_VALUE"""),"Epic Fantasy")</f>
        <v>Epic Fantasy</v>
      </c>
      <c r="D109" s="2" t="str">
        <f>IFERROR(__xludf.DUMMYFUNCTION("""COMPUTED_VALUE"""),"Liberty Hill Publishing")</f>
        <v>Liberty Hill Publishing</v>
      </c>
      <c r="E109" s="2">
        <f>IFERROR(__xludf.DUMMYFUNCTION("""COMPUTED_VALUE"""),3.46)</f>
        <v>3.46</v>
      </c>
      <c r="F109" s="2"/>
      <c r="G109" s="2"/>
      <c r="H109" s="2"/>
      <c r="I109" s="2"/>
    </row>
    <row r="110">
      <c r="A110" s="2">
        <f>IFERROR(__xludf.DUMMYFUNCTION("""COMPUTED_VALUE"""),87383.0)</f>
        <v>87383</v>
      </c>
      <c r="B110" s="2" t="str">
        <f>IFERROR(__xludf.DUMMYFUNCTION("""COMPUTED_VALUE"""),"History")</f>
        <v>History</v>
      </c>
      <c r="C110" s="2" t="str">
        <f>IFERROR(__xludf.DUMMYFUNCTION("""COMPUTED_VALUE"""),"Epic Fantasy")</f>
        <v>Epic Fantasy</v>
      </c>
      <c r="D110" s="2" t="str">
        <f>IFERROR(__xludf.DUMMYFUNCTION("""COMPUTED_VALUE"""),"Liberty Hill Publishing")</f>
        <v>Liberty Hill Publishing</v>
      </c>
      <c r="E110" s="2">
        <f>IFERROR(__xludf.DUMMYFUNCTION("""COMPUTED_VALUE"""),3.3)</f>
        <v>3.3</v>
      </c>
      <c r="F110" s="2"/>
      <c r="G110" s="2"/>
      <c r="H110" s="2"/>
      <c r="I110" s="2"/>
    </row>
    <row r="111">
      <c r="A111" s="2">
        <f>IFERROR(__xludf.DUMMYFUNCTION("""COMPUTED_VALUE"""),49068.0)</f>
        <v>49068</v>
      </c>
      <c r="B111" s="2" t="str">
        <f>IFERROR(__xludf.DUMMYFUNCTION("""COMPUTED_VALUE"""),"History")</f>
        <v>History</v>
      </c>
      <c r="C111" s="2" t="str">
        <f>IFERROR(__xludf.DUMMYFUNCTION("""COMPUTED_VALUE"""),"Epic Fantasy")</f>
        <v>Epic Fantasy</v>
      </c>
      <c r="D111" s="2" t="str">
        <f>IFERROR(__xludf.DUMMYFUNCTION("""COMPUTED_VALUE"""),"Morning Star Press")</f>
        <v>Morning Star Press</v>
      </c>
      <c r="E111" s="2">
        <f>IFERROR(__xludf.DUMMYFUNCTION("""COMPUTED_VALUE"""),7.2)</f>
        <v>7.2</v>
      </c>
      <c r="F111" s="2"/>
      <c r="G111" s="2"/>
      <c r="H111" s="2"/>
      <c r="I111" s="2"/>
    </row>
    <row r="112">
      <c r="A112" s="2">
        <f>IFERROR(__xludf.DUMMYFUNCTION("""COMPUTED_VALUE"""),26130.0)</f>
        <v>26130</v>
      </c>
      <c r="B112" s="2" t="str">
        <f>IFERROR(__xludf.DUMMYFUNCTION("""COMPUTED_VALUE"""),"History")</f>
        <v>History</v>
      </c>
      <c r="C112" s="2" t="str">
        <f>IFERROR(__xludf.DUMMYFUNCTION("""COMPUTED_VALUE"""),"Epic Fantasy")</f>
        <v>Epic Fantasy</v>
      </c>
      <c r="D112" s="2" t="str">
        <f>IFERROR(__xludf.DUMMYFUNCTION("""COMPUTED_VALUE"""),"Westbridge Books")</f>
        <v>Westbridge Books</v>
      </c>
      <c r="E112" s="2">
        <f>IFERROR(__xludf.DUMMYFUNCTION("""COMPUTED_VALUE"""),1.21)</f>
        <v>1.21</v>
      </c>
      <c r="F112" s="2"/>
      <c r="G112" s="2"/>
      <c r="H112" s="2"/>
      <c r="I112" s="2"/>
    </row>
    <row r="113">
      <c r="A113" s="2">
        <f>IFERROR(__xludf.DUMMYFUNCTION("""COMPUTED_VALUE"""),111493.0)</f>
        <v>111493</v>
      </c>
      <c r="B113" s="2" t="str">
        <f>IFERROR(__xludf.DUMMYFUNCTION("""COMPUTED_VALUE"""),"History")</f>
        <v>History</v>
      </c>
      <c r="C113" s="2" t="str">
        <f>IFERROR(__xludf.DUMMYFUNCTION("""COMPUTED_VALUE"""),"Epic Fantasy")</f>
        <v>Epic Fantasy</v>
      </c>
      <c r="D113" s="2" t="str">
        <f>IFERROR(__xludf.DUMMYFUNCTION("""COMPUTED_VALUE"""),"Oakridge Publishing")</f>
        <v>Oakridge Publishing</v>
      </c>
      <c r="E113" s="2">
        <f>IFERROR(__xludf.DUMMYFUNCTION("""COMPUTED_VALUE"""),2.86)</f>
        <v>2.86</v>
      </c>
      <c r="F113" s="2"/>
      <c r="G113" s="2"/>
      <c r="H113" s="2"/>
      <c r="I113" s="2"/>
    </row>
    <row r="114">
      <c r="A114" s="2">
        <f>IFERROR(__xludf.DUMMYFUNCTION("""COMPUTED_VALUE"""),98395.0)</f>
        <v>98395</v>
      </c>
      <c r="B114" s="2" t="str">
        <f>IFERROR(__xludf.DUMMYFUNCTION("""COMPUTED_VALUE"""),"History")</f>
        <v>History</v>
      </c>
      <c r="C114" s="2" t="str">
        <f>IFERROR(__xludf.DUMMYFUNCTION("""COMPUTED_VALUE"""),"Epic Fantasy")</f>
        <v>Epic Fantasy</v>
      </c>
      <c r="D114" s="2" t="str">
        <f>IFERROR(__xludf.DUMMYFUNCTION("""COMPUTED_VALUE"""),"Oakridge Publishing")</f>
        <v>Oakridge Publishing</v>
      </c>
      <c r="E114" s="2">
        <f>IFERROR(__xludf.DUMMYFUNCTION("""COMPUTED_VALUE"""),1.6)</f>
        <v>1.6</v>
      </c>
      <c r="F114" s="2"/>
      <c r="G114" s="2"/>
      <c r="H114" s="2"/>
      <c r="I114" s="2"/>
    </row>
    <row r="115">
      <c r="A115" s="2">
        <f>IFERROR(__xludf.DUMMYFUNCTION("""COMPUTED_VALUE"""),98396.0)</f>
        <v>98396</v>
      </c>
      <c r="B115" s="2" t="str">
        <f>IFERROR(__xludf.DUMMYFUNCTION("""COMPUTED_VALUE"""),"History")</f>
        <v>History</v>
      </c>
      <c r="C115" s="2" t="str">
        <f>IFERROR(__xludf.DUMMYFUNCTION("""COMPUTED_VALUE"""),"Epic Fantasy")</f>
        <v>Epic Fantasy</v>
      </c>
      <c r="D115" s="2" t="str">
        <f>IFERROR(__xludf.DUMMYFUNCTION("""COMPUTED_VALUE"""),"Oakridge Publishing")</f>
        <v>Oakridge Publishing</v>
      </c>
      <c r="E115" s="2">
        <f>IFERROR(__xludf.DUMMYFUNCTION("""COMPUTED_VALUE"""),1.54)</f>
        <v>1.54</v>
      </c>
      <c r="F115" s="2"/>
      <c r="G115" s="2"/>
      <c r="H115" s="2"/>
      <c r="I115" s="2"/>
    </row>
    <row r="116">
      <c r="A116" s="2">
        <f>IFERROR(__xludf.DUMMYFUNCTION("""COMPUTED_VALUE"""),98394.0)</f>
        <v>98394</v>
      </c>
      <c r="B116" s="2" t="str">
        <f>IFERROR(__xludf.DUMMYFUNCTION("""COMPUTED_VALUE"""),"History")</f>
        <v>History</v>
      </c>
      <c r="C116" s="2" t="str">
        <f>IFERROR(__xludf.DUMMYFUNCTION("""COMPUTED_VALUE"""),"Epic Fantasy")</f>
        <v>Epic Fantasy</v>
      </c>
      <c r="D116" s="2" t="str">
        <f>IFERROR(__xludf.DUMMYFUNCTION("""COMPUTED_VALUE"""),"Oakridge Publishing")</f>
        <v>Oakridge Publishing</v>
      </c>
      <c r="E116" s="2">
        <f>IFERROR(__xludf.DUMMYFUNCTION("""COMPUTED_VALUE"""),1.61)</f>
        <v>1.61</v>
      </c>
      <c r="F116" s="2"/>
      <c r="G116" s="2"/>
      <c r="H116" s="2"/>
      <c r="I116" s="2"/>
    </row>
    <row r="117">
      <c r="A117" s="2">
        <f>IFERROR(__xludf.DUMMYFUNCTION("""COMPUTED_VALUE"""),98397.0)</f>
        <v>98397</v>
      </c>
      <c r="B117" s="2" t="str">
        <f>IFERROR(__xludf.DUMMYFUNCTION("""COMPUTED_VALUE"""),"History")</f>
        <v>History</v>
      </c>
      <c r="C117" s="2" t="str">
        <f>IFERROR(__xludf.DUMMYFUNCTION("""COMPUTED_VALUE"""),"Epic Fantasy")</f>
        <v>Epic Fantasy</v>
      </c>
      <c r="D117" s="2" t="str">
        <f>IFERROR(__xludf.DUMMYFUNCTION("""COMPUTED_VALUE"""),"Oakridge Publishing")</f>
        <v>Oakridge Publishing</v>
      </c>
      <c r="E117" s="2">
        <f>IFERROR(__xludf.DUMMYFUNCTION("""COMPUTED_VALUE"""),1.61)</f>
        <v>1.61</v>
      </c>
      <c r="F117" s="2"/>
      <c r="G117" s="2"/>
      <c r="H117" s="2"/>
      <c r="I117" s="2"/>
    </row>
    <row r="118">
      <c r="A118" s="2">
        <f>IFERROR(__xludf.DUMMYFUNCTION("""COMPUTED_VALUE"""),111489.0)</f>
        <v>111489</v>
      </c>
      <c r="B118" s="2" t="str">
        <f>IFERROR(__xludf.DUMMYFUNCTION("""COMPUTED_VALUE"""),"History")</f>
        <v>History</v>
      </c>
      <c r="C118" s="2" t="str">
        <f>IFERROR(__xludf.DUMMYFUNCTION("""COMPUTED_VALUE"""),"Epic Fantasy")</f>
        <v>Epic Fantasy</v>
      </c>
      <c r="D118" s="2" t="str">
        <f>IFERROR(__xludf.DUMMYFUNCTION("""COMPUTED_VALUE"""),"Oakridge Publishing")</f>
        <v>Oakridge Publishing</v>
      </c>
      <c r="E118" s="2">
        <f>IFERROR(__xludf.DUMMYFUNCTION("""COMPUTED_VALUE"""),1.4)</f>
        <v>1.4</v>
      </c>
      <c r="F118" s="2"/>
      <c r="G118" s="2"/>
      <c r="H118" s="2"/>
      <c r="I118" s="2"/>
    </row>
    <row r="119">
      <c r="A119" s="2">
        <f>IFERROR(__xludf.DUMMYFUNCTION("""COMPUTED_VALUE"""),98393.0)</f>
        <v>98393</v>
      </c>
      <c r="B119" s="2" t="str">
        <f>IFERROR(__xludf.DUMMYFUNCTION("""COMPUTED_VALUE"""),"History")</f>
        <v>History</v>
      </c>
      <c r="C119" s="2" t="str">
        <f>IFERROR(__xludf.DUMMYFUNCTION("""COMPUTED_VALUE"""),"Epic Fantasy")</f>
        <v>Epic Fantasy</v>
      </c>
      <c r="D119" s="2" t="str">
        <f>IFERROR(__xludf.DUMMYFUNCTION("""COMPUTED_VALUE"""),"Oakridge Publishing")</f>
        <v>Oakridge Publishing</v>
      </c>
      <c r="E119" s="2">
        <f>IFERROR(__xludf.DUMMYFUNCTION("""COMPUTED_VALUE"""),1.38)</f>
        <v>1.38</v>
      </c>
      <c r="F119" s="2"/>
      <c r="G119" s="2"/>
      <c r="H119" s="2"/>
      <c r="I119" s="2"/>
    </row>
    <row r="120">
      <c r="A120" s="2">
        <f>IFERROR(__xludf.DUMMYFUNCTION("""COMPUTED_VALUE"""),10933.0)</f>
        <v>10933</v>
      </c>
      <c r="B120" s="2" t="str">
        <f>IFERROR(__xludf.DUMMYFUNCTION("""COMPUTED_VALUE"""),"Self-Help")</f>
        <v>Self-Help</v>
      </c>
      <c r="C120" s="2" t="str">
        <f>IFERROR(__xludf.DUMMYFUNCTION("""COMPUTED_VALUE"""),"Urban Fantasy")</f>
        <v>Urban Fantasy</v>
      </c>
      <c r="D120" s="2" t="str">
        <f>IFERROR(__xludf.DUMMYFUNCTION("""COMPUTED_VALUE"""),"North Star Books")</f>
        <v>North Star Books</v>
      </c>
      <c r="E120" s="2">
        <f>IFERROR(__xludf.DUMMYFUNCTION("""COMPUTED_VALUE"""),13.99)</f>
        <v>13.99</v>
      </c>
      <c r="F120" s="2"/>
      <c r="G120" s="2"/>
      <c r="H120" s="2"/>
      <c r="I120" s="2"/>
    </row>
    <row r="121">
      <c r="A121" s="2">
        <f>IFERROR(__xludf.DUMMYFUNCTION("""COMPUTED_VALUE"""),111994.0)</f>
        <v>111994</v>
      </c>
      <c r="B121" s="2" t="str">
        <f>IFERROR(__xludf.DUMMYFUNCTION("""COMPUTED_VALUE"""),"Self-Help")</f>
        <v>Self-Help</v>
      </c>
      <c r="C121" s="2" t="str">
        <f>IFERROR(__xludf.DUMMYFUNCTION("""COMPUTED_VALUE"""),"Urban Fantasy")</f>
        <v>Urban Fantasy</v>
      </c>
      <c r="D121" s="2" t="str">
        <f>IFERROR(__xludf.DUMMYFUNCTION("""COMPUTED_VALUE"""),"White River Press")</f>
        <v>White River Press</v>
      </c>
      <c r="E121" s="2">
        <f>IFERROR(__xludf.DUMMYFUNCTION("""COMPUTED_VALUE"""),5.01)</f>
        <v>5.01</v>
      </c>
      <c r="F121" s="2"/>
      <c r="G121" s="2"/>
      <c r="H121" s="2"/>
      <c r="I121" s="2"/>
    </row>
    <row r="122">
      <c r="A122" s="2">
        <f>IFERROR(__xludf.DUMMYFUNCTION("""COMPUTED_VALUE"""),101637.0)</f>
        <v>101637</v>
      </c>
      <c r="B122" s="2" t="str">
        <f>IFERROR(__xludf.DUMMYFUNCTION("""COMPUTED_VALUE"""),"Self-Help")</f>
        <v>Self-Help</v>
      </c>
      <c r="C122" s="2" t="str">
        <f>IFERROR(__xludf.DUMMYFUNCTION("""COMPUTED_VALUE"""),"Urban Fantasy")</f>
        <v>Urban Fantasy</v>
      </c>
      <c r="D122" s="2" t="str">
        <f>IFERROR(__xludf.DUMMYFUNCTION("""COMPUTED_VALUE"""),"White River Press")</f>
        <v>White River Press</v>
      </c>
      <c r="E122" s="2">
        <f>IFERROR(__xludf.DUMMYFUNCTION("""COMPUTED_VALUE"""),4.79)</f>
        <v>4.79</v>
      </c>
      <c r="F122" s="2"/>
      <c r="G122" s="2"/>
      <c r="H122" s="2"/>
      <c r="I122" s="2"/>
    </row>
    <row r="123">
      <c r="A123" s="2">
        <f>IFERROR(__xludf.DUMMYFUNCTION("""COMPUTED_VALUE"""),111996.0)</f>
        <v>111996</v>
      </c>
      <c r="B123" s="2" t="str">
        <f>IFERROR(__xludf.DUMMYFUNCTION("""COMPUTED_VALUE"""),"Self-Help")</f>
        <v>Self-Help</v>
      </c>
      <c r="C123" s="2" t="str">
        <f>IFERROR(__xludf.DUMMYFUNCTION("""COMPUTED_VALUE"""),"Urban Fantasy")</f>
        <v>Urban Fantasy</v>
      </c>
      <c r="D123" s="2" t="str">
        <f>IFERROR(__xludf.DUMMYFUNCTION("""COMPUTED_VALUE"""),"White River Press")</f>
        <v>White River Press</v>
      </c>
      <c r="E123" s="2">
        <f>IFERROR(__xludf.DUMMYFUNCTION("""COMPUTED_VALUE"""),4.64)</f>
        <v>4.64</v>
      </c>
      <c r="F123" s="2"/>
      <c r="G123" s="2"/>
      <c r="H123" s="2"/>
      <c r="I123" s="2"/>
    </row>
    <row r="124">
      <c r="A124" s="2">
        <f>IFERROR(__xludf.DUMMYFUNCTION("""COMPUTED_VALUE"""),120886.0)</f>
        <v>120886</v>
      </c>
      <c r="B124" s="2" t="str">
        <f>IFERROR(__xludf.DUMMYFUNCTION("""COMPUTED_VALUE"""),"Fiction")</f>
        <v>Fiction</v>
      </c>
      <c r="C124" s="2" t="str">
        <f>IFERROR(__xludf.DUMMYFUNCTION("""COMPUTED_VALUE"""),"Science Fiction")</f>
        <v>Science Fiction</v>
      </c>
      <c r="D124" s="2" t="str">
        <f>IFERROR(__xludf.DUMMYFUNCTION("""COMPUTED_VALUE"""),"Sunset Harbor Publishing")</f>
        <v>Sunset Harbor Publishing</v>
      </c>
      <c r="E124" s="2">
        <f>IFERROR(__xludf.DUMMYFUNCTION("""COMPUTED_VALUE"""),12.79)</f>
        <v>12.79</v>
      </c>
      <c r="F124" s="2"/>
      <c r="G124" s="2"/>
      <c r="H124" s="2"/>
      <c r="I124" s="2"/>
    </row>
    <row r="125">
      <c r="A125" s="2">
        <f>IFERROR(__xludf.DUMMYFUNCTION("""COMPUTED_VALUE"""),85058.0)</f>
        <v>85058</v>
      </c>
      <c r="B125" s="2" t="str">
        <f>IFERROR(__xludf.DUMMYFUNCTION("""COMPUTED_VALUE"""),"Fiction")</f>
        <v>Fiction</v>
      </c>
      <c r="C125" s="2" t="str">
        <f>IFERROR(__xludf.DUMMYFUNCTION("""COMPUTED_VALUE"""),"Science Fiction")</f>
        <v>Science Fiction</v>
      </c>
      <c r="D125" s="2" t="str">
        <f>IFERROR(__xludf.DUMMYFUNCTION("""COMPUTED_VALUE"""),"Green Valley Books")</f>
        <v>Green Valley Books</v>
      </c>
      <c r="E125" s="2">
        <f>IFERROR(__xludf.DUMMYFUNCTION("""COMPUTED_VALUE"""),9.72)</f>
        <v>9.72</v>
      </c>
      <c r="F125" s="2"/>
      <c r="G125" s="2"/>
      <c r="H125" s="2"/>
      <c r="I125" s="2"/>
    </row>
    <row r="126">
      <c r="A126" s="2">
        <f>IFERROR(__xludf.DUMMYFUNCTION("""COMPUTED_VALUE"""),27380.0)</f>
        <v>27380</v>
      </c>
      <c r="B126" s="2" t="str">
        <f>IFERROR(__xludf.DUMMYFUNCTION("""COMPUTED_VALUE"""),"Fiction")</f>
        <v>Fiction</v>
      </c>
      <c r="C126" s="2" t="str">
        <f>IFERROR(__xludf.DUMMYFUNCTION("""COMPUTED_VALUE"""),"Dystopian")</f>
        <v>Dystopian</v>
      </c>
      <c r="D126" s="2" t="str">
        <f>IFERROR(__xludf.DUMMYFUNCTION("""COMPUTED_VALUE"""),"Heritage Lane Press")</f>
        <v>Heritage Lane Press</v>
      </c>
      <c r="E126" s="2">
        <f>IFERROR(__xludf.DUMMYFUNCTION("""COMPUTED_VALUE"""),15.19)</f>
        <v>15.19</v>
      </c>
      <c r="F126" s="2"/>
      <c r="G126" s="2"/>
      <c r="H126" s="2"/>
      <c r="I126" s="2"/>
    </row>
    <row r="127">
      <c r="A127" s="2">
        <f>IFERROR(__xludf.DUMMYFUNCTION("""COMPUTED_VALUE"""),117204.0)</f>
        <v>117204</v>
      </c>
      <c r="B127" s="2" t="str">
        <f>IFERROR(__xludf.DUMMYFUNCTION("""COMPUTED_VALUE"""),"Fiction")</f>
        <v>Fiction</v>
      </c>
      <c r="C127" s="2" t="str">
        <f>IFERROR(__xludf.DUMMYFUNCTION("""COMPUTED_VALUE"""),"Dystopian")</f>
        <v>Dystopian</v>
      </c>
      <c r="D127" s="2" t="str">
        <f>IFERROR(__xludf.DUMMYFUNCTION("""COMPUTED_VALUE"""),"Heritage Lane Press")</f>
        <v>Heritage Lane Press</v>
      </c>
      <c r="E127" s="2">
        <f>IFERROR(__xludf.DUMMYFUNCTION("""COMPUTED_VALUE"""),11.94)</f>
        <v>11.94</v>
      </c>
      <c r="F127" s="2"/>
      <c r="G127" s="2"/>
      <c r="H127" s="2"/>
      <c r="I127" s="2"/>
    </row>
    <row r="128">
      <c r="A128" s="2">
        <f>IFERROR(__xludf.DUMMYFUNCTION("""COMPUTED_VALUE"""),45484.0)</f>
        <v>45484</v>
      </c>
      <c r="B128" s="2" t="str">
        <f>IFERROR(__xludf.DUMMYFUNCTION("""COMPUTED_VALUE"""),"Fiction")</f>
        <v>Fiction</v>
      </c>
      <c r="C128" s="2" t="str">
        <f>IFERROR(__xludf.DUMMYFUNCTION("""COMPUTED_VALUE"""),"Dystopian")</f>
        <v>Dystopian</v>
      </c>
      <c r="D128" s="2" t="str">
        <f>IFERROR(__xludf.DUMMYFUNCTION("""COMPUTED_VALUE"""),"Heritage Lane Press")</f>
        <v>Heritage Lane Press</v>
      </c>
      <c r="E128" s="2">
        <f>IFERROR(__xludf.DUMMYFUNCTION("""COMPUTED_VALUE"""),14.68)</f>
        <v>14.68</v>
      </c>
      <c r="F128" s="2"/>
      <c r="G128" s="2"/>
      <c r="H128" s="2"/>
      <c r="I128" s="2"/>
    </row>
    <row r="129">
      <c r="A129" s="2">
        <f>IFERROR(__xludf.DUMMYFUNCTION("""COMPUTED_VALUE"""),27382.0)</f>
        <v>27382</v>
      </c>
      <c r="B129" s="2" t="str">
        <f>IFERROR(__xludf.DUMMYFUNCTION("""COMPUTED_VALUE"""),"Fiction")</f>
        <v>Fiction</v>
      </c>
      <c r="C129" s="2" t="str">
        <f>IFERROR(__xludf.DUMMYFUNCTION("""COMPUTED_VALUE"""),"Dystopian")</f>
        <v>Dystopian</v>
      </c>
      <c r="D129" s="2" t="str">
        <f>IFERROR(__xludf.DUMMYFUNCTION("""COMPUTED_VALUE"""),"Heritage Lane Press")</f>
        <v>Heritage Lane Press</v>
      </c>
      <c r="E129" s="2">
        <f>IFERROR(__xludf.DUMMYFUNCTION("""COMPUTED_VALUE"""),21.78)</f>
        <v>21.78</v>
      </c>
      <c r="F129" s="2"/>
      <c r="G129" s="2"/>
      <c r="H129" s="2"/>
      <c r="I129" s="2"/>
    </row>
    <row r="130">
      <c r="A130" s="2">
        <f>IFERROR(__xludf.DUMMYFUNCTION("""COMPUTED_VALUE"""),45491.0)</f>
        <v>45491</v>
      </c>
      <c r="B130" s="2" t="str">
        <f>IFERROR(__xludf.DUMMYFUNCTION("""COMPUTED_VALUE"""),"Fiction")</f>
        <v>Fiction</v>
      </c>
      <c r="C130" s="2" t="str">
        <f>IFERROR(__xludf.DUMMYFUNCTION("""COMPUTED_VALUE"""),"Dystopian")</f>
        <v>Dystopian</v>
      </c>
      <c r="D130" s="2" t="str">
        <f>IFERROR(__xludf.DUMMYFUNCTION("""COMPUTED_VALUE"""),"Heritage Lane Press")</f>
        <v>Heritage Lane Press</v>
      </c>
      <c r="E130" s="2">
        <f>IFERROR(__xludf.DUMMYFUNCTION("""COMPUTED_VALUE"""),19.88)</f>
        <v>19.88</v>
      </c>
      <c r="F130" s="2"/>
      <c r="G130" s="2"/>
      <c r="H130" s="2"/>
      <c r="I130" s="2"/>
    </row>
    <row r="131">
      <c r="A131" s="2">
        <f>IFERROR(__xludf.DUMMYFUNCTION("""COMPUTED_VALUE"""),11631.0)</f>
        <v>11631</v>
      </c>
      <c r="B131" s="2" t="str">
        <f>IFERROR(__xludf.DUMMYFUNCTION("""COMPUTED_VALUE"""),"Fiction")</f>
        <v>Fiction</v>
      </c>
      <c r="C131" s="2" t="str">
        <f>IFERROR(__xludf.DUMMYFUNCTION("""COMPUTED_VALUE"""),"Dystopian")</f>
        <v>Dystopian</v>
      </c>
      <c r="D131" s="2" t="str">
        <f>IFERROR(__xludf.DUMMYFUNCTION("""COMPUTED_VALUE"""),"Heritage Lane Press")</f>
        <v>Heritage Lane Press</v>
      </c>
      <c r="E131" s="2">
        <f>IFERROR(__xludf.DUMMYFUNCTION("""COMPUTED_VALUE"""),28.77)</f>
        <v>28.77</v>
      </c>
      <c r="F131" s="2"/>
      <c r="G131" s="2"/>
      <c r="H131" s="2"/>
      <c r="I131" s="2"/>
    </row>
    <row r="132">
      <c r="A132" s="2">
        <f>IFERROR(__xludf.DUMMYFUNCTION("""COMPUTED_VALUE"""),11630.0)</f>
        <v>11630</v>
      </c>
      <c r="B132" s="2" t="str">
        <f>IFERROR(__xludf.DUMMYFUNCTION("""COMPUTED_VALUE"""),"Fiction")</f>
        <v>Fiction</v>
      </c>
      <c r="C132" s="2" t="str">
        <f>IFERROR(__xludf.DUMMYFUNCTION("""COMPUTED_VALUE"""),"Dystopian")</f>
        <v>Dystopian</v>
      </c>
      <c r="D132" s="2" t="str">
        <f>IFERROR(__xludf.DUMMYFUNCTION("""COMPUTED_VALUE"""),"Heritage Lane Press")</f>
        <v>Heritage Lane Press</v>
      </c>
      <c r="E132" s="2">
        <f>IFERROR(__xludf.DUMMYFUNCTION("""COMPUTED_VALUE"""),21.97)</f>
        <v>21.97</v>
      </c>
      <c r="F132" s="2"/>
      <c r="G132" s="2"/>
      <c r="H132" s="2"/>
      <c r="I132" s="2"/>
    </row>
    <row r="133">
      <c r="A133" s="2">
        <f>IFERROR(__xludf.DUMMYFUNCTION("""COMPUTED_VALUE"""),11634.0)</f>
        <v>11634</v>
      </c>
      <c r="B133" s="2" t="str">
        <f>IFERROR(__xludf.DUMMYFUNCTION("""COMPUTED_VALUE"""),"Fiction")</f>
        <v>Fiction</v>
      </c>
      <c r="C133" s="2" t="str">
        <f>IFERROR(__xludf.DUMMYFUNCTION("""COMPUTED_VALUE"""),"Dystopian")</f>
        <v>Dystopian</v>
      </c>
      <c r="D133" s="2" t="str">
        <f>IFERROR(__xludf.DUMMYFUNCTION("""COMPUTED_VALUE"""),"Fox Hollow Publishing")</f>
        <v>Fox Hollow Publishing</v>
      </c>
      <c r="E133" s="2">
        <f>IFERROR(__xludf.DUMMYFUNCTION("""COMPUTED_VALUE"""),6.41)</f>
        <v>6.41</v>
      </c>
      <c r="F133" s="2"/>
      <c r="G133" s="2"/>
      <c r="H133" s="2"/>
      <c r="I133" s="2"/>
    </row>
    <row r="134">
      <c r="A134" s="2">
        <f>IFERROR(__xludf.DUMMYFUNCTION("""COMPUTED_VALUE"""),11635.0)</f>
        <v>11635</v>
      </c>
      <c r="B134" s="2" t="str">
        <f>IFERROR(__xludf.DUMMYFUNCTION("""COMPUTED_VALUE"""),"Fiction")</f>
        <v>Fiction</v>
      </c>
      <c r="C134" s="2" t="str">
        <f>IFERROR(__xludf.DUMMYFUNCTION("""COMPUTED_VALUE"""),"Dystopian")</f>
        <v>Dystopian</v>
      </c>
      <c r="D134" s="2" t="str">
        <f>IFERROR(__xludf.DUMMYFUNCTION("""COMPUTED_VALUE"""),"Fox Hollow Publishing")</f>
        <v>Fox Hollow Publishing</v>
      </c>
      <c r="E134" s="2">
        <f>IFERROR(__xludf.DUMMYFUNCTION("""COMPUTED_VALUE"""),6.98)</f>
        <v>6.98</v>
      </c>
      <c r="F134" s="2"/>
      <c r="G134" s="2"/>
      <c r="H134" s="2"/>
      <c r="I134" s="2"/>
    </row>
    <row r="135">
      <c r="A135" s="2">
        <f>IFERROR(__xludf.DUMMYFUNCTION("""COMPUTED_VALUE"""),114776.0)</f>
        <v>114776</v>
      </c>
      <c r="B135" s="2" t="str">
        <f>IFERROR(__xludf.DUMMYFUNCTION("""COMPUTED_VALUE"""),"Fiction")</f>
        <v>Fiction</v>
      </c>
      <c r="C135" s="2" t="str">
        <f>IFERROR(__xludf.DUMMYFUNCTION("""COMPUTED_VALUE"""),"Dystopian")</f>
        <v>Dystopian</v>
      </c>
      <c r="D135" s="2" t="str">
        <f>IFERROR(__xludf.DUMMYFUNCTION("""COMPUTED_VALUE"""),"Clearwater Books")</f>
        <v>Clearwater Books</v>
      </c>
      <c r="E135" s="2">
        <f>IFERROR(__xludf.DUMMYFUNCTION("""COMPUTED_VALUE"""),13.25)</f>
        <v>13.25</v>
      </c>
      <c r="F135" s="2"/>
      <c r="G135" s="2"/>
      <c r="H135" s="2"/>
      <c r="I135" s="2"/>
    </row>
    <row r="136">
      <c r="A136" s="2">
        <f>IFERROR(__xludf.DUMMYFUNCTION("""COMPUTED_VALUE"""),76762.0)</f>
        <v>76762</v>
      </c>
      <c r="B136" s="2" t="str">
        <f>IFERROR(__xludf.DUMMYFUNCTION("""COMPUTED_VALUE"""),"Fiction")</f>
        <v>Fiction</v>
      </c>
      <c r="C136" s="2" t="str">
        <f>IFERROR(__xludf.DUMMYFUNCTION("""COMPUTED_VALUE"""),"Dystopian")</f>
        <v>Dystopian</v>
      </c>
      <c r="D136" s="2" t="str">
        <f>IFERROR(__xludf.DUMMYFUNCTION("""COMPUTED_VALUE"""),"Lighthouse Press")</f>
        <v>Lighthouse Press</v>
      </c>
      <c r="E136" s="2">
        <f>IFERROR(__xludf.DUMMYFUNCTION("""COMPUTED_VALUE"""),46.56)</f>
        <v>46.56</v>
      </c>
      <c r="F136" s="2"/>
      <c r="G136" s="2"/>
      <c r="H136" s="2"/>
      <c r="I136" s="2"/>
    </row>
    <row r="137">
      <c r="A137" s="2">
        <f>IFERROR(__xludf.DUMMYFUNCTION("""COMPUTED_VALUE"""),181194.0)</f>
        <v>181194</v>
      </c>
      <c r="B137" s="2" t="str">
        <f>IFERROR(__xludf.DUMMYFUNCTION("""COMPUTED_VALUE"""),"Self-Help")</f>
        <v>Self-Help</v>
      </c>
      <c r="C137" s="2" t="str">
        <f>IFERROR(__xludf.DUMMYFUNCTION("""COMPUTED_VALUE"""),"Adventure")</f>
        <v>Adventure</v>
      </c>
      <c r="D137" s="2" t="str">
        <f>IFERROR(__xludf.DUMMYFUNCTION("""COMPUTED_VALUE"""),"Timberline Publishing")</f>
        <v>Timberline Publishing</v>
      </c>
      <c r="E137" s="2">
        <f>IFERROR(__xludf.DUMMYFUNCTION("""COMPUTED_VALUE"""),21.92)</f>
        <v>21.92</v>
      </c>
      <c r="F137" s="2"/>
      <c r="G137" s="2"/>
      <c r="H137" s="2"/>
      <c r="I137" s="2"/>
    </row>
    <row r="138">
      <c r="A138" s="2">
        <f>IFERROR(__xludf.DUMMYFUNCTION("""COMPUTED_VALUE"""),164637.0)</f>
        <v>164637</v>
      </c>
      <c r="B138" s="2" t="str">
        <f>IFERROR(__xludf.DUMMYFUNCTION("""COMPUTED_VALUE"""),"Self-Help")</f>
        <v>Self-Help</v>
      </c>
      <c r="C138" s="2" t="str">
        <f>IFERROR(__xludf.DUMMYFUNCTION("""COMPUTED_VALUE"""),"Adventure")</f>
        <v>Adventure</v>
      </c>
      <c r="D138" s="2" t="str">
        <f>IFERROR(__xludf.DUMMYFUNCTION("""COMPUTED_VALUE"""),"Silver Harbor Books")</f>
        <v>Silver Harbor Books</v>
      </c>
      <c r="E138" s="2">
        <f>IFERROR(__xludf.DUMMYFUNCTION("""COMPUTED_VALUE"""),15.81)</f>
        <v>15.81</v>
      </c>
      <c r="F138" s="2"/>
      <c r="G138" s="2"/>
      <c r="H138" s="2"/>
      <c r="I138" s="2"/>
    </row>
    <row r="139">
      <c r="A139" s="2">
        <f>IFERROR(__xludf.DUMMYFUNCTION("""COMPUTED_VALUE"""),164636.0)</f>
        <v>164636</v>
      </c>
      <c r="B139" s="2" t="str">
        <f>IFERROR(__xludf.DUMMYFUNCTION("""COMPUTED_VALUE"""),"Self-Help")</f>
        <v>Self-Help</v>
      </c>
      <c r="C139" s="2" t="str">
        <f>IFERROR(__xludf.DUMMYFUNCTION("""COMPUTED_VALUE"""),"Adventure")</f>
        <v>Adventure</v>
      </c>
      <c r="D139" s="2" t="str">
        <f>IFERROR(__xludf.DUMMYFUNCTION("""COMPUTED_VALUE"""),"Silver Harbor Books")</f>
        <v>Silver Harbor Books</v>
      </c>
      <c r="E139" s="2">
        <f>IFERROR(__xludf.DUMMYFUNCTION("""COMPUTED_VALUE"""),15.97)</f>
        <v>15.97</v>
      </c>
      <c r="F139" s="2"/>
      <c r="G139" s="2"/>
      <c r="H139" s="2"/>
      <c r="I139" s="2"/>
    </row>
    <row r="140">
      <c r="A140" s="2">
        <f>IFERROR(__xludf.DUMMYFUNCTION("""COMPUTED_VALUE"""),164639.0)</f>
        <v>164639</v>
      </c>
      <c r="B140" s="2" t="str">
        <f>IFERROR(__xludf.DUMMYFUNCTION("""COMPUTED_VALUE"""),"Self-Help")</f>
        <v>Self-Help</v>
      </c>
      <c r="C140" s="2" t="str">
        <f>IFERROR(__xludf.DUMMYFUNCTION("""COMPUTED_VALUE"""),"Adventure")</f>
        <v>Adventure</v>
      </c>
      <c r="D140" s="2" t="str">
        <f>IFERROR(__xludf.DUMMYFUNCTION("""COMPUTED_VALUE"""),"Silver Harbor Books")</f>
        <v>Silver Harbor Books</v>
      </c>
      <c r="E140" s="2">
        <f>IFERROR(__xludf.DUMMYFUNCTION("""COMPUTED_VALUE"""),16.07)</f>
        <v>16.07</v>
      </c>
      <c r="F140" s="2"/>
      <c r="G140" s="2"/>
      <c r="H140" s="2"/>
      <c r="I140" s="2"/>
    </row>
    <row r="141">
      <c r="A141" s="2">
        <f>IFERROR(__xludf.DUMMYFUNCTION("""COMPUTED_VALUE"""),85251.0)</f>
        <v>85251</v>
      </c>
      <c r="B141" s="2" t="str">
        <f>IFERROR(__xludf.DUMMYFUNCTION("""COMPUTED_VALUE"""),"Self-Help")</f>
        <v>Self-Help</v>
      </c>
      <c r="C141" s="2" t="str">
        <f>IFERROR(__xludf.DUMMYFUNCTION("""COMPUTED_VALUE"""),"Adventure")</f>
        <v>Adventure</v>
      </c>
      <c r="D141" s="2" t="str">
        <f>IFERROR(__xludf.DUMMYFUNCTION("""COMPUTED_VALUE"""),"Silver Harbor Books")</f>
        <v>Silver Harbor Books</v>
      </c>
      <c r="E141" s="2">
        <f>IFERROR(__xludf.DUMMYFUNCTION("""COMPUTED_VALUE"""),12.76)</f>
        <v>12.76</v>
      </c>
      <c r="F141" s="2"/>
      <c r="G141" s="2"/>
      <c r="H141" s="2"/>
      <c r="I141" s="2"/>
    </row>
    <row r="142">
      <c r="A142" s="2">
        <f>IFERROR(__xludf.DUMMYFUNCTION("""COMPUTED_VALUE"""),113532.0)</f>
        <v>113532</v>
      </c>
      <c r="B142" s="2" t="str">
        <f>IFERROR(__xludf.DUMMYFUNCTION("""COMPUTED_VALUE"""),"Self-Help")</f>
        <v>Self-Help</v>
      </c>
      <c r="C142" s="2" t="str">
        <f>IFERROR(__xludf.DUMMYFUNCTION("""COMPUTED_VALUE"""),"Adventure")</f>
        <v>Adventure</v>
      </c>
      <c r="D142" s="2" t="str">
        <f>IFERROR(__xludf.DUMMYFUNCTION("""COMPUTED_VALUE"""),"Silver Harbor Books")</f>
        <v>Silver Harbor Books</v>
      </c>
      <c r="E142" s="2">
        <f>IFERROR(__xludf.DUMMYFUNCTION("""COMPUTED_VALUE"""),15.18)</f>
        <v>15.18</v>
      </c>
      <c r="F142" s="2"/>
      <c r="G142" s="2"/>
      <c r="H142" s="2"/>
      <c r="I142" s="2"/>
    </row>
    <row r="143">
      <c r="A143" s="2">
        <f>IFERROR(__xludf.DUMMYFUNCTION("""COMPUTED_VALUE"""),82501.0)</f>
        <v>82501</v>
      </c>
      <c r="B143" s="2" t="str">
        <f>IFERROR(__xludf.DUMMYFUNCTION("""COMPUTED_VALUE"""),"Self-Help")</f>
        <v>Self-Help</v>
      </c>
      <c r="C143" s="2" t="str">
        <f>IFERROR(__xludf.DUMMYFUNCTION("""COMPUTED_VALUE"""),"Adventure")</f>
        <v>Adventure</v>
      </c>
      <c r="D143" s="2" t="str">
        <f>IFERROR(__xludf.DUMMYFUNCTION("""COMPUTED_VALUE"""),"Silver Harbor Books")</f>
        <v>Silver Harbor Books</v>
      </c>
      <c r="E143" s="2">
        <f>IFERROR(__xludf.DUMMYFUNCTION("""COMPUTED_VALUE"""),10.67)</f>
        <v>10.67</v>
      </c>
      <c r="F143" s="2"/>
      <c r="G143" s="2"/>
      <c r="H143" s="2"/>
      <c r="I143" s="2"/>
    </row>
    <row r="144">
      <c r="A144" s="2">
        <f>IFERROR(__xludf.DUMMYFUNCTION("""COMPUTED_VALUE"""),121287.0)</f>
        <v>121287</v>
      </c>
      <c r="B144" s="2" t="str">
        <f>IFERROR(__xludf.DUMMYFUNCTION("""COMPUTED_VALUE"""),"Self-Help")</f>
        <v>Self-Help</v>
      </c>
      <c r="C144" s="2" t="str">
        <f>IFERROR(__xludf.DUMMYFUNCTION("""COMPUTED_VALUE"""),"Adventure")</f>
        <v>Adventure</v>
      </c>
      <c r="D144" s="2" t="str">
        <f>IFERROR(__xludf.DUMMYFUNCTION("""COMPUTED_VALUE"""),"Silver Harbor Books")</f>
        <v>Silver Harbor Books</v>
      </c>
      <c r="E144" s="2">
        <f>IFERROR(__xludf.DUMMYFUNCTION("""COMPUTED_VALUE"""),16.14)</f>
        <v>16.14</v>
      </c>
      <c r="F144" s="2"/>
      <c r="G144" s="2"/>
      <c r="H144" s="2"/>
      <c r="I144" s="2"/>
    </row>
    <row r="145">
      <c r="A145" s="2">
        <f>IFERROR(__xludf.DUMMYFUNCTION("""COMPUTED_VALUE"""),113559.0)</f>
        <v>113559</v>
      </c>
      <c r="B145" s="2" t="str">
        <f>IFERROR(__xludf.DUMMYFUNCTION("""COMPUTED_VALUE"""),"Self-Help")</f>
        <v>Self-Help</v>
      </c>
      <c r="C145" s="2" t="str">
        <f>IFERROR(__xludf.DUMMYFUNCTION("""COMPUTED_VALUE"""),"Adventure")</f>
        <v>Adventure</v>
      </c>
      <c r="D145" s="2" t="str">
        <f>IFERROR(__xludf.DUMMYFUNCTION("""COMPUTED_VALUE"""),"Silver Harbor Books")</f>
        <v>Silver Harbor Books</v>
      </c>
      <c r="E145" s="2">
        <f>IFERROR(__xludf.DUMMYFUNCTION("""COMPUTED_VALUE"""),8.74)</f>
        <v>8.74</v>
      </c>
      <c r="F145" s="2"/>
      <c r="G145" s="2"/>
      <c r="H145" s="2"/>
      <c r="I145" s="2"/>
    </row>
    <row r="146">
      <c r="A146" s="2">
        <f>IFERROR(__xludf.DUMMYFUNCTION("""COMPUTED_VALUE"""),85252.0)</f>
        <v>85252</v>
      </c>
      <c r="B146" s="2" t="str">
        <f>IFERROR(__xludf.DUMMYFUNCTION("""COMPUTED_VALUE"""),"Self-Help")</f>
        <v>Self-Help</v>
      </c>
      <c r="C146" s="2" t="str">
        <f>IFERROR(__xludf.DUMMYFUNCTION("""COMPUTED_VALUE"""),"Adventure")</f>
        <v>Adventure</v>
      </c>
      <c r="D146" s="2" t="str">
        <f>IFERROR(__xludf.DUMMYFUNCTION("""COMPUTED_VALUE"""),"Silver Harbor Books")</f>
        <v>Silver Harbor Books</v>
      </c>
      <c r="E146" s="2">
        <f>IFERROR(__xludf.DUMMYFUNCTION("""COMPUTED_VALUE"""),12.35)</f>
        <v>12.35</v>
      </c>
      <c r="F146" s="2"/>
      <c r="G146" s="2"/>
      <c r="H146" s="2"/>
      <c r="I146" s="2"/>
    </row>
    <row r="147">
      <c r="A147" s="2">
        <f>IFERROR(__xludf.DUMMYFUNCTION("""COMPUTED_VALUE"""),82507.0)</f>
        <v>82507</v>
      </c>
      <c r="B147" s="2" t="str">
        <f>IFERROR(__xludf.DUMMYFUNCTION("""COMPUTED_VALUE"""),"Self-Help")</f>
        <v>Self-Help</v>
      </c>
      <c r="C147" s="2" t="str">
        <f>IFERROR(__xludf.DUMMYFUNCTION("""COMPUTED_VALUE"""),"Adventure")</f>
        <v>Adventure</v>
      </c>
      <c r="D147" s="2" t="str">
        <f>IFERROR(__xludf.DUMMYFUNCTION("""COMPUTED_VALUE"""),"Silver Harbor Books")</f>
        <v>Silver Harbor Books</v>
      </c>
      <c r="E147" s="2">
        <f>IFERROR(__xludf.DUMMYFUNCTION("""COMPUTED_VALUE"""),12.37)</f>
        <v>12.37</v>
      </c>
      <c r="F147" s="2"/>
      <c r="G147" s="2"/>
      <c r="H147" s="2"/>
      <c r="I147" s="2"/>
    </row>
    <row r="148">
      <c r="A148" s="2">
        <f>IFERROR(__xludf.DUMMYFUNCTION("""COMPUTED_VALUE"""),109625.0)</f>
        <v>109625</v>
      </c>
      <c r="B148" s="2" t="str">
        <f>IFERROR(__xludf.DUMMYFUNCTION("""COMPUTED_VALUE"""),"Self-Help")</f>
        <v>Self-Help</v>
      </c>
      <c r="C148" s="2" t="str">
        <f>IFERROR(__xludf.DUMMYFUNCTION("""COMPUTED_VALUE"""),"Adventure")</f>
        <v>Adventure</v>
      </c>
      <c r="D148" s="2" t="str">
        <f>IFERROR(__xludf.DUMMYFUNCTION("""COMPUTED_VALUE"""),"Silver Harbor Books")</f>
        <v>Silver Harbor Books</v>
      </c>
      <c r="E148" s="2">
        <f>IFERROR(__xludf.DUMMYFUNCTION("""COMPUTED_VALUE"""),11.15)</f>
        <v>11.15</v>
      </c>
      <c r="F148" s="2"/>
      <c r="G148" s="2"/>
      <c r="H148" s="2"/>
      <c r="I148" s="2"/>
    </row>
    <row r="149">
      <c r="A149" s="2">
        <f>IFERROR(__xludf.DUMMYFUNCTION("""COMPUTED_VALUE"""),110864.0)</f>
        <v>110864</v>
      </c>
      <c r="B149" s="2" t="str">
        <f>IFERROR(__xludf.DUMMYFUNCTION("""COMPUTED_VALUE"""),"Self-Help")</f>
        <v>Self-Help</v>
      </c>
      <c r="C149" s="2" t="str">
        <f>IFERROR(__xludf.DUMMYFUNCTION("""COMPUTED_VALUE"""),"Adventure")</f>
        <v>Adventure</v>
      </c>
      <c r="D149" s="2" t="str">
        <f>IFERROR(__xludf.DUMMYFUNCTION("""COMPUTED_VALUE"""),"Windfall Press")</f>
        <v>Windfall Press</v>
      </c>
      <c r="E149" s="2">
        <f>IFERROR(__xludf.DUMMYFUNCTION("""COMPUTED_VALUE"""),14.24)</f>
        <v>14.24</v>
      </c>
      <c r="F149" s="2"/>
      <c r="G149" s="2"/>
      <c r="H149" s="2"/>
      <c r="I149" s="2"/>
    </row>
    <row r="150">
      <c r="A150" s="2">
        <f>IFERROR(__xludf.DUMMYFUNCTION("""COMPUTED_VALUE"""),138916.0)</f>
        <v>138916</v>
      </c>
      <c r="B150" s="2" t="str">
        <f>IFERROR(__xludf.DUMMYFUNCTION("""COMPUTED_VALUE"""),"Self-Help")</f>
        <v>Self-Help</v>
      </c>
      <c r="C150" s="2" t="str">
        <f>IFERROR(__xludf.DUMMYFUNCTION("""COMPUTED_VALUE"""),"Adventure")</f>
        <v>Adventure</v>
      </c>
      <c r="D150" s="2" t="str">
        <f>IFERROR(__xludf.DUMMYFUNCTION("""COMPUTED_VALUE"""),"Windfall Press")</f>
        <v>Windfall Press</v>
      </c>
      <c r="E150" s="2">
        <f>IFERROR(__xludf.DUMMYFUNCTION("""COMPUTED_VALUE"""),8.01)</f>
        <v>8.01</v>
      </c>
      <c r="F150" s="2"/>
      <c r="G150" s="2"/>
      <c r="H150" s="2"/>
      <c r="I150" s="2"/>
    </row>
    <row r="151">
      <c r="A151" s="2">
        <f>IFERROR(__xludf.DUMMYFUNCTION("""COMPUTED_VALUE"""),121076.0)</f>
        <v>121076</v>
      </c>
      <c r="B151" s="2" t="str">
        <f>IFERROR(__xludf.DUMMYFUNCTION("""COMPUTED_VALUE"""),"Self-Help")</f>
        <v>Self-Help</v>
      </c>
      <c r="C151" s="2" t="str">
        <f>IFERROR(__xludf.DUMMYFUNCTION("""COMPUTED_VALUE"""),"Adventure")</f>
        <v>Adventure</v>
      </c>
      <c r="D151" s="2" t="str">
        <f>IFERROR(__xludf.DUMMYFUNCTION("""COMPUTED_VALUE"""),"Windfall Press")</f>
        <v>Windfall Press</v>
      </c>
      <c r="E151" s="2">
        <f>IFERROR(__xludf.DUMMYFUNCTION("""COMPUTED_VALUE"""),9.35)</f>
        <v>9.35</v>
      </c>
      <c r="F151" s="2"/>
      <c r="G151" s="2"/>
      <c r="H151" s="2"/>
      <c r="I151" s="2"/>
    </row>
    <row r="152">
      <c r="A152" s="2">
        <f>IFERROR(__xludf.DUMMYFUNCTION("""COMPUTED_VALUE"""),121077.0)</f>
        <v>121077</v>
      </c>
      <c r="B152" s="2" t="str">
        <f>IFERROR(__xludf.DUMMYFUNCTION("""COMPUTED_VALUE"""),"Self-Help")</f>
        <v>Self-Help</v>
      </c>
      <c r="C152" s="2" t="str">
        <f>IFERROR(__xludf.DUMMYFUNCTION("""COMPUTED_VALUE"""),"Adventure")</f>
        <v>Adventure</v>
      </c>
      <c r="D152" s="2" t="str">
        <f>IFERROR(__xludf.DUMMYFUNCTION("""COMPUTED_VALUE"""),"Windfall Press")</f>
        <v>Windfall Press</v>
      </c>
      <c r="E152" s="2">
        <f>IFERROR(__xludf.DUMMYFUNCTION("""COMPUTED_VALUE"""),9.6)</f>
        <v>9.6</v>
      </c>
      <c r="F152" s="2"/>
      <c r="G152" s="2"/>
      <c r="H152" s="2"/>
      <c r="I152" s="2"/>
    </row>
    <row r="153">
      <c r="A153" s="2">
        <f>IFERROR(__xludf.DUMMYFUNCTION("""COMPUTED_VALUE"""),116631.0)</f>
        <v>116631</v>
      </c>
      <c r="B153" s="2" t="str">
        <f>IFERROR(__xludf.DUMMYFUNCTION("""COMPUTED_VALUE"""),"Self-Help")</f>
        <v>Self-Help</v>
      </c>
      <c r="C153" s="2" t="str">
        <f>IFERROR(__xludf.DUMMYFUNCTION("""COMPUTED_VALUE"""),"Adventure")</f>
        <v>Adventure</v>
      </c>
      <c r="D153" s="2" t="str">
        <f>IFERROR(__xludf.DUMMYFUNCTION("""COMPUTED_VALUE"""),"Windfall Press")</f>
        <v>Windfall Press</v>
      </c>
      <c r="E153" s="2">
        <f>IFERROR(__xludf.DUMMYFUNCTION("""COMPUTED_VALUE"""),8.08)</f>
        <v>8.08</v>
      </c>
      <c r="F153" s="2"/>
      <c r="G153" s="2"/>
      <c r="H153" s="2"/>
      <c r="I153" s="2"/>
    </row>
    <row r="154">
      <c r="A154" s="2">
        <f>IFERROR(__xludf.DUMMYFUNCTION("""COMPUTED_VALUE"""),147263.0)</f>
        <v>147263</v>
      </c>
      <c r="B154" s="2" t="str">
        <f>IFERROR(__xludf.DUMMYFUNCTION("""COMPUTED_VALUE"""),"Self-Help")</f>
        <v>Self-Help</v>
      </c>
      <c r="C154" s="2" t="str">
        <f>IFERROR(__xludf.DUMMYFUNCTION("""COMPUTED_VALUE"""),"Adventure")</f>
        <v>Adventure</v>
      </c>
      <c r="D154" s="2" t="str">
        <f>IFERROR(__xludf.DUMMYFUNCTION("""COMPUTED_VALUE"""),"Windfall Press")</f>
        <v>Windfall Press</v>
      </c>
      <c r="E154" s="2">
        <f>IFERROR(__xludf.DUMMYFUNCTION("""COMPUTED_VALUE"""),9.28)</f>
        <v>9.28</v>
      </c>
      <c r="F154" s="2"/>
      <c r="G154" s="2"/>
      <c r="H154" s="2"/>
      <c r="I154" s="2"/>
    </row>
    <row r="155">
      <c r="A155" s="2">
        <f>IFERROR(__xludf.DUMMYFUNCTION("""COMPUTED_VALUE"""),108763.0)</f>
        <v>108763</v>
      </c>
      <c r="B155" s="2" t="str">
        <f>IFERROR(__xludf.DUMMYFUNCTION("""COMPUTED_VALUE"""),"Self-Help")</f>
        <v>Self-Help</v>
      </c>
      <c r="C155" s="2" t="str">
        <f>IFERROR(__xludf.DUMMYFUNCTION("""COMPUTED_VALUE"""),"Adventure")</f>
        <v>Adventure</v>
      </c>
      <c r="D155" s="2" t="str">
        <f>IFERROR(__xludf.DUMMYFUNCTION("""COMPUTED_VALUE"""),"Red Lantern Publishing")</f>
        <v>Red Lantern Publishing</v>
      </c>
      <c r="E155" s="2">
        <f>IFERROR(__xludf.DUMMYFUNCTION("""COMPUTED_VALUE"""),10.29)</f>
        <v>10.29</v>
      </c>
      <c r="F155" s="2"/>
      <c r="G155" s="2"/>
      <c r="H155" s="2"/>
      <c r="I155" s="2"/>
    </row>
    <row r="156">
      <c r="A156" s="2">
        <f>IFERROR(__xludf.DUMMYFUNCTION("""COMPUTED_VALUE"""),116593.0)</f>
        <v>116593</v>
      </c>
      <c r="B156" s="2" t="str">
        <f>IFERROR(__xludf.DUMMYFUNCTION("""COMPUTED_VALUE"""),"Self-Help")</f>
        <v>Self-Help</v>
      </c>
      <c r="C156" s="2" t="str">
        <f>IFERROR(__xludf.DUMMYFUNCTION("""COMPUTED_VALUE"""),"Adventure")</f>
        <v>Adventure</v>
      </c>
      <c r="D156" s="2" t="str">
        <f>IFERROR(__xludf.DUMMYFUNCTION("""COMPUTED_VALUE"""),"Red Lantern Publishing")</f>
        <v>Red Lantern Publishing</v>
      </c>
      <c r="E156" s="2">
        <f>IFERROR(__xludf.DUMMYFUNCTION("""COMPUTED_VALUE"""),13.47)</f>
        <v>13.47</v>
      </c>
      <c r="F156" s="2"/>
      <c r="G156" s="2"/>
      <c r="H156" s="2"/>
      <c r="I156" s="2"/>
    </row>
    <row r="157">
      <c r="A157" s="2">
        <f>IFERROR(__xludf.DUMMYFUNCTION("""COMPUTED_VALUE"""),116613.0)</f>
        <v>116613</v>
      </c>
      <c r="B157" s="2" t="str">
        <f>IFERROR(__xludf.DUMMYFUNCTION("""COMPUTED_VALUE"""),"Self-Help")</f>
        <v>Self-Help</v>
      </c>
      <c r="C157" s="2" t="str">
        <f>IFERROR(__xludf.DUMMYFUNCTION("""COMPUTED_VALUE"""),"Adventure")</f>
        <v>Adventure</v>
      </c>
      <c r="D157" s="2" t="str">
        <f>IFERROR(__xludf.DUMMYFUNCTION("""COMPUTED_VALUE"""),"Red Lantern Publishing")</f>
        <v>Red Lantern Publishing</v>
      </c>
      <c r="E157" s="2">
        <f>IFERROR(__xludf.DUMMYFUNCTION("""COMPUTED_VALUE"""),6.09)</f>
        <v>6.09</v>
      </c>
      <c r="F157" s="2"/>
      <c r="G157" s="2"/>
      <c r="H157" s="2"/>
      <c r="I157" s="2"/>
    </row>
    <row r="158">
      <c r="A158" s="2">
        <f>IFERROR(__xludf.DUMMYFUNCTION("""COMPUTED_VALUE"""),102476.0)</f>
        <v>102476</v>
      </c>
      <c r="B158" s="2" t="str">
        <f>IFERROR(__xludf.DUMMYFUNCTION("""COMPUTED_VALUE"""),"Self-Help")</f>
        <v>Self-Help</v>
      </c>
      <c r="C158" s="2" t="str">
        <f>IFERROR(__xludf.DUMMYFUNCTION("""COMPUTED_VALUE"""),"Adventure")</f>
        <v>Adventure</v>
      </c>
      <c r="D158" s="2" t="str">
        <f>IFERROR(__xludf.DUMMYFUNCTION("""COMPUTED_VALUE"""),"Red Lantern Publishing")</f>
        <v>Red Lantern Publishing</v>
      </c>
      <c r="E158" s="2">
        <f>IFERROR(__xludf.DUMMYFUNCTION("""COMPUTED_VALUE"""),9.63)</f>
        <v>9.63</v>
      </c>
      <c r="F158" s="2"/>
      <c r="G158" s="2"/>
      <c r="H158" s="2"/>
      <c r="I158" s="2"/>
    </row>
    <row r="159">
      <c r="A159" s="2">
        <f>IFERROR(__xludf.DUMMYFUNCTION("""COMPUTED_VALUE"""),190030.0)</f>
        <v>190030</v>
      </c>
      <c r="B159" s="2" t="str">
        <f>IFERROR(__xludf.DUMMYFUNCTION("""COMPUTED_VALUE"""),"Self-Help")</f>
        <v>Self-Help</v>
      </c>
      <c r="C159" s="2" t="str">
        <f>IFERROR(__xludf.DUMMYFUNCTION("""COMPUTED_VALUE"""),"Adventure")</f>
        <v>Adventure</v>
      </c>
      <c r="D159" s="2" t="str">
        <f>IFERROR(__xludf.DUMMYFUNCTION("""COMPUTED_VALUE"""),"Red Lantern Publishing")</f>
        <v>Red Lantern Publishing</v>
      </c>
      <c r="E159" s="2">
        <f>IFERROR(__xludf.DUMMYFUNCTION("""COMPUTED_VALUE"""),10.53)</f>
        <v>10.53</v>
      </c>
      <c r="F159" s="2"/>
      <c r="G159" s="2"/>
      <c r="H159" s="2"/>
      <c r="I159" s="2"/>
    </row>
    <row r="160">
      <c r="A160" s="2">
        <f>IFERROR(__xludf.DUMMYFUNCTION("""COMPUTED_VALUE"""),113845.0)</f>
        <v>113845</v>
      </c>
      <c r="B160" s="2" t="str">
        <f>IFERROR(__xludf.DUMMYFUNCTION("""COMPUTED_VALUE"""),"Self-Help")</f>
        <v>Self-Help</v>
      </c>
      <c r="C160" s="2" t="str">
        <f>IFERROR(__xludf.DUMMYFUNCTION("""COMPUTED_VALUE"""),"Adventure")</f>
        <v>Adventure</v>
      </c>
      <c r="D160" s="2" t="str">
        <f>IFERROR(__xludf.DUMMYFUNCTION("""COMPUTED_VALUE"""),"Red Lantern Publishing")</f>
        <v>Red Lantern Publishing</v>
      </c>
      <c r="E160" s="2">
        <f>IFERROR(__xludf.DUMMYFUNCTION("""COMPUTED_VALUE"""),8.31)</f>
        <v>8.31</v>
      </c>
      <c r="F160" s="2"/>
      <c r="G160" s="2"/>
      <c r="H160" s="2"/>
      <c r="I160" s="2"/>
    </row>
    <row r="161">
      <c r="A161" s="2">
        <f>IFERROR(__xludf.DUMMYFUNCTION("""COMPUTED_VALUE"""),77824.0)</f>
        <v>77824</v>
      </c>
      <c r="B161" s="2" t="str">
        <f>IFERROR(__xludf.DUMMYFUNCTION("""COMPUTED_VALUE"""),"Fiction")</f>
        <v>Fiction</v>
      </c>
      <c r="C161" s="2" t="str">
        <f>IFERROR(__xludf.DUMMYFUNCTION("""COMPUTED_VALUE"""),"Historical Fiction")</f>
        <v>Historical Fiction</v>
      </c>
      <c r="D161" s="2" t="str">
        <f>IFERROR(__xludf.DUMMYFUNCTION("""COMPUTED_VALUE"""),"Iron Gate Books")</f>
        <v>Iron Gate Books</v>
      </c>
      <c r="E161" s="2">
        <f>IFERROR(__xludf.DUMMYFUNCTION("""COMPUTED_VALUE"""),13.55)</f>
        <v>13.55</v>
      </c>
      <c r="F161" s="2"/>
      <c r="G161" s="2"/>
      <c r="H161" s="2"/>
      <c r="I161" s="2"/>
    </row>
    <row r="162">
      <c r="A162" s="2">
        <f>IFERROR(__xludf.DUMMYFUNCTION("""COMPUTED_VALUE"""),85888.0)</f>
        <v>85888</v>
      </c>
      <c r="B162" s="2" t="str">
        <f>IFERROR(__xludf.DUMMYFUNCTION("""COMPUTED_VALUE"""),"Fiction")</f>
        <v>Fiction</v>
      </c>
      <c r="C162" s="2" t="str">
        <f>IFERROR(__xludf.DUMMYFUNCTION("""COMPUTED_VALUE"""),"Historical Fiction")</f>
        <v>Historical Fiction</v>
      </c>
      <c r="D162" s="2" t="str">
        <f>IFERROR(__xludf.DUMMYFUNCTION("""COMPUTED_VALUE"""),"Iron Gate Books")</f>
        <v>Iron Gate Books</v>
      </c>
      <c r="E162" s="2">
        <f>IFERROR(__xludf.DUMMYFUNCTION("""COMPUTED_VALUE"""),6.43)</f>
        <v>6.43</v>
      </c>
      <c r="F162" s="2"/>
      <c r="G162" s="2"/>
      <c r="H162" s="2"/>
      <c r="I162" s="2"/>
    </row>
    <row r="163">
      <c r="A163" s="2">
        <f>IFERROR(__xludf.DUMMYFUNCTION("""COMPUTED_VALUE"""),85890.0)</f>
        <v>85890</v>
      </c>
      <c r="B163" s="2" t="str">
        <f>IFERROR(__xludf.DUMMYFUNCTION("""COMPUTED_VALUE"""),"Fiction")</f>
        <v>Fiction</v>
      </c>
      <c r="C163" s="2" t="str">
        <f>IFERROR(__xludf.DUMMYFUNCTION("""COMPUTED_VALUE"""),"Historical Fiction")</f>
        <v>Historical Fiction</v>
      </c>
      <c r="D163" s="2" t="str">
        <f>IFERROR(__xludf.DUMMYFUNCTION("""COMPUTED_VALUE"""),"Iron Gate Books")</f>
        <v>Iron Gate Books</v>
      </c>
      <c r="E163" s="2">
        <f>IFERROR(__xludf.DUMMYFUNCTION("""COMPUTED_VALUE"""),4.92)</f>
        <v>4.92</v>
      </c>
      <c r="F163" s="2"/>
      <c r="G163" s="2"/>
      <c r="H163" s="2"/>
      <c r="I163" s="2"/>
    </row>
    <row r="164">
      <c r="A164" s="2">
        <f>IFERROR(__xludf.DUMMYFUNCTION("""COMPUTED_VALUE"""),83727.0)</f>
        <v>83727</v>
      </c>
      <c r="B164" s="2" t="str">
        <f>IFERROR(__xludf.DUMMYFUNCTION("""COMPUTED_VALUE"""),"Fiction")</f>
        <v>Fiction</v>
      </c>
      <c r="C164" s="2" t="str">
        <f>IFERROR(__xludf.DUMMYFUNCTION("""COMPUTED_VALUE"""),"Historical Fiction")</f>
        <v>Historical Fiction</v>
      </c>
      <c r="D164" s="2" t="str">
        <f>IFERROR(__xludf.DUMMYFUNCTION("""COMPUTED_VALUE"""),"Iron Gate Books")</f>
        <v>Iron Gate Books</v>
      </c>
      <c r="E164" s="2">
        <f>IFERROR(__xludf.DUMMYFUNCTION("""COMPUTED_VALUE"""),32.73)</f>
        <v>32.73</v>
      </c>
      <c r="F164" s="2"/>
      <c r="G164" s="2"/>
      <c r="H164" s="2"/>
      <c r="I164" s="2"/>
    </row>
    <row r="165">
      <c r="A165" s="2">
        <f>IFERROR(__xludf.DUMMYFUNCTION("""COMPUTED_VALUE"""),85887.0)</f>
        <v>85887</v>
      </c>
      <c r="B165" s="2" t="str">
        <f>IFERROR(__xludf.DUMMYFUNCTION("""COMPUTED_VALUE"""),"Fiction")</f>
        <v>Fiction</v>
      </c>
      <c r="C165" s="2" t="str">
        <f>IFERROR(__xludf.DUMMYFUNCTION("""COMPUTED_VALUE"""),"Historical Fiction")</f>
        <v>Historical Fiction</v>
      </c>
      <c r="D165" s="2" t="str">
        <f>IFERROR(__xludf.DUMMYFUNCTION("""COMPUTED_VALUE"""),"Iron Gate Books")</f>
        <v>Iron Gate Books</v>
      </c>
      <c r="E165" s="2">
        <f>IFERROR(__xludf.DUMMYFUNCTION("""COMPUTED_VALUE"""),4.9)</f>
        <v>4.9</v>
      </c>
      <c r="F165" s="2"/>
      <c r="G165" s="2"/>
      <c r="H165" s="2"/>
      <c r="I165" s="2"/>
    </row>
    <row r="166">
      <c r="A166" s="2">
        <f>IFERROR(__xludf.DUMMYFUNCTION("""COMPUTED_VALUE"""),77823.0)</f>
        <v>77823</v>
      </c>
      <c r="B166" s="2" t="str">
        <f>IFERROR(__xludf.DUMMYFUNCTION("""COMPUTED_VALUE"""),"Fiction")</f>
        <v>Fiction</v>
      </c>
      <c r="C166" s="2" t="str">
        <f>IFERROR(__xludf.DUMMYFUNCTION("""COMPUTED_VALUE"""),"Historical Fiction")</f>
        <v>Historical Fiction</v>
      </c>
      <c r="D166" s="2" t="str">
        <f>IFERROR(__xludf.DUMMYFUNCTION("""COMPUTED_VALUE"""),"Iron Gate Books")</f>
        <v>Iron Gate Books</v>
      </c>
      <c r="E166" s="2">
        <f>IFERROR(__xludf.DUMMYFUNCTION("""COMPUTED_VALUE"""),12.15)</f>
        <v>12.15</v>
      </c>
      <c r="F166" s="2"/>
      <c r="G166" s="2"/>
      <c r="H166" s="2"/>
      <c r="I166" s="2"/>
    </row>
    <row r="167">
      <c r="A167" s="2">
        <f>IFERROR(__xludf.DUMMYFUNCTION("""COMPUTED_VALUE"""),86753.0)</f>
        <v>86753</v>
      </c>
      <c r="B167" s="2" t="str">
        <f>IFERROR(__xludf.DUMMYFUNCTION("""COMPUTED_VALUE"""),"Fiction")</f>
        <v>Fiction</v>
      </c>
      <c r="C167" s="2" t="str">
        <f>IFERROR(__xludf.DUMMYFUNCTION("""COMPUTED_VALUE"""),"Historical Fiction")</f>
        <v>Historical Fiction</v>
      </c>
      <c r="D167" s="2" t="str">
        <f>IFERROR(__xludf.DUMMYFUNCTION("""COMPUTED_VALUE"""),"Blue Harbor Press")</f>
        <v>Blue Harbor Press</v>
      </c>
      <c r="E167" s="2">
        <f>IFERROR(__xludf.DUMMYFUNCTION("""COMPUTED_VALUE"""),5.19)</f>
        <v>5.19</v>
      </c>
      <c r="F167" s="2"/>
      <c r="G167" s="2"/>
      <c r="H167" s="2"/>
      <c r="I167" s="2"/>
    </row>
    <row r="168">
      <c r="A168" s="2">
        <f>IFERROR(__xludf.DUMMYFUNCTION("""COMPUTED_VALUE"""),145102.0)</f>
        <v>145102</v>
      </c>
      <c r="B168" s="2" t="str">
        <f>IFERROR(__xludf.DUMMYFUNCTION("""COMPUTED_VALUE"""),"Fiction")</f>
        <v>Fiction</v>
      </c>
      <c r="C168" s="2" t="str">
        <f>IFERROR(__xludf.DUMMYFUNCTION("""COMPUTED_VALUE"""),"Historical Fiction")</f>
        <v>Historical Fiction</v>
      </c>
      <c r="D168" s="2" t="str">
        <f>IFERROR(__xludf.DUMMYFUNCTION("""COMPUTED_VALUE"""),"Blue Harbor Press")</f>
        <v>Blue Harbor Press</v>
      </c>
      <c r="E168" s="2">
        <f>IFERROR(__xludf.DUMMYFUNCTION("""COMPUTED_VALUE"""),13.87)</f>
        <v>13.87</v>
      </c>
      <c r="F168" s="2"/>
      <c r="G168" s="2"/>
      <c r="H168" s="2"/>
      <c r="I168" s="2"/>
    </row>
    <row r="169">
      <c r="A169" s="2">
        <f>IFERROR(__xludf.DUMMYFUNCTION("""COMPUTED_VALUE"""),78717.0)</f>
        <v>78717</v>
      </c>
      <c r="B169" s="2" t="str">
        <f>IFERROR(__xludf.DUMMYFUNCTION("""COMPUTED_VALUE"""),"Sports")</f>
        <v>Sports</v>
      </c>
      <c r="C169" s="2" t="str">
        <f>IFERROR(__xludf.DUMMYFUNCTION("""COMPUTED_VALUE"""),"Romance")</f>
        <v>Romance</v>
      </c>
      <c r="D169" s="2" t="str">
        <f>IFERROR(__xludf.DUMMYFUNCTION("""COMPUTED_VALUE"""),"Crescent Moon Publishing")</f>
        <v>Crescent Moon Publishing</v>
      </c>
      <c r="E169" s="2">
        <f>IFERROR(__xludf.DUMMYFUNCTION("""COMPUTED_VALUE"""),12.67)</f>
        <v>12.67</v>
      </c>
      <c r="F169" s="2"/>
      <c r="G169" s="2"/>
      <c r="H169" s="2"/>
      <c r="I169" s="2"/>
    </row>
    <row r="170">
      <c r="A170" s="2">
        <f>IFERROR(__xludf.DUMMYFUNCTION("""COMPUTED_VALUE"""),82777.0)</f>
        <v>82777</v>
      </c>
      <c r="B170" s="2" t="str">
        <f>IFERROR(__xludf.DUMMYFUNCTION("""COMPUTED_VALUE"""),"Sports")</f>
        <v>Sports</v>
      </c>
      <c r="C170" s="2" t="str">
        <f>IFERROR(__xludf.DUMMYFUNCTION("""COMPUTED_VALUE"""),"Romance")</f>
        <v>Romance</v>
      </c>
      <c r="D170" s="2" t="str">
        <f>IFERROR(__xludf.DUMMYFUNCTION("""COMPUTED_VALUE"""),"Crescent Moon Publishing")</f>
        <v>Crescent Moon Publishing</v>
      </c>
      <c r="E170" s="2">
        <f>IFERROR(__xludf.DUMMYFUNCTION("""COMPUTED_VALUE"""),9.03)</f>
        <v>9.03</v>
      </c>
      <c r="F170" s="2"/>
      <c r="G170" s="2"/>
      <c r="H170" s="2"/>
      <c r="I170" s="2"/>
    </row>
    <row r="171">
      <c r="A171" s="2">
        <f>IFERROR(__xludf.DUMMYFUNCTION("""COMPUTED_VALUE"""),120341.0)</f>
        <v>120341</v>
      </c>
      <c r="B171" s="2" t="str">
        <f>IFERROR(__xludf.DUMMYFUNCTION("""COMPUTED_VALUE"""),"Sports")</f>
        <v>Sports</v>
      </c>
      <c r="C171" s="2" t="str">
        <f>IFERROR(__xludf.DUMMYFUNCTION("""COMPUTED_VALUE"""),"Romance")</f>
        <v>Romance</v>
      </c>
      <c r="D171" s="2" t="str">
        <f>IFERROR(__xludf.DUMMYFUNCTION("""COMPUTED_VALUE"""),"Copper Hill Books")</f>
        <v>Copper Hill Books</v>
      </c>
      <c r="E171" s="2">
        <f>IFERROR(__xludf.DUMMYFUNCTION("""COMPUTED_VALUE"""),1.94)</f>
        <v>1.94</v>
      </c>
      <c r="F171" s="2"/>
      <c r="G171" s="2"/>
      <c r="H171" s="2"/>
      <c r="I171" s="2"/>
    </row>
    <row r="172">
      <c r="A172" s="2">
        <f>IFERROR(__xludf.DUMMYFUNCTION("""COMPUTED_VALUE"""),110344.0)</f>
        <v>110344</v>
      </c>
      <c r="B172" s="2" t="str">
        <f>IFERROR(__xludf.DUMMYFUNCTION("""COMPUTED_VALUE"""),"Sports")</f>
        <v>Sports</v>
      </c>
      <c r="C172" s="2" t="str">
        <f>IFERROR(__xludf.DUMMYFUNCTION("""COMPUTED_VALUE"""),"Romance")</f>
        <v>Romance</v>
      </c>
      <c r="D172" s="2" t="str">
        <f>IFERROR(__xludf.DUMMYFUNCTION("""COMPUTED_VALUE"""),"Copper Hill Books")</f>
        <v>Copper Hill Books</v>
      </c>
      <c r="E172" s="2">
        <f>IFERROR(__xludf.DUMMYFUNCTION("""COMPUTED_VALUE"""),7.29)</f>
        <v>7.29</v>
      </c>
      <c r="F172" s="2"/>
      <c r="G172" s="2"/>
      <c r="H172" s="2"/>
      <c r="I172" s="2"/>
    </row>
    <row r="173">
      <c r="A173" s="2">
        <f>IFERROR(__xludf.DUMMYFUNCTION("""COMPUTED_VALUE"""),120233.0)</f>
        <v>120233</v>
      </c>
      <c r="B173" s="2" t="str">
        <f>IFERROR(__xludf.DUMMYFUNCTION("""COMPUTED_VALUE"""),"Sports")</f>
        <v>Sports</v>
      </c>
      <c r="C173" s="2" t="str">
        <f>IFERROR(__xludf.DUMMYFUNCTION("""COMPUTED_VALUE"""),"Romance")</f>
        <v>Romance</v>
      </c>
      <c r="D173" s="2" t="str">
        <f>IFERROR(__xludf.DUMMYFUNCTION("""COMPUTED_VALUE"""),"Copper Hill Books")</f>
        <v>Copper Hill Books</v>
      </c>
      <c r="E173" s="2">
        <f>IFERROR(__xludf.DUMMYFUNCTION("""COMPUTED_VALUE"""),7.96)</f>
        <v>7.96</v>
      </c>
      <c r="F173" s="2"/>
      <c r="G173" s="2"/>
      <c r="H173" s="2"/>
      <c r="I173" s="2"/>
    </row>
    <row r="174">
      <c r="A174" s="2">
        <f>IFERROR(__xludf.DUMMYFUNCTION("""COMPUTED_VALUE"""),117579.0)</f>
        <v>117579</v>
      </c>
      <c r="B174" s="2" t="str">
        <f>IFERROR(__xludf.DUMMYFUNCTION("""COMPUTED_VALUE"""),"Sports")</f>
        <v>Sports</v>
      </c>
      <c r="C174" s="2" t="str">
        <f>IFERROR(__xludf.DUMMYFUNCTION("""COMPUTED_VALUE"""),"Romance")</f>
        <v>Romance</v>
      </c>
      <c r="D174" s="2" t="str">
        <f>IFERROR(__xludf.DUMMYFUNCTION("""COMPUTED_VALUE"""),"Copper Hill Books")</f>
        <v>Copper Hill Books</v>
      </c>
      <c r="E174" s="2">
        <f>IFERROR(__xludf.DUMMYFUNCTION("""COMPUTED_VALUE"""),13.32)</f>
        <v>13.32</v>
      </c>
      <c r="F174" s="2"/>
      <c r="G174" s="2"/>
      <c r="H174" s="2"/>
      <c r="I174" s="2"/>
    </row>
    <row r="175">
      <c r="A175" s="2">
        <f>IFERROR(__xludf.DUMMYFUNCTION("""COMPUTED_VALUE"""),21066.0)</f>
        <v>21066</v>
      </c>
      <c r="B175" s="2" t="str">
        <f>IFERROR(__xludf.DUMMYFUNCTION("""COMPUTED_VALUE"""),"Sports")</f>
        <v>Sports</v>
      </c>
      <c r="C175" s="2" t="str">
        <f>IFERROR(__xludf.DUMMYFUNCTION("""COMPUTED_VALUE"""),"Romance")</f>
        <v>Romance</v>
      </c>
      <c r="D175" s="2" t="str">
        <f>IFERROR(__xludf.DUMMYFUNCTION("""COMPUTED_VALUE"""),"Copper Hill Books")</f>
        <v>Copper Hill Books</v>
      </c>
      <c r="E175" s="2">
        <f>IFERROR(__xludf.DUMMYFUNCTION("""COMPUTED_VALUE"""),4.84)</f>
        <v>4.84</v>
      </c>
      <c r="F175" s="2"/>
      <c r="G175" s="2"/>
      <c r="H175" s="2"/>
      <c r="I175" s="2"/>
    </row>
    <row r="176">
      <c r="A176" s="2">
        <f>IFERROR(__xludf.DUMMYFUNCTION("""COMPUTED_VALUE"""),117583.0)</f>
        <v>117583</v>
      </c>
      <c r="B176" s="2" t="str">
        <f>IFERROR(__xludf.DUMMYFUNCTION("""COMPUTED_VALUE"""),"Sports")</f>
        <v>Sports</v>
      </c>
      <c r="C176" s="2" t="str">
        <f>IFERROR(__xludf.DUMMYFUNCTION("""COMPUTED_VALUE"""),"Romance")</f>
        <v>Romance</v>
      </c>
      <c r="D176" s="2" t="str">
        <f>IFERROR(__xludf.DUMMYFUNCTION("""COMPUTED_VALUE"""),"Copper Hill Books")</f>
        <v>Copper Hill Books</v>
      </c>
      <c r="E176" s="2">
        <f>IFERROR(__xludf.DUMMYFUNCTION("""COMPUTED_VALUE"""),15.18)</f>
        <v>15.18</v>
      </c>
      <c r="F176" s="2"/>
      <c r="G176" s="2"/>
      <c r="H176" s="2"/>
      <c r="I176" s="2"/>
    </row>
    <row r="177">
      <c r="A177" s="2">
        <f>IFERROR(__xludf.DUMMYFUNCTION("""COMPUTED_VALUE"""),71107.0)</f>
        <v>71107</v>
      </c>
      <c r="B177" s="2" t="str">
        <f>IFERROR(__xludf.DUMMYFUNCTION("""COMPUTED_VALUE"""),"Sports")</f>
        <v>Sports</v>
      </c>
      <c r="C177" s="2" t="str">
        <f>IFERROR(__xludf.DUMMYFUNCTION("""COMPUTED_VALUE"""),"Romance")</f>
        <v>Romance</v>
      </c>
      <c r="D177" s="2" t="str">
        <f>IFERROR(__xludf.DUMMYFUNCTION("""COMPUTED_VALUE"""),"Grand Oak Press")</f>
        <v>Grand Oak Press</v>
      </c>
      <c r="E177" s="2">
        <f>IFERROR(__xludf.DUMMYFUNCTION("""COMPUTED_VALUE"""),6.88)</f>
        <v>6.88</v>
      </c>
      <c r="F177" s="2"/>
      <c r="G177" s="2"/>
      <c r="H177" s="2"/>
      <c r="I177" s="2"/>
    </row>
    <row r="178">
      <c r="A178" s="2">
        <f>IFERROR(__xludf.DUMMYFUNCTION("""COMPUTED_VALUE"""),104168.0)</f>
        <v>104168</v>
      </c>
      <c r="B178" s="2" t="str">
        <f>IFERROR(__xludf.DUMMYFUNCTION("""COMPUTED_VALUE"""),"Sports")</f>
        <v>Sports</v>
      </c>
      <c r="C178" s="2" t="str">
        <f>IFERROR(__xludf.DUMMYFUNCTION("""COMPUTED_VALUE"""),"Romance")</f>
        <v>Romance</v>
      </c>
      <c r="D178" s="2" t="str">
        <f>IFERROR(__xludf.DUMMYFUNCTION("""COMPUTED_VALUE"""),"Grand Oak Press")</f>
        <v>Grand Oak Press</v>
      </c>
      <c r="E178" s="2">
        <f>IFERROR(__xludf.DUMMYFUNCTION("""COMPUTED_VALUE"""),6.2)</f>
        <v>6.2</v>
      </c>
      <c r="F178" s="2"/>
      <c r="G178" s="2"/>
      <c r="H178" s="2"/>
      <c r="I178" s="2"/>
    </row>
    <row r="179">
      <c r="A179" s="2">
        <f>IFERROR(__xludf.DUMMYFUNCTION("""COMPUTED_VALUE"""),88913.0)</f>
        <v>88913</v>
      </c>
      <c r="B179" s="2" t="str">
        <f>IFERROR(__xludf.DUMMYFUNCTION("""COMPUTED_VALUE"""),"Sports")</f>
        <v>Sports</v>
      </c>
      <c r="C179" s="2" t="str">
        <f>IFERROR(__xludf.DUMMYFUNCTION("""COMPUTED_VALUE"""),"Romance")</f>
        <v>Romance</v>
      </c>
      <c r="D179" s="2" t="str">
        <f>IFERROR(__xludf.DUMMYFUNCTION("""COMPUTED_VALUE"""),"Grand Oak Press")</f>
        <v>Grand Oak Press</v>
      </c>
      <c r="E179" s="2">
        <f>IFERROR(__xludf.DUMMYFUNCTION("""COMPUTED_VALUE"""),5.8)</f>
        <v>5.8</v>
      </c>
      <c r="F179" s="2"/>
      <c r="G179" s="2"/>
      <c r="H179" s="2"/>
      <c r="I179" s="2"/>
    </row>
    <row r="180">
      <c r="A180" s="2">
        <f>IFERROR(__xludf.DUMMYFUNCTION("""COMPUTED_VALUE"""),108160.0)</f>
        <v>108160</v>
      </c>
      <c r="B180" s="2" t="str">
        <f>IFERROR(__xludf.DUMMYFUNCTION("""COMPUTED_VALUE"""),"Sports")</f>
        <v>Sports</v>
      </c>
      <c r="C180" s="2" t="str">
        <f>IFERROR(__xludf.DUMMYFUNCTION("""COMPUTED_VALUE"""),"Romance")</f>
        <v>Romance</v>
      </c>
      <c r="D180" s="2" t="str">
        <f>IFERROR(__xludf.DUMMYFUNCTION("""COMPUTED_VALUE"""),"Grand Oak Press")</f>
        <v>Grand Oak Press</v>
      </c>
      <c r="E180" s="2">
        <f>IFERROR(__xludf.DUMMYFUNCTION("""COMPUTED_VALUE"""),5.78)</f>
        <v>5.78</v>
      </c>
      <c r="F180" s="2"/>
      <c r="G180" s="2"/>
      <c r="H180" s="2"/>
      <c r="I180" s="2"/>
    </row>
    <row r="181">
      <c r="A181" s="2">
        <f>IFERROR(__xludf.DUMMYFUNCTION("""COMPUTED_VALUE"""),128377.0)</f>
        <v>128377</v>
      </c>
      <c r="B181" s="2" t="str">
        <f>IFERROR(__xludf.DUMMYFUNCTION("""COMPUTED_VALUE"""),"Sports")</f>
        <v>Sports</v>
      </c>
      <c r="C181" s="2" t="str">
        <f>IFERROR(__xludf.DUMMYFUNCTION("""COMPUTED_VALUE"""),"Romance")</f>
        <v>Romance</v>
      </c>
      <c r="D181" s="2" t="str">
        <f>IFERROR(__xludf.DUMMYFUNCTION("""COMPUTED_VALUE"""),"Grand Oak Press")</f>
        <v>Grand Oak Press</v>
      </c>
      <c r="E181" s="2">
        <f>IFERROR(__xludf.DUMMYFUNCTION("""COMPUTED_VALUE"""),3.23)</f>
        <v>3.23</v>
      </c>
      <c r="F181" s="2"/>
      <c r="G181" s="2"/>
      <c r="H181" s="2"/>
      <c r="I181" s="2"/>
    </row>
    <row r="182">
      <c r="A182" s="2">
        <f>IFERROR(__xludf.DUMMYFUNCTION("""COMPUTED_VALUE"""),108533.0)</f>
        <v>108533</v>
      </c>
      <c r="B182" s="2" t="str">
        <f>IFERROR(__xludf.DUMMYFUNCTION("""COMPUTED_VALUE"""),"Sports")</f>
        <v>Sports</v>
      </c>
      <c r="C182" s="2" t="str">
        <f>IFERROR(__xludf.DUMMYFUNCTION("""COMPUTED_VALUE"""),"Romance")</f>
        <v>Romance</v>
      </c>
      <c r="D182" s="2" t="str">
        <f>IFERROR(__xludf.DUMMYFUNCTION("""COMPUTED_VALUE"""),"Grand Oak Press")</f>
        <v>Grand Oak Press</v>
      </c>
      <c r="E182" s="2">
        <f>IFERROR(__xludf.DUMMYFUNCTION("""COMPUTED_VALUE"""),14.08)</f>
        <v>14.08</v>
      </c>
      <c r="F182" s="2"/>
      <c r="G182" s="2"/>
      <c r="H182" s="2"/>
      <c r="I182" s="2"/>
    </row>
    <row r="183">
      <c r="A183" s="2">
        <f>IFERROR(__xludf.DUMMYFUNCTION("""COMPUTED_VALUE"""),116392.0)</f>
        <v>116392</v>
      </c>
      <c r="B183" s="2" t="str">
        <f>IFERROR(__xludf.DUMMYFUNCTION("""COMPUTED_VALUE"""),"Sports")</f>
        <v>Sports</v>
      </c>
      <c r="C183" s="2" t="str">
        <f>IFERROR(__xludf.DUMMYFUNCTION("""COMPUTED_VALUE"""),"Romance")</f>
        <v>Romance</v>
      </c>
      <c r="D183" s="2" t="str">
        <f>IFERROR(__xludf.DUMMYFUNCTION("""COMPUTED_VALUE"""),"Grand Oak Press")</f>
        <v>Grand Oak Press</v>
      </c>
      <c r="E183" s="2">
        <f>IFERROR(__xludf.DUMMYFUNCTION("""COMPUTED_VALUE"""),8.17)</f>
        <v>8.17</v>
      </c>
      <c r="F183" s="2"/>
      <c r="G183" s="2"/>
      <c r="H183" s="2"/>
      <c r="I183" s="2"/>
    </row>
    <row r="184">
      <c r="A184" s="2">
        <f>IFERROR(__xludf.DUMMYFUNCTION("""COMPUTED_VALUE"""),110328.0)</f>
        <v>110328</v>
      </c>
      <c r="B184" s="2" t="str">
        <f>IFERROR(__xludf.DUMMYFUNCTION("""COMPUTED_VALUE"""),"Sports")</f>
        <v>Sports</v>
      </c>
      <c r="C184" s="2" t="str">
        <f>IFERROR(__xludf.DUMMYFUNCTION("""COMPUTED_VALUE"""),"Romance")</f>
        <v>Romance</v>
      </c>
      <c r="D184" s="2" t="str">
        <f>IFERROR(__xludf.DUMMYFUNCTION("""COMPUTED_VALUE"""),"Grand Oak Press")</f>
        <v>Grand Oak Press</v>
      </c>
      <c r="E184" s="2">
        <f>IFERROR(__xludf.DUMMYFUNCTION("""COMPUTED_VALUE"""),5.13)</f>
        <v>5.13</v>
      </c>
      <c r="F184" s="2"/>
      <c r="G184" s="2"/>
      <c r="H184" s="2"/>
      <c r="I184" s="2"/>
    </row>
    <row r="185">
      <c r="A185" s="2">
        <f>IFERROR(__xludf.DUMMYFUNCTION("""COMPUTED_VALUE"""),101445.0)</f>
        <v>101445</v>
      </c>
      <c r="B185" s="2" t="str">
        <f>IFERROR(__xludf.DUMMYFUNCTION("""COMPUTED_VALUE"""),"Sports")</f>
        <v>Sports</v>
      </c>
      <c r="C185" s="2" t="str">
        <f>IFERROR(__xludf.DUMMYFUNCTION("""COMPUTED_VALUE"""),"Romance")</f>
        <v>Romance</v>
      </c>
      <c r="D185" s="2" t="str">
        <f>IFERROR(__xludf.DUMMYFUNCTION("""COMPUTED_VALUE"""),"Grand Oak Press")</f>
        <v>Grand Oak Press</v>
      </c>
      <c r="E185" s="2">
        <f>IFERROR(__xludf.DUMMYFUNCTION("""COMPUTED_VALUE"""),6.71)</f>
        <v>6.71</v>
      </c>
      <c r="F185" s="2"/>
      <c r="G185" s="2"/>
      <c r="H185" s="2"/>
      <c r="I185" s="2"/>
    </row>
    <row r="186">
      <c r="A186" s="2">
        <f>IFERROR(__xludf.DUMMYFUNCTION("""COMPUTED_VALUE"""),117599.0)</f>
        <v>117599</v>
      </c>
      <c r="B186" s="2" t="str">
        <f>IFERROR(__xludf.DUMMYFUNCTION("""COMPUTED_VALUE"""),"Sports")</f>
        <v>Sports</v>
      </c>
      <c r="C186" s="2" t="str">
        <f>IFERROR(__xludf.DUMMYFUNCTION("""COMPUTED_VALUE"""),"Romance")</f>
        <v>Romance</v>
      </c>
      <c r="D186" s="2" t="str">
        <f>IFERROR(__xludf.DUMMYFUNCTION("""COMPUTED_VALUE"""),"Atlas Ridge Publishing")</f>
        <v>Atlas Ridge Publishing</v>
      </c>
      <c r="E186" s="2">
        <f>IFERROR(__xludf.DUMMYFUNCTION("""COMPUTED_VALUE"""),13.47)</f>
        <v>13.47</v>
      </c>
      <c r="F186" s="2"/>
      <c r="G186" s="2"/>
      <c r="H186" s="2"/>
      <c r="I186" s="2"/>
    </row>
    <row r="187">
      <c r="A187" s="2">
        <f>IFERROR(__xludf.DUMMYFUNCTION("""COMPUTED_VALUE"""),5508.0)</f>
        <v>5508</v>
      </c>
      <c r="B187" s="2" t="str">
        <f>IFERROR(__xludf.DUMMYFUNCTION("""COMPUTED_VALUE"""),"Law")</f>
        <v>Law</v>
      </c>
      <c r="C187" s="2" t="str">
        <f>IFERROR(__xludf.DUMMYFUNCTION("""COMPUTED_VALUE"""),"Romantic Comedy")</f>
        <v>Romantic Comedy</v>
      </c>
      <c r="D187" s="2" t="str">
        <f>IFERROR(__xludf.DUMMYFUNCTION("""COMPUTED_VALUE"""),"Beacon House Books")</f>
        <v>Beacon House Books</v>
      </c>
      <c r="E187" s="2">
        <f>IFERROR(__xludf.DUMMYFUNCTION("""COMPUTED_VALUE"""),2.49)</f>
        <v>2.49</v>
      </c>
      <c r="F187" s="2"/>
      <c r="G187" s="2"/>
      <c r="H187" s="2"/>
      <c r="I187" s="2"/>
    </row>
    <row r="188">
      <c r="A188" s="2">
        <f>IFERROR(__xludf.DUMMYFUNCTION("""COMPUTED_VALUE"""),91241.0)</f>
        <v>91241</v>
      </c>
      <c r="B188" s="2" t="str">
        <f>IFERROR(__xludf.DUMMYFUNCTION("""COMPUTED_VALUE"""),"Law")</f>
        <v>Law</v>
      </c>
      <c r="C188" s="2" t="str">
        <f>IFERROR(__xludf.DUMMYFUNCTION("""COMPUTED_VALUE"""),"Romantic Comedy")</f>
        <v>Romantic Comedy</v>
      </c>
      <c r="D188" s="2" t="str">
        <f>IFERROR(__xludf.DUMMYFUNCTION("""COMPUTED_VALUE"""),"Beacon House Books")</f>
        <v>Beacon House Books</v>
      </c>
      <c r="E188" s="2">
        <f>IFERROR(__xludf.DUMMYFUNCTION("""COMPUTED_VALUE"""),5.9)</f>
        <v>5.9</v>
      </c>
      <c r="F188" s="2"/>
      <c r="G188" s="2"/>
      <c r="H188" s="2"/>
      <c r="I188" s="2"/>
    </row>
    <row r="189">
      <c r="A189" s="2">
        <f>IFERROR(__xludf.DUMMYFUNCTION("""COMPUTED_VALUE"""),5507.0)</f>
        <v>5507</v>
      </c>
      <c r="B189" s="2" t="str">
        <f>IFERROR(__xludf.DUMMYFUNCTION("""COMPUTED_VALUE"""),"Law")</f>
        <v>Law</v>
      </c>
      <c r="C189" s="2" t="str">
        <f>IFERROR(__xludf.DUMMYFUNCTION("""COMPUTED_VALUE"""),"Romantic Comedy")</f>
        <v>Romantic Comedy</v>
      </c>
      <c r="D189" s="2" t="str">
        <f>IFERROR(__xludf.DUMMYFUNCTION("""COMPUTED_VALUE"""),"Beacon House Books")</f>
        <v>Beacon House Books</v>
      </c>
      <c r="E189" s="2">
        <f>IFERROR(__xludf.DUMMYFUNCTION("""COMPUTED_VALUE"""),2.46)</f>
        <v>2.46</v>
      </c>
      <c r="F189" s="2"/>
      <c r="G189" s="2"/>
      <c r="H189" s="2"/>
      <c r="I189" s="2"/>
    </row>
    <row r="190">
      <c r="A190" s="2">
        <f>IFERROR(__xludf.DUMMYFUNCTION("""COMPUTED_VALUE"""),110575.0)</f>
        <v>110575</v>
      </c>
      <c r="B190" s="2" t="str">
        <f>IFERROR(__xludf.DUMMYFUNCTION("""COMPUTED_VALUE"""),"Law")</f>
        <v>Law</v>
      </c>
      <c r="C190" s="2" t="str">
        <f>IFERROR(__xludf.DUMMYFUNCTION("""COMPUTED_VALUE"""),"Romantic Comedy")</f>
        <v>Romantic Comedy</v>
      </c>
      <c r="D190" s="2" t="str">
        <f>IFERROR(__xludf.DUMMYFUNCTION("""COMPUTED_VALUE"""),"Beacon House Books")</f>
        <v>Beacon House Books</v>
      </c>
      <c r="E190" s="2">
        <f>IFERROR(__xludf.DUMMYFUNCTION("""COMPUTED_VALUE"""),1.15)</f>
        <v>1.15</v>
      </c>
      <c r="F190" s="2"/>
      <c r="G190" s="2"/>
      <c r="H190" s="2"/>
      <c r="I190" s="2"/>
    </row>
    <row r="191">
      <c r="A191" s="2">
        <f>IFERROR(__xludf.DUMMYFUNCTION("""COMPUTED_VALUE"""),6156.0)</f>
        <v>6156</v>
      </c>
      <c r="B191" s="2" t="str">
        <f>IFERROR(__xludf.DUMMYFUNCTION("""COMPUTED_VALUE"""),"Law")</f>
        <v>Law</v>
      </c>
      <c r="C191" s="2" t="str">
        <f>IFERROR(__xludf.DUMMYFUNCTION("""COMPUTED_VALUE"""),"Romantic Comedy")</f>
        <v>Romantic Comedy</v>
      </c>
      <c r="D191" s="2" t="str">
        <f>IFERROR(__xludf.DUMMYFUNCTION("""COMPUTED_VALUE"""),"Beacon House Books")</f>
        <v>Beacon House Books</v>
      </c>
      <c r="E191" s="2">
        <f>IFERROR(__xludf.DUMMYFUNCTION("""COMPUTED_VALUE"""),3.09)</f>
        <v>3.09</v>
      </c>
      <c r="F191" s="2"/>
      <c r="G191" s="2"/>
      <c r="H191" s="2"/>
      <c r="I191" s="2"/>
    </row>
    <row r="192">
      <c r="A192" s="2">
        <f>IFERROR(__xludf.DUMMYFUNCTION("""COMPUTED_VALUE"""),91239.0)</f>
        <v>91239</v>
      </c>
      <c r="B192" s="2" t="str">
        <f>IFERROR(__xludf.DUMMYFUNCTION("""COMPUTED_VALUE"""),"Law")</f>
        <v>Law</v>
      </c>
      <c r="C192" s="2" t="str">
        <f>IFERROR(__xludf.DUMMYFUNCTION("""COMPUTED_VALUE"""),"Romantic Comedy")</f>
        <v>Romantic Comedy</v>
      </c>
      <c r="D192" s="2" t="str">
        <f>IFERROR(__xludf.DUMMYFUNCTION("""COMPUTED_VALUE"""),"Beacon House Books")</f>
        <v>Beacon House Books</v>
      </c>
      <c r="E192" s="2">
        <f>IFERROR(__xludf.DUMMYFUNCTION("""COMPUTED_VALUE"""),2.06)</f>
        <v>2.06</v>
      </c>
      <c r="F192" s="2"/>
      <c r="G192" s="2"/>
      <c r="H192" s="2"/>
      <c r="I192" s="2"/>
    </row>
    <row r="193">
      <c r="A193" s="2">
        <f>IFERROR(__xludf.DUMMYFUNCTION("""COMPUTED_VALUE"""),77361.0)</f>
        <v>77361</v>
      </c>
      <c r="B193" s="2" t="str">
        <f>IFERROR(__xludf.DUMMYFUNCTION("""COMPUTED_VALUE"""),"Law")</f>
        <v>Law</v>
      </c>
      <c r="C193" s="2" t="str">
        <f>IFERROR(__xludf.DUMMYFUNCTION("""COMPUTED_VALUE"""),"Romantic Comedy")</f>
        <v>Romantic Comedy</v>
      </c>
      <c r="D193" s="2" t="str">
        <f>IFERROR(__xludf.DUMMYFUNCTION("""COMPUTED_VALUE"""),"Beacon House Books")</f>
        <v>Beacon House Books</v>
      </c>
      <c r="E193" s="2">
        <f>IFERROR(__xludf.DUMMYFUNCTION("""COMPUTED_VALUE"""),2.0)</f>
        <v>2</v>
      </c>
      <c r="F193" s="2"/>
      <c r="G193" s="2"/>
      <c r="H193" s="2"/>
      <c r="I193" s="2"/>
    </row>
    <row r="194">
      <c r="A194" s="2">
        <f>IFERROR(__xludf.DUMMYFUNCTION("""COMPUTED_VALUE"""),77363.0)</f>
        <v>77363</v>
      </c>
      <c r="B194" s="2" t="str">
        <f>IFERROR(__xludf.DUMMYFUNCTION("""COMPUTED_VALUE"""),"Law")</f>
        <v>Law</v>
      </c>
      <c r="C194" s="2" t="str">
        <f>IFERROR(__xludf.DUMMYFUNCTION("""COMPUTED_VALUE"""),"Romantic Comedy")</f>
        <v>Romantic Comedy</v>
      </c>
      <c r="D194" s="2" t="str">
        <f>IFERROR(__xludf.DUMMYFUNCTION("""COMPUTED_VALUE"""),"Beacon House Books")</f>
        <v>Beacon House Books</v>
      </c>
      <c r="E194" s="2">
        <f>IFERROR(__xludf.DUMMYFUNCTION("""COMPUTED_VALUE"""),2.35)</f>
        <v>2.35</v>
      </c>
      <c r="F194" s="2"/>
      <c r="G194" s="2"/>
      <c r="H194" s="2"/>
      <c r="I194" s="2"/>
    </row>
    <row r="195">
      <c r="A195" s="2">
        <f>IFERROR(__xludf.DUMMYFUNCTION("""COMPUTED_VALUE"""),124679.0)</f>
        <v>124679</v>
      </c>
      <c r="B195" s="2" t="str">
        <f>IFERROR(__xludf.DUMMYFUNCTION("""COMPUTED_VALUE"""),"Law")</f>
        <v>Law</v>
      </c>
      <c r="C195" s="2" t="str">
        <f>IFERROR(__xludf.DUMMYFUNCTION("""COMPUTED_VALUE"""),"Romantic Comedy")</f>
        <v>Romantic Comedy</v>
      </c>
      <c r="D195" s="2" t="str">
        <f>IFERROR(__xludf.DUMMYFUNCTION("""COMPUTED_VALUE"""),"Golden Harbor Press")</f>
        <v>Golden Harbor Press</v>
      </c>
      <c r="E195" s="2">
        <f>IFERROR(__xludf.DUMMYFUNCTION("""COMPUTED_VALUE"""),2.01)</f>
        <v>2.01</v>
      </c>
      <c r="F195" s="2"/>
      <c r="G195" s="2"/>
      <c r="H195" s="2"/>
      <c r="I195" s="2"/>
    </row>
    <row r="196">
      <c r="A196" s="2">
        <f>IFERROR(__xludf.DUMMYFUNCTION("""COMPUTED_VALUE"""),89558.0)</f>
        <v>89558</v>
      </c>
      <c r="B196" s="2" t="str">
        <f>IFERROR(__xludf.DUMMYFUNCTION("""COMPUTED_VALUE"""),"Law")</f>
        <v>Law</v>
      </c>
      <c r="C196" s="2" t="str">
        <f>IFERROR(__xludf.DUMMYFUNCTION("""COMPUTED_VALUE"""),"Romantic Comedy")</f>
        <v>Romantic Comedy</v>
      </c>
      <c r="D196" s="2" t="str">
        <f>IFERROR(__xludf.DUMMYFUNCTION("""COMPUTED_VALUE"""),"Golden Harbor Press")</f>
        <v>Golden Harbor Press</v>
      </c>
      <c r="E196" s="2">
        <f>IFERROR(__xludf.DUMMYFUNCTION("""COMPUTED_VALUE"""),2.64)</f>
        <v>2.64</v>
      </c>
      <c r="F196" s="2"/>
      <c r="G196" s="2"/>
      <c r="H196" s="2"/>
      <c r="I196" s="2"/>
    </row>
    <row r="197">
      <c r="A197" s="2">
        <f>IFERROR(__xludf.DUMMYFUNCTION("""COMPUTED_VALUE"""),91235.0)</f>
        <v>91235</v>
      </c>
      <c r="B197" s="2" t="str">
        <f>IFERROR(__xludf.DUMMYFUNCTION("""COMPUTED_VALUE"""),"Law")</f>
        <v>Law</v>
      </c>
      <c r="C197" s="2" t="str">
        <f>IFERROR(__xludf.DUMMYFUNCTION("""COMPUTED_VALUE"""),"Romantic Comedy")</f>
        <v>Romantic Comedy</v>
      </c>
      <c r="D197" s="2" t="str">
        <f>IFERROR(__xludf.DUMMYFUNCTION("""COMPUTED_VALUE"""),"Frontier Publishing")</f>
        <v>Frontier Publishing</v>
      </c>
      <c r="E197" s="2">
        <f>IFERROR(__xludf.DUMMYFUNCTION("""COMPUTED_VALUE"""),6.05)</f>
        <v>6.05</v>
      </c>
      <c r="F197" s="2"/>
      <c r="G197" s="2"/>
      <c r="H197" s="2"/>
      <c r="I197" s="2"/>
    </row>
    <row r="198">
      <c r="A198" s="2">
        <f>IFERROR(__xludf.DUMMYFUNCTION("""COMPUTED_VALUE"""),5519.0)</f>
        <v>5519</v>
      </c>
      <c r="B198" s="2" t="str">
        <f>IFERROR(__xludf.DUMMYFUNCTION("""COMPUTED_VALUE"""),"Law")</f>
        <v>Law</v>
      </c>
      <c r="C198" s="2" t="str">
        <f>IFERROR(__xludf.DUMMYFUNCTION("""COMPUTED_VALUE"""),"Romantic Comedy")</f>
        <v>Romantic Comedy</v>
      </c>
      <c r="D198" s="2" t="str">
        <f>IFERROR(__xludf.DUMMYFUNCTION("""COMPUTED_VALUE"""),"Frontier Publishing")</f>
        <v>Frontier Publishing</v>
      </c>
      <c r="E198" s="2">
        <f>IFERROR(__xludf.DUMMYFUNCTION("""COMPUTED_VALUE"""),3.01)</f>
        <v>3.01</v>
      </c>
      <c r="F198" s="2"/>
      <c r="G198" s="2"/>
      <c r="H198" s="2"/>
      <c r="I198" s="2"/>
    </row>
    <row r="199">
      <c r="A199" s="2">
        <f>IFERROR(__xludf.DUMMYFUNCTION("""COMPUTED_VALUE"""),87278.0)</f>
        <v>87278</v>
      </c>
      <c r="B199" s="2" t="str">
        <f>IFERROR(__xludf.DUMMYFUNCTION("""COMPUTED_VALUE"""),"Law")</f>
        <v>Law</v>
      </c>
      <c r="C199" s="2" t="str">
        <f>IFERROR(__xludf.DUMMYFUNCTION("""COMPUTED_VALUE"""),"Romantic Comedy")</f>
        <v>Romantic Comedy</v>
      </c>
      <c r="D199" s="2" t="str">
        <f>IFERROR(__xludf.DUMMYFUNCTION("""COMPUTED_VALUE"""),"Frontier Publishing")</f>
        <v>Frontier Publishing</v>
      </c>
      <c r="E199" s="2">
        <f>IFERROR(__xludf.DUMMYFUNCTION("""COMPUTED_VALUE"""),3.05)</f>
        <v>3.05</v>
      </c>
      <c r="F199" s="2"/>
      <c r="G199" s="2"/>
      <c r="H199" s="2"/>
      <c r="I199" s="2"/>
    </row>
    <row r="200">
      <c r="A200" s="2">
        <f>IFERROR(__xludf.DUMMYFUNCTION("""COMPUTED_VALUE"""),77326.0)</f>
        <v>77326</v>
      </c>
      <c r="B200" s="2" t="str">
        <f>IFERROR(__xludf.DUMMYFUNCTION("""COMPUTED_VALUE"""),"Law")</f>
        <v>Law</v>
      </c>
      <c r="C200" s="2" t="str">
        <f>IFERROR(__xludf.DUMMYFUNCTION("""COMPUTED_VALUE"""),"Romantic Comedy")</f>
        <v>Romantic Comedy</v>
      </c>
      <c r="D200" s="2" t="str">
        <f>IFERROR(__xludf.DUMMYFUNCTION("""COMPUTED_VALUE"""),"Frontier Publishing")</f>
        <v>Frontier Publishing</v>
      </c>
      <c r="E200" s="2">
        <f>IFERROR(__xludf.DUMMYFUNCTION("""COMPUTED_VALUE"""),1.98)</f>
        <v>1.98</v>
      </c>
      <c r="F200" s="2"/>
      <c r="G200" s="2"/>
      <c r="H200" s="2"/>
      <c r="I200" s="2"/>
    </row>
    <row r="201">
      <c r="A201" s="2">
        <f>IFERROR(__xludf.DUMMYFUNCTION("""COMPUTED_VALUE"""),6158.0)</f>
        <v>6158</v>
      </c>
      <c r="B201" s="2" t="str">
        <f>IFERROR(__xludf.DUMMYFUNCTION("""COMPUTED_VALUE"""),"Law")</f>
        <v>Law</v>
      </c>
      <c r="C201" s="2" t="str">
        <f>IFERROR(__xludf.DUMMYFUNCTION("""COMPUTED_VALUE"""),"Romantic Comedy")</f>
        <v>Romantic Comedy</v>
      </c>
      <c r="D201" s="2" t="str">
        <f>IFERROR(__xludf.DUMMYFUNCTION("""COMPUTED_VALUE"""),"Frontier Publishing")</f>
        <v>Frontier Publishing</v>
      </c>
      <c r="E201" s="2">
        <f>IFERROR(__xludf.DUMMYFUNCTION("""COMPUTED_VALUE"""),3.25)</f>
        <v>3.25</v>
      </c>
      <c r="F201" s="2"/>
      <c r="G201" s="2"/>
      <c r="H201" s="2"/>
      <c r="I201" s="2"/>
    </row>
    <row r="202">
      <c r="A202" s="2">
        <f>IFERROR(__xludf.DUMMYFUNCTION("""COMPUTED_VALUE"""),77338.0)</f>
        <v>77338</v>
      </c>
      <c r="B202" s="2" t="str">
        <f>IFERROR(__xludf.DUMMYFUNCTION("""COMPUTED_VALUE"""),"Law")</f>
        <v>Law</v>
      </c>
      <c r="C202" s="2" t="str">
        <f>IFERROR(__xludf.DUMMYFUNCTION("""COMPUTED_VALUE"""),"Romantic Comedy")</f>
        <v>Romantic Comedy</v>
      </c>
      <c r="D202" s="2" t="str">
        <f>IFERROR(__xludf.DUMMYFUNCTION("""COMPUTED_VALUE"""),"Frontier Publishing")</f>
        <v>Frontier Publishing</v>
      </c>
      <c r="E202" s="2">
        <f>IFERROR(__xludf.DUMMYFUNCTION("""COMPUTED_VALUE"""),2.84)</f>
        <v>2.84</v>
      </c>
      <c r="F202" s="2"/>
      <c r="G202" s="2"/>
      <c r="H202" s="2"/>
      <c r="I202" s="2"/>
    </row>
    <row r="203">
      <c r="A203" s="2">
        <f>IFERROR(__xludf.DUMMYFUNCTION("""COMPUTED_VALUE"""),159220.0)</f>
        <v>159220</v>
      </c>
      <c r="B203" s="2" t="str">
        <f>IFERROR(__xludf.DUMMYFUNCTION("""COMPUTED_VALUE"""),"Law")</f>
        <v>Law</v>
      </c>
      <c r="C203" s="2" t="str">
        <f>IFERROR(__xludf.DUMMYFUNCTION("""COMPUTED_VALUE"""),"Romantic Comedy")</f>
        <v>Romantic Comedy</v>
      </c>
      <c r="D203" s="2" t="str">
        <f>IFERROR(__xludf.DUMMYFUNCTION("""COMPUTED_VALUE"""),"Frontier Publishing")</f>
        <v>Frontier Publishing</v>
      </c>
      <c r="E203" s="2">
        <f>IFERROR(__xludf.DUMMYFUNCTION("""COMPUTED_VALUE"""),0.45)</f>
        <v>0.45</v>
      </c>
      <c r="F203" s="2"/>
      <c r="G203" s="2"/>
      <c r="H203" s="2"/>
      <c r="I203" s="2"/>
    </row>
    <row r="204">
      <c r="A204" s="2">
        <f>IFERROR(__xludf.DUMMYFUNCTION("""COMPUTED_VALUE"""),5521.0)</f>
        <v>5521</v>
      </c>
      <c r="B204" s="2" t="str">
        <f>IFERROR(__xludf.DUMMYFUNCTION("""COMPUTED_VALUE"""),"Law")</f>
        <v>Law</v>
      </c>
      <c r="C204" s="2" t="str">
        <f>IFERROR(__xludf.DUMMYFUNCTION("""COMPUTED_VALUE"""),"Romantic Comedy")</f>
        <v>Romantic Comedy</v>
      </c>
      <c r="D204" s="2" t="str">
        <f>IFERROR(__xludf.DUMMYFUNCTION("""COMPUTED_VALUE"""),"Frontier Publishing")</f>
        <v>Frontier Publishing</v>
      </c>
      <c r="E204" s="2">
        <f>IFERROR(__xludf.DUMMYFUNCTION("""COMPUTED_VALUE"""),3.21)</f>
        <v>3.21</v>
      </c>
      <c r="F204" s="2"/>
      <c r="G204" s="2"/>
      <c r="H204" s="2"/>
      <c r="I204" s="2"/>
    </row>
    <row r="205">
      <c r="A205" s="2">
        <f>IFERROR(__xludf.DUMMYFUNCTION("""COMPUTED_VALUE"""),91225.0)</f>
        <v>91225</v>
      </c>
      <c r="B205" s="2" t="str">
        <f>IFERROR(__xludf.DUMMYFUNCTION("""COMPUTED_VALUE"""),"Law")</f>
        <v>Law</v>
      </c>
      <c r="C205" s="2" t="str">
        <f>IFERROR(__xludf.DUMMYFUNCTION("""COMPUTED_VALUE"""),"Romantic Comedy")</f>
        <v>Romantic Comedy</v>
      </c>
      <c r="D205" s="2" t="str">
        <f>IFERROR(__xludf.DUMMYFUNCTION("""COMPUTED_VALUE"""),"Frontier Publishing")</f>
        <v>Frontier Publishing</v>
      </c>
      <c r="E205" s="2">
        <f>IFERROR(__xludf.DUMMYFUNCTION("""COMPUTED_VALUE"""),6.07)</f>
        <v>6.07</v>
      </c>
      <c r="F205" s="2"/>
      <c r="G205" s="2"/>
      <c r="H205" s="2"/>
      <c r="I205" s="2"/>
    </row>
    <row r="206">
      <c r="A206" s="2">
        <f>IFERROR(__xludf.DUMMYFUNCTION("""COMPUTED_VALUE"""),5520.0)</f>
        <v>5520</v>
      </c>
      <c r="B206" s="2" t="str">
        <f>IFERROR(__xludf.DUMMYFUNCTION("""COMPUTED_VALUE"""),"Law")</f>
        <v>Law</v>
      </c>
      <c r="C206" s="2" t="str">
        <f>IFERROR(__xludf.DUMMYFUNCTION("""COMPUTED_VALUE"""),"Romantic Comedy")</f>
        <v>Romantic Comedy</v>
      </c>
      <c r="D206" s="2" t="str">
        <f>IFERROR(__xludf.DUMMYFUNCTION("""COMPUTED_VALUE"""),"Frontier Publishing")</f>
        <v>Frontier Publishing</v>
      </c>
      <c r="E206" s="2">
        <f>IFERROR(__xludf.DUMMYFUNCTION("""COMPUTED_VALUE"""),1.73)</f>
        <v>1.73</v>
      </c>
      <c r="F206" s="2"/>
      <c r="G206" s="2"/>
      <c r="H206" s="2"/>
      <c r="I206" s="2"/>
    </row>
    <row r="207">
      <c r="A207" s="2">
        <f>IFERROR(__xludf.DUMMYFUNCTION("""COMPUTED_VALUE"""),87285.0)</f>
        <v>87285</v>
      </c>
      <c r="B207" s="2" t="str">
        <f>IFERROR(__xludf.DUMMYFUNCTION("""COMPUTED_VALUE"""),"Law")</f>
        <v>Law</v>
      </c>
      <c r="C207" s="2" t="str">
        <f>IFERROR(__xludf.DUMMYFUNCTION("""COMPUTED_VALUE"""),"Romantic Comedy")</f>
        <v>Romantic Comedy</v>
      </c>
      <c r="D207" s="2" t="str">
        <f>IFERROR(__xludf.DUMMYFUNCTION("""COMPUTED_VALUE"""),"Frontier Publishing")</f>
        <v>Frontier Publishing</v>
      </c>
      <c r="E207" s="2">
        <f>IFERROR(__xludf.DUMMYFUNCTION("""COMPUTED_VALUE"""),1.29)</f>
        <v>1.29</v>
      </c>
      <c r="F207" s="2"/>
      <c r="G207" s="2"/>
      <c r="H207" s="2"/>
      <c r="I207" s="2"/>
    </row>
    <row r="208">
      <c r="A208" s="2">
        <f>IFERROR(__xludf.DUMMYFUNCTION("""COMPUTED_VALUE"""),72862.0)</f>
        <v>72862</v>
      </c>
      <c r="B208" s="2" t="str">
        <f>IFERROR(__xludf.DUMMYFUNCTION("""COMPUTED_VALUE"""),"Law")</f>
        <v>Law</v>
      </c>
      <c r="C208" s="2" t="str">
        <f>IFERROR(__xludf.DUMMYFUNCTION("""COMPUTED_VALUE"""),"Romantic Comedy")</f>
        <v>Romantic Comedy</v>
      </c>
      <c r="D208" s="2" t="str">
        <f>IFERROR(__xludf.DUMMYFUNCTION("""COMPUTED_VALUE"""),"New Dawn Books")</f>
        <v>New Dawn Books</v>
      </c>
      <c r="E208" s="2">
        <f>IFERROR(__xludf.DUMMYFUNCTION("""COMPUTED_VALUE"""),4.23)</f>
        <v>4.23</v>
      </c>
      <c r="F208" s="2"/>
      <c r="G208" s="2"/>
      <c r="H208" s="2"/>
      <c r="I208" s="2"/>
    </row>
    <row r="209">
      <c r="A209" s="2">
        <f>IFERROR(__xludf.DUMMYFUNCTION("""COMPUTED_VALUE"""),109474.0)</f>
        <v>109474</v>
      </c>
      <c r="B209" s="2" t="str">
        <f>IFERROR(__xludf.DUMMYFUNCTION("""COMPUTED_VALUE"""),"Law")</f>
        <v>Law</v>
      </c>
      <c r="C209" s="2" t="str">
        <f>IFERROR(__xludf.DUMMYFUNCTION("""COMPUTED_VALUE"""),"Romantic Comedy")</f>
        <v>Romantic Comedy</v>
      </c>
      <c r="D209" s="2" t="str">
        <f>IFERROR(__xludf.DUMMYFUNCTION("""COMPUTED_VALUE"""),"New Dawn Books")</f>
        <v>New Dawn Books</v>
      </c>
      <c r="E209" s="2">
        <f>IFERROR(__xludf.DUMMYFUNCTION("""COMPUTED_VALUE"""),1.9)</f>
        <v>1.9</v>
      </c>
      <c r="F209" s="2"/>
      <c r="G209" s="2"/>
      <c r="H209" s="2"/>
      <c r="I209" s="2"/>
    </row>
    <row r="210">
      <c r="A210" s="2">
        <f>IFERROR(__xludf.DUMMYFUNCTION("""COMPUTED_VALUE"""),45834.0)</f>
        <v>45834</v>
      </c>
      <c r="B210" s="2" t="str">
        <f>IFERROR(__xludf.DUMMYFUNCTION("""COMPUTED_VALUE"""),"Law")</f>
        <v>Law</v>
      </c>
      <c r="C210" s="2" t="str">
        <f>IFERROR(__xludf.DUMMYFUNCTION("""COMPUTED_VALUE"""),"Romantic Comedy")</f>
        <v>Romantic Comedy</v>
      </c>
      <c r="D210" s="2" t="str">
        <f>IFERROR(__xludf.DUMMYFUNCTION("""COMPUTED_VALUE"""),"New Dawn Books")</f>
        <v>New Dawn Books</v>
      </c>
      <c r="E210" s="2">
        <f>IFERROR(__xludf.DUMMYFUNCTION("""COMPUTED_VALUE"""),2.48)</f>
        <v>2.48</v>
      </c>
      <c r="F210" s="2"/>
      <c r="G210" s="2"/>
      <c r="H210" s="2"/>
      <c r="I210" s="2"/>
    </row>
    <row r="211">
      <c r="A211" s="2">
        <f>IFERROR(__xludf.DUMMYFUNCTION("""COMPUTED_VALUE"""),45885.0)</f>
        <v>45885</v>
      </c>
      <c r="B211" s="2" t="str">
        <f>IFERROR(__xludf.DUMMYFUNCTION("""COMPUTED_VALUE"""),"Law")</f>
        <v>Law</v>
      </c>
      <c r="C211" s="2" t="str">
        <f>IFERROR(__xludf.DUMMYFUNCTION("""COMPUTED_VALUE"""),"Romantic Comedy")</f>
        <v>Romantic Comedy</v>
      </c>
      <c r="D211" s="2" t="str">
        <f>IFERROR(__xludf.DUMMYFUNCTION("""COMPUTED_VALUE"""),"Everlight Press")</f>
        <v>Everlight Press</v>
      </c>
      <c r="E211" s="2">
        <f>IFERROR(__xludf.DUMMYFUNCTION("""COMPUTED_VALUE"""),2.16)</f>
        <v>2.16</v>
      </c>
      <c r="F211" s="2"/>
      <c r="G211" s="2"/>
      <c r="H211" s="2"/>
      <c r="I211" s="2"/>
    </row>
    <row r="212">
      <c r="A212" s="2">
        <f>IFERROR(__xludf.DUMMYFUNCTION("""COMPUTED_VALUE"""),77360.0)</f>
        <v>77360</v>
      </c>
      <c r="B212" s="2" t="str">
        <f>IFERROR(__xludf.DUMMYFUNCTION("""COMPUTED_VALUE"""),"Law")</f>
        <v>Law</v>
      </c>
      <c r="C212" s="2" t="str">
        <f>IFERROR(__xludf.DUMMYFUNCTION("""COMPUTED_VALUE"""),"Romantic Comedy")</f>
        <v>Romantic Comedy</v>
      </c>
      <c r="D212" s="2" t="str">
        <f>IFERROR(__xludf.DUMMYFUNCTION("""COMPUTED_VALUE"""),"Everlight Press")</f>
        <v>Everlight Press</v>
      </c>
      <c r="E212" s="2">
        <f>IFERROR(__xludf.DUMMYFUNCTION("""COMPUTED_VALUE"""),1.97)</f>
        <v>1.97</v>
      </c>
      <c r="F212" s="2"/>
      <c r="G212" s="2"/>
      <c r="H212" s="2"/>
      <c r="I212" s="2"/>
    </row>
    <row r="213">
      <c r="A213" s="2">
        <f>IFERROR(__xludf.DUMMYFUNCTION("""COMPUTED_VALUE"""),89787.0)</f>
        <v>89787</v>
      </c>
      <c r="B213" s="2" t="str">
        <f>IFERROR(__xludf.DUMMYFUNCTION("""COMPUTED_VALUE"""),"Law")</f>
        <v>Law</v>
      </c>
      <c r="C213" s="2" t="str">
        <f>IFERROR(__xludf.DUMMYFUNCTION("""COMPUTED_VALUE"""),"Romantic Comedy")</f>
        <v>Romantic Comedy</v>
      </c>
      <c r="D213" s="2" t="str">
        <f>IFERROR(__xludf.DUMMYFUNCTION("""COMPUTED_VALUE"""),"Everlight Press")</f>
        <v>Everlight Press</v>
      </c>
      <c r="E213" s="2">
        <f>IFERROR(__xludf.DUMMYFUNCTION("""COMPUTED_VALUE"""),1.87)</f>
        <v>1.87</v>
      </c>
      <c r="F213" s="2"/>
      <c r="G213" s="2"/>
      <c r="H213" s="2"/>
      <c r="I213" s="2"/>
    </row>
    <row r="214">
      <c r="A214" s="2">
        <f>IFERROR(__xludf.DUMMYFUNCTION("""COMPUTED_VALUE"""),5531.0)</f>
        <v>5531</v>
      </c>
      <c r="B214" s="2" t="str">
        <f>IFERROR(__xludf.DUMMYFUNCTION("""COMPUTED_VALUE"""),"Law")</f>
        <v>Law</v>
      </c>
      <c r="C214" s="2" t="str">
        <f>IFERROR(__xludf.DUMMYFUNCTION("""COMPUTED_VALUE"""),"Romantic Comedy")</f>
        <v>Romantic Comedy</v>
      </c>
      <c r="D214" s="2" t="str">
        <f>IFERROR(__xludf.DUMMYFUNCTION("""COMPUTED_VALUE"""),"Everlight Press")</f>
        <v>Everlight Press</v>
      </c>
      <c r="E214" s="2">
        <f>IFERROR(__xludf.DUMMYFUNCTION("""COMPUTED_VALUE"""),2.06)</f>
        <v>2.06</v>
      </c>
      <c r="F214" s="2"/>
      <c r="G214" s="2"/>
      <c r="H214" s="2"/>
      <c r="I214" s="2"/>
    </row>
    <row r="215">
      <c r="A215" s="2">
        <f>IFERROR(__xludf.DUMMYFUNCTION("""COMPUTED_VALUE"""),72826.0)</f>
        <v>72826</v>
      </c>
      <c r="B215" s="2" t="str">
        <f>IFERROR(__xludf.DUMMYFUNCTION("""COMPUTED_VALUE"""),"Law")</f>
        <v>Law</v>
      </c>
      <c r="C215" s="2" t="str">
        <f>IFERROR(__xludf.DUMMYFUNCTION("""COMPUTED_VALUE"""),"Romantic Comedy")</f>
        <v>Romantic Comedy</v>
      </c>
      <c r="D215" s="2" t="str">
        <f>IFERROR(__xludf.DUMMYFUNCTION("""COMPUTED_VALUE"""),"Everlight Press")</f>
        <v>Everlight Press</v>
      </c>
      <c r="E215" s="2">
        <f>IFERROR(__xludf.DUMMYFUNCTION("""COMPUTED_VALUE"""),2.1)</f>
        <v>2.1</v>
      </c>
      <c r="F215" s="2"/>
      <c r="G215" s="2"/>
      <c r="H215" s="2"/>
      <c r="I215" s="2"/>
    </row>
    <row r="216">
      <c r="A216" s="2">
        <f>IFERROR(__xludf.DUMMYFUNCTION("""COMPUTED_VALUE"""),91180.0)</f>
        <v>91180</v>
      </c>
      <c r="B216" s="2" t="str">
        <f>IFERROR(__xludf.DUMMYFUNCTION("""COMPUTED_VALUE"""),"Law")</f>
        <v>Law</v>
      </c>
      <c r="C216" s="2" t="str">
        <f>IFERROR(__xludf.DUMMYFUNCTION("""COMPUTED_VALUE"""),"Romantic Comedy")</f>
        <v>Romantic Comedy</v>
      </c>
      <c r="D216" s="2" t="str">
        <f>IFERROR(__xludf.DUMMYFUNCTION("""COMPUTED_VALUE"""),"Everlight Press")</f>
        <v>Everlight Press</v>
      </c>
      <c r="E216" s="2">
        <f>IFERROR(__xludf.DUMMYFUNCTION("""COMPUTED_VALUE"""),2.16)</f>
        <v>2.16</v>
      </c>
      <c r="F216" s="2"/>
      <c r="G216" s="2"/>
      <c r="H216" s="2"/>
      <c r="I216" s="2"/>
    </row>
    <row r="217">
      <c r="A217" s="2">
        <f>IFERROR(__xludf.DUMMYFUNCTION("""COMPUTED_VALUE"""),58757.0)</f>
        <v>58757</v>
      </c>
      <c r="B217" s="2" t="str">
        <f>IFERROR(__xludf.DUMMYFUNCTION("""COMPUTED_VALUE"""),"Law")</f>
        <v>Law</v>
      </c>
      <c r="C217" s="2" t="str">
        <f>IFERROR(__xludf.DUMMYFUNCTION("""COMPUTED_VALUE"""),"Romantic Comedy")</f>
        <v>Romantic Comedy</v>
      </c>
      <c r="D217" s="2" t="str">
        <f>IFERROR(__xludf.DUMMYFUNCTION("""COMPUTED_VALUE"""),"Everlight Press")</f>
        <v>Everlight Press</v>
      </c>
      <c r="E217" s="2">
        <f>IFERROR(__xludf.DUMMYFUNCTION("""COMPUTED_VALUE"""),2.11)</f>
        <v>2.11</v>
      </c>
      <c r="F217" s="2"/>
      <c r="G217" s="2"/>
      <c r="H217" s="2"/>
      <c r="I217" s="2"/>
    </row>
    <row r="218">
      <c r="A218" s="2">
        <f>IFERROR(__xludf.DUMMYFUNCTION("""COMPUTED_VALUE"""),87287.0)</f>
        <v>87287</v>
      </c>
      <c r="B218" s="2" t="str">
        <f>IFERROR(__xludf.DUMMYFUNCTION("""COMPUTED_VALUE"""),"Law")</f>
        <v>Law</v>
      </c>
      <c r="C218" s="2" t="str">
        <f>IFERROR(__xludf.DUMMYFUNCTION("""COMPUTED_VALUE"""),"Romantic Comedy")</f>
        <v>Romantic Comedy</v>
      </c>
      <c r="D218" s="2" t="str">
        <f>IFERROR(__xludf.DUMMYFUNCTION("""COMPUTED_VALUE"""),"Everlight Press")</f>
        <v>Everlight Press</v>
      </c>
      <c r="E218" s="2">
        <f>IFERROR(__xludf.DUMMYFUNCTION("""COMPUTED_VALUE"""),1.34)</f>
        <v>1.34</v>
      </c>
      <c r="F218" s="2"/>
      <c r="G218" s="2"/>
      <c r="H218" s="2"/>
      <c r="I218" s="2"/>
    </row>
    <row r="219">
      <c r="A219" s="2">
        <f>IFERROR(__xludf.DUMMYFUNCTION("""COMPUTED_VALUE"""),91147.0)</f>
        <v>91147</v>
      </c>
      <c r="B219" s="2" t="str">
        <f>IFERROR(__xludf.DUMMYFUNCTION("""COMPUTED_VALUE"""),"Law")</f>
        <v>Law</v>
      </c>
      <c r="C219" s="2" t="str">
        <f>IFERROR(__xludf.DUMMYFUNCTION("""COMPUTED_VALUE"""),"Romantic Comedy")</f>
        <v>Romantic Comedy</v>
      </c>
      <c r="D219" s="2" t="str">
        <f>IFERROR(__xludf.DUMMYFUNCTION("""COMPUTED_VALUE"""),"Broadway Hill Publishing")</f>
        <v>Broadway Hill Publishing</v>
      </c>
      <c r="E219" s="2">
        <f>IFERROR(__xludf.DUMMYFUNCTION("""COMPUTED_VALUE"""),9.47)</f>
        <v>9.47</v>
      </c>
      <c r="F219" s="2"/>
      <c r="G219" s="2"/>
      <c r="H219" s="2"/>
      <c r="I219" s="2"/>
    </row>
    <row r="220">
      <c r="A220" s="2">
        <f>IFERROR(__xludf.DUMMYFUNCTION("""COMPUTED_VALUE"""),5526.0)</f>
        <v>5526</v>
      </c>
      <c r="B220" s="2" t="str">
        <f>IFERROR(__xludf.DUMMYFUNCTION("""COMPUTED_VALUE"""),"Law")</f>
        <v>Law</v>
      </c>
      <c r="C220" s="2" t="str">
        <f>IFERROR(__xludf.DUMMYFUNCTION("""COMPUTED_VALUE"""),"Romantic Comedy")</f>
        <v>Romantic Comedy</v>
      </c>
      <c r="D220" s="2" t="str">
        <f>IFERROR(__xludf.DUMMYFUNCTION("""COMPUTED_VALUE"""),"Broadway Hill Publishing")</f>
        <v>Broadway Hill Publishing</v>
      </c>
      <c r="E220" s="2">
        <f>IFERROR(__xludf.DUMMYFUNCTION("""COMPUTED_VALUE"""),3.26)</f>
        <v>3.26</v>
      </c>
      <c r="F220" s="2"/>
      <c r="G220" s="2"/>
      <c r="H220" s="2"/>
      <c r="I220" s="2"/>
    </row>
    <row r="221">
      <c r="A221" s="2">
        <f>IFERROR(__xludf.DUMMYFUNCTION("""COMPUTED_VALUE"""),77310.0)</f>
        <v>77310</v>
      </c>
      <c r="B221" s="2" t="str">
        <f>IFERROR(__xludf.DUMMYFUNCTION("""COMPUTED_VALUE"""),"Law")</f>
        <v>Law</v>
      </c>
      <c r="C221" s="2" t="str">
        <f>IFERROR(__xludf.DUMMYFUNCTION("""COMPUTED_VALUE"""),"Romantic Comedy")</f>
        <v>Romantic Comedy</v>
      </c>
      <c r="D221" s="2" t="str">
        <f>IFERROR(__xludf.DUMMYFUNCTION("""COMPUTED_VALUE"""),"Broadway Hill Publishing")</f>
        <v>Broadway Hill Publishing</v>
      </c>
      <c r="E221" s="2">
        <f>IFERROR(__xludf.DUMMYFUNCTION("""COMPUTED_VALUE"""),3.25)</f>
        <v>3.25</v>
      </c>
      <c r="F221" s="2"/>
      <c r="G221" s="2"/>
      <c r="H221" s="2"/>
      <c r="I221" s="2"/>
    </row>
    <row r="222">
      <c r="A222" s="2">
        <f>IFERROR(__xludf.DUMMYFUNCTION("""COMPUTED_VALUE"""),5525.0)</f>
        <v>5525</v>
      </c>
      <c r="B222" s="2" t="str">
        <f>IFERROR(__xludf.DUMMYFUNCTION("""COMPUTED_VALUE"""),"Law")</f>
        <v>Law</v>
      </c>
      <c r="C222" s="2" t="str">
        <f>IFERROR(__xludf.DUMMYFUNCTION("""COMPUTED_VALUE"""),"Romantic Comedy")</f>
        <v>Romantic Comedy</v>
      </c>
      <c r="D222" s="2" t="str">
        <f>IFERROR(__xludf.DUMMYFUNCTION("""COMPUTED_VALUE"""),"Broadway Hill Publishing")</f>
        <v>Broadway Hill Publishing</v>
      </c>
      <c r="E222" s="2">
        <f>IFERROR(__xludf.DUMMYFUNCTION("""COMPUTED_VALUE"""),1.97)</f>
        <v>1.97</v>
      </c>
      <c r="F222" s="2"/>
      <c r="G222" s="2"/>
      <c r="H222" s="2"/>
      <c r="I222" s="2"/>
    </row>
    <row r="223">
      <c r="A223" s="2">
        <f>IFERROR(__xludf.DUMMYFUNCTION("""COMPUTED_VALUE"""),5524.0)</f>
        <v>5524</v>
      </c>
      <c r="B223" s="2" t="str">
        <f>IFERROR(__xludf.DUMMYFUNCTION("""COMPUTED_VALUE"""),"Law")</f>
        <v>Law</v>
      </c>
      <c r="C223" s="2" t="str">
        <f>IFERROR(__xludf.DUMMYFUNCTION("""COMPUTED_VALUE"""),"Romantic Comedy")</f>
        <v>Romantic Comedy</v>
      </c>
      <c r="D223" s="2" t="str">
        <f>IFERROR(__xludf.DUMMYFUNCTION("""COMPUTED_VALUE"""),"Broadway Hill Publishing")</f>
        <v>Broadway Hill Publishing</v>
      </c>
      <c r="E223" s="2">
        <f>IFERROR(__xludf.DUMMYFUNCTION("""COMPUTED_VALUE"""),3.23)</f>
        <v>3.23</v>
      </c>
      <c r="F223" s="2"/>
      <c r="G223" s="2"/>
      <c r="H223" s="2"/>
      <c r="I223" s="2"/>
    </row>
    <row r="224">
      <c r="A224" s="2">
        <f>IFERROR(__xludf.DUMMYFUNCTION("""COMPUTED_VALUE"""),72849.0)</f>
        <v>72849</v>
      </c>
      <c r="B224" s="2" t="str">
        <f>IFERROR(__xludf.DUMMYFUNCTION("""COMPUTED_VALUE"""),"Law")</f>
        <v>Law</v>
      </c>
      <c r="C224" s="2" t="str">
        <f>IFERROR(__xludf.DUMMYFUNCTION("""COMPUTED_VALUE"""),"Romantic Comedy")</f>
        <v>Romantic Comedy</v>
      </c>
      <c r="D224" s="2" t="str">
        <f>IFERROR(__xludf.DUMMYFUNCTION("""COMPUTED_VALUE"""),"Broadway Hill Publishing")</f>
        <v>Broadway Hill Publishing</v>
      </c>
      <c r="E224" s="2">
        <f>IFERROR(__xludf.DUMMYFUNCTION("""COMPUTED_VALUE"""),7.39)</f>
        <v>7.39</v>
      </c>
      <c r="F224" s="2"/>
      <c r="G224" s="2"/>
      <c r="H224" s="2"/>
      <c r="I224" s="2"/>
    </row>
    <row r="225">
      <c r="A225" s="2">
        <f>IFERROR(__xludf.DUMMYFUNCTION("""COMPUTED_VALUE"""),77385.0)</f>
        <v>77385</v>
      </c>
      <c r="B225" s="2" t="str">
        <f>IFERROR(__xludf.DUMMYFUNCTION("""COMPUTED_VALUE"""),"Law")</f>
        <v>Law</v>
      </c>
      <c r="C225" s="2" t="str">
        <f>IFERROR(__xludf.DUMMYFUNCTION("""COMPUTED_VALUE"""),"Romantic Comedy")</f>
        <v>Romantic Comedy</v>
      </c>
      <c r="D225" s="2" t="str">
        <f>IFERROR(__xludf.DUMMYFUNCTION("""COMPUTED_VALUE"""),"Broadway Hill Publishing")</f>
        <v>Broadway Hill Publishing</v>
      </c>
      <c r="E225" s="2">
        <f>IFERROR(__xludf.DUMMYFUNCTION("""COMPUTED_VALUE"""),1.8)</f>
        <v>1.8</v>
      </c>
      <c r="F225" s="2"/>
      <c r="G225" s="2"/>
      <c r="H225" s="2"/>
      <c r="I225" s="2"/>
    </row>
    <row r="226">
      <c r="A226" s="2">
        <f>IFERROR(__xludf.DUMMYFUNCTION("""COMPUTED_VALUE"""),5529.0)</f>
        <v>5529</v>
      </c>
      <c r="B226" s="2" t="str">
        <f>IFERROR(__xludf.DUMMYFUNCTION("""COMPUTED_VALUE"""),"Law")</f>
        <v>Law</v>
      </c>
      <c r="C226" s="2" t="str">
        <f>IFERROR(__xludf.DUMMYFUNCTION("""COMPUTED_VALUE"""),"Romantic Comedy")</f>
        <v>Romantic Comedy</v>
      </c>
      <c r="D226" s="2" t="str">
        <f>IFERROR(__xludf.DUMMYFUNCTION("""COMPUTED_VALUE"""),"Broadway Hill Publishing")</f>
        <v>Broadway Hill Publishing</v>
      </c>
      <c r="E226" s="2">
        <f>IFERROR(__xludf.DUMMYFUNCTION("""COMPUTED_VALUE"""),1.95)</f>
        <v>1.95</v>
      </c>
      <c r="F226" s="2"/>
      <c r="G226" s="2"/>
      <c r="H226" s="2"/>
      <c r="I226" s="2"/>
    </row>
    <row r="227">
      <c r="A227" s="2">
        <f>IFERROR(__xludf.DUMMYFUNCTION("""COMPUTED_VALUE"""),45879.0)</f>
        <v>45879</v>
      </c>
      <c r="B227" s="2" t="str">
        <f>IFERROR(__xludf.DUMMYFUNCTION("""COMPUTED_VALUE"""),"Law")</f>
        <v>Law</v>
      </c>
      <c r="C227" s="2" t="str">
        <f>IFERROR(__xludf.DUMMYFUNCTION("""COMPUTED_VALUE"""),"Romantic Comedy")</f>
        <v>Romantic Comedy</v>
      </c>
      <c r="D227" s="2" t="str">
        <f>IFERROR(__xludf.DUMMYFUNCTION("""COMPUTED_VALUE"""),"Broadway Hill Publishing")</f>
        <v>Broadway Hill Publishing</v>
      </c>
      <c r="E227" s="2">
        <f>IFERROR(__xludf.DUMMYFUNCTION("""COMPUTED_VALUE"""),2.62)</f>
        <v>2.62</v>
      </c>
      <c r="F227" s="2"/>
      <c r="G227" s="2"/>
      <c r="H227" s="2"/>
      <c r="I227" s="2"/>
    </row>
    <row r="228">
      <c r="A228" s="2">
        <f>IFERROR(__xludf.DUMMYFUNCTION("""COMPUTED_VALUE"""),58753.0)</f>
        <v>58753</v>
      </c>
      <c r="B228" s="2" t="str">
        <f>IFERROR(__xludf.DUMMYFUNCTION("""COMPUTED_VALUE"""),"Law")</f>
        <v>Law</v>
      </c>
      <c r="C228" s="2" t="str">
        <f>IFERROR(__xludf.DUMMYFUNCTION("""COMPUTED_VALUE"""),"Romantic Comedy")</f>
        <v>Romantic Comedy</v>
      </c>
      <c r="D228" s="2" t="str">
        <f>IFERROR(__xludf.DUMMYFUNCTION("""COMPUTED_VALUE"""),"Broadway Hill Publishing")</f>
        <v>Broadway Hill Publishing</v>
      </c>
      <c r="E228" s="2">
        <f>IFERROR(__xludf.DUMMYFUNCTION("""COMPUTED_VALUE"""),2.08)</f>
        <v>2.08</v>
      </c>
      <c r="F228" s="2"/>
      <c r="G228" s="2"/>
      <c r="H228" s="2"/>
      <c r="I228" s="2"/>
    </row>
    <row r="229">
      <c r="A229" s="2">
        <f>IFERROR(__xludf.DUMMYFUNCTION("""COMPUTED_VALUE"""),77318.0)</f>
        <v>77318</v>
      </c>
      <c r="B229" s="2" t="str">
        <f>IFERROR(__xludf.DUMMYFUNCTION("""COMPUTED_VALUE"""),"Law")</f>
        <v>Law</v>
      </c>
      <c r="C229" s="2" t="str">
        <f>IFERROR(__xludf.DUMMYFUNCTION("""COMPUTED_VALUE"""),"Romantic Comedy")</f>
        <v>Romantic Comedy</v>
      </c>
      <c r="D229" s="2" t="str">
        <f>IFERROR(__xludf.DUMMYFUNCTION("""COMPUTED_VALUE"""),"Broadway Hill Publishing")</f>
        <v>Broadway Hill Publishing</v>
      </c>
      <c r="E229" s="2">
        <f>IFERROR(__xludf.DUMMYFUNCTION("""COMPUTED_VALUE"""),1.55)</f>
        <v>1.55</v>
      </c>
      <c r="F229" s="2"/>
      <c r="G229" s="2"/>
      <c r="H229" s="2"/>
      <c r="I229" s="2"/>
    </row>
    <row r="230">
      <c r="A230" s="2">
        <f>IFERROR(__xludf.DUMMYFUNCTION("""COMPUTED_VALUE"""),122091.0)</f>
        <v>122091</v>
      </c>
      <c r="B230" s="2" t="str">
        <f>IFERROR(__xludf.DUMMYFUNCTION("""COMPUTED_VALUE"""),"Law")</f>
        <v>Law</v>
      </c>
      <c r="C230" s="2" t="str">
        <f>IFERROR(__xludf.DUMMYFUNCTION("""COMPUTED_VALUE"""),"Romantic Comedy")</f>
        <v>Romantic Comedy</v>
      </c>
      <c r="D230" s="2" t="str">
        <f>IFERROR(__xludf.DUMMYFUNCTION("""COMPUTED_VALUE"""),"Broadway Hill Publishing")</f>
        <v>Broadway Hill Publishing</v>
      </c>
      <c r="E230" s="2">
        <f>IFERROR(__xludf.DUMMYFUNCTION("""COMPUTED_VALUE"""),1.18)</f>
        <v>1.18</v>
      </c>
      <c r="F230" s="2"/>
      <c r="G230" s="2"/>
      <c r="H230" s="2"/>
      <c r="I230" s="2"/>
    </row>
    <row r="231">
      <c r="A231" s="2">
        <f>IFERROR(__xludf.DUMMYFUNCTION("""COMPUTED_VALUE"""),91144.0)</f>
        <v>91144</v>
      </c>
      <c r="B231" s="2" t="str">
        <f>IFERROR(__xludf.DUMMYFUNCTION("""COMPUTED_VALUE"""),"Law")</f>
        <v>Law</v>
      </c>
      <c r="C231" s="2" t="str">
        <f>IFERROR(__xludf.DUMMYFUNCTION("""COMPUTED_VALUE"""),"Romantic Comedy")</f>
        <v>Romantic Comedy</v>
      </c>
      <c r="D231" s="2" t="str">
        <f>IFERROR(__xludf.DUMMYFUNCTION("""COMPUTED_VALUE"""),"Broadway Hill Publishing")</f>
        <v>Broadway Hill Publishing</v>
      </c>
      <c r="E231" s="2">
        <f>IFERROR(__xludf.DUMMYFUNCTION("""COMPUTED_VALUE"""),7.75)</f>
        <v>7.75</v>
      </c>
      <c r="F231" s="2"/>
      <c r="G231" s="2"/>
      <c r="H231" s="2"/>
      <c r="I231" s="2"/>
    </row>
    <row r="232">
      <c r="A232" s="2">
        <f>IFERROR(__xludf.DUMMYFUNCTION("""COMPUTED_VALUE"""),79000.0)</f>
        <v>79000</v>
      </c>
      <c r="B232" s="2" t="str">
        <f>IFERROR(__xludf.DUMMYFUNCTION("""COMPUTED_VALUE"""),"Law")</f>
        <v>Law</v>
      </c>
      <c r="C232" s="2" t="str">
        <f>IFERROR(__xludf.DUMMYFUNCTION("""COMPUTED_VALUE"""),"Romantic Comedy")</f>
        <v>Romantic Comedy</v>
      </c>
      <c r="D232" s="2" t="str">
        <f>IFERROR(__xludf.DUMMYFUNCTION("""COMPUTED_VALUE"""),"Broadway Hill Publishing")</f>
        <v>Broadway Hill Publishing</v>
      </c>
      <c r="E232" s="2">
        <f>IFERROR(__xludf.DUMMYFUNCTION("""COMPUTED_VALUE"""),2.4)</f>
        <v>2.4</v>
      </c>
      <c r="F232" s="2"/>
      <c r="G232" s="2"/>
      <c r="H232" s="2"/>
      <c r="I232" s="2"/>
    </row>
    <row r="233">
      <c r="A233" s="2">
        <f>IFERROR(__xludf.DUMMYFUNCTION("""COMPUTED_VALUE"""),77389.0)</f>
        <v>77389</v>
      </c>
      <c r="B233" s="2" t="str">
        <f>IFERROR(__xludf.DUMMYFUNCTION("""COMPUTED_VALUE"""),"Law")</f>
        <v>Law</v>
      </c>
      <c r="C233" s="2" t="str">
        <f>IFERROR(__xludf.DUMMYFUNCTION("""COMPUTED_VALUE"""),"Romantic Comedy")</f>
        <v>Romantic Comedy</v>
      </c>
      <c r="D233" s="2" t="str">
        <f>IFERROR(__xludf.DUMMYFUNCTION("""COMPUTED_VALUE"""),"Broadway Hill Publishing")</f>
        <v>Broadway Hill Publishing</v>
      </c>
      <c r="E233" s="2">
        <f>IFERROR(__xludf.DUMMYFUNCTION("""COMPUTED_VALUE"""),1.71)</f>
        <v>1.71</v>
      </c>
      <c r="F233" s="2"/>
      <c r="G233" s="2"/>
      <c r="H233" s="2"/>
      <c r="I233" s="2"/>
    </row>
    <row r="234">
      <c r="A234" s="2">
        <f>IFERROR(__xludf.DUMMYFUNCTION("""COMPUTED_VALUE"""),72857.0)</f>
        <v>72857</v>
      </c>
      <c r="B234" s="2" t="str">
        <f>IFERROR(__xludf.DUMMYFUNCTION("""COMPUTED_VALUE"""),"Law")</f>
        <v>Law</v>
      </c>
      <c r="C234" s="2" t="str">
        <f>IFERROR(__xludf.DUMMYFUNCTION("""COMPUTED_VALUE"""),"Romantic Comedy")</f>
        <v>Romantic Comedy</v>
      </c>
      <c r="D234" s="2" t="str">
        <f>IFERROR(__xludf.DUMMYFUNCTION("""COMPUTED_VALUE"""),"Broadway Hill Publishing")</f>
        <v>Broadway Hill Publishing</v>
      </c>
      <c r="E234" s="2">
        <f>IFERROR(__xludf.DUMMYFUNCTION("""COMPUTED_VALUE"""),6.81)</f>
        <v>6.81</v>
      </c>
      <c r="F234" s="2"/>
      <c r="G234" s="2"/>
      <c r="H234" s="2"/>
      <c r="I234" s="2"/>
    </row>
    <row r="235">
      <c r="A235" s="2">
        <f>IFERROR(__xludf.DUMMYFUNCTION("""COMPUTED_VALUE"""),72859.0)</f>
        <v>72859</v>
      </c>
      <c r="B235" s="2" t="str">
        <f>IFERROR(__xludf.DUMMYFUNCTION("""COMPUTED_VALUE"""),"Law")</f>
        <v>Law</v>
      </c>
      <c r="C235" s="2" t="str">
        <f>IFERROR(__xludf.DUMMYFUNCTION("""COMPUTED_VALUE"""),"Romantic Comedy")</f>
        <v>Romantic Comedy</v>
      </c>
      <c r="D235" s="2" t="str">
        <f>IFERROR(__xludf.DUMMYFUNCTION("""COMPUTED_VALUE"""),"Broadway Hill Publishing")</f>
        <v>Broadway Hill Publishing</v>
      </c>
      <c r="E235" s="2">
        <f>IFERROR(__xludf.DUMMYFUNCTION("""COMPUTED_VALUE"""),4.53)</f>
        <v>4.53</v>
      </c>
      <c r="F235" s="2"/>
      <c r="G235" s="2"/>
      <c r="H235" s="2"/>
      <c r="I235" s="2"/>
    </row>
    <row r="236">
      <c r="A236" s="2">
        <f>IFERROR(__xludf.DUMMYFUNCTION("""COMPUTED_VALUE"""),91264.0)</f>
        <v>91264</v>
      </c>
      <c r="B236" s="2" t="str">
        <f>IFERROR(__xludf.DUMMYFUNCTION("""COMPUTED_VALUE"""),"Law")</f>
        <v>Law</v>
      </c>
      <c r="C236" s="2" t="str">
        <f>IFERROR(__xludf.DUMMYFUNCTION("""COMPUTED_VALUE"""),"Romantic Comedy")</f>
        <v>Romantic Comedy</v>
      </c>
      <c r="D236" s="2" t="str">
        <f>IFERROR(__xludf.DUMMYFUNCTION("""COMPUTED_VALUE"""),"Broadway Hill Publishing")</f>
        <v>Broadway Hill Publishing</v>
      </c>
      <c r="E236" s="2">
        <f>IFERROR(__xludf.DUMMYFUNCTION("""COMPUTED_VALUE"""),1.53)</f>
        <v>1.53</v>
      </c>
      <c r="F236" s="2"/>
      <c r="G236" s="2"/>
      <c r="H236" s="2"/>
      <c r="I236" s="2"/>
    </row>
    <row r="237">
      <c r="A237" s="2">
        <f>IFERROR(__xludf.DUMMYFUNCTION("""COMPUTED_VALUE"""),77316.0)</f>
        <v>77316</v>
      </c>
      <c r="B237" s="2" t="str">
        <f>IFERROR(__xludf.DUMMYFUNCTION("""COMPUTED_VALUE"""),"Law")</f>
        <v>Law</v>
      </c>
      <c r="C237" s="2" t="str">
        <f>IFERROR(__xludf.DUMMYFUNCTION("""COMPUTED_VALUE"""),"Romantic Comedy")</f>
        <v>Romantic Comedy</v>
      </c>
      <c r="D237" s="2" t="str">
        <f>IFERROR(__xludf.DUMMYFUNCTION("""COMPUTED_VALUE"""),"Broadway Hill Publishing")</f>
        <v>Broadway Hill Publishing</v>
      </c>
      <c r="E237" s="2">
        <f>IFERROR(__xludf.DUMMYFUNCTION("""COMPUTED_VALUE"""),1.59)</f>
        <v>1.59</v>
      </c>
      <c r="F237" s="2"/>
      <c r="G237" s="2"/>
      <c r="H237" s="2"/>
      <c r="I237" s="2"/>
    </row>
    <row r="238">
      <c r="A238" s="2">
        <f>IFERROR(__xludf.DUMMYFUNCTION("""COMPUTED_VALUE"""),110573.0)</f>
        <v>110573</v>
      </c>
      <c r="B238" s="2" t="str">
        <f>IFERROR(__xludf.DUMMYFUNCTION("""COMPUTED_VALUE"""),"Law")</f>
        <v>Law</v>
      </c>
      <c r="C238" s="2" t="str">
        <f>IFERROR(__xludf.DUMMYFUNCTION("""COMPUTED_VALUE"""),"Romantic Comedy")</f>
        <v>Romantic Comedy</v>
      </c>
      <c r="D238" s="2" t="str">
        <f>IFERROR(__xludf.DUMMYFUNCTION("""COMPUTED_VALUE"""),"Broadway Hill Publishing")</f>
        <v>Broadway Hill Publishing</v>
      </c>
      <c r="E238" s="2">
        <f>IFERROR(__xludf.DUMMYFUNCTION("""COMPUTED_VALUE"""),1.26)</f>
        <v>1.26</v>
      </c>
      <c r="F238" s="2"/>
      <c r="G238" s="2"/>
      <c r="H238" s="2"/>
      <c r="I238" s="2"/>
    </row>
    <row r="239">
      <c r="A239" s="2">
        <f>IFERROR(__xludf.DUMMYFUNCTION("""COMPUTED_VALUE"""),82236.0)</f>
        <v>82236</v>
      </c>
      <c r="B239" s="2" t="str">
        <f>IFERROR(__xludf.DUMMYFUNCTION("""COMPUTED_VALUE"""),"Law")</f>
        <v>Law</v>
      </c>
      <c r="C239" s="2" t="str">
        <f>IFERROR(__xludf.DUMMYFUNCTION("""COMPUTED_VALUE"""),"Romantic Comedy")</f>
        <v>Romantic Comedy</v>
      </c>
      <c r="D239" s="2" t="str">
        <f>IFERROR(__xludf.DUMMYFUNCTION("""COMPUTED_VALUE"""),"Broadway Hill Publishing")</f>
        <v>Broadway Hill Publishing</v>
      </c>
      <c r="E239" s="2">
        <f>IFERROR(__xludf.DUMMYFUNCTION("""COMPUTED_VALUE"""),35.48)</f>
        <v>35.48</v>
      </c>
      <c r="F239" s="2"/>
      <c r="G239" s="2"/>
      <c r="H239" s="2"/>
      <c r="I239" s="2"/>
    </row>
    <row r="240">
      <c r="A240" s="2">
        <f>IFERROR(__xludf.DUMMYFUNCTION("""COMPUTED_VALUE"""),72855.0)</f>
        <v>72855</v>
      </c>
      <c r="B240" s="2" t="str">
        <f>IFERROR(__xludf.DUMMYFUNCTION("""COMPUTED_VALUE"""),"Law")</f>
        <v>Law</v>
      </c>
      <c r="C240" s="2" t="str">
        <f>IFERROR(__xludf.DUMMYFUNCTION("""COMPUTED_VALUE"""),"Romantic Comedy")</f>
        <v>Romantic Comedy</v>
      </c>
      <c r="D240" s="2" t="str">
        <f>IFERROR(__xludf.DUMMYFUNCTION("""COMPUTED_VALUE"""),"Broadway Hill Publishing")</f>
        <v>Broadway Hill Publishing</v>
      </c>
      <c r="E240" s="2">
        <f>IFERROR(__xludf.DUMMYFUNCTION("""COMPUTED_VALUE"""),4.18)</f>
        <v>4.18</v>
      </c>
      <c r="F240" s="2"/>
      <c r="G240" s="2"/>
      <c r="H240" s="2"/>
      <c r="I240" s="2"/>
    </row>
    <row r="241">
      <c r="A241" s="2">
        <f>IFERROR(__xludf.DUMMYFUNCTION("""COMPUTED_VALUE"""),77392.0)</f>
        <v>77392</v>
      </c>
      <c r="B241" s="2" t="str">
        <f>IFERROR(__xludf.DUMMYFUNCTION("""COMPUTED_VALUE"""),"Law")</f>
        <v>Law</v>
      </c>
      <c r="C241" s="2" t="str">
        <f>IFERROR(__xludf.DUMMYFUNCTION("""COMPUTED_VALUE"""),"Romantic Comedy")</f>
        <v>Romantic Comedy</v>
      </c>
      <c r="D241" s="2" t="str">
        <f>IFERROR(__xludf.DUMMYFUNCTION("""COMPUTED_VALUE"""),"Broadway Hill Publishing")</f>
        <v>Broadway Hill Publishing</v>
      </c>
      <c r="E241" s="2">
        <f>IFERROR(__xludf.DUMMYFUNCTION("""COMPUTED_VALUE"""),1.65)</f>
        <v>1.65</v>
      </c>
      <c r="F241" s="2"/>
      <c r="G241" s="2"/>
      <c r="H241" s="2"/>
      <c r="I241" s="2"/>
    </row>
    <row r="242">
      <c r="A242" s="2">
        <f>IFERROR(__xludf.DUMMYFUNCTION("""COMPUTED_VALUE"""),45867.0)</f>
        <v>45867</v>
      </c>
      <c r="B242" s="2" t="str">
        <f>IFERROR(__xludf.DUMMYFUNCTION("""COMPUTED_VALUE"""),"Law")</f>
        <v>Law</v>
      </c>
      <c r="C242" s="2" t="str">
        <f>IFERROR(__xludf.DUMMYFUNCTION("""COMPUTED_VALUE"""),"Romantic Comedy")</f>
        <v>Romantic Comedy</v>
      </c>
      <c r="D242" s="2" t="str">
        <f>IFERROR(__xludf.DUMMYFUNCTION("""COMPUTED_VALUE"""),"Broadway Hill Publishing")</f>
        <v>Broadway Hill Publishing</v>
      </c>
      <c r="E242" s="2">
        <f>IFERROR(__xludf.DUMMYFUNCTION("""COMPUTED_VALUE"""),2.03)</f>
        <v>2.03</v>
      </c>
      <c r="F242" s="2"/>
      <c r="G242" s="2"/>
      <c r="H242" s="2"/>
      <c r="I242" s="2"/>
    </row>
    <row r="243">
      <c r="A243" s="2">
        <f>IFERROR(__xludf.DUMMYFUNCTION("""COMPUTED_VALUE"""),45846.0)</f>
        <v>45846</v>
      </c>
      <c r="B243" s="2" t="str">
        <f>IFERROR(__xludf.DUMMYFUNCTION("""COMPUTED_VALUE"""),"Law")</f>
        <v>Law</v>
      </c>
      <c r="C243" s="2" t="str">
        <f>IFERROR(__xludf.DUMMYFUNCTION("""COMPUTED_VALUE"""),"Romantic Comedy")</f>
        <v>Romantic Comedy</v>
      </c>
      <c r="D243" s="2" t="str">
        <f>IFERROR(__xludf.DUMMYFUNCTION("""COMPUTED_VALUE"""),"Broadway Hill Publishing")</f>
        <v>Broadway Hill Publishing</v>
      </c>
      <c r="E243" s="2">
        <f>IFERROR(__xludf.DUMMYFUNCTION("""COMPUTED_VALUE"""),2.36)</f>
        <v>2.36</v>
      </c>
      <c r="F243" s="2"/>
      <c r="G243" s="2"/>
      <c r="H243" s="2"/>
      <c r="I243" s="2"/>
    </row>
    <row r="244">
      <c r="A244" s="2">
        <f>IFERROR(__xludf.DUMMYFUNCTION("""COMPUTED_VALUE"""),91265.0)</f>
        <v>91265</v>
      </c>
      <c r="B244" s="2" t="str">
        <f>IFERROR(__xludf.DUMMYFUNCTION("""COMPUTED_VALUE"""),"Law")</f>
        <v>Law</v>
      </c>
      <c r="C244" s="2" t="str">
        <f>IFERROR(__xludf.DUMMYFUNCTION("""COMPUTED_VALUE"""),"Romantic Comedy")</f>
        <v>Romantic Comedy</v>
      </c>
      <c r="D244" s="2" t="str">
        <f>IFERROR(__xludf.DUMMYFUNCTION("""COMPUTED_VALUE"""),"Broadway Hill Publishing")</f>
        <v>Broadway Hill Publishing</v>
      </c>
      <c r="E244" s="2">
        <f>IFERROR(__xludf.DUMMYFUNCTION("""COMPUTED_VALUE"""),8.73)</f>
        <v>8.73</v>
      </c>
      <c r="F244" s="2"/>
      <c r="G244" s="2"/>
      <c r="H244" s="2"/>
      <c r="I244" s="2"/>
    </row>
    <row r="245">
      <c r="A245" s="2">
        <f>IFERROR(__xludf.DUMMYFUNCTION("""COMPUTED_VALUE"""),5527.0)</f>
        <v>5527</v>
      </c>
      <c r="B245" s="2" t="str">
        <f>IFERROR(__xludf.DUMMYFUNCTION("""COMPUTED_VALUE"""),"Law")</f>
        <v>Law</v>
      </c>
      <c r="C245" s="2" t="str">
        <f>IFERROR(__xludf.DUMMYFUNCTION("""COMPUTED_VALUE"""),"Romantic Comedy")</f>
        <v>Romantic Comedy</v>
      </c>
      <c r="D245" s="2" t="str">
        <f>IFERROR(__xludf.DUMMYFUNCTION("""COMPUTED_VALUE"""),"Broadway Hill Publishing")</f>
        <v>Broadway Hill Publishing</v>
      </c>
      <c r="E245" s="2">
        <f>IFERROR(__xludf.DUMMYFUNCTION("""COMPUTED_VALUE"""),1.88)</f>
        <v>1.88</v>
      </c>
      <c r="F245" s="2"/>
      <c r="G245" s="2"/>
      <c r="H245" s="2"/>
      <c r="I245" s="2"/>
    </row>
    <row r="246">
      <c r="A246" s="2">
        <f>IFERROR(__xludf.DUMMYFUNCTION("""COMPUTED_VALUE"""),82249.0)</f>
        <v>82249</v>
      </c>
      <c r="B246" s="2" t="str">
        <f>IFERROR(__xludf.DUMMYFUNCTION("""COMPUTED_VALUE"""),"Law")</f>
        <v>Law</v>
      </c>
      <c r="C246" s="2" t="str">
        <f>IFERROR(__xludf.DUMMYFUNCTION("""COMPUTED_VALUE"""),"Romantic Comedy")</f>
        <v>Romantic Comedy</v>
      </c>
      <c r="D246" s="2" t="str">
        <f>IFERROR(__xludf.DUMMYFUNCTION("""COMPUTED_VALUE"""),"Broadway Hill Publishing")</f>
        <v>Broadway Hill Publishing</v>
      </c>
      <c r="E246" s="2">
        <f>IFERROR(__xludf.DUMMYFUNCTION("""COMPUTED_VALUE"""),32.34)</f>
        <v>32.34</v>
      </c>
      <c r="F246" s="2"/>
      <c r="G246" s="2"/>
      <c r="H246" s="2"/>
      <c r="I246" s="2"/>
    </row>
    <row r="247">
      <c r="A247" s="2">
        <f>IFERROR(__xludf.DUMMYFUNCTION("""COMPUTED_VALUE"""),87273.0)</f>
        <v>87273</v>
      </c>
      <c r="B247" s="2" t="str">
        <f>IFERROR(__xludf.DUMMYFUNCTION("""COMPUTED_VALUE"""),"Law")</f>
        <v>Law</v>
      </c>
      <c r="C247" s="2" t="str">
        <f>IFERROR(__xludf.DUMMYFUNCTION("""COMPUTED_VALUE"""),"Romantic Comedy")</f>
        <v>Romantic Comedy</v>
      </c>
      <c r="D247" s="2" t="str">
        <f>IFERROR(__xludf.DUMMYFUNCTION("""COMPUTED_VALUE"""),"Horizon Peak Books")</f>
        <v>Horizon Peak Books</v>
      </c>
      <c r="E247" s="2">
        <f>IFERROR(__xludf.DUMMYFUNCTION("""COMPUTED_VALUE"""),1.89)</f>
        <v>1.89</v>
      </c>
      <c r="F247" s="2"/>
      <c r="G247" s="2"/>
      <c r="H247" s="2"/>
      <c r="I247" s="2"/>
    </row>
    <row r="248">
      <c r="A248" s="2">
        <f>IFERROR(__xludf.DUMMYFUNCTION("""COMPUTED_VALUE"""),5537.0)</f>
        <v>5537</v>
      </c>
      <c r="B248" s="2" t="str">
        <f>IFERROR(__xludf.DUMMYFUNCTION("""COMPUTED_VALUE"""),"Law")</f>
        <v>Law</v>
      </c>
      <c r="C248" s="2" t="str">
        <f>IFERROR(__xludf.DUMMYFUNCTION("""COMPUTED_VALUE"""),"Romantic Comedy")</f>
        <v>Romantic Comedy</v>
      </c>
      <c r="D248" s="2" t="str">
        <f>IFERROR(__xludf.DUMMYFUNCTION("""COMPUTED_VALUE"""),"Horizon Peak Books")</f>
        <v>Horizon Peak Books</v>
      </c>
      <c r="E248" s="2">
        <f>IFERROR(__xludf.DUMMYFUNCTION("""COMPUTED_VALUE"""),1.77)</f>
        <v>1.77</v>
      </c>
      <c r="F248" s="2"/>
      <c r="G248" s="2"/>
      <c r="H248" s="2"/>
      <c r="I248" s="2"/>
    </row>
    <row r="249">
      <c r="A249" s="2">
        <f>IFERROR(__xludf.DUMMYFUNCTION("""COMPUTED_VALUE"""),87281.0)</f>
        <v>87281</v>
      </c>
      <c r="B249" s="2" t="str">
        <f>IFERROR(__xludf.DUMMYFUNCTION("""COMPUTED_VALUE"""),"Law")</f>
        <v>Law</v>
      </c>
      <c r="C249" s="2" t="str">
        <f>IFERROR(__xludf.DUMMYFUNCTION("""COMPUTED_VALUE"""),"Romantic Comedy")</f>
        <v>Romantic Comedy</v>
      </c>
      <c r="D249" s="2" t="str">
        <f>IFERROR(__xludf.DUMMYFUNCTION("""COMPUTED_VALUE"""),"Horizon Peak Books")</f>
        <v>Horizon Peak Books</v>
      </c>
      <c r="E249" s="2">
        <f>IFERROR(__xludf.DUMMYFUNCTION("""COMPUTED_VALUE"""),1.65)</f>
        <v>1.65</v>
      </c>
      <c r="F249" s="2"/>
      <c r="G249" s="2"/>
      <c r="H249" s="2"/>
      <c r="I249" s="2"/>
    </row>
    <row r="250">
      <c r="A250" s="2">
        <f>IFERROR(__xludf.DUMMYFUNCTION("""COMPUTED_VALUE"""),5522.0)</f>
        <v>5522</v>
      </c>
      <c r="B250" s="2" t="str">
        <f>IFERROR(__xludf.DUMMYFUNCTION("""COMPUTED_VALUE"""),"Law")</f>
        <v>Law</v>
      </c>
      <c r="C250" s="2" t="str">
        <f>IFERROR(__xludf.DUMMYFUNCTION("""COMPUTED_VALUE"""),"Romantic Comedy")</f>
        <v>Romantic Comedy</v>
      </c>
      <c r="D250" s="2" t="str">
        <f>IFERROR(__xludf.DUMMYFUNCTION("""COMPUTED_VALUE"""),"Horizon Peak Books")</f>
        <v>Horizon Peak Books</v>
      </c>
      <c r="E250" s="2">
        <f>IFERROR(__xludf.DUMMYFUNCTION("""COMPUTED_VALUE"""),2.11)</f>
        <v>2.11</v>
      </c>
      <c r="F250" s="2"/>
      <c r="G250" s="2"/>
      <c r="H250" s="2"/>
      <c r="I250" s="2"/>
    </row>
    <row r="251">
      <c r="A251" s="2">
        <f>IFERROR(__xludf.DUMMYFUNCTION("""COMPUTED_VALUE"""),76595.0)</f>
        <v>76595</v>
      </c>
      <c r="B251" s="2" t="str">
        <f>IFERROR(__xludf.DUMMYFUNCTION("""COMPUTED_VALUE"""),"Law")</f>
        <v>Law</v>
      </c>
      <c r="C251" s="2" t="str">
        <f>IFERROR(__xludf.DUMMYFUNCTION("""COMPUTED_VALUE"""),"Romantic Comedy")</f>
        <v>Romantic Comedy</v>
      </c>
      <c r="D251" s="2" t="str">
        <f>IFERROR(__xludf.DUMMYFUNCTION("""COMPUTED_VALUE"""),"Horizon Peak Books")</f>
        <v>Horizon Peak Books</v>
      </c>
      <c r="E251" s="2">
        <f>IFERROR(__xludf.DUMMYFUNCTION("""COMPUTED_VALUE"""),2.01)</f>
        <v>2.01</v>
      </c>
      <c r="F251" s="2"/>
      <c r="G251" s="2"/>
      <c r="H251" s="2"/>
      <c r="I251" s="2"/>
    </row>
    <row r="252">
      <c r="A252" s="2">
        <f>IFERROR(__xludf.DUMMYFUNCTION("""COMPUTED_VALUE"""),147305.0)</f>
        <v>147305</v>
      </c>
      <c r="B252" s="2" t="str">
        <f>IFERROR(__xludf.DUMMYFUNCTION("""COMPUTED_VALUE"""),"Law")</f>
        <v>Law</v>
      </c>
      <c r="C252" s="2" t="str">
        <f>IFERROR(__xludf.DUMMYFUNCTION("""COMPUTED_VALUE"""),"Romantic Comedy")</f>
        <v>Romantic Comedy</v>
      </c>
      <c r="D252" s="2" t="str">
        <f>IFERROR(__xludf.DUMMYFUNCTION("""COMPUTED_VALUE"""),"Horizon Peak Books")</f>
        <v>Horizon Peak Books</v>
      </c>
      <c r="E252" s="2">
        <f>IFERROR(__xludf.DUMMYFUNCTION("""COMPUTED_VALUE"""),1.29)</f>
        <v>1.29</v>
      </c>
      <c r="F252" s="2"/>
      <c r="G252" s="2"/>
      <c r="H252" s="2"/>
      <c r="I252" s="2"/>
    </row>
    <row r="253">
      <c r="A253" s="2">
        <f>IFERROR(__xludf.DUMMYFUNCTION("""COMPUTED_VALUE"""),158660.0)</f>
        <v>158660</v>
      </c>
      <c r="B253" s="2" t="str">
        <f>IFERROR(__xludf.DUMMYFUNCTION("""COMPUTED_VALUE"""),"Law")</f>
        <v>Law</v>
      </c>
      <c r="C253" s="2" t="str">
        <f>IFERROR(__xludf.DUMMYFUNCTION("""COMPUTED_VALUE"""),"Romantic Comedy")</f>
        <v>Romantic Comedy</v>
      </c>
      <c r="D253" s="2" t="str">
        <f>IFERROR(__xludf.DUMMYFUNCTION("""COMPUTED_VALUE"""),"Horizon Peak Books")</f>
        <v>Horizon Peak Books</v>
      </c>
      <c r="E253" s="2">
        <f>IFERROR(__xludf.DUMMYFUNCTION("""COMPUTED_VALUE"""),1.22)</f>
        <v>1.22</v>
      </c>
      <c r="F253" s="2"/>
      <c r="G253" s="2"/>
      <c r="H253" s="2"/>
      <c r="I253" s="2"/>
    </row>
    <row r="254">
      <c r="A254" s="2">
        <f>IFERROR(__xludf.DUMMYFUNCTION("""COMPUTED_VALUE"""),77371.0)</f>
        <v>77371</v>
      </c>
      <c r="B254" s="2" t="str">
        <f>IFERROR(__xludf.DUMMYFUNCTION("""COMPUTED_VALUE"""),"Law")</f>
        <v>Law</v>
      </c>
      <c r="C254" s="2" t="str">
        <f>IFERROR(__xludf.DUMMYFUNCTION("""COMPUTED_VALUE"""),"Romantic Comedy")</f>
        <v>Romantic Comedy</v>
      </c>
      <c r="D254" s="2" t="str">
        <f>IFERROR(__xludf.DUMMYFUNCTION("""COMPUTED_VALUE"""),"Horizon Peak Books")</f>
        <v>Horizon Peak Books</v>
      </c>
      <c r="E254" s="2">
        <f>IFERROR(__xludf.DUMMYFUNCTION("""COMPUTED_VALUE"""),3.69)</f>
        <v>3.69</v>
      </c>
      <c r="F254" s="2"/>
      <c r="G254" s="2"/>
      <c r="H254" s="2"/>
      <c r="I254" s="2"/>
    </row>
    <row r="255">
      <c r="A255" s="2">
        <f>IFERROR(__xludf.DUMMYFUNCTION("""COMPUTED_VALUE"""),77366.0)</f>
        <v>77366</v>
      </c>
      <c r="B255" s="2" t="str">
        <f>IFERROR(__xludf.DUMMYFUNCTION("""COMPUTED_VALUE"""),"Law")</f>
        <v>Law</v>
      </c>
      <c r="C255" s="2" t="str">
        <f>IFERROR(__xludf.DUMMYFUNCTION("""COMPUTED_VALUE"""),"Romantic Comedy")</f>
        <v>Romantic Comedy</v>
      </c>
      <c r="D255" s="2" t="str">
        <f>IFERROR(__xludf.DUMMYFUNCTION("""COMPUTED_VALUE"""),"Horizon Peak Books")</f>
        <v>Horizon Peak Books</v>
      </c>
      <c r="E255" s="2">
        <f>IFERROR(__xludf.DUMMYFUNCTION("""COMPUTED_VALUE"""),1.66)</f>
        <v>1.66</v>
      </c>
      <c r="F255" s="2"/>
      <c r="G255" s="2"/>
      <c r="H255" s="2"/>
      <c r="I255" s="2"/>
    </row>
    <row r="256">
      <c r="A256" s="2">
        <f>IFERROR(__xludf.DUMMYFUNCTION("""COMPUTED_VALUE"""),87282.0)</f>
        <v>87282</v>
      </c>
      <c r="B256" s="2" t="str">
        <f>IFERROR(__xludf.DUMMYFUNCTION("""COMPUTED_VALUE"""),"Law")</f>
        <v>Law</v>
      </c>
      <c r="C256" s="2" t="str">
        <f>IFERROR(__xludf.DUMMYFUNCTION("""COMPUTED_VALUE"""),"Romantic Comedy")</f>
        <v>Romantic Comedy</v>
      </c>
      <c r="D256" s="2" t="str">
        <f>IFERROR(__xludf.DUMMYFUNCTION("""COMPUTED_VALUE"""),"Horizon Peak Books")</f>
        <v>Horizon Peak Books</v>
      </c>
      <c r="E256" s="2">
        <f>IFERROR(__xludf.DUMMYFUNCTION("""COMPUTED_VALUE"""),2.18)</f>
        <v>2.18</v>
      </c>
      <c r="F256" s="2"/>
      <c r="G256" s="2"/>
      <c r="H256" s="2"/>
      <c r="I256" s="2"/>
    </row>
    <row r="257">
      <c r="A257" s="2">
        <f>IFERROR(__xludf.DUMMYFUNCTION("""COMPUTED_VALUE"""),80402.0)</f>
        <v>80402</v>
      </c>
      <c r="B257" s="2" t="str">
        <f>IFERROR(__xludf.DUMMYFUNCTION("""COMPUTED_VALUE"""),"Law")</f>
        <v>Law</v>
      </c>
      <c r="C257" s="2" t="str">
        <f>IFERROR(__xludf.DUMMYFUNCTION("""COMPUTED_VALUE"""),"Romantic Comedy")</f>
        <v>Romantic Comedy</v>
      </c>
      <c r="D257" s="2" t="str">
        <f>IFERROR(__xludf.DUMMYFUNCTION("""COMPUTED_VALUE"""),"Horizon Peak Books")</f>
        <v>Horizon Peak Books</v>
      </c>
      <c r="E257" s="2">
        <f>IFERROR(__xludf.DUMMYFUNCTION("""COMPUTED_VALUE"""),2.21)</f>
        <v>2.21</v>
      </c>
      <c r="F257" s="2"/>
      <c r="G257" s="2"/>
      <c r="H257" s="2"/>
      <c r="I257" s="2"/>
    </row>
    <row r="258">
      <c r="A258" s="2">
        <f>IFERROR(__xludf.DUMMYFUNCTION("""COMPUTED_VALUE"""),120504.0)</f>
        <v>120504</v>
      </c>
      <c r="B258" s="2" t="str">
        <f>IFERROR(__xludf.DUMMYFUNCTION("""COMPUTED_VALUE"""),"History")</f>
        <v>History</v>
      </c>
      <c r="C258" s="2" t="str">
        <f>IFERROR(__xludf.DUMMYFUNCTION("""COMPUTED_VALUE"""),"Horror")</f>
        <v>Horror</v>
      </c>
      <c r="D258" s="2" t="str">
        <f>IFERROR(__xludf.DUMMYFUNCTION("""COMPUTED_VALUE"""),"Crystal River Press")</f>
        <v>Crystal River Press</v>
      </c>
      <c r="E258" s="2">
        <f>IFERROR(__xludf.DUMMYFUNCTION("""COMPUTED_VALUE"""),4.52)</f>
        <v>4.52</v>
      </c>
      <c r="F258" s="2"/>
      <c r="G258" s="2"/>
      <c r="H258" s="2"/>
      <c r="I258" s="2"/>
    </row>
    <row r="259">
      <c r="A259" s="2">
        <f>IFERROR(__xludf.DUMMYFUNCTION("""COMPUTED_VALUE"""),72833.0)</f>
        <v>72833</v>
      </c>
      <c r="B259" s="2" t="str">
        <f>IFERROR(__xludf.DUMMYFUNCTION("""COMPUTED_VALUE"""),"History")</f>
        <v>History</v>
      </c>
      <c r="C259" s="2" t="str">
        <f>IFERROR(__xludf.DUMMYFUNCTION("""COMPUTED_VALUE"""),"Horror")</f>
        <v>Horror</v>
      </c>
      <c r="D259" s="2" t="str">
        <f>IFERROR(__xludf.DUMMYFUNCTION("""COMPUTED_VALUE"""),"Crystal River Press")</f>
        <v>Crystal River Press</v>
      </c>
      <c r="E259" s="2">
        <f>IFERROR(__xludf.DUMMYFUNCTION("""COMPUTED_VALUE"""),5.57)</f>
        <v>5.57</v>
      </c>
      <c r="F259" s="2"/>
      <c r="G259" s="2"/>
      <c r="H259" s="2"/>
      <c r="I259" s="2"/>
    </row>
    <row r="260">
      <c r="A260" s="2">
        <f>IFERROR(__xludf.DUMMYFUNCTION("""COMPUTED_VALUE"""),72831.0)</f>
        <v>72831</v>
      </c>
      <c r="B260" s="2" t="str">
        <f>IFERROR(__xludf.DUMMYFUNCTION("""COMPUTED_VALUE"""),"History")</f>
        <v>History</v>
      </c>
      <c r="C260" s="2" t="str">
        <f>IFERROR(__xludf.DUMMYFUNCTION("""COMPUTED_VALUE"""),"Horror")</f>
        <v>Horror</v>
      </c>
      <c r="D260" s="2" t="str">
        <f>IFERROR(__xludf.DUMMYFUNCTION("""COMPUTED_VALUE"""),"Crystal River Press")</f>
        <v>Crystal River Press</v>
      </c>
      <c r="E260" s="2">
        <f>IFERROR(__xludf.DUMMYFUNCTION("""COMPUTED_VALUE"""),1.83)</f>
        <v>1.83</v>
      </c>
      <c r="F260" s="2"/>
      <c r="G260" s="2"/>
      <c r="H260" s="2"/>
      <c r="I260" s="2"/>
    </row>
    <row r="261">
      <c r="A261" s="2">
        <f>IFERROR(__xludf.DUMMYFUNCTION("""COMPUTED_VALUE"""),112547.0)</f>
        <v>112547</v>
      </c>
      <c r="B261" s="2" t="str">
        <f>IFERROR(__xludf.DUMMYFUNCTION("""COMPUTED_VALUE"""),"History")</f>
        <v>History</v>
      </c>
      <c r="C261" s="2" t="str">
        <f>IFERROR(__xludf.DUMMYFUNCTION("""COMPUTED_VALUE"""),"Horror")</f>
        <v>Horror</v>
      </c>
      <c r="D261" s="2" t="str">
        <f>IFERROR(__xludf.DUMMYFUNCTION("""COMPUTED_VALUE"""),"Crystal River Press")</f>
        <v>Crystal River Press</v>
      </c>
      <c r="E261" s="2">
        <f>IFERROR(__xludf.DUMMYFUNCTION("""COMPUTED_VALUE"""),5.31)</f>
        <v>5.31</v>
      </c>
      <c r="F261" s="2"/>
      <c r="G261" s="2"/>
      <c r="H261" s="2"/>
      <c r="I261" s="2"/>
    </row>
    <row r="262">
      <c r="A262" s="2">
        <f>IFERROR(__xludf.DUMMYFUNCTION("""COMPUTED_VALUE"""),149598.0)</f>
        <v>149598</v>
      </c>
      <c r="B262" s="2" t="str">
        <f>IFERROR(__xludf.DUMMYFUNCTION("""COMPUTED_VALUE"""),"History")</f>
        <v>History</v>
      </c>
      <c r="C262" s="2" t="str">
        <f>IFERROR(__xludf.DUMMYFUNCTION("""COMPUTED_VALUE"""),"Horror")</f>
        <v>Horror</v>
      </c>
      <c r="D262" s="2" t="str">
        <f>IFERROR(__xludf.DUMMYFUNCTION("""COMPUTED_VALUE"""),"Summit House Publishing")</f>
        <v>Summit House Publishing</v>
      </c>
      <c r="E262" s="2">
        <f>IFERROR(__xludf.DUMMYFUNCTION("""COMPUTED_VALUE"""),4.7)</f>
        <v>4.7</v>
      </c>
      <c r="F262" s="2"/>
      <c r="G262" s="2"/>
      <c r="H262" s="2"/>
      <c r="I262" s="2"/>
    </row>
    <row r="263">
      <c r="A263" s="2">
        <f>IFERROR(__xludf.DUMMYFUNCTION("""COMPUTED_VALUE"""),98129.0)</f>
        <v>98129</v>
      </c>
      <c r="B263" s="2" t="str">
        <f>IFERROR(__xludf.DUMMYFUNCTION("""COMPUTED_VALUE"""),"History")</f>
        <v>History</v>
      </c>
      <c r="C263" s="2" t="str">
        <f>IFERROR(__xludf.DUMMYFUNCTION("""COMPUTED_VALUE"""),"Horror")</f>
        <v>Horror</v>
      </c>
      <c r="D263" s="2" t="str">
        <f>IFERROR(__xludf.DUMMYFUNCTION("""COMPUTED_VALUE"""),"Great Plains Books")</f>
        <v>Great Plains Books</v>
      </c>
      <c r="E263" s="2">
        <f>IFERROR(__xludf.DUMMYFUNCTION("""COMPUTED_VALUE"""),7.98)</f>
        <v>7.98</v>
      </c>
      <c r="F263" s="2"/>
      <c r="G263" s="2"/>
      <c r="H263" s="2"/>
      <c r="I263" s="2"/>
    </row>
    <row r="264">
      <c r="A264" s="2">
        <f>IFERROR(__xludf.DUMMYFUNCTION("""COMPUTED_VALUE"""),72825.0)</f>
        <v>72825</v>
      </c>
      <c r="B264" s="2" t="str">
        <f>IFERROR(__xludf.DUMMYFUNCTION("""COMPUTED_VALUE"""),"History")</f>
        <v>History</v>
      </c>
      <c r="C264" s="2" t="str">
        <f>IFERROR(__xludf.DUMMYFUNCTION("""COMPUTED_VALUE"""),"Horror")</f>
        <v>Horror</v>
      </c>
      <c r="D264" s="2" t="str">
        <f>IFERROR(__xludf.DUMMYFUNCTION("""COMPUTED_VALUE"""),"Great Plains Books")</f>
        <v>Great Plains Books</v>
      </c>
      <c r="E264" s="2">
        <f>IFERROR(__xludf.DUMMYFUNCTION("""COMPUTED_VALUE"""),9.12)</f>
        <v>9.12</v>
      </c>
      <c r="F264" s="2"/>
      <c r="G264" s="2"/>
      <c r="H264" s="2"/>
      <c r="I264" s="2"/>
    </row>
    <row r="265">
      <c r="A265" s="2">
        <f>IFERROR(__xludf.DUMMYFUNCTION("""COMPUTED_VALUE"""),72820.0)</f>
        <v>72820</v>
      </c>
      <c r="B265" s="2" t="str">
        <f>IFERROR(__xludf.DUMMYFUNCTION("""COMPUTED_VALUE"""),"History")</f>
        <v>History</v>
      </c>
      <c r="C265" s="2" t="str">
        <f>IFERROR(__xludf.DUMMYFUNCTION("""COMPUTED_VALUE"""),"Horror")</f>
        <v>Horror</v>
      </c>
      <c r="D265" s="2" t="str">
        <f>IFERROR(__xludf.DUMMYFUNCTION("""COMPUTED_VALUE"""),"Great Plains Books")</f>
        <v>Great Plains Books</v>
      </c>
      <c r="E265" s="2">
        <f>IFERROR(__xludf.DUMMYFUNCTION("""COMPUTED_VALUE"""),2.47)</f>
        <v>2.47</v>
      </c>
      <c r="F265" s="2"/>
      <c r="G265" s="2"/>
      <c r="H265" s="2"/>
      <c r="I265" s="2"/>
    </row>
    <row r="266">
      <c r="A266" s="2">
        <f>IFERROR(__xludf.DUMMYFUNCTION("""COMPUTED_VALUE"""),81939.0)</f>
        <v>81939</v>
      </c>
      <c r="B266" s="2" t="str">
        <f>IFERROR(__xludf.DUMMYFUNCTION("""COMPUTED_VALUE"""),"History")</f>
        <v>History</v>
      </c>
      <c r="C266" s="2" t="str">
        <f>IFERROR(__xludf.DUMMYFUNCTION("""COMPUTED_VALUE"""),"Horror")</f>
        <v>Horror</v>
      </c>
      <c r="D266" s="2" t="str">
        <f>IFERROR(__xludf.DUMMYFUNCTION("""COMPUTED_VALUE"""),"Great Plains Books")</f>
        <v>Great Plains Books</v>
      </c>
      <c r="E266" s="2">
        <f>IFERROR(__xludf.DUMMYFUNCTION("""COMPUTED_VALUE"""),4.36)</f>
        <v>4.36</v>
      </c>
      <c r="F266" s="2"/>
      <c r="G266" s="2"/>
      <c r="H266" s="2"/>
      <c r="I266" s="2"/>
    </row>
    <row r="267">
      <c r="A267" s="2">
        <f>IFERROR(__xludf.DUMMYFUNCTION("""COMPUTED_VALUE"""),114382.0)</f>
        <v>114382</v>
      </c>
      <c r="B267" s="2" t="str">
        <f>IFERROR(__xludf.DUMMYFUNCTION("""COMPUTED_VALUE"""),"History")</f>
        <v>History</v>
      </c>
      <c r="C267" s="2" t="str">
        <f>IFERROR(__xludf.DUMMYFUNCTION("""COMPUTED_VALUE"""),"Horror")</f>
        <v>Horror</v>
      </c>
      <c r="D267" s="2" t="str">
        <f>IFERROR(__xludf.DUMMYFUNCTION("""COMPUTED_VALUE"""),"Great Plains Books")</f>
        <v>Great Plains Books</v>
      </c>
      <c r="E267" s="2">
        <f>IFERROR(__xludf.DUMMYFUNCTION("""COMPUTED_VALUE"""),8.92)</f>
        <v>8.92</v>
      </c>
      <c r="F267" s="2"/>
      <c r="G267" s="2"/>
      <c r="H267" s="2"/>
      <c r="I267" s="2"/>
    </row>
    <row r="268">
      <c r="A268" s="2">
        <f>IFERROR(__xludf.DUMMYFUNCTION("""COMPUTED_VALUE"""),111427.0)</f>
        <v>111427</v>
      </c>
      <c r="B268" s="2" t="str">
        <f>IFERROR(__xludf.DUMMYFUNCTION("""COMPUTED_VALUE"""),"History")</f>
        <v>History</v>
      </c>
      <c r="C268" s="2" t="str">
        <f>IFERROR(__xludf.DUMMYFUNCTION("""COMPUTED_VALUE"""),"Horror")</f>
        <v>Horror</v>
      </c>
      <c r="D268" s="2" t="str">
        <f>IFERROR(__xludf.DUMMYFUNCTION("""COMPUTED_VALUE"""),"Great Plains Books")</f>
        <v>Great Plains Books</v>
      </c>
      <c r="E268" s="2">
        <f>IFERROR(__xludf.DUMMYFUNCTION("""COMPUTED_VALUE"""),5.81)</f>
        <v>5.81</v>
      </c>
      <c r="F268" s="2"/>
      <c r="G268" s="2"/>
      <c r="H268" s="2"/>
      <c r="I268" s="2"/>
    </row>
    <row r="269">
      <c r="A269" s="2">
        <f>IFERROR(__xludf.DUMMYFUNCTION("""COMPUTED_VALUE"""),81937.0)</f>
        <v>81937</v>
      </c>
      <c r="B269" s="2" t="str">
        <f>IFERROR(__xludf.DUMMYFUNCTION("""COMPUTED_VALUE"""),"History")</f>
        <v>History</v>
      </c>
      <c r="C269" s="2" t="str">
        <f>IFERROR(__xludf.DUMMYFUNCTION("""COMPUTED_VALUE"""),"Horror")</f>
        <v>Horror</v>
      </c>
      <c r="D269" s="2" t="str">
        <f>IFERROR(__xludf.DUMMYFUNCTION("""COMPUTED_VALUE"""),"Great Plains Books")</f>
        <v>Great Plains Books</v>
      </c>
      <c r="E269" s="2">
        <f>IFERROR(__xludf.DUMMYFUNCTION("""COMPUTED_VALUE"""),9.12)</f>
        <v>9.12</v>
      </c>
      <c r="F269" s="2"/>
      <c r="G269" s="2"/>
      <c r="H269" s="2"/>
      <c r="I269" s="2"/>
    </row>
    <row r="270">
      <c r="A270" s="2">
        <f>IFERROR(__xludf.DUMMYFUNCTION("""COMPUTED_VALUE"""),72824.0)</f>
        <v>72824</v>
      </c>
      <c r="B270" s="2" t="str">
        <f>IFERROR(__xludf.DUMMYFUNCTION("""COMPUTED_VALUE"""),"History")</f>
        <v>History</v>
      </c>
      <c r="C270" s="2" t="str">
        <f>IFERROR(__xludf.DUMMYFUNCTION("""COMPUTED_VALUE"""),"Horror")</f>
        <v>Horror</v>
      </c>
      <c r="D270" s="2" t="str">
        <f>IFERROR(__xludf.DUMMYFUNCTION("""COMPUTED_VALUE"""),"Great Plains Books")</f>
        <v>Great Plains Books</v>
      </c>
      <c r="E270" s="2">
        <f>IFERROR(__xludf.DUMMYFUNCTION("""COMPUTED_VALUE"""),5.67)</f>
        <v>5.67</v>
      </c>
      <c r="F270" s="2"/>
      <c r="G270" s="2"/>
      <c r="H270" s="2"/>
      <c r="I270" s="2"/>
    </row>
    <row r="271">
      <c r="A271" s="2">
        <f>IFERROR(__xludf.DUMMYFUNCTION("""COMPUTED_VALUE"""),112188.0)</f>
        <v>112188</v>
      </c>
      <c r="B271" s="2" t="str">
        <f>IFERROR(__xludf.DUMMYFUNCTION("""COMPUTED_VALUE"""),"History")</f>
        <v>History</v>
      </c>
      <c r="C271" s="2" t="str">
        <f>IFERROR(__xludf.DUMMYFUNCTION("""COMPUTED_VALUE"""),"Horror")</f>
        <v>Horror</v>
      </c>
      <c r="D271" s="2" t="str">
        <f>IFERROR(__xludf.DUMMYFUNCTION("""COMPUTED_VALUE"""),"Great Plains Books")</f>
        <v>Great Plains Books</v>
      </c>
      <c r="E271" s="2">
        <f>IFERROR(__xludf.DUMMYFUNCTION("""COMPUTED_VALUE"""),2.12)</f>
        <v>2.12</v>
      </c>
      <c r="F271" s="2"/>
      <c r="G271" s="2"/>
      <c r="H271" s="2"/>
      <c r="I271" s="2"/>
    </row>
    <row r="272">
      <c r="A272" s="2">
        <f>IFERROR(__xludf.DUMMYFUNCTION("""COMPUTED_VALUE"""),98186.0)</f>
        <v>98186</v>
      </c>
      <c r="B272" s="2" t="str">
        <f>IFERROR(__xludf.DUMMYFUNCTION("""COMPUTED_VALUE"""),"History")</f>
        <v>History</v>
      </c>
      <c r="C272" s="2" t="str">
        <f>IFERROR(__xludf.DUMMYFUNCTION("""COMPUTED_VALUE"""),"Horror")</f>
        <v>Horror</v>
      </c>
      <c r="D272" s="2" t="str">
        <f>IFERROR(__xludf.DUMMYFUNCTION("""COMPUTED_VALUE"""),"Great Plains Books")</f>
        <v>Great Plains Books</v>
      </c>
      <c r="E272" s="2">
        <f>IFERROR(__xludf.DUMMYFUNCTION("""COMPUTED_VALUE"""),4.6)</f>
        <v>4.6</v>
      </c>
      <c r="F272" s="2"/>
      <c r="G272" s="2"/>
      <c r="H272" s="2"/>
      <c r="I272" s="2"/>
    </row>
    <row r="273">
      <c r="A273" s="2">
        <f>IFERROR(__xludf.DUMMYFUNCTION("""COMPUTED_VALUE"""),72822.0)</f>
        <v>72822</v>
      </c>
      <c r="B273" s="2" t="str">
        <f>IFERROR(__xludf.DUMMYFUNCTION("""COMPUTED_VALUE"""),"History")</f>
        <v>History</v>
      </c>
      <c r="C273" s="2" t="str">
        <f>IFERROR(__xludf.DUMMYFUNCTION("""COMPUTED_VALUE"""),"Horror")</f>
        <v>Horror</v>
      </c>
      <c r="D273" s="2" t="str">
        <f>IFERROR(__xludf.DUMMYFUNCTION("""COMPUTED_VALUE"""),"Great Plains Books")</f>
        <v>Great Plains Books</v>
      </c>
      <c r="E273" s="2">
        <f>IFERROR(__xludf.DUMMYFUNCTION("""COMPUTED_VALUE"""),2.11)</f>
        <v>2.11</v>
      </c>
      <c r="F273" s="2"/>
      <c r="G273" s="2"/>
      <c r="H273" s="2"/>
      <c r="I273" s="2"/>
    </row>
    <row r="274">
      <c r="A274" s="2">
        <f>IFERROR(__xludf.DUMMYFUNCTION("""COMPUTED_VALUE"""),122601.0)</f>
        <v>122601</v>
      </c>
      <c r="B274" s="2" t="str">
        <f>IFERROR(__xludf.DUMMYFUNCTION("""COMPUTED_VALUE"""),"Tech")</f>
        <v>Tech</v>
      </c>
      <c r="C274" s="2" t="str">
        <f>IFERROR(__xludf.DUMMYFUNCTION("""COMPUTED_VALUE"""),"Paranormal")</f>
        <v>Paranormal</v>
      </c>
      <c r="D274" s="2" t="str">
        <f>IFERROR(__xludf.DUMMYFUNCTION("""COMPUTED_VALUE"""),"Old Town Press")</f>
        <v>Old Town Press</v>
      </c>
      <c r="E274" s="2">
        <f>IFERROR(__xludf.DUMMYFUNCTION("""COMPUTED_VALUE"""),9.34)</f>
        <v>9.34</v>
      </c>
      <c r="F274" s="2"/>
      <c r="G274" s="2"/>
      <c r="H274" s="2"/>
      <c r="I274" s="2"/>
    </row>
    <row r="275">
      <c r="A275" s="2">
        <f>IFERROR(__xludf.DUMMYFUNCTION("""COMPUTED_VALUE"""),106779.0)</f>
        <v>106779</v>
      </c>
      <c r="B275" s="2" t="str">
        <f>IFERROR(__xludf.DUMMYFUNCTION("""COMPUTED_VALUE"""),"Tech")</f>
        <v>Tech</v>
      </c>
      <c r="C275" s="2" t="str">
        <f>IFERROR(__xludf.DUMMYFUNCTION("""COMPUTED_VALUE"""),"Paranormal")</f>
        <v>Paranormal</v>
      </c>
      <c r="D275" s="2" t="str">
        <f>IFERROR(__xludf.DUMMYFUNCTION("""COMPUTED_VALUE"""),"Old Town Press")</f>
        <v>Old Town Press</v>
      </c>
      <c r="E275" s="2">
        <f>IFERROR(__xludf.DUMMYFUNCTION("""COMPUTED_VALUE"""),0.75)</f>
        <v>0.75</v>
      </c>
      <c r="F275" s="2"/>
      <c r="G275" s="2"/>
      <c r="H275" s="2"/>
      <c r="I275" s="2"/>
    </row>
    <row r="276">
      <c r="A276" s="2">
        <f>IFERROR(__xludf.DUMMYFUNCTION("""COMPUTED_VALUE"""),106785.0)</f>
        <v>106785</v>
      </c>
      <c r="B276" s="2" t="str">
        <f>IFERROR(__xludf.DUMMYFUNCTION("""COMPUTED_VALUE"""),"Tech")</f>
        <v>Tech</v>
      </c>
      <c r="C276" s="2" t="str">
        <f>IFERROR(__xludf.DUMMYFUNCTION("""COMPUTED_VALUE"""),"Paranormal")</f>
        <v>Paranormal</v>
      </c>
      <c r="D276" s="2" t="str">
        <f>IFERROR(__xludf.DUMMYFUNCTION("""COMPUTED_VALUE"""),"Old Town Press")</f>
        <v>Old Town Press</v>
      </c>
      <c r="E276" s="2">
        <f>IFERROR(__xludf.DUMMYFUNCTION("""COMPUTED_VALUE"""),0.66)</f>
        <v>0.66</v>
      </c>
      <c r="F276" s="2"/>
      <c r="G276" s="2"/>
      <c r="H276" s="2"/>
      <c r="I276" s="2"/>
    </row>
    <row r="277">
      <c r="A277" s="2">
        <f>IFERROR(__xludf.DUMMYFUNCTION("""COMPUTED_VALUE"""),122602.0)</f>
        <v>122602</v>
      </c>
      <c r="B277" s="2" t="str">
        <f>IFERROR(__xludf.DUMMYFUNCTION("""COMPUTED_VALUE"""),"Tech")</f>
        <v>Tech</v>
      </c>
      <c r="C277" s="2" t="str">
        <f>IFERROR(__xludf.DUMMYFUNCTION("""COMPUTED_VALUE"""),"Paranormal")</f>
        <v>Paranormal</v>
      </c>
      <c r="D277" s="2" t="str">
        <f>IFERROR(__xludf.DUMMYFUNCTION("""COMPUTED_VALUE"""),"Old Town Press")</f>
        <v>Old Town Press</v>
      </c>
      <c r="E277" s="2">
        <f>IFERROR(__xludf.DUMMYFUNCTION("""COMPUTED_VALUE"""),9.44)</f>
        <v>9.44</v>
      </c>
      <c r="F277" s="2"/>
      <c r="G277" s="2"/>
      <c r="H277" s="2"/>
      <c r="I277" s="2"/>
    </row>
    <row r="278">
      <c r="A278" s="2">
        <f>IFERROR(__xludf.DUMMYFUNCTION("""COMPUTED_VALUE"""),45574.0)</f>
        <v>45574</v>
      </c>
      <c r="B278" s="2" t="str">
        <f>IFERROR(__xludf.DUMMYFUNCTION("""COMPUTED_VALUE"""),"Tech")</f>
        <v>Tech</v>
      </c>
      <c r="C278" s="2" t="str">
        <f>IFERROR(__xludf.DUMMYFUNCTION("""COMPUTED_VALUE"""),"Paranormal")</f>
        <v>Paranormal</v>
      </c>
      <c r="D278" s="2" t="str">
        <f>IFERROR(__xludf.DUMMYFUNCTION("""COMPUTED_VALUE"""),"Old Town Press")</f>
        <v>Old Town Press</v>
      </c>
      <c r="E278" s="2">
        <f>IFERROR(__xludf.DUMMYFUNCTION("""COMPUTED_VALUE"""),1.15)</f>
        <v>1.15</v>
      </c>
      <c r="F278" s="2"/>
      <c r="G278" s="2"/>
      <c r="H278" s="2"/>
      <c r="I278" s="2"/>
    </row>
    <row r="279">
      <c r="A279" s="2">
        <f>IFERROR(__xludf.DUMMYFUNCTION("""COMPUTED_VALUE"""),80808.0)</f>
        <v>80808</v>
      </c>
      <c r="B279" s="2" t="str">
        <f>IFERROR(__xludf.DUMMYFUNCTION("""COMPUTED_VALUE"""),"Tech")</f>
        <v>Tech</v>
      </c>
      <c r="C279" s="2" t="str">
        <f>IFERROR(__xludf.DUMMYFUNCTION("""COMPUTED_VALUE"""),"Paranormal")</f>
        <v>Paranormal</v>
      </c>
      <c r="D279" s="2" t="str">
        <f>IFERROR(__xludf.DUMMYFUNCTION("""COMPUTED_VALUE"""),"Old Town Press")</f>
        <v>Old Town Press</v>
      </c>
      <c r="E279" s="2">
        <f>IFERROR(__xludf.DUMMYFUNCTION("""COMPUTED_VALUE"""),1.24)</f>
        <v>1.24</v>
      </c>
      <c r="F279" s="2"/>
      <c r="G279" s="2"/>
      <c r="H279" s="2"/>
      <c r="I279" s="2"/>
    </row>
    <row r="280">
      <c r="A280" s="2">
        <f>IFERROR(__xludf.DUMMYFUNCTION("""COMPUTED_VALUE"""),80802.0)</f>
        <v>80802</v>
      </c>
      <c r="B280" s="2" t="str">
        <f>IFERROR(__xludf.DUMMYFUNCTION("""COMPUTED_VALUE"""),"Tech")</f>
        <v>Tech</v>
      </c>
      <c r="C280" s="2" t="str">
        <f>IFERROR(__xludf.DUMMYFUNCTION("""COMPUTED_VALUE"""),"Paranormal")</f>
        <v>Paranormal</v>
      </c>
      <c r="D280" s="2" t="str">
        <f>IFERROR(__xludf.DUMMYFUNCTION("""COMPUTED_VALUE"""),"Old Town Press")</f>
        <v>Old Town Press</v>
      </c>
      <c r="E280" s="2">
        <f>IFERROR(__xludf.DUMMYFUNCTION("""COMPUTED_VALUE"""),1.03)</f>
        <v>1.03</v>
      </c>
      <c r="F280" s="2"/>
      <c r="G280" s="2"/>
      <c r="H280" s="2"/>
      <c r="I280" s="2"/>
    </row>
    <row r="281">
      <c r="A281" s="2">
        <f>IFERROR(__xludf.DUMMYFUNCTION("""COMPUTED_VALUE"""),110385.0)</f>
        <v>110385</v>
      </c>
      <c r="B281" s="2" t="str">
        <f>IFERROR(__xludf.DUMMYFUNCTION("""COMPUTED_VALUE"""),"Tech")</f>
        <v>Tech</v>
      </c>
      <c r="C281" s="2" t="str">
        <f>IFERROR(__xludf.DUMMYFUNCTION("""COMPUTED_VALUE"""),"Paranormal")</f>
        <v>Paranormal</v>
      </c>
      <c r="D281" s="2" t="str">
        <f>IFERROR(__xludf.DUMMYFUNCTION("""COMPUTED_VALUE"""),"Lakeside Publishing")</f>
        <v>Lakeside Publishing</v>
      </c>
      <c r="E281" s="2">
        <f>IFERROR(__xludf.DUMMYFUNCTION("""COMPUTED_VALUE"""),1.68)</f>
        <v>1.68</v>
      </c>
      <c r="F281" s="2"/>
      <c r="G281" s="2"/>
      <c r="H281" s="2"/>
      <c r="I281" s="2"/>
    </row>
    <row r="282">
      <c r="A282" s="2">
        <f>IFERROR(__xludf.DUMMYFUNCTION("""COMPUTED_VALUE"""),80633.0)</f>
        <v>80633</v>
      </c>
      <c r="B282" s="2" t="str">
        <f>IFERROR(__xludf.DUMMYFUNCTION("""COMPUTED_VALUE"""),"Tech")</f>
        <v>Tech</v>
      </c>
      <c r="C282" s="2" t="str">
        <f>IFERROR(__xludf.DUMMYFUNCTION("""COMPUTED_VALUE"""),"Paranormal")</f>
        <v>Paranormal</v>
      </c>
      <c r="D282" s="2" t="str">
        <f>IFERROR(__xludf.DUMMYFUNCTION("""COMPUTED_VALUE"""),"Lakeside Publishing")</f>
        <v>Lakeside Publishing</v>
      </c>
      <c r="E282" s="2">
        <f>IFERROR(__xludf.DUMMYFUNCTION("""COMPUTED_VALUE"""),1.36)</f>
        <v>1.36</v>
      </c>
      <c r="F282" s="2"/>
      <c r="G282" s="2"/>
      <c r="H282" s="2"/>
      <c r="I282" s="2"/>
    </row>
    <row r="283">
      <c r="A283" s="2">
        <f>IFERROR(__xludf.DUMMYFUNCTION("""COMPUTED_VALUE"""),120700.0)</f>
        <v>120700</v>
      </c>
      <c r="B283" s="2" t="str">
        <f>IFERROR(__xludf.DUMMYFUNCTION("""COMPUTED_VALUE"""),"Tech")</f>
        <v>Tech</v>
      </c>
      <c r="C283" s="2" t="str">
        <f>IFERROR(__xludf.DUMMYFUNCTION("""COMPUTED_VALUE"""),"Paranormal")</f>
        <v>Paranormal</v>
      </c>
      <c r="D283" s="2" t="str">
        <f>IFERROR(__xludf.DUMMYFUNCTION("""COMPUTED_VALUE"""),"Lakeside Publishing")</f>
        <v>Lakeside Publishing</v>
      </c>
      <c r="E283" s="2">
        <f>IFERROR(__xludf.DUMMYFUNCTION("""COMPUTED_VALUE"""),5.42)</f>
        <v>5.42</v>
      </c>
      <c r="F283" s="2"/>
      <c r="G283" s="2"/>
      <c r="H283" s="2"/>
      <c r="I283" s="2"/>
    </row>
    <row r="284">
      <c r="A284" s="2">
        <f>IFERROR(__xludf.DUMMYFUNCTION("""COMPUTED_VALUE"""),112853.0)</f>
        <v>112853</v>
      </c>
      <c r="B284" s="2" t="str">
        <f>IFERROR(__xludf.DUMMYFUNCTION("""COMPUTED_VALUE"""),"Tech")</f>
        <v>Tech</v>
      </c>
      <c r="C284" s="2" t="str">
        <f>IFERROR(__xludf.DUMMYFUNCTION("""COMPUTED_VALUE"""),"Paranormal")</f>
        <v>Paranormal</v>
      </c>
      <c r="D284" s="2" t="str">
        <f>IFERROR(__xludf.DUMMYFUNCTION("""COMPUTED_VALUE"""),"Lakeside Publishing")</f>
        <v>Lakeside Publishing</v>
      </c>
      <c r="E284" s="2">
        <f>IFERROR(__xludf.DUMMYFUNCTION("""COMPUTED_VALUE"""),4.85)</f>
        <v>4.85</v>
      </c>
      <c r="F284" s="2"/>
      <c r="G284" s="2"/>
      <c r="H284" s="2"/>
      <c r="I284" s="2"/>
    </row>
    <row r="285">
      <c r="A285" s="2">
        <f>IFERROR(__xludf.DUMMYFUNCTION("""COMPUTED_VALUE"""),120699.0)</f>
        <v>120699</v>
      </c>
      <c r="B285" s="2" t="str">
        <f>IFERROR(__xludf.DUMMYFUNCTION("""COMPUTED_VALUE"""),"Tech")</f>
        <v>Tech</v>
      </c>
      <c r="C285" s="2" t="str">
        <f>IFERROR(__xludf.DUMMYFUNCTION("""COMPUTED_VALUE"""),"Paranormal")</f>
        <v>Paranormal</v>
      </c>
      <c r="D285" s="2" t="str">
        <f>IFERROR(__xludf.DUMMYFUNCTION("""COMPUTED_VALUE"""),"Lakeside Publishing")</f>
        <v>Lakeside Publishing</v>
      </c>
      <c r="E285" s="2">
        <f>IFERROR(__xludf.DUMMYFUNCTION("""COMPUTED_VALUE"""),5.98)</f>
        <v>5.98</v>
      </c>
      <c r="F285" s="2"/>
      <c r="G285" s="2"/>
      <c r="H285" s="2"/>
      <c r="I285" s="2"/>
    </row>
    <row r="286">
      <c r="A286" s="2">
        <f>IFERROR(__xludf.DUMMYFUNCTION("""COMPUTED_VALUE"""),20195.0)</f>
        <v>20195</v>
      </c>
      <c r="B286" s="2" t="str">
        <f>IFERROR(__xludf.DUMMYFUNCTION("""COMPUTED_VALUE"""),"Tech")</f>
        <v>Tech</v>
      </c>
      <c r="C286" s="2" t="str">
        <f>IFERROR(__xludf.DUMMYFUNCTION("""COMPUTED_VALUE"""),"Paranormal")</f>
        <v>Paranormal</v>
      </c>
      <c r="D286" s="2" t="str">
        <f>IFERROR(__xludf.DUMMYFUNCTION("""COMPUTED_VALUE"""),"Lakeside Publishing")</f>
        <v>Lakeside Publishing</v>
      </c>
      <c r="E286" s="2">
        <f>IFERROR(__xludf.DUMMYFUNCTION("""COMPUTED_VALUE"""),6.8)</f>
        <v>6.8</v>
      </c>
      <c r="F286" s="2"/>
      <c r="G286" s="2"/>
      <c r="H286" s="2"/>
      <c r="I286" s="2"/>
    </row>
    <row r="287">
      <c r="A287" s="2">
        <f>IFERROR(__xludf.DUMMYFUNCTION("""COMPUTED_VALUE"""),11422.0)</f>
        <v>11422</v>
      </c>
      <c r="B287" s="2" t="str">
        <f>IFERROR(__xludf.DUMMYFUNCTION("""COMPUTED_VALUE"""),"Tech")</f>
        <v>Tech</v>
      </c>
      <c r="C287" s="2" t="str">
        <f>IFERROR(__xludf.DUMMYFUNCTION("""COMPUTED_VALUE"""),"Paranormal")</f>
        <v>Paranormal</v>
      </c>
      <c r="D287" s="2" t="str">
        <f>IFERROR(__xludf.DUMMYFUNCTION("""COMPUTED_VALUE"""),"Lakeside Publishing")</f>
        <v>Lakeside Publishing</v>
      </c>
      <c r="E287" s="2">
        <f>IFERROR(__xludf.DUMMYFUNCTION("""COMPUTED_VALUE"""),3.58)</f>
        <v>3.58</v>
      </c>
      <c r="F287" s="2"/>
      <c r="G287" s="2"/>
      <c r="H287" s="2"/>
      <c r="I287" s="2"/>
    </row>
    <row r="288">
      <c r="A288" s="2">
        <f>IFERROR(__xludf.DUMMYFUNCTION("""COMPUTED_VALUE"""),4492.0)</f>
        <v>4492</v>
      </c>
      <c r="B288" s="2" t="str">
        <f>IFERROR(__xludf.DUMMYFUNCTION("""COMPUTED_VALUE"""),"Tech")</f>
        <v>Tech</v>
      </c>
      <c r="C288" s="2" t="str">
        <f>IFERROR(__xludf.DUMMYFUNCTION("""COMPUTED_VALUE"""),"Paranormal")</f>
        <v>Paranormal</v>
      </c>
      <c r="D288" s="2" t="str">
        <f>IFERROR(__xludf.DUMMYFUNCTION("""COMPUTED_VALUE"""),"Lakeside Publishing")</f>
        <v>Lakeside Publishing</v>
      </c>
      <c r="E288" s="2">
        <f>IFERROR(__xludf.DUMMYFUNCTION("""COMPUTED_VALUE"""),5.47)</f>
        <v>5.47</v>
      </c>
      <c r="F288" s="2"/>
      <c r="G288" s="2"/>
      <c r="H288" s="2"/>
      <c r="I288" s="2"/>
    </row>
    <row r="289">
      <c r="A289" s="2">
        <f>IFERROR(__xludf.DUMMYFUNCTION("""COMPUTED_VALUE"""),4560.0)</f>
        <v>4560</v>
      </c>
      <c r="B289" s="2" t="str">
        <f>IFERROR(__xludf.DUMMYFUNCTION("""COMPUTED_VALUE"""),"Tech")</f>
        <v>Tech</v>
      </c>
      <c r="C289" s="2" t="str">
        <f>IFERROR(__xludf.DUMMYFUNCTION("""COMPUTED_VALUE"""),"Paranormal")</f>
        <v>Paranormal</v>
      </c>
      <c r="D289" s="2" t="str">
        <f>IFERROR(__xludf.DUMMYFUNCTION("""COMPUTED_VALUE"""),"Lakeside Publishing")</f>
        <v>Lakeside Publishing</v>
      </c>
      <c r="E289" s="2">
        <f>IFERROR(__xludf.DUMMYFUNCTION("""COMPUTED_VALUE"""),5.43)</f>
        <v>5.43</v>
      </c>
      <c r="F289" s="2"/>
      <c r="G289" s="2"/>
      <c r="H289" s="2"/>
      <c r="I289" s="2"/>
    </row>
    <row r="290">
      <c r="A290" s="2">
        <f>IFERROR(__xludf.DUMMYFUNCTION("""COMPUTED_VALUE"""),110383.0)</f>
        <v>110383</v>
      </c>
      <c r="B290" s="2" t="str">
        <f>IFERROR(__xludf.DUMMYFUNCTION("""COMPUTED_VALUE"""),"Tech")</f>
        <v>Tech</v>
      </c>
      <c r="C290" s="2" t="str">
        <f>IFERROR(__xludf.DUMMYFUNCTION("""COMPUTED_VALUE"""),"Paranormal")</f>
        <v>Paranormal</v>
      </c>
      <c r="D290" s="2" t="str">
        <f>IFERROR(__xludf.DUMMYFUNCTION("""COMPUTED_VALUE"""),"Lakeside Publishing")</f>
        <v>Lakeside Publishing</v>
      </c>
      <c r="E290" s="2">
        <f>IFERROR(__xludf.DUMMYFUNCTION("""COMPUTED_VALUE"""),2.26)</f>
        <v>2.26</v>
      </c>
      <c r="F290" s="2"/>
      <c r="G290" s="2"/>
      <c r="H290" s="2"/>
      <c r="I290" s="2"/>
    </row>
    <row r="291">
      <c r="A291" s="2">
        <f>IFERROR(__xludf.DUMMYFUNCTION("""COMPUTED_VALUE"""),112850.0)</f>
        <v>112850</v>
      </c>
      <c r="B291" s="2" t="str">
        <f>IFERROR(__xludf.DUMMYFUNCTION("""COMPUTED_VALUE"""),"Tech")</f>
        <v>Tech</v>
      </c>
      <c r="C291" s="2" t="str">
        <f>IFERROR(__xludf.DUMMYFUNCTION("""COMPUTED_VALUE"""),"Paranormal")</f>
        <v>Paranormal</v>
      </c>
      <c r="D291" s="2" t="str">
        <f>IFERROR(__xludf.DUMMYFUNCTION("""COMPUTED_VALUE"""),"Lakeside Publishing")</f>
        <v>Lakeside Publishing</v>
      </c>
      <c r="E291" s="2">
        <f>IFERROR(__xludf.DUMMYFUNCTION("""COMPUTED_VALUE"""),3.67)</f>
        <v>3.67</v>
      </c>
      <c r="F291" s="2"/>
      <c r="G291" s="2"/>
      <c r="H291" s="2"/>
      <c r="I291" s="2"/>
    </row>
    <row r="292">
      <c r="A292" s="2">
        <f>IFERROR(__xludf.DUMMYFUNCTION("""COMPUTED_VALUE"""),120702.0)</f>
        <v>120702</v>
      </c>
      <c r="B292" s="2" t="str">
        <f>IFERROR(__xludf.DUMMYFUNCTION("""COMPUTED_VALUE"""),"Tech")</f>
        <v>Tech</v>
      </c>
      <c r="C292" s="2" t="str">
        <f>IFERROR(__xludf.DUMMYFUNCTION("""COMPUTED_VALUE"""),"Paranormal")</f>
        <v>Paranormal</v>
      </c>
      <c r="D292" s="2" t="str">
        <f>IFERROR(__xludf.DUMMYFUNCTION("""COMPUTED_VALUE"""),"Lakeside Publishing")</f>
        <v>Lakeside Publishing</v>
      </c>
      <c r="E292" s="2">
        <f>IFERROR(__xludf.DUMMYFUNCTION("""COMPUTED_VALUE"""),3.45)</f>
        <v>3.45</v>
      </c>
      <c r="F292" s="2"/>
      <c r="G292" s="2"/>
      <c r="H292" s="2"/>
      <c r="I292" s="2"/>
    </row>
    <row r="293">
      <c r="A293" s="2">
        <f>IFERROR(__xludf.DUMMYFUNCTION("""COMPUTED_VALUE"""),91860.0)</f>
        <v>91860</v>
      </c>
      <c r="B293" s="2" t="str">
        <f>IFERROR(__xludf.DUMMYFUNCTION("""COMPUTED_VALUE"""),"Tech")</f>
        <v>Tech</v>
      </c>
      <c r="C293" s="2" t="str">
        <f>IFERROR(__xludf.DUMMYFUNCTION("""COMPUTED_VALUE"""),"Paranormal")</f>
        <v>Paranormal</v>
      </c>
      <c r="D293" s="2" t="str">
        <f>IFERROR(__xludf.DUMMYFUNCTION("""COMPUTED_VALUE"""),"Lakeside Publishing")</f>
        <v>Lakeside Publishing</v>
      </c>
      <c r="E293" s="2">
        <f>IFERROR(__xludf.DUMMYFUNCTION("""COMPUTED_VALUE"""),6.12)</f>
        <v>6.12</v>
      </c>
      <c r="F293" s="2"/>
      <c r="G293" s="2"/>
      <c r="H293" s="2"/>
      <c r="I293" s="2"/>
    </row>
    <row r="294">
      <c r="A294" s="2">
        <f>IFERROR(__xludf.DUMMYFUNCTION("""COMPUTED_VALUE"""),9716.0)</f>
        <v>9716</v>
      </c>
      <c r="B294" s="2" t="str">
        <f>IFERROR(__xludf.DUMMYFUNCTION("""COMPUTED_VALUE"""),"Tech")</f>
        <v>Tech</v>
      </c>
      <c r="C294" s="2" t="str">
        <f>IFERROR(__xludf.DUMMYFUNCTION("""COMPUTED_VALUE"""),"Paranormal")</f>
        <v>Paranormal</v>
      </c>
      <c r="D294" s="2" t="str">
        <f>IFERROR(__xludf.DUMMYFUNCTION("""COMPUTED_VALUE"""),"Lakeside Publishing")</f>
        <v>Lakeside Publishing</v>
      </c>
      <c r="E294" s="2">
        <f>IFERROR(__xludf.DUMMYFUNCTION("""COMPUTED_VALUE"""),5.07)</f>
        <v>5.07</v>
      </c>
      <c r="F294" s="2"/>
      <c r="G294" s="2"/>
      <c r="H294" s="2"/>
      <c r="I294" s="2"/>
    </row>
    <row r="295">
      <c r="A295" s="2">
        <f>IFERROR(__xludf.DUMMYFUNCTION("""COMPUTED_VALUE"""),77135.0)</f>
        <v>77135</v>
      </c>
      <c r="B295" s="2" t="str">
        <f>IFERROR(__xludf.DUMMYFUNCTION("""COMPUTED_VALUE"""),"Tech")</f>
        <v>Tech</v>
      </c>
      <c r="C295" s="2" t="str">
        <f>IFERROR(__xludf.DUMMYFUNCTION("""COMPUTED_VALUE"""),"Paranormal")</f>
        <v>Paranormal</v>
      </c>
      <c r="D295" s="2" t="str">
        <f>IFERROR(__xludf.DUMMYFUNCTION("""COMPUTED_VALUE"""),"Lakeside Publishing")</f>
        <v>Lakeside Publishing</v>
      </c>
      <c r="E295" s="2">
        <f>IFERROR(__xludf.DUMMYFUNCTION("""COMPUTED_VALUE"""),6.33)</f>
        <v>6.33</v>
      </c>
      <c r="F295" s="2"/>
      <c r="G295" s="2"/>
      <c r="H295" s="2"/>
      <c r="I295" s="2"/>
    </row>
    <row r="296">
      <c r="A296" s="2">
        <f>IFERROR(__xludf.DUMMYFUNCTION("""COMPUTED_VALUE"""),91857.0)</f>
        <v>91857</v>
      </c>
      <c r="B296" s="2" t="str">
        <f>IFERROR(__xludf.DUMMYFUNCTION("""COMPUTED_VALUE"""),"Tech")</f>
        <v>Tech</v>
      </c>
      <c r="C296" s="2" t="str">
        <f>IFERROR(__xludf.DUMMYFUNCTION("""COMPUTED_VALUE"""),"Paranormal")</f>
        <v>Paranormal</v>
      </c>
      <c r="D296" s="2" t="str">
        <f>IFERROR(__xludf.DUMMYFUNCTION("""COMPUTED_VALUE"""),"Lakeside Publishing")</f>
        <v>Lakeside Publishing</v>
      </c>
      <c r="E296" s="2">
        <f>IFERROR(__xludf.DUMMYFUNCTION("""COMPUTED_VALUE"""),4.03)</f>
        <v>4.03</v>
      </c>
      <c r="F296" s="2"/>
      <c r="G296" s="2"/>
      <c r="H296" s="2"/>
      <c r="I296" s="2"/>
    </row>
    <row r="297">
      <c r="A297" s="2">
        <f>IFERROR(__xludf.DUMMYFUNCTION("""COMPUTED_VALUE"""),76429.0)</f>
        <v>76429</v>
      </c>
      <c r="B297" s="2" t="str">
        <f>IFERROR(__xludf.DUMMYFUNCTION("""COMPUTED_VALUE"""),"Tech")</f>
        <v>Tech</v>
      </c>
      <c r="C297" s="2" t="str">
        <f>IFERROR(__xludf.DUMMYFUNCTION("""COMPUTED_VALUE"""),"Paranormal")</f>
        <v>Paranormal</v>
      </c>
      <c r="D297" s="2" t="str">
        <f>IFERROR(__xludf.DUMMYFUNCTION("""COMPUTED_VALUE"""),"Lakeside Publishing")</f>
        <v>Lakeside Publishing</v>
      </c>
      <c r="E297" s="2">
        <f>IFERROR(__xludf.DUMMYFUNCTION("""COMPUTED_VALUE"""),6.19)</f>
        <v>6.19</v>
      </c>
      <c r="F297" s="2"/>
      <c r="G297" s="2"/>
      <c r="H297" s="2"/>
      <c r="I297" s="2"/>
    </row>
    <row r="298">
      <c r="A298" s="2">
        <f>IFERROR(__xludf.DUMMYFUNCTION("""COMPUTED_VALUE"""),122507.0)</f>
        <v>122507</v>
      </c>
      <c r="B298" s="2" t="str">
        <f>IFERROR(__xludf.DUMMYFUNCTION("""COMPUTED_VALUE"""),"Tech")</f>
        <v>Tech</v>
      </c>
      <c r="C298" s="2" t="str">
        <f>IFERROR(__xludf.DUMMYFUNCTION("""COMPUTED_VALUE"""),"Paranormal")</f>
        <v>Paranormal</v>
      </c>
      <c r="D298" s="2" t="str">
        <f>IFERROR(__xludf.DUMMYFUNCTION("""COMPUTED_VALUE"""),"Forest Gate Books")</f>
        <v>Forest Gate Books</v>
      </c>
      <c r="E298" s="2">
        <f>IFERROR(__xludf.DUMMYFUNCTION("""COMPUTED_VALUE"""),5.19)</f>
        <v>5.19</v>
      </c>
      <c r="F298" s="2"/>
      <c r="G298" s="2"/>
      <c r="H298" s="2"/>
      <c r="I298" s="2"/>
    </row>
    <row r="299">
      <c r="A299" s="2">
        <f>IFERROR(__xludf.DUMMYFUNCTION("""COMPUTED_VALUE"""),77844.0)</f>
        <v>77844</v>
      </c>
      <c r="B299" s="2" t="str">
        <f>IFERROR(__xludf.DUMMYFUNCTION("""COMPUTED_VALUE"""),"Tech")</f>
        <v>Tech</v>
      </c>
      <c r="C299" s="2" t="str">
        <f>IFERROR(__xludf.DUMMYFUNCTION("""COMPUTED_VALUE"""),"Paranormal")</f>
        <v>Paranormal</v>
      </c>
      <c r="D299" s="2" t="str">
        <f>IFERROR(__xludf.DUMMYFUNCTION("""COMPUTED_VALUE"""),"Forest Gate Books")</f>
        <v>Forest Gate Books</v>
      </c>
      <c r="E299" s="2">
        <f>IFERROR(__xludf.DUMMYFUNCTION("""COMPUTED_VALUE"""),4.53)</f>
        <v>4.53</v>
      </c>
      <c r="F299" s="2"/>
      <c r="G299" s="2"/>
      <c r="H299" s="2"/>
      <c r="I299" s="2"/>
    </row>
    <row r="300">
      <c r="A300" s="2">
        <f>IFERROR(__xludf.DUMMYFUNCTION("""COMPUTED_VALUE"""),100041.0)</f>
        <v>100041</v>
      </c>
      <c r="B300" s="2" t="str">
        <f>IFERROR(__xludf.DUMMYFUNCTION("""COMPUTED_VALUE"""),"Tech")</f>
        <v>Tech</v>
      </c>
      <c r="C300" s="2" t="str">
        <f>IFERROR(__xludf.DUMMYFUNCTION("""COMPUTED_VALUE"""),"Paranormal")</f>
        <v>Paranormal</v>
      </c>
      <c r="D300" s="2" t="str">
        <f>IFERROR(__xludf.DUMMYFUNCTION("""COMPUTED_VALUE"""),"Forest Gate Books")</f>
        <v>Forest Gate Books</v>
      </c>
      <c r="E300" s="2">
        <f>IFERROR(__xludf.DUMMYFUNCTION("""COMPUTED_VALUE"""),7.77)</f>
        <v>7.77</v>
      </c>
      <c r="F300" s="2"/>
      <c r="G300" s="2"/>
      <c r="H300" s="2"/>
      <c r="I300" s="2"/>
    </row>
    <row r="301">
      <c r="A301" s="2">
        <f>IFERROR(__xludf.DUMMYFUNCTION("""COMPUTED_VALUE"""),111591.0)</f>
        <v>111591</v>
      </c>
      <c r="B301" s="2" t="str">
        <f>IFERROR(__xludf.DUMMYFUNCTION("""COMPUTED_VALUE"""),"Tech")</f>
        <v>Tech</v>
      </c>
      <c r="C301" s="2" t="str">
        <f>IFERROR(__xludf.DUMMYFUNCTION("""COMPUTED_VALUE"""),"Paranormal")</f>
        <v>Paranormal</v>
      </c>
      <c r="D301" s="2" t="str">
        <f>IFERROR(__xludf.DUMMYFUNCTION("""COMPUTED_VALUE"""),"Forest Gate Books")</f>
        <v>Forest Gate Books</v>
      </c>
      <c r="E301" s="2">
        <f>IFERROR(__xludf.DUMMYFUNCTION("""COMPUTED_VALUE"""),5.56)</f>
        <v>5.56</v>
      </c>
      <c r="F301" s="2"/>
      <c r="G301" s="2"/>
      <c r="H301" s="2"/>
      <c r="I301" s="2"/>
    </row>
    <row r="302">
      <c r="A302" s="2">
        <f>IFERROR(__xludf.DUMMYFUNCTION("""COMPUTED_VALUE"""),128329.0)</f>
        <v>128329</v>
      </c>
      <c r="B302" s="2" t="str">
        <f>IFERROR(__xludf.DUMMYFUNCTION("""COMPUTED_VALUE"""),"Tech")</f>
        <v>Tech</v>
      </c>
      <c r="C302" s="2" t="str">
        <f>IFERROR(__xludf.DUMMYFUNCTION("""COMPUTED_VALUE"""),"Paranormal")</f>
        <v>Paranormal</v>
      </c>
      <c r="D302" s="2" t="str">
        <f>IFERROR(__xludf.DUMMYFUNCTION("""COMPUTED_VALUE"""),"Forest Gate Books")</f>
        <v>Forest Gate Books</v>
      </c>
      <c r="E302" s="2">
        <f>IFERROR(__xludf.DUMMYFUNCTION("""COMPUTED_VALUE"""),3.17)</f>
        <v>3.17</v>
      </c>
      <c r="F302" s="2"/>
      <c r="G302" s="2"/>
      <c r="H302" s="2"/>
      <c r="I302" s="2"/>
    </row>
    <row r="303">
      <c r="A303" s="2">
        <f>IFERROR(__xludf.DUMMYFUNCTION("""COMPUTED_VALUE"""),147268.0)</f>
        <v>147268</v>
      </c>
      <c r="B303" s="2" t="str">
        <f>IFERROR(__xludf.DUMMYFUNCTION("""COMPUTED_VALUE"""),"Tech")</f>
        <v>Tech</v>
      </c>
      <c r="C303" s="2" t="str">
        <f>IFERROR(__xludf.DUMMYFUNCTION("""COMPUTED_VALUE"""),"Paranormal")</f>
        <v>Paranormal</v>
      </c>
      <c r="D303" s="2" t="str">
        <f>IFERROR(__xludf.DUMMYFUNCTION("""COMPUTED_VALUE"""),"Forest Gate Books")</f>
        <v>Forest Gate Books</v>
      </c>
      <c r="E303" s="2">
        <f>IFERROR(__xludf.DUMMYFUNCTION("""COMPUTED_VALUE"""),2.66)</f>
        <v>2.66</v>
      </c>
      <c r="F303" s="2"/>
      <c r="G303" s="2"/>
      <c r="H303" s="2"/>
      <c r="I303" s="2"/>
    </row>
    <row r="304">
      <c r="A304" s="2">
        <f>IFERROR(__xludf.DUMMYFUNCTION("""COMPUTED_VALUE"""),48511.0)</f>
        <v>48511</v>
      </c>
      <c r="B304" s="2" t="str">
        <f>IFERROR(__xludf.DUMMYFUNCTION("""COMPUTED_VALUE"""),"Tech")</f>
        <v>Tech</v>
      </c>
      <c r="C304" s="2" t="str">
        <f>IFERROR(__xludf.DUMMYFUNCTION("""COMPUTED_VALUE"""),"Paranormal")</f>
        <v>Paranormal</v>
      </c>
      <c r="D304" s="2" t="str">
        <f>IFERROR(__xludf.DUMMYFUNCTION("""COMPUTED_VALUE"""),"Forest Gate Books")</f>
        <v>Forest Gate Books</v>
      </c>
      <c r="E304" s="2">
        <f>IFERROR(__xludf.DUMMYFUNCTION("""COMPUTED_VALUE"""),2.85)</f>
        <v>2.85</v>
      </c>
      <c r="F304" s="2"/>
      <c r="G304" s="2"/>
      <c r="H304" s="2"/>
      <c r="I304" s="2"/>
    </row>
    <row r="305">
      <c r="A305" s="2">
        <f>IFERROR(__xludf.DUMMYFUNCTION("""COMPUTED_VALUE"""),100040.0)</f>
        <v>100040</v>
      </c>
      <c r="B305" s="2" t="str">
        <f>IFERROR(__xludf.DUMMYFUNCTION("""COMPUTED_VALUE"""),"Tech")</f>
        <v>Tech</v>
      </c>
      <c r="C305" s="2" t="str">
        <f>IFERROR(__xludf.DUMMYFUNCTION("""COMPUTED_VALUE"""),"Paranormal")</f>
        <v>Paranormal</v>
      </c>
      <c r="D305" s="2" t="str">
        <f>IFERROR(__xludf.DUMMYFUNCTION("""COMPUTED_VALUE"""),"Forest Gate Books")</f>
        <v>Forest Gate Books</v>
      </c>
      <c r="E305" s="2">
        <f>IFERROR(__xludf.DUMMYFUNCTION("""COMPUTED_VALUE"""),10.34)</f>
        <v>10.34</v>
      </c>
      <c r="F305" s="2"/>
      <c r="G305" s="2"/>
      <c r="H305" s="2"/>
      <c r="I305" s="2"/>
    </row>
    <row r="306">
      <c r="A306" s="2">
        <f>IFERROR(__xludf.DUMMYFUNCTION("""COMPUTED_VALUE"""),79366.0)</f>
        <v>79366</v>
      </c>
      <c r="B306" s="2" t="str">
        <f>IFERROR(__xludf.DUMMYFUNCTION("""COMPUTED_VALUE"""),"Tech")</f>
        <v>Tech</v>
      </c>
      <c r="C306" s="2" t="str">
        <f>IFERROR(__xludf.DUMMYFUNCTION("""COMPUTED_VALUE"""),"Paranormal")</f>
        <v>Paranormal</v>
      </c>
      <c r="D306" s="2" t="str">
        <f>IFERROR(__xludf.DUMMYFUNCTION("""COMPUTED_VALUE"""),"Forest Gate Books")</f>
        <v>Forest Gate Books</v>
      </c>
      <c r="E306" s="2">
        <f>IFERROR(__xludf.DUMMYFUNCTION("""COMPUTED_VALUE"""),2.71)</f>
        <v>2.71</v>
      </c>
      <c r="F306" s="2"/>
      <c r="G306" s="2"/>
      <c r="H306" s="2"/>
      <c r="I306" s="2"/>
    </row>
    <row r="307">
      <c r="A307" s="2">
        <f>IFERROR(__xludf.DUMMYFUNCTION("""COMPUTED_VALUE"""),160754.0)</f>
        <v>160754</v>
      </c>
      <c r="B307" s="2" t="str">
        <f>IFERROR(__xludf.DUMMYFUNCTION("""COMPUTED_VALUE"""),"Tech")</f>
        <v>Tech</v>
      </c>
      <c r="C307" s="2" t="str">
        <f>IFERROR(__xludf.DUMMYFUNCTION("""COMPUTED_VALUE"""),"Paranormal")</f>
        <v>Paranormal</v>
      </c>
      <c r="D307" s="2" t="str">
        <f>IFERROR(__xludf.DUMMYFUNCTION("""COMPUTED_VALUE"""),"Forest Gate Books")</f>
        <v>Forest Gate Books</v>
      </c>
      <c r="E307" s="2">
        <f>IFERROR(__xludf.DUMMYFUNCTION("""COMPUTED_VALUE"""),4.04)</f>
        <v>4.04</v>
      </c>
      <c r="F307" s="2"/>
      <c r="G307" s="2"/>
      <c r="H307" s="2"/>
      <c r="I307" s="2"/>
    </row>
    <row r="308">
      <c r="A308" s="2">
        <f>IFERROR(__xludf.DUMMYFUNCTION("""COMPUTED_VALUE"""),100038.0)</f>
        <v>100038</v>
      </c>
      <c r="B308" s="2" t="str">
        <f>IFERROR(__xludf.DUMMYFUNCTION("""COMPUTED_VALUE"""),"Tech")</f>
        <v>Tech</v>
      </c>
      <c r="C308" s="2" t="str">
        <f>IFERROR(__xludf.DUMMYFUNCTION("""COMPUTED_VALUE"""),"Paranormal")</f>
        <v>Paranormal</v>
      </c>
      <c r="D308" s="2" t="str">
        <f>IFERROR(__xludf.DUMMYFUNCTION("""COMPUTED_VALUE"""),"Forest Gate Books")</f>
        <v>Forest Gate Books</v>
      </c>
      <c r="E308" s="2">
        <f>IFERROR(__xludf.DUMMYFUNCTION("""COMPUTED_VALUE"""),8.51)</f>
        <v>8.51</v>
      </c>
      <c r="F308" s="2"/>
      <c r="G308" s="2"/>
      <c r="H308" s="2"/>
      <c r="I308" s="2"/>
    </row>
    <row r="309">
      <c r="A309" s="2">
        <f>IFERROR(__xludf.DUMMYFUNCTION("""COMPUTED_VALUE"""),100035.0)</f>
        <v>100035</v>
      </c>
      <c r="B309" s="2" t="str">
        <f>IFERROR(__xludf.DUMMYFUNCTION("""COMPUTED_VALUE"""),"Tech")</f>
        <v>Tech</v>
      </c>
      <c r="C309" s="2" t="str">
        <f>IFERROR(__xludf.DUMMYFUNCTION("""COMPUTED_VALUE"""),"Paranormal")</f>
        <v>Paranormal</v>
      </c>
      <c r="D309" s="2" t="str">
        <f>IFERROR(__xludf.DUMMYFUNCTION("""COMPUTED_VALUE"""),"Forest Gate Books")</f>
        <v>Forest Gate Books</v>
      </c>
      <c r="E309" s="2">
        <f>IFERROR(__xludf.DUMMYFUNCTION("""COMPUTED_VALUE"""),8.54)</f>
        <v>8.54</v>
      </c>
      <c r="F309" s="2"/>
      <c r="G309" s="2"/>
      <c r="H309" s="2"/>
      <c r="I309" s="2"/>
    </row>
    <row r="310">
      <c r="A310" s="2">
        <f>IFERROR(__xludf.DUMMYFUNCTION("""COMPUTED_VALUE"""),29654.0)</f>
        <v>29654</v>
      </c>
      <c r="B310" s="2" t="str">
        <f>IFERROR(__xludf.DUMMYFUNCTION("""COMPUTED_VALUE"""),"Tech")</f>
        <v>Tech</v>
      </c>
      <c r="C310" s="2" t="str">
        <f>IFERROR(__xludf.DUMMYFUNCTION("""COMPUTED_VALUE"""),"Paranormal")</f>
        <v>Paranormal</v>
      </c>
      <c r="D310" s="2" t="str">
        <f>IFERROR(__xludf.DUMMYFUNCTION("""COMPUTED_VALUE"""),"Forest Gate Books")</f>
        <v>Forest Gate Books</v>
      </c>
      <c r="E310" s="2">
        <f>IFERROR(__xludf.DUMMYFUNCTION("""COMPUTED_VALUE"""),1.34)</f>
        <v>1.34</v>
      </c>
      <c r="F310" s="2"/>
      <c r="G310" s="2"/>
      <c r="H310" s="2"/>
      <c r="I310" s="2"/>
    </row>
    <row r="311">
      <c r="A311" s="2">
        <f>IFERROR(__xludf.DUMMYFUNCTION("""COMPUTED_VALUE"""),107804.0)</f>
        <v>107804</v>
      </c>
      <c r="B311" s="2" t="str">
        <f>IFERROR(__xludf.DUMMYFUNCTION("""COMPUTED_VALUE"""),"Tech")</f>
        <v>Tech</v>
      </c>
      <c r="C311" s="2" t="str">
        <f>IFERROR(__xludf.DUMMYFUNCTION("""COMPUTED_VALUE"""),"Paranormal")</f>
        <v>Paranormal</v>
      </c>
      <c r="D311" s="2" t="str">
        <f>IFERROR(__xludf.DUMMYFUNCTION("""COMPUTED_VALUE"""),"Forest Gate Books")</f>
        <v>Forest Gate Books</v>
      </c>
      <c r="E311" s="2">
        <f>IFERROR(__xludf.DUMMYFUNCTION("""COMPUTED_VALUE"""),4.33)</f>
        <v>4.33</v>
      </c>
      <c r="F311" s="2"/>
      <c r="G311" s="2"/>
      <c r="H311" s="2"/>
      <c r="I311" s="2"/>
    </row>
    <row r="312">
      <c r="A312" s="2">
        <f>IFERROR(__xludf.DUMMYFUNCTION("""COMPUTED_VALUE"""),75809.0)</f>
        <v>75809</v>
      </c>
      <c r="B312" s="2" t="str">
        <f>IFERROR(__xludf.DUMMYFUNCTION("""COMPUTED_VALUE"""),"Tech")</f>
        <v>Tech</v>
      </c>
      <c r="C312" s="2" t="str">
        <f>IFERROR(__xludf.DUMMYFUNCTION("""COMPUTED_VALUE"""),"Paranormal")</f>
        <v>Paranormal</v>
      </c>
      <c r="D312" s="2" t="str">
        <f>IFERROR(__xludf.DUMMYFUNCTION("""COMPUTED_VALUE"""),"Forest Gate Books")</f>
        <v>Forest Gate Books</v>
      </c>
      <c r="E312" s="2">
        <f>IFERROR(__xludf.DUMMYFUNCTION("""COMPUTED_VALUE"""),3.43)</f>
        <v>3.43</v>
      </c>
      <c r="F312" s="2"/>
      <c r="G312" s="2"/>
      <c r="H312" s="2"/>
      <c r="I312" s="2"/>
    </row>
    <row r="313">
      <c r="A313" s="2">
        <f>IFERROR(__xludf.DUMMYFUNCTION("""COMPUTED_VALUE"""),128325.0)</f>
        <v>128325</v>
      </c>
      <c r="B313" s="2" t="str">
        <f>IFERROR(__xludf.DUMMYFUNCTION("""COMPUTED_VALUE"""),"Tech")</f>
        <v>Tech</v>
      </c>
      <c r="C313" s="2" t="str">
        <f>IFERROR(__xludf.DUMMYFUNCTION("""COMPUTED_VALUE"""),"Paranormal")</f>
        <v>Paranormal</v>
      </c>
      <c r="D313" s="2" t="str">
        <f>IFERROR(__xludf.DUMMYFUNCTION("""COMPUTED_VALUE"""),"Forest Gate Books")</f>
        <v>Forest Gate Books</v>
      </c>
      <c r="E313" s="2">
        <f>IFERROR(__xludf.DUMMYFUNCTION("""COMPUTED_VALUE"""),3.13)</f>
        <v>3.13</v>
      </c>
      <c r="F313" s="2"/>
      <c r="G313" s="2"/>
      <c r="H313" s="2"/>
      <c r="I313" s="2"/>
    </row>
    <row r="314">
      <c r="A314" s="2">
        <f>IFERROR(__xludf.DUMMYFUNCTION("""COMPUTED_VALUE"""),110072.0)</f>
        <v>110072</v>
      </c>
      <c r="B314" s="2" t="str">
        <f>IFERROR(__xludf.DUMMYFUNCTION("""COMPUTED_VALUE"""),"Tech")</f>
        <v>Tech</v>
      </c>
      <c r="C314" s="2" t="str">
        <f>IFERROR(__xludf.DUMMYFUNCTION("""COMPUTED_VALUE"""),"Paranormal")</f>
        <v>Paranormal</v>
      </c>
      <c r="D314" s="2" t="str">
        <f>IFERROR(__xludf.DUMMYFUNCTION("""COMPUTED_VALUE"""),"Forest Gate Books")</f>
        <v>Forest Gate Books</v>
      </c>
      <c r="E314" s="2">
        <f>IFERROR(__xludf.DUMMYFUNCTION("""COMPUTED_VALUE"""),3.85)</f>
        <v>3.85</v>
      </c>
      <c r="F314" s="2"/>
      <c r="G314" s="2"/>
      <c r="H314" s="2"/>
      <c r="I314" s="2"/>
    </row>
    <row r="315">
      <c r="A315" s="2">
        <f>IFERROR(__xludf.DUMMYFUNCTION("""COMPUTED_VALUE"""),93814.0)</f>
        <v>93814</v>
      </c>
      <c r="B315" s="2" t="str">
        <f>IFERROR(__xludf.DUMMYFUNCTION("""COMPUTED_VALUE"""),"Tech")</f>
        <v>Tech</v>
      </c>
      <c r="C315" s="2" t="str">
        <f>IFERROR(__xludf.DUMMYFUNCTION("""COMPUTED_VALUE"""),"Paranormal")</f>
        <v>Paranormal</v>
      </c>
      <c r="D315" s="2" t="str">
        <f>IFERROR(__xludf.DUMMYFUNCTION("""COMPUTED_VALUE"""),"Forest Gate Books")</f>
        <v>Forest Gate Books</v>
      </c>
      <c r="E315" s="2">
        <f>IFERROR(__xludf.DUMMYFUNCTION("""COMPUTED_VALUE"""),4.57)</f>
        <v>4.57</v>
      </c>
      <c r="F315" s="2"/>
      <c r="G315" s="2"/>
      <c r="H315" s="2"/>
      <c r="I315" s="2"/>
    </row>
    <row r="316">
      <c r="A316" s="2">
        <f>IFERROR(__xludf.DUMMYFUNCTION("""COMPUTED_VALUE"""),128326.0)</f>
        <v>128326</v>
      </c>
      <c r="B316" s="2" t="str">
        <f>IFERROR(__xludf.DUMMYFUNCTION("""COMPUTED_VALUE"""),"Tech")</f>
        <v>Tech</v>
      </c>
      <c r="C316" s="2" t="str">
        <f>IFERROR(__xludf.DUMMYFUNCTION("""COMPUTED_VALUE"""),"Paranormal")</f>
        <v>Paranormal</v>
      </c>
      <c r="D316" s="2" t="str">
        <f>IFERROR(__xludf.DUMMYFUNCTION("""COMPUTED_VALUE"""),"Forest Gate Books")</f>
        <v>Forest Gate Books</v>
      </c>
      <c r="E316" s="2">
        <f>IFERROR(__xludf.DUMMYFUNCTION("""COMPUTED_VALUE"""),3.04)</f>
        <v>3.04</v>
      </c>
      <c r="F316" s="2"/>
      <c r="G316" s="2"/>
      <c r="H316" s="2"/>
      <c r="I316" s="2"/>
    </row>
    <row r="317">
      <c r="A317" s="2">
        <f>IFERROR(__xludf.DUMMYFUNCTION("""COMPUTED_VALUE"""),48510.0)</f>
        <v>48510</v>
      </c>
      <c r="B317" s="2" t="str">
        <f>IFERROR(__xludf.DUMMYFUNCTION("""COMPUTED_VALUE"""),"Tech")</f>
        <v>Tech</v>
      </c>
      <c r="C317" s="2" t="str">
        <f>IFERROR(__xludf.DUMMYFUNCTION("""COMPUTED_VALUE"""),"Paranormal")</f>
        <v>Paranormal</v>
      </c>
      <c r="D317" s="2" t="str">
        <f>IFERROR(__xludf.DUMMYFUNCTION("""COMPUTED_VALUE"""),"Forest Gate Books")</f>
        <v>Forest Gate Books</v>
      </c>
      <c r="E317" s="2">
        <f>IFERROR(__xludf.DUMMYFUNCTION("""COMPUTED_VALUE"""),3.01)</f>
        <v>3.01</v>
      </c>
      <c r="F317" s="2"/>
      <c r="G317" s="2"/>
      <c r="H317" s="2"/>
      <c r="I317" s="2"/>
    </row>
    <row r="318">
      <c r="A318" s="2">
        <f>IFERROR(__xludf.DUMMYFUNCTION("""COMPUTED_VALUE"""),82463.0)</f>
        <v>82463</v>
      </c>
      <c r="B318" s="2" t="str">
        <f>IFERROR(__xludf.DUMMYFUNCTION("""COMPUTED_VALUE"""),"Tech")</f>
        <v>Tech</v>
      </c>
      <c r="C318" s="2" t="str">
        <f>IFERROR(__xludf.DUMMYFUNCTION("""COMPUTED_VALUE"""),"Paranormal")</f>
        <v>Paranormal</v>
      </c>
      <c r="D318" s="2" t="str">
        <f>IFERROR(__xludf.DUMMYFUNCTION("""COMPUTED_VALUE"""),"Forest Gate Books")</f>
        <v>Forest Gate Books</v>
      </c>
      <c r="E318" s="2">
        <f>IFERROR(__xludf.DUMMYFUNCTION("""COMPUTED_VALUE"""),3.67)</f>
        <v>3.67</v>
      </c>
      <c r="F318" s="2"/>
      <c r="G318" s="2"/>
      <c r="H318" s="2"/>
      <c r="I318" s="2"/>
    </row>
    <row r="319">
      <c r="A319" s="2">
        <f>IFERROR(__xludf.DUMMYFUNCTION("""COMPUTED_VALUE"""),82462.0)</f>
        <v>82462</v>
      </c>
      <c r="B319" s="2" t="str">
        <f>IFERROR(__xludf.DUMMYFUNCTION("""COMPUTED_VALUE"""),"Tech")</f>
        <v>Tech</v>
      </c>
      <c r="C319" s="2" t="str">
        <f>IFERROR(__xludf.DUMMYFUNCTION("""COMPUTED_VALUE"""),"Paranormal")</f>
        <v>Paranormal</v>
      </c>
      <c r="D319" s="2" t="str">
        <f>IFERROR(__xludf.DUMMYFUNCTION("""COMPUTED_VALUE"""),"Forest Gate Books")</f>
        <v>Forest Gate Books</v>
      </c>
      <c r="E319" s="2">
        <f>IFERROR(__xludf.DUMMYFUNCTION("""COMPUTED_VALUE"""),3.82)</f>
        <v>3.82</v>
      </c>
      <c r="F319" s="2"/>
      <c r="G319" s="2"/>
      <c r="H319" s="2"/>
      <c r="I319" s="2"/>
    </row>
    <row r="320">
      <c r="A320" s="2">
        <f>IFERROR(__xludf.DUMMYFUNCTION("""COMPUTED_VALUE"""),110635.0)</f>
        <v>110635</v>
      </c>
      <c r="B320" s="2" t="str">
        <f>IFERROR(__xludf.DUMMYFUNCTION("""COMPUTED_VALUE"""),"Tech")</f>
        <v>Tech</v>
      </c>
      <c r="C320" s="2" t="str">
        <f>IFERROR(__xludf.DUMMYFUNCTION("""COMPUTED_VALUE"""),"Paranormal")</f>
        <v>Paranormal</v>
      </c>
      <c r="D320" s="2" t="str">
        <f>IFERROR(__xludf.DUMMYFUNCTION("""COMPUTED_VALUE"""),"Forest Gate Books")</f>
        <v>Forest Gate Books</v>
      </c>
      <c r="E320" s="2">
        <f>IFERROR(__xludf.DUMMYFUNCTION("""COMPUTED_VALUE"""),2.5)</f>
        <v>2.5</v>
      </c>
      <c r="F320" s="2"/>
      <c r="G320" s="2"/>
      <c r="H320" s="2"/>
      <c r="I320" s="2"/>
    </row>
    <row r="321">
      <c r="A321" s="2">
        <f>IFERROR(__xludf.DUMMYFUNCTION("""COMPUTED_VALUE"""),82464.0)</f>
        <v>82464</v>
      </c>
      <c r="B321" s="2" t="str">
        <f>IFERROR(__xludf.DUMMYFUNCTION("""COMPUTED_VALUE"""),"Tech")</f>
        <v>Tech</v>
      </c>
      <c r="C321" s="2" t="str">
        <f>IFERROR(__xludf.DUMMYFUNCTION("""COMPUTED_VALUE"""),"Paranormal")</f>
        <v>Paranormal</v>
      </c>
      <c r="D321" s="2" t="str">
        <f>IFERROR(__xludf.DUMMYFUNCTION("""COMPUTED_VALUE"""),"Forest Gate Books")</f>
        <v>Forest Gate Books</v>
      </c>
      <c r="E321" s="2">
        <f>IFERROR(__xludf.DUMMYFUNCTION("""COMPUTED_VALUE"""),3.9)</f>
        <v>3.9</v>
      </c>
      <c r="F321" s="2"/>
      <c r="G321" s="2"/>
      <c r="H321" s="2"/>
      <c r="I321" s="2"/>
    </row>
    <row r="322">
      <c r="A322" s="2">
        <f>IFERROR(__xludf.DUMMYFUNCTION("""COMPUTED_VALUE"""),129133.0)</f>
        <v>129133</v>
      </c>
      <c r="B322" s="2" t="str">
        <f>IFERROR(__xludf.DUMMYFUNCTION("""COMPUTED_VALUE"""),"Tech")</f>
        <v>Tech</v>
      </c>
      <c r="C322" s="2" t="str">
        <f>IFERROR(__xludf.DUMMYFUNCTION("""COMPUTED_VALUE"""),"Paranormal")</f>
        <v>Paranormal</v>
      </c>
      <c r="D322" s="2" t="str">
        <f>IFERROR(__xludf.DUMMYFUNCTION("""COMPUTED_VALUE"""),"Forest Gate Books")</f>
        <v>Forest Gate Books</v>
      </c>
      <c r="E322" s="2">
        <f>IFERROR(__xludf.DUMMYFUNCTION("""COMPUTED_VALUE"""),4.47)</f>
        <v>4.47</v>
      </c>
      <c r="F322" s="2"/>
      <c r="G322" s="2"/>
      <c r="H322" s="2"/>
      <c r="I322" s="2"/>
    </row>
    <row r="323">
      <c r="A323" s="2">
        <f>IFERROR(__xludf.DUMMYFUNCTION("""COMPUTED_VALUE"""),195081.0)</f>
        <v>195081</v>
      </c>
      <c r="B323" s="2" t="str">
        <f>IFERROR(__xludf.DUMMYFUNCTION("""COMPUTED_VALUE"""),"Tech")</f>
        <v>Tech</v>
      </c>
      <c r="C323" s="2" t="str">
        <f>IFERROR(__xludf.DUMMYFUNCTION("""COMPUTED_VALUE"""),"Paranormal")</f>
        <v>Paranormal</v>
      </c>
      <c r="D323" s="2" t="str">
        <f>IFERROR(__xludf.DUMMYFUNCTION("""COMPUTED_VALUE"""),"Forest Gate Books")</f>
        <v>Forest Gate Books</v>
      </c>
      <c r="E323" s="2">
        <f>IFERROR(__xludf.DUMMYFUNCTION("""COMPUTED_VALUE"""),4.86)</f>
        <v>4.86</v>
      </c>
      <c r="F323" s="2"/>
      <c r="G323" s="2"/>
      <c r="H323" s="2"/>
      <c r="I323" s="2"/>
    </row>
    <row r="324">
      <c r="A324" s="2">
        <f>IFERROR(__xludf.DUMMYFUNCTION("""COMPUTED_VALUE"""),92669.0)</f>
        <v>92669</v>
      </c>
      <c r="B324" s="2" t="str">
        <f>IFERROR(__xludf.DUMMYFUNCTION("""COMPUTED_VALUE"""),"Tech")</f>
        <v>Tech</v>
      </c>
      <c r="C324" s="2" t="str">
        <f>IFERROR(__xludf.DUMMYFUNCTION("""COMPUTED_VALUE"""),"Paranormal")</f>
        <v>Paranormal</v>
      </c>
      <c r="D324" s="2" t="str">
        <f>IFERROR(__xludf.DUMMYFUNCTION("""COMPUTED_VALUE"""),"Forest Gate Books")</f>
        <v>Forest Gate Books</v>
      </c>
      <c r="E324" s="2">
        <f>IFERROR(__xludf.DUMMYFUNCTION("""COMPUTED_VALUE"""),3.61)</f>
        <v>3.61</v>
      </c>
      <c r="F324" s="2"/>
      <c r="G324" s="2"/>
      <c r="H324" s="2"/>
      <c r="I324" s="2"/>
    </row>
    <row r="325">
      <c r="A325" s="2">
        <f>IFERROR(__xludf.DUMMYFUNCTION("""COMPUTED_VALUE"""),122089.0)</f>
        <v>122089</v>
      </c>
      <c r="B325" s="2" t="str">
        <f>IFERROR(__xludf.DUMMYFUNCTION("""COMPUTED_VALUE"""),"Tech")</f>
        <v>Tech</v>
      </c>
      <c r="C325" s="2" t="str">
        <f>IFERROR(__xludf.DUMMYFUNCTION("""COMPUTED_VALUE"""),"Paranormal")</f>
        <v>Paranormal</v>
      </c>
      <c r="D325" s="2" t="str">
        <f>IFERROR(__xludf.DUMMYFUNCTION("""COMPUTED_VALUE"""),"Forest Gate Books")</f>
        <v>Forest Gate Books</v>
      </c>
      <c r="E325" s="2">
        <f>IFERROR(__xludf.DUMMYFUNCTION("""COMPUTED_VALUE"""),5.61)</f>
        <v>5.61</v>
      </c>
      <c r="F325" s="2"/>
      <c r="G325" s="2"/>
      <c r="H325" s="2"/>
      <c r="I325" s="2"/>
    </row>
    <row r="326">
      <c r="A326" s="2">
        <f>IFERROR(__xludf.DUMMYFUNCTION("""COMPUTED_VALUE"""),95927.0)</f>
        <v>95927</v>
      </c>
      <c r="B326" s="2" t="str">
        <f>IFERROR(__xludf.DUMMYFUNCTION("""COMPUTED_VALUE"""),"Tech")</f>
        <v>Tech</v>
      </c>
      <c r="C326" s="2" t="str">
        <f>IFERROR(__xludf.DUMMYFUNCTION("""COMPUTED_VALUE"""),"Paranormal")</f>
        <v>Paranormal</v>
      </c>
      <c r="D326" s="2" t="str">
        <f>IFERROR(__xludf.DUMMYFUNCTION("""COMPUTED_VALUE"""),"Forest Gate Books")</f>
        <v>Forest Gate Books</v>
      </c>
      <c r="E326" s="2">
        <f>IFERROR(__xludf.DUMMYFUNCTION("""COMPUTED_VALUE"""),3.53)</f>
        <v>3.53</v>
      </c>
      <c r="F326" s="2"/>
      <c r="G326" s="2"/>
      <c r="H326" s="2"/>
      <c r="I326" s="2"/>
    </row>
    <row r="327">
      <c r="A327" s="2">
        <f>IFERROR(__xludf.DUMMYFUNCTION("""COMPUTED_VALUE"""),160756.0)</f>
        <v>160756</v>
      </c>
      <c r="B327" s="2" t="str">
        <f>IFERROR(__xludf.DUMMYFUNCTION("""COMPUTED_VALUE"""),"Tech")</f>
        <v>Tech</v>
      </c>
      <c r="C327" s="2" t="str">
        <f>IFERROR(__xludf.DUMMYFUNCTION("""COMPUTED_VALUE"""),"Paranormal")</f>
        <v>Paranormal</v>
      </c>
      <c r="D327" s="2" t="str">
        <f>IFERROR(__xludf.DUMMYFUNCTION("""COMPUTED_VALUE"""),"Forest Gate Books")</f>
        <v>Forest Gate Books</v>
      </c>
      <c r="E327" s="2">
        <f>IFERROR(__xludf.DUMMYFUNCTION("""COMPUTED_VALUE"""),4.25)</f>
        <v>4.25</v>
      </c>
      <c r="F327" s="2"/>
      <c r="G327" s="2"/>
      <c r="H327" s="2"/>
      <c r="I327" s="2"/>
    </row>
    <row r="328">
      <c r="A328" s="2">
        <f>IFERROR(__xludf.DUMMYFUNCTION("""COMPUTED_VALUE"""),147267.0)</f>
        <v>147267</v>
      </c>
      <c r="B328" s="2" t="str">
        <f>IFERROR(__xludf.DUMMYFUNCTION("""COMPUTED_VALUE"""),"Tech")</f>
        <v>Tech</v>
      </c>
      <c r="C328" s="2" t="str">
        <f>IFERROR(__xludf.DUMMYFUNCTION("""COMPUTED_VALUE"""),"Paranormal")</f>
        <v>Paranormal</v>
      </c>
      <c r="D328" s="2" t="str">
        <f>IFERROR(__xludf.DUMMYFUNCTION("""COMPUTED_VALUE"""),"Forest Gate Books")</f>
        <v>Forest Gate Books</v>
      </c>
      <c r="E328" s="2">
        <f>IFERROR(__xludf.DUMMYFUNCTION("""COMPUTED_VALUE"""),2.82)</f>
        <v>2.82</v>
      </c>
      <c r="F328" s="2"/>
      <c r="G328" s="2"/>
      <c r="H328" s="2"/>
      <c r="I328" s="2"/>
    </row>
    <row r="329">
      <c r="A329" s="2">
        <f>IFERROR(__xludf.DUMMYFUNCTION("""COMPUTED_VALUE"""),160747.0)</f>
        <v>160747</v>
      </c>
      <c r="B329" s="2" t="str">
        <f>IFERROR(__xludf.DUMMYFUNCTION("""COMPUTED_VALUE"""),"Tech")</f>
        <v>Tech</v>
      </c>
      <c r="C329" s="2" t="str">
        <f>IFERROR(__xludf.DUMMYFUNCTION("""COMPUTED_VALUE"""),"Paranormal")</f>
        <v>Paranormal</v>
      </c>
      <c r="D329" s="2" t="str">
        <f>IFERROR(__xludf.DUMMYFUNCTION("""COMPUTED_VALUE"""),"Forest Gate Books")</f>
        <v>Forest Gate Books</v>
      </c>
      <c r="E329" s="2">
        <f>IFERROR(__xludf.DUMMYFUNCTION("""COMPUTED_VALUE"""),2.36)</f>
        <v>2.36</v>
      </c>
      <c r="F329" s="2"/>
      <c r="G329" s="2"/>
      <c r="H329" s="2"/>
      <c r="I329" s="2"/>
    </row>
    <row r="330">
      <c r="A330" s="2">
        <f>IFERROR(__xludf.DUMMYFUNCTION("""COMPUTED_VALUE"""),79365.0)</f>
        <v>79365</v>
      </c>
      <c r="B330" s="2" t="str">
        <f>IFERROR(__xludf.DUMMYFUNCTION("""COMPUTED_VALUE"""),"Tech")</f>
        <v>Tech</v>
      </c>
      <c r="C330" s="2" t="str">
        <f>IFERROR(__xludf.DUMMYFUNCTION("""COMPUTED_VALUE"""),"Paranormal")</f>
        <v>Paranormal</v>
      </c>
      <c r="D330" s="2" t="str">
        <f>IFERROR(__xludf.DUMMYFUNCTION("""COMPUTED_VALUE"""),"Forest Gate Books")</f>
        <v>Forest Gate Books</v>
      </c>
      <c r="E330" s="2">
        <f>IFERROR(__xludf.DUMMYFUNCTION("""COMPUTED_VALUE"""),2.77)</f>
        <v>2.77</v>
      </c>
      <c r="F330" s="2"/>
      <c r="G330" s="2"/>
      <c r="H330" s="2"/>
      <c r="I330" s="2"/>
    </row>
    <row r="331">
      <c r="A331" s="2">
        <f>IFERROR(__xludf.DUMMYFUNCTION("""COMPUTED_VALUE"""),110633.0)</f>
        <v>110633</v>
      </c>
      <c r="B331" s="2" t="str">
        <f>IFERROR(__xludf.DUMMYFUNCTION("""COMPUTED_VALUE"""),"Tech")</f>
        <v>Tech</v>
      </c>
      <c r="C331" s="2" t="str">
        <f>IFERROR(__xludf.DUMMYFUNCTION("""COMPUTED_VALUE"""),"Paranormal")</f>
        <v>Paranormal</v>
      </c>
      <c r="D331" s="2" t="str">
        <f>IFERROR(__xludf.DUMMYFUNCTION("""COMPUTED_VALUE"""),"Forest Gate Books")</f>
        <v>Forest Gate Books</v>
      </c>
      <c r="E331" s="2">
        <f>IFERROR(__xludf.DUMMYFUNCTION("""COMPUTED_VALUE"""),2.92)</f>
        <v>2.92</v>
      </c>
      <c r="F331" s="2"/>
      <c r="G331" s="2"/>
      <c r="H331" s="2"/>
      <c r="I331" s="2"/>
    </row>
    <row r="332">
      <c r="A332" s="2">
        <f>IFERROR(__xludf.DUMMYFUNCTION("""COMPUTED_VALUE"""),160750.0)</f>
        <v>160750</v>
      </c>
      <c r="B332" s="2" t="str">
        <f>IFERROR(__xludf.DUMMYFUNCTION("""COMPUTED_VALUE"""),"Tech")</f>
        <v>Tech</v>
      </c>
      <c r="C332" s="2" t="str">
        <f>IFERROR(__xludf.DUMMYFUNCTION("""COMPUTED_VALUE"""),"Paranormal")</f>
        <v>Paranormal</v>
      </c>
      <c r="D332" s="2" t="str">
        <f>IFERROR(__xludf.DUMMYFUNCTION("""COMPUTED_VALUE"""),"Forest Gate Books")</f>
        <v>Forest Gate Books</v>
      </c>
      <c r="E332" s="2">
        <f>IFERROR(__xludf.DUMMYFUNCTION("""COMPUTED_VALUE"""),4.29)</f>
        <v>4.29</v>
      </c>
      <c r="F332" s="2"/>
      <c r="G332" s="2"/>
      <c r="H332" s="2"/>
      <c r="I332" s="2"/>
    </row>
    <row r="333">
      <c r="A333" s="2">
        <f>IFERROR(__xludf.DUMMYFUNCTION("""COMPUTED_VALUE"""),128332.0)</f>
        <v>128332</v>
      </c>
      <c r="B333" s="2" t="str">
        <f>IFERROR(__xludf.DUMMYFUNCTION("""COMPUTED_VALUE"""),"Tech")</f>
        <v>Tech</v>
      </c>
      <c r="C333" s="2" t="str">
        <f>IFERROR(__xludf.DUMMYFUNCTION("""COMPUTED_VALUE"""),"Paranormal")</f>
        <v>Paranormal</v>
      </c>
      <c r="D333" s="2" t="str">
        <f>IFERROR(__xludf.DUMMYFUNCTION("""COMPUTED_VALUE"""),"Forest Gate Books")</f>
        <v>Forest Gate Books</v>
      </c>
      <c r="E333" s="2">
        <f>IFERROR(__xludf.DUMMYFUNCTION("""COMPUTED_VALUE"""),3.71)</f>
        <v>3.71</v>
      </c>
      <c r="F333" s="2"/>
      <c r="G333" s="2"/>
      <c r="H333" s="2"/>
      <c r="I333" s="2"/>
    </row>
    <row r="334">
      <c r="A334" s="2">
        <f>IFERROR(__xludf.DUMMYFUNCTION("""COMPUTED_VALUE"""),200354.0)</f>
        <v>200354</v>
      </c>
      <c r="B334" s="2" t="str">
        <f>IFERROR(__xludf.DUMMYFUNCTION("""COMPUTED_VALUE"""),"Tech")</f>
        <v>Tech</v>
      </c>
      <c r="C334" s="2" t="str">
        <f>IFERROR(__xludf.DUMMYFUNCTION("""COMPUTED_VALUE"""),"Paranormal")</f>
        <v>Paranormal</v>
      </c>
      <c r="D334" s="2" t="str">
        <f>IFERROR(__xludf.DUMMYFUNCTION("""COMPUTED_VALUE"""),"Forest Gate Books")</f>
        <v>Forest Gate Books</v>
      </c>
      <c r="E334" s="2">
        <f>IFERROR(__xludf.DUMMYFUNCTION("""COMPUTED_VALUE"""),4.97)</f>
        <v>4.97</v>
      </c>
      <c r="F334" s="2"/>
      <c r="G334" s="2"/>
      <c r="H334" s="2"/>
      <c r="I334" s="2"/>
    </row>
    <row r="335">
      <c r="A335" s="2">
        <f>IFERROR(__xludf.DUMMYFUNCTION("""COMPUTED_VALUE"""),100042.0)</f>
        <v>100042</v>
      </c>
      <c r="B335" s="2" t="str">
        <f>IFERROR(__xludf.DUMMYFUNCTION("""COMPUTED_VALUE"""),"Tech")</f>
        <v>Tech</v>
      </c>
      <c r="C335" s="2" t="str">
        <f>IFERROR(__xludf.DUMMYFUNCTION("""COMPUTED_VALUE"""),"Paranormal")</f>
        <v>Paranormal</v>
      </c>
      <c r="D335" s="2" t="str">
        <f>IFERROR(__xludf.DUMMYFUNCTION("""COMPUTED_VALUE"""),"Forest Gate Books")</f>
        <v>Forest Gate Books</v>
      </c>
      <c r="E335" s="2">
        <f>IFERROR(__xludf.DUMMYFUNCTION("""COMPUTED_VALUE"""),7.56)</f>
        <v>7.56</v>
      </c>
      <c r="F335" s="2"/>
      <c r="G335" s="2"/>
      <c r="H335" s="2"/>
      <c r="I335" s="2"/>
    </row>
    <row r="336">
      <c r="A336" s="2">
        <f>IFERROR(__xludf.DUMMYFUNCTION("""COMPUTED_VALUE"""),122446.0)</f>
        <v>122446</v>
      </c>
      <c r="B336" s="2" t="str">
        <f>IFERROR(__xludf.DUMMYFUNCTION("""COMPUTED_VALUE"""),"Tech")</f>
        <v>Tech</v>
      </c>
      <c r="C336" s="2" t="str">
        <f>IFERROR(__xludf.DUMMYFUNCTION("""COMPUTED_VALUE"""),"Paranormal")</f>
        <v>Paranormal</v>
      </c>
      <c r="D336" s="2" t="str">
        <f>IFERROR(__xludf.DUMMYFUNCTION("""COMPUTED_VALUE"""),"Forest Gate Books")</f>
        <v>Forest Gate Books</v>
      </c>
      <c r="E336" s="2">
        <f>IFERROR(__xludf.DUMMYFUNCTION("""COMPUTED_VALUE"""),4.1)</f>
        <v>4.1</v>
      </c>
      <c r="F336" s="2"/>
      <c r="G336" s="2"/>
      <c r="H336" s="2"/>
      <c r="I336" s="2"/>
    </row>
    <row r="337">
      <c r="A337" s="2">
        <f>IFERROR(__xludf.DUMMYFUNCTION("""COMPUTED_VALUE"""),160761.0)</f>
        <v>160761</v>
      </c>
      <c r="B337" s="2" t="str">
        <f>IFERROR(__xludf.DUMMYFUNCTION("""COMPUTED_VALUE"""),"Tech")</f>
        <v>Tech</v>
      </c>
      <c r="C337" s="2" t="str">
        <f>IFERROR(__xludf.DUMMYFUNCTION("""COMPUTED_VALUE"""),"Paranormal")</f>
        <v>Paranormal</v>
      </c>
      <c r="D337" s="2" t="str">
        <f>IFERROR(__xludf.DUMMYFUNCTION("""COMPUTED_VALUE"""),"Forest Gate Books")</f>
        <v>Forest Gate Books</v>
      </c>
      <c r="E337" s="2">
        <f>IFERROR(__xludf.DUMMYFUNCTION("""COMPUTED_VALUE"""),4.29)</f>
        <v>4.29</v>
      </c>
      <c r="F337" s="2"/>
      <c r="G337" s="2"/>
      <c r="H337" s="2"/>
      <c r="I337" s="2"/>
    </row>
    <row r="338">
      <c r="A338" s="2">
        <f>IFERROR(__xludf.DUMMYFUNCTION("""COMPUTED_VALUE"""),89503.0)</f>
        <v>89503</v>
      </c>
      <c r="B338" s="2" t="str">
        <f>IFERROR(__xludf.DUMMYFUNCTION("""COMPUTED_VALUE"""),"Tech")</f>
        <v>Tech</v>
      </c>
      <c r="C338" s="2" t="str">
        <f>IFERROR(__xludf.DUMMYFUNCTION("""COMPUTED_VALUE"""),"Paranormal")</f>
        <v>Paranormal</v>
      </c>
      <c r="D338" s="2" t="str">
        <f>IFERROR(__xludf.DUMMYFUNCTION("""COMPUTED_VALUE"""),"Forest Gate Books")</f>
        <v>Forest Gate Books</v>
      </c>
      <c r="E338" s="2">
        <f>IFERROR(__xludf.DUMMYFUNCTION("""COMPUTED_VALUE"""),3.99)</f>
        <v>3.99</v>
      </c>
      <c r="F338" s="2"/>
      <c r="G338" s="2"/>
      <c r="H338" s="2"/>
      <c r="I338" s="2"/>
    </row>
    <row r="339">
      <c r="A339" s="2">
        <f>IFERROR(__xludf.DUMMYFUNCTION("""COMPUTED_VALUE"""),160744.0)</f>
        <v>160744</v>
      </c>
      <c r="B339" s="2" t="str">
        <f>IFERROR(__xludf.DUMMYFUNCTION("""COMPUTED_VALUE"""),"Tech")</f>
        <v>Tech</v>
      </c>
      <c r="C339" s="2" t="str">
        <f>IFERROR(__xludf.DUMMYFUNCTION("""COMPUTED_VALUE"""),"Paranormal")</f>
        <v>Paranormal</v>
      </c>
      <c r="D339" s="2" t="str">
        <f>IFERROR(__xludf.DUMMYFUNCTION("""COMPUTED_VALUE"""),"Forest Gate Books")</f>
        <v>Forest Gate Books</v>
      </c>
      <c r="E339" s="2">
        <f>IFERROR(__xludf.DUMMYFUNCTION("""COMPUTED_VALUE"""),2.37)</f>
        <v>2.37</v>
      </c>
      <c r="F339" s="2"/>
      <c r="G339" s="2"/>
      <c r="H339" s="2"/>
      <c r="I339" s="2"/>
    </row>
    <row r="340">
      <c r="A340" s="2">
        <f>IFERROR(__xludf.DUMMYFUNCTION("""COMPUTED_VALUE"""),111590.0)</f>
        <v>111590</v>
      </c>
      <c r="B340" s="2" t="str">
        <f>IFERROR(__xludf.DUMMYFUNCTION("""COMPUTED_VALUE"""),"Tech")</f>
        <v>Tech</v>
      </c>
      <c r="C340" s="2" t="str">
        <f>IFERROR(__xludf.DUMMYFUNCTION("""COMPUTED_VALUE"""),"Paranormal")</f>
        <v>Paranormal</v>
      </c>
      <c r="D340" s="2" t="str">
        <f>IFERROR(__xludf.DUMMYFUNCTION("""COMPUTED_VALUE"""),"Forest Gate Books")</f>
        <v>Forest Gate Books</v>
      </c>
      <c r="E340" s="2">
        <f>IFERROR(__xludf.DUMMYFUNCTION("""COMPUTED_VALUE"""),5.84)</f>
        <v>5.84</v>
      </c>
      <c r="F340" s="2"/>
      <c r="G340" s="2"/>
      <c r="H340" s="2"/>
      <c r="I340" s="2"/>
    </row>
    <row r="341">
      <c r="A341" s="2">
        <f>IFERROR(__xludf.DUMMYFUNCTION("""COMPUTED_VALUE"""),110070.0)</f>
        <v>110070</v>
      </c>
      <c r="B341" s="2" t="str">
        <f>IFERROR(__xludf.DUMMYFUNCTION("""COMPUTED_VALUE"""),"Tech")</f>
        <v>Tech</v>
      </c>
      <c r="C341" s="2" t="str">
        <f>IFERROR(__xludf.DUMMYFUNCTION("""COMPUTED_VALUE"""),"Paranormal")</f>
        <v>Paranormal</v>
      </c>
      <c r="D341" s="2" t="str">
        <f>IFERROR(__xludf.DUMMYFUNCTION("""COMPUTED_VALUE"""),"Forest Gate Books")</f>
        <v>Forest Gate Books</v>
      </c>
      <c r="E341" s="2">
        <f>IFERROR(__xludf.DUMMYFUNCTION("""COMPUTED_VALUE"""),3.55)</f>
        <v>3.55</v>
      </c>
      <c r="F341" s="2"/>
      <c r="G341" s="2"/>
      <c r="H341" s="2"/>
      <c r="I341" s="2"/>
    </row>
    <row r="342">
      <c r="A342" s="2">
        <f>IFERROR(__xludf.DUMMYFUNCTION("""COMPUTED_VALUE"""),101005.0)</f>
        <v>101005</v>
      </c>
      <c r="B342" s="2" t="str">
        <f>IFERROR(__xludf.DUMMYFUNCTION("""COMPUTED_VALUE"""),"Tech")</f>
        <v>Tech</v>
      </c>
      <c r="C342" s="2" t="str">
        <f>IFERROR(__xludf.DUMMYFUNCTION("""COMPUTED_VALUE"""),"Paranormal")</f>
        <v>Paranormal</v>
      </c>
      <c r="D342" s="2" t="str">
        <f>IFERROR(__xludf.DUMMYFUNCTION("""COMPUTED_VALUE"""),"Forest Gate Books")</f>
        <v>Forest Gate Books</v>
      </c>
      <c r="E342" s="2">
        <f>IFERROR(__xludf.DUMMYFUNCTION("""COMPUTED_VALUE"""),4.1)</f>
        <v>4.1</v>
      </c>
      <c r="F342" s="2"/>
      <c r="G342" s="2"/>
      <c r="H342" s="2"/>
      <c r="I342" s="2"/>
    </row>
    <row r="343">
      <c r="A343" s="2">
        <f>IFERROR(__xludf.DUMMYFUNCTION("""COMPUTED_VALUE"""),160745.0)</f>
        <v>160745</v>
      </c>
      <c r="B343" s="2" t="str">
        <f>IFERROR(__xludf.DUMMYFUNCTION("""COMPUTED_VALUE"""),"Tech")</f>
        <v>Tech</v>
      </c>
      <c r="C343" s="2" t="str">
        <f>IFERROR(__xludf.DUMMYFUNCTION("""COMPUTED_VALUE"""),"Paranormal")</f>
        <v>Paranormal</v>
      </c>
      <c r="D343" s="2" t="str">
        <f>IFERROR(__xludf.DUMMYFUNCTION("""COMPUTED_VALUE"""),"Forest Gate Books")</f>
        <v>Forest Gate Books</v>
      </c>
      <c r="E343" s="2">
        <f>IFERROR(__xludf.DUMMYFUNCTION("""COMPUTED_VALUE"""),2.31)</f>
        <v>2.31</v>
      </c>
      <c r="F343" s="2"/>
      <c r="G343" s="2"/>
      <c r="H343" s="2"/>
      <c r="I343" s="2"/>
    </row>
    <row r="344">
      <c r="A344" s="2">
        <f>IFERROR(__xludf.DUMMYFUNCTION("""COMPUTED_VALUE"""),23073.0)</f>
        <v>23073</v>
      </c>
      <c r="B344" s="2" t="str">
        <f>IFERROR(__xludf.DUMMYFUNCTION("""COMPUTED_VALUE"""),"Tech")</f>
        <v>Tech</v>
      </c>
      <c r="C344" s="2" t="str">
        <f>IFERROR(__xludf.DUMMYFUNCTION("""COMPUTED_VALUE"""),"Paranormal")</f>
        <v>Paranormal</v>
      </c>
      <c r="D344" s="2" t="str">
        <f>IFERROR(__xludf.DUMMYFUNCTION("""COMPUTED_VALUE"""),"Forest Gate Books")</f>
        <v>Forest Gate Books</v>
      </c>
      <c r="E344" s="2">
        <f>IFERROR(__xludf.DUMMYFUNCTION("""COMPUTED_VALUE"""),4.76)</f>
        <v>4.76</v>
      </c>
      <c r="F344" s="2"/>
      <c r="G344" s="2"/>
      <c r="H344" s="2"/>
      <c r="I344" s="2"/>
    </row>
    <row r="345">
      <c r="A345" s="2">
        <f>IFERROR(__xludf.DUMMYFUNCTION("""COMPUTED_VALUE"""),70064.0)</f>
        <v>70064</v>
      </c>
      <c r="B345" s="2" t="str">
        <f>IFERROR(__xludf.DUMMYFUNCTION("""COMPUTED_VALUE"""),"Tech")</f>
        <v>Tech</v>
      </c>
      <c r="C345" s="2" t="str">
        <f>IFERROR(__xludf.DUMMYFUNCTION("""COMPUTED_VALUE"""),"Paranormal")</f>
        <v>Paranormal</v>
      </c>
      <c r="D345" s="2" t="str">
        <f>IFERROR(__xludf.DUMMYFUNCTION("""COMPUTED_VALUE"""),"Forest Gate Books")</f>
        <v>Forest Gate Books</v>
      </c>
      <c r="E345" s="2">
        <f>IFERROR(__xludf.DUMMYFUNCTION("""COMPUTED_VALUE"""),3.5)</f>
        <v>3.5</v>
      </c>
      <c r="F345" s="2"/>
      <c r="G345" s="2"/>
      <c r="H345" s="2"/>
      <c r="I345" s="2"/>
    </row>
    <row r="346">
      <c r="A346" s="2">
        <f>IFERROR(__xludf.DUMMYFUNCTION("""COMPUTED_VALUE"""),129135.0)</f>
        <v>129135</v>
      </c>
      <c r="B346" s="2" t="str">
        <f>IFERROR(__xludf.DUMMYFUNCTION("""COMPUTED_VALUE"""),"Tech")</f>
        <v>Tech</v>
      </c>
      <c r="C346" s="2" t="str">
        <f>IFERROR(__xludf.DUMMYFUNCTION("""COMPUTED_VALUE"""),"Paranormal")</f>
        <v>Paranormal</v>
      </c>
      <c r="D346" s="2" t="str">
        <f>IFERROR(__xludf.DUMMYFUNCTION("""COMPUTED_VALUE"""),"Forest Gate Books")</f>
        <v>Forest Gate Books</v>
      </c>
      <c r="E346" s="2">
        <f>IFERROR(__xludf.DUMMYFUNCTION("""COMPUTED_VALUE"""),4.66)</f>
        <v>4.66</v>
      </c>
      <c r="F346" s="2"/>
      <c r="G346" s="2"/>
      <c r="H346" s="2"/>
      <c r="I346" s="2"/>
    </row>
    <row r="347">
      <c r="A347" s="2">
        <f>IFERROR(__xludf.DUMMYFUNCTION("""COMPUTED_VALUE"""),104440.0)</f>
        <v>104440</v>
      </c>
      <c r="B347" s="2" t="str">
        <f>IFERROR(__xludf.DUMMYFUNCTION("""COMPUTED_VALUE"""),"Tech")</f>
        <v>Tech</v>
      </c>
      <c r="C347" s="2" t="str">
        <f>IFERROR(__xludf.DUMMYFUNCTION("""COMPUTED_VALUE"""),"Paranormal")</f>
        <v>Paranormal</v>
      </c>
      <c r="D347" s="2" t="str">
        <f>IFERROR(__xludf.DUMMYFUNCTION("""COMPUTED_VALUE"""),"Forest Gate Books")</f>
        <v>Forest Gate Books</v>
      </c>
      <c r="E347" s="2">
        <f>IFERROR(__xludf.DUMMYFUNCTION("""COMPUTED_VALUE"""),3.5)</f>
        <v>3.5</v>
      </c>
      <c r="F347" s="2"/>
      <c r="G347" s="2"/>
      <c r="H347" s="2"/>
      <c r="I347" s="2"/>
    </row>
    <row r="348">
      <c r="A348" s="2">
        <f>IFERROR(__xludf.DUMMYFUNCTION("""COMPUTED_VALUE"""),70063.0)</f>
        <v>70063</v>
      </c>
      <c r="B348" s="2" t="str">
        <f>IFERROR(__xludf.DUMMYFUNCTION("""COMPUTED_VALUE"""),"Tech")</f>
        <v>Tech</v>
      </c>
      <c r="C348" s="2" t="str">
        <f>IFERROR(__xludf.DUMMYFUNCTION("""COMPUTED_VALUE"""),"Paranormal")</f>
        <v>Paranormal</v>
      </c>
      <c r="D348" s="2" t="str">
        <f>IFERROR(__xludf.DUMMYFUNCTION("""COMPUTED_VALUE"""),"Forest Gate Books")</f>
        <v>Forest Gate Books</v>
      </c>
      <c r="E348" s="2">
        <f>IFERROR(__xludf.DUMMYFUNCTION("""COMPUTED_VALUE"""),3.34)</f>
        <v>3.34</v>
      </c>
      <c r="F348" s="2"/>
      <c r="G348" s="2"/>
      <c r="H348" s="2"/>
      <c r="I348" s="2"/>
    </row>
    <row r="349">
      <c r="A349" s="2">
        <f>IFERROR(__xludf.DUMMYFUNCTION("""COMPUTED_VALUE"""),160748.0)</f>
        <v>160748</v>
      </c>
      <c r="B349" s="2" t="str">
        <f>IFERROR(__xludf.DUMMYFUNCTION("""COMPUTED_VALUE"""),"Tech")</f>
        <v>Tech</v>
      </c>
      <c r="C349" s="2" t="str">
        <f>IFERROR(__xludf.DUMMYFUNCTION("""COMPUTED_VALUE"""),"Paranormal")</f>
        <v>Paranormal</v>
      </c>
      <c r="D349" s="2" t="str">
        <f>IFERROR(__xludf.DUMMYFUNCTION("""COMPUTED_VALUE"""),"Forest Gate Books")</f>
        <v>Forest Gate Books</v>
      </c>
      <c r="E349" s="2">
        <f>IFERROR(__xludf.DUMMYFUNCTION("""COMPUTED_VALUE"""),2.29)</f>
        <v>2.29</v>
      </c>
      <c r="F349" s="2"/>
      <c r="G349" s="2"/>
      <c r="H349" s="2"/>
      <c r="I349" s="2"/>
    </row>
    <row r="350">
      <c r="A350" s="2">
        <f>IFERROR(__xludf.DUMMYFUNCTION("""COMPUTED_VALUE"""),181242.0)</f>
        <v>181242</v>
      </c>
      <c r="B350" s="2" t="str">
        <f>IFERROR(__xludf.DUMMYFUNCTION("""COMPUTED_VALUE"""),"Tech")</f>
        <v>Tech</v>
      </c>
      <c r="C350" s="2" t="str">
        <f>IFERROR(__xludf.DUMMYFUNCTION("""COMPUTED_VALUE"""),"Paranormal")</f>
        <v>Paranormal</v>
      </c>
      <c r="D350" s="2" t="str">
        <f>IFERROR(__xludf.DUMMYFUNCTION("""COMPUTED_VALUE"""),"Forest Gate Books")</f>
        <v>Forest Gate Books</v>
      </c>
      <c r="E350" s="2">
        <f>IFERROR(__xludf.DUMMYFUNCTION("""COMPUTED_VALUE"""),6.89)</f>
        <v>6.89</v>
      </c>
      <c r="F350" s="2"/>
      <c r="G350" s="2"/>
      <c r="H350" s="2"/>
      <c r="I350" s="2"/>
    </row>
    <row r="351">
      <c r="A351" s="2">
        <f>IFERROR(__xludf.DUMMYFUNCTION("""COMPUTED_VALUE"""),200323.0)</f>
        <v>200323</v>
      </c>
      <c r="B351" s="2" t="str">
        <f>IFERROR(__xludf.DUMMYFUNCTION("""COMPUTED_VALUE"""),"Tech")</f>
        <v>Tech</v>
      </c>
      <c r="C351" s="2" t="str">
        <f>IFERROR(__xludf.DUMMYFUNCTION("""COMPUTED_VALUE"""),"Paranormal")</f>
        <v>Paranormal</v>
      </c>
      <c r="D351" s="2" t="str">
        <f>IFERROR(__xludf.DUMMYFUNCTION("""COMPUTED_VALUE"""),"Forest Gate Books")</f>
        <v>Forest Gate Books</v>
      </c>
      <c r="E351" s="2">
        <f>IFERROR(__xludf.DUMMYFUNCTION("""COMPUTED_VALUE"""),6.9)</f>
        <v>6.9</v>
      </c>
      <c r="F351" s="2"/>
      <c r="G351" s="2"/>
      <c r="H351" s="2"/>
      <c r="I351" s="2"/>
    </row>
    <row r="352">
      <c r="A352" s="2">
        <f>IFERROR(__xludf.DUMMYFUNCTION("""COMPUTED_VALUE"""),129132.0)</f>
        <v>129132</v>
      </c>
      <c r="B352" s="2" t="str">
        <f>IFERROR(__xludf.DUMMYFUNCTION("""COMPUTED_VALUE"""),"Tech")</f>
        <v>Tech</v>
      </c>
      <c r="C352" s="2" t="str">
        <f>IFERROR(__xludf.DUMMYFUNCTION("""COMPUTED_VALUE"""),"Paranormal")</f>
        <v>Paranormal</v>
      </c>
      <c r="D352" s="2" t="str">
        <f>IFERROR(__xludf.DUMMYFUNCTION("""COMPUTED_VALUE"""),"Forest Gate Books")</f>
        <v>Forest Gate Books</v>
      </c>
      <c r="E352" s="2">
        <f>IFERROR(__xludf.DUMMYFUNCTION("""COMPUTED_VALUE"""),4.61)</f>
        <v>4.61</v>
      </c>
      <c r="F352" s="2"/>
      <c r="G352" s="2"/>
      <c r="H352" s="2"/>
      <c r="I352" s="2"/>
    </row>
    <row r="353">
      <c r="A353" s="2">
        <f>IFERROR(__xludf.DUMMYFUNCTION("""COMPUTED_VALUE"""),160743.0)</f>
        <v>160743</v>
      </c>
      <c r="B353" s="2" t="str">
        <f>IFERROR(__xludf.DUMMYFUNCTION("""COMPUTED_VALUE"""),"Tech")</f>
        <v>Tech</v>
      </c>
      <c r="C353" s="2" t="str">
        <f>IFERROR(__xludf.DUMMYFUNCTION("""COMPUTED_VALUE"""),"Paranormal")</f>
        <v>Paranormal</v>
      </c>
      <c r="D353" s="2" t="str">
        <f>IFERROR(__xludf.DUMMYFUNCTION("""COMPUTED_VALUE"""),"Forest Gate Books")</f>
        <v>Forest Gate Books</v>
      </c>
      <c r="E353" s="2">
        <f>IFERROR(__xludf.DUMMYFUNCTION("""COMPUTED_VALUE"""),2.74)</f>
        <v>2.74</v>
      </c>
      <c r="F353" s="2"/>
      <c r="G353" s="2"/>
      <c r="H353" s="2"/>
      <c r="I353" s="2"/>
    </row>
    <row r="354">
      <c r="A354" s="2">
        <f>IFERROR(__xludf.DUMMYFUNCTION("""COMPUTED_VALUE"""),89610.0)</f>
        <v>89610</v>
      </c>
      <c r="B354" s="2" t="str">
        <f>IFERROR(__xludf.DUMMYFUNCTION("""COMPUTED_VALUE"""),"Tech")</f>
        <v>Tech</v>
      </c>
      <c r="C354" s="2" t="str">
        <f>IFERROR(__xludf.DUMMYFUNCTION("""COMPUTED_VALUE"""),"Paranormal")</f>
        <v>Paranormal</v>
      </c>
      <c r="D354" s="2" t="str">
        <f>IFERROR(__xludf.DUMMYFUNCTION("""COMPUTED_VALUE"""),"Forest Gate Books")</f>
        <v>Forest Gate Books</v>
      </c>
      <c r="E354" s="2">
        <f>IFERROR(__xludf.DUMMYFUNCTION("""COMPUTED_VALUE"""),4.25)</f>
        <v>4.25</v>
      </c>
      <c r="F354" s="2"/>
      <c r="G354" s="2"/>
      <c r="H354" s="2"/>
      <c r="I354" s="2"/>
    </row>
    <row r="355">
      <c r="A355" s="2">
        <f>IFERROR(__xludf.DUMMYFUNCTION("""COMPUTED_VALUE"""),112113.0)</f>
        <v>112113</v>
      </c>
      <c r="B355" s="2" t="str">
        <f>IFERROR(__xludf.DUMMYFUNCTION("""COMPUTED_VALUE"""),"Tech")</f>
        <v>Tech</v>
      </c>
      <c r="C355" s="2" t="str">
        <f>IFERROR(__xludf.DUMMYFUNCTION("""COMPUTED_VALUE"""),"Paranormal")</f>
        <v>Paranormal</v>
      </c>
      <c r="D355" s="2" t="str">
        <f>IFERROR(__xludf.DUMMYFUNCTION("""COMPUTED_VALUE"""),"Forest Gate Books")</f>
        <v>Forest Gate Books</v>
      </c>
      <c r="E355" s="2">
        <f>IFERROR(__xludf.DUMMYFUNCTION("""COMPUTED_VALUE"""),3.62)</f>
        <v>3.62</v>
      </c>
      <c r="F355" s="2"/>
      <c r="G355" s="2"/>
      <c r="H355" s="2"/>
      <c r="I355" s="2"/>
    </row>
    <row r="356">
      <c r="A356" s="2">
        <f>IFERROR(__xludf.DUMMYFUNCTION("""COMPUTED_VALUE"""),107801.0)</f>
        <v>107801</v>
      </c>
      <c r="B356" s="2" t="str">
        <f>IFERROR(__xludf.DUMMYFUNCTION("""COMPUTED_VALUE"""),"Tech")</f>
        <v>Tech</v>
      </c>
      <c r="C356" s="2" t="str">
        <f>IFERROR(__xludf.DUMMYFUNCTION("""COMPUTED_VALUE"""),"Paranormal")</f>
        <v>Paranormal</v>
      </c>
      <c r="D356" s="2" t="str">
        <f>IFERROR(__xludf.DUMMYFUNCTION("""COMPUTED_VALUE"""),"Forest Gate Books")</f>
        <v>Forest Gate Books</v>
      </c>
      <c r="E356" s="2">
        <f>IFERROR(__xludf.DUMMYFUNCTION("""COMPUTED_VALUE"""),4.24)</f>
        <v>4.24</v>
      </c>
      <c r="F356" s="2"/>
      <c r="G356" s="2"/>
      <c r="H356" s="2"/>
      <c r="I356" s="2"/>
    </row>
    <row r="357">
      <c r="A357" s="2">
        <f>IFERROR(__xludf.DUMMYFUNCTION("""COMPUTED_VALUE"""),70065.0)</f>
        <v>70065</v>
      </c>
      <c r="B357" s="2" t="str">
        <f>IFERROR(__xludf.DUMMYFUNCTION("""COMPUTED_VALUE"""),"Tech")</f>
        <v>Tech</v>
      </c>
      <c r="C357" s="2" t="str">
        <f>IFERROR(__xludf.DUMMYFUNCTION("""COMPUTED_VALUE"""),"Paranormal")</f>
        <v>Paranormal</v>
      </c>
      <c r="D357" s="2" t="str">
        <f>IFERROR(__xludf.DUMMYFUNCTION("""COMPUTED_VALUE"""),"Forest Gate Books")</f>
        <v>Forest Gate Books</v>
      </c>
      <c r="E357" s="2">
        <f>IFERROR(__xludf.DUMMYFUNCTION("""COMPUTED_VALUE"""),3.61)</f>
        <v>3.61</v>
      </c>
      <c r="F357" s="2"/>
      <c r="G357" s="2"/>
      <c r="H357" s="2"/>
      <c r="I357" s="2"/>
    </row>
    <row r="358">
      <c r="A358" s="2">
        <f>IFERROR(__xludf.DUMMYFUNCTION("""COMPUTED_VALUE"""),539.0)</f>
        <v>539</v>
      </c>
      <c r="B358" s="2" t="str">
        <f>IFERROR(__xludf.DUMMYFUNCTION("""COMPUTED_VALUE"""),"Tech")</f>
        <v>Tech</v>
      </c>
      <c r="C358" s="2" t="str">
        <f>IFERROR(__xludf.DUMMYFUNCTION("""COMPUTED_VALUE"""),"Paranormal")</f>
        <v>Paranormal</v>
      </c>
      <c r="D358" s="2" t="str">
        <f>IFERROR(__xludf.DUMMYFUNCTION("""COMPUTED_VALUE"""),"Sunrise Hill Press")</f>
        <v>Sunrise Hill Press</v>
      </c>
      <c r="E358" s="2">
        <f>IFERROR(__xludf.DUMMYFUNCTION("""COMPUTED_VALUE"""),0.94)</f>
        <v>0.94</v>
      </c>
      <c r="F358" s="2"/>
      <c r="G358" s="2"/>
      <c r="H358" s="2"/>
      <c r="I358" s="2"/>
    </row>
    <row r="359">
      <c r="A359" s="2">
        <f>IFERROR(__xludf.DUMMYFUNCTION("""COMPUTED_VALUE"""),7857.0)</f>
        <v>7857</v>
      </c>
      <c r="B359" s="2" t="str">
        <f>IFERROR(__xludf.DUMMYFUNCTION("""COMPUTED_VALUE"""),"Tech")</f>
        <v>Tech</v>
      </c>
      <c r="C359" s="2" t="str">
        <f>IFERROR(__xludf.DUMMYFUNCTION("""COMPUTED_VALUE"""),"Paranormal")</f>
        <v>Paranormal</v>
      </c>
      <c r="D359" s="2" t="str">
        <f>IFERROR(__xludf.DUMMYFUNCTION("""COMPUTED_VALUE"""),"Sunrise Hill Press")</f>
        <v>Sunrise Hill Press</v>
      </c>
      <c r="E359" s="2">
        <f>IFERROR(__xludf.DUMMYFUNCTION("""COMPUTED_VALUE"""),0.99)</f>
        <v>0.99</v>
      </c>
      <c r="F359" s="2"/>
      <c r="G359" s="2"/>
      <c r="H359" s="2"/>
      <c r="I359" s="2"/>
    </row>
    <row r="360">
      <c r="A360" s="2">
        <f>IFERROR(__xludf.DUMMYFUNCTION("""COMPUTED_VALUE"""),111726.0)</f>
        <v>111726</v>
      </c>
      <c r="B360" s="2" t="str">
        <f>IFERROR(__xludf.DUMMYFUNCTION("""COMPUTED_VALUE"""),"Tech")</f>
        <v>Tech</v>
      </c>
      <c r="C360" s="2" t="str">
        <f>IFERROR(__xludf.DUMMYFUNCTION("""COMPUTED_VALUE"""),"Paranormal")</f>
        <v>Paranormal</v>
      </c>
      <c r="D360" s="2" t="str">
        <f>IFERROR(__xludf.DUMMYFUNCTION("""COMPUTED_VALUE"""),"Sunrise Hill Press")</f>
        <v>Sunrise Hill Press</v>
      </c>
      <c r="E360" s="2">
        <f>IFERROR(__xludf.DUMMYFUNCTION("""COMPUTED_VALUE"""),1.59)</f>
        <v>1.59</v>
      </c>
      <c r="F360" s="2"/>
      <c r="G360" s="2"/>
      <c r="H360" s="2"/>
      <c r="I360" s="2"/>
    </row>
    <row r="361">
      <c r="A361" s="2">
        <f>IFERROR(__xludf.DUMMYFUNCTION("""COMPUTED_VALUE"""),120992.0)</f>
        <v>120992</v>
      </c>
      <c r="B361" s="2" t="str">
        <f>IFERROR(__xludf.DUMMYFUNCTION("""COMPUTED_VALUE"""),"Tech")</f>
        <v>Tech</v>
      </c>
      <c r="C361" s="2" t="str">
        <f>IFERROR(__xludf.DUMMYFUNCTION("""COMPUTED_VALUE"""),"Paranormal")</f>
        <v>Paranormal</v>
      </c>
      <c r="D361" s="2" t="str">
        <f>IFERROR(__xludf.DUMMYFUNCTION("""COMPUTED_VALUE"""),"Sunrise Hill Press")</f>
        <v>Sunrise Hill Press</v>
      </c>
      <c r="E361" s="2">
        <f>IFERROR(__xludf.DUMMYFUNCTION("""COMPUTED_VALUE"""),4.25)</f>
        <v>4.25</v>
      </c>
      <c r="F361" s="2"/>
      <c r="G361" s="2"/>
      <c r="H361" s="2"/>
      <c r="I361" s="2"/>
    </row>
    <row r="362">
      <c r="A362" s="2">
        <f>IFERROR(__xludf.DUMMYFUNCTION("""COMPUTED_VALUE"""),158482.0)</f>
        <v>158482</v>
      </c>
      <c r="B362" s="2" t="str">
        <f>IFERROR(__xludf.DUMMYFUNCTION("""COMPUTED_VALUE"""),"Tech")</f>
        <v>Tech</v>
      </c>
      <c r="C362" s="2" t="str">
        <f>IFERROR(__xludf.DUMMYFUNCTION("""COMPUTED_VALUE"""),"Paranormal")</f>
        <v>Paranormal</v>
      </c>
      <c r="D362" s="2" t="str">
        <f>IFERROR(__xludf.DUMMYFUNCTION("""COMPUTED_VALUE"""),"Sunrise Hill Press")</f>
        <v>Sunrise Hill Press</v>
      </c>
      <c r="E362" s="2">
        <f>IFERROR(__xludf.DUMMYFUNCTION("""COMPUTED_VALUE"""),1.99)</f>
        <v>1.99</v>
      </c>
      <c r="F362" s="2"/>
      <c r="G362" s="2"/>
      <c r="H362" s="2"/>
      <c r="I362" s="2"/>
    </row>
    <row r="363">
      <c r="A363" s="2">
        <f>IFERROR(__xludf.DUMMYFUNCTION("""COMPUTED_VALUE"""),193132.0)</f>
        <v>193132</v>
      </c>
      <c r="B363" s="2" t="str">
        <f>IFERROR(__xludf.DUMMYFUNCTION("""COMPUTED_VALUE"""),"Tech")</f>
        <v>Tech</v>
      </c>
      <c r="C363" s="2" t="str">
        <f>IFERROR(__xludf.DUMMYFUNCTION("""COMPUTED_VALUE"""),"Paranormal")</f>
        <v>Paranormal</v>
      </c>
      <c r="D363" s="2" t="str">
        <f>IFERROR(__xludf.DUMMYFUNCTION("""COMPUTED_VALUE"""),"Sunrise Hill Press")</f>
        <v>Sunrise Hill Press</v>
      </c>
      <c r="E363" s="2">
        <f>IFERROR(__xludf.DUMMYFUNCTION("""COMPUTED_VALUE"""),2.36)</f>
        <v>2.36</v>
      </c>
      <c r="F363" s="2"/>
      <c r="G363" s="2"/>
      <c r="H363" s="2"/>
      <c r="I363" s="2"/>
    </row>
    <row r="364">
      <c r="A364" s="2">
        <f>IFERROR(__xludf.DUMMYFUNCTION("""COMPUTED_VALUE"""),118901.0)</f>
        <v>118901</v>
      </c>
      <c r="B364" s="2" t="str">
        <f>IFERROR(__xludf.DUMMYFUNCTION("""COMPUTED_VALUE"""),"Tech")</f>
        <v>Tech</v>
      </c>
      <c r="C364" s="2" t="str">
        <f>IFERROR(__xludf.DUMMYFUNCTION("""COMPUTED_VALUE"""),"Paranormal")</f>
        <v>Paranormal</v>
      </c>
      <c r="D364" s="2" t="str">
        <f>IFERROR(__xludf.DUMMYFUNCTION("""COMPUTED_VALUE"""),"Sunrise Hill Press")</f>
        <v>Sunrise Hill Press</v>
      </c>
      <c r="E364" s="2">
        <f>IFERROR(__xludf.DUMMYFUNCTION("""COMPUTED_VALUE"""),1.4)</f>
        <v>1.4</v>
      </c>
      <c r="F364" s="2"/>
      <c r="G364" s="2"/>
      <c r="H364" s="2"/>
      <c r="I364" s="2"/>
    </row>
    <row r="365">
      <c r="A365" s="2">
        <f>IFERROR(__xludf.DUMMYFUNCTION("""COMPUTED_VALUE"""),193131.0)</f>
        <v>193131</v>
      </c>
      <c r="B365" s="2" t="str">
        <f>IFERROR(__xludf.DUMMYFUNCTION("""COMPUTED_VALUE"""),"Tech")</f>
        <v>Tech</v>
      </c>
      <c r="C365" s="2" t="str">
        <f>IFERROR(__xludf.DUMMYFUNCTION("""COMPUTED_VALUE"""),"Paranormal")</f>
        <v>Paranormal</v>
      </c>
      <c r="D365" s="2" t="str">
        <f>IFERROR(__xludf.DUMMYFUNCTION("""COMPUTED_VALUE"""),"Sunrise Hill Press")</f>
        <v>Sunrise Hill Press</v>
      </c>
      <c r="E365" s="2">
        <f>IFERROR(__xludf.DUMMYFUNCTION("""COMPUTED_VALUE"""),2.38)</f>
        <v>2.38</v>
      </c>
      <c r="F365" s="2"/>
      <c r="G365" s="2"/>
      <c r="H365" s="2"/>
      <c r="I365" s="2"/>
    </row>
    <row r="366">
      <c r="A366" s="2">
        <f>IFERROR(__xludf.DUMMYFUNCTION("""COMPUTED_VALUE"""),115709.0)</f>
        <v>115709</v>
      </c>
      <c r="B366" s="2" t="str">
        <f>IFERROR(__xludf.DUMMYFUNCTION("""COMPUTED_VALUE"""),"Tech")</f>
        <v>Tech</v>
      </c>
      <c r="C366" s="2" t="str">
        <f>IFERROR(__xludf.DUMMYFUNCTION("""COMPUTED_VALUE"""),"Paranormal")</f>
        <v>Paranormal</v>
      </c>
      <c r="D366" s="2" t="str">
        <f>IFERROR(__xludf.DUMMYFUNCTION("""COMPUTED_VALUE"""),"Sunrise Hill Press")</f>
        <v>Sunrise Hill Press</v>
      </c>
      <c r="E366" s="2">
        <f>IFERROR(__xludf.DUMMYFUNCTION("""COMPUTED_VALUE"""),4.38)</f>
        <v>4.38</v>
      </c>
      <c r="F366" s="2"/>
      <c r="G366" s="2"/>
      <c r="H366" s="2"/>
      <c r="I366" s="2"/>
    </row>
    <row r="367">
      <c r="A367" s="2">
        <f>IFERROR(__xludf.DUMMYFUNCTION("""COMPUTED_VALUE"""),121619.0)</f>
        <v>121619</v>
      </c>
      <c r="B367" s="2" t="str">
        <f>IFERROR(__xludf.DUMMYFUNCTION("""COMPUTED_VALUE"""),"Tech")</f>
        <v>Tech</v>
      </c>
      <c r="C367" s="2" t="str">
        <f>IFERROR(__xludf.DUMMYFUNCTION("""COMPUTED_VALUE"""),"Paranormal")</f>
        <v>Paranormal</v>
      </c>
      <c r="D367" s="2" t="str">
        <f>IFERROR(__xludf.DUMMYFUNCTION("""COMPUTED_VALUE"""),"Sunrise Hill Press")</f>
        <v>Sunrise Hill Press</v>
      </c>
      <c r="E367" s="2">
        <f>IFERROR(__xludf.DUMMYFUNCTION("""COMPUTED_VALUE"""),2.7)</f>
        <v>2.7</v>
      </c>
      <c r="F367" s="2"/>
      <c r="G367" s="2"/>
      <c r="H367" s="2"/>
      <c r="I367" s="2"/>
    </row>
    <row r="368">
      <c r="A368" s="2">
        <f>IFERROR(__xludf.DUMMYFUNCTION("""COMPUTED_VALUE"""),103647.0)</f>
        <v>103647</v>
      </c>
      <c r="B368" s="2" t="str">
        <f>IFERROR(__xludf.DUMMYFUNCTION("""COMPUTED_VALUE"""),"Tech")</f>
        <v>Tech</v>
      </c>
      <c r="C368" s="2" t="str">
        <f>IFERROR(__xludf.DUMMYFUNCTION("""COMPUTED_VALUE"""),"Paranormal")</f>
        <v>Paranormal</v>
      </c>
      <c r="D368" s="2" t="str">
        <f>IFERROR(__xludf.DUMMYFUNCTION("""COMPUTED_VALUE"""),"Sunrise Hill Press")</f>
        <v>Sunrise Hill Press</v>
      </c>
      <c r="E368" s="2">
        <f>IFERROR(__xludf.DUMMYFUNCTION("""COMPUTED_VALUE"""),0.88)</f>
        <v>0.88</v>
      </c>
      <c r="F368" s="2"/>
      <c r="G368" s="2"/>
      <c r="H368" s="2"/>
      <c r="I368" s="2"/>
    </row>
    <row r="369">
      <c r="A369" s="2">
        <f>IFERROR(__xludf.DUMMYFUNCTION("""COMPUTED_VALUE"""),121616.0)</f>
        <v>121616</v>
      </c>
      <c r="B369" s="2" t="str">
        <f>IFERROR(__xludf.DUMMYFUNCTION("""COMPUTED_VALUE"""),"Tech")</f>
        <v>Tech</v>
      </c>
      <c r="C369" s="2" t="str">
        <f>IFERROR(__xludf.DUMMYFUNCTION("""COMPUTED_VALUE"""),"Paranormal")</f>
        <v>Paranormal</v>
      </c>
      <c r="D369" s="2" t="str">
        <f>IFERROR(__xludf.DUMMYFUNCTION("""COMPUTED_VALUE"""),"Sunrise Hill Press")</f>
        <v>Sunrise Hill Press</v>
      </c>
      <c r="E369" s="2">
        <f>IFERROR(__xludf.DUMMYFUNCTION("""COMPUTED_VALUE"""),2.45)</f>
        <v>2.45</v>
      </c>
      <c r="F369" s="2"/>
      <c r="G369" s="2"/>
      <c r="H369" s="2"/>
      <c r="I369" s="2"/>
    </row>
    <row r="370">
      <c r="A370" s="2">
        <f>IFERROR(__xludf.DUMMYFUNCTION("""COMPUTED_VALUE"""),121618.0)</f>
        <v>121618</v>
      </c>
      <c r="B370" s="2" t="str">
        <f>IFERROR(__xludf.DUMMYFUNCTION("""COMPUTED_VALUE"""),"Tech")</f>
        <v>Tech</v>
      </c>
      <c r="C370" s="2" t="str">
        <f>IFERROR(__xludf.DUMMYFUNCTION("""COMPUTED_VALUE"""),"Paranormal")</f>
        <v>Paranormal</v>
      </c>
      <c r="D370" s="2" t="str">
        <f>IFERROR(__xludf.DUMMYFUNCTION("""COMPUTED_VALUE"""),"Sunrise Hill Press")</f>
        <v>Sunrise Hill Press</v>
      </c>
      <c r="E370" s="2">
        <f>IFERROR(__xludf.DUMMYFUNCTION("""COMPUTED_VALUE"""),2.46)</f>
        <v>2.46</v>
      </c>
      <c r="F370" s="2"/>
      <c r="G370" s="2"/>
      <c r="H370" s="2"/>
      <c r="I370" s="2"/>
    </row>
    <row r="371">
      <c r="A371" s="2">
        <f>IFERROR(__xludf.DUMMYFUNCTION("""COMPUTED_VALUE"""),129360.0)</f>
        <v>129360</v>
      </c>
      <c r="B371" s="2" t="str">
        <f>IFERROR(__xludf.DUMMYFUNCTION("""COMPUTED_VALUE"""),"Tech")</f>
        <v>Tech</v>
      </c>
      <c r="C371" s="2" t="str">
        <f>IFERROR(__xludf.DUMMYFUNCTION("""COMPUTED_VALUE"""),"Paranormal")</f>
        <v>Paranormal</v>
      </c>
      <c r="D371" s="2" t="str">
        <f>IFERROR(__xludf.DUMMYFUNCTION("""COMPUTED_VALUE"""),"Sunrise Hill Press")</f>
        <v>Sunrise Hill Press</v>
      </c>
      <c r="E371" s="2">
        <f>IFERROR(__xludf.DUMMYFUNCTION("""COMPUTED_VALUE"""),1.48)</f>
        <v>1.48</v>
      </c>
      <c r="F371" s="2"/>
      <c r="G371" s="2"/>
      <c r="H371" s="2"/>
      <c r="I371" s="2"/>
    </row>
    <row r="372">
      <c r="A372" s="2">
        <f>IFERROR(__xludf.DUMMYFUNCTION("""COMPUTED_VALUE"""),115708.0)</f>
        <v>115708</v>
      </c>
      <c r="B372" s="2" t="str">
        <f>IFERROR(__xludf.DUMMYFUNCTION("""COMPUTED_VALUE"""),"Tech")</f>
        <v>Tech</v>
      </c>
      <c r="C372" s="2" t="str">
        <f>IFERROR(__xludf.DUMMYFUNCTION("""COMPUTED_VALUE"""),"Paranormal")</f>
        <v>Paranormal</v>
      </c>
      <c r="D372" s="2" t="str">
        <f>IFERROR(__xludf.DUMMYFUNCTION("""COMPUTED_VALUE"""),"Sunrise Hill Press")</f>
        <v>Sunrise Hill Press</v>
      </c>
      <c r="E372" s="2">
        <f>IFERROR(__xludf.DUMMYFUNCTION("""COMPUTED_VALUE"""),4.43)</f>
        <v>4.43</v>
      </c>
      <c r="F372" s="2"/>
      <c r="G372" s="2"/>
      <c r="H372" s="2"/>
      <c r="I372" s="2"/>
    </row>
    <row r="373">
      <c r="A373" s="2">
        <f>IFERROR(__xludf.DUMMYFUNCTION("""COMPUTED_VALUE"""),121617.0)</f>
        <v>121617</v>
      </c>
      <c r="B373" s="2" t="str">
        <f>IFERROR(__xludf.DUMMYFUNCTION("""COMPUTED_VALUE"""),"Tech")</f>
        <v>Tech</v>
      </c>
      <c r="C373" s="2" t="str">
        <f>IFERROR(__xludf.DUMMYFUNCTION("""COMPUTED_VALUE"""),"Paranormal")</f>
        <v>Paranormal</v>
      </c>
      <c r="D373" s="2" t="str">
        <f>IFERROR(__xludf.DUMMYFUNCTION("""COMPUTED_VALUE"""),"Sunrise Hill Press")</f>
        <v>Sunrise Hill Press</v>
      </c>
      <c r="E373" s="2">
        <f>IFERROR(__xludf.DUMMYFUNCTION("""COMPUTED_VALUE"""),2.45)</f>
        <v>2.45</v>
      </c>
      <c r="F373" s="2"/>
      <c r="G373" s="2"/>
      <c r="H373" s="2"/>
      <c r="I373" s="2"/>
    </row>
    <row r="374">
      <c r="A374" s="2">
        <f>IFERROR(__xludf.DUMMYFUNCTION("""COMPUTED_VALUE"""),109540.0)</f>
        <v>109540</v>
      </c>
      <c r="B374" s="2" t="str">
        <f>IFERROR(__xludf.DUMMYFUNCTION("""COMPUTED_VALUE"""),"Tech")</f>
        <v>Tech</v>
      </c>
      <c r="C374" s="2" t="str">
        <f>IFERROR(__xludf.DUMMYFUNCTION("""COMPUTED_VALUE"""),"Paranormal")</f>
        <v>Paranormal</v>
      </c>
      <c r="D374" s="2" t="str">
        <f>IFERROR(__xludf.DUMMYFUNCTION("""COMPUTED_VALUE"""),"Sunrise Hill Press")</f>
        <v>Sunrise Hill Press</v>
      </c>
      <c r="E374" s="2">
        <f>IFERROR(__xludf.DUMMYFUNCTION("""COMPUTED_VALUE"""),0.68)</f>
        <v>0.68</v>
      </c>
      <c r="F374" s="2"/>
      <c r="G374" s="2"/>
      <c r="H374" s="2"/>
      <c r="I374" s="2"/>
    </row>
    <row r="375">
      <c r="A375" s="2">
        <f>IFERROR(__xludf.DUMMYFUNCTION("""COMPUTED_VALUE"""),101323.0)</f>
        <v>101323</v>
      </c>
      <c r="B375" s="2" t="str">
        <f>IFERROR(__xludf.DUMMYFUNCTION("""COMPUTED_VALUE"""),"Tech")</f>
        <v>Tech</v>
      </c>
      <c r="C375" s="2" t="str">
        <f>IFERROR(__xludf.DUMMYFUNCTION("""COMPUTED_VALUE"""),"Paranormal")</f>
        <v>Paranormal</v>
      </c>
      <c r="D375" s="2" t="str">
        <f>IFERROR(__xludf.DUMMYFUNCTION("""COMPUTED_VALUE"""),"Sunrise Hill Press")</f>
        <v>Sunrise Hill Press</v>
      </c>
      <c r="E375" s="2">
        <f>IFERROR(__xludf.DUMMYFUNCTION("""COMPUTED_VALUE"""),0.72)</f>
        <v>0.72</v>
      </c>
      <c r="F375" s="2"/>
      <c r="G375" s="2"/>
      <c r="H375" s="2"/>
      <c r="I375" s="2"/>
    </row>
    <row r="376">
      <c r="A376" s="2">
        <f>IFERROR(__xludf.DUMMYFUNCTION("""COMPUTED_VALUE"""),120991.0)</f>
        <v>120991</v>
      </c>
      <c r="B376" s="2" t="str">
        <f>IFERROR(__xludf.DUMMYFUNCTION("""COMPUTED_VALUE"""),"Tech")</f>
        <v>Tech</v>
      </c>
      <c r="C376" s="2" t="str">
        <f>IFERROR(__xludf.DUMMYFUNCTION("""COMPUTED_VALUE"""),"Paranormal")</f>
        <v>Paranormal</v>
      </c>
      <c r="D376" s="2" t="str">
        <f>IFERROR(__xludf.DUMMYFUNCTION("""COMPUTED_VALUE"""),"Sunrise Hill Press")</f>
        <v>Sunrise Hill Press</v>
      </c>
      <c r="E376" s="2">
        <f>IFERROR(__xludf.DUMMYFUNCTION("""COMPUTED_VALUE"""),4.36)</f>
        <v>4.36</v>
      </c>
      <c r="F376" s="2"/>
      <c r="G376" s="2"/>
      <c r="H376" s="2"/>
      <c r="I376" s="2"/>
    </row>
    <row r="377">
      <c r="A377" s="2">
        <f>IFERROR(__xludf.DUMMYFUNCTION("""COMPUTED_VALUE"""),115698.0)</f>
        <v>115698</v>
      </c>
      <c r="B377" s="2" t="str">
        <f>IFERROR(__xludf.DUMMYFUNCTION("""COMPUTED_VALUE"""),"Tech")</f>
        <v>Tech</v>
      </c>
      <c r="C377" s="2" t="str">
        <f>IFERROR(__xludf.DUMMYFUNCTION("""COMPUTED_VALUE"""),"Paranormal")</f>
        <v>Paranormal</v>
      </c>
      <c r="D377" s="2" t="str">
        <f>IFERROR(__xludf.DUMMYFUNCTION("""COMPUTED_VALUE"""),"Sunrise Hill Press")</f>
        <v>Sunrise Hill Press</v>
      </c>
      <c r="E377" s="2">
        <f>IFERROR(__xludf.DUMMYFUNCTION("""COMPUTED_VALUE"""),4.22)</f>
        <v>4.22</v>
      </c>
      <c r="F377" s="2"/>
      <c r="G377" s="2"/>
      <c r="H377" s="2"/>
      <c r="I377" s="2"/>
    </row>
    <row r="378">
      <c r="A378" s="2">
        <f>IFERROR(__xludf.DUMMYFUNCTION("""COMPUTED_VALUE"""),72511.0)</f>
        <v>72511</v>
      </c>
      <c r="B378" s="2" t="str">
        <f>IFERROR(__xludf.DUMMYFUNCTION("""COMPUTED_VALUE"""),"Tech")</f>
        <v>Tech</v>
      </c>
      <c r="C378" s="2" t="str">
        <f>IFERROR(__xludf.DUMMYFUNCTION("""COMPUTED_VALUE"""),"Paranormal")</f>
        <v>Paranormal</v>
      </c>
      <c r="D378" s="2" t="str">
        <f>IFERROR(__xludf.DUMMYFUNCTION("""COMPUTED_VALUE"""),"Open Road Publishing")</f>
        <v>Open Road Publishing</v>
      </c>
      <c r="E378" s="2">
        <f>IFERROR(__xludf.DUMMYFUNCTION("""COMPUTED_VALUE"""),2.11)</f>
        <v>2.11</v>
      </c>
      <c r="F378" s="2"/>
      <c r="G378" s="2"/>
      <c r="H378" s="2"/>
      <c r="I378" s="2"/>
    </row>
    <row r="379">
      <c r="A379" s="2">
        <f>IFERROR(__xludf.DUMMYFUNCTION("""COMPUTED_VALUE"""),72512.0)</f>
        <v>72512</v>
      </c>
      <c r="B379" s="2" t="str">
        <f>IFERROR(__xludf.DUMMYFUNCTION("""COMPUTED_VALUE"""),"Tech")</f>
        <v>Tech</v>
      </c>
      <c r="C379" s="2" t="str">
        <f>IFERROR(__xludf.DUMMYFUNCTION("""COMPUTED_VALUE"""),"Paranormal")</f>
        <v>Paranormal</v>
      </c>
      <c r="D379" s="2" t="str">
        <f>IFERROR(__xludf.DUMMYFUNCTION("""COMPUTED_VALUE"""),"Open Road Publishing")</f>
        <v>Open Road Publishing</v>
      </c>
      <c r="E379" s="2">
        <f>IFERROR(__xludf.DUMMYFUNCTION("""COMPUTED_VALUE"""),2.77)</f>
        <v>2.77</v>
      </c>
      <c r="F379" s="2"/>
      <c r="G379" s="2"/>
      <c r="H379" s="2"/>
      <c r="I379" s="2"/>
    </row>
    <row r="380">
      <c r="A380" s="2">
        <f>IFERROR(__xludf.DUMMYFUNCTION("""COMPUTED_VALUE"""),120108.0)</f>
        <v>120108</v>
      </c>
      <c r="B380" s="2" t="str">
        <f>IFERROR(__xludf.DUMMYFUNCTION("""COMPUTED_VALUE"""),"Tech")</f>
        <v>Tech</v>
      </c>
      <c r="C380" s="2" t="str">
        <f>IFERROR(__xludf.DUMMYFUNCTION("""COMPUTED_VALUE"""),"Paranormal")</f>
        <v>Paranormal</v>
      </c>
      <c r="D380" s="2" t="str">
        <f>IFERROR(__xludf.DUMMYFUNCTION("""COMPUTED_VALUE"""),"Open Road Publishing")</f>
        <v>Open Road Publishing</v>
      </c>
      <c r="E380" s="2">
        <f>IFERROR(__xludf.DUMMYFUNCTION("""COMPUTED_VALUE"""),4.04)</f>
        <v>4.04</v>
      </c>
      <c r="F380" s="2"/>
      <c r="G380" s="2"/>
      <c r="H380" s="2"/>
      <c r="I380" s="2"/>
    </row>
    <row r="381">
      <c r="A381" s="2">
        <f>IFERROR(__xludf.DUMMYFUNCTION("""COMPUTED_VALUE"""),1636.0)</f>
        <v>1636</v>
      </c>
      <c r="B381" s="2" t="str">
        <f>IFERROR(__xludf.DUMMYFUNCTION("""COMPUTED_VALUE"""),"Tech")</f>
        <v>Tech</v>
      </c>
      <c r="C381" s="2" t="str">
        <f>IFERROR(__xludf.DUMMYFUNCTION("""COMPUTED_VALUE"""),"Paranormal")</f>
        <v>Paranormal</v>
      </c>
      <c r="D381" s="2" t="str">
        <f>IFERROR(__xludf.DUMMYFUNCTION("""COMPUTED_VALUE"""),"Skyline Books")</f>
        <v>Skyline Books</v>
      </c>
      <c r="E381" s="2">
        <f>IFERROR(__xludf.DUMMYFUNCTION("""COMPUTED_VALUE"""),2.15)</f>
        <v>2.15</v>
      </c>
      <c r="F381" s="2"/>
      <c r="G381" s="2"/>
      <c r="H381" s="2"/>
      <c r="I381" s="2"/>
    </row>
    <row r="382">
      <c r="A382" s="2">
        <f>IFERROR(__xludf.DUMMYFUNCTION("""COMPUTED_VALUE"""),106767.0)</f>
        <v>106767</v>
      </c>
      <c r="B382" s="2" t="str">
        <f>IFERROR(__xludf.DUMMYFUNCTION("""COMPUTED_VALUE"""),"Tech")</f>
        <v>Tech</v>
      </c>
      <c r="C382" s="2" t="str">
        <f>IFERROR(__xludf.DUMMYFUNCTION("""COMPUTED_VALUE"""),"Paranormal")</f>
        <v>Paranormal</v>
      </c>
      <c r="D382" s="2" t="str">
        <f>IFERROR(__xludf.DUMMYFUNCTION("""COMPUTED_VALUE"""),"Skyline Books")</f>
        <v>Skyline Books</v>
      </c>
      <c r="E382" s="2">
        <f>IFERROR(__xludf.DUMMYFUNCTION("""COMPUTED_VALUE"""),1.91)</f>
        <v>1.91</v>
      </c>
      <c r="F382" s="2"/>
      <c r="G382" s="2"/>
      <c r="H382" s="2"/>
      <c r="I382" s="2"/>
    </row>
    <row r="383">
      <c r="A383" s="2">
        <f>IFERROR(__xludf.DUMMYFUNCTION("""COMPUTED_VALUE"""),117246.0)</f>
        <v>117246</v>
      </c>
      <c r="B383" s="2" t="str">
        <f>IFERROR(__xludf.DUMMYFUNCTION("""COMPUTED_VALUE"""),"Tech")</f>
        <v>Tech</v>
      </c>
      <c r="C383" s="2" t="str">
        <f>IFERROR(__xludf.DUMMYFUNCTION("""COMPUTED_VALUE"""),"Paranormal")</f>
        <v>Paranormal</v>
      </c>
      <c r="D383" s="2" t="str">
        <f>IFERROR(__xludf.DUMMYFUNCTION("""COMPUTED_VALUE"""),"Skyline Books")</f>
        <v>Skyline Books</v>
      </c>
      <c r="E383" s="2">
        <f>IFERROR(__xludf.DUMMYFUNCTION("""COMPUTED_VALUE"""),1.77)</f>
        <v>1.77</v>
      </c>
      <c r="F383" s="2"/>
      <c r="G383" s="2"/>
      <c r="H383" s="2"/>
      <c r="I383" s="2"/>
    </row>
    <row r="384">
      <c r="A384" s="2">
        <f>IFERROR(__xludf.DUMMYFUNCTION("""COMPUTED_VALUE"""),106758.0)</f>
        <v>106758</v>
      </c>
      <c r="B384" s="2" t="str">
        <f>IFERROR(__xludf.DUMMYFUNCTION("""COMPUTED_VALUE"""),"Tech")</f>
        <v>Tech</v>
      </c>
      <c r="C384" s="2" t="str">
        <f>IFERROR(__xludf.DUMMYFUNCTION("""COMPUTED_VALUE"""),"Paranormal")</f>
        <v>Paranormal</v>
      </c>
      <c r="D384" s="2" t="str">
        <f>IFERROR(__xludf.DUMMYFUNCTION("""COMPUTED_VALUE"""),"Skyline Books")</f>
        <v>Skyline Books</v>
      </c>
      <c r="E384" s="2">
        <f>IFERROR(__xludf.DUMMYFUNCTION("""COMPUTED_VALUE"""),3.68)</f>
        <v>3.68</v>
      </c>
      <c r="F384" s="2"/>
      <c r="G384" s="2"/>
      <c r="H384" s="2"/>
      <c r="I384" s="2"/>
    </row>
    <row r="385">
      <c r="A385" s="2">
        <f>IFERROR(__xludf.DUMMYFUNCTION("""COMPUTED_VALUE"""),118150.0)</f>
        <v>118150</v>
      </c>
      <c r="B385" s="2" t="str">
        <f>IFERROR(__xludf.DUMMYFUNCTION("""COMPUTED_VALUE"""),"Tech")</f>
        <v>Tech</v>
      </c>
      <c r="C385" s="2" t="str">
        <f>IFERROR(__xludf.DUMMYFUNCTION("""COMPUTED_VALUE"""),"Paranormal")</f>
        <v>Paranormal</v>
      </c>
      <c r="D385" s="2" t="str">
        <f>IFERROR(__xludf.DUMMYFUNCTION("""COMPUTED_VALUE"""),"Red Bridge Press")</f>
        <v>Red Bridge Press</v>
      </c>
      <c r="E385" s="2">
        <f>IFERROR(__xludf.DUMMYFUNCTION("""COMPUTED_VALUE"""),1.27)</f>
        <v>1.27</v>
      </c>
      <c r="F385" s="2"/>
      <c r="G385" s="2"/>
      <c r="H385" s="2"/>
      <c r="I385" s="2"/>
    </row>
    <row r="386">
      <c r="A386" s="2">
        <f>IFERROR(__xludf.DUMMYFUNCTION("""COMPUTED_VALUE"""),108896.0)</f>
        <v>108896</v>
      </c>
      <c r="B386" s="2" t="str">
        <f>IFERROR(__xludf.DUMMYFUNCTION("""COMPUTED_VALUE"""),"Tech")</f>
        <v>Tech</v>
      </c>
      <c r="C386" s="2" t="str">
        <f>IFERROR(__xludf.DUMMYFUNCTION("""COMPUTED_VALUE"""),"Paranormal")</f>
        <v>Paranormal</v>
      </c>
      <c r="D386" s="2" t="str">
        <f>IFERROR(__xludf.DUMMYFUNCTION("""COMPUTED_VALUE"""),"Red Bridge Press")</f>
        <v>Red Bridge Press</v>
      </c>
      <c r="E386" s="2">
        <f>IFERROR(__xludf.DUMMYFUNCTION("""COMPUTED_VALUE"""),2.18)</f>
        <v>2.18</v>
      </c>
      <c r="F386" s="2"/>
      <c r="G386" s="2"/>
      <c r="H386" s="2"/>
      <c r="I386" s="2"/>
    </row>
    <row r="387">
      <c r="A387" s="2">
        <f>IFERROR(__xludf.DUMMYFUNCTION("""COMPUTED_VALUE"""),92566.0)</f>
        <v>92566</v>
      </c>
      <c r="B387" s="2" t="str">
        <f>IFERROR(__xludf.DUMMYFUNCTION("""COMPUTED_VALUE"""),"Tech")</f>
        <v>Tech</v>
      </c>
      <c r="C387" s="2" t="str">
        <f>IFERROR(__xludf.DUMMYFUNCTION("""COMPUTED_VALUE"""),"Paranormal")</f>
        <v>Paranormal</v>
      </c>
      <c r="D387" s="2" t="str">
        <f>IFERROR(__xludf.DUMMYFUNCTION("""COMPUTED_VALUE"""),"Red Bridge Press")</f>
        <v>Red Bridge Press</v>
      </c>
      <c r="E387" s="2">
        <f>IFERROR(__xludf.DUMMYFUNCTION("""COMPUTED_VALUE"""),2.37)</f>
        <v>2.37</v>
      </c>
      <c r="F387" s="2"/>
      <c r="G387" s="2"/>
      <c r="H387" s="2"/>
      <c r="I387" s="2"/>
    </row>
    <row r="388">
      <c r="A388" s="2">
        <f>IFERROR(__xludf.DUMMYFUNCTION("""COMPUTED_VALUE"""),182195.0)</f>
        <v>182195</v>
      </c>
      <c r="B388" s="2" t="str">
        <f>IFERROR(__xludf.DUMMYFUNCTION("""COMPUTED_VALUE"""),"Tech")</f>
        <v>Tech</v>
      </c>
      <c r="C388" s="2" t="str">
        <f>IFERROR(__xludf.DUMMYFUNCTION("""COMPUTED_VALUE"""),"Paranormal")</f>
        <v>Paranormal</v>
      </c>
      <c r="D388" s="2" t="str">
        <f>IFERROR(__xludf.DUMMYFUNCTION("""COMPUTED_VALUE"""),"Red Bridge Press")</f>
        <v>Red Bridge Press</v>
      </c>
      <c r="E388" s="2">
        <f>IFERROR(__xludf.DUMMYFUNCTION("""COMPUTED_VALUE"""),2.9)</f>
        <v>2.9</v>
      </c>
      <c r="F388" s="2"/>
      <c r="G388" s="2"/>
      <c r="H388" s="2"/>
      <c r="I388" s="2"/>
    </row>
    <row r="389">
      <c r="A389" s="2">
        <f>IFERROR(__xludf.DUMMYFUNCTION("""COMPUTED_VALUE"""),101560.0)</f>
        <v>101560</v>
      </c>
      <c r="B389" s="2" t="str">
        <f>IFERROR(__xludf.DUMMYFUNCTION("""COMPUTED_VALUE"""),"Tech")</f>
        <v>Tech</v>
      </c>
      <c r="C389" s="2" t="str">
        <f>IFERROR(__xludf.DUMMYFUNCTION("""COMPUTED_VALUE"""),"Paranormal")</f>
        <v>Paranormal</v>
      </c>
      <c r="D389" s="2" t="str">
        <f>IFERROR(__xludf.DUMMYFUNCTION("""COMPUTED_VALUE"""),"Red Bridge Press")</f>
        <v>Red Bridge Press</v>
      </c>
      <c r="E389" s="2">
        <f>IFERROR(__xludf.DUMMYFUNCTION("""COMPUTED_VALUE"""),3.29)</f>
        <v>3.29</v>
      </c>
      <c r="F389" s="2"/>
      <c r="G389" s="2"/>
      <c r="H389" s="2"/>
      <c r="I389" s="2"/>
    </row>
    <row r="390">
      <c r="A390" s="2">
        <f>IFERROR(__xludf.DUMMYFUNCTION("""COMPUTED_VALUE"""),96067.0)</f>
        <v>96067</v>
      </c>
      <c r="B390" s="2" t="str">
        <f>IFERROR(__xludf.DUMMYFUNCTION("""COMPUTED_VALUE"""),"Tech")</f>
        <v>Tech</v>
      </c>
      <c r="C390" s="2" t="str">
        <f>IFERROR(__xludf.DUMMYFUNCTION("""COMPUTED_VALUE"""),"Paranormal")</f>
        <v>Paranormal</v>
      </c>
      <c r="D390" s="2" t="str">
        <f>IFERROR(__xludf.DUMMYFUNCTION("""COMPUTED_VALUE"""),"Red Bridge Press")</f>
        <v>Red Bridge Press</v>
      </c>
      <c r="E390" s="2">
        <f>IFERROR(__xludf.DUMMYFUNCTION("""COMPUTED_VALUE"""),3.85)</f>
        <v>3.85</v>
      </c>
      <c r="F390" s="2"/>
      <c r="G390" s="2"/>
      <c r="H390" s="2"/>
      <c r="I390" s="2"/>
    </row>
    <row r="391">
      <c r="A391" s="2">
        <f>IFERROR(__xludf.DUMMYFUNCTION("""COMPUTED_VALUE"""),47325.0)</f>
        <v>47325</v>
      </c>
      <c r="B391" s="2" t="str">
        <f>IFERROR(__xludf.DUMMYFUNCTION("""COMPUTED_VALUE"""),"Tech")</f>
        <v>Tech</v>
      </c>
      <c r="C391" s="2" t="str">
        <f>IFERROR(__xludf.DUMMYFUNCTION("""COMPUTED_VALUE"""),"Paranormal")</f>
        <v>Paranormal</v>
      </c>
      <c r="D391" s="2" t="str">
        <f>IFERROR(__xludf.DUMMYFUNCTION("""COMPUTED_VALUE"""),"Red Bridge Press")</f>
        <v>Red Bridge Press</v>
      </c>
      <c r="E391" s="2">
        <f>IFERROR(__xludf.DUMMYFUNCTION("""COMPUTED_VALUE"""),4.22)</f>
        <v>4.22</v>
      </c>
      <c r="F391" s="2"/>
      <c r="G391" s="2"/>
      <c r="H391" s="2"/>
      <c r="I391" s="2"/>
    </row>
    <row r="392">
      <c r="A392" s="2">
        <f>IFERROR(__xludf.DUMMYFUNCTION("""COMPUTED_VALUE"""),109386.0)</f>
        <v>109386</v>
      </c>
      <c r="B392" s="2" t="str">
        <f>IFERROR(__xludf.DUMMYFUNCTION("""COMPUTED_VALUE"""),"Tech")</f>
        <v>Tech</v>
      </c>
      <c r="C392" s="2" t="str">
        <f>IFERROR(__xludf.DUMMYFUNCTION("""COMPUTED_VALUE"""),"Paranormal")</f>
        <v>Paranormal</v>
      </c>
      <c r="D392" s="2" t="str">
        <f>IFERROR(__xludf.DUMMYFUNCTION("""COMPUTED_VALUE"""),"Red Bridge Press")</f>
        <v>Red Bridge Press</v>
      </c>
      <c r="E392" s="2">
        <f>IFERROR(__xludf.DUMMYFUNCTION("""COMPUTED_VALUE"""),1.85)</f>
        <v>1.85</v>
      </c>
      <c r="F392" s="2"/>
      <c r="G392" s="2"/>
      <c r="H392" s="2"/>
      <c r="I392" s="2"/>
    </row>
    <row r="393">
      <c r="A393" s="2">
        <f>IFERROR(__xludf.DUMMYFUNCTION("""COMPUTED_VALUE"""),118972.0)</f>
        <v>118972</v>
      </c>
      <c r="B393" s="2" t="str">
        <f>IFERROR(__xludf.DUMMYFUNCTION("""COMPUTED_VALUE"""),"Tech")</f>
        <v>Tech</v>
      </c>
      <c r="C393" s="2" t="str">
        <f>IFERROR(__xludf.DUMMYFUNCTION("""COMPUTED_VALUE"""),"Paranormal")</f>
        <v>Paranormal</v>
      </c>
      <c r="D393" s="2" t="str">
        <f>IFERROR(__xludf.DUMMYFUNCTION("""COMPUTED_VALUE"""),"Red Bridge Press")</f>
        <v>Red Bridge Press</v>
      </c>
      <c r="E393" s="2">
        <f>IFERROR(__xludf.DUMMYFUNCTION("""COMPUTED_VALUE"""),1.27)</f>
        <v>1.27</v>
      </c>
      <c r="F393" s="2"/>
      <c r="G393" s="2"/>
      <c r="H393" s="2"/>
      <c r="I393" s="2"/>
    </row>
    <row r="394">
      <c r="A394" s="2">
        <f>IFERROR(__xludf.DUMMYFUNCTION("""COMPUTED_VALUE"""),100412.0)</f>
        <v>100412</v>
      </c>
      <c r="B394" s="2" t="str">
        <f>IFERROR(__xludf.DUMMYFUNCTION("""COMPUTED_VALUE"""),"Tech")</f>
        <v>Tech</v>
      </c>
      <c r="C394" s="2" t="str">
        <f>IFERROR(__xludf.DUMMYFUNCTION("""COMPUTED_VALUE"""),"Paranormal")</f>
        <v>Paranormal</v>
      </c>
      <c r="D394" s="2" t="str">
        <f>IFERROR(__xludf.DUMMYFUNCTION("""COMPUTED_VALUE"""),"Red Bridge Press")</f>
        <v>Red Bridge Press</v>
      </c>
      <c r="E394" s="2">
        <f>IFERROR(__xludf.DUMMYFUNCTION("""COMPUTED_VALUE"""),2.1)</f>
        <v>2.1</v>
      </c>
      <c r="F394" s="2"/>
      <c r="G394" s="2"/>
      <c r="H394" s="2"/>
      <c r="I394" s="2"/>
    </row>
    <row r="395">
      <c r="A395" s="2">
        <f>IFERROR(__xludf.DUMMYFUNCTION("""COMPUTED_VALUE"""),73259.0)</f>
        <v>73259</v>
      </c>
      <c r="B395" s="2" t="str">
        <f>IFERROR(__xludf.DUMMYFUNCTION("""COMPUTED_VALUE"""),"Tech")</f>
        <v>Tech</v>
      </c>
      <c r="C395" s="2" t="str">
        <f>IFERROR(__xludf.DUMMYFUNCTION("""COMPUTED_VALUE"""),"Paranormal")</f>
        <v>Paranormal</v>
      </c>
      <c r="D395" s="2" t="str">
        <f>IFERROR(__xludf.DUMMYFUNCTION("""COMPUTED_VALUE"""),"Red Bridge Press")</f>
        <v>Red Bridge Press</v>
      </c>
      <c r="E395" s="2">
        <f>IFERROR(__xludf.DUMMYFUNCTION("""COMPUTED_VALUE"""),1.3)</f>
        <v>1.3</v>
      </c>
      <c r="F395" s="2"/>
      <c r="G395" s="2"/>
      <c r="H395" s="2"/>
      <c r="I395" s="2"/>
    </row>
    <row r="396">
      <c r="A396" s="2">
        <f>IFERROR(__xludf.DUMMYFUNCTION("""COMPUTED_VALUE"""),116888.0)</f>
        <v>116888</v>
      </c>
      <c r="B396" s="2" t="str">
        <f>IFERROR(__xludf.DUMMYFUNCTION("""COMPUTED_VALUE"""),"Tech")</f>
        <v>Tech</v>
      </c>
      <c r="C396" s="2" t="str">
        <f>IFERROR(__xludf.DUMMYFUNCTION("""COMPUTED_VALUE"""),"Paranormal")</f>
        <v>Paranormal</v>
      </c>
      <c r="D396" s="2" t="str">
        <f>IFERROR(__xludf.DUMMYFUNCTION("""COMPUTED_VALUE"""),"Red Bridge Press")</f>
        <v>Red Bridge Press</v>
      </c>
      <c r="E396" s="2">
        <f>IFERROR(__xludf.DUMMYFUNCTION("""COMPUTED_VALUE"""),1.43)</f>
        <v>1.43</v>
      </c>
      <c r="F396" s="2"/>
      <c r="G396" s="2"/>
      <c r="H396" s="2"/>
      <c r="I396" s="2"/>
    </row>
    <row r="397">
      <c r="A397" s="2">
        <f>IFERROR(__xludf.DUMMYFUNCTION("""COMPUTED_VALUE"""),102086.0)</f>
        <v>102086</v>
      </c>
      <c r="B397" s="2" t="str">
        <f>IFERROR(__xludf.DUMMYFUNCTION("""COMPUTED_VALUE"""),"Tech")</f>
        <v>Tech</v>
      </c>
      <c r="C397" s="2" t="str">
        <f>IFERROR(__xludf.DUMMYFUNCTION("""COMPUTED_VALUE"""),"Paranormal")</f>
        <v>Paranormal</v>
      </c>
      <c r="D397" s="2" t="str">
        <f>IFERROR(__xludf.DUMMYFUNCTION("""COMPUTED_VALUE"""),"Red Bridge Press")</f>
        <v>Red Bridge Press</v>
      </c>
      <c r="E397" s="2">
        <f>IFERROR(__xludf.DUMMYFUNCTION("""COMPUTED_VALUE"""),2.51)</f>
        <v>2.51</v>
      </c>
      <c r="F397" s="2"/>
      <c r="G397" s="2"/>
      <c r="H397" s="2"/>
      <c r="I397" s="2"/>
    </row>
    <row r="398">
      <c r="A398" s="2">
        <f>IFERROR(__xludf.DUMMYFUNCTION("""COMPUTED_VALUE"""),108892.0)</f>
        <v>108892</v>
      </c>
      <c r="B398" s="2" t="str">
        <f>IFERROR(__xludf.DUMMYFUNCTION("""COMPUTED_VALUE"""),"Tech")</f>
        <v>Tech</v>
      </c>
      <c r="C398" s="2" t="str">
        <f>IFERROR(__xludf.DUMMYFUNCTION("""COMPUTED_VALUE"""),"Paranormal")</f>
        <v>Paranormal</v>
      </c>
      <c r="D398" s="2" t="str">
        <f>IFERROR(__xludf.DUMMYFUNCTION("""COMPUTED_VALUE"""),"Red Bridge Press")</f>
        <v>Red Bridge Press</v>
      </c>
      <c r="E398" s="2">
        <f>IFERROR(__xludf.DUMMYFUNCTION("""COMPUTED_VALUE"""),1.78)</f>
        <v>1.78</v>
      </c>
      <c r="F398" s="2"/>
      <c r="G398" s="2"/>
      <c r="H398" s="2"/>
      <c r="I398" s="2"/>
    </row>
    <row r="399">
      <c r="A399" s="2">
        <f>IFERROR(__xludf.DUMMYFUNCTION("""COMPUTED_VALUE"""),110935.0)</f>
        <v>110935</v>
      </c>
      <c r="B399" s="2" t="str">
        <f>IFERROR(__xludf.DUMMYFUNCTION("""COMPUTED_VALUE"""),"Tech")</f>
        <v>Tech</v>
      </c>
      <c r="C399" s="2" t="str">
        <f>IFERROR(__xludf.DUMMYFUNCTION("""COMPUTED_VALUE"""),"Paranormal")</f>
        <v>Paranormal</v>
      </c>
      <c r="D399" s="2" t="str">
        <f>IFERROR(__xludf.DUMMYFUNCTION("""COMPUTED_VALUE"""),"Red Bridge Press")</f>
        <v>Red Bridge Press</v>
      </c>
      <c r="E399" s="2">
        <f>IFERROR(__xludf.DUMMYFUNCTION("""COMPUTED_VALUE"""),4.96)</f>
        <v>4.96</v>
      </c>
      <c r="F399" s="2"/>
      <c r="G399" s="2"/>
      <c r="H399" s="2"/>
      <c r="I399" s="2"/>
    </row>
    <row r="400">
      <c r="A400" s="2">
        <f>IFERROR(__xludf.DUMMYFUNCTION("""COMPUTED_VALUE"""),103599.0)</f>
        <v>103599</v>
      </c>
      <c r="B400" s="2" t="str">
        <f>IFERROR(__xludf.DUMMYFUNCTION("""COMPUTED_VALUE"""),"Tech")</f>
        <v>Tech</v>
      </c>
      <c r="C400" s="2" t="str">
        <f>IFERROR(__xludf.DUMMYFUNCTION("""COMPUTED_VALUE"""),"Paranormal")</f>
        <v>Paranormal</v>
      </c>
      <c r="D400" s="2" t="str">
        <f>IFERROR(__xludf.DUMMYFUNCTION("""COMPUTED_VALUE"""),"Red Bridge Press")</f>
        <v>Red Bridge Press</v>
      </c>
      <c r="E400" s="2">
        <f>IFERROR(__xludf.DUMMYFUNCTION("""COMPUTED_VALUE"""),1.21)</f>
        <v>1.21</v>
      </c>
      <c r="F400" s="2"/>
      <c r="G400" s="2"/>
      <c r="H400" s="2"/>
      <c r="I400" s="2"/>
    </row>
    <row r="401">
      <c r="A401" s="2">
        <f>IFERROR(__xludf.DUMMYFUNCTION("""COMPUTED_VALUE"""),108811.0)</f>
        <v>108811</v>
      </c>
      <c r="B401" s="2" t="str">
        <f>IFERROR(__xludf.DUMMYFUNCTION("""COMPUTED_VALUE"""),"Tech")</f>
        <v>Tech</v>
      </c>
      <c r="C401" s="2" t="str">
        <f>IFERROR(__xludf.DUMMYFUNCTION("""COMPUTED_VALUE"""),"Paranormal")</f>
        <v>Paranormal</v>
      </c>
      <c r="D401" s="2" t="str">
        <f>IFERROR(__xludf.DUMMYFUNCTION("""COMPUTED_VALUE"""),"Red Bridge Press")</f>
        <v>Red Bridge Press</v>
      </c>
      <c r="E401" s="2">
        <f>IFERROR(__xludf.DUMMYFUNCTION("""COMPUTED_VALUE"""),6.12)</f>
        <v>6.12</v>
      </c>
      <c r="F401" s="2"/>
      <c r="G401" s="2"/>
      <c r="H401" s="2"/>
      <c r="I401" s="2"/>
    </row>
    <row r="402">
      <c r="A402" s="2">
        <f>IFERROR(__xludf.DUMMYFUNCTION("""COMPUTED_VALUE"""),2202.0)</f>
        <v>2202</v>
      </c>
      <c r="B402" s="2" t="str">
        <f>IFERROR(__xludf.DUMMYFUNCTION("""COMPUTED_VALUE"""),"Tech")</f>
        <v>Tech</v>
      </c>
      <c r="C402" s="2" t="str">
        <f>IFERROR(__xludf.DUMMYFUNCTION("""COMPUTED_VALUE"""),"Paranormal")</f>
        <v>Paranormal</v>
      </c>
      <c r="D402" s="2" t="str">
        <f>IFERROR(__xludf.DUMMYFUNCTION("""COMPUTED_VALUE"""),"Red Bridge Press")</f>
        <v>Red Bridge Press</v>
      </c>
      <c r="E402" s="2">
        <f>IFERROR(__xludf.DUMMYFUNCTION("""COMPUTED_VALUE"""),3.02)</f>
        <v>3.02</v>
      </c>
      <c r="F402" s="2"/>
      <c r="G402" s="2"/>
      <c r="H402" s="2"/>
      <c r="I402" s="2"/>
    </row>
    <row r="403">
      <c r="A403" s="2">
        <f>IFERROR(__xludf.DUMMYFUNCTION("""COMPUTED_VALUE"""),122789.0)</f>
        <v>122789</v>
      </c>
      <c r="B403" s="2" t="str">
        <f>IFERROR(__xludf.DUMMYFUNCTION("""COMPUTED_VALUE"""),"Tech")</f>
        <v>Tech</v>
      </c>
      <c r="C403" s="2" t="str">
        <f>IFERROR(__xludf.DUMMYFUNCTION("""COMPUTED_VALUE"""),"Paranormal")</f>
        <v>Paranormal</v>
      </c>
      <c r="D403" s="2" t="str">
        <f>IFERROR(__xludf.DUMMYFUNCTION("""COMPUTED_VALUE"""),"Red Bridge Press")</f>
        <v>Red Bridge Press</v>
      </c>
      <c r="E403" s="2">
        <f>IFERROR(__xludf.DUMMYFUNCTION("""COMPUTED_VALUE"""),4.07)</f>
        <v>4.07</v>
      </c>
      <c r="F403" s="2"/>
      <c r="G403" s="2"/>
      <c r="H403" s="2"/>
      <c r="I403" s="2"/>
    </row>
    <row r="404">
      <c r="A404" s="2">
        <f>IFERROR(__xludf.DUMMYFUNCTION("""COMPUTED_VALUE"""),101563.0)</f>
        <v>101563</v>
      </c>
      <c r="B404" s="2" t="str">
        <f>IFERROR(__xludf.DUMMYFUNCTION("""COMPUTED_VALUE"""),"Tech")</f>
        <v>Tech</v>
      </c>
      <c r="C404" s="2" t="str">
        <f>IFERROR(__xludf.DUMMYFUNCTION("""COMPUTED_VALUE"""),"Paranormal")</f>
        <v>Paranormal</v>
      </c>
      <c r="D404" s="2" t="str">
        <f>IFERROR(__xludf.DUMMYFUNCTION("""COMPUTED_VALUE"""),"Red Bridge Press")</f>
        <v>Red Bridge Press</v>
      </c>
      <c r="E404" s="2">
        <f>IFERROR(__xludf.DUMMYFUNCTION("""COMPUTED_VALUE"""),1.57)</f>
        <v>1.57</v>
      </c>
      <c r="F404" s="2"/>
      <c r="G404" s="2"/>
      <c r="H404" s="2"/>
      <c r="I404" s="2"/>
    </row>
    <row r="405">
      <c r="A405" s="2">
        <f>IFERROR(__xludf.DUMMYFUNCTION("""COMPUTED_VALUE"""),110934.0)</f>
        <v>110934</v>
      </c>
      <c r="B405" s="2" t="str">
        <f>IFERROR(__xludf.DUMMYFUNCTION("""COMPUTED_VALUE"""),"Tech")</f>
        <v>Tech</v>
      </c>
      <c r="C405" s="2" t="str">
        <f>IFERROR(__xludf.DUMMYFUNCTION("""COMPUTED_VALUE"""),"Paranormal")</f>
        <v>Paranormal</v>
      </c>
      <c r="D405" s="2" t="str">
        <f>IFERROR(__xludf.DUMMYFUNCTION("""COMPUTED_VALUE"""),"Red Bridge Press")</f>
        <v>Red Bridge Press</v>
      </c>
      <c r="E405" s="2">
        <f>IFERROR(__xludf.DUMMYFUNCTION("""COMPUTED_VALUE"""),4.1)</f>
        <v>4.1</v>
      </c>
      <c r="F405" s="2"/>
      <c r="G405" s="2"/>
      <c r="H405" s="2"/>
      <c r="I405" s="2"/>
    </row>
    <row r="406">
      <c r="A406" s="2">
        <f>IFERROR(__xludf.DUMMYFUNCTION("""COMPUTED_VALUE"""),110147.0)</f>
        <v>110147</v>
      </c>
      <c r="B406" s="2" t="str">
        <f>IFERROR(__xludf.DUMMYFUNCTION("""COMPUTED_VALUE"""),"Tech")</f>
        <v>Tech</v>
      </c>
      <c r="C406" s="2" t="str">
        <f>IFERROR(__xludf.DUMMYFUNCTION("""COMPUTED_VALUE"""),"Paranormal")</f>
        <v>Paranormal</v>
      </c>
      <c r="D406" s="2" t="str">
        <f>IFERROR(__xludf.DUMMYFUNCTION("""COMPUTED_VALUE"""),"Red Bridge Press")</f>
        <v>Red Bridge Press</v>
      </c>
      <c r="E406" s="2">
        <f>IFERROR(__xludf.DUMMYFUNCTION("""COMPUTED_VALUE"""),2.1)</f>
        <v>2.1</v>
      </c>
      <c r="F406" s="2"/>
      <c r="G406" s="2"/>
      <c r="H406" s="2"/>
      <c r="I406" s="2"/>
    </row>
    <row r="407">
      <c r="A407" s="2">
        <f>IFERROR(__xludf.DUMMYFUNCTION("""COMPUTED_VALUE"""),104135.0)</f>
        <v>104135</v>
      </c>
      <c r="B407" s="2" t="str">
        <f>IFERROR(__xludf.DUMMYFUNCTION("""COMPUTED_VALUE"""),"Tech")</f>
        <v>Tech</v>
      </c>
      <c r="C407" s="2" t="str">
        <f>IFERROR(__xludf.DUMMYFUNCTION("""COMPUTED_VALUE"""),"Paranormal")</f>
        <v>Paranormal</v>
      </c>
      <c r="D407" s="2" t="str">
        <f>IFERROR(__xludf.DUMMYFUNCTION("""COMPUTED_VALUE"""),"Red Bridge Press")</f>
        <v>Red Bridge Press</v>
      </c>
      <c r="E407" s="2">
        <f>IFERROR(__xludf.DUMMYFUNCTION("""COMPUTED_VALUE"""),2.31)</f>
        <v>2.31</v>
      </c>
      <c r="F407" s="2"/>
      <c r="G407" s="2"/>
      <c r="H407" s="2"/>
      <c r="I407" s="2"/>
    </row>
    <row r="408">
      <c r="A408" s="2">
        <f>IFERROR(__xludf.DUMMYFUNCTION("""COMPUTED_VALUE"""),101559.0)</f>
        <v>101559</v>
      </c>
      <c r="B408" s="2" t="str">
        <f>IFERROR(__xludf.DUMMYFUNCTION("""COMPUTED_VALUE"""),"Tech")</f>
        <v>Tech</v>
      </c>
      <c r="C408" s="2" t="str">
        <f>IFERROR(__xludf.DUMMYFUNCTION("""COMPUTED_VALUE"""),"Paranormal")</f>
        <v>Paranormal</v>
      </c>
      <c r="D408" s="2" t="str">
        <f>IFERROR(__xludf.DUMMYFUNCTION("""COMPUTED_VALUE"""),"Red Bridge Press")</f>
        <v>Red Bridge Press</v>
      </c>
      <c r="E408" s="2">
        <f>IFERROR(__xludf.DUMMYFUNCTION("""COMPUTED_VALUE"""),3.06)</f>
        <v>3.06</v>
      </c>
      <c r="F408" s="2"/>
      <c r="G408" s="2"/>
      <c r="H408" s="2"/>
      <c r="I408" s="2"/>
    </row>
    <row r="409">
      <c r="A409" s="2">
        <f>IFERROR(__xludf.DUMMYFUNCTION("""COMPUTED_VALUE"""),129340.0)</f>
        <v>129340</v>
      </c>
      <c r="B409" s="2" t="str">
        <f>IFERROR(__xludf.DUMMYFUNCTION("""COMPUTED_VALUE"""),"Tech")</f>
        <v>Tech</v>
      </c>
      <c r="C409" s="2" t="str">
        <f>IFERROR(__xludf.DUMMYFUNCTION("""COMPUTED_VALUE"""),"Paranormal")</f>
        <v>Paranormal</v>
      </c>
      <c r="D409" s="2" t="str">
        <f>IFERROR(__xludf.DUMMYFUNCTION("""COMPUTED_VALUE"""),"Red Bridge Press")</f>
        <v>Red Bridge Press</v>
      </c>
      <c r="E409" s="2">
        <f>IFERROR(__xludf.DUMMYFUNCTION("""COMPUTED_VALUE"""),5.3)</f>
        <v>5.3</v>
      </c>
      <c r="F409" s="2"/>
      <c r="G409" s="2"/>
      <c r="H409" s="2"/>
      <c r="I409" s="2"/>
    </row>
    <row r="410">
      <c r="A410" s="2">
        <f>IFERROR(__xludf.DUMMYFUNCTION("""COMPUTED_VALUE"""),103609.0)</f>
        <v>103609</v>
      </c>
      <c r="B410" s="2" t="str">
        <f>IFERROR(__xludf.DUMMYFUNCTION("""COMPUTED_VALUE"""),"Tech")</f>
        <v>Tech</v>
      </c>
      <c r="C410" s="2" t="str">
        <f>IFERROR(__xludf.DUMMYFUNCTION("""COMPUTED_VALUE"""),"Paranormal")</f>
        <v>Paranormal</v>
      </c>
      <c r="D410" s="2" t="str">
        <f>IFERROR(__xludf.DUMMYFUNCTION("""COMPUTED_VALUE"""),"Red Bridge Press")</f>
        <v>Red Bridge Press</v>
      </c>
      <c r="E410" s="2">
        <f>IFERROR(__xludf.DUMMYFUNCTION("""COMPUTED_VALUE"""),1.67)</f>
        <v>1.67</v>
      </c>
      <c r="F410" s="2"/>
      <c r="G410" s="2"/>
      <c r="H410" s="2"/>
      <c r="I410" s="2"/>
    </row>
    <row r="411">
      <c r="A411" s="2">
        <f>IFERROR(__xludf.DUMMYFUNCTION("""COMPUTED_VALUE"""),122499.0)</f>
        <v>122499</v>
      </c>
      <c r="B411" s="2" t="str">
        <f>IFERROR(__xludf.DUMMYFUNCTION("""COMPUTED_VALUE"""),"Tech")</f>
        <v>Tech</v>
      </c>
      <c r="C411" s="2" t="str">
        <f>IFERROR(__xludf.DUMMYFUNCTION("""COMPUTED_VALUE"""),"Paranormal")</f>
        <v>Paranormal</v>
      </c>
      <c r="D411" s="2" t="str">
        <f>IFERROR(__xludf.DUMMYFUNCTION("""COMPUTED_VALUE"""),"Red Bridge Press")</f>
        <v>Red Bridge Press</v>
      </c>
      <c r="E411" s="2">
        <f>IFERROR(__xludf.DUMMYFUNCTION("""COMPUTED_VALUE"""),2.75)</f>
        <v>2.75</v>
      </c>
      <c r="F411" s="2"/>
      <c r="G411" s="2"/>
      <c r="H411" s="2"/>
      <c r="I411" s="2"/>
    </row>
    <row r="412">
      <c r="A412" s="2">
        <f>IFERROR(__xludf.DUMMYFUNCTION("""COMPUTED_VALUE"""),117311.0)</f>
        <v>117311</v>
      </c>
      <c r="B412" s="2" t="str">
        <f>IFERROR(__xludf.DUMMYFUNCTION("""COMPUTED_VALUE"""),"Tech")</f>
        <v>Tech</v>
      </c>
      <c r="C412" s="2" t="str">
        <f>IFERROR(__xludf.DUMMYFUNCTION("""COMPUTED_VALUE"""),"Paranormal")</f>
        <v>Paranormal</v>
      </c>
      <c r="D412" s="2" t="str">
        <f>IFERROR(__xludf.DUMMYFUNCTION("""COMPUTED_VALUE"""),"Red Bridge Press")</f>
        <v>Red Bridge Press</v>
      </c>
      <c r="E412" s="2">
        <f>IFERROR(__xludf.DUMMYFUNCTION("""COMPUTED_VALUE"""),4.35)</f>
        <v>4.35</v>
      </c>
      <c r="F412" s="2"/>
      <c r="G412" s="2"/>
      <c r="H412" s="2"/>
      <c r="I412" s="2"/>
    </row>
    <row r="413">
      <c r="A413" s="2">
        <f>IFERROR(__xludf.DUMMYFUNCTION("""COMPUTED_VALUE"""),116670.0)</f>
        <v>116670</v>
      </c>
      <c r="B413" s="2" t="str">
        <f>IFERROR(__xludf.DUMMYFUNCTION("""COMPUTED_VALUE"""),"Tech")</f>
        <v>Tech</v>
      </c>
      <c r="C413" s="2" t="str">
        <f>IFERROR(__xludf.DUMMYFUNCTION("""COMPUTED_VALUE"""),"Paranormal")</f>
        <v>Paranormal</v>
      </c>
      <c r="D413" s="2" t="str">
        <f>IFERROR(__xludf.DUMMYFUNCTION("""COMPUTED_VALUE"""),"Red Bridge Press")</f>
        <v>Red Bridge Press</v>
      </c>
      <c r="E413" s="2">
        <f>IFERROR(__xludf.DUMMYFUNCTION("""COMPUTED_VALUE"""),3.02)</f>
        <v>3.02</v>
      </c>
      <c r="F413" s="2"/>
      <c r="G413" s="2"/>
      <c r="H413" s="2"/>
      <c r="I413" s="2"/>
    </row>
    <row r="414">
      <c r="A414" s="2">
        <f>IFERROR(__xludf.DUMMYFUNCTION("""COMPUTED_VALUE"""),2204.0)</f>
        <v>2204</v>
      </c>
      <c r="B414" s="2" t="str">
        <f>IFERROR(__xludf.DUMMYFUNCTION("""COMPUTED_VALUE"""),"Tech")</f>
        <v>Tech</v>
      </c>
      <c r="C414" s="2" t="str">
        <f>IFERROR(__xludf.DUMMYFUNCTION("""COMPUTED_VALUE"""),"Paranormal")</f>
        <v>Paranormal</v>
      </c>
      <c r="D414" s="2" t="str">
        <f>IFERROR(__xludf.DUMMYFUNCTION("""COMPUTED_VALUE"""),"Red Bridge Press")</f>
        <v>Red Bridge Press</v>
      </c>
      <c r="E414" s="2">
        <f>IFERROR(__xludf.DUMMYFUNCTION("""COMPUTED_VALUE"""),2.67)</f>
        <v>2.67</v>
      </c>
      <c r="F414" s="2"/>
      <c r="G414" s="2"/>
      <c r="H414" s="2"/>
      <c r="I414" s="2"/>
    </row>
    <row r="415">
      <c r="A415" s="2">
        <f>IFERROR(__xludf.DUMMYFUNCTION("""COMPUTED_VALUE"""),104128.0)</f>
        <v>104128</v>
      </c>
      <c r="B415" s="2" t="str">
        <f>IFERROR(__xludf.DUMMYFUNCTION("""COMPUTED_VALUE"""),"Tech")</f>
        <v>Tech</v>
      </c>
      <c r="C415" s="2" t="str">
        <f>IFERROR(__xludf.DUMMYFUNCTION("""COMPUTED_VALUE"""),"Paranormal")</f>
        <v>Paranormal</v>
      </c>
      <c r="D415" s="2" t="str">
        <f>IFERROR(__xludf.DUMMYFUNCTION("""COMPUTED_VALUE"""),"Red Bridge Press")</f>
        <v>Red Bridge Press</v>
      </c>
      <c r="E415" s="2">
        <f>IFERROR(__xludf.DUMMYFUNCTION("""COMPUTED_VALUE"""),2.02)</f>
        <v>2.02</v>
      </c>
      <c r="F415" s="2"/>
      <c r="G415" s="2"/>
      <c r="H415" s="2"/>
      <c r="I415" s="2"/>
    </row>
    <row r="416">
      <c r="A416" s="2">
        <f>IFERROR(__xludf.DUMMYFUNCTION("""COMPUTED_VALUE"""),103600.0)</f>
        <v>103600</v>
      </c>
      <c r="B416" s="2" t="str">
        <f>IFERROR(__xludf.DUMMYFUNCTION("""COMPUTED_VALUE"""),"Tech")</f>
        <v>Tech</v>
      </c>
      <c r="C416" s="2" t="str">
        <f>IFERROR(__xludf.DUMMYFUNCTION("""COMPUTED_VALUE"""),"Paranormal")</f>
        <v>Paranormal</v>
      </c>
      <c r="D416" s="2" t="str">
        <f>IFERROR(__xludf.DUMMYFUNCTION("""COMPUTED_VALUE"""),"Red Bridge Press")</f>
        <v>Red Bridge Press</v>
      </c>
      <c r="E416" s="2">
        <f>IFERROR(__xludf.DUMMYFUNCTION("""COMPUTED_VALUE"""),1.38)</f>
        <v>1.38</v>
      </c>
      <c r="F416" s="2"/>
      <c r="G416" s="2"/>
      <c r="H416" s="2"/>
      <c r="I416" s="2"/>
    </row>
    <row r="417">
      <c r="A417" s="2">
        <f>IFERROR(__xludf.DUMMYFUNCTION("""COMPUTED_VALUE"""),108802.0)</f>
        <v>108802</v>
      </c>
      <c r="B417" s="2" t="str">
        <f>IFERROR(__xludf.DUMMYFUNCTION("""COMPUTED_VALUE"""),"Tech")</f>
        <v>Tech</v>
      </c>
      <c r="C417" s="2" t="str">
        <f>IFERROR(__xludf.DUMMYFUNCTION("""COMPUTED_VALUE"""),"Paranormal")</f>
        <v>Paranormal</v>
      </c>
      <c r="D417" s="2" t="str">
        <f>IFERROR(__xludf.DUMMYFUNCTION("""COMPUTED_VALUE"""),"Red Bridge Press")</f>
        <v>Red Bridge Press</v>
      </c>
      <c r="E417" s="2">
        <f>IFERROR(__xludf.DUMMYFUNCTION("""COMPUTED_VALUE"""),1.59)</f>
        <v>1.59</v>
      </c>
      <c r="F417" s="2"/>
      <c r="G417" s="2"/>
      <c r="H417" s="2"/>
      <c r="I417" s="2"/>
    </row>
    <row r="418">
      <c r="A418" s="2">
        <f>IFERROR(__xludf.DUMMYFUNCTION("""COMPUTED_VALUE"""),201034.0)</f>
        <v>201034</v>
      </c>
      <c r="B418" s="2" t="str">
        <f>IFERROR(__xludf.DUMMYFUNCTION("""COMPUTED_VALUE"""),"Tech")</f>
        <v>Tech</v>
      </c>
      <c r="C418" s="2" t="str">
        <f>IFERROR(__xludf.DUMMYFUNCTION("""COMPUTED_VALUE"""),"Paranormal")</f>
        <v>Paranormal</v>
      </c>
      <c r="D418" s="2" t="str">
        <f>IFERROR(__xludf.DUMMYFUNCTION("""COMPUTED_VALUE"""),"Red Bridge Press")</f>
        <v>Red Bridge Press</v>
      </c>
      <c r="E418" s="2">
        <f>IFERROR(__xludf.DUMMYFUNCTION("""COMPUTED_VALUE"""),3.56)</f>
        <v>3.56</v>
      </c>
      <c r="F418" s="2"/>
      <c r="G418" s="2"/>
      <c r="H418" s="2"/>
      <c r="I418" s="2"/>
    </row>
    <row r="419">
      <c r="A419" s="2">
        <f>IFERROR(__xludf.DUMMYFUNCTION("""COMPUTED_VALUE"""),6522.0)</f>
        <v>6522</v>
      </c>
      <c r="B419" s="2" t="str">
        <f>IFERROR(__xludf.DUMMYFUNCTION("""COMPUTED_VALUE"""),"Tech")</f>
        <v>Tech</v>
      </c>
      <c r="C419" s="2" t="str">
        <f>IFERROR(__xludf.DUMMYFUNCTION("""COMPUTED_VALUE"""),"Paranormal")</f>
        <v>Paranormal</v>
      </c>
      <c r="D419" s="2" t="str">
        <f>IFERROR(__xludf.DUMMYFUNCTION("""COMPUTED_VALUE"""),"Red Bridge Press")</f>
        <v>Red Bridge Press</v>
      </c>
      <c r="E419" s="2">
        <f>IFERROR(__xludf.DUMMYFUNCTION("""COMPUTED_VALUE"""),2.58)</f>
        <v>2.58</v>
      </c>
      <c r="F419" s="2"/>
      <c r="G419" s="2"/>
      <c r="H419" s="2"/>
      <c r="I419" s="2"/>
    </row>
    <row r="420">
      <c r="A420" s="2">
        <f>IFERROR(__xludf.DUMMYFUNCTION("""COMPUTED_VALUE"""),77644.0)</f>
        <v>77644</v>
      </c>
      <c r="B420" s="2" t="str">
        <f>IFERROR(__xludf.DUMMYFUNCTION("""COMPUTED_VALUE"""),"Tech")</f>
        <v>Tech</v>
      </c>
      <c r="C420" s="2" t="str">
        <f>IFERROR(__xludf.DUMMYFUNCTION("""COMPUTED_VALUE"""),"Paranormal")</f>
        <v>Paranormal</v>
      </c>
      <c r="D420" s="2" t="str">
        <f>IFERROR(__xludf.DUMMYFUNCTION("""COMPUTED_VALUE"""),"Red Bridge Press")</f>
        <v>Red Bridge Press</v>
      </c>
      <c r="E420" s="2">
        <f>IFERROR(__xludf.DUMMYFUNCTION("""COMPUTED_VALUE"""),3.23)</f>
        <v>3.23</v>
      </c>
      <c r="F420" s="2"/>
      <c r="G420" s="2"/>
      <c r="H420" s="2"/>
      <c r="I420" s="2"/>
    </row>
    <row r="421">
      <c r="A421" s="2">
        <f>IFERROR(__xludf.DUMMYFUNCTION("""COMPUTED_VALUE"""),3225.0)</f>
        <v>3225</v>
      </c>
      <c r="B421" s="2" t="str">
        <f>IFERROR(__xludf.DUMMYFUNCTION("""COMPUTED_VALUE"""),"Tech")</f>
        <v>Tech</v>
      </c>
      <c r="C421" s="2" t="str">
        <f>IFERROR(__xludf.DUMMYFUNCTION("""COMPUTED_VALUE"""),"Paranormal")</f>
        <v>Paranormal</v>
      </c>
      <c r="D421" s="2" t="str">
        <f>IFERROR(__xludf.DUMMYFUNCTION("""COMPUTED_VALUE"""),"Red Bridge Press")</f>
        <v>Red Bridge Press</v>
      </c>
      <c r="E421" s="2">
        <f>IFERROR(__xludf.DUMMYFUNCTION("""COMPUTED_VALUE"""),3.05)</f>
        <v>3.05</v>
      </c>
      <c r="F421" s="2"/>
      <c r="G421" s="2"/>
      <c r="H421" s="2"/>
      <c r="I421" s="2"/>
    </row>
    <row r="422">
      <c r="A422" s="2">
        <f>IFERROR(__xludf.DUMMYFUNCTION("""COMPUTED_VALUE"""),158447.0)</f>
        <v>158447</v>
      </c>
      <c r="B422" s="2" t="str">
        <f>IFERROR(__xludf.DUMMYFUNCTION("""COMPUTED_VALUE"""),"Tech")</f>
        <v>Tech</v>
      </c>
      <c r="C422" s="2" t="str">
        <f>IFERROR(__xludf.DUMMYFUNCTION("""COMPUTED_VALUE"""),"Paranormal")</f>
        <v>Paranormal</v>
      </c>
      <c r="D422" s="2" t="str">
        <f>IFERROR(__xludf.DUMMYFUNCTION("""COMPUTED_VALUE"""),"Red Bridge Press")</f>
        <v>Red Bridge Press</v>
      </c>
      <c r="E422" s="2">
        <f>IFERROR(__xludf.DUMMYFUNCTION("""COMPUTED_VALUE"""),4.81)</f>
        <v>4.81</v>
      </c>
      <c r="F422" s="2"/>
      <c r="G422" s="2"/>
      <c r="H422" s="2"/>
      <c r="I422" s="2"/>
    </row>
    <row r="423">
      <c r="A423" s="2">
        <f>IFERROR(__xludf.DUMMYFUNCTION("""COMPUTED_VALUE"""),9737.0)</f>
        <v>9737</v>
      </c>
      <c r="B423" s="2" t="str">
        <f>IFERROR(__xludf.DUMMYFUNCTION("""COMPUTED_VALUE"""),"Tech")</f>
        <v>Tech</v>
      </c>
      <c r="C423" s="2" t="str">
        <f>IFERROR(__xludf.DUMMYFUNCTION("""COMPUTED_VALUE"""),"Paranormal")</f>
        <v>Paranormal</v>
      </c>
      <c r="D423" s="2" t="str">
        <f>IFERROR(__xludf.DUMMYFUNCTION("""COMPUTED_VALUE"""),"Red Bridge Press")</f>
        <v>Red Bridge Press</v>
      </c>
      <c r="E423" s="2">
        <f>IFERROR(__xludf.DUMMYFUNCTION("""COMPUTED_VALUE"""),2.69)</f>
        <v>2.69</v>
      </c>
      <c r="F423" s="2"/>
      <c r="G423" s="2"/>
      <c r="H423" s="2"/>
      <c r="I423" s="2"/>
    </row>
    <row r="424">
      <c r="A424" s="2">
        <f>IFERROR(__xludf.DUMMYFUNCTION("""COMPUTED_VALUE"""),73260.0)</f>
        <v>73260</v>
      </c>
      <c r="B424" s="2" t="str">
        <f>IFERROR(__xludf.DUMMYFUNCTION("""COMPUTED_VALUE"""),"Tech")</f>
        <v>Tech</v>
      </c>
      <c r="C424" s="2" t="str">
        <f>IFERROR(__xludf.DUMMYFUNCTION("""COMPUTED_VALUE"""),"Paranormal")</f>
        <v>Paranormal</v>
      </c>
      <c r="D424" s="2" t="str">
        <f>IFERROR(__xludf.DUMMYFUNCTION("""COMPUTED_VALUE"""),"Red Bridge Press")</f>
        <v>Red Bridge Press</v>
      </c>
      <c r="E424" s="2">
        <f>IFERROR(__xludf.DUMMYFUNCTION("""COMPUTED_VALUE"""),1.14)</f>
        <v>1.14</v>
      </c>
      <c r="F424" s="2"/>
      <c r="G424" s="2"/>
      <c r="H424" s="2"/>
      <c r="I424" s="2"/>
    </row>
    <row r="425">
      <c r="A425" s="2">
        <f>IFERROR(__xludf.DUMMYFUNCTION("""COMPUTED_VALUE"""),158467.0)</f>
        <v>158467</v>
      </c>
      <c r="B425" s="2" t="str">
        <f>IFERROR(__xludf.DUMMYFUNCTION("""COMPUTED_VALUE"""),"Tech")</f>
        <v>Tech</v>
      </c>
      <c r="C425" s="2" t="str">
        <f>IFERROR(__xludf.DUMMYFUNCTION("""COMPUTED_VALUE"""),"Paranormal")</f>
        <v>Paranormal</v>
      </c>
      <c r="D425" s="2" t="str">
        <f>IFERROR(__xludf.DUMMYFUNCTION("""COMPUTED_VALUE"""),"Red Bridge Press")</f>
        <v>Red Bridge Press</v>
      </c>
      <c r="E425" s="2">
        <f>IFERROR(__xludf.DUMMYFUNCTION("""COMPUTED_VALUE"""),1.15)</f>
        <v>1.15</v>
      </c>
      <c r="F425" s="2"/>
      <c r="G425" s="2"/>
      <c r="H425" s="2"/>
      <c r="I425" s="2"/>
    </row>
    <row r="426">
      <c r="A426" s="2">
        <f>IFERROR(__xludf.DUMMYFUNCTION("""COMPUTED_VALUE"""),117319.0)</f>
        <v>117319</v>
      </c>
      <c r="B426" s="2" t="str">
        <f>IFERROR(__xludf.DUMMYFUNCTION("""COMPUTED_VALUE"""),"Tech")</f>
        <v>Tech</v>
      </c>
      <c r="C426" s="2" t="str">
        <f>IFERROR(__xludf.DUMMYFUNCTION("""COMPUTED_VALUE"""),"Paranormal")</f>
        <v>Paranormal</v>
      </c>
      <c r="D426" s="2" t="str">
        <f>IFERROR(__xludf.DUMMYFUNCTION("""COMPUTED_VALUE"""),"Red Bridge Press")</f>
        <v>Red Bridge Press</v>
      </c>
      <c r="E426" s="2">
        <f>IFERROR(__xludf.DUMMYFUNCTION("""COMPUTED_VALUE"""),4.56)</f>
        <v>4.56</v>
      </c>
      <c r="F426" s="2"/>
      <c r="G426" s="2"/>
      <c r="H426" s="2"/>
      <c r="I426" s="2"/>
    </row>
    <row r="427">
      <c r="A427" s="2">
        <f>IFERROR(__xludf.DUMMYFUNCTION("""COMPUTED_VALUE"""),108893.0)</f>
        <v>108893</v>
      </c>
      <c r="B427" s="2" t="str">
        <f>IFERROR(__xludf.DUMMYFUNCTION("""COMPUTED_VALUE"""),"Tech")</f>
        <v>Tech</v>
      </c>
      <c r="C427" s="2" t="str">
        <f>IFERROR(__xludf.DUMMYFUNCTION("""COMPUTED_VALUE"""),"Paranormal")</f>
        <v>Paranormal</v>
      </c>
      <c r="D427" s="2" t="str">
        <f>IFERROR(__xludf.DUMMYFUNCTION("""COMPUTED_VALUE"""),"Red Bridge Press")</f>
        <v>Red Bridge Press</v>
      </c>
      <c r="E427" s="2">
        <f>IFERROR(__xludf.DUMMYFUNCTION("""COMPUTED_VALUE"""),1.82)</f>
        <v>1.82</v>
      </c>
      <c r="F427" s="2"/>
      <c r="G427" s="2"/>
      <c r="H427" s="2"/>
      <c r="I427" s="2"/>
    </row>
    <row r="428">
      <c r="A428" s="2">
        <f>IFERROR(__xludf.DUMMYFUNCTION("""COMPUTED_VALUE"""),111734.0)</f>
        <v>111734</v>
      </c>
      <c r="B428" s="2" t="str">
        <f>IFERROR(__xludf.DUMMYFUNCTION("""COMPUTED_VALUE"""),"Tech")</f>
        <v>Tech</v>
      </c>
      <c r="C428" s="2" t="str">
        <f>IFERROR(__xludf.DUMMYFUNCTION("""COMPUTED_VALUE"""),"Paranormal")</f>
        <v>Paranormal</v>
      </c>
      <c r="D428" s="2" t="str">
        <f>IFERROR(__xludf.DUMMYFUNCTION("""COMPUTED_VALUE"""),"Red Bridge Press")</f>
        <v>Red Bridge Press</v>
      </c>
      <c r="E428" s="2">
        <f>IFERROR(__xludf.DUMMYFUNCTION("""COMPUTED_VALUE"""),4.14)</f>
        <v>4.14</v>
      </c>
      <c r="F428" s="2"/>
      <c r="G428" s="2"/>
      <c r="H428" s="2"/>
      <c r="I428" s="2"/>
    </row>
    <row r="429">
      <c r="A429" s="2">
        <f>IFERROR(__xludf.DUMMYFUNCTION("""COMPUTED_VALUE"""),96066.0)</f>
        <v>96066</v>
      </c>
      <c r="B429" s="2" t="str">
        <f>IFERROR(__xludf.DUMMYFUNCTION("""COMPUTED_VALUE"""),"Tech")</f>
        <v>Tech</v>
      </c>
      <c r="C429" s="2" t="str">
        <f>IFERROR(__xludf.DUMMYFUNCTION("""COMPUTED_VALUE"""),"Paranormal")</f>
        <v>Paranormal</v>
      </c>
      <c r="D429" s="2" t="str">
        <f>IFERROR(__xludf.DUMMYFUNCTION("""COMPUTED_VALUE"""),"Red Bridge Press")</f>
        <v>Red Bridge Press</v>
      </c>
      <c r="E429" s="2">
        <f>IFERROR(__xludf.DUMMYFUNCTION("""COMPUTED_VALUE"""),2.76)</f>
        <v>2.76</v>
      </c>
      <c r="F429" s="2"/>
      <c r="G429" s="2"/>
      <c r="H429" s="2"/>
      <c r="I429" s="2"/>
    </row>
    <row r="430">
      <c r="A430" s="2">
        <f>IFERROR(__xludf.DUMMYFUNCTION("""COMPUTED_VALUE"""),3222.0)</f>
        <v>3222</v>
      </c>
      <c r="B430" s="2" t="str">
        <f>IFERROR(__xludf.DUMMYFUNCTION("""COMPUTED_VALUE"""),"Tech")</f>
        <v>Tech</v>
      </c>
      <c r="C430" s="2" t="str">
        <f>IFERROR(__xludf.DUMMYFUNCTION("""COMPUTED_VALUE"""),"Paranormal")</f>
        <v>Paranormal</v>
      </c>
      <c r="D430" s="2" t="str">
        <f>IFERROR(__xludf.DUMMYFUNCTION("""COMPUTED_VALUE"""),"Red Bridge Press")</f>
        <v>Red Bridge Press</v>
      </c>
      <c r="E430" s="2">
        <f>IFERROR(__xludf.DUMMYFUNCTION("""COMPUTED_VALUE"""),2.46)</f>
        <v>2.46</v>
      </c>
      <c r="F430" s="2"/>
      <c r="G430" s="2"/>
      <c r="H430" s="2"/>
      <c r="I430" s="2"/>
    </row>
    <row r="431">
      <c r="A431" s="2">
        <f>IFERROR(__xludf.DUMMYFUNCTION("""COMPUTED_VALUE"""),117312.0)</f>
        <v>117312</v>
      </c>
      <c r="B431" s="2" t="str">
        <f>IFERROR(__xludf.DUMMYFUNCTION("""COMPUTED_VALUE"""),"Tech")</f>
        <v>Tech</v>
      </c>
      <c r="C431" s="2" t="str">
        <f>IFERROR(__xludf.DUMMYFUNCTION("""COMPUTED_VALUE"""),"Paranormal")</f>
        <v>Paranormal</v>
      </c>
      <c r="D431" s="2" t="str">
        <f>IFERROR(__xludf.DUMMYFUNCTION("""COMPUTED_VALUE"""),"Red Bridge Press")</f>
        <v>Red Bridge Press</v>
      </c>
      <c r="E431" s="2">
        <f>IFERROR(__xludf.DUMMYFUNCTION("""COMPUTED_VALUE"""),3.64)</f>
        <v>3.64</v>
      </c>
      <c r="F431" s="2"/>
      <c r="G431" s="2"/>
      <c r="H431" s="2"/>
      <c r="I431" s="2"/>
    </row>
    <row r="432">
      <c r="A432" s="2">
        <f>IFERROR(__xludf.DUMMYFUNCTION("""COMPUTED_VALUE"""),104791.0)</f>
        <v>104791</v>
      </c>
      <c r="B432" s="2" t="str">
        <f>IFERROR(__xludf.DUMMYFUNCTION("""COMPUTED_VALUE"""),"Tech")</f>
        <v>Tech</v>
      </c>
      <c r="C432" s="2" t="str">
        <f>IFERROR(__xludf.DUMMYFUNCTION("""COMPUTED_VALUE"""),"Paranormal")</f>
        <v>Paranormal</v>
      </c>
      <c r="D432" s="2" t="str">
        <f>IFERROR(__xludf.DUMMYFUNCTION("""COMPUTED_VALUE"""),"Red Bridge Press")</f>
        <v>Red Bridge Press</v>
      </c>
      <c r="E432" s="2">
        <f>IFERROR(__xludf.DUMMYFUNCTION("""COMPUTED_VALUE"""),2.02)</f>
        <v>2.02</v>
      </c>
      <c r="F432" s="2"/>
      <c r="G432" s="2"/>
      <c r="H432" s="2"/>
      <c r="I432" s="2"/>
    </row>
    <row r="433">
      <c r="A433" s="2">
        <f>IFERROR(__xludf.DUMMYFUNCTION("""COMPUTED_VALUE"""),10051.0)</f>
        <v>10051</v>
      </c>
      <c r="B433" s="2" t="str">
        <f>IFERROR(__xludf.DUMMYFUNCTION("""COMPUTED_VALUE"""),"Tech")</f>
        <v>Tech</v>
      </c>
      <c r="C433" s="2" t="str">
        <f>IFERROR(__xludf.DUMMYFUNCTION("""COMPUTED_VALUE"""),"Paranormal")</f>
        <v>Paranormal</v>
      </c>
      <c r="D433" s="2" t="str">
        <f>IFERROR(__xludf.DUMMYFUNCTION("""COMPUTED_VALUE"""),"Red Bridge Press")</f>
        <v>Red Bridge Press</v>
      </c>
      <c r="E433" s="2">
        <f>IFERROR(__xludf.DUMMYFUNCTION("""COMPUTED_VALUE"""),3.38)</f>
        <v>3.38</v>
      </c>
      <c r="F433" s="2"/>
      <c r="G433" s="2"/>
      <c r="H433" s="2"/>
      <c r="I433" s="2"/>
    </row>
    <row r="434">
      <c r="A434" s="2">
        <f>IFERROR(__xludf.DUMMYFUNCTION("""COMPUTED_VALUE"""),29318.0)</f>
        <v>29318</v>
      </c>
      <c r="B434" s="2" t="str">
        <f>IFERROR(__xludf.DUMMYFUNCTION("""COMPUTED_VALUE"""),"Tech")</f>
        <v>Tech</v>
      </c>
      <c r="C434" s="2" t="str">
        <f>IFERROR(__xludf.DUMMYFUNCTION("""COMPUTED_VALUE"""),"Paranormal")</f>
        <v>Paranormal</v>
      </c>
      <c r="D434" s="2" t="str">
        <f>IFERROR(__xludf.DUMMYFUNCTION("""COMPUTED_VALUE"""),"Red Bridge Press")</f>
        <v>Red Bridge Press</v>
      </c>
      <c r="E434" s="2">
        <f>IFERROR(__xludf.DUMMYFUNCTION("""COMPUTED_VALUE"""),5.02)</f>
        <v>5.02</v>
      </c>
      <c r="F434" s="2"/>
      <c r="G434" s="2"/>
      <c r="H434" s="2"/>
      <c r="I434" s="2"/>
    </row>
    <row r="435">
      <c r="A435" s="2">
        <f>IFERROR(__xludf.DUMMYFUNCTION("""COMPUTED_VALUE"""),116885.0)</f>
        <v>116885</v>
      </c>
      <c r="B435" s="2" t="str">
        <f>IFERROR(__xludf.DUMMYFUNCTION("""COMPUTED_VALUE"""),"Tech")</f>
        <v>Tech</v>
      </c>
      <c r="C435" s="2" t="str">
        <f>IFERROR(__xludf.DUMMYFUNCTION("""COMPUTED_VALUE"""),"Paranormal")</f>
        <v>Paranormal</v>
      </c>
      <c r="D435" s="2" t="str">
        <f>IFERROR(__xludf.DUMMYFUNCTION("""COMPUTED_VALUE"""),"Red Bridge Press")</f>
        <v>Red Bridge Press</v>
      </c>
      <c r="E435" s="2">
        <f>IFERROR(__xludf.DUMMYFUNCTION("""COMPUTED_VALUE"""),1.52)</f>
        <v>1.52</v>
      </c>
      <c r="F435" s="2"/>
      <c r="G435" s="2"/>
      <c r="H435" s="2"/>
      <c r="I435" s="2"/>
    </row>
    <row r="436">
      <c r="A436" s="2">
        <f>IFERROR(__xludf.DUMMYFUNCTION("""COMPUTED_VALUE"""),121614.0)</f>
        <v>121614</v>
      </c>
      <c r="B436" s="2" t="str">
        <f>IFERROR(__xludf.DUMMYFUNCTION("""COMPUTED_VALUE"""),"Tech")</f>
        <v>Tech</v>
      </c>
      <c r="C436" s="2" t="str">
        <f>IFERROR(__xludf.DUMMYFUNCTION("""COMPUTED_VALUE"""),"Paranormal")</f>
        <v>Paranormal</v>
      </c>
      <c r="D436" s="2" t="str">
        <f>IFERROR(__xludf.DUMMYFUNCTION("""COMPUTED_VALUE"""),"Red Bridge Press")</f>
        <v>Red Bridge Press</v>
      </c>
      <c r="E436" s="2">
        <f>IFERROR(__xludf.DUMMYFUNCTION("""COMPUTED_VALUE"""),3.27)</f>
        <v>3.27</v>
      </c>
      <c r="F436" s="2"/>
      <c r="G436" s="2"/>
      <c r="H436" s="2"/>
      <c r="I436" s="2"/>
    </row>
    <row r="437">
      <c r="A437" s="2">
        <f>IFERROR(__xludf.DUMMYFUNCTION("""COMPUTED_VALUE"""),10048.0)</f>
        <v>10048</v>
      </c>
      <c r="B437" s="2" t="str">
        <f>IFERROR(__xludf.DUMMYFUNCTION("""COMPUTED_VALUE"""),"Tech")</f>
        <v>Tech</v>
      </c>
      <c r="C437" s="2" t="str">
        <f>IFERROR(__xludf.DUMMYFUNCTION("""COMPUTED_VALUE"""),"Paranormal")</f>
        <v>Paranormal</v>
      </c>
      <c r="D437" s="2" t="str">
        <f>IFERROR(__xludf.DUMMYFUNCTION("""COMPUTED_VALUE"""),"Red Bridge Press")</f>
        <v>Red Bridge Press</v>
      </c>
      <c r="E437" s="2">
        <f>IFERROR(__xludf.DUMMYFUNCTION("""COMPUTED_VALUE"""),3.31)</f>
        <v>3.31</v>
      </c>
      <c r="F437" s="2"/>
      <c r="G437" s="2"/>
      <c r="H437" s="2"/>
      <c r="I437" s="2"/>
    </row>
    <row r="438">
      <c r="A438" s="2">
        <f>IFERROR(__xludf.DUMMYFUNCTION("""COMPUTED_VALUE"""),109534.0)</f>
        <v>109534</v>
      </c>
      <c r="B438" s="2" t="str">
        <f>IFERROR(__xludf.DUMMYFUNCTION("""COMPUTED_VALUE"""),"Tech")</f>
        <v>Tech</v>
      </c>
      <c r="C438" s="2" t="str">
        <f>IFERROR(__xludf.DUMMYFUNCTION("""COMPUTED_VALUE"""),"Paranormal")</f>
        <v>Paranormal</v>
      </c>
      <c r="D438" s="2" t="str">
        <f>IFERROR(__xludf.DUMMYFUNCTION("""COMPUTED_VALUE"""),"Red Bridge Press")</f>
        <v>Red Bridge Press</v>
      </c>
      <c r="E438" s="2">
        <f>IFERROR(__xludf.DUMMYFUNCTION("""COMPUTED_VALUE"""),1.67)</f>
        <v>1.67</v>
      </c>
      <c r="F438" s="2"/>
      <c r="G438" s="2"/>
      <c r="H438" s="2"/>
      <c r="I438" s="2"/>
    </row>
    <row r="439">
      <c r="A439" s="2">
        <f>IFERROR(__xludf.DUMMYFUNCTION("""COMPUTED_VALUE"""),111802.0)</f>
        <v>111802</v>
      </c>
      <c r="B439" s="2" t="str">
        <f>IFERROR(__xludf.DUMMYFUNCTION("""COMPUTED_VALUE"""),"Tech")</f>
        <v>Tech</v>
      </c>
      <c r="C439" s="2" t="str">
        <f>IFERROR(__xludf.DUMMYFUNCTION("""COMPUTED_VALUE"""),"Paranormal")</f>
        <v>Paranormal</v>
      </c>
      <c r="D439" s="2" t="str">
        <f>IFERROR(__xludf.DUMMYFUNCTION("""COMPUTED_VALUE"""),"Red Bridge Press")</f>
        <v>Red Bridge Press</v>
      </c>
      <c r="E439" s="2">
        <f>IFERROR(__xludf.DUMMYFUNCTION("""COMPUTED_VALUE"""),6.25)</f>
        <v>6.25</v>
      </c>
      <c r="F439" s="2"/>
      <c r="G439" s="2"/>
      <c r="H439" s="2"/>
      <c r="I439" s="2"/>
    </row>
    <row r="440">
      <c r="A440" s="2">
        <f>IFERROR(__xludf.DUMMYFUNCTION("""COMPUTED_VALUE"""),108801.0)</f>
        <v>108801</v>
      </c>
      <c r="B440" s="2" t="str">
        <f>IFERROR(__xludf.DUMMYFUNCTION("""COMPUTED_VALUE"""),"Tech")</f>
        <v>Tech</v>
      </c>
      <c r="C440" s="2" t="str">
        <f>IFERROR(__xludf.DUMMYFUNCTION("""COMPUTED_VALUE"""),"Paranormal")</f>
        <v>Paranormal</v>
      </c>
      <c r="D440" s="2" t="str">
        <f>IFERROR(__xludf.DUMMYFUNCTION("""COMPUTED_VALUE"""),"Red Bridge Press")</f>
        <v>Red Bridge Press</v>
      </c>
      <c r="E440" s="2">
        <f>IFERROR(__xludf.DUMMYFUNCTION("""COMPUTED_VALUE"""),2.87)</f>
        <v>2.87</v>
      </c>
      <c r="F440" s="2"/>
      <c r="G440" s="2"/>
      <c r="H440" s="2"/>
      <c r="I440" s="2"/>
    </row>
    <row r="441">
      <c r="A441" s="2">
        <f>IFERROR(__xludf.DUMMYFUNCTION("""COMPUTED_VALUE"""),9735.0)</f>
        <v>9735</v>
      </c>
      <c r="B441" s="2" t="str">
        <f>IFERROR(__xludf.DUMMYFUNCTION("""COMPUTED_VALUE"""),"Tech")</f>
        <v>Tech</v>
      </c>
      <c r="C441" s="2" t="str">
        <f>IFERROR(__xludf.DUMMYFUNCTION("""COMPUTED_VALUE"""),"Paranormal")</f>
        <v>Paranormal</v>
      </c>
      <c r="D441" s="2" t="str">
        <f>IFERROR(__xludf.DUMMYFUNCTION("""COMPUTED_VALUE"""),"Red Bridge Press")</f>
        <v>Red Bridge Press</v>
      </c>
      <c r="E441" s="2">
        <f>IFERROR(__xludf.DUMMYFUNCTION("""COMPUTED_VALUE"""),2.51)</f>
        <v>2.51</v>
      </c>
      <c r="F441" s="2"/>
      <c r="G441" s="2"/>
      <c r="H441" s="2"/>
      <c r="I441" s="2"/>
    </row>
    <row r="442">
      <c r="A442" s="2">
        <f>IFERROR(__xludf.DUMMYFUNCTION("""COMPUTED_VALUE"""),109531.0)</f>
        <v>109531</v>
      </c>
      <c r="B442" s="2" t="str">
        <f>IFERROR(__xludf.DUMMYFUNCTION("""COMPUTED_VALUE"""),"Tech")</f>
        <v>Tech</v>
      </c>
      <c r="C442" s="2" t="str">
        <f>IFERROR(__xludf.DUMMYFUNCTION("""COMPUTED_VALUE"""),"Paranormal")</f>
        <v>Paranormal</v>
      </c>
      <c r="D442" s="2" t="str">
        <f>IFERROR(__xludf.DUMMYFUNCTION("""COMPUTED_VALUE"""),"Red Bridge Press")</f>
        <v>Red Bridge Press</v>
      </c>
      <c r="E442" s="2">
        <f>IFERROR(__xludf.DUMMYFUNCTION("""COMPUTED_VALUE"""),1.39)</f>
        <v>1.39</v>
      </c>
      <c r="F442" s="2"/>
      <c r="G442" s="2"/>
      <c r="H442" s="2"/>
      <c r="I442" s="2"/>
    </row>
    <row r="443">
      <c r="A443" s="2">
        <f>IFERROR(__xludf.DUMMYFUNCTION("""COMPUTED_VALUE"""),44533.0)</f>
        <v>44533</v>
      </c>
      <c r="B443" s="2" t="str">
        <f>IFERROR(__xludf.DUMMYFUNCTION("""COMPUTED_VALUE"""),"Tech")</f>
        <v>Tech</v>
      </c>
      <c r="C443" s="2" t="str">
        <f>IFERROR(__xludf.DUMMYFUNCTION("""COMPUTED_VALUE"""),"Paranormal")</f>
        <v>Paranormal</v>
      </c>
      <c r="D443" s="2" t="str">
        <f>IFERROR(__xludf.DUMMYFUNCTION("""COMPUTED_VALUE"""),"Red Bridge Press")</f>
        <v>Red Bridge Press</v>
      </c>
      <c r="E443" s="2">
        <f>IFERROR(__xludf.DUMMYFUNCTION("""COMPUTED_VALUE"""),1.97)</f>
        <v>1.97</v>
      </c>
      <c r="F443" s="2"/>
      <c r="G443" s="2"/>
      <c r="H443" s="2"/>
      <c r="I443" s="2"/>
    </row>
    <row r="444">
      <c r="A444" s="2">
        <f>IFERROR(__xludf.DUMMYFUNCTION("""COMPUTED_VALUE"""),158465.0)</f>
        <v>158465</v>
      </c>
      <c r="B444" s="2" t="str">
        <f>IFERROR(__xludf.DUMMYFUNCTION("""COMPUTED_VALUE"""),"Tech")</f>
        <v>Tech</v>
      </c>
      <c r="C444" s="2" t="str">
        <f>IFERROR(__xludf.DUMMYFUNCTION("""COMPUTED_VALUE"""),"Paranormal")</f>
        <v>Paranormal</v>
      </c>
      <c r="D444" s="2" t="str">
        <f>IFERROR(__xludf.DUMMYFUNCTION("""COMPUTED_VALUE"""),"Red Bridge Press")</f>
        <v>Red Bridge Press</v>
      </c>
      <c r="E444" s="2">
        <f>IFERROR(__xludf.DUMMYFUNCTION("""COMPUTED_VALUE"""),1.92)</f>
        <v>1.92</v>
      </c>
      <c r="F444" s="2"/>
      <c r="G444" s="2"/>
      <c r="H444" s="2"/>
      <c r="I444" s="2"/>
    </row>
    <row r="445">
      <c r="A445" s="2">
        <f>IFERROR(__xludf.DUMMYFUNCTION("""COMPUTED_VALUE"""),79107.0)</f>
        <v>79107</v>
      </c>
      <c r="B445" s="2" t="str">
        <f>IFERROR(__xludf.DUMMYFUNCTION("""COMPUTED_VALUE"""),"Tech")</f>
        <v>Tech</v>
      </c>
      <c r="C445" s="2" t="str">
        <f>IFERROR(__xludf.DUMMYFUNCTION("""COMPUTED_VALUE"""),"Paranormal")</f>
        <v>Paranormal</v>
      </c>
      <c r="D445" s="2" t="str">
        <f>IFERROR(__xludf.DUMMYFUNCTION("""COMPUTED_VALUE"""),"Red Bridge Press")</f>
        <v>Red Bridge Press</v>
      </c>
      <c r="E445" s="2">
        <f>IFERROR(__xludf.DUMMYFUNCTION("""COMPUTED_VALUE"""),2.21)</f>
        <v>2.21</v>
      </c>
      <c r="F445" s="2"/>
      <c r="G445" s="2"/>
      <c r="H445" s="2"/>
      <c r="I445" s="2"/>
    </row>
    <row r="446">
      <c r="A446" s="2">
        <f>IFERROR(__xludf.DUMMYFUNCTION("""COMPUTED_VALUE"""),78631.0)</f>
        <v>78631</v>
      </c>
      <c r="B446" s="2" t="str">
        <f>IFERROR(__xludf.DUMMYFUNCTION("""COMPUTED_VALUE"""),"Tech")</f>
        <v>Tech</v>
      </c>
      <c r="C446" s="2" t="str">
        <f>IFERROR(__xludf.DUMMYFUNCTION("""COMPUTED_VALUE"""),"Paranormal")</f>
        <v>Paranormal</v>
      </c>
      <c r="D446" s="2" t="str">
        <f>IFERROR(__xludf.DUMMYFUNCTION("""COMPUTED_VALUE"""),"Red Bridge Press")</f>
        <v>Red Bridge Press</v>
      </c>
      <c r="E446" s="2">
        <f>IFERROR(__xludf.DUMMYFUNCTION("""COMPUTED_VALUE"""),7.06)</f>
        <v>7.06</v>
      </c>
      <c r="F446" s="2"/>
      <c r="G446" s="2"/>
      <c r="H446" s="2"/>
      <c r="I446" s="2"/>
    </row>
    <row r="447">
      <c r="A447" s="2">
        <f>IFERROR(__xludf.DUMMYFUNCTION("""COMPUTED_VALUE"""),120469.0)</f>
        <v>120469</v>
      </c>
      <c r="B447" s="2" t="str">
        <f>IFERROR(__xludf.DUMMYFUNCTION("""COMPUTED_VALUE"""),"Tech")</f>
        <v>Tech</v>
      </c>
      <c r="C447" s="2" t="str">
        <f>IFERROR(__xludf.DUMMYFUNCTION("""COMPUTED_VALUE"""),"Paranormal")</f>
        <v>Paranormal</v>
      </c>
      <c r="D447" s="2" t="str">
        <f>IFERROR(__xludf.DUMMYFUNCTION("""COMPUTED_VALUE"""),"Red Bridge Press")</f>
        <v>Red Bridge Press</v>
      </c>
      <c r="E447" s="2">
        <f>IFERROR(__xludf.DUMMYFUNCTION("""COMPUTED_VALUE"""),2.6)</f>
        <v>2.6</v>
      </c>
      <c r="F447" s="2"/>
      <c r="G447" s="2"/>
      <c r="H447" s="2"/>
      <c r="I447" s="2"/>
    </row>
    <row r="448">
      <c r="A448" s="2">
        <f>IFERROR(__xludf.DUMMYFUNCTION("""COMPUTED_VALUE"""),6523.0)</f>
        <v>6523</v>
      </c>
      <c r="B448" s="2" t="str">
        <f>IFERROR(__xludf.DUMMYFUNCTION("""COMPUTED_VALUE"""),"Tech")</f>
        <v>Tech</v>
      </c>
      <c r="C448" s="2" t="str">
        <f>IFERROR(__xludf.DUMMYFUNCTION("""COMPUTED_VALUE"""),"Paranormal")</f>
        <v>Paranormal</v>
      </c>
      <c r="D448" s="2" t="str">
        <f>IFERROR(__xludf.DUMMYFUNCTION("""COMPUTED_VALUE"""),"Red Bridge Press")</f>
        <v>Red Bridge Press</v>
      </c>
      <c r="E448" s="2">
        <f>IFERROR(__xludf.DUMMYFUNCTION("""COMPUTED_VALUE"""),2.77)</f>
        <v>2.77</v>
      </c>
      <c r="F448" s="2"/>
      <c r="G448" s="2"/>
      <c r="H448" s="2"/>
      <c r="I448" s="2"/>
    </row>
    <row r="449">
      <c r="A449" s="2">
        <f>IFERROR(__xludf.DUMMYFUNCTION("""COMPUTED_VALUE"""),41819.0)</f>
        <v>41819</v>
      </c>
      <c r="B449" s="2" t="str">
        <f>IFERROR(__xludf.DUMMYFUNCTION("""COMPUTED_VALUE"""),"Tech")</f>
        <v>Tech</v>
      </c>
      <c r="C449" s="2" t="str">
        <f>IFERROR(__xludf.DUMMYFUNCTION("""COMPUTED_VALUE"""),"Paranormal")</f>
        <v>Paranormal</v>
      </c>
      <c r="D449" s="2" t="str">
        <f>IFERROR(__xludf.DUMMYFUNCTION("""COMPUTED_VALUE"""),"Red Bridge Press")</f>
        <v>Red Bridge Press</v>
      </c>
      <c r="E449" s="2">
        <f>IFERROR(__xludf.DUMMYFUNCTION("""COMPUTED_VALUE"""),2.23)</f>
        <v>2.23</v>
      </c>
      <c r="F449" s="2"/>
      <c r="G449" s="2"/>
      <c r="H449" s="2"/>
      <c r="I449" s="2"/>
    </row>
    <row r="450">
      <c r="A450" s="2">
        <f>IFERROR(__xludf.DUMMYFUNCTION("""COMPUTED_VALUE"""),108889.0)</f>
        <v>108889</v>
      </c>
      <c r="B450" s="2" t="str">
        <f>IFERROR(__xludf.DUMMYFUNCTION("""COMPUTED_VALUE"""),"Tech")</f>
        <v>Tech</v>
      </c>
      <c r="C450" s="2" t="str">
        <f>IFERROR(__xludf.DUMMYFUNCTION("""COMPUTED_VALUE"""),"Paranormal")</f>
        <v>Paranormal</v>
      </c>
      <c r="D450" s="2" t="str">
        <f>IFERROR(__xludf.DUMMYFUNCTION("""COMPUTED_VALUE"""),"Red Bridge Press")</f>
        <v>Red Bridge Press</v>
      </c>
      <c r="E450" s="2">
        <f>IFERROR(__xludf.DUMMYFUNCTION("""COMPUTED_VALUE"""),2.04)</f>
        <v>2.04</v>
      </c>
      <c r="F450" s="2"/>
      <c r="G450" s="2"/>
      <c r="H450" s="2"/>
      <c r="I450" s="2"/>
    </row>
    <row r="451">
      <c r="A451" s="2">
        <f>IFERROR(__xludf.DUMMYFUNCTION("""COMPUTED_VALUE"""),92564.0)</f>
        <v>92564</v>
      </c>
      <c r="B451" s="2" t="str">
        <f>IFERROR(__xludf.DUMMYFUNCTION("""COMPUTED_VALUE"""),"Tech")</f>
        <v>Tech</v>
      </c>
      <c r="C451" s="2" t="str">
        <f>IFERROR(__xludf.DUMMYFUNCTION("""COMPUTED_VALUE"""),"Paranormal")</f>
        <v>Paranormal</v>
      </c>
      <c r="D451" s="2" t="str">
        <f>IFERROR(__xludf.DUMMYFUNCTION("""COMPUTED_VALUE"""),"Red Bridge Press")</f>
        <v>Red Bridge Press</v>
      </c>
      <c r="E451" s="2">
        <f>IFERROR(__xludf.DUMMYFUNCTION("""COMPUTED_VALUE"""),2.28)</f>
        <v>2.28</v>
      </c>
      <c r="F451" s="2"/>
      <c r="G451" s="2"/>
      <c r="H451" s="2"/>
      <c r="I451" s="2"/>
    </row>
    <row r="452">
      <c r="A452" s="2">
        <f>IFERROR(__xludf.DUMMYFUNCTION("""COMPUTED_VALUE"""),158456.0)</f>
        <v>158456</v>
      </c>
      <c r="B452" s="2" t="str">
        <f>IFERROR(__xludf.DUMMYFUNCTION("""COMPUTED_VALUE"""),"Tech")</f>
        <v>Tech</v>
      </c>
      <c r="C452" s="2" t="str">
        <f>IFERROR(__xludf.DUMMYFUNCTION("""COMPUTED_VALUE"""),"Paranormal")</f>
        <v>Paranormal</v>
      </c>
      <c r="D452" s="2" t="str">
        <f>IFERROR(__xludf.DUMMYFUNCTION("""COMPUTED_VALUE"""),"Red Bridge Press")</f>
        <v>Red Bridge Press</v>
      </c>
      <c r="E452" s="2">
        <f>IFERROR(__xludf.DUMMYFUNCTION("""COMPUTED_VALUE"""),3.73)</f>
        <v>3.73</v>
      </c>
      <c r="F452" s="2"/>
      <c r="G452" s="2"/>
      <c r="H452" s="2"/>
      <c r="I452" s="2"/>
    </row>
    <row r="453">
      <c r="A453" s="2">
        <f>IFERROR(__xludf.DUMMYFUNCTION("""COMPUTED_VALUE"""),111735.0)</f>
        <v>111735</v>
      </c>
      <c r="B453" s="2" t="str">
        <f>IFERROR(__xludf.DUMMYFUNCTION("""COMPUTED_VALUE"""),"Tech")</f>
        <v>Tech</v>
      </c>
      <c r="C453" s="2" t="str">
        <f>IFERROR(__xludf.DUMMYFUNCTION("""COMPUTED_VALUE"""),"Paranormal")</f>
        <v>Paranormal</v>
      </c>
      <c r="D453" s="2" t="str">
        <f>IFERROR(__xludf.DUMMYFUNCTION("""COMPUTED_VALUE"""),"Red Bridge Press")</f>
        <v>Red Bridge Press</v>
      </c>
      <c r="E453" s="2">
        <f>IFERROR(__xludf.DUMMYFUNCTION("""COMPUTED_VALUE"""),4.33)</f>
        <v>4.33</v>
      </c>
      <c r="F453" s="2"/>
      <c r="G453" s="2"/>
      <c r="H453" s="2"/>
      <c r="I453" s="2"/>
    </row>
    <row r="454">
      <c r="A454" s="2">
        <f>IFERROR(__xludf.DUMMYFUNCTION("""COMPUTED_VALUE"""),109537.0)</f>
        <v>109537</v>
      </c>
      <c r="B454" s="2" t="str">
        <f>IFERROR(__xludf.DUMMYFUNCTION("""COMPUTED_VALUE"""),"Tech")</f>
        <v>Tech</v>
      </c>
      <c r="C454" s="2" t="str">
        <f>IFERROR(__xludf.DUMMYFUNCTION("""COMPUTED_VALUE"""),"Paranormal")</f>
        <v>Paranormal</v>
      </c>
      <c r="D454" s="2" t="str">
        <f>IFERROR(__xludf.DUMMYFUNCTION("""COMPUTED_VALUE"""),"Red Bridge Press")</f>
        <v>Red Bridge Press</v>
      </c>
      <c r="E454" s="2">
        <f>IFERROR(__xludf.DUMMYFUNCTION("""COMPUTED_VALUE"""),3.15)</f>
        <v>3.15</v>
      </c>
      <c r="F454" s="2"/>
      <c r="G454" s="2"/>
      <c r="H454" s="2"/>
      <c r="I454" s="2"/>
    </row>
    <row r="455">
      <c r="A455" s="2">
        <f>IFERROR(__xludf.DUMMYFUNCTION("""COMPUTED_VALUE"""),109381.0)</f>
        <v>109381</v>
      </c>
      <c r="B455" s="2" t="str">
        <f>IFERROR(__xludf.DUMMYFUNCTION("""COMPUTED_VALUE"""),"Tech")</f>
        <v>Tech</v>
      </c>
      <c r="C455" s="2" t="str">
        <f>IFERROR(__xludf.DUMMYFUNCTION("""COMPUTED_VALUE"""),"Paranormal")</f>
        <v>Paranormal</v>
      </c>
      <c r="D455" s="2" t="str">
        <f>IFERROR(__xludf.DUMMYFUNCTION("""COMPUTED_VALUE"""),"Red Bridge Press")</f>
        <v>Red Bridge Press</v>
      </c>
      <c r="E455" s="2">
        <f>IFERROR(__xludf.DUMMYFUNCTION("""COMPUTED_VALUE"""),1.52)</f>
        <v>1.52</v>
      </c>
      <c r="F455" s="2"/>
      <c r="G455" s="2"/>
      <c r="H455" s="2"/>
      <c r="I455" s="2"/>
    </row>
    <row r="456">
      <c r="A456" s="2">
        <f>IFERROR(__xludf.DUMMYFUNCTION("""COMPUTED_VALUE"""),120944.0)</f>
        <v>120944</v>
      </c>
      <c r="B456" s="2" t="str">
        <f>IFERROR(__xludf.DUMMYFUNCTION("""COMPUTED_VALUE"""),"Tech")</f>
        <v>Tech</v>
      </c>
      <c r="C456" s="2" t="str">
        <f>IFERROR(__xludf.DUMMYFUNCTION("""COMPUTED_VALUE"""),"Paranormal")</f>
        <v>Paranormal</v>
      </c>
      <c r="D456" s="2" t="str">
        <f>IFERROR(__xludf.DUMMYFUNCTION("""COMPUTED_VALUE"""),"Red Bridge Press")</f>
        <v>Red Bridge Press</v>
      </c>
      <c r="E456" s="2">
        <f>IFERROR(__xludf.DUMMYFUNCTION("""COMPUTED_VALUE"""),3.84)</f>
        <v>3.84</v>
      </c>
      <c r="F456" s="2"/>
      <c r="G456" s="2"/>
      <c r="H456" s="2"/>
      <c r="I456" s="2"/>
    </row>
    <row r="457">
      <c r="A457" s="2">
        <f>IFERROR(__xludf.DUMMYFUNCTION("""COMPUTED_VALUE"""),29320.0)</f>
        <v>29320</v>
      </c>
      <c r="B457" s="2" t="str">
        <f>IFERROR(__xludf.DUMMYFUNCTION("""COMPUTED_VALUE"""),"Tech")</f>
        <v>Tech</v>
      </c>
      <c r="C457" s="2" t="str">
        <f>IFERROR(__xludf.DUMMYFUNCTION("""COMPUTED_VALUE"""),"Paranormal")</f>
        <v>Paranormal</v>
      </c>
      <c r="D457" s="2" t="str">
        <f>IFERROR(__xludf.DUMMYFUNCTION("""COMPUTED_VALUE"""),"Red Bridge Press")</f>
        <v>Red Bridge Press</v>
      </c>
      <c r="E457" s="2">
        <f>IFERROR(__xludf.DUMMYFUNCTION("""COMPUTED_VALUE"""),4.72)</f>
        <v>4.72</v>
      </c>
      <c r="F457" s="2"/>
      <c r="G457" s="2"/>
      <c r="H457" s="2"/>
      <c r="I457" s="2"/>
    </row>
    <row r="458">
      <c r="A458" s="2">
        <f>IFERROR(__xludf.DUMMYFUNCTION("""COMPUTED_VALUE"""),118222.0)</f>
        <v>118222</v>
      </c>
      <c r="B458" s="2" t="str">
        <f>IFERROR(__xludf.DUMMYFUNCTION("""COMPUTED_VALUE"""),"Tech")</f>
        <v>Tech</v>
      </c>
      <c r="C458" s="2" t="str">
        <f>IFERROR(__xludf.DUMMYFUNCTION("""COMPUTED_VALUE"""),"Paranormal")</f>
        <v>Paranormal</v>
      </c>
      <c r="D458" s="2" t="str">
        <f>IFERROR(__xludf.DUMMYFUNCTION("""COMPUTED_VALUE"""),"Red Bridge Press")</f>
        <v>Red Bridge Press</v>
      </c>
      <c r="E458" s="2">
        <f>IFERROR(__xludf.DUMMYFUNCTION("""COMPUTED_VALUE"""),4.15)</f>
        <v>4.15</v>
      </c>
      <c r="F458" s="2"/>
      <c r="G458" s="2"/>
      <c r="H458" s="2"/>
      <c r="I458" s="2"/>
    </row>
    <row r="459">
      <c r="A459" s="2">
        <f>IFERROR(__xludf.DUMMYFUNCTION("""COMPUTED_VALUE"""),108897.0)</f>
        <v>108897</v>
      </c>
      <c r="B459" s="2" t="str">
        <f>IFERROR(__xludf.DUMMYFUNCTION("""COMPUTED_VALUE"""),"Tech")</f>
        <v>Tech</v>
      </c>
      <c r="C459" s="2" t="str">
        <f>IFERROR(__xludf.DUMMYFUNCTION("""COMPUTED_VALUE"""),"Paranormal")</f>
        <v>Paranormal</v>
      </c>
      <c r="D459" s="2" t="str">
        <f>IFERROR(__xludf.DUMMYFUNCTION("""COMPUTED_VALUE"""),"Red Bridge Press")</f>
        <v>Red Bridge Press</v>
      </c>
      <c r="E459" s="2">
        <f>IFERROR(__xludf.DUMMYFUNCTION("""COMPUTED_VALUE"""),1.74)</f>
        <v>1.74</v>
      </c>
      <c r="F459" s="2"/>
      <c r="G459" s="2"/>
      <c r="H459" s="2"/>
      <c r="I459" s="2"/>
    </row>
    <row r="460">
      <c r="A460" s="2">
        <f>IFERROR(__xludf.DUMMYFUNCTION("""COMPUTED_VALUE"""),101565.0)</f>
        <v>101565</v>
      </c>
      <c r="B460" s="2" t="str">
        <f>IFERROR(__xludf.DUMMYFUNCTION("""COMPUTED_VALUE"""),"Tech")</f>
        <v>Tech</v>
      </c>
      <c r="C460" s="2" t="str">
        <f>IFERROR(__xludf.DUMMYFUNCTION("""COMPUTED_VALUE"""),"Paranormal")</f>
        <v>Paranormal</v>
      </c>
      <c r="D460" s="2" t="str">
        <f>IFERROR(__xludf.DUMMYFUNCTION("""COMPUTED_VALUE"""),"Red Bridge Press")</f>
        <v>Red Bridge Press</v>
      </c>
      <c r="E460" s="2">
        <f>IFERROR(__xludf.DUMMYFUNCTION("""COMPUTED_VALUE"""),1.65)</f>
        <v>1.65</v>
      </c>
      <c r="F460" s="2"/>
      <c r="G460" s="2"/>
      <c r="H460" s="2"/>
      <c r="I460" s="2"/>
    </row>
    <row r="461">
      <c r="A461" s="2">
        <f>IFERROR(__xludf.DUMMYFUNCTION("""COMPUTED_VALUE"""),29319.0)</f>
        <v>29319</v>
      </c>
      <c r="B461" s="2" t="str">
        <f>IFERROR(__xludf.DUMMYFUNCTION("""COMPUTED_VALUE"""),"Tech")</f>
        <v>Tech</v>
      </c>
      <c r="C461" s="2" t="str">
        <f>IFERROR(__xludf.DUMMYFUNCTION("""COMPUTED_VALUE"""),"Paranormal")</f>
        <v>Paranormal</v>
      </c>
      <c r="D461" s="2" t="str">
        <f>IFERROR(__xludf.DUMMYFUNCTION("""COMPUTED_VALUE"""),"Red Bridge Press")</f>
        <v>Red Bridge Press</v>
      </c>
      <c r="E461" s="2">
        <f>IFERROR(__xludf.DUMMYFUNCTION("""COMPUTED_VALUE"""),4.74)</f>
        <v>4.74</v>
      </c>
      <c r="F461" s="2"/>
      <c r="G461" s="2"/>
      <c r="H461" s="2"/>
      <c r="I461" s="2"/>
    </row>
    <row r="462">
      <c r="A462" s="2">
        <f>IFERROR(__xludf.DUMMYFUNCTION("""COMPUTED_VALUE"""),96444.0)</f>
        <v>96444</v>
      </c>
      <c r="B462" s="2" t="str">
        <f>IFERROR(__xludf.DUMMYFUNCTION("""COMPUTED_VALUE"""),"Tech")</f>
        <v>Tech</v>
      </c>
      <c r="C462" s="2" t="str">
        <f>IFERROR(__xludf.DUMMYFUNCTION("""COMPUTED_VALUE"""),"Paranormal")</f>
        <v>Paranormal</v>
      </c>
      <c r="D462" s="2" t="str">
        <f>IFERROR(__xludf.DUMMYFUNCTION("""COMPUTED_VALUE"""),"Red Bridge Press")</f>
        <v>Red Bridge Press</v>
      </c>
      <c r="E462" s="2">
        <f>IFERROR(__xludf.DUMMYFUNCTION("""COMPUTED_VALUE"""),2.97)</f>
        <v>2.97</v>
      </c>
      <c r="F462" s="2"/>
      <c r="G462" s="2"/>
      <c r="H462" s="2"/>
      <c r="I462" s="2"/>
    </row>
    <row r="463">
      <c r="A463" s="2">
        <f>IFERROR(__xludf.DUMMYFUNCTION("""COMPUTED_VALUE"""),101557.0)</f>
        <v>101557</v>
      </c>
      <c r="B463" s="2" t="str">
        <f>IFERROR(__xludf.DUMMYFUNCTION("""COMPUTED_VALUE"""),"Tech")</f>
        <v>Tech</v>
      </c>
      <c r="C463" s="2" t="str">
        <f>IFERROR(__xludf.DUMMYFUNCTION("""COMPUTED_VALUE"""),"Paranormal")</f>
        <v>Paranormal</v>
      </c>
      <c r="D463" s="2" t="str">
        <f>IFERROR(__xludf.DUMMYFUNCTION("""COMPUTED_VALUE"""),"Red Bridge Press")</f>
        <v>Red Bridge Press</v>
      </c>
      <c r="E463" s="2">
        <f>IFERROR(__xludf.DUMMYFUNCTION("""COMPUTED_VALUE"""),5.2)</f>
        <v>5.2</v>
      </c>
      <c r="F463" s="2"/>
      <c r="G463" s="2"/>
      <c r="H463" s="2"/>
      <c r="I463" s="2"/>
    </row>
    <row r="464">
      <c r="A464" s="2">
        <f>IFERROR(__xludf.DUMMYFUNCTION("""COMPUTED_VALUE"""),103610.0)</f>
        <v>103610</v>
      </c>
      <c r="B464" s="2" t="str">
        <f>IFERROR(__xludf.DUMMYFUNCTION("""COMPUTED_VALUE"""),"Tech")</f>
        <v>Tech</v>
      </c>
      <c r="C464" s="2" t="str">
        <f>IFERROR(__xludf.DUMMYFUNCTION("""COMPUTED_VALUE"""),"Paranormal")</f>
        <v>Paranormal</v>
      </c>
      <c r="D464" s="2" t="str">
        <f>IFERROR(__xludf.DUMMYFUNCTION("""COMPUTED_VALUE"""),"Red Bridge Press")</f>
        <v>Red Bridge Press</v>
      </c>
      <c r="E464" s="2">
        <f>IFERROR(__xludf.DUMMYFUNCTION("""COMPUTED_VALUE"""),1.37)</f>
        <v>1.37</v>
      </c>
      <c r="F464" s="2"/>
      <c r="G464" s="2"/>
      <c r="H464" s="2"/>
      <c r="I464" s="2"/>
    </row>
    <row r="465">
      <c r="A465" s="2">
        <f>IFERROR(__xludf.DUMMYFUNCTION("""COMPUTED_VALUE"""),181195.0)</f>
        <v>181195</v>
      </c>
      <c r="B465" s="2" t="str">
        <f>IFERROR(__xludf.DUMMYFUNCTION("""COMPUTED_VALUE"""),"Tech")</f>
        <v>Tech</v>
      </c>
      <c r="C465" s="2" t="str">
        <f>IFERROR(__xludf.DUMMYFUNCTION("""COMPUTED_VALUE"""),"Paranormal")</f>
        <v>Paranormal</v>
      </c>
      <c r="D465" s="2" t="str">
        <f>IFERROR(__xludf.DUMMYFUNCTION("""COMPUTED_VALUE"""),"Red Bridge Press")</f>
        <v>Red Bridge Press</v>
      </c>
      <c r="E465" s="2">
        <f>IFERROR(__xludf.DUMMYFUNCTION("""COMPUTED_VALUE"""),4.38)</f>
        <v>4.38</v>
      </c>
      <c r="F465" s="2"/>
      <c r="G465" s="2"/>
      <c r="H465" s="2"/>
      <c r="I465" s="2"/>
    </row>
    <row r="466">
      <c r="A466" s="2">
        <f>IFERROR(__xludf.DUMMYFUNCTION("""COMPUTED_VALUE"""),12639.0)</f>
        <v>12639</v>
      </c>
      <c r="B466" s="2" t="str">
        <f>IFERROR(__xludf.DUMMYFUNCTION("""COMPUTED_VALUE"""),"Tech")</f>
        <v>Tech</v>
      </c>
      <c r="C466" s="2" t="str">
        <f>IFERROR(__xludf.DUMMYFUNCTION("""COMPUTED_VALUE"""),"Paranormal")</f>
        <v>Paranormal</v>
      </c>
      <c r="D466" s="2" t="str">
        <f>IFERROR(__xludf.DUMMYFUNCTION("""COMPUTED_VALUE"""),"Red Bridge Press")</f>
        <v>Red Bridge Press</v>
      </c>
      <c r="E466" s="2">
        <f>IFERROR(__xludf.DUMMYFUNCTION("""COMPUTED_VALUE"""),2.57)</f>
        <v>2.57</v>
      </c>
      <c r="F466" s="2"/>
      <c r="G466" s="2"/>
      <c r="H466" s="2"/>
      <c r="I466" s="2"/>
    </row>
    <row r="467">
      <c r="A467" s="2">
        <f>IFERROR(__xludf.DUMMYFUNCTION("""COMPUTED_VALUE"""),158464.0)</f>
        <v>158464</v>
      </c>
      <c r="B467" s="2" t="str">
        <f>IFERROR(__xludf.DUMMYFUNCTION("""COMPUTED_VALUE"""),"Tech")</f>
        <v>Tech</v>
      </c>
      <c r="C467" s="2" t="str">
        <f>IFERROR(__xludf.DUMMYFUNCTION("""COMPUTED_VALUE"""),"Paranormal")</f>
        <v>Paranormal</v>
      </c>
      <c r="D467" s="2" t="str">
        <f>IFERROR(__xludf.DUMMYFUNCTION("""COMPUTED_VALUE"""),"Red Bridge Press")</f>
        <v>Red Bridge Press</v>
      </c>
      <c r="E467" s="2">
        <f>IFERROR(__xludf.DUMMYFUNCTION("""COMPUTED_VALUE"""),2.15)</f>
        <v>2.15</v>
      </c>
      <c r="F467" s="2"/>
      <c r="G467" s="2"/>
      <c r="H467" s="2"/>
      <c r="I467" s="2"/>
    </row>
    <row r="468">
      <c r="A468" s="2">
        <f>IFERROR(__xludf.DUMMYFUNCTION("""COMPUTED_VALUE"""),116525.0)</f>
        <v>116525</v>
      </c>
      <c r="B468" s="2" t="str">
        <f>IFERROR(__xludf.DUMMYFUNCTION("""COMPUTED_VALUE"""),"Tech")</f>
        <v>Tech</v>
      </c>
      <c r="C468" s="2" t="str">
        <f>IFERROR(__xludf.DUMMYFUNCTION("""COMPUTED_VALUE"""),"Paranormal")</f>
        <v>Paranormal</v>
      </c>
      <c r="D468" s="2" t="str">
        <f>IFERROR(__xludf.DUMMYFUNCTION("""COMPUTED_VALUE"""),"Red Bridge Press")</f>
        <v>Red Bridge Press</v>
      </c>
      <c r="E468" s="2">
        <f>IFERROR(__xludf.DUMMYFUNCTION("""COMPUTED_VALUE"""),0.94)</f>
        <v>0.94</v>
      </c>
      <c r="F468" s="2"/>
      <c r="G468" s="2"/>
      <c r="H468" s="2"/>
      <c r="I468" s="2"/>
    </row>
    <row r="469">
      <c r="A469" s="2">
        <f>IFERROR(__xludf.DUMMYFUNCTION("""COMPUTED_VALUE"""),116295.0)</f>
        <v>116295</v>
      </c>
      <c r="B469" s="2" t="str">
        <f>IFERROR(__xludf.DUMMYFUNCTION("""COMPUTED_VALUE"""),"Tech")</f>
        <v>Tech</v>
      </c>
      <c r="C469" s="2" t="str">
        <f>IFERROR(__xludf.DUMMYFUNCTION("""COMPUTED_VALUE"""),"Paranormal")</f>
        <v>Paranormal</v>
      </c>
      <c r="D469" s="2" t="str">
        <f>IFERROR(__xludf.DUMMYFUNCTION("""COMPUTED_VALUE"""),"Red Bridge Press")</f>
        <v>Red Bridge Press</v>
      </c>
      <c r="E469" s="2">
        <f>IFERROR(__xludf.DUMMYFUNCTION("""COMPUTED_VALUE"""),1.82)</f>
        <v>1.82</v>
      </c>
      <c r="F469" s="2"/>
      <c r="G469" s="2"/>
      <c r="H469" s="2"/>
      <c r="I469" s="2"/>
    </row>
    <row r="470">
      <c r="A470" s="2">
        <f>IFERROR(__xludf.DUMMYFUNCTION("""COMPUTED_VALUE"""),116297.0)</f>
        <v>116297</v>
      </c>
      <c r="B470" s="2" t="str">
        <f>IFERROR(__xludf.DUMMYFUNCTION("""COMPUTED_VALUE"""),"Tech")</f>
        <v>Tech</v>
      </c>
      <c r="C470" s="2" t="str">
        <f>IFERROR(__xludf.DUMMYFUNCTION("""COMPUTED_VALUE"""),"Paranormal")</f>
        <v>Paranormal</v>
      </c>
      <c r="D470" s="2" t="str">
        <f>IFERROR(__xludf.DUMMYFUNCTION("""COMPUTED_VALUE"""),"Red Bridge Press")</f>
        <v>Red Bridge Press</v>
      </c>
      <c r="E470" s="2">
        <f>IFERROR(__xludf.DUMMYFUNCTION("""COMPUTED_VALUE"""),1.67)</f>
        <v>1.67</v>
      </c>
      <c r="F470" s="2"/>
      <c r="G470" s="2"/>
      <c r="H470" s="2"/>
      <c r="I470" s="2"/>
    </row>
    <row r="471">
      <c r="A471" s="2">
        <f>IFERROR(__xludf.DUMMYFUNCTION("""COMPUTED_VALUE"""),11421.0)</f>
        <v>11421</v>
      </c>
      <c r="B471" s="2" t="str">
        <f>IFERROR(__xludf.DUMMYFUNCTION("""COMPUTED_VALUE"""),"Tech")</f>
        <v>Tech</v>
      </c>
      <c r="C471" s="2" t="str">
        <f>IFERROR(__xludf.DUMMYFUNCTION("""COMPUTED_VALUE"""),"Paranormal")</f>
        <v>Paranormal</v>
      </c>
      <c r="D471" s="2" t="str">
        <f>IFERROR(__xludf.DUMMYFUNCTION("""COMPUTED_VALUE"""),"Red Bridge Press")</f>
        <v>Red Bridge Press</v>
      </c>
      <c r="E471" s="2">
        <f>IFERROR(__xludf.DUMMYFUNCTION("""COMPUTED_VALUE"""),5.73)</f>
        <v>5.73</v>
      </c>
      <c r="F471" s="2"/>
      <c r="G471" s="2"/>
      <c r="H471" s="2"/>
      <c r="I471" s="2"/>
    </row>
    <row r="472">
      <c r="A472" s="2">
        <f>IFERROR(__xludf.DUMMYFUNCTION("""COMPUTED_VALUE"""),101549.0)</f>
        <v>101549</v>
      </c>
      <c r="B472" s="2" t="str">
        <f>IFERROR(__xludf.DUMMYFUNCTION("""COMPUTED_VALUE"""),"Tech")</f>
        <v>Tech</v>
      </c>
      <c r="C472" s="2" t="str">
        <f>IFERROR(__xludf.DUMMYFUNCTION("""COMPUTED_VALUE"""),"Paranormal")</f>
        <v>Paranormal</v>
      </c>
      <c r="D472" s="2" t="str">
        <f>IFERROR(__xludf.DUMMYFUNCTION("""COMPUTED_VALUE"""),"Red Bridge Press")</f>
        <v>Red Bridge Press</v>
      </c>
      <c r="E472" s="2">
        <f>IFERROR(__xludf.DUMMYFUNCTION("""COMPUTED_VALUE"""),2.05)</f>
        <v>2.05</v>
      </c>
      <c r="F472" s="2"/>
      <c r="G472" s="2"/>
      <c r="H472" s="2"/>
      <c r="I472" s="2"/>
    </row>
    <row r="473">
      <c r="A473" s="2">
        <f>IFERROR(__xludf.DUMMYFUNCTION("""COMPUTED_VALUE"""),109543.0)</f>
        <v>109543</v>
      </c>
      <c r="B473" s="2" t="str">
        <f>IFERROR(__xludf.DUMMYFUNCTION("""COMPUTED_VALUE"""),"Tech")</f>
        <v>Tech</v>
      </c>
      <c r="C473" s="2" t="str">
        <f>IFERROR(__xludf.DUMMYFUNCTION("""COMPUTED_VALUE"""),"Paranormal")</f>
        <v>Paranormal</v>
      </c>
      <c r="D473" s="2" t="str">
        <f>IFERROR(__xludf.DUMMYFUNCTION("""COMPUTED_VALUE"""),"Red Bridge Press")</f>
        <v>Red Bridge Press</v>
      </c>
      <c r="E473" s="2">
        <f>IFERROR(__xludf.DUMMYFUNCTION("""COMPUTED_VALUE"""),2.34)</f>
        <v>2.34</v>
      </c>
      <c r="F473" s="2"/>
      <c r="G473" s="2"/>
      <c r="H473" s="2"/>
      <c r="I473" s="2"/>
    </row>
    <row r="474">
      <c r="A474" s="2">
        <f>IFERROR(__xludf.DUMMYFUNCTION("""COMPUTED_VALUE"""),79318.0)</f>
        <v>79318</v>
      </c>
      <c r="B474" s="2" t="str">
        <f>IFERROR(__xludf.DUMMYFUNCTION("""COMPUTED_VALUE"""),"Tech")</f>
        <v>Tech</v>
      </c>
      <c r="C474" s="2" t="str">
        <f>IFERROR(__xludf.DUMMYFUNCTION("""COMPUTED_VALUE"""),"Paranormal")</f>
        <v>Paranormal</v>
      </c>
      <c r="D474" s="2" t="str">
        <f>IFERROR(__xludf.DUMMYFUNCTION("""COMPUTED_VALUE"""),"Red Bridge Press")</f>
        <v>Red Bridge Press</v>
      </c>
      <c r="E474" s="2">
        <f>IFERROR(__xludf.DUMMYFUNCTION("""COMPUTED_VALUE"""),4.48)</f>
        <v>4.48</v>
      </c>
      <c r="F474" s="2"/>
      <c r="G474" s="2"/>
      <c r="H474" s="2"/>
      <c r="I474" s="2"/>
    </row>
    <row r="475">
      <c r="A475" s="2">
        <f>IFERROR(__xludf.DUMMYFUNCTION("""COMPUTED_VALUE"""),2203.0)</f>
        <v>2203</v>
      </c>
      <c r="B475" s="2" t="str">
        <f>IFERROR(__xludf.DUMMYFUNCTION("""COMPUTED_VALUE"""),"Tech")</f>
        <v>Tech</v>
      </c>
      <c r="C475" s="2" t="str">
        <f>IFERROR(__xludf.DUMMYFUNCTION("""COMPUTED_VALUE"""),"Paranormal")</f>
        <v>Paranormal</v>
      </c>
      <c r="D475" s="2" t="str">
        <f>IFERROR(__xludf.DUMMYFUNCTION("""COMPUTED_VALUE"""),"Red Bridge Press")</f>
        <v>Red Bridge Press</v>
      </c>
      <c r="E475" s="2">
        <f>IFERROR(__xludf.DUMMYFUNCTION("""COMPUTED_VALUE"""),2.64)</f>
        <v>2.64</v>
      </c>
      <c r="F475" s="2"/>
      <c r="G475" s="2"/>
      <c r="H475" s="2"/>
      <c r="I475" s="2"/>
    </row>
    <row r="476">
      <c r="A476" s="2">
        <f>IFERROR(__xludf.DUMMYFUNCTION("""COMPUTED_VALUE"""),111727.0)</f>
        <v>111727</v>
      </c>
      <c r="B476" s="2" t="str">
        <f>IFERROR(__xludf.DUMMYFUNCTION("""COMPUTED_VALUE"""),"Tech")</f>
        <v>Tech</v>
      </c>
      <c r="C476" s="2" t="str">
        <f>IFERROR(__xludf.DUMMYFUNCTION("""COMPUTED_VALUE"""),"Paranormal")</f>
        <v>Paranormal</v>
      </c>
      <c r="D476" s="2" t="str">
        <f>IFERROR(__xludf.DUMMYFUNCTION("""COMPUTED_VALUE"""),"Red Bridge Press")</f>
        <v>Red Bridge Press</v>
      </c>
      <c r="E476" s="2">
        <f>IFERROR(__xludf.DUMMYFUNCTION("""COMPUTED_VALUE"""),6.28)</f>
        <v>6.28</v>
      </c>
      <c r="F476" s="2"/>
      <c r="G476" s="2"/>
      <c r="H476" s="2"/>
      <c r="I476" s="2"/>
    </row>
    <row r="477">
      <c r="A477" s="2">
        <f>IFERROR(__xludf.DUMMYFUNCTION("""COMPUTED_VALUE"""),118151.0)</f>
        <v>118151</v>
      </c>
      <c r="B477" s="2" t="str">
        <f>IFERROR(__xludf.DUMMYFUNCTION("""COMPUTED_VALUE"""),"Tech")</f>
        <v>Tech</v>
      </c>
      <c r="C477" s="2" t="str">
        <f>IFERROR(__xludf.DUMMYFUNCTION("""COMPUTED_VALUE"""),"Paranormal")</f>
        <v>Paranormal</v>
      </c>
      <c r="D477" s="2" t="str">
        <f>IFERROR(__xludf.DUMMYFUNCTION("""COMPUTED_VALUE"""),"Red Bridge Press")</f>
        <v>Red Bridge Press</v>
      </c>
      <c r="E477" s="2">
        <f>IFERROR(__xludf.DUMMYFUNCTION("""COMPUTED_VALUE"""),1.4)</f>
        <v>1.4</v>
      </c>
      <c r="F477" s="2"/>
      <c r="G477" s="2"/>
      <c r="H477" s="2"/>
      <c r="I477" s="2"/>
    </row>
    <row r="478">
      <c r="A478" s="2">
        <f>IFERROR(__xludf.DUMMYFUNCTION("""COMPUTED_VALUE"""),108888.0)</f>
        <v>108888</v>
      </c>
      <c r="B478" s="2" t="str">
        <f>IFERROR(__xludf.DUMMYFUNCTION("""COMPUTED_VALUE"""),"Tech")</f>
        <v>Tech</v>
      </c>
      <c r="C478" s="2" t="str">
        <f>IFERROR(__xludf.DUMMYFUNCTION("""COMPUTED_VALUE"""),"Paranormal")</f>
        <v>Paranormal</v>
      </c>
      <c r="D478" s="2" t="str">
        <f>IFERROR(__xludf.DUMMYFUNCTION("""COMPUTED_VALUE"""),"Red Bridge Press")</f>
        <v>Red Bridge Press</v>
      </c>
      <c r="E478" s="2">
        <f>IFERROR(__xludf.DUMMYFUNCTION("""COMPUTED_VALUE"""),2.81)</f>
        <v>2.81</v>
      </c>
      <c r="F478" s="2"/>
      <c r="G478" s="2"/>
      <c r="H478" s="2"/>
      <c r="I478" s="2"/>
    </row>
    <row r="479">
      <c r="A479" s="2">
        <f>IFERROR(__xludf.DUMMYFUNCTION("""COMPUTED_VALUE"""),120465.0)</f>
        <v>120465</v>
      </c>
      <c r="B479" s="2" t="str">
        <f>IFERROR(__xludf.DUMMYFUNCTION("""COMPUTED_VALUE"""),"Tech")</f>
        <v>Tech</v>
      </c>
      <c r="C479" s="2" t="str">
        <f>IFERROR(__xludf.DUMMYFUNCTION("""COMPUTED_VALUE"""),"Paranormal")</f>
        <v>Paranormal</v>
      </c>
      <c r="D479" s="2" t="str">
        <f>IFERROR(__xludf.DUMMYFUNCTION("""COMPUTED_VALUE"""),"Red Bridge Press")</f>
        <v>Red Bridge Press</v>
      </c>
      <c r="E479" s="2">
        <f>IFERROR(__xludf.DUMMYFUNCTION("""COMPUTED_VALUE"""),2.29)</f>
        <v>2.29</v>
      </c>
      <c r="F479" s="2"/>
      <c r="G479" s="2"/>
      <c r="H479" s="2"/>
      <c r="I479" s="2"/>
    </row>
    <row r="480">
      <c r="A480" s="2">
        <f>IFERROR(__xludf.DUMMYFUNCTION("""COMPUTED_VALUE"""),92561.0)</f>
        <v>92561</v>
      </c>
      <c r="B480" s="2" t="str">
        <f>IFERROR(__xludf.DUMMYFUNCTION("""COMPUTED_VALUE"""),"Tech")</f>
        <v>Tech</v>
      </c>
      <c r="C480" s="2" t="str">
        <f>IFERROR(__xludf.DUMMYFUNCTION("""COMPUTED_VALUE"""),"Paranormal")</f>
        <v>Paranormal</v>
      </c>
      <c r="D480" s="2" t="str">
        <f>IFERROR(__xludf.DUMMYFUNCTION("""COMPUTED_VALUE"""),"Red Bridge Press")</f>
        <v>Red Bridge Press</v>
      </c>
      <c r="E480" s="2">
        <f>IFERROR(__xludf.DUMMYFUNCTION("""COMPUTED_VALUE"""),2.25)</f>
        <v>2.25</v>
      </c>
      <c r="F480" s="2"/>
      <c r="G480" s="2"/>
      <c r="H480" s="2"/>
      <c r="I480" s="2"/>
    </row>
    <row r="481">
      <c r="A481" s="2">
        <f>IFERROR(__xludf.DUMMYFUNCTION("""COMPUTED_VALUE"""),150294.0)</f>
        <v>150294</v>
      </c>
      <c r="B481" s="2" t="str">
        <f>IFERROR(__xludf.DUMMYFUNCTION("""COMPUTED_VALUE"""),"Tech")</f>
        <v>Tech</v>
      </c>
      <c r="C481" s="2" t="str">
        <f>IFERROR(__xludf.DUMMYFUNCTION("""COMPUTED_VALUE"""),"Paranormal")</f>
        <v>Paranormal</v>
      </c>
      <c r="D481" s="2" t="str">
        <f>IFERROR(__xludf.DUMMYFUNCTION("""COMPUTED_VALUE"""),"Red Bridge Press")</f>
        <v>Red Bridge Press</v>
      </c>
      <c r="E481" s="2">
        <f>IFERROR(__xludf.DUMMYFUNCTION("""COMPUTED_VALUE"""),5.25)</f>
        <v>5.25</v>
      </c>
      <c r="F481" s="2"/>
      <c r="G481" s="2"/>
      <c r="H481" s="2"/>
      <c r="I481" s="2"/>
    </row>
    <row r="482">
      <c r="A482" s="2">
        <f>IFERROR(__xludf.DUMMYFUNCTION("""COMPUTED_VALUE"""),108895.0)</f>
        <v>108895</v>
      </c>
      <c r="B482" s="2" t="str">
        <f>IFERROR(__xludf.DUMMYFUNCTION("""COMPUTED_VALUE"""),"Tech")</f>
        <v>Tech</v>
      </c>
      <c r="C482" s="2" t="str">
        <f>IFERROR(__xludf.DUMMYFUNCTION("""COMPUTED_VALUE"""),"Paranormal")</f>
        <v>Paranormal</v>
      </c>
      <c r="D482" s="2" t="str">
        <f>IFERROR(__xludf.DUMMYFUNCTION("""COMPUTED_VALUE"""),"Red Bridge Press")</f>
        <v>Red Bridge Press</v>
      </c>
      <c r="E482" s="2">
        <f>IFERROR(__xludf.DUMMYFUNCTION("""COMPUTED_VALUE"""),1.87)</f>
        <v>1.87</v>
      </c>
      <c r="F482" s="2"/>
      <c r="G482" s="2"/>
      <c r="H482" s="2"/>
      <c r="I482" s="2"/>
    </row>
    <row r="483">
      <c r="A483" s="2">
        <f>IFERROR(__xludf.DUMMYFUNCTION("""COMPUTED_VALUE"""),41666.0)</f>
        <v>41666</v>
      </c>
      <c r="B483" s="2" t="str">
        <f>IFERROR(__xludf.DUMMYFUNCTION("""COMPUTED_VALUE"""),"Tech")</f>
        <v>Tech</v>
      </c>
      <c r="C483" s="2" t="str">
        <f>IFERROR(__xludf.DUMMYFUNCTION("""COMPUTED_VALUE"""),"Paranormal")</f>
        <v>Paranormal</v>
      </c>
      <c r="D483" s="2" t="str">
        <f>IFERROR(__xludf.DUMMYFUNCTION("""COMPUTED_VALUE"""),"Red Bridge Press")</f>
        <v>Red Bridge Press</v>
      </c>
      <c r="E483" s="2">
        <f>IFERROR(__xludf.DUMMYFUNCTION("""COMPUTED_VALUE"""),3.32)</f>
        <v>3.32</v>
      </c>
      <c r="F483" s="2"/>
      <c r="G483" s="2"/>
      <c r="H483" s="2"/>
      <c r="I483" s="2"/>
    </row>
    <row r="484">
      <c r="A484" s="2">
        <f>IFERROR(__xludf.DUMMYFUNCTION("""COMPUTED_VALUE"""),41816.0)</f>
        <v>41816</v>
      </c>
      <c r="B484" s="2" t="str">
        <f>IFERROR(__xludf.DUMMYFUNCTION("""COMPUTED_VALUE"""),"Tech")</f>
        <v>Tech</v>
      </c>
      <c r="C484" s="2" t="str">
        <f>IFERROR(__xludf.DUMMYFUNCTION("""COMPUTED_VALUE"""),"Paranormal")</f>
        <v>Paranormal</v>
      </c>
      <c r="D484" s="2" t="str">
        <f>IFERROR(__xludf.DUMMYFUNCTION("""COMPUTED_VALUE"""),"Red Bridge Press")</f>
        <v>Red Bridge Press</v>
      </c>
      <c r="E484" s="2">
        <f>IFERROR(__xludf.DUMMYFUNCTION("""COMPUTED_VALUE"""),2.4)</f>
        <v>2.4</v>
      </c>
      <c r="F484" s="2"/>
      <c r="G484" s="2"/>
      <c r="H484" s="2"/>
      <c r="I484" s="2"/>
    </row>
    <row r="485">
      <c r="A485" s="2">
        <f>IFERROR(__xludf.DUMMYFUNCTION("""COMPUTED_VALUE"""),99779.0)</f>
        <v>99779</v>
      </c>
      <c r="B485" s="2" t="str">
        <f>IFERROR(__xludf.DUMMYFUNCTION("""COMPUTED_VALUE"""),"Tech")</f>
        <v>Tech</v>
      </c>
      <c r="C485" s="2" t="str">
        <f>IFERROR(__xludf.DUMMYFUNCTION("""COMPUTED_VALUE"""),"Paranormal")</f>
        <v>Paranormal</v>
      </c>
      <c r="D485" s="2" t="str">
        <f>IFERROR(__xludf.DUMMYFUNCTION("""COMPUTED_VALUE"""),"Red Bridge Press")</f>
        <v>Red Bridge Press</v>
      </c>
      <c r="E485" s="2">
        <f>IFERROR(__xludf.DUMMYFUNCTION("""COMPUTED_VALUE"""),3.7)</f>
        <v>3.7</v>
      </c>
      <c r="F485" s="2"/>
      <c r="G485" s="2"/>
      <c r="H485" s="2"/>
      <c r="I485" s="2"/>
    </row>
    <row r="486">
      <c r="A486" s="2">
        <f>IFERROR(__xludf.DUMMYFUNCTION("""COMPUTED_VALUE"""),111716.0)</f>
        <v>111716</v>
      </c>
      <c r="B486" s="2" t="str">
        <f>IFERROR(__xludf.DUMMYFUNCTION("""COMPUTED_VALUE"""),"Tech")</f>
        <v>Tech</v>
      </c>
      <c r="C486" s="2" t="str">
        <f>IFERROR(__xludf.DUMMYFUNCTION("""COMPUTED_VALUE"""),"Paranormal")</f>
        <v>Paranormal</v>
      </c>
      <c r="D486" s="2" t="str">
        <f>IFERROR(__xludf.DUMMYFUNCTION("""COMPUTED_VALUE"""),"Red Bridge Press")</f>
        <v>Red Bridge Press</v>
      </c>
      <c r="E486" s="2">
        <f>IFERROR(__xludf.DUMMYFUNCTION("""COMPUTED_VALUE"""),1.1)</f>
        <v>1.1</v>
      </c>
      <c r="F486" s="2"/>
      <c r="G486" s="2"/>
      <c r="H486" s="2"/>
      <c r="I486" s="2"/>
    </row>
    <row r="487">
      <c r="A487" s="2">
        <f>IFERROR(__xludf.DUMMYFUNCTION("""COMPUTED_VALUE"""),96443.0)</f>
        <v>96443</v>
      </c>
      <c r="B487" s="2" t="str">
        <f>IFERROR(__xludf.DUMMYFUNCTION("""COMPUTED_VALUE"""),"Tech")</f>
        <v>Tech</v>
      </c>
      <c r="C487" s="2" t="str">
        <f>IFERROR(__xludf.DUMMYFUNCTION("""COMPUTED_VALUE"""),"Paranormal")</f>
        <v>Paranormal</v>
      </c>
      <c r="D487" s="2" t="str">
        <f>IFERROR(__xludf.DUMMYFUNCTION("""COMPUTED_VALUE"""),"Red Bridge Press")</f>
        <v>Red Bridge Press</v>
      </c>
      <c r="E487" s="2">
        <f>IFERROR(__xludf.DUMMYFUNCTION("""COMPUTED_VALUE"""),2.9)</f>
        <v>2.9</v>
      </c>
      <c r="F487" s="2"/>
      <c r="G487" s="2"/>
      <c r="H487" s="2"/>
      <c r="I487" s="2"/>
    </row>
    <row r="488">
      <c r="A488" s="2">
        <f>IFERROR(__xludf.DUMMYFUNCTION("""COMPUTED_VALUE"""),193187.0)</f>
        <v>193187</v>
      </c>
      <c r="B488" s="2" t="str">
        <f>IFERROR(__xludf.DUMMYFUNCTION("""COMPUTED_VALUE"""),"Tech")</f>
        <v>Tech</v>
      </c>
      <c r="C488" s="2" t="str">
        <f>IFERROR(__xludf.DUMMYFUNCTION("""COMPUTED_VALUE"""),"Paranormal")</f>
        <v>Paranormal</v>
      </c>
      <c r="D488" s="2" t="str">
        <f>IFERROR(__xludf.DUMMYFUNCTION("""COMPUTED_VALUE"""),"Red Bridge Press")</f>
        <v>Red Bridge Press</v>
      </c>
      <c r="E488" s="2">
        <f>IFERROR(__xludf.DUMMYFUNCTION("""COMPUTED_VALUE"""),2.02)</f>
        <v>2.02</v>
      </c>
      <c r="F488" s="2"/>
      <c r="G488" s="2"/>
      <c r="H488" s="2"/>
      <c r="I488" s="2"/>
    </row>
    <row r="489">
      <c r="A489" s="2">
        <f>IFERROR(__xludf.DUMMYFUNCTION("""COMPUTED_VALUE"""),96068.0)</f>
        <v>96068</v>
      </c>
      <c r="B489" s="2" t="str">
        <f>IFERROR(__xludf.DUMMYFUNCTION("""COMPUTED_VALUE"""),"Tech")</f>
        <v>Tech</v>
      </c>
      <c r="C489" s="2" t="str">
        <f>IFERROR(__xludf.DUMMYFUNCTION("""COMPUTED_VALUE"""),"Paranormal")</f>
        <v>Paranormal</v>
      </c>
      <c r="D489" s="2" t="str">
        <f>IFERROR(__xludf.DUMMYFUNCTION("""COMPUTED_VALUE"""),"Red Bridge Press")</f>
        <v>Red Bridge Press</v>
      </c>
      <c r="E489" s="2">
        <f>IFERROR(__xludf.DUMMYFUNCTION("""COMPUTED_VALUE"""),3.49)</f>
        <v>3.49</v>
      </c>
      <c r="F489" s="2"/>
      <c r="G489" s="2"/>
      <c r="H489" s="2"/>
      <c r="I489" s="2"/>
    </row>
    <row r="490">
      <c r="A490" s="2">
        <f>IFERROR(__xludf.DUMMYFUNCTION("""COMPUTED_VALUE"""),3227.0)</f>
        <v>3227</v>
      </c>
      <c r="B490" s="2" t="str">
        <f>IFERROR(__xludf.DUMMYFUNCTION("""COMPUTED_VALUE"""),"Tech")</f>
        <v>Tech</v>
      </c>
      <c r="C490" s="2" t="str">
        <f>IFERROR(__xludf.DUMMYFUNCTION("""COMPUTED_VALUE"""),"Paranormal")</f>
        <v>Paranormal</v>
      </c>
      <c r="D490" s="2" t="str">
        <f>IFERROR(__xludf.DUMMYFUNCTION("""COMPUTED_VALUE"""),"Red Bridge Press")</f>
        <v>Red Bridge Press</v>
      </c>
      <c r="E490" s="2">
        <f>IFERROR(__xludf.DUMMYFUNCTION("""COMPUTED_VALUE"""),3.72)</f>
        <v>3.72</v>
      </c>
      <c r="F490" s="2"/>
      <c r="G490" s="2"/>
      <c r="H490" s="2"/>
      <c r="I490" s="2"/>
    </row>
    <row r="491">
      <c r="A491" s="2">
        <f>IFERROR(__xludf.DUMMYFUNCTION("""COMPUTED_VALUE"""),193183.0)</f>
        <v>193183</v>
      </c>
      <c r="B491" s="2" t="str">
        <f>IFERROR(__xludf.DUMMYFUNCTION("""COMPUTED_VALUE"""),"Tech")</f>
        <v>Tech</v>
      </c>
      <c r="C491" s="2" t="str">
        <f>IFERROR(__xludf.DUMMYFUNCTION("""COMPUTED_VALUE"""),"Paranormal")</f>
        <v>Paranormal</v>
      </c>
      <c r="D491" s="2" t="str">
        <f>IFERROR(__xludf.DUMMYFUNCTION("""COMPUTED_VALUE"""),"Red Bridge Press")</f>
        <v>Red Bridge Press</v>
      </c>
      <c r="E491" s="2">
        <f>IFERROR(__xludf.DUMMYFUNCTION("""COMPUTED_VALUE"""),2.34)</f>
        <v>2.34</v>
      </c>
      <c r="F491" s="2"/>
      <c r="G491" s="2"/>
      <c r="H491" s="2"/>
      <c r="I491" s="2"/>
    </row>
    <row r="492">
      <c r="A492" s="2">
        <f>IFERROR(__xludf.DUMMYFUNCTION("""COMPUTED_VALUE"""),120945.0)</f>
        <v>120945</v>
      </c>
      <c r="B492" s="2" t="str">
        <f>IFERROR(__xludf.DUMMYFUNCTION("""COMPUTED_VALUE"""),"Tech")</f>
        <v>Tech</v>
      </c>
      <c r="C492" s="2" t="str">
        <f>IFERROR(__xludf.DUMMYFUNCTION("""COMPUTED_VALUE"""),"Paranormal")</f>
        <v>Paranormal</v>
      </c>
      <c r="D492" s="2" t="str">
        <f>IFERROR(__xludf.DUMMYFUNCTION("""COMPUTED_VALUE"""),"Red Bridge Press")</f>
        <v>Red Bridge Press</v>
      </c>
      <c r="E492" s="2">
        <f>IFERROR(__xludf.DUMMYFUNCTION("""COMPUTED_VALUE"""),3.49)</f>
        <v>3.49</v>
      </c>
      <c r="F492" s="2"/>
      <c r="G492" s="2"/>
      <c r="H492" s="2"/>
      <c r="I492" s="2"/>
    </row>
    <row r="493">
      <c r="A493" s="2">
        <f>IFERROR(__xludf.DUMMYFUNCTION("""COMPUTED_VALUE"""),110940.0)</f>
        <v>110940</v>
      </c>
      <c r="B493" s="2" t="str">
        <f>IFERROR(__xludf.DUMMYFUNCTION("""COMPUTED_VALUE"""),"Tech")</f>
        <v>Tech</v>
      </c>
      <c r="C493" s="2" t="str">
        <f>IFERROR(__xludf.DUMMYFUNCTION("""COMPUTED_VALUE"""),"Paranormal")</f>
        <v>Paranormal</v>
      </c>
      <c r="D493" s="2" t="str">
        <f>IFERROR(__xludf.DUMMYFUNCTION("""COMPUTED_VALUE"""),"Highland Peak Publishing")</f>
        <v>Highland Peak Publishing</v>
      </c>
      <c r="E493" s="2">
        <f>IFERROR(__xludf.DUMMYFUNCTION("""COMPUTED_VALUE"""),9.12)</f>
        <v>9.12</v>
      </c>
      <c r="F493" s="2"/>
      <c r="G493" s="2"/>
      <c r="H493" s="2"/>
      <c r="I493" s="2"/>
    </row>
    <row r="494">
      <c r="A494" s="2">
        <f>IFERROR(__xludf.DUMMYFUNCTION("""COMPUTED_VALUE"""),110942.0)</f>
        <v>110942</v>
      </c>
      <c r="B494" s="2" t="str">
        <f>IFERROR(__xludf.DUMMYFUNCTION("""COMPUTED_VALUE"""),"Tech")</f>
        <v>Tech</v>
      </c>
      <c r="C494" s="2" t="str">
        <f>IFERROR(__xludf.DUMMYFUNCTION("""COMPUTED_VALUE"""),"Paranormal")</f>
        <v>Paranormal</v>
      </c>
      <c r="D494" s="2" t="str">
        <f>IFERROR(__xludf.DUMMYFUNCTION("""COMPUTED_VALUE"""),"Highland Peak Publishing")</f>
        <v>Highland Peak Publishing</v>
      </c>
      <c r="E494" s="2">
        <f>IFERROR(__xludf.DUMMYFUNCTION("""COMPUTED_VALUE"""),9.53)</f>
        <v>9.53</v>
      </c>
      <c r="F494" s="2"/>
      <c r="G494" s="2"/>
      <c r="H494" s="2"/>
      <c r="I494" s="2"/>
    </row>
    <row r="495">
      <c r="A495" s="2">
        <f>IFERROR(__xludf.DUMMYFUNCTION("""COMPUTED_VALUE"""),142301.0)</f>
        <v>142301</v>
      </c>
      <c r="B495" s="2" t="str">
        <f>IFERROR(__xludf.DUMMYFUNCTION("""COMPUTED_VALUE"""),"Tech")</f>
        <v>Tech</v>
      </c>
      <c r="C495" s="2" t="str">
        <f>IFERROR(__xludf.DUMMYFUNCTION("""COMPUTED_VALUE"""),"Paranormal")</f>
        <v>Paranormal</v>
      </c>
      <c r="D495" s="2" t="str">
        <f>IFERROR(__xludf.DUMMYFUNCTION("""COMPUTED_VALUE"""),"Highland Peak Publishing")</f>
        <v>Highland Peak Publishing</v>
      </c>
      <c r="E495" s="2">
        <f>IFERROR(__xludf.DUMMYFUNCTION("""COMPUTED_VALUE"""),11.77)</f>
        <v>11.77</v>
      </c>
      <c r="F495" s="2"/>
      <c r="G495" s="2"/>
      <c r="H495" s="2"/>
      <c r="I495" s="2"/>
    </row>
    <row r="496">
      <c r="A496" s="2">
        <f>IFERROR(__xludf.DUMMYFUNCTION("""COMPUTED_VALUE"""),109760.0)</f>
        <v>109760</v>
      </c>
      <c r="B496" s="2" t="str">
        <f>IFERROR(__xludf.DUMMYFUNCTION("""COMPUTED_VALUE"""),"Tech")</f>
        <v>Tech</v>
      </c>
      <c r="C496" s="2" t="str">
        <f>IFERROR(__xludf.DUMMYFUNCTION("""COMPUTED_VALUE"""),"Paranormal")</f>
        <v>Paranormal</v>
      </c>
      <c r="D496" s="2" t="str">
        <f>IFERROR(__xludf.DUMMYFUNCTION("""COMPUTED_VALUE"""),"Silver Ridge Books")</f>
        <v>Silver Ridge Books</v>
      </c>
      <c r="E496" s="2">
        <f>IFERROR(__xludf.DUMMYFUNCTION("""COMPUTED_VALUE"""),11.6)</f>
        <v>11.6</v>
      </c>
      <c r="F496" s="2"/>
      <c r="G496" s="2"/>
      <c r="H496" s="2"/>
      <c r="I496" s="2"/>
    </row>
    <row r="497">
      <c r="A497" s="2">
        <f>IFERROR(__xludf.DUMMYFUNCTION("""COMPUTED_VALUE"""),100392.0)</f>
        <v>100392</v>
      </c>
      <c r="B497" s="2" t="str">
        <f>IFERROR(__xludf.DUMMYFUNCTION("""COMPUTED_VALUE"""),"Tech")</f>
        <v>Tech</v>
      </c>
      <c r="C497" s="2" t="str">
        <f>IFERROR(__xludf.DUMMYFUNCTION("""COMPUTED_VALUE"""),"Paranormal")</f>
        <v>Paranormal</v>
      </c>
      <c r="D497" s="2" t="str">
        <f>IFERROR(__xludf.DUMMYFUNCTION("""COMPUTED_VALUE"""),"Silver Ridge Books")</f>
        <v>Silver Ridge Books</v>
      </c>
      <c r="E497" s="2">
        <f>IFERROR(__xludf.DUMMYFUNCTION("""COMPUTED_VALUE"""),3.72)</f>
        <v>3.72</v>
      </c>
      <c r="F497" s="2"/>
      <c r="G497" s="2"/>
      <c r="H497" s="2"/>
      <c r="I497" s="2"/>
    </row>
    <row r="498">
      <c r="A498" s="2">
        <f>IFERROR(__xludf.DUMMYFUNCTION("""COMPUTED_VALUE"""),109763.0)</f>
        <v>109763</v>
      </c>
      <c r="B498" s="2" t="str">
        <f>IFERROR(__xludf.DUMMYFUNCTION("""COMPUTED_VALUE"""),"Tech")</f>
        <v>Tech</v>
      </c>
      <c r="C498" s="2" t="str">
        <f>IFERROR(__xludf.DUMMYFUNCTION("""COMPUTED_VALUE"""),"Paranormal")</f>
        <v>Paranormal</v>
      </c>
      <c r="D498" s="2" t="str">
        <f>IFERROR(__xludf.DUMMYFUNCTION("""COMPUTED_VALUE"""),"Silver Ridge Books")</f>
        <v>Silver Ridge Books</v>
      </c>
      <c r="E498" s="2">
        <f>IFERROR(__xludf.DUMMYFUNCTION("""COMPUTED_VALUE"""),12.19)</f>
        <v>12.19</v>
      </c>
      <c r="F498" s="2"/>
      <c r="G498" s="2"/>
      <c r="H498" s="2"/>
      <c r="I498" s="2"/>
    </row>
    <row r="499">
      <c r="A499" s="2">
        <f>IFERROR(__xludf.DUMMYFUNCTION("""COMPUTED_VALUE"""),7271.0)</f>
        <v>7271</v>
      </c>
      <c r="B499" s="2" t="str">
        <f>IFERROR(__xludf.DUMMYFUNCTION("""COMPUTED_VALUE"""),"Tech")</f>
        <v>Tech</v>
      </c>
      <c r="C499" s="2" t="str">
        <f>IFERROR(__xludf.DUMMYFUNCTION("""COMPUTED_VALUE"""),"Paranormal")</f>
        <v>Paranormal</v>
      </c>
      <c r="D499" s="2" t="str">
        <f>IFERROR(__xludf.DUMMYFUNCTION("""COMPUTED_VALUE"""),"Silver Ridge Books")</f>
        <v>Silver Ridge Books</v>
      </c>
      <c r="E499" s="2">
        <f>IFERROR(__xludf.DUMMYFUNCTION("""COMPUTED_VALUE"""),2.48)</f>
        <v>2.48</v>
      </c>
      <c r="F499" s="2"/>
      <c r="G499" s="2"/>
      <c r="H499" s="2"/>
      <c r="I499" s="2"/>
    </row>
    <row r="500">
      <c r="A500" s="2">
        <f>IFERROR(__xludf.DUMMYFUNCTION("""COMPUTED_VALUE"""),7267.0)</f>
        <v>7267</v>
      </c>
      <c r="B500" s="2" t="str">
        <f>IFERROR(__xludf.DUMMYFUNCTION("""COMPUTED_VALUE"""),"Tech")</f>
        <v>Tech</v>
      </c>
      <c r="C500" s="2" t="str">
        <f>IFERROR(__xludf.DUMMYFUNCTION("""COMPUTED_VALUE"""),"Paranormal")</f>
        <v>Paranormal</v>
      </c>
      <c r="D500" s="2" t="str">
        <f>IFERROR(__xludf.DUMMYFUNCTION("""COMPUTED_VALUE"""),"Silver Ridge Books")</f>
        <v>Silver Ridge Books</v>
      </c>
      <c r="E500" s="2">
        <f>IFERROR(__xludf.DUMMYFUNCTION("""COMPUTED_VALUE"""),1.85)</f>
        <v>1.85</v>
      </c>
      <c r="F500" s="2"/>
      <c r="G500" s="2"/>
      <c r="H500" s="2"/>
      <c r="I500" s="2"/>
    </row>
    <row r="501">
      <c r="A501" s="2">
        <f>IFERROR(__xludf.DUMMYFUNCTION("""COMPUTED_VALUE"""),128412.0)</f>
        <v>128412</v>
      </c>
      <c r="B501" s="2" t="str">
        <f>IFERROR(__xludf.DUMMYFUNCTION("""COMPUTED_VALUE"""),"Tech")</f>
        <v>Tech</v>
      </c>
      <c r="C501" s="2" t="str">
        <f>IFERROR(__xludf.DUMMYFUNCTION("""COMPUTED_VALUE"""),"Paranormal")</f>
        <v>Paranormal</v>
      </c>
      <c r="D501" s="2" t="str">
        <f>IFERROR(__xludf.DUMMYFUNCTION("""COMPUTED_VALUE"""),"Silver Ridge Books")</f>
        <v>Silver Ridge Books</v>
      </c>
      <c r="E501" s="2">
        <f>IFERROR(__xludf.DUMMYFUNCTION("""COMPUTED_VALUE"""),2.61)</f>
        <v>2.61</v>
      </c>
      <c r="F501" s="2"/>
      <c r="G501" s="2"/>
      <c r="H501" s="2"/>
      <c r="I501" s="2"/>
    </row>
    <row r="502">
      <c r="A502" s="2">
        <f>IFERROR(__xludf.DUMMYFUNCTION("""COMPUTED_VALUE"""),7268.0)</f>
        <v>7268</v>
      </c>
      <c r="B502" s="2" t="str">
        <f>IFERROR(__xludf.DUMMYFUNCTION("""COMPUTED_VALUE"""),"Tech")</f>
        <v>Tech</v>
      </c>
      <c r="C502" s="2" t="str">
        <f>IFERROR(__xludf.DUMMYFUNCTION("""COMPUTED_VALUE"""),"Paranormal")</f>
        <v>Paranormal</v>
      </c>
      <c r="D502" s="2" t="str">
        <f>IFERROR(__xludf.DUMMYFUNCTION("""COMPUTED_VALUE"""),"Silver Ridge Books")</f>
        <v>Silver Ridge Books</v>
      </c>
      <c r="E502" s="2">
        <f>IFERROR(__xludf.DUMMYFUNCTION("""COMPUTED_VALUE"""),2.33)</f>
        <v>2.33</v>
      </c>
      <c r="F502" s="2"/>
      <c r="G502" s="2"/>
      <c r="H502" s="2"/>
      <c r="I502" s="2"/>
    </row>
    <row r="503">
      <c r="A503" s="2">
        <f>IFERROR(__xludf.DUMMYFUNCTION("""COMPUTED_VALUE"""),124701.0)</f>
        <v>124701</v>
      </c>
      <c r="B503" s="2" t="str">
        <f>IFERROR(__xludf.DUMMYFUNCTION("""COMPUTED_VALUE"""),"Tech")</f>
        <v>Tech</v>
      </c>
      <c r="C503" s="2" t="str">
        <f>IFERROR(__xludf.DUMMYFUNCTION("""COMPUTED_VALUE"""),"Paranormal")</f>
        <v>Paranormal</v>
      </c>
      <c r="D503" s="2" t="str">
        <f>IFERROR(__xludf.DUMMYFUNCTION("""COMPUTED_VALUE"""),"Silver Ridge Books")</f>
        <v>Silver Ridge Books</v>
      </c>
      <c r="E503" s="2">
        <f>IFERROR(__xludf.DUMMYFUNCTION("""COMPUTED_VALUE"""),2.17)</f>
        <v>2.17</v>
      </c>
      <c r="F503" s="2"/>
      <c r="G503" s="2"/>
      <c r="H503" s="2"/>
      <c r="I503" s="2"/>
    </row>
    <row r="504">
      <c r="A504" s="2">
        <f>IFERROR(__xludf.DUMMYFUNCTION("""COMPUTED_VALUE"""),110007.0)</f>
        <v>110007</v>
      </c>
      <c r="B504" s="2" t="str">
        <f>IFERROR(__xludf.DUMMYFUNCTION("""COMPUTED_VALUE"""),"Tech")</f>
        <v>Tech</v>
      </c>
      <c r="C504" s="2" t="str">
        <f>IFERROR(__xludf.DUMMYFUNCTION("""COMPUTED_VALUE"""),"Paranormal")</f>
        <v>Paranormal</v>
      </c>
      <c r="D504" s="2" t="str">
        <f>IFERROR(__xludf.DUMMYFUNCTION("""COMPUTED_VALUE"""),"Silver Ridge Books")</f>
        <v>Silver Ridge Books</v>
      </c>
      <c r="E504" s="2">
        <f>IFERROR(__xludf.DUMMYFUNCTION("""COMPUTED_VALUE"""),2.03)</f>
        <v>2.03</v>
      </c>
      <c r="F504" s="2"/>
      <c r="G504" s="2"/>
      <c r="H504" s="2"/>
      <c r="I504" s="2"/>
    </row>
    <row r="505">
      <c r="A505" s="2">
        <f>IFERROR(__xludf.DUMMYFUNCTION("""COMPUTED_VALUE"""),7266.0)</f>
        <v>7266</v>
      </c>
      <c r="B505" s="2" t="str">
        <f>IFERROR(__xludf.DUMMYFUNCTION("""COMPUTED_VALUE"""),"Tech")</f>
        <v>Tech</v>
      </c>
      <c r="C505" s="2" t="str">
        <f>IFERROR(__xludf.DUMMYFUNCTION("""COMPUTED_VALUE"""),"Paranormal")</f>
        <v>Paranormal</v>
      </c>
      <c r="D505" s="2" t="str">
        <f>IFERROR(__xludf.DUMMYFUNCTION("""COMPUTED_VALUE"""),"Silver Ridge Books")</f>
        <v>Silver Ridge Books</v>
      </c>
      <c r="E505" s="2">
        <f>IFERROR(__xludf.DUMMYFUNCTION("""COMPUTED_VALUE"""),1.17)</f>
        <v>1.17</v>
      </c>
      <c r="F505" s="2"/>
      <c r="G505" s="2"/>
      <c r="H505" s="2"/>
      <c r="I505" s="2"/>
    </row>
    <row r="506">
      <c r="A506" s="2">
        <f>IFERROR(__xludf.DUMMYFUNCTION("""COMPUTED_VALUE"""),7269.0)</f>
        <v>7269</v>
      </c>
      <c r="B506" s="2" t="str">
        <f>IFERROR(__xludf.DUMMYFUNCTION("""COMPUTED_VALUE"""),"Tech")</f>
        <v>Tech</v>
      </c>
      <c r="C506" s="2" t="str">
        <f>IFERROR(__xludf.DUMMYFUNCTION("""COMPUTED_VALUE"""),"Paranormal")</f>
        <v>Paranormal</v>
      </c>
      <c r="D506" s="2" t="str">
        <f>IFERROR(__xludf.DUMMYFUNCTION("""COMPUTED_VALUE"""),"Silver Ridge Books")</f>
        <v>Silver Ridge Books</v>
      </c>
      <c r="E506" s="2">
        <f>IFERROR(__xludf.DUMMYFUNCTION("""COMPUTED_VALUE"""),2.16)</f>
        <v>2.16</v>
      </c>
      <c r="F506" s="2"/>
      <c r="G506" s="2"/>
      <c r="H506" s="2"/>
      <c r="I506" s="2"/>
    </row>
    <row r="507">
      <c r="A507" s="2">
        <f>IFERROR(__xludf.DUMMYFUNCTION("""COMPUTED_VALUE"""),100393.0)</f>
        <v>100393</v>
      </c>
      <c r="B507" s="2" t="str">
        <f>IFERROR(__xludf.DUMMYFUNCTION("""COMPUTED_VALUE"""),"Tech")</f>
        <v>Tech</v>
      </c>
      <c r="C507" s="2" t="str">
        <f>IFERROR(__xludf.DUMMYFUNCTION("""COMPUTED_VALUE"""),"Paranormal")</f>
        <v>Paranormal</v>
      </c>
      <c r="D507" s="2" t="str">
        <f>IFERROR(__xludf.DUMMYFUNCTION("""COMPUTED_VALUE"""),"Silver Ridge Books")</f>
        <v>Silver Ridge Books</v>
      </c>
      <c r="E507" s="2">
        <f>IFERROR(__xludf.DUMMYFUNCTION("""COMPUTED_VALUE"""),3.82)</f>
        <v>3.82</v>
      </c>
      <c r="F507" s="2"/>
      <c r="G507" s="2"/>
      <c r="H507" s="2"/>
      <c r="I507" s="2"/>
    </row>
    <row r="508">
      <c r="A508" s="2">
        <f>IFERROR(__xludf.DUMMYFUNCTION("""COMPUTED_VALUE"""),110009.0)</f>
        <v>110009</v>
      </c>
      <c r="B508" s="2" t="str">
        <f>IFERROR(__xludf.DUMMYFUNCTION("""COMPUTED_VALUE"""),"Tech")</f>
        <v>Tech</v>
      </c>
      <c r="C508" s="2" t="str">
        <f>IFERROR(__xludf.DUMMYFUNCTION("""COMPUTED_VALUE"""),"Paranormal")</f>
        <v>Paranormal</v>
      </c>
      <c r="D508" s="2" t="str">
        <f>IFERROR(__xludf.DUMMYFUNCTION("""COMPUTED_VALUE"""),"Silver Ridge Books")</f>
        <v>Silver Ridge Books</v>
      </c>
      <c r="E508" s="2">
        <f>IFERROR(__xludf.DUMMYFUNCTION("""COMPUTED_VALUE"""),2.2)</f>
        <v>2.2</v>
      </c>
      <c r="F508" s="2"/>
      <c r="G508" s="2"/>
      <c r="H508" s="2"/>
      <c r="I508" s="2"/>
    </row>
    <row r="509">
      <c r="A509" s="2">
        <f>IFERROR(__xludf.DUMMYFUNCTION("""COMPUTED_VALUE"""),100394.0)</f>
        <v>100394</v>
      </c>
      <c r="B509" s="2" t="str">
        <f>IFERROR(__xludf.DUMMYFUNCTION("""COMPUTED_VALUE"""),"Tech")</f>
        <v>Tech</v>
      </c>
      <c r="C509" s="2" t="str">
        <f>IFERROR(__xludf.DUMMYFUNCTION("""COMPUTED_VALUE"""),"Paranormal")</f>
        <v>Paranormal</v>
      </c>
      <c r="D509" s="2" t="str">
        <f>IFERROR(__xludf.DUMMYFUNCTION("""COMPUTED_VALUE"""),"Silver Ridge Books")</f>
        <v>Silver Ridge Books</v>
      </c>
      <c r="E509" s="2">
        <f>IFERROR(__xludf.DUMMYFUNCTION("""COMPUTED_VALUE"""),4.27)</f>
        <v>4.27</v>
      </c>
      <c r="F509" s="2"/>
      <c r="G509" s="2"/>
      <c r="H509" s="2"/>
      <c r="I509" s="2"/>
    </row>
    <row r="510">
      <c r="A510" s="2">
        <f>IFERROR(__xludf.DUMMYFUNCTION("""COMPUTED_VALUE"""),118248.0)</f>
        <v>118248</v>
      </c>
      <c r="B510" s="2" t="str">
        <f>IFERROR(__xludf.DUMMYFUNCTION("""COMPUTED_VALUE"""),"Tech")</f>
        <v>Tech</v>
      </c>
      <c r="C510" s="2" t="str">
        <f>IFERROR(__xludf.DUMMYFUNCTION("""COMPUTED_VALUE"""),"Paranormal")</f>
        <v>Paranormal</v>
      </c>
      <c r="D510" s="2" t="str">
        <f>IFERROR(__xludf.DUMMYFUNCTION("""COMPUTED_VALUE"""),"Silver Ridge Books")</f>
        <v>Silver Ridge Books</v>
      </c>
      <c r="E510" s="2">
        <f>IFERROR(__xludf.DUMMYFUNCTION("""COMPUTED_VALUE"""),2.9)</f>
        <v>2.9</v>
      </c>
      <c r="F510" s="2"/>
      <c r="G510" s="2"/>
      <c r="H510" s="2"/>
      <c r="I510" s="2"/>
    </row>
    <row r="511">
      <c r="A511" s="2">
        <f>IFERROR(__xludf.DUMMYFUNCTION("""COMPUTED_VALUE"""),118467.0)</f>
        <v>118467</v>
      </c>
      <c r="B511" s="2" t="str">
        <f>IFERROR(__xludf.DUMMYFUNCTION("""COMPUTED_VALUE"""),"Tech")</f>
        <v>Tech</v>
      </c>
      <c r="C511" s="2" t="str">
        <f>IFERROR(__xludf.DUMMYFUNCTION("""COMPUTED_VALUE"""),"Paranormal")</f>
        <v>Paranormal</v>
      </c>
      <c r="D511" s="2" t="str">
        <f>IFERROR(__xludf.DUMMYFUNCTION("""COMPUTED_VALUE"""),"Mountain Path Press")</f>
        <v>Mountain Path Press</v>
      </c>
      <c r="E511" s="2">
        <f>IFERROR(__xludf.DUMMYFUNCTION("""COMPUTED_VALUE"""),15.91)</f>
        <v>15.91</v>
      </c>
      <c r="F511" s="2"/>
      <c r="G511" s="2"/>
      <c r="H511" s="2"/>
      <c r="I511" s="2"/>
    </row>
    <row r="512">
      <c r="A512" s="2">
        <f>IFERROR(__xludf.DUMMYFUNCTION("""COMPUTED_VALUE"""),118465.0)</f>
        <v>118465</v>
      </c>
      <c r="B512" s="2" t="str">
        <f>IFERROR(__xludf.DUMMYFUNCTION("""COMPUTED_VALUE"""),"Tech")</f>
        <v>Tech</v>
      </c>
      <c r="C512" s="2" t="str">
        <f>IFERROR(__xludf.DUMMYFUNCTION("""COMPUTED_VALUE"""),"Paranormal")</f>
        <v>Paranormal</v>
      </c>
      <c r="D512" s="2" t="str">
        <f>IFERROR(__xludf.DUMMYFUNCTION("""COMPUTED_VALUE"""),"Mountain Path Press")</f>
        <v>Mountain Path Press</v>
      </c>
      <c r="E512" s="2">
        <f>IFERROR(__xludf.DUMMYFUNCTION("""COMPUTED_VALUE"""),15.95)</f>
        <v>15.95</v>
      </c>
      <c r="F512" s="2"/>
      <c r="G512" s="2"/>
      <c r="H512" s="2"/>
      <c r="I512" s="2"/>
    </row>
    <row r="513">
      <c r="A513" s="2">
        <f>IFERROR(__xludf.DUMMYFUNCTION("""COMPUTED_VALUE"""),118450.0)</f>
        <v>118450</v>
      </c>
      <c r="B513" s="2" t="str">
        <f>IFERROR(__xludf.DUMMYFUNCTION("""COMPUTED_VALUE"""),"Tech")</f>
        <v>Tech</v>
      </c>
      <c r="C513" s="2" t="str">
        <f>IFERROR(__xludf.DUMMYFUNCTION("""COMPUTED_VALUE"""),"Paranormal")</f>
        <v>Paranormal</v>
      </c>
      <c r="D513" s="2" t="str">
        <f>IFERROR(__xludf.DUMMYFUNCTION("""COMPUTED_VALUE"""),"Mountain Path Press")</f>
        <v>Mountain Path Press</v>
      </c>
      <c r="E513" s="2">
        <f>IFERROR(__xludf.DUMMYFUNCTION("""COMPUTED_VALUE"""),15.63)</f>
        <v>15.63</v>
      </c>
      <c r="F513" s="2"/>
      <c r="G513" s="2"/>
      <c r="H513" s="2"/>
      <c r="I513" s="2"/>
    </row>
    <row r="514">
      <c r="A514" s="2">
        <f>IFERROR(__xludf.DUMMYFUNCTION("""COMPUTED_VALUE"""),118457.0)</f>
        <v>118457</v>
      </c>
      <c r="B514" s="2" t="str">
        <f>IFERROR(__xludf.DUMMYFUNCTION("""COMPUTED_VALUE"""),"Tech")</f>
        <v>Tech</v>
      </c>
      <c r="C514" s="2" t="str">
        <f>IFERROR(__xludf.DUMMYFUNCTION("""COMPUTED_VALUE"""),"Paranormal")</f>
        <v>Paranormal</v>
      </c>
      <c r="D514" s="2" t="str">
        <f>IFERROR(__xludf.DUMMYFUNCTION("""COMPUTED_VALUE"""),"Mountain Path Press")</f>
        <v>Mountain Path Press</v>
      </c>
      <c r="E514" s="2">
        <f>IFERROR(__xludf.DUMMYFUNCTION("""COMPUTED_VALUE"""),15.67)</f>
        <v>15.67</v>
      </c>
      <c r="F514" s="2"/>
      <c r="G514" s="2"/>
      <c r="H514" s="2"/>
      <c r="I514" s="2"/>
    </row>
    <row r="515">
      <c r="A515" s="2">
        <f>IFERROR(__xludf.DUMMYFUNCTION("""COMPUTED_VALUE"""),118463.0)</f>
        <v>118463</v>
      </c>
      <c r="B515" s="2" t="str">
        <f>IFERROR(__xludf.DUMMYFUNCTION("""COMPUTED_VALUE"""),"Tech")</f>
        <v>Tech</v>
      </c>
      <c r="C515" s="2" t="str">
        <f>IFERROR(__xludf.DUMMYFUNCTION("""COMPUTED_VALUE"""),"Paranormal")</f>
        <v>Paranormal</v>
      </c>
      <c r="D515" s="2" t="str">
        <f>IFERROR(__xludf.DUMMYFUNCTION("""COMPUTED_VALUE"""),"Mountain Path Press")</f>
        <v>Mountain Path Press</v>
      </c>
      <c r="E515" s="2">
        <f>IFERROR(__xludf.DUMMYFUNCTION("""COMPUTED_VALUE"""),16.7)</f>
        <v>16.7</v>
      </c>
      <c r="F515" s="2"/>
      <c r="G515" s="2"/>
      <c r="H515" s="2"/>
      <c r="I515" s="2"/>
    </row>
    <row r="516">
      <c r="A516" s="2">
        <f>IFERROR(__xludf.DUMMYFUNCTION("""COMPUTED_VALUE"""),118460.0)</f>
        <v>118460</v>
      </c>
      <c r="B516" s="2" t="str">
        <f>IFERROR(__xludf.DUMMYFUNCTION("""COMPUTED_VALUE"""),"Tech")</f>
        <v>Tech</v>
      </c>
      <c r="C516" s="2" t="str">
        <f>IFERROR(__xludf.DUMMYFUNCTION("""COMPUTED_VALUE"""),"Paranormal")</f>
        <v>Paranormal</v>
      </c>
      <c r="D516" s="2" t="str">
        <f>IFERROR(__xludf.DUMMYFUNCTION("""COMPUTED_VALUE"""),"Mountain Path Press")</f>
        <v>Mountain Path Press</v>
      </c>
      <c r="E516" s="2">
        <f>IFERROR(__xludf.DUMMYFUNCTION("""COMPUTED_VALUE"""),16.87)</f>
        <v>16.87</v>
      </c>
      <c r="F516" s="2"/>
      <c r="G516" s="2"/>
      <c r="H516" s="2"/>
      <c r="I516" s="2"/>
    </row>
    <row r="517">
      <c r="A517" s="2">
        <f>IFERROR(__xludf.DUMMYFUNCTION("""COMPUTED_VALUE"""),121035.0)</f>
        <v>121035</v>
      </c>
      <c r="B517" s="2" t="str">
        <f>IFERROR(__xludf.DUMMYFUNCTION("""COMPUTED_VALUE"""),"Tech")</f>
        <v>Tech</v>
      </c>
      <c r="C517" s="2" t="str">
        <f>IFERROR(__xludf.DUMMYFUNCTION("""COMPUTED_VALUE"""),"Paranormal")</f>
        <v>Paranormal</v>
      </c>
      <c r="D517" s="2" t="str">
        <f>IFERROR(__xludf.DUMMYFUNCTION("""COMPUTED_VALUE"""),"Mountain Path Press")</f>
        <v>Mountain Path Press</v>
      </c>
      <c r="E517" s="2">
        <f>IFERROR(__xludf.DUMMYFUNCTION("""COMPUTED_VALUE"""),20.38)</f>
        <v>20.38</v>
      </c>
      <c r="F517" s="2"/>
      <c r="G517" s="2"/>
      <c r="H517" s="2"/>
      <c r="I517" s="2"/>
    </row>
    <row r="518">
      <c r="A518" s="2">
        <f>IFERROR(__xludf.DUMMYFUNCTION("""COMPUTED_VALUE"""),122623.0)</f>
        <v>122623</v>
      </c>
      <c r="B518" s="2" t="str">
        <f>IFERROR(__xludf.DUMMYFUNCTION("""COMPUTED_VALUE"""),"Tech")</f>
        <v>Tech</v>
      </c>
      <c r="C518" s="2" t="str">
        <f>IFERROR(__xludf.DUMMYFUNCTION("""COMPUTED_VALUE"""),"Paranormal")</f>
        <v>Paranormal</v>
      </c>
      <c r="D518" s="2" t="str">
        <f>IFERROR(__xludf.DUMMYFUNCTION("""COMPUTED_VALUE"""),"Mountain Path Press")</f>
        <v>Mountain Path Press</v>
      </c>
      <c r="E518" s="2">
        <f>IFERROR(__xludf.DUMMYFUNCTION("""COMPUTED_VALUE"""),22.9)</f>
        <v>22.9</v>
      </c>
      <c r="F518" s="2"/>
      <c r="G518" s="2"/>
      <c r="H518" s="2"/>
      <c r="I518" s="2"/>
    </row>
    <row r="519">
      <c r="A519" s="2">
        <f>IFERROR(__xludf.DUMMYFUNCTION("""COMPUTED_VALUE"""),118469.0)</f>
        <v>118469</v>
      </c>
      <c r="B519" s="2" t="str">
        <f>IFERROR(__xludf.DUMMYFUNCTION("""COMPUTED_VALUE"""),"Tech")</f>
        <v>Tech</v>
      </c>
      <c r="C519" s="2" t="str">
        <f>IFERROR(__xludf.DUMMYFUNCTION("""COMPUTED_VALUE"""),"Paranormal")</f>
        <v>Paranormal</v>
      </c>
      <c r="D519" s="2" t="str">
        <f>IFERROR(__xludf.DUMMYFUNCTION("""COMPUTED_VALUE"""),"Mountain Path Press")</f>
        <v>Mountain Path Press</v>
      </c>
      <c r="E519" s="2">
        <f>IFERROR(__xludf.DUMMYFUNCTION("""COMPUTED_VALUE"""),16.98)</f>
        <v>16.98</v>
      </c>
      <c r="F519" s="2"/>
      <c r="G519" s="2"/>
      <c r="H519" s="2"/>
      <c r="I519" s="2"/>
    </row>
    <row r="520">
      <c r="A520" s="2">
        <f>IFERROR(__xludf.DUMMYFUNCTION("""COMPUTED_VALUE"""),184629.0)</f>
        <v>184629</v>
      </c>
      <c r="B520" s="2" t="str">
        <f>IFERROR(__xludf.DUMMYFUNCTION("""COMPUTED_VALUE"""),"Tech")</f>
        <v>Tech</v>
      </c>
      <c r="C520" s="2" t="str">
        <f>IFERROR(__xludf.DUMMYFUNCTION("""COMPUTED_VALUE"""),"Paranormal")</f>
        <v>Paranormal</v>
      </c>
      <c r="D520" s="2" t="str">
        <f>IFERROR(__xludf.DUMMYFUNCTION("""COMPUTED_VALUE"""),"Mountain Path Press")</f>
        <v>Mountain Path Press</v>
      </c>
      <c r="E520" s="2">
        <f>IFERROR(__xludf.DUMMYFUNCTION("""COMPUTED_VALUE"""),18.7)</f>
        <v>18.7</v>
      </c>
      <c r="F520" s="2"/>
      <c r="G520" s="2"/>
      <c r="H520" s="2"/>
      <c r="I520" s="2"/>
    </row>
    <row r="521">
      <c r="A521" s="2">
        <f>IFERROR(__xludf.DUMMYFUNCTION("""COMPUTED_VALUE"""),44469.0)</f>
        <v>44469</v>
      </c>
      <c r="B521" s="2" t="str">
        <f>IFERROR(__xludf.DUMMYFUNCTION("""COMPUTED_VALUE"""),"Tech")</f>
        <v>Tech</v>
      </c>
      <c r="C521" s="2" t="str">
        <f>IFERROR(__xludf.DUMMYFUNCTION("""COMPUTED_VALUE"""),"Paranormal")</f>
        <v>Paranormal</v>
      </c>
      <c r="D521" s="2" t="str">
        <f>IFERROR(__xludf.DUMMYFUNCTION("""COMPUTED_VALUE"""),"Starfall Publishing")</f>
        <v>Starfall Publishing</v>
      </c>
      <c r="E521" s="2">
        <f>IFERROR(__xludf.DUMMYFUNCTION("""COMPUTED_VALUE"""),2.24)</f>
        <v>2.24</v>
      </c>
      <c r="F521" s="2"/>
      <c r="G521" s="2"/>
      <c r="H521" s="2"/>
      <c r="I521" s="2"/>
    </row>
    <row r="522">
      <c r="A522" s="2">
        <f>IFERROR(__xludf.DUMMYFUNCTION("""COMPUTED_VALUE"""),98421.0)</f>
        <v>98421</v>
      </c>
      <c r="B522" s="2" t="str">
        <f>IFERROR(__xludf.DUMMYFUNCTION("""COMPUTED_VALUE"""),"Tech")</f>
        <v>Tech</v>
      </c>
      <c r="C522" s="2" t="str">
        <f>IFERROR(__xludf.DUMMYFUNCTION("""COMPUTED_VALUE"""),"Paranormal")</f>
        <v>Paranormal</v>
      </c>
      <c r="D522" s="2" t="str">
        <f>IFERROR(__xludf.DUMMYFUNCTION("""COMPUTED_VALUE"""),"Starfall Publishing")</f>
        <v>Starfall Publishing</v>
      </c>
      <c r="E522" s="2">
        <f>IFERROR(__xludf.DUMMYFUNCTION("""COMPUTED_VALUE"""),1.13)</f>
        <v>1.13</v>
      </c>
      <c r="F522" s="2"/>
      <c r="G522" s="2"/>
      <c r="H522" s="2"/>
      <c r="I522" s="2"/>
    </row>
    <row r="523">
      <c r="A523" s="2">
        <f>IFERROR(__xludf.DUMMYFUNCTION("""COMPUTED_VALUE"""),149512.0)</f>
        <v>149512</v>
      </c>
      <c r="B523" s="2" t="str">
        <f>IFERROR(__xludf.DUMMYFUNCTION("""COMPUTED_VALUE"""),"Tech")</f>
        <v>Tech</v>
      </c>
      <c r="C523" s="2" t="str">
        <f>IFERROR(__xludf.DUMMYFUNCTION("""COMPUTED_VALUE"""),"Paranormal")</f>
        <v>Paranormal</v>
      </c>
      <c r="D523" s="2" t="str">
        <f>IFERROR(__xludf.DUMMYFUNCTION("""COMPUTED_VALUE"""),"Starfall Publishing")</f>
        <v>Starfall Publishing</v>
      </c>
      <c r="E523" s="2">
        <f>IFERROR(__xludf.DUMMYFUNCTION("""COMPUTED_VALUE"""),1.77)</f>
        <v>1.77</v>
      </c>
      <c r="F523" s="2"/>
      <c r="G523" s="2"/>
      <c r="H523" s="2"/>
      <c r="I523" s="2"/>
    </row>
    <row r="524">
      <c r="A524" s="2">
        <f>IFERROR(__xludf.DUMMYFUNCTION("""COMPUTED_VALUE"""),101489.0)</f>
        <v>101489</v>
      </c>
      <c r="B524" s="2" t="str">
        <f>IFERROR(__xludf.DUMMYFUNCTION("""COMPUTED_VALUE"""),"Tech")</f>
        <v>Tech</v>
      </c>
      <c r="C524" s="2" t="str">
        <f>IFERROR(__xludf.DUMMYFUNCTION("""COMPUTED_VALUE"""),"Paranormal")</f>
        <v>Paranormal</v>
      </c>
      <c r="D524" s="2" t="str">
        <f>IFERROR(__xludf.DUMMYFUNCTION("""COMPUTED_VALUE"""),"Starfall Publishing")</f>
        <v>Starfall Publishing</v>
      </c>
      <c r="E524" s="2">
        <f>IFERROR(__xludf.DUMMYFUNCTION("""COMPUTED_VALUE"""),1.62)</f>
        <v>1.62</v>
      </c>
      <c r="F524" s="2"/>
      <c r="G524" s="2"/>
      <c r="H524" s="2"/>
      <c r="I524" s="2"/>
    </row>
    <row r="525">
      <c r="A525" s="2">
        <f>IFERROR(__xludf.DUMMYFUNCTION("""COMPUTED_VALUE"""),7263.0)</f>
        <v>7263</v>
      </c>
      <c r="B525" s="2" t="str">
        <f>IFERROR(__xludf.DUMMYFUNCTION("""COMPUTED_VALUE"""),"Tech")</f>
        <v>Tech</v>
      </c>
      <c r="C525" s="2" t="str">
        <f>IFERROR(__xludf.DUMMYFUNCTION("""COMPUTED_VALUE"""),"Paranormal")</f>
        <v>Paranormal</v>
      </c>
      <c r="D525" s="2" t="str">
        <f>IFERROR(__xludf.DUMMYFUNCTION("""COMPUTED_VALUE"""),"Starfall Publishing")</f>
        <v>Starfall Publishing</v>
      </c>
      <c r="E525" s="2">
        <f>IFERROR(__xludf.DUMMYFUNCTION("""COMPUTED_VALUE"""),1.98)</f>
        <v>1.98</v>
      </c>
      <c r="F525" s="2"/>
      <c r="G525" s="2"/>
      <c r="H525" s="2"/>
      <c r="I525" s="2"/>
    </row>
    <row r="526">
      <c r="A526" s="2">
        <f>IFERROR(__xludf.DUMMYFUNCTION("""COMPUTED_VALUE"""),149510.0)</f>
        <v>149510</v>
      </c>
      <c r="B526" s="2" t="str">
        <f>IFERROR(__xludf.DUMMYFUNCTION("""COMPUTED_VALUE"""),"Tech")</f>
        <v>Tech</v>
      </c>
      <c r="C526" s="2" t="str">
        <f>IFERROR(__xludf.DUMMYFUNCTION("""COMPUTED_VALUE"""),"Paranormal")</f>
        <v>Paranormal</v>
      </c>
      <c r="D526" s="2" t="str">
        <f>IFERROR(__xludf.DUMMYFUNCTION("""COMPUTED_VALUE"""),"Starfall Publishing")</f>
        <v>Starfall Publishing</v>
      </c>
      <c r="E526" s="2">
        <f>IFERROR(__xludf.DUMMYFUNCTION("""COMPUTED_VALUE"""),1.53)</f>
        <v>1.53</v>
      </c>
      <c r="F526" s="2"/>
      <c r="G526" s="2"/>
      <c r="H526" s="2"/>
      <c r="I526" s="2"/>
    </row>
    <row r="527">
      <c r="A527" s="2">
        <f>IFERROR(__xludf.DUMMYFUNCTION("""COMPUTED_VALUE"""),124692.0)</f>
        <v>124692</v>
      </c>
      <c r="B527" s="2" t="str">
        <f>IFERROR(__xludf.DUMMYFUNCTION("""COMPUTED_VALUE"""),"Tech")</f>
        <v>Tech</v>
      </c>
      <c r="C527" s="2" t="str">
        <f>IFERROR(__xludf.DUMMYFUNCTION("""COMPUTED_VALUE"""),"Paranormal")</f>
        <v>Paranormal</v>
      </c>
      <c r="D527" s="2" t="str">
        <f>IFERROR(__xludf.DUMMYFUNCTION("""COMPUTED_VALUE"""),"Starfall Publishing")</f>
        <v>Starfall Publishing</v>
      </c>
      <c r="E527" s="2">
        <f>IFERROR(__xludf.DUMMYFUNCTION("""COMPUTED_VALUE"""),1.53)</f>
        <v>1.53</v>
      </c>
      <c r="F527" s="2"/>
      <c r="G527" s="2"/>
      <c r="H527" s="2"/>
      <c r="I527" s="2"/>
    </row>
    <row r="528">
      <c r="A528" s="2">
        <f>IFERROR(__xludf.DUMMYFUNCTION("""COMPUTED_VALUE"""),7253.0)</f>
        <v>7253</v>
      </c>
      <c r="B528" s="2" t="str">
        <f>IFERROR(__xludf.DUMMYFUNCTION("""COMPUTED_VALUE"""),"Tech")</f>
        <v>Tech</v>
      </c>
      <c r="C528" s="2" t="str">
        <f>IFERROR(__xludf.DUMMYFUNCTION("""COMPUTED_VALUE"""),"Paranormal")</f>
        <v>Paranormal</v>
      </c>
      <c r="D528" s="2" t="str">
        <f>IFERROR(__xludf.DUMMYFUNCTION("""COMPUTED_VALUE"""),"Starfall Publishing")</f>
        <v>Starfall Publishing</v>
      </c>
      <c r="E528" s="2">
        <f>IFERROR(__xludf.DUMMYFUNCTION("""COMPUTED_VALUE"""),1.33)</f>
        <v>1.33</v>
      </c>
      <c r="F528" s="2"/>
      <c r="G528" s="2"/>
      <c r="H528" s="2"/>
      <c r="I528" s="2"/>
    </row>
    <row r="529">
      <c r="A529" s="2">
        <f>IFERROR(__xludf.DUMMYFUNCTION("""COMPUTED_VALUE"""),109999.0)</f>
        <v>109999</v>
      </c>
      <c r="B529" s="2" t="str">
        <f>IFERROR(__xludf.DUMMYFUNCTION("""COMPUTED_VALUE"""),"Tech")</f>
        <v>Tech</v>
      </c>
      <c r="C529" s="2" t="str">
        <f>IFERROR(__xludf.DUMMYFUNCTION("""COMPUTED_VALUE"""),"Paranormal")</f>
        <v>Paranormal</v>
      </c>
      <c r="D529" s="2" t="str">
        <f>IFERROR(__xludf.DUMMYFUNCTION("""COMPUTED_VALUE"""),"Starfall Publishing")</f>
        <v>Starfall Publishing</v>
      </c>
      <c r="E529" s="2">
        <f>IFERROR(__xludf.DUMMYFUNCTION("""COMPUTED_VALUE"""),1.81)</f>
        <v>1.81</v>
      </c>
      <c r="F529" s="2"/>
      <c r="G529" s="2"/>
      <c r="H529" s="2"/>
      <c r="I529" s="2"/>
    </row>
    <row r="530">
      <c r="A530" s="2">
        <f>IFERROR(__xludf.DUMMYFUNCTION("""COMPUTED_VALUE"""),101535.0)</f>
        <v>101535</v>
      </c>
      <c r="B530" s="2" t="str">
        <f>IFERROR(__xludf.DUMMYFUNCTION("""COMPUTED_VALUE"""),"Tech")</f>
        <v>Tech</v>
      </c>
      <c r="C530" s="2" t="str">
        <f>IFERROR(__xludf.DUMMYFUNCTION("""COMPUTED_VALUE"""),"Paranormal")</f>
        <v>Paranormal</v>
      </c>
      <c r="D530" s="2" t="str">
        <f>IFERROR(__xludf.DUMMYFUNCTION("""COMPUTED_VALUE"""),"Starfall Publishing")</f>
        <v>Starfall Publishing</v>
      </c>
      <c r="E530" s="2">
        <f>IFERROR(__xludf.DUMMYFUNCTION("""COMPUTED_VALUE"""),1.63)</f>
        <v>1.63</v>
      </c>
      <c r="F530" s="2"/>
      <c r="G530" s="2"/>
      <c r="H530" s="2"/>
      <c r="I530" s="2"/>
    </row>
    <row r="531">
      <c r="A531" s="2">
        <f>IFERROR(__xludf.DUMMYFUNCTION("""COMPUTED_VALUE"""),181795.0)</f>
        <v>181795</v>
      </c>
      <c r="B531" s="2" t="str">
        <f>IFERROR(__xludf.DUMMYFUNCTION("""COMPUTED_VALUE"""),"Tech")</f>
        <v>Tech</v>
      </c>
      <c r="C531" s="2" t="str">
        <f>IFERROR(__xludf.DUMMYFUNCTION("""COMPUTED_VALUE"""),"Paranormal")</f>
        <v>Paranormal</v>
      </c>
      <c r="D531" s="2" t="str">
        <f>IFERROR(__xludf.DUMMYFUNCTION("""COMPUTED_VALUE"""),"Starfall Publishing")</f>
        <v>Starfall Publishing</v>
      </c>
      <c r="E531" s="2">
        <f>IFERROR(__xludf.DUMMYFUNCTION("""COMPUTED_VALUE"""),48.01)</f>
        <v>48.01</v>
      </c>
      <c r="F531" s="2"/>
      <c r="G531" s="2"/>
      <c r="H531" s="2"/>
      <c r="I531" s="2"/>
    </row>
    <row r="532">
      <c r="A532" s="2">
        <f>IFERROR(__xludf.DUMMYFUNCTION("""COMPUTED_VALUE"""),124686.0)</f>
        <v>124686</v>
      </c>
      <c r="B532" s="2" t="str">
        <f>IFERROR(__xludf.DUMMYFUNCTION("""COMPUTED_VALUE"""),"Tech")</f>
        <v>Tech</v>
      </c>
      <c r="C532" s="2" t="str">
        <f>IFERROR(__xludf.DUMMYFUNCTION("""COMPUTED_VALUE"""),"Paranormal")</f>
        <v>Paranormal</v>
      </c>
      <c r="D532" s="2" t="str">
        <f>IFERROR(__xludf.DUMMYFUNCTION("""COMPUTED_VALUE"""),"Starfall Publishing")</f>
        <v>Starfall Publishing</v>
      </c>
      <c r="E532" s="2">
        <f>IFERROR(__xludf.DUMMYFUNCTION("""COMPUTED_VALUE"""),1.56)</f>
        <v>1.56</v>
      </c>
      <c r="F532" s="2"/>
      <c r="G532" s="2"/>
      <c r="H532" s="2"/>
      <c r="I532" s="2"/>
    </row>
    <row r="533">
      <c r="A533" s="2">
        <f>IFERROR(__xludf.DUMMYFUNCTION("""COMPUTED_VALUE"""),110003.0)</f>
        <v>110003</v>
      </c>
      <c r="B533" s="2" t="str">
        <f>IFERROR(__xludf.DUMMYFUNCTION("""COMPUTED_VALUE"""),"Tech")</f>
        <v>Tech</v>
      </c>
      <c r="C533" s="2" t="str">
        <f>IFERROR(__xludf.DUMMYFUNCTION("""COMPUTED_VALUE"""),"Paranormal")</f>
        <v>Paranormal</v>
      </c>
      <c r="D533" s="2" t="str">
        <f>IFERROR(__xludf.DUMMYFUNCTION("""COMPUTED_VALUE"""),"Starfall Publishing")</f>
        <v>Starfall Publishing</v>
      </c>
      <c r="E533" s="2">
        <f>IFERROR(__xludf.DUMMYFUNCTION("""COMPUTED_VALUE"""),1.75)</f>
        <v>1.75</v>
      </c>
      <c r="F533" s="2"/>
      <c r="G533" s="2"/>
      <c r="H533" s="2"/>
      <c r="I533" s="2"/>
    </row>
    <row r="534">
      <c r="A534" s="2">
        <f>IFERROR(__xludf.DUMMYFUNCTION("""COMPUTED_VALUE"""),124691.0)</f>
        <v>124691</v>
      </c>
      <c r="B534" s="2" t="str">
        <f>IFERROR(__xludf.DUMMYFUNCTION("""COMPUTED_VALUE"""),"Tech")</f>
        <v>Tech</v>
      </c>
      <c r="C534" s="2" t="str">
        <f>IFERROR(__xludf.DUMMYFUNCTION("""COMPUTED_VALUE"""),"Paranormal")</f>
        <v>Paranormal</v>
      </c>
      <c r="D534" s="2" t="str">
        <f>IFERROR(__xludf.DUMMYFUNCTION("""COMPUTED_VALUE"""),"Starfall Publishing")</f>
        <v>Starfall Publishing</v>
      </c>
      <c r="E534" s="2">
        <f>IFERROR(__xludf.DUMMYFUNCTION("""COMPUTED_VALUE"""),1.19)</f>
        <v>1.19</v>
      </c>
      <c r="F534" s="2"/>
      <c r="G534" s="2"/>
      <c r="H534" s="2"/>
      <c r="I534" s="2"/>
    </row>
    <row r="535">
      <c r="A535" s="2">
        <f>IFERROR(__xludf.DUMMYFUNCTION("""COMPUTED_VALUE"""),98444.0)</f>
        <v>98444</v>
      </c>
      <c r="B535" s="2" t="str">
        <f>IFERROR(__xludf.DUMMYFUNCTION("""COMPUTED_VALUE"""),"Tech")</f>
        <v>Tech</v>
      </c>
      <c r="C535" s="2" t="str">
        <f>IFERROR(__xludf.DUMMYFUNCTION("""COMPUTED_VALUE"""),"Paranormal")</f>
        <v>Paranormal</v>
      </c>
      <c r="D535" s="2" t="str">
        <f>IFERROR(__xludf.DUMMYFUNCTION("""COMPUTED_VALUE"""),"Starfall Publishing")</f>
        <v>Starfall Publishing</v>
      </c>
      <c r="E535" s="2">
        <f>IFERROR(__xludf.DUMMYFUNCTION("""COMPUTED_VALUE"""),1.66)</f>
        <v>1.66</v>
      </c>
      <c r="F535" s="2"/>
      <c r="G535" s="2"/>
      <c r="H535" s="2"/>
      <c r="I535" s="2"/>
    </row>
    <row r="536">
      <c r="A536" s="2">
        <f>IFERROR(__xludf.DUMMYFUNCTION("""COMPUTED_VALUE"""),110393.0)</f>
        <v>110393</v>
      </c>
      <c r="B536" s="2" t="str">
        <f>IFERROR(__xludf.DUMMYFUNCTION("""COMPUTED_VALUE"""),"Tech")</f>
        <v>Tech</v>
      </c>
      <c r="C536" s="2" t="str">
        <f>IFERROR(__xludf.DUMMYFUNCTION("""COMPUTED_VALUE"""),"Paranormal")</f>
        <v>Paranormal</v>
      </c>
      <c r="D536" s="2" t="str">
        <f>IFERROR(__xludf.DUMMYFUNCTION("""COMPUTED_VALUE"""),"Starfall Publishing")</f>
        <v>Starfall Publishing</v>
      </c>
      <c r="E536" s="2">
        <f>IFERROR(__xludf.DUMMYFUNCTION("""COMPUTED_VALUE"""),1.75)</f>
        <v>1.75</v>
      </c>
      <c r="F536" s="2"/>
      <c r="G536" s="2"/>
      <c r="H536" s="2"/>
      <c r="I536" s="2"/>
    </row>
    <row r="537">
      <c r="A537" s="2">
        <f>IFERROR(__xludf.DUMMYFUNCTION("""COMPUTED_VALUE"""),7254.0)</f>
        <v>7254</v>
      </c>
      <c r="B537" s="2" t="str">
        <f>IFERROR(__xludf.DUMMYFUNCTION("""COMPUTED_VALUE"""),"Tech")</f>
        <v>Tech</v>
      </c>
      <c r="C537" s="2" t="str">
        <f>IFERROR(__xludf.DUMMYFUNCTION("""COMPUTED_VALUE"""),"Paranormal")</f>
        <v>Paranormal</v>
      </c>
      <c r="D537" s="2" t="str">
        <f>IFERROR(__xludf.DUMMYFUNCTION("""COMPUTED_VALUE"""),"Starfall Publishing")</f>
        <v>Starfall Publishing</v>
      </c>
      <c r="E537" s="2">
        <f>IFERROR(__xludf.DUMMYFUNCTION("""COMPUTED_VALUE"""),1.51)</f>
        <v>1.51</v>
      </c>
      <c r="F537" s="2"/>
      <c r="G537" s="2"/>
      <c r="H537" s="2"/>
      <c r="I537" s="2"/>
    </row>
    <row r="538">
      <c r="A538" s="2">
        <f>IFERROR(__xludf.DUMMYFUNCTION("""COMPUTED_VALUE"""),86502.0)</f>
        <v>86502</v>
      </c>
      <c r="B538" s="2" t="str">
        <f>IFERROR(__xludf.DUMMYFUNCTION("""COMPUTED_VALUE"""),"Tech")</f>
        <v>Tech</v>
      </c>
      <c r="C538" s="2" t="str">
        <f>IFERROR(__xludf.DUMMYFUNCTION("""COMPUTED_VALUE"""),"Paranormal")</f>
        <v>Paranormal</v>
      </c>
      <c r="D538" s="2" t="str">
        <f>IFERROR(__xludf.DUMMYFUNCTION("""COMPUTED_VALUE"""),"Starfall Publishing")</f>
        <v>Starfall Publishing</v>
      </c>
      <c r="E538" s="2">
        <f>IFERROR(__xludf.DUMMYFUNCTION("""COMPUTED_VALUE"""),8.34)</f>
        <v>8.34</v>
      </c>
      <c r="F538" s="2"/>
      <c r="G538" s="2"/>
      <c r="H538" s="2"/>
      <c r="I538" s="2"/>
    </row>
    <row r="539">
      <c r="A539" s="2">
        <f>IFERROR(__xludf.DUMMYFUNCTION("""COMPUTED_VALUE"""),98442.0)</f>
        <v>98442</v>
      </c>
      <c r="B539" s="2" t="str">
        <f>IFERROR(__xludf.DUMMYFUNCTION("""COMPUTED_VALUE"""),"Tech")</f>
        <v>Tech</v>
      </c>
      <c r="C539" s="2" t="str">
        <f>IFERROR(__xludf.DUMMYFUNCTION("""COMPUTED_VALUE"""),"Paranormal")</f>
        <v>Paranormal</v>
      </c>
      <c r="D539" s="2" t="str">
        <f>IFERROR(__xludf.DUMMYFUNCTION("""COMPUTED_VALUE"""),"Starfall Publishing")</f>
        <v>Starfall Publishing</v>
      </c>
      <c r="E539" s="2">
        <f>IFERROR(__xludf.DUMMYFUNCTION("""COMPUTED_VALUE"""),2.0)</f>
        <v>2</v>
      </c>
      <c r="F539" s="2"/>
      <c r="G539" s="2"/>
      <c r="H539" s="2"/>
      <c r="I539" s="2"/>
    </row>
    <row r="540">
      <c r="A540" s="2">
        <f>IFERROR(__xludf.DUMMYFUNCTION("""COMPUTED_VALUE"""),7256.0)</f>
        <v>7256</v>
      </c>
      <c r="B540" s="2" t="str">
        <f>IFERROR(__xludf.DUMMYFUNCTION("""COMPUTED_VALUE"""),"Tech")</f>
        <v>Tech</v>
      </c>
      <c r="C540" s="2" t="str">
        <f>IFERROR(__xludf.DUMMYFUNCTION("""COMPUTED_VALUE"""),"Paranormal")</f>
        <v>Paranormal</v>
      </c>
      <c r="D540" s="2" t="str">
        <f>IFERROR(__xludf.DUMMYFUNCTION("""COMPUTED_VALUE"""),"Starfall Publishing")</f>
        <v>Starfall Publishing</v>
      </c>
      <c r="E540" s="2">
        <f>IFERROR(__xludf.DUMMYFUNCTION("""COMPUTED_VALUE"""),1.38)</f>
        <v>1.38</v>
      </c>
      <c r="F540" s="2"/>
      <c r="G540" s="2"/>
      <c r="H540" s="2"/>
      <c r="I540" s="2"/>
    </row>
    <row r="541">
      <c r="A541" s="2">
        <f>IFERROR(__xludf.DUMMYFUNCTION("""COMPUTED_VALUE"""),110394.0)</f>
        <v>110394</v>
      </c>
      <c r="B541" s="2" t="str">
        <f>IFERROR(__xludf.DUMMYFUNCTION("""COMPUTED_VALUE"""),"Tech")</f>
        <v>Tech</v>
      </c>
      <c r="C541" s="2" t="str">
        <f>IFERROR(__xludf.DUMMYFUNCTION("""COMPUTED_VALUE"""),"Paranormal")</f>
        <v>Paranormal</v>
      </c>
      <c r="D541" s="2" t="str">
        <f>IFERROR(__xludf.DUMMYFUNCTION("""COMPUTED_VALUE"""),"Starfall Publishing")</f>
        <v>Starfall Publishing</v>
      </c>
      <c r="E541" s="2">
        <f>IFERROR(__xludf.DUMMYFUNCTION("""COMPUTED_VALUE"""),1.62)</f>
        <v>1.62</v>
      </c>
      <c r="F541" s="2"/>
      <c r="G541" s="2"/>
      <c r="H541" s="2"/>
      <c r="I541" s="2"/>
    </row>
    <row r="542">
      <c r="A542" s="2">
        <f>IFERROR(__xludf.DUMMYFUNCTION("""COMPUTED_VALUE"""),120998.0)</f>
        <v>120998</v>
      </c>
      <c r="B542" s="2" t="str">
        <f>IFERROR(__xludf.DUMMYFUNCTION("""COMPUTED_VALUE"""),"Tech")</f>
        <v>Tech</v>
      </c>
      <c r="C542" s="2" t="str">
        <f>IFERROR(__xludf.DUMMYFUNCTION("""COMPUTED_VALUE"""),"Paranormal")</f>
        <v>Paranormal</v>
      </c>
      <c r="D542" s="2" t="str">
        <f>IFERROR(__xludf.DUMMYFUNCTION("""COMPUTED_VALUE"""),"Starfall Publishing")</f>
        <v>Starfall Publishing</v>
      </c>
      <c r="E542" s="2">
        <f>IFERROR(__xludf.DUMMYFUNCTION("""COMPUTED_VALUE"""),1.89)</f>
        <v>1.89</v>
      </c>
      <c r="F542" s="2"/>
      <c r="G542" s="2"/>
      <c r="H542" s="2"/>
      <c r="I542" s="2"/>
    </row>
    <row r="543">
      <c r="A543" s="2">
        <f>IFERROR(__xludf.DUMMYFUNCTION("""COMPUTED_VALUE"""),17674.0)</f>
        <v>17674</v>
      </c>
      <c r="B543" s="2" t="str">
        <f>IFERROR(__xludf.DUMMYFUNCTION("""COMPUTED_VALUE"""),"Tech")</f>
        <v>Tech</v>
      </c>
      <c r="C543" s="2" t="str">
        <f>IFERROR(__xludf.DUMMYFUNCTION("""COMPUTED_VALUE"""),"Paranormal")</f>
        <v>Paranormal</v>
      </c>
      <c r="D543" s="2" t="str">
        <f>IFERROR(__xludf.DUMMYFUNCTION("""COMPUTED_VALUE"""),"Starfall Publishing")</f>
        <v>Starfall Publishing</v>
      </c>
      <c r="E543" s="2">
        <f>IFERROR(__xludf.DUMMYFUNCTION("""COMPUTED_VALUE"""),6.05)</f>
        <v>6.05</v>
      </c>
      <c r="F543" s="2"/>
      <c r="G543" s="2"/>
      <c r="H543" s="2"/>
      <c r="I543" s="2"/>
    </row>
    <row r="544">
      <c r="A544" s="2">
        <f>IFERROR(__xludf.DUMMYFUNCTION("""COMPUTED_VALUE"""),102946.0)</f>
        <v>102946</v>
      </c>
      <c r="B544" s="2" t="str">
        <f>IFERROR(__xludf.DUMMYFUNCTION("""COMPUTED_VALUE"""),"Tech")</f>
        <v>Tech</v>
      </c>
      <c r="C544" s="2" t="str">
        <f>IFERROR(__xludf.DUMMYFUNCTION("""COMPUTED_VALUE"""),"Paranormal")</f>
        <v>Paranormal</v>
      </c>
      <c r="D544" s="2" t="str">
        <f>IFERROR(__xludf.DUMMYFUNCTION("""COMPUTED_VALUE"""),"Starfall Publishing")</f>
        <v>Starfall Publishing</v>
      </c>
      <c r="E544" s="2">
        <f>IFERROR(__xludf.DUMMYFUNCTION("""COMPUTED_VALUE"""),8.28)</f>
        <v>8.28</v>
      </c>
      <c r="F544" s="2"/>
      <c r="G544" s="2"/>
      <c r="H544" s="2"/>
      <c r="I544" s="2"/>
    </row>
    <row r="545">
      <c r="A545" s="2">
        <f>IFERROR(__xludf.DUMMYFUNCTION("""COMPUTED_VALUE"""),102947.0)</f>
        <v>102947</v>
      </c>
      <c r="B545" s="2" t="str">
        <f>IFERROR(__xludf.DUMMYFUNCTION("""COMPUTED_VALUE"""),"Tech")</f>
        <v>Tech</v>
      </c>
      <c r="C545" s="2" t="str">
        <f>IFERROR(__xludf.DUMMYFUNCTION("""COMPUTED_VALUE"""),"Paranormal")</f>
        <v>Paranormal</v>
      </c>
      <c r="D545" s="2" t="str">
        <f>IFERROR(__xludf.DUMMYFUNCTION("""COMPUTED_VALUE"""),"Starfall Publishing")</f>
        <v>Starfall Publishing</v>
      </c>
      <c r="E545" s="2">
        <f>IFERROR(__xludf.DUMMYFUNCTION("""COMPUTED_VALUE"""),10.04)</f>
        <v>10.04</v>
      </c>
      <c r="F545" s="2"/>
      <c r="G545" s="2"/>
      <c r="H545" s="2"/>
      <c r="I545" s="2"/>
    </row>
    <row r="546">
      <c r="A546" s="2">
        <f>IFERROR(__xludf.DUMMYFUNCTION("""COMPUTED_VALUE"""),98445.0)</f>
        <v>98445</v>
      </c>
      <c r="B546" s="2" t="str">
        <f>IFERROR(__xludf.DUMMYFUNCTION("""COMPUTED_VALUE"""),"Tech")</f>
        <v>Tech</v>
      </c>
      <c r="C546" s="2" t="str">
        <f>IFERROR(__xludf.DUMMYFUNCTION("""COMPUTED_VALUE"""),"Paranormal")</f>
        <v>Paranormal</v>
      </c>
      <c r="D546" s="2" t="str">
        <f>IFERROR(__xludf.DUMMYFUNCTION("""COMPUTED_VALUE"""),"Starfall Publishing")</f>
        <v>Starfall Publishing</v>
      </c>
      <c r="E546" s="2">
        <f>IFERROR(__xludf.DUMMYFUNCTION("""COMPUTED_VALUE"""),1.75)</f>
        <v>1.75</v>
      </c>
      <c r="F546" s="2"/>
      <c r="G546" s="2"/>
      <c r="H546" s="2"/>
      <c r="I546" s="2"/>
    </row>
    <row r="547">
      <c r="A547" s="2">
        <f>IFERROR(__xludf.DUMMYFUNCTION("""COMPUTED_VALUE"""),109273.0)</f>
        <v>109273</v>
      </c>
      <c r="B547" s="2" t="str">
        <f>IFERROR(__xludf.DUMMYFUNCTION("""COMPUTED_VALUE"""),"Tech")</f>
        <v>Tech</v>
      </c>
      <c r="C547" s="2" t="str">
        <f>IFERROR(__xludf.DUMMYFUNCTION("""COMPUTED_VALUE"""),"Paranormal")</f>
        <v>Paranormal</v>
      </c>
      <c r="D547" s="2" t="str">
        <f>IFERROR(__xludf.DUMMYFUNCTION("""COMPUTED_VALUE"""),"Starfall Publishing")</f>
        <v>Starfall Publishing</v>
      </c>
      <c r="E547" s="2">
        <f>IFERROR(__xludf.DUMMYFUNCTION("""COMPUTED_VALUE"""),2.41)</f>
        <v>2.41</v>
      </c>
      <c r="F547" s="2"/>
      <c r="G547" s="2"/>
      <c r="H547" s="2"/>
      <c r="I547" s="2"/>
    </row>
    <row r="548">
      <c r="A548" s="2">
        <f>IFERROR(__xludf.DUMMYFUNCTION("""COMPUTED_VALUE"""),44465.0)</f>
        <v>44465</v>
      </c>
      <c r="B548" s="2" t="str">
        <f>IFERROR(__xludf.DUMMYFUNCTION("""COMPUTED_VALUE"""),"Tech")</f>
        <v>Tech</v>
      </c>
      <c r="C548" s="2" t="str">
        <f>IFERROR(__xludf.DUMMYFUNCTION("""COMPUTED_VALUE"""),"Paranormal")</f>
        <v>Paranormal</v>
      </c>
      <c r="D548" s="2" t="str">
        <f>IFERROR(__xludf.DUMMYFUNCTION("""COMPUTED_VALUE"""),"Starfall Publishing")</f>
        <v>Starfall Publishing</v>
      </c>
      <c r="E548" s="2">
        <f>IFERROR(__xludf.DUMMYFUNCTION("""COMPUTED_VALUE"""),2.5)</f>
        <v>2.5</v>
      </c>
      <c r="F548" s="2"/>
      <c r="G548" s="2"/>
      <c r="H548" s="2"/>
      <c r="I548" s="2"/>
    </row>
    <row r="549">
      <c r="A549" s="2">
        <f>IFERROR(__xludf.DUMMYFUNCTION("""COMPUTED_VALUE"""),44451.0)</f>
        <v>44451</v>
      </c>
      <c r="B549" s="2" t="str">
        <f>IFERROR(__xludf.DUMMYFUNCTION("""COMPUTED_VALUE"""),"Tech")</f>
        <v>Tech</v>
      </c>
      <c r="C549" s="2" t="str">
        <f>IFERROR(__xludf.DUMMYFUNCTION("""COMPUTED_VALUE"""),"Paranormal")</f>
        <v>Paranormal</v>
      </c>
      <c r="D549" s="2" t="str">
        <f>IFERROR(__xludf.DUMMYFUNCTION("""COMPUTED_VALUE"""),"Starfall Publishing")</f>
        <v>Starfall Publishing</v>
      </c>
      <c r="E549" s="2">
        <f>IFERROR(__xludf.DUMMYFUNCTION("""COMPUTED_VALUE"""),2.32)</f>
        <v>2.32</v>
      </c>
      <c r="F549" s="2"/>
      <c r="G549" s="2"/>
      <c r="H549" s="2"/>
      <c r="I549" s="2"/>
    </row>
    <row r="550">
      <c r="A550" s="2">
        <f>IFERROR(__xludf.DUMMYFUNCTION("""COMPUTED_VALUE"""),17664.0)</f>
        <v>17664</v>
      </c>
      <c r="B550" s="2" t="str">
        <f>IFERROR(__xludf.DUMMYFUNCTION("""COMPUTED_VALUE"""),"Tech")</f>
        <v>Tech</v>
      </c>
      <c r="C550" s="2" t="str">
        <f>IFERROR(__xludf.DUMMYFUNCTION("""COMPUTED_VALUE"""),"Paranormal")</f>
        <v>Paranormal</v>
      </c>
      <c r="D550" s="2" t="str">
        <f>IFERROR(__xludf.DUMMYFUNCTION("""COMPUTED_VALUE"""),"Starfall Publishing")</f>
        <v>Starfall Publishing</v>
      </c>
      <c r="E550" s="2">
        <f>IFERROR(__xludf.DUMMYFUNCTION("""COMPUTED_VALUE"""),3.79)</f>
        <v>3.79</v>
      </c>
      <c r="F550" s="2"/>
      <c r="G550" s="2"/>
      <c r="H550" s="2"/>
      <c r="I550" s="2"/>
    </row>
    <row r="551">
      <c r="A551" s="2">
        <f>IFERROR(__xludf.DUMMYFUNCTION("""COMPUTED_VALUE"""),44459.0)</f>
        <v>44459</v>
      </c>
      <c r="B551" s="2" t="str">
        <f>IFERROR(__xludf.DUMMYFUNCTION("""COMPUTED_VALUE"""),"Tech")</f>
        <v>Tech</v>
      </c>
      <c r="C551" s="2" t="str">
        <f>IFERROR(__xludf.DUMMYFUNCTION("""COMPUTED_VALUE"""),"Paranormal")</f>
        <v>Paranormal</v>
      </c>
      <c r="D551" s="2" t="str">
        <f>IFERROR(__xludf.DUMMYFUNCTION("""COMPUTED_VALUE"""),"Starfall Publishing")</f>
        <v>Starfall Publishing</v>
      </c>
      <c r="E551" s="2">
        <f>IFERROR(__xludf.DUMMYFUNCTION("""COMPUTED_VALUE"""),2.76)</f>
        <v>2.76</v>
      </c>
      <c r="F551" s="2"/>
      <c r="G551" s="2"/>
      <c r="H551" s="2"/>
      <c r="I551" s="2"/>
    </row>
    <row r="552">
      <c r="A552" s="2">
        <f>IFERROR(__xludf.DUMMYFUNCTION("""COMPUTED_VALUE"""),110398.0)</f>
        <v>110398</v>
      </c>
      <c r="B552" s="2" t="str">
        <f>IFERROR(__xludf.DUMMYFUNCTION("""COMPUTED_VALUE"""),"Tech")</f>
        <v>Tech</v>
      </c>
      <c r="C552" s="2" t="str">
        <f>IFERROR(__xludf.DUMMYFUNCTION("""COMPUTED_VALUE"""),"Paranormal")</f>
        <v>Paranormal</v>
      </c>
      <c r="D552" s="2" t="str">
        <f>IFERROR(__xludf.DUMMYFUNCTION("""COMPUTED_VALUE"""),"Starfall Publishing")</f>
        <v>Starfall Publishing</v>
      </c>
      <c r="E552" s="2">
        <f>IFERROR(__xludf.DUMMYFUNCTION("""COMPUTED_VALUE"""),1.6)</f>
        <v>1.6</v>
      </c>
      <c r="F552" s="2"/>
      <c r="G552" s="2"/>
      <c r="H552" s="2"/>
      <c r="I552" s="2"/>
    </row>
    <row r="553">
      <c r="A553" s="2">
        <f>IFERROR(__xludf.DUMMYFUNCTION("""COMPUTED_VALUE"""),149495.0)</f>
        <v>149495</v>
      </c>
      <c r="B553" s="2" t="str">
        <f>IFERROR(__xludf.DUMMYFUNCTION("""COMPUTED_VALUE"""),"Tech")</f>
        <v>Tech</v>
      </c>
      <c r="C553" s="2" t="str">
        <f>IFERROR(__xludf.DUMMYFUNCTION("""COMPUTED_VALUE"""),"Paranormal")</f>
        <v>Paranormal</v>
      </c>
      <c r="D553" s="2" t="str">
        <f>IFERROR(__xludf.DUMMYFUNCTION("""COMPUTED_VALUE"""),"Starfall Publishing")</f>
        <v>Starfall Publishing</v>
      </c>
      <c r="E553" s="2">
        <f>IFERROR(__xludf.DUMMYFUNCTION("""COMPUTED_VALUE"""),2.24)</f>
        <v>2.24</v>
      </c>
      <c r="F553" s="2"/>
      <c r="G553" s="2"/>
      <c r="H553" s="2"/>
      <c r="I553" s="2"/>
    </row>
    <row r="554">
      <c r="A554" s="2">
        <f>IFERROR(__xludf.DUMMYFUNCTION("""COMPUTED_VALUE"""),124685.0)</f>
        <v>124685</v>
      </c>
      <c r="B554" s="2" t="str">
        <f>IFERROR(__xludf.DUMMYFUNCTION("""COMPUTED_VALUE"""),"Tech")</f>
        <v>Tech</v>
      </c>
      <c r="C554" s="2" t="str">
        <f>IFERROR(__xludf.DUMMYFUNCTION("""COMPUTED_VALUE"""),"Paranormal")</f>
        <v>Paranormal</v>
      </c>
      <c r="D554" s="2" t="str">
        <f>IFERROR(__xludf.DUMMYFUNCTION("""COMPUTED_VALUE"""),"Starfall Publishing")</f>
        <v>Starfall Publishing</v>
      </c>
      <c r="E554" s="2">
        <f>IFERROR(__xludf.DUMMYFUNCTION("""COMPUTED_VALUE"""),1.42)</f>
        <v>1.42</v>
      </c>
      <c r="F554" s="2"/>
      <c r="G554" s="2"/>
      <c r="H554" s="2"/>
      <c r="I554" s="2"/>
    </row>
    <row r="555">
      <c r="A555" s="2">
        <f>IFERROR(__xludf.DUMMYFUNCTION("""COMPUTED_VALUE"""),110004.0)</f>
        <v>110004</v>
      </c>
      <c r="B555" s="2" t="str">
        <f>IFERROR(__xludf.DUMMYFUNCTION("""COMPUTED_VALUE"""),"Tech")</f>
        <v>Tech</v>
      </c>
      <c r="C555" s="2" t="str">
        <f>IFERROR(__xludf.DUMMYFUNCTION("""COMPUTED_VALUE"""),"Paranormal")</f>
        <v>Paranormal</v>
      </c>
      <c r="D555" s="2" t="str">
        <f>IFERROR(__xludf.DUMMYFUNCTION("""COMPUTED_VALUE"""),"Starfall Publishing")</f>
        <v>Starfall Publishing</v>
      </c>
      <c r="E555" s="2">
        <f>IFERROR(__xludf.DUMMYFUNCTION("""COMPUTED_VALUE"""),1.77)</f>
        <v>1.77</v>
      </c>
      <c r="F555" s="2"/>
      <c r="G555" s="2"/>
      <c r="H555" s="2"/>
      <c r="I555" s="2"/>
    </row>
    <row r="556">
      <c r="A556" s="2">
        <f>IFERROR(__xludf.DUMMYFUNCTION("""COMPUTED_VALUE"""),111052.0)</f>
        <v>111052</v>
      </c>
      <c r="B556" s="2" t="str">
        <f>IFERROR(__xludf.DUMMYFUNCTION("""COMPUTED_VALUE"""),"Tech")</f>
        <v>Tech</v>
      </c>
      <c r="C556" s="2" t="str">
        <f>IFERROR(__xludf.DUMMYFUNCTION("""COMPUTED_VALUE"""),"Paranormal")</f>
        <v>Paranormal</v>
      </c>
      <c r="D556" s="2" t="str">
        <f>IFERROR(__xludf.DUMMYFUNCTION("""COMPUTED_VALUE"""),"Starfall Publishing")</f>
        <v>Starfall Publishing</v>
      </c>
      <c r="E556" s="2">
        <f>IFERROR(__xludf.DUMMYFUNCTION("""COMPUTED_VALUE"""),7.63)</f>
        <v>7.63</v>
      </c>
      <c r="F556" s="2"/>
      <c r="G556" s="2"/>
      <c r="H556" s="2"/>
      <c r="I556" s="2"/>
    </row>
    <row r="557">
      <c r="A557" s="2">
        <f>IFERROR(__xludf.DUMMYFUNCTION("""COMPUTED_VALUE"""),102948.0)</f>
        <v>102948</v>
      </c>
      <c r="B557" s="2" t="str">
        <f>IFERROR(__xludf.DUMMYFUNCTION("""COMPUTED_VALUE"""),"Tech")</f>
        <v>Tech</v>
      </c>
      <c r="C557" s="2" t="str">
        <f>IFERROR(__xludf.DUMMYFUNCTION("""COMPUTED_VALUE"""),"Paranormal")</f>
        <v>Paranormal</v>
      </c>
      <c r="D557" s="2" t="str">
        <f>IFERROR(__xludf.DUMMYFUNCTION("""COMPUTED_VALUE"""),"Starfall Publishing")</f>
        <v>Starfall Publishing</v>
      </c>
      <c r="E557" s="2">
        <f>IFERROR(__xludf.DUMMYFUNCTION("""COMPUTED_VALUE"""),11.55)</f>
        <v>11.55</v>
      </c>
      <c r="F557" s="2"/>
      <c r="G557" s="2"/>
      <c r="H557" s="2"/>
      <c r="I557" s="2"/>
    </row>
    <row r="558">
      <c r="A558" s="2">
        <f>IFERROR(__xludf.DUMMYFUNCTION("""COMPUTED_VALUE"""),110000.0)</f>
        <v>110000</v>
      </c>
      <c r="B558" s="2" t="str">
        <f>IFERROR(__xludf.DUMMYFUNCTION("""COMPUTED_VALUE"""),"Tech")</f>
        <v>Tech</v>
      </c>
      <c r="C558" s="2" t="str">
        <f>IFERROR(__xludf.DUMMYFUNCTION("""COMPUTED_VALUE"""),"Paranormal")</f>
        <v>Paranormal</v>
      </c>
      <c r="D558" s="2" t="str">
        <f>IFERROR(__xludf.DUMMYFUNCTION("""COMPUTED_VALUE"""),"Starfall Publishing")</f>
        <v>Starfall Publishing</v>
      </c>
      <c r="E558" s="2">
        <f>IFERROR(__xludf.DUMMYFUNCTION("""COMPUTED_VALUE"""),1.68)</f>
        <v>1.68</v>
      </c>
      <c r="F558" s="2"/>
      <c r="G558" s="2"/>
      <c r="H558" s="2"/>
      <c r="I558" s="2"/>
    </row>
    <row r="559">
      <c r="A559" s="2">
        <f>IFERROR(__xludf.DUMMYFUNCTION("""COMPUTED_VALUE"""),7264.0)</f>
        <v>7264</v>
      </c>
      <c r="B559" s="2" t="str">
        <f>IFERROR(__xludf.DUMMYFUNCTION("""COMPUTED_VALUE"""),"Tech")</f>
        <v>Tech</v>
      </c>
      <c r="C559" s="2" t="str">
        <f>IFERROR(__xludf.DUMMYFUNCTION("""COMPUTED_VALUE"""),"Paranormal")</f>
        <v>Paranormal</v>
      </c>
      <c r="D559" s="2" t="str">
        <f>IFERROR(__xludf.DUMMYFUNCTION("""COMPUTED_VALUE"""),"Starfall Publishing")</f>
        <v>Starfall Publishing</v>
      </c>
      <c r="E559" s="2">
        <f>IFERROR(__xludf.DUMMYFUNCTION("""COMPUTED_VALUE"""),1.97)</f>
        <v>1.97</v>
      </c>
      <c r="F559" s="2"/>
      <c r="G559" s="2"/>
      <c r="H559" s="2"/>
      <c r="I559" s="2"/>
    </row>
    <row r="560">
      <c r="A560" s="2">
        <f>IFERROR(__xludf.DUMMYFUNCTION("""COMPUTED_VALUE"""),110005.0)</f>
        <v>110005</v>
      </c>
      <c r="B560" s="2" t="str">
        <f>IFERROR(__xludf.DUMMYFUNCTION("""COMPUTED_VALUE"""),"Tech")</f>
        <v>Tech</v>
      </c>
      <c r="C560" s="2" t="str">
        <f>IFERROR(__xludf.DUMMYFUNCTION("""COMPUTED_VALUE"""),"Paranormal")</f>
        <v>Paranormal</v>
      </c>
      <c r="D560" s="2" t="str">
        <f>IFERROR(__xludf.DUMMYFUNCTION("""COMPUTED_VALUE"""),"Starfall Publishing")</f>
        <v>Starfall Publishing</v>
      </c>
      <c r="E560" s="2">
        <f>IFERROR(__xludf.DUMMYFUNCTION("""COMPUTED_VALUE"""),1.81)</f>
        <v>1.81</v>
      </c>
      <c r="F560" s="2"/>
      <c r="G560" s="2"/>
      <c r="H560" s="2"/>
      <c r="I560" s="2"/>
    </row>
    <row r="561">
      <c r="A561" s="2">
        <f>IFERROR(__xludf.DUMMYFUNCTION("""COMPUTED_VALUE"""),124693.0)</f>
        <v>124693</v>
      </c>
      <c r="B561" s="2" t="str">
        <f>IFERROR(__xludf.DUMMYFUNCTION("""COMPUTED_VALUE"""),"Tech")</f>
        <v>Tech</v>
      </c>
      <c r="C561" s="2" t="str">
        <f>IFERROR(__xludf.DUMMYFUNCTION("""COMPUTED_VALUE"""),"Paranormal")</f>
        <v>Paranormal</v>
      </c>
      <c r="D561" s="2" t="str">
        <f>IFERROR(__xludf.DUMMYFUNCTION("""COMPUTED_VALUE"""),"Starfall Publishing")</f>
        <v>Starfall Publishing</v>
      </c>
      <c r="E561" s="2">
        <f>IFERROR(__xludf.DUMMYFUNCTION("""COMPUTED_VALUE"""),1.52)</f>
        <v>1.52</v>
      </c>
      <c r="F561" s="2"/>
      <c r="G561" s="2"/>
      <c r="H561" s="2"/>
      <c r="I561" s="2"/>
    </row>
    <row r="562">
      <c r="A562" s="2">
        <f>IFERROR(__xludf.DUMMYFUNCTION("""COMPUTED_VALUE"""),86501.0)</f>
        <v>86501</v>
      </c>
      <c r="B562" s="2" t="str">
        <f>IFERROR(__xludf.DUMMYFUNCTION("""COMPUTED_VALUE"""),"Tech")</f>
        <v>Tech</v>
      </c>
      <c r="C562" s="2" t="str">
        <f>IFERROR(__xludf.DUMMYFUNCTION("""COMPUTED_VALUE"""),"Paranormal")</f>
        <v>Paranormal</v>
      </c>
      <c r="D562" s="2" t="str">
        <f>IFERROR(__xludf.DUMMYFUNCTION("""COMPUTED_VALUE"""),"Starfall Publishing")</f>
        <v>Starfall Publishing</v>
      </c>
      <c r="E562" s="2">
        <f>IFERROR(__xludf.DUMMYFUNCTION("""COMPUTED_VALUE"""),7.67)</f>
        <v>7.67</v>
      </c>
      <c r="F562" s="2"/>
      <c r="G562" s="2"/>
      <c r="H562" s="2"/>
      <c r="I562" s="2"/>
    </row>
    <row r="563">
      <c r="A563" s="2">
        <f>IFERROR(__xludf.DUMMYFUNCTION("""COMPUTED_VALUE"""),101536.0)</f>
        <v>101536</v>
      </c>
      <c r="B563" s="2" t="str">
        <f>IFERROR(__xludf.DUMMYFUNCTION("""COMPUTED_VALUE"""),"Tech")</f>
        <v>Tech</v>
      </c>
      <c r="C563" s="2" t="str">
        <f>IFERROR(__xludf.DUMMYFUNCTION("""COMPUTED_VALUE"""),"Paranormal")</f>
        <v>Paranormal</v>
      </c>
      <c r="D563" s="2" t="str">
        <f>IFERROR(__xludf.DUMMYFUNCTION("""COMPUTED_VALUE"""),"Starfall Publishing")</f>
        <v>Starfall Publishing</v>
      </c>
      <c r="E563" s="2">
        <f>IFERROR(__xludf.DUMMYFUNCTION("""COMPUTED_VALUE"""),1.84)</f>
        <v>1.84</v>
      </c>
      <c r="F563" s="2"/>
      <c r="G563" s="2"/>
      <c r="H563" s="2"/>
      <c r="I563" s="2"/>
    </row>
    <row r="564">
      <c r="A564" s="2">
        <f>IFERROR(__xludf.DUMMYFUNCTION("""COMPUTED_VALUE"""),101534.0)</f>
        <v>101534</v>
      </c>
      <c r="B564" s="2" t="str">
        <f>IFERROR(__xludf.DUMMYFUNCTION("""COMPUTED_VALUE"""),"Tech")</f>
        <v>Tech</v>
      </c>
      <c r="C564" s="2" t="str">
        <f>IFERROR(__xludf.DUMMYFUNCTION("""COMPUTED_VALUE"""),"Paranormal")</f>
        <v>Paranormal</v>
      </c>
      <c r="D564" s="2" t="str">
        <f>IFERROR(__xludf.DUMMYFUNCTION("""COMPUTED_VALUE"""),"Starfall Publishing")</f>
        <v>Starfall Publishing</v>
      </c>
      <c r="E564" s="2">
        <f>IFERROR(__xludf.DUMMYFUNCTION("""COMPUTED_VALUE"""),1.51)</f>
        <v>1.51</v>
      </c>
      <c r="F564" s="2"/>
      <c r="G564" s="2"/>
      <c r="H564" s="2"/>
      <c r="I564" s="2"/>
    </row>
    <row r="565">
      <c r="A565" s="2">
        <f>IFERROR(__xludf.DUMMYFUNCTION("""COMPUTED_VALUE"""),110002.0)</f>
        <v>110002</v>
      </c>
      <c r="B565" s="2" t="str">
        <f>IFERROR(__xludf.DUMMYFUNCTION("""COMPUTED_VALUE"""),"Tech")</f>
        <v>Tech</v>
      </c>
      <c r="C565" s="2" t="str">
        <f>IFERROR(__xludf.DUMMYFUNCTION("""COMPUTED_VALUE"""),"Paranormal")</f>
        <v>Paranormal</v>
      </c>
      <c r="D565" s="2" t="str">
        <f>IFERROR(__xludf.DUMMYFUNCTION("""COMPUTED_VALUE"""),"Starfall Publishing")</f>
        <v>Starfall Publishing</v>
      </c>
      <c r="E565" s="2">
        <f>IFERROR(__xludf.DUMMYFUNCTION("""COMPUTED_VALUE"""),1.89)</f>
        <v>1.89</v>
      </c>
      <c r="F565" s="2"/>
      <c r="G565" s="2"/>
      <c r="H565" s="2"/>
      <c r="I565" s="2"/>
    </row>
    <row r="566">
      <c r="A566" s="2">
        <f>IFERROR(__xludf.DUMMYFUNCTION("""COMPUTED_VALUE"""),110001.0)</f>
        <v>110001</v>
      </c>
      <c r="B566" s="2" t="str">
        <f>IFERROR(__xludf.DUMMYFUNCTION("""COMPUTED_VALUE"""),"Tech")</f>
        <v>Tech</v>
      </c>
      <c r="C566" s="2" t="str">
        <f>IFERROR(__xludf.DUMMYFUNCTION("""COMPUTED_VALUE"""),"Paranormal")</f>
        <v>Paranormal</v>
      </c>
      <c r="D566" s="2" t="str">
        <f>IFERROR(__xludf.DUMMYFUNCTION("""COMPUTED_VALUE"""),"Starfall Publishing")</f>
        <v>Starfall Publishing</v>
      </c>
      <c r="E566" s="2">
        <f>IFERROR(__xludf.DUMMYFUNCTION("""COMPUTED_VALUE"""),1.86)</f>
        <v>1.86</v>
      </c>
      <c r="F566" s="2"/>
      <c r="G566" s="2"/>
      <c r="H566" s="2"/>
      <c r="I566" s="2"/>
    </row>
    <row r="567">
      <c r="A567" s="2">
        <f>IFERROR(__xludf.DUMMYFUNCTION("""COMPUTED_VALUE"""),111051.0)</f>
        <v>111051</v>
      </c>
      <c r="B567" s="2" t="str">
        <f>IFERROR(__xludf.DUMMYFUNCTION("""COMPUTED_VALUE"""),"Tech")</f>
        <v>Tech</v>
      </c>
      <c r="C567" s="2" t="str">
        <f>IFERROR(__xludf.DUMMYFUNCTION("""COMPUTED_VALUE"""),"Paranormal")</f>
        <v>Paranormal</v>
      </c>
      <c r="D567" s="2" t="str">
        <f>IFERROR(__xludf.DUMMYFUNCTION("""COMPUTED_VALUE"""),"Starfall Publishing")</f>
        <v>Starfall Publishing</v>
      </c>
      <c r="E567" s="2">
        <f>IFERROR(__xludf.DUMMYFUNCTION("""COMPUTED_VALUE"""),8.03)</f>
        <v>8.03</v>
      </c>
      <c r="F567" s="2"/>
      <c r="G567" s="2"/>
      <c r="H567" s="2"/>
      <c r="I567" s="2"/>
    </row>
    <row r="568">
      <c r="A568" s="2">
        <f>IFERROR(__xludf.DUMMYFUNCTION("""COMPUTED_VALUE"""),7258.0)</f>
        <v>7258</v>
      </c>
      <c r="B568" s="2" t="str">
        <f>IFERROR(__xludf.DUMMYFUNCTION("""COMPUTED_VALUE"""),"Tech")</f>
        <v>Tech</v>
      </c>
      <c r="C568" s="2" t="str">
        <f>IFERROR(__xludf.DUMMYFUNCTION("""COMPUTED_VALUE"""),"Paranormal")</f>
        <v>Paranormal</v>
      </c>
      <c r="D568" s="2" t="str">
        <f>IFERROR(__xludf.DUMMYFUNCTION("""COMPUTED_VALUE"""),"Starfall Publishing")</f>
        <v>Starfall Publishing</v>
      </c>
      <c r="E568" s="2">
        <f>IFERROR(__xludf.DUMMYFUNCTION("""COMPUTED_VALUE"""),2.1)</f>
        <v>2.1</v>
      </c>
      <c r="F568" s="2"/>
      <c r="G568" s="2"/>
      <c r="H568" s="2"/>
      <c r="I568" s="2"/>
    </row>
    <row r="569">
      <c r="A569" s="2">
        <f>IFERROR(__xludf.DUMMYFUNCTION("""COMPUTED_VALUE"""),111053.0)</f>
        <v>111053</v>
      </c>
      <c r="B569" s="2" t="str">
        <f>IFERROR(__xludf.DUMMYFUNCTION("""COMPUTED_VALUE"""),"Tech")</f>
        <v>Tech</v>
      </c>
      <c r="C569" s="2" t="str">
        <f>IFERROR(__xludf.DUMMYFUNCTION("""COMPUTED_VALUE"""),"Paranormal")</f>
        <v>Paranormal</v>
      </c>
      <c r="D569" s="2" t="str">
        <f>IFERROR(__xludf.DUMMYFUNCTION("""COMPUTED_VALUE"""),"Starfall Publishing")</f>
        <v>Starfall Publishing</v>
      </c>
      <c r="E569" s="2">
        <f>IFERROR(__xludf.DUMMYFUNCTION("""COMPUTED_VALUE"""),7.65)</f>
        <v>7.65</v>
      </c>
      <c r="F569" s="2"/>
      <c r="G569" s="2"/>
      <c r="H569" s="2"/>
      <c r="I569" s="2"/>
    </row>
    <row r="570">
      <c r="A570" s="2">
        <f>IFERROR(__xludf.DUMMYFUNCTION("""COMPUTED_VALUE"""),120996.0)</f>
        <v>120996</v>
      </c>
      <c r="B570" s="2" t="str">
        <f>IFERROR(__xludf.DUMMYFUNCTION("""COMPUTED_VALUE"""),"Tech")</f>
        <v>Tech</v>
      </c>
      <c r="C570" s="2" t="str">
        <f>IFERROR(__xludf.DUMMYFUNCTION("""COMPUTED_VALUE"""),"Paranormal")</f>
        <v>Paranormal</v>
      </c>
      <c r="D570" s="2" t="str">
        <f>IFERROR(__xludf.DUMMYFUNCTION("""COMPUTED_VALUE"""),"Starfall Publishing")</f>
        <v>Starfall Publishing</v>
      </c>
      <c r="E570" s="2">
        <f>IFERROR(__xludf.DUMMYFUNCTION("""COMPUTED_VALUE"""),1.68)</f>
        <v>1.68</v>
      </c>
      <c r="F570" s="2"/>
      <c r="G570" s="2"/>
      <c r="H570" s="2"/>
      <c r="I570" s="2"/>
    </row>
    <row r="571">
      <c r="A571" s="2">
        <f>IFERROR(__xludf.DUMMYFUNCTION("""COMPUTED_VALUE"""),109746.0)</f>
        <v>109746</v>
      </c>
      <c r="B571" s="2" t="str">
        <f>IFERROR(__xludf.DUMMYFUNCTION("""COMPUTED_VALUE"""),"Tech")</f>
        <v>Tech</v>
      </c>
      <c r="C571" s="2" t="str">
        <f>IFERROR(__xludf.DUMMYFUNCTION("""COMPUTED_VALUE"""),"Paranormal")</f>
        <v>Paranormal</v>
      </c>
      <c r="D571" s="2" t="str">
        <f>IFERROR(__xludf.DUMMYFUNCTION("""COMPUTED_VALUE"""),"Starfall Publishing")</f>
        <v>Starfall Publishing</v>
      </c>
      <c r="E571" s="2">
        <f>IFERROR(__xludf.DUMMYFUNCTION("""COMPUTED_VALUE"""),9.39)</f>
        <v>9.39</v>
      </c>
      <c r="F571" s="2"/>
      <c r="G571" s="2"/>
      <c r="H571" s="2"/>
      <c r="I571" s="2"/>
    </row>
    <row r="572">
      <c r="A572" s="2">
        <f>IFERROR(__xludf.DUMMYFUNCTION("""COMPUTED_VALUE"""),147288.0)</f>
        <v>147288</v>
      </c>
      <c r="B572" s="2" t="str">
        <f>IFERROR(__xludf.DUMMYFUNCTION("""COMPUTED_VALUE"""),"Tech")</f>
        <v>Tech</v>
      </c>
      <c r="C572" s="2" t="str">
        <f>IFERROR(__xludf.DUMMYFUNCTION("""COMPUTED_VALUE"""),"Paranormal")</f>
        <v>Paranormal</v>
      </c>
      <c r="D572" s="2" t="str">
        <f>IFERROR(__xludf.DUMMYFUNCTION("""COMPUTED_VALUE"""),"Starfall Publishing")</f>
        <v>Starfall Publishing</v>
      </c>
      <c r="E572" s="2">
        <f>IFERROR(__xludf.DUMMYFUNCTION("""COMPUTED_VALUE"""),3.69)</f>
        <v>3.69</v>
      </c>
      <c r="F572" s="2"/>
      <c r="G572" s="2"/>
      <c r="H572" s="2"/>
      <c r="I572" s="2"/>
    </row>
    <row r="573">
      <c r="A573" s="2">
        <f>IFERROR(__xludf.DUMMYFUNCTION("""COMPUTED_VALUE"""),120997.0)</f>
        <v>120997</v>
      </c>
      <c r="B573" s="2" t="str">
        <f>IFERROR(__xludf.DUMMYFUNCTION("""COMPUTED_VALUE"""),"Tech")</f>
        <v>Tech</v>
      </c>
      <c r="C573" s="2" t="str">
        <f>IFERROR(__xludf.DUMMYFUNCTION("""COMPUTED_VALUE"""),"Paranormal")</f>
        <v>Paranormal</v>
      </c>
      <c r="D573" s="2" t="str">
        <f>IFERROR(__xludf.DUMMYFUNCTION("""COMPUTED_VALUE"""),"Starfall Publishing")</f>
        <v>Starfall Publishing</v>
      </c>
      <c r="E573" s="2">
        <f>IFERROR(__xludf.DUMMYFUNCTION("""COMPUTED_VALUE"""),1.59)</f>
        <v>1.59</v>
      </c>
      <c r="F573" s="2"/>
      <c r="G573" s="2"/>
      <c r="H573" s="2"/>
      <c r="I573" s="2"/>
    </row>
    <row r="574">
      <c r="A574" s="2">
        <f>IFERROR(__xludf.DUMMYFUNCTION("""COMPUTED_VALUE"""),109742.0)</f>
        <v>109742</v>
      </c>
      <c r="B574" s="2" t="str">
        <f>IFERROR(__xludf.DUMMYFUNCTION("""COMPUTED_VALUE"""),"Tech")</f>
        <v>Tech</v>
      </c>
      <c r="C574" s="2" t="str">
        <f>IFERROR(__xludf.DUMMYFUNCTION("""COMPUTED_VALUE"""),"Paranormal")</f>
        <v>Paranormal</v>
      </c>
      <c r="D574" s="2" t="str">
        <f>IFERROR(__xludf.DUMMYFUNCTION("""COMPUTED_VALUE"""),"Starfall Publishing")</f>
        <v>Starfall Publishing</v>
      </c>
      <c r="E574" s="2">
        <f>IFERROR(__xludf.DUMMYFUNCTION("""COMPUTED_VALUE"""),48.23)</f>
        <v>48.23</v>
      </c>
      <c r="F574" s="2"/>
      <c r="G574" s="2"/>
      <c r="H574" s="2"/>
      <c r="I574" s="2"/>
    </row>
    <row r="575">
      <c r="A575" s="2">
        <f>IFERROR(__xludf.DUMMYFUNCTION("""COMPUTED_VALUE"""),156013.0)</f>
        <v>156013</v>
      </c>
      <c r="B575" s="2" t="str">
        <f>IFERROR(__xludf.DUMMYFUNCTION("""COMPUTED_VALUE"""),"Tech")</f>
        <v>Tech</v>
      </c>
      <c r="C575" s="2" t="str">
        <f>IFERROR(__xludf.DUMMYFUNCTION("""COMPUTED_VALUE"""),"Paranormal")</f>
        <v>Paranormal</v>
      </c>
      <c r="D575" s="2" t="str">
        <f>IFERROR(__xludf.DUMMYFUNCTION("""COMPUTED_VALUE"""),"Starfall Publishing")</f>
        <v>Starfall Publishing</v>
      </c>
      <c r="E575" s="2">
        <f>IFERROR(__xludf.DUMMYFUNCTION("""COMPUTED_VALUE"""),3.78)</f>
        <v>3.78</v>
      </c>
      <c r="F575" s="2"/>
      <c r="G575" s="2"/>
      <c r="H575" s="2"/>
      <c r="I575" s="2"/>
    </row>
    <row r="576">
      <c r="A576" s="2">
        <f>IFERROR(__xludf.DUMMYFUNCTION("""COMPUTED_VALUE"""),98426.0)</f>
        <v>98426</v>
      </c>
      <c r="B576" s="2" t="str">
        <f>IFERROR(__xludf.DUMMYFUNCTION("""COMPUTED_VALUE"""),"Tech")</f>
        <v>Tech</v>
      </c>
      <c r="C576" s="2" t="str">
        <f>IFERROR(__xludf.DUMMYFUNCTION("""COMPUTED_VALUE"""),"Paranormal")</f>
        <v>Paranormal</v>
      </c>
      <c r="D576" s="2" t="str">
        <f>IFERROR(__xludf.DUMMYFUNCTION("""COMPUTED_VALUE"""),"Starfall Publishing")</f>
        <v>Starfall Publishing</v>
      </c>
      <c r="E576" s="2">
        <f>IFERROR(__xludf.DUMMYFUNCTION("""COMPUTED_VALUE"""),2.01)</f>
        <v>2.01</v>
      </c>
      <c r="F576" s="2"/>
      <c r="G576" s="2"/>
      <c r="H576" s="2"/>
      <c r="I576" s="2"/>
    </row>
    <row r="577">
      <c r="A577" s="2">
        <f>IFERROR(__xludf.DUMMYFUNCTION("""COMPUTED_VALUE"""),110006.0)</f>
        <v>110006</v>
      </c>
      <c r="B577" s="2" t="str">
        <f>IFERROR(__xludf.DUMMYFUNCTION("""COMPUTED_VALUE"""),"Tech")</f>
        <v>Tech</v>
      </c>
      <c r="C577" s="2" t="str">
        <f>IFERROR(__xludf.DUMMYFUNCTION("""COMPUTED_VALUE"""),"Paranormal")</f>
        <v>Paranormal</v>
      </c>
      <c r="D577" s="2" t="str">
        <f>IFERROR(__xludf.DUMMYFUNCTION("""COMPUTED_VALUE"""),"Starfall Publishing")</f>
        <v>Starfall Publishing</v>
      </c>
      <c r="E577" s="2">
        <f>IFERROR(__xludf.DUMMYFUNCTION("""COMPUTED_VALUE"""),1.74)</f>
        <v>1.74</v>
      </c>
      <c r="F577" s="2"/>
      <c r="G577" s="2"/>
      <c r="H577" s="2"/>
      <c r="I577" s="2"/>
    </row>
    <row r="578">
      <c r="A578" s="2">
        <f>IFERROR(__xludf.DUMMYFUNCTION("""COMPUTED_VALUE"""),110409.0)</f>
        <v>110409</v>
      </c>
      <c r="B578" s="2" t="str">
        <f>IFERROR(__xludf.DUMMYFUNCTION("""COMPUTED_VALUE"""),"Tech")</f>
        <v>Tech</v>
      </c>
      <c r="C578" s="2" t="str">
        <f>IFERROR(__xludf.DUMMYFUNCTION("""COMPUTED_VALUE"""),"Paranormal")</f>
        <v>Paranormal</v>
      </c>
      <c r="D578" s="2" t="str">
        <f>IFERROR(__xludf.DUMMYFUNCTION("""COMPUTED_VALUE"""),"Deep River Books")</f>
        <v>Deep River Books</v>
      </c>
      <c r="E578" s="2">
        <f>IFERROR(__xludf.DUMMYFUNCTION("""COMPUTED_VALUE"""),2.3)</f>
        <v>2.3</v>
      </c>
      <c r="F578" s="2"/>
      <c r="G578" s="2"/>
      <c r="H578" s="2"/>
      <c r="I578" s="2"/>
    </row>
    <row r="579">
      <c r="A579" s="2">
        <f>IFERROR(__xludf.DUMMYFUNCTION("""COMPUTED_VALUE"""),117774.0)</f>
        <v>117774</v>
      </c>
      <c r="B579" s="2" t="str">
        <f>IFERROR(__xludf.DUMMYFUNCTION("""COMPUTED_VALUE"""),"Tech")</f>
        <v>Tech</v>
      </c>
      <c r="C579" s="2" t="str">
        <f>IFERROR(__xludf.DUMMYFUNCTION("""COMPUTED_VALUE"""),"Paranormal")</f>
        <v>Paranormal</v>
      </c>
      <c r="D579" s="2" t="str">
        <f>IFERROR(__xludf.DUMMYFUNCTION("""COMPUTED_VALUE"""),"Deep River Books")</f>
        <v>Deep River Books</v>
      </c>
      <c r="E579" s="2">
        <f>IFERROR(__xludf.DUMMYFUNCTION("""COMPUTED_VALUE"""),4.02)</f>
        <v>4.02</v>
      </c>
      <c r="F579" s="2"/>
      <c r="G579" s="2"/>
      <c r="H579" s="2"/>
      <c r="I579" s="2"/>
    </row>
    <row r="580">
      <c r="A580" s="2">
        <f>IFERROR(__xludf.DUMMYFUNCTION("""COMPUTED_VALUE"""),110411.0)</f>
        <v>110411</v>
      </c>
      <c r="B580" s="2" t="str">
        <f>IFERROR(__xludf.DUMMYFUNCTION("""COMPUTED_VALUE"""),"Tech")</f>
        <v>Tech</v>
      </c>
      <c r="C580" s="2" t="str">
        <f>IFERROR(__xludf.DUMMYFUNCTION("""COMPUTED_VALUE"""),"Paranormal")</f>
        <v>Paranormal</v>
      </c>
      <c r="D580" s="2" t="str">
        <f>IFERROR(__xludf.DUMMYFUNCTION("""COMPUTED_VALUE"""),"Deep River Books")</f>
        <v>Deep River Books</v>
      </c>
      <c r="E580" s="2">
        <f>IFERROR(__xludf.DUMMYFUNCTION("""COMPUTED_VALUE"""),2.37)</f>
        <v>2.37</v>
      </c>
      <c r="F580" s="2"/>
      <c r="G580" s="2"/>
      <c r="H580" s="2"/>
      <c r="I580" s="2"/>
    </row>
    <row r="581">
      <c r="A581" s="2">
        <f>IFERROR(__xludf.DUMMYFUNCTION("""COMPUTED_VALUE"""),86743.0)</f>
        <v>86743</v>
      </c>
      <c r="B581" s="2" t="str">
        <f>IFERROR(__xludf.DUMMYFUNCTION("""COMPUTED_VALUE"""),"Tech")</f>
        <v>Tech</v>
      </c>
      <c r="C581" s="2" t="str">
        <f>IFERROR(__xludf.DUMMYFUNCTION("""COMPUTED_VALUE"""),"Paranormal")</f>
        <v>Paranormal</v>
      </c>
      <c r="D581" s="2" t="str">
        <f>IFERROR(__xludf.DUMMYFUNCTION("""COMPUTED_VALUE"""),"Deep River Books")</f>
        <v>Deep River Books</v>
      </c>
      <c r="E581" s="2">
        <f>IFERROR(__xludf.DUMMYFUNCTION("""COMPUTED_VALUE"""),7.08)</f>
        <v>7.08</v>
      </c>
      <c r="F581" s="2"/>
      <c r="G581" s="2"/>
      <c r="H581" s="2"/>
      <c r="I581" s="2"/>
    </row>
    <row r="582">
      <c r="A582" s="2">
        <f>IFERROR(__xludf.DUMMYFUNCTION("""COMPUTED_VALUE"""),86691.0)</f>
        <v>86691</v>
      </c>
      <c r="B582" s="2" t="str">
        <f>IFERROR(__xludf.DUMMYFUNCTION("""COMPUTED_VALUE"""),"Tech")</f>
        <v>Tech</v>
      </c>
      <c r="C582" s="2" t="str">
        <f>IFERROR(__xludf.DUMMYFUNCTION("""COMPUTED_VALUE"""),"Paranormal")</f>
        <v>Paranormal</v>
      </c>
      <c r="D582" s="2" t="str">
        <f>IFERROR(__xludf.DUMMYFUNCTION("""COMPUTED_VALUE"""),"Deep River Books")</f>
        <v>Deep River Books</v>
      </c>
      <c r="E582" s="2">
        <f>IFERROR(__xludf.DUMMYFUNCTION("""COMPUTED_VALUE"""),10.35)</f>
        <v>10.35</v>
      </c>
      <c r="F582" s="2"/>
      <c r="G582" s="2"/>
      <c r="H582" s="2"/>
      <c r="I582" s="2"/>
    </row>
    <row r="583">
      <c r="A583" s="2">
        <f>IFERROR(__xludf.DUMMYFUNCTION("""COMPUTED_VALUE"""),7257.0)</f>
        <v>7257</v>
      </c>
      <c r="B583" s="2" t="str">
        <f>IFERROR(__xludf.DUMMYFUNCTION("""COMPUTED_VALUE"""),"Tech")</f>
        <v>Tech</v>
      </c>
      <c r="C583" s="2" t="str">
        <f>IFERROR(__xludf.DUMMYFUNCTION("""COMPUTED_VALUE"""),"Paranormal")</f>
        <v>Paranormal</v>
      </c>
      <c r="D583" s="2" t="str">
        <f>IFERROR(__xludf.DUMMYFUNCTION("""COMPUTED_VALUE"""),"Deep River Books")</f>
        <v>Deep River Books</v>
      </c>
      <c r="E583" s="2">
        <f>IFERROR(__xludf.DUMMYFUNCTION("""COMPUTED_VALUE"""),2.58)</f>
        <v>2.58</v>
      </c>
      <c r="F583" s="2"/>
      <c r="G583" s="2"/>
      <c r="H583" s="2"/>
      <c r="I583" s="2"/>
    </row>
    <row r="584">
      <c r="A584" s="2">
        <f>IFERROR(__xludf.DUMMYFUNCTION("""COMPUTED_VALUE"""),77706.0)</f>
        <v>77706</v>
      </c>
      <c r="B584" s="2" t="str">
        <f>IFERROR(__xludf.DUMMYFUNCTION("""COMPUTED_VALUE"""),"Tech")</f>
        <v>Tech</v>
      </c>
      <c r="C584" s="2" t="str">
        <f>IFERROR(__xludf.DUMMYFUNCTION("""COMPUTED_VALUE"""),"Paranormal")</f>
        <v>Paranormal</v>
      </c>
      <c r="D584" s="2" t="str">
        <f>IFERROR(__xludf.DUMMYFUNCTION("""COMPUTED_VALUE"""),"Grand Harbor Press")</f>
        <v>Grand Harbor Press</v>
      </c>
      <c r="E584" s="2">
        <f>IFERROR(__xludf.DUMMYFUNCTION("""COMPUTED_VALUE"""),9.89)</f>
        <v>9.89</v>
      </c>
      <c r="F584" s="2"/>
      <c r="G584" s="2"/>
      <c r="H584" s="2"/>
      <c r="I584" s="2"/>
    </row>
    <row r="585">
      <c r="A585" s="2">
        <f>IFERROR(__xludf.DUMMYFUNCTION("""COMPUTED_VALUE"""),122599.0)</f>
        <v>122599</v>
      </c>
      <c r="B585" s="2" t="str">
        <f>IFERROR(__xludf.DUMMYFUNCTION("""COMPUTED_VALUE"""),"Tech")</f>
        <v>Tech</v>
      </c>
      <c r="C585" s="2" t="str">
        <f>IFERROR(__xludf.DUMMYFUNCTION("""COMPUTED_VALUE"""),"Paranormal")</f>
        <v>Paranormal</v>
      </c>
      <c r="D585" s="2" t="str">
        <f>IFERROR(__xludf.DUMMYFUNCTION("""COMPUTED_VALUE"""),"Grand Harbor Press")</f>
        <v>Grand Harbor Press</v>
      </c>
      <c r="E585" s="2">
        <f>IFERROR(__xludf.DUMMYFUNCTION("""COMPUTED_VALUE"""),5.02)</f>
        <v>5.02</v>
      </c>
      <c r="F585" s="2"/>
      <c r="G585" s="2"/>
      <c r="H585" s="2"/>
      <c r="I585" s="2"/>
    </row>
    <row r="586">
      <c r="A586" s="2">
        <f>IFERROR(__xludf.DUMMYFUNCTION("""COMPUTED_VALUE"""),109741.0)</f>
        <v>109741</v>
      </c>
      <c r="B586" s="2" t="str">
        <f>IFERROR(__xludf.DUMMYFUNCTION("""COMPUTED_VALUE"""),"Tech")</f>
        <v>Tech</v>
      </c>
      <c r="C586" s="2" t="str">
        <f>IFERROR(__xludf.DUMMYFUNCTION("""COMPUTED_VALUE"""),"Paranormal")</f>
        <v>Paranormal</v>
      </c>
      <c r="D586" s="2" t="str">
        <f>IFERROR(__xludf.DUMMYFUNCTION("""COMPUTED_VALUE"""),"Grand Harbor Press")</f>
        <v>Grand Harbor Press</v>
      </c>
      <c r="E586" s="2">
        <f>IFERROR(__xludf.DUMMYFUNCTION("""COMPUTED_VALUE"""),7.48)</f>
        <v>7.48</v>
      </c>
      <c r="F586" s="2"/>
      <c r="G586" s="2"/>
      <c r="H586" s="2"/>
      <c r="I586" s="2"/>
    </row>
    <row r="587">
      <c r="A587" s="2">
        <f>IFERROR(__xludf.DUMMYFUNCTION("""COMPUTED_VALUE"""),69064.0)</f>
        <v>69064</v>
      </c>
      <c r="B587" s="2" t="str">
        <f>IFERROR(__xludf.DUMMYFUNCTION("""COMPUTED_VALUE"""),"Tech")</f>
        <v>Tech</v>
      </c>
      <c r="C587" s="2" t="str">
        <f>IFERROR(__xludf.DUMMYFUNCTION("""COMPUTED_VALUE"""),"Paranormal")</f>
        <v>Paranormal</v>
      </c>
      <c r="D587" s="2" t="str">
        <f>IFERROR(__xludf.DUMMYFUNCTION("""COMPUTED_VALUE"""),"Grand Harbor Press")</f>
        <v>Grand Harbor Press</v>
      </c>
      <c r="E587" s="2">
        <f>IFERROR(__xludf.DUMMYFUNCTION("""COMPUTED_VALUE"""),0.95)</f>
        <v>0.95</v>
      </c>
      <c r="F587" s="2"/>
      <c r="G587" s="2"/>
      <c r="H587" s="2"/>
      <c r="I587" s="2"/>
    </row>
    <row r="588">
      <c r="A588" s="2">
        <f>IFERROR(__xludf.DUMMYFUNCTION("""COMPUTED_VALUE"""),119447.0)</f>
        <v>119447</v>
      </c>
      <c r="B588" s="2" t="str">
        <f>IFERROR(__xludf.DUMMYFUNCTION("""COMPUTED_VALUE"""),"Tech")</f>
        <v>Tech</v>
      </c>
      <c r="C588" s="2" t="str">
        <f>IFERROR(__xludf.DUMMYFUNCTION("""COMPUTED_VALUE"""),"Paranormal")</f>
        <v>Paranormal</v>
      </c>
      <c r="D588" s="2" t="str">
        <f>IFERROR(__xludf.DUMMYFUNCTION("""COMPUTED_VALUE"""),"Grand Harbor Press")</f>
        <v>Grand Harbor Press</v>
      </c>
      <c r="E588" s="2">
        <f>IFERROR(__xludf.DUMMYFUNCTION("""COMPUTED_VALUE"""),5.55)</f>
        <v>5.55</v>
      </c>
      <c r="F588" s="2"/>
      <c r="G588" s="2"/>
      <c r="H588" s="2"/>
      <c r="I588" s="2"/>
    </row>
    <row r="589">
      <c r="A589" s="2">
        <f>IFERROR(__xludf.DUMMYFUNCTION("""COMPUTED_VALUE"""),111730.0)</f>
        <v>111730</v>
      </c>
      <c r="B589" s="2" t="str">
        <f>IFERROR(__xludf.DUMMYFUNCTION("""COMPUTED_VALUE"""),"Tech")</f>
        <v>Tech</v>
      </c>
      <c r="C589" s="2" t="str">
        <f>IFERROR(__xludf.DUMMYFUNCTION("""COMPUTED_VALUE"""),"Paranormal")</f>
        <v>Paranormal</v>
      </c>
      <c r="D589" s="2" t="str">
        <f>IFERROR(__xludf.DUMMYFUNCTION("""COMPUTED_VALUE"""),"Grand Harbor Press")</f>
        <v>Grand Harbor Press</v>
      </c>
      <c r="E589" s="2">
        <f>IFERROR(__xludf.DUMMYFUNCTION("""COMPUTED_VALUE"""),7.32)</f>
        <v>7.32</v>
      </c>
      <c r="F589" s="2"/>
      <c r="G589" s="2"/>
      <c r="H589" s="2"/>
      <c r="I589" s="2"/>
    </row>
    <row r="590">
      <c r="A590" s="2">
        <f>IFERROR(__xludf.DUMMYFUNCTION("""COMPUTED_VALUE"""),100437.0)</f>
        <v>100437</v>
      </c>
      <c r="B590" s="2" t="str">
        <f>IFERROR(__xludf.DUMMYFUNCTION("""COMPUTED_VALUE"""),"Tech")</f>
        <v>Tech</v>
      </c>
      <c r="C590" s="2" t="str">
        <f>IFERROR(__xludf.DUMMYFUNCTION("""COMPUTED_VALUE"""),"Paranormal")</f>
        <v>Paranormal</v>
      </c>
      <c r="D590" s="2" t="str">
        <f>IFERROR(__xludf.DUMMYFUNCTION("""COMPUTED_VALUE"""),"Grand Harbor Press")</f>
        <v>Grand Harbor Press</v>
      </c>
      <c r="E590" s="2">
        <f>IFERROR(__xludf.DUMMYFUNCTION("""COMPUTED_VALUE"""),0.95)</f>
        <v>0.95</v>
      </c>
      <c r="F590" s="2"/>
      <c r="G590" s="2"/>
      <c r="H590" s="2"/>
      <c r="I590" s="2"/>
    </row>
    <row r="591">
      <c r="A591" s="2">
        <f>IFERROR(__xludf.DUMMYFUNCTION("""COMPUTED_VALUE"""),92304.0)</f>
        <v>92304</v>
      </c>
      <c r="B591" s="2" t="str">
        <f>IFERROR(__xludf.DUMMYFUNCTION("""COMPUTED_VALUE"""),"Tech")</f>
        <v>Tech</v>
      </c>
      <c r="C591" s="2" t="str">
        <f>IFERROR(__xludf.DUMMYFUNCTION("""COMPUTED_VALUE"""),"Paranormal")</f>
        <v>Paranormal</v>
      </c>
      <c r="D591" s="2" t="str">
        <f>IFERROR(__xludf.DUMMYFUNCTION("""COMPUTED_VALUE"""),"Grand Harbor Press")</f>
        <v>Grand Harbor Press</v>
      </c>
      <c r="E591" s="2">
        <f>IFERROR(__xludf.DUMMYFUNCTION("""COMPUTED_VALUE"""),7.93)</f>
        <v>7.93</v>
      </c>
      <c r="F591" s="2"/>
      <c r="G591" s="2"/>
      <c r="H591" s="2"/>
      <c r="I591" s="2"/>
    </row>
    <row r="592">
      <c r="A592" s="2">
        <f>IFERROR(__xludf.DUMMYFUNCTION("""COMPUTED_VALUE"""),103655.0)</f>
        <v>103655</v>
      </c>
      <c r="B592" s="2" t="str">
        <f>IFERROR(__xludf.DUMMYFUNCTION("""COMPUTED_VALUE"""),"Tech")</f>
        <v>Tech</v>
      </c>
      <c r="C592" s="2" t="str">
        <f>IFERROR(__xludf.DUMMYFUNCTION("""COMPUTED_VALUE"""),"Paranormal")</f>
        <v>Paranormal</v>
      </c>
      <c r="D592" s="2" t="str">
        <f>IFERROR(__xludf.DUMMYFUNCTION("""COMPUTED_VALUE"""),"Grand Harbor Press")</f>
        <v>Grand Harbor Press</v>
      </c>
      <c r="E592" s="2">
        <f>IFERROR(__xludf.DUMMYFUNCTION("""COMPUTED_VALUE"""),0.53)</f>
        <v>0.53</v>
      </c>
      <c r="F592" s="2"/>
      <c r="G592" s="2"/>
      <c r="H592" s="2"/>
      <c r="I592" s="2"/>
    </row>
    <row r="593">
      <c r="A593" s="2">
        <f>IFERROR(__xludf.DUMMYFUNCTION("""COMPUTED_VALUE"""),103656.0)</f>
        <v>103656</v>
      </c>
      <c r="B593" s="2" t="str">
        <f>IFERROR(__xludf.DUMMYFUNCTION("""COMPUTED_VALUE"""),"Tech")</f>
        <v>Tech</v>
      </c>
      <c r="C593" s="2" t="str">
        <f>IFERROR(__xludf.DUMMYFUNCTION("""COMPUTED_VALUE"""),"Paranormal")</f>
        <v>Paranormal</v>
      </c>
      <c r="D593" s="2" t="str">
        <f>IFERROR(__xludf.DUMMYFUNCTION("""COMPUTED_VALUE"""),"Grand Harbor Press")</f>
        <v>Grand Harbor Press</v>
      </c>
      <c r="E593" s="2">
        <f>IFERROR(__xludf.DUMMYFUNCTION("""COMPUTED_VALUE"""),0.53)</f>
        <v>0.53</v>
      </c>
      <c r="F593" s="2"/>
      <c r="G593" s="2"/>
      <c r="H593" s="2"/>
      <c r="I593" s="2"/>
    </row>
    <row r="594">
      <c r="A594" s="2">
        <f>IFERROR(__xludf.DUMMYFUNCTION("""COMPUTED_VALUE"""),103704.0)</f>
        <v>103704</v>
      </c>
      <c r="B594" s="2" t="str">
        <f>IFERROR(__xludf.DUMMYFUNCTION("""COMPUTED_VALUE"""),"Tech")</f>
        <v>Tech</v>
      </c>
      <c r="C594" s="2" t="str">
        <f>IFERROR(__xludf.DUMMYFUNCTION("""COMPUTED_VALUE"""),"Paranormal")</f>
        <v>Paranormal</v>
      </c>
      <c r="D594" s="2" t="str">
        <f>IFERROR(__xludf.DUMMYFUNCTION("""COMPUTED_VALUE"""),"Grand Harbor Press")</f>
        <v>Grand Harbor Press</v>
      </c>
      <c r="E594" s="2">
        <f>IFERROR(__xludf.DUMMYFUNCTION("""COMPUTED_VALUE"""),2.56)</f>
        <v>2.56</v>
      </c>
      <c r="F594" s="2"/>
      <c r="G594" s="2"/>
      <c r="H594" s="2"/>
      <c r="I594" s="2"/>
    </row>
    <row r="595">
      <c r="A595" s="2">
        <f>IFERROR(__xludf.DUMMYFUNCTION("""COMPUTED_VALUE"""),46759.0)</f>
        <v>46759</v>
      </c>
      <c r="B595" s="2" t="str">
        <f>IFERROR(__xludf.DUMMYFUNCTION("""COMPUTED_VALUE"""),"Tech")</f>
        <v>Tech</v>
      </c>
      <c r="C595" s="2" t="str">
        <f>IFERROR(__xludf.DUMMYFUNCTION("""COMPUTED_VALUE"""),"Paranormal")</f>
        <v>Paranormal</v>
      </c>
      <c r="D595" s="2" t="str">
        <f>IFERROR(__xludf.DUMMYFUNCTION("""COMPUTED_VALUE"""),"Grand Harbor Press")</f>
        <v>Grand Harbor Press</v>
      </c>
      <c r="E595" s="2">
        <f>IFERROR(__xludf.DUMMYFUNCTION("""COMPUTED_VALUE"""),1.23)</f>
        <v>1.23</v>
      </c>
      <c r="F595" s="2"/>
      <c r="G595" s="2"/>
      <c r="H595" s="2"/>
      <c r="I595" s="2"/>
    </row>
    <row r="596">
      <c r="A596" s="2">
        <f>IFERROR(__xludf.DUMMYFUNCTION("""COMPUTED_VALUE"""),113594.0)</f>
        <v>113594</v>
      </c>
      <c r="B596" s="2" t="str">
        <f>IFERROR(__xludf.DUMMYFUNCTION("""COMPUTED_VALUE"""),"History")</f>
        <v>History</v>
      </c>
      <c r="C596" s="2" t="str">
        <f>IFERROR(__xludf.DUMMYFUNCTION("""COMPUTED_VALUE"""),"Young Adult Fiction")</f>
        <v>Young Adult Fiction</v>
      </c>
      <c r="D596" s="2"/>
      <c r="E596" s="2">
        <f>IFERROR(__xludf.DUMMYFUNCTION("""COMPUTED_VALUE"""),6.52)</f>
        <v>6.52</v>
      </c>
      <c r="F596" s="2"/>
      <c r="G596" s="2"/>
      <c r="H596" s="2"/>
      <c r="I596" s="2"/>
    </row>
    <row r="597">
      <c r="A597" s="2">
        <f>IFERROR(__xludf.DUMMYFUNCTION("""COMPUTED_VALUE"""),111791.0)</f>
        <v>111791</v>
      </c>
      <c r="B597" s="2" t="str">
        <f>IFERROR(__xludf.DUMMYFUNCTION("""COMPUTED_VALUE"""),"History")</f>
        <v>History</v>
      </c>
      <c r="C597" s="2" t="str">
        <f>IFERROR(__xludf.DUMMYFUNCTION("""COMPUTED_VALUE"""),"Young Adult Fiction")</f>
        <v>Young Adult Fiction</v>
      </c>
      <c r="D597" s="2"/>
      <c r="E597" s="2">
        <f>IFERROR(__xludf.DUMMYFUNCTION("""COMPUTED_VALUE"""),2.06)</f>
        <v>2.06</v>
      </c>
      <c r="F597" s="2"/>
      <c r="G597" s="2"/>
      <c r="H597" s="2"/>
      <c r="I597" s="2"/>
    </row>
    <row r="598">
      <c r="A598" s="2">
        <f>IFERROR(__xludf.DUMMYFUNCTION("""COMPUTED_VALUE"""),44674.0)</f>
        <v>44674</v>
      </c>
      <c r="B598" s="2" t="str">
        <f>IFERROR(__xludf.DUMMYFUNCTION("""COMPUTED_VALUE"""),"History")</f>
        <v>History</v>
      </c>
      <c r="C598" s="2" t="str">
        <f>IFERROR(__xludf.DUMMYFUNCTION("""COMPUTED_VALUE"""),"Ancient History")</f>
        <v>Ancient History</v>
      </c>
      <c r="D598" s="2" t="str">
        <f>IFERROR(__xludf.DUMMYFUNCTION("""COMPUTED_VALUE"""),"Blue Ridge Publishing")</f>
        <v>Blue Ridge Publishing</v>
      </c>
      <c r="E598" s="2">
        <f>IFERROR(__xludf.DUMMYFUNCTION("""COMPUTED_VALUE"""),7.03)</f>
        <v>7.03</v>
      </c>
      <c r="F598" s="2"/>
      <c r="G598" s="2"/>
      <c r="H598" s="2"/>
      <c r="I598" s="2"/>
    </row>
    <row r="599">
      <c r="A599" s="2">
        <f>IFERROR(__xludf.DUMMYFUNCTION("""COMPUTED_VALUE"""),48639.0)</f>
        <v>48639</v>
      </c>
      <c r="B599" s="2" t="str">
        <f>IFERROR(__xludf.DUMMYFUNCTION("""COMPUTED_VALUE"""),"History")</f>
        <v>History</v>
      </c>
      <c r="C599" s="2" t="str">
        <f>IFERROR(__xludf.DUMMYFUNCTION("""COMPUTED_VALUE"""),"Ancient History")</f>
        <v>Ancient History</v>
      </c>
      <c r="D599" s="2" t="str">
        <f>IFERROR(__xludf.DUMMYFUNCTION("""COMPUTED_VALUE"""),"Blue Ridge Publishing")</f>
        <v>Blue Ridge Publishing</v>
      </c>
      <c r="E599" s="2">
        <f>IFERROR(__xludf.DUMMYFUNCTION("""COMPUTED_VALUE"""),2.73)</f>
        <v>2.73</v>
      </c>
      <c r="F599" s="2"/>
      <c r="G599" s="2"/>
      <c r="H599" s="2"/>
      <c r="I599" s="2"/>
    </row>
    <row r="600">
      <c r="A600" s="2">
        <f>IFERROR(__xludf.DUMMYFUNCTION("""COMPUTED_VALUE"""),76559.0)</f>
        <v>76559</v>
      </c>
      <c r="B600" s="2" t="str">
        <f>IFERROR(__xludf.DUMMYFUNCTION("""COMPUTED_VALUE"""),"History")</f>
        <v>History</v>
      </c>
      <c r="C600" s="2" t="str">
        <f>IFERROR(__xludf.DUMMYFUNCTION("""COMPUTED_VALUE"""),"Ancient History")</f>
        <v>Ancient History</v>
      </c>
      <c r="D600" s="2" t="str">
        <f>IFERROR(__xludf.DUMMYFUNCTION("""COMPUTED_VALUE"""),"Blue Ridge Publishing")</f>
        <v>Blue Ridge Publishing</v>
      </c>
      <c r="E600" s="2">
        <f>IFERROR(__xludf.DUMMYFUNCTION("""COMPUTED_VALUE"""),2.18)</f>
        <v>2.18</v>
      </c>
      <c r="F600" s="2"/>
      <c r="G600" s="2"/>
      <c r="H600" s="2"/>
      <c r="I600" s="2"/>
    </row>
    <row r="601">
      <c r="A601" s="2">
        <f>IFERROR(__xludf.DUMMYFUNCTION("""COMPUTED_VALUE"""),22112.0)</f>
        <v>22112</v>
      </c>
      <c r="B601" s="2" t="str">
        <f>IFERROR(__xludf.DUMMYFUNCTION("""COMPUTED_VALUE"""),"History")</f>
        <v>History</v>
      </c>
      <c r="C601" s="2" t="str">
        <f>IFERROR(__xludf.DUMMYFUNCTION("""COMPUTED_VALUE"""),"Ancient History")</f>
        <v>Ancient History</v>
      </c>
      <c r="D601" s="2" t="str">
        <f>IFERROR(__xludf.DUMMYFUNCTION("""COMPUTED_VALUE"""),"Northern Sky Books")</f>
        <v>Northern Sky Books</v>
      </c>
      <c r="E601" s="2">
        <f>IFERROR(__xludf.DUMMYFUNCTION("""COMPUTED_VALUE"""),5.42)</f>
        <v>5.42</v>
      </c>
      <c r="F601" s="2"/>
      <c r="G601" s="2"/>
      <c r="H601" s="2"/>
      <c r="I601" s="2"/>
    </row>
    <row r="602">
      <c r="A602" s="2">
        <f>IFERROR(__xludf.DUMMYFUNCTION("""COMPUTED_VALUE"""),84390.0)</f>
        <v>84390</v>
      </c>
      <c r="B602" s="2" t="str">
        <f>IFERROR(__xludf.DUMMYFUNCTION("""COMPUTED_VALUE"""),"History")</f>
        <v>History</v>
      </c>
      <c r="C602" s="2" t="str">
        <f>IFERROR(__xludf.DUMMYFUNCTION("""COMPUTED_VALUE"""),"Ancient History")</f>
        <v>Ancient History</v>
      </c>
      <c r="D602" s="2" t="str">
        <f>IFERROR(__xludf.DUMMYFUNCTION("""COMPUTED_VALUE"""),"Northern Sky Books")</f>
        <v>Northern Sky Books</v>
      </c>
      <c r="E602" s="2">
        <f>IFERROR(__xludf.DUMMYFUNCTION("""COMPUTED_VALUE"""),1.9)</f>
        <v>1.9</v>
      </c>
      <c r="F602" s="2"/>
      <c r="G602" s="2"/>
      <c r="H602" s="2"/>
      <c r="I602" s="2"/>
    </row>
    <row r="603">
      <c r="A603" s="2">
        <f>IFERROR(__xludf.DUMMYFUNCTION("""COMPUTED_VALUE"""),100327.0)</f>
        <v>100327</v>
      </c>
      <c r="B603" s="2" t="str">
        <f>IFERROR(__xludf.DUMMYFUNCTION("""COMPUTED_VALUE"""),"History")</f>
        <v>History</v>
      </c>
      <c r="C603" s="2" t="str">
        <f>IFERROR(__xludf.DUMMYFUNCTION("""COMPUTED_VALUE"""),"Ancient History")</f>
        <v>Ancient History</v>
      </c>
      <c r="D603" s="2" t="str">
        <f>IFERROR(__xludf.DUMMYFUNCTION("""COMPUTED_VALUE"""),"Northern Sky Books")</f>
        <v>Northern Sky Books</v>
      </c>
      <c r="E603" s="2">
        <f>IFERROR(__xludf.DUMMYFUNCTION("""COMPUTED_VALUE"""),2.13)</f>
        <v>2.13</v>
      </c>
      <c r="F603" s="2"/>
      <c r="G603" s="2"/>
      <c r="H603" s="2"/>
      <c r="I603" s="2"/>
    </row>
    <row r="604">
      <c r="A604" s="2">
        <f>IFERROR(__xludf.DUMMYFUNCTION("""COMPUTED_VALUE"""),81427.0)</f>
        <v>81427</v>
      </c>
      <c r="B604" s="2" t="str">
        <f>IFERROR(__xludf.DUMMYFUNCTION("""COMPUTED_VALUE"""),"History")</f>
        <v>History</v>
      </c>
      <c r="C604" s="2" t="str">
        <f>IFERROR(__xludf.DUMMYFUNCTION("""COMPUTED_VALUE"""),"Ancient History")</f>
        <v>Ancient History</v>
      </c>
      <c r="D604" s="2" t="str">
        <f>IFERROR(__xludf.DUMMYFUNCTION("""COMPUTED_VALUE"""),"Northern Sky Books")</f>
        <v>Northern Sky Books</v>
      </c>
      <c r="E604" s="2">
        <f>IFERROR(__xludf.DUMMYFUNCTION("""COMPUTED_VALUE"""),5.1)</f>
        <v>5.1</v>
      </c>
      <c r="F604" s="2"/>
      <c r="G604" s="2"/>
      <c r="H604" s="2"/>
      <c r="I604" s="2"/>
    </row>
    <row r="605">
      <c r="A605" s="2">
        <f>IFERROR(__xludf.DUMMYFUNCTION("""COMPUTED_VALUE"""),19847.0)</f>
        <v>19847</v>
      </c>
      <c r="B605" s="2" t="str">
        <f>IFERROR(__xludf.DUMMYFUNCTION("""COMPUTED_VALUE"""),"History")</f>
        <v>History</v>
      </c>
      <c r="C605" s="2" t="str">
        <f>IFERROR(__xludf.DUMMYFUNCTION("""COMPUTED_VALUE"""),"Ancient History")</f>
        <v>Ancient History</v>
      </c>
      <c r="D605" s="2" t="str">
        <f>IFERROR(__xludf.DUMMYFUNCTION("""COMPUTED_VALUE"""),"Harbor Gate Press")</f>
        <v>Harbor Gate Press</v>
      </c>
      <c r="E605" s="2">
        <f>IFERROR(__xludf.DUMMYFUNCTION("""COMPUTED_VALUE"""),1.77)</f>
        <v>1.77</v>
      </c>
      <c r="F605" s="2"/>
      <c r="G605" s="2"/>
      <c r="H605" s="2"/>
      <c r="I605" s="2"/>
    </row>
    <row r="606">
      <c r="A606" s="2">
        <f>IFERROR(__xludf.DUMMYFUNCTION("""COMPUTED_VALUE"""),121989.0)</f>
        <v>121989</v>
      </c>
      <c r="B606" s="2" t="str">
        <f>IFERROR(__xludf.DUMMYFUNCTION("""COMPUTED_VALUE"""),"History")</f>
        <v>History</v>
      </c>
      <c r="C606" s="2" t="str">
        <f>IFERROR(__xludf.DUMMYFUNCTION("""COMPUTED_VALUE"""),"Ancient History")</f>
        <v>Ancient History</v>
      </c>
      <c r="D606" s="2" t="str">
        <f>IFERROR(__xludf.DUMMYFUNCTION("""COMPUTED_VALUE"""),"Harbor Gate Press")</f>
        <v>Harbor Gate Press</v>
      </c>
      <c r="E606" s="2">
        <f>IFERROR(__xludf.DUMMYFUNCTION("""COMPUTED_VALUE"""),1.98)</f>
        <v>1.98</v>
      </c>
      <c r="F606" s="2"/>
      <c r="G606" s="2"/>
      <c r="H606" s="2"/>
      <c r="I606" s="2"/>
    </row>
    <row r="607">
      <c r="A607" s="2">
        <f>IFERROR(__xludf.DUMMYFUNCTION("""COMPUTED_VALUE"""),3431.0)</f>
        <v>3431</v>
      </c>
      <c r="B607" s="2" t="str">
        <f>IFERROR(__xludf.DUMMYFUNCTION("""COMPUTED_VALUE"""),"History")</f>
        <v>History</v>
      </c>
      <c r="C607" s="2" t="str">
        <f>IFERROR(__xludf.DUMMYFUNCTION("""COMPUTED_VALUE"""),"Ancient History")</f>
        <v>Ancient History</v>
      </c>
      <c r="D607" s="2" t="str">
        <f>IFERROR(__xludf.DUMMYFUNCTION("""COMPUTED_VALUE"""),"Harbor Gate Press")</f>
        <v>Harbor Gate Press</v>
      </c>
      <c r="E607" s="2">
        <f>IFERROR(__xludf.DUMMYFUNCTION("""COMPUTED_VALUE"""),3.31)</f>
        <v>3.31</v>
      </c>
      <c r="F607" s="2"/>
      <c r="G607" s="2"/>
      <c r="H607" s="2"/>
      <c r="I607" s="2"/>
    </row>
    <row r="608">
      <c r="A608" s="2">
        <f>IFERROR(__xludf.DUMMYFUNCTION("""COMPUTED_VALUE"""),68858.0)</f>
        <v>68858</v>
      </c>
      <c r="B608" s="2" t="str">
        <f>IFERROR(__xludf.DUMMYFUNCTION("""COMPUTED_VALUE"""),"History")</f>
        <v>History</v>
      </c>
      <c r="C608" s="2" t="str">
        <f>IFERROR(__xludf.DUMMYFUNCTION("""COMPUTED_VALUE"""),"Ancient History")</f>
        <v>Ancient History</v>
      </c>
      <c r="D608" s="2" t="str">
        <f>IFERROR(__xludf.DUMMYFUNCTION("""COMPUTED_VALUE"""),"Harbor Gate Press")</f>
        <v>Harbor Gate Press</v>
      </c>
      <c r="E608" s="2">
        <f>IFERROR(__xludf.DUMMYFUNCTION("""COMPUTED_VALUE"""),2.0)</f>
        <v>2</v>
      </c>
      <c r="F608" s="2"/>
      <c r="G608" s="2"/>
      <c r="H608" s="2"/>
      <c r="I608" s="2"/>
    </row>
    <row r="609">
      <c r="A609" s="2">
        <f>IFERROR(__xludf.DUMMYFUNCTION("""COMPUTED_VALUE"""),147279.0)</f>
        <v>147279</v>
      </c>
      <c r="B609" s="2" t="str">
        <f>IFERROR(__xludf.DUMMYFUNCTION("""COMPUTED_VALUE"""),"History")</f>
        <v>History</v>
      </c>
      <c r="C609" s="2" t="str">
        <f>IFERROR(__xludf.DUMMYFUNCTION("""COMPUTED_VALUE"""),"Ancient History")</f>
        <v>Ancient History</v>
      </c>
      <c r="D609" s="2" t="str">
        <f>IFERROR(__xludf.DUMMYFUNCTION("""COMPUTED_VALUE"""),"Harbor Gate Press")</f>
        <v>Harbor Gate Press</v>
      </c>
      <c r="E609" s="2">
        <f>IFERROR(__xludf.DUMMYFUNCTION("""COMPUTED_VALUE"""),2.47)</f>
        <v>2.47</v>
      </c>
      <c r="F609" s="2"/>
      <c r="G609" s="2"/>
      <c r="H609" s="2"/>
      <c r="I609" s="2"/>
    </row>
    <row r="610">
      <c r="A610" s="2">
        <f>IFERROR(__xludf.DUMMYFUNCTION("""COMPUTED_VALUE"""),19853.0)</f>
        <v>19853</v>
      </c>
      <c r="B610" s="2" t="str">
        <f>IFERROR(__xludf.DUMMYFUNCTION("""COMPUTED_VALUE"""),"History")</f>
        <v>History</v>
      </c>
      <c r="C610" s="2" t="str">
        <f>IFERROR(__xludf.DUMMYFUNCTION("""COMPUTED_VALUE"""),"Ancient History")</f>
        <v>Ancient History</v>
      </c>
      <c r="D610" s="2" t="str">
        <f>IFERROR(__xludf.DUMMYFUNCTION("""COMPUTED_VALUE"""),"Harbor Gate Press")</f>
        <v>Harbor Gate Press</v>
      </c>
      <c r="E610" s="2">
        <f>IFERROR(__xludf.DUMMYFUNCTION("""COMPUTED_VALUE"""),3.92)</f>
        <v>3.92</v>
      </c>
      <c r="F610" s="2"/>
      <c r="G610" s="2"/>
      <c r="H610" s="2"/>
      <c r="I610" s="2"/>
    </row>
    <row r="611">
      <c r="A611" s="2">
        <f>IFERROR(__xludf.DUMMYFUNCTION("""COMPUTED_VALUE"""),84315.0)</f>
        <v>84315</v>
      </c>
      <c r="B611" s="2" t="str">
        <f>IFERROR(__xludf.DUMMYFUNCTION("""COMPUTED_VALUE"""),"History")</f>
        <v>History</v>
      </c>
      <c r="C611" s="2" t="str">
        <f>IFERROR(__xludf.DUMMYFUNCTION("""COMPUTED_VALUE"""),"Ancient History")</f>
        <v>Ancient History</v>
      </c>
      <c r="D611" s="2" t="str">
        <f>IFERROR(__xludf.DUMMYFUNCTION("""COMPUTED_VALUE"""),"Harbor Gate Press")</f>
        <v>Harbor Gate Press</v>
      </c>
      <c r="E611" s="2">
        <f>IFERROR(__xludf.DUMMYFUNCTION("""COMPUTED_VALUE"""),2.13)</f>
        <v>2.13</v>
      </c>
      <c r="F611" s="2"/>
      <c r="G611" s="2"/>
      <c r="H611" s="2"/>
      <c r="I611" s="2"/>
    </row>
    <row r="612">
      <c r="A612" s="2">
        <f>IFERROR(__xludf.DUMMYFUNCTION("""COMPUTED_VALUE"""),3433.0)</f>
        <v>3433</v>
      </c>
      <c r="B612" s="2" t="str">
        <f>IFERROR(__xludf.DUMMYFUNCTION("""COMPUTED_VALUE"""),"History")</f>
        <v>History</v>
      </c>
      <c r="C612" s="2" t="str">
        <f>IFERROR(__xludf.DUMMYFUNCTION("""COMPUTED_VALUE"""),"Ancient History")</f>
        <v>Ancient History</v>
      </c>
      <c r="D612" s="2" t="str">
        <f>IFERROR(__xludf.DUMMYFUNCTION("""COMPUTED_VALUE"""),"Harbor Gate Press")</f>
        <v>Harbor Gate Press</v>
      </c>
      <c r="E612" s="2">
        <f>IFERROR(__xludf.DUMMYFUNCTION("""COMPUTED_VALUE"""),4.03)</f>
        <v>4.03</v>
      </c>
      <c r="F612" s="2"/>
      <c r="G612" s="2"/>
      <c r="H612" s="2"/>
      <c r="I612" s="2"/>
    </row>
    <row r="613">
      <c r="A613" s="2">
        <f>IFERROR(__xludf.DUMMYFUNCTION("""COMPUTED_VALUE"""),48640.0)</f>
        <v>48640</v>
      </c>
      <c r="B613" s="2" t="str">
        <f>IFERROR(__xludf.DUMMYFUNCTION("""COMPUTED_VALUE"""),"History")</f>
        <v>History</v>
      </c>
      <c r="C613" s="2" t="str">
        <f>IFERROR(__xludf.DUMMYFUNCTION("""COMPUTED_VALUE"""),"Ancient History")</f>
        <v>Ancient History</v>
      </c>
      <c r="D613" s="2" t="str">
        <f>IFERROR(__xludf.DUMMYFUNCTION("""COMPUTED_VALUE"""),"Harbor Gate Press")</f>
        <v>Harbor Gate Press</v>
      </c>
      <c r="E613" s="2">
        <f>IFERROR(__xludf.DUMMYFUNCTION("""COMPUTED_VALUE"""),3.26)</f>
        <v>3.26</v>
      </c>
      <c r="F613" s="2"/>
      <c r="G613" s="2"/>
      <c r="H613" s="2"/>
      <c r="I613" s="2"/>
    </row>
    <row r="614">
      <c r="A614" s="2">
        <f>IFERROR(__xludf.DUMMYFUNCTION("""COMPUTED_VALUE"""),81678.0)</f>
        <v>81678</v>
      </c>
      <c r="B614" s="2" t="str">
        <f>IFERROR(__xludf.DUMMYFUNCTION("""COMPUTED_VALUE"""),"History")</f>
        <v>History</v>
      </c>
      <c r="C614" s="2" t="str">
        <f>IFERROR(__xludf.DUMMYFUNCTION("""COMPUTED_VALUE"""),"Ancient History")</f>
        <v>Ancient History</v>
      </c>
      <c r="D614" s="2" t="str">
        <f>IFERROR(__xludf.DUMMYFUNCTION("""COMPUTED_VALUE"""),"Springfield Publishing")</f>
        <v>Springfield Publishing</v>
      </c>
      <c r="E614" s="2">
        <f>IFERROR(__xludf.DUMMYFUNCTION("""COMPUTED_VALUE"""),8.18)</f>
        <v>8.18</v>
      </c>
      <c r="F614" s="2"/>
      <c r="G614" s="2"/>
      <c r="H614" s="2"/>
      <c r="I614" s="2"/>
    </row>
    <row r="615">
      <c r="A615" s="2">
        <f>IFERROR(__xludf.DUMMYFUNCTION("""COMPUTED_VALUE"""),117528.0)</f>
        <v>117528</v>
      </c>
      <c r="B615" s="2" t="str">
        <f>IFERROR(__xludf.DUMMYFUNCTION("""COMPUTED_VALUE"""),"History")</f>
        <v>History</v>
      </c>
      <c r="C615" s="2" t="str">
        <f>IFERROR(__xludf.DUMMYFUNCTION("""COMPUTED_VALUE"""),"Ancient History")</f>
        <v>Ancient History</v>
      </c>
      <c r="D615" s="2" t="str">
        <f>IFERROR(__xludf.DUMMYFUNCTION("""COMPUTED_VALUE"""),"Springfield Publishing")</f>
        <v>Springfield Publishing</v>
      </c>
      <c r="E615" s="2">
        <f>IFERROR(__xludf.DUMMYFUNCTION("""COMPUTED_VALUE"""),1.6)</f>
        <v>1.6</v>
      </c>
      <c r="F615" s="2"/>
      <c r="G615" s="2"/>
      <c r="H615" s="2"/>
      <c r="I615" s="2"/>
    </row>
    <row r="616">
      <c r="A616" s="2">
        <f>IFERROR(__xludf.DUMMYFUNCTION("""COMPUTED_VALUE"""),84324.0)</f>
        <v>84324</v>
      </c>
      <c r="B616" s="2" t="str">
        <f>IFERROR(__xludf.DUMMYFUNCTION("""COMPUTED_VALUE"""),"History")</f>
        <v>History</v>
      </c>
      <c r="C616" s="2" t="str">
        <f>IFERROR(__xludf.DUMMYFUNCTION("""COMPUTED_VALUE"""),"Ancient History")</f>
        <v>Ancient History</v>
      </c>
      <c r="D616" s="2" t="str">
        <f>IFERROR(__xludf.DUMMYFUNCTION("""COMPUTED_VALUE"""),"Springfield Publishing")</f>
        <v>Springfield Publishing</v>
      </c>
      <c r="E616" s="2">
        <f>IFERROR(__xludf.DUMMYFUNCTION("""COMPUTED_VALUE"""),2.26)</f>
        <v>2.26</v>
      </c>
      <c r="F616" s="2"/>
      <c r="G616" s="2"/>
      <c r="H616" s="2"/>
      <c r="I616" s="2"/>
    </row>
    <row r="617">
      <c r="A617" s="2">
        <f>IFERROR(__xludf.DUMMYFUNCTION("""COMPUTED_VALUE"""),3420.0)</f>
        <v>3420</v>
      </c>
      <c r="B617" s="2" t="str">
        <f>IFERROR(__xludf.DUMMYFUNCTION("""COMPUTED_VALUE"""),"History")</f>
        <v>History</v>
      </c>
      <c r="C617" s="2" t="str">
        <f>IFERROR(__xludf.DUMMYFUNCTION("""COMPUTED_VALUE"""),"Ancient History")</f>
        <v>Ancient History</v>
      </c>
      <c r="D617" s="2" t="str">
        <f>IFERROR(__xludf.DUMMYFUNCTION("""COMPUTED_VALUE"""),"Springfield Publishing")</f>
        <v>Springfield Publishing</v>
      </c>
      <c r="E617" s="2">
        <f>IFERROR(__xludf.DUMMYFUNCTION("""COMPUTED_VALUE"""),4.52)</f>
        <v>4.52</v>
      </c>
      <c r="F617" s="2"/>
      <c r="G617" s="2"/>
      <c r="H617" s="2"/>
      <c r="I617" s="2"/>
    </row>
    <row r="618">
      <c r="A618" s="2">
        <f>IFERROR(__xludf.DUMMYFUNCTION("""COMPUTED_VALUE"""),19837.0)</f>
        <v>19837</v>
      </c>
      <c r="B618" s="2" t="str">
        <f>IFERROR(__xludf.DUMMYFUNCTION("""COMPUTED_VALUE"""),"History")</f>
        <v>History</v>
      </c>
      <c r="C618" s="2" t="str">
        <f>IFERROR(__xludf.DUMMYFUNCTION("""COMPUTED_VALUE"""),"Ancient History")</f>
        <v>Ancient History</v>
      </c>
      <c r="D618" s="2" t="str">
        <f>IFERROR(__xludf.DUMMYFUNCTION("""COMPUTED_VALUE"""),"Springfield Publishing")</f>
        <v>Springfield Publishing</v>
      </c>
      <c r="E618" s="2">
        <f>IFERROR(__xludf.DUMMYFUNCTION("""COMPUTED_VALUE"""),3.75)</f>
        <v>3.75</v>
      </c>
      <c r="F618" s="2"/>
      <c r="G618" s="2"/>
      <c r="H618" s="2"/>
      <c r="I618" s="2"/>
    </row>
    <row r="619">
      <c r="A619" s="2">
        <f>IFERROR(__xludf.DUMMYFUNCTION("""COMPUTED_VALUE"""),19835.0)</f>
        <v>19835</v>
      </c>
      <c r="B619" s="2" t="str">
        <f>IFERROR(__xludf.DUMMYFUNCTION("""COMPUTED_VALUE"""),"History")</f>
        <v>History</v>
      </c>
      <c r="C619" s="2" t="str">
        <f>IFERROR(__xludf.DUMMYFUNCTION("""COMPUTED_VALUE"""),"Ancient History")</f>
        <v>Ancient History</v>
      </c>
      <c r="D619" s="2" t="str">
        <f>IFERROR(__xludf.DUMMYFUNCTION("""COMPUTED_VALUE"""),"Springfield Publishing")</f>
        <v>Springfield Publishing</v>
      </c>
      <c r="E619" s="2">
        <f>IFERROR(__xludf.DUMMYFUNCTION("""COMPUTED_VALUE"""),2.54)</f>
        <v>2.54</v>
      </c>
      <c r="F619" s="2"/>
      <c r="G619" s="2"/>
      <c r="H619" s="2"/>
      <c r="I619" s="2"/>
    </row>
    <row r="620">
      <c r="A620" s="2">
        <f>IFERROR(__xludf.DUMMYFUNCTION("""COMPUTED_VALUE"""),69109.0)</f>
        <v>69109</v>
      </c>
      <c r="B620" s="2" t="str">
        <f>IFERROR(__xludf.DUMMYFUNCTION("""COMPUTED_VALUE"""),"History")</f>
        <v>History</v>
      </c>
      <c r="C620" s="2" t="str">
        <f>IFERROR(__xludf.DUMMYFUNCTION("""COMPUTED_VALUE"""),"Ancient History")</f>
        <v>Ancient History</v>
      </c>
      <c r="D620" s="2" t="str">
        <f>IFERROR(__xludf.DUMMYFUNCTION("""COMPUTED_VALUE"""),"Springfield Publishing")</f>
        <v>Springfield Publishing</v>
      </c>
      <c r="E620" s="2">
        <f>IFERROR(__xludf.DUMMYFUNCTION("""COMPUTED_VALUE"""),1.87)</f>
        <v>1.87</v>
      </c>
      <c r="F620" s="2"/>
      <c r="G620" s="2"/>
      <c r="H620" s="2"/>
      <c r="I620" s="2"/>
    </row>
    <row r="621">
      <c r="A621" s="2">
        <f>IFERROR(__xludf.DUMMYFUNCTION("""COMPUTED_VALUE"""),104387.0)</f>
        <v>104387</v>
      </c>
      <c r="B621" s="2" t="str">
        <f>IFERROR(__xludf.DUMMYFUNCTION("""COMPUTED_VALUE"""),"History")</f>
        <v>History</v>
      </c>
      <c r="C621" s="2" t="str">
        <f>IFERROR(__xludf.DUMMYFUNCTION("""COMPUTED_VALUE"""),"Ancient History")</f>
        <v>Ancient History</v>
      </c>
      <c r="D621" s="2" t="str">
        <f>IFERROR(__xludf.DUMMYFUNCTION("""COMPUTED_VALUE"""),"Springfield Publishing")</f>
        <v>Springfield Publishing</v>
      </c>
      <c r="E621" s="2">
        <f>IFERROR(__xludf.DUMMYFUNCTION("""COMPUTED_VALUE"""),27.41)</f>
        <v>27.41</v>
      </c>
      <c r="F621" s="2"/>
      <c r="G621" s="2"/>
      <c r="H621" s="2"/>
      <c r="I621" s="2"/>
    </row>
    <row r="622">
      <c r="A622" s="2">
        <f>IFERROR(__xludf.DUMMYFUNCTION("""COMPUTED_VALUE"""),19843.0)</f>
        <v>19843</v>
      </c>
      <c r="B622" s="2" t="str">
        <f>IFERROR(__xludf.DUMMYFUNCTION("""COMPUTED_VALUE"""),"History")</f>
        <v>History</v>
      </c>
      <c r="C622" s="2" t="str">
        <f>IFERROR(__xludf.DUMMYFUNCTION("""COMPUTED_VALUE"""),"Ancient History")</f>
        <v>Ancient History</v>
      </c>
      <c r="D622" s="2" t="str">
        <f>IFERROR(__xludf.DUMMYFUNCTION("""COMPUTED_VALUE"""),"Springfield Publishing")</f>
        <v>Springfield Publishing</v>
      </c>
      <c r="E622" s="2">
        <f>IFERROR(__xludf.DUMMYFUNCTION("""COMPUTED_VALUE"""),3.14)</f>
        <v>3.14</v>
      </c>
      <c r="F622" s="2"/>
      <c r="G622" s="2"/>
      <c r="H622" s="2"/>
      <c r="I622" s="2"/>
    </row>
    <row r="623">
      <c r="A623" s="2">
        <f>IFERROR(__xludf.DUMMYFUNCTION("""COMPUTED_VALUE"""),117523.0)</f>
        <v>117523</v>
      </c>
      <c r="B623" s="2" t="str">
        <f>IFERROR(__xludf.DUMMYFUNCTION("""COMPUTED_VALUE"""),"History")</f>
        <v>History</v>
      </c>
      <c r="C623" s="2" t="str">
        <f>IFERROR(__xludf.DUMMYFUNCTION("""COMPUTED_VALUE"""),"Ancient History")</f>
        <v>Ancient History</v>
      </c>
      <c r="D623" s="2" t="str">
        <f>IFERROR(__xludf.DUMMYFUNCTION("""COMPUTED_VALUE"""),"Springfield Publishing")</f>
        <v>Springfield Publishing</v>
      </c>
      <c r="E623" s="2">
        <f>IFERROR(__xludf.DUMMYFUNCTION("""COMPUTED_VALUE"""),1.58)</f>
        <v>1.58</v>
      </c>
      <c r="F623" s="2"/>
      <c r="G623" s="2"/>
      <c r="H623" s="2"/>
      <c r="I623" s="2"/>
    </row>
    <row r="624">
      <c r="A624" s="2">
        <f>IFERROR(__xludf.DUMMYFUNCTION("""COMPUTED_VALUE"""),121981.0)</f>
        <v>121981</v>
      </c>
      <c r="B624" s="2" t="str">
        <f>IFERROR(__xludf.DUMMYFUNCTION("""COMPUTED_VALUE"""),"History")</f>
        <v>History</v>
      </c>
      <c r="C624" s="2" t="str">
        <f>IFERROR(__xludf.DUMMYFUNCTION("""COMPUTED_VALUE"""),"Ancient History")</f>
        <v>Ancient History</v>
      </c>
      <c r="D624" s="2" t="str">
        <f>IFERROR(__xludf.DUMMYFUNCTION("""COMPUTED_VALUE"""),"Springfield Publishing")</f>
        <v>Springfield Publishing</v>
      </c>
      <c r="E624" s="2">
        <f>IFERROR(__xludf.DUMMYFUNCTION("""COMPUTED_VALUE"""),1.86)</f>
        <v>1.86</v>
      </c>
      <c r="F624" s="2"/>
      <c r="G624" s="2"/>
      <c r="H624" s="2"/>
      <c r="I624" s="2"/>
    </row>
    <row r="625">
      <c r="A625" s="2">
        <f>IFERROR(__xludf.DUMMYFUNCTION("""COMPUTED_VALUE"""),121993.0)</f>
        <v>121993</v>
      </c>
      <c r="B625" s="2" t="str">
        <f>IFERROR(__xludf.DUMMYFUNCTION("""COMPUTED_VALUE"""),"History")</f>
        <v>History</v>
      </c>
      <c r="C625" s="2" t="str">
        <f>IFERROR(__xludf.DUMMYFUNCTION("""COMPUTED_VALUE"""),"Ancient History")</f>
        <v>Ancient History</v>
      </c>
      <c r="D625" s="2" t="str">
        <f>IFERROR(__xludf.DUMMYFUNCTION("""COMPUTED_VALUE"""),"Golden Ridge Books")</f>
        <v>Golden Ridge Books</v>
      </c>
      <c r="E625" s="2">
        <f>IFERROR(__xludf.DUMMYFUNCTION("""COMPUTED_VALUE"""),2.08)</f>
        <v>2.08</v>
      </c>
      <c r="F625" s="2"/>
      <c r="G625" s="2"/>
      <c r="H625" s="2"/>
      <c r="I625" s="2"/>
    </row>
    <row r="626">
      <c r="A626" s="2">
        <f>IFERROR(__xludf.DUMMYFUNCTION("""COMPUTED_VALUE"""),81389.0)</f>
        <v>81389</v>
      </c>
      <c r="B626" s="2" t="str">
        <f>IFERROR(__xludf.DUMMYFUNCTION("""COMPUTED_VALUE"""),"History")</f>
        <v>History</v>
      </c>
      <c r="C626" s="2" t="str">
        <f>IFERROR(__xludf.DUMMYFUNCTION("""COMPUTED_VALUE"""),"Ancient History")</f>
        <v>Ancient History</v>
      </c>
      <c r="D626" s="2" t="str">
        <f>IFERROR(__xludf.DUMMYFUNCTION("""COMPUTED_VALUE"""),"Golden Ridge Books")</f>
        <v>Golden Ridge Books</v>
      </c>
      <c r="E626" s="2">
        <f>IFERROR(__xludf.DUMMYFUNCTION("""COMPUTED_VALUE"""),1.82)</f>
        <v>1.82</v>
      </c>
      <c r="F626" s="2"/>
      <c r="G626" s="2"/>
      <c r="H626" s="2"/>
      <c r="I626" s="2"/>
    </row>
    <row r="627">
      <c r="A627" s="2">
        <f>IFERROR(__xludf.DUMMYFUNCTION("""COMPUTED_VALUE"""),99473.0)</f>
        <v>99473</v>
      </c>
      <c r="B627" s="2" t="str">
        <f>IFERROR(__xludf.DUMMYFUNCTION("""COMPUTED_VALUE"""),"History")</f>
        <v>History</v>
      </c>
      <c r="C627" s="2" t="str">
        <f>IFERROR(__xludf.DUMMYFUNCTION("""COMPUTED_VALUE"""),"Ancient History")</f>
        <v>Ancient History</v>
      </c>
      <c r="D627" s="2" t="str">
        <f>IFERROR(__xludf.DUMMYFUNCTION("""COMPUTED_VALUE"""),"Golden Ridge Books")</f>
        <v>Golden Ridge Books</v>
      </c>
      <c r="E627" s="2">
        <f>IFERROR(__xludf.DUMMYFUNCTION("""COMPUTED_VALUE"""),2.05)</f>
        <v>2.05</v>
      </c>
      <c r="F627" s="2"/>
      <c r="G627" s="2"/>
      <c r="H627" s="2"/>
      <c r="I627" s="2"/>
    </row>
    <row r="628">
      <c r="A628" s="2">
        <f>IFERROR(__xludf.DUMMYFUNCTION("""COMPUTED_VALUE"""),81393.0)</f>
        <v>81393</v>
      </c>
      <c r="B628" s="2" t="str">
        <f>IFERROR(__xludf.DUMMYFUNCTION("""COMPUTED_VALUE"""),"History")</f>
        <v>History</v>
      </c>
      <c r="C628" s="2" t="str">
        <f>IFERROR(__xludf.DUMMYFUNCTION("""COMPUTED_VALUE"""),"Ancient History")</f>
        <v>Ancient History</v>
      </c>
      <c r="D628" s="2" t="str">
        <f>IFERROR(__xludf.DUMMYFUNCTION("""COMPUTED_VALUE"""),"Golden Ridge Books")</f>
        <v>Golden Ridge Books</v>
      </c>
      <c r="E628" s="2">
        <f>IFERROR(__xludf.DUMMYFUNCTION("""COMPUTED_VALUE"""),2.61)</f>
        <v>2.61</v>
      </c>
      <c r="F628" s="2"/>
      <c r="G628" s="2"/>
      <c r="H628" s="2"/>
      <c r="I628" s="2"/>
    </row>
    <row r="629">
      <c r="A629" s="2">
        <f>IFERROR(__xludf.DUMMYFUNCTION("""COMPUTED_VALUE"""),104364.0)</f>
        <v>104364</v>
      </c>
      <c r="B629" s="2" t="str">
        <f>IFERROR(__xludf.DUMMYFUNCTION("""COMPUTED_VALUE"""),"History")</f>
        <v>History</v>
      </c>
      <c r="C629" s="2" t="str">
        <f>IFERROR(__xludf.DUMMYFUNCTION("""COMPUTED_VALUE"""),"Ancient History")</f>
        <v>Ancient History</v>
      </c>
      <c r="D629" s="2" t="str">
        <f>IFERROR(__xludf.DUMMYFUNCTION("""COMPUTED_VALUE"""),"Golden Ridge Books")</f>
        <v>Golden Ridge Books</v>
      </c>
      <c r="E629" s="2">
        <f>IFERROR(__xludf.DUMMYFUNCTION("""COMPUTED_VALUE"""),2.2)</f>
        <v>2.2</v>
      </c>
      <c r="F629" s="2"/>
      <c r="G629" s="2"/>
      <c r="H629" s="2"/>
      <c r="I629" s="2"/>
    </row>
    <row r="630">
      <c r="A630" s="2">
        <f>IFERROR(__xludf.DUMMYFUNCTION("""COMPUTED_VALUE"""),76602.0)</f>
        <v>76602</v>
      </c>
      <c r="B630" s="2" t="str">
        <f>IFERROR(__xludf.DUMMYFUNCTION("""COMPUTED_VALUE"""),"History")</f>
        <v>History</v>
      </c>
      <c r="C630" s="2" t="str">
        <f>IFERROR(__xludf.DUMMYFUNCTION("""COMPUTED_VALUE"""),"Ancient History")</f>
        <v>Ancient History</v>
      </c>
      <c r="D630" s="2" t="str">
        <f>IFERROR(__xludf.DUMMYFUNCTION("""COMPUTED_VALUE"""),"Stone Harbor Press")</f>
        <v>Stone Harbor Press</v>
      </c>
      <c r="E630" s="2">
        <f>IFERROR(__xludf.DUMMYFUNCTION("""COMPUTED_VALUE"""),2.17)</f>
        <v>2.17</v>
      </c>
      <c r="F630" s="2"/>
      <c r="G630" s="2"/>
      <c r="H630" s="2"/>
      <c r="I630" s="2"/>
    </row>
    <row r="631">
      <c r="A631" s="2">
        <f>IFERROR(__xludf.DUMMYFUNCTION("""COMPUTED_VALUE"""),119824.0)</f>
        <v>119824</v>
      </c>
      <c r="B631" s="2" t="str">
        <f>IFERROR(__xludf.DUMMYFUNCTION("""COMPUTED_VALUE"""),"History")</f>
        <v>History</v>
      </c>
      <c r="C631" s="2" t="str">
        <f>IFERROR(__xludf.DUMMYFUNCTION("""COMPUTED_VALUE"""),"Ancient History")</f>
        <v>Ancient History</v>
      </c>
      <c r="D631" s="2" t="str">
        <f>IFERROR(__xludf.DUMMYFUNCTION("""COMPUTED_VALUE"""),"Stone Harbor Press")</f>
        <v>Stone Harbor Press</v>
      </c>
      <c r="E631" s="2">
        <f>IFERROR(__xludf.DUMMYFUNCTION("""COMPUTED_VALUE"""),8.94)</f>
        <v>8.94</v>
      </c>
      <c r="F631" s="2"/>
      <c r="G631" s="2"/>
      <c r="H631" s="2"/>
      <c r="I631" s="2"/>
    </row>
    <row r="632">
      <c r="A632" s="2">
        <f>IFERROR(__xludf.DUMMYFUNCTION("""COMPUTED_VALUE"""),112618.0)</f>
        <v>112618</v>
      </c>
      <c r="B632" s="2" t="str">
        <f>IFERROR(__xludf.DUMMYFUNCTION("""COMPUTED_VALUE"""),"History")</f>
        <v>History</v>
      </c>
      <c r="C632" s="2" t="str">
        <f>IFERROR(__xludf.DUMMYFUNCTION("""COMPUTED_VALUE"""),"Ancient History")</f>
        <v>Ancient History</v>
      </c>
      <c r="D632" s="2" t="str">
        <f>IFERROR(__xludf.DUMMYFUNCTION("""COMPUTED_VALUE"""),"Stone Harbor Press")</f>
        <v>Stone Harbor Press</v>
      </c>
      <c r="E632" s="2">
        <f>IFERROR(__xludf.DUMMYFUNCTION("""COMPUTED_VALUE"""),2.47)</f>
        <v>2.47</v>
      </c>
      <c r="F632" s="2"/>
      <c r="G632" s="2"/>
      <c r="H632" s="2"/>
      <c r="I632" s="2"/>
    </row>
    <row r="633">
      <c r="A633" s="2">
        <f>IFERROR(__xludf.DUMMYFUNCTION("""COMPUTED_VALUE"""),112617.0)</f>
        <v>112617</v>
      </c>
      <c r="B633" s="2" t="str">
        <f>IFERROR(__xludf.DUMMYFUNCTION("""COMPUTED_VALUE"""),"History")</f>
        <v>History</v>
      </c>
      <c r="C633" s="2" t="str">
        <f>IFERROR(__xludf.DUMMYFUNCTION("""COMPUTED_VALUE"""),"Ancient History")</f>
        <v>Ancient History</v>
      </c>
      <c r="D633" s="2" t="str">
        <f>IFERROR(__xludf.DUMMYFUNCTION("""COMPUTED_VALUE"""),"Stone Harbor Press")</f>
        <v>Stone Harbor Press</v>
      </c>
      <c r="E633" s="2">
        <f>IFERROR(__xludf.DUMMYFUNCTION("""COMPUTED_VALUE"""),2.69)</f>
        <v>2.69</v>
      </c>
      <c r="F633" s="2"/>
      <c r="G633" s="2"/>
      <c r="H633" s="2"/>
      <c r="I633" s="2"/>
    </row>
    <row r="634">
      <c r="A634" s="2">
        <f>IFERROR(__xludf.DUMMYFUNCTION("""COMPUTED_VALUE"""),113963.0)</f>
        <v>113963</v>
      </c>
      <c r="B634" s="2" t="str">
        <f>IFERROR(__xludf.DUMMYFUNCTION("""COMPUTED_VALUE"""),"History")</f>
        <v>History</v>
      </c>
      <c r="C634" s="2" t="str">
        <f>IFERROR(__xludf.DUMMYFUNCTION("""COMPUTED_VALUE"""),"Ancient History")</f>
        <v>Ancient History</v>
      </c>
      <c r="D634" s="2" t="str">
        <f>IFERROR(__xludf.DUMMYFUNCTION("""COMPUTED_VALUE"""),"Stone Harbor Press")</f>
        <v>Stone Harbor Press</v>
      </c>
      <c r="E634" s="2">
        <f>IFERROR(__xludf.DUMMYFUNCTION("""COMPUTED_VALUE"""),11.54)</f>
        <v>11.54</v>
      </c>
      <c r="F634" s="2"/>
      <c r="G634" s="2"/>
      <c r="H634" s="2"/>
      <c r="I634" s="2"/>
    </row>
    <row r="635">
      <c r="A635" s="2">
        <f>IFERROR(__xludf.DUMMYFUNCTION("""COMPUTED_VALUE"""),104359.0)</f>
        <v>104359</v>
      </c>
      <c r="B635" s="2" t="str">
        <f>IFERROR(__xludf.DUMMYFUNCTION("""COMPUTED_VALUE"""),"History")</f>
        <v>History</v>
      </c>
      <c r="C635" s="2" t="str">
        <f>IFERROR(__xludf.DUMMYFUNCTION("""COMPUTED_VALUE"""),"Ancient History")</f>
        <v>Ancient History</v>
      </c>
      <c r="D635" s="2" t="str">
        <f>IFERROR(__xludf.DUMMYFUNCTION("""COMPUTED_VALUE"""),"Bright Sky Publishing")</f>
        <v>Bright Sky Publishing</v>
      </c>
      <c r="E635" s="2">
        <f>IFERROR(__xludf.DUMMYFUNCTION("""COMPUTED_VALUE"""),6.82)</f>
        <v>6.82</v>
      </c>
      <c r="F635" s="2"/>
      <c r="G635" s="2"/>
      <c r="H635" s="2"/>
      <c r="I635" s="2"/>
    </row>
    <row r="636">
      <c r="A636" s="2">
        <f>IFERROR(__xludf.DUMMYFUNCTION("""COMPUTED_VALUE"""),81675.0)</f>
        <v>81675</v>
      </c>
      <c r="B636" s="2" t="str">
        <f>IFERROR(__xludf.DUMMYFUNCTION("""COMPUTED_VALUE"""),"History")</f>
        <v>History</v>
      </c>
      <c r="C636" s="2" t="str">
        <f>IFERROR(__xludf.DUMMYFUNCTION("""COMPUTED_VALUE"""),"Ancient History")</f>
        <v>Ancient History</v>
      </c>
      <c r="D636" s="2" t="str">
        <f>IFERROR(__xludf.DUMMYFUNCTION("""COMPUTED_VALUE"""),"Bright Sky Publishing")</f>
        <v>Bright Sky Publishing</v>
      </c>
      <c r="E636" s="2">
        <f>IFERROR(__xludf.DUMMYFUNCTION("""COMPUTED_VALUE"""),3.03)</f>
        <v>3.03</v>
      </c>
      <c r="F636" s="2"/>
      <c r="G636" s="2"/>
      <c r="H636" s="2"/>
      <c r="I636" s="2"/>
    </row>
    <row r="637">
      <c r="A637" s="2">
        <f>IFERROR(__xludf.DUMMYFUNCTION("""COMPUTED_VALUE"""),84835.0)</f>
        <v>84835</v>
      </c>
      <c r="B637" s="2" t="str">
        <f>IFERROR(__xludf.DUMMYFUNCTION("""COMPUTED_VALUE"""),"History")</f>
        <v>History</v>
      </c>
      <c r="C637" s="2" t="str">
        <f>IFERROR(__xludf.DUMMYFUNCTION("""COMPUTED_VALUE"""),"Ancient History")</f>
        <v>Ancient History</v>
      </c>
      <c r="D637" s="2" t="str">
        <f>IFERROR(__xludf.DUMMYFUNCTION("""COMPUTED_VALUE"""),"Bright Sky Publishing")</f>
        <v>Bright Sky Publishing</v>
      </c>
      <c r="E637" s="2">
        <f>IFERROR(__xludf.DUMMYFUNCTION("""COMPUTED_VALUE"""),2.31)</f>
        <v>2.31</v>
      </c>
      <c r="F637" s="2"/>
      <c r="G637" s="2"/>
      <c r="H637" s="2"/>
      <c r="I637" s="2"/>
    </row>
    <row r="638">
      <c r="A638" s="2">
        <f>IFERROR(__xludf.DUMMYFUNCTION("""COMPUTED_VALUE"""),81680.0)</f>
        <v>81680</v>
      </c>
      <c r="B638" s="2" t="str">
        <f>IFERROR(__xludf.DUMMYFUNCTION("""COMPUTED_VALUE"""),"History")</f>
        <v>History</v>
      </c>
      <c r="C638" s="2" t="str">
        <f>IFERROR(__xludf.DUMMYFUNCTION("""COMPUTED_VALUE"""),"Ancient History")</f>
        <v>Ancient History</v>
      </c>
      <c r="D638" s="2" t="str">
        <f>IFERROR(__xludf.DUMMYFUNCTION("""COMPUTED_VALUE"""),"Bright Sky Publishing")</f>
        <v>Bright Sky Publishing</v>
      </c>
      <c r="E638" s="2">
        <f>IFERROR(__xludf.DUMMYFUNCTION("""COMPUTED_VALUE"""),6.51)</f>
        <v>6.51</v>
      </c>
      <c r="F638" s="2"/>
      <c r="G638" s="2"/>
      <c r="H638" s="2"/>
      <c r="I638" s="2"/>
    </row>
    <row r="639">
      <c r="A639" s="2">
        <f>IFERROR(__xludf.DUMMYFUNCTION("""COMPUTED_VALUE"""),104361.0)</f>
        <v>104361</v>
      </c>
      <c r="B639" s="2" t="str">
        <f>IFERROR(__xludf.DUMMYFUNCTION("""COMPUTED_VALUE"""),"History")</f>
        <v>History</v>
      </c>
      <c r="C639" s="2" t="str">
        <f>IFERROR(__xludf.DUMMYFUNCTION("""COMPUTED_VALUE"""),"Ancient History")</f>
        <v>Ancient History</v>
      </c>
      <c r="D639" s="2" t="str">
        <f>IFERROR(__xludf.DUMMYFUNCTION("""COMPUTED_VALUE"""),"Bright Sky Publishing")</f>
        <v>Bright Sky Publishing</v>
      </c>
      <c r="E639" s="2">
        <f>IFERROR(__xludf.DUMMYFUNCTION("""COMPUTED_VALUE"""),2.48)</f>
        <v>2.48</v>
      </c>
      <c r="F639" s="2"/>
      <c r="G639" s="2"/>
      <c r="H639" s="2"/>
      <c r="I639" s="2"/>
    </row>
    <row r="640">
      <c r="A640" s="2">
        <f>IFERROR(__xludf.DUMMYFUNCTION("""COMPUTED_VALUE"""),83080.0)</f>
        <v>83080</v>
      </c>
      <c r="B640" s="2" t="str">
        <f>IFERROR(__xludf.DUMMYFUNCTION("""COMPUTED_VALUE"""),"History")</f>
        <v>History</v>
      </c>
      <c r="C640" s="2" t="str">
        <f>IFERROR(__xludf.DUMMYFUNCTION("""COMPUTED_VALUE"""),"Ancient History")</f>
        <v>Ancient History</v>
      </c>
      <c r="D640" s="2" t="str">
        <f>IFERROR(__xludf.DUMMYFUNCTION("""COMPUTED_VALUE"""),"Bright Sky Publishing")</f>
        <v>Bright Sky Publishing</v>
      </c>
      <c r="E640" s="2">
        <f>IFERROR(__xludf.DUMMYFUNCTION("""COMPUTED_VALUE"""),3.91)</f>
        <v>3.91</v>
      </c>
      <c r="F640" s="2"/>
      <c r="G640" s="2"/>
      <c r="H640" s="2"/>
      <c r="I640" s="2"/>
    </row>
    <row r="641">
      <c r="A641" s="2">
        <f>IFERROR(__xludf.DUMMYFUNCTION("""COMPUTED_VALUE"""),84930.0)</f>
        <v>84930</v>
      </c>
      <c r="B641" s="2" t="str">
        <f>IFERROR(__xludf.DUMMYFUNCTION("""COMPUTED_VALUE"""),"History")</f>
        <v>History</v>
      </c>
      <c r="C641" s="2" t="str">
        <f>IFERROR(__xludf.DUMMYFUNCTION("""COMPUTED_VALUE"""),"Ancient History")</f>
        <v>Ancient History</v>
      </c>
      <c r="D641" s="2" t="str">
        <f>IFERROR(__xludf.DUMMYFUNCTION("""COMPUTED_VALUE"""),"Bright Sky Publishing")</f>
        <v>Bright Sky Publishing</v>
      </c>
      <c r="E641" s="2">
        <f>IFERROR(__xludf.DUMMYFUNCTION("""COMPUTED_VALUE"""),2.05)</f>
        <v>2.05</v>
      </c>
      <c r="F641" s="2"/>
      <c r="G641" s="2"/>
      <c r="H641" s="2"/>
      <c r="I641" s="2"/>
    </row>
    <row r="642">
      <c r="A642" s="2">
        <f>IFERROR(__xludf.DUMMYFUNCTION("""COMPUTED_VALUE"""),19848.0)</f>
        <v>19848</v>
      </c>
      <c r="B642" s="2" t="str">
        <f>IFERROR(__xludf.DUMMYFUNCTION("""COMPUTED_VALUE"""),"History")</f>
        <v>History</v>
      </c>
      <c r="C642" s="2" t="str">
        <f>IFERROR(__xludf.DUMMYFUNCTION("""COMPUTED_VALUE"""),"Ancient History")</f>
        <v>Ancient History</v>
      </c>
      <c r="D642" s="2" t="str">
        <f>IFERROR(__xludf.DUMMYFUNCTION("""COMPUTED_VALUE"""),"Bright Sky Publishing")</f>
        <v>Bright Sky Publishing</v>
      </c>
      <c r="E642" s="2">
        <f>IFERROR(__xludf.DUMMYFUNCTION("""COMPUTED_VALUE"""),2.4)</f>
        <v>2.4</v>
      </c>
      <c r="F642" s="2"/>
      <c r="G642" s="2"/>
      <c r="H642" s="2"/>
      <c r="I642" s="2"/>
    </row>
    <row r="643">
      <c r="A643" s="2">
        <f>IFERROR(__xludf.DUMMYFUNCTION("""COMPUTED_VALUE"""),104362.0)</f>
        <v>104362</v>
      </c>
      <c r="B643" s="2" t="str">
        <f>IFERROR(__xludf.DUMMYFUNCTION("""COMPUTED_VALUE"""),"History")</f>
        <v>History</v>
      </c>
      <c r="C643" s="2" t="str">
        <f>IFERROR(__xludf.DUMMYFUNCTION("""COMPUTED_VALUE"""),"Ancient History")</f>
        <v>Ancient History</v>
      </c>
      <c r="D643" s="2" t="str">
        <f>IFERROR(__xludf.DUMMYFUNCTION("""COMPUTED_VALUE"""),"Bright Sky Publishing")</f>
        <v>Bright Sky Publishing</v>
      </c>
      <c r="E643" s="2">
        <f>IFERROR(__xludf.DUMMYFUNCTION("""COMPUTED_VALUE"""),5.81)</f>
        <v>5.81</v>
      </c>
      <c r="F643" s="2"/>
      <c r="G643" s="2"/>
      <c r="H643" s="2"/>
      <c r="I643" s="2"/>
    </row>
    <row r="644">
      <c r="A644" s="2">
        <f>IFERROR(__xludf.DUMMYFUNCTION("""COMPUTED_VALUE"""),92122.0)</f>
        <v>92122</v>
      </c>
      <c r="B644" s="2" t="str">
        <f>IFERROR(__xludf.DUMMYFUNCTION("""COMPUTED_VALUE"""),"History")</f>
        <v>History</v>
      </c>
      <c r="C644" s="2" t="str">
        <f>IFERROR(__xludf.DUMMYFUNCTION("""COMPUTED_VALUE"""),"Ancient History")</f>
        <v>Ancient History</v>
      </c>
      <c r="D644" s="2" t="str">
        <f>IFERROR(__xludf.DUMMYFUNCTION("""COMPUTED_VALUE"""),"Bright Sky Publishing")</f>
        <v>Bright Sky Publishing</v>
      </c>
      <c r="E644" s="2">
        <f>IFERROR(__xludf.DUMMYFUNCTION("""COMPUTED_VALUE"""),16.62)</f>
        <v>16.62</v>
      </c>
      <c r="F644" s="2"/>
      <c r="G644" s="2"/>
      <c r="H644" s="2"/>
      <c r="I644" s="2"/>
    </row>
    <row r="645">
      <c r="A645" s="2">
        <f>IFERROR(__xludf.DUMMYFUNCTION("""COMPUTED_VALUE"""),15854.0)</f>
        <v>15854</v>
      </c>
      <c r="B645" s="2" t="str">
        <f>IFERROR(__xludf.DUMMYFUNCTION("""COMPUTED_VALUE"""),"History")</f>
        <v>History</v>
      </c>
      <c r="C645" s="2" t="str">
        <f>IFERROR(__xludf.DUMMYFUNCTION("""COMPUTED_VALUE"""),"Ancient History")</f>
        <v>Ancient History</v>
      </c>
      <c r="D645" s="2" t="str">
        <f>IFERROR(__xludf.DUMMYFUNCTION("""COMPUTED_VALUE"""),"Bright Sky Publishing")</f>
        <v>Bright Sky Publishing</v>
      </c>
      <c r="E645" s="2">
        <f>IFERROR(__xludf.DUMMYFUNCTION("""COMPUTED_VALUE"""),3.7)</f>
        <v>3.7</v>
      </c>
      <c r="F645" s="2"/>
      <c r="G645" s="2"/>
      <c r="H645" s="2"/>
      <c r="I645" s="2"/>
    </row>
    <row r="646">
      <c r="A646" s="2">
        <f>IFERROR(__xludf.DUMMYFUNCTION("""COMPUTED_VALUE"""),81383.0)</f>
        <v>81383</v>
      </c>
      <c r="B646" s="2" t="str">
        <f>IFERROR(__xludf.DUMMYFUNCTION("""COMPUTED_VALUE"""),"History")</f>
        <v>History</v>
      </c>
      <c r="C646" s="2" t="str">
        <f>IFERROR(__xludf.DUMMYFUNCTION("""COMPUTED_VALUE"""),"Ancient History")</f>
        <v>Ancient History</v>
      </c>
      <c r="D646" s="2" t="str">
        <f>IFERROR(__xludf.DUMMYFUNCTION("""COMPUTED_VALUE"""),"Bright Sky Publishing")</f>
        <v>Bright Sky Publishing</v>
      </c>
      <c r="E646" s="2">
        <f>IFERROR(__xludf.DUMMYFUNCTION("""COMPUTED_VALUE"""),1.19)</f>
        <v>1.19</v>
      </c>
      <c r="F646" s="2"/>
      <c r="G646" s="2"/>
      <c r="H646" s="2"/>
      <c r="I646" s="2"/>
    </row>
    <row r="647">
      <c r="A647" s="2">
        <f>IFERROR(__xludf.DUMMYFUNCTION("""COMPUTED_VALUE"""),81430.0)</f>
        <v>81430</v>
      </c>
      <c r="B647" s="2" t="str">
        <f>IFERROR(__xludf.DUMMYFUNCTION("""COMPUTED_VALUE"""),"History")</f>
        <v>History</v>
      </c>
      <c r="C647" s="2" t="str">
        <f>IFERROR(__xludf.DUMMYFUNCTION("""COMPUTED_VALUE"""),"Ancient History")</f>
        <v>Ancient History</v>
      </c>
      <c r="D647" s="2" t="str">
        <f>IFERROR(__xludf.DUMMYFUNCTION("""COMPUTED_VALUE"""),"Bright Sky Publishing")</f>
        <v>Bright Sky Publishing</v>
      </c>
      <c r="E647" s="2">
        <f>IFERROR(__xludf.DUMMYFUNCTION("""COMPUTED_VALUE"""),5.29)</f>
        <v>5.29</v>
      </c>
      <c r="F647" s="2"/>
      <c r="G647" s="2"/>
      <c r="H647" s="2"/>
      <c r="I647" s="2"/>
    </row>
    <row r="648">
      <c r="A648" s="2">
        <f>IFERROR(__xludf.DUMMYFUNCTION("""COMPUTED_VALUE"""),84325.0)</f>
        <v>84325</v>
      </c>
      <c r="B648" s="2" t="str">
        <f>IFERROR(__xludf.DUMMYFUNCTION("""COMPUTED_VALUE"""),"History")</f>
        <v>History</v>
      </c>
      <c r="C648" s="2" t="str">
        <f>IFERROR(__xludf.DUMMYFUNCTION("""COMPUTED_VALUE"""),"Ancient History")</f>
        <v>Ancient History</v>
      </c>
      <c r="D648" s="2" t="str">
        <f>IFERROR(__xludf.DUMMYFUNCTION("""COMPUTED_VALUE"""),"Oakwood Books")</f>
        <v>Oakwood Books</v>
      </c>
      <c r="E648" s="2">
        <f>IFERROR(__xludf.DUMMYFUNCTION("""COMPUTED_VALUE"""),2.43)</f>
        <v>2.43</v>
      </c>
      <c r="F648" s="2"/>
      <c r="G648" s="2"/>
      <c r="H648" s="2"/>
      <c r="I648" s="2"/>
    </row>
    <row r="649">
      <c r="A649" s="2">
        <f>IFERROR(__xludf.DUMMYFUNCTION("""COMPUTED_VALUE"""),127244.0)</f>
        <v>127244</v>
      </c>
      <c r="B649" s="2" t="str">
        <f>IFERROR(__xludf.DUMMYFUNCTION("""COMPUTED_VALUE"""),"History")</f>
        <v>History</v>
      </c>
      <c r="C649" s="2" t="str">
        <f>IFERROR(__xludf.DUMMYFUNCTION("""COMPUTED_VALUE"""),"Ancient History")</f>
        <v>Ancient History</v>
      </c>
      <c r="D649" s="2" t="str">
        <f>IFERROR(__xludf.DUMMYFUNCTION("""COMPUTED_VALUE"""),"Oakwood Books")</f>
        <v>Oakwood Books</v>
      </c>
      <c r="E649" s="2">
        <f>IFERROR(__xludf.DUMMYFUNCTION("""COMPUTED_VALUE"""),2.53)</f>
        <v>2.53</v>
      </c>
      <c r="F649" s="2"/>
      <c r="G649" s="2"/>
      <c r="H649" s="2"/>
      <c r="I649" s="2"/>
    </row>
    <row r="650">
      <c r="A650" s="2">
        <f>IFERROR(__xludf.DUMMYFUNCTION("""COMPUTED_VALUE"""),15865.0)</f>
        <v>15865</v>
      </c>
      <c r="B650" s="2" t="str">
        <f>IFERROR(__xludf.DUMMYFUNCTION("""COMPUTED_VALUE"""),"History")</f>
        <v>History</v>
      </c>
      <c r="C650" s="2" t="str">
        <f>IFERROR(__xludf.DUMMYFUNCTION("""COMPUTED_VALUE"""),"Ancient History")</f>
        <v>Ancient History</v>
      </c>
      <c r="D650" s="2" t="str">
        <f>IFERROR(__xludf.DUMMYFUNCTION("""COMPUTED_VALUE"""),"Oakwood Books")</f>
        <v>Oakwood Books</v>
      </c>
      <c r="E650" s="2">
        <f>IFERROR(__xludf.DUMMYFUNCTION("""COMPUTED_VALUE"""),4.15)</f>
        <v>4.15</v>
      </c>
      <c r="F650" s="2"/>
      <c r="G650" s="2"/>
      <c r="H650" s="2"/>
      <c r="I650" s="2"/>
    </row>
    <row r="651">
      <c r="A651" s="2">
        <f>IFERROR(__xludf.DUMMYFUNCTION("""COMPUTED_VALUE"""),121996.0)</f>
        <v>121996</v>
      </c>
      <c r="B651" s="2" t="str">
        <f>IFERROR(__xludf.DUMMYFUNCTION("""COMPUTED_VALUE"""),"History")</f>
        <v>History</v>
      </c>
      <c r="C651" s="2" t="str">
        <f>IFERROR(__xludf.DUMMYFUNCTION("""COMPUTED_VALUE"""),"Ancient History")</f>
        <v>Ancient History</v>
      </c>
      <c r="D651" s="2" t="str">
        <f>IFERROR(__xludf.DUMMYFUNCTION("""COMPUTED_VALUE"""),"Oakwood Books")</f>
        <v>Oakwood Books</v>
      </c>
      <c r="E651" s="2">
        <f>IFERROR(__xludf.DUMMYFUNCTION("""COMPUTED_VALUE"""),1.97)</f>
        <v>1.97</v>
      </c>
      <c r="F651" s="2"/>
      <c r="G651" s="2"/>
      <c r="H651" s="2"/>
      <c r="I651" s="2"/>
    </row>
    <row r="652">
      <c r="A652" s="2">
        <f>IFERROR(__xludf.DUMMYFUNCTION("""COMPUTED_VALUE"""),93083.0)</f>
        <v>93083</v>
      </c>
      <c r="B652" s="2" t="str">
        <f>IFERROR(__xludf.DUMMYFUNCTION("""COMPUTED_VALUE"""),"History")</f>
        <v>History</v>
      </c>
      <c r="C652" s="2" t="str">
        <f>IFERROR(__xludf.DUMMYFUNCTION("""COMPUTED_VALUE"""),"Ancient History")</f>
        <v>Ancient History</v>
      </c>
      <c r="D652" s="2" t="str">
        <f>IFERROR(__xludf.DUMMYFUNCTION("""COMPUTED_VALUE"""),"Oakwood Books")</f>
        <v>Oakwood Books</v>
      </c>
      <c r="E652" s="2">
        <f>IFERROR(__xludf.DUMMYFUNCTION("""COMPUTED_VALUE"""),1.94)</f>
        <v>1.94</v>
      </c>
      <c r="F652" s="2"/>
      <c r="G652" s="2"/>
      <c r="H652" s="2"/>
      <c r="I652" s="2"/>
    </row>
    <row r="653">
      <c r="A653" s="2">
        <f>IFERROR(__xludf.DUMMYFUNCTION("""COMPUTED_VALUE"""),3426.0)</f>
        <v>3426</v>
      </c>
      <c r="B653" s="2" t="str">
        <f>IFERROR(__xludf.DUMMYFUNCTION("""COMPUTED_VALUE"""),"History")</f>
        <v>History</v>
      </c>
      <c r="C653" s="2" t="str">
        <f>IFERROR(__xludf.DUMMYFUNCTION("""COMPUTED_VALUE"""),"Ancient History")</f>
        <v>Ancient History</v>
      </c>
      <c r="D653" s="2" t="str">
        <f>IFERROR(__xludf.DUMMYFUNCTION("""COMPUTED_VALUE"""),"Oakwood Books")</f>
        <v>Oakwood Books</v>
      </c>
      <c r="E653" s="2">
        <f>IFERROR(__xludf.DUMMYFUNCTION("""COMPUTED_VALUE"""),4.52)</f>
        <v>4.52</v>
      </c>
      <c r="F653" s="2"/>
      <c r="G653" s="2"/>
      <c r="H653" s="2"/>
      <c r="I653" s="2"/>
    </row>
    <row r="654">
      <c r="A654" s="2">
        <f>IFERROR(__xludf.DUMMYFUNCTION("""COMPUTED_VALUE"""),111349.0)</f>
        <v>111349</v>
      </c>
      <c r="B654" s="2" t="str">
        <f>IFERROR(__xludf.DUMMYFUNCTION("""COMPUTED_VALUE"""),"History")</f>
        <v>History</v>
      </c>
      <c r="C654" s="2" t="str">
        <f>IFERROR(__xludf.DUMMYFUNCTION("""COMPUTED_VALUE"""),"Ancient History")</f>
        <v>Ancient History</v>
      </c>
      <c r="D654" s="2" t="str">
        <f>IFERROR(__xludf.DUMMYFUNCTION("""COMPUTED_VALUE"""),"Oakwood Books")</f>
        <v>Oakwood Books</v>
      </c>
      <c r="E654" s="2">
        <f>IFERROR(__xludf.DUMMYFUNCTION("""COMPUTED_VALUE"""),4.37)</f>
        <v>4.37</v>
      </c>
      <c r="F654" s="2"/>
      <c r="G654" s="2"/>
      <c r="H654" s="2"/>
      <c r="I654" s="2"/>
    </row>
    <row r="655">
      <c r="A655" s="2">
        <f>IFERROR(__xludf.DUMMYFUNCTION("""COMPUTED_VALUE"""),74917.0)</f>
        <v>74917</v>
      </c>
      <c r="B655" s="2" t="str">
        <f>IFERROR(__xludf.DUMMYFUNCTION("""COMPUTED_VALUE"""),"History")</f>
        <v>History</v>
      </c>
      <c r="C655" s="2" t="str">
        <f>IFERROR(__xludf.DUMMYFUNCTION("""COMPUTED_VALUE"""),"Ancient History")</f>
        <v>Ancient History</v>
      </c>
      <c r="D655" s="2" t="str">
        <f>IFERROR(__xludf.DUMMYFUNCTION("""COMPUTED_VALUE"""),"Oakwood Books")</f>
        <v>Oakwood Books</v>
      </c>
      <c r="E655" s="2">
        <f>IFERROR(__xludf.DUMMYFUNCTION("""COMPUTED_VALUE"""),2.72)</f>
        <v>2.72</v>
      </c>
      <c r="F655" s="2"/>
      <c r="G655" s="2"/>
      <c r="H655" s="2"/>
      <c r="I655" s="2"/>
    </row>
    <row r="656">
      <c r="A656" s="2">
        <f>IFERROR(__xludf.DUMMYFUNCTION("""COMPUTED_VALUE"""),69127.0)</f>
        <v>69127</v>
      </c>
      <c r="B656" s="2" t="str">
        <f>IFERROR(__xludf.DUMMYFUNCTION("""COMPUTED_VALUE"""),"History")</f>
        <v>History</v>
      </c>
      <c r="C656" s="2" t="str">
        <f>IFERROR(__xludf.DUMMYFUNCTION("""COMPUTED_VALUE"""),"Ancient History")</f>
        <v>Ancient History</v>
      </c>
      <c r="D656" s="2" t="str">
        <f>IFERROR(__xludf.DUMMYFUNCTION("""COMPUTED_VALUE"""),"Oakwood Books")</f>
        <v>Oakwood Books</v>
      </c>
      <c r="E656" s="2">
        <f>IFERROR(__xludf.DUMMYFUNCTION("""COMPUTED_VALUE"""),2.22)</f>
        <v>2.22</v>
      </c>
      <c r="F656" s="2"/>
      <c r="G656" s="2"/>
      <c r="H656" s="2"/>
      <c r="I656" s="2"/>
    </row>
    <row r="657">
      <c r="A657" s="2">
        <f>IFERROR(__xludf.DUMMYFUNCTION("""COMPUTED_VALUE"""),84819.0)</f>
        <v>84819</v>
      </c>
      <c r="B657" s="2" t="str">
        <f>IFERROR(__xludf.DUMMYFUNCTION("""COMPUTED_VALUE"""),"History")</f>
        <v>History</v>
      </c>
      <c r="C657" s="2" t="str">
        <f>IFERROR(__xludf.DUMMYFUNCTION("""COMPUTED_VALUE"""),"Ancient History")</f>
        <v>Ancient History</v>
      </c>
      <c r="D657" s="2" t="str">
        <f>IFERROR(__xludf.DUMMYFUNCTION("""COMPUTED_VALUE"""),"Oakwood Books")</f>
        <v>Oakwood Books</v>
      </c>
      <c r="E657" s="2">
        <f>IFERROR(__xludf.DUMMYFUNCTION("""COMPUTED_VALUE"""),3.87)</f>
        <v>3.87</v>
      </c>
      <c r="F657" s="2"/>
      <c r="G657" s="2"/>
      <c r="H657" s="2"/>
      <c r="I657" s="2"/>
    </row>
    <row r="658">
      <c r="A658" s="2">
        <f>IFERROR(__xludf.DUMMYFUNCTION("""COMPUTED_VALUE"""),104367.0)</f>
        <v>104367</v>
      </c>
      <c r="B658" s="2" t="str">
        <f>IFERROR(__xludf.DUMMYFUNCTION("""COMPUTED_VALUE"""),"History")</f>
        <v>History</v>
      </c>
      <c r="C658" s="2" t="str">
        <f>IFERROR(__xludf.DUMMYFUNCTION("""COMPUTED_VALUE"""),"Ancient History")</f>
        <v>Ancient History</v>
      </c>
      <c r="D658" s="2" t="str">
        <f>IFERROR(__xludf.DUMMYFUNCTION("""COMPUTED_VALUE"""),"Oakwood Books")</f>
        <v>Oakwood Books</v>
      </c>
      <c r="E658" s="2">
        <f>IFERROR(__xludf.DUMMYFUNCTION("""COMPUTED_VALUE"""),3.13)</f>
        <v>3.13</v>
      </c>
      <c r="F658" s="2"/>
      <c r="G658" s="2"/>
      <c r="H658" s="2"/>
      <c r="I658" s="2"/>
    </row>
    <row r="659">
      <c r="A659" s="2">
        <f>IFERROR(__xludf.DUMMYFUNCTION("""COMPUTED_VALUE"""),121997.0)</f>
        <v>121997</v>
      </c>
      <c r="B659" s="2" t="str">
        <f>IFERROR(__xludf.DUMMYFUNCTION("""COMPUTED_VALUE"""),"History")</f>
        <v>History</v>
      </c>
      <c r="C659" s="2" t="str">
        <f>IFERROR(__xludf.DUMMYFUNCTION("""COMPUTED_VALUE"""),"Ancient History")</f>
        <v>Ancient History</v>
      </c>
      <c r="D659" s="2" t="str">
        <f>IFERROR(__xludf.DUMMYFUNCTION("""COMPUTED_VALUE"""),"Oakwood Books")</f>
        <v>Oakwood Books</v>
      </c>
      <c r="E659" s="2">
        <f>IFERROR(__xludf.DUMMYFUNCTION("""COMPUTED_VALUE"""),2.16)</f>
        <v>2.16</v>
      </c>
      <c r="F659" s="2"/>
      <c r="G659" s="2"/>
      <c r="H659" s="2"/>
      <c r="I659" s="2"/>
    </row>
    <row r="660">
      <c r="A660" s="2">
        <f>IFERROR(__xludf.DUMMYFUNCTION("""COMPUTED_VALUE"""),117499.0)</f>
        <v>117499</v>
      </c>
      <c r="B660" s="2" t="str">
        <f>IFERROR(__xludf.DUMMYFUNCTION("""COMPUTED_VALUE"""),"History")</f>
        <v>History</v>
      </c>
      <c r="C660" s="2" t="str">
        <f>IFERROR(__xludf.DUMMYFUNCTION("""COMPUTED_VALUE"""),"Ancient History")</f>
        <v>Ancient History</v>
      </c>
      <c r="D660" s="2" t="str">
        <f>IFERROR(__xludf.DUMMYFUNCTION("""COMPUTED_VALUE"""),"Oakwood Books")</f>
        <v>Oakwood Books</v>
      </c>
      <c r="E660" s="2">
        <f>IFERROR(__xludf.DUMMYFUNCTION("""COMPUTED_VALUE"""),1.89)</f>
        <v>1.89</v>
      </c>
      <c r="F660" s="2"/>
      <c r="G660" s="2"/>
      <c r="H660" s="2"/>
      <c r="I660" s="2"/>
    </row>
    <row r="661">
      <c r="A661" s="2">
        <f>IFERROR(__xludf.DUMMYFUNCTION("""COMPUTED_VALUE"""),69125.0)</f>
        <v>69125</v>
      </c>
      <c r="B661" s="2" t="str">
        <f>IFERROR(__xludf.DUMMYFUNCTION("""COMPUTED_VALUE"""),"History")</f>
        <v>History</v>
      </c>
      <c r="C661" s="2" t="str">
        <f>IFERROR(__xludf.DUMMYFUNCTION("""COMPUTED_VALUE"""),"Ancient History")</f>
        <v>Ancient History</v>
      </c>
      <c r="D661" s="2" t="str">
        <f>IFERROR(__xludf.DUMMYFUNCTION("""COMPUTED_VALUE"""),"Oakwood Books")</f>
        <v>Oakwood Books</v>
      </c>
      <c r="E661" s="2">
        <f>IFERROR(__xludf.DUMMYFUNCTION("""COMPUTED_VALUE"""),2.0)</f>
        <v>2</v>
      </c>
      <c r="F661" s="2"/>
      <c r="G661" s="2"/>
      <c r="H661" s="2"/>
      <c r="I661" s="2"/>
    </row>
    <row r="662">
      <c r="A662" s="2">
        <f>IFERROR(__xludf.DUMMYFUNCTION("""COMPUTED_VALUE"""),19850.0)</f>
        <v>19850</v>
      </c>
      <c r="B662" s="2" t="str">
        <f>IFERROR(__xludf.DUMMYFUNCTION("""COMPUTED_VALUE"""),"History")</f>
        <v>History</v>
      </c>
      <c r="C662" s="2" t="str">
        <f>IFERROR(__xludf.DUMMYFUNCTION("""COMPUTED_VALUE"""),"Ancient History")</f>
        <v>Ancient History</v>
      </c>
      <c r="D662" s="2" t="str">
        <f>IFERROR(__xludf.DUMMYFUNCTION("""COMPUTED_VALUE"""),"Oakwood Books")</f>
        <v>Oakwood Books</v>
      </c>
      <c r="E662" s="2">
        <f>IFERROR(__xludf.DUMMYFUNCTION("""COMPUTED_VALUE"""),3.66)</f>
        <v>3.66</v>
      </c>
      <c r="F662" s="2"/>
      <c r="G662" s="2"/>
      <c r="H662" s="2"/>
      <c r="I662" s="2"/>
    </row>
    <row r="663">
      <c r="A663" s="2">
        <f>IFERROR(__xludf.DUMMYFUNCTION("""COMPUTED_VALUE"""),3425.0)</f>
        <v>3425</v>
      </c>
      <c r="B663" s="2" t="str">
        <f>IFERROR(__xludf.DUMMYFUNCTION("""COMPUTED_VALUE"""),"History")</f>
        <v>History</v>
      </c>
      <c r="C663" s="2" t="str">
        <f>IFERROR(__xludf.DUMMYFUNCTION("""COMPUTED_VALUE"""),"Ancient History")</f>
        <v>Ancient History</v>
      </c>
      <c r="D663" s="2" t="str">
        <f>IFERROR(__xludf.DUMMYFUNCTION("""COMPUTED_VALUE"""),"Oakwood Books")</f>
        <v>Oakwood Books</v>
      </c>
      <c r="E663" s="2">
        <f>IFERROR(__xludf.DUMMYFUNCTION("""COMPUTED_VALUE"""),4.84)</f>
        <v>4.84</v>
      </c>
      <c r="F663" s="2"/>
      <c r="G663" s="2"/>
      <c r="H663" s="2"/>
      <c r="I663" s="2"/>
    </row>
    <row r="664">
      <c r="A664" s="2">
        <f>IFERROR(__xludf.DUMMYFUNCTION("""COMPUTED_VALUE"""),84913.0)</f>
        <v>84913</v>
      </c>
      <c r="B664" s="2" t="str">
        <f>IFERROR(__xludf.DUMMYFUNCTION("""COMPUTED_VALUE"""),"History")</f>
        <v>History</v>
      </c>
      <c r="C664" s="2" t="str">
        <f>IFERROR(__xludf.DUMMYFUNCTION("""COMPUTED_VALUE"""),"Ancient History")</f>
        <v>Ancient History</v>
      </c>
      <c r="D664" s="2" t="str">
        <f>IFERROR(__xludf.DUMMYFUNCTION("""COMPUTED_VALUE"""),"Oakwood Books")</f>
        <v>Oakwood Books</v>
      </c>
      <c r="E664" s="2">
        <f>IFERROR(__xludf.DUMMYFUNCTION("""COMPUTED_VALUE"""),4.0)</f>
        <v>4</v>
      </c>
      <c r="F664" s="2"/>
      <c r="G664" s="2"/>
      <c r="H664" s="2"/>
      <c r="I664" s="2"/>
    </row>
    <row r="665">
      <c r="A665" s="2">
        <f>IFERROR(__xludf.DUMMYFUNCTION("""COMPUTED_VALUE"""),120378.0)</f>
        <v>120378</v>
      </c>
      <c r="B665" s="2" t="str">
        <f>IFERROR(__xludf.DUMMYFUNCTION("""COMPUTED_VALUE"""),"Fiction")</f>
        <v>Fiction</v>
      </c>
      <c r="C665" s="2" t="str">
        <f>IFERROR(__xludf.DUMMYFUNCTION("""COMPUTED_VALUE"""),"Medieval History")</f>
        <v>Medieval History</v>
      </c>
      <c r="D665" s="2" t="str">
        <f>IFERROR(__xludf.DUMMYFUNCTION("""COMPUTED_VALUE"""),"Riverbend Press")</f>
        <v>Riverbend Press</v>
      </c>
      <c r="E665" s="2">
        <f>IFERROR(__xludf.DUMMYFUNCTION("""COMPUTED_VALUE"""),0.99)</f>
        <v>0.99</v>
      </c>
      <c r="F665" s="2"/>
      <c r="G665" s="2"/>
      <c r="H665" s="2"/>
      <c r="I665" s="2"/>
    </row>
    <row r="666">
      <c r="A666" s="2">
        <f>IFERROR(__xludf.DUMMYFUNCTION("""COMPUTED_VALUE"""),5905.0)</f>
        <v>5905</v>
      </c>
      <c r="B666" s="2" t="str">
        <f>IFERROR(__xludf.DUMMYFUNCTION("""COMPUTED_VALUE"""),"Fiction")</f>
        <v>Fiction</v>
      </c>
      <c r="C666" s="2" t="str">
        <f>IFERROR(__xludf.DUMMYFUNCTION("""COMPUTED_VALUE"""),"Medieval History")</f>
        <v>Medieval History</v>
      </c>
      <c r="D666" s="2" t="str">
        <f>IFERROR(__xludf.DUMMYFUNCTION("""COMPUTED_VALUE"""),"Riverbend Press")</f>
        <v>Riverbend Press</v>
      </c>
      <c r="E666" s="2">
        <f>IFERROR(__xludf.DUMMYFUNCTION("""COMPUTED_VALUE"""),1.91)</f>
        <v>1.91</v>
      </c>
      <c r="F666" s="2"/>
      <c r="G666" s="2"/>
      <c r="H666" s="2"/>
      <c r="I666" s="2"/>
    </row>
    <row r="667">
      <c r="A667" s="2">
        <f>IFERROR(__xludf.DUMMYFUNCTION("""COMPUTED_VALUE"""),23213.0)</f>
        <v>23213</v>
      </c>
      <c r="B667" s="2" t="str">
        <f>IFERROR(__xludf.DUMMYFUNCTION("""COMPUTED_VALUE"""),"Fiction")</f>
        <v>Fiction</v>
      </c>
      <c r="C667" s="2" t="str">
        <f>IFERROR(__xludf.DUMMYFUNCTION("""COMPUTED_VALUE"""),"Medieval History")</f>
        <v>Medieval History</v>
      </c>
      <c r="D667" s="2" t="str">
        <f>IFERROR(__xludf.DUMMYFUNCTION("""COMPUTED_VALUE"""),"Riverbend Press")</f>
        <v>Riverbend Press</v>
      </c>
      <c r="E667" s="2">
        <f>IFERROR(__xludf.DUMMYFUNCTION("""COMPUTED_VALUE"""),2.53)</f>
        <v>2.53</v>
      </c>
      <c r="F667" s="2"/>
      <c r="G667" s="2"/>
      <c r="H667" s="2"/>
      <c r="I667" s="2"/>
    </row>
    <row r="668">
      <c r="A668" s="2">
        <f>IFERROR(__xludf.DUMMYFUNCTION("""COMPUTED_VALUE"""),47168.0)</f>
        <v>47168</v>
      </c>
      <c r="B668" s="2" t="str">
        <f>IFERROR(__xludf.DUMMYFUNCTION("""COMPUTED_VALUE"""),"Fiction")</f>
        <v>Fiction</v>
      </c>
      <c r="C668" s="2" t="str">
        <f>IFERROR(__xludf.DUMMYFUNCTION("""COMPUTED_VALUE"""),"Medieval History")</f>
        <v>Medieval History</v>
      </c>
      <c r="D668" s="2" t="str">
        <f>IFERROR(__xludf.DUMMYFUNCTION("""COMPUTED_VALUE"""),"Riverbend Press")</f>
        <v>Riverbend Press</v>
      </c>
      <c r="E668" s="2">
        <f>IFERROR(__xludf.DUMMYFUNCTION("""COMPUTED_VALUE"""),3.43)</f>
        <v>3.43</v>
      </c>
      <c r="F668" s="2"/>
      <c r="G668" s="2"/>
      <c r="H668" s="2"/>
      <c r="I668" s="2"/>
    </row>
    <row r="669">
      <c r="A669" s="2">
        <f>IFERROR(__xludf.DUMMYFUNCTION("""COMPUTED_VALUE"""),102990.0)</f>
        <v>102990</v>
      </c>
      <c r="B669" s="2" t="str">
        <f>IFERROR(__xludf.DUMMYFUNCTION("""COMPUTED_VALUE"""),"Fiction")</f>
        <v>Fiction</v>
      </c>
      <c r="C669" s="2" t="str">
        <f>IFERROR(__xludf.DUMMYFUNCTION("""COMPUTED_VALUE"""),"Medieval History")</f>
        <v>Medieval History</v>
      </c>
      <c r="D669" s="2" t="str">
        <f>IFERROR(__xludf.DUMMYFUNCTION("""COMPUTED_VALUE"""),"Riverbend Press")</f>
        <v>Riverbend Press</v>
      </c>
      <c r="E669" s="2">
        <f>IFERROR(__xludf.DUMMYFUNCTION("""COMPUTED_VALUE"""),1.85)</f>
        <v>1.85</v>
      </c>
      <c r="F669" s="2"/>
      <c r="G669" s="2"/>
      <c r="H669" s="2"/>
      <c r="I669" s="2"/>
    </row>
    <row r="670">
      <c r="A670" s="2">
        <f>IFERROR(__xludf.DUMMYFUNCTION("""COMPUTED_VALUE"""),46441.0)</f>
        <v>46441</v>
      </c>
      <c r="B670" s="2" t="str">
        <f>IFERROR(__xludf.DUMMYFUNCTION("""COMPUTED_VALUE"""),"Fiction")</f>
        <v>Fiction</v>
      </c>
      <c r="C670" s="2" t="str">
        <f>IFERROR(__xludf.DUMMYFUNCTION("""COMPUTED_VALUE"""),"Medieval History")</f>
        <v>Medieval History</v>
      </c>
      <c r="D670" s="2" t="str">
        <f>IFERROR(__xludf.DUMMYFUNCTION("""COMPUTED_VALUE"""),"Riverbend Press")</f>
        <v>Riverbend Press</v>
      </c>
      <c r="E670" s="2">
        <f>IFERROR(__xludf.DUMMYFUNCTION("""COMPUTED_VALUE"""),3.51)</f>
        <v>3.51</v>
      </c>
      <c r="F670" s="2"/>
      <c r="G670" s="2"/>
      <c r="H670" s="2"/>
      <c r="I670" s="2"/>
    </row>
    <row r="671">
      <c r="A671" s="2">
        <f>IFERROR(__xludf.DUMMYFUNCTION("""COMPUTED_VALUE"""),11085.0)</f>
        <v>11085</v>
      </c>
      <c r="B671" s="2" t="str">
        <f>IFERROR(__xludf.DUMMYFUNCTION("""COMPUTED_VALUE"""),"Fiction")</f>
        <v>Fiction</v>
      </c>
      <c r="C671" s="2" t="str">
        <f>IFERROR(__xludf.DUMMYFUNCTION("""COMPUTED_VALUE"""),"Medieval History")</f>
        <v>Medieval History</v>
      </c>
      <c r="D671" s="2" t="str">
        <f>IFERROR(__xludf.DUMMYFUNCTION("""COMPUTED_VALUE"""),"Riverbend Press")</f>
        <v>Riverbend Press</v>
      </c>
      <c r="E671" s="2">
        <f>IFERROR(__xludf.DUMMYFUNCTION("""COMPUTED_VALUE"""),4.41)</f>
        <v>4.41</v>
      </c>
      <c r="F671" s="2"/>
      <c r="G671" s="2"/>
      <c r="H671" s="2"/>
      <c r="I671" s="2"/>
    </row>
    <row r="672">
      <c r="A672" s="2">
        <f>IFERROR(__xludf.DUMMYFUNCTION("""COMPUTED_VALUE"""),96441.0)</f>
        <v>96441</v>
      </c>
      <c r="B672" s="2" t="str">
        <f>IFERROR(__xludf.DUMMYFUNCTION("""COMPUTED_VALUE"""),"Fiction")</f>
        <v>Fiction</v>
      </c>
      <c r="C672" s="2" t="str">
        <f>IFERROR(__xludf.DUMMYFUNCTION("""COMPUTED_VALUE"""),"Medieval History")</f>
        <v>Medieval History</v>
      </c>
      <c r="D672" s="2" t="str">
        <f>IFERROR(__xludf.DUMMYFUNCTION("""COMPUTED_VALUE"""),"Riverbend Press")</f>
        <v>Riverbend Press</v>
      </c>
      <c r="E672" s="2">
        <f>IFERROR(__xludf.DUMMYFUNCTION("""COMPUTED_VALUE"""),3.45)</f>
        <v>3.45</v>
      </c>
      <c r="F672" s="2"/>
      <c r="G672" s="2"/>
      <c r="H672" s="2"/>
      <c r="I672" s="2"/>
    </row>
    <row r="673">
      <c r="A673" s="2">
        <f>IFERROR(__xludf.DUMMYFUNCTION("""COMPUTED_VALUE"""),82131.0)</f>
        <v>82131</v>
      </c>
      <c r="B673" s="2" t="str">
        <f>IFERROR(__xludf.DUMMYFUNCTION("""COMPUTED_VALUE"""),"Fiction")</f>
        <v>Fiction</v>
      </c>
      <c r="C673" s="2" t="str">
        <f>IFERROR(__xludf.DUMMYFUNCTION("""COMPUTED_VALUE"""),"Medieval History")</f>
        <v>Medieval History</v>
      </c>
      <c r="D673" s="2" t="str">
        <f>IFERROR(__xludf.DUMMYFUNCTION("""COMPUTED_VALUE"""),"Riverbend Press")</f>
        <v>Riverbend Press</v>
      </c>
      <c r="E673" s="2">
        <f>IFERROR(__xludf.DUMMYFUNCTION("""COMPUTED_VALUE"""),3.07)</f>
        <v>3.07</v>
      </c>
      <c r="F673" s="2"/>
      <c r="G673" s="2"/>
      <c r="H673" s="2"/>
      <c r="I673" s="2"/>
    </row>
    <row r="674">
      <c r="A674" s="2">
        <f>IFERROR(__xludf.DUMMYFUNCTION("""COMPUTED_VALUE"""),46440.0)</f>
        <v>46440</v>
      </c>
      <c r="B674" s="2" t="str">
        <f>IFERROR(__xludf.DUMMYFUNCTION("""COMPUTED_VALUE"""),"Fiction")</f>
        <v>Fiction</v>
      </c>
      <c r="C674" s="2" t="str">
        <f>IFERROR(__xludf.DUMMYFUNCTION("""COMPUTED_VALUE"""),"Medieval History")</f>
        <v>Medieval History</v>
      </c>
      <c r="D674" s="2" t="str">
        <f>IFERROR(__xludf.DUMMYFUNCTION("""COMPUTED_VALUE"""),"Riverbend Press")</f>
        <v>Riverbend Press</v>
      </c>
      <c r="E674" s="2">
        <f>IFERROR(__xludf.DUMMYFUNCTION("""COMPUTED_VALUE"""),3.35)</f>
        <v>3.35</v>
      </c>
      <c r="F674" s="2"/>
      <c r="G674" s="2"/>
      <c r="H674" s="2"/>
      <c r="I674" s="2"/>
    </row>
    <row r="675">
      <c r="A675" s="2">
        <f>IFERROR(__xludf.DUMMYFUNCTION("""COMPUTED_VALUE"""),23214.0)</f>
        <v>23214</v>
      </c>
      <c r="B675" s="2" t="str">
        <f>IFERROR(__xludf.DUMMYFUNCTION("""COMPUTED_VALUE"""),"Fiction")</f>
        <v>Fiction</v>
      </c>
      <c r="C675" s="2" t="str">
        <f>IFERROR(__xludf.DUMMYFUNCTION("""COMPUTED_VALUE"""),"Medieval History")</f>
        <v>Medieval History</v>
      </c>
      <c r="D675" s="2" t="str">
        <f>IFERROR(__xludf.DUMMYFUNCTION("""COMPUTED_VALUE"""),"Riverbend Press")</f>
        <v>Riverbend Press</v>
      </c>
      <c r="E675" s="2">
        <f>IFERROR(__xludf.DUMMYFUNCTION("""COMPUTED_VALUE"""),2.44)</f>
        <v>2.44</v>
      </c>
      <c r="F675" s="2"/>
      <c r="G675" s="2"/>
      <c r="H675" s="2"/>
      <c r="I675" s="2"/>
    </row>
    <row r="676">
      <c r="A676" s="2">
        <f>IFERROR(__xludf.DUMMYFUNCTION("""COMPUTED_VALUE"""),82134.0)</f>
        <v>82134</v>
      </c>
      <c r="B676" s="2" t="str">
        <f>IFERROR(__xludf.DUMMYFUNCTION("""COMPUTED_VALUE"""),"Fiction")</f>
        <v>Fiction</v>
      </c>
      <c r="C676" s="2" t="str">
        <f>IFERROR(__xludf.DUMMYFUNCTION("""COMPUTED_VALUE"""),"Medieval History")</f>
        <v>Medieval History</v>
      </c>
      <c r="D676" s="2" t="str">
        <f>IFERROR(__xludf.DUMMYFUNCTION("""COMPUTED_VALUE"""),"Riverbend Press")</f>
        <v>Riverbend Press</v>
      </c>
      <c r="E676" s="2">
        <f>IFERROR(__xludf.DUMMYFUNCTION("""COMPUTED_VALUE"""),5.59)</f>
        <v>5.59</v>
      </c>
      <c r="F676" s="2"/>
      <c r="G676" s="2"/>
      <c r="H676" s="2"/>
      <c r="I676" s="2"/>
    </row>
    <row r="677">
      <c r="A677" s="2">
        <f>IFERROR(__xludf.DUMMYFUNCTION("""COMPUTED_VALUE"""),46439.0)</f>
        <v>46439</v>
      </c>
      <c r="B677" s="2" t="str">
        <f>IFERROR(__xludf.DUMMYFUNCTION("""COMPUTED_VALUE"""),"Fiction")</f>
        <v>Fiction</v>
      </c>
      <c r="C677" s="2" t="str">
        <f>IFERROR(__xludf.DUMMYFUNCTION("""COMPUTED_VALUE"""),"Medieval History")</f>
        <v>Medieval History</v>
      </c>
      <c r="D677" s="2" t="str">
        <f>IFERROR(__xludf.DUMMYFUNCTION("""COMPUTED_VALUE"""),"Riverbend Press")</f>
        <v>Riverbend Press</v>
      </c>
      <c r="E677" s="2">
        <f>IFERROR(__xludf.DUMMYFUNCTION("""COMPUTED_VALUE"""),3.13)</f>
        <v>3.13</v>
      </c>
      <c r="F677" s="2"/>
      <c r="G677" s="2"/>
      <c r="H677" s="2"/>
      <c r="I677" s="2"/>
    </row>
    <row r="678">
      <c r="A678" s="2">
        <f>IFERROR(__xludf.DUMMYFUNCTION("""COMPUTED_VALUE"""),116451.0)</f>
        <v>116451</v>
      </c>
      <c r="B678" s="2" t="str">
        <f>IFERROR(__xludf.DUMMYFUNCTION("""COMPUTED_VALUE"""),"Fiction")</f>
        <v>Fiction</v>
      </c>
      <c r="C678" s="2" t="str">
        <f>IFERROR(__xludf.DUMMYFUNCTION("""COMPUTED_VALUE"""),"Medieval History")</f>
        <v>Medieval History</v>
      </c>
      <c r="D678" s="2" t="str">
        <f>IFERROR(__xludf.DUMMYFUNCTION("""COMPUTED_VALUE"""),"Western Trail Publishing")</f>
        <v>Western Trail Publishing</v>
      </c>
      <c r="E678" s="2">
        <f>IFERROR(__xludf.DUMMYFUNCTION("""COMPUTED_VALUE"""),2.41)</f>
        <v>2.41</v>
      </c>
      <c r="F678" s="2"/>
      <c r="G678" s="2"/>
      <c r="H678" s="2"/>
      <c r="I678" s="2"/>
    </row>
    <row r="679">
      <c r="A679" s="2">
        <f>IFERROR(__xludf.DUMMYFUNCTION("""COMPUTED_VALUE"""),147340.0)</f>
        <v>147340</v>
      </c>
      <c r="B679" s="2" t="str">
        <f>IFERROR(__xludf.DUMMYFUNCTION("""COMPUTED_VALUE"""),"Fiction")</f>
        <v>Fiction</v>
      </c>
      <c r="C679" s="2" t="str">
        <f>IFERROR(__xludf.DUMMYFUNCTION("""COMPUTED_VALUE"""),"Medieval History")</f>
        <v>Medieval History</v>
      </c>
      <c r="D679" s="2" t="str">
        <f>IFERROR(__xludf.DUMMYFUNCTION("""COMPUTED_VALUE"""),"Western Trail Publishing")</f>
        <v>Western Trail Publishing</v>
      </c>
      <c r="E679" s="2">
        <f>IFERROR(__xludf.DUMMYFUNCTION("""COMPUTED_VALUE"""),0.66)</f>
        <v>0.66</v>
      </c>
      <c r="F679" s="2"/>
      <c r="G679" s="2"/>
      <c r="H679" s="2"/>
      <c r="I679" s="2"/>
    </row>
    <row r="680">
      <c r="A680" s="2">
        <f>IFERROR(__xludf.DUMMYFUNCTION("""COMPUTED_VALUE"""),140602.0)</f>
        <v>140602</v>
      </c>
      <c r="B680" s="2" t="str">
        <f>IFERROR(__xludf.DUMMYFUNCTION("""COMPUTED_VALUE"""),"Fiction")</f>
        <v>Fiction</v>
      </c>
      <c r="C680" s="2" t="str">
        <f>IFERROR(__xludf.DUMMYFUNCTION("""COMPUTED_VALUE"""),"Medieval History")</f>
        <v>Medieval History</v>
      </c>
      <c r="D680" s="2" t="str">
        <f>IFERROR(__xludf.DUMMYFUNCTION("""COMPUTED_VALUE"""),"Western Trail Publishing")</f>
        <v>Western Trail Publishing</v>
      </c>
      <c r="E680" s="2">
        <f>IFERROR(__xludf.DUMMYFUNCTION("""COMPUTED_VALUE"""),3.73)</f>
        <v>3.73</v>
      </c>
      <c r="F680" s="2"/>
      <c r="G680" s="2"/>
      <c r="H680" s="2"/>
      <c r="I680" s="2"/>
    </row>
    <row r="681">
      <c r="A681" s="2">
        <f>IFERROR(__xludf.DUMMYFUNCTION("""COMPUTED_VALUE"""),109174.0)</f>
        <v>109174</v>
      </c>
      <c r="B681" s="2" t="str">
        <f>IFERROR(__xludf.DUMMYFUNCTION("""COMPUTED_VALUE"""),"Fiction")</f>
        <v>Fiction</v>
      </c>
      <c r="C681" s="2" t="str">
        <f>IFERROR(__xludf.DUMMYFUNCTION("""COMPUTED_VALUE"""),"Medieval History")</f>
        <v>Medieval History</v>
      </c>
      <c r="D681" s="2" t="str">
        <f>IFERROR(__xludf.DUMMYFUNCTION("""COMPUTED_VALUE"""),"Western Trail Publishing")</f>
        <v>Western Trail Publishing</v>
      </c>
      <c r="E681" s="2">
        <f>IFERROR(__xludf.DUMMYFUNCTION("""COMPUTED_VALUE"""),6.74)</f>
        <v>6.74</v>
      </c>
      <c r="F681" s="2"/>
      <c r="G681" s="2"/>
      <c r="H681" s="2"/>
      <c r="I681" s="2"/>
    </row>
    <row r="682">
      <c r="A682" s="2">
        <f>IFERROR(__xludf.DUMMYFUNCTION("""COMPUTED_VALUE"""),2795.0)</f>
        <v>2795</v>
      </c>
      <c r="B682" s="2" t="str">
        <f>IFERROR(__xludf.DUMMYFUNCTION("""COMPUTED_VALUE"""),"Fiction")</f>
        <v>Fiction</v>
      </c>
      <c r="C682" s="2" t="str">
        <f>IFERROR(__xludf.DUMMYFUNCTION("""COMPUTED_VALUE"""),"Medieval History")</f>
        <v>Medieval History</v>
      </c>
      <c r="D682" s="2" t="str">
        <f>IFERROR(__xludf.DUMMYFUNCTION("""COMPUTED_VALUE"""),"Western Trail Publishing")</f>
        <v>Western Trail Publishing</v>
      </c>
      <c r="E682" s="2">
        <f>IFERROR(__xludf.DUMMYFUNCTION("""COMPUTED_VALUE"""),2.51)</f>
        <v>2.51</v>
      </c>
      <c r="F682" s="2"/>
      <c r="G682" s="2"/>
      <c r="H682" s="2"/>
      <c r="I682" s="2"/>
    </row>
    <row r="683">
      <c r="A683" s="2">
        <f>IFERROR(__xludf.DUMMYFUNCTION("""COMPUTED_VALUE"""),141867.0)</f>
        <v>141867</v>
      </c>
      <c r="B683" s="2" t="str">
        <f>IFERROR(__xludf.DUMMYFUNCTION("""COMPUTED_VALUE"""),"Fiction")</f>
        <v>Fiction</v>
      </c>
      <c r="C683" s="2" t="str">
        <f>IFERROR(__xludf.DUMMYFUNCTION("""COMPUTED_VALUE"""),"Medieval History")</f>
        <v>Medieval History</v>
      </c>
      <c r="D683" s="2" t="str">
        <f>IFERROR(__xludf.DUMMYFUNCTION("""COMPUTED_VALUE"""),"Western Trail Publishing")</f>
        <v>Western Trail Publishing</v>
      </c>
      <c r="E683" s="2">
        <f>IFERROR(__xludf.DUMMYFUNCTION("""COMPUTED_VALUE"""),5.79)</f>
        <v>5.79</v>
      </c>
      <c r="F683" s="2"/>
      <c r="G683" s="2"/>
      <c r="H683" s="2"/>
      <c r="I683" s="2"/>
    </row>
    <row r="684">
      <c r="A684" s="2">
        <f>IFERROR(__xludf.DUMMYFUNCTION("""COMPUTED_VALUE"""),118152.0)</f>
        <v>118152</v>
      </c>
      <c r="B684" s="2" t="str">
        <f>IFERROR(__xludf.DUMMYFUNCTION("""COMPUTED_VALUE"""),"Fiction")</f>
        <v>Fiction</v>
      </c>
      <c r="C684" s="2" t="str">
        <f>IFERROR(__xludf.DUMMYFUNCTION("""COMPUTED_VALUE"""),"Medieval History")</f>
        <v>Medieval History</v>
      </c>
      <c r="D684" s="2" t="str">
        <f>IFERROR(__xludf.DUMMYFUNCTION("""COMPUTED_VALUE"""),"Western Trail Publishing")</f>
        <v>Western Trail Publishing</v>
      </c>
      <c r="E684" s="2">
        <f>IFERROR(__xludf.DUMMYFUNCTION("""COMPUTED_VALUE"""),2.07)</f>
        <v>2.07</v>
      </c>
      <c r="F684" s="2"/>
      <c r="G684" s="2"/>
      <c r="H684" s="2"/>
      <c r="I684" s="2"/>
    </row>
    <row r="685">
      <c r="A685" s="2">
        <f>IFERROR(__xludf.DUMMYFUNCTION("""COMPUTED_VALUE"""),1607.0)</f>
        <v>1607</v>
      </c>
      <c r="B685" s="2" t="str">
        <f>IFERROR(__xludf.DUMMYFUNCTION("""COMPUTED_VALUE"""),"Fiction")</f>
        <v>Fiction</v>
      </c>
      <c r="C685" s="2" t="str">
        <f>IFERROR(__xludf.DUMMYFUNCTION("""COMPUTED_VALUE"""),"Medieval History")</f>
        <v>Medieval History</v>
      </c>
      <c r="D685" s="2" t="str">
        <f>IFERROR(__xludf.DUMMYFUNCTION("""COMPUTED_VALUE"""),"Western Trail Publishing")</f>
        <v>Western Trail Publishing</v>
      </c>
      <c r="E685" s="2">
        <f>IFERROR(__xludf.DUMMYFUNCTION("""COMPUTED_VALUE"""),1.74)</f>
        <v>1.74</v>
      </c>
      <c r="F685" s="2"/>
      <c r="G685" s="2"/>
      <c r="H685" s="2"/>
      <c r="I685" s="2"/>
    </row>
    <row r="686">
      <c r="A686" s="2">
        <f>IFERROR(__xludf.DUMMYFUNCTION("""COMPUTED_VALUE"""),71322.0)</f>
        <v>71322</v>
      </c>
      <c r="B686" s="2" t="str">
        <f>IFERROR(__xludf.DUMMYFUNCTION("""COMPUTED_VALUE"""),"Fiction")</f>
        <v>Fiction</v>
      </c>
      <c r="C686" s="2" t="str">
        <f>IFERROR(__xludf.DUMMYFUNCTION("""COMPUTED_VALUE"""),"Medieval History")</f>
        <v>Medieval History</v>
      </c>
      <c r="D686" s="2" t="str">
        <f>IFERROR(__xludf.DUMMYFUNCTION("""COMPUTED_VALUE"""),"Western Trail Publishing")</f>
        <v>Western Trail Publishing</v>
      </c>
      <c r="E686" s="2">
        <f>IFERROR(__xludf.DUMMYFUNCTION("""COMPUTED_VALUE"""),8.61)</f>
        <v>8.61</v>
      </c>
      <c r="F686" s="2"/>
      <c r="G686" s="2"/>
      <c r="H686" s="2"/>
      <c r="I686" s="2"/>
    </row>
    <row r="687">
      <c r="A687" s="2">
        <f>IFERROR(__xludf.DUMMYFUNCTION("""COMPUTED_VALUE"""),88773.0)</f>
        <v>88773</v>
      </c>
      <c r="B687" s="2" t="str">
        <f>IFERROR(__xludf.DUMMYFUNCTION("""COMPUTED_VALUE"""),"Fiction")</f>
        <v>Fiction</v>
      </c>
      <c r="C687" s="2" t="str">
        <f>IFERROR(__xludf.DUMMYFUNCTION("""COMPUTED_VALUE"""),"Medieval History")</f>
        <v>Medieval History</v>
      </c>
      <c r="D687" s="2" t="str">
        <f>IFERROR(__xludf.DUMMYFUNCTION("""COMPUTED_VALUE"""),"Western Trail Publishing")</f>
        <v>Western Trail Publishing</v>
      </c>
      <c r="E687" s="2">
        <f>IFERROR(__xludf.DUMMYFUNCTION("""COMPUTED_VALUE"""),2.0)</f>
        <v>2</v>
      </c>
      <c r="F687" s="2"/>
      <c r="G687" s="2"/>
      <c r="H687" s="2"/>
      <c r="I687" s="2"/>
    </row>
    <row r="688">
      <c r="A688" s="2">
        <f>IFERROR(__xludf.DUMMYFUNCTION("""COMPUTED_VALUE"""),46964.0)</f>
        <v>46964</v>
      </c>
      <c r="B688" s="2" t="str">
        <f>IFERROR(__xludf.DUMMYFUNCTION("""COMPUTED_VALUE"""),"Fiction")</f>
        <v>Fiction</v>
      </c>
      <c r="C688" s="2" t="str">
        <f>IFERROR(__xludf.DUMMYFUNCTION("""COMPUTED_VALUE"""),"Medieval History")</f>
        <v>Medieval History</v>
      </c>
      <c r="D688" s="2" t="str">
        <f>IFERROR(__xludf.DUMMYFUNCTION("""COMPUTED_VALUE"""),"Western Trail Publishing")</f>
        <v>Western Trail Publishing</v>
      </c>
      <c r="E688" s="2">
        <f>IFERROR(__xludf.DUMMYFUNCTION("""COMPUTED_VALUE"""),7.47)</f>
        <v>7.47</v>
      </c>
      <c r="F688" s="2"/>
      <c r="G688" s="2"/>
      <c r="H688" s="2"/>
      <c r="I688" s="2"/>
    </row>
    <row r="689">
      <c r="A689" s="2">
        <f>IFERROR(__xludf.DUMMYFUNCTION("""COMPUTED_VALUE"""),104454.0)</f>
        <v>104454</v>
      </c>
      <c r="B689" s="2" t="str">
        <f>IFERROR(__xludf.DUMMYFUNCTION("""COMPUTED_VALUE"""),"Fiction")</f>
        <v>Fiction</v>
      </c>
      <c r="C689" s="2" t="str">
        <f>IFERROR(__xludf.DUMMYFUNCTION("""COMPUTED_VALUE"""),"Medieval History")</f>
        <v>Medieval History</v>
      </c>
      <c r="D689" s="2" t="str">
        <f>IFERROR(__xludf.DUMMYFUNCTION("""COMPUTED_VALUE"""),"Western Trail Publishing")</f>
        <v>Western Trail Publishing</v>
      </c>
      <c r="E689" s="2">
        <f>IFERROR(__xludf.DUMMYFUNCTION("""COMPUTED_VALUE"""),2.06)</f>
        <v>2.06</v>
      </c>
      <c r="F689" s="2"/>
      <c r="G689" s="2"/>
      <c r="H689" s="2"/>
      <c r="I689" s="2"/>
    </row>
    <row r="690">
      <c r="A690" s="2">
        <f>IFERROR(__xludf.DUMMYFUNCTION("""COMPUTED_VALUE"""),8003.0)</f>
        <v>8003</v>
      </c>
      <c r="B690" s="2" t="str">
        <f>IFERROR(__xludf.DUMMYFUNCTION("""COMPUTED_VALUE"""),"Fiction")</f>
        <v>Fiction</v>
      </c>
      <c r="C690" s="2" t="str">
        <f>IFERROR(__xludf.DUMMYFUNCTION("""COMPUTED_VALUE"""),"Medieval History")</f>
        <v>Medieval History</v>
      </c>
      <c r="D690" s="2" t="str">
        <f>IFERROR(__xludf.DUMMYFUNCTION("""COMPUTED_VALUE"""),"Western Trail Publishing")</f>
        <v>Western Trail Publishing</v>
      </c>
      <c r="E690" s="2">
        <f>IFERROR(__xludf.DUMMYFUNCTION("""COMPUTED_VALUE"""),1.98)</f>
        <v>1.98</v>
      </c>
      <c r="F690" s="2"/>
      <c r="G690" s="2"/>
      <c r="H690" s="2"/>
      <c r="I690" s="2"/>
    </row>
    <row r="691">
      <c r="A691" s="2">
        <f>IFERROR(__xludf.DUMMYFUNCTION("""COMPUTED_VALUE"""),90183.0)</f>
        <v>90183</v>
      </c>
      <c r="B691" s="2" t="str">
        <f>IFERROR(__xludf.DUMMYFUNCTION("""COMPUTED_VALUE"""),"Fiction")</f>
        <v>Fiction</v>
      </c>
      <c r="C691" s="2" t="str">
        <f>IFERROR(__xludf.DUMMYFUNCTION("""COMPUTED_VALUE"""),"Medieval History")</f>
        <v>Medieval History</v>
      </c>
      <c r="D691" s="2" t="str">
        <f>IFERROR(__xludf.DUMMYFUNCTION("""COMPUTED_VALUE"""),"Western Trail Publishing")</f>
        <v>Western Trail Publishing</v>
      </c>
      <c r="E691" s="2">
        <f>IFERROR(__xludf.DUMMYFUNCTION("""COMPUTED_VALUE"""),9.46)</f>
        <v>9.46</v>
      </c>
      <c r="F691" s="2"/>
      <c r="G691" s="2"/>
      <c r="H691" s="2"/>
      <c r="I691" s="2"/>
    </row>
    <row r="692">
      <c r="A692" s="2">
        <f>IFERROR(__xludf.DUMMYFUNCTION("""COMPUTED_VALUE"""),45489.0)</f>
        <v>45489</v>
      </c>
      <c r="B692" s="2" t="str">
        <f>IFERROR(__xludf.DUMMYFUNCTION("""COMPUTED_VALUE"""),"Fiction")</f>
        <v>Fiction</v>
      </c>
      <c r="C692" s="2" t="str">
        <f>IFERROR(__xludf.DUMMYFUNCTION("""COMPUTED_VALUE"""),"Medieval History")</f>
        <v>Medieval History</v>
      </c>
      <c r="D692" s="2" t="str">
        <f>IFERROR(__xludf.DUMMYFUNCTION("""COMPUTED_VALUE"""),"Western Trail Publishing")</f>
        <v>Western Trail Publishing</v>
      </c>
      <c r="E692" s="2">
        <f>IFERROR(__xludf.DUMMYFUNCTION("""COMPUTED_VALUE"""),2.26)</f>
        <v>2.26</v>
      </c>
      <c r="F692" s="2"/>
      <c r="G692" s="2"/>
      <c r="H692" s="2"/>
      <c r="I692" s="2"/>
    </row>
    <row r="693">
      <c r="A693" s="2">
        <f>IFERROR(__xludf.DUMMYFUNCTION("""COMPUTED_VALUE"""),147337.0)</f>
        <v>147337</v>
      </c>
      <c r="B693" s="2" t="str">
        <f>IFERROR(__xludf.DUMMYFUNCTION("""COMPUTED_VALUE"""),"Fiction")</f>
        <v>Fiction</v>
      </c>
      <c r="C693" s="2" t="str">
        <f>IFERROR(__xludf.DUMMYFUNCTION("""COMPUTED_VALUE"""),"Medieval History")</f>
        <v>Medieval History</v>
      </c>
      <c r="D693" s="2" t="str">
        <f>IFERROR(__xludf.DUMMYFUNCTION("""COMPUTED_VALUE"""),"Western Trail Publishing")</f>
        <v>Western Trail Publishing</v>
      </c>
      <c r="E693" s="2">
        <f>IFERROR(__xludf.DUMMYFUNCTION("""COMPUTED_VALUE"""),2.21)</f>
        <v>2.21</v>
      </c>
      <c r="F693" s="2"/>
      <c r="G693" s="2"/>
      <c r="H693" s="2"/>
      <c r="I693" s="2"/>
    </row>
    <row r="694">
      <c r="A694" s="2">
        <f>IFERROR(__xludf.DUMMYFUNCTION("""COMPUTED_VALUE"""),116446.0)</f>
        <v>116446</v>
      </c>
      <c r="B694" s="2" t="str">
        <f>IFERROR(__xludf.DUMMYFUNCTION("""COMPUTED_VALUE"""),"Fiction")</f>
        <v>Fiction</v>
      </c>
      <c r="C694" s="2" t="str">
        <f>IFERROR(__xludf.DUMMYFUNCTION("""COMPUTED_VALUE"""),"Medieval History")</f>
        <v>Medieval History</v>
      </c>
      <c r="D694" s="2" t="str">
        <f>IFERROR(__xludf.DUMMYFUNCTION("""COMPUTED_VALUE"""),"Western Trail Publishing")</f>
        <v>Western Trail Publishing</v>
      </c>
      <c r="E694" s="2">
        <f>IFERROR(__xludf.DUMMYFUNCTION("""COMPUTED_VALUE"""),2.11)</f>
        <v>2.11</v>
      </c>
      <c r="F694" s="2"/>
      <c r="G694" s="2"/>
      <c r="H694" s="2"/>
      <c r="I694" s="2"/>
    </row>
    <row r="695">
      <c r="A695" s="2">
        <f>IFERROR(__xludf.DUMMYFUNCTION("""COMPUTED_VALUE"""),44760.0)</f>
        <v>44760</v>
      </c>
      <c r="B695" s="2" t="str">
        <f>IFERROR(__xludf.DUMMYFUNCTION("""COMPUTED_VALUE"""),"Fiction")</f>
        <v>Fiction</v>
      </c>
      <c r="C695" s="2" t="str">
        <f>IFERROR(__xludf.DUMMYFUNCTION("""COMPUTED_VALUE"""),"Medieval History")</f>
        <v>Medieval History</v>
      </c>
      <c r="D695" s="2" t="str">
        <f>IFERROR(__xludf.DUMMYFUNCTION("""COMPUTED_VALUE"""),"Western Trail Publishing")</f>
        <v>Western Trail Publishing</v>
      </c>
      <c r="E695" s="2">
        <f>IFERROR(__xludf.DUMMYFUNCTION("""COMPUTED_VALUE"""),0.74)</f>
        <v>0.74</v>
      </c>
      <c r="F695" s="2"/>
      <c r="G695" s="2"/>
      <c r="H695" s="2"/>
      <c r="I695" s="2"/>
    </row>
    <row r="696">
      <c r="A696" s="2">
        <f>IFERROR(__xludf.DUMMYFUNCTION("""COMPUTED_VALUE"""),44764.0)</f>
        <v>44764</v>
      </c>
      <c r="B696" s="2" t="str">
        <f>IFERROR(__xludf.DUMMYFUNCTION("""COMPUTED_VALUE"""),"Fiction")</f>
        <v>Fiction</v>
      </c>
      <c r="C696" s="2" t="str">
        <f>IFERROR(__xludf.DUMMYFUNCTION("""COMPUTED_VALUE"""),"Medieval History")</f>
        <v>Medieval History</v>
      </c>
      <c r="D696" s="2" t="str">
        <f>IFERROR(__xludf.DUMMYFUNCTION("""COMPUTED_VALUE"""),"Western Trail Publishing")</f>
        <v>Western Trail Publishing</v>
      </c>
      <c r="E696" s="2">
        <f>IFERROR(__xludf.DUMMYFUNCTION("""COMPUTED_VALUE"""),1.89)</f>
        <v>1.89</v>
      </c>
      <c r="F696" s="2"/>
      <c r="G696" s="2"/>
      <c r="H696" s="2"/>
      <c r="I696" s="2"/>
    </row>
    <row r="697">
      <c r="A697" s="2">
        <f>IFERROR(__xludf.DUMMYFUNCTION("""COMPUTED_VALUE"""),72801.0)</f>
        <v>72801</v>
      </c>
      <c r="B697" s="2" t="str">
        <f>IFERROR(__xludf.DUMMYFUNCTION("""COMPUTED_VALUE"""),"Fiction")</f>
        <v>Fiction</v>
      </c>
      <c r="C697" s="2" t="str">
        <f>IFERROR(__xludf.DUMMYFUNCTION("""COMPUTED_VALUE"""),"Medieval History")</f>
        <v>Medieval History</v>
      </c>
      <c r="D697" s="2" t="str">
        <f>IFERROR(__xludf.DUMMYFUNCTION("""COMPUTED_VALUE"""),"Western Trail Publishing")</f>
        <v>Western Trail Publishing</v>
      </c>
      <c r="E697" s="2">
        <f>IFERROR(__xludf.DUMMYFUNCTION("""COMPUTED_VALUE"""),2.29)</f>
        <v>2.29</v>
      </c>
      <c r="F697" s="2"/>
      <c r="G697" s="2"/>
      <c r="H697" s="2"/>
      <c r="I697" s="2"/>
    </row>
    <row r="698">
      <c r="A698" s="2">
        <f>IFERROR(__xludf.DUMMYFUNCTION("""COMPUTED_VALUE"""),86573.0)</f>
        <v>86573</v>
      </c>
      <c r="B698" s="2" t="str">
        <f>IFERROR(__xludf.DUMMYFUNCTION("""COMPUTED_VALUE"""),"Fiction")</f>
        <v>Fiction</v>
      </c>
      <c r="C698" s="2" t="str">
        <f>IFERROR(__xludf.DUMMYFUNCTION("""COMPUTED_VALUE"""),"Medieval History")</f>
        <v>Medieval History</v>
      </c>
      <c r="D698" s="2" t="str">
        <f>IFERROR(__xludf.DUMMYFUNCTION("""COMPUTED_VALUE"""),"Western Trail Publishing")</f>
        <v>Western Trail Publishing</v>
      </c>
      <c r="E698" s="2">
        <f>IFERROR(__xludf.DUMMYFUNCTION("""COMPUTED_VALUE"""),2.32)</f>
        <v>2.32</v>
      </c>
      <c r="F698" s="2"/>
      <c r="G698" s="2"/>
      <c r="H698" s="2"/>
      <c r="I698" s="2"/>
    </row>
    <row r="699">
      <c r="A699" s="2">
        <f>IFERROR(__xludf.DUMMYFUNCTION("""COMPUTED_VALUE"""),107784.0)</f>
        <v>107784</v>
      </c>
      <c r="B699" s="2" t="str">
        <f>IFERROR(__xludf.DUMMYFUNCTION("""COMPUTED_VALUE"""),"Fiction")</f>
        <v>Fiction</v>
      </c>
      <c r="C699" s="2" t="str">
        <f>IFERROR(__xludf.DUMMYFUNCTION("""COMPUTED_VALUE"""),"Medieval History")</f>
        <v>Medieval History</v>
      </c>
      <c r="D699" s="2" t="str">
        <f>IFERROR(__xludf.DUMMYFUNCTION("""COMPUTED_VALUE"""),"Western Trail Publishing")</f>
        <v>Western Trail Publishing</v>
      </c>
      <c r="E699" s="2">
        <f>IFERROR(__xludf.DUMMYFUNCTION("""COMPUTED_VALUE"""),5.89)</f>
        <v>5.89</v>
      </c>
      <c r="F699" s="2"/>
      <c r="G699" s="2"/>
      <c r="H699" s="2"/>
      <c r="I699" s="2"/>
    </row>
    <row r="700">
      <c r="A700" s="2">
        <f>IFERROR(__xludf.DUMMYFUNCTION("""COMPUTED_VALUE"""),103388.0)</f>
        <v>103388</v>
      </c>
      <c r="B700" s="2" t="str">
        <f>IFERROR(__xludf.DUMMYFUNCTION("""COMPUTED_VALUE"""),"Fiction")</f>
        <v>Fiction</v>
      </c>
      <c r="C700" s="2" t="str">
        <f>IFERROR(__xludf.DUMMYFUNCTION("""COMPUTED_VALUE"""),"Medieval History")</f>
        <v>Medieval History</v>
      </c>
      <c r="D700" s="2" t="str">
        <f>IFERROR(__xludf.DUMMYFUNCTION("""COMPUTED_VALUE"""),"Western Trail Publishing")</f>
        <v>Western Trail Publishing</v>
      </c>
      <c r="E700" s="2">
        <f>IFERROR(__xludf.DUMMYFUNCTION("""COMPUTED_VALUE"""),6.49)</f>
        <v>6.49</v>
      </c>
      <c r="F700" s="2"/>
      <c r="G700" s="2"/>
      <c r="H700" s="2"/>
      <c r="I700" s="2"/>
    </row>
    <row r="701">
      <c r="A701" s="2">
        <f>IFERROR(__xludf.DUMMYFUNCTION("""COMPUTED_VALUE"""),8004.0)</f>
        <v>8004</v>
      </c>
      <c r="B701" s="2" t="str">
        <f>IFERROR(__xludf.DUMMYFUNCTION("""COMPUTED_VALUE"""),"Fiction")</f>
        <v>Fiction</v>
      </c>
      <c r="C701" s="2" t="str">
        <f>IFERROR(__xludf.DUMMYFUNCTION("""COMPUTED_VALUE"""),"Medieval History")</f>
        <v>Medieval History</v>
      </c>
      <c r="D701" s="2" t="str">
        <f>IFERROR(__xludf.DUMMYFUNCTION("""COMPUTED_VALUE"""),"Western Trail Publishing")</f>
        <v>Western Trail Publishing</v>
      </c>
      <c r="E701" s="2">
        <f>IFERROR(__xludf.DUMMYFUNCTION("""COMPUTED_VALUE"""),2.41)</f>
        <v>2.41</v>
      </c>
      <c r="F701" s="2"/>
      <c r="G701" s="2"/>
      <c r="H701" s="2"/>
      <c r="I701" s="2"/>
    </row>
    <row r="702">
      <c r="A702" s="2">
        <f>IFERROR(__xludf.DUMMYFUNCTION("""COMPUTED_VALUE"""),103387.0)</f>
        <v>103387</v>
      </c>
      <c r="B702" s="2" t="str">
        <f>IFERROR(__xludf.DUMMYFUNCTION("""COMPUTED_VALUE"""),"Fiction")</f>
        <v>Fiction</v>
      </c>
      <c r="C702" s="2" t="str">
        <f>IFERROR(__xludf.DUMMYFUNCTION("""COMPUTED_VALUE"""),"Medieval History")</f>
        <v>Medieval History</v>
      </c>
      <c r="D702" s="2" t="str">
        <f>IFERROR(__xludf.DUMMYFUNCTION("""COMPUTED_VALUE"""),"Western Trail Publishing")</f>
        <v>Western Trail Publishing</v>
      </c>
      <c r="E702" s="2">
        <f>IFERROR(__xludf.DUMMYFUNCTION("""COMPUTED_VALUE"""),2.78)</f>
        <v>2.78</v>
      </c>
      <c r="F702" s="2"/>
      <c r="G702" s="2"/>
      <c r="H702" s="2"/>
      <c r="I702" s="2"/>
    </row>
    <row r="703">
      <c r="A703" s="2">
        <f>IFERROR(__xludf.DUMMYFUNCTION("""COMPUTED_VALUE"""),76731.0)</f>
        <v>76731</v>
      </c>
      <c r="B703" s="2" t="str">
        <f>IFERROR(__xludf.DUMMYFUNCTION("""COMPUTED_VALUE"""),"Fiction")</f>
        <v>Fiction</v>
      </c>
      <c r="C703" s="2" t="str">
        <f>IFERROR(__xludf.DUMMYFUNCTION("""COMPUTED_VALUE"""),"Medieval History")</f>
        <v>Medieval History</v>
      </c>
      <c r="D703" s="2" t="str">
        <f>IFERROR(__xludf.DUMMYFUNCTION("""COMPUTED_VALUE"""),"Western Trail Publishing")</f>
        <v>Western Trail Publishing</v>
      </c>
      <c r="E703" s="2">
        <f>IFERROR(__xludf.DUMMYFUNCTION("""COMPUTED_VALUE"""),1.51)</f>
        <v>1.51</v>
      </c>
      <c r="F703" s="2"/>
      <c r="G703" s="2"/>
      <c r="H703" s="2"/>
      <c r="I703" s="2"/>
    </row>
    <row r="704">
      <c r="A704" s="2">
        <f>IFERROR(__xludf.DUMMYFUNCTION("""COMPUTED_VALUE"""),116449.0)</f>
        <v>116449</v>
      </c>
      <c r="B704" s="2" t="str">
        <f>IFERROR(__xludf.DUMMYFUNCTION("""COMPUTED_VALUE"""),"Fiction")</f>
        <v>Fiction</v>
      </c>
      <c r="C704" s="2" t="str">
        <f>IFERROR(__xludf.DUMMYFUNCTION("""COMPUTED_VALUE"""),"Medieval History")</f>
        <v>Medieval History</v>
      </c>
      <c r="D704" s="2" t="str">
        <f>IFERROR(__xludf.DUMMYFUNCTION("""COMPUTED_VALUE"""),"Western Trail Publishing")</f>
        <v>Western Trail Publishing</v>
      </c>
      <c r="E704" s="2">
        <f>IFERROR(__xludf.DUMMYFUNCTION("""COMPUTED_VALUE"""),2.17)</f>
        <v>2.17</v>
      </c>
      <c r="F704" s="2"/>
      <c r="G704" s="2"/>
      <c r="H704" s="2"/>
      <c r="I704" s="2"/>
    </row>
    <row r="705">
      <c r="A705" s="2">
        <f>IFERROR(__xludf.DUMMYFUNCTION("""COMPUTED_VALUE"""),95211.0)</f>
        <v>95211</v>
      </c>
      <c r="B705" s="2" t="str">
        <f>IFERROR(__xludf.DUMMYFUNCTION("""COMPUTED_VALUE"""),"Fiction")</f>
        <v>Fiction</v>
      </c>
      <c r="C705" s="2" t="str">
        <f>IFERROR(__xludf.DUMMYFUNCTION("""COMPUTED_VALUE"""),"Medieval History")</f>
        <v>Medieval History</v>
      </c>
      <c r="D705" s="2" t="str">
        <f>IFERROR(__xludf.DUMMYFUNCTION("""COMPUTED_VALUE"""),"Western Trail Publishing")</f>
        <v>Western Trail Publishing</v>
      </c>
      <c r="E705" s="2">
        <f>IFERROR(__xludf.DUMMYFUNCTION("""COMPUTED_VALUE"""),2.09)</f>
        <v>2.09</v>
      </c>
      <c r="F705" s="2"/>
      <c r="G705" s="2"/>
      <c r="H705" s="2"/>
      <c r="I705" s="2"/>
    </row>
    <row r="706">
      <c r="A706" s="2">
        <f>IFERROR(__xludf.DUMMYFUNCTION("""COMPUTED_VALUE"""),118255.0)</f>
        <v>118255</v>
      </c>
      <c r="B706" s="2" t="str">
        <f>IFERROR(__xludf.DUMMYFUNCTION("""COMPUTED_VALUE"""),"Fiction")</f>
        <v>Fiction</v>
      </c>
      <c r="C706" s="2" t="str">
        <f>IFERROR(__xludf.DUMMYFUNCTION("""COMPUTED_VALUE"""),"Medieval History")</f>
        <v>Medieval History</v>
      </c>
      <c r="D706" s="2" t="str">
        <f>IFERROR(__xludf.DUMMYFUNCTION("""COMPUTED_VALUE"""),"Western Trail Publishing")</f>
        <v>Western Trail Publishing</v>
      </c>
      <c r="E706" s="2">
        <f>IFERROR(__xludf.DUMMYFUNCTION("""COMPUTED_VALUE"""),1.91)</f>
        <v>1.91</v>
      </c>
      <c r="F706" s="2"/>
      <c r="G706" s="2"/>
      <c r="H706" s="2"/>
      <c r="I706" s="2"/>
    </row>
    <row r="707">
      <c r="A707" s="2">
        <f>IFERROR(__xludf.DUMMYFUNCTION("""COMPUTED_VALUE"""),8010.0)</f>
        <v>8010</v>
      </c>
      <c r="B707" s="2" t="str">
        <f>IFERROR(__xludf.DUMMYFUNCTION("""COMPUTED_VALUE"""),"Fiction")</f>
        <v>Fiction</v>
      </c>
      <c r="C707" s="2" t="str">
        <f>IFERROR(__xludf.DUMMYFUNCTION("""COMPUTED_VALUE"""),"Medieval History")</f>
        <v>Medieval History</v>
      </c>
      <c r="D707" s="2" t="str">
        <f>IFERROR(__xludf.DUMMYFUNCTION("""COMPUTED_VALUE"""),"Urban Lantern Books")</f>
        <v>Urban Lantern Books</v>
      </c>
      <c r="E707" s="2">
        <f>IFERROR(__xludf.DUMMYFUNCTION("""COMPUTED_VALUE"""),5.4)</f>
        <v>5.4</v>
      </c>
      <c r="F707" s="2"/>
      <c r="G707" s="2"/>
      <c r="H707" s="2"/>
      <c r="I707" s="2"/>
    </row>
    <row r="708">
      <c r="A708" s="2">
        <f>IFERROR(__xludf.DUMMYFUNCTION("""COMPUTED_VALUE"""),128351.0)</f>
        <v>128351</v>
      </c>
      <c r="B708" s="2" t="str">
        <f>IFERROR(__xludf.DUMMYFUNCTION("""COMPUTED_VALUE"""),"Fiction")</f>
        <v>Fiction</v>
      </c>
      <c r="C708" s="2" t="str">
        <f>IFERROR(__xludf.DUMMYFUNCTION("""COMPUTED_VALUE"""),"Medieval History")</f>
        <v>Medieval History</v>
      </c>
      <c r="D708" s="2" t="str">
        <f>IFERROR(__xludf.DUMMYFUNCTION("""COMPUTED_VALUE"""),"Urban Lantern Books")</f>
        <v>Urban Lantern Books</v>
      </c>
      <c r="E708" s="2">
        <f>IFERROR(__xludf.DUMMYFUNCTION("""COMPUTED_VALUE"""),4.15)</f>
        <v>4.15</v>
      </c>
      <c r="F708" s="2"/>
      <c r="G708" s="2"/>
      <c r="H708" s="2"/>
      <c r="I708" s="2"/>
    </row>
    <row r="709">
      <c r="A709" s="2">
        <f>IFERROR(__xludf.DUMMYFUNCTION("""COMPUTED_VALUE"""),12452.0)</f>
        <v>12452</v>
      </c>
      <c r="B709" s="2" t="str">
        <f>IFERROR(__xludf.DUMMYFUNCTION("""COMPUTED_VALUE"""),"Fiction")</f>
        <v>Fiction</v>
      </c>
      <c r="C709" s="2" t="str">
        <f>IFERROR(__xludf.DUMMYFUNCTION("""COMPUTED_VALUE"""),"Medieval History")</f>
        <v>Medieval History</v>
      </c>
      <c r="D709" s="2" t="str">
        <f>IFERROR(__xludf.DUMMYFUNCTION("""COMPUTED_VALUE"""),"Urban Lantern Books")</f>
        <v>Urban Lantern Books</v>
      </c>
      <c r="E709" s="2">
        <f>IFERROR(__xludf.DUMMYFUNCTION("""COMPUTED_VALUE"""),2.02)</f>
        <v>2.02</v>
      </c>
      <c r="F709" s="2"/>
      <c r="G709" s="2"/>
      <c r="H709" s="2"/>
      <c r="I709" s="2"/>
    </row>
    <row r="710">
      <c r="A710" s="2">
        <f>IFERROR(__xludf.DUMMYFUNCTION("""COMPUTED_VALUE"""),108996.0)</f>
        <v>108996</v>
      </c>
      <c r="B710" s="2" t="str">
        <f>IFERROR(__xludf.DUMMYFUNCTION("""COMPUTED_VALUE"""),"Fiction")</f>
        <v>Fiction</v>
      </c>
      <c r="C710" s="2" t="str">
        <f>IFERROR(__xludf.DUMMYFUNCTION("""COMPUTED_VALUE"""),"Medieval History")</f>
        <v>Medieval History</v>
      </c>
      <c r="D710" s="2" t="str">
        <f>IFERROR(__xludf.DUMMYFUNCTION("""COMPUTED_VALUE"""),"Urban Lantern Books")</f>
        <v>Urban Lantern Books</v>
      </c>
      <c r="E710" s="2">
        <f>IFERROR(__xludf.DUMMYFUNCTION("""COMPUTED_VALUE"""),3.28)</f>
        <v>3.28</v>
      </c>
      <c r="F710" s="2"/>
      <c r="G710" s="2"/>
      <c r="H710" s="2"/>
      <c r="I710" s="2"/>
    </row>
    <row r="711">
      <c r="A711" s="2">
        <f>IFERROR(__xludf.DUMMYFUNCTION("""COMPUTED_VALUE"""),15638.0)</f>
        <v>15638</v>
      </c>
      <c r="B711" s="2" t="str">
        <f>IFERROR(__xludf.DUMMYFUNCTION("""COMPUTED_VALUE"""),"Fiction")</f>
        <v>Fiction</v>
      </c>
      <c r="C711" s="2" t="str">
        <f>IFERROR(__xludf.DUMMYFUNCTION("""COMPUTED_VALUE"""),"Medieval History")</f>
        <v>Medieval History</v>
      </c>
      <c r="D711" s="2" t="str">
        <f>IFERROR(__xludf.DUMMYFUNCTION("""COMPUTED_VALUE"""),"Urban Lantern Books")</f>
        <v>Urban Lantern Books</v>
      </c>
      <c r="E711" s="2">
        <f>IFERROR(__xludf.DUMMYFUNCTION("""COMPUTED_VALUE"""),3.63)</f>
        <v>3.63</v>
      </c>
      <c r="F711" s="2"/>
      <c r="G711" s="2"/>
      <c r="H711" s="2"/>
      <c r="I711" s="2"/>
    </row>
    <row r="712">
      <c r="A712" s="2">
        <f>IFERROR(__xludf.DUMMYFUNCTION("""COMPUTED_VALUE"""),118109.0)</f>
        <v>118109</v>
      </c>
      <c r="B712" s="2" t="str">
        <f>IFERROR(__xludf.DUMMYFUNCTION("""COMPUTED_VALUE"""),"Fiction")</f>
        <v>Fiction</v>
      </c>
      <c r="C712" s="2" t="str">
        <f>IFERROR(__xludf.DUMMYFUNCTION("""COMPUTED_VALUE"""),"Medieval History")</f>
        <v>Medieval History</v>
      </c>
      <c r="D712" s="2" t="str">
        <f>IFERROR(__xludf.DUMMYFUNCTION("""COMPUTED_VALUE"""),"Urban Lantern Books")</f>
        <v>Urban Lantern Books</v>
      </c>
      <c r="E712" s="2">
        <f>IFERROR(__xludf.DUMMYFUNCTION("""COMPUTED_VALUE"""),3.16)</f>
        <v>3.16</v>
      </c>
      <c r="F712" s="2"/>
      <c r="G712" s="2"/>
      <c r="H712" s="2"/>
      <c r="I712" s="2"/>
    </row>
    <row r="713">
      <c r="A713" s="2">
        <f>IFERROR(__xludf.DUMMYFUNCTION("""COMPUTED_VALUE"""),15634.0)</f>
        <v>15634</v>
      </c>
      <c r="B713" s="2" t="str">
        <f>IFERROR(__xludf.DUMMYFUNCTION("""COMPUTED_VALUE"""),"Fiction")</f>
        <v>Fiction</v>
      </c>
      <c r="C713" s="2" t="str">
        <f>IFERROR(__xludf.DUMMYFUNCTION("""COMPUTED_VALUE"""),"Medieval History")</f>
        <v>Medieval History</v>
      </c>
      <c r="D713" s="2" t="str">
        <f>IFERROR(__xludf.DUMMYFUNCTION("""COMPUTED_VALUE"""),"Urban Lantern Books")</f>
        <v>Urban Lantern Books</v>
      </c>
      <c r="E713" s="2">
        <f>IFERROR(__xludf.DUMMYFUNCTION("""COMPUTED_VALUE"""),3.36)</f>
        <v>3.36</v>
      </c>
      <c r="F713" s="2"/>
      <c r="G713" s="2"/>
      <c r="H713" s="2"/>
      <c r="I713" s="2"/>
    </row>
    <row r="714">
      <c r="A714" s="2">
        <f>IFERROR(__xludf.DUMMYFUNCTION("""COMPUTED_VALUE"""),2802.0)</f>
        <v>2802</v>
      </c>
      <c r="B714" s="2" t="str">
        <f>IFERROR(__xludf.DUMMYFUNCTION("""COMPUTED_VALUE"""),"Fiction")</f>
        <v>Fiction</v>
      </c>
      <c r="C714" s="2" t="str">
        <f>IFERROR(__xludf.DUMMYFUNCTION("""COMPUTED_VALUE"""),"Medieval History")</f>
        <v>Medieval History</v>
      </c>
      <c r="D714" s="2" t="str">
        <f>IFERROR(__xludf.DUMMYFUNCTION("""COMPUTED_VALUE"""),"Urban Lantern Books")</f>
        <v>Urban Lantern Books</v>
      </c>
      <c r="E714" s="2">
        <f>IFERROR(__xludf.DUMMYFUNCTION("""COMPUTED_VALUE"""),2.67)</f>
        <v>2.67</v>
      </c>
      <c r="F714" s="2"/>
      <c r="G714" s="2"/>
      <c r="H714" s="2"/>
      <c r="I714" s="2"/>
    </row>
    <row r="715">
      <c r="A715" s="2">
        <f>IFERROR(__xludf.DUMMYFUNCTION("""COMPUTED_VALUE"""),46962.0)</f>
        <v>46962</v>
      </c>
      <c r="B715" s="2" t="str">
        <f>IFERROR(__xludf.DUMMYFUNCTION("""COMPUTED_VALUE"""),"Fiction")</f>
        <v>Fiction</v>
      </c>
      <c r="C715" s="2" t="str">
        <f>IFERROR(__xludf.DUMMYFUNCTION("""COMPUTED_VALUE"""),"Medieval History")</f>
        <v>Medieval History</v>
      </c>
      <c r="D715" s="2" t="str">
        <f>IFERROR(__xludf.DUMMYFUNCTION("""COMPUTED_VALUE"""),"Urban Lantern Books")</f>
        <v>Urban Lantern Books</v>
      </c>
      <c r="E715" s="2">
        <f>IFERROR(__xludf.DUMMYFUNCTION("""COMPUTED_VALUE"""),2.61)</f>
        <v>2.61</v>
      </c>
      <c r="F715" s="2"/>
      <c r="G715" s="2"/>
      <c r="H715" s="2"/>
      <c r="I715" s="2"/>
    </row>
    <row r="716">
      <c r="A716" s="2">
        <f>IFERROR(__xludf.DUMMYFUNCTION("""COMPUTED_VALUE"""),128348.0)</f>
        <v>128348</v>
      </c>
      <c r="B716" s="2" t="str">
        <f>IFERROR(__xludf.DUMMYFUNCTION("""COMPUTED_VALUE"""),"Fiction")</f>
        <v>Fiction</v>
      </c>
      <c r="C716" s="2" t="str">
        <f>IFERROR(__xludf.DUMMYFUNCTION("""COMPUTED_VALUE"""),"Medieval History")</f>
        <v>Medieval History</v>
      </c>
      <c r="D716" s="2" t="str">
        <f>IFERROR(__xludf.DUMMYFUNCTION("""COMPUTED_VALUE"""),"Urban Lantern Books")</f>
        <v>Urban Lantern Books</v>
      </c>
      <c r="E716" s="2">
        <f>IFERROR(__xludf.DUMMYFUNCTION("""COMPUTED_VALUE"""),2.52)</f>
        <v>2.52</v>
      </c>
      <c r="F716" s="2"/>
      <c r="G716" s="2"/>
      <c r="H716" s="2"/>
      <c r="I716" s="2"/>
    </row>
    <row r="717">
      <c r="A717" s="2">
        <f>IFERROR(__xludf.DUMMYFUNCTION("""COMPUTED_VALUE"""),108963.0)</f>
        <v>108963</v>
      </c>
      <c r="B717" s="2" t="str">
        <f>IFERROR(__xludf.DUMMYFUNCTION("""COMPUTED_VALUE"""),"Fiction")</f>
        <v>Fiction</v>
      </c>
      <c r="C717" s="2" t="str">
        <f>IFERROR(__xludf.DUMMYFUNCTION("""COMPUTED_VALUE"""),"Medieval History")</f>
        <v>Medieval History</v>
      </c>
      <c r="D717" s="2" t="str">
        <f>IFERROR(__xludf.DUMMYFUNCTION("""COMPUTED_VALUE"""),"Urban Lantern Books")</f>
        <v>Urban Lantern Books</v>
      </c>
      <c r="E717" s="2">
        <f>IFERROR(__xludf.DUMMYFUNCTION("""COMPUTED_VALUE"""),3.48)</f>
        <v>3.48</v>
      </c>
      <c r="F717" s="2"/>
      <c r="G717" s="2"/>
      <c r="H717" s="2"/>
      <c r="I717" s="2"/>
    </row>
    <row r="718">
      <c r="A718" s="2">
        <f>IFERROR(__xludf.DUMMYFUNCTION("""COMPUTED_VALUE"""),2800.0)</f>
        <v>2800</v>
      </c>
      <c r="B718" s="2" t="str">
        <f>IFERROR(__xludf.DUMMYFUNCTION("""COMPUTED_VALUE"""),"Fiction")</f>
        <v>Fiction</v>
      </c>
      <c r="C718" s="2" t="str">
        <f>IFERROR(__xludf.DUMMYFUNCTION("""COMPUTED_VALUE"""),"Medieval History")</f>
        <v>Medieval History</v>
      </c>
      <c r="D718" s="2" t="str">
        <f>IFERROR(__xludf.DUMMYFUNCTION("""COMPUTED_VALUE"""),"Urban Lantern Books")</f>
        <v>Urban Lantern Books</v>
      </c>
      <c r="E718" s="2">
        <f>IFERROR(__xludf.DUMMYFUNCTION("""COMPUTED_VALUE"""),2.82)</f>
        <v>2.82</v>
      </c>
      <c r="F718" s="2"/>
      <c r="G718" s="2"/>
      <c r="H718" s="2"/>
      <c r="I718" s="2"/>
    </row>
    <row r="719">
      <c r="A719" s="2">
        <f>IFERROR(__xludf.DUMMYFUNCTION("""COMPUTED_VALUE"""),12451.0)</f>
        <v>12451</v>
      </c>
      <c r="B719" s="2" t="str">
        <f>IFERROR(__xludf.DUMMYFUNCTION("""COMPUTED_VALUE"""),"Fiction")</f>
        <v>Fiction</v>
      </c>
      <c r="C719" s="2" t="str">
        <f>IFERROR(__xludf.DUMMYFUNCTION("""COMPUTED_VALUE"""),"Medieval History")</f>
        <v>Medieval History</v>
      </c>
      <c r="D719" s="2" t="str">
        <f>IFERROR(__xludf.DUMMYFUNCTION("""COMPUTED_VALUE"""),"Urban Lantern Books")</f>
        <v>Urban Lantern Books</v>
      </c>
      <c r="E719" s="2">
        <f>IFERROR(__xludf.DUMMYFUNCTION("""COMPUTED_VALUE"""),1.48)</f>
        <v>1.48</v>
      </c>
      <c r="F719" s="2"/>
      <c r="G719" s="2"/>
      <c r="H719" s="2"/>
      <c r="I719" s="2"/>
    </row>
    <row r="720">
      <c r="A720" s="2">
        <f>IFERROR(__xludf.DUMMYFUNCTION("""COMPUTED_VALUE"""),19024.0)</f>
        <v>19024</v>
      </c>
      <c r="B720" s="2" t="str">
        <f>IFERROR(__xludf.DUMMYFUNCTION("""COMPUTED_VALUE"""),"Fiction")</f>
        <v>Fiction</v>
      </c>
      <c r="C720" s="2" t="str">
        <f>IFERROR(__xludf.DUMMYFUNCTION("""COMPUTED_VALUE"""),"Medieval History")</f>
        <v>Medieval History</v>
      </c>
      <c r="D720" s="2" t="str">
        <f>IFERROR(__xludf.DUMMYFUNCTION("""COMPUTED_VALUE"""),"Iron Ridge Press")</f>
        <v>Iron Ridge Press</v>
      </c>
      <c r="E720" s="2">
        <f>IFERROR(__xludf.DUMMYFUNCTION("""COMPUTED_VALUE"""),2.99)</f>
        <v>2.99</v>
      </c>
      <c r="F720" s="2"/>
      <c r="G720" s="2"/>
      <c r="H720" s="2"/>
      <c r="I720" s="2"/>
    </row>
    <row r="721">
      <c r="A721" s="2">
        <f>IFERROR(__xludf.DUMMYFUNCTION("""COMPUTED_VALUE"""),9472.0)</f>
        <v>9472</v>
      </c>
      <c r="B721" s="2" t="str">
        <f>IFERROR(__xludf.DUMMYFUNCTION("""COMPUTED_VALUE"""),"Fiction")</f>
        <v>Fiction</v>
      </c>
      <c r="C721" s="2" t="str">
        <f>IFERROR(__xludf.DUMMYFUNCTION("""COMPUTED_VALUE"""),"Medieval History")</f>
        <v>Medieval History</v>
      </c>
      <c r="D721" s="2" t="str">
        <f>IFERROR(__xludf.DUMMYFUNCTION("""COMPUTED_VALUE"""),"Iron Ridge Press")</f>
        <v>Iron Ridge Press</v>
      </c>
      <c r="E721" s="2">
        <f>IFERROR(__xludf.DUMMYFUNCTION("""COMPUTED_VALUE"""),1.77)</f>
        <v>1.77</v>
      </c>
      <c r="F721" s="2"/>
      <c r="G721" s="2"/>
      <c r="H721" s="2"/>
      <c r="I721" s="2"/>
    </row>
    <row r="722">
      <c r="A722" s="2">
        <f>IFERROR(__xludf.DUMMYFUNCTION("""COMPUTED_VALUE"""),1587.0)</f>
        <v>1587</v>
      </c>
      <c r="B722" s="2" t="str">
        <f>IFERROR(__xludf.DUMMYFUNCTION("""COMPUTED_VALUE"""),"Fiction")</f>
        <v>Fiction</v>
      </c>
      <c r="C722" s="2" t="str">
        <f>IFERROR(__xludf.DUMMYFUNCTION("""COMPUTED_VALUE"""),"Medieval History")</f>
        <v>Medieval History</v>
      </c>
      <c r="D722" s="2" t="str">
        <f>IFERROR(__xludf.DUMMYFUNCTION("""COMPUTED_VALUE"""),"Iron Ridge Press")</f>
        <v>Iron Ridge Press</v>
      </c>
      <c r="E722" s="2">
        <f>IFERROR(__xludf.DUMMYFUNCTION("""COMPUTED_VALUE"""),1.71)</f>
        <v>1.71</v>
      </c>
      <c r="F722" s="2"/>
      <c r="G722" s="2"/>
      <c r="H722" s="2"/>
      <c r="I722" s="2"/>
    </row>
    <row r="723">
      <c r="A723" s="2">
        <f>IFERROR(__xludf.DUMMYFUNCTION("""COMPUTED_VALUE"""),118262.0)</f>
        <v>118262</v>
      </c>
      <c r="B723" s="2" t="str">
        <f>IFERROR(__xludf.DUMMYFUNCTION("""COMPUTED_VALUE"""),"Fiction")</f>
        <v>Fiction</v>
      </c>
      <c r="C723" s="2" t="str">
        <f>IFERROR(__xludf.DUMMYFUNCTION("""COMPUTED_VALUE"""),"Medieval History")</f>
        <v>Medieval History</v>
      </c>
      <c r="D723" s="2" t="str">
        <f>IFERROR(__xludf.DUMMYFUNCTION("""COMPUTED_VALUE"""),"Iron Ridge Press")</f>
        <v>Iron Ridge Press</v>
      </c>
      <c r="E723" s="2">
        <f>IFERROR(__xludf.DUMMYFUNCTION("""COMPUTED_VALUE"""),3.76)</f>
        <v>3.76</v>
      </c>
      <c r="F723" s="2"/>
      <c r="G723" s="2"/>
      <c r="H723" s="2"/>
      <c r="I723" s="2"/>
    </row>
    <row r="724">
      <c r="A724" s="2">
        <f>IFERROR(__xludf.DUMMYFUNCTION("""COMPUTED_VALUE"""),44739.0)</f>
        <v>44739</v>
      </c>
      <c r="B724" s="2" t="str">
        <f>IFERROR(__xludf.DUMMYFUNCTION("""COMPUTED_VALUE"""),"Fiction")</f>
        <v>Fiction</v>
      </c>
      <c r="C724" s="2" t="str">
        <f>IFERROR(__xludf.DUMMYFUNCTION("""COMPUTED_VALUE"""),"Medieval History")</f>
        <v>Medieval History</v>
      </c>
      <c r="D724" s="2" t="str">
        <f>IFERROR(__xludf.DUMMYFUNCTION("""COMPUTED_VALUE"""),"Iron Ridge Press")</f>
        <v>Iron Ridge Press</v>
      </c>
      <c r="E724" s="2">
        <f>IFERROR(__xludf.DUMMYFUNCTION("""COMPUTED_VALUE"""),2.23)</f>
        <v>2.23</v>
      </c>
      <c r="F724" s="2"/>
      <c r="G724" s="2"/>
      <c r="H724" s="2"/>
      <c r="I724" s="2"/>
    </row>
    <row r="725">
      <c r="A725" s="2">
        <f>IFERROR(__xludf.DUMMYFUNCTION("""COMPUTED_VALUE"""),199855.0)</f>
        <v>199855</v>
      </c>
      <c r="B725" s="2" t="str">
        <f>IFERROR(__xludf.DUMMYFUNCTION("""COMPUTED_VALUE"""),"Fiction")</f>
        <v>Fiction</v>
      </c>
      <c r="C725" s="2" t="str">
        <f>IFERROR(__xludf.DUMMYFUNCTION("""COMPUTED_VALUE"""),"Medieval History")</f>
        <v>Medieval History</v>
      </c>
      <c r="D725" s="2" t="str">
        <f>IFERROR(__xludf.DUMMYFUNCTION("""COMPUTED_VALUE"""),"Iron Ridge Press")</f>
        <v>Iron Ridge Press</v>
      </c>
      <c r="E725" s="2">
        <f>IFERROR(__xludf.DUMMYFUNCTION("""COMPUTED_VALUE"""),3.26)</f>
        <v>3.26</v>
      </c>
      <c r="F725" s="2"/>
      <c r="G725" s="2"/>
      <c r="H725" s="2"/>
      <c r="I725" s="2"/>
    </row>
    <row r="726">
      <c r="A726" s="2">
        <f>IFERROR(__xludf.DUMMYFUNCTION("""COMPUTED_VALUE"""),71674.0)</f>
        <v>71674</v>
      </c>
      <c r="B726" s="2" t="str">
        <f>IFERROR(__xludf.DUMMYFUNCTION("""COMPUTED_VALUE"""),"Fiction")</f>
        <v>Fiction</v>
      </c>
      <c r="C726" s="2" t="str">
        <f>IFERROR(__xludf.DUMMYFUNCTION("""COMPUTED_VALUE"""),"Medieval History")</f>
        <v>Medieval History</v>
      </c>
      <c r="D726" s="2" t="str">
        <f>IFERROR(__xludf.DUMMYFUNCTION("""COMPUTED_VALUE"""),"Iron Ridge Press")</f>
        <v>Iron Ridge Press</v>
      </c>
      <c r="E726" s="2">
        <f>IFERROR(__xludf.DUMMYFUNCTION("""COMPUTED_VALUE"""),4.36)</f>
        <v>4.36</v>
      </c>
      <c r="F726" s="2"/>
      <c r="G726" s="2"/>
      <c r="H726" s="2"/>
      <c r="I726" s="2"/>
    </row>
    <row r="727">
      <c r="A727" s="2">
        <f>IFERROR(__xludf.DUMMYFUNCTION("""COMPUTED_VALUE"""),101357.0)</f>
        <v>101357</v>
      </c>
      <c r="B727" s="2" t="str">
        <f>IFERROR(__xludf.DUMMYFUNCTION("""COMPUTED_VALUE"""),"Fiction")</f>
        <v>Fiction</v>
      </c>
      <c r="C727" s="2" t="str">
        <f>IFERROR(__xludf.DUMMYFUNCTION("""COMPUTED_VALUE"""),"Medieval History")</f>
        <v>Medieval History</v>
      </c>
      <c r="D727" s="2" t="str">
        <f>IFERROR(__xludf.DUMMYFUNCTION("""COMPUTED_VALUE"""),"Iron Ridge Press")</f>
        <v>Iron Ridge Press</v>
      </c>
      <c r="E727" s="2">
        <f>IFERROR(__xludf.DUMMYFUNCTION("""COMPUTED_VALUE"""),1.4)</f>
        <v>1.4</v>
      </c>
      <c r="F727" s="2"/>
      <c r="G727" s="2"/>
      <c r="H727" s="2"/>
      <c r="I727" s="2"/>
    </row>
    <row r="728">
      <c r="A728" s="2">
        <f>IFERROR(__xludf.DUMMYFUNCTION("""COMPUTED_VALUE"""),121066.0)</f>
        <v>121066</v>
      </c>
      <c r="B728" s="2" t="str">
        <f>IFERROR(__xludf.DUMMYFUNCTION("""COMPUTED_VALUE"""),"Fiction")</f>
        <v>Fiction</v>
      </c>
      <c r="C728" s="2" t="str">
        <f>IFERROR(__xludf.DUMMYFUNCTION("""COMPUTED_VALUE"""),"Medieval History")</f>
        <v>Medieval History</v>
      </c>
      <c r="D728" s="2" t="str">
        <f>IFERROR(__xludf.DUMMYFUNCTION("""COMPUTED_VALUE"""),"Iron Ridge Press")</f>
        <v>Iron Ridge Press</v>
      </c>
      <c r="E728" s="2">
        <f>IFERROR(__xludf.DUMMYFUNCTION("""COMPUTED_VALUE"""),2.35)</f>
        <v>2.35</v>
      </c>
      <c r="F728" s="2"/>
      <c r="G728" s="2"/>
      <c r="H728" s="2"/>
      <c r="I728" s="2"/>
    </row>
    <row r="729">
      <c r="A729" s="2">
        <f>IFERROR(__xludf.DUMMYFUNCTION("""COMPUTED_VALUE"""),72818.0)</f>
        <v>72818</v>
      </c>
      <c r="B729" s="2" t="str">
        <f>IFERROR(__xludf.DUMMYFUNCTION("""COMPUTED_VALUE"""),"Fiction")</f>
        <v>Fiction</v>
      </c>
      <c r="C729" s="2" t="str">
        <f>IFERROR(__xludf.DUMMYFUNCTION("""COMPUTED_VALUE"""),"Medieval History")</f>
        <v>Medieval History</v>
      </c>
      <c r="D729" s="2" t="str">
        <f>IFERROR(__xludf.DUMMYFUNCTION("""COMPUTED_VALUE"""),"Iron Ridge Press")</f>
        <v>Iron Ridge Press</v>
      </c>
      <c r="E729" s="2">
        <f>IFERROR(__xludf.DUMMYFUNCTION("""COMPUTED_VALUE"""),1.24)</f>
        <v>1.24</v>
      </c>
      <c r="F729" s="2"/>
      <c r="G729" s="2"/>
      <c r="H729" s="2"/>
      <c r="I729" s="2"/>
    </row>
    <row r="730">
      <c r="A730" s="2">
        <f>IFERROR(__xludf.DUMMYFUNCTION("""COMPUTED_VALUE"""),109178.0)</f>
        <v>109178</v>
      </c>
      <c r="B730" s="2" t="str">
        <f>IFERROR(__xludf.DUMMYFUNCTION("""COMPUTED_VALUE"""),"Fiction")</f>
        <v>Fiction</v>
      </c>
      <c r="C730" s="2" t="str">
        <f>IFERROR(__xludf.DUMMYFUNCTION("""COMPUTED_VALUE"""),"Medieval History")</f>
        <v>Medieval History</v>
      </c>
      <c r="D730" s="2" t="str">
        <f>IFERROR(__xludf.DUMMYFUNCTION("""COMPUTED_VALUE"""),"Iron Ridge Press")</f>
        <v>Iron Ridge Press</v>
      </c>
      <c r="E730" s="2">
        <f>IFERROR(__xludf.DUMMYFUNCTION("""COMPUTED_VALUE"""),18.34)</f>
        <v>18.34</v>
      </c>
      <c r="F730" s="2"/>
      <c r="G730" s="2"/>
      <c r="H730" s="2"/>
      <c r="I730" s="2"/>
    </row>
    <row r="731">
      <c r="A731" s="2">
        <f>IFERROR(__xludf.DUMMYFUNCTION("""COMPUTED_VALUE"""),114876.0)</f>
        <v>114876</v>
      </c>
      <c r="B731" s="2" t="str">
        <f>IFERROR(__xludf.DUMMYFUNCTION("""COMPUTED_VALUE"""),"Fiction")</f>
        <v>Fiction</v>
      </c>
      <c r="C731" s="2" t="str">
        <f>IFERROR(__xludf.DUMMYFUNCTION("""COMPUTED_VALUE"""),"Medieval History")</f>
        <v>Medieval History</v>
      </c>
      <c r="D731" s="2" t="str">
        <f>IFERROR(__xludf.DUMMYFUNCTION("""COMPUTED_VALUE"""),"Iron Ridge Press")</f>
        <v>Iron Ridge Press</v>
      </c>
      <c r="E731" s="2">
        <f>IFERROR(__xludf.DUMMYFUNCTION("""COMPUTED_VALUE"""),1.1)</f>
        <v>1.1</v>
      </c>
      <c r="F731" s="2"/>
      <c r="G731" s="2"/>
      <c r="H731" s="2"/>
      <c r="I731" s="2"/>
    </row>
    <row r="732">
      <c r="A732" s="2">
        <f>IFERROR(__xludf.DUMMYFUNCTION("""COMPUTED_VALUE"""),9471.0)</f>
        <v>9471</v>
      </c>
      <c r="B732" s="2" t="str">
        <f>IFERROR(__xludf.DUMMYFUNCTION("""COMPUTED_VALUE"""),"Fiction")</f>
        <v>Fiction</v>
      </c>
      <c r="C732" s="2" t="str">
        <f>IFERROR(__xludf.DUMMYFUNCTION("""COMPUTED_VALUE"""),"Medieval History")</f>
        <v>Medieval History</v>
      </c>
      <c r="D732" s="2" t="str">
        <f>IFERROR(__xludf.DUMMYFUNCTION("""COMPUTED_VALUE"""),"Iron Ridge Press")</f>
        <v>Iron Ridge Press</v>
      </c>
      <c r="E732" s="2">
        <f>IFERROR(__xludf.DUMMYFUNCTION("""COMPUTED_VALUE"""),3.31)</f>
        <v>3.31</v>
      </c>
      <c r="F732" s="2"/>
      <c r="G732" s="2"/>
      <c r="H732" s="2"/>
      <c r="I732" s="2"/>
    </row>
    <row r="733">
      <c r="A733" s="2">
        <f>IFERROR(__xludf.DUMMYFUNCTION("""COMPUTED_VALUE"""),87840.0)</f>
        <v>87840</v>
      </c>
      <c r="B733" s="2" t="str">
        <f>IFERROR(__xludf.DUMMYFUNCTION("""COMPUTED_VALUE"""),"Fiction")</f>
        <v>Fiction</v>
      </c>
      <c r="C733" s="2" t="str">
        <f>IFERROR(__xludf.DUMMYFUNCTION("""COMPUTED_VALUE"""),"Medieval History")</f>
        <v>Medieval History</v>
      </c>
      <c r="D733" s="2" t="str">
        <f>IFERROR(__xludf.DUMMYFUNCTION("""COMPUTED_VALUE"""),"Iron Ridge Press")</f>
        <v>Iron Ridge Press</v>
      </c>
      <c r="E733" s="2">
        <f>IFERROR(__xludf.DUMMYFUNCTION("""COMPUTED_VALUE"""),1.37)</f>
        <v>1.37</v>
      </c>
      <c r="F733" s="2"/>
      <c r="G733" s="2"/>
      <c r="H733" s="2"/>
      <c r="I733" s="2"/>
    </row>
    <row r="734">
      <c r="A734" s="2">
        <f>IFERROR(__xludf.DUMMYFUNCTION("""COMPUTED_VALUE"""),72816.0)</f>
        <v>72816</v>
      </c>
      <c r="B734" s="2" t="str">
        <f>IFERROR(__xludf.DUMMYFUNCTION("""COMPUTED_VALUE"""),"Fiction")</f>
        <v>Fiction</v>
      </c>
      <c r="C734" s="2" t="str">
        <f>IFERROR(__xludf.DUMMYFUNCTION("""COMPUTED_VALUE"""),"Medieval History")</f>
        <v>Medieval History</v>
      </c>
      <c r="D734" s="2" t="str">
        <f>IFERROR(__xludf.DUMMYFUNCTION("""COMPUTED_VALUE"""),"Iron Ridge Press")</f>
        <v>Iron Ridge Press</v>
      </c>
      <c r="E734" s="2">
        <f>IFERROR(__xludf.DUMMYFUNCTION("""COMPUTED_VALUE"""),2.15)</f>
        <v>2.15</v>
      </c>
      <c r="F734" s="2"/>
      <c r="G734" s="2"/>
      <c r="H734" s="2"/>
      <c r="I734" s="2"/>
    </row>
    <row r="735">
      <c r="A735" s="2">
        <f>IFERROR(__xludf.DUMMYFUNCTION("""COMPUTED_VALUE"""),122354.0)</f>
        <v>122354</v>
      </c>
      <c r="B735" s="2" t="str">
        <f>IFERROR(__xludf.DUMMYFUNCTION("""COMPUTED_VALUE"""),"Fiction")</f>
        <v>Fiction</v>
      </c>
      <c r="C735" s="2" t="str">
        <f>IFERROR(__xludf.DUMMYFUNCTION("""COMPUTED_VALUE"""),"Medieval History")</f>
        <v>Medieval History</v>
      </c>
      <c r="D735" s="2" t="str">
        <f>IFERROR(__xludf.DUMMYFUNCTION("""COMPUTED_VALUE"""),"Iron Ridge Press")</f>
        <v>Iron Ridge Press</v>
      </c>
      <c r="E735" s="2">
        <f>IFERROR(__xludf.DUMMYFUNCTION("""COMPUTED_VALUE"""),2.05)</f>
        <v>2.05</v>
      </c>
      <c r="F735" s="2"/>
      <c r="G735" s="2"/>
      <c r="H735" s="2"/>
      <c r="I735" s="2"/>
    </row>
    <row r="736">
      <c r="A736" s="2">
        <f>IFERROR(__xludf.DUMMYFUNCTION("""COMPUTED_VALUE"""),109188.0)</f>
        <v>109188</v>
      </c>
      <c r="B736" s="2" t="str">
        <f>IFERROR(__xludf.DUMMYFUNCTION("""COMPUTED_VALUE"""),"Fiction")</f>
        <v>Fiction</v>
      </c>
      <c r="C736" s="2" t="str">
        <f>IFERROR(__xludf.DUMMYFUNCTION("""COMPUTED_VALUE"""),"Medieval History")</f>
        <v>Medieval History</v>
      </c>
      <c r="D736" s="2" t="str">
        <f>IFERROR(__xludf.DUMMYFUNCTION("""COMPUTED_VALUE"""),"Iron Ridge Press")</f>
        <v>Iron Ridge Press</v>
      </c>
      <c r="E736" s="2">
        <f>IFERROR(__xludf.DUMMYFUNCTION("""COMPUTED_VALUE"""),1.07)</f>
        <v>1.07</v>
      </c>
      <c r="F736" s="2"/>
      <c r="G736" s="2"/>
      <c r="H736" s="2"/>
      <c r="I736" s="2"/>
    </row>
    <row r="737">
      <c r="A737" s="2">
        <f>IFERROR(__xludf.DUMMYFUNCTION("""COMPUTED_VALUE"""),7999.0)</f>
        <v>7999</v>
      </c>
      <c r="B737" s="2" t="str">
        <f>IFERROR(__xludf.DUMMYFUNCTION("""COMPUTED_VALUE"""),"Fiction")</f>
        <v>Fiction</v>
      </c>
      <c r="C737" s="2" t="str">
        <f>IFERROR(__xludf.DUMMYFUNCTION("""COMPUTED_VALUE"""),"Medieval History")</f>
        <v>Medieval History</v>
      </c>
      <c r="D737" s="2" t="str">
        <f>IFERROR(__xludf.DUMMYFUNCTION("""COMPUTED_VALUE"""),"Iron Ridge Press")</f>
        <v>Iron Ridge Press</v>
      </c>
      <c r="E737" s="2">
        <f>IFERROR(__xludf.DUMMYFUNCTION("""COMPUTED_VALUE"""),2.9)</f>
        <v>2.9</v>
      </c>
      <c r="F737" s="2"/>
      <c r="G737" s="2"/>
      <c r="H737" s="2"/>
      <c r="I737" s="2"/>
    </row>
    <row r="738">
      <c r="A738" s="2">
        <f>IFERROR(__xludf.DUMMYFUNCTION("""COMPUTED_VALUE"""),9469.0)</f>
        <v>9469</v>
      </c>
      <c r="B738" s="2" t="str">
        <f>IFERROR(__xludf.DUMMYFUNCTION("""COMPUTED_VALUE"""),"Fiction")</f>
        <v>Fiction</v>
      </c>
      <c r="C738" s="2" t="str">
        <f>IFERROR(__xludf.DUMMYFUNCTION("""COMPUTED_VALUE"""),"Medieval History")</f>
        <v>Medieval History</v>
      </c>
      <c r="D738" s="2" t="str">
        <f>IFERROR(__xludf.DUMMYFUNCTION("""COMPUTED_VALUE"""),"Iron Ridge Press")</f>
        <v>Iron Ridge Press</v>
      </c>
      <c r="E738" s="2">
        <f>IFERROR(__xludf.DUMMYFUNCTION("""COMPUTED_VALUE"""),1.58)</f>
        <v>1.58</v>
      </c>
      <c r="F738" s="2"/>
      <c r="G738" s="2"/>
      <c r="H738" s="2"/>
      <c r="I738" s="2"/>
    </row>
    <row r="739">
      <c r="A739" s="2">
        <f>IFERROR(__xludf.DUMMYFUNCTION("""COMPUTED_VALUE"""),46955.0)</f>
        <v>46955</v>
      </c>
      <c r="B739" s="2" t="str">
        <f>IFERROR(__xludf.DUMMYFUNCTION("""COMPUTED_VALUE"""),"Fiction")</f>
        <v>Fiction</v>
      </c>
      <c r="C739" s="2" t="str">
        <f>IFERROR(__xludf.DUMMYFUNCTION("""COMPUTED_VALUE"""),"Medieval History")</f>
        <v>Medieval History</v>
      </c>
      <c r="D739" s="2" t="str">
        <f>IFERROR(__xludf.DUMMYFUNCTION("""COMPUTED_VALUE"""),"Iron Ridge Press")</f>
        <v>Iron Ridge Press</v>
      </c>
      <c r="E739" s="2">
        <f>IFERROR(__xludf.DUMMYFUNCTION("""COMPUTED_VALUE"""),5.82)</f>
        <v>5.82</v>
      </c>
      <c r="F739" s="2"/>
      <c r="G739" s="2"/>
      <c r="H739" s="2"/>
      <c r="I739" s="2"/>
    </row>
    <row r="740">
      <c r="A740" s="2">
        <f>IFERROR(__xludf.DUMMYFUNCTION("""COMPUTED_VALUE"""),9464.0)</f>
        <v>9464</v>
      </c>
      <c r="B740" s="2" t="str">
        <f>IFERROR(__xludf.DUMMYFUNCTION("""COMPUTED_VALUE"""),"Fiction")</f>
        <v>Fiction</v>
      </c>
      <c r="C740" s="2" t="str">
        <f>IFERROR(__xludf.DUMMYFUNCTION("""COMPUTED_VALUE"""),"Medieval History")</f>
        <v>Medieval History</v>
      </c>
      <c r="D740" s="2" t="str">
        <f>IFERROR(__xludf.DUMMYFUNCTION("""COMPUTED_VALUE"""),"Iron Ridge Press")</f>
        <v>Iron Ridge Press</v>
      </c>
      <c r="E740" s="2">
        <f>IFERROR(__xludf.DUMMYFUNCTION("""COMPUTED_VALUE"""),7.42)</f>
        <v>7.42</v>
      </c>
      <c r="F740" s="2"/>
      <c r="G740" s="2"/>
      <c r="H740" s="2"/>
      <c r="I740" s="2"/>
    </row>
    <row r="741">
      <c r="A741" s="2">
        <f>IFERROR(__xludf.DUMMYFUNCTION("""COMPUTED_VALUE"""),79485.0)</f>
        <v>79485</v>
      </c>
      <c r="B741" s="2" t="str">
        <f>IFERROR(__xludf.DUMMYFUNCTION("""COMPUTED_VALUE"""),"Fiction")</f>
        <v>Fiction</v>
      </c>
      <c r="C741" s="2" t="str">
        <f>IFERROR(__xludf.DUMMYFUNCTION("""COMPUTED_VALUE"""),"Medieval History")</f>
        <v>Medieval History</v>
      </c>
      <c r="D741" s="2" t="str">
        <f>IFERROR(__xludf.DUMMYFUNCTION("""COMPUTED_VALUE"""),"Iron Ridge Press")</f>
        <v>Iron Ridge Press</v>
      </c>
      <c r="E741" s="2">
        <f>IFERROR(__xludf.DUMMYFUNCTION("""COMPUTED_VALUE"""),7.19)</f>
        <v>7.19</v>
      </c>
      <c r="F741" s="2"/>
      <c r="G741" s="2"/>
      <c r="H741" s="2"/>
      <c r="I741" s="2"/>
    </row>
    <row r="742">
      <c r="A742" s="2">
        <f>IFERROR(__xludf.DUMMYFUNCTION("""COMPUTED_VALUE"""),118224.0)</f>
        <v>118224</v>
      </c>
      <c r="B742" s="2" t="str">
        <f>IFERROR(__xludf.DUMMYFUNCTION("""COMPUTED_VALUE"""),"Fiction")</f>
        <v>Fiction</v>
      </c>
      <c r="C742" s="2" t="str">
        <f>IFERROR(__xludf.DUMMYFUNCTION("""COMPUTED_VALUE"""),"Medieval History")</f>
        <v>Medieval History</v>
      </c>
      <c r="D742" s="2" t="str">
        <f>IFERROR(__xludf.DUMMYFUNCTION("""COMPUTED_VALUE"""),"Iron Ridge Press")</f>
        <v>Iron Ridge Press</v>
      </c>
      <c r="E742" s="2">
        <f>IFERROR(__xludf.DUMMYFUNCTION("""COMPUTED_VALUE"""),3.08)</f>
        <v>3.08</v>
      </c>
      <c r="F742" s="2"/>
      <c r="G742" s="2"/>
      <c r="H742" s="2"/>
      <c r="I742" s="2"/>
    </row>
    <row r="743">
      <c r="A743" s="2">
        <f>IFERROR(__xludf.DUMMYFUNCTION("""COMPUTED_VALUE"""),122353.0)</f>
        <v>122353</v>
      </c>
      <c r="B743" s="2" t="str">
        <f>IFERROR(__xludf.DUMMYFUNCTION("""COMPUTED_VALUE"""),"Fiction")</f>
        <v>Fiction</v>
      </c>
      <c r="C743" s="2" t="str">
        <f>IFERROR(__xludf.DUMMYFUNCTION("""COMPUTED_VALUE"""),"Medieval History")</f>
        <v>Medieval History</v>
      </c>
      <c r="D743" s="2" t="str">
        <f>IFERROR(__xludf.DUMMYFUNCTION("""COMPUTED_VALUE"""),"Iron Ridge Press")</f>
        <v>Iron Ridge Press</v>
      </c>
      <c r="E743" s="2">
        <f>IFERROR(__xludf.DUMMYFUNCTION("""COMPUTED_VALUE"""),2.09)</f>
        <v>2.09</v>
      </c>
      <c r="F743" s="2"/>
      <c r="G743" s="2"/>
      <c r="H743" s="2"/>
      <c r="I743" s="2"/>
    </row>
    <row r="744">
      <c r="A744" s="2">
        <f>IFERROR(__xludf.DUMMYFUNCTION("""COMPUTED_VALUE"""),1584.0)</f>
        <v>1584</v>
      </c>
      <c r="B744" s="2" t="str">
        <f>IFERROR(__xludf.DUMMYFUNCTION("""COMPUTED_VALUE"""),"Fiction")</f>
        <v>Fiction</v>
      </c>
      <c r="C744" s="2" t="str">
        <f>IFERROR(__xludf.DUMMYFUNCTION("""COMPUTED_VALUE"""),"Medieval History")</f>
        <v>Medieval History</v>
      </c>
      <c r="D744" s="2" t="str">
        <f>IFERROR(__xludf.DUMMYFUNCTION("""COMPUTED_VALUE"""),"Iron Ridge Press")</f>
        <v>Iron Ridge Press</v>
      </c>
      <c r="E744" s="2">
        <f>IFERROR(__xludf.DUMMYFUNCTION("""COMPUTED_VALUE"""),1.67)</f>
        <v>1.67</v>
      </c>
      <c r="F744" s="2"/>
      <c r="G744" s="2"/>
      <c r="H744" s="2"/>
      <c r="I744" s="2"/>
    </row>
    <row r="745">
      <c r="A745" s="2">
        <f>IFERROR(__xludf.DUMMYFUNCTION("""COMPUTED_VALUE"""),2792.0)</f>
        <v>2792</v>
      </c>
      <c r="B745" s="2" t="str">
        <f>IFERROR(__xludf.DUMMYFUNCTION("""COMPUTED_VALUE"""),"Fiction")</f>
        <v>Fiction</v>
      </c>
      <c r="C745" s="2" t="str">
        <f>IFERROR(__xludf.DUMMYFUNCTION("""COMPUTED_VALUE"""),"Medieval History")</f>
        <v>Medieval History</v>
      </c>
      <c r="D745" s="2" t="str">
        <f>IFERROR(__xludf.DUMMYFUNCTION("""COMPUTED_VALUE"""),"Iron Ridge Press")</f>
        <v>Iron Ridge Press</v>
      </c>
      <c r="E745" s="2">
        <f>IFERROR(__xludf.DUMMYFUNCTION("""COMPUTED_VALUE"""),4.9)</f>
        <v>4.9</v>
      </c>
      <c r="F745" s="2"/>
      <c r="G745" s="2"/>
      <c r="H745" s="2"/>
      <c r="I745" s="2"/>
    </row>
    <row r="746">
      <c r="A746" s="2">
        <f>IFERROR(__xludf.DUMMYFUNCTION("""COMPUTED_VALUE"""),109187.0)</f>
        <v>109187</v>
      </c>
      <c r="B746" s="2" t="str">
        <f>IFERROR(__xludf.DUMMYFUNCTION("""COMPUTED_VALUE"""),"Fiction")</f>
        <v>Fiction</v>
      </c>
      <c r="C746" s="2" t="str">
        <f>IFERROR(__xludf.DUMMYFUNCTION("""COMPUTED_VALUE"""),"Medieval History")</f>
        <v>Medieval History</v>
      </c>
      <c r="D746" s="2" t="str">
        <f>IFERROR(__xludf.DUMMYFUNCTION("""COMPUTED_VALUE"""),"Iron Ridge Press")</f>
        <v>Iron Ridge Press</v>
      </c>
      <c r="E746" s="2">
        <f>IFERROR(__xludf.DUMMYFUNCTION("""COMPUTED_VALUE"""),1.2)</f>
        <v>1.2</v>
      </c>
      <c r="F746" s="2"/>
      <c r="G746" s="2"/>
      <c r="H746" s="2"/>
      <c r="I746" s="2"/>
    </row>
    <row r="747">
      <c r="A747" s="2">
        <f>IFERROR(__xludf.DUMMYFUNCTION("""COMPUTED_VALUE"""),118257.0)</f>
        <v>118257</v>
      </c>
      <c r="B747" s="2" t="str">
        <f>IFERROR(__xludf.DUMMYFUNCTION("""COMPUTED_VALUE"""),"Fiction")</f>
        <v>Fiction</v>
      </c>
      <c r="C747" s="2" t="str">
        <f>IFERROR(__xludf.DUMMYFUNCTION("""COMPUTED_VALUE"""),"Medieval History")</f>
        <v>Medieval History</v>
      </c>
      <c r="D747" s="2" t="str">
        <f>IFERROR(__xludf.DUMMYFUNCTION("""COMPUTED_VALUE"""),"Iron Ridge Press")</f>
        <v>Iron Ridge Press</v>
      </c>
      <c r="E747" s="2">
        <f>IFERROR(__xludf.DUMMYFUNCTION("""COMPUTED_VALUE"""),0.97)</f>
        <v>0.97</v>
      </c>
      <c r="F747" s="2"/>
      <c r="G747" s="2"/>
      <c r="H747" s="2"/>
      <c r="I747" s="2"/>
    </row>
    <row r="748">
      <c r="A748" s="2">
        <f>IFERROR(__xludf.DUMMYFUNCTION("""COMPUTED_VALUE"""),7995.0)</f>
        <v>7995</v>
      </c>
      <c r="B748" s="2" t="str">
        <f>IFERROR(__xludf.DUMMYFUNCTION("""COMPUTED_VALUE"""),"Fiction")</f>
        <v>Fiction</v>
      </c>
      <c r="C748" s="2" t="str">
        <f>IFERROR(__xludf.DUMMYFUNCTION("""COMPUTED_VALUE"""),"Medieval History")</f>
        <v>Medieval History</v>
      </c>
      <c r="D748" s="2" t="str">
        <f>IFERROR(__xludf.DUMMYFUNCTION("""COMPUTED_VALUE"""),"Iron Ridge Press")</f>
        <v>Iron Ridge Press</v>
      </c>
      <c r="E748" s="2">
        <f>IFERROR(__xludf.DUMMYFUNCTION("""COMPUTED_VALUE"""),2.1)</f>
        <v>2.1</v>
      </c>
      <c r="F748" s="2"/>
      <c r="G748" s="2"/>
      <c r="H748" s="2"/>
      <c r="I748" s="2"/>
    </row>
    <row r="749">
      <c r="A749" s="2">
        <f>IFERROR(__xludf.DUMMYFUNCTION("""COMPUTED_VALUE"""),99360.0)</f>
        <v>99360</v>
      </c>
      <c r="B749" s="2" t="str">
        <f>IFERROR(__xludf.DUMMYFUNCTION("""COMPUTED_VALUE"""),"Fiction")</f>
        <v>Fiction</v>
      </c>
      <c r="C749" s="2" t="str">
        <f>IFERROR(__xludf.DUMMYFUNCTION("""COMPUTED_VALUE"""),"Medieval History")</f>
        <v>Medieval History</v>
      </c>
      <c r="D749" s="2" t="str">
        <f>IFERROR(__xludf.DUMMYFUNCTION("""COMPUTED_VALUE"""),"Iron Ridge Press")</f>
        <v>Iron Ridge Press</v>
      </c>
      <c r="E749" s="2">
        <f>IFERROR(__xludf.DUMMYFUNCTION("""COMPUTED_VALUE"""),3.35)</f>
        <v>3.35</v>
      </c>
      <c r="F749" s="2"/>
      <c r="G749" s="2"/>
      <c r="H749" s="2"/>
      <c r="I749" s="2"/>
    </row>
    <row r="750">
      <c r="A750" s="2">
        <f>IFERROR(__xludf.DUMMYFUNCTION("""COMPUTED_VALUE"""),118156.0)</f>
        <v>118156</v>
      </c>
      <c r="B750" s="2" t="str">
        <f>IFERROR(__xludf.DUMMYFUNCTION("""COMPUTED_VALUE"""),"Fiction")</f>
        <v>Fiction</v>
      </c>
      <c r="C750" s="2" t="str">
        <f>IFERROR(__xludf.DUMMYFUNCTION("""COMPUTED_VALUE"""),"Medieval History")</f>
        <v>Medieval History</v>
      </c>
      <c r="D750" s="2" t="str">
        <f>IFERROR(__xludf.DUMMYFUNCTION("""COMPUTED_VALUE"""),"Iron Ridge Press")</f>
        <v>Iron Ridge Press</v>
      </c>
      <c r="E750" s="2">
        <f>IFERROR(__xludf.DUMMYFUNCTION("""COMPUTED_VALUE"""),1.98)</f>
        <v>1.98</v>
      </c>
      <c r="F750" s="2"/>
      <c r="G750" s="2"/>
      <c r="H750" s="2"/>
      <c r="I750" s="2"/>
    </row>
    <row r="751">
      <c r="A751" s="2">
        <f>IFERROR(__xludf.DUMMYFUNCTION("""COMPUTED_VALUE"""),44943.0)</f>
        <v>44943</v>
      </c>
      <c r="B751" s="2" t="str">
        <f>IFERROR(__xludf.DUMMYFUNCTION("""COMPUTED_VALUE"""),"Fiction")</f>
        <v>Fiction</v>
      </c>
      <c r="C751" s="2" t="str">
        <f>IFERROR(__xludf.DUMMYFUNCTION("""COMPUTED_VALUE"""),"Medieval History")</f>
        <v>Medieval History</v>
      </c>
      <c r="D751" s="2" t="str">
        <f>IFERROR(__xludf.DUMMYFUNCTION("""COMPUTED_VALUE"""),"Iron Ridge Press")</f>
        <v>Iron Ridge Press</v>
      </c>
      <c r="E751" s="2">
        <f>IFERROR(__xludf.DUMMYFUNCTION("""COMPUTED_VALUE"""),3.14)</f>
        <v>3.14</v>
      </c>
      <c r="F751" s="2"/>
      <c r="G751" s="2"/>
      <c r="H751" s="2"/>
      <c r="I751" s="2"/>
    </row>
    <row r="752">
      <c r="A752" s="2">
        <f>IFERROR(__xludf.DUMMYFUNCTION("""COMPUTED_VALUE"""),9462.0)</f>
        <v>9462</v>
      </c>
      <c r="B752" s="2" t="str">
        <f>IFERROR(__xludf.DUMMYFUNCTION("""COMPUTED_VALUE"""),"Fiction")</f>
        <v>Fiction</v>
      </c>
      <c r="C752" s="2" t="str">
        <f>IFERROR(__xludf.DUMMYFUNCTION("""COMPUTED_VALUE"""),"Medieval History")</f>
        <v>Medieval History</v>
      </c>
      <c r="D752" s="2" t="str">
        <f>IFERROR(__xludf.DUMMYFUNCTION("""COMPUTED_VALUE"""),"Iron Ridge Press")</f>
        <v>Iron Ridge Press</v>
      </c>
      <c r="E752" s="2">
        <f>IFERROR(__xludf.DUMMYFUNCTION("""COMPUTED_VALUE"""),1.54)</f>
        <v>1.54</v>
      </c>
      <c r="F752" s="2"/>
      <c r="G752" s="2"/>
      <c r="H752" s="2"/>
      <c r="I752" s="2"/>
    </row>
    <row r="753">
      <c r="A753" s="2">
        <f>IFERROR(__xludf.DUMMYFUNCTION("""COMPUTED_VALUE"""),79501.0)</f>
        <v>79501</v>
      </c>
      <c r="B753" s="2" t="str">
        <f>IFERROR(__xludf.DUMMYFUNCTION("""COMPUTED_VALUE"""),"Fiction")</f>
        <v>Fiction</v>
      </c>
      <c r="C753" s="2" t="str">
        <f>IFERROR(__xludf.DUMMYFUNCTION("""COMPUTED_VALUE"""),"Medieval History")</f>
        <v>Medieval History</v>
      </c>
      <c r="D753" s="2" t="str">
        <f>IFERROR(__xludf.DUMMYFUNCTION("""COMPUTED_VALUE"""),"Iron Ridge Press")</f>
        <v>Iron Ridge Press</v>
      </c>
      <c r="E753" s="2">
        <f>IFERROR(__xludf.DUMMYFUNCTION("""COMPUTED_VALUE"""),1.32)</f>
        <v>1.32</v>
      </c>
      <c r="F753" s="2"/>
      <c r="G753" s="2"/>
      <c r="H753" s="2"/>
      <c r="I753" s="2"/>
    </row>
    <row r="754">
      <c r="A754" s="2">
        <f>IFERROR(__xludf.DUMMYFUNCTION("""COMPUTED_VALUE"""),97161.0)</f>
        <v>97161</v>
      </c>
      <c r="B754" s="2" t="str">
        <f>IFERROR(__xludf.DUMMYFUNCTION("""COMPUTED_VALUE"""),"Fiction")</f>
        <v>Fiction</v>
      </c>
      <c r="C754" s="2" t="str">
        <f>IFERROR(__xludf.DUMMYFUNCTION("""COMPUTED_VALUE"""),"Medieval History")</f>
        <v>Medieval History</v>
      </c>
      <c r="D754" s="2" t="str">
        <f>IFERROR(__xludf.DUMMYFUNCTION("""COMPUTED_VALUE"""),"Iron Ridge Press")</f>
        <v>Iron Ridge Press</v>
      </c>
      <c r="E754" s="2">
        <f>IFERROR(__xludf.DUMMYFUNCTION("""COMPUTED_VALUE"""),1.83)</f>
        <v>1.83</v>
      </c>
      <c r="F754" s="2"/>
      <c r="G754" s="2"/>
      <c r="H754" s="2"/>
      <c r="I754" s="2"/>
    </row>
    <row r="755">
      <c r="A755" s="2">
        <f>IFERROR(__xludf.DUMMYFUNCTION("""COMPUTED_VALUE"""),112842.0)</f>
        <v>112842</v>
      </c>
      <c r="B755" s="2" t="str">
        <f>IFERROR(__xludf.DUMMYFUNCTION("""COMPUTED_VALUE"""),"Fiction")</f>
        <v>Fiction</v>
      </c>
      <c r="C755" s="2" t="str">
        <f>IFERROR(__xludf.DUMMYFUNCTION("""COMPUTED_VALUE"""),"Medieval History")</f>
        <v>Medieval History</v>
      </c>
      <c r="D755" s="2" t="str">
        <f>IFERROR(__xludf.DUMMYFUNCTION("""COMPUTED_VALUE"""),"Iron Ridge Press")</f>
        <v>Iron Ridge Press</v>
      </c>
      <c r="E755" s="2">
        <f>IFERROR(__xludf.DUMMYFUNCTION("""COMPUTED_VALUE"""),6.35)</f>
        <v>6.35</v>
      </c>
      <c r="F755" s="2"/>
      <c r="G755" s="2"/>
      <c r="H755" s="2"/>
      <c r="I755" s="2"/>
    </row>
    <row r="756">
      <c r="A756" s="2">
        <f>IFERROR(__xludf.DUMMYFUNCTION("""COMPUTED_VALUE"""),109180.0)</f>
        <v>109180</v>
      </c>
      <c r="B756" s="2" t="str">
        <f>IFERROR(__xludf.DUMMYFUNCTION("""COMPUTED_VALUE"""),"Fiction")</f>
        <v>Fiction</v>
      </c>
      <c r="C756" s="2" t="str">
        <f>IFERROR(__xludf.DUMMYFUNCTION("""COMPUTED_VALUE"""),"Medieval History")</f>
        <v>Medieval History</v>
      </c>
      <c r="D756" s="2" t="str">
        <f>IFERROR(__xludf.DUMMYFUNCTION("""COMPUTED_VALUE"""),"Iron Ridge Press")</f>
        <v>Iron Ridge Press</v>
      </c>
      <c r="E756" s="2">
        <f>IFERROR(__xludf.DUMMYFUNCTION("""COMPUTED_VALUE"""),8.73)</f>
        <v>8.73</v>
      </c>
      <c r="F756" s="2"/>
      <c r="G756" s="2"/>
      <c r="H756" s="2"/>
      <c r="I756" s="2"/>
    </row>
    <row r="757">
      <c r="A757" s="2">
        <f>IFERROR(__xludf.DUMMYFUNCTION("""COMPUTED_VALUE"""),46954.0)</f>
        <v>46954</v>
      </c>
      <c r="B757" s="2" t="str">
        <f>IFERROR(__xludf.DUMMYFUNCTION("""COMPUTED_VALUE"""),"Fiction")</f>
        <v>Fiction</v>
      </c>
      <c r="C757" s="2" t="str">
        <f>IFERROR(__xludf.DUMMYFUNCTION("""COMPUTED_VALUE"""),"Medieval History")</f>
        <v>Medieval History</v>
      </c>
      <c r="D757" s="2" t="str">
        <f>IFERROR(__xludf.DUMMYFUNCTION("""COMPUTED_VALUE"""),"Iron Ridge Press")</f>
        <v>Iron Ridge Press</v>
      </c>
      <c r="E757" s="2">
        <f>IFERROR(__xludf.DUMMYFUNCTION("""COMPUTED_VALUE"""),1.06)</f>
        <v>1.06</v>
      </c>
      <c r="F757" s="2"/>
      <c r="G757" s="2"/>
      <c r="H757" s="2"/>
      <c r="I757" s="2"/>
    </row>
    <row r="758">
      <c r="A758" s="2">
        <f>IFERROR(__xludf.DUMMYFUNCTION("""COMPUTED_VALUE"""),79500.0)</f>
        <v>79500</v>
      </c>
      <c r="B758" s="2" t="str">
        <f>IFERROR(__xludf.DUMMYFUNCTION("""COMPUTED_VALUE"""),"Fiction")</f>
        <v>Fiction</v>
      </c>
      <c r="C758" s="2" t="str">
        <f>IFERROR(__xludf.DUMMYFUNCTION("""COMPUTED_VALUE"""),"Medieval History")</f>
        <v>Medieval History</v>
      </c>
      <c r="D758" s="2" t="str">
        <f>IFERROR(__xludf.DUMMYFUNCTION("""COMPUTED_VALUE"""),"Iron Ridge Press")</f>
        <v>Iron Ridge Press</v>
      </c>
      <c r="E758" s="2">
        <f>IFERROR(__xludf.DUMMYFUNCTION("""COMPUTED_VALUE"""),1.59)</f>
        <v>1.59</v>
      </c>
      <c r="F758" s="2"/>
      <c r="G758" s="2"/>
      <c r="H758" s="2"/>
      <c r="I758" s="2"/>
    </row>
    <row r="759">
      <c r="A759" s="2">
        <f>IFERROR(__xludf.DUMMYFUNCTION("""COMPUTED_VALUE"""),99302.0)</f>
        <v>99302</v>
      </c>
      <c r="B759" s="2" t="str">
        <f>IFERROR(__xludf.DUMMYFUNCTION("""COMPUTED_VALUE"""),"Fiction")</f>
        <v>Fiction</v>
      </c>
      <c r="C759" s="2" t="str">
        <f>IFERROR(__xludf.DUMMYFUNCTION("""COMPUTED_VALUE"""),"Medieval History")</f>
        <v>Medieval History</v>
      </c>
      <c r="D759" s="2" t="str">
        <f>IFERROR(__xludf.DUMMYFUNCTION("""COMPUTED_VALUE"""),"Iron Ridge Press")</f>
        <v>Iron Ridge Press</v>
      </c>
      <c r="E759" s="2">
        <f>IFERROR(__xludf.DUMMYFUNCTION("""COMPUTED_VALUE"""),6.13)</f>
        <v>6.13</v>
      </c>
      <c r="F759" s="2"/>
      <c r="G759" s="2"/>
      <c r="H759" s="2"/>
      <c r="I759" s="2"/>
    </row>
    <row r="760">
      <c r="A760" s="2">
        <f>IFERROR(__xludf.DUMMYFUNCTION("""COMPUTED_VALUE"""),105026.0)</f>
        <v>105026</v>
      </c>
      <c r="B760" s="2" t="str">
        <f>IFERROR(__xludf.DUMMYFUNCTION("""COMPUTED_VALUE"""),"Fiction")</f>
        <v>Fiction</v>
      </c>
      <c r="C760" s="2" t="str">
        <f>IFERROR(__xludf.DUMMYFUNCTION("""COMPUTED_VALUE"""),"Medieval History")</f>
        <v>Medieval History</v>
      </c>
      <c r="D760" s="2" t="str">
        <f>IFERROR(__xludf.DUMMYFUNCTION("""COMPUTED_VALUE"""),"Iron Ridge Press")</f>
        <v>Iron Ridge Press</v>
      </c>
      <c r="E760" s="2">
        <f>IFERROR(__xludf.DUMMYFUNCTION("""COMPUTED_VALUE"""),5.79)</f>
        <v>5.79</v>
      </c>
      <c r="F760" s="2"/>
      <c r="G760" s="2"/>
      <c r="H760" s="2"/>
      <c r="I760" s="2"/>
    </row>
    <row r="761">
      <c r="A761" s="2">
        <f>IFERROR(__xludf.DUMMYFUNCTION("""COMPUTED_VALUE"""),19972.0)</f>
        <v>19972</v>
      </c>
      <c r="B761" s="2" t="str">
        <f>IFERROR(__xludf.DUMMYFUNCTION("""COMPUTED_VALUE"""),"Fiction")</f>
        <v>Fiction</v>
      </c>
      <c r="C761" s="2" t="str">
        <f>IFERROR(__xludf.DUMMYFUNCTION("""COMPUTED_VALUE"""),"Medieval History")</f>
        <v>Medieval History</v>
      </c>
      <c r="D761" s="2" t="str">
        <f>IFERROR(__xludf.DUMMYFUNCTION("""COMPUTED_VALUE"""),"Iron Ridge Press")</f>
        <v>Iron Ridge Press</v>
      </c>
      <c r="E761" s="2">
        <f>IFERROR(__xludf.DUMMYFUNCTION("""COMPUTED_VALUE"""),2.13)</f>
        <v>2.13</v>
      </c>
      <c r="F761" s="2"/>
      <c r="G761" s="2"/>
      <c r="H761" s="2"/>
      <c r="I761" s="2"/>
    </row>
    <row r="762">
      <c r="A762" s="2">
        <f>IFERROR(__xludf.DUMMYFUNCTION("""COMPUTED_VALUE"""),99233.0)</f>
        <v>99233</v>
      </c>
      <c r="B762" s="2" t="str">
        <f>IFERROR(__xludf.DUMMYFUNCTION("""COMPUTED_VALUE"""),"Fiction")</f>
        <v>Fiction</v>
      </c>
      <c r="C762" s="2" t="str">
        <f>IFERROR(__xludf.DUMMYFUNCTION("""COMPUTED_VALUE"""),"Medieval History")</f>
        <v>Medieval History</v>
      </c>
      <c r="D762" s="2" t="str">
        <f>IFERROR(__xludf.DUMMYFUNCTION("""COMPUTED_VALUE"""),"Iron Ridge Press")</f>
        <v>Iron Ridge Press</v>
      </c>
      <c r="E762" s="2">
        <f>IFERROR(__xludf.DUMMYFUNCTION("""COMPUTED_VALUE"""),3.36)</f>
        <v>3.36</v>
      </c>
      <c r="F762" s="2"/>
      <c r="G762" s="2"/>
      <c r="H762" s="2"/>
      <c r="I762" s="2"/>
    </row>
    <row r="763">
      <c r="A763" s="2">
        <f>IFERROR(__xludf.DUMMYFUNCTION("""COMPUTED_VALUE"""),118260.0)</f>
        <v>118260</v>
      </c>
      <c r="B763" s="2" t="str">
        <f>IFERROR(__xludf.DUMMYFUNCTION("""COMPUTED_VALUE"""),"Fiction")</f>
        <v>Fiction</v>
      </c>
      <c r="C763" s="2" t="str">
        <f>IFERROR(__xludf.DUMMYFUNCTION("""COMPUTED_VALUE"""),"Medieval History")</f>
        <v>Medieval History</v>
      </c>
      <c r="D763" s="2" t="str">
        <f>IFERROR(__xludf.DUMMYFUNCTION("""COMPUTED_VALUE"""),"Iron Ridge Press")</f>
        <v>Iron Ridge Press</v>
      </c>
      <c r="E763" s="2">
        <f>IFERROR(__xludf.DUMMYFUNCTION("""COMPUTED_VALUE"""),0.96)</f>
        <v>0.96</v>
      </c>
      <c r="F763" s="2"/>
      <c r="G763" s="2"/>
      <c r="H763" s="2"/>
      <c r="I763" s="2"/>
    </row>
    <row r="764">
      <c r="A764" s="2">
        <f>IFERROR(__xludf.DUMMYFUNCTION("""COMPUTED_VALUE"""),128398.0)</f>
        <v>128398</v>
      </c>
      <c r="B764" s="2" t="str">
        <f>IFERROR(__xludf.DUMMYFUNCTION("""COMPUTED_VALUE"""),"Fiction")</f>
        <v>Fiction</v>
      </c>
      <c r="C764" s="2" t="str">
        <f>IFERROR(__xludf.DUMMYFUNCTION("""COMPUTED_VALUE"""),"Medieval History")</f>
        <v>Medieval History</v>
      </c>
      <c r="D764" s="2" t="str">
        <f>IFERROR(__xludf.DUMMYFUNCTION("""COMPUTED_VALUE"""),"Iron Ridge Press")</f>
        <v>Iron Ridge Press</v>
      </c>
      <c r="E764" s="2">
        <f>IFERROR(__xludf.DUMMYFUNCTION("""COMPUTED_VALUE"""),2.38)</f>
        <v>2.38</v>
      </c>
      <c r="F764" s="2"/>
      <c r="G764" s="2"/>
      <c r="H764" s="2"/>
      <c r="I764" s="2"/>
    </row>
    <row r="765">
      <c r="A765" s="2">
        <f>IFERROR(__xludf.DUMMYFUNCTION("""COMPUTED_VALUE"""),8001.0)</f>
        <v>8001</v>
      </c>
      <c r="B765" s="2" t="str">
        <f>IFERROR(__xludf.DUMMYFUNCTION("""COMPUTED_VALUE"""),"Fiction")</f>
        <v>Fiction</v>
      </c>
      <c r="C765" s="2" t="str">
        <f>IFERROR(__xludf.DUMMYFUNCTION("""COMPUTED_VALUE"""),"Medieval History")</f>
        <v>Medieval History</v>
      </c>
      <c r="D765" s="2" t="str">
        <f>IFERROR(__xludf.DUMMYFUNCTION("""COMPUTED_VALUE"""),"Iron Ridge Press")</f>
        <v>Iron Ridge Press</v>
      </c>
      <c r="E765" s="2">
        <f>IFERROR(__xludf.DUMMYFUNCTION("""COMPUTED_VALUE"""),2.31)</f>
        <v>2.31</v>
      </c>
      <c r="F765" s="2"/>
      <c r="G765" s="2"/>
      <c r="H765" s="2"/>
      <c r="I765" s="2"/>
    </row>
    <row r="766">
      <c r="A766" s="2">
        <f>IFERROR(__xludf.DUMMYFUNCTION("""COMPUTED_VALUE"""),106782.0)</f>
        <v>106782</v>
      </c>
      <c r="B766" s="2" t="str">
        <f>IFERROR(__xludf.DUMMYFUNCTION("""COMPUTED_VALUE"""),"Fiction")</f>
        <v>Fiction</v>
      </c>
      <c r="C766" s="2" t="str">
        <f>IFERROR(__xludf.DUMMYFUNCTION("""COMPUTED_VALUE"""),"Medieval History")</f>
        <v>Medieval History</v>
      </c>
      <c r="D766" s="2" t="str">
        <f>IFERROR(__xludf.DUMMYFUNCTION("""COMPUTED_VALUE"""),"Iron Ridge Press")</f>
        <v>Iron Ridge Press</v>
      </c>
      <c r="E766" s="2">
        <f>IFERROR(__xludf.DUMMYFUNCTION("""COMPUTED_VALUE"""),2.42)</f>
        <v>2.42</v>
      </c>
      <c r="F766" s="2"/>
      <c r="G766" s="2"/>
      <c r="H766" s="2"/>
      <c r="I766" s="2"/>
    </row>
    <row r="767">
      <c r="A767" s="2">
        <f>IFERROR(__xludf.DUMMYFUNCTION("""COMPUTED_VALUE"""),110793.0)</f>
        <v>110793</v>
      </c>
      <c r="B767" s="2" t="str">
        <f>IFERROR(__xludf.DUMMYFUNCTION("""COMPUTED_VALUE"""),"Fiction")</f>
        <v>Fiction</v>
      </c>
      <c r="C767" s="2" t="str">
        <f>IFERROR(__xludf.DUMMYFUNCTION("""COMPUTED_VALUE"""),"Medieval History")</f>
        <v>Medieval History</v>
      </c>
      <c r="D767" s="2" t="str">
        <f>IFERROR(__xludf.DUMMYFUNCTION("""COMPUTED_VALUE"""),"Liberty Bridge Publishing")</f>
        <v>Liberty Bridge Publishing</v>
      </c>
      <c r="E767" s="2">
        <f>IFERROR(__xludf.DUMMYFUNCTION("""COMPUTED_VALUE"""),6.64)</f>
        <v>6.64</v>
      </c>
      <c r="F767" s="2"/>
      <c r="G767" s="2"/>
      <c r="H767" s="2"/>
      <c r="I767" s="2"/>
    </row>
    <row r="768">
      <c r="A768" s="2">
        <f>IFERROR(__xludf.DUMMYFUNCTION("""COMPUTED_VALUE"""),86808.0)</f>
        <v>86808</v>
      </c>
      <c r="B768" s="2" t="str">
        <f>IFERROR(__xludf.DUMMYFUNCTION("""COMPUTED_VALUE"""),"Fiction")</f>
        <v>Fiction</v>
      </c>
      <c r="C768" s="2" t="str">
        <f>IFERROR(__xludf.DUMMYFUNCTION("""COMPUTED_VALUE"""),"Medieval History")</f>
        <v>Medieval History</v>
      </c>
      <c r="D768" s="2" t="str">
        <f>IFERROR(__xludf.DUMMYFUNCTION("""COMPUTED_VALUE"""),"Liberty Bridge Publishing")</f>
        <v>Liberty Bridge Publishing</v>
      </c>
      <c r="E768" s="2">
        <f>IFERROR(__xludf.DUMMYFUNCTION("""COMPUTED_VALUE"""),4.82)</f>
        <v>4.82</v>
      </c>
      <c r="F768" s="2"/>
      <c r="G768" s="2"/>
      <c r="H768" s="2"/>
      <c r="I768" s="2"/>
    </row>
    <row r="769">
      <c r="A769" s="2">
        <f>IFERROR(__xludf.DUMMYFUNCTION("""COMPUTED_VALUE"""),50367.0)</f>
        <v>50367</v>
      </c>
      <c r="B769" s="2" t="str">
        <f>IFERROR(__xludf.DUMMYFUNCTION("""COMPUTED_VALUE"""),"Fiction")</f>
        <v>Fiction</v>
      </c>
      <c r="C769" s="2" t="str">
        <f>IFERROR(__xludf.DUMMYFUNCTION("""COMPUTED_VALUE"""),"Medieval History")</f>
        <v>Medieval History</v>
      </c>
      <c r="D769" s="2" t="str">
        <f>IFERROR(__xludf.DUMMYFUNCTION("""COMPUTED_VALUE"""),"Liberty Bridge Publishing")</f>
        <v>Liberty Bridge Publishing</v>
      </c>
      <c r="E769" s="2">
        <f>IFERROR(__xludf.DUMMYFUNCTION("""COMPUTED_VALUE"""),1.65)</f>
        <v>1.65</v>
      </c>
      <c r="F769" s="2"/>
      <c r="G769" s="2"/>
      <c r="H769" s="2"/>
      <c r="I769" s="2"/>
    </row>
    <row r="770">
      <c r="A770" s="2">
        <f>IFERROR(__xludf.DUMMYFUNCTION("""COMPUTED_VALUE"""),102750.0)</f>
        <v>102750</v>
      </c>
      <c r="B770" s="2" t="str">
        <f>IFERROR(__xludf.DUMMYFUNCTION("""COMPUTED_VALUE"""),"Fiction")</f>
        <v>Fiction</v>
      </c>
      <c r="C770" s="2" t="str">
        <f>IFERROR(__xludf.DUMMYFUNCTION("""COMPUTED_VALUE"""),"Medieval History")</f>
        <v>Medieval History</v>
      </c>
      <c r="D770" s="2" t="str">
        <f>IFERROR(__xludf.DUMMYFUNCTION("""COMPUTED_VALUE"""),"Liberty Bridge Publishing")</f>
        <v>Liberty Bridge Publishing</v>
      </c>
      <c r="E770" s="2">
        <f>IFERROR(__xludf.DUMMYFUNCTION("""COMPUTED_VALUE"""),5.72)</f>
        <v>5.72</v>
      </c>
      <c r="F770" s="2"/>
      <c r="G770" s="2"/>
      <c r="H770" s="2"/>
      <c r="I770" s="2"/>
    </row>
    <row r="771">
      <c r="A771" s="2">
        <f>IFERROR(__xludf.DUMMYFUNCTION("""COMPUTED_VALUE"""),102758.0)</f>
        <v>102758</v>
      </c>
      <c r="B771" s="2" t="str">
        <f>IFERROR(__xludf.DUMMYFUNCTION("""COMPUTED_VALUE"""),"Fiction")</f>
        <v>Fiction</v>
      </c>
      <c r="C771" s="2" t="str">
        <f>IFERROR(__xludf.DUMMYFUNCTION("""COMPUTED_VALUE"""),"Medieval History")</f>
        <v>Medieval History</v>
      </c>
      <c r="D771" s="2" t="str">
        <f>IFERROR(__xludf.DUMMYFUNCTION("""COMPUTED_VALUE"""),"Liberty Bridge Publishing")</f>
        <v>Liberty Bridge Publishing</v>
      </c>
      <c r="E771" s="2">
        <f>IFERROR(__xludf.DUMMYFUNCTION("""COMPUTED_VALUE"""),5.59)</f>
        <v>5.59</v>
      </c>
      <c r="F771" s="2"/>
      <c r="G771" s="2"/>
      <c r="H771" s="2"/>
      <c r="I771" s="2"/>
    </row>
    <row r="772">
      <c r="A772" s="2">
        <f>IFERROR(__xludf.DUMMYFUNCTION("""COMPUTED_VALUE"""),86787.0)</f>
        <v>86787</v>
      </c>
      <c r="B772" s="2" t="str">
        <f>IFERROR(__xludf.DUMMYFUNCTION("""COMPUTED_VALUE"""),"Fiction")</f>
        <v>Fiction</v>
      </c>
      <c r="C772" s="2" t="str">
        <f>IFERROR(__xludf.DUMMYFUNCTION("""COMPUTED_VALUE"""),"Medieval History")</f>
        <v>Medieval History</v>
      </c>
      <c r="D772" s="2" t="str">
        <f>IFERROR(__xludf.DUMMYFUNCTION("""COMPUTED_VALUE"""),"Liberty Bridge Publishing")</f>
        <v>Liberty Bridge Publishing</v>
      </c>
      <c r="E772" s="2">
        <f>IFERROR(__xludf.DUMMYFUNCTION("""COMPUTED_VALUE"""),1.28)</f>
        <v>1.28</v>
      </c>
      <c r="F772" s="2"/>
      <c r="G772" s="2"/>
      <c r="H772" s="2"/>
      <c r="I772" s="2"/>
    </row>
    <row r="773">
      <c r="A773" s="2">
        <f>IFERROR(__xludf.DUMMYFUNCTION("""COMPUTED_VALUE"""),102740.0)</f>
        <v>102740</v>
      </c>
      <c r="B773" s="2" t="str">
        <f>IFERROR(__xludf.DUMMYFUNCTION("""COMPUTED_VALUE"""),"Fiction")</f>
        <v>Fiction</v>
      </c>
      <c r="C773" s="2" t="str">
        <f>IFERROR(__xludf.DUMMYFUNCTION("""COMPUTED_VALUE"""),"Medieval History")</f>
        <v>Medieval History</v>
      </c>
      <c r="D773" s="2" t="str">
        <f>IFERROR(__xludf.DUMMYFUNCTION("""COMPUTED_VALUE"""),"Liberty Bridge Publishing")</f>
        <v>Liberty Bridge Publishing</v>
      </c>
      <c r="E773" s="2">
        <f>IFERROR(__xludf.DUMMYFUNCTION("""COMPUTED_VALUE"""),1.86)</f>
        <v>1.86</v>
      </c>
      <c r="F773" s="2"/>
      <c r="G773" s="2"/>
      <c r="H773" s="2"/>
      <c r="I773" s="2"/>
    </row>
    <row r="774">
      <c r="A774" s="2">
        <f>IFERROR(__xludf.DUMMYFUNCTION("""COMPUTED_VALUE"""),102734.0)</f>
        <v>102734</v>
      </c>
      <c r="B774" s="2" t="str">
        <f>IFERROR(__xludf.DUMMYFUNCTION("""COMPUTED_VALUE"""),"Fiction")</f>
        <v>Fiction</v>
      </c>
      <c r="C774" s="2" t="str">
        <f>IFERROR(__xludf.DUMMYFUNCTION("""COMPUTED_VALUE"""),"Medieval History")</f>
        <v>Medieval History</v>
      </c>
      <c r="D774" s="2" t="str">
        <f>IFERROR(__xludf.DUMMYFUNCTION("""COMPUTED_VALUE"""),"Liberty Bridge Publishing")</f>
        <v>Liberty Bridge Publishing</v>
      </c>
      <c r="E774" s="2">
        <f>IFERROR(__xludf.DUMMYFUNCTION("""COMPUTED_VALUE"""),1.65)</f>
        <v>1.65</v>
      </c>
      <c r="F774" s="2"/>
      <c r="G774" s="2"/>
      <c r="H774" s="2"/>
      <c r="I774" s="2"/>
    </row>
    <row r="775">
      <c r="A775" s="2">
        <f>IFERROR(__xludf.DUMMYFUNCTION("""COMPUTED_VALUE"""),102751.0)</f>
        <v>102751</v>
      </c>
      <c r="B775" s="2" t="str">
        <f>IFERROR(__xludf.DUMMYFUNCTION("""COMPUTED_VALUE"""),"Fiction")</f>
        <v>Fiction</v>
      </c>
      <c r="C775" s="2" t="str">
        <f>IFERROR(__xludf.DUMMYFUNCTION("""COMPUTED_VALUE"""),"Medieval History")</f>
        <v>Medieval History</v>
      </c>
      <c r="D775" s="2" t="str">
        <f>IFERROR(__xludf.DUMMYFUNCTION("""COMPUTED_VALUE"""),"Liberty Bridge Publishing")</f>
        <v>Liberty Bridge Publishing</v>
      </c>
      <c r="E775" s="2">
        <f>IFERROR(__xludf.DUMMYFUNCTION("""COMPUTED_VALUE"""),5.83)</f>
        <v>5.83</v>
      </c>
      <c r="F775" s="2"/>
      <c r="G775" s="2"/>
      <c r="H775" s="2"/>
      <c r="I775" s="2"/>
    </row>
    <row r="776">
      <c r="A776" s="2">
        <f>IFERROR(__xludf.DUMMYFUNCTION("""COMPUTED_VALUE"""),102752.0)</f>
        <v>102752</v>
      </c>
      <c r="B776" s="2" t="str">
        <f>IFERROR(__xludf.DUMMYFUNCTION("""COMPUTED_VALUE"""),"Fiction")</f>
        <v>Fiction</v>
      </c>
      <c r="C776" s="2" t="str">
        <f>IFERROR(__xludf.DUMMYFUNCTION("""COMPUTED_VALUE"""),"Medieval History")</f>
        <v>Medieval History</v>
      </c>
      <c r="D776" s="2" t="str">
        <f>IFERROR(__xludf.DUMMYFUNCTION("""COMPUTED_VALUE"""),"Liberty Bridge Publishing")</f>
        <v>Liberty Bridge Publishing</v>
      </c>
      <c r="E776" s="2">
        <f>IFERROR(__xludf.DUMMYFUNCTION("""COMPUTED_VALUE"""),6.16)</f>
        <v>6.16</v>
      </c>
      <c r="F776" s="2"/>
      <c r="G776" s="2"/>
      <c r="H776" s="2"/>
      <c r="I776" s="2"/>
    </row>
    <row r="777">
      <c r="A777" s="2">
        <f>IFERROR(__xludf.DUMMYFUNCTION("""COMPUTED_VALUE"""),102735.0)</f>
        <v>102735</v>
      </c>
      <c r="B777" s="2" t="str">
        <f>IFERROR(__xludf.DUMMYFUNCTION("""COMPUTED_VALUE"""),"Fiction")</f>
        <v>Fiction</v>
      </c>
      <c r="C777" s="2" t="str">
        <f>IFERROR(__xludf.DUMMYFUNCTION("""COMPUTED_VALUE"""),"Medieval History")</f>
        <v>Medieval History</v>
      </c>
      <c r="D777" s="2" t="str">
        <f>IFERROR(__xludf.DUMMYFUNCTION("""COMPUTED_VALUE"""),"Liberty Bridge Publishing")</f>
        <v>Liberty Bridge Publishing</v>
      </c>
      <c r="E777" s="2">
        <f>IFERROR(__xludf.DUMMYFUNCTION("""COMPUTED_VALUE"""),2.13)</f>
        <v>2.13</v>
      </c>
      <c r="F777" s="2"/>
      <c r="G777" s="2"/>
      <c r="H777" s="2"/>
      <c r="I777" s="2"/>
    </row>
    <row r="778">
      <c r="A778" s="2">
        <f>IFERROR(__xludf.DUMMYFUNCTION("""COMPUTED_VALUE"""),86793.0)</f>
        <v>86793</v>
      </c>
      <c r="B778" s="2" t="str">
        <f>IFERROR(__xludf.DUMMYFUNCTION("""COMPUTED_VALUE"""),"Fiction")</f>
        <v>Fiction</v>
      </c>
      <c r="C778" s="2" t="str">
        <f>IFERROR(__xludf.DUMMYFUNCTION("""COMPUTED_VALUE"""),"Medieval History")</f>
        <v>Medieval History</v>
      </c>
      <c r="D778" s="2" t="str">
        <f>IFERROR(__xludf.DUMMYFUNCTION("""COMPUTED_VALUE"""),"Liberty Bridge Publishing")</f>
        <v>Liberty Bridge Publishing</v>
      </c>
      <c r="E778" s="2">
        <f>IFERROR(__xludf.DUMMYFUNCTION("""COMPUTED_VALUE"""),2.24)</f>
        <v>2.24</v>
      </c>
      <c r="F778" s="2"/>
      <c r="G778" s="2"/>
      <c r="H778" s="2"/>
      <c r="I778" s="2"/>
    </row>
    <row r="779">
      <c r="A779" s="2">
        <f>IFERROR(__xludf.DUMMYFUNCTION("""COMPUTED_VALUE"""),86792.0)</f>
        <v>86792</v>
      </c>
      <c r="B779" s="2" t="str">
        <f>IFERROR(__xludf.DUMMYFUNCTION("""COMPUTED_VALUE"""),"Fiction")</f>
        <v>Fiction</v>
      </c>
      <c r="C779" s="2" t="str">
        <f>IFERROR(__xludf.DUMMYFUNCTION("""COMPUTED_VALUE"""),"Medieval History")</f>
        <v>Medieval History</v>
      </c>
      <c r="D779" s="2" t="str">
        <f>IFERROR(__xludf.DUMMYFUNCTION("""COMPUTED_VALUE"""),"Liberty Bridge Publishing")</f>
        <v>Liberty Bridge Publishing</v>
      </c>
      <c r="E779" s="2">
        <f>IFERROR(__xludf.DUMMYFUNCTION("""COMPUTED_VALUE"""),1.69)</f>
        <v>1.69</v>
      </c>
      <c r="F779" s="2"/>
      <c r="G779" s="2"/>
      <c r="H779" s="2"/>
      <c r="I779" s="2"/>
    </row>
    <row r="780">
      <c r="A780" s="2">
        <f>IFERROR(__xludf.DUMMYFUNCTION("""COMPUTED_VALUE"""),86785.0)</f>
        <v>86785</v>
      </c>
      <c r="B780" s="2" t="str">
        <f>IFERROR(__xludf.DUMMYFUNCTION("""COMPUTED_VALUE"""),"Fiction")</f>
        <v>Fiction</v>
      </c>
      <c r="C780" s="2" t="str">
        <f>IFERROR(__xludf.DUMMYFUNCTION("""COMPUTED_VALUE"""),"Medieval History")</f>
        <v>Medieval History</v>
      </c>
      <c r="D780" s="2" t="str">
        <f>IFERROR(__xludf.DUMMYFUNCTION("""COMPUTED_VALUE"""),"Liberty Bridge Publishing")</f>
        <v>Liberty Bridge Publishing</v>
      </c>
      <c r="E780" s="2">
        <f>IFERROR(__xludf.DUMMYFUNCTION("""COMPUTED_VALUE"""),0.97)</f>
        <v>0.97</v>
      </c>
      <c r="F780" s="2"/>
      <c r="G780" s="2"/>
      <c r="H780" s="2"/>
      <c r="I780" s="2"/>
    </row>
    <row r="781">
      <c r="A781" s="2">
        <f>IFERROR(__xludf.DUMMYFUNCTION("""COMPUTED_VALUE"""),102773.0)</f>
        <v>102773</v>
      </c>
      <c r="B781" s="2" t="str">
        <f>IFERROR(__xludf.DUMMYFUNCTION("""COMPUTED_VALUE"""),"Fiction")</f>
        <v>Fiction</v>
      </c>
      <c r="C781" s="2" t="str">
        <f>IFERROR(__xludf.DUMMYFUNCTION("""COMPUTED_VALUE"""),"Medieval History")</f>
        <v>Medieval History</v>
      </c>
      <c r="D781" s="2" t="str">
        <f>IFERROR(__xludf.DUMMYFUNCTION("""COMPUTED_VALUE"""),"Heritage Harbor Books")</f>
        <v>Heritage Harbor Books</v>
      </c>
      <c r="E781" s="2">
        <f>IFERROR(__xludf.DUMMYFUNCTION("""COMPUTED_VALUE"""),3.34)</f>
        <v>3.34</v>
      </c>
      <c r="F781" s="2"/>
      <c r="G781" s="2"/>
      <c r="H781" s="2"/>
      <c r="I781" s="2"/>
    </row>
    <row r="782">
      <c r="A782" s="2">
        <f>IFERROR(__xludf.DUMMYFUNCTION("""COMPUTED_VALUE"""),42807.0)</f>
        <v>42807</v>
      </c>
      <c r="B782" s="2" t="str">
        <f>IFERROR(__xludf.DUMMYFUNCTION("""COMPUTED_VALUE"""),"Fiction")</f>
        <v>Fiction</v>
      </c>
      <c r="C782" s="2" t="str">
        <f>IFERROR(__xludf.DUMMYFUNCTION("""COMPUTED_VALUE"""),"Medieval History")</f>
        <v>Medieval History</v>
      </c>
      <c r="D782" s="2" t="str">
        <f>IFERROR(__xludf.DUMMYFUNCTION("""COMPUTED_VALUE"""),"Heritage Harbor Books")</f>
        <v>Heritage Harbor Books</v>
      </c>
      <c r="E782" s="2">
        <f>IFERROR(__xludf.DUMMYFUNCTION("""COMPUTED_VALUE"""),2.22)</f>
        <v>2.22</v>
      </c>
      <c r="F782" s="2"/>
      <c r="G782" s="2"/>
      <c r="H782" s="2"/>
      <c r="I782" s="2"/>
    </row>
    <row r="783">
      <c r="A783" s="2">
        <f>IFERROR(__xludf.DUMMYFUNCTION("""COMPUTED_VALUE"""),42809.0)</f>
        <v>42809</v>
      </c>
      <c r="B783" s="2" t="str">
        <f>IFERROR(__xludf.DUMMYFUNCTION("""COMPUTED_VALUE"""),"Fiction")</f>
        <v>Fiction</v>
      </c>
      <c r="C783" s="2" t="str">
        <f>IFERROR(__xludf.DUMMYFUNCTION("""COMPUTED_VALUE"""),"Medieval History")</f>
        <v>Medieval History</v>
      </c>
      <c r="D783" s="2" t="str">
        <f>IFERROR(__xludf.DUMMYFUNCTION("""COMPUTED_VALUE"""),"Heritage Harbor Books")</f>
        <v>Heritage Harbor Books</v>
      </c>
      <c r="E783" s="2">
        <f>IFERROR(__xludf.DUMMYFUNCTION("""COMPUTED_VALUE"""),9.47)</f>
        <v>9.47</v>
      </c>
      <c r="F783" s="2"/>
      <c r="G783" s="2"/>
      <c r="H783" s="2"/>
      <c r="I783" s="2"/>
    </row>
    <row r="784">
      <c r="A784" s="2">
        <f>IFERROR(__xludf.DUMMYFUNCTION("""COMPUTED_VALUE"""),86821.0)</f>
        <v>86821</v>
      </c>
      <c r="B784" s="2" t="str">
        <f>IFERROR(__xludf.DUMMYFUNCTION("""COMPUTED_VALUE"""),"Fiction")</f>
        <v>Fiction</v>
      </c>
      <c r="C784" s="2" t="str">
        <f>IFERROR(__xludf.DUMMYFUNCTION("""COMPUTED_VALUE"""),"Medieval History")</f>
        <v>Medieval History</v>
      </c>
      <c r="D784" s="2" t="str">
        <f>IFERROR(__xludf.DUMMYFUNCTION("""COMPUTED_VALUE"""),"Heritage Harbor Books")</f>
        <v>Heritage Harbor Books</v>
      </c>
      <c r="E784" s="2">
        <f>IFERROR(__xludf.DUMMYFUNCTION("""COMPUTED_VALUE"""),2.92)</f>
        <v>2.92</v>
      </c>
      <c r="F784" s="2"/>
      <c r="G784" s="2"/>
      <c r="H784" s="2"/>
      <c r="I784" s="2"/>
    </row>
    <row r="785">
      <c r="A785" s="2">
        <f>IFERROR(__xludf.DUMMYFUNCTION("""COMPUTED_VALUE"""),110719.0)</f>
        <v>110719</v>
      </c>
      <c r="B785" s="2" t="str">
        <f>IFERROR(__xludf.DUMMYFUNCTION("""COMPUTED_VALUE"""),"Fiction")</f>
        <v>Fiction</v>
      </c>
      <c r="C785" s="2" t="str">
        <f>IFERROR(__xludf.DUMMYFUNCTION("""COMPUTED_VALUE"""),"Medieval History")</f>
        <v>Medieval History</v>
      </c>
      <c r="D785" s="2" t="str">
        <f>IFERROR(__xludf.DUMMYFUNCTION("""COMPUTED_VALUE"""),"Heritage Harbor Books")</f>
        <v>Heritage Harbor Books</v>
      </c>
      <c r="E785" s="2">
        <f>IFERROR(__xludf.DUMMYFUNCTION("""COMPUTED_VALUE"""),2.45)</f>
        <v>2.45</v>
      </c>
      <c r="F785" s="2"/>
      <c r="G785" s="2"/>
      <c r="H785" s="2"/>
      <c r="I785" s="2"/>
    </row>
    <row r="786">
      <c r="A786" s="2">
        <f>IFERROR(__xludf.DUMMYFUNCTION("""COMPUTED_VALUE"""),86818.0)</f>
        <v>86818</v>
      </c>
      <c r="B786" s="2" t="str">
        <f>IFERROR(__xludf.DUMMYFUNCTION("""COMPUTED_VALUE"""),"Fiction")</f>
        <v>Fiction</v>
      </c>
      <c r="C786" s="2" t="str">
        <f>IFERROR(__xludf.DUMMYFUNCTION("""COMPUTED_VALUE"""),"Medieval History")</f>
        <v>Medieval History</v>
      </c>
      <c r="D786" s="2" t="str">
        <f>IFERROR(__xludf.DUMMYFUNCTION("""COMPUTED_VALUE"""),"Heritage Harbor Books")</f>
        <v>Heritage Harbor Books</v>
      </c>
      <c r="E786" s="2">
        <f>IFERROR(__xludf.DUMMYFUNCTION("""COMPUTED_VALUE"""),3.06)</f>
        <v>3.06</v>
      </c>
      <c r="F786" s="2"/>
      <c r="G786" s="2"/>
      <c r="H786" s="2"/>
      <c r="I786" s="2"/>
    </row>
    <row r="787">
      <c r="A787" s="2">
        <f>IFERROR(__xludf.DUMMYFUNCTION("""COMPUTED_VALUE"""),71318.0)</f>
        <v>71318</v>
      </c>
      <c r="B787" s="2" t="str">
        <f>IFERROR(__xludf.DUMMYFUNCTION("""COMPUTED_VALUE"""),"Fiction")</f>
        <v>Fiction</v>
      </c>
      <c r="C787" s="2" t="str">
        <f>IFERROR(__xludf.DUMMYFUNCTION("""COMPUTED_VALUE"""),"Medieval History")</f>
        <v>Medieval History</v>
      </c>
      <c r="D787" s="2" t="str">
        <f>IFERROR(__xludf.DUMMYFUNCTION("""COMPUTED_VALUE"""),"Heritage Harbor Books")</f>
        <v>Heritage Harbor Books</v>
      </c>
      <c r="E787" s="2">
        <f>IFERROR(__xludf.DUMMYFUNCTION("""COMPUTED_VALUE"""),15.64)</f>
        <v>15.64</v>
      </c>
      <c r="F787" s="2"/>
      <c r="G787" s="2"/>
      <c r="H787" s="2"/>
      <c r="I787" s="2"/>
    </row>
    <row r="788">
      <c r="A788" s="2">
        <f>IFERROR(__xludf.DUMMYFUNCTION("""COMPUTED_VALUE"""),122303.0)</f>
        <v>122303</v>
      </c>
      <c r="B788" s="2" t="str">
        <f>IFERROR(__xludf.DUMMYFUNCTION("""COMPUTED_VALUE"""),"Fiction")</f>
        <v>Fiction</v>
      </c>
      <c r="C788" s="2" t="str">
        <f>IFERROR(__xludf.DUMMYFUNCTION("""COMPUTED_VALUE"""),"Medieval History")</f>
        <v>Medieval History</v>
      </c>
      <c r="D788" s="2" t="str">
        <f>IFERROR(__xludf.DUMMYFUNCTION("""COMPUTED_VALUE"""),"Heritage Harbor Books")</f>
        <v>Heritage Harbor Books</v>
      </c>
      <c r="E788" s="2">
        <f>IFERROR(__xludf.DUMMYFUNCTION("""COMPUTED_VALUE"""),3.19)</f>
        <v>3.19</v>
      </c>
      <c r="F788" s="2"/>
      <c r="G788" s="2"/>
      <c r="H788" s="2"/>
      <c r="I788" s="2"/>
    </row>
    <row r="789">
      <c r="A789" s="2">
        <f>IFERROR(__xludf.DUMMYFUNCTION("""COMPUTED_VALUE"""),110716.0)</f>
        <v>110716</v>
      </c>
      <c r="B789" s="2" t="str">
        <f>IFERROR(__xludf.DUMMYFUNCTION("""COMPUTED_VALUE"""),"Fiction")</f>
        <v>Fiction</v>
      </c>
      <c r="C789" s="2" t="str">
        <f>IFERROR(__xludf.DUMMYFUNCTION("""COMPUTED_VALUE"""),"Medieval History")</f>
        <v>Medieval History</v>
      </c>
      <c r="D789" s="2" t="str">
        <f>IFERROR(__xludf.DUMMYFUNCTION("""COMPUTED_VALUE"""),"Heritage Harbor Books")</f>
        <v>Heritage Harbor Books</v>
      </c>
      <c r="E789" s="2">
        <f>IFERROR(__xludf.DUMMYFUNCTION("""COMPUTED_VALUE"""),10.96)</f>
        <v>10.96</v>
      </c>
      <c r="F789" s="2"/>
      <c r="G789" s="2"/>
      <c r="H789" s="2"/>
      <c r="I789" s="2"/>
    </row>
    <row r="790">
      <c r="A790" s="2">
        <f>IFERROR(__xludf.DUMMYFUNCTION("""COMPUTED_VALUE"""),9480.0)</f>
        <v>9480</v>
      </c>
      <c r="B790" s="2" t="str">
        <f>IFERROR(__xludf.DUMMYFUNCTION("""COMPUTED_VALUE"""),"Fiction")</f>
        <v>Fiction</v>
      </c>
      <c r="C790" s="2" t="str">
        <f>IFERROR(__xludf.DUMMYFUNCTION("""COMPUTED_VALUE"""),"Medieval History")</f>
        <v>Medieval History</v>
      </c>
      <c r="D790" s="2" t="str">
        <f>IFERROR(__xludf.DUMMYFUNCTION("""COMPUTED_VALUE"""),"Heritage Harbor Books")</f>
        <v>Heritage Harbor Books</v>
      </c>
      <c r="E790" s="2">
        <f>IFERROR(__xludf.DUMMYFUNCTION("""COMPUTED_VALUE"""),2.89)</f>
        <v>2.89</v>
      </c>
      <c r="F790" s="2"/>
      <c r="G790" s="2"/>
      <c r="H790" s="2"/>
      <c r="I790" s="2"/>
    </row>
    <row r="791">
      <c r="A791" s="2">
        <f>IFERROR(__xludf.DUMMYFUNCTION("""COMPUTED_VALUE"""),113920.0)</f>
        <v>113920</v>
      </c>
      <c r="B791" s="2" t="str">
        <f>IFERROR(__xludf.DUMMYFUNCTION("""COMPUTED_VALUE"""),"Fiction")</f>
        <v>Fiction</v>
      </c>
      <c r="C791" s="2" t="str">
        <f>IFERROR(__xludf.DUMMYFUNCTION("""COMPUTED_VALUE"""),"Medieval History")</f>
        <v>Medieval History</v>
      </c>
      <c r="D791" s="2" t="str">
        <f>IFERROR(__xludf.DUMMYFUNCTION("""COMPUTED_VALUE"""),"Heritage Harbor Books")</f>
        <v>Heritage Harbor Books</v>
      </c>
      <c r="E791" s="2">
        <f>IFERROR(__xludf.DUMMYFUNCTION("""COMPUTED_VALUE"""),2.38)</f>
        <v>2.38</v>
      </c>
      <c r="F791" s="2"/>
      <c r="G791" s="2"/>
      <c r="H791" s="2"/>
      <c r="I791" s="2"/>
    </row>
    <row r="792">
      <c r="A792" s="2">
        <f>IFERROR(__xludf.DUMMYFUNCTION("""COMPUTED_VALUE"""),166088.0)</f>
        <v>166088</v>
      </c>
      <c r="B792" s="2" t="str">
        <f>IFERROR(__xludf.DUMMYFUNCTION("""COMPUTED_VALUE"""),"Fiction")</f>
        <v>Fiction</v>
      </c>
      <c r="C792" s="2" t="str">
        <f>IFERROR(__xludf.DUMMYFUNCTION("""COMPUTED_VALUE"""),"Medieval History")</f>
        <v>Medieval History</v>
      </c>
      <c r="D792" s="2" t="str">
        <f>IFERROR(__xludf.DUMMYFUNCTION("""COMPUTED_VALUE"""),"Suncrest Press")</f>
        <v>Suncrest Press</v>
      </c>
      <c r="E792" s="2">
        <f>IFERROR(__xludf.DUMMYFUNCTION("""COMPUTED_VALUE"""),4.32)</f>
        <v>4.32</v>
      </c>
      <c r="F792" s="2"/>
      <c r="G792" s="2"/>
      <c r="H792" s="2"/>
      <c r="I792" s="2"/>
    </row>
    <row r="793">
      <c r="A793" s="2">
        <f>IFERROR(__xludf.DUMMYFUNCTION("""COMPUTED_VALUE"""),122712.0)</f>
        <v>122712</v>
      </c>
      <c r="B793" s="2" t="str">
        <f>IFERROR(__xludf.DUMMYFUNCTION("""COMPUTED_VALUE"""),"Fiction")</f>
        <v>Fiction</v>
      </c>
      <c r="C793" s="2" t="str">
        <f>IFERROR(__xludf.DUMMYFUNCTION("""COMPUTED_VALUE"""),"Medieval History")</f>
        <v>Medieval History</v>
      </c>
      <c r="D793" s="2" t="str">
        <f>IFERROR(__xludf.DUMMYFUNCTION("""COMPUTED_VALUE"""),"Suncrest Press")</f>
        <v>Suncrest Press</v>
      </c>
      <c r="E793" s="2">
        <f>IFERROR(__xludf.DUMMYFUNCTION("""COMPUTED_VALUE"""),1.8)</f>
        <v>1.8</v>
      </c>
      <c r="F793" s="2"/>
      <c r="G793" s="2"/>
      <c r="H793" s="2"/>
      <c r="I793" s="2"/>
    </row>
    <row r="794">
      <c r="A794" s="2">
        <f>IFERROR(__xludf.DUMMYFUNCTION("""COMPUTED_VALUE"""),86523.0)</f>
        <v>86523</v>
      </c>
      <c r="B794" s="2" t="str">
        <f>IFERROR(__xludf.DUMMYFUNCTION("""COMPUTED_VALUE"""),"Fiction")</f>
        <v>Fiction</v>
      </c>
      <c r="C794" s="2" t="str">
        <f>IFERROR(__xludf.DUMMYFUNCTION("""COMPUTED_VALUE"""),"Medieval History")</f>
        <v>Medieval History</v>
      </c>
      <c r="D794" s="2" t="str">
        <f>IFERROR(__xludf.DUMMYFUNCTION("""COMPUTED_VALUE"""),"Suncrest Press")</f>
        <v>Suncrest Press</v>
      </c>
      <c r="E794" s="2">
        <f>IFERROR(__xludf.DUMMYFUNCTION("""COMPUTED_VALUE"""),0.81)</f>
        <v>0.81</v>
      </c>
      <c r="F794" s="2"/>
      <c r="G794" s="2"/>
      <c r="H794" s="2"/>
      <c r="I794" s="2"/>
    </row>
    <row r="795">
      <c r="A795" s="2">
        <f>IFERROR(__xludf.DUMMYFUNCTION("""COMPUTED_VALUE"""),106773.0)</f>
        <v>106773</v>
      </c>
      <c r="B795" s="2" t="str">
        <f>IFERROR(__xludf.DUMMYFUNCTION("""COMPUTED_VALUE"""),"Fiction")</f>
        <v>Fiction</v>
      </c>
      <c r="C795" s="2" t="str">
        <f>IFERROR(__xludf.DUMMYFUNCTION("""COMPUTED_VALUE"""),"Medieval History")</f>
        <v>Medieval History</v>
      </c>
      <c r="D795" s="2" t="str">
        <f>IFERROR(__xludf.DUMMYFUNCTION("""COMPUTED_VALUE"""),"Suncrest Press")</f>
        <v>Suncrest Press</v>
      </c>
      <c r="E795" s="2">
        <f>IFERROR(__xludf.DUMMYFUNCTION("""COMPUTED_VALUE"""),1.77)</f>
        <v>1.77</v>
      </c>
      <c r="F795" s="2"/>
      <c r="G795" s="2"/>
      <c r="H795" s="2"/>
      <c r="I795" s="2"/>
    </row>
    <row r="796">
      <c r="A796" s="2">
        <f>IFERROR(__xludf.DUMMYFUNCTION("""COMPUTED_VALUE"""),128356.0)</f>
        <v>128356</v>
      </c>
      <c r="B796" s="2" t="str">
        <f>IFERROR(__xludf.DUMMYFUNCTION("""COMPUTED_VALUE"""),"Fiction")</f>
        <v>Fiction</v>
      </c>
      <c r="C796" s="2" t="str">
        <f>IFERROR(__xludf.DUMMYFUNCTION("""COMPUTED_VALUE"""),"Medieval History")</f>
        <v>Medieval History</v>
      </c>
      <c r="D796" s="2" t="str">
        <f>IFERROR(__xludf.DUMMYFUNCTION("""COMPUTED_VALUE"""),"Suncrest Press")</f>
        <v>Suncrest Press</v>
      </c>
      <c r="E796" s="2">
        <f>IFERROR(__xludf.DUMMYFUNCTION("""COMPUTED_VALUE"""),3.73)</f>
        <v>3.73</v>
      </c>
      <c r="F796" s="2"/>
      <c r="G796" s="2"/>
      <c r="H796" s="2"/>
      <c r="I796" s="2"/>
    </row>
    <row r="797">
      <c r="A797" s="2">
        <f>IFERROR(__xludf.DUMMYFUNCTION("""COMPUTED_VALUE"""),28897.0)</f>
        <v>28897</v>
      </c>
      <c r="B797" s="2" t="str">
        <f>IFERROR(__xludf.DUMMYFUNCTION("""COMPUTED_VALUE"""),"Fiction")</f>
        <v>Fiction</v>
      </c>
      <c r="C797" s="2" t="str">
        <f>IFERROR(__xludf.DUMMYFUNCTION("""COMPUTED_VALUE"""),"Medieval History")</f>
        <v>Medieval History</v>
      </c>
      <c r="D797" s="2" t="str">
        <f>IFERROR(__xludf.DUMMYFUNCTION("""COMPUTED_VALUE"""),"Suncrest Press")</f>
        <v>Suncrest Press</v>
      </c>
      <c r="E797" s="2">
        <f>IFERROR(__xludf.DUMMYFUNCTION("""COMPUTED_VALUE"""),1.3)</f>
        <v>1.3</v>
      </c>
      <c r="F797" s="2"/>
      <c r="G797" s="2"/>
      <c r="H797" s="2"/>
      <c r="I797" s="2"/>
    </row>
    <row r="798">
      <c r="A798" s="2">
        <f>IFERROR(__xludf.DUMMYFUNCTION("""COMPUTED_VALUE"""),181502.0)</f>
        <v>181502</v>
      </c>
      <c r="B798" s="2" t="str">
        <f>IFERROR(__xludf.DUMMYFUNCTION("""COMPUTED_VALUE"""),"Fiction")</f>
        <v>Fiction</v>
      </c>
      <c r="C798" s="2" t="str">
        <f>IFERROR(__xludf.DUMMYFUNCTION("""COMPUTED_VALUE"""),"Medieval History")</f>
        <v>Medieval History</v>
      </c>
      <c r="D798" s="2" t="str">
        <f>IFERROR(__xludf.DUMMYFUNCTION("""COMPUTED_VALUE"""),"Suncrest Press")</f>
        <v>Suncrest Press</v>
      </c>
      <c r="E798" s="2">
        <f>IFERROR(__xludf.DUMMYFUNCTION("""COMPUTED_VALUE"""),9.85)</f>
        <v>9.85</v>
      </c>
      <c r="F798" s="2"/>
      <c r="G798" s="2"/>
      <c r="H798" s="2"/>
      <c r="I798" s="2"/>
    </row>
    <row r="799">
      <c r="A799" s="2">
        <f>IFERROR(__xludf.DUMMYFUNCTION("""COMPUTED_VALUE"""),13368.0)</f>
        <v>13368</v>
      </c>
      <c r="B799" s="2" t="str">
        <f>IFERROR(__xludf.DUMMYFUNCTION("""COMPUTED_VALUE"""),"Fiction")</f>
        <v>Fiction</v>
      </c>
      <c r="C799" s="2" t="str">
        <f>IFERROR(__xludf.DUMMYFUNCTION("""COMPUTED_VALUE"""),"Medieval History")</f>
        <v>Medieval History</v>
      </c>
      <c r="D799" s="2" t="str">
        <f>IFERROR(__xludf.DUMMYFUNCTION("""COMPUTED_VALUE"""),"Suncrest Press")</f>
        <v>Suncrest Press</v>
      </c>
      <c r="E799" s="2">
        <f>IFERROR(__xludf.DUMMYFUNCTION("""COMPUTED_VALUE"""),1.25)</f>
        <v>1.25</v>
      </c>
      <c r="F799" s="2"/>
      <c r="G799" s="2"/>
      <c r="H799" s="2"/>
      <c r="I799" s="2"/>
    </row>
    <row r="800">
      <c r="A800" s="2">
        <f>IFERROR(__xludf.DUMMYFUNCTION("""COMPUTED_VALUE"""),105178.0)</f>
        <v>105178</v>
      </c>
      <c r="B800" s="2" t="str">
        <f>IFERROR(__xludf.DUMMYFUNCTION("""COMPUTED_VALUE"""),"Fiction")</f>
        <v>Fiction</v>
      </c>
      <c r="C800" s="2" t="str">
        <f>IFERROR(__xludf.DUMMYFUNCTION("""COMPUTED_VALUE"""),"Medieval History")</f>
        <v>Medieval History</v>
      </c>
      <c r="D800" s="2" t="str">
        <f>IFERROR(__xludf.DUMMYFUNCTION("""COMPUTED_VALUE"""),"Suncrest Press")</f>
        <v>Suncrest Press</v>
      </c>
      <c r="E800" s="2">
        <f>IFERROR(__xludf.DUMMYFUNCTION("""COMPUTED_VALUE"""),1.27)</f>
        <v>1.27</v>
      </c>
      <c r="F800" s="2"/>
      <c r="G800" s="2"/>
      <c r="H800" s="2"/>
      <c r="I800" s="2"/>
    </row>
    <row r="801">
      <c r="A801" s="2">
        <f>IFERROR(__xludf.DUMMYFUNCTION("""COMPUTED_VALUE"""),158445.0)</f>
        <v>158445</v>
      </c>
      <c r="B801" s="2" t="str">
        <f>IFERROR(__xludf.DUMMYFUNCTION("""COMPUTED_VALUE"""),"Fiction")</f>
        <v>Fiction</v>
      </c>
      <c r="C801" s="2" t="str">
        <f>IFERROR(__xludf.DUMMYFUNCTION("""COMPUTED_VALUE"""),"Medieval History")</f>
        <v>Medieval History</v>
      </c>
      <c r="D801" s="2" t="str">
        <f>IFERROR(__xludf.DUMMYFUNCTION("""COMPUTED_VALUE"""),"Suncrest Press")</f>
        <v>Suncrest Press</v>
      </c>
      <c r="E801" s="2">
        <f>IFERROR(__xludf.DUMMYFUNCTION("""COMPUTED_VALUE"""),0.86)</f>
        <v>0.86</v>
      </c>
      <c r="F801" s="2"/>
      <c r="G801" s="2"/>
      <c r="H801" s="2"/>
      <c r="I801" s="2"/>
    </row>
    <row r="802">
      <c r="A802" s="2">
        <f>IFERROR(__xludf.DUMMYFUNCTION("""COMPUTED_VALUE"""),105861.0)</f>
        <v>105861</v>
      </c>
      <c r="B802" s="2" t="str">
        <f>IFERROR(__xludf.DUMMYFUNCTION("""COMPUTED_VALUE"""),"Fiction")</f>
        <v>Fiction</v>
      </c>
      <c r="C802" s="2" t="str">
        <f>IFERROR(__xludf.DUMMYFUNCTION("""COMPUTED_VALUE"""),"Medieval History")</f>
        <v>Medieval History</v>
      </c>
      <c r="D802" s="2" t="str">
        <f>IFERROR(__xludf.DUMMYFUNCTION("""COMPUTED_VALUE"""),"Suncrest Press")</f>
        <v>Suncrest Press</v>
      </c>
      <c r="E802" s="2">
        <f>IFERROR(__xludf.DUMMYFUNCTION("""COMPUTED_VALUE"""),1.29)</f>
        <v>1.29</v>
      </c>
      <c r="F802" s="2"/>
      <c r="G802" s="2"/>
      <c r="H802" s="2"/>
      <c r="I802" s="2"/>
    </row>
    <row r="803">
      <c r="A803" s="2">
        <f>IFERROR(__xludf.DUMMYFUNCTION("""COMPUTED_VALUE"""),28668.0)</f>
        <v>28668</v>
      </c>
      <c r="B803" s="2" t="str">
        <f>IFERROR(__xludf.DUMMYFUNCTION("""COMPUTED_VALUE"""),"Fiction")</f>
        <v>Fiction</v>
      </c>
      <c r="C803" s="2" t="str">
        <f>IFERROR(__xludf.DUMMYFUNCTION("""COMPUTED_VALUE"""),"Medieval History")</f>
        <v>Medieval History</v>
      </c>
      <c r="D803" s="2" t="str">
        <f>IFERROR(__xludf.DUMMYFUNCTION("""COMPUTED_VALUE"""),"Suncrest Press")</f>
        <v>Suncrest Press</v>
      </c>
      <c r="E803" s="2">
        <f>IFERROR(__xludf.DUMMYFUNCTION("""COMPUTED_VALUE"""),1.41)</f>
        <v>1.41</v>
      </c>
      <c r="F803" s="2"/>
      <c r="G803" s="2"/>
      <c r="H803" s="2"/>
      <c r="I803" s="2"/>
    </row>
    <row r="804">
      <c r="A804" s="2">
        <f>IFERROR(__xludf.DUMMYFUNCTION("""COMPUTED_VALUE"""),28661.0)</f>
        <v>28661</v>
      </c>
      <c r="B804" s="2" t="str">
        <f>IFERROR(__xludf.DUMMYFUNCTION("""COMPUTED_VALUE"""),"Fiction")</f>
        <v>Fiction</v>
      </c>
      <c r="C804" s="2" t="str">
        <f>IFERROR(__xludf.DUMMYFUNCTION("""COMPUTED_VALUE"""),"Medieval History")</f>
        <v>Medieval History</v>
      </c>
      <c r="D804" s="2" t="str">
        <f>IFERROR(__xludf.DUMMYFUNCTION("""COMPUTED_VALUE"""),"Suncrest Press")</f>
        <v>Suncrest Press</v>
      </c>
      <c r="E804" s="2">
        <f>IFERROR(__xludf.DUMMYFUNCTION("""COMPUTED_VALUE"""),1.22)</f>
        <v>1.22</v>
      </c>
      <c r="F804" s="2"/>
      <c r="G804" s="2"/>
      <c r="H804" s="2"/>
      <c r="I804" s="2"/>
    </row>
    <row r="805">
      <c r="A805" s="2">
        <f>IFERROR(__xludf.DUMMYFUNCTION("""COMPUTED_VALUE"""),13349.0)</f>
        <v>13349</v>
      </c>
      <c r="B805" s="2" t="str">
        <f>IFERROR(__xludf.DUMMYFUNCTION("""COMPUTED_VALUE"""),"Fiction")</f>
        <v>Fiction</v>
      </c>
      <c r="C805" s="2" t="str">
        <f>IFERROR(__xludf.DUMMYFUNCTION("""COMPUTED_VALUE"""),"Medieval History")</f>
        <v>Medieval History</v>
      </c>
      <c r="D805" s="2" t="str">
        <f>IFERROR(__xludf.DUMMYFUNCTION("""COMPUTED_VALUE"""),"Suncrest Press")</f>
        <v>Suncrest Press</v>
      </c>
      <c r="E805" s="2">
        <f>IFERROR(__xludf.DUMMYFUNCTION("""COMPUTED_VALUE"""),1.74)</f>
        <v>1.74</v>
      </c>
      <c r="F805" s="2"/>
      <c r="G805" s="2"/>
      <c r="H805" s="2"/>
      <c r="I805" s="2"/>
    </row>
    <row r="806">
      <c r="A806" s="2">
        <f>IFERROR(__xludf.DUMMYFUNCTION("""COMPUTED_VALUE"""),1634.0)</f>
        <v>1634</v>
      </c>
      <c r="B806" s="2" t="str">
        <f>IFERROR(__xludf.DUMMYFUNCTION("""COMPUTED_VALUE"""),"Fiction")</f>
        <v>Fiction</v>
      </c>
      <c r="C806" s="2" t="str">
        <f>IFERROR(__xludf.DUMMYFUNCTION("""COMPUTED_VALUE"""),"Medieval History")</f>
        <v>Medieval History</v>
      </c>
      <c r="D806" s="2" t="str">
        <f>IFERROR(__xludf.DUMMYFUNCTION("""COMPUTED_VALUE"""),"Suncrest Press")</f>
        <v>Suncrest Press</v>
      </c>
      <c r="E806" s="2">
        <f>IFERROR(__xludf.DUMMYFUNCTION("""COMPUTED_VALUE"""),1.14)</f>
        <v>1.14</v>
      </c>
      <c r="F806" s="2"/>
      <c r="G806" s="2"/>
      <c r="H806" s="2"/>
      <c r="I806" s="2"/>
    </row>
    <row r="807">
      <c r="A807" s="2">
        <f>IFERROR(__xludf.DUMMYFUNCTION("""COMPUTED_VALUE"""),86524.0)</f>
        <v>86524</v>
      </c>
      <c r="B807" s="2" t="str">
        <f>IFERROR(__xludf.DUMMYFUNCTION("""COMPUTED_VALUE"""),"Fiction")</f>
        <v>Fiction</v>
      </c>
      <c r="C807" s="2" t="str">
        <f>IFERROR(__xludf.DUMMYFUNCTION("""COMPUTED_VALUE"""),"Medieval History")</f>
        <v>Medieval History</v>
      </c>
      <c r="D807" s="2" t="str">
        <f>IFERROR(__xludf.DUMMYFUNCTION("""COMPUTED_VALUE"""),"Suncrest Press")</f>
        <v>Suncrest Press</v>
      </c>
      <c r="E807" s="2">
        <f>IFERROR(__xludf.DUMMYFUNCTION("""COMPUTED_VALUE"""),0.53)</f>
        <v>0.53</v>
      </c>
      <c r="F807" s="2"/>
      <c r="G807" s="2"/>
      <c r="H807" s="2"/>
      <c r="I807" s="2"/>
    </row>
    <row r="808">
      <c r="A808" s="2">
        <f>IFERROR(__xludf.DUMMYFUNCTION("""COMPUTED_VALUE"""),86531.0)</f>
        <v>86531</v>
      </c>
      <c r="B808" s="2" t="str">
        <f>IFERROR(__xludf.DUMMYFUNCTION("""COMPUTED_VALUE"""),"Fiction")</f>
        <v>Fiction</v>
      </c>
      <c r="C808" s="2" t="str">
        <f>IFERROR(__xludf.DUMMYFUNCTION("""COMPUTED_VALUE"""),"Medieval History")</f>
        <v>Medieval History</v>
      </c>
      <c r="D808" s="2" t="str">
        <f>IFERROR(__xludf.DUMMYFUNCTION("""COMPUTED_VALUE"""),"Suncrest Press")</f>
        <v>Suncrest Press</v>
      </c>
      <c r="E808" s="2">
        <f>IFERROR(__xludf.DUMMYFUNCTION("""COMPUTED_VALUE"""),0.57)</f>
        <v>0.57</v>
      </c>
      <c r="F808" s="2"/>
      <c r="G808" s="2"/>
      <c r="H808" s="2"/>
      <c r="I808" s="2"/>
    </row>
    <row r="809">
      <c r="A809" s="2">
        <f>IFERROR(__xludf.DUMMYFUNCTION("""COMPUTED_VALUE"""),95210.0)</f>
        <v>95210</v>
      </c>
      <c r="B809" s="2" t="str">
        <f>IFERROR(__xludf.DUMMYFUNCTION("""COMPUTED_VALUE"""),"Fiction")</f>
        <v>Fiction</v>
      </c>
      <c r="C809" s="2" t="str">
        <f>IFERROR(__xludf.DUMMYFUNCTION("""COMPUTED_VALUE"""),"Medieval History")</f>
        <v>Medieval History</v>
      </c>
      <c r="D809" s="2" t="str">
        <f>IFERROR(__xludf.DUMMYFUNCTION("""COMPUTED_VALUE"""),"Suncrest Press")</f>
        <v>Suncrest Press</v>
      </c>
      <c r="E809" s="2">
        <f>IFERROR(__xludf.DUMMYFUNCTION("""COMPUTED_VALUE"""),2.14)</f>
        <v>2.14</v>
      </c>
      <c r="F809" s="2"/>
      <c r="G809" s="2"/>
      <c r="H809" s="2"/>
      <c r="I809" s="2"/>
    </row>
    <row r="810">
      <c r="A810" s="2">
        <f>IFERROR(__xludf.DUMMYFUNCTION("""COMPUTED_VALUE"""),158450.0)</f>
        <v>158450</v>
      </c>
      <c r="B810" s="2" t="str">
        <f>IFERROR(__xludf.DUMMYFUNCTION("""COMPUTED_VALUE"""),"Fiction")</f>
        <v>Fiction</v>
      </c>
      <c r="C810" s="2" t="str">
        <f>IFERROR(__xludf.DUMMYFUNCTION("""COMPUTED_VALUE"""),"Medieval History")</f>
        <v>Medieval History</v>
      </c>
      <c r="D810" s="2" t="str">
        <f>IFERROR(__xludf.DUMMYFUNCTION("""COMPUTED_VALUE"""),"Suncrest Press")</f>
        <v>Suncrest Press</v>
      </c>
      <c r="E810" s="2">
        <f>IFERROR(__xludf.DUMMYFUNCTION("""COMPUTED_VALUE"""),4.17)</f>
        <v>4.17</v>
      </c>
      <c r="F810" s="2"/>
      <c r="G810" s="2"/>
      <c r="H810" s="2"/>
      <c r="I810" s="2"/>
    </row>
    <row r="811">
      <c r="A811" s="2">
        <f>IFERROR(__xludf.DUMMYFUNCTION("""COMPUTED_VALUE"""),103080.0)</f>
        <v>103080</v>
      </c>
      <c r="B811" s="2" t="str">
        <f>IFERROR(__xludf.DUMMYFUNCTION("""COMPUTED_VALUE"""),"Fiction")</f>
        <v>Fiction</v>
      </c>
      <c r="C811" s="2" t="str">
        <f>IFERROR(__xludf.DUMMYFUNCTION("""COMPUTED_VALUE"""),"Medieval History")</f>
        <v>Medieval History</v>
      </c>
      <c r="D811" s="2" t="str">
        <f>IFERROR(__xludf.DUMMYFUNCTION("""COMPUTED_VALUE"""),"Suncrest Press")</f>
        <v>Suncrest Press</v>
      </c>
      <c r="E811" s="2">
        <f>IFERROR(__xludf.DUMMYFUNCTION("""COMPUTED_VALUE"""),0.55)</f>
        <v>0.55</v>
      </c>
      <c r="F811" s="2"/>
      <c r="G811" s="2"/>
      <c r="H811" s="2"/>
      <c r="I811" s="2"/>
    </row>
    <row r="812">
      <c r="A812" s="2">
        <f>IFERROR(__xludf.DUMMYFUNCTION("""COMPUTED_VALUE"""),121067.0)</f>
        <v>121067</v>
      </c>
      <c r="B812" s="2" t="str">
        <f>IFERROR(__xludf.DUMMYFUNCTION("""COMPUTED_VALUE"""),"Fiction")</f>
        <v>Fiction</v>
      </c>
      <c r="C812" s="2" t="str">
        <f>IFERROR(__xludf.DUMMYFUNCTION("""COMPUTED_VALUE"""),"Medieval History")</f>
        <v>Medieval History</v>
      </c>
      <c r="D812" s="2" t="str">
        <f>IFERROR(__xludf.DUMMYFUNCTION("""COMPUTED_VALUE"""),"Suncrest Press")</f>
        <v>Suncrest Press</v>
      </c>
      <c r="E812" s="2">
        <f>IFERROR(__xludf.DUMMYFUNCTION("""COMPUTED_VALUE"""),4.06)</f>
        <v>4.06</v>
      </c>
      <c r="F812" s="2"/>
      <c r="G812" s="2"/>
      <c r="H812" s="2"/>
      <c r="I812" s="2"/>
    </row>
    <row r="813">
      <c r="A813" s="2">
        <f>IFERROR(__xludf.DUMMYFUNCTION("""COMPUTED_VALUE"""),41513.0)</f>
        <v>41513</v>
      </c>
      <c r="B813" s="2" t="str">
        <f>IFERROR(__xludf.DUMMYFUNCTION("""COMPUTED_VALUE"""),"Fiction")</f>
        <v>Fiction</v>
      </c>
      <c r="C813" s="2" t="str">
        <f>IFERROR(__xludf.DUMMYFUNCTION("""COMPUTED_VALUE"""),"Medieval History")</f>
        <v>Medieval History</v>
      </c>
      <c r="D813" s="2" t="str">
        <f>IFERROR(__xludf.DUMMYFUNCTION("""COMPUTED_VALUE"""),"Suncrest Press")</f>
        <v>Suncrest Press</v>
      </c>
      <c r="E813" s="2">
        <f>IFERROR(__xludf.DUMMYFUNCTION("""COMPUTED_VALUE"""),4.04)</f>
        <v>4.04</v>
      </c>
      <c r="F813" s="2"/>
      <c r="G813" s="2"/>
      <c r="H813" s="2"/>
      <c r="I813" s="2"/>
    </row>
    <row r="814">
      <c r="A814" s="2">
        <f>IFERROR(__xludf.DUMMYFUNCTION("""COMPUTED_VALUE"""),166089.0)</f>
        <v>166089</v>
      </c>
      <c r="B814" s="2" t="str">
        <f>IFERROR(__xludf.DUMMYFUNCTION("""COMPUTED_VALUE"""),"Fiction")</f>
        <v>Fiction</v>
      </c>
      <c r="C814" s="2" t="str">
        <f>IFERROR(__xludf.DUMMYFUNCTION("""COMPUTED_VALUE"""),"Medieval History")</f>
        <v>Medieval History</v>
      </c>
      <c r="D814" s="2" t="str">
        <f>IFERROR(__xludf.DUMMYFUNCTION("""COMPUTED_VALUE"""),"Suncrest Press")</f>
        <v>Suncrest Press</v>
      </c>
      <c r="E814" s="2">
        <f>IFERROR(__xludf.DUMMYFUNCTION("""COMPUTED_VALUE"""),4.29)</f>
        <v>4.29</v>
      </c>
      <c r="F814" s="2"/>
      <c r="G814" s="2"/>
      <c r="H814" s="2"/>
      <c r="I814" s="2"/>
    </row>
    <row r="815">
      <c r="A815" s="2">
        <f>IFERROR(__xludf.DUMMYFUNCTION("""COMPUTED_VALUE"""),26446.0)</f>
        <v>26446</v>
      </c>
      <c r="B815" s="2" t="str">
        <f>IFERROR(__xludf.DUMMYFUNCTION("""COMPUTED_VALUE"""),"Fiction")</f>
        <v>Fiction</v>
      </c>
      <c r="C815" s="2" t="str">
        <f>IFERROR(__xludf.DUMMYFUNCTION("""COMPUTED_VALUE"""),"Medieval History")</f>
        <v>Medieval History</v>
      </c>
      <c r="D815" s="2" t="str">
        <f>IFERROR(__xludf.DUMMYFUNCTION("""COMPUTED_VALUE"""),"Suncrest Press")</f>
        <v>Suncrest Press</v>
      </c>
      <c r="E815" s="2">
        <f>IFERROR(__xludf.DUMMYFUNCTION("""COMPUTED_VALUE"""),1.34)</f>
        <v>1.34</v>
      </c>
      <c r="F815" s="2"/>
      <c r="G815" s="2"/>
      <c r="H815" s="2"/>
      <c r="I815" s="2"/>
    </row>
    <row r="816">
      <c r="A816" s="2">
        <f>IFERROR(__xludf.DUMMYFUNCTION("""COMPUTED_VALUE"""),13350.0)</f>
        <v>13350</v>
      </c>
      <c r="B816" s="2" t="str">
        <f>IFERROR(__xludf.DUMMYFUNCTION("""COMPUTED_VALUE"""),"Fiction")</f>
        <v>Fiction</v>
      </c>
      <c r="C816" s="2" t="str">
        <f>IFERROR(__xludf.DUMMYFUNCTION("""COMPUTED_VALUE"""),"Medieval History")</f>
        <v>Medieval History</v>
      </c>
      <c r="D816" s="2" t="str">
        <f>IFERROR(__xludf.DUMMYFUNCTION("""COMPUTED_VALUE"""),"Suncrest Press")</f>
        <v>Suncrest Press</v>
      </c>
      <c r="E816" s="2">
        <f>IFERROR(__xludf.DUMMYFUNCTION("""COMPUTED_VALUE"""),1.05)</f>
        <v>1.05</v>
      </c>
      <c r="F816" s="2"/>
      <c r="G816" s="2"/>
      <c r="H816" s="2"/>
      <c r="I816" s="2"/>
    </row>
    <row r="817">
      <c r="A817" s="2">
        <f>IFERROR(__xludf.DUMMYFUNCTION("""COMPUTED_VALUE"""),111728.0)</f>
        <v>111728</v>
      </c>
      <c r="B817" s="2" t="str">
        <f>IFERROR(__xludf.DUMMYFUNCTION("""COMPUTED_VALUE"""),"Fiction")</f>
        <v>Fiction</v>
      </c>
      <c r="C817" s="2" t="str">
        <f>IFERROR(__xludf.DUMMYFUNCTION("""COMPUTED_VALUE"""),"Medieval History")</f>
        <v>Medieval History</v>
      </c>
      <c r="D817" s="2" t="str">
        <f>IFERROR(__xludf.DUMMYFUNCTION("""COMPUTED_VALUE"""),"Suncrest Press")</f>
        <v>Suncrest Press</v>
      </c>
      <c r="E817" s="2">
        <f>IFERROR(__xludf.DUMMYFUNCTION("""COMPUTED_VALUE"""),5.0)</f>
        <v>5</v>
      </c>
      <c r="F817" s="2"/>
      <c r="G817" s="2"/>
      <c r="H817" s="2"/>
      <c r="I817" s="2"/>
    </row>
    <row r="818">
      <c r="A818" s="2">
        <f>IFERROR(__xludf.DUMMYFUNCTION("""COMPUTED_VALUE"""),28883.0)</f>
        <v>28883</v>
      </c>
      <c r="B818" s="2" t="str">
        <f>IFERROR(__xludf.DUMMYFUNCTION("""COMPUTED_VALUE"""),"Fiction")</f>
        <v>Fiction</v>
      </c>
      <c r="C818" s="2" t="str">
        <f>IFERROR(__xludf.DUMMYFUNCTION("""COMPUTED_VALUE"""),"Medieval History")</f>
        <v>Medieval History</v>
      </c>
      <c r="D818" s="2" t="str">
        <f>IFERROR(__xludf.DUMMYFUNCTION("""COMPUTED_VALUE"""),"Suncrest Press")</f>
        <v>Suncrest Press</v>
      </c>
      <c r="E818" s="2">
        <f>IFERROR(__xludf.DUMMYFUNCTION("""COMPUTED_VALUE"""),1.81)</f>
        <v>1.81</v>
      </c>
      <c r="F818" s="2"/>
      <c r="G818" s="2"/>
      <c r="H818" s="2"/>
      <c r="I818" s="2"/>
    </row>
    <row r="819">
      <c r="A819" s="2">
        <f>IFERROR(__xludf.DUMMYFUNCTION("""COMPUTED_VALUE"""),121068.0)</f>
        <v>121068</v>
      </c>
      <c r="B819" s="2" t="str">
        <f>IFERROR(__xludf.DUMMYFUNCTION("""COMPUTED_VALUE"""),"Fiction")</f>
        <v>Fiction</v>
      </c>
      <c r="C819" s="2" t="str">
        <f>IFERROR(__xludf.DUMMYFUNCTION("""COMPUTED_VALUE"""),"Medieval History")</f>
        <v>Medieval History</v>
      </c>
      <c r="D819" s="2" t="str">
        <f>IFERROR(__xludf.DUMMYFUNCTION("""COMPUTED_VALUE"""),"Suncrest Press")</f>
        <v>Suncrest Press</v>
      </c>
      <c r="E819" s="2">
        <f>IFERROR(__xludf.DUMMYFUNCTION("""COMPUTED_VALUE"""),7.33)</f>
        <v>7.33</v>
      </c>
      <c r="F819" s="2"/>
      <c r="G819" s="2"/>
      <c r="H819" s="2"/>
      <c r="I819" s="2"/>
    </row>
    <row r="820">
      <c r="A820" s="2">
        <f>IFERROR(__xludf.DUMMYFUNCTION("""COMPUTED_VALUE"""),181499.0)</f>
        <v>181499</v>
      </c>
      <c r="B820" s="2" t="str">
        <f>IFERROR(__xludf.DUMMYFUNCTION("""COMPUTED_VALUE"""),"Fiction")</f>
        <v>Fiction</v>
      </c>
      <c r="C820" s="2" t="str">
        <f>IFERROR(__xludf.DUMMYFUNCTION("""COMPUTED_VALUE"""),"Medieval History")</f>
        <v>Medieval History</v>
      </c>
      <c r="D820" s="2" t="str">
        <f>IFERROR(__xludf.DUMMYFUNCTION("""COMPUTED_VALUE"""),"Suncrest Press")</f>
        <v>Suncrest Press</v>
      </c>
      <c r="E820" s="2">
        <f>IFERROR(__xludf.DUMMYFUNCTION("""COMPUTED_VALUE"""),4.54)</f>
        <v>4.54</v>
      </c>
      <c r="F820" s="2"/>
      <c r="G820" s="2"/>
      <c r="H820" s="2"/>
      <c r="I820" s="2"/>
    </row>
    <row r="821">
      <c r="A821" s="2">
        <f>IFERROR(__xludf.DUMMYFUNCTION("""COMPUTED_VALUE"""),16097.0)</f>
        <v>16097</v>
      </c>
      <c r="B821" s="2" t="str">
        <f>IFERROR(__xludf.DUMMYFUNCTION("""COMPUTED_VALUE"""),"Fiction")</f>
        <v>Fiction</v>
      </c>
      <c r="C821" s="2" t="str">
        <f>IFERROR(__xludf.DUMMYFUNCTION("""COMPUTED_VALUE"""),"Medieval History")</f>
        <v>Medieval History</v>
      </c>
      <c r="D821" s="2" t="str">
        <f>IFERROR(__xludf.DUMMYFUNCTION("""COMPUTED_VALUE"""),"Suncrest Press")</f>
        <v>Suncrest Press</v>
      </c>
      <c r="E821" s="2">
        <f>IFERROR(__xludf.DUMMYFUNCTION("""COMPUTED_VALUE"""),1.3)</f>
        <v>1.3</v>
      </c>
      <c r="F821" s="2"/>
      <c r="G821" s="2"/>
      <c r="H821" s="2"/>
      <c r="I821" s="2"/>
    </row>
    <row r="822">
      <c r="A822" s="2">
        <f>IFERROR(__xludf.DUMMYFUNCTION("""COMPUTED_VALUE"""),117247.0)</f>
        <v>117247</v>
      </c>
      <c r="B822" s="2" t="str">
        <f>IFERROR(__xludf.DUMMYFUNCTION("""COMPUTED_VALUE"""),"Fiction")</f>
        <v>Fiction</v>
      </c>
      <c r="C822" s="2" t="str">
        <f>IFERROR(__xludf.DUMMYFUNCTION("""COMPUTED_VALUE"""),"Medieval History")</f>
        <v>Medieval History</v>
      </c>
      <c r="D822" s="2" t="str">
        <f>IFERROR(__xludf.DUMMYFUNCTION("""COMPUTED_VALUE"""),"Suncrest Press")</f>
        <v>Suncrest Press</v>
      </c>
      <c r="E822" s="2">
        <f>IFERROR(__xludf.DUMMYFUNCTION("""COMPUTED_VALUE"""),1.53)</f>
        <v>1.53</v>
      </c>
      <c r="F822" s="2"/>
      <c r="G822" s="2"/>
      <c r="H822" s="2"/>
      <c r="I822" s="2"/>
    </row>
    <row r="823">
      <c r="A823" s="2">
        <f>IFERROR(__xludf.DUMMYFUNCTION("""COMPUTED_VALUE"""),1732.0)</f>
        <v>1732</v>
      </c>
      <c r="B823" s="2" t="str">
        <f>IFERROR(__xludf.DUMMYFUNCTION("""COMPUTED_VALUE"""),"Fiction")</f>
        <v>Fiction</v>
      </c>
      <c r="C823" s="2" t="str">
        <f>IFERROR(__xludf.DUMMYFUNCTION("""COMPUTED_VALUE"""),"Medieval History")</f>
        <v>Medieval History</v>
      </c>
      <c r="D823" s="2" t="str">
        <f>IFERROR(__xludf.DUMMYFUNCTION("""COMPUTED_VALUE"""),"Suncrest Press")</f>
        <v>Suncrest Press</v>
      </c>
      <c r="E823" s="2">
        <f>IFERROR(__xludf.DUMMYFUNCTION("""COMPUTED_VALUE"""),1.44)</f>
        <v>1.44</v>
      </c>
      <c r="F823" s="2"/>
      <c r="G823" s="2"/>
      <c r="H823" s="2"/>
      <c r="I823" s="2"/>
    </row>
    <row r="824">
      <c r="A824" s="2">
        <f>IFERROR(__xludf.DUMMYFUNCTION("""COMPUTED_VALUE"""),105174.0)</f>
        <v>105174</v>
      </c>
      <c r="B824" s="2" t="str">
        <f>IFERROR(__xludf.DUMMYFUNCTION("""COMPUTED_VALUE"""),"Fiction")</f>
        <v>Fiction</v>
      </c>
      <c r="C824" s="2" t="str">
        <f>IFERROR(__xludf.DUMMYFUNCTION("""COMPUTED_VALUE"""),"Medieval History")</f>
        <v>Medieval History</v>
      </c>
      <c r="D824" s="2" t="str">
        <f>IFERROR(__xludf.DUMMYFUNCTION("""COMPUTED_VALUE"""),"Suncrest Press")</f>
        <v>Suncrest Press</v>
      </c>
      <c r="E824" s="2">
        <f>IFERROR(__xludf.DUMMYFUNCTION("""COMPUTED_VALUE"""),1.42)</f>
        <v>1.42</v>
      </c>
      <c r="F824" s="2"/>
      <c r="G824" s="2"/>
      <c r="H824" s="2"/>
      <c r="I824" s="2"/>
    </row>
    <row r="825">
      <c r="A825" s="2">
        <f>IFERROR(__xludf.DUMMYFUNCTION("""COMPUTED_VALUE"""),128357.0)</f>
        <v>128357</v>
      </c>
      <c r="B825" s="2" t="str">
        <f>IFERROR(__xludf.DUMMYFUNCTION("""COMPUTED_VALUE"""),"Fiction")</f>
        <v>Fiction</v>
      </c>
      <c r="C825" s="2" t="str">
        <f>IFERROR(__xludf.DUMMYFUNCTION("""COMPUTED_VALUE"""),"Medieval History")</f>
        <v>Medieval History</v>
      </c>
      <c r="D825" s="2" t="str">
        <f>IFERROR(__xludf.DUMMYFUNCTION("""COMPUTED_VALUE"""),"Suncrest Press")</f>
        <v>Suncrest Press</v>
      </c>
      <c r="E825" s="2">
        <f>IFERROR(__xludf.DUMMYFUNCTION("""COMPUTED_VALUE"""),3.51)</f>
        <v>3.51</v>
      </c>
      <c r="F825" s="2"/>
      <c r="G825" s="2"/>
      <c r="H825" s="2"/>
      <c r="I825" s="2"/>
    </row>
    <row r="826">
      <c r="A826" s="2">
        <f>IFERROR(__xludf.DUMMYFUNCTION("""COMPUTED_VALUE"""),166090.0)</f>
        <v>166090</v>
      </c>
      <c r="B826" s="2" t="str">
        <f>IFERROR(__xludf.DUMMYFUNCTION("""COMPUTED_VALUE"""),"Fiction")</f>
        <v>Fiction</v>
      </c>
      <c r="C826" s="2" t="str">
        <f>IFERROR(__xludf.DUMMYFUNCTION("""COMPUTED_VALUE"""),"Medieval History")</f>
        <v>Medieval History</v>
      </c>
      <c r="D826" s="2" t="str">
        <f>IFERROR(__xludf.DUMMYFUNCTION("""COMPUTED_VALUE"""),"Suncrest Press")</f>
        <v>Suncrest Press</v>
      </c>
      <c r="E826" s="2">
        <f>IFERROR(__xludf.DUMMYFUNCTION("""COMPUTED_VALUE"""),4.03)</f>
        <v>4.03</v>
      </c>
      <c r="F826" s="2"/>
      <c r="G826" s="2"/>
      <c r="H826" s="2"/>
      <c r="I826" s="2"/>
    </row>
    <row r="827">
      <c r="A827" s="2">
        <f>IFERROR(__xludf.DUMMYFUNCTION("""COMPUTED_VALUE"""),121070.0)</f>
        <v>121070</v>
      </c>
      <c r="B827" s="2" t="str">
        <f>IFERROR(__xludf.DUMMYFUNCTION("""COMPUTED_VALUE"""),"Fiction")</f>
        <v>Fiction</v>
      </c>
      <c r="C827" s="2" t="str">
        <f>IFERROR(__xludf.DUMMYFUNCTION("""COMPUTED_VALUE"""),"Medieval History")</f>
        <v>Medieval History</v>
      </c>
      <c r="D827" s="2" t="str">
        <f>IFERROR(__xludf.DUMMYFUNCTION("""COMPUTED_VALUE"""),"Suncrest Press")</f>
        <v>Suncrest Press</v>
      </c>
      <c r="E827" s="2">
        <f>IFERROR(__xludf.DUMMYFUNCTION("""COMPUTED_VALUE"""),4.0)</f>
        <v>4</v>
      </c>
      <c r="F827" s="2"/>
      <c r="G827" s="2"/>
      <c r="H827" s="2"/>
      <c r="I827" s="2"/>
    </row>
    <row r="828">
      <c r="A828" s="2">
        <f>IFERROR(__xludf.DUMMYFUNCTION("""COMPUTED_VALUE"""),80818.0)</f>
        <v>80818</v>
      </c>
      <c r="B828" s="2" t="str">
        <f>IFERROR(__xludf.DUMMYFUNCTION("""COMPUTED_VALUE"""),"Fiction")</f>
        <v>Fiction</v>
      </c>
      <c r="C828" s="2" t="str">
        <f>IFERROR(__xludf.DUMMYFUNCTION("""COMPUTED_VALUE"""),"Medieval History")</f>
        <v>Medieval History</v>
      </c>
      <c r="D828" s="2" t="str">
        <f>IFERROR(__xludf.DUMMYFUNCTION("""COMPUTED_VALUE"""),"Suncrest Press")</f>
        <v>Suncrest Press</v>
      </c>
      <c r="E828" s="2">
        <f>IFERROR(__xludf.DUMMYFUNCTION("""COMPUTED_VALUE"""),1.11)</f>
        <v>1.11</v>
      </c>
      <c r="F828" s="2"/>
      <c r="G828" s="2"/>
      <c r="H828" s="2"/>
      <c r="I828" s="2"/>
    </row>
    <row r="829">
      <c r="A829" s="2">
        <f>IFERROR(__xludf.DUMMYFUNCTION("""COMPUTED_VALUE"""),13367.0)</f>
        <v>13367</v>
      </c>
      <c r="B829" s="2" t="str">
        <f>IFERROR(__xludf.DUMMYFUNCTION("""COMPUTED_VALUE"""),"Fiction")</f>
        <v>Fiction</v>
      </c>
      <c r="C829" s="2" t="str">
        <f>IFERROR(__xludf.DUMMYFUNCTION("""COMPUTED_VALUE"""),"Medieval History")</f>
        <v>Medieval History</v>
      </c>
      <c r="D829" s="2" t="str">
        <f>IFERROR(__xludf.DUMMYFUNCTION("""COMPUTED_VALUE"""),"Suncrest Press")</f>
        <v>Suncrest Press</v>
      </c>
      <c r="E829" s="2">
        <f>IFERROR(__xludf.DUMMYFUNCTION("""COMPUTED_VALUE"""),0.7)</f>
        <v>0.7</v>
      </c>
      <c r="F829" s="2"/>
      <c r="G829" s="2"/>
      <c r="H829" s="2"/>
      <c r="I829" s="2"/>
    </row>
    <row r="830">
      <c r="A830" s="2">
        <f>IFERROR(__xludf.DUMMYFUNCTION("""COMPUTED_VALUE"""),44329.0)</f>
        <v>44329</v>
      </c>
      <c r="B830" s="2" t="str">
        <f>IFERROR(__xludf.DUMMYFUNCTION("""COMPUTED_VALUE"""),"Fiction")</f>
        <v>Fiction</v>
      </c>
      <c r="C830" s="2" t="str">
        <f>IFERROR(__xludf.DUMMYFUNCTION("""COMPUTED_VALUE"""),"Medieval History")</f>
        <v>Medieval History</v>
      </c>
      <c r="D830" s="2" t="str">
        <f>IFERROR(__xludf.DUMMYFUNCTION("""COMPUTED_VALUE"""),"White Oak Publishing")</f>
        <v>White Oak Publishing</v>
      </c>
      <c r="E830" s="2">
        <f>IFERROR(__xludf.DUMMYFUNCTION("""COMPUTED_VALUE"""),3.86)</f>
        <v>3.86</v>
      </c>
      <c r="F830" s="2"/>
      <c r="G830" s="2"/>
      <c r="H830" s="2"/>
      <c r="I830" s="2"/>
    </row>
    <row r="831">
      <c r="A831" s="2">
        <f>IFERROR(__xludf.DUMMYFUNCTION("""COMPUTED_VALUE"""),70879.0)</f>
        <v>70879</v>
      </c>
      <c r="B831" s="2" t="str">
        <f>IFERROR(__xludf.DUMMYFUNCTION("""COMPUTED_VALUE"""),"Fiction")</f>
        <v>Fiction</v>
      </c>
      <c r="C831" s="2" t="str">
        <f>IFERROR(__xludf.DUMMYFUNCTION("""COMPUTED_VALUE"""),"Medieval History")</f>
        <v>Medieval History</v>
      </c>
      <c r="D831" s="2" t="str">
        <f>IFERROR(__xludf.DUMMYFUNCTION("""COMPUTED_VALUE"""),"White Oak Publishing")</f>
        <v>White Oak Publishing</v>
      </c>
      <c r="E831" s="2">
        <f>IFERROR(__xludf.DUMMYFUNCTION("""COMPUTED_VALUE"""),1.67)</f>
        <v>1.67</v>
      </c>
      <c r="F831" s="2"/>
      <c r="G831" s="2"/>
      <c r="H831" s="2"/>
      <c r="I831" s="2"/>
    </row>
    <row r="832">
      <c r="A832" s="2">
        <f>IFERROR(__xludf.DUMMYFUNCTION("""COMPUTED_VALUE"""),99266.0)</f>
        <v>99266</v>
      </c>
      <c r="B832" s="2" t="str">
        <f>IFERROR(__xludf.DUMMYFUNCTION("""COMPUTED_VALUE"""),"Fiction")</f>
        <v>Fiction</v>
      </c>
      <c r="C832" s="2" t="str">
        <f>IFERROR(__xludf.DUMMYFUNCTION("""COMPUTED_VALUE"""),"Medieval History")</f>
        <v>Medieval History</v>
      </c>
      <c r="D832" s="2" t="str">
        <f>IFERROR(__xludf.DUMMYFUNCTION("""COMPUTED_VALUE"""),"White Oak Publishing")</f>
        <v>White Oak Publishing</v>
      </c>
      <c r="E832" s="2">
        <f>IFERROR(__xludf.DUMMYFUNCTION("""COMPUTED_VALUE"""),1.99)</f>
        <v>1.99</v>
      </c>
      <c r="F832" s="2"/>
      <c r="G832" s="2"/>
      <c r="H832" s="2"/>
      <c r="I832" s="2"/>
    </row>
    <row r="833">
      <c r="A833" s="2">
        <f>IFERROR(__xludf.DUMMYFUNCTION("""COMPUTED_VALUE"""),88216.0)</f>
        <v>88216</v>
      </c>
      <c r="B833" s="2" t="str">
        <f>IFERROR(__xludf.DUMMYFUNCTION("""COMPUTED_VALUE"""),"Fiction")</f>
        <v>Fiction</v>
      </c>
      <c r="C833" s="2" t="str">
        <f>IFERROR(__xludf.DUMMYFUNCTION("""COMPUTED_VALUE"""),"Medieval History")</f>
        <v>Medieval History</v>
      </c>
      <c r="D833" s="2" t="str">
        <f>IFERROR(__xludf.DUMMYFUNCTION("""COMPUTED_VALUE"""),"White Oak Publishing")</f>
        <v>White Oak Publishing</v>
      </c>
      <c r="E833" s="2">
        <f>IFERROR(__xludf.DUMMYFUNCTION("""COMPUTED_VALUE"""),5.58)</f>
        <v>5.58</v>
      </c>
      <c r="F833" s="2"/>
      <c r="G833" s="2"/>
      <c r="H833" s="2"/>
      <c r="I833" s="2"/>
    </row>
    <row r="834">
      <c r="A834" s="2">
        <f>IFERROR(__xludf.DUMMYFUNCTION("""COMPUTED_VALUE"""),28590.0)</f>
        <v>28590</v>
      </c>
      <c r="B834" s="2" t="str">
        <f>IFERROR(__xludf.DUMMYFUNCTION("""COMPUTED_VALUE"""),"Fiction")</f>
        <v>Fiction</v>
      </c>
      <c r="C834" s="2" t="str">
        <f>IFERROR(__xludf.DUMMYFUNCTION("""COMPUTED_VALUE"""),"Medieval History")</f>
        <v>Medieval History</v>
      </c>
      <c r="D834" s="2" t="str">
        <f>IFERROR(__xludf.DUMMYFUNCTION("""COMPUTED_VALUE"""),"White Oak Publishing")</f>
        <v>White Oak Publishing</v>
      </c>
      <c r="E834" s="2">
        <f>IFERROR(__xludf.DUMMYFUNCTION("""COMPUTED_VALUE"""),3.71)</f>
        <v>3.71</v>
      </c>
      <c r="F834" s="2"/>
      <c r="G834" s="2"/>
      <c r="H834" s="2"/>
      <c r="I834" s="2"/>
    </row>
    <row r="835">
      <c r="A835" s="2">
        <f>IFERROR(__xludf.DUMMYFUNCTION("""COMPUTED_VALUE"""),88215.0)</f>
        <v>88215</v>
      </c>
      <c r="B835" s="2" t="str">
        <f>IFERROR(__xludf.DUMMYFUNCTION("""COMPUTED_VALUE"""),"Fiction")</f>
        <v>Fiction</v>
      </c>
      <c r="C835" s="2" t="str">
        <f>IFERROR(__xludf.DUMMYFUNCTION("""COMPUTED_VALUE"""),"Medieval History")</f>
        <v>Medieval History</v>
      </c>
      <c r="D835" s="2" t="str">
        <f>IFERROR(__xludf.DUMMYFUNCTION("""COMPUTED_VALUE"""),"White Oak Publishing")</f>
        <v>White Oak Publishing</v>
      </c>
      <c r="E835" s="2">
        <f>IFERROR(__xludf.DUMMYFUNCTION("""COMPUTED_VALUE"""),1.38)</f>
        <v>1.38</v>
      </c>
      <c r="F835" s="2"/>
      <c r="G835" s="2"/>
      <c r="H835" s="2"/>
      <c r="I835" s="2"/>
    </row>
    <row r="836">
      <c r="A836" s="2">
        <f>IFERROR(__xludf.DUMMYFUNCTION("""COMPUTED_VALUE"""),81771.0)</f>
        <v>81771</v>
      </c>
      <c r="B836" s="2" t="str">
        <f>IFERROR(__xludf.DUMMYFUNCTION("""COMPUTED_VALUE"""),"Fiction")</f>
        <v>Fiction</v>
      </c>
      <c r="C836" s="2" t="str">
        <f>IFERROR(__xludf.DUMMYFUNCTION("""COMPUTED_VALUE"""),"Medieval History")</f>
        <v>Medieval History</v>
      </c>
      <c r="D836" s="2" t="str">
        <f>IFERROR(__xludf.DUMMYFUNCTION("""COMPUTED_VALUE"""),"White Oak Publishing")</f>
        <v>White Oak Publishing</v>
      </c>
      <c r="E836" s="2">
        <f>IFERROR(__xludf.DUMMYFUNCTION("""COMPUTED_VALUE"""),1.09)</f>
        <v>1.09</v>
      </c>
      <c r="F836" s="2"/>
      <c r="G836" s="2"/>
      <c r="H836" s="2"/>
      <c r="I836" s="2"/>
    </row>
    <row r="837">
      <c r="A837" s="2">
        <f>IFERROR(__xludf.DUMMYFUNCTION("""COMPUTED_VALUE"""),194520.0)</f>
        <v>194520</v>
      </c>
      <c r="B837" s="2" t="str">
        <f>IFERROR(__xludf.DUMMYFUNCTION("""COMPUTED_VALUE"""),"Fiction")</f>
        <v>Fiction</v>
      </c>
      <c r="C837" s="2" t="str">
        <f>IFERROR(__xludf.DUMMYFUNCTION("""COMPUTED_VALUE"""),"Medieval History")</f>
        <v>Medieval History</v>
      </c>
      <c r="D837" s="2" t="str">
        <f>IFERROR(__xludf.DUMMYFUNCTION("""COMPUTED_VALUE"""),"White Oak Publishing")</f>
        <v>White Oak Publishing</v>
      </c>
      <c r="E837" s="2">
        <f>IFERROR(__xludf.DUMMYFUNCTION("""COMPUTED_VALUE"""),6.18)</f>
        <v>6.18</v>
      </c>
      <c r="F837" s="2"/>
      <c r="G837" s="2"/>
      <c r="H837" s="2"/>
      <c r="I837" s="2"/>
    </row>
    <row r="838">
      <c r="A838" s="2">
        <f>IFERROR(__xludf.DUMMYFUNCTION("""COMPUTED_VALUE"""),5901.0)</f>
        <v>5901</v>
      </c>
      <c r="B838" s="2" t="str">
        <f>IFERROR(__xludf.DUMMYFUNCTION("""COMPUTED_VALUE"""),"Fiction")</f>
        <v>Fiction</v>
      </c>
      <c r="C838" s="2" t="str">
        <f>IFERROR(__xludf.DUMMYFUNCTION("""COMPUTED_VALUE"""),"Medieval History")</f>
        <v>Medieval History</v>
      </c>
      <c r="D838" s="2" t="str">
        <f>IFERROR(__xludf.DUMMYFUNCTION("""COMPUTED_VALUE"""),"White Oak Publishing")</f>
        <v>White Oak Publishing</v>
      </c>
      <c r="E838" s="2">
        <f>IFERROR(__xludf.DUMMYFUNCTION("""COMPUTED_VALUE"""),1.49)</f>
        <v>1.49</v>
      </c>
      <c r="F838" s="2"/>
      <c r="G838" s="2"/>
      <c r="H838" s="2"/>
      <c r="I838" s="2"/>
    </row>
    <row r="839">
      <c r="A839" s="2">
        <f>IFERROR(__xludf.DUMMYFUNCTION("""COMPUTED_VALUE"""),156054.0)</f>
        <v>156054</v>
      </c>
      <c r="B839" s="2" t="str">
        <f>IFERROR(__xludf.DUMMYFUNCTION("""COMPUTED_VALUE"""),"Fiction")</f>
        <v>Fiction</v>
      </c>
      <c r="C839" s="2" t="str">
        <f>IFERROR(__xludf.DUMMYFUNCTION("""COMPUTED_VALUE"""),"Medieval History")</f>
        <v>Medieval History</v>
      </c>
      <c r="D839" s="2" t="str">
        <f>IFERROR(__xludf.DUMMYFUNCTION("""COMPUTED_VALUE"""),"White Oak Publishing")</f>
        <v>White Oak Publishing</v>
      </c>
      <c r="E839" s="2">
        <f>IFERROR(__xludf.DUMMYFUNCTION("""COMPUTED_VALUE"""),3.65)</f>
        <v>3.65</v>
      </c>
      <c r="F839" s="2"/>
      <c r="G839" s="2"/>
      <c r="H839" s="2"/>
      <c r="I839" s="2"/>
    </row>
    <row r="840">
      <c r="A840" s="2">
        <f>IFERROR(__xludf.DUMMYFUNCTION("""COMPUTED_VALUE"""),5869.0)</f>
        <v>5869</v>
      </c>
      <c r="B840" s="2" t="str">
        <f>IFERROR(__xludf.DUMMYFUNCTION("""COMPUTED_VALUE"""),"Fiction")</f>
        <v>Fiction</v>
      </c>
      <c r="C840" s="2" t="str">
        <f>IFERROR(__xludf.DUMMYFUNCTION("""COMPUTED_VALUE"""),"Medieval History")</f>
        <v>Medieval History</v>
      </c>
      <c r="D840" s="2" t="str">
        <f>IFERROR(__xludf.DUMMYFUNCTION("""COMPUTED_VALUE"""),"White Oak Publishing")</f>
        <v>White Oak Publishing</v>
      </c>
      <c r="E840" s="2">
        <f>IFERROR(__xludf.DUMMYFUNCTION("""COMPUTED_VALUE"""),1.64)</f>
        <v>1.64</v>
      </c>
      <c r="F840" s="2"/>
      <c r="G840" s="2"/>
      <c r="H840" s="2"/>
      <c r="I840" s="2"/>
    </row>
    <row r="841">
      <c r="A841" s="2">
        <f>IFERROR(__xludf.DUMMYFUNCTION("""COMPUTED_VALUE"""),7343.0)</f>
        <v>7343</v>
      </c>
      <c r="B841" s="2" t="str">
        <f>IFERROR(__xludf.DUMMYFUNCTION("""COMPUTED_VALUE"""),"Fiction")</f>
        <v>Fiction</v>
      </c>
      <c r="C841" s="2" t="str">
        <f>IFERROR(__xludf.DUMMYFUNCTION("""COMPUTED_VALUE"""),"Medieval History")</f>
        <v>Medieval History</v>
      </c>
      <c r="D841" s="2" t="str">
        <f>IFERROR(__xludf.DUMMYFUNCTION("""COMPUTED_VALUE"""),"White Oak Publishing")</f>
        <v>White Oak Publishing</v>
      </c>
      <c r="E841" s="2">
        <f>IFERROR(__xludf.DUMMYFUNCTION("""COMPUTED_VALUE"""),2.64)</f>
        <v>2.64</v>
      </c>
      <c r="F841" s="2"/>
      <c r="G841" s="2"/>
      <c r="H841" s="2"/>
      <c r="I841" s="2"/>
    </row>
    <row r="842">
      <c r="A842" s="2">
        <f>IFERROR(__xludf.DUMMYFUNCTION("""COMPUTED_VALUE"""),88218.0)</f>
        <v>88218</v>
      </c>
      <c r="B842" s="2" t="str">
        <f>IFERROR(__xludf.DUMMYFUNCTION("""COMPUTED_VALUE"""),"Fiction")</f>
        <v>Fiction</v>
      </c>
      <c r="C842" s="2" t="str">
        <f>IFERROR(__xludf.DUMMYFUNCTION("""COMPUTED_VALUE"""),"Medieval History")</f>
        <v>Medieval History</v>
      </c>
      <c r="D842" s="2" t="str">
        <f>IFERROR(__xludf.DUMMYFUNCTION("""COMPUTED_VALUE"""),"White Oak Publishing")</f>
        <v>White Oak Publishing</v>
      </c>
      <c r="E842" s="2">
        <f>IFERROR(__xludf.DUMMYFUNCTION("""COMPUTED_VALUE"""),2.09)</f>
        <v>2.09</v>
      </c>
      <c r="F842" s="2"/>
      <c r="G842" s="2"/>
      <c r="H842" s="2"/>
      <c r="I842" s="2"/>
    </row>
    <row r="843">
      <c r="A843" s="2">
        <f>IFERROR(__xludf.DUMMYFUNCTION("""COMPUTED_VALUE"""),99263.0)</f>
        <v>99263</v>
      </c>
      <c r="B843" s="2" t="str">
        <f>IFERROR(__xludf.DUMMYFUNCTION("""COMPUTED_VALUE"""),"Fiction")</f>
        <v>Fiction</v>
      </c>
      <c r="C843" s="2" t="str">
        <f>IFERROR(__xludf.DUMMYFUNCTION("""COMPUTED_VALUE"""),"Medieval History")</f>
        <v>Medieval History</v>
      </c>
      <c r="D843" s="2" t="str">
        <f>IFERROR(__xludf.DUMMYFUNCTION("""COMPUTED_VALUE"""),"White Oak Publishing")</f>
        <v>White Oak Publishing</v>
      </c>
      <c r="E843" s="2">
        <f>IFERROR(__xludf.DUMMYFUNCTION("""COMPUTED_VALUE"""),2.57)</f>
        <v>2.57</v>
      </c>
      <c r="F843" s="2"/>
      <c r="G843" s="2"/>
      <c r="H843" s="2"/>
      <c r="I843" s="2"/>
    </row>
    <row r="844">
      <c r="A844" s="2">
        <f>IFERROR(__xludf.DUMMYFUNCTION("""COMPUTED_VALUE"""),7357.0)</f>
        <v>7357</v>
      </c>
      <c r="B844" s="2" t="str">
        <f>IFERROR(__xludf.DUMMYFUNCTION("""COMPUTED_VALUE"""),"Fiction")</f>
        <v>Fiction</v>
      </c>
      <c r="C844" s="2" t="str">
        <f>IFERROR(__xludf.DUMMYFUNCTION("""COMPUTED_VALUE"""),"Medieval History")</f>
        <v>Medieval History</v>
      </c>
      <c r="D844" s="2" t="str">
        <f>IFERROR(__xludf.DUMMYFUNCTION("""COMPUTED_VALUE"""),"White Oak Publishing")</f>
        <v>White Oak Publishing</v>
      </c>
      <c r="E844" s="2">
        <f>IFERROR(__xludf.DUMMYFUNCTION("""COMPUTED_VALUE"""),3.84)</f>
        <v>3.84</v>
      </c>
      <c r="F844" s="2"/>
      <c r="G844" s="2"/>
      <c r="H844" s="2"/>
      <c r="I844" s="2"/>
    </row>
    <row r="845">
      <c r="A845" s="2">
        <f>IFERROR(__xludf.DUMMYFUNCTION("""COMPUTED_VALUE"""),28591.0)</f>
        <v>28591</v>
      </c>
      <c r="B845" s="2" t="str">
        <f>IFERROR(__xludf.DUMMYFUNCTION("""COMPUTED_VALUE"""),"Fiction")</f>
        <v>Fiction</v>
      </c>
      <c r="C845" s="2" t="str">
        <f>IFERROR(__xludf.DUMMYFUNCTION("""COMPUTED_VALUE"""),"Medieval History")</f>
        <v>Medieval History</v>
      </c>
      <c r="D845" s="2" t="str">
        <f>IFERROR(__xludf.DUMMYFUNCTION("""COMPUTED_VALUE"""),"White Oak Publishing")</f>
        <v>White Oak Publishing</v>
      </c>
      <c r="E845" s="2">
        <f>IFERROR(__xludf.DUMMYFUNCTION("""COMPUTED_VALUE"""),6.17)</f>
        <v>6.17</v>
      </c>
      <c r="F845" s="2"/>
      <c r="G845" s="2"/>
      <c r="H845" s="2"/>
      <c r="I845" s="2"/>
    </row>
    <row r="846">
      <c r="A846" s="2">
        <f>IFERROR(__xludf.DUMMYFUNCTION("""COMPUTED_VALUE"""),5871.0)</f>
        <v>5871</v>
      </c>
      <c r="B846" s="2" t="str">
        <f>IFERROR(__xludf.DUMMYFUNCTION("""COMPUTED_VALUE"""),"Fiction")</f>
        <v>Fiction</v>
      </c>
      <c r="C846" s="2" t="str">
        <f>IFERROR(__xludf.DUMMYFUNCTION("""COMPUTED_VALUE"""),"Medieval History")</f>
        <v>Medieval History</v>
      </c>
      <c r="D846" s="2" t="str">
        <f>IFERROR(__xludf.DUMMYFUNCTION("""COMPUTED_VALUE"""),"White Oak Publishing")</f>
        <v>White Oak Publishing</v>
      </c>
      <c r="E846" s="2">
        <f>IFERROR(__xludf.DUMMYFUNCTION("""COMPUTED_VALUE"""),1.4)</f>
        <v>1.4</v>
      </c>
      <c r="F846" s="2"/>
      <c r="G846" s="2"/>
      <c r="H846" s="2"/>
      <c r="I846" s="2"/>
    </row>
    <row r="847">
      <c r="A847" s="2">
        <f>IFERROR(__xludf.DUMMYFUNCTION("""COMPUTED_VALUE"""),81772.0)</f>
        <v>81772</v>
      </c>
      <c r="B847" s="2" t="str">
        <f>IFERROR(__xludf.DUMMYFUNCTION("""COMPUTED_VALUE"""),"Fiction")</f>
        <v>Fiction</v>
      </c>
      <c r="C847" s="2" t="str">
        <f>IFERROR(__xludf.DUMMYFUNCTION("""COMPUTED_VALUE"""),"Medieval History")</f>
        <v>Medieval History</v>
      </c>
      <c r="D847" s="2" t="str">
        <f>IFERROR(__xludf.DUMMYFUNCTION("""COMPUTED_VALUE"""),"White Oak Publishing")</f>
        <v>White Oak Publishing</v>
      </c>
      <c r="E847" s="2">
        <f>IFERROR(__xludf.DUMMYFUNCTION("""COMPUTED_VALUE"""),1.59)</f>
        <v>1.59</v>
      </c>
      <c r="F847" s="2"/>
      <c r="G847" s="2"/>
      <c r="H847" s="2"/>
      <c r="I847" s="2"/>
    </row>
    <row r="848">
      <c r="A848" s="2">
        <f>IFERROR(__xludf.DUMMYFUNCTION("""COMPUTED_VALUE"""),110587.0)</f>
        <v>110587</v>
      </c>
      <c r="B848" s="2" t="str">
        <f>IFERROR(__xludf.DUMMYFUNCTION("""COMPUTED_VALUE"""),"Fiction")</f>
        <v>Fiction</v>
      </c>
      <c r="C848" s="2" t="str">
        <f>IFERROR(__xludf.DUMMYFUNCTION("""COMPUTED_VALUE"""),"Medieval History")</f>
        <v>Medieval History</v>
      </c>
      <c r="D848" s="2" t="str">
        <f>IFERROR(__xludf.DUMMYFUNCTION("""COMPUTED_VALUE"""),"White Oak Publishing")</f>
        <v>White Oak Publishing</v>
      </c>
      <c r="E848" s="2">
        <f>IFERROR(__xludf.DUMMYFUNCTION("""COMPUTED_VALUE"""),14.29)</f>
        <v>14.29</v>
      </c>
      <c r="F848" s="2"/>
      <c r="G848" s="2"/>
      <c r="H848" s="2"/>
      <c r="I848" s="2"/>
    </row>
    <row r="849">
      <c r="A849" s="2">
        <f>IFERROR(__xludf.DUMMYFUNCTION("""COMPUTED_VALUE"""),5870.0)</f>
        <v>5870</v>
      </c>
      <c r="B849" s="2" t="str">
        <f>IFERROR(__xludf.DUMMYFUNCTION("""COMPUTED_VALUE"""),"Fiction")</f>
        <v>Fiction</v>
      </c>
      <c r="C849" s="2" t="str">
        <f>IFERROR(__xludf.DUMMYFUNCTION("""COMPUTED_VALUE"""),"Medieval History")</f>
        <v>Medieval History</v>
      </c>
      <c r="D849" s="2" t="str">
        <f>IFERROR(__xludf.DUMMYFUNCTION("""COMPUTED_VALUE"""),"White Oak Publishing")</f>
        <v>White Oak Publishing</v>
      </c>
      <c r="E849" s="2">
        <f>IFERROR(__xludf.DUMMYFUNCTION("""COMPUTED_VALUE"""),1.42)</f>
        <v>1.42</v>
      </c>
      <c r="F849" s="2"/>
      <c r="G849" s="2"/>
      <c r="H849" s="2"/>
      <c r="I849" s="2"/>
    </row>
    <row r="850">
      <c r="A850" s="2">
        <f>IFERROR(__xludf.DUMMYFUNCTION("""COMPUTED_VALUE"""),158444.0)</f>
        <v>158444</v>
      </c>
      <c r="B850" s="2" t="str">
        <f>IFERROR(__xludf.DUMMYFUNCTION("""COMPUTED_VALUE"""),"Fiction")</f>
        <v>Fiction</v>
      </c>
      <c r="C850" s="2" t="str">
        <f>IFERROR(__xludf.DUMMYFUNCTION("""COMPUTED_VALUE"""),"Medieval History")</f>
        <v>Medieval History</v>
      </c>
      <c r="D850" s="2" t="str">
        <f>IFERROR(__xludf.DUMMYFUNCTION("""COMPUTED_VALUE"""),"White Oak Publishing")</f>
        <v>White Oak Publishing</v>
      </c>
      <c r="E850" s="2">
        <f>IFERROR(__xludf.DUMMYFUNCTION("""COMPUTED_VALUE"""),10.62)</f>
        <v>10.62</v>
      </c>
      <c r="F850" s="2"/>
      <c r="G850" s="2"/>
      <c r="H850" s="2"/>
      <c r="I850" s="2"/>
    </row>
    <row r="851">
      <c r="A851" s="2">
        <f>IFERROR(__xludf.DUMMYFUNCTION("""COMPUTED_VALUE"""),80785.0)</f>
        <v>80785</v>
      </c>
      <c r="B851" s="2" t="str">
        <f>IFERROR(__xludf.DUMMYFUNCTION("""COMPUTED_VALUE"""),"Fiction")</f>
        <v>Fiction</v>
      </c>
      <c r="C851" s="2" t="str">
        <f>IFERROR(__xludf.DUMMYFUNCTION("""COMPUTED_VALUE"""),"Medieval History")</f>
        <v>Medieval History</v>
      </c>
      <c r="D851" s="2" t="str">
        <f>IFERROR(__xludf.DUMMYFUNCTION("""COMPUTED_VALUE"""),"White Oak Publishing")</f>
        <v>White Oak Publishing</v>
      </c>
      <c r="E851" s="2">
        <f>IFERROR(__xludf.DUMMYFUNCTION("""COMPUTED_VALUE"""),0.87)</f>
        <v>0.87</v>
      </c>
      <c r="F851" s="2"/>
      <c r="G851" s="2"/>
      <c r="H851" s="2"/>
      <c r="I851" s="2"/>
    </row>
    <row r="852">
      <c r="A852" s="2">
        <f>IFERROR(__xludf.DUMMYFUNCTION("""COMPUTED_VALUE"""),110586.0)</f>
        <v>110586</v>
      </c>
      <c r="B852" s="2" t="str">
        <f>IFERROR(__xludf.DUMMYFUNCTION("""COMPUTED_VALUE"""),"Fiction")</f>
        <v>Fiction</v>
      </c>
      <c r="C852" s="2" t="str">
        <f>IFERROR(__xludf.DUMMYFUNCTION("""COMPUTED_VALUE"""),"Medieval History")</f>
        <v>Medieval History</v>
      </c>
      <c r="D852" s="2" t="str">
        <f>IFERROR(__xludf.DUMMYFUNCTION("""COMPUTED_VALUE"""),"White Oak Publishing")</f>
        <v>White Oak Publishing</v>
      </c>
      <c r="E852" s="2">
        <f>IFERROR(__xludf.DUMMYFUNCTION("""COMPUTED_VALUE"""),5.16)</f>
        <v>5.16</v>
      </c>
      <c r="F852" s="2"/>
      <c r="G852" s="2"/>
      <c r="H852" s="2"/>
      <c r="I852" s="2"/>
    </row>
    <row r="853">
      <c r="A853" s="2">
        <f>IFERROR(__xludf.DUMMYFUNCTION("""COMPUTED_VALUE"""),99264.0)</f>
        <v>99264</v>
      </c>
      <c r="B853" s="2" t="str">
        <f>IFERROR(__xludf.DUMMYFUNCTION("""COMPUTED_VALUE"""),"Fiction")</f>
        <v>Fiction</v>
      </c>
      <c r="C853" s="2" t="str">
        <f>IFERROR(__xludf.DUMMYFUNCTION("""COMPUTED_VALUE"""),"Medieval History")</f>
        <v>Medieval History</v>
      </c>
      <c r="D853" s="2" t="str">
        <f>IFERROR(__xludf.DUMMYFUNCTION("""COMPUTED_VALUE"""),"White Oak Publishing")</f>
        <v>White Oak Publishing</v>
      </c>
      <c r="E853" s="2">
        <f>IFERROR(__xludf.DUMMYFUNCTION("""COMPUTED_VALUE"""),1.54)</f>
        <v>1.54</v>
      </c>
      <c r="F853" s="2"/>
      <c r="G853" s="2"/>
      <c r="H853" s="2"/>
      <c r="I853" s="2"/>
    </row>
    <row r="854">
      <c r="A854" s="2">
        <f>IFERROR(__xludf.DUMMYFUNCTION("""COMPUTED_VALUE"""),110977.0)</f>
        <v>110977</v>
      </c>
      <c r="B854" s="2" t="str">
        <f>IFERROR(__xludf.DUMMYFUNCTION("""COMPUTED_VALUE"""),"Fiction")</f>
        <v>Fiction</v>
      </c>
      <c r="C854" s="2" t="str">
        <f>IFERROR(__xludf.DUMMYFUNCTION("""COMPUTED_VALUE"""),"Medieval History")</f>
        <v>Medieval History</v>
      </c>
      <c r="D854" s="2" t="str">
        <f>IFERROR(__xludf.DUMMYFUNCTION("""COMPUTED_VALUE"""),"White Oak Publishing")</f>
        <v>White Oak Publishing</v>
      </c>
      <c r="E854" s="2">
        <f>IFERROR(__xludf.DUMMYFUNCTION("""COMPUTED_VALUE"""),12.33)</f>
        <v>12.33</v>
      </c>
      <c r="F854" s="2"/>
      <c r="G854" s="2"/>
      <c r="H854" s="2"/>
      <c r="I854" s="2"/>
    </row>
    <row r="855">
      <c r="A855" s="2">
        <f>IFERROR(__xludf.DUMMYFUNCTION("""COMPUTED_VALUE"""),45529.0)</f>
        <v>45529</v>
      </c>
      <c r="B855" s="2" t="str">
        <f>IFERROR(__xludf.DUMMYFUNCTION("""COMPUTED_VALUE"""),"Fiction")</f>
        <v>Fiction</v>
      </c>
      <c r="C855" s="2" t="str">
        <f>IFERROR(__xludf.DUMMYFUNCTION("""COMPUTED_VALUE"""),"Medieval History")</f>
        <v>Medieval History</v>
      </c>
      <c r="D855" s="2" t="str">
        <f>IFERROR(__xludf.DUMMYFUNCTION("""COMPUTED_VALUE"""),"White Oak Publishing")</f>
        <v>White Oak Publishing</v>
      </c>
      <c r="E855" s="2">
        <f>IFERROR(__xludf.DUMMYFUNCTION("""COMPUTED_VALUE"""),4.63)</f>
        <v>4.63</v>
      </c>
      <c r="F855" s="2"/>
      <c r="G855" s="2"/>
      <c r="H855" s="2"/>
      <c r="I855" s="2"/>
    </row>
    <row r="856">
      <c r="A856" s="2">
        <f>IFERROR(__xludf.DUMMYFUNCTION("""COMPUTED_VALUE"""),84030.0)</f>
        <v>84030</v>
      </c>
      <c r="B856" s="2" t="str">
        <f>IFERROR(__xludf.DUMMYFUNCTION("""COMPUTED_VALUE"""),"Fiction")</f>
        <v>Fiction</v>
      </c>
      <c r="C856" s="2" t="str">
        <f>IFERROR(__xludf.DUMMYFUNCTION("""COMPUTED_VALUE"""),"Medieval History")</f>
        <v>Medieval History</v>
      </c>
      <c r="D856" s="2" t="str">
        <f>IFERROR(__xludf.DUMMYFUNCTION("""COMPUTED_VALUE"""),"White Oak Publishing")</f>
        <v>White Oak Publishing</v>
      </c>
      <c r="E856" s="2">
        <f>IFERROR(__xludf.DUMMYFUNCTION("""COMPUTED_VALUE"""),4.28)</f>
        <v>4.28</v>
      </c>
      <c r="F856" s="2"/>
      <c r="G856" s="2"/>
      <c r="H856" s="2"/>
      <c r="I856" s="2"/>
    </row>
    <row r="857">
      <c r="A857" s="2">
        <f>IFERROR(__xludf.DUMMYFUNCTION("""COMPUTED_VALUE"""),99262.0)</f>
        <v>99262</v>
      </c>
      <c r="B857" s="2" t="str">
        <f>IFERROR(__xludf.DUMMYFUNCTION("""COMPUTED_VALUE"""),"Fiction")</f>
        <v>Fiction</v>
      </c>
      <c r="C857" s="2" t="str">
        <f>IFERROR(__xludf.DUMMYFUNCTION("""COMPUTED_VALUE"""),"Medieval History")</f>
        <v>Medieval History</v>
      </c>
      <c r="D857" s="2" t="str">
        <f>IFERROR(__xludf.DUMMYFUNCTION("""COMPUTED_VALUE"""),"White Oak Publishing")</f>
        <v>White Oak Publishing</v>
      </c>
      <c r="E857" s="2">
        <f>IFERROR(__xludf.DUMMYFUNCTION("""COMPUTED_VALUE"""),1.53)</f>
        <v>1.53</v>
      </c>
      <c r="F857" s="2"/>
      <c r="G857" s="2"/>
      <c r="H857" s="2"/>
      <c r="I857" s="2"/>
    </row>
    <row r="858">
      <c r="A858" s="2">
        <f>IFERROR(__xludf.DUMMYFUNCTION("""COMPUTED_VALUE"""),110722.0)</f>
        <v>110722</v>
      </c>
      <c r="B858" s="2" t="str">
        <f>IFERROR(__xludf.DUMMYFUNCTION("""COMPUTED_VALUE"""),"Fiction")</f>
        <v>Fiction</v>
      </c>
      <c r="C858" s="2" t="str">
        <f>IFERROR(__xludf.DUMMYFUNCTION("""COMPUTED_VALUE"""),"Medieval History")</f>
        <v>Medieval History</v>
      </c>
      <c r="D858" s="2" t="str">
        <f>IFERROR(__xludf.DUMMYFUNCTION("""COMPUTED_VALUE"""),"White Oak Publishing")</f>
        <v>White Oak Publishing</v>
      </c>
      <c r="E858" s="2">
        <f>IFERROR(__xludf.DUMMYFUNCTION("""COMPUTED_VALUE"""),9.11)</f>
        <v>9.11</v>
      </c>
      <c r="F858" s="2"/>
      <c r="G858" s="2"/>
      <c r="H858" s="2"/>
      <c r="I858" s="2"/>
    </row>
    <row r="859">
      <c r="A859" s="2">
        <f>IFERROR(__xludf.DUMMYFUNCTION("""COMPUTED_VALUE"""),80781.0)</f>
        <v>80781</v>
      </c>
      <c r="B859" s="2" t="str">
        <f>IFERROR(__xludf.DUMMYFUNCTION("""COMPUTED_VALUE"""),"Fiction")</f>
        <v>Fiction</v>
      </c>
      <c r="C859" s="2" t="str">
        <f>IFERROR(__xludf.DUMMYFUNCTION("""COMPUTED_VALUE"""),"Medieval History")</f>
        <v>Medieval History</v>
      </c>
      <c r="D859" s="2" t="str">
        <f>IFERROR(__xludf.DUMMYFUNCTION("""COMPUTED_VALUE"""),"White Oak Publishing")</f>
        <v>White Oak Publishing</v>
      </c>
      <c r="E859" s="2">
        <f>IFERROR(__xludf.DUMMYFUNCTION("""COMPUTED_VALUE"""),2.42)</f>
        <v>2.42</v>
      </c>
      <c r="F859" s="2"/>
      <c r="G859" s="2"/>
      <c r="H859" s="2"/>
      <c r="I859" s="2"/>
    </row>
    <row r="860">
      <c r="A860" s="2">
        <f>IFERROR(__xludf.DUMMYFUNCTION("""COMPUTED_VALUE"""),122700.0)</f>
        <v>122700</v>
      </c>
      <c r="B860" s="2" t="str">
        <f>IFERROR(__xludf.DUMMYFUNCTION("""COMPUTED_VALUE"""),"Fiction")</f>
        <v>Fiction</v>
      </c>
      <c r="C860" s="2" t="str">
        <f>IFERROR(__xludf.DUMMYFUNCTION("""COMPUTED_VALUE"""),"Medieval History")</f>
        <v>Medieval History</v>
      </c>
      <c r="D860" s="2" t="str">
        <f>IFERROR(__xludf.DUMMYFUNCTION("""COMPUTED_VALUE"""),"White Oak Publishing")</f>
        <v>White Oak Publishing</v>
      </c>
      <c r="E860" s="2">
        <f>IFERROR(__xludf.DUMMYFUNCTION("""COMPUTED_VALUE"""),1.25)</f>
        <v>1.25</v>
      </c>
      <c r="F860" s="2"/>
      <c r="G860" s="2"/>
      <c r="H860" s="2"/>
      <c r="I860" s="2"/>
    </row>
    <row r="861">
      <c r="A861" s="2">
        <f>IFERROR(__xludf.DUMMYFUNCTION("""COMPUTED_VALUE"""),111783.0)</f>
        <v>111783</v>
      </c>
      <c r="B861" s="2" t="str">
        <f>IFERROR(__xludf.DUMMYFUNCTION("""COMPUTED_VALUE"""),"Fiction")</f>
        <v>Fiction</v>
      </c>
      <c r="C861" s="2" t="str">
        <f>IFERROR(__xludf.DUMMYFUNCTION("""COMPUTED_VALUE"""),"Medieval History")</f>
        <v>Medieval History</v>
      </c>
      <c r="D861" s="2" t="str">
        <f>IFERROR(__xludf.DUMMYFUNCTION("""COMPUTED_VALUE"""),"White Oak Publishing")</f>
        <v>White Oak Publishing</v>
      </c>
      <c r="E861" s="2">
        <f>IFERROR(__xludf.DUMMYFUNCTION("""COMPUTED_VALUE"""),1.56)</f>
        <v>1.56</v>
      </c>
      <c r="F861" s="2"/>
      <c r="G861" s="2"/>
      <c r="H861" s="2"/>
      <c r="I861" s="2"/>
    </row>
    <row r="862">
      <c r="A862" s="2">
        <f>IFERROR(__xludf.DUMMYFUNCTION("""COMPUTED_VALUE"""),110724.0)</f>
        <v>110724</v>
      </c>
      <c r="B862" s="2" t="str">
        <f>IFERROR(__xludf.DUMMYFUNCTION("""COMPUTED_VALUE"""),"Fiction")</f>
        <v>Fiction</v>
      </c>
      <c r="C862" s="2" t="str">
        <f>IFERROR(__xludf.DUMMYFUNCTION("""COMPUTED_VALUE"""),"Medieval History")</f>
        <v>Medieval History</v>
      </c>
      <c r="D862" s="2" t="str">
        <f>IFERROR(__xludf.DUMMYFUNCTION("""COMPUTED_VALUE"""),"White Oak Publishing")</f>
        <v>White Oak Publishing</v>
      </c>
      <c r="E862" s="2">
        <f>IFERROR(__xludf.DUMMYFUNCTION("""COMPUTED_VALUE"""),1.33)</f>
        <v>1.33</v>
      </c>
      <c r="F862" s="2"/>
      <c r="G862" s="2"/>
      <c r="H862" s="2"/>
      <c r="I862" s="2"/>
    </row>
    <row r="863">
      <c r="A863" s="2">
        <f>IFERROR(__xludf.DUMMYFUNCTION("""COMPUTED_VALUE"""),13348.0)</f>
        <v>13348</v>
      </c>
      <c r="B863" s="2" t="str">
        <f>IFERROR(__xludf.DUMMYFUNCTION("""COMPUTED_VALUE"""),"Fiction")</f>
        <v>Fiction</v>
      </c>
      <c r="C863" s="2" t="str">
        <f>IFERROR(__xludf.DUMMYFUNCTION("""COMPUTED_VALUE"""),"Medieval History")</f>
        <v>Medieval History</v>
      </c>
      <c r="D863" s="2" t="str">
        <f>IFERROR(__xludf.DUMMYFUNCTION("""COMPUTED_VALUE"""),"White Oak Publishing")</f>
        <v>White Oak Publishing</v>
      </c>
      <c r="E863" s="2">
        <f>IFERROR(__xludf.DUMMYFUNCTION("""COMPUTED_VALUE"""),1.21)</f>
        <v>1.21</v>
      </c>
      <c r="F863" s="2"/>
      <c r="G863" s="2"/>
      <c r="H863" s="2"/>
      <c r="I863" s="2"/>
    </row>
    <row r="864">
      <c r="A864" s="2">
        <f>IFERROR(__xludf.DUMMYFUNCTION("""COMPUTED_VALUE"""),28595.0)</f>
        <v>28595</v>
      </c>
      <c r="B864" s="2" t="str">
        <f>IFERROR(__xludf.DUMMYFUNCTION("""COMPUTED_VALUE"""),"Fiction")</f>
        <v>Fiction</v>
      </c>
      <c r="C864" s="2" t="str">
        <f>IFERROR(__xludf.DUMMYFUNCTION("""COMPUTED_VALUE"""),"Medieval History")</f>
        <v>Medieval History</v>
      </c>
      <c r="D864" s="2" t="str">
        <f>IFERROR(__xludf.DUMMYFUNCTION("""COMPUTED_VALUE"""),"White Oak Publishing")</f>
        <v>White Oak Publishing</v>
      </c>
      <c r="E864" s="2">
        <f>IFERROR(__xludf.DUMMYFUNCTION("""COMPUTED_VALUE"""),1.64)</f>
        <v>1.64</v>
      </c>
      <c r="F864" s="2"/>
      <c r="G864" s="2"/>
      <c r="H864" s="2"/>
      <c r="I864" s="2"/>
    </row>
    <row r="865">
      <c r="A865" s="2">
        <f>IFERROR(__xludf.DUMMYFUNCTION("""COMPUTED_VALUE"""),81770.0)</f>
        <v>81770</v>
      </c>
      <c r="B865" s="2" t="str">
        <f>IFERROR(__xludf.DUMMYFUNCTION("""COMPUTED_VALUE"""),"Fiction")</f>
        <v>Fiction</v>
      </c>
      <c r="C865" s="2" t="str">
        <f>IFERROR(__xludf.DUMMYFUNCTION("""COMPUTED_VALUE"""),"Medieval History")</f>
        <v>Medieval History</v>
      </c>
      <c r="D865" s="2" t="str">
        <f>IFERROR(__xludf.DUMMYFUNCTION("""COMPUTED_VALUE"""),"White Oak Publishing")</f>
        <v>White Oak Publishing</v>
      </c>
      <c r="E865" s="2">
        <f>IFERROR(__xludf.DUMMYFUNCTION("""COMPUTED_VALUE"""),3.88)</f>
        <v>3.88</v>
      </c>
      <c r="F865" s="2"/>
      <c r="G865" s="2"/>
      <c r="H865" s="2"/>
      <c r="I865" s="2"/>
    </row>
    <row r="866">
      <c r="A866" s="2">
        <f>IFERROR(__xludf.DUMMYFUNCTION("""COMPUTED_VALUE"""),85059.0)</f>
        <v>85059</v>
      </c>
      <c r="B866" s="2" t="str">
        <f>IFERROR(__xludf.DUMMYFUNCTION("""COMPUTED_VALUE"""),"Fiction")</f>
        <v>Fiction</v>
      </c>
      <c r="C866" s="2" t="str">
        <f>IFERROR(__xludf.DUMMYFUNCTION("""COMPUTED_VALUE"""),"Medieval History")</f>
        <v>Medieval History</v>
      </c>
      <c r="D866" s="2" t="str">
        <f>IFERROR(__xludf.DUMMYFUNCTION("""COMPUTED_VALUE"""),"White Oak Publishing")</f>
        <v>White Oak Publishing</v>
      </c>
      <c r="E866" s="2">
        <f>IFERROR(__xludf.DUMMYFUNCTION("""COMPUTED_VALUE"""),1.75)</f>
        <v>1.75</v>
      </c>
      <c r="F866" s="2"/>
      <c r="G866" s="2"/>
      <c r="H866" s="2"/>
      <c r="I866" s="2"/>
    </row>
    <row r="867">
      <c r="A867" s="2">
        <f>IFERROR(__xludf.DUMMYFUNCTION("""COMPUTED_VALUE"""),110597.0)</f>
        <v>110597</v>
      </c>
      <c r="B867" s="2" t="str">
        <f>IFERROR(__xludf.DUMMYFUNCTION("""COMPUTED_VALUE"""),"Fiction")</f>
        <v>Fiction</v>
      </c>
      <c r="C867" s="2" t="str">
        <f>IFERROR(__xludf.DUMMYFUNCTION("""COMPUTED_VALUE"""),"Medieval History")</f>
        <v>Medieval History</v>
      </c>
      <c r="D867" s="2" t="str">
        <f>IFERROR(__xludf.DUMMYFUNCTION("""COMPUTED_VALUE"""),"White Oak Publishing")</f>
        <v>White Oak Publishing</v>
      </c>
      <c r="E867" s="2">
        <f>IFERROR(__xludf.DUMMYFUNCTION("""COMPUTED_VALUE"""),13.77)</f>
        <v>13.77</v>
      </c>
      <c r="F867" s="2"/>
      <c r="G867" s="2"/>
      <c r="H867" s="2"/>
      <c r="I867" s="2"/>
    </row>
    <row r="868">
      <c r="A868" s="2">
        <f>IFERROR(__xludf.DUMMYFUNCTION("""COMPUTED_VALUE"""),7358.0)</f>
        <v>7358</v>
      </c>
      <c r="B868" s="2" t="str">
        <f>IFERROR(__xludf.DUMMYFUNCTION("""COMPUTED_VALUE"""),"Fiction")</f>
        <v>Fiction</v>
      </c>
      <c r="C868" s="2" t="str">
        <f>IFERROR(__xludf.DUMMYFUNCTION("""COMPUTED_VALUE"""),"Medieval History")</f>
        <v>Medieval History</v>
      </c>
      <c r="D868" s="2" t="str">
        <f>IFERROR(__xludf.DUMMYFUNCTION("""COMPUTED_VALUE"""),"White Oak Publishing")</f>
        <v>White Oak Publishing</v>
      </c>
      <c r="E868" s="2">
        <f>IFERROR(__xludf.DUMMYFUNCTION("""COMPUTED_VALUE"""),2.52)</f>
        <v>2.52</v>
      </c>
      <c r="F868" s="2"/>
      <c r="G868" s="2"/>
      <c r="H868" s="2"/>
      <c r="I868" s="2"/>
    </row>
    <row r="869">
      <c r="A869" s="2">
        <f>IFERROR(__xludf.DUMMYFUNCTION("""COMPUTED_VALUE"""),86583.0)</f>
        <v>86583</v>
      </c>
      <c r="B869" s="2" t="str">
        <f>IFERROR(__xludf.DUMMYFUNCTION("""COMPUTED_VALUE"""),"Fiction")</f>
        <v>Fiction</v>
      </c>
      <c r="C869" s="2" t="str">
        <f>IFERROR(__xludf.DUMMYFUNCTION("""COMPUTED_VALUE"""),"Medieval History")</f>
        <v>Medieval History</v>
      </c>
      <c r="D869" s="2" t="str">
        <f>IFERROR(__xludf.DUMMYFUNCTION("""COMPUTED_VALUE"""),"White Oak Publishing")</f>
        <v>White Oak Publishing</v>
      </c>
      <c r="E869" s="2">
        <f>IFERROR(__xludf.DUMMYFUNCTION("""COMPUTED_VALUE"""),2.24)</f>
        <v>2.24</v>
      </c>
      <c r="F869" s="2"/>
      <c r="G869" s="2"/>
      <c r="H869" s="2"/>
      <c r="I869" s="2"/>
    </row>
    <row r="870">
      <c r="A870" s="2">
        <f>IFERROR(__xludf.DUMMYFUNCTION("""COMPUTED_VALUE"""),98100.0)</f>
        <v>98100</v>
      </c>
      <c r="B870" s="2" t="str">
        <f>IFERROR(__xludf.DUMMYFUNCTION("""COMPUTED_VALUE"""),"Fiction")</f>
        <v>Fiction</v>
      </c>
      <c r="C870" s="2" t="str">
        <f>IFERROR(__xludf.DUMMYFUNCTION("""COMPUTED_VALUE"""),"Medieval History")</f>
        <v>Medieval History</v>
      </c>
      <c r="D870" s="2" t="str">
        <f>IFERROR(__xludf.DUMMYFUNCTION("""COMPUTED_VALUE"""),"Frontline Books")</f>
        <v>Frontline Books</v>
      </c>
      <c r="E870" s="2">
        <f>IFERROR(__xludf.DUMMYFUNCTION("""COMPUTED_VALUE"""),2.57)</f>
        <v>2.57</v>
      </c>
      <c r="F870" s="2"/>
      <c r="G870" s="2"/>
      <c r="H870" s="2"/>
      <c r="I870" s="2"/>
    </row>
    <row r="871">
      <c r="A871" s="2">
        <f>IFERROR(__xludf.DUMMYFUNCTION("""COMPUTED_VALUE"""),118154.0)</f>
        <v>118154</v>
      </c>
      <c r="B871" s="2" t="str">
        <f>IFERROR(__xludf.DUMMYFUNCTION("""COMPUTED_VALUE"""),"Fiction")</f>
        <v>Fiction</v>
      </c>
      <c r="C871" s="2" t="str">
        <f>IFERROR(__xludf.DUMMYFUNCTION("""COMPUTED_VALUE"""),"Medieval History")</f>
        <v>Medieval History</v>
      </c>
      <c r="D871" s="2" t="str">
        <f>IFERROR(__xludf.DUMMYFUNCTION("""COMPUTED_VALUE"""),"Frontline Books")</f>
        <v>Frontline Books</v>
      </c>
      <c r="E871" s="2">
        <f>IFERROR(__xludf.DUMMYFUNCTION("""COMPUTED_VALUE"""),1.92)</f>
        <v>1.92</v>
      </c>
      <c r="F871" s="2"/>
      <c r="G871" s="2"/>
      <c r="H871" s="2"/>
      <c r="I871" s="2"/>
    </row>
    <row r="872">
      <c r="A872" s="2">
        <f>IFERROR(__xludf.DUMMYFUNCTION("""COMPUTED_VALUE"""),42840.0)</f>
        <v>42840</v>
      </c>
      <c r="B872" s="2" t="str">
        <f>IFERROR(__xludf.DUMMYFUNCTION("""COMPUTED_VALUE"""),"Fiction")</f>
        <v>Fiction</v>
      </c>
      <c r="C872" s="2" t="str">
        <f>IFERROR(__xludf.DUMMYFUNCTION("""COMPUTED_VALUE"""),"Medieval History")</f>
        <v>Medieval History</v>
      </c>
      <c r="D872" s="2" t="str">
        <f>IFERROR(__xludf.DUMMYFUNCTION("""COMPUTED_VALUE"""),"Frontline Books")</f>
        <v>Frontline Books</v>
      </c>
      <c r="E872" s="2">
        <f>IFERROR(__xludf.DUMMYFUNCTION("""COMPUTED_VALUE"""),9.49)</f>
        <v>9.49</v>
      </c>
      <c r="F872" s="2"/>
      <c r="G872" s="2"/>
      <c r="H872" s="2"/>
      <c r="I872" s="2"/>
    </row>
    <row r="873">
      <c r="A873" s="2">
        <f>IFERROR(__xludf.DUMMYFUNCTION("""COMPUTED_VALUE"""),47175.0)</f>
        <v>47175</v>
      </c>
      <c r="B873" s="2" t="str">
        <f>IFERROR(__xludf.DUMMYFUNCTION("""COMPUTED_VALUE"""),"Fiction")</f>
        <v>Fiction</v>
      </c>
      <c r="C873" s="2" t="str">
        <f>IFERROR(__xludf.DUMMYFUNCTION("""COMPUTED_VALUE"""),"Medieval History")</f>
        <v>Medieval History</v>
      </c>
      <c r="D873" s="2" t="str">
        <f>IFERROR(__xludf.DUMMYFUNCTION("""COMPUTED_VALUE"""),"Frontline Books")</f>
        <v>Frontline Books</v>
      </c>
      <c r="E873" s="2">
        <f>IFERROR(__xludf.DUMMYFUNCTION("""COMPUTED_VALUE"""),7.37)</f>
        <v>7.37</v>
      </c>
      <c r="F873" s="2"/>
      <c r="G873" s="2"/>
      <c r="H873" s="2"/>
      <c r="I873" s="2"/>
    </row>
    <row r="874">
      <c r="A874" s="2">
        <f>IFERROR(__xludf.DUMMYFUNCTION("""COMPUTED_VALUE"""),112013.0)</f>
        <v>112013</v>
      </c>
      <c r="B874" s="2" t="str">
        <f>IFERROR(__xludf.DUMMYFUNCTION("""COMPUTED_VALUE"""),"Fiction")</f>
        <v>Fiction</v>
      </c>
      <c r="C874" s="2" t="str">
        <f>IFERROR(__xludf.DUMMYFUNCTION("""COMPUTED_VALUE"""),"Medieval History")</f>
        <v>Medieval History</v>
      </c>
      <c r="D874" s="2" t="str">
        <f>IFERROR(__xludf.DUMMYFUNCTION("""COMPUTED_VALUE"""),"Frontline Books")</f>
        <v>Frontline Books</v>
      </c>
      <c r="E874" s="2">
        <f>IFERROR(__xludf.DUMMYFUNCTION("""COMPUTED_VALUE"""),6.67)</f>
        <v>6.67</v>
      </c>
      <c r="F874" s="2"/>
      <c r="G874" s="2"/>
      <c r="H874" s="2"/>
      <c r="I874" s="2"/>
    </row>
    <row r="875">
      <c r="A875" s="2">
        <f>IFERROR(__xludf.DUMMYFUNCTION("""COMPUTED_VALUE"""),107953.0)</f>
        <v>107953</v>
      </c>
      <c r="B875" s="2" t="str">
        <f>IFERROR(__xludf.DUMMYFUNCTION("""COMPUTED_VALUE"""),"Fiction")</f>
        <v>Fiction</v>
      </c>
      <c r="C875" s="2" t="str">
        <f>IFERROR(__xludf.DUMMYFUNCTION("""COMPUTED_VALUE"""),"Medieval History")</f>
        <v>Medieval History</v>
      </c>
      <c r="D875" s="2" t="str">
        <f>IFERROR(__xludf.DUMMYFUNCTION("""COMPUTED_VALUE"""),"Frontline Books")</f>
        <v>Frontline Books</v>
      </c>
      <c r="E875" s="2">
        <f>IFERROR(__xludf.DUMMYFUNCTION("""COMPUTED_VALUE"""),4.64)</f>
        <v>4.64</v>
      </c>
      <c r="F875" s="2"/>
      <c r="G875" s="2"/>
      <c r="H875" s="2"/>
      <c r="I875" s="2"/>
    </row>
    <row r="876">
      <c r="A876" s="2">
        <f>IFERROR(__xludf.DUMMYFUNCTION("""COMPUTED_VALUE"""),44738.0)</f>
        <v>44738</v>
      </c>
      <c r="B876" s="2" t="str">
        <f>IFERROR(__xludf.DUMMYFUNCTION("""COMPUTED_VALUE"""),"Fiction")</f>
        <v>Fiction</v>
      </c>
      <c r="C876" s="2" t="str">
        <f>IFERROR(__xludf.DUMMYFUNCTION("""COMPUTED_VALUE"""),"Medieval History")</f>
        <v>Medieval History</v>
      </c>
      <c r="D876" s="2" t="str">
        <f>IFERROR(__xludf.DUMMYFUNCTION("""COMPUTED_VALUE"""),"Frontline Books")</f>
        <v>Frontline Books</v>
      </c>
      <c r="E876" s="2">
        <f>IFERROR(__xludf.DUMMYFUNCTION("""COMPUTED_VALUE"""),11.28)</f>
        <v>11.28</v>
      </c>
      <c r="F876" s="2"/>
      <c r="G876" s="2"/>
      <c r="H876" s="2"/>
      <c r="I876" s="2"/>
    </row>
    <row r="877">
      <c r="A877" s="2">
        <f>IFERROR(__xludf.DUMMYFUNCTION("""COMPUTED_VALUE"""),103386.0)</f>
        <v>103386</v>
      </c>
      <c r="B877" s="2" t="str">
        <f>IFERROR(__xludf.DUMMYFUNCTION("""COMPUTED_VALUE"""),"Fiction")</f>
        <v>Fiction</v>
      </c>
      <c r="C877" s="2" t="str">
        <f>IFERROR(__xludf.DUMMYFUNCTION("""COMPUTED_VALUE"""),"Medieval History")</f>
        <v>Medieval History</v>
      </c>
      <c r="D877" s="2" t="str">
        <f>IFERROR(__xludf.DUMMYFUNCTION("""COMPUTED_VALUE"""),"Frontline Books")</f>
        <v>Frontline Books</v>
      </c>
      <c r="E877" s="2">
        <f>IFERROR(__xludf.DUMMYFUNCTION("""COMPUTED_VALUE"""),13.23)</f>
        <v>13.23</v>
      </c>
      <c r="F877" s="2"/>
      <c r="G877" s="2"/>
      <c r="H877" s="2"/>
      <c r="I877" s="2"/>
    </row>
    <row r="878">
      <c r="A878" s="2">
        <f>IFERROR(__xludf.DUMMYFUNCTION("""COMPUTED_VALUE"""),86815.0)</f>
        <v>86815</v>
      </c>
      <c r="B878" s="2" t="str">
        <f>IFERROR(__xludf.DUMMYFUNCTION("""COMPUTED_VALUE"""),"Fiction")</f>
        <v>Fiction</v>
      </c>
      <c r="C878" s="2" t="str">
        <f>IFERROR(__xludf.DUMMYFUNCTION("""COMPUTED_VALUE"""),"Medieval History")</f>
        <v>Medieval History</v>
      </c>
      <c r="D878" s="2" t="str">
        <f>IFERROR(__xludf.DUMMYFUNCTION("""COMPUTED_VALUE"""),"Frontline Books")</f>
        <v>Frontline Books</v>
      </c>
      <c r="E878" s="2">
        <f>IFERROR(__xludf.DUMMYFUNCTION("""COMPUTED_VALUE"""),5.18)</f>
        <v>5.18</v>
      </c>
      <c r="F878" s="2"/>
      <c r="G878" s="2"/>
      <c r="H878" s="2"/>
      <c r="I878" s="2"/>
    </row>
    <row r="879">
      <c r="A879" s="2">
        <f>IFERROR(__xludf.DUMMYFUNCTION("""COMPUTED_VALUE"""),46953.0)</f>
        <v>46953</v>
      </c>
      <c r="B879" s="2" t="str">
        <f>IFERROR(__xludf.DUMMYFUNCTION("""COMPUTED_VALUE"""),"Fiction")</f>
        <v>Fiction</v>
      </c>
      <c r="C879" s="2" t="str">
        <f>IFERROR(__xludf.DUMMYFUNCTION("""COMPUTED_VALUE"""),"Medieval History")</f>
        <v>Medieval History</v>
      </c>
      <c r="D879" s="2" t="str">
        <f>IFERROR(__xludf.DUMMYFUNCTION("""COMPUTED_VALUE"""),"Frontline Books")</f>
        <v>Frontline Books</v>
      </c>
      <c r="E879" s="2">
        <f>IFERROR(__xludf.DUMMYFUNCTION("""COMPUTED_VALUE"""),8.04)</f>
        <v>8.04</v>
      </c>
      <c r="F879" s="2"/>
      <c r="G879" s="2"/>
      <c r="H879" s="2"/>
      <c r="I879" s="2"/>
    </row>
    <row r="880">
      <c r="A880" s="2">
        <f>IFERROR(__xludf.DUMMYFUNCTION("""COMPUTED_VALUE"""),108732.0)</f>
        <v>108732</v>
      </c>
      <c r="B880" s="2" t="str">
        <f>IFERROR(__xludf.DUMMYFUNCTION("""COMPUTED_VALUE"""),"Fiction")</f>
        <v>Fiction</v>
      </c>
      <c r="C880" s="2" t="str">
        <f>IFERROR(__xludf.DUMMYFUNCTION("""COMPUTED_VALUE"""),"Medieval History")</f>
        <v>Medieval History</v>
      </c>
      <c r="D880" s="2" t="str">
        <f>IFERROR(__xludf.DUMMYFUNCTION("""COMPUTED_VALUE"""),"Frontline Books")</f>
        <v>Frontline Books</v>
      </c>
      <c r="E880" s="2">
        <f>IFERROR(__xludf.DUMMYFUNCTION("""COMPUTED_VALUE"""),5.18)</f>
        <v>5.18</v>
      </c>
      <c r="F880" s="2"/>
      <c r="G880" s="2"/>
      <c r="H880" s="2"/>
      <c r="I880" s="2"/>
    </row>
    <row r="881">
      <c r="A881" s="2">
        <f>IFERROR(__xludf.DUMMYFUNCTION("""COMPUTED_VALUE"""),118227.0)</f>
        <v>118227</v>
      </c>
      <c r="B881" s="2" t="str">
        <f>IFERROR(__xludf.DUMMYFUNCTION("""COMPUTED_VALUE"""),"Fiction")</f>
        <v>Fiction</v>
      </c>
      <c r="C881" s="2" t="str">
        <f>IFERROR(__xludf.DUMMYFUNCTION("""COMPUTED_VALUE"""),"Medieval History")</f>
        <v>Medieval History</v>
      </c>
      <c r="D881" s="2" t="str">
        <f>IFERROR(__xludf.DUMMYFUNCTION("""COMPUTED_VALUE"""),"Frontline Books")</f>
        <v>Frontline Books</v>
      </c>
      <c r="E881" s="2">
        <f>IFERROR(__xludf.DUMMYFUNCTION("""COMPUTED_VALUE"""),6.53)</f>
        <v>6.53</v>
      </c>
      <c r="F881" s="2"/>
      <c r="G881" s="2"/>
      <c r="H881" s="2"/>
      <c r="I881" s="2"/>
    </row>
    <row r="882">
      <c r="A882" s="2">
        <f>IFERROR(__xludf.DUMMYFUNCTION("""COMPUTED_VALUE"""),122484.0)</f>
        <v>122484</v>
      </c>
      <c r="B882" s="2" t="str">
        <f>IFERROR(__xludf.DUMMYFUNCTION("""COMPUTED_VALUE"""),"Fiction")</f>
        <v>Fiction</v>
      </c>
      <c r="C882" s="2" t="str">
        <f>IFERROR(__xludf.DUMMYFUNCTION("""COMPUTED_VALUE"""),"Medieval History")</f>
        <v>Medieval History</v>
      </c>
      <c r="D882" s="2" t="str">
        <f>IFERROR(__xludf.DUMMYFUNCTION("""COMPUTED_VALUE"""),"Frontline Books")</f>
        <v>Frontline Books</v>
      </c>
      <c r="E882" s="2">
        <f>IFERROR(__xludf.DUMMYFUNCTION("""COMPUTED_VALUE"""),3.31)</f>
        <v>3.31</v>
      </c>
      <c r="F882" s="2"/>
      <c r="G882" s="2"/>
      <c r="H882" s="2"/>
      <c r="I882" s="2"/>
    </row>
    <row r="883">
      <c r="A883" s="2">
        <f>IFERROR(__xludf.DUMMYFUNCTION("""COMPUTED_VALUE"""),71326.0)</f>
        <v>71326</v>
      </c>
      <c r="B883" s="2" t="str">
        <f>IFERROR(__xludf.DUMMYFUNCTION("""COMPUTED_VALUE"""),"Fiction")</f>
        <v>Fiction</v>
      </c>
      <c r="C883" s="2" t="str">
        <f>IFERROR(__xludf.DUMMYFUNCTION("""COMPUTED_VALUE"""),"Medieval History")</f>
        <v>Medieval History</v>
      </c>
      <c r="D883" s="2" t="str">
        <f>IFERROR(__xludf.DUMMYFUNCTION("""COMPUTED_VALUE"""),"Frontline Books")</f>
        <v>Frontline Books</v>
      </c>
      <c r="E883" s="2">
        <f>IFERROR(__xludf.DUMMYFUNCTION("""COMPUTED_VALUE"""),12.97)</f>
        <v>12.97</v>
      </c>
      <c r="F883" s="2"/>
      <c r="G883" s="2"/>
      <c r="H883" s="2"/>
      <c r="I883" s="2"/>
    </row>
    <row r="884">
      <c r="A884" s="2">
        <f>IFERROR(__xludf.DUMMYFUNCTION("""COMPUTED_VALUE"""),110794.0)</f>
        <v>110794</v>
      </c>
      <c r="B884" s="2" t="str">
        <f>IFERROR(__xludf.DUMMYFUNCTION("""COMPUTED_VALUE"""),"Fiction")</f>
        <v>Fiction</v>
      </c>
      <c r="C884" s="2" t="str">
        <f>IFERROR(__xludf.DUMMYFUNCTION("""COMPUTED_VALUE"""),"Medieval History")</f>
        <v>Medieval History</v>
      </c>
      <c r="D884" s="2" t="str">
        <f>IFERROR(__xludf.DUMMYFUNCTION("""COMPUTED_VALUE"""),"Frontline Books")</f>
        <v>Frontline Books</v>
      </c>
      <c r="E884" s="2">
        <f>IFERROR(__xludf.DUMMYFUNCTION("""COMPUTED_VALUE"""),5.23)</f>
        <v>5.23</v>
      </c>
      <c r="F884" s="2"/>
      <c r="G884" s="2"/>
      <c r="H884" s="2"/>
      <c r="I884" s="2"/>
    </row>
    <row r="885">
      <c r="A885" s="2">
        <f>IFERROR(__xludf.DUMMYFUNCTION("""COMPUTED_VALUE"""),80066.0)</f>
        <v>80066</v>
      </c>
      <c r="B885" s="2" t="str">
        <f>IFERROR(__xludf.DUMMYFUNCTION("""COMPUTED_VALUE"""),"Fiction")</f>
        <v>Fiction</v>
      </c>
      <c r="C885" s="2" t="str">
        <f>IFERROR(__xludf.DUMMYFUNCTION("""COMPUTED_VALUE"""),"Medieval History")</f>
        <v>Medieval History</v>
      </c>
      <c r="D885" s="2" t="str">
        <f>IFERROR(__xludf.DUMMYFUNCTION("""COMPUTED_VALUE"""),"Frontline Books")</f>
        <v>Frontline Books</v>
      </c>
      <c r="E885" s="2">
        <f>IFERROR(__xludf.DUMMYFUNCTION("""COMPUTED_VALUE"""),11.47)</f>
        <v>11.47</v>
      </c>
      <c r="F885" s="2"/>
      <c r="G885" s="2"/>
      <c r="H885" s="2"/>
      <c r="I885" s="2"/>
    </row>
    <row r="886">
      <c r="A886" s="2">
        <f>IFERROR(__xludf.DUMMYFUNCTION("""COMPUTED_VALUE"""),106776.0)</f>
        <v>106776</v>
      </c>
      <c r="B886" s="2" t="str">
        <f>IFERROR(__xludf.DUMMYFUNCTION("""COMPUTED_VALUE"""),"Fiction")</f>
        <v>Fiction</v>
      </c>
      <c r="C886" s="2" t="str">
        <f>IFERROR(__xludf.DUMMYFUNCTION("""COMPUTED_VALUE"""),"Medieval History")</f>
        <v>Medieval History</v>
      </c>
      <c r="D886" s="2" t="str">
        <f>IFERROR(__xludf.DUMMYFUNCTION("""COMPUTED_VALUE"""),"Frontline Books")</f>
        <v>Frontline Books</v>
      </c>
      <c r="E886" s="2">
        <f>IFERROR(__xludf.DUMMYFUNCTION("""COMPUTED_VALUE"""),3.75)</f>
        <v>3.75</v>
      </c>
      <c r="F886" s="2"/>
      <c r="G886" s="2"/>
      <c r="H886" s="2"/>
      <c r="I886" s="2"/>
    </row>
    <row r="887">
      <c r="A887" s="2">
        <f>IFERROR(__xludf.DUMMYFUNCTION("""COMPUTED_VALUE"""),113608.0)</f>
        <v>113608</v>
      </c>
      <c r="B887" s="2" t="str">
        <f>IFERROR(__xludf.DUMMYFUNCTION("""COMPUTED_VALUE"""),"Fiction")</f>
        <v>Fiction</v>
      </c>
      <c r="C887" s="2" t="str">
        <f>IFERROR(__xludf.DUMMYFUNCTION("""COMPUTED_VALUE"""),"Medieval History")</f>
        <v>Medieval History</v>
      </c>
      <c r="D887" s="2" t="str">
        <f>IFERROR(__xludf.DUMMYFUNCTION("""COMPUTED_VALUE"""),"Frontline Books")</f>
        <v>Frontline Books</v>
      </c>
      <c r="E887" s="2">
        <f>IFERROR(__xludf.DUMMYFUNCTION("""COMPUTED_VALUE"""),9.39)</f>
        <v>9.39</v>
      </c>
      <c r="F887" s="2"/>
      <c r="G887" s="2"/>
      <c r="H887" s="2"/>
      <c r="I887" s="2"/>
    </row>
    <row r="888">
      <c r="A888" s="2">
        <f>IFERROR(__xludf.DUMMYFUNCTION("""COMPUTED_VALUE"""),116454.0)</f>
        <v>116454</v>
      </c>
      <c r="B888" s="2" t="str">
        <f>IFERROR(__xludf.DUMMYFUNCTION("""COMPUTED_VALUE"""),"Fiction")</f>
        <v>Fiction</v>
      </c>
      <c r="C888" s="2" t="str">
        <f>IFERROR(__xludf.DUMMYFUNCTION("""COMPUTED_VALUE"""),"Medieval History")</f>
        <v>Medieval History</v>
      </c>
      <c r="D888" s="2" t="str">
        <f>IFERROR(__xludf.DUMMYFUNCTION("""COMPUTED_VALUE"""),"Frontline Books")</f>
        <v>Frontline Books</v>
      </c>
      <c r="E888" s="2">
        <f>IFERROR(__xludf.DUMMYFUNCTION("""COMPUTED_VALUE"""),4.54)</f>
        <v>4.54</v>
      </c>
      <c r="F888" s="2"/>
      <c r="G888" s="2"/>
      <c r="H888" s="2"/>
      <c r="I888" s="2"/>
    </row>
    <row r="889">
      <c r="A889" s="2">
        <f>IFERROR(__xludf.DUMMYFUNCTION("""COMPUTED_VALUE"""),108724.0)</f>
        <v>108724</v>
      </c>
      <c r="B889" s="2" t="str">
        <f>IFERROR(__xludf.DUMMYFUNCTION("""COMPUTED_VALUE"""),"Fiction")</f>
        <v>Fiction</v>
      </c>
      <c r="C889" s="2" t="str">
        <f>IFERROR(__xludf.DUMMYFUNCTION("""COMPUTED_VALUE"""),"Medieval History")</f>
        <v>Medieval History</v>
      </c>
      <c r="D889" s="2" t="str">
        <f>IFERROR(__xludf.DUMMYFUNCTION("""COMPUTED_VALUE"""),"Frontline Books")</f>
        <v>Frontline Books</v>
      </c>
      <c r="E889" s="2">
        <f>IFERROR(__xludf.DUMMYFUNCTION("""COMPUTED_VALUE"""),4.61)</f>
        <v>4.61</v>
      </c>
      <c r="F889" s="2"/>
      <c r="G889" s="2"/>
      <c r="H889" s="2"/>
      <c r="I889" s="2"/>
    </row>
    <row r="890">
      <c r="A890" s="2">
        <f>IFERROR(__xludf.DUMMYFUNCTION("""COMPUTED_VALUE"""),118253.0)</f>
        <v>118253</v>
      </c>
      <c r="B890" s="2" t="str">
        <f>IFERROR(__xludf.DUMMYFUNCTION("""COMPUTED_VALUE"""),"Fiction")</f>
        <v>Fiction</v>
      </c>
      <c r="C890" s="2" t="str">
        <f>IFERROR(__xludf.DUMMYFUNCTION("""COMPUTED_VALUE"""),"Medieval History")</f>
        <v>Medieval History</v>
      </c>
      <c r="D890" s="2" t="str">
        <f>IFERROR(__xludf.DUMMYFUNCTION("""COMPUTED_VALUE"""),"Frontline Books")</f>
        <v>Frontline Books</v>
      </c>
      <c r="E890" s="2">
        <f>IFERROR(__xludf.DUMMYFUNCTION("""COMPUTED_VALUE"""),3.58)</f>
        <v>3.58</v>
      </c>
      <c r="F890" s="2"/>
      <c r="G890" s="2"/>
      <c r="H890" s="2"/>
      <c r="I890" s="2"/>
    </row>
    <row r="891">
      <c r="A891" s="2">
        <f>IFERROR(__xludf.DUMMYFUNCTION("""COMPUTED_VALUE"""),110567.0)</f>
        <v>110567</v>
      </c>
      <c r="B891" s="2" t="str">
        <f>IFERROR(__xludf.DUMMYFUNCTION("""COMPUTED_VALUE"""),"Fiction")</f>
        <v>Fiction</v>
      </c>
      <c r="C891" s="2" t="str">
        <f>IFERROR(__xludf.DUMMYFUNCTION("""COMPUTED_VALUE"""),"Medieval History")</f>
        <v>Medieval History</v>
      </c>
      <c r="D891" s="2" t="str">
        <f>IFERROR(__xludf.DUMMYFUNCTION("""COMPUTED_VALUE"""),"Frontline Books")</f>
        <v>Frontline Books</v>
      </c>
      <c r="E891" s="2">
        <f>IFERROR(__xludf.DUMMYFUNCTION("""COMPUTED_VALUE"""),9.85)</f>
        <v>9.85</v>
      </c>
      <c r="F891" s="2"/>
      <c r="G891" s="2"/>
      <c r="H891" s="2"/>
      <c r="I891" s="2"/>
    </row>
    <row r="892">
      <c r="A892" s="2">
        <f>IFERROR(__xludf.DUMMYFUNCTION("""COMPUTED_VALUE"""),122697.0)</f>
        <v>122697</v>
      </c>
      <c r="B892" s="2" t="str">
        <f>IFERROR(__xludf.DUMMYFUNCTION("""COMPUTED_VALUE"""),"Fiction")</f>
        <v>Fiction</v>
      </c>
      <c r="C892" s="2" t="str">
        <f>IFERROR(__xludf.DUMMYFUNCTION("""COMPUTED_VALUE"""),"Medieval History")</f>
        <v>Medieval History</v>
      </c>
      <c r="D892" s="2" t="str">
        <f>IFERROR(__xludf.DUMMYFUNCTION("""COMPUTED_VALUE"""),"Frontline Books")</f>
        <v>Frontline Books</v>
      </c>
      <c r="E892" s="2">
        <f>IFERROR(__xludf.DUMMYFUNCTION("""COMPUTED_VALUE"""),5.6)</f>
        <v>5.6</v>
      </c>
      <c r="F892" s="2"/>
      <c r="G892" s="2"/>
      <c r="H892" s="2"/>
      <c r="I892" s="2"/>
    </row>
    <row r="893">
      <c r="A893" s="2">
        <f>IFERROR(__xludf.DUMMYFUNCTION("""COMPUTED_VALUE"""),109190.0)</f>
        <v>109190</v>
      </c>
      <c r="B893" s="2" t="str">
        <f>IFERROR(__xludf.DUMMYFUNCTION("""COMPUTED_VALUE"""),"Fiction")</f>
        <v>Fiction</v>
      </c>
      <c r="C893" s="2" t="str">
        <f>IFERROR(__xludf.DUMMYFUNCTION("""COMPUTED_VALUE"""),"Medieval History")</f>
        <v>Medieval History</v>
      </c>
      <c r="D893" s="2" t="str">
        <f>IFERROR(__xludf.DUMMYFUNCTION("""COMPUTED_VALUE"""),"Frontline Books")</f>
        <v>Frontline Books</v>
      </c>
      <c r="E893" s="2">
        <f>IFERROR(__xludf.DUMMYFUNCTION("""COMPUTED_VALUE"""),2.79)</f>
        <v>2.79</v>
      </c>
      <c r="F893" s="2"/>
      <c r="G893" s="2"/>
      <c r="H893" s="2"/>
      <c r="I893" s="2"/>
    </row>
    <row r="894">
      <c r="A894" s="2">
        <f>IFERROR(__xludf.DUMMYFUNCTION("""COMPUTED_VALUE"""),109191.0)</f>
        <v>109191</v>
      </c>
      <c r="B894" s="2" t="str">
        <f>IFERROR(__xludf.DUMMYFUNCTION("""COMPUTED_VALUE"""),"Fiction")</f>
        <v>Fiction</v>
      </c>
      <c r="C894" s="2" t="str">
        <f>IFERROR(__xludf.DUMMYFUNCTION("""COMPUTED_VALUE"""),"Medieval History")</f>
        <v>Medieval History</v>
      </c>
      <c r="D894" s="2" t="str">
        <f>IFERROR(__xludf.DUMMYFUNCTION("""COMPUTED_VALUE"""),"Frontline Books")</f>
        <v>Frontline Books</v>
      </c>
      <c r="E894" s="2">
        <f>IFERROR(__xludf.DUMMYFUNCTION("""COMPUTED_VALUE"""),3.25)</f>
        <v>3.25</v>
      </c>
      <c r="F894" s="2"/>
      <c r="G894" s="2"/>
      <c r="H894" s="2"/>
      <c r="I894" s="2"/>
    </row>
    <row r="895">
      <c r="A895" s="2">
        <f>IFERROR(__xludf.DUMMYFUNCTION("""COMPUTED_VALUE"""),44759.0)</f>
        <v>44759</v>
      </c>
      <c r="B895" s="2" t="str">
        <f>IFERROR(__xludf.DUMMYFUNCTION("""COMPUTED_VALUE"""),"Fiction")</f>
        <v>Fiction</v>
      </c>
      <c r="C895" s="2" t="str">
        <f>IFERROR(__xludf.DUMMYFUNCTION("""COMPUTED_VALUE"""),"Medieval History")</f>
        <v>Medieval History</v>
      </c>
      <c r="D895" s="2" t="str">
        <f>IFERROR(__xludf.DUMMYFUNCTION("""COMPUTED_VALUE"""),"Frontline Books")</f>
        <v>Frontline Books</v>
      </c>
      <c r="E895" s="2">
        <f>IFERROR(__xludf.DUMMYFUNCTION("""COMPUTED_VALUE"""),3.44)</f>
        <v>3.44</v>
      </c>
      <c r="F895" s="2"/>
      <c r="G895" s="2"/>
      <c r="H895" s="2"/>
      <c r="I895" s="2"/>
    </row>
    <row r="896">
      <c r="A896" s="2">
        <f>IFERROR(__xludf.DUMMYFUNCTION("""COMPUTED_VALUE"""),109192.0)</f>
        <v>109192</v>
      </c>
      <c r="B896" s="2" t="str">
        <f>IFERROR(__xludf.DUMMYFUNCTION("""COMPUTED_VALUE"""),"Fiction")</f>
        <v>Fiction</v>
      </c>
      <c r="C896" s="2" t="str">
        <f>IFERROR(__xludf.DUMMYFUNCTION("""COMPUTED_VALUE"""),"Medieval History")</f>
        <v>Medieval History</v>
      </c>
      <c r="D896" s="2" t="str">
        <f>IFERROR(__xludf.DUMMYFUNCTION("""COMPUTED_VALUE"""),"Frontline Books")</f>
        <v>Frontline Books</v>
      </c>
      <c r="E896" s="2">
        <f>IFERROR(__xludf.DUMMYFUNCTION("""COMPUTED_VALUE"""),3.18)</f>
        <v>3.18</v>
      </c>
      <c r="F896" s="2"/>
      <c r="G896" s="2"/>
      <c r="H896" s="2"/>
      <c r="I896" s="2"/>
    </row>
    <row r="897">
      <c r="A897" s="2">
        <f>IFERROR(__xludf.DUMMYFUNCTION("""COMPUTED_VALUE"""),113605.0)</f>
        <v>113605</v>
      </c>
      <c r="B897" s="2" t="str">
        <f>IFERROR(__xludf.DUMMYFUNCTION("""COMPUTED_VALUE"""),"Fiction")</f>
        <v>Fiction</v>
      </c>
      <c r="C897" s="2" t="str">
        <f>IFERROR(__xludf.DUMMYFUNCTION("""COMPUTED_VALUE"""),"Medieval History")</f>
        <v>Medieval History</v>
      </c>
      <c r="D897" s="2" t="str">
        <f>IFERROR(__xludf.DUMMYFUNCTION("""COMPUTED_VALUE"""),"Frontline Books")</f>
        <v>Frontline Books</v>
      </c>
      <c r="E897" s="2">
        <f>IFERROR(__xludf.DUMMYFUNCTION("""COMPUTED_VALUE"""),6.28)</f>
        <v>6.28</v>
      </c>
      <c r="F897" s="2"/>
      <c r="G897" s="2"/>
      <c r="H897" s="2"/>
      <c r="I897" s="2"/>
    </row>
    <row r="898">
      <c r="A898" s="2">
        <f>IFERROR(__xludf.DUMMYFUNCTION("""COMPUTED_VALUE"""),147339.0)</f>
        <v>147339</v>
      </c>
      <c r="B898" s="2" t="str">
        <f>IFERROR(__xludf.DUMMYFUNCTION("""COMPUTED_VALUE"""),"Fiction")</f>
        <v>Fiction</v>
      </c>
      <c r="C898" s="2" t="str">
        <f>IFERROR(__xludf.DUMMYFUNCTION("""COMPUTED_VALUE"""),"Medieval History")</f>
        <v>Medieval History</v>
      </c>
      <c r="D898" s="2" t="str">
        <f>IFERROR(__xludf.DUMMYFUNCTION("""COMPUTED_VALUE"""),"Frontline Books")</f>
        <v>Frontline Books</v>
      </c>
      <c r="E898" s="2">
        <f>IFERROR(__xludf.DUMMYFUNCTION("""COMPUTED_VALUE"""),10.75)</f>
        <v>10.75</v>
      </c>
      <c r="F898" s="2"/>
      <c r="G898" s="2"/>
      <c r="H898" s="2"/>
      <c r="I898" s="2"/>
    </row>
    <row r="899">
      <c r="A899" s="2">
        <f>IFERROR(__xludf.DUMMYFUNCTION("""COMPUTED_VALUE"""),118068.0)</f>
        <v>118068</v>
      </c>
      <c r="B899" s="2" t="str">
        <f>IFERROR(__xludf.DUMMYFUNCTION("""COMPUTED_VALUE"""),"Fiction")</f>
        <v>Fiction</v>
      </c>
      <c r="C899" s="2" t="str">
        <f>IFERROR(__xludf.DUMMYFUNCTION("""COMPUTED_VALUE"""),"Medieval History")</f>
        <v>Medieval History</v>
      </c>
      <c r="D899" s="2" t="str">
        <f>IFERROR(__xludf.DUMMYFUNCTION("""COMPUTED_VALUE"""),"Frontline Books")</f>
        <v>Frontline Books</v>
      </c>
      <c r="E899" s="2">
        <f>IFERROR(__xludf.DUMMYFUNCTION("""COMPUTED_VALUE"""),5.97)</f>
        <v>5.97</v>
      </c>
      <c r="F899" s="2"/>
      <c r="G899" s="2"/>
      <c r="H899" s="2"/>
      <c r="I899" s="2"/>
    </row>
    <row r="900">
      <c r="A900" s="2">
        <f>IFERROR(__xludf.DUMMYFUNCTION("""COMPUTED_VALUE"""),44758.0)</f>
        <v>44758</v>
      </c>
      <c r="B900" s="2" t="str">
        <f>IFERROR(__xludf.DUMMYFUNCTION("""COMPUTED_VALUE"""),"Fiction")</f>
        <v>Fiction</v>
      </c>
      <c r="C900" s="2" t="str">
        <f>IFERROR(__xludf.DUMMYFUNCTION("""COMPUTED_VALUE"""),"Medieval History")</f>
        <v>Medieval History</v>
      </c>
      <c r="D900" s="2" t="str">
        <f>IFERROR(__xludf.DUMMYFUNCTION("""COMPUTED_VALUE"""),"Frontline Books")</f>
        <v>Frontline Books</v>
      </c>
      <c r="E900" s="2">
        <f>IFERROR(__xludf.DUMMYFUNCTION("""COMPUTED_VALUE"""),5.83)</f>
        <v>5.83</v>
      </c>
      <c r="F900" s="2"/>
      <c r="G900" s="2"/>
      <c r="H900" s="2"/>
      <c r="I900" s="2"/>
    </row>
    <row r="901">
      <c r="A901" s="2">
        <f>IFERROR(__xludf.DUMMYFUNCTION("""COMPUTED_VALUE"""),110579.0)</f>
        <v>110579</v>
      </c>
      <c r="B901" s="2" t="str">
        <f>IFERROR(__xludf.DUMMYFUNCTION("""COMPUTED_VALUE"""),"Fiction")</f>
        <v>Fiction</v>
      </c>
      <c r="C901" s="2" t="str">
        <f>IFERROR(__xludf.DUMMYFUNCTION("""COMPUTED_VALUE"""),"Medieval History")</f>
        <v>Medieval History</v>
      </c>
      <c r="D901" s="2" t="str">
        <f>IFERROR(__xludf.DUMMYFUNCTION("""COMPUTED_VALUE"""),"Frontline Books")</f>
        <v>Frontline Books</v>
      </c>
      <c r="E901" s="2">
        <f>IFERROR(__xludf.DUMMYFUNCTION("""COMPUTED_VALUE"""),8.48)</f>
        <v>8.48</v>
      </c>
      <c r="F901" s="2"/>
      <c r="G901" s="2"/>
      <c r="H901" s="2"/>
      <c r="I901" s="2"/>
    </row>
    <row r="902">
      <c r="A902" s="2">
        <f>IFERROR(__xludf.DUMMYFUNCTION("""COMPUTED_VALUE"""),116437.0)</f>
        <v>116437</v>
      </c>
      <c r="B902" s="2" t="str">
        <f>IFERROR(__xludf.DUMMYFUNCTION("""COMPUTED_VALUE"""),"Fiction")</f>
        <v>Fiction</v>
      </c>
      <c r="C902" s="2" t="str">
        <f>IFERROR(__xludf.DUMMYFUNCTION("""COMPUTED_VALUE"""),"Medieval History")</f>
        <v>Medieval History</v>
      </c>
      <c r="D902" s="2" t="str">
        <f>IFERROR(__xludf.DUMMYFUNCTION("""COMPUTED_VALUE"""),"Frontline Books")</f>
        <v>Frontline Books</v>
      </c>
      <c r="E902" s="2">
        <f>IFERROR(__xludf.DUMMYFUNCTION("""COMPUTED_VALUE"""),6.28)</f>
        <v>6.28</v>
      </c>
      <c r="F902" s="2"/>
      <c r="G902" s="2"/>
      <c r="H902" s="2"/>
      <c r="I902" s="2"/>
    </row>
    <row r="903">
      <c r="A903" s="2">
        <f>IFERROR(__xludf.DUMMYFUNCTION("""COMPUTED_VALUE"""),9519.0)</f>
        <v>9519</v>
      </c>
      <c r="B903" s="2" t="str">
        <f>IFERROR(__xludf.DUMMYFUNCTION("""COMPUTED_VALUE"""),"Fiction")</f>
        <v>Fiction</v>
      </c>
      <c r="C903" s="2" t="str">
        <f>IFERROR(__xludf.DUMMYFUNCTION("""COMPUTED_VALUE"""),"Medieval History")</f>
        <v>Medieval History</v>
      </c>
      <c r="D903" s="2" t="str">
        <f>IFERROR(__xludf.DUMMYFUNCTION("""COMPUTED_VALUE"""),"Frontline Books")</f>
        <v>Frontline Books</v>
      </c>
      <c r="E903" s="2">
        <f>IFERROR(__xludf.DUMMYFUNCTION("""COMPUTED_VALUE"""),8.98)</f>
        <v>8.98</v>
      </c>
      <c r="F903" s="2"/>
      <c r="G903" s="2"/>
      <c r="H903" s="2"/>
      <c r="I903" s="2"/>
    </row>
    <row r="904">
      <c r="A904" s="2">
        <f>IFERROR(__xludf.DUMMYFUNCTION("""COMPUTED_VALUE"""),147338.0)</f>
        <v>147338</v>
      </c>
      <c r="B904" s="2" t="str">
        <f>IFERROR(__xludf.DUMMYFUNCTION("""COMPUTED_VALUE"""),"Fiction")</f>
        <v>Fiction</v>
      </c>
      <c r="C904" s="2" t="str">
        <f>IFERROR(__xludf.DUMMYFUNCTION("""COMPUTED_VALUE"""),"Medieval History")</f>
        <v>Medieval History</v>
      </c>
      <c r="D904" s="2" t="str">
        <f>IFERROR(__xludf.DUMMYFUNCTION("""COMPUTED_VALUE"""),"Frontline Books")</f>
        <v>Frontline Books</v>
      </c>
      <c r="E904" s="2">
        <f>IFERROR(__xludf.DUMMYFUNCTION("""COMPUTED_VALUE"""),4.46)</f>
        <v>4.46</v>
      </c>
      <c r="F904" s="2"/>
      <c r="G904" s="2"/>
      <c r="H904" s="2"/>
      <c r="I904" s="2"/>
    </row>
    <row r="905">
      <c r="A905" s="2">
        <f>IFERROR(__xludf.DUMMYFUNCTION("""COMPUTED_VALUE"""),118250.0)</f>
        <v>118250</v>
      </c>
      <c r="B905" s="2" t="str">
        <f>IFERROR(__xludf.DUMMYFUNCTION("""COMPUTED_VALUE"""),"Fiction")</f>
        <v>Fiction</v>
      </c>
      <c r="C905" s="2" t="str">
        <f>IFERROR(__xludf.DUMMYFUNCTION("""COMPUTED_VALUE"""),"Medieval History")</f>
        <v>Medieval History</v>
      </c>
      <c r="D905" s="2" t="str">
        <f>IFERROR(__xludf.DUMMYFUNCTION("""COMPUTED_VALUE"""),"Frontline Books")</f>
        <v>Frontline Books</v>
      </c>
      <c r="E905" s="2">
        <f>IFERROR(__xludf.DUMMYFUNCTION("""COMPUTED_VALUE"""),3.44)</f>
        <v>3.44</v>
      </c>
      <c r="F905" s="2"/>
      <c r="G905" s="2"/>
      <c r="H905" s="2"/>
      <c r="I905" s="2"/>
    </row>
    <row r="906">
      <c r="A906" s="2">
        <f>IFERROR(__xludf.DUMMYFUNCTION("""COMPUTED_VALUE"""),20053.0)</f>
        <v>20053</v>
      </c>
      <c r="B906" s="2" t="str">
        <f>IFERROR(__xludf.DUMMYFUNCTION("""COMPUTED_VALUE"""),"Fiction")</f>
        <v>Fiction</v>
      </c>
      <c r="C906" s="2" t="str">
        <f>IFERROR(__xludf.DUMMYFUNCTION("""COMPUTED_VALUE"""),"Medieval History")</f>
        <v>Medieval History</v>
      </c>
      <c r="D906" s="2" t="str">
        <f>IFERROR(__xludf.DUMMYFUNCTION("""COMPUTED_VALUE"""),"Frontline Books")</f>
        <v>Frontline Books</v>
      </c>
      <c r="E906" s="2">
        <f>IFERROR(__xludf.DUMMYFUNCTION("""COMPUTED_VALUE"""),2.47)</f>
        <v>2.47</v>
      </c>
      <c r="F906" s="2"/>
      <c r="G906" s="2"/>
      <c r="H906" s="2"/>
      <c r="I906" s="2"/>
    </row>
    <row r="907">
      <c r="A907" s="2">
        <f>IFERROR(__xludf.DUMMYFUNCTION("""COMPUTED_VALUE"""),71321.0)</f>
        <v>71321</v>
      </c>
      <c r="B907" s="2" t="str">
        <f>IFERROR(__xludf.DUMMYFUNCTION("""COMPUTED_VALUE"""),"Fiction")</f>
        <v>Fiction</v>
      </c>
      <c r="C907" s="2" t="str">
        <f>IFERROR(__xludf.DUMMYFUNCTION("""COMPUTED_VALUE"""),"Medieval History")</f>
        <v>Medieval History</v>
      </c>
      <c r="D907" s="2" t="str">
        <f>IFERROR(__xludf.DUMMYFUNCTION("""COMPUTED_VALUE"""),"Frontline Books")</f>
        <v>Frontline Books</v>
      </c>
      <c r="E907" s="2">
        <f>IFERROR(__xludf.DUMMYFUNCTION("""COMPUTED_VALUE"""),10.09)</f>
        <v>10.09</v>
      </c>
      <c r="F907" s="2"/>
      <c r="G907" s="2"/>
      <c r="H907" s="2"/>
      <c r="I907" s="2"/>
    </row>
    <row r="908">
      <c r="A908" s="2">
        <f>IFERROR(__xludf.DUMMYFUNCTION("""COMPUTED_VALUE"""),79503.0)</f>
        <v>79503</v>
      </c>
      <c r="B908" s="2" t="str">
        <f>IFERROR(__xludf.DUMMYFUNCTION("""COMPUTED_VALUE"""),"Fiction")</f>
        <v>Fiction</v>
      </c>
      <c r="C908" s="2" t="str">
        <f>IFERROR(__xludf.DUMMYFUNCTION("""COMPUTED_VALUE"""),"Medieval History")</f>
        <v>Medieval History</v>
      </c>
      <c r="D908" s="2" t="str">
        <f>IFERROR(__xludf.DUMMYFUNCTION("""COMPUTED_VALUE"""),"Frontline Books")</f>
        <v>Frontline Books</v>
      </c>
      <c r="E908" s="2">
        <f>IFERROR(__xludf.DUMMYFUNCTION("""COMPUTED_VALUE"""),10.89)</f>
        <v>10.89</v>
      </c>
      <c r="F908" s="2"/>
      <c r="G908" s="2"/>
      <c r="H908" s="2"/>
      <c r="I908" s="2"/>
    </row>
    <row r="909">
      <c r="A909" s="2">
        <f>IFERROR(__xludf.DUMMYFUNCTION("""COMPUTED_VALUE"""),99270.0)</f>
        <v>99270</v>
      </c>
      <c r="B909" s="2" t="str">
        <f>IFERROR(__xludf.DUMMYFUNCTION("""COMPUTED_VALUE"""),"Fiction")</f>
        <v>Fiction</v>
      </c>
      <c r="C909" s="2" t="str">
        <f>IFERROR(__xludf.DUMMYFUNCTION("""COMPUTED_VALUE"""),"Medieval History")</f>
        <v>Medieval History</v>
      </c>
      <c r="D909" s="2" t="str">
        <f>IFERROR(__xludf.DUMMYFUNCTION("""COMPUTED_VALUE"""),"Frontline Books")</f>
        <v>Frontline Books</v>
      </c>
      <c r="E909" s="2">
        <f>IFERROR(__xludf.DUMMYFUNCTION("""COMPUTED_VALUE"""),4.21)</f>
        <v>4.21</v>
      </c>
      <c r="F909" s="2"/>
      <c r="G909" s="2"/>
      <c r="H909" s="2"/>
      <c r="I909" s="2"/>
    </row>
    <row r="910">
      <c r="A910" s="2">
        <f>IFERROR(__xludf.DUMMYFUNCTION("""COMPUTED_VALUE"""),112848.0)</f>
        <v>112848</v>
      </c>
      <c r="B910" s="2" t="str">
        <f>IFERROR(__xludf.DUMMYFUNCTION("""COMPUTED_VALUE"""),"Fiction")</f>
        <v>Fiction</v>
      </c>
      <c r="C910" s="2" t="str">
        <f>IFERROR(__xludf.DUMMYFUNCTION("""COMPUTED_VALUE"""),"Medieval History")</f>
        <v>Medieval History</v>
      </c>
      <c r="D910" s="2" t="str">
        <f>IFERROR(__xludf.DUMMYFUNCTION("""COMPUTED_VALUE"""),"Frontline Books")</f>
        <v>Frontline Books</v>
      </c>
      <c r="E910" s="2">
        <f>IFERROR(__xludf.DUMMYFUNCTION("""COMPUTED_VALUE"""),5.26)</f>
        <v>5.26</v>
      </c>
      <c r="F910" s="2"/>
      <c r="G910" s="2"/>
      <c r="H910" s="2"/>
      <c r="I910" s="2"/>
    </row>
    <row r="911">
      <c r="A911" s="2">
        <f>IFERROR(__xludf.DUMMYFUNCTION("""COMPUTED_VALUE"""),13369.0)</f>
        <v>13369</v>
      </c>
      <c r="B911" s="2" t="str">
        <f>IFERROR(__xludf.DUMMYFUNCTION("""COMPUTED_VALUE"""),"Fiction")</f>
        <v>Fiction</v>
      </c>
      <c r="C911" s="2" t="str">
        <f>IFERROR(__xludf.DUMMYFUNCTION("""COMPUTED_VALUE"""),"Medieval History")</f>
        <v>Medieval History</v>
      </c>
      <c r="D911" s="2" t="str">
        <f>IFERROR(__xludf.DUMMYFUNCTION("""COMPUTED_VALUE"""),"Frontline Books")</f>
        <v>Frontline Books</v>
      </c>
      <c r="E911" s="2">
        <f>IFERROR(__xludf.DUMMYFUNCTION("""COMPUTED_VALUE"""),4.13)</f>
        <v>4.13</v>
      </c>
      <c r="F911" s="2"/>
      <c r="G911" s="2"/>
      <c r="H911" s="2"/>
      <c r="I911" s="2"/>
    </row>
    <row r="912">
      <c r="A912" s="2">
        <f>IFERROR(__xludf.DUMMYFUNCTION("""COMPUTED_VALUE"""),147336.0)</f>
        <v>147336</v>
      </c>
      <c r="B912" s="2" t="str">
        <f>IFERROR(__xludf.DUMMYFUNCTION("""COMPUTED_VALUE"""),"Fiction")</f>
        <v>Fiction</v>
      </c>
      <c r="C912" s="2" t="str">
        <f>IFERROR(__xludf.DUMMYFUNCTION("""COMPUTED_VALUE"""),"Medieval History")</f>
        <v>Medieval History</v>
      </c>
      <c r="D912" s="2" t="str">
        <f>IFERROR(__xludf.DUMMYFUNCTION("""COMPUTED_VALUE"""),"Frontline Books")</f>
        <v>Frontline Books</v>
      </c>
      <c r="E912" s="2">
        <f>IFERROR(__xludf.DUMMYFUNCTION("""COMPUTED_VALUE"""),4.34)</f>
        <v>4.34</v>
      </c>
      <c r="F912" s="2"/>
      <c r="G912" s="2"/>
      <c r="H912" s="2"/>
      <c r="I912" s="2"/>
    </row>
    <row r="913">
      <c r="A913" s="2">
        <f>IFERROR(__xludf.DUMMYFUNCTION("""COMPUTED_VALUE"""),114899.0)</f>
        <v>114899</v>
      </c>
      <c r="B913" s="2" t="str">
        <f>IFERROR(__xludf.DUMMYFUNCTION("""COMPUTED_VALUE"""),"Fiction")</f>
        <v>Fiction</v>
      </c>
      <c r="C913" s="2" t="str">
        <f>IFERROR(__xludf.DUMMYFUNCTION("""COMPUTED_VALUE"""),"Medieval History")</f>
        <v>Medieval History</v>
      </c>
      <c r="D913" s="2" t="str">
        <f>IFERROR(__xludf.DUMMYFUNCTION("""COMPUTED_VALUE"""),"Frontline Books")</f>
        <v>Frontline Books</v>
      </c>
      <c r="E913" s="2">
        <f>IFERROR(__xludf.DUMMYFUNCTION("""COMPUTED_VALUE"""),4.6)</f>
        <v>4.6</v>
      </c>
      <c r="F913" s="2"/>
      <c r="G913" s="2"/>
      <c r="H913" s="2"/>
      <c r="I913" s="2"/>
    </row>
    <row r="914">
      <c r="A914" s="2">
        <f>IFERROR(__xludf.DUMMYFUNCTION("""COMPUTED_VALUE"""),113607.0)</f>
        <v>113607</v>
      </c>
      <c r="B914" s="2" t="str">
        <f>IFERROR(__xludf.DUMMYFUNCTION("""COMPUTED_VALUE"""),"Fiction")</f>
        <v>Fiction</v>
      </c>
      <c r="C914" s="2" t="str">
        <f>IFERROR(__xludf.DUMMYFUNCTION("""COMPUTED_VALUE"""),"Medieval History")</f>
        <v>Medieval History</v>
      </c>
      <c r="D914" s="2" t="str">
        <f>IFERROR(__xludf.DUMMYFUNCTION("""COMPUTED_VALUE"""),"Frontline Books")</f>
        <v>Frontline Books</v>
      </c>
      <c r="E914" s="2">
        <f>IFERROR(__xludf.DUMMYFUNCTION("""COMPUTED_VALUE"""),6.56)</f>
        <v>6.56</v>
      </c>
      <c r="F914" s="2"/>
      <c r="G914" s="2"/>
      <c r="H914" s="2"/>
      <c r="I914" s="2"/>
    </row>
    <row r="915">
      <c r="A915" s="2">
        <f>IFERROR(__xludf.DUMMYFUNCTION("""COMPUTED_VALUE"""),47183.0)</f>
        <v>47183</v>
      </c>
      <c r="B915" s="2" t="str">
        <f>IFERROR(__xludf.DUMMYFUNCTION("""COMPUTED_VALUE"""),"Fiction")</f>
        <v>Fiction</v>
      </c>
      <c r="C915" s="2" t="str">
        <f>IFERROR(__xludf.DUMMYFUNCTION("""COMPUTED_VALUE"""),"Medieval History")</f>
        <v>Medieval History</v>
      </c>
      <c r="D915" s="2" t="str">
        <f>IFERROR(__xludf.DUMMYFUNCTION("""COMPUTED_VALUE"""),"Frontline Books")</f>
        <v>Frontline Books</v>
      </c>
      <c r="E915" s="2">
        <f>IFERROR(__xludf.DUMMYFUNCTION("""COMPUTED_VALUE"""),3.81)</f>
        <v>3.81</v>
      </c>
      <c r="F915" s="2"/>
      <c r="G915" s="2"/>
      <c r="H915" s="2"/>
      <c r="I915" s="2"/>
    </row>
    <row r="916">
      <c r="A916" s="2">
        <f>IFERROR(__xludf.DUMMYFUNCTION("""COMPUTED_VALUE"""),78338.0)</f>
        <v>78338</v>
      </c>
      <c r="B916" s="2" t="str">
        <f>IFERROR(__xludf.DUMMYFUNCTION("""COMPUTED_VALUE"""),"Fiction")</f>
        <v>Fiction</v>
      </c>
      <c r="C916" s="2" t="str">
        <f>IFERROR(__xludf.DUMMYFUNCTION("""COMPUTED_VALUE"""),"Medieval History")</f>
        <v>Medieval History</v>
      </c>
      <c r="D916" s="2" t="str">
        <f>IFERROR(__xludf.DUMMYFUNCTION("""COMPUTED_VALUE"""),"Frontline Books")</f>
        <v>Frontline Books</v>
      </c>
      <c r="E916" s="2">
        <f>IFERROR(__xludf.DUMMYFUNCTION("""COMPUTED_VALUE"""),12.91)</f>
        <v>12.91</v>
      </c>
      <c r="F916" s="2"/>
      <c r="G916" s="2"/>
      <c r="H916" s="2"/>
      <c r="I916" s="2"/>
    </row>
    <row r="917">
      <c r="A917" s="2">
        <f>IFERROR(__xludf.DUMMYFUNCTION("""COMPUTED_VALUE"""),9526.0)</f>
        <v>9526</v>
      </c>
      <c r="B917" s="2" t="str">
        <f>IFERROR(__xludf.DUMMYFUNCTION("""COMPUTED_VALUE"""),"Fiction")</f>
        <v>Fiction</v>
      </c>
      <c r="C917" s="2" t="str">
        <f>IFERROR(__xludf.DUMMYFUNCTION("""COMPUTED_VALUE"""),"Medieval History")</f>
        <v>Medieval History</v>
      </c>
      <c r="D917" s="2" t="str">
        <f>IFERROR(__xludf.DUMMYFUNCTION("""COMPUTED_VALUE"""),"Frontline Books")</f>
        <v>Frontline Books</v>
      </c>
      <c r="E917" s="2">
        <f>IFERROR(__xludf.DUMMYFUNCTION("""COMPUTED_VALUE"""),10.12)</f>
        <v>10.12</v>
      </c>
      <c r="F917" s="2"/>
      <c r="G917" s="2"/>
      <c r="H917" s="2"/>
      <c r="I917" s="2"/>
    </row>
    <row r="918">
      <c r="A918" s="2">
        <f>IFERROR(__xludf.DUMMYFUNCTION("""COMPUTED_VALUE"""),107910.0)</f>
        <v>107910</v>
      </c>
      <c r="B918" s="2" t="str">
        <f>IFERROR(__xludf.DUMMYFUNCTION("""COMPUTED_VALUE"""),"Fiction")</f>
        <v>Fiction</v>
      </c>
      <c r="C918" s="2" t="str">
        <f>IFERROR(__xludf.DUMMYFUNCTION("""COMPUTED_VALUE"""),"Medieval History")</f>
        <v>Medieval History</v>
      </c>
      <c r="D918" s="2" t="str">
        <f>IFERROR(__xludf.DUMMYFUNCTION("""COMPUTED_VALUE"""),"Frontline Books")</f>
        <v>Frontline Books</v>
      </c>
      <c r="E918" s="2">
        <f>IFERROR(__xludf.DUMMYFUNCTION("""COMPUTED_VALUE"""),7.4)</f>
        <v>7.4</v>
      </c>
      <c r="F918" s="2"/>
      <c r="G918" s="2"/>
      <c r="H918" s="2"/>
      <c r="I918" s="2"/>
    </row>
    <row r="919">
      <c r="A919" s="2">
        <f>IFERROR(__xludf.DUMMYFUNCTION("""COMPUTED_VALUE"""),20056.0)</f>
        <v>20056</v>
      </c>
      <c r="B919" s="2" t="str">
        <f>IFERROR(__xludf.DUMMYFUNCTION("""COMPUTED_VALUE"""),"Fiction")</f>
        <v>Fiction</v>
      </c>
      <c r="C919" s="2" t="str">
        <f>IFERROR(__xludf.DUMMYFUNCTION("""COMPUTED_VALUE"""),"Medieval History")</f>
        <v>Medieval History</v>
      </c>
      <c r="D919" s="2" t="str">
        <f>IFERROR(__xludf.DUMMYFUNCTION("""COMPUTED_VALUE"""),"Pinnacle Ridge Press")</f>
        <v>Pinnacle Ridge Press</v>
      </c>
      <c r="E919" s="2">
        <f>IFERROR(__xludf.DUMMYFUNCTION("""COMPUTED_VALUE"""),1.6)</f>
        <v>1.6</v>
      </c>
      <c r="F919" s="2"/>
      <c r="G919" s="2"/>
      <c r="H919" s="2"/>
      <c r="I919" s="2"/>
    </row>
    <row r="920">
      <c r="A920" s="2">
        <f>IFERROR(__xludf.DUMMYFUNCTION("""COMPUTED_VALUE"""),108951.0)</f>
        <v>108951</v>
      </c>
      <c r="B920" s="2" t="str">
        <f>IFERROR(__xludf.DUMMYFUNCTION("""COMPUTED_VALUE"""),"Fiction")</f>
        <v>Fiction</v>
      </c>
      <c r="C920" s="2" t="str">
        <f>IFERROR(__xludf.DUMMYFUNCTION("""COMPUTED_VALUE"""),"Medieval History")</f>
        <v>Medieval History</v>
      </c>
      <c r="D920" s="2" t="str">
        <f>IFERROR(__xludf.DUMMYFUNCTION("""COMPUTED_VALUE"""),"Pinnacle Ridge Press")</f>
        <v>Pinnacle Ridge Press</v>
      </c>
      <c r="E920" s="2">
        <f>IFERROR(__xludf.DUMMYFUNCTION("""COMPUTED_VALUE"""),2.35)</f>
        <v>2.35</v>
      </c>
      <c r="F920" s="2"/>
      <c r="G920" s="2"/>
      <c r="H920" s="2"/>
      <c r="I920" s="2"/>
    </row>
    <row r="921">
      <c r="A921" s="2">
        <f>IFERROR(__xludf.DUMMYFUNCTION("""COMPUTED_VALUE"""),107783.0)</f>
        <v>107783</v>
      </c>
      <c r="B921" s="2" t="str">
        <f>IFERROR(__xludf.DUMMYFUNCTION("""COMPUTED_VALUE"""),"Fiction")</f>
        <v>Fiction</v>
      </c>
      <c r="C921" s="2" t="str">
        <f>IFERROR(__xludf.DUMMYFUNCTION("""COMPUTED_VALUE"""),"Medieval History")</f>
        <v>Medieval History</v>
      </c>
      <c r="D921" s="2" t="str">
        <f>IFERROR(__xludf.DUMMYFUNCTION("""COMPUTED_VALUE"""),"Pinnacle Ridge Press")</f>
        <v>Pinnacle Ridge Press</v>
      </c>
      <c r="E921" s="2">
        <f>IFERROR(__xludf.DUMMYFUNCTION("""COMPUTED_VALUE"""),1.83)</f>
        <v>1.83</v>
      </c>
      <c r="F921" s="2"/>
      <c r="G921" s="2"/>
      <c r="H921" s="2"/>
      <c r="I921" s="2"/>
    </row>
    <row r="922">
      <c r="A922" s="2">
        <f>IFERROR(__xludf.DUMMYFUNCTION("""COMPUTED_VALUE"""),80798.0)</f>
        <v>80798</v>
      </c>
      <c r="B922" s="2" t="str">
        <f>IFERROR(__xludf.DUMMYFUNCTION("""COMPUTED_VALUE"""),"Fiction")</f>
        <v>Fiction</v>
      </c>
      <c r="C922" s="2" t="str">
        <f>IFERROR(__xludf.DUMMYFUNCTION("""COMPUTED_VALUE"""),"Medieval History")</f>
        <v>Medieval History</v>
      </c>
      <c r="D922" s="2" t="str">
        <f>IFERROR(__xludf.DUMMYFUNCTION("""COMPUTED_VALUE"""),"Pinnacle Ridge Press")</f>
        <v>Pinnacle Ridge Press</v>
      </c>
      <c r="E922" s="2">
        <f>IFERROR(__xludf.DUMMYFUNCTION("""COMPUTED_VALUE"""),3.04)</f>
        <v>3.04</v>
      </c>
      <c r="F922" s="2"/>
      <c r="G922" s="2"/>
      <c r="H922" s="2"/>
      <c r="I922" s="2"/>
    </row>
    <row r="923">
      <c r="A923" s="2">
        <f>IFERROR(__xludf.DUMMYFUNCTION("""COMPUTED_VALUE"""),108950.0)</f>
        <v>108950</v>
      </c>
      <c r="B923" s="2" t="str">
        <f>IFERROR(__xludf.DUMMYFUNCTION("""COMPUTED_VALUE"""),"Fiction")</f>
        <v>Fiction</v>
      </c>
      <c r="C923" s="2" t="str">
        <f>IFERROR(__xludf.DUMMYFUNCTION("""COMPUTED_VALUE"""),"Medieval History")</f>
        <v>Medieval History</v>
      </c>
      <c r="D923" s="2" t="str">
        <f>IFERROR(__xludf.DUMMYFUNCTION("""COMPUTED_VALUE"""),"Pinnacle Ridge Press")</f>
        <v>Pinnacle Ridge Press</v>
      </c>
      <c r="E923" s="2">
        <f>IFERROR(__xludf.DUMMYFUNCTION("""COMPUTED_VALUE"""),3.88)</f>
        <v>3.88</v>
      </c>
      <c r="F923" s="2"/>
      <c r="G923" s="2"/>
      <c r="H923" s="2"/>
      <c r="I923" s="2"/>
    </row>
    <row r="924">
      <c r="A924" s="2">
        <f>IFERROR(__xludf.DUMMYFUNCTION("""COMPUTED_VALUE"""),112847.0)</f>
        <v>112847</v>
      </c>
      <c r="B924" s="2" t="str">
        <f>IFERROR(__xludf.DUMMYFUNCTION("""COMPUTED_VALUE"""),"Fiction")</f>
        <v>Fiction</v>
      </c>
      <c r="C924" s="2" t="str">
        <f>IFERROR(__xludf.DUMMYFUNCTION("""COMPUTED_VALUE"""),"Medieval History")</f>
        <v>Medieval History</v>
      </c>
      <c r="D924" s="2" t="str">
        <f>IFERROR(__xludf.DUMMYFUNCTION("""COMPUTED_VALUE"""),"Pinnacle Ridge Press")</f>
        <v>Pinnacle Ridge Press</v>
      </c>
      <c r="E924" s="2">
        <f>IFERROR(__xludf.DUMMYFUNCTION("""COMPUTED_VALUE"""),1.86)</f>
        <v>1.86</v>
      </c>
      <c r="F924" s="2"/>
      <c r="G924" s="2"/>
      <c r="H924" s="2"/>
      <c r="I924" s="2"/>
    </row>
    <row r="925">
      <c r="A925" s="2">
        <f>IFERROR(__xludf.DUMMYFUNCTION("""COMPUTED_VALUE"""),109202.0)</f>
        <v>109202</v>
      </c>
      <c r="B925" s="2" t="str">
        <f>IFERROR(__xludf.DUMMYFUNCTION("""COMPUTED_VALUE"""),"Fiction")</f>
        <v>Fiction</v>
      </c>
      <c r="C925" s="2" t="str">
        <f>IFERROR(__xludf.DUMMYFUNCTION("""COMPUTED_VALUE"""),"Medieval History")</f>
        <v>Medieval History</v>
      </c>
      <c r="D925" s="2" t="str">
        <f>IFERROR(__xludf.DUMMYFUNCTION("""COMPUTED_VALUE"""),"Pinnacle Ridge Press")</f>
        <v>Pinnacle Ridge Press</v>
      </c>
      <c r="E925" s="2">
        <f>IFERROR(__xludf.DUMMYFUNCTION("""COMPUTED_VALUE"""),2.39)</f>
        <v>2.39</v>
      </c>
      <c r="F925" s="2"/>
      <c r="G925" s="2"/>
      <c r="H925" s="2"/>
      <c r="I925" s="2"/>
    </row>
    <row r="926">
      <c r="A926" s="2">
        <f>IFERROR(__xludf.DUMMYFUNCTION("""COMPUTED_VALUE"""),109198.0)</f>
        <v>109198</v>
      </c>
      <c r="B926" s="2" t="str">
        <f>IFERROR(__xludf.DUMMYFUNCTION("""COMPUTED_VALUE"""),"Fiction")</f>
        <v>Fiction</v>
      </c>
      <c r="C926" s="2" t="str">
        <f>IFERROR(__xludf.DUMMYFUNCTION("""COMPUTED_VALUE"""),"Medieval History")</f>
        <v>Medieval History</v>
      </c>
      <c r="D926" s="2" t="str">
        <f>IFERROR(__xludf.DUMMYFUNCTION("""COMPUTED_VALUE"""),"Pinnacle Ridge Press")</f>
        <v>Pinnacle Ridge Press</v>
      </c>
      <c r="E926" s="2">
        <f>IFERROR(__xludf.DUMMYFUNCTION("""COMPUTED_VALUE"""),2.3)</f>
        <v>2.3</v>
      </c>
      <c r="F926" s="2"/>
      <c r="G926" s="2"/>
      <c r="H926" s="2"/>
      <c r="I926" s="2"/>
    </row>
    <row r="927">
      <c r="A927" s="2">
        <f>IFERROR(__xludf.DUMMYFUNCTION("""COMPUTED_VALUE"""),108990.0)</f>
        <v>108990</v>
      </c>
      <c r="B927" s="2" t="str">
        <f>IFERROR(__xludf.DUMMYFUNCTION("""COMPUTED_VALUE"""),"Fiction")</f>
        <v>Fiction</v>
      </c>
      <c r="C927" s="2" t="str">
        <f>IFERROR(__xludf.DUMMYFUNCTION("""COMPUTED_VALUE"""),"Medieval History")</f>
        <v>Medieval History</v>
      </c>
      <c r="D927" s="2" t="str">
        <f>IFERROR(__xludf.DUMMYFUNCTION("""COMPUTED_VALUE"""),"Pinnacle Ridge Press")</f>
        <v>Pinnacle Ridge Press</v>
      </c>
      <c r="E927" s="2">
        <f>IFERROR(__xludf.DUMMYFUNCTION("""COMPUTED_VALUE"""),3.16)</f>
        <v>3.16</v>
      </c>
      <c r="F927" s="2"/>
      <c r="G927" s="2"/>
      <c r="H927" s="2"/>
      <c r="I927" s="2"/>
    </row>
    <row r="928">
      <c r="A928" s="2">
        <f>IFERROR(__xludf.DUMMYFUNCTION("""COMPUTED_VALUE"""),72815.0)</f>
        <v>72815</v>
      </c>
      <c r="B928" s="2" t="str">
        <f>IFERROR(__xludf.DUMMYFUNCTION("""COMPUTED_VALUE"""),"Fiction")</f>
        <v>Fiction</v>
      </c>
      <c r="C928" s="2" t="str">
        <f>IFERROR(__xludf.DUMMYFUNCTION("""COMPUTED_VALUE"""),"Medieval History")</f>
        <v>Medieval History</v>
      </c>
      <c r="D928" s="2" t="str">
        <f>IFERROR(__xludf.DUMMYFUNCTION("""COMPUTED_VALUE"""),"Pinnacle Ridge Press")</f>
        <v>Pinnacle Ridge Press</v>
      </c>
      <c r="E928" s="2">
        <f>IFERROR(__xludf.DUMMYFUNCTION("""COMPUTED_VALUE"""),2.16)</f>
        <v>2.16</v>
      </c>
      <c r="F928" s="2"/>
      <c r="G928" s="2"/>
      <c r="H928" s="2"/>
      <c r="I928" s="2"/>
    </row>
    <row r="929">
      <c r="A929" s="2">
        <f>IFERROR(__xludf.DUMMYFUNCTION("""COMPUTED_VALUE"""),9479.0)</f>
        <v>9479</v>
      </c>
      <c r="B929" s="2" t="str">
        <f>IFERROR(__xludf.DUMMYFUNCTION("""COMPUTED_VALUE"""),"Fiction")</f>
        <v>Fiction</v>
      </c>
      <c r="C929" s="2" t="str">
        <f>IFERROR(__xludf.DUMMYFUNCTION("""COMPUTED_VALUE"""),"Medieval History")</f>
        <v>Medieval History</v>
      </c>
      <c r="D929" s="2" t="str">
        <f>IFERROR(__xludf.DUMMYFUNCTION("""COMPUTED_VALUE"""),"Pinnacle Ridge Press")</f>
        <v>Pinnacle Ridge Press</v>
      </c>
      <c r="E929" s="2">
        <f>IFERROR(__xludf.DUMMYFUNCTION("""COMPUTED_VALUE"""),1.75)</f>
        <v>1.75</v>
      </c>
      <c r="F929" s="2"/>
      <c r="G929" s="2"/>
      <c r="H929" s="2"/>
      <c r="I929" s="2"/>
    </row>
    <row r="930">
      <c r="A930" s="2">
        <f>IFERROR(__xludf.DUMMYFUNCTION("""COMPUTED_VALUE"""),46961.0)</f>
        <v>46961</v>
      </c>
      <c r="B930" s="2" t="str">
        <f>IFERROR(__xludf.DUMMYFUNCTION("""COMPUTED_VALUE"""),"Fiction")</f>
        <v>Fiction</v>
      </c>
      <c r="C930" s="2" t="str">
        <f>IFERROR(__xludf.DUMMYFUNCTION("""COMPUTED_VALUE"""),"Medieval History")</f>
        <v>Medieval History</v>
      </c>
      <c r="D930" s="2" t="str">
        <f>IFERROR(__xludf.DUMMYFUNCTION("""COMPUTED_VALUE"""),"Pinnacle Ridge Press")</f>
        <v>Pinnacle Ridge Press</v>
      </c>
      <c r="E930" s="2">
        <f>IFERROR(__xludf.DUMMYFUNCTION("""COMPUTED_VALUE"""),2.08)</f>
        <v>2.08</v>
      </c>
      <c r="F930" s="2"/>
      <c r="G930" s="2"/>
      <c r="H930" s="2"/>
      <c r="I930" s="2"/>
    </row>
    <row r="931">
      <c r="A931" s="2">
        <f>IFERROR(__xludf.DUMMYFUNCTION("""COMPUTED_VALUE"""),122352.0)</f>
        <v>122352</v>
      </c>
      <c r="B931" s="2" t="str">
        <f>IFERROR(__xludf.DUMMYFUNCTION("""COMPUTED_VALUE"""),"Fiction")</f>
        <v>Fiction</v>
      </c>
      <c r="C931" s="2" t="str">
        <f>IFERROR(__xludf.DUMMYFUNCTION("""COMPUTED_VALUE"""),"Medieval History")</f>
        <v>Medieval History</v>
      </c>
      <c r="D931" s="2" t="str">
        <f>IFERROR(__xludf.DUMMYFUNCTION("""COMPUTED_VALUE"""),"Pinnacle Ridge Press")</f>
        <v>Pinnacle Ridge Press</v>
      </c>
      <c r="E931" s="2">
        <f>IFERROR(__xludf.DUMMYFUNCTION("""COMPUTED_VALUE"""),2.24)</f>
        <v>2.24</v>
      </c>
      <c r="F931" s="2"/>
      <c r="G931" s="2"/>
      <c r="H931" s="2"/>
      <c r="I931" s="2"/>
    </row>
    <row r="932">
      <c r="A932" s="2">
        <f>IFERROR(__xludf.DUMMYFUNCTION("""COMPUTED_VALUE"""),44750.0)</f>
        <v>44750</v>
      </c>
      <c r="B932" s="2" t="str">
        <f>IFERROR(__xludf.DUMMYFUNCTION("""COMPUTED_VALUE"""),"Fiction")</f>
        <v>Fiction</v>
      </c>
      <c r="C932" s="2" t="str">
        <f>IFERROR(__xludf.DUMMYFUNCTION("""COMPUTED_VALUE"""),"Medieval History")</f>
        <v>Medieval History</v>
      </c>
      <c r="D932" s="2" t="str">
        <f>IFERROR(__xludf.DUMMYFUNCTION("""COMPUTED_VALUE"""),"Pinnacle Ridge Press")</f>
        <v>Pinnacle Ridge Press</v>
      </c>
      <c r="E932" s="2">
        <f>IFERROR(__xludf.DUMMYFUNCTION("""COMPUTED_VALUE"""),5.27)</f>
        <v>5.27</v>
      </c>
      <c r="F932" s="2"/>
      <c r="G932" s="2"/>
      <c r="H932" s="2"/>
      <c r="I932" s="2"/>
    </row>
    <row r="933">
      <c r="A933" s="2">
        <f>IFERROR(__xludf.DUMMYFUNCTION("""COMPUTED_VALUE"""),114405.0)</f>
        <v>114405</v>
      </c>
      <c r="B933" s="2" t="str">
        <f>IFERROR(__xludf.DUMMYFUNCTION("""COMPUTED_VALUE"""),"Fiction")</f>
        <v>Fiction</v>
      </c>
      <c r="C933" s="2" t="str">
        <f>IFERROR(__xludf.DUMMYFUNCTION("""COMPUTED_VALUE"""),"Medieval History")</f>
        <v>Medieval History</v>
      </c>
      <c r="D933" s="2" t="str">
        <f>IFERROR(__xludf.DUMMYFUNCTION("""COMPUTED_VALUE"""),"Pinnacle Ridge Press")</f>
        <v>Pinnacle Ridge Press</v>
      </c>
      <c r="E933" s="2">
        <f>IFERROR(__xludf.DUMMYFUNCTION("""COMPUTED_VALUE"""),1.7)</f>
        <v>1.7</v>
      </c>
      <c r="F933" s="2"/>
      <c r="G933" s="2"/>
      <c r="H933" s="2"/>
      <c r="I933" s="2"/>
    </row>
    <row r="934">
      <c r="A934" s="2">
        <f>IFERROR(__xludf.DUMMYFUNCTION("""COMPUTED_VALUE"""),2797.0)</f>
        <v>2797</v>
      </c>
      <c r="B934" s="2" t="str">
        <f>IFERROR(__xludf.DUMMYFUNCTION("""COMPUTED_VALUE"""),"Fiction")</f>
        <v>Fiction</v>
      </c>
      <c r="C934" s="2" t="str">
        <f>IFERROR(__xludf.DUMMYFUNCTION("""COMPUTED_VALUE"""),"Medieval History")</f>
        <v>Medieval History</v>
      </c>
      <c r="D934" s="2" t="str">
        <f>IFERROR(__xludf.DUMMYFUNCTION("""COMPUTED_VALUE"""),"Pinnacle Ridge Press")</f>
        <v>Pinnacle Ridge Press</v>
      </c>
      <c r="E934" s="2">
        <f>IFERROR(__xludf.DUMMYFUNCTION("""COMPUTED_VALUE"""),2.79)</f>
        <v>2.79</v>
      </c>
      <c r="F934" s="2"/>
      <c r="G934" s="2"/>
      <c r="H934" s="2"/>
      <c r="I934" s="2"/>
    </row>
    <row r="935">
      <c r="A935" s="2">
        <f>IFERROR(__xludf.DUMMYFUNCTION("""COMPUTED_VALUE"""),79499.0)</f>
        <v>79499</v>
      </c>
      <c r="B935" s="2" t="str">
        <f>IFERROR(__xludf.DUMMYFUNCTION("""COMPUTED_VALUE"""),"Fiction")</f>
        <v>Fiction</v>
      </c>
      <c r="C935" s="2" t="str">
        <f>IFERROR(__xludf.DUMMYFUNCTION("""COMPUTED_VALUE"""),"Medieval History")</f>
        <v>Medieval History</v>
      </c>
      <c r="D935" s="2" t="str">
        <f>IFERROR(__xludf.DUMMYFUNCTION("""COMPUTED_VALUE"""),"Pinnacle Ridge Press")</f>
        <v>Pinnacle Ridge Press</v>
      </c>
      <c r="E935" s="2">
        <f>IFERROR(__xludf.DUMMYFUNCTION("""COMPUTED_VALUE"""),1.96)</f>
        <v>1.96</v>
      </c>
      <c r="F935" s="2"/>
      <c r="G935" s="2"/>
      <c r="H935" s="2"/>
      <c r="I935" s="2"/>
    </row>
    <row r="936">
      <c r="A936" s="2">
        <f>IFERROR(__xludf.DUMMYFUNCTION("""COMPUTED_VALUE"""),5902.0)</f>
        <v>5902</v>
      </c>
      <c r="B936" s="2" t="str">
        <f>IFERROR(__xludf.DUMMYFUNCTION("""COMPUTED_VALUE"""),"Fiction")</f>
        <v>Fiction</v>
      </c>
      <c r="C936" s="2" t="str">
        <f>IFERROR(__xludf.DUMMYFUNCTION("""COMPUTED_VALUE"""),"Medieval History")</f>
        <v>Medieval History</v>
      </c>
      <c r="D936" s="2" t="str">
        <f>IFERROR(__xludf.DUMMYFUNCTION("""COMPUTED_VALUE"""),"Pinnacle Ridge Press")</f>
        <v>Pinnacle Ridge Press</v>
      </c>
      <c r="E936" s="2">
        <f>IFERROR(__xludf.DUMMYFUNCTION("""COMPUTED_VALUE"""),4.65)</f>
        <v>4.65</v>
      </c>
      <c r="F936" s="2"/>
      <c r="G936" s="2"/>
      <c r="H936" s="2"/>
      <c r="I936" s="2"/>
    </row>
    <row r="937">
      <c r="A937" s="2">
        <f>IFERROR(__xludf.DUMMYFUNCTION("""COMPUTED_VALUE"""),46956.0)</f>
        <v>46956</v>
      </c>
      <c r="B937" s="2" t="str">
        <f>IFERROR(__xludf.DUMMYFUNCTION("""COMPUTED_VALUE"""),"Fiction")</f>
        <v>Fiction</v>
      </c>
      <c r="C937" s="2" t="str">
        <f>IFERROR(__xludf.DUMMYFUNCTION("""COMPUTED_VALUE"""),"Medieval History")</f>
        <v>Medieval History</v>
      </c>
      <c r="D937" s="2" t="str">
        <f>IFERROR(__xludf.DUMMYFUNCTION("""COMPUTED_VALUE"""),"Pinnacle Ridge Press")</f>
        <v>Pinnacle Ridge Press</v>
      </c>
      <c r="E937" s="2">
        <f>IFERROR(__xludf.DUMMYFUNCTION("""COMPUTED_VALUE"""),1.95)</f>
        <v>1.95</v>
      </c>
      <c r="F937" s="2"/>
      <c r="G937" s="2"/>
      <c r="H937" s="2"/>
      <c r="I937" s="2"/>
    </row>
    <row r="938">
      <c r="A938" s="2">
        <f>IFERROR(__xludf.DUMMYFUNCTION("""COMPUTED_VALUE"""),11490.0)</f>
        <v>11490</v>
      </c>
      <c r="B938" s="2" t="str">
        <f>IFERROR(__xludf.DUMMYFUNCTION("""COMPUTED_VALUE"""),"Fiction")</f>
        <v>Fiction</v>
      </c>
      <c r="C938" s="2" t="str">
        <f>IFERROR(__xludf.DUMMYFUNCTION("""COMPUTED_VALUE"""),"Medieval History")</f>
        <v>Medieval History</v>
      </c>
      <c r="D938" s="2" t="str">
        <f>IFERROR(__xludf.DUMMYFUNCTION("""COMPUTED_VALUE"""),"Pinnacle Ridge Press")</f>
        <v>Pinnacle Ridge Press</v>
      </c>
      <c r="E938" s="2">
        <f>IFERROR(__xludf.DUMMYFUNCTION("""COMPUTED_VALUE"""),1.66)</f>
        <v>1.66</v>
      </c>
      <c r="F938" s="2"/>
      <c r="G938" s="2"/>
      <c r="H938" s="2"/>
      <c r="I938" s="2"/>
    </row>
    <row r="939">
      <c r="A939" s="2">
        <f>IFERROR(__xludf.DUMMYFUNCTION("""COMPUTED_VALUE"""),8027.0)</f>
        <v>8027</v>
      </c>
      <c r="B939" s="2" t="str">
        <f>IFERROR(__xludf.DUMMYFUNCTION("""COMPUTED_VALUE"""),"Fiction")</f>
        <v>Fiction</v>
      </c>
      <c r="C939" s="2" t="str">
        <f>IFERROR(__xludf.DUMMYFUNCTION("""COMPUTED_VALUE"""),"Medieval History")</f>
        <v>Medieval History</v>
      </c>
      <c r="D939" s="2" t="str">
        <f>IFERROR(__xludf.DUMMYFUNCTION("""COMPUTED_VALUE"""),"Pinnacle Ridge Press")</f>
        <v>Pinnacle Ridge Press</v>
      </c>
      <c r="E939" s="2">
        <f>IFERROR(__xludf.DUMMYFUNCTION("""COMPUTED_VALUE"""),2.69)</f>
        <v>2.69</v>
      </c>
      <c r="F939" s="2"/>
      <c r="G939" s="2"/>
      <c r="H939" s="2"/>
      <c r="I939" s="2"/>
    </row>
    <row r="940">
      <c r="A940" s="2">
        <f>IFERROR(__xludf.DUMMYFUNCTION("""COMPUTED_VALUE"""),121588.0)</f>
        <v>121588</v>
      </c>
      <c r="B940" s="2" t="str">
        <f>IFERROR(__xludf.DUMMYFUNCTION("""COMPUTED_VALUE"""),"Fiction")</f>
        <v>Fiction</v>
      </c>
      <c r="C940" s="2" t="str">
        <f>IFERROR(__xludf.DUMMYFUNCTION("""COMPUTED_VALUE"""),"Medieval History")</f>
        <v>Medieval History</v>
      </c>
      <c r="D940" s="2" t="str">
        <f>IFERROR(__xludf.DUMMYFUNCTION("""COMPUTED_VALUE"""),"Pinnacle Ridge Press")</f>
        <v>Pinnacle Ridge Press</v>
      </c>
      <c r="E940" s="2">
        <f>IFERROR(__xludf.DUMMYFUNCTION("""COMPUTED_VALUE"""),4.37)</f>
        <v>4.37</v>
      </c>
      <c r="F940" s="2"/>
      <c r="G940" s="2"/>
      <c r="H940" s="2"/>
      <c r="I940" s="2"/>
    </row>
    <row r="941">
      <c r="A941" s="2">
        <f>IFERROR(__xludf.DUMMYFUNCTION("""COMPUTED_VALUE"""),1279.0)</f>
        <v>1279</v>
      </c>
      <c r="B941" s="2" t="str">
        <f>IFERROR(__xludf.DUMMYFUNCTION("""COMPUTED_VALUE"""),"Fiction")</f>
        <v>Fiction</v>
      </c>
      <c r="C941" s="2" t="str">
        <f>IFERROR(__xludf.DUMMYFUNCTION("""COMPUTED_VALUE"""),"Medieval History")</f>
        <v>Medieval History</v>
      </c>
      <c r="D941" s="2" t="str">
        <f>IFERROR(__xludf.DUMMYFUNCTION("""COMPUTED_VALUE"""),"Pinnacle Ridge Press")</f>
        <v>Pinnacle Ridge Press</v>
      </c>
      <c r="E941" s="2">
        <f>IFERROR(__xludf.DUMMYFUNCTION("""COMPUTED_VALUE"""),1.76)</f>
        <v>1.76</v>
      </c>
      <c r="F941" s="2"/>
      <c r="G941" s="2"/>
      <c r="H941" s="2"/>
      <c r="I941" s="2"/>
    </row>
    <row r="942">
      <c r="A942" s="2">
        <f>IFERROR(__xludf.DUMMYFUNCTION("""COMPUTED_VALUE"""),5978.0)</f>
        <v>5978</v>
      </c>
      <c r="B942" s="2" t="str">
        <f>IFERROR(__xludf.DUMMYFUNCTION("""COMPUTED_VALUE"""),"Fiction")</f>
        <v>Fiction</v>
      </c>
      <c r="C942" s="2" t="str">
        <f>IFERROR(__xludf.DUMMYFUNCTION("""COMPUTED_VALUE"""),"Medieval History")</f>
        <v>Medieval History</v>
      </c>
      <c r="D942" s="2" t="str">
        <f>IFERROR(__xludf.DUMMYFUNCTION("""COMPUTED_VALUE"""),"Pinnacle Ridge Press")</f>
        <v>Pinnacle Ridge Press</v>
      </c>
      <c r="E942" s="2">
        <f>IFERROR(__xludf.DUMMYFUNCTION("""COMPUTED_VALUE"""),4.02)</f>
        <v>4.02</v>
      </c>
      <c r="F942" s="2"/>
      <c r="G942" s="2"/>
      <c r="H942" s="2"/>
      <c r="I942" s="2"/>
    </row>
    <row r="943">
      <c r="A943" s="2">
        <f>IFERROR(__xludf.DUMMYFUNCTION("""COMPUTED_VALUE"""),72813.0)</f>
        <v>72813</v>
      </c>
      <c r="B943" s="2" t="str">
        <f>IFERROR(__xludf.DUMMYFUNCTION("""COMPUTED_VALUE"""),"Fiction")</f>
        <v>Fiction</v>
      </c>
      <c r="C943" s="2" t="str">
        <f>IFERROR(__xludf.DUMMYFUNCTION("""COMPUTED_VALUE"""),"Medieval History")</f>
        <v>Medieval History</v>
      </c>
      <c r="D943" s="2" t="str">
        <f>IFERROR(__xludf.DUMMYFUNCTION("""COMPUTED_VALUE"""),"Pinnacle Ridge Press")</f>
        <v>Pinnacle Ridge Press</v>
      </c>
      <c r="E943" s="2">
        <f>IFERROR(__xludf.DUMMYFUNCTION("""COMPUTED_VALUE"""),2.38)</f>
        <v>2.38</v>
      </c>
      <c r="F943" s="2"/>
      <c r="G943" s="2"/>
      <c r="H943" s="2"/>
      <c r="I943" s="2"/>
    </row>
    <row r="944">
      <c r="A944" s="2">
        <f>IFERROR(__xludf.DUMMYFUNCTION("""COMPUTED_VALUE"""),9486.0)</f>
        <v>9486</v>
      </c>
      <c r="B944" s="2" t="str">
        <f>IFERROR(__xludf.DUMMYFUNCTION("""COMPUTED_VALUE"""),"Fiction")</f>
        <v>Fiction</v>
      </c>
      <c r="C944" s="2" t="str">
        <f>IFERROR(__xludf.DUMMYFUNCTION("""COMPUTED_VALUE"""),"Medieval History")</f>
        <v>Medieval History</v>
      </c>
      <c r="D944" s="2" t="str">
        <f>IFERROR(__xludf.DUMMYFUNCTION("""COMPUTED_VALUE"""),"Pinnacle Ridge Press")</f>
        <v>Pinnacle Ridge Press</v>
      </c>
      <c r="E944" s="2">
        <f>IFERROR(__xludf.DUMMYFUNCTION("""COMPUTED_VALUE"""),14.48)</f>
        <v>14.48</v>
      </c>
      <c r="F944" s="2"/>
      <c r="G944" s="2"/>
      <c r="H944" s="2"/>
      <c r="I944" s="2"/>
    </row>
    <row r="945">
      <c r="A945" s="2">
        <f>IFERROR(__xludf.DUMMYFUNCTION("""COMPUTED_VALUE"""),2791.0)</f>
        <v>2791</v>
      </c>
      <c r="B945" s="2" t="str">
        <f>IFERROR(__xludf.DUMMYFUNCTION("""COMPUTED_VALUE"""),"Fiction")</f>
        <v>Fiction</v>
      </c>
      <c r="C945" s="2" t="str">
        <f>IFERROR(__xludf.DUMMYFUNCTION("""COMPUTED_VALUE"""),"Medieval History")</f>
        <v>Medieval History</v>
      </c>
      <c r="D945" s="2" t="str">
        <f>IFERROR(__xludf.DUMMYFUNCTION("""COMPUTED_VALUE"""),"Pinnacle Ridge Press")</f>
        <v>Pinnacle Ridge Press</v>
      </c>
      <c r="E945" s="2">
        <f>IFERROR(__xludf.DUMMYFUNCTION("""COMPUTED_VALUE"""),2.33)</f>
        <v>2.33</v>
      </c>
      <c r="F945" s="2"/>
      <c r="G945" s="2"/>
      <c r="H945" s="2"/>
      <c r="I945" s="2"/>
    </row>
    <row r="946">
      <c r="A946" s="2">
        <f>IFERROR(__xludf.DUMMYFUNCTION("""COMPUTED_VALUE"""),109206.0)</f>
        <v>109206</v>
      </c>
      <c r="B946" s="2" t="str">
        <f>IFERROR(__xludf.DUMMYFUNCTION("""COMPUTED_VALUE"""),"Fiction")</f>
        <v>Fiction</v>
      </c>
      <c r="C946" s="2" t="str">
        <f>IFERROR(__xludf.DUMMYFUNCTION("""COMPUTED_VALUE"""),"Medieval History")</f>
        <v>Medieval History</v>
      </c>
      <c r="D946" s="2" t="str">
        <f>IFERROR(__xludf.DUMMYFUNCTION("""COMPUTED_VALUE"""),"Pinnacle Ridge Press")</f>
        <v>Pinnacle Ridge Press</v>
      </c>
      <c r="E946" s="2">
        <f>IFERROR(__xludf.DUMMYFUNCTION("""COMPUTED_VALUE"""),2.38)</f>
        <v>2.38</v>
      </c>
      <c r="F946" s="2"/>
      <c r="G946" s="2"/>
      <c r="H946" s="2"/>
      <c r="I946" s="2"/>
    </row>
    <row r="947">
      <c r="A947" s="2">
        <f>IFERROR(__xludf.DUMMYFUNCTION("""COMPUTED_VALUE"""),9478.0)</f>
        <v>9478</v>
      </c>
      <c r="B947" s="2" t="str">
        <f>IFERROR(__xludf.DUMMYFUNCTION("""COMPUTED_VALUE"""),"Fiction")</f>
        <v>Fiction</v>
      </c>
      <c r="C947" s="2" t="str">
        <f>IFERROR(__xludf.DUMMYFUNCTION("""COMPUTED_VALUE"""),"Medieval History")</f>
        <v>Medieval History</v>
      </c>
      <c r="D947" s="2" t="str">
        <f>IFERROR(__xludf.DUMMYFUNCTION("""COMPUTED_VALUE"""),"Pinnacle Ridge Press")</f>
        <v>Pinnacle Ridge Press</v>
      </c>
      <c r="E947" s="2">
        <f>IFERROR(__xludf.DUMMYFUNCTION("""COMPUTED_VALUE"""),3.1)</f>
        <v>3.1</v>
      </c>
      <c r="F947" s="2"/>
      <c r="G947" s="2"/>
      <c r="H947" s="2"/>
      <c r="I947" s="2"/>
    </row>
    <row r="948">
      <c r="A948" s="2">
        <f>IFERROR(__xludf.DUMMYFUNCTION("""COMPUTED_VALUE"""),122699.0)</f>
        <v>122699</v>
      </c>
      <c r="B948" s="2" t="str">
        <f>IFERROR(__xludf.DUMMYFUNCTION("""COMPUTED_VALUE"""),"Fiction")</f>
        <v>Fiction</v>
      </c>
      <c r="C948" s="2" t="str">
        <f>IFERROR(__xludf.DUMMYFUNCTION("""COMPUTED_VALUE"""),"Medieval History")</f>
        <v>Medieval History</v>
      </c>
      <c r="D948" s="2" t="str">
        <f>IFERROR(__xludf.DUMMYFUNCTION("""COMPUTED_VALUE"""),"Pinnacle Ridge Press")</f>
        <v>Pinnacle Ridge Press</v>
      </c>
      <c r="E948" s="2">
        <f>IFERROR(__xludf.DUMMYFUNCTION("""COMPUTED_VALUE"""),3.68)</f>
        <v>3.68</v>
      </c>
      <c r="F948" s="2"/>
      <c r="G948" s="2"/>
      <c r="H948" s="2"/>
      <c r="I948" s="2"/>
    </row>
    <row r="949">
      <c r="A949" s="2">
        <f>IFERROR(__xludf.DUMMYFUNCTION("""COMPUTED_VALUE"""),2794.0)</f>
        <v>2794</v>
      </c>
      <c r="B949" s="2" t="str">
        <f>IFERROR(__xludf.DUMMYFUNCTION("""COMPUTED_VALUE"""),"Fiction")</f>
        <v>Fiction</v>
      </c>
      <c r="C949" s="2" t="str">
        <f>IFERROR(__xludf.DUMMYFUNCTION("""COMPUTED_VALUE"""),"Medieval History")</f>
        <v>Medieval History</v>
      </c>
      <c r="D949" s="2" t="str">
        <f>IFERROR(__xludf.DUMMYFUNCTION("""COMPUTED_VALUE"""),"Pinnacle Ridge Press")</f>
        <v>Pinnacle Ridge Press</v>
      </c>
      <c r="E949" s="2">
        <f>IFERROR(__xludf.DUMMYFUNCTION("""COMPUTED_VALUE"""),2.05)</f>
        <v>2.05</v>
      </c>
      <c r="F949" s="2"/>
      <c r="G949" s="2"/>
      <c r="H949" s="2"/>
      <c r="I949" s="2"/>
    </row>
    <row r="950">
      <c r="A950" s="2">
        <f>IFERROR(__xludf.DUMMYFUNCTION("""COMPUTED_VALUE"""),109200.0)</f>
        <v>109200</v>
      </c>
      <c r="B950" s="2" t="str">
        <f>IFERROR(__xludf.DUMMYFUNCTION("""COMPUTED_VALUE"""),"Fiction")</f>
        <v>Fiction</v>
      </c>
      <c r="C950" s="2" t="str">
        <f>IFERROR(__xludf.DUMMYFUNCTION("""COMPUTED_VALUE"""),"Medieval History")</f>
        <v>Medieval History</v>
      </c>
      <c r="D950" s="2" t="str">
        <f>IFERROR(__xludf.DUMMYFUNCTION("""COMPUTED_VALUE"""),"Pinnacle Ridge Press")</f>
        <v>Pinnacle Ridge Press</v>
      </c>
      <c r="E950" s="2">
        <f>IFERROR(__xludf.DUMMYFUNCTION("""COMPUTED_VALUE"""),2.13)</f>
        <v>2.13</v>
      </c>
      <c r="F950" s="2"/>
      <c r="G950" s="2"/>
      <c r="H950" s="2"/>
      <c r="I950" s="2"/>
    </row>
    <row r="951">
      <c r="A951" s="2">
        <f>IFERROR(__xludf.DUMMYFUNCTION("""COMPUTED_VALUE"""),118263.0)</f>
        <v>118263</v>
      </c>
      <c r="B951" s="2" t="str">
        <f>IFERROR(__xludf.DUMMYFUNCTION("""COMPUTED_VALUE"""),"Fiction")</f>
        <v>Fiction</v>
      </c>
      <c r="C951" s="2" t="str">
        <f>IFERROR(__xludf.DUMMYFUNCTION("""COMPUTED_VALUE"""),"Medieval History")</f>
        <v>Medieval History</v>
      </c>
      <c r="D951" s="2" t="str">
        <f>IFERROR(__xludf.DUMMYFUNCTION("""COMPUTED_VALUE"""),"Pinnacle Ridge Press")</f>
        <v>Pinnacle Ridge Press</v>
      </c>
      <c r="E951" s="2">
        <f>IFERROR(__xludf.DUMMYFUNCTION("""COMPUTED_VALUE"""),1.32)</f>
        <v>1.32</v>
      </c>
      <c r="F951" s="2"/>
      <c r="G951" s="2"/>
      <c r="H951" s="2"/>
      <c r="I951" s="2"/>
    </row>
    <row r="952">
      <c r="A952" s="2">
        <f>IFERROR(__xludf.DUMMYFUNCTION("""COMPUTED_VALUE"""),71320.0)</f>
        <v>71320</v>
      </c>
      <c r="B952" s="2" t="str">
        <f>IFERROR(__xludf.DUMMYFUNCTION("""COMPUTED_VALUE"""),"Fiction")</f>
        <v>Fiction</v>
      </c>
      <c r="C952" s="2" t="str">
        <f>IFERROR(__xludf.DUMMYFUNCTION("""COMPUTED_VALUE"""),"Medieval History")</f>
        <v>Medieval History</v>
      </c>
      <c r="D952" s="2" t="str">
        <f>IFERROR(__xludf.DUMMYFUNCTION("""COMPUTED_VALUE"""),"Pinnacle Ridge Press")</f>
        <v>Pinnacle Ridge Press</v>
      </c>
      <c r="E952" s="2">
        <f>IFERROR(__xludf.DUMMYFUNCTION("""COMPUTED_VALUE"""),13.28)</f>
        <v>13.28</v>
      </c>
      <c r="F952" s="2"/>
      <c r="G952" s="2"/>
      <c r="H952" s="2"/>
      <c r="I952" s="2"/>
    </row>
    <row r="953">
      <c r="A953" s="2">
        <f>IFERROR(__xludf.DUMMYFUNCTION("""COMPUTED_VALUE"""),108944.0)</f>
        <v>108944</v>
      </c>
      <c r="B953" s="2" t="str">
        <f>IFERROR(__xludf.DUMMYFUNCTION("""COMPUTED_VALUE"""),"Fiction")</f>
        <v>Fiction</v>
      </c>
      <c r="C953" s="2" t="str">
        <f>IFERROR(__xludf.DUMMYFUNCTION("""COMPUTED_VALUE"""),"Medieval History")</f>
        <v>Medieval History</v>
      </c>
      <c r="D953" s="2" t="str">
        <f>IFERROR(__xludf.DUMMYFUNCTION("""COMPUTED_VALUE"""),"Pinnacle Ridge Press")</f>
        <v>Pinnacle Ridge Press</v>
      </c>
      <c r="E953" s="2">
        <f>IFERROR(__xludf.DUMMYFUNCTION("""COMPUTED_VALUE"""),3.62)</f>
        <v>3.62</v>
      </c>
      <c r="F953" s="2"/>
      <c r="G953" s="2"/>
      <c r="H953" s="2"/>
      <c r="I953" s="2"/>
    </row>
    <row r="954">
      <c r="A954" s="2">
        <f>IFERROR(__xludf.DUMMYFUNCTION("""COMPUTED_VALUE"""),122693.0)</f>
        <v>122693</v>
      </c>
      <c r="B954" s="2" t="str">
        <f>IFERROR(__xludf.DUMMYFUNCTION("""COMPUTED_VALUE"""),"Fiction")</f>
        <v>Fiction</v>
      </c>
      <c r="C954" s="2" t="str">
        <f>IFERROR(__xludf.DUMMYFUNCTION("""COMPUTED_VALUE"""),"Medieval History")</f>
        <v>Medieval History</v>
      </c>
      <c r="D954" s="2" t="str">
        <f>IFERROR(__xludf.DUMMYFUNCTION("""COMPUTED_VALUE"""),"Pinnacle Ridge Press")</f>
        <v>Pinnacle Ridge Press</v>
      </c>
      <c r="E954" s="2">
        <f>IFERROR(__xludf.DUMMYFUNCTION("""COMPUTED_VALUE"""),2.94)</f>
        <v>2.94</v>
      </c>
      <c r="F954" s="2"/>
      <c r="G954" s="2"/>
      <c r="H954" s="2"/>
      <c r="I954" s="2"/>
    </row>
    <row r="955">
      <c r="A955" s="2">
        <f>IFERROR(__xludf.DUMMYFUNCTION("""COMPUTED_VALUE"""),20049.0)</f>
        <v>20049</v>
      </c>
      <c r="B955" s="2" t="str">
        <f>IFERROR(__xludf.DUMMYFUNCTION("""COMPUTED_VALUE"""),"Fiction")</f>
        <v>Fiction</v>
      </c>
      <c r="C955" s="2" t="str">
        <f>IFERROR(__xludf.DUMMYFUNCTION("""COMPUTED_VALUE"""),"Medieval History")</f>
        <v>Medieval History</v>
      </c>
      <c r="D955" s="2" t="str">
        <f>IFERROR(__xludf.DUMMYFUNCTION("""COMPUTED_VALUE"""),"Pinnacle Ridge Press")</f>
        <v>Pinnacle Ridge Press</v>
      </c>
      <c r="E955" s="2">
        <f>IFERROR(__xludf.DUMMYFUNCTION("""COMPUTED_VALUE"""),1.99)</f>
        <v>1.99</v>
      </c>
      <c r="F955" s="2"/>
      <c r="G955" s="2"/>
      <c r="H955" s="2"/>
      <c r="I955" s="2"/>
    </row>
    <row r="956">
      <c r="A956" s="2">
        <f>IFERROR(__xludf.DUMMYFUNCTION("""COMPUTED_VALUE"""),20055.0)</f>
        <v>20055</v>
      </c>
      <c r="B956" s="2" t="str">
        <f>IFERROR(__xludf.DUMMYFUNCTION("""COMPUTED_VALUE"""),"Fiction")</f>
        <v>Fiction</v>
      </c>
      <c r="C956" s="2" t="str">
        <f>IFERROR(__xludf.DUMMYFUNCTION("""COMPUTED_VALUE"""),"Medieval History")</f>
        <v>Medieval History</v>
      </c>
      <c r="D956" s="2" t="str">
        <f>IFERROR(__xludf.DUMMYFUNCTION("""COMPUTED_VALUE"""),"Pinnacle Ridge Press")</f>
        <v>Pinnacle Ridge Press</v>
      </c>
      <c r="E956" s="2">
        <f>IFERROR(__xludf.DUMMYFUNCTION("""COMPUTED_VALUE"""),1.55)</f>
        <v>1.55</v>
      </c>
      <c r="F956" s="2"/>
      <c r="G956" s="2"/>
      <c r="H956" s="2"/>
      <c r="I956" s="2"/>
    </row>
    <row r="957">
      <c r="A957" s="2">
        <f>IFERROR(__xludf.DUMMYFUNCTION("""COMPUTED_VALUE"""),112845.0)</f>
        <v>112845</v>
      </c>
      <c r="B957" s="2" t="str">
        <f>IFERROR(__xludf.DUMMYFUNCTION("""COMPUTED_VALUE"""),"Fiction")</f>
        <v>Fiction</v>
      </c>
      <c r="C957" s="2" t="str">
        <f>IFERROR(__xludf.DUMMYFUNCTION("""COMPUTED_VALUE"""),"Medieval History")</f>
        <v>Medieval History</v>
      </c>
      <c r="D957" s="2" t="str">
        <f>IFERROR(__xludf.DUMMYFUNCTION("""COMPUTED_VALUE"""),"Pinnacle Ridge Press")</f>
        <v>Pinnacle Ridge Press</v>
      </c>
      <c r="E957" s="2">
        <f>IFERROR(__xludf.DUMMYFUNCTION("""COMPUTED_VALUE"""),2.18)</f>
        <v>2.18</v>
      </c>
      <c r="F957" s="2"/>
      <c r="G957" s="2"/>
      <c r="H957" s="2"/>
      <c r="I957" s="2"/>
    </row>
    <row r="958">
      <c r="A958" s="2">
        <f>IFERROR(__xludf.DUMMYFUNCTION("""COMPUTED_VALUE"""),9490.0)</f>
        <v>9490</v>
      </c>
      <c r="B958" s="2" t="str">
        <f>IFERROR(__xludf.DUMMYFUNCTION("""COMPUTED_VALUE"""),"Fiction")</f>
        <v>Fiction</v>
      </c>
      <c r="C958" s="2" t="str">
        <f>IFERROR(__xludf.DUMMYFUNCTION("""COMPUTED_VALUE"""),"Medieval History")</f>
        <v>Medieval History</v>
      </c>
      <c r="D958" s="2" t="str">
        <f>IFERROR(__xludf.DUMMYFUNCTION("""COMPUTED_VALUE"""),"Pinnacle Ridge Press")</f>
        <v>Pinnacle Ridge Press</v>
      </c>
      <c r="E958" s="2">
        <f>IFERROR(__xludf.DUMMYFUNCTION("""COMPUTED_VALUE"""),1.68)</f>
        <v>1.68</v>
      </c>
      <c r="F958" s="2"/>
      <c r="G958" s="2"/>
      <c r="H958" s="2"/>
      <c r="I958" s="2"/>
    </row>
    <row r="959">
      <c r="A959" s="2">
        <f>IFERROR(__xludf.DUMMYFUNCTION("""COMPUTED_VALUE"""),105034.0)</f>
        <v>105034</v>
      </c>
      <c r="B959" s="2" t="str">
        <f>IFERROR(__xludf.DUMMYFUNCTION("""COMPUTED_VALUE"""),"Fiction")</f>
        <v>Fiction</v>
      </c>
      <c r="C959" s="2" t="str">
        <f>IFERROR(__xludf.DUMMYFUNCTION("""COMPUTED_VALUE"""),"Medieval History")</f>
        <v>Medieval History</v>
      </c>
      <c r="D959" s="2" t="str">
        <f>IFERROR(__xludf.DUMMYFUNCTION("""COMPUTED_VALUE"""),"Pinnacle Ridge Press")</f>
        <v>Pinnacle Ridge Press</v>
      </c>
      <c r="E959" s="2">
        <f>IFERROR(__xludf.DUMMYFUNCTION("""COMPUTED_VALUE"""),2.43)</f>
        <v>2.43</v>
      </c>
      <c r="F959" s="2"/>
      <c r="G959" s="2"/>
      <c r="H959" s="2"/>
      <c r="I959" s="2"/>
    </row>
    <row r="960">
      <c r="A960" s="2">
        <f>IFERROR(__xludf.DUMMYFUNCTION("""COMPUTED_VALUE"""),122680.0)</f>
        <v>122680</v>
      </c>
      <c r="B960" s="2" t="str">
        <f>IFERROR(__xludf.DUMMYFUNCTION("""COMPUTED_VALUE"""),"Fiction")</f>
        <v>Fiction</v>
      </c>
      <c r="C960" s="2" t="str">
        <f>IFERROR(__xludf.DUMMYFUNCTION("""COMPUTED_VALUE"""),"Medieval History")</f>
        <v>Medieval History</v>
      </c>
      <c r="D960" s="2" t="str">
        <f>IFERROR(__xludf.DUMMYFUNCTION("""COMPUTED_VALUE"""),"Pinnacle Ridge Press")</f>
        <v>Pinnacle Ridge Press</v>
      </c>
      <c r="E960" s="2">
        <f>IFERROR(__xludf.DUMMYFUNCTION("""COMPUTED_VALUE"""),2.78)</f>
        <v>2.78</v>
      </c>
      <c r="F960" s="2"/>
      <c r="G960" s="2"/>
      <c r="H960" s="2"/>
      <c r="I960" s="2"/>
    </row>
    <row r="961">
      <c r="A961" s="2">
        <f>IFERROR(__xludf.DUMMYFUNCTION("""COMPUTED_VALUE"""),112846.0)</f>
        <v>112846</v>
      </c>
      <c r="B961" s="2" t="str">
        <f>IFERROR(__xludf.DUMMYFUNCTION("""COMPUTED_VALUE"""),"Fiction")</f>
        <v>Fiction</v>
      </c>
      <c r="C961" s="2" t="str">
        <f>IFERROR(__xludf.DUMMYFUNCTION("""COMPUTED_VALUE"""),"Medieval History")</f>
        <v>Medieval History</v>
      </c>
      <c r="D961" s="2" t="str">
        <f>IFERROR(__xludf.DUMMYFUNCTION("""COMPUTED_VALUE"""),"Pinnacle Ridge Press")</f>
        <v>Pinnacle Ridge Press</v>
      </c>
      <c r="E961" s="2">
        <f>IFERROR(__xludf.DUMMYFUNCTION("""COMPUTED_VALUE"""),1.59)</f>
        <v>1.59</v>
      </c>
      <c r="F961" s="2"/>
      <c r="G961" s="2"/>
      <c r="H961" s="2"/>
      <c r="I961" s="2"/>
    </row>
    <row r="962">
      <c r="A962" s="2">
        <f>IFERROR(__xludf.DUMMYFUNCTION("""COMPUTED_VALUE"""),80816.0)</f>
        <v>80816</v>
      </c>
      <c r="B962" s="2" t="str">
        <f>IFERROR(__xludf.DUMMYFUNCTION("""COMPUTED_VALUE"""),"Fiction")</f>
        <v>Fiction</v>
      </c>
      <c r="C962" s="2" t="str">
        <f>IFERROR(__xludf.DUMMYFUNCTION("""COMPUTED_VALUE"""),"Medieval History")</f>
        <v>Medieval History</v>
      </c>
      <c r="D962" s="2" t="str">
        <f>IFERROR(__xludf.DUMMYFUNCTION("""COMPUTED_VALUE"""),"Pinnacle Ridge Press")</f>
        <v>Pinnacle Ridge Press</v>
      </c>
      <c r="E962" s="2">
        <f>IFERROR(__xludf.DUMMYFUNCTION("""COMPUTED_VALUE"""),2.0)</f>
        <v>2</v>
      </c>
      <c r="F962" s="2"/>
      <c r="G962" s="2"/>
      <c r="H962" s="2"/>
      <c r="I962" s="2"/>
    </row>
    <row r="963">
      <c r="A963" s="2">
        <f>IFERROR(__xludf.DUMMYFUNCTION("""COMPUTED_VALUE"""),44749.0)</f>
        <v>44749</v>
      </c>
      <c r="B963" s="2" t="str">
        <f>IFERROR(__xludf.DUMMYFUNCTION("""COMPUTED_VALUE"""),"Fiction")</f>
        <v>Fiction</v>
      </c>
      <c r="C963" s="2" t="str">
        <f>IFERROR(__xludf.DUMMYFUNCTION("""COMPUTED_VALUE"""),"Medieval History")</f>
        <v>Medieval History</v>
      </c>
      <c r="D963" s="2" t="str">
        <f>IFERROR(__xludf.DUMMYFUNCTION("""COMPUTED_VALUE"""),"Pinnacle Ridge Press")</f>
        <v>Pinnacle Ridge Press</v>
      </c>
      <c r="E963" s="2">
        <f>IFERROR(__xludf.DUMMYFUNCTION("""COMPUTED_VALUE"""),3.78)</f>
        <v>3.78</v>
      </c>
      <c r="F963" s="2"/>
      <c r="G963" s="2"/>
      <c r="H963" s="2"/>
      <c r="I963" s="2"/>
    </row>
    <row r="964">
      <c r="A964" s="2">
        <f>IFERROR(__xludf.DUMMYFUNCTION("""COMPUTED_VALUE"""),79498.0)</f>
        <v>79498</v>
      </c>
      <c r="B964" s="2" t="str">
        <f>IFERROR(__xludf.DUMMYFUNCTION("""COMPUTED_VALUE"""),"Fiction")</f>
        <v>Fiction</v>
      </c>
      <c r="C964" s="2" t="str">
        <f>IFERROR(__xludf.DUMMYFUNCTION("""COMPUTED_VALUE"""),"Medieval History")</f>
        <v>Medieval History</v>
      </c>
      <c r="D964" s="2" t="str">
        <f>IFERROR(__xludf.DUMMYFUNCTION("""COMPUTED_VALUE"""),"Pinnacle Ridge Press")</f>
        <v>Pinnacle Ridge Press</v>
      </c>
      <c r="E964" s="2">
        <f>IFERROR(__xludf.DUMMYFUNCTION("""COMPUTED_VALUE"""),5.13)</f>
        <v>5.13</v>
      </c>
      <c r="F964" s="2"/>
      <c r="G964" s="2"/>
      <c r="H964" s="2"/>
      <c r="I964" s="2"/>
    </row>
    <row r="965">
      <c r="A965" s="2">
        <f>IFERROR(__xludf.DUMMYFUNCTION("""COMPUTED_VALUE"""),2799.0)</f>
        <v>2799</v>
      </c>
      <c r="B965" s="2" t="str">
        <f>IFERROR(__xludf.DUMMYFUNCTION("""COMPUTED_VALUE"""),"Fiction")</f>
        <v>Fiction</v>
      </c>
      <c r="C965" s="2" t="str">
        <f>IFERROR(__xludf.DUMMYFUNCTION("""COMPUTED_VALUE"""),"Medieval History")</f>
        <v>Medieval History</v>
      </c>
      <c r="D965" s="2" t="str">
        <f>IFERROR(__xludf.DUMMYFUNCTION("""COMPUTED_VALUE"""),"Pinnacle Ridge Press")</f>
        <v>Pinnacle Ridge Press</v>
      </c>
      <c r="E965" s="2">
        <f>IFERROR(__xludf.DUMMYFUNCTION("""COMPUTED_VALUE"""),4.94)</f>
        <v>4.94</v>
      </c>
      <c r="F965" s="2"/>
      <c r="G965" s="2"/>
      <c r="H965" s="2"/>
      <c r="I965" s="2"/>
    </row>
    <row r="966">
      <c r="A966" s="2">
        <f>IFERROR(__xludf.DUMMYFUNCTION("""COMPUTED_VALUE"""),194401.0)</f>
        <v>194401</v>
      </c>
      <c r="B966" s="2" t="str">
        <f>IFERROR(__xludf.DUMMYFUNCTION("""COMPUTED_VALUE"""),"Fiction")</f>
        <v>Fiction</v>
      </c>
      <c r="C966" s="2" t="str">
        <f>IFERROR(__xludf.DUMMYFUNCTION("""COMPUTED_VALUE"""),"Medieval History")</f>
        <v>Medieval History</v>
      </c>
      <c r="D966" s="2" t="str">
        <f>IFERROR(__xludf.DUMMYFUNCTION("""COMPUTED_VALUE"""),"Pinnacle Ridge Press")</f>
        <v>Pinnacle Ridge Press</v>
      </c>
      <c r="E966" s="2">
        <f>IFERROR(__xludf.DUMMYFUNCTION("""COMPUTED_VALUE"""),2.27)</f>
        <v>2.27</v>
      </c>
      <c r="F966" s="2"/>
      <c r="G966" s="2"/>
      <c r="H966" s="2"/>
      <c r="I966" s="2"/>
    </row>
    <row r="967">
      <c r="A967" s="2">
        <f>IFERROR(__xludf.DUMMYFUNCTION("""COMPUTED_VALUE"""),5291.0)</f>
        <v>5291</v>
      </c>
      <c r="B967" s="2" t="str">
        <f>IFERROR(__xludf.DUMMYFUNCTION("""COMPUTED_VALUE"""),"Fiction")</f>
        <v>Fiction</v>
      </c>
      <c r="C967" s="2" t="str">
        <f>IFERROR(__xludf.DUMMYFUNCTION("""COMPUTED_VALUE"""),"Medieval History")</f>
        <v>Medieval History</v>
      </c>
      <c r="D967" s="2" t="str">
        <f>IFERROR(__xludf.DUMMYFUNCTION("""COMPUTED_VALUE"""),"Pinnacle Ridge Press")</f>
        <v>Pinnacle Ridge Press</v>
      </c>
      <c r="E967" s="2">
        <f>IFERROR(__xludf.DUMMYFUNCTION("""COMPUTED_VALUE"""),2.32)</f>
        <v>2.32</v>
      </c>
      <c r="F967" s="2"/>
      <c r="G967" s="2"/>
      <c r="H967" s="2"/>
      <c r="I967" s="2"/>
    </row>
    <row r="968">
      <c r="A968" s="2">
        <f>IFERROR(__xludf.DUMMYFUNCTION("""COMPUTED_VALUE"""),2796.0)</f>
        <v>2796</v>
      </c>
      <c r="B968" s="2" t="str">
        <f>IFERROR(__xludf.DUMMYFUNCTION("""COMPUTED_VALUE"""),"Fiction")</f>
        <v>Fiction</v>
      </c>
      <c r="C968" s="2" t="str">
        <f>IFERROR(__xludf.DUMMYFUNCTION("""COMPUTED_VALUE"""),"Medieval History")</f>
        <v>Medieval History</v>
      </c>
      <c r="D968" s="2" t="str">
        <f>IFERROR(__xludf.DUMMYFUNCTION("""COMPUTED_VALUE"""),"Pinnacle Ridge Press")</f>
        <v>Pinnacle Ridge Press</v>
      </c>
      <c r="E968" s="2">
        <f>IFERROR(__xludf.DUMMYFUNCTION("""COMPUTED_VALUE"""),2.8)</f>
        <v>2.8</v>
      </c>
      <c r="F968" s="2"/>
      <c r="G968" s="2"/>
      <c r="H968" s="2"/>
      <c r="I968" s="2"/>
    </row>
    <row r="969">
      <c r="A969" s="2">
        <f>IFERROR(__xludf.DUMMYFUNCTION("""COMPUTED_VALUE"""),71325.0)</f>
        <v>71325</v>
      </c>
      <c r="B969" s="2" t="str">
        <f>IFERROR(__xludf.DUMMYFUNCTION("""COMPUTED_VALUE"""),"Fiction")</f>
        <v>Fiction</v>
      </c>
      <c r="C969" s="2" t="str">
        <f>IFERROR(__xludf.DUMMYFUNCTION("""COMPUTED_VALUE"""),"Medieval History")</f>
        <v>Medieval History</v>
      </c>
      <c r="D969" s="2" t="str">
        <f>IFERROR(__xludf.DUMMYFUNCTION("""COMPUTED_VALUE"""),"Pinnacle Ridge Press")</f>
        <v>Pinnacle Ridge Press</v>
      </c>
      <c r="E969" s="2">
        <f>IFERROR(__xludf.DUMMYFUNCTION("""COMPUTED_VALUE"""),11.24)</f>
        <v>11.24</v>
      </c>
      <c r="F969" s="2"/>
      <c r="G969" s="2"/>
      <c r="H969" s="2"/>
      <c r="I969" s="2"/>
    </row>
    <row r="970">
      <c r="A970" s="2">
        <f>IFERROR(__xludf.DUMMYFUNCTION("""COMPUTED_VALUE"""),2793.0)</f>
        <v>2793</v>
      </c>
      <c r="B970" s="2" t="str">
        <f>IFERROR(__xludf.DUMMYFUNCTION("""COMPUTED_VALUE"""),"Fiction")</f>
        <v>Fiction</v>
      </c>
      <c r="C970" s="2" t="str">
        <f>IFERROR(__xludf.DUMMYFUNCTION("""COMPUTED_VALUE"""),"Medieval History")</f>
        <v>Medieval History</v>
      </c>
      <c r="D970" s="2" t="str">
        <f>IFERROR(__xludf.DUMMYFUNCTION("""COMPUTED_VALUE"""),"Pinnacle Ridge Press")</f>
        <v>Pinnacle Ridge Press</v>
      </c>
      <c r="E970" s="2">
        <f>IFERROR(__xludf.DUMMYFUNCTION("""COMPUTED_VALUE"""),2.39)</f>
        <v>2.39</v>
      </c>
      <c r="F970" s="2"/>
      <c r="G970" s="2"/>
      <c r="H970" s="2"/>
      <c r="I970" s="2"/>
    </row>
    <row r="971">
      <c r="A971" s="2">
        <f>IFERROR(__xludf.DUMMYFUNCTION("""COMPUTED_VALUE"""),102781.0)</f>
        <v>102781</v>
      </c>
      <c r="B971" s="2" t="str">
        <f>IFERROR(__xludf.DUMMYFUNCTION("""COMPUTED_VALUE"""),"Fiction")</f>
        <v>Fiction</v>
      </c>
      <c r="C971" s="2" t="str">
        <f>IFERROR(__xludf.DUMMYFUNCTION("""COMPUTED_VALUE"""),"Medieval History")</f>
        <v>Medieval History</v>
      </c>
      <c r="D971" s="2" t="str">
        <f>IFERROR(__xludf.DUMMYFUNCTION("""COMPUTED_VALUE"""),"Pinnacle Ridge Press")</f>
        <v>Pinnacle Ridge Press</v>
      </c>
      <c r="E971" s="2">
        <f>IFERROR(__xludf.DUMMYFUNCTION("""COMPUTED_VALUE"""),2.87)</f>
        <v>2.87</v>
      </c>
      <c r="F971" s="2"/>
      <c r="G971" s="2"/>
      <c r="H971" s="2"/>
      <c r="I971" s="2"/>
    </row>
    <row r="972">
      <c r="A972" s="2">
        <f>IFERROR(__xludf.DUMMYFUNCTION("""COMPUTED_VALUE"""),109201.0)</f>
        <v>109201</v>
      </c>
      <c r="B972" s="2" t="str">
        <f>IFERROR(__xludf.DUMMYFUNCTION("""COMPUTED_VALUE"""),"Fiction")</f>
        <v>Fiction</v>
      </c>
      <c r="C972" s="2" t="str">
        <f>IFERROR(__xludf.DUMMYFUNCTION("""COMPUTED_VALUE"""),"Medieval History")</f>
        <v>Medieval History</v>
      </c>
      <c r="D972" s="2" t="str">
        <f>IFERROR(__xludf.DUMMYFUNCTION("""COMPUTED_VALUE"""),"Pinnacle Ridge Press")</f>
        <v>Pinnacle Ridge Press</v>
      </c>
      <c r="E972" s="2">
        <f>IFERROR(__xludf.DUMMYFUNCTION("""COMPUTED_VALUE"""),2.32)</f>
        <v>2.32</v>
      </c>
      <c r="F972" s="2"/>
      <c r="G972" s="2"/>
      <c r="H972" s="2"/>
      <c r="I972" s="2"/>
    </row>
    <row r="973">
      <c r="A973" s="2">
        <f>IFERROR(__xludf.DUMMYFUNCTION("""COMPUTED_VALUE"""),72814.0)</f>
        <v>72814</v>
      </c>
      <c r="B973" s="2" t="str">
        <f>IFERROR(__xludf.DUMMYFUNCTION("""COMPUTED_VALUE"""),"Fiction")</f>
        <v>Fiction</v>
      </c>
      <c r="C973" s="2" t="str">
        <f>IFERROR(__xludf.DUMMYFUNCTION("""COMPUTED_VALUE"""),"Medieval History")</f>
        <v>Medieval History</v>
      </c>
      <c r="D973" s="2" t="str">
        <f>IFERROR(__xludf.DUMMYFUNCTION("""COMPUTED_VALUE"""),"Pinnacle Ridge Press")</f>
        <v>Pinnacle Ridge Press</v>
      </c>
      <c r="E973" s="2">
        <f>IFERROR(__xludf.DUMMYFUNCTION("""COMPUTED_VALUE"""),2.39)</f>
        <v>2.39</v>
      </c>
      <c r="F973" s="2"/>
      <c r="G973" s="2"/>
      <c r="H973" s="2"/>
      <c r="I973" s="2"/>
    </row>
    <row r="974">
      <c r="A974" s="2">
        <f>IFERROR(__xludf.DUMMYFUNCTION("""COMPUTED_VALUE"""),122351.0)</f>
        <v>122351</v>
      </c>
      <c r="B974" s="2" t="str">
        <f>IFERROR(__xludf.DUMMYFUNCTION("""COMPUTED_VALUE"""),"Fiction")</f>
        <v>Fiction</v>
      </c>
      <c r="C974" s="2" t="str">
        <f>IFERROR(__xludf.DUMMYFUNCTION("""COMPUTED_VALUE"""),"Medieval History")</f>
        <v>Medieval History</v>
      </c>
      <c r="D974" s="2" t="str">
        <f>IFERROR(__xludf.DUMMYFUNCTION("""COMPUTED_VALUE"""),"Pinnacle Ridge Press")</f>
        <v>Pinnacle Ridge Press</v>
      </c>
      <c r="E974" s="2">
        <f>IFERROR(__xludf.DUMMYFUNCTION("""COMPUTED_VALUE"""),2.37)</f>
        <v>2.37</v>
      </c>
      <c r="F974" s="2"/>
      <c r="G974" s="2"/>
      <c r="H974" s="2"/>
      <c r="I974" s="2"/>
    </row>
    <row r="975">
      <c r="A975" s="2">
        <f>IFERROR(__xludf.DUMMYFUNCTION("""COMPUTED_VALUE"""),99298.0)</f>
        <v>99298</v>
      </c>
      <c r="B975" s="2" t="str">
        <f>IFERROR(__xludf.DUMMYFUNCTION("""COMPUTED_VALUE"""),"Fiction")</f>
        <v>Fiction</v>
      </c>
      <c r="C975" s="2" t="str">
        <f>IFERROR(__xludf.DUMMYFUNCTION("""COMPUTED_VALUE"""),"Medieval History")</f>
        <v>Medieval History</v>
      </c>
      <c r="D975" s="2" t="str">
        <f>IFERROR(__xludf.DUMMYFUNCTION("""COMPUTED_VALUE"""),"Pinnacle Ridge Press")</f>
        <v>Pinnacle Ridge Press</v>
      </c>
      <c r="E975" s="2">
        <f>IFERROR(__xludf.DUMMYFUNCTION("""COMPUTED_VALUE"""),5.08)</f>
        <v>5.08</v>
      </c>
      <c r="F975" s="2"/>
      <c r="G975" s="2"/>
      <c r="H975" s="2"/>
      <c r="I975" s="2"/>
    </row>
    <row r="976">
      <c r="A976" s="2">
        <f>IFERROR(__xludf.DUMMYFUNCTION("""COMPUTED_VALUE"""),3731.0)</f>
        <v>3731</v>
      </c>
      <c r="B976" s="2" t="str">
        <f>IFERROR(__xludf.DUMMYFUNCTION("""COMPUTED_VALUE"""),"Fiction")</f>
        <v>Fiction</v>
      </c>
      <c r="C976" s="2" t="str">
        <f>IFERROR(__xludf.DUMMYFUNCTION("""COMPUTED_VALUE"""),"Medieval History")</f>
        <v>Medieval History</v>
      </c>
      <c r="D976" s="2" t="str">
        <f>IFERROR(__xludf.DUMMYFUNCTION("""COMPUTED_VALUE"""),"Pinnacle Ridge Press")</f>
        <v>Pinnacle Ridge Press</v>
      </c>
      <c r="E976" s="2">
        <f>IFERROR(__xludf.DUMMYFUNCTION("""COMPUTED_VALUE"""),1.46)</f>
        <v>1.46</v>
      </c>
      <c r="F976" s="2"/>
      <c r="G976" s="2"/>
      <c r="H976" s="2"/>
      <c r="I976" s="2"/>
    </row>
    <row r="977">
      <c r="A977" s="2">
        <f>IFERROR(__xludf.DUMMYFUNCTION("""COMPUTED_VALUE"""),11489.0)</f>
        <v>11489</v>
      </c>
      <c r="B977" s="2" t="str">
        <f>IFERROR(__xludf.DUMMYFUNCTION("""COMPUTED_VALUE"""),"Fiction")</f>
        <v>Fiction</v>
      </c>
      <c r="C977" s="2" t="str">
        <f>IFERROR(__xludf.DUMMYFUNCTION("""COMPUTED_VALUE"""),"Medieval History")</f>
        <v>Medieval History</v>
      </c>
      <c r="D977" s="2" t="str">
        <f>IFERROR(__xludf.DUMMYFUNCTION("""COMPUTED_VALUE"""),"Pinnacle Ridge Press")</f>
        <v>Pinnacle Ridge Press</v>
      </c>
      <c r="E977" s="2">
        <f>IFERROR(__xludf.DUMMYFUNCTION("""COMPUTED_VALUE"""),1.54)</f>
        <v>1.54</v>
      </c>
      <c r="F977" s="2"/>
      <c r="G977" s="2"/>
      <c r="H977" s="2"/>
      <c r="I977" s="2"/>
    </row>
    <row r="978">
      <c r="A978" s="2">
        <f>IFERROR(__xludf.DUMMYFUNCTION("""COMPUTED_VALUE"""),122302.0)</f>
        <v>122302</v>
      </c>
      <c r="B978" s="2" t="str">
        <f>IFERROR(__xludf.DUMMYFUNCTION("""COMPUTED_VALUE"""),"Fiction")</f>
        <v>Fiction</v>
      </c>
      <c r="C978" s="2" t="str">
        <f>IFERROR(__xludf.DUMMYFUNCTION("""COMPUTED_VALUE"""),"Medieval History")</f>
        <v>Medieval History</v>
      </c>
      <c r="D978" s="2" t="str">
        <f>IFERROR(__xludf.DUMMYFUNCTION("""COMPUTED_VALUE"""),"Pinnacle Ridge Press")</f>
        <v>Pinnacle Ridge Press</v>
      </c>
      <c r="E978" s="2">
        <f>IFERROR(__xludf.DUMMYFUNCTION("""COMPUTED_VALUE"""),10.81)</f>
        <v>10.81</v>
      </c>
      <c r="F978" s="2"/>
      <c r="G978" s="2"/>
      <c r="H978" s="2"/>
      <c r="I978" s="2"/>
    </row>
    <row r="979">
      <c r="A979" s="2">
        <f>IFERROR(__xludf.DUMMYFUNCTION("""COMPUTED_VALUE"""),28838.0)</f>
        <v>28838</v>
      </c>
      <c r="B979" s="2" t="str">
        <f>IFERROR(__xludf.DUMMYFUNCTION("""COMPUTED_VALUE"""),"Fiction")</f>
        <v>Fiction</v>
      </c>
      <c r="C979" s="2" t="str">
        <f>IFERROR(__xludf.DUMMYFUNCTION("""COMPUTED_VALUE"""),"Medieval History")</f>
        <v>Medieval History</v>
      </c>
      <c r="D979" s="2" t="str">
        <f>IFERROR(__xludf.DUMMYFUNCTION("""COMPUTED_VALUE"""),"Pinnacle Ridge Press")</f>
        <v>Pinnacle Ridge Press</v>
      </c>
      <c r="E979" s="2">
        <f>IFERROR(__xludf.DUMMYFUNCTION("""COMPUTED_VALUE"""),5.15)</f>
        <v>5.15</v>
      </c>
      <c r="F979" s="2"/>
      <c r="G979" s="2"/>
      <c r="H979" s="2"/>
      <c r="I979" s="2"/>
    </row>
    <row r="980">
      <c r="A980" s="2">
        <f>IFERROR(__xludf.DUMMYFUNCTION("""COMPUTED_VALUE"""),72843.0)</f>
        <v>72843</v>
      </c>
      <c r="B980" s="2" t="str">
        <f>IFERROR(__xludf.DUMMYFUNCTION("""COMPUTED_VALUE"""),"Fiction")</f>
        <v>Fiction</v>
      </c>
      <c r="C980" s="2" t="str">
        <f>IFERROR(__xludf.DUMMYFUNCTION("""COMPUTED_VALUE"""),"Medieval History")</f>
        <v>Medieval History</v>
      </c>
      <c r="D980" s="2" t="str">
        <f>IFERROR(__xludf.DUMMYFUNCTION("""COMPUTED_VALUE"""),"Pinnacle Ridge Press")</f>
        <v>Pinnacle Ridge Press</v>
      </c>
      <c r="E980" s="2">
        <f>IFERROR(__xludf.DUMMYFUNCTION("""COMPUTED_VALUE"""),3.29)</f>
        <v>3.29</v>
      </c>
      <c r="F980" s="2"/>
      <c r="G980" s="2"/>
      <c r="H980" s="2"/>
      <c r="I980" s="2"/>
    </row>
    <row r="981">
      <c r="A981" s="2">
        <f>IFERROR(__xludf.DUMMYFUNCTION("""COMPUTED_VALUE"""),80809.0)</f>
        <v>80809</v>
      </c>
      <c r="B981" s="2" t="str">
        <f>IFERROR(__xludf.DUMMYFUNCTION("""COMPUTED_VALUE"""),"Fiction")</f>
        <v>Fiction</v>
      </c>
      <c r="C981" s="2" t="str">
        <f>IFERROR(__xludf.DUMMYFUNCTION("""COMPUTED_VALUE"""),"Medieval History")</f>
        <v>Medieval History</v>
      </c>
      <c r="D981" s="2" t="str">
        <f>IFERROR(__xludf.DUMMYFUNCTION("""COMPUTED_VALUE"""),"Pinnacle Ridge Press")</f>
        <v>Pinnacle Ridge Press</v>
      </c>
      <c r="E981" s="2">
        <f>IFERROR(__xludf.DUMMYFUNCTION("""COMPUTED_VALUE"""),1.22)</f>
        <v>1.22</v>
      </c>
      <c r="F981" s="2"/>
      <c r="G981" s="2"/>
      <c r="H981" s="2"/>
      <c r="I981" s="2"/>
    </row>
    <row r="982">
      <c r="A982" s="2">
        <f>IFERROR(__xludf.DUMMYFUNCTION("""COMPUTED_VALUE"""),127006.0)</f>
        <v>127006</v>
      </c>
      <c r="B982" s="2" t="str">
        <f>IFERROR(__xludf.DUMMYFUNCTION("""COMPUTED_VALUE"""),"Tech")</f>
        <v>Tech</v>
      </c>
      <c r="C982" s="2" t="str">
        <f>IFERROR(__xludf.DUMMYFUNCTION("""COMPUTED_VALUE"""),"Early Modern History")</f>
        <v>Early Modern History</v>
      </c>
      <c r="D982" s="2" t="str">
        <f>IFERROR(__xludf.DUMMYFUNCTION("""COMPUTED_VALUE"""),"True North Publishing")</f>
        <v>True North Publishing</v>
      </c>
      <c r="E982" s="2">
        <f>IFERROR(__xludf.DUMMYFUNCTION("""COMPUTED_VALUE"""),3.42)</f>
        <v>3.42</v>
      </c>
      <c r="F982" s="2"/>
      <c r="G982" s="2"/>
      <c r="H982" s="2"/>
      <c r="I982" s="2"/>
    </row>
    <row r="983">
      <c r="A983" s="2">
        <f>IFERROR(__xludf.DUMMYFUNCTION("""COMPUTED_VALUE"""),82448.0)</f>
        <v>82448</v>
      </c>
      <c r="B983" s="2" t="str">
        <f>IFERROR(__xludf.DUMMYFUNCTION("""COMPUTED_VALUE"""),"Tech")</f>
        <v>Tech</v>
      </c>
      <c r="C983" s="2" t="str">
        <f>IFERROR(__xludf.DUMMYFUNCTION("""COMPUTED_VALUE"""),"Early Modern History")</f>
        <v>Early Modern History</v>
      </c>
      <c r="D983" s="2" t="str">
        <f>IFERROR(__xludf.DUMMYFUNCTION("""COMPUTED_VALUE"""),"True North Publishing")</f>
        <v>True North Publishing</v>
      </c>
      <c r="E983" s="2">
        <f>IFERROR(__xludf.DUMMYFUNCTION("""COMPUTED_VALUE"""),3.33)</f>
        <v>3.33</v>
      </c>
      <c r="F983" s="2"/>
      <c r="G983" s="2"/>
      <c r="H983" s="2"/>
      <c r="I983" s="2"/>
    </row>
    <row r="984">
      <c r="A984" s="2">
        <f>IFERROR(__xludf.DUMMYFUNCTION("""COMPUTED_VALUE"""),13028.0)</f>
        <v>13028</v>
      </c>
      <c r="B984" s="2" t="str">
        <f>IFERROR(__xludf.DUMMYFUNCTION("""COMPUTED_VALUE"""),"Tech")</f>
        <v>Tech</v>
      </c>
      <c r="C984" s="2" t="str">
        <f>IFERROR(__xludf.DUMMYFUNCTION("""COMPUTED_VALUE"""),"Early Modern History")</f>
        <v>Early Modern History</v>
      </c>
      <c r="D984" s="2" t="str">
        <f>IFERROR(__xludf.DUMMYFUNCTION("""COMPUTED_VALUE"""),"True North Publishing")</f>
        <v>True North Publishing</v>
      </c>
      <c r="E984" s="2">
        <f>IFERROR(__xludf.DUMMYFUNCTION("""COMPUTED_VALUE"""),5.24)</f>
        <v>5.24</v>
      </c>
      <c r="F984" s="2"/>
      <c r="G984" s="2"/>
      <c r="H984" s="2"/>
      <c r="I984" s="2"/>
    </row>
    <row r="985">
      <c r="A985" s="2">
        <f>IFERROR(__xludf.DUMMYFUNCTION("""COMPUTED_VALUE"""),118577.0)</f>
        <v>118577</v>
      </c>
      <c r="B985" s="2" t="str">
        <f>IFERROR(__xludf.DUMMYFUNCTION("""COMPUTED_VALUE"""),"Tech")</f>
        <v>Tech</v>
      </c>
      <c r="C985" s="2" t="str">
        <f>IFERROR(__xludf.DUMMYFUNCTION("""COMPUTED_VALUE"""),"Early Modern History")</f>
        <v>Early Modern History</v>
      </c>
      <c r="D985" s="2" t="str">
        <f>IFERROR(__xludf.DUMMYFUNCTION("""COMPUTED_VALUE"""),"Grand Valley Books")</f>
        <v>Grand Valley Books</v>
      </c>
      <c r="E985" s="2">
        <f>IFERROR(__xludf.DUMMYFUNCTION("""COMPUTED_VALUE"""),4.02)</f>
        <v>4.02</v>
      </c>
      <c r="F985" s="2"/>
      <c r="G985" s="2"/>
      <c r="H985" s="2"/>
      <c r="I985" s="2"/>
    </row>
    <row r="986">
      <c r="A986" s="2">
        <f>IFERROR(__xludf.DUMMYFUNCTION("""COMPUTED_VALUE"""),117890.0)</f>
        <v>117890</v>
      </c>
      <c r="B986" s="2" t="str">
        <f>IFERROR(__xludf.DUMMYFUNCTION("""COMPUTED_VALUE"""),"Tech")</f>
        <v>Tech</v>
      </c>
      <c r="C986" s="2" t="str">
        <f>IFERROR(__xludf.DUMMYFUNCTION("""COMPUTED_VALUE"""),"Early Modern History")</f>
        <v>Early Modern History</v>
      </c>
      <c r="D986" s="2" t="str">
        <f>IFERROR(__xludf.DUMMYFUNCTION("""COMPUTED_VALUE"""),"Grand Valley Books")</f>
        <v>Grand Valley Books</v>
      </c>
      <c r="E986" s="2">
        <f>IFERROR(__xludf.DUMMYFUNCTION("""COMPUTED_VALUE"""),5.01)</f>
        <v>5.01</v>
      </c>
      <c r="F986" s="2"/>
      <c r="G986" s="2"/>
      <c r="H986" s="2"/>
      <c r="I986" s="2"/>
    </row>
    <row r="987">
      <c r="A987" s="2">
        <f>IFERROR(__xludf.DUMMYFUNCTION("""COMPUTED_VALUE"""),118617.0)</f>
        <v>118617</v>
      </c>
      <c r="B987" s="2" t="str">
        <f>IFERROR(__xludf.DUMMYFUNCTION("""COMPUTED_VALUE"""),"Tech")</f>
        <v>Tech</v>
      </c>
      <c r="C987" s="2" t="str">
        <f>IFERROR(__xludf.DUMMYFUNCTION("""COMPUTED_VALUE"""),"Early Modern History")</f>
        <v>Early Modern History</v>
      </c>
      <c r="D987" s="2" t="str">
        <f>IFERROR(__xludf.DUMMYFUNCTION("""COMPUTED_VALUE"""),"Grand Valley Books")</f>
        <v>Grand Valley Books</v>
      </c>
      <c r="E987" s="2">
        <f>IFERROR(__xludf.DUMMYFUNCTION("""COMPUTED_VALUE"""),3.87)</f>
        <v>3.87</v>
      </c>
      <c r="F987" s="2"/>
      <c r="G987" s="2"/>
      <c r="H987" s="2"/>
      <c r="I987" s="2"/>
    </row>
    <row r="988">
      <c r="A988" s="2">
        <f>IFERROR(__xludf.DUMMYFUNCTION("""COMPUTED_VALUE"""),109995.0)</f>
        <v>109995</v>
      </c>
      <c r="B988" s="2" t="str">
        <f>IFERROR(__xludf.DUMMYFUNCTION("""COMPUTED_VALUE"""),"Tech")</f>
        <v>Tech</v>
      </c>
      <c r="C988" s="2" t="str">
        <f>IFERROR(__xludf.DUMMYFUNCTION("""COMPUTED_VALUE"""),"Early Modern History")</f>
        <v>Early Modern History</v>
      </c>
      <c r="D988" s="2" t="str">
        <f>IFERROR(__xludf.DUMMYFUNCTION("""COMPUTED_VALUE"""),"Copper Harbor Press")</f>
        <v>Copper Harbor Press</v>
      </c>
      <c r="E988" s="2">
        <f>IFERROR(__xludf.DUMMYFUNCTION("""COMPUTED_VALUE"""),5.7)</f>
        <v>5.7</v>
      </c>
      <c r="F988" s="2"/>
      <c r="G988" s="2"/>
      <c r="H988" s="2"/>
      <c r="I988" s="2"/>
    </row>
    <row r="989">
      <c r="A989" s="2">
        <f>IFERROR(__xludf.DUMMYFUNCTION("""COMPUTED_VALUE"""),109996.0)</f>
        <v>109996</v>
      </c>
      <c r="B989" s="2" t="str">
        <f>IFERROR(__xludf.DUMMYFUNCTION("""COMPUTED_VALUE"""),"Tech")</f>
        <v>Tech</v>
      </c>
      <c r="C989" s="2" t="str">
        <f>IFERROR(__xludf.DUMMYFUNCTION("""COMPUTED_VALUE"""),"Early Modern History")</f>
        <v>Early Modern History</v>
      </c>
      <c r="D989" s="2" t="str">
        <f>IFERROR(__xludf.DUMMYFUNCTION("""COMPUTED_VALUE"""),"Copper Harbor Press")</f>
        <v>Copper Harbor Press</v>
      </c>
      <c r="E989" s="2">
        <f>IFERROR(__xludf.DUMMYFUNCTION("""COMPUTED_VALUE"""),5.95)</f>
        <v>5.95</v>
      </c>
      <c r="F989" s="2"/>
      <c r="G989" s="2"/>
      <c r="H989" s="2"/>
      <c r="I989" s="2"/>
    </row>
    <row r="990">
      <c r="A990" s="2">
        <f>IFERROR(__xludf.DUMMYFUNCTION("""COMPUTED_VALUE"""),49107.0)</f>
        <v>49107</v>
      </c>
      <c r="B990" s="2" t="str">
        <f>IFERROR(__xludf.DUMMYFUNCTION("""COMPUTED_VALUE"""),"Tech")</f>
        <v>Tech</v>
      </c>
      <c r="C990" s="2" t="str">
        <f>IFERROR(__xludf.DUMMYFUNCTION("""COMPUTED_VALUE"""),"Modern History")</f>
        <v>Modern History</v>
      </c>
      <c r="D990" s="2" t="str">
        <f>IFERROR(__xludf.DUMMYFUNCTION("""COMPUTED_VALUE"""),"New Frontier Publishing")</f>
        <v>New Frontier Publishing</v>
      </c>
      <c r="E990" s="2">
        <f>IFERROR(__xludf.DUMMYFUNCTION("""COMPUTED_VALUE"""),3.54)</f>
        <v>3.54</v>
      </c>
      <c r="F990" s="2"/>
      <c r="G990" s="2"/>
      <c r="H990" s="2"/>
      <c r="I990" s="2"/>
    </row>
    <row r="991">
      <c r="A991" s="2">
        <f>IFERROR(__xludf.DUMMYFUNCTION("""COMPUTED_VALUE"""),29585.0)</f>
        <v>29585</v>
      </c>
      <c r="B991" s="2" t="str">
        <f>IFERROR(__xludf.DUMMYFUNCTION("""COMPUTED_VALUE"""),"Tech")</f>
        <v>Tech</v>
      </c>
      <c r="C991" s="2" t="str">
        <f>IFERROR(__xludf.DUMMYFUNCTION("""COMPUTED_VALUE"""),"Modern History")</f>
        <v>Modern History</v>
      </c>
      <c r="D991" s="2" t="str">
        <f>IFERROR(__xludf.DUMMYFUNCTION("""COMPUTED_VALUE"""),"New Frontier Publishing")</f>
        <v>New Frontier Publishing</v>
      </c>
      <c r="E991" s="2">
        <f>IFERROR(__xludf.DUMMYFUNCTION("""COMPUTED_VALUE"""),4.25)</f>
        <v>4.25</v>
      </c>
      <c r="F991" s="2"/>
      <c r="G991" s="2"/>
      <c r="H991" s="2"/>
      <c r="I991" s="2"/>
    </row>
    <row r="992">
      <c r="A992" s="2">
        <f>IFERROR(__xludf.DUMMYFUNCTION("""COMPUTED_VALUE"""),111677.0)</f>
        <v>111677</v>
      </c>
      <c r="B992" s="2" t="str">
        <f>IFERROR(__xludf.DUMMYFUNCTION("""COMPUTED_VALUE"""),"Tech")</f>
        <v>Tech</v>
      </c>
      <c r="C992" s="2" t="str">
        <f>IFERROR(__xludf.DUMMYFUNCTION("""COMPUTED_VALUE"""),"Modern History")</f>
        <v>Modern History</v>
      </c>
      <c r="D992" s="2" t="str">
        <f>IFERROR(__xludf.DUMMYFUNCTION("""COMPUTED_VALUE"""),"New Frontier Publishing")</f>
        <v>New Frontier Publishing</v>
      </c>
      <c r="E992" s="2">
        <f>IFERROR(__xludf.DUMMYFUNCTION("""COMPUTED_VALUE"""),11.83)</f>
        <v>11.83</v>
      </c>
      <c r="F992" s="2"/>
      <c r="G992" s="2"/>
      <c r="H992" s="2"/>
      <c r="I992" s="2"/>
    </row>
    <row r="993">
      <c r="A993" s="2">
        <f>IFERROR(__xludf.DUMMYFUNCTION("""COMPUTED_VALUE"""),93102.0)</f>
        <v>93102</v>
      </c>
      <c r="B993" s="2" t="str">
        <f>IFERROR(__xludf.DUMMYFUNCTION("""COMPUTED_VALUE"""),"Tech")</f>
        <v>Tech</v>
      </c>
      <c r="C993" s="2" t="str">
        <f>IFERROR(__xludf.DUMMYFUNCTION("""COMPUTED_VALUE"""),"Modern History")</f>
        <v>Modern History</v>
      </c>
      <c r="D993" s="2" t="str">
        <f>IFERROR(__xludf.DUMMYFUNCTION("""COMPUTED_VALUE"""),"New Frontier Publishing")</f>
        <v>New Frontier Publishing</v>
      </c>
      <c r="E993" s="2">
        <f>IFERROR(__xludf.DUMMYFUNCTION("""COMPUTED_VALUE"""),3.69)</f>
        <v>3.69</v>
      </c>
      <c r="F993" s="2"/>
      <c r="G993" s="2"/>
      <c r="H993" s="2"/>
      <c r="I993" s="2"/>
    </row>
    <row r="994">
      <c r="A994" s="2">
        <f>IFERROR(__xludf.DUMMYFUNCTION("""COMPUTED_VALUE"""),30712.0)</f>
        <v>30712</v>
      </c>
      <c r="B994" s="2" t="str">
        <f>IFERROR(__xludf.DUMMYFUNCTION("""COMPUTED_VALUE"""),"Tech")</f>
        <v>Tech</v>
      </c>
      <c r="C994" s="2" t="str">
        <f>IFERROR(__xludf.DUMMYFUNCTION("""COMPUTED_VALUE"""),"Modern History")</f>
        <v>Modern History</v>
      </c>
      <c r="D994" s="2" t="str">
        <f>IFERROR(__xludf.DUMMYFUNCTION("""COMPUTED_VALUE"""),"New Frontier Publishing")</f>
        <v>New Frontier Publishing</v>
      </c>
      <c r="E994" s="2">
        <f>IFERROR(__xludf.DUMMYFUNCTION("""COMPUTED_VALUE"""),4.35)</f>
        <v>4.35</v>
      </c>
      <c r="F994" s="2"/>
      <c r="G994" s="2"/>
      <c r="H994" s="2"/>
      <c r="I994" s="2"/>
    </row>
    <row r="995">
      <c r="A995" s="2">
        <f>IFERROR(__xludf.DUMMYFUNCTION("""COMPUTED_VALUE"""),89128.0)</f>
        <v>89128</v>
      </c>
      <c r="B995" s="2" t="str">
        <f>IFERROR(__xludf.DUMMYFUNCTION("""COMPUTED_VALUE"""),"Tech")</f>
        <v>Tech</v>
      </c>
      <c r="C995" s="2" t="str">
        <f>IFERROR(__xludf.DUMMYFUNCTION("""COMPUTED_VALUE"""),"Modern History")</f>
        <v>Modern History</v>
      </c>
      <c r="D995" s="2" t="str">
        <f>IFERROR(__xludf.DUMMYFUNCTION("""COMPUTED_VALUE"""),"New Frontier Publishing")</f>
        <v>New Frontier Publishing</v>
      </c>
      <c r="E995" s="2">
        <f>IFERROR(__xludf.DUMMYFUNCTION("""COMPUTED_VALUE"""),2.93)</f>
        <v>2.93</v>
      </c>
      <c r="F995" s="2"/>
      <c r="G995" s="2"/>
      <c r="H995" s="2"/>
      <c r="I995" s="2"/>
    </row>
    <row r="996">
      <c r="A996" s="2">
        <f>IFERROR(__xludf.DUMMYFUNCTION("""COMPUTED_VALUE"""),29587.0)</f>
        <v>29587</v>
      </c>
      <c r="B996" s="2" t="str">
        <f>IFERROR(__xludf.DUMMYFUNCTION("""COMPUTED_VALUE"""),"Tech")</f>
        <v>Tech</v>
      </c>
      <c r="C996" s="2" t="str">
        <f>IFERROR(__xludf.DUMMYFUNCTION("""COMPUTED_VALUE"""),"Modern History")</f>
        <v>Modern History</v>
      </c>
      <c r="D996" s="2" t="str">
        <f>IFERROR(__xludf.DUMMYFUNCTION("""COMPUTED_VALUE"""),"New Frontier Publishing")</f>
        <v>New Frontier Publishing</v>
      </c>
      <c r="E996" s="2">
        <f>IFERROR(__xludf.DUMMYFUNCTION("""COMPUTED_VALUE"""),4.16)</f>
        <v>4.16</v>
      </c>
      <c r="F996" s="2"/>
      <c r="G996" s="2"/>
      <c r="H996" s="2"/>
      <c r="I996" s="2"/>
    </row>
    <row r="997">
      <c r="A997" s="2">
        <f>IFERROR(__xludf.DUMMYFUNCTION("""COMPUTED_VALUE"""),30711.0)</f>
        <v>30711</v>
      </c>
      <c r="B997" s="2" t="str">
        <f>IFERROR(__xludf.DUMMYFUNCTION("""COMPUTED_VALUE"""),"Tech")</f>
        <v>Tech</v>
      </c>
      <c r="C997" s="2" t="str">
        <f>IFERROR(__xludf.DUMMYFUNCTION("""COMPUTED_VALUE"""),"Modern History")</f>
        <v>Modern History</v>
      </c>
      <c r="D997" s="2" t="str">
        <f>IFERROR(__xludf.DUMMYFUNCTION("""COMPUTED_VALUE"""),"New Frontier Publishing")</f>
        <v>New Frontier Publishing</v>
      </c>
      <c r="E997" s="2">
        <f>IFERROR(__xludf.DUMMYFUNCTION("""COMPUTED_VALUE"""),4.51)</f>
        <v>4.51</v>
      </c>
      <c r="F997" s="2"/>
      <c r="G997" s="2"/>
      <c r="H997" s="2"/>
      <c r="I997" s="2"/>
    </row>
    <row r="998">
      <c r="A998" s="2">
        <f>IFERROR(__xludf.DUMMYFUNCTION("""COMPUTED_VALUE"""),45306.0)</f>
        <v>45306</v>
      </c>
      <c r="B998" s="2" t="str">
        <f>IFERROR(__xludf.DUMMYFUNCTION("""COMPUTED_VALUE"""),"Tech")</f>
        <v>Tech</v>
      </c>
      <c r="C998" s="2" t="str">
        <f>IFERROR(__xludf.DUMMYFUNCTION("""COMPUTED_VALUE"""),"Modern History")</f>
        <v>Modern History</v>
      </c>
      <c r="D998" s="2" t="str">
        <f>IFERROR(__xludf.DUMMYFUNCTION("""COMPUTED_VALUE"""),"New Frontier Publishing")</f>
        <v>New Frontier Publishing</v>
      </c>
      <c r="E998" s="2">
        <f>IFERROR(__xludf.DUMMYFUNCTION("""COMPUTED_VALUE"""),5.61)</f>
        <v>5.61</v>
      </c>
      <c r="F998" s="2"/>
      <c r="G998" s="2"/>
      <c r="H998" s="2"/>
      <c r="I998" s="2"/>
    </row>
    <row r="999">
      <c r="A999" s="2">
        <f>IFERROR(__xludf.DUMMYFUNCTION("""COMPUTED_VALUE"""),120803.0)</f>
        <v>120803</v>
      </c>
      <c r="B999" s="2" t="str">
        <f>IFERROR(__xludf.DUMMYFUNCTION("""COMPUTED_VALUE"""),"Tech")</f>
        <v>Tech</v>
      </c>
      <c r="C999" s="2" t="str">
        <f>IFERROR(__xludf.DUMMYFUNCTION("""COMPUTED_VALUE"""),"Modern History")</f>
        <v>Modern History</v>
      </c>
      <c r="D999" s="2" t="str">
        <f>IFERROR(__xludf.DUMMYFUNCTION("""COMPUTED_VALUE"""),"New Frontier Publishing")</f>
        <v>New Frontier Publishing</v>
      </c>
      <c r="E999" s="2">
        <f>IFERROR(__xludf.DUMMYFUNCTION("""COMPUTED_VALUE"""),6.9)</f>
        <v>6.9</v>
      </c>
      <c r="F999" s="2"/>
      <c r="G999" s="2"/>
      <c r="H999" s="2"/>
      <c r="I999" s="2"/>
    </row>
    <row r="1000">
      <c r="A1000" s="2">
        <f>IFERROR(__xludf.DUMMYFUNCTION("""COMPUTED_VALUE"""),108004.0)</f>
        <v>108004</v>
      </c>
      <c r="B1000" s="2" t="str">
        <f>IFERROR(__xludf.DUMMYFUNCTION("""COMPUTED_VALUE"""),"Tech")</f>
        <v>Tech</v>
      </c>
      <c r="C1000" s="2" t="str">
        <f>IFERROR(__xludf.DUMMYFUNCTION("""COMPUTED_VALUE"""),"Modern History")</f>
        <v>Modern History</v>
      </c>
      <c r="D1000" s="2" t="str">
        <f>IFERROR(__xludf.DUMMYFUNCTION("""COMPUTED_VALUE"""),"New Frontier Publishing")</f>
        <v>New Frontier Publishing</v>
      </c>
      <c r="E1000" s="2">
        <f>IFERROR(__xludf.DUMMYFUNCTION("""COMPUTED_VALUE"""),4.74)</f>
        <v>4.74</v>
      </c>
      <c r="F1000" s="2"/>
      <c r="G1000" s="2"/>
      <c r="H1000" s="2"/>
      <c r="I1000" s="2"/>
    </row>
    <row r="1001">
      <c r="A1001" s="2">
        <f>IFERROR(__xludf.DUMMYFUNCTION("""COMPUTED_VALUE"""),92205.0)</f>
        <v>92205</v>
      </c>
      <c r="B1001" s="2" t="str">
        <f>IFERROR(__xludf.DUMMYFUNCTION("""COMPUTED_VALUE"""),"Tech")</f>
        <v>Tech</v>
      </c>
      <c r="C1001" s="2" t="str">
        <f>IFERROR(__xludf.DUMMYFUNCTION("""COMPUTED_VALUE"""),"Modern History")</f>
        <v>Modern History</v>
      </c>
      <c r="D1001" s="2" t="str">
        <f>IFERROR(__xludf.DUMMYFUNCTION("""COMPUTED_VALUE"""),"New Frontier Publishing")</f>
        <v>New Frontier Publishing</v>
      </c>
      <c r="E1001" s="2">
        <f>IFERROR(__xludf.DUMMYFUNCTION("""COMPUTED_VALUE"""),10.17)</f>
        <v>10.17</v>
      </c>
      <c r="F1001" s="2"/>
      <c r="G1001" s="2"/>
      <c r="H1001" s="2"/>
      <c r="I1001" s="2"/>
    </row>
    <row r="1002">
      <c r="A1002" s="2">
        <f>IFERROR(__xludf.DUMMYFUNCTION("""COMPUTED_VALUE"""),119509.0)</f>
        <v>119509</v>
      </c>
      <c r="B1002" s="2" t="str">
        <f>IFERROR(__xludf.DUMMYFUNCTION("""COMPUTED_VALUE"""),"Tech")</f>
        <v>Tech</v>
      </c>
      <c r="C1002" s="2" t="str">
        <f>IFERROR(__xludf.DUMMYFUNCTION("""COMPUTED_VALUE"""),"Modern History")</f>
        <v>Modern History</v>
      </c>
      <c r="D1002" s="2" t="str">
        <f>IFERROR(__xludf.DUMMYFUNCTION("""COMPUTED_VALUE"""),"New Frontier Publishing")</f>
        <v>New Frontier Publishing</v>
      </c>
      <c r="E1002" s="2">
        <f>IFERROR(__xludf.DUMMYFUNCTION("""COMPUTED_VALUE"""),13.26)</f>
        <v>13.26</v>
      </c>
      <c r="F1002" s="2"/>
      <c r="G1002" s="2"/>
      <c r="H1002" s="2"/>
      <c r="I1002" s="2"/>
    </row>
    <row r="1003">
      <c r="A1003" s="2">
        <f>IFERROR(__xludf.DUMMYFUNCTION("""COMPUTED_VALUE"""),109056.0)</f>
        <v>109056</v>
      </c>
      <c r="B1003" s="2" t="str">
        <f>IFERROR(__xludf.DUMMYFUNCTION("""COMPUTED_VALUE"""),"Tech")</f>
        <v>Tech</v>
      </c>
      <c r="C1003" s="2" t="str">
        <f>IFERROR(__xludf.DUMMYFUNCTION("""COMPUTED_VALUE"""),"Modern History")</f>
        <v>Modern History</v>
      </c>
      <c r="D1003" s="2" t="str">
        <f>IFERROR(__xludf.DUMMYFUNCTION("""COMPUTED_VALUE"""),"New Frontier Publishing")</f>
        <v>New Frontier Publishing</v>
      </c>
      <c r="E1003" s="2">
        <f>IFERROR(__xludf.DUMMYFUNCTION("""COMPUTED_VALUE"""),5.81)</f>
        <v>5.81</v>
      </c>
      <c r="F1003" s="2"/>
      <c r="G1003" s="2"/>
      <c r="H1003" s="2"/>
      <c r="I1003" s="2"/>
    </row>
    <row r="1004">
      <c r="A1004" s="2">
        <f>IFERROR(__xludf.DUMMYFUNCTION("""COMPUTED_VALUE"""),45305.0)</f>
        <v>45305</v>
      </c>
      <c r="B1004" s="2" t="str">
        <f>IFERROR(__xludf.DUMMYFUNCTION("""COMPUTED_VALUE"""),"Tech")</f>
        <v>Tech</v>
      </c>
      <c r="C1004" s="2" t="str">
        <f>IFERROR(__xludf.DUMMYFUNCTION("""COMPUTED_VALUE"""),"Modern History")</f>
        <v>Modern History</v>
      </c>
      <c r="D1004" s="2" t="str">
        <f>IFERROR(__xludf.DUMMYFUNCTION("""COMPUTED_VALUE"""),"New Frontier Publishing")</f>
        <v>New Frontier Publishing</v>
      </c>
      <c r="E1004" s="2">
        <f>IFERROR(__xludf.DUMMYFUNCTION("""COMPUTED_VALUE"""),5.98)</f>
        <v>5.98</v>
      </c>
      <c r="F1004" s="2"/>
      <c r="G1004" s="2"/>
      <c r="H1004" s="2"/>
      <c r="I1004" s="2"/>
    </row>
    <row r="1005">
      <c r="A1005" s="2">
        <f>IFERROR(__xludf.DUMMYFUNCTION("""COMPUTED_VALUE"""),29582.0)</f>
        <v>29582</v>
      </c>
      <c r="B1005" s="2" t="str">
        <f>IFERROR(__xludf.DUMMYFUNCTION("""COMPUTED_VALUE"""),"Tech")</f>
        <v>Tech</v>
      </c>
      <c r="C1005" s="2" t="str">
        <f>IFERROR(__xludf.DUMMYFUNCTION("""COMPUTED_VALUE"""),"Modern History")</f>
        <v>Modern History</v>
      </c>
      <c r="D1005" s="2" t="str">
        <f>IFERROR(__xludf.DUMMYFUNCTION("""COMPUTED_VALUE"""),"New Frontier Publishing")</f>
        <v>New Frontier Publishing</v>
      </c>
      <c r="E1005" s="2">
        <f>IFERROR(__xludf.DUMMYFUNCTION("""COMPUTED_VALUE"""),4.12)</f>
        <v>4.12</v>
      </c>
      <c r="F1005" s="2"/>
      <c r="G1005" s="2"/>
      <c r="H1005" s="2"/>
      <c r="I1005" s="2"/>
    </row>
    <row r="1006">
      <c r="A1006" s="2">
        <f>IFERROR(__xludf.DUMMYFUNCTION("""COMPUTED_VALUE"""),111676.0)</f>
        <v>111676</v>
      </c>
      <c r="B1006" s="2" t="str">
        <f>IFERROR(__xludf.DUMMYFUNCTION("""COMPUTED_VALUE"""),"Tech")</f>
        <v>Tech</v>
      </c>
      <c r="C1006" s="2" t="str">
        <f>IFERROR(__xludf.DUMMYFUNCTION("""COMPUTED_VALUE"""),"Modern History")</f>
        <v>Modern History</v>
      </c>
      <c r="D1006" s="2" t="str">
        <f>IFERROR(__xludf.DUMMYFUNCTION("""COMPUTED_VALUE"""),"New Frontier Publishing")</f>
        <v>New Frontier Publishing</v>
      </c>
      <c r="E1006" s="2">
        <f>IFERROR(__xludf.DUMMYFUNCTION("""COMPUTED_VALUE"""),11.82)</f>
        <v>11.82</v>
      </c>
      <c r="F1006" s="2"/>
      <c r="G1006" s="2"/>
      <c r="H1006" s="2"/>
      <c r="I1006" s="2"/>
    </row>
    <row r="1007">
      <c r="A1007" s="2">
        <f>IFERROR(__xludf.DUMMYFUNCTION("""COMPUTED_VALUE"""),30578.0)</f>
        <v>30578</v>
      </c>
      <c r="B1007" s="2" t="str">
        <f>IFERROR(__xludf.DUMMYFUNCTION("""COMPUTED_VALUE"""),"Tech")</f>
        <v>Tech</v>
      </c>
      <c r="C1007" s="2" t="str">
        <f>IFERROR(__xludf.DUMMYFUNCTION("""COMPUTED_VALUE"""),"Modern History")</f>
        <v>Modern History</v>
      </c>
      <c r="D1007" s="2" t="str">
        <f>IFERROR(__xludf.DUMMYFUNCTION("""COMPUTED_VALUE"""),"New Frontier Publishing")</f>
        <v>New Frontier Publishing</v>
      </c>
      <c r="E1007" s="2">
        <f>IFERROR(__xludf.DUMMYFUNCTION("""COMPUTED_VALUE"""),12.22)</f>
        <v>12.22</v>
      </c>
      <c r="F1007" s="2"/>
      <c r="G1007" s="2"/>
      <c r="H1007" s="2"/>
      <c r="I1007" s="2"/>
    </row>
    <row r="1008">
      <c r="A1008" s="2">
        <f>IFERROR(__xludf.DUMMYFUNCTION("""COMPUTED_VALUE"""),93095.0)</f>
        <v>93095</v>
      </c>
      <c r="B1008" s="2" t="str">
        <f>IFERROR(__xludf.DUMMYFUNCTION("""COMPUTED_VALUE"""),"Tech")</f>
        <v>Tech</v>
      </c>
      <c r="C1008" s="2" t="str">
        <f>IFERROR(__xludf.DUMMYFUNCTION("""COMPUTED_VALUE"""),"Modern History")</f>
        <v>Modern History</v>
      </c>
      <c r="D1008" s="2" t="str">
        <f>IFERROR(__xludf.DUMMYFUNCTION("""COMPUTED_VALUE"""),"New Frontier Publishing")</f>
        <v>New Frontier Publishing</v>
      </c>
      <c r="E1008" s="2">
        <f>IFERROR(__xludf.DUMMYFUNCTION("""COMPUTED_VALUE"""),3.99)</f>
        <v>3.99</v>
      </c>
      <c r="F1008" s="2"/>
      <c r="G1008" s="2"/>
      <c r="H1008" s="2"/>
      <c r="I1008" s="2"/>
    </row>
    <row r="1009">
      <c r="A1009" s="2">
        <f>IFERROR(__xludf.DUMMYFUNCTION("""COMPUTED_VALUE"""),70036.0)</f>
        <v>70036</v>
      </c>
      <c r="B1009" s="2" t="str">
        <f>IFERROR(__xludf.DUMMYFUNCTION("""COMPUTED_VALUE"""),"Tech")</f>
        <v>Tech</v>
      </c>
      <c r="C1009" s="2" t="str">
        <f>IFERROR(__xludf.DUMMYFUNCTION("""COMPUTED_VALUE"""),"Modern History")</f>
        <v>Modern History</v>
      </c>
      <c r="D1009" s="2" t="str">
        <f>IFERROR(__xludf.DUMMYFUNCTION("""COMPUTED_VALUE"""),"New Frontier Publishing")</f>
        <v>New Frontier Publishing</v>
      </c>
      <c r="E1009" s="2">
        <f>IFERROR(__xludf.DUMMYFUNCTION("""COMPUTED_VALUE"""),3.84)</f>
        <v>3.84</v>
      </c>
      <c r="F1009" s="2"/>
      <c r="G1009" s="2"/>
      <c r="H1009" s="2"/>
      <c r="I1009" s="2"/>
    </row>
    <row r="1010">
      <c r="A1010" s="2">
        <f>IFERROR(__xludf.DUMMYFUNCTION("""COMPUTED_VALUE"""),90498.0)</f>
        <v>90498</v>
      </c>
      <c r="B1010" s="2" t="str">
        <f>IFERROR(__xludf.DUMMYFUNCTION("""COMPUTED_VALUE"""),"Tech")</f>
        <v>Tech</v>
      </c>
      <c r="C1010" s="2" t="str">
        <f>IFERROR(__xludf.DUMMYFUNCTION("""COMPUTED_VALUE"""),"Modern History")</f>
        <v>Modern History</v>
      </c>
      <c r="D1010" s="2" t="str">
        <f>IFERROR(__xludf.DUMMYFUNCTION("""COMPUTED_VALUE"""),"New Frontier Publishing")</f>
        <v>New Frontier Publishing</v>
      </c>
      <c r="E1010" s="2">
        <f>IFERROR(__xludf.DUMMYFUNCTION("""COMPUTED_VALUE"""),16.95)</f>
        <v>16.95</v>
      </c>
      <c r="F1010" s="2"/>
      <c r="G1010" s="2"/>
      <c r="H1010" s="2"/>
      <c r="I1010" s="2"/>
    </row>
    <row r="1011">
      <c r="A1011" s="2">
        <f>IFERROR(__xludf.DUMMYFUNCTION("""COMPUTED_VALUE"""),89127.0)</f>
        <v>89127</v>
      </c>
      <c r="B1011" s="2" t="str">
        <f>IFERROR(__xludf.DUMMYFUNCTION("""COMPUTED_VALUE"""),"Tech")</f>
        <v>Tech</v>
      </c>
      <c r="C1011" s="2" t="str">
        <f>IFERROR(__xludf.DUMMYFUNCTION("""COMPUTED_VALUE"""),"Modern History")</f>
        <v>Modern History</v>
      </c>
      <c r="D1011" s="2" t="str">
        <f>IFERROR(__xludf.DUMMYFUNCTION("""COMPUTED_VALUE"""),"New Frontier Publishing")</f>
        <v>New Frontier Publishing</v>
      </c>
      <c r="E1011" s="2">
        <f>IFERROR(__xludf.DUMMYFUNCTION("""COMPUTED_VALUE"""),3.21)</f>
        <v>3.21</v>
      </c>
      <c r="F1011" s="2"/>
      <c r="G1011" s="2"/>
      <c r="H1011" s="2"/>
      <c r="I1011" s="2"/>
    </row>
    <row r="1012">
      <c r="A1012" s="2">
        <f>IFERROR(__xludf.DUMMYFUNCTION("""COMPUTED_VALUE"""),75215.0)</f>
        <v>75215</v>
      </c>
      <c r="B1012" s="2" t="str">
        <f>IFERROR(__xludf.DUMMYFUNCTION("""COMPUTED_VALUE"""),"Tech")</f>
        <v>Tech</v>
      </c>
      <c r="C1012" s="2" t="str">
        <f>IFERROR(__xludf.DUMMYFUNCTION("""COMPUTED_VALUE"""),"Modern History")</f>
        <v>Modern History</v>
      </c>
      <c r="D1012" s="2" t="str">
        <f>IFERROR(__xludf.DUMMYFUNCTION("""COMPUTED_VALUE"""),"New Frontier Publishing")</f>
        <v>New Frontier Publishing</v>
      </c>
      <c r="E1012" s="2">
        <f>IFERROR(__xludf.DUMMYFUNCTION("""COMPUTED_VALUE"""),8.73)</f>
        <v>8.73</v>
      </c>
      <c r="F1012" s="2"/>
      <c r="G1012" s="2"/>
      <c r="H1012" s="2"/>
      <c r="I1012" s="2"/>
    </row>
    <row r="1013">
      <c r="A1013" s="2">
        <f>IFERROR(__xludf.DUMMYFUNCTION("""COMPUTED_VALUE"""),119566.0)</f>
        <v>119566</v>
      </c>
      <c r="B1013" s="2" t="str">
        <f>IFERROR(__xludf.DUMMYFUNCTION("""COMPUTED_VALUE"""),"Tech")</f>
        <v>Tech</v>
      </c>
      <c r="C1013" s="2" t="str">
        <f>IFERROR(__xludf.DUMMYFUNCTION("""COMPUTED_VALUE"""),"Modern History")</f>
        <v>Modern History</v>
      </c>
      <c r="D1013" s="2" t="str">
        <f>IFERROR(__xludf.DUMMYFUNCTION("""COMPUTED_VALUE"""),"New Frontier Publishing")</f>
        <v>New Frontier Publishing</v>
      </c>
      <c r="E1013" s="2">
        <f>IFERROR(__xludf.DUMMYFUNCTION("""COMPUTED_VALUE"""),12.87)</f>
        <v>12.87</v>
      </c>
      <c r="F1013" s="2"/>
      <c r="G1013" s="2"/>
      <c r="H1013" s="2"/>
      <c r="I1013" s="2"/>
    </row>
    <row r="1014">
      <c r="A1014" s="2">
        <f>IFERROR(__xludf.DUMMYFUNCTION("""COMPUTED_VALUE"""),92208.0)</f>
        <v>92208</v>
      </c>
      <c r="B1014" s="2" t="str">
        <f>IFERROR(__xludf.DUMMYFUNCTION("""COMPUTED_VALUE"""),"Tech")</f>
        <v>Tech</v>
      </c>
      <c r="C1014" s="2" t="str">
        <f>IFERROR(__xludf.DUMMYFUNCTION("""COMPUTED_VALUE"""),"Modern History")</f>
        <v>Modern History</v>
      </c>
      <c r="D1014" s="2" t="str">
        <f>IFERROR(__xludf.DUMMYFUNCTION("""COMPUTED_VALUE"""),"New Frontier Publishing")</f>
        <v>New Frontier Publishing</v>
      </c>
      <c r="E1014" s="2">
        <f>IFERROR(__xludf.DUMMYFUNCTION("""COMPUTED_VALUE"""),10.62)</f>
        <v>10.62</v>
      </c>
      <c r="F1014" s="2"/>
      <c r="G1014" s="2"/>
      <c r="H1014" s="2"/>
      <c r="I1014" s="2"/>
    </row>
    <row r="1015">
      <c r="A1015" s="2">
        <f>IFERROR(__xludf.DUMMYFUNCTION("""COMPUTED_VALUE"""),119579.0)</f>
        <v>119579</v>
      </c>
      <c r="B1015" s="2" t="str">
        <f>IFERROR(__xludf.DUMMYFUNCTION("""COMPUTED_VALUE"""),"Tech")</f>
        <v>Tech</v>
      </c>
      <c r="C1015" s="2" t="str">
        <f>IFERROR(__xludf.DUMMYFUNCTION("""COMPUTED_VALUE"""),"Modern History")</f>
        <v>Modern History</v>
      </c>
      <c r="D1015" s="2" t="str">
        <f>IFERROR(__xludf.DUMMYFUNCTION("""COMPUTED_VALUE"""),"New Frontier Publishing")</f>
        <v>New Frontier Publishing</v>
      </c>
      <c r="E1015" s="2">
        <f>IFERROR(__xludf.DUMMYFUNCTION("""COMPUTED_VALUE"""),7.13)</f>
        <v>7.13</v>
      </c>
      <c r="F1015" s="2"/>
      <c r="G1015" s="2"/>
      <c r="H1015" s="2"/>
      <c r="I1015" s="2"/>
    </row>
    <row r="1016">
      <c r="A1016" s="2">
        <f>IFERROR(__xludf.DUMMYFUNCTION("""COMPUTED_VALUE"""),45309.0)</f>
        <v>45309</v>
      </c>
      <c r="B1016" s="2" t="str">
        <f>IFERROR(__xludf.DUMMYFUNCTION("""COMPUTED_VALUE"""),"Tech")</f>
        <v>Tech</v>
      </c>
      <c r="C1016" s="2" t="str">
        <f>IFERROR(__xludf.DUMMYFUNCTION("""COMPUTED_VALUE"""),"Modern History")</f>
        <v>Modern History</v>
      </c>
      <c r="D1016" s="2" t="str">
        <f>IFERROR(__xludf.DUMMYFUNCTION("""COMPUTED_VALUE"""),"New Frontier Publishing")</f>
        <v>New Frontier Publishing</v>
      </c>
      <c r="E1016" s="2">
        <f>IFERROR(__xludf.DUMMYFUNCTION("""COMPUTED_VALUE"""),6.55)</f>
        <v>6.55</v>
      </c>
      <c r="F1016" s="2"/>
      <c r="G1016" s="2"/>
      <c r="H1016" s="2"/>
      <c r="I1016" s="2"/>
    </row>
    <row r="1017">
      <c r="A1017" s="2">
        <f>IFERROR(__xludf.DUMMYFUNCTION("""COMPUTED_VALUE"""),30743.0)</f>
        <v>30743</v>
      </c>
      <c r="B1017" s="2" t="str">
        <f>IFERROR(__xludf.DUMMYFUNCTION("""COMPUTED_VALUE"""),"Tech")</f>
        <v>Tech</v>
      </c>
      <c r="C1017" s="2" t="str">
        <f>IFERROR(__xludf.DUMMYFUNCTION("""COMPUTED_VALUE"""),"Modern History")</f>
        <v>Modern History</v>
      </c>
      <c r="D1017" s="2" t="str">
        <f>IFERROR(__xludf.DUMMYFUNCTION("""COMPUTED_VALUE"""),"New Frontier Publishing")</f>
        <v>New Frontier Publishing</v>
      </c>
      <c r="E1017" s="2">
        <f>IFERROR(__xludf.DUMMYFUNCTION("""COMPUTED_VALUE"""),5.34)</f>
        <v>5.34</v>
      </c>
      <c r="F1017" s="2"/>
      <c r="G1017" s="2"/>
      <c r="H1017" s="2"/>
      <c r="I1017" s="2"/>
    </row>
    <row r="1018">
      <c r="A1018" s="2">
        <f>IFERROR(__xludf.DUMMYFUNCTION("""COMPUTED_VALUE"""),49108.0)</f>
        <v>49108</v>
      </c>
      <c r="B1018" s="2" t="str">
        <f>IFERROR(__xludf.DUMMYFUNCTION("""COMPUTED_VALUE"""),"Tech")</f>
        <v>Tech</v>
      </c>
      <c r="C1018" s="2" t="str">
        <f>IFERROR(__xludf.DUMMYFUNCTION("""COMPUTED_VALUE"""),"Modern History")</f>
        <v>Modern History</v>
      </c>
      <c r="D1018" s="2" t="str">
        <f>IFERROR(__xludf.DUMMYFUNCTION("""COMPUTED_VALUE"""),"New Frontier Publishing")</f>
        <v>New Frontier Publishing</v>
      </c>
      <c r="E1018" s="2">
        <f>IFERROR(__xludf.DUMMYFUNCTION("""COMPUTED_VALUE"""),3.42)</f>
        <v>3.42</v>
      </c>
      <c r="F1018" s="2"/>
      <c r="G1018" s="2"/>
      <c r="H1018" s="2"/>
      <c r="I1018" s="2"/>
    </row>
    <row r="1019">
      <c r="A1019" s="2">
        <f>IFERROR(__xludf.DUMMYFUNCTION("""COMPUTED_VALUE"""),29584.0)</f>
        <v>29584</v>
      </c>
      <c r="B1019" s="2" t="str">
        <f>IFERROR(__xludf.DUMMYFUNCTION("""COMPUTED_VALUE"""),"Tech")</f>
        <v>Tech</v>
      </c>
      <c r="C1019" s="2" t="str">
        <f>IFERROR(__xludf.DUMMYFUNCTION("""COMPUTED_VALUE"""),"Modern History")</f>
        <v>Modern History</v>
      </c>
      <c r="D1019" s="2" t="str">
        <f>IFERROR(__xludf.DUMMYFUNCTION("""COMPUTED_VALUE"""),"New Frontier Publishing")</f>
        <v>New Frontier Publishing</v>
      </c>
      <c r="E1019" s="2">
        <f>IFERROR(__xludf.DUMMYFUNCTION("""COMPUTED_VALUE"""),3.84)</f>
        <v>3.84</v>
      </c>
      <c r="F1019" s="2"/>
      <c r="G1019" s="2"/>
      <c r="H1019" s="2"/>
      <c r="I1019" s="2"/>
    </row>
    <row r="1020">
      <c r="A1020" s="2">
        <f>IFERROR(__xludf.DUMMYFUNCTION("""COMPUTED_VALUE"""),119501.0)</f>
        <v>119501</v>
      </c>
      <c r="B1020" s="2" t="str">
        <f>IFERROR(__xludf.DUMMYFUNCTION("""COMPUTED_VALUE"""),"Tech")</f>
        <v>Tech</v>
      </c>
      <c r="C1020" s="2" t="str">
        <f>IFERROR(__xludf.DUMMYFUNCTION("""COMPUTED_VALUE"""),"Modern History")</f>
        <v>Modern History</v>
      </c>
      <c r="D1020" s="2" t="str">
        <f>IFERROR(__xludf.DUMMYFUNCTION("""COMPUTED_VALUE"""),"New Frontier Publishing")</f>
        <v>New Frontier Publishing</v>
      </c>
      <c r="E1020" s="2">
        <f>IFERROR(__xludf.DUMMYFUNCTION("""COMPUTED_VALUE"""),11.35)</f>
        <v>11.35</v>
      </c>
      <c r="F1020" s="2"/>
      <c r="G1020" s="2"/>
      <c r="H1020" s="2"/>
      <c r="I1020" s="2"/>
    </row>
    <row r="1021">
      <c r="A1021" s="2">
        <f>IFERROR(__xludf.DUMMYFUNCTION("""COMPUTED_VALUE"""),30504.0)</f>
        <v>30504</v>
      </c>
      <c r="B1021" s="2" t="str">
        <f>IFERROR(__xludf.DUMMYFUNCTION("""COMPUTED_VALUE"""),"Tech")</f>
        <v>Tech</v>
      </c>
      <c r="C1021" s="2" t="str">
        <f>IFERROR(__xludf.DUMMYFUNCTION("""COMPUTED_VALUE"""),"Modern History")</f>
        <v>Modern History</v>
      </c>
      <c r="D1021" s="2" t="str">
        <f>IFERROR(__xludf.DUMMYFUNCTION("""COMPUTED_VALUE"""),"New Frontier Publishing")</f>
        <v>New Frontier Publishing</v>
      </c>
      <c r="E1021" s="2">
        <f>IFERROR(__xludf.DUMMYFUNCTION("""COMPUTED_VALUE"""),10.65)</f>
        <v>10.65</v>
      </c>
      <c r="F1021" s="2"/>
      <c r="G1021" s="2"/>
      <c r="H1021" s="2"/>
      <c r="I1021" s="2"/>
    </row>
    <row r="1022">
      <c r="A1022" s="2">
        <f>IFERROR(__xludf.DUMMYFUNCTION("""COMPUTED_VALUE"""),93101.0)</f>
        <v>93101</v>
      </c>
      <c r="B1022" s="2" t="str">
        <f>IFERROR(__xludf.DUMMYFUNCTION("""COMPUTED_VALUE"""),"Tech")</f>
        <v>Tech</v>
      </c>
      <c r="C1022" s="2" t="str">
        <f>IFERROR(__xludf.DUMMYFUNCTION("""COMPUTED_VALUE"""),"Modern History")</f>
        <v>Modern History</v>
      </c>
      <c r="D1022" s="2" t="str">
        <f>IFERROR(__xludf.DUMMYFUNCTION("""COMPUTED_VALUE"""),"New Frontier Publishing")</f>
        <v>New Frontier Publishing</v>
      </c>
      <c r="E1022" s="2">
        <f>IFERROR(__xludf.DUMMYFUNCTION("""COMPUTED_VALUE"""),4.04)</f>
        <v>4.04</v>
      </c>
      <c r="F1022" s="2"/>
      <c r="G1022" s="2"/>
      <c r="H1022" s="2"/>
      <c r="I1022" s="2"/>
    </row>
    <row r="1023">
      <c r="A1023" s="2">
        <f>IFERROR(__xludf.DUMMYFUNCTION("""COMPUTED_VALUE"""),30749.0)</f>
        <v>30749</v>
      </c>
      <c r="B1023" s="2" t="str">
        <f>IFERROR(__xludf.DUMMYFUNCTION("""COMPUTED_VALUE"""),"Tech")</f>
        <v>Tech</v>
      </c>
      <c r="C1023" s="2" t="str">
        <f>IFERROR(__xludf.DUMMYFUNCTION("""COMPUTED_VALUE"""),"Modern History")</f>
        <v>Modern History</v>
      </c>
      <c r="D1023" s="2" t="str">
        <f>IFERROR(__xludf.DUMMYFUNCTION("""COMPUTED_VALUE"""),"New Frontier Publishing")</f>
        <v>New Frontier Publishing</v>
      </c>
      <c r="E1023" s="2">
        <f>IFERROR(__xludf.DUMMYFUNCTION("""COMPUTED_VALUE"""),7.11)</f>
        <v>7.11</v>
      </c>
      <c r="F1023" s="2"/>
      <c r="G1023" s="2"/>
      <c r="H1023" s="2"/>
      <c r="I1023" s="2"/>
    </row>
    <row r="1024">
      <c r="A1024" s="2">
        <f>IFERROR(__xludf.DUMMYFUNCTION("""COMPUTED_VALUE"""),120813.0)</f>
        <v>120813</v>
      </c>
      <c r="B1024" s="2" t="str">
        <f>IFERROR(__xludf.DUMMYFUNCTION("""COMPUTED_VALUE"""),"Tech")</f>
        <v>Tech</v>
      </c>
      <c r="C1024" s="2" t="str">
        <f>IFERROR(__xludf.DUMMYFUNCTION("""COMPUTED_VALUE"""),"Modern History")</f>
        <v>Modern History</v>
      </c>
      <c r="D1024" s="2" t="str">
        <f>IFERROR(__xludf.DUMMYFUNCTION("""COMPUTED_VALUE"""),"New Frontier Publishing")</f>
        <v>New Frontier Publishing</v>
      </c>
      <c r="E1024" s="2">
        <f>IFERROR(__xludf.DUMMYFUNCTION("""COMPUTED_VALUE"""),5.63)</f>
        <v>5.63</v>
      </c>
      <c r="F1024" s="2"/>
      <c r="G1024" s="2"/>
      <c r="H1024" s="2"/>
      <c r="I1024" s="2"/>
    </row>
    <row r="1025">
      <c r="A1025" s="2">
        <f>IFERROR(__xludf.DUMMYFUNCTION("""COMPUTED_VALUE"""),29590.0)</f>
        <v>29590</v>
      </c>
      <c r="B1025" s="2" t="str">
        <f>IFERROR(__xludf.DUMMYFUNCTION("""COMPUTED_VALUE"""),"Tech")</f>
        <v>Tech</v>
      </c>
      <c r="C1025" s="2" t="str">
        <f>IFERROR(__xludf.DUMMYFUNCTION("""COMPUTED_VALUE"""),"Modern History")</f>
        <v>Modern History</v>
      </c>
      <c r="D1025" s="2" t="str">
        <f>IFERROR(__xludf.DUMMYFUNCTION("""COMPUTED_VALUE"""),"New Frontier Publishing")</f>
        <v>New Frontier Publishing</v>
      </c>
      <c r="E1025" s="2">
        <f>IFERROR(__xludf.DUMMYFUNCTION("""COMPUTED_VALUE"""),2.97)</f>
        <v>2.97</v>
      </c>
      <c r="F1025" s="2"/>
      <c r="G1025" s="2"/>
      <c r="H1025" s="2"/>
      <c r="I1025" s="2"/>
    </row>
    <row r="1026">
      <c r="A1026" s="2">
        <f>IFERROR(__xludf.DUMMYFUNCTION("""COMPUTED_VALUE"""),118662.0)</f>
        <v>118662</v>
      </c>
      <c r="B1026" s="2" t="str">
        <f>IFERROR(__xludf.DUMMYFUNCTION("""COMPUTED_VALUE"""),"Tech")</f>
        <v>Tech</v>
      </c>
      <c r="C1026" s="2" t="str">
        <f>IFERROR(__xludf.DUMMYFUNCTION("""COMPUTED_VALUE"""),"Modern History")</f>
        <v>Modern History</v>
      </c>
      <c r="D1026" s="2" t="str">
        <f>IFERROR(__xludf.DUMMYFUNCTION("""COMPUTED_VALUE"""),"Silver Crown Books")</f>
        <v>Silver Crown Books</v>
      </c>
      <c r="E1026" s="2">
        <f>IFERROR(__xludf.DUMMYFUNCTION("""COMPUTED_VALUE"""),4.14)</f>
        <v>4.14</v>
      </c>
      <c r="F1026" s="2"/>
      <c r="G1026" s="2"/>
      <c r="H1026" s="2"/>
      <c r="I1026" s="2"/>
    </row>
    <row r="1027">
      <c r="A1027" s="2">
        <f>IFERROR(__xludf.DUMMYFUNCTION("""COMPUTED_VALUE"""),30478.0)</f>
        <v>30478</v>
      </c>
      <c r="B1027" s="2" t="str">
        <f>IFERROR(__xludf.DUMMYFUNCTION("""COMPUTED_VALUE"""),"Tech")</f>
        <v>Tech</v>
      </c>
      <c r="C1027" s="2" t="str">
        <f>IFERROR(__xludf.DUMMYFUNCTION("""COMPUTED_VALUE"""),"Modern History")</f>
        <v>Modern History</v>
      </c>
      <c r="D1027" s="2" t="str">
        <f>IFERROR(__xludf.DUMMYFUNCTION("""COMPUTED_VALUE"""),"Silver Crown Books")</f>
        <v>Silver Crown Books</v>
      </c>
      <c r="E1027" s="2">
        <f>IFERROR(__xludf.DUMMYFUNCTION("""COMPUTED_VALUE"""),7.71)</f>
        <v>7.71</v>
      </c>
      <c r="F1027" s="2"/>
      <c r="G1027" s="2"/>
      <c r="H1027" s="2"/>
      <c r="I1027" s="2"/>
    </row>
    <row r="1028">
      <c r="A1028" s="2">
        <f>IFERROR(__xludf.DUMMYFUNCTION("""COMPUTED_VALUE"""),90475.0)</f>
        <v>90475</v>
      </c>
      <c r="B1028" s="2" t="str">
        <f>IFERROR(__xludf.DUMMYFUNCTION("""COMPUTED_VALUE"""),"Tech")</f>
        <v>Tech</v>
      </c>
      <c r="C1028" s="2" t="str">
        <f>IFERROR(__xludf.DUMMYFUNCTION("""COMPUTED_VALUE"""),"Modern History")</f>
        <v>Modern History</v>
      </c>
      <c r="D1028" s="2" t="str">
        <f>IFERROR(__xludf.DUMMYFUNCTION("""COMPUTED_VALUE"""),"Silver Crown Books")</f>
        <v>Silver Crown Books</v>
      </c>
      <c r="E1028" s="2">
        <f>IFERROR(__xludf.DUMMYFUNCTION("""COMPUTED_VALUE"""),7.67)</f>
        <v>7.67</v>
      </c>
      <c r="F1028" s="2"/>
      <c r="G1028" s="2"/>
      <c r="H1028" s="2"/>
      <c r="I1028" s="2"/>
    </row>
    <row r="1029">
      <c r="A1029" s="2">
        <f>IFERROR(__xludf.DUMMYFUNCTION("""COMPUTED_VALUE"""),29530.0)</f>
        <v>29530</v>
      </c>
      <c r="B1029" s="2" t="str">
        <f>IFERROR(__xludf.DUMMYFUNCTION("""COMPUTED_VALUE"""),"Tech")</f>
        <v>Tech</v>
      </c>
      <c r="C1029" s="2" t="str">
        <f>IFERROR(__xludf.DUMMYFUNCTION("""COMPUTED_VALUE"""),"Modern History")</f>
        <v>Modern History</v>
      </c>
      <c r="D1029" s="2" t="str">
        <f>IFERROR(__xludf.DUMMYFUNCTION("""COMPUTED_VALUE"""),"Silver Crown Books")</f>
        <v>Silver Crown Books</v>
      </c>
      <c r="E1029" s="2">
        <f>IFERROR(__xludf.DUMMYFUNCTION("""COMPUTED_VALUE"""),1.3)</f>
        <v>1.3</v>
      </c>
      <c r="F1029" s="2"/>
      <c r="G1029" s="2"/>
      <c r="H1029" s="2"/>
      <c r="I1029" s="2"/>
    </row>
    <row r="1030">
      <c r="A1030" s="2">
        <f>IFERROR(__xludf.DUMMYFUNCTION("""COMPUTED_VALUE"""),81528.0)</f>
        <v>81528</v>
      </c>
      <c r="B1030" s="2" t="str">
        <f>IFERROR(__xludf.DUMMYFUNCTION("""COMPUTED_VALUE"""),"Tech")</f>
        <v>Tech</v>
      </c>
      <c r="C1030" s="2" t="str">
        <f>IFERROR(__xludf.DUMMYFUNCTION("""COMPUTED_VALUE"""),"Modern History")</f>
        <v>Modern History</v>
      </c>
      <c r="D1030" s="2" t="str">
        <f>IFERROR(__xludf.DUMMYFUNCTION("""COMPUTED_VALUE"""),"Silver Crown Books")</f>
        <v>Silver Crown Books</v>
      </c>
      <c r="E1030" s="2">
        <f>IFERROR(__xludf.DUMMYFUNCTION("""COMPUTED_VALUE"""),1.36)</f>
        <v>1.36</v>
      </c>
      <c r="F1030" s="2"/>
      <c r="G1030" s="2"/>
      <c r="H1030" s="2"/>
      <c r="I1030" s="2"/>
    </row>
    <row r="1031">
      <c r="A1031" s="2">
        <f>IFERROR(__xludf.DUMMYFUNCTION("""COMPUTED_VALUE"""),100436.0)</f>
        <v>100436</v>
      </c>
      <c r="B1031" s="2" t="str">
        <f>IFERROR(__xludf.DUMMYFUNCTION("""COMPUTED_VALUE"""),"Tech")</f>
        <v>Tech</v>
      </c>
      <c r="C1031" s="2" t="str">
        <f>IFERROR(__xludf.DUMMYFUNCTION("""COMPUTED_VALUE"""),"Modern History")</f>
        <v>Modern History</v>
      </c>
      <c r="D1031" s="2" t="str">
        <f>IFERROR(__xludf.DUMMYFUNCTION("""COMPUTED_VALUE"""),"Silver Crown Books")</f>
        <v>Silver Crown Books</v>
      </c>
      <c r="E1031" s="2">
        <f>IFERROR(__xludf.DUMMYFUNCTION("""COMPUTED_VALUE"""),3.47)</f>
        <v>3.47</v>
      </c>
      <c r="F1031" s="2"/>
      <c r="G1031" s="2"/>
      <c r="H1031" s="2"/>
      <c r="I1031" s="2"/>
    </row>
    <row r="1032">
      <c r="A1032" s="2">
        <f>IFERROR(__xludf.DUMMYFUNCTION("""COMPUTED_VALUE"""),29499.0)</f>
        <v>29499</v>
      </c>
      <c r="B1032" s="2" t="str">
        <f>IFERROR(__xludf.DUMMYFUNCTION("""COMPUTED_VALUE"""),"Tech")</f>
        <v>Tech</v>
      </c>
      <c r="C1032" s="2" t="str">
        <f>IFERROR(__xludf.DUMMYFUNCTION("""COMPUTED_VALUE"""),"Modern History")</f>
        <v>Modern History</v>
      </c>
      <c r="D1032" s="2" t="str">
        <f>IFERROR(__xludf.DUMMYFUNCTION("""COMPUTED_VALUE"""),"Silver Crown Books")</f>
        <v>Silver Crown Books</v>
      </c>
      <c r="E1032" s="2">
        <f>IFERROR(__xludf.DUMMYFUNCTION("""COMPUTED_VALUE"""),3.43)</f>
        <v>3.43</v>
      </c>
      <c r="F1032" s="2"/>
      <c r="G1032" s="2"/>
      <c r="H1032" s="2"/>
      <c r="I1032" s="2"/>
    </row>
    <row r="1033">
      <c r="A1033" s="2">
        <f>IFERROR(__xludf.DUMMYFUNCTION("""COMPUTED_VALUE"""),30683.0)</f>
        <v>30683</v>
      </c>
      <c r="B1033" s="2" t="str">
        <f>IFERROR(__xludf.DUMMYFUNCTION("""COMPUTED_VALUE"""),"Tech")</f>
        <v>Tech</v>
      </c>
      <c r="C1033" s="2" t="str">
        <f>IFERROR(__xludf.DUMMYFUNCTION("""COMPUTED_VALUE"""),"Modern History")</f>
        <v>Modern History</v>
      </c>
      <c r="D1033" s="2" t="str">
        <f>IFERROR(__xludf.DUMMYFUNCTION("""COMPUTED_VALUE"""),"Silver Crown Books")</f>
        <v>Silver Crown Books</v>
      </c>
      <c r="E1033" s="2">
        <f>IFERROR(__xludf.DUMMYFUNCTION("""COMPUTED_VALUE"""),3.43)</f>
        <v>3.43</v>
      </c>
      <c r="F1033" s="2"/>
      <c r="G1033" s="2"/>
      <c r="H1033" s="2"/>
      <c r="I1033" s="2"/>
    </row>
    <row r="1034">
      <c r="A1034" s="2">
        <f>IFERROR(__xludf.DUMMYFUNCTION("""COMPUTED_VALUE"""),69906.0)</f>
        <v>69906</v>
      </c>
      <c r="B1034" s="2" t="str">
        <f>IFERROR(__xludf.DUMMYFUNCTION("""COMPUTED_VALUE"""),"Tech")</f>
        <v>Tech</v>
      </c>
      <c r="C1034" s="2" t="str">
        <f>IFERROR(__xludf.DUMMYFUNCTION("""COMPUTED_VALUE"""),"Modern History")</f>
        <v>Modern History</v>
      </c>
      <c r="D1034" s="2" t="str">
        <f>IFERROR(__xludf.DUMMYFUNCTION("""COMPUTED_VALUE"""),"Silver Crown Books")</f>
        <v>Silver Crown Books</v>
      </c>
      <c r="E1034" s="2">
        <f>IFERROR(__xludf.DUMMYFUNCTION("""COMPUTED_VALUE"""),7.38)</f>
        <v>7.38</v>
      </c>
      <c r="F1034" s="2"/>
      <c r="G1034" s="2"/>
      <c r="H1034" s="2"/>
      <c r="I1034" s="2"/>
    </row>
    <row r="1035">
      <c r="A1035" s="2">
        <f>IFERROR(__xludf.DUMMYFUNCTION("""COMPUTED_VALUE"""),90174.0)</f>
        <v>90174</v>
      </c>
      <c r="B1035" s="2" t="str">
        <f>IFERROR(__xludf.DUMMYFUNCTION("""COMPUTED_VALUE"""),"Tech")</f>
        <v>Tech</v>
      </c>
      <c r="C1035" s="2" t="str">
        <f>IFERROR(__xludf.DUMMYFUNCTION("""COMPUTED_VALUE"""),"Modern History")</f>
        <v>Modern History</v>
      </c>
      <c r="D1035" s="2" t="str">
        <f>IFERROR(__xludf.DUMMYFUNCTION("""COMPUTED_VALUE"""),"Silver Crown Books")</f>
        <v>Silver Crown Books</v>
      </c>
      <c r="E1035" s="2">
        <f>IFERROR(__xludf.DUMMYFUNCTION("""COMPUTED_VALUE"""),3.63)</f>
        <v>3.63</v>
      </c>
      <c r="F1035" s="2"/>
      <c r="G1035" s="2"/>
      <c r="H1035" s="2"/>
      <c r="I1035" s="2"/>
    </row>
    <row r="1036">
      <c r="A1036" s="2">
        <f>IFERROR(__xludf.DUMMYFUNCTION("""COMPUTED_VALUE"""),90168.0)</f>
        <v>90168</v>
      </c>
      <c r="B1036" s="2" t="str">
        <f>IFERROR(__xludf.DUMMYFUNCTION("""COMPUTED_VALUE"""),"Tech")</f>
        <v>Tech</v>
      </c>
      <c r="C1036" s="2" t="str">
        <f>IFERROR(__xludf.DUMMYFUNCTION("""COMPUTED_VALUE"""),"Modern History")</f>
        <v>Modern History</v>
      </c>
      <c r="D1036" s="2" t="str">
        <f>IFERROR(__xludf.DUMMYFUNCTION("""COMPUTED_VALUE"""),"Silver Crown Books")</f>
        <v>Silver Crown Books</v>
      </c>
      <c r="E1036" s="2">
        <f>IFERROR(__xludf.DUMMYFUNCTION("""COMPUTED_VALUE"""),3.65)</f>
        <v>3.65</v>
      </c>
      <c r="F1036" s="2"/>
      <c r="G1036" s="2"/>
      <c r="H1036" s="2"/>
      <c r="I1036" s="2"/>
    </row>
    <row r="1037">
      <c r="A1037" s="2">
        <f>IFERROR(__xludf.DUMMYFUNCTION("""COMPUTED_VALUE"""),79488.0)</f>
        <v>79488</v>
      </c>
      <c r="B1037" s="2" t="str">
        <f>IFERROR(__xludf.DUMMYFUNCTION("""COMPUTED_VALUE"""),"Tech")</f>
        <v>Tech</v>
      </c>
      <c r="C1037" s="2" t="str">
        <f>IFERROR(__xludf.DUMMYFUNCTION("""COMPUTED_VALUE"""),"Modern History")</f>
        <v>Modern History</v>
      </c>
      <c r="D1037" s="2" t="str">
        <f>IFERROR(__xludf.DUMMYFUNCTION("""COMPUTED_VALUE"""),"Silver Crown Books")</f>
        <v>Silver Crown Books</v>
      </c>
      <c r="E1037" s="2">
        <f>IFERROR(__xludf.DUMMYFUNCTION("""COMPUTED_VALUE"""),15.23)</f>
        <v>15.23</v>
      </c>
      <c r="F1037" s="2"/>
      <c r="G1037" s="2"/>
      <c r="H1037" s="2"/>
      <c r="I1037" s="2"/>
    </row>
    <row r="1038">
      <c r="A1038" s="2">
        <f>IFERROR(__xludf.DUMMYFUNCTION("""COMPUTED_VALUE"""),119640.0)</f>
        <v>119640</v>
      </c>
      <c r="B1038" s="2" t="str">
        <f>IFERROR(__xludf.DUMMYFUNCTION("""COMPUTED_VALUE"""),"Tech")</f>
        <v>Tech</v>
      </c>
      <c r="C1038" s="2" t="str">
        <f>IFERROR(__xludf.DUMMYFUNCTION("""COMPUTED_VALUE"""),"Modern History")</f>
        <v>Modern History</v>
      </c>
      <c r="D1038" s="2" t="str">
        <f>IFERROR(__xludf.DUMMYFUNCTION("""COMPUTED_VALUE"""),"Silver Crown Books")</f>
        <v>Silver Crown Books</v>
      </c>
      <c r="E1038" s="2">
        <f>IFERROR(__xludf.DUMMYFUNCTION("""COMPUTED_VALUE"""),6.18)</f>
        <v>6.18</v>
      </c>
      <c r="F1038" s="2"/>
      <c r="G1038" s="2"/>
      <c r="H1038" s="2"/>
      <c r="I1038" s="2"/>
    </row>
    <row r="1039">
      <c r="A1039" s="2">
        <f>IFERROR(__xludf.DUMMYFUNCTION("""COMPUTED_VALUE"""),119515.0)</f>
        <v>119515</v>
      </c>
      <c r="B1039" s="2" t="str">
        <f>IFERROR(__xludf.DUMMYFUNCTION("""COMPUTED_VALUE"""),"Tech")</f>
        <v>Tech</v>
      </c>
      <c r="C1039" s="2" t="str">
        <f>IFERROR(__xludf.DUMMYFUNCTION("""COMPUTED_VALUE"""),"Modern History")</f>
        <v>Modern History</v>
      </c>
      <c r="D1039" s="2" t="str">
        <f>IFERROR(__xludf.DUMMYFUNCTION("""COMPUTED_VALUE"""),"Silver Crown Books")</f>
        <v>Silver Crown Books</v>
      </c>
      <c r="E1039" s="2">
        <f>IFERROR(__xludf.DUMMYFUNCTION("""COMPUTED_VALUE"""),4.46)</f>
        <v>4.46</v>
      </c>
      <c r="F1039" s="2"/>
      <c r="G1039" s="2"/>
      <c r="H1039" s="2"/>
      <c r="I1039" s="2"/>
    </row>
    <row r="1040">
      <c r="A1040" s="2">
        <f>IFERROR(__xludf.DUMMYFUNCTION("""COMPUTED_VALUE"""),103685.0)</f>
        <v>103685</v>
      </c>
      <c r="B1040" s="2" t="str">
        <f>IFERROR(__xludf.DUMMYFUNCTION("""COMPUTED_VALUE"""),"Tech")</f>
        <v>Tech</v>
      </c>
      <c r="C1040" s="2" t="str">
        <f>IFERROR(__xludf.DUMMYFUNCTION("""COMPUTED_VALUE"""),"Modern History")</f>
        <v>Modern History</v>
      </c>
      <c r="D1040" s="2" t="str">
        <f>IFERROR(__xludf.DUMMYFUNCTION("""COMPUTED_VALUE"""),"Silver Crown Books")</f>
        <v>Silver Crown Books</v>
      </c>
      <c r="E1040" s="2">
        <f>IFERROR(__xludf.DUMMYFUNCTION("""COMPUTED_VALUE"""),8.48)</f>
        <v>8.48</v>
      </c>
      <c r="F1040" s="2"/>
      <c r="G1040" s="2"/>
      <c r="H1040" s="2"/>
      <c r="I1040" s="2"/>
    </row>
    <row r="1041">
      <c r="A1041" s="2">
        <f>IFERROR(__xludf.DUMMYFUNCTION("""COMPUTED_VALUE"""),111617.0)</f>
        <v>111617</v>
      </c>
      <c r="B1041" s="2" t="str">
        <f>IFERROR(__xludf.DUMMYFUNCTION("""COMPUTED_VALUE"""),"Tech")</f>
        <v>Tech</v>
      </c>
      <c r="C1041" s="2" t="str">
        <f>IFERROR(__xludf.DUMMYFUNCTION("""COMPUTED_VALUE"""),"Modern History")</f>
        <v>Modern History</v>
      </c>
      <c r="D1041" s="2" t="str">
        <f>IFERROR(__xludf.DUMMYFUNCTION("""COMPUTED_VALUE"""),"Silver Crown Books")</f>
        <v>Silver Crown Books</v>
      </c>
      <c r="E1041" s="2">
        <f>IFERROR(__xludf.DUMMYFUNCTION("""COMPUTED_VALUE"""),3.38)</f>
        <v>3.38</v>
      </c>
      <c r="F1041" s="2"/>
      <c r="G1041" s="2"/>
      <c r="H1041" s="2"/>
      <c r="I1041" s="2"/>
    </row>
    <row r="1042">
      <c r="A1042" s="2">
        <f>IFERROR(__xludf.DUMMYFUNCTION("""COMPUTED_VALUE"""),98637.0)</f>
        <v>98637</v>
      </c>
      <c r="B1042" s="2" t="str">
        <f>IFERROR(__xludf.DUMMYFUNCTION("""COMPUTED_VALUE"""),"Tech")</f>
        <v>Tech</v>
      </c>
      <c r="C1042" s="2" t="str">
        <f>IFERROR(__xludf.DUMMYFUNCTION("""COMPUTED_VALUE"""),"Modern History")</f>
        <v>Modern History</v>
      </c>
      <c r="D1042" s="2" t="str">
        <f>IFERROR(__xludf.DUMMYFUNCTION("""COMPUTED_VALUE"""),"Silver Crown Books")</f>
        <v>Silver Crown Books</v>
      </c>
      <c r="E1042" s="2">
        <f>IFERROR(__xludf.DUMMYFUNCTION("""COMPUTED_VALUE"""),5.06)</f>
        <v>5.06</v>
      </c>
      <c r="F1042" s="2"/>
      <c r="G1042" s="2"/>
      <c r="H1042" s="2"/>
      <c r="I1042" s="2"/>
    </row>
    <row r="1043">
      <c r="A1043" s="2">
        <f>IFERROR(__xludf.DUMMYFUNCTION("""COMPUTED_VALUE"""),90159.0)</f>
        <v>90159</v>
      </c>
      <c r="B1043" s="2" t="str">
        <f>IFERROR(__xludf.DUMMYFUNCTION("""COMPUTED_VALUE"""),"Tech")</f>
        <v>Tech</v>
      </c>
      <c r="C1043" s="2" t="str">
        <f>IFERROR(__xludf.DUMMYFUNCTION("""COMPUTED_VALUE"""),"Modern History")</f>
        <v>Modern History</v>
      </c>
      <c r="D1043" s="2" t="str">
        <f>IFERROR(__xludf.DUMMYFUNCTION("""COMPUTED_VALUE"""),"Silver Crown Books")</f>
        <v>Silver Crown Books</v>
      </c>
      <c r="E1043" s="2">
        <f>IFERROR(__xludf.DUMMYFUNCTION("""COMPUTED_VALUE"""),3.29)</f>
        <v>3.29</v>
      </c>
      <c r="F1043" s="2"/>
      <c r="G1043" s="2"/>
      <c r="H1043" s="2"/>
      <c r="I1043" s="2"/>
    </row>
    <row r="1044">
      <c r="A1044" s="2">
        <f>IFERROR(__xludf.DUMMYFUNCTION("""COMPUTED_VALUE"""),76651.0)</f>
        <v>76651</v>
      </c>
      <c r="B1044" s="2" t="str">
        <f>IFERROR(__xludf.DUMMYFUNCTION("""COMPUTED_VALUE"""),"Tech")</f>
        <v>Tech</v>
      </c>
      <c r="C1044" s="2" t="str">
        <f>IFERROR(__xludf.DUMMYFUNCTION("""COMPUTED_VALUE"""),"Modern History")</f>
        <v>Modern History</v>
      </c>
      <c r="D1044" s="2" t="str">
        <f>IFERROR(__xludf.DUMMYFUNCTION("""COMPUTED_VALUE"""),"Silver Crown Books")</f>
        <v>Silver Crown Books</v>
      </c>
      <c r="E1044" s="2">
        <f>IFERROR(__xludf.DUMMYFUNCTION("""COMPUTED_VALUE"""),1.24)</f>
        <v>1.24</v>
      </c>
      <c r="F1044" s="2"/>
      <c r="G1044" s="2"/>
      <c r="H1044" s="2"/>
      <c r="I1044" s="2"/>
    </row>
    <row r="1045">
      <c r="A1045" s="2">
        <f>IFERROR(__xludf.DUMMYFUNCTION("""COMPUTED_VALUE"""),119531.0)</f>
        <v>119531</v>
      </c>
      <c r="B1045" s="2" t="str">
        <f>IFERROR(__xludf.DUMMYFUNCTION("""COMPUTED_VALUE"""),"Tech")</f>
        <v>Tech</v>
      </c>
      <c r="C1045" s="2" t="str">
        <f>IFERROR(__xludf.DUMMYFUNCTION("""COMPUTED_VALUE"""),"Modern History")</f>
        <v>Modern History</v>
      </c>
      <c r="D1045" s="2" t="str">
        <f>IFERROR(__xludf.DUMMYFUNCTION("""COMPUTED_VALUE"""),"Silver Crown Books")</f>
        <v>Silver Crown Books</v>
      </c>
      <c r="E1045" s="2">
        <f>IFERROR(__xludf.DUMMYFUNCTION("""COMPUTED_VALUE"""),9.74)</f>
        <v>9.74</v>
      </c>
      <c r="F1045" s="2"/>
      <c r="G1045" s="2"/>
      <c r="H1045" s="2"/>
      <c r="I1045" s="2"/>
    </row>
    <row r="1046">
      <c r="A1046" s="2">
        <f>IFERROR(__xludf.DUMMYFUNCTION("""COMPUTED_VALUE"""),93884.0)</f>
        <v>93884</v>
      </c>
      <c r="B1046" s="2" t="str">
        <f>IFERROR(__xludf.DUMMYFUNCTION("""COMPUTED_VALUE"""),"Tech")</f>
        <v>Tech</v>
      </c>
      <c r="C1046" s="2" t="str">
        <f>IFERROR(__xludf.DUMMYFUNCTION("""COMPUTED_VALUE"""),"Modern History")</f>
        <v>Modern History</v>
      </c>
      <c r="D1046" s="2" t="str">
        <f>IFERROR(__xludf.DUMMYFUNCTION("""COMPUTED_VALUE"""),"Silver Crown Books")</f>
        <v>Silver Crown Books</v>
      </c>
      <c r="E1046" s="2">
        <f>IFERROR(__xludf.DUMMYFUNCTION("""COMPUTED_VALUE"""),4.78)</f>
        <v>4.78</v>
      </c>
      <c r="F1046" s="2"/>
      <c r="G1046" s="2"/>
      <c r="H1046" s="2"/>
      <c r="I1046" s="2"/>
    </row>
    <row r="1047">
      <c r="A1047" s="2">
        <f>IFERROR(__xludf.DUMMYFUNCTION("""COMPUTED_VALUE"""),79467.0)</f>
        <v>79467</v>
      </c>
      <c r="B1047" s="2" t="str">
        <f>IFERROR(__xludf.DUMMYFUNCTION("""COMPUTED_VALUE"""),"Tech")</f>
        <v>Tech</v>
      </c>
      <c r="C1047" s="2" t="str">
        <f>IFERROR(__xludf.DUMMYFUNCTION("""COMPUTED_VALUE"""),"Modern History")</f>
        <v>Modern History</v>
      </c>
      <c r="D1047" s="2" t="str">
        <f>IFERROR(__xludf.DUMMYFUNCTION("""COMPUTED_VALUE"""),"Silver Crown Books")</f>
        <v>Silver Crown Books</v>
      </c>
      <c r="E1047" s="2">
        <f>IFERROR(__xludf.DUMMYFUNCTION("""COMPUTED_VALUE"""),6.46)</f>
        <v>6.46</v>
      </c>
      <c r="F1047" s="2"/>
      <c r="G1047" s="2"/>
      <c r="H1047" s="2"/>
      <c r="I1047" s="2"/>
    </row>
    <row r="1048">
      <c r="A1048" s="2">
        <f>IFERROR(__xludf.DUMMYFUNCTION("""COMPUTED_VALUE"""),29532.0)</f>
        <v>29532</v>
      </c>
      <c r="B1048" s="2" t="str">
        <f>IFERROR(__xludf.DUMMYFUNCTION("""COMPUTED_VALUE"""),"Tech")</f>
        <v>Tech</v>
      </c>
      <c r="C1048" s="2" t="str">
        <f>IFERROR(__xludf.DUMMYFUNCTION("""COMPUTED_VALUE"""),"Modern History")</f>
        <v>Modern History</v>
      </c>
      <c r="D1048" s="2" t="str">
        <f>IFERROR(__xludf.DUMMYFUNCTION("""COMPUTED_VALUE"""),"Silver Crown Books")</f>
        <v>Silver Crown Books</v>
      </c>
      <c r="E1048" s="2">
        <f>IFERROR(__xludf.DUMMYFUNCTION("""COMPUTED_VALUE"""),1.52)</f>
        <v>1.52</v>
      </c>
      <c r="F1048" s="2"/>
      <c r="G1048" s="2"/>
      <c r="H1048" s="2"/>
      <c r="I1048" s="2"/>
    </row>
    <row r="1049">
      <c r="A1049" s="2">
        <f>IFERROR(__xludf.DUMMYFUNCTION("""COMPUTED_VALUE"""),104063.0)</f>
        <v>104063</v>
      </c>
      <c r="B1049" s="2" t="str">
        <f>IFERROR(__xludf.DUMMYFUNCTION("""COMPUTED_VALUE"""),"Tech")</f>
        <v>Tech</v>
      </c>
      <c r="C1049" s="2" t="str">
        <f>IFERROR(__xludf.DUMMYFUNCTION("""COMPUTED_VALUE"""),"Modern History")</f>
        <v>Modern History</v>
      </c>
      <c r="D1049" s="2" t="str">
        <f>IFERROR(__xludf.DUMMYFUNCTION("""COMPUTED_VALUE"""),"Silver Crown Books")</f>
        <v>Silver Crown Books</v>
      </c>
      <c r="E1049" s="2">
        <f>IFERROR(__xludf.DUMMYFUNCTION("""COMPUTED_VALUE"""),5.56)</f>
        <v>5.56</v>
      </c>
      <c r="F1049" s="2"/>
      <c r="G1049" s="2"/>
      <c r="H1049" s="2"/>
      <c r="I1049" s="2"/>
    </row>
    <row r="1050">
      <c r="A1050" s="2">
        <f>IFERROR(__xludf.DUMMYFUNCTION("""COMPUTED_VALUE"""),90166.0)</f>
        <v>90166</v>
      </c>
      <c r="B1050" s="2" t="str">
        <f>IFERROR(__xludf.DUMMYFUNCTION("""COMPUTED_VALUE"""),"Tech")</f>
        <v>Tech</v>
      </c>
      <c r="C1050" s="2" t="str">
        <f>IFERROR(__xludf.DUMMYFUNCTION("""COMPUTED_VALUE"""),"Modern History")</f>
        <v>Modern History</v>
      </c>
      <c r="D1050" s="2" t="str">
        <f>IFERROR(__xludf.DUMMYFUNCTION("""COMPUTED_VALUE"""),"Silver Crown Books")</f>
        <v>Silver Crown Books</v>
      </c>
      <c r="E1050" s="2">
        <f>IFERROR(__xludf.DUMMYFUNCTION("""COMPUTED_VALUE"""),3.32)</f>
        <v>3.32</v>
      </c>
      <c r="F1050" s="2"/>
      <c r="G1050" s="2"/>
      <c r="H1050" s="2"/>
      <c r="I1050" s="2"/>
    </row>
    <row r="1051">
      <c r="A1051" s="2">
        <f>IFERROR(__xludf.DUMMYFUNCTION("""COMPUTED_VALUE"""),29538.0)</f>
        <v>29538</v>
      </c>
      <c r="B1051" s="2" t="str">
        <f>IFERROR(__xludf.DUMMYFUNCTION("""COMPUTED_VALUE"""),"Tech")</f>
        <v>Tech</v>
      </c>
      <c r="C1051" s="2" t="str">
        <f>IFERROR(__xludf.DUMMYFUNCTION("""COMPUTED_VALUE"""),"Modern History")</f>
        <v>Modern History</v>
      </c>
      <c r="D1051" s="2" t="str">
        <f>IFERROR(__xludf.DUMMYFUNCTION("""COMPUTED_VALUE"""),"Silver Crown Books")</f>
        <v>Silver Crown Books</v>
      </c>
      <c r="E1051" s="2">
        <f>IFERROR(__xludf.DUMMYFUNCTION("""COMPUTED_VALUE"""),1.24)</f>
        <v>1.24</v>
      </c>
      <c r="F1051" s="2"/>
      <c r="G1051" s="2"/>
      <c r="H1051" s="2"/>
      <c r="I1051" s="2"/>
    </row>
    <row r="1052">
      <c r="A1052" s="2">
        <f>IFERROR(__xludf.DUMMYFUNCTION("""COMPUTED_VALUE"""),70538.0)</f>
        <v>70538</v>
      </c>
      <c r="B1052" s="2" t="str">
        <f>IFERROR(__xludf.DUMMYFUNCTION("""COMPUTED_VALUE"""),"Tech")</f>
        <v>Tech</v>
      </c>
      <c r="C1052" s="2" t="str">
        <f>IFERROR(__xludf.DUMMYFUNCTION("""COMPUTED_VALUE"""),"Modern History")</f>
        <v>Modern History</v>
      </c>
      <c r="D1052" s="2" t="str">
        <f>IFERROR(__xludf.DUMMYFUNCTION("""COMPUTED_VALUE"""),"Silver Crown Books")</f>
        <v>Silver Crown Books</v>
      </c>
      <c r="E1052" s="2">
        <f>IFERROR(__xludf.DUMMYFUNCTION("""COMPUTED_VALUE"""),6.73)</f>
        <v>6.73</v>
      </c>
      <c r="F1052" s="2"/>
      <c r="G1052" s="2"/>
      <c r="H1052" s="2"/>
      <c r="I1052" s="2"/>
    </row>
    <row r="1053">
      <c r="A1053" s="2">
        <f>IFERROR(__xludf.DUMMYFUNCTION("""COMPUTED_VALUE"""),93893.0)</f>
        <v>93893</v>
      </c>
      <c r="B1053" s="2" t="str">
        <f>IFERROR(__xludf.DUMMYFUNCTION("""COMPUTED_VALUE"""),"Tech")</f>
        <v>Tech</v>
      </c>
      <c r="C1053" s="2" t="str">
        <f>IFERROR(__xludf.DUMMYFUNCTION("""COMPUTED_VALUE"""),"Modern History")</f>
        <v>Modern History</v>
      </c>
      <c r="D1053" s="2" t="str">
        <f>IFERROR(__xludf.DUMMYFUNCTION("""COMPUTED_VALUE"""),"Silver Crown Books")</f>
        <v>Silver Crown Books</v>
      </c>
      <c r="E1053" s="2">
        <f>IFERROR(__xludf.DUMMYFUNCTION("""COMPUTED_VALUE"""),4.75)</f>
        <v>4.75</v>
      </c>
      <c r="F1053" s="2"/>
      <c r="G1053" s="2"/>
      <c r="H1053" s="2"/>
      <c r="I1053" s="2"/>
    </row>
    <row r="1054">
      <c r="A1054" s="2">
        <f>IFERROR(__xludf.DUMMYFUNCTION("""COMPUTED_VALUE"""),119518.0)</f>
        <v>119518</v>
      </c>
      <c r="B1054" s="2" t="str">
        <f>IFERROR(__xludf.DUMMYFUNCTION("""COMPUTED_VALUE"""),"Tech")</f>
        <v>Tech</v>
      </c>
      <c r="C1054" s="2" t="str">
        <f>IFERROR(__xludf.DUMMYFUNCTION("""COMPUTED_VALUE"""),"Modern History")</f>
        <v>Modern History</v>
      </c>
      <c r="D1054" s="2" t="str">
        <f>IFERROR(__xludf.DUMMYFUNCTION("""COMPUTED_VALUE"""),"Silver Crown Books")</f>
        <v>Silver Crown Books</v>
      </c>
      <c r="E1054" s="2">
        <f>IFERROR(__xludf.DUMMYFUNCTION("""COMPUTED_VALUE"""),4.38)</f>
        <v>4.38</v>
      </c>
      <c r="F1054" s="2"/>
      <c r="G1054" s="2"/>
      <c r="H1054" s="2"/>
      <c r="I1054" s="2"/>
    </row>
    <row r="1055">
      <c r="A1055" s="2">
        <f>IFERROR(__xludf.DUMMYFUNCTION("""COMPUTED_VALUE"""),111338.0)</f>
        <v>111338</v>
      </c>
      <c r="B1055" s="2" t="str">
        <f>IFERROR(__xludf.DUMMYFUNCTION("""COMPUTED_VALUE"""),"Tech")</f>
        <v>Tech</v>
      </c>
      <c r="C1055" s="2" t="str">
        <f>IFERROR(__xludf.DUMMYFUNCTION("""COMPUTED_VALUE"""),"Modern History")</f>
        <v>Modern History</v>
      </c>
      <c r="D1055" s="2" t="str">
        <f>IFERROR(__xludf.DUMMYFUNCTION("""COMPUTED_VALUE"""),"Silver Crown Books")</f>
        <v>Silver Crown Books</v>
      </c>
      <c r="E1055" s="2">
        <f>IFERROR(__xludf.DUMMYFUNCTION("""COMPUTED_VALUE"""),4.12)</f>
        <v>4.12</v>
      </c>
      <c r="F1055" s="2"/>
      <c r="G1055" s="2"/>
      <c r="H1055" s="2"/>
      <c r="I1055" s="2"/>
    </row>
    <row r="1056">
      <c r="A1056" s="2">
        <f>IFERROR(__xludf.DUMMYFUNCTION("""COMPUTED_VALUE"""),100435.0)</f>
        <v>100435</v>
      </c>
      <c r="B1056" s="2" t="str">
        <f>IFERROR(__xludf.DUMMYFUNCTION("""COMPUTED_VALUE"""),"Tech")</f>
        <v>Tech</v>
      </c>
      <c r="C1056" s="2" t="str">
        <f>IFERROR(__xludf.DUMMYFUNCTION("""COMPUTED_VALUE"""),"Modern History")</f>
        <v>Modern History</v>
      </c>
      <c r="D1056" s="2" t="str">
        <f>IFERROR(__xludf.DUMMYFUNCTION("""COMPUTED_VALUE"""),"Silver Crown Books")</f>
        <v>Silver Crown Books</v>
      </c>
      <c r="E1056" s="2">
        <f>IFERROR(__xludf.DUMMYFUNCTION("""COMPUTED_VALUE"""),3.31)</f>
        <v>3.31</v>
      </c>
      <c r="F1056" s="2"/>
      <c r="G1056" s="2"/>
      <c r="H1056" s="2"/>
      <c r="I1056" s="2"/>
    </row>
    <row r="1057">
      <c r="A1057" s="2">
        <f>IFERROR(__xludf.DUMMYFUNCTION("""COMPUTED_VALUE"""),89130.0)</f>
        <v>89130</v>
      </c>
      <c r="B1057" s="2" t="str">
        <f>IFERROR(__xludf.DUMMYFUNCTION("""COMPUTED_VALUE"""),"Tech")</f>
        <v>Tech</v>
      </c>
      <c r="C1057" s="2" t="str">
        <f>IFERROR(__xludf.DUMMYFUNCTION("""COMPUTED_VALUE"""),"Modern History")</f>
        <v>Modern History</v>
      </c>
      <c r="D1057" s="2" t="str">
        <f>IFERROR(__xludf.DUMMYFUNCTION("""COMPUTED_VALUE"""),"Silver Crown Books")</f>
        <v>Silver Crown Books</v>
      </c>
      <c r="E1057" s="2">
        <f>IFERROR(__xludf.DUMMYFUNCTION("""COMPUTED_VALUE"""),3.17)</f>
        <v>3.17</v>
      </c>
      <c r="F1057" s="2"/>
      <c r="G1057" s="2"/>
      <c r="H1057" s="2"/>
      <c r="I1057" s="2"/>
    </row>
    <row r="1058">
      <c r="A1058" s="2">
        <f>IFERROR(__xludf.DUMMYFUNCTION("""COMPUTED_VALUE"""),103695.0)</f>
        <v>103695</v>
      </c>
      <c r="B1058" s="2" t="str">
        <f>IFERROR(__xludf.DUMMYFUNCTION("""COMPUTED_VALUE"""),"Tech")</f>
        <v>Tech</v>
      </c>
      <c r="C1058" s="2" t="str">
        <f>IFERROR(__xludf.DUMMYFUNCTION("""COMPUTED_VALUE"""),"Modern History")</f>
        <v>Modern History</v>
      </c>
      <c r="D1058" s="2" t="str">
        <f>IFERROR(__xludf.DUMMYFUNCTION("""COMPUTED_VALUE"""),"Silver Crown Books")</f>
        <v>Silver Crown Books</v>
      </c>
      <c r="E1058" s="2">
        <f>IFERROR(__xludf.DUMMYFUNCTION("""COMPUTED_VALUE"""),4.71)</f>
        <v>4.71</v>
      </c>
      <c r="F1058" s="2"/>
      <c r="G1058" s="2"/>
      <c r="H1058" s="2"/>
      <c r="I1058" s="2"/>
    </row>
    <row r="1059">
      <c r="A1059" s="2">
        <f>IFERROR(__xludf.DUMMYFUNCTION("""COMPUTED_VALUE"""),90201.0)</f>
        <v>90201</v>
      </c>
      <c r="B1059" s="2" t="str">
        <f>IFERROR(__xludf.DUMMYFUNCTION("""COMPUTED_VALUE"""),"Tech")</f>
        <v>Tech</v>
      </c>
      <c r="C1059" s="2" t="str">
        <f>IFERROR(__xludf.DUMMYFUNCTION("""COMPUTED_VALUE"""),"Modern History")</f>
        <v>Modern History</v>
      </c>
      <c r="D1059" s="2" t="str">
        <f>IFERROR(__xludf.DUMMYFUNCTION("""COMPUTED_VALUE"""),"Silver Crown Books")</f>
        <v>Silver Crown Books</v>
      </c>
      <c r="E1059" s="2">
        <f>IFERROR(__xludf.DUMMYFUNCTION("""COMPUTED_VALUE"""),4.88)</f>
        <v>4.88</v>
      </c>
      <c r="F1059" s="2"/>
      <c r="G1059" s="2"/>
      <c r="H1059" s="2"/>
      <c r="I1059" s="2"/>
    </row>
    <row r="1060">
      <c r="A1060" s="2">
        <f>IFERROR(__xludf.DUMMYFUNCTION("""COMPUTED_VALUE"""),70025.0)</f>
        <v>70025</v>
      </c>
      <c r="B1060" s="2" t="str">
        <f>IFERROR(__xludf.DUMMYFUNCTION("""COMPUTED_VALUE"""),"Tech")</f>
        <v>Tech</v>
      </c>
      <c r="C1060" s="2" t="str">
        <f>IFERROR(__xludf.DUMMYFUNCTION("""COMPUTED_VALUE"""),"Modern History")</f>
        <v>Modern History</v>
      </c>
      <c r="D1060" s="2" t="str">
        <f>IFERROR(__xludf.DUMMYFUNCTION("""COMPUTED_VALUE"""),"Silver Crown Books")</f>
        <v>Silver Crown Books</v>
      </c>
      <c r="E1060" s="2">
        <f>IFERROR(__xludf.DUMMYFUNCTION("""COMPUTED_VALUE"""),1.51)</f>
        <v>1.51</v>
      </c>
      <c r="F1060" s="2"/>
      <c r="G1060" s="2"/>
      <c r="H1060" s="2"/>
      <c r="I1060" s="2"/>
    </row>
    <row r="1061">
      <c r="A1061" s="2">
        <f>IFERROR(__xludf.DUMMYFUNCTION("""COMPUTED_VALUE"""),29485.0)</f>
        <v>29485</v>
      </c>
      <c r="B1061" s="2" t="str">
        <f>IFERROR(__xludf.DUMMYFUNCTION("""COMPUTED_VALUE"""),"Tech")</f>
        <v>Tech</v>
      </c>
      <c r="C1061" s="2" t="str">
        <f>IFERROR(__xludf.DUMMYFUNCTION("""COMPUTED_VALUE"""),"Modern History")</f>
        <v>Modern History</v>
      </c>
      <c r="D1061" s="2" t="str">
        <f>IFERROR(__xludf.DUMMYFUNCTION("""COMPUTED_VALUE"""),"Silver Crown Books")</f>
        <v>Silver Crown Books</v>
      </c>
      <c r="E1061" s="2">
        <f>IFERROR(__xludf.DUMMYFUNCTION("""COMPUTED_VALUE"""),3.25)</f>
        <v>3.25</v>
      </c>
      <c r="F1061" s="2"/>
      <c r="G1061" s="2"/>
      <c r="H1061" s="2"/>
      <c r="I1061" s="2"/>
    </row>
    <row r="1062">
      <c r="A1062" s="2">
        <f>IFERROR(__xludf.DUMMYFUNCTION("""COMPUTED_VALUE"""),119530.0)</f>
        <v>119530</v>
      </c>
      <c r="B1062" s="2" t="str">
        <f>IFERROR(__xludf.DUMMYFUNCTION("""COMPUTED_VALUE"""),"Tech")</f>
        <v>Tech</v>
      </c>
      <c r="C1062" s="2" t="str">
        <f>IFERROR(__xludf.DUMMYFUNCTION("""COMPUTED_VALUE"""),"Modern History")</f>
        <v>Modern History</v>
      </c>
      <c r="D1062" s="2" t="str">
        <f>IFERROR(__xludf.DUMMYFUNCTION("""COMPUTED_VALUE"""),"Silver Crown Books")</f>
        <v>Silver Crown Books</v>
      </c>
      <c r="E1062" s="2">
        <f>IFERROR(__xludf.DUMMYFUNCTION("""COMPUTED_VALUE"""),9.86)</f>
        <v>9.86</v>
      </c>
      <c r="F1062" s="2"/>
      <c r="G1062" s="2"/>
      <c r="H1062" s="2"/>
      <c r="I1062" s="2"/>
    </row>
    <row r="1063">
      <c r="A1063" s="2">
        <f>IFERROR(__xludf.DUMMYFUNCTION("""COMPUTED_VALUE"""),103671.0)</f>
        <v>103671</v>
      </c>
      <c r="B1063" s="2" t="str">
        <f>IFERROR(__xludf.DUMMYFUNCTION("""COMPUTED_VALUE"""),"Tech")</f>
        <v>Tech</v>
      </c>
      <c r="C1063" s="2" t="str">
        <f>IFERROR(__xludf.DUMMYFUNCTION("""COMPUTED_VALUE"""),"Modern History")</f>
        <v>Modern History</v>
      </c>
      <c r="D1063" s="2" t="str">
        <f>IFERROR(__xludf.DUMMYFUNCTION("""COMPUTED_VALUE"""),"Silver Crown Books")</f>
        <v>Silver Crown Books</v>
      </c>
      <c r="E1063" s="2">
        <f>IFERROR(__xludf.DUMMYFUNCTION("""COMPUTED_VALUE"""),8.5)</f>
        <v>8.5</v>
      </c>
      <c r="F1063" s="2"/>
      <c r="G1063" s="2"/>
      <c r="H1063" s="2"/>
      <c r="I1063" s="2"/>
    </row>
    <row r="1064">
      <c r="A1064" s="2">
        <f>IFERROR(__xludf.DUMMYFUNCTION("""COMPUTED_VALUE"""),102803.0)</f>
        <v>102803</v>
      </c>
      <c r="B1064" s="2" t="str">
        <f>IFERROR(__xludf.DUMMYFUNCTION("""COMPUTED_VALUE"""),"Tech")</f>
        <v>Tech</v>
      </c>
      <c r="C1064" s="2" t="str">
        <f>IFERROR(__xludf.DUMMYFUNCTION("""COMPUTED_VALUE"""),"Modern History")</f>
        <v>Modern History</v>
      </c>
      <c r="D1064" s="2" t="str">
        <f>IFERROR(__xludf.DUMMYFUNCTION("""COMPUTED_VALUE"""),"Silver Crown Books")</f>
        <v>Silver Crown Books</v>
      </c>
      <c r="E1064" s="2">
        <f>IFERROR(__xludf.DUMMYFUNCTION("""COMPUTED_VALUE"""),14.82)</f>
        <v>14.82</v>
      </c>
      <c r="F1064" s="2"/>
      <c r="G1064" s="2"/>
      <c r="H1064" s="2"/>
      <c r="I1064" s="2"/>
    </row>
    <row r="1065">
      <c r="A1065" s="2">
        <f>IFERROR(__xludf.DUMMYFUNCTION("""COMPUTED_VALUE"""),122156.0)</f>
        <v>122156</v>
      </c>
      <c r="B1065" s="2" t="str">
        <f>IFERROR(__xludf.DUMMYFUNCTION("""COMPUTED_VALUE"""),"Tech")</f>
        <v>Tech</v>
      </c>
      <c r="C1065" s="2" t="str">
        <f>IFERROR(__xludf.DUMMYFUNCTION("""COMPUTED_VALUE"""),"Modern History")</f>
        <v>Modern History</v>
      </c>
      <c r="D1065" s="2" t="str">
        <f>IFERROR(__xludf.DUMMYFUNCTION("""COMPUTED_VALUE"""),"Lighthouse Ridge Press")</f>
        <v>Lighthouse Ridge Press</v>
      </c>
      <c r="E1065" s="2">
        <f>IFERROR(__xludf.DUMMYFUNCTION("""COMPUTED_VALUE"""),1.64)</f>
        <v>1.64</v>
      </c>
      <c r="F1065" s="2"/>
      <c r="G1065" s="2"/>
      <c r="H1065" s="2"/>
      <c r="I1065" s="2"/>
    </row>
    <row r="1066">
      <c r="A1066" s="2">
        <f>IFERROR(__xludf.DUMMYFUNCTION("""COMPUTED_VALUE"""),103688.0)</f>
        <v>103688</v>
      </c>
      <c r="B1066" s="2" t="str">
        <f>IFERROR(__xludf.DUMMYFUNCTION("""COMPUTED_VALUE"""),"Tech")</f>
        <v>Tech</v>
      </c>
      <c r="C1066" s="2" t="str">
        <f>IFERROR(__xludf.DUMMYFUNCTION("""COMPUTED_VALUE"""),"Modern History")</f>
        <v>Modern History</v>
      </c>
      <c r="D1066" s="2" t="str">
        <f>IFERROR(__xludf.DUMMYFUNCTION("""COMPUTED_VALUE"""),"Lighthouse Ridge Press")</f>
        <v>Lighthouse Ridge Press</v>
      </c>
      <c r="E1066" s="2">
        <f>IFERROR(__xludf.DUMMYFUNCTION("""COMPUTED_VALUE"""),1.24)</f>
        <v>1.24</v>
      </c>
      <c r="F1066" s="2"/>
      <c r="G1066" s="2"/>
      <c r="H1066" s="2"/>
      <c r="I1066" s="2"/>
    </row>
    <row r="1067">
      <c r="A1067" s="2">
        <f>IFERROR(__xludf.DUMMYFUNCTION("""COMPUTED_VALUE"""),128303.0)</f>
        <v>128303</v>
      </c>
      <c r="B1067" s="2" t="str">
        <f>IFERROR(__xludf.DUMMYFUNCTION("""COMPUTED_VALUE"""),"Tech")</f>
        <v>Tech</v>
      </c>
      <c r="C1067" s="2" t="str">
        <f>IFERROR(__xludf.DUMMYFUNCTION("""COMPUTED_VALUE"""),"Modern History")</f>
        <v>Modern History</v>
      </c>
      <c r="D1067" s="2" t="str">
        <f>IFERROR(__xludf.DUMMYFUNCTION("""COMPUTED_VALUE"""),"Lighthouse Ridge Press")</f>
        <v>Lighthouse Ridge Press</v>
      </c>
      <c r="E1067" s="2">
        <f>IFERROR(__xludf.DUMMYFUNCTION("""COMPUTED_VALUE"""),4.33)</f>
        <v>4.33</v>
      </c>
      <c r="F1067" s="2"/>
      <c r="G1067" s="2"/>
      <c r="H1067" s="2"/>
      <c r="I1067" s="2"/>
    </row>
    <row r="1068">
      <c r="A1068" s="2">
        <f>IFERROR(__xludf.DUMMYFUNCTION("""COMPUTED_VALUE"""),122164.0)</f>
        <v>122164</v>
      </c>
      <c r="B1068" s="2" t="str">
        <f>IFERROR(__xludf.DUMMYFUNCTION("""COMPUTED_VALUE"""),"Tech")</f>
        <v>Tech</v>
      </c>
      <c r="C1068" s="2" t="str">
        <f>IFERROR(__xludf.DUMMYFUNCTION("""COMPUTED_VALUE"""),"Modern History")</f>
        <v>Modern History</v>
      </c>
      <c r="D1068" s="2" t="str">
        <f>IFERROR(__xludf.DUMMYFUNCTION("""COMPUTED_VALUE"""),"Lighthouse Ridge Press")</f>
        <v>Lighthouse Ridge Press</v>
      </c>
      <c r="E1068" s="2">
        <f>IFERROR(__xludf.DUMMYFUNCTION("""COMPUTED_VALUE"""),1.41)</f>
        <v>1.41</v>
      </c>
      <c r="F1068" s="2"/>
      <c r="G1068" s="2"/>
      <c r="H1068" s="2"/>
      <c r="I1068" s="2"/>
    </row>
    <row r="1069">
      <c r="A1069" s="2">
        <f>IFERROR(__xludf.DUMMYFUNCTION("""COMPUTED_VALUE"""),119629.0)</f>
        <v>119629</v>
      </c>
      <c r="B1069" s="2" t="str">
        <f>IFERROR(__xludf.DUMMYFUNCTION("""COMPUTED_VALUE"""),"Tech")</f>
        <v>Tech</v>
      </c>
      <c r="C1069" s="2" t="str">
        <f>IFERROR(__xludf.DUMMYFUNCTION("""COMPUTED_VALUE"""),"Modern History")</f>
        <v>Modern History</v>
      </c>
      <c r="D1069" s="2" t="str">
        <f>IFERROR(__xludf.DUMMYFUNCTION("""COMPUTED_VALUE"""),"Lighthouse Ridge Press")</f>
        <v>Lighthouse Ridge Press</v>
      </c>
      <c r="E1069" s="2">
        <f>IFERROR(__xludf.DUMMYFUNCTION("""COMPUTED_VALUE"""),4.12)</f>
        <v>4.12</v>
      </c>
      <c r="F1069" s="2"/>
      <c r="G1069" s="2"/>
      <c r="H1069" s="2"/>
      <c r="I1069" s="2"/>
    </row>
    <row r="1070">
      <c r="A1070" s="2">
        <f>IFERROR(__xludf.DUMMYFUNCTION("""COMPUTED_VALUE"""),122238.0)</f>
        <v>122238</v>
      </c>
      <c r="B1070" s="2" t="str">
        <f>IFERROR(__xludf.DUMMYFUNCTION("""COMPUTED_VALUE"""),"Tech")</f>
        <v>Tech</v>
      </c>
      <c r="C1070" s="2" t="str">
        <f>IFERROR(__xludf.DUMMYFUNCTION("""COMPUTED_VALUE"""),"Modern History")</f>
        <v>Modern History</v>
      </c>
      <c r="D1070" s="2" t="str">
        <f>IFERROR(__xludf.DUMMYFUNCTION("""COMPUTED_VALUE"""),"Lighthouse Ridge Press")</f>
        <v>Lighthouse Ridge Press</v>
      </c>
      <c r="E1070" s="2">
        <f>IFERROR(__xludf.DUMMYFUNCTION("""COMPUTED_VALUE"""),1.68)</f>
        <v>1.68</v>
      </c>
      <c r="F1070" s="2"/>
      <c r="G1070" s="2"/>
      <c r="H1070" s="2"/>
      <c r="I1070" s="2"/>
    </row>
    <row r="1071">
      <c r="A1071" s="2">
        <f>IFERROR(__xludf.DUMMYFUNCTION("""COMPUTED_VALUE"""),100106.0)</f>
        <v>100106</v>
      </c>
      <c r="B1071" s="2" t="str">
        <f>IFERROR(__xludf.DUMMYFUNCTION("""COMPUTED_VALUE"""),"Tech")</f>
        <v>Tech</v>
      </c>
      <c r="C1071" s="2" t="str">
        <f>IFERROR(__xludf.DUMMYFUNCTION("""COMPUTED_VALUE"""),"Modern History")</f>
        <v>Modern History</v>
      </c>
      <c r="D1071" s="2" t="str">
        <f>IFERROR(__xludf.DUMMYFUNCTION("""COMPUTED_VALUE"""),"Lighthouse Ridge Press")</f>
        <v>Lighthouse Ridge Press</v>
      </c>
      <c r="E1071" s="2">
        <f>IFERROR(__xludf.DUMMYFUNCTION("""COMPUTED_VALUE"""),3.04)</f>
        <v>3.04</v>
      </c>
      <c r="F1071" s="2"/>
      <c r="G1071" s="2"/>
      <c r="H1071" s="2"/>
      <c r="I1071" s="2"/>
    </row>
    <row r="1072">
      <c r="A1072" s="2">
        <f>IFERROR(__xludf.DUMMYFUNCTION("""COMPUTED_VALUE"""),74260.0)</f>
        <v>74260</v>
      </c>
      <c r="B1072" s="2" t="str">
        <f>IFERROR(__xludf.DUMMYFUNCTION("""COMPUTED_VALUE"""),"Tech")</f>
        <v>Tech</v>
      </c>
      <c r="C1072" s="2" t="str">
        <f>IFERROR(__xludf.DUMMYFUNCTION("""COMPUTED_VALUE"""),"Modern History")</f>
        <v>Modern History</v>
      </c>
      <c r="D1072" s="2" t="str">
        <f>IFERROR(__xludf.DUMMYFUNCTION("""COMPUTED_VALUE"""),"Lighthouse Ridge Press")</f>
        <v>Lighthouse Ridge Press</v>
      </c>
      <c r="E1072" s="2">
        <f>IFERROR(__xludf.DUMMYFUNCTION("""COMPUTED_VALUE"""),1.33)</f>
        <v>1.33</v>
      </c>
      <c r="F1072" s="2"/>
      <c r="G1072" s="2"/>
      <c r="H1072" s="2"/>
      <c r="I1072" s="2"/>
    </row>
    <row r="1073">
      <c r="A1073" s="2">
        <f>IFERROR(__xludf.DUMMYFUNCTION("""COMPUTED_VALUE"""),122159.0)</f>
        <v>122159</v>
      </c>
      <c r="B1073" s="2" t="str">
        <f>IFERROR(__xludf.DUMMYFUNCTION("""COMPUTED_VALUE"""),"Tech")</f>
        <v>Tech</v>
      </c>
      <c r="C1073" s="2" t="str">
        <f>IFERROR(__xludf.DUMMYFUNCTION("""COMPUTED_VALUE"""),"Modern History")</f>
        <v>Modern History</v>
      </c>
      <c r="D1073" s="2" t="str">
        <f>IFERROR(__xludf.DUMMYFUNCTION("""COMPUTED_VALUE"""),"Lighthouse Ridge Press")</f>
        <v>Lighthouse Ridge Press</v>
      </c>
      <c r="E1073" s="2">
        <f>IFERROR(__xludf.DUMMYFUNCTION("""COMPUTED_VALUE"""),1.62)</f>
        <v>1.62</v>
      </c>
      <c r="F1073" s="2"/>
      <c r="G1073" s="2"/>
      <c r="H1073" s="2"/>
      <c r="I1073" s="2"/>
    </row>
    <row r="1074">
      <c r="A1074" s="2">
        <f>IFERROR(__xludf.DUMMYFUNCTION("""COMPUTED_VALUE"""),100104.0)</f>
        <v>100104</v>
      </c>
      <c r="B1074" s="2" t="str">
        <f>IFERROR(__xludf.DUMMYFUNCTION("""COMPUTED_VALUE"""),"Tech")</f>
        <v>Tech</v>
      </c>
      <c r="C1074" s="2" t="str">
        <f>IFERROR(__xludf.DUMMYFUNCTION("""COMPUTED_VALUE"""),"Modern History")</f>
        <v>Modern History</v>
      </c>
      <c r="D1074" s="2" t="str">
        <f>IFERROR(__xludf.DUMMYFUNCTION("""COMPUTED_VALUE"""),"Lighthouse Ridge Press")</f>
        <v>Lighthouse Ridge Press</v>
      </c>
      <c r="E1074" s="2">
        <f>IFERROR(__xludf.DUMMYFUNCTION("""COMPUTED_VALUE"""),3.04)</f>
        <v>3.04</v>
      </c>
      <c r="F1074" s="2"/>
      <c r="G1074" s="2"/>
      <c r="H1074" s="2"/>
      <c r="I1074" s="2"/>
    </row>
    <row r="1075">
      <c r="A1075" s="2">
        <f>IFERROR(__xludf.DUMMYFUNCTION("""COMPUTED_VALUE"""),103702.0)</f>
        <v>103702</v>
      </c>
      <c r="B1075" s="2" t="str">
        <f>IFERROR(__xludf.DUMMYFUNCTION("""COMPUTED_VALUE"""),"Tech")</f>
        <v>Tech</v>
      </c>
      <c r="C1075" s="2" t="str">
        <f>IFERROR(__xludf.DUMMYFUNCTION("""COMPUTED_VALUE"""),"Modern History")</f>
        <v>Modern History</v>
      </c>
      <c r="D1075" s="2" t="str">
        <f>IFERROR(__xludf.DUMMYFUNCTION("""COMPUTED_VALUE"""),"Lighthouse Ridge Press")</f>
        <v>Lighthouse Ridge Press</v>
      </c>
      <c r="E1075" s="2">
        <f>IFERROR(__xludf.DUMMYFUNCTION("""COMPUTED_VALUE"""),1.32)</f>
        <v>1.32</v>
      </c>
      <c r="F1075" s="2"/>
      <c r="G1075" s="2"/>
      <c r="H1075" s="2"/>
      <c r="I1075" s="2"/>
    </row>
    <row r="1076">
      <c r="A1076" s="2">
        <f>IFERROR(__xludf.DUMMYFUNCTION("""COMPUTED_VALUE"""),103696.0)</f>
        <v>103696</v>
      </c>
      <c r="B1076" s="2" t="str">
        <f>IFERROR(__xludf.DUMMYFUNCTION("""COMPUTED_VALUE"""),"Tech")</f>
        <v>Tech</v>
      </c>
      <c r="C1076" s="2" t="str">
        <f>IFERROR(__xludf.DUMMYFUNCTION("""COMPUTED_VALUE"""),"Modern History")</f>
        <v>Modern History</v>
      </c>
      <c r="D1076" s="2" t="str">
        <f>IFERROR(__xludf.DUMMYFUNCTION("""COMPUTED_VALUE"""),"Lighthouse Ridge Press")</f>
        <v>Lighthouse Ridge Press</v>
      </c>
      <c r="E1076" s="2">
        <f>IFERROR(__xludf.DUMMYFUNCTION("""COMPUTED_VALUE"""),1.52)</f>
        <v>1.52</v>
      </c>
      <c r="F1076" s="2"/>
      <c r="G1076" s="2"/>
      <c r="H1076" s="2"/>
      <c r="I1076" s="2"/>
    </row>
    <row r="1077">
      <c r="A1077" s="2">
        <f>IFERROR(__xludf.DUMMYFUNCTION("""COMPUTED_VALUE"""),111083.0)</f>
        <v>111083</v>
      </c>
      <c r="B1077" s="2" t="str">
        <f>IFERROR(__xludf.DUMMYFUNCTION("""COMPUTED_VALUE"""),"Tech")</f>
        <v>Tech</v>
      </c>
      <c r="C1077" s="2" t="str">
        <f>IFERROR(__xludf.DUMMYFUNCTION("""COMPUTED_VALUE"""),"Modern History")</f>
        <v>Modern History</v>
      </c>
      <c r="D1077" s="2" t="str">
        <f>IFERROR(__xludf.DUMMYFUNCTION("""COMPUTED_VALUE"""),"Lighthouse Ridge Press")</f>
        <v>Lighthouse Ridge Press</v>
      </c>
      <c r="E1077" s="2">
        <f>IFERROR(__xludf.DUMMYFUNCTION("""COMPUTED_VALUE"""),4.06)</f>
        <v>4.06</v>
      </c>
      <c r="F1077" s="2"/>
      <c r="G1077" s="2"/>
      <c r="H1077" s="2"/>
      <c r="I1077" s="2"/>
    </row>
    <row r="1078">
      <c r="A1078" s="2">
        <f>IFERROR(__xludf.DUMMYFUNCTION("""COMPUTED_VALUE"""),76658.0)</f>
        <v>76658</v>
      </c>
      <c r="B1078" s="2" t="str">
        <f>IFERROR(__xludf.DUMMYFUNCTION("""COMPUTED_VALUE"""),"Tech")</f>
        <v>Tech</v>
      </c>
      <c r="C1078" s="2" t="str">
        <f>IFERROR(__xludf.DUMMYFUNCTION("""COMPUTED_VALUE"""),"Modern History")</f>
        <v>Modern History</v>
      </c>
      <c r="D1078" s="2" t="str">
        <f>IFERROR(__xludf.DUMMYFUNCTION("""COMPUTED_VALUE"""),"Blue Summit Publishing")</f>
        <v>Blue Summit Publishing</v>
      </c>
      <c r="E1078" s="2">
        <f>IFERROR(__xludf.DUMMYFUNCTION("""COMPUTED_VALUE"""),1.66)</f>
        <v>1.66</v>
      </c>
      <c r="F1078" s="2"/>
      <c r="G1078" s="2"/>
      <c r="H1078" s="2"/>
      <c r="I1078" s="2"/>
    </row>
    <row r="1079">
      <c r="A1079" s="2">
        <f>IFERROR(__xludf.DUMMYFUNCTION("""COMPUTED_VALUE"""),111339.0)</f>
        <v>111339</v>
      </c>
      <c r="B1079" s="2" t="str">
        <f>IFERROR(__xludf.DUMMYFUNCTION("""COMPUTED_VALUE"""),"Tech")</f>
        <v>Tech</v>
      </c>
      <c r="C1079" s="2" t="str">
        <f>IFERROR(__xludf.DUMMYFUNCTION("""COMPUTED_VALUE"""),"Modern History")</f>
        <v>Modern History</v>
      </c>
      <c r="D1079" s="2" t="str">
        <f>IFERROR(__xludf.DUMMYFUNCTION("""COMPUTED_VALUE"""),"Blue Summit Publishing")</f>
        <v>Blue Summit Publishing</v>
      </c>
      <c r="E1079" s="2">
        <f>IFERROR(__xludf.DUMMYFUNCTION("""COMPUTED_VALUE"""),4.35)</f>
        <v>4.35</v>
      </c>
      <c r="F1079" s="2"/>
      <c r="G1079" s="2"/>
      <c r="H1079" s="2"/>
      <c r="I1079" s="2"/>
    </row>
    <row r="1080">
      <c r="A1080" s="2">
        <f>IFERROR(__xludf.DUMMYFUNCTION("""COMPUTED_VALUE"""),79491.0)</f>
        <v>79491</v>
      </c>
      <c r="B1080" s="2" t="str">
        <f>IFERROR(__xludf.DUMMYFUNCTION("""COMPUTED_VALUE"""),"Tech")</f>
        <v>Tech</v>
      </c>
      <c r="C1080" s="2" t="str">
        <f>IFERROR(__xludf.DUMMYFUNCTION("""COMPUTED_VALUE"""),"Modern History")</f>
        <v>Modern History</v>
      </c>
      <c r="D1080" s="2" t="str">
        <f>IFERROR(__xludf.DUMMYFUNCTION("""COMPUTED_VALUE"""),"Blue Summit Publishing")</f>
        <v>Blue Summit Publishing</v>
      </c>
      <c r="E1080" s="2">
        <f>IFERROR(__xludf.DUMMYFUNCTION("""COMPUTED_VALUE"""),5.11)</f>
        <v>5.11</v>
      </c>
      <c r="F1080" s="2"/>
      <c r="G1080" s="2"/>
      <c r="H1080" s="2"/>
      <c r="I1080" s="2"/>
    </row>
    <row r="1081">
      <c r="A1081" s="2">
        <f>IFERROR(__xludf.DUMMYFUNCTION("""COMPUTED_VALUE"""),110380.0)</f>
        <v>110380</v>
      </c>
      <c r="B1081" s="2" t="str">
        <f>IFERROR(__xludf.DUMMYFUNCTION("""COMPUTED_VALUE"""),"Tech")</f>
        <v>Tech</v>
      </c>
      <c r="C1081" s="2" t="str">
        <f>IFERROR(__xludf.DUMMYFUNCTION("""COMPUTED_VALUE"""),"Modern History")</f>
        <v>Modern History</v>
      </c>
      <c r="D1081" s="2" t="str">
        <f>IFERROR(__xludf.DUMMYFUNCTION("""COMPUTED_VALUE"""),"Blue Summit Publishing")</f>
        <v>Blue Summit Publishing</v>
      </c>
      <c r="E1081" s="2">
        <f>IFERROR(__xludf.DUMMYFUNCTION("""COMPUTED_VALUE"""),8.57)</f>
        <v>8.57</v>
      </c>
      <c r="F1081" s="2"/>
      <c r="G1081" s="2"/>
      <c r="H1081" s="2"/>
      <c r="I1081" s="2"/>
    </row>
    <row r="1082">
      <c r="A1082" s="2">
        <f>IFERROR(__xludf.DUMMYFUNCTION("""COMPUTED_VALUE"""),111341.0)</f>
        <v>111341</v>
      </c>
      <c r="B1082" s="2" t="str">
        <f>IFERROR(__xludf.DUMMYFUNCTION("""COMPUTED_VALUE"""),"Tech")</f>
        <v>Tech</v>
      </c>
      <c r="C1082" s="2" t="str">
        <f>IFERROR(__xludf.DUMMYFUNCTION("""COMPUTED_VALUE"""),"Modern History")</f>
        <v>Modern History</v>
      </c>
      <c r="D1082" s="2" t="str">
        <f>IFERROR(__xludf.DUMMYFUNCTION("""COMPUTED_VALUE"""),"Blue Summit Publishing")</f>
        <v>Blue Summit Publishing</v>
      </c>
      <c r="E1082" s="2">
        <f>IFERROR(__xludf.DUMMYFUNCTION("""COMPUTED_VALUE"""),4.6)</f>
        <v>4.6</v>
      </c>
      <c r="F1082" s="2"/>
      <c r="G1082" s="2"/>
      <c r="H1082" s="2"/>
      <c r="I1082" s="2"/>
    </row>
    <row r="1083">
      <c r="A1083" s="2">
        <f>IFERROR(__xludf.DUMMYFUNCTION("""COMPUTED_VALUE"""),81785.0)</f>
        <v>81785</v>
      </c>
      <c r="B1083" s="2" t="str">
        <f>IFERROR(__xludf.DUMMYFUNCTION("""COMPUTED_VALUE"""),"Tech")</f>
        <v>Tech</v>
      </c>
      <c r="C1083" s="2" t="str">
        <f>IFERROR(__xludf.DUMMYFUNCTION("""COMPUTED_VALUE"""),"Modern History")</f>
        <v>Modern History</v>
      </c>
      <c r="D1083" s="2" t="str">
        <f>IFERROR(__xludf.DUMMYFUNCTION("""COMPUTED_VALUE"""),"Blue Summit Publishing")</f>
        <v>Blue Summit Publishing</v>
      </c>
      <c r="E1083" s="2">
        <f>IFERROR(__xludf.DUMMYFUNCTION("""COMPUTED_VALUE"""),1.97)</f>
        <v>1.97</v>
      </c>
      <c r="F1083" s="2"/>
      <c r="G1083" s="2"/>
      <c r="H1083" s="2"/>
      <c r="I1083" s="2"/>
    </row>
    <row r="1084">
      <c r="A1084" s="2">
        <f>IFERROR(__xludf.DUMMYFUNCTION("""COMPUTED_VALUE"""),89155.0)</f>
        <v>89155</v>
      </c>
      <c r="B1084" s="2" t="str">
        <f>IFERROR(__xludf.DUMMYFUNCTION("""COMPUTED_VALUE"""),"Tech")</f>
        <v>Tech</v>
      </c>
      <c r="C1084" s="2" t="str">
        <f>IFERROR(__xludf.DUMMYFUNCTION("""COMPUTED_VALUE"""),"Modern History")</f>
        <v>Modern History</v>
      </c>
      <c r="D1084" s="2" t="str">
        <f>IFERROR(__xludf.DUMMYFUNCTION("""COMPUTED_VALUE"""),"Blue Summit Publishing")</f>
        <v>Blue Summit Publishing</v>
      </c>
      <c r="E1084" s="2">
        <f>IFERROR(__xludf.DUMMYFUNCTION("""COMPUTED_VALUE"""),2.91)</f>
        <v>2.91</v>
      </c>
      <c r="F1084" s="2"/>
      <c r="G1084" s="2"/>
      <c r="H1084" s="2"/>
      <c r="I1084" s="2"/>
    </row>
    <row r="1085">
      <c r="A1085" s="2">
        <f>IFERROR(__xludf.DUMMYFUNCTION("""COMPUTED_VALUE"""),90253.0)</f>
        <v>90253</v>
      </c>
      <c r="B1085" s="2" t="str">
        <f>IFERROR(__xludf.DUMMYFUNCTION("""COMPUTED_VALUE"""),"Tech")</f>
        <v>Tech</v>
      </c>
      <c r="C1085" s="2" t="str">
        <f>IFERROR(__xludf.DUMMYFUNCTION("""COMPUTED_VALUE"""),"Modern History")</f>
        <v>Modern History</v>
      </c>
      <c r="D1085" s="2" t="str">
        <f>IFERROR(__xludf.DUMMYFUNCTION("""COMPUTED_VALUE"""),"Timber Creek Books")</f>
        <v>Timber Creek Books</v>
      </c>
      <c r="E1085" s="2">
        <f>IFERROR(__xludf.DUMMYFUNCTION("""COMPUTED_VALUE"""),4.16)</f>
        <v>4.16</v>
      </c>
      <c r="F1085" s="2"/>
      <c r="G1085" s="2"/>
      <c r="H1085" s="2"/>
      <c r="I1085" s="2"/>
    </row>
    <row r="1086">
      <c r="A1086" s="2">
        <f>IFERROR(__xludf.DUMMYFUNCTION("""COMPUTED_VALUE"""),119544.0)</f>
        <v>119544</v>
      </c>
      <c r="B1086" s="2" t="str">
        <f>IFERROR(__xludf.DUMMYFUNCTION("""COMPUTED_VALUE"""),"Tech")</f>
        <v>Tech</v>
      </c>
      <c r="C1086" s="2" t="str">
        <f>IFERROR(__xludf.DUMMYFUNCTION("""COMPUTED_VALUE"""),"Modern History")</f>
        <v>Modern History</v>
      </c>
      <c r="D1086" s="2" t="str">
        <f>IFERROR(__xludf.DUMMYFUNCTION("""COMPUTED_VALUE"""),"Crystal Peak Press")</f>
        <v>Crystal Peak Press</v>
      </c>
      <c r="E1086" s="2">
        <f>IFERROR(__xludf.DUMMYFUNCTION("""COMPUTED_VALUE"""),2.48)</f>
        <v>2.48</v>
      </c>
      <c r="F1086" s="2"/>
      <c r="G1086" s="2"/>
      <c r="H1086" s="2"/>
      <c r="I1086" s="2"/>
    </row>
    <row r="1087">
      <c r="A1087" s="2">
        <f>IFERROR(__xludf.DUMMYFUNCTION("""COMPUTED_VALUE"""),108675.0)</f>
        <v>108675</v>
      </c>
      <c r="B1087" s="2" t="str">
        <f>IFERROR(__xludf.DUMMYFUNCTION("""COMPUTED_VALUE"""),"Tech")</f>
        <v>Tech</v>
      </c>
      <c r="C1087" s="2" t="str">
        <f>IFERROR(__xludf.DUMMYFUNCTION("""COMPUTED_VALUE"""),"Modern History")</f>
        <v>Modern History</v>
      </c>
      <c r="D1087" s="2" t="str">
        <f>IFERROR(__xludf.DUMMYFUNCTION("""COMPUTED_VALUE"""),"Crystal Peak Press")</f>
        <v>Crystal Peak Press</v>
      </c>
      <c r="E1087" s="2">
        <f>IFERROR(__xludf.DUMMYFUNCTION("""COMPUTED_VALUE"""),3.89)</f>
        <v>3.89</v>
      </c>
      <c r="F1087" s="2"/>
      <c r="G1087" s="2"/>
      <c r="H1087" s="2"/>
      <c r="I1087" s="2"/>
    </row>
    <row r="1088">
      <c r="A1088" s="2">
        <f>IFERROR(__xludf.DUMMYFUNCTION("""COMPUTED_VALUE"""),119542.0)</f>
        <v>119542</v>
      </c>
      <c r="B1088" s="2" t="str">
        <f>IFERROR(__xludf.DUMMYFUNCTION("""COMPUTED_VALUE"""),"Tech")</f>
        <v>Tech</v>
      </c>
      <c r="C1088" s="2" t="str">
        <f>IFERROR(__xludf.DUMMYFUNCTION("""COMPUTED_VALUE"""),"Modern History")</f>
        <v>Modern History</v>
      </c>
      <c r="D1088" s="2" t="str">
        <f>IFERROR(__xludf.DUMMYFUNCTION("""COMPUTED_VALUE"""),"Crystal Peak Press")</f>
        <v>Crystal Peak Press</v>
      </c>
      <c r="E1088" s="2">
        <f>IFERROR(__xludf.DUMMYFUNCTION("""COMPUTED_VALUE"""),2.24)</f>
        <v>2.24</v>
      </c>
      <c r="F1088" s="2"/>
      <c r="G1088" s="2"/>
      <c r="H1088" s="2"/>
      <c r="I1088" s="2"/>
    </row>
    <row r="1089">
      <c r="A1089" s="2">
        <f>IFERROR(__xludf.DUMMYFUNCTION("""COMPUTED_VALUE"""),30752.0)</f>
        <v>30752</v>
      </c>
      <c r="B1089" s="2" t="str">
        <f>IFERROR(__xludf.DUMMYFUNCTION("""COMPUTED_VALUE"""),"Tech")</f>
        <v>Tech</v>
      </c>
      <c r="C1089" s="2" t="str">
        <f>IFERROR(__xludf.DUMMYFUNCTION("""COMPUTED_VALUE"""),"Modern History")</f>
        <v>Modern History</v>
      </c>
      <c r="D1089" s="2" t="str">
        <f>IFERROR(__xludf.DUMMYFUNCTION("""COMPUTED_VALUE"""),"Crystal Peak Press")</f>
        <v>Crystal Peak Press</v>
      </c>
      <c r="E1089" s="2">
        <f>IFERROR(__xludf.DUMMYFUNCTION("""COMPUTED_VALUE"""),6.45)</f>
        <v>6.45</v>
      </c>
      <c r="F1089" s="2"/>
      <c r="G1089" s="2"/>
      <c r="H1089" s="2"/>
      <c r="I1089" s="2"/>
    </row>
    <row r="1090">
      <c r="A1090" s="2">
        <f>IFERROR(__xludf.DUMMYFUNCTION("""COMPUTED_VALUE"""),116180.0)</f>
        <v>116180</v>
      </c>
      <c r="B1090" s="2" t="str">
        <f>IFERROR(__xludf.DUMMYFUNCTION("""COMPUTED_VALUE"""),"Law")</f>
        <v>Law</v>
      </c>
      <c r="C1090" s="2" t="str">
        <f>IFERROR(__xludf.DUMMYFUNCTION("""COMPUTED_VALUE"""),"World War I")</f>
        <v>World War I</v>
      </c>
      <c r="D1090" s="2" t="str">
        <f>IFERROR(__xludf.DUMMYFUNCTION("""COMPUTED_VALUE"""),"Westwind Publishing")</f>
        <v>Westwind Publishing</v>
      </c>
      <c r="E1090" s="2">
        <f>IFERROR(__xludf.DUMMYFUNCTION("""COMPUTED_VALUE"""),1.21)</f>
        <v>1.21</v>
      </c>
      <c r="F1090" s="2"/>
      <c r="G1090" s="2"/>
      <c r="H1090" s="2"/>
      <c r="I1090" s="2"/>
    </row>
    <row r="1091">
      <c r="A1091" s="2">
        <f>IFERROR(__xludf.DUMMYFUNCTION("""COMPUTED_VALUE"""),96953.0)</f>
        <v>96953</v>
      </c>
      <c r="B1091" s="2" t="str">
        <f>IFERROR(__xludf.DUMMYFUNCTION("""COMPUTED_VALUE"""),"Law")</f>
        <v>Law</v>
      </c>
      <c r="C1091" s="2" t="str">
        <f>IFERROR(__xludf.DUMMYFUNCTION("""COMPUTED_VALUE"""),"World War I")</f>
        <v>World War I</v>
      </c>
      <c r="D1091" s="2" t="str">
        <f>IFERROR(__xludf.DUMMYFUNCTION("""COMPUTED_VALUE"""),"Westwind Publishing")</f>
        <v>Westwind Publishing</v>
      </c>
      <c r="E1091" s="2">
        <f>IFERROR(__xludf.DUMMYFUNCTION("""COMPUTED_VALUE"""),1.02)</f>
        <v>1.02</v>
      </c>
      <c r="F1091" s="2"/>
      <c r="G1091" s="2"/>
      <c r="H1091" s="2"/>
      <c r="I1091" s="2"/>
    </row>
    <row r="1092">
      <c r="A1092" s="2">
        <f>IFERROR(__xludf.DUMMYFUNCTION("""COMPUTED_VALUE"""),118303.0)</f>
        <v>118303</v>
      </c>
      <c r="B1092" s="2" t="str">
        <f>IFERROR(__xludf.DUMMYFUNCTION("""COMPUTED_VALUE"""),"Law")</f>
        <v>Law</v>
      </c>
      <c r="C1092" s="2" t="str">
        <f>IFERROR(__xludf.DUMMYFUNCTION("""COMPUTED_VALUE"""),"World War I")</f>
        <v>World War I</v>
      </c>
      <c r="D1092" s="2" t="str">
        <f>IFERROR(__xludf.DUMMYFUNCTION("""COMPUTED_VALUE"""),"Westwind Publishing")</f>
        <v>Westwind Publishing</v>
      </c>
      <c r="E1092" s="2">
        <f>IFERROR(__xludf.DUMMYFUNCTION("""COMPUTED_VALUE"""),1.82)</f>
        <v>1.82</v>
      </c>
      <c r="F1092" s="2"/>
      <c r="G1092" s="2"/>
      <c r="H1092" s="2"/>
      <c r="I1092" s="2"/>
    </row>
    <row r="1093">
      <c r="A1093" s="2">
        <f>IFERROR(__xludf.DUMMYFUNCTION("""COMPUTED_VALUE"""),117222.0)</f>
        <v>117222</v>
      </c>
      <c r="B1093" s="2" t="str">
        <f>IFERROR(__xludf.DUMMYFUNCTION("""COMPUTED_VALUE"""),"Law")</f>
        <v>Law</v>
      </c>
      <c r="C1093" s="2" t="str">
        <f>IFERROR(__xludf.DUMMYFUNCTION("""COMPUTED_VALUE"""),"World War I")</f>
        <v>World War I</v>
      </c>
      <c r="D1093" s="2" t="str">
        <f>IFERROR(__xludf.DUMMYFUNCTION("""COMPUTED_VALUE"""),"Westwind Publishing")</f>
        <v>Westwind Publishing</v>
      </c>
      <c r="E1093" s="2">
        <f>IFERROR(__xludf.DUMMYFUNCTION("""COMPUTED_VALUE"""),1.15)</f>
        <v>1.15</v>
      </c>
      <c r="F1093" s="2"/>
      <c r="G1093" s="2"/>
      <c r="H1093" s="2"/>
      <c r="I1093" s="2"/>
    </row>
    <row r="1094">
      <c r="A1094" s="2">
        <f>IFERROR(__xludf.DUMMYFUNCTION("""COMPUTED_VALUE"""),5620.0)</f>
        <v>5620</v>
      </c>
      <c r="B1094" s="2" t="str">
        <f>IFERROR(__xludf.DUMMYFUNCTION("""COMPUTED_VALUE"""),"Law")</f>
        <v>Law</v>
      </c>
      <c r="C1094" s="2" t="str">
        <f>IFERROR(__xludf.DUMMYFUNCTION("""COMPUTED_VALUE"""),"World War I")</f>
        <v>World War I</v>
      </c>
      <c r="D1094" s="2" t="str">
        <f>IFERROR(__xludf.DUMMYFUNCTION("""COMPUTED_VALUE"""),"Westwind Publishing")</f>
        <v>Westwind Publishing</v>
      </c>
      <c r="E1094" s="2">
        <f>IFERROR(__xludf.DUMMYFUNCTION("""COMPUTED_VALUE"""),0.92)</f>
        <v>0.92</v>
      </c>
      <c r="F1094" s="2"/>
      <c r="G1094" s="2"/>
      <c r="H1094" s="2"/>
      <c r="I1094" s="2"/>
    </row>
    <row r="1095">
      <c r="A1095" s="2">
        <f>IFERROR(__xludf.DUMMYFUNCTION("""COMPUTED_VALUE"""),122346.0)</f>
        <v>122346</v>
      </c>
      <c r="B1095" s="2" t="str">
        <f>IFERROR(__xludf.DUMMYFUNCTION("""COMPUTED_VALUE"""),"Law")</f>
        <v>Law</v>
      </c>
      <c r="C1095" s="2" t="str">
        <f>IFERROR(__xludf.DUMMYFUNCTION("""COMPUTED_VALUE"""),"World War I")</f>
        <v>World War I</v>
      </c>
      <c r="D1095" s="2" t="str">
        <f>IFERROR(__xludf.DUMMYFUNCTION("""COMPUTED_VALUE"""),"Westwind Publishing")</f>
        <v>Westwind Publishing</v>
      </c>
      <c r="E1095" s="2">
        <f>IFERROR(__xludf.DUMMYFUNCTION("""COMPUTED_VALUE"""),0.98)</f>
        <v>0.98</v>
      </c>
      <c r="F1095" s="2"/>
      <c r="G1095" s="2"/>
      <c r="H1095" s="2"/>
      <c r="I1095" s="2"/>
    </row>
    <row r="1096">
      <c r="A1096" s="2">
        <f>IFERROR(__xludf.DUMMYFUNCTION("""COMPUTED_VALUE"""),96968.0)</f>
        <v>96968</v>
      </c>
      <c r="B1096" s="2" t="str">
        <f>IFERROR(__xludf.DUMMYFUNCTION("""COMPUTED_VALUE"""),"Law")</f>
        <v>Law</v>
      </c>
      <c r="C1096" s="2" t="str">
        <f>IFERROR(__xludf.DUMMYFUNCTION("""COMPUTED_VALUE"""),"World War I")</f>
        <v>World War I</v>
      </c>
      <c r="D1096" s="2" t="str">
        <f>IFERROR(__xludf.DUMMYFUNCTION("""COMPUTED_VALUE"""),"Westwind Publishing")</f>
        <v>Westwind Publishing</v>
      </c>
      <c r="E1096" s="2">
        <f>IFERROR(__xludf.DUMMYFUNCTION("""COMPUTED_VALUE"""),1.79)</f>
        <v>1.79</v>
      </c>
      <c r="F1096" s="2"/>
      <c r="G1096" s="2"/>
      <c r="H1096" s="2"/>
      <c r="I1096" s="2"/>
    </row>
    <row r="1097">
      <c r="A1097" s="2">
        <f>IFERROR(__xludf.DUMMYFUNCTION("""COMPUTED_VALUE"""),126578.0)</f>
        <v>126578</v>
      </c>
      <c r="B1097" s="2" t="str">
        <f>IFERROR(__xludf.DUMMYFUNCTION("""COMPUTED_VALUE"""),"Law")</f>
        <v>Law</v>
      </c>
      <c r="C1097" s="2" t="str">
        <f>IFERROR(__xludf.DUMMYFUNCTION("""COMPUTED_VALUE"""),"World War I")</f>
        <v>World War I</v>
      </c>
      <c r="D1097" s="2" t="str">
        <f>IFERROR(__xludf.DUMMYFUNCTION("""COMPUTED_VALUE"""),"Westwind Publishing")</f>
        <v>Westwind Publishing</v>
      </c>
      <c r="E1097" s="2">
        <f>IFERROR(__xludf.DUMMYFUNCTION("""COMPUTED_VALUE"""),1.41)</f>
        <v>1.41</v>
      </c>
      <c r="F1097" s="2"/>
      <c r="G1097" s="2"/>
      <c r="H1097" s="2"/>
      <c r="I1097" s="2"/>
    </row>
    <row r="1098">
      <c r="A1098" s="2">
        <f>IFERROR(__xludf.DUMMYFUNCTION("""COMPUTED_VALUE"""),126581.0)</f>
        <v>126581</v>
      </c>
      <c r="B1098" s="2" t="str">
        <f>IFERROR(__xludf.DUMMYFUNCTION("""COMPUTED_VALUE"""),"Law")</f>
        <v>Law</v>
      </c>
      <c r="C1098" s="2" t="str">
        <f>IFERROR(__xludf.DUMMYFUNCTION("""COMPUTED_VALUE"""),"World War I")</f>
        <v>World War I</v>
      </c>
      <c r="D1098" s="2" t="str">
        <f>IFERROR(__xludf.DUMMYFUNCTION("""COMPUTED_VALUE"""),"Westwind Publishing")</f>
        <v>Westwind Publishing</v>
      </c>
      <c r="E1098" s="2">
        <f>IFERROR(__xludf.DUMMYFUNCTION("""COMPUTED_VALUE"""),1.35)</f>
        <v>1.35</v>
      </c>
      <c r="F1098" s="2"/>
      <c r="G1098" s="2"/>
      <c r="H1098" s="2"/>
      <c r="I1098" s="2"/>
    </row>
    <row r="1099">
      <c r="A1099" s="2">
        <f>IFERROR(__xludf.DUMMYFUNCTION("""COMPUTED_VALUE"""),96956.0)</f>
        <v>96956</v>
      </c>
      <c r="B1099" s="2" t="str">
        <f>IFERROR(__xludf.DUMMYFUNCTION("""COMPUTED_VALUE"""),"Law")</f>
        <v>Law</v>
      </c>
      <c r="C1099" s="2" t="str">
        <f>IFERROR(__xludf.DUMMYFUNCTION("""COMPUTED_VALUE"""),"World War I")</f>
        <v>World War I</v>
      </c>
      <c r="D1099" s="2" t="str">
        <f>IFERROR(__xludf.DUMMYFUNCTION("""COMPUTED_VALUE"""),"Westwind Publishing")</f>
        <v>Westwind Publishing</v>
      </c>
      <c r="E1099" s="2">
        <f>IFERROR(__xludf.DUMMYFUNCTION("""COMPUTED_VALUE"""),1.13)</f>
        <v>1.13</v>
      </c>
      <c r="F1099" s="2"/>
      <c r="G1099" s="2"/>
      <c r="H1099" s="2"/>
      <c r="I1099" s="2"/>
    </row>
    <row r="1100">
      <c r="A1100" s="2">
        <f>IFERROR(__xludf.DUMMYFUNCTION("""COMPUTED_VALUE"""),116774.0)</f>
        <v>116774</v>
      </c>
      <c r="B1100" s="2" t="str">
        <f>IFERROR(__xludf.DUMMYFUNCTION("""COMPUTED_VALUE"""),"Law")</f>
        <v>Law</v>
      </c>
      <c r="C1100" s="2" t="str">
        <f>IFERROR(__xludf.DUMMYFUNCTION("""COMPUTED_VALUE"""),"World War I")</f>
        <v>World War I</v>
      </c>
      <c r="D1100" s="2" t="str">
        <f>IFERROR(__xludf.DUMMYFUNCTION("""COMPUTED_VALUE"""),"Westwind Publishing")</f>
        <v>Westwind Publishing</v>
      </c>
      <c r="E1100" s="2">
        <f>IFERROR(__xludf.DUMMYFUNCTION("""COMPUTED_VALUE"""),0.66)</f>
        <v>0.66</v>
      </c>
      <c r="F1100" s="2"/>
      <c r="G1100" s="2"/>
      <c r="H1100" s="2"/>
      <c r="I1100" s="2"/>
    </row>
    <row r="1101">
      <c r="A1101" s="2">
        <f>IFERROR(__xludf.DUMMYFUNCTION("""COMPUTED_VALUE"""),147293.0)</f>
        <v>147293</v>
      </c>
      <c r="B1101" s="2" t="str">
        <f>IFERROR(__xludf.DUMMYFUNCTION("""COMPUTED_VALUE"""),"Law")</f>
        <v>Law</v>
      </c>
      <c r="C1101" s="2" t="str">
        <f>IFERROR(__xludf.DUMMYFUNCTION("""COMPUTED_VALUE"""),"World War I")</f>
        <v>World War I</v>
      </c>
      <c r="D1101" s="2" t="str">
        <f>IFERROR(__xludf.DUMMYFUNCTION("""COMPUTED_VALUE"""),"Westwind Publishing")</f>
        <v>Westwind Publishing</v>
      </c>
      <c r="E1101" s="2">
        <f>IFERROR(__xludf.DUMMYFUNCTION("""COMPUTED_VALUE"""),1.37)</f>
        <v>1.37</v>
      </c>
      <c r="F1101" s="2"/>
      <c r="G1101" s="2"/>
      <c r="H1101" s="2"/>
      <c r="I1101" s="2"/>
    </row>
    <row r="1102">
      <c r="A1102" s="2">
        <f>IFERROR(__xludf.DUMMYFUNCTION("""COMPUTED_VALUE"""),119228.0)</f>
        <v>119228</v>
      </c>
      <c r="B1102" s="2" t="str">
        <f>IFERROR(__xludf.DUMMYFUNCTION("""COMPUTED_VALUE"""),"Law")</f>
        <v>Law</v>
      </c>
      <c r="C1102" s="2" t="str">
        <f>IFERROR(__xludf.DUMMYFUNCTION("""COMPUTED_VALUE"""),"World War I")</f>
        <v>World War I</v>
      </c>
      <c r="D1102" s="2" t="str">
        <f>IFERROR(__xludf.DUMMYFUNCTION("""COMPUTED_VALUE"""),"Westwind Publishing")</f>
        <v>Westwind Publishing</v>
      </c>
      <c r="E1102" s="2">
        <f>IFERROR(__xludf.DUMMYFUNCTION("""COMPUTED_VALUE"""),0.77)</f>
        <v>0.77</v>
      </c>
      <c r="F1102" s="2"/>
      <c r="G1102" s="2"/>
      <c r="H1102" s="2"/>
      <c r="I1102" s="2"/>
    </row>
    <row r="1103">
      <c r="A1103" s="2">
        <f>IFERROR(__xludf.DUMMYFUNCTION("""COMPUTED_VALUE"""),5618.0)</f>
        <v>5618</v>
      </c>
      <c r="B1103" s="2" t="str">
        <f>IFERROR(__xludf.DUMMYFUNCTION("""COMPUTED_VALUE"""),"Law")</f>
        <v>Law</v>
      </c>
      <c r="C1103" s="2" t="str">
        <f>IFERROR(__xludf.DUMMYFUNCTION("""COMPUTED_VALUE"""),"World War I")</f>
        <v>World War I</v>
      </c>
      <c r="D1103" s="2" t="str">
        <f>IFERROR(__xludf.DUMMYFUNCTION("""COMPUTED_VALUE"""),"Westwind Publishing")</f>
        <v>Westwind Publishing</v>
      </c>
      <c r="E1103" s="2">
        <f>IFERROR(__xludf.DUMMYFUNCTION("""COMPUTED_VALUE"""),1.34)</f>
        <v>1.34</v>
      </c>
      <c r="F1103" s="2"/>
      <c r="G1103" s="2"/>
      <c r="H1103" s="2"/>
      <c r="I1103" s="2"/>
    </row>
    <row r="1104">
      <c r="A1104" s="2">
        <f>IFERROR(__xludf.DUMMYFUNCTION("""COMPUTED_VALUE"""),126579.0)</f>
        <v>126579</v>
      </c>
      <c r="B1104" s="2" t="str">
        <f>IFERROR(__xludf.DUMMYFUNCTION("""COMPUTED_VALUE"""),"Law")</f>
        <v>Law</v>
      </c>
      <c r="C1104" s="2" t="str">
        <f>IFERROR(__xludf.DUMMYFUNCTION("""COMPUTED_VALUE"""),"World War I")</f>
        <v>World War I</v>
      </c>
      <c r="D1104" s="2" t="str">
        <f>IFERROR(__xludf.DUMMYFUNCTION("""COMPUTED_VALUE"""),"Westwind Publishing")</f>
        <v>Westwind Publishing</v>
      </c>
      <c r="E1104" s="2">
        <f>IFERROR(__xludf.DUMMYFUNCTION("""COMPUTED_VALUE"""),1.03)</f>
        <v>1.03</v>
      </c>
      <c r="F1104" s="2"/>
      <c r="G1104" s="2"/>
      <c r="H1104" s="2"/>
      <c r="I1104" s="2"/>
    </row>
    <row r="1105">
      <c r="A1105" s="2">
        <f>IFERROR(__xludf.DUMMYFUNCTION("""COMPUTED_VALUE"""),117219.0)</f>
        <v>117219</v>
      </c>
      <c r="B1105" s="2" t="str">
        <f>IFERROR(__xludf.DUMMYFUNCTION("""COMPUTED_VALUE"""),"Law")</f>
        <v>Law</v>
      </c>
      <c r="C1105" s="2" t="str">
        <f>IFERROR(__xludf.DUMMYFUNCTION("""COMPUTED_VALUE"""),"World War I")</f>
        <v>World War I</v>
      </c>
      <c r="D1105" s="2" t="str">
        <f>IFERROR(__xludf.DUMMYFUNCTION("""COMPUTED_VALUE"""),"Westwind Publishing")</f>
        <v>Westwind Publishing</v>
      </c>
      <c r="E1105" s="2">
        <f>IFERROR(__xludf.DUMMYFUNCTION("""COMPUTED_VALUE"""),1.01)</f>
        <v>1.01</v>
      </c>
      <c r="F1105" s="2"/>
      <c r="G1105" s="2"/>
      <c r="H1105" s="2"/>
      <c r="I1105" s="2"/>
    </row>
    <row r="1106">
      <c r="A1106" s="2">
        <f>IFERROR(__xludf.DUMMYFUNCTION("""COMPUTED_VALUE"""),44110.0)</f>
        <v>44110</v>
      </c>
      <c r="B1106" s="2" t="str">
        <f>IFERROR(__xludf.DUMMYFUNCTION("""COMPUTED_VALUE"""),"Law")</f>
        <v>Law</v>
      </c>
      <c r="C1106" s="2" t="str">
        <f>IFERROR(__xludf.DUMMYFUNCTION("""COMPUTED_VALUE"""),"World War I")</f>
        <v>World War I</v>
      </c>
      <c r="D1106" s="2" t="str">
        <f>IFERROR(__xludf.DUMMYFUNCTION("""COMPUTED_VALUE"""),"Westwind Publishing")</f>
        <v>Westwind Publishing</v>
      </c>
      <c r="E1106" s="2">
        <f>IFERROR(__xludf.DUMMYFUNCTION("""COMPUTED_VALUE"""),1.44)</f>
        <v>1.44</v>
      </c>
      <c r="F1106" s="2"/>
      <c r="G1106" s="2"/>
      <c r="H1106" s="2"/>
      <c r="I1106" s="2"/>
    </row>
    <row r="1107">
      <c r="A1107" s="2">
        <f>IFERROR(__xludf.DUMMYFUNCTION("""COMPUTED_VALUE"""),76223.0)</f>
        <v>76223</v>
      </c>
      <c r="B1107" s="2" t="str">
        <f>IFERROR(__xludf.DUMMYFUNCTION("""COMPUTED_VALUE"""),"Law")</f>
        <v>Law</v>
      </c>
      <c r="C1107" s="2" t="str">
        <f>IFERROR(__xludf.DUMMYFUNCTION("""COMPUTED_VALUE"""),"World War I")</f>
        <v>World War I</v>
      </c>
      <c r="D1107" s="2" t="str">
        <f>IFERROR(__xludf.DUMMYFUNCTION("""COMPUTED_VALUE"""),"Westwind Publishing")</f>
        <v>Westwind Publishing</v>
      </c>
      <c r="E1107" s="2">
        <f>IFERROR(__xludf.DUMMYFUNCTION("""COMPUTED_VALUE"""),0.58)</f>
        <v>0.58</v>
      </c>
      <c r="F1107" s="2"/>
      <c r="G1107" s="2"/>
      <c r="H1107" s="2"/>
      <c r="I1107" s="2"/>
    </row>
    <row r="1108">
      <c r="A1108" s="2">
        <f>IFERROR(__xludf.DUMMYFUNCTION("""COMPUTED_VALUE"""),48406.0)</f>
        <v>48406</v>
      </c>
      <c r="B1108" s="2" t="str">
        <f>IFERROR(__xludf.DUMMYFUNCTION("""COMPUTED_VALUE"""),"Law")</f>
        <v>Law</v>
      </c>
      <c r="C1108" s="2" t="str">
        <f>IFERROR(__xludf.DUMMYFUNCTION("""COMPUTED_VALUE"""),"World War I")</f>
        <v>World War I</v>
      </c>
      <c r="D1108" s="2" t="str">
        <f>IFERROR(__xludf.DUMMYFUNCTION("""COMPUTED_VALUE"""),"Westwind Publishing")</f>
        <v>Westwind Publishing</v>
      </c>
      <c r="E1108" s="2">
        <f>IFERROR(__xludf.DUMMYFUNCTION("""COMPUTED_VALUE"""),2.19)</f>
        <v>2.19</v>
      </c>
      <c r="F1108" s="2"/>
      <c r="G1108" s="2"/>
      <c r="H1108" s="2"/>
      <c r="I1108" s="2"/>
    </row>
    <row r="1109">
      <c r="A1109" s="2">
        <f>IFERROR(__xludf.DUMMYFUNCTION("""COMPUTED_VALUE"""),77514.0)</f>
        <v>77514</v>
      </c>
      <c r="B1109" s="2" t="str">
        <f>IFERROR(__xludf.DUMMYFUNCTION("""COMPUTED_VALUE"""),"Law")</f>
        <v>Law</v>
      </c>
      <c r="C1109" s="2" t="str">
        <f>IFERROR(__xludf.DUMMYFUNCTION("""COMPUTED_VALUE"""),"World War I")</f>
        <v>World War I</v>
      </c>
      <c r="D1109" s="2" t="str">
        <f>IFERROR(__xludf.DUMMYFUNCTION("""COMPUTED_VALUE"""),"Westwind Publishing")</f>
        <v>Westwind Publishing</v>
      </c>
      <c r="E1109" s="2">
        <f>IFERROR(__xludf.DUMMYFUNCTION("""COMPUTED_VALUE"""),0.94)</f>
        <v>0.94</v>
      </c>
      <c r="F1109" s="2"/>
      <c r="G1109" s="2"/>
      <c r="H1109" s="2"/>
      <c r="I1109" s="2"/>
    </row>
    <row r="1110">
      <c r="A1110" s="2">
        <f>IFERROR(__xludf.DUMMYFUNCTION("""COMPUTED_VALUE"""),117221.0)</f>
        <v>117221</v>
      </c>
      <c r="B1110" s="2" t="str">
        <f>IFERROR(__xludf.DUMMYFUNCTION("""COMPUTED_VALUE"""),"Law")</f>
        <v>Law</v>
      </c>
      <c r="C1110" s="2" t="str">
        <f>IFERROR(__xludf.DUMMYFUNCTION("""COMPUTED_VALUE"""),"World War I")</f>
        <v>World War I</v>
      </c>
      <c r="D1110" s="2" t="str">
        <f>IFERROR(__xludf.DUMMYFUNCTION("""COMPUTED_VALUE"""),"Westwind Publishing")</f>
        <v>Westwind Publishing</v>
      </c>
      <c r="E1110" s="2">
        <f>IFERROR(__xludf.DUMMYFUNCTION("""COMPUTED_VALUE"""),0.75)</f>
        <v>0.75</v>
      </c>
      <c r="F1110" s="2"/>
      <c r="G1110" s="2"/>
      <c r="H1110" s="2"/>
      <c r="I1110" s="2"/>
    </row>
    <row r="1111">
      <c r="A1111" s="2">
        <f>IFERROR(__xludf.DUMMYFUNCTION("""COMPUTED_VALUE"""),115602.0)</f>
        <v>115602</v>
      </c>
      <c r="B1111" s="2" t="str">
        <f>IFERROR(__xludf.DUMMYFUNCTION("""COMPUTED_VALUE"""),"Law")</f>
        <v>Law</v>
      </c>
      <c r="C1111" s="2" t="str">
        <f>IFERROR(__xludf.DUMMYFUNCTION("""COMPUTED_VALUE"""),"World War I")</f>
        <v>World War I</v>
      </c>
      <c r="D1111" s="2" t="str">
        <f>IFERROR(__xludf.DUMMYFUNCTION("""COMPUTED_VALUE"""),"Westwind Publishing")</f>
        <v>Westwind Publishing</v>
      </c>
      <c r="E1111" s="2">
        <f>IFERROR(__xludf.DUMMYFUNCTION("""COMPUTED_VALUE"""),2.49)</f>
        <v>2.49</v>
      </c>
      <c r="F1111" s="2"/>
      <c r="G1111" s="2"/>
      <c r="H1111" s="2"/>
      <c r="I1111" s="2"/>
    </row>
    <row r="1112">
      <c r="A1112" s="2">
        <f>IFERROR(__xludf.DUMMYFUNCTION("""COMPUTED_VALUE"""),44107.0)</f>
        <v>44107</v>
      </c>
      <c r="B1112" s="2" t="str">
        <f>IFERROR(__xludf.DUMMYFUNCTION("""COMPUTED_VALUE"""),"Law")</f>
        <v>Law</v>
      </c>
      <c r="C1112" s="2" t="str">
        <f>IFERROR(__xludf.DUMMYFUNCTION("""COMPUTED_VALUE"""),"World War I")</f>
        <v>World War I</v>
      </c>
      <c r="D1112" s="2" t="str">
        <f>IFERROR(__xludf.DUMMYFUNCTION("""COMPUTED_VALUE"""),"Westwind Publishing")</f>
        <v>Westwind Publishing</v>
      </c>
      <c r="E1112" s="2">
        <f>IFERROR(__xludf.DUMMYFUNCTION("""COMPUTED_VALUE"""),1.2)</f>
        <v>1.2</v>
      </c>
      <c r="F1112" s="2"/>
      <c r="G1112" s="2"/>
      <c r="H1112" s="2"/>
      <c r="I1112" s="2"/>
    </row>
    <row r="1113">
      <c r="A1113" s="2">
        <f>IFERROR(__xludf.DUMMYFUNCTION("""COMPUTED_VALUE"""),115604.0)</f>
        <v>115604</v>
      </c>
      <c r="B1113" s="2" t="str">
        <f>IFERROR(__xludf.DUMMYFUNCTION("""COMPUTED_VALUE"""),"Law")</f>
        <v>Law</v>
      </c>
      <c r="C1113" s="2" t="str">
        <f>IFERROR(__xludf.DUMMYFUNCTION("""COMPUTED_VALUE"""),"World War I")</f>
        <v>World War I</v>
      </c>
      <c r="D1113" s="2" t="str">
        <f>IFERROR(__xludf.DUMMYFUNCTION("""COMPUTED_VALUE"""),"Westwind Publishing")</f>
        <v>Westwind Publishing</v>
      </c>
      <c r="E1113" s="2">
        <f>IFERROR(__xludf.DUMMYFUNCTION("""COMPUTED_VALUE"""),1.65)</f>
        <v>1.65</v>
      </c>
      <c r="F1113" s="2"/>
      <c r="G1113" s="2"/>
      <c r="H1113" s="2"/>
      <c r="I1113" s="2"/>
    </row>
    <row r="1114">
      <c r="A1114" s="2">
        <f>IFERROR(__xludf.DUMMYFUNCTION("""COMPUTED_VALUE"""),118926.0)</f>
        <v>118926</v>
      </c>
      <c r="B1114" s="2" t="str">
        <f>IFERROR(__xludf.DUMMYFUNCTION("""COMPUTED_VALUE"""),"Law")</f>
        <v>Law</v>
      </c>
      <c r="C1114" s="2" t="str">
        <f>IFERROR(__xludf.DUMMYFUNCTION("""COMPUTED_VALUE"""),"World War I")</f>
        <v>World War I</v>
      </c>
      <c r="D1114" s="2" t="str">
        <f>IFERROR(__xludf.DUMMYFUNCTION("""COMPUTED_VALUE"""),"Westwind Publishing")</f>
        <v>Westwind Publishing</v>
      </c>
      <c r="E1114" s="2">
        <f>IFERROR(__xludf.DUMMYFUNCTION("""COMPUTED_VALUE"""),0.71)</f>
        <v>0.71</v>
      </c>
      <c r="F1114" s="2"/>
      <c r="G1114" s="2"/>
      <c r="H1114" s="2"/>
      <c r="I1114" s="2"/>
    </row>
    <row r="1115">
      <c r="A1115" s="2">
        <f>IFERROR(__xludf.DUMMYFUNCTION("""COMPUTED_VALUE"""),118304.0)</f>
        <v>118304</v>
      </c>
      <c r="B1115" s="2" t="str">
        <f>IFERROR(__xludf.DUMMYFUNCTION("""COMPUTED_VALUE"""),"Law")</f>
        <v>Law</v>
      </c>
      <c r="C1115" s="2" t="str">
        <f>IFERROR(__xludf.DUMMYFUNCTION("""COMPUTED_VALUE"""),"World War I")</f>
        <v>World War I</v>
      </c>
      <c r="D1115" s="2" t="str">
        <f>IFERROR(__xludf.DUMMYFUNCTION("""COMPUTED_VALUE"""),"Westwind Publishing")</f>
        <v>Westwind Publishing</v>
      </c>
      <c r="E1115" s="2">
        <f>IFERROR(__xludf.DUMMYFUNCTION("""COMPUTED_VALUE"""),1.8)</f>
        <v>1.8</v>
      </c>
      <c r="F1115" s="2"/>
      <c r="G1115" s="2"/>
      <c r="H1115" s="2"/>
      <c r="I1115" s="2"/>
    </row>
    <row r="1116">
      <c r="A1116" s="2">
        <f>IFERROR(__xludf.DUMMYFUNCTION("""COMPUTED_VALUE"""),5621.0)</f>
        <v>5621</v>
      </c>
      <c r="B1116" s="2" t="str">
        <f>IFERROR(__xludf.DUMMYFUNCTION("""COMPUTED_VALUE"""),"Law")</f>
        <v>Law</v>
      </c>
      <c r="C1116" s="2" t="str">
        <f>IFERROR(__xludf.DUMMYFUNCTION("""COMPUTED_VALUE"""),"World War I")</f>
        <v>World War I</v>
      </c>
      <c r="D1116" s="2" t="str">
        <f>IFERROR(__xludf.DUMMYFUNCTION("""COMPUTED_VALUE"""),"Westwind Publishing")</f>
        <v>Westwind Publishing</v>
      </c>
      <c r="E1116" s="2">
        <f>IFERROR(__xludf.DUMMYFUNCTION("""COMPUTED_VALUE"""),1.06)</f>
        <v>1.06</v>
      </c>
      <c r="F1116" s="2"/>
      <c r="G1116" s="2"/>
      <c r="H1116" s="2"/>
      <c r="I1116" s="2"/>
    </row>
    <row r="1117">
      <c r="A1117" s="2">
        <f>IFERROR(__xludf.DUMMYFUNCTION("""COMPUTED_VALUE"""),44105.0)</f>
        <v>44105</v>
      </c>
      <c r="B1117" s="2" t="str">
        <f>IFERROR(__xludf.DUMMYFUNCTION("""COMPUTED_VALUE"""),"Law")</f>
        <v>Law</v>
      </c>
      <c r="C1117" s="2" t="str">
        <f>IFERROR(__xludf.DUMMYFUNCTION("""COMPUTED_VALUE"""),"World War I")</f>
        <v>World War I</v>
      </c>
      <c r="D1117" s="2" t="str">
        <f>IFERROR(__xludf.DUMMYFUNCTION("""COMPUTED_VALUE"""),"Westwind Publishing")</f>
        <v>Westwind Publishing</v>
      </c>
      <c r="E1117" s="2">
        <f>IFERROR(__xludf.DUMMYFUNCTION("""COMPUTED_VALUE"""),1.16)</f>
        <v>1.16</v>
      </c>
      <c r="F1117" s="2"/>
      <c r="G1117" s="2"/>
      <c r="H1117" s="2"/>
      <c r="I1117" s="2"/>
    </row>
    <row r="1118">
      <c r="A1118" s="2">
        <f>IFERROR(__xludf.DUMMYFUNCTION("""COMPUTED_VALUE"""),126580.0)</f>
        <v>126580</v>
      </c>
      <c r="B1118" s="2" t="str">
        <f>IFERROR(__xludf.DUMMYFUNCTION("""COMPUTED_VALUE"""),"Law")</f>
        <v>Law</v>
      </c>
      <c r="C1118" s="2" t="str">
        <f>IFERROR(__xludf.DUMMYFUNCTION("""COMPUTED_VALUE"""),"World War I")</f>
        <v>World War I</v>
      </c>
      <c r="D1118" s="2" t="str">
        <f>IFERROR(__xludf.DUMMYFUNCTION("""COMPUTED_VALUE"""),"Westwind Publishing")</f>
        <v>Westwind Publishing</v>
      </c>
      <c r="E1118" s="2">
        <f>IFERROR(__xludf.DUMMYFUNCTION("""COMPUTED_VALUE"""),1.39)</f>
        <v>1.39</v>
      </c>
      <c r="F1118" s="2"/>
      <c r="G1118" s="2"/>
      <c r="H1118" s="2"/>
      <c r="I1118" s="2"/>
    </row>
    <row r="1119">
      <c r="A1119" s="2">
        <f>IFERROR(__xludf.DUMMYFUNCTION("""COMPUTED_VALUE"""),5624.0)</f>
        <v>5624</v>
      </c>
      <c r="B1119" s="2" t="str">
        <f>IFERROR(__xludf.DUMMYFUNCTION("""COMPUTED_VALUE"""),"Law")</f>
        <v>Law</v>
      </c>
      <c r="C1119" s="2" t="str">
        <f>IFERROR(__xludf.DUMMYFUNCTION("""COMPUTED_VALUE"""),"World War I")</f>
        <v>World War I</v>
      </c>
      <c r="D1119" s="2" t="str">
        <f>IFERROR(__xludf.DUMMYFUNCTION("""COMPUTED_VALUE"""),"Westwind Publishing")</f>
        <v>Westwind Publishing</v>
      </c>
      <c r="E1119" s="2">
        <f>IFERROR(__xludf.DUMMYFUNCTION("""COMPUTED_VALUE"""),1.15)</f>
        <v>1.15</v>
      </c>
      <c r="F1119" s="2"/>
      <c r="G1119" s="2"/>
      <c r="H1119" s="2"/>
      <c r="I1119" s="2"/>
    </row>
    <row r="1120">
      <c r="A1120" s="2">
        <f>IFERROR(__xludf.DUMMYFUNCTION("""COMPUTED_VALUE"""),88679.0)</f>
        <v>88679</v>
      </c>
      <c r="B1120" s="2" t="str">
        <f>IFERROR(__xludf.DUMMYFUNCTION("""COMPUTED_VALUE"""),"Law")</f>
        <v>Law</v>
      </c>
      <c r="C1120" s="2" t="str">
        <f>IFERROR(__xludf.DUMMYFUNCTION("""COMPUTED_VALUE"""),"World War I")</f>
        <v>World War I</v>
      </c>
      <c r="D1120" s="2" t="str">
        <f>IFERROR(__xludf.DUMMYFUNCTION("""COMPUTED_VALUE"""),"Westwind Publishing")</f>
        <v>Westwind Publishing</v>
      </c>
      <c r="E1120" s="2">
        <f>IFERROR(__xludf.DUMMYFUNCTION("""COMPUTED_VALUE"""),2.62)</f>
        <v>2.62</v>
      </c>
      <c r="F1120" s="2"/>
      <c r="G1120" s="2"/>
      <c r="H1120" s="2"/>
      <c r="I1120" s="2"/>
    </row>
    <row r="1121">
      <c r="A1121" s="2">
        <f>IFERROR(__xludf.DUMMYFUNCTION("""COMPUTED_VALUE"""),118305.0)</f>
        <v>118305</v>
      </c>
      <c r="B1121" s="2" t="str">
        <f>IFERROR(__xludf.DUMMYFUNCTION("""COMPUTED_VALUE"""),"Law")</f>
        <v>Law</v>
      </c>
      <c r="C1121" s="2" t="str">
        <f>IFERROR(__xludf.DUMMYFUNCTION("""COMPUTED_VALUE"""),"World War I")</f>
        <v>World War I</v>
      </c>
      <c r="D1121" s="2" t="str">
        <f>IFERROR(__xludf.DUMMYFUNCTION("""COMPUTED_VALUE"""),"Westwind Publishing")</f>
        <v>Westwind Publishing</v>
      </c>
      <c r="E1121" s="2">
        <f>IFERROR(__xludf.DUMMYFUNCTION("""COMPUTED_VALUE"""),1.75)</f>
        <v>1.75</v>
      </c>
      <c r="F1121" s="2"/>
      <c r="G1121" s="2"/>
      <c r="H1121" s="2"/>
      <c r="I1121" s="2"/>
    </row>
    <row r="1122">
      <c r="A1122" s="2">
        <f>IFERROR(__xludf.DUMMYFUNCTION("""COMPUTED_VALUE"""),60380.0)</f>
        <v>60380</v>
      </c>
      <c r="B1122" s="2" t="str">
        <f>IFERROR(__xludf.DUMMYFUNCTION("""COMPUTED_VALUE"""),"Law")</f>
        <v>Law</v>
      </c>
      <c r="C1122" s="2" t="str">
        <f>IFERROR(__xludf.DUMMYFUNCTION("""COMPUTED_VALUE"""),"World War I")</f>
        <v>World War I</v>
      </c>
      <c r="D1122" s="2" t="str">
        <f>IFERROR(__xludf.DUMMYFUNCTION("""COMPUTED_VALUE"""),"Westwind Publishing")</f>
        <v>Westwind Publishing</v>
      </c>
      <c r="E1122" s="2">
        <f>IFERROR(__xludf.DUMMYFUNCTION("""COMPUTED_VALUE"""),1.51)</f>
        <v>1.51</v>
      </c>
      <c r="F1122" s="2"/>
      <c r="G1122" s="2"/>
      <c r="H1122" s="2"/>
      <c r="I1122" s="2"/>
    </row>
    <row r="1123">
      <c r="A1123" s="2">
        <f>IFERROR(__xludf.DUMMYFUNCTION("""COMPUTED_VALUE"""),77475.0)</f>
        <v>77475</v>
      </c>
      <c r="B1123" s="2" t="str">
        <f>IFERROR(__xludf.DUMMYFUNCTION("""COMPUTED_VALUE"""),"Law")</f>
        <v>Law</v>
      </c>
      <c r="C1123" s="2" t="str">
        <f>IFERROR(__xludf.DUMMYFUNCTION("""COMPUTED_VALUE"""),"World War I")</f>
        <v>World War I</v>
      </c>
      <c r="D1123" s="2" t="str">
        <f>IFERROR(__xludf.DUMMYFUNCTION("""COMPUTED_VALUE"""),"Golden Valley Books")</f>
        <v>Golden Valley Books</v>
      </c>
      <c r="E1123" s="2">
        <f>IFERROR(__xludf.DUMMYFUNCTION("""COMPUTED_VALUE"""),1.0)</f>
        <v>1</v>
      </c>
      <c r="F1123" s="2"/>
      <c r="G1123" s="2"/>
      <c r="H1123" s="2"/>
      <c r="I1123" s="2"/>
    </row>
    <row r="1124">
      <c r="A1124" s="2">
        <f>IFERROR(__xludf.DUMMYFUNCTION("""COMPUTED_VALUE"""),110577.0)</f>
        <v>110577</v>
      </c>
      <c r="B1124" s="2" t="str">
        <f>IFERROR(__xludf.DUMMYFUNCTION("""COMPUTED_VALUE"""),"Law")</f>
        <v>Law</v>
      </c>
      <c r="C1124" s="2" t="str">
        <f>IFERROR(__xludf.DUMMYFUNCTION("""COMPUTED_VALUE"""),"World War I")</f>
        <v>World War I</v>
      </c>
      <c r="D1124" s="2" t="str">
        <f>IFERROR(__xludf.DUMMYFUNCTION("""COMPUTED_VALUE"""),"Golden Valley Books")</f>
        <v>Golden Valley Books</v>
      </c>
      <c r="E1124" s="2">
        <f>IFERROR(__xludf.DUMMYFUNCTION("""COMPUTED_VALUE"""),1.14)</f>
        <v>1.14</v>
      </c>
      <c r="F1124" s="2"/>
      <c r="G1124" s="2"/>
      <c r="H1124" s="2"/>
      <c r="I1124" s="2"/>
    </row>
    <row r="1125">
      <c r="A1125" s="2">
        <f>IFERROR(__xludf.DUMMYFUNCTION("""COMPUTED_VALUE"""),110571.0)</f>
        <v>110571</v>
      </c>
      <c r="B1125" s="2" t="str">
        <f>IFERROR(__xludf.DUMMYFUNCTION("""COMPUTED_VALUE"""),"Law")</f>
        <v>Law</v>
      </c>
      <c r="C1125" s="2" t="str">
        <f>IFERROR(__xludf.DUMMYFUNCTION("""COMPUTED_VALUE"""),"World War I")</f>
        <v>World War I</v>
      </c>
      <c r="D1125" s="2" t="str">
        <f>IFERROR(__xludf.DUMMYFUNCTION("""COMPUTED_VALUE"""),"Golden Valley Books")</f>
        <v>Golden Valley Books</v>
      </c>
      <c r="E1125" s="2">
        <f>IFERROR(__xludf.DUMMYFUNCTION("""COMPUTED_VALUE"""),1.0)</f>
        <v>1</v>
      </c>
      <c r="F1125" s="2"/>
      <c r="G1125" s="2"/>
      <c r="H1125" s="2"/>
      <c r="I1125" s="2"/>
    </row>
    <row r="1126">
      <c r="A1126" s="2">
        <f>IFERROR(__xludf.DUMMYFUNCTION("""COMPUTED_VALUE"""),103835.0)</f>
        <v>103835</v>
      </c>
      <c r="B1126" s="2" t="str">
        <f>IFERROR(__xludf.DUMMYFUNCTION("""COMPUTED_VALUE"""),"Law")</f>
        <v>Law</v>
      </c>
      <c r="C1126" s="2" t="str">
        <f>IFERROR(__xludf.DUMMYFUNCTION("""COMPUTED_VALUE"""),"World War I")</f>
        <v>World War I</v>
      </c>
      <c r="D1126" s="2" t="str">
        <f>IFERROR(__xludf.DUMMYFUNCTION("""COMPUTED_VALUE"""),"Golden Valley Books")</f>
        <v>Golden Valley Books</v>
      </c>
      <c r="E1126" s="2">
        <f>IFERROR(__xludf.DUMMYFUNCTION("""COMPUTED_VALUE"""),0.98)</f>
        <v>0.98</v>
      </c>
      <c r="F1126" s="2"/>
      <c r="G1126" s="2"/>
      <c r="H1126" s="2"/>
      <c r="I1126" s="2"/>
    </row>
    <row r="1127">
      <c r="A1127" s="2">
        <f>IFERROR(__xludf.DUMMYFUNCTION("""COMPUTED_VALUE"""),5646.0)</f>
        <v>5646</v>
      </c>
      <c r="B1127" s="2" t="str">
        <f>IFERROR(__xludf.DUMMYFUNCTION("""COMPUTED_VALUE"""),"Law")</f>
        <v>Law</v>
      </c>
      <c r="C1127" s="2" t="str">
        <f>IFERROR(__xludf.DUMMYFUNCTION("""COMPUTED_VALUE"""),"World War I")</f>
        <v>World War I</v>
      </c>
      <c r="D1127" s="2" t="str">
        <f>IFERROR(__xludf.DUMMYFUNCTION("""COMPUTED_VALUE"""),"Golden Valley Books")</f>
        <v>Golden Valley Books</v>
      </c>
      <c r="E1127" s="2">
        <f>IFERROR(__xludf.DUMMYFUNCTION("""COMPUTED_VALUE"""),0.96)</f>
        <v>0.96</v>
      </c>
      <c r="F1127" s="2"/>
      <c r="G1127" s="2"/>
      <c r="H1127" s="2"/>
      <c r="I1127" s="2"/>
    </row>
    <row r="1128">
      <c r="A1128" s="2">
        <f>IFERROR(__xludf.DUMMYFUNCTION("""COMPUTED_VALUE"""),5649.0)</f>
        <v>5649</v>
      </c>
      <c r="B1128" s="2" t="str">
        <f>IFERROR(__xludf.DUMMYFUNCTION("""COMPUTED_VALUE"""),"Law")</f>
        <v>Law</v>
      </c>
      <c r="C1128" s="2" t="str">
        <f>IFERROR(__xludf.DUMMYFUNCTION("""COMPUTED_VALUE"""),"World War I")</f>
        <v>World War I</v>
      </c>
      <c r="D1128" s="2" t="str">
        <f>IFERROR(__xludf.DUMMYFUNCTION("""COMPUTED_VALUE"""),"Golden Valley Books")</f>
        <v>Golden Valley Books</v>
      </c>
      <c r="E1128" s="2">
        <f>IFERROR(__xludf.DUMMYFUNCTION("""COMPUTED_VALUE"""),1.16)</f>
        <v>1.16</v>
      </c>
      <c r="F1128" s="2"/>
      <c r="G1128" s="2"/>
      <c r="H1128" s="2"/>
      <c r="I1128" s="2"/>
    </row>
    <row r="1129">
      <c r="A1129" s="2">
        <f>IFERROR(__xludf.DUMMYFUNCTION("""COMPUTED_VALUE"""),5647.0)</f>
        <v>5647</v>
      </c>
      <c r="B1129" s="2" t="str">
        <f>IFERROR(__xludf.DUMMYFUNCTION("""COMPUTED_VALUE"""),"Law")</f>
        <v>Law</v>
      </c>
      <c r="C1129" s="2" t="str">
        <f>IFERROR(__xludf.DUMMYFUNCTION("""COMPUTED_VALUE"""),"World War I")</f>
        <v>World War I</v>
      </c>
      <c r="D1129" s="2" t="str">
        <f>IFERROR(__xludf.DUMMYFUNCTION("""COMPUTED_VALUE"""),"Golden Valley Books")</f>
        <v>Golden Valley Books</v>
      </c>
      <c r="E1129" s="2">
        <f>IFERROR(__xludf.DUMMYFUNCTION("""COMPUTED_VALUE"""),0.68)</f>
        <v>0.68</v>
      </c>
      <c r="F1129" s="2"/>
      <c r="G1129" s="2"/>
      <c r="H1129" s="2"/>
      <c r="I1129" s="2"/>
    </row>
    <row r="1130">
      <c r="A1130" s="2">
        <f>IFERROR(__xludf.DUMMYFUNCTION("""COMPUTED_VALUE"""),5648.0)</f>
        <v>5648</v>
      </c>
      <c r="B1130" s="2" t="str">
        <f>IFERROR(__xludf.DUMMYFUNCTION("""COMPUTED_VALUE"""),"Law")</f>
        <v>Law</v>
      </c>
      <c r="C1130" s="2" t="str">
        <f>IFERROR(__xludf.DUMMYFUNCTION("""COMPUTED_VALUE"""),"World War I")</f>
        <v>World War I</v>
      </c>
      <c r="D1130" s="2" t="str">
        <f>IFERROR(__xludf.DUMMYFUNCTION("""COMPUTED_VALUE"""),"Golden Valley Books")</f>
        <v>Golden Valley Books</v>
      </c>
      <c r="E1130" s="2">
        <f>IFERROR(__xludf.DUMMYFUNCTION("""COMPUTED_VALUE"""),0.95)</f>
        <v>0.95</v>
      </c>
      <c r="F1130" s="2"/>
      <c r="G1130" s="2"/>
      <c r="H1130" s="2"/>
      <c r="I1130" s="2"/>
    </row>
    <row r="1131">
      <c r="A1131" s="2">
        <f>IFERROR(__xludf.DUMMYFUNCTION("""COMPUTED_VALUE"""),108292.0)</f>
        <v>108292</v>
      </c>
      <c r="B1131" s="2" t="str">
        <f>IFERROR(__xludf.DUMMYFUNCTION("""COMPUTED_VALUE"""),"Law")</f>
        <v>Law</v>
      </c>
      <c r="C1131" s="2" t="str">
        <f>IFERROR(__xludf.DUMMYFUNCTION("""COMPUTED_VALUE"""),"World War I")</f>
        <v>World War I</v>
      </c>
      <c r="D1131" s="2" t="str">
        <f>IFERROR(__xludf.DUMMYFUNCTION("""COMPUTED_VALUE"""),"Golden Valley Books")</f>
        <v>Golden Valley Books</v>
      </c>
      <c r="E1131" s="2">
        <f>IFERROR(__xludf.DUMMYFUNCTION("""COMPUTED_VALUE"""),8.72)</f>
        <v>8.72</v>
      </c>
      <c r="F1131" s="2"/>
      <c r="G1131" s="2"/>
      <c r="H1131" s="2"/>
      <c r="I1131" s="2"/>
    </row>
    <row r="1132">
      <c r="A1132" s="2">
        <f>IFERROR(__xludf.DUMMYFUNCTION("""COMPUTED_VALUE"""),110572.0)</f>
        <v>110572</v>
      </c>
      <c r="B1132" s="2" t="str">
        <f>IFERROR(__xludf.DUMMYFUNCTION("""COMPUTED_VALUE"""),"Law")</f>
        <v>Law</v>
      </c>
      <c r="C1132" s="2" t="str">
        <f>IFERROR(__xludf.DUMMYFUNCTION("""COMPUTED_VALUE"""),"World War I")</f>
        <v>World War I</v>
      </c>
      <c r="D1132" s="2" t="str">
        <f>IFERROR(__xludf.DUMMYFUNCTION("""COMPUTED_VALUE"""),"Golden Valley Books")</f>
        <v>Golden Valley Books</v>
      </c>
      <c r="E1132" s="2">
        <f>IFERROR(__xludf.DUMMYFUNCTION("""COMPUTED_VALUE"""),1.05)</f>
        <v>1.05</v>
      </c>
      <c r="F1132" s="2"/>
      <c r="G1132" s="2"/>
      <c r="H1132" s="2"/>
      <c r="I1132" s="2"/>
    </row>
    <row r="1133">
      <c r="A1133" s="2">
        <f>IFERROR(__xludf.DUMMYFUNCTION("""COMPUTED_VALUE"""),77456.0)</f>
        <v>77456</v>
      </c>
      <c r="B1133" s="2" t="str">
        <f>IFERROR(__xludf.DUMMYFUNCTION("""COMPUTED_VALUE"""),"Law")</f>
        <v>Law</v>
      </c>
      <c r="C1133" s="2" t="str">
        <f>IFERROR(__xludf.DUMMYFUNCTION("""COMPUTED_VALUE"""),"World War I")</f>
        <v>World War I</v>
      </c>
      <c r="D1133" s="2" t="str">
        <f>IFERROR(__xludf.DUMMYFUNCTION("""COMPUTED_VALUE"""),"Golden Valley Books")</f>
        <v>Golden Valley Books</v>
      </c>
      <c r="E1133" s="2">
        <f>IFERROR(__xludf.DUMMYFUNCTION("""COMPUTED_VALUE"""),0.63)</f>
        <v>0.63</v>
      </c>
      <c r="F1133" s="2"/>
      <c r="G1133" s="2"/>
      <c r="H1133" s="2"/>
      <c r="I1133" s="2"/>
    </row>
    <row r="1134">
      <c r="A1134" s="2">
        <f>IFERROR(__xludf.DUMMYFUNCTION("""COMPUTED_VALUE"""),77454.0)</f>
        <v>77454</v>
      </c>
      <c r="B1134" s="2" t="str">
        <f>IFERROR(__xludf.DUMMYFUNCTION("""COMPUTED_VALUE"""),"Law")</f>
        <v>Law</v>
      </c>
      <c r="C1134" s="2" t="str">
        <f>IFERROR(__xludf.DUMMYFUNCTION("""COMPUTED_VALUE"""),"World War I")</f>
        <v>World War I</v>
      </c>
      <c r="D1134" s="2" t="str">
        <f>IFERROR(__xludf.DUMMYFUNCTION("""COMPUTED_VALUE"""),"Riverlight Press")</f>
        <v>Riverlight Press</v>
      </c>
      <c r="E1134" s="2">
        <f>IFERROR(__xludf.DUMMYFUNCTION("""COMPUTED_VALUE"""),1.32)</f>
        <v>1.32</v>
      </c>
      <c r="F1134" s="2"/>
      <c r="G1134" s="2"/>
      <c r="H1134" s="2"/>
      <c r="I1134" s="2"/>
    </row>
    <row r="1135">
      <c r="A1135" s="2">
        <f>IFERROR(__xludf.DUMMYFUNCTION("""COMPUTED_VALUE"""),44095.0)</f>
        <v>44095</v>
      </c>
      <c r="B1135" s="2" t="str">
        <f>IFERROR(__xludf.DUMMYFUNCTION("""COMPUTED_VALUE"""),"Law")</f>
        <v>Law</v>
      </c>
      <c r="C1135" s="2" t="str">
        <f>IFERROR(__xludf.DUMMYFUNCTION("""COMPUTED_VALUE"""),"World War I")</f>
        <v>World War I</v>
      </c>
      <c r="D1135" s="2" t="str">
        <f>IFERROR(__xludf.DUMMYFUNCTION("""COMPUTED_VALUE"""),"Riverlight Press")</f>
        <v>Riverlight Press</v>
      </c>
      <c r="E1135" s="2">
        <f>IFERROR(__xludf.DUMMYFUNCTION("""COMPUTED_VALUE"""),1.71)</f>
        <v>1.71</v>
      </c>
      <c r="F1135" s="2"/>
      <c r="G1135" s="2"/>
      <c r="H1135" s="2"/>
      <c r="I1135" s="2"/>
    </row>
    <row r="1136">
      <c r="A1136" s="2">
        <f>IFERROR(__xludf.DUMMYFUNCTION("""COMPUTED_VALUE"""),87419.0)</f>
        <v>87419</v>
      </c>
      <c r="B1136" s="2" t="str">
        <f>IFERROR(__xludf.DUMMYFUNCTION("""COMPUTED_VALUE"""),"Law")</f>
        <v>Law</v>
      </c>
      <c r="C1136" s="2" t="str">
        <f>IFERROR(__xludf.DUMMYFUNCTION("""COMPUTED_VALUE"""),"World War I")</f>
        <v>World War I</v>
      </c>
      <c r="D1136" s="2" t="str">
        <f>IFERROR(__xludf.DUMMYFUNCTION("""COMPUTED_VALUE"""),"Riverlight Press")</f>
        <v>Riverlight Press</v>
      </c>
      <c r="E1136" s="2">
        <f>IFERROR(__xludf.DUMMYFUNCTION("""COMPUTED_VALUE"""),2.01)</f>
        <v>2.01</v>
      </c>
      <c r="F1136" s="2"/>
      <c r="G1136" s="2"/>
      <c r="H1136" s="2"/>
      <c r="I1136" s="2"/>
    </row>
    <row r="1137">
      <c r="A1137" s="2">
        <f>IFERROR(__xludf.DUMMYFUNCTION("""COMPUTED_VALUE"""),44087.0)</f>
        <v>44087</v>
      </c>
      <c r="B1137" s="2" t="str">
        <f>IFERROR(__xludf.DUMMYFUNCTION("""COMPUTED_VALUE"""),"Law")</f>
        <v>Law</v>
      </c>
      <c r="C1137" s="2" t="str">
        <f>IFERROR(__xludf.DUMMYFUNCTION("""COMPUTED_VALUE"""),"World War I")</f>
        <v>World War I</v>
      </c>
      <c r="D1137" s="2" t="str">
        <f>IFERROR(__xludf.DUMMYFUNCTION("""COMPUTED_VALUE"""),"Riverlight Press")</f>
        <v>Riverlight Press</v>
      </c>
      <c r="E1137" s="2">
        <f>IFERROR(__xludf.DUMMYFUNCTION("""COMPUTED_VALUE"""),1.51)</f>
        <v>1.51</v>
      </c>
      <c r="F1137" s="2"/>
      <c r="G1137" s="2"/>
      <c r="H1137" s="2"/>
      <c r="I1137" s="2"/>
    </row>
    <row r="1138">
      <c r="A1138" s="2">
        <f>IFERROR(__xludf.DUMMYFUNCTION("""COMPUTED_VALUE"""),44129.0)</f>
        <v>44129</v>
      </c>
      <c r="B1138" s="2" t="str">
        <f>IFERROR(__xludf.DUMMYFUNCTION("""COMPUTED_VALUE"""),"Law")</f>
        <v>Law</v>
      </c>
      <c r="C1138" s="2" t="str">
        <f>IFERROR(__xludf.DUMMYFUNCTION("""COMPUTED_VALUE"""),"World War I")</f>
        <v>World War I</v>
      </c>
      <c r="D1138" s="2" t="str">
        <f>IFERROR(__xludf.DUMMYFUNCTION("""COMPUTED_VALUE"""),"Riverlight Press")</f>
        <v>Riverlight Press</v>
      </c>
      <c r="E1138" s="2">
        <f>IFERROR(__xludf.DUMMYFUNCTION("""COMPUTED_VALUE"""),1.77)</f>
        <v>1.77</v>
      </c>
      <c r="F1138" s="2"/>
      <c r="G1138" s="2"/>
      <c r="H1138" s="2"/>
      <c r="I1138" s="2"/>
    </row>
    <row r="1139">
      <c r="A1139" s="2">
        <f>IFERROR(__xludf.DUMMYFUNCTION("""COMPUTED_VALUE"""),103832.0)</f>
        <v>103832</v>
      </c>
      <c r="B1139" s="2" t="str">
        <f>IFERROR(__xludf.DUMMYFUNCTION("""COMPUTED_VALUE"""),"Law")</f>
        <v>Law</v>
      </c>
      <c r="C1139" s="2" t="str">
        <f>IFERROR(__xludf.DUMMYFUNCTION("""COMPUTED_VALUE"""),"World War I")</f>
        <v>World War I</v>
      </c>
      <c r="D1139" s="2" t="str">
        <f>IFERROR(__xludf.DUMMYFUNCTION("""COMPUTED_VALUE"""),"Riverlight Press")</f>
        <v>Riverlight Press</v>
      </c>
      <c r="E1139" s="2">
        <f>IFERROR(__xludf.DUMMYFUNCTION("""COMPUTED_VALUE"""),1.63)</f>
        <v>1.63</v>
      </c>
      <c r="F1139" s="2"/>
      <c r="G1139" s="2"/>
      <c r="H1139" s="2"/>
      <c r="I1139" s="2"/>
    </row>
    <row r="1140">
      <c r="A1140" s="2">
        <f>IFERROR(__xludf.DUMMYFUNCTION("""COMPUTED_VALUE"""),103819.0)</f>
        <v>103819</v>
      </c>
      <c r="B1140" s="2" t="str">
        <f>IFERROR(__xludf.DUMMYFUNCTION("""COMPUTED_VALUE"""),"Law")</f>
        <v>Law</v>
      </c>
      <c r="C1140" s="2" t="str">
        <f>IFERROR(__xludf.DUMMYFUNCTION("""COMPUTED_VALUE"""),"World War I")</f>
        <v>World War I</v>
      </c>
      <c r="D1140" s="2" t="str">
        <f>IFERROR(__xludf.DUMMYFUNCTION("""COMPUTED_VALUE"""),"Riverlight Press")</f>
        <v>Riverlight Press</v>
      </c>
      <c r="E1140" s="2">
        <f>IFERROR(__xludf.DUMMYFUNCTION("""COMPUTED_VALUE"""),1.86)</f>
        <v>1.86</v>
      </c>
      <c r="F1140" s="2"/>
      <c r="G1140" s="2"/>
      <c r="H1140" s="2"/>
      <c r="I1140" s="2"/>
    </row>
    <row r="1141">
      <c r="A1141" s="2">
        <f>IFERROR(__xludf.DUMMYFUNCTION("""COMPUTED_VALUE"""),88683.0)</f>
        <v>88683</v>
      </c>
      <c r="B1141" s="2" t="str">
        <f>IFERROR(__xludf.DUMMYFUNCTION("""COMPUTED_VALUE"""),"Law")</f>
        <v>Law</v>
      </c>
      <c r="C1141" s="2" t="str">
        <f>IFERROR(__xludf.DUMMYFUNCTION("""COMPUTED_VALUE"""),"World War I")</f>
        <v>World War I</v>
      </c>
      <c r="D1141" s="2" t="str">
        <f>IFERROR(__xludf.DUMMYFUNCTION("""COMPUTED_VALUE"""),"Riverlight Press")</f>
        <v>Riverlight Press</v>
      </c>
      <c r="E1141" s="2">
        <f>IFERROR(__xludf.DUMMYFUNCTION("""COMPUTED_VALUE"""),1.66)</f>
        <v>1.66</v>
      </c>
      <c r="F1141" s="2"/>
      <c r="G1141" s="2"/>
      <c r="H1141" s="2"/>
      <c r="I1141" s="2"/>
    </row>
    <row r="1142">
      <c r="A1142" s="2">
        <f>IFERROR(__xludf.DUMMYFUNCTION("""COMPUTED_VALUE"""),5676.0)</f>
        <v>5676</v>
      </c>
      <c r="B1142" s="2" t="str">
        <f>IFERROR(__xludf.DUMMYFUNCTION("""COMPUTED_VALUE"""),"Law")</f>
        <v>Law</v>
      </c>
      <c r="C1142" s="2" t="str">
        <f>IFERROR(__xludf.DUMMYFUNCTION("""COMPUTED_VALUE"""),"World War I")</f>
        <v>World War I</v>
      </c>
      <c r="D1142" s="2" t="str">
        <f>IFERROR(__xludf.DUMMYFUNCTION("""COMPUTED_VALUE"""),"Riverlight Press")</f>
        <v>Riverlight Press</v>
      </c>
      <c r="E1142" s="2">
        <f>IFERROR(__xludf.DUMMYFUNCTION("""COMPUTED_VALUE"""),1.78)</f>
        <v>1.78</v>
      </c>
      <c r="F1142" s="2"/>
      <c r="G1142" s="2"/>
      <c r="H1142" s="2"/>
      <c r="I1142" s="2"/>
    </row>
    <row r="1143">
      <c r="A1143" s="2">
        <f>IFERROR(__xludf.DUMMYFUNCTION("""COMPUTED_VALUE"""),116776.0)</f>
        <v>116776</v>
      </c>
      <c r="B1143" s="2" t="str">
        <f>IFERROR(__xludf.DUMMYFUNCTION("""COMPUTED_VALUE"""),"Law")</f>
        <v>Law</v>
      </c>
      <c r="C1143" s="2" t="str">
        <f>IFERROR(__xludf.DUMMYFUNCTION("""COMPUTED_VALUE"""),"World War I")</f>
        <v>World War I</v>
      </c>
      <c r="D1143" s="2" t="str">
        <f>IFERROR(__xludf.DUMMYFUNCTION("""COMPUTED_VALUE"""),"Riverlight Press")</f>
        <v>Riverlight Press</v>
      </c>
      <c r="E1143" s="2">
        <f>IFERROR(__xludf.DUMMYFUNCTION("""COMPUTED_VALUE"""),1.01)</f>
        <v>1.01</v>
      </c>
      <c r="F1143" s="2"/>
      <c r="G1143" s="2"/>
      <c r="H1143" s="2"/>
      <c r="I1143" s="2"/>
    </row>
    <row r="1144">
      <c r="A1144" s="2">
        <f>IFERROR(__xludf.DUMMYFUNCTION("""COMPUTED_VALUE"""),5668.0)</f>
        <v>5668</v>
      </c>
      <c r="B1144" s="2" t="str">
        <f>IFERROR(__xludf.DUMMYFUNCTION("""COMPUTED_VALUE"""),"Law")</f>
        <v>Law</v>
      </c>
      <c r="C1144" s="2" t="str">
        <f>IFERROR(__xludf.DUMMYFUNCTION("""COMPUTED_VALUE"""),"World War I")</f>
        <v>World War I</v>
      </c>
      <c r="D1144" s="2" t="str">
        <f>IFERROR(__xludf.DUMMYFUNCTION("""COMPUTED_VALUE"""),"Riverlight Press")</f>
        <v>Riverlight Press</v>
      </c>
      <c r="E1144" s="2">
        <f>IFERROR(__xludf.DUMMYFUNCTION("""COMPUTED_VALUE"""),2.48)</f>
        <v>2.48</v>
      </c>
      <c r="F1144" s="2"/>
      <c r="G1144" s="2"/>
      <c r="H1144" s="2"/>
      <c r="I1144" s="2"/>
    </row>
    <row r="1145">
      <c r="A1145" s="2">
        <f>IFERROR(__xludf.DUMMYFUNCTION("""COMPUTED_VALUE"""),119052.0)</f>
        <v>119052</v>
      </c>
      <c r="B1145" s="2" t="str">
        <f>IFERROR(__xludf.DUMMYFUNCTION("""COMPUTED_VALUE"""),"Law")</f>
        <v>Law</v>
      </c>
      <c r="C1145" s="2" t="str">
        <f>IFERROR(__xludf.DUMMYFUNCTION("""COMPUTED_VALUE"""),"World War I")</f>
        <v>World War I</v>
      </c>
      <c r="D1145" s="2" t="str">
        <f>IFERROR(__xludf.DUMMYFUNCTION("""COMPUTED_VALUE"""),"Riverlight Press")</f>
        <v>Riverlight Press</v>
      </c>
      <c r="E1145" s="2">
        <f>IFERROR(__xludf.DUMMYFUNCTION("""COMPUTED_VALUE"""),2.16)</f>
        <v>2.16</v>
      </c>
      <c r="F1145" s="2"/>
      <c r="G1145" s="2"/>
      <c r="H1145" s="2"/>
      <c r="I1145" s="2"/>
    </row>
    <row r="1146">
      <c r="A1146" s="2">
        <f>IFERROR(__xludf.DUMMYFUNCTION("""COMPUTED_VALUE"""),118920.0)</f>
        <v>118920</v>
      </c>
      <c r="B1146" s="2" t="str">
        <f>IFERROR(__xludf.DUMMYFUNCTION("""COMPUTED_VALUE"""),"Law")</f>
        <v>Law</v>
      </c>
      <c r="C1146" s="2" t="str">
        <f>IFERROR(__xludf.DUMMYFUNCTION("""COMPUTED_VALUE"""),"World War I")</f>
        <v>World War I</v>
      </c>
      <c r="D1146" s="2" t="str">
        <f>IFERROR(__xludf.DUMMYFUNCTION("""COMPUTED_VALUE"""),"Riverlight Press")</f>
        <v>Riverlight Press</v>
      </c>
      <c r="E1146" s="2">
        <f>IFERROR(__xludf.DUMMYFUNCTION("""COMPUTED_VALUE"""),0.95)</f>
        <v>0.95</v>
      </c>
      <c r="F1146" s="2"/>
      <c r="G1146" s="2"/>
      <c r="H1146" s="2"/>
      <c r="I1146" s="2"/>
    </row>
    <row r="1147">
      <c r="A1147" s="2">
        <f>IFERROR(__xludf.DUMMYFUNCTION("""COMPUTED_VALUE"""),96003.0)</f>
        <v>96003</v>
      </c>
      <c r="B1147" s="2" t="str">
        <f>IFERROR(__xludf.DUMMYFUNCTION("""COMPUTED_VALUE"""),"Law")</f>
        <v>Law</v>
      </c>
      <c r="C1147" s="2" t="str">
        <f>IFERROR(__xludf.DUMMYFUNCTION("""COMPUTED_VALUE"""),"World War I")</f>
        <v>World War I</v>
      </c>
      <c r="D1147" s="2" t="str">
        <f>IFERROR(__xludf.DUMMYFUNCTION("""COMPUTED_VALUE"""),"Ironwood Ridge Publishing")</f>
        <v>Ironwood Ridge Publishing</v>
      </c>
      <c r="E1147" s="2">
        <f>IFERROR(__xludf.DUMMYFUNCTION("""COMPUTED_VALUE"""),2.17)</f>
        <v>2.17</v>
      </c>
      <c r="F1147" s="2"/>
      <c r="G1147" s="2"/>
      <c r="H1147" s="2"/>
      <c r="I1147" s="2"/>
    </row>
    <row r="1148">
      <c r="A1148" s="2">
        <f>IFERROR(__xludf.DUMMYFUNCTION("""COMPUTED_VALUE"""),116380.0)</f>
        <v>116380</v>
      </c>
      <c r="B1148" s="2" t="str">
        <f>IFERROR(__xludf.DUMMYFUNCTION("""COMPUTED_VALUE"""),"Law")</f>
        <v>Law</v>
      </c>
      <c r="C1148" s="2" t="str">
        <f>IFERROR(__xludf.DUMMYFUNCTION("""COMPUTED_VALUE"""),"World War I")</f>
        <v>World War I</v>
      </c>
      <c r="D1148" s="2" t="str">
        <f>IFERROR(__xludf.DUMMYFUNCTION("""COMPUTED_VALUE"""),"Ironwood Ridge Publishing")</f>
        <v>Ironwood Ridge Publishing</v>
      </c>
      <c r="E1148" s="2">
        <f>IFERROR(__xludf.DUMMYFUNCTION("""COMPUTED_VALUE"""),2.86)</f>
        <v>2.86</v>
      </c>
      <c r="F1148" s="2"/>
      <c r="G1148" s="2"/>
      <c r="H1148" s="2"/>
      <c r="I1148" s="2"/>
    </row>
    <row r="1149">
      <c r="A1149" s="2">
        <f>IFERROR(__xludf.DUMMYFUNCTION("""COMPUTED_VALUE"""),46291.0)</f>
        <v>46291</v>
      </c>
      <c r="B1149" s="2" t="str">
        <f>IFERROR(__xludf.DUMMYFUNCTION("""COMPUTED_VALUE"""),"Law")</f>
        <v>Law</v>
      </c>
      <c r="C1149" s="2" t="str">
        <f>IFERROR(__xludf.DUMMYFUNCTION("""COMPUTED_VALUE"""),"World War I")</f>
        <v>World War I</v>
      </c>
      <c r="D1149" s="2" t="str">
        <f>IFERROR(__xludf.DUMMYFUNCTION("""COMPUTED_VALUE"""),"Ironwood Ridge Publishing")</f>
        <v>Ironwood Ridge Publishing</v>
      </c>
      <c r="E1149" s="2">
        <f>IFERROR(__xludf.DUMMYFUNCTION("""COMPUTED_VALUE"""),2.08)</f>
        <v>2.08</v>
      </c>
      <c r="F1149" s="2"/>
      <c r="G1149" s="2"/>
      <c r="H1149" s="2"/>
      <c r="I1149" s="2"/>
    </row>
    <row r="1150">
      <c r="A1150" s="2">
        <f>IFERROR(__xludf.DUMMYFUNCTION("""COMPUTED_VALUE"""),148742.0)</f>
        <v>148742</v>
      </c>
      <c r="B1150" s="2" t="str">
        <f>IFERROR(__xludf.DUMMYFUNCTION("""COMPUTED_VALUE"""),"Law")</f>
        <v>Law</v>
      </c>
      <c r="C1150" s="2" t="str">
        <f>IFERROR(__xludf.DUMMYFUNCTION("""COMPUTED_VALUE"""),"World War I")</f>
        <v>World War I</v>
      </c>
      <c r="D1150" s="2" t="str">
        <f>IFERROR(__xludf.DUMMYFUNCTION("""COMPUTED_VALUE"""),"Ironwood Ridge Publishing")</f>
        <v>Ironwood Ridge Publishing</v>
      </c>
      <c r="E1150" s="2">
        <f>IFERROR(__xludf.DUMMYFUNCTION("""COMPUTED_VALUE"""),1.44)</f>
        <v>1.44</v>
      </c>
      <c r="F1150" s="2"/>
      <c r="G1150" s="2"/>
      <c r="H1150" s="2"/>
      <c r="I1150" s="2"/>
    </row>
    <row r="1151">
      <c r="A1151" s="2">
        <f>IFERROR(__xludf.DUMMYFUNCTION("""COMPUTED_VALUE"""),83634.0)</f>
        <v>83634</v>
      </c>
      <c r="B1151" s="2" t="str">
        <f>IFERROR(__xludf.DUMMYFUNCTION("""COMPUTED_VALUE"""),"Law")</f>
        <v>Law</v>
      </c>
      <c r="C1151" s="2" t="str">
        <f>IFERROR(__xludf.DUMMYFUNCTION("""COMPUTED_VALUE"""),"World War I")</f>
        <v>World War I</v>
      </c>
      <c r="D1151" s="2" t="str">
        <f>IFERROR(__xludf.DUMMYFUNCTION("""COMPUTED_VALUE"""),"Ironwood Ridge Publishing")</f>
        <v>Ironwood Ridge Publishing</v>
      </c>
      <c r="E1151" s="2">
        <f>IFERROR(__xludf.DUMMYFUNCTION("""COMPUTED_VALUE"""),3.29)</f>
        <v>3.29</v>
      </c>
      <c r="F1151" s="2"/>
      <c r="G1151" s="2"/>
      <c r="H1151" s="2"/>
      <c r="I1151" s="2"/>
    </row>
    <row r="1152">
      <c r="A1152" s="2">
        <f>IFERROR(__xludf.DUMMYFUNCTION("""COMPUTED_VALUE"""),5657.0)</f>
        <v>5657</v>
      </c>
      <c r="B1152" s="2" t="str">
        <f>IFERROR(__xludf.DUMMYFUNCTION("""COMPUTED_VALUE"""),"Law")</f>
        <v>Law</v>
      </c>
      <c r="C1152" s="2" t="str">
        <f>IFERROR(__xludf.DUMMYFUNCTION("""COMPUTED_VALUE"""),"World War I")</f>
        <v>World War I</v>
      </c>
      <c r="D1152" s="2" t="str">
        <f>IFERROR(__xludf.DUMMYFUNCTION("""COMPUTED_VALUE"""),"Ironwood Ridge Publishing")</f>
        <v>Ironwood Ridge Publishing</v>
      </c>
      <c r="E1152" s="2">
        <f>IFERROR(__xludf.DUMMYFUNCTION("""COMPUTED_VALUE"""),1.92)</f>
        <v>1.92</v>
      </c>
      <c r="F1152" s="2"/>
      <c r="G1152" s="2"/>
      <c r="H1152" s="2"/>
      <c r="I1152" s="2"/>
    </row>
    <row r="1153">
      <c r="A1153" s="2">
        <f>IFERROR(__xludf.DUMMYFUNCTION("""COMPUTED_VALUE"""),78856.0)</f>
        <v>78856</v>
      </c>
      <c r="B1153" s="2" t="str">
        <f>IFERROR(__xludf.DUMMYFUNCTION("""COMPUTED_VALUE"""),"Law")</f>
        <v>Law</v>
      </c>
      <c r="C1153" s="2" t="str">
        <f>IFERROR(__xludf.DUMMYFUNCTION("""COMPUTED_VALUE"""),"World War I")</f>
        <v>World War I</v>
      </c>
      <c r="D1153" s="2" t="str">
        <f>IFERROR(__xludf.DUMMYFUNCTION("""COMPUTED_VALUE"""),"Ironwood Ridge Publishing")</f>
        <v>Ironwood Ridge Publishing</v>
      </c>
      <c r="E1153" s="2">
        <f>IFERROR(__xludf.DUMMYFUNCTION("""COMPUTED_VALUE"""),1.81)</f>
        <v>1.81</v>
      </c>
      <c r="F1153" s="2"/>
      <c r="G1153" s="2"/>
      <c r="H1153" s="2"/>
      <c r="I1153" s="2"/>
    </row>
    <row r="1154">
      <c r="A1154" s="2">
        <f>IFERROR(__xludf.DUMMYFUNCTION("""COMPUTED_VALUE"""),44123.0)</f>
        <v>44123</v>
      </c>
      <c r="B1154" s="2" t="str">
        <f>IFERROR(__xludf.DUMMYFUNCTION("""COMPUTED_VALUE"""),"Law")</f>
        <v>Law</v>
      </c>
      <c r="C1154" s="2" t="str">
        <f>IFERROR(__xludf.DUMMYFUNCTION("""COMPUTED_VALUE"""),"World War I")</f>
        <v>World War I</v>
      </c>
      <c r="D1154" s="2" t="str">
        <f>IFERROR(__xludf.DUMMYFUNCTION("""COMPUTED_VALUE"""),"Ironwood Ridge Publishing")</f>
        <v>Ironwood Ridge Publishing</v>
      </c>
      <c r="E1154" s="2">
        <f>IFERROR(__xludf.DUMMYFUNCTION("""COMPUTED_VALUE"""),2.89)</f>
        <v>2.89</v>
      </c>
      <c r="F1154" s="2"/>
      <c r="G1154" s="2"/>
      <c r="H1154" s="2"/>
      <c r="I1154" s="2"/>
    </row>
    <row r="1155">
      <c r="A1155" s="2">
        <f>IFERROR(__xludf.DUMMYFUNCTION("""COMPUTED_VALUE"""),78855.0)</f>
        <v>78855</v>
      </c>
      <c r="B1155" s="2" t="str">
        <f>IFERROR(__xludf.DUMMYFUNCTION("""COMPUTED_VALUE"""),"Law")</f>
        <v>Law</v>
      </c>
      <c r="C1155" s="2" t="str">
        <f>IFERROR(__xludf.DUMMYFUNCTION("""COMPUTED_VALUE"""),"World War I")</f>
        <v>World War I</v>
      </c>
      <c r="D1155" s="2" t="str">
        <f>IFERROR(__xludf.DUMMYFUNCTION("""COMPUTED_VALUE"""),"Ironwood Ridge Publishing")</f>
        <v>Ironwood Ridge Publishing</v>
      </c>
      <c r="E1155" s="2">
        <f>IFERROR(__xludf.DUMMYFUNCTION("""COMPUTED_VALUE"""),1.84)</f>
        <v>1.84</v>
      </c>
      <c r="F1155" s="2"/>
      <c r="G1155" s="2"/>
      <c r="H1155" s="2"/>
      <c r="I1155" s="2"/>
    </row>
    <row r="1156">
      <c r="A1156" s="2">
        <f>IFERROR(__xludf.DUMMYFUNCTION("""COMPUTED_VALUE"""),48408.0)</f>
        <v>48408</v>
      </c>
      <c r="B1156" s="2" t="str">
        <f>IFERROR(__xludf.DUMMYFUNCTION("""COMPUTED_VALUE"""),"Law")</f>
        <v>Law</v>
      </c>
      <c r="C1156" s="2" t="str">
        <f>IFERROR(__xludf.DUMMYFUNCTION("""COMPUTED_VALUE"""),"World War I")</f>
        <v>World War I</v>
      </c>
      <c r="D1156" s="2" t="str">
        <f>IFERROR(__xludf.DUMMYFUNCTION("""COMPUTED_VALUE"""),"Ironwood Ridge Publishing")</f>
        <v>Ironwood Ridge Publishing</v>
      </c>
      <c r="E1156" s="2">
        <f>IFERROR(__xludf.DUMMYFUNCTION("""COMPUTED_VALUE"""),2.23)</f>
        <v>2.23</v>
      </c>
      <c r="F1156" s="2"/>
      <c r="G1156" s="2"/>
      <c r="H1156" s="2"/>
      <c r="I1156" s="2"/>
    </row>
    <row r="1157">
      <c r="A1157" s="2">
        <f>IFERROR(__xludf.DUMMYFUNCTION("""COMPUTED_VALUE"""),46303.0)</f>
        <v>46303</v>
      </c>
      <c r="B1157" s="2" t="str">
        <f>IFERROR(__xludf.DUMMYFUNCTION("""COMPUTED_VALUE"""),"Law")</f>
        <v>Law</v>
      </c>
      <c r="C1157" s="2" t="str">
        <f>IFERROR(__xludf.DUMMYFUNCTION("""COMPUTED_VALUE"""),"World War I")</f>
        <v>World War I</v>
      </c>
      <c r="D1157" s="2" t="str">
        <f>IFERROR(__xludf.DUMMYFUNCTION("""COMPUTED_VALUE"""),"Ironwood Ridge Publishing")</f>
        <v>Ironwood Ridge Publishing</v>
      </c>
      <c r="E1157" s="2">
        <f>IFERROR(__xludf.DUMMYFUNCTION("""COMPUTED_VALUE"""),1.66)</f>
        <v>1.66</v>
      </c>
      <c r="F1157" s="2"/>
      <c r="G1157" s="2"/>
      <c r="H1157" s="2"/>
      <c r="I1157" s="2"/>
    </row>
    <row r="1158">
      <c r="A1158" s="2">
        <f>IFERROR(__xludf.DUMMYFUNCTION("""COMPUTED_VALUE"""),147274.0)</f>
        <v>147274</v>
      </c>
      <c r="B1158" s="2" t="str">
        <f>IFERROR(__xludf.DUMMYFUNCTION("""COMPUTED_VALUE"""),"Law")</f>
        <v>Law</v>
      </c>
      <c r="C1158" s="2" t="str">
        <f>IFERROR(__xludf.DUMMYFUNCTION("""COMPUTED_VALUE"""),"World War I")</f>
        <v>World War I</v>
      </c>
      <c r="D1158" s="2" t="str">
        <f>IFERROR(__xludf.DUMMYFUNCTION("""COMPUTED_VALUE"""),"Ironwood Ridge Publishing")</f>
        <v>Ironwood Ridge Publishing</v>
      </c>
      <c r="E1158" s="2">
        <f>IFERROR(__xludf.DUMMYFUNCTION("""COMPUTED_VALUE"""),1.92)</f>
        <v>1.92</v>
      </c>
      <c r="F1158" s="2"/>
      <c r="G1158" s="2"/>
      <c r="H1158" s="2"/>
      <c r="I1158" s="2"/>
    </row>
    <row r="1159">
      <c r="A1159" s="2">
        <f>IFERROR(__xludf.DUMMYFUNCTION("""COMPUTED_VALUE"""),44144.0)</f>
        <v>44144</v>
      </c>
      <c r="B1159" s="2" t="str">
        <f>IFERROR(__xludf.DUMMYFUNCTION("""COMPUTED_VALUE"""),"Law")</f>
        <v>Law</v>
      </c>
      <c r="C1159" s="2" t="str">
        <f>IFERROR(__xludf.DUMMYFUNCTION("""COMPUTED_VALUE"""),"World War I")</f>
        <v>World War I</v>
      </c>
      <c r="D1159" s="2" t="str">
        <f>IFERROR(__xludf.DUMMYFUNCTION("""COMPUTED_VALUE"""),"Ironwood Ridge Publishing")</f>
        <v>Ironwood Ridge Publishing</v>
      </c>
      <c r="E1159" s="2">
        <f>IFERROR(__xludf.DUMMYFUNCTION("""COMPUTED_VALUE"""),2.29)</f>
        <v>2.29</v>
      </c>
      <c r="F1159" s="2"/>
      <c r="G1159" s="2"/>
      <c r="H1159" s="2"/>
      <c r="I1159" s="2"/>
    </row>
    <row r="1160">
      <c r="A1160" s="2">
        <f>IFERROR(__xludf.DUMMYFUNCTION("""COMPUTED_VALUE"""),96972.0)</f>
        <v>96972</v>
      </c>
      <c r="B1160" s="2" t="str">
        <f>IFERROR(__xludf.DUMMYFUNCTION("""COMPUTED_VALUE"""),"Law")</f>
        <v>Law</v>
      </c>
      <c r="C1160" s="2" t="str">
        <f>IFERROR(__xludf.DUMMYFUNCTION("""COMPUTED_VALUE"""),"World War I")</f>
        <v>World War I</v>
      </c>
      <c r="D1160" s="2" t="str">
        <f>IFERROR(__xludf.DUMMYFUNCTION("""COMPUTED_VALUE"""),"Ironwood Ridge Publishing")</f>
        <v>Ironwood Ridge Publishing</v>
      </c>
      <c r="E1160" s="2">
        <f>IFERROR(__xludf.DUMMYFUNCTION("""COMPUTED_VALUE"""),1.97)</f>
        <v>1.97</v>
      </c>
      <c r="F1160" s="2"/>
      <c r="G1160" s="2"/>
      <c r="H1160" s="2"/>
      <c r="I1160" s="2"/>
    </row>
    <row r="1161">
      <c r="A1161" s="2">
        <f>IFERROR(__xludf.DUMMYFUNCTION("""COMPUTED_VALUE"""),5665.0)</f>
        <v>5665</v>
      </c>
      <c r="B1161" s="2" t="str">
        <f>IFERROR(__xludf.DUMMYFUNCTION("""COMPUTED_VALUE"""),"Law")</f>
        <v>Law</v>
      </c>
      <c r="C1161" s="2" t="str">
        <f>IFERROR(__xludf.DUMMYFUNCTION("""COMPUTED_VALUE"""),"World War I")</f>
        <v>World War I</v>
      </c>
      <c r="D1161" s="2" t="str">
        <f>IFERROR(__xludf.DUMMYFUNCTION("""COMPUTED_VALUE"""),"Ironwood Ridge Publishing")</f>
        <v>Ironwood Ridge Publishing</v>
      </c>
      <c r="E1161" s="2">
        <f>IFERROR(__xludf.DUMMYFUNCTION("""COMPUTED_VALUE"""),2.52)</f>
        <v>2.52</v>
      </c>
      <c r="F1161" s="2"/>
      <c r="G1161" s="2"/>
      <c r="H1161" s="2"/>
      <c r="I1161" s="2"/>
    </row>
    <row r="1162">
      <c r="A1162" s="2">
        <f>IFERROR(__xludf.DUMMYFUNCTION("""COMPUTED_VALUE"""),26072.0)</f>
        <v>26072</v>
      </c>
      <c r="B1162" s="2" t="str">
        <f>IFERROR(__xludf.DUMMYFUNCTION("""COMPUTED_VALUE"""),"Law")</f>
        <v>Law</v>
      </c>
      <c r="C1162" s="2" t="str">
        <f>IFERROR(__xludf.DUMMYFUNCTION("""COMPUTED_VALUE"""),"World War I")</f>
        <v>World War I</v>
      </c>
      <c r="D1162" s="2" t="str">
        <f>IFERROR(__xludf.DUMMYFUNCTION("""COMPUTED_VALUE"""),"Ironwood Ridge Publishing")</f>
        <v>Ironwood Ridge Publishing</v>
      </c>
      <c r="E1162" s="2">
        <f>IFERROR(__xludf.DUMMYFUNCTION("""COMPUTED_VALUE"""),1.82)</f>
        <v>1.82</v>
      </c>
      <c r="F1162" s="2"/>
      <c r="G1162" s="2"/>
      <c r="H1162" s="2"/>
      <c r="I1162" s="2"/>
    </row>
    <row r="1163">
      <c r="A1163" s="2">
        <f>IFERROR(__xludf.DUMMYFUNCTION("""COMPUTED_VALUE"""),5631.0)</f>
        <v>5631</v>
      </c>
      <c r="B1163" s="2" t="str">
        <f>IFERROR(__xludf.DUMMYFUNCTION("""COMPUTED_VALUE"""),"Law")</f>
        <v>Law</v>
      </c>
      <c r="C1163" s="2" t="str">
        <f>IFERROR(__xludf.DUMMYFUNCTION("""COMPUTED_VALUE"""),"World War I")</f>
        <v>World War I</v>
      </c>
      <c r="D1163" s="2" t="str">
        <f>IFERROR(__xludf.DUMMYFUNCTION("""COMPUTED_VALUE"""),"Ironwood Ridge Publishing")</f>
        <v>Ironwood Ridge Publishing</v>
      </c>
      <c r="E1163" s="2">
        <f>IFERROR(__xludf.DUMMYFUNCTION("""COMPUTED_VALUE"""),2.52)</f>
        <v>2.52</v>
      </c>
      <c r="F1163" s="2"/>
      <c r="G1163" s="2"/>
      <c r="H1163" s="2"/>
      <c r="I1163" s="2"/>
    </row>
    <row r="1164">
      <c r="A1164" s="2">
        <f>IFERROR(__xludf.DUMMYFUNCTION("""COMPUTED_VALUE"""),104316.0)</f>
        <v>104316</v>
      </c>
      <c r="B1164" s="2" t="str">
        <f>IFERROR(__xludf.DUMMYFUNCTION("""COMPUTED_VALUE"""),"Law")</f>
        <v>Law</v>
      </c>
      <c r="C1164" s="2" t="str">
        <f>IFERROR(__xludf.DUMMYFUNCTION("""COMPUTED_VALUE"""),"World War I")</f>
        <v>World War I</v>
      </c>
      <c r="D1164" s="2" t="str">
        <f>IFERROR(__xludf.DUMMYFUNCTION("""COMPUTED_VALUE"""),"Ironwood Ridge Publishing")</f>
        <v>Ironwood Ridge Publishing</v>
      </c>
      <c r="E1164" s="2">
        <f>IFERROR(__xludf.DUMMYFUNCTION("""COMPUTED_VALUE"""),1.98)</f>
        <v>1.98</v>
      </c>
      <c r="F1164" s="2"/>
      <c r="G1164" s="2"/>
      <c r="H1164" s="2"/>
      <c r="I1164" s="2"/>
    </row>
    <row r="1165">
      <c r="A1165" s="2">
        <f>IFERROR(__xludf.DUMMYFUNCTION("""COMPUTED_VALUE"""),83612.0)</f>
        <v>83612</v>
      </c>
      <c r="B1165" s="2" t="str">
        <f>IFERROR(__xludf.DUMMYFUNCTION("""COMPUTED_VALUE"""),"Law")</f>
        <v>Law</v>
      </c>
      <c r="C1165" s="2" t="str">
        <f>IFERROR(__xludf.DUMMYFUNCTION("""COMPUTED_VALUE"""),"World War I")</f>
        <v>World War I</v>
      </c>
      <c r="D1165" s="2" t="str">
        <f>IFERROR(__xludf.DUMMYFUNCTION("""COMPUTED_VALUE"""),"Ironwood Ridge Publishing")</f>
        <v>Ironwood Ridge Publishing</v>
      </c>
      <c r="E1165" s="2">
        <f>IFERROR(__xludf.DUMMYFUNCTION("""COMPUTED_VALUE"""),2.7)</f>
        <v>2.7</v>
      </c>
      <c r="F1165" s="2"/>
      <c r="G1165" s="2"/>
      <c r="H1165" s="2"/>
      <c r="I1165" s="2"/>
    </row>
    <row r="1166">
      <c r="A1166" s="2">
        <f>IFERROR(__xludf.DUMMYFUNCTION("""COMPUTED_VALUE"""),87425.0)</f>
        <v>87425</v>
      </c>
      <c r="B1166" s="2" t="str">
        <f>IFERROR(__xludf.DUMMYFUNCTION("""COMPUTED_VALUE"""),"Law")</f>
        <v>Law</v>
      </c>
      <c r="C1166" s="2" t="str">
        <f>IFERROR(__xludf.DUMMYFUNCTION("""COMPUTED_VALUE"""),"World War I")</f>
        <v>World War I</v>
      </c>
      <c r="D1166" s="2" t="str">
        <f>IFERROR(__xludf.DUMMYFUNCTION("""COMPUTED_VALUE"""),"Ironwood Ridge Publishing")</f>
        <v>Ironwood Ridge Publishing</v>
      </c>
      <c r="E1166" s="2">
        <f>IFERROR(__xludf.DUMMYFUNCTION("""COMPUTED_VALUE"""),2.32)</f>
        <v>2.32</v>
      </c>
      <c r="F1166" s="2"/>
      <c r="G1166" s="2"/>
      <c r="H1166" s="2"/>
      <c r="I1166" s="2"/>
    </row>
    <row r="1167">
      <c r="A1167" s="2">
        <f>IFERROR(__xludf.DUMMYFUNCTION("""COMPUTED_VALUE"""),115611.0)</f>
        <v>115611</v>
      </c>
      <c r="B1167" s="2" t="str">
        <f>IFERROR(__xludf.DUMMYFUNCTION("""COMPUTED_VALUE"""),"Law")</f>
        <v>Law</v>
      </c>
      <c r="C1167" s="2" t="str">
        <f>IFERROR(__xludf.DUMMYFUNCTION("""COMPUTED_VALUE"""),"World War I")</f>
        <v>World War I</v>
      </c>
      <c r="D1167" s="2" t="str">
        <f>IFERROR(__xludf.DUMMYFUNCTION("""COMPUTED_VALUE"""),"Ironwood Ridge Publishing")</f>
        <v>Ironwood Ridge Publishing</v>
      </c>
      <c r="E1167" s="2">
        <f>IFERROR(__xludf.DUMMYFUNCTION("""COMPUTED_VALUE"""),1.9)</f>
        <v>1.9</v>
      </c>
      <c r="F1167" s="2"/>
      <c r="G1167" s="2"/>
      <c r="H1167" s="2"/>
      <c r="I1167" s="2"/>
    </row>
    <row r="1168">
      <c r="A1168" s="2">
        <f>IFERROR(__xludf.DUMMYFUNCTION("""COMPUTED_VALUE"""),88688.0)</f>
        <v>88688</v>
      </c>
      <c r="B1168" s="2" t="str">
        <f>IFERROR(__xludf.DUMMYFUNCTION("""COMPUTED_VALUE"""),"Law")</f>
        <v>Law</v>
      </c>
      <c r="C1168" s="2" t="str">
        <f>IFERROR(__xludf.DUMMYFUNCTION("""COMPUTED_VALUE"""),"World War I")</f>
        <v>World War I</v>
      </c>
      <c r="D1168" s="2" t="str">
        <f>IFERROR(__xludf.DUMMYFUNCTION("""COMPUTED_VALUE"""),"Ironwood Ridge Publishing")</f>
        <v>Ironwood Ridge Publishing</v>
      </c>
      <c r="E1168" s="2">
        <f>IFERROR(__xludf.DUMMYFUNCTION("""COMPUTED_VALUE"""),2.93)</f>
        <v>2.93</v>
      </c>
      <c r="F1168" s="2"/>
      <c r="G1168" s="2"/>
      <c r="H1168" s="2"/>
      <c r="I1168" s="2"/>
    </row>
    <row r="1169">
      <c r="A1169" s="2">
        <f>IFERROR(__xludf.DUMMYFUNCTION("""COMPUTED_VALUE"""),83605.0)</f>
        <v>83605</v>
      </c>
      <c r="B1169" s="2" t="str">
        <f>IFERROR(__xludf.DUMMYFUNCTION("""COMPUTED_VALUE"""),"Law")</f>
        <v>Law</v>
      </c>
      <c r="C1169" s="2" t="str">
        <f>IFERROR(__xludf.DUMMYFUNCTION("""COMPUTED_VALUE"""),"World War I")</f>
        <v>World War I</v>
      </c>
      <c r="D1169" s="2" t="str">
        <f>IFERROR(__xludf.DUMMYFUNCTION("""COMPUTED_VALUE"""),"Ironwood Ridge Publishing")</f>
        <v>Ironwood Ridge Publishing</v>
      </c>
      <c r="E1169" s="2">
        <f>IFERROR(__xludf.DUMMYFUNCTION("""COMPUTED_VALUE"""),3.24)</f>
        <v>3.24</v>
      </c>
      <c r="F1169" s="2"/>
      <c r="G1169" s="2"/>
      <c r="H1169" s="2"/>
      <c r="I1169" s="2"/>
    </row>
    <row r="1170">
      <c r="A1170" s="2">
        <f>IFERROR(__xludf.DUMMYFUNCTION("""COMPUTED_VALUE"""),44125.0)</f>
        <v>44125</v>
      </c>
      <c r="B1170" s="2" t="str">
        <f>IFERROR(__xludf.DUMMYFUNCTION("""COMPUTED_VALUE"""),"Law")</f>
        <v>Law</v>
      </c>
      <c r="C1170" s="2" t="str">
        <f>IFERROR(__xludf.DUMMYFUNCTION("""COMPUTED_VALUE"""),"World War I")</f>
        <v>World War I</v>
      </c>
      <c r="D1170" s="2" t="str">
        <f>IFERROR(__xludf.DUMMYFUNCTION("""COMPUTED_VALUE"""),"Ironwood Ridge Publishing")</f>
        <v>Ironwood Ridge Publishing</v>
      </c>
      <c r="E1170" s="2">
        <f>IFERROR(__xludf.DUMMYFUNCTION("""COMPUTED_VALUE"""),1.78)</f>
        <v>1.78</v>
      </c>
      <c r="F1170" s="2"/>
      <c r="G1170" s="2"/>
      <c r="H1170" s="2"/>
      <c r="I1170" s="2"/>
    </row>
    <row r="1171">
      <c r="A1171" s="2">
        <f>IFERROR(__xludf.DUMMYFUNCTION("""COMPUTED_VALUE"""),83639.0)</f>
        <v>83639</v>
      </c>
      <c r="B1171" s="2" t="str">
        <f>IFERROR(__xludf.DUMMYFUNCTION("""COMPUTED_VALUE"""),"Law")</f>
        <v>Law</v>
      </c>
      <c r="C1171" s="2" t="str">
        <f>IFERROR(__xludf.DUMMYFUNCTION("""COMPUTED_VALUE"""),"World War I")</f>
        <v>World War I</v>
      </c>
      <c r="D1171" s="2" t="str">
        <f>IFERROR(__xludf.DUMMYFUNCTION("""COMPUTED_VALUE"""),"Ironwood Ridge Publishing")</f>
        <v>Ironwood Ridge Publishing</v>
      </c>
      <c r="E1171" s="2">
        <f>IFERROR(__xludf.DUMMYFUNCTION("""COMPUTED_VALUE"""),3.16)</f>
        <v>3.16</v>
      </c>
      <c r="F1171" s="2"/>
      <c r="G1171" s="2"/>
      <c r="H1171" s="2"/>
      <c r="I1171" s="2"/>
    </row>
    <row r="1172">
      <c r="A1172" s="2">
        <f>IFERROR(__xludf.DUMMYFUNCTION("""COMPUTED_VALUE"""),5656.0)</f>
        <v>5656</v>
      </c>
      <c r="B1172" s="2" t="str">
        <f>IFERROR(__xludf.DUMMYFUNCTION("""COMPUTED_VALUE"""),"Law")</f>
        <v>Law</v>
      </c>
      <c r="C1172" s="2" t="str">
        <f>IFERROR(__xludf.DUMMYFUNCTION("""COMPUTED_VALUE"""),"World War I")</f>
        <v>World War I</v>
      </c>
      <c r="D1172" s="2" t="str">
        <f>IFERROR(__xludf.DUMMYFUNCTION("""COMPUTED_VALUE"""),"Ironwood Ridge Publishing")</f>
        <v>Ironwood Ridge Publishing</v>
      </c>
      <c r="E1172" s="2">
        <f>IFERROR(__xludf.DUMMYFUNCTION("""COMPUTED_VALUE"""),2.0)</f>
        <v>2</v>
      </c>
      <c r="F1172" s="2"/>
      <c r="G1172" s="2"/>
      <c r="H1172" s="2"/>
      <c r="I1172" s="2"/>
    </row>
    <row r="1173">
      <c r="A1173" s="2">
        <f>IFERROR(__xludf.DUMMYFUNCTION("""COMPUTED_VALUE"""),88686.0)</f>
        <v>88686</v>
      </c>
      <c r="B1173" s="2" t="str">
        <f>IFERROR(__xludf.DUMMYFUNCTION("""COMPUTED_VALUE"""),"Law")</f>
        <v>Law</v>
      </c>
      <c r="C1173" s="2" t="str">
        <f>IFERROR(__xludf.DUMMYFUNCTION("""COMPUTED_VALUE"""),"World War I")</f>
        <v>World War I</v>
      </c>
      <c r="D1173" s="2" t="str">
        <f>IFERROR(__xludf.DUMMYFUNCTION("""COMPUTED_VALUE"""),"Ironwood Ridge Publishing")</f>
        <v>Ironwood Ridge Publishing</v>
      </c>
      <c r="E1173" s="2">
        <f>IFERROR(__xludf.DUMMYFUNCTION("""COMPUTED_VALUE"""),2.89)</f>
        <v>2.89</v>
      </c>
      <c r="F1173" s="2"/>
      <c r="G1173" s="2"/>
      <c r="H1173" s="2"/>
      <c r="I1173" s="2"/>
    </row>
    <row r="1174">
      <c r="A1174" s="2">
        <f>IFERROR(__xludf.DUMMYFUNCTION("""COMPUTED_VALUE"""),83601.0)</f>
        <v>83601</v>
      </c>
      <c r="B1174" s="2" t="str">
        <f>IFERROR(__xludf.DUMMYFUNCTION("""COMPUTED_VALUE"""),"Law")</f>
        <v>Law</v>
      </c>
      <c r="C1174" s="2" t="str">
        <f>IFERROR(__xludf.DUMMYFUNCTION("""COMPUTED_VALUE"""),"World War I")</f>
        <v>World War I</v>
      </c>
      <c r="D1174" s="2" t="str">
        <f>IFERROR(__xludf.DUMMYFUNCTION("""COMPUTED_VALUE"""),"Ironwood Ridge Publishing")</f>
        <v>Ironwood Ridge Publishing</v>
      </c>
      <c r="E1174" s="2">
        <f>IFERROR(__xludf.DUMMYFUNCTION("""COMPUTED_VALUE"""),3.98)</f>
        <v>3.98</v>
      </c>
      <c r="F1174" s="2"/>
      <c r="G1174" s="2"/>
      <c r="H1174" s="2"/>
      <c r="I1174" s="2"/>
    </row>
    <row r="1175">
      <c r="A1175" s="2">
        <f>IFERROR(__xludf.DUMMYFUNCTION("""COMPUTED_VALUE"""),48407.0)</f>
        <v>48407</v>
      </c>
      <c r="B1175" s="2" t="str">
        <f>IFERROR(__xludf.DUMMYFUNCTION("""COMPUTED_VALUE"""),"Law")</f>
        <v>Law</v>
      </c>
      <c r="C1175" s="2" t="str">
        <f>IFERROR(__xludf.DUMMYFUNCTION("""COMPUTED_VALUE"""),"World War I")</f>
        <v>World War I</v>
      </c>
      <c r="D1175" s="2" t="str">
        <f>IFERROR(__xludf.DUMMYFUNCTION("""COMPUTED_VALUE"""),"Ironwood Ridge Publishing")</f>
        <v>Ironwood Ridge Publishing</v>
      </c>
      <c r="E1175" s="2">
        <f>IFERROR(__xludf.DUMMYFUNCTION("""COMPUTED_VALUE"""),3.04)</f>
        <v>3.04</v>
      </c>
      <c r="F1175" s="2"/>
      <c r="G1175" s="2"/>
      <c r="H1175" s="2"/>
      <c r="I1175" s="2"/>
    </row>
    <row r="1176">
      <c r="A1176" s="2">
        <f>IFERROR(__xludf.DUMMYFUNCTION("""COMPUTED_VALUE"""),5692.0)</f>
        <v>5692</v>
      </c>
      <c r="B1176" s="2" t="str">
        <f>IFERROR(__xludf.DUMMYFUNCTION("""COMPUTED_VALUE"""),"Law")</f>
        <v>Law</v>
      </c>
      <c r="C1176" s="2" t="str">
        <f>IFERROR(__xludf.DUMMYFUNCTION("""COMPUTED_VALUE"""),"World War I")</f>
        <v>World War I</v>
      </c>
      <c r="D1176" s="2" t="str">
        <f>IFERROR(__xludf.DUMMYFUNCTION("""COMPUTED_VALUE"""),"Ironwood Ridge Publishing")</f>
        <v>Ironwood Ridge Publishing</v>
      </c>
      <c r="E1176" s="2">
        <f>IFERROR(__xludf.DUMMYFUNCTION("""COMPUTED_VALUE"""),3.0)</f>
        <v>3</v>
      </c>
      <c r="F1176" s="2"/>
      <c r="G1176" s="2"/>
      <c r="H1176" s="2"/>
      <c r="I1176" s="2"/>
    </row>
    <row r="1177">
      <c r="A1177" s="2">
        <f>IFERROR(__xludf.DUMMYFUNCTION("""COMPUTED_VALUE"""),112803.0)</f>
        <v>112803</v>
      </c>
      <c r="B1177" s="2" t="str">
        <f>IFERROR(__xludf.DUMMYFUNCTION("""COMPUTED_VALUE"""),"Law")</f>
        <v>Law</v>
      </c>
      <c r="C1177" s="2" t="str">
        <f>IFERROR(__xludf.DUMMYFUNCTION("""COMPUTED_VALUE"""),"World War I")</f>
        <v>World War I</v>
      </c>
      <c r="D1177" s="2" t="str">
        <f>IFERROR(__xludf.DUMMYFUNCTION("""COMPUTED_VALUE"""),"Ironwood Ridge Publishing")</f>
        <v>Ironwood Ridge Publishing</v>
      </c>
      <c r="E1177" s="2">
        <f>IFERROR(__xludf.DUMMYFUNCTION("""COMPUTED_VALUE"""),2.29)</f>
        <v>2.29</v>
      </c>
      <c r="F1177" s="2"/>
      <c r="G1177" s="2"/>
      <c r="H1177" s="2"/>
      <c r="I1177" s="2"/>
    </row>
    <row r="1178">
      <c r="A1178" s="2">
        <f>IFERROR(__xludf.DUMMYFUNCTION("""COMPUTED_VALUE"""),83600.0)</f>
        <v>83600</v>
      </c>
      <c r="B1178" s="2" t="str">
        <f>IFERROR(__xludf.DUMMYFUNCTION("""COMPUTED_VALUE"""),"Law")</f>
        <v>Law</v>
      </c>
      <c r="C1178" s="2" t="str">
        <f>IFERROR(__xludf.DUMMYFUNCTION("""COMPUTED_VALUE"""),"World War I")</f>
        <v>World War I</v>
      </c>
      <c r="D1178" s="2" t="str">
        <f>IFERROR(__xludf.DUMMYFUNCTION("""COMPUTED_VALUE"""),"Ironwood Ridge Publishing")</f>
        <v>Ironwood Ridge Publishing</v>
      </c>
      <c r="E1178" s="2">
        <f>IFERROR(__xludf.DUMMYFUNCTION("""COMPUTED_VALUE"""),3.63)</f>
        <v>3.63</v>
      </c>
      <c r="F1178" s="2"/>
      <c r="G1178" s="2"/>
      <c r="H1178" s="2"/>
      <c r="I1178" s="2"/>
    </row>
    <row r="1179">
      <c r="A1179" s="2">
        <f>IFERROR(__xludf.DUMMYFUNCTION("""COMPUTED_VALUE"""),83621.0)</f>
        <v>83621</v>
      </c>
      <c r="B1179" s="2" t="str">
        <f>IFERROR(__xludf.DUMMYFUNCTION("""COMPUTED_VALUE"""),"Law")</f>
        <v>Law</v>
      </c>
      <c r="C1179" s="2" t="str">
        <f>IFERROR(__xludf.DUMMYFUNCTION("""COMPUTED_VALUE"""),"World War I")</f>
        <v>World War I</v>
      </c>
      <c r="D1179" s="2" t="str">
        <f>IFERROR(__xludf.DUMMYFUNCTION("""COMPUTED_VALUE"""),"Ironwood Ridge Publishing")</f>
        <v>Ironwood Ridge Publishing</v>
      </c>
      <c r="E1179" s="2">
        <f>IFERROR(__xludf.DUMMYFUNCTION("""COMPUTED_VALUE"""),2.21)</f>
        <v>2.21</v>
      </c>
      <c r="F1179" s="2"/>
      <c r="G1179" s="2"/>
      <c r="H1179" s="2"/>
      <c r="I1179" s="2"/>
    </row>
    <row r="1180">
      <c r="A1180" s="2">
        <f>IFERROR(__xludf.DUMMYFUNCTION("""COMPUTED_VALUE"""),115599.0)</f>
        <v>115599</v>
      </c>
      <c r="B1180" s="2" t="str">
        <f>IFERROR(__xludf.DUMMYFUNCTION("""COMPUTED_VALUE"""),"Law")</f>
        <v>Law</v>
      </c>
      <c r="C1180" s="2" t="str">
        <f>IFERROR(__xludf.DUMMYFUNCTION("""COMPUTED_VALUE"""),"World War I")</f>
        <v>World War I</v>
      </c>
      <c r="D1180" s="2" t="str">
        <f>IFERROR(__xludf.DUMMYFUNCTION("""COMPUTED_VALUE"""),"Ironwood Ridge Publishing")</f>
        <v>Ironwood Ridge Publishing</v>
      </c>
      <c r="E1180" s="2">
        <f>IFERROR(__xludf.DUMMYFUNCTION("""COMPUTED_VALUE"""),1.88)</f>
        <v>1.88</v>
      </c>
      <c r="F1180" s="2"/>
      <c r="G1180" s="2"/>
      <c r="H1180" s="2"/>
      <c r="I1180" s="2"/>
    </row>
    <row r="1181">
      <c r="A1181" s="2">
        <f>IFERROR(__xludf.DUMMYFUNCTION("""COMPUTED_VALUE"""),83598.0)</f>
        <v>83598</v>
      </c>
      <c r="B1181" s="2" t="str">
        <f>IFERROR(__xludf.DUMMYFUNCTION("""COMPUTED_VALUE"""),"Law")</f>
        <v>Law</v>
      </c>
      <c r="C1181" s="2" t="str">
        <f>IFERROR(__xludf.DUMMYFUNCTION("""COMPUTED_VALUE"""),"World War I")</f>
        <v>World War I</v>
      </c>
      <c r="D1181" s="2" t="str">
        <f>IFERROR(__xludf.DUMMYFUNCTION("""COMPUTED_VALUE"""),"Ironwood Ridge Publishing")</f>
        <v>Ironwood Ridge Publishing</v>
      </c>
      <c r="E1181" s="2">
        <f>IFERROR(__xludf.DUMMYFUNCTION("""COMPUTED_VALUE"""),3.82)</f>
        <v>3.82</v>
      </c>
      <c r="F1181" s="2"/>
      <c r="G1181" s="2"/>
      <c r="H1181" s="2"/>
      <c r="I1181" s="2"/>
    </row>
    <row r="1182">
      <c r="A1182" s="2">
        <f>IFERROR(__xludf.DUMMYFUNCTION("""COMPUTED_VALUE"""),5652.0)</f>
        <v>5652</v>
      </c>
      <c r="B1182" s="2" t="str">
        <f>IFERROR(__xludf.DUMMYFUNCTION("""COMPUTED_VALUE"""),"Law")</f>
        <v>Law</v>
      </c>
      <c r="C1182" s="2" t="str">
        <f>IFERROR(__xludf.DUMMYFUNCTION("""COMPUTED_VALUE"""),"World War I")</f>
        <v>World War I</v>
      </c>
      <c r="D1182" s="2" t="str">
        <f>IFERROR(__xludf.DUMMYFUNCTION("""COMPUTED_VALUE"""),"Ironwood Ridge Publishing")</f>
        <v>Ironwood Ridge Publishing</v>
      </c>
      <c r="E1182" s="2">
        <f>IFERROR(__xludf.DUMMYFUNCTION("""COMPUTED_VALUE"""),1.98)</f>
        <v>1.98</v>
      </c>
      <c r="F1182" s="2"/>
      <c r="G1182" s="2"/>
      <c r="H1182" s="2"/>
      <c r="I1182" s="2"/>
    </row>
    <row r="1183">
      <c r="A1183" s="2">
        <f>IFERROR(__xludf.DUMMYFUNCTION("""COMPUTED_VALUE"""),122661.0)</f>
        <v>122661</v>
      </c>
      <c r="B1183" s="2" t="str">
        <f>IFERROR(__xludf.DUMMYFUNCTION("""COMPUTED_VALUE"""),"Law")</f>
        <v>Law</v>
      </c>
      <c r="C1183" s="2" t="str">
        <f>IFERROR(__xludf.DUMMYFUNCTION("""COMPUTED_VALUE"""),"World War I")</f>
        <v>World War I</v>
      </c>
      <c r="D1183" s="2" t="str">
        <f>IFERROR(__xludf.DUMMYFUNCTION("""COMPUTED_VALUE"""),"Ironwood Ridge Publishing")</f>
        <v>Ironwood Ridge Publishing</v>
      </c>
      <c r="E1183" s="2">
        <f>IFERROR(__xludf.DUMMYFUNCTION("""COMPUTED_VALUE"""),2.65)</f>
        <v>2.65</v>
      </c>
      <c r="F1183" s="2"/>
      <c r="G1183" s="2"/>
      <c r="H1183" s="2"/>
      <c r="I1183" s="2"/>
    </row>
    <row r="1184">
      <c r="A1184" s="2">
        <f>IFERROR(__xludf.DUMMYFUNCTION("""COMPUTED_VALUE"""),116384.0)</f>
        <v>116384</v>
      </c>
      <c r="B1184" s="2" t="str">
        <f>IFERROR(__xludf.DUMMYFUNCTION("""COMPUTED_VALUE"""),"Law")</f>
        <v>Law</v>
      </c>
      <c r="C1184" s="2" t="str">
        <f>IFERROR(__xludf.DUMMYFUNCTION("""COMPUTED_VALUE"""),"World War I")</f>
        <v>World War I</v>
      </c>
      <c r="D1184" s="2" t="str">
        <f>IFERROR(__xludf.DUMMYFUNCTION("""COMPUTED_VALUE"""),"Ironwood Ridge Publishing")</f>
        <v>Ironwood Ridge Publishing</v>
      </c>
      <c r="E1184" s="2">
        <f>IFERROR(__xludf.DUMMYFUNCTION("""COMPUTED_VALUE"""),2.71)</f>
        <v>2.71</v>
      </c>
      <c r="F1184" s="2"/>
      <c r="G1184" s="2"/>
      <c r="H1184" s="2"/>
      <c r="I1184" s="2"/>
    </row>
    <row r="1185">
      <c r="A1185" s="2">
        <f>IFERROR(__xludf.DUMMYFUNCTION("""COMPUTED_VALUE"""),78859.0)</f>
        <v>78859</v>
      </c>
      <c r="B1185" s="2" t="str">
        <f>IFERROR(__xludf.DUMMYFUNCTION("""COMPUTED_VALUE"""),"Law")</f>
        <v>Law</v>
      </c>
      <c r="C1185" s="2" t="str">
        <f>IFERROR(__xludf.DUMMYFUNCTION("""COMPUTED_VALUE"""),"World War I")</f>
        <v>World War I</v>
      </c>
      <c r="D1185" s="2" t="str">
        <f>IFERROR(__xludf.DUMMYFUNCTION("""COMPUTED_VALUE"""),"Ironwood Ridge Publishing")</f>
        <v>Ironwood Ridge Publishing</v>
      </c>
      <c r="E1185" s="2">
        <f>IFERROR(__xludf.DUMMYFUNCTION("""COMPUTED_VALUE"""),1.88)</f>
        <v>1.88</v>
      </c>
      <c r="F1185" s="2"/>
      <c r="G1185" s="2"/>
      <c r="H1185" s="2"/>
      <c r="I1185" s="2"/>
    </row>
    <row r="1186">
      <c r="A1186" s="2">
        <f>IFERROR(__xludf.DUMMYFUNCTION("""COMPUTED_VALUE"""),87096.0)</f>
        <v>87096</v>
      </c>
      <c r="B1186" s="2" t="str">
        <f>IFERROR(__xludf.DUMMYFUNCTION("""COMPUTED_VALUE"""),"Law")</f>
        <v>Law</v>
      </c>
      <c r="C1186" s="2" t="str">
        <f>IFERROR(__xludf.DUMMYFUNCTION("""COMPUTED_VALUE"""),"World War I")</f>
        <v>World War I</v>
      </c>
      <c r="D1186" s="2" t="str">
        <f>IFERROR(__xludf.DUMMYFUNCTION("""COMPUTED_VALUE"""),"Ironwood Ridge Publishing")</f>
        <v>Ironwood Ridge Publishing</v>
      </c>
      <c r="E1186" s="2">
        <f>IFERROR(__xludf.DUMMYFUNCTION("""COMPUTED_VALUE"""),2.09)</f>
        <v>2.09</v>
      </c>
      <c r="F1186" s="2"/>
      <c r="G1186" s="2"/>
      <c r="H1186" s="2"/>
      <c r="I1186" s="2"/>
    </row>
    <row r="1187">
      <c r="A1187" s="2">
        <f>IFERROR(__xludf.DUMMYFUNCTION("""COMPUTED_VALUE"""),87428.0)</f>
        <v>87428</v>
      </c>
      <c r="B1187" s="2" t="str">
        <f>IFERROR(__xludf.DUMMYFUNCTION("""COMPUTED_VALUE"""),"Law")</f>
        <v>Law</v>
      </c>
      <c r="C1187" s="2" t="str">
        <f>IFERROR(__xludf.DUMMYFUNCTION("""COMPUTED_VALUE"""),"World War I")</f>
        <v>World War I</v>
      </c>
      <c r="D1187" s="2" t="str">
        <f>IFERROR(__xludf.DUMMYFUNCTION("""COMPUTED_VALUE"""),"Ironwood Ridge Publishing")</f>
        <v>Ironwood Ridge Publishing</v>
      </c>
      <c r="E1187" s="2">
        <f>IFERROR(__xludf.DUMMYFUNCTION("""COMPUTED_VALUE"""),1.73)</f>
        <v>1.73</v>
      </c>
      <c r="F1187" s="2"/>
      <c r="G1187" s="2"/>
      <c r="H1187" s="2"/>
      <c r="I1187" s="2"/>
    </row>
    <row r="1188">
      <c r="A1188" s="2">
        <f>IFERROR(__xludf.DUMMYFUNCTION("""COMPUTED_VALUE"""),5690.0)</f>
        <v>5690</v>
      </c>
      <c r="B1188" s="2" t="str">
        <f>IFERROR(__xludf.DUMMYFUNCTION("""COMPUTED_VALUE"""),"Law")</f>
        <v>Law</v>
      </c>
      <c r="C1188" s="2" t="str">
        <f>IFERROR(__xludf.DUMMYFUNCTION("""COMPUTED_VALUE"""),"World War I")</f>
        <v>World War I</v>
      </c>
      <c r="D1188" s="2" t="str">
        <f>IFERROR(__xludf.DUMMYFUNCTION("""COMPUTED_VALUE"""),"Ironwood Ridge Publishing")</f>
        <v>Ironwood Ridge Publishing</v>
      </c>
      <c r="E1188" s="2">
        <f>IFERROR(__xludf.DUMMYFUNCTION("""COMPUTED_VALUE"""),2.15)</f>
        <v>2.15</v>
      </c>
      <c r="F1188" s="2"/>
      <c r="G1188" s="2"/>
      <c r="H1188" s="2"/>
      <c r="I1188" s="2"/>
    </row>
    <row r="1189">
      <c r="A1189" s="2">
        <f>IFERROR(__xludf.DUMMYFUNCTION("""COMPUTED_VALUE"""),5663.0)</f>
        <v>5663</v>
      </c>
      <c r="B1189" s="2" t="str">
        <f>IFERROR(__xludf.DUMMYFUNCTION("""COMPUTED_VALUE"""),"Law")</f>
        <v>Law</v>
      </c>
      <c r="C1189" s="2" t="str">
        <f>IFERROR(__xludf.DUMMYFUNCTION("""COMPUTED_VALUE"""),"World War I")</f>
        <v>World War I</v>
      </c>
      <c r="D1189" s="2" t="str">
        <f>IFERROR(__xludf.DUMMYFUNCTION("""COMPUTED_VALUE"""),"Ironwood Ridge Publishing")</f>
        <v>Ironwood Ridge Publishing</v>
      </c>
      <c r="E1189" s="2">
        <f>IFERROR(__xludf.DUMMYFUNCTION("""COMPUTED_VALUE"""),1.67)</f>
        <v>1.67</v>
      </c>
      <c r="F1189" s="2"/>
      <c r="G1189" s="2"/>
      <c r="H1189" s="2"/>
      <c r="I1189" s="2"/>
    </row>
    <row r="1190">
      <c r="A1190" s="2">
        <f>IFERROR(__xludf.DUMMYFUNCTION("""COMPUTED_VALUE"""),5654.0)</f>
        <v>5654</v>
      </c>
      <c r="B1190" s="2" t="str">
        <f>IFERROR(__xludf.DUMMYFUNCTION("""COMPUTED_VALUE"""),"Law")</f>
        <v>Law</v>
      </c>
      <c r="C1190" s="2" t="str">
        <f>IFERROR(__xludf.DUMMYFUNCTION("""COMPUTED_VALUE"""),"World War I")</f>
        <v>World War I</v>
      </c>
      <c r="D1190" s="2" t="str">
        <f>IFERROR(__xludf.DUMMYFUNCTION("""COMPUTED_VALUE"""),"Ironwood Ridge Publishing")</f>
        <v>Ironwood Ridge Publishing</v>
      </c>
      <c r="E1190" s="2">
        <f>IFERROR(__xludf.DUMMYFUNCTION("""COMPUTED_VALUE"""),1.77)</f>
        <v>1.77</v>
      </c>
      <c r="F1190" s="2"/>
      <c r="G1190" s="2"/>
      <c r="H1190" s="2"/>
      <c r="I1190" s="2"/>
    </row>
    <row r="1191">
      <c r="A1191" s="2">
        <f>IFERROR(__xludf.DUMMYFUNCTION("""COMPUTED_VALUE"""),44607.0)</f>
        <v>44607</v>
      </c>
      <c r="B1191" s="2" t="str">
        <f>IFERROR(__xludf.DUMMYFUNCTION("""COMPUTED_VALUE"""),"Law")</f>
        <v>Law</v>
      </c>
      <c r="C1191" s="2" t="str">
        <f>IFERROR(__xludf.DUMMYFUNCTION("""COMPUTED_VALUE"""),"World War I")</f>
        <v>World War I</v>
      </c>
      <c r="D1191" s="2" t="str">
        <f>IFERROR(__xludf.DUMMYFUNCTION("""COMPUTED_VALUE"""),"Ironwood Ridge Publishing")</f>
        <v>Ironwood Ridge Publishing</v>
      </c>
      <c r="E1191" s="2">
        <f>IFERROR(__xludf.DUMMYFUNCTION("""COMPUTED_VALUE"""),1.99)</f>
        <v>1.99</v>
      </c>
      <c r="F1191" s="2"/>
      <c r="G1191" s="2"/>
      <c r="H1191" s="2"/>
      <c r="I1191" s="2"/>
    </row>
    <row r="1192">
      <c r="A1192" s="2">
        <f>IFERROR(__xludf.DUMMYFUNCTION("""COMPUTED_VALUE"""),5662.0)</f>
        <v>5662</v>
      </c>
      <c r="B1192" s="2" t="str">
        <f>IFERROR(__xludf.DUMMYFUNCTION("""COMPUTED_VALUE"""),"Law")</f>
        <v>Law</v>
      </c>
      <c r="C1192" s="2" t="str">
        <f>IFERROR(__xludf.DUMMYFUNCTION("""COMPUTED_VALUE"""),"World War I")</f>
        <v>World War I</v>
      </c>
      <c r="D1192" s="2" t="str">
        <f>IFERROR(__xludf.DUMMYFUNCTION("""COMPUTED_VALUE"""),"Ironwood Ridge Publishing")</f>
        <v>Ironwood Ridge Publishing</v>
      </c>
      <c r="E1192" s="2">
        <f>IFERROR(__xludf.DUMMYFUNCTION("""COMPUTED_VALUE"""),1.89)</f>
        <v>1.89</v>
      </c>
      <c r="F1192" s="2"/>
      <c r="G1192" s="2"/>
      <c r="H1192" s="2"/>
      <c r="I1192" s="2"/>
    </row>
    <row r="1193">
      <c r="A1193" s="2">
        <f>IFERROR(__xludf.DUMMYFUNCTION("""COMPUTED_VALUE"""),87426.0)</f>
        <v>87426</v>
      </c>
      <c r="B1193" s="2" t="str">
        <f>IFERROR(__xludf.DUMMYFUNCTION("""COMPUTED_VALUE"""),"Law")</f>
        <v>Law</v>
      </c>
      <c r="C1193" s="2" t="str">
        <f>IFERROR(__xludf.DUMMYFUNCTION("""COMPUTED_VALUE"""),"World War I")</f>
        <v>World War I</v>
      </c>
      <c r="D1193" s="2" t="str">
        <f>IFERROR(__xludf.DUMMYFUNCTION("""COMPUTED_VALUE"""),"Ironwood Ridge Publishing")</f>
        <v>Ironwood Ridge Publishing</v>
      </c>
      <c r="E1193" s="2">
        <f>IFERROR(__xludf.DUMMYFUNCTION("""COMPUTED_VALUE"""),2.52)</f>
        <v>2.52</v>
      </c>
      <c r="F1193" s="2"/>
      <c r="G1193" s="2"/>
      <c r="H1193" s="2"/>
      <c r="I1193" s="2"/>
    </row>
    <row r="1194">
      <c r="A1194" s="2">
        <f>IFERROR(__xludf.DUMMYFUNCTION("""COMPUTED_VALUE"""),5680.0)</f>
        <v>5680</v>
      </c>
      <c r="B1194" s="2" t="str">
        <f>IFERROR(__xludf.DUMMYFUNCTION("""COMPUTED_VALUE"""),"Law")</f>
        <v>Law</v>
      </c>
      <c r="C1194" s="2" t="str">
        <f>IFERROR(__xludf.DUMMYFUNCTION("""COMPUTED_VALUE"""),"World War I")</f>
        <v>World War I</v>
      </c>
      <c r="D1194" s="2" t="str">
        <f>IFERROR(__xludf.DUMMYFUNCTION("""COMPUTED_VALUE"""),"Ironwood Ridge Publishing")</f>
        <v>Ironwood Ridge Publishing</v>
      </c>
      <c r="E1194" s="2">
        <f>IFERROR(__xludf.DUMMYFUNCTION("""COMPUTED_VALUE"""),1.72)</f>
        <v>1.72</v>
      </c>
      <c r="F1194" s="2"/>
      <c r="G1194" s="2"/>
      <c r="H1194" s="2"/>
      <c r="I1194" s="2"/>
    </row>
    <row r="1195">
      <c r="A1195" s="2">
        <f>IFERROR(__xludf.DUMMYFUNCTION("""COMPUTED_VALUE"""),5661.0)</f>
        <v>5661</v>
      </c>
      <c r="B1195" s="2" t="str">
        <f>IFERROR(__xludf.DUMMYFUNCTION("""COMPUTED_VALUE"""),"Law")</f>
        <v>Law</v>
      </c>
      <c r="C1195" s="2" t="str">
        <f>IFERROR(__xludf.DUMMYFUNCTION("""COMPUTED_VALUE"""),"World War I")</f>
        <v>World War I</v>
      </c>
      <c r="D1195" s="2" t="str">
        <f>IFERROR(__xludf.DUMMYFUNCTION("""COMPUTED_VALUE"""),"Ironwood Ridge Publishing")</f>
        <v>Ironwood Ridge Publishing</v>
      </c>
      <c r="E1195" s="2">
        <f>IFERROR(__xludf.DUMMYFUNCTION("""COMPUTED_VALUE"""),2.37)</f>
        <v>2.37</v>
      </c>
      <c r="F1195" s="2"/>
      <c r="G1195" s="2"/>
      <c r="H1195" s="2"/>
      <c r="I1195" s="2"/>
    </row>
    <row r="1196">
      <c r="A1196" s="2">
        <f>IFERROR(__xludf.DUMMYFUNCTION("""COMPUTED_VALUE"""),83629.0)</f>
        <v>83629</v>
      </c>
      <c r="B1196" s="2" t="str">
        <f>IFERROR(__xludf.DUMMYFUNCTION("""COMPUTED_VALUE"""),"Law")</f>
        <v>Law</v>
      </c>
      <c r="C1196" s="2" t="str">
        <f>IFERROR(__xludf.DUMMYFUNCTION("""COMPUTED_VALUE"""),"World War I")</f>
        <v>World War I</v>
      </c>
      <c r="D1196" s="2" t="str">
        <f>IFERROR(__xludf.DUMMYFUNCTION("""COMPUTED_VALUE"""),"Ironwood Ridge Publishing")</f>
        <v>Ironwood Ridge Publishing</v>
      </c>
      <c r="E1196" s="2">
        <f>IFERROR(__xludf.DUMMYFUNCTION("""COMPUTED_VALUE"""),3.5)</f>
        <v>3.5</v>
      </c>
      <c r="F1196" s="2"/>
      <c r="G1196" s="2"/>
      <c r="H1196" s="2"/>
      <c r="I1196" s="2"/>
    </row>
    <row r="1197">
      <c r="A1197" s="2">
        <f>IFERROR(__xludf.DUMMYFUNCTION("""COMPUTED_VALUE"""),83599.0)</f>
        <v>83599</v>
      </c>
      <c r="B1197" s="2" t="str">
        <f>IFERROR(__xludf.DUMMYFUNCTION("""COMPUTED_VALUE"""),"Law")</f>
        <v>Law</v>
      </c>
      <c r="C1197" s="2" t="str">
        <f>IFERROR(__xludf.DUMMYFUNCTION("""COMPUTED_VALUE"""),"World War I")</f>
        <v>World War I</v>
      </c>
      <c r="D1197" s="2" t="str">
        <f>IFERROR(__xludf.DUMMYFUNCTION("""COMPUTED_VALUE"""),"Ironwood Ridge Publishing")</f>
        <v>Ironwood Ridge Publishing</v>
      </c>
      <c r="E1197" s="2">
        <f>IFERROR(__xludf.DUMMYFUNCTION("""COMPUTED_VALUE"""),3.85)</f>
        <v>3.85</v>
      </c>
      <c r="F1197" s="2"/>
      <c r="G1197" s="2"/>
      <c r="H1197" s="2"/>
      <c r="I1197" s="2"/>
    </row>
    <row r="1198">
      <c r="A1198" s="2">
        <f>IFERROR(__xludf.DUMMYFUNCTION("""COMPUTED_VALUE"""),83625.0)</f>
        <v>83625</v>
      </c>
      <c r="B1198" s="2" t="str">
        <f>IFERROR(__xludf.DUMMYFUNCTION("""COMPUTED_VALUE"""),"Law")</f>
        <v>Law</v>
      </c>
      <c r="C1198" s="2" t="str">
        <f>IFERROR(__xludf.DUMMYFUNCTION("""COMPUTED_VALUE"""),"World War I")</f>
        <v>World War I</v>
      </c>
      <c r="D1198" s="2" t="str">
        <f>IFERROR(__xludf.DUMMYFUNCTION("""COMPUTED_VALUE"""),"Ironwood Ridge Publishing")</f>
        <v>Ironwood Ridge Publishing</v>
      </c>
      <c r="E1198" s="2">
        <f>IFERROR(__xludf.DUMMYFUNCTION("""COMPUTED_VALUE"""),2.41)</f>
        <v>2.41</v>
      </c>
      <c r="F1198" s="2"/>
      <c r="G1198" s="2"/>
      <c r="H1198" s="2"/>
      <c r="I1198" s="2"/>
    </row>
    <row r="1199">
      <c r="A1199" s="2">
        <f>IFERROR(__xludf.DUMMYFUNCTION("""COMPUTED_VALUE"""),87887.0)</f>
        <v>87887</v>
      </c>
      <c r="B1199" s="2" t="str">
        <f>IFERROR(__xludf.DUMMYFUNCTION("""COMPUTED_VALUE"""),"Law")</f>
        <v>Law</v>
      </c>
      <c r="C1199" s="2" t="str">
        <f>IFERROR(__xludf.DUMMYFUNCTION("""COMPUTED_VALUE"""),"World War I")</f>
        <v>World War I</v>
      </c>
      <c r="D1199" s="2" t="str">
        <f>IFERROR(__xludf.DUMMYFUNCTION("""COMPUTED_VALUE"""),"Northfield Books")</f>
        <v>Northfield Books</v>
      </c>
      <c r="E1199" s="2">
        <f>IFERROR(__xludf.DUMMYFUNCTION("""COMPUTED_VALUE"""),1.72)</f>
        <v>1.72</v>
      </c>
      <c r="F1199" s="2"/>
      <c r="G1199" s="2"/>
      <c r="H1199" s="2"/>
      <c r="I1199" s="2"/>
    </row>
    <row r="1200">
      <c r="A1200" s="2">
        <f>IFERROR(__xludf.DUMMYFUNCTION("""COMPUTED_VALUE"""),118923.0)</f>
        <v>118923</v>
      </c>
      <c r="B1200" s="2" t="str">
        <f>IFERROR(__xludf.DUMMYFUNCTION("""COMPUTED_VALUE"""),"Law")</f>
        <v>Law</v>
      </c>
      <c r="C1200" s="2" t="str">
        <f>IFERROR(__xludf.DUMMYFUNCTION("""COMPUTED_VALUE"""),"World War I")</f>
        <v>World War I</v>
      </c>
      <c r="D1200" s="2" t="str">
        <f>IFERROR(__xludf.DUMMYFUNCTION("""COMPUTED_VALUE"""),"Northfield Books")</f>
        <v>Northfield Books</v>
      </c>
      <c r="E1200" s="2">
        <f>IFERROR(__xludf.DUMMYFUNCTION("""COMPUTED_VALUE"""),1.41)</f>
        <v>1.41</v>
      </c>
      <c r="F1200" s="2"/>
      <c r="G1200" s="2"/>
      <c r="H1200" s="2"/>
      <c r="I1200" s="2"/>
    </row>
    <row r="1201">
      <c r="A1201" s="2">
        <f>IFERROR(__xludf.DUMMYFUNCTION("""COMPUTED_VALUE"""),87421.0)</f>
        <v>87421</v>
      </c>
      <c r="B1201" s="2" t="str">
        <f>IFERROR(__xludf.DUMMYFUNCTION("""COMPUTED_VALUE"""),"Law")</f>
        <v>Law</v>
      </c>
      <c r="C1201" s="2" t="str">
        <f>IFERROR(__xludf.DUMMYFUNCTION("""COMPUTED_VALUE"""),"World War I")</f>
        <v>World War I</v>
      </c>
      <c r="D1201" s="2" t="str">
        <f>IFERROR(__xludf.DUMMYFUNCTION("""COMPUTED_VALUE"""),"Northfield Books")</f>
        <v>Northfield Books</v>
      </c>
      <c r="E1201" s="2">
        <f>IFERROR(__xludf.DUMMYFUNCTION("""COMPUTED_VALUE"""),1.92)</f>
        <v>1.92</v>
      </c>
      <c r="F1201" s="2"/>
      <c r="G1201" s="2"/>
      <c r="H1201" s="2"/>
      <c r="I1201" s="2"/>
    </row>
    <row r="1202">
      <c r="A1202" s="2">
        <f>IFERROR(__xludf.DUMMYFUNCTION("""COMPUTED_VALUE"""),117531.0)</f>
        <v>117531</v>
      </c>
      <c r="B1202" s="2" t="str">
        <f>IFERROR(__xludf.DUMMYFUNCTION("""COMPUTED_VALUE"""),"Law")</f>
        <v>Law</v>
      </c>
      <c r="C1202" s="2" t="str">
        <f>IFERROR(__xludf.DUMMYFUNCTION("""COMPUTED_VALUE"""),"World War I")</f>
        <v>World War I</v>
      </c>
      <c r="D1202" s="2" t="str">
        <f>IFERROR(__xludf.DUMMYFUNCTION("""COMPUTED_VALUE"""),"Northfield Books")</f>
        <v>Northfield Books</v>
      </c>
      <c r="E1202" s="2">
        <f>IFERROR(__xludf.DUMMYFUNCTION("""COMPUTED_VALUE"""),1.53)</f>
        <v>1.53</v>
      </c>
      <c r="F1202" s="2"/>
      <c r="G1202" s="2"/>
      <c r="H1202" s="2"/>
      <c r="I1202" s="2"/>
    </row>
    <row r="1203">
      <c r="A1203" s="2">
        <f>IFERROR(__xludf.DUMMYFUNCTION("""COMPUTED_VALUE"""),122267.0)</f>
        <v>122267</v>
      </c>
      <c r="B1203" s="2" t="str">
        <f>IFERROR(__xludf.DUMMYFUNCTION("""COMPUTED_VALUE"""),"Law")</f>
        <v>Law</v>
      </c>
      <c r="C1203" s="2" t="str">
        <f>IFERROR(__xludf.DUMMYFUNCTION("""COMPUTED_VALUE"""),"World War I")</f>
        <v>World War I</v>
      </c>
      <c r="D1203" s="2" t="str">
        <f>IFERROR(__xludf.DUMMYFUNCTION("""COMPUTED_VALUE"""),"Northfield Books")</f>
        <v>Northfield Books</v>
      </c>
      <c r="E1203" s="2">
        <f>IFERROR(__xludf.DUMMYFUNCTION("""COMPUTED_VALUE"""),2.35)</f>
        <v>2.35</v>
      </c>
      <c r="F1203" s="2"/>
      <c r="G1203" s="2"/>
      <c r="H1203" s="2"/>
      <c r="I1203" s="2"/>
    </row>
    <row r="1204">
      <c r="A1204" s="2">
        <f>IFERROR(__xludf.DUMMYFUNCTION("""COMPUTED_VALUE"""),117527.0)</f>
        <v>117527</v>
      </c>
      <c r="B1204" s="2" t="str">
        <f>IFERROR(__xludf.DUMMYFUNCTION("""COMPUTED_VALUE"""),"Law")</f>
        <v>Law</v>
      </c>
      <c r="C1204" s="2" t="str">
        <f>IFERROR(__xludf.DUMMYFUNCTION("""COMPUTED_VALUE"""),"World War I")</f>
        <v>World War I</v>
      </c>
      <c r="D1204" s="2" t="str">
        <f>IFERROR(__xludf.DUMMYFUNCTION("""COMPUTED_VALUE"""),"Northfield Books")</f>
        <v>Northfield Books</v>
      </c>
      <c r="E1204" s="2">
        <f>IFERROR(__xludf.DUMMYFUNCTION("""COMPUTED_VALUE"""),1.72)</f>
        <v>1.72</v>
      </c>
      <c r="F1204" s="2"/>
      <c r="G1204" s="2"/>
      <c r="H1204" s="2"/>
      <c r="I1204" s="2"/>
    </row>
    <row r="1205">
      <c r="A1205" s="2">
        <f>IFERROR(__xludf.DUMMYFUNCTION("""COMPUTED_VALUE"""),44138.0)</f>
        <v>44138</v>
      </c>
      <c r="B1205" s="2" t="str">
        <f>IFERROR(__xludf.DUMMYFUNCTION("""COMPUTED_VALUE"""),"Law")</f>
        <v>Law</v>
      </c>
      <c r="C1205" s="2" t="str">
        <f>IFERROR(__xludf.DUMMYFUNCTION("""COMPUTED_VALUE"""),"World War I")</f>
        <v>World War I</v>
      </c>
      <c r="D1205" s="2" t="str">
        <f>IFERROR(__xludf.DUMMYFUNCTION("""COMPUTED_VALUE"""),"Northfield Books")</f>
        <v>Northfield Books</v>
      </c>
      <c r="E1205" s="2">
        <f>IFERROR(__xludf.DUMMYFUNCTION("""COMPUTED_VALUE"""),1.82)</f>
        <v>1.82</v>
      </c>
      <c r="F1205" s="2"/>
      <c r="G1205" s="2"/>
      <c r="H1205" s="2"/>
      <c r="I1205" s="2"/>
    </row>
    <row r="1206">
      <c r="A1206" s="2">
        <f>IFERROR(__xludf.DUMMYFUNCTION("""COMPUTED_VALUE"""),117529.0)</f>
        <v>117529</v>
      </c>
      <c r="B1206" s="2" t="str">
        <f>IFERROR(__xludf.DUMMYFUNCTION("""COMPUTED_VALUE"""),"Law")</f>
        <v>Law</v>
      </c>
      <c r="C1206" s="2" t="str">
        <f>IFERROR(__xludf.DUMMYFUNCTION("""COMPUTED_VALUE"""),"World War I")</f>
        <v>World War I</v>
      </c>
      <c r="D1206" s="2" t="str">
        <f>IFERROR(__xludf.DUMMYFUNCTION("""COMPUTED_VALUE"""),"Northfield Books")</f>
        <v>Northfield Books</v>
      </c>
      <c r="E1206" s="2">
        <f>IFERROR(__xludf.DUMMYFUNCTION("""COMPUTED_VALUE"""),1.6)</f>
        <v>1.6</v>
      </c>
      <c r="F1206" s="2"/>
      <c r="G1206" s="2"/>
      <c r="H1206" s="2"/>
      <c r="I1206" s="2"/>
    </row>
    <row r="1207">
      <c r="A1207" s="2">
        <f>IFERROR(__xludf.DUMMYFUNCTION("""COMPUTED_VALUE"""),122269.0)</f>
        <v>122269</v>
      </c>
      <c r="B1207" s="2" t="str">
        <f>IFERROR(__xludf.DUMMYFUNCTION("""COMPUTED_VALUE"""),"Law")</f>
        <v>Law</v>
      </c>
      <c r="C1207" s="2" t="str">
        <f>IFERROR(__xludf.DUMMYFUNCTION("""COMPUTED_VALUE"""),"World War I")</f>
        <v>World War I</v>
      </c>
      <c r="D1207" s="2" t="str">
        <f>IFERROR(__xludf.DUMMYFUNCTION("""COMPUTED_VALUE"""),"Northfield Books")</f>
        <v>Northfield Books</v>
      </c>
      <c r="E1207" s="2">
        <f>IFERROR(__xludf.DUMMYFUNCTION("""COMPUTED_VALUE"""),1.89)</f>
        <v>1.89</v>
      </c>
      <c r="F1207" s="2"/>
      <c r="G1207" s="2"/>
      <c r="H1207" s="2"/>
      <c r="I1207" s="2"/>
    </row>
    <row r="1208">
      <c r="A1208" s="2">
        <f>IFERROR(__xludf.DUMMYFUNCTION("""COMPUTED_VALUE"""),87886.0)</f>
        <v>87886</v>
      </c>
      <c r="B1208" s="2" t="str">
        <f>IFERROR(__xludf.DUMMYFUNCTION("""COMPUTED_VALUE"""),"Law")</f>
        <v>Law</v>
      </c>
      <c r="C1208" s="2" t="str">
        <f>IFERROR(__xludf.DUMMYFUNCTION("""COMPUTED_VALUE"""),"World War I")</f>
        <v>World War I</v>
      </c>
      <c r="D1208" s="2" t="str">
        <f>IFERROR(__xludf.DUMMYFUNCTION("""COMPUTED_VALUE"""),"Northfield Books")</f>
        <v>Northfield Books</v>
      </c>
      <c r="E1208" s="2">
        <f>IFERROR(__xludf.DUMMYFUNCTION("""COMPUTED_VALUE"""),1.72)</f>
        <v>1.72</v>
      </c>
      <c r="F1208" s="2"/>
      <c r="G1208" s="2"/>
      <c r="H1208" s="2"/>
      <c r="I1208" s="2"/>
    </row>
    <row r="1209">
      <c r="A1209" s="2">
        <f>IFERROR(__xludf.DUMMYFUNCTION("""COMPUTED_VALUE"""),104317.0)</f>
        <v>104317</v>
      </c>
      <c r="B1209" s="2" t="str">
        <f>IFERROR(__xludf.DUMMYFUNCTION("""COMPUTED_VALUE"""),"Law")</f>
        <v>Law</v>
      </c>
      <c r="C1209" s="2" t="str">
        <f>IFERROR(__xludf.DUMMYFUNCTION("""COMPUTED_VALUE"""),"World War I")</f>
        <v>World War I</v>
      </c>
      <c r="D1209" s="2" t="str">
        <f>IFERROR(__xludf.DUMMYFUNCTION("""COMPUTED_VALUE"""),"Northfield Books")</f>
        <v>Northfield Books</v>
      </c>
      <c r="E1209" s="2">
        <f>IFERROR(__xludf.DUMMYFUNCTION("""COMPUTED_VALUE"""),2.12)</f>
        <v>2.12</v>
      </c>
      <c r="F1209" s="2"/>
      <c r="G1209" s="2"/>
      <c r="H1209" s="2"/>
      <c r="I1209" s="2"/>
    </row>
    <row r="1210">
      <c r="A1210" s="2">
        <f>IFERROR(__xludf.DUMMYFUNCTION("""COMPUTED_VALUE"""),114943.0)</f>
        <v>114943</v>
      </c>
      <c r="B1210" s="2" t="str">
        <f>IFERROR(__xludf.DUMMYFUNCTION("""COMPUTED_VALUE"""),"Law")</f>
        <v>Law</v>
      </c>
      <c r="C1210" s="2" t="str">
        <f>IFERROR(__xludf.DUMMYFUNCTION("""COMPUTED_VALUE"""),"World War I")</f>
        <v>World War I</v>
      </c>
      <c r="D1210" s="2" t="str">
        <f>IFERROR(__xludf.DUMMYFUNCTION("""COMPUTED_VALUE"""),"Northfield Books")</f>
        <v>Northfield Books</v>
      </c>
      <c r="E1210" s="2">
        <f>IFERROR(__xludf.DUMMYFUNCTION("""COMPUTED_VALUE"""),2.56)</f>
        <v>2.56</v>
      </c>
      <c r="F1210" s="2"/>
      <c r="G1210" s="2"/>
      <c r="H1210" s="2"/>
      <c r="I1210" s="2"/>
    </row>
    <row r="1211">
      <c r="A1211" s="2">
        <f>IFERROR(__xludf.DUMMYFUNCTION("""COMPUTED_VALUE"""),44134.0)</f>
        <v>44134</v>
      </c>
      <c r="B1211" s="2" t="str">
        <f>IFERROR(__xludf.DUMMYFUNCTION("""COMPUTED_VALUE"""),"Law")</f>
        <v>Law</v>
      </c>
      <c r="C1211" s="2" t="str">
        <f>IFERROR(__xludf.DUMMYFUNCTION("""COMPUTED_VALUE"""),"World War I")</f>
        <v>World War I</v>
      </c>
      <c r="D1211" s="2" t="str">
        <f>IFERROR(__xludf.DUMMYFUNCTION("""COMPUTED_VALUE"""),"Northfield Books")</f>
        <v>Northfield Books</v>
      </c>
      <c r="E1211" s="2">
        <f>IFERROR(__xludf.DUMMYFUNCTION("""COMPUTED_VALUE"""),2.1)</f>
        <v>2.1</v>
      </c>
      <c r="F1211" s="2"/>
      <c r="G1211" s="2"/>
      <c r="H1211" s="2"/>
      <c r="I1211" s="2"/>
    </row>
    <row r="1212">
      <c r="A1212" s="2">
        <f>IFERROR(__xludf.DUMMYFUNCTION("""COMPUTED_VALUE"""),5637.0)</f>
        <v>5637</v>
      </c>
      <c r="B1212" s="2" t="str">
        <f>IFERROR(__xludf.DUMMYFUNCTION("""COMPUTED_VALUE"""),"Law")</f>
        <v>Law</v>
      </c>
      <c r="C1212" s="2" t="str">
        <f>IFERROR(__xludf.DUMMYFUNCTION("""COMPUTED_VALUE"""),"World War I")</f>
        <v>World War I</v>
      </c>
      <c r="D1212" s="2" t="str">
        <f>IFERROR(__xludf.DUMMYFUNCTION("""COMPUTED_VALUE"""),"Cedar Grove Press")</f>
        <v>Cedar Grove Press</v>
      </c>
      <c r="E1212" s="2">
        <f>IFERROR(__xludf.DUMMYFUNCTION("""COMPUTED_VALUE"""),1.36)</f>
        <v>1.36</v>
      </c>
      <c r="F1212" s="2"/>
      <c r="G1212" s="2"/>
      <c r="H1212" s="2"/>
      <c r="I1212" s="2"/>
    </row>
    <row r="1213">
      <c r="A1213" s="2">
        <f>IFERROR(__xludf.DUMMYFUNCTION("""COMPUTED_VALUE"""),5641.0)</f>
        <v>5641</v>
      </c>
      <c r="B1213" s="2" t="str">
        <f>IFERROR(__xludf.DUMMYFUNCTION("""COMPUTED_VALUE"""),"Law")</f>
        <v>Law</v>
      </c>
      <c r="C1213" s="2" t="str">
        <f>IFERROR(__xludf.DUMMYFUNCTION("""COMPUTED_VALUE"""),"World War I")</f>
        <v>World War I</v>
      </c>
      <c r="D1213" s="2" t="str">
        <f>IFERROR(__xludf.DUMMYFUNCTION("""COMPUTED_VALUE"""),"Cedar Grove Press")</f>
        <v>Cedar Grove Press</v>
      </c>
      <c r="E1213" s="2">
        <f>IFERROR(__xludf.DUMMYFUNCTION("""COMPUTED_VALUE"""),1.1)</f>
        <v>1.1</v>
      </c>
      <c r="F1213" s="2"/>
      <c r="G1213" s="2"/>
      <c r="H1213" s="2"/>
      <c r="I1213" s="2"/>
    </row>
    <row r="1214">
      <c r="A1214" s="2">
        <f>IFERROR(__xludf.DUMMYFUNCTION("""COMPUTED_VALUE"""),147323.0)</f>
        <v>147323</v>
      </c>
      <c r="B1214" s="2" t="str">
        <f>IFERROR(__xludf.DUMMYFUNCTION("""COMPUTED_VALUE"""),"Law")</f>
        <v>Law</v>
      </c>
      <c r="C1214" s="2" t="str">
        <f>IFERROR(__xludf.DUMMYFUNCTION("""COMPUTED_VALUE"""),"World War I")</f>
        <v>World War I</v>
      </c>
      <c r="D1214" s="2" t="str">
        <f>IFERROR(__xludf.DUMMYFUNCTION("""COMPUTED_VALUE"""),"Cedar Grove Press")</f>
        <v>Cedar Grove Press</v>
      </c>
      <c r="E1214" s="2">
        <f>IFERROR(__xludf.DUMMYFUNCTION("""COMPUTED_VALUE"""),1.5)</f>
        <v>1.5</v>
      </c>
      <c r="F1214" s="2"/>
      <c r="G1214" s="2"/>
      <c r="H1214" s="2"/>
      <c r="I1214" s="2"/>
    </row>
    <row r="1215">
      <c r="A1215" s="2">
        <f>IFERROR(__xludf.DUMMYFUNCTION("""COMPUTED_VALUE"""),44118.0)</f>
        <v>44118</v>
      </c>
      <c r="B1215" s="2" t="str">
        <f>IFERROR(__xludf.DUMMYFUNCTION("""COMPUTED_VALUE"""),"Law")</f>
        <v>Law</v>
      </c>
      <c r="C1215" s="2" t="str">
        <f>IFERROR(__xludf.DUMMYFUNCTION("""COMPUTED_VALUE"""),"World War I")</f>
        <v>World War I</v>
      </c>
      <c r="D1215" s="2" t="str">
        <f>IFERROR(__xludf.DUMMYFUNCTION("""COMPUTED_VALUE"""),"Cedar Grove Press")</f>
        <v>Cedar Grove Press</v>
      </c>
      <c r="E1215" s="2">
        <f>IFERROR(__xludf.DUMMYFUNCTION("""COMPUTED_VALUE"""),1.11)</f>
        <v>1.11</v>
      </c>
      <c r="F1215" s="2"/>
      <c r="G1215" s="2"/>
      <c r="H1215" s="2"/>
      <c r="I1215" s="2"/>
    </row>
    <row r="1216">
      <c r="A1216" s="2">
        <f>IFERROR(__xludf.DUMMYFUNCTION("""COMPUTED_VALUE"""),115608.0)</f>
        <v>115608</v>
      </c>
      <c r="B1216" s="2" t="str">
        <f>IFERROR(__xludf.DUMMYFUNCTION("""COMPUTED_VALUE"""),"Law")</f>
        <v>Law</v>
      </c>
      <c r="C1216" s="2" t="str">
        <f>IFERROR(__xludf.DUMMYFUNCTION("""COMPUTED_VALUE"""),"World War I")</f>
        <v>World War I</v>
      </c>
      <c r="D1216" s="2" t="str">
        <f>IFERROR(__xludf.DUMMYFUNCTION("""COMPUTED_VALUE"""),"Cedar Grove Press")</f>
        <v>Cedar Grove Press</v>
      </c>
      <c r="E1216" s="2">
        <f>IFERROR(__xludf.DUMMYFUNCTION("""COMPUTED_VALUE"""),1.57)</f>
        <v>1.57</v>
      </c>
      <c r="F1216" s="2"/>
      <c r="G1216" s="2"/>
      <c r="H1216" s="2"/>
      <c r="I1216" s="2"/>
    </row>
    <row r="1217">
      <c r="A1217" s="2">
        <f>IFERROR(__xludf.DUMMYFUNCTION("""COMPUTED_VALUE"""),44127.0)</f>
        <v>44127</v>
      </c>
      <c r="B1217" s="2" t="str">
        <f>IFERROR(__xludf.DUMMYFUNCTION("""COMPUTED_VALUE"""),"Law")</f>
        <v>Law</v>
      </c>
      <c r="C1217" s="2" t="str">
        <f>IFERROR(__xludf.DUMMYFUNCTION("""COMPUTED_VALUE"""),"World War I")</f>
        <v>World War I</v>
      </c>
      <c r="D1217" s="2" t="str">
        <f>IFERROR(__xludf.DUMMYFUNCTION("""COMPUTED_VALUE"""),"Cedar Grove Press")</f>
        <v>Cedar Grove Press</v>
      </c>
      <c r="E1217" s="2">
        <f>IFERROR(__xludf.DUMMYFUNCTION("""COMPUTED_VALUE"""),1.49)</f>
        <v>1.49</v>
      </c>
      <c r="F1217" s="2"/>
      <c r="G1217" s="2"/>
      <c r="H1217" s="2"/>
      <c r="I1217" s="2"/>
    </row>
    <row r="1218">
      <c r="A1218" s="2">
        <f>IFERROR(__xludf.DUMMYFUNCTION("""COMPUTED_VALUE"""),122348.0)</f>
        <v>122348</v>
      </c>
      <c r="B1218" s="2" t="str">
        <f>IFERROR(__xludf.DUMMYFUNCTION("""COMPUTED_VALUE"""),"Law")</f>
        <v>Law</v>
      </c>
      <c r="C1218" s="2" t="str">
        <f>IFERROR(__xludf.DUMMYFUNCTION("""COMPUTED_VALUE"""),"World War I")</f>
        <v>World War I</v>
      </c>
      <c r="D1218" s="2" t="str">
        <f>IFERROR(__xludf.DUMMYFUNCTION("""COMPUTED_VALUE"""),"Cedar Grove Press")</f>
        <v>Cedar Grove Press</v>
      </c>
      <c r="E1218" s="2">
        <f>IFERROR(__xludf.DUMMYFUNCTION("""COMPUTED_VALUE"""),1.09)</f>
        <v>1.09</v>
      </c>
      <c r="F1218" s="2"/>
      <c r="G1218" s="2"/>
      <c r="H1218" s="2"/>
      <c r="I1218" s="2"/>
    </row>
    <row r="1219">
      <c r="A1219" s="2">
        <f>IFERROR(__xludf.DUMMYFUNCTION("""COMPUTED_VALUE"""),147304.0)</f>
        <v>147304</v>
      </c>
      <c r="B1219" s="2" t="str">
        <f>IFERROR(__xludf.DUMMYFUNCTION("""COMPUTED_VALUE"""),"Law")</f>
        <v>Law</v>
      </c>
      <c r="C1219" s="2" t="str">
        <f>IFERROR(__xludf.DUMMYFUNCTION("""COMPUTED_VALUE"""),"World War I")</f>
        <v>World War I</v>
      </c>
      <c r="D1219" s="2" t="str">
        <f>IFERROR(__xludf.DUMMYFUNCTION("""COMPUTED_VALUE"""),"Cedar Grove Press")</f>
        <v>Cedar Grove Press</v>
      </c>
      <c r="E1219" s="2">
        <f>IFERROR(__xludf.DUMMYFUNCTION("""COMPUTED_VALUE"""),0.73)</f>
        <v>0.73</v>
      </c>
      <c r="F1219" s="2"/>
      <c r="G1219" s="2"/>
      <c r="H1219" s="2"/>
      <c r="I1219" s="2"/>
    </row>
    <row r="1220">
      <c r="A1220" s="2">
        <f>IFERROR(__xludf.DUMMYFUNCTION("""COMPUTED_VALUE"""),118310.0)</f>
        <v>118310</v>
      </c>
      <c r="B1220" s="2" t="str">
        <f>IFERROR(__xludf.DUMMYFUNCTION("""COMPUTED_VALUE"""),"Law")</f>
        <v>Law</v>
      </c>
      <c r="C1220" s="2" t="str">
        <f>IFERROR(__xludf.DUMMYFUNCTION("""COMPUTED_VALUE"""),"World War I")</f>
        <v>World War I</v>
      </c>
      <c r="D1220" s="2" t="str">
        <f>IFERROR(__xludf.DUMMYFUNCTION("""COMPUTED_VALUE"""),"Cedar Grove Press")</f>
        <v>Cedar Grove Press</v>
      </c>
      <c r="E1220" s="2">
        <f>IFERROR(__xludf.DUMMYFUNCTION("""COMPUTED_VALUE"""),0.95)</f>
        <v>0.95</v>
      </c>
      <c r="F1220" s="2"/>
      <c r="G1220" s="2"/>
      <c r="H1220" s="2"/>
      <c r="I1220" s="2"/>
    </row>
    <row r="1221">
      <c r="A1221" s="2">
        <f>IFERROR(__xludf.DUMMYFUNCTION("""COMPUTED_VALUE"""),77175.0)</f>
        <v>77175</v>
      </c>
      <c r="B1221" s="2" t="str">
        <f>IFERROR(__xludf.DUMMYFUNCTION("""COMPUTED_VALUE"""),"Law")</f>
        <v>Law</v>
      </c>
      <c r="C1221" s="2" t="str">
        <f>IFERROR(__xludf.DUMMYFUNCTION("""COMPUTED_VALUE"""),"World War I")</f>
        <v>World War I</v>
      </c>
      <c r="D1221" s="2" t="str">
        <f>IFERROR(__xludf.DUMMYFUNCTION("""COMPUTED_VALUE"""),"Cedar Grove Press")</f>
        <v>Cedar Grove Press</v>
      </c>
      <c r="E1221" s="2">
        <f>IFERROR(__xludf.DUMMYFUNCTION("""COMPUTED_VALUE"""),0.63)</f>
        <v>0.63</v>
      </c>
      <c r="F1221" s="2"/>
      <c r="G1221" s="2"/>
      <c r="H1221" s="2"/>
      <c r="I1221" s="2"/>
    </row>
    <row r="1222">
      <c r="A1222" s="2">
        <f>IFERROR(__xludf.DUMMYFUNCTION("""COMPUTED_VALUE"""),5645.0)</f>
        <v>5645</v>
      </c>
      <c r="B1222" s="2" t="str">
        <f>IFERROR(__xludf.DUMMYFUNCTION("""COMPUTED_VALUE"""),"Law")</f>
        <v>Law</v>
      </c>
      <c r="C1222" s="2" t="str">
        <f>IFERROR(__xludf.DUMMYFUNCTION("""COMPUTED_VALUE"""),"World War I")</f>
        <v>World War I</v>
      </c>
      <c r="D1222" s="2" t="str">
        <f>IFERROR(__xludf.DUMMYFUNCTION("""COMPUTED_VALUE"""),"Cedar Grove Press")</f>
        <v>Cedar Grove Press</v>
      </c>
      <c r="E1222" s="2">
        <f>IFERROR(__xludf.DUMMYFUNCTION("""COMPUTED_VALUE"""),0.99)</f>
        <v>0.99</v>
      </c>
      <c r="F1222" s="2"/>
      <c r="G1222" s="2"/>
      <c r="H1222" s="2"/>
      <c r="I1222" s="2"/>
    </row>
    <row r="1223">
      <c r="A1223" s="2">
        <f>IFERROR(__xludf.DUMMYFUNCTION("""COMPUTED_VALUE"""),76679.0)</f>
        <v>76679</v>
      </c>
      <c r="B1223" s="2" t="str">
        <f>IFERROR(__xludf.DUMMYFUNCTION("""COMPUTED_VALUE"""),"Law")</f>
        <v>Law</v>
      </c>
      <c r="C1223" s="2" t="str">
        <f>IFERROR(__xludf.DUMMYFUNCTION("""COMPUTED_VALUE"""),"World War I")</f>
        <v>World War I</v>
      </c>
      <c r="D1223" s="2" t="str">
        <f>IFERROR(__xludf.DUMMYFUNCTION("""COMPUTED_VALUE"""),"Cedar Grove Press")</f>
        <v>Cedar Grove Press</v>
      </c>
      <c r="E1223" s="2">
        <f>IFERROR(__xludf.DUMMYFUNCTION("""COMPUTED_VALUE"""),0.98)</f>
        <v>0.98</v>
      </c>
      <c r="F1223" s="2"/>
      <c r="G1223" s="2"/>
      <c r="H1223" s="2"/>
      <c r="I1223" s="2"/>
    </row>
    <row r="1224">
      <c r="A1224" s="2">
        <f>IFERROR(__xludf.DUMMYFUNCTION("""COMPUTED_VALUE"""),5635.0)</f>
        <v>5635</v>
      </c>
      <c r="B1224" s="2" t="str">
        <f>IFERROR(__xludf.DUMMYFUNCTION("""COMPUTED_VALUE"""),"Law")</f>
        <v>Law</v>
      </c>
      <c r="C1224" s="2" t="str">
        <f>IFERROR(__xludf.DUMMYFUNCTION("""COMPUTED_VALUE"""),"World War I")</f>
        <v>World War I</v>
      </c>
      <c r="D1224" s="2" t="str">
        <f>IFERROR(__xludf.DUMMYFUNCTION("""COMPUTED_VALUE"""),"Cedar Grove Press")</f>
        <v>Cedar Grove Press</v>
      </c>
      <c r="E1224" s="2">
        <f>IFERROR(__xludf.DUMMYFUNCTION("""COMPUTED_VALUE"""),1.17)</f>
        <v>1.17</v>
      </c>
      <c r="F1224" s="2"/>
      <c r="G1224" s="2"/>
      <c r="H1224" s="2"/>
      <c r="I1224" s="2"/>
    </row>
    <row r="1225">
      <c r="A1225" s="2">
        <f>IFERROR(__xludf.DUMMYFUNCTION("""COMPUTED_VALUE"""),110960.0)</f>
        <v>110960</v>
      </c>
      <c r="B1225" s="2" t="str">
        <f>IFERROR(__xludf.DUMMYFUNCTION("""COMPUTED_VALUE"""),"Law")</f>
        <v>Law</v>
      </c>
      <c r="C1225" s="2" t="str">
        <f>IFERROR(__xludf.DUMMYFUNCTION("""COMPUTED_VALUE"""),"World War I")</f>
        <v>World War I</v>
      </c>
      <c r="D1225" s="2" t="str">
        <f>IFERROR(__xludf.DUMMYFUNCTION("""COMPUTED_VALUE"""),"Cedar Grove Press")</f>
        <v>Cedar Grove Press</v>
      </c>
      <c r="E1225" s="2">
        <f>IFERROR(__xludf.DUMMYFUNCTION("""COMPUTED_VALUE"""),0.75)</f>
        <v>0.75</v>
      </c>
      <c r="F1225" s="2"/>
      <c r="G1225" s="2"/>
      <c r="H1225" s="2"/>
      <c r="I1225" s="2"/>
    </row>
    <row r="1226">
      <c r="A1226" s="2">
        <f>IFERROR(__xludf.DUMMYFUNCTION("""COMPUTED_VALUE"""),108290.0)</f>
        <v>108290</v>
      </c>
      <c r="B1226" s="2" t="str">
        <f>IFERROR(__xludf.DUMMYFUNCTION("""COMPUTED_VALUE"""),"Law")</f>
        <v>Law</v>
      </c>
      <c r="C1226" s="2" t="str">
        <f>IFERROR(__xludf.DUMMYFUNCTION("""COMPUTED_VALUE"""),"World War I")</f>
        <v>World War I</v>
      </c>
      <c r="D1226" s="2" t="str">
        <f>IFERROR(__xludf.DUMMYFUNCTION("""COMPUTED_VALUE"""),"Cedar Grove Press")</f>
        <v>Cedar Grove Press</v>
      </c>
      <c r="E1226" s="2">
        <f>IFERROR(__xludf.DUMMYFUNCTION("""COMPUTED_VALUE"""),9.91)</f>
        <v>9.91</v>
      </c>
      <c r="F1226" s="2"/>
      <c r="G1226" s="2"/>
      <c r="H1226" s="2"/>
      <c r="I1226" s="2"/>
    </row>
    <row r="1227">
      <c r="A1227" s="2">
        <f>IFERROR(__xludf.DUMMYFUNCTION("""COMPUTED_VALUE"""),117680.0)</f>
        <v>117680</v>
      </c>
      <c r="B1227" s="2" t="str">
        <f>IFERROR(__xludf.DUMMYFUNCTION("""COMPUTED_VALUE"""),"Law")</f>
        <v>Law</v>
      </c>
      <c r="C1227" s="2" t="str">
        <f>IFERROR(__xludf.DUMMYFUNCTION("""COMPUTED_VALUE"""),"World War I")</f>
        <v>World War I</v>
      </c>
      <c r="D1227" s="2" t="str">
        <f>IFERROR(__xludf.DUMMYFUNCTION("""COMPUTED_VALUE"""),"Cedar Grove Press")</f>
        <v>Cedar Grove Press</v>
      </c>
      <c r="E1227" s="2">
        <f>IFERROR(__xludf.DUMMYFUNCTION("""COMPUTED_VALUE"""),9.6)</f>
        <v>9.6</v>
      </c>
      <c r="F1227" s="2"/>
      <c r="G1227" s="2"/>
      <c r="H1227" s="2"/>
      <c r="I1227" s="2"/>
    </row>
    <row r="1228">
      <c r="A1228" s="2">
        <f>IFERROR(__xludf.DUMMYFUNCTION("""COMPUTED_VALUE"""),77183.0)</f>
        <v>77183</v>
      </c>
      <c r="B1228" s="2" t="str">
        <f>IFERROR(__xludf.DUMMYFUNCTION("""COMPUTED_VALUE"""),"Law")</f>
        <v>Law</v>
      </c>
      <c r="C1228" s="2" t="str">
        <f>IFERROR(__xludf.DUMMYFUNCTION("""COMPUTED_VALUE"""),"World War I")</f>
        <v>World War I</v>
      </c>
      <c r="D1228" s="2" t="str">
        <f>IFERROR(__xludf.DUMMYFUNCTION("""COMPUTED_VALUE"""),"Cedar Grove Press")</f>
        <v>Cedar Grove Press</v>
      </c>
      <c r="E1228" s="2">
        <f>IFERROR(__xludf.DUMMYFUNCTION("""COMPUTED_VALUE"""),0.84)</f>
        <v>0.84</v>
      </c>
      <c r="F1228" s="2"/>
      <c r="G1228" s="2"/>
      <c r="H1228" s="2"/>
      <c r="I1228" s="2"/>
    </row>
    <row r="1229">
      <c r="A1229" s="2">
        <f>IFERROR(__xludf.DUMMYFUNCTION("""COMPUTED_VALUE"""),147322.0)</f>
        <v>147322</v>
      </c>
      <c r="B1229" s="2" t="str">
        <f>IFERROR(__xludf.DUMMYFUNCTION("""COMPUTED_VALUE"""),"Law")</f>
        <v>Law</v>
      </c>
      <c r="C1229" s="2" t="str">
        <f>IFERROR(__xludf.DUMMYFUNCTION("""COMPUTED_VALUE"""),"World War I")</f>
        <v>World War I</v>
      </c>
      <c r="D1229" s="2" t="str">
        <f>IFERROR(__xludf.DUMMYFUNCTION("""COMPUTED_VALUE"""),"Cedar Grove Press")</f>
        <v>Cedar Grove Press</v>
      </c>
      <c r="E1229" s="2">
        <f>IFERROR(__xludf.DUMMYFUNCTION("""COMPUTED_VALUE"""),1.63)</f>
        <v>1.63</v>
      </c>
      <c r="F1229" s="2"/>
      <c r="G1229" s="2"/>
      <c r="H1229" s="2"/>
      <c r="I1229" s="2"/>
    </row>
    <row r="1230">
      <c r="A1230" s="2">
        <f>IFERROR(__xludf.DUMMYFUNCTION("""COMPUTED_VALUE"""),44120.0)</f>
        <v>44120</v>
      </c>
      <c r="B1230" s="2" t="str">
        <f>IFERROR(__xludf.DUMMYFUNCTION("""COMPUTED_VALUE"""),"Law")</f>
        <v>Law</v>
      </c>
      <c r="C1230" s="2" t="str">
        <f>IFERROR(__xludf.DUMMYFUNCTION("""COMPUTED_VALUE"""),"World War I")</f>
        <v>World War I</v>
      </c>
      <c r="D1230" s="2" t="str">
        <f>IFERROR(__xludf.DUMMYFUNCTION("""COMPUTED_VALUE"""),"Cedar Grove Press")</f>
        <v>Cedar Grove Press</v>
      </c>
      <c r="E1230" s="2">
        <f>IFERROR(__xludf.DUMMYFUNCTION("""COMPUTED_VALUE"""),0.94)</f>
        <v>0.94</v>
      </c>
      <c r="F1230" s="2"/>
      <c r="G1230" s="2"/>
      <c r="H1230" s="2"/>
      <c r="I1230" s="2"/>
    </row>
    <row r="1231">
      <c r="A1231" s="2">
        <f>IFERROR(__xludf.DUMMYFUNCTION("""COMPUTED_VALUE"""),44115.0)</f>
        <v>44115</v>
      </c>
      <c r="B1231" s="2" t="str">
        <f>IFERROR(__xludf.DUMMYFUNCTION("""COMPUTED_VALUE"""),"Law")</f>
        <v>Law</v>
      </c>
      <c r="C1231" s="2" t="str">
        <f>IFERROR(__xludf.DUMMYFUNCTION("""COMPUTED_VALUE"""),"World War I")</f>
        <v>World War I</v>
      </c>
      <c r="D1231" s="2" t="str">
        <f>IFERROR(__xludf.DUMMYFUNCTION("""COMPUTED_VALUE"""),"Cedar Grove Press")</f>
        <v>Cedar Grove Press</v>
      </c>
      <c r="E1231" s="2">
        <f>IFERROR(__xludf.DUMMYFUNCTION("""COMPUTED_VALUE"""),1.12)</f>
        <v>1.12</v>
      </c>
      <c r="F1231" s="2"/>
      <c r="G1231" s="2"/>
      <c r="H1231" s="2"/>
      <c r="I1231" s="2"/>
    </row>
    <row r="1232">
      <c r="A1232" s="2">
        <f>IFERROR(__xludf.DUMMYFUNCTION("""COMPUTED_VALUE"""),44117.0)</f>
        <v>44117</v>
      </c>
      <c r="B1232" s="2" t="str">
        <f>IFERROR(__xludf.DUMMYFUNCTION("""COMPUTED_VALUE"""),"Law")</f>
        <v>Law</v>
      </c>
      <c r="C1232" s="2" t="str">
        <f>IFERROR(__xludf.DUMMYFUNCTION("""COMPUTED_VALUE"""),"World War I")</f>
        <v>World War I</v>
      </c>
      <c r="D1232" s="2" t="str">
        <f>IFERROR(__xludf.DUMMYFUNCTION("""COMPUTED_VALUE"""),"Cedar Grove Press")</f>
        <v>Cedar Grove Press</v>
      </c>
      <c r="E1232" s="2">
        <f>IFERROR(__xludf.DUMMYFUNCTION("""COMPUTED_VALUE"""),0.92)</f>
        <v>0.92</v>
      </c>
      <c r="F1232" s="2"/>
      <c r="G1232" s="2"/>
      <c r="H1232" s="2"/>
      <c r="I1232" s="2"/>
    </row>
    <row r="1233">
      <c r="A1233" s="2">
        <f>IFERROR(__xludf.DUMMYFUNCTION("""COMPUTED_VALUE"""),76670.0)</f>
        <v>76670</v>
      </c>
      <c r="B1233" s="2" t="str">
        <f>IFERROR(__xludf.DUMMYFUNCTION("""COMPUTED_VALUE"""),"Law")</f>
        <v>Law</v>
      </c>
      <c r="C1233" s="2" t="str">
        <f>IFERROR(__xludf.DUMMYFUNCTION("""COMPUTED_VALUE"""),"World War I")</f>
        <v>World War I</v>
      </c>
      <c r="D1233" s="2" t="str">
        <f>IFERROR(__xludf.DUMMYFUNCTION("""COMPUTED_VALUE"""),"Cedar Grove Press")</f>
        <v>Cedar Grove Press</v>
      </c>
      <c r="E1233" s="2">
        <f>IFERROR(__xludf.DUMMYFUNCTION("""COMPUTED_VALUE"""),1.05)</f>
        <v>1.05</v>
      </c>
      <c r="F1233" s="2"/>
      <c r="G1233" s="2"/>
      <c r="H1233" s="2"/>
      <c r="I1233" s="2"/>
    </row>
    <row r="1234">
      <c r="A1234" s="2">
        <f>IFERROR(__xludf.DUMMYFUNCTION("""COMPUTED_VALUE"""),122347.0)</f>
        <v>122347</v>
      </c>
      <c r="B1234" s="2" t="str">
        <f>IFERROR(__xludf.DUMMYFUNCTION("""COMPUTED_VALUE"""),"Law")</f>
        <v>Law</v>
      </c>
      <c r="C1234" s="2" t="str">
        <f>IFERROR(__xludf.DUMMYFUNCTION("""COMPUTED_VALUE"""),"World War I")</f>
        <v>World War I</v>
      </c>
      <c r="D1234" s="2" t="str">
        <f>IFERROR(__xludf.DUMMYFUNCTION("""COMPUTED_VALUE"""),"Cedar Grove Press")</f>
        <v>Cedar Grove Press</v>
      </c>
      <c r="E1234" s="2">
        <f>IFERROR(__xludf.DUMMYFUNCTION("""COMPUTED_VALUE"""),0.95)</f>
        <v>0.95</v>
      </c>
      <c r="F1234" s="2"/>
      <c r="G1234" s="2"/>
      <c r="H1234" s="2"/>
      <c r="I1234" s="2"/>
    </row>
    <row r="1235">
      <c r="A1235" s="2">
        <f>IFERROR(__xludf.DUMMYFUNCTION("""COMPUTED_VALUE"""),112462.0)</f>
        <v>112462</v>
      </c>
      <c r="B1235" s="2" t="str">
        <f>IFERROR(__xludf.DUMMYFUNCTION("""COMPUTED_VALUE"""),"Law")</f>
        <v>Law</v>
      </c>
      <c r="C1235" s="2" t="str">
        <f>IFERROR(__xludf.DUMMYFUNCTION("""COMPUTED_VALUE"""),"World War I")</f>
        <v>World War I</v>
      </c>
      <c r="D1235" s="2" t="str">
        <f>IFERROR(__xludf.DUMMYFUNCTION("""COMPUTED_VALUE"""),"Cedar Grove Press")</f>
        <v>Cedar Grove Press</v>
      </c>
      <c r="E1235" s="2">
        <f>IFERROR(__xludf.DUMMYFUNCTION("""COMPUTED_VALUE"""),1.03)</f>
        <v>1.03</v>
      </c>
      <c r="F1235" s="2"/>
      <c r="G1235" s="2"/>
      <c r="H1235" s="2"/>
      <c r="I1235" s="2"/>
    </row>
    <row r="1236">
      <c r="A1236" s="2">
        <f>IFERROR(__xludf.DUMMYFUNCTION("""COMPUTED_VALUE"""),5636.0)</f>
        <v>5636</v>
      </c>
      <c r="B1236" s="2" t="str">
        <f>IFERROR(__xludf.DUMMYFUNCTION("""COMPUTED_VALUE"""),"Law")</f>
        <v>Law</v>
      </c>
      <c r="C1236" s="2" t="str">
        <f>IFERROR(__xludf.DUMMYFUNCTION("""COMPUTED_VALUE"""),"World War I")</f>
        <v>World War I</v>
      </c>
      <c r="D1236" s="2" t="str">
        <f>IFERROR(__xludf.DUMMYFUNCTION("""COMPUTED_VALUE"""),"Cedar Grove Press")</f>
        <v>Cedar Grove Press</v>
      </c>
      <c r="E1236" s="2">
        <f>IFERROR(__xludf.DUMMYFUNCTION("""COMPUTED_VALUE"""),0.9)</f>
        <v>0.9</v>
      </c>
      <c r="F1236" s="2"/>
      <c r="G1236" s="2"/>
      <c r="H1236" s="2"/>
      <c r="I1236" s="2"/>
    </row>
    <row r="1237">
      <c r="A1237" s="2">
        <f>IFERROR(__xludf.DUMMYFUNCTION("""COMPUTED_VALUE"""),112464.0)</f>
        <v>112464</v>
      </c>
      <c r="B1237" s="2" t="str">
        <f>IFERROR(__xludf.DUMMYFUNCTION("""COMPUTED_VALUE"""),"Law")</f>
        <v>Law</v>
      </c>
      <c r="C1237" s="2" t="str">
        <f>IFERROR(__xludf.DUMMYFUNCTION("""COMPUTED_VALUE"""),"World War I")</f>
        <v>World War I</v>
      </c>
      <c r="D1237" s="2" t="str">
        <f>IFERROR(__xludf.DUMMYFUNCTION("""COMPUTED_VALUE"""),"Cedar Grove Press")</f>
        <v>Cedar Grove Press</v>
      </c>
      <c r="E1237" s="2">
        <f>IFERROR(__xludf.DUMMYFUNCTION("""COMPUTED_VALUE"""),1.21)</f>
        <v>1.21</v>
      </c>
      <c r="F1237" s="2"/>
      <c r="G1237" s="2"/>
      <c r="H1237" s="2"/>
      <c r="I1237" s="2"/>
    </row>
    <row r="1238">
      <c r="A1238" s="2">
        <f>IFERROR(__xludf.DUMMYFUNCTION("""COMPUTED_VALUE"""),5639.0)</f>
        <v>5639</v>
      </c>
      <c r="B1238" s="2" t="str">
        <f>IFERROR(__xludf.DUMMYFUNCTION("""COMPUTED_VALUE"""),"Law")</f>
        <v>Law</v>
      </c>
      <c r="C1238" s="2" t="str">
        <f>IFERROR(__xludf.DUMMYFUNCTION("""COMPUTED_VALUE"""),"World War I")</f>
        <v>World War I</v>
      </c>
      <c r="D1238" s="2" t="str">
        <f>IFERROR(__xludf.DUMMYFUNCTION("""COMPUTED_VALUE"""),"Cedar Grove Press")</f>
        <v>Cedar Grove Press</v>
      </c>
      <c r="E1238" s="2">
        <f>IFERROR(__xludf.DUMMYFUNCTION("""COMPUTED_VALUE"""),1.05)</f>
        <v>1.05</v>
      </c>
      <c r="F1238" s="2"/>
      <c r="G1238" s="2"/>
      <c r="H1238" s="2"/>
      <c r="I1238" s="2"/>
    </row>
    <row r="1239">
      <c r="A1239" s="2">
        <f>IFERROR(__xludf.DUMMYFUNCTION("""COMPUTED_VALUE"""),44147.0)</f>
        <v>44147</v>
      </c>
      <c r="B1239" s="2" t="str">
        <f>IFERROR(__xludf.DUMMYFUNCTION("""COMPUTED_VALUE"""),"Law")</f>
        <v>Law</v>
      </c>
      <c r="C1239" s="2" t="str">
        <f>IFERROR(__xludf.DUMMYFUNCTION("""COMPUTED_VALUE"""),"World War I")</f>
        <v>World War I</v>
      </c>
      <c r="D1239" s="2" t="str">
        <f>IFERROR(__xludf.DUMMYFUNCTION("""COMPUTED_VALUE"""),"Cedar Grove Press")</f>
        <v>Cedar Grove Press</v>
      </c>
      <c r="E1239" s="2">
        <f>IFERROR(__xludf.DUMMYFUNCTION("""COMPUTED_VALUE"""),1.12)</f>
        <v>1.12</v>
      </c>
      <c r="F1239" s="2"/>
      <c r="G1239" s="2"/>
      <c r="H1239" s="2"/>
      <c r="I1239" s="2"/>
    </row>
    <row r="1240">
      <c r="A1240" s="2">
        <f>IFERROR(__xludf.DUMMYFUNCTION("""COMPUTED_VALUE"""),5638.0)</f>
        <v>5638</v>
      </c>
      <c r="B1240" s="2" t="str">
        <f>IFERROR(__xludf.DUMMYFUNCTION("""COMPUTED_VALUE"""),"Law")</f>
        <v>Law</v>
      </c>
      <c r="C1240" s="2" t="str">
        <f>IFERROR(__xludf.DUMMYFUNCTION("""COMPUTED_VALUE"""),"World War I")</f>
        <v>World War I</v>
      </c>
      <c r="D1240" s="2" t="str">
        <f>IFERROR(__xludf.DUMMYFUNCTION("""COMPUTED_VALUE"""),"Cedar Grove Press")</f>
        <v>Cedar Grove Press</v>
      </c>
      <c r="E1240" s="2">
        <f>IFERROR(__xludf.DUMMYFUNCTION("""COMPUTED_VALUE"""),0.89)</f>
        <v>0.89</v>
      </c>
      <c r="F1240" s="2"/>
      <c r="G1240" s="2"/>
      <c r="H1240" s="2"/>
      <c r="I1240" s="2"/>
    </row>
    <row r="1241">
      <c r="A1241" s="2">
        <f>IFERROR(__xludf.DUMMYFUNCTION("""COMPUTED_VALUE"""),103074.0)</f>
        <v>103074</v>
      </c>
      <c r="B1241" s="2" t="str">
        <f>IFERROR(__xludf.DUMMYFUNCTION("""COMPUTED_VALUE"""),"Law")</f>
        <v>Law</v>
      </c>
      <c r="C1241" s="2" t="str">
        <f>IFERROR(__xludf.DUMMYFUNCTION("""COMPUTED_VALUE"""),"World War I")</f>
        <v>World War I</v>
      </c>
      <c r="D1241" s="2" t="str">
        <f>IFERROR(__xludf.DUMMYFUNCTION("""COMPUTED_VALUE"""),"Cedar Grove Press")</f>
        <v>Cedar Grove Press</v>
      </c>
      <c r="E1241" s="2">
        <f>IFERROR(__xludf.DUMMYFUNCTION("""COMPUTED_VALUE"""),1.31)</f>
        <v>1.31</v>
      </c>
      <c r="F1241" s="2"/>
      <c r="G1241" s="2"/>
      <c r="H1241" s="2"/>
      <c r="I1241" s="2"/>
    </row>
    <row r="1242">
      <c r="A1242" s="2">
        <f>IFERROR(__xludf.DUMMYFUNCTION("""COMPUTED_VALUE"""),45913.0)</f>
        <v>45913</v>
      </c>
      <c r="B1242" s="2" t="str">
        <f>IFERROR(__xludf.DUMMYFUNCTION("""COMPUTED_VALUE"""),"Law")</f>
        <v>Law</v>
      </c>
      <c r="C1242" s="2" t="str">
        <f>IFERROR(__xludf.DUMMYFUNCTION("""COMPUTED_VALUE"""),"World War I")</f>
        <v>World War I</v>
      </c>
      <c r="D1242" s="2" t="str">
        <f>IFERROR(__xludf.DUMMYFUNCTION("""COMPUTED_VALUE"""),"Brightwater Publishing")</f>
        <v>Brightwater Publishing</v>
      </c>
      <c r="E1242" s="2">
        <f>IFERROR(__xludf.DUMMYFUNCTION("""COMPUTED_VALUE"""),3.55)</f>
        <v>3.55</v>
      </c>
      <c r="F1242" s="2"/>
      <c r="G1242" s="2"/>
      <c r="H1242" s="2"/>
      <c r="I1242" s="2"/>
    </row>
    <row r="1243">
      <c r="A1243" s="2">
        <f>IFERROR(__xludf.DUMMYFUNCTION("""COMPUTED_VALUE"""),120044.0)</f>
        <v>120044</v>
      </c>
      <c r="B1243" s="2" t="str">
        <f>IFERROR(__xludf.DUMMYFUNCTION("""COMPUTED_VALUE"""),"Law")</f>
        <v>Law</v>
      </c>
      <c r="C1243" s="2" t="str">
        <f>IFERROR(__xludf.DUMMYFUNCTION("""COMPUTED_VALUE"""),"World War I")</f>
        <v>World War I</v>
      </c>
      <c r="D1243" s="2" t="str">
        <f>IFERROR(__xludf.DUMMYFUNCTION("""COMPUTED_VALUE"""),"Brightwater Publishing")</f>
        <v>Brightwater Publishing</v>
      </c>
      <c r="E1243" s="2">
        <f>IFERROR(__xludf.DUMMYFUNCTION("""COMPUTED_VALUE"""),1.83)</f>
        <v>1.83</v>
      </c>
      <c r="F1243" s="2"/>
      <c r="G1243" s="2"/>
      <c r="H1243" s="2"/>
      <c r="I1243" s="2"/>
    </row>
    <row r="1244">
      <c r="A1244" s="2">
        <f>IFERROR(__xludf.DUMMYFUNCTION("""COMPUTED_VALUE"""),90973.0)</f>
        <v>90973</v>
      </c>
      <c r="B1244" s="2" t="str">
        <f>IFERROR(__xludf.DUMMYFUNCTION("""COMPUTED_VALUE"""),"Law")</f>
        <v>Law</v>
      </c>
      <c r="C1244" s="2" t="str">
        <f>IFERROR(__xludf.DUMMYFUNCTION("""COMPUTED_VALUE"""),"World War I")</f>
        <v>World War I</v>
      </c>
      <c r="D1244" s="2" t="str">
        <f>IFERROR(__xludf.DUMMYFUNCTION("""COMPUTED_VALUE"""),"Brightwater Publishing")</f>
        <v>Brightwater Publishing</v>
      </c>
      <c r="E1244" s="2">
        <f>IFERROR(__xludf.DUMMYFUNCTION("""COMPUTED_VALUE"""),1.98)</f>
        <v>1.98</v>
      </c>
      <c r="F1244" s="2"/>
      <c r="G1244" s="2"/>
      <c r="H1244" s="2"/>
      <c r="I1244" s="2"/>
    </row>
    <row r="1245">
      <c r="A1245" s="2">
        <f>IFERROR(__xludf.DUMMYFUNCTION("""COMPUTED_VALUE"""),103830.0)</f>
        <v>103830</v>
      </c>
      <c r="B1245" s="2" t="str">
        <f>IFERROR(__xludf.DUMMYFUNCTION("""COMPUTED_VALUE"""),"Law")</f>
        <v>Law</v>
      </c>
      <c r="C1245" s="2" t="str">
        <f>IFERROR(__xludf.DUMMYFUNCTION("""COMPUTED_VALUE"""),"World War I")</f>
        <v>World War I</v>
      </c>
      <c r="D1245" s="2" t="str">
        <f>IFERROR(__xludf.DUMMYFUNCTION("""COMPUTED_VALUE"""),"Brightwater Publishing")</f>
        <v>Brightwater Publishing</v>
      </c>
      <c r="E1245" s="2">
        <f>IFERROR(__xludf.DUMMYFUNCTION("""COMPUTED_VALUE"""),2.23)</f>
        <v>2.23</v>
      </c>
      <c r="F1245" s="2"/>
      <c r="G1245" s="2"/>
      <c r="H1245" s="2"/>
      <c r="I1245" s="2"/>
    </row>
    <row r="1246">
      <c r="A1246" s="2">
        <f>IFERROR(__xludf.DUMMYFUNCTION("""COMPUTED_VALUE"""),111765.0)</f>
        <v>111765</v>
      </c>
      <c r="B1246" s="2" t="str">
        <f>IFERROR(__xludf.DUMMYFUNCTION("""COMPUTED_VALUE"""),"Law")</f>
        <v>Law</v>
      </c>
      <c r="C1246" s="2" t="str">
        <f>IFERROR(__xludf.DUMMYFUNCTION("""COMPUTED_VALUE"""),"World War I")</f>
        <v>World War I</v>
      </c>
      <c r="D1246" s="2" t="str">
        <f>IFERROR(__xludf.DUMMYFUNCTION("""COMPUTED_VALUE"""),"Brightwater Publishing")</f>
        <v>Brightwater Publishing</v>
      </c>
      <c r="E1246" s="2">
        <f>IFERROR(__xludf.DUMMYFUNCTION("""COMPUTED_VALUE"""),1.37)</f>
        <v>1.37</v>
      </c>
      <c r="F1246" s="2"/>
      <c r="G1246" s="2"/>
      <c r="H1246" s="2"/>
      <c r="I1246" s="2"/>
    </row>
    <row r="1247">
      <c r="A1247" s="2">
        <f>IFERROR(__xludf.DUMMYFUNCTION("""COMPUTED_VALUE"""),45952.0)</f>
        <v>45952</v>
      </c>
      <c r="B1247" s="2" t="str">
        <f>IFERROR(__xludf.DUMMYFUNCTION("""COMPUTED_VALUE"""),"Law")</f>
        <v>Law</v>
      </c>
      <c r="C1247" s="2" t="str">
        <f>IFERROR(__xludf.DUMMYFUNCTION("""COMPUTED_VALUE"""),"World War I")</f>
        <v>World War I</v>
      </c>
      <c r="D1247" s="2" t="str">
        <f>IFERROR(__xludf.DUMMYFUNCTION("""COMPUTED_VALUE"""),"Brightwater Publishing")</f>
        <v>Brightwater Publishing</v>
      </c>
      <c r="E1247" s="2">
        <f>IFERROR(__xludf.DUMMYFUNCTION("""COMPUTED_VALUE"""),3.47)</f>
        <v>3.47</v>
      </c>
      <c r="F1247" s="2"/>
      <c r="G1247" s="2"/>
      <c r="H1247" s="2"/>
      <c r="I1247" s="2"/>
    </row>
    <row r="1248">
      <c r="A1248" s="2">
        <f>IFERROR(__xludf.DUMMYFUNCTION("""COMPUTED_VALUE"""),91749.0)</f>
        <v>91749</v>
      </c>
      <c r="B1248" s="2" t="str">
        <f>IFERROR(__xludf.DUMMYFUNCTION("""COMPUTED_VALUE"""),"Law")</f>
        <v>Law</v>
      </c>
      <c r="C1248" s="2" t="str">
        <f>IFERROR(__xludf.DUMMYFUNCTION("""COMPUTED_VALUE"""),"World War I")</f>
        <v>World War I</v>
      </c>
      <c r="D1248" s="2" t="str">
        <f>IFERROR(__xludf.DUMMYFUNCTION("""COMPUTED_VALUE"""),"Brightwater Publishing")</f>
        <v>Brightwater Publishing</v>
      </c>
      <c r="E1248" s="2">
        <f>IFERROR(__xludf.DUMMYFUNCTION("""COMPUTED_VALUE"""),3.3)</f>
        <v>3.3</v>
      </c>
      <c r="F1248" s="2"/>
      <c r="G1248" s="2"/>
      <c r="H1248" s="2"/>
      <c r="I1248" s="2"/>
    </row>
    <row r="1249">
      <c r="A1249" s="2">
        <f>IFERROR(__xludf.DUMMYFUNCTION("""COMPUTED_VALUE"""),120040.0)</f>
        <v>120040</v>
      </c>
      <c r="B1249" s="2" t="str">
        <f>IFERROR(__xludf.DUMMYFUNCTION("""COMPUTED_VALUE"""),"Law")</f>
        <v>Law</v>
      </c>
      <c r="C1249" s="2" t="str">
        <f>IFERROR(__xludf.DUMMYFUNCTION("""COMPUTED_VALUE"""),"World War I")</f>
        <v>World War I</v>
      </c>
      <c r="D1249" s="2" t="str">
        <f>IFERROR(__xludf.DUMMYFUNCTION("""COMPUTED_VALUE"""),"Brightwater Publishing")</f>
        <v>Brightwater Publishing</v>
      </c>
      <c r="E1249" s="2">
        <f>IFERROR(__xludf.DUMMYFUNCTION("""COMPUTED_VALUE"""),2.97)</f>
        <v>2.97</v>
      </c>
      <c r="F1249" s="2"/>
      <c r="G1249" s="2"/>
      <c r="H1249" s="2"/>
      <c r="I1249" s="2"/>
    </row>
    <row r="1250">
      <c r="A1250" s="2">
        <f>IFERROR(__xludf.DUMMYFUNCTION("""COMPUTED_VALUE"""),17143.0)</f>
        <v>17143</v>
      </c>
      <c r="B1250" s="2" t="str">
        <f>IFERROR(__xludf.DUMMYFUNCTION("""COMPUTED_VALUE"""),"Law")</f>
        <v>Law</v>
      </c>
      <c r="C1250" s="2" t="str">
        <f>IFERROR(__xludf.DUMMYFUNCTION("""COMPUTED_VALUE"""),"World War I")</f>
        <v>World War I</v>
      </c>
      <c r="D1250" s="2" t="str">
        <f>IFERROR(__xludf.DUMMYFUNCTION("""COMPUTED_VALUE"""),"Brightwater Publishing")</f>
        <v>Brightwater Publishing</v>
      </c>
      <c r="E1250" s="2">
        <f>IFERROR(__xludf.DUMMYFUNCTION("""COMPUTED_VALUE"""),0.93)</f>
        <v>0.93</v>
      </c>
      <c r="F1250" s="2"/>
      <c r="G1250" s="2"/>
      <c r="H1250" s="2"/>
      <c r="I1250" s="2"/>
    </row>
    <row r="1251">
      <c r="A1251" s="2">
        <f>IFERROR(__xludf.DUMMYFUNCTION("""COMPUTED_VALUE"""),120515.0)</f>
        <v>120515</v>
      </c>
      <c r="B1251" s="2" t="str">
        <f>IFERROR(__xludf.DUMMYFUNCTION("""COMPUTED_VALUE"""),"Law")</f>
        <v>Law</v>
      </c>
      <c r="C1251" s="2" t="str">
        <f>IFERROR(__xludf.DUMMYFUNCTION("""COMPUTED_VALUE"""),"World War I")</f>
        <v>World War I</v>
      </c>
      <c r="D1251" s="2" t="str">
        <f>IFERROR(__xludf.DUMMYFUNCTION("""COMPUTED_VALUE"""),"Brightwater Publishing")</f>
        <v>Brightwater Publishing</v>
      </c>
      <c r="E1251" s="2">
        <f>IFERROR(__xludf.DUMMYFUNCTION("""COMPUTED_VALUE"""),1.86)</f>
        <v>1.86</v>
      </c>
      <c r="F1251" s="2"/>
      <c r="G1251" s="2"/>
      <c r="H1251" s="2"/>
      <c r="I1251" s="2"/>
    </row>
    <row r="1252">
      <c r="A1252" s="2">
        <f>IFERROR(__xludf.DUMMYFUNCTION("""COMPUTED_VALUE"""),120045.0)</f>
        <v>120045</v>
      </c>
      <c r="B1252" s="2" t="str">
        <f>IFERROR(__xludf.DUMMYFUNCTION("""COMPUTED_VALUE"""),"Law")</f>
        <v>Law</v>
      </c>
      <c r="C1252" s="2" t="str">
        <f>IFERROR(__xludf.DUMMYFUNCTION("""COMPUTED_VALUE"""),"World War I")</f>
        <v>World War I</v>
      </c>
      <c r="D1252" s="2" t="str">
        <f>IFERROR(__xludf.DUMMYFUNCTION("""COMPUTED_VALUE"""),"Brightwater Publishing")</f>
        <v>Brightwater Publishing</v>
      </c>
      <c r="E1252" s="2">
        <f>IFERROR(__xludf.DUMMYFUNCTION("""COMPUTED_VALUE"""),2.05)</f>
        <v>2.05</v>
      </c>
      <c r="F1252" s="2"/>
      <c r="G1252" s="2"/>
      <c r="H1252" s="2"/>
      <c r="I1252" s="2"/>
    </row>
    <row r="1253">
      <c r="A1253" s="2">
        <f>IFERROR(__xludf.DUMMYFUNCTION("""COMPUTED_VALUE"""),122268.0)</f>
        <v>122268</v>
      </c>
      <c r="B1253" s="2" t="str">
        <f>IFERROR(__xludf.DUMMYFUNCTION("""COMPUTED_VALUE"""),"Law")</f>
        <v>Law</v>
      </c>
      <c r="C1253" s="2" t="str">
        <f>IFERROR(__xludf.DUMMYFUNCTION("""COMPUTED_VALUE"""),"World War I")</f>
        <v>World War I</v>
      </c>
      <c r="D1253" s="2" t="str">
        <f>IFERROR(__xludf.DUMMYFUNCTION("""COMPUTED_VALUE"""),"Brightwater Publishing")</f>
        <v>Brightwater Publishing</v>
      </c>
      <c r="E1253" s="2">
        <f>IFERROR(__xludf.DUMMYFUNCTION("""COMPUTED_VALUE"""),1.97)</f>
        <v>1.97</v>
      </c>
      <c r="F1253" s="2"/>
      <c r="G1253" s="2"/>
      <c r="H1253" s="2"/>
      <c r="I1253" s="2"/>
    </row>
    <row r="1254">
      <c r="A1254" s="2">
        <f>IFERROR(__xludf.DUMMYFUNCTION("""COMPUTED_VALUE"""),195737.0)</f>
        <v>195737</v>
      </c>
      <c r="B1254" s="2" t="str">
        <f>IFERROR(__xludf.DUMMYFUNCTION("""COMPUTED_VALUE"""),"Law")</f>
        <v>Law</v>
      </c>
      <c r="C1254" s="2" t="str">
        <f>IFERROR(__xludf.DUMMYFUNCTION("""COMPUTED_VALUE"""),"World War I")</f>
        <v>World War I</v>
      </c>
      <c r="D1254" s="2" t="str">
        <f>IFERROR(__xludf.DUMMYFUNCTION("""COMPUTED_VALUE"""),"Brightwater Publishing")</f>
        <v>Brightwater Publishing</v>
      </c>
      <c r="E1254" s="2">
        <f>IFERROR(__xludf.DUMMYFUNCTION("""COMPUTED_VALUE"""),3.03)</f>
        <v>3.03</v>
      </c>
      <c r="F1254" s="2"/>
      <c r="G1254" s="2"/>
      <c r="H1254" s="2"/>
      <c r="I1254" s="2"/>
    </row>
    <row r="1255">
      <c r="A1255" s="2">
        <f>IFERROR(__xludf.DUMMYFUNCTION("""COMPUTED_VALUE"""),78759.0)</f>
        <v>78759</v>
      </c>
      <c r="B1255" s="2" t="str">
        <f>IFERROR(__xludf.DUMMYFUNCTION("""COMPUTED_VALUE"""),"Law")</f>
        <v>Law</v>
      </c>
      <c r="C1255" s="2" t="str">
        <f>IFERROR(__xludf.DUMMYFUNCTION("""COMPUTED_VALUE"""),"World War I")</f>
        <v>World War I</v>
      </c>
      <c r="D1255" s="2" t="str">
        <f>IFERROR(__xludf.DUMMYFUNCTION("""COMPUTED_VALUE"""),"Brightwater Publishing")</f>
        <v>Brightwater Publishing</v>
      </c>
      <c r="E1255" s="2">
        <f>IFERROR(__xludf.DUMMYFUNCTION("""COMPUTED_VALUE"""),2.94)</f>
        <v>2.94</v>
      </c>
      <c r="F1255" s="2"/>
      <c r="G1255" s="2"/>
      <c r="H1255" s="2"/>
      <c r="I1255" s="2"/>
    </row>
    <row r="1256">
      <c r="A1256" s="2">
        <f>IFERROR(__xludf.DUMMYFUNCTION("""COMPUTED_VALUE"""),8857.0)</f>
        <v>8857</v>
      </c>
      <c r="B1256" s="2" t="str">
        <f>IFERROR(__xludf.DUMMYFUNCTION("""COMPUTED_VALUE"""),"Law")</f>
        <v>Law</v>
      </c>
      <c r="C1256" s="2" t="str">
        <f>IFERROR(__xludf.DUMMYFUNCTION("""COMPUTED_VALUE"""),"World War I")</f>
        <v>World War I</v>
      </c>
      <c r="D1256" s="2" t="str">
        <f>IFERROR(__xludf.DUMMYFUNCTION("""COMPUTED_VALUE"""),"Brightwater Publishing")</f>
        <v>Brightwater Publishing</v>
      </c>
      <c r="E1256" s="2">
        <f>IFERROR(__xludf.DUMMYFUNCTION("""COMPUTED_VALUE"""),2.54)</f>
        <v>2.54</v>
      </c>
      <c r="F1256" s="2"/>
      <c r="G1256" s="2"/>
      <c r="H1256" s="2"/>
      <c r="I1256" s="2"/>
    </row>
    <row r="1257">
      <c r="A1257" s="2">
        <f>IFERROR(__xludf.DUMMYFUNCTION("""COMPUTED_VALUE"""),8860.0)</f>
        <v>8860</v>
      </c>
      <c r="B1257" s="2" t="str">
        <f>IFERROR(__xludf.DUMMYFUNCTION("""COMPUTED_VALUE"""),"Law")</f>
        <v>Law</v>
      </c>
      <c r="C1257" s="2" t="str">
        <f>IFERROR(__xludf.DUMMYFUNCTION("""COMPUTED_VALUE"""),"World War I")</f>
        <v>World War I</v>
      </c>
      <c r="D1257" s="2" t="str">
        <f>IFERROR(__xludf.DUMMYFUNCTION("""COMPUTED_VALUE"""),"Brightwater Publishing")</f>
        <v>Brightwater Publishing</v>
      </c>
      <c r="E1257" s="2">
        <f>IFERROR(__xludf.DUMMYFUNCTION("""COMPUTED_VALUE"""),4.11)</f>
        <v>4.11</v>
      </c>
      <c r="F1257" s="2"/>
      <c r="G1257" s="2"/>
      <c r="H1257" s="2"/>
      <c r="I1257" s="2"/>
    </row>
    <row r="1258">
      <c r="A1258" s="2">
        <f>IFERROR(__xludf.DUMMYFUNCTION("""COMPUTED_VALUE"""),182790.0)</f>
        <v>182790</v>
      </c>
      <c r="B1258" s="2" t="str">
        <f>IFERROR(__xludf.DUMMYFUNCTION("""COMPUTED_VALUE"""),"Law")</f>
        <v>Law</v>
      </c>
      <c r="C1258" s="2" t="str">
        <f>IFERROR(__xludf.DUMMYFUNCTION("""COMPUTED_VALUE"""),"World War I")</f>
        <v>World War I</v>
      </c>
      <c r="D1258" s="2" t="str">
        <f>IFERROR(__xludf.DUMMYFUNCTION("""COMPUTED_VALUE"""),"Brightwater Publishing")</f>
        <v>Brightwater Publishing</v>
      </c>
      <c r="E1258" s="2">
        <f>IFERROR(__xludf.DUMMYFUNCTION("""COMPUTED_VALUE"""),1.96)</f>
        <v>1.96</v>
      </c>
      <c r="F1258" s="2"/>
      <c r="G1258" s="2"/>
      <c r="H1258" s="2"/>
      <c r="I1258" s="2"/>
    </row>
    <row r="1259">
      <c r="A1259" s="2">
        <f>IFERROR(__xludf.DUMMYFUNCTION("""COMPUTED_VALUE"""),120042.0)</f>
        <v>120042</v>
      </c>
      <c r="B1259" s="2" t="str">
        <f>IFERROR(__xludf.DUMMYFUNCTION("""COMPUTED_VALUE"""),"Law")</f>
        <v>Law</v>
      </c>
      <c r="C1259" s="2" t="str">
        <f>IFERROR(__xludf.DUMMYFUNCTION("""COMPUTED_VALUE"""),"World War I")</f>
        <v>World War I</v>
      </c>
      <c r="D1259" s="2" t="str">
        <f>IFERROR(__xludf.DUMMYFUNCTION("""COMPUTED_VALUE"""),"Brightwater Publishing")</f>
        <v>Brightwater Publishing</v>
      </c>
      <c r="E1259" s="2">
        <f>IFERROR(__xludf.DUMMYFUNCTION("""COMPUTED_VALUE"""),2.95)</f>
        <v>2.95</v>
      </c>
      <c r="F1259" s="2"/>
      <c r="G1259" s="2"/>
      <c r="H1259" s="2"/>
      <c r="I1259" s="2"/>
    </row>
    <row r="1260">
      <c r="A1260" s="2">
        <f>IFERROR(__xludf.DUMMYFUNCTION("""COMPUTED_VALUE"""),114941.0)</f>
        <v>114941</v>
      </c>
      <c r="B1260" s="2" t="str">
        <f>IFERROR(__xludf.DUMMYFUNCTION("""COMPUTED_VALUE"""),"Law")</f>
        <v>Law</v>
      </c>
      <c r="C1260" s="2" t="str">
        <f>IFERROR(__xludf.DUMMYFUNCTION("""COMPUTED_VALUE"""),"World War I")</f>
        <v>World War I</v>
      </c>
      <c r="D1260" s="2" t="str">
        <f>IFERROR(__xludf.DUMMYFUNCTION("""COMPUTED_VALUE"""),"Brightwater Publishing")</f>
        <v>Brightwater Publishing</v>
      </c>
      <c r="E1260" s="2">
        <f>IFERROR(__xludf.DUMMYFUNCTION("""COMPUTED_VALUE"""),2.76)</f>
        <v>2.76</v>
      </c>
      <c r="F1260" s="2"/>
      <c r="G1260" s="2"/>
      <c r="H1260" s="2"/>
      <c r="I1260" s="2"/>
    </row>
    <row r="1261">
      <c r="A1261" s="2">
        <f>IFERROR(__xludf.DUMMYFUNCTION("""COMPUTED_VALUE"""),108473.0)</f>
        <v>108473</v>
      </c>
      <c r="B1261" s="2" t="str">
        <f>IFERROR(__xludf.DUMMYFUNCTION("""COMPUTED_VALUE"""),"Law")</f>
        <v>Law</v>
      </c>
      <c r="C1261" s="2" t="str">
        <f>IFERROR(__xludf.DUMMYFUNCTION("""COMPUTED_VALUE"""),"World War I")</f>
        <v>World War I</v>
      </c>
      <c r="D1261" s="2" t="str">
        <f>IFERROR(__xludf.DUMMYFUNCTION("""COMPUTED_VALUE"""),"Brightwater Publishing")</f>
        <v>Brightwater Publishing</v>
      </c>
      <c r="E1261" s="2">
        <f>IFERROR(__xludf.DUMMYFUNCTION("""COMPUTED_VALUE"""),3.05)</f>
        <v>3.05</v>
      </c>
      <c r="F1261" s="2"/>
      <c r="G1261" s="2"/>
      <c r="H1261" s="2"/>
      <c r="I1261" s="2"/>
    </row>
    <row r="1262">
      <c r="A1262" s="2">
        <f>IFERROR(__xludf.DUMMYFUNCTION("""COMPUTED_VALUE"""),90968.0)</f>
        <v>90968</v>
      </c>
      <c r="B1262" s="2" t="str">
        <f>IFERROR(__xludf.DUMMYFUNCTION("""COMPUTED_VALUE"""),"Law")</f>
        <v>Law</v>
      </c>
      <c r="C1262" s="2" t="str">
        <f>IFERROR(__xludf.DUMMYFUNCTION("""COMPUTED_VALUE"""),"World War I")</f>
        <v>World War I</v>
      </c>
      <c r="D1262" s="2" t="str">
        <f>IFERROR(__xludf.DUMMYFUNCTION("""COMPUTED_VALUE"""),"Brightwater Publishing")</f>
        <v>Brightwater Publishing</v>
      </c>
      <c r="E1262" s="2">
        <f>IFERROR(__xludf.DUMMYFUNCTION("""COMPUTED_VALUE"""),3.47)</f>
        <v>3.47</v>
      </c>
      <c r="F1262" s="2"/>
      <c r="G1262" s="2"/>
      <c r="H1262" s="2"/>
      <c r="I1262" s="2"/>
    </row>
    <row r="1263">
      <c r="A1263" s="2">
        <f>IFERROR(__xludf.DUMMYFUNCTION("""COMPUTED_VALUE"""),114929.0)</f>
        <v>114929</v>
      </c>
      <c r="B1263" s="2" t="str">
        <f>IFERROR(__xludf.DUMMYFUNCTION("""COMPUTED_VALUE"""),"Law")</f>
        <v>Law</v>
      </c>
      <c r="C1263" s="2" t="str">
        <f>IFERROR(__xludf.DUMMYFUNCTION("""COMPUTED_VALUE"""),"World War I")</f>
        <v>World War I</v>
      </c>
      <c r="D1263" s="2" t="str">
        <f>IFERROR(__xludf.DUMMYFUNCTION("""COMPUTED_VALUE"""),"Brightwater Publishing")</f>
        <v>Brightwater Publishing</v>
      </c>
      <c r="E1263" s="2">
        <f>IFERROR(__xludf.DUMMYFUNCTION("""COMPUTED_VALUE"""),2.79)</f>
        <v>2.79</v>
      </c>
      <c r="F1263" s="2"/>
      <c r="G1263" s="2"/>
      <c r="H1263" s="2"/>
      <c r="I1263" s="2"/>
    </row>
    <row r="1264">
      <c r="A1264" s="2">
        <f>IFERROR(__xludf.DUMMYFUNCTION("""COMPUTED_VALUE"""),68868.0)</f>
        <v>68868</v>
      </c>
      <c r="B1264" s="2" t="str">
        <f>IFERROR(__xludf.DUMMYFUNCTION("""COMPUTED_VALUE"""),"Law")</f>
        <v>Law</v>
      </c>
      <c r="C1264" s="2" t="str">
        <f>IFERROR(__xludf.DUMMYFUNCTION("""COMPUTED_VALUE"""),"World War I")</f>
        <v>World War I</v>
      </c>
      <c r="D1264" s="2" t="str">
        <f>IFERROR(__xludf.DUMMYFUNCTION("""COMPUTED_VALUE"""),"Brightwater Publishing")</f>
        <v>Brightwater Publishing</v>
      </c>
      <c r="E1264" s="2">
        <f>IFERROR(__xludf.DUMMYFUNCTION("""COMPUTED_VALUE"""),3.4)</f>
        <v>3.4</v>
      </c>
      <c r="F1264" s="2"/>
      <c r="G1264" s="2"/>
      <c r="H1264" s="2"/>
      <c r="I1264" s="2"/>
    </row>
    <row r="1265">
      <c r="A1265" s="2">
        <f>IFERROR(__xludf.DUMMYFUNCTION("""COMPUTED_VALUE"""),103831.0)</f>
        <v>103831</v>
      </c>
      <c r="B1265" s="2" t="str">
        <f>IFERROR(__xludf.DUMMYFUNCTION("""COMPUTED_VALUE"""),"Law")</f>
        <v>Law</v>
      </c>
      <c r="C1265" s="2" t="str">
        <f>IFERROR(__xludf.DUMMYFUNCTION("""COMPUTED_VALUE"""),"World War I")</f>
        <v>World War I</v>
      </c>
      <c r="D1265" s="2" t="str">
        <f>IFERROR(__xludf.DUMMYFUNCTION("""COMPUTED_VALUE"""),"Brightwater Publishing")</f>
        <v>Brightwater Publishing</v>
      </c>
      <c r="E1265" s="2">
        <f>IFERROR(__xludf.DUMMYFUNCTION("""COMPUTED_VALUE"""),2.32)</f>
        <v>2.32</v>
      </c>
      <c r="F1265" s="2"/>
      <c r="G1265" s="2"/>
      <c r="H1265" s="2"/>
      <c r="I1265" s="2"/>
    </row>
    <row r="1266">
      <c r="A1266" s="2">
        <f>IFERROR(__xludf.DUMMYFUNCTION("""COMPUTED_VALUE"""),83272.0)</f>
        <v>83272</v>
      </c>
      <c r="B1266" s="2" t="str">
        <f>IFERROR(__xludf.DUMMYFUNCTION("""COMPUTED_VALUE"""),"Law")</f>
        <v>Law</v>
      </c>
      <c r="C1266" s="2" t="str">
        <f>IFERROR(__xludf.DUMMYFUNCTION("""COMPUTED_VALUE"""),"World War I")</f>
        <v>World War I</v>
      </c>
      <c r="D1266" s="2" t="str">
        <f>IFERROR(__xludf.DUMMYFUNCTION("""COMPUTED_VALUE"""),"Brightwater Publishing")</f>
        <v>Brightwater Publishing</v>
      </c>
      <c r="E1266" s="2">
        <f>IFERROR(__xludf.DUMMYFUNCTION("""COMPUTED_VALUE"""),3.27)</f>
        <v>3.27</v>
      </c>
      <c r="F1266" s="2"/>
      <c r="G1266" s="2"/>
      <c r="H1266" s="2"/>
      <c r="I1266" s="2"/>
    </row>
    <row r="1267">
      <c r="A1267" s="2">
        <f>IFERROR(__xludf.DUMMYFUNCTION("""COMPUTED_VALUE"""),120046.0)</f>
        <v>120046</v>
      </c>
      <c r="B1267" s="2" t="str">
        <f>IFERROR(__xludf.DUMMYFUNCTION("""COMPUTED_VALUE"""),"Law")</f>
        <v>Law</v>
      </c>
      <c r="C1267" s="2" t="str">
        <f>IFERROR(__xludf.DUMMYFUNCTION("""COMPUTED_VALUE"""),"World War I")</f>
        <v>World War I</v>
      </c>
      <c r="D1267" s="2" t="str">
        <f>IFERROR(__xludf.DUMMYFUNCTION("""COMPUTED_VALUE"""),"Brightwater Publishing")</f>
        <v>Brightwater Publishing</v>
      </c>
      <c r="E1267" s="2">
        <f>IFERROR(__xludf.DUMMYFUNCTION("""COMPUTED_VALUE"""),1.79)</f>
        <v>1.79</v>
      </c>
      <c r="F1267" s="2"/>
      <c r="G1267" s="2"/>
      <c r="H1267" s="2"/>
      <c r="I1267" s="2"/>
    </row>
    <row r="1268">
      <c r="A1268" s="2">
        <f>IFERROR(__xludf.DUMMYFUNCTION("""COMPUTED_VALUE"""),181989.0)</f>
        <v>181989</v>
      </c>
      <c r="B1268" s="2" t="str">
        <f>IFERROR(__xludf.DUMMYFUNCTION("""COMPUTED_VALUE"""),"Finance")</f>
        <v>Finance</v>
      </c>
      <c r="C1268" s="2" t="str">
        <f>IFERROR(__xludf.DUMMYFUNCTION("""COMPUTED_VALUE"""),"World War II")</f>
        <v>World War II</v>
      </c>
      <c r="D1268" s="2" t="str">
        <f>IFERROR(__xludf.DUMMYFUNCTION("""COMPUTED_VALUE"""),"Old Harbor Books")</f>
        <v>Old Harbor Books</v>
      </c>
      <c r="E1268" s="2">
        <f>IFERROR(__xludf.DUMMYFUNCTION("""COMPUTED_VALUE"""),7.49)</f>
        <v>7.49</v>
      </c>
      <c r="F1268" s="2"/>
      <c r="G1268" s="2"/>
      <c r="H1268" s="2"/>
      <c r="I1268" s="2"/>
    </row>
    <row r="1269">
      <c r="A1269" s="2">
        <f>IFERROR(__xludf.DUMMYFUNCTION("""COMPUTED_VALUE"""),84359.0)</f>
        <v>84359</v>
      </c>
      <c r="B1269" s="2" t="str">
        <f>IFERROR(__xludf.DUMMYFUNCTION("""COMPUTED_VALUE"""),"Finance")</f>
        <v>Finance</v>
      </c>
      <c r="C1269" s="2" t="str">
        <f>IFERROR(__xludf.DUMMYFUNCTION("""COMPUTED_VALUE"""),"World War II")</f>
        <v>World War II</v>
      </c>
      <c r="D1269" s="2" t="str">
        <f>IFERROR(__xludf.DUMMYFUNCTION("""COMPUTED_VALUE"""),"Redwood Ridge Press")</f>
        <v>Redwood Ridge Press</v>
      </c>
      <c r="E1269" s="2">
        <f>IFERROR(__xludf.DUMMYFUNCTION("""COMPUTED_VALUE"""),5.37)</f>
        <v>5.37</v>
      </c>
      <c r="F1269" s="2"/>
      <c r="G1269" s="2"/>
      <c r="H1269" s="2"/>
      <c r="I1269" s="2"/>
    </row>
    <row r="1270">
      <c r="A1270" s="2">
        <f>IFERROR(__xludf.DUMMYFUNCTION("""COMPUTED_VALUE"""),102939.0)</f>
        <v>102939</v>
      </c>
      <c r="B1270" s="2" t="str">
        <f>IFERROR(__xludf.DUMMYFUNCTION("""COMPUTED_VALUE"""),"Finance")</f>
        <v>Finance</v>
      </c>
      <c r="C1270" s="2" t="str">
        <f>IFERROR(__xludf.DUMMYFUNCTION("""COMPUTED_VALUE"""),"World War II")</f>
        <v>World War II</v>
      </c>
      <c r="D1270" s="2" t="str">
        <f>IFERROR(__xludf.DUMMYFUNCTION("""COMPUTED_VALUE"""),"Redwood Ridge Press")</f>
        <v>Redwood Ridge Press</v>
      </c>
      <c r="E1270" s="2">
        <f>IFERROR(__xludf.DUMMYFUNCTION("""COMPUTED_VALUE"""),8.9)</f>
        <v>8.9</v>
      </c>
      <c r="F1270" s="2"/>
      <c r="G1270" s="2"/>
      <c r="H1270" s="2"/>
      <c r="I1270" s="2"/>
    </row>
    <row r="1271">
      <c r="A1271" s="2">
        <f>IFERROR(__xludf.DUMMYFUNCTION("""COMPUTED_VALUE"""),111504.0)</f>
        <v>111504</v>
      </c>
      <c r="B1271" s="2" t="str">
        <f>IFERROR(__xludf.DUMMYFUNCTION("""COMPUTED_VALUE"""),"Finance")</f>
        <v>Finance</v>
      </c>
      <c r="C1271" s="2" t="str">
        <f>IFERROR(__xludf.DUMMYFUNCTION("""COMPUTED_VALUE"""),"World War II")</f>
        <v>World War II</v>
      </c>
      <c r="D1271" s="2" t="str">
        <f>IFERROR(__xludf.DUMMYFUNCTION("""COMPUTED_VALUE"""),"Redwood Ridge Press")</f>
        <v>Redwood Ridge Press</v>
      </c>
      <c r="E1271" s="2">
        <f>IFERROR(__xludf.DUMMYFUNCTION("""COMPUTED_VALUE"""),4.54)</f>
        <v>4.54</v>
      </c>
      <c r="F1271" s="2"/>
      <c r="G1271" s="2"/>
      <c r="H1271" s="2"/>
      <c r="I1271" s="2"/>
    </row>
    <row r="1272">
      <c r="A1272" s="2">
        <f>IFERROR(__xludf.DUMMYFUNCTION("""COMPUTED_VALUE"""),75678.0)</f>
        <v>75678</v>
      </c>
      <c r="B1272" s="2" t="str">
        <f>IFERROR(__xludf.DUMMYFUNCTION("""COMPUTED_VALUE"""),"Finance")</f>
        <v>Finance</v>
      </c>
      <c r="C1272" s="2" t="str">
        <f>IFERROR(__xludf.DUMMYFUNCTION("""COMPUTED_VALUE"""),"World War II")</f>
        <v>World War II</v>
      </c>
      <c r="D1272" s="2" t="str">
        <f>IFERROR(__xludf.DUMMYFUNCTION("""COMPUTED_VALUE"""),"Redwood Ridge Press")</f>
        <v>Redwood Ridge Press</v>
      </c>
      <c r="E1272" s="2">
        <f>IFERROR(__xludf.DUMMYFUNCTION("""COMPUTED_VALUE"""),6.3)</f>
        <v>6.3</v>
      </c>
      <c r="F1272" s="2"/>
      <c r="G1272" s="2"/>
      <c r="H1272" s="2"/>
      <c r="I1272" s="2"/>
    </row>
    <row r="1273">
      <c r="A1273" s="2">
        <f>IFERROR(__xludf.DUMMYFUNCTION("""COMPUTED_VALUE"""),79005.0)</f>
        <v>79005</v>
      </c>
      <c r="B1273" s="2" t="str">
        <f>IFERROR(__xludf.DUMMYFUNCTION("""COMPUTED_VALUE"""),"Finance")</f>
        <v>Finance</v>
      </c>
      <c r="C1273" s="2" t="str">
        <f>IFERROR(__xludf.DUMMYFUNCTION("""COMPUTED_VALUE"""),"World War II")</f>
        <v>World War II</v>
      </c>
      <c r="D1273" s="2" t="str">
        <f>IFERROR(__xludf.DUMMYFUNCTION("""COMPUTED_VALUE"""),"Redwood Ridge Press")</f>
        <v>Redwood Ridge Press</v>
      </c>
      <c r="E1273" s="2">
        <f>IFERROR(__xludf.DUMMYFUNCTION("""COMPUTED_VALUE"""),1.92)</f>
        <v>1.92</v>
      </c>
      <c r="F1273" s="2"/>
      <c r="G1273" s="2"/>
      <c r="H1273" s="2"/>
      <c r="I1273" s="2"/>
    </row>
    <row r="1274">
      <c r="A1274" s="2">
        <f>IFERROR(__xludf.DUMMYFUNCTION("""COMPUTED_VALUE"""),188360.0)</f>
        <v>188360</v>
      </c>
      <c r="B1274" s="2" t="str">
        <f>IFERROR(__xludf.DUMMYFUNCTION("""COMPUTED_VALUE"""),"Finance")</f>
        <v>Finance</v>
      </c>
      <c r="C1274" s="2" t="str">
        <f>IFERROR(__xludf.DUMMYFUNCTION("""COMPUTED_VALUE"""),"World War II")</f>
        <v>World War II</v>
      </c>
      <c r="D1274" s="2" t="str">
        <f>IFERROR(__xludf.DUMMYFUNCTION("""COMPUTED_VALUE"""),"Redwood Ridge Press")</f>
        <v>Redwood Ridge Press</v>
      </c>
      <c r="E1274" s="2">
        <f>IFERROR(__xludf.DUMMYFUNCTION("""COMPUTED_VALUE"""),5.15)</f>
        <v>5.15</v>
      </c>
      <c r="F1274" s="2"/>
      <c r="G1274" s="2"/>
      <c r="H1274" s="2"/>
      <c r="I1274" s="2"/>
    </row>
    <row r="1275">
      <c r="A1275" s="2">
        <f>IFERROR(__xludf.DUMMYFUNCTION("""COMPUTED_VALUE"""),79695.0)</f>
        <v>79695</v>
      </c>
      <c r="B1275" s="2" t="str">
        <f>IFERROR(__xludf.DUMMYFUNCTION("""COMPUTED_VALUE"""),"Self-Help")</f>
        <v>Self-Help</v>
      </c>
      <c r="C1275" s="2" t="str">
        <f>IFERROR(__xludf.DUMMYFUNCTION("""COMPUTED_VALUE"""),"Cold War")</f>
        <v>Cold War</v>
      </c>
      <c r="D1275" s="2" t="str">
        <f>IFERROR(__xludf.DUMMYFUNCTION("""COMPUTED_VALUE"""),"Skybridge Publishing")</f>
        <v>Skybridge Publishing</v>
      </c>
      <c r="E1275" s="2">
        <f>IFERROR(__xludf.DUMMYFUNCTION("""COMPUTED_VALUE"""),11.43)</f>
        <v>11.43</v>
      </c>
      <c r="F1275" s="2"/>
      <c r="G1275" s="2"/>
      <c r="H1275" s="2"/>
      <c r="I1275" s="2"/>
    </row>
    <row r="1276">
      <c r="A1276" s="2">
        <f>IFERROR(__xludf.DUMMYFUNCTION("""COMPUTED_VALUE"""),73768.0)</f>
        <v>73768</v>
      </c>
      <c r="B1276" s="2" t="str">
        <f>IFERROR(__xludf.DUMMYFUNCTION("""COMPUTED_VALUE"""),"Self-Help")</f>
        <v>Self-Help</v>
      </c>
      <c r="C1276" s="2" t="str">
        <f>IFERROR(__xludf.DUMMYFUNCTION("""COMPUTED_VALUE"""),"Cold War")</f>
        <v>Cold War</v>
      </c>
      <c r="D1276" s="2" t="str">
        <f>IFERROR(__xludf.DUMMYFUNCTION("""COMPUTED_VALUE"""),"Skybridge Publishing")</f>
        <v>Skybridge Publishing</v>
      </c>
      <c r="E1276" s="2">
        <f>IFERROR(__xludf.DUMMYFUNCTION("""COMPUTED_VALUE"""),19.3)</f>
        <v>19.3</v>
      </c>
      <c r="F1276" s="2"/>
      <c r="G1276" s="2"/>
      <c r="H1276" s="2"/>
      <c r="I1276" s="2"/>
    </row>
    <row r="1277">
      <c r="A1277" s="2">
        <f>IFERROR(__xludf.DUMMYFUNCTION("""COMPUTED_VALUE"""),44663.0)</f>
        <v>44663</v>
      </c>
      <c r="B1277" s="2" t="str">
        <f>IFERROR(__xludf.DUMMYFUNCTION("""COMPUTED_VALUE"""),"Self-Help")</f>
        <v>Self-Help</v>
      </c>
      <c r="C1277" s="2" t="str">
        <f>IFERROR(__xludf.DUMMYFUNCTION("""COMPUTED_VALUE"""),"Cold War")</f>
        <v>Cold War</v>
      </c>
      <c r="D1277" s="2" t="str">
        <f>IFERROR(__xludf.DUMMYFUNCTION("""COMPUTED_VALUE"""),"Skybridge Publishing")</f>
        <v>Skybridge Publishing</v>
      </c>
      <c r="E1277" s="2">
        <f>IFERROR(__xludf.DUMMYFUNCTION("""COMPUTED_VALUE"""),18.23)</f>
        <v>18.23</v>
      </c>
      <c r="F1277" s="2"/>
      <c r="G1277" s="2"/>
      <c r="H1277" s="2"/>
      <c r="I1277" s="2"/>
    </row>
    <row r="1278">
      <c r="A1278" s="2">
        <f>IFERROR(__xludf.DUMMYFUNCTION("""COMPUTED_VALUE"""),766.0)</f>
        <v>766</v>
      </c>
      <c r="B1278" s="2" t="str">
        <f>IFERROR(__xludf.DUMMYFUNCTION("""COMPUTED_VALUE"""),"Self-Help")</f>
        <v>Self-Help</v>
      </c>
      <c r="C1278" s="2" t="str">
        <f>IFERROR(__xludf.DUMMYFUNCTION("""COMPUTED_VALUE"""),"Cold War")</f>
        <v>Cold War</v>
      </c>
      <c r="D1278" s="2" t="str">
        <f>IFERROR(__xludf.DUMMYFUNCTION("""COMPUTED_VALUE"""),"Skybridge Publishing")</f>
        <v>Skybridge Publishing</v>
      </c>
      <c r="E1278" s="2">
        <f>IFERROR(__xludf.DUMMYFUNCTION("""COMPUTED_VALUE"""),5.64)</f>
        <v>5.64</v>
      </c>
      <c r="F1278" s="2"/>
      <c r="G1278" s="2"/>
      <c r="H1278" s="2"/>
      <c r="I1278" s="2"/>
    </row>
    <row r="1279">
      <c r="A1279" s="2">
        <f>IFERROR(__xludf.DUMMYFUNCTION("""COMPUTED_VALUE"""),109961.0)</f>
        <v>109961</v>
      </c>
      <c r="B1279" s="2" t="str">
        <f>IFERROR(__xludf.DUMMYFUNCTION("""COMPUTED_VALUE"""),"Fiction")</f>
        <v>Fiction</v>
      </c>
      <c r="C1279" s="2" t="str">
        <f>IFERROR(__xludf.DUMMYFUNCTION("""COMPUTED_VALUE"""),"Military History")</f>
        <v>Military History</v>
      </c>
      <c r="D1279" s="2" t="str">
        <f>IFERROR(__xludf.DUMMYFUNCTION("""COMPUTED_VALUE"""),"Aurora Ridge Books")</f>
        <v>Aurora Ridge Books</v>
      </c>
      <c r="E1279" s="2">
        <f>IFERROR(__xludf.DUMMYFUNCTION("""COMPUTED_VALUE"""),4.55)</f>
        <v>4.55</v>
      </c>
      <c r="F1279" s="2"/>
      <c r="G1279" s="2"/>
      <c r="H1279" s="2"/>
      <c r="I1279" s="2"/>
    </row>
    <row r="1280">
      <c r="A1280" s="2">
        <f>IFERROR(__xludf.DUMMYFUNCTION("""COMPUTED_VALUE"""),109932.0)</f>
        <v>109932</v>
      </c>
      <c r="B1280" s="2" t="str">
        <f>IFERROR(__xludf.DUMMYFUNCTION("""COMPUTED_VALUE"""),"Fiction")</f>
        <v>Fiction</v>
      </c>
      <c r="C1280" s="2" t="str">
        <f>IFERROR(__xludf.DUMMYFUNCTION("""COMPUTED_VALUE"""),"Military History")</f>
        <v>Military History</v>
      </c>
      <c r="D1280" s="2" t="str">
        <f>IFERROR(__xludf.DUMMYFUNCTION("""COMPUTED_VALUE"""),"Aurora Ridge Books")</f>
        <v>Aurora Ridge Books</v>
      </c>
      <c r="E1280" s="2">
        <f>IFERROR(__xludf.DUMMYFUNCTION("""COMPUTED_VALUE"""),6.97)</f>
        <v>6.97</v>
      </c>
      <c r="F1280" s="2"/>
      <c r="G1280" s="2"/>
      <c r="H1280" s="2"/>
      <c r="I1280" s="2"/>
    </row>
    <row r="1281">
      <c r="A1281" s="2">
        <f>IFERROR(__xludf.DUMMYFUNCTION("""COMPUTED_VALUE"""),109956.0)</f>
        <v>109956</v>
      </c>
      <c r="B1281" s="2" t="str">
        <f>IFERROR(__xludf.DUMMYFUNCTION("""COMPUTED_VALUE"""),"Fiction")</f>
        <v>Fiction</v>
      </c>
      <c r="C1281" s="2" t="str">
        <f>IFERROR(__xludf.DUMMYFUNCTION("""COMPUTED_VALUE"""),"Military History")</f>
        <v>Military History</v>
      </c>
      <c r="D1281" s="2" t="str">
        <f>IFERROR(__xludf.DUMMYFUNCTION("""COMPUTED_VALUE"""),"Aurora Ridge Books")</f>
        <v>Aurora Ridge Books</v>
      </c>
      <c r="E1281" s="2">
        <f>IFERROR(__xludf.DUMMYFUNCTION("""COMPUTED_VALUE"""),4.33)</f>
        <v>4.33</v>
      </c>
      <c r="F1281" s="2"/>
      <c r="G1281" s="2"/>
      <c r="H1281" s="2"/>
      <c r="I1281" s="2"/>
    </row>
    <row r="1282">
      <c r="A1282" s="2">
        <f>IFERROR(__xludf.DUMMYFUNCTION("""COMPUTED_VALUE"""),109962.0)</f>
        <v>109962</v>
      </c>
      <c r="B1282" s="2" t="str">
        <f>IFERROR(__xludf.DUMMYFUNCTION("""COMPUTED_VALUE"""),"Fiction")</f>
        <v>Fiction</v>
      </c>
      <c r="C1282" s="2" t="str">
        <f>IFERROR(__xludf.DUMMYFUNCTION("""COMPUTED_VALUE"""),"Military History")</f>
        <v>Military History</v>
      </c>
      <c r="D1282" s="2" t="str">
        <f>IFERROR(__xludf.DUMMYFUNCTION("""COMPUTED_VALUE"""),"Aurora Ridge Books")</f>
        <v>Aurora Ridge Books</v>
      </c>
      <c r="E1282" s="2">
        <f>IFERROR(__xludf.DUMMYFUNCTION("""COMPUTED_VALUE"""),4.54)</f>
        <v>4.54</v>
      </c>
      <c r="F1282" s="2"/>
      <c r="G1282" s="2"/>
      <c r="H1282" s="2"/>
      <c r="I1282" s="2"/>
    </row>
    <row r="1283">
      <c r="A1283" s="2">
        <f>IFERROR(__xludf.DUMMYFUNCTION("""COMPUTED_VALUE"""),101622.0)</f>
        <v>101622</v>
      </c>
      <c r="B1283" s="2" t="str">
        <f>IFERROR(__xludf.DUMMYFUNCTION("""COMPUTED_VALUE"""),"Fiction")</f>
        <v>Fiction</v>
      </c>
      <c r="C1283" s="2" t="str">
        <f>IFERROR(__xludf.DUMMYFUNCTION("""COMPUTED_VALUE"""),"Military History")</f>
        <v>Military History</v>
      </c>
      <c r="D1283" s="2" t="str">
        <f>IFERROR(__xludf.DUMMYFUNCTION("""COMPUTED_VALUE"""),"Aurora Ridge Books")</f>
        <v>Aurora Ridge Books</v>
      </c>
      <c r="E1283" s="2">
        <f>IFERROR(__xludf.DUMMYFUNCTION("""COMPUTED_VALUE"""),2.77)</f>
        <v>2.77</v>
      </c>
      <c r="F1283" s="2"/>
      <c r="G1283" s="2"/>
      <c r="H1283" s="2"/>
      <c r="I1283" s="2"/>
    </row>
    <row r="1284">
      <c r="A1284" s="2">
        <f>IFERROR(__xludf.DUMMYFUNCTION("""COMPUTED_VALUE"""),101623.0)</f>
        <v>101623</v>
      </c>
      <c r="B1284" s="2" t="str">
        <f>IFERROR(__xludf.DUMMYFUNCTION("""COMPUTED_VALUE"""),"Fiction")</f>
        <v>Fiction</v>
      </c>
      <c r="C1284" s="2" t="str">
        <f>IFERROR(__xludf.DUMMYFUNCTION("""COMPUTED_VALUE"""),"Military History")</f>
        <v>Military History</v>
      </c>
      <c r="D1284" s="2" t="str">
        <f>IFERROR(__xludf.DUMMYFUNCTION("""COMPUTED_VALUE"""),"Aurora Ridge Books")</f>
        <v>Aurora Ridge Books</v>
      </c>
      <c r="E1284" s="2">
        <f>IFERROR(__xludf.DUMMYFUNCTION("""COMPUTED_VALUE"""),3.63)</f>
        <v>3.63</v>
      </c>
      <c r="F1284" s="2"/>
      <c r="G1284" s="2"/>
      <c r="H1284" s="2"/>
      <c r="I1284" s="2"/>
    </row>
    <row r="1285">
      <c r="A1285" s="2">
        <f>IFERROR(__xludf.DUMMYFUNCTION("""COMPUTED_VALUE"""),4513.0)</f>
        <v>4513</v>
      </c>
      <c r="B1285" s="2" t="str">
        <f>IFERROR(__xludf.DUMMYFUNCTION("""COMPUTED_VALUE"""),"Fiction")</f>
        <v>Fiction</v>
      </c>
      <c r="C1285" s="2" t="str">
        <f>IFERROR(__xludf.DUMMYFUNCTION("""COMPUTED_VALUE"""),"Military History")</f>
        <v>Military History</v>
      </c>
      <c r="D1285" s="2" t="str">
        <f>IFERROR(__xludf.DUMMYFUNCTION("""COMPUTED_VALUE"""),"Aurora Ridge Books")</f>
        <v>Aurora Ridge Books</v>
      </c>
      <c r="E1285" s="2">
        <f>IFERROR(__xludf.DUMMYFUNCTION("""COMPUTED_VALUE"""),3.32)</f>
        <v>3.32</v>
      </c>
      <c r="F1285" s="2"/>
      <c r="G1285" s="2"/>
      <c r="H1285" s="2"/>
      <c r="I1285" s="2"/>
    </row>
    <row r="1286">
      <c r="A1286" s="2">
        <f>IFERROR(__xludf.DUMMYFUNCTION("""COMPUTED_VALUE"""),24648.0)</f>
        <v>24648</v>
      </c>
      <c r="B1286" s="2" t="str">
        <f>IFERROR(__xludf.DUMMYFUNCTION("""COMPUTED_VALUE"""),"Fiction")</f>
        <v>Fiction</v>
      </c>
      <c r="C1286" s="2" t="str">
        <f>IFERROR(__xludf.DUMMYFUNCTION("""COMPUTED_VALUE"""),"Military History")</f>
        <v>Military History</v>
      </c>
      <c r="D1286" s="2" t="str">
        <f>IFERROR(__xludf.DUMMYFUNCTION("""COMPUTED_VALUE"""),"Aurora Ridge Books")</f>
        <v>Aurora Ridge Books</v>
      </c>
      <c r="E1286" s="2">
        <f>IFERROR(__xludf.DUMMYFUNCTION("""COMPUTED_VALUE"""),5.38)</f>
        <v>5.38</v>
      </c>
      <c r="F1286" s="2"/>
      <c r="G1286" s="2"/>
      <c r="H1286" s="2"/>
      <c r="I1286" s="2"/>
    </row>
    <row r="1287">
      <c r="A1287" s="2">
        <f>IFERROR(__xludf.DUMMYFUNCTION("""COMPUTED_VALUE"""),16386.0)</f>
        <v>16386</v>
      </c>
      <c r="B1287" s="2" t="str">
        <f>IFERROR(__xludf.DUMMYFUNCTION("""COMPUTED_VALUE"""),"Fiction")</f>
        <v>Fiction</v>
      </c>
      <c r="C1287" s="2" t="str">
        <f>IFERROR(__xludf.DUMMYFUNCTION("""COMPUTED_VALUE"""),"Military History")</f>
        <v>Military History</v>
      </c>
      <c r="D1287" s="2" t="str">
        <f>IFERROR(__xludf.DUMMYFUNCTION("""COMPUTED_VALUE"""),"Summit Harbor Press")</f>
        <v>Summit Harbor Press</v>
      </c>
      <c r="E1287" s="2">
        <f>IFERROR(__xludf.DUMMYFUNCTION("""COMPUTED_VALUE"""),7.51)</f>
        <v>7.51</v>
      </c>
      <c r="F1287" s="2"/>
      <c r="G1287" s="2"/>
      <c r="H1287" s="2"/>
      <c r="I1287" s="2"/>
    </row>
    <row r="1288">
      <c r="A1288" s="2">
        <f>IFERROR(__xludf.DUMMYFUNCTION("""COMPUTED_VALUE"""),16383.0)</f>
        <v>16383</v>
      </c>
      <c r="B1288" s="2" t="str">
        <f>IFERROR(__xludf.DUMMYFUNCTION("""COMPUTED_VALUE"""),"Fiction")</f>
        <v>Fiction</v>
      </c>
      <c r="C1288" s="2" t="str">
        <f>IFERROR(__xludf.DUMMYFUNCTION("""COMPUTED_VALUE"""),"Military History")</f>
        <v>Military History</v>
      </c>
      <c r="D1288" s="2" t="str">
        <f>IFERROR(__xludf.DUMMYFUNCTION("""COMPUTED_VALUE"""),"Summit Harbor Press")</f>
        <v>Summit Harbor Press</v>
      </c>
      <c r="E1288" s="2">
        <f>IFERROR(__xludf.DUMMYFUNCTION("""COMPUTED_VALUE"""),5.51)</f>
        <v>5.51</v>
      </c>
      <c r="F1288" s="2"/>
      <c r="G1288" s="2"/>
      <c r="H1288" s="2"/>
      <c r="I1288" s="2"/>
    </row>
    <row r="1289">
      <c r="A1289" s="2">
        <f>IFERROR(__xludf.DUMMYFUNCTION("""COMPUTED_VALUE"""),113588.0)</f>
        <v>113588</v>
      </c>
      <c r="B1289" s="2" t="str">
        <f>IFERROR(__xludf.DUMMYFUNCTION("""COMPUTED_VALUE"""),"Fiction")</f>
        <v>Fiction</v>
      </c>
      <c r="C1289" s="2" t="str">
        <f>IFERROR(__xludf.DUMMYFUNCTION("""COMPUTED_VALUE"""),"Military History")</f>
        <v>Military History</v>
      </c>
      <c r="D1289" s="2" t="str">
        <f>IFERROR(__xludf.DUMMYFUNCTION("""COMPUTED_VALUE"""),"Liberty Grove Publishing")</f>
        <v>Liberty Grove Publishing</v>
      </c>
      <c r="E1289" s="2">
        <f>IFERROR(__xludf.DUMMYFUNCTION("""COMPUTED_VALUE"""),12.64)</f>
        <v>12.64</v>
      </c>
      <c r="F1289" s="2"/>
      <c r="G1289" s="2"/>
      <c r="H1289" s="2"/>
      <c r="I1289" s="2"/>
    </row>
    <row r="1290">
      <c r="A1290" s="2">
        <f>IFERROR(__xludf.DUMMYFUNCTION("""COMPUTED_VALUE"""),99392.0)</f>
        <v>99392</v>
      </c>
      <c r="B1290" s="2" t="str">
        <f>IFERROR(__xludf.DUMMYFUNCTION("""COMPUTED_VALUE"""),"Fiction")</f>
        <v>Fiction</v>
      </c>
      <c r="C1290" s="2" t="str">
        <f>IFERROR(__xludf.DUMMYFUNCTION("""COMPUTED_VALUE"""),"Military History")</f>
        <v>Military History</v>
      </c>
      <c r="D1290" s="2" t="str">
        <f>IFERROR(__xludf.DUMMYFUNCTION("""COMPUTED_VALUE"""),"Grand Summit Books")</f>
        <v>Grand Summit Books</v>
      </c>
      <c r="E1290" s="2">
        <f>IFERROR(__xludf.DUMMYFUNCTION("""COMPUTED_VALUE"""),1.32)</f>
        <v>1.32</v>
      </c>
      <c r="F1290" s="2"/>
      <c r="G1290" s="2"/>
      <c r="H1290" s="2"/>
      <c r="I1290" s="2"/>
    </row>
    <row r="1291">
      <c r="A1291" s="2">
        <f>IFERROR(__xludf.DUMMYFUNCTION("""COMPUTED_VALUE"""),99412.0)</f>
        <v>99412</v>
      </c>
      <c r="B1291" s="2" t="str">
        <f>IFERROR(__xludf.DUMMYFUNCTION("""COMPUTED_VALUE"""),"Fiction")</f>
        <v>Fiction</v>
      </c>
      <c r="C1291" s="2" t="str">
        <f>IFERROR(__xludf.DUMMYFUNCTION("""COMPUTED_VALUE"""),"Military History")</f>
        <v>Military History</v>
      </c>
      <c r="D1291" s="2" t="str">
        <f>IFERROR(__xludf.DUMMYFUNCTION("""COMPUTED_VALUE"""),"Grand Summit Books")</f>
        <v>Grand Summit Books</v>
      </c>
      <c r="E1291" s="2">
        <f>IFERROR(__xludf.DUMMYFUNCTION("""COMPUTED_VALUE"""),1.58)</f>
        <v>1.58</v>
      </c>
      <c r="F1291" s="2"/>
      <c r="G1291" s="2"/>
      <c r="H1291" s="2"/>
      <c r="I1291" s="2"/>
    </row>
    <row r="1292">
      <c r="A1292" s="2">
        <f>IFERROR(__xludf.DUMMYFUNCTION("""COMPUTED_VALUE"""),25306.0)</f>
        <v>25306</v>
      </c>
      <c r="B1292" s="2" t="str">
        <f>IFERROR(__xludf.DUMMYFUNCTION("""COMPUTED_VALUE"""),"Fiction")</f>
        <v>Fiction</v>
      </c>
      <c r="C1292" s="2" t="str">
        <f>IFERROR(__xludf.DUMMYFUNCTION("""COMPUTED_VALUE"""),"Military History")</f>
        <v>Military History</v>
      </c>
      <c r="D1292" s="2" t="str">
        <f>IFERROR(__xludf.DUMMYFUNCTION("""COMPUTED_VALUE"""),"Grand Summit Books")</f>
        <v>Grand Summit Books</v>
      </c>
      <c r="E1292" s="2">
        <f>IFERROR(__xludf.DUMMYFUNCTION("""COMPUTED_VALUE"""),1.62)</f>
        <v>1.62</v>
      </c>
      <c r="F1292" s="2"/>
      <c r="G1292" s="2"/>
      <c r="H1292" s="2"/>
      <c r="I1292" s="2"/>
    </row>
    <row r="1293">
      <c r="A1293" s="2">
        <f>IFERROR(__xludf.DUMMYFUNCTION("""COMPUTED_VALUE"""),99399.0)</f>
        <v>99399</v>
      </c>
      <c r="B1293" s="2" t="str">
        <f>IFERROR(__xludf.DUMMYFUNCTION("""COMPUTED_VALUE"""),"Fiction")</f>
        <v>Fiction</v>
      </c>
      <c r="C1293" s="2" t="str">
        <f>IFERROR(__xludf.DUMMYFUNCTION("""COMPUTED_VALUE"""),"Military History")</f>
        <v>Military History</v>
      </c>
      <c r="D1293" s="2" t="str">
        <f>IFERROR(__xludf.DUMMYFUNCTION("""COMPUTED_VALUE"""),"Grand Summit Books")</f>
        <v>Grand Summit Books</v>
      </c>
      <c r="E1293" s="2">
        <f>IFERROR(__xludf.DUMMYFUNCTION("""COMPUTED_VALUE"""),1.11)</f>
        <v>1.11</v>
      </c>
      <c r="F1293" s="2"/>
      <c r="G1293" s="2"/>
      <c r="H1293" s="2"/>
      <c r="I1293" s="2"/>
    </row>
    <row r="1294">
      <c r="A1294" s="2">
        <f>IFERROR(__xludf.DUMMYFUNCTION("""COMPUTED_VALUE"""),25304.0)</f>
        <v>25304</v>
      </c>
      <c r="B1294" s="2" t="str">
        <f>IFERROR(__xludf.DUMMYFUNCTION("""COMPUTED_VALUE"""),"Fiction")</f>
        <v>Fiction</v>
      </c>
      <c r="C1294" s="2" t="str">
        <f>IFERROR(__xludf.DUMMYFUNCTION("""COMPUTED_VALUE"""),"Military History")</f>
        <v>Military History</v>
      </c>
      <c r="D1294" s="2" t="str">
        <f>IFERROR(__xludf.DUMMYFUNCTION("""COMPUTED_VALUE"""),"Grand Summit Books")</f>
        <v>Grand Summit Books</v>
      </c>
      <c r="E1294" s="2">
        <f>IFERROR(__xludf.DUMMYFUNCTION("""COMPUTED_VALUE"""),1.78)</f>
        <v>1.78</v>
      </c>
      <c r="F1294" s="2"/>
      <c r="G1294" s="2"/>
      <c r="H1294" s="2"/>
      <c r="I1294" s="2"/>
    </row>
    <row r="1295">
      <c r="A1295" s="2">
        <f>IFERROR(__xludf.DUMMYFUNCTION("""COMPUTED_VALUE"""),99400.0)</f>
        <v>99400</v>
      </c>
      <c r="B1295" s="2" t="str">
        <f>IFERROR(__xludf.DUMMYFUNCTION("""COMPUTED_VALUE"""),"Fiction")</f>
        <v>Fiction</v>
      </c>
      <c r="C1295" s="2" t="str">
        <f>IFERROR(__xludf.DUMMYFUNCTION("""COMPUTED_VALUE"""),"Military History")</f>
        <v>Military History</v>
      </c>
      <c r="D1295" s="2" t="str">
        <f>IFERROR(__xludf.DUMMYFUNCTION("""COMPUTED_VALUE"""),"Grand Summit Books")</f>
        <v>Grand Summit Books</v>
      </c>
      <c r="E1295" s="2">
        <f>IFERROR(__xludf.DUMMYFUNCTION("""COMPUTED_VALUE"""),1.17)</f>
        <v>1.17</v>
      </c>
      <c r="F1295" s="2"/>
      <c r="G1295" s="2"/>
      <c r="H1295" s="2"/>
      <c r="I1295" s="2"/>
    </row>
    <row r="1296">
      <c r="A1296" s="2">
        <f>IFERROR(__xludf.DUMMYFUNCTION("""COMPUTED_VALUE"""),80484.0)</f>
        <v>80484</v>
      </c>
      <c r="B1296" s="2" t="str">
        <f>IFERROR(__xludf.DUMMYFUNCTION("""COMPUTED_VALUE"""),"Fiction")</f>
        <v>Fiction</v>
      </c>
      <c r="C1296" s="2" t="str">
        <f>IFERROR(__xludf.DUMMYFUNCTION("""COMPUTED_VALUE"""),"Military History")</f>
        <v>Military History</v>
      </c>
      <c r="D1296" s="2" t="str">
        <f>IFERROR(__xludf.DUMMYFUNCTION("""COMPUTED_VALUE"""),"Grand Summit Books")</f>
        <v>Grand Summit Books</v>
      </c>
      <c r="E1296" s="2">
        <f>IFERROR(__xludf.DUMMYFUNCTION("""COMPUTED_VALUE"""),1.51)</f>
        <v>1.51</v>
      </c>
      <c r="F1296" s="2"/>
      <c r="G1296" s="2"/>
      <c r="H1296" s="2"/>
      <c r="I1296" s="2"/>
    </row>
    <row r="1297">
      <c r="A1297" s="2">
        <f>IFERROR(__xludf.DUMMYFUNCTION("""COMPUTED_VALUE"""),14477.0)</f>
        <v>14477</v>
      </c>
      <c r="B1297" s="2" t="str">
        <f>IFERROR(__xludf.DUMMYFUNCTION("""COMPUTED_VALUE"""),"Fiction")</f>
        <v>Fiction</v>
      </c>
      <c r="C1297" s="2" t="str">
        <f>IFERROR(__xludf.DUMMYFUNCTION("""COMPUTED_VALUE"""),"Military History")</f>
        <v>Military History</v>
      </c>
      <c r="D1297" s="2" t="str">
        <f>IFERROR(__xludf.DUMMYFUNCTION("""COMPUTED_VALUE"""),"Grand Summit Books")</f>
        <v>Grand Summit Books</v>
      </c>
      <c r="E1297" s="2">
        <f>IFERROR(__xludf.DUMMYFUNCTION("""COMPUTED_VALUE"""),1.81)</f>
        <v>1.81</v>
      </c>
      <c r="F1297" s="2"/>
      <c r="G1297" s="2"/>
      <c r="H1297" s="2"/>
      <c r="I1297" s="2"/>
    </row>
    <row r="1298">
      <c r="A1298" s="2">
        <f>IFERROR(__xludf.DUMMYFUNCTION("""COMPUTED_VALUE"""),95056.0)</f>
        <v>95056</v>
      </c>
      <c r="B1298" s="2" t="str">
        <f>IFERROR(__xludf.DUMMYFUNCTION("""COMPUTED_VALUE"""),"History")</f>
        <v>History</v>
      </c>
      <c r="C1298" s="2" t="str">
        <f>IFERROR(__xludf.DUMMYFUNCTION("""COMPUTED_VALUE"""),"Economic History")</f>
        <v>Economic History</v>
      </c>
      <c r="D1298" s="2"/>
      <c r="E1298" s="2">
        <f>IFERROR(__xludf.DUMMYFUNCTION("""COMPUTED_VALUE"""),2.4)</f>
        <v>2.4</v>
      </c>
      <c r="F1298" s="2"/>
      <c r="G1298" s="2"/>
      <c r="H1298" s="2"/>
      <c r="I1298" s="2"/>
    </row>
    <row r="1299">
      <c r="A1299" s="2">
        <f>IFERROR(__xludf.DUMMYFUNCTION("""COMPUTED_VALUE"""),78519.0)</f>
        <v>78519</v>
      </c>
      <c r="B1299" s="2" t="str">
        <f>IFERROR(__xludf.DUMMYFUNCTION("""COMPUTED_VALUE"""),"History")</f>
        <v>History</v>
      </c>
      <c r="C1299" s="2" t="str">
        <f>IFERROR(__xludf.DUMMYFUNCTION("""COMPUTED_VALUE"""),"Economic History")</f>
        <v>Economic History</v>
      </c>
      <c r="D1299" s="2"/>
      <c r="E1299" s="2">
        <f>IFERROR(__xludf.DUMMYFUNCTION("""COMPUTED_VALUE"""),1.27)</f>
        <v>1.27</v>
      </c>
      <c r="F1299" s="2"/>
      <c r="G1299" s="2"/>
      <c r="H1299" s="2"/>
      <c r="I1299" s="2"/>
    </row>
    <row r="1300">
      <c r="A1300" s="2">
        <f>IFERROR(__xludf.DUMMYFUNCTION("""COMPUTED_VALUE"""),90377.0)</f>
        <v>90377</v>
      </c>
      <c r="B1300" s="2" t="str">
        <f>IFERROR(__xludf.DUMMYFUNCTION("""COMPUTED_VALUE"""),"History")</f>
        <v>History</v>
      </c>
      <c r="C1300" s="2" t="str">
        <f>IFERROR(__xludf.DUMMYFUNCTION("""COMPUTED_VALUE"""),"Economic History")</f>
        <v>Economic History</v>
      </c>
      <c r="D1300" s="2"/>
      <c r="E1300" s="2">
        <f>IFERROR(__xludf.DUMMYFUNCTION("""COMPUTED_VALUE"""),2.81)</f>
        <v>2.81</v>
      </c>
      <c r="F1300" s="2"/>
      <c r="G1300" s="2"/>
      <c r="H1300" s="2"/>
      <c r="I1300" s="2"/>
    </row>
    <row r="1301">
      <c r="A1301" s="2">
        <f>IFERROR(__xludf.DUMMYFUNCTION("""COMPUTED_VALUE"""),90375.0)</f>
        <v>90375</v>
      </c>
      <c r="B1301" s="2" t="str">
        <f>IFERROR(__xludf.DUMMYFUNCTION("""COMPUTED_VALUE"""),"History")</f>
        <v>History</v>
      </c>
      <c r="C1301" s="2" t="str">
        <f>IFERROR(__xludf.DUMMYFUNCTION("""COMPUTED_VALUE"""),"Economic History")</f>
        <v>Economic History</v>
      </c>
      <c r="D1301" s="2"/>
      <c r="E1301" s="2">
        <f>IFERROR(__xludf.DUMMYFUNCTION("""COMPUTED_VALUE"""),1.89)</f>
        <v>1.89</v>
      </c>
      <c r="F1301" s="2"/>
      <c r="G1301" s="2"/>
      <c r="H1301" s="2"/>
      <c r="I1301" s="2"/>
    </row>
    <row r="1302">
      <c r="A1302" s="2">
        <f>IFERROR(__xludf.DUMMYFUNCTION("""COMPUTED_VALUE"""),112073.0)</f>
        <v>112073</v>
      </c>
      <c r="B1302" s="2" t="str">
        <f>IFERROR(__xludf.DUMMYFUNCTION("""COMPUTED_VALUE"""),"Arts")</f>
        <v>Arts</v>
      </c>
      <c r="C1302" s="2" t="str">
        <f>IFERROR(__xludf.DUMMYFUNCTION("""COMPUTED_VALUE"""),"Political History")</f>
        <v>Political History</v>
      </c>
      <c r="D1302" s="2" t="str">
        <f>IFERROR(__xludf.DUMMYFUNCTION("""COMPUTED_VALUE"""),"Evergreen Ridge Press")</f>
        <v>Evergreen Ridge Press</v>
      </c>
      <c r="E1302" s="2">
        <f>IFERROR(__xludf.DUMMYFUNCTION("""COMPUTED_VALUE"""),2.81)</f>
        <v>2.81</v>
      </c>
      <c r="F1302" s="2"/>
      <c r="G1302" s="2"/>
      <c r="H1302" s="2"/>
      <c r="I1302" s="2"/>
    </row>
    <row r="1303">
      <c r="A1303" s="2">
        <f>IFERROR(__xludf.DUMMYFUNCTION("""COMPUTED_VALUE"""),101339.0)</f>
        <v>101339</v>
      </c>
      <c r="B1303" s="2" t="str">
        <f>IFERROR(__xludf.DUMMYFUNCTION("""COMPUTED_VALUE"""),"Arts")</f>
        <v>Arts</v>
      </c>
      <c r="C1303" s="2" t="str">
        <f>IFERROR(__xludf.DUMMYFUNCTION("""COMPUTED_VALUE"""),"Political History")</f>
        <v>Political History</v>
      </c>
      <c r="D1303" s="2" t="str">
        <f>IFERROR(__xludf.DUMMYFUNCTION("""COMPUTED_VALUE"""),"Evergreen Ridge Press")</f>
        <v>Evergreen Ridge Press</v>
      </c>
      <c r="E1303" s="2">
        <f>IFERROR(__xludf.DUMMYFUNCTION("""COMPUTED_VALUE"""),5.07)</f>
        <v>5.07</v>
      </c>
      <c r="F1303" s="2"/>
      <c r="G1303" s="2"/>
      <c r="H1303" s="2"/>
      <c r="I1303" s="2"/>
    </row>
    <row r="1304">
      <c r="A1304" s="2">
        <f>IFERROR(__xludf.DUMMYFUNCTION("""COMPUTED_VALUE"""),92421.0)</f>
        <v>92421</v>
      </c>
      <c r="B1304" s="2" t="str">
        <f>IFERROR(__xludf.DUMMYFUNCTION("""COMPUTED_VALUE"""),"Arts")</f>
        <v>Arts</v>
      </c>
      <c r="C1304" s="2" t="str">
        <f>IFERROR(__xludf.DUMMYFUNCTION("""COMPUTED_VALUE"""),"Political History")</f>
        <v>Political History</v>
      </c>
      <c r="D1304" s="2" t="str">
        <f>IFERROR(__xludf.DUMMYFUNCTION("""COMPUTED_VALUE"""),"Evergreen Ridge Press")</f>
        <v>Evergreen Ridge Press</v>
      </c>
      <c r="E1304" s="2">
        <f>IFERROR(__xludf.DUMMYFUNCTION("""COMPUTED_VALUE"""),1.33)</f>
        <v>1.33</v>
      </c>
      <c r="F1304" s="2"/>
      <c r="G1304" s="2"/>
      <c r="H1304" s="2"/>
      <c r="I1304" s="2"/>
    </row>
    <row r="1305">
      <c r="A1305" s="2">
        <f>IFERROR(__xludf.DUMMYFUNCTION("""COMPUTED_VALUE"""),112079.0)</f>
        <v>112079</v>
      </c>
      <c r="B1305" s="2" t="str">
        <f>IFERROR(__xludf.DUMMYFUNCTION("""COMPUTED_VALUE"""),"Arts")</f>
        <v>Arts</v>
      </c>
      <c r="C1305" s="2" t="str">
        <f>IFERROR(__xludf.DUMMYFUNCTION("""COMPUTED_VALUE"""),"Political History")</f>
        <v>Political History</v>
      </c>
      <c r="D1305" s="2" t="str">
        <f>IFERROR(__xludf.DUMMYFUNCTION("""COMPUTED_VALUE"""),"Evergreen Ridge Press")</f>
        <v>Evergreen Ridge Press</v>
      </c>
      <c r="E1305" s="2">
        <f>IFERROR(__xludf.DUMMYFUNCTION("""COMPUTED_VALUE"""),1.87)</f>
        <v>1.87</v>
      </c>
      <c r="F1305" s="2"/>
      <c r="G1305" s="2"/>
      <c r="H1305" s="2"/>
      <c r="I1305" s="2"/>
    </row>
    <row r="1306">
      <c r="A1306" s="2">
        <f>IFERROR(__xludf.DUMMYFUNCTION("""COMPUTED_VALUE"""),44716.0)</f>
        <v>44716</v>
      </c>
      <c r="B1306" s="2" t="str">
        <f>IFERROR(__xludf.DUMMYFUNCTION("""COMPUTED_VALUE"""),"Arts")</f>
        <v>Arts</v>
      </c>
      <c r="C1306" s="2" t="str">
        <f>IFERROR(__xludf.DUMMYFUNCTION("""COMPUTED_VALUE"""),"Political History")</f>
        <v>Political History</v>
      </c>
      <c r="D1306" s="2" t="str">
        <f>IFERROR(__xludf.DUMMYFUNCTION("""COMPUTED_VALUE"""),"Evergreen Ridge Press")</f>
        <v>Evergreen Ridge Press</v>
      </c>
      <c r="E1306" s="2">
        <f>IFERROR(__xludf.DUMMYFUNCTION("""COMPUTED_VALUE"""),1.28)</f>
        <v>1.28</v>
      </c>
      <c r="F1306" s="2"/>
      <c r="G1306" s="2"/>
      <c r="H1306" s="2"/>
      <c r="I1306" s="2"/>
    </row>
    <row r="1307">
      <c r="A1307" s="2">
        <f>IFERROR(__xludf.DUMMYFUNCTION("""COMPUTED_VALUE"""),89640.0)</f>
        <v>89640</v>
      </c>
      <c r="B1307" s="2" t="str">
        <f>IFERROR(__xludf.DUMMYFUNCTION("""COMPUTED_VALUE"""),"Arts")</f>
        <v>Arts</v>
      </c>
      <c r="C1307" s="2" t="str">
        <f>IFERROR(__xludf.DUMMYFUNCTION("""COMPUTED_VALUE"""),"Political History")</f>
        <v>Political History</v>
      </c>
      <c r="D1307" s="2" t="str">
        <f>IFERROR(__xludf.DUMMYFUNCTION("""COMPUTED_VALUE"""),"Evergreen Ridge Press")</f>
        <v>Evergreen Ridge Press</v>
      </c>
      <c r="E1307" s="2">
        <f>IFERROR(__xludf.DUMMYFUNCTION("""COMPUTED_VALUE"""),1.04)</f>
        <v>1.04</v>
      </c>
      <c r="F1307" s="2"/>
      <c r="G1307" s="2"/>
      <c r="H1307" s="2"/>
      <c r="I1307" s="2"/>
    </row>
    <row r="1308">
      <c r="A1308" s="2">
        <f>IFERROR(__xludf.DUMMYFUNCTION("""COMPUTED_VALUE"""),112072.0)</f>
        <v>112072</v>
      </c>
      <c r="B1308" s="2" t="str">
        <f>IFERROR(__xludf.DUMMYFUNCTION("""COMPUTED_VALUE"""),"Arts")</f>
        <v>Arts</v>
      </c>
      <c r="C1308" s="2" t="str">
        <f>IFERROR(__xludf.DUMMYFUNCTION("""COMPUTED_VALUE"""),"Political History")</f>
        <v>Political History</v>
      </c>
      <c r="D1308" s="2" t="str">
        <f>IFERROR(__xludf.DUMMYFUNCTION("""COMPUTED_VALUE"""),"Evergreen Ridge Press")</f>
        <v>Evergreen Ridge Press</v>
      </c>
      <c r="E1308" s="2">
        <f>IFERROR(__xludf.DUMMYFUNCTION("""COMPUTED_VALUE"""),2.91)</f>
        <v>2.91</v>
      </c>
      <c r="F1308" s="2"/>
      <c r="G1308" s="2"/>
      <c r="H1308" s="2"/>
      <c r="I1308" s="2"/>
    </row>
    <row r="1309">
      <c r="A1309" s="2">
        <f>IFERROR(__xludf.DUMMYFUNCTION("""COMPUTED_VALUE"""),112991.0)</f>
        <v>112991</v>
      </c>
      <c r="B1309" s="2" t="str">
        <f>IFERROR(__xludf.DUMMYFUNCTION("""COMPUTED_VALUE"""),"Arts")</f>
        <v>Arts</v>
      </c>
      <c r="C1309" s="2" t="str">
        <f>IFERROR(__xludf.DUMMYFUNCTION("""COMPUTED_VALUE"""),"Political History")</f>
        <v>Political History</v>
      </c>
      <c r="D1309" s="2" t="str">
        <f>IFERROR(__xludf.DUMMYFUNCTION("""COMPUTED_VALUE"""),"Evergreen Ridge Press")</f>
        <v>Evergreen Ridge Press</v>
      </c>
      <c r="E1309" s="2">
        <f>IFERROR(__xludf.DUMMYFUNCTION("""COMPUTED_VALUE"""),3.92)</f>
        <v>3.92</v>
      </c>
      <c r="F1309" s="2"/>
      <c r="G1309" s="2"/>
      <c r="H1309" s="2"/>
      <c r="I1309" s="2"/>
    </row>
    <row r="1310">
      <c r="A1310" s="2">
        <f>IFERROR(__xludf.DUMMYFUNCTION("""COMPUTED_VALUE"""),101587.0)</f>
        <v>101587</v>
      </c>
      <c r="B1310" s="2" t="str">
        <f>IFERROR(__xludf.DUMMYFUNCTION("""COMPUTED_VALUE"""),"Arts")</f>
        <v>Arts</v>
      </c>
      <c r="C1310" s="2" t="str">
        <f>IFERROR(__xludf.DUMMYFUNCTION("""COMPUTED_VALUE"""),"Political History")</f>
        <v>Political History</v>
      </c>
      <c r="D1310" s="2" t="str">
        <f>IFERROR(__xludf.DUMMYFUNCTION("""COMPUTED_VALUE"""),"Highland Grove Publishing")</f>
        <v>Highland Grove Publishing</v>
      </c>
      <c r="E1310" s="2">
        <f>IFERROR(__xludf.DUMMYFUNCTION("""COMPUTED_VALUE"""),2.93)</f>
        <v>2.93</v>
      </c>
      <c r="F1310" s="2"/>
      <c r="G1310" s="2"/>
      <c r="H1310" s="2"/>
      <c r="I1310" s="2"/>
    </row>
    <row r="1311">
      <c r="A1311" s="2">
        <f>IFERROR(__xludf.DUMMYFUNCTION("""COMPUTED_VALUE"""),10525.0)</f>
        <v>10525</v>
      </c>
      <c r="B1311" s="2" t="str">
        <f>IFERROR(__xludf.DUMMYFUNCTION("""COMPUTED_VALUE"""),"Arts")</f>
        <v>Arts</v>
      </c>
      <c r="C1311" s="2" t="str">
        <f>IFERROR(__xludf.DUMMYFUNCTION("""COMPUTED_VALUE"""),"Political History")</f>
        <v>Political History</v>
      </c>
      <c r="D1311" s="2" t="str">
        <f>IFERROR(__xludf.DUMMYFUNCTION("""COMPUTED_VALUE"""),"Highland Grove Publishing")</f>
        <v>Highland Grove Publishing</v>
      </c>
      <c r="E1311" s="2">
        <f>IFERROR(__xludf.DUMMYFUNCTION("""COMPUTED_VALUE"""),2.21)</f>
        <v>2.21</v>
      </c>
      <c r="F1311" s="2"/>
      <c r="G1311" s="2"/>
      <c r="H1311" s="2"/>
      <c r="I1311" s="2"/>
    </row>
    <row r="1312">
      <c r="A1312" s="2">
        <f>IFERROR(__xludf.DUMMYFUNCTION("""COMPUTED_VALUE"""),121349.0)</f>
        <v>121349</v>
      </c>
      <c r="B1312" s="2" t="str">
        <f>IFERROR(__xludf.DUMMYFUNCTION("""COMPUTED_VALUE"""),"Arts")</f>
        <v>Arts</v>
      </c>
      <c r="C1312" s="2" t="str">
        <f>IFERROR(__xludf.DUMMYFUNCTION("""COMPUTED_VALUE"""),"Political History")</f>
        <v>Political History</v>
      </c>
      <c r="D1312" s="2" t="str">
        <f>IFERROR(__xludf.DUMMYFUNCTION("""COMPUTED_VALUE"""),"Highland Grove Publishing")</f>
        <v>Highland Grove Publishing</v>
      </c>
      <c r="E1312" s="2">
        <f>IFERROR(__xludf.DUMMYFUNCTION("""COMPUTED_VALUE"""),1.3)</f>
        <v>1.3</v>
      </c>
      <c r="F1312" s="2"/>
      <c r="G1312" s="2"/>
      <c r="H1312" s="2"/>
      <c r="I1312" s="2"/>
    </row>
    <row r="1313">
      <c r="A1313" s="2">
        <f>IFERROR(__xludf.DUMMYFUNCTION("""COMPUTED_VALUE"""),127811.0)</f>
        <v>127811</v>
      </c>
      <c r="B1313" s="2" t="str">
        <f>IFERROR(__xludf.DUMMYFUNCTION("""COMPUTED_VALUE"""),"Arts")</f>
        <v>Arts</v>
      </c>
      <c r="C1313" s="2" t="str">
        <f>IFERROR(__xludf.DUMMYFUNCTION("""COMPUTED_VALUE"""),"Political History")</f>
        <v>Political History</v>
      </c>
      <c r="D1313" s="2" t="str">
        <f>IFERROR(__xludf.DUMMYFUNCTION("""COMPUTED_VALUE"""),"Highland Grove Publishing")</f>
        <v>Highland Grove Publishing</v>
      </c>
      <c r="E1313" s="2">
        <f>IFERROR(__xludf.DUMMYFUNCTION("""COMPUTED_VALUE"""),3.33)</f>
        <v>3.33</v>
      </c>
      <c r="F1313" s="2"/>
      <c r="G1313" s="2"/>
      <c r="H1313" s="2"/>
      <c r="I1313" s="2"/>
    </row>
    <row r="1314">
      <c r="A1314" s="2">
        <f>IFERROR(__xludf.DUMMYFUNCTION("""COMPUTED_VALUE"""),81507.0)</f>
        <v>81507</v>
      </c>
      <c r="B1314" s="2" t="str">
        <f>IFERROR(__xludf.DUMMYFUNCTION("""COMPUTED_VALUE"""),"Arts")</f>
        <v>Arts</v>
      </c>
      <c r="C1314" s="2" t="str">
        <f>IFERROR(__xludf.DUMMYFUNCTION("""COMPUTED_VALUE"""),"Political History")</f>
        <v>Political History</v>
      </c>
      <c r="D1314" s="2" t="str">
        <f>IFERROR(__xludf.DUMMYFUNCTION("""COMPUTED_VALUE"""),"Highland Grove Publishing")</f>
        <v>Highland Grove Publishing</v>
      </c>
      <c r="E1314" s="2">
        <f>IFERROR(__xludf.DUMMYFUNCTION("""COMPUTED_VALUE"""),8.13)</f>
        <v>8.13</v>
      </c>
      <c r="F1314" s="2"/>
      <c r="G1314" s="2"/>
      <c r="H1314" s="2"/>
      <c r="I1314" s="2"/>
    </row>
    <row r="1315">
      <c r="A1315" s="2">
        <f>IFERROR(__xludf.DUMMYFUNCTION("""COMPUTED_VALUE"""),78412.0)</f>
        <v>78412</v>
      </c>
      <c r="B1315" s="2" t="str">
        <f>IFERROR(__xludf.DUMMYFUNCTION("""COMPUTED_VALUE"""),"Arts")</f>
        <v>Arts</v>
      </c>
      <c r="C1315" s="2" t="str">
        <f>IFERROR(__xludf.DUMMYFUNCTION("""COMPUTED_VALUE"""),"Political History")</f>
        <v>Political History</v>
      </c>
      <c r="D1315" s="2" t="str">
        <f>IFERROR(__xludf.DUMMYFUNCTION("""COMPUTED_VALUE"""),"Highland Grove Publishing")</f>
        <v>Highland Grove Publishing</v>
      </c>
      <c r="E1315" s="2">
        <f>IFERROR(__xludf.DUMMYFUNCTION("""COMPUTED_VALUE"""),2.23)</f>
        <v>2.23</v>
      </c>
      <c r="F1315" s="2"/>
      <c r="G1315" s="2"/>
      <c r="H1315" s="2"/>
      <c r="I1315" s="2"/>
    </row>
    <row r="1316">
      <c r="A1316" s="2">
        <f>IFERROR(__xludf.DUMMYFUNCTION("""COMPUTED_VALUE"""),109312.0)</f>
        <v>109312</v>
      </c>
      <c r="B1316" s="2" t="str">
        <f>IFERROR(__xludf.DUMMYFUNCTION("""COMPUTED_VALUE"""),"Arts")</f>
        <v>Arts</v>
      </c>
      <c r="C1316" s="2" t="str">
        <f>IFERROR(__xludf.DUMMYFUNCTION("""COMPUTED_VALUE"""),"Political History")</f>
        <v>Political History</v>
      </c>
      <c r="D1316" s="2" t="str">
        <f>IFERROR(__xludf.DUMMYFUNCTION("""COMPUTED_VALUE"""),"Highland Grove Publishing")</f>
        <v>Highland Grove Publishing</v>
      </c>
      <c r="E1316" s="2">
        <f>IFERROR(__xludf.DUMMYFUNCTION("""COMPUTED_VALUE"""),1.6)</f>
        <v>1.6</v>
      </c>
      <c r="F1316" s="2"/>
      <c r="G1316" s="2"/>
      <c r="H1316" s="2"/>
      <c r="I1316" s="2"/>
    </row>
    <row r="1317">
      <c r="A1317" s="2">
        <f>IFERROR(__xludf.DUMMYFUNCTION("""COMPUTED_VALUE"""),78502.0)</f>
        <v>78502</v>
      </c>
      <c r="B1317" s="2" t="str">
        <f>IFERROR(__xludf.DUMMYFUNCTION("""COMPUTED_VALUE"""),"Arts")</f>
        <v>Arts</v>
      </c>
      <c r="C1317" s="2" t="str">
        <f>IFERROR(__xludf.DUMMYFUNCTION("""COMPUTED_VALUE"""),"Political History")</f>
        <v>Political History</v>
      </c>
      <c r="D1317" s="2" t="str">
        <f>IFERROR(__xludf.DUMMYFUNCTION("""COMPUTED_VALUE"""),"Highland Grove Publishing")</f>
        <v>Highland Grove Publishing</v>
      </c>
      <c r="E1317" s="2">
        <f>IFERROR(__xludf.DUMMYFUNCTION("""COMPUTED_VALUE"""),4.83)</f>
        <v>4.83</v>
      </c>
      <c r="F1317" s="2"/>
      <c r="G1317" s="2"/>
      <c r="H1317" s="2"/>
      <c r="I1317" s="2"/>
    </row>
    <row r="1318">
      <c r="A1318" s="2">
        <f>IFERROR(__xludf.DUMMYFUNCTION("""COMPUTED_VALUE"""),111498.0)</f>
        <v>111498</v>
      </c>
      <c r="B1318" s="2" t="str">
        <f>IFERROR(__xludf.DUMMYFUNCTION("""COMPUTED_VALUE"""),"Arts")</f>
        <v>Arts</v>
      </c>
      <c r="C1318" s="2" t="str">
        <f>IFERROR(__xludf.DUMMYFUNCTION("""COMPUTED_VALUE"""),"Political History")</f>
        <v>Political History</v>
      </c>
      <c r="D1318" s="2" t="str">
        <f>IFERROR(__xludf.DUMMYFUNCTION("""COMPUTED_VALUE"""),"Highland Grove Publishing")</f>
        <v>Highland Grove Publishing</v>
      </c>
      <c r="E1318" s="2">
        <f>IFERROR(__xludf.DUMMYFUNCTION("""COMPUTED_VALUE"""),1.63)</f>
        <v>1.63</v>
      </c>
      <c r="F1318" s="2"/>
      <c r="G1318" s="2"/>
      <c r="H1318" s="2"/>
      <c r="I1318" s="2"/>
    </row>
    <row r="1319">
      <c r="A1319" s="2">
        <f>IFERROR(__xludf.DUMMYFUNCTION("""COMPUTED_VALUE"""),87242.0)</f>
        <v>87242</v>
      </c>
      <c r="B1319" s="2" t="str">
        <f>IFERROR(__xludf.DUMMYFUNCTION("""COMPUTED_VALUE"""),"Arts")</f>
        <v>Arts</v>
      </c>
      <c r="C1319" s="2" t="str">
        <f>IFERROR(__xludf.DUMMYFUNCTION("""COMPUTED_VALUE"""),"Political History")</f>
        <v>Political History</v>
      </c>
      <c r="D1319" s="2" t="str">
        <f>IFERROR(__xludf.DUMMYFUNCTION("""COMPUTED_VALUE"""),"Highland Grove Publishing")</f>
        <v>Highland Grove Publishing</v>
      </c>
      <c r="E1319" s="2">
        <f>IFERROR(__xludf.DUMMYFUNCTION("""COMPUTED_VALUE"""),3.86)</f>
        <v>3.86</v>
      </c>
      <c r="F1319" s="2"/>
      <c r="G1319" s="2"/>
      <c r="H1319" s="2"/>
      <c r="I1319" s="2"/>
    </row>
    <row r="1320">
      <c r="A1320" s="2">
        <f>IFERROR(__xludf.DUMMYFUNCTION("""COMPUTED_VALUE"""),139286.0)</f>
        <v>139286</v>
      </c>
      <c r="B1320" s="2" t="str">
        <f>IFERROR(__xludf.DUMMYFUNCTION("""COMPUTED_VALUE"""),"Arts")</f>
        <v>Arts</v>
      </c>
      <c r="C1320" s="2" t="str">
        <f>IFERROR(__xludf.DUMMYFUNCTION("""COMPUTED_VALUE"""),"Political History")</f>
        <v>Political History</v>
      </c>
      <c r="D1320" s="2" t="str">
        <f>IFERROR(__xludf.DUMMYFUNCTION("""COMPUTED_VALUE"""),"Highland Grove Publishing")</f>
        <v>Highland Grove Publishing</v>
      </c>
      <c r="E1320" s="2">
        <f>IFERROR(__xludf.DUMMYFUNCTION("""COMPUTED_VALUE"""),2.89)</f>
        <v>2.89</v>
      </c>
      <c r="F1320" s="2"/>
      <c r="G1320" s="2"/>
      <c r="H1320" s="2"/>
      <c r="I1320" s="2"/>
    </row>
    <row r="1321">
      <c r="A1321" s="2">
        <f>IFERROR(__xludf.DUMMYFUNCTION("""COMPUTED_VALUE"""),10524.0)</f>
        <v>10524</v>
      </c>
      <c r="B1321" s="2" t="str">
        <f>IFERROR(__xludf.DUMMYFUNCTION("""COMPUTED_VALUE"""),"Arts")</f>
        <v>Arts</v>
      </c>
      <c r="C1321" s="2" t="str">
        <f>IFERROR(__xludf.DUMMYFUNCTION("""COMPUTED_VALUE"""),"Political History")</f>
        <v>Political History</v>
      </c>
      <c r="D1321" s="2" t="str">
        <f>IFERROR(__xludf.DUMMYFUNCTION("""COMPUTED_VALUE"""),"Highland Grove Publishing")</f>
        <v>Highland Grove Publishing</v>
      </c>
      <c r="E1321" s="2">
        <f>IFERROR(__xludf.DUMMYFUNCTION("""COMPUTED_VALUE"""),4.86)</f>
        <v>4.86</v>
      </c>
      <c r="F1321" s="2"/>
      <c r="G1321" s="2"/>
      <c r="H1321" s="2"/>
      <c r="I1321" s="2"/>
    </row>
    <row r="1322">
      <c r="A1322" s="2">
        <f>IFERROR(__xludf.DUMMYFUNCTION("""COMPUTED_VALUE"""),78397.0)</f>
        <v>78397</v>
      </c>
      <c r="B1322" s="2" t="str">
        <f>IFERROR(__xludf.DUMMYFUNCTION("""COMPUTED_VALUE"""),"Arts")</f>
        <v>Arts</v>
      </c>
      <c r="C1322" s="2" t="str">
        <f>IFERROR(__xludf.DUMMYFUNCTION("""COMPUTED_VALUE"""),"Political History")</f>
        <v>Political History</v>
      </c>
      <c r="D1322" s="2" t="str">
        <f>IFERROR(__xludf.DUMMYFUNCTION("""COMPUTED_VALUE"""),"Highland Grove Publishing")</f>
        <v>Highland Grove Publishing</v>
      </c>
      <c r="E1322" s="2">
        <f>IFERROR(__xludf.DUMMYFUNCTION("""COMPUTED_VALUE"""),2.23)</f>
        <v>2.23</v>
      </c>
      <c r="F1322" s="2"/>
      <c r="G1322" s="2"/>
      <c r="H1322" s="2"/>
      <c r="I1322" s="2"/>
    </row>
    <row r="1323">
      <c r="A1323" s="2">
        <f>IFERROR(__xludf.DUMMYFUNCTION("""COMPUTED_VALUE"""),78421.0)</f>
        <v>78421</v>
      </c>
      <c r="B1323" s="2" t="str">
        <f>IFERROR(__xludf.DUMMYFUNCTION("""COMPUTED_VALUE"""),"Arts")</f>
        <v>Arts</v>
      </c>
      <c r="C1323" s="2" t="str">
        <f>IFERROR(__xludf.DUMMYFUNCTION("""COMPUTED_VALUE"""),"Political History")</f>
        <v>Political History</v>
      </c>
      <c r="D1323" s="2" t="str">
        <f>IFERROR(__xludf.DUMMYFUNCTION("""COMPUTED_VALUE"""),"Highland Grove Publishing")</f>
        <v>Highland Grove Publishing</v>
      </c>
      <c r="E1323" s="2">
        <f>IFERROR(__xludf.DUMMYFUNCTION("""COMPUTED_VALUE"""),1.7)</f>
        <v>1.7</v>
      </c>
      <c r="F1323" s="2"/>
      <c r="G1323" s="2"/>
      <c r="H1323" s="2"/>
      <c r="I1323" s="2"/>
    </row>
    <row r="1324">
      <c r="A1324" s="2">
        <f>IFERROR(__xludf.DUMMYFUNCTION("""COMPUTED_VALUE"""),23420.0)</f>
        <v>23420</v>
      </c>
      <c r="B1324" s="2" t="str">
        <f>IFERROR(__xludf.DUMMYFUNCTION("""COMPUTED_VALUE"""),"Arts")</f>
        <v>Arts</v>
      </c>
      <c r="C1324" s="2" t="str">
        <f>IFERROR(__xludf.DUMMYFUNCTION("""COMPUTED_VALUE"""),"Political History")</f>
        <v>Political History</v>
      </c>
      <c r="D1324" s="2" t="str">
        <f>IFERROR(__xludf.DUMMYFUNCTION("""COMPUTED_VALUE"""),"Highland Grove Publishing")</f>
        <v>Highland Grove Publishing</v>
      </c>
      <c r="E1324" s="2">
        <f>IFERROR(__xludf.DUMMYFUNCTION("""COMPUTED_VALUE"""),11.04)</f>
        <v>11.04</v>
      </c>
      <c r="F1324" s="2"/>
      <c r="G1324" s="2"/>
      <c r="H1324" s="2"/>
      <c r="I1324" s="2"/>
    </row>
    <row r="1325">
      <c r="A1325" s="2">
        <f>IFERROR(__xludf.DUMMYFUNCTION("""COMPUTED_VALUE"""),78498.0)</f>
        <v>78498</v>
      </c>
      <c r="B1325" s="2" t="str">
        <f>IFERROR(__xludf.DUMMYFUNCTION("""COMPUTED_VALUE"""),"Arts")</f>
        <v>Arts</v>
      </c>
      <c r="C1325" s="2" t="str">
        <f>IFERROR(__xludf.DUMMYFUNCTION("""COMPUTED_VALUE"""),"Political History")</f>
        <v>Political History</v>
      </c>
      <c r="D1325" s="2" t="str">
        <f>IFERROR(__xludf.DUMMYFUNCTION("""COMPUTED_VALUE"""),"Highland Grove Publishing")</f>
        <v>Highland Grove Publishing</v>
      </c>
      <c r="E1325" s="2">
        <f>IFERROR(__xludf.DUMMYFUNCTION("""COMPUTED_VALUE"""),8.91)</f>
        <v>8.91</v>
      </c>
      <c r="F1325" s="2"/>
      <c r="G1325" s="2"/>
      <c r="H1325" s="2"/>
      <c r="I1325" s="2"/>
    </row>
    <row r="1326">
      <c r="A1326" s="2">
        <f>IFERROR(__xludf.DUMMYFUNCTION("""COMPUTED_VALUE"""),78427.0)</f>
        <v>78427</v>
      </c>
      <c r="B1326" s="2" t="str">
        <f>IFERROR(__xludf.DUMMYFUNCTION("""COMPUTED_VALUE"""),"Arts")</f>
        <v>Arts</v>
      </c>
      <c r="C1326" s="2" t="str">
        <f>IFERROR(__xludf.DUMMYFUNCTION("""COMPUTED_VALUE"""),"Political History")</f>
        <v>Political History</v>
      </c>
      <c r="D1326" s="2" t="str">
        <f>IFERROR(__xludf.DUMMYFUNCTION("""COMPUTED_VALUE"""),"Highland Grove Publishing")</f>
        <v>Highland Grove Publishing</v>
      </c>
      <c r="E1326" s="2">
        <f>IFERROR(__xludf.DUMMYFUNCTION("""COMPUTED_VALUE"""),5.14)</f>
        <v>5.14</v>
      </c>
      <c r="F1326" s="2"/>
      <c r="G1326" s="2"/>
      <c r="H1326" s="2"/>
      <c r="I1326" s="2"/>
    </row>
    <row r="1327">
      <c r="A1327" s="2">
        <f>IFERROR(__xludf.DUMMYFUNCTION("""COMPUTED_VALUE"""),119256.0)</f>
        <v>119256</v>
      </c>
      <c r="B1327" s="2" t="str">
        <f>IFERROR(__xludf.DUMMYFUNCTION("""COMPUTED_VALUE"""),"Arts")</f>
        <v>Arts</v>
      </c>
      <c r="C1327" s="2" t="str">
        <f>IFERROR(__xludf.DUMMYFUNCTION("""COMPUTED_VALUE"""),"Political History")</f>
        <v>Political History</v>
      </c>
      <c r="D1327" s="2" t="str">
        <f>IFERROR(__xludf.DUMMYFUNCTION("""COMPUTED_VALUE"""),"Highland Grove Publishing")</f>
        <v>Highland Grove Publishing</v>
      </c>
      <c r="E1327" s="2">
        <f>IFERROR(__xludf.DUMMYFUNCTION("""COMPUTED_VALUE"""),1.34)</f>
        <v>1.34</v>
      </c>
      <c r="F1327" s="2"/>
      <c r="G1327" s="2"/>
      <c r="H1327" s="2"/>
      <c r="I1327" s="2"/>
    </row>
    <row r="1328">
      <c r="A1328" s="2">
        <f>IFERROR(__xludf.DUMMYFUNCTION("""COMPUTED_VALUE"""),44731.0)</f>
        <v>44731</v>
      </c>
      <c r="B1328" s="2" t="str">
        <f>IFERROR(__xludf.DUMMYFUNCTION("""COMPUTED_VALUE"""),"Arts")</f>
        <v>Arts</v>
      </c>
      <c r="C1328" s="2" t="str">
        <f>IFERROR(__xludf.DUMMYFUNCTION("""COMPUTED_VALUE"""),"Political History")</f>
        <v>Political History</v>
      </c>
      <c r="D1328" s="2" t="str">
        <f>IFERROR(__xludf.DUMMYFUNCTION("""COMPUTED_VALUE"""),"Highland Grove Publishing")</f>
        <v>Highland Grove Publishing</v>
      </c>
      <c r="E1328" s="2">
        <f>IFERROR(__xludf.DUMMYFUNCTION("""COMPUTED_VALUE"""),7.43)</f>
        <v>7.43</v>
      </c>
      <c r="F1328" s="2"/>
      <c r="G1328" s="2"/>
      <c r="H1328" s="2"/>
      <c r="I1328" s="2"/>
    </row>
    <row r="1329">
      <c r="A1329" s="2">
        <f>IFERROR(__xludf.DUMMYFUNCTION("""COMPUTED_VALUE"""),86852.0)</f>
        <v>86852</v>
      </c>
      <c r="B1329" s="2" t="str">
        <f>IFERROR(__xludf.DUMMYFUNCTION("""COMPUTED_VALUE"""),"Arts")</f>
        <v>Arts</v>
      </c>
      <c r="C1329" s="2" t="str">
        <f>IFERROR(__xludf.DUMMYFUNCTION("""COMPUTED_VALUE"""),"Political History")</f>
        <v>Political History</v>
      </c>
      <c r="D1329" s="2" t="str">
        <f>IFERROR(__xludf.DUMMYFUNCTION("""COMPUTED_VALUE"""),"Highland Grove Publishing")</f>
        <v>Highland Grove Publishing</v>
      </c>
      <c r="E1329" s="2">
        <f>IFERROR(__xludf.DUMMYFUNCTION("""COMPUTED_VALUE"""),2.09)</f>
        <v>2.09</v>
      </c>
      <c r="F1329" s="2"/>
      <c r="G1329" s="2"/>
      <c r="H1329" s="2"/>
      <c r="I1329" s="2"/>
    </row>
    <row r="1330">
      <c r="A1330" s="2">
        <f>IFERROR(__xludf.DUMMYFUNCTION("""COMPUTED_VALUE"""),103137.0)</f>
        <v>103137</v>
      </c>
      <c r="B1330" s="2" t="str">
        <f>IFERROR(__xludf.DUMMYFUNCTION("""COMPUTED_VALUE"""),"Arts")</f>
        <v>Arts</v>
      </c>
      <c r="C1330" s="2" t="str">
        <f>IFERROR(__xludf.DUMMYFUNCTION("""COMPUTED_VALUE"""),"Political History")</f>
        <v>Political History</v>
      </c>
      <c r="D1330" s="2" t="str">
        <f>IFERROR(__xludf.DUMMYFUNCTION("""COMPUTED_VALUE"""),"Highland Grove Publishing")</f>
        <v>Highland Grove Publishing</v>
      </c>
      <c r="E1330" s="2">
        <f>IFERROR(__xludf.DUMMYFUNCTION("""COMPUTED_VALUE"""),1.42)</f>
        <v>1.42</v>
      </c>
      <c r="F1330" s="2"/>
      <c r="G1330" s="2"/>
      <c r="H1330" s="2"/>
      <c r="I1330" s="2"/>
    </row>
    <row r="1331">
      <c r="A1331" s="2">
        <f>IFERROR(__xludf.DUMMYFUNCTION("""COMPUTED_VALUE"""),95079.0)</f>
        <v>95079</v>
      </c>
      <c r="B1331" s="2" t="str">
        <f>IFERROR(__xludf.DUMMYFUNCTION("""COMPUTED_VALUE"""),"Arts")</f>
        <v>Arts</v>
      </c>
      <c r="C1331" s="2" t="str">
        <f>IFERROR(__xludf.DUMMYFUNCTION("""COMPUTED_VALUE"""),"Political History")</f>
        <v>Political History</v>
      </c>
      <c r="D1331" s="2" t="str">
        <f>IFERROR(__xludf.DUMMYFUNCTION("""COMPUTED_VALUE"""),"Highland Grove Publishing")</f>
        <v>Highland Grove Publishing</v>
      </c>
      <c r="E1331" s="2">
        <f>IFERROR(__xludf.DUMMYFUNCTION("""COMPUTED_VALUE"""),4.1)</f>
        <v>4.1</v>
      </c>
      <c r="F1331" s="2"/>
      <c r="G1331" s="2"/>
      <c r="H1331" s="2"/>
      <c r="I1331" s="2"/>
    </row>
    <row r="1332">
      <c r="A1332" s="2">
        <f>IFERROR(__xludf.DUMMYFUNCTION("""COMPUTED_VALUE"""),121568.0)</f>
        <v>121568</v>
      </c>
      <c r="B1332" s="2" t="str">
        <f>IFERROR(__xludf.DUMMYFUNCTION("""COMPUTED_VALUE"""),"Arts")</f>
        <v>Arts</v>
      </c>
      <c r="C1332" s="2" t="str">
        <f>IFERROR(__xludf.DUMMYFUNCTION("""COMPUTED_VALUE"""),"Political History")</f>
        <v>Political History</v>
      </c>
      <c r="D1332" s="2" t="str">
        <f>IFERROR(__xludf.DUMMYFUNCTION("""COMPUTED_VALUE"""),"Highland Grove Publishing")</f>
        <v>Highland Grove Publishing</v>
      </c>
      <c r="E1332" s="2">
        <f>IFERROR(__xludf.DUMMYFUNCTION("""COMPUTED_VALUE"""),8.28)</f>
        <v>8.28</v>
      </c>
      <c r="F1332" s="2"/>
      <c r="G1332" s="2"/>
      <c r="H1332" s="2"/>
      <c r="I1332" s="2"/>
    </row>
    <row r="1333">
      <c r="A1333" s="2">
        <f>IFERROR(__xludf.DUMMYFUNCTION("""COMPUTED_VALUE"""),89645.0)</f>
        <v>89645</v>
      </c>
      <c r="B1333" s="2" t="str">
        <f>IFERROR(__xludf.DUMMYFUNCTION("""COMPUTED_VALUE"""),"Arts")</f>
        <v>Arts</v>
      </c>
      <c r="C1333" s="2" t="str">
        <f>IFERROR(__xludf.DUMMYFUNCTION("""COMPUTED_VALUE"""),"Political History")</f>
        <v>Political History</v>
      </c>
      <c r="D1333" s="2" t="str">
        <f>IFERROR(__xludf.DUMMYFUNCTION("""COMPUTED_VALUE"""),"Highland Grove Publishing")</f>
        <v>Highland Grove Publishing</v>
      </c>
      <c r="E1333" s="2">
        <f>IFERROR(__xludf.DUMMYFUNCTION("""COMPUTED_VALUE"""),2.76)</f>
        <v>2.76</v>
      </c>
      <c r="F1333" s="2"/>
      <c r="G1333" s="2"/>
      <c r="H1333" s="2"/>
      <c r="I1333" s="2"/>
    </row>
    <row r="1334">
      <c r="A1334" s="2">
        <f>IFERROR(__xludf.DUMMYFUNCTION("""COMPUTED_VALUE"""),44691.0)</f>
        <v>44691</v>
      </c>
      <c r="B1334" s="2" t="str">
        <f>IFERROR(__xludf.DUMMYFUNCTION("""COMPUTED_VALUE"""),"Arts")</f>
        <v>Arts</v>
      </c>
      <c r="C1334" s="2" t="str">
        <f>IFERROR(__xludf.DUMMYFUNCTION("""COMPUTED_VALUE"""),"Political History")</f>
        <v>Political History</v>
      </c>
      <c r="D1334" s="2" t="str">
        <f>IFERROR(__xludf.DUMMYFUNCTION("""COMPUTED_VALUE"""),"Highland Grove Publishing")</f>
        <v>Highland Grove Publishing</v>
      </c>
      <c r="E1334" s="2">
        <f>IFERROR(__xludf.DUMMYFUNCTION("""COMPUTED_VALUE"""),1.25)</f>
        <v>1.25</v>
      </c>
      <c r="F1334" s="2"/>
      <c r="G1334" s="2"/>
      <c r="H1334" s="2"/>
      <c r="I1334" s="2"/>
    </row>
    <row r="1335">
      <c r="A1335" s="2">
        <f>IFERROR(__xludf.DUMMYFUNCTION("""COMPUTED_VALUE"""),94055.0)</f>
        <v>94055</v>
      </c>
      <c r="B1335" s="2" t="str">
        <f>IFERROR(__xludf.DUMMYFUNCTION("""COMPUTED_VALUE"""),"Arts")</f>
        <v>Arts</v>
      </c>
      <c r="C1335" s="2" t="str">
        <f>IFERROR(__xludf.DUMMYFUNCTION("""COMPUTED_VALUE"""),"Political History")</f>
        <v>Political History</v>
      </c>
      <c r="D1335" s="2" t="str">
        <f>IFERROR(__xludf.DUMMYFUNCTION("""COMPUTED_VALUE"""),"Highland Grove Publishing")</f>
        <v>Highland Grove Publishing</v>
      </c>
      <c r="E1335" s="2">
        <f>IFERROR(__xludf.DUMMYFUNCTION("""COMPUTED_VALUE"""),4.08)</f>
        <v>4.08</v>
      </c>
      <c r="F1335" s="2"/>
      <c r="G1335" s="2"/>
      <c r="H1335" s="2"/>
      <c r="I1335" s="2"/>
    </row>
    <row r="1336">
      <c r="A1336" s="2">
        <f>IFERROR(__xludf.DUMMYFUNCTION("""COMPUTED_VALUE"""),101586.0)</f>
        <v>101586</v>
      </c>
      <c r="B1336" s="2" t="str">
        <f>IFERROR(__xludf.DUMMYFUNCTION("""COMPUTED_VALUE"""),"Arts")</f>
        <v>Arts</v>
      </c>
      <c r="C1336" s="2" t="str">
        <f>IFERROR(__xludf.DUMMYFUNCTION("""COMPUTED_VALUE"""),"Political History")</f>
        <v>Political History</v>
      </c>
      <c r="D1336" s="2" t="str">
        <f>IFERROR(__xludf.DUMMYFUNCTION("""COMPUTED_VALUE"""),"Highland Grove Publishing")</f>
        <v>Highland Grove Publishing</v>
      </c>
      <c r="E1336" s="2">
        <f>IFERROR(__xludf.DUMMYFUNCTION("""COMPUTED_VALUE"""),3.9)</f>
        <v>3.9</v>
      </c>
      <c r="F1336" s="2"/>
      <c r="G1336" s="2"/>
      <c r="H1336" s="2"/>
      <c r="I1336" s="2"/>
    </row>
    <row r="1337">
      <c r="A1337" s="2">
        <f>IFERROR(__xludf.DUMMYFUNCTION("""COMPUTED_VALUE"""),106731.0)</f>
        <v>106731</v>
      </c>
      <c r="B1337" s="2" t="str">
        <f>IFERROR(__xludf.DUMMYFUNCTION("""COMPUTED_VALUE"""),"Arts")</f>
        <v>Arts</v>
      </c>
      <c r="C1337" s="2" t="str">
        <f>IFERROR(__xludf.DUMMYFUNCTION("""COMPUTED_VALUE"""),"Political History")</f>
        <v>Political History</v>
      </c>
      <c r="D1337" s="2" t="str">
        <f>IFERROR(__xludf.DUMMYFUNCTION("""COMPUTED_VALUE"""),"Highland Grove Publishing")</f>
        <v>Highland Grove Publishing</v>
      </c>
      <c r="E1337" s="2">
        <f>IFERROR(__xludf.DUMMYFUNCTION("""COMPUTED_VALUE"""),2.01)</f>
        <v>2.01</v>
      </c>
      <c r="F1337" s="2"/>
      <c r="G1337" s="2"/>
      <c r="H1337" s="2"/>
      <c r="I1337" s="2"/>
    </row>
    <row r="1338">
      <c r="A1338" s="2">
        <f>IFERROR(__xludf.DUMMYFUNCTION("""COMPUTED_VALUE"""),87072.0)</f>
        <v>87072</v>
      </c>
      <c r="B1338" s="2" t="str">
        <f>IFERROR(__xludf.DUMMYFUNCTION("""COMPUTED_VALUE"""),"Arts")</f>
        <v>Arts</v>
      </c>
      <c r="C1338" s="2" t="str">
        <f>IFERROR(__xludf.DUMMYFUNCTION("""COMPUTED_VALUE"""),"Political History")</f>
        <v>Political History</v>
      </c>
      <c r="D1338" s="2" t="str">
        <f>IFERROR(__xludf.DUMMYFUNCTION("""COMPUTED_VALUE"""),"Highland Grove Publishing")</f>
        <v>Highland Grove Publishing</v>
      </c>
      <c r="E1338" s="2">
        <f>IFERROR(__xludf.DUMMYFUNCTION("""COMPUTED_VALUE"""),4.67)</f>
        <v>4.67</v>
      </c>
      <c r="F1338" s="2"/>
      <c r="G1338" s="2"/>
      <c r="H1338" s="2"/>
      <c r="I1338" s="2"/>
    </row>
    <row r="1339">
      <c r="A1339" s="2">
        <f>IFERROR(__xludf.DUMMYFUNCTION("""COMPUTED_VALUE"""),44711.0)</f>
        <v>44711</v>
      </c>
      <c r="B1339" s="2" t="str">
        <f>IFERROR(__xludf.DUMMYFUNCTION("""COMPUTED_VALUE"""),"Arts")</f>
        <v>Arts</v>
      </c>
      <c r="C1339" s="2" t="str">
        <f>IFERROR(__xludf.DUMMYFUNCTION("""COMPUTED_VALUE"""),"Political History")</f>
        <v>Political History</v>
      </c>
      <c r="D1339" s="2" t="str">
        <f>IFERROR(__xludf.DUMMYFUNCTION("""COMPUTED_VALUE"""),"Highland Grove Publishing")</f>
        <v>Highland Grove Publishing</v>
      </c>
      <c r="E1339" s="2">
        <f>IFERROR(__xludf.DUMMYFUNCTION("""COMPUTED_VALUE"""),2.05)</f>
        <v>2.05</v>
      </c>
      <c r="F1339" s="2"/>
      <c r="G1339" s="2"/>
      <c r="H1339" s="2"/>
      <c r="I1339" s="2"/>
    </row>
    <row r="1340">
      <c r="A1340" s="2">
        <f>IFERROR(__xludf.DUMMYFUNCTION("""COMPUTED_VALUE"""),78428.0)</f>
        <v>78428</v>
      </c>
      <c r="B1340" s="2" t="str">
        <f>IFERROR(__xludf.DUMMYFUNCTION("""COMPUTED_VALUE"""),"Arts")</f>
        <v>Arts</v>
      </c>
      <c r="C1340" s="2" t="str">
        <f>IFERROR(__xludf.DUMMYFUNCTION("""COMPUTED_VALUE"""),"Political History")</f>
        <v>Political History</v>
      </c>
      <c r="D1340" s="2" t="str">
        <f>IFERROR(__xludf.DUMMYFUNCTION("""COMPUTED_VALUE"""),"Highland Grove Publishing")</f>
        <v>Highland Grove Publishing</v>
      </c>
      <c r="E1340" s="2">
        <f>IFERROR(__xludf.DUMMYFUNCTION("""COMPUTED_VALUE"""),2.21)</f>
        <v>2.21</v>
      </c>
      <c r="F1340" s="2"/>
      <c r="G1340" s="2"/>
      <c r="H1340" s="2"/>
      <c r="I1340" s="2"/>
    </row>
    <row r="1341">
      <c r="A1341" s="2">
        <f>IFERROR(__xludf.DUMMYFUNCTION("""COMPUTED_VALUE"""),10531.0)</f>
        <v>10531</v>
      </c>
      <c r="B1341" s="2" t="str">
        <f>IFERROR(__xludf.DUMMYFUNCTION("""COMPUTED_VALUE"""),"Arts")</f>
        <v>Arts</v>
      </c>
      <c r="C1341" s="2" t="str">
        <f>IFERROR(__xludf.DUMMYFUNCTION("""COMPUTED_VALUE"""),"Political History")</f>
        <v>Political History</v>
      </c>
      <c r="D1341" s="2" t="str">
        <f>IFERROR(__xludf.DUMMYFUNCTION("""COMPUTED_VALUE"""),"Highland Grove Publishing")</f>
        <v>Highland Grove Publishing</v>
      </c>
      <c r="E1341" s="2">
        <f>IFERROR(__xludf.DUMMYFUNCTION("""COMPUTED_VALUE"""),1.73)</f>
        <v>1.73</v>
      </c>
      <c r="F1341" s="2"/>
      <c r="G1341" s="2"/>
      <c r="H1341" s="2"/>
      <c r="I1341" s="2"/>
    </row>
    <row r="1342">
      <c r="A1342" s="2">
        <f>IFERROR(__xludf.DUMMYFUNCTION("""COMPUTED_VALUE"""),158475.0)</f>
        <v>158475</v>
      </c>
      <c r="B1342" s="2" t="str">
        <f>IFERROR(__xludf.DUMMYFUNCTION("""COMPUTED_VALUE"""),"Arts")</f>
        <v>Arts</v>
      </c>
      <c r="C1342" s="2" t="str">
        <f>IFERROR(__xludf.DUMMYFUNCTION("""COMPUTED_VALUE"""),"Political History")</f>
        <v>Political History</v>
      </c>
      <c r="D1342" s="2" t="str">
        <f>IFERROR(__xludf.DUMMYFUNCTION("""COMPUTED_VALUE"""),"Highland Grove Publishing")</f>
        <v>Highland Grove Publishing</v>
      </c>
      <c r="E1342" s="2">
        <f>IFERROR(__xludf.DUMMYFUNCTION("""COMPUTED_VALUE"""),3.13)</f>
        <v>3.13</v>
      </c>
      <c r="F1342" s="2"/>
      <c r="G1342" s="2"/>
      <c r="H1342" s="2"/>
      <c r="I1342" s="2"/>
    </row>
    <row r="1343">
      <c r="A1343" s="2">
        <f>IFERROR(__xludf.DUMMYFUNCTION("""COMPUTED_VALUE"""),89633.0)</f>
        <v>89633</v>
      </c>
      <c r="B1343" s="2" t="str">
        <f>IFERROR(__xludf.DUMMYFUNCTION("""COMPUTED_VALUE"""),"Arts")</f>
        <v>Arts</v>
      </c>
      <c r="C1343" s="2" t="str">
        <f>IFERROR(__xludf.DUMMYFUNCTION("""COMPUTED_VALUE"""),"Political History")</f>
        <v>Political History</v>
      </c>
      <c r="D1343" s="2" t="str">
        <f>IFERROR(__xludf.DUMMYFUNCTION("""COMPUTED_VALUE"""),"Highland Grove Publishing")</f>
        <v>Highland Grove Publishing</v>
      </c>
      <c r="E1343" s="2">
        <f>IFERROR(__xludf.DUMMYFUNCTION("""COMPUTED_VALUE"""),1.46)</f>
        <v>1.46</v>
      </c>
      <c r="F1343" s="2"/>
      <c r="G1343" s="2"/>
      <c r="H1343" s="2"/>
      <c r="I1343" s="2"/>
    </row>
    <row r="1344">
      <c r="A1344" s="2">
        <f>IFERROR(__xludf.DUMMYFUNCTION("""COMPUTED_VALUE"""),86836.0)</f>
        <v>86836</v>
      </c>
      <c r="B1344" s="2" t="str">
        <f>IFERROR(__xludf.DUMMYFUNCTION("""COMPUTED_VALUE"""),"Arts")</f>
        <v>Arts</v>
      </c>
      <c r="C1344" s="2" t="str">
        <f>IFERROR(__xludf.DUMMYFUNCTION("""COMPUTED_VALUE"""),"Political History")</f>
        <v>Political History</v>
      </c>
      <c r="D1344" s="2" t="str">
        <f>IFERROR(__xludf.DUMMYFUNCTION("""COMPUTED_VALUE"""),"Highland Grove Publishing")</f>
        <v>Highland Grove Publishing</v>
      </c>
      <c r="E1344" s="2">
        <f>IFERROR(__xludf.DUMMYFUNCTION("""COMPUTED_VALUE"""),2.1)</f>
        <v>2.1</v>
      </c>
      <c r="F1344" s="2"/>
      <c r="G1344" s="2"/>
      <c r="H1344" s="2"/>
      <c r="I1344" s="2"/>
    </row>
    <row r="1345">
      <c r="A1345" s="2">
        <f>IFERROR(__xludf.DUMMYFUNCTION("""COMPUTED_VALUE"""),44698.0)</f>
        <v>44698</v>
      </c>
      <c r="B1345" s="2" t="str">
        <f>IFERROR(__xludf.DUMMYFUNCTION("""COMPUTED_VALUE"""),"Arts")</f>
        <v>Arts</v>
      </c>
      <c r="C1345" s="2" t="str">
        <f>IFERROR(__xludf.DUMMYFUNCTION("""COMPUTED_VALUE"""),"Political History")</f>
        <v>Political History</v>
      </c>
      <c r="D1345" s="2" t="str">
        <f>IFERROR(__xludf.DUMMYFUNCTION("""COMPUTED_VALUE"""),"Highland Grove Publishing")</f>
        <v>Highland Grove Publishing</v>
      </c>
      <c r="E1345" s="2">
        <f>IFERROR(__xludf.DUMMYFUNCTION("""COMPUTED_VALUE"""),4.7)</f>
        <v>4.7</v>
      </c>
      <c r="F1345" s="2"/>
      <c r="G1345" s="2"/>
      <c r="H1345" s="2"/>
      <c r="I1345" s="2"/>
    </row>
    <row r="1346">
      <c r="A1346" s="2">
        <f>IFERROR(__xludf.DUMMYFUNCTION("""COMPUTED_VALUE"""),127870.0)</f>
        <v>127870</v>
      </c>
      <c r="B1346" s="2" t="str">
        <f>IFERROR(__xludf.DUMMYFUNCTION("""COMPUTED_VALUE"""),"Arts")</f>
        <v>Arts</v>
      </c>
      <c r="C1346" s="2" t="str">
        <f>IFERROR(__xludf.DUMMYFUNCTION("""COMPUTED_VALUE"""),"Political History")</f>
        <v>Political History</v>
      </c>
      <c r="D1346" s="2" t="str">
        <f>IFERROR(__xludf.DUMMYFUNCTION("""COMPUTED_VALUE"""),"Highland Grove Publishing")</f>
        <v>Highland Grove Publishing</v>
      </c>
      <c r="E1346" s="2">
        <f>IFERROR(__xludf.DUMMYFUNCTION("""COMPUTED_VALUE"""),2.04)</f>
        <v>2.04</v>
      </c>
      <c r="F1346" s="2"/>
      <c r="G1346" s="2"/>
      <c r="H1346" s="2"/>
      <c r="I1346" s="2"/>
    </row>
    <row r="1347">
      <c r="A1347" s="2">
        <f>IFERROR(__xludf.DUMMYFUNCTION("""COMPUTED_VALUE"""),141891.0)</f>
        <v>141891</v>
      </c>
      <c r="B1347" s="2" t="str">
        <f>IFERROR(__xludf.DUMMYFUNCTION("""COMPUTED_VALUE"""),"Arts")</f>
        <v>Arts</v>
      </c>
      <c r="C1347" s="2" t="str">
        <f>IFERROR(__xludf.DUMMYFUNCTION("""COMPUTED_VALUE"""),"Political History")</f>
        <v>Political History</v>
      </c>
      <c r="D1347" s="2" t="str">
        <f>IFERROR(__xludf.DUMMYFUNCTION("""COMPUTED_VALUE"""),"Highland Grove Publishing")</f>
        <v>Highland Grove Publishing</v>
      </c>
      <c r="E1347" s="2">
        <f>IFERROR(__xludf.DUMMYFUNCTION("""COMPUTED_VALUE"""),5.28)</f>
        <v>5.28</v>
      </c>
      <c r="F1347" s="2"/>
      <c r="G1347" s="2"/>
      <c r="H1347" s="2"/>
      <c r="I1347" s="2"/>
    </row>
    <row r="1348">
      <c r="A1348" s="2">
        <f>IFERROR(__xludf.DUMMYFUNCTION("""COMPUTED_VALUE"""),78426.0)</f>
        <v>78426</v>
      </c>
      <c r="B1348" s="2" t="str">
        <f>IFERROR(__xludf.DUMMYFUNCTION("""COMPUTED_VALUE"""),"Arts")</f>
        <v>Arts</v>
      </c>
      <c r="C1348" s="2" t="str">
        <f>IFERROR(__xludf.DUMMYFUNCTION("""COMPUTED_VALUE"""),"Political History")</f>
        <v>Political History</v>
      </c>
      <c r="D1348" s="2" t="str">
        <f>IFERROR(__xludf.DUMMYFUNCTION("""COMPUTED_VALUE"""),"Highland Grove Publishing")</f>
        <v>Highland Grove Publishing</v>
      </c>
      <c r="E1348" s="2">
        <f>IFERROR(__xludf.DUMMYFUNCTION("""COMPUTED_VALUE"""),6.57)</f>
        <v>6.57</v>
      </c>
      <c r="F1348" s="2"/>
      <c r="G1348" s="2"/>
      <c r="H1348" s="2"/>
      <c r="I1348" s="2"/>
    </row>
    <row r="1349">
      <c r="A1349" s="2">
        <f>IFERROR(__xludf.DUMMYFUNCTION("""COMPUTED_VALUE"""),77792.0)</f>
        <v>77792</v>
      </c>
      <c r="B1349" s="2" t="str">
        <f>IFERROR(__xludf.DUMMYFUNCTION("""COMPUTED_VALUE"""),"Arts")</f>
        <v>Arts</v>
      </c>
      <c r="C1349" s="2" t="str">
        <f>IFERROR(__xludf.DUMMYFUNCTION("""COMPUTED_VALUE"""),"Political History")</f>
        <v>Political History</v>
      </c>
      <c r="D1349" s="2" t="str">
        <f>IFERROR(__xludf.DUMMYFUNCTION("""COMPUTED_VALUE"""),"Highland Grove Publishing")</f>
        <v>Highland Grove Publishing</v>
      </c>
      <c r="E1349" s="2">
        <f>IFERROR(__xludf.DUMMYFUNCTION("""COMPUTED_VALUE"""),8.95)</f>
        <v>8.95</v>
      </c>
      <c r="F1349" s="2"/>
      <c r="G1349" s="2"/>
      <c r="H1349" s="2"/>
      <c r="I1349" s="2"/>
    </row>
    <row r="1350">
      <c r="A1350" s="2">
        <f>IFERROR(__xludf.DUMMYFUNCTION("""COMPUTED_VALUE"""),21027.0)</f>
        <v>21027</v>
      </c>
      <c r="B1350" s="2" t="str">
        <f>IFERROR(__xludf.DUMMYFUNCTION("""COMPUTED_VALUE"""),"Arts")</f>
        <v>Arts</v>
      </c>
      <c r="C1350" s="2" t="str">
        <f>IFERROR(__xludf.DUMMYFUNCTION("""COMPUTED_VALUE"""),"Political History")</f>
        <v>Political History</v>
      </c>
      <c r="D1350" s="2" t="str">
        <f>IFERROR(__xludf.DUMMYFUNCTION("""COMPUTED_VALUE"""),"Highland Grove Publishing")</f>
        <v>Highland Grove Publishing</v>
      </c>
      <c r="E1350" s="2">
        <f>IFERROR(__xludf.DUMMYFUNCTION("""COMPUTED_VALUE"""),3.61)</f>
        <v>3.61</v>
      </c>
      <c r="F1350" s="2"/>
      <c r="G1350" s="2"/>
      <c r="H1350" s="2"/>
      <c r="I1350" s="2"/>
    </row>
    <row r="1351">
      <c r="A1351" s="2">
        <f>IFERROR(__xludf.DUMMYFUNCTION("""COMPUTED_VALUE"""),95063.0)</f>
        <v>95063</v>
      </c>
      <c r="B1351" s="2" t="str">
        <f>IFERROR(__xludf.DUMMYFUNCTION("""COMPUTED_VALUE"""),"Arts")</f>
        <v>Arts</v>
      </c>
      <c r="C1351" s="2" t="str">
        <f>IFERROR(__xludf.DUMMYFUNCTION("""COMPUTED_VALUE"""),"Political History")</f>
        <v>Political History</v>
      </c>
      <c r="D1351" s="2" t="str">
        <f>IFERROR(__xludf.DUMMYFUNCTION("""COMPUTED_VALUE"""),"Highland Grove Publishing")</f>
        <v>Highland Grove Publishing</v>
      </c>
      <c r="E1351" s="2">
        <f>IFERROR(__xludf.DUMMYFUNCTION("""COMPUTED_VALUE"""),3.16)</f>
        <v>3.16</v>
      </c>
      <c r="F1351" s="2"/>
      <c r="G1351" s="2"/>
      <c r="H1351" s="2"/>
      <c r="I1351" s="2"/>
    </row>
    <row r="1352">
      <c r="A1352" s="2">
        <f>IFERROR(__xludf.DUMMYFUNCTION("""COMPUTED_VALUE"""),30314.0)</f>
        <v>30314</v>
      </c>
      <c r="B1352" s="2" t="str">
        <f>IFERROR(__xludf.DUMMYFUNCTION("""COMPUTED_VALUE"""),"Arts")</f>
        <v>Arts</v>
      </c>
      <c r="C1352" s="2" t="str">
        <f>IFERROR(__xludf.DUMMYFUNCTION("""COMPUTED_VALUE"""),"Political History")</f>
        <v>Political History</v>
      </c>
      <c r="D1352" s="2" t="str">
        <f>IFERROR(__xludf.DUMMYFUNCTION("""COMPUTED_VALUE"""),"Highland Grove Publishing")</f>
        <v>Highland Grove Publishing</v>
      </c>
      <c r="E1352" s="2">
        <f>IFERROR(__xludf.DUMMYFUNCTION("""COMPUTED_VALUE"""),4.67)</f>
        <v>4.67</v>
      </c>
      <c r="F1352" s="2"/>
      <c r="G1352" s="2"/>
      <c r="H1352" s="2"/>
      <c r="I1352" s="2"/>
    </row>
    <row r="1353">
      <c r="A1353" s="2">
        <f>IFERROR(__xludf.DUMMYFUNCTION("""COMPUTED_VALUE"""),19838.0)</f>
        <v>19838</v>
      </c>
      <c r="B1353" s="2" t="str">
        <f>IFERROR(__xludf.DUMMYFUNCTION("""COMPUTED_VALUE"""),"Arts")</f>
        <v>Arts</v>
      </c>
      <c r="C1353" s="2" t="str">
        <f>IFERROR(__xludf.DUMMYFUNCTION("""COMPUTED_VALUE"""),"Political History")</f>
        <v>Political History</v>
      </c>
      <c r="D1353" s="2" t="str">
        <f>IFERROR(__xludf.DUMMYFUNCTION("""COMPUTED_VALUE"""),"Highland Grove Publishing")</f>
        <v>Highland Grove Publishing</v>
      </c>
      <c r="E1353" s="2">
        <f>IFERROR(__xludf.DUMMYFUNCTION("""COMPUTED_VALUE"""),5.04)</f>
        <v>5.04</v>
      </c>
      <c r="F1353" s="2"/>
      <c r="G1353" s="2"/>
      <c r="H1353" s="2"/>
      <c r="I1353" s="2"/>
    </row>
    <row r="1354">
      <c r="A1354" s="2">
        <f>IFERROR(__xludf.DUMMYFUNCTION("""COMPUTED_VALUE"""),111283.0)</f>
        <v>111283</v>
      </c>
      <c r="B1354" s="2" t="str">
        <f>IFERROR(__xludf.DUMMYFUNCTION("""COMPUTED_VALUE"""),"Arts")</f>
        <v>Arts</v>
      </c>
      <c r="C1354" s="2" t="str">
        <f>IFERROR(__xludf.DUMMYFUNCTION("""COMPUTED_VALUE"""),"Political History")</f>
        <v>Political History</v>
      </c>
      <c r="D1354" s="2" t="str">
        <f>IFERROR(__xludf.DUMMYFUNCTION("""COMPUTED_VALUE"""),"Highland Grove Publishing")</f>
        <v>Highland Grove Publishing</v>
      </c>
      <c r="E1354" s="2">
        <f>IFERROR(__xludf.DUMMYFUNCTION("""COMPUTED_VALUE"""),4.7)</f>
        <v>4.7</v>
      </c>
      <c r="F1354" s="2"/>
      <c r="G1354" s="2"/>
      <c r="H1354" s="2"/>
      <c r="I1354" s="2"/>
    </row>
    <row r="1355">
      <c r="A1355" s="2">
        <f>IFERROR(__xludf.DUMMYFUNCTION("""COMPUTED_VALUE"""),87568.0)</f>
        <v>87568</v>
      </c>
      <c r="B1355" s="2" t="str">
        <f>IFERROR(__xludf.DUMMYFUNCTION("""COMPUTED_VALUE"""),"Arts")</f>
        <v>Arts</v>
      </c>
      <c r="C1355" s="2" t="str">
        <f>IFERROR(__xludf.DUMMYFUNCTION("""COMPUTED_VALUE"""),"Political History")</f>
        <v>Political History</v>
      </c>
      <c r="D1355" s="2" t="str">
        <f>IFERROR(__xludf.DUMMYFUNCTION("""COMPUTED_VALUE"""),"Highland Grove Publishing")</f>
        <v>Highland Grove Publishing</v>
      </c>
      <c r="E1355" s="2">
        <f>IFERROR(__xludf.DUMMYFUNCTION("""COMPUTED_VALUE"""),5.63)</f>
        <v>5.63</v>
      </c>
      <c r="F1355" s="2"/>
      <c r="G1355" s="2"/>
      <c r="H1355" s="2"/>
      <c r="I1355" s="2"/>
    </row>
    <row r="1356">
      <c r="A1356" s="2">
        <f>IFERROR(__xludf.DUMMYFUNCTION("""COMPUTED_VALUE"""),78419.0)</f>
        <v>78419</v>
      </c>
      <c r="B1356" s="2" t="str">
        <f>IFERROR(__xludf.DUMMYFUNCTION("""COMPUTED_VALUE"""),"Arts")</f>
        <v>Arts</v>
      </c>
      <c r="C1356" s="2" t="str">
        <f>IFERROR(__xludf.DUMMYFUNCTION("""COMPUTED_VALUE"""),"Political History")</f>
        <v>Political History</v>
      </c>
      <c r="D1356" s="2" t="str">
        <f>IFERROR(__xludf.DUMMYFUNCTION("""COMPUTED_VALUE"""),"Highland Grove Publishing")</f>
        <v>Highland Grove Publishing</v>
      </c>
      <c r="E1356" s="2">
        <f>IFERROR(__xludf.DUMMYFUNCTION("""COMPUTED_VALUE"""),1.24)</f>
        <v>1.24</v>
      </c>
      <c r="F1356" s="2"/>
      <c r="G1356" s="2"/>
      <c r="H1356" s="2"/>
      <c r="I1356" s="2"/>
    </row>
    <row r="1357">
      <c r="A1357" s="2">
        <f>IFERROR(__xludf.DUMMYFUNCTION("""COMPUTED_VALUE"""),106806.0)</f>
        <v>106806</v>
      </c>
      <c r="B1357" s="2" t="str">
        <f>IFERROR(__xludf.DUMMYFUNCTION("""COMPUTED_VALUE"""),"Arts")</f>
        <v>Arts</v>
      </c>
      <c r="C1357" s="2" t="str">
        <f>IFERROR(__xludf.DUMMYFUNCTION("""COMPUTED_VALUE"""),"Political History")</f>
        <v>Political History</v>
      </c>
      <c r="D1357" s="2" t="str">
        <f>IFERROR(__xludf.DUMMYFUNCTION("""COMPUTED_VALUE"""),"Highland Grove Publishing")</f>
        <v>Highland Grove Publishing</v>
      </c>
      <c r="E1357" s="2">
        <f>IFERROR(__xludf.DUMMYFUNCTION("""COMPUTED_VALUE"""),4.64)</f>
        <v>4.64</v>
      </c>
      <c r="F1357" s="2"/>
      <c r="G1357" s="2"/>
      <c r="H1357" s="2"/>
      <c r="I1357" s="2"/>
    </row>
    <row r="1358">
      <c r="A1358" s="2">
        <f>IFERROR(__xludf.DUMMYFUNCTION("""COMPUTED_VALUE"""),78420.0)</f>
        <v>78420</v>
      </c>
      <c r="B1358" s="2" t="str">
        <f>IFERROR(__xludf.DUMMYFUNCTION("""COMPUTED_VALUE"""),"Arts")</f>
        <v>Arts</v>
      </c>
      <c r="C1358" s="2" t="str">
        <f>IFERROR(__xludf.DUMMYFUNCTION("""COMPUTED_VALUE"""),"Political History")</f>
        <v>Political History</v>
      </c>
      <c r="D1358" s="2" t="str">
        <f>IFERROR(__xludf.DUMMYFUNCTION("""COMPUTED_VALUE"""),"Highland Grove Publishing")</f>
        <v>Highland Grove Publishing</v>
      </c>
      <c r="E1358" s="2">
        <f>IFERROR(__xludf.DUMMYFUNCTION("""COMPUTED_VALUE"""),2.94)</f>
        <v>2.94</v>
      </c>
      <c r="F1358" s="2"/>
      <c r="G1358" s="2"/>
      <c r="H1358" s="2"/>
      <c r="I1358" s="2"/>
    </row>
    <row r="1359">
      <c r="A1359" s="2">
        <f>IFERROR(__xludf.DUMMYFUNCTION("""COMPUTED_VALUE"""),78442.0)</f>
        <v>78442</v>
      </c>
      <c r="B1359" s="2" t="str">
        <f>IFERROR(__xludf.DUMMYFUNCTION("""COMPUTED_VALUE"""),"Arts")</f>
        <v>Arts</v>
      </c>
      <c r="C1359" s="2" t="str">
        <f>IFERROR(__xludf.DUMMYFUNCTION("""COMPUTED_VALUE"""),"Political History")</f>
        <v>Political History</v>
      </c>
      <c r="D1359" s="2" t="str">
        <f>IFERROR(__xludf.DUMMYFUNCTION("""COMPUTED_VALUE"""),"Highland Grove Publishing")</f>
        <v>Highland Grove Publishing</v>
      </c>
      <c r="E1359" s="2">
        <f>IFERROR(__xludf.DUMMYFUNCTION("""COMPUTED_VALUE"""),2.24)</f>
        <v>2.24</v>
      </c>
      <c r="F1359" s="2"/>
      <c r="G1359" s="2"/>
      <c r="H1359" s="2"/>
      <c r="I1359" s="2"/>
    </row>
    <row r="1360">
      <c r="A1360" s="2">
        <f>IFERROR(__xludf.DUMMYFUNCTION("""COMPUTED_VALUE"""),78492.0)</f>
        <v>78492</v>
      </c>
      <c r="B1360" s="2" t="str">
        <f>IFERROR(__xludf.DUMMYFUNCTION("""COMPUTED_VALUE"""),"Arts")</f>
        <v>Arts</v>
      </c>
      <c r="C1360" s="2" t="str">
        <f>IFERROR(__xludf.DUMMYFUNCTION("""COMPUTED_VALUE"""),"Political History")</f>
        <v>Political History</v>
      </c>
      <c r="D1360" s="2" t="str">
        <f>IFERROR(__xludf.DUMMYFUNCTION("""COMPUTED_VALUE"""),"Highland Grove Publishing")</f>
        <v>Highland Grove Publishing</v>
      </c>
      <c r="E1360" s="2">
        <f>IFERROR(__xludf.DUMMYFUNCTION("""COMPUTED_VALUE"""),1.26)</f>
        <v>1.26</v>
      </c>
      <c r="F1360" s="2"/>
      <c r="G1360" s="2"/>
      <c r="H1360" s="2"/>
      <c r="I1360" s="2"/>
    </row>
    <row r="1361">
      <c r="A1361" s="2">
        <f>IFERROR(__xludf.DUMMYFUNCTION("""COMPUTED_VALUE"""),80297.0)</f>
        <v>80297</v>
      </c>
      <c r="B1361" s="2" t="str">
        <f>IFERROR(__xludf.DUMMYFUNCTION("""COMPUTED_VALUE"""),"Arts")</f>
        <v>Arts</v>
      </c>
      <c r="C1361" s="2" t="str">
        <f>IFERROR(__xludf.DUMMYFUNCTION("""COMPUTED_VALUE"""),"Political History")</f>
        <v>Political History</v>
      </c>
      <c r="D1361" s="2" t="str">
        <f>IFERROR(__xludf.DUMMYFUNCTION("""COMPUTED_VALUE"""),"Highland Grove Publishing")</f>
        <v>Highland Grove Publishing</v>
      </c>
      <c r="E1361" s="2">
        <f>IFERROR(__xludf.DUMMYFUNCTION("""COMPUTED_VALUE"""),2.47)</f>
        <v>2.47</v>
      </c>
      <c r="F1361" s="2"/>
      <c r="G1361" s="2"/>
      <c r="H1361" s="2"/>
      <c r="I1361" s="2"/>
    </row>
    <row r="1362">
      <c r="A1362" s="2">
        <f>IFERROR(__xludf.DUMMYFUNCTION("""COMPUTED_VALUE"""),44712.0)</f>
        <v>44712</v>
      </c>
      <c r="B1362" s="2" t="str">
        <f>IFERROR(__xludf.DUMMYFUNCTION("""COMPUTED_VALUE"""),"Arts")</f>
        <v>Arts</v>
      </c>
      <c r="C1362" s="2" t="str">
        <f>IFERROR(__xludf.DUMMYFUNCTION("""COMPUTED_VALUE"""),"Political History")</f>
        <v>Political History</v>
      </c>
      <c r="D1362" s="2" t="str">
        <f>IFERROR(__xludf.DUMMYFUNCTION("""COMPUTED_VALUE"""),"Highland Grove Publishing")</f>
        <v>Highland Grove Publishing</v>
      </c>
      <c r="E1362" s="2">
        <f>IFERROR(__xludf.DUMMYFUNCTION("""COMPUTED_VALUE"""),1.55)</f>
        <v>1.55</v>
      </c>
      <c r="F1362" s="2"/>
      <c r="G1362" s="2"/>
      <c r="H1362" s="2"/>
      <c r="I1362" s="2"/>
    </row>
    <row r="1363">
      <c r="A1363" s="2">
        <f>IFERROR(__xludf.DUMMYFUNCTION("""COMPUTED_VALUE"""),89736.0)</f>
        <v>89736</v>
      </c>
      <c r="B1363" s="2" t="str">
        <f>IFERROR(__xludf.DUMMYFUNCTION("""COMPUTED_VALUE"""),"Arts")</f>
        <v>Arts</v>
      </c>
      <c r="C1363" s="2" t="str">
        <f>IFERROR(__xludf.DUMMYFUNCTION("""COMPUTED_VALUE"""),"Political History")</f>
        <v>Political History</v>
      </c>
      <c r="D1363" s="2" t="str">
        <f>IFERROR(__xludf.DUMMYFUNCTION("""COMPUTED_VALUE"""),"Highland Grove Publishing")</f>
        <v>Highland Grove Publishing</v>
      </c>
      <c r="E1363" s="2">
        <f>IFERROR(__xludf.DUMMYFUNCTION("""COMPUTED_VALUE"""),23.37)</f>
        <v>23.37</v>
      </c>
      <c r="F1363" s="2"/>
      <c r="G1363" s="2"/>
      <c r="H1363" s="2"/>
      <c r="I1363" s="2"/>
    </row>
    <row r="1364">
      <c r="A1364" s="2">
        <f>IFERROR(__xludf.DUMMYFUNCTION("""COMPUTED_VALUE"""),83270.0)</f>
        <v>83270</v>
      </c>
      <c r="B1364" s="2" t="str">
        <f>IFERROR(__xludf.DUMMYFUNCTION("""COMPUTED_VALUE"""),"Arts")</f>
        <v>Arts</v>
      </c>
      <c r="C1364" s="2" t="str">
        <f>IFERROR(__xludf.DUMMYFUNCTION("""COMPUTED_VALUE"""),"Political History")</f>
        <v>Political History</v>
      </c>
      <c r="D1364" s="2" t="str">
        <f>IFERROR(__xludf.DUMMYFUNCTION("""COMPUTED_VALUE"""),"Highland Grove Publishing")</f>
        <v>Highland Grove Publishing</v>
      </c>
      <c r="E1364" s="2">
        <f>IFERROR(__xludf.DUMMYFUNCTION("""COMPUTED_VALUE"""),1.46)</f>
        <v>1.46</v>
      </c>
      <c r="F1364" s="2"/>
      <c r="G1364" s="2"/>
      <c r="H1364" s="2"/>
      <c r="I1364" s="2"/>
    </row>
    <row r="1365">
      <c r="A1365" s="2">
        <f>IFERROR(__xludf.DUMMYFUNCTION("""COMPUTED_VALUE"""),101588.0)</f>
        <v>101588</v>
      </c>
      <c r="B1365" s="2" t="str">
        <f>IFERROR(__xludf.DUMMYFUNCTION("""COMPUTED_VALUE"""),"Arts")</f>
        <v>Arts</v>
      </c>
      <c r="C1365" s="2" t="str">
        <f>IFERROR(__xludf.DUMMYFUNCTION("""COMPUTED_VALUE"""),"Political History")</f>
        <v>Political History</v>
      </c>
      <c r="D1365" s="2" t="str">
        <f>IFERROR(__xludf.DUMMYFUNCTION("""COMPUTED_VALUE"""),"Highland Grove Publishing")</f>
        <v>Highland Grove Publishing</v>
      </c>
      <c r="E1365" s="2">
        <f>IFERROR(__xludf.DUMMYFUNCTION("""COMPUTED_VALUE"""),1.42)</f>
        <v>1.42</v>
      </c>
      <c r="F1365" s="2"/>
      <c r="G1365" s="2"/>
      <c r="H1365" s="2"/>
      <c r="I1365" s="2"/>
    </row>
    <row r="1366">
      <c r="A1366" s="2">
        <f>IFERROR(__xludf.DUMMYFUNCTION("""COMPUTED_VALUE"""),104171.0)</f>
        <v>104171</v>
      </c>
      <c r="B1366" s="2" t="str">
        <f>IFERROR(__xludf.DUMMYFUNCTION("""COMPUTED_VALUE"""),"Arts")</f>
        <v>Arts</v>
      </c>
      <c r="C1366" s="2" t="str">
        <f>IFERROR(__xludf.DUMMYFUNCTION("""COMPUTED_VALUE"""),"Political History")</f>
        <v>Political History</v>
      </c>
      <c r="D1366" s="2" t="str">
        <f>IFERROR(__xludf.DUMMYFUNCTION("""COMPUTED_VALUE"""),"Highland Grove Publishing")</f>
        <v>Highland Grove Publishing</v>
      </c>
      <c r="E1366" s="2">
        <f>IFERROR(__xludf.DUMMYFUNCTION("""COMPUTED_VALUE"""),2.04)</f>
        <v>2.04</v>
      </c>
      <c r="F1366" s="2"/>
      <c r="G1366" s="2"/>
      <c r="H1366" s="2"/>
      <c r="I1366" s="2"/>
    </row>
    <row r="1367">
      <c r="A1367" s="2">
        <f>IFERROR(__xludf.DUMMYFUNCTION("""COMPUTED_VALUE"""),101042.0)</f>
        <v>101042</v>
      </c>
      <c r="B1367" s="2" t="str">
        <f>IFERROR(__xludf.DUMMYFUNCTION("""COMPUTED_VALUE"""),"Arts")</f>
        <v>Arts</v>
      </c>
      <c r="C1367" s="2" t="str">
        <f>IFERROR(__xludf.DUMMYFUNCTION("""COMPUTED_VALUE"""),"Political History")</f>
        <v>Political History</v>
      </c>
      <c r="D1367" s="2" t="str">
        <f>IFERROR(__xludf.DUMMYFUNCTION("""COMPUTED_VALUE"""),"Highland Grove Publishing")</f>
        <v>Highland Grove Publishing</v>
      </c>
      <c r="E1367" s="2">
        <f>IFERROR(__xludf.DUMMYFUNCTION("""COMPUTED_VALUE"""),1.09)</f>
        <v>1.09</v>
      </c>
      <c r="F1367" s="2"/>
      <c r="G1367" s="2"/>
      <c r="H1367" s="2"/>
      <c r="I1367" s="2"/>
    </row>
    <row r="1368">
      <c r="A1368" s="2">
        <f>IFERROR(__xludf.DUMMYFUNCTION("""COMPUTED_VALUE"""),108881.0)</f>
        <v>108881</v>
      </c>
      <c r="B1368" s="2" t="str">
        <f>IFERROR(__xludf.DUMMYFUNCTION("""COMPUTED_VALUE"""),"Arts")</f>
        <v>Arts</v>
      </c>
      <c r="C1368" s="2" t="str">
        <f>IFERROR(__xludf.DUMMYFUNCTION("""COMPUTED_VALUE"""),"Political History")</f>
        <v>Political History</v>
      </c>
      <c r="D1368" s="2" t="str">
        <f>IFERROR(__xludf.DUMMYFUNCTION("""COMPUTED_VALUE"""),"Highland Grove Publishing")</f>
        <v>Highland Grove Publishing</v>
      </c>
      <c r="E1368" s="2">
        <f>IFERROR(__xludf.DUMMYFUNCTION("""COMPUTED_VALUE"""),3.27)</f>
        <v>3.27</v>
      </c>
      <c r="F1368" s="2"/>
      <c r="G1368" s="2"/>
      <c r="H1368" s="2"/>
      <c r="I1368" s="2"/>
    </row>
    <row r="1369">
      <c r="A1369" s="2">
        <f>IFERROR(__xludf.DUMMYFUNCTION("""COMPUTED_VALUE"""),87571.0)</f>
        <v>87571</v>
      </c>
      <c r="B1369" s="2" t="str">
        <f>IFERROR(__xludf.DUMMYFUNCTION("""COMPUTED_VALUE"""),"Arts")</f>
        <v>Arts</v>
      </c>
      <c r="C1369" s="2" t="str">
        <f>IFERROR(__xludf.DUMMYFUNCTION("""COMPUTED_VALUE"""),"Political History")</f>
        <v>Political History</v>
      </c>
      <c r="D1369" s="2" t="str">
        <f>IFERROR(__xludf.DUMMYFUNCTION("""COMPUTED_VALUE"""),"Highland Grove Publishing")</f>
        <v>Highland Grove Publishing</v>
      </c>
      <c r="E1369" s="2">
        <f>IFERROR(__xludf.DUMMYFUNCTION("""COMPUTED_VALUE"""),5.44)</f>
        <v>5.44</v>
      </c>
      <c r="F1369" s="2"/>
      <c r="G1369" s="2"/>
      <c r="H1369" s="2"/>
      <c r="I1369" s="2"/>
    </row>
    <row r="1370">
      <c r="A1370" s="2">
        <f>IFERROR(__xludf.DUMMYFUNCTION("""COMPUTED_VALUE"""),44718.0)</f>
        <v>44718</v>
      </c>
      <c r="B1370" s="2" t="str">
        <f>IFERROR(__xludf.DUMMYFUNCTION("""COMPUTED_VALUE"""),"Arts")</f>
        <v>Arts</v>
      </c>
      <c r="C1370" s="2" t="str">
        <f>IFERROR(__xludf.DUMMYFUNCTION("""COMPUTED_VALUE"""),"Political History")</f>
        <v>Political History</v>
      </c>
      <c r="D1370" s="2" t="str">
        <f>IFERROR(__xludf.DUMMYFUNCTION("""COMPUTED_VALUE"""),"Highland Grove Publishing")</f>
        <v>Highland Grove Publishing</v>
      </c>
      <c r="E1370" s="2">
        <f>IFERROR(__xludf.DUMMYFUNCTION("""COMPUTED_VALUE"""),1.51)</f>
        <v>1.51</v>
      </c>
      <c r="F1370" s="2"/>
      <c r="G1370" s="2"/>
      <c r="H1370" s="2"/>
      <c r="I1370" s="2"/>
    </row>
    <row r="1371">
      <c r="A1371" s="2">
        <f>IFERROR(__xludf.DUMMYFUNCTION("""COMPUTED_VALUE"""),44735.0)</f>
        <v>44735</v>
      </c>
      <c r="B1371" s="2" t="str">
        <f>IFERROR(__xludf.DUMMYFUNCTION("""COMPUTED_VALUE"""),"Arts")</f>
        <v>Arts</v>
      </c>
      <c r="C1371" s="2" t="str">
        <f>IFERROR(__xludf.DUMMYFUNCTION("""COMPUTED_VALUE"""),"Political History")</f>
        <v>Political History</v>
      </c>
      <c r="D1371" s="2" t="str">
        <f>IFERROR(__xludf.DUMMYFUNCTION("""COMPUTED_VALUE"""),"Highland Grove Publishing")</f>
        <v>Highland Grove Publishing</v>
      </c>
      <c r="E1371" s="2">
        <f>IFERROR(__xludf.DUMMYFUNCTION("""COMPUTED_VALUE"""),0.98)</f>
        <v>0.98</v>
      </c>
      <c r="F1371" s="2"/>
      <c r="G1371" s="2"/>
      <c r="H1371" s="2"/>
      <c r="I1371" s="2"/>
    </row>
    <row r="1372">
      <c r="A1372" s="2">
        <f>IFERROR(__xludf.DUMMYFUNCTION("""COMPUTED_VALUE"""),21035.0)</f>
        <v>21035</v>
      </c>
      <c r="B1372" s="2" t="str">
        <f>IFERROR(__xludf.DUMMYFUNCTION("""COMPUTED_VALUE"""),"Arts")</f>
        <v>Arts</v>
      </c>
      <c r="C1372" s="2" t="str">
        <f>IFERROR(__xludf.DUMMYFUNCTION("""COMPUTED_VALUE"""),"Political History")</f>
        <v>Political History</v>
      </c>
      <c r="D1372" s="2" t="str">
        <f>IFERROR(__xludf.DUMMYFUNCTION("""COMPUTED_VALUE"""),"Highland Grove Publishing")</f>
        <v>Highland Grove Publishing</v>
      </c>
      <c r="E1372" s="2">
        <f>IFERROR(__xludf.DUMMYFUNCTION("""COMPUTED_VALUE"""),4.06)</f>
        <v>4.06</v>
      </c>
      <c r="F1372" s="2"/>
      <c r="G1372" s="2"/>
      <c r="H1372" s="2"/>
      <c r="I1372" s="2"/>
    </row>
    <row r="1373">
      <c r="A1373" s="2">
        <f>IFERROR(__xludf.DUMMYFUNCTION("""COMPUTED_VALUE"""),30308.0)</f>
        <v>30308</v>
      </c>
      <c r="B1373" s="2" t="str">
        <f>IFERROR(__xludf.DUMMYFUNCTION("""COMPUTED_VALUE"""),"Arts")</f>
        <v>Arts</v>
      </c>
      <c r="C1373" s="2" t="str">
        <f>IFERROR(__xludf.DUMMYFUNCTION("""COMPUTED_VALUE"""),"Political History")</f>
        <v>Political History</v>
      </c>
      <c r="D1373" s="2" t="str">
        <f>IFERROR(__xludf.DUMMYFUNCTION("""COMPUTED_VALUE"""),"Highland Grove Publishing")</f>
        <v>Highland Grove Publishing</v>
      </c>
      <c r="E1373" s="2">
        <f>IFERROR(__xludf.DUMMYFUNCTION("""COMPUTED_VALUE"""),6.05)</f>
        <v>6.05</v>
      </c>
      <c r="F1373" s="2"/>
      <c r="G1373" s="2"/>
      <c r="H1373" s="2"/>
      <c r="I1373" s="2"/>
    </row>
    <row r="1374">
      <c r="A1374" s="2">
        <f>IFERROR(__xludf.DUMMYFUNCTION("""COMPUTED_VALUE"""),44694.0)</f>
        <v>44694</v>
      </c>
      <c r="B1374" s="2" t="str">
        <f>IFERROR(__xludf.DUMMYFUNCTION("""COMPUTED_VALUE"""),"Arts")</f>
        <v>Arts</v>
      </c>
      <c r="C1374" s="2" t="str">
        <f>IFERROR(__xludf.DUMMYFUNCTION("""COMPUTED_VALUE"""),"Political History")</f>
        <v>Political History</v>
      </c>
      <c r="D1374" s="2" t="str">
        <f>IFERROR(__xludf.DUMMYFUNCTION("""COMPUTED_VALUE"""),"Highland Grove Publishing")</f>
        <v>Highland Grove Publishing</v>
      </c>
      <c r="E1374" s="2">
        <f>IFERROR(__xludf.DUMMYFUNCTION("""COMPUTED_VALUE"""),2.51)</f>
        <v>2.51</v>
      </c>
      <c r="F1374" s="2"/>
      <c r="G1374" s="2"/>
      <c r="H1374" s="2"/>
      <c r="I1374" s="2"/>
    </row>
    <row r="1375">
      <c r="A1375" s="2">
        <f>IFERROR(__xludf.DUMMYFUNCTION("""COMPUTED_VALUE"""),78493.0)</f>
        <v>78493</v>
      </c>
      <c r="B1375" s="2" t="str">
        <f>IFERROR(__xludf.DUMMYFUNCTION("""COMPUTED_VALUE"""),"Arts")</f>
        <v>Arts</v>
      </c>
      <c r="C1375" s="2" t="str">
        <f>IFERROR(__xludf.DUMMYFUNCTION("""COMPUTED_VALUE"""),"Political History")</f>
        <v>Political History</v>
      </c>
      <c r="D1375" s="2" t="str">
        <f>IFERROR(__xludf.DUMMYFUNCTION("""COMPUTED_VALUE"""),"Highland Grove Publishing")</f>
        <v>Highland Grove Publishing</v>
      </c>
      <c r="E1375" s="2">
        <f>IFERROR(__xludf.DUMMYFUNCTION("""COMPUTED_VALUE"""),1.65)</f>
        <v>1.65</v>
      </c>
      <c r="F1375" s="2"/>
      <c r="G1375" s="2"/>
      <c r="H1375" s="2"/>
      <c r="I1375" s="2"/>
    </row>
    <row r="1376">
      <c r="A1376" s="2">
        <f>IFERROR(__xludf.DUMMYFUNCTION("""COMPUTED_VALUE"""),78409.0)</f>
        <v>78409</v>
      </c>
      <c r="B1376" s="2" t="str">
        <f>IFERROR(__xludf.DUMMYFUNCTION("""COMPUTED_VALUE"""),"Arts")</f>
        <v>Arts</v>
      </c>
      <c r="C1376" s="2" t="str">
        <f>IFERROR(__xludf.DUMMYFUNCTION("""COMPUTED_VALUE"""),"Political History")</f>
        <v>Political History</v>
      </c>
      <c r="D1376" s="2" t="str">
        <f>IFERROR(__xludf.DUMMYFUNCTION("""COMPUTED_VALUE"""),"Highland Grove Publishing")</f>
        <v>Highland Grove Publishing</v>
      </c>
      <c r="E1376" s="2">
        <f>IFERROR(__xludf.DUMMYFUNCTION("""COMPUTED_VALUE"""),1.86)</f>
        <v>1.86</v>
      </c>
      <c r="F1376" s="2"/>
      <c r="G1376" s="2"/>
      <c r="H1376" s="2"/>
      <c r="I1376" s="2"/>
    </row>
    <row r="1377">
      <c r="A1377" s="2">
        <f>IFERROR(__xludf.DUMMYFUNCTION("""COMPUTED_VALUE"""),86844.0)</f>
        <v>86844</v>
      </c>
      <c r="B1377" s="2" t="str">
        <f>IFERROR(__xludf.DUMMYFUNCTION("""COMPUTED_VALUE"""),"Arts")</f>
        <v>Arts</v>
      </c>
      <c r="C1377" s="2" t="str">
        <f>IFERROR(__xludf.DUMMYFUNCTION("""COMPUTED_VALUE"""),"Political History")</f>
        <v>Political History</v>
      </c>
      <c r="D1377" s="2" t="str">
        <f>IFERROR(__xludf.DUMMYFUNCTION("""COMPUTED_VALUE"""),"Highland Grove Publishing")</f>
        <v>Highland Grove Publishing</v>
      </c>
      <c r="E1377" s="2">
        <f>IFERROR(__xludf.DUMMYFUNCTION("""COMPUTED_VALUE"""),1.96)</f>
        <v>1.96</v>
      </c>
      <c r="F1377" s="2"/>
      <c r="G1377" s="2"/>
      <c r="H1377" s="2"/>
      <c r="I1377" s="2"/>
    </row>
    <row r="1378">
      <c r="A1378" s="2">
        <f>IFERROR(__xludf.DUMMYFUNCTION("""COMPUTED_VALUE"""),86771.0)</f>
        <v>86771</v>
      </c>
      <c r="B1378" s="2" t="str">
        <f>IFERROR(__xludf.DUMMYFUNCTION("""COMPUTED_VALUE"""),"Arts")</f>
        <v>Arts</v>
      </c>
      <c r="C1378" s="2" t="str">
        <f>IFERROR(__xludf.DUMMYFUNCTION("""COMPUTED_VALUE"""),"Political History")</f>
        <v>Political History</v>
      </c>
      <c r="D1378" s="2" t="str">
        <f>IFERROR(__xludf.DUMMYFUNCTION("""COMPUTED_VALUE"""),"Highland Grove Publishing")</f>
        <v>Highland Grove Publishing</v>
      </c>
      <c r="E1378" s="2">
        <f>IFERROR(__xludf.DUMMYFUNCTION("""COMPUTED_VALUE"""),19.07)</f>
        <v>19.07</v>
      </c>
      <c r="F1378" s="2"/>
      <c r="G1378" s="2"/>
      <c r="H1378" s="2"/>
      <c r="I1378" s="2"/>
    </row>
    <row r="1379">
      <c r="A1379" s="2">
        <f>IFERROR(__xludf.DUMMYFUNCTION("""COMPUTED_VALUE"""),78511.0)</f>
        <v>78511</v>
      </c>
      <c r="B1379" s="2" t="str">
        <f>IFERROR(__xludf.DUMMYFUNCTION("""COMPUTED_VALUE"""),"Arts")</f>
        <v>Arts</v>
      </c>
      <c r="C1379" s="2" t="str">
        <f>IFERROR(__xludf.DUMMYFUNCTION("""COMPUTED_VALUE"""),"Political History")</f>
        <v>Political History</v>
      </c>
      <c r="D1379" s="2" t="str">
        <f>IFERROR(__xludf.DUMMYFUNCTION("""COMPUTED_VALUE"""),"Highland Grove Publishing")</f>
        <v>Highland Grove Publishing</v>
      </c>
      <c r="E1379" s="2">
        <f>IFERROR(__xludf.DUMMYFUNCTION("""COMPUTED_VALUE"""),3.04)</f>
        <v>3.04</v>
      </c>
      <c r="F1379" s="2"/>
      <c r="G1379" s="2"/>
      <c r="H1379" s="2"/>
      <c r="I1379" s="2"/>
    </row>
    <row r="1380">
      <c r="A1380" s="2">
        <f>IFERROR(__xludf.DUMMYFUNCTION("""COMPUTED_VALUE"""),83267.0)</f>
        <v>83267</v>
      </c>
      <c r="B1380" s="2" t="str">
        <f>IFERROR(__xludf.DUMMYFUNCTION("""COMPUTED_VALUE"""),"Arts")</f>
        <v>Arts</v>
      </c>
      <c r="C1380" s="2" t="str">
        <f>IFERROR(__xludf.DUMMYFUNCTION("""COMPUTED_VALUE"""),"Political History")</f>
        <v>Political History</v>
      </c>
      <c r="D1380" s="2" t="str">
        <f>IFERROR(__xludf.DUMMYFUNCTION("""COMPUTED_VALUE"""),"Highland Grove Publishing")</f>
        <v>Highland Grove Publishing</v>
      </c>
      <c r="E1380" s="2">
        <f>IFERROR(__xludf.DUMMYFUNCTION("""COMPUTED_VALUE"""),1.63)</f>
        <v>1.63</v>
      </c>
      <c r="F1380" s="2"/>
      <c r="G1380" s="2"/>
      <c r="H1380" s="2"/>
      <c r="I1380" s="2"/>
    </row>
    <row r="1381">
      <c r="A1381" s="2">
        <f>IFERROR(__xludf.DUMMYFUNCTION("""COMPUTED_VALUE"""),78490.0)</f>
        <v>78490</v>
      </c>
      <c r="B1381" s="2" t="str">
        <f>IFERROR(__xludf.DUMMYFUNCTION("""COMPUTED_VALUE"""),"Arts")</f>
        <v>Arts</v>
      </c>
      <c r="C1381" s="2" t="str">
        <f>IFERROR(__xludf.DUMMYFUNCTION("""COMPUTED_VALUE"""),"Political History")</f>
        <v>Political History</v>
      </c>
      <c r="D1381" s="2" t="str">
        <f>IFERROR(__xludf.DUMMYFUNCTION("""COMPUTED_VALUE"""),"Highland Grove Publishing")</f>
        <v>Highland Grove Publishing</v>
      </c>
      <c r="E1381" s="2">
        <f>IFERROR(__xludf.DUMMYFUNCTION("""COMPUTED_VALUE"""),3.04)</f>
        <v>3.04</v>
      </c>
      <c r="F1381" s="2"/>
      <c r="G1381" s="2"/>
      <c r="H1381" s="2"/>
      <c r="I1381" s="2"/>
    </row>
    <row r="1382">
      <c r="A1382" s="2">
        <f>IFERROR(__xludf.DUMMYFUNCTION("""COMPUTED_VALUE"""),73175.0)</f>
        <v>73175</v>
      </c>
      <c r="B1382" s="2" t="str">
        <f>IFERROR(__xludf.DUMMYFUNCTION("""COMPUTED_VALUE"""),"Arts")</f>
        <v>Arts</v>
      </c>
      <c r="C1382" s="2" t="str">
        <f>IFERROR(__xludf.DUMMYFUNCTION("""COMPUTED_VALUE"""),"Political History")</f>
        <v>Political History</v>
      </c>
      <c r="D1382" s="2" t="str">
        <f>IFERROR(__xludf.DUMMYFUNCTION("""COMPUTED_VALUE"""),"Highland Grove Publishing")</f>
        <v>Highland Grove Publishing</v>
      </c>
      <c r="E1382" s="2">
        <f>IFERROR(__xludf.DUMMYFUNCTION("""COMPUTED_VALUE"""),10.85)</f>
        <v>10.85</v>
      </c>
      <c r="F1382" s="2"/>
      <c r="G1382" s="2"/>
      <c r="H1382" s="2"/>
      <c r="I1382" s="2"/>
    </row>
    <row r="1383">
      <c r="A1383" s="2">
        <f>IFERROR(__xludf.DUMMYFUNCTION("""COMPUTED_VALUE"""),44730.0)</f>
        <v>44730</v>
      </c>
      <c r="B1383" s="2" t="str">
        <f>IFERROR(__xludf.DUMMYFUNCTION("""COMPUTED_VALUE"""),"Arts")</f>
        <v>Arts</v>
      </c>
      <c r="C1383" s="2" t="str">
        <f>IFERROR(__xludf.DUMMYFUNCTION("""COMPUTED_VALUE"""),"Political History")</f>
        <v>Political History</v>
      </c>
      <c r="D1383" s="2" t="str">
        <f>IFERROR(__xludf.DUMMYFUNCTION("""COMPUTED_VALUE"""),"Highland Grove Publishing")</f>
        <v>Highland Grove Publishing</v>
      </c>
      <c r="E1383" s="2">
        <f>IFERROR(__xludf.DUMMYFUNCTION("""COMPUTED_VALUE"""),4.08)</f>
        <v>4.08</v>
      </c>
      <c r="F1383" s="2"/>
      <c r="G1383" s="2"/>
      <c r="H1383" s="2"/>
      <c r="I1383" s="2"/>
    </row>
    <row r="1384">
      <c r="A1384" s="2">
        <f>IFERROR(__xludf.DUMMYFUNCTION("""COMPUTED_VALUE"""),10535.0)</f>
        <v>10535</v>
      </c>
      <c r="B1384" s="2" t="str">
        <f>IFERROR(__xludf.DUMMYFUNCTION("""COMPUTED_VALUE"""),"Arts")</f>
        <v>Arts</v>
      </c>
      <c r="C1384" s="2" t="str">
        <f>IFERROR(__xludf.DUMMYFUNCTION("""COMPUTED_VALUE"""),"Political History")</f>
        <v>Political History</v>
      </c>
      <c r="D1384" s="2" t="str">
        <f>IFERROR(__xludf.DUMMYFUNCTION("""COMPUTED_VALUE"""),"Highland Grove Publishing")</f>
        <v>Highland Grove Publishing</v>
      </c>
      <c r="E1384" s="2">
        <f>IFERROR(__xludf.DUMMYFUNCTION("""COMPUTED_VALUE"""),2.36)</f>
        <v>2.36</v>
      </c>
      <c r="F1384" s="2"/>
      <c r="G1384" s="2"/>
      <c r="H1384" s="2"/>
      <c r="I1384" s="2"/>
    </row>
    <row r="1385">
      <c r="A1385" s="2">
        <f>IFERROR(__xludf.DUMMYFUNCTION("""COMPUTED_VALUE"""),80299.0)</f>
        <v>80299</v>
      </c>
      <c r="B1385" s="2" t="str">
        <f>IFERROR(__xludf.DUMMYFUNCTION("""COMPUTED_VALUE"""),"Arts")</f>
        <v>Arts</v>
      </c>
      <c r="C1385" s="2" t="str">
        <f>IFERROR(__xludf.DUMMYFUNCTION("""COMPUTED_VALUE"""),"Political History")</f>
        <v>Political History</v>
      </c>
      <c r="D1385" s="2" t="str">
        <f>IFERROR(__xludf.DUMMYFUNCTION("""COMPUTED_VALUE"""),"Highland Grove Publishing")</f>
        <v>Highland Grove Publishing</v>
      </c>
      <c r="E1385" s="2">
        <f>IFERROR(__xludf.DUMMYFUNCTION("""COMPUTED_VALUE"""),4.39)</f>
        <v>4.39</v>
      </c>
      <c r="F1385" s="2"/>
      <c r="G1385" s="2"/>
      <c r="H1385" s="2"/>
      <c r="I1385" s="2"/>
    </row>
    <row r="1386">
      <c r="A1386" s="2">
        <f>IFERROR(__xludf.DUMMYFUNCTION("""COMPUTED_VALUE"""),121350.0)</f>
        <v>121350</v>
      </c>
      <c r="B1386" s="2" t="str">
        <f>IFERROR(__xludf.DUMMYFUNCTION("""COMPUTED_VALUE"""),"Arts")</f>
        <v>Arts</v>
      </c>
      <c r="C1386" s="2" t="str">
        <f>IFERROR(__xludf.DUMMYFUNCTION("""COMPUTED_VALUE"""),"Political History")</f>
        <v>Political History</v>
      </c>
      <c r="D1386" s="2" t="str">
        <f>IFERROR(__xludf.DUMMYFUNCTION("""COMPUTED_VALUE"""),"Highland Grove Publishing")</f>
        <v>Highland Grove Publishing</v>
      </c>
      <c r="E1386" s="2">
        <f>IFERROR(__xludf.DUMMYFUNCTION("""COMPUTED_VALUE"""),2.55)</f>
        <v>2.55</v>
      </c>
      <c r="F1386" s="2"/>
      <c r="G1386" s="2"/>
      <c r="H1386" s="2"/>
      <c r="I1386" s="2"/>
    </row>
    <row r="1387">
      <c r="A1387" s="2">
        <f>IFERROR(__xludf.DUMMYFUNCTION("""COMPUTED_VALUE"""),79958.0)</f>
        <v>79958</v>
      </c>
      <c r="B1387" s="2" t="str">
        <f>IFERROR(__xludf.DUMMYFUNCTION("""COMPUTED_VALUE"""),"Arts")</f>
        <v>Arts</v>
      </c>
      <c r="C1387" s="2" t="str">
        <f>IFERROR(__xludf.DUMMYFUNCTION("""COMPUTED_VALUE"""),"Political History")</f>
        <v>Political History</v>
      </c>
      <c r="D1387" s="2" t="str">
        <f>IFERROR(__xludf.DUMMYFUNCTION("""COMPUTED_VALUE"""),"Highland Grove Publishing")</f>
        <v>Highland Grove Publishing</v>
      </c>
      <c r="E1387" s="2">
        <f>IFERROR(__xludf.DUMMYFUNCTION("""COMPUTED_VALUE"""),2.81)</f>
        <v>2.81</v>
      </c>
      <c r="F1387" s="2"/>
      <c r="G1387" s="2"/>
      <c r="H1387" s="2"/>
      <c r="I1387" s="2"/>
    </row>
    <row r="1388">
      <c r="A1388" s="2">
        <f>IFERROR(__xludf.DUMMYFUNCTION("""COMPUTED_VALUE"""),95074.0)</f>
        <v>95074</v>
      </c>
      <c r="B1388" s="2" t="str">
        <f>IFERROR(__xludf.DUMMYFUNCTION("""COMPUTED_VALUE"""),"Arts")</f>
        <v>Arts</v>
      </c>
      <c r="C1388" s="2" t="str">
        <f>IFERROR(__xludf.DUMMYFUNCTION("""COMPUTED_VALUE"""),"Political History")</f>
        <v>Political History</v>
      </c>
      <c r="D1388" s="2" t="str">
        <f>IFERROR(__xludf.DUMMYFUNCTION("""COMPUTED_VALUE"""),"Highland Grove Publishing")</f>
        <v>Highland Grove Publishing</v>
      </c>
      <c r="E1388" s="2">
        <f>IFERROR(__xludf.DUMMYFUNCTION("""COMPUTED_VALUE"""),2.63)</f>
        <v>2.63</v>
      </c>
      <c r="F1388" s="2"/>
      <c r="G1388" s="2"/>
      <c r="H1388" s="2"/>
      <c r="I1388" s="2"/>
    </row>
    <row r="1389">
      <c r="A1389" s="2">
        <f>IFERROR(__xludf.DUMMYFUNCTION("""COMPUTED_VALUE"""),87574.0)</f>
        <v>87574</v>
      </c>
      <c r="B1389" s="2" t="str">
        <f>IFERROR(__xludf.DUMMYFUNCTION("""COMPUTED_VALUE"""),"Arts")</f>
        <v>Arts</v>
      </c>
      <c r="C1389" s="2" t="str">
        <f>IFERROR(__xludf.DUMMYFUNCTION("""COMPUTED_VALUE"""),"Political History")</f>
        <v>Political History</v>
      </c>
      <c r="D1389" s="2" t="str">
        <f>IFERROR(__xludf.DUMMYFUNCTION("""COMPUTED_VALUE"""),"Highland Grove Publishing")</f>
        <v>Highland Grove Publishing</v>
      </c>
      <c r="E1389" s="2">
        <f>IFERROR(__xludf.DUMMYFUNCTION("""COMPUTED_VALUE"""),2.21)</f>
        <v>2.21</v>
      </c>
      <c r="F1389" s="2"/>
      <c r="G1389" s="2"/>
      <c r="H1389" s="2"/>
      <c r="I1389" s="2"/>
    </row>
    <row r="1390">
      <c r="A1390" s="2">
        <f>IFERROR(__xludf.DUMMYFUNCTION("""COMPUTED_VALUE"""),77769.0)</f>
        <v>77769</v>
      </c>
      <c r="B1390" s="2" t="str">
        <f>IFERROR(__xludf.DUMMYFUNCTION("""COMPUTED_VALUE"""),"Arts")</f>
        <v>Arts</v>
      </c>
      <c r="C1390" s="2" t="str">
        <f>IFERROR(__xludf.DUMMYFUNCTION("""COMPUTED_VALUE"""),"Political History")</f>
        <v>Political History</v>
      </c>
      <c r="D1390" s="2" t="str">
        <f>IFERROR(__xludf.DUMMYFUNCTION("""COMPUTED_VALUE"""),"Highland Grove Publishing")</f>
        <v>Highland Grove Publishing</v>
      </c>
      <c r="E1390" s="2">
        <f>IFERROR(__xludf.DUMMYFUNCTION("""COMPUTED_VALUE"""),3.77)</f>
        <v>3.77</v>
      </c>
      <c r="F1390" s="2"/>
      <c r="G1390" s="2"/>
      <c r="H1390" s="2"/>
      <c r="I1390" s="2"/>
    </row>
    <row r="1391">
      <c r="A1391" s="2">
        <f>IFERROR(__xludf.DUMMYFUNCTION("""COMPUTED_VALUE"""),141889.0)</f>
        <v>141889</v>
      </c>
      <c r="B1391" s="2" t="str">
        <f>IFERROR(__xludf.DUMMYFUNCTION("""COMPUTED_VALUE"""),"Arts")</f>
        <v>Arts</v>
      </c>
      <c r="C1391" s="2" t="str">
        <f>IFERROR(__xludf.DUMMYFUNCTION("""COMPUTED_VALUE"""),"Political History")</f>
        <v>Political History</v>
      </c>
      <c r="D1391" s="2" t="str">
        <f>IFERROR(__xludf.DUMMYFUNCTION("""COMPUTED_VALUE"""),"Highland Grove Publishing")</f>
        <v>Highland Grove Publishing</v>
      </c>
      <c r="E1391" s="2">
        <f>IFERROR(__xludf.DUMMYFUNCTION("""COMPUTED_VALUE"""),5.33)</f>
        <v>5.33</v>
      </c>
      <c r="F1391" s="2"/>
      <c r="G1391" s="2"/>
      <c r="H1391" s="2"/>
      <c r="I1391" s="2"/>
    </row>
    <row r="1392">
      <c r="A1392" s="2">
        <f>IFERROR(__xludf.DUMMYFUNCTION("""COMPUTED_VALUE"""),83269.0)</f>
        <v>83269</v>
      </c>
      <c r="B1392" s="2" t="str">
        <f>IFERROR(__xludf.DUMMYFUNCTION("""COMPUTED_VALUE"""),"Arts")</f>
        <v>Arts</v>
      </c>
      <c r="C1392" s="2" t="str">
        <f>IFERROR(__xludf.DUMMYFUNCTION("""COMPUTED_VALUE"""),"Political History")</f>
        <v>Political History</v>
      </c>
      <c r="D1392" s="2" t="str">
        <f>IFERROR(__xludf.DUMMYFUNCTION("""COMPUTED_VALUE"""),"Highland Grove Publishing")</f>
        <v>Highland Grove Publishing</v>
      </c>
      <c r="E1392" s="2">
        <f>IFERROR(__xludf.DUMMYFUNCTION("""COMPUTED_VALUE"""),1.69)</f>
        <v>1.69</v>
      </c>
      <c r="F1392" s="2"/>
      <c r="G1392" s="2"/>
      <c r="H1392" s="2"/>
      <c r="I1392" s="2"/>
    </row>
    <row r="1393">
      <c r="A1393" s="2">
        <f>IFERROR(__xludf.DUMMYFUNCTION("""COMPUTED_VALUE"""),89647.0)</f>
        <v>89647</v>
      </c>
      <c r="B1393" s="2" t="str">
        <f>IFERROR(__xludf.DUMMYFUNCTION("""COMPUTED_VALUE"""),"Arts")</f>
        <v>Arts</v>
      </c>
      <c r="C1393" s="2" t="str">
        <f>IFERROR(__xludf.DUMMYFUNCTION("""COMPUTED_VALUE"""),"Political History")</f>
        <v>Political History</v>
      </c>
      <c r="D1393" s="2" t="str">
        <f>IFERROR(__xludf.DUMMYFUNCTION("""COMPUTED_VALUE"""),"Highland Grove Publishing")</f>
        <v>Highland Grove Publishing</v>
      </c>
      <c r="E1393" s="2">
        <f>IFERROR(__xludf.DUMMYFUNCTION("""COMPUTED_VALUE"""),1.29)</f>
        <v>1.29</v>
      </c>
      <c r="F1393" s="2"/>
      <c r="G1393" s="2"/>
      <c r="H1393" s="2"/>
      <c r="I1393" s="2"/>
    </row>
    <row r="1394">
      <c r="A1394" s="2">
        <f>IFERROR(__xludf.DUMMYFUNCTION("""COMPUTED_VALUE"""),77256.0)</f>
        <v>77256</v>
      </c>
      <c r="B1394" s="2" t="str">
        <f>IFERROR(__xludf.DUMMYFUNCTION("""COMPUTED_VALUE"""),"Arts")</f>
        <v>Arts</v>
      </c>
      <c r="C1394" s="2" t="str">
        <f>IFERROR(__xludf.DUMMYFUNCTION("""COMPUTED_VALUE"""),"Political History")</f>
        <v>Political History</v>
      </c>
      <c r="D1394" s="2" t="str">
        <f>IFERROR(__xludf.DUMMYFUNCTION("""COMPUTED_VALUE"""),"Highland Grove Publishing")</f>
        <v>Highland Grove Publishing</v>
      </c>
      <c r="E1394" s="2">
        <f>IFERROR(__xludf.DUMMYFUNCTION("""COMPUTED_VALUE"""),3.14)</f>
        <v>3.14</v>
      </c>
      <c r="F1394" s="2"/>
      <c r="G1394" s="2"/>
      <c r="H1394" s="2"/>
      <c r="I1394" s="2"/>
    </row>
    <row r="1395">
      <c r="A1395" s="2">
        <f>IFERROR(__xludf.DUMMYFUNCTION("""COMPUTED_VALUE"""),86840.0)</f>
        <v>86840</v>
      </c>
      <c r="B1395" s="2" t="str">
        <f>IFERROR(__xludf.DUMMYFUNCTION("""COMPUTED_VALUE"""),"Arts")</f>
        <v>Arts</v>
      </c>
      <c r="C1395" s="2" t="str">
        <f>IFERROR(__xludf.DUMMYFUNCTION("""COMPUTED_VALUE"""),"Political History")</f>
        <v>Political History</v>
      </c>
      <c r="D1395" s="2" t="str">
        <f>IFERROR(__xludf.DUMMYFUNCTION("""COMPUTED_VALUE"""),"Highland Grove Publishing")</f>
        <v>Highland Grove Publishing</v>
      </c>
      <c r="E1395" s="2">
        <f>IFERROR(__xludf.DUMMYFUNCTION("""COMPUTED_VALUE"""),1.83)</f>
        <v>1.83</v>
      </c>
      <c r="F1395" s="2"/>
      <c r="G1395" s="2"/>
      <c r="H1395" s="2"/>
      <c r="I1395" s="2"/>
    </row>
    <row r="1396">
      <c r="A1396" s="2">
        <f>IFERROR(__xludf.DUMMYFUNCTION("""COMPUTED_VALUE"""),30306.0)</f>
        <v>30306</v>
      </c>
      <c r="B1396" s="2" t="str">
        <f>IFERROR(__xludf.DUMMYFUNCTION("""COMPUTED_VALUE"""),"Arts")</f>
        <v>Arts</v>
      </c>
      <c r="C1396" s="2" t="str">
        <f>IFERROR(__xludf.DUMMYFUNCTION("""COMPUTED_VALUE"""),"Political History")</f>
        <v>Political History</v>
      </c>
      <c r="D1396" s="2" t="str">
        <f>IFERROR(__xludf.DUMMYFUNCTION("""COMPUTED_VALUE"""),"Highland Grove Publishing")</f>
        <v>Highland Grove Publishing</v>
      </c>
      <c r="E1396" s="2">
        <f>IFERROR(__xludf.DUMMYFUNCTION("""COMPUTED_VALUE"""),3.6)</f>
        <v>3.6</v>
      </c>
      <c r="F1396" s="2"/>
      <c r="G1396" s="2"/>
      <c r="H1396" s="2"/>
      <c r="I1396" s="2"/>
    </row>
    <row r="1397">
      <c r="A1397" s="2">
        <f>IFERROR(__xludf.DUMMYFUNCTION("""COMPUTED_VALUE"""),76427.0)</f>
        <v>76427</v>
      </c>
      <c r="B1397" s="2" t="str">
        <f>IFERROR(__xludf.DUMMYFUNCTION("""COMPUTED_VALUE"""),"Arts")</f>
        <v>Arts</v>
      </c>
      <c r="C1397" s="2" t="str">
        <f>IFERROR(__xludf.DUMMYFUNCTION("""COMPUTED_VALUE"""),"Political History")</f>
        <v>Political History</v>
      </c>
      <c r="D1397" s="2" t="str">
        <f>IFERROR(__xludf.DUMMYFUNCTION("""COMPUTED_VALUE"""),"Pioneer Ridge Books")</f>
        <v>Pioneer Ridge Books</v>
      </c>
      <c r="E1397" s="2">
        <f>IFERROR(__xludf.DUMMYFUNCTION("""COMPUTED_VALUE"""),2.16)</f>
        <v>2.16</v>
      </c>
      <c r="F1397" s="2"/>
      <c r="G1397" s="2"/>
      <c r="H1397" s="2"/>
      <c r="I1397" s="2"/>
    </row>
    <row r="1398">
      <c r="A1398" s="2">
        <f>IFERROR(__xludf.DUMMYFUNCTION("""COMPUTED_VALUE"""),44706.0)</f>
        <v>44706</v>
      </c>
      <c r="B1398" s="2" t="str">
        <f>IFERROR(__xludf.DUMMYFUNCTION("""COMPUTED_VALUE"""),"Arts")</f>
        <v>Arts</v>
      </c>
      <c r="C1398" s="2" t="str">
        <f>IFERROR(__xludf.DUMMYFUNCTION("""COMPUTED_VALUE"""),"Political History")</f>
        <v>Political History</v>
      </c>
      <c r="D1398" s="2" t="str">
        <f>IFERROR(__xludf.DUMMYFUNCTION("""COMPUTED_VALUE"""),"Pioneer Ridge Books")</f>
        <v>Pioneer Ridge Books</v>
      </c>
      <c r="E1398" s="2">
        <f>IFERROR(__xludf.DUMMYFUNCTION("""COMPUTED_VALUE"""),1.93)</f>
        <v>1.93</v>
      </c>
      <c r="F1398" s="2"/>
      <c r="G1398" s="2"/>
      <c r="H1398" s="2"/>
      <c r="I1398" s="2"/>
    </row>
    <row r="1399">
      <c r="A1399" s="2">
        <f>IFERROR(__xludf.DUMMYFUNCTION("""COMPUTED_VALUE"""),44701.0)</f>
        <v>44701</v>
      </c>
      <c r="B1399" s="2" t="str">
        <f>IFERROR(__xludf.DUMMYFUNCTION("""COMPUTED_VALUE"""),"Arts")</f>
        <v>Arts</v>
      </c>
      <c r="C1399" s="2" t="str">
        <f>IFERROR(__xludf.DUMMYFUNCTION("""COMPUTED_VALUE"""),"Political History")</f>
        <v>Political History</v>
      </c>
      <c r="D1399" s="2" t="str">
        <f>IFERROR(__xludf.DUMMYFUNCTION("""COMPUTED_VALUE"""),"Pioneer Ridge Books")</f>
        <v>Pioneer Ridge Books</v>
      </c>
      <c r="E1399" s="2">
        <f>IFERROR(__xludf.DUMMYFUNCTION("""COMPUTED_VALUE"""),1.82)</f>
        <v>1.82</v>
      </c>
      <c r="F1399" s="2"/>
      <c r="G1399" s="2"/>
      <c r="H1399" s="2"/>
      <c r="I1399" s="2"/>
    </row>
    <row r="1400">
      <c r="A1400" s="2">
        <f>IFERROR(__xludf.DUMMYFUNCTION("""COMPUTED_VALUE"""),10537.0)</f>
        <v>10537</v>
      </c>
      <c r="B1400" s="2" t="str">
        <f>IFERROR(__xludf.DUMMYFUNCTION("""COMPUTED_VALUE"""),"Arts")</f>
        <v>Arts</v>
      </c>
      <c r="C1400" s="2" t="str">
        <f>IFERROR(__xludf.DUMMYFUNCTION("""COMPUTED_VALUE"""),"Political History")</f>
        <v>Political History</v>
      </c>
      <c r="D1400" s="2" t="str">
        <f>IFERROR(__xludf.DUMMYFUNCTION("""COMPUTED_VALUE"""),"Pioneer Ridge Books")</f>
        <v>Pioneer Ridge Books</v>
      </c>
      <c r="E1400" s="2">
        <f>IFERROR(__xludf.DUMMYFUNCTION("""COMPUTED_VALUE"""),3.82)</f>
        <v>3.82</v>
      </c>
      <c r="F1400" s="2"/>
      <c r="G1400" s="2"/>
      <c r="H1400" s="2"/>
      <c r="I1400" s="2"/>
    </row>
    <row r="1401">
      <c r="A1401" s="2">
        <f>IFERROR(__xludf.DUMMYFUNCTION("""COMPUTED_VALUE"""),10523.0)</f>
        <v>10523</v>
      </c>
      <c r="B1401" s="2" t="str">
        <f>IFERROR(__xludf.DUMMYFUNCTION("""COMPUTED_VALUE"""),"Arts")</f>
        <v>Arts</v>
      </c>
      <c r="C1401" s="2" t="str">
        <f>IFERROR(__xludf.DUMMYFUNCTION("""COMPUTED_VALUE"""),"Political History")</f>
        <v>Political History</v>
      </c>
      <c r="D1401" s="2" t="str">
        <f>IFERROR(__xludf.DUMMYFUNCTION("""COMPUTED_VALUE"""),"Pioneer Ridge Books")</f>
        <v>Pioneer Ridge Books</v>
      </c>
      <c r="E1401" s="2">
        <f>IFERROR(__xludf.DUMMYFUNCTION("""COMPUTED_VALUE"""),4.65)</f>
        <v>4.65</v>
      </c>
      <c r="F1401" s="2"/>
      <c r="G1401" s="2"/>
      <c r="H1401" s="2"/>
      <c r="I1401" s="2"/>
    </row>
    <row r="1402">
      <c r="A1402" s="2">
        <f>IFERROR(__xludf.DUMMYFUNCTION("""COMPUTED_VALUE"""),76664.0)</f>
        <v>76664</v>
      </c>
      <c r="B1402" s="2" t="str">
        <f>IFERROR(__xludf.DUMMYFUNCTION("""COMPUTED_VALUE"""),"Arts")</f>
        <v>Arts</v>
      </c>
      <c r="C1402" s="2" t="str">
        <f>IFERROR(__xludf.DUMMYFUNCTION("""COMPUTED_VALUE"""),"Political History")</f>
        <v>Political History</v>
      </c>
      <c r="D1402" s="2" t="str">
        <f>IFERROR(__xludf.DUMMYFUNCTION("""COMPUTED_VALUE"""),"Pioneer Ridge Books")</f>
        <v>Pioneer Ridge Books</v>
      </c>
      <c r="E1402" s="2">
        <f>IFERROR(__xludf.DUMMYFUNCTION("""COMPUTED_VALUE"""),2.52)</f>
        <v>2.52</v>
      </c>
      <c r="F1402" s="2"/>
      <c r="G1402" s="2"/>
      <c r="H1402" s="2"/>
      <c r="I1402" s="2"/>
    </row>
    <row r="1403">
      <c r="A1403" s="2">
        <f>IFERROR(__xludf.DUMMYFUNCTION("""COMPUTED_VALUE"""),78472.0)</f>
        <v>78472</v>
      </c>
      <c r="B1403" s="2" t="str">
        <f>IFERROR(__xludf.DUMMYFUNCTION("""COMPUTED_VALUE"""),"Arts")</f>
        <v>Arts</v>
      </c>
      <c r="C1403" s="2" t="str">
        <f>IFERROR(__xludf.DUMMYFUNCTION("""COMPUTED_VALUE"""),"Political History")</f>
        <v>Political History</v>
      </c>
      <c r="D1403" s="2" t="str">
        <f>IFERROR(__xludf.DUMMYFUNCTION("""COMPUTED_VALUE"""),"Pioneer Ridge Books")</f>
        <v>Pioneer Ridge Books</v>
      </c>
      <c r="E1403" s="2">
        <f>IFERROR(__xludf.DUMMYFUNCTION("""COMPUTED_VALUE"""),3.42)</f>
        <v>3.42</v>
      </c>
      <c r="F1403" s="2"/>
      <c r="G1403" s="2"/>
      <c r="H1403" s="2"/>
      <c r="I1403" s="2"/>
    </row>
    <row r="1404">
      <c r="A1404" s="2">
        <f>IFERROR(__xludf.DUMMYFUNCTION("""COMPUTED_VALUE"""),44721.0)</f>
        <v>44721</v>
      </c>
      <c r="B1404" s="2" t="str">
        <f>IFERROR(__xludf.DUMMYFUNCTION("""COMPUTED_VALUE"""),"Arts")</f>
        <v>Arts</v>
      </c>
      <c r="C1404" s="2" t="str">
        <f>IFERROR(__xludf.DUMMYFUNCTION("""COMPUTED_VALUE"""),"Political History")</f>
        <v>Political History</v>
      </c>
      <c r="D1404" s="2" t="str">
        <f>IFERROR(__xludf.DUMMYFUNCTION("""COMPUTED_VALUE"""),"Pioneer Ridge Books")</f>
        <v>Pioneer Ridge Books</v>
      </c>
      <c r="E1404" s="2">
        <f>IFERROR(__xludf.DUMMYFUNCTION("""COMPUTED_VALUE"""),2.43)</f>
        <v>2.43</v>
      </c>
      <c r="F1404" s="2"/>
      <c r="G1404" s="2"/>
      <c r="H1404" s="2"/>
      <c r="I1404" s="2"/>
    </row>
    <row r="1405">
      <c r="A1405" s="2">
        <f>IFERROR(__xludf.DUMMYFUNCTION("""COMPUTED_VALUE"""),121576.0)</f>
        <v>121576</v>
      </c>
      <c r="B1405" s="2" t="str">
        <f>IFERROR(__xludf.DUMMYFUNCTION("""COMPUTED_VALUE"""),"Arts")</f>
        <v>Arts</v>
      </c>
      <c r="C1405" s="2" t="str">
        <f>IFERROR(__xludf.DUMMYFUNCTION("""COMPUTED_VALUE"""),"Political History")</f>
        <v>Political History</v>
      </c>
      <c r="D1405" s="2" t="str">
        <f>IFERROR(__xludf.DUMMYFUNCTION("""COMPUTED_VALUE"""),"Pioneer Ridge Books")</f>
        <v>Pioneer Ridge Books</v>
      </c>
      <c r="E1405" s="2">
        <f>IFERROR(__xludf.DUMMYFUNCTION("""COMPUTED_VALUE"""),4.44)</f>
        <v>4.44</v>
      </c>
      <c r="F1405" s="2"/>
      <c r="G1405" s="2"/>
      <c r="H1405" s="2"/>
      <c r="I1405" s="2"/>
    </row>
    <row r="1406">
      <c r="A1406" s="2">
        <f>IFERROR(__xludf.DUMMYFUNCTION("""COMPUTED_VALUE"""),117208.0)</f>
        <v>117208</v>
      </c>
      <c r="B1406" s="2" t="str">
        <f>IFERROR(__xludf.DUMMYFUNCTION("""COMPUTED_VALUE"""),"Arts")</f>
        <v>Arts</v>
      </c>
      <c r="C1406" s="2" t="str">
        <f>IFERROR(__xludf.DUMMYFUNCTION("""COMPUTED_VALUE"""),"Political History")</f>
        <v>Political History</v>
      </c>
      <c r="D1406" s="2" t="str">
        <f>IFERROR(__xludf.DUMMYFUNCTION("""COMPUTED_VALUE"""),"Pioneer Ridge Books")</f>
        <v>Pioneer Ridge Books</v>
      </c>
      <c r="E1406" s="2">
        <f>IFERROR(__xludf.DUMMYFUNCTION("""COMPUTED_VALUE"""),1.16)</f>
        <v>1.16</v>
      </c>
      <c r="F1406" s="2"/>
      <c r="G1406" s="2"/>
      <c r="H1406" s="2"/>
      <c r="I1406" s="2"/>
    </row>
    <row r="1407">
      <c r="A1407" s="2">
        <f>IFERROR(__xludf.DUMMYFUNCTION("""COMPUTED_VALUE"""),78497.0)</f>
        <v>78497</v>
      </c>
      <c r="B1407" s="2" t="str">
        <f>IFERROR(__xludf.DUMMYFUNCTION("""COMPUTED_VALUE"""),"Arts")</f>
        <v>Arts</v>
      </c>
      <c r="C1407" s="2" t="str">
        <f>IFERROR(__xludf.DUMMYFUNCTION("""COMPUTED_VALUE"""),"Political History")</f>
        <v>Political History</v>
      </c>
      <c r="D1407" s="2" t="str">
        <f>IFERROR(__xludf.DUMMYFUNCTION("""COMPUTED_VALUE"""),"Pioneer Ridge Books")</f>
        <v>Pioneer Ridge Books</v>
      </c>
      <c r="E1407" s="2">
        <f>IFERROR(__xludf.DUMMYFUNCTION("""COMPUTED_VALUE"""),8.15)</f>
        <v>8.15</v>
      </c>
      <c r="F1407" s="2"/>
      <c r="G1407" s="2"/>
      <c r="H1407" s="2"/>
      <c r="I1407" s="2"/>
    </row>
    <row r="1408">
      <c r="A1408" s="2">
        <f>IFERROR(__xludf.DUMMYFUNCTION("""COMPUTED_VALUE"""),44726.0)</f>
        <v>44726</v>
      </c>
      <c r="B1408" s="2" t="str">
        <f>IFERROR(__xludf.DUMMYFUNCTION("""COMPUTED_VALUE"""),"Arts")</f>
        <v>Arts</v>
      </c>
      <c r="C1408" s="2" t="str">
        <f>IFERROR(__xludf.DUMMYFUNCTION("""COMPUTED_VALUE"""),"Political History")</f>
        <v>Political History</v>
      </c>
      <c r="D1408" s="2" t="str">
        <f>IFERROR(__xludf.DUMMYFUNCTION("""COMPUTED_VALUE"""),"Pioneer Ridge Books")</f>
        <v>Pioneer Ridge Books</v>
      </c>
      <c r="E1408" s="2">
        <f>IFERROR(__xludf.DUMMYFUNCTION("""COMPUTED_VALUE"""),3.27)</f>
        <v>3.27</v>
      </c>
      <c r="F1408" s="2"/>
      <c r="G1408" s="2"/>
      <c r="H1408" s="2"/>
      <c r="I1408" s="2"/>
    </row>
    <row r="1409">
      <c r="A1409" s="2">
        <f>IFERROR(__xludf.DUMMYFUNCTION("""COMPUTED_VALUE"""),117210.0)</f>
        <v>117210</v>
      </c>
      <c r="B1409" s="2" t="str">
        <f>IFERROR(__xludf.DUMMYFUNCTION("""COMPUTED_VALUE"""),"Arts")</f>
        <v>Arts</v>
      </c>
      <c r="C1409" s="2" t="str">
        <f>IFERROR(__xludf.DUMMYFUNCTION("""COMPUTED_VALUE"""),"Political History")</f>
        <v>Political History</v>
      </c>
      <c r="D1409" s="2" t="str">
        <f>IFERROR(__xludf.DUMMYFUNCTION("""COMPUTED_VALUE"""),"Pioneer Ridge Books")</f>
        <v>Pioneer Ridge Books</v>
      </c>
      <c r="E1409" s="2">
        <f>IFERROR(__xludf.DUMMYFUNCTION("""COMPUTED_VALUE"""),1.22)</f>
        <v>1.22</v>
      </c>
      <c r="F1409" s="2"/>
      <c r="G1409" s="2"/>
      <c r="H1409" s="2"/>
      <c r="I1409" s="2"/>
    </row>
    <row r="1410">
      <c r="A1410" s="2">
        <f>IFERROR(__xludf.DUMMYFUNCTION("""COMPUTED_VALUE"""),87082.0)</f>
        <v>87082</v>
      </c>
      <c r="B1410" s="2" t="str">
        <f>IFERROR(__xludf.DUMMYFUNCTION("""COMPUTED_VALUE"""),"Arts")</f>
        <v>Arts</v>
      </c>
      <c r="C1410" s="2" t="str">
        <f>IFERROR(__xludf.DUMMYFUNCTION("""COMPUTED_VALUE"""),"Political History")</f>
        <v>Political History</v>
      </c>
      <c r="D1410" s="2" t="str">
        <f>IFERROR(__xludf.DUMMYFUNCTION("""COMPUTED_VALUE"""),"Pioneer Ridge Books")</f>
        <v>Pioneer Ridge Books</v>
      </c>
      <c r="E1410" s="2">
        <f>IFERROR(__xludf.DUMMYFUNCTION("""COMPUTED_VALUE"""),3.39)</f>
        <v>3.39</v>
      </c>
      <c r="F1410" s="2"/>
      <c r="G1410" s="2"/>
      <c r="H1410" s="2"/>
      <c r="I1410" s="2"/>
    </row>
    <row r="1411">
      <c r="A1411" s="2">
        <f>IFERROR(__xludf.DUMMYFUNCTION("""COMPUTED_VALUE"""),10529.0)</f>
        <v>10529</v>
      </c>
      <c r="B1411" s="2" t="str">
        <f>IFERROR(__xludf.DUMMYFUNCTION("""COMPUTED_VALUE"""),"Arts")</f>
        <v>Arts</v>
      </c>
      <c r="C1411" s="2" t="str">
        <f>IFERROR(__xludf.DUMMYFUNCTION("""COMPUTED_VALUE"""),"Political History")</f>
        <v>Political History</v>
      </c>
      <c r="D1411" s="2" t="str">
        <f>IFERROR(__xludf.DUMMYFUNCTION("""COMPUTED_VALUE"""),"Pioneer Ridge Books")</f>
        <v>Pioneer Ridge Books</v>
      </c>
      <c r="E1411" s="2">
        <f>IFERROR(__xludf.DUMMYFUNCTION("""COMPUTED_VALUE"""),1.15)</f>
        <v>1.15</v>
      </c>
      <c r="F1411" s="2"/>
      <c r="G1411" s="2"/>
      <c r="H1411" s="2"/>
      <c r="I1411" s="2"/>
    </row>
    <row r="1412">
      <c r="A1412" s="2">
        <f>IFERROR(__xludf.DUMMYFUNCTION("""COMPUTED_VALUE"""),44705.0)</f>
        <v>44705</v>
      </c>
      <c r="B1412" s="2" t="str">
        <f>IFERROR(__xludf.DUMMYFUNCTION("""COMPUTED_VALUE"""),"Arts")</f>
        <v>Arts</v>
      </c>
      <c r="C1412" s="2" t="str">
        <f>IFERROR(__xludf.DUMMYFUNCTION("""COMPUTED_VALUE"""),"Political History")</f>
        <v>Political History</v>
      </c>
      <c r="D1412" s="2" t="str">
        <f>IFERROR(__xludf.DUMMYFUNCTION("""COMPUTED_VALUE"""),"Pioneer Ridge Books")</f>
        <v>Pioneer Ridge Books</v>
      </c>
      <c r="E1412" s="2">
        <f>IFERROR(__xludf.DUMMYFUNCTION("""COMPUTED_VALUE"""),2.09)</f>
        <v>2.09</v>
      </c>
      <c r="F1412" s="2"/>
      <c r="G1412" s="2"/>
      <c r="H1412" s="2"/>
      <c r="I1412" s="2"/>
    </row>
    <row r="1413">
      <c r="A1413" s="2">
        <f>IFERROR(__xludf.DUMMYFUNCTION("""COMPUTED_VALUE"""),100564.0)</f>
        <v>100564</v>
      </c>
      <c r="B1413" s="2" t="str">
        <f>IFERROR(__xludf.DUMMYFUNCTION("""COMPUTED_VALUE"""),"Arts")</f>
        <v>Arts</v>
      </c>
      <c r="C1413" s="2" t="str">
        <f>IFERROR(__xludf.DUMMYFUNCTION("""COMPUTED_VALUE"""),"Political History")</f>
        <v>Political History</v>
      </c>
      <c r="D1413" s="2" t="str">
        <f>IFERROR(__xludf.DUMMYFUNCTION("""COMPUTED_VALUE"""),"Pioneer Ridge Books")</f>
        <v>Pioneer Ridge Books</v>
      </c>
      <c r="E1413" s="2">
        <f>IFERROR(__xludf.DUMMYFUNCTION("""COMPUTED_VALUE"""),2.68)</f>
        <v>2.68</v>
      </c>
      <c r="F1413" s="2"/>
      <c r="G1413" s="2"/>
      <c r="H1413" s="2"/>
      <c r="I1413" s="2"/>
    </row>
    <row r="1414">
      <c r="A1414" s="2">
        <f>IFERROR(__xludf.DUMMYFUNCTION("""COMPUTED_VALUE"""),87193.0)</f>
        <v>87193</v>
      </c>
      <c r="B1414" s="2" t="str">
        <f>IFERROR(__xludf.DUMMYFUNCTION("""COMPUTED_VALUE"""),"Arts")</f>
        <v>Arts</v>
      </c>
      <c r="C1414" s="2" t="str">
        <f>IFERROR(__xludf.DUMMYFUNCTION("""COMPUTED_VALUE"""),"Political History")</f>
        <v>Political History</v>
      </c>
      <c r="D1414" s="2" t="str">
        <f>IFERROR(__xludf.DUMMYFUNCTION("""COMPUTED_VALUE"""),"Pioneer Ridge Books")</f>
        <v>Pioneer Ridge Books</v>
      </c>
      <c r="E1414" s="2">
        <f>IFERROR(__xludf.DUMMYFUNCTION("""COMPUTED_VALUE"""),4.54)</f>
        <v>4.54</v>
      </c>
      <c r="F1414" s="2"/>
      <c r="G1414" s="2"/>
      <c r="H1414" s="2"/>
      <c r="I1414" s="2"/>
    </row>
    <row r="1415">
      <c r="A1415" s="2">
        <f>IFERROR(__xludf.DUMMYFUNCTION("""COMPUTED_VALUE"""),76044.0)</f>
        <v>76044</v>
      </c>
      <c r="B1415" s="2" t="str">
        <f>IFERROR(__xludf.DUMMYFUNCTION("""COMPUTED_VALUE"""),"Arts")</f>
        <v>Arts</v>
      </c>
      <c r="C1415" s="2" t="str">
        <f>IFERROR(__xludf.DUMMYFUNCTION("""COMPUTED_VALUE"""),"Political History")</f>
        <v>Political History</v>
      </c>
      <c r="D1415" s="2" t="str">
        <f>IFERROR(__xludf.DUMMYFUNCTION("""COMPUTED_VALUE"""),"Pioneer Ridge Books")</f>
        <v>Pioneer Ridge Books</v>
      </c>
      <c r="E1415" s="2">
        <f>IFERROR(__xludf.DUMMYFUNCTION("""COMPUTED_VALUE"""),2.71)</f>
        <v>2.71</v>
      </c>
      <c r="F1415" s="2"/>
      <c r="G1415" s="2"/>
      <c r="H1415" s="2"/>
      <c r="I1415" s="2"/>
    </row>
    <row r="1416">
      <c r="A1416" s="2">
        <f>IFERROR(__xludf.DUMMYFUNCTION("""COMPUTED_VALUE"""),121578.0)</f>
        <v>121578</v>
      </c>
      <c r="B1416" s="2" t="str">
        <f>IFERROR(__xludf.DUMMYFUNCTION("""COMPUTED_VALUE"""),"Arts")</f>
        <v>Arts</v>
      </c>
      <c r="C1416" s="2" t="str">
        <f>IFERROR(__xludf.DUMMYFUNCTION("""COMPUTED_VALUE"""),"Political History")</f>
        <v>Political History</v>
      </c>
      <c r="D1416" s="2" t="str">
        <f>IFERROR(__xludf.DUMMYFUNCTION("""COMPUTED_VALUE"""),"Pioneer Ridge Books")</f>
        <v>Pioneer Ridge Books</v>
      </c>
      <c r="E1416" s="2">
        <f>IFERROR(__xludf.DUMMYFUNCTION("""COMPUTED_VALUE"""),4.16)</f>
        <v>4.16</v>
      </c>
      <c r="F1416" s="2"/>
      <c r="G1416" s="2"/>
      <c r="H1416" s="2"/>
      <c r="I1416" s="2"/>
    </row>
    <row r="1417">
      <c r="A1417" s="2">
        <f>IFERROR(__xludf.DUMMYFUNCTION("""COMPUTED_VALUE"""),117206.0)</f>
        <v>117206</v>
      </c>
      <c r="B1417" s="2" t="str">
        <f>IFERROR(__xludf.DUMMYFUNCTION("""COMPUTED_VALUE"""),"Arts")</f>
        <v>Arts</v>
      </c>
      <c r="C1417" s="2" t="str">
        <f>IFERROR(__xludf.DUMMYFUNCTION("""COMPUTED_VALUE"""),"Political History")</f>
        <v>Political History</v>
      </c>
      <c r="D1417" s="2" t="str">
        <f>IFERROR(__xludf.DUMMYFUNCTION("""COMPUTED_VALUE"""),"Pioneer Ridge Books")</f>
        <v>Pioneer Ridge Books</v>
      </c>
      <c r="E1417" s="2">
        <f>IFERROR(__xludf.DUMMYFUNCTION("""COMPUTED_VALUE"""),2.11)</f>
        <v>2.11</v>
      </c>
      <c r="F1417" s="2"/>
      <c r="G1417" s="2"/>
      <c r="H1417" s="2"/>
      <c r="I1417" s="2"/>
    </row>
    <row r="1418">
      <c r="A1418" s="2">
        <f>IFERROR(__xludf.DUMMYFUNCTION("""COMPUTED_VALUE"""),81519.0)</f>
        <v>81519</v>
      </c>
      <c r="B1418" s="2" t="str">
        <f>IFERROR(__xludf.DUMMYFUNCTION("""COMPUTED_VALUE"""),"Arts")</f>
        <v>Arts</v>
      </c>
      <c r="C1418" s="2" t="str">
        <f>IFERROR(__xludf.DUMMYFUNCTION("""COMPUTED_VALUE"""),"Political History")</f>
        <v>Political History</v>
      </c>
      <c r="D1418" s="2" t="str">
        <f>IFERROR(__xludf.DUMMYFUNCTION("""COMPUTED_VALUE"""),"Pioneer Ridge Books")</f>
        <v>Pioneer Ridge Books</v>
      </c>
      <c r="E1418" s="2">
        <f>IFERROR(__xludf.DUMMYFUNCTION("""COMPUTED_VALUE"""),5.74)</f>
        <v>5.74</v>
      </c>
      <c r="F1418" s="2"/>
      <c r="G1418" s="2"/>
      <c r="H1418" s="2"/>
      <c r="I1418" s="2"/>
    </row>
    <row r="1419">
      <c r="A1419" s="2">
        <f>IFERROR(__xludf.DUMMYFUNCTION("""COMPUTED_VALUE"""),44724.0)</f>
        <v>44724</v>
      </c>
      <c r="B1419" s="2" t="str">
        <f>IFERROR(__xludf.DUMMYFUNCTION("""COMPUTED_VALUE"""),"Arts")</f>
        <v>Arts</v>
      </c>
      <c r="C1419" s="2" t="str">
        <f>IFERROR(__xludf.DUMMYFUNCTION("""COMPUTED_VALUE"""),"Political History")</f>
        <v>Political History</v>
      </c>
      <c r="D1419" s="2" t="str">
        <f>IFERROR(__xludf.DUMMYFUNCTION("""COMPUTED_VALUE"""),"Pioneer Ridge Books")</f>
        <v>Pioneer Ridge Books</v>
      </c>
      <c r="E1419" s="2">
        <f>IFERROR(__xludf.DUMMYFUNCTION("""COMPUTED_VALUE"""),1.77)</f>
        <v>1.77</v>
      </c>
      <c r="F1419" s="2"/>
      <c r="G1419" s="2"/>
      <c r="H1419" s="2"/>
      <c r="I1419" s="2"/>
    </row>
    <row r="1420">
      <c r="A1420" s="2">
        <f>IFERROR(__xludf.DUMMYFUNCTION("""COMPUTED_VALUE"""),82114.0)</f>
        <v>82114</v>
      </c>
      <c r="B1420" s="2" t="str">
        <f>IFERROR(__xludf.DUMMYFUNCTION("""COMPUTED_VALUE"""),"Arts")</f>
        <v>Arts</v>
      </c>
      <c r="C1420" s="2" t="str">
        <f>IFERROR(__xludf.DUMMYFUNCTION("""COMPUTED_VALUE"""),"Political History")</f>
        <v>Political History</v>
      </c>
      <c r="D1420" s="2" t="str">
        <f>IFERROR(__xludf.DUMMYFUNCTION("""COMPUTED_VALUE"""),"Pioneer Ridge Books")</f>
        <v>Pioneer Ridge Books</v>
      </c>
      <c r="E1420" s="2">
        <f>IFERROR(__xludf.DUMMYFUNCTION("""COMPUTED_VALUE"""),17.17)</f>
        <v>17.17</v>
      </c>
      <c r="F1420" s="2"/>
      <c r="G1420" s="2"/>
      <c r="H1420" s="2"/>
      <c r="I1420" s="2"/>
    </row>
    <row r="1421">
      <c r="A1421" s="2">
        <f>IFERROR(__xludf.DUMMYFUNCTION("""COMPUTED_VALUE"""),82115.0)</f>
        <v>82115</v>
      </c>
      <c r="B1421" s="2" t="str">
        <f>IFERROR(__xludf.DUMMYFUNCTION("""COMPUTED_VALUE"""),"Arts")</f>
        <v>Arts</v>
      </c>
      <c r="C1421" s="2" t="str">
        <f>IFERROR(__xludf.DUMMYFUNCTION("""COMPUTED_VALUE"""),"Political History")</f>
        <v>Political History</v>
      </c>
      <c r="D1421" s="2" t="str">
        <f>IFERROR(__xludf.DUMMYFUNCTION("""COMPUTED_VALUE"""),"Pioneer Ridge Books")</f>
        <v>Pioneer Ridge Books</v>
      </c>
      <c r="E1421" s="2">
        <f>IFERROR(__xludf.DUMMYFUNCTION("""COMPUTED_VALUE"""),13.9)</f>
        <v>13.9</v>
      </c>
      <c r="F1421" s="2"/>
      <c r="G1421" s="2"/>
      <c r="H1421" s="2"/>
      <c r="I1421" s="2"/>
    </row>
    <row r="1422">
      <c r="A1422" s="2">
        <f>IFERROR(__xludf.DUMMYFUNCTION("""COMPUTED_VALUE"""),109307.0)</f>
        <v>109307</v>
      </c>
      <c r="B1422" s="2" t="str">
        <f>IFERROR(__xludf.DUMMYFUNCTION("""COMPUTED_VALUE"""),"Arts")</f>
        <v>Arts</v>
      </c>
      <c r="C1422" s="2" t="str">
        <f>IFERROR(__xludf.DUMMYFUNCTION("""COMPUTED_VALUE"""),"Political History")</f>
        <v>Political History</v>
      </c>
      <c r="D1422" s="2" t="str">
        <f>IFERROR(__xludf.DUMMYFUNCTION("""COMPUTED_VALUE"""),"Pioneer Ridge Books")</f>
        <v>Pioneer Ridge Books</v>
      </c>
      <c r="E1422" s="2">
        <f>IFERROR(__xludf.DUMMYFUNCTION("""COMPUTED_VALUE"""),6.43)</f>
        <v>6.43</v>
      </c>
      <c r="F1422" s="2"/>
      <c r="G1422" s="2"/>
      <c r="H1422" s="2"/>
      <c r="I1422" s="2"/>
    </row>
    <row r="1423">
      <c r="A1423" s="2">
        <f>IFERROR(__xludf.DUMMYFUNCTION("""COMPUTED_VALUE"""),76046.0)</f>
        <v>76046</v>
      </c>
      <c r="B1423" s="2" t="str">
        <f>IFERROR(__xludf.DUMMYFUNCTION("""COMPUTED_VALUE"""),"Arts")</f>
        <v>Arts</v>
      </c>
      <c r="C1423" s="2" t="str">
        <f>IFERROR(__xludf.DUMMYFUNCTION("""COMPUTED_VALUE"""),"Political History")</f>
        <v>Political History</v>
      </c>
      <c r="D1423" s="2" t="str">
        <f>IFERROR(__xludf.DUMMYFUNCTION("""COMPUTED_VALUE"""),"Pioneer Ridge Books")</f>
        <v>Pioneer Ridge Books</v>
      </c>
      <c r="E1423" s="2">
        <f>IFERROR(__xludf.DUMMYFUNCTION("""COMPUTED_VALUE"""),5.55)</f>
        <v>5.55</v>
      </c>
      <c r="F1423" s="2"/>
      <c r="G1423" s="2"/>
      <c r="H1423" s="2"/>
      <c r="I1423" s="2"/>
    </row>
    <row r="1424">
      <c r="A1424" s="2">
        <f>IFERROR(__xludf.DUMMYFUNCTION("""COMPUTED_VALUE"""),117187.0)</f>
        <v>117187</v>
      </c>
      <c r="B1424" s="2" t="str">
        <f>IFERROR(__xludf.DUMMYFUNCTION("""COMPUTED_VALUE"""),"Arts")</f>
        <v>Arts</v>
      </c>
      <c r="C1424" s="2" t="str">
        <f>IFERROR(__xludf.DUMMYFUNCTION("""COMPUTED_VALUE"""),"Political History")</f>
        <v>Political History</v>
      </c>
      <c r="D1424" s="2" t="str">
        <f>IFERROR(__xludf.DUMMYFUNCTION("""COMPUTED_VALUE"""),"Pioneer Ridge Books")</f>
        <v>Pioneer Ridge Books</v>
      </c>
      <c r="E1424" s="2">
        <f>IFERROR(__xludf.DUMMYFUNCTION("""COMPUTED_VALUE"""),2.44)</f>
        <v>2.44</v>
      </c>
      <c r="F1424" s="2"/>
      <c r="G1424" s="2"/>
      <c r="H1424" s="2"/>
      <c r="I1424" s="2"/>
    </row>
    <row r="1425">
      <c r="A1425" s="2">
        <f>IFERROR(__xludf.DUMMYFUNCTION("""COMPUTED_VALUE"""),10538.0)</f>
        <v>10538</v>
      </c>
      <c r="B1425" s="2" t="str">
        <f>IFERROR(__xludf.DUMMYFUNCTION("""COMPUTED_VALUE"""),"Arts")</f>
        <v>Arts</v>
      </c>
      <c r="C1425" s="2" t="str">
        <f>IFERROR(__xludf.DUMMYFUNCTION("""COMPUTED_VALUE"""),"Political History")</f>
        <v>Political History</v>
      </c>
      <c r="D1425" s="2" t="str">
        <f>IFERROR(__xludf.DUMMYFUNCTION("""COMPUTED_VALUE"""),"Pioneer Ridge Books")</f>
        <v>Pioneer Ridge Books</v>
      </c>
      <c r="E1425" s="2">
        <f>IFERROR(__xludf.DUMMYFUNCTION("""COMPUTED_VALUE"""),2.32)</f>
        <v>2.32</v>
      </c>
      <c r="F1425" s="2"/>
      <c r="G1425" s="2"/>
      <c r="H1425" s="2"/>
      <c r="I1425" s="2"/>
    </row>
    <row r="1426">
      <c r="A1426" s="2">
        <f>IFERROR(__xludf.DUMMYFUNCTION("""COMPUTED_VALUE"""),78508.0)</f>
        <v>78508</v>
      </c>
      <c r="B1426" s="2" t="str">
        <f>IFERROR(__xludf.DUMMYFUNCTION("""COMPUTED_VALUE"""),"Arts")</f>
        <v>Arts</v>
      </c>
      <c r="C1426" s="2" t="str">
        <f>IFERROR(__xludf.DUMMYFUNCTION("""COMPUTED_VALUE"""),"Political History")</f>
        <v>Political History</v>
      </c>
      <c r="D1426" s="2" t="str">
        <f>IFERROR(__xludf.DUMMYFUNCTION("""COMPUTED_VALUE"""),"Pioneer Ridge Books")</f>
        <v>Pioneer Ridge Books</v>
      </c>
      <c r="E1426" s="2">
        <f>IFERROR(__xludf.DUMMYFUNCTION("""COMPUTED_VALUE"""),6.82)</f>
        <v>6.82</v>
      </c>
      <c r="F1426" s="2"/>
      <c r="G1426" s="2"/>
      <c r="H1426" s="2"/>
      <c r="I1426" s="2"/>
    </row>
    <row r="1427">
      <c r="A1427" s="2">
        <f>IFERROR(__xludf.DUMMYFUNCTION("""COMPUTED_VALUE"""),44723.0)</f>
        <v>44723</v>
      </c>
      <c r="B1427" s="2" t="str">
        <f>IFERROR(__xludf.DUMMYFUNCTION("""COMPUTED_VALUE"""),"Arts")</f>
        <v>Arts</v>
      </c>
      <c r="C1427" s="2" t="str">
        <f>IFERROR(__xludf.DUMMYFUNCTION("""COMPUTED_VALUE"""),"Political History")</f>
        <v>Political History</v>
      </c>
      <c r="D1427" s="2" t="str">
        <f>IFERROR(__xludf.DUMMYFUNCTION("""COMPUTED_VALUE"""),"Pioneer Ridge Books")</f>
        <v>Pioneer Ridge Books</v>
      </c>
      <c r="E1427" s="2">
        <f>IFERROR(__xludf.DUMMYFUNCTION("""COMPUTED_VALUE"""),1.71)</f>
        <v>1.71</v>
      </c>
      <c r="F1427" s="2"/>
      <c r="G1427" s="2"/>
      <c r="H1427" s="2"/>
      <c r="I1427" s="2"/>
    </row>
    <row r="1428">
      <c r="A1428" s="2">
        <f>IFERROR(__xludf.DUMMYFUNCTION("""COMPUTED_VALUE"""),109309.0)</f>
        <v>109309</v>
      </c>
      <c r="B1428" s="2" t="str">
        <f>IFERROR(__xludf.DUMMYFUNCTION("""COMPUTED_VALUE"""),"Arts")</f>
        <v>Arts</v>
      </c>
      <c r="C1428" s="2" t="str">
        <f>IFERROR(__xludf.DUMMYFUNCTION("""COMPUTED_VALUE"""),"Political History")</f>
        <v>Political History</v>
      </c>
      <c r="D1428" s="2" t="str">
        <f>IFERROR(__xludf.DUMMYFUNCTION("""COMPUTED_VALUE"""),"Pioneer Ridge Books")</f>
        <v>Pioneer Ridge Books</v>
      </c>
      <c r="E1428" s="2">
        <f>IFERROR(__xludf.DUMMYFUNCTION("""COMPUTED_VALUE"""),5.69)</f>
        <v>5.69</v>
      </c>
      <c r="F1428" s="2"/>
      <c r="G1428" s="2"/>
      <c r="H1428" s="2"/>
      <c r="I1428" s="2"/>
    </row>
    <row r="1429">
      <c r="A1429" s="2">
        <f>IFERROR(__xludf.DUMMYFUNCTION("""COMPUTED_VALUE"""),76656.0)</f>
        <v>76656</v>
      </c>
      <c r="B1429" s="2" t="str">
        <f>IFERROR(__xludf.DUMMYFUNCTION("""COMPUTED_VALUE"""),"Arts")</f>
        <v>Arts</v>
      </c>
      <c r="C1429" s="2" t="str">
        <f>IFERROR(__xludf.DUMMYFUNCTION("""COMPUTED_VALUE"""),"Political History")</f>
        <v>Political History</v>
      </c>
      <c r="D1429" s="2" t="str">
        <f>IFERROR(__xludf.DUMMYFUNCTION("""COMPUTED_VALUE"""),"Pioneer Ridge Books")</f>
        <v>Pioneer Ridge Books</v>
      </c>
      <c r="E1429" s="2">
        <f>IFERROR(__xludf.DUMMYFUNCTION("""COMPUTED_VALUE"""),3.37)</f>
        <v>3.37</v>
      </c>
      <c r="F1429" s="2"/>
      <c r="G1429" s="2"/>
      <c r="H1429" s="2"/>
      <c r="I1429" s="2"/>
    </row>
    <row r="1430">
      <c r="A1430" s="2">
        <f>IFERROR(__xludf.DUMMYFUNCTION("""COMPUTED_VALUE"""),80305.0)</f>
        <v>80305</v>
      </c>
      <c r="B1430" s="2" t="str">
        <f>IFERROR(__xludf.DUMMYFUNCTION("""COMPUTED_VALUE"""),"Arts")</f>
        <v>Arts</v>
      </c>
      <c r="C1430" s="2" t="str">
        <f>IFERROR(__xludf.DUMMYFUNCTION("""COMPUTED_VALUE"""),"Political History")</f>
        <v>Political History</v>
      </c>
      <c r="D1430" s="2" t="str">
        <f>IFERROR(__xludf.DUMMYFUNCTION("""COMPUTED_VALUE"""),"Pioneer Ridge Books")</f>
        <v>Pioneer Ridge Books</v>
      </c>
      <c r="E1430" s="2">
        <f>IFERROR(__xludf.DUMMYFUNCTION("""COMPUTED_VALUE"""),3.75)</f>
        <v>3.75</v>
      </c>
      <c r="F1430" s="2"/>
      <c r="G1430" s="2"/>
      <c r="H1430" s="2"/>
      <c r="I1430" s="2"/>
    </row>
    <row r="1431">
      <c r="A1431" s="2">
        <f>IFERROR(__xludf.DUMMYFUNCTION("""COMPUTED_VALUE"""),78506.0)</f>
        <v>78506</v>
      </c>
      <c r="B1431" s="2" t="str">
        <f>IFERROR(__xludf.DUMMYFUNCTION("""COMPUTED_VALUE"""),"Arts")</f>
        <v>Arts</v>
      </c>
      <c r="C1431" s="2" t="str">
        <f>IFERROR(__xludf.DUMMYFUNCTION("""COMPUTED_VALUE"""),"Political History")</f>
        <v>Political History</v>
      </c>
      <c r="D1431" s="2" t="str">
        <f>IFERROR(__xludf.DUMMYFUNCTION("""COMPUTED_VALUE"""),"Pioneer Ridge Books")</f>
        <v>Pioneer Ridge Books</v>
      </c>
      <c r="E1431" s="2">
        <f>IFERROR(__xludf.DUMMYFUNCTION("""COMPUTED_VALUE"""),6.22)</f>
        <v>6.22</v>
      </c>
      <c r="F1431" s="2"/>
      <c r="G1431" s="2"/>
      <c r="H1431" s="2"/>
      <c r="I1431" s="2"/>
    </row>
    <row r="1432">
      <c r="A1432" s="2">
        <f>IFERROR(__xludf.DUMMYFUNCTION("""COMPUTED_VALUE"""),82133.0)</f>
        <v>82133</v>
      </c>
      <c r="B1432" s="2" t="str">
        <f>IFERROR(__xludf.DUMMYFUNCTION("""COMPUTED_VALUE"""),"Arts")</f>
        <v>Arts</v>
      </c>
      <c r="C1432" s="2" t="str">
        <f>IFERROR(__xludf.DUMMYFUNCTION("""COMPUTED_VALUE"""),"Political History")</f>
        <v>Political History</v>
      </c>
      <c r="D1432" s="2" t="str">
        <f>IFERROR(__xludf.DUMMYFUNCTION("""COMPUTED_VALUE"""),"Pioneer Ridge Books")</f>
        <v>Pioneer Ridge Books</v>
      </c>
      <c r="E1432" s="2">
        <f>IFERROR(__xludf.DUMMYFUNCTION("""COMPUTED_VALUE"""),17.31)</f>
        <v>17.31</v>
      </c>
      <c r="F1432" s="2"/>
      <c r="G1432" s="2"/>
      <c r="H1432" s="2"/>
      <c r="I1432" s="2"/>
    </row>
    <row r="1433">
      <c r="A1433" s="2">
        <f>IFERROR(__xludf.DUMMYFUNCTION("""COMPUTED_VALUE"""),188805.0)</f>
        <v>188805</v>
      </c>
      <c r="B1433" s="2" t="str">
        <f>IFERROR(__xludf.DUMMYFUNCTION("""COMPUTED_VALUE"""),"Arts")</f>
        <v>Arts</v>
      </c>
      <c r="C1433" s="2" t="str">
        <f>IFERROR(__xludf.DUMMYFUNCTION("""COMPUTED_VALUE"""),"Political History")</f>
        <v>Political History</v>
      </c>
      <c r="D1433" s="2" t="str">
        <f>IFERROR(__xludf.DUMMYFUNCTION("""COMPUTED_VALUE"""),"Pioneer Ridge Books")</f>
        <v>Pioneer Ridge Books</v>
      </c>
      <c r="E1433" s="2">
        <f>IFERROR(__xludf.DUMMYFUNCTION("""COMPUTED_VALUE"""),3.82)</f>
        <v>3.82</v>
      </c>
      <c r="F1433" s="2"/>
      <c r="G1433" s="2"/>
      <c r="H1433" s="2"/>
      <c r="I1433" s="2"/>
    </row>
    <row r="1434">
      <c r="A1434" s="2">
        <f>IFERROR(__xludf.DUMMYFUNCTION("""COMPUTED_VALUE"""),78481.0)</f>
        <v>78481</v>
      </c>
      <c r="B1434" s="2" t="str">
        <f>IFERROR(__xludf.DUMMYFUNCTION("""COMPUTED_VALUE"""),"Arts")</f>
        <v>Arts</v>
      </c>
      <c r="C1434" s="2" t="str">
        <f>IFERROR(__xludf.DUMMYFUNCTION("""COMPUTED_VALUE"""),"Political History")</f>
        <v>Political History</v>
      </c>
      <c r="D1434" s="2" t="str">
        <f>IFERROR(__xludf.DUMMYFUNCTION("""COMPUTED_VALUE"""),"Pioneer Ridge Books")</f>
        <v>Pioneer Ridge Books</v>
      </c>
      <c r="E1434" s="2">
        <f>IFERROR(__xludf.DUMMYFUNCTION("""COMPUTED_VALUE"""),4.59)</f>
        <v>4.59</v>
      </c>
      <c r="F1434" s="2"/>
      <c r="G1434" s="2"/>
      <c r="H1434" s="2"/>
      <c r="I1434" s="2"/>
    </row>
    <row r="1435">
      <c r="A1435" s="2">
        <f>IFERROR(__xludf.DUMMYFUNCTION("""COMPUTED_VALUE"""),109310.0)</f>
        <v>109310</v>
      </c>
      <c r="B1435" s="2" t="str">
        <f>IFERROR(__xludf.DUMMYFUNCTION("""COMPUTED_VALUE"""),"Arts")</f>
        <v>Arts</v>
      </c>
      <c r="C1435" s="2" t="str">
        <f>IFERROR(__xludf.DUMMYFUNCTION("""COMPUTED_VALUE"""),"Political History")</f>
        <v>Political History</v>
      </c>
      <c r="D1435" s="2" t="str">
        <f>IFERROR(__xludf.DUMMYFUNCTION("""COMPUTED_VALUE"""),"Pioneer Ridge Books")</f>
        <v>Pioneer Ridge Books</v>
      </c>
      <c r="E1435" s="2">
        <f>IFERROR(__xludf.DUMMYFUNCTION("""COMPUTED_VALUE"""),4.22)</f>
        <v>4.22</v>
      </c>
      <c r="F1435" s="2"/>
      <c r="G1435" s="2"/>
      <c r="H1435" s="2"/>
      <c r="I1435" s="2"/>
    </row>
    <row r="1436">
      <c r="A1436" s="2">
        <f>IFERROR(__xludf.DUMMYFUNCTION("""COMPUTED_VALUE"""),120689.0)</f>
        <v>120689</v>
      </c>
      <c r="B1436" s="2" t="str">
        <f>IFERROR(__xludf.DUMMYFUNCTION("""COMPUTED_VALUE"""),"Arts")</f>
        <v>Arts</v>
      </c>
      <c r="C1436" s="2" t="str">
        <f>IFERROR(__xludf.DUMMYFUNCTION("""COMPUTED_VALUE"""),"Political History")</f>
        <v>Political History</v>
      </c>
      <c r="D1436" s="2" t="str">
        <f>IFERROR(__xludf.DUMMYFUNCTION("""COMPUTED_VALUE"""),"Pioneer Ridge Books")</f>
        <v>Pioneer Ridge Books</v>
      </c>
      <c r="E1436" s="2">
        <f>IFERROR(__xludf.DUMMYFUNCTION("""COMPUTED_VALUE"""),22.95)</f>
        <v>22.95</v>
      </c>
      <c r="F1436" s="2"/>
      <c r="G1436" s="2"/>
      <c r="H1436" s="2"/>
      <c r="I1436" s="2"/>
    </row>
    <row r="1437">
      <c r="A1437" s="2">
        <f>IFERROR(__xludf.DUMMYFUNCTION("""COMPUTED_VALUE"""),10540.0)</f>
        <v>10540</v>
      </c>
      <c r="B1437" s="2" t="str">
        <f>IFERROR(__xludf.DUMMYFUNCTION("""COMPUTED_VALUE"""),"Arts")</f>
        <v>Arts</v>
      </c>
      <c r="C1437" s="2" t="str">
        <f>IFERROR(__xludf.DUMMYFUNCTION("""COMPUTED_VALUE"""),"Political History")</f>
        <v>Political History</v>
      </c>
      <c r="D1437" s="2" t="str">
        <f>IFERROR(__xludf.DUMMYFUNCTION("""COMPUTED_VALUE"""),"Pioneer Ridge Books")</f>
        <v>Pioneer Ridge Books</v>
      </c>
      <c r="E1437" s="2">
        <f>IFERROR(__xludf.DUMMYFUNCTION("""COMPUTED_VALUE"""),4.17)</f>
        <v>4.17</v>
      </c>
      <c r="F1437" s="2"/>
      <c r="G1437" s="2"/>
      <c r="H1437" s="2"/>
      <c r="I1437" s="2"/>
    </row>
    <row r="1438">
      <c r="A1438" s="2">
        <f>IFERROR(__xludf.DUMMYFUNCTION("""COMPUTED_VALUE"""),44727.0)</f>
        <v>44727</v>
      </c>
      <c r="B1438" s="2" t="str">
        <f>IFERROR(__xludf.DUMMYFUNCTION("""COMPUTED_VALUE"""),"Arts")</f>
        <v>Arts</v>
      </c>
      <c r="C1438" s="2" t="str">
        <f>IFERROR(__xludf.DUMMYFUNCTION("""COMPUTED_VALUE"""),"Political History")</f>
        <v>Political History</v>
      </c>
      <c r="D1438" s="2" t="str">
        <f>IFERROR(__xludf.DUMMYFUNCTION("""COMPUTED_VALUE"""),"Pioneer Ridge Books")</f>
        <v>Pioneer Ridge Books</v>
      </c>
      <c r="E1438" s="2">
        <f>IFERROR(__xludf.DUMMYFUNCTION("""COMPUTED_VALUE"""),4.59)</f>
        <v>4.59</v>
      </c>
      <c r="F1438" s="2"/>
      <c r="G1438" s="2"/>
      <c r="H1438" s="2"/>
      <c r="I1438" s="2"/>
    </row>
    <row r="1439">
      <c r="A1439" s="2">
        <f>IFERROR(__xludf.DUMMYFUNCTION("""COMPUTED_VALUE"""),73190.0)</f>
        <v>73190</v>
      </c>
      <c r="B1439" s="2" t="str">
        <f>IFERROR(__xludf.DUMMYFUNCTION("""COMPUTED_VALUE"""),"Arts")</f>
        <v>Arts</v>
      </c>
      <c r="C1439" s="2" t="str">
        <f>IFERROR(__xludf.DUMMYFUNCTION("""COMPUTED_VALUE"""),"Political History")</f>
        <v>Political History</v>
      </c>
      <c r="D1439" s="2" t="str">
        <f>IFERROR(__xludf.DUMMYFUNCTION("""COMPUTED_VALUE"""),"Pioneer Ridge Books")</f>
        <v>Pioneer Ridge Books</v>
      </c>
      <c r="E1439" s="2">
        <f>IFERROR(__xludf.DUMMYFUNCTION("""COMPUTED_VALUE"""),29.92)</f>
        <v>29.92</v>
      </c>
      <c r="F1439" s="2"/>
      <c r="G1439" s="2"/>
      <c r="H1439" s="2"/>
      <c r="I1439" s="2"/>
    </row>
    <row r="1440">
      <c r="A1440" s="2">
        <f>IFERROR(__xludf.DUMMYFUNCTION("""COMPUTED_VALUE"""),112169.0)</f>
        <v>112169</v>
      </c>
      <c r="B1440" s="2" t="str">
        <f>IFERROR(__xludf.DUMMYFUNCTION("""COMPUTED_VALUE"""),"Arts")</f>
        <v>Arts</v>
      </c>
      <c r="C1440" s="2" t="str">
        <f>IFERROR(__xludf.DUMMYFUNCTION("""COMPUTED_VALUE"""),"Political History")</f>
        <v>Political History</v>
      </c>
      <c r="D1440" s="2" t="str">
        <f>IFERROR(__xludf.DUMMYFUNCTION("""COMPUTED_VALUE"""),"Pioneer Ridge Books")</f>
        <v>Pioneer Ridge Books</v>
      </c>
      <c r="E1440" s="2">
        <f>IFERROR(__xludf.DUMMYFUNCTION("""COMPUTED_VALUE"""),1.06)</f>
        <v>1.06</v>
      </c>
      <c r="F1440" s="2"/>
      <c r="G1440" s="2"/>
      <c r="H1440" s="2"/>
      <c r="I1440" s="2"/>
    </row>
    <row r="1441">
      <c r="A1441" s="2">
        <f>IFERROR(__xludf.DUMMYFUNCTION("""COMPUTED_VALUE"""),120695.0)</f>
        <v>120695</v>
      </c>
      <c r="B1441" s="2" t="str">
        <f>IFERROR(__xludf.DUMMYFUNCTION("""COMPUTED_VALUE"""),"Arts")</f>
        <v>Arts</v>
      </c>
      <c r="C1441" s="2" t="str">
        <f>IFERROR(__xludf.DUMMYFUNCTION("""COMPUTED_VALUE"""),"Political History")</f>
        <v>Political History</v>
      </c>
      <c r="D1441" s="2" t="str">
        <f>IFERROR(__xludf.DUMMYFUNCTION("""COMPUTED_VALUE"""),"Pioneer Ridge Books")</f>
        <v>Pioneer Ridge Books</v>
      </c>
      <c r="E1441" s="2">
        <f>IFERROR(__xludf.DUMMYFUNCTION("""COMPUTED_VALUE"""),15.02)</f>
        <v>15.02</v>
      </c>
      <c r="F1441" s="2"/>
      <c r="G1441" s="2"/>
      <c r="H1441" s="2"/>
      <c r="I1441" s="2"/>
    </row>
    <row r="1442">
      <c r="A1442" s="2">
        <f>IFERROR(__xludf.DUMMYFUNCTION("""COMPUTED_VALUE"""),80270.0)</f>
        <v>80270</v>
      </c>
      <c r="B1442" s="2" t="str">
        <f>IFERROR(__xludf.DUMMYFUNCTION("""COMPUTED_VALUE"""),"Arts")</f>
        <v>Arts</v>
      </c>
      <c r="C1442" s="2" t="str">
        <f>IFERROR(__xludf.DUMMYFUNCTION("""COMPUTED_VALUE"""),"Political History")</f>
        <v>Political History</v>
      </c>
      <c r="D1442" s="2" t="str">
        <f>IFERROR(__xludf.DUMMYFUNCTION("""COMPUTED_VALUE"""),"Pioneer Ridge Books")</f>
        <v>Pioneer Ridge Books</v>
      </c>
      <c r="E1442" s="2">
        <f>IFERROR(__xludf.DUMMYFUNCTION("""COMPUTED_VALUE"""),6.13)</f>
        <v>6.13</v>
      </c>
      <c r="F1442" s="2"/>
      <c r="G1442" s="2"/>
      <c r="H1442" s="2"/>
      <c r="I1442" s="2"/>
    </row>
    <row r="1443">
      <c r="A1443" s="2">
        <f>IFERROR(__xludf.DUMMYFUNCTION("""COMPUTED_VALUE"""),5795.0)</f>
        <v>5795</v>
      </c>
      <c r="B1443" s="2" t="str">
        <f>IFERROR(__xludf.DUMMYFUNCTION("""COMPUTED_VALUE"""),"Arts")</f>
        <v>Arts</v>
      </c>
      <c r="C1443" s="2" t="str">
        <f>IFERROR(__xludf.DUMMYFUNCTION("""COMPUTED_VALUE"""),"Political History")</f>
        <v>Political History</v>
      </c>
      <c r="D1443" s="2" t="str">
        <f>IFERROR(__xludf.DUMMYFUNCTION("""COMPUTED_VALUE"""),"Pioneer Ridge Books")</f>
        <v>Pioneer Ridge Books</v>
      </c>
      <c r="E1443" s="2">
        <f>IFERROR(__xludf.DUMMYFUNCTION("""COMPUTED_VALUE"""),4.91)</f>
        <v>4.91</v>
      </c>
      <c r="F1443" s="2"/>
      <c r="G1443" s="2"/>
      <c r="H1443" s="2"/>
      <c r="I1443" s="2"/>
    </row>
    <row r="1444">
      <c r="A1444" s="2">
        <f>IFERROR(__xludf.DUMMYFUNCTION("""COMPUTED_VALUE"""),107316.0)</f>
        <v>107316</v>
      </c>
      <c r="B1444" s="2" t="str">
        <f>IFERROR(__xludf.DUMMYFUNCTION("""COMPUTED_VALUE"""),"Arts")</f>
        <v>Arts</v>
      </c>
      <c r="C1444" s="2" t="str">
        <f>IFERROR(__xludf.DUMMYFUNCTION("""COMPUTED_VALUE"""),"Political History")</f>
        <v>Political History</v>
      </c>
      <c r="D1444" s="2" t="str">
        <f>IFERROR(__xludf.DUMMYFUNCTION("""COMPUTED_VALUE"""),"Pioneer Ridge Books")</f>
        <v>Pioneer Ridge Books</v>
      </c>
      <c r="E1444" s="2">
        <f>IFERROR(__xludf.DUMMYFUNCTION("""COMPUTED_VALUE"""),4.9)</f>
        <v>4.9</v>
      </c>
      <c r="F1444" s="2"/>
      <c r="G1444" s="2"/>
      <c r="H1444" s="2"/>
      <c r="I1444" s="2"/>
    </row>
    <row r="1445">
      <c r="A1445" s="2">
        <f>IFERROR(__xludf.DUMMYFUNCTION("""COMPUTED_VALUE"""),78482.0)</f>
        <v>78482</v>
      </c>
      <c r="B1445" s="2" t="str">
        <f>IFERROR(__xludf.DUMMYFUNCTION("""COMPUTED_VALUE"""),"Arts")</f>
        <v>Arts</v>
      </c>
      <c r="C1445" s="2" t="str">
        <f>IFERROR(__xludf.DUMMYFUNCTION("""COMPUTED_VALUE"""),"Political History")</f>
        <v>Political History</v>
      </c>
      <c r="D1445" s="2" t="str">
        <f>IFERROR(__xludf.DUMMYFUNCTION("""COMPUTED_VALUE"""),"Pioneer Ridge Books")</f>
        <v>Pioneer Ridge Books</v>
      </c>
      <c r="E1445" s="2">
        <f>IFERROR(__xludf.DUMMYFUNCTION("""COMPUTED_VALUE"""),10.34)</f>
        <v>10.34</v>
      </c>
      <c r="F1445" s="2"/>
      <c r="G1445" s="2"/>
      <c r="H1445" s="2"/>
      <c r="I1445" s="2"/>
    </row>
    <row r="1446">
      <c r="A1446" s="2">
        <f>IFERROR(__xludf.DUMMYFUNCTION("""COMPUTED_VALUE"""),158473.0)</f>
        <v>158473</v>
      </c>
      <c r="B1446" s="2" t="str">
        <f>IFERROR(__xludf.DUMMYFUNCTION("""COMPUTED_VALUE"""),"Arts")</f>
        <v>Arts</v>
      </c>
      <c r="C1446" s="2" t="str">
        <f>IFERROR(__xludf.DUMMYFUNCTION("""COMPUTED_VALUE"""),"Political History")</f>
        <v>Political History</v>
      </c>
      <c r="D1446" s="2" t="str">
        <f>IFERROR(__xludf.DUMMYFUNCTION("""COMPUTED_VALUE"""),"Pioneer Ridge Books")</f>
        <v>Pioneer Ridge Books</v>
      </c>
      <c r="E1446" s="2">
        <f>IFERROR(__xludf.DUMMYFUNCTION("""COMPUTED_VALUE"""),3.57)</f>
        <v>3.57</v>
      </c>
      <c r="F1446" s="2"/>
      <c r="G1446" s="2"/>
      <c r="H1446" s="2"/>
      <c r="I1446" s="2"/>
    </row>
    <row r="1447">
      <c r="A1447" s="2">
        <f>IFERROR(__xludf.DUMMYFUNCTION("""COMPUTED_VALUE"""),109308.0)</f>
        <v>109308</v>
      </c>
      <c r="B1447" s="2" t="str">
        <f>IFERROR(__xludf.DUMMYFUNCTION("""COMPUTED_VALUE"""),"Arts")</f>
        <v>Arts</v>
      </c>
      <c r="C1447" s="2" t="str">
        <f>IFERROR(__xludf.DUMMYFUNCTION("""COMPUTED_VALUE"""),"Political History")</f>
        <v>Political History</v>
      </c>
      <c r="D1447" s="2" t="str">
        <f>IFERROR(__xludf.DUMMYFUNCTION("""COMPUTED_VALUE"""),"Pioneer Ridge Books")</f>
        <v>Pioneer Ridge Books</v>
      </c>
      <c r="E1447" s="2">
        <f>IFERROR(__xludf.DUMMYFUNCTION("""COMPUTED_VALUE"""),5.65)</f>
        <v>5.65</v>
      </c>
      <c r="F1447" s="2"/>
      <c r="G1447" s="2"/>
      <c r="H1447" s="2"/>
      <c r="I1447" s="2"/>
    </row>
    <row r="1448">
      <c r="A1448" s="2">
        <f>IFERROR(__xludf.DUMMYFUNCTION("""COMPUTED_VALUE"""),78507.0)</f>
        <v>78507</v>
      </c>
      <c r="B1448" s="2" t="str">
        <f>IFERROR(__xludf.DUMMYFUNCTION("""COMPUTED_VALUE"""),"Arts")</f>
        <v>Arts</v>
      </c>
      <c r="C1448" s="2" t="str">
        <f>IFERROR(__xludf.DUMMYFUNCTION("""COMPUTED_VALUE"""),"Political History")</f>
        <v>Political History</v>
      </c>
      <c r="D1448" s="2" t="str">
        <f>IFERROR(__xludf.DUMMYFUNCTION("""COMPUTED_VALUE"""),"Pioneer Ridge Books")</f>
        <v>Pioneer Ridge Books</v>
      </c>
      <c r="E1448" s="2">
        <f>IFERROR(__xludf.DUMMYFUNCTION("""COMPUTED_VALUE"""),8.22)</f>
        <v>8.22</v>
      </c>
      <c r="F1448" s="2"/>
      <c r="G1448" s="2"/>
      <c r="H1448" s="2"/>
      <c r="I1448" s="2"/>
    </row>
    <row r="1449">
      <c r="A1449" s="2">
        <f>IFERROR(__xludf.DUMMYFUNCTION("""COMPUTED_VALUE"""),100827.0)</f>
        <v>100827</v>
      </c>
      <c r="B1449" s="2" t="str">
        <f>IFERROR(__xludf.DUMMYFUNCTION("""COMPUTED_VALUE"""),"Arts")</f>
        <v>Arts</v>
      </c>
      <c r="C1449" s="2" t="str">
        <f>IFERROR(__xludf.DUMMYFUNCTION("""COMPUTED_VALUE"""),"Political History")</f>
        <v>Political History</v>
      </c>
      <c r="D1449" s="2" t="str">
        <f>IFERROR(__xludf.DUMMYFUNCTION("""COMPUTED_VALUE"""),"Pioneer Ridge Books")</f>
        <v>Pioneer Ridge Books</v>
      </c>
      <c r="E1449" s="2">
        <f>IFERROR(__xludf.DUMMYFUNCTION("""COMPUTED_VALUE"""),6.64)</f>
        <v>6.64</v>
      </c>
      <c r="F1449" s="2"/>
      <c r="G1449" s="2"/>
      <c r="H1449" s="2"/>
      <c r="I1449" s="2"/>
    </row>
    <row r="1450">
      <c r="A1450" s="2">
        <f>IFERROR(__xludf.DUMMYFUNCTION("""COMPUTED_VALUE"""),102189.0)</f>
        <v>102189</v>
      </c>
      <c r="B1450" s="2" t="str">
        <f>IFERROR(__xludf.DUMMYFUNCTION("""COMPUTED_VALUE"""),"Arts")</f>
        <v>Arts</v>
      </c>
      <c r="C1450" s="2" t="str">
        <f>IFERROR(__xludf.DUMMYFUNCTION("""COMPUTED_VALUE"""),"Political History")</f>
        <v>Political History</v>
      </c>
      <c r="D1450" s="2" t="str">
        <f>IFERROR(__xludf.DUMMYFUNCTION("""COMPUTED_VALUE"""),"Pioneer Ridge Books")</f>
        <v>Pioneer Ridge Books</v>
      </c>
      <c r="E1450" s="2">
        <f>IFERROR(__xludf.DUMMYFUNCTION("""COMPUTED_VALUE"""),2.55)</f>
        <v>2.55</v>
      </c>
      <c r="F1450" s="2"/>
      <c r="G1450" s="2"/>
      <c r="H1450" s="2"/>
      <c r="I1450" s="2"/>
    </row>
    <row r="1451">
      <c r="A1451" s="2">
        <f>IFERROR(__xludf.DUMMYFUNCTION("""COMPUTED_VALUE"""),10522.0)</f>
        <v>10522</v>
      </c>
      <c r="B1451" s="2" t="str">
        <f>IFERROR(__xludf.DUMMYFUNCTION("""COMPUTED_VALUE"""),"Arts")</f>
        <v>Arts</v>
      </c>
      <c r="C1451" s="2" t="str">
        <f>IFERROR(__xludf.DUMMYFUNCTION("""COMPUTED_VALUE"""),"Political History")</f>
        <v>Political History</v>
      </c>
      <c r="D1451" s="2" t="str">
        <f>IFERROR(__xludf.DUMMYFUNCTION("""COMPUTED_VALUE"""),"Pioneer Ridge Books")</f>
        <v>Pioneer Ridge Books</v>
      </c>
      <c r="E1451" s="2">
        <f>IFERROR(__xludf.DUMMYFUNCTION("""COMPUTED_VALUE"""),4.26)</f>
        <v>4.26</v>
      </c>
      <c r="F1451" s="2"/>
      <c r="G1451" s="2"/>
      <c r="H1451" s="2"/>
      <c r="I1451" s="2"/>
    </row>
    <row r="1452">
      <c r="A1452" s="2">
        <f>IFERROR(__xludf.DUMMYFUNCTION("""COMPUTED_VALUE"""),78467.0)</f>
        <v>78467</v>
      </c>
      <c r="B1452" s="2" t="str">
        <f>IFERROR(__xludf.DUMMYFUNCTION("""COMPUTED_VALUE"""),"Arts")</f>
        <v>Arts</v>
      </c>
      <c r="C1452" s="2" t="str">
        <f>IFERROR(__xludf.DUMMYFUNCTION("""COMPUTED_VALUE"""),"Political History")</f>
        <v>Political History</v>
      </c>
      <c r="D1452" s="2" t="str">
        <f>IFERROR(__xludf.DUMMYFUNCTION("""COMPUTED_VALUE"""),"Pioneer Ridge Books")</f>
        <v>Pioneer Ridge Books</v>
      </c>
      <c r="E1452" s="2">
        <f>IFERROR(__xludf.DUMMYFUNCTION("""COMPUTED_VALUE"""),2.43)</f>
        <v>2.43</v>
      </c>
      <c r="F1452" s="2"/>
      <c r="G1452" s="2"/>
      <c r="H1452" s="2"/>
      <c r="I1452" s="2"/>
    </row>
    <row r="1453">
      <c r="A1453" s="2">
        <f>IFERROR(__xludf.DUMMYFUNCTION("""COMPUTED_VALUE"""),84367.0)</f>
        <v>84367</v>
      </c>
      <c r="B1453" s="2" t="str">
        <f>IFERROR(__xludf.DUMMYFUNCTION("""COMPUTED_VALUE"""),"Arts")</f>
        <v>Arts</v>
      </c>
      <c r="C1453" s="2" t="str">
        <f>IFERROR(__xludf.DUMMYFUNCTION("""COMPUTED_VALUE"""),"Political History")</f>
        <v>Political History</v>
      </c>
      <c r="D1453" s="2" t="str">
        <f>IFERROR(__xludf.DUMMYFUNCTION("""COMPUTED_VALUE"""),"Pioneer Ridge Books")</f>
        <v>Pioneer Ridge Books</v>
      </c>
      <c r="E1453" s="2">
        <f>IFERROR(__xludf.DUMMYFUNCTION("""COMPUTED_VALUE"""),2.85)</f>
        <v>2.85</v>
      </c>
      <c r="F1453" s="2"/>
      <c r="G1453" s="2"/>
      <c r="H1453" s="2"/>
      <c r="I1453" s="2"/>
    </row>
    <row r="1454">
      <c r="A1454" s="2">
        <f>IFERROR(__xludf.DUMMYFUNCTION("""COMPUTED_VALUE"""),87402.0)</f>
        <v>87402</v>
      </c>
      <c r="B1454" s="2" t="str">
        <f>IFERROR(__xludf.DUMMYFUNCTION("""COMPUTED_VALUE"""),"Arts")</f>
        <v>Arts</v>
      </c>
      <c r="C1454" s="2" t="str">
        <f>IFERROR(__xludf.DUMMYFUNCTION("""COMPUTED_VALUE"""),"Political History")</f>
        <v>Political History</v>
      </c>
      <c r="D1454" s="2" t="str">
        <f>IFERROR(__xludf.DUMMYFUNCTION("""COMPUTED_VALUE"""),"Star Harbor Press")</f>
        <v>Star Harbor Press</v>
      </c>
      <c r="E1454" s="2">
        <f>IFERROR(__xludf.DUMMYFUNCTION("""COMPUTED_VALUE"""),1.11)</f>
        <v>1.11</v>
      </c>
      <c r="F1454" s="2"/>
      <c r="G1454" s="2"/>
      <c r="H1454" s="2"/>
      <c r="I1454" s="2"/>
    </row>
    <row r="1455">
      <c r="A1455" s="2">
        <f>IFERROR(__xludf.DUMMYFUNCTION("""COMPUTED_VALUE"""),44707.0)</f>
        <v>44707</v>
      </c>
      <c r="B1455" s="2" t="str">
        <f>IFERROR(__xludf.DUMMYFUNCTION("""COMPUTED_VALUE"""),"Arts")</f>
        <v>Arts</v>
      </c>
      <c r="C1455" s="2" t="str">
        <f>IFERROR(__xludf.DUMMYFUNCTION("""COMPUTED_VALUE"""),"Political History")</f>
        <v>Political History</v>
      </c>
      <c r="D1455" s="2" t="str">
        <f>IFERROR(__xludf.DUMMYFUNCTION("""COMPUTED_VALUE"""),"Star Harbor Press")</f>
        <v>Star Harbor Press</v>
      </c>
      <c r="E1455" s="2">
        <f>IFERROR(__xludf.DUMMYFUNCTION("""COMPUTED_VALUE"""),1.91)</f>
        <v>1.91</v>
      </c>
      <c r="F1455" s="2"/>
      <c r="G1455" s="2"/>
      <c r="H1455" s="2"/>
      <c r="I1455" s="2"/>
    </row>
    <row r="1456">
      <c r="A1456" s="2">
        <f>IFERROR(__xludf.DUMMYFUNCTION("""COMPUTED_VALUE"""),78400.0)</f>
        <v>78400</v>
      </c>
      <c r="B1456" s="2" t="str">
        <f>IFERROR(__xludf.DUMMYFUNCTION("""COMPUTED_VALUE"""),"Arts")</f>
        <v>Arts</v>
      </c>
      <c r="C1456" s="2" t="str">
        <f>IFERROR(__xludf.DUMMYFUNCTION("""COMPUTED_VALUE"""),"Political History")</f>
        <v>Political History</v>
      </c>
      <c r="D1456" s="2" t="str">
        <f>IFERROR(__xludf.DUMMYFUNCTION("""COMPUTED_VALUE"""),"Star Harbor Press")</f>
        <v>Star Harbor Press</v>
      </c>
      <c r="E1456" s="2">
        <f>IFERROR(__xludf.DUMMYFUNCTION("""COMPUTED_VALUE"""),2.19)</f>
        <v>2.19</v>
      </c>
      <c r="F1456" s="2"/>
      <c r="G1456" s="2"/>
      <c r="H1456" s="2"/>
      <c r="I1456" s="2"/>
    </row>
    <row r="1457">
      <c r="A1457" s="2">
        <f>IFERROR(__xludf.DUMMYFUNCTION("""COMPUTED_VALUE"""),102188.0)</f>
        <v>102188</v>
      </c>
      <c r="B1457" s="2" t="str">
        <f>IFERROR(__xludf.DUMMYFUNCTION("""COMPUTED_VALUE"""),"Arts")</f>
        <v>Arts</v>
      </c>
      <c r="C1457" s="2" t="str">
        <f>IFERROR(__xludf.DUMMYFUNCTION("""COMPUTED_VALUE"""),"Political History")</f>
        <v>Political History</v>
      </c>
      <c r="D1457" s="2" t="str">
        <f>IFERROR(__xludf.DUMMYFUNCTION("""COMPUTED_VALUE"""),"Star Harbor Press")</f>
        <v>Star Harbor Press</v>
      </c>
      <c r="E1457" s="2">
        <f>IFERROR(__xludf.DUMMYFUNCTION("""COMPUTED_VALUE"""),1.95)</f>
        <v>1.95</v>
      </c>
      <c r="F1457" s="2"/>
      <c r="G1457" s="2"/>
      <c r="H1457" s="2"/>
      <c r="I1457" s="2"/>
    </row>
    <row r="1458">
      <c r="A1458" s="2">
        <f>IFERROR(__xludf.DUMMYFUNCTION("""COMPUTED_VALUE"""),73173.0)</f>
        <v>73173</v>
      </c>
      <c r="B1458" s="2" t="str">
        <f>IFERROR(__xludf.DUMMYFUNCTION("""COMPUTED_VALUE"""),"Arts")</f>
        <v>Arts</v>
      </c>
      <c r="C1458" s="2" t="str">
        <f>IFERROR(__xludf.DUMMYFUNCTION("""COMPUTED_VALUE"""),"Political History")</f>
        <v>Political History</v>
      </c>
      <c r="D1458" s="2" t="str">
        <f>IFERROR(__xludf.DUMMYFUNCTION("""COMPUTED_VALUE"""),"Star Harbor Press")</f>
        <v>Star Harbor Press</v>
      </c>
      <c r="E1458" s="2">
        <f>IFERROR(__xludf.DUMMYFUNCTION("""COMPUTED_VALUE"""),3.48)</f>
        <v>3.48</v>
      </c>
      <c r="F1458" s="2"/>
      <c r="G1458" s="2"/>
      <c r="H1458" s="2"/>
      <c r="I1458" s="2"/>
    </row>
    <row r="1459">
      <c r="A1459" s="2">
        <f>IFERROR(__xludf.DUMMYFUNCTION("""COMPUTED_VALUE"""),76661.0)</f>
        <v>76661</v>
      </c>
      <c r="B1459" s="2" t="str">
        <f>IFERROR(__xludf.DUMMYFUNCTION("""COMPUTED_VALUE"""),"Arts")</f>
        <v>Arts</v>
      </c>
      <c r="C1459" s="2" t="str">
        <f>IFERROR(__xludf.DUMMYFUNCTION("""COMPUTED_VALUE"""),"Political History")</f>
        <v>Political History</v>
      </c>
      <c r="D1459" s="2" t="str">
        <f>IFERROR(__xludf.DUMMYFUNCTION("""COMPUTED_VALUE"""),"Star Harbor Press")</f>
        <v>Star Harbor Press</v>
      </c>
      <c r="E1459" s="2">
        <f>IFERROR(__xludf.DUMMYFUNCTION("""COMPUTED_VALUE"""),1.66)</f>
        <v>1.66</v>
      </c>
      <c r="F1459" s="2"/>
      <c r="G1459" s="2"/>
      <c r="H1459" s="2"/>
      <c r="I1459" s="2"/>
    </row>
    <row r="1460">
      <c r="A1460" s="2">
        <f>IFERROR(__xludf.DUMMYFUNCTION("""COMPUTED_VALUE"""),78479.0)</f>
        <v>78479</v>
      </c>
      <c r="B1460" s="2" t="str">
        <f>IFERROR(__xludf.DUMMYFUNCTION("""COMPUTED_VALUE"""),"Arts")</f>
        <v>Arts</v>
      </c>
      <c r="C1460" s="2" t="str">
        <f>IFERROR(__xludf.DUMMYFUNCTION("""COMPUTED_VALUE"""),"Political History")</f>
        <v>Political History</v>
      </c>
      <c r="D1460" s="2" t="str">
        <f>IFERROR(__xludf.DUMMYFUNCTION("""COMPUTED_VALUE"""),"Star Harbor Press")</f>
        <v>Star Harbor Press</v>
      </c>
      <c r="E1460" s="2">
        <f>IFERROR(__xludf.DUMMYFUNCTION("""COMPUTED_VALUE"""),0.81)</f>
        <v>0.81</v>
      </c>
      <c r="F1460" s="2"/>
      <c r="G1460" s="2"/>
      <c r="H1460" s="2"/>
      <c r="I1460" s="2"/>
    </row>
    <row r="1461">
      <c r="A1461" s="2">
        <f>IFERROR(__xludf.DUMMYFUNCTION("""COMPUTED_VALUE"""),103401.0)</f>
        <v>103401</v>
      </c>
      <c r="B1461" s="2" t="str">
        <f>IFERROR(__xludf.DUMMYFUNCTION("""COMPUTED_VALUE"""),"Arts")</f>
        <v>Arts</v>
      </c>
      <c r="C1461" s="2" t="str">
        <f>IFERROR(__xludf.DUMMYFUNCTION("""COMPUTED_VALUE"""),"Political History")</f>
        <v>Political History</v>
      </c>
      <c r="D1461" s="2" t="str">
        <f>IFERROR(__xludf.DUMMYFUNCTION("""COMPUTED_VALUE"""),"Star Harbor Press")</f>
        <v>Star Harbor Press</v>
      </c>
      <c r="E1461" s="2">
        <f>IFERROR(__xludf.DUMMYFUNCTION("""COMPUTED_VALUE"""),5.43)</f>
        <v>5.43</v>
      </c>
      <c r="F1461" s="2"/>
      <c r="G1461" s="2"/>
      <c r="H1461" s="2"/>
      <c r="I1461" s="2"/>
    </row>
    <row r="1462">
      <c r="A1462" s="2">
        <f>IFERROR(__xludf.DUMMYFUNCTION("""COMPUTED_VALUE"""),83340.0)</f>
        <v>83340</v>
      </c>
      <c r="B1462" s="2" t="str">
        <f>IFERROR(__xludf.DUMMYFUNCTION("""COMPUTED_VALUE"""),"Arts")</f>
        <v>Arts</v>
      </c>
      <c r="C1462" s="2" t="str">
        <f>IFERROR(__xludf.DUMMYFUNCTION("""COMPUTED_VALUE"""),"Political History")</f>
        <v>Political History</v>
      </c>
      <c r="D1462" s="2" t="str">
        <f>IFERROR(__xludf.DUMMYFUNCTION("""COMPUTED_VALUE"""),"Star Harbor Press")</f>
        <v>Star Harbor Press</v>
      </c>
      <c r="E1462" s="2">
        <f>IFERROR(__xludf.DUMMYFUNCTION("""COMPUTED_VALUE"""),3.26)</f>
        <v>3.26</v>
      </c>
      <c r="F1462" s="2"/>
      <c r="G1462" s="2"/>
      <c r="H1462" s="2"/>
      <c r="I1462" s="2"/>
    </row>
    <row r="1463">
      <c r="A1463" s="2">
        <f>IFERROR(__xludf.DUMMYFUNCTION("""COMPUTED_VALUE"""),44725.0)</f>
        <v>44725</v>
      </c>
      <c r="B1463" s="2" t="str">
        <f>IFERROR(__xludf.DUMMYFUNCTION("""COMPUTED_VALUE"""),"Arts")</f>
        <v>Arts</v>
      </c>
      <c r="C1463" s="2" t="str">
        <f>IFERROR(__xludf.DUMMYFUNCTION("""COMPUTED_VALUE"""),"Political History")</f>
        <v>Political History</v>
      </c>
      <c r="D1463" s="2" t="str">
        <f>IFERROR(__xludf.DUMMYFUNCTION("""COMPUTED_VALUE"""),"Star Harbor Press")</f>
        <v>Star Harbor Press</v>
      </c>
      <c r="E1463" s="2">
        <f>IFERROR(__xludf.DUMMYFUNCTION("""COMPUTED_VALUE"""),0.92)</f>
        <v>0.92</v>
      </c>
      <c r="F1463" s="2"/>
      <c r="G1463" s="2"/>
      <c r="H1463" s="2"/>
      <c r="I1463" s="2"/>
    </row>
    <row r="1464">
      <c r="A1464" s="2">
        <f>IFERROR(__xludf.DUMMYFUNCTION("""COMPUTED_VALUE"""),109311.0)</f>
        <v>109311</v>
      </c>
      <c r="B1464" s="2" t="str">
        <f>IFERROR(__xludf.DUMMYFUNCTION("""COMPUTED_VALUE"""),"Arts")</f>
        <v>Arts</v>
      </c>
      <c r="C1464" s="2" t="str">
        <f>IFERROR(__xludf.DUMMYFUNCTION("""COMPUTED_VALUE"""),"Political History")</f>
        <v>Political History</v>
      </c>
      <c r="D1464" s="2" t="str">
        <f>IFERROR(__xludf.DUMMYFUNCTION("""COMPUTED_VALUE"""),"Star Harbor Press")</f>
        <v>Star Harbor Press</v>
      </c>
      <c r="E1464" s="2">
        <f>IFERROR(__xludf.DUMMYFUNCTION("""COMPUTED_VALUE"""),6.59)</f>
        <v>6.59</v>
      </c>
      <c r="F1464" s="2"/>
      <c r="G1464" s="2"/>
      <c r="H1464" s="2"/>
      <c r="I1464" s="2"/>
    </row>
    <row r="1465">
      <c r="A1465" s="2">
        <f>IFERROR(__xludf.DUMMYFUNCTION("""COMPUTED_VALUE"""),133901.0)</f>
        <v>133901</v>
      </c>
      <c r="B1465" s="2" t="str">
        <f>IFERROR(__xludf.DUMMYFUNCTION("""COMPUTED_VALUE"""),"Tech")</f>
        <v>Tech</v>
      </c>
      <c r="C1465" s="2" t="str">
        <f>IFERROR(__xludf.DUMMYFUNCTION("""COMPUTED_VALUE"""),"Cultural History")</f>
        <v>Cultural History</v>
      </c>
      <c r="D1465" s="2" t="str">
        <f>IFERROR(__xludf.DUMMYFUNCTION("""COMPUTED_VALUE"""),"Silver Valley Publishing")</f>
        <v>Silver Valley Publishing</v>
      </c>
      <c r="E1465" s="2">
        <f>IFERROR(__xludf.DUMMYFUNCTION("""COMPUTED_VALUE"""),4.05)</f>
        <v>4.05</v>
      </c>
      <c r="F1465" s="2"/>
      <c r="G1465" s="2"/>
      <c r="H1465" s="2"/>
      <c r="I1465" s="2"/>
    </row>
    <row r="1466">
      <c r="A1466" s="2">
        <f>IFERROR(__xludf.DUMMYFUNCTION("""COMPUTED_VALUE"""),92678.0)</f>
        <v>92678</v>
      </c>
      <c r="B1466" s="2" t="str">
        <f>IFERROR(__xludf.DUMMYFUNCTION("""COMPUTED_VALUE"""),"Tech")</f>
        <v>Tech</v>
      </c>
      <c r="C1466" s="2" t="str">
        <f>IFERROR(__xludf.DUMMYFUNCTION("""COMPUTED_VALUE"""),"Cultural History")</f>
        <v>Cultural History</v>
      </c>
      <c r="D1466" s="2" t="str">
        <f>IFERROR(__xludf.DUMMYFUNCTION("""COMPUTED_VALUE"""),"Silver Valley Publishing")</f>
        <v>Silver Valley Publishing</v>
      </c>
      <c r="E1466" s="2">
        <f>IFERROR(__xludf.DUMMYFUNCTION("""COMPUTED_VALUE"""),2.75)</f>
        <v>2.75</v>
      </c>
      <c r="F1466" s="2"/>
      <c r="G1466" s="2"/>
      <c r="H1466" s="2"/>
      <c r="I1466" s="2"/>
    </row>
    <row r="1467">
      <c r="A1467" s="2">
        <f>IFERROR(__xludf.DUMMYFUNCTION("""COMPUTED_VALUE"""),82447.0)</f>
        <v>82447</v>
      </c>
      <c r="B1467" s="2" t="str">
        <f>IFERROR(__xludf.DUMMYFUNCTION("""COMPUTED_VALUE"""),"Tech")</f>
        <v>Tech</v>
      </c>
      <c r="C1467" s="2" t="str">
        <f>IFERROR(__xludf.DUMMYFUNCTION("""COMPUTED_VALUE"""),"Cultural History")</f>
        <v>Cultural History</v>
      </c>
      <c r="D1467" s="2" t="str">
        <f>IFERROR(__xludf.DUMMYFUNCTION("""COMPUTED_VALUE"""),"North Harbor Books")</f>
        <v>North Harbor Books</v>
      </c>
      <c r="E1467" s="2">
        <f>IFERROR(__xludf.DUMMYFUNCTION("""COMPUTED_VALUE"""),3.13)</f>
        <v>3.13</v>
      </c>
      <c r="F1467" s="2"/>
      <c r="G1467" s="2"/>
      <c r="H1467" s="2"/>
      <c r="I1467" s="2"/>
    </row>
    <row r="1468">
      <c r="A1468" s="2">
        <f>IFERROR(__xludf.DUMMYFUNCTION("""COMPUTED_VALUE"""),110126.0)</f>
        <v>110126</v>
      </c>
      <c r="B1468" s="2" t="str">
        <f>IFERROR(__xludf.DUMMYFUNCTION("""COMPUTED_VALUE"""),"Tech")</f>
        <v>Tech</v>
      </c>
      <c r="C1468" s="2" t="str">
        <f>IFERROR(__xludf.DUMMYFUNCTION("""COMPUTED_VALUE"""),"Cultural History")</f>
        <v>Cultural History</v>
      </c>
      <c r="D1468" s="2" t="str">
        <f>IFERROR(__xludf.DUMMYFUNCTION("""COMPUTED_VALUE"""),"North Harbor Books")</f>
        <v>North Harbor Books</v>
      </c>
      <c r="E1468" s="2">
        <f>IFERROR(__xludf.DUMMYFUNCTION("""COMPUTED_VALUE"""),4.6)</f>
        <v>4.6</v>
      </c>
      <c r="F1468" s="2"/>
      <c r="G1468" s="2"/>
      <c r="H1468" s="2"/>
      <c r="I1468" s="2"/>
    </row>
    <row r="1469">
      <c r="A1469" s="2">
        <f>IFERROR(__xludf.DUMMYFUNCTION("""COMPUTED_VALUE"""),3219.0)</f>
        <v>3219</v>
      </c>
      <c r="B1469" s="2" t="str">
        <f>IFERROR(__xludf.DUMMYFUNCTION("""COMPUTED_VALUE"""),"Tech")</f>
        <v>Tech</v>
      </c>
      <c r="C1469" s="2" t="str">
        <f>IFERROR(__xludf.DUMMYFUNCTION("""COMPUTED_VALUE"""),"Cultural History")</f>
        <v>Cultural History</v>
      </c>
      <c r="D1469" s="2" t="str">
        <f>IFERROR(__xludf.DUMMYFUNCTION("""COMPUTED_VALUE"""),"North Harbor Books")</f>
        <v>North Harbor Books</v>
      </c>
      <c r="E1469" s="2">
        <f>IFERROR(__xludf.DUMMYFUNCTION("""COMPUTED_VALUE"""),6.93)</f>
        <v>6.93</v>
      </c>
      <c r="F1469" s="2"/>
      <c r="G1469" s="2"/>
      <c r="H1469" s="2"/>
      <c r="I1469" s="2"/>
    </row>
    <row r="1470">
      <c r="A1470" s="2">
        <f>IFERROR(__xludf.DUMMYFUNCTION("""COMPUTED_VALUE"""),127007.0)</f>
        <v>127007</v>
      </c>
      <c r="B1470" s="2" t="str">
        <f>IFERROR(__xludf.DUMMYFUNCTION("""COMPUTED_VALUE"""),"Tech")</f>
        <v>Tech</v>
      </c>
      <c r="C1470" s="2" t="str">
        <f>IFERROR(__xludf.DUMMYFUNCTION("""COMPUTED_VALUE"""),"Cultural History")</f>
        <v>Cultural History</v>
      </c>
      <c r="D1470" s="2" t="str">
        <f>IFERROR(__xludf.DUMMYFUNCTION("""COMPUTED_VALUE"""),"North Harbor Books")</f>
        <v>North Harbor Books</v>
      </c>
      <c r="E1470" s="2">
        <f>IFERROR(__xludf.DUMMYFUNCTION("""COMPUTED_VALUE"""),3.2)</f>
        <v>3.2</v>
      </c>
      <c r="F1470" s="2"/>
      <c r="G1470" s="2"/>
      <c r="H1470" s="2"/>
      <c r="I1470" s="2"/>
    </row>
    <row r="1471">
      <c r="A1471" s="2">
        <f>IFERROR(__xludf.DUMMYFUNCTION("""COMPUTED_VALUE"""),102277.0)</f>
        <v>102277</v>
      </c>
      <c r="B1471" s="2" t="str">
        <f>IFERROR(__xludf.DUMMYFUNCTION("""COMPUTED_VALUE"""),"Tech")</f>
        <v>Tech</v>
      </c>
      <c r="C1471" s="2" t="str">
        <f>IFERROR(__xludf.DUMMYFUNCTION("""COMPUTED_VALUE"""),"Cultural History")</f>
        <v>Cultural History</v>
      </c>
      <c r="D1471" s="2" t="str">
        <f>IFERROR(__xludf.DUMMYFUNCTION("""COMPUTED_VALUE"""),"Riverstone Ridge Press")</f>
        <v>Riverstone Ridge Press</v>
      </c>
      <c r="E1471" s="2">
        <f>IFERROR(__xludf.DUMMYFUNCTION("""COMPUTED_VALUE"""),8.58)</f>
        <v>8.58</v>
      </c>
      <c r="F1471" s="2"/>
      <c r="G1471" s="2"/>
      <c r="H1471" s="2"/>
      <c r="I1471" s="2"/>
    </row>
    <row r="1472">
      <c r="A1472" s="2">
        <f>IFERROR(__xludf.DUMMYFUNCTION("""COMPUTED_VALUE"""),122544.0)</f>
        <v>122544</v>
      </c>
      <c r="B1472" s="2" t="str">
        <f>IFERROR(__xludf.DUMMYFUNCTION("""COMPUTED_VALUE"""),"Tech")</f>
        <v>Tech</v>
      </c>
      <c r="C1472" s="2" t="str">
        <f>IFERROR(__xludf.DUMMYFUNCTION("""COMPUTED_VALUE"""),"Cultural History")</f>
        <v>Cultural History</v>
      </c>
      <c r="D1472" s="2" t="str">
        <f>IFERROR(__xludf.DUMMYFUNCTION("""COMPUTED_VALUE"""),"Riverstone Ridge Press")</f>
        <v>Riverstone Ridge Press</v>
      </c>
      <c r="E1472" s="2">
        <f>IFERROR(__xludf.DUMMYFUNCTION("""COMPUTED_VALUE"""),7.8)</f>
        <v>7.8</v>
      </c>
      <c r="F1472" s="2"/>
      <c r="G1472" s="2"/>
      <c r="H1472" s="2"/>
      <c r="I1472" s="2"/>
    </row>
    <row r="1473">
      <c r="A1473" s="2">
        <f>IFERROR(__xludf.DUMMYFUNCTION("""COMPUTED_VALUE"""),91486.0)</f>
        <v>91486</v>
      </c>
      <c r="B1473" s="2" t="str">
        <f>IFERROR(__xludf.DUMMYFUNCTION("""COMPUTED_VALUE"""),"Tech")</f>
        <v>Tech</v>
      </c>
      <c r="C1473" s="2" t="str">
        <f>IFERROR(__xludf.DUMMYFUNCTION("""COMPUTED_VALUE"""),"Cultural History")</f>
        <v>Cultural History</v>
      </c>
      <c r="D1473" s="2" t="str">
        <f>IFERROR(__xludf.DUMMYFUNCTION("""COMPUTED_VALUE"""),"Riverstone Ridge Press")</f>
        <v>Riverstone Ridge Press</v>
      </c>
      <c r="E1473" s="2">
        <f>IFERROR(__xludf.DUMMYFUNCTION("""COMPUTED_VALUE"""),6.62)</f>
        <v>6.62</v>
      </c>
      <c r="F1473" s="2"/>
      <c r="G1473" s="2"/>
      <c r="H1473" s="2"/>
      <c r="I1473" s="2"/>
    </row>
    <row r="1474">
      <c r="A1474" s="2">
        <f>IFERROR(__xludf.DUMMYFUNCTION("""COMPUTED_VALUE"""),28009.0)</f>
        <v>28009</v>
      </c>
      <c r="B1474" s="2" t="str">
        <f>IFERROR(__xludf.DUMMYFUNCTION("""COMPUTED_VALUE"""),"Tech")</f>
        <v>Tech</v>
      </c>
      <c r="C1474" s="2" t="str">
        <f>IFERROR(__xludf.DUMMYFUNCTION("""COMPUTED_VALUE"""),"Cultural History")</f>
        <v>Cultural History</v>
      </c>
      <c r="D1474" s="2" t="str">
        <f>IFERROR(__xludf.DUMMYFUNCTION("""COMPUTED_VALUE"""),"Riverstone Ridge Press")</f>
        <v>Riverstone Ridge Press</v>
      </c>
      <c r="E1474" s="2">
        <f>IFERROR(__xludf.DUMMYFUNCTION("""COMPUTED_VALUE"""),8.05)</f>
        <v>8.05</v>
      </c>
      <c r="F1474" s="2"/>
      <c r="G1474" s="2"/>
      <c r="H1474" s="2"/>
      <c r="I1474" s="2"/>
    </row>
    <row r="1475">
      <c r="A1475" s="2">
        <f>IFERROR(__xludf.DUMMYFUNCTION("""COMPUTED_VALUE"""),110814.0)</f>
        <v>110814</v>
      </c>
      <c r="B1475" s="2" t="str">
        <f>IFERROR(__xludf.DUMMYFUNCTION("""COMPUTED_VALUE"""),"Tech")</f>
        <v>Tech</v>
      </c>
      <c r="C1475" s="2" t="str">
        <f>IFERROR(__xludf.DUMMYFUNCTION("""COMPUTED_VALUE"""),"Cultural History")</f>
        <v>Cultural History</v>
      </c>
      <c r="D1475" s="2" t="str">
        <f>IFERROR(__xludf.DUMMYFUNCTION("""COMPUTED_VALUE"""),"Golden Peak Publishing")</f>
        <v>Golden Peak Publishing</v>
      </c>
      <c r="E1475" s="2">
        <f>IFERROR(__xludf.DUMMYFUNCTION("""COMPUTED_VALUE"""),4.47)</f>
        <v>4.47</v>
      </c>
      <c r="F1475" s="2"/>
      <c r="G1475" s="2"/>
      <c r="H1475" s="2"/>
      <c r="I1475" s="2"/>
    </row>
    <row r="1476">
      <c r="A1476" s="2">
        <f>IFERROR(__xludf.DUMMYFUNCTION("""COMPUTED_VALUE"""),117437.0)</f>
        <v>117437</v>
      </c>
      <c r="B1476" s="2" t="str">
        <f>IFERROR(__xludf.DUMMYFUNCTION("""COMPUTED_VALUE"""),"Tech")</f>
        <v>Tech</v>
      </c>
      <c r="C1476" s="2" t="str">
        <f>IFERROR(__xludf.DUMMYFUNCTION("""COMPUTED_VALUE"""),"Cultural History")</f>
        <v>Cultural History</v>
      </c>
      <c r="D1476" s="2" t="str">
        <f>IFERROR(__xludf.DUMMYFUNCTION("""COMPUTED_VALUE"""),"Golden Peak Publishing")</f>
        <v>Golden Peak Publishing</v>
      </c>
      <c r="E1476" s="2">
        <f>IFERROR(__xludf.DUMMYFUNCTION("""COMPUTED_VALUE"""),4.65)</f>
        <v>4.65</v>
      </c>
      <c r="F1476" s="2"/>
      <c r="G1476" s="2"/>
      <c r="H1476" s="2"/>
      <c r="I1476" s="2"/>
    </row>
    <row r="1477">
      <c r="A1477" s="2">
        <f>IFERROR(__xludf.DUMMYFUNCTION("""COMPUTED_VALUE"""),23074.0)</f>
        <v>23074</v>
      </c>
      <c r="B1477" s="2" t="str">
        <f>IFERROR(__xludf.DUMMYFUNCTION("""COMPUTED_VALUE"""),"Tech")</f>
        <v>Tech</v>
      </c>
      <c r="C1477" s="2" t="str">
        <f>IFERROR(__xludf.DUMMYFUNCTION("""COMPUTED_VALUE"""),"Cultural History")</f>
        <v>Cultural History</v>
      </c>
      <c r="D1477" s="2" t="str">
        <f>IFERROR(__xludf.DUMMYFUNCTION("""COMPUTED_VALUE"""),"Golden Peak Publishing")</f>
        <v>Golden Peak Publishing</v>
      </c>
      <c r="E1477" s="2">
        <f>IFERROR(__xludf.DUMMYFUNCTION("""COMPUTED_VALUE"""),5.19)</f>
        <v>5.19</v>
      </c>
      <c r="F1477" s="2"/>
      <c r="G1477" s="2"/>
      <c r="H1477" s="2"/>
      <c r="I1477" s="2"/>
    </row>
    <row r="1478">
      <c r="A1478" s="2">
        <f>IFERROR(__xludf.DUMMYFUNCTION("""COMPUTED_VALUE"""),8900.0)</f>
        <v>8900</v>
      </c>
      <c r="B1478" s="2" t="str">
        <f>IFERROR(__xludf.DUMMYFUNCTION("""COMPUTED_VALUE"""),"Tech")</f>
        <v>Tech</v>
      </c>
      <c r="C1478" s="2" t="str">
        <f>IFERROR(__xludf.DUMMYFUNCTION("""COMPUTED_VALUE"""),"Cultural History")</f>
        <v>Cultural History</v>
      </c>
      <c r="D1478" s="2" t="str">
        <f>IFERROR(__xludf.DUMMYFUNCTION("""COMPUTED_VALUE"""),"Golden Peak Publishing")</f>
        <v>Golden Peak Publishing</v>
      </c>
      <c r="E1478" s="2">
        <f>IFERROR(__xludf.DUMMYFUNCTION("""COMPUTED_VALUE"""),6.96)</f>
        <v>6.96</v>
      </c>
      <c r="F1478" s="2"/>
      <c r="G1478" s="2"/>
      <c r="H1478" s="2"/>
      <c r="I1478" s="2"/>
    </row>
    <row r="1479">
      <c r="A1479" s="2">
        <f>IFERROR(__xludf.DUMMYFUNCTION("""COMPUTED_VALUE"""),92676.0)</f>
        <v>92676</v>
      </c>
      <c r="B1479" s="2" t="str">
        <f>IFERROR(__xludf.DUMMYFUNCTION("""COMPUTED_VALUE"""),"Tech")</f>
        <v>Tech</v>
      </c>
      <c r="C1479" s="2" t="str">
        <f>IFERROR(__xludf.DUMMYFUNCTION("""COMPUTED_VALUE"""),"Cultural History")</f>
        <v>Cultural History</v>
      </c>
      <c r="D1479" s="2" t="str">
        <f>IFERROR(__xludf.DUMMYFUNCTION("""COMPUTED_VALUE"""),"Golden Peak Publishing")</f>
        <v>Golden Peak Publishing</v>
      </c>
      <c r="E1479" s="2">
        <f>IFERROR(__xludf.DUMMYFUNCTION("""COMPUTED_VALUE"""),2.77)</f>
        <v>2.77</v>
      </c>
      <c r="F1479" s="2"/>
      <c r="G1479" s="2"/>
      <c r="H1479" s="2"/>
      <c r="I1479" s="2"/>
    </row>
    <row r="1480">
      <c r="A1480" s="2">
        <f>IFERROR(__xludf.DUMMYFUNCTION("""COMPUTED_VALUE"""),117266.0)</f>
        <v>117266</v>
      </c>
      <c r="B1480" s="2" t="str">
        <f>IFERROR(__xludf.DUMMYFUNCTION("""COMPUTED_VALUE"""),"Tech")</f>
        <v>Tech</v>
      </c>
      <c r="C1480" s="2" t="str">
        <f>IFERROR(__xludf.DUMMYFUNCTION("""COMPUTED_VALUE"""),"Cultural History")</f>
        <v>Cultural History</v>
      </c>
      <c r="D1480" s="2" t="str">
        <f>IFERROR(__xludf.DUMMYFUNCTION("""COMPUTED_VALUE"""),"Golden Peak Publishing")</f>
        <v>Golden Peak Publishing</v>
      </c>
      <c r="E1480" s="2">
        <f>IFERROR(__xludf.DUMMYFUNCTION("""COMPUTED_VALUE"""),2.84)</f>
        <v>2.84</v>
      </c>
      <c r="F1480" s="2"/>
      <c r="G1480" s="2"/>
      <c r="H1480" s="2"/>
      <c r="I1480" s="2"/>
    </row>
    <row r="1481">
      <c r="A1481" s="2">
        <f>IFERROR(__xludf.DUMMYFUNCTION("""COMPUTED_VALUE"""),14527.0)</f>
        <v>14527</v>
      </c>
      <c r="B1481" s="2" t="str">
        <f>IFERROR(__xludf.DUMMYFUNCTION("""COMPUTED_VALUE"""),"Tech")</f>
        <v>Tech</v>
      </c>
      <c r="C1481" s="2" t="str">
        <f>IFERROR(__xludf.DUMMYFUNCTION("""COMPUTED_VALUE"""),"Cultural History")</f>
        <v>Cultural History</v>
      </c>
      <c r="D1481" s="2" t="str">
        <f>IFERROR(__xludf.DUMMYFUNCTION("""COMPUTED_VALUE"""),"Golden Peak Publishing")</f>
        <v>Golden Peak Publishing</v>
      </c>
      <c r="E1481" s="2">
        <f>IFERROR(__xludf.DUMMYFUNCTION("""COMPUTED_VALUE"""),11.23)</f>
        <v>11.23</v>
      </c>
      <c r="F1481" s="2"/>
      <c r="G1481" s="2"/>
      <c r="H1481" s="2"/>
      <c r="I1481" s="2"/>
    </row>
    <row r="1482">
      <c r="A1482" s="2">
        <f>IFERROR(__xludf.DUMMYFUNCTION("""COMPUTED_VALUE"""),27534.0)</f>
        <v>27534</v>
      </c>
      <c r="B1482" s="2" t="str">
        <f>IFERROR(__xludf.DUMMYFUNCTION("""COMPUTED_VALUE"""),"Tech")</f>
        <v>Tech</v>
      </c>
      <c r="C1482" s="2" t="str">
        <f>IFERROR(__xludf.DUMMYFUNCTION("""COMPUTED_VALUE"""),"Cultural History")</f>
        <v>Cultural History</v>
      </c>
      <c r="D1482" s="2" t="str">
        <f>IFERROR(__xludf.DUMMYFUNCTION("""COMPUTED_VALUE"""),"Golden Peak Publishing")</f>
        <v>Golden Peak Publishing</v>
      </c>
      <c r="E1482" s="2">
        <f>IFERROR(__xludf.DUMMYFUNCTION("""COMPUTED_VALUE"""),2.81)</f>
        <v>2.81</v>
      </c>
      <c r="F1482" s="2"/>
      <c r="G1482" s="2"/>
      <c r="H1482" s="2"/>
      <c r="I1482" s="2"/>
    </row>
    <row r="1483">
      <c r="A1483" s="2">
        <f>IFERROR(__xludf.DUMMYFUNCTION("""COMPUTED_VALUE"""),91636.0)</f>
        <v>91636</v>
      </c>
      <c r="B1483" s="2" t="str">
        <f>IFERROR(__xludf.DUMMYFUNCTION("""COMPUTED_VALUE"""),"Tech")</f>
        <v>Tech</v>
      </c>
      <c r="C1483" s="2" t="str">
        <f>IFERROR(__xludf.DUMMYFUNCTION("""COMPUTED_VALUE"""),"Cultural History")</f>
        <v>Cultural History</v>
      </c>
      <c r="D1483" s="2" t="str">
        <f>IFERROR(__xludf.DUMMYFUNCTION("""COMPUTED_VALUE"""),"Golden Peak Publishing")</f>
        <v>Golden Peak Publishing</v>
      </c>
      <c r="E1483" s="2">
        <f>IFERROR(__xludf.DUMMYFUNCTION("""COMPUTED_VALUE"""),4.59)</f>
        <v>4.59</v>
      </c>
      <c r="F1483" s="2"/>
      <c r="G1483" s="2"/>
      <c r="H1483" s="2"/>
      <c r="I1483" s="2"/>
    </row>
    <row r="1484">
      <c r="A1484" s="2">
        <f>IFERROR(__xludf.DUMMYFUNCTION("""COMPUTED_VALUE"""),120941.0)</f>
        <v>120941</v>
      </c>
      <c r="B1484" s="2" t="str">
        <f>IFERROR(__xludf.DUMMYFUNCTION("""COMPUTED_VALUE"""),"Tech")</f>
        <v>Tech</v>
      </c>
      <c r="C1484" s="2" t="str">
        <f>IFERROR(__xludf.DUMMYFUNCTION("""COMPUTED_VALUE"""),"Cultural History")</f>
        <v>Cultural History</v>
      </c>
      <c r="D1484" s="2" t="str">
        <f>IFERROR(__xludf.DUMMYFUNCTION("""COMPUTED_VALUE"""),"Crown Ridge Books")</f>
        <v>Crown Ridge Books</v>
      </c>
      <c r="E1484" s="2">
        <f>IFERROR(__xludf.DUMMYFUNCTION("""COMPUTED_VALUE"""),11.41)</f>
        <v>11.41</v>
      </c>
      <c r="F1484" s="2"/>
      <c r="G1484" s="2"/>
      <c r="H1484" s="2"/>
      <c r="I1484" s="2"/>
    </row>
    <row r="1485">
      <c r="A1485" s="2">
        <f>IFERROR(__xludf.DUMMYFUNCTION("""COMPUTED_VALUE"""),111897.0)</f>
        <v>111897</v>
      </c>
      <c r="B1485" s="2" t="str">
        <f>IFERROR(__xludf.DUMMYFUNCTION("""COMPUTED_VALUE"""),"Tech")</f>
        <v>Tech</v>
      </c>
      <c r="C1485" s="2" t="str">
        <f>IFERROR(__xludf.DUMMYFUNCTION("""COMPUTED_VALUE"""),"Cultural History")</f>
        <v>Cultural History</v>
      </c>
      <c r="D1485" s="2" t="str">
        <f>IFERROR(__xludf.DUMMYFUNCTION("""COMPUTED_VALUE"""),"Crown Ridge Books")</f>
        <v>Crown Ridge Books</v>
      </c>
      <c r="E1485" s="2">
        <f>IFERROR(__xludf.DUMMYFUNCTION("""COMPUTED_VALUE"""),3.93)</f>
        <v>3.93</v>
      </c>
      <c r="F1485" s="2"/>
      <c r="G1485" s="2"/>
      <c r="H1485" s="2"/>
      <c r="I1485" s="2"/>
    </row>
    <row r="1486">
      <c r="A1486" s="2">
        <f>IFERROR(__xludf.DUMMYFUNCTION("""COMPUTED_VALUE"""),158485.0)</f>
        <v>158485</v>
      </c>
      <c r="B1486" s="2" t="str">
        <f>IFERROR(__xludf.DUMMYFUNCTION("""COMPUTED_VALUE"""),"Tech")</f>
        <v>Tech</v>
      </c>
      <c r="C1486" s="2" t="str">
        <f>IFERROR(__xludf.DUMMYFUNCTION("""COMPUTED_VALUE"""),"Cultural History")</f>
        <v>Cultural History</v>
      </c>
      <c r="D1486" s="2" t="str">
        <f>IFERROR(__xludf.DUMMYFUNCTION("""COMPUTED_VALUE"""),"Crown Ridge Books")</f>
        <v>Crown Ridge Books</v>
      </c>
      <c r="E1486" s="2">
        <f>IFERROR(__xludf.DUMMYFUNCTION("""COMPUTED_VALUE"""),9.23)</f>
        <v>9.23</v>
      </c>
      <c r="F1486" s="2"/>
      <c r="G1486" s="2"/>
      <c r="H1486" s="2"/>
      <c r="I1486" s="2"/>
    </row>
    <row r="1487">
      <c r="A1487" s="2">
        <f>IFERROR(__xludf.DUMMYFUNCTION("""COMPUTED_VALUE"""),199530.0)</f>
        <v>199530</v>
      </c>
      <c r="B1487" s="2" t="str">
        <f>IFERROR(__xludf.DUMMYFUNCTION("""COMPUTED_VALUE"""),"History")</f>
        <v>History</v>
      </c>
      <c r="C1487" s="2" t="str">
        <f>IFERROR(__xludf.DUMMYFUNCTION("""COMPUTED_VALUE"""),"Social History")</f>
        <v>Social History</v>
      </c>
      <c r="D1487" s="2"/>
      <c r="E1487" s="2">
        <f>IFERROR(__xludf.DUMMYFUNCTION("""COMPUTED_VALUE"""),1.52)</f>
        <v>1.52</v>
      </c>
      <c r="F1487" s="2"/>
      <c r="G1487" s="2"/>
      <c r="H1487" s="2"/>
      <c r="I1487" s="2"/>
    </row>
    <row r="1488">
      <c r="A1488" s="2">
        <f>IFERROR(__xludf.DUMMYFUNCTION("""COMPUTED_VALUE"""),120946.0)</f>
        <v>120946</v>
      </c>
      <c r="B1488" s="2" t="str">
        <f>IFERROR(__xludf.DUMMYFUNCTION("""COMPUTED_VALUE"""),"History")</f>
        <v>History</v>
      </c>
      <c r="C1488" s="2" t="str">
        <f>IFERROR(__xludf.DUMMYFUNCTION("""COMPUTED_VALUE"""),"Social History")</f>
        <v>Social History</v>
      </c>
      <c r="D1488" s="2"/>
      <c r="E1488" s="2">
        <f>IFERROR(__xludf.DUMMYFUNCTION("""COMPUTED_VALUE"""),0.95)</f>
        <v>0.95</v>
      </c>
      <c r="F1488" s="2"/>
      <c r="G1488" s="2"/>
      <c r="H1488" s="2"/>
      <c r="I1488" s="2"/>
    </row>
    <row r="1489">
      <c r="A1489" s="2">
        <f>IFERROR(__xludf.DUMMYFUNCTION("""COMPUTED_VALUE"""),82957.0)</f>
        <v>82957</v>
      </c>
      <c r="B1489" s="2" t="str">
        <f>IFERROR(__xludf.DUMMYFUNCTION("""COMPUTED_VALUE"""),"History")</f>
        <v>History</v>
      </c>
      <c r="C1489" s="2" t="str">
        <f>IFERROR(__xludf.DUMMYFUNCTION("""COMPUTED_VALUE"""),"Social History")</f>
        <v>Social History</v>
      </c>
      <c r="D1489" s="2"/>
      <c r="E1489" s="2">
        <f>IFERROR(__xludf.DUMMYFUNCTION("""COMPUTED_VALUE"""),1.68)</f>
        <v>1.68</v>
      </c>
      <c r="F1489" s="2"/>
      <c r="G1489" s="2"/>
      <c r="H1489" s="2"/>
      <c r="I1489" s="2"/>
    </row>
    <row r="1490">
      <c r="A1490" s="2">
        <f>IFERROR(__xludf.DUMMYFUNCTION("""COMPUTED_VALUE"""),109830.0)</f>
        <v>109830</v>
      </c>
      <c r="B1490" s="2" t="str">
        <f>IFERROR(__xludf.DUMMYFUNCTION("""COMPUTED_VALUE"""),"History")</f>
        <v>History</v>
      </c>
      <c r="C1490" s="2" t="str">
        <f>IFERROR(__xludf.DUMMYFUNCTION("""COMPUTED_VALUE"""),"Social History")</f>
        <v>Social History</v>
      </c>
      <c r="D1490" s="2"/>
      <c r="E1490" s="2">
        <f>IFERROR(__xludf.DUMMYFUNCTION("""COMPUTED_VALUE"""),1.2)</f>
        <v>1.2</v>
      </c>
      <c r="F1490" s="2"/>
      <c r="G1490" s="2"/>
      <c r="H1490" s="2"/>
      <c r="I1490" s="2"/>
    </row>
    <row r="1491">
      <c r="A1491" s="2">
        <f>IFERROR(__xludf.DUMMYFUNCTION("""COMPUTED_VALUE"""),109831.0)</f>
        <v>109831</v>
      </c>
      <c r="B1491" s="2" t="str">
        <f>IFERROR(__xludf.DUMMYFUNCTION("""COMPUTED_VALUE"""),"History")</f>
        <v>History</v>
      </c>
      <c r="C1491" s="2" t="str">
        <f>IFERROR(__xludf.DUMMYFUNCTION("""COMPUTED_VALUE"""),"Social History")</f>
        <v>Social History</v>
      </c>
      <c r="D1491" s="2"/>
      <c r="E1491" s="2">
        <f>IFERROR(__xludf.DUMMYFUNCTION("""COMPUTED_VALUE"""),0.99)</f>
        <v>0.99</v>
      </c>
      <c r="F1491" s="2"/>
      <c r="G1491" s="2"/>
      <c r="H1491" s="2"/>
      <c r="I1491" s="2"/>
    </row>
    <row r="1492">
      <c r="A1492" s="2">
        <f>IFERROR(__xludf.DUMMYFUNCTION("""COMPUTED_VALUE"""),107899.0)</f>
        <v>107899</v>
      </c>
      <c r="B1492" s="2" t="str">
        <f>IFERROR(__xludf.DUMMYFUNCTION("""COMPUTED_VALUE"""),"Arts")</f>
        <v>Arts</v>
      </c>
      <c r="C1492" s="2" t="str">
        <f>IFERROR(__xludf.DUMMYFUNCTION("""COMPUTED_VALUE"""),"History of Science")</f>
        <v>History of Science</v>
      </c>
      <c r="D1492" s="2" t="str">
        <f>IFERROR(__xludf.DUMMYFUNCTION("""COMPUTED_VALUE"""),"Sunset Ridge Press")</f>
        <v>Sunset Ridge Press</v>
      </c>
      <c r="E1492" s="2">
        <f>IFERROR(__xludf.DUMMYFUNCTION("""COMPUTED_VALUE"""),2.35)</f>
        <v>2.35</v>
      </c>
      <c r="F1492" s="2"/>
      <c r="G1492" s="2"/>
      <c r="H1492" s="2"/>
      <c r="I1492" s="2"/>
    </row>
    <row r="1493">
      <c r="A1493" s="2">
        <f>IFERROR(__xludf.DUMMYFUNCTION("""COMPUTED_VALUE"""),139289.0)</f>
        <v>139289</v>
      </c>
      <c r="B1493" s="2" t="str">
        <f>IFERROR(__xludf.DUMMYFUNCTION("""COMPUTED_VALUE"""),"Arts")</f>
        <v>Arts</v>
      </c>
      <c r="C1493" s="2" t="str">
        <f>IFERROR(__xludf.DUMMYFUNCTION("""COMPUTED_VALUE"""),"History of Science")</f>
        <v>History of Science</v>
      </c>
      <c r="D1493" s="2" t="str">
        <f>IFERROR(__xludf.DUMMYFUNCTION("""COMPUTED_VALUE"""),"Sunset Ridge Press")</f>
        <v>Sunset Ridge Press</v>
      </c>
      <c r="E1493" s="2">
        <f>IFERROR(__xludf.DUMMYFUNCTION("""COMPUTED_VALUE"""),1.61)</f>
        <v>1.61</v>
      </c>
      <c r="F1493" s="2"/>
      <c r="G1493" s="2"/>
      <c r="H1493" s="2"/>
      <c r="I1493" s="2"/>
    </row>
    <row r="1494">
      <c r="A1494" s="2">
        <f>IFERROR(__xludf.DUMMYFUNCTION("""COMPUTED_VALUE"""),72129.0)</f>
        <v>72129</v>
      </c>
      <c r="B1494" s="2" t="str">
        <f>IFERROR(__xludf.DUMMYFUNCTION("""COMPUTED_VALUE"""),"Arts")</f>
        <v>Arts</v>
      </c>
      <c r="C1494" s="2" t="str">
        <f>IFERROR(__xludf.DUMMYFUNCTION("""COMPUTED_VALUE"""),"History of Science")</f>
        <v>History of Science</v>
      </c>
      <c r="D1494" s="2" t="str">
        <f>IFERROR(__xludf.DUMMYFUNCTION("""COMPUTED_VALUE"""),"Sunset Ridge Press")</f>
        <v>Sunset Ridge Press</v>
      </c>
      <c r="E1494" s="2">
        <f>IFERROR(__xludf.DUMMYFUNCTION("""COMPUTED_VALUE"""),5.45)</f>
        <v>5.45</v>
      </c>
      <c r="F1494" s="2"/>
      <c r="G1494" s="2"/>
      <c r="H1494" s="2"/>
      <c r="I1494" s="2"/>
    </row>
    <row r="1495">
      <c r="A1495" s="2">
        <f>IFERROR(__xludf.DUMMYFUNCTION("""COMPUTED_VALUE"""),106541.0)</f>
        <v>106541</v>
      </c>
      <c r="B1495" s="2" t="str">
        <f>IFERROR(__xludf.DUMMYFUNCTION("""COMPUTED_VALUE"""),"Arts")</f>
        <v>Arts</v>
      </c>
      <c r="C1495" s="2" t="str">
        <f>IFERROR(__xludf.DUMMYFUNCTION("""COMPUTED_VALUE"""),"History of Science")</f>
        <v>History of Science</v>
      </c>
      <c r="D1495" s="2" t="str">
        <f>IFERROR(__xludf.DUMMYFUNCTION("""COMPUTED_VALUE"""),"Sunset Ridge Press")</f>
        <v>Sunset Ridge Press</v>
      </c>
      <c r="E1495" s="2">
        <f>IFERROR(__xludf.DUMMYFUNCTION("""COMPUTED_VALUE"""),2.31)</f>
        <v>2.31</v>
      </c>
      <c r="F1495" s="2"/>
      <c r="G1495" s="2"/>
      <c r="H1495" s="2"/>
      <c r="I1495" s="2"/>
    </row>
    <row r="1496">
      <c r="A1496" s="2">
        <f>IFERROR(__xludf.DUMMYFUNCTION("""COMPUTED_VALUE"""),43810.0)</f>
        <v>43810</v>
      </c>
      <c r="B1496" s="2" t="str">
        <f>IFERROR(__xludf.DUMMYFUNCTION("""COMPUTED_VALUE"""),"Arts")</f>
        <v>Arts</v>
      </c>
      <c r="C1496" s="2" t="str">
        <f>IFERROR(__xludf.DUMMYFUNCTION("""COMPUTED_VALUE"""),"History of Science")</f>
        <v>History of Science</v>
      </c>
      <c r="D1496" s="2" t="str">
        <f>IFERROR(__xludf.DUMMYFUNCTION("""COMPUTED_VALUE"""),"Sunset Ridge Press")</f>
        <v>Sunset Ridge Press</v>
      </c>
      <c r="E1496" s="2">
        <f>IFERROR(__xludf.DUMMYFUNCTION("""COMPUTED_VALUE"""),3.69)</f>
        <v>3.69</v>
      </c>
      <c r="F1496" s="2"/>
      <c r="G1496" s="2"/>
      <c r="H1496" s="2"/>
      <c r="I1496" s="2"/>
    </row>
    <row r="1497">
      <c r="A1497" s="2">
        <f>IFERROR(__xludf.DUMMYFUNCTION("""COMPUTED_VALUE"""),83117.0)</f>
        <v>83117</v>
      </c>
      <c r="B1497" s="2" t="str">
        <f>IFERROR(__xludf.DUMMYFUNCTION("""COMPUTED_VALUE"""),"Arts")</f>
        <v>Arts</v>
      </c>
      <c r="C1497" s="2" t="str">
        <f>IFERROR(__xludf.DUMMYFUNCTION("""COMPUTED_VALUE"""),"History of Science")</f>
        <v>History of Science</v>
      </c>
      <c r="D1497" s="2" t="str">
        <f>IFERROR(__xludf.DUMMYFUNCTION("""COMPUTED_VALUE"""),"Sunset Ridge Press")</f>
        <v>Sunset Ridge Press</v>
      </c>
      <c r="E1497" s="2">
        <f>IFERROR(__xludf.DUMMYFUNCTION("""COMPUTED_VALUE"""),9.14)</f>
        <v>9.14</v>
      </c>
      <c r="F1497" s="2"/>
      <c r="G1497" s="2"/>
      <c r="H1497" s="2"/>
      <c r="I1497" s="2"/>
    </row>
    <row r="1498">
      <c r="A1498" s="2">
        <f>IFERROR(__xludf.DUMMYFUNCTION("""COMPUTED_VALUE"""),78863.0)</f>
        <v>78863</v>
      </c>
      <c r="B1498" s="2" t="str">
        <f>IFERROR(__xludf.DUMMYFUNCTION("""COMPUTED_VALUE"""),"Arts")</f>
        <v>Arts</v>
      </c>
      <c r="C1498" s="2" t="str">
        <f>IFERROR(__xludf.DUMMYFUNCTION("""COMPUTED_VALUE"""),"History of Science")</f>
        <v>History of Science</v>
      </c>
      <c r="D1498" s="2" t="str">
        <f>IFERROR(__xludf.DUMMYFUNCTION("""COMPUTED_VALUE"""),"Sunset Ridge Press")</f>
        <v>Sunset Ridge Press</v>
      </c>
      <c r="E1498" s="2">
        <f>IFERROR(__xludf.DUMMYFUNCTION("""COMPUTED_VALUE"""),3.07)</f>
        <v>3.07</v>
      </c>
      <c r="F1498" s="2"/>
      <c r="G1498" s="2"/>
      <c r="H1498" s="2"/>
      <c r="I1498" s="2"/>
    </row>
    <row r="1499">
      <c r="A1499" s="2">
        <f>IFERROR(__xludf.DUMMYFUNCTION("""COMPUTED_VALUE"""),107898.0)</f>
        <v>107898</v>
      </c>
      <c r="B1499" s="2" t="str">
        <f>IFERROR(__xludf.DUMMYFUNCTION("""COMPUTED_VALUE"""),"Arts")</f>
        <v>Arts</v>
      </c>
      <c r="C1499" s="2" t="str">
        <f>IFERROR(__xludf.DUMMYFUNCTION("""COMPUTED_VALUE"""),"History of Science")</f>
        <v>History of Science</v>
      </c>
      <c r="D1499" s="2" t="str">
        <f>IFERROR(__xludf.DUMMYFUNCTION("""COMPUTED_VALUE"""),"Sunset Ridge Press")</f>
        <v>Sunset Ridge Press</v>
      </c>
      <c r="E1499" s="2">
        <f>IFERROR(__xludf.DUMMYFUNCTION("""COMPUTED_VALUE"""),2.71)</f>
        <v>2.71</v>
      </c>
      <c r="F1499" s="2"/>
      <c r="G1499" s="2"/>
      <c r="H1499" s="2"/>
      <c r="I1499" s="2"/>
    </row>
    <row r="1500">
      <c r="A1500" s="2">
        <f>IFERROR(__xludf.DUMMYFUNCTION("""COMPUTED_VALUE"""),80181.0)</f>
        <v>80181</v>
      </c>
      <c r="B1500" s="2" t="str">
        <f>IFERROR(__xludf.DUMMYFUNCTION("""COMPUTED_VALUE"""),"Arts")</f>
        <v>Arts</v>
      </c>
      <c r="C1500" s="2" t="str">
        <f>IFERROR(__xludf.DUMMYFUNCTION("""COMPUTED_VALUE"""),"History of Science")</f>
        <v>History of Science</v>
      </c>
      <c r="D1500" s="2" t="str">
        <f>IFERROR(__xludf.DUMMYFUNCTION("""COMPUTED_VALUE"""),"Blue Horizon Publishing")</f>
        <v>Blue Horizon Publishing</v>
      </c>
      <c r="E1500" s="2">
        <f>IFERROR(__xludf.DUMMYFUNCTION("""COMPUTED_VALUE"""),2.37)</f>
        <v>2.37</v>
      </c>
      <c r="F1500" s="2"/>
      <c r="G1500" s="2"/>
      <c r="H1500" s="2"/>
      <c r="I1500" s="2"/>
    </row>
    <row r="1501">
      <c r="A1501" s="2">
        <f>IFERROR(__xludf.DUMMYFUNCTION("""COMPUTED_VALUE"""),150280.0)</f>
        <v>150280</v>
      </c>
      <c r="B1501" s="2" t="str">
        <f>IFERROR(__xludf.DUMMYFUNCTION("""COMPUTED_VALUE"""),"Arts")</f>
        <v>Arts</v>
      </c>
      <c r="C1501" s="2" t="str">
        <f>IFERROR(__xludf.DUMMYFUNCTION("""COMPUTED_VALUE"""),"History of Science")</f>
        <v>History of Science</v>
      </c>
      <c r="D1501" s="2" t="str">
        <f>IFERROR(__xludf.DUMMYFUNCTION("""COMPUTED_VALUE"""),"Blue Horizon Publishing")</f>
        <v>Blue Horizon Publishing</v>
      </c>
      <c r="E1501" s="2">
        <f>IFERROR(__xludf.DUMMYFUNCTION("""COMPUTED_VALUE"""),3.5)</f>
        <v>3.5</v>
      </c>
      <c r="F1501" s="2"/>
      <c r="G1501" s="2"/>
      <c r="H1501" s="2"/>
      <c r="I1501" s="2"/>
    </row>
    <row r="1502">
      <c r="A1502" s="2">
        <f>IFERROR(__xludf.DUMMYFUNCTION("""COMPUTED_VALUE"""),80173.0)</f>
        <v>80173</v>
      </c>
      <c r="B1502" s="2" t="str">
        <f>IFERROR(__xludf.DUMMYFUNCTION("""COMPUTED_VALUE"""),"Arts")</f>
        <v>Arts</v>
      </c>
      <c r="C1502" s="2" t="str">
        <f>IFERROR(__xludf.DUMMYFUNCTION("""COMPUTED_VALUE"""),"History of Science")</f>
        <v>History of Science</v>
      </c>
      <c r="D1502" s="2" t="str">
        <f>IFERROR(__xludf.DUMMYFUNCTION("""COMPUTED_VALUE"""),"Blue Horizon Publishing")</f>
        <v>Blue Horizon Publishing</v>
      </c>
      <c r="E1502" s="2">
        <f>IFERROR(__xludf.DUMMYFUNCTION("""COMPUTED_VALUE"""),2.35)</f>
        <v>2.35</v>
      </c>
      <c r="F1502" s="2"/>
      <c r="G1502" s="2"/>
      <c r="H1502" s="2"/>
      <c r="I1502" s="2"/>
    </row>
    <row r="1503">
      <c r="A1503" s="2">
        <f>IFERROR(__xludf.DUMMYFUNCTION("""COMPUTED_VALUE"""),100647.0)</f>
        <v>100647</v>
      </c>
      <c r="B1503" s="2" t="str">
        <f>IFERROR(__xludf.DUMMYFUNCTION("""COMPUTED_VALUE"""),"Arts")</f>
        <v>Arts</v>
      </c>
      <c r="C1503" s="2" t="str">
        <f>IFERROR(__xludf.DUMMYFUNCTION("""COMPUTED_VALUE"""),"History of Science")</f>
        <v>History of Science</v>
      </c>
      <c r="D1503" s="2" t="str">
        <f>IFERROR(__xludf.DUMMYFUNCTION("""COMPUTED_VALUE"""),"Blue Horizon Publishing")</f>
        <v>Blue Horizon Publishing</v>
      </c>
      <c r="E1503" s="2">
        <f>IFERROR(__xludf.DUMMYFUNCTION("""COMPUTED_VALUE"""),3.06)</f>
        <v>3.06</v>
      </c>
      <c r="F1503" s="2"/>
      <c r="G1503" s="2"/>
      <c r="H1503" s="2"/>
      <c r="I1503" s="2"/>
    </row>
    <row r="1504">
      <c r="A1504" s="2">
        <f>IFERROR(__xludf.DUMMYFUNCTION("""COMPUTED_VALUE"""),147273.0)</f>
        <v>147273</v>
      </c>
      <c r="B1504" s="2" t="str">
        <f>IFERROR(__xludf.DUMMYFUNCTION("""COMPUTED_VALUE"""),"Arts")</f>
        <v>Arts</v>
      </c>
      <c r="C1504" s="2" t="str">
        <f>IFERROR(__xludf.DUMMYFUNCTION("""COMPUTED_VALUE"""),"History of Science")</f>
        <v>History of Science</v>
      </c>
      <c r="D1504" s="2" t="str">
        <f>IFERROR(__xludf.DUMMYFUNCTION("""COMPUTED_VALUE"""),"Blue Horizon Publishing")</f>
        <v>Blue Horizon Publishing</v>
      </c>
      <c r="E1504" s="2">
        <f>IFERROR(__xludf.DUMMYFUNCTION("""COMPUTED_VALUE"""),1.41)</f>
        <v>1.41</v>
      </c>
      <c r="F1504" s="2"/>
      <c r="G1504" s="2"/>
      <c r="H1504" s="2"/>
      <c r="I1504" s="2"/>
    </row>
    <row r="1505">
      <c r="A1505" s="2">
        <f>IFERROR(__xludf.DUMMYFUNCTION("""COMPUTED_VALUE"""),83770.0)</f>
        <v>83770</v>
      </c>
      <c r="B1505" s="2" t="str">
        <f>IFERROR(__xludf.DUMMYFUNCTION("""COMPUTED_VALUE"""),"Arts")</f>
        <v>Arts</v>
      </c>
      <c r="C1505" s="2" t="str">
        <f>IFERROR(__xludf.DUMMYFUNCTION("""COMPUTED_VALUE"""),"History of Science")</f>
        <v>History of Science</v>
      </c>
      <c r="D1505" s="2" t="str">
        <f>IFERROR(__xludf.DUMMYFUNCTION("""COMPUTED_VALUE"""),"Blue Horizon Publishing")</f>
        <v>Blue Horizon Publishing</v>
      </c>
      <c r="E1505" s="2">
        <f>IFERROR(__xludf.DUMMYFUNCTION("""COMPUTED_VALUE"""),2.19)</f>
        <v>2.19</v>
      </c>
      <c r="F1505" s="2"/>
      <c r="G1505" s="2"/>
      <c r="H1505" s="2"/>
      <c r="I1505" s="2"/>
    </row>
    <row r="1506">
      <c r="A1506" s="2">
        <f>IFERROR(__xludf.DUMMYFUNCTION("""COMPUTED_VALUE"""),180773.0)</f>
        <v>180773</v>
      </c>
      <c r="B1506" s="2" t="str">
        <f>IFERROR(__xludf.DUMMYFUNCTION("""COMPUTED_VALUE"""),"Arts")</f>
        <v>Arts</v>
      </c>
      <c r="C1506" s="2" t="str">
        <f>IFERROR(__xludf.DUMMYFUNCTION("""COMPUTED_VALUE"""),"History of Science")</f>
        <v>History of Science</v>
      </c>
      <c r="D1506" s="2" t="str">
        <f>IFERROR(__xludf.DUMMYFUNCTION("""COMPUTED_VALUE"""),"Blue Horizon Publishing")</f>
        <v>Blue Horizon Publishing</v>
      </c>
      <c r="E1506" s="2">
        <f>IFERROR(__xludf.DUMMYFUNCTION("""COMPUTED_VALUE"""),2.52)</f>
        <v>2.52</v>
      </c>
      <c r="F1506" s="2"/>
      <c r="G1506" s="2"/>
      <c r="H1506" s="2"/>
      <c r="I1506" s="2"/>
    </row>
    <row r="1507">
      <c r="A1507" s="2">
        <f>IFERROR(__xludf.DUMMYFUNCTION("""COMPUTED_VALUE"""),80125.0)</f>
        <v>80125</v>
      </c>
      <c r="B1507" s="2" t="str">
        <f>IFERROR(__xludf.DUMMYFUNCTION("""COMPUTED_VALUE"""),"Arts")</f>
        <v>Arts</v>
      </c>
      <c r="C1507" s="2" t="str">
        <f>IFERROR(__xludf.DUMMYFUNCTION("""COMPUTED_VALUE"""),"History of Science")</f>
        <v>History of Science</v>
      </c>
      <c r="D1507" s="2" t="str">
        <f>IFERROR(__xludf.DUMMYFUNCTION("""COMPUTED_VALUE"""),"Blue Horizon Publishing")</f>
        <v>Blue Horizon Publishing</v>
      </c>
      <c r="E1507" s="2">
        <f>IFERROR(__xludf.DUMMYFUNCTION("""COMPUTED_VALUE"""),2.3)</f>
        <v>2.3</v>
      </c>
      <c r="F1507" s="2"/>
      <c r="G1507" s="2"/>
      <c r="H1507" s="2"/>
      <c r="I1507" s="2"/>
    </row>
    <row r="1508">
      <c r="A1508" s="2">
        <f>IFERROR(__xludf.DUMMYFUNCTION("""COMPUTED_VALUE"""),89909.0)</f>
        <v>89909</v>
      </c>
      <c r="B1508" s="2" t="str">
        <f>IFERROR(__xludf.DUMMYFUNCTION("""COMPUTED_VALUE"""),"Arts")</f>
        <v>Arts</v>
      </c>
      <c r="C1508" s="2" t="str">
        <f>IFERROR(__xludf.DUMMYFUNCTION("""COMPUTED_VALUE"""),"History of Science")</f>
        <v>History of Science</v>
      </c>
      <c r="D1508" s="2" t="str">
        <f>IFERROR(__xludf.DUMMYFUNCTION("""COMPUTED_VALUE"""),"Blue Horizon Publishing")</f>
        <v>Blue Horizon Publishing</v>
      </c>
      <c r="E1508" s="2">
        <f>IFERROR(__xludf.DUMMYFUNCTION("""COMPUTED_VALUE"""),3.11)</f>
        <v>3.11</v>
      </c>
      <c r="F1508" s="2"/>
      <c r="G1508" s="2"/>
      <c r="H1508" s="2"/>
      <c r="I1508" s="2"/>
    </row>
    <row r="1509">
      <c r="A1509" s="2">
        <f>IFERROR(__xludf.DUMMYFUNCTION("""COMPUTED_VALUE"""),80114.0)</f>
        <v>80114</v>
      </c>
      <c r="B1509" s="2" t="str">
        <f>IFERROR(__xludf.DUMMYFUNCTION("""COMPUTED_VALUE"""),"Arts")</f>
        <v>Arts</v>
      </c>
      <c r="C1509" s="2" t="str">
        <f>IFERROR(__xludf.DUMMYFUNCTION("""COMPUTED_VALUE"""),"History of Science")</f>
        <v>History of Science</v>
      </c>
      <c r="D1509" s="2" t="str">
        <f>IFERROR(__xludf.DUMMYFUNCTION("""COMPUTED_VALUE"""),"Blue Horizon Publishing")</f>
        <v>Blue Horizon Publishing</v>
      </c>
      <c r="E1509" s="2">
        <f>IFERROR(__xludf.DUMMYFUNCTION("""COMPUTED_VALUE"""),1.7)</f>
        <v>1.7</v>
      </c>
      <c r="F1509" s="2"/>
      <c r="G1509" s="2"/>
      <c r="H1509" s="2"/>
      <c r="I1509" s="2"/>
    </row>
    <row r="1510">
      <c r="A1510" s="2">
        <f>IFERROR(__xludf.DUMMYFUNCTION("""COMPUTED_VALUE"""),73916.0)</f>
        <v>73916</v>
      </c>
      <c r="B1510" s="2" t="str">
        <f>IFERROR(__xludf.DUMMYFUNCTION("""COMPUTED_VALUE"""),"Arts")</f>
        <v>Arts</v>
      </c>
      <c r="C1510" s="2" t="str">
        <f>IFERROR(__xludf.DUMMYFUNCTION("""COMPUTED_VALUE"""),"History of Science")</f>
        <v>History of Science</v>
      </c>
      <c r="D1510" s="2" t="str">
        <f>IFERROR(__xludf.DUMMYFUNCTION("""COMPUTED_VALUE"""),"Blue Horizon Publishing")</f>
        <v>Blue Horizon Publishing</v>
      </c>
      <c r="E1510" s="2">
        <f>IFERROR(__xludf.DUMMYFUNCTION("""COMPUTED_VALUE"""),1.81)</f>
        <v>1.81</v>
      </c>
      <c r="F1510" s="2"/>
      <c r="G1510" s="2"/>
      <c r="H1510" s="2"/>
      <c r="I1510" s="2"/>
    </row>
    <row r="1511">
      <c r="A1511" s="2">
        <f>IFERROR(__xludf.DUMMYFUNCTION("""COMPUTED_VALUE"""),80117.0)</f>
        <v>80117</v>
      </c>
      <c r="B1511" s="2" t="str">
        <f>IFERROR(__xludf.DUMMYFUNCTION("""COMPUTED_VALUE"""),"Arts")</f>
        <v>Arts</v>
      </c>
      <c r="C1511" s="2" t="str">
        <f>IFERROR(__xludf.DUMMYFUNCTION("""COMPUTED_VALUE"""),"History of Science")</f>
        <v>History of Science</v>
      </c>
      <c r="D1511" s="2" t="str">
        <f>IFERROR(__xludf.DUMMYFUNCTION("""COMPUTED_VALUE"""),"Blue Horizon Publishing")</f>
        <v>Blue Horizon Publishing</v>
      </c>
      <c r="E1511" s="2">
        <f>IFERROR(__xludf.DUMMYFUNCTION("""COMPUTED_VALUE"""),2.23)</f>
        <v>2.23</v>
      </c>
      <c r="F1511" s="2"/>
      <c r="G1511" s="2"/>
      <c r="H1511" s="2"/>
      <c r="I1511" s="2"/>
    </row>
    <row r="1512">
      <c r="A1512" s="2">
        <f>IFERROR(__xludf.DUMMYFUNCTION("""COMPUTED_VALUE"""),22008.0)</f>
        <v>22008</v>
      </c>
      <c r="B1512" s="2" t="str">
        <f>IFERROR(__xludf.DUMMYFUNCTION("""COMPUTED_VALUE"""),"Arts")</f>
        <v>Arts</v>
      </c>
      <c r="C1512" s="2" t="str">
        <f>IFERROR(__xludf.DUMMYFUNCTION("""COMPUTED_VALUE"""),"History of Science")</f>
        <v>History of Science</v>
      </c>
      <c r="D1512" s="2" t="str">
        <f>IFERROR(__xludf.DUMMYFUNCTION("""COMPUTED_VALUE"""),"Blue Horizon Publishing")</f>
        <v>Blue Horizon Publishing</v>
      </c>
      <c r="E1512" s="2">
        <f>IFERROR(__xludf.DUMMYFUNCTION("""COMPUTED_VALUE"""),1.59)</f>
        <v>1.59</v>
      </c>
      <c r="F1512" s="2"/>
      <c r="G1512" s="2"/>
      <c r="H1512" s="2"/>
      <c r="I1512" s="2"/>
    </row>
    <row r="1513">
      <c r="A1513" s="2">
        <f>IFERROR(__xludf.DUMMYFUNCTION("""COMPUTED_VALUE"""),76608.0)</f>
        <v>76608</v>
      </c>
      <c r="B1513" s="2" t="str">
        <f>IFERROR(__xludf.DUMMYFUNCTION("""COMPUTED_VALUE"""),"Arts")</f>
        <v>Arts</v>
      </c>
      <c r="C1513" s="2" t="str">
        <f>IFERROR(__xludf.DUMMYFUNCTION("""COMPUTED_VALUE"""),"History of Science")</f>
        <v>History of Science</v>
      </c>
      <c r="D1513" s="2" t="str">
        <f>IFERROR(__xludf.DUMMYFUNCTION("""COMPUTED_VALUE"""),"Blue Horizon Publishing")</f>
        <v>Blue Horizon Publishing</v>
      </c>
      <c r="E1513" s="2">
        <f>IFERROR(__xludf.DUMMYFUNCTION("""COMPUTED_VALUE"""),0.97)</f>
        <v>0.97</v>
      </c>
      <c r="F1513" s="2"/>
      <c r="G1513" s="2"/>
      <c r="H1513" s="2"/>
      <c r="I1513" s="2"/>
    </row>
    <row r="1514">
      <c r="A1514" s="2">
        <f>IFERROR(__xludf.DUMMYFUNCTION("""COMPUTED_VALUE"""),80793.0)</f>
        <v>80793</v>
      </c>
      <c r="B1514" s="2" t="str">
        <f>IFERROR(__xludf.DUMMYFUNCTION("""COMPUTED_VALUE"""),"Arts")</f>
        <v>Arts</v>
      </c>
      <c r="C1514" s="2" t="str">
        <f>IFERROR(__xludf.DUMMYFUNCTION("""COMPUTED_VALUE"""),"History of Science")</f>
        <v>History of Science</v>
      </c>
      <c r="D1514" s="2" t="str">
        <f>IFERROR(__xludf.DUMMYFUNCTION("""COMPUTED_VALUE"""),"Blue Horizon Publishing")</f>
        <v>Blue Horizon Publishing</v>
      </c>
      <c r="E1514" s="2">
        <f>IFERROR(__xludf.DUMMYFUNCTION("""COMPUTED_VALUE"""),3.02)</f>
        <v>3.02</v>
      </c>
      <c r="F1514" s="2"/>
      <c r="G1514" s="2"/>
      <c r="H1514" s="2"/>
      <c r="I1514" s="2"/>
    </row>
    <row r="1515">
      <c r="A1515" s="2">
        <f>IFERROR(__xludf.DUMMYFUNCTION("""COMPUTED_VALUE"""),102588.0)</f>
        <v>102588</v>
      </c>
      <c r="B1515" s="2" t="str">
        <f>IFERROR(__xludf.DUMMYFUNCTION("""COMPUTED_VALUE"""),"Arts")</f>
        <v>Arts</v>
      </c>
      <c r="C1515" s="2" t="str">
        <f>IFERROR(__xludf.DUMMYFUNCTION("""COMPUTED_VALUE"""),"History of Science")</f>
        <v>History of Science</v>
      </c>
      <c r="D1515" s="2" t="str">
        <f>IFERROR(__xludf.DUMMYFUNCTION("""COMPUTED_VALUE"""),"Blue Horizon Publishing")</f>
        <v>Blue Horizon Publishing</v>
      </c>
      <c r="E1515" s="2">
        <f>IFERROR(__xludf.DUMMYFUNCTION("""COMPUTED_VALUE"""),1.87)</f>
        <v>1.87</v>
      </c>
      <c r="F1515" s="2"/>
      <c r="G1515" s="2"/>
      <c r="H1515" s="2"/>
      <c r="I1515" s="2"/>
    </row>
    <row r="1516">
      <c r="A1516" s="2">
        <f>IFERROR(__xludf.DUMMYFUNCTION("""COMPUTED_VALUE"""),80794.0)</f>
        <v>80794</v>
      </c>
      <c r="B1516" s="2" t="str">
        <f>IFERROR(__xludf.DUMMYFUNCTION("""COMPUTED_VALUE"""),"Arts")</f>
        <v>Arts</v>
      </c>
      <c r="C1516" s="2" t="str">
        <f>IFERROR(__xludf.DUMMYFUNCTION("""COMPUTED_VALUE"""),"History of Science")</f>
        <v>History of Science</v>
      </c>
      <c r="D1516" s="2" t="str">
        <f>IFERROR(__xludf.DUMMYFUNCTION("""COMPUTED_VALUE"""),"Blue Horizon Publishing")</f>
        <v>Blue Horizon Publishing</v>
      </c>
      <c r="E1516" s="2">
        <f>IFERROR(__xludf.DUMMYFUNCTION("""COMPUTED_VALUE"""),1.29)</f>
        <v>1.29</v>
      </c>
      <c r="F1516" s="2"/>
      <c r="G1516" s="2"/>
      <c r="H1516" s="2"/>
      <c r="I1516" s="2"/>
    </row>
    <row r="1517">
      <c r="A1517" s="2">
        <f>IFERROR(__xludf.DUMMYFUNCTION("""COMPUTED_VALUE"""),80174.0)</f>
        <v>80174</v>
      </c>
      <c r="B1517" s="2" t="str">
        <f>IFERROR(__xludf.DUMMYFUNCTION("""COMPUTED_VALUE"""),"Arts")</f>
        <v>Arts</v>
      </c>
      <c r="C1517" s="2" t="str">
        <f>IFERROR(__xludf.DUMMYFUNCTION("""COMPUTED_VALUE"""),"History of Science")</f>
        <v>History of Science</v>
      </c>
      <c r="D1517" s="2" t="str">
        <f>IFERROR(__xludf.DUMMYFUNCTION("""COMPUTED_VALUE"""),"Blue Horizon Publishing")</f>
        <v>Blue Horizon Publishing</v>
      </c>
      <c r="E1517" s="2">
        <f>IFERROR(__xludf.DUMMYFUNCTION("""COMPUTED_VALUE"""),2.65)</f>
        <v>2.65</v>
      </c>
      <c r="F1517" s="2"/>
      <c r="G1517" s="2"/>
      <c r="H1517" s="2"/>
      <c r="I1517" s="2"/>
    </row>
    <row r="1518">
      <c r="A1518" s="2">
        <f>IFERROR(__xludf.DUMMYFUNCTION("""COMPUTED_VALUE"""),114722.0)</f>
        <v>114722</v>
      </c>
      <c r="B1518" s="2" t="str">
        <f>IFERROR(__xludf.DUMMYFUNCTION("""COMPUTED_VALUE"""),"Arts")</f>
        <v>Arts</v>
      </c>
      <c r="C1518" s="2" t="str">
        <f>IFERROR(__xludf.DUMMYFUNCTION("""COMPUTED_VALUE"""),"History of Science")</f>
        <v>History of Science</v>
      </c>
      <c r="D1518" s="2" t="str">
        <f>IFERROR(__xludf.DUMMYFUNCTION("""COMPUTED_VALUE"""),"Blue Horizon Publishing")</f>
        <v>Blue Horizon Publishing</v>
      </c>
      <c r="E1518" s="2">
        <f>IFERROR(__xludf.DUMMYFUNCTION("""COMPUTED_VALUE"""),3.15)</f>
        <v>3.15</v>
      </c>
      <c r="F1518" s="2"/>
      <c r="G1518" s="2"/>
      <c r="H1518" s="2"/>
      <c r="I1518" s="2"/>
    </row>
    <row r="1519">
      <c r="A1519" s="2">
        <f>IFERROR(__xludf.DUMMYFUNCTION("""COMPUTED_VALUE"""),180843.0)</f>
        <v>180843</v>
      </c>
      <c r="B1519" s="2" t="str">
        <f>IFERROR(__xludf.DUMMYFUNCTION("""COMPUTED_VALUE"""),"Arts")</f>
        <v>Arts</v>
      </c>
      <c r="C1519" s="2" t="str">
        <f>IFERROR(__xludf.DUMMYFUNCTION("""COMPUTED_VALUE"""),"History of Science")</f>
        <v>History of Science</v>
      </c>
      <c r="D1519" s="2" t="str">
        <f>IFERROR(__xludf.DUMMYFUNCTION("""COMPUTED_VALUE"""),"Blue Horizon Publishing")</f>
        <v>Blue Horizon Publishing</v>
      </c>
      <c r="E1519" s="2">
        <f>IFERROR(__xludf.DUMMYFUNCTION("""COMPUTED_VALUE"""),2.57)</f>
        <v>2.57</v>
      </c>
      <c r="F1519" s="2"/>
      <c r="G1519" s="2"/>
      <c r="H1519" s="2"/>
      <c r="I1519" s="2"/>
    </row>
    <row r="1520">
      <c r="A1520" s="2">
        <f>IFERROR(__xludf.DUMMYFUNCTION("""COMPUTED_VALUE"""),22020.0)</f>
        <v>22020</v>
      </c>
      <c r="B1520" s="2" t="str">
        <f>IFERROR(__xludf.DUMMYFUNCTION("""COMPUTED_VALUE"""),"Arts")</f>
        <v>Arts</v>
      </c>
      <c r="C1520" s="2" t="str">
        <f>IFERROR(__xludf.DUMMYFUNCTION("""COMPUTED_VALUE"""),"History of Science")</f>
        <v>History of Science</v>
      </c>
      <c r="D1520" s="2" t="str">
        <f>IFERROR(__xludf.DUMMYFUNCTION("""COMPUTED_VALUE"""),"Blue Horizon Publishing")</f>
        <v>Blue Horizon Publishing</v>
      </c>
      <c r="E1520" s="2">
        <f>IFERROR(__xludf.DUMMYFUNCTION("""COMPUTED_VALUE"""),1.72)</f>
        <v>1.72</v>
      </c>
      <c r="F1520" s="2"/>
      <c r="G1520" s="2"/>
      <c r="H1520" s="2"/>
      <c r="I1520" s="2"/>
    </row>
    <row r="1521">
      <c r="A1521" s="2">
        <f>IFERROR(__xludf.DUMMYFUNCTION("""COMPUTED_VALUE"""),111259.0)</f>
        <v>111259</v>
      </c>
      <c r="B1521" s="2" t="str">
        <f>IFERROR(__xludf.DUMMYFUNCTION("""COMPUTED_VALUE"""),"Arts")</f>
        <v>Arts</v>
      </c>
      <c r="C1521" s="2" t="str">
        <f>IFERROR(__xludf.DUMMYFUNCTION("""COMPUTED_VALUE"""),"History of Science")</f>
        <v>History of Science</v>
      </c>
      <c r="D1521" s="2" t="str">
        <f>IFERROR(__xludf.DUMMYFUNCTION("""COMPUTED_VALUE"""),"Blue Horizon Publishing")</f>
        <v>Blue Horizon Publishing</v>
      </c>
      <c r="E1521" s="2">
        <f>IFERROR(__xludf.DUMMYFUNCTION("""COMPUTED_VALUE"""),2.32)</f>
        <v>2.32</v>
      </c>
      <c r="F1521" s="2"/>
      <c r="G1521" s="2"/>
      <c r="H1521" s="2"/>
      <c r="I1521" s="2"/>
    </row>
    <row r="1522">
      <c r="A1522" s="2">
        <f>IFERROR(__xludf.DUMMYFUNCTION("""COMPUTED_VALUE"""),89895.0)</f>
        <v>89895</v>
      </c>
      <c r="B1522" s="2" t="str">
        <f>IFERROR(__xludf.DUMMYFUNCTION("""COMPUTED_VALUE"""),"Arts")</f>
        <v>Arts</v>
      </c>
      <c r="C1522" s="2" t="str">
        <f>IFERROR(__xludf.DUMMYFUNCTION("""COMPUTED_VALUE"""),"History of Science")</f>
        <v>History of Science</v>
      </c>
      <c r="D1522" s="2" t="str">
        <f>IFERROR(__xludf.DUMMYFUNCTION("""COMPUTED_VALUE"""),"Blue Horizon Publishing")</f>
        <v>Blue Horizon Publishing</v>
      </c>
      <c r="E1522" s="2">
        <f>IFERROR(__xludf.DUMMYFUNCTION("""COMPUTED_VALUE"""),3.06)</f>
        <v>3.06</v>
      </c>
      <c r="F1522" s="2"/>
      <c r="G1522" s="2"/>
      <c r="H1522" s="2"/>
      <c r="I1522" s="2"/>
    </row>
    <row r="1523">
      <c r="A1523" s="2">
        <f>IFERROR(__xludf.DUMMYFUNCTION("""COMPUTED_VALUE"""),22014.0)</f>
        <v>22014</v>
      </c>
      <c r="B1523" s="2" t="str">
        <f>IFERROR(__xludf.DUMMYFUNCTION("""COMPUTED_VALUE"""),"Arts")</f>
        <v>Arts</v>
      </c>
      <c r="C1523" s="2" t="str">
        <f>IFERROR(__xludf.DUMMYFUNCTION("""COMPUTED_VALUE"""),"History of Science")</f>
        <v>History of Science</v>
      </c>
      <c r="D1523" s="2" t="str">
        <f>IFERROR(__xludf.DUMMYFUNCTION("""COMPUTED_VALUE"""),"Blue Horizon Publishing")</f>
        <v>Blue Horizon Publishing</v>
      </c>
      <c r="E1523" s="2">
        <f>IFERROR(__xludf.DUMMYFUNCTION("""COMPUTED_VALUE"""),1.28)</f>
        <v>1.28</v>
      </c>
      <c r="F1523" s="2"/>
      <c r="G1523" s="2"/>
      <c r="H1523" s="2"/>
      <c r="I1523" s="2"/>
    </row>
    <row r="1524">
      <c r="A1524" s="2">
        <f>IFERROR(__xludf.DUMMYFUNCTION("""COMPUTED_VALUE"""),44254.0)</f>
        <v>44254</v>
      </c>
      <c r="B1524" s="2" t="str">
        <f>IFERROR(__xludf.DUMMYFUNCTION("""COMPUTED_VALUE"""),"Arts")</f>
        <v>Arts</v>
      </c>
      <c r="C1524" s="2" t="str">
        <f>IFERROR(__xludf.DUMMYFUNCTION("""COMPUTED_VALUE"""),"History of Science")</f>
        <v>History of Science</v>
      </c>
      <c r="D1524" s="2" t="str">
        <f>IFERROR(__xludf.DUMMYFUNCTION("""COMPUTED_VALUE"""),"Blue Horizon Publishing")</f>
        <v>Blue Horizon Publishing</v>
      </c>
      <c r="E1524" s="2">
        <f>IFERROR(__xludf.DUMMYFUNCTION("""COMPUTED_VALUE"""),2.08)</f>
        <v>2.08</v>
      </c>
      <c r="F1524" s="2"/>
      <c r="G1524" s="2"/>
      <c r="H1524" s="2"/>
      <c r="I1524" s="2"/>
    </row>
    <row r="1525">
      <c r="A1525" s="2">
        <f>IFERROR(__xludf.DUMMYFUNCTION("""COMPUTED_VALUE"""),22025.0)</f>
        <v>22025</v>
      </c>
      <c r="B1525" s="2" t="str">
        <f>IFERROR(__xludf.DUMMYFUNCTION("""COMPUTED_VALUE"""),"Arts")</f>
        <v>Arts</v>
      </c>
      <c r="C1525" s="2" t="str">
        <f>IFERROR(__xludf.DUMMYFUNCTION("""COMPUTED_VALUE"""),"History of Science")</f>
        <v>History of Science</v>
      </c>
      <c r="D1525" s="2" t="str">
        <f>IFERROR(__xludf.DUMMYFUNCTION("""COMPUTED_VALUE"""),"Blue Horizon Publishing")</f>
        <v>Blue Horizon Publishing</v>
      </c>
      <c r="E1525" s="2">
        <f>IFERROR(__xludf.DUMMYFUNCTION("""COMPUTED_VALUE"""),1.59)</f>
        <v>1.59</v>
      </c>
      <c r="F1525" s="2"/>
      <c r="G1525" s="2"/>
      <c r="H1525" s="2"/>
      <c r="I1525" s="2"/>
    </row>
    <row r="1526">
      <c r="A1526" s="2">
        <f>IFERROR(__xludf.DUMMYFUNCTION("""COMPUTED_VALUE"""),83765.0)</f>
        <v>83765</v>
      </c>
      <c r="B1526" s="2" t="str">
        <f>IFERROR(__xludf.DUMMYFUNCTION("""COMPUTED_VALUE"""),"Arts")</f>
        <v>Arts</v>
      </c>
      <c r="C1526" s="2" t="str">
        <f>IFERROR(__xludf.DUMMYFUNCTION("""COMPUTED_VALUE"""),"History of Science")</f>
        <v>History of Science</v>
      </c>
      <c r="D1526" s="2" t="str">
        <f>IFERROR(__xludf.DUMMYFUNCTION("""COMPUTED_VALUE"""),"Blue Horizon Publishing")</f>
        <v>Blue Horizon Publishing</v>
      </c>
      <c r="E1526" s="2">
        <f>IFERROR(__xludf.DUMMYFUNCTION("""COMPUTED_VALUE"""),1.78)</f>
        <v>1.78</v>
      </c>
      <c r="F1526" s="2"/>
      <c r="G1526" s="2"/>
      <c r="H1526" s="2"/>
      <c r="I1526" s="2"/>
    </row>
    <row r="1527">
      <c r="A1527" s="2">
        <f>IFERROR(__xludf.DUMMYFUNCTION("""COMPUTED_VALUE"""),89930.0)</f>
        <v>89930</v>
      </c>
      <c r="B1527" s="2" t="str">
        <f>IFERROR(__xludf.DUMMYFUNCTION("""COMPUTED_VALUE"""),"Arts")</f>
        <v>Arts</v>
      </c>
      <c r="C1527" s="2" t="str">
        <f>IFERROR(__xludf.DUMMYFUNCTION("""COMPUTED_VALUE"""),"History of Science")</f>
        <v>History of Science</v>
      </c>
      <c r="D1527" s="2" t="str">
        <f>IFERROR(__xludf.DUMMYFUNCTION("""COMPUTED_VALUE"""),"Blue Horizon Publishing")</f>
        <v>Blue Horizon Publishing</v>
      </c>
      <c r="E1527" s="2">
        <f>IFERROR(__xludf.DUMMYFUNCTION("""COMPUTED_VALUE"""),2.83)</f>
        <v>2.83</v>
      </c>
      <c r="F1527" s="2"/>
      <c r="G1527" s="2"/>
      <c r="H1527" s="2"/>
      <c r="I1527" s="2"/>
    </row>
    <row r="1528">
      <c r="A1528" s="2">
        <f>IFERROR(__xludf.DUMMYFUNCTION("""COMPUTED_VALUE"""),83767.0)</f>
        <v>83767</v>
      </c>
      <c r="B1528" s="2" t="str">
        <f>IFERROR(__xludf.DUMMYFUNCTION("""COMPUTED_VALUE"""),"Arts")</f>
        <v>Arts</v>
      </c>
      <c r="C1528" s="2" t="str">
        <f>IFERROR(__xludf.DUMMYFUNCTION("""COMPUTED_VALUE"""),"History of Science")</f>
        <v>History of Science</v>
      </c>
      <c r="D1528" s="2" t="str">
        <f>IFERROR(__xludf.DUMMYFUNCTION("""COMPUTED_VALUE"""),"Blue Horizon Publishing")</f>
        <v>Blue Horizon Publishing</v>
      </c>
      <c r="E1528" s="2">
        <f>IFERROR(__xludf.DUMMYFUNCTION("""COMPUTED_VALUE"""),1.71)</f>
        <v>1.71</v>
      </c>
      <c r="F1528" s="2"/>
      <c r="G1528" s="2"/>
      <c r="H1528" s="2"/>
      <c r="I1528" s="2"/>
    </row>
    <row r="1529">
      <c r="A1529" s="2">
        <f>IFERROR(__xludf.DUMMYFUNCTION("""COMPUTED_VALUE"""),83745.0)</f>
        <v>83745</v>
      </c>
      <c r="B1529" s="2" t="str">
        <f>IFERROR(__xludf.DUMMYFUNCTION("""COMPUTED_VALUE"""),"Arts")</f>
        <v>Arts</v>
      </c>
      <c r="C1529" s="2" t="str">
        <f>IFERROR(__xludf.DUMMYFUNCTION("""COMPUTED_VALUE"""),"History of Science")</f>
        <v>History of Science</v>
      </c>
      <c r="D1529" s="2" t="str">
        <f>IFERROR(__xludf.DUMMYFUNCTION("""COMPUTED_VALUE"""),"Blue Horizon Publishing")</f>
        <v>Blue Horizon Publishing</v>
      </c>
      <c r="E1529" s="2">
        <f>IFERROR(__xludf.DUMMYFUNCTION("""COMPUTED_VALUE"""),1.98)</f>
        <v>1.98</v>
      </c>
      <c r="F1529" s="2"/>
      <c r="G1529" s="2"/>
      <c r="H1529" s="2"/>
      <c r="I1529" s="2"/>
    </row>
    <row r="1530">
      <c r="A1530" s="2">
        <f>IFERROR(__xludf.DUMMYFUNCTION("""COMPUTED_VALUE"""),78827.0)</f>
        <v>78827</v>
      </c>
      <c r="B1530" s="2" t="str">
        <f>IFERROR(__xludf.DUMMYFUNCTION("""COMPUTED_VALUE"""),"Arts")</f>
        <v>Arts</v>
      </c>
      <c r="C1530" s="2" t="str">
        <f>IFERROR(__xludf.DUMMYFUNCTION("""COMPUTED_VALUE"""),"History of Science")</f>
        <v>History of Science</v>
      </c>
      <c r="D1530" s="2" t="str">
        <f>IFERROR(__xludf.DUMMYFUNCTION("""COMPUTED_VALUE"""),"Blue Horizon Publishing")</f>
        <v>Blue Horizon Publishing</v>
      </c>
      <c r="E1530" s="2">
        <f>IFERROR(__xludf.DUMMYFUNCTION("""COMPUTED_VALUE"""),1.55)</f>
        <v>1.55</v>
      </c>
      <c r="F1530" s="2"/>
      <c r="G1530" s="2"/>
      <c r="H1530" s="2"/>
      <c r="I1530" s="2"/>
    </row>
    <row r="1531">
      <c r="A1531" s="2">
        <f>IFERROR(__xludf.DUMMYFUNCTION("""COMPUTED_VALUE"""),122266.0)</f>
        <v>122266</v>
      </c>
      <c r="B1531" s="2" t="str">
        <f>IFERROR(__xludf.DUMMYFUNCTION("""COMPUTED_VALUE"""),"Arts")</f>
        <v>Arts</v>
      </c>
      <c r="C1531" s="2" t="str">
        <f>IFERROR(__xludf.DUMMYFUNCTION("""COMPUTED_VALUE"""),"History of Science")</f>
        <v>History of Science</v>
      </c>
      <c r="D1531" s="2" t="str">
        <f>IFERROR(__xludf.DUMMYFUNCTION("""COMPUTED_VALUE"""),"Blue Horizon Publishing")</f>
        <v>Blue Horizon Publishing</v>
      </c>
      <c r="E1531" s="2">
        <f>IFERROR(__xludf.DUMMYFUNCTION("""COMPUTED_VALUE"""),1.86)</f>
        <v>1.86</v>
      </c>
      <c r="F1531" s="2"/>
      <c r="G1531" s="2"/>
      <c r="H1531" s="2"/>
      <c r="I1531" s="2"/>
    </row>
    <row r="1532">
      <c r="A1532" s="2">
        <f>IFERROR(__xludf.DUMMYFUNCTION("""COMPUTED_VALUE"""),949.0)</f>
        <v>949</v>
      </c>
      <c r="B1532" s="2" t="str">
        <f>IFERROR(__xludf.DUMMYFUNCTION("""COMPUTED_VALUE"""),"Arts")</f>
        <v>Arts</v>
      </c>
      <c r="C1532" s="2" t="str">
        <f>IFERROR(__xludf.DUMMYFUNCTION("""COMPUTED_VALUE"""),"History of Science")</f>
        <v>History of Science</v>
      </c>
      <c r="D1532" s="2" t="str">
        <f>IFERROR(__xludf.DUMMYFUNCTION("""COMPUTED_VALUE"""),"Blue Horizon Publishing")</f>
        <v>Blue Horizon Publishing</v>
      </c>
      <c r="E1532" s="2">
        <f>IFERROR(__xludf.DUMMYFUNCTION("""COMPUTED_VALUE"""),1.43)</f>
        <v>1.43</v>
      </c>
      <c r="F1532" s="2"/>
      <c r="G1532" s="2"/>
      <c r="H1532" s="2"/>
      <c r="I1532" s="2"/>
    </row>
    <row r="1533">
      <c r="A1533" s="2">
        <f>IFERROR(__xludf.DUMMYFUNCTION("""COMPUTED_VALUE"""),102595.0)</f>
        <v>102595</v>
      </c>
      <c r="B1533" s="2" t="str">
        <f>IFERROR(__xludf.DUMMYFUNCTION("""COMPUTED_VALUE"""),"Arts")</f>
        <v>Arts</v>
      </c>
      <c r="C1533" s="2" t="str">
        <f>IFERROR(__xludf.DUMMYFUNCTION("""COMPUTED_VALUE"""),"History of Science")</f>
        <v>History of Science</v>
      </c>
      <c r="D1533" s="2" t="str">
        <f>IFERROR(__xludf.DUMMYFUNCTION("""COMPUTED_VALUE"""),"Blue Horizon Publishing")</f>
        <v>Blue Horizon Publishing</v>
      </c>
      <c r="E1533" s="2">
        <f>IFERROR(__xludf.DUMMYFUNCTION("""COMPUTED_VALUE"""),1.87)</f>
        <v>1.87</v>
      </c>
      <c r="F1533" s="2"/>
      <c r="G1533" s="2"/>
      <c r="H1533" s="2"/>
      <c r="I1533" s="2"/>
    </row>
    <row r="1534">
      <c r="A1534" s="2">
        <f>IFERROR(__xludf.DUMMYFUNCTION("""COMPUTED_VALUE"""),80790.0)</f>
        <v>80790</v>
      </c>
      <c r="B1534" s="2" t="str">
        <f>IFERROR(__xludf.DUMMYFUNCTION("""COMPUTED_VALUE"""),"Arts")</f>
        <v>Arts</v>
      </c>
      <c r="C1534" s="2" t="str">
        <f>IFERROR(__xludf.DUMMYFUNCTION("""COMPUTED_VALUE"""),"History of Science")</f>
        <v>History of Science</v>
      </c>
      <c r="D1534" s="2" t="str">
        <f>IFERROR(__xludf.DUMMYFUNCTION("""COMPUTED_VALUE"""),"Blue Horizon Publishing")</f>
        <v>Blue Horizon Publishing</v>
      </c>
      <c r="E1534" s="2">
        <f>IFERROR(__xludf.DUMMYFUNCTION("""COMPUTED_VALUE"""),1.53)</f>
        <v>1.53</v>
      </c>
      <c r="F1534" s="2"/>
      <c r="G1534" s="2"/>
      <c r="H1534" s="2"/>
      <c r="I1534" s="2"/>
    </row>
    <row r="1535">
      <c r="A1535" s="2">
        <f>IFERROR(__xludf.DUMMYFUNCTION("""COMPUTED_VALUE"""),114257.0)</f>
        <v>114257</v>
      </c>
      <c r="B1535" s="2" t="str">
        <f>IFERROR(__xludf.DUMMYFUNCTION("""COMPUTED_VALUE"""),"Arts")</f>
        <v>Arts</v>
      </c>
      <c r="C1535" s="2" t="str">
        <f>IFERROR(__xludf.DUMMYFUNCTION("""COMPUTED_VALUE"""),"History of Science")</f>
        <v>History of Science</v>
      </c>
      <c r="D1535" s="2" t="str">
        <f>IFERROR(__xludf.DUMMYFUNCTION("""COMPUTED_VALUE"""),"Blue Horizon Publishing")</f>
        <v>Blue Horizon Publishing</v>
      </c>
      <c r="E1535" s="2">
        <f>IFERROR(__xludf.DUMMYFUNCTION("""COMPUTED_VALUE"""),1.84)</f>
        <v>1.84</v>
      </c>
      <c r="F1535" s="2"/>
      <c r="G1535" s="2"/>
      <c r="H1535" s="2"/>
      <c r="I1535" s="2"/>
    </row>
    <row r="1536">
      <c r="A1536" s="2">
        <f>IFERROR(__xludf.DUMMYFUNCTION("""COMPUTED_VALUE"""),80121.0)</f>
        <v>80121</v>
      </c>
      <c r="B1536" s="2" t="str">
        <f>IFERROR(__xludf.DUMMYFUNCTION("""COMPUTED_VALUE"""),"Arts")</f>
        <v>Arts</v>
      </c>
      <c r="C1536" s="2" t="str">
        <f>IFERROR(__xludf.DUMMYFUNCTION("""COMPUTED_VALUE"""),"History of Science")</f>
        <v>History of Science</v>
      </c>
      <c r="D1536" s="2" t="str">
        <f>IFERROR(__xludf.DUMMYFUNCTION("""COMPUTED_VALUE"""),"Blue Horizon Publishing")</f>
        <v>Blue Horizon Publishing</v>
      </c>
      <c r="E1536" s="2">
        <f>IFERROR(__xludf.DUMMYFUNCTION("""COMPUTED_VALUE"""),2.42)</f>
        <v>2.42</v>
      </c>
      <c r="F1536" s="2"/>
      <c r="G1536" s="2"/>
      <c r="H1536" s="2"/>
      <c r="I1536" s="2"/>
    </row>
    <row r="1537">
      <c r="A1537" s="2">
        <f>IFERROR(__xludf.DUMMYFUNCTION("""COMPUTED_VALUE"""),164929.0)</f>
        <v>164929</v>
      </c>
      <c r="B1537" s="2" t="str">
        <f>IFERROR(__xludf.DUMMYFUNCTION("""COMPUTED_VALUE"""),"Arts")</f>
        <v>Arts</v>
      </c>
      <c r="C1537" s="2" t="str">
        <f>IFERROR(__xludf.DUMMYFUNCTION("""COMPUTED_VALUE"""),"History of Science")</f>
        <v>History of Science</v>
      </c>
      <c r="D1537" s="2" t="str">
        <f>IFERROR(__xludf.DUMMYFUNCTION("""COMPUTED_VALUE"""),"Blue Horizon Publishing")</f>
        <v>Blue Horizon Publishing</v>
      </c>
      <c r="E1537" s="2">
        <f>IFERROR(__xludf.DUMMYFUNCTION("""COMPUTED_VALUE"""),1.1)</f>
        <v>1.1</v>
      </c>
      <c r="F1537" s="2"/>
      <c r="G1537" s="2"/>
      <c r="H1537" s="2"/>
      <c r="I1537" s="2"/>
    </row>
    <row r="1538">
      <c r="A1538" s="2">
        <f>IFERROR(__xludf.DUMMYFUNCTION("""COMPUTED_VALUE"""),80180.0)</f>
        <v>80180</v>
      </c>
      <c r="B1538" s="2" t="str">
        <f>IFERROR(__xludf.DUMMYFUNCTION("""COMPUTED_VALUE"""),"Arts")</f>
        <v>Arts</v>
      </c>
      <c r="C1538" s="2" t="str">
        <f>IFERROR(__xludf.DUMMYFUNCTION("""COMPUTED_VALUE"""),"History of Science")</f>
        <v>History of Science</v>
      </c>
      <c r="D1538" s="2" t="str">
        <f>IFERROR(__xludf.DUMMYFUNCTION("""COMPUTED_VALUE"""),"Blue Horizon Publishing")</f>
        <v>Blue Horizon Publishing</v>
      </c>
      <c r="E1538" s="2">
        <f>IFERROR(__xludf.DUMMYFUNCTION("""COMPUTED_VALUE"""),3.85)</f>
        <v>3.85</v>
      </c>
      <c r="F1538" s="2"/>
      <c r="G1538" s="2"/>
      <c r="H1538" s="2"/>
      <c r="I1538" s="2"/>
    </row>
    <row r="1539">
      <c r="A1539" s="2">
        <f>IFERROR(__xludf.DUMMYFUNCTION("""COMPUTED_VALUE"""),92930.0)</f>
        <v>92930</v>
      </c>
      <c r="B1539" s="2" t="str">
        <f>IFERROR(__xludf.DUMMYFUNCTION("""COMPUTED_VALUE"""),"Arts")</f>
        <v>Arts</v>
      </c>
      <c r="C1539" s="2" t="str">
        <f>IFERROR(__xludf.DUMMYFUNCTION("""COMPUTED_VALUE"""),"History of Science")</f>
        <v>History of Science</v>
      </c>
      <c r="D1539" s="2" t="str">
        <f>IFERROR(__xludf.DUMMYFUNCTION("""COMPUTED_VALUE"""),"Blue Horizon Publishing")</f>
        <v>Blue Horizon Publishing</v>
      </c>
      <c r="E1539" s="2">
        <f>IFERROR(__xludf.DUMMYFUNCTION("""COMPUTED_VALUE"""),2.34)</f>
        <v>2.34</v>
      </c>
      <c r="F1539" s="2"/>
      <c r="G1539" s="2"/>
      <c r="H1539" s="2"/>
      <c r="I1539" s="2"/>
    </row>
    <row r="1540">
      <c r="A1540" s="2">
        <f>IFERROR(__xludf.DUMMYFUNCTION("""COMPUTED_VALUE"""),147271.0)</f>
        <v>147271</v>
      </c>
      <c r="B1540" s="2" t="str">
        <f>IFERROR(__xludf.DUMMYFUNCTION("""COMPUTED_VALUE"""),"Arts")</f>
        <v>Arts</v>
      </c>
      <c r="C1540" s="2" t="str">
        <f>IFERROR(__xludf.DUMMYFUNCTION("""COMPUTED_VALUE"""),"History of Science")</f>
        <v>History of Science</v>
      </c>
      <c r="D1540" s="2" t="str">
        <f>IFERROR(__xludf.DUMMYFUNCTION("""COMPUTED_VALUE"""),"Blue Horizon Publishing")</f>
        <v>Blue Horizon Publishing</v>
      </c>
      <c r="E1540" s="2">
        <f>IFERROR(__xludf.DUMMYFUNCTION("""COMPUTED_VALUE"""),1.61)</f>
        <v>1.61</v>
      </c>
      <c r="F1540" s="2"/>
      <c r="G1540" s="2"/>
      <c r="H1540" s="2"/>
      <c r="I1540" s="2"/>
    </row>
    <row r="1541">
      <c r="A1541" s="2">
        <f>IFERROR(__xludf.DUMMYFUNCTION("""COMPUTED_VALUE"""),83748.0)</f>
        <v>83748</v>
      </c>
      <c r="B1541" s="2" t="str">
        <f>IFERROR(__xludf.DUMMYFUNCTION("""COMPUTED_VALUE"""),"Arts")</f>
        <v>Arts</v>
      </c>
      <c r="C1541" s="2" t="str">
        <f>IFERROR(__xludf.DUMMYFUNCTION("""COMPUTED_VALUE"""),"History of Science")</f>
        <v>History of Science</v>
      </c>
      <c r="D1541" s="2" t="str">
        <f>IFERROR(__xludf.DUMMYFUNCTION("""COMPUTED_VALUE"""),"Blue Horizon Publishing")</f>
        <v>Blue Horizon Publishing</v>
      </c>
      <c r="E1541" s="2">
        <f>IFERROR(__xludf.DUMMYFUNCTION("""COMPUTED_VALUE"""),1.92)</f>
        <v>1.92</v>
      </c>
      <c r="F1541" s="2"/>
      <c r="G1541" s="2"/>
      <c r="H1541" s="2"/>
      <c r="I1541" s="2"/>
    </row>
    <row r="1542">
      <c r="A1542" s="2">
        <f>IFERROR(__xludf.DUMMYFUNCTION("""COMPUTED_VALUE"""),80120.0)</f>
        <v>80120</v>
      </c>
      <c r="B1542" s="2" t="str">
        <f>IFERROR(__xludf.DUMMYFUNCTION("""COMPUTED_VALUE"""),"Arts")</f>
        <v>Arts</v>
      </c>
      <c r="C1542" s="2" t="str">
        <f>IFERROR(__xludf.DUMMYFUNCTION("""COMPUTED_VALUE"""),"History of Science")</f>
        <v>History of Science</v>
      </c>
      <c r="D1542" s="2" t="str">
        <f>IFERROR(__xludf.DUMMYFUNCTION("""COMPUTED_VALUE"""),"Blue Horizon Publishing")</f>
        <v>Blue Horizon Publishing</v>
      </c>
      <c r="E1542" s="2">
        <f>IFERROR(__xludf.DUMMYFUNCTION("""COMPUTED_VALUE"""),1.98)</f>
        <v>1.98</v>
      </c>
      <c r="F1542" s="2"/>
      <c r="G1542" s="2"/>
      <c r="H1542" s="2"/>
      <c r="I1542" s="2"/>
    </row>
    <row r="1543">
      <c r="A1543" s="2">
        <f>IFERROR(__xludf.DUMMYFUNCTION("""COMPUTED_VALUE"""),164931.0)</f>
        <v>164931</v>
      </c>
      <c r="B1543" s="2" t="str">
        <f>IFERROR(__xludf.DUMMYFUNCTION("""COMPUTED_VALUE"""),"Arts")</f>
        <v>Arts</v>
      </c>
      <c r="C1543" s="2" t="str">
        <f>IFERROR(__xludf.DUMMYFUNCTION("""COMPUTED_VALUE"""),"History of Science")</f>
        <v>History of Science</v>
      </c>
      <c r="D1543" s="2" t="str">
        <f>IFERROR(__xludf.DUMMYFUNCTION("""COMPUTED_VALUE"""),"Blue Horizon Publishing")</f>
        <v>Blue Horizon Publishing</v>
      </c>
      <c r="E1543" s="2">
        <f>IFERROR(__xludf.DUMMYFUNCTION("""COMPUTED_VALUE"""),1.46)</f>
        <v>1.46</v>
      </c>
      <c r="F1543" s="2"/>
      <c r="G1543" s="2"/>
      <c r="H1543" s="2"/>
      <c r="I1543" s="2"/>
    </row>
    <row r="1544">
      <c r="A1544" s="2">
        <f>IFERROR(__xludf.DUMMYFUNCTION("""COMPUTED_VALUE"""),78804.0)</f>
        <v>78804</v>
      </c>
      <c r="B1544" s="2" t="str">
        <f>IFERROR(__xludf.DUMMYFUNCTION("""COMPUTED_VALUE"""),"Arts")</f>
        <v>Arts</v>
      </c>
      <c r="C1544" s="2" t="str">
        <f>IFERROR(__xludf.DUMMYFUNCTION("""COMPUTED_VALUE"""),"History of Science")</f>
        <v>History of Science</v>
      </c>
      <c r="D1544" s="2" t="str">
        <f>IFERROR(__xludf.DUMMYFUNCTION("""COMPUTED_VALUE"""),"Blue Horizon Publishing")</f>
        <v>Blue Horizon Publishing</v>
      </c>
      <c r="E1544" s="2">
        <f>IFERROR(__xludf.DUMMYFUNCTION("""COMPUTED_VALUE"""),1.29)</f>
        <v>1.29</v>
      </c>
      <c r="F1544" s="2"/>
      <c r="G1544" s="2"/>
      <c r="H1544" s="2"/>
      <c r="I1544" s="2"/>
    </row>
    <row r="1545">
      <c r="A1545" s="2">
        <f>IFERROR(__xludf.DUMMYFUNCTION("""COMPUTED_VALUE"""),103096.0)</f>
        <v>103096</v>
      </c>
      <c r="B1545" s="2" t="str">
        <f>IFERROR(__xludf.DUMMYFUNCTION("""COMPUTED_VALUE"""),"Arts")</f>
        <v>Arts</v>
      </c>
      <c r="C1545" s="2" t="str">
        <f>IFERROR(__xludf.DUMMYFUNCTION("""COMPUTED_VALUE"""),"History of Science")</f>
        <v>History of Science</v>
      </c>
      <c r="D1545" s="2" t="str">
        <f>IFERROR(__xludf.DUMMYFUNCTION("""COMPUTED_VALUE"""),"Blue Horizon Publishing")</f>
        <v>Blue Horizon Publishing</v>
      </c>
      <c r="E1545" s="2">
        <f>IFERROR(__xludf.DUMMYFUNCTION("""COMPUTED_VALUE"""),1.54)</f>
        <v>1.54</v>
      </c>
      <c r="F1545" s="2"/>
      <c r="G1545" s="2"/>
      <c r="H1545" s="2"/>
      <c r="I1545" s="2"/>
    </row>
    <row r="1546">
      <c r="A1546" s="2">
        <f>IFERROR(__xludf.DUMMYFUNCTION("""COMPUTED_VALUE"""),180770.0)</f>
        <v>180770</v>
      </c>
      <c r="B1546" s="2" t="str">
        <f>IFERROR(__xludf.DUMMYFUNCTION("""COMPUTED_VALUE"""),"Arts")</f>
        <v>Arts</v>
      </c>
      <c r="C1546" s="2" t="str">
        <f>IFERROR(__xludf.DUMMYFUNCTION("""COMPUTED_VALUE"""),"History of Science")</f>
        <v>History of Science</v>
      </c>
      <c r="D1546" s="2" t="str">
        <f>IFERROR(__xludf.DUMMYFUNCTION("""COMPUTED_VALUE"""),"Blue Horizon Publishing")</f>
        <v>Blue Horizon Publishing</v>
      </c>
      <c r="E1546" s="2">
        <f>IFERROR(__xludf.DUMMYFUNCTION("""COMPUTED_VALUE"""),1.64)</f>
        <v>1.64</v>
      </c>
      <c r="F1546" s="2"/>
      <c r="G1546" s="2"/>
      <c r="H1546" s="2"/>
      <c r="I1546" s="2"/>
    </row>
    <row r="1547">
      <c r="A1547" s="2">
        <f>IFERROR(__xludf.DUMMYFUNCTION("""COMPUTED_VALUE"""),80115.0)</f>
        <v>80115</v>
      </c>
      <c r="B1547" s="2" t="str">
        <f>IFERROR(__xludf.DUMMYFUNCTION("""COMPUTED_VALUE"""),"Arts")</f>
        <v>Arts</v>
      </c>
      <c r="C1547" s="2" t="str">
        <f>IFERROR(__xludf.DUMMYFUNCTION("""COMPUTED_VALUE"""),"History of Science")</f>
        <v>History of Science</v>
      </c>
      <c r="D1547" s="2" t="str">
        <f>IFERROR(__xludf.DUMMYFUNCTION("""COMPUTED_VALUE"""),"Blue Horizon Publishing")</f>
        <v>Blue Horizon Publishing</v>
      </c>
      <c r="E1547" s="2">
        <f>IFERROR(__xludf.DUMMYFUNCTION("""COMPUTED_VALUE"""),1.77)</f>
        <v>1.77</v>
      </c>
      <c r="F1547" s="2"/>
      <c r="G1547" s="2"/>
      <c r="H1547" s="2"/>
      <c r="I1547" s="2"/>
    </row>
    <row r="1548">
      <c r="A1548" s="2">
        <f>IFERROR(__xludf.DUMMYFUNCTION("""COMPUTED_VALUE"""),83771.0)</f>
        <v>83771</v>
      </c>
      <c r="B1548" s="2" t="str">
        <f>IFERROR(__xludf.DUMMYFUNCTION("""COMPUTED_VALUE"""),"Arts")</f>
        <v>Arts</v>
      </c>
      <c r="C1548" s="2" t="str">
        <f>IFERROR(__xludf.DUMMYFUNCTION("""COMPUTED_VALUE"""),"History of Science")</f>
        <v>History of Science</v>
      </c>
      <c r="D1548" s="2" t="str">
        <f>IFERROR(__xludf.DUMMYFUNCTION("""COMPUTED_VALUE"""),"Blue Horizon Publishing")</f>
        <v>Blue Horizon Publishing</v>
      </c>
      <c r="E1548" s="2">
        <f>IFERROR(__xludf.DUMMYFUNCTION("""COMPUTED_VALUE"""),1.98)</f>
        <v>1.98</v>
      </c>
      <c r="F1548" s="2"/>
      <c r="G1548" s="2"/>
      <c r="H1548" s="2"/>
      <c r="I1548" s="2"/>
    </row>
    <row r="1549">
      <c r="A1549" s="2">
        <f>IFERROR(__xludf.DUMMYFUNCTION("""COMPUTED_VALUE"""),80124.0)</f>
        <v>80124</v>
      </c>
      <c r="B1549" s="2" t="str">
        <f>IFERROR(__xludf.DUMMYFUNCTION("""COMPUTED_VALUE"""),"Arts")</f>
        <v>Arts</v>
      </c>
      <c r="C1549" s="2" t="str">
        <f>IFERROR(__xludf.DUMMYFUNCTION("""COMPUTED_VALUE"""),"History of Science")</f>
        <v>History of Science</v>
      </c>
      <c r="D1549" s="2" t="str">
        <f>IFERROR(__xludf.DUMMYFUNCTION("""COMPUTED_VALUE"""),"Blue Horizon Publishing")</f>
        <v>Blue Horizon Publishing</v>
      </c>
      <c r="E1549" s="2">
        <f>IFERROR(__xludf.DUMMYFUNCTION("""COMPUTED_VALUE"""),2.25)</f>
        <v>2.25</v>
      </c>
      <c r="F1549" s="2"/>
      <c r="G1549" s="2"/>
      <c r="H1549" s="2"/>
      <c r="I1549" s="2"/>
    </row>
    <row r="1550">
      <c r="A1550" s="2">
        <f>IFERROR(__xludf.DUMMYFUNCTION("""COMPUTED_VALUE"""),80111.0)</f>
        <v>80111</v>
      </c>
      <c r="B1550" s="2" t="str">
        <f>IFERROR(__xludf.DUMMYFUNCTION("""COMPUTED_VALUE"""),"Arts")</f>
        <v>Arts</v>
      </c>
      <c r="C1550" s="2" t="str">
        <f>IFERROR(__xludf.DUMMYFUNCTION("""COMPUTED_VALUE"""),"History of Science")</f>
        <v>History of Science</v>
      </c>
      <c r="D1550" s="2" t="str">
        <f>IFERROR(__xludf.DUMMYFUNCTION("""COMPUTED_VALUE"""),"Blue Horizon Publishing")</f>
        <v>Blue Horizon Publishing</v>
      </c>
      <c r="E1550" s="2">
        <f>IFERROR(__xludf.DUMMYFUNCTION("""COMPUTED_VALUE"""),2.27)</f>
        <v>2.27</v>
      </c>
      <c r="F1550" s="2"/>
      <c r="G1550" s="2"/>
      <c r="H1550" s="2"/>
      <c r="I1550" s="2"/>
    </row>
    <row r="1551">
      <c r="A1551" s="2">
        <f>IFERROR(__xludf.DUMMYFUNCTION("""COMPUTED_VALUE"""),63864.0)</f>
        <v>63864</v>
      </c>
      <c r="B1551" s="2" t="str">
        <f>IFERROR(__xludf.DUMMYFUNCTION("""COMPUTED_VALUE"""),"Arts")</f>
        <v>Arts</v>
      </c>
      <c r="C1551" s="2" t="str">
        <f>IFERROR(__xludf.DUMMYFUNCTION("""COMPUTED_VALUE"""),"History of Science")</f>
        <v>History of Science</v>
      </c>
      <c r="D1551" s="2" t="str">
        <f>IFERROR(__xludf.DUMMYFUNCTION("""COMPUTED_VALUE"""),"Blue Horizon Publishing")</f>
        <v>Blue Horizon Publishing</v>
      </c>
      <c r="E1551" s="2">
        <f>IFERROR(__xludf.DUMMYFUNCTION("""COMPUTED_VALUE"""),3.26)</f>
        <v>3.26</v>
      </c>
      <c r="F1551" s="2"/>
      <c r="G1551" s="2"/>
      <c r="H1551" s="2"/>
      <c r="I1551" s="2"/>
    </row>
    <row r="1552">
      <c r="A1552" s="2">
        <f>IFERROR(__xludf.DUMMYFUNCTION("""COMPUTED_VALUE"""),76824.0)</f>
        <v>76824</v>
      </c>
      <c r="B1552" s="2" t="str">
        <f>IFERROR(__xludf.DUMMYFUNCTION("""COMPUTED_VALUE"""),"Arts")</f>
        <v>Arts</v>
      </c>
      <c r="C1552" s="2" t="str">
        <f>IFERROR(__xludf.DUMMYFUNCTION("""COMPUTED_VALUE"""),"History of Science")</f>
        <v>History of Science</v>
      </c>
      <c r="D1552" s="2" t="str">
        <f>IFERROR(__xludf.DUMMYFUNCTION("""COMPUTED_VALUE"""),"Blue Horizon Publishing")</f>
        <v>Blue Horizon Publishing</v>
      </c>
      <c r="E1552" s="2">
        <f>IFERROR(__xludf.DUMMYFUNCTION("""COMPUTED_VALUE"""),1.45)</f>
        <v>1.45</v>
      </c>
      <c r="F1552" s="2"/>
      <c r="G1552" s="2"/>
      <c r="H1552" s="2"/>
      <c r="I1552" s="2"/>
    </row>
    <row r="1553">
      <c r="A1553" s="2">
        <f>IFERROR(__xludf.DUMMYFUNCTION("""COMPUTED_VALUE"""),102599.0)</f>
        <v>102599</v>
      </c>
      <c r="B1553" s="2" t="str">
        <f>IFERROR(__xludf.DUMMYFUNCTION("""COMPUTED_VALUE"""),"Arts")</f>
        <v>Arts</v>
      </c>
      <c r="C1553" s="2" t="str">
        <f>IFERROR(__xludf.DUMMYFUNCTION("""COMPUTED_VALUE"""),"History of Science")</f>
        <v>History of Science</v>
      </c>
      <c r="D1553" s="2" t="str">
        <f>IFERROR(__xludf.DUMMYFUNCTION("""COMPUTED_VALUE"""),"Blue Horizon Publishing")</f>
        <v>Blue Horizon Publishing</v>
      </c>
      <c r="E1553" s="2">
        <f>IFERROR(__xludf.DUMMYFUNCTION("""COMPUTED_VALUE"""),2.91)</f>
        <v>2.91</v>
      </c>
      <c r="F1553" s="2"/>
      <c r="G1553" s="2"/>
      <c r="H1553" s="2"/>
      <c r="I1553" s="2"/>
    </row>
    <row r="1554">
      <c r="A1554" s="2">
        <f>IFERROR(__xludf.DUMMYFUNCTION("""COMPUTED_VALUE"""),103001.0)</f>
        <v>103001</v>
      </c>
      <c r="B1554" s="2" t="str">
        <f>IFERROR(__xludf.DUMMYFUNCTION("""COMPUTED_VALUE"""),"Arts")</f>
        <v>Arts</v>
      </c>
      <c r="C1554" s="2" t="str">
        <f>IFERROR(__xludf.DUMMYFUNCTION("""COMPUTED_VALUE"""),"History of Science")</f>
        <v>History of Science</v>
      </c>
      <c r="D1554" s="2" t="str">
        <f>IFERROR(__xludf.DUMMYFUNCTION("""COMPUTED_VALUE"""),"Blue Horizon Publishing")</f>
        <v>Blue Horizon Publishing</v>
      </c>
      <c r="E1554" s="2">
        <f>IFERROR(__xludf.DUMMYFUNCTION("""COMPUTED_VALUE"""),2.08)</f>
        <v>2.08</v>
      </c>
      <c r="F1554" s="2"/>
      <c r="G1554" s="2"/>
      <c r="H1554" s="2"/>
      <c r="I1554" s="2"/>
    </row>
    <row r="1555">
      <c r="A1555" s="2">
        <f>IFERROR(__xludf.DUMMYFUNCTION("""COMPUTED_VALUE"""),164928.0)</f>
        <v>164928</v>
      </c>
      <c r="B1555" s="2" t="str">
        <f>IFERROR(__xludf.DUMMYFUNCTION("""COMPUTED_VALUE"""),"Arts")</f>
        <v>Arts</v>
      </c>
      <c r="C1555" s="2" t="str">
        <f>IFERROR(__xludf.DUMMYFUNCTION("""COMPUTED_VALUE"""),"History of Science")</f>
        <v>History of Science</v>
      </c>
      <c r="D1555" s="2" t="str">
        <f>IFERROR(__xludf.DUMMYFUNCTION("""COMPUTED_VALUE"""),"Blue Horizon Publishing")</f>
        <v>Blue Horizon Publishing</v>
      </c>
      <c r="E1555" s="2">
        <f>IFERROR(__xludf.DUMMYFUNCTION("""COMPUTED_VALUE"""),1.3)</f>
        <v>1.3</v>
      </c>
      <c r="F1555" s="2"/>
      <c r="G1555" s="2"/>
      <c r="H1555" s="2"/>
      <c r="I1555" s="2"/>
    </row>
    <row r="1556">
      <c r="A1556" s="2">
        <f>IFERROR(__xludf.DUMMYFUNCTION("""COMPUTED_VALUE"""),80791.0)</f>
        <v>80791</v>
      </c>
      <c r="B1556" s="2" t="str">
        <f>IFERROR(__xludf.DUMMYFUNCTION("""COMPUTED_VALUE"""),"Arts")</f>
        <v>Arts</v>
      </c>
      <c r="C1556" s="2" t="str">
        <f>IFERROR(__xludf.DUMMYFUNCTION("""COMPUTED_VALUE"""),"History of Science")</f>
        <v>History of Science</v>
      </c>
      <c r="D1556" s="2" t="str">
        <f>IFERROR(__xludf.DUMMYFUNCTION("""COMPUTED_VALUE"""),"Blue Horizon Publishing")</f>
        <v>Blue Horizon Publishing</v>
      </c>
      <c r="E1556" s="2">
        <f>IFERROR(__xludf.DUMMYFUNCTION("""COMPUTED_VALUE"""),1.69)</f>
        <v>1.69</v>
      </c>
      <c r="F1556" s="2"/>
      <c r="G1556" s="2"/>
      <c r="H1556" s="2"/>
      <c r="I1556" s="2"/>
    </row>
    <row r="1557">
      <c r="A1557" s="2">
        <f>IFERROR(__xludf.DUMMYFUNCTION("""COMPUTED_VALUE"""),83223.0)</f>
        <v>83223</v>
      </c>
      <c r="B1557" s="2" t="str">
        <f>IFERROR(__xludf.DUMMYFUNCTION("""COMPUTED_VALUE"""),"Arts")</f>
        <v>Arts</v>
      </c>
      <c r="C1557" s="2" t="str">
        <f>IFERROR(__xludf.DUMMYFUNCTION("""COMPUTED_VALUE"""),"History of Science")</f>
        <v>History of Science</v>
      </c>
      <c r="D1557" s="2" t="str">
        <f>IFERROR(__xludf.DUMMYFUNCTION("""COMPUTED_VALUE"""),"Blue Horizon Publishing")</f>
        <v>Blue Horizon Publishing</v>
      </c>
      <c r="E1557" s="2">
        <f>IFERROR(__xludf.DUMMYFUNCTION("""COMPUTED_VALUE"""),1.35)</f>
        <v>1.35</v>
      </c>
      <c r="F1557" s="2"/>
      <c r="G1557" s="2"/>
      <c r="H1557" s="2"/>
      <c r="I1557" s="2"/>
    </row>
    <row r="1558">
      <c r="A1558" s="2">
        <f>IFERROR(__xludf.DUMMYFUNCTION("""COMPUTED_VALUE"""),951.0)</f>
        <v>951</v>
      </c>
      <c r="B1558" s="2" t="str">
        <f>IFERROR(__xludf.DUMMYFUNCTION("""COMPUTED_VALUE"""),"Arts")</f>
        <v>Arts</v>
      </c>
      <c r="C1558" s="2" t="str">
        <f>IFERROR(__xludf.DUMMYFUNCTION("""COMPUTED_VALUE"""),"History of Science")</f>
        <v>History of Science</v>
      </c>
      <c r="D1558" s="2" t="str">
        <f>IFERROR(__xludf.DUMMYFUNCTION("""COMPUTED_VALUE"""),"Blue Horizon Publishing")</f>
        <v>Blue Horizon Publishing</v>
      </c>
      <c r="E1558" s="2">
        <f>IFERROR(__xludf.DUMMYFUNCTION("""COMPUTED_VALUE"""),1.23)</f>
        <v>1.23</v>
      </c>
      <c r="F1558" s="2"/>
      <c r="G1558" s="2"/>
      <c r="H1558" s="2"/>
      <c r="I1558" s="2"/>
    </row>
    <row r="1559">
      <c r="A1559" s="2">
        <f>IFERROR(__xludf.DUMMYFUNCTION("""COMPUTED_VALUE"""),149928.0)</f>
        <v>149928</v>
      </c>
      <c r="B1559" s="2" t="str">
        <f>IFERROR(__xludf.DUMMYFUNCTION("""COMPUTED_VALUE"""),"Arts")</f>
        <v>Arts</v>
      </c>
      <c r="C1559" s="2" t="str">
        <f>IFERROR(__xludf.DUMMYFUNCTION("""COMPUTED_VALUE"""),"History of Science")</f>
        <v>History of Science</v>
      </c>
      <c r="D1559" s="2" t="str">
        <f>IFERROR(__xludf.DUMMYFUNCTION("""COMPUTED_VALUE"""),"Blue Horizon Publishing")</f>
        <v>Blue Horizon Publishing</v>
      </c>
      <c r="E1559" s="2">
        <f>IFERROR(__xludf.DUMMYFUNCTION("""COMPUTED_VALUE"""),1.84)</f>
        <v>1.84</v>
      </c>
      <c r="F1559" s="2"/>
      <c r="G1559" s="2"/>
      <c r="H1559" s="2"/>
      <c r="I1559" s="2"/>
    </row>
    <row r="1560">
      <c r="A1560" s="2">
        <f>IFERROR(__xludf.DUMMYFUNCTION("""COMPUTED_VALUE"""),60375.0)</f>
        <v>60375</v>
      </c>
      <c r="B1560" s="2" t="str">
        <f>IFERROR(__xludf.DUMMYFUNCTION("""COMPUTED_VALUE"""),"Arts")</f>
        <v>Arts</v>
      </c>
      <c r="C1560" s="2" t="str">
        <f>IFERROR(__xludf.DUMMYFUNCTION("""COMPUTED_VALUE"""),"History of Science")</f>
        <v>History of Science</v>
      </c>
      <c r="D1560" s="2" t="str">
        <f>IFERROR(__xludf.DUMMYFUNCTION("""COMPUTED_VALUE"""),"Timber Ridge Books")</f>
        <v>Timber Ridge Books</v>
      </c>
      <c r="E1560" s="2">
        <f>IFERROR(__xludf.DUMMYFUNCTION("""COMPUTED_VALUE"""),2.15)</f>
        <v>2.15</v>
      </c>
      <c r="F1560" s="2"/>
      <c r="G1560" s="2"/>
      <c r="H1560" s="2"/>
      <c r="I1560" s="2"/>
    </row>
    <row r="1561">
      <c r="A1561" s="2">
        <f>IFERROR(__xludf.DUMMYFUNCTION("""COMPUTED_VALUE"""),102594.0)</f>
        <v>102594</v>
      </c>
      <c r="B1561" s="2" t="str">
        <f>IFERROR(__xludf.DUMMYFUNCTION("""COMPUTED_VALUE"""),"Arts")</f>
        <v>Arts</v>
      </c>
      <c r="C1561" s="2" t="str">
        <f>IFERROR(__xludf.DUMMYFUNCTION("""COMPUTED_VALUE"""),"History of Science")</f>
        <v>History of Science</v>
      </c>
      <c r="D1561" s="2" t="str">
        <f>IFERROR(__xludf.DUMMYFUNCTION("""COMPUTED_VALUE"""),"Aurora Harbor Press")</f>
        <v>Aurora Harbor Press</v>
      </c>
      <c r="E1561" s="2">
        <f>IFERROR(__xludf.DUMMYFUNCTION("""COMPUTED_VALUE"""),1.93)</f>
        <v>1.93</v>
      </c>
      <c r="F1561" s="2"/>
      <c r="G1561" s="2"/>
      <c r="H1561" s="2"/>
      <c r="I1561" s="2"/>
    </row>
    <row r="1562">
      <c r="A1562" s="2">
        <f>IFERROR(__xludf.DUMMYFUNCTION("""COMPUTED_VALUE"""),128218.0)</f>
        <v>128218</v>
      </c>
      <c r="B1562" s="2" t="str">
        <f>IFERROR(__xludf.DUMMYFUNCTION("""COMPUTED_VALUE"""),"Arts")</f>
        <v>Arts</v>
      </c>
      <c r="C1562" s="2" t="str">
        <f>IFERROR(__xludf.DUMMYFUNCTION("""COMPUTED_VALUE"""),"History of Science")</f>
        <v>History of Science</v>
      </c>
      <c r="D1562" s="2" t="str">
        <f>IFERROR(__xludf.DUMMYFUNCTION("""COMPUTED_VALUE"""),"Aurora Harbor Press")</f>
        <v>Aurora Harbor Press</v>
      </c>
      <c r="E1562" s="2">
        <f>IFERROR(__xludf.DUMMYFUNCTION("""COMPUTED_VALUE"""),2.17)</f>
        <v>2.17</v>
      </c>
      <c r="F1562" s="2"/>
      <c r="G1562" s="2"/>
      <c r="H1562" s="2"/>
      <c r="I1562" s="2"/>
    </row>
    <row r="1563">
      <c r="A1563" s="2">
        <f>IFERROR(__xludf.DUMMYFUNCTION("""COMPUTED_VALUE"""),80178.0)</f>
        <v>80178</v>
      </c>
      <c r="B1563" s="2" t="str">
        <f>IFERROR(__xludf.DUMMYFUNCTION("""COMPUTED_VALUE"""),"Arts")</f>
        <v>Arts</v>
      </c>
      <c r="C1563" s="2" t="str">
        <f>IFERROR(__xludf.DUMMYFUNCTION("""COMPUTED_VALUE"""),"History of Science")</f>
        <v>History of Science</v>
      </c>
      <c r="D1563" s="2" t="str">
        <f>IFERROR(__xludf.DUMMYFUNCTION("""COMPUTED_VALUE"""),"Aurora Harbor Press")</f>
        <v>Aurora Harbor Press</v>
      </c>
      <c r="E1563" s="2">
        <f>IFERROR(__xludf.DUMMYFUNCTION("""COMPUTED_VALUE"""),2.24)</f>
        <v>2.24</v>
      </c>
      <c r="F1563" s="2"/>
      <c r="G1563" s="2"/>
      <c r="H1563" s="2"/>
      <c r="I1563" s="2"/>
    </row>
    <row r="1564">
      <c r="A1564" s="2">
        <f>IFERROR(__xludf.DUMMYFUNCTION("""COMPUTED_VALUE"""),164932.0)</f>
        <v>164932</v>
      </c>
      <c r="B1564" s="2" t="str">
        <f>IFERROR(__xludf.DUMMYFUNCTION("""COMPUTED_VALUE"""),"Arts")</f>
        <v>Arts</v>
      </c>
      <c r="C1564" s="2" t="str">
        <f>IFERROR(__xludf.DUMMYFUNCTION("""COMPUTED_VALUE"""),"History of Science")</f>
        <v>History of Science</v>
      </c>
      <c r="D1564" s="2" t="str">
        <f>IFERROR(__xludf.DUMMYFUNCTION("""COMPUTED_VALUE"""),"Aurora Harbor Press")</f>
        <v>Aurora Harbor Press</v>
      </c>
      <c r="E1564" s="2">
        <f>IFERROR(__xludf.DUMMYFUNCTION("""COMPUTED_VALUE"""),1.3)</f>
        <v>1.3</v>
      </c>
      <c r="F1564" s="2"/>
      <c r="G1564" s="2"/>
      <c r="H1564" s="2"/>
      <c r="I1564" s="2"/>
    </row>
    <row r="1565">
      <c r="A1565" s="2">
        <f>IFERROR(__xludf.DUMMYFUNCTION("""COMPUTED_VALUE"""),22036.0)</f>
        <v>22036</v>
      </c>
      <c r="B1565" s="2" t="str">
        <f>IFERROR(__xludf.DUMMYFUNCTION("""COMPUTED_VALUE"""),"Arts")</f>
        <v>Arts</v>
      </c>
      <c r="C1565" s="2" t="str">
        <f>IFERROR(__xludf.DUMMYFUNCTION("""COMPUTED_VALUE"""),"History of Science")</f>
        <v>History of Science</v>
      </c>
      <c r="D1565" s="2" t="str">
        <f>IFERROR(__xludf.DUMMYFUNCTION("""COMPUTED_VALUE"""),"Aurora Harbor Press")</f>
        <v>Aurora Harbor Press</v>
      </c>
      <c r="E1565" s="2">
        <f>IFERROR(__xludf.DUMMYFUNCTION("""COMPUTED_VALUE"""),1.64)</f>
        <v>1.64</v>
      </c>
      <c r="F1565" s="2"/>
      <c r="G1565" s="2"/>
      <c r="H1565" s="2"/>
      <c r="I1565" s="2"/>
    </row>
    <row r="1566">
      <c r="A1566" s="2">
        <f>IFERROR(__xludf.DUMMYFUNCTION("""COMPUTED_VALUE"""),102585.0)</f>
        <v>102585</v>
      </c>
      <c r="B1566" s="2" t="str">
        <f>IFERROR(__xludf.DUMMYFUNCTION("""COMPUTED_VALUE"""),"Arts")</f>
        <v>Arts</v>
      </c>
      <c r="C1566" s="2" t="str">
        <f>IFERROR(__xludf.DUMMYFUNCTION("""COMPUTED_VALUE"""),"History of Science")</f>
        <v>History of Science</v>
      </c>
      <c r="D1566" s="2" t="str">
        <f>IFERROR(__xludf.DUMMYFUNCTION("""COMPUTED_VALUE"""),"Aurora Harbor Press")</f>
        <v>Aurora Harbor Press</v>
      </c>
      <c r="E1566" s="2">
        <f>IFERROR(__xludf.DUMMYFUNCTION("""COMPUTED_VALUE"""),2.19)</f>
        <v>2.19</v>
      </c>
      <c r="F1566" s="2"/>
      <c r="G1566" s="2"/>
      <c r="H1566" s="2"/>
      <c r="I1566" s="2"/>
    </row>
    <row r="1567">
      <c r="A1567" s="2">
        <f>IFERROR(__xludf.DUMMYFUNCTION("""COMPUTED_VALUE"""),78816.0)</f>
        <v>78816</v>
      </c>
      <c r="B1567" s="2" t="str">
        <f>IFERROR(__xludf.DUMMYFUNCTION("""COMPUTED_VALUE"""),"Arts")</f>
        <v>Arts</v>
      </c>
      <c r="C1567" s="2" t="str">
        <f>IFERROR(__xludf.DUMMYFUNCTION("""COMPUTED_VALUE"""),"History of Science")</f>
        <v>History of Science</v>
      </c>
      <c r="D1567" s="2" t="str">
        <f>IFERROR(__xludf.DUMMYFUNCTION("""COMPUTED_VALUE"""),"Aurora Harbor Press")</f>
        <v>Aurora Harbor Press</v>
      </c>
      <c r="E1567" s="2">
        <f>IFERROR(__xludf.DUMMYFUNCTION("""COMPUTED_VALUE"""),1.31)</f>
        <v>1.31</v>
      </c>
      <c r="F1567" s="2"/>
      <c r="G1567" s="2"/>
      <c r="H1567" s="2"/>
      <c r="I1567" s="2"/>
    </row>
    <row r="1568">
      <c r="A1568" s="2">
        <f>IFERROR(__xludf.DUMMYFUNCTION("""COMPUTED_VALUE"""),78822.0)</f>
        <v>78822</v>
      </c>
      <c r="B1568" s="2" t="str">
        <f>IFERROR(__xludf.DUMMYFUNCTION("""COMPUTED_VALUE"""),"Arts")</f>
        <v>Arts</v>
      </c>
      <c r="C1568" s="2" t="str">
        <f>IFERROR(__xludf.DUMMYFUNCTION("""COMPUTED_VALUE"""),"History of Science")</f>
        <v>History of Science</v>
      </c>
      <c r="D1568" s="2" t="str">
        <f>IFERROR(__xludf.DUMMYFUNCTION("""COMPUTED_VALUE"""),"Aurora Harbor Press")</f>
        <v>Aurora Harbor Press</v>
      </c>
      <c r="E1568" s="2">
        <f>IFERROR(__xludf.DUMMYFUNCTION("""COMPUTED_VALUE"""),1.34)</f>
        <v>1.34</v>
      </c>
      <c r="F1568" s="2"/>
      <c r="G1568" s="2"/>
      <c r="H1568" s="2"/>
      <c r="I1568" s="2"/>
    </row>
    <row r="1569">
      <c r="A1569" s="2">
        <f>IFERROR(__xludf.DUMMYFUNCTION("""COMPUTED_VALUE"""),83773.0)</f>
        <v>83773</v>
      </c>
      <c r="B1569" s="2" t="str">
        <f>IFERROR(__xludf.DUMMYFUNCTION("""COMPUTED_VALUE"""),"Arts")</f>
        <v>Arts</v>
      </c>
      <c r="C1569" s="2" t="str">
        <f>IFERROR(__xludf.DUMMYFUNCTION("""COMPUTED_VALUE"""),"History of Science")</f>
        <v>History of Science</v>
      </c>
      <c r="D1569" s="2" t="str">
        <f>IFERROR(__xludf.DUMMYFUNCTION("""COMPUTED_VALUE"""),"Aurora Harbor Press")</f>
        <v>Aurora Harbor Press</v>
      </c>
      <c r="E1569" s="2">
        <f>IFERROR(__xludf.DUMMYFUNCTION("""COMPUTED_VALUE"""),1.41)</f>
        <v>1.41</v>
      </c>
      <c r="F1569" s="2"/>
      <c r="G1569" s="2"/>
      <c r="H1569" s="2"/>
      <c r="I1569" s="2"/>
    </row>
    <row r="1570">
      <c r="A1570" s="2">
        <f>IFERROR(__xludf.DUMMYFUNCTION("""COMPUTED_VALUE"""),114720.0)</f>
        <v>114720</v>
      </c>
      <c r="B1570" s="2" t="str">
        <f>IFERROR(__xludf.DUMMYFUNCTION("""COMPUTED_VALUE"""),"Arts")</f>
        <v>Arts</v>
      </c>
      <c r="C1570" s="2" t="str">
        <f>IFERROR(__xludf.DUMMYFUNCTION("""COMPUTED_VALUE"""),"History of Science")</f>
        <v>History of Science</v>
      </c>
      <c r="D1570" s="2" t="str">
        <f>IFERROR(__xludf.DUMMYFUNCTION("""COMPUTED_VALUE"""),"Aurora Harbor Press")</f>
        <v>Aurora Harbor Press</v>
      </c>
      <c r="E1570" s="2">
        <f>IFERROR(__xludf.DUMMYFUNCTION("""COMPUTED_VALUE"""),2.53)</f>
        <v>2.53</v>
      </c>
      <c r="F1570" s="2"/>
      <c r="G1570" s="2"/>
      <c r="H1570" s="2"/>
      <c r="I1570" s="2"/>
    </row>
    <row r="1571">
      <c r="A1571" s="2">
        <f>IFERROR(__xludf.DUMMYFUNCTION("""COMPUTED_VALUE"""),83777.0)</f>
        <v>83777</v>
      </c>
      <c r="B1571" s="2" t="str">
        <f>IFERROR(__xludf.DUMMYFUNCTION("""COMPUTED_VALUE"""),"Arts")</f>
        <v>Arts</v>
      </c>
      <c r="C1571" s="2" t="str">
        <f>IFERROR(__xludf.DUMMYFUNCTION("""COMPUTED_VALUE"""),"History of Science")</f>
        <v>History of Science</v>
      </c>
      <c r="D1571" s="2" t="str">
        <f>IFERROR(__xludf.DUMMYFUNCTION("""COMPUTED_VALUE"""),"Aurora Harbor Press")</f>
        <v>Aurora Harbor Press</v>
      </c>
      <c r="E1571" s="2">
        <f>IFERROR(__xludf.DUMMYFUNCTION("""COMPUTED_VALUE"""),1.67)</f>
        <v>1.67</v>
      </c>
      <c r="F1571" s="2"/>
      <c r="G1571" s="2"/>
      <c r="H1571" s="2"/>
      <c r="I1571" s="2"/>
    </row>
    <row r="1572">
      <c r="A1572" s="2">
        <f>IFERROR(__xludf.DUMMYFUNCTION("""COMPUTED_VALUE"""),102593.0)</f>
        <v>102593</v>
      </c>
      <c r="B1572" s="2" t="str">
        <f>IFERROR(__xludf.DUMMYFUNCTION("""COMPUTED_VALUE"""),"Arts")</f>
        <v>Arts</v>
      </c>
      <c r="C1572" s="2" t="str">
        <f>IFERROR(__xludf.DUMMYFUNCTION("""COMPUTED_VALUE"""),"History of Science")</f>
        <v>History of Science</v>
      </c>
      <c r="D1572" s="2" t="str">
        <f>IFERROR(__xludf.DUMMYFUNCTION("""COMPUTED_VALUE"""),"Aurora Harbor Press")</f>
        <v>Aurora Harbor Press</v>
      </c>
      <c r="E1572" s="2">
        <f>IFERROR(__xludf.DUMMYFUNCTION("""COMPUTED_VALUE"""),1.62)</f>
        <v>1.62</v>
      </c>
      <c r="F1572" s="2"/>
      <c r="G1572" s="2"/>
      <c r="H1572" s="2"/>
      <c r="I1572" s="2"/>
    </row>
    <row r="1573">
      <c r="A1573" s="2">
        <f>IFERROR(__xludf.DUMMYFUNCTION("""COMPUTED_VALUE"""),164930.0)</f>
        <v>164930</v>
      </c>
      <c r="B1573" s="2" t="str">
        <f>IFERROR(__xludf.DUMMYFUNCTION("""COMPUTED_VALUE"""),"Arts")</f>
        <v>Arts</v>
      </c>
      <c r="C1573" s="2" t="str">
        <f>IFERROR(__xludf.DUMMYFUNCTION("""COMPUTED_VALUE"""),"History of Science")</f>
        <v>History of Science</v>
      </c>
      <c r="D1573" s="2" t="str">
        <f>IFERROR(__xludf.DUMMYFUNCTION("""COMPUTED_VALUE"""),"Aurora Harbor Press")</f>
        <v>Aurora Harbor Press</v>
      </c>
      <c r="E1573" s="2">
        <f>IFERROR(__xludf.DUMMYFUNCTION("""COMPUTED_VALUE"""),1.26)</f>
        <v>1.26</v>
      </c>
      <c r="F1573" s="2"/>
      <c r="G1573" s="2"/>
      <c r="H1573" s="2"/>
      <c r="I1573" s="2"/>
    </row>
    <row r="1574">
      <c r="A1574" s="2">
        <f>IFERROR(__xludf.DUMMYFUNCTION("""COMPUTED_VALUE"""),102584.0)</f>
        <v>102584</v>
      </c>
      <c r="B1574" s="2" t="str">
        <f>IFERROR(__xludf.DUMMYFUNCTION("""COMPUTED_VALUE"""),"Arts")</f>
        <v>Arts</v>
      </c>
      <c r="C1574" s="2" t="str">
        <f>IFERROR(__xludf.DUMMYFUNCTION("""COMPUTED_VALUE"""),"History of Science")</f>
        <v>History of Science</v>
      </c>
      <c r="D1574" s="2" t="str">
        <f>IFERROR(__xludf.DUMMYFUNCTION("""COMPUTED_VALUE"""),"Aurora Harbor Press")</f>
        <v>Aurora Harbor Press</v>
      </c>
      <c r="E1574" s="2">
        <f>IFERROR(__xludf.DUMMYFUNCTION("""COMPUTED_VALUE"""),2.29)</f>
        <v>2.29</v>
      </c>
      <c r="F1574" s="2"/>
      <c r="G1574" s="2"/>
      <c r="H1574" s="2"/>
      <c r="I1574" s="2"/>
    </row>
    <row r="1575">
      <c r="A1575" s="2">
        <f>IFERROR(__xludf.DUMMYFUNCTION("""COMPUTED_VALUE"""),102586.0)</f>
        <v>102586</v>
      </c>
      <c r="B1575" s="2" t="str">
        <f>IFERROR(__xludf.DUMMYFUNCTION("""COMPUTED_VALUE"""),"Arts")</f>
        <v>Arts</v>
      </c>
      <c r="C1575" s="2" t="str">
        <f>IFERROR(__xludf.DUMMYFUNCTION("""COMPUTED_VALUE"""),"History of Science")</f>
        <v>History of Science</v>
      </c>
      <c r="D1575" s="2" t="str">
        <f>IFERROR(__xludf.DUMMYFUNCTION("""COMPUTED_VALUE"""),"Aurora Harbor Press")</f>
        <v>Aurora Harbor Press</v>
      </c>
      <c r="E1575" s="2">
        <f>IFERROR(__xludf.DUMMYFUNCTION("""COMPUTED_VALUE"""),2.28)</f>
        <v>2.28</v>
      </c>
      <c r="F1575" s="2"/>
      <c r="G1575" s="2"/>
      <c r="H1575" s="2"/>
      <c r="I1575" s="2"/>
    </row>
    <row r="1576">
      <c r="A1576" s="2">
        <f>IFERROR(__xludf.DUMMYFUNCTION("""COMPUTED_VALUE"""),83758.0)</f>
        <v>83758</v>
      </c>
      <c r="B1576" s="2" t="str">
        <f>IFERROR(__xludf.DUMMYFUNCTION("""COMPUTED_VALUE"""),"Arts")</f>
        <v>Arts</v>
      </c>
      <c r="C1576" s="2" t="str">
        <f>IFERROR(__xludf.DUMMYFUNCTION("""COMPUTED_VALUE"""),"History of Science")</f>
        <v>History of Science</v>
      </c>
      <c r="D1576" s="2" t="str">
        <f>IFERROR(__xludf.DUMMYFUNCTION("""COMPUTED_VALUE"""),"Crystal Harbor Publishing")</f>
        <v>Crystal Harbor Publishing</v>
      </c>
      <c r="E1576" s="2">
        <f>IFERROR(__xludf.DUMMYFUNCTION("""COMPUTED_VALUE"""),2.46)</f>
        <v>2.46</v>
      </c>
      <c r="F1576" s="2"/>
      <c r="G1576" s="2"/>
      <c r="H1576" s="2"/>
      <c r="I1576" s="2"/>
    </row>
    <row r="1577">
      <c r="A1577" s="2">
        <f>IFERROR(__xludf.DUMMYFUNCTION("""COMPUTED_VALUE"""),80189.0)</f>
        <v>80189</v>
      </c>
      <c r="B1577" s="2" t="str">
        <f>IFERROR(__xludf.DUMMYFUNCTION("""COMPUTED_VALUE"""),"Arts")</f>
        <v>Arts</v>
      </c>
      <c r="C1577" s="2" t="str">
        <f>IFERROR(__xludf.DUMMYFUNCTION("""COMPUTED_VALUE"""),"History of Science")</f>
        <v>History of Science</v>
      </c>
      <c r="D1577" s="2" t="str">
        <f>IFERROR(__xludf.DUMMYFUNCTION("""COMPUTED_VALUE"""),"Crystal Harbor Publishing")</f>
        <v>Crystal Harbor Publishing</v>
      </c>
      <c r="E1577" s="2">
        <f>IFERROR(__xludf.DUMMYFUNCTION("""COMPUTED_VALUE"""),3.01)</f>
        <v>3.01</v>
      </c>
      <c r="F1577" s="2"/>
      <c r="G1577" s="2"/>
      <c r="H1577" s="2"/>
      <c r="I1577" s="2"/>
    </row>
    <row r="1578">
      <c r="A1578" s="2">
        <f>IFERROR(__xludf.DUMMYFUNCTION("""COMPUTED_VALUE"""),26148.0)</f>
        <v>26148</v>
      </c>
      <c r="B1578" s="2" t="str">
        <f>IFERROR(__xludf.DUMMYFUNCTION("""COMPUTED_VALUE"""),"Arts")</f>
        <v>Arts</v>
      </c>
      <c r="C1578" s="2" t="str">
        <f>IFERROR(__xludf.DUMMYFUNCTION("""COMPUTED_VALUE"""),"History of Science")</f>
        <v>History of Science</v>
      </c>
      <c r="D1578" s="2" t="str">
        <f>IFERROR(__xludf.DUMMYFUNCTION("""COMPUTED_VALUE"""),"Crystal Harbor Publishing")</f>
        <v>Crystal Harbor Publishing</v>
      </c>
      <c r="E1578" s="2">
        <f>IFERROR(__xludf.DUMMYFUNCTION("""COMPUTED_VALUE"""),2.89)</f>
        <v>2.89</v>
      </c>
      <c r="F1578" s="2"/>
      <c r="G1578" s="2"/>
      <c r="H1578" s="2"/>
      <c r="I1578" s="2"/>
    </row>
    <row r="1579">
      <c r="A1579" s="2">
        <f>IFERROR(__xludf.DUMMYFUNCTION("""COMPUTED_VALUE"""),121902.0)</f>
        <v>121902</v>
      </c>
      <c r="B1579" s="2" t="str">
        <f>IFERROR(__xludf.DUMMYFUNCTION("""COMPUTED_VALUE"""),"Arts")</f>
        <v>Arts</v>
      </c>
      <c r="C1579" s="2" t="str">
        <f>IFERROR(__xludf.DUMMYFUNCTION("""COMPUTED_VALUE"""),"History of Science")</f>
        <v>History of Science</v>
      </c>
      <c r="D1579" s="2" t="str">
        <f>IFERROR(__xludf.DUMMYFUNCTION("""COMPUTED_VALUE"""),"Crystal Harbor Publishing")</f>
        <v>Crystal Harbor Publishing</v>
      </c>
      <c r="E1579" s="2">
        <f>IFERROR(__xludf.DUMMYFUNCTION("""COMPUTED_VALUE"""),6.24)</f>
        <v>6.24</v>
      </c>
      <c r="F1579" s="2"/>
      <c r="G1579" s="2"/>
      <c r="H1579" s="2"/>
      <c r="I1579" s="2"/>
    </row>
    <row r="1580">
      <c r="A1580" s="2">
        <f>IFERROR(__xludf.DUMMYFUNCTION("""COMPUTED_VALUE"""),21032.0)</f>
        <v>21032</v>
      </c>
      <c r="B1580" s="2" t="str">
        <f>IFERROR(__xludf.DUMMYFUNCTION("""COMPUTED_VALUE"""),"Arts")</f>
        <v>Arts</v>
      </c>
      <c r="C1580" s="2" t="str">
        <f>IFERROR(__xludf.DUMMYFUNCTION("""COMPUTED_VALUE"""),"History of Science")</f>
        <v>History of Science</v>
      </c>
      <c r="D1580" s="2" t="str">
        <f>IFERROR(__xludf.DUMMYFUNCTION("""COMPUTED_VALUE"""),"Crystal Harbor Publishing")</f>
        <v>Crystal Harbor Publishing</v>
      </c>
      <c r="E1580" s="2">
        <f>IFERROR(__xludf.DUMMYFUNCTION("""COMPUTED_VALUE"""),4.89)</f>
        <v>4.89</v>
      </c>
      <c r="F1580" s="2"/>
      <c r="G1580" s="2"/>
      <c r="H1580" s="2"/>
      <c r="I1580" s="2"/>
    </row>
    <row r="1581">
      <c r="A1581" s="2">
        <f>IFERROR(__xludf.DUMMYFUNCTION("""COMPUTED_VALUE"""),22071.0)</f>
        <v>22071</v>
      </c>
      <c r="B1581" s="2" t="str">
        <f>IFERROR(__xludf.DUMMYFUNCTION("""COMPUTED_VALUE"""),"Arts")</f>
        <v>Arts</v>
      </c>
      <c r="C1581" s="2" t="str">
        <f>IFERROR(__xludf.DUMMYFUNCTION("""COMPUTED_VALUE"""),"History of Science")</f>
        <v>History of Science</v>
      </c>
      <c r="D1581" s="2" t="str">
        <f>IFERROR(__xludf.DUMMYFUNCTION("""COMPUTED_VALUE"""),"Crystal Harbor Publishing")</f>
        <v>Crystal Harbor Publishing</v>
      </c>
      <c r="E1581" s="2">
        <f>IFERROR(__xludf.DUMMYFUNCTION("""COMPUTED_VALUE"""),10.29)</f>
        <v>10.29</v>
      </c>
      <c r="F1581" s="2"/>
      <c r="G1581" s="2"/>
      <c r="H1581" s="2"/>
      <c r="I1581" s="2"/>
    </row>
    <row r="1582">
      <c r="A1582" s="2">
        <f>IFERROR(__xludf.DUMMYFUNCTION("""COMPUTED_VALUE"""),87404.0)</f>
        <v>87404</v>
      </c>
      <c r="B1582" s="2" t="str">
        <f>IFERROR(__xludf.DUMMYFUNCTION("""COMPUTED_VALUE"""),"Arts")</f>
        <v>Arts</v>
      </c>
      <c r="C1582" s="2" t="str">
        <f>IFERROR(__xludf.DUMMYFUNCTION("""COMPUTED_VALUE"""),"History of Science")</f>
        <v>History of Science</v>
      </c>
      <c r="D1582" s="2" t="str">
        <f>IFERROR(__xludf.DUMMYFUNCTION("""COMPUTED_VALUE"""),"Crystal Harbor Publishing")</f>
        <v>Crystal Harbor Publishing</v>
      </c>
      <c r="E1582" s="2">
        <f>IFERROR(__xludf.DUMMYFUNCTION("""COMPUTED_VALUE"""),2.61)</f>
        <v>2.61</v>
      </c>
      <c r="F1582" s="2"/>
      <c r="G1582" s="2"/>
      <c r="H1582" s="2"/>
      <c r="I1582" s="2"/>
    </row>
    <row r="1583">
      <c r="A1583" s="2">
        <f>IFERROR(__xludf.DUMMYFUNCTION("""COMPUTED_VALUE"""),42712.0)</f>
        <v>42712</v>
      </c>
      <c r="B1583" s="2" t="str">
        <f>IFERROR(__xludf.DUMMYFUNCTION("""COMPUTED_VALUE"""),"Arts")</f>
        <v>Arts</v>
      </c>
      <c r="C1583" s="2" t="str">
        <f>IFERROR(__xludf.DUMMYFUNCTION("""COMPUTED_VALUE"""),"History of Science")</f>
        <v>History of Science</v>
      </c>
      <c r="D1583" s="2" t="str">
        <f>IFERROR(__xludf.DUMMYFUNCTION("""COMPUTED_VALUE"""),"Crystal Harbor Publishing")</f>
        <v>Crystal Harbor Publishing</v>
      </c>
      <c r="E1583" s="2">
        <f>IFERROR(__xludf.DUMMYFUNCTION("""COMPUTED_VALUE"""),2.52)</f>
        <v>2.52</v>
      </c>
      <c r="F1583" s="2"/>
      <c r="G1583" s="2"/>
      <c r="H1583" s="2"/>
      <c r="I1583" s="2"/>
    </row>
    <row r="1584">
      <c r="A1584" s="2">
        <f>IFERROR(__xludf.DUMMYFUNCTION("""COMPUTED_VALUE"""),76609.0)</f>
        <v>76609</v>
      </c>
      <c r="B1584" s="2" t="str">
        <f>IFERROR(__xludf.DUMMYFUNCTION("""COMPUTED_VALUE"""),"Arts")</f>
        <v>Arts</v>
      </c>
      <c r="C1584" s="2" t="str">
        <f>IFERROR(__xludf.DUMMYFUNCTION("""COMPUTED_VALUE"""),"History of Science")</f>
        <v>History of Science</v>
      </c>
      <c r="D1584" s="2" t="str">
        <f>IFERROR(__xludf.DUMMYFUNCTION("""COMPUTED_VALUE"""),"Crystal Harbor Publishing")</f>
        <v>Crystal Harbor Publishing</v>
      </c>
      <c r="E1584" s="2">
        <f>IFERROR(__xludf.DUMMYFUNCTION("""COMPUTED_VALUE"""),2.3)</f>
        <v>2.3</v>
      </c>
      <c r="F1584" s="2"/>
      <c r="G1584" s="2"/>
      <c r="H1584" s="2"/>
      <c r="I1584" s="2"/>
    </row>
    <row r="1585">
      <c r="A1585" s="2">
        <f>IFERROR(__xludf.DUMMYFUNCTION("""COMPUTED_VALUE"""),952.0)</f>
        <v>952</v>
      </c>
      <c r="B1585" s="2" t="str">
        <f>IFERROR(__xludf.DUMMYFUNCTION("""COMPUTED_VALUE"""),"Arts")</f>
        <v>Arts</v>
      </c>
      <c r="C1585" s="2" t="str">
        <f>IFERROR(__xludf.DUMMYFUNCTION("""COMPUTED_VALUE"""),"History of Science")</f>
        <v>History of Science</v>
      </c>
      <c r="D1585" s="2" t="str">
        <f>IFERROR(__xludf.DUMMYFUNCTION("""COMPUTED_VALUE"""),"Crystal Harbor Publishing")</f>
        <v>Crystal Harbor Publishing</v>
      </c>
      <c r="E1585" s="2">
        <f>IFERROR(__xludf.DUMMYFUNCTION("""COMPUTED_VALUE"""),1.96)</f>
        <v>1.96</v>
      </c>
      <c r="F1585" s="2"/>
      <c r="G1585" s="2"/>
      <c r="H1585" s="2"/>
      <c r="I1585" s="2"/>
    </row>
    <row r="1586">
      <c r="A1586" s="2">
        <f>IFERROR(__xludf.DUMMYFUNCTION("""COMPUTED_VALUE"""),26136.0)</f>
        <v>26136</v>
      </c>
      <c r="B1586" s="2" t="str">
        <f>IFERROR(__xludf.DUMMYFUNCTION("""COMPUTED_VALUE"""),"Arts")</f>
        <v>Arts</v>
      </c>
      <c r="C1586" s="2" t="str">
        <f>IFERROR(__xludf.DUMMYFUNCTION("""COMPUTED_VALUE"""),"History of Science")</f>
        <v>History of Science</v>
      </c>
      <c r="D1586" s="2" t="str">
        <f>IFERROR(__xludf.DUMMYFUNCTION("""COMPUTED_VALUE"""),"Crystal Harbor Publishing")</f>
        <v>Crystal Harbor Publishing</v>
      </c>
      <c r="E1586" s="2">
        <f>IFERROR(__xludf.DUMMYFUNCTION("""COMPUTED_VALUE"""),2.21)</f>
        <v>2.21</v>
      </c>
      <c r="F1586" s="2"/>
      <c r="G1586" s="2"/>
      <c r="H1586" s="2"/>
      <c r="I1586" s="2"/>
    </row>
    <row r="1587">
      <c r="A1587" s="2">
        <f>IFERROR(__xludf.DUMMYFUNCTION("""COMPUTED_VALUE"""),87502.0)</f>
        <v>87502</v>
      </c>
      <c r="B1587" s="2" t="str">
        <f>IFERROR(__xludf.DUMMYFUNCTION("""COMPUTED_VALUE"""),"Arts")</f>
        <v>Arts</v>
      </c>
      <c r="C1587" s="2" t="str">
        <f>IFERROR(__xludf.DUMMYFUNCTION("""COMPUTED_VALUE"""),"History of Science")</f>
        <v>History of Science</v>
      </c>
      <c r="D1587" s="2" t="str">
        <f>IFERROR(__xludf.DUMMYFUNCTION("""COMPUTED_VALUE"""),"Crystal Harbor Publishing")</f>
        <v>Crystal Harbor Publishing</v>
      </c>
      <c r="E1587" s="2">
        <f>IFERROR(__xludf.DUMMYFUNCTION("""COMPUTED_VALUE"""),2.09)</f>
        <v>2.09</v>
      </c>
      <c r="F1587" s="2"/>
      <c r="G1587" s="2"/>
      <c r="H1587" s="2"/>
      <c r="I1587" s="2"/>
    </row>
    <row r="1588">
      <c r="A1588" s="2">
        <f>IFERROR(__xludf.DUMMYFUNCTION("""COMPUTED_VALUE"""),73923.0)</f>
        <v>73923</v>
      </c>
      <c r="B1588" s="2" t="str">
        <f>IFERROR(__xludf.DUMMYFUNCTION("""COMPUTED_VALUE"""),"Arts")</f>
        <v>Arts</v>
      </c>
      <c r="C1588" s="2" t="str">
        <f>IFERROR(__xludf.DUMMYFUNCTION("""COMPUTED_VALUE"""),"History of Science")</f>
        <v>History of Science</v>
      </c>
      <c r="D1588" s="2" t="str">
        <f>IFERROR(__xludf.DUMMYFUNCTION("""COMPUTED_VALUE"""),"Crystal Harbor Publishing")</f>
        <v>Crystal Harbor Publishing</v>
      </c>
      <c r="E1588" s="2">
        <f>IFERROR(__xludf.DUMMYFUNCTION("""COMPUTED_VALUE"""),2.14)</f>
        <v>2.14</v>
      </c>
      <c r="F1588" s="2"/>
      <c r="G1588" s="2"/>
      <c r="H1588" s="2"/>
      <c r="I1588" s="2"/>
    </row>
    <row r="1589">
      <c r="A1589" s="2">
        <f>IFERROR(__xludf.DUMMYFUNCTION("""COMPUTED_VALUE"""),164927.0)</f>
        <v>164927</v>
      </c>
      <c r="B1589" s="2" t="str">
        <f>IFERROR(__xludf.DUMMYFUNCTION("""COMPUTED_VALUE"""),"Arts")</f>
        <v>Arts</v>
      </c>
      <c r="C1589" s="2" t="str">
        <f>IFERROR(__xludf.DUMMYFUNCTION("""COMPUTED_VALUE"""),"History of Science")</f>
        <v>History of Science</v>
      </c>
      <c r="D1589" s="2" t="str">
        <f>IFERROR(__xludf.DUMMYFUNCTION("""COMPUTED_VALUE"""),"Crystal Harbor Publishing")</f>
        <v>Crystal Harbor Publishing</v>
      </c>
      <c r="E1589" s="2">
        <f>IFERROR(__xludf.DUMMYFUNCTION("""COMPUTED_VALUE"""),1.92)</f>
        <v>1.92</v>
      </c>
      <c r="F1589" s="2"/>
      <c r="G1589" s="2"/>
      <c r="H1589" s="2"/>
      <c r="I1589" s="2"/>
    </row>
    <row r="1590">
      <c r="A1590" s="2">
        <f>IFERROR(__xludf.DUMMYFUNCTION("""COMPUTED_VALUE"""),108749.0)</f>
        <v>108749</v>
      </c>
      <c r="B1590" s="2" t="str">
        <f>IFERROR(__xludf.DUMMYFUNCTION("""COMPUTED_VALUE"""),"Arts")</f>
        <v>Arts</v>
      </c>
      <c r="C1590" s="2" t="str">
        <f>IFERROR(__xludf.DUMMYFUNCTION("""COMPUTED_VALUE"""),"History of Science")</f>
        <v>History of Science</v>
      </c>
      <c r="D1590" s="2" t="str">
        <f>IFERROR(__xludf.DUMMYFUNCTION("""COMPUTED_VALUE"""),"Beacon Ridge Books")</f>
        <v>Beacon Ridge Books</v>
      </c>
      <c r="E1590" s="2">
        <f>IFERROR(__xludf.DUMMYFUNCTION("""COMPUTED_VALUE"""),2.53)</f>
        <v>2.53</v>
      </c>
      <c r="F1590" s="2"/>
      <c r="G1590" s="2"/>
      <c r="H1590" s="2"/>
      <c r="I1590" s="2"/>
    </row>
    <row r="1591">
      <c r="A1591" s="2">
        <f>IFERROR(__xludf.DUMMYFUNCTION("""COMPUTED_VALUE"""),89919.0)</f>
        <v>89919</v>
      </c>
      <c r="B1591" s="2" t="str">
        <f>IFERROR(__xludf.DUMMYFUNCTION("""COMPUTED_VALUE"""),"Arts")</f>
        <v>Arts</v>
      </c>
      <c r="C1591" s="2" t="str">
        <f>IFERROR(__xludf.DUMMYFUNCTION("""COMPUTED_VALUE"""),"History of Science")</f>
        <v>History of Science</v>
      </c>
      <c r="D1591" s="2" t="str">
        <f>IFERROR(__xludf.DUMMYFUNCTION("""COMPUTED_VALUE"""),"Beacon Ridge Books")</f>
        <v>Beacon Ridge Books</v>
      </c>
      <c r="E1591" s="2">
        <f>IFERROR(__xludf.DUMMYFUNCTION("""COMPUTED_VALUE"""),1.53)</f>
        <v>1.53</v>
      </c>
      <c r="F1591" s="2"/>
      <c r="G1591" s="2"/>
      <c r="H1591" s="2"/>
      <c r="I1591" s="2"/>
    </row>
    <row r="1592">
      <c r="A1592" s="2">
        <f>IFERROR(__xludf.DUMMYFUNCTION("""COMPUTED_VALUE"""),112897.0)</f>
        <v>112897</v>
      </c>
      <c r="B1592" s="2" t="str">
        <f>IFERROR(__xludf.DUMMYFUNCTION("""COMPUTED_VALUE"""),"Arts")</f>
        <v>Arts</v>
      </c>
      <c r="C1592" s="2" t="str">
        <f>IFERROR(__xludf.DUMMYFUNCTION("""COMPUTED_VALUE"""),"History of Science")</f>
        <v>History of Science</v>
      </c>
      <c r="D1592" s="2" t="str">
        <f>IFERROR(__xludf.DUMMYFUNCTION("""COMPUTED_VALUE"""),"Beacon Ridge Books")</f>
        <v>Beacon Ridge Books</v>
      </c>
      <c r="E1592" s="2">
        <f>IFERROR(__xludf.DUMMYFUNCTION("""COMPUTED_VALUE"""),4.6)</f>
        <v>4.6</v>
      </c>
      <c r="F1592" s="2"/>
      <c r="G1592" s="2"/>
      <c r="H1592" s="2"/>
      <c r="I1592" s="2"/>
    </row>
    <row r="1593">
      <c r="A1593" s="2">
        <f>IFERROR(__xludf.DUMMYFUNCTION("""COMPUTED_VALUE"""),122013.0)</f>
        <v>122013</v>
      </c>
      <c r="B1593" s="2" t="str">
        <f>IFERROR(__xludf.DUMMYFUNCTION("""COMPUTED_VALUE"""),"Arts")</f>
        <v>Arts</v>
      </c>
      <c r="C1593" s="2" t="str">
        <f>IFERROR(__xludf.DUMMYFUNCTION("""COMPUTED_VALUE"""),"History of Science")</f>
        <v>History of Science</v>
      </c>
      <c r="D1593" s="2" t="str">
        <f>IFERROR(__xludf.DUMMYFUNCTION("""COMPUTED_VALUE"""),"Beacon Ridge Books")</f>
        <v>Beacon Ridge Books</v>
      </c>
      <c r="E1593" s="2">
        <f>IFERROR(__xludf.DUMMYFUNCTION("""COMPUTED_VALUE"""),1.44)</f>
        <v>1.44</v>
      </c>
      <c r="F1593" s="2"/>
      <c r="G1593" s="2"/>
      <c r="H1593" s="2"/>
      <c r="I1593" s="2"/>
    </row>
    <row r="1594">
      <c r="A1594" s="2">
        <f>IFERROR(__xludf.DUMMYFUNCTION("""COMPUTED_VALUE"""),89902.0)</f>
        <v>89902</v>
      </c>
      <c r="B1594" s="2" t="str">
        <f>IFERROR(__xludf.DUMMYFUNCTION("""COMPUTED_VALUE"""),"Arts")</f>
        <v>Arts</v>
      </c>
      <c r="C1594" s="2" t="str">
        <f>IFERROR(__xludf.DUMMYFUNCTION("""COMPUTED_VALUE"""),"History of Science")</f>
        <v>History of Science</v>
      </c>
      <c r="D1594" s="2" t="str">
        <f>IFERROR(__xludf.DUMMYFUNCTION("""COMPUTED_VALUE"""),"Beacon Ridge Books")</f>
        <v>Beacon Ridge Books</v>
      </c>
      <c r="E1594" s="2">
        <f>IFERROR(__xludf.DUMMYFUNCTION("""COMPUTED_VALUE"""),1.68)</f>
        <v>1.68</v>
      </c>
      <c r="F1594" s="2"/>
      <c r="G1594" s="2"/>
      <c r="H1594" s="2"/>
      <c r="I1594" s="2"/>
    </row>
    <row r="1595">
      <c r="A1595" s="2">
        <f>IFERROR(__xludf.DUMMYFUNCTION("""COMPUTED_VALUE"""),89900.0)</f>
        <v>89900</v>
      </c>
      <c r="B1595" s="2" t="str">
        <f>IFERROR(__xludf.DUMMYFUNCTION("""COMPUTED_VALUE"""),"Arts")</f>
        <v>Arts</v>
      </c>
      <c r="C1595" s="2" t="str">
        <f>IFERROR(__xludf.DUMMYFUNCTION("""COMPUTED_VALUE"""),"History of Science")</f>
        <v>History of Science</v>
      </c>
      <c r="D1595" s="2" t="str">
        <f>IFERROR(__xludf.DUMMYFUNCTION("""COMPUTED_VALUE"""),"Beacon Ridge Books")</f>
        <v>Beacon Ridge Books</v>
      </c>
      <c r="E1595" s="2">
        <f>IFERROR(__xludf.DUMMYFUNCTION("""COMPUTED_VALUE"""),1.46)</f>
        <v>1.46</v>
      </c>
      <c r="F1595" s="2"/>
      <c r="G1595" s="2"/>
      <c r="H1595" s="2"/>
      <c r="I1595" s="2"/>
    </row>
    <row r="1596">
      <c r="A1596" s="2">
        <f>IFERROR(__xludf.DUMMYFUNCTION("""COMPUTED_VALUE"""),92461.0)</f>
        <v>92461</v>
      </c>
      <c r="B1596" s="2" t="str">
        <f>IFERROR(__xludf.DUMMYFUNCTION("""COMPUTED_VALUE"""),"Arts")</f>
        <v>Arts</v>
      </c>
      <c r="C1596" s="2" t="str">
        <f>IFERROR(__xludf.DUMMYFUNCTION("""COMPUTED_VALUE"""),"History of Science")</f>
        <v>History of Science</v>
      </c>
      <c r="D1596" s="2" t="str">
        <f>IFERROR(__xludf.DUMMYFUNCTION("""COMPUTED_VALUE"""),"Beacon Ridge Books")</f>
        <v>Beacon Ridge Books</v>
      </c>
      <c r="E1596" s="2">
        <f>IFERROR(__xludf.DUMMYFUNCTION("""COMPUTED_VALUE"""),0.92)</f>
        <v>0.92</v>
      </c>
      <c r="F1596" s="2"/>
      <c r="G1596" s="2"/>
      <c r="H1596" s="2"/>
      <c r="I1596" s="2"/>
    </row>
    <row r="1597">
      <c r="A1597" s="2">
        <f>IFERROR(__xludf.DUMMYFUNCTION("""COMPUTED_VALUE"""),128834.0)</f>
        <v>128834</v>
      </c>
      <c r="B1597" s="2" t="str">
        <f>IFERROR(__xludf.DUMMYFUNCTION("""COMPUTED_VALUE"""),"Fiction")</f>
        <v>Fiction</v>
      </c>
      <c r="C1597" s="2" t="str">
        <f>IFERROR(__xludf.DUMMYFUNCTION("""COMPUTED_VALUE"""),"History of Technology")</f>
        <v>History of Technology</v>
      </c>
      <c r="D1597" s="2" t="str">
        <f>IFERROR(__xludf.DUMMYFUNCTION("""COMPUTED_VALUE"""),"Atlas Harbor Press")</f>
        <v>Atlas Harbor Press</v>
      </c>
      <c r="E1597" s="2">
        <f>IFERROR(__xludf.DUMMYFUNCTION("""COMPUTED_VALUE"""),12.32)</f>
        <v>12.32</v>
      </c>
      <c r="F1597" s="2"/>
      <c r="G1597" s="2"/>
      <c r="H1597" s="2"/>
      <c r="I1597" s="2"/>
    </row>
    <row r="1598">
      <c r="A1598" s="2">
        <f>IFERROR(__xludf.DUMMYFUNCTION("""COMPUTED_VALUE"""),135180.0)</f>
        <v>135180</v>
      </c>
      <c r="B1598" s="2" t="str">
        <f>IFERROR(__xludf.DUMMYFUNCTION("""COMPUTED_VALUE"""),"Fiction")</f>
        <v>Fiction</v>
      </c>
      <c r="C1598" s="2" t="str">
        <f>IFERROR(__xludf.DUMMYFUNCTION("""COMPUTED_VALUE"""),"History of Technology")</f>
        <v>History of Technology</v>
      </c>
      <c r="D1598" s="2" t="str">
        <f>IFERROR(__xludf.DUMMYFUNCTION("""COMPUTED_VALUE"""),"Atlas Harbor Press")</f>
        <v>Atlas Harbor Press</v>
      </c>
      <c r="E1598" s="2">
        <f>IFERROR(__xludf.DUMMYFUNCTION("""COMPUTED_VALUE"""),12.6)</f>
        <v>12.6</v>
      </c>
      <c r="F1598" s="2"/>
      <c r="G1598" s="2"/>
      <c r="H1598" s="2"/>
      <c r="I1598" s="2"/>
    </row>
    <row r="1599">
      <c r="A1599" s="2">
        <f>IFERROR(__xludf.DUMMYFUNCTION("""COMPUTED_VALUE"""),120582.0)</f>
        <v>120582</v>
      </c>
      <c r="B1599" s="2" t="str">
        <f>IFERROR(__xludf.DUMMYFUNCTION("""COMPUTED_VALUE"""),"Fiction")</f>
        <v>Fiction</v>
      </c>
      <c r="C1599" s="2" t="str">
        <f>IFERROR(__xludf.DUMMYFUNCTION("""COMPUTED_VALUE"""),"History of Technology")</f>
        <v>History of Technology</v>
      </c>
      <c r="D1599" s="2" t="str">
        <f>IFERROR(__xludf.DUMMYFUNCTION("""COMPUTED_VALUE"""),"Atlas Harbor Press")</f>
        <v>Atlas Harbor Press</v>
      </c>
      <c r="E1599" s="2">
        <f>IFERROR(__xludf.DUMMYFUNCTION("""COMPUTED_VALUE"""),9.18)</f>
        <v>9.18</v>
      </c>
      <c r="F1599" s="2"/>
      <c r="G1599" s="2"/>
      <c r="H1599" s="2"/>
      <c r="I1599" s="2"/>
    </row>
    <row r="1600">
      <c r="A1600" s="2">
        <f>IFERROR(__xludf.DUMMYFUNCTION("""COMPUTED_VALUE"""),105794.0)</f>
        <v>105794</v>
      </c>
      <c r="B1600" s="2" t="str">
        <f>IFERROR(__xludf.DUMMYFUNCTION("""COMPUTED_VALUE"""),"Fiction")</f>
        <v>Fiction</v>
      </c>
      <c r="C1600" s="2" t="str">
        <f>IFERROR(__xludf.DUMMYFUNCTION("""COMPUTED_VALUE"""),"History of Technology")</f>
        <v>History of Technology</v>
      </c>
      <c r="D1600" s="2" t="str">
        <f>IFERROR(__xludf.DUMMYFUNCTION("""COMPUTED_VALUE"""),"Frontier Ridge Publishing")</f>
        <v>Frontier Ridge Publishing</v>
      </c>
      <c r="E1600" s="2">
        <f>IFERROR(__xludf.DUMMYFUNCTION("""COMPUTED_VALUE"""),5.52)</f>
        <v>5.52</v>
      </c>
      <c r="F1600" s="2"/>
      <c r="G1600" s="2"/>
      <c r="H1600" s="2"/>
      <c r="I1600" s="2"/>
    </row>
    <row r="1601">
      <c r="A1601" s="2">
        <f>IFERROR(__xludf.DUMMYFUNCTION("""COMPUTED_VALUE"""),81049.0)</f>
        <v>81049</v>
      </c>
      <c r="B1601" s="2" t="str">
        <f>IFERROR(__xludf.DUMMYFUNCTION("""COMPUTED_VALUE"""),"Fiction")</f>
        <v>Fiction</v>
      </c>
      <c r="C1601" s="2" t="str">
        <f>IFERROR(__xludf.DUMMYFUNCTION("""COMPUTED_VALUE"""),"History of Technology")</f>
        <v>History of Technology</v>
      </c>
      <c r="D1601" s="2" t="str">
        <f>IFERROR(__xludf.DUMMYFUNCTION("""COMPUTED_VALUE"""),"Frontier Ridge Publishing")</f>
        <v>Frontier Ridge Publishing</v>
      </c>
      <c r="E1601" s="2">
        <f>IFERROR(__xludf.DUMMYFUNCTION("""COMPUTED_VALUE"""),10.81)</f>
        <v>10.81</v>
      </c>
      <c r="F1601" s="2"/>
      <c r="G1601" s="2"/>
      <c r="H1601" s="2"/>
      <c r="I1601" s="2"/>
    </row>
    <row r="1602">
      <c r="A1602" s="2">
        <f>IFERROR(__xludf.DUMMYFUNCTION("""COMPUTED_VALUE"""),13364.0)</f>
        <v>13364</v>
      </c>
      <c r="B1602" s="2" t="str">
        <f>IFERROR(__xludf.DUMMYFUNCTION("""COMPUTED_VALUE"""),"Fiction")</f>
        <v>Fiction</v>
      </c>
      <c r="C1602" s="2" t="str">
        <f>IFERROR(__xludf.DUMMYFUNCTION("""COMPUTED_VALUE"""),"History of Technology")</f>
        <v>History of Technology</v>
      </c>
      <c r="D1602" s="2" t="str">
        <f>IFERROR(__xludf.DUMMYFUNCTION("""COMPUTED_VALUE"""),"Grand Harbor Books")</f>
        <v>Grand Harbor Books</v>
      </c>
      <c r="E1602" s="2">
        <f>IFERROR(__xludf.DUMMYFUNCTION("""COMPUTED_VALUE"""),2.13)</f>
        <v>2.13</v>
      </c>
      <c r="F1602" s="2"/>
      <c r="G1602" s="2"/>
      <c r="H1602" s="2"/>
      <c r="I1602" s="2"/>
    </row>
    <row r="1603">
      <c r="A1603" s="2">
        <f>IFERROR(__xludf.DUMMYFUNCTION("""COMPUTED_VALUE"""),13361.0)</f>
        <v>13361</v>
      </c>
      <c r="B1603" s="2" t="str">
        <f>IFERROR(__xludf.DUMMYFUNCTION("""COMPUTED_VALUE"""),"Fiction")</f>
        <v>Fiction</v>
      </c>
      <c r="C1603" s="2" t="str">
        <f>IFERROR(__xludf.DUMMYFUNCTION("""COMPUTED_VALUE"""),"History of Technology")</f>
        <v>History of Technology</v>
      </c>
      <c r="D1603" s="2" t="str">
        <f>IFERROR(__xludf.DUMMYFUNCTION("""COMPUTED_VALUE"""),"Grand Harbor Books")</f>
        <v>Grand Harbor Books</v>
      </c>
      <c r="E1603" s="2">
        <f>IFERROR(__xludf.DUMMYFUNCTION("""COMPUTED_VALUE"""),1.18)</f>
        <v>1.18</v>
      </c>
      <c r="F1603" s="2"/>
      <c r="G1603" s="2"/>
      <c r="H1603" s="2"/>
      <c r="I1603" s="2"/>
    </row>
    <row r="1604">
      <c r="A1604" s="2">
        <f>IFERROR(__xludf.DUMMYFUNCTION("""COMPUTED_VALUE"""),75659.0)</f>
        <v>75659</v>
      </c>
      <c r="B1604" s="2" t="str">
        <f>IFERROR(__xludf.DUMMYFUNCTION("""COMPUTED_VALUE"""),"Fiction")</f>
        <v>Fiction</v>
      </c>
      <c r="C1604" s="2" t="str">
        <f>IFERROR(__xludf.DUMMYFUNCTION("""COMPUTED_VALUE"""),"History of Technology")</f>
        <v>History of Technology</v>
      </c>
      <c r="D1604" s="2" t="str">
        <f>IFERROR(__xludf.DUMMYFUNCTION("""COMPUTED_VALUE"""),"Grand Harbor Books")</f>
        <v>Grand Harbor Books</v>
      </c>
      <c r="E1604" s="2">
        <f>IFERROR(__xludf.DUMMYFUNCTION("""COMPUTED_VALUE"""),2.09)</f>
        <v>2.09</v>
      </c>
      <c r="F1604" s="2"/>
      <c r="G1604" s="2"/>
      <c r="H1604" s="2"/>
      <c r="I1604" s="2"/>
    </row>
    <row r="1605">
      <c r="A1605" s="2">
        <f>IFERROR(__xludf.DUMMYFUNCTION("""COMPUTED_VALUE"""),75655.0)</f>
        <v>75655</v>
      </c>
      <c r="B1605" s="2" t="str">
        <f>IFERROR(__xludf.DUMMYFUNCTION("""COMPUTED_VALUE"""),"Fiction")</f>
        <v>Fiction</v>
      </c>
      <c r="C1605" s="2" t="str">
        <f>IFERROR(__xludf.DUMMYFUNCTION("""COMPUTED_VALUE"""),"History of Technology")</f>
        <v>History of Technology</v>
      </c>
      <c r="D1605" s="2" t="str">
        <f>IFERROR(__xludf.DUMMYFUNCTION("""COMPUTED_VALUE"""),"Grand Harbor Books")</f>
        <v>Grand Harbor Books</v>
      </c>
      <c r="E1605" s="2">
        <f>IFERROR(__xludf.DUMMYFUNCTION("""COMPUTED_VALUE"""),1.67)</f>
        <v>1.67</v>
      </c>
      <c r="F1605" s="2"/>
      <c r="G1605" s="2"/>
      <c r="H1605" s="2"/>
      <c r="I1605" s="2"/>
    </row>
    <row r="1606">
      <c r="A1606" s="2">
        <f>IFERROR(__xludf.DUMMYFUNCTION("""COMPUTED_VALUE"""),117866.0)</f>
        <v>117866</v>
      </c>
      <c r="B1606" s="2" t="str">
        <f>IFERROR(__xludf.DUMMYFUNCTION("""COMPUTED_VALUE"""),"Fiction")</f>
        <v>Fiction</v>
      </c>
      <c r="C1606" s="2" t="str">
        <f>IFERROR(__xludf.DUMMYFUNCTION("""COMPUTED_VALUE"""),"History of Technology")</f>
        <v>History of Technology</v>
      </c>
      <c r="D1606" s="2" t="str">
        <f>IFERROR(__xludf.DUMMYFUNCTION("""COMPUTED_VALUE"""),"Grand Harbor Books")</f>
        <v>Grand Harbor Books</v>
      </c>
      <c r="E1606" s="2">
        <f>IFERROR(__xludf.DUMMYFUNCTION("""COMPUTED_VALUE"""),14.99)</f>
        <v>14.99</v>
      </c>
      <c r="F1606" s="2"/>
      <c r="G1606" s="2"/>
      <c r="H1606" s="2"/>
      <c r="I1606" s="2"/>
    </row>
    <row r="1607">
      <c r="A1607" s="2">
        <f>IFERROR(__xludf.DUMMYFUNCTION("""COMPUTED_VALUE"""),90556.0)</f>
        <v>90556</v>
      </c>
      <c r="B1607" s="2" t="str">
        <f>IFERROR(__xludf.DUMMYFUNCTION("""COMPUTED_VALUE"""),"Fiction")</f>
        <v>Fiction</v>
      </c>
      <c r="C1607" s="2" t="str">
        <f>IFERROR(__xludf.DUMMYFUNCTION("""COMPUTED_VALUE"""),"History of Technology")</f>
        <v>History of Technology</v>
      </c>
      <c r="D1607" s="2" t="str">
        <f>IFERROR(__xludf.DUMMYFUNCTION("""COMPUTED_VALUE"""),"Grand Harbor Books")</f>
        <v>Grand Harbor Books</v>
      </c>
      <c r="E1607" s="2">
        <f>IFERROR(__xludf.DUMMYFUNCTION("""COMPUTED_VALUE"""),4.33)</f>
        <v>4.33</v>
      </c>
      <c r="F1607" s="2"/>
      <c r="G1607" s="2"/>
      <c r="H1607" s="2"/>
      <c r="I1607" s="2"/>
    </row>
    <row r="1608">
      <c r="A1608" s="2">
        <f>IFERROR(__xludf.DUMMYFUNCTION("""COMPUTED_VALUE"""),68605.0)</f>
        <v>68605</v>
      </c>
      <c r="B1608" s="2" t="str">
        <f>IFERROR(__xludf.DUMMYFUNCTION("""COMPUTED_VALUE"""),"Fiction")</f>
        <v>Fiction</v>
      </c>
      <c r="C1608" s="2" t="str">
        <f>IFERROR(__xludf.DUMMYFUNCTION("""COMPUTED_VALUE"""),"History of Technology")</f>
        <v>History of Technology</v>
      </c>
      <c r="D1608" s="2" t="str">
        <f>IFERROR(__xludf.DUMMYFUNCTION("""COMPUTED_VALUE"""),"Grand Harbor Books")</f>
        <v>Grand Harbor Books</v>
      </c>
      <c r="E1608" s="2">
        <f>IFERROR(__xludf.DUMMYFUNCTION("""COMPUTED_VALUE"""),3.18)</f>
        <v>3.18</v>
      </c>
      <c r="F1608" s="2"/>
      <c r="G1608" s="2"/>
      <c r="H1608" s="2"/>
      <c r="I1608" s="2"/>
    </row>
    <row r="1609">
      <c r="A1609" s="2">
        <f>IFERROR(__xludf.DUMMYFUNCTION("""COMPUTED_VALUE"""),103829.0)</f>
        <v>103829</v>
      </c>
      <c r="B1609" s="2" t="str">
        <f>IFERROR(__xludf.DUMMYFUNCTION("""COMPUTED_VALUE"""),"Fiction")</f>
        <v>Fiction</v>
      </c>
      <c r="C1609" s="2" t="str">
        <f>IFERROR(__xludf.DUMMYFUNCTION("""COMPUTED_VALUE"""),"History of Technology")</f>
        <v>History of Technology</v>
      </c>
      <c r="D1609" s="2" t="str">
        <f>IFERROR(__xludf.DUMMYFUNCTION("""COMPUTED_VALUE"""),"Grand Harbor Books")</f>
        <v>Grand Harbor Books</v>
      </c>
      <c r="E1609" s="2">
        <f>IFERROR(__xludf.DUMMYFUNCTION("""COMPUTED_VALUE"""),10.11)</f>
        <v>10.11</v>
      </c>
      <c r="F1609" s="2"/>
      <c r="G1609" s="2"/>
      <c r="H1609" s="2"/>
      <c r="I1609" s="2"/>
    </row>
    <row r="1610">
      <c r="A1610" s="2">
        <f>IFERROR(__xludf.DUMMYFUNCTION("""COMPUTED_VALUE"""),90558.0)</f>
        <v>90558</v>
      </c>
      <c r="B1610" s="2" t="str">
        <f>IFERROR(__xludf.DUMMYFUNCTION("""COMPUTED_VALUE"""),"Fiction")</f>
        <v>Fiction</v>
      </c>
      <c r="C1610" s="2" t="str">
        <f>IFERROR(__xludf.DUMMYFUNCTION("""COMPUTED_VALUE"""),"History of Technology")</f>
        <v>History of Technology</v>
      </c>
      <c r="D1610" s="2" t="str">
        <f>IFERROR(__xludf.DUMMYFUNCTION("""COMPUTED_VALUE"""),"Grand Harbor Books")</f>
        <v>Grand Harbor Books</v>
      </c>
      <c r="E1610" s="2">
        <f>IFERROR(__xludf.DUMMYFUNCTION("""COMPUTED_VALUE"""),5.64)</f>
        <v>5.64</v>
      </c>
      <c r="F1610" s="2"/>
      <c r="G1610" s="2"/>
      <c r="H1610" s="2"/>
      <c r="I1610" s="2"/>
    </row>
    <row r="1611">
      <c r="A1611" s="2">
        <f>IFERROR(__xludf.DUMMYFUNCTION("""COMPUTED_VALUE"""),120490.0)</f>
        <v>120490</v>
      </c>
      <c r="B1611" s="2" t="str">
        <f>IFERROR(__xludf.DUMMYFUNCTION("""COMPUTED_VALUE"""),"Fiction")</f>
        <v>Fiction</v>
      </c>
      <c r="C1611" s="2" t="str">
        <f>IFERROR(__xludf.DUMMYFUNCTION("""COMPUTED_VALUE"""),"History of Technology")</f>
        <v>History of Technology</v>
      </c>
      <c r="D1611" s="2" t="str">
        <f>IFERROR(__xludf.DUMMYFUNCTION("""COMPUTED_VALUE"""),"Grand Harbor Books")</f>
        <v>Grand Harbor Books</v>
      </c>
      <c r="E1611" s="2">
        <f>IFERROR(__xludf.DUMMYFUNCTION("""COMPUTED_VALUE"""),2.88)</f>
        <v>2.88</v>
      </c>
      <c r="F1611" s="2"/>
      <c r="G1611" s="2"/>
      <c r="H1611" s="2"/>
      <c r="I1611" s="2"/>
    </row>
    <row r="1612">
      <c r="A1612" s="2">
        <f>IFERROR(__xludf.DUMMYFUNCTION("""COMPUTED_VALUE"""),75662.0)</f>
        <v>75662</v>
      </c>
      <c r="B1612" s="2" t="str">
        <f>IFERROR(__xludf.DUMMYFUNCTION("""COMPUTED_VALUE"""),"Fiction")</f>
        <v>Fiction</v>
      </c>
      <c r="C1612" s="2" t="str">
        <f>IFERROR(__xludf.DUMMYFUNCTION("""COMPUTED_VALUE"""),"History of Technology")</f>
        <v>History of Technology</v>
      </c>
      <c r="D1612" s="2" t="str">
        <f>IFERROR(__xludf.DUMMYFUNCTION("""COMPUTED_VALUE"""),"Grand Harbor Books")</f>
        <v>Grand Harbor Books</v>
      </c>
      <c r="E1612" s="2">
        <f>IFERROR(__xludf.DUMMYFUNCTION("""COMPUTED_VALUE"""),3.62)</f>
        <v>3.62</v>
      </c>
      <c r="F1612" s="2"/>
      <c r="G1612" s="2"/>
      <c r="H1612" s="2"/>
      <c r="I1612" s="2"/>
    </row>
    <row r="1613">
      <c r="A1613" s="2">
        <f>IFERROR(__xludf.DUMMYFUNCTION("""COMPUTED_VALUE"""),121298.0)</f>
        <v>121298</v>
      </c>
      <c r="B1613" s="2" t="str">
        <f>IFERROR(__xludf.DUMMYFUNCTION("""COMPUTED_VALUE"""),"Fiction")</f>
        <v>Fiction</v>
      </c>
      <c r="C1613" s="2" t="str">
        <f>IFERROR(__xludf.DUMMYFUNCTION("""COMPUTED_VALUE"""),"History of Technology")</f>
        <v>History of Technology</v>
      </c>
      <c r="D1613" s="2" t="str">
        <f>IFERROR(__xludf.DUMMYFUNCTION("""COMPUTED_VALUE"""),"Grand Harbor Books")</f>
        <v>Grand Harbor Books</v>
      </c>
      <c r="E1613" s="2">
        <f>IFERROR(__xludf.DUMMYFUNCTION("""COMPUTED_VALUE"""),15.13)</f>
        <v>15.13</v>
      </c>
      <c r="F1613" s="2"/>
      <c r="G1613" s="2"/>
      <c r="H1613" s="2"/>
      <c r="I1613" s="2"/>
    </row>
    <row r="1614">
      <c r="A1614" s="2">
        <f>IFERROR(__xludf.DUMMYFUNCTION("""COMPUTED_VALUE"""),13363.0)</f>
        <v>13363</v>
      </c>
      <c r="B1614" s="2" t="str">
        <f>IFERROR(__xludf.DUMMYFUNCTION("""COMPUTED_VALUE"""),"Fiction")</f>
        <v>Fiction</v>
      </c>
      <c r="C1614" s="2" t="str">
        <f>IFERROR(__xludf.DUMMYFUNCTION("""COMPUTED_VALUE"""),"History of Technology")</f>
        <v>History of Technology</v>
      </c>
      <c r="D1614" s="2" t="str">
        <f>IFERROR(__xludf.DUMMYFUNCTION("""COMPUTED_VALUE"""),"Grand Harbor Books")</f>
        <v>Grand Harbor Books</v>
      </c>
      <c r="E1614" s="2">
        <f>IFERROR(__xludf.DUMMYFUNCTION("""COMPUTED_VALUE"""),1.45)</f>
        <v>1.45</v>
      </c>
      <c r="F1614" s="2"/>
      <c r="G1614" s="2"/>
      <c r="H1614" s="2"/>
      <c r="I1614" s="2"/>
    </row>
    <row r="1615">
      <c r="A1615" s="2">
        <f>IFERROR(__xludf.DUMMYFUNCTION("""COMPUTED_VALUE"""),117863.0)</f>
        <v>117863</v>
      </c>
      <c r="B1615" s="2" t="str">
        <f>IFERROR(__xludf.DUMMYFUNCTION("""COMPUTED_VALUE"""),"Fiction")</f>
        <v>Fiction</v>
      </c>
      <c r="C1615" s="2" t="str">
        <f>IFERROR(__xludf.DUMMYFUNCTION("""COMPUTED_VALUE"""),"History of Technology")</f>
        <v>History of Technology</v>
      </c>
      <c r="D1615" s="2" t="str">
        <f>IFERROR(__xludf.DUMMYFUNCTION("""COMPUTED_VALUE"""),"Grand Harbor Books")</f>
        <v>Grand Harbor Books</v>
      </c>
      <c r="E1615" s="2">
        <f>IFERROR(__xludf.DUMMYFUNCTION("""COMPUTED_VALUE"""),6.9)</f>
        <v>6.9</v>
      </c>
      <c r="F1615" s="2"/>
      <c r="G1615" s="2"/>
      <c r="H1615" s="2"/>
      <c r="I1615" s="2"/>
    </row>
    <row r="1616">
      <c r="A1616" s="2">
        <f>IFERROR(__xludf.DUMMYFUNCTION("""COMPUTED_VALUE"""),68607.0)</f>
        <v>68607</v>
      </c>
      <c r="B1616" s="2" t="str">
        <f>IFERROR(__xludf.DUMMYFUNCTION("""COMPUTED_VALUE"""),"Fiction")</f>
        <v>Fiction</v>
      </c>
      <c r="C1616" s="2" t="str">
        <f>IFERROR(__xludf.DUMMYFUNCTION("""COMPUTED_VALUE"""),"History of Technology")</f>
        <v>History of Technology</v>
      </c>
      <c r="D1616" s="2" t="str">
        <f>IFERROR(__xludf.DUMMYFUNCTION("""COMPUTED_VALUE"""),"Grand Harbor Books")</f>
        <v>Grand Harbor Books</v>
      </c>
      <c r="E1616" s="2">
        <f>IFERROR(__xludf.DUMMYFUNCTION("""COMPUTED_VALUE"""),2.45)</f>
        <v>2.45</v>
      </c>
      <c r="F1616" s="2"/>
      <c r="G1616" s="2"/>
      <c r="H1616" s="2"/>
      <c r="I1616" s="2"/>
    </row>
    <row r="1617">
      <c r="A1617" s="2">
        <f>IFERROR(__xludf.DUMMYFUNCTION("""COMPUTED_VALUE"""),122705.0)</f>
        <v>122705</v>
      </c>
      <c r="B1617" s="2" t="str">
        <f>IFERROR(__xludf.DUMMYFUNCTION("""COMPUTED_VALUE"""),"Fiction")</f>
        <v>Fiction</v>
      </c>
      <c r="C1617" s="2" t="str">
        <f>IFERROR(__xludf.DUMMYFUNCTION("""COMPUTED_VALUE"""),"History of Technology")</f>
        <v>History of Technology</v>
      </c>
      <c r="D1617" s="2" t="str">
        <f>IFERROR(__xludf.DUMMYFUNCTION("""COMPUTED_VALUE"""),"Silver Gate Press")</f>
        <v>Silver Gate Press</v>
      </c>
      <c r="E1617" s="2">
        <f>IFERROR(__xludf.DUMMYFUNCTION("""COMPUTED_VALUE"""),10.14)</f>
        <v>10.14</v>
      </c>
      <c r="F1617" s="2"/>
      <c r="G1617" s="2"/>
      <c r="H1617" s="2"/>
      <c r="I1617" s="2"/>
    </row>
    <row r="1618">
      <c r="A1618" s="2">
        <f>IFERROR(__xludf.DUMMYFUNCTION("""COMPUTED_VALUE"""),88195.0)</f>
        <v>88195</v>
      </c>
      <c r="B1618" s="2" t="str">
        <f>IFERROR(__xludf.DUMMYFUNCTION("""COMPUTED_VALUE"""),"Fiction")</f>
        <v>Fiction</v>
      </c>
      <c r="C1618" s="2" t="str">
        <f>IFERROR(__xludf.DUMMYFUNCTION("""COMPUTED_VALUE"""),"History of Technology")</f>
        <v>History of Technology</v>
      </c>
      <c r="D1618" s="2" t="str">
        <f>IFERROR(__xludf.DUMMYFUNCTION("""COMPUTED_VALUE"""),"Heritage Ridge Publishing")</f>
        <v>Heritage Ridge Publishing</v>
      </c>
      <c r="E1618" s="2">
        <f>IFERROR(__xludf.DUMMYFUNCTION("""COMPUTED_VALUE"""),1.7)</f>
        <v>1.7</v>
      </c>
      <c r="F1618" s="2"/>
      <c r="G1618" s="2"/>
      <c r="H1618" s="2"/>
      <c r="I1618" s="2"/>
    </row>
    <row r="1619">
      <c r="A1619" s="2">
        <f>IFERROR(__xludf.DUMMYFUNCTION("""COMPUTED_VALUE"""),45523.0)</f>
        <v>45523</v>
      </c>
      <c r="B1619" s="2" t="str">
        <f>IFERROR(__xludf.DUMMYFUNCTION("""COMPUTED_VALUE"""),"Fiction")</f>
        <v>Fiction</v>
      </c>
      <c r="C1619" s="2" t="str">
        <f>IFERROR(__xludf.DUMMYFUNCTION("""COMPUTED_VALUE"""),"History of Technology")</f>
        <v>History of Technology</v>
      </c>
      <c r="D1619" s="2" t="str">
        <f>IFERROR(__xludf.DUMMYFUNCTION("""COMPUTED_VALUE"""),"Heritage Ridge Publishing")</f>
        <v>Heritage Ridge Publishing</v>
      </c>
      <c r="E1619" s="2">
        <f>IFERROR(__xludf.DUMMYFUNCTION("""COMPUTED_VALUE"""),0.9)</f>
        <v>0.9</v>
      </c>
      <c r="F1619" s="2"/>
      <c r="G1619" s="2"/>
      <c r="H1619" s="2"/>
      <c r="I1619" s="2"/>
    </row>
    <row r="1620">
      <c r="A1620" s="2">
        <f>IFERROR(__xludf.DUMMYFUNCTION("""COMPUTED_VALUE"""),158449.0)</f>
        <v>158449</v>
      </c>
      <c r="B1620" s="2" t="str">
        <f>IFERROR(__xludf.DUMMYFUNCTION("""COMPUTED_VALUE"""),"Fiction")</f>
        <v>Fiction</v>
      </c>
      <c r="C1620" s="2" t="str">
        <f>IFERROR(__xludf.DUMMYFUNCTION("""COMPUTED_VALUE"""),"History of Technology")</f>
        <v>History of Technology</v>
      </c>
      <c r="D1620" s="2" t="str">
        <f>IFERROR(__xludf.DUMMYFUNCTION("""COMPUTED_VALUE"""),"Heritage Ridge Publishing")</f>
        <v>Heritage Ridge Publishing</v>
      </c>
      <c r="E1620" s="2">
        <f>IFERROR(__xludf.DUMMYFUNCTION("""COMPUTED_VALUE"""),1.72)</f>
        <v>1.72</v>
      </c>
      <c r="F1620" s="2"/>
      <c r="G1620" s="2"/>
      <c r="H1620" s="2"/>
      <c r="I1620" s="2"/>
    </row>
    <row r="1621">
      <c r="A1621" s="2">
        <f>IFERROR(__xludf.DUMMYFUNCTION("""COMPUTED_VALUE"""),45518.0)</f>
        <v>45518</v>
      </c>
      <c r="B1621" s="2" t="str">
        <f>IFERROR(__xludf.DUMMYFUNCTION("""COMPUTED_VALUE"""),"Fiction")</f>
        <v>Fiction</v>
      </c>
      <c r="C1621" s="2" t="str">
        <f>IFERROR(__xludf.DUMMYFUNCTION("""COMPUTED_VALUE"""),"History of Technology")</f>
        <v>History of Technology</v>
      </c>
      <c r="D1621" s="2" t="str">
        <f>IFERROR(__xludf.DUMMYFUNCTION("""COMPUTED_VALUE"""),"Heritage Ridge Publishing")</f>
        <v>Heritage Ridge Publishing</v>
      </c>
      <c r="E1621" s="2">
        <f>IFERROR(__xludf.DUMMYFUNCTION("""COMPUTED_VALUE"""),0.47)</f>
        <v>0.47</v>
      </c>
      <c r="F1621" s="2"/>
      <c r="G1621" s="2"/>
      <c r="H1621" s="2"/>
      <c r="I1621" s="2"/>
    </row>
    <row r="1622">
      <c r="A1622" s="2">
        <f>IFERROR(__xludf.DUMMYFUNCTION("""COMPUTED_VALUE"""),96288.0)</f>
        <v>96288</v>
      </c>
      <c r="B1622" s="2" t="str">
        <f>IFERROR(__xludf.DUMMYFUNCTION("""COMPUTED_VALUE"""),"Fiction")</f>
        <v>Fiction</v>
      </c>
      <c r="C1622" s="2" t="str">
        <f>IFERROR(__xludf.DUMMYFUNCTION("""COMPUTED_VALUE"""),"History of Technology")</f>
        <v>History of Technology</v>
      </c>
      <c r="D1622" s="2" t="str">
        <f>IFERROR(__xludf.DUMMYFUNCTION("""COMPUTED_VALUE"""),"Heritage Ridge Publishing")</f>
        <v>Heritage Ridge Publishing</v>
      </c>
      <c r="E1622" s="2">
        <f>IFERROR(__xludf.DUMMYFUNCTION("""COMPUTED_VALUE"""),5.69)</f>
        <v>5.69</v>
      </c>
      <c r="F1622" s="2"/>
      <c r="G1622" s="2"/>
      <c r="H1622" s="2"/>
      <c r="I1622" s="2"/>
    </row>
    <row r="1623">
      <c r="A1623" s="2">
        <f>IFERROR(__xludf.DUMMYFUNCTION("""COMPUTED_VALUE"""),76981.0)</f>
        <v>76981</v>
      </c>
      <c r="B1623" s="2" t="str">
        <f>IFERROR(__xludf.DUMMYFUNCTION("""COMPUTED_VALUE"""),"Fiction")</f>
        <v>Fiction</v>
      </c>
      <c r="C1623" s="2" t="str">
        <f>IFERROR(__xludf.DUMMYFUNCTION("""COMPUTED_VALUE"""),"History of Technology")</f>
        <v>History of Technology</v>
      </c>
      <c r="D1623" s="2" t="str">
        <f>IFERROR(__xludf.DUMMYFUNCTION("""COMPUTED_VALUE"""),"Heritage Ridge Publishing")</f>
        <v>Heritage Ridge Publishing</v>
      </c>
      <c r="E1623" s="2">
        <f>IFERROR(__xludf.DUMMYFUNCTION("""COMPUTED_VALUE"""),1.75)</f>
        <v>1.75</v>
      </c>
      <c r="F1623" s="2"/>
      <c r="G1623" s="2"/>
      <c r="H1623" s="2"/>
      <c r="I1623" s="2"/>
    </row>
    <row r="1624">
      <c r="A1624" s="2">
        <f>IFERROR(__xludf.DUMMYFUNCTION("""COMPUTED_VALUE"""),113827.0)</f>
        <v>113827</v>
      </c>
      <c r="B1624" s="2" t="str">
        <f>IFERROR(__xludf.DUMMYFUNCTION("""COMPUTED_VALUE"""),"Fiction")</f>
        <v>Fiction</v>
      </c>
      <c r="C1624" s="2" t="str">
        <f>IFERROR(__xludf.DUMMYFUNCTION("""COMPUTED_VALUE"""),"History of Technology")</f>
        <v>History of Technology</v>
      </c>
      <c r="D1624" s="2" t="str">
        <f>IFERROR(__xludf.DUMMYFUNCTION("""COMPUTED_VALUE"""),"Heritage Ridge Publishing")</f>
        <v>Heritage Ridge Publishing</v>
      </c>
      <c r="E1624" s="2">
        <f>IFERROR(__xludf.DUMMYFUNCTION("""COMPUTED_VALUE"""),1.81)</f>
        <v>1.81</v>
      </c>
      <c r="F1624" s="2"/>
      <c r="G1624" s="2"/>
      <c r="H1624" s="2"/>
      <c r="I1624" s="2"/>
    </row>
    <row r="1625">
      <c r="A1625" s="2">
        <f>IFERROR(__xludf.DUMMYFUNCTION("""COMPUTED_VALUE"""),76987.0)</f>
        <v>76987</v>
      </c>
      <c r="B1625" s="2" t="str">
        <f>IFERROR(__xludf.DUMMYFUNCTION("""COMPUTED_VALUE"""),"Fiction")</f>
        <v>Fiction</v>
      </c>
      <c r="C1625" s="2" t="str">
        <f>IFERROR(__xludf.DUMMYFUNCTION("""COMPUTED_VALUE"""),"History of Technology")</f>
        <v>History of Technology</v>
      </c>
      <c r="D1625" s="2" t="str">
        <f>IFERROR(__xludf.DUMMYFUNCTION("""COMPUTED_VALUE"""),"Heritage Ridge Publishing")</f>
        <v>Heritage Ridge Publishing</v>
      </c>
      <c r="E1625" s="2">
        <f>IFERROR(__xludf.DUMMYFUNCTION("""COMPUTED_VALUE"""),1.57)</f>
        <v>1.57</v>
      </c>
      <c r="F1625" s="2"/>
      <c r="G1625" s="2"/>
      <c r="H1625" s="2"/>
      <c r="I1625" s="2"/>
    </row>
    <row r="1626">
      <c r="A1626" s="2">
        <f>IFERROR(__xludf.DUMMYFUNCTION("""COMPUTED_VALUE"""),113824.0)</f>
        <v>113824</v>
      </c>
      <c r="B1626" s="2" t="str">
        <f>IFERROR(__xludf.DUMMYFUNCTION("""COMPUTED_VALUE"""),"Fiction")</f>
        <v>Fiction</v>
      </c>
      <c r="C1626" s="2" t="str">
        <f>IFERROR(__xludf.DUMMYFUNCTION("""COMPUTED_VALUE"""),"History of Technology")</f>
        <v>History of Technology</v>
      </c>
      <c r="D1626" s="2" t="str">
        <f>IFERROR(__xludf.DUMMYFUNCTION("""COMPUTED_VALUE"""),"Heritage Ridge Publishing")</f>
        <v>Heritage Ridge Publishing</v>
      </c>
      <c r="E1626" s="2">
        <f>IFERROR(__xludf.DUMMYFUNCTION("""COMPUTED_VALUE"""),4.2)</f>
        <v>4.2</v>
      </c>
      <c r="F1626" s="2"/>
      <c r="G1626" s="2"/>
      <c r="H1626" s="2"/>
      <c r="I1626" s="2"/>
    </row>
    <row r="1627">
      <c r="A1627" s="2">
        <f>IFERROR(__xludf.DUMMYFUNCTION("""COMPUTED_VALUE"""),113823.0)</f>
        <v>113823</v>
      </c>
      <c r="B1627" s="2" t="str">
        <f>IFERROR(__xludf.DUMMYFUNCTION("""COMPUTED_VALUE"""),"Fiction")</f>
        <v>Fiction</v>
      </c>
      <c r="C1627" s="2" t="str">
        <f>IFERROR(__xludf.DUMMYFUNCTION("""COMPUTED_VALUE"""),"History of Technology")</f>
        <v>History of Technology</v>
      </c>
      <c r="D1627" s="2" t="str">
        <f>IFERROR(__xludf.DUMMYFUNCTION("""COMPUTED_VALUE"""),"Heritage Ridge Publishing")</f>
        <v>Heritage Ridge Publishing</v>
      </c>
      <c r="E1627" s="2">
        <f>IFERROR(__xludf.DUMMYFUNCTION("""COMPUTED_VALUE"""),6.22)</f>
        <v>6.22</v>
      </c>
      <c r="F1627" s="2"/>
      <c r="G1627" s="2"/>
      <c r="H1627" s="2"/>
      <c r="I1627" s="2"/>
    </row>
    <row r="1628">
      <c r="A1628" s="2">
        <f>IFERROR(__xludf.DUMMYFUNCTION("""COMPUTED_VALUE"""),156053.0)</f>
        <v>156053</v>
      </c>
      <c r="B1628" s="2" t="str">
        <f>IFERROR(__xludf.DUMMYFUNCTION("""COMPUTED_VALUE"""),"Fiction")</f>
        <v>Fiction</v>
      </c>
      <c r="C1628" s="2" t="str">
        <f>IFERROR(__xludf.DUMMYFUNCTION("""COMPUTED_VALUE"""),"History of Technology")</f>
        <v>History of Technology</v>
      </c>
      <c r="D1628" s="2" t="str">
        <f>IFERROR(__xludf.DUMMYFUNCTION("""COMPUTED_VALUE"""),"Heritage Ridge Publishing")</f>
        <v>Heritage Ridge Publishing</v>
      </c>
      <c r="E1628" s="2">
        <f>IFERROR(__xludf.DUMMYFUNCTION("""COMPUTED_VALUE"""),2.91)</f>
        <v>2.91</v>
      </c>
      <c r="F1628" s="2"/>
      <c r="G1628" s="2"/>
      <c r="H1628" s="2"/>
      <c r="I1628" s="2"/>
    </row>
    <row r="1629">
      <c r="A1629" s="2">
        <f>IFERROR(__xludf.DUMMYFUNCTION("""COMPUTED_VALUE"""),45522.0)</f>
        <v>45522</v>
      </c>
      <c r="B1629" s="2" t="str">
        <f>IFERROR(__xludf.DUMMYFUNCTION("""COMPUTED_VALUE"""),"Fiction")</f>
        <v>Fiction</v>
      </c>
      <c r="C1629" s="2" t="str">
        <f>IFERROR(__xludf.DUMMYFUNCTION("""COMPUTED_VALUE"""),"History of Technology")</f>
        <v>History of Technology</v>
      </c>
      <c r="D1629" s="2" t="str">
        <f>IFERROR(__xludf.DUMMYFUNCTION("""COMPUTED_VALUE"""),"Heritage Ridge Publishing")</f>
        <v>Heritage Ridge Publishing</v>
      </c>
      <c r="E1629" s="2">
        <f>IFERROR(__xludf.DUMMYFUNCTION("""COMPUTED_VALUE"""),1.07)</f>
        <v>1.07</v>
      </c>
      <c r="F1629" s="2"/>
      <c r="G1629" s="2"/>
      <c r="H1629" s="2"/>
      <c r="I1629" s="2"/>
    </row>
    <row r="1630">
      <c r="A1630" s="2">
        <f>IFERROR(__xludf.DUMMYFUNCTION("""COMPUTED_VALUE"""),99176.0)</f>
        <v>99176</v>
      </c>
      <c r="B1630" s="2" t="str">
        <f>IFERROR(__xludf.DUMMYFUNCTION("""COMPUTED_VALUE"""),"Fiction")</f>
        <v>Fiction</v>
      </c>
      <c r="C1630" s="2" t="str">
        <f>IFERROR(__xludf.DUMMYFUNCTION("""COMPUTED_VALUE"""),"History of Technology")</f>
        <v>History of Technology</v>
      </c>
      <c r="D1630" s="2" t="str">
        <f>IFERROR(__xludf.DUMMYFUNCTION("""COMPUTED_VALUE"""),"Rivergate Publishing")</f>
        <v>Rivergate Publishing</v>
      </c>
      <c r="E1630" s="2">
        <f>IFERROR(__xludf.DUMMYFUNCTION("""COMPUTED_VALUE"""),1.59)</f>
        <v>1.59</v>
      </c>
      <c r="F1630" s="2"/>
      <c r="G1630" s="2"/>
      <c r="H1630" s="2"/>
      <c r="I1630" s="2"/>
    </row>
    <row r="1631">
      <c r="A1631" s="2">
        <f>IFERROR(__xludf.DUMMYFUNCTION("""COMPUTED_VALUE"""),49219.0)</f>
        <v>49219</v>
      </c>
      <c r="B1631" s="2" t="str">
        <f>IFERROR(__xludf.DUMMYFUNCTION("""COMPUTED_VALUE"""),"Fiction")</f>
        <v>Fiction</v>
      </c>
      <c r="C1631" s="2" t="str">
        <f>IFERROR(__xludf.DUMMYFUNCTION("""COMPUTED_VALUE"""),"History of Technology")</f>
        <v>History of Technology</v>
      </c>
      <c r="D1631" s="2" t="str">
        <f>IFERROR(__xludf.DUMMYFUNCTION("""COMPUTED_VALUE"""),"Rivergate Publishing")</f>
        <v>Rivergate Publishing</v>
      </c>
      <c r="E1631" s="2">
        <f>IFERROR(__xludf.DUMMYFUNCTION("""COMPUTED_VALUE"""),8.78)</f>
        <v>8.78</v>
      </c>
      <c r="F1631" s="2"/>
      <c r="G1631" s="2"/>
      <c r="H1631" s="2"/>
      <c r="I1631" s="2"/>
    </row>
    <row r="1632">
      <c r="A1632" s="2">
        <f>IFERROR(__xludf.DUMMYFUNCTION("""COMPUTED_VALUE"""),102370.0)</f>
        <v>102370</v>
      </c>
      <c r="B1632" s="2" t="str">
        <f>IFERROR(__xludf.DUMMYFUNCTION("""COMPUTED_VALUE"""),"Fiction")</f>
        <v>Fiction</v>
      </c>
      <c r="C1632" s="2" t="str">
        <f>IFERROR(__xludf.DUMMYFUNCTION("""COMPUTED_VALUE"""),"History of Technology")</f>
        <v>History of Technology</v>
      </c>
      <c r="D1632" s="2" t="str">
        <f>IFERROR(__xludf.DUMMYFUNCTION("""COMPUTED_VALUE"""),"Rivergate Publishing")</f>
        <v>Rivergate Publishing</v>
      </c>
      <c r="E1632" s="2">
        <f>IFERROR(__xludf.DUMMYFUNCTION("""COMPUTED_VALUE"""),4.58)</f>
        <v>4.58</v>
      </c>
      <c r="F1632" s="2"/>
      <c r="G1632" s="2"/>
      <c r="H1632" s="2"/>
      <c r="I1632" s="2"/>
    </row>
    <row r="1633">
      <c r="A1633" s="2">
        <f>IFERROR(__xludf.DUMMYFUNCTION("""COMPUTED_VALUE"""),49222.0)</f>
        <v>49222</v>
      </c>
      <c r="B1633" s="2" t="str">
        <f>IFERROR(__xludf.DUMMYFUNCTION("""COMPUTED_VALUE"""),"Fiction")</f>
        <v>Fiction</v>
      </c>
      <c r="C1633" s="2" t="str">
        <f>IFERROR(__xludf.DUMMYFUNCTION("""COMPUTED_VALUE"""),"History of Technology")</f>
        <v>History of Technology</v>
      </c>
      <c r="D1633" s="2" t="str">
        <f>IFERROR(__xludf.DUMMYFUNCTION("""COMPUTED_VALUE"""),"Rivergate Publishing")</f>
        <v>Rivergate Publishing</v>
      </c>
      <c r="E1633" s="2">
        <f>IFERROR(__xludf.DUMMYFUNCTION("""COMPUTED_VALUE"""),11.35)</f>
        <v>11.35</v>
      </c>
      <c r="F1633" s="2"/>
      <c r="G1633" s="2"/>
      <c r="H1633" s="2"/>
      <c r="I1633" s="2"/>
    </row>
    <row r="1634">
      <c r="A1634" s="2">
        <f>IFERROR(__xludf.DUMMYFUNCTION("""COMPUTED_VALUE"""),102352.0)</f>
        <v>102352</v>
      </c>
      <c r="B1634" s="2" t="str">
        <f>IFERROR(__xludf.DUMMYFUNCTION("""COMPUTED_VALUE"""),"Fiction")</f>
        <v>Fiction</v>
      </c>
      <c r="C1634" s="2" t="str">
        <f>IFERROR(__xludf.DUMMYFUNCTION("""COMPUTED_VALUE"""),"History of Technology")</f>
        <v>History of Technology</v>
      </c>
      <c r="D1634" s="2" t="str">
        <f>IFERROR(__xludf.DUMMYFUNCTION("""COMPUTED_VALUE"""),"Rivergate Publishing")</f>
        <v>Rivergate Publishing</v>
      </c>
      <c r="E1634" s="2">
        <f>IFERROR(__xludf.DUMMYFUNCTION("""COMPUTED_VALUE"""),2.16)</f>
        <v>2.16</v>
      </c>
      <c r="F1634" s="2"/>
      <c r="G1634" s="2"/>
      <c r="H1634" s="2"/>
      <c r="I1634" s="2"/>
    </row>
    <row r="1635">
      <c r="A1635" s="2">
        <f>IFERROR(__xludf.DUMMYFUNCTION("""COMPUTED_VALUE"""),49233.0)</f>
        <v>49233</v>
      </c>
      <c r="B1635" s="2" t="str">
        <f>IFERROR(__xludf.DUMMYFUNCTION("""COMPUTED_VALUE"""),"Fiction")</f>
        <v>Fiction</v>
      </c>
      <c r="C1635" s="2" t="str">
        <f>IFERROR(__xludf.DUMMYFUNCTION("""COMPUTED_VALUE"""),"History of Technology")</f>
        <v>History of Technology</v>
      </c>
      <c r="D1635" s="2" t="str">
        <f>IFERROR(__xludf.DUMMYFUNCTION("""COMPUTED_VALUE"""),"Rivergate Publishing")</f>
        <v>Rivergate Publishing</v>
      </c>
      <c r="E1635" s="2">
        <f>IFERROR(__xludf.DUMMYFUNCTION("""COMPUTED_VALUE"""),12.32)</f>
        <v>12.32</v>
      </c>
      <c r="F1635" s="2"/>
      <c r="G1635" s="2"/>
      <c r="H1635" s="2"/>
      <c r="I1635" s="2"/>
    </row>
    <row r="1636">
      <c r="A1636" s="2">
        <f>IFERROR(__xludf.DUMMYFUNCTION("""COMPUTED_VALUE"""),99163.0)</f>
        <v>99163</v>
      </c>
      <c r="B1636" s="2" t="str">
        <f>IFERROR(__xludf.DUMMYFUNCTION("""COMPUTED_VALUE"""),"Fiction")</f>
        <v>Fiction</v>
      </c>
      <c r="C1636" s="2" t="str">
        <f>IFERROR(__xludf.DUMMYFUNCTION("""COMPUTED_VALUE"""),"History of Technology")</f>
        <v>History of Technology</v>
      </c>
      <c r="D1636" s="2" t="str">
        <f>IFERROR(__xludf.DUMMYFUNCTION("""COMPUTED_VALUE"""),"Rivergate Publishing")</f>
        <v>Rivergate Publishing</v>
      </c>
      <c r="E1636" s="2">
        <f>IFERROR(__xludf.DUMMYFUNCTION("""COMPUTED_VALUE"""),4.81)</f>
        <v>4.81</v>
      </c>
      <c r="F1636" s="2"/>
      <c r="G1636" s="2"/>
      <c r="H1636" s="2"/>
      <c r="I1636" s="2"/>
    </row>
    <row r="1637">
      <c r="A1637" s="2">
        <f>IFERROR(__xludf.DUMMYFUNCTION("""COMPUTED_VALUE"""),142785.0)</f>
        <v>142785</v>
      </c>
      <c r="B1637" s="2" t="str">
        <f>IFERROR(__xludf.DUMMYFUNCTION("""COMPUTED_VALUE"""),"Fiction")</f>
        <v>Fiction</v>
      </c>
      <c r="C1637" s="2" t="str">
        <f>IFERROR(__xludf.DUMMYFUNCTION("""COMPUTED_VALUE"""),"History of Technology")</f>
        <v>History of Technology</v>
      </c>
      <c r="D1637" s="2" t="str">
        <f>IFERROR(__xludf.DUMMYFUNCTION("""COMPUTED_VALUE"""),"Rivergate Publishing")</f>
        <v>Rivergate Publishing</v>
      </c>
      <c r="E1637" s="2">
        <f>IFERROR(__xludf.DUMMYFUNCTION("""COMPUTED_VALUE"""),0.97)</f>
        <v>0.97</v>
      </c>
      <c r="F1637" s="2"/>
      <c r="G1637" s="2"/>
      <c r="H1637" s="2"/>
      <c r="I1637" s="2"/>
    </row>
    <row r="1638">
      <c r="A1638" s="2">
        <f>IFERROR(__xludf.DUMMYFUNCTION("""COMPUTED_VALUE"""),113054.0)</f>
        <v>113054</v>
      </c>
      <c r="B1638" s="2" t="str">
        <f>IFERROR(__xludf.DUMMYFUNCTION("""COMPUTED_VALUE"""),"Fiction")</f>
        <v>Fiction</v>
      </c>
      <c r="C1638" s="2" t="str">
        <f>IFERROR(__xludf.DUMMYFUNCTION("""COMPUTED_VALUE"""),"History of Technology")</f>
        <v>History of Technology</v>
      </c>
      <c r="D1638" s="2" t="str">
        <f>IFERROR(__xludf.DUMMYFUNCTION("""COMPUTED_VALUE"""),"Rivergate Publishing")</f>
        <v>Rivergate Publishing</v>
      </c>
      <c r="E1638" s="2">
        <f>IFERROR(__xludf.DUMMYFUNCTION("""COMPUTED_VALUE"""),3.1)</f>
        <v>3.1</v>
      </c>
      <c r="F1638" s="2"/>
      <c r="G1638" s="2"/>
      <c r="H1638" s="2"/>
      <c r="I1638" s="2"/>
    </row>
    <row r="1639">
      <c r="A1639" s="2">
        <f>IFERROR(__xludf.DUMMYFUNCTION("""COMPUTED_VALUE"""),88105.0)</f>
        <v>88105</v>
      </c>
      <c r="B1639" s="2" t="str">
        <f>IFERROR(__xludf.DUMMYFUNCTION("""COMPUTED_VALUE"""),"Fiction")</f>
        <v>Fiction</v>
      </c>
      <c r="C1639" s="2" t="str">
        <f>IFERROR(__xludf.DUMMYFUNCTION("""COMPUTED_VALUE"""),"History of Technology")</f>
        <v>History of Technology</v>
      </c>
      <c r="D1639" s="2" t="str">
        <f>IFERROR(__xludf.DUMMYFUNCTION("""COMPUTED_VALUE"""),"Stonepath Books")</f>
        <v>Stonepath Books</v>
      </c>
      <c r="E1639" s="2">
        <f>IFERROR(__xludf.DUMMYFUNCTION("""COMPUTED_VALUE"""),13.33)</f>
        <v>13.33</v>
      </c>
      <c r="F1639" s="2"/>
      <c r="G1639" s="2"/>
      <c r="H1639" s="2"/>
      <c r="I1639" s="2"/>
    </row>
    <row r="1640">
      <c r="A1640" s="2">
        <f>IFERROR(__xludf.DUMMYFUNCTION("""COMPUTED_VALUE"""),97036.0)</f>
        <v>97036</v>
      </c>
      <c r="B1640" s="2" t="str">
        <f>IFERROR(__xludf.DUMMYFUNCTION("""COMPUTED_VALUE"""),"Fiction")</f>
        <v>Fiction</v>
      </c>
      <c r="C1640" s="2" t="str">
        <f>IFERROR(__xludf.DUMMYFUNCTION("""COMPUTED_VALUE"""),"History of Technology")</f>
        <v>History of Technology</v>
      </c>
      <c r="D1640" s="2" t="str">
        <f>IFERROR(__xludf.DUMMYFUNCTION("""COMPUTED_VALUE"""),"Stonepath Books")</f>
        <v>Stonepath Books</v>
      </c>
      <c r="E1640" s="2">
        <f>IFERROR(__xludf.DUMMYFUNCTION("""COMPUTED_VALUE"""),17.97)</f>
        <v>17.97</v>
      </c>
      <c r="F1640" s="2"/>
      <c r="G1640" s="2"/>
      <c r="H1640" s="2"/>
      <c r="I1640" s="2"/>
    </row>
    <row r="1641">
      <c r="A1641" s="2">
        <f>IFERROR(__xludf.DUMMYFUNCTION("""COMPUTED_VALUE"""),81229.0)</f>
        <v>81229</v>
      </c>
      <c r="B1641" s="2" t="str">
        <f>IFERROR(__xludf.DUMMYFUNCTION("""COMPUTED_VALUE"""),"Fiction")</f>
        <v>Fiction</v>
      </c>
      <c r="C1641" s="2" t="str">
        <f>IFERROR(__xludf.DUMMYFUNCTION("""COMPUTED_VALUE"""),"History of Technology")</f>
        <v>History of Technology</v>
      </c>
      <c r="D1641" s="2" t="str">
        <f>IFERROR(__xludf.DUMMYFUNCTION("""COMPUTED_VALUE"""),"Greenfield Press")</f>
        <v>Greenfield Press</v>
      </c>
      <c r="E1641" s="2">
        <f>IFERROR(__xludf.DUMMYFUNCTION("""COMPUTED_VALUE"""),5.78)</f>
        <v>5.78</v>
      </c>
      <c r="F1641" s="2"/>
      <c r="G1641" s="2"/>
      <c r="H1641" s="2"/>
      <c r="I1641" s="2"/>
    </row>
    <row r="1642">
      <c r="A1642" s="2">
        <f>IFERROR(__xludf.DUMMYFUNCTION("""COMPUTED_VALUE"""),120563.0)</f>
        <v>120563</v>
      </c>
      <c r="B1642" s="2" t="str">
        <f>IFERROR(__xludf.DUMMYFUNCTION("""COMPUTED_VALUE"""),"Fiction")</f>
        <v>Fiction</v>
      </c>
      <c r="C1642" s="2" t="str">
        <f>IFERROR(__xludf.DUMMYFUNCTION("""COMPUTED_VALUE"""),"History of Technology")</f>
        <v>History of Technology</v>
      </c>
      <c r="D1642" s="2" t="str">
        <f>IFERROR(__xludf.DUMMYFUNCTION("""COMPUTED_VALUE"""),"Greenfield Press")</f>
        <v>Greenfield Press</v>
      </c>
      <c r="E1642" s="2">
        <f>IFERROR(__xludf.DUMMYFUNCTION("""COMPUTED_VALUE"""),8.0)</f>
        <v>8</v>
      </c>
      <c r="F1642" s="2"/>
      <c r="G1642" s="2"/>
      <c r="H1642" s="2"/>
      <c r="I1642" s="2"/>
    </row>
    <row r="1643">
      <c r="A1643" s="2">
        <f>IFERROR(__xludf.DUMMYFUNCTION("""COMPUTED_VALUE"""),122290.0)</f>
        <v>122290</v>
      </c>
      <c r="B1643" s="2" t="str">
        <f>IFERROR(__xludf.DUMMYFUNCTION("""COMPUTED_VALUE"""),"Fiction")</f>
        <v>Fiction</v>
      </c>
      <c r="C1643" s="2" t="str">
        <f>IFERROR(__xludf.DUMMYFUNCTION("""COMPUTED_VALUE"""),"History of Technology")</f>
        <v>History of Technology</v>
      </c>
      <c r="D1643" s="2" t="str">
        <f>IFERROR(__xludf.DUMMYFUNCTION("""COMPUTED_VALUE"""),"Silverfield Publishing")</f>
        <v>Silverfield Publishing</v>
      </c>
      <c r="E1643" s="2">
        <f>IFERROR(__xludf.DUMMYFUNCTION("""COMPUTED_VALUE"""),7.46)</f>
        <v>7.46</v>
      </c>
      <c r="F1643" s="2"/>
      <c r="G1643" s="2"/>
      <c r="H1643" s="2"/>
      <c r="I1643" s="2"/>
    </row>
    <row r="1644">
      <c r="A1644" s="2">
        <f>IFERROR(__xludf.DUMMYFUNCTION("""COMPUTED_VALUE"""),122373.0)</f>
        <v>122373</v>
      </c>
      <c r="B1644" s="2" t="str">
        <f>IFERROR(__xludf.DUMMYFUNCTION("""COMPUTED_VALUE"""),"Fiction")</f>
        <v>Fiction</v>
      </c>
      <c r="C1644" s="2" t="str">
        <f>IFERROR(__xludf.DUMMYFUNCTION("""COMPUTED_VALUE"""),"History of Technology")</f>
        <v>History of Technology</v>
      </c>
      <c r="D1644" s="2" t="str">
        <f>IFERROR(__xludf.DUMMYFUNCTION("""COMPUTED_VALUE"""),"Silverfield Publishing")</f>
        <v>Silverfield Publishing</v>
      </c>
      <c r="E1644" s="2">
        <f>IFERROR(__xludf.DUMMYFUNCTION("""COMPUTED_VALUE"""),2.12)</f>
        <v>2.12</v>
      </c>
      <c r="F1644" s="2"/>
      <c r="G1644" s="2"/>
      <c r="H1644" s="2"/>
      <c r="I1644" s="2"/>
    </row>
    <row r="1645">
      <c r="A1645" s="2">
        <f>IFERROR(__xludf.DUMMYFUNCTION("""COMPUTED_VALUE"""),117830.0)</f>
        <v>117830</v>
      </c>
      <c r="B1645" s="2" t="str">
        <f>IFERROR(__xludf.DUMMYFUNCTION("""COMPUTED_VALUE"""),"Fiction")</f>
        <v>Fiction</v>
      </c>
      <c r="C1645" s="2" t="str">
        <f>IFERROR(__xludf.DUMMYFUNCTION("""COMPUTED_VALUE"""),"History of Technology")</f>
        <v>History of Technology</v>
      </c>
      <c r="D1645" s="2" t="str">
        <f>IFERROR(__xludf.DUMMYFUNCTION("""COMPUTED_VALUE"""),"Silverfield Publishing")</f>
        <v>Silverfield Publishing</v>
      </c>
      <c r="E1645" s="2">
        <f>IFERROR(__xludf.DUMMYFUNCTION("""COMPUTED_VALUE"""),7.59)</f>
        <v>7.59</v>
      </c>
      <c r="F1645" s="2"/>
      <c r="G1645" s="2"/>
      <c r="H1645" s="2"/>
      <c r="I1645" s="2"/>
    </row>
    <row r="1646">
      <c r="A1646" s="2">
        <f>IFERROR(__xludf.DUMMYFUNCTION("""COMPUTED_VALUE"""),109008.0)</f>
        <v>109008</v>
      </c>
      <c r="B1646" s="2" t="str">
        <f>IFERROR(__xludf.DUMMYFUNCTION("""COMPUTED_VALUE"""),"Fiction")</f>
        <v>Fiction</v>
      </c>
      <c r="C1646" s="2" t="str">
        <f>IFERROR(__xludf.DUMMYFUNCTION("""COMPUTED_VALUE"""),"History of Technology")</f>
        <v>History of Technology</v>
      </c>
      <c r="D1646" s="2" t="str">
        <f>IFERROR(__xludf.DUMMYFUNCTION("""COMPUTED_VALUE"""),"Silverfield Publishing")</f>
        <v>Silverfield Publishing</v>
      </c>
      <c r="E1646" s="2">
        <f>IFERROR(__xludf.DUMMYFUNCTION("""COMPUTED_VALUE"""),6.2)</f>
        <v>6.2</v>
      </c>
      <c r="F1646" s="2"/>
      <c r="G1646" s="2"/>
      <c r="H1646" s="2"/>
      <c r="I1646" s="2"/>
    </row>
    <row r="1647">
      <c r="A1647" s="2">
        <f>IFERROR(__xludf.DUMMYFUNCTION("""COMPUTED_VALUE"""),122371.0)</f>
        <v>122371</v>
      </c>
      <c r="B1647" s="2" t="str">
        <f>IFERROR(__xludf.DUMMYFUNCTION("""COMPUTED_VALUE"""),"Fiction")</f>
        <v>Fiction</v>
      </c>
      <c r="C1647" s="2" t="str">
        <f>IFERROR(__xludf.DUMMYFUNCTION("""COMPUTED_VALUE"""),"History of Technology")</f>
        <v>History of Technology</v>
      </c>
      <c r="D1647" s="2" t="str">
        <f>IFERROR(__xludf.DUMMYFUNCTION("""COMPUTED_VALUE"""),"Silverfield Publishing")</f>
        <v>Silverfield Publishing</v>
      </c>
      <c r="E1647" s="2">
        <f>IFERROR(__xludf.DUMMYFUNCTION("""COMPUTED_VALUE"""),7.25)</f>
        <v>7.25</v>
      </c>
      <c r="F1647" s="2"/>
      <c r="G1647" s="2"/>
      <c r="H1647" s="2"/>
      <c r="I1647" s="2"/>
    </row>
    <row r="1648">
      <c r="A1648" s="2">
        <f>IFERROR(__xludf.DUMMYFUNCTION("""COMPUTED_VALUE"""),109012.0)</f>
        <v>109012</v>
      </c>
      <c r="B1648" s="2" t="str">
        <f>IFERROR(__xludf.DUMMYFUNCTION("""COMPUTED_VALUE"""),"Fiction")</f>
        <v>Fiction</v>
      </c>
      <c r="C1648" s="2" t="str">
        <f>IFERROR(__xludf.DUMMYFUNCTION("""COMPUTED_VALUE"""),"History of Technology")</f>
        <v>History of Technology</v>
      </c>
      <c r="D1648" s="2" t="str">
        <f>IFERROR(__xludf.DUMMYFUNCTION("""COMPUTED_VALUE"""),"Silverfield Publishing")</f>
        <v>Silverfield Publishing</v>
      </c>
      <c r="E1648" s="2">
        <f>IFERROR(__xludf.DUMMYFUNCTION("""COMPUTED_VALUE"""),3.12)</f>
        <v>3.12</v>
      </c>
      <c r="F1648" s="2"/>
      <c r="G1648" s="2"/>
      <c r="H1648" s="2"/>
      <c r="I1648" s="2"/>
    </row>
    <row r="1649">
      <c r="A1649" s="2">
        <f>IFERROR(__xludf.DUMMYFUNCTION("""COMPUTED_VALUE"""),156047.0)</f>
        <v>156047</v>
      </c>
      <c r="B1649" s="2" t="str">
        <f>IFERROR(__xludf.DUMMYFUNCTION("""COMPUTED_VALUE"""),"Fiction")</f>
        <v>Fiction</v>
      </c>
      <c r="C1649" s="2" t="str">
        <f>IFERROR(__xludf.DUMMYFUNCTION("""COMPUTED_VALUE"""),"History of Technology")</f>
        <v>History of Technology</v>
      </c>
      <c r="D1649" s="2" t="str">
        <f>IFERROR(__xludf.DUMMYFUNCTION("""COMPUTED_VALUE"""),"Silverfield Publishing")</f>
        <v>Silverfield Publishing</v>
      </c>
      <c r="E1649" s="2">
        <f>IFERROR(__xludf.DUMMYFUNCTION("""COMPUTED_VALUE"""),3.35)</f>
        <v>3.35</v>
      </c>
      <c r="F1649" s="2"/>
      <c r="G1649" s="2"/>
      <c r="H1649" s="2"/>
      <c r="I1649" s="2"/>
    </row>
    <row r="1650">
      <c r="A1650" s="2">
        <f>IFERROR(__xludf.DUMMYFUNCTION("""COMPUTED_VALUE"""),117839.0)</f>
        <v>117839</v>
      </c>
      <c r="B1650" s="2" t="str">
        <f>IFERROR(__xludf.DUMMYFUNCTION("""COMPUTED_VALUE"""),"Fiction")</f>
        <v>Fiction</v>
      </c>
      <c r="C1650" s="2" t="str">
        <f>IFERROR(__xludf.DUMMYFUNCTION("""COMPUTED_VALUE"""),"History of Technology")</f>
        <v>History of Technology</v>
      </c>
      <c r="D1650" s="2" t="str">
        <f>IFERROR(__xludf.DUMMYFUNCTION("""COMPUTED_VALUE"""),"Silverfield Publishing")</f>
        <v>Silverfield Publishing</v>
      </c>
      <c r="E1650" s="2">
        <f>IFERROR(__xludf.DUMMYFUNCTION("""COMPUTED_VALUE"""),6.45)</f>
        <v>6.45</v>
      </c>
      <c r="F1650" s="2"/>
      <c r="G1650" s="2"/>
      <c r="H1650" s="2"/>
      <c r="I1650" s="2"/>
    </row>
    <row r="1651">
      <c r="A1651" s="2">
        <f>IFERROR(__xludf.DUMMYFUNCTION("""COMPUTED_VALUE"""),156051.0)</f>
        <v>156051</v>
      </c>
      <c r="B1651" s="2" t="str">
        <f>IFERROR(__xludf.DUMMYFUNCTION("""COMPUTED_VALUE"""),"Fiction")</f>
        <v>Fiction</v>
      </c>
      <c r="C1651" s="2" t="str">
        <f>IFERROR(__xludf.DUMMYFUNCTION("""COMPUTED_VALUE"""),"History of Technology")</f>
        <v>History of Technology</v>
      </c>
      <c r="D1651" s="2" t="str">
        <f>IFERROR(__xludf.DUMMYFUNCTION("""COMPUTED_VALUE"""),"Silverfield Publishing")</f>
        <v>Silverfield Publishing</v>
      </c>
      <c r="E1651" s="2">
        <f>IFERROR(__xludf.DUMMYFUNCTION("""COMPUTED_VALUE"""),6.34)</f>
        <v>6.34</v>
      </c>
      <c r="F1651" s="2"/>
      <c r="G1651" s="2"/>
      <c r="H1651" s="2"/>
      <c r="I1651" s="2"/>
    </row>
    <row r="1652">
      <c r="A1652" s="2">
        <f>IFERROR(__xludf.DUMMYFUNCTION("""COMPUTED_VALUE"""),156048.0)</f>
        <v>156048</v>
      </c>
      <c r="B1652" s="2" t="str">
        <f>IFERROR(__xludf.DUMMYFUNCTION("""COMPUTED_VALUE"""),"Fiction")</f>
        <v>Fiction</v>
      </c>
      <c r="C1652" s="2" t="str">
        <f>IFERROR(__xludf.DUMMYFUNCTION("""COMPUTED_VALUE"""),"History of Technology")</f>
        <v>History of Technology</v>
      </c>
      <c r="D1652" s="2" t="str">
        <f>IFERROR(__xludf.DUMMYFUNCTION("""COMPUTED_VALUE"""),"Silverfield Publishing")</f>
        <v>Silverfield Publishing</v>
      </c>
      <c r="E1652" s="2">
        <f>IFERROR(__xludf.DUMMYFUNCTION("""COMPUTED_VALUE"""),2.73)</f>
        <v>2.73</v>
      </c>
      <c r="F1652" s="2"/>
      <c r="G1652" s="2"/>
      <c r="H1652" s="2"/>
      <c r="I1652" s="2"/>
    </row>
    <row r="1653">
      <c r="A1653" s="2">
        <f>IFERROR(__xludf.DUMMYFUNCTION("""COMPUTED_VALUE"""),117832.0)</f>
        <v>117832</v>
      </c>
      <c r="B1653" s="2" t="str">
        <f>IFERROR(__xludf.DUMMYFUNCTION("""COMPUTED_VALUE"""),"Fiction")</f>
        <v>Fiction</v>
      </c>
      <c r="C1653" s="2" t="str">
        <f>IFERROR(__xludf.DUMMYFUNCTION("""COMPUTED_VALUE"""),"History of Technology")</f>
        <v>History of Technology</v>
      </c>
      <c r="D1653" s="2" t="str">
        <f>IFERROR(__xludf.DUMMYFUNCTION("""COMPUTED_VALUE"""),"Silverfield Publishing")</f>
        <v>Silverfield Publishing</v>
      </c>
      <c r="E1653" s="2">
        <f>IFERROR(__xludf.DUMMYFUNCTION("""COMPUTED_VALUE"""),2.88)</f>
        <v>2.88</v>
      </c>
      <c r="F1653" s="2"/>
      <c r="G1653" s="2"/>
      <c r="H1653" s="2"/>
      <c r="I1653" s="2"/>
    </row>
    <row r="1654">
      <c r="A1654" s="2">
        <f>IFERROR(__xludf.DUMMYFUNCTION("""COMPUTED_VALUE"""),117877.0)</f>
        <v>117877</v>
      </c>
      <c r="B1654" s="2" t="str">
        <f>IFERROR(__xludf.DUMMYFUNCTION("""COMPUTED_VALUE"""),"Fiction")</f>
        <v>Fiction</v>
      </c>
      <c r="C1654" s="2" t="str">
        <f>IFERROR(__xludf.DUMMYFUNCTION("""COMPUTED_VALUE"""),"History of Technology")</f>
        <v>History of Technology</v>
      </c>
      <c r="D1654" s="2" t="str">
        <f>IFERROR(__xludf.DUMMYFUNCTION("""COMPUTED_VALUE"""),"Northgate Books")</f>
        <v>Northgate Books</v>
      </c>
      <c r="E1654" s="2">
        <f>IFERROR(__xludf.DUMMYFUNCTION("""COMPUTED_VALUE"""),3.81)</f>
        <v>3.81</v>
      </c>
      <c r="F1654" s="2"/>
      <c r="G1654" s="2"/>
      <c r="H1654" s="2"/>
      <c r="I1654" s="2"/>
    </row>
    <row r="1655">
      <c r="A1655" s="2">
        <f>IFERROR(__xludf.DUMMYFUNCTION("""COMPUTED_VALUE"""),117876.0)</f>
        <v>117876</v>
      </c>
      <c r="B1655" s="2" t="str">
        <f>IFERROR(__xludf.DUMMYFUNCTION("""COMPUTED_VALUE"""),"Fiction")</f>
        <v>Fiction</v>
      </c>
      <c r="C1655" s="2" t="str">
        <f>IFERROR(__xludf.DUMMYFUNCTION("""COMPUTED_VALUE"""),"History of Technology")</f>
        <v>History of Technology</v>
      </c>
      <c r="D1655" s="2" t="str">
        <f>IFERROR(__xludf.DUMMYFUNCTION("""COMPUTED_VALUE"""),"Northgate Books")</f>
        <v>Northgate Books</v>
      </c>
      <c r="E1655" s="2">
        <f>IFERROR(__xludf.DUMMYFUNCTION("""COMPUTED_VALUE"""),3.7)</f>
        <v>3.7</v>
      </c>
      <c r="F1655" s="2"/>
      <c r="G1655" s="2"/>
      <c r="H1655" s="2"/>
      <c r="I1655" s="2"/>
    </row>
    <row r="1656">
      <c r="A1656" s="2">
        <f>IFERROR(__xludf.DUMMYFUNCTION("""COMPUTED_VALUE"""),83507.0)</f>
        <v>83507</v>
      </c>
      <c r="B1656" s="2" t="str">
        <f>IFERROR(__xludf.DUMMYFUNCTION("""COMPUTED_VALUE"""),"Fiction")</f>
        <v>Fiction</v>
      </c>
      <c r="C1656" s="2" t="str">
        <f>IFERROR(__xludf.DUMMYFUNCTION("""COMPUTED_VALUE"""),"History of Technology")</f>
        <v>History of Technology</v>
      </c>
      <c r="D1656" s="2" t="str">
        <f>IFERROR(__xludf.DUMMYFUNCTION("""COMPUTED_VALUE"""),"Northgate Books")</f>
        <v>Northgate Books</v>
      </c>
      <c r="E1656" s="2">
        <f>IFERROR(__xludf.DUMMYFUNCTION("""COMPUTED_VALUE"""),3.92)</f>
        <v>3.92</v>
      </c>
      <c r="F1656" s="2"/>
      <c r="G1656" s="2"/>
      <c r="H1656" s="2"/>
      <c r="I1656" s="2"/>
    </row>
    <row r="1657">
      <c r="A1657" s="2">
        <f>IFERROR(__xludf.DUMMYFUNCTION("""COMPUTED_VALUE"""),121285.0)</f>
        <v>121285</v>
      </c>
      <c r="B1657" s="2" t="str">
        <f>IFERROR(__xludf.DUMMYFUNCTION("""COMPUTED_VALUE"""),"Fiction")</f>
        <v>Fiction</v>
      </c>
      <c r="C1657" s="2" t="str">
        <f>IFERROR(__xludf.DUMMYFUNCTION("""COMPUTED_VALUE"""),"History of Technology")</f>
        <v>History of Technology</v>
      </c>
      <c r="D1657" s="2" t="str">
        <f>IFERROR(__xludf.DUMMYFUNCTION("""COMPUTED_VALUE"""),"Harborstone Press")</f>
        <v>Harborstone Press</v>
      </c>
      <c r="E1657" s="2">
        <f>IFERROR(__xludf.DUMMYFUNCTION("""COMPUTED_VALUE"""),13.39)</f>
        <v>13.39</v>
      </c>
      <c r="F1657" s="2"/>
      <c r="G1657" s="2"/>
      <c r="H1657" s="2"/>
      <c r="I1657" s="2"/>
    </row>
    <row r="1658">
      <c r="A1658" s="2">
        <f>IFERROR(__xludf.DUMMYFUNCTION("""COMPUTED_VALUE"""),122684.0)</f>
        <v>122684</v>
      </c>
      <c r="B1658" s="2" t="str">
        <f>IFERROR(__xludf.DUMMYFUNCTION("""COMPUTED_VALUE"""),"Fiction")</f>
        <v>Fiction</v>
      </c>
      <c r="C1658" s="2" t="str">
        <f>IFERROR(__xludf.DUMMYFUNCTION("""COMPUTED_VALUE"""),"History of Technology")</f>
        <v>History of Technology</v>
      </c>
      <c r="D1658" s="2" t="str">
        <f>IFERROR(__xludf.DUMMYFUNCTION("""COMPUTED_VALUE"""),"Harborstone Press")</f>
        <v>Harborstone Press</v>
      </c>
      <c r="E1658" s="2">
        <f>IFERROR(__xludf.DUMMYFUNCTION("""COMPUTED_VALUE"""),16.15)</f>
        <v>16.15</v>
      </c>
      <c r="F1658" s="2"/>
      <c r="G1658" s="2"/>
      <c r="H1658" s="2"/>
      <c r="I1658" s="2"/>
    </row>
    <row r="1659">
      <c r="A1659" s="2">
        <f>IFERROR(__xludf.DUMMYFUNCTION("""COMPUTED_VALUE"""),116615.0)</f>
        <v>116615</v>
      </c>
      <c r="B1659" s="2" t="str">
        <f>IFERROR(__xludf.DUMMYFUNCTION("""COMPUTED_VALUE"""),"Fiction")</f>
        <v>Fiction</v>
      </c>
      <c r="C1659" s="2" t="str">
        <f>IFERROR(__xludf.DUMMYFUNCTION("""COMPUTED_VALUE"""),"History of Technology")</f>
        <v>History of Technology</v>
      </c>
      <c r="D1659" s="2" t="str">
        <f>IFERROR(__xludf.DUMMYFUNCTION("""COMPUTED_VALUE"""),"Harborstone Press")</f>
        <v>Harborstone Press</v>
      </c>
      <c r="E1659" s="2">
        <f>IFERROR(__xludf.DUMMYFUNCTION("""COMPUTED_VALUE"""),2.66)</f>
        <v>2.66</v>
      </c>
      <c r="F1659" s="2"/>
      <c r="G1659" s="2"/>
      <c r="H1659" s="2"/>
      <c r="I1659" s="2"/>
    </row>
    <row r="1660">
      <c r="A1660" s="2">
        <f>IFERROR(__xludf.DUMMYFUNCTION("""COMPUTED_VALUE"""),121083.0)</f>
        <v>121083</v>
      </c>
      <c r="B1660" s="2" t="str">
        <f>IFERROR(__xludf.DUMMYFUNCTION("""COMPUTED_VALUE"""),"Fiction")</f>
        <v>Fiction</v>
      </c>
      <c r="C1660" s="2" t="str">
        <f>IFERROR(__xludf.DUMMYFUNCTION("""COMPUTED_VALUE"""),"History of Technology")</f>
        <v>History of Technology</v>
      </c>
      <c r="D1660" s="2" t="str">
        <f>IFERROR(__xludf.DUMMYFUNCTION("""COMPUTED_VALUE"""),"Harborstone Press")</f>
        <v>Harborstone Press</v>
      </c>
      <c r="E1660" s="2">
        <f>IFERROR(__xludf.DUMMYFUNCTION("""COMPUTED_VALUE"""),12.79)</f>
        <v>12.79</v>
      </c>
      <c r="F1660" s="2"/>
      <c r="G1660" s="2"/>
      <c r="H1660" s="2"/>
      <c r="I1660" s="2"/>
    </row>
    <row r="1661">
      <c r="A1661" s="2">
        <f>IFERROR(__xludf.DUMMYFUNCTION("""COMPUTED_VALUE"""),108936.0)</f>
        <v>108936</v>
      </c>
      <c r="B1661" s="2" t="str">
        <f>IFERROR(__xludf.DUMMYFUNCTION("""COMPUTED_VALUE"""),"Fiction")</f>
        <v>Fiction</v>
      </c>
      <c r="C1661" s="2" t="str">
        <f>IFERROR(__xludf.DUMMYFUNCTION("""COMPUTED_VALUE"""),"History of Technology")</f>
        <v>History of Technology</v>
      </c>
      <c r="D1661" s="2" t="str">
        <f>IFERROR(__xludf.DUMMYFUNCTION("""COMPUTED_VALUE"""),"Harborstone Press")</f>
        <v>Harborstone Press</v>
      </c>
      <c r="E1661" s="2">
        <f>IFERROR(__xludf.DUMMYFUNCTION("""COMPUTED_VALUE"""),15.29)</f>
        <v>15.29</v>
      </c>
      <c r="F1661" s="2"/>
      <c r="G1661" s="2"/>
      <c r="H1661" s="2"/>
      <c r="I1661" s="2"/>
    </row>
    <row r="1662">
      <c r="A1662" s="2">
        <f>IFERROR(__xludf.DUMMYFUNCTION("""COMPUTED_VALUE"""),128388.0)</f>
        <v>128388</v>
      </c>
      <c r="B1662" s="2" t="str">
        <f>IFERROR(__xludf.DUMMYFUNCTION("""COMPUTED_VALUE"""),"Fiction")</f>
        <v>Fiction</v>
      </c>
      <c r="C1662" s="2" t="str">
        <f>IFERROR(__xludf.DUMMYFUNCTION("""COMPUTED_VALUE"""),"History of Technology")</f>
        <v>History of Technology</v>
      </c>
      <c r="D1662" s="2" t="str">
        <f>IFERROR(__xludf.DUMMYFUNCTION("""COMPUTED_VALUE"""),"Harborstone Press")</f>
        <v>Harborstone Press</v>
      </c>
      <c r="E1662" s="2">
        <f>IFERROR(__xludf.DUMMYFUNCTION("""COMPUTED_VALUE"""),7.15)</f>
        <v>7.15</v>
      </c>
      <c r="F1662" s="2"/>
      <c r="G1662" s="2"/>
      <c r="H1662" s="2"/>
      <c r="I1662" s="2"/>
    </row>
    <row r="1663">
      <c r="A1663" s="2">
        <f>IFERROR(__xludf.DUMMYFUNCTION("""COMPUTED_VALUE"""),120559.0)</f>
        <v>120559</v>
      </c>
      <c r="B1663" s="2" t="str">
        <f>IFERROR(__xludf.DUMMYFUNCTION("""COMPUTED_VALUE"""),"Fiction")</f>
        <v>Fiction</v>
      </c>
      <c r="C1663" s="2" t="str">
        <f>IFERROR(__xludf.DUMMYFUNCTION("""COMPUTED_VALUE"""),"History of Technology")</f>
        <v>History of Technology</v>
      </c>
      <c r="D1663" s="2" t="str">
        <f>IFERROR(__xludf.DUMMYFUNCTION("""COMPUTED_VALUE"""),"Harborstone Press")</f>
        <v>Harborstone Press</v>
      </c>
      <c r="E1663" s="2">
        <f>IFERROR(__xludf.DUMMYFUNCTION("""COMPUTED_VALUE"""),3.03)</f>
        <v>3.03</v>
      </c>
      <c r="F1663" s="2"/>
      <c r="G1663" s="2"/>
      <c r="H1663" s="2"/>
      <c r="I1663" s="2"/>
    </row>
    <row r="1664">
      <c r="A1664" s="2">
        <f>IFERROR(__xludf.DUMMYFUNCTION("""COMPUTED_VALUE"""),122685.0)</f>
        <v>122685</v>
      </c>
      <c r="B1664" s="2" t="str">
        <f>IFERROR(__xludf.DUMMYFUNCTION("""COMPUTED_VALUE"""),"Fiction")</f>
        <v>Fiction</v>
      </c>
      <c r="C1664" s="2" t="str">
        <f>IFERROR(__xludf.DUMMYFUNCTION("""COMPUTED_VALUE"""),"History of Technology")</f>
        <v>History of Technology</v>
      </c>
      <c r="D1664" s="2" t="str">
        <f>IFERROR(__xludf.DUMMYFUNCTION("""COMPUTED_VALUE"""),"Harborstone Press")</f>
        <v>Harborstone Press</v>
      </c>
      <c r="E1664" s="2">
        <f>IFERROR(__xludf.DUMMYFUNCTION("""COMPUTED_VALUE"""),16.22)</f>
        <v>16.22</v>
      </c>
      <c r="F1664" s="2"/>
      <c r="G1664" s="2"/>
      <c r="H1664" s="2"/>
      <c r="I1664" s="2"/>
    </row>
    <row r="1665">
      <c r="A1665" s="2">
        <f>IFERROR(__xludf.DUMMYFUNCTION("""COMPUTED_VALUE"""),122686.0)</f>
        <v>122686</v>
      </c>
      <c r="B1665" s="2" t="str">
        <f>IFERROR(__xludf.DUMMYFUNCTION("""COMPUTED_VALUE"""),"Fiction")</f>
        <v>Fiction</v>
      </c>
      <c r="C1665" s="2" t="str">
        <f>IFERROR(__xludf.DUMMYFUNCTION("""COMPUTED_VALUE"""),"History of Technology")</f>
        <v>History of Technology</v>
      </c>
      <c r="D1665" s="2" t="str">
        <f>IFERROR(__xludf.DUMMYFUNCTION("""COMPUTED_VALUE"""),"Harborstone Press")</f>
        <v>Harborstone Press</v>
      </c>
      <c r="E1665" s="2">
        <f>IFERROR(__xludf.DUMMYFUNCTION("""COMPUTED_VALUE"""),16.85)</f>
        <v>16.85</v>
      </c>
      <c r="F1665" s="2"/>
      <c r="G1665" s="2"/>
      <c r="H1665" s="2"/>
      <c r="I1665" s="2"/>
    </row>
    <row r="1666">
      <c r="A1666" s="2">
        <f>IFERROR(__xludf.DUMMYFUNCTION("""COMPUTED_VALUE"""),181263.0)</f>
        <v>181263</v>
      </c>
      <c r="B1666" s="2" t="str">
        <f>IFERROR(__xludf.DUMMYFUNCTION("""COMPUTED_VALUE"""),"Fiction")</f>
        <v>Fiction</v>
      </c>
      <c r="C1666" s="2" t="str">
        <f>IFERROR(__xludf.DUMMYFUNCTION("""COMPUTED_VALUE"""),"History of Technology")</f>
        <v>History of Technology</v>
      </c>
      <c r="D1666" s="2" t="str">
        <f>IFERROR(__xludf.DUMMYFUNCTION("""COMPUTED_VALUE"""),"Harborstone Press")</f>
        <v>Harborstone Press</v>
      </c>
      <c r="E1666" s="2">
        <f>IFERROR(__xludf.DUMMYFUNCTION("""COMPUTED_VALUE"""),17.31)</f>
        <v>17.31</v>
      </c>
      <c r="F1666" s="2"/>
      <c r="G1666" s="2"/>
      <c r="H1666" s="2"/>
      <c r="I1666" s="2"/>
    </row>
    <row r="1667">
      <c r="A1667" s="2">
        <f>IFERROR(__xludf.DUMMYFUNCTION("""COMPUTED_VALUE"""),122723.0)</f>
        <v>122723</v>
      </c>
      <c r="B1667" s="2" t="str">
        <f>IFERROR(__xludf.DUMMYFUNCTION("""COMPUTED_VALUE"""),"Fiction")</f>
        <v>Fiction</v>
      </c>
      <c r="C1667" s="2" t="str">
        <f>IFERROR(__xludf.DUMMYFUNCTION("""COMPUTED_VALUE"""),"History of Technology")</f>
        <v>History of Technology</v>
      </c>
      <c r="D1667" s="2" t="str">
        <f>IFERROR(__xludf.DUMMYFUNCTION("""COMPUTED_VALUE"""),"Harborstone Press")</f>
        <v>Harborstone Press</v>
      </c>
      <c r="E1667" s="2">
        <f>IFERROR(__xludf.DUMMYFUNCTION("""COMPUTED_VALUE"""),15.33)</f>
        <v>15.33</v>
      </c>
      <c r="F1667" s="2"/>
      <c r="G1667" s="2"/>
      <c r="H1667" s="2"/>
      <c r="I1667" s="2"/>
    </row>
    <row r="1668">
      <c r="A1668" s="2">
        <f>IFERROR(__xludf.DUMMYFUNCTION("""COMPUTED_VALUE"""),26533.0)</f>
        <v>26533</v>
      </c>
      <c r="B1668" s="2" t="str">
        <f>IFERROR(__xludf.DUMMYFUNCTION("""COMPUTED_VALUE"""),"Fiction")</f>
        <v>Fiction</v>
      </c>
      <c r="C1668" s="2" t="str">
        <f>IFERROR(__xludf.DUMMYFUNCTION("""COMPUTED_VALUE"""),"History of Technology")</f>
        <v>History of Technology</v>
      </c>
      <c r="D1668" s="2" t="str">
        <f>IFERROR(__xludf.DUMMYFUNCTION("""COMPUTED_VALUE"""),"Cedarstone Publishing")</f>
        <v>Cedarstone Publishing</v>
      </c>
      <c r="E1668" s="2">
        <f>IFERROR(__xludf.DUMMYFUNCTION("""COMPUTED_VALUE"""),2.29)</f>
        <v>2.29</v>
      </c>
      <c r="F1668" s="2"/>
      <c r="G1668" s="2"/>
      <c r="H1668" s="2"/>
      <c r="I1668" s="2"/>
    </row>
    <row r="1669">
      <c r="A1669" s="2">
        <f>IFERROR(__xludf.DUMMYFUNCTION("""COMPUTED_VALUE"""),16048.0)</f>
        <v>16048</v>
      </c>
      <c r="B1669" s="2" t="str">
        <f>IFERROR(__xludf.DUMMYFUNCTION("""COMPUTED_VALUE"""),"Fiction")</f>
        <v>Fiction</v>
      </c>
      <c r="C1669" s="2" t="str">
        <f>IFERROR(__xludf.DUMMYFUNCTION("""COMPUTED_VALUE"""),"History of Technology")</f>
        <v>History of Technology</v>
      </c>
      <c r="D1669" s="2" t="str">
        <f>IFERROR(__xludf.DUMMYFUNCTION("""COMPUTED_VALUE"""),"Cedarstone Publishing")</f>
        <v>Cedarstone Publishing</v>
      </c>
      <c r="E1669" s="2">
        <f>IFERROR(__xludf.DUMMYFUNCTION("""COMPUTED_VALUE"""),1.61)</f>
        <v>1.61</v>
      </c>
      <c r="F1669" s="2"/>
      <c r="G1669" s="2"/>
      <c r="H1669" s="2"/>
      <c r="I1669" s="2"/>
    </row>
    <row r="1670">
      <c r="A1670" s="2">
        <f>IFERROR(__xludf.DUMMYFUNCTION("""COMPUTED_VALUE"""),16049.0)</f>
        <v>16049</v>
      </c>
      <c r="B1670" s="2" t="str">
        <f>IFERROR(__xludf.DUMMYFUNCTION("""COMPUTED_VALUE"""),"Fiction")</f>
        <v>Fiction</v>
      </c>
      <c r="C1670" s="2" t="str">
        <f>IFERROR(__xludf.DUMMYFUNCTION("""COMPUTED_VALUE"""),"History of Technology")</f>
        <v>History of Technology</v>
      </c>
      <c r="D1670" s="2" t="str">
        <f>IFERROR(__xludf.DUMMYFUNCTION("""COMPUTED_VALUE"""),"Cedarstone Publishing")</f>
        <v>Cedarstone Publishing</v>
      </c>
      <c r="E1670" s="2">
        <f>IFERROR(__xludf.DUMMYFUNCTION("""COMPUTED_VALUE"""),2.8)</f>
        <v>2.8</v>
      </c>
      <c r="F1670" s="2"/>
      <c r="G1670" s="2"/>
      <c r="H1670" s="2"/>
      <c r="I1670" s="2"/>
    </row>
    <row r="1671">
      <c r="A1671" s="2">
        <f>IFERROR(__xludf.DUMMYFUNCTION("""COMPUTED_VALUE"""),122421.0)</f>
        <v>122421</v>
      </c>
      <c r="B1671" s="2" t="str">
        <f>IFERROR(__xludf.DUMMYFUNCTION("""COMPUTED_VALUE"""),"Finance")</f>
        <v>Finance</v>
      </c>
      <c r="C1671" s="2" t="str">
        <f>IFERROR(__xludf.DUMMYFUNCTION("""COMPUTED_VALUE"""),"Personal Development")</f>
        <v>Personal Development</v>
      </c>
      <c r="D1671" s="2" t="str">
        <f>IFERROR(__xludf.DUMMYFUNCTION("""COMPUTED_VALUE"""),"Brightfield Books")</f>
        <v>Brightfield Books</v>
      </c>
      <c r="E1671" s="2">
        <f>IFERROR(__xludf.DUMMYFUNCTION("""COMPUTED_VALUE"""),7.21)</f>
        <v>7.21</v>
      </c>
      <c r="F1671" s="2"/>
      <c r="G1671" s="2"/>
      <c r="H1671" s="2"/>
      <c r="I1671" s="2"/>
    </row>
    <row r="1672">
      <c r="A1672" s="2">
        <f>IFERROR(__xludf.DUMMYFUNCTION("""COMPUTED_VALUE"""),121718.0)</f>
        <v>121718</v>
      </c>
      <c r="B1672" s="2" t="str">
        <f>IFERROR(__xludf.DUMMYFUNCTION("""COMPUTED_VALUE"""),"Finance")</f>
        <v>Finance</v>
      </c>
      <c r="C1672" s="2" t="str">
        <f>IFERROR(__xludf.DUMMYFUNCTION("""COMPUTED_VALUE"""),"Personal Development")</f>
        <v>Personal Development</v>
      </c>
      <c r="D1672" s="2" t="str">
        <f>IFERROR(__xludf.DUMMYFUNCTION("""COMPUTED_VALUE"""),"Brightfield Books")</f>
        <v>Brightfield Books</v>
      </c>
      <c r="E1672" s="2">
        <f>IFERROR(__xludf.DUMMYFUNCTION("""COMPUTED_VALUE"""),3.43)</f>
        <v>3.43</v>
      </c>
      <c r="F1672" s="2"/>
      <c r="G1672" s="2"/>
      <c r="H1672" s="2"/>
      <c r="I1672" s="2"/>
    </row>
    <row r="1673">
      <c r="A1673" s="2">
        <f>IFERROR(__xludf.DUMMYFUNCTION("""COMPUTED_VALUE"""),117892.0)</f>
        <v>117892</v>
      </c>
      <c r="B1673" s="2" t="str">
        <f>IFERROR(__xludf.DUMMYFUNCTION("""COMPUTED_VALUE"""),"Finance")</f>
        <v>Finance</v>
      </c>
      <c r="C1673" s="2" t="str">
        <f>IFERROR(__xludf.DUMMYFUNCTION("""COMPUTED_VALUE"""),"Personal Development")</f>
        <v>Personal Development</v>
      </c>
      <c r="D1673" s="2" t="str">
        <f>IFERROR(__xludf.DUMMYFUNCTION("""COMPUTED_VALUE"""),"Oakfield Press")</f>
        <v>Oakfield Press</v>
      </c>
      <c r="E1673" s="2">
        <f>IFERROR(__xludf.DUMMYFUNCTION("""COMPUTED_VALUE"""),10.02)</f>
        <v>10.02</v>
      </c>
      <c r="F1673" s="2"/>
      <c r="G1673" s="2"/>
      <c r="H1673" s="2"/>
      <c r="I1673" s="2"/>
    </row>
    <row r="1674">
      <c r="A1674" s="2">
        <f>IFERROR(__xludf.DUMMYFUNCTION("""COMPUTED_VALUE"""),117893.0)</f>
        <v>117893</v>
      </c>
      <c r="B1674" s="2" t="str">
        <f>IFERROR(__xludf.DUMMYFUNCTION("""COMPUTED_VALUE"""),"Finance")</f>
        <v>Finance</v>
      </c>
      <c r="C1674" s="2" t="str">
        <f>IFERROR(__xludf.DUMMYFUNCTION("""COMPUTED_VALUE"""),"Personal Development")</f>
        <v>Personal Development</v>
      </c>
      <c r="D1674" s="2" t="str">
        <f>IFERROR(__xludf.DUMMYFUNCTION("""COMPUTED_VALUE"""),"Oakfield Press")</f>
        <v>Oakfield Press</v>
      </c>
      <c r="E1674" s="2">
        <f>IFERROR(__xludf.DUMMYFUNCTION("""COMPUTED_VALUE"""),12.92)</f>
        <v>12.92</v>
      </c>
      <c r="F1674" s="2"/>
      <c r="G1674" s="2"/>
      <c r="H1674" s="2"/>
      <c r="I1674" s="2"/>
    </row>
    <row r="1675">
      <c r="A1675" s="2">
        <f>IFERROR(__xludf.DUMMYFUNCTION("""COMPUTED_VALUE"""),78448.0)</f>
        <v>78448</v>
      </c>
      <c r="B1675" s="2" t="str">
        <f>IFERROR(__xludf.DUMMYFUNCTION("""COMPUTED_VALUE"""),"Finance")</f>
        <v>Finance</v>
      </c>
      <c r="C1675" s="2" t="str">
        <f>IFERROR(__xludf.DUMMYFUNCTION("""COMPUTED_VALUE"""),"Personal Development")</f>
        <v>Personal Development</v>
      </c>
      <c r="D1675" s="2" t="str">
        <f>IFERROR(__xludf.DUMMYFUNCTION("""COMPUTED_VALUE"""),"Riverfield Publishing")</f>
        <v>Riverfield Publishing</v>
      </c>
      <c r="E1675" s="2">
        <f>IFERROR(__xludf.DUMMYFUNCTION("""COMPUTED_VALUE"""),1.86)</f>
        <v>1.86</v>
      </c>
      <c r="F1675" s="2"/>
      <c r="G1675" s="2"/>
      <c r="H1675" s="2"/>
      <c r="I1675" s="2"/>
    </row>
    <row r="1676">
      <c r="A1676" s="2">
        <f>IFERROR(__xludf.DUMMYFUNCTION("""COMPUTED_VALUE"""),89463.0)</f>
        <v>89463</v>
      </c>
      <c r="B1676" s="2" t="str">
        <f>IFERROR(__xludf.DUMMYFUNCTION("""COMPUTED_VALUE"""),"Finance")</f>
        <v>Finance</v>
      </c>
      <c r="C1676" s="2" t="str">
        <f>IFERROR(__xludf.DUMMYFUNCTION("""COMPUTED_VALUE"""),"Personal Development")</f>
        <v>Personal Development</v>
      </c>
      <c r="D1676" s="2" t="str">
        <f>IFERROR(__xludf.DUMMYFUNCTION("""COMPUTED_VALUE"""),"Ironfield Books")</f>
        <v>Ironfield Books</v>
      </c>
      <c r="E1676" s="2">
        <f>IFERROR(__xludf.DUMMYFUNCTION("""COMPUTED_VALUE"""),14.2)</f>
        <v>14.2</v>
      </c>
      <c r="F1676" s="2"/>
      <c r="G1676" s="2"/>
      <c r="H1676" s="2"/>
      <c r="I1676" s="2"/>
    </row>
    <row r="1677">
      <c r="A1677" s="2">
        <f>IFERROR(__xludf.DUMMYFUNCTION("""COMPUTED_VALUE"""),108096.0)</f>
        <v>108096</v>
      </c>
      <c r="B1677" s="2" t="str">
        <f>IFERROR(__xludf.DUMMYFUNCTION("""COMPUTED_VALUE"""),"Finance")</f>
        <v>Finance</v>
      </c>
      <c r="C1677" s="2" t="str">
        <f>IFERROR(__xludf.DUMMYFUNCTION("""COMPUTED_VALUE"""),"Personal Development")</f>
        <v>Personal Development</v>
      </c>
      <c r="D1677" s="2" t="str">
        <f>IFERROR(__xludf.DUMMYFUNCTION("""COMPUTED_VALUE"""),"Ironfield Books")</f>
        <v>Ironfield Books</v>
      </c>
      <c r="E1677" s="2">
        <f>IFERROR(__xludf.DUMMYFUNCTION("""COMPUTED_VALUE"""),9.8)</f>
        <v>9.8</v>
      </c>
      <c r="F1677" s="2"/>
      <c r="G1677" s="2"/>
      <c r="H1677" s="2"/>
      <c r="I1677" s="2"/>
    </row>
    <row r="1678">
      <c r="A1678" s="2">
        <f>IFERROR(__xludf.DUMMYFUNCTION("""COMPUTED_VALUE"""),70495.0)</f>
        <v>70495</v>
      </c>
      <c r="B1678" s="2" t="str">
        <f>IFERROR(__xludf.DUMMYFUNCTION("""COMPUTED_VALUE"""),"Finance")</f>
        <v>Finance</v>
      </c>
      <c r="C1678" s="2" t="str">
        <f>IFERROR(__xludf.DUMMYFUNCTION("""COMPUTED_VALUE"""),"Personal Development")</f>
        <v>Personal Development</v>
      </c>
      <c r="D1678" s="2" t="str">
        <f>IFERROR(__xludf.DUMMYFUNCTION("""COMPUTED_VALUE"""),"Ironfield Books")</f>
        <v>Ironfield Books</v>
      </c>
      <c r="E1678" s="2">
        <f>IFERROR(__xludf.DUMMYFUNCTION("""COMPUTED_VALUE"""),9.63)</f>
        <v>9.63</v>
      </c>
      <c r="F1678" s="2"/>
      <c r="G1678" s="2"/>
      <c r="H1678" s="2"/>
      <c r="I1678" s="2"/>
    </row>
    <row r="1679">
      <c r="A1679" s="2">
        <f>IFERROR(__xludf.DUMMYFUNCTION("""COMPUTED_VALUE"""),115733.0)</f>
        <v>115733</v>
      </c>
      <c r="B1679" s="2" t="str">
        <f>IFERROR(__xludf.DUMMYFUNCTION("""COMPUTED_VALUE"""),"History")</f>
        <v>History</v>
      </c>
      <c r="C1679" s="2" t="str">
        <f>IFERROR(__xludf.DUMMYFUNCTION("""COMPUTED_VALUE"""),"Productivity")</f>
        <v>Productivity</v>
      </c>
      <c r="D1679" s="2" t="str">
        <f>IFERROR(__xludf.DUMMYFUNCTION("""COMPUTED_VALUE"""),"Silverpath Press")</f>
        <v>Silverpath Press</v>
      </c>
      <c r="E1679" s="2">
        <f>IFERROR(__xludf.DUMMYFUNCTION("""COMPUTED_VALUE"""),1.1)</f>
        <v>1.1</v>
      </c>
      <c r="F1679" s="2"/>
      <c r="G1679" s="2"/>
      <c r="H1679" s="2"/>
      <c r="I1679" s="2"/>
    </row>
    <row r="1680">
      <c r="A1680" s="2">
        <f>IFERROR(__xludf.DUMMYFUNCTION("""COMPUTED_VALUE"""),26349.0)</f>
        <v>26349</v>
      </c>
      <c r="B1680" s="2" t="str">
        <f>IFERROR(__xludf.DUMMYFUNCTION("""COMPUTED_VALUE"""),"History")</f>
        <v>History</v>
      </c>
      <c r="C1680" s="2" t="str">
        <f>IFERROR(__xludf.DUMMYFUNCTION("""COMPUTED_VALUE"""),"Productivity")</f>
        <v>Productivity</v>
      </c>
      <c r="D1680" s="2" t="str">
        <f>IFERROR(__xludf.DUMMYFUNCTION("""COMPUTED_VALUE"""),"Silverpath Press")</f>
        <v>Silverpath Press</v>
      </c>
      <c r="E1680" s="2">
        <f>IFERROR(__xludf.DUMMYFUNCTION("""COMPUTED_VALUE"""),1.39)</f>
        <v>1.39</v>
      </c>
      <c r="F1680" s="2"/>
      <c r="G1680" s="2"/>
      <c r="H1680" s="2"/>
      <c r="I1680" s="2"/>
    </row>
    <row r="1681">
      <c r="A1681" s="2">
        <f>IFERROR(__xludf.DUMMYFUNCTION("""COMPUTED_VALUE"""),26350.0)</f>
        <v>26350</v>
      </c>
      <c r="B1681" s="2" t="str">
        <f>IFERROR(__xludf.DUMMYFUNCTION("""COMPUTED_VALUE"""),"History")</f>
        <v>History</v>
      </c>
      <c r="C1681" s="2" t="str">
        <f>IFERROR(__xludf.DUMMYFUNCTION("""COMPUTED_VALUE"""),"Productivity")</f>
        <v>Productivity</v>
      </c>
      <c r="D1681" s="2" t="str">
        <f>IFERROR(__xludf.DUMMYFUNCTION("""COMPUTED_VALUE"""),"Silverpath Press")</f>
        <v>Silverpath Press</v>
      </c>
      <c r="E1681" s="2">
        <f>IFERROR(__xludf.DUMMYFUNCTION("""COMPUTED_VALUE"""),2.16)</f>
        <v>2.16</v>
      </c>
      <c r="F1681" s="2"/>
      <c r="G1681" s="2"/>
      <c r="H1681" s="2"/>
      <c r="I1681" s="2"/>
    </row>
    <row r="1682">
      <c r="A1682" s="2">
        <f>IFERROR(__xludf.DUMMYFUNCTION("""COMPUTED_VALUE"""),115724.0)</f>
        <v>115724</v>
      </c>
      <c r="B1682" s="2" t="str">
        <f>IFERROR(__xludf.DUMMYFUNCTION("""COMPUTED_VALUE"""),"History")</f>
        <v>History</v>
      </c>
      <c r="C1682" s="2" t="str">
        <f>IFERROR(__xludf.DUMMYFUNCTION("""COMPUTED_VALUE"""),"Productivity")</f>
        <v>Productivity</v>
      </c>
      <c r="D1682" s="2" t="str">
        <f>IFERROR(__xludf.DUMMYFUNCTION("""COMPUTED_VALUE"""),"Silverpath Press")</f>
        <v>Silverpath Press</v>
      </c>
      <c r="E1682" s="2">
        <f>IFERROR(__xludf.DUMMYFUNCTION("""COMPUTED_VALUE"""),0.84)</f>
        <v>0.84</v>
      </c>
      <c r="F1682" s="2"/>
      <c r="G1682" s="2"/>
      <c r="H1682" s="2"/>
      <c r="I1682" s="2"/>
    </row>
    <row r="1683">
      <c r="A1683" s="2">
        <f>IFERROR(__xludf.DUMMYFUNCTION("""COMPUTED_VALUE"""),115726.0)</f>
        <v>115726</v>
      </c>
      <c r="B1683" s="2" t="str">
        <f>IFERROR(__xludf.DUMMYFUNCTION("""COMPUTED_VALUE"""),"History")</f>
        <v>History</v>
      </c>
      <c r="C1683" s="2" t="str">
        <f>IFERROR(__xludf.DUMMYFUNCTION("""COMPUTED_VALUE"""),"Productivity")</f>
        <v>Productivity</v>
      </c>
      <c r="D1683" s="2" t="str">
        <f>IFERROR(__xludf.DUMMYFUNCTION("""COMPUTED_VALUE"""),"Silverpath Press")</f>
        <v>Silverpath Press</v>
      </c>
      <c r="E1683" s="2">
        <f>IFERROR(__xludf.DUMMYFUNCTION("""COMPUTED_VALUE"""),2.27)</f>
        <v>2.27</v>
      </c>
      <c r="F1683" s="2"/>
      <c r="G1683" s="2"/>
      <c r="H1683" s="2"/>
      <c r="I1683" s="2"/>
    </row>
    <row r="1684">
      <c r="A1684" s="2">
        <f>IFERROR(__xludf.DUMMYFUNCTION("""COMPUTED_VALUE"""),26352.0)</f>
        <v>26352</v>
      </c>
      <c r="B1684" s="2" t="str">
        <f>IFERROR(__xludf.DUMMYFUNCTION("""COMPUTED_VALUE"""),"History")</f>
        <v>History</v>
      </c>
      <c r="C1684" s="2" t="str">
        <f>IFERROR(__xludf.DUMMYFUNCTION("""COMPUTED_VALUE"""),"Productivity")</f>
        <v>Productivity</v>
      </c>
      <c r="D1684" s="2" t="str">
        <f>IFERROR(__xludf.DUMMYFUNCTION("""COMPUTED_VALUE"""),"Silverpath Press")</f>
        <v>Silverpath Press</v>
      </c>
      <c r="E1684" s="2">
        <f>IFERROR(__xludf.DUMMYFUNCTION("""COMPUTED_VALUE"""),1.74)</f>
        <v>1.74</v>
      </c>
      <c r="F1684" s="2"/>
      <c r="G1684" s="2"/>
      <c r="H1684" s="2"/>
      <c r="I1684" s="2"/>
    </row>
    <row r="1685">
      <c r="A1685" s="2">
        <f>IFERROR(__xludf.DUMMYFUNCTION("""COMPUTED_VALUE"""),19782.0)</f>
        <v>19782</v>
      </c>
      <c r="B1685" s="2" t="str">
        <f>IFERROR(__xludf.DUMMYFUNCTION("""COMPUTED_VALUE"""),"History")</f>
        <v>History</v>
      </c>
      <c r="C1685" s="2" t="str">
        <f>IFERROR(__xludf.DUMMYFUNCTION("""COMPUTED_VALUE"""),"Productivity")</f>
        <v>Productivity</v>
      </c>
      <c r="D1685" s="2" t="str">
        <f>IFERROR(__xludf.DUMMYFUNCTION("""COMPUTED_VALUE"""),"Northpath Publishing")</f>
        <v>Northpath Publishing</v>
      </c>
      <c r="E1685" s="2">
        <f>IFERROR(__xludf.DUMMYFUNCTION("""COMPUTED_VALUE"""),2.74)</f>
        <v>2.74</v>
      </c>
      <c r="F1685" s="2"/>
      <c r="G1685" s="2"/>
      <c r="H1685" s="2"/>
      <c r="I1685" s="2"/>
    </row>
    <row r="1686">
      <c r="A1686" s="2">
        <f>IFERROR(__xludf.DUMMYFUNCTION("""COMPUTED_VALUE"""),19793.0)</f>
        <v>19793</v>
      </c>
      <c r="B1686" s="2" t="str">
        <f>IFERROR(__xludf.DUMMYFUNCTION("""COMPUTED_VALUE"""),"History")</f>
        <v>History</v>
      </c>
      <c r="C1686" s="2" t="str">
        <f>IFERROR(__xludf.DUMMYFUNCTION("""COMPUTED_VALUE"""),"Productivity")</f>
        <v>Productivity</v>
      </c>
      <c r="D1686" s="2" t="str">
        <f>IFERROR(__xludf.DUMMYFUNCTION("""COMPUTED_VALUE"""),"Harborpath Books")</f>
        <v>Harborpath Books</v>
      </c>
      <c r="E1686" s="2">
        <f>IFERROR(__xludf.DUMMYFUNCTION("""COMPUTED_VALUE"""),0.45)</f>
        <v>0.45</v>
      </c>
      <c r="F1686" s="2"/>
      <c r="G1686" s="2"/>
      <c r="H1686" s="2"/>
      <c r="I1686" s="2"/>
    </row>
    <row r="1687">
      <c r="A1687" s="2">
        <f>IFERROR(__xludf.DUMMYFUNCTION("""COMPUTED_VALUE"""),87604.0)</f>
        <v>87604</v>
      </c>
      <c r="B1687" s="2" t="str">
        <f>IFERROR(__xludf.DUMMYFUNCTION("""COMPUTED_VALUE"""),"History")</f>
        <v>History</v>
      </c>
      <c r="C1687" s="2" t="str">
        <f>IFERROR(__xludf.DUMMYFUNCTION("""COMPUTED_VALUE"""),"Productivity")</f>
        <v>Productivity</v>
      </c>
      <c r="D1687" s="2" t="str">
        <f>IFERROR(__xludf.DUMMYFUNCTION("""COMPUTED_VALUE"""),"Harborpath Books")</f>
        <v>Harborpath Books</v>
      </c>
      <c r="E1687" s="2">
        <f>IFERROR(__xludf.DUMMYFUNCTION("""COMPUTED_VALUE"""),2.15)</f>
        <v>2.15</v>
      </c>
      <c r="F1687" s="2"/>
      <c r="G1687" s="2"/>
      <c r="H1687" s="2"/>
      <c r="I1687" s="2"/>
    </row>
    <row r="1688">
      <c r="A1688" s="2">
        <f>IFERROR(__xludf.DUMMYFUNCTION("""COMPUTED_VALUE"""),29931.0)</f>
        <v>29931</v>
      </c>
      <c r="B1688" s="2" t="str">
        <f>IFERROR(__xludf.DUMMYFUNCTION("""COMPUTED_VALUE"""),"History")</f>
        <v>History</v>
      </c>
      <c r="C1688" s="2" t="str">
        <f>IFERROR(__xludf.DUMMYFUNCTION("""COMPUTED_VALUE"""),"Productivity")</f>
        <v>Productivity</v>
      </c>
      <c r="D1688" s="2" t="str">
        <f>IFERROR(__xludf.DUMMYFUNCTION("""COMPUTED_VALUE"""),"Cedarpath Press")</f>
        <v>Cedarpath Press</v>
      </c>
      <c r="E1688" s="2">
        <f>IFERROR(__xludf.DUMMYFUNCTION("""COMPUTED_VALUE"""),3.6)</f>
        <v>3.6</v>
      </c>
      <c r="F1688" s="2"/>
      <c r="G1688" s="2"/>
      <c r="H1688" s="2"/>
      <c r="I1688" s="2"/>
    </row>
    <row r="1689">
      <c r="A1689" s="2">
        <f>IFERROR(__xludf.DUMMYFUNCTION("""COMPUTED_VALUE"""),9335.0)</f>
        <v>9335</v>
      </c>
      <c r="B1689" s="2" t="str">
        <f>IFERROR(__xludf.DUMMYFUNCTION("""COMPUTED_VALUE"""),"History")</f>
        <v>History</v>
      </c>
      <c r="C1689" s="2" t="str">
        <f>IFERROR(__xludf.DUMMYFUNCTION("""COMPUTED_VALUE"""),"Productivity")</f>
        <v>Productivity</v>
      </c>
      <c r="D1689" s="2" t="str">
        <f>IFERROR(__xludf.DUMMYFUNCTION("""COMPUTED_VALUE"""),"Cedarpath Press")</f>
        <v>Cedarpath Press</v>
      </c>
      <c r="E1689" s="2">
        <f>IFERROR(__xludf.DUMMYFUNCTION("""COMPUTED_VALUE"""),8.67)</f>
        <v>8.67</v>
      </c>
      <c r="F1689" s="2"/>
      <c r="G1689" s="2"/>
      <c r="H1689" s="2"/>
      <c r="I1689" s="2"/>
    </row>
    <row r="1690">
      <c r="A1690" s="2">
        <f>IFERROR(__xludf.DUMMYFUNCTION("""COMPUTED_VALUE"""),88722.0)</f>
        <v>88722</v>
      </c>
      <c r="B1690" s="2" t="str">
        <f>IFERROR(__xludf.DUMMYFUNCTION("""COMPUTED_VALUE"""),"History")</f>
        <v>History</v>
      </c>
      <c r="C1690" s="2" t="str">
        <f>IFERROR(__xludf.DUMMYFUNCTION("""COMPUTED_VALUE"""),"Productivity")</f>
        <v>Productivity</v>
      </c>
      <c r="D1690" s="2" t="str">
        <f>IFERROR(__xludf.DUMMYFUNCTION("""COMPUTED_VALUE"""),"Brightpath Publishing")</f>
        <v>Brightpath Publishing</v>
      </c>
      <c r="E1690" s="2">
        <f>IFERROR(__xludf.DUMMYFUNCTION("""COMPUTED_VALUE"""),0.84)</f>
        <v>0.84</v>
      </c>
      <c r="F1690" s="2"/>
      <c r="G1690" s="2"/>
      <c r="H1690" s="2"/>
      <c r="I1690" s="2"/>
    </row>
    <row r="1691">
      <c r="A1691" s="2">
        <f>IFERROR(__xludf.DUMMYFUNCTION("""COMPUTED_VALUE"""),121865.0)</f>
        <v>121865</v>
      </c>
      <c r="B1691" s="2" t="str">
        <f>IFERROR(__xludf.DUMMYFUNCTION("""COMPUTED_VALUE"""),"History")</f>
        <v>History</v>
      </c>
      <c r="C1691" s="2" t="str">
        <f>IFERROR(__xludf.DUMMYFUNCTION("""COMPUTED_VALUE"""),"Productivity")</f>
        <v>Productivity</v>
      </c>
      <c r="D1691" s="2" t="str">
        <f>IFERROR(__xludf.DUMMYFUNCTION("""COMPUTED_VALUE"""),"Brightpath Publishing")</f>
        <v>Brightpath Publishing</v>
      </c>
      <c r="E1691" s="2">
        <f>IFERROR(__xludf.DUMMYFUNCTION("""COMPUTED_VALUE"""),1.89)</f>
        <v>1.89</v>
      </c>
      <c r="F1691" s="2"/>
      <c r="G1691" s="2"/>
      <c r="H1691" s="2"/>
      <c r="I1691" s="2"/>
    </row>
    <row r="1692">
      <c r="A1692" s="2">
        <f>IFERROR(__xludf.DUMMYFUNCTION("""COMPUTED_VALUE"""),100934.0)</f>
        <v>100934</v>
      </c>
      <c r="B1692" s="2" t="str">
        <f>IFERROR(__xludf.DUMMYFUNCTION("""COMPUTED_VALUE"""),"History")</f>
        <v>History</v>
      </c>
      <c r="C1692" s="2" t="str">
        <f>IFERROR(__xludf.DUMMYFUNCTION("""COMPUTED_VALUE"""),"Productivity")</f>
        <v>Productivity</v>
      </c>
      <c r="D1692" s="2" t="str">
        <f>IFERROR(__xludf.DUMMYFUNCTION("""COMPUTED_VALUE"""),"Brightpath Publishing")</f>
        <v>Brightpath Publishing</v>
      </c>
      <c r="E1692" s="2">
        <f>IFERROR(__xludf.DUMMYFUNCTION("""COMPUTED_VALUE"""),6.8)</f>
        <v>6.8</v>
      </c>
      <c r="F1692" s="2"/>
      <c r="G1692" s="2"/>
      <c r="H1692" s="2"/>
      <c r="I1692" s="2"/>
    </row>
    <row r="1693">
      <c r="A1693" s="2">
        <f>IFERROR(__xludf.DUMMYFUNCTION("""COMPUTED_VALUE"""),117116.0)</f>
        <v>117116</v>
      </c>
      <c r="B1693" s="2" t="str">
        <f>IFERROR(__xludf.DUMMYFUNCTION("""COMPUTED_VALUE"""),"History")</f>
        <v>History</v>
      </c>
      <c r="C1693" s="2" t="str">
        <f>IFERROR(__xludf.DUMMYFUNCTION("""COMPUTED_VALUE"""),"Productivity")</f>
        <v>Productivity</v>
      </c>
      <c r="D1693" s="2" t="str">
        <f>IFERROR(__xludf.DUMMYFUNCTION("""COMPUTED_VALUE"""),"Brightpath Publishing")</f>
        <v>Brightpath Publishing</v>
      </c>
      <c r="E1693" s="2">
        <f>IFERROR(__xludf.DUMMYFUNCTION("""COMPUTED_VALUE"""),2.08)</f>
        <v>2.08</v>
      </c>
      <c r="F1693" s="2"/>
      <c r="G1693" s="2"/>
      <c r="H1693" s="2"/>
      <c r="I1693" s="2"/>
    </row>
    <row r="1694">
      <c r="A1694" s="2">
        <f>IFERROR(__xludf.DUMMYFUNCTION("""COMPUTED_VALUE"""),19802.0)</f>
        <v>19802</v>
      </c>
      <c r="B1694" s="2" t="str">
        <f>IFERROR(__xludf.DUMMYFUNCTION("""COMPUTED_VALUE"""),"History")</f>
        <v>History</v>
      </c>
      <c r="C1694" s="2" t="str">
        <f>IFERROR(__xludf.DUMMYFUNCTION("""COMPUTED_VALUE"""),"Productivity")</f>
        <v>Productivity</v>
      </c>
      <c r="D1694" s="2" t="str">
        <f>IFERROR(__xludf.DUMMYFUNCTION("""COMPUTED_VALUE"""),"Brightpath Publishing")</f>
        <v>Brightpath Publishing</v>
      </c>
      <c r="E1694" s="2">
        <f>IFERROR(__xludf.DUMMYFUNCTION("""COMPUTED_VALUE"""),2.52)</f>
        <v>2.52</v>
      </c>
      <c r="F1694" s="2"/>
      <c r="G1694" s="2"/>
      <c r="H1694" s="2"/>
      <c r="I1694" s="2"/>
    </row>
    <row r="1695">
      <c r="A1695" s="2">
        <f>IFERROR(__xludf.DUMMYFUNCTION("""COMPUTED_VALUE"""),81780.0)</f>
        <v>81780</v>
      </c>
      <c r="B1695" s="2" t="str">
        <f>IFERROR(__xludf.DUMMYFUNCTION("""COMPUTED_VALUE"""),"History")</f>
        <v>History</v>
      </c>
      <c r="C1695" s="2" t="str">
        <f>IFERROR(__xludf.DUMMYFUNCTION("""COMPUTED_VALUE"""),"Productivity")</f>
        <v>Productivity</v>
      </c>
      <c r="D1695" s="2" t="str">
        <f>IFERROR(__xludf.DUMMYFUNCTION("""COMPUTED_VALUE"""),"Brightpath Publishing")</f>
        <v>Brightpath Publishing</v>
      </c>
      <c r="E1695" s="2">
        <f>IFERROR(__xludf.DUMMYFUNCTION("""COMPUTED_VALUE"""),2.16)</f>
        <v>2.16</v>
      </c>
      <c r="F1695" s="2"/>
      <c r="G1695" s="2"/>
      <c r="H1695" s="2"/>
      <c r="I1695" s="2"/>
    </row>
    <row r="1696">
      <c r="A1696" s="2">
        <f>IFERROR(__xludf.DUMMYFUNCTION("""COMPUTED_VALUE"""),117094.0)</f>
        <v>117094</v>
      </c>
      <c r="B1696" s="2" t="str">
        <f>IFERROR(__xludf.DUMMYFUNCTION("""COMPUTED_VALUE"""),"History")</f>
        <v>History</v>
      </c>
      <c r="C1696" s="2" t="str">
        <f>IFERROR(__xludf.DUMMYFUNCTION("""COMPUTED_VALUE"""),"Productivity")</f>
        <v>Productivity</v>
      </c>
      <c r="D1696" s="2" t="str">
        <f>IFERROR(__xludf.DUMMYFUNCTION("""COMPUTED_VALUE"""),"Brightpath Publishing")</f>
        <v>Brightpath Publishing</v>
      </c>
      <c r="E1696" s="2">
        <f>IFERROR(__xludf.DUMMYFUNCTION("""COMPUTED_VALUE"""),6.16)</f>
        <v>6.16</v>
      </c>
      <c r="F1696" s="2"/>
      <c r="G1696" s="2"/>
      <c r="H1696" s="2"/>
      <c r="I1696" s="2"/>
    </row>
    <row r="1697">
      <c r="A1697" s="2">
        <f>IFERROR(__xludf.DUMMYFUNCTION("""COMPUTED_VALUE"""),19797.0)</f>
        <v>19797</v>
      </c>
      <c r="B1697" s="2" t="str">
        <f>IFERROR(__xludf.DUMMYFUNCTION("""COMPUTED_VALUE"""),"History")</f>
        <v>History</v>
      </c>
      <c r="C1697" s="2" t="str">
        <f>IFERROR(__xludf.DUMMYFUNCTION("""COMPUTED_VALUE"""),"Productivity")</f>
        <v>Productivity</v>
      </c>
      <c r="D1697" s="2" t="str">
        <f>IFERROR(__xludf.DUMMYFUNCTION("""COMPUTED_VALUE"""),"Brightpath Publishing")</f>
        <v>Brightpath Publishing</v>
      </c>
      <c r="E1697" s="2">
        <f>IFERROR(__xludf.DUMMYFUNCTION("""COMPUTED_VALUE"""),0.49)</f>
        <v>0.49</v>
      </c>
      <c r="F1697" s="2"/>
      <c r="G1697" s="2"/>
      <c r="H1697" s="2"/>
      <c r="I1697" s="2"/>
    </row>
    <row r="1698">
      <c r="A1698" s="2">
        <f>IFERROR(__xludf.DUMMYFUNCTION("""COMPUTED_VALUE"""),86131.0)</f>
        <v>86131</v>
      </c>
      <c r="B1698" s="2" t="str">
        <f>IFERROR(__xludf.DUMMYFUNCTION("""COMPUTED_VALUE"""),"History")</f>
        <v>History</v>
      </c>
      <c r="C1698" s="2" t="str">
        <f>IFERROR(__xludf.DUMMYFUNCTION("""COMPUTED_VALUE"""),"Productivity")</f>
        <v>Productivity</v>
      </c>
      <c r="D1698" s="2" t="str">
        <f>IFERROR(__xludf.DUMMYFUNCTION("""COMPUTED_VALUE"""),"Brightpath Publishing")</f>
        <v>Brightpath Publishing</v>
      </c>
      <c r="E1698" s="2">
        <f>IFERROR(__xludf.DUMMYFUNCTION("""COMPUTED_VALUE"""),4.24)</f>
        <v>4.24</v>
      </c>
      <c r="F1698" s="2"/>
      <c r="G1698" s="2"/>
      <c r="H1698" s="2"/>
      <c r="I1698" s="2"/>
    </row>
    <row r="1699">
      <c r="A1699" s="2">
        <f>IFERROR(__xludf.DUMMYFUNCTION("""COMPUTED_VALUE"""),121864.0)</f>
        <v>121864</v>
      </c>
      <c r="B1699" s="2" t="str">
        <f>IFERROR(__xludf.DUMMYFUNCTION("""COMPUTED_VALUE"""),"History")</f>
        <v>History</v>
      </c>
      <c r="C1699" s="2" t="str">
        <f>IFERROR(__xludf.DUMMYFUNCTION("""COMPUTED_VALUE"""),"Productivity")</f>
        <v>Productivity</v>
      </c>
      <c r="D1699" s="2" t="str">
        <f>IFERROR(__xludf.DUMMYFUNCTION("""COMPUTED_VALUE"""),"Brightpath Publishing")</f>
        <v>Brightpath Publishing</v>
      </c>
      <c r="E1699" s="2">
        <f>IFERROR(__xludf.DUMMYFUNCTION("""COMPUTED_VALUE"""),2.63)</f>
        <v>2.63</v>
      </c>
      <c r="F1699" s="2"/>
      <c r="G1699" s="2"/>
      <c r="H1699" s="2"/>
      <c r="I1699" s="2"/>
    </row>
    <row r="1700">
      <c r="A1700" s="2">
        <f>IFERROR(__xludf.DUMMYFUNCTION("""COMPUTED_VALUE"""),15061.0)</f>
        <v>15061</v>
      </c>
      <c r="B1700" s="2" t="str">
        <f>IFERROR(__xludf.DUMMYFUNCTION("""COMPUTED_VALUE"""),"History")</f>
        <v>History</v>
      </c>
      <c r="C1700" s="2" t="str">
        <f>IFERROR(__xludf.DUMMYFUNCTION("""COMPUTED_VALUE"""),"Productivity")</f>
        <v>Productivity</v>
      </c>
      <c r="D1700" s="2" t="str">
        <f>IFERROR(__xludf.DUMMYFUNCTION("""COMPUTED_VALUE"""),"Oakpath Books")</f>
        <v>Oakpath Books</v>
      </c>
      <c r="E1700" s="2">
        <f>IFERROR(__xludf.DUMMYFUNCTION("""COMPUTED_VALUE"""),5.33)</f>
        <v>5.33</v>
      </c>
      <c r="F1700" s="2"/>
      <c r="G1700" s="2"/>
      <c r="H1700" s="2"/>
      <c r="I1700" s="2"/>
    </row>
    <row r="1701">
      <c r="A1701" s="2">
        <f>IFERROR(__xludf.DUMMYFUNCTION("""COMPUTED_VALUE"""),79929.0)</f>
        <v>79929</v>
      </c>
      <c r="B1701" s="2" t="str">
        <f>IFERROR(__xludf.DUMMYFUNCTION("""COMPUTED_VALUE"""),"History")</f>
        <v>History</v>
      </c>
      <c r="C1701" s="2" t="str">
        <f>IFERROR(__xludf.DUMMYFUNCTION("""COMPUTED_VALUE"""),"Productivity")</f>
        <v>Productivity</v>
      </c>
      <c r="D1701" s="2" t="str">
        <f>IFERROR(__xludf.DUMMYFUNCTION("""COMPUTED_VALUE"""),"Riverpath Press")</f>
        <v>Riverpath Press</v>
      </c>
      <c r="E1701" s="2">
        <f>IFERROR(__xludf.DUMMYFUNCTION("""COMPUTED_VALUE"""),3.0)</f>
        <v>3</v>
      </c>
      <c r="F1701" s="2"/>
      <c r="G1701" s="2"/>
      <c r="H1701" s="2"/>
      <c r="I1701" s="2"/>
    </row>
    <row r="1702">
      <c r="A1702" s="2">
        <f>IFERROR(__xludf.DUMMYFUNCTION("""COMPUTED_VALUE"""),19792.0)</f>
        <v>19792</v>
      </c>
      <c r="B1702" s="2" t="str">
        <f>IFERROR(__xludf.DUMMYFUNCTION("""COMPUTED_VALUE"""),"History")</f>
        <v>History</v>
      </c>
      <c r="C1702" s="2" t="str">
        <f>IFERROR(__xludf.DUMMYFUNCTION("""COMPUTED_VALUE"""),"Productivity")</f>
        <v>Productivity</v>
      </c>
      <c r="D1702" s="2" t="str">
        <f>IFERROR(__xludf.DUMMYFUNCTION("""COMPUTED_VALUE"""),"Ironpath Publishing")</f>
        <v>Ironpath Publishing</v>
      </c>
      <c r="E1702" s="2">
        <f>IFERROR(__xludf.DUMMYFUNCTION("""COMPUTED_VALUE"""),0.87)</f>
        <v>0.87</v>
      </c>
      <c r="F1702" s="2"/>
      <c r="G1702" s="2"/>
      <c r="H1702" s="2"/>
      <c r="I1702" s="2"/>
    </row>
    <row r="1703">
      <c r="A1703" s="2">
        <f>IFERROR(__xludf.DUMMYFUNCTION("""COMPUTED_VALUE"""),108805.0)</f>
        <v>108805</v>
      </c>
      <c r="B1703" s="2" t="str">
        <f>IFERROR(__xludf.DUMMYFUNCTION("""COMPUTED_VALUE"""),"History")</f>
        <v>History</v>
      </c>
      <c r="C1703" s="2" t="str">
        <f>IFERROR(__xludf.DUMMYFUNCTION("""COMPUTED_VALUE"""),"Productivity")</f>
        <v>Productivity</v>
      </c>
      <c r="D1703" s="2" t="str">
        <f>IFERROR(__xludf.DUMMYFUNCTION("""COMPUTED_VALUE"""),"Ironpath Publishing")</f>
        <v>Ironpath Publishing</v>
      </c>
      <c r="E1703" s="2">
        <f>IFERROR(__xludf.DUMMYFUNCTION("""COMPUTED_VALUE"""),5.23)</f>
        <v>5.23</v>
      </c>
      <c r="F1703" s="2"/>
      <c r="G1703" s="2"/>
      <c r="H1703" s="2"/>
      <c r="I1703" s="2"/>
    </row>
    <row r="1704">
      <c r="A1704" s="2">
        <f>IFERROR(__xludf.DUMMYFUNCTION("""COMPUTED_VALUE"""),71689.0)</f>
        <v>71689</v>
      </c>
      <c r="B1704" s="2" t="str">
        <f>IFERROR(__xludf.DUMMYFUNCTION("""COMPUTED_VALUE"""),"History")</f>
        <v>History</v>
      </c>
      <c r="C1704" s="2" t="str">
        <f>IFERROR(__xludf.DUMMYFUNCTION("""COMPUTED_VALUE"""),"Productivity")</f>
        <v>Productivity</v>
      </c>
      <c r="D1704" s="2" t="str">
        <f>IFERROR(__xludf.DUMMYFUNCTION("""COMPUTED_VALUE"""),"Ironpath Publishing")</f>
        <v>Ironpath Publishing</v>
      </c>
      <c r="E1704" s="2">
        <f>IFERROR(__xludf.DUMMYFUNCTION("""COMPUTED_VALUE"""),2.59)</f>
        <v>2.59</v>
      </c>
      <c r="F1704" s="2"/>
      <c r="G1704" s="2"/>
      <c r="H1704" s="2"/>
      <c r="I1704" s="2"/>
    </row>
    <row r="1705">
      <c r="A1705" s="2">
        <f>IFERROR(__xludf.DUMMYFUNCTION("""COMPUTED_VALUE"""),71718.0)</f>
        <v>71718</v>
      </c>
      <c r="B1705" s="2" t="str">
        <f>IFERROR(__xludf.DUMMYFUNCTION("""COMPUTED_VALUE"""),"History")</f>
        <v>History</v>
      </c>
      <c r="C1705" s="2" t="str">
        <f>IFERROR(__xludf.DUMMYFUNCTION("""COMPUTED_VALUE"""),"Productivity")</f>
        <v>Productivity</v>
      </c>
      <c r="D1705" s="2" t="str">
        <f>IFERROR(__xludf.DUMMYFUNCTION("""COMPUTED_VALUE"""),"Ironpath Publishing")</f>
        <v>Ironpath Publishing</v>
      </c>
      <c r="E1705" s="2">
        <f>IFERROR(__xludf.DUMMYFUNCTION("""COMPUTED_VALUE"""),5.1)</f>
        <v>5.1</v>
      </c>
      <c r="F1705" s="2"/>
      <c r="G1705" s="2"/>
      <c r="H1705" s="2"/>
      <c r="I1705" s="2"/>
    </row>
    <row r="1706">
      <c r="A1706" s="2">
        <f>IFERROR(__xludf.DUMMYFUNCTION("""COMPUTED_VALUE"""),19752.0)</f>
        <v>19752</v>
      </c>
      <c r="B1706" s="2" t="str">
        <f>IFERROR(__xludf.DUMMYFUNCTION("""COMPUTED_VALUE"""),"History")</f>
        <v>History</v>
      </c>
      <c r="C1706" s="2" t="str">
        <f>IFERROR(__xludf.DUMMYFUNCTION("""COMPUTED_VALUE"""),"Productivity")</f>
        <v>Productivity</v>
      </c>
      <c r="D1706" s="2" t="str">
        <f>IFERROR(__xludf.DUMMYFUNCTION("""COMPUTED_VALUE"""),"Ironpath Publishing")</f>
        <v>Ironpath Publishing</v>
      </c>
      <c r="E1706" s="2">
        <f>IFERROR(__xludf.DUMMYFUNCTION("""COMPUTED_VALUE"""),1.7)</f>
        <v>1.7</v>
      </c>
      <c r="F1706" s="2"/>
      <c r="G1706" s="2"/>
      <c r="H1706" s="2"/>
      <c r="I1706" s="2"/>
    </row>
    <row r="1707">
      <c r="A1707" s="2">
        <f>IFERROR(__xludf.DUMMYFUNCTION("""COMPUTED_VALUE"""),116205.0)</f>
        <v>116205</v>
      </c>
      <c r="B1707" s="2" t="str">
        <f>IFERROR(__xludf.DUMMYFUNCTION("""COMPUTED_VALUE"""),"History")</f>
        <v>History</v>
      </c>
      <c r="C1707" s="2" t="str">
        <f>IFERROR(__xludf.DUMMYFUNCTION("""COMPUTED_VALUE"""),"Productivity")</f>
        <v>Productivity</v>
      </c>
      <c r="D1707" s="2" t="str">
        <f>IFERROR(__xludf.DUMMYFUNCTION("""COMPUTED_VALUE"""),"Ironpath Publishing")</f>
        <v>Ironpath Publishing</v>
      </c>
      <c r="E1707" s="2">
        <f>IFERROR(__xludf.DUMMYFUNCTION("""COMPUTED_VALUE"""),2.11)</f>
        <v>2.11</v>
      </c>
      <c r="F1707" s="2"/>
      <c r="G1707" s="2"/>
      <c r="H1707" s="2"/>
      <c r="I1707" s="2"/>
    </row>
    <row r="1708">
      <c r="A1708" s="2">
        <f>IFERROR(__xludf.DUMMYFUNCTION("""COMPUTED_VALUE"""),117113.0)</f>
        <v>117113</v>
      </c>
      <c r="B1708" s="2" t="str">
        <f>IFERROR(__xludf.DUMMYFUNCTION("""COMPUTED_VALUE"""),"History")</f>
        <v>History</v>
      </c>
      <c r="C1708" s="2" t="str">
        <f>IFERROR(__xludf.DUMMYFUNCTION("""COMPUTED_VALUE"""),"Productivity")</f>
        <v>Productivity</v>
      </c>
      <c r="D1708" s="2" t="str">
        <f>IFERROR(__xludf.DUMMYFUNCTION("""COMPUTED_VALUE"""),"Ironpath Publishing")</f>
        <v>Ironpath Publishing</v>
      </c>
      <c r="E1708" s="2">
        <f>IFERROR(__xludf.DUMMYFUNCTION("""COMPUTED_VALUE"""),1.79)</f>
        <v>1.79</v>
      </c>
      <c r="F1708" s="2"/>
      <c r="G1708" s="2"/>
      <c r="H1708" s="2"/>
      <c r="I1708" s="2"/>
    </row>
    <row r="1709">
      <c r="A1709" s="2">
        <f>IFERROR(__xludf.DUMMYFUNCTION("""COMPUTED_VALUE"""),71716.0)</f>
        <v>71716</v>
      </c>
      <c r="B1709" s="2" t="str">
        <f>IFERROR(__xludf.DUMMYFUNCTION("""COMPUTED_VALUE"""),"History")</f>
        <v>History</v>
      </c>
      <c r="C1709" s="2" t="str">
        <f>IFERROR(__xludf.DUMMYFUNCTION("""COMPUTED_VALUE"""),"Productivity")</f>
        <v>Productivity</v>
      </c>
      <c r="D1709" s="2" t="str">
        <f>IFERROR(__xludf.DUMMYFUNCTION("""COMPUTED_VALUE"""),"Ironpath Publishing")</f>
        <v>Ironpath Publishing</v>
      </c>
      <c r="E1709" s="2">
        <f>IFERROR(__xludf.DUMMYFUNCTION("""COMPUTED_VALUE"""),5.2)</f>
        <v>5.2</v>
      </c>
      <c r="F1709" s="2"/>
      <c r="G1709" s="2"/>
      <c r="H1709" s="2"/>
      <c r="I1709" s="2"/>
    </row>
    <row r="1710">
      <c r="A1710" s="2">
        <f>IFERROR(__xludf.DUMMYFUNCTION("""COMPUTED_VALUE"""),44398.0)</f>
        <v>44398</v>
      </c>
      <c r="B1710" s="2" t="str">
        <f>IFERROR(__xludf.DUMMYFUNCTION("""COMPUTED_VALUE"""),"History")</f>
        <v>History</v>
      </c>
      <c r="C1710" s="2" t="str">
        <f>IFERROR(__xludf.DUMMYFUNCTION("""COMPUTED_VALUE"""),"Productivity")</f>
        <v>Productivity</v>
      </c>
      <c r="D1710" s="2" t="str">
        <f>IFERROR(__xludf.DUMMYFUNCTION("""COMPUTED_VALUE"""),"Silvercrest Books")</f>
        <v>Silvercrest Books</v>
      </c>
      <c r="E1710" s="2">
        <f>IFERROR(__xludf.DUMMYFUNCTION("""COMPUTED_VALUE"""),2.36)</f>
        <v>2.36</v>
      </c>
      <c r="F1710" s="2"/>
      <c r="G1710" s="2"/>
      <c r="H1710" s="2"/>
      <c r="I1710" s="2"/>
    </row>
    <row r="1711">
      <c r="A1711" s="2">
        <f>IFERROR(__xludf.DUMMYFUNCTION("""COMPUTED_VALUE"""),100932.0)</f>
        <v>100932</v>
      </c>
      <c r="B1711" s="2" t="str">
        <f>IFERROR(__xludf.DUMMYFUNCTION("""COMPUTED_VALUE"""),"History")</f>
        <v>History</v>
      </c>
      <c r="C1711" s="2" t="str">
        <f>IFERROR(__xludf.DUMMYFUNCTION("""COMPUTED_VALUE"""),"Productivity")</f>
        <v>Productivity</v>
      </c>
      <c r="D1711" s="2" t="str">
        <f>IFERROR(__xludf.DUMMYFUNCTION("""COMPUTED_VALUE"""),"Silvercrest Books")</f>
        <v>Silvercrest Books</v>
      </c>
      <c r="E1711" s="2">
        <f>IFERROR(__xludf.DUMMYFUNCTION("""COMPUTED_VALUE"""),6.54)</f>
        <v>6.54</v>
      </c>
      <c r="F1711" s="2"/>
      <c r="G1711" s="2"/>
      <c r="H1711" s="2"/>
      <c r="I1711" s="2"/>
    </row>
    <row r="1712">
      <c r="A1712" s="2">
        <f>IFERROR(__xludf.DUMMYFUNCTION("""COMPUTED_VALUE"""),117125.0)</f>
        <v>117125</v>
      </c>
      <c r="B1712" s="2" t="str">
        <f>IFERROR(__xludf.DUMMYFUNCTION("""COMPUTED_VALUE"""),"History")</f>
        <v>History</v>
      </c>
      <c r="C1712" s="2" t="str">
        <f>IFERROR(__xludf.DUMMYFUNCTION("""COMPUTED_VALUE"""),"Productivity")</f>
        <v>Productivity</v>
      </c>
      <c r="D1712" s="2" t="str">
        <f>IFERROR(__xludf.DUMMYFUNCTION("""COMPUTED_VALUE"""),"Silvercrest Books")</f>
        <v>Silvercrest Books</v>
      </c>
      <c r="E1712" s="2">
        <f>IFERROR(__xludf.DUMMYFUNCTION("""COMPUTED_VALUE"""),1.97)</f>
        <v>1.97</v>
      </c>
      <c r="F1712" s="2"/>
      <c r="G1712" s="2"/>
      <c r="H1712" s="2"/>
      <c r="I1712" s="2"/>
    </row>
    <row r="1713">
      <c r="A1713" s="2">
        <f>IFERROR(__xludf.DUMMYFUNCTION("""COMPUTED_VALUE"""),19746.0)</f>
        <v>19746</v>
      </c>
      <c r="B1713" s="2" t="str">
        <f>IFERROR(__xludf.DUMMYFUNCTION("""COMPUTED_VALUE"""),"History")</f>
        <v>History</v>
      </c>
      <c r="C1713" s="2" t="str">
        <f>IFERROR(__xludf.DUMMYFUNCTION("""COMPUTED_VALUE"""),"Productivity")</f>
        <v>Productivity</v>
      </c>
      <c r="D1713" s="2" t="str">
        <f>IFERROR(__xludf.DUMMYFUNCTION("""COMPUTED_VALUE"""),"Silvercrest Books")</f>
        <v>Silvercrest Books</v>
      </c>
      <c r="E1713" s="2">
        <f>IFERROR(__xludf.DUMMYFUNCTION("""COMPUTED_VALUE"""),1.96)</f>
        <v>1.96</v>
      </c>
      <c r="F1713" s="2"/>
      <c r="G1713" s="2"/>
      <c r="H1713" s="2"/>
      <c r="I1713" s="2"/>
    </row>
    <row r="1714">
      <c r="A1714" s="2">
        <f>IFERROR(__xludf.DUMMYFUNCTION("""COMPUTED_VALUE"""),80729.0)</f>
        <v>80729</v>
      </c>
      <c r="B1714" s="2" t="str">
        <f>IFERROR(__xludf.DUMMYFUNCTION("""COMPUTED_VALUE"""),"History")</f>
        <v>History</v>
      </c>
      <c r="C1714" s="2" t="str">
        <f>IFERROR(__xludf.DUMMYFUNCTION("""COMPUTED_VALUE"""),"Productivity")</f>
        <v>Productivity</v>
      </c>
      <c r="D1714" s="2" t="str">
        <f>IFERROR(__xludf.DUMMYFUNCTION("""COMPUTED_VALUE"""),"Silvercrest Books")</f>
        <v>Silvercrest Books</v>
      </c>
      <c r="E1714" s="2">
        <f>IFERROR(__xludf.DUMMYFUNCTION("""COMPUTED_VALUE"""),2.11)</f>
        <v>2.11</v>
      </c>
      <c r="F1714" s="2"/>
      <c r="G1714" s="2"/>
      <c r="H1714" s="2"/>
      <c r="I1714" s="2"/>
    </row>
    <row r="1715">
      <c r="A1715" s="2">
        <f>IFERROR(__xludf.DUMMYFUNCTION("""COMPUTED_VALUE"""),19800.0)</f>
        <v>19800</v>
      </c>
      <c r="B1715" s="2" t="str">
        <f>IFERROR(__xludf.DUMMYFUNCTION("""COMPUTED_VALUE"""),"History")</f>
        <v>History</v>
      </c>
      <c r="C1715" s="2" t="str">
        <f>IFERROR(__xludf.DUMMYFUNCTION("""COMPUTED_VALUE"""),"Productivity")</f>
        <v>Productivity</v>
      </c>
      <c r="D1715" s="2" t="str">
        <f>IFERROR(__xludf.DUMMYFUNCTION("""COMPUTED_VALUE"""),"Silvercrest Books")</f>
        <v>Silvercrest Books</v>
      </c>
      <c r="E1715" s="2">
        <f>IFERROR(__xludf.DUMMYFUNCTION("""COMPUTED_VALUE"""),2.33)</f>
        <v>2.33</v>
      </c>
      <c r="F1715" s="2"/>
      <c r="G1715" s="2"/>
      <c r="H1715" s="2"/>
      <c r="I1715" s="2"/>
    </row>
    <row r="1716">
      <c r="A1716" s="2">
        <f>IFERROR(__xludf.DUMMYFUNCTION("""COMPUTED_VALUE"""),19790.0)</f>
        <v>19790</v>
      </c>
      <c r="B1716" s="2" t="str">
        <f>IFERROR(__xludf.DUMMYFUNCTION("""COMPUTED_VALUE"""),"History")</f>
        <v>History</v>
      </c>
      <c r="C1716" s="2" t="str">
        <f>IFERROR(__xludf.DUMMYFUNCTION("""COMPUTED_VALUE"""),"Productivity")</f>
        <v>Productivity</v>
      </c>
      <c r="D1716" s="2" t="str">
        <f>IFERROR(__xludf.DUMMYFUNCTION("""COMPUTED_VALUE"""),"Silvercrest Books")</f>
        <v>Silvercrest Books</v>
      </c>
      <c r="E1716" s="2">
        <f>IFERROR(__xludf.DUMMYFUNCTION("""COMPUTED_VALUE"""),0.68)</f>
        <v>0.68</v>
      </c>
      <c r="F1716" s="2"/>
      <c r="G1716" s="2"/>
      <c r="H1716" s="2"/>
      <c r="I1716" s="2"/>
    </row>
    <row r="1717">
      <c r="A1717" s="2">
        <f>IFERROR(__xludf.DUMMYFUNCTION("""COMPUTED_VALUE"""),19747.0)</f>
        <v>19747</v>
      </c>
      <c r="B1717" s="2" t="str">
        <f>IFERROR(__xludf.DUMMYFUNCTION("""COMPUTED_VALUE"""),"History")</f>
        <v>History</v>
      </c>
      <c r="C1717" s="2" t="str">
        <f>IFERROR(__xludf.DUMMYFUNCTION("""COMPUTED_VALUE"""),"Productivity")</f>
        <v>Productivity</v>
      </c>
      <c r="D1717" s="2" t="str">
        <f>IFERROR(__xludf.DUMMYFUNCTION("""COMPUTED_VALUE"""),"Silvercrest Books")</f>
        <v>Silvercrest Books</v>
      </c>
      <c r="E1717" s="2">
        <f>IFERROR(__xludf.DUMMYFUNCTION("""COMPUTED_VALUE"""),3.38)</f>
        <v>3.38</v>
      </c>
      <c r="F1717" s="2"/>
      <c r="G1717" s="2"/>
      <c r="H1717" s="2"/>
      <c r="I1717" s="2"/>
    </row>
    <row r="1718">
      <c r="A1718" s="2">
        <f>IFERROR(__xludf.DUMMYFUNCTION("""COMPUTED_VALUE"""),44524.0)</f>
        <v>44524</v>
      </c>
      <c r="B1718" s="2" t="str">
        <f>IFERROR(__xludf.DUMMYFUNCTION("""COMPUTED_VALUE"""),"Sports")</f>
        <v>Sports</v>
      </c>
      <c r="C1718" s="2" t="str">
        <f>IFERROR(__xludf.DUMMYFUNCTION("""COMPUTED_VALUE"""),"Time Management")</f>
        <v>Time Management</v>
      </c>
      <c r="D1718" s="2" t="str">
        <f>IFERROR(__xludf.DUMMYFUNCTION("""COMPUTED_VALUE"""),"Northcrest Press")</f>
        <v>Northcrest Press</v>
      </c>
      <c r="E1718" s="2">
        <f>IFERROR(__xludf.DUMMYFUNCTION("""COMPUTED_VALUE"""),5.21)</f>
        <v>5.21</v>
      </c>
      <c r="F1718" s="2"/>
      <c r="G1718" s="2"/>
      <c r="H1718" s="2"/>
      <c r="I1718" s="2"/>
    </row>
    <row r="1719">
      <c r="A1719" s="2">
        <f>IFERROR(__xludf.DUMMYFUNCTION("""COMPUTED_VALUE"""),103839.0)</f>
        <v>103839</v>
      </c>
      <c r="B1719" s="2" t="str">
        <f>IFERROR(__xludf.DUMMYFUNCTION("""COMPUTED_VALUE"""),"Sports")</f>
        <v>Sports</v>
      </c>
      <c r="C1719" s="2" t="str">
        <f>IFERROR(__xludf.DUMMYFUNCTION("""COMPUTED_VALUE"""),"Time Management")</f>
        <v>Time Management</v>
      </c>
      <c r="D1719" s="2" t="str">
        <f>IFERROR(__xludf.DUMMYFUNCTION("""COMPUTED_VALUE"""),"Northcrest Press")</f>
        <v>Northcrest Press</v>
      </c>
      <c r="E1719" s="2">
        <f>IFERROR(__xludf.DUMMYFUNCTION("""COMPUTED_VALUE"""),3.85)</f>
        <v>3.85</v>
      </c>
      <c r="F1719" s="2"/>
      <c r="G1719" s="2"/>
      <c r="H1719" s="2"/>
      <c r="I1719" s="2"/>
    </row>
    <row r="1720">
      <c r="A1720" s="2">
        <f>IFERROR(__xludf.DUMMYFUNCTION("""COMPUTED_VALUE"""),195240.0)</f>
        <v>195240</v>
      </c>
      <c r="B1720" s="2" t="str">
        <f>IFERROR(__xludf.DUMMYFUNCTION("""COMPUTED_VALUE"""),"Sports")</f>
        <v>Sports</v>
      </c>
      <c r="C1720" s="2" t="str">
        <f>IFERROR(__xludf.DUMMYFUNCTION("""COMPUTED_VALUE"""),"Time Management")</f>
        <v>Time Management</v>
      </c>
      <c r="D1720" s="2" t="str">
        <f>IFERROR(__xludf.DUMMYFUNCTION("""COMPUTED_VALUE"""),"Northcrest Press")</f>
        <v>Northcrest Press</v>
      </c>
      <c r="E1720" s="2">
        <f>IFERROR(__xludf.DUMMYFUNCTION("""COMPUTED_VALUE"""),6.02)</f>
        <v>6.02</v>
      </c>
      <c r="F1720" s="2"/>
      <c r="G1720" s="2"/>
      <c r="H1720" s="2"/>
      <c r="I1720" s="2"/>
    </row>
    <row r="1721">
      <c r="A1721" s="2">
        <f>IFERROR(__xludf.DUMMYFUNCTION("""COMPUTED_VALUE"""),195244.0)</f>
        <v>195244</v>
      </c>
      <c r="B1721" s="2" t="str">
        <f>IFERROR(__xludf.DUMMYFUNCTION("""COMPUTED_VALUE"""),"Sports")</f>
        <v>Sports</v>
      </c>
      <c r="C1721" s="2" t="str">
        <f>IFERROR(__xludf.DUMMYFUNCTION("""COMPUTED_VALUE"""),"Time Management")</f>
        <v>Time Management</v>
      </c>
      <c r="D1721" s="2" t="str">
        <f>IFERROR(__xludf.DUMMYFUNCTION("""COMPUTED_VALUE"""),"Northcrest Press")</f>
        <v>Northcrest Press</v>
      </c>
      <c r="E1721" s="2">
        <f>IFERROR(__xludf.DUMMYFUNCTION("""COMPUTED_VALUE"""),5.94)</f>
        <v>5.94</v>
      </c>
      <c r="F1721" s="2"/>
      <c r="G1721" s="2"/>
      <c r="H1721" s="2"/>
      <c r="I1721" s="2"/>
    </row>
    <row r="1722">
      <c r="A1722" s="2">
        <f>IFERROR(__xludf.DUMMYFUNCTION("""COMPUTED_VALUE"""),119465.0)</f>
        <v>119465</v>
      </c>
      <c r="B1722" s="2" t="str">
        <f>IFERROR(__xludf.DUMMYFUNCTION("""COMPUTED_VALUE"""),"Sports")</f>
        <v>Sports</v>
      </c>
      <c r="C1722" s="2" t="str">
        <f>IFERROR(__xludf.DUMMYFUNCTION("""COMPUTED_VALUE"""),"Time Management")</f>
        <v>Time Management</v>
      </c>
      <c r="D1722" s="2" t="str">
        <f>IFERROR(__xludf.DUMMYFUNCTION("""COMPUTED_VALUE"""),"Northcrest Press")</f>
        <v>Northcrest Press</v>
      </c>
      <c r="E1722" s="2">
        <f>IFERROR(__xludf.DUMMYFUNCTION("""COMPUTED_VALUE"""),3.94)</f>
        <v>3.94</v>
      </c>
      <c r="F1722" s="2"/>
      <c r="G1722" s="2"/>
      <c r="H1722" s="2"/>
      <c r="I1722" s="2"/>
    </row>
    <row r="1723">
      <c r="A1723" s="2">
        <f>IFERROR(__xludf.DUMMYFUNCTION("""COMPUTED_VALUE"""),47081.0)</f>
        <v>47081</v>
      </c>
      <c r="B1723" s="2" t="str">
        <f>IFERROR(__xludf.DUMMYFUNCTION("""COMPUTED_VALUE"""),"Sports")</f>
        <v>Sports</v>
      </c>
      <c r="C1723" s="2" t="str">
        <f>IFERROR(__xludf.DUMMYFUNCTION("""COMPUTED_VALUE"""),"Time Management")</f>
        <v>Time Management</v>
      </c>
      <c r="D1723" s="2" t="str">
        <f>IFERROR(__xludf.DUMMYFUNCTION("""COMPUTED_VALUE"""),"Harborcrest Publishing")</f>
        <v>Harborcrest Publishing</v>
      </c>
      <c r="E1723" s="2">
        <f>IFERROR(__xludf.DUMMYFUNCTION("""COMPUTED_VALUE"""),12.51)</f>
        <v>12.51</v>
      </c>
      <c r="F1723" s="2"/>
      <c r="G1723" s="2"/>
      <c r="H1723" s="2"/>
      <c r="I1723" s="2"/>
    </row>
    <row r="1724">
      <c r="A1724" s="2">
        <f>IFERROR(__xludf.DUMMYFUNCTION("""COMPUTED_VALUE"""),91635.0)</f>
        <v>91635</v>
      </c>
      <c r="B1724" s="2" t="str">
        <f>IFERROR(__xludf.DUMMYFUNCTION("""COMPUTED_VALUE"""),"Sports")</f>
        <v>Sports</v>
      </c>
      <c r="C1724" s="2" t="str">
        <f>IFERROR(__xludf.DUMMYFUNCTION("""COMPUTED_VALUE"""),"Time Management")</f>
        <v>Time Management</v>
      </c>
      <c r="D1724" s="2" t="str">
        <f>IFERROR(__xludf.DUMMYFUNCTION("""COMPUTED_VALUE"""),"Cedarcrest Books")</f>
        <v>Cedarcrest Books</v>
      </c>
      <c r="E1724" s="2">
        <f>IFERROR(__xludf.DUMMYFUNCTION("""COMPUTED_VALUE"""),4.01)</f>
        <v>4.01</v>
      </c>
      <c r="F1724" s="2"/>
      <c r="G1724" s="2"/>
      <c r="H1724" s="2"/>
      <c r="I1724" s="2"/>
    </row>
    <row r="1725">
      <c r="A1725" s="2">
        <f>IFERROR(__xludf.DUMMYFUNCTION("""COMPUTED_VALUE"""),188359.0)</f>
        <v>188359</v>
      </c>
      <c r="B1725" s="2" t="str">
        <f>IFERROR(__xludf.DUMMYFUNCTION("""COMPUTED_VALUE"""),"Sports")</f>
        <v>Sports</v>
      </c>
      <c r="C1725" s="2" t="str">
        <f>IFERROR(__xludf.DUMMYFUNCTION("""COMPUTED_VALUE"""),"Time Management")</f>
        <v>Time Management</v>
      </c>
      <c r="D1725" s="2" t="str">
        <f>IFERROR(__xludf.DUMMYFUNCTION("""COMPUTED_VALUE"""),"Cedarcrest Books")</f>
        <v>Cedarcrest Books</v>
      </c>
      <c r="E1725" s="2">
        <f>IFERROR(__xludf.DUMMYFUNCTION("""COMPUTED_VALUE"""),4.28)</f>
        <v>4.28</v>
      </c>
      <c r="F1725" s="2"/>
      <c r="G1725" s="2"/>
      <c r="H1725" s="2"/>
      <c r="I1725" s="2"/>
    </row>
    <row r="1726">
      <c r="A1726" s="2">
        <f>IFERROR(__xludf.DUMMYFUNCTION("""COMPUTED_VALUE"""),29655.0)</f>
        <v>29655</v>
      </c>
      <c r="B1726" s="2" t="str">
        <f>IFERROR(__xludf.DUMMYFUNCTION("""COMPUTED_VALUE"""),"Sports")</f>
        <v>Sports</v>
      </c>
      <c r="C1726" s="2" t="str">
        <f>IFERROR(__xludf.DUMMYFUNCTION("""COMPUTED_VALUE"""),"Time Management")</f>
        <v>Time Management</v>
      </c>
      <c r="D1726" s="2" t="str">
        <f>IFERROR(__xludf.DUMMYFUNCTION("""COMPUTED_VALUE"""),"Cedarcrest Books")</f>
        <v>Cedarcrest Books</v>
      </c>
      <c r="E1726" s="2">
        <f>IFERROR(__xludf.DUMMYFUNCTION("""COMPUTED_VALUE"""),3.39)</f>
        <v>3.39</v>
      </c>
      <c r="F1726" s="2"/>
      <c r="G1726" s="2"/>
      <c r="H1726" s="2"/>
      <c r="I1726" s="2"/>
    </row>
    <row r="1727">
      <c r="A1727" s="2">
        <f>IFERROR(__xludf.DUMMYFUNCTION("""COMPUTED_VALUE"""),193188.0)</f>
        <v>193188</v>
      </c>
      <c r="B1727" s="2" t="str">
        <f>IFERROR(__xludf.DUMMYFUNCTION("""COMPUTED_VALUE"""),"Sports")</f>
        <v>Sports</v>
      </c>
      <c r="C1727" s="2" t="str">
        <f>IFERROR(__xludf.DUMMYFUNCTION("""COMPUTED_VALUE"""),"Time Management")</f>
        <v>Time Management</v>
      </c>
      <c r="D1727" s="2" t="str">
        <f>IFERROR(__xludf.DUMMYFUNCTION("""COMPUTED_VALUE"""),"Brightcrest Press")</f>
        <v>Brightcrest Press</v>
      </c>
      <c r="E1727" s="2">
        <f>IFERROR(__xludf.DUMMYFUNCTION("""COMPUTED_VALUE"""),3.41)</f>
        <v>3.41</v>
      </c>
      <c r="F1727" s="2"/>
      <c r="G1727" s="2"/>
      <c r="H1727" s="2"/>
      <c r="I1727" s="2"/>
    </row>
    <row r="1728">
      <c r="A1728" s="2">
        <f>IFERROR(__xludf.DUMMYFUNCTION("""COMPUTED_VALUE"""),188367.0)</f>
        <v>188367</v>
      </c>
      <c r="B1728" s="2" t="str">
        <f>IFERROR(__xludf.DUMMYFUNCTION("""COMPUTED_VALUE"""),"Sports")</f>
        <v>Sports</v>
      </c>
      <c r="C1728" s="2" t="str">
        <f>IFERROR(__xludf.DUMMYFUNCTION("""COMPUTED_VALUE"""),"Time Management")</f>
        <v>Time Management</v>
      </c>
      <c r="D1728" s="2" t="str">
        <f>IFERROR(__xludf.DUMMYFUNCTION("""COMPUTED_VALUE"""),"Brightcrest Press")</f>
        <v>Brightcrest Press</v>
      </c>
      <c r="E1728" s="2">
        <f>IFERROR(__xludf.DUMMYFUNCTION("""COMPUTED_VALUE"""),4.53)</f>
        <v>4.53</v>
      </c>
      <c r="F1728" s="2"/>
      <c r="G1728" s="2"/>
      <c r="H1728" s="2"/>
      <c r="I1728" s="2"/>
    </row>
    <row r="1729">
      <c r="A1729" s="2">
        <f>IFERROR(__xludf.DUMMYFUNCTION("""COMPUTED_VALUE"""),188853.0)</f>
        <v>188853</v>
      </c>
      <c r="B1729" s="2" t="str">
        <f>IFERROR(__xludf.DUMMYFUNCTION("""COMPUTED_VALUE"""),"Sports")</f>
        <v>Sports</v>
      </c>
      <c r="C1729" s="2" t="str">
        <f>IFERROR(__xludf.DUMMYFUNCTION("""COMPUTED_VALUE"""),"Time Management")</f>
        <v>Time Management</v>
      </c>
      <c r="D1729" s="2" t="str">
        <f>IFERROR(__xludf.DUMMYFUNCTION("""COMPUTED_VALUE"""),"Brightcrest Press")</f>
        <v>Brightcrest Press</v>
      </c>
      <c r="E1729" s="2">
        <f>IFERROR(__xludf.DUMMYFUNCTION("""COMPUTED_VALUE"""),7.56)</f>
        <v>7.56</v>
      </c>
      <c r="F1729" s="2"/>
      <c r="G1729" s="2"/>
      <c r="H1729" s="2"/>
      <c r="I1729" s="2"/>
    </row>
    <row r="1730">
      <c r="A1730" s="2">
        <f>IFERROR(__xludf.DUMMYFUNCTION("""COMPUTED_VALUE"""),116214.0)</f>
        <v>116214</v>
      </c>
      <c r="B1730" s="2" t="str">
        <f>IFERROR(__xludf.DUMMYFUNCTION("""COMPUTED_VALUE"""),"Sports")</f>
        <v>Sports</v>
      </c>
      <c r="C1730" s="2" t="str">
        <f>IFERROR(__xludf.DUMMYFUNCTION("""COMPUTED_VALUE"""),"Time Management")</f>
        <v>Time Management</v>
      </c>
      <c r="D1730" s="2" t="str">
        <f>IFERROR(__xludf.DUMMYFUNCTION("""COMPUTED_VALUE"""),"Oakcrest Publishing")</f>
        <v>Oakcrest Publishing</v>
      </c>
      <c r="E1730" s="2">
        <f>IFERROR(__xludf.DUMMYFUNCTION("""COMPUTED_VALUE"""),9.61)</f>
        <v>9.61</v>
      </c>
      <c r="F1730" s="2"/>
      <c r="G1730" s="2"/>
      <c r="H1730" s="2"/>
      <c r="I1730" s="2"/>
    </row>
    <row r="1731">
      <c r="A1731" s="2">
        <f>IFERROR(__xludf.DUMMYFUNCTION("""COMPUTED_VALUE"""),82296.0)</f>
        <v>82296</v>
      </c>
      <c r="B1731" s="2" t="str">
        <f>IFERROR(__xludf.DUMMYFUNCTION("""COMPUTED_VALUE"""),"Sports")</f>
        <v>Sports</v>
      </c>
      <c r="C1731" s="2" t="str">
        <f>IFERROR(__xludf.DUMMYFUNCTION("""COMPUTED_VALUE"""),"Time Management")</f>
        <v>Time Management</v>
      </c>
      <c r="D1731" s="2" t="str">
        <f>IFERROR(__xludf.DUMMYFUNCTION("""COMPUTED_VALUE"""),"Oakcrest Publishing")</f>
        <v>Oakcrest Publishing</v>
      </c>
      <c r="E1731" s="2">
        <f>IFERROR(__xludf.DUMMYFUNCTION("""COMPUTED_VALUE"""),20.33)</f>
        <v>20.33</v>
      </c>
      <c r="F1731" s="2"/>
      <c r="G1731" s="2"/>
      <c r="H1731" s="2"/>
      <c r="I1731" s="2"/>
    </row>
    <row r="1732">
      <c r="A1732" s="2">
        <f>IFERROR(__xludf.DUMMYFUNCTION("""COMPUTED_VALUE"""),10269.0)</f>
        <v>10269</v>
      </c>
      <c r="B1732" s="2" t="str">
        <f>IFERROR(__xludf.DUMMYFUNCTION("""COMPUTED_VALUE"""),"Self-Help")</f>
        <v>Self-Help</v>
      </c>
      <c r="C1732" s="2" t="str">
        <f>IFERROR(__xludf.DUMMYFUNCTION("""COMPUTED_VALUE"""),"Habits")</f>
        <v>Habits</v>
      </c>
      <c r="D1732" s="2" t="str">
        <f>IFERROR(__xludf.DUMMYFUNCTION("""COMPUTED_VALUE"""),"Rivercrest Books")</f>
        <v>Rivercrest Books</v>
      </c>
      <c r="E1732" s="2">
        <f>IFERROR(__xludf.DUMMYFUNCTION("""COMPUTED_VALUE"""),1.56)</f>
        <v>1.56</v>
      </c>
      <c r="F1732" s="2"/>
      <c r="G1732" s="2"/>
      <c r="H1732" s="2"/>
      <c r="I1732" s="2"/>
    </row>
    <row r="1733">
      <c r="A1733" s="2">
        <f>IFERROR(__xludf.DUMMYFUNCTION("""COMPUTED_VALUE"""),121860.0)</f>
        <v>121860</v>
      </c>
      <c r="B1733" s="2" t="str">
        <f>IFERROR(__xludf.DUMMYFUNCTION("""COMPUTED_VALUE"""),"Self-Help")</f>
        <v>Self-Help</v>
      </c>
      <c r="C1733" s="2" t="str">
        <f>IFERROR(__xludf.DUMMYFUNCTION("""COMPUTED_VALUE"""),"Habits")</f>
        <v>Habits</v>
      </c>
      <c r="D1733" s="2" t="str">
        <f>IFERROR(__xludf.DUMMYFUNCTION("""COMPUTED_VALUE"""),"Rivercrest Books")</f>
        <v>Rivercrest Books</v>
      </c>
      <c r="E1733" s="2">
        <f>IFERROR(__xludf.DUMMYFUNCTION("""COMPUTED_VALUE"""),28.87)</f>
        <v>28.87</v>
      </c>
      <c r="F1733" s="2"/>
      <c r="G1733" s="2"/>
      <c r="H1733" s="2"/>
      <c r="I1733" s="2"/>
    </row>
    <row r="1734">
      <c r="A1734" s="2">
        <f>IFERROR(__xludf.DUMMYFUNCTION("""COMPUTED_VALUE"""),100464.0)</f>
        <v>100464</v>
      </c>
      <c r="B1734" s="2" t="str">
        <f>IFERROR(__xludf.DUMMYFUNCTION("""COMPUTED_VALUE"""),"Self-Help")</f>
        <v>Self-Help</v>
      </c>
      <c r="C1734" s="2" t="str">
        <f>IFERROR(__xludf.DUMMYFUNCTION("""COMPUTED_VALUE"""),"Habits")</f>
        <v>Habits</v>
      </c>
      <c r="D1734" s="2" t="str">
        <f>IFERROR(__xludf.DUMMYFUNCTION("""COMPUTED_VALUE"""),"Rivercrest Books")</f>
        <v>Rivercrest Books</v>
      </c>
      <c r="E1734" s="2">
        <f>IFERROR(__xludf.DUMMYFUNCTION("""COMPUTED_VALUE"""),12.36)</f>
        <v>12.36</v>
      </c>
      <c r="F1734" s="2"/>
      <c r="G1734" s="2"/>
      <c r="H1734" s="2"/>
      <c r="I1734" s="2"/>
    </row>
    <row r="1735">
      <c r="A1735" s="2">
        <f>IFERROR(__xludf.DUMMYFUNCTION("""COMPUTED_VALUE"""),10270.0)</f>
        <v>10270</v>
      </c>
      <c r="B1735" s="2" t="str">
        <f>IFERROR(__xludf.DUMMYFUNCTION("""COMPUTED_VALUE"""),"Self-Help")</f>
        <v>Self-Help</v>
      </c>
      <c r="C1735" s="2" t="str">
        <f>IFERROR(__xludf.DUMMYFUNCTION("""COMPUTED_VALUE"""),"Habits")</f>
        <v>Habits</v>
      </c>
      <c r="D1735" s="2" t="str">
        <f>IFERROR(__xludf.DUMMYFUNCTION("""COMPUTED_VALUE"""),"Rivercrest Books")</f>
        <v>Rivercrest Books</v>
      </c>
      <c r="E1735" s="2">
        <f>IFERROR(__xludf.DUMMYFUNCTION("""COMPUTED_VALUE"""),1.43)</f>
        <v>1.43</v>
      </c>
      <c r="F1735" s="2"/>
      <c r="G1735" s="2"/>
      <c r="H1735" s="2"/>
      <c r="I1735" s="2"/>
    </row>
    <row r="1736">
      <c r="A1736" s="2">
        <f>IFERROR(__xludf.DUMMYFUNCTION("""COMPUTED_VALUE"""),10283.0)</f>
        <v>10283</v>
      </c>
      <c r="B1736" s="2" t="str">
        <f>IFERROR(__xludf.DUMMYFUNCTION("""COMPUTED_VALUE"""),"Self-Help")</f>
        <v>Self-Help</v>
      </c>
      <c r="C1736" s="2" t="str">
        <f>IFERROR(__xludf.DUMMYFUNCTION("""COMPUTED_VALUE"""),"Habits")</f>
        <v>Habits</v>
      </c>
      <c r="D1736" s="2" t="str">
        <f>IFERROR(__xludf.DUMMYFUNCTION("""COMPUTED_VALUE"""),"Rivercrest Books")</f>
        <v>Rivercrest Books</v>
      </c>
      <c r="E1736" s="2">
        <f>IFERROR(__xludf.DUMMYFUNCTION("""COMPUTED_VALUE"""),0.48)</f>
        <v>0.48</v>
      </c>
      <c r="F1736" s="2"/>
      <c r="G1736" s="2"/>
      <c r="H1736" s="2"/>
      <c r="I1736" s="2"/>
    </row>
    <row r="1737">
      <c r="A1737" s="2">
        <f>IFERROR(__xludf.DUMMYFUNCTION("""COMPUTED_VALUE"""),10278.0)</f>
        <v>10278</v>
      </c>
      <c r="B1737" s="2" t="str">
        <f>IFERROR(__xludf.DUMMYFUNCTION("""COMPUTED_VALUE"""),"Self-Help")</f>
        <v>Self-Help</v>
      </c>
      <c r="C1737" s="2" t="str">
        <f>IFERROR(__xludf.DUMMYFUNCTION("""COMPUTED_VALUE"""),"Habits")</f>
        <v>Habits</v>
      </c>
      <c r="D1737" s="2" t="str">
        <f>IFERROR(__xludf.DUMMYFUNCTION("""COMPUTED_VALUE"""),"Rivercrest Books")</f>
        <v>Rivercrest Books</v>
      </c>
      <c r="E1737" s="2">
        <f>IFERROR(__xludf.DUMMYFUNCTION("""COMPUTED_VALUE"""),0.42)</f>
        <v>0.42</v>
      </c>
      <c r="F1737" s="2"/>
      <c r="G1737" s="2"/>
      <c r="H1737" s="2"/>
      <c r="I1737" s="2"/>
    </row>
    <row r="1738">
      <c r="A1738" s="2">
        <f>IFERROR(__xludf.DUMMYFUNCTION("""COMPUTED_VALUE"""),10259.0)</f>
        <v>10259</v>
      </c>
      <c r="B1738" s="2" t="str">
        <f>IFERROR(__xludf.DUMMYFUNCTION("""COMPUTED_VALUE"""),"Self-Help")</f>
        <v>Self-Help</v>
      </c>
      <c r="C1738" s="2" t="str">
        <f>IFERROR(__xludf.DUMMYFUNCTION("""COMPUTED_VALUE"""),"Habits")</f>
        <v>Habits</v>
      </c>
      <c r="D1738" s="2" t="str">
        <f>IFERROR(__xludf.DUMMYFUNCTION("""COMPUTED_VALUE"""),"Ironcrest Press")</f>
        <v>Ironcrest Press</v>
      </c>
      <c r="E1738" s="2">
        <f>IFERROR(__xludf.DUMMYFUNCTION("""COMPUTED_VALUE"""),1.18)</f>
        <v>1.18</v>
      </c>
      <c r="F1738" s="2"/>
      <c r="G1738" s="2"/>
      <c r="H1738" s="2"/>
      <c r="I1738" s="2"/>
    </row>
    <row r="1739">
      <c r="A1739" s="2">
        <f>IFERROR(__xludf.DUMMYFUNCTION("""COMPUTED_VALUE"""),200359.0)</f>
        <v>200359</v>
      </c>
      <c r="B1739" s="2" t="str">
        <f>IFERROR(__xludf.DUMMYFUNCTION("""COMPUTED_VALUE"""),"Self-Help")</f>
        <v>Self-Help</v>
      </c>
      <c r="C1739" s="2" t="str">
        <f>IFERROR(__xludf.DUMMYFUNCTION("""COMPUTED_VALUE"""),"Habits")</f>
        <v>Habits</v>
      </c>
      <c r="D1739" s="2" t="str">
        <f>IFERROR(__xludf.DUMMYFUNCTION("""COMPUTED_VALUE"""),"Ironcrest Press")</f>
        <v>Ironcrest Press</v>
      </c>
      <c r="E1739" s="2">
        <f>IFERROR(__xludf.DUMMYFUNCTION("""COMPUTED_VALUE"""),1.95)</f>
        <v>1.95</v>
      </c>
      <c r="F1739" s="2"/>
      <c r="G1739" s="2"/>
      <c r="H1739" s="2"/>
      <c r="I1739" s="2"/>
    </row>
    <row r="1740">
      <c r="A1740" s="2">
        <f>IFERROR(__xludf.DUMMYFUNCTION("""COMPUTED_VALUE"""),10243.0)</f>
        <v>10243</v>
      </c>
      <c r="B1740" s="2" t="str">
        <f>IFERROR(__xludf.DUMMYFUNCTION("""COMPUTED_VALUE"""),"Self-Help")</f>
        <v>Self-Help</v>
      </c>
      <c r="C1740" s="2" t="str">
        <f>IFERROR(__xludf.DUMMYFUNCTION("""COMPUTED_VALUE"""),"Habits")</f>
        <v>Habits</v>
      </c>
      <c r="D1740" s="2" t="str">
        <f>IFERROR(__xludf.DUMMYFUNCTION("""COMPUTED_VALUE"""),"Ironcrest Press")</f>
        <v>Ironcrest Press</v>
      </c>
      <c r="E1740" s="2">
        <f>IFERROR(__xludf.DUMMYFUNCTION("""COMPUTED_VALUE"""),1.56)</f>
        <v>1.56</v>
      </c>
      <c r="F1740" s="2"/>
      <c r="G1740" s="2"/>
      <c r="H1740" s="2"/>
      <c r="I1740" s="2"/>
    </row>
    <row r="1741">
      <c r="A1741" s="2">
        <f>IFERROR(__xludf.DUMMYFUNCTION("""COMPUTED_VALUE"""),200360.0)</f>
        <v>200360</v>
      </c>
      <c r="B1741" s="2" t="str">
        <f>IFERROR(__xludf.DUMMYFUNCTION("""COMPUTED_VALUE"""),"Self-Help")</f>
        <v>Self-Help</v>
      </c>
      <c r="C1741" s="2" t="str">
        <f>IFERROR(__xludf.DUMMYFUNCTION("""COMPUTED_VALUE"""),"Habits")</f>
        <v>Habits</v>
      </c>
      <c r="D1741" s="2" t="str">
        <f>IFERROR(__xludf.DUMMYFUNCTION("""COMPUTED_VALUE"""),"Ironcrest Press")</f>
        <v>Ironcrest Press</v>
      </c>
      <c r="E1741" s="2">
        <f>IFERROR(__xludf.DUMMYFUNCTION("""COMPUTED_VALUE"""),1.74)</f>
        <v>1.74</v>
      </c>
      <c r="F1741" s="2"/>
      <c r="G1741" s="2"/>
      <c r="H1741" s="2"/>
      <c r="I1741" s="2"/>
    </row>
    <row r="1742">
      <c r="A1742" s="2">
        <f>IFERROR(__xludf.DUMMYFUNCTION("""COMPUTED_VALUE"""),196501.0)</f>
        <v>196501</v>
      </c>
      <c r="B1742" s="2" t="str">
        <f>IFERROR(__xludf.DUMMYFUNCTION("""COMPUTED_VALUE"""),"Self-Help")</f>
        <v>Self-Help</v>
      </c>
      <c r="C1742" s="2" t="str">
        <f>IFERROR(__xludf.DUMMYFUNCTION("""COMPUTED_VALUE"""),"Habits")</f>
        <v>Habits</v>
      </c>
      <c r="D1742" s="2" t="str">
        <f>IFERROR(__xludf.DUMMYFUNCTION("""COMPUTED_VALUE"""),"Ironcrest Press")</f>
        <v>Ironcrest Press</v>
      </c>
      <c r="E1742" s="2">
        <f>IFERROR(__xludf.DUMMYFUNCTION("""COMPUTED_VALUE"""),9.24)</f>
        <v>9.24</v>
      </c>
      <c r="F1742" s="2"/>
      <c r="G1742" s="2"/>
      <c r="H1742" s="2"/>
      <c r="I1742" s="2"/>
    </row>
    <row r="1743">
      <c r="A1743" s="2">
        <f>IFERROR(__xludf.DUMMYFUNCTION("""COMPUTED_VALUE"""),100460.0)</f>
        <v>100460</v>
      </c>
      <c r="B1743" s="2" t="str">
        <f>IFERROR(__xludf.DUMMYFUNCTION("""COMPUTED_VALUE"""),"Self-Help")</f>
        <v>Self-Help</v>
      </c>
      <c r="C1743" s="2" t="str">
        <f>IFERROR(__xludf.DUMMYFUNCTION("""COMPUTED_VALUE"""),"Habits")</f>
        <v>Habits</v>
      </c>
      <c r="D1743" s="2" t="str">
        <f>IFERROR(__xludf.DUMMYFUNCTION("""COMPUTED_VALUE"""),"Ironcrest Press")</f>
        <v>Ironcrest Press</v>
      </c>
      <c r="E1743" s="2">
        <f>IFERROR(__xludf.DUMMYFUNCTION("""COMPUTED_VALUE"""),10.87)</f>
        <v>10.87</v>
      </c>
      <c r="F1743" s="2"/>
      <c r="G1743" s="2"/>
      <c r="H1743" s="2"/>
      <c r="I1743" s="2"/>
    </row>
    <row r="1744">
      <c r="A1744" s="2">
        <f>IFERROR(__xludf.DUMMYFUNCTION("""COMPUTED_VALUE"""),5880.0)</f>
        <v>5880</v>
      </c>
      <c r="B1744" s="2" t="str">
        <f>IFERROR(__xludf.DUMMYFUNCTION("""COMPUTED_VALUE"""),"Self-Help")</f>
        <v>Self-Help</v>
      </c>
      <c r="C1744" s="2" t="str">
        <f>IFERROR(__xludf.DUMMYFUNCTION("""COMPUTED_VALUE"""),"Habits")</f>
        <v>Habits</v>
      </c>
      <c r="D1744" s="2" t="str">
        <f>IFERROR(__xludf.DUMMYFUNCTION("""COMPUTED_VALUE"""),"Silverbrook Publishing")</f>
        <v>Silverbrook Publishing</v>
      </c>
      <c r="E1744" s="2">
        <f>IFERROR(__xludf.DUMMYFUNCTION("""COMPUTED_VALUE"""),7.26)</f>
        <v>7.26</v>
      </c>
      <c r="F1744" s="2"/>
      <c r="G1744" s="2"/>
      <c r="H1744" s="2"/>
      <c r="I1744" s="2"/>
    </row>
    <row r="1745">
      <c r="A1745" s="2">
        <f>IFERROR(__xludf.DUMMYFUNCTION("""COMPUTED_VALUE"""),5872.0)</f>
        <v>5872</v>
      </c>
      <c r="B1745" s="2" t="str">
        <f>IFERROR(__xludf.DUMMYFUNCTION("""COMPUTED_VALUE"""),"Self-Help")</f>
        <v>Self-Help</v>
      </c>
      <c r="C1745" s="2" t="str">
        <f>IFERROR(__xludf.DUMMYFUNCTION("""COMPUTED_VALUE"""),"Habits")</f>
        <v>Habits</v>
      </c>
      <c r="D1745" s="2" t="str">
        <f>IFERROR(__xludf.DUMMYFUNCTION("""COMPUTED_VALUE"""),"Silverbrook Publishing")</f>
        <v>Silverbrook Publishing</v>
      </c>
      <c r="E1745" s="2">
        <f>IFERROR(__xludf.DUMMYFUNCTION("""COMPUTED_VALUE"""),15.84)</f>
        <v>15.84</v>
      </c>
      <c r="F1745" s="2"/>
      <c r="G1745" s="2"/>
      <c r="H1745" s="2"/>
      <c r="I1745" s="2"/>
    </row>
    <row r="1746">
      <c r="A1746" s="2">
        <f>IFERROR(__xludf.DUMMYFUNCTION("""COMPUTED_VALUE"""),114258.0)</f>
        <v>114258</v>
      </c>
      <c r="B1746" s="2" t="str">
        <f>IFERROR(__xludf.DUMMYFUNCTION("""COMPUTED_VALUE"""),"Self-Help")</f>
        <v>Self-Help</v>
      </c>
      <c r="C1746" s="2" t="str">
        <f>IFERROR(__xludf.DUMMYFUNCTION("""COMPUTED_VALUE"""),"Habits")</f>
        <v>Habits</v>
      </c>
      <c r="D1746" s="2" t="str">
        <f>IFERROR(__xludf.DUMMYFUNCTION("""COMPUTED_VALUE"""),"Silverbrook Publishing")</f>
        <v>Silverbrook Publishing</v>
      </c>
      <c r="E1746" s="2">
        <f>IFERROR(__xludf.DUMMYFUNCTION("""COMPUTED_VALUE"""),7.29)</f>
        <v>7.29</v>
      </c>
      <c r="F1746" s="2"/>
      <c r="G1746" s="2"/>
      <c r="H1746" s="2"/>
      <c r="I1746" s="2"/>
    </row>
    <row r="1747">
      <c r="A1747" s="2">
        <f>IFERROR(__xludf.DUMMYFUNCTION("""COMPUTED_VALUE"""),11122.0)</f>
        <v>11122</v>
      </c>
      <c r="B1747" s="2" t="str">
        <f>IFERROR(__xludf.DUMMYFUNCTION("""COMPUTED_VALUE"""),"Self-Help")</f>
        <v>Self-Help</v>
      </c>
      <c r="C1747" s="2" t="str">
        <f>IFERROR(__xludf.DUMMYFUNCTION("""COMPUTED_VALUE"""),"Habits")</f>
        <v>Habits</v>
      </c>
      <c r="D1747" s="2" t="str">
        <f>IFERROR(__xludf.DUMMYFUNCTION("""COMPUTED_VALUE"""),"Silverbrook Publishing")</f>
        <v>Silverbrook Publishing</v>
      </c>
      <c r="E1747" s="2">
        <f>IFERROR(__xludf.DUMMYFUNCTION("""COMPUTED_VALUE"""),9.51)</f>
        <v>9.51</v>
      </c>
      <c r="F1747" s="2"/>
      <c r="G1747" s="2"/>
      <c r="H1747" s="2"/>
      <c r="I1747" s="2"/>
    </row>
    <row r="1748">
      <c r="A1748" s="2">
        <f>IFERROR(__xludf.DUMMYFUNCTION("""COMPUTED_VALUE"""),116894.0)</f>
        <v>116894</v>
      </c>
      <c r="B1748" s="2" t="str">
        <f>IFERROR(__xludf.DUMMYFUNCTION("""COMPUTED_VALUE"""),"Self-Help")</f>
        <v>Self-Help</v>
      </c>
      <c r="C1748" s="2" t="str">
        <f>IFERROR(__xludf.DUMMYFUNCTION("""COMPUTED_VALUE"""),"Habits")</f>
        <v>Habits</v>
      </c>
      <c r="D1748" s="2" t="str">
        <f>IFERROR(__xludf.DUMMYFUNCTION("""COMPUTED_VALUE"""),"Silverbrook Publishing")</f>
        <v>Silverbrook Publishing</v>
      </c>
      <c r="E1748" s="2">
        <f>IFERROR(__xludf.DUMMYFUNCTION("""COMPUTED_VALUE"""),5.01)</f>
        <v>5.01</v>
      </c>
      <c r="F1748" s="2"/>
      <c r="G1748" s="2"/>
      <c r="H1748" s="2"/>
      <c r="I1748" s="2"/>
    </row>
    <row r="1749">
      <c r="A1749" s="2">
        <f>IFERROR(__xludf.DUMMYFUNCTION("""COMPUTED_VALUE"""),72994.0)</f>
        <v>72994</v>
      </c>
      <c r="B1749" s="2" t="str">
        <f>IFERROR(__xludf.DUMMYFUNCTION("""COMPUTED_VALUE"""),"Self-Help")</f>
        <v>Self-Help</v>
      </c>
      <c r="C1749" s="2" t="str">
        <f>IFERROR(__xludf.DUMMYFUNCTION("""COMPUTED_VALUE"""),"Habits")</f>
        <v>Habits</v>
      </c>
      <c r="D1749" s="2" t="str">
        <f>IFERROR(__xludf.DUMMYFUNCTION("""COMPUTED_VALUE"""),"Silverbrook Publishing")</f>
        <v>Silverbrook Publishing</v>
      </c>
      <c r="E1749" s="2">
        <f>IFERROR(__xludf.DUMMYFUNCTION("""COMPUTED_VALUE"""),11.83)</f>
        <v>11.83</v>
      </c>
      <c r="F1749" s="2"/>
      <c r="G1749" s="2"/>
      <c r="H1749" s="2"/>
      <c r="I1749" s="2"/>
    </row>
    <row r="1750">
      <c r="A1750" s="2">
        <f>IFERROR(__xludf.DUMMYFUNCTION("""COMPUTED_VALUE"""),120863.0)</f>
        <v>120863</v>
      </c>
      <c r="B1750" s="2" t="str">
        <f>IFERROR(__xludf.DUMMYFUNCTION("""COMPUTED_VALUE"""),"Law")</f>
        <v>Law</v>
      </c>
      <c r="C1750" s="2" t="str">
        <f>IFERROR(__xludf.DUMMYFUNCTION("""COMPUTED_VALUE"""),"Motivation")</f>
        <v>Motivation</v>
      </c>
      <c r="D1750" s="2" t="str">
        <f>IFERROR(__xludf.DUMMYFUNCTION("""COMPUTED_VALUE"""),"Northbrook Books")</f>
        <v>Northbrook Books</v>
      </c>
      <c r="E1750" s="2">
        <f>IFERROR(__xludf.DUMMYFUNCTION("""COMPUTED_VALUE"""),2.48)</f>
        <v>2.48</v>
      </c>
      <c r="F1750" s="2"/>
      <c r="G1750" s="2"/>
      <c r="H1750" s="2"/>
      <c r="I1750" s="2"/>
    </row>
    <row r="1751">
      <c r="A1751" s="2">
        <f>IFERROR(__xludf.DUMMYFUNCTION("""COMPUTED_VALUE"""),120870.0)</f>
        <v>120870</v>
      </c>
      <c r="B1751" s="2" t="str">
        <f>IFERROR(__xludf.DUMMYFUNCTION("""COMPUTED_VALUE"""),"Law")</f>
        <v>Law</v>
      </c>
      <c r="C1751" s="2" t="str">
        <f>IFERROR(__xludf.DUMMYFUNCTION("""COMPUTED_VALUE"""),"Motivation")</f>
        <v>Motivation</v>
      </c>
      <c r="D1751" s="2" t="str">
        <f>IFERROR(__xludf.DUMMYFUNCTION("""COMPUTED_VALUE"""),"Northbrook Books")</f>
        <v>Northbrook Books</v>
      </c>
      <c r="E1751" s="2">
        <f>IFERROR(__xludf.DUMMYFUNCTION("""COMPUTED_VALUE"""),2.25)</f>
        <v>2.25</v>
      </c>
      <c r="F1751" s="2"/>
      <c r="G1751" s="2"/>
      <c r="H1751" s="2"/>
      <c r="I1751" s="2"/>
    </row>
    <row r="1752">
      <c r="A1752" s="2">
        <f>IFERROR(__xludf.DUMMYFUNCTION("""COMPUTED_VALUE"""),120868.0)</f>
        <v>120868</v>
      </c>
      <c r="B1752" s="2" t="str">
        <f>IFERROR(__xludf.DUMMYFUNCTION("""COMPUTED_VALUE"""),"Law")</f>
        <v>Law</v>
      </c>
      <c r="C1752" s="2" t="str">
        <f>IFERROR(__xludf.DUMMYFUNCTION("""COMPUTED_VALUE"""),"Motivation")</f>
        <v>Motivation</v>
      </c>
      <c r="D1752" s="2" t="str">
        <f>IFERROR(__xludf.DUMMYFUNCTION("""COMPUTED_VALUE"""),"Northbrook Books")</f>
        <v>Northbrook Books</v>
      </c>
      <c r="E1752" s="2">
        <f>IFERROR(__xludf.DUMMYFUNCTION("""COMPUTED_VALUE"""),2.81)</f>
        <v>2.81</v>
      </c>
      <c r="F1752" s="2"/>
      <c r="G1752" s="2"/>
      <c r="H1752" s="2"/>
      <c r="I1752" s="2"/>
    </row>
    <row r="1753">
      <c r="A1753" s="2">
        <f>IFERROR(__xludf.DUMMYFUNCTION("""COMPUTED_VALUE"""),102063.0)</f>
        <v>102063</v>
      </c>
      <c r="B1753" s="2" t="str">
        <f>IFERROR(__xludf.DUMMYFUNCTION("""COMPUTED_VALUE"""),"Law")</f>
        <v>Law</v>
      </c>
      <c r="C1753" s="2" t="str">
        <f>IFERROR(__xludf.DUMMYFUNCTION("""COMPUTED_VALUE"""),"Motivation")</f>
        <v>Motivation</v>
      </c>
      <c r="D1753" s="2" t="str">
        <f>IFERROR(__xludf.DUMMYFUNCTION("""COMPUTED_VALUE"""),"Northbrook Books")</f>
        <v>Northbrook Books</v>
      </c>
      <c r="E1753" s="2">
        <f>IFERROR(__xludf.DUMMYFUNCTION("""COMPUTED_VALUE"""),3.05)</f>
        <v>3.05</v>
      </c>
      <c r="F1753" s="2"/>
      <c r="G1753" s="2"/>
      <c r="H1753" s="2"/>
      <c r="I1753" s="2"/>
    </row>
    <row r="1754">
      <c r="A1754" s="2">
        <f>IFERROR(__xludf.DUMMYFUNCTION("""COMPUTED_VALUE"""),120869.0)</f>
        <v>120869</v>
      </c>
      <c r="B1754" s="2" t="str">
        <f>IFERROR(__xludf.DUMMYFUNCTION("""COMPUTED_VALUE"""),"Law")</f>
        <v>Law</v>
      </c>
      <c r="C1754" s="2" t="str">
        <f>IFERROR(__xludf.DUMMYFUNCTION("""COMPUTED_VALUE"""),"Motivation")</f>
        <v>Motivation</v>
      </c>
      <c r="D1754" s="2" t="str">
        <f>IFERROR(__xludf.DUMMYFUNCTION("""COMPUTED_VALUE"""),"Northbrook Books")</f>
        <v>Northbrook Books</v>
      </c>
      <c r="E1754" s="2">
        <f>IFERROR(__xludf.DUMMYFUNCTION("""COMPUTED_VALUE"""),3.98)</f>
        <v>3.98</v>
      </c>
      <c r="F1754" s="2"/>
      <c r="G1754" s="2"/>
      <c r="H1754" s="2"/>
      <c r="I1754" s="2"/>
    </row>
    <row r="1755">
      <c r="A1755" s="2">
        <f>IFERROR(__xludf.DUMMYFUNCTION("""COMPUTED_VALUE"""),120871.0)</f>
        <v>120871</v>
      </c>
      <c r="B1755" s="2" t="str">
        <f>IFERROR(__xludf.DUMMYFUNCTION("""COMPUTED_VALUE"""),"Law")</f>
        <v>Law</v>
      </c>
      <c r="C1755" s="2" t="str">
        <f>IFERROR(__xludf.DUMMYFUNCTION("""COMPUTED_VALUE"""),"Motivation")</f>
        <v>Motivation</v>
      </c>
      <c r="D1755" s="2" t="str">
        <f>IFERROR(__xludf.DUMMYFUNCTION("""COMPUTED_VALUE"""),"Harborbrook Press")</f>
        <v>Harborbrook Press</v>
      </c>
      <c r="E1755" s="2">
        <f>IFERROR(__xludf.DUMMYFUNCTION("""COMPUTED_VALUE"""),2.34)</f>
        <v>2.34</v>
      </c>
      <c r="F1755" s="2"/>
      <c r="G1755" s="2"/>
      <c r="H1755" s="2"/>
      <c r="I1755" s="2"/>
    </row>
    <row r="1756">
      <c r="A1756" s="2">
        <f>IFERROR(__xludf.DUMMYFUNCTION("""COMPUTED_VALUE"""),24195.0)</f>
        <v>24195</v>
      </c>
      <c r="B1756" s="2" t="str">
        <f>IFERROR(__xludf.DUMMYFUNCTION("""COMPUTED_VALUE"""),"Law")</f>
        <v>Law</v>
      </c>
      <c r="C1756" s="2" t="str">
        <f>IFERROR(__xludf.DUMMYFUNCTION("""COMPUTED_VALUE"""),"Motivation")</f>
        <v>Motivation</v>
      </c>
      <c r="D1756" s="2" t="str">
        <f>IFERROR(__xludf.DUMMYFUNCTION("""COMPUTED_VALUE"""),"Harborbrook Press")</f>
        <v>Harborbrook Press</v>
      </c>
      <c r="E1756" s="2">
        <f>IFERROR(__xludf.DUMMYFUNCTION("""COMPUTED_VALUE"""),2.92)</f>
        <v>2.92</v>
      </c>
      <c r="F1756" s="2"/>
      <c r="G1756" s="2"/>
      <c r="H1756" s="2"/>
      <c r="I1756" s="2"/>
    </row>
    <row r="1757">
      <c r="A1757" s="2">
        <f>IFERROR(__xludf.DUMMYFUNCTION("""COMPUTED_VALUE"""),120422.0)</f>
        <v>120422</v>
      </c>
      <c r="B1757" s="2" t="str">
        <f>IFERROR(__xludf.DUMMYFUNCTION("""COMPUTED_VALUE"""),"Law")</f>
        <v>Law</v>
      </c>
      <c r="C1757" s="2" t="str">
        <f>IFERROR(__xludf.DUMMYFUNCTION("""COMPUTED_VALUE"""),"Motivation")</f>
        <v>Motivation</v>
      </c>
      <c r="D1757" s="2" t="str">
        <f>IFERROR(__xludf.DUMMYFUNCTION("""COMPUTED_VALUE"""),"Harborbrook Press")</f>
        <v>Harborbrook Press</v>
      </c>
      <c r="E1757" s="2">
        <f>IFERROR(__xludf.DUMMYFUNCTION("""COMPUTED_VALUE"""),2.31)</f>
        <v>2.31</v>
      </c>
      <c r="F1757" s="2"/>
      <c r="G1757" s="2"/>
      <c r="H1757" s="2"/>
      <c r="I1757" s="2"/>
    </row>
    <row r="1758">
      <c r="A1758" s="2">
        <f>IFERROR(__xludf.DUMMYFUNCTION("""COMPUTED_VALUE"""),120874.0)</f>
        <v>120874</v>
      </c>
      <c r="B1758" s="2" t="str">
        <f>IFERROR(__xludf.DUMMYFUNCTION("""COMPUTED_VALUE"""),"Law")</f>
        <v>Law</v>
      </c>
      <c r="C1758" s="2" t="str">
        <f>IFERROR(__xludf.DUMMYFUNCTION("""COMPUTED_VALUE"""),"Motivation")</f>
        <v>Motivation</v>
      </c>
      <c r="D1758" s="2" t="str">
        <f>IFERROR(__xludf.DUMMYFUNCTION("""COMPUTED_VALUE"""),"Harborbrook Press")</f>
        <v>Harborbrook Press</v>
      </c>
      <c r="E1758" s="2">
        <f>IFERROR(__xludf.DUMMYFUNCTION("""COMPUTED_VALUE"""),1.91)</f>
        <v>1.91</v>
      </c>
      <c r="F1758" s="2"/>
      <c r="G1758" s="2"/>
      <c r="H1758" s="2"/>
      <c r="I1758" s="2"/>
    </row>
    <row r="1759">
      <c r="A1759" s="2">
        <f>IFERROR(__xludf.DUMMYFUNCTION("""COMPUTED_VALUE"""),120416.0)</f>
        <v>120416</v>
      </c>
      <c r="B1759" s="2" t="str">
        <f>IFERROR(__xludf.DUMMYFUNCTION("""COMPUTED_VALUE"""),"Law")</f>
        <v>Law</v>
      </c>
      <c r="C1759" s="2" t="str">
        <f>IFERROR(__xludf.DUMMYFUNCTION("""COMPUTED_VALUE"""),"Motivation")</f>
        <v>Motivation</v>
      </c>
      <c r="D1759" s="2" t="str">
        <f>IFERROR(__xludf.DUMMYFUNCTION("""COMPUTED_VALUE"""),"Harborbrook Press")</f>
        <v>Harborbrook Press</v>
      </c>
      <c r="E1759" s="2">
        <f>IFERROR(__xludf.DUMMYFUNCTION("""COMPUTED_VALUE"""),1.81)</f>
        <v>1.81</v>
      </c>
      <c r="F1759" s="2"/>
      <c r="G1759" s="2"/>
      <c r="H1759" s="2"/>
      <c r="I1759" s="2"/>
    </row>
    <row r="1760">
      <c r="A1760" s="2">
        <f>IFERROR(__xludf.DUMMYFUNCTION("""COMPUTED_VALUE"""),80944.0)</f>
        <v>80944</v>
      </c>
      <c r="B1760" s="2" t="str">
        <f>IFERROR(__xludf.DUMMYFUNCTION("""COMPUTED_VALUE"""),"Law")</f>
        <v>Law</v>
      </c>
      <c r="C1760" s="2" t="str">
        <f>IFERROR(__xludf.DUMMYFUNCTION("""COMPUTED_VALUE"""),"Motivation")</f>
        <v>Motivation</v>
      </c>
      <c r="D1760" s="2" t="str">
        <f>IFERROR(__xludf.DUMMYFUNCTION("""COMPUTED_VALUE"""),"Harborbrook Press")</f>
        <v>Harborbrook Press</v>
      </c>
      <c r="E1760" s="2">
        <f>IFERROR(__xludf.DUMMYFUNCTION("""COMPUTED_VALUE"""),1.52)</f>
        <v>1.52</v>
      </c>
      <c r="F1760" s="2"/>
      <c r="G1760" s="2"/>
      <c r="H1760" s="2"/>
      <c r="I1760" s="2"/>
    </row>
    <row r="1761">
      <c r="A1761" s="2">
        <f>IFERROR(__xludf.DUMMYFUNCTION("""COMPUTED_VALUE"""),120873.0)</f>
        <v>120873</v>
      </c>
      <c r="B1761" s="2" t="str">
        <f>IFERROR(__xludf.DUMMYFUNCTION("""COMPUTED_VALUE"""),"Law")</f>
        <v>Law</v>
      </c>
      <c r="C1761" s="2" t="str">
        <f>IFERROR(__xludf.DUMMYFUNCTION("""COMPUTED_VALUE"""),"Motivation")</f>
        <v>Motivation</v>
      </c>
      <c r="D1761" s="2" t="str">
        <f>IFERROR(__xludf.DUMMYFUNCTION("""COMPUTED_VALUE"""),"Harborbrook Press")</f>
        <v>Harborbrook Press</v>
      </c>
      <c r="E1761" s="2">
        <f>IFERROR(__xludf.DUMMYFUNCTION("""COMPUTED_VALUE"""),2.62)</f>
        <v>2.62</v>
      </c>
      <c r="F1761" s="2"/>
      <c r="G1761" s="2"/>
      <c r="H1761" s="2"/>
      <c r="I1761" s="2"/>
    </row>
    <row r="1762">
      <c r="A1762" s="2">
        <f>IFERROR(__xludf.DUMMYFUNCTION("""COMPUTED_VALUE"""),120875.0)</f>
        <v>120875</v>
      </c>
      <c r="B1762" s="2" t="str">
        <f>IFERROR(__xludf.DUMMYFUNCTION("""COMPUTED_VALUE"""),"Law")</f>
        <v>Law</v>
      </c>
      <c r="C1762" s="2" t="str">
        <f>IFERROR(__xludf.DUMMYFUNCTION("""COMPUTED_VALUE"""),"Motivation")</f>
        <v>Motivation</v>
      </c>
      <c r="D1762" s="2" t="str">
        <f>IFERROR(__xludf.DUMMYFUNCTION("""COMPUTED_VALUE"""),"Harborbrook Press")</f>
        <v>Harborbrook Press</v>
      </c>
      <c r="E1762" s="2">
        <f>IFERROR(__xludf.DUMMYFUNCTION("""COMPUTED_VALUE"""),2.17)</f>
        <v>2.17</v>
      </c>
      <c r="F1762" s="2"/>
      <c r="G1762" s="2"/>
      <c r="H1762" s="2"/>
      <c r="I1762" s="2"/>
    </row>
    <row r="1763">
      <c r="A1763" s="2">
        <f>IFERROR(__xludf.DUMMYFUNCTION("""COMPUTED_VALUE"""),147285.0)</f>
        <v>147285</v>
      </c>
      <c r="B1763" s="2" t="str">
        <f>IFERROR(__xludf.DUMMYFUNCTION("""COMPUTED_VALUE"""),"Law")</f>
        <v>Law</v>
      </c>
      <c r="C1763" s="2" t="str">
        <f>IFERROR(__xludf.DUMMYFUNCTION("""COMPUTED_VALUE"""),"Motivation")</f>
        <v>Motivation</v>
      </c>
      <c r="D1763" s="2" t="str">
        <f>IFERROR(__xludf.DUMMYFUNCTION("""COMPUTED_VALUE"""),"Harborbrook Press")</f>
        <v>Harborbrook Press</v>
      </c>
      <c r="E1763" s="2">
        <f>IFERROR(__xludf.DUMMYFUNCTION("""COMPUTED_VALUE"""),4.91)</f>
        <v>4.91</v>
      </c>
      <c r="F1763" s="2"/>
      <c r="G1763" s="2"/>
      <c r="H1763" s="2"/>
      <c r="I1763" s="2"/>
    </row>
    <row r="1764">
      <c r="A1764" s="2">
        <f>IFERROR(__xludf.DUMMYFUNCTION("""COMPUTED_VALUE"""),88604.0)</f>
        <v>88604</v>
      </c>
      <c r="B1764" s="2" t="str">
        <f>IFERROR(__xludf.DUMMYFUNCTION("""COMPUTED_VALUE"""),"Law")</f>
        <v>Law</v>
      </c>
      <c r="C1764" s="2" t="str">
        <f>IFERROR(__xludf.DUMMYFUNCTION("""COMPUTED_VALUE"""),"Motivation")</f>
        <v>Motivation</v>
      </c>
      <c r="D1764" s="2" t="str">
        <f>IFERROR(__xludf.DUMMYFUNCTION("""COMPUTED_VALUE"""),"Harborbrook Press")</f>
        <v>Harborbrook Press</v>
      </c>
      <c r="E1764" s="2">
        <f>IFERROR(__xludf.DUMMYFUNCTION("""COMPUTED_VALUE"""),2.42)</f>
        <v>2.42</v>
      </c>
      <c r="F1764" s="2"/>
      <c r="G1764" s="2"/>
      <c r="H1764" s="2"/>
      <c r="I1764" s="2"/>
    </row>
    <row r="1765">
      <c r="A1765" s="2">
        <f>IFERROR(__xludf.DUMMYFUNCTION("""COMPUTED_VALUE"""),120417.0)</f>
        <v>120417</v>
      </c>
      <c r="B1765" s="2" t="str">
        <f>IFERROR(__xludf.DUMMYFUNCTION("""COMPUTED_VALUE"""),"Law")</f>
        <v>Law</v>
      </c>
      <c r="C1765" s="2" t="str">
        <f>IFERROR(__xludf.DUMMYFUNCTION("""COMPUTED_VALUE"""),"Motivation")</f>
        <v>Motivation</v>
      </c>
      <c r="D1765" s="2" t="str">
        <f>IFERROR(__xludf.DUMMYFUNCTION("""COMPUTED_VALUE"""),"Harborbrook Press")</f>
        <v>Harborbrook Press</v>
      </c>
      <c r="E1765" s="2">
        <f>IFERROR(__xludf.DUMMYFUNCTION("""COMPUTED_VALUE"""),2.42)</f>
        <v>2.42</v>
      </c>
      <c r="F1765" s="2"/>
      <c r="G1765" s="2"/>
      <c r="H1765" s="2"/>
      <c r="I1765" s="2"/>
    </row>
    <row r="1766">
      <c r="A1766" s="2">
        <f>IFERROR(__xludf.DUMMYFUNCTION("""COMPUTED_VALUE"""),113914.0)</f>
        <v>113914</v>
      </c>
      <c r="B1766" s="2" t="str">
        <f>IFERROR(__xludf.DUMMYFUNCTION("""COMPUTED_VALUE"""),"Law")</f>
        <v>Law</v>
      </c>
      <c r="C1766" s="2" t="str">
        <f>IFERROR(__xludf.DUMMYFUNCTION("""COMPUTED_VALUE"""),"Motivation")</f>
        <v>Motivation</v>
      </c>
      <c r="D1766" s="2" t="str">
        <f>IFERROR(__xludf.DUMMYFUNCTION("""COMPUTED_VALUE"""),"Harborbrook Press")</f>
        <v>Harborbrook Press</v>
      </c>
      <c r="E1766" s="2">
        <f>IFERROR(__xludf.DUMMYFUNCTION("""COMPUTED_VALUE"""),2.53)</f>
        <v>2.53</v>
      </c>
      <c r="F1766" s="2"/>
      <c r="G1766" s="2"/>
      <c r="H1766" s="2"/>
      <c r="I1766" s="2"/>
    </row>
    <row r="1767">
      <c r="A1767" s="2">
        <f>IFERROR(__xludf.DUMMYFUNCTION("""COMPUTED_VALUE"""),68793.0)</f>
        <v>68793</v>
      </c>
      <c r="B1767" s="2" t="str">
        <f>IFERROR(__xludf.DUMMYFUNCTION("""COMPUTED_VALUE"""),"Law")</f>
        <v>Law</v>
      </c>
      <c r="C1767" s="2" t="str">
        <f>IFERROR(__xludf.DUMMYFUNCTION("""COMPUTED_VALUE"""),"Motivation")</f>
        <v>Motivation</v>
      </c>
      <c r="D1767" s="2" t="str">
        <f>IFERROR(__xludf.DUMMYFUNCTION("""COMPUTED_VALUE"""),"Cedarbrook Publishing")</f>
        <v>Cedarbrook Publishing</v>
      </c>
      <c r="E1767" s="2">
        <f>IFERROR(__xludf.DUMMYFUNCTION("""COMPUTED_VALUE"""),1.91)</f>
        <v>1.91</v>
      </c>
      <c r="F1767" s="2"/>
      <c r="G1767" s="2"/>
      <c r="H1767" s="2"/>
      <c r="I1767" s="2"/>
    </row>
    <row r="1768">
      <c r="A1768" s="2">
        <f>IFERROR(__xludf.DUMMYFUNCTION("""COMPUTED_VALUE"""),106707.0)</f>
        <v>106707</v>
      </c>
      <c r="B1768" s="2" t="str">
        <f>IFERROR(__xludf.DUMMYFUNCTION("""COMPUTED_VALUE"""),"Law")</f>
        <v>Law</v>
      </c>
      <c r="C1768" s="2" t="str">
        <f>IFERROR(__xludf.DUMMYFUNCTION("""COMPUTED_VALUE"""),"Motivation")</f>
        <v>Motivation</v>
      </c>
      <c r="D1768" s="2" t="str">
        <f>IFERROR(__xludf.DUMMYFUNCTION("""COMPUTED_VALUE"""),"Cedarbrook Publishing")</f>
        <v>Cedarbrook Publishing</v>
      </c>
      <c r="E1768" s="2">
        <f>IFERROR(__xludf.DUMMYFUNCTION("""COMPUTED_VALUE"""),1.6)</f>
        <v>1.6</v>
      </c>
      <c r="F1768" s="2"/>
      <c r="G1768" s="2"/>
      <c r="H1768" s="2"/>
      <c r="I1768" s="2"/>
    </row>
    <row r="1769">
      <c r="A1769" s="2">
        <f>IFERROR(__xludf.DUMMYFUNCTION("""COMPUTED_VALUE"""),24210.0)</f>
        <v>24210</v>
      </c>
      <c r="B1769" s="2" t="str">
        <f>IFERROR(__xludf.DUMMYFUNCTION("""COMPUTED_VALUE"""),"Law")</f>
        <v>Law</v>
      </c>
      <c r="C1769" s="2" t="str">
        <f>IFERROR(__xludf.DUMMYFUNCTION("""COMPUTED_VALUE"""),"Motivation")</f>
        <v>Motivation</v>
      </c>
      <c r="D1769" s="2" t="str">
        <f>IFERROR(__xludf.DUMMYFUNCTION("""COMPUTED_VALUE"""),"Cedarbrook Publishing")</f>
        <v>Cedarbrook Publishing</v>
      </c>
      <c r="E1769" s="2">
        <f>IFERROR(__xludf.DUMMYFUNCTION("""COMPUTED_VALUE"""),1.74)</f>
        <v>1.74</v>
      </c>
      <c r="F1769" s="2"/>
      <c r="G1769" s="2"/>
      <c r="H1769" s="2"/>
      <c r="I1769" s="2"/>
    </row>
    <row r="1770">
      <c r="A1770" s="2">
        <f>IFERROR(__xludf.DUMMYFUNCTION("""COMPUTED_VALUE"""),44012.0)</f>
        <v>44012</v>
      </c>
      <c r="B1770" s="2" t="str">
        <f>IFERROR(__xludf.DUMMYFUNCTION("""COMPUTED_VALUE"""),"Law")</f>
        <v>Law</v>
      </c>
      <c r="C1770" s="2" t="str">
        <f>IFERROR(__xludf.DUMMYFUNCTION("""COMPUTED_VALUE"""),"Motivation")</f>
        <v>Motivation</v>
      </c>
      <c r="D1770" s="2" t="str">
        <f>IFERROR(__xludf.DUMMYFUNCTION("""COMPUTED_VALUE"""),"Cedarbrook Publishing")</f>
        <v>Cedarbrook Publishing</v>
      </c>
      <c r="E1770" s="2">
        <f>IFERROR(__xludf.DUMMYFUNCTION("""COMPUTED_VALUE"""),2.32)</f>
        <v>2.32</v>
      </c>
      <c r="F1770" s="2"/>
      <c r="G1770" s="2"/>
      <c r="H1770" s="2"/>
      <c r="I1770" s="2"/>
    </row>
    <row r="1771">
      <c r="A1771" s="2">
        <f>IFERROR(__xludf.DUMMYFUNCTION("""COMPUTED_VALUE"""),106710.0)</f>
        <v>106710</v>
      </c>
      <c r="B1771" s="2" t="str">
        <f>IFERROR(__xludf.DUMMYFUNCTION("""COMPUTED_VALUE"""),"Law")</f>
        <v>Law</v>
      </c>
      <c r="C1771" s="2" t="str">
        <f>IFERROR(__xludf.DUMMYFUNCTION("""COMPUTED_VALUE"""),"Motivation")</f>
        <v>Motivation</v>
      </c>
      <c r="D1771" s="2" t="str">
        <f>IFERROR(__xludf.DUMMYFUNCTION("""COMPUTED_VALUE"""),"Cedarbrook Publishing")</f>
        <v>Cedarbrook Publishing</v>
      </c>
      <c r="E1771" s="2">
        <f>IFERROR(__xludf.DUMMYFUNCTION("""COMPUTED_VALUE"""),1.78)</f>
        <v>1.78</v>
      </c>
      <c r="F1771" s="2"/>
      <c r="G1771" s="2"/>
      <c r="H1771" s="2"/>
      <c r="I1771" s="2"/>
    </row>
    <row r="1772">
      <c r="A1772" s="2">
        <f>IFERROR(__xludf.DUMMYFUNCTION("""COMPUTED_VALUE"""),117239.0)</f>
        <v>117239</v>
      </c>
      <c r="B1772" s="2" t="str">
        <f>IFERROR(__xludf.DUMMYFUNCTION("""COMPUTED_VALUE"""),"Law")</f>
        <v>Law</v>
      </c>
      <c r="C1772" s="2" t="str">
        <f>IFERROR(__xludf.DUMMYFUNCTION("""COMPUTED_VALUE"""),"Motivation")</f>
        <v>Motivation</v>
      </c>
      <c r="D1772" s="2" t="str">
        <f>IFERROR(__xludf.DUMMYFUNCTION("""COMPUTED_VALUE"""),"Cedarbrook Publishing")</f>
        <v>Cedarbrook Publishing</v>
      </c>
      <c r="E1772" s="2">
        <f>IFERROR(__xludf.DUMMYFUNCTION("""COMPUTED_VALUE"""),1.7)</f>
        <v>1.7</v>
      </c>
      <c r="F1772" s="2"/>
      <c r="G1772" s="2"/>
      <c r="H1772" s="2"/>
      <c r="I1772" s="2"/>
    </row>
    <row r="1773">
      <c r="A1773" s="2">
        <f>IFERROR(__xludf.DUMMYFUNCTION("""COMPUTED_VALUE"""),80186.0)</f>
        <v>80186</v>
      </c>
      <c r="B1773" s="2" t="str">
        <f>IFERROR(__xludf.DUMMYFUNCTION("""COMPUTED_VALUE"""),"Law")</f>
        <v>Law</v>
      </c>
      <c r="C1773" s="2" t="str">
        <f>IFERROR(__xludf.DUMMYFUNCTION("""COMPUTED_VALUE"""),"Motivation")</f>
        <v>Motivation</v>
      </c>
      <c r="D1773" s="2" t="str">
        <f>IFERROR(__xludf.DUMMYFUNCTION("""COMPUTED_VALUE"""),"Cedarbrook Publishing")</f>
        <v>Cedarbrook Publishing</v>
      </c>
      <c r="E1773" s="2">
        <f>IFERROR(__xludf.DUMMYFUNCTION("""COMPUTED_VALUE"""),1.56)</f>
        <v>1.56</v>
      </c>
      <c r="F1773" s="2"/>
      <c r="G1773" s="2"/>
      <c r="H1773" s="2"/>
      <c r="I1773" s="2"/>
    </row>
    <row r="1774">
      <c r="A1774" s="2">
        <f>IFERROR(__xludf.DUMMYFUNCTION("""COMPUTED_VALUE"""),80185.0)</f>
        <v>80185</v>
      </c>
      <c r="B1774" s="2" t="str">
        <f>IFERROR(__xludf.DUMMYFUNCTION("""COMPUTED_VALUE"""),"Law")</f>
        <v>Law</v>
      </c>
      <c r="C1774" s="2" t="str">
        <f>IFERROR(__xludf.DUMMYFUNCTION("""COMPUTED_VALUE"""),"Motivation")</f>
        <v>Motivation</v>
      </c>
      <c r="D1774" s="2" t="str">
        <f>IFERROR(__xludf.DUMMYFUNCTION("""COMPUTED_VALUE"""),"Cedarbrook Publishing")</f>
        <v>Cedarbrook Publishing</v>
      </c>
      <c r="E1774" s="2">
        <f>IFERROR(__xludf.DUMMYFUNCTION("""COMPUTED_VALUE"""),1.65)</f>
        <v>1.65</v>
      </c>
      <c r="F1774" s="2"/>
      <c r="G1774" s="2"/>
      <c r="H1774" s="2"/>
      <c r="I1774" s="2"/>
    </row>
    <row r="1775">
      <c r="A1775" s="2">
        <f>IFERROR(__xludf.DUMMYFUNCTION("""COMPUTED_VALUE"""),107151.0)</f>
        <v>107151</v>
      </c>
      <c r="B1775" s="2" t="str">
        <f>IFERROR(__xludf.DUMMYFUNCTION("""COMPUTED_VALUE"""),"Law")</f>
        <v>Law</v>
      </c>
      <c r="C1775" s="2" t="str">
        <f>IFERROR(__xludf.DUMMYFUNCTION("""COMPUTED_VALUE"""),"Motivation")</f>
        <v>Motivation</v>
      </c>
      <c r="D1775" s="2" t="str">
        <f>IFERROR(__xludf.DUMMYFUNCTION("""COMPUTED_VALUE"""),"Cedarbrook Publishing")</f>
        <v>Cedarbrook Publishing</v>
      </c>
      <c r="E1775" s="2">
        <f>IFERROR(__xludf.DUMMYFUNCTION("""COMPUTED_VALUE"""),1.88)</f>
        <v>1.88</v>
      </c>
      <c r="F1775" s="2"/>
      <c r="G1775" s="2"/>
      <c r="H1775" s="2"/>
      <c r="I1775" s="2"/>
    </row>
    <row r="1776">
      <c r="A1776" s="2">
        <f>IFERROR(__xludf.DUMMYFUNCTION("""COMPUTED_VALUE"""),120420.0)</f>
        <v>120420</v>
      </c>
      <c r="B1776" s="2" t="str">
        <f>IFERROR(__xludf.DUMMYFUNCTION("""COMPUTED_VALUE"""),"Law")</f>
        <v>Law</v>
      </c>
      <c r="C1776" s="2" t="str">
        <f>IFERROR(__xludf.DUMMYFUNCTION("""COMPUTED_VALUE"""),"Motivation")</f>
        <v>Motivation</v>
      </c>
      <c r="D1776" s="2" t="str">
        <f>IFERROR(__xludf.DUMMYFUNCTION("""COMPUTED_VALUE"""),"Cedarbrook Publishing")</f>
        <v>Cedarbrook Publishing</v>
      </c>
      <c r="E1776" s="2">
        <f>IFERROR(__xludf.DUMMYFUNCTION("""COMPUTED_VALUE"""),2.04)</f>
        <v>2.04</v>
      </c>
      <c r="F1776" s="2"/>
      <c r="G1776" s="2"/>
      <c r="H1776" s="2"/>
      <c r="I1776" s="2"/>
    </row>
    <row r="1777">
      <c r="A1777" s="2">
        <f>IFERROR(__xludf.DUMMYFUNCTION("""COMPUTED_VALUE"""),80184.0)</f>
        <v>80184</v>
      </c>
      <c r="B1777" s="2" t="str">
        <f>IFERROR(__xludf.DUMMYFUNCTION("""COMPUTED_VALUE"""),"Law")</f>
        <v>Law</v>
      </c>
      <c r="C1777" s="2" t="str">
        <f>IFERROR(__xludf.DUMMYFUNCTION("""COMPUTED_VALUE"""),"Motivation")</f>
        <v>Motivation</v>
      </c>
      <c r="D1777" s="2" t="str">
        <f>IFERROR(__xludf.DUMMYFUNCTION("""COMPUTED_VALUE"""),"Cedarbrook Publishing")</f>
        <v>Cedarbrook Publishing</v>
      </c>
      <c r="E1777" s="2">
        <f>IFERROR(__xludf.DUMMYFUNCTION("""COMPUTED_VALUE"""),1.75)</f>
        <v>1.75</v>
      </c>
      <c r="F1777" s="2"/>
      <c r="G1777" s="2"/>
      <c r="H1777" s="2"/>
      <c r="I1777" s="2"/>
    </row>
    <row r="1778">
      <c r="A1778" s="2">
        <f>IFERROR(__xludf.DUMMYFUNCTION("""COMPUTED_VALUE"""),107157.0)</f>
        <v>107157</v>
      </c>
      <c r="B1778" s="2" t="str">
        <f>IFERROR(__xludf.DUMMYFUNCTION("""COMPUTED_VALUE"""),"Law")</f>
        <v>Law</v>
      </c>
      <c r="C1778" s="2" t="str">
        <f>IFERROR(__xludf.DUMMYFUNCTION("""COMPUTED_VALUE"""),"Motivation")</f>
        <v>Motivation</v>
      </c>
      <c r="D1778" s="2" t="str">
        <f>IFERROR(__xludf.DUMMYFUNCTION("""COMPUTED_VALUE"""),"Cedarbrook Publishing")</f>
        <v>Cedarbrook Publishing</v>
      </c>
      <c r="E1778" s="2">
        <f>IFERROR(__xludf.DUMMYFUNCTION("""COMPUTED_VALUE"""),1.53)</f>
        <v>1.53</v>
      </c>
      <c r="F1778" s="2"/>
      <c r="G1778" s="2"/>
      <c r="H1778" s="2"/>
      <c r="I1778" s="2"/>
    </row>
    <row r="1779">
      <c r="A1779" s="2">
        <f>IFERROR(__xludf.DUMMYFUNCTION("""COMPUTED_VALUE"""),118432.0)</f>
        <v>118432</v>
      </c>
      <c r="B1779" s="2" t="str">
        <f>IFERROR(__xludf.DUMMYFUNCTION("""COMPUTED_VALUE"""),"Law")</f>
        <v>Law</v>
      </c>
      <c r="C1779" s="2" t="str">
        <f>IFERROR(__xludf.DUMMYFUNCTION("""COMPUTED_VALUE"""),"Motivation")</f>
        <v>Motivation</v>
      </c>
      <c r="D1779" s="2" t="str">
        <f>IFERROR(__xludf.DUMMYFUNCTION("""COMPUTED_VALUE"""),"Cedarbrook Publishing")</f>
        <v>Cedarbrook Publishing</v>
      </c>
      <c r="E1779" s="2">
        <f>IFERROR(__xludf.DUMMYFUNCTION("""COMPUTED_VALUE"""),2.23)</f>
        <v>2.23</v>
      </c>
      <c r="F1779" s="2"/>
      <c r="G1779" s="2"/>
      <c r="H1779" s="2"/>
      <c r="I1779" s="2"/>
    </row>
    <row r="1780">
      <c r="A1780" s="2">
        <f>IFERROR(__xludf.DUMMYFUNCTION("""COMPUTED_VALUE"""),86512.0)</f>
        <v>86512</v>
      </c>
      <c r="B1780" s="2" t="str">
        <f>IFERROR(__xludf.DUMMYFUNCTION("""COMPUTED_VALUE"""),"Law")</f>
        <v>Law</v>
      </c>
      <c r="C1780" s="2" t="str">
        <f>IFERROR(__xludf.DUMMYFUNCTION("""COMPUTED_VALUE"""),"Motivation")</f>
        <v>Motivation</v>
      </c>
      <c r="D1780" s="2" t="str">
        <f>IFERROR(__xludf.DUMMYFUNCTION("""COMPUTED_VALUE"""),"Cedarbrook Publishing")</f>
        <v>Cedarbrook Publishing</v>
      </c>
      <c r="E1780" s="2">
        <f>IFERROR(__xludf.DUMMYFUNCTION("""COMPUTED_VALUE"""),3.35)</f>
        <v>3.35</v>
      </c>
      <c r="F1780" s="2"/>
      <c r="G1780" s="2"/>
      <c r="H1780" s="2"/>
      <c r="I1780" s="2"/>
    </row>
    <row r="1781">
      <c r="A1781" s="2">
        <f>IFERROR(__xludf.DUMMYFUNCTION("""COMPUTED_VALUE"""),118431.0)</f>
        <v>118431</v>
      </c>
      <c r="B1781" s="2" t="str">
        <f>IFERROR(__xludf.DUMMYFUNCTION("""COMPUTED_VALUE"""),"Law")</f>
        <v>Law</v>
      </c>
      <c r="C1781" s="2" t="str">
        <f>IFERROR(__xludf.DUMMYFUNCTION("""COMPUTED_VALUE"""),"Motivation")</f>
        <v>Motivation</v>
      </c>
      <c r="D1781" s="2" t="str">
        <f>IFERROR(__xludf.DUMMYFUNCTION("""COMPUTED_VALUE"""),"Cedarbrook Publishing")</f>
        <v>Cedarbrook Publishing</v>
      </c>
      <c r="E1781" s="2">
        <f>IFERROR(__xludf.DUMMYFUNCTION("""COMPUTED_VALUE"""),2.5)</f>
        <v>2.5</v>
      </c>
      <c r="F1781" s="2"/>
      <c r="G1781" s="2"/>
      <c r="H1781" s="2"/>
      <c r="I1781" s="2"/>
    </row>
    <row r="1782">
      <c r="A1782" s="2">
        <f>IFERROR(__xludf.DUMMYFUNCTION("""COMPUTED_VALUE"""),80187.0)</f>
        <v>80187</v>
      </c>
      <c r="B1782" s="2" t="str">
        <f>IFERROR(__xludf.DUMMYFUNCTION("""COMPUTED_VALUE"""),"Law")</f>
        <v>Law</v>
      </c>
      <c r="C1782" s="2" t="str">
        <f>IFERROR(__xludf.DUMMYFUNCTION("""COMPUTED_VALUE"""),"Motivation")</f>
        <v>Motivation</v>
      </c>
      <c r="D1782" s="2" t="str">
        <f>IFERROR(__xludf.DUMMYFUNCTION("""COMPUTED_VALUE"""),"Cedarbrook Publishing")</f>
        <v>Cedarbrook Publishing</v>
      </c>
      <c r="E1782" s="2">
        <f>IFERROR(__xludf.DUMMYFUNCTION("""COMPUTED_VALUE"""),1.63)</f>
        <v>1.63</v>
      </c>
      <c r="F1782" s="2"/>
      <c r="G1782" s="2"/>
      <c r="H1782" s="2"/>
      <c r="I1782" s="2"/>
    </row>
    <row r="1783">
      <c r="A1783" s="2">
        <f>IFERROR(__xludf.DUMMYFUNCTION("""COMPUTED_VALUE"""),107163.0)</f>
        <v>107163</v>
      </c>
      <c r="B1783" s="2" t="str">
        <f>IFERROR(__xludf.DUMMYFUNCTION("""COMPUTED_VALUE"""),"Law")</f>
        <v>Law</v>
      </c>
      <c r="C1783" s="2" t="str">
        <f>IFERROR(__xludf.DUMMYFUNCTION("""COMPUTED_VALUE"""),"Motivation")</f>
        <v>Motivation</v>
      </c>
      <c r="D1783" s="2" t="str">
        <f>IFERROR(__xludf.DUMMYFUNCTION("""COMPUTED_VALUE"""),"Cedarbrook Publishing")</f>
        <v>Cedarbrook Publishing</v>
      </c>
      <c r="E1783" s="2">
        <f>IFERROR(__xludf.DUMMYFUNCTION("""COMPUTED_VALUE"""),1.69)</f>
        <v>1.69</v>
      </c>
      <c r="F1783" s="2"/>
      <c r="G1783" s="2"/>
      <c r="H1783" s="2"/>
      <c r="I1783" s="2"/>
    </row>
    <row r="1784">
      <c r="A1784" s="2">
        <f>IFERROR(__xludf.DUMMYFUNCTION("""COMPUTED_VALUE"""),108342.0)</f>
        <v>108342</v>
      </c>
      <c r="B1784" s="2" t="str">
        <f>IFERROR(__xludf.DUMMYFUNCTION("""COMPUTED_VALUE"""),"Law")</f>
        <v>Law</v>
      </c>
      <c r="C1784" s="2" t="str">
        <f>IFERROR(__xludf.DUMMYFUNCTION("""COMPUTED_VALUE"""),"Motivation")</f>
        <v>Motivation</v>
      </c>
      <c r="D1784" s="2" t="str">
        <f>IFERROR(__xludf.DUMMYFUNCTION("""COMPUTED_VALUE"""),"Cedarbrook Publishing")</f>
        <v>Cedarbrook Publishing</v>
      </c>
      <c r="E1784" s="2">
        <f>IFERROR(__xludf.DUMMYFUNCTION("""COMPUTED_VALUE"""),1.11)</f>
        <v>1.11</v>
      </c>
      <c r="F1784" s="2"/>
      <c r="G1784" s="2"/>
      <c r="H1784" s="2"/>
      <c r="I1784" s="2"/>
    </row>
    <row r="1785">
      <c r="A1785" s="2">
        <f>IFERROR(__xludf.DUMMYFUNCTION("""COMPUTED_VALUE"""),20949.0)</f>
        <v>20949</v>
      </c>
      <c r="B1785" s="2" t="str">
        <f>IFERROR(__xludf.DUMMYFUNCTION("""COMPUTED_VALUE"""),"Law")</f>
        <v>Law</v>
      </c>
      <c r="C1785" s="2" t="str">
        <f>IFERROR(__xludf.DUMMYFUNCTION("""COMPUTED_VALUE"""),"Motivation")</f>
        <v>Motivation</v>
      </c>
      <c r="D1785" s="2" t="str">
        <f>IFERROR(__xludf.DUMMYFUNCTION("""COMPUTED_VALUE"""),"Cedarbrook Publishing")</f>
        <v>Cedarbrook Publishing</v>
      </c>
      <c r="E1785" s="2">
        <f>IFERROR(__xludf.DUMMYFUNCTION("""COMPUTED_VALUE"""),1.13)</f>
        <v>1.13</v>
      </c>
      <c r="F1785" s="2"/>
      <c r="G1785" s="2"/>
      <c r="H1785" s="2"/>
      <c r="I1785" s="2"/>
    </row>
    <row r="1786">
      <c r="A1786" s="2">
        <f>IFERROR(__xludf.DUMMYFUNCTION("""COMPUTED_VALUE"""),118436.0)</f>
        <v>118436</v>
      </c>
      <c r="B1786" s="2" t="str">
        <f>IFERROR(__xludf.DUMMYFUNCTION("""COMPUTED_VALUE"""),"Law")</f>
        <v>Law</v>
      </c>
      <c r="C1786" s="2" t="str">
        <f>IFERROR(__xludf.DUMMYFUNCTION("""COMPUTED_VALUE"""),"Motivation")</f>
        <v>Motivation</v>
      </c>
      <c r="D1786" s="2" t="str">
        <f>IFERROR(__xludf.DUMMYFUNCTION("""COMPUTED_VALUE"""),"Cedarbrook Publishing")</f>
        <v>Cedarbrook Publishing</v>
      </c>
      <c r="E1786" s="2">
        <f>IFERROR(__xludf.DUMMYFUNCTION("""COMPUTED_VALUE"""),2.48)</f>
        <v>2.48</v>
      </c>
      <c r="F1786" s="2"/>
      <c r="G1786" s="2"/>
      <c r="H1786" s="2"/>
      <c r="I1786" s="2"/>
    </row>
    <row r="1787">
      <c r="A1787" s="2">
        <f>IFERROR(__xludf.DUMMYFUNCTION("""COMPUTED_VALUE"""),113566.0)</f>
        <v>113566</v>
      </c>
      <c r="B1787" s="2" t="str">
        <f>IFERROR(__xludf.DUMMYFUNCTION("""COMPUTED_VALUE"""),"Law")</f>
        <v>Law</v>
      </c>
      <c r="C1787" s="2" t="str">
        <f>IFERROR(__xludf.DUMMYFUNCTION("""COMPUTED_VALUE"""),"Motivation")</f>
        <v>Motivation</v>
      </c>
      <c r="D1787" s="2" t="str">
        <f>IFERROR(__xludf.DUMMYFUNCTION("""COMPUTED_VALUE"""),"Cedarbrook Publishing")</f>
        <v>Cedarbrook Publishing</v>
      </c>
      <c r="E1787" s="2">
        <f>IFERROR(__xludf.DUMMYFUNCTION("""COMPUTED_VALUE"""),3.21)</f>
        <v>3.21</v>
      </c>
      <c r="F1787" s="2"/>
      <c r="G1787" s="2"/>
      <c r="H1787" s="2"/>
      <c r="I1787" s="2"/>
    </row>
    <row r="1788">
      <c r="A1788" s="2">
        <f>IFERROR(__xludf.DUMMYFUNCTION("""COMPUTED_VALUE"""),113571.0)</f>
        <v>113571</v>
      </c>
      <c r="B1788" s="2" t="str">
        <f>IFERROR(__xludf.DUMMYFUNCTION("""COMPUTED_VALUE"""),"Law")</f>
        <v>Law</v>
      </c>
      <c r="C1788" s="2" t="str">
        <f>IFERROR(__xludf.DUMMYFUNCTION("""COMPUTED_VALUE"""),"Motivation")</f>
        <v>Motivation</v>
      </c>
      <c r="D1788" s="2" t="str">
        <f>IFERROR(__xludf.DUMMYFUNCTION("""COMPUTED_VALUE"""),"Cedarbrook Publishing")</f>
        <v>Cedarbrook Publishing</v>
      </c>
      <c r="E1788" s="2">
        <f>IFERROR(__xludf.DUMMYFUNCTION("""COMPUTED_VALUE"""),2.77)</f>
        <v>2.77</v>
      </c>
      <c r="F1788" s="2"/>
      <c r="G1788" s="2"/>
      <c r="H1788" s="2"/>
      <c r="I1788" s="2"/>
    </row>
    <row r="1789">
      <c r="A1789" s="2">
        <f>IFERROR(__xludf.DUMMYFUNCTION("""COMPUTED_VALUE"""),107160.0)</f>
        <v>107160</v>
      </c>
      <c r="B1789" s="2" t="str">
        <f>IFERROR(__xludf.DUMMYFUNCTION("""COMPUTED_VALUE"""),"Law")</f>
        <v>Law</v>
      </c>
      <c r="C1789" s="2" t="str">
        <f>IFERROR(__xludf.DUMMYFUNCTION("""COMPUTED_VALUE"""),"Motivation")</f>
        <v>Motivation</v>
      </c>
      <c r="D1789" s="2" t="str">
        <f>IFERROR(__xludf.DUMMYFUNCTION("""COMPUTED_VALUE"""),"Cedarbrook Publishing")</f>
        <v>Cedarbrook Publishing</v>
      </c>
      <c r="E1789" s="2">
        <f>IFERROR(__xludf.DUMMYFUNCTION("""COMPUTED_VALUE"""),1.23)</f>
        <v>1.23</v>
      </c>
      <c r="F1789" s="2"/>
      <c r="G1789" s="2"/>
      <c r="H1789" s="2"/>
      <c r="I1789" s="2"/>
    </row>
    <row r="1790">
      <c r="A1790" s="2">
        <f>IFERROR(__xludf.DUMMYFUNCTION("""COMPUTED_VALUE"""),44007.0)</f>
        <v>44007</v>
      </c>
      <c r="B1790" s="2" t="str">
        <f>IFERROR(__xludf.DUMMYFUNCTION("""COMPUTED_VALUE"""),"Law")</f>
        <v>Law</v>
      </c>
      <c r="C1790" s="2" t="str">
        <f>IFERROR(__xludf.DUMMYFUNCTION("""COMPUTED_VALUE"""),"Motivation")</f>
        <v>Motivation</v>
      </c>
      <c r="D1790" s="2" t="str">
        <f>IFERROR(__xludf.DUMMYFUNCTION("""COMPUTED_VALUE"""),"Cedarbrook Publishing")</f>
        <v>Cedarbrook Publishing</v>
      </c>
      <c r="E1790" s="2">
        <f>IFERROR(__xludf.DUMMYFUNCTION("""COMPUTED_VALUE"""),2.65)</f>
        <v>2.65</v>
      </c>
      <c r="F1790" s="2"/>
      <c r="G1790" s="2"/>
      <c r="H1790" s="2"/>
      <c r="I1790" s="2"/>
    </row>
    <row r="1791">
      <c r="A1791" s="2">
        <f>IFERROR(__xludf.DUMMYFUNCTION("""COMPUTED_VALUE"""),69453.0)</f>
        <v>69453</v>
      </c>
      <c r="B1791" s="2" t="str">
        <f>IFERROR(__xludf.DUMMYFUNCTION("""COMPUTED_VALUE"""),"Law")</f>
        <v>Law</v>
      </c>
      <c r="C1791" s="2" t="str">
        <f>IFERROR(__xludf.DUMMYFUNCTION("""COMPUTED_VALUE"""),"Motivation")</f>
        <v>Motivation</v>
      </c>
      <c r="D1791" s="2" t="str">
        <f>IFERROR(__xludf.DUMMYFUNCTION("""COMPUTED_VALUE"""),"Cedarbrook Publishing")</f>
        <v>Cedarbrook Publishing</v>
      </c>
      <c r="E1791" s="2">
        <f>IFERROR(__xludf.DUMMYFUNCTION("""COMPUTED_VALUE"""),1.82)</f>
        <v>1.82</v>
      </c>
      <c r="F1791" s="2"/>
      <c r="G1791" s="2"/>
      <c r="H1791" s="2"/>
      <c r="I1791" s="2"/>
    </row>
    <row r="1792">
      <c r="A1792" s="2">
        <f>IFERROR(__xludf.DUMMYFUNCTION("""COMPUTED_VALUE"""),122690.0)</f>
        <v>122690</v>
      </c>
      <c r="B1792" s="2" t="str">
        <f>IFERROR(__xludf.DUMMYFUNCTION("""COMPUTED_VALUE"""),"Law")</f>
        <v>Law</v>
      </c>
      <c r="C1792" s="2" t="str">
        <f>IFERROR(__xludf.DUMMYFUNCTION("""COMPUTED_VALUE"""),"Motivation")</f>
        <v>Motivation</v>
      </c>
      <c r="D1792" s="2" t="str">
        <f>IFERROR(__xludf.DUMMYFUNCTION("""COMPUTED_VALUE"""),"Cedarbrook Publishing")</f>
        <v>Cedarbrook Publishing</v>
      </c>
      <c r="E1792" s="2">
        <f>IFERROR(__xludf.DUMMYFUNCTION("""COMPUTED_VALUE"""),4.54)</f>
        <v>4.54</v>
      </c>
      <c r="F1792" s="2"/>
      <c r="G1792" s="2"/>
      <c r="H1792" s="2"/>
      <c r="I1792" s="2"/>
    </row>
    <row r="1793">
      <c r="A1793" s="2">
        <f>IFERROR(__xludf.DUMMYFUNCTION("""COMPUTED_VALUE"""),117243.0)</f>
        <v>117243</v>
      </c>
      <c r="B1793" s="2" t="str">
        <f>IFERROR(__xludf.DUMMYFUNCTION("""COMPUTED_VALUE"""),"Law")</f>
        <v>Law</v>
      </c>
      <c r="C1793" s="2" t="str">
        <f>IFERROR(__xludf.DUMMYFUNCTION("""COMPUTED_VALUE"""),"Motivation")</f>
        <v>Motivation</v>
      </c>
      <c r="D1793" s="2" t="str">
        <f>IFERROR(__xludf.DUMMYFUNCTION("""COMPUTED_VALUE"""),"Cedarbrook Publishing")</f>
        <v>Cedarbrook Publishing</v>
      </c>
      <c r="E1793" s="2">
        <f>IFERROR(__xludf.DUMMYFUNCTION("""COMPUTED_VALUE"""),1.93)</f>
        <v>1.93</v>
      </c>
      <c r="F1793" s="2"/>
      <c r="G1793" s="2"/>
      <c r="H1793" s="2"/>
      <c r="I1793" s="2"/>
    </row>
    <row r="1794">
      <c r="A1794" s="2">
        <f>IFERROR(__xludf.DUMMYFUNCTION("""COMPUTED_VALUE"""),71988.0)</f>
        <v>71988</v>
      </c>
      <c r="B1794" s="2" t="str">
        <f>IFERROR(__xludf.DUMMYFUNCTION("""COMPUTED_VALUE"""),"Law")</f>
        <v>Law</v>
      </c>
      <c r="C1794" s="2" t="str">
        <f>IFERROR(__xludf.DUMMYFUNCTION("""COMPUTED_VALUE"""),"Motivation")</f>
        <v>Motivation</v>
      </c>
      <c r="D1794" s="2" t="str">
        <f>IFERROR(__xludf.DUMMYFUNCTION("""COMPUTED_VALUE"""),"Brightbrook Books")</f>
        <v>Brightbrook Books</v>
      </c>
      <c r="E1794" s="2">
        <f>IFERROR(__xludf.DUMMYFUNCTION("""COMPUTED_VALUE"""),1.62)</f>
        <v>1.62</v>
      </c>
      <c r="F1794" s="2"/>
      <c r="G1794" s="2"/>
      <c r="H1794" s="2"/>
      <c r="I1794" s="2"/>
    </row>
    <row r="1795">
      <c r="A1795" s="2">
        <f>IFERROR(__xludf.DUMMYFUNCTION("""COMPUTED_VALUE"""),111582.0)</f>
        <v>111582</v>
      </c>
      <c r="B1795" s="2" t="str">
        <f>IFERROR(__xludf.DUMMYFUNCTION("""COMPUTED_VALUE"""),"Law")</f>
        <v>Law</v>
      </c>
      <c r="C1795" s="2" t="str">
        <f>IFERROR(__xludf.DUMMYFUNCTION("""COMPUTED_VALUE"""),"Motivation")</f>
        <v>Motivation</v>
      </c>
      <c r="D1795" s="2" t="str">
        <f>IFERROR(__xludf.DUMMYFUNCTION("""COMPUTED_VALUE"""),"Brightbrook Books")</f>
        <v>Brightbrook Books</v>
      </c>
      <c r="E1795" s="2">
        <f>IFERROR(__xludf.DUMMYFUNCTION("""COMPUTED_VALUE"""),1.95)</f>
        <v>1.95</v>
      </c>
      <c r="F1795" s="2"/>
      <c r="G1795" s="2"/>
      <c r="H1795" s="2"/>
      <c r="I1795" s="2"/>
    </row>
    <row r="1796">
      <c r="A1796" s="2">
        <f>IFERROR(__xludf.DUMMYFUNCTION("""COMPUTED_VALUE"""),77235.0)</f>
        <v>77235</v>
      </c>
      <c r="B1796" s="2" t="str">
        <f>IFERROR(__xludf.DUMMYFUNCTION("""COMPUTED_VALUE"""),"Law")</f>
        <v>Law</v>
      </c>
      <c r="C1796" s="2" t="str">
        <f>IFERROR(__xludf.DUMMYFUNCTION("""COMPUTED_VALUE"""),"Motivation")</f>
        <v>Motivation</v>
      </c>
      <c r="D1796" s="2" t="str">
        <f>IFERROR(__xludf.DUMMYFUNCTION("""COMPUTED_VALUE"""),"Oakbrook Press")</f>
        <v>Oakbrook Press</v>
      </c>
      <c r="E1796" s="2">
        <f>IFERROR(__xludf.DUMMYFUNCTION("""COMPUTED_VALUE"""),2.21)</f>
        <v>2.21</v>
      </c>
      <c r="F1796" s="2"/>
      <c r="G1796" s="2"/>
      <c r="H1796" s="2"/>
      <c r="I1796" s="2"/>
    </row>
    <row r="1797">
      <c r="A1797" s="2">
        <f>IFERROR(__xludf.DUMMYFUNCTION("""COMPUTED_VALUE"""),105272.0)</f>
        <v>105272</v>
      </c>
      <c r="B1797" s="2" t="str">
        <f>IFERROR(__xludf.DUMMYFUNCTION("""COMPUTED_VALUE"""),"Law")</f>
        <v>Law</v>
      </c>
      <c r="C1797" s="2" t="str">
        <f>IFERROR(__xludf.DUMMYFUNCTION("""COMPUTED_VALUE"""),"Motivation")</f>
        <v>Motivation</v>
      </c>
      <c r="D1797" s="2" t="str">
        <f>IFERROR(__xludf.DUMMYFUNCTION("""COMPUTED_VALUE"""),"Oakbrook Press")</f>
        <v>Oakbrook Press</v>
      </c>
      <c r="E1797" s="2">
        <f>IFERROR(__xludf.DUMMYFUNCTION("""COMPUTED_VALUE"""),1.99)</f>
        <v>1.99</v>
      </c>
      <c r="F1797" s="2"/>
      <c r="G1797" s="2"/>
      <c r="H1797" s="2"/>
      <c r="I1797" s="2"/>
    </row>
    <row r="1798">
      <c r="A1798" s="2">
        <f>IFERROR(__xludf.DUMMYFUNCTION("""COMPUTED_VALUE"""),120809.0)</f>
        <v>120809</v>
      </c>
      <c r="B1798" s="2" t="str">
        <f>IFERROR(__xludf.DUMMYFUNCTION("""COMPUTED_VALUE"""),"Law")</f>
        <v>Law</v>
      </c>
      <c r="C1798" s="2" t="str">
        <f>IFERROR(__xludf.DUMMYFUNCTION("""COMPUTED_VALUE"""),"Motivation")</f>
        <v>Motivation</v>
      </c>
      <c r="D1798" s="2" t="str">
        <f>IFERROR(__xludf.DUMMYFUNCTION("""COMPUTED_VALUE"""),"Oakbrook Press")</f>
        <v>Oakbrook Press</v>
      </c>
      <c r="E1798" s="2">
        <f>IFERROR(__xludf.DUMMYFUNCTION("""COMPUTED_VALUE"""),2.65)</f>
        <v>2.65</v>
      </c>
      <c r="F1798" s="2"/>
      <c r="G1798" s="2"/>
      <c r="H1798" s="2"/>
      <c r="I1798" s="2"/>
    </row>
    <row r="1799">
      <c r="A1799" s="2">
        <f>IFERROR(__xludf.DUMMYFUNCTION("""COMPUTED_VALUE"""),10651.0)</f>
        <v>10651</v>
      </c>
      <c r="B1799" s="2" t="str">
        <f>IFERROR(__xludf.DUMMYFUNCTION("""COMPUTED_VALUE"""),"Law")</f>
        <v>Law</v>
      </c>
      <c r="C1799" s="2" t="str">
        <f>IFERROR(__xludf.DUMMYFUNCTION("""COMPUTED_VALUE"""),"Motivation")</f>
        <v>Motivation</v>
      </c>
      <c r="D1799" s="2" t="str">
        <f>IFERROR(__xludf.DUMMYFUNCTION("""COMPUTED_VALUE"""),"Riverbrook Publishing")</f>
        <v>Riverbrook Publishing</v>
      </c>
      <c r="E1799" s="2">
        <f>IFERROR(__xludf.DUMMYFUNCTION("""COMPUTED_VALUE"""),1.05)</f>
        <v>1.05</v>
      </c>
      <c r="F1799" s="2"/>
      <c r="G1799" s="2"/>
      <c r="H1799" s="2"/>
      <c r="I1799" s="2"/>
    </row>
    <row r="1800">
      <c r="A1800" s="2">
        <f>IFERROR(__xludf.DUMMYFUNCTION("""COMPUTED_VALUE"""),10657.0)</f>
        <v>10657</v>
      </c>
      <c r="B1800" s="2" t="str">
        <f>IFERROR(__xludf.DUMMYFUNCTION("""COMPUTED_VALUE"""),"Law")</f>
        <v>Law</v>
      </c>
      <c r="C1800" s="2" t="str">
        <f>IFERROR(__xludf.DUMMYFUNCTION("""COMPUTED_VALUE"""),"Motivation")</f>
        <v>Motivation</v>
      </c>
      <c r="D1800" s="2" t="str">
        <f>IFERROR(__xludf.DUMMYFUNCTION("""COMPUTED_VALUE"""),"Riverbrook Publishing")</f>
        <v>Riverbrook Publishing</v>
      </c>
      <c r="E1800" s="2">
        <f>IFERROR(__xludf.DUMMYFUNCTION("""COMPUTED_VALUE"""),2.16)</f>
        <v>2.16</v>
      </c>
      <c r="F1800" s="2"/>
      <c r="G1800" s="2"/>
      <c r="H1800" s="2"/>
      <c r="I1800" s="2"/>
    </row>
    <row r="1801">
      <c r="A1801" s="2">
        <f>IFERROR(__xludf.DUMMYFUNCTION("""COMPUTED_VALUE"""),9132.0)</f>
        <v>9132</v>
      </c>
      <c r="B1801" s="2" t="str">
        <f>IFERROR(__xludf.DUMMYFUNCTION("""COMPUTED_VALUE"""),"Law")</f>
        <v>Law</v>
      </c>
      <c r="C1801" s="2" t="str">
        <f>IFERROR(__xludf.DUMMYFUNCTION("""COMPUTED_VALUE"""),"Motivation")</f>
        <v>Motivation</v>
      </c>
      <c r="D1801" s="2" t="str">
        <f>IFERROR(__xludf.DUMMYFUNCTION("""COMPUTED_VALUE"""),"Riverbrook Publishing")</f>
        <v>Riverbrook Publishing</v>
      </c>
      <c r="E1801" s="2">
        <f>IFERROR(__xludf.DUMMYFUNCTION("""COMPUTED_VALUE"""),2.1)</f>
        <v>2.1</v>
      </c>
      <c r="F1801" s="2"/>
      <c r="G1801" s="2"/>
      <c r="H1801" s="2"/>
      <c r="I1801" s="2"/>
    </row>
    <row r="1802">
      <c r="A1802" s="2">
        <f>IFERROR(__xludf.DUMMYFUNCTION("""COMPUTED_VALUE"""),197151.0)</f>
        <v>197151</v>
      </c>
      <c r="B1802" s="2" t="str">
        <f>IFERROR(__xludf.DUMMYFUNCTION("""COMPUTED_VALUE"""),"Law")</f>
        <v>Law</v>
      </c>
      <c r="C1802" s="2" t="str">
        <f>IFERROR(__xludf.DUMMYFUNCTION("""COMPUTED_VALUE"""),"Motivation")</f>
        <v>Motivation</v>
      </c>
      <c r="D1802" s="2" t="str">
        <f>IFERROR(__xludf.DUMMYFUNCTION("""COMPUTED_VALUE"""),"Riverbrook Publishing")</f>
        <v>Riverbrook Publishing</v>
      </c>
      <c r="E1802" s="2">
        <f>IFERROR(__xludf.DUMMYFUNCTION("""COMPUTED_VALUE"""),1.44)</f>
        <v>1.44</v>
      </c>
      <c r="F1802" s="2"/>
      <c r="G1802" s="2"/>
      <c r="H1802" s="2"/>
      <c r="I1802" s="2"/>
    </row>
    <row r="1803">
      <c r="A1803" s="2">
        <f>IFERROR(__xludf.DUMMYFUNCTION("""COMPUTED_VALUE"""),73386.0)</f>
        <v>73386</v>
      </c>
      <c r="B1803" s="2" t="str">
        <f>IFERROR(__xludf.DUMMYFUNCTION("""COMPUTED_VALUE"""),"Law")</f>
        <v>Law</v>
      </c>
      <c r="C1803" s="2" t="str">
        <f>IFERROR(__xludf.DUMMYFUNCTION("""COMPUTED_VALUE"""),"Motivation")</f>
        <v>Motivation</v>
      </c>
      <c r="D1803" s="2" t="str">
        <f>IFERROR(__xludf.DUMMYFUNCTION("""COMPUTED_VALUE"""),"Riverbrook Publishing")</f>
        <v>Riverbrook Publishing</v>
      </c>
      <c r="E1803" s="2">
        <f>IFERROR(__xludf.DUMMYFUNCTION("""COMPUTED_VALUE"""),1.25)</f>
        <v>1.25</v>
      </c>
      <c r="F1803" s="2"/>
      <c r="G1803" s="2"/>
      <c r="H1803" s="2"/>
      <c r="I1803" s="2"/>
    </row>
    <row r="1804">
      <c r="A1804" s="2">
        <f>IFERROR(__xludf.DUMMYFUNCTION("""COMPUTED_VALUE"""),121604.0)</f>
        <v>121604</v>
      </c>
      <c r="B1804" s="2" t="str">
        <f>IFERROR(__xludf.DUMMYFUNCTION("""COMPUTED_VALUE"""),"Law")</f>
        <v>Law</v>
      </c>
      <c r="C1804" s="2" t="str">
        <f>IFERROR(__xludf.DUMMYFUNCTION("""COMPUTED_VALUE"""),"Motivation")</f>
        <v>Motivation</v>
      </c>
      <c r="D1804" s="2" t="str">
        <f>IFERROR(__xludf.DUMMYFUNCTION("""COMPUTED_VALUE"""),"Riverbrook Publishing")</f>
        <v>Riverbrook Publishing</v>
      </c>
      <c r="E1804" s="2">
        <f>IFERROR(__xludf.DUMMYFUNCTION("""COMPUTED_VALUE"""),1.88)</f>
        <v>1.88</v>
      </c>
      <c r="F1804" s="2"/>
      <c r="G1804" s="2"/>
      <c r="H1804" s="2"/>
      <c r="I1804" s="2"/>
    </row>
    <row r="1805">
      <c r="A1805" s="2">
        <f>IFERROR(__xludf.DUMMYFUNCTION("""COMPUTED_VALUE"""),89533.0)</f>
        <v>89533</v>
      </c>
      <c r="B1805" s="2" t="str">
        <f>IFERROR(__xludf.DUMMYFUNCTION("""COMPUTED_VALUE"""),"Law")</f>
        <v>Law</v>
      </c>
      <c r="C1805" s="2" t="str">
        <f>IFERROR(__xludf.DUMMYFUNCTION("""COMPUTED_VALUE"""),"Motivation")</f>
        <v>Motivation</v>
      </c>
      <c r="D1805" s="2" t="str">
        <f>IFERROR(__xludf.DUMMYFUNCTION("""COMPUTED_VALUE"""),"Riverbrook Publishing")</f>
        <v>Riverbrook Publishing</v>
      </c>
      <c r="E1805" s="2">
        <f>IFERROR(__xludf.DUMMYFUNCTION("""COMPUTED_VALUE"""),1.76)</f>
        <v>1.76</v>
      </c>
      <c r="F1805" s="2"/>
      <c r="G1805" s="2"/>
      <c r="H1805" s="2"/>
      <c r="I1805" s="2"/>
    </row>
    <row r="1806">
      <c r="A1806" s="2">
        <f>IFERROR(__xludf.DUMMYFUNCTION("""COMPUTED_VALUE"""),73381.0)</f>
        <v>73381</v>
      </c>
      <c r="B1806" s="2" t="str">
        <f>IFERROR(__xludf.DUMMYFUNCTION("""COMPUTED_VALUE"""),"Law")</f>
        <v>Law</v>
      </c>
      <c r="C1806" s="2" t="str">
        <f>IFERROR(__xludf.DUMMYFUNCTION("""COMPUTED_VALUE"""),"Motivation")</f>
        <v>Motivation</v>
      </c>
      <c r="D1806" s="2" t="str">
        <f>IFERROR(__xludf.DUMMYFUNCTION("""COMPUTED_VALUE"""),"Riverbrook Publishing")</f>
        <v>Riverbrook Publishing</v>
      </c>
      <c r="E1806" s="2">
        <f>IFERROR(__xludf.DUMMYFUNCTION("""COMPUTED_VALUE"""),1.84)</f>
        <v>1.84</v>
      </c>
      <c r="F1806" s="2"/>
      <c r="G1806" s="2"/>
      <c r="H1806" s="2"/>
      <c r="I1806" s="2"/>
    </row>
    <row r="1807">
      <c r="A1807" s="2">
        <f>IFERROR(__xludf.DUMMYFUNCTION("""COMPUTED_VALUE"""),26096.0)</f>
        <v>26096</v>
      </c>
      <c r="B1807" s="2" t="str">
        <f>IFERROR(__xludf.DUMMYFUNCTION("""COMPUTED_VALUE"""),"Law")</f>
        <v>Law</v>
      </c>
      <c r="C1807" s="2" t="str">
        <f>IFERROR(__xludf.DUMMYFUNCTION("""COMPUTED_VALUE"""),"Motivation")</f>
        <v>Motivation</v>
      </c>
      <c r="D1807" s="2" t="str">
        <f>IFERROR(__xludf.DUMMYFUNCTION("""COMPUTED_VALUE"""),"Riverbrook Publishing")</f>
        <v>Riverbrook Publishing</v>
      </c>
      <c r="E1807" s="2">
        <f>IFERROR(__xludf.DUMMYFUNCTION("""COMPUTED_VALUE"""),1.27)</f>
        <v>1.27</v>
      </c>
      <c r="F1807" s="2"/>
      <c r="G1807" s="2"/>
      <c r="H1807" s="2"/>
      <c r="I1807" s="2"/>
    </row>
    <row r="1808">
      <c r="A1808" s="2">
        <f>IFERROR(__xludf.DUMMYFUNCTION("""COMPUTED_VALUE"""),119050.0)</f>
        <v>119050</v>
      </c>
      <c r="B1808" s="2" t="str">
        <f>IFERROR(__xludf.DUMMYFUNCTION("""COMPUTED_VALUE"""),"Law")</f>
        <v>Law</v>
      </c>
      <c r="C1808" s="2" t="str">
        <f>IFERROR(__xludf.DUMMYFUNCTION("""COMPUTED_VALUE"""),"Motivation")</f>
        <v>Motivation</v>
      </c>
      <c r="D1808" s="2" t="str">
        <f>IFERROR(__xludf.DUMMYFUNCTION("""COMPUTED_VALUE"""),"Riverbrook Publishing")</f>
        <v>Riverbrook Publishing</v>
      </c>
      <c r="E1808" s="2">
        <f>IFERROR(__xludf.DUMMYFUNCTION("""COMPUTED_VALUE"""),1.27)</f>
        <v>1.27</v>
      </c>
      <c r="F1808" s="2"/>
      <c r="G1808" s="2"/>
      <c r="H1808" s="2"/>
      <c r="I1808" s="2"/>
    </row>
    <row r="1809">
      <c r="A1809" s="2">
        <f>IFERROR(__xludf.DUMMYFUNCTION("""COMPUTED_VALUE"""),44028.0)</f>
        <v>44028</v>
      </c>
      <c r="B1809" s="2" t="str">
        <f>IFERROR(__xludf.DUMMYFUNCTION("""COMPUTED_VALUE"""),"Law")</f>
        <v>Law</v>
      </c>
      <c r="C1809" s="2" t="str">
        <f>IFERROR(__xludf.DUMMYFUNCTION("""COMPUTED_VALUE"""),"Motivation")</f>
        <v>Motivation</v>
      </c>
      <c r="D1809" s="2" t="str">
        <f>IFERROR(__xludf.DUMMYFUNCTION("""COMPUTED_VALUE"""),"Riverbrook Publishing")</f>
        <v>Riverbrook Publishing</v>
      </c>
      <c r="E1809" s="2">
        <f>IFERROR(__xludf.DUMMYFUNCTION("""COMPUTED_VALUE"""),0.7)</f>
        <v>0.7</v>
      </c>
      <c r="F1809" s="2"/>
      <c r="G1809" s="2"/>
      <c r="H1809" s="2"/>
      <c r="I1809" s="2"/>
    </row>
    <row r="1810">
      <c r="A1810" s="2">
        <f>IFERROR(__xludf.DUMMYFUNCTION("""COMPUTED_VALUE"""),73572.0)</f>
        <v>73572</v>
      </c>
      <c r="B1810" s="2" t="str">
        <f>IFERROR(__xludf.DUMMYFUNCTION("""COMPUTED_VALUE"""),"Law")</f>
        <v>Law</v>
      </c>
      <c r="C1810" s="2" t="str">
        <f>IFERROR(__xludf.DUMMYFUNCTION("""COMPUTED_VALUE"""),"Motivation")</f>
        <v>Motivation</v>
      </c>
      <c r="D1810" s="2" t="str">
        <f>IFERROR(__xludf.DUMMYFUNCTION("""COMPUTED_VALUE"""),"Riverbrook Publishing")</f>
        <v>Riverbrook Publishing</v>
      </c>
      <c r="E1810" s="2">
        <f>IFERROR(__xludf.DUMMYFUNCTION("""COMPUTED_VALUE"""),1.36)</f>
        <v>1.36</v>
      </c>
      <c r="F1810" s="2"/>
      <c r="G1810" s="2"/>
      <c r="H1810" s="2"/>
      <c r="I1810" s="2"/>
    </row>
    <row r="1811">
      <c r="A1811" s="2">
        <f>IFERROR(__xludf.DUMMYFUNCTION("""COMPUTED_VALUE"""),83083.0)</f>
        <v>83083</v>
      </c>
      <c r="B1811" s="2" t="str">
        <f>IFERROR(__xludf.DUMMYFUNCTION("""COMPUTED_VALUE"""),"Law")</f>
        <v>Law</v>
      </c>
      <c r="C1811" s="2" t="str">
        <f>IFERROR(__xludf.DUMMYFUNCTION("""COMPUTED_VALUE"""),"Motivation")</f>
        <v>Motivation</v>
      </c>
      <c r="D1811" s="2" t="str">
        <f>IFERROR(__xludf.DUMMYFUNCTION("""COMPUTED_VALUE"""),"Riverbrook Publishing")</f>
        <v>Riverbrook Publishing</v>
      </c>
      <c r="E1811" s="2">
        <f>IFERROR(__xludf.DUMMYFUNCTION("""COMPUTED_VALUE"""),1.09)</f>
        <v>1.09</v>
      </c>
      <c r="F1811" s="2"/>
      <c r="G1811" s="2"/>
      <c r="H1811" s="2"/>
      <c r="I1811" s="2"/>
    </row>
    <row r="1812">
      <c r="A1812" s="2">
        <f>IFERROR(__xludf.DUMMYFUNCTION("""COMPUTED_VALUE"""),13338.0)</f>
        <v>13338</v>
      </c>
      <c r="B1812" s="2" t="str">
        <f>IFERROR(__xludf.DUMMYFUNCTION("""COMPUTED_VALUE"""),"Law")</f>
        <v>Law</v>
      </c>
      <c r="C1812" s="2" t="str">
        <f>IFERROR(__xludf.DUMMYFUNCTION("""COMPUTED_VALUE"""),"Motivation")</f>
        <v>Motivation</v>
      </c>
      <c r="D1812" s="2" t="str">
        <f>IFERROR(__xludf.DUMMYFUNCTION("""COMPUTED_VALUE"""),"Riverbrook Publishing")</f>
        <v>Riverbrook Publishing</v>
      </c>
      <c r="E1812" s="2">
        <f>IFERROR(__xludf.DUMMYFUNCTION("""COMPUTED_VALUE"""),1.92)</f>
        <v>1.92</v>
      </c>
      <c r="F1812" s="2"/>
      <c r="G1812" s="2"/>
      <c r="H1812" s="2"/>
      <c r="I1812" s="2"/>
    </row>
    <row r="1813">
      <c r="A1813" s="2">
        <f>IFERROR(__xludf.DUMMYFUNCTION("""COMPUTED_VALUE"""),83418.0)</f>
        <v>83418</v>
      </c>
      <c r="B1813" s="2" t="str">
        <f>IFERROR(__xludf.DUMMYFUNCTION("""COMPUTED_VALUE"""),"Law")</f>
        <v>Law</v>
      </c>
      <c r="C1813" s="2" t="str">
        <f>IFERROR(__xludf.DUMMYFUNCTION("""COMPUTED_VALUE"""),"Motivation")</f>
        <v>Motivation</v>
      </c>
      <c r="D1813" s="2" t="str">
        <f>IFERROR(__xludf.DUMMYFUNCTION("""COMPUTED_VALUE"""),"Riverbrook Publishing")</f>
        <v>Riverbrook Publishing</v>
      </c>
      <c r="E1813" s="2">
        <f>IFERROR(__xludf.DUMMYFUNCTION("""COMPUTED_VALUE"""),1.94)</f>
        <v>1.94</v>
      </c>
      <c r="F1813" s="2"/>
      <c r="G1813" s="2"/>
      <c r="H1813" s="2"/>
      <c r="I1813" s="2"/>
    </row>
    <row r="1814">
      <c r="A1814" s="2">
        <f>IFERROR(__xludf.DUMMYFUNCTION("""COMPUTED_VALUE"""),68640.0)</f>
        <v>68640</v>
      </c>
      <c r="B1814" s="2" t="str">
        <f>IFERROR(__xludf.DUMMYFUNCTION("""COMPUTED_VALUE"""),"Law")</f>
        <v>Law</v>
      </c>
      <c r="C1814" s="2" t="str">
        <f>IFERROR(__xludf.DUMMYFUNCTION("""COMPUTED_VALUE"""),"Motivation")</f>
        <v>Motivation</v>
      </c>
      <c r="D1814" s="2" t="str">
        <f>IFERROR(__xludf.DUMMYFUNCTION("""COMPUTED_VALUE"""),"Riverbrook Publishing")</f>
        <v>Riverbrook Publishing</v>
      </c>
      <c r="E1814" s="2">
        <f>IFERROR(__xludf.DUMMYFUNCTION("""COMPUTED_VALUE"""),1.09)</f>
        <v>1.09</v>
      </c>
      <c r="F1814" s="2"/>
      <c r="G1814" s="2"/>
      <c r="H1814" s="2"/>
      <c r="I1814" s="2"/>
    </row>
    <row r="1815">
      <c r="A1815" s="2">
        <f>IFERROR(__xludf.DUMMYFUNCTION("""COMPUTED_VALUE"""),10647.0)</f>
        <v>10647</v>
      </c>
      <c r="B1815" s="2" t="str">
        <f>IFERROR(__xludf.DUMMYFUNCTION("""COMPUTED_VALUE"""),"Law")</f>
        <v>Law</v>
      </c>
      <c r="C1815" s="2" t="str">
        <f>IFERROR(__xludf.DUMMYFUNCTION("""COMPUTED_VALUE"""),"Motivation")</f>
        <v>Motivation</v>
      </c>
      <c r="D1815" s="2" t="str">
        <f>IFERROR(__xludf.DUMMYFUNCTION("""COMPUTED_VALUE"""),"Riverbrook Publishing")</f>
        <v>Riverbrook Publishing</v>
      </c>
      <c r="E1815" s="2">
        <f>IFERROR(__xludf.DUMMYFUNCTION("""COMPUTED_VALUE"""),1.35)</f>
        <v>1.35</v>
      </c>
      <c r="F1815" s="2"/>
      <c r="G1815" s="2"/>
      <c r="H1815" s="2"/>
      <c r="I1815" s="2"/>
    </row>
    <row r="1816">
      <c r="A1816" s="2">
        <f>IFERROR(__xludf.DUMMYFUNCTION("""COMPUTED_VALUE"""),85884.0)</f>
        <v>85884</v>
      </c>
      <c r="B1816" s="2" t="str">
        <f>IFERROR(__xludf.DUMMYFUNCTION("""COMPUTED_VALUE"""),"Law")</f>
        <v>Law</v>
      </c>
      <c r="C1816" s="2" t="str">
        <f>IFERROR(__xludf.DUMMYFUNCTION("""COMPUTED_VALUE"""),"Motivation")</f>
        <v>Motivation</v>
      </c>
      <c r="D1816" s="2" t="str">
        <f>IFERROR(__xludf.DUMMYFUNCTION("""COMPUTED_VALUE"""),"Riverbrook Publishing")</f>
        <v>Riverbrook Publishing</v>
      </c>
      <c r="E1816" s="2">
        <f>IFERROR(__xludf.DUMMYFUNCTION("""COMPUTED_VALUE"""),1.25)</f>
        <v>1.25</v>
      </c>
      <c r="F1816" s="2"/>
      <c r="G1816" s="2"/>
      <c r="H1816" s="2"/>
      <c r="I1816" s="2"/>
    </row>
    <row r="1817">
      <c r="A1817" s="2">
        <f>IFERROR(__xludf.DUMMYFUNCTION("""COMPUTED_VALUE"""),113933.0)</f>
        <v>113933</v>
      </c>
      <c r="B1817" s="2" t="str">
        <f>IFERROR(__xludf.DUMMYFUNCTION("""COMPUTED_VALUE"""),"Law")</f>
        <v>Law</v>
      </c>
      <c r="C1817" s="2" t="str">
        <f>IFERROR(__xludf.DUMMYFUNCTION("""COMPUTED_VALUE"""),"Motivation")</f>
        <v>Motivation</v>
      </c>
      <c r="D1817" s="2" t="str">
        <f>IFERROR(__xludf.DUMMYFUNCTION("""COMPUTED_VALUE"""),"Riverbrook Publishing")</f>
        <v>Riverbrook Publishing</v>
      </c>
      <c r="E1817" s="2">
        <f>IFERROR(__xludf.DUMMYFUNCTION("""COMPUTED_VALUE"""),1.62)</f>
        <v>1.62</v>
      </c>
      <c r="F1817" s="2"/>
      <c r="G1817" s="2"/>
      <c r="H1817" s="2"/>
      <c r="I1817" s="2"/>
    </row>
    <row r="1818">
      <c r="A1818" s="2">
        <f>IFERROR(__xludf.DUMMYFUNCTION("""COMPUTED_VALUE"""),188843.0)</f>
        <v>188843</v>
      </c>
      <c r="B1818" s="2" t="str">
        <f>IFERROR(__xludf.DUMMYFUNCTION("""COMPUTED_VALUE"""),"Law")</f>
        <v>Law</v>
      </c>
      <c r="C1818" s="2" t="str">
        <f>IFERROR(__xludf.DUMMYFUNCTION("""COMPUTED_VALUE"""),"Motivation")</f>
        <v>Motivation</v>
      </c>
      <c r="D1818" s="2" t="str">
        <f>IFERROR(__xludf.DUMMYFUNCTION("""COMPUTED_VALUE"""),"Riverbrook Publishing")</f>
        <v>Riverbrook Publishing</v>
      </c>
      <c r="E1818" s="2">
        <f>IFERROR(__xludf.DUMMYFUNCTION("""COMPUTED_VALUE"""),1.11)</f>
        <v>1.11</v>
      </c>
      <c r="F1818" s="2"/>
      <c r="G1818" s="2"/>
      <c r="H1818" s="2"/>
      <c r="I1818" s="2"/>
    </row>
    <row r="1819">
      <c r="A1819" s="2">
        <f>IFERROR(__xludf.DUMMYFUNCTION("""COMPUTED_VALUE"""),13342.0)</f>
        <v>13342</v>
      </c>
      <c r="B1819" s="2" t="str">
        <f>IFERROR(__xludf.DUMMYFUNCTION("""COMPUTED_VALUE"""),"Law")</f>
        <v>Law</v>
      </c>
      <c r="C1819" s="2" t="str">
        <f>IFERROR(__xludf.DUMMYFUNCTION("""COMPUTED_VALUE"""),"Motivation")</f>
        <v>Motivation</v>
      </c>
      <c r="D1819" s="2" t="str">
        <f>IFERROR(__xludf.DUMMYFUNCTION("""COMPUTED_VALUE"""),"Riverbrook Publishing")</f>
        <v>Riverbrook Publishing</v>
      </c>
      <c r="E1819" s="2">
        <f>IFERROR(__xludf.DUMMYFUNCTION("""COMPUTED_VALUE"""),1.86)</f>
        <v>1.86</v>
      </c>
      <c r="F1819" s="2"/>
      <c r="G1819" s="2"/>
      <c r="H1819" s="2"/>
      <c r="I1819" s="2"/>
    </row>
    <row r="1820">
      <c r="A1820" s="2">
        <f>IFERROR(__xludf.DUMMYFUNCTION("""COMPUTED_VALUE"""),83002.0)</f>
        <v>83002</v>
      </c>
      <c r="B1820" s="2" t="str">
        <f>IFERROR(__xludf.DUMMYFUNCTION("""COMPUTED_VALUE"""),"Law")</f>
        <v>Law</v>
      </c>
      <c r="C1820" s="2" t="str">
        <f>IFERROR(__xludf.DUMMYFUNCTION("""COMPUTED_VALUE"""),"Motivation")</f>
        <v>Motivation</v>
      </c>
      <c r="D1820" s="2" t="str">
        <f>IFERROR(__xludf.DUMMYFUNCTION("""COMPUTED_VALUE"""),"Riverbrook Publishing")</f>
        <v>Riverbrook Publishing</v>
      </c>
      <c r="E1820" s="2">
        <f>IFERROR(__xludf.DUMMYFUNCTION("""COMPUTED_VALUE"""),1.04)</f>
        <v>1.04</v>
      </c>
      <c r="F1820" s="2"/>
      <c r="G1820" s="2"/>
      <c r="H1820" s="2"/>
      <c r="I1820" s="2"/>
    </row>
    <row r="1821">
      <c r="A1821" s="2">
        <f>IFERROR(__xludf.DUMMYFUNCTION("""COMPUTED_VALUE"""),112860.0)</f>
        <v>112860</v>
      </c>
      <c r="B1821" s="2" t="str">
        <f>IFERROR(__xludf.DUMMYFUNCTION("""COMPUTED_VALUE"""),"Law")</f>
        <v>Law</v>
      </c>
      <c r="C1821" s="2" t="str">
        <f>IFERROR(__xludf.DUMMYFUNCTION("""COMPUTED_VALUE"""),"Motivation")</f>
        <v>Motivation</v>
      </c>
      <c r="D1821" s="2" t="str">
        <f>IFERROR(__xludf.DUMMYFUNCTION("""COMPUTED_VALUE"""),"Riverbrook Publishing")</f>
        <v>Riverbrook Publishing</v>
      </c>
      <c r="E1821" s="2">
        <f>IFERROR(__xludf.DUMMYFUNCTION("""COMPUTED_VALUE"""),1.51)</f>
        <v>1.51</v>
      </c>
      <c r="F1821" s="2"/>
      <c r="G1821" s="2"/>
      <c r="H1821" s="2"/>
      <c r="I1821" s="2"/>
    </row>
    <row r="1822">
      <c r="A1822" s="2">
        <f>IFERROR(__xludf.DUMMYFUNCTION("""COMPUTED_VALUE"""),118374.0)</f>
        <v>118374</v>
      </c>
      <c r="B1822" s="2" t="str">
        <f>IFERROR(__xludf.DUMMYFUNCTION("""COMPUTED_VALUE"""),"Law")</f>
        <v>Law</v>
      </c>
      <c r="C1822" s="2" t="str">
        <f>IFERROR(__xludf.DUMMYFUNCTION("""COMPUTED_VALUE"""),"Motivation")</f>
        <v>Motivation</v>
      </c>
      <c r="D1822" s="2" t="str">
        <f>IFERROR(__xludf.DUMMYFUNCTION("""COMPUTED_VALUE"""),"Riverbrook Publishing")</f>
        <v>Riverbrook Publishing</v>
      </c>
      <c r="E1822" s="2">
        <f>IFERROR(__xludf.DUMMYFUNCTION("""COMPUTED_VALUE"""),1.43)</f>
        <v>1.43</v>
      </c>
      <c r="F1822" s="2"/>
      <c r="G1822" s="2"/>
      <c r="H1822" s="2"/>
      <c r="I1822" s="2"/>
    </row>
    <row r="1823">
      <c r="A1823" s="2">
        <f>IFERROR(__xludf.DUMMYFUNCTION("""COMPUTED_VALUE"""),119049.0)</f>
        <v>119049</v>
      </c>
      <c r="B1823" s="2" t="str">
        <f>IFERROR(__xludf.DUMMYFUNCTION("""COMPUTED_VALUE"""),"Law")</f>
        <v>Law</v>
      </c>
      <c r="C1823" s="2" t="str">
        <f>IFERROR(__xludf.DUMMYFUNCTION("""COMPUTED_VALUE"""),"Motivation")</f>
        <v>Motivation</v>
      </c>
      <c r="D1823" s="2" t="str">
        <f>IFERROR(__xludf.DUMMYFUNCTION("""COMPUTED_VALUE"""),"Riverbrook Publishing")</f>
        <v>Riverbrook Publishing</v>
      </c>
      <c r="E1823" s="2">
        <f>IFERROR(__xludf.DUMMYFUNCTION("""COMPUTED_VALUE"""),1.3)</f>
        <v>1.3</v>
      </c>
      <c r="F1823" s="2"/>
      <c r="G1823" s="2"/>
      <c r="H1823" s="2"/>
      <c r="I1823" s="2"/>
    </row>
    <row r="1824">
      <c r="A1824" s="2">
        <f>IFERROR(__xludf.DUMMYFUNCTION("""COMPUTED_VALUE"""),120964.0)</f>
        <v>120964</v>
      </c>
      <c r="B1824" s="2" t="str">
        <f>IFERROR(__xludf.DUMMYFUNCTION("""COMPUTED_VALUE"""),"Law")</f>
        <v>Law</v>
      </c>
      <c r="C1824" s="2" t="str">
        <f>IFERROR(__xludf.DUMMYFUNCTION("""COMPUTED_VALUE"""),"Motivation")</f>
        <v>Motivation</v>
      </c>
      <c r="D1824" s="2" t="str">
        <f>IFERROR(__xludf.DUMMYFUNCTION("""COMPUTED_VALUE"""),"Riverbrook Publishing")</f>
        <v>Riverbrook Publishing</v>
      </c>
      <c r="E1824" s="2">
        <f>IFERROR(__xludf.DUMMYFUNCTION("""COMPUTED_VALUE"""),2.16)</f>
        <v>2.16</v>
      </c>
      <c r="F1824" s="2"/>
      <c r="G1824" s="2"/>
      <c r="H1824" s="2"/>
      <c r="I1824" s="2"/>
    </row>
    <row r="1825">
      <c r="A1825" s="2">
        <f>IFERROR(__xludf.DUMMYFUNCTION("""COMPUTED_VALUE"""),26093.0)</f>
        <v>26093</v>
      </c>
      <c r="B1825" s="2" t="str">
        <f>IFERROR(__xludf.DUMMYFUNCTION("""COMPUTED_VALUE"""),"Law")</f>
        <v>Law</v>
      </c>
      <c r="C1825" s="2" t="str">
        <f>IFERROR(__xludf.DUMMYFUNCTION("""COMPUTED_VALUE"""),"Motivation")</f>
        <v>Motivation</v>
      </c>
      <c r="D1825" s="2" t="str">
        <f>IFERROR(__xludf.DUMMYFUNCTION("""COMPUTED_VALUE"""),"Riverbrook Publishing")</f>
        <v>Riverbrook Publishing</v>
      </c>
      <c r="E1825" s="2">
        <f>IFERROR(__xludf.DUMMYFUNCTION("""COMPUTED_VALUE"""),0.94)</f>
        <v>0.94</v>
      </c>
      <c r="F1825" s="2"/>
      <c r="G1825" s="2"/>
      <c r="H1825" s="2"/>
      <c r="I1825" s="2"/>
    </row>
    <row r="1826">
      <c r="A1826" s="2">
        <f>IFERROR(__xludf.DUMMYFUNCTION("""COMPUTED_VALUE"""),99311.0)</f>
        <v>99311</v>
      </c>
      <c r="B1826" s="2" t="str">
        <f>IFERROR(__xludf.DUMMYFUNCTION("""COMPUTED_VALUE"""),"Law")</f>
        <v>Law</v>
      </c>
      <c r="C1826" s="2" t="str">
        <f>IFERROR(__xludf.DUMMYFUNCTION("""COMPUTED_VALUE"""),"Motivation")</f>
        <v>Motivation</v>
      </c>
      <c r="D1826" s="2" t="str">
        <f>IFERROR(__xludf.DUMMYFUNCTION("""COMPUTED_VALUE"""),"Riverbrook Publishing")</f>
        <v>Riverbrook Publishing</v>
      </c>
      <c r="E1826" s="2">
        <f>IFERROR(__xludf.DUMMYFUNCTION("""COMPUTED_VALUE"""),0.63)</f>
        <v>0.63</v>
      </c>
      <c r="F1826" s="2"/>
      <c r="G1826" s="2"/>
      <c r="H1826" s="2"/>
      <c r="I1826" s="2"/>
    </row>
    <row r="1827">
      <c r="A1827" s="2">
        <f>IFERROR(__xludf.DUMMYFUNCTION("""COMPUTED_VALUE"""),9131.0)</f>
        <v>9131</v>
      </c>
      <c r="B1827" s="2" t="str">
        <f>IFERROR(__xludf.DUMMYFUNCTION("""COMPUTED_VALUE"""),"Law")</f>
        <v>Law</v>
      </c>
      <c r="C1827" s="2" t="str">
        <f>IFERROR(__xludf.DUMMYFUNCTION("""COMPUTED_VALUE"""),"Motivation")</f>
        <v>Motivation</v>
      </c>
      <c r="D1827" s="2" t="str">
        <f>IFERROR(__xludf.DUMMYFUNCTION("""COMPUTED_VALUE"""),"Riverbrook Publishing")</f>
        <v>Riverbrook Publishing</v>
      </c>
      <c r="E1827" s="2">
        <f>IFERROR(__xludf.DUMMYFUNCTION("""COMPUTED_VALUE"""),2.13)</f>
        <v>2.13</v>
      </c>
      <c r="F1827" s="2"/>
      <c r="G1827" s="2"/>
      <c r="H1827" s="2"/>
      <c r="I1827" s="2"/>
    </row>
    <row r="1828">
      <c r="A1828" s="2">
        <f>IFERROR(__xludf.DUMMYFUNCTION("""COMPUTED_VALUE"""),122167.0)</f>
        <v>122167</v>
      </c>
      <c r="B1828" s="2" t="str">
        <f>IFERROR(__xludf.DUMMYFUNCTION("""COMPUTED_VALUE"""),"Law")</f>
        <v>Law</v>
      </c>
      <c r="C1828" s="2" t="str">
        <f>IFERROR(__xludf.DUMMYFUNCTION("""COMPUTED_VALUE"""),"Motivation")</f>
        <v>Motivation</v>
      </c>
      <c r="D1828" s="2" t="str">
        <f>IFERROR(__xludf.DUMMYFUNCTION("""COMPUTED_VALUE"""),"Riverbrook Publishing")</f>
        <v>Riverbrook Publishing</v>
      </c>
      <c r="E1828" s="2">
        <f>IFERROR(__xludf.DUMMYFUNCTION("""COMPUTED_VALUE"""),1.17)</f>
        <v>1.17</v>
      </c>
      <c r="F1828" s="2"/>
      <c r="G1828" s="2"/>
      <c r="H1828" s="2"/>
      <c r="I1828" s="2"/>
    </row>
    <row r="1829">
      <c r="A1829" s="2">
        <f>IFERROR(__xludf.DUMMYFUNCTION("""COMPUTED_VALUE"""),10649.0)</f>
        <v>10649</v>
      </c>
      <c r="B1829" s="2" t="str">
        <f>IFERROR(__xludf.DUMMYFUNCTION("""COMPUTED_VALUE"""),"Law")</f>
        <v>Law</v>
      </c>
      <c r="C1829" s="2" t="str">
        <f>IFERROR(__xludf.DUMMYFUNCTION("""COMPUTED_VALUE"""),"Motivation")</f>
        <v>Motivation</v>
      </c>
      <c r="D1829" s="2" t="str">
        <f>IFERROR(__xludf.DUMMYFUNCTION("""COMPUTED_VALUE"""),"Riverbrook Publishing")</f>
        <v>Riverbrook Publishing</v>
      </c>
      <c r="E1829" s="2">
        <f>IFERROR(__xludf.DUMMYFUNCTION("""COMPUTED_VALUE"""),1.27)</f>
        <v>1.27</v>
      </c>
      <c r="F1829" s="2"/>
      <c r="G1829" s="2"/>
      <c r="H1829" s="2"/>
      <c r="I1829" s="2"/>
    </row>
    <row r="1830">
      <c r="A1830" s="2">
        <f>IFERROR(__xludf.DUMMYFUNCTION("""COMPUTED_VALUE"""),85875.0)</f>
        <v>85875</v>
      </c>
      <c r="B1830" s="2" t="str">
        <f>IFERROR(__xludf.DUMMYFUNCTION("""COMPUTED_VALUE"""),"Law")</f>
        <v>Law</v>
      </c>
      <c r="C1830" s="2" t="str">
        <f>IFERROR(__xludf.DUMMYFUNCTION("""COMPUTED_VALUE"""),"Motivation")</f>
        <v>Motivation</v>
      </c>
      <c r="D1830" s="2" t="str">
        <f>IFERROR(__xludf.DUMMYFUNCTION("""COMPUTED_VALUE"""),"Riverbrook Publishing")</f>
        <v>Riverbrook Publishing</v>
      </c>
      <c r="E1830" s="2">
        <f>IFERROR(__xludf.DUMMYFUNCTION("""COMPUTED_VALUE"""),1.75)</f>
        <v>1.75</v>
      </c>
      <c r="F1830" s="2"/>
      <c r="G1830" s="2"/>
      <c r="H1830" s="2"/>
      <c r="I1830" s="2"/>
    </row>
    <row r="1831">
      <c r="A1831" s="2">
        <f>IFERROR(__xludf.DUMMYFUNCTION("""COMPUTED_VALUE"""),9136.0)</f>
        <v>9136</v>
      </c>
      <c r="B1831" s="2" t="str">
        <f>IFERROR(__xludf.DUMMYFUNCTION("""COMPUTED_VALUE"""),"Law")</f>
        <v>Law</v>
      </c>
      <c r="C1831" s="2" t="str">
        <f>IFERROR(__xludf.DUMMYFUNCTION("""COMPUTED_VALUE"""),"Motivation")</f>
        <v>Motivation</v>
      </c>
      <c r="D1831" s="2" t="str">
        <f>IFERROR(__xludf.DUMMYFUNCTION("""COMPUTED_VALUE"""),"Riverbrook Publishing")</f>
        <v>Riverbrook Publishing</v>
      </c>
      <c r="E1831" s="2">
        <f>IFERROR(__xludf.DUMMYFUNCTION("""COMPUTED_VALUE"""),1.95)</f>
        <v>1.95</v>
      </c>
      <c r="F1831" s="2"/>
      <c r="G1831" s="2"/>
      <c r="H1831" s="2"/>
      <c r="I1831" s="2"/>
    </row>
    <row r="1832">
      <c r="A1832" s="2">
        <f>IFERROR(__xludf.DUMMYFUNCTION("""COMPUTED_VALUE"""),121835.0)</f>
        <v>121835</v>
      </c>
      <c r="B1832" s="2" t="str">
        <f>IFERROR(__xludf.DUMMYFUNCTION("""COMPUTED_VALUE"""),"Law")</f>
        <v>Law</v>
      </c>
      <c r="C1832" s="2" t="str">
        <f>IFERROR(__xludf.DUMMYFUNCTION("""COMPUTED_VALUE"""),"Motivation")</f>
        <v>Motivation</v>
      </c>
      <c r="D1832" s="2" t="str">
        <f>IFERROR(__xludf.DUMMYFUNCTION("""COMPUTED_VALUE"""),"Riverbrook Publishing")</f>
        <v>Riverbrook Publishing</v>
      </c>
      <c r="E1832" s="2">
        <f>IFERROR(__xludf.DUMMYFUNCTION("""COMPUTED_VALUE"""),1.46)</f>
        <v>1.46</v>
      </c>
      <c r="F1832" s="2"/>
      <c r="G1832" s="2"/>
      <c r="H1832" s="2"/>
      <c r="I1832" s="2"/>
    </row>
    <row r="1833">
      <c r="A1833" s="2">
        <f>IFERROR(__xludf.DUMMYFUNCTION("""COMPUTED_VALUE"""),113934.0)</f>
        <v>113934</v>
      </c>
      <c r="B1833" s="2" t="str">
        <f>IFERROR(__xludf.DUMMYFUNCTION("""COMPUTED_VALUE"""),"Law")</f>
        <v>Law</v>
      </c>
      <c r="C1833" s="2" t="str">
        <f>IFERROR(__xludf.DUMMYFUNCTION("""COMPUTED_VALUE"""),"Motivation")</f>
        <v>Motivation</v>
      </c>
      <c r="D1833" s="2" t="str">
        <f>IFERROR(__xludf.DUMMYFUNCTION("""COMPUTED_VALUE"""),"Riverbrook Publishing")</f>
        <v>Riverbrook Publishing</v>
      </c>
      <c r="E1833" s="2">
        <f>IFERROR(__xludf.DUMMYFUNCTION("""COMPUTED_VALUE"""),3.36)</f>
        <v>3.36</v>
      </c>
      <c r="F1833" s="2"/>
      <c r="G1833" s="2"/>
      <c r="H1833" s="2"/>
      <c r="I1833" s="2"/>
    </row>
    <row r="1834">
      <c r="A1834" s="2">
        <f>IFERROR(__xludf.DUMMYFUNCTION("""COMPUTED_VALUE"""),5750.0)</f>
        <v>5750</v>
      </c>
      <c r="B1834" s="2" t="str">
        <f>IFERROR(__xludf.DUMMYFUNCTION("""COMPUTED_VALUE"""),"Law")</f>
        <v>Law</v>
      </c>
      <c r="C1834" s="2" t="str">
        <f>IFERROR(__xludf.DUMMYFUNCTION("""COMPUTED_VALUE"""),"Motivation")</f>
        <v>Motivation</v>
      </c>
      <c r="D1834" s="2" t="str">
        <f>IFERROR(__xludf.DUMMYFUNCTION("""COMPUTED_VALUE"""),"Riverbrook Publishing")</f>
        <v>Riverbrook Publishing</v>
      </c>
      <c r="E1834" s="2">
        <f>IFERROR(__xludf.DUMMYFUNCTION("""COMPUTED_VALUE"""),1.37)</f>
        <v>1.37</v>
      </c>
      <c r="F1834" s="2"/>
      <c r="G1834" s="2"/>
      <c r="H1834" s="2"/>
      <c r="I1834" s="2"/>
    </row>
    <row r="1835">
      <c r="A1835" s="2">
        <f>IFERROR(__xludf.DUMMYFUNCTION("""COMPUTED_VALUE"""),73390.0)</f>
        <v>73390</v>
      </c>
      <c r="B1835" s="2" t="str">
        <f>IFERROR(__xludf.DUMMYFUNCTION("""COMPUTED_VALUE"""),"Law")</f>
        <v>Law</v>
      </c>
      <c r="C1835" s="2" t="str">
        <f>IFERROR(__xludf.DUMMYFUNCTION("""COMPUTED_VALUE"""),"Motivation")</f>
        <v>Motivation</v>
      </c>
      <c r="D1835" s="2" t="str">
        <f>IFERROR(__xludf.DUMMYFUNCTION("""COMPUTED_VALUE"""),"Riverbrook Publishing")</f>
        <v>Riverbrook Publishing</v>
      </c>
      <c r="E1835" s="2">
        <f>IFERROR(__xludf.DUMMYFUNCTION("""COMPUTED_VALUE"""),1.32)</f>
        <v>1.32</v>
      </c>
      <c r="F1835" s="2"/>
      <c r="G1835" s="2"/>
      <c r="H1835" s="2"/>
      <c r="I1835" s="2"/>
    </row>
    <row r="1836">
      <c r="A1836" s="2">
        <f>IFERROR(__xludf.DUMMYFUNCTION("""COMPUTED_VALUE"""),114251.0)</f>
        <v>114251</v>
      </c>
      <c r="B1836" s="2" t="str">
        <f>IFERROR(__xludf.DUMMYFUNCTION("""COMPUTED_VALUE"""),"Law")</f>
        <v>Law</v>
      </c>
      <c r="C1836" s="2" t="str">
        <f>IFERROR(__xludf.DUMMYFUNCTION("""COMPUTED_VALUE"""),"Motivation")</f>
        <v>Motivation</v>
      </c>
      <c r="D1836" s="2" t="str">
        <f>IFERROR(__xludf.DUMMYFUNCTION("""COMPUTED_VALUE"""),"Riverbrook Publishing")</f>
        <v>Riverbrook Publishing</v>
      </c>
      <c r="E1836" s="2">
        <f>IFERROR(__xludf.DUMMYFUNCTION("""COMPUTED_VALUE"""),1.55)</f>
        <v>1.55</v>
      </c>
      <c r="F1836" s="2"/>
      <c r="G1836" s="2"/>
      <c r="H1836" s="2"/>
      <c r="I1836" s="2"/>
    </row>
    <row r="1837">
      <c r="A1837" s="2">
        <f>IFERROR(__xludf.DUMMYFUNCTION("""COMPUTED_VALUE"""),73392.0)</f>
        <v>73392</v>
      </c>
      <c r="B1837" s="2" t="str">
        <f>IFERROR(__xludf.DUMMYFUNCTION("""COMPUTED_VALUE"""),"Law")</f>
        <v>Law</v>
      </c>
      <c r="C1837" s="2" t="str">
        <f>IFERROR(__xludf.DUMMYFUNCTION("""COMPUTED_VALUE"""),"Motivation")</f>
        <v>Motivation</v>
      </c>
      <c r="D1837" s="2" t="str">
        <f>IFERROR(__xludf.DUMMYFUNCTION("""COMPUTED_VALUE"""),"Riverbrook Publishing")</f>
        <v>Riverbrook Publishing</v>
      </c>
      <c r="E1837" s="2">
        <f>IFERROR(__xludf.DUMMYFUNCTION("""COMPUTED_VALUE"""),1.45)</f>
        <v>1.45</v>
      </c>
      <c r="F1837" s="2"/>
      <c r="G1837" s="2"/>
      <c r="H1837" s="2"/>
      <c r="I1837" s="2"/>
    </row>
    <row r="1838">
      <c r="A1838" s="2">
        <f>IFERROR(__xludf.DUMMYFUNCTION("""COMPUTED_VALUE"""),9128.0)</f>
        <v>9128</v>
      </c>
      <c r="B1838" s="2" t="str">
        <f>IFERROR(__xludf.DUMMYFUNCTION("""COMPUTED_VALUE"""),"Law")</f>
        <v>Law</v>
      </c>
      <c r="C1838" s="2" t="str">
        <f>IFERROR(__xludf.DUMMYFUNCTION("""COMPUTED_VALUE"""),"Motivation")</f>
        <v>Motivation</v>
      </c>
      <c r="D1838" s="2" t="str">
        <f>IFERROR(__xludf.DUMMYFUNCTION("""COMPUTED_VALUE"""),"Riverbrook Publishing")</f>
        <v>Riverbrook Publishing</v>
      </c>
      <c r="E1838" s="2">
        <f>IFERROR(__xludf.DUMMYFUNCTION("""COMPUTED_VALUE"""),1.52)</f>
        <v>1.52</v>
      </c>
      <c r="F1838" s="2"/>
      <c r="G1838" s="2"/>
      <c r="H1838" s="2"/>
      <c r="I1838" s="2"/>
    </row>
    <row r="1839">
      <c r="A1839" s="2">
        <f>IFERROR(__xludf.DUMMYFUNCTION("""COMPUTED_VALUE"""),122672.0)</f>
        <v>122672</v>
      </c>
      <c r="B1839" s="2" t="str">
        <f>IFERROR(__xludf.DUMMYFUNCTION("""COMPUTED_VALUE"""),"Law")</f>
        <v>Law</v>
      </c>
      <c r="C1839" s="2" t="str">
        <f>IFERROR(__xludf.DUMMYFUNCTION("""COMPUTED_VALUE"""),"Motivation")</f>
        <v>Motivation</v>
      </c>
      <c r="D1839" s="2" t="str">
        <f>IFERROR(__xludf.DUMMYFUNCTION("""COMPUTED_VALUE"""),"Riverbrook Publishing")</f>
        <v>Riverbrook Publishing</v>
      </c>
      <c r="E1839" s="2">
        <f>IFERROR(__xludf.DUMMYFUNCTION("""COMPUTED_VALUE"""),1.87)</f>
        <v>1.87</v>
      </c>
      <c r="F1839" s="2"/>
      <c r="G1839" s="2"/>
      <c r="H1839" s="2"/>
      <c r="I1839" s="2"/>
    </row>
    <row r="1840">
      <c r="A1840" s="2">
        <f>IFERROR(__xludf.DUMMYFUNCTION("""COMPUTED_VALUE"""),85857.0)</f>
        <v>85857</v>
      </c>
      <c r="B1840" s="2" t="str">
        <f>IFERROR(__xludf.DUMMYFUNCTION("""COMPUTED_VALUE"""),"Law")</f>
        <v>Law</v>
      </c>
      <c r="C1840" s="2" t="str">
        <f>IFERROR(__xludf.DUMMYFUNCTION("""COMPUTED_VALUE"""),"Motivation")</f>
        <v>Motivation</v>
      </c>
      <c r="D1840" s="2" t="str">
        <f>IFERROR(__xludf.DUMMYFUNCTION("""COMPUTED_VALUE"""),"Riverbrook Publishing")</f>
        <v>Riverbrook Publishing</v>
      </c>
      <c r="E1840" s="2">
        <f>IFERROR(__xludf.DUMMYFUNCTION("""COMPUTED_VALUE"""),2.21)</f>
        <v>2.21</v>
      </c>
      <c r="F1840" s="2"/>
      <c r="G1840" s="2"/>
      <c r="H1840" s="2"/>
      <c r="I1840" s="2"/>
    </row>
    <row r="1841">
      <c r="A1841" s="2">
        <f>IFERROR(__xludf.DUMMYFUNCTION("""COMPUTED_VALUE"""),9129.0)</f>
        <v>9129</v>
      </c>
      <c r="B1841" s="2" t="str">
        <f>IFERROR(__xludf.DUMMYFUNCTION("""COMPUTED_VALUE"""),"Law")</f>
        <v>Law</v>
      </c>
      <c r="C1841" s="2" t="str">
        <f>IFERROR(__xludf.DUMMYFUNCTION("""COMPUTED_VALUE"""),"Motivation")</f>
        <v>Motivation</v>
      </c>
      <c r="D1841" s="2" t="str">
        <f>IFERROR(__xludf.DUMMYFUNCTION("""COMPUTED_VALUE"""),"Riverbrook Publishing")</f>
        <v>Riverbrook Publishing</v>
      </c>
      <c r="E1841" s="2">
        <f>IFERROR(__xludf.DUMMYFUNCTION("""COMPUTED_VALUE"""),1.85)</f>
        <v>1.85</v>
      </c>
      <c r="F1841" s="2"/>
      <c r="G1841" s="2"/>
      <c r="H1841" s="2"/>
      <c r="I1841" s="2"/>
    </row>
    <row r="1842">
      <c r="A1842" s="2">
        <f>IFERROR(__xludf.DUMMYFUNCTION("""COMPUTED_VALUE"""),162438.0)</f>
        <v>162438</v>
      </c>
      <c r="B1842" s="2" t="str">
        <f>IFERROR(__xludf.DUMMYFUNCTION("""COMPUTED_VALUE"""),"Law")</f>
        <v>Law</v>
      </c>
      <c r="C1842" s="2" t="str">
        <f>IFERROR(__xludf.DUMMYFUNCTION("""COMPUTED_VALUE"""),"Motivation")</f>
        <v>Motivation</v>
      </c>
      <c r="D1842" s="2" t="str">
        <f>IFERROR(__xludf.DUMMYFUNCTION("""COMPUTED_VALUE"""),"Riverbrook Publishing")</f>
        <v>Riverbrook Publishing</v>
      </c>
      <c r="E1842" s="2">
        <f>IFERROR(__xludf.DUMMYFUNCTION("""COMPUTED_VALUE"""),1.5)</f>
        <v>1.5</v>
      </c>
      <c r="F1842" s="2"/>
      <c r="G1842" s="2"/>
      <c r="H1842" s="2"/>
      <c r="I1842" s="2"/>
    </row>
    <row r="1843">
      <c r="A1843" s="2">
        <f>IFERROR(__xludf.DUMMYFUNCTION("""COMPUTED_VALUE"""),73391.0)</f>
        <v>73391</v>
      </c>
      <c r="B1843" s="2" t="str">
        <f>IFERROR(__xludf.DUMMYFUNCTION("""COMPUTED_VALUE"""),"Law")</f>
        <v>Law</v>
      </c>
      <c r="C1843" s="2" t="str">
        <f>IFERROR(__xludf.DUMMYFUNCTION("""COMPUTED_VALUE"""),"Motivation")</f>
        <v>Motivation</v>
      </c>
      <c r="D1843" s="2" t="str">
        <f>IFERROR(__xludf.DUMMYFUNCTION("""COMPUTED_VALUE"""),"Riverbrook Publishing")</f>
        <v>Riverbrook Publishing</v>
      </c>
      <c r="E1843" s="2">
        <f>IFERROR(__xludf.DUMMYFUNCTION("""COMPUTED_VALUE"""),1.44)</f>
        <v>1.44</v>
      </c>
      <c r="F1843" s="2"/>
      <c r="G1843" s="2"/>
      <c r="H1843" s="2"/>
      <c r="I1843" s="2"/>
    </row>
    <row r="1844">
      <c r="A1844" s="2">
        <f>IFERROR(__xludf.DUMMYFUNCTION("""COMPUTED_VALUE"""),46428.0)</f>
        <v>46428</v>
      </c>
      <c r="B1844" s="2" t="str">
        <f>IFERROR(__xludf.DUMMYFUNCTION("""COMPUTED_VALUE"""),"Law")</f>
        <v>Law</v>
      </c>
      <c r="C1844" s="2" t="str">
        <f>IFERROR(__xludf.DUMMYFUNCTION("""COMPUTED_VALUE"""),"Motivation")</f>
        <v>Motivation</v>
      </c>
      <c r="D1844" s="2" t="str">
        <f>IFERROR(__xludf.DUMMYFUNCTION("""COMPUTED_VALUE"""),"Riverbrook Publishing")</f>
        <v>Riverbrook Publishing</v>
      </c>
      <c r="E1844" s="2">
        <f>IFERROR(__xludf.DUMMYFUNCTION("""COMPUTED_VALUE"""),1.59)</f>
        <v>1.59</v>
      </c>
      <c r="F1844" s="2"/>
      <c r="G1844" s="2"/>
      <c r="H1844" s="2"/>
      <c r="I1844" s="2"/>
    </row>
    <row r="1845">
      <c r="A1845" s="2">
        <f>IFERROR(__xludf.DUMMYFUNCTION("""COMPUTED_VALUE"""),85861.0)</f>
        <v>85861</v>
      </c>
      <c r="B1845" s="2" t="str">
        <f>IFERROR(__xludf.DUMMYFUNCTION("""COMPUTED_VALUE"""),"Law")</f>
        <v>Law</v>
      </c>
      <c r="C1845" s="2" t="str">
        <f>IFERROR(__xludf.DUMMYFUNCTION("""COMPUTED_VALUE"""),"Motivation")</f>
        <v>Motivation</v>
      </c>
      <c r="D1845" s="2" t="str">
        <f>IFERROR(__xludf.DUMMYFUNCTION("""COMPUTED_VALUE"""),"Riverbrook Publishing")</f>
        <v>Riverbrook Publishing</v>
      </c>
      <c r="E1845" s="2">
        <f>IFERROR(__xludf.DUMMYFUNCTION("""COMPUTED_VALUE"""),2.18)</f>
        <v>2.18</v>
      </c>
      <c r="F1845" s="2"/>
      <c r="G1845" s="2"/>
      <c r="H1845" s="2"/>
      <c r="I1845" s="2"/>
    </row>
    <row r="1846">
      <c r="A1846" s="2">
        <f>IFERROR(__xludf.DUMMYFUNCTION("""COMPUTED_VALUE"""),69324.0)</f>
        <v>69324</v>
      </c>
      <c r="B1846" s="2" t="str">
        <f>IFERROR(__xludf.DUMMYFUNCTION("""COMPUTED_VALUE"""),"Law")</f>
        <v>Law</v>
      </c>
      <c r="C1846" s="2" t="str">
        <f>IFERROR(__xludf.DUMMYFUNCTION("""COMPUTED_VALUE"""),"Motivation")</f>
        <v>Motivation</v>
      </c>
      <c r="D1846" s="2" t="str">
        <f>IFERROR(__xludf.DUMMYFUNCTION("""COMPUTED_VALUE"""),"Riverbrook Publishing")</f>
        <v>Riverbrook Publishing</v>
      </c>
      <c r="E1846" s="2">
        <f>IFERROR(__xludf.DUMMYFUNCTION("""COMPUTED_VALUE"""),1.75)</f>
        <v>1.75</v>
      </c>
      <c r="F1846" s="2"/>
      <c r="G1846" s="2"/>
      <c r="H1846" s="2"/>
      <c r="I1846" s="2"/>
    </row>
    <row r="1847">
      <c r="A1847" s="2">
        <f>IFERROR(__xludf.DUMMYFUNCTION("""COMPUTED_VALUE"""),122618.0)</f>
        <v>122618</v>
      </c>
      <c r="B1847" s="2" t="str">
        <f>IFERROR(__xludf.DUMMYFUNCTION("""COMPUTED_VALUE"""),"Law")</f>
        <v>Law</v>
      </c>
      <c r="C1847" s="2" t="str">
        <f>IFERROR(__xludf.DUMMYFUNCTION("""COMPUTED_VALUE"""),"Motivation")</f>
        <v>Motivation</v>
      </c>
      <c r="D1847" s="2" t="str">
        <f>IFERROR(__xludf.DUMMYFUNCTION("""COMPUTED_VALUE"""),"Riverbrook Publishing")</f>
        <v>Riverbrook Publishing</v>
      </c>
      <c r="E1847" s="2">
        <f>IFERROR(__xludf.DUMMYFUNCTION("""COMPUTED_VALUE"""),1.05)</f>
        <v>1.05</v>
      </c>
      <c r="F1847" s="2"/>
      <c r="G1847" s="2"/>
      <c r="H1847" s="2"/>
      <c r="I1847" s="2"/>
    </row>
    <row r="1848">
      <c r="A1848" s="2">
        <f>IFERROR(__xludf.DUMMYFUNCTION("""COMPUTED_VALUE"""),99312.0)</f>
        <v>99312</v>
      </c>
      <c r="B1848" s="2" t="str">
        <f>IFERROR(__xludf.DUMMYFUNCTION("""COMPUTED_VALUE"""),"Law")</f>
        <v>Law</v>
      </c>
      <c r="C1848" s="2" t="str">
        <f>IFERROR(__xludf.DUMMYFUNCTION("""COMPUTED_VALUE"""),"Motivation")</f>
        <v>Motivation</v>
      </c>
      <c r="D1848" s="2" t="str">
        <f>IFERROR(__xludf.DUMMYFUNCTION("""COMPUTED_VALUE"""),"Riverbrook Publishing")</f>
        <v>Riverbrook Publishing</v>
      </c>
      <c r="E1848" s="2">
        <f>IFERROR(__xludf.DUMMYFUNCTION("""COMPUTED_VALUE"""),1.06)</f>
        <v>1.06</v>
      </c>
      <c r="F1848" s="2"/>
      <c r="G1848" s="2"/>
      <c r="H1848" s="2"/>
      <c r="I1848" s="2"/>
    </row>
    <row r="1849">
      <c r="A1849" s="2">
        <f>IFERROR(__xludf.DUMMYFUNCTION("""COMPUTED_VALUE"""),113932.0)</f>
        <v>113932</v>
      </c>
      <c r="B1849" s="2" t="str">
        <f>IFERROR(__xludf.DUMMYFUNCTION("""COMPUTED_VALUE"""),"Law")</f>
        <v>Law</v>
      </c>
      <c r="C1849" s="2" t="str">
        <f>IFERROR(__xludf.DUMMYFUNCTION("""COMPUTED_VALUE"""),"Motivation")</f>
        <v>Motivation</v>
      </c>
      <c r="D1849" s="2" t="str">
        <f>IFERROR(__xludf.DUMMYFUNCTION("""COMPUTED_VALUE"""),"Riverbrook Publishing")</f>
        <v>Riverbrook Publishing</v>
      </c>
      <c r="E1849" s="2">
        <f>IFERROR(__xludf.DUMMYFUNCTION("""COMPUTED_VALUE"""),1.82)</f>
        <v>1.82</v>
      </c>
      <c r="F1849" s="2"/>
      <c r="G1849" s="2"/>
      <c r="H1849" s="2"/>
      <c r="I1849" s="2"/>
    </row>
    <row r="1850">
      <c r="A1850" s="2">
        <f>IFERROR(__xludf.DUMMYFUNCTION("""COMPUTED_VALUE"""),5751.0)</f>
        <v>5751</v>
      </c>
      <c r="B1850" s="2" t="str">
        <f>IFERROR(__xludf.DUMMYFUNCTION("""COMPUTED_VALUE"""),"Law")</f>
        <v>Law</v>
      </c>
      <c r="C1850" s="2" t="str">
        <f>IFERROR(__xludf.DUMMYFUNCTION("""COMPUTED_VALUE"""),"Motivation")</f>
        <v>Motivation</v>
      </c>
      <c r="D1850" s="2" t="str">
        <f>IFERROR(__xludf.DUMMYFUNCTION("""COMPUTED_VALUE"""),"Riverbrook Publishing")</f>
        <v>Riverbrook Publishing</v>
      </c>
      <c r="E1850" s="2">
        <f>IFERROR(__xludf.DUMMYFUNCTION("""COMPUTED_VALUE"""),0.91)</f>
        <v>0.91</v>
      </c>
      <c r="F1850" s="2"/>
      <c r="G1850" s="2"/>
      <c r="H1850" s="2"/>
      <c r="I1850" s="2"/>
    </row>
    <row r="1851">
      <c r="A1851" s="2">
        <f>IFERROR(__xludf.DUMMYFUNCTION("""COMPUTED_VALUE"""),85885.0)</f>
        <v>85885</v>
      </c>
      <c r="B1851" s="2" t="str">
        <f>IFERROR(__xludf.DUMMYFUNCTION("""COMPUTED_VALUE"""),"Law")</f>
        <v>Law</v>
      </c>
      <c r="C1851" s="2" t="str">
        <f>IFERROR(__xludf.DUMMYFUNCTION("""COMPUTED_VALUE"""),"Motivation")</f>
        <v>Motivation</v>
      </c>
      <c r="D1851" s="2" t="str">
        <f>IFERROR(__xludf.DUMMYFUNCTION("""COMPUTED_VALUE"""),"Riverbrook Publishing")</f>
        <v>Riverbrook Publishing</v>
      </c>
      <c r="E1851" s="2">
        <f>IFERROR(__xludf.DUMMYFUNCTION("""COMPUTED_VALUE"""),1.1)</f>
        <v>1.1</v>
      </c>
      <c r="F1851" s="2"/>
      <c r="G1851" s="2"/>
      <c r="H1851" s="2"/>
      <c r="I1851" s="2"/>
    </row>
    <row r="1852">
      <c r="A1852" s="2">
        <f>IFERROR(__xludf.DUMMYFUNCTION("""COMPUTED_VALUE"""),87877.0)</f>
        <v>87877</v>
      </c>
      <c r="B1852" s="2" t="str">
        <f>IFERROR(__xludf.DUMMYFUNCTION("""COMPUTED_VALUE"""),"Law")</f>
        <v>Law</v>
      </c>
      <c r="C1852" s="2" t="str">
        <f>IFERROR(__xludf.DUMMYFUNCTION("""COMPUTED_VALUE"""),"Motivation")</f>
        <v>Motivation</v>
      </c>
      <c r="D1852" s="2" t="str">
        <f>IFERROR(__xludf.DUMMYFUNCTION("""COMPUTED_VALUE"""),"Riverbrook Publishing")</f>
        <v>Riverbrook Publishing</v>
      </c>
      <c r="E1852" s="2">
        <f>IFERROR(__xludf.DUMMYFUNCTION("""COMPUTED_VALUE"""),0.84)</f>
        <v>0.84</v>
      </c>
      <c r="F1852" s="2"/>
      <c r="G1852" s="2"/>
      <c r="H1852" s="2"/>
      <c r="I1852" s="2"/>
    </row>
    <row r="1853">
      <c r="A1853" s="2">
        <f>IFERROR(__xludf.DUMMYFUNCTION("""COMPUTED_VALUE"""),197150.0)</f>
        <v>197150</v>
      </c>
      <c r="B1853" s="2" t="str">
        <f>IFERROR(__xludf.DUMMYFUNCTION("""COMPUTED_VALUE"""),"Law")</f>
        <v>Law</v>
      </c>
      <c r="C1853" s="2" t="str">
        <f>IFERROR(__xludf.DUMMYFUNCTION("""COMPUTED_VALUE"""),"Motivation")</f>
        <v>Motivation</v>
      </c>
      <c r="D1853" s="2" t="str">
        <f>IFERROR(__xludf.DUMMYFUNCTION("""COMPUTED_VALUE"""),"Riverbrook Publishing")</f>
        <v>Riverbrook Publishing</v>
      </c>
      <c r="E1853" s="2">
        <f>IFERROR(__xludf.DUMMYFUNCTION("""COMPUTED_VALUE"""),1.15)</f>
        <v>1.15</v>
      </c>
      <c r="F1853" s="2"/>
      <c r="G1853" s="2"/>
      <c r="H1853" s="2"/>
      <c r="I1853" s="2"/>
    </row>
    <row r="1854">
      <c r="A1854" s="2">
        <f>IFERROR(__xludf.DUMMYFUNCTION("""COMPUTED_VALUE"""),87878.0)</f>
        <v>87878</v>
      </c>
      <c r="B1854" s="2" t="str">
        <f>IFERROR(__xludf.DUMMYFUNCTION("""COMPUTED_VALUE"""),"Law")</f>
        <v>Law</v>
      </c>
      <c r="C1854" s="2" t="str">
        <f>IFERROR(__xludf.DUMMYFUNCTION("""COMPUTED_VALUE"""),"Motivation")</f>
        <v>Motivation</v>
      </c>
      <c r="D1854" s="2" t="str">
        <f>IFERROR(__xludf.DUMMYFUNCTION("""COMPUTED_VALUE"""),"Riverbrook Publishing")</f>
        <v>Riverbrook Publishing</v>
      </c>
      <c r="E1854" s="2">
        <f>IFERROR(__xludf.DUMMYFUNCTION("""COMPUTED_VALUE"""),0.62)</f>
        <v>0.62</v>
      </c>
      <c r="F1854" s="2"/>
      <c r="G1854" s="2"/>
      <c r="H1854" s="2"/>
      <c r="I1854" s="2"/>
    </row>
    <row r="1855">
      <c r="A1855" s="2">
        <f>IFERROR(__xludf.DUMMYFUNCTION("""COMPUTED_VALUE"""),122166.0)</f>
        <v>122166</v>
      </c>
      <c r="B1855" s="2" t="str">
        <f>IFERROR(__xludf.DUMMYFUNCTION("""COMPUTED_VALUE"""),"Law")</f>
        <v>Law</v>
      </c>
      <c r="C1855" s="2" t="str">
        <f>IFERROR(__xludf.DUMMYFUNCTION("""COMPUTED_VALUE"""),"Motivation")</f>
        <v>Motivation</v>
      </c>
      <c r="D1855" s="2" t="str">
        <f>IFERROR(__xludf.DUMMYFUNCTION("""COMPUTED_VALUE"""),"Riverbrook Publishing")</f>
        <v>Riverbrook Publishing</v>
      </c>
      <c r="E1855" s="2">
        <f>IFERROR(__xludf.DUMMYFUNCTION("""COMPUTED_VALUE"""),1.42)</f>
        <v>1.42</v>
      </c>
      <c r="F1855" s="2"/>
      <c r="G1855" s="2"/>
      <c r="H1855" s="2"/>
      <c r="I1855" s="2"/>
    </row>
    <row r="1856">
      <c r="A1856" s="2">
        <f>IFERROR(__xludf.DUMMYFUNCTION("""COMPUTED_VALUE"""),122617.0)</f>
        <v>122617</v>
      </c>
      <c r="B1856" s="2" t="str">
        <f>IFERROR(__xludf.DUMMYFUNCTION("""COMPUTED_VALUE"""),"Law")</f>
        <v>Law</v>
      </c>
      <c r="C1856" s="2" t="str">
        <f>IFERROR(__xludf.DUMMYFUNCTION("""COMPUTED_VALUE"""),"Motivation")</f>
        <v>Motivation</v>
      </c>
      <c r="D1856" s="2" t="str">
        <f>IFERROR(__xludf.DUMMYFUNCTION("""COMPUTED_VALUE"""),"Riverbrook Publishing")</f>
        <v>Riverbrook Publishing</v>
      </c>
      <c r="E1856" s="2">
        <f>IFERROR(__xludf.DUMMYFUNCTION("""COMPUTED_VALUE"""),1.25)</f>
        <v>1.25</v>
      </c>
      <c r="F1856" s="2"/>
      <c r="G1856" s="2"/>
      <c r="H1856" s="2"/>
      <c r="I1856" s="2"/>
    </row>
    <row r="1857">
      <c r="A1857" s="2">
        <f>IFERROR(__xludf.DUMMYFUNCTION("""COMPUTED_VALUE"""),118590.0)</f>
        <v>118590</v>
      </c>
      <c r="B1857" s="2" t="str">
        <f>IFERROR(__xludf.DUMMYFUNCTION("""COMPUTED_VALUE"""),"Law")</f>
        <v>Law</v>
      </c>
      <c r="C1857" s="2" t="str">
        <f>IFERROR(__xludf.DUMMYFUNCTION("""COMPUTED_VALUE"""),"Motivation")</f>
        <v>Motivation</v>
      </c>
      <c r="D1857" s="2" t="str">
        <f>IFERROR(__xludf.DUMMYFUNCTION("""COMPUTED_VALUE"""),"Riverbrook Publishing")</f>
        <v>Riverbrook Publishing</v>
      </c>
      <c r="E1857" s="2">
        <f>IFERROR(__xludf.DUMMYFUNCTION("""COMPUTED_VALUE"""),1.17)</f>
        <v>1.17</v>
      </c>
      <c r="F1857" s="2"/>
      <c r="G1857" s="2"/>
      <c r="H1857" s="2"/>
      <c r="I1857" s="2"/>
    </row>
    <row r="1858">
      <c r="A1858" s="2">
        <f>IFERROR(__xludf.DUMMYFUNCTION("""COMPUTED_VALUE"""),122366.0)</f>
        <v>122366</v>
      </c>
      <c r="B1858" s="2" t="str">
        <f>IFERROR(__xludf.DUMMYFUNCTION("""COMPUTED_VALUE"""),"Law")</f>
        <v>Law</v>
      </c>
      <c r="C1858" s="2" t="str">
        <f>IFERROR(__xludf.DUMMYFUNCTION("""COMPUTED_VALUE"""),"Motivation")</f>
        <v>Motivation</v>
      </c>
      <c r="D1858" s="2" t="str">
        <f>IFERROR(__xludf.DUMMYFUNCTION("""COMPUTED_VALUE"""),"Riverbrook Publishing")</f>
        <v>Riverbrook Publishing</v>
      </c>
      <c r="E1858" s="2">
        <f>IFERROR(__xludf.DUMMYFUNCTION("""COMPUTED_VALUE"""),1.6)</f>
        <v>1.6</v>
      </c>
      <c r="F1858" s="2"/>
      <c r="G1858" s="2"/>
      <c r="H1858" s="2"/>
      <c r="I1858" s="2"/>
    </row>
    <row r="1859">
      <c r="A1859" s="2">
        <f>IFERROR(__xludf.DUMMYFUNCTION("""COMPUTED_VALUE"""),83001.0)</f>
        <v>83001</v>
      </c>
      <c r="B1859" s="2" t="str">
        <f>IFERROR(__xludf.DUMMYFUNCTION("""COMPUTED_VALUE"""),"Law")</f>
        <v>Law</v>
      </c>
      <c r="C1859" s="2" t="str">
        <f>IFERROR(__xludf.DUMMYFUNCTION("""COMPUTED_VALUE"""),"Motivation")</f>
        <v>Motivation</v>
      </c>
      <c r="D1859" s="2" t="str">
        <f>IFERROR(__xludf.DUMMYFUNCTION("""COMPUTED_VALUE"""),"Riverbrook Publishing")</f>
        <v>Riverbrook Publishing</v>
      </c>
      <c r="E1859" s="2">
        <f>IFERROR(__xludf.DUMMYFUNCTION("""COMPUTED_VALUE"""),1.21)</f>
        <v>1.21</v>
      </c>
      <c r="F1859" s="2"/>
      <c r="G1859" s="2"/>
      <c r="H1859" s="2"/>
      <c r="I1859" s="2"/>
    </row>
    <row r="1860">
      <c r="A1860" s="2">
        <f>IFERROR(__xludf.DUMMYFUNCTION("""COMPUTED_VALUE"""),118594.0)</f>
        <v>118594</v>
      </c>
      <c r="B1860" s="2" t="str">
        <f>IFERROR(__xludf.DUMMYFUNCTION("""COMPUTED_VALUE"""),"Law")</f>
        <v>Law</v>
      </c>
      <c r="C1860" s="2" t="str">
        <f>IFERROR(__xludf.DUMMYFUNCTION("""COMPUTED_VALUE"""),"Motivation")</f>
        <v>Motivation</v>
      </c>
      <c r="D1860" s="2" t="str">
        <f>IFERROR(__xludf.DUMMYFUNCTION("""COMPUTED_VALUE"""),"Riverbrook Publishing")</f>
        <v>Riverbrook Publishing</v>
      </c>
      <c r="E1860" s="2">
        <f>IFERROR(__xludf.DUMMYFUNCTION("""COMPUTED_VALUE"""),1.62)</f>
        <v>1.62</v>
      </c>
      <c r="F1860" s="2"/>
      <c r="G1860" s="2"/>
      <c r="H1860" s="2"/>
      <c r="I1860" s="2"/>
    </row>
    <row r="1861">
      <c r="A1861" s="2">
        <f>IFERROR(__xludf.DUMMYFUNCTION("""COMPUTED_VALUE"""),85881.0)</f>
        <v>85881</v>
      </c>
      <c r="B1861" s="2" t="str">
        <f>IFERROR(__xludf.DUMMYFUNCTION("""COMPUTED_VALUE"""),"Law")</f>
        <v>Law</v>
      </c>
      <c r="C1861" s="2" t="str">
        <f>IFERROR(__xludf.DUMMYFUNCTION("""COMPUTED_VALUE"""),"Motivation")</f>
        <v>Motivation</v>
      </c>
      <c r="D1861" s="2" t="str">
        <f>IFERROR(__xludf.DUMMYFUNCTION("""COMPUTED_VALUE"""),"Riverbrook Publishing")</f>
        <v>Riverbrook Publishing</v>
      </c>
      <c r="E1861" s="2">
        <f>IFERROR(__xludf.DUMMYFUNCTION("""COMPUTED_VALUE"""),1.33)</f>
        <v>1.33</v>
      </c>
      <c r="F1861" s="2"/>
      <c r="G1861" s="2"/>
      <c r="H1861" s="2"/>
      <c r="I1861" s="2"/>
    </row>
    <row r="1862">
      <c r="A1862" s="2">
        <f>IFERROR(__xludf.DUMMYFUNCTION("""COMPUTED_VALUE"""),10655.0)</f>
        <v>10655</v>
      </c>
      <c r="B1862" s="2" t="str">
        <f>IFERROR(__xludf.DUMMYFUNCTION("""COMPUTED_VALUE"""),"Law")</f>
        <v>Law</v>
      </c>
      <c r="C1862" s="2" t="str">
        <f>IFERROR(__xludf.DUMMYFUNCTION("""COMPUTED_VALUE"""),"Motivation")</f>
        <v>Motivation</v>
      </c>
      <c r="D1862" s="2" t="str">
        <f>IFERROR(__xludf.DUMMYFUNCTION("""COMPUTED_VALUE"""),"Riverbrook Publishing")</f>
        <v>Riverbrook Publishing</v>
      </c>
      <c r="E1862" s="2">
        <f>IFERROR(__xludf.DUMMYFUNCTION("""COMPUTED_VALUE"""),1.98)</f>
        <v>1.98</v>
      </c>
      <c r="F1862" s="2"/>
      <c r="G1862" s="2"/>
      <c r="H1862" s="2"/>
      <c r="I1862" s="2"/>
    </row>
    <row r="1863">
      <c r="A1863" s="2">
        <f>IFERROR(__xludf.DUMMYFUNCTION("""COMPUTED_VALUE"""),121606.0)</f>
        <v>121606</v>
      </c>
      <c r="B1863" s="2" t="str">
        <f>IFERROR(__xludf.DUMMYFUNCTION("""COMPUTED_VALUE"""),"Law")</f>
        <v>Law</v>
      </c>
      <c r="C1863" s="2" t="str">
        <f>IFERROR(__xludf.DUMMYFUNCTION("""COMPUTED_VALUE"""),"Motivation")</f>
        <v>Motivation</v>
      </c>
      <c r="D1863" s="2" t="str">
        <f>IFERROR(__xludf.DUMMYFUNCTION("""COMPUTED_VALUE"""),"Riverbrook Publishing")</f>
        <v>Riverbrook Publishing</v>
      </c>
      <c r="E1863" s="2">
        <f>IFERROR(__xludf.DUMMYFUNCTION("""COMPUTED_VALUE"""),2.08)</f>
        <v>2.08</v>
      </c>
      <c r="F1863" s="2"/>
      <c r="G1863" s="2"/>
      <c r="H1863" s="2"/>
      <c r="I1863" s="2"/>
    </row>
    <row r="1864">
      <c r="A1864" s="2">
        <f>IFERROR(__xludf.DUMMYFUNCTION("""COMPUTED_VALUE"""),13341.0)</f>
        <v>13341</v>
      </c>
      <c r="B1864" s="2" t="str">
        <f>IFERROR(__xludf.DUMMYFUNCTION("""COMPUTED_VALUE"""),"Law")</f>
        <v>Law</v>
      </c>
      <c r="C1864" s="2" t="str">
        <f>IFERROR(__xludf.DUMMYFUNCTION("""COMPUTED_VALUE"""),"Motivation")</f>
        <v>Motivation</v>
      </c>
      <c r="D1864" s="2" t="str">
        <f>IFERROR(__xludf.DUMMYFUNCTION("""COMPUTED_VALUE"""),"Riverbrook Publishing")</f>
        <v>Riverbrook Publishing</v>
      </c>
      <c r="E1864" s="2">
        <f>IFERROR(__xludf.DUMMYFUNCTION("""COMPUTED_VALUE"""),2.15)</f>
        <v>2.15</v>
      </c>
      <c r="F1864" s="2"/>
      <c r="G1864" s="2"/>
      <c r="H1864" s="2"/>
      <c r="I1864" s="2"/>
    </row>
    <row r="1865">
      <c r="A1865" s="2">
        <f>IFERROR(__xludf.DUMMYFUNCTION("""COMPUTED_VALUE"""),122631.0)</f>
        <v>122631</v>
      </c>
      <c r="B1865" s="2" t="str">
        <f>IFERROR(__xludf.DUMMYFUNCTION("""COMPUTED_VALUE"""),"Law")</f>
        <v>Law</v>
      </c>
      <c r="C1865" s="2" t="str">
        <f>IFERROR(__xludf.DUMMYFUNCTION("""COMPUTED_VALUE"""),"Motivation")</f>
        <v>Motivation</v>
      </c>
      <c r="D1865" s="2" t="str">
        <f>IFERROR(__xludf.DUMMYFUNCTION("""COMPUTED_VALUE"""),"Riverbrook Publishing")</f>
        <v>Riverbrook Publishing</v>
      </c>
      <c r="E1865" s="2">
        <f>IFERROR(__xludf.DUMMYFUNCTION("""COMPUTED_VALUE"""),1.45)</f>
        <v>1.45</v>
      </c>
      <c r="F1865" s="2"/>
      <c r="G1865" s="2"/>
      <c r="H1865" s="2"/>
      <c r="I1865" s="2"/>
    </row>
    <row r="1866">
      <c r="A1866" s="2">
        <f>IFERROR(__xludf.DUMMYFUNCTION("""COMPUTED_VALUE"""),189132.0)</f>
        <v>189132</v>
      </c>
      <c r="B1866" s="2" t="str">
        <f>IFERROR(__xludf.DUMMYFUNCTION("""COMPUTED_VALUE"""),"Law")</f>
        <v>Law</v>
      </c>
      <c r="C1866" s="2" t="str">
        <f>IFERROR(__xludf.DUMMYFUNCTION("""COMPUTED_VALUE"""),"Motivation")</f>
        <v>Motivation</v>
      </c>
      <c r="D1866" s="2" t="str">
        <f>IFERROR(__xludf.DUMMYFUNCTION("""COMPUTED_VALUE"""),"Riverbrook Publishing")</f>
        <v>Riverbrook Publishing</v>
      </c>
      <c r="E1866" s="2">
        <f>IFERROR(__xludf.DUMMYFUNCTION("""COMPUTED_VALUE"""),1.25)</f>
        <v>1.25</v>
      </c>
      <c r="F1866" s="2"/>
      <c r="G1866" s="2"/>
      <c r="H1866" s="2"/>
      <c r="I1866" s="2"/>
    </row>
    <row r="1867">
      <c r="A1867" s="2">
        <f>IFERROR(__xludf.DUMMYFUNCTION("""COMPUTED_VALUE"""),87876.0)</f>
        <v>87876</v>
      </c>
      <c r="B1867" s="2" t="str">
        <f>IFERROR(__xludf.DUMMYFUNCTION("""COMPUTED_VALUE"""),"Law")</f>
        <v>Law</v>
      </c>
      <c r="C1867" s="2" t="str">
        <f>IFERROR(__xludf.DUMMYFUNCTION("""COMPUTED_VALUE"""),"Motivation")</f>
        <v>Motivation</v>
      </c>
      <c r="D1867" s="2" t="str">
        <f>IFERROR(__xludf.DUMMYFUNCTION("""COMPUTED_VALUE"""),"Riverbrook Publishing")</f>
        <v>Riverbrook Publishing</v>
      </c>
      <c r="E1867" s="2">
        <f>IFERROR(__xludf.DUMMYFUNCTION("""COMPUTED_VALUE"""),0.61)</f>
        <v>0.61</v>
      </c>
      <c r="F1867" s="2"/>
      <c r="G1867" s="2"/>
      <c r="H1867" s="2"/>
      <c r="I1867" s="2"/>
    </row>
    <row r="1868">
      <c r="A1868" s="2">
        <f>IFERROR(__xludf.DUMMYFUNCTION("""COMPUTED_VALUE"""),26094.0)</f>
        <v>26094</v>
      </c>
      <c r="B1868" s="2" t="str">
        <f>IFERROR(__xludf.DUMMYFUNCTION("""COMPUTED_VALUE"""),"Law")</f>
        <v>Law</v>
      </c>
      <c r="C1868" s="2" t="str">
        <f>IFERROR(__xludf.DUMMYFUNCTION("""COMPUTED_VALUE"""),"Motivation")</f>
        <v>Motivation</v>
      </c>
      <c r="D1868" s="2" t="str">
        <f>IFERROR(__xludf.DUMMYFUNCTION("""COMPUTED_VALUE"""),"Riverbrook Publishing")</f>
        <v>Riverbrook Publishing</v>
      </c>
      <c r="E1868" s="2">
        <f>IFERROR(__xludf.DUMMYFUNCTION("""COMPUTED_VALUE"""),1.39)</f>
        <v>1.39</v>
      </c>
      <c r="F1868" s="2"/>
      <c r="G1868" s="2"/>
      <c r="H1868" s="2"/>
      <c r="I1868" s="2"/>
    </row>
    <row r="1869">
      <c r="A1869" s="2">
        <f>IFERROR(__xludf.DUMMYFUNCTION("""COMPUTED_VALUE"""),189129.0)</f>
        <v>189129</v>
      </c>
      <c r="B1869" s="2" t="str">
        <f>IFERROR(__xludf.DUMMYFUNCTION("""COMPUTED_VALUE"""),"Law")</f>
        <v>Law</v>
      </c>
      <c r="C1869" s="2" t="str">
        <f>IFERROR(__xludf.DUMMYFUNCTION("""COMPUTED_VALUE"""),"Motivation")</f>
        <v>Motivation</v>
      </c>
      <c r="D1869" s="2" t="str">
        <f>IFERROR(__xludf.DUMMYFUNCTION("""COMPUTED_VALUE"""),"Riverbrook Publishing")</f>
        <v>Riverbrook Publishing</v>
      </c>
      <c r="E1869" s="2">
        <f>IFERROR(__xludf.DUMMYFUNCTION("""COMPUTED_VALUE"""),1.44)</f>
        <v>1.44</v>
      </c>
      <c r="F1869" s="2"/>
      <c r="G1869" s="2"/>
      <c r="H1869" s="2"/>
      <c r="I1869" s="2"/>
    </row>
    <row r="1870">
      <c r="A1870" s="2">
        <f>IFERROR(__xludf.DUMMYFUNCTION("""COMPUTED_VALUE"""),10654.0)</f>
        <v>10654</v>
      </c>
      <c r="B1870" s="2" t="str">
        <f>IFERROR(__xludf.DUMMYFUNCTION("""COMPUTED_VALUE"""),"Law")</f>
        <v>Law</v>
      </c>
      <c r="C1870" s="2" t="str">
        <f>IFERROR(__xludf.DUMMYFUNCTION("""COMPUTED_VALUE"""),"Motivation")</f>
        <v>Motivation</v>
      </c>
      <c r="D1870" s="2" t="str">
        <f>IFERROR(__xludf.DUMMYFUNCTION("""COMPUTED_VALUE"""),"Riverbrook Publishing")</f>
        <v>Riverbrook Publishing</v>
      </c>
      <c r="E1870" s="2">
        <f>IFERROR(__xludf.DUMMYFUNCTION("""COMPUTED_VALUE"""),1.38)</f>
        <v>1.38</v>
      </c>
      <c r="F1870" s="2"/>
      <c r="G1870" s="2"/>
      <c r="H1870" s="2"/>
      <c r="I1870" s="2"/>
    </row>
    <row r="1871">
      <c r="A1871" s="2">
        <f>IFERROR(__xludf.DUMMYFUNCTION("""COMPUTED_VALUE"""),5754.0)</f>
        <v>5754</v>
      </c>
      <c r="B1871" s="2" t="str">
        <f>IFERROR(__xludf.DUMMYFUNCTION("""COMPUTED_VALUE"""),"Law")</f>
        <v>Law</v>
      </c>
      <c r="C1871" s="2" t="str">
        <f>IFERROR(__xludf.DUMMYFUNCTION("""COMPUTED_VALUE"""),"Motivation")</f>
        <v>Motivation</v>
      </c>
      <c r="D1871" s="2" t="str">
        <f>IFERROR(__xludf.DUMMYFUNCTION("""COMPUTED_VALUE"""),"Riverbrook Publishing")</f>
        <v>Riverbrook Publishing</v>
      </c>
      <c r="E1871" s="2">
        <f>IFERROR(__xludf.DUMMYFUNCTION("""COMPUTED_VALUE"""),1.75)</f>
        <v>1.75</v>
      </c>
      <c r="F1871" s="2"/>
      <c r="G1871" s="2"/>
      <c r="H1871" s="2"/>
      <c r="I1871" s="2"/>
    </row>
    <row r="1872">
      <c r="A1872" s="2">
        <f>IFERROR(__xludf.DUMMYFUNCTION("""COMPUTED_VALUE"""),10648.0)</f>
        <v>10648</v>
      </c>
      <c r="B1872" s="2" t="str">
        <f>IFERROR(__xludf.DUMMYFUNCTION("""COMPUTED_VALUE"""),"Law")</f>
        <v>Law</v>
      </c>
      <c r="C1872" s="2" t="str">
        <f>IFERROR(__xludf.DUMMYFUNCTION("""COMPUTED_VALUE"""),"Motivation")</f>
        <v>Motivation</v>
      </c>
      <c r="D1872" s="2" t="str">
        <f>IFERROR(__xludf.DUMMYFUNCTION("""COMPUTED_VALUE"""),"Riverbrook Publishing")</f>
        <v>Riverbrook Publishing</v>
      </c>
      <c r="E1872" s="2">
        <f>IFERROR(__xludf.DUMMYFUNCTION("""COMPUTED_VALUE"""),1.27)</f>
        <v>1.27</v>
      </c>
      <c r="F1872" s="2"/>
      <c r="G1872" s="2"/>
      <c r="H1872" s="2"/>
      <c r="I1872" s="2"/>
    </row>
    <row r="1873">
      <c r="A1873" s="2">
        <f>IFERROR(__xludf.DUMMYFUNCTION("""COMPUTED_VALUE"""),114947.0)</f>
        <v>114947</v>
      </c>
      <c r="B1873" s="2" t="str">
        <f>IFERROR(__xludf.DUMMYFUNCTION("""COMPUTED_VALUE"""),"Law")</f>
        <v>Law</v>
      </c>
      <c r="C1873" s="2" t="str">
        <f>IFERROR(__xludf.DUMMYFUNCTION("""COMPUTED_VALUE"""),"Motivation")</f>
        <v>Motivation</v>
      </c>
      <c r="D1873" s="2" t="str">
        <f>IFERROR(__xludf.DUMMYFUNCTION("""COMPUTED_VALUE"""),"Ironbrook Books")</f>
        <v>Ironbrook Books</v>
      </c>
      <c r="E1873" s="2">
        <f>IFERROR(__xludf.DUMMYFUNCTION("""COMPUTED_VALUE"""),1.92)</f>
        <v>1.92</v>
      </c>
      <c r="F1873" s="2"/>
      <c r="G1873" s="2"/>
      <c r="H1873" s="2"/>
      <c r="I1873" s="2"/>
    </row>
    <row r="1874">
      <c r="A1874" s="2">
        <f>IFERROR(__xludf.DUMMYFUNCTION("""COMPUTED_VALUE"""),44728.0)</f>
        <v>44728</v>
      </c>
      <c r="B1874" s="2" t="str">
        <f>IFERROR(__xludf.DUMMYFUNCTION("""COMPUTED_VALUE"""),"Law")</f>
        <v>Law</v>
      </c>
      <c r="C1874" s="2" t="str">
        <f>IFERROR(__xludf.DUMMYFUNCTION("""COMPUTED_VALUE"""),"Motivation")</f>
        <v>Motivation</v>
      </c>
      <c r="D1874" s="2" t="str">
        <f>IFERROR(__xludf.DUMMYFUNCTION("""COMPUTED_VALUE"""),"Ironbrook Books")</f>
        <v>Ironbrook Books</v>
      </c>
      <c r="E1874" s="2">
        <f>IFERROR(__xludf.DUMMYFUNCTION("""COMPUTED_VALUE"""),2.21)</f>
        <v>2.21</v>
      </c>
      <c r="F1874" s="2"/>
      <c r="G1874" s="2"/>
      <c r="H1874" s="2"/>
      <c r="I1874" s="2"/>
    </row>
    <row r="1875">
      <c r="A1875" s="2">
        <f>IFERROR(__xludf.DUMMYFUNCTION("""COMPUTED_VALUE"""),120709.0)</f>
        <v>120709</v>
      </c>
      <c r="B1875" s="2" t="str">
        <f>IFERROR(__xludf.DUMMYFUNCTION("""COMPUTED_VALUE"""),"Law")</f>
        <v>Law</v>
      </c>
      <c r="C1875" s="2" t="str">
        <f>IFERROR(__xludf.DUMMYFUNCTION("""COMPUTED_VALUE"""),"Motivation")</f>
        <v>Motivation</v>
      </c>
      <c r="D1875" s="2" t="str">
        <f>IFERROR(__xludf.DUMMYFUNCTION("""COMPUTED_VALUE"""),"Ironbrook Books")</f>
        <v>Ironbrook Books</v>
      </c>
      <c r="E1875" s="2">
        <f>IFERROR(__xludf.DUMMYFUNCTION("""COMPUTED_VALUE"""),25.17)</f>
        <v>25.17</v>
      </c>
      <c r="F1875" s="2"/>
      <c r="G1875" s="2"/>
      <c r="H1875" s="2"/>
      <c r="I1875" s="2"/>
    </row>
    <row r="1876">
      <c r="A1876" s="2">
        <f>IFERROR(__xludf.DUMMYFUNCTION("""COMPUTED_VALUE"""),114949.0)</f>
        <v>114949</v>
      </c>
      <c r="B1876" s="2" t="str">
        <f>IFERROR(__xludf.DUMMYFUNCTION("""COMPUTED_VALUE"""),"Law")</f>
        <v>Law</v>
      </c>
      <c r="C1876" s="2" t="str">
        <f>IFERROR(__xludf.DUMMYFUNCTION("""COMPUTED_VALUE"""),"Motivation")</f>
        <v>Motivation</v>
      </c>
      <c r="D1876" s="2" t="str">
        <f>IFERROR(__xludf.DUMMYFUNCTION("""COMPUTED_VALUE"""),"Ironbrook Books")</f>
        <v>Ironbrook Books</v>
      </c>
      <c r="E1876" s="2">
        <f>IFERROR(__xludf.DUMMYFUNCTION("""COMPUTED_VALUE"""),2.15)</f>
        <v>2.15</v>
      </c>
      <c r="F1876" s="2"/>
      <c r="G1876" s="2"/>
      <c r="H1876" s="2"/>
      <c r="I1876" s="2"/>
    </row>
    <row r="1877">
      <c r="A1877" s="2">
        <f>IFERROR(__xludf.DUMMYFUNCTION("""COMPUTED_VALUE"""),48706.0)</f>
        <v>48706</v>
      </c>
      <c r="B1877" s="2" t="str">
        <f>IFERROR(__xludf.DUMMYFUNCTION("""COMPUTED_VALUE"""),"Law")</f>
        <v>Law</v>
      </c>
      <c r="C1877" s="2" t="str">
        <f>IFERROR(__xludf.DUMMYFUNCTION("""COMPUTED_VALUE"""),"Motivation")</f>
        <v>Motivation</v>
      </c>
      <c r="D1877" s="2" t="str">
        <f>IFERROR(__xludf.DUMMYFUNCTION("""COMPUTED_VALUE"""),"Ironbrook Books")</f>
        <v>Ironbrook Books</v>
      </c>
      <c r="E1877" s="2">
        <f>IFERROR(__xludf.DUMMYFUNCTION("""COMPUTED_VALUE"""),3.66)</f>
        <v>3.66</v>
      </c>
      <c r="F1877" s="2"/>
      <c r="G1877" s="2"/>
      <c r="H1877" s="2"/>
      <c r="I1877" s="2"/>
    </row>
    <row r="1878">
      <c r="A1878" s="2">
        <f>IFERROR(__xludf.DUMMYFUNCTION("""COMPUTED_VALUE"""),78411.0)</f>
        <v>78411</v>
      </c>
      <c r="B1878" s="2" t="str">
        <f>IFERROR(__xludf.DUMMYFUNCTION("""COMPUTED_VALUE"""),"Law")</f>
        <v>Law</v>
      </c>
      <c r="C1878" s="2" t="str">
        <f>IFERROR(__xludf.DUMMYFUNCTION("""COMPUTED_VALUE"""),"Motivation")</f>
        <v>Motivation</v>
      </c>
      <c r="D1878" s="2" t="str">
        <f>IFERROR(__xludf.DUMMYFUNCTION("""COMPUTED_VALUE"""),"Ironbrook Books")</f>
        <v>Ironbrook Books</v>
      </c>
      <c r="E1878" s="2">
        <f>IFERROR(__xludf.DUMMYFUNCTION("""COMPUTED_VALUE"""),2.04)</f>
        <v>2.04</v>
      </c>
      <c r="F1878" s="2"/>
      <c r="G1878" s="2"/>
      <c r="H1878" s="2"/>
      <c r="I1878" s="2"/>
    </row>
    <row r="1879">
      <c r="A1879" s="2">
        <f>IFERROR(__xludf.DUMMYFUNCTION("""COMPUTED_VALUE"""),120016.0)</f>
        <v>120016</v>
      </c>
      <c r="B1879" s="2" t="str">
        <f>IFERROR(__xludf.DUMMYFUNCTION("""COMPUTED_VALUE"""),"Law")</f>
        <v>Law</v>
      </c>
      <c r="C1879" s="2" t="str">
        <f>IFERROR(__xludf.DUMMYFUNCTION("""COMPUTED_VALUE"""),"Motivation")</f>
        <v>Motivation</v>
      </c>
      <c r="D1879" s="2" t="str">
        <f>IFERROR(__xludf.DUMMYFUNCTION("""COMPUTED_VALUE"""),"Ironbrook Books")</f>
        <v>Ironbrook Books</v>
      </c>
      <c r="E1879" s="2">
        <f>IFERROR(__xludf.DUMMYFUNCTION("""COMPUTED_VALUE"""),2.23)</f>
        <v>2.23</v>
      </c>
      <c r="F1879" s="2"/>
      <c r="G1879" s="2"/>
      <c r="H1879" s="2"/>
      <c r="I1879" s="2"/>
    </row>
    <row r="1880">
      <c r="A1880" s="2">
        <f>IFERROR(__xludf.DUMMYFUNCTION("""COMPUTED_VALUE"""),120710.0)</f>
        <v>120710</v>
      </c>
      <c r="B1880" s="2" t="str">
        <f>IFERROR(__xludf.DUMMYFUNCTION("""COMPUTED_VALUE"""),"Law")</f>
        <v>Law</v>
      </c>
      <c r="C1880" s="2" t="str">
        <f>IFERROR(__xludf.DUMMYFUNCTION("""COMPUTED_VALUE"""),"Motivation")</f>
        <v>Motivation</v>
      </c>
      <c r="D1880" s="2" t="str">
        <f>IFERROR(__xludf.DUMMYFUNCTION("""COMPUTED_VALUE"""),"Ironbrook Books")</f>
        <v>Ironbrook Books</v>
      </c>
      <c r="E1880" s="2">
        <f>IFERROR(__xludf.DUMMYFUNCTION("""COMPUTED_VALUE"""),10.24)</f>
        <v>10.24</v>
      </c>
      <c r="F1880" s="2"/>
      <c r="G1880" s="2"/>
      <c r="H1880" s="2"/>
      <c r="I1880" s="2"/>
    </row>
    <row r="1881">
      <c r="A1881" s="2">
        <f>IFERROR(__xludf.DUMMYFUNCTION("""COMPUTED_VALUE"""),48705.0)</f>
        <v>48705</v>
      </c>
      <c r="B1881" s="2" t="str">
        <f>IFERROR(__xludf.DUMMYFUNCTION("""COMPUTED_VALUE"""),"Law")</f>
        <v>Law</v>
      </c>
      <c r="C1881" s="2" t="str">
        <f>IFERROR(__xludf.DUMMYFUNCTION("""COMPUTED_VALUE"""),"Motivation")</f>
        <v>Motivation</v>
      </c>
      <c r="D1881" s="2" t="str">
        <f>IFERROR(__xludf.DUMMYFUNCTION("""COMPUTED_VALUE"""),"Ironbrook Books")</f>
        <v>Ironbrook Books</v>
      </c>
      <c r="E1881" s="2">
        <f>IFERROR(__xludf.DUMMYFUNCTION("""COMPUTED_VALUE"""),1.81)</f>
        <v>1.81</v>
      </c>
      <c r="F1881" s="2"/>
      <c r="G1881" s="2"/>
      <c r="H1881" s="2"/>
      <c r="I1881" s="2"/>
    </row>
    <row r="1882">
      <c r="A1882" s="2">
        <f>IFERROR(__xludf.DUMMYFUNCTION("""COMPUTED_VALUE"""),114948.0)</f>
        <v>114948</v>
      </c>
      <c r="B1882" s="2" t="str">
        <f>IFERROR(__xludf.DUMMYFUNCTION("""COMPUTED_VALUE"""),"Law")</f>
        <v>Law</v>
      </c>
      <c r="C1882" s="2" t="str">
        <f>IFERROR(__xludf.DUMMYFUNCTION("""COMPUTED_VALUE"""),"Motivation")</f>
        <v>Motivation</v>
      </c>
      <c r="D1882" s="2" t="str">
        <f>IFERROR(__xludf.DUMMYFUNCTION("""COMPUTED_VALUE"""),"Ironbrook Books")</f>
        <v>Ironbrook Books</v>
      </c>
      <c r="E1882" s="2">
        <f>IFERROR(__xludf.DUMMYFUNCTION("""COMPUTED_VALUE"""),2.29)</f>
        <v>2.29</v>
      </c>
      <c r="F1882" s="2"/>
      <c r="G1882" s="2"/>
      <c r="H1882" s="2"/>
      <c r="I1882" s="2"/>
    </row>
    <row r="1883">
      <c r="A1883" s="2">
        <f>IFERROR(__xludf.DUMMYFUNCTION("""COMPUTED_VALUE"""),117330.0)</f>
        <v>117330</v>
      </c>
      <c r="B1883" s="2" t="str">
        <f>IFERROR(__xludf.DUMMYFUNCTION("""COMPUTED_VALUE"""),"Law")</f>
        <v>Law</v>
      </c>
      <c r="C1883" s="2" t="str">
        <f>IFERROR(__xludf.DUMMYFUNCTION("""COMPUTED_VALUE"""),"Motivation")</f>
        <v>Motivation</v>
      </c>
      <c r="D1883" s="2" t="str">
        <f>IFERROR(__xludf.DUMMYFUNCTION("""COMPUTED_VALUE"""),"Ironbrook Books")</f>
        <v>Ironbrook Books</v>
      </c>
      <c r="E1883" s="2">
        <f>IFERROR(__xludf.DUMMYFUNCTION("""COMPUTED_VALUE"""),2.6)</f>
        <v>2.6</v>
      </c>
      <c r="F1883" s="2"/>
      <c r="G1883" s="2"/>
      <c r="H1883" s="2"/>
      <c r="I1883" s="2"/>
    </row>
    <row r="1884">
      <c r="A1884" s="2">
        <f>IFERROR(__xludf.DUMMYFUNCTION("""COMPUTED_VALUE"""),89665.0)</f>
        <v>89665</v>
      </c>
      <c r="B1884" s="2" t="str">
        <f>IFERROR(__xludf.DUMMYFUNCTION("""COMPUTED_VALUE"""),"Law")</f>
        <v>Law</v>
      </c>
      <c r="C1884" s="2" t="str">
        <f>IFERROR(__xludf.DUMMYFUNCTION("""COMPUTED_VALUE"""),"Motivation")</f>
        <v>Motivation</v>
      </c>
      <c r="D1884" s="2" t="str">
        <f>IFERROR(__xludf.DUMMYFUNCTION("""COMPUTED_VALUE"""),"Ironbrook Books")</f>
        <v>Ironbrook Books</v>
      </c>
      <c r="E1884" s="2">
        <f>IFERROR(__xludf.DUMMYFUNCTION("""COMPUTED_VALUE"""),2.52)</f>
        <v>2.52</v>
      </c>
      <c r="F1884" s="2"/>
      <c r="G1884" s="2"/>
      <c r="H1884" s="2"/>
      <c r="I1884" s="2"/>
    </row>
    <row r="1885">
      <c r="A1885" s="2">
        <f>IFERROR(__xludf.DUMMYFUNCTION("""COMPUTED_VALUE"""),89450.0)</f>
        <v>89450</v>
      </c>
      <c r="B1885" s="2" t="str">
        <f>IFERROR(__xludf.DUMMYFUNCTION("""COMPUTED_VALUE"""),"Sports")</f>
        <v>Sports</v>
      </c>
      <c r="C1885" s="2" t="str">
        <f>IFERROR(__xludf.DUMMYFUNCTION("""COMPUTED_VALUE"""),"Mindfulness")</f>
        <v>Mindfulness</v>
      </c>
      <c r="D1885" s="2" t="str">
        <f>IFERROR(__xludf.DUMMYFUNCTION("""COMPUTED_VALUE"""),"Silverstone Press")</f>
        <v>Silverstone Press</v>
      </c>
      <c r="E1885" s="2">
        <f>IFERROR(__xludf.DUMMYFUNCTION("""COMPUTED_VALUE"""),4.0)</f>
        <v>4</v>
      </c>
      <c r="F1885" s="2"/>
      <c r="G1885" s="2"/>
      <c r="H1885" s="2"/>
      <c r="I1885" s="2"/>
    </row>
    <row r="1886">
      <c r="A1886" s="2">
        <f>IFERROR(__xludf.DUMMYFUNCTION("""COMPUTED_VALUE"""),72080.0)</f>
        <v>72080</v>
      </c>
      <c r="B1886" s="2" t="str">
        <f>IFERROR(__xludf.DUMMYFUNCTION("""COMPUTED_VALUE"""),"Sports")</f>
        <v>Sports</v>
      </c>
      <c r="C1886" s="2" t="str">
        <f>IFERROR(__xludf.DUMMYFUNCTION("""COMPUTED_VALUE"""),"Mindfulness")</f>
        <v>Mindfulness</v>
      </c>
      <c r="D1886" s="2" t="str">
        <f>IFERROR(__xludf.DUMMYFUNCTION("""COMPUTED_VALUE"""),"Silverstone Press")</f>
        <v>Silverstone Press</v>
      </c>
      <c r="E1886" s="2">
        <f>IFERROR(__xludf.DUMMYFUNCTION("""COMPUTED_VALUE"""),3.92)</f>
        <v>3.92</v>
      </c>
      <c r="F1886" s="2"/>
      <c r="G1886" s="2"/>
      <c r="H1886" s="2"/>
      <c r="I1886" s="2"/>
    </row>
    <row r="1887">
      <c r="A1887" s="2">
        <f>IFERROR(__xludf.DUMMYFUNCTION("""COMPUTED_VALUE"""),72086.0)</f>
        <v>72086</v>
      </c>
      <c r="B1887" s="2" t="str">
        <f>IFERROR(__xludf.DUMMYFUNCTION("""COMPUTED_VALUE"""),"Sports")</f>
        <v>Sports</v>
      </c>
      <c r="C1887" s="2" t="str">
        <f>IFERROR(__xludf.DUMMYFUNCTION("""COMPUTED_VALUE"""),"Mindfulness")</f>
        <v>Mindfulness</v>
      </c>
      <c r="D1887" s="2" t="str">
        <f>IFERROR(__xludf.DUMMYFUNCTION("""COMPUTED_VALUE"""),"Silverstone Press")</f>
        <v>Silverstone Press</v>
      </c>
      <c r="E1887" s="2">
        <f>IFERROR(__xludf.DUMMYFUNCTION("""COMPUTED_VALUE"""),4.0)</f>
        <v>4</v>
      </c>
      <c r="F1887" s="2"/>
      <c r="G1887" s="2"/>
      <c r="H1887" s="2"/>
      <c r="I1887" s="2"/>
    </row>
    <row r="1888">
      <c r="A1888" s="2">
        <f>IFERROR(__xludf.DUMMYFUNCTION("""COMPUTED_VALUE"""),117076.0)</f>
        <v>117076</v>
      </c>
      <c r="B1888" s="2" t="str">
        <f>IFERROR(__xludf.DUMMYFUNCTION("""COMPUTED_VALUE"""),"Sports")</f>
        <v>Sports</v>
      </c>
      <c r="C1888" s="2" t="str">
        <f>IFERROR(__xludf.DUMMYFUNCTION("""COMPUTED_VALUE"""),"Mindfulness")</f>
        <v>Mindfulness</v>
      </c>
      <c r="D1888" s="2" t="str">
        <f>IFERROR(__xludf.DUMMYFUNCTION("""COMPUTED_VALUE"""),"Silverstone Press")</f>
        <v>Silverstone Press</v>
      </c>
      <c r="E1888" s="2">
        <f>IFERROR(__xludf.DUMMYFUNCTION("""COMPUTED_VALUE"""),4.57)</f>
        <v>4.57</v>
      </c>
      <c r="F1888" s="2"/>
      <c r="G1888" s="2"/>
      <c r="H1888" s="2"/>
      <c r="I1888" s="2"/>
    </row>
    <row r="1889">
      <c r="A1889" s="2">
        <f>IFERROR(__xludf.DUMMYFUNCTION("""COMPUTED_VALUE"""),72081.0)</f>
        <v>72081</v>
      </c>
      <c r="B1889" s="2" t="str">
        <f>IFERROR(__xludf.DUMMYFUNCTION("""COMPUTED_VALUE"""),"Sports")</f>
        <v>Sports</v>
      </c>
      <c r="C1889" s="2" t="str">
        <f>IFERROR(__xludf.DUMMYFUNCTION("""COMPUTED_VALUE"""),"Mindfulness")</f>
        <v>Mindfulness</v>
      </c>
      <c r="D1889" s="2" t="str">
        <f>IFERROR(__xludf.DUMMYFUNCTION("""COMPUTED_VALUE"""),"Silverstone Press")</f>
        <v>Silverstone Press</v>
      </c>
      <c r="E1889" s="2">
        <f>IFERROR(__xludf.DUMMYFUNCTION("""COMPUTED_VALUE"""),3.64)</f>
        <v>3.64</v>
      </c>
      <c r="F1889" s="2"/>
      <c r="G1889" s="2"/>
      <c r="H1889" s="2"/>
      <c r="I1889" s="2"/>
    </row>
    <row r="1890">
      <c r="A1890" s="2">
        <f>IFERROR(__xludf.DUMMYFUNCTION("""COMPUTED_VALUE"""),72088.0)</f>
        <v>72088</v>
      </c>
      <c r="B1890" s="2" t="str">
        <f>IFERROR(__xludf.DUMMYFUNCTION("""COMPUTED_VALUE"""),"Sports")</f>
        <v>Sports</v>
      </c>
      <c r="C1890" s="2" t="str">
        <f>IFERROR(__xludf.DUMMYFUNCTION("""COMPUTED_VALUE"""),"Mindfulness")</f>
        <v>Mindfulness</v>
      </c>
      <c r="D1890" s="2" t="str">
        <f>IFERROR(__xludf.DUMMYFUNCTION("""COMPUTED_VALUE"""),"Silverstone Press")</f>
        <v>Silverstone Press</v>
      </c>
      <c r="E1890" s="2">
        <f>IFERROR(__xludf.DUMMYFUNCTION("""COMPUTED_VALUE"""),4.03)</f>
        <v>4.03</v>
      </c>
      <c r="F1890" s="2"/>
      <c r="G1890" s="2"/>
      <c r="H1890" s="2"/>
      <c r="I1890" s="2"/>
    </row>
    <row r="1891">
      <c r="A1891" s="2">
        <f>IFERROR(__xludf.DUMMYFUNCTION("""COMPUTED_VALUE"""),72078.0)</f>
        <v>72078</v>
      </c>
      <c r="B1891" s="2" t="str">
        <f>IFERROR(__xludf.DUMMYFUNCTION("""COMPUTED_VALUE"""),"Sports")</f>
        <v>Sports</v>
      </c>
      <c r="C1891" s="2" t="str">
        <f>IFERROR(__xludf.DUMMYFUNCTION("""COMPUTED_VALUE"""),"Mindfulness")</f>
        <v>Mindfulness</v>
      </c>
      <c r="D1891" s="2" t="str">
        <f>IFERROR(__xludf.DUMMYFUNCTION("""COMPUTED_VALUE"""),"Silverstone Press")</f>
        <v>Silverstone Press</v>
      </c>
      <c r="E1891" s="2">
        <f>IFERROR(__xludf.DUMMYFUNCTION("""COMPUTED_VALUE"""),3.67)</f>
        <v>3.67</v>
      </c>
      <c r="F1891" s="2"/>
      <c r="G1891" s="2"/>
      <c r="H1891" s="2"/>
      <c r="I1891" s="2"/>
    </row>
    <row r="1892">
      <c r="A1892" s="2">
        <f>IFERROR(__xludf.DUMMYFUNCTION("""COMPUTED_VALUE"""),72085.0)</f>
        <v>72085</v>
      </c>
      <c r="B1892" s="2" t="str">
        <f>IFERROR(__xludf.DUMMYFUNCTION("""COMPUTED_VALUE"""),"Sports")</f>
        <v>Sports</v>
      </c>
      <c r="C1892" s="2" t="str">
        <f>IFERROR(__xludf.DUMMYFUNCTION("""COMPUTED_VALUE"""),"Mindfulness")</f>
        <v>Mindfulness</v>
      </c>
      <c r="D1892" s="2" t="str">
        <f>IFERROR(__xludf.DUMMYFUNCTION("""COMPUTED_VALUE"""),"Silverstone Press")</f>
        <v>Silverstone Press</v>
      </c>
      <c r="E1892" s="2">
        <f>IFERROR(__xludf.DUMMYFUNCTION("""COMPUTED_VALUE"""),4.65)</f>
        <v>4.65</v>
      </c>
      <c r="F1892" s="2"/>
      <c r="G1892" s="2"/>
      <c r="H1892" s="2"/>
      <c r="I1892" s="2"/>
    </row>
    <row r="1893">
      <c r="A1893" s="2">
        <f>IFERROR(__xludf.DUMMYFUNCTION("""COMPUTED_VALUE"""),112204.0)</f>
        <v>112204</v>
      </c>
      <c r="B1893" s="2" t="str">
        <f>IFERROR(__xludf.DUMMYFUNCTION("""COMPUTED_VALUE"""),"Sports")</f>
        <v>Sports</v>
      </c>
      <c r="C1893" s="2" t="str">
        <f>IFERROR(__xludf.DUMMYFUNCTION("""COMPUTED_VALUE"""),"Mindfulness")</f>
        <v>Mindfulness</v>
      </c>
      <c r="D1893" s="2" t="str">
        <f>IFERROR(__xludf.DUMMYFUNCTION("""COMPUTED_VALUE"""),"Silverstone Press")</f>
        <v>Silverstone Press</v>
      </c>
      <c r="E1893" s="2">
        <f>IFERROR(__xludf.DUMMYFUNCTION("""COMPUTED_VALUE"""),4.61)</f>
        <v>4.61</v>
      </c>
      <c r="F1893" s="2"/>
      <c r="G1893" s="2"/>
      <c r="H1893" s="2"/>
      <c r="I1893" s="2"/>
    </row>
    <row r="1894">
      <c r="A1894" s="2">
        <f>IFERROR(__xludf.DUMMYFUNCTION("""COMPUTED_VALUE"""),59138.0)</f>
        <v>59138</v>
      </c>
      <c r="B1894" s="2" t="str">
        <f>IFERROR(__xludf.DUMMYFUNCTION("""COMPUTED_VALUE"""),"Sports")</f>
        <v>Sports</v>
      </c>
      <c r="C1894" s="2" t="str">
        <f>IFERROR(__xludf.DUMMYFUNCTION("""COMPUTED_VALUE"""),"Mindfulness")</f>
        <v>Mindfulness</v>
      </c>
      <c r="D1894" s="2" t="str">
        <f>IFERROR(__xludf.DUMMYFUNCTION("""COMPUTED_VALUE"""),"Silverstone Press")</f>
        <v>Silverstone Press</v>
      </c>
      <c r="E1894" s="2">
        <f>IFERROR(__xludf.DUMMYFUNCTION("""COMPUTED_VALUE"""),3.9)</f>
        <v>3.9</v>
      </c>
      <c r="F1894" s="2"/>
      <c r="G1894" s="2"/>
      <c r="H1894" s="2"/>
      <c r="I1894" s="2"/>
    </row>
    <row r="1895">
      <c r="A1895" s="2">
        <f>IFERROR(__xludf.DUMMYFUNCTION("""COMPUTED_VALUE"""),72074.0)</f>
        <v>72074</v>
      </c>
      <c r="B1895" s="2" t="str">
        <f>IFERROR(__xludf.DUMMYFUNCTION("""COMPUTED_VALUE"""),"Sports")</f>
        <v>Sports</v>
      </c>
      <c r="C1895" s="2" t="str">
        <f>IFERROR(__xludf.DUMMYFUNCTION("""COMPUTED_VALUE"""),"Mindfulness")</f>
        <v>Mindfulness</v>
      </c>
      <c r="D1895" s="2" t="str">
        <f>IFERROR(__xludf.DUMMYFUNCTION("""COMPUTED_VALUE"""),"Silverstone Press")</f>
        <v>Silverstone Press</v>
      </c>
      <c r="E1895" s="2">
        <f>IFERROR(__xludf.DUMMYFUNCTION("""COMPUTED_VALUE"""),3.83)</f>
        <v>3.83</v>
      </c>
      <c r="F1895" s="2"/>
      <c r="G1895" s="2"/>
      <c r="H1895" s="2"/>
      <c r="I1895" s="2"/>
    </row>
    <row r="1896">
      <c r="A1896" s="2">
        <f>IFERROR(__xludf.DUMMYFUNCTION("""COMPUTED_VALUE"""),72096.0)</f>
        <v>72096</v>
      </c>
      <c r="B1896" s="2" t="str">
        <f>IFERROR(__xludf.DUMMYFUNCTION("""COMPUTED_VALUE"""),"Sports")</f>
        <v>Sports</v>
      </c>
      <c r="C1896" s="2" t="str">
        <f>IFERROR(__xludf.DUMMYFUNCTION("""COMPUTED_VALUE"""),"Mindfulness")</f>
        <v>Mindfulness</v>
      </c>
      <c r="D1896" s="2" t="str">
        <f>IFERROR(__xludf.DUMMYFUNCTION("""COMPUTED_VALUE"""),"Silverstone Press")</f>
        <v>Silverstone Press</v>
      </c>
      <c r="E1896" s="2">
        <f>IFERROR(__xludf.DUMMYFUNCTION("""COMPUTED_VALUE"""),7.33)</f>
        <v>7.33</v>
      </c>
      <c r="F1896" s="2"/>
      <c r="G1896" s="2"/>
      <c r="H1896" s="2"/>
      <c r="I1896" s="2"/>
    </row>
    <row r="1897">
      <c r="A1897" s="2">
        <f>IFERROR(__xludf.DUMMYFUNCTION("""COMPUTED_VALUE"""),72099.0)</f>
        <v>72099</v>
      </c>
      <c r="B1897" s="2" t="str">
        <f>IFERROR(__xludf.DUMMYFUNCTION("""COMPUTED_VALUE"""),"Sports")</f>
        <v>Sports</v>
      </c>
      <c r="C1897" s="2" t="str">
        <f>IFERROR(__xludf.DUMMYFUNCTION("""COMPUTED_VALUE"""),"Mindfulness")</f>
        <v>Mindfulness</v>
      </c>
      <c r="D1897" s="2" t="str">
        <f>IFERROR(__xludf.DUMMYFUNCTION("""COMPUTED_VALUE"""),"Silverstone Press")</f>
        <v>Silverstone Press</v>
      </c>
      <c r="E1897" s="2">
        <f>IFERROR(__xludf.DUMMYFUNCTION("""COMPUTED_VALUE"""),6.81)</f>
        <v>6.81</v>
      </c>
      <c r="F1897" s="2"/>
      <c r="G1897" s="2"/>
      <c r="H1897" s="2"/>
      <c r="I1897" s="2"/>
    </row>
    <row r="1898">
      <c r="A1898" s="2">
        <f>IFERROR(__xludf.DUMMYFUNCTION("""COMPUTED_VALUE"""),89451.0)</f>
        <v>89451</v>
      </c>
      <c r="B1898" s="2" t="str">
        <f>IFERROR(__xludf.DUMMYFUNCTION("""COMPUTED_VALUE"""),"Sports")</f>
        <v>Sports</v>
      </c>
      <c r="C1898" s="2" t="str">
        <f>IFERROR(__xludf.DUMMYFUNCTION("""COMPUTED_VALUE"""),"Mindfulness")</f>
        <v>Mindfulness</v>
      </c>
      <c r="D1898" s="2" t="str">
        <f>IFERROR(__xludf.DUMMYFUNCTION("""COMPUTED_VALUE"""),"Silverstone Press")</f>
        <v>Silverstone Press</v>
      </c>
      <c r="E1898" s="2">
        <f>IFERROR(__xludf.DUMMYFUNCTION("""COMPUTED_VALUE"""),2.96)</f>
        <v>2.96</v>
      </c>
      <c r="F1898" s="2"/>
      <c r="G1898" s="2"/>
      <c r="H1898" s="2"/>
      <c r="I1898" s="2"/>
    </row>
    <row r="1899">
      <c r="A1899" s="2">
        <f>IFERROR(__xludf.DUMMYFUNCTION("""COMPUTED_VALUE"""),29606.0)</f>
        <v>29606</v>
      </c>
      <c r="B1899" s="2" t="str">
        <f>IFERROR(__xludf.DUMMYFUNCTION("""COMPUTED_VALUE"""),"Sports")</f>
        <v>Sports</v>
      </c>
      <c r="C1899" s="2" t="str">
        <f>IFERROR(__xludf.DUMMYFUNCTION("""COMPUTED_VALUE"""),"Mindfulness")</f>
        <v>Mindfulness</v>
      </c>
      <c r="D1899" s="2" t="str">
        <f>IFERROR(__xludf.DUMMYFUNCTION("""COMPUTED_VALUE"""),"Silverstone Press")</f>
        <v>Silverstone Press</v>
      </c>
      <c r="E1899" s="2">
        <f>IFERROR(__xludf.DUMMYFUNCTION("""COMPUTED_VALUE"""),5.34)</f>
        <v>5.34</v>
      </c>
      <c r="F1899" s="2"/>
      <c r="G1899" s="2"/>
      <c r="H1899" s="2"/>
      <c r="I1899" s="2"/>
    </row>
    <row r="1900">
      <c r="A1900" s="2">
        <f>IFERROR(__xludf.DUMMYFUNCTION("""COMPUTED_VALUE"""),72089.0)</f>
        <v>72089</v>
      </c>
      <c r="B1900" s="2" t="str">
        <f>IFERROR(__xludf.DUMMYFUNCTION("""COMPUTED_VALUE"""),"Sports")</f>
        <v>Sports</v>
      </c>
      <c r="C1900" s="2" t="str">
        <f>IFERROR(__xludf.DUMMYFUNCTION("""COMPUTED_VALUE"""),"Mindfulness")</f>
        <v>Mindfulness</v>
      </c>
      <c r="D1900" s="2" t="str">
        <f>IFERROR(__xludf.DUMMYFUNCTION("""COMPUTED_VALUE"""),"Silverstone Press")</f>
        <v>Silverstone Press</v>
      </c>
      <c r="E1900" s="2">
        <f>IFERROR(__xludf.DUMMYFUNCTION("""COMPUTED_VALUE"""),4.8)</f>
        <v>4.8</v>
      </c>
      <c r="F1900" s="2"/>
      <c r="G1900" s="2"/>
      <c r="H1900" s="2"/>
      <c r="I1900" s="2"/>
    </row>
    <row r="1901">
      <c r="A1901" s="2">
        <f>IFERROR(__xludf.DUMMYFUNCTION("""COMPUTED_VALUE"""),29601.0)</f>
        <v>29601</v>
      </c>
      <c r="B1901" s="2" t="str">
        <f>IFERROR(__xludf.DUMMYFUNCTION("""COMPUTED_VALUE"""),"Sports")</f>
        <v>Sports</v>
      </c>
      <c r="C1901" s="2" t="str">
        <f>IFERROR(__xludf.DUMMYFUNCTION("""COMPUTED_VALUE"""),"Mindfulness")</f>
        <v>Mindfulness</v>
      </c>
      <c r="D1901" s="2" t="str">
        <f>IFERROR(__xludf.DUMMYFUNCTION("""COMPUTED_VALUE"""),"Silverstone Press")</f>
        <v>Silverstone Press</v>
      </c>
      <c r="E1901" s="2">
        <f>IFERROR(__xludf.DUMMYFUNCTION("""COMPUTED_VALUE"""),4.75)</f>
        <v>4.75</v>
      </c>
      <c r="F1901" s="2"/>
      <c r="G1901" s="2"/>
      <c r="H1901" s="2"/>
      <c r="I1901" s="2"/>
    </row>
    <row r="1902">
      <c r="A1902" s="2">
        <f>IFERROR(__xludf.DUMMYFUNCTION("""COMPUTED_VALUE"""),50372.0)</f>
        <v>50372</v>
      </c>
      <c r="B1902" s="2" t="str">
        <f>IFERROR(__xludf.DUMMYFUNCTION("""COMPUTED_VALUE"""),"Sports")</f>
        <v>Sports</v>
      </c>
      <c r="C1902" s="2" t="str">
        <f>IFERROR(__xludf.DUMMYFUNCTION("""COMPUTED_VALUE"""),"Mindfulness")</f>
        <v>Mindfulness</v>
      </c>
      <c r="D1902" s="2" t="str">
        <f>IFERROR(__xludf.DUMMYFUNCTION("""COMPUTED_VALUE"""),"Silverstone Press")</f>
        <v>Silverstone Press</v>
      </c>
      <c r="E1902" s="2">
        <f>IFERROR(__xludf.DUMMYFUNCTION("""COMPUTED_VALUE"""),4.97)</f>
        <v>4.97</v>
      </c>
      <c r="F1902" s="2"/>
      <c r="G1902" s="2"/>
      <c r="H1902" s="2"/>
      <c r="I1902" s="2"/>
    </row>
    <row r="1903">
      <c r="A1903" s="2">
        <f>IFERROR(__xludf.DUMMYFUNCTION("""COMPUTED_VALUE"""),89452.0)</f>
        <v>89452</v>
      </c>
      <c r="B1903" s="2" t="str">
        <f>IFERROR(__xludf.DUMMYFUNCTION("""COMPUTED_VALUE"""),"Sports")</f>
        <v>Sports</v>
      </c>
      <c r="C1903" s="2" t="str">
        <f>IFERROR(__xludf.DUMMYFUNCTION("""COMPUTED_VALUE"""),"Mindfulness")</f>
        <v>Mindfulness</v>
      </c>
      <c r="D1903" s="2" t="str">
        <f>IFERROR(__xludf.DUMMYFUNCTION("""COMPUTED_VALUE"""),"Silverstone Press")</f>
        <v>Silverstone Press</v>
      </c>
      <c r="E1903" s="2">
        <f>IFERROR(__xludf.DUMMYFUNCTION("""COMPUTED_VALUE"""),2.76)</f>
        <v>2.76</v>
      </c>
      <c r="F1903" s="2"/>
      <c r="G1903" s="2"/>
      <c r="H1903" s="2"/>
      <c r="I1903" s="2"/>
    </row>
    <row r="1904">
      <c r="A1904" s="2">
        <f>IFERROR(__xludf.DUMMYFUNCTION("""COMPUTED_VALUE"""),156019.0)</f>
        <v>156019</v>
      </c>
      <c r="B1904" s="2" t="str">
        <f>IFERROR(__xludf.DUMMYFUNCTION("""COMPUTED_VALUE"""),"Sports")</f>
        <v>Sports</v>
      </c>
      <c r="C1904" s="2" t="str">
        <f>IFERROR(__xludf.DUMMYFUNCTION("""COMPUTED_VALUE"""),"Mindfulness")</f>
        <v>Mindfulness</v>
      </c>
      <c r="D1904" s="2" t="str">
        <f>IFERROR(__xludf.DUMMYFUNCTION("""COMPUTED_VALUE"""),"Northstone Publishing")</f>
        <v>Northstone Publishing</v>
      </c>
      <c r="E1904" s="2">
        <f>IFERROR(__xludf.DUMMYFUNCTION("""COMPUTED_VALUE"""),6.03)</f>
        <v>6.03</v>
      </c>
      <c r="F1904" s="2"/>
      <c r="G1904" s="2"/>
      <c r="H1904" s="2"/>
      <c r="I1904" s="2"/>
    </row>
    <row r="1905">
      <c r="A1905" s="2">
        <f>IFERROR(__xludf.DUMMYFUNCTION("""COMPUTED_VALUE"""),117705.0)</f>
        <v>117705</v>
      </c>
      <c r="B1905" s="2" t="str">
        <f>IFERROR(__xludf.DUMMYFUNCTION("""COMPUTED_VALUE"""),"Sports")</f>
        <v>Sports</v>
      </c>
      <c r="C1905" s="2" t="str">
        <f>IFERROR(__xludf.DUMMYFUNCTION("""COMPUTED_VALUE"""),"Mindfulness")</f>
        <v>Mindfulness</v>
      </c>
      <c r="D1905" s="2" t="str">
        <f>IFERROR(__xludf.DUMMYFUNCTION("""COMPUTED_VALUE"""),"Harborstone Books")</f>
        <v>Harborstone Books</v>
      </c>
      <c r="E1905" s="2">
        <f>IFERROR(__xludf.DUMMYFUNCTION("""COMPUTED_VALUE"""),5.99)</f>
        <v>5.99</v>
      </c>
      <c r="F1905" s="2"/>
      <c r="G1905" s="2"/>
      <c r="H1905" s="2"/>
      <c r="I1905" s="2"/>
    </row>
    <row r="1906">
      <c r="A1906" s="2">
        <f>IFERROR(__xludf.DUMMYFUNCTION("""COMPUTED_VALUE"""),121184.0)</f>
        <v>121184</v>
      </c>
      <c r="B1906" s="2" t="str">
        <f>IFERROR(__xludf.DUMMYFUNCTION("""COMPUTED_VALUE"""),"Sports")</f>
        <v>Sports</v>
      </c>
      <c r="C1906" s="2" t="str">
        <f>IFERROR(__xludf.DUMMYFUNCTION("""COMPUTED_VALUE"""),"Mindfulness")</f>
        <v>Mindfulness</v>
      </c>
      <c r="D1906" s="2" t="str">
        <f>IFERROR(__xludf.DUMMYFUNCTION("""COMPUTED_VALUE"""),"Harborstone Books")</f>
        <v>Harborstone Books</v>
      </c>
      <c r="E1906" s="2">
        <f>IFERROR(__xludf.DUMMYFUNCTION("""COMPUTED_VALUE"""),6.49)</f>
        <v>6.49</v>
      </c>
      <c r="F1906" s="2"/>
      <c r="G1906" s="2"/>
      <c r="H1906" s="2"/>
      <c r="I1906" s="2"/>
    </row>
    <row r="1907">
      <c r="A1907" s="2">
        <f>IFERROR(__xludf.DUMMYFUNCTION("""COMPUTED_VALUE"""),89446.0)</f>
        <v>89446</v>
      </c>
      <c r="B1907" s="2" t="str">
        <f>IFERROR(__xludf.DUMMYFUNCTION("""COMPUTED_VALUE"""),"Sports")</f>
        <v>Sports</v>
      </c>
      <c r="C1907" s="2" t="str">
        <f>IFERROR(__xludf.DUMMYFUNCTION("""COMPUTED_VALUE"""),"Mindfulness")</f>
        <v>Mindfulness</v>
      </c>
      <c r="D1907" s="2" t="str">
        <f>IFERROR(__xludf.DUMMYFUNCTION("""COMPUTED_VALUE"""),"Harborstone Books")</f>
        <v>Harborstone Books</v>
      </c>
      <c r="E1907" s="2">
        <f>IFERROR(__xludf.DUMMYFUNCTION("""COMPUTED_VALUE"""),6.93)</f>
        <v>6.93</v>
      </c>
      <c r="F1907" s="2"/>
      <c r="G1907" s="2"/>
      <c r="H1907" s="2"/>
      <c r="I1907" s="2"/>
    </row>
    <row r="1908">
      <c r="A1908" s="2">
        <f>IFERROR(__xludf.DUMMYFUNCTION("""COMPUTED_VALUE"""),102339.0)</f>
        <v>102339</v>
      </c>
      <c r="B1908" s="2" t="str">
        <f>IFERROR(__xludf.DUMMYFUNCTION("""COMPUTED_VALUE"""),"Sports")</f>
        <v>Sports</v>
      </c>
      <c r="C1908" s="2" t="str">
        <f>IFERROR(__xludf.DUMMYFUNCTION("""COMPUTED_VALUE"""),"Mindfulness")</f>
        <v>Mindfulness</v>
      </c>
      <c r="D1908" s="2" t="str">
        <f>IFERROR(__xludf.DUMMYFUNCTION("""COMPUTED_VALUE"""),"Harborstone Books")</f>
        <v>Harborstone Books</v>
      </c>
      <c r="E1908" s="2">
        <f>IFERROR(__xludf.DUMMYFUNCTION("""COMPUTED_VALUE"""),3.36)</f>
        <v>3.36</v>
      </c>
      <c r="F1908" s="2"/>
      <c r="G1908" s="2"/>
      <c r="H1908" s="2"/>
      <c r="I1908" s="2"/>
    </row>
    <row r="1909">
      <c r="A1909" s="2">
        <f>IFERROR(__xludf.DUMMYFUNCTION("""COMPUTED_VALUE"""),121193.0)</f>
        <v>121193</v>
      </c>
      <c r="B1909" s="2" t="str">
        <f>IFERROR(__xludf.DUMMYFUNCTION("""COMPUTED_VALUE"""),"Sports")</f>
        <v>Sports</v>
      </c>
      <c r="C1909" s="2" t="str">
        <f>IFERROR(__xludf.DUMMYFUNCTION("""COMPUTED_VALUE"""),"Mindfulness")</f>
        <v>Mindfulness</v>
      </c>
      <c r="D1909" s="2" t="str">
        <f>IFERROR(__xludf.DUMMYFUNCTION("""COMPUTED_VALUE"""),"Harborstone Books")</f>
        <v>Harborstone Books</v>
      </c>
      <c r="E1909" s="2">
        <f>IFERROR(__xludf.DUMMYFUNCTION("""COMPUTED_VALUE"""),3.0)</f>
        <v>3</v>
      </c>
      <c r="F1909" s="2"/>
      <c r="G1909" s="2"/>
      <c r="H1909" s="2"/>
      <c r="I1909" s="2"/>
    </row>
    <row r="1910">
      <c r="A1910" s="2">
        <f>IFERROR(__xludf.DUMMYFUNCTION("""COMPUTED_VALUE"""),102332.0)</f>
        <v>102332</v>
      </c>
      <c r="B1910" s="2" t="str">
        <f>IFERROR(__xludf.DUMMYFUNCTION("""COMPUTED_VALUE"""),"Sports")</f>
        <v>Sports</v>
      </c>
      <c r="C1910" s="2" t="str">
        <f>IFERROR(__xludf.DUMMYFUNCTION("""COMPUTED_VALUE"""),"Mindfulness")</f>
        <v>Mindfulness</v>
      </c>
      <c r="D1910" s="2" t="str">
        <f>IFERROR(__xludf.DUMMYFUNCTION("""COMPUTED_VALUE"""),"Harborstone Books")</f>
        <v>Harborstone Books</v>
      </c>
      <c r="E1910" s="2">
        <f>IFERROR(__xludf.DUMMYFUNCTION("""COMPUTED_VALUE"""),5.0)</f>
        <v>5</v>
      </c>
      <c r="F1910" s="2"/>
      <c r="G1910" s="2"/>
      <c r="H1910" s="2"/>
      <c r="I1910" s="2"/>
    </row>
    <row r="1911">
      <c r="A1911" s="2">
        <f>IFERROR(__xludf.DUMMYFUNCTION("""COMPUTED_VALUE"""),121775.0)</f>
        <v>121775</v>
      </c>
      <c r="B1911" s="2" t="str">
        <f>IFERROR(__xludf.DUMMYFUNCTION("""COMPUTED_VALUE"""),"Sports")</f>
        <v>Sports</v>
      </c>
      <c r="C1911" s="2" t="str">
        <f>IFERROR(__xludf.DUMMYFUNCTION("""COMPUTED_VALUE"""),"Mindfulness")</f>
        <v>Mindfulness</v>
      </c>
      <c r="D1911" s="2" t="str">
        <f>IFERROR(__xludf.DUMMYFUNCTION("""COMPUTED_VALUE"""),"Harborstone Books")</f>
        <v>Harborstone Books</v>
      </c>
      <c r="E1911" s="2">
        <f>IFERROR(__xludf.DUMMYFUNCTION("""COMPUTED_VALUE"""),4.77)</f>
        <v>4.77</v>
      </c>
      <c r="F1911" s="2"/>
      <c r="G1911" s="2"/>
      <c r="H1911" s="2"/>
      <c r="I1911" s="2"/>
    </row>
    <row r="1912">
      <c r="A1912" s="2">
        <f>IFERROR(__xludf.DUMMYFUNCTION("""COMPUTED_VALUE"""),100903.0)</f>
        <v>100903</v>
      </c>
      <c r="B1912" s="2" t="str">
        <f>IFERROR(__xludf.DUMMYFUNCTION("""COMPUTED_VALUE"""),"Sports")</f>
        <v>Sports</v>
      </c>
      <c r="C1912" s="2" t="str">
        <f>IFERROR(__xludf.DUMMYFUNCTION("""COMPUTED_VALUE"""),"Mindfulness")</f>
        <v>Mindfulness</v>
      </c>
      <c r="D1912" s="2" t="str">
        <f>IFERROR(__xludf.DUMMYFUNCTION("""COMPUTED_VALUE"""),"Harborstone Books")</f>
        <v>Harborstone Books</v>
      </c>
      <c r="E1912" s="2">
        <f>IFERROR(__xludf.DUMMYFUNCTION("""COMPUTED_VALUE"""),11.56)</f>
        <v>11.56</v>
      </c>
      <c r="F1912" s="2"/>
      <c r="G1912" s="2"/>
      <c r="H1912" s="2"/>
      <c r="I1912" s="2"/>
    </row>
    <row r="1913">
      <c r="A1913" s="2">
        <f>IFERROR(__xludf.DUMMYFUNCTION("""COMPUTED_VALUE"""),81463.0)</f>
        <v>81463</v>
      </c>
      <c r="B1913" s="2" t="str">
        <f>IFERROR(__xludf.DUMMYFUNCTION("""COMPUTED_VALUE"""),"Sports")</f>
        <v>Sports</v>
      </c>
      <c r="C1913" s="2" t="str">
        <f>IFERROR(__xludf.DUMMYFUNCTION("""COMPUTED_VALUE"""),"Mindfulness")</f>
        <v>Mindfulness</v>
      </c>
      <c r="D1913" s="2" t="str">
        <f>IFERROR(__xludf.DUMMYFUNCTION("""COMPUTED_VALUE"""),"Harborstone Books")</f>
        <v>Harborstone Books</v>
      </c>
      <c r="E1913" s="2">
        <f>IFERROR(__xludf.DUMMYFUNCTION("""COMPUTED_VALUE"""),6.27)</f>
        <v>6.27</v>
      </c>
      <c r="F1913" s="2"/>
      <c r="G1913" s="2"/>
      <c r="H1913" s="2"/>
      <c r="I1913" s="2"/>
    </row>
    <row r="1914">
      <c r="A1914" s="2">
        <f>IFERROR(__xludf.DUMMYFUNCTION("""COMPUTED_VALUE"""),75788.0)</f>
        <v>75788</v>
      </c>
      <c r="B1914" s="2" t="str">
        <f>IFERROR(__xludf.DUMMYFUNCTION("""COMPUTED_VALUE"""),"Sports")</f>
        <v>Sports</v>
      </c>
      <c r="C1914" s="2" t="str">
        <f>IFERROR(__xludf.DUMMYFUNCTION("""COMPUTED_VALUE"""),"Mindfulness")</f>
        <v>Mindfulness</v>
      </c>
      <c r="D1914" s="2" t="str">
        <f>IFERROR(__xludf.DUMMYFUNCTION("""COMPUTED_VALUE"""),"Harborstone Books")</f>
        <v>Harborstone Books</v>
      </c>
      <c r="E1914" s="2">
        <f>IFERROR(__xludf.DUMMYFUNCTION("""COMPUTED_VALUE"""),4.35)</f>
        <v>4.35</v>
      </c>
      <c r="F1914" s="2"/>
      <c r="G1914" s="2"/>
      <c r="H1914" s="2"/>
      <c r="I1914" s="2"/>
    </row>
    <row r="1915">
      <c r="A1915" s="2">
        <f>IFERROR(__xludf.DUMMYFUNCTION("""COMPUTED_VALUE"""),121185.0)</f>
        <v>121185</v>
      </c>
      <c r="B1915" s="2" t="str">
        <f>IFERROR(__xludf.DUMMYFUNCTION("""COMPUTED_VALUE"""),"Sports")</f>
        <v>Sports</v>
      </c>
      <c r="C1915" s="2" t="str">
        <f>IFERROR(__xludf.DUMMYFUNCTION("""COMPUTED_VALUE"""),"Mindfulness")</f>
        <v>Mindfulness</v>
      </c>
      <c r="D1915" s="2" t="str">
        <f>IFERROR(__xludf.DUMMYFUNCTION("""COMPUTED_VALUE"""),"Harborstone Books")</f>
        <v>Harborstone Books</v>
      </c>
      <c r="E1915" s="2">
        <f>IFERROR(__xludf.DUMMYFUNCTION("""COMPUTED_VALUE"""),6.01)</f>
        <v>6.01</v>
      </c>
      <c r="F1915" s="2"/>
      <c r="G1915" s="2"/>
      <c r="H1915" s="2"/>
      <c r="I1915" s="2"/>
    </row>
    <row r="1916">
      <c r="A1916" s="2">
        <f>IFERROR(__xludf.DUMMYFUNCTION("""COMPUTED_VALUE"""),89440.0)</f>
        <v>89440</v>
      </c>
      <c r="B1916" s="2" t="str">
        <f>IFERROR(__xludf.DUMMYFUNCTION("""COMPUTED_VALUE"""),"Sports")</f>
        <v>Sports</v>
      </c>
      <c r="C1916" s="2" t="str">
        <f>IFERROR(__xludf.DUMMYFUNCTION("""COMPUTED_VALUE"""),"Mindfulness")</f>
        <v>Mindfulness</v>
      </c>
      <c r="D1916" s="2" t="str">
        <f>IFERROR(__xludf.DUMMYFUNCTION("""COMPUTED_VALUE"""),"Harborstone Books")</f>
        <v>Harborstone Books</v>
      </c>
      <c r="E1916" s="2">
        <f>IFERROR(__xludf.DUMMYFUNCTION("""COMPUTED_VALUE"""),3.84)</f>
        <v>3.84</v>
      </c>
      <c r="F1916" s="2"/>
      <c r="G1916" s="2"/>
      <c r="H1916" s="2"/>
      <c r="I1916" s="2"/>
    </row>
    <row r="1917">
      <c r="A1917" s="2">
        <f>IFERROR(__xludf.DUMMYFUNCTION("""COMPUTED_VALUE"""),103058.0)</f>
        <v>103058</v>
      </c>
      <c r="B1917" s="2" t="str">
        <f>IFERROR(__xludf.DUMMYFUNCTION("""COMPUTED_VALUE"""),"Sports")</f>
        <v>Sports</v>
      </c>
      <c r="C1917" s="2" t="str">
        <f>IFERROR(__xludf.DUMMYFUNCTION("""COMPUTED_VALUE"""),"Mindfulness")</f>
        <v>Mindfulness</v>
      </c>
      <c r="D1917" s="2" t="str">
        <f>IFERROR(__xludf.DUMMYFUNCTION("""COMPUTED_VALUE"""),"Harborstone Books")</f>
        <v>Harborstone Books</v>
      </c>
      <c r="E1917" s="2">
        <f>IFERROR(__xludf.DUMMYFUNCTION("""COMPUTED_VALUE"""),3.67)</f>
        <v>3.67</v>
      </c>
      <c r="F1917" s="2"/>
      <c r="G1917" s="2"/>
      <c r="H1917" s="2"/>
      <c r="I1917" s="2"/>
    </row>
    <row r="1918">
      <c r="A1918" s="2">
        <f>IFERROR(__xludf.DUMMYFUNCTION("""COMPUTED_VALUE"""),117716.0)</f>
        <v>117716</v>
      </c>
      <c r="B1918" s="2" t="str">
        <f>IFERROR(__xludf.DUMMYFUNCTION("""COMPUTED_VALUE"""),"Sports")</f>
        <v>Sports</v>
      </c>
      <c r="C1918" s="2" t="str">
        <f>IFERROR(__xludf.DUMMYFUNCTION("""COMPUTED_VALUE"""),"Mindfulness")</f>
        <v>Mindfulness</v>
      </c>
      <c r="D1918" s="2" t="str">
        <f>IFERROR(__xludf.DUMMYFUNCTION("""COMPUTED_VALUE"""),"Harborstone Books")</f>
        <v>Harborstone Books</v>
      </c>
      <c r="E1918" s="2">
        <f>IFERROR(__xludf.DUMMYFUNCTION("""COMPUTED_VALUE"""),6.23)</f>
        <v>6.23</v>
      </c>
      <c r="F1918" s="2"/>
      <c r="G1918" s="2"/>
      <c r="H1918" s="2"/>
      <c r="I1918" s="2"/>
    </row>
    <row r="1919">
      <c r="A1919" s="2">
        <f>IFERROR(__xludf.DUMMYFUNCTION("""COMPUTED_VALUE"""),71287.0)</f>
        <v>71287</v>
      </c>
      <c r="B1919" s="2" t="str">
        <f>IFERROR(__xludf.DUMMYFUNCTION("""COMPUTED_VALUE"""),"Sports")</f>
        <v>Sports</v>
      </c>
      <c r="C1919" s="2" t="str">
        <f>IFERROR(__xludf.DUMMYFUNCTION("""COMPUTED_VALUE"""),"Mindfulness")</f>
        <v>Mindfulness</v>
      </c>
      <c r="D1919" s="2" t="str">
        <f>IFERROR(__xludf.DUMMYFUNCTION("""COMPUTED_VALUE"""),"Harborstone Books")</f>
        <v>Harborstone Books</v>
      </c>
      <c r="E1919" s="2">
        <f>IFERROR(__xludf.DUMMYFUNCTION("""COMPUTED_VALUE"""),5.33)</f>
        <v>5.33</v>
      </c>
      <c r="F1919" s="2"/>
      <c r="G1919" s="2"/>
      <c r="H1919" s="2"/>
      <c r="I1919" s="2"/>
    </row>
    <row r="1920">
      <c r="A1920" s="2">
        <f>IFERROR(__xludf.DUMMYFUNCTION("""COMPUTED_VALUE"""),110685.0)</f>
        <v>110685</v>
      </c>
      <c r="B1920" s="2" t="str">
        <f>IFERROR(__xludf.DUMMYFUNCTION("""COMPUTED_VALUE"""),"Sports")</f>
        <v>Sports</v>
      </c>
      <c r="C1920" s="2" t="str">
        <f>IFERROR(__xludf.DUMMYFUNCTION("""COMPUTED_VALUE"""),"Mindfulness")</f>
        <v>Mindfulness</v>
      </c>
      <c r="D1920" s="2" t="str">
        <f>IFERROR(__xludf.DUMMYFUNCTION("""COMPUTED_VALUE"""),"Harborstone Books")</f>
        <v>Harborstone Books</v>
      </c>
      <c r="E1920" s="2">
        <f>IFERROR(__xludf.DUMMYFUNCTION("""COMPUTED_VALUE"""),11.84)</f>
        <v>11.84</v>
      </c>
      <c r="F1920" s="2"/>
      <c r="G1920" s="2"/>
      <c r="H1920" s="2"/>
      <c r="I1920" s="2"/>
    </row>
    <row r="1921">
      <c r="A1921" s="2">
        <f>IFERROR(__xludf.DUMMYFUNCTION("""COMPUTED_VALUE"""),79335.0)</f>
        <v>79335</v>
      </c>
      <c r="B1921" s="2" t="str">
        <f>IFERROR(__xludf.DUMMYFUNCTION("""COMPUTED_VALUE"""),"Sports")</f>
        <v>Sports</v>
      </c>
      <c r="C1921" s="2" t="str">
        <f>IFERROR(__xludf.DUMMYFUNCTION("""COMPUTED_VALUE"""),"Mindfulness")</f>
        <v>Mindfulness</v>
      </c>
      <c r="D1921" s="2" t="str">
        <f>IFERROR(__xludf.DUMMYFUNCTION("""COMPUTED_VALUE"""),"Harborstone Books")</f>
        <v>Harborstone Books</v>
      </c>
      <c r="E1921" s="2">
        <f>IFERROR(__xludf.DUMMYFUNCTION("""COMPUTED_VALUE"""),7.6)</f>
        <v>7.6</v>
      </c>
      <c r="F1921" s="2"/>
      <c r="G1921" s="2"/>
      <c r="H1921" s="2"/>
      <c r="I1921" s="2"/>
    </row>
    <row r="1922">
      <c r="A1922" s="2">
        <f>IFERROR(__xludf.DUMMYFUNCTION("""COMPUTED_VALUE"""),45538.0)</f>
        <v>45538</v>
      </c>
      <c r="B1922" s="2" t="str">
        <f>IFERROR(__xludf.DUMMYFUNCTION("""COMPUTED_VALUE"""),"Sports")</f>
        <v>Sports</v>
      </c>
      <c r="C1922" s="2" t="str">
        <f>IFERROR(__xludf.DUMMYFUNCTION("""COMPUTED_VALUE"""),"Mindfulness")</f>
        <v>Mindfulness</v>
      </c>
      <c r="D1922" s="2" t="str">
        <f>IFERROR(__xludf.DUMMYFUNCTION("""COMPUTED_VALUE"""),"Harborstone Books")</f>
        <v>Harborstone Books</v>
      </c>
      <c r="E1922" s="2">
        <f>IFERROR(__xludf.DUMMYFUNCTION("""COMPUTED_VALUE"""),4.94)</f>
        <v>4.94</v>
      </c>
      <c r="F1922" s="2"/>
      <c r="G1922" s="2"/>
      <c r="H1922" s="2"/>
      <c r="I1922" s="2"/>
    </row>
    <row r="1923">
      <c r="A1923" s="2">
        <f>IFERROR(__xludf.DUMMYFUNCTION("""COMPUTED_VALUE"""),76691.0)</f>
        <v>76691</v>
      </c>
      <c r="B1923" s="2" t="str">
        <f>IFERROR(__xludf.DUMMYFUNCTION("""COMPUTED_VALUE"""),"Sports")</f>
        <v>Sports</v>
      </c>
      <c r="C1923" s="2" t="str">
        <f>IFERROR(__xludf.DUMMYFUNCTION("""COMPUTED_VALUE"""),"Mindfulness")</f>
        <v>Mindfulness</v>
      </c>
      <c r="D1923" s="2" t="str">
        <f>IFERROR(__xludf.DUMMYFUNCTION("""COMPUTED_VALUE"""),"Harborstone Books")</f>
        <v>Harborstone Books</v>
      </c>
      <c r="E1923" s="2">
        <f>IFERROR(__xludf.DUMMYFUNCTION("""COMPUTED_VALUE"""),6.51)</f>
        <v>6.51</v>
      </c>
      <c r="F1923" s="2"/>
      <c r="G1923" s="2"/>
      <c r="H1923" s="2"/>
      <c r="I1923" s="2"/>
    </row>
    <row r="1924">
      <c r="A1924" s="2">
        <f>IFERROR(__xludf.DUMMYFUNCTION("""COMPUTED_VALUE"""),2336.0)</f>
        <v>2336</v>
      </c>
      <c r="B1924" s="2" t="str">
        <f>IFERROR(__xludf.DUMMYFUNCTION("""COMPUTED_VALUE"""),"Sports")</f>
        <v>Sports</v>
      </c>
      <c r="C1924" s="2" t="str">
        <f>IFERROR(__xludf.DUMMYFUNCTION("""COMPUTED_VALUE"""),"Mindfulness")</f>
        <v>Mindfulness</v>
      </c>
      <c r="D1924" s="2" t="str">
        <f>IFERROR(__xludf.DUMMYFUNCTION("""COMPUTED_VALUE"""),"Harborstone Books")</f>
        <v>Harborstone Books</v>
      </c>
      <c r="E1924" s="2">
        <f>IFERROR(__xludf.DUMMYFUNCTION("""COMPUTED_VALUE"""),5.26)</f>
        <v>5.26</v>
      </c>
      <c r="F1924" s="2"/>
      <c r="G1924" s="2"/>
      <c r="H1924" s="2"/>
      <c r="I1924" s="2"/>
    </row>
    <row r="1925">
      <c r="A1925" s="2">
        <f>IFERROR(__xludf.DUMMYFUNCTION("""COMPUTED_VALUE"""),91912.0)</f>
        <v>91912</v>
      </c>
      <c r="B1925" s="2" t="str">
        <f>IFERROR(__xludf.DUMMYFUNCTION("""COMPUTED_VALUE"""),"Sports")</f>
        <v>Sports</v>
      </c>
      <c r="C1925" s="2" t="str">
        <f>IFERROR(__xludf.DUMMYFUNCTION("""COMPUTED_VALUE"""),"Mindfulness")</f>
        <v>Mindfulness</v>
      </c>
      <c r="D1925" s="2" t="str">
        <f>IFERROR(__xludf.DUMMYFUNCTION("""COMPUTED_VALUE"""),"Harborstone Books")</f>
        <v>Harborstone Books</v>
      </c>
      <c r="E1925" s="2">
        <f>IFERROR(__xludf.DUMMYFUNCTION("""COMPUTED_VALUE"""),4.48)</f>
        <v>4.48</v>
      </c>
      <c r="F1925" s="2"/>
      <c r="G1925" s="2"/>
      <c r="H1925" s="2"/>
      <c r="I1925" s="2"/>
    </row>
    <row r="1926">
      <c r="A1926" s="2">
        <f>IFERROR(__xludf.DUMMYFUNCTION("""COMPUTED_VALUE"""),110826.0)</f>
        <v>110826</v>
      </c>
      <c r="B1926" s="2" t="str">
        <f>IFERROR(__xludf.DUMMYFUNCTION("""COMPUTED_VALUE"""),"Sports")</f>
        <v>Sports</v>
      </c>
      <c r="C1926" s="2" t="str">
        <f>IFERROR(__xludf.DUMMYFUNCTION("""COMPUTED_VALUE"""),"Mindfulness")</f>
        <v>Mindfulness</v>
      </c>
      <c r="D1926" s="2" t="str">
        <f>IFERROR(__xludf.DUMMYFUNCTION("""COMPUTED_VALUE"""),"Harborstone Books")</f>
        <v>Harborstone Books</v>
      </c>
      <c r="E1926" s="2">
        <f>IFERROR(__xludf.DUMMYFUNCTION("""COMPUTED_VALUE"""),7.6)</f>
        <v>7.6</v>
      </c>
      <c r="F1926" s="2"/>
      <c r="G1926" s="2"/>
      <c r="H1926" s="2"/>
      <c r="I1926" s="2"/>
    </row>
    <row r="1927">
      <c r="A1927" s="2">
        <f>IFERROR(__xludf.DUMMYFUNCTION("""COMPUTED_VALUE"""),117710.0)</f>
        <v>117710</v>
      </c>
      <c r="B1927" s="2" t="str">
        <f>IFERROR(__xludf.DUMMYFUNCTION("""COMPUTED_VALUE"""),"Sports")</f>
        <v>Sports</v>
      </c>
      <c r="C1927" s="2" t="str">
        <f>IFERROR(__xludf.DUMMYFUNCTION("""COMPUTED_VALUE"""),"Mindfulness")</f>
        <v>Mindfulness</v>
      </c>
      <c r="D1927" s="2" t="str">
        <f>IFERROR(__xludf.DUMMYFUNCTION("""COMPUTED_VALUE"""),"Harborstone Books")</f>
        <v>Harborstone Books</v>
      </c>
      <c r="E1927" s="2">
        <f>IFERROR(__xludf.DUMMYFUNCTION("""COMPUTED_VALUE"""),4.27)</f>
        <v>4.27</v>
      </c>
      <c r="F1927" s="2"/>
      <c r="G1927" s="2"/>
      <c r="H1927" s="2"/>
      <c r="I1927" s="2"/>
    </row>
    <row r="1928">
      <c r="A1928" s="2">
        <f>IFERROR(__xludf.DUMMYFUNCTION("""COMPUTED_VALUE"""),3621.0)</f>
        <v>3621</v>
      </c>
      <c r="B1928" s="2" t="str">
        <f>IFERROR(__xludf.DUMMYFUNCTION("""COMPUTED_VALUE"""),"Sports")</f>
        <v>Sports</v>
      </c>
      <c r="C1928" s="2" t="str">
        <f>IFERROR(__xludf.DUMMYFUNCTION("""COMPUTED_VALUE"""),"Mindfulness")</f>
        <v>Mindfulness</v>
      </c>
      <c r="D1928" s="2" t="str">
        <f>IFERROR(__xludf.DUMMYFUNCTION("""COMPUTED_VALUE"""),"Harborstone Books")</f>
        <v>Harborstone Books</v>
      </c>
      <c r="E1928" s="2">
        <f>IFERROR(__xludf.DUMMYFUNCTION("""COMPUTED_VALUE"""),3.93)</f>
        <v>3.93</v>
      </c>
      <c r="F1928" s="2"/>
      <c r="G1928" s="2"/>
      <c r="H1928" s="2"/>
      <c r="I1928" s="2"/>
    </row>
    <row r="1929">
      <c r="A1929" s="2">
        <f>IFERROR(__xludf.DUMMYFUNCTION("""COMPUTED_VALUE"""),4179.0)</f>
        <v>4179</v>
      </c>
      <c r="B1929" s="2" t="str">
        <f>IFERROR(__xludf.DUMMYFUNCTION("""COMPUTED_VALUE"""),"Sports")</f>
        <v>Sports</v>
      </c>
      <c r="C1929" s="2" t="str">
        <f>IFERROR(__xludf.DUMMYFUNCTION("""COMPUTED_VALUE"""),"Mindfulness")</f>
        <v>Mindfulness</v>
      </c>
      <c r="D1929" s="2" t="str">
        <f>IFERROR(__xludf.DUMMYFUNCTION("""COMPUTED_VALUE"""),"Harborstone Books")</f>
        <v>Harborstone Books</v>
      </c>
      <c r="E1929" s="2">
        <f>IFERROR(__xludf.DUMMYFUNCTION("""COMPUTED_VALUE"""),6.78)</f>
        <v>6.78</v>
      </c>
      <c r="F1929" s="2"/>
      <c r="G1929" s="2"/>
      <c r="H1929" s="2"/>
      <c r="I1929" s="2"/>
    </row>
    <row r="1930">
      <c r="A1930" s="2">
        <f>IFERROR(__xludf.DUMMYFUNCTION("""COMPUTED_VALUE"""),89407.0)</f>
        <v>89407</v>
      </c>
      <c r="B1930" s="2" t="str">
        <f>IFERROR(__xludf.DUMMYFUNCTION("""COMPUTED_VALUE"""),"Sports")</f>
        <v>Sports</v>
      </c>
      <c r="C1930" s="2" t="str">
        <f>IFERROR(__xludf.DUMMYFUNCTION("""COMPUTED_VALUE"""),"Mindfulness")</f>
        <v>Mindfulness</v>
      </c>
      <c r="D1930" s="2" t="str">
        <f>IFERROR(__xludf.DUMMYFUNCTION("""COMPUTED_VALUE"""),"Harborstone Books")</f>
        <v>Harborstone Books</v>
      </c>
      <c r="E1930" s="2">
        <f>IFERROR(__xludf.DUMMYFUNCTION("""COMPUTED_VALUE"""),3.63)</f>
        <v>3.63</v>
      </c>
      <c r="F1930" s="2"/>
      <c r="G1930" s="2"/>
      <c r="H1930" s="2"/>
      <c r="I1930" s="2"/>
    </row>
    <row r="1931">
      <c r="A1931" s="2">
        <f>IFERROR(__xludf.DUMMYFUNCTION("""COMPUTED_VALUE"""),121190.0)</f>
        <v>121190</v>
      </c>
      <c r="B1931" s="2" t="str">
        <f>IFERROR(__xludf.DUMMYFUNCTION("""COMPUTED_VALUE"""),"Sports")</f>
        <v>Sports</v>
      </c>
      <c r="C1931" s="2" t="str">
        <f>IFERROR(__xludf.DUMMYFUNCTION("""COMPUTED_VALUE"""),"Mindfulness")</f>
        <v>Mindfulness</v>
      </c>
      <c r="D1931" s="2" t="str">
        <f>IFERROR(__xludf.DUMMYFUNCTION("""COMPUTED_VALUE"""),"Harborstone Books")</f>
        <v>Harborstone Books</v>
      </c>
      <c r="E1931" s="2">
        <f>IFERROR(__xludf.DUMMYFUNCTION("""COMPUTED_VALUE"""),6.35)</f>
        <v>6.35</v>
      </c>
      <c r="F1931" s="2"/>
      <c r="G1931" s="2"/>
      <c r="H1931" s="2"/>
      <c r="I1931" s="2"/>
    </row>
    <row r="1932">
      <c r="A1932" s="2">
        <f>IFERROR(__xludf.DUMMYFUNCTION("""COMPUTED_VALUE"""),45524.0)</f>
        <v>45524</v>
      </c>
      <c r="B1932" s="2" t="str">
        <f>IFERROR(__xludf.DUMMYFUNCTION("""COMPUTED_VALUE"""),"Sports")</f>
        <v>Sports</v>
      </c>
      <c r="C1932" s="2" t="str">
        <f>IFERROR(__xludf.DUMMYFUNCTION("""COMPUTED_VALUE"""),"Mindfulness")</f>
        <v>Mindfulness</v>
      </c>
      <c r="D1932" s="2" t="str">
        <f>IFERROR(__xludf.DUMMYFUNCTION("""COMPUTED_VALUE"""),"Harborstone Books")</f>
        <v>Harborstone Books</v>
      </c>
      <c r="E1932" s="2">
        <f>IFERROR(__xludf.DUMMYFUNCTION("""COMPUTED_VALUE"""),5.59)</f>
        <v>5.59</v>
      </c>
      <c r="F1932" s="2"/>
      <c r="G1932" s="2"/>
      <c r="H1932" s="2"/>
      <c r="I1932" s="2"/>
    </row>
    <row r="1933">
      <c r="A1933" s="2">
        <f>IFERROR(__xludf.DUMMYFUNCTION("""COMPUTED_VALUE"""),3634.0)</f>
        <v>3634</v>
      </c>
      <c r="B1933" s="2" t="str">
        <f>IFERROR(__xludf.DUMMYFUNCTION("""COMPUTED_VALUE"""),"Sports")</f>
        <v>Sports</v>
      </c>
      <c r="C1933" s="2" t="str">
        <f>IFERROR(__xludf.DUMMYFUNCTION("""COMPUTED_VALUE"""),"Mindfulness")</f>
        <v>Mindfulness</v>
      </c>
      <c r="D1933" s="2" t="str">
        <f>IFERROR(__xludf.DUMMYFUNCTION("""COMPUTED_VALUE"""),"Harborstone Books")</f>
        <v>Harborstone Books</v>
      </c>
      <c r="E1933" s="2">
        <f>IFERROR(__xludf.DUMMYFUNCTION("""COMPUTED_VALUE"""),3.76)</f>
        <v>3.76</v>
      </c>
      <c r="F1933" s="2"/>
      <c r="G1933" s="2"/>
      <c r="H1933" s="2"/>
      <c r="I1933" s="2"/>
    </row>
    <row r="1934">
      <c r="A1934" s="2">
        <f>IFERROR(__xludf.DUMMYFUNCTION("""COMPUTED_VALUE"""),104327.0)</f>
        <v>104327</v>
      </c>
      <c r="B1934" s="2" t="str">
        <f>IFERROR(__xludf.DUMMYFUNCTION("""COMPUTED_VALUE"""),"Sports")</f>
        <v>Sports</v>
      </c>
      <c r="C1934" s="2" t="str">
        <f>IFERROR(__xludf.DUMMYFUNCTION("""COMPUTED_VALUE"""),"Mindfulness")</f>
        <v>Mindfulness</v>
      </c>
      <c r="D1934" s="2" t="str">
        <f>IFERROR(__xludf.DUMMYFUNCTION("""COMPUTED_VALUE"""),"Harborstone Books")</f>
        <v>Harborstone Books</v>
      </c>
      <c r="E1934" s="2">
        <f>IFERROR(__xludf.DUMMYFUNCTION("""COMPUTED_VALUE"""),5.2)</f>
        <v>5.2</v>
      </c>
      <c r="F1934" s="2"/>
      <c r="G1934" s="2"/>
      <c r="H1934" s="2"/>
      <c r="I1934" s="2"/>
    </row>
    <row r="1935">
      <c r="A1935" s="2">
        <f>IFERROR(__xludf.DUMMYFUNCTION("""COMPUTED_VALUE"""),71282.0)</f>
        <v>71282</v>
      </c>
      <c r="B1935" s="2" t="str">
        <f>IFERROR(__xludf.DUMMYFUNCTION("""COMPUTED_VALUE"""),"Sports")</f>
        <v>Sports</v>
      </c>
      <c r="C1935" s="2" t="str">
        <f>IFERROR(__xludf.DUMMYFUNCTION("""COMPUTED_VALUE"""),"Mindfulness")</f>
        <v>Mindfulness</v>
      </c>
      <c r="D1935" s="2" t="str">
        <f>IFERROR(__xludf.DUMMYFUNCTION("""COMPUTED_VALUE"""),"Harborstone Books")</f>
        <v>Harborstone Books</v>
      </c>
      <c r="E1935" s="2">
        <f>IFERROR(__xludf.DUMMYFUNCTION("""COMPUTED_VALUE"""),3.95)</f>
        <v>3.95</v>
      </c>
      <c r="F1935" s="2"/>
      <c r="G1935" s="2"/>
      <c r="H1935" s="2"/>
      <c r="I1935" s="2"/>
    </row>
    <row r="1936">
      <c r="A1936" s="2">
        <f>IFERROR(__xludf.DUMMYFUNCTION("""COMPUTED_VALUE"""),89411.0)</f>
        <v>89411</v>
      </c>
      <c r="B1936" s="2" t="str">
        <f>IFERROR(__xludf.DUMMYFUNCTION("""COMPUTED_VALUE"""),"Sports")</f>
        <v>Sports</v>
      </c>
      <c r="C1936" s="2" t="str">
        <f>IFERROR(__xludf.DUMMYFUNCTION("""COMPUTED_VALUE"""),"Mindfulness")</f>
        <v>Mindfulness</v>
      </c>
      <c r="D1936" s="2" t="str">
        <f>IFERROR(__xludf.DUMMYFUNCTION("""COMPUTED_VALUE"""),"Harborstone Books")</f>
        <v>Harborstone Books</v>
      </c>
      <c r="E1936" s="2">
        <f>IFERROR(__xludf.DUMMYFUNCTION("""COMPUTED_VALUE"""),3.62)</f>
        <v>3.62</v>
      </c>
      <c r="F1936" s="2"/>
      <c r="G1936" s="2"/>
      <c r="H1936" s="2"/>
      <c r="I1936" s="2"/>
    </row>
    <row r="1937">
      <c r="A1937" s="2">
        <f>IFERROR(__xludf.DUMMYFUNCTION("""COMPUTED_VALUE"""),105361.0)</f>
        <v>105361</v>
      </c>
      <c r="B1937" s="2" t="str">
        <f>IFERROR(__xludf.DUMMYFUNCTION("""COMPUTED_VALUE"""),"Sports")</f>
        <v>Sports</v>
      </c>
      <c r="C1937" s="2" t="str">
        <f>IFERROR(__xludf.DUMMYFUNCTION("""COMPUTED_VALUE"""),"Mindfulness")</f>
        <v>Mindfulness</v>
      </c>
      <c r="D1937" s="2" t="str">
        <f>IFERROR(__xludf.DUMMYFUNCTION("""COMPUTED_VALUE"""),"Cedarstone Press")</f>
        <v>Cedarstone Press</v>
      </c>
      <c r="E1937" s="2">
        <f>IFERROR(__xludf.DUMMYFUNCTION("""COMPUTED_VALUE"""),7.39)</f>
        <v>7.39</v>
      </c>
      <c r="F1937" s="2"/>
      <c r="G1937" s="2"/>
      <c r="H1937" s="2"/>
      <c r="I1937" s="2"/>
    </row>
    <row r="1938">
      <c r="A1938" s="2">
        <f>IFERROR(__xludf.DUMMYFUNCTION("""COMPUTED_VALUE"""),105359.0)</f>
        <v>105359</v>
      </c>
      <c r="B1938" s="2" t="str">
        <f>IFERROR(__xludf.DUMMYFUNCTION("""COMPUTED_VALUE"""),"Sports")</f>
        <v>Sports</v>
      </c>
      <c r="C1938" s="2" t="str">
        <f>IFERROR(__xludf.DUMMYFUNCTION("""COMPUTED_VALUE"""),"Mindfulness")</f>
        <v>Mindfulness</v>
      </c>
      <c r="D1938" s="2" t="str">
        <f>IFERROR(__xludf.DUMMYFUNCTION("""COMPUTED_VALUE"""),"Cedarstone Press")</f>
        <v>Cedarstone Press</v>
      </c>
      <c r="E1938" s="2">
        <f>IFERROR(__xludf.DUMMYFUNCTION("""COMPUTED_VALUE"""),7.36)</f>
        <v>7.36</v>
      </c>
      <c r="F1938" s="2"/>
      <c r="G1938" s="2"/>
      <c r="H1938" s="2"/>
      <c r="I1938" s="2"/>
    </row>
    <row r="1939">
      <c r="A1939" s="2">
        <f>IFERROR(__xludf.DUMMYFUNCTION("""COMPUTED_VALUE"""),75174.0)</f>
        <v>75174</v>
      </c>
      <c r="B1939" s="2" t="str">
        <f>IFERROR(__xludf.DUMMYFUNCTION("""COMPUTED_VALUE"""),"Sports")</f>
        <v>Sports</v>
      </c>
      <c r="C1939" s="2" t="str">
        <f>IFERROR(__xludf.DUMMYFUNCTION("""COMPUTED_VALUE"""),"Mindfulness")</f>
        <v>Mindfulness</v>
      </c>
      <c r="D1939" s="2" t="str">
        <f>IFERROR(__xludf.DUMMYFUNCTION("""COMPUTED_VALUE"""),"Cedarstone Press")</f>
        <v>Cedarstone Press</v>
      </c>
      <c r="E1939" s="2">
        <f>IFERROR(__xludf.DUMMYFUNCTION("""COMPUTED_VALUE"""),3.66)</f>
        <v>3.66</v>
      </c>
      <c r="F1939" s="2"/>
      <c r="G1939" s="2"/>
      <c r="H1939" s="2"/>
      <c r="I1939" s="2"/>
    </row>
    <row r="1940">
      <c r="A1940" s="2">
        <f>IFERROR(__xludf.DUMMYFUNCTION("""COMPUTED_VALUE"""),11895.0)</f>
        <v>11895</v>
      </c>
      <c r="B1940" s="2" t="str">
        <f>IFERROR(__xludf.DUMMYFUNCTION("""COMPUTED_VALUE"""),"Sports")</f>
        <v>Sports</v>
      </c>
      <c r="C1940" s="2" t="str">
        <f>IFERROR(__xludf.DUMMYFUNCTION("""COMPUTED_VALUE"""),"Mindfulness")</f>
        <v>Mindfulness</v>
      </c>
      <c r="D1940" s="2" t="str">
        <f>IFERROR(__xludf.DUMMYFUNCTION("""COMPUTED_VALUE"""),"Cedarstone Press")</f>
        <v>Cedarstone Press</v>
      </c>
      <c r="E1940" s="2">
        <f>IFERROR(__xludf.DUMMYFUNCTION("""COMPUTED_VALUE"""),8.0)</f>
        <v>8</v>
      </c>
      <c r="F1940" s="2"/>
      <c r="G1940" s="2"/>
      <c r="H1940" s="2"/>
      <c r="I1940" s="2"/>
    </row>
    <row r="1941">
      <c r="A1941" s="2">
        <f>IFERROR(__xludf.DUMMYFUNCTION("""COMPUTED_VALUE"""),11812.0)</f>
        <v>11812</v>
      </c>
      <c r="B1941" s="2" t="str">
        <f>IFERROR(__xludf.DUMMYFUNCTION("""COMPUTED_VALUE"""),"Sports")</f>
        <v>Sports</v>
      </c>
      <c r="C1941" s="2" t="str">
        <f>IFERROR(__xludf.DUMMYFUNCTION("""COMPUTED_VALUE"""),"Mindfulness")</f>
        <v>Mindfulness</v>
      </c>
      <c r="D1941" s="2" t="str">
        <f>IFERROR(__xludf.DUMMYFUNCTION("""COMPUTED_VALUE"""),"Cedarstone Press")</f>
        <v>Cedarstone Press</v>
      </c>
      <c r="E1941" s="2">
        <f>IFERROR(__xludf.DUMMYFUNCTION("""COMPUTED_VALUE"""),4.84)</f>
        <v>4.84</v>
      </c>
      <c r="F1941" s="2"/>
      <c r="G1941" s="2"/>
      <c r="H1941" s="2"/>
      <c r="I1941" s="2"/>
    </row>
    <row r="1942">
      <c r="A1942" s="2">
        <f>IFERROR(__xludf.DUMMYFUNCTION("""COMPUTED_VALUE"""),11815.0)</f>
        <v>11815</v>
      </c>
      <c r="B1942" s="2" t="str">
        <f>IFERROR(__xludf.DUMMYFUNCTION("""COMPUTED_VALUE"""),"Sports")</f>
        <v>Sports</v>
      </c>
      <c r="C1942" s="2" t="str">
        <f>IFERROR(__xludf.DUMMYFUNCTION("""COMPUTED_VALUE"""),"Mindfulness")</f>
        <v>Mindfulness</v>
      </c>
      <c r="D1942" s="2" t="str">
        <f>IFERROR(__xludf.DUMMYFUNCTION("""COMPUTED_VALUE"""),"Brightstone Publishing")</f>
        <v>Brightstone Publishing</v>
      </c>
      <c r="E1942" s="2">
        <f>IFERROR(__xludf.DUMMYFUNCTION("""COMPUTED_VALUE"""),4.91)</f>
        <v>4.91</v>
      </c>
      <c r="F1942" s="2"/>
      <c r="G1942" s="2"/>
      <c r="H1942" s="2"/>
      <c r="I1942" s="2"/>
    </row>
    <row r="1943">
      <c r="A1943" s="2">
        <f>IFERROR(__xludf.DUMMYFUNCTION("""COMPUTED_VALUE"""),11784.0)</f>
        <v>11784</v>
      </c>
      <c r="B1943" s="2" t="str">
        <f>IFERROR(__xludf.DUMMYFUNCTION("""COMPUTED_VALUE"""),"Sports")</f>
        <v>Sports</v>
      </c>
      <c r="C1943" s="2" t="str">
        <f>IFERROR(__xludf.DUMMYFUNCTION("""COMPUTED_VALUE"""),"Mindfulness")</f>
        <v>Mindfulness</v>
      </c>
      <c r="D1943" s="2" t="str">
        <f>IFERROR(__xludf.DUMMYFUNCTION("""COMPUTED_VALUE"""),"Brightstone Publishing")</f>
        <v>Brightstone Publishing</v>
      </c>
      <c r="E1943" s="2">
        <f>IFERROR(__xludf.DUMMYFUNCTION("""COMPUTED_VALUE"""),4.69)</f>
        <v>4.69</v>
      </c>
      <c r="F1943" s="2"/>
      <c r="G1943" s="2"/>
      <c r="H1943" s="2"/>
      <c r="I1943" s="2"/>
    </row>
    <row r="1944">
      <c r="A1944" s="2">
        <f>IFERROR(__xludf.DUMMYFUNCTION("""COMPUTED_VALUE"""),89241.0)</f>
        <v>89241</v>
      </c>
      <c r="B1944" s="2" t="str">
        <f>IFERROR(__xludf.DUMMYFUNCTION("""COMPUTED_VALUE"""),"Sports")</f>
        <v>Sports</v>
      </c>
      <c r="C1944" s="2" t="str">
        <f>IFERROR(__xludf.DUMMYFUNCTION("""COMPUTED_VALUE"""),"Mindfulness")</f>
        <v>Mindfulness</v>
      </c>
      <c r="D1944" s="2" t="str">
        <f>IFERROR(__xludf.DUMMYFUNCTION("""COMPUTED_VALUE"""),"Brightstone Publishing")</f>
        <v>Brightstone Publishing</v>
      </c>
      <c r="E1944" s="2">
        <f>IFERROR(__xludf.DUMMYFUNCTION("""COMPUTED_VALUE"""),4.42)</f>
        <v>4.42</v>
      </c>
      <c r="F1944" s="2"/>
      <c r="G1944" s="2"/>
      <c r="H1944" s="2"/>
      <c r="I1944" s="2"/>
    </row>
    <row r="1945">
      <c r="A1945" s="2">
        <f>IFERROR(__xludf.DUMMYFUNCTION("""COMPUTED_VALUE"""),117688.0)</f>
        <v>117688</v>
      </c>
      <c r="B1945" s="2" t="str">
        <f>IFERROR(__xludf.DUMMYFUNCTION("""COMPUTED_VALUE"""),"Sports")</f>
        <v>Sports</v>
      </c>
      <c r="C1945" s="2" t="str">
        <f>IFERROR(__xludf.DUMMYFUNCTION("""COMPUTED_VALUE"""),"Mindfulness")</f>
        <v>Mindfulness</v>
      </c>
      <c r="D1945" s="2" t="str">
        <f>IFERROR(__xludf.DUMMYFUNCTION("""COMPUTED_VALUE"""),"Brightstone Publishing")</f>
        <v>Brightstone Publishing</v>
      </c>
      <c r="E1945" s="2">
        <f>IFERROR(__xludf.DUMMYFUNCTION("""COMPUTED_VALUE"""),5.91)</f>
        <v>5.91</v>
      </c>
      <c r="F1945" s="2"/>
      <c r="G1945" s="2"/>
      <c r="H1945" s="2"/>
      <c r="I1945" s="2"/>
    </row>
    <row r="1946">
      <c r="A1946" s="2">
        <f>IFERROR(__xludf.DUMMYFUNCTION("""COMPUTED_VALUE"""),77688.0)</f>
        <v>77688</v>
      </c>
      <c r="B1946" s="2" t="str">
        <f>IFERROR(__xludf.DUMMYFUNCTION("""COMPUTED_VALUE"""),"Sports")</f>
        <v>Sports</v>
      </c>
      <c r="C1946" s="2" t="str">
        <f>IFERROR(__xludf.DUMMYFUNCTION("""COMPUTED_VALUE"""),"Mindfulness")</f>
        <v>Mindfulness</v>
      </c>
      <c r="D1946" s="2" t="str">
        <f>IFERROR(__xludf.DUMMYFUNCTION("""COMPUTED_VALUE"""),"Brightstone Publishing")</f>
        <v>Brightstone Publishing</v>
      </c>
      <c r="E1946" s="2">
        <f>IFERROR(__xludf.DUMMYFUNCTION("""COMPUTED_VALUE"""),9.91)</f>
        <v>9.91</v>
      </c>
      <c r="F1946" s="2"/>
      <c r="G1946" s="2"/>
      <c r="H1946" s="2"/>
      <c r="I1946" s="2"/>
    </row>
    <row r="1947">
      <c r="A1947" s="2">
        <f>IFERROR(__xludf.DUMMYFUNCTION("""COMPUTED_VALUE"""),89282.0)</f>
        <v>89282</v>
      </c>
      <c r="B1947" s="2" t="str">
        <f>IFERROR(__xludf.DUMMYFUNCTION("""COMPUTED_VALUE"""),"Sports")</f>
        <v>Sports</v>
      </c>
      <c r="C1947" s="2" t="str">
        <f>IFERROR(__xludf.DUMMYFUNCTION("""COMPUTED_VALUE"""),"Mindfulness")</f>
        <v>Mindfulness</v>
      </c>
      <c r="D1947" s="2" t="str">
        <f>IFERROR(__xludf.DUMMYFUNCTION("""COMPUTED_VALUE"""),"Brightstone Publishing")</f>
        <v>Brightstone Publishing</v>
      </c>
      <c r="E1947" s="2">
        <f>IFERROR(__xludf.DUMMYFUNCTION("""COMPUTED_VALUE"""),9.47)</f>
        <v>9.47</v>
      </c>
      <c r="F1947" s="2"/>
      <c r="G1947" s="2"/>
      <c r="H1947" s="2"/>
      <c r="I1947" s="2"/>
    </row>
    <row r="1948">
      <c r="A1948" s="2">
        <f>IFERROR(__xludf.DUMMYFUNCTION("""COMPUTED_VALUE"""),11769.0)</f>
        <v>11769</v>
      </c>
      <c r="B1948" s="2" t="str">
        <f>IFERROR(__xludf.DUMMYFUNCTION("""COMPUTED_VALUE"""),"Sports")</f>
        <v>Sports</v>
      </c>
      <c r="C1948" s="2" t="str">
        <f>IFERROR(__xludf.DUMMYFUNCTION("""COMPUTED_VALUE"""),"Mindfulness")</f>
        <v>Mindfulness</v>
      </c>
      <c r="D1948" s="2" t="str">
        <f>IFERROR(__xludf.DUMMYFUNCTION("""COMPUTED_VALUE"""),"Brightstone Publishing")</f>
        <v>Brightstone Publishing</v>
      </c>
      <c r="E1948" s="2">
        <f>IFERROR(__xludf.DUMMYFUNCTION("""COMPUTED_VALUE"""),6.87)</f>
        <v>6.87</v>
      </c>
      <c r="F1948" s="2"/>
      <c r="G1948" s="2"/>
      <c r="H1948" s="2"/>
      <c r="I1948" s="2"/>
    </row>
    <row r="1949">
      <c r="A1949" s="2">
        <f>IFERROR(__xludf.DUMMYFUNCTION("""COMPUTED_VALUE"""),117544.0)</f>
        <v>117544</v>
      </c>
      <c r="B1949" s="2" t="str">
        <f>IFERROR(__xludf.DUMMYFUNCTION("""COMPUTED_VALUE"""),"Sports")</f>
        <v>Sports</v>
      </c>
      <c r="C1949" s="2" t="str">
        <f>IFERROR(__xludf.DUMMYFUNCTION("""COMPUTED_VALUE"""),"Mindfulness")</f>
        <v>Mindfulness</v>
      </c>
      <c r="D1949" s="2" t="str">
        <f>IFERROR(__xludf.DUMMYFUNCTION("""COMPUTED_VALUE"""),"Brightstone Publishing")</f>
        <v>Brightstone Publishing</v>
      </c>
      <c r="E1949" s="2">
        <f>IFERROR(__xludf.DUMMYFUNCTION("""COMPUTED_VALUE"""),5.57)</f>
        <v>5.57</v>
      </c>
      <c r="F1949" s="2"/>
      <c r="G1949" s="2"/>
      <c r="H1949" s="2"/>
      <c r="I1949" s="2"/>
    </row>
    <row r="1950">
      <c r="A1950" s="2">
        <f>IFERROR(__xludf.DUMMYFUNCTION("""COMPUTED_VALUE"""),94860.0)</f>
        <v>94860</v>
      </c>
      <c r="B1950" s="2" t="str">
        <f>IFERROR(__xludf.DUMMYFUNCTION("""COMPUTED_VALUE"""),"Sports")</f>
        <v>Sports</v>
      </c>
      <c r="C1950" s="2" t="str">
        <f>IFERROR(__xludf.DUMMYFUNCTION("""COMPUTED_VALUE"""),"Mindfulness")</f>
        <v>Mindfulness</v>
      </c>
      <c r="D1950" s="2" t="str">
        <f>IFERROR(__xludf.DUMMYFUNCTION("""COMPUTED_VALUE"""),"Brightstone Publishing")</f>
        <v>Brightstone Publishing</v>
      </c>
      <c r="E1950" s="2">
        <f>IFERROR(__xludf.DUMMYFUNCTION("""COMPUTED_VALUE"""),3.95)</f>
        <v>3.95</v>
      </c>
      <c r="F1950" s="2"/>
      <c r="G1950" s="2"/>
      <c r="H1950" s="2"/>
      <c r="I1950" s="2"/>
    </row>
    <row r="1951">
      <c r="A1951" s="2">
        <f>IFERROR(__xludf.DUMMYFUNCTION("""COMPUTED_VALUE"""),79041.0)</f>
        <v>79041</v>
      </c>
      <c r="B1951" s="2" t="str">
        <f>IFERROR(__xludf.DUMMYFUNCTION("""COMPUTED_VALUE"""),"Sports")</f>
        <v>Sports</v>
      </c>
      <c r="C1951" s="2" t="str">
        <f>IFERROR(__xludf.DUMMYFUNCTION("""COMPUTED_VALUE"""),"Mindfulness")</f>
        <v>Mindfulness</v>
      </c>
      <c r="D1951" s="2" t="str">
        <f>IFERROR(__xludf.DUMMYFUNCTION("""COMPUTED_VALUE"""),"Brightstone Publishing")</f>
        <v>Brightstone Publishing</v>
      </c>
      <c r="E1951" s="2">
        <f>IFERROR(__xludf.DUMMYFUNCTION("""COMPUTED_VALUE"""),4.78)</f>
        <v>4.78</v>
      </c>
      <c r="F1951" s="2"/>
      <c r="G1951" s="2"/>
      <c r="H1951" s="2"/>
      <c r="I1951" s="2"/>
    </row>
    <row r="1952">
      <c r="A1952" s="2">
        <f>IFERROR(__xludf.DUMMYFUNCTION("""COMPUTED_VALUE"""),117686.0)</f>
        <v>117686</v>
      </c>
      <c r="B1952" s="2" t="str">
        <f>IFERROR(__xludf.DUMMYFUNCTION("""COMPUTED_VALUE"""),"Sports")</f>
        <v>Sports</v>
      </c>
      <c r="C1952" s="2" t="str">
        <f>IFERROR(__xludf.DUMMYFUNCTION("""COMPUTED_VALUE"""),"Mindfulness")</f>
        <v>Mindfulness</v>
      </c>
      <c r="D1952" s="2" t="str">
        <f>IFERROR(__xludf.DUMMYFUNCTION("""COMPUTED_VALUE"""),"Brightstone Publishing")</f>
        <v>Brightstone Publishing</v>
      </c>
      <c r="E1952" s="2">
        <f>IFERROR(__xludf.DUMMYFUNCTION("""COMPUTED_VALUE"""),4.39)</f>
        <v>4.39</v>
      </c>
      <c r="F1952" s="2"/>
      <c r="G1952" s="2"/>
      <c r="H1952" s="2"/>
      <c r="I1952" s="2"/>
    </row>
    <row r="1953">
      <c r="A1953" s="2">
        <f>IFERROR(__xludf.DUMMYFUNCTION("""COMPUTED_VALUE"""),89299.0)</f>
        <v>89299</v>
      </c>
      <c r="B1953" s="2" t="str">
        <f>IFERROR(__xludf.DUMMYFUNCTION("""COMPUTED_VALUE"""),"Sports")</f>
        <v>Sports</v>
      </c>
      <c r="C1953" s="2" t="str">
        <f>IFERROR(__xludf.DUMMYFUNCTION("""COMPUTED_VALUE"""),"Mindfulness")</f>
        <v>Mindfulness</v>
      </c>
      <c r="D1953" s="2" t="str">
        <f>IFERROR(__xludf.DUMMYFUNCTION("""COMPUTED_VALUE"""),"Brightstone Publishing")</f>
        <v>Brightstone Publishing</v>
      </c>
      <c r="E1953" s="2">
        <f>IFERROR(__xludf.DUMMYFUNCTION("""COMPUTED_VALUE"""),3.2)</f>
        <v>3.2</v>
      </c>
      <c r="F1953" s="2"/>
      <c r="G1953" s="2"/>
      <c r="H1953" s="2"/>
      <c r="I1953" s="2"/>
    </row>
    <row r="1954">
      <c r="A1954" s="2">
        <f>IFERROR(__xludf.DUMMYFUNCTION("""COMPUTED_VALUE"""),11823.0)</f>
        <v>11823</v>
      </c>
      <c r="B1954" s="2" t="str">
        <f>IFERROR(__xludf.DUMMYFUNCTION("""COMPUTED_VALUE"""),"Sports")</f>
        <v>Sports</v>
      </c>
      <c r="C1954" s="2" t="str">
        <f>IFERROR(__xludf.DUMMYFUNCTION("""COMPUTED_VALUE"""),"Mindfulness")</f>
        <v>Mindfulness</v>
      </c>
      <c r="D1954" s="2" t="str">
        <f>IFERROR(__xludf.DUMMYFUNCTION("""COMPUTED_VALUE"""),"Brightstone Publishing")</f>
        <v>Brightstone Publishing</v>
      </c>
      <c r="E1954" s="2">
        <f>IFERROR(__xludf.DUMMYFUNCTION("""COMPUTED_VALUE"""),7.09)</f>
        <v>7.09</v>
      </c>
      <c r="F1954" s="2"/>
      <c r="G1954" s="2"/>
      <c r="H1954" s="2"/>
      <c r="I1954" s="2"/>
    </row>
    <row r="1955">
      <c r="A1955" s="2">
        <f>IFERROR(__xludf.DUMMYFUNCTION("""COMPUTED_VALUE"""),117543.0)</f>
        <v>117543</v>
      </c>
      <c r="B1955" s="2" t="str">
        <f>IFERROR(__xludf.DUMMYFUNCTION("""COMPUTED_VALUE"""),"Sports")</f>
        <v>Sports</v>
      </c>
      <c r="C1955" s="2" t="str">
        <f>IFERROR(__xludf.DUMMYFUNCTION("""COMPUTED_VALUE"""),"Mindfulness")</f>
        <v>Mindfulness</v>
      </c>
      <c r="D1955" s="2" t="str">
        <f>IFERROR(__xludf.DUMMYFUNCTION("""COMPUTED_VALUE"""),"Brightstone Publishing")</f>
        <v>Brightstone Publishing</v>
      </c>
      <c r="E1955" s="2">
        <f>IFERROR(__xludf.DUMMYFUNCTION("""COMPUTED_VALUE"""),4.99)</f>
        <v>4.99</v>
      </c>
      <c r="F1955" s="2"/>
      <c r="G1955" s="2"/>
      <c r="H1955" s="2"/>
      <c r="I1955" s="2"/>
    </row>
    <row r="1956">
      <c r="A1956" s="2">
        <f>IFERROR(__xludf.DUMMYFUNCTION("""COMPUTED_VALUE"""),11765.0)</f>
        <v>11765</v>
      </c>
      <c r="B1956" s="2" t="str">
        <f>IFERROR(__xludf.DUMMYFUNCTION("""COMPUTED_VALUE"""),"Sports")</f>
        <v>Sports</v>
      </c>
      <c r="C1956" s="2" t="str">
        <f>IFERROR(__xludf.DUMMYFUNCTION("""COMPUTED_VALUE"""),"Mindfulness")</f>
        <v>Mindfulness</v>
      </c>
      <c r="D1956" s="2" t="str">
        <f>IFERROR(__xludf.DUMMYFUNCTION("""COMPUTED_VALUE"""),"Brightstone Publishing")</f>
        <v>Brightstone Publishing</v>
      </c>
      <c r="E1956" s="2">
        <f>IFERROR(__xludf.DUMMYFUNCTION("""COMPUTED_VALUE"""),3.97)</f>
        <v>3.97</v>
      </c>
      <c r="F1956" s="2"/>
      <c r="G1956" s="2"/>
      <c r="H1956" s="2"/>
      <c r="I1956" s="2"/>
    </row>
    <row r="1957">
      <c r="A1957" s="2">
        <f>IFERROR(__xludf.DUMMYFUNCTION("""COMPUTED_VALUE"""),121519.0)</f>
        <v>121519</v>
      </c>
      <c r="B1957" s="2" t="str">
        <f>IFERROR(__xludf.DUMMYFUNCTION("""COMPUTED_VALUE"""),"Sports")</f>
        <v>Sports</v>
      </c>
      <c r="C1957" s="2" t="str">
        <f>IFERROR(__xludf.DUMMYFUNCTION("""COMPUTED_VALUE"""),"Mindfulness")</f>
        <v>Mindfulness</v>
      </c>
      <c r="D1957" s="2" t="str">
        <f>IFERROR(__xludf.DUMMYFUNCTION("""COMPUTED_VALUE"""),"Brightstone Publishing")</f>
        <v>Brightstone Publishing</v>
      </c>
      <c r="E1957" s="2">
        <f>IFERROR(__xludf.DUMMYFUNCTION("""COMPUTED_VALUE"""),3.77)</f>
        <v>3.77</v>
      </c>
      <c r="F1957" s="2"/>
      <c r="G1957" s="2"/>
      <c r="H1957" s="2"/>
      <c r="I1957" s="2"/>
    </row>
    <row r="1958">
      <c r="A1958" s="2">
        <f>IFERROR(__xludf.DUMMYFUNCTION("""COMPUTED_VALUE"""),71276.0)</f>
        <v>71276</v>
      </c>
      <c r="B1958" s="2" t="str">
        <f>IFERROR(__xludf.DUMMYFUNCTION("""COMPUTED_VALUE"""),"Sports")</f>
        <v>Sports</v>
      </c>
      <c r="C1958" s="2" t="str">
        <f>IFERROR(__xludf.DUMMYFUNCTION("""COMPUTED_VALUE"""),"Mindfulness")</f>
        <v>Mindfulness</v>
      </c>
      <c r="D1958" s="2" t="str">
        <f>IFERROR(__xludf.DUMMYFUNCTION("""COMPUTED_VALUE"""),"Brightstone Publishing")</f>
        <v>Brightstone Publishing</v>
      </c>
      <c r="E1958" s="2">
        <f>IFERROR(__xludf.DUMMYFUNCTION("""COMPUTED_VALUE"""),2.93)</f>
        <v>2.93</v>
      </c>
      <c r="F1958" s="2"/>
      <c r="G1958" s="2"/>
      <c r="H1958" s="2"/>
      <c r="I1958" s="2"/>
    </row>
    <row r="1959">
      <c r="A1959" s="2">
        <f>IFERROR(__xludf.DUMMYFUNCTION("""COMPUTED_VALUE"""),120135.0)</f>
        <v>120135</v>
      </c>
      <c r="B1959" s="2" t="str">
        <f>IFERROR(__xludf.DUMMYFUNCTION("""COMPUTED_VALUE"""),"Sports")</f>
        <v>Sports</v>
      </c>
      <c r="C1959" s="2" t="str">
        <f>IFERROR(__xludf.DUMMYFUNCTION("""COMPUTED_VALUE"""),"Mindfulness")</f>
        <v>Mindfulness</v>
      </c>
      <c r="D1959" s="2" t="str">
        <f>IFERROR(__xludf.DUMMYFUNCTION("""COMPUTED_VALUE"""),"Brightstone Publishing")</f>
        <v>Brightstone Publishing</v>
      </c>
      <c r="E1959" s="2">
        <f>IFERROR(__xludf.DUMMYFUNCTION("""COMPUTED_VALUE"""),3.49)</f>
        <v>3.49</v>
      </c>
      <c r="F1959" s="2"/>
      <c r="G1959" s="2"/>
      <c r="H1959" s="2"/>
      <c r="I1959" s="2"/>
    </row>
    <row r="1960">
      <c r="A1960" s="2">
        <f>IFERROR(__xludf.DUMMYFUNCTION("""COMPUTED_VALUE"""),116793.0)</f>
        <v>116793</v>
      </c>
      <c r="B1960" s="2" t="str">
        <f>IFERROR(__xludf.DUMMYFUNCTION("""COMPUTED_VALUE"""),"Sports")</f>
        <v>Sports</v>
      </c>
      <c r="C1960" s="2" t="str">
        <f>IFERROR(__xludf.DUMMYFUNCTION("""COMPUTED_VALUE"""),"Mindfulness")</f>
        <v>Mindfulness</v>
      </c>
      <c r="D1960" s="2" t="str">
        <f>IFERROR(__xludf.DUMMYFUNCTION("""COMPUTED_VALUE"""),"Brightstone Publishing")</f>
        <v>Brightstone Publishing</v>
      </c>
      <c r="E1960" s="2">
        <f>IFERROR(__xludf.DUMMYFUNCTION("""COMPUTED_VALUE"""),4.36)</f>
        <v>4.36</v>
      </c>
      <c r="F1960" s="2"/>
      <c r="G1960" s="2"/>
      <c r="H1960" s="2"/>
      <c r="I1960" s="2"/>
    </row>
    <row r="1961">
      <c r="A1961" s="2">
        <f>IFERROR(__xludf.DUMMYFUNCTION("""COMPUTED_VALUE"""),11774.0)</f>
        <v>11774</v>
      </c>
      <c r="B1961" s="2" t="str">
        <f>IFERROR(__xludf.DUMMYFUNCTION("""COMPUTED_VALUE"""),"Sports")</f>
        <v>Sports</v>
      </c>
      <c r="C1961" s="2" t="str">
        <f>IFERROR(__xludf.DUMMYFUNCTION("""COMPUTED_VALUE"""),"Mindfulness")</f>
        <v>Mindfulness</v>
      </c>
      <c r="D1961" s="2" t="str">
        <f>IFERROR(__xludf.DUMMYFUNCTION("""COMPUTED_VALUE"""),"Brightstone Publishing")</f>
        <v>Brightstone Publishing</v>
      </c>
      <c r="E1961" s="2">
        <f>IFERROR(__xludf.DUMMYFUNCTION("""COMPUTED_VALUE"""),2.32)</f>
        <v>2.32</v>
      </c>
      <c r="F1961" s="2"/>
      <c r="G1961" s="2"/>
      <c r="H1961" s="2"/>
      <c r="I1961" s="2"/>
    </row>
    <row r="1962">
      <c r="A1962" s="2">
        <f>IFERROR(__xludf.DUMMYFUNCTION("""COMPUTED_VALUE"""),11900.0)</f>
        <v>11900</v>
      </c>
      <c r="B1962" s="2" t="str">
        <f>IFERROR(__xludf.DUMMYFUNCTION("""COMPUTED_VALUE"""),"Sports")</f>
        <v>Sports</v>
      </c>
      <c r="C1962" s="2" t="str">
        <f>IFERROR(__xludf.DUMMYFUNCTION("""COMPUTED_VALUE"""),"Mindfulness")</f>
        <v>Mindfulness</v>
      </c>
      <c r="D1962" s="2" t="str">
        <f>IFERROR(__xludf.DUMMYFUNCTION("""COMPUTED_VALUE"""),"Brightstone Publishing")</f>
        <v>Brightstone Publishing</v>
      </c>
      <c r="E1962" s="2">
        <f>IFERROR(__xludf.DUMMYFUNCTION("""COMPUTED_VALUE"""),3.39)</f>
        <v>3.39</v>
      </c>
      <c r="F1962" s="2"/>
      <c r="G1962" s="2"/>
      <c r="H1962" s="2"/>
      <c r="I1962" s="2"/>
    </row>
    <row r="1963">
      <c r="A1963" s="2">
        <f>IFERROR(__xludf.DUMMYFUNCTION("""COMPUTED_VALUE"""),11809.0)</f>
        <v>11809</v>
      </c>
      <c r="B1963" s="2" t="str">
        <f>IFERROR(__xludf.DUMMYFUNCTION("""COMPUTED_VALUE"""),"Sports")</f>
        <v>Sports</v>
      </c>
      <c r="C1963" s="2" t="str">
        <f>IFERROR(__xludf.DUMMYFUNCTION("""COMPUTED_VALUE"""),"Mindfulness")</f>
        <v>Mindfulness</v>
      </c>
      <c r="D1963" s="2" t="str">
        <f>IFERROR(__xludf.DUMMYFUNCTION("""COMPUTED_VALUE"""),"Brightstone Publishing")</f>
        <v>Brightstone Publishing</v>
      </c>
      <c r="E1963" s="2">
        <f>IFERROR(__xludf.DUMMYFUNCTION("""COMPUTED_VALUE"""),3.37)</f>
        <v>3.37</v>
      </c>
      <c r="F1963" s="2"/>
      <c r="G1963" s="2"/>
      <c r="H1963" s="2"/>
      <c r="I1963" s="2"/>
    </row>
    <row r="1964">
      <c r="A1964" s="2">
        <f>IFERROR(__xludf.DUMMYFUNCTION("""COMPUTED_VALUE"""),117642.0)</f>
        <v>117642</v>
      </c>
      <c r="B1964" s="2" t="str">
        <f>IFERROR(__xludf.DUMMYFUNCTION("""COMPUTED_VALUE"""),"Sports")</f>
        <v>Sports</v>
      </c>
      <c r="C1964" s="2" t="str">
        <f>IFERROR(__xludf.DUMMYFUNCTION("""COMPUTED_VALUE"""),"Mindfulness")</f>
        <v>Mindfulness</v>
      </c>
      <c r="D1964" s="2" t="str">
        <f>IFERROR(__xludf.DUMMYFUNCTION("""COMPUTED_VALUE"""),"Brightstone Publishing")</f>
        <v>Brightstone Publishing</v>
      </c>
      <c r="E1964" s="2">
        <f>IFERROR(__xludf.DUMMYFUNCTION("""COMPUTED_VALUE"""),6.19)</f>
        <v>6.19</v>
      </c>
      <c r="F1964" s="2"/>
      <c r="G1964" s="2"/>
      <c r="H1964" s="2"/>
      <c r="I1964" s="2"/>
    </row>
    <row r="1965">
      <c r="A1965" s="2">
        <f>IFERROR(__xludf.DUMMYFUNCTION("""COMPUTED_VALUE"""),71259.0)</f>
        <v>71259</v>
      </c>
      <c r="B1965" s="2" t="str">
        <f>IFERROR(__xludf.DUMMYFUNCTION("""COMPUTED_VALUE"""),"Sports")</f>
        <v>Sports</v>
      </c>
      <c r="C1965" s="2" t="str">
        <f>IFERROR(__xludf.DUMMYFUNCTION("""COMPUTED_VALUE"""),"Mindfulness")</f>
        <v>Mindfulness</v>
      </c>
      <c r="D1965" s="2" t="str">
        <f>IFERROR(__xludf.DUMMYFUNCTION("""COMPUTED_VALUE"""),"Brightstone Publishing")</f>
        <v>Brightstone Publishing</v>
      </c>
      <c r="E1965" s="2">
        <f>IFERROR(__xludf.DUMMYFUNCTION("""COMPUTED_VALUE"""),4.71)</f>
        <v>4.71</v>
      </c>
      <c r="F1965" s="2"/>
      <c r="G1965" s="2"/>
      <c r="H1965" s="2"/>
      <c r="I1965" s="2"/>
    </row>
    <row r="1966">
      <c r="A1966" s="2">
        <f>IFERROR(__xludf.DUMMYFUNCTION("""COMPUTED_VALUE"""),79047.0)</f>
        <v>79047</v>
      </c>
      <c r="B1966" s="2" t="str">
        <f>IFERROR(__xludf.DUMMYFUNCTION("""COMPUTED_VALUE"""),"Sports")</f>
        <v>Sports</v>
      </c>
      <c r="C1966" s="2" t="str">
        <f>IFERROR(__xludf.DUMMYFUNCTION("""COMPUTED_VALUE"""),"Mindfulness")</f>
        <v>Mindfulness</v>
      </c>
      <c r="D1966" s="2" t="str">
        <f>IFERROR(__xludf.DUMMYFUNCTION("""COMPUTED_VALUE"""),"Brightstone Publishing")</f>
        <v>Brightstone Publishing</v>
      </c>
      <c r="E1966" s="2">
        <f>IFERROR(__xludf.DUMMYFUNCTION("""COMPUTED_VALUE"""),7.64)</f>
        <v>7.64</v>
      </c>
      <c r="F1966" s="2"/>
      <c r="G1966" s="2"/>
      <c r="H1966" s="2"/>
      <c r="I1966" s="2"/>
    </row>
    <row r="1967">
      <c r="A1967" s="2">
        <f>IFERROR(__xludf.DUMMYFUNCTION("""COMPUTED_VALUE"""),11796.0)</f>
        <v>11796</v>
      </c>
      <c r="B1967" s="2" t="str">
        <f>IFERROR(__xludf.DUMMYFUNCTION("""COMPUTED_VALUE"""),"Sports")</f>
        <v>Sports</v>
      </c>
      <c r="C1967" s="2" t="str">
        <f>IFERROR(__xludf.DUMMYFUNCTION("""COMPUTED_VALUE"""),"Mindfulness")</f>
        <v>Mindfulness</v>
      </c>
      <c r="D1967" s="2" t="str">
        <f>IFERROR(__xludf.DUMMYFUNCTION("""COMPUTED_VALUE"""),"Brightstone Publishing")</f>
        <v>Brightstone Publishing</v>
      </c>
      <c r="E1967" s="2">
        <f>IFERROR(__xludf.DUMMYFUNCTION("""COMPUTED_VALUE"""),2.89)</f>
        <v>2.89</v>
      </c>
      <c r="F1967" s="2"/>
      <c r="G1967" s="2"/>
      <c r="H1967" s="2"/>
      <c r="I1967" s="2"/>
    </row>
    <row r="1968">
      <c r="A1968" s="2">
        <f>IFERROR(__xludf.DUMMYFUNCTION("""COMPUTED_VALUE"""),79043.0)</f>
        <v>79043</v>
      </c>
      <c r="B1968" s="2" t="str">
        <f>IFERROR(__xludf.DUMMYFUNCTION("""COMPUTED_VALUE"""),"Sports")</f>
        <v>Sports</v>
      </c>
      <c r="C1968" s="2" t="str">
        <f>IFERROR(__xludf.DUMMYFUNCTION("""COMPUTED_VALUE"""),"Mindfulness")</f>
        <v>Mindfulness</v>
      </c>
      <c r="D1968" s="2" t="str">
        <f>IFERROR(__xludf.DUMMYFUNCTION("""COMPUTED_VALUE"""),"Brightstone Publishing")</f>
        <v>Brightstone Publishing</v>
      </c>
      <c r="E1968" s="2">
        <f>IFERROR(__xludf.DUMMYFUNCTION("""COMPUTED_VALUE"""),7.4)</f>
        <v>7.4</v>
      </c>
      <c r="F1968" s="2"/>
      <c r="G1968" s="2"/>
      <c r="H1968" s="2"/>
      <c r="I1968" s="2"/>
    </row>
    <row r="1969">
      <c r="A1969" s="2">
        <f>IFERROR(__xludf.DUMMYFUNCTION("""COMPUTED_VALUE"""),89246.0)</f>
        <v>89246</v>
      </c>
      <c r="B1969" s="2" t="str">
        <f>IFERROR(__xludf.DUMMYFUNCTION("""COMPUTED_VALUE"""),"Sports")</f>
        <v>Sports</v>
      </c>
      <c r="C1969" s="2" t="str">
        <f>IFERROR(__xludf.DUMMYFUNCTION("""COMPUTED_VALUE"""),"Mindfulness")</f>
        <v>Mindfulness</v>
      </c>
      <c r="D1969" s="2" t="str">
        <f>IFERROR(__xludf.DUMMYFUNCTION("""COMPUTED_VALUE"""),"Brightstone Publishing")</f>
        <v>Brightstone Publishing</v>
      </c>
      <c r="E1969" s="2">
        <f>IFERROR(__xludf.DUMMYFUNCTION("""COMPUTED_VALUE"""),3.85)</f>
        <v>3.85</v>
      </c>
      <c r="F1969" s="2"/>
      <c r="G1969" s="2"/>
      <c r="H1969" s="2"/>
      <c r="I1969" s="2"/>
    </row>
    <row r="1970">
      <c r="A1970" s="2">
        <f>IFERROR(__xludf.DUMMYFUNCTION("""COMPUTED_VALUE"""),71275.0)</f>
        <v>71275</v>
      </c>
      <c r="B1970" s="2" t="str">
        <f>IFERROR(__xludf.DUMMYFUNCTION("""COMPUTED_VALUE"""),"Sports")</f>
        <v>Sports</v>
      </c>
      <c r="C1970" s="2" t="str">
        <f>IFERROR(__xludf.DUMMYFUNCTION("""COMPUTED_VALUE"""),"Mindfulness")</f>
        <v>Mindfulness</v>
      </c>
      <c r="D1970" s="2" t="str">
        <f>IFERROR(__xludf.DUMMYFUNCTION("""COMPUTED_VALUE"""),"Brightstone Publishing")</f>
        <v>Brightstone Publishing</v>
      </c>
      <c r="E1970" s="2">
        <f>IFERROR(__xludf.DUMMYFUNCTION("""COMPUTED_VALUE"""),4.36)</f>
        <v>4.36</v>
      </c>
      <c r="F1970" s="2"/>
      <c r="G1970" s="2"/>
      <c r="H1970" s="2"/>
      <c r="I1970" s="2"/>
    </row>
    <row r="1971">
      <c r="A1971" s="2">
        <f>IFERROR(__xludf.DUMMYFUNCTION("""COMPUTED_VALUE"""),11800.0)</f>
        <v>11800</v>
      </c>
      <c r="B1971" s="2" t="str">
        <f>IFERROR(__xludf.DUMMYFUNCTION("""COMPUTED_VALUE"""),"Sports")</f>
        <v>Sports</v>
      </c>
      <c r="C1971" s="2" t="str">
        <f>IFERROR(__xludf.DUMMYFUNCTION("""COMPUTED_VALUE"""),"Mindfulness")</f>
        <v>Mindfulness</v>
      </c>
      <c r="D1971" s="2" t="str">
        <f>IFERROR(__xludf.DUMMYFUNCTION("""COMPUTED_VALUE"""),"Brightstone Publishing")</f>
        <v>Brightstone Publishing</v>
      </c>
      <c r="E1971" s="2">
        <f>IFERROR(__xludf.DUMMYFUNCTION("""COMPUTED_VALUE"""),4.41)</f>
        <v>4.41</v>
      </c>
      <c r="F1971" s="2"/>
      <c r="G1971" s="2"/>
      <c r="H1971" s="2"/>
      <c r="I1971" s="2"/>
    </row>
    <row r="1972">
      <c r="A1972" s="2">
        <f>IFERROR(__xludf.DUMMYFUNCTION("""COMPUTED_VALUE"""),11818.0)</f>
        <v>11818</v>
      </c>
      <c r="B1972" s="2" t="str">
        <f>IFERROR(__xludf.DUMMYFUNCTION("""COMPUTED_VALUE"""),"Sports")</f>
        <v>Sports</v>
      </c>
      <c r="C1972" s="2" t="str">
        <f>IFERROR(__xludf.DUMMYFUNCTION("""COMPUTED_VALUE"""),"Mindfulness")</f>
        <v>Mindfulness</v>
      </c>
      <c r="D1972" s="2" t="str">
        <f>IFERROR(__xludf.DUMMYFUNCTION("""COMPUTED_VALUE"""),"Brightstone Publishing")</f>
        <v>Brightstone Publishing</v>
      </c>
      <c r="E1972" s="2">
        <f>IFERROR(__xludf.DUMMYFUNCTION("""COMPUTED_VALUE"""),4.17)</f>
        <v>4.17</v>
      </c>
      <c r="F1972" s="2"/>
      <c r="G1972" s="2"/>
      <c r="H1972" s="2"/>
      <c r="I1972" s="2"/>
    </row>
    <row r="1973">
      <c r="A1973" s="2">
        <f>IFERROR(__xludf.DUMMYFUNCTION("""COMPUTED_VALUE"""),11795.0)</f>
        <v>11795</v>
      </c>
      <c r="B1973" s="2" t="str">
        <f>IFERROR(__xludf.DUMMYFUNCTION("""COMPUTED_VALUE"""),"Sports")</f>
        <v>Sports</v>
      </c>
      <c r="C1973" s="2" t="str">
        <f>IFERROR(__xludf.DUMMYFUNCTION("""COMPUTED_VALUE"""),"Mindfulness")</f>
        <v>Mindfulness</v>
      </c>
      <c r="D1973" s="2" t="str">
        <f>IFERROR(__xludf.DUMMYFUNCTION("""COMPUTED_VALUE"""),"Brightstone Publishing")</f>
        <v>Brightstone Publishing</v>
      </c>
      <c r="E1973" s="2">
        <f>IFERROR(__xludf.DUMMYFUNCTION("""COMPUTED_VALUE"""),4.17)</f>
        <v>4.17</v>
      </c>
      <c r="F1973" s="2"/>
      <c r="G1973" s="2"/>
      <c r="H1973" s="2"/>
      <c r="I1973" s="2"/>
    </row>
    <row r="1974">
      <c r="A1974" s="2">
        <f>IFERROR(__xludf.DUMMYFUNCTION("""COMPUTED_VALUE"""),117641.0)</f>
        <v>117641</v>
      </c>
      <c r="B1974" s="2" t="str">
        <f>IFERROR(__xludf.DUMMYFUNCTION("""COMPUTED_VALUE"""),"Sports")</f>
        <v>Sports</v>
      </c>
      <c r="C1974" s="2" t="str">
        <f>IFERROR(__xludf.DUMMYFUNCTION("""COMPUTED_VALUE"""),"Mindfulness")</f>
        <v>Mindfulness</v>
      </c>
      <c r="D1974" s="2" t="str">
        <f>IFERROR(__xludf.DUMMYFUNCTION("""COMPUTED_VALUE"""),"Brightstone Publishing")</f>
        <v>Brightstone Publishing</v>
      </c>
      <c r="E1974" s="2">
        <f>IFERROR(__xludf.DUMMYFUNCTION("""COMPUTED_VALUE"""),4.52)</f>
        <v>4.52</v>
      </c>
      <c r="F1974" s="2"/>
      <c r="G1974" s="2"/>
      <c r="H1974" s="2"/>
      <c r="I1974" s="2"/>
    </row>
    <row r="1975">
      <c r="A1975" s="2">
        <f>IFERROR(__xludf.DUMMYFUNCTION("""COMPUTED_VALUE"""),82579.0)</f>
        <v>82579</v>
      </c>
      <c r="B1975" s="2" t="str">
        <f>IFERROR(__xludf.DUMMYFUNCTION("""COMPUTED_VALUE"""),"Sports")</f>
        <v>Sports</v>
      </c>
      <c r="C1975" s="2" t="str">
        <f>IFERROR(__xludf.DUMMYFUNCTION("""COMPUTED_VALUE"""),"Mindfulness")</f>
        <v>Mindfulness</v>
      </c>
      <c r="D1975" s="2" t="str">
        <f>IFERROR(__xludf.DUMMYFUNCTION("""COMPUTED_VALUE"""),"Brightstone Publishing")</f>
        <v>Brightstone Publishing</v>
      </c>
      <c r="E1975" s="2">
        <f>IFERROR(__xludf.DUMMYFUNCTION("""COMPUTED_VALUE"""),6.07)</f>
        <v>6.07</v>
      </c>
      <c r="F1975" s="2"/>
      <c r="G1975" s="2"/>
      <c r="H1975" s="2"/>
      <c r="I1975" s="2"/>
    </row>
    <row r="1976">
      <c r="A1976" s="2">
        <f>IFERROR(__xludf.DUMMYFUNCTION("""COMPUTED_VALUE"""),120153.0)</f>
        <v>120153</v>
      </c>
      <c r="B1976" s="2" t="str">
        <f>IFERROR(__xludf.DUMMYFUNCTION("""COMPUTED_VALUE"""),"Sports")</f>
        <v>Sports</v>
      </c>
      <c r="C1976" s="2" t="str">
        <f>IFERROR(__xludf.DUMMYFUNCTION("""COMPUTED_VALUE"""),"Mindfulness")</f>
        <v>Mindfulness</v>
      </c>
      <c r="D1976" s="2" t="str">
        <f>IFERROR(__xludf.DUMMYFUNCTION("""COMPUTED_VALUE"""),"Brightstone Publishing")</f>
        <v>Brightstone Publishing</v>
      </c>
      <c r="E1976" s="2">
        <f>IFERROR(__xludf.DUMMYFUNCTION("""COMPUTED_VALUE"""),1.88)</f>
        <v>1.88</v>
      </c>
      <c r="F1976" s="2"/>
      <c r="G1976" s="2"/>
      <c r="H1976" s="2"/>
      <c r="I1976" s="2"/>
    </row>
    <row r="1977">
      <c r="A1977" s="2">
        <f>IFERROR(__xludf.DUMMYFUNCTION("""COMPUTED_VALUE"""),81320.0)</f>
        <v>81320</v>
      </c>
      <c r="B1977" s="2" t="str">
        <f>IFERROR(__xludf.DUMMYFUNCTION("""COMPUTED_VALUE"""),"Sports")</f>
        <v>Sports</v>
      </c>
      <c r="C1977" s="2" t="str">
        <f>IFERROR(__xludf.DUMMYFUNCTION("""COMPUTED_VALUE"""),"Mindfulness")</f>
        <v>Mindfulness</v>
      </c>
      <c r="D1977" s="2" t="str">
        <f>IFERROR(__xludf.DUMMYFUNCTION("""COMPUTED_VALUE"""),"Brightstone Publishing")</f>
        <v>Brightstone Publishing</v>
      </c>
      <c r="E1977" s="2">
        <f>IFERROR(__xludf.DUMMYFUNCTION("""COMPUTED_VALUE"""),3.82)</f>
        <v>3.82</v>
      </c>
      <c r="F1977" s="2"/>
      <c r="G1977" s="2"/>
      <c r="H1977" s="2"/>
      <c r="I1977" s="2"/>
    </row>
    <row r="1978">
      <c r="A1978" s="2">
        <f>IFERROR(__xludf.DUMMYFUNCTION("""COMPUTED_VALUE"""),121517.0)</f>
        <v>121517</v>
      </c>
      <c r="B1978" s="2" t="str">
        <f>IFERROR(__xludf.DUMMYFUNCTION("""COMPUTED_VALUE"""),"Sports")</f>
        <v>Sports</v>
      </c>
      <c r="C1978" s="2" t="str">
        <f>IFERROR(__xludf.DUMMYFUNCTION("""COMPUTED_VALUE"""),"Mindfulness")</f>
        <v>Mindfulness</v>
      </c>
      <c r="D1978" s="2" t="str">
        <f>IFERROR(__xludf.DUMMYFUNCTION("""COMPUTED_VALUE"""),"Brightstone Publishing")</f>
        <v>Brightstone Publishing</v>
      </c>
      <c r="E1978" s="2">
        <f>IFERROR(__xludf.DUMMYFUNCTION("""COMPUTED_VALUE"""),5.69)</f>
        <v>5.69</v>
      </c>
      <c r="F1978" s="2"/>
      <c r="G1978" s="2"/>
      <c r="H1978" s="2"/>
      <c r="I1978" s="2"/>
    </row>
    <row r="1979">
      <c r="A1979" s="2">
        <f>IFERROR(__xludf.DUMMYFUNCTION("""COMPUTED_VALUE"""),89276.0)</f>
        <v>89276</v>
      </c>
      <c r="B1979" s="2" t="str">
        <f>IFERROR(__xludf.DUMMYFUNCTION("""COMPUTED_VALUE"""),"Sports")</f>
        <v>Sports</v>
      </c>
      <c r="C1979" s="2" t="str">
        <f>IFERROR(__xludf.DUMMYFUNCTION("""COMPUTED_VALUE"""),"Mindfulness")</f>
        <v>Mindfulness</v>
      </c>
      <c r="D1979" s="2" t="str">
        <f>IFERROR(__xludf.DUMMYFUNCTION("""COMPUTED_VALUE"""),"Brightstone Publishing")</f>
        <v>Brightstone Publishing</v>
      </c>
      <c r="E1979" s="2">
        <f>IFERROR(__xludf.DUMMYFUNCTION("""COMPUTED_VALUE"""),3.5)</f>
        <v>3.5</v>
      </c>
      <c r="F1979" s="2"/>
      <c r="G1979" s="2"/>
      <c r="H1979" s="2"/>
      <c r="I1979" s="2"/>
    </row>
    <row r="1980">
      <c r="A1980" s="2">
        <f>IFERROR(__xludf.DUMMYFUNCTION("""COMPUTED_VALUE"""),11822.0)</f>
        <v>11822</v>
      </c>
      <c r="B1980" s="2" t="str">
        <f>IFERROR(__xludf.DUMMYFUNCTION("""COMPUTED_VALUE"""),"Sports")</f>
        <v>Sports</v>
      </c>
      <c r="C1980" s="2" t="str">
        <f>IFERROR(__xludf.DUMMYFUNCTION("""COMPUTED_VALUE"""),"Mindfulness")</f>
        <v>Mindfulness</v>
      </c>
      <c r="D1980" s="2" t="str">
        <f>IFERROR(__xludf.DUMMYFUNCTION("""COMPUTED_VALUE"""),"Brightstone Publishing")</f>
        <v>Brightstone Publishing</v>
      </c>
      <c r="E1980" s="2">
        <f>IFERROR(__xludf.DUMMYFUNCTION("""COMPUTED_VALUE"""),8.84)</f>
        <v>8.84</v>
      </c>
      <c r="F1980" s="2"/>
      <c r="G1980" s="2"/>
      <c r="H1980" s="2"/>
      <c r="I1980" s="2"/>
    </row>
    <row r="1981">
      <c r="A1981" s="2">
        <f>IFERROR(__xludf.DUMMYFUNCTION("""COMPUTED_VALUE"""),11771.0)</f>
        <v>11771</v>
      </c>
      <c r="B1981" s="2" t="str">
        <f>IFERROR(__xludf.DUMMYFUNCTION("""COMPUTED_VALUE"""),"Sports")</f>
        <v>Sports</v>
      </c>
      <c r="C1981" s="2" t="str">
        <f>IFERROR(__xludf.DUMMYFUNCTION("""COMPUTED_VALUE"""),"Mindfulness")</f>
        <v>Mindfulness</v>
      </c>
      <c r="D1981" s="2" t="str">
        <f>IFERROR(__xludf.DUMMYFUNCTION("""COMPUTED_VALUE"""),"Brightstone Publishing")</f>
        <v>Brightstone Publishing</v>
      </c>
      <c r="E1981" s="2">
        <f>IFERROR(__xludf.DUMMYFUNCTION("""COMPUTED_VALUE"""),2.69)</f>
        <v>2.69</v>
      </c>
      <c r="F1981" s="2"/>
      <c r="G1981" s="2"/>
      <c r="H1981" s="2"/>
      <c r="I1981" s="2"/>
    </row>
    <row r="1982">
      <c r="A1982" s="2">
        <f>IFERROR(__xludf.DUMMYFUNCTION("""COMPUTED_VALUE"""),89295.0)</f>
        <v>89295</v>
      </c>
      <c r="B1982" s="2" t="str">
        <f>IFERROR(__xludf.DUMMYFUNCTION("""COMPUTED_VALUE"""),"Sports")</f>
        <v>Sports</v>
      </c>
      <c r="C1982" s="2" t="str">
        <f>IFERROR(__xludf.DUMMYFUNCTION("""COMPUTED_VALUE"""),"Mindfulness")</f>
        <v>Mindfulness</v>
      </c>
      <c r="D1982" s="2" t="str">
        <f>IFERROR(__xludf.DUMMYFUNCTION("""COMPUTED_VALUE"""),"Brightstone Publishing")</f>
        <v>Brightstone Publishing</v>
      </c>
      <c r="E1982" s="2">
        <f>IFERROR(__xludf.DUMMYFUNCTION("""COMPUTED_VALUE"""),4.26)</f>
        <v>4.26</v>
      </c>
      <c r="F1982" s="2"/>
      <c r="G1982" s="2"/>
      <c r="H1982" s="2"/>
      <c r="I1982" s="2"/>
    </row>
    <row r="1983">
      <c r="A1983" s="2">
        <f>IFERROR(__xludf.DUMMYFUNCTION("""COMPUTED_VALUE"""),117684.0)</f>
        <v>117684</v>
      </c>
      <c r="B1983" s="2" t="str">
        <f>IFERROR(__xludf.DUMMYFUNCTION("""COMPUTED_VALUE"""),"Sports")</f>
        <v>Sports</v>
      </c>
      <c r="C1983" s="2" t="str">
        <f>IFERROR(__xludf.DUMMYFUNCTION("""COMPUTED_VALUE"""),"Mindfulness")</f>
        <v>Mindfulness</v>
      </c>
      <c r="D1983" s="2" t="str">
        <f>IFERROR(__xludf.DUMMYFUNCTION("""COMPUTED_VALUE"""),"Brightstone Publishing")</f>
        <v>Brightstone Publishing</v>
      </c>
      <c r="E1983" s="2">
        <f>IFERROR(__xludf.DUMMYFUNCTION("""COMPUTED_VALUE"""),5.63)</f>
        <v>5.63</v>
      </c>
      <c r="F1983" s="2"/>
      <c r="G1983" s="2"/>
      <c r="H1983" s="2"/>
      <c r="I1983" s="2"/>
    </row>
    <row r="1984">
      <c r="A1984" s="2">
        <f>IFERROR(__xludf.DUMMYFUNCTION("""COMPUTED_VALUE"""),11817.0)</f>
        <v>11817</v>
      </c>
      <c r="B1984" s="2" t="str">
        <f>IFERROR(__xludf.DUMMYFUNCTION("""COMPUTED_VALUE"""),"Sports")</f>
        <v>Sports</v>
      </c>
      <c r="C1984" s="2" t="str">
        <f>IFERROR(__xludf.DUMMYFUNCTION("""COMPUTED_VALUE"""),"Mindfulness")</f>
        <v>Mindfulness</v>
      </c>
      <c r="D1984" s="2" t="str">
        <f>IFERROR(__xludf.DUMMYFUNCTION("""COMPUTED_VALUE"""),"Brightstone Publishing")</f>
        <v>Brightstone Publishing</v>
      </c>
      <c r="E1984" s="2">
        <f>IFERROR(__xludf.DUMMYFUNCTION("""COMPUTED_VALUE"""),5.49)</f>
        <v>5.49</v>
      </c>
      <c r="F1984" s="2"/>
      <c r="G1984" s="2"/>
      <c r="H1984" s="2"/>
      <c r="I1984" s="2"/>
    </row>
    <row r="1985">
      <c r="A1985" s="2">
        <f>IFERROR(__xludf.DUMMYFUNCTION("""COMPUTED_VALUE"""),120697.0)</f>
        <v>120697</v>
      </c>
      <c r="B1985" s="2" t="str">
        <f>IFERROR(__xludf.DUMMYFUNCTION("""COMPUTED_VALUE"""),"Sports")</f>
        <v>Sports</v>
      </c>
      <c r="C1985" s="2" t="str">
        <f>IFERROR(__xludf.DUMMYFUNCTION("""COMPUTED_VALUE"""),"Mindfulness")</f>
        <v>Mindfulness</v>
      </c>
      <c r="D1985" s="2" t="str">
        <f>IFERROR(__xludf.DUMMYFUNCTION("""COMPUTED_VALUE"""),"Brightstone Publishing")</f>
        <v>Brightstone Publishing</v>
      </c>
      <c r="E1985" s="2">
        <f>IFERROR(__xludf.DUMMYFUNCTION("""COMPUTED_VALUE"""),9.49)</f>
        <v>9.49</v>
      </c>
      <c r="F1985" s="2"/>
      <c r="G1985" s="2"/>
      <c r="H1985" s="2"/>
      <c r="I1985" s="2"/>
    </row>
    <row r="1986">
      <c r="A1986" s="2">
        <f>IFERROR(__xludf.DUMMYFUNCTION("""COMPUTED_VALUE"""),11783.0)</f>
        <v>11783</v>
      </c>
      <c r="B1986" s="2" t="str">
        <f>IFERROR(__xludf.DUMMYFUNCTION("""COMPUTED_VALUE"""),"Sports")</f>
        <v>Sports</v>
      </c>
      <c r="C1986" s="2" t="str">
        <f>IFERROR(__xludf.DUMMYFUNCTION("""COMPUTED_VALUE"""),"Mindfulness")</f>
        <v>Mindfulness</v>
      </c>
      <c r="D1986" s="2" t="str">
        <f>IFERROR(__xludf.DUMMYFUNCTION("""COMPUTED_VALUE"""),"Brightstone Publishing")</f>
        <v>Brightstone Publishing</v>
      </c>
      <c r="E1986" s="2">
        <f>IFERROR(__xludf.DUMMYFUNCTION("""COMPUTED_VALUE"""),3.68)</f>
        <v>3.68</v>
      </c>
      <c r="F1986" s="2"/>
      <c r="G1986" s="2"/>
      <c r="H1986" s="2"/>
      <c r="I1986" s="2"/>
    </row>
    <row r="1987">
      <c r="A1987" s="2">
        <f>IFERROR(__xludf.DUMMYFUNCTION("""COMPUTED_VALUE"""),11821.0)</f>
        <v>11821</v>
      </c>
      <c r="B1987" s="2" t="str">
        <f>IFERROR(__xludf.DUMMYFUNCTION("""COMPUTED_VALUE"""),"Sports")</f>
        <v>Sports</v>
      </c>
      <c r="C1987" s="2" t="str">
        <f>IFERROR(__xludf.DUMMYFUNCTION("""COMPUTED_VALUE"""),"Mindfulness")</f>
        <v>Mindfulness</v>
      </c>
      <c r="D1987" s="2" t="str">
        <f>IFERROR(__xludf.DUMMYFUNCTION("""COMPUTED_VALUE"""),"Brightstone Publishing")</f>
        <v>Brightstone Publishing</v>
      </c>
      <c r="E1987" s="2">
        <f>IFERROR(__xludf.DUMMYFUNCTION("""COMPUTED_VALUE"""),6.0)</f>
        <v>6</v>
      </c>
      <c r="F1987" s="2"/>
      <c r="G1987" s="2"/>
      <c r="H1987" s="2"/>
      <c r="I1987" s="2"/>
    </row>
    <row r="1988">
      <c r="A1988" s="2">
        <f>IFERROR(__xludf.DUMMYFUNCTION("""COMPUTED_VALUE"""),11814.0)</f>
        <v>11814</v>
      </c>
      <c r="B1988" s="2" t="str">
        <f>IFERROR(__xludf.DUMMYFUNCTION("""COMPUTED_VALUE"""),"Sports")</f>
        <v>Sports</v>
      </c>
      <c r="C1988" s="2" t="str">
        <f>IFERROR(__xludf.DUMMYFUNCTION("""COMPUTED_VALUE"""),"Mindfulness")</f>
        <v>Mindfulness</v>
      </c>
      <c r="D1988" s="2" t="str">
        <f>IFERROR(__xludf.DUMMYFUNCTION("""COMPUTED_VALUE"""),"Oakstone Books")</f>
        <v>Oakstone Books</v>
      </c>
      <c r="E1988" s="2">
        <f>IFERROR(__xludf.DUMMYFUNCTION("""COMPUTED_VALUE"""),5.65)</f>
        <v>5.65</v>
      </c>
      <c r="F1988" s="2"/>
      <c r="G1988" s="2"/>
      <c r="H1988" s="2"/>
      <c r="I1988" s="2"/>
    </row>
    <row r="1989">
      <c r="A1989" s="2">
        <f>IFERROR(__xludf.DUMMYFUNCTION("""COMPUTED_VALUE"""),71242.0)</f>
        <v>71242</v>
      </c>
      <c r="B1989" s="2" t="str">
        <f>IFERROR(__xludf.DUMMYFUNCTION("""COMPUTED_VALUE"""),"Sports")</f>
        <v>Sports</v>
      </c>
      <c r="C1989" s="2" t="str">
        <f>IFERROR(__xludf.DUMMYFUNCTION("""COMPUTED_VALUE"""),"Mindfulness")</f>
        <v>Mindfulness</v>
      </c>
      <c r="D1989" s="2" t="str">
        <f>IFERROR(__xludf.DUMMYFUNCTION("""COMPUTED_VALUE"""),"Oakstone Books")</f>
        <v>Oakstone Books</v>
      </c>
      <c r="E1989" s="2">
        <f>IFERROR(__xludf.DUMMYFUNCTION("""COMPUTED_VALUE"""),2.88)</f>
        <v>2.88</v>
      </c>
      <c r="F1989" s="2"/>
      <c r="G1989" s="2"/>
      <c r="H1989" s="2"/>
      <c r="I1989" s="2"/>
    </row>
    <row r="1990">
      <c r="A1990" s="2">
        <f>IFERROR(__xludf.DUMMYFUNCTION("""COMPUTED_VALUE"""),120449.0)</f>
        <v>120449</v>
      </c>
      <c r="B1990" s="2" t="str">
        <f>IFERROR(__xludf.DUMMYFUNCTION("""COMPUTED_VALUE"""),"Arts")</f>
        <v>Arts</v>
      </c>
      <c r="C1990" s="2" t="str">
        <f>IFERROR(__xludf.DUMMYFUNCTION("""COMPUTED_VALUE"""),"Stress Management")</f>
        <v>Stress Management</v>
      </c>
      <c r="D1990" s="2" t="str">
        <f>IFERROR(__xludf.DUMMYFUNCTION("""COMPUTED_VALUE"""),"Riverstone Press")</f>
        <v>Riverstone Press</v>
      </c>
      <c r="E1990" s="2">
        <f>IFERROR(__xludf.DUMMYFUNCTION("""COMPUTED_VALUE"""),1.16)</f>
        <v>1.16</v>
      </c>
      <c r="F1990" s="2"/>
      <c r="G1990" s="2"/>
      <c r="H1990" s="2"/>
      <c r="I1990" s="2"/>
    </row>
    <row r="1991">
      <c r="A1991" s="2">
        <f>IFERROR(__xludf.DUMMYFUNCTION("""COMPUTED_VALUE"""),23682.0)</f>
        <v>23682</v>
      </c>
      <c r="B1991" s="2" t="str">
        <f>IFERROR(__xludf.DUMMYFUNCTION("""COMPUTED_VALUE"""),"Arts")</f>
        <v>Arts</v>
      </c>
      <c r="C1991" s="2" t="str">
        <f>IFERROR(__xludf.DUMMYFUNCTION("""COMPUTED_VALUE"""),"Stress Management")</f>
        <v>Stress Management</v>
      </c>
      <c r="D1991" s="2" t="str">
        <f>IFERROR(__xludf.DUMMYFUNCTION("""COMPUTED_VALUE"""),"Riverstone Press")</f>
        <v>Riverstone Press</v>
      </c>
      <c r="E1991" s="2">
        <f>IFERROR(__xludf.DUMMYFUNCTION("""COMPUTED_VALUE"""),1.87)</f>
        <v>1.87</v>
      </c>
      <c r="F1991" s="2"/>
      <c r="G1991" s="2"/>
      <c r="H1991" s="2"/>
      <c r="I1991" s="2"/>
    </row>
    <row r="1992">
      <c r="A1992" s="2">
        <f>IFERROR(__xludf.DUMMYFUNCTION("""COMPUTED_VALUE"""),119076.0)</f>
        <v>119076</v>
      </c>
      <c r="B1992" s="2" t="str">
        <f>IFERROR(__xludf.DUMMYFUNCTION("""COMPUTED_VALUE"""),"Arts")</f>
        <v>Arts</v>
      </c>
      <c r="C1992" s="2" t="str">
        <f>IFERROR(__xludf.DUMMYFUNCTION("""COMPUTED_VALUE"""),"Stress Management")</f>
        <v>Stress Management</v>
      </c>
      <c r="D1992" s="2" t="str">
        <f>IFERROR(__xludf.DUMMYFUNCTION("""COMPUTED_VALUE"""),"Riverstone Press")</f>
        <v>Riverstone Press</v>
      </c>
      <c r="E1992" s="2">
        <f>IFERROR(__xludf.DUMMYFUNCTION("""COMPUTED_VALUE"""),1.38)</f>
        <v>1.38</v>
      </c>
      <c r="F1992" s="2"/>
      <c r="G1992" s="2"/>
      <c r="H1992" s="2"/>
      <c r="I1992" s="2"/>
    </row>
    <row r="1993">
      <c r="A1993" s="2">
        <f>IFERROR(__xludf.DUMMYFUNCTION("""COMPUTED_VALUE"""),9139.0)</f>
        <v>9139</v>
      </c>
      <c r="B1993" s="2" t="str">
        <f>IFERROR(__xludf.DUMMYFUNCTION("""COMPUTED_VALUE"""),"Arts")</f>
        <v>Arts</v>
      </c>
      <c r="C1993" s="2" t="str">
        <f>IFERROR(__xludf.DUMMYFUNCTION("""COMPUTED_VALUE"""),"Stress Management")</f>
        <v>Stress Management</v>
      </c>
      <c r="D1993" s="2" t="str">
        <f>IFERROR(__xludf.DUMMYFUNCTION("""COMPUTED_VALUE"""),"Riverstone Press")</f>
        <v>Riverstone Press</v>
      </c>
      <c r="E1993" s="2">
        <f>IFERROR(__xludf.DUMMYFUNCTION("""COMPUTED_VALUE"""),1.13)</f>
        <v>1.13</v>
      </c>
      <c r="F1993" s="2"/>
      <c r="G1993" s="2"/>
      <c r="H1993" s="2"/>
      <c r="I1993" s="2"/>
    </row>
    <row r="1994">
      <c r="A1994" s="2">
        <f>IFERROR(__xludf.DUMMYFUNCTION("""COMPUTED_VALUE"""),9138.0)</f>
        <v>9138</v>
      </c>
      <c r="B1994" s="2" t="str">
        <f>IFERROR(__xludf.DUMMYFUNCTION("""COMPUTED_VALUE"""),"Arts")</f>
        <v>Arts</v>
      </c>
      <c r="C1994" s="2" t="str">
        <f>IFERROR(__xludf.DUMMYFUNCTION("""COMPUTED_VALUE"""),"Stress Management")</f>
        <v>Stress Management</v>
      </c>
      <c r="D1994" s="2" t="str">
        <f>IFERROR(__xludf.DUMMYFUNCTION("""COMPUTED_VALUE"""),"Riverstone Press")</f>
        <v>Riverstone Press</v>
      </c>
      <c r="E1994" s="2">
        <f>IFERROR(__xludf.DUMMYFUNCTION("""COMPUTED_VALUE"""),1.25)</f>
        <v>1.25</v>
      </c>
      <c r="F1994" s="2"/>
      <c r="G1994" s="2"/>
      <c r="H1994" s="2"/>
      <c r="I1994" s="2"/>
    </row>
    <row r="1995">
      <c r="A1995" s="2">
        <f>IFERROR(__xludf.DUMMYFUNCTION("""COMPUTED_VALUE"""),109483.0)</f>
        <v>109483</v>
      </c>
      <c r="B1995" s="2" t="str">
        <f>IFERROR(__xludf.DUMMYFUNCTION("""COMPUTED_VALUE"""),"Arts")</f>
        <v>Arts</v>
      </c>
      <c r="C1995" s="2" t="str">
        <f>IFERROR(__xludf.DUMMYFUNCTION("""COMPUTED_VALUE"""),"Stress Management")</f>
        <v>Stress Management</v>
      </c>
      <c r="D1995" s="2" t="str">
        <f>IFERROR(__xludf.DUMMYFUNCTION("""COMPUTED_VALUE"""),"Riverstone Press")</f>
        <v>Riverstone Press</v>
      </c>
      <c r="E1995" s="2">
        <f>IFERROR(__xludf.DUMMYFUNCTION("""COMPUTED_VALUE"""),1.9)</f>
        <v>1.9</v>
      </c>
      <c r="F1995" s="2"/>
      <c r="G1995" s="2"/>
      <c r="H1995" s="2"/>
      <c r="I1995" s="2"/>
    </row>
    <row r="1996">
      <c r="A1996" s="2">
        <f>IFERROR(__xludf.DUMMYFUNCTION("""COMPUTED_VALUE"""),120438.0)</f>
        <v>120438</v>
      </c>
      <c r="B1996" s="2" t="str">
        <f>IFERROR(__xludf.DUMMYFUNCTION("""COMPUTED_VALUE"""),"Arts")</f>
        <v>Arts</v>
      </c>
      <c r="C1996" s="2" t="str">
        <f>IFERROR(__xludf.DUMMYFUNCTION("""COMPUTED_VALUE"""),"Stress Management")</f>
        <v>Stress Management</v>
      </c>
      <c r="D1996" s="2" t="str">
        <f>IFERROR(__xludf.DUMMYFUNCTION("""COMPUTED_VALUE"""),"Riverstone Press")</f>
        <v>Riverstone Press</v>
      </c>
      <c r="E1996" s="2">
        <f>IFERROR(__xludf.DUMMYFUNCTION("""COMPUTED_VALUE"""),1.23)</f>
        <v>1.23</v>
      </c>
      <c r="F1996" s="2"/>
      <c r="G1996" s="2"/>
      <c r="H1996" s="2"/>
      <c r="I1996" s="2"/>
    </row>
    <row r="1997">
      <c r="A1997" s="2">
        <f>IFERROR(__xludf.DUMMYFUNCTION("""COMPUTED_VALUE"""),120439.0)</f>
        <v>120439</v>
      </c>
      <c r="B1997" s="2" t="str">
        <f>IFERROR(__xludf.DUMMYFUNCTION("""COMPUTED_VALUE"""),"Arts")</f>
        <v>Arts</v>
      </c>
      <c r="C1997" s="2" t="str">
        <f>IFERROR(__xludf.DUMMYFUNCTION("""COMPUTED_VALUE"""),"Stress Management")</f>
        <v>Stress Management</v>
      </c>
      <c r="D1997" s="2" t="str">
        <f>IFERROR(__xludf.DUMMYFUNCTION("""COMPUTED_VALUE"""),"Riverstone Press")</f>
        <v>Riverstone Press</v>
      </c>
      <c r="E1997" s="2">
        <f>IFERROR(__xludf.DUMMYFUNCTION("""COMPUTED_VALUE"""),1.46)</f>
        <v>1.46</v>
      </c>
      <c r="F1997" s="2"/>
      <c r="G1997" s="2"/>
      <c r="H1997" s="2"/>
      <c r="I1997" s="2"/>
    </row>
    <row r="1998">
      <c r="A1998" s="2">
        <f>IFERROR(__xludf.DUMMYFUNCTION("""COMPUTED_VALUE"""),23681.0)</f>
        <v>23681</v>
      </c>
      <c r="B1998" s="2" t="str">
        <f>IFERROR(__xludf.DUMMYFUNCTION("""COMPUTED_VALUE"""),"Arts")</f>
        <v>Arts</v>
      </c>
      <c r="C1998" s="2" t="str">
        <f>IFERROR(__xludf.DUMMYFUNCTION("""COMPUTED_VALUE"""),"Stress Management")</f>
        <v>Stress Management</v>
      </c>
      <c r="D1998" s="2" t="str">
        <f>IFERROR(__xludf.DUMMYFUNCTION("""COMPUTED_VALUE"""),"Riverstone Press")</f>
        <v>Riverstone Press</v>
      </c>
      <c r="E1998" s="2">
        <f>IFERROR(__xludf.DUMMYFUNCTION("""COMPUTED_VALUE"""),1.93)</f>
        <v>1.93</v>
      </c>
      <c r="F1998" s="2"/>
      <c r="G1998" s="2"/>
      <c r="H1998" s="2"/>
      <c r="I1998" s="2"/>
    </row>
    <row r="1999">
      <c r="A1999" s="2">
        <f>IFERROR(__xludf.DUMMYFUNCTION("""COMPUTED_VALUE"""),89564.0)</f>
        <v>89564</v>
      </c>
      <c r="B1999" s="2" t="str">
        <f>IFERROR(__xludf.DUMMYFUNCTION("""COMPUTED_VALUE"""),"Arts")</f>
        <v>Arts</v>
      </c>
      <c r="C1999" s="2" t="str">
        <f>IFERROR(__xludf.DUMMYFUNCTION("""COMPUTED_VALUE"""),"Stress Management")</f>
        <v>Stress Management</v>
      </c>
      <c r="D1999" s="2" t="str">
        <f>IFERROR(__xludf.DUMMYFUNCTION("""COMPUTED_VALUE"""),"Riverstone Press")</f>
        <v>Riverstone Press</v>
      </c>
      <c r="E1999" s="2">
        <f>IFERROR(__xludf.DUMMYFUNCTION("""COMPUTED_VALUE"""),1.53)</f>
        <v>1.53</v>
      </c>
      <c r="F1999" s="2"/>
      <c r="G1999" s="2"/>
      <c r="H1999" s="2"/>
      <c r="I1999" s="2"/>
    </row>
    <row r="2000">
      <c r="A2000" s="2">
        <f>IFERROR(__xludf.DUMMYFUNCTION("""COMPUTED_VALUE"""),111962.0)</f>
        <v>111962</v>
      </c>
      <c r="B2000" s="2" t="str">
        <f>IFERROR(__xludf.DUMMYFUNCTION("""COMPUTED_VALUE"""),"Arts")</f>
        <v>Arts</v>
      </c>
      <c r="C2000" s="2" t="str">
        <f>IFERROR(__xludf.DUMMYFUNCTION("""COMPUTED_VALUE"""),"Stress Management")</f>
        <v>Stress Management</v>
      </c>
      <c r="D2000" s="2" t="str">
        <f>IFERROR(__xludf.DUMMYFUNCTION("""COMPUTED_VALUE"""),"Riverstone Press")</f>
        <v>Riverstone Press</v>
      </c>
      <c r="E2000" s="2">
        <f>IFERROR(__xludf.DUMMYFUNCTION("""COMPUTED_VALUE"""),1.66)</f>
        <v>1.66</v>
      </c>
      <c r="F2000" s="2"/>
      <c r="G2000" s="2"/>
      <c r="H2000" s="2"/>
      <c r="I2000" s="2"/>
    </row>
    <row r="2001">
      <c r="A2001" s="2">
        <f>IFERROR(__xludf.DUMMYFUNCTION("""COMPUTED_VALUE"""),124771.0)</f>
        <v>124771</v>
      </c>
      <c r="B2001" s="2" t="str">
        <f>IFERROR(__xludf.DUMMYFUNCTION("""COMPUTED_VALUE"""),"Arts")</f>
        <v>Arts</v>
      </c>
      <c r="C2001" s="2" t="str">
        <f>IFERROR(__xludf.DUMMYFUNCTION("""COMPUTED_VALUE"""),"Stress Management")</f>
        <v>Stress Management</v>
      </c>
      <c r="D2001" s="2" t="str">
        <f>IFERROR(__xludf.DUMMYFUNCTION("""COMPUTED_VALUE"""),"Riverstone Press")</f>
        <v>Riverstone Press</v>
      </c>
      <c r="E2001" s="2">
        <f>IFERROR(__xludf.DUMMYFUNCTION("""COMPUTED_VALUE"""),3.37)</f>
        <v>3.37</v>
      </c>
      <c r="F2001" s="2"/>
      <c r="G2001" s="2"/>
      <c r="H2001" s="2"/>
      <c r="I2001" s="2"/>
    </row>
    <row r="2002">
      <c r="A2002" s="2">
        <f>IFERROR(__xludf.DUMMYFUNCTION("""COMPUTED_VALUE"""),120446.0)</f>
        <v>120446</v>
      </c>
      <c r="B2002" s="2" t="str">
        <f>IFERROR(__xludf.DUMMYFUNCTION("""COMPUTED_VALUE"""),"Arts")</f>
        <v>Arts</v>
      </c>
      <c r="C2002" s="2" t="str">
        <f>IFERROR(__xludf.DUMMYFUNCTION("""COMPUTED_VALUE"""),"Stress Management")</f>
        <v>Stress Management</v>
      </c>
      <c r="D2002" s="2" t="str">
        <f>IFERROR(__xludf.DUMMYFUNCTION("""COMPUTED_VALUE"""),"Riverstone Press")</f>
        <v>Riverstone Press</v>
      </c>
      <c r="E2002" s="2">
        <f>IFERROR(__xludf.DUMMYFUNCTION("""COMPUTED_VALUE"""),1.51)</f>
        <v>1.51</v>
      </c>
      <c r="F2002" s="2"/>
      <c r="G2002" s="2"/>
      <c r="H2002" s="2"/>
      <c r="I2002" s="2"/>
    </row>
    <row r="2003">
      <c r="A2003" s="2">
        <f>IFERROR(__xludf.DUMMYFUNCTION("""COMPUTED_VALUE"""),111973.0)</f>
        <v>111973</v>
      </c>
      <c r="B2003" s="2" t="str">
        <f>IFERROR(__xludf.DUMMYFUNCTION("""COMPUTED_VALUE"""),"Arts")</f>
        <v>Arts</v>
      </c>
      <c r="C2003" s="2" t="str">
        <f>IFERROR(__xludf.DUMMYFUNCTION("""COMPUTED_VALUE"""),"Stress Management")</f>
        <v>Stress Management</v>
      </c>
      <c r="D2003" s="2" t="str">
        <f>IFERROR(__xludf.DUMMYFUNCTION("""COMPUTED_VALUE"""),"Riverstone Press")</f>
        <v>Riverstone Press</v>
      </c>
      <c r="E2003" s="2">
        <f>IFERROR(__xludf.DUMMYFUNCTION("""COMPUTED_VALUE"""),0.68)</f>
        <v>0.68</v>
      </c>
      <c r="F2003" s="2"/>
      <c r="G2003" s="2"/>
      <c r="H2003" s="2"/>
      <c r="I2003" s="2"/>
    </row>
    <row r="2004">
      <c r="A2004" s="2">
        <f>IFERROR(__xludf.DUMMYFUNCTION("""COMPUTED_VALUE"""),120437.0)</f>
        <v>120437</v>
      </c>
      <c r="B2004" s="2" t="str">
        <f>IFERROR(__xludf.DUMMYFUNCTION("""COMPUTED_VALUE"""),"Arts")</f>
        <v>Arts</v>
      </c>
      <c r="C2004" s="2" t="str">
        <f>IFERROR(__xludf.DUMMYFUNCTION("""COMPUTED_VALUE"""),"Stress Management")</f>
        <v>Stress Management</v>
      </c>
      <c r="D2004" s="2" t="str">
        <f>IFERROR(__xludf.DUMMYFUNCTION("""COMPUTED_VALUE"""),"Riverstone Press")</f>
        <v>Riverstone Press</v>
      </c>
      <c r="E2004" s="2">
        <f>IFERROR(__xludf.DUMMYFUNCTION("""COMPUTED_VALUE"""),1.53)</f>
        <v>1.53</v>
      </c>
      <c r="F2004" s="2"/>
      <c r="G2004" s="2"/>
      <c r="H2004" s="2"/>
      <c r="I2004" s="2"/>
    </row>
    <row r="2005">
      <c r="A2005" s="2">
        <f>IFERROR(__xludf.DUMMYFUNCTION("""COMPUTED_VALUE"""),124769.0)</f>
        <v>124769</v>
      </c>
      <c r="B2005" s="2" t="str">
        <f>IFERROR(__xludf.DUMMYFUNCTION("""COMPUTED_VALUE"""),"Arts")</f>
        <v>Arts</v>
      </c>
      <c r="C2005" s="2" t="str">
        <f>IFERROR(__xludf.DUMMYFUNCTION("""COMPUTED_VALUE"""),"Stress Management")</f>
        <v>Stress Management</v>
      </c>
      <c r="D2005" s="2" t="str">
        <f>IFERROR(__xludf.DUMMYFUNCTION("""COMPUTED_VALUE"""),"Riverstone Press")</f>
        <v>Riverstone Press</v>
      </c>
      <c r="E2005" s="2">
        <f>IFERROR(__xludf.DUMMYFUNCTION("""COMPUTED_VALUE"""),1.89)</f>
        <v>1.89</v>
      </c>
      <c r="F2005" s="2"/>
      <c r="G2005" s="2"/>
      <c r="H2005" s="2"/>
      <c r="I2005" s="2"/>
    </row>
    <row r="2006">
      <c r="A2006" s="2">
        <f>IFERROR(__xludf.DUMMYFUNCTION("""COMPUTED_VALUE"""),111972.0)</f>
        <v>111972</v>
      </c>
      <c r="B2006" s="2" t="str">
        <f>IFERROR(__xludf.DUMMYFUNCTION("""COMPUTED_VALUE"""),"Arts")</f>
        <v>Arts</v>
      </c>
      <c r="C2006" s="2" t="str">
        <f>IFERROR(__xludf.DUMMYFUNCTION("""COMPUTED_VALUE"""),"Stress Management")</f>
        <v>Stress Management</v>
      </c>
      <c r="D2006" s="2" t="str">
        <f>IFERROR(__xludf.DUMMYFUNCTION("""COMPUTED_VALUE"""),"Riverstone Press")</f>
        <v>Riverstone Press</v>
      </c>
      <c r="E2006" s="2">
        <f>IFERROR(__xludf.DUMMYFUNCTION("""COMPUTED_VALUE"""),0.97)</f>
        <v>0.97</v>
      </c>
      <c r="F2006" s="2"/>
      <c r="G2006" s="2"/>
      <c r="H2006" s="2"/>
      <c r="I2006" s="2"/>
    </row>
    <row r="2007">
      <c r="A2007" s="2">
        <f>IFERROR(__xludf.DUMMYFUNCTION("""COMPUTED_VALUE"""),47390.0)</f>
        <v>47390</v>
      </c>
      <c r="B2007" s="2" t="str">
        <f>IFERROR(__xludf.DUMMYFUNCTION("""COMPUTED_VALUE"""),"Arts")</f>
        <v>Arts</v>
      </c>
      <c r="C2007" s="2" t="str">
        <f>IFERROR(__xludf.DUMMYFUNCTION("""COMPUTED_VALUE"""),"Stress Management")</f>
        <v>Stress Management</v>
      </c>
      <c r="D2007" s="2" t="str">
        <f>IFERROR(__xludf.DUMMYFUNCTION("""COMPUTED_VALUE"""),"Ironstone Publishing")</f>
        <v>Ironstone Publishing</v>
      </c>
      <c r="E2007" s="2">
        <f>IFERROR(__xludf.DUMMYFUNCTION("""COMPUTED_VALUE"""),1.26)</f>
        <v>1.26</v>
      </c>
      <c r="F2007" s="2"/>
      <c r="G2007" s="2"/>
      <c r="H2007" s="2"/>
      <c r="I2007" s="2"/>
    </row>
    <row r="2008">
      <c r="A2008" s="2">
        <f>IFERROR(__xludf.DUMMYFUNCTION("""COMPUTED_VALUE"""),27047.0)</f>
        <v>27047</v>
      </c>
      <c r="B2008" s="2" t="str">
        <f>IFERROR(__xludf.DUMMYFUNCTION("""COMPUTED_VALUE"""),"Arts")</f>
        <v>Arts</v>
      </c>
      <c r="C2008" s="2" t="str">
        <f>IFERROR(__xludf.DUMMYFUNCTION("""COMPUTED_VALUE"""),"Stress Management")</f>
        <v>Stress Management</v>
      </c>
      <c r="D2008" s="2" t="str">
        <f>IFERROR(__xludf.DUMMYFUNCTION("""COMPUTED_VALUE"""),"Silverridge Books")</f>
        <v>Silverridge Books</v>
      </c>
      <c r="E2008" s="2">
        <f>IFERROR(__xludf.DUMMYFUNCTION("""COMPUTED_VALUE"""),2.78)</f>
        <v>2.78</v>
      </c>
      <c r="F2008" s="2"/>
      <c r="G2008" s="2"/>
      <c r="H2008" s="2"/>
      <c r="I2008" s="2"/>
    </row>
    <row r="2009">
      <c r="A2009" s="2">
        <f>IFERROR(__xludf.DUMMYFUNCTION("""COMPUTED_VALUE"""),68713.0)</f>
        <v>68713</v>
      </c>
      <c r="B2009" s="2" t="str">
        <f>IFERROR(__xludf.DUMMYFUNCTION("""COMPUTED_VALUE"""),"Arts")</f>
        <v>Arts</v>
      </c>
      <c r="C2009" s="2" t="str">
        <f>IFERROR(__xludf.DUMMYFUNCTION("""COMPUTED_VALUE"""),"Stress Management")</f>
        <v>Stress Management</v>
      </c>
      <c r="D2009" s="2" t="str">
        <f>IFERROR(__xludf.DUMMYFUNCTION("""COMPUTED_VALUE"""),"Silverridge Books")</f>
        <v>Silverridge Books</v>
      </c>
      <c r="E2009" s="2">
        <f>IFERROR(__xludf.DUMMYFUNCTION("""COMPUTED_VALUE"""),3.49)</f>
        <v>3.49</v>
      </c>
      <c r="F2009" s="2"/>
      <c r="G2009" s="2"/>
      <c r="H2009" s="2"/>
      <c r="I2009" s="2"/>
    </row>
    <row r="2010">
      <c r="A2010" s="2">
        <f>IFERROR(__xludf.DUMMYFUNCTION("""COMPUTED_VALUE"""),120568.0)</f>
        <v>120568</v>
      </c>
      <c r="B2010" s="2" t="str">
        <f>IFERROR(__xludf.DUMMYFUNCTION("""COMPUTED_VALUE"""),"Arts")</f>
        <v>Arts</v>
      </c>
      <c r="C2010" s="2" t="str">
        <f>IFERROR(__xludf.DUMMYFUNCTION("""COMPUTED_VALUE"""),"Stress Management")</f>
        <v>Stress Management</v>
      </c>
      <c r="D2010" s="2" t="str">
        <f>IFERROR(__xludf.DUMMYFUNCTION("""COMPUTED_VALUE"""),"Northridge Press")</f>
        <v>Northridge Press</v>
      </c>
      <c r="E2010" s="2">
        <f>IFERROR(__xludf.DUMMYFUNCTION("""COMPUTED_VALUE"""),1.91)</f>
        <v>1.91</v>
      </c>
      <c r="F2010" s="2"/>
      <c r="G2010" s="2"/>
      <c r="H2010" s="2"/>
      <c r="I2010" s="2"/>
    </row>
    <row r="2011">
      <c r="A2011" s="2">
        <f>IFERROR(__xludf.DUMMYFUNCTION("""COMPUTED_VALUE"""),120567.0)</f>
        <v>120567</v>
      </c>
      <c r="B2011" s="2" t="str">
        <f>IFERROR(__xludf.DUMMYFUNCTION("""COMPUTED_VALUE"""),"Arts")</f>
        <v>Arts</v>
      </c>
      <c r="C2011" s="2" t="str">
        <f>IFERROR(__xludf.DUMMYFUNCTION("""COMPUTED_VALUE"""),"Stress Management")</f>
        <v>Stress Management</v>
      </c>
      <c r="D2011" s="2" t="str">
        <f>IFERROR(__xludf.DUMMYFUNCTION("""COMPUTED_VALUE"""),"Northridge Press")</f>
        <v>Northridge Press</v>
      </c>
      <c r="E2011" s="2">
        <f>IFERROR(__xludf.DUMMYFUNCTION("""COMPUTED_VALUE"""),1.76)</f>
        <v>1.76</v>
      </c>
      <c r="F2011" s="2"/>
      <c r="G2011" s="2"/>
      <c r="H2011" s="2"/>
      <c r="I2011" s="2"/>
    </row>
    <row r="2012">
      <c r="A2012" s="2">
        <f>IFERROR(__xludf.DUMMYFUNCTION("""COMPUTED_VALUE"""),77038.0)</f>
        <v>77038</v>
      </c>
      <c r="B2012" s="2" t="str">
        <f>IFERROR(__xludf.DUMMYFUNCTION("""COMPUTED_VALUE"""),"Arts")</f>
        <v>Arts</v>
      </c>
      <c r="C2012" s="2" t="str">
        <f>IFERROR(__xludf.DUMMYFUNCTION("""COMPUTED_VALUE"""),"Stress Management")</f>
        <v>Stress Management</v>
      </c>
      <c r="D2012" s="2" t="str">
        <f>IFERROR(__xludf.DUMMYFUNCTION("""COMPUTED_VALUE"""),"Northridge Press")</f>
        <v>Northridge Press</v>
      </c>
      <c r="E2012" s="2">
        <f>IFERROR(__xludf.DUMMYFUNCTION("""COMPUTED_VALUE"""),1.47)</f>
        <v>1.47</v>
      </c>
      <c r="F2012" s="2"/>
      <c r="G2012" s="2"/>
      <c r="H2012" s="2"/>
      <c r="I2012" s="2"/>
    </row>
    <row r="2013">
      <c r="A2013" s="2">
        <f>IFERROR(__xludf.DUMMYFUNCTION("""COMPUTED_VALUE"""),87760.0)</f>
        <v>87760</v>
      </c>
      <c r="B2013" s="2" t="str">
        <f>IFERROR(__xludf.DUMMYFUNCTION("""COMPUTED_VALUE"""),"Tech")</f>
        <v>Tech</v>
      </c>
      <c r="C2013" s="2" t="str">
        <f>IFERROR(__xludf.DUMMYFUNCTION("""COMPUTED_VALUE"""),"Communication Skills")</f>
        <v>Communication Skills</v>
      </c>
      <c r="D2013" s="2" t="str">
        <f>IFERROR(__xludf.DUMMYFUNCTION("""COMPUTED_VALUE"""),"Harborridge Publishing")</f>
        <v>Harborridge Publishing</v>
      </c>
      <c r="E2013" s="2">
        <f>IFERROR(__xludf.DUMMYFUNCTION("""COMPUTED_VALUE"""),2.17)</f>
        <v>2.17</v>
      </c>
      <c r="F2013" s="2"/>
      <c r="G2013" s="2"/>
      <c r="H2013" s="2"/>
      <c r="I2013" s="2"/>
    </row>
    <row r="2014">
      <c r="A2014" s="2">
        <f>IFERROR(__xludf.DUMMYFUNCTION("""COMPUTED_VALUE"""),122612.0)</f>
        <v>122612</v>
      </c>
      <c r="B2014" s="2" t="str">
        <f>IFERROR(__xludf.DUMMYFUNCTION("""COMPUTED_VALUE"""),"Tech")</f>
        <v>Tech</v>
      </c>
      <c r="C2014" s="2" t="str">
        <f>IFERROR(__xludf.DUMMYFUNCTION("""COMPUTED_VALUE"""),"Communication Skills")</f>
        <v>Communication Skills</v>
      </c>
      <c r="D2014" s="2" t="str">
        <f>IFERROR(__xludf.DUMMYFUNCTION("""COMPUTED_VALUE"""),"Harborridge Publishing")</f>
        <v>Harborridge Publishing</v>
      </c>
      <c r="E2014" s="2">
        <f>IFERROR(__xludf.DUMMYFUNCTION("""COMPUTED_VALUE"""),1.6)</f>
        <v>1.6</v>
      </c>
      <c r="F2014" s="2"/>
      <c r="G2014" s="2"/>
      <c r="H2014" s="2"/>
      <c r="I2014" s="2"/>
    </row>
    <row r="2015">
      <c r="A2015" s="2">
        <f>IFERROR(__xludf.DUMMYFUNCTION("""COMPUTED_VALUE"""),110655.0)</f>
        <v>110655</v>
      </c>
      <c r="B2015" s="2" t="str">
        <f>IFERROR(__xludf.DUMMYFUNCTION("""COMPUTED_VALUE"""),"Tech")</f>
        <v>Tech</v>
      </c>
      <c r="C2015" s="2" t="str">
        <f>IFERROR(__xludf.DUMMYFUNCTION("""COMPUTED_VALUE"""),"Communication Skills")</f>
        <v>Communication Skills</v>
      </c>
      <c r="D2015" s="2" t="str">
        <f>IFERROR(__xludf.DUMMYFUNCTION("""COMPUTED_VALUE"""),"Harborridge Publishing")</f>
        <v>Harborridge Publishing</v>
      </c>
      <c r="E2015" s="2">
        <f>IFERROR(__xludf.DUMMYFUNCTION("""COMPUTED_VALUE"""),3.35)</f>
        <v>3.35</v>
      </c>
      <c r="F2015" s="2"/>
      <c r="G2015" s="2"/>
      <c r="H2015" s="2"/>
      <c r="I2015" s="2"/>
    </row>
    <row r="2016">
      <c r="A2016" s="2">
        <f>IFERROR(__xludf.DUMMYFUNCTION("""COMPUTED_VALUE"""),87785.0)</f>
        <v>87785</v>
      </c>
      <c r="B2016" s="2" t="str">
        <f>IFERROR(__xludf.DUMMYFUNCTION("""COMPUTED_VALUE"""),"Tech")</f>
        <v>Tech</v>
      </c>
      <c r="C2016" s="2" t="str">
        <f>IFERROR(__xludf.DUMMYFUNCTION("""COMPUTED_VALUE"""),"Communication Skills")</f>
        <v>Communication Skills</v>
      </c>
      <c r="D2016" s="2" t="str">
        <f>IFERROR(__xludf.DUMMYFUNCTION("""COMPUTED_VALUE"""),"Harborridge Publishing")</f>
        <v>Harborridge Publishing</v>
      </c>
      <c r="E2016" s="2">
        <f>IFERROR(__xludf.DUMMYFUNCTION("""COMPUTED_VALUE"""),2.18)</f>
        <v>2.18</v>
      </c>
      <c r="F2016" s="2"/>
      <c r="G2016" s="2"/>
      <c r="H2016" s="2"/>
      <c r="I2016" s="2"/>
    </row>
    <row r="2017">
      <c r="A2017" s="2">
        <f>IFERROR(__xludf.DUMMYFUNCTION("""COMPUTED_VALUE"""),122629.0)</f>
        <v>122629</v>
      </c>
      <c r="B2017" s="2" t="str">
        <f>IFERROR(__xludf.DUMMYFUNCTION("""COMPUTED_VALUE"""),"Tech")</f>
        <v>Tech</v>
      </c>
      <c r="C2017" s="2" t="str">
        <f>IFERROR(__xludf.DUMMYFUNCTION("""COMPUTED_VALUE"""),"Communication Skills")</f>
        <v>Communication Skills</v>
      </c>
      <c r="D2017" s="2" t="str">
        <f>IFERROR(__xludf.DUMMYFUNCTION("""COMPUTED_VALUE"""),"Harborridge Publishing")</f>
        <v>Harborridge Publishing</v>
      </c>
      <c r="E2017" s="2">
        <f>IFERROR(__xludf.DUMMYFUNCTION("""COMPUTED_VALUE"""),2.78)</f>
        <v>2.78</v>
      </c>
      <c r="F2017" s="2"/>
      <c r="G2017" s="2"/>
      <c r="H2017" s="2"/>
      <c r="I2017" s="2"/>
    </row>
    <row r="2018">
      <c r="A2018" s="2">
        <f>IFERROR(__xludf.DUMMYFUNCTION("""COMPUTED_VALUE"""),122614.0)</f>
        <v>122614</v>
      </c>
      <c r="B2018" s="2" t="str">
        <f>IFERROR(__xludf.DUMMYFUNCTION("""COMPUTED_VALUE"""),"Tech")</f>
        <v>Tech</v>
      </c>
      <c r="C2018" s="2" t="str">
        <f>IFERROR(__xludf.DUMMYFUNCTION("""COMPUTED_VALUE"""),"Communication Skills")</f>
        <v>Communication Skills</v>
      </c>
      <c r="D2018" s="2" t="str">
        <f>IFERROR(__xludf.DUMMYFUNCTION("""COMPUTED_VALUE"""),"Harborridge Publishing")</f>
        <v>Harborridge Publishing</v>
      </c>
      <c r="E2018" s="2">
        <f>IFERROR(__xludf.DUMMYFUNCTION("""COMPUTED_VALUE"""),1.43)</f>
        <v>1.43</v>
      </c>
      <c r="F2018" s="2"/>
      <c r="G2018" s="2"/>
      <c r="H2018" s="2"/>
      <c r="I2018" s="2"/>
    </row>
    <row r="2019">
      <c r="A2019" s="2">
        <f>IFERROR(__xludf.DUMMYFUNCTION("""COMPUTED_VALUE"""),122788.0)</f>
        <v>122788</v>
      </c>
      <c r="B2019" s="2" t="str">
        <f>IFERROR(__xludf.DUMMYFUNCTION("""COMPUTED_VALUE"""),"Tech")</f>
        <v>Tech</v>
      </c>
      <c r="C2019" s="2" t="str">
        <f>IFERROR(__xludf.DUMMYFUNCTION("""COMPUTED_VALUE"""),"Communication Skills")</f>
        <v>Communication Skills</v>
      </c>
      <c r="D2019" s="2" t="str">
        <f>IFERROR(__xludf.DUMMYFUNCTION("""COMPUTED_VALUE"""),"Harborridge Publishing")</f>
        <v>Harborridge Publishing</v>
      </c>
      <c r="E2019" s="2">
        <f>IFERROR(__xludf.DUMMYFUNCTION("""COMPUTED_VALUE"""),2.64)</f>
        <v>2.64</v>
      </c>
      <c r="F2019" s="2"/>
      <c r="G2019" s="2"/>
      <c r="H2019" s="2"/>
      <c r="I2019" s="2"/>
    </row>
    <row r="2020">
      <c r="A2020" s="2">
        <f>IFERROR(__xludf.DUMMYFUNCTION("""COMPUTED_VALUE"""),20226.0)</f>
        <v>20226</v>
      </c>
      <c r="B2020" s="2" t="str">
        <f>IFERROR(__xludf.DUMMYFUNCTION("""COMPUTED_VALUE"""),"Tech")</f>
        <v>Tech</v>
      </c>
      <c r="C2020" s="2" t="str">
        <f>IFERROR(__xludf.DUMMYFUNCTION("""COMPUTED_VALUE"""),"Communication Skills")</f>
        <v>Communication Skills</v>
      </c>
      <c r="D2020" s="2" t="str">
        <f>IFERROR(__xludf.DUMMYFUNCTION("""COMPUTED_VALUE"""),"Harborridge Publishing")</f>
        <v>Harborridge Publishing</v>
      </c>
      <c r="E2020" s="2">
        <f>IFERROR(__xludf.DUMMYFUNCTION("""COMPUTED_VALUE"""),3.61)</f>
        <v>3.61</v>
      </c>
      <c r="F2020" s="2"/>
      <c r="G2020" s="2"/>
      <c r="H2020" s="2"/>
      <c r="I2020" s="2"/>
    </row>
    <row r="2021">
      <c r="A2021" s="2">
        <f>IFERROR(__xludf.DUMMYFUNCTION("""COMPUTED_VALUE"""),120894.0)</f>
        <v>120894</v>
      </c>
      <c r="B2021" s="2" t="str">
        <f>IFERROR(__xludf.DUMMYFUNCTION("""COMPUTED_VALUE"""),"Tech")</f>
        <v>Tech</v>
      </c>
      <c r="C2021" s="2" t="str">
        <f>IFERROR(__xludf.DUMMYFUNCTION("""COMPUTED_VALUE"""),"Communication Skills")</f>
        <v>Communication Skills</v>
      </c>
      <c r="D2021" s="2" t="str">
        <f>IFERROR(__xludf.DUMMYFUNCTION("""COMPUTED_VALUE"""),"Harborridge Publishing")</f>
        <v>Harborridge Publishing</v>
      </c>
      <c r="E2021" s="2">
        <f>IFERROR(__xludf.DUMMYFUNCTION("""COMPUTED_VALUE"""),3.35)</f>
        <v>3.35</v>
      </c>
      <c r="F2021" s="2"/>
      <c r="G2021" s="2"/>
      <c r="H2021" s="2"/>
      <c r="I2021" s="2"/>
    </row>
    <row r="2022">
      <c r="A2022" s="2">
        <f>IFERROR(__xludf.DUMMYFUNCTION("""COMPUTED_VALUE"""),46762.0)</f>
        <v>46762</v>
      </c>
      <c r="B2022" s="2" t="str">
        <f>IFERROR(__xludf.DUMMYFUNCTION("""COMPUTED_VALUE"""),"Tech")</f>
        <v>Tech</v>
      </c>
      <c r="C2022" s="2" t="str">
        <f>IFERROR(__xludf.DUMMYFUNCTION("""COMPUTED_VALUE"""),"Communication Skills")</f>
        <v>Communication Skills</v>
      </c>
      <c r="D2022" s="2" t="str">
        <f>IFERROR(__xludf.DUMMYFUNCTION("""COMPUTED_VALUE"""),"Harborridge Publishing")</f>
        <v>Harborridge Publishing</v>
      </c>
      <c r="E2022" s="2">
        <f>IFERROR(__xludf.DUMMYFUNCTION("""COMPUTED_VALUE"""),2.05)</f>
        <v>2.05</v>
      </c>
      <c r="F2022" s="2"/>
      <c r="G2022" s="2"/>
      <c r="H2022" s="2"/>
      <c r="I2022" s="2"/>
    </row>
    <row r="2023">
      <c r="A2023" s="2">
        <f>IFERROR(__xludf.DUMMYFUNCTION("""COMPUTED_VALUE"""),118212.0)</f>
        <v>118212</v>
      </c>
      <c r="B2023" s="2" t="str">
        <f>IFERROR(__xludf.DUMMYFUNCTION("""COMPUTED_VALUE"""),"Tech")</f>
        <v>Tech</v>
      </c>
      <c r="C2023" s="2" t="str">
        <f>IFERROR(__xludf.DUMMYFUNCTION("""COMPUTED_VALUE"""),"Communication Skills")</f>
        <v>Communication Skills</v>
      </c>
      <c r="D2023" s="2" t="str">
        <f>IFERROR(__xludf.DUMMYFUNCTION("""COMPUTED_VALUE"""),"Harborridge Publishing")</f>
        <v>Harborridge Publishing</v>
      </c>
      <c r="E2023" s="2">
        <f>IFERROR(__xludf.DUMMYFUNCTION("""COMPUTED_VALUE"""),2.91)</f>
        <v>2.91</v>
      </c>
      <c r="F2023" s="2"/>
      <c r="G2023" s="2"/>
      <c r="H2023" s="2"/>
      <c r="I2023" s="2"/>
    </row>
    <row r="2024">
      <c r="A2024" s="2">
        <f>IFERROR(__xludf.DUMMYFUNCTION("""COMPUTED_VALUE"""),150950.0)</f>
        <v>150950</v>
      </c>
      <c r="B2024" s="2" t="str">
        <f>IFERROR(__xludf.DUMMYFUNCTION("""COMPUTED_VALUE"""),"Tech")</f>
        <v>Tech</v>
      </c>
      <c r="C2024" s="2" t="str">
        <f>IFERROR(__xludf.DUMMYFUNCTION("""COMPUTED_VALUE"""),"Communication Skills")</f>
        <v>Communication Skills</v>
      </c>
      <c r="D2024" s="2" t="str">
        <f>IFERROR(__xludf.DUMMYFUNCTION("""COMPUTED_VALUE"""),"Harborridge Publishing")</f>
        <v>Harborridge Publishing</v>
      </c>
      <c r="E2024" s="2">
        <f>IFERROR(__xludf.DUMMYFUNCTION("""COMPUTED_VALUE"""),2.21)</f>
        <v>2.21</v>
      </c>
      <c r="F2024" s="2"/>
      <c r="G2024" s="2"/>
      <c r="H2024" s="2"/>
      <c r="I2024" s="2"/>
    </row>
    <row r="2025">
      <c r="A2025" s="2">
        <f>IFERROR(__xludf.DUMMYFUNCTION("""COMPUTED_VALUE"""),190106.0)</f>
        <v>190106</v>
      </c>
      <c r="B2025" s="2" t="str">
        <f>IFERROR(__xludf.DUMMYFUNCTION("""COMPUTED_VALUE"""),"Tech")</f>
        <v>Tech</v>
      </c>
      <c r="C2025" s="2" t="str">
        <f>IFERROR(__xludf.DUMMYFUNCTION("""COMPUTED_VALUE"""),"Communication Skills")</f>
        <v>Communication Skills</v>
      </c>
      <c r="D2025" s="2" t="str">
        <f>IFERROR(__xludf.DUMMYFUNCTION("""COMPUTED_VALUE"""),"Harborridge Publishing")</f>
        <v>Harborridge Publishing</v>
      </c>
      <c r="E2025" s="2">
        <f>IFERROR(__xludf.DUMMYFUNCTION("""COMPUTED_VALUE"""),1.85)</f>
        <v>1.85</v>
      </c>
      <c r="F2025" s="2"/>
      <c r="G2025" s="2"/>
      <c r="H2025" s="2"/>
      <c r="I2025" s="2"/>
    </row>
    <row r="2026">
      <c r="A2026" s="2">
        <f>IFERROR(__xludf.DUMMYFUNCTION("""COMPUTED_VALUE"""),79810.0)</f>
        <v>79810</v>
      </c>
      <c r="B2026" s="2" t="str">
        <f>IFERROR(__xludf.DUMMYFUNCTION("""COMPUTED_VALUE"""),"Tech")</f>
        <v>Tech</v>
      </c>
      <c r="C2026" s="2" t="str">
        <f>IFERROR(__xludf.DUMMYFUNCTION("""COMPUTED_VALUE"""),"Communication Skills")</f>
        <v>Communication Skills</v>
      </c>
      <c r="D2026" s="2" t="str">
        <f>IFERROR(__xludf.DUMMYFUNCTION("""COMPUTED_VALUE"""),"Harborridge Publishing")</f>
        <v>Harborridge Publishing</v>
      </c>
      <c r="E2026" s="2">
        <f>IFERROR(__xludf.DUMMYFUNCTION("""COMPUTED_VALUE"""),2.0)</f>
        <v>2</v>
      </c>
      <c r="F2026" s="2"/>
      <c r="G2026" s="2"/>
      <c r="H2026" s="2"/>
      <c r="I2026" s="2"/>
    </row>
    <row r="2027">
      <c r="A2027" s="2">
        <f>IFERROR(__xludf.DUMMYFUNCTION("""COMPUTED_VALUE"""),82459.0)</f>
        <v>82459</v>
      </c>
      <c r="B2027" s="2" t="str">
        <f>IFERROR(__xludf.DUMMYFUNCTION("""COMPUTED_VALUE"""),"Tech")</f>
        <v>Tech</v>
      </c>
      <c r="C2027" s="2" t="str">
        <f>IFERROR(__xludf.DUMMYFUNCTION("""COMPUTED_VALUE"""),"Communication Skills")</f>
        <v>Communication Skills</v>
      </c>
      <c r="D2027" s="2" t="str">
        <f>IFERROR(__xludf.DUMMYFUNCTION("""COMPUTED_VALUE"""),"Harborridge Publishing")</f>
        <v>Harborridge Publishing</v>
      </c>
      <c r="E2027" s="2">
        <f>IFERROR(__xludf.DUMMYFUNCTION("""COMPUTED_VALUE"""),2.04)</f>
        <v>2.04</v>
      </c>
      <c r="F2027" s="2"/>
      <c r="G2027" s="2"/>
      <c r="H2027" s="2"/>
      <c r="I2027" s="2"/>
    </row>
    <row r="2028">
      <c r="A2028" s="2">
        <f>IFERROR(__xludf.DUMMYFUNCTION("""COMPUTED_VALUE"""),49360.0)</f>
        <v>49360</v>
      </c>
      <c r="B2028" s="2" t="str">
        <f>IFERROR(__xludf.DUMMYFUNCTION("""COMPUTED_VALUE"""),"Tech")</f>
        <v>Tech</v>
      </c>
      <c r="C2028" s="2" t="str">
        <f>IFERROR(__xludf.DUMMYFUNCTION("""COMPUTED_VALUE"""),"Communication Skills")</f>
        <v>Communication Skills</v>
      </c>
      <c r="D2028" s="2" t="str">
        <f>IFERROR(__xludf.DUMMYFUNCTION("""COMPUTED_VALUE"""),"Harborridge Publishing")</f>
        <v>Harborridge Publishing</v>
      </c>
      <c r="E2028" s="2">
        <f>IFERROR(__xludf.DUMMYFUNCTION("""COMPUTED_VALUE"""),2.87)</f>
        <v>2.87</v>
      </c>
      <c r="F2028" s="2"/>
      <c r="G2028" s="2"/>
      <c r="H2028" s="2"/>
      <c r="I2028" s="2"/>
    </row>
    <row r="2029">
      <c r="A2029" s="2">
        <f>IFERROR(__xludf.DUMMYFUNCTION("""COMPUTED_VALUE"""),194507.0)</f>
        <v>194507</v>
      </c>
      <c r="B2029" s="2" t="str">
        <f>IFERROR(__xludf.DUMMYFUNCTION("""COMPUTED_VALUE"""),"Tech")</f>
        <v>Tech</v>
      </c>
      <c r="C2029" s="2" t="str">
        <f>IFERROR(__xludf.DUMMYFUNCTION("""COMPUTED_VALUE"""),"Communication Skills")</f>
        <v>Communication Skills</v>
      </c>
      <c r="D2029" s="2" t="str">
        <f>IFERROR(__xludf.DUMMYFUNCTION("""COMPUTED_VALUE"""),"Harborridge Publishing")</f>
        <v>Harborridge Publishing</v>
      </c>
      <c r="E2029" s="2">
        <f>IFERROR(__xludf.DUMMYFUNCTION("""COMPUTED_VALUE"""),2.48)</f>
        <v>2.48</v>
      </c>
      <c r="F2029" s="2"/>
      <c r="G2029" s="2"/>
      <c r="H2029" s="2"/>
      <c r="I2029" s="2"/>
    </row>
    <row r="2030">
      <c r="A2030" s="2">
        <f>IFERROR(__xludf.DUMMYFUNCTION("""COMPUTED_VALUE"""),82453.0)</f>
        <v>82453</v>
      </c>
      <c r="B2030" s="2" t="str">
        <f>IFERROR(__xludf.DUMMYFUNCTION("""COMPUTED_VALUE"""),"Tech")</f>
        <v>Tech</v>
      </c>
      <c r="C2030" s="2" t="str">
        <f>IFERROR(__xludf.DUMMYFUNCTION("""COMPUTED_VALUE"""),"Communication Skills")</f>
        <v>Communication Skills</v>
      </c>
      <c r="D2030" s="2" t="str">
        <f>IFERROR(__xludf.DUMMYFUNCTION("""COMPUTED_VALUE"""),"Harborridge Publishing")</f>
        <v>Harborridge Publishing</v>
      </c>
      <c r="E2030" s="2">
        <f>IFERROR(__xludf.DUMMYFUNCTION("""COMPUTED_VALUE"""),1.82)</f>
        <v>1.82</v>
      </c>
      <c r="F2030" s="2"/>
      <c r="G2030" s="2"/>
      <c r="H2030" s="2"/>
      <c r="I2030" s="2"/>
    </row>
    <row r="2031">
      <c r="A2031" s="2">
        <f>IFERROR(__xludf.DUMMYFUNCTION("""COMPUTED_VALUE"""),79669.0)</f>
        <v>79669</v>
      </c>
      <c r="B2031" s="2" t="str">
        <f>IFERROR(__xludf.DUMMYFUNCTION("""COMPUTED_VALUE"""),"Tech")</f>
        <v>Tech</v>
      </c>
      <c r="C2031" s="2" t="str">
        <f>IFERROR(__xludf.DUMMYFUNCTION("""COMPUTED_VALUE"""),"Communication Skills")</f>
        <v>Communication Skills</v>
      </c>
      <c r="D2031" s="2" t="str">
        <f>IFERROR(__xludf.DUMMYFUNCTION("""COMPUTED_VALUE"""),"Harborridge Publishing")</f>
        <v>Harborridge Publishing</v>
      </c>
      <c r="E2031" s="2">
        <f>IFERROR(__xludf.DUMMYFUNCTION("""COMPUTED_VALUE"""),1.86)</f>
        <v>1.86</v>
      </c>
      <c r="F2031" s="2"/>
      <c r="G2031" s="2"/>
      <c r="H2031" s="2"/>
      <c r="I2031" s="2"/>
    </row>
    <row r="2032">
      <c r="A2032" s="2">
        <f>IFERROR(__xludf.DUMMYFUNCTION("""COMPUTED_VALUE"""),122294.0)</f>
        <v>122294</v>
      </c>
      <c r="B2032" s="2" t="str">
        <f>IFERROR(__xludf.DUMMYFUNCTION("""COMPUTED_VALUE"""),"Tech")</f>
        <v>Tech</v>
      </c>
      <c r="C2032" s="2" t="str">
        <f>IFERROR(__xludf.DUMMYFUNCTION("""COMPUTED_VALUE"""),"Communication Skills")</f>
        <v>Communication Skills</v>
      </c>
      <c r="D2032" s="2" t="str">
        <f>IFERROR(__xludf.DUMMYFUNCTION("""COMPUTED_VALUE"""),"Harborridge Publishing")</f>
        <v>Harborridge Publishing</v>
      </c>
      <c r="E2032" s="2">
        <f>IFERROR(__xludf.DUMMYFUNCTION("""COMPUTED_VALUE"""),1.02)</f>
        <v>1.02</v>
      </c>
      <c r="F2032" s="2"/>
      <c r="G2032" s="2"/>
      <c r="H2032" s="2"/>
      <c r="I2032" s="2"/>
    </row>
    <row r="2033">
      <c r="A2033" s="2">
        <f>IFERROR(__xludf.DUMMYFUNCTION("""COMPUTED_VALUE"""),73245.0)</f>
        <v>73245</v>
      </c>
      <c r="B2033" s="2" t="str">
        <f>IFERROR(__xludf.DUMMYFUNCTION("""COMPUTED_VALUE"""),"Tech")</f>
        <v>Tech</v>
      </c>
      <c r="C2033" s="2" t="str">
        <f>IFERROR(__xludf.DUMMYFUNCTION("""COMPUTED_VALUE"""),"Communication Skills")</f>
        <v>Communication Skills</v>
      </c>
      <c r="D2033" s="2" t="str">
        <f>IFERROR(__xludf.DUMMYFUNCTION("""COMPUTED_VALUE"""),"Harborridge Publishing")</f>
        <v>Harborridge Publishing</v>
      </c>
      <c r="E2033" s="2">
        <f>IFERROR(__xludf.DUMMYFUNCTION("""COMPUTED_VALUE"""),0.77)</f>
        <v>0.77</v>
      </c>
      <c r="F2033" s="2"/>
      <c r="G2033" s="2"/>
      <c r="H2033" s="2"/>
      <c r="I2033" s="2"/>
    </row>
    <row r="2034">
      <c r="A2034" s="2">
        <f>IFERROR(__xludf.DUMMYFUNCTION("""COMPUTED_VALUE"""),122082.0)</f>
        <v>122082</v>
      </c>
      <c r="B2034" s="2" t="str">
        <f>IFERROR(__xludf.DUMMYFUNCTION("""COMPUTED_VALUE"""),"Tech")</f>
        <v>Tech</v>
      </c>
      <c r="C2034" s="2" t="str">
        <f>IFERROR(__xludf.DUMMYFUNCTION("""COMPUTED_VALUE"""),"Communication Skills")</f>
        <v>Communication Skills</v>
      </c>
      <c r="D2034" s="2" t="str">
        <f>IFERROR(__xludf.DUMMYFUNCTION("""COMPUTED_VALUE"""),"Harborridge Publishing")</f>
        <v>Harborridge Publishing</v>
      </c>
      <c r="E2034" s="2">
        <f>IFERROR(__xludf.DUMMYFUNCTION("""COMPUTED_VALUE"""),1.82)</f>
        <v>1.82</v>
      </c>
      <c r="F2034" s="2"/>
      <c r="G2034" s="2"/>
      <c r="H2034" s="2"/>
      <c r="I2034" s="2"/>
    </row>
    <row r="2035">
      <c r="A2035" s="2">
        <f>IFERROR(__xludf.DUMMYFUNCTION("""COMPUTED_VALUE"""),194501.0)</f>
        <v>194501</v>
      </c>
      <c r="B2035" s="2" t="str">
        <f>IFERROR(__xludf.DUMMYFUNCTION("""COMPUTED_VALUE"""),"Tech")</f>
        <v>Tech</v>
      </c>
      <c r="C2035" s="2" t="str">
        <f>IFERROR(__xludf.DUMMYFUNCTION("""COMPUTED_VALUE"""),"Communication Skills")</f>
        <v>Communication Skills</v>
      </c>
      <c r="D2035" s="2" t="str">
        <f>IFERROR(__xludf.DUMMYFUNCTION("""COMPUTED_VALUE"""),"Harborridge Publishing")</f>
        <v>Harborridge Publishing</v>
      </c>
      <c r="E2035" s="2">
        <f>IFERROR(__xludf.DUMMYFUNCTION("""COMPUTED_VALUE"""),2.78)</f>
        <v>2.78</v>
      </c>
      <c r="F2035" s="2"/>
      <c r="G2035" s="2"/>
      <c r="H2035" s="2"/>
      <c r="I2035" s="2"/>
    </row>
    <row r="2036">
      <c r="A2036" s="2">
        <f>IFERROR(__xludf.DUMMYFUNCTION("""COMPUTED_VALUE"""),79105.0)</f>
        <v>79105</v>
      </c>
      <c r="B2036" s="2" t="str">
        <f>IFERROR(__xludf.DUMMYFUNCTION("""COMPUTED_VALUE"""),"Tech")</f>
        <v>Tech</v>
      </c>
      <c r="C2036" s="2" t="str">
        <f>IFERROR(__xludf.DUMMYFUNCTION("""COMPUTED_VALUE"""),"Communication Skills")</f>
        <v>Communication Skills</v>
      </c>
      <c r="D2036" s="2" t="str">
        <f>IFERROR(__xludf.DUMMYFUNCTION("""COMPUTED_VALUE"""),"Harborridge Publishing")</f>
        <v>Harborridge Publishing</v>
      </c>
      <c r="E2036" s="2">
        <f>IFERROR(__xludf.DUMMYFUNCTION("""COMPUTED_VALUE"""),2.08)</f>
        <v>2.08</v>
      </c>
      <c r="F2036" s="2"/>
      <c r="G2036" s="2"/>
      <c r="H2036" s="2"/>
      <c r="I2036" s="2"/>
    </row>
    <row r="2037">
      <c r="A2037" s="2">
        <f>IFERROR(__xludf.DUMMYFUNCTION("""COMPUTED_VALUE"""),87769.0)</f>
        <v>87769</v>
      </c>
      <c r="B2037" s="2" t="str">
        <f>IFERROR(__xludf.DUMMYFUNCTION("""COMPUTED_VALUE"""),"Tech")</f>
        <v>Tech</v>
      </c>
      <c r="C2037" s="2" t="str">
        <f>IFERROR(__xludf.DUMMYFUNCTION("""COMPUTED_VALUE"""),"Communication Skills")</f>
        <v>Communication Skills</v>
      </c>
      <c r="D2037" s="2" t="str">
        <f>IFERROR(__xludf.DUMMYFUNCTION("""COMPUTED_VALUE"""),"Harborridge Publishing")</f>
        <v>Harborridge Publishing</v>
      </c>
      <c r="E2037" s="2">
        <f>IFERROR(__xludf.DUMMYFUNCTION("""COMPUTED_VALUE"""),2.26)</f>
        <v>2.26</v>
      </c>
      <c r="F2037" s="2"/>
      <c r="G2037" s="2"/>
      <c r="H2037" s="2"/>
      <c r="I2037" s="2"/>
    </row>
    <row r="2038">
      <c r="A2038" s="2">
        <f>IFERROR(__xludf.DUMMYFUNCTION("""COMPUTED_VALUE"""),9734.0)</f>
        <v>9734</v>
      </c>
      <c r="B2038" s="2" t="str">
        <f>IFERROR(__xludf.DUMMYFUNCTION("""COMPUTED_VALUE"""),"Tech")</f>
        <v>Tech</v>
      </c>
      <c r="C2038" s="2" t="str">
        <f>IFERROR(__xludf.DUMMYFUNCTION("""COMPUTED_VALUE"""),"Communication Skills")</f>
        <v>Communication Skills</v>
      </c>
      <c r="D2038" s="2" t="str">
        <f>IFERROR(__xludf.DUMMYFUNCTION("""COMPUTED_VALUE"""),"Harborridge Publishing")</f>
        <v>Harborridge Publishing</v>
      </c>
      <c r="E2038" s="2">
        <f>IFERROR(__xludf.DUMMYFUNCTION("""COMPUTED_VALUE"""),2.12)</f>
        <v>2.12</v>
      </c>
      <c r="F2038" s="2"/>
      <c r="G2038" s="2"/>
      <c r="H2038" s="2"/>
      <c r="I2038" s="2"/>
    </row>
    <row r="2039">
      <c r="A2039" s="2">
        <f>IFERROR(__xludf.DUMMYFUNCTION("""COMPUTED_VALUE"""),149615.0)</f>
        <v>149615</v>
      </c>
      <c r="B2039" s="2" t="str">
        <f>IFERROR(__xludf.DUMMYFUNCTION("""COMPUTED_VALUE"""),"Tech")</f>
        <v>Tech</v>
      </c>
      <c r="C2039" s="2" t="str">
        <f>IFERROR(__xludf.DUMMYFUNCTION("""COMPUTED_VALUE"""),"Communication Skills")</f>
        <v>Communication Skills</v>
      </c>
      <c r="D2039" s="2" t="str">
        <f>IFERROR(__xludf.DUMMYFUNCTION("""COMPUTED_VALUE"""),"Harborridge Publishing")</f>
        <v>Harborridge Publishing</v>
      </c>
      <c r="E2039" s="2">
        <f>IFERROR(__xludf.DUMMYFUNCTION("""COMPUTED_VALUE"""),2.46)</f>
        <v>2.46</v>
      </c>
      <c r="F2039" s="2"/>
      <c r="G2039" s="2"/>
      <c r="H2039" s="2"/>
      <c r="I2039" s="2"/>
    </row>
    <row r="2040">
      <c r="A2040" s="2">
        <f>IFERROR(__xludf.DUMMYFUNCTION("""COMPUTED_VALUE"""),108966.0)</f>
        <v>108966</v>
      </c>
      <c r="B2040" s="2" t="str">
        <f>IFERROR(__xludf.DUMMYFUNCTION("""COMPUTED_VALUE"""),"Tech")</f>
        <v>Tech</v>
      </c>
      <c r="C2040" s="2" t="str">
        <f>IFERROR(__xludf.DUMMYFUNCTION("""COMPUTED_VALUE"""),"Communication Skills")</f>
        <v>Communication Skills</v>
      </c>
      <c r="D2040" s="2" t="str">
        <f>IFERROR(__xludf.DUMMYFUNCTION("""COMPUTED_VALUE"""),"Harborridge Publishing")</f>
        <v>Harborridge Publishing</v>
      </c>
      <c r="E2040" s="2">
        <f>IFERROR(__xludf.DUMMYFUNCTION("""COMPUTED_VALUE"""),2.14)</f>
        <v>2.14</v>
      </c>
      <c r="F2040" s="2"/>
      <c r="G2040" s="2"/>
      <c r="H2040" s="2"/>
      <c r="I2040" s="2"/>
    </row>
    <row r="2041">
      <c r="A2041" s="2">
        <f>IFERROR(__xludf.DUMMYFUNCTION("""COMPUTED_VALUE"""),116943.0)</f>
        <v>116943</v>
      </c>
      <c r="B2041" s="2" t="str">
        <f>IFERROR(__xludf.DUMMYFUNCTION("""COMPUTED_VALUE"""),"Tech")</f>
        <v>Tech</v>
      </c>
      <c r="C2041" s="2" t="str">
        <f>IFERROR(__xludf.DUMMYFUNCTION("""COMPUTED_VALUE"""),"Communication Skills")</f>
        <v>Communication Skills</v>
      </c>
      <c r="D2041" s="2" t="str">
        <f>IFERROR(__xludf.DUMMYFUNCTION("""COMPUTED_VALUE"""),"Harborridge Publishing")</f>
        <v>Harborridge Publishing</v>
      </c>
      <c r="E2041" s="2">
        <f>IFERROR(__xludf.DUMMYFUNCTION("""COMPUTED_VALUE"""),2.16)</f>
        <v>2.16</v>
      </c>
      <c r="F2041" s="2"/>
      <c r="G2041" s="2"/>
      <c r="H2041" s="2"/>
      <c r="I2041" s="2"/>
    </row>
    <row r="2042">
      <c r="A2042" s="2">
        <f>IFERROR(__xludf.DUMMYFUNCTION("""COMPUTED_VALUE"""),46769.0)</f>
        <v>46769</v>
      </c>
      <c r="B2042" s="2" t="str">
        <f>IFERROR(__xludf.DUMMYFUNCTION("""COMPUTED_VALUE"""),"Tech")</f>
        <v>Tech</v>
      </c>
      <c r="C2042" s="2" t="str">
        <f>IFERROR(__xludf.DUMMYFUNCTION("""COMPUTED_VALUE"""),"Communication Skills")</f>
        <v>Communication Skills</v>
      </c>
      <c r="D2042" s="2" t="str">
        <f>IFERROR(__xludf.DUMMYFUNCTION("""COMPUTED_VALUE"""),"Harborridge Publishing")</f>
        <v>Harborridge Publishing</v>
      </c>
      <c r="E2042" s="2">
        <f>IFERROR(__xludf.DUMMYFUNCTION("""COMPUTED_VALUE"""),2.09)</f>
        <v>2.09</v>
      </c>
      <c r="F2042" s="2"/>
      <c r="G2042" s="2"/>
      <c r="H2042" s="2"/>
      <c r="I2042" s="2"/>
    </row>
    <row r="2043">
      <c r="A2043" s="2">
        <f>IFERROR(__xludf.DUMMYFUNCTION("""COMPUTED_VALUE"""),87766.0)</f>
        <v>87766</v>
      </c>
      <c r="B2043" s="2" t="str">
        <f>IFERROR(__xludf.DUMMYFUNCTION("""COMPUTED_VALUE"""),"Tech")</f>
        <v>Tech</v>
      </c>
      <c r="C2043" s="2" t="str">
        <f>IFERROR(__xludf.DUMMYFUNCTION("""COMPUTED_VALUE"""),"Communication Skills")</f>
        <v>Communication Skills</v>
      </c>
      <c r="D2043" s="2" t="str">
        <f>IFERROR(__xludf.DUMMYFUNCTION("""COMPUTED_VALUE"""),"Harborridge Publishing")</f>
        <v>Harborridge Publishing</v>
      </c>
      <c r="E2043" s="2">
        <f>IFERROR(__xludf.DUMMYFUNCTION("""COMPUTED_VALUE"""),2.26)</f>
        <v>2.26</v>
      </c>
      <c r="F2043" s="2"/>
      <c r="G2043" s="2"/>
      <c r="H2043" s="2"/>
      <c r="I2043" s="2"/>
    </row>
    <row r="2044">
      <c r="A2044" s="2">
        <f>IFERROR(__xludf.DUMMYFUNCTION("""COMPUTED_VALUE"""),110701.0)</f>
        <v>110701</v>
      </c>
      <c r="B2044" s="2" t="str">
        <f>IFERROR(__xludf.DUMMYFUNCTION("""COMPUTED_VALUE"""),"Tech")</f>
        <v>Tech</v>
      </c>
      <c r="C2044" s="2" t="str">
        <f>IFERROR(__xludf.DUMMYFUNCTION("""COMPUTED_VALUE"""),"Communication Skills")</f>
        <v>Communication Skills</v>
      </c>
      <c r="D2044" s="2" t="str">
        <f>IFERROR(__xludf.DUMMYFUNCTION("""COMPUTED_VALUE"""),"Harborridge Publishing")</f>
        <v>Harborridge Publishing</v>
      </c>
      <c r="E2044" s="2">
        <f>IFERROR(__xludf.DUMMYFUNCTION("""COMPUTED_VALUE"""),1.9)</f>
        <v>1.9</v>
      </c>
      <c r="F2044" s="2"/>
      <c r="G2044" s="2"/>
      <c r="H2044" s="2"/>
      <c r="I2044" s="2"/>
    </row>
    <row r="2045">
      <c r="A2045" s="2">
        <f>IFERROR(__xludf.DUMMYFUNCTION("""COMPUTED_VALUE"""),4205.0)</f>
        <v>4205</v>
      </c>
      <c r="B2045" s="2" t="str">
        <f>IFERROR(__xludf.DUMMYFUNCTION("""COMPUTED_VALUE"""),"Tech")</f>
        <v>Tech</v>
      </c>
      <c r="C2045" s="2" t="str">
        <f>IFERROR(__xludf.DUMMYFUNCTION("""COMPUTED_VALUE"""),"Communication Skills")</f>
        <v>Communication Skills</v>
      </c>
      <c r="D2045" s="2" t="str">
        <f>IFERROR(__xludf.DUMMYFUNCTION("""COMPUTED_VALUE"""),"Harborridge Publishing")</f>
        <v>Harborridge Publishing</v>
      </c>
      <c r="E2045" s="2">
        <f>IFERROR(__xludf.DUMMYFUNCTION("""COMPUTED_VALUE"""),2.32)</f>
        <v>2.32</v>
      </c>
      <c r="F2045" s="2"/>
      <c r="G2045" s="2"/>
      <c r="H2045" s="2"/>
      <c r="I2045" s="2"/>
    </row>
    <row r="2046">
      <c r="A2046" s="2">
        <f>IFERROR(__xludf.DUMMYFUNCTION("""COMPUTED_VALUE"""),122615.0)</f>
        <v>122615</v>
      </c>
      <c r="B2046" s="2" t="str">
        <f>IFERROR(__xludf.DUMMYFUNCTION("""COMPUTED_VALUE"""),"Tech")</f>
        <v>Tech</v>
      </c>
      <c r="C2046" s="2" t="str">
        <f>IFERROR(__xludf.DUMMYFUNCTION("""COMPUTED_VALUE"""),"Communication Skills")</f>
        <v>Communication Skills</v>
      </c>
      <c r="D2046" s="2" t="str">
        <f>IFERROR(__xludf.DUMMYFUNCTION("""COMPUTED_VALUE"""),"Harborridge Publishing")</f>
        <v>Harborridge Publishing</v>
      </c>
      <c r="E2046" s="2">
        <f>IFERROR(__xludf.DUMMYFUNCTION("""COMPUTED_VALUE"""),1.55)</f>
        <v>1.55</v>
      </c>
      <c r="F2046" s="2"/>
      <c r="G2046" s="2"/>
      <c r="H2046" s="2"/>
      <c r="I2046" s="2"/>
    </row>
    <row r="2047">
      <c r="A2047" s="2">
        <f>IFERROR(__xludf.DUMMYFUNCTION("""COMPUTED_VALUE"""),87800.0)</f>
        <v>87800</v>
      </c>
      <c r="B2047" s="2" t="str">
        <f>IFERROR(__xludf.DUMMYFUNCTION("""COMPUTED_VALUE"""),"Tech")</f>
        <v>Tech</v>
      </c>
      <c r="C2047" s="2" t="str">
        <f>IFERROR(__xludf.DUMMYFUNCTION("""COMPUTED_VALUE"""),"Communication Skills")</f>
        <v>Communication Skills</v>
      </c>
      <c r="D2047" s="2" t="str">
        <f>IFERROR(__xludf.DUMMYFUNCTION("""COMPUTED_VALUE"""),"Harborridge Publishing")</f>
        <v>Harborridge Publishing</v>
      </c>
      <c r="E2047" s="2">
        <f>IFERROR(__xludf.DUMMYFUNCTION("""COMPUTED_VALUE"""),2.28)</f>
        <v>2.28</v>
      </c>
      <c r="F2047" s="2"/>
      <c r="G2047" s="2"/>
      <c r="H2047" s="2"/>
      <c r="I2047" s="2"/>
    </row>
    <row r="2048">
      <c r="A2048" s="2">
        <f>IFERROR(__xludf.DUMMYFUNCTION("""COMPUTED_VALUE"""),87801.0)</f>
        <v>87801</v>
      </c>
      <c r="B2048" s="2" t="str">
        <f>IFERROR(__xludf.DUMMYFUNCTION("""COMPUTED_VALUE"""),"Tech")</f>
        <v>Tech</v>
      </c>
      <c r="C2048" s="2" t="str">
        <f>IFERROR(__xludf.DUMMYFUNCTION("""COMPUTED_VALUE"""),"Communication Skills")</f>
        <v>Communication Skills</v>
      </c>
      <c r="D2048" s="2" t="str">
        <f>IFERROR(__xludf.DUMMYFUNCTION("""COMPUTED_VALUE"""),"Harborridge Publishing")</f>
        <v>Harborridge Publishing</v>
      </c>
      <c r="E2048" s="2">
        <f>IFERROR(__xludf.DUMMYFUNCTION("""COMPUTED_VALUE"""),2.18)</f>
        <v>2.18</v>
      </c>
      <c r="F2048" s="2"/>
      <c r="G2048" s="2"/>
      <c r="H2048" s="2"/>
      <c r="I2048" s="2"/>
    </row>
    <row r="2049">
      <c r="A2049" s="2">
        <f>IFERROR(__xludf.DUMMYFUNCTION("""COMPUTED_VALUE"""),87767.0)</f>
        <v>87767</v>
      </c>
      <c r="B2049" s="2" t="str">
        <f>IFERROR(__xludf.DUMMYFUNCTION("""COMPUTED_VALUE"""),"Tech")</f>
        <v>Tech</v>
      </c>
      <c r="C2049" s="2" t="str">
        <f>IFERROR(__xludf.DUMMYFUNCTION("""COMPUTED_VALUE"""),"Communication Skills")</f>
        <v>Communication Skills</v>
      </c>
      <c r="D2049" s="2" t="str">
        <f>IFERROR(__xludf.DUMMYFUNCTION("""COMPUTED_VALUE"""),"Harborridge Publishing")</f>
        <v>Harborridge Publishing</v>
      </c>
      <c r="E2049" s="2">
        <f>IFERROR(__xludf.DUMMYFUNCTION("""COMPUTED_VALUE"""),2.04)</f>
        <v>2.04</v>
      </c>
      <c r="F2049" s="2"/>
      <c r="G2049" s="2"/>
      <c r="H2049" s="2"/>
      <c r="I2049" s="2"/>
    </row>
    <row r="2050">
      <c r="A2050" s="2">
        <f>IFERROR(__xludf.DUMMYFUNCTION("""COMPUTED_VALUE"""),82454.0)</f>
        <v>82454</v>
      </c>
      <c r="B2050" s="2" t="str">
        <f>IFERROR(__xludf.DUMMYFUNCTION("""COMPUTED_VALUE"""),"Tech")</f>
        <v>Tech</v>
      </c>
      <c r="C2050" s="2" t="str">
        <f>IFERROR(__xludf.DUMMYFUNCTION("""COMPUTED_VALUE"""),"Communication Skills")</f>
        <v>Communication Skills</v>
      </c>
      <c r="D2050" s="2" t="str">
        <f>IFERROR(__xludf.DUMMYFUNCTION("""COMPUTED_VALUE"""),"Harborridge Publishing")</f>
        <v>Harborridge Publishing</v>
      </c>
      <c r="E2050" s="2">
        <f>IFERROR(__xludf.DUMMYFUNCTION("""COMPUTED_VALUE"""),2.07)</f>
        <v>2.07</v>
      </c>
      <c r="F2050" s="2"/>
      <c r="G2050" s="2"/>
      <c r="H2050" s="2"/>
      <c r="I2050" s="2"/>
    </row>
    <row r="2051">
      <c r="A2051" s="2">
        <f>IFERROR(__xludf.DUMMYFUNCTION("""COMPUTED_VALUE"""),194506.0)</f>
        <v>194506</v>
      </c>
      <c r="B2051" s="2" t="str">
        <f>IFERROR(__xludf.DUMMYFUNCTION("""COMPUTED_VALUE"""),"Tech")</f>
        <v>Tech</v>
      </c>
      <c r="C2051" s="2" t="str">
        <f>IFERROR(__xludf.DUMMYFUNCTION("""COMPUTED_VALUE"""),"Communication Skills")</f>
        <v>Communication Skills</v>
      </c>
      <c r="D2051" s="2" t="str">
        <f>IFERROR(__xludf.DUMMYFUNCTION("""COMPUTED_VALUE"""),"Harborridge Publishing")</f>
        <v>Harborridge Publishing</v>
      </c>
      <c r="E2051" s="2">
        <f>IFERROR(__xludf.DUMMYFUNCTION("""COMPUTED_VALUE"""),2.81)</f>
        <v>2.81</v>
      </c>
      <c r="F2051" s="2"/>
      <c r="G2051" s="2"/>
      <c r="H2051" s="2"/>
      <c r="I2051" s="2"/>
    </row>
    <row r="2052">
      <c r="A2052" s="2">
        <f>IFERROR(__xludf.DUMMYFUNCTION("""COMPUTED_VALUE"""),16240.0)</f>
        <v>16240</v>
      </c>
      <c r="B2052" s="2" t="str">
        <f>IFERROR(__xludf.DUMMYFUNCTION("""COMPUTED_VALUE"""),"Tech")</f>
        <v>Tech</v>
      </c>
      <c r="C2052" s="2" t="str">
        <f>IFERROR(__xludf.DUMMYFUNCTION("""COMPUTED_VALUE"""),"Communication Skills")</f>
        <v>Communication Skills</v>
      </c>
      <c r="D2052" s="2" t="str">
        <f>IFERROR(__xludf.DUMMYFUNCTION("""COMPUTED_VALUE"""),"Harborridge Publishing")</f>
        <v>Harborridge Publishing</v>
      </c>
      <c r="E2052" s="2">
        <f>IFERROR(__xludf.DUMMYFUNCTION("""COMPUTED_VALUE"""),2.42)</f>
        <v>2.42</v>
      </c>
      <c r="F2052" s="2"/>
      <c r="G2052" s="2"/>
      <c r="H2052" s="2"/>
      <c r="I2052" s="2"/>
    </row>
    <row r="2053">
      <c r="A2053" s="2">
        <f>IFERROR(__xludf.DUMMYFUNCTION("""COMPUTED_VALUE"""),16237.0)</f>
        <v>16237</v>
      </c>
      <c r="B2053" s="2" t="str">
        <f>IFERROR(__xludf.DUMMYFUNCTION("""COMPUTED_VALUE"""),"Tech")</f>
        <v>Tech</v>
      </c>
      <c r="C2053" s="2" t="str">
        <f>IFERROR(__xludf.DUMMYFUNCTION("""COMPUTED_VALUE"""),"Communication Skills")</f>
        <v>Communication Skills</v>
      </c>
      <c r="D2053" s="2" t="str">
        <f>IFERROR(__xludf.DUMMYFUNCTION("""COMPUTED_VALUE"""),"Harborridge Publishing")</f>
        <v>Harborridge Publishing</v>
      </c>
      <c r="E2053" s="2">
        <f>IFERROR(__xludf.DUMMYFUNCTION("""COMPUTED_VALUE"""),2.82)</f>
        <v>2.82</v>
      </c>
      <c r="F2053" s="2"/>
      <c r="G2053" s="2"/>
      <c r="H2053" s="2"/>
      <c r="I2053" s="2"/>
    </row>
    <row r="2054">
      <c r="A2054" s="2">
        <f>IFERROR(__xludf.DUMMYFUNCTION("""COMPUTED_VALUE"""),122760.0)</f>
        <v>122760</v>
      </c>
      <c r="B2054" s="2" t="str">
        <f>IFERROR(__xludf.DUMMYFUNCTION("""COMPUTED_VALUE"""),"Tech")</f>
        <v>Tech</v>
      </c>
      <c r="C2054" s="2" t="str">
        <f>IFERROR(__xludf.DUMMYFUNCTION("""COMPUTED_VALUE"""),"Communication Skills")</f>
        <v>Communication Skills</v>
      </c>
      <c r="D2054" s="2" t="str">
        <f>IFERROR(__xludf.DUMMYFUNCTION("""COMPUTED_VALUE"""),"Harborridge Publishing")</f>
        <v>Harborridge Publishing</v>
      </c>
      <c r="E2054" s="2">
        <f>IFERROR(__xludf.DUMMYFUNCTION("""COMPUTED_VALUE"""),3.06)</f>
        <v>3.06</v>
      </c>
      <c r="F2054" s="2"/>
      <c r="G2054" s="2"/>
      <c r="H2054" s="2"/>
      <c r="I2054" s="2"/>
    </row>
    <row r="2055">
      <c r="A2055" s="2">
        <f>IFERROR(__xludf.DUMMYFUNCTION("""COMPUTED_VALUE"""),82446.0)</f>
        <v>82446</v>
      </c>
      <c r="B2055" s="2" t="str">
        <f>IFERROR(__xludf.DUMMYFUNCTION("""COMPUTED_VALUE"""),"Tech")</f>
        <v>Tech</v>
      </c>
      <c r="C2055" s="2" t="str">
        <f>IFERROR(__xludf.DUMMYFUNCTION("""COMPUTED_VALUE"""),"Communication Skills")</f>
        <v>Communication Skills</v>
      </c>
      <c r="D2055" s="2" t="str">
        <f>IFERROR(__xludf.DUMMYFUNCTION("""COMPUTED_VALUE"""),"Harborridge Publishing")</f>
        <v>Harborridge Publishing</v>
      </c>
      <c r="E2055" s="2">
        <f>IFERROR(__xludf.DUMMYFUNCTION("""COMPUTED_VALUE"""),2.97)</f>
        <v>2.97</v>
      </c>
      <c r="F2055" s="2"/>
      <c r="G2055" s="2"/>
      <c r="H2055" s="2"/>
      <c r="I2055" s="2"/>
    </row>
    <row r="2056">
      <c r="A2056" s="2">
        <f>IFERROR(__xludf.DUMMYFUNCTION("""COMPUTED_VALUE"""),118333.0)</f>
        <v>118333</v>
      </c>
      <c r="B2056" s="2" t="str">
        <f>IFERROR(__xludf.DUMMYFUNCTION("""COMPUTED_VALUE"""),"Tech")</f>
        <v>Tech</v>
      </c>
      <c r="C2056" s="2" t="str">
        <f>IFERROR(__xludf.DUMMYFUNCTION("""COMPUTED_VALUE"""),"Communication Skills")</f>
        <v>Communication Skills</v>
      </c>
      <c r="D2056" s="2" t="str">
        <f>IFERROR(__xludf.DUMMYFUNCTION("""COMPUTED_VALUE"""),"Harborridge Publishing")</f>
        <v>Harborridge Publishing</v>
      </c>
      <c r="E2056" s="2">
        <f>IFERROR(__xludf.DUMMYFUNCTION("""COMPUTED_VALUE"""),1.35)</f>
        <v>1.35</v>
      </c>
      <c r="F2056" s="2"/>
      <c r="G2056" s="2"/>
      <c r="H2056" s="2"/>
      <c r="I2056" s="2"/>
    </row>
    <row r="2057">
      <c r="A2057" s="2">
        <f>IFERROR(__xludf.DUMMYFUNCTION("""COMPUTED_VALUE"""),122774.0)</f>
        <v>122774</v>
      </c>
      <c r="B2057" s="2" t="str">
        <f>IFERROR(__xludf.DUMMYFUNCTION("""COMPUTED_VALUE"""),"Tech")</f>
        <v>Tech</v>
      </c>
      <c r="C2057" s="2" t="str">
        <f>IFERROR(__xludf.DUMMYFUNCTION("""COMPUTED_VALUE"""),"Communication Skills")</f>
        <v>Communication Skills</v>
      </c>
      <c r="D2057" s="2" t="str">
        <f>IFERROR(__xludf.DUMMYFUNCTION("""COMPUTED_VALUE"""),"Harborridge Publishing")</f>
        <v>Harborridge Publishing</v>
      </c>
      <c r="E2057" s="2">
        <f>IFERROR(__xludf.DUMMYFUNCTION("""COMPUTED_VALUE"""),2.67)</f>
        <v>2.67</v>
      </c>
      <c r="F2057" s="2"/>
      <c r="G2057" s="2"/>
      <c r="H2057" s="2"/>
      <c r="I2057" s="2"/>
    </row>
    <row r="2058">
      <c r="A2058" s="2">
        <f>IFERROR(__xludf.DUMMYFUNCTION("""COMPUTED_VALUE"""),87789.0)</f>
        <v>87789</v>
      </c>
      <c r="B2058" s="2" t="str">
        <f>IFERROR(__xludf.DUMMYFUNCTION("""COMPUTED_VALUE"""),"Tech")</f>
        <v>Tech</v>
      </c>
      <c r="C2058" s="2" t="str">
        <f>IFERROR(__xludf.DUMMYFUNCTION("""COMPUTED_VALUE"""),"Communication Skills")</f>
        <v>Communication Skills</v>
      </c>
      <c r="D2058" s="2" t="str">
        <f>IFERROR(__xludf.DUMMYFUNCTION("""COMPUTED_VALUE"""),"Harborridge Publishing")</f>
        <v>Harborridge Publishing</v>
      </c>
      <c r="E2058" s="2">
        <f>IFERROR(__xludf.DUMMYFUNCTION("""COMPUTED_VALUE"""),2.33)</f>
        <v>2.33</v>
      </c>
      <c r="F2058" s="2"/>
      <c r="G2058" s="2"/>
      <c r="H2058" s="2"/>
      <c r="I2058" s="2"/>
    </row>
    <row r="2059">
      <c r="A2059" s="2">
        <f>IFERROR(__xludf.DUMMYFUNCTION("""COMPUTED_VALUE"""),111159.0)</f>
        <v>111159</v>
      </c>
      <c r="B2059" s="2" t="str">
        <f>IFERROR(__xludf.DUMMYFUNCTION("""COMPUTED_VALUE"""),"Tech")</f>
        <v>Tech</v>
      </c>
      <c r="C2059" s="2" t="str">
        <f>IFERROR(__xludf.DUMMYFUNCTION("""COMPUTED_VALUE"""),"Communication Skills")</f>
        <v>Communication Skills</v>
      </c>
      <c r="D2059" s="2" t="str">
        <f>IFERROR(__xludf.DUMMYFUNCTION("""COMPUTED_VALUE"""),"Harborridge Publishing")</f>
        <v>Harborridge Publishing</v>
      </c>
      <c r="E2059" s="2">
        <f>IFERROR(__xludf.DUMMYFUNCTION("""COMPUTED_VALUE"""),3.25)</f>
        <v>3.25</v>
      </c>
      <c r="F2059" s="2"/>
      <c r="G2059" s="2"/>
      <c r="H2059" s="2"/>
      <c r="I2059" s="2"/>
    </row>
    <row r="2060">
      <c r="A2060" s="2">
        <f>IFERROR(__xludf.DUMMYFUNCTION("""COMPUTED_VALUE"""),194500.0)</f>
        <v>194500</v>
      </c>
      <c r="B2060" s="2" t="str">
        <f>IFERROR(__xludf.DUMMYFUNCTION("""COMPUTED_VALUE"""),"Tech")</f>
        <v>Tech</v>
      </c>
      <c r="C2060" s="2" t="str">
        <f>IFERROR(__xludf.DUMMYFUNCTION("""COMPUTED_VALUE"""),"Communication Skills")</f>
        <v>Communication Skills</v>
      </c>
      <c r="D2060" s="2" t="str">
        <f>IFERROR(__xludf.DUMMYFUNCTION("""COMPUTED_VALUE"""),"Harborridge Publishing")</f>
        <v>Harborridge Publishing</v>
      </c>
      <c r="E2060" s="2">
        <f>IFERROR(__xludf.DUMMYFUNCTION("""COMPUTED_VALUE"""),2.61)</f>
        <v>2.61</v>
      </c>
      <c r="F2060" s="2"/>
      <c r="G2060" s="2"/>
      <c r="H2060" s="2"/>
      <c r="I2060" s="2"/>
    </row>
    <row r="2061">
      <c r="A2061" s="2">
        <f>IFERROR(__xludf.DUMMYFUNCTION("""COMPUTED_VALUE"""),80432.0)</f>
        <v>80432</v>
      </c>
      <c r="B2061" s="2" t="str">
        <f>IFERROR(__xludf.DUMMYFUNCTION("""COMPUTED_VALUE"""),"Tech")</f>
        <v>Tech</v>
      </c>
      <c r="C2061" s="2" t="str">
        <f>IFERROR(__xludf.DUMMYFUNCTION("""COMPUTED_VALUE"""),"Communication Skills")</f>
        <v>Communication Skills</v>
      </c>
      <c r="D2061" s="2" t="str">
        <f>IFERROR(__xludf.DUMMYFUNCTION("""COMPUTED_VALUE"""),"Harborridge Publishing")</f>
        <v>Harborridge Publishing</v>
      </c>
      <c r="E2061" s="2">
        <f>IFERROR(__xludf.DUMMYFUNCTION("""COMPUTED_VALUE"""),3.18)</f>
        <v>3.18</v>
      </c>
      <c r="F2061" s="2"/>
      <c r="G2061" s="2"/>
      <c r="H2061" s="2"/>
      <c r="I2061" s="2"/>
    </row>
    <row r="2062">
      <c r="A2062" s="2">
        <f>IFERROR(__xludf.DUMMYFUNCTION("""COMPUTED_VALUE"""),122636.0)</f>
        <v>122636</v>
      </c>
      <c r="B2062" s="2" t="str">
        <f>IFERROR(__xludf.DUMMYFUNCTION("""COMPUTED_VALUE"""),"Tech")</f>
        <v>Tech</v>
      </c>
      <c r="C2062" s="2" t="str">
        <f>IFERROR(__xludf.DUMMYFUNCTION("""COMPUTED_VALUE"""),"Communication Skills")</f>
        <v>Communication Skills</v>
      </c>
      <c r="D2062" s="2" t="str">
        <f>IFERROR(__xludf.DUMMYFUNCTION("""COMPUTED_VALUE"""),"Harborridge Publishing")</f>
        <v>Harborridge Publishing</v>
      </c>
      <c r="E2062" s="2">
        <f>IFERROR(__xludf.DUMMYFUNCTION("""COMPUTED_VALUE"""),3.52)</f>
        <v>3.52</v>
      </c>
      <c r="F2062" s="2"/>
      <c r="G2062" s="2"/>
      <c r="H2062" s="2"/>
      <c r="I2062" s="2"/>
    </row>
    <row r="2063">
      <c r="A2063" s="2">
        <f>IFERROR(__xludf.DUMMYFUNCTION("""COMPUTED_VALUE"""),110697.0)</f>
        <v>110697</v>
      </c>
      <c r="B2063" s="2" t="str">
        <f>IFERROR(__xludf.DUMMYFUNCTION("""COMPUTED_VALUE"""),"Tech")</f>
        <v>Tech</v>
      </c>
      <c r="C2063" s="2" t="str">
        <f>IFERROR(__xludf.DUMMYFUNCTION("""COMPUTED_VALUE"""),"Communication Skills")</f>
        <v>Communication Skills</v>
      </c>
      <c r="D2063" s="2" t="str">
        <f>IFERROR(__xludf.DUMMYFUNCTION("""COMPUTED_VALUE"""),"Harborridge Publishing")</f>
        <v>Harborridge Publishing</v>
      </c>
      <c r="E2063" s="2">
        <f>IFERROR(__xludf.DUMMYFUNCTION("""COMPUTED_VALUE"""),1.56)</f>
        <v>1.56</v>
      </c>
      <c r="F2063" s="2"/>
      <c r="G2063" s="2"/>
      <c r="H2063" s="2"/>
      <c r="I2063" s="2"/>
    </row>
    <row r="2064">
      <c r="A2064" s="2">
        <f>IFERROR(__xludf.DUMMYFUNCTION("""COMPUTED_VALUE"""),117966.0)</f>
        <v>117966</v>
      </c>
      <c r="B2064" s="2" t="str">
        <f>IFERROR(__xludf.DUMMYFUNCTION("""COMPUTED_VALUE"""),"Tech")</f>
        <v>Tech</v>
      </c>
      <c r="C2064" s="2" t="str">
        <f>IFERROR(__xludf.DUMMYFUNCTION("""COMPUTED_VALUE"""),"Communication Skills")</f>
        <v>Communication Skills</v>
      </c>
      <c r="D2064" s="2" t="str">
        <f>IFERROR(__xludf.DUMMYFUNCTION("""COMPUTED_VALUE"""),"Harborridge Publishing")</f>
        <v>Harborridge Publishing</v>
      </c>
      <c r="E2064" s="2">
        <f>IFERROR(__xludf.DUMMYFUNCTION("""COMPUTED_VALUE"""),4.52)</f>
        <v>4.52</v>
      </c>
      <c r="F2064" s="2"/>
      <c r="G2064" s="2"/>
      <c r="H2064" s="2"/>
      <c r="I2064" s="2"/>
    </row>
    <row r="2065">
      <c r="A2065" s="2">
        <f>IFERROR(__xludf.DUMMYFUNCTION("""COMPUTED_VALUE"""),122782.0)</f>
        <v>122782</v>
      </c>
      <c r="B2065" s="2" t="str">
        <f>IFERROR(__xludf.DUMMYFUNCTION("""COMPUTED_VALUE"""),"Tech")</f>
        <v>Tech</v>
      </c>
      <c r="C2065" s="2" t="str">
        <f>IFERROR(__xludf.DUMMYFUNCTION("""COMPUTED_VALUE"""),"Communication Skills")</f>
        <v>Communication Skills</v>
      </c>
      <c r="D2065" s="2" t="str">
        <f>IFERROR(__xludf.DUMMYFUNCTION("""COMPUTED_VALUE"""),"Harborridge Publishing")</f>
        <v>Harborridge Publishing</v>
      </c>
      <c r="E2065" s="2">
        <f>IFERROR(__xludf.DUMMYFUNCTION("""COMPUTED_VALUE"""),3.22)</f>
        <v>3.22</v>
      </c>
      <c r="F2065" s="2"/>
      <c r="G2065" s="2"/>
      <c r="H2065" s="2"/>
      <c r="I2065" s="2"/>
    </row>
    <row r="2066">
      <c r="A2066" s="2">
        <f>IFERROR(__xludf.DUMMYFUNCTION("""COMPUTED_VALUE"""),49358.0)</f>
        <v>49358</v>
      </c>
      <c r="B2066" s="2" t="str">
        <f>IFERROR(__xludf.DUMMYFUNCTION("""COMPUTED_VALUE"""),"Tech")</f>
        <v>Tech</v>
      </c>
      <c r="C2066" s="2" t="str">
        <f>IFERROR(__xludf.DUMMYFUNCTION("""COMPUTED_VALUE"""),"Communication Skills")</f>
        <v>Communication Skills</v>
      </c>
      <c r="D2066" s="2" t="str">
        <f>IFERROR(__xludf.DUMMYFUNCTION("""COMPUTED_VALUE"""),"Harborridge Publishing")</f>
        <v>Harborridge Publishing</v>
      </c>
      <c r="E2066" s="2">
        <f>IFERROR(__xludf.DUMMYFUNCTION("""COMPUTED_VALUE"""),3.11)</f>
        <v>3.11</v>
      </c>
      <c r="F2066" s="2"/>
      <c r="G2066" s="2"/>
      <c r="H2066" s="2"/>
      <c r="I2066" s="2"/>
    </row>
    <row r="2067">
      <c r="A2067" s="2">
        <f>IFERROR(__xludf.DUMMYFUNCTION("""COMPUTED_VALUE"""),190250.0)</f>
        <v>190250</v>
      </c>
      <c r="B2067" s="2" t="str">
        <f>IFERROR(__xludf.DUMMYFUNCTION("""COMPUTED_VALUE"""),"Tech")</f>
        <v>Tech</v>
      </c>
      <c r="C2067" s="2" t="str">
        <f>IFERROR(__xludf.DUMMYFUNCTION("""COMPUTED_VALUE"""),"Communication Skills")</f>
        <v>Communication Skills</v>
      </c>
      <c r="D2067" s="2" t="str">
        <f>IFERROR(__xludf.DUMMYFUNCTION("""COMPUTED_VALUE"""),"Harborridge Publishing")</f>
        <v>Harborridge Publishing</v>
      </c>
      <c r="E2067" s="2">
        <f>IFERROR(__xludf.DUMMYFUNCTION("""COMPUTED_VALUE"""),1.37)</f>
        <v>1.37</v>
      </c>
      <c r="F2067" s="2"/>
      <c r="G2067" s="2"/>
      <c r="H2067" s="2"/>
      <c r="I2067" s="2"/>
    </row>
    <row r="2068">
      <c r="A2068" s="2">
        <f>IFERROR(__xludf.DUMMYFUNCTION("""COMPUTED_VALUE"""),100243.0)</f>
        <v>100243</v>
      </c>
      <c r="B2068" s="2" t="str">
        <f>IFERROR(__xludf.DUMMYFUNCTION("""COMPUTED_VALUE"""),"Tech")</f>
        <v>Tech</v>
      </c>
      <c r="C2068" s="2" t="str">
        <f>IFERROR(__xludf.DUMMYFUNCTION("""COMPUTED_VALUE"""),"Communication Skills")</f>
        <v>Communication Skills</v>
      </c>
      <c r="D2068" s="2" t="str">
        <f>IFERROR(__xludf.DUMMYFUNCTION("""COMPUTED_VALUE"""),"Harborridge Publishing")</f>
        <v>Harborridge Publishing</v>
      </c>
      <c r="E2068" s="2">
        <f>IFERROR(__xludf.DUMMYFUNCTION("""COMPUTED_VALUE"""),1.03)</f>
        <v>1.03</v>
      </c>
      <c r="F2068" s="2"/>
      <c r="G2068" s="2"/>
      <c r="H2068" s="2"/>
      <c r="I2068" s="2"/>
    </row>
    <row r="2069">
      <c r="A2069" s="2">
        <f>IFERROR(__xludf.DUMMYFUNCTION("""COMPUTED_VALUE"""),87773.0)</f>
        <v>87773</v>
      </c>
      <c r="B2069" s="2" t="str">
        <f>IFERROR(__xludf.DUMMYFUNCTION("""COMPUTED_VALUE"""),"Tech")</f>
        <v>Tech</v>
      </c>
      <c r="C2069" s="2" t="str">
        <f>IFERROR(__xludf.DUMMYFUNCTION("""COMPUTED_VALUE"""),"Communication Skills")</f>
        <v>Communication Skills</v>
      </c>
      <c r="D2069" s="2" t="str">
        <f>IFERROR(__xludf.DUMMYFUNCTION("""COMPUTED_VALUE"""),"Harborridge Publishing")</f>
        <v>Harborridge Publishing</v>
      </c>
      <c r="E2069" s="2">
        <f>IFERROR(__xludf.DUMMYFUNCTION("""COMPUTED_VALUE"""),2.24)</f>
        <v>2.24</v>
      </c>
      <c r="F2069" s="2"/>
      <c r="G2069" s="2"/>
      <c r="H2069" s="2"/>
      <c r="I2069" s="2"/>
    </row>
    <row r="2070">
      <c r="A2070" s="2">
        <f>IFERROR(__xludf.DUMMYFUNCTION("""COMPUTED_VALUE"""),79103.0)</f>
        <v>79103</v>
      </c>
      <c r="B2070" s="2" t="str">
        <f>IFERROR(__xludf.DUMMYFUNCTION("""COMPUTED_VALUE"""),"Tech")</f>
        <v>Tech</v>
      </c>
      <c r="C2070" s="2" t="str">
        <f>IFERROR(__xludf.DUMMYFUNCTION("""COMPUTED_VALUE"""),"Communication Skills")</f>
        <v>Communication Skills</v>
      </c>
      <c r="D2070" s="2" t="str">
        <f>IFERROR(__xludf.DUMMYFUNCTION("""COMPUTED_VALUE"""),"Harborridge Publishing")</f>
        <v>Harborridge Publishing</v>
      </c>
      <c r="E2070" s="2">
        <f>IFERROR(__xludf.DUMMYFUNCTION("""COMPUTED_VALUE"""),1.88)</f>
        <v>1.88</v>
      </c>
      <c r="F2070" s="2"/>
      <c r="G2070" s="2"/>
      <c r="H2070" s="2"/>
      <c r="I2070" s="2"/>
    </row>
    <row r="2071">
      <c r="A2071" s="2">
        <f>IFERROR(__xludf.DUMMYFUNCTION("""COMPUTED_VALUE"""),87759.0)</f>
        <v>87759</v>
      </c>
      <c r="B2071" s="2" t="str">
        <f>IFERROR(__xludf.DUMMYFUNCTION("""COMPUTED_VALUE"""),"Tech")</f>
        <v>Tech</v>
      </c>
      <c r="C2071" s="2" t="str">
        <f>IFERROR(__xludf.DUMMYFUNCTION("""COMPUTED_VALUE"""),"Communication Skills")</f>
        <v>Communication Skills</v>
      </c>
      <c r="D2071" s="2" t="str">
        <f>IFERROR(__xludf.DUMMYFUNCTION("""COMPUTED_VALUE"""),"Harborridge Publishing")</f>
        <v>Harborridge Publishing</v>
      </c>
      <c r="E2071" s="2">
        <f>IFERROR(__xludf.DUMMYFUNCTION("""COMPUTED_VALUE"""),2.39)</f>
        <v>2.39</v>
      </c>
      <c r="F2071" s="2"/>
      <c r="G2071" s="2"/>
      <c r="H2071" s="2"/>
      <c r="I2071" s="2"/>
    </row>
    <row r="2072">
      <c r="A2072" s="2">
        <f>IFERROR(__xludf.DUMMYFUNCTION("""COMPUTED_VALUE"""),82461.0)</f>
        <v>82461</v>
      </c>
      <c r="B2072" s="2" t="str">
        <f>IFERROR(__xludf.DUMMYFUNCTION("""COMPUTED_VALUE"""),"Tech")</f>
        <v>Tech</v>
      </c>
      <c r="C2072" s="2" t="str">
        <f>IFERROR(__xludf.DUMMYFUNCTION("""COMPUTED_VALUE"""),"Communication Skills")</f>
        <v>Communication Skills</v>
      </c>
      <c r="D2072" s="2" t="str">
        <f>IFERROR(__xludf.DUMMYFUNCTION("""COMPUTED_VALUE"""),"Harborridge Publishing")</f>
        <v>Harborridge Publishing</v>
      </c>
      <c r="E2072" s="2">
        <f>IFERROR(__xludf.DUMMYFUNCTION("""COMPUTED_VALUE"""),1.74)</f>
        <v>1.74</v>
      </c>
      <c r="F2072" s="2"/>
      <c r="G2072" s="2"/>
      <c r="H2072" s="2"/>
      <c r="I2072" s="2"/>
    </row>
    <row r="2073">
      <c r="A2073" s="2">
        <f>IFERROR(__xludf.DUMMYFUNCTION("""COMPUTED_VALUE"""),122613.0)</f>
        <v>122613</v>
      </c>
      <c r="B2073" s="2" t="str">
        <f>IFERROR(__xludf.DUMMYFUNCTION("""COMPUTED_VALUE"""),"Tech")</f>
        <v>Tech</v>
      </c>
      <c r="C2073" s="2" t="str">
        <f>IFERROR(__xludf.DUMMYFUNCTION("""COMPUTED_VALUE"""),"Communication Skills")</f>
        <v>Communication Skills</v>
      </c>
      <c r="D2073" s="2" t="str">
        <f>IFERROR(__xludf.DUMMYFUNCTION("""COMPUTED_VALUE"""),"Harborridge Publishing")</f>
        <v>Harborridge Publishing</v>
      </c>
      <c r="E2073" s="2">
        <f>IFERROR(__xludf.DUMMYFUNCTION("""COMPUTED_VALUE"""),1.55)</f>
        <v>1.55</v>
      </c>
      <c r="F2073" s="2"/>
      <c r="G2073" s="2"/>
      <c r="H2073" s="2"/>
      <c r="I2073" s="2"/>
    </row>
    <row r="2074">
      <c r="A2074" s="2">
        <f>IFERROR(__xludf.DUMMYFUNCTION("""COMPUTED_VALUE"""),79746.0)</f>
        <v>79746</v>
      </c>
      <c r="B2074" s="2" t="str">
        <f>IFERROR(__xludf.DUMMYFUNCTION("""COMPUTED_VALUE"""),"Tech")</f>
        <v>Tech</v>
      </c>
      <c r="C2074" s="2" t="str">
        <f>IFERROR(__xludf.DUMMYFUNCTION("""COMPUTED_VALUE"""),"Communication Skills")</f>
        <v>Communication Skills</v>
      </c>
      <c r="D2074" s="2" t="str">
        <f>IFERROR(__xludf.DUMMYFUNCTION("""COMPUTED_VALUE"""),"Harborridge Publishing")</f>
        <v>Harborridge Publishing</v>
      </c>
      <c r="E2074" s="2">
        <f>IFERROR(__xludf.DUMMYFUNCTION("""COMPUTED_VALUE"""),2.64)</f>
        <v>2.64</v>
      </c>
      <c r="F2074" s="2"/>
      <c r="G2074" s="2"/>
      <c r="H2074" s="2"/>
      <c r="I2074" s="2"/>
    </row>
    <row r="2075">
      <c r="A2075" s="2">
        <f>IFERROR(__xludf.DUMMYFUNCTION("""COMPUTED_VALUE"""),110860.0)</f>
        <v>110860</v>
      </c>
      <c r="B2075" s="2" t="str">
        <f>IFERROR(__xludf.DUMMYFUNCTION("""COMPUTED_VALUE"""),"Tech")</f>
        <v>Tech</v>
      </c>
      <c r="C2075" s="2" t="str">
        <f>IFERROR(__xludf.DUMMYFUNCTION("""COMPUTED_VALUE"""),"Communication Skills")</f>
        <v>Communication Skills</v>
      </c>
      <c r="D2075" s="2" t="str">
        <f>IFERROR(__xludf.DUMMYFUNCTION("""COMPUTED_VALUE"""),"Harborridge Publishing")</f>
        <v>Harborridge Publishing</v>
      </c>
      <c r="E2075" s="2">
        <f>IFERROR(__xludf.DUMMYFUNCTION("""COMPUTED_VALUE"""),2.29)</f>
        <v>2.29</v>
      </c>
      <c r="F2075" s="2"/>
      <c r="G2075" s="2"/>
      <c r="H2075" s="2"/>
      <c r="I2075" s="2"/>
    </row>
    <row r="2076">
      <c r="A2076" s="2">
        <f>IFERROR(__xludf.DUMMYFUNCTION("""COMPUTED_VALUE"""),49355.0)</f>
        <v>49355</v>
      </c>
      <c r="B2076" s="2" t="str">
        <f>IFERROR(__xludf.DUMMYFUNCTION("""COMPUTED_VALUE"""),"Tech")</f>
        <v>Tech</v>
      </c>
      <c r="C2076" s="2" t="str">
        <f>IFERROR(__xludf.DUMMYFUNCTION("""COMPUTED_VALUE"""),"Communication Skills")</f>
        <v>Communication Skills</v>
      </c>
      <c r="D2076" s="2" t="str">
        <f>IFERROR(__xludf.DUMMYFUNCTION("""COMPUTED_VALUE"""),"Harborridge Publishing")</f>
        <v>Harborridge Publishing</v>
      </c>
      <c r="E2076" s="2">
        <f>IFERROR(__xludf.DUMMYFUNCTION("""COMPUTED_VALUE"""),2.83)</f>
        <v>2.83</v>
      </c>
      <c r="F2076" s="2"/>
      <c r="G2076" s="2"/>
      <c r="H2076" s="2"/>
      <c r="I2076" s="2"/>
    </row>
    <row r="2077">
      <c r="A2077" s="2">
        <f>IFERROR(__xludf.DUMMYFUNCTION("""COMPUTED_VALUE"""),93520.0)</f>
        <v>93520</v>
      </c>
      <c r="B2077" s="2" t="str">
        <f>IFERROR(__xludf.DUMMYFUNCTION("""COMPUTED_VALUE"""),"Tech")</f>
        <v>Tech</v>
      </c>
      <c r="C2077" s="2" t="str">
        <f>IFERROR(__xludf.DUMMYFUNCTION("""COMPUTED_VALUE"""),"Communication Skills")</f>
        <v>Communication Skills</v>
      </c>
      <c r="D2077" s="2" t="str">
        <f>IFERROR(__xludf.DUMMYFUNCTION("""COMPUTED_VALUE"""),"Harborridge Publishing")</f>
        <v>Harborridge Publishing</v>
      </c>
      <c r="E2077" s="2">
        <f>IFERROR(__xludf.DUMMYFUNCTION("""COMPUTED_VALUE"""),2.72)</f>
        <v>2.72</v>
      </c>
      <c r="F2077" s="2"/>
      <c r="G2077" s="2"/>
      <c r="H2077" s="2"/>
      <c r="I2077" s="2"/>
    </row>
    <row r="2078">
      <c r="A2078" s="2">
        <f>IFERROR(__xludf.DUMMYFUNCTION("""COMPUTED_VALUE"""),87765.0)</f>
        <v>87765</v>
      </c>
      <c r="B2078" s="2" t="str">
        <f>IFERROR(__xludf.DUMMYFUNCTION("""COMPUTED_VALUE"""),"Tech")</f>
        <v>Tech</v>
      </c>
      <c r="C2078" s="2" t="str">
        <f>IFERROR(__xludf.DUMMYFUNCTION("""COMPUTED_VALUE"""),"Communication Skills")</f>
        <v>Communication Skills</v>
      </c>
      <c r="D2078" s="2" t="str">
        <f>IFERROR(__xludf.DUMMYFUNCTION("""COMPUTED_VALUE"""),"Harborridge Publishing")</f>
        <v>Harborridge Publishing</v>
      </c>
      <c r="E2078" s="2">
        <f>IFERROR(__xludf.DUMMYFUNCTION("""COMPUTED_VALUE"""),2.34)</f>
        <v>2.34</v>
      </c>
      <c r="F2078" s="2"/>
      <c r="G2078" s="2"/>
      <c r="H2078" s="2"/>
      <c r="I2078" s="2"/>
    </row>
    <row r="2079">
      <c r="A2079" s="2">
        <f>IFERROR(__xludf.DUMMYFUNCTION("""COMPUTED_VALUE"""),110863.0)</f>
        <v>110863</v>
      </c>
      <c r="B2079" s="2" t="str">
        <f>IFERROR(__xludf.DUMMYFUNCTION("""COMPUTED_VALUE"""),"Tech")</f>
        <v>Tech</v>
      </c>
      <c r="C2079" s="2" t="str">
        <f>IFERROR(__xludf.DUMMYFUNCTION("""COMPUTED_VALUE"""),"Communication Skills")</f>
        <v>Communication Skills</v>
      </c>
      <c r="D2079" s="2" t="str">
        <f>IFERROR(__xludf.DUMMYFUNCTION("""COMPUTED_VALUE"""),"Harborridge Publishing")</f>
        <v>Harborridge Publishing</v>
      </c>
      <c r="E2079" s="2">
        <f>IFERROR(__xludf.DUMMYFUNCTION("""COMPUTED_VALUE"""),1.89)</f>
        <v>1.89</v>
      </c>
      <c r="F2079" s="2"/>
      <c r="G2079" s="2"/>
      <c r="H2079" s="2"/>
      <c r="I2079" s="2"/>
    </row>
    <row r="2080">
      <c r="A2080" s="2">
        <f>IFERROR(__xludf.DUMMYFUNCTION("""COMPUTED_VALUE"""),16238.0)</f>
        <v>16238</v>
      </c>
      <c r="B2080" s="2" t="str">
        <f>IFERROR(__xludf.DUMMYFUNCTION("""COMPUTED_VALUE"""),"Tech")</f>
        <v>Tech</v>
      </c>
      <c r="C2080" s="2" t="str">
        <f>IFERROR(__xludf.DUMMYFUNCTION("""COMPUTED_VALUE"""),"Communication Skills")</f>
        <v>Communication Skills</v>
      </c>
      <c r="D2080" s="2" t="str">
        <f>IFERROR(__xludf.DUMMYFUNCTION("""COMPUTED_VALUE"""),"Harborridge Publishing")</f>
        <v>Harborridge Publishing</v>
      </c>
      <c r="E2080" s="2">
        <f>IFERROR(__xludf.DUMMYFUNCTION("""COMPUTED_VALUE"""),2.79)</f>
        <v>2.79</v>
      </c>
      <c r="F2080" s="2"/>
      <c r="G2080" s="2"/>
      <c r="H2080" s="2"/>
      <c r="I2080" s="2"/>
    </row>
    <row r="2081">
      <c r="A2081" s="2">
        <f>IFERROR(__xludf.DUMMYFUNCTION("""COMPUTED_VALUE"""),122643.0)</f>
        <v>122643</v>
      </c>
      <c r="B2081" s="2" t="str">
        <f>IFERROR(__xludf.DUMMYFUNCTION("""COMPUTED_VALUE"""),"Tech")</f>
        <v>Tech</v>
      </c>
      <c r="C2081" s="2" t="str">
        <f>IFERROR(__xludf.DUMMYFUNCTION("""COMPUTED_VALUE"""),"Communication Skills")</f>
        <v>Communication Skills</v>
      </c>
      <c r="D2081" s="2" t="str">
        <f>IFERROR(__xludf.DUMMYFUNCTION("""COMPUTED_VALUE"""),"Harborridge Publishing")</f>
        <v>Harborridge Publishing</v>
      </c>
      <c r="E2081" s="2">
        <f>IFERROR(__xludf.DUMMYFUNCTION("""COMPUTED_VALUE"""),3.34)</f>
        <v>3.34</v>
      </c>
      <c r="F2081" s="2"/>
      <c r="G2081" s="2"/>
      <c r="H2081" s="2"/>
      <c r="I2081" s="2"/>
    </row>
    <row r="2082">
      <c r="A2082" s="2">
        <f>IFERROR(__xludf.DUMMYFUNCTION("""COMPUTED_VALUE"""),82452.0)</f>
        <v>82452</v>
      </c>
      <c r="B2082" s="2" t="str">
        <f>IFERROR(__xludf.DUMMYFUNCTION("""COMPUTED_VALUE"""),"Tech")</f>
        <v>Tech</v>
      </c>
      <c r="C2082" s="2" t="str">
        <f>IFERROR(__xludf.DUMMYFUNCTION("""COMPUTED_VALUE"""),"Communication Skills")</f>
        <v>Communication Skills</v>
      </c>
      <c r="D2082" s="2" t="str">
        <f>IFERROR(__xludf.DUMMYFUNCTION("""COMPUTED_VALUE"""),"Harborridge Publishing")</f>
        <v>Harborridge Publishing</v>
      </c>
      <c r="E2082" s="2">
        <f>IFERROR(__xludf.DUMMYFUNCTION("""COMPUTED_VALUE"""),1.73)</f>
        <v>1.73</v>
      </c>
      <c r="F2082" s="2"/>
      <c r="G2082" s="2"/>
      <c r="H2082" s="2"/>
      <c r="I2082" s="2"/>
    </row>
    <row r="2083">
      <c r="A2083" s="2">
        <f>IFERROR(__xludf.DUMMYFUNCTION("""COMPUTED_VALUE"""),122775.0)</f>
        <v>122775</v>
      </c>
      <c r="B2083" s="2" t="str">
        <f>IFERROR(__xludf.DUMMYFUNCTION("""COMPUTED_VALUE"""),"Tech")</f>
        <v>Tech</v>
      </c>
      <c r="C2083" s="2" t="str">
        <f>IFERROR(__xludf.DUMMYFUNCTION("""COMPUTED_VALUE"""),"Communication Skills")</f>
        <v>Communication Skills</v>
      </c>
      <c r="D2083" s="2" t="str">
        <f>IFERROR(__xludf.DUMMYFUNCTION("""COMPUTED_VALUE"""),"Harborridge Publishing")</f>
        <v>Harborridge Publishing</v>
      </c>
      <c r="E2083" s="2">
        <f>IFERROR(__xludf.DUMMYFUNCTION("""COMPUTED_VALUE"""),2.69)</f>
        <v>2.69</v>
      </c>
      <c r="F2083" s="2"/>
      <c r="G2083" s="2"/>
      <c r="H2083" s="2"/>
      <c r="I2083" s="2"/>
    </row>
    <row r="2084">
      <c r="A2084" s="2">
        <f>IFERROR(__xludf.DUMMYFUNCTION("""COMPUTED_VALUE"""),100240.0)</f>
        <v>100240</v>
      </c>
      <c r="B2084" s="2" t="str">
        <f>IFERROR(__xludf.DUMMYFUNCTION("""COMPUTED_VALUE"""),"Tech")</f>
        <v>Tech</v>
      </c>
      <c r="C2084" s="2" t="str">
        <f>IFERROR(__xludf.DUMMYFUNCTION("""COMPUTED_VALUE"""),"Communication Skills")</f>
        <v>Communication Skills</v>
      </c>
      <c r="D2084" s="2" t="str">
        <f>IFERROR(__xludf.DUMMYFUNCTION("""COMPUTED_VALUE"""),"Harborridge Publishing")</f>
        <v>Harborridge Publishing</v>
      </c>
      <c r="E2084" s="2">
        <f>IFERROR(__xludf.DUMMYFUNCTION("""COMPUTED_VALUE"""),0.69)</f>
        <v>0.69</v>
      </c>
      <c r="F2084" s="2"/>
      <c r="G2084" s="2"/>
      <c r="H2084" s="2"/>
      <c r="I2084" s="2"/>
    </row>
    <row r="2085">
      <c r="A2085" s="2">
        <f>IFERROR(__xludf.DUMMYFUNCTION("""COMPUTED_VALUE"""),87758.0)</f>
        <v>87758</v>
      </c>
      <c r="B2085" s="2" t="str">
        <f>IFERROR(__xludf.DUMMYFUNCTION("""COMPUTED_VALUE"""),"Tech")</f>
        <v>Tech</v>
      </c>
      <c r="C2085" s="2" t="str">
        <f>IFERROR(__xludf.DUMMYFUNCTION("""COMPUTED_VALUE"""),"Communication Skills")</f>
        <v>Communication Skills</v>
      </c>
      <c r="D2085" s="2" t="str">
        <f>IFERROR(__xludf.DUMMYFUNCTION("""COMPUTED_VALUE"""),"Harborridge Publishing")</f>
        <v>Harborridge Publishing</v>
      </c>
      <c r="E2085" s="2">
        <f>IFERROR(__xludf.DUMMYFUNCTION("""COMPUTED_VALUE"""),2.03)</f>
        <v>2.03</v>
      </c>
      <c r="F2085" s="2"/>
      <c r="G2085" s="2"/>
      <c r="H2085" s="2"/>
      <c r="I2085" s="2"/>
    </row>
    <row r="2086">
      <c r="A2086" s="2">
        <f>IFERROR(__xludf.DUMMYFUNCTION("""COMPUTED_VALUE"""),110689.0)</f>
        <v>110689</v>
      </c>
      <c r="B2086" s="2" t="str">
        <f>IFERROR(__xludf.DUMMYFUNCTION("""COMPUTED_VALUE"""),"Tech")</f>
        <v>Tech</v>
      </c>
      <c r="C2086" s="2" t="str">
        <f>IFERROR(__xludf.DUMMYFUNCTION("""COMPUTED_VALUE"""),"Communication Skills")</f>
        <v>Communication Skills</v>
      </c>
      <c r="D2086" s="2" t="str">
        <f>IFERROR(__xludf.DUMMYFUNCTION("""COMPUTED_VALUE"""),"Harborridge Publishing")</f>
        <v>Harborridge Publishing</v>
      </c>
      <c r="E2086" s="2">
        <f>IFERROR(__xludf.DUMMYFUNCTION("""COMPUTED_VALUE"""),1.21)</f>
        <v>1.21</v>
      </c>
      <c r="F2086" s="2"/>
      <c r="G2086" s="2"/>
      <c r="H2086" s="2"/>
      <c r="I2086" s="2"/>
    </row>
    <row r="2087">
      <c r="A2087" s="2">
        <f>IFERROR(__xludf.DUMMYFUNCTION("""COMPUTED_VALUE"""),110704.0)</f>
        <v>110704</v>
      </c>
      <c r="B2087" s="2" t="str">
        <f>IFERROR(__xludf.DUMMYFUNCTION("""COMPUTED_VALUE"""),"Tech")</f>
        <v>Tech</v>
      </c>
      <c r="C2087" s="2" t="str">
        <f>IFERROR(__xludf.DUMMYFUNCTION("""COMPUTED_VALUE"""),"Communication Skills")</f>
        <v>Communication Skills</v>
      </c>
      <c r="D2087" s="2" t="str">
        <f>IFERROR(__xludf.DUMMYFUNCTION("""COMPUTED_VALUE"""),"Harborridge Publishing")</f>
        <v>Harborridge Publishing</v>
      </c>
      <c r="E2087" s="2">
        <f>IFERROR(__xludf.DUMMYFUNCTION("""COMPUTED_VALUE"""),2.44)</f>
        <v>2.44</v>
      </c>
      <c r="F2087" s="2"/>
      <c r="G2087" s="2"/>
      <c r="H2087" s="2"/>
      <c r="I2087" s="2"/>
    </row>
    <row r="2088">
      <c r="A2088" s="2">
        <f>IFERROR(__xludf.DUMMYFUNCTION("""COMPUTED_VALUE"""),82455.0)</f>
        <v>82455</v>
      </c>
      <c r="B2088" s="2" t="str">
        <f>IFERROR(__xludf.DUMMYFUNCTION("""COMPUTED_VALUE"""),"Tech")</f>
        <v>Tech</v>
      </c>
      <c r="C2088" s="2" t="str">
        <f>IFERROR(__xludf.DUMMYFUNCTION("""COMPUTED_VALUE"""),"Communication Skills")</f>
        <v>Communication Skills</v>
      </c>
      <c r="D2088" s="2" t="str">
        <f>IFERROR(__xludf.DUMMYFUNCTION("""COMPUTED_VALUE"""),"Harborridge Publishing")</f>
        <v>Harborridge Publishing</v>
      </c>
      <c r="E2088" s="2">
        <f>IFERROR(__xludf.DUMMYFUNCTION("""COMPUTED_VALUE"""),1.83)</f>
        <v>1.83</v>
      </c>
      <c r="F2088" s="2"/>
      <c r="G2088" s="2"/>
      <c r="H2088" s="2"/>
      <c r="I2088" s="2"/>
    </row>
    <row r="2089">
      <c r="A2089" s="2">
        <f>IFERROR(__xludf.DUMMYFUNCTION("""COMPUTED_VALUE"""),127013.0)</f>
        <v>127013</v>
      </c>
      <c r="B2089" s="2" t="str">
        <f>IFERROR(__xludf.DUMMYFUNCTION("""COMPUTED_VALUE"""),"Tech")</f>
        <v>Tech</v>
      </c>
      <c r="C2089" s="2" t="str">
        <f>IFERROR(__xludf.DUMMYFUNCTION("""COMPUTED_VALUE"""),"Communication Skills")</f>
        <v>Communication Skills</v>
      </c>
      <c r="D2089" s="2" t="str">
        <f>IFERROR(__xludf.DUMMYFUNCTION("""COMPUTED_VALUE"""),"Harborridge Publishing")</f>
        <v>Harborridge Publishing</v>
      </c>
      <c r="E2089" s="2">
        <f>IFERROR(__xludf.DUMMYFUNCTION("""COMPUTED_VALUE"""),2.7)</f>
        <v>2.7</v>
      </c>
      <c r="F2089" s="2"/>
      <c r="G2089" s="2"/>
      <c r="H2089" s="2"/>
      <c r="I2089" s="2"/>
    </row>
    <row r="2090">
      <c r="A2090" s="2">
        <f>IFERROR(__xludf.DUMMYFUNCTION("""COMPUTED_VALUE"""),113063.0)</f>
        <v>113063</v>
      </c>
      <c r="B2090" s="2" t="str">
        <f>IFERROR(__xludf.DUMMYFUNCTION("""COMPUTED_VALUE"""),"Tech")</f>
        <v>Tech</v>
      </c>
      <c r="C2090" s="2" t="str">
        <f>IFERROR(__xludf.DUMMYFUNCTION("""COMPUTED_VALUE"""),"Communication Skills")</f>
        <v>Communication Skills</v>
      </c>
      <c r="D2090" s="2" t="str">
        <f>IFERROR(__xludf.DUMMYFUNCTION("""COMPUTED_VALUE"""),"Harborridge Publishing")</f>
        <v>Harborridge Publishing</v>
      </c>
      <c r="E2090" s="2">
        <f>IFERROR(__xludf.DUMMYFUNCTION("""COMPUTED_VALUE"""),2.88)</f>
        <v>2.88</v>
      </c>
      <c r="F2090" s="2"/>
      <c r="G2090" s="2"/>
      <c r="H2090" s="2"/>
      <c r="I2090" s="2"/>
    </row>
    <row r="2091">
      <c r="A2091" s="2">
        <f>IFERROR(__xludf.DUMMYFUNCTION("""COMPUTED_VALUE"""),11296.0)</f>
        <v>11296</v>
      </c>
      <c r="B2091" s="2" t="str">
        <f>IFERROR(__xludf.DUMMYFUNCTION("""COMPUTED_VALUE"""),"Tech")</f>
        <v>Tech</v>
      </c>
      <c r="C2091" s="2" t="str">
        <f>IFERROR(__xludf.DUMMYFUNCTION("""COMPUTED_VALUE"""),"Communication Skills")</f>
        <v>Communication Skills</v>
      </c>
      <c r="D2091" s="2" t="str">
        <f>IFERROR(__xludf.DUMMYFUNCTION("""COMPUTED_VALUE"""),"Harborridge Publishing")</f>
        <v>Harborridge Publishing</v>
      </c>
      <c r="E2091" s="2">
        <f>IFERROR(__xludf.DUMMYFUNCTION("""COMPUTED_VALUE"""),3.84)</f>
        <v>3.84</v>
      </c>
      <c r="F2091" s="2"/>
      <c r="G2091" s="2"/>
      <c r="H2091" s="2"/>
      <c r="I2091" s="2"/>
    </row>
    <row r="2092">
      <c r="A2092" s="2">
        <f>IFERROR(__xludf.DUMMYFUNCTION("""COMPUTED_VALUE"""),105305.0)</f>
        <v>105305</v>
      </c>
      <c r="B2092" s="2" t="str">
        <f>IFERROR(__xludf.DUMMYFUNCTION("""COMPUTED_VALUE"""),"Tech")</f>
        <v>Tech</v>
      </c>
      <c r="C2092" s="2" t="str">
        <f>IFERROR(__xludf.DUMMYFUNCTION("""COMPUTED_VALUE"""),"Communication Skills")</f>
        <v>Communication Skills</v>
      </c>
      <c r="D2092" s="2" t="str">
        <f>IFERROR(__xludf.DUMMYFUNCTION("""COMPUTED_VALUE"""),"Harborridge Publishing")</f>
        <v>Harborridge Publishing</v>
      </c>
      <c r="E2092" s="2">
        <f>IFERROR(__xludf.DUMMYFUNCTION("""COMPUTED_VALUE"""),3.63)</f>
        <v>3.63</v>
      </c>
      <c r="F2092" s="2"/>
      <c r="G2092" s="2"/>
      <c r="H2092" s="2"/>
      <c r="I2092" s="2"/>
    </row>
    <row r="2093">
      <c r="A2093" s="2">
        <f>IFERROR(__xludf.DUMMYFUNCTION("""COMPUTED_VALUE"""),73244.0)</f>
        <v>73244</v>
      </c>
      <c r="B2093" s="2" t="str">
        <f>IFERROR(__xludf.DUMMYFUNCTION("""COMPUTED_VALUE"""),"Tech")</f>
        <v>Tech</v>
      </c>
      <c r="C2093" s="2" t="str">
        <f>IFERROR(__xludf.DUMMYFUNCTION("""COMPUTED_VALUE"""),"Communication Skills")</f>
        <v>Communication Skills</v>
      </c>
      <c r="D2093" s="2" t="str">
        <f>IFERROR(__xludf.DUMMYFUNCTION("""COMPUTED_VALUE"""),"Harborridge Publishing")</f>
        <v>Harborridge Publishing</v>
      </c>
      <c r="E2093" s="2">
        <f>IFERROR(__xludf.DUMMYFUNCTION("""COMPUTED_VALUE"""),0.85)</f>
        <v>0.85</v>
      </c>
      <c r="F2093" s="2"/>
      <c r="G2093" s="2"/>
      <c r="H2093" s="2"/>
      <c r="I2093" s="2"/>
    </row>
    <row r="2094">
      <c r="A2094" s="2">
        <f>IFERROR(__xludf.DUMMYFUNCTION("""COMPUTED_VALUE"""),82458.0)</f>
        <v>82458</v>
      </c>
      <c r="B2094" s="2" t="str">
        <f>IFERROR(__xludf.DUMMYFUNCTION("""COMPUTED_VALUE"""),"Tech")</f>
        <v>Tech</v>
      </c>
      <c r="C2094" s="2" t="str">
        <f>IFERROR(__xludf.DUMMYFUNCTION("""COMPUTED_VALUE"""),"Communication Skills")</f>
        <v>Communication Skills</v>
      </c>
      <c r="D2094" s="2" t="str">
        <f>IFERROR(__xludf.DUMMYFUNCTION("""COMPUTED_VALUE"""),"Harborridge Publishing")</f>
        <v>Harborridge Publishing</v>
      </c>
      <c r="E2094" s="2">
        <f>IFERROR(__xludf.DUMMYFUNCTION("""COMPUTED_VALUE"""),1.79)</f>
        <v>1.79</v>
      </c>
      <c r="F2094" s="2"/>
      <c r="G2094" s="2"/>
      <c r="H2094" s="2"/>
      <c r="I2094" s="2"/>
    </row>
    <row r="2095">
      <c r="A2095" s="2">
        <f>IFERROR(__xludf.DUMMYFUNCTION("""COMPUTED_VALUE"""),105302.0)</f>
        <v>105302</v>
      </c>
      <c r="B2095" s="2" t="str">
        <f>IFERROR(__xludf.DUMMYFUNCTION("""COMPUTED_VALUE"""),"Tech")</f>
        <v>Tech</v>
      </c>
      <c r="C2095" s="2" t="str">
        <f>IFERROR(__xludf.DUMMYFUNCTION("""COMPUTED_VALUE"""),"Communication Skills")</f>
        <v>Communication Skills</v>
      </c>
      <c r="D2095" s="2" t="str">
        <f>IFERROR(__xludf.DUMMYFUNCTION("""COMPUTED_VALUE"""),"Harborridge Publishing")</f>
        <v>Harborridge Publishing</v>
      </c>
      <c r="E2095" s="2">
        <f>IFERROR(__xludf.DUMMYFUNCTION("""COMPUTED_VALUE"""),2.46)</f>
        <v>2.46</v>
      </c>
      <c r="F2095" s="2"/>
      <c r="G2095" s="2"/>
      <c r="H2095" s="2"/>
      <c r="I2095" s="2"/>
    </row>
    <row r="2096">
      <c r="A2096" s="2">
        <f>IFERROR(__xludf.DUMMYFUNCTION("""COMPUTED_VALUE"""),150951.0)</f>
        <v>150951</v>
      </c>
      <c r="B2096" s="2" t="str">
        <f>IFERROR(__xludf.DUMMYFUNCTION("""COMPUTED_VALUE"""),"Tech")</f>
        <v>Tech</v>
      </c>
      <c r="C2096" s="2" t="str">
        <f>IFERROR(__xludf.DUMMYFUNCTION("""COMPUTED_VALUE"""),"Communication Skills")</f>
        <v>Communication Skills</v>
      </c>
      <c r="D2096" s="2" t="str">
        <f>IFERROR(__xludf.DUMMYFUNCTION("""COMPUTED_VALUE"""),"Harborridge Publishing")</f>
        <v>Harborridge Publishing</v>
      </c>
      <c r="E2096" s="2">
        <f>IFERROR(__xludf.DUMMYFUNCTION("""COMPUTED_VALUE"""),1.47)</f>
        <v>1.47</v>
      </c>
      <c r="F2096" s="2"/>
      <c r="G2096" s="2"/>
      <c r="H2096" s="2"/>
      <c r="I2096" s="2"/>
    </row>
    <row r="2097">
      <c r="A2097" s="2">
        <f>IFERROR(__xludf.DUMMYFUNCTION("""COMPUTED_VALUE"""),122492.0)</f>
        <v>122492</v>
      </c>
      <c r="B2097" s="2" t="str">
        <f>IFERROR(__xludf.DUMMYFUNCTION("""COMPUTED_VALUE"""),"Tech")</f>
        <v>Tech</v>
      </c>
      <c r="C2097" s="2" t="str">
        <f>IFERROR(__xludf.DUMMYFUNCTION("""COMPUTED_VALUE"""),"Communication Skills")</f>
        <v>Communication Skills</v>
      </c>
      <c r="D2097" s="2" t="str">
        <f>IFERROR(__xludf.DUMMYFUNCTION("""COMPUTED_VALUE"""),"Cedarridge Books")</f>
        <v>Cedarridge Books</v>
      </c>
      <c r="E2097" s="2">
        <f>IFERROR(__xludf.DUMMYFUNCTION("""COMPUTED_VALUE"""),3.99)</f>
        <v>3.99</v>
      </c>
      <c r="F2097" s="2"/>
      <c r="G2097" s="2"/>
      <c r="H2097" s="2"/>
      <c r="I2097" s="2"/>
    </row>
    <row r="2098">
      <c r="A2098" s="2">
        <f>IFERROR(__xludf.DUMMYFUNCTION("""COMPUTED_VALUE"""),110436.0)</f>
        <v>110436</v>
      </c>
      <c r="B2098" s="2" t="str">
        <f>IFERROR(__xludf.DUMMYFUNCTION("""COMPUTED_VALUE"""),"Tech")</f>
        <v>Tech</v>
      </c>
      <c r="C2098" s="2" t="str">
        <f>IFERROR(__xludf.DUMMYFUNCTION("""COMPUTED_VALUE"""),"Communication Skills")</f>
        <v>Communication Skills</v>
      </c>
      <c r="D2098" s="2" t="str">
        <f>IFERROR(__xludf.DUMMYFUNCTION("""COMPUTED_VALUE"""),"Cedarridge Books")</f>
        <v>Cedarridge Books</v>
      </c>
      <c r="E2098" s="2">
        <f>IFERROR(__xludf.DUMMYFUNCTION("""COMPUTED_VALUE"""),4.02)</f>
        <v>4.02</v>
      </c>
      <c r="F2098" s="2"/>
      <c r="G2098" s="2"/>
      <c r="H2098" s="2"/>
      <c r="I2098" s="2"/>
    </row>
    <row r="2099">
      <c r="A2099" s="2">
        <f>IFERROR(__xludf.DUMMYFUNCTION("""COMPUTED_VALUE"""),10674.0)</f>
        <v>10674</v>
      </c>
      <c r="B2099" s="2" t="str">
        <f>IFERROR(__xludf.DUMMYFUNCTION("""COMPUTED_VALUE"""),"Tech")</f>
        <v>Tech</v>
      </c>
      <c r="C2099" s="2" t="str">
        <f>IFERROR(__xludf.DUMMYFUNCTION("""COMPUTED_VALUE"""),"Communication Skills")</f>
        <v>Communication Skills</v>
      </c>
      <c r="D2099" s="2" t="str">
        <f>IFERROR(__xludf.DUMMYFUNCTION("""COMPUTED_VALUE"""),"Cedarridge Books")</f>
        <v>Cedarridge Books</v>
      </c>
      <c r="E2099" s="2">
        <f>IFERROR(__xludf.DUMMYFUNCTION("""COMPUTED_VALUE"""),6.43)</f>
        <v>6.43</v>
      </c>
      <c r="F2099" s="2"/>
      <c r="G2099" s="2"/>
      <c r="H2099" s="2"/>
      <c r="I2099" s="2"/>
    </row>
    <row r="2100">
      <c r="A2100" s="2">
        <f>IFERROR(__xludf.DUMMYFUNCTION("""COMPUTED_VALUE"""),117166.0)</f>
        <v>117166</v>
      </c>
      <c r="B2100" s="2" t="str">
        <f>IFERROR(__xludf.DUMMYFUNCTION("""COMPUTED_VALUE"""),"Tech")</f>
        <v>Tech</v>
      </c>
      <c r="C2100" s="2" t="str">
        <f>IFERROR(__xludf.DUMMYFUNCTION("""COMPUTED_VALUE"""),"Communication Skills")</f>
        <v>Communication Skills</v>
      </c>
      <c r="D2100" s="2" t="str">
        <f>IFERROR(__xludf.DUMMYFUNCTION("""COMPUTED_VALUE"""),"Cedarridge Books")</f>
        <v>Cedarridge Books</v>
      </c>
      <c r="E2100" s="2">
        <f>IFERROR(__xludf.DUMMYFUNCTION("""COMPUTED_VALUE"""),6.0)</f>
        <v>6</v>
      </c>
      <c r="F2100" s="2"/>
      <c r="G2100" s="2"/>
      <c r="H2100" s="2"/>
      <c r="I2100" s="2"/>
    </row>
    <row r="2101">
      <c r="A2101" s="2">
        <f>IFERROR(__xludf.DUMMYFUNCTION("""COMPUTED_VALUE"""),111776.0)</f>
        <v>111776</v>
      </c>
      <c r="B2101" s="2" t="str">
        <f>IFERROR(__xludf.DUMMYFUNCTION("""COMPUTED_VALUE"""),"Tech")</f>
        <v>Tech</v>
      </c>
      <c r="C2101" s="2" t="str">
        <f>IFERROR(__xludf.DUMMYFUNCTION("""COMPUTED_VALUE"""),"Communication Skills")</f>
        <v>Communication Skills</v>
      </c>
      <c r="D2101" s="2" t="str">
        <f>IFERROR(__xludf.DUMMYFUNCTION("""COMPUTED_VALUE"""),"Cedarridge Books")</f>
        <v>Cedarridge Books</v>
      </c>
      <c r="E2101" s="2">
        <f>IFERROR(__xludf.DUMMYFUNCTION("""COMPUTED_VALUE"""),2.7)</f>
        <v>2.7</v>
      </c>
      <c r="F2101" s="2"/>
      <c r="G2101" s="2"/>
      <c r="H2101" s="2"/>
      <c r="I2101" s="2"/>
    </row>
    <row r="2102">
      <c r="A2102" s="2">
        <f>IFERROR(__xludf.DUMMYFUNCTION("""COMPUTED_VALUE"""),122388.0)</f>
        <v>122388</v>
      </c>
      <c r="B2102" s="2" t="str">
        <f>IFERROR(__xludf.DUMMYFUNCTION("""COMPUTED_VALUE"""),"Tech")</f>
        <v>Tech</v>
      </c>
      <c r="C2102" s="2" t="str">
        <f>IFERROR(__xludf.DUMMYFUNCTION("""COMPUTED_VALUE"""),"Communication Skills")</f>
        <v>Communication Skills</v>
      </c>
      <c r="D2102" s="2" t="str">
        <f>IFERROR(__xludf.DUMMYFUNCTION("""COMPUTED_VALUE"""),"Cedarridge Books")</f>
        <v>Cedarridge Books</v>
      </c>
      <c r="E2102" s="2">
        <f>IFERROR(__xludf.DUMMYFUNCTION("""COMPUTED_VALUE"""),23.63)</f>
        <v>23.63</v>
      </c>
      <c r="F2102" s="2"/>
      <c r="G2102" s="2"/>
      <c r="H2102" s="2"/>
      <c r="I2102" s="2"/>
    </row>
    <row r="2103">
      <c r="A2103" s="2">
        <f>IFERROR(__xludf.DUMMYFUNCTION("""COMPUTED_VALUE"""),117160.0)</f>
        <v>117160</v>
      </c>
      <c r="B2103" s="2" t="str">
        <f>IFERROR(__xludf.DUMMYFUNCTION("""COMPUTED_VALUE"""),"Tech")</f>
        <v>Tech</v>
      </c>
      <c r="C2103" s="2" t="str">
        <f>IFERROR(__xludf.DUMMYFUNCTION("""COMPUTED_VALUE"""),"Communication Skills")</f>
        <v>Communication Skills</v>
      </c>
      <c r="D2103" s="2" t="str">
        <f>IFERROR(__xludf.DUMMYFUNCTION("""COMPUTED_VALUE"""),"Cedarridge Books")</f>
        <v>Cedarridge Books</v>
      </c>
      <c r="E2103" s="2">
        <f>IFERROR(__xludf.DUMMYFUNCTION("""COMPUTED_VALUE"""),6.62)</f>
        <v>6.62</v>
      </c>
      <c r="F2103" s="2"/>
      <c r="G2103" s="2"/>
      <c r="H2103" s="2"/>
      <c r="I2103" s="2"/>
    </row>
    <row r="2104">
      <c r="A2104" s="2">
        <f>IFERROR(__xludf.DUMMYFUNCTION("""COMPUTED_VALUE"""),98795.0)</f>
        <v>98795</v>
      </c>
      <c r="B2104" s="2" t="str">
        <f>IFERROR(__xludf.DUMMYFUNCTION("""COMPUTED_VALUE"""),"Tech")</f>
        <v>Tech</v>
      </c>
      <c r="C2104" s="2" t="str">
        <f>IFERROR(__xludf.DUMMYFUNCTION("""COMPUTED_VALUE"""),"Communication Skills")</f>
        <v>Communication Skills</v>
      </c>
      <c r="D2104" s="2" t="str">
        <f>IFERROR(__xludf.DUMMYFUNCTION("""COMPUTED_VALUE"""),"Cedarridge Books")</f>
        <v>Cedarridge Books</v>
      </c>
      <c r="E2104" s="2">
        <f>IFERROR(__xludf.DUMMYFUNCTION("""COMPUTED_VALUE"""),5.99)</f>
        <v>5.99</v>
      </c>
      <c r="F2104" s="2"/>
      <c r="G2104" s="2"/>
      <c r="H2104" s="2"/>
      <c r="I2104" s="2"/>
    </row>
    <row r="2105">
      <c r="A2105" s="2">
        <f>IFERROR(__xludf.DUMMYFUNCTION("""COMPUTED_VALUE"""),117150.0)</f>
        <v>117150</v>
      </c>
      <c r="B2105" s="2" t="str">
        <f>IFERROR(__xludf.DUMMYFUNCTION("""COMPUTED_VALUE"""),"Tech")</f>
        <v>Tech</v>
      </c>
      <c r="C2105" s="2" t="str">
        <f>IFERROR(__xludf.DUMMYFUNCTION("""COMPUTED_VALUE"""),"Communication Skills")</f>
        <v>Communication Skills</v>
      </c>
      <c r="D2105" s="2" t="str">
        <f>IFERROR(__xludf.DUMMYFUNCTION("""COMPUTED_VALUE"""),"Cedarridge Books")</f>
        <v>Cedarridge Books</v>
      </c>
      <c r="E2105" s="2">
        <f>IFERROR(__xludf.DUMMYFUNCTION("""COMPUTED_VALUE"""),6.77)</f>
        <v>6.77</v>
      </c>
      <c r="F2105" s="2"/>
      <c r="G2105" s="2"/>
      <c r="H2105" s="2"/>
      <c r="I2105" s="2"/>
    </row>
    <row r="2106">
      <c r="A2106" s="2">
        <f>IFERROR(__xludf.DUMMYFUNCTION("""COMPUTED_VALUE"""),109416.0)</f>
        <v>109416</v>
      </c>
      <c r="B2106" s="2" t="str">
        <f>IFERROR(__xludf.DUMMYFUNCTION("""COMPUTED_VALUE"""),"Tech")</f>
        <v>Tech</v>
      </c>
      <c r="C2106" s="2" t="str">
        <f>IFERROR(__xludf.DUMMYFUNCTION("""COMPUTED_VALUE"""),"Communication Skills")</f>
        <v>Communication Skills</v>
      </c>
      <c r="D2106" s="2" t="str">
        <f>IFERROR(__xludf.DUMMYFUNCTION("""COMPUTED_VALUE"""),"Cedarridge Books")</f>
        <v>Cedarridge Books</v>
      </c>
      <c r="E2106" s="2">
        <f>IFERROR(__xludf.DUMMYFUNCTION("""COMPUTED_VALUE"""),2.02)</f>
        <v>2.02</v>
      </c>
      <c r="F2106" s="2"/>
      <c r="G2106" s="2"/>
      <c r="H2106" s="2"/>
      <c r="I2106" s="2"/>
    </row>
    <row r="2107">
      <c r="A2107" s="2">
        <f>IFERROR(__xludf.DUMMYFUNCTION("""COMPUTED_VALUE"""),122291.0)</f>
        <v>122291</v>
      </c>
      <c r="B2107" s="2" t="str">
        <f>IFERROR(__xludf.DUMMYFUNCTION("""COMPUTED_VALUE"""),"Tech")</f>
        <v>Tech</v>
      </c>
      <c r="C2107" s="2" t="str">
        <f>IFERROR(__xludf.DUMMYFUNCTION("""COMPUTED_VALUE"""),"Communication Skills")</f>
        <v>Communication Skills</v>
      </c>
      <c r="D2107" s="2" t="str">
        <f>IFERROR(__xludf.DUMMYFUNCTION("""COMPUTED_VALUE"""),"Cedarridge Books")</f>
        <v>Cedarridge Books</v>
      </c>
      <c r="E2107" s="2">
        <f>IFERROR(__xludf.DUMMYFUNCTION("""COMPUTED_VALUE"""),11.3)</f>
        <v>11.3</v>
      </c>
      <c r="F2107" s="2"/>
      <c r="G2107" s="2"/>
      <c r="H2107" s="2"/>
      <c r="I2107" s="2"/>
    </row>
    <row r="2108">
      <c r="A2108" s="2">
        <f>IFERROR(__xludf.DUMMYFUNCTION("""COMPUTED_VALUE"""),21820.0)</f>
        <v>21820</v>
      </c>
      <c r="B2108" s="2" t="str">
        <f>IFERROR(__xludf.DUMMYFUNCTION("""COMPUTED_VALUE"""),"Tech")</f>
        <v>Tech</v>
      </c>
      <c r="C2108" s="2" t="str">
        <f>IFERROR(__xludf.DUMMYFUNCTION("""COMPUTED_VALUE"""),"Communication Skills")</f>
        <v>Communication Skills</v>
      </c>
      <c r="D2108" s="2" t="str">
        <f>IFERROR(__xludf.DUMMYFUNCTION("""COMPUTED_VALUE"""),"Cedarridge Books")</f>
        <v>Cedarridge Books</v>
      </c>
      <c r="E2108" s="2">
        <f>IFERROR(__xludf.DUMMYFUNCTION("""COMPUTED_VALUE"""),5.37)</f>
        <v>5.37</v>
      </c>
      <c r="F2108" s="2"/>
      <c r="G2108" s="2"/>
      <c r="H2108" s="2"/>
      <c r="I2108" s="2"/>
    </row>
    <row r="2109">
      <c r="A2109" s="2">
        <f>IFERROR(__xludf.DUMMYFUNCTION("""COMPUTED_VALUE"""),150105.0)</f>
        <v>150105</v>
      </c>
      <c r="B2109" s="2" t="str">
        <f>IFERROR(__xludf.DUMMYFUNCTION("""COMPUTED_VALUE"""),"Tech")</f>
        <v>Tech</v>
      </c>
      <c r="C2109" s="2" t="str">
        <f>IFERROR(__xludf.DUMMYFUNCTION("""COMPUTED_VALUE"""),"Communication Skills")</f>
        <v>Communication Skills</v>
      </c>
      <c r="D2109" s="2" t="str">
        <f>IFERROR(__xludf.DUMMYFUNCTION("""COMPUTED_VALUE"""),"Cedarridge Books")</f>
        <v>Cedarridge Books</v>
      </c>
      <c r="E2109" s="2">
        <f>IFERROR(__xludf.DUMMYFUNCTION("""COMPUTED_VALUE"""),6.23)</f>
        <v>6.23</v>
      </c>
      <c r="F2109" s="2"/>
      <c r="G2109" s="2"/>
      <c r="H2109" s="2"/>
      <c r="I2109" s="2"/>
    </row>
    <row r="2110">
      <c r="A2110" s="2">
        <f>IFERROR(__xludf.DUMMYFUNCTION("""COMPUTED_VALUE"""),46474.0)</f>
        <v>46474</v>
      </c>
      <c r="B2110" s="2" t="str">
        <f>IFERROR(__xludf.DUMMYFUNCTION("""COMPUTED_VALUE"""),"Tech")</f>
        <v>Tech</v>
      </c>
      <c r="C2110" s="2" t="str">
        <f>IFERROR(__xludf.DUMMYFUNCTION("""COMPUTED_VALUE"""),"Communication Skills")</f>
        <v>Communication Skills</v>
      </c>
      <c r="D2110" s="2" t="str">
        <f>IFERROR(__xludf.DUMMYFUNCTION("""COMPUTED_VALUE"""),"Cedarridge Books")</f>
        <v>Cedarridge Books</v>
      </c>
      <c r="E2110" s="2">
        <f>IFERROR(__xludf.DUMMYFUNCTION("""COMPUTED_VALUE"""),5.78)</f>
        <v>5.78</v>
      </c>
      <c r="F2110" s="2"/>
      <c r="G2110" s="2"/>
      <c r="H2110" s="2"/>
      <c r="I2110" s="2"/>
    </row>
    <row r="2111">
      <c r="A2111" s="2">
        <f>IFERROR(__xludf.DUMMYFUNCTION("""COMPUTED_VALUE"""),118207.0)</f>
        <v>118207</v>
      </c>
      <c r="B2111" s="2" t="str">
        <f>IFERROR(__xludf.DUMMYFUNCTION("""COMPUTED_VALUE"""),"Tech")</f>
        <v>Tech</v>
      </c>
      <c r="C2111" s="2" t="str">
        <f>IFERROR(__xludf.DUMMYFUNCTION("""COMPUTED_VALUE"""),"Communication Skills")</f>
        <v>Communication Skills</v>
      </c>
      <c r="D2111" s="2" t="str">
        <f>IFERROR(__xludf.DUMMYFUNCTION("""COMPUTED_VALUE"""),"Cedarridge Books")</f>
        <v>Cedarridge Books</v>
      </c>
      <c r="E2111" s="2">
        <f>IFERROR(__xludf.DUMMYFUNCTION("""COMPUTED_VALUE"""),4.54)</f>
        <v>4.54</v>
      </c>
      <c r="F2111" s="2"/>
      <c r="G2111" s="2"/>
      <c r="H2111" s="2"/>
      <c r="I2111" s="2"/>
    </row>
    <row r="2112">
      <c r="A2112" s="2">
        <f>IFERROR(__xludf.DUMMYFUNCTION("""COMPUTED_VALUE"""),111007.0)</f>
        <v>111007</v>
      </c>
      <c r="B2112" s="2" t="str">
        <f>IFERROR(__xludf.DUMMYFUNCTION("""COMPUTED_VALUE"""),"Tech")</f>
        <v>Tech</v>
      </c>
      <c r="C2112" s="2" t="str">
        <f>IFERROR(__xludf.DUMMYFUNCTION("""COMPUTED_VALUE"""),"Communication Skills")</f>
        <v>Communication Skills</v>
      </c>
      <c r="D2112" s="2" t="str">
        <f>IFERROR(__xludf.DUMMYFUNCTION("""COMPUTED_VALUE"""),"Cedarridge Books")</f>
        <v>Cedarridge Books</v>
      </c>
      <c r="E2112" s="2">
        <f>IFERROR(__xludf.DUMMYFUNCTION("""COMPUTED_VALUE"""),5.13)</f>
        <v>5.13</v>
      </c>
      <c r="F2112" s="2"/>
      <c r="G2112" s="2"/>
      <c r="H2112" s="2"/>
      <c r="I2112" s="2"/>
    </row>
    <row r="2113">
      <c r="A2113" s="2">
        <f>IFERROR(__xludf.DUMMYFUNCTION("""COMPUTED_VALUE"""),9727.0)</f>
        <v>9727</v>
      </c>
      <c r="B2113" s="2" t="str">
        <f>IFERROR(__xludf.DUMMYFUNCTION("""COMPUTED_VALUE"""),"Tech")</f>
        <v>Tech</v>
      </c>
      <c r="C2113" s="2" t="str">
        <f>IFERROR(__xludf.DUMMYFUNCTION("""COMPUTED_VALUE"""),"Communication Skills")</f>
        <v>Communication Skills</v>
      </c>
      <c r="D2113" s="2" t="str">
        <f>IFERROR(__xludf.DUMMYFUNCTION("""COMPUTED_VALUE"""),"Cedarridge Books")</f>
        <v>Cedarridge Books</v>
      </c>
      <c r="E2113" s="2">
        <f>IFERROR(__xludf.DUMMYFUNCTION("""COMPUTED_VALUE"""),4.36)</f>
        <v>4.36</v>
      </c>
      <c r="F2113" s="2"/>
      <c r="G2113" s="2"/>
      <c r="H2113" s="2"/>
      <c r="I2113" s="2"/>
    </row>
    <row r="2114">
      <c r="A2114" s="2">
        <f>IFERROR(__xludf.DUMMYFUNCTION("""COMPUTED_VALUE"""),72321.0)</f>
        <v>72321</v>
      </c>
      <c r="B2114" s="2" t="str">
        <f>IFERROR(__xludf.DUMMYFUNCTION("""COMPUTED_VALUE"""),"Tech")</f>
        <v>Tech</v>
      </c>
      <c r="C2114" s="2" t="str">
        <f>IFERROR(__xludf.DUMMYFUNCTION("""COMPUTED_VALUE"""),"Communication Skills")</f>
        <v>Communication Skills</v>
      </c>
      <c r="D2114" s="2" t="str">
        <f>IFERROR(__xludf.DUMMYFUNCTION("""COMPUTED_VALUE"""),"Cedarridge Books")</f>
        <v>Cedarridge Books</v>
      </c>
      <c r="E2114" s="2">
        <f>IFERROR(__xludf.DUMMYFUNCTION("""COMPUTED_VALUE"""),4.23)</f>
        <v>4.23</v>
      </c>
      <c r="F2114" s="2"/>
      <c r="G2114" s="2"/>
      <c r="H2114" s="2"/>
      <c r="I2114" s="2"/>
    </row>
    <row r="2115">
      <c r="A2115" s="2">
        <f>IFERROR(__xludf.DUMMYFUNCTION("""COMPUTED_VALUE"""),100063.0)</f>
        <v>100063</v>
      </c>
      <c r="B2115" s="2" t="str">
        <f>IFERROR(__xludf.DUMMYFUNCTION("""COMPUTED_VALUE"""),"Tech")</f>
        <v>Tech</v>
      </c>
      <c r="C2115" s="2" t="str">
        <f>IFERROR(__xludf.DUMMYFUNCTION("""COMPUTED_VALUE"""),"Communication Skills")</f>
        <v>Communication Skills</v>
      </c>
      <c r="D2115" s="2" t="str">
        <f>IFERROR(__xludf.DUMMYFUNCTION("""COMPUTED_VALUE"""),"Cedarridge Books")</f>
        <v>Cedarridge Books</v>
      </c>
      <c r="E2115" s="2">
        <f>IFERROR(__xludf.DUMMYFUNCTION("""COMPUTED_VALUE"""),6.27)</f>
        <v>6.27</v>
      </c>
      <c r="F2115" s="2"/>
      <c r="G2115" s="2"/>
      <c r="H2115" s="2"/>
      <c r="I2115" s="2"/>
    </row>
    <row r="2116">
      <c r="A2116" s="2">
        <f>IFERROR(__xludf.DUMMYFUNCTION("""COMPUTED_VALUE"""),79818.0)</f>
        <v>79818</v>
      </c>
      <c r="B2116" s="2" t="str">
        <f>IFERROR(__xludf.DUMMYFUNCTION("""COMPUTED_VALUE"""),"Tech")</f>
        <v>Tech</v>
      </c>
      <c r="C2116" s="2" t="str">
        <f>IFERROR(__xludf.DUMMYFUNCTION("""COMPUTED_VALUE"""),"Communication Skills")</f>
        <v>Communication Skills</v>
      </c>
      <c r="D2116" s="2" t="str">
        <f>IFERROR(__xludf.DUMMYFUNCTION("""COMPUTED_VALUE"""),"Cedarridge Books")</f>
        <v>Cedarridge Books</v>
      </c>
      <c r="E2116" s="2">
        <f>IFERROR(__xludf.DUMMYFUNCTION("""COMPUTED_VALUE"""),4.0)</f>
        <v>4</v>
      </c>
      <c r="F2116" s="2"/>
      <c r="G2116" s="2"/>
      <c r="H2116" s="2"/>
      <c r="I2116" s="2"/>
    </row>
    <row r="2117">
      <c r="A2117" s="2">
        <f>IFERROR(__xludf.DUMMYFUNCTION("""COMPUTED_VALUE"""),121731.0)</f>
        <v>121731</v>
      </c>
      <c r="B2117" s="2" t="str">
        <f>IFERROR(__xludf.DUMMYFUNCTION("""COMPUTED_VALUE"""),"Tech")</f>
        <v>Tech</v>
      </c>
      <c r="C2117" s="2" t="str">
        <f>IFERROR(__xludf.DUMMYFUNCTION("""COMPUTED_VALUE"""),"Communication Skills")</f>
        <v>Communication Skills</v>
      </c>
      <c r="D2117" s="2" t="str">
        <f>IFERROR(__xludf.DUMMYFUNCTION("""COMPUTED_VALUE"""),"Cedarridge Books")</f>
        <v>Cedarridge Books</v>
      </c>
      <c r="E2117" s="2">
        <f>IFERROR(__xludf.DUMMYFUNCTION("""COMPUTED_VALUE"""),5.86)</f>
        <v>5.86</v>
      </c>
      <c r="F2117" s="2"/>
      <c r="G2117" s="2"/>
      <c r="H2117" s="2"/>
      <c r="I2117" s="2"/>
    </row>
    <row r="2118">
      <c r="A2118" s="2">
        <f>IFERROR(__xludf.DUMMYFUNCTION("""COMPUTED_VALUE"""),200584.0)</f>
        <v>200584</v>
      </c>
      <c r="B2118" s="2" t="str">
        <f>IFERROR(__xludf.DUMMYFUNCTION("""COMPUTED_VALUE"""),"Tech")</f>
        <v>Tech</v>
      </c>
      <c r="C2118" s="2" t="str">
        <f>IFERROR(__xludf.DUMMYFUNCTION("""COMPUTED_VALUE"""),"Communication Skills")</f>
        <v>Communication Skills</v>
      </c>
      <c r="D2118" s="2" t="str">
        <f>IFERROR(__xludf.DUMMYFUNCTION("""COMPUTED_VALUE"""),"Cedarridge Books")</f>
        <v>Cedarridge Books</v>
      </c>
      <c r="E2118" s="2">
        <f>IFERROR(__xludf.DUMMYFUNCTION("""COMPUTED_VALUE"""),5.17)</f>
        <v>5.17</v>
      </c>
      <c r="F2118" s="2"/>
      <c r="G2118" s="2"/>
      <c r="H2118" s="2"/>
      <c r="I2118" s="2"/>
    </row>
    <row r="2119">
      <c r="A2119" s="2">
        <f>IFERROR(__xludf.DUMMYFUNCTION("""COMPUTED_VALUE"""),68600.0)</f>
        <v>68600</v>
      </c>
      <c r="B2119" s="2" t="str">
        <f>IFERROR(__xludf.DUMMYFUNCTION("""COMPUTED_VALUE"""),"Tech")</f>
        <v>Tech</v>
      </c>
      <c r="C2119" s="2" t="str">
        <f>IFERROR(__xludf.DUMMYFUNCTION("""COMPUTED_VALUE"""),"Communication Skills")</f>
        <v>Communication Skills</v>
      </c>
      <c r="D2119" s="2" t="str">
        <f>IFERROR(__xludf.DUMMYFUNCTION("""COMPUTED_VALUE"""),"Cedarridge Books")</f>
        <v>Cedarridge Books</v>
      </c>
      <c r="E2119" s="2">
        <f>IFERROR(__xludf.DUMMYFUNCTION("""COMPUTED_VALUE"""),3.99)</f>
        <v>3.99</v>
      </c>
      <c r="F2119" s="2"/>
      <c r="G2119" s="2"/>
      <c r="H2119" s="2"/>
      <c r="I2119" s="2"/>
    </row>
    <row r="2120">
      <c r="A2120" s="2">
        <f>IFERROR(__xludf.DUMMYFUNCTION("""COMPUTED_VALUE"""),98788.0)</f>
        <v>98788</v>
      </c>
      <c r="B2120" s="2" t="str">
        <f>IFERROR(__xludf.DUMMYFUNCTION("""COMPUTED_VALUE"""),"Tech")</f>
        <v>Tech</v>
      </c>
      <c r="C2120" s="2" t="str">
        <f>IFERROR(__xludf.DUMMYFUNCTION("""COMPUTED_VALUE"""),"Communication Skills")</f>
        <v>Communication Skills</v>
      </c>
      <c r="D2120" s="2" t="str">
        <f>IFERROR(__xludf.DUMMYFUNCTION("""COMPUTED_VALUE"""),"Cedarridge Books")</f>
        <v>Cedarridge Books</v>
      </c>
      <c r="E2120" s="2">
        <f>IFERROR(__xludf.DUMMYFUNCTION("""COMPUTED_VALUE"""),5.65)</f>
        <v>5.65</v>
      </c>
      <c r="F2120" s="2"/>
      <c r="G2120" s="2"/>
      <c r="H2120" s="2"/>
      <c r="I2120" s="2"/>
    </row>
    <row r="2121">
      <c r="A2121" s="2">
        <f>IFERROR(__xludf.DUMMYFUNCTION("""COMPUTED_VALUE"""),122390.0)</f>
        <v>122390</v>
      </c>
      <c r="B2121" s="2" t="str">
        <f>IFERROR(__xludf.DUMMYFUNCTION("""COMPUTED_VALUE"""),"Tech")</f>
        <v>Tech</v>
      </c>
      <c r="C2121" s="2" t="str">
        <f>IFERROR(__xludf.DUMMYFUNCTION("""COMPUTED_VALUE"""),"Communication Skills")</f>
        <v>Communication Skills</v>
      </c>
      <c r="D2121" s="2" t="str">
        <f>IFERROR(__xludf.DUMMYFUNCTION("""COMPUTED_VALUE"""),"Cedarridge Books")</f>
        <v>Cedarridge Books</v>
      </c>
      <c r="E2121" s="2">
        <f>IFERROR(__xludf.DUMMYFUNCTION("""COMPUTED_VALUE"""),23.34)</f>
        <v>23.34</v>
      </c>
      <c r="F2121" s="2"/>
      <c r="G2121" s="2"/>
      <c r="H2121" s="2"/>
      <c r="I2121" s="2"/>
    </row>
    <row r="2122">
      <c r="A2122" s="2">
        <f>IFERROR(__xludf.DUMMYFUNCTION("""COMPUTED_VALUE"""),109930.0)</f>
        <v>109930</v>
      </c>
      <c r="B2122" s="2" t="str">
        <f>IFERROR(__xludf.DUMMYFUNCTION("""COMPUTED_VALUE"""),"Tech")</f>
        <v>Tech</v>
      </c>
      <c r="C2122" s="2" t="str">
        <f>IFERROR(__xludf.DUMMYFUNCTION("""COMPUTED_VALUE"""),"Communication Skills")</f>
        <v>Communication Skills</v>
      </c>
      <c r="D2122" s="2" t="str">
        <f>IFERROR(__xludf.DUMMYFUNCTION("""COMPUTED_VALUE"""),"Cedarridge Books")</f>
        <v>Cedarridge Books</v>
      </c>
      <c r="E2122" s="2">
        <f>IFERROR(__xludf.DUMMYFUNCTION("""COMPUTED_VALUE"""),5.81)</f>
        <v>5.81</v>
      </c>
      <c r="F2122" s="2"/>
      <c r="G2122" s="2"/>
      <c r="H2122" s="2"/>
      <c r="I2122" s="2"/>
    </row>
    <row r="2123">
      <c r="A2123" s="2">
        <f>IFERROR(__xludf.DUMMYFUNCTION("""COMPUTED_VALUE"""),118299.0)</f>
        <v>118299</v>
      </c>
      <c r="B2123" s="2" t="str">
        <f>IFERROR(__xludf.DUMMYFUNCTION("""COMPUTED_VALUE"""),"Tech")</f>
        <v>Tech</v>
      </c>
      <c r="C2123" s="2" t="str">
        <f>IFERROR(__xludf.DUMMYFUNCTION("""COMPUTED_VALUE"""),"Communication Skills")</f>
        <v>Communication Skills</v>
      </c>
      <c r="D2123" s="2" t="str">
        <f>IFERROR(__xludf.DUMMYFUNCTION("""COMPUTED_VALUE"""),"Cedarridge Books")</f>
        <v>Cedarridge Books</v>
      </c>
      <c r="E2123" s="2">
        <f>IFERROR(__xludf.DUMMYFUNCTION("""COMPUTED_VALUE"""),6.26)</f>
        <v>6.26</v>
      </c>
      <c r="F2123" s="2"/>
      <c r="G2123" s="2"/>
      <c r="H2123" s="2"/>
      <c r="I2123" s="2"/>
    </row>
    <row r="2124">
      <c r="A2124" s="2">
        <f>IFERROR(__xludf.DUMMYFUNCTION("""COMPUTED_VALUE"""),72320.0)</f>
        <v>72320</v>
      </c>
      <c r="B2124" s="2" t="str">
        <f>IFERROR(__xludf.DUMMYFUNCTION("""COMPUTED_VALUE"""),"Tech")</f>
        <v>Tech</v>
      </c>
      <c r="C2124" s="2" t="str">
        <f>IFERROR(__xludf.DUMMYFUNCTION("""COMPUTED_VALUE"""),"Communication Skills")</f>
        <v>Communication Skills</v>
      </c>
      <c r="D2124" s="2" t="str">
        <f>IFERROR(__xludf.DUMMYFUNCTION("""COMPUTED_VALUE"""),"Cedarridge Books")</f>
        <v>Cedarridge Books</v>
      </c>
      <c r="E2124" s="2">
        <f>IFERROR(__xludf.DUMMYFUNCTION("""COMPUTED_VALUE"""),3.97)</f>
        <v>3.97</v>
      </c>
      <c r="F2124" s="2"/>
      <c r="G2124" s="2"/>
      <c r="H2124" s="2"/>
      <c r="I2124" s="2"/>
    </row>
    <row r="2125">
      <c r="A2125" s="2">
        <f>IFERROR(__xludf.DUMMYFUNCTION("""COMPUTED_VALUE"""),87839.0)</f>
        <v>87839</v>
      </c>
      <c r="B2125" s="2" t="str">
        <f>IFERROR(__xludf.DUMMYFUNCTION("""COMPUTED_VALUE"""),"Tech")</f>
        <v>Tech</v>
      </c>
      <c r="C2125" s="2" t="str">
        <f>IFERROR(__xludf.DUMMYFUNCTION("""COMPUTED_VALUE"""),"Communication Skills")</f>
        <v>Communication Skills</v>
      </c>
      <c r="D2125" s="2" t="str">
        <f>IFERROR(__xludf.DUMMYFUNCTION("""COMPUTED_VALUE"""),"Cedarridge Books")</f>
        <v>Cedarridge Books</v>
      </c>
      <c r="E2125" s="2">
        <f>IFERROR(__xludf.DUMMYFUNCTION("""COMPUTED_VALUE"""),6.08)</f>
        <v>6.08</v>
      </c>
      <c r="F2125" s="2"/>
      <c r="G2125" s="2"/>
      <c r="H2125" s="2"/>
      <c r="I2125" s="2"/>
    </row>
    <row r="2126">
      <c r="A2126" s="2">
        <f>IFERROR(__xludf.DUMMYFUNCTION("""COMPUTED_VALUE"""),79819.0)</f>
        <v>79819</v>
      </c>
      <c r="B2126" s="2" t="str">
        <f>IFERROR(__xludf.DUMMYFUNCTION("""COMPUTED_VALUE"""),"Tech")</f>
        <v>Tech</v>
      </c>
      <c r="C2126" s="2" t="str">
        <f>IFERROR(__xludf.DUMMYFUNCTION("""COMPUTED_VALUE"""),"Communication Skills")</f>
        <v>Communication Skills</v>
      </c>
      <c r="D2126" s="2" t="str">
        <f>IFERROR(__xludf.DUMMYFUNCTION("""COMPUTED_VALUE"""),"Cedarridge Books")</f>
        <v>Cedarridge Books</v>
      </c>
      <c r="E2126" s="2">
        <f>IFERROR(__xludf.DUMMYFUNCTION("""COMPUTED_VALUE"""),4.57)</f>
        <v>4.57</v>
      </c>
      <c r="F2126" s="2"/>
      <c r="G2126" s="2"/>
      <c r="H2126" s="2"/>
      <c r="I2126" s="2"/>
    </row>
    <row r="2127">
      <c r="A2127" s="2">
        <f>IFERROR(__xludf.DUMMYFUNCTION("""COMPUTED_VALUE"""),117169.0)</f>
        <v>117169</v>
      </c>
      <c r="B2127" s="2" t="str">
        <f>IFERROR(__xludf.DUMMYFUNCTION("""COMPUTED_VALUE"""),"Tech")</f>
        <v>Tech</v>
      </c>
      <c r="C2127" s="2" t="str">
        <f>IFERROR(__xludf.DUMMYFUNCTION("""COMPUTED_VALUE"""),"Communication Skills")</f>
        <v>Communication Skills</v>
      </c>
      <c r="D2127" s="2" t="str">
        <f>IFERROR(__xludf.DUMMYFUNCTION("""COMPUTED_VALUE"""),"Cedarridge Books")</f>
        <v>Cedarridge Books</v>
      </c>
      <c r="E2127" s="2">
        <f>IFERROR(__xludf.DUMMYFUNCTION("""COMPUTED_VALUE"""),6.19)</f>
        <v>6.19</v>
      </c>
      <c r="F2127" s="2"/>
      <c r="G2127" s="2"/>
      <c r="H2127" s="2"/>
      <c r="I2127" s="2"/>
    </row>
    <row r="2128">
      <c r="A2128" s="2">
        <f>IFERROR(__xludf.DUMMYFUNCTION("""COMPUTED_VALUE"""),200585.0)</f>
        <v>200585</v>
      </c>
      <c r="B2128" s="2" t="str">
        <f>IFERROR(__xludf.DUMMYFUNCTION("""COMPUTED_VALUE"""),"Tech")</f>
        <v>Tech</v>
      </c>
      <c r="C2128" s="2" t="str">
        <f>IFERROR(__xludf.DUMMYFUNCTION("""COMPUTED_VALUE"""),"Communication Skills")</f>
        <v>Communication Skills</v>
      </c>
      <c r="D2128" s="2" t="str">
        <f>IFERROR(__xludf.DUMMYFUNCTION("""COMPUTED_VALUE"""),"Cedarridge Books")</f>
        <v>Cedarridge Books</v>
      </c>
      <c r="E2128" s="2">
        <f>IFERROR(__xludf.DUMMYFUNCTION("""COMPUTED_VALUE"""),5.3)</f>
        <v>5.3</v>
      </c>
      <c r="F2128" s="2"/>
      <c r="G2128" s="2"/>
      <c r="H2128" s="2"/>
      <c r="I2128" s="2"/>
    </row>
    <row r="2129">
      <c r="A2129" s="2">
        <f>IFERROR(__xludf.DUMMYFUNCTION("""COMPUTED_VALUE"""),70339.0)</f>
        <v>70339</v>
      </c>
      <c r="B2129" s="2" t="str">
        <f>IFERROR(__xludf.DUMMYFUNCTION("""COMPUTED_VALUE"""),"Tech")</f>
        <v>Tech</v>
      </c>
      <c r="C2129" s="2" t="str">
        <f>IFERROR(__xludf.DUMMYFUNCTION("""COMPUTED_VALUE"""),"Communication Skills")</f>
        <v>Communication Skills</v>
      </c>
      <c r="D2129" s="2" t="str">
        <f>IFERROR(__xludf.DUMMYFUNCTION("""COMPUTED_VALUE"""),"Cedarridge Books")</f>
        <v>Cedarridge Books</v>
      </c>
      <c r="E2129" s="2">
        <f>IFERROR(__xludf.DUMMYFUNCTION("""COMPUTED_VALUE"""),21.57)</f>
        <v>21.57</v>
      </c>
      <c r="F2129" s="2"/>
      <c r="G2129" s="2"/>
      <c r="H2129" s="2"/>
      <c r="I2129" s="2"/>
    </row>
    <row r="2130">
      <c r="A2130" s="2">
        <f>IFERROR(__xludf.DUMMYFUNCTION("""COMPUTED_VALUE"""),45597.0)</f>
        <v>45597</v>
      </c>
      <c r="B2130" s="2" t="str">
        <f>IFERROR(__xludf.DUMMYFUNCTION("""COMPUTED_VALUE"""),"Tech")</f>
        <v>Tech</v>
      </c>
      <c r="C2130" s="2" t="str">
        <f>IFERROR(__xludf.DUMMYFUNCTION("""COMPUTED_VALUE"""),"Communication Skills")</f>
        <v>Communication Skills</v>
      </c>
      <c r="D2130" s="2" t="str">
        <f>IFERROR(__xludf.DUMMYFUNCTION("""COMPUTED_VALUE"""),"Cedarridge Books")</f>
        <v>Cedarridge Books</v>
      </c>
      <c r="E2130" s="2">
        <f>IFERROR(__xludf.DUMMYFUNCTION("""COMPUTED_VALUE"""),6.56)</f>
        <v>6.56</v>
      </c>
      <c r="F2130" s="2"/>
      <c r="G2130" s="2"/>
      <c r="H2130" s="2"/>
      <c r="I2130" s="2"/>
    </row>
    <row r="2131">
      <c r="A2131" s="2">
        <f>IFERROR(__xludf.DUMMYFUNCTION("""COMPUTED_VALUE"""),117147.0)</f>
        <v>117147</v>
      </c>
      <c r="B2131" s="2" t="str">
        <f>IFERROR(__xludf.DUMMYFUNCTION("""COMPUTED_VALUE"""),"Tech")</f>
        <v>Tech</v>
      </c>
      <c r="C2131" s="2" t="str">
        <f>IFERROR(__xludf.DUMMYFUNCTION("""COMPUTED_VALUE"""),"Communication Skills")</f>
        <v>Communication Skills</v>
      </c>
      <c r="D2131" s="2" t="str">
        <f>IFERROR(__xludf.DUMMYFUNCTION("""COMPUTED_VALUE"""),"Cedarridge Books")</f>
        <v>Cedarridge Books</v>
      </c>
      <c r="E2131" s="2">
        <f>IFERROR(__xludf.DUMMYFUNCTION("""COMPUTED_VALUE"""),6.51)</f>
        <v>6.51</v>
      </c>
      <c r="F2131" s="2"/>
      <c r="G2131" s="2"/>
      <c r="H2131" s="2"/>
      <c r="I2131" s="2"/>
    </row>
    <row r="2132">
      <c r="A2132" s="2">
        <f>IFERROR(__xludf.DUMMYFUNCTION("""COMPUTED_VALUE"""),46309.0)</f>
        <v>46309</v>
      </c>
      <c r="B2132" s="2" t="str">
        <f>IFERROR(__xludf.DUMMYFUNCTION("""COMPUTED_VALUE"""),"Tech")</f>
        <v>Tech</v>
      </c>
      <c r="C2132" s="2" t="str">
        <f>IFERROR(__xludf.DUMMYFUNCTION("""COMPUTED_VALUE"""),"Communication Skills")</f>
        <v>Communication Skills</v>
      </c>
      <c r="D2132" s="2" t="str">
        <f>IFERROR(__xludf.DUMMYFUNCTION("""COMPUTED_VALUE"""),"Cedarridge Books")</f>
        <v>Cedarridge Books</v>
      </c>
      <c r="E2132" s="2">
        <f>IFERROR(__xludf.DUMMYFUNCTION("""COMPUTED_VALUE"""),7.93)</f>
        <v>7.93</v>
      </c>
      <c r="F2132" s="2"/>
      <c r="G2132" s="2"/>
      <c r="H2132" s="2"/>
      <c r="I2132" s="2"/>
    </row>
    <row r="2133">
      <c r="A2133" s="2">
        <f>IFERROR(__xludf.DUMMYFUNCTION("""COMPUTED_VALUE"""),45595.0)</f>
        <v>45595</v>
      </c>
      <c r="B2133" s="2" t="str">
        <f>IFERROR(__xludf.DUMMYFUNCTION("""COMPUTED_VALUE"""),"Tech")</f>
        <v>Tech</v>
      </c>
      <c r="C2133" s="2" t="str">
        <f>IFERROR(__xludf.DUMMYFUNCTION("""COMPUTED_VALUE"""),"Communication Skills")</f>
        <v>Communication Skills</v>
      </c>
      <c r="D2133" s="2" t="str">
        <f>IFERROR(__xludf.DUMMYFUNCTION("""COMPUTED_VALUE"""),"Cedarridge Books")</f>
        <v>Cedarridge Books</v>
      </c>
      <c r="E2133" s="2">
        <f>IFERROR(__xludf.DUMMYFUNCTION("""COMPUTED_VALUE"""),6.47)</f>
        <v>6.47</v>
      </c>
      <c r="F2133" s="2"/>
      <c r="G2133" s="2"/>
      <c r="H2133" s="2"/>
      <c r="I2133" s="2"/>
    </row>
    <row r="2134">
      <c r="A2134" s="2">
        <f>IFERROR(__xludf.DUMMYFUNCTION("""COMPUTED_VALUE"""),100311.0)</f>
        <v>100311</v>
      </c>
      <c r="B2134" s="2" t="str">
        <f>IFERROR(__xludf.DUMMYFUNCTION("""COMPUTED_VALUE"""),"Tech")</f>
        <v>Tech</v>
      </c>
      <c r="C2134" s="2" t="str">
        <f>IFERROR(__xludf.DUMMYFUNCTION("""COMPUTED_VALUE"""),"Communication Skills")</f>
        <v>Communication Skills</v>
      </c>
      <c r="D2134" s="2" t="str">
        <f>IFERROR(__xludf.DUMMYFUNCTION("""COMPUTED_VALUE"""),"Cedarridge Books")</f>
        <v>Cedarridge Books</v>
      </c>
      <c r="E2134" s="2">
        <f>IFERROR(__xludf.DUMMYFUNCTION("""COMPUTED_VALUE"""),5.42)</f>
        <v>5.42</v>
      </c>
      <c r="F2134" s="2"/>
      <c r="G2134" s="2"/>
      <c r="H2134" s="2"/>
      <c r="I2134" s="2"/>
    </row>
    <row r="2135">
      <c r="A2135" s="2">
        <f>IFERROR(__xludf.DUMMYFUNCTION("""COMPUTED_VALUE"""),122491.0)</f>
        <v>122491</v>
      </c>
      <c r="B2135" s="2" t="str">
        <f>IFERROR(__xludf.DUMMYFUNCTION("""COMPUTED_VALUE"""),"Tech")</f>
        <v>Tech</v>
      </c>
      <c r="C2135" s="2" t="str">
        <f>IFERROR(__xludf.DUMMYFUNCTION("""COMPUTED_VALUE"""),"Communication Skills")</f>
        <v>Communication Skills</v>
      </c>
      <c r="D2135" s="2" t="str">
        <f>IFERROR(__xludf.DUMMYFUNCTION("""COMPUTED_VALUE"""),"Cedarridge Books")</f>
        <v>Cedarridge Books</v>
      </c>
      <c r="E2135" s="2">
        <f>IFERROR(__xludf.DUMMYFUNCTION("""COMPUTED_VALUE"""),4.36)</f>
        <v>4.36</v>
      </c>
      <c r="F2135" s="2"/>
      <c r="G2135" s="2"/>
      <c r="H2135" s="2"/>
      <c r="I2135" s="2"/>
    </row>
    <row r="2136">
      <c r="A2136" s="2">
        <f>IFERROR(__xludf.DUMMYFUNCTION("""COMPUTED_VALUE"""),117466.0)</f>
        <v>117466</v>
      </c>
      <c r="B2136" s="2" t="str">
        <f>IFERROR(__xludf.DUMMYFUNCTION("""COMPUTED_VALUE"""),"Tech")</f>
        <v>Tech</v>
      </c>
      <c r="C2136" s="2" t="str">
        <f>IFERROR(__xludf.DUMMYFUNCTION("""COMPUTED_VALUE"""),"Communication Skills")</f>
        <v>Communication Skills</v>
      </c>
      <c r="D2136" s="2" t="str">
        <f>IFERROR(__xludf.DUMMYFUNCTION("""COMPUTED_VALUE"""),"Cedarridge Books")</f>
        <v>Cedarridge Books</v>
      </c>
      <c r="E2136" s="2">
        <f>IFERROR(__xludf.DUMMYFUNCTION("""COMPUTED_VALUE"""),4.2)</f>
        <v>4.2</v>
      </c>
      <c r="F2136" s="2"/>
      <c r="G2136" s="2"/>
      <c r="H2136" s="2"/>
      <c r="I2136" s="2"/>
    </row>
    <row r="2137">
      <c r="A2137" s="2">
        <f>IFERROR(__xludf.DUMMYFUNCTION("""COMPUTED_VALUE"""),85107.0)</f>
        <v>85107</v>
      </c>
      <c r="B2137" s="2" t="str">
        <f>IFERROR(__xludf.DUMMYFUNCTION("""COMPUTED_VALUE"""),"Tech")</f>
        <v>Tech</v>
      </c>
      <c r="C2137" s="2" t="str">
        <f>IFERROR(__xludf.DUMMYFUNCTION("""COMPUTED_VALUE"""),"Communication Skills")</f>
        <v>Communication Skills</v>
      </c>
      <c r="D2137" s="2" t="str">
        <f>IFERROR(__xludf.DUMMYFUNCTION("""COMPUTED_VALUE"""),"Cedarridge Books")</f>
        <v>Cedarridge Books</v>
      </c>
      <c r="E2137" s="2">
        <f>IFERROR(__xludf.DUMMYFUNCTION("""COMPUTED_VALUE"""),24.29)</f>
        <v>24.29</v>
      </c>
      <c r="F2137" s="2"/>
      <c r="G2137" s="2"/>
      <c r="H2137" s="2"/>
      <c r="I2137" s="2"/>
    </row>
    <row r="2138">
      <c r="A2138" s="2">
        <f>IFERROR(__xludf.DUMMYFUNCTION("""COMPUTED_VALUE"""),45594.0)</f>
        <v>45594</v>
      </c>
      <c r="B2138" s="2" t="str">
        <f>IFERROR(__xludf.DUMMYFUNCTION("""COMPUTED_VALUE"""),"Tech")</f>
        <v>Tech</v>
      </c>
      <c r="C2138" s="2" t="str">
        <f>IFERROR(__xludf.DUMMYFUNCTION("""COMPUTED_VALUE"""),"Communication Skills")</f>
        <v>Communication Skills</v>
      </c>
      <c r="D2138" s="2" t="str">
        <f>IFERROR(__xludf.DUMMYFUNCTION("""COMPUTED_VALUE"""),"Cedarridge Books")</f>
        <v>Cedarridge Books</v>
      </c>
      <c r="E2138" s="2">
        <f>IFERROR(__xludf.DUMMYFUNCTION("""COMPUTED_VALUE"""),6.35)</f>
        <v>6.35</v>
      </c>
      <c r="F2138" s="2"/>
      <c r="G2138" s="2"/>
      <c r="H2138" s="2"/>
      <c r="I2138" s="2"/>
    </row>
    <row r="2139">
      <c r="A2139" s="2">
        <f>IFERROR(__xludf.DUMMYFUNCTION("""COMPUTED_VALUE"""),118298.0)</f>
        <v>118298</v>
      </c>
      <c r="B2139" s="2" t="str">
        <f>IFERROR(__xludf.DUMMYFUNCTION("""COMPUTED_VALUE"""),"Tech")</f>
        <v>Tech</v>
      </c>
      <c r="C2139" s="2" t="str">
        <f>IFERROR(__xludf.DUMMYFUNCTION("""COMPUTED_VALUE"""),"Communication Skills")</f>
        <v>Communication Skills</v>
      </c>
      <c r="D2139" s="2" t="str">
        <f>IFERROR(__xludf.DUMMYFUNCTION("""COMPUTED_VALUE"""),"Cedarridge Books")</f>
        <v>Cedarridge Books</v>
      </c>
      <c r="E2139" s="2">
        <f>IFERROR(__xludf.DUMMYFUNCTION("""COMPUTED_VALUE"""),6.58)</f>
        <v>6.58</v>
      </c>
      <c r="F2139" s="2"/>
      <c r="G2139" s="2"/>
      <c r="H2139" s="2"/>
      <c r="I2139" s="2"/>
    </row>
    <row r="2140">
      <c r="A2140" s="2">
        <f>IFERROR(__xludf.DUMMYFUNCTION("""COMPUTED_VALUE"""),98802.0)</f>
        <v>98802</v>
      </c>
      <c r="B2140" s="2" t="str">
        <f>IFERROR(__xludf.DUMMYFUNCTION("""COMPUTED_VALUE"""),"Tech")</f>
        <v>Tech</v>
      </c>
      <c r="C2140" s="2" t="str">
        <f>IFERROR(__xludf.DUMMYFUNCTION("""COMPUTED_VALUE"""),"Communication Skills")</f>
        <v>Communication Skills</v>
      </c>
      <c r="D2140" s="2" t="str">
        <f>IFERROR(__xludf.DUMMYFUNCTION("""COMPUTED_VALUE"""),"Cedarridge Books")</f>
        <v>Cedarridge Books</v>
      </c>
      <c r="E2140" s="2">
        <f>IFERROR(__xludf.DUMMYFUNCTION("""COMPUTED_VALUE"""),4.02)</f>
        <v>4.02</v>
      </c>
      <c r="F2140" s="2"/>
      <c r="G2140" s="2"/>
      <c r="H2140" s="2"/>
      <c r="I2140" s="2"/>
    </row>
    <row r="2141">
      <c r="A2141" s="2">
        <f>IFERROR(__xludf.DUMMYFUNCTION("""COMPUTED_VALUE"""),46985.0)</f>
        <v>46985</v>
      </c>
      <c r="B2141" s="2" t="str">
        <f>IFERROR(__xludf.DUMMYFUNCTION("""COMPUTED_VALUE"""),"Tech")</f>
        <v>Tech</v>
      </c>
      <c r="C2141" s="2" t="str">
        <f>IFERROR(__xludf.DUMMYFUNCTION("""COMPUTED_VALUE"""),"Communication Skills")</f>
        <v>Communication Skills</v>
      </c>
      <c r="D2141" s="2" t="str">
        <f>IFERROR(__xludf.DUMMYFUNCTION("""COMPUTED_VALUE"""),"Cedarridge Books")</f>
        <v>Cedarridge Books</v>
      </c>
      <c r="E2141" s="2">
        <f>IFERROR(__xludf.DUMMYFUNCTION("""COMPUTED_VALUE"""),3.47)</f>
        <v>3.47</v>
      </c>
      <c r="F2141" s="2"/>
      <c r="G2141" s="2"/>
      <c r="H2141" s="2"/>
      <c r="I2141" s="2"/>
    </row>
    <row r="2142">
      <c r="A2142" s="2">
        <f>IFERROR(__xludf.DUMMYFUNCTION("""COMPUTED_VALUE"""),46476.0)</f>
        <v>46476</v>
      </c>
      <c r="B2142" s="2" t="str">
        <f>IFERROR(__xludf.DUMMYFUNCTION("""COMPUTED_VALUE"""),"Tech")</f>
        <v>Tech</v>
      </c>
      <c r="C2142" s="2" t="str">
        <f>IFERROR(__xludf.DUMMYFUNCTION("""COMPUTED_VALUE"""),"Communication Skills")</f>
        <v>Communication Skills</v>
      </c>
      <c r="D2142" s="2" t="str">
        <f>IFERROR(__xludf.DUMMYFUNCTION("""COMPUTED_VALUE"""),"Cedarridge Books")</f>
        <v>Cedarridge Books</v>
      </c>
      <c r="E2142" s="2">
        <f>IFERROR(__xludf.DUMMYFUNCTION("""COMPUTED_VALUE"""),6.06)</f>
        <v>6.06</v>
      </c>
      <c r="F2142" s="2"/>
      <c r="G2142" s="2"/>
      <c r="H2142" s="2"/>
      <c r="I2142" s="2"/>
    </row>
    <row r="2143">
      <c r="A2143" s="2">
        <f>IFERROR(__xludf.DUMMYFUNCTION("""COMPUTED_VALUE"""),110187.0)</f>
        <v>110187</v>
      </c>
      <c r="B2143" s="2" t="str">
        <f>IFERROR(__xludf.DUMMYFUNCTION("""COMPUTED_VALUE"""),"Tech")</f>
        <v>Tech</v>
      </c>
      <c r="C2143" s="2" t="str">
        <f>IFERROR(__xludf.DUMMYFUNCTION("""COMPUTED_VALUE"""),"Communication Skills")</f>
        <v>Communication Skills</v>
      </c>
      <c r="D2143" s="2" t="str">
        <f>IFERROR(__xludf.DUMMYFUNCTION("""COMPUTED_VALUE"""),"Cedarridge Books")</f>
        <v>Cedarridge Books</v>
      </c>
      <c r="E2143" s="2">
        <f>IFERROR(__xludf.DUMMYFUNCTION("""COMPUTED_VALUE"""),4.97)</f>
        <v>4.97</v>
      </c>
      <c r="F2143" s="2"/>
      <c r="G2143" s="2"/>
      <c r="H2143" s="2"/>
      <c r="I2143" s="2"/>
    </row>
    <row r="2144">
      <c r="A2144" s="2">
        <f>IFERROR(__xludf.DUMMYFUNCTION("""COMPUTED_VALUE"""),79988.0)</f>
        <v>79988</v>
      </c>
      <c r="B2144" s="2" t="str">
        <f>IFERROR(__xludf.DUMMYFUNCTION("""COMPUTED_VALUE"""),"Tech")</f>
        <v>Tech</v>
      </c>
      <c r="C2144" s="2" t="str">
        <f>IFERROR(__xludf.DUMMYFUNCTION("""COMPUTED_VALUE"""),"Communication Skills")</f>
        <v>Communication Skills</v>
      </c>
      <c r="D2144" s="2" t="str">
        <f>IFERROR(__xludf.DUMMYFUNCTION("""COMPUTED_VALUE"""),"Cedarridge Books")</f>
        <v>Cedarridge Books</v>
      </c>
      <c r="E2144" s="2">
        <f>IFERROR(__xludf.DUMMYFUNCTION("""COMPUTED_VALUE"""),5.15)</f>
        <v>5.15</v>
      </c>
      <c r="F2144" s="2"/>
      <c r="G2144" s="2"/>
      <c r="H2144" s="2"/>
      <c r="I2144" s="2"/>
    </row>
    <row r="2145">
      <c r="A2145" s="2">
        <f>IFERROR(__xludf.DUMMYFUNCTION("""COMPUTED_VALUE"""),46970.0)</f>
        <v>46970</v>
      </c>
      <c r="B2145" s="2" t="str">
        <f>IFERROR(__xludf.DUMMYFUNCTION("""COMPUTED_VALUE"""),"Tech")</f>
        <v>Tech</v>
      </c>
      <c r="C2145" s="2" t="str">
        <f>IFERROR(__xludf.DUMMYFUNCTION("""COMPUTED_VALUE"""),"Communication Skills")</f>
        <v>Communication Skills</v>
      </c>
      <c r="D2145" s="2" t="str">
        <f>IFERROR(__xludf.DUMMYFUNCTION("""COMPUTED_VALUE"""),"Cedarridge Books")</f>
        <v>Cedarridge Books</v>
      </c>
      <c r="E2145" s="2">
        <f>IFERROR(__xludf.DUMMYFUNCTION("""COMPUTED_VALUE"""),7.29)</f>
        <v>7.29</v>
      </c>
      <c r="F2145" s="2"/>
      <c r="G2145" s="2"/>
      <c r="H2145" s="2"/>
      <c r="I2145" s="2"/>
    </row>
    <row r="2146">
      <c r="A2146" s="2">
        <f>IFERROR(__xludf.DUMMYFUNCTION("""COMPUTED_VALUE"""),6519.0)</f>
        <v>6519</v>
      </c>
      <c r="B2146" s="2" t="str">
        <f>IFERROR(__xludf.DUMMYFUNCTION("""COMPUTED_VALUE"""),"Tech")</f>
        <v>Tech</v>
      </c>
      <c r="C2146" s="2" t="str">
        <f>IFERROR(__xludf.DUMMYFUNCTION("""COMPUTED_VALUE"""),"Communication Skills")</f>
        <v>Communication Skills</v>
      </c>
      <c r="D2146" s="2" t="str">
        <f>IFERROR(__xludf.DUMMYFUNCTION("""COMPUTED_VALUE"""),"Cedarridge Books")</f>
        <v>Cedarridge Books</v>
      </c>
      <c r="E2146" s="2">
        <f>IFERROR(__xludf.DUMMYFUNCTION("""COMPUTED_VALUE"""),7.46)</f>
        <v>7.46</v>
      </c>
      <c r="F2146" s="2"/>
      <c r="G2146" s="2"/>
      <c r="H2146" s="2"/>
      <c r="I2146" s="2"/>
    </row>
    <row r="2147">
      <c r="A2147" s="2">
        <f>IFERROR(__xludf.DUMMYFUNCTION("""COMPUTED_VALUE"""),118205.0)</f>
        <v>118205</v>
      </c>
      <c r="B2147" s="2" t="str">
        <f>IFERROR(__xludf.DUMMYFUNCTION("""COMPUTED_VALUE"""),"Tech")</f>
        <v>Tech</v>
      </c>
      <c r="C2147" s="2" t="str">
        <f>IFERROR(__xludf.DUMMYFUNCTION("""COMPUTED_VALUE"""),"Communication Skills")</f>
        <v>Communication Skills</v>
      </c>
      <c r="D2147" s="2" t="str">
        <f>IFERROR(__xludf.DUMMYFUNCTION("""COMPUTED_VALUE"""),"Cedarridge Books")</f>
        <v>Cedarridge Books</v>
      </c>
      <c r="E2147" s="2">
        <f>IFERROR(__xludf.DUMMYFUNCTION("""COMPUTED_VALUE"""),4.46)</f>
        <v>4.46</v>
      </c>
      <c r="F2147" s="2"/>
      <c r="G2147" s="2"/>
      <c r="H2147" s="2"/>
      <c r="I2147" s="2"/>
    </row>
    <row r="2148">
      <c r="A2148" s="2">
        <f>IFERROR(__xludf.DUMMYFUNCTION("""COMPUTED_VALUE"""),109412.0)</f>
        <v>109412</v>
      </c>
      <c r="B2148" s="2" t="str">
        <f>IFERROR(__xludf.DUMMYFUNCTION("""COMPUTED_VALUE"""),"Tech")</f>
        <v>Tech</v>
      </c>
      <c r="C2148" s="2" t="str">
        <f>IFERROR(__xludf.DUMMYFUNCTION("""COMPUTED_VALUE"""),"Communication Skills")</f>
        <v>Communication Skills</v>
      </c>
      <c r="D2148" s="2" t="str">
        <f>IFERROR(__xludf.DUMMYFUNCTION("""COMPUTED_VALUE"""),"Cedarridge Books")</f>
        <v>Cedarridge Books</v>
      </c>
      <c r="E2148" s="2">
        <f>IFERROR(__xludf.DUMMYFUNCTION("""COMPUTED_VALUE"""),2.16)</f>
        <v>2.16</v>
      </c>
      <c r="F2148" s="2"/>
      <c r="G2148" s="2"/>
      <c r="H2148" s="2"/>
      <c r="I2148" s="2"/>
    </row>
    <row r="2149">
      <c r="A2149" s="2">
        <f>IFERROR(__xludf.DUMMYFUNCTION("""COMPUTED_VALUE"""),117931.0)</f>
        <v>117931</v>
      </c>
      <c r="B2149" s="2" t="str">
        <f>IFERROR(__xludf.DUMMYFUNCTION("""COMPUTED_VALUE"""),"Tech")</f>
        <v>Tech</v>
      </c>
      <c r="C2149" s="2" t="str">
        <f>IFERROR(__xludf.DUMMYFUNCTION("""COMPUTED_VALUE"""),"Communication Skills")</f>
        <v>Communication Skills</v>
      </c>
      <c r="D2149" s="2" t="str">
        <f>IFERROR(__xludf.DUMMYFUNCTION("""COMPUTED_VALUE"""),"Cedarridge Books")</f>
        <v>Cedarridge Books</v>
      </c>
      <c r="E2149" s="2">
        <f>IFERROR(__xludf.DUMMYFUNCTION("""COMPUTED_VALUE"""),3.29)</f>
        <v>3.29</v>
      </c>
      <c r="F2149" s="2"/>
      <c r="G2149" s="2"/>
      <c r="H2149" s="2"/>
      <c r="I2149" s="2"/>
    </row>
    <row r="2150">
      <c r="A2150" s="2">
        <f>IFERROR(__xludf.DUMMYFUNCTION("""COMPUTED_VALUE"""),70042.0)</f>
        <v>70042</v>
      </c>
      <c r="B2150" s="2" t="str">
        <f>IFERROR(__xludf.DUMMYFUNCTION("""COMPUTED_VALUE"""),"Tech")</f>
        <v>Tech</v>
      </c>
      <c r="C2150" s="2" t="str">
        <f>IFERROR(__xludf.DUMMYFUNCTION("""COMPUTED_VALUE"""),"Communication Skills")</f>
        <v>Communication Skills</v>
      </c>
      <c r="D2150" s="2" t="str">
        <f>IFERROR(__xludf.DUMMYFUNCTION("""COMPUTED_VALUE"""),"Cedarridge Books")</f>
        <v>Cedarridge Books</v>
      </c>
      <c r="E2150" s="2">
        <f>IFERROR(__xludf.DUMMYFUNCTION("""COMPUTED_VALUE"""),2.83)</f>
        <v>2.83</v>
      </c>
      <c r="F2150" s="2"/>
      <c r="G2150" s="2"/>
      <c r="H2150" s="2"/>
      <c r="I2150" s="2"/>
    </row>
    <row r="2151">
      <c r="A2151" s="2">
        <f>IFERROR(__xludf.DUMMYFUNCTION("""COMPUTED_VALUE"""),150104.0)</f>
        <v>150104</v>
      </c>
      <c r="B2151" s="2" t="str">
        <f>IFERROR(__xludf.DUMMYFUNCTION("""COMPUTED_VALUE"""),"Tech")</f>
        <v>Tech</v>
      </c>
      <c r="C2151" s="2" t="str">
        <f>IFERROR(__xludf.DUMMYFUNCTION("""COMPUTED_VALUE"""),"Communication Skills")</f>
        <v>Communication Skills</v>
      </c>
      <c r="D2151" s="2" t="str">
        <f>IFERROR(__xludf.DUMMYFUNCTION("""COMPUTED_VALUE"""),"Cedarridge Books")</f>
        <v>Cedarridge Books</v>
      </c>
      <c r="E2151" s="2">
        <f>IFERROR(__xludf.DUMMYFUNCTION("""COMPUTED_VALUE"""),2.07)</f>
        <v>2.07</v>
      </c>
      <c r="F2151" s="2"/>
      <c r="G2151" s="2"/>
      <c r="H2151" s="2"/>
      <c r="I2151" s="2"/>
    </row>
    <row r="2152">
      <c r="A2152" s="2">
        <f>IFERROR(__xludf.DUMMYFUNCTION("""COMPUTED_VALUE"""),72319.0)</f>
        <v>72319</v>
      </c>
      <c r="B2152" s="2" t="str">
        <f>IFERROR(__xludf.DUMMYFUNCTION("""COMPUTED_VALUE"""),"Tech")</f>
        <v>Tech</v>
      </c>
      <c r="C2152" s="2" t="str">
        <f>IFERROR(__xludf.DUMMYFUNCTION("""COMPUTED_VALUE"""),"Communication Skills")</f>
        <v>Communication Skills</v>
      </c>
      <c r="D2152" s="2" t="str">
        <f>IFERROR(__xludf.DUMMYFUNCTION("""COMPUTED_VALUE"""),"Cedarridge Books")</f>
        <v>Cedarridge Books</v>
      </c>
      <c r="E2152" s="2">
        <f>IFERROR(__xludf.DUMMYFUNCTION("""COMPUTED_VALUE"""),6.56)</f>
        <v>6.56</v>
      </c>
      <c r="F2152" s="2"/>
      <c r="G2152" s="2"/>
      <c r="H2152" s="2"/>
      <c r="I2152" s="2"/>
    </row>
    <row r="2153">
      <c r="A2153" s="2">
        <f>IFERROR(__xludf.DUMMYFUNCTION("""COMPUTED_VALUE"""),100060.0)</f>
        <v>100060</v>
      </c>
      <c r="B2153" s="2" t="str">
        <f>IFERROR(__xludf.DUMMYFUNCTION("""COMPUTED_VALUE"""),"Tech")</f>
        <v>Tech</v>
      </c>
      <c r="C2153" s="2" t="str">
        <f>IFERROR(__xludf.DUMMYFUNCTION("""COMPUTED_VALUE"""),"Communication Skills")</f>
        <v>Communication Skills</v>
      </c>
      <c r="D2153" s="2" t="str">
        <f>IFERROR(__xludf.DUMMYFUNCTION("""COMPUTED_VALUE"""),"Cedarridge Books")</f>
        <v>Cedarridge Books</v>
      </c>
      <c r="E2153" s="2">
        <f>IFERROR(__xludf.DUMMYFUNCTION("""COMPUTED_VALUE"""),6.55)</f>
        <v>6.55</v>
      </c>
      <c r="F2153" s="2"/>
      <c r="G2153" s="2"/>
      <c r="H2153" s="2"/>
      <c r="I2153" s="2"/>
    </row>
    <row r="2154">
      <c r="A2154" s="2">
        <f>IFERROR(__xludf.DUMMYFUNCTION("""COMPUTED_VALUE"""),6521.0)</f>
        <v>6521</v>
      </c>
      <c r="B2154" s="2" t="str">
        <f>IFERROR(__xludf.DUMMYFUNCTION("""COMPUTED_VALUE"""),"Tech")</f>
        <v>Tech</v>
      </c>
      <c r="C2154" s="2" t="str">
        <f>IFERROR(__xludf.DUMMYFUNCTION("""COMPUTED_VALUE"""),"Communication Skills")</f>
        <v>Communication Skills</v>
      </c>
      <c r="D2154" s="2" t="str">
        <f>IFERROR(__xludf.DUMMYFUNCTION("""COMPUTED_VALUE"""),"Cedarridge Books")</f>
        <v>Cedarridge Books</v>
      </c>
      <c r="E2154" s="2">
        <f>IFERROR(__xludf.DUMMYFUNCTION("""COMPUTED_VALUE"""),6.68)</f>
        <v>6.68</v>
      </c>
      <c r="F2154" s="2"/>
      <c r="G2154" s="2"/>
      <c r="H2154" s="2"/>
      <c r="I2154" s="2"/>
    </row>
    <row r="2155">
      <c r="A2155" s="2">
        <f>IFERROR(__xludf.DUMMYFUNCTION("""COMPUTED_VALUE"""),45058.0)</f>
        <v>45058</v>
      </c>
      <c r="B2155" s="2" t="str">
        <f>IFERROR(__xludf.DUMMYFUNCTION("""COMPUTED_VALUE"""),"Tech")</f>
        <v>Tech</v>
      </c>
      <c r="C2155" s="2" t="str">
        <f>IFERROR(__xludf.DUMMYFUNCTION("""COMPUTED_VALUE"""),"Communication Skills")</f>
        <v>Communication Skills</v>
      </c>
      <c r="D2155" s="2" t="str">
        <f>IFERROR(__xludf.DUMMYFUNCTION("""COMPUTED_VALUE"""),"Cedarridge Books")</f>
        <v>Cedarridge Books</v>
      </c>
      <c r="E2155" s="2">
        <f>IFERROR(__xludf.DUMMYFUNCTION("""COMPUTED_VALUE"""),6.42)</f>
        <v>6.42</v>
      </c>
      <c r="F2155" s="2"/>
      <c r="G2155" s="2"/>
      <c r="H2155" s="2"/>
      <c r="I2155" s="2"/>
    </row>
    <row r="2156">
      <c r="A2156" s="2">
        <f>IFERROR(__xludf.DUMMYFUNCTION("""COMPUTED_VALUE"""),117139.0)</f>
        <v>117139</v>
      </c>
      <c r="B2156" s="2" t="str">
        <f>IFERROR(__xludf.DUMMYFUNCTION("""COMPUTED_VALUE"""),"Tech")</f>
        <v>Tech</v>
      </c>
      <c r="C2156" s="2" t="str">
        <f>IFERROR(__xludf.DUMMYFUNCTION("""COMPUTED_VALUE"""),"Communication Skills")</f>
        <v>Communication Skills</v>
      </c>
      <c r="D2156" s="2" t="str">
        <f>IFERROR(__xludf.DUMMYFUNCTION("""COMPUTED_VALUE"""),"Cedarridge Books")</f>
        <v>Cedarridge Books</v>
      </c>
      <c r="E2156" s="2">
        <f>IFERROR(__xludf.DUMMYFUNCTION("""COMPUTED_VALUE"""),6.33)</f>
        <v>6.33</v>
      </c>
      <c r="F2156" s="2"/>
      <c r="G2156" s="2"/>
      <c r="H2156" s="2"/>
      <c r="I2156" s="2"/>
    </row>
    <row r="2157">
      <c r="A2157" s="2">
        <f>IFERROR(__xludf.DUMMYFUNCTION("""COMPUTED_VALUE"""),117464.0)</f>
        <v>117464</v>
      </c>
      <c r="B2157" s="2" t="str">
        <f>IFERROR(__xludf.DUMMYFUNCTION("""COMPUTED_VALUE"""),"Tech")</f>
        <v>Tech</v>
      </c>
      <c r="C2157" s="2" t="str">
        <f>IFERROR(__xludf.DUMMYFUNCTION("""COMPUTED_VALUE"""),"Communication Skills")</f>
        <v>Communication Skills</v>
      </c>
      <c r="D2157" s="2" t="str">
        <f>IFERROR(__xludf.DUMMYFUNCTION("""COMPUTED_VALUE"""),"Cedarridge Books")</f>
        <v>Cedarridge Books</v>
      </c>
      <c r="E2157" s="2">
        <f>IFERROR(__xludf.DUMMYFUNCTION("""COMPUTED_VALUE"""),6.33)</f>
        <v>6.33</v>
      </c>
      <c r="F2157" s="2"/>
      <c r="G2157" s="2"/>
      <c r="H2157" s="2"/>
      <c r="I2157" s="2"/>
    </row>
    <row r="2158">
      <c r="A2158" s="2">
        <f>IFERROR(__xludf.DUMMYFUNCTION("""COMPUTED_VALUE"""),111777.0)</f>
        <v>111777</v>
      </c>
      <c r="B2158" s="2" t="str">
        <f>IFERROR(__xludf.DUMMYFUNCTION("""COMPUTED_VALUE"""),"Tech")</f>
        <v>Tech</v>
      </c>
      <c r="C2158" s="2" t="str">
        <f>IFERROR(__xludf.DUMMYFUNCTION("""COMPUTED_VALUE"""),"Communication Skills")</f>
        <v>Communication Skills</v>
      </c>
      <c r="D2158" s="2" t="str">
        <f>IFERROR(__xludf.DUMMYFUNCTION("""COMPUTED_VALUE"""),"Cedarridge Books")</f>
        <v>Cedarridge Books</v>
      </c>
      <c r="E2158" s="2">
        <f>IFERROR(__xludf.DUMMYFUNCTION("""COMPUTED_VALUE"""),2.99)</f>
        <v>2.99</v>
      </c>
      <c r="F2158" s="2"/>
      <c r="G2158" s="2"/>
      <c r="H2158" s="2"/>
      <c r="I2158" s="2"/>
    </row>
    <row r="2159">
      <c r="A2159" s="2">
        <f>IFERROR(__xludf.DUMMYFUNCTION("""COMPUTED_VALUE"""),122375.0)</f>
        <v>122375</v>
      </c>
      <c r="B2159" s="2" t="str">
        <f>IFERROR(__xludf.DUMMYFUNCTION("""COMPUTED_VALUE"""),"Tech")</f>
        <v>Tech</v>
      </c>
      <c r="C2159" s="2" t="str">
        <f>IFERROR(__xludf.DUMMYFUNCTION("""COMPUTED_VALUE"""),"Communication Skills")</f>
        <v>Communication Skills</v>
      </c>
      <c r="D2159" s="2" t="str">
        <f>IFERROR(__xludf.DUMMYFUNCTION("""COMPUTED_VALUE"""),"Brightridge Press")</f>
        <v>Brightridge Press</v>
      </c>
      <c r="E2159" s="2">
        <f>IFERROR(__xludf.DUMMYFUNCTION("""COMPUTED_VALUE"""),15.29)</f>
        <v>15.29</v>
      </c>
      <c r="F2159" s="2"/>
      <c r="G2159" s="2"/>
      <c r="H2159" s="2"/>
      <c r="I2159" s="2"/>
    </row>
    <row r="2160">
      <c r="A2160" s="2">
        <f>IFERROR(__xludf.DUMMYFUNCTION("""COMPUTED_VALUE"""),122282.0)</f>
        <v>122282</v>
      </c>
      <c r="B2160" s="2" t="str">
        <f>IFERROR(__xludf.DUMMYFUNCTION("""COMPUTED_VALUE"""),"Tech")</f>
        <v>Tech</v>
      </c>
      <c r="C2160" s="2" t="str">
        <f>IFERROR(__xludf.DUMMYFUNCTION("""COMPUTED_VALUE"""),"Communication Skills")</f>
        <v>Communication Skills</v>
      </c>
      <c r="D2160" s="2" t="str">
        <f>IFERROR(__xludf.DUMMYFUNCTION("""COMPUTED_VALUE"""),"Brightridge Press")</f>
        <v>Brightridge Press</v>
      </c>
      <c r="E2160" s="2">
        <f>IFERROR(__xludf.DUMMYFUNCTION("""COMPUTED_VALUE"""),18.25)</f>
        <v>18.25</v>
      </c>
      <c r="F2160" s="2"/>
      <c r="G2160" s="2"/>
      <c r="H2160" s="2"/>
      <c r="I2160" s="2"/>
    </row>
    <row r="2161">
      <c r="A2161" s="2">
        <f>IFERROR(__xludf.DUMMYFUNCTION("""COMPUTED_VALUE"""),47161.0)</f>
        <v>47161</v>
      </c>
      <c r="B2161" s="2" t="str">
        <f>IFERROR(__xludf.DUMMYFUNCTION("""COMPUTED_VALUE"""),"Tech")</f>
        <v>Tech</v>
      </c>
      <c r="C2161" s="2" t="str">
        <f>IFERROR(__xludf.DUMMYFUNCTION("""COMPUTED_VALUE"""),"Communication Skills")</f>
        <v>Communication Skills</v>
      </c>
      <c r="D2161" s="2" t="str">
        <f>IFERROR(__xludf.DUMMYFUNCTION("""COMPUTED_VALUE"""),"Brightridge Press")</f>
        <v>Brightridge Press</v>
      </c>
      <c r="E2161" s="2">
        <f>IFERROR(__xludf.DUMMYFUNCTION("""COMPUTED_VALUE"""),5.12)</f>
        <v>5.12</v>
      </c>
      <c r="F2161" s="2"/>
      <c r="G2161" s="2"/>
      <c r="H2161" s="2"/>
      <c r="I2161" s="2"/>
    </row>
    <row r="2162">
      <c r="A2162" s="2">
        <f>IFERROR(__xludf.DUMMYFUNCTION("""COMPUTED_VALUE"""),47159.0)</f>
        <v>47159</v>
      </c>
      <c r="B2162" s="2" t="str">
        <f>IFERROR(__xludf.DUMMYFUNCTION("""COMPUTED_VALUE"""),"Tech")</f>
        <v>Tech</v>
      </c>
      <c r="C2162" s="2" t="str">
        <f>IFERROR(__xludf.DUMMYFUNCTION("""COMPUTED_VALUE"""),"Communication Skills")</f>
        <v>Communication Skills</v>
      </c>
      <c r="D2162" s="2" t="str">
        <f>IFERROR(__xludf.DUMMYFUNCTION("""COMPUTED_VALUE"""),"Brightridge Press")</f>
        <v>Brightridge Press</v>
      </c>
      <c r="E2162" s="2">
        <f>IFERROR(__xludf.DUMMYFUNCTION("""COMPUTED_VALUE"""),2.45)</f>
        <v>2.45</v>
      </c>
      <c r="F2162" s="2"/>
      <c r="G2162" s="2"/>
      <c r="H2162" s="2"/>
      <c r="I2162" s="2"/>
    </row>
    <row r="2163">
      <c r="A2163" s="2">
        <f>IFERROR(__xludf.DUMMYFUNCTION("""COMPUTED_VALUE"""),71327.0)</f>
        <v>71327</v>
      </c>
      <c r="B2163" s="2" t="str">
        <f>IFERROR(__xludf.DUMMYFUNCTION("""COMPUTED_VALUE"""),"Tech")</f>
        <v>Tech</v>
      </c>
      <c r="C2163" s="2" t="str">
        <f>IFERROR(__xludf.DUMMYFUNCTION("""COMPUTED_VALUE"""),"Communication Skills")</f>
        <v>Communication Skills</v>
      </c>
      <c r="D2163" s="2" t="str">
        <f>IFERROR(__xludf.DUMMYFUNCTION("""COMPUTED_VALUE"""),"Brightridge Press")</f>
        <v>Brightridge Press</v>
      </c>
      <c r="E2163" s="2">
        <f>IFERROR(__xludf.DUMMYFUNCTION("""COMPUTED_VALUE"""),21.88)</f>
        <v>21.88</v>
      </c>
      <c r="F2163" s="2"/>
      <c r="G2163" s="2"/>
      <c r="H2163" s="2"/>
      <c r="I2163" s="2"/>
    </row>
    <row r="2164">
      <c r="A2164" s="2">
        <f>IFERROR(__xludf.DUMMYFUNCTION("""COMPUTED_VALUE"""),122276.0)</f>
        <v>122276</v>
      </c>
      <c r="B2164" s="2" t="str">
        <f>IFERROR(__xludf.DUMMYFUNCTION("""COMPUTED_VALUE"""),"Tech")</f>
        <v>Tech</v>
      </c>
      <c r="C2164" s="2" t="str">
        <f>IFERROR(__xludf.DUMMYFUNCTION("""COMPUTED_VALUE"""),"Communication Skills")</f>
        <v>Communication Skills</v>
      </c>
      <c r="D2164" s="2" t="str">
        <f>IFERROR(__xludf.DUMMYFUNCTION("""COMPUTED_VALUE"""),"Brightridge Press")</f>
        <v>Brightridge Press</v>
      </c>
      <c r="E2164" s="2">
        <f>IFERROR(__xludf.DUMMYFUNCTION("""COMPUTED_VALUE"""),2.17)</f>
        <v>2.17</v>
      </c>
      <c r="F2164" s="2"/>
      <c r="G2164" s="2"/>
      <c r="H2164" s="2"/>
      <c r="I2164" s="2"/>
    </row>
    <row r="2165">
      <c r="A2165" s="2">
        <f>IFERROR(__xludf.DUMMYFUNCTION("""COMPUTED_VALUE"""),72806.0)</f>
        <v>72806</v>
      </c>
      <c r="B2165" s="2" t="str">
        <f>IFERROR(__xludf.DUMMYFUNCTION("""COMPUTED_VALUE"""),"Tech")</f>
        <v>Tech</v>
      </c>
      <c r="C2165" s="2" t="str">
        <f>IFERROR(__xludf.DUMMYFUNCTION("""COMPUTED_VALUE"""),"Communication Skills")</f>
        <v>Communication Skills</v>
      </c>
      <c r="D2165" s="2" t="str">
        <f>IFERROR(__xludf.DUMMYFUNCTION("""COMPUTED_VALUE"""),"Brightridge Press")</f>
        <v>Brightridge Press</v>
      </c>
      <c r="E2165" s="2">
        <f>IFERROR(__xludf.DUMMYFUNCTION("""COMPUTED_VALUE"""),2.95)</f>
        <v>2.95</v>
      </c>
      <c r="F2165" s="2"/>
      <c r="G2165" s="2"/>
      <c r="H2165" s="2"/>
      <c r="I2165" s="2"/>
    </row>
    <row r="2166">
      <c r="A2166" s="2">
        <f>IFERROR(__xludf.DUMMYFUNCTION("""COMPUTED_VALUE"""),100248.0)</f>
        <v>100248</v>
      </c>
      <c r="B2166" s="2" t="str">
        <f>IFERROR(__xludf.DUMMYFUNCTION("""COMPUTED_VALUE"""),"Tech")</f>
        <v>Tech</v>
      </c>
      <c r="C2166" s="2" t="str">
        <f>IFERROR(__xludf.DUMMYFUNCTION("""COMPUTED_VALUE"""),"Communication Skills")</f>
        <v>Communication Skills</v>
      </c>
      <c r="D2166" s="2" t="str">
        <f>IFERROR(__xludf.DUMMYFUNCTION("""COMPUTED_VALUE"""),"Brightridge Press")</f>
        <v>Brightridge Press</v>
      </c>
      <c r="E2166" s="2">
        <f>IFERROR(__xludf.DUMMYFUNCTION("""COMPUTED_VALUE"""),5.4)</f>
        <v>5.4</v>
      </c>
      <c r="F2166" s="2"/>
      <c r="G2166" s="2"/>
      <c r="H2166" s="2"/>
      <c r="I2166" s="2"/>
    </row>
    <row r="2167">
      <c r="A2167" s="2">
        <f>IFERROR(__xludf.DUMMYFUNCTION("""COMPUTED_VALUE"""),122378.0)</f>
        <v>122378</v>
      </c>
      <c r="B2167" s="2" t="str">
        <f>IFERROR(__xludf.DUMMYFUNCTION("""COMPUTED_VALUE"""),"Tech")</f>
        <v>Tech</v>
      </c>
      <c r="C2167" s="2" t="str">
        <f>IFERROR(__xludf.DUMMYFUNCTION("""COMPUTED_VALUE"""),"Communication Skills")</f>
        <v>Communication Skills</v>
      </c>
      <c r="D2167" s="2" t="str">
        <f>IFERROR(__xludf.DUMMYFUNCTION("""COMPUTED_VALUE"""),"Brightridge Press")</f>
        <v>Brightridge Press</v>
      </c>
      <c r="E2167" s="2">
        <f>IFERROR(__xludf.DUMMYFUNCTION("""COMPUTED_VALUE"""),4.05)</f>
        <v>4.05</v>
      </c>
      <c r="F2167" s="2"/>
      <c r="G2167" s="2"/>
      <c r="H2167" s="2"/>
      <c r="I2167" s="2"/>
    </row>
    <row r="2168">
      <c r="A2168" s="2">
        <f>IFERROR(__xludf.DUMMYFUNCTION("""COMPUTED_VALUE"""),44762.0)</f>
        <v>44762</v>
      </c>
      <c r="B2168" s="2" t="str">
        <f>IFERROR(__xludf.DUMMYFUNCTION("""COMPUTED_VALUE"""),"Tech")</f>
        <v>Tech</v>
      </c>
      <c r="C2168" s="2" t="str">
        <f>IFERROR(__xludf.DUMMYFUNCTION("""COMPUTED_VALUE"""),"Communication Skills")</f>
        <v>Communication Skills</v>
      </c>
      <c r="D2168" s="2" t="str">
        <f>IFERROR(__xludf.DUMMYFUNCTION("""COMPUTED_VALUE"""),"Brightridge Press")</f>
        <v>Brightridge Press</v>
      </c>
      <c r="E2168" s="2">
        <f>IFERROR(__xludf.DUMMYFUNCTION("""COMPUTED_VALUE"""),6.81)</f>
        <v>6.81</v>
      </c>
      <c r="F2168" s="2"/>
      <c r="G2168" s="2"/>
      <c r="H2168" s="2"/>
      <c r="I2168" s="2"/>
    </row>
    <row r="2169">
      <c r="A2169" s="2">
        <f>IFERROR(__xludf.DUMMYFUNCTION("""COMPUTED_VALUE"""),100247.0)</f>
        <v>100247</v>
      </c>
      <c r="B2169" s="2" t="str">
        <f>IFERROR(__xludf.DUMMYFUNCTION("""COMPUTED_VALUE"""),"Tech")</f>
        <v>Tech</v>
      </c>
      <c r="C2169" s="2" t="str">
        <f>IFERROR(__xludf.DUMMYFUNCTION("""COMPUTED_VALUE"""),"Communication Skills")</f>
        <v>Communication Skills</v>
      </c>
      <c r="D2169" s="2" t="str">
        <f>IFERROR(__xludf.DUMMYFUNCTION("""COMPUTED_VALUE"""),"Brightridge Press")</f>
        <v>Brightridge Press</v>
      </c>
      <c r="E2169" s="2">
        <f>IFERROR(__xludf.DUMMYFUNCTION("""COMPUTED_VALUE"""),2.28)</f>
        <v>2.28</v>
      </c>
      <c r="F2169" s="2"/>
      <c r="G2169" s="2"/>
      <c r="H2169" s="2"/>
      <c r="I2169" s="2"/>
    </row>
    <row r="2170">
      <c r="A2170" s="2">
        <f>IFERROR(__xludf.DUMMYFUNCTION("""COMPUTED_VALUE"""),182272.0)</f>
        <v>182272</v>
      </c>
      <c r="B2170" s="2" t="str">
        <f>IFERROR(__xludf.DUMMYFUNCTION("""COMPUTED_VALUE"""),"Tech")</f>
        <v>Tech</v>
      </c>
      <c r="C2170" s="2" t="str">
        <f>IFERROR(__xludf.DUMMYFUNCTION("""COMPUTED_VALUE"""),"Communication Skills")</f>
        <v>Communication Skills</v>
      </c>
      <c r="D2170" s="2" t="str">
        <f>IFERROR(__xludf.DUMMYFUNCTION("""COMPUTED_VALUE"""),"Brightridge Press")</f>
        <v>Brightridge Press</v>
      </c>
      <c r="E2170" s="2">
        <f>IFERROR(__xludf.DUMMYFUNCTION("""COMPUTED_VALUE"""),4.97)</f>
        <v>4.97</v>
      </c>
      <c r="F2170" s="2"/>
      <c r="G2170" s="2"/>
      <c r="H2170" s="2"/>
      <c r="I2170" s="2"/>
    </row>
    <row r="2171">
      <c r="A2171" s="2">
        <f>IFERROR(__xludf.DUMMYFUNCTION("""COMPUTED_VALUE"""),128297.0)</f>
        <v>128297</v>
      </c>
      <c r="B2171" s="2" t="str">
        <f>IFERROR(__xludf.DUMMYFUNCTION("""COMPUTED_VALUE"""),"Tech")</f>
        <v>Tech</v>
      </c>
      <c r="C2171" s="2" t="str">
        <f>IFERROR(__xludf.DUMMYFUNCTION("""COMPUTED_VALUE"""),"Communication Skills")</f>
        <v>Communication Skills</v>
      </c>
      <c r="D2171" s="2" t="str">
        <f>IFERROR(__xludf.DUMMYFUNCTION("""COMPUTED_VALUE"""),"Brightridge Press")</f>
        <v>Brightridge Press</v>
      </c>
      <c r="E2171" s="2">
        <f>IFERROR(__xludf.DUMMYFUNCTION("""COMPUTED_VALUE"""),7.27)</f>
        <v>7.27</v>
      </c>
      <c r="F2171" s="2"/>
      <c r="G2171" s="2"/>
      <c r="H2171" s="2"/>
      <c r="I2171" s="2"/>
    </row>
    <row r="2172">
      <c r="A2172" s="2">
        <f>IFERROR(__xludf.DUMMYFUNCTION("""COMPUTED_VALUE"""),10673.0)</f>
        <v>10673</v>
      </c>
      <c r="B2172" s="2" t="str">
        <f>IFERROR(__xludf.DUMMYFUNCTION("""COMPUTED_VALUE"""),"Tech")</f>
        <v>Tech</v>
      </c>
      <c r="C2172" s="2" t="str">
        <f>IFERROR(__xludf.DUMMYFUNCTION("""COMPUTED_VALUE"""),"Communication Skills")</f>
        <v>Communication Skills</v>
      </c>
      <c r="D2172" s="2" t="str">
        <f>IFERROR(__xludf.DUMMYFUNCTION("""COMPUTED_VALUE"""),"Brightridge Press")</f>
        <v>Brightridge Press</v>
      </c>
      <c r="E2172" s="2">
        <f>IFERROR(__xludf.DUMMYFUNCTION("""COMPUTED_VALUE"""),5.18)</f>
        <v>5.18</v>
      </c>
      <c r="F2172" s="2"/>
      <c r="G2172" s="2"/>
      <c r="H2172" s="2"/>
      <c r="I2172" s="2"/>
    </row>
    <row r="2173">
      <c r="A2173" s="2">
        <f>IFERROR(__xludf.DUMMYFUNCTION("""COMPUTED_VALUE"""),69332.0)</f>
        <v>69332</v>
      </c>
      <c r="B2173" s="2" t="str">
        <f>IFERROR(__xludf.DUMMYFUNCTION("""COMPUTED_VALUE"""),"Tech")</f>
        <v>Tech</v>
      </c>
      <c r="C2173" s="2" t="str">
        <f>IFERROR(__xludf.DUMMYFUNCTION("""COMPUTED_VALUE"""),"Communication Skills")</f>
        <v>Communication Skills</v>
      </c>
      <c r="D2173" s="2" t="str">
        <f>IFERROR(__xludf.DUMMYFUNCTION("""COMPUTED_VALUE"""),"Brightridge Press")</f>
        <v>Brightridge Press</v>
      </c>
      <c r="E2173" s="2">
        <f>IFERROR(__xludf.DUMMYFUNCTION("""COMPUTED_VALUE"""),6.75)</f>
        <v>6.75</v>
      </c>
      <c r="F2173" s="2"/>
      <c r="G2173" s="2"/>
      <c r="H2173" s="2"/>
      <c r="I2173" s="2"/>
    </row>
    <row r="2174">
      <c r="A2174" s="2">
        <f>IFERROR(__xludf.DUMMYFUNCTION("""COMPUTED_VALUE"""),151239.0)</f>
        <v>151239</v>
      </c>
      <c r="B2174" s="2" t="str">
        <f>IFERROR(__xludf.DUMMYFUNCTION("""COMPUTED_VALUE"""),"Tech")</f>
        <v>Tech</v>
      </c>
      <c r="C2174" s="2" t="str">
        <f>IFERROR(__xludf.DUMMYFUNCTION("""COMPUTED_VALUE"""),"Communication Skills")</f>
        <v>Communication Skills</v>
      </c>
      <c r="D2174" s="2" t="str">
        <f>IFERROR(__xludf.DUMMYFUNCTION("""COMPUTED_VALUE"""),"Brightridge Press")</f>
        <v>Brightridge Press</v>
      </c>
      <c r="E2174" s="2">
        <f>IFERROR(__xludf.DUMMYFUNCTION("""COMPUTED_VALUE"""),2.54)</f>
        <v>2.54</v>
      </c>
      <c r="F2174" s="2"/>
      <c r="G2174" s="2"/>
      <c r="H2174" s="2"/>
      <c r="I2174" s="2"/>
    </row>
    <row r="2175">
      <c r="A2175" s="2">
        <f>IFERROR(__xludf.DUMMYFUNCTION("""COMPUTED_VALUE"""),116667.0)</f>
        <v>116667</v>
      </c>
      <c r="B2175" s="2" t="str">
        <f>IFERROR(__xludf.DUMMYFUNCTION("""COMPUTED_VALUE"""),"Tech")</f>
        <v>Tech</v>
      </c>
      <c r="C2175" s="2" t="str">
        <f>IFERROR(__xludf.DUMMYFUNCTION("""COMPUTED_VALUE"""),"Communication Skills")</f>
        <v>Communication Skills</v>
      </c>
      <c r="D2175" s="2" t="str">
        <f>IFERROR(__xludf.DUMMYFUNCTION("""COMPUTED_VALUE"""),"Brightridge Press")</f>
        <v>Brightridge Press</v>
      </c>
      <c r="E2175" s="2">
        <f>IFERROR(__xludf.DUMMYFUNCTION("""COMPUTED_VALUE"""),4.84)</f>
        <v>4.84</v>
      </c>
      <c r="F2175" s="2"/>
      <c r="G2175" s="2"/>
      <c r="H2175" s="2"/>
      <c r="I2175" s="2"/>
    </row>
    <row r="2176">
      <c r="A2176" s="2">
        <f>IFERROR(__xludf.DUMMYFUNCTION("""COMPUTED_VALUE"""),72809.0)</f>
        <v>72809</v>
      </c>
      <c r="B2176" s="2" t="str">
        <f>IFERROR(__xludf.DUMMYFUNCTION("""COMPUTED_VALUE"""),"Tech")</f>
        <v>Tech</v>
      </c>
      <c r="C2176" s="2" t="str">
        <f>IFERROR(__xludf.DUMMYFUNCTION("""COMPUTED_VALUE"""),"Communication Skills")</f>
        <v>Communication Skills</v>
      </c>
      <c r="D2176" s="2" t="str">
        <f>IFERROR(__xludf.DUMMYFUNCTION("""COMPUTED_VALUE"""),"Brightridge Press")</f>
        <v>Brightridge Press</v>
      </c>
      <c r="E2176" s="2">
        <f>IFERROR(__xludf.DUMMYFUNCTION("""COMPUTED_VALUE"""),6.1)</f>
        <v>6.1</v>
      </c>
      <c r="F2176" s="2"/>
      <c r="G2176" s="2"/>
      <c r="H2176" s="2"/>
      <c r="I2176" s="2"/>
    </row>
    <row r="2177">
      <c r="A2177" s="2">
        <f>IFERROR(__xludf.DUMMYFUNCTION("""COMPUTED_VALUE"""),165917.0)</f>
        <v>165917</v>
      </c>
      <c r="B2177" s="2" t="str">
        <f>IFERROR(__xludf.DUMMYFUNCTION("""COMPUTED_VALUE"""),"Tech")</f>
        <v>Tech</v>
      </c>
      <c r="C2177" s="2" t="str">
        <f>IFERROR(__xludf.DUMMYFUNCTION("""COMPUTED_VALUE"""),"Communication Skills")</f>
        <v>Communication Skills</v>
      </c>
      <c r="D2177" s="2" t="str">
        <f>IFERROR(__xludf.DUMMYFUNCTION("""COMPUTED_VALUE"""),"Brightridge Press")</f>
        <v>Brightridge Press</v>
      </c>
      <c r="E2177" s="2">
        <f>IFERROR(__xludf.DUMMYFUNCTION("""COMPUTED_VALUE"""),4.45)</f>
        <v>4.45</v>
      </c>
      <c r="F2177" s="2"/>
      <c r="G2177" s="2"/>
      <c r="H2177" s="2"/>
      <c r="I2177" s="2"/>
    </row>
    <row r="2178">
      <c r="A2178" s="2">
        <f>IFERROR(__xludf.DUMMYFUNCTION("""COMPUTED_VALUE"""),8746.0)</f>
        <v>8746</v>
      </c>
      <c r="B2178" s="2" t="str">
        <f>IFERROR(__xludf.DUMMYFUNCTION("""COMPUTED_VALUE"""),"Tech")</f>
        <v>Tech</v>
      </c>
      <c r="C2178" s="2" t="str">
        <f>IFERROR(__xludf.DUMMYFUNCTION("""COMPUTED_VALUE"""),"Communication Skills")</f>
        <v>Communication Skills</v>
      </c>
      <c r="D2178" s="2" t="str">
        <f>IFERROR(__xludf.DUMMYFUNCTION("""COMPUTED_VALUE"""),"Brightridge Press")</f>
        <v>Brightridge Press</v>
      </c>
      <c r="E2178" s="2">
        <f>IFERROR(__xludf.DUMMYFUNCTION("""COMPUTED_VALUE"""),4.15)</f>
        <v>4.15</v>
      </c>
      <c r="F2178" s="2"/>
      <c r="G2178" s="2"/>
      <c r="H2178" s="2"/>
      <c r="I2178" s="2"/>
    </row>
    <row r="2179">
      <c r="A2179" s="2">
        <f>IFERROR(__xludf.DUMMYFUNCTION("""COMPUTED_VALUE"""),122374.0)</f>
        <v>122374</v>
      </c>
      <c r="B2179" s="2" t="str">
        <f>IFERROR(__xludf.DUMMYFUNCTION("""COMPUTED_VALUE"""),"Tech")</f>
        <v>Tech</v>
      </c>
      <c r="C2179" s="2" t="str">
        <f>IFERROR(__xludf.DUMMYFUNCTION("""COMPUTED_VALUE"""),"Communication Skills")</f>
        <v>Communication Skills</v>
      </c>
      <c r="D2179" s="2" t="str">
        <f>IFERROR(__xludf.DUMMYFUNCTION("""COMPUTED_VALUE"""),"Brightridge Press")</f>
        <v>Brightridge Press</v>
      </c>
      <c r="E2179" s="2">
        <f>IFERROR(__xludf.DUMMYFUNCTION("""COMPUTED_VALUE"""),4.27)</f>
        <v>4.27</v>
      </c>
      <c r="F2179" s="2"/>
      <c r="G2179" s="2"/>
      <c r="H2179" s="2"/>
      <c r="I2179" s="2"/>
    </row>
    <row r="2180">
      <c r="A2180" s="2">
        <f>IFERROR(__xludf.DUMMYFUNCTION("""COMPUTED_VALUE"""),118166.0)</f>
        <v>118166</v>
      </c>
      <c r="B2180" s="2" t="str">
        <f>IFERROR(__xludf.DUMMYFUNCTION("""COMPUTED_VALUE"""),"Tech")</f>
        <v>Tech</v>
      </c>
      <c r="C2180" s="2" t="str">
        <f>IFERROR(__xludf.DUMMYFUNCTION("""COMPUTED_VALUE"""),"Communication Skills")</f>
        <v>Communication Skills</v>
      </c>
      <c r="D2180" s="2" t="str">
        <f>IFERROR(__xludf.DUMMYFUNCTION("""COMPUTED_VALUE"""),"Brightridge Press")</f>
        <v>Brightridge Press</v>
      </c>
      <c r="E2180" s="2">
        <f>IFERROR(__xludf.DUMMYFUNCTION("""COMPUTED_VALUE"""),2.35)</f>
        <v>2.35</v>
      </c>
      <c r="F2180" s="2"/>
      <c r="G2180" s="2"/>
      <c r="H2180" s="2"/>
      <c r="I2180" s="2"/>
    </row>
    <row r="2181">
      <c r="A2181" s="2">
        <f>IFERROR(__xludf.DUMMYFUNCTION("""COMPUTED_VALUE"""),42729.0)</f>
        <v>42729</v>
      </c>
      <c r="B2181" s="2" t="str">
        <f>IFERROR(__xludf.DUMMYFUNCTION("""COMPUTED_VALUE"""),"Tech")</f>
        <v>Tech</v>
      </c>
      <c r="C2181" s="2" t="str">
        <f>IFERROR(__xludf.DUMMYFUNCTION("""COMPUTED_VALUE"""),"Communication Skills")</f>
        <v>Communication Skills</v>
      </c>
      <c r="D2181" s="2" t="str">
        <f>IFERROR(__xludf.DUMMYFUNCTION("""COMPUTED_VALUE"""),"Brightridge Press")</f>
        <v>Brightridge Press</v>
      </c>
      <c r="E2181" s="2">
        <f>IFERROR(__xludf.DUMMYFUNCTION("""COMPUTED_VALUE"""),5.57)</f>
        <v>5.57</v>
      </c>
      <c r="F2181" s="2"/>
      <c r="G2181" s="2"/>
      <c r="H2181" s="2"/>
      <c r="I2181" s="2"/>
    </row>
    <row r="2182">
      <c r="A2182" s="2">
        <f>IFERROR(__xludf.DUMMYFUNCTION("""COMPUTED_VALUE"""),182271.0)</f>
        <v>182271</v>
      </c>
      <c r="B2182" s="2" t="str">
        <f>IFERROR(__xludf.DUMMYFUNCTION("""COMPUTED_VALUE"""),"Tech")</f>
        <v>Tech</v>
      </c>
      <c r="C2182" s="2" t="str">
        <f>IFERROR(__xludf.DUMMYFUNCTION("""COMPUTED_VALUE"""),"Communication Skills")</f>
        <v>Communication Skills</v>
      </c>
      <c r="D2182" s="2" t="str">
        <f>IFERROR(__xludf.DUMMYFUNCTION("""COMPUTED_VALUE"""),"Brightridge Press")</f>
        <v>Brightridge Press</v>
      </c>
      <c r="E2182" s="2">
        <f>IFERROR(__xludf.DUMMYFUNCTION("""COMPUTED_VALUE"""),4.81)</f>
        <v>4.81</v>
      </c>
      <c r="F2182" s="2"/>
      <c r="G2182" s="2"/>
      <c r="H2182" s="2"/>
      <c r="I2182" s="2"/>
    </row>
    <row r="2183">
      <c r="A2183" s="2">
        <f>IFERROR(__xludf.DUMMYFUNCTION("""COMPUTED_VALUE"""),109211.0)</f>
        <v>109211</v>
      </c>
      <c r="B2183" s="2" t="str">
        <f>IFERROR(__xludf.DUMMYFUNCTION("""COMPUTED_VALUE"""),"Tech")</f>
        <v>Tech</v>
      </c>
      <c r="C2183" s="2" t="str">
        <f>IFERROR(__xludf.DUMMYFUNCTION("""COMPUTED_VALUE"""),"Communication Skills")</f>
        <v>Communication Skills</v>
      </c>
      <c r="D2183" s="2" t="str">
        <f>IFERROR(__xludf.DUMMYFUNCTION("""COMPUTED_VALUE"""),"Brightridge Press")</f>
        <v>Brightridge Press</v>
      </c>
      <c r="E2183" s="2">
        <f>IFERROR(__xludf.DUMMYFUNCTION("""COMPUTED_VALUE"""),2.64)</f>
        <v>2.64</v>
      </c>
      <c r="F2183" s="2"/>
      <c r="G2183" s="2"/>
      <c r="H2183" s="2"/>
      <c r="I2183" s="2"/>
    </row>
    <row r="2184">
      <c r="A2184" s="2">
        <f>IFERROR(__xludf.DUMMYFUNCTION("""COMPUTED_VALUE"""),192901.0)</f>
        <v>192901</v>
      </c>
      <c r="B2184" s="2" t="str">
        <f>IFERROR(__xludf.DUMMYFUNCTION("""COMPUTED_VALUE"""),"Tech")</f>
        <v>Tech</v>
      </c>
      <c r="C2184" s="2" t="str">
        <f>IFERROR(__xludf.DUMMYFUNCTION("""COMPUTED_VALUE"""),"Communication Skills")</f>
        <v>Communication Skills</v>
      </c>
      <c r="D2184" s="2" t="str">
        <f>IFERROR(__xludf.DUMMYFUNCTION("""COMPUTED_VALUE"""),"Brightridge Press")</f>
        <v>Brightridge Press</v>
      </c>
      <c r="E2184" s="2">
        <f>IFERROR(__xludf.DUMMYFUNCTION("""COMPUTED_VALUE"""),10.84)</f>
        <v>10.84</v>
      </c>
      <c r="F2184" s="2"/>
      <c r="G2184" s="2"/>
      <c r="H2184" s="2"/>
      <c r="I2184" s="2"/>
    </row>
    <row r="2185">
      <c r="A2185" s="2">
        <f>IFERROR(__xludf.DUMMYFUNCTION("""COMPUTED_VALUE"""),122379.0)</f>
        <v>122379</v>
      </c>
      <c r="B2185" s="2" t="str">
        <f>IFERROR(__xludf.DUMMYFUNCTION("""COMPUTED_VALUE"""),"Tech")</f>
        <v>Tech</v>
      </c>
      <c r="C2185" s="2" t="str">
        <f>IFERROR(__xludf.DUMMYFUNCTION("""COMPUTED_VALUE"""),"Communication Skills")</f>
        <v>Communication Skills</v>
      </c>
      <c r="D2185" s="2" t="str">
        <f>IFERROR(__xludf.DUMMYFUNCTION("""COMPUTED_VALUE"""),"Brightridge Press")</f>
        <v>Brightridge Press</v>
      </c>
      <c r="E2185" s="2">
        <f>IFERROR(__xludf.DUMMYFUNCTION("""COMPUTED_VALUE"""),15.16)</f>
        <v>15.16</v>
      </c>
      <c r="F2185" s="2"/>
      <c r="G2185" s="2"/>
      <c r="H2185" s="2"/>
      <c r="I2185" s="2"/>
    </row>
    <row r="2186">
      <c r="A2186" s="2">
        <f>IFERROR(__xludf.DUMMYFUNCTION("""COMPUTED_VALUE"""),109891.0)</f>
        <v>109891</v>
      </c>
      <c r="B2186" s="2" t="str">
        <f>IFERROR(__xludf.DUMMYFUNCTION("""COMPUTED_VALUE"""),"Tech")</f>
        <v>Tech</v>
      </c>
      <c r="C2186" s="2" t="str">
        <f>IFERROR(__xludf.DUMMYFUNCTION("""COMPUTED_VALUE"""),"Communication Skills")</f>
        <v>Communication Skills</v>
      </c>
      <c r="D2186" s="2" t="str">
        <f>IFERROR(__xludf.DUMMYFUNCTION("""COMPUTED_VALUE"""),"Oakridge Publishing")</f>
        <v>Oakridge Publishing</v>
      </c>
      <c r="E2186" s="2">
        <f>IFERROR(__xludf.DUMMYFUNCTION("""COMPUTED_VALUE"""),4.58)</f>
        <v>4.58</v>
      </c>
      <c r="F2186" s="2"/>
      <c r="G2186" s="2"/>
      <c r="H2186" s="2"/>
      <c r="I2186" s="2"/>
    </row>
    <row r="2187">
      <c r="A2187" s="2">
        <f>IFERROR(__xludf.DUMMYFUNCTION("""COMPUTED_VALUE"""),125688.0)</f>
        <v>125688</v>
      </c>
      <c r="B2187" s="2" t="str">
        <f>IFERROR(__xludf.DUMMYFUNCTION("""COMPUTED_VALUE"""),"Tech")</f>
        <v>Tech</v>
      </c>
      <c r="C2187" s="2" t="str">
        <f>IFERROR(__xludf.DUMMYFUNCTION("""COMPUTED_VALUE"""),"Communication Skills")</f>
        <v>Communication Skills</v>
      </c>
      <c r="D2187" s="2" t="str">
        <f>IFERROR(__xludf.DUMMYFUNCTION("""COMPUTED_VALUE"""),"Oakridge Publishing")</f>
        <v>Oakridge Publishing</v>
      </c>
      <c r="E2187" s="2">
        <f>IFERROR(__xludf.DUMMYFUNCTION("""COMPUTED_VALUE"""),1.1)</f>
        <v>1.1</v>
      </c>
      <c r="F2187" s="2"/>
      <c r="G2187" s="2"/>
      <c r="H2187" s="2"/>
      <c r="I2187" s="2"/>
    </row>
    <row r="2188">
      <c r="A2188" s="2">
        <f>IFERROR(__xludf.DUMMYFUNCTION("""COMPUTED_VALUE"""),68599.0)</f>
        <v>68599</v>
      </c>
      <c r="B2188" s="2" t="str">
        <f>IFERROR(__xludf.DUMMYFUNCTION("""COMPUTED_VALUE"""),"Tech")</f>
        <v>Tech</v>
      </c>
      <c r="C2188" s="2" t="str">
        <f>IFERROR(__xludf.DUMMYFUNCTION("""COMPUTED_VALUE"""),"Communication Skills")</f>
        <v>Communication Skills</v>
      </c>
      <c r="D2188" s="2" t="str">
        <f>IFERROR(__xludf.DUMMYFUNCTION("""COMPUTED_VALUE"""),"Riverridge Books")</f>
        <v>Riverridge Books</v>
      </c>
      <c r="E2188" s="2">
        <f>IFERROR(__xludf.DUMMYFUNCTION("""COMPUTED_VALUE"""),2.84)</f>
        <v>2.84</v>
      </c>
      <c r="F2188" s="2"/>
      <c r="G2188" s="2"/>
      <c r="H2188" s="2"/>
      <c r="I2188" s="2"/>
    </row>
    <row r="2189">
      <c r="A2189" s="2">
        <f>IFERROR(__xludf.DUMMYFUNCTION("""COMPUTED_VALUE"""),104841.0)</f>
        <v>104841</v>
      </c>
      <c r="B2189" s="2" t="str">
        <f>IFERROR(__xludf.DUMMYFUNCTION("""COMPUTED_VALUE"""),"Tech")</f>
        <v>Tech</v>
      </c>
      <c r="C2189" s="2" t="str">
        <f>IFERROR(__xludf.DUMMYFUNCTION("""COMPUTED_VALUE"""),"Communication Skills")</f>
        <v>Communication Skills</v>
      </c>
      <c r="D2189" s="2" t="str">
        <f>IFERROR(__xludf.DUMMYFUNCTION("""COMPUTED_VALUE"""),"Riverridge Books")</f>
        <v>Riverridge Books</v>
      </c>
      <c r="E2189" s="2">
        <f>IFERROR(__xludf.DUMMYFUNCTION("""COMPUTED_VALUE"""),6.83)</f>
        <v>6.83</v>
      </c>
      <c r="F2189" s="2"/>
      <c r="G2189" s="2"/>
      <c r="H2189" s="2"/>
      <c r="I2189" s="2"/>
    </row>
    <row r="2190">
      <c r="A2190" s="2">
        <f>IFERROR(__xludf.DUMMYFUNCTION("""COMPUTED_VALUE"""),20243.0)</f>
        <v>20243</v>
      </c>
      <c r="B2190" s="2" t="str">
        <f>IFERROR(__xludf.DUMMYFUNCTION("""COMPUTED_VALUE"""),"Tech")</f>
        <v>Tech</v>
      </c>
      <c r="C2190" s="2" t="str">
        <f>IFERROR(__xludf.DUMMYFUNCTION("""COMPUTED_VALUE"""),"Communication Skills")</f>
        <v>Communication Skills</v>
      </c>
      <c r="D2190" s="2" t="str">
        <f>IFERROR(__xludf.DUMMYFUNCTION("""COMPUTED_VALUE"""),"Riverridge Books")</f>
        <v>Riverridge Books</v>
      </c>
      <c r="E2190" s="2">
        <f>IFERROR(__xludf.DUMMYFUNCTION("""COMPUTED_VALUE"""),9.47)</f>
        <v>9.47</v>
      </c>
      <c r="F2190" s="2"/>
      <c r="G2190" s="2"/>
      <c r="H2190" s="2"/>
      <c r="I2190" s="2"/>
    </row>
    <row r="2191">
      <c r="A2191" s="2">
        <f>IFERROR(__xludf.DUMMYFUNCTION("""COMPUTED_VALUE"""),10332.0)</f>
        <v>10332</v>
      </c>
      <c r="B2191" s="2" t="str">
        <f>IFERROR(__xludf.DUMMYFUNCTION("""COMPUTED_VALUE"""),"Tech")</f>
        <v>Tech</v>
      </c>
      <c r="C2191" s="2" t="str">
        <f>IFERROR(__xludf.DUMMYFUNCTION("""COMPUTED_VALUE"""),"Communication Skills")</f>
        <v>Communication Skills</v>
      </c>
      <c r="D2191" s="2" t="str">
        <f>IFERROR(__xludf.DUMMYFUNCTION("""COMPUTED_VALUE"""),"Ironridge Press")</f>
        <v>Ironridge Press</v>
      </c>
      <c r="E2191" s="2">
        <f>IFERROR(__xludf.DUMMYFUNCTION("""COMPUTED_VALUE"""),3.1)</f>
        <v>3.1</v>
      </c>
      <c r="F2191" s="2"/>
      <c r="G2191" s="2"/>
      <c r="H2191" s="2"/>
      <c r="I2191" s="2"/>
    </row>
    <row r="2192">
      <c r="A2192" s="2">
        <f>IFERROR(__xludf.DUMMYFUNCTION("""COMPUTED_VALUE"""),7361.0)</f>
        <v>7361</v>
      </c>
      <c r="B2192" s="2" t="str">
        <f>IFERROR(__xludf.DUMMYFUNCTION("""COMPUTED_VALUE"""),"Tech")</f>
        <v>Tech</v>
      </c>
      <c r="C2192" s="2" t="str">
        <f>IFERROR(__xludf.DUMMYFUNCTION("""COMPUTED_VALUE"""),"Communication Skills")</f>
        <v>Communication Skills</v>
      </c>
      <c r="D2192" s="2" t="str">
        <f>IFERROR(__xludf.DUMMYFUNCTION("""COMPUTED_VALUE"""),"Ironridge Press")</f>
        <v>Ironridge Press</v>
      </c>
      <c r="E2192" s="2">
        <f>IFERROR(__xludf.DUMMYFUNCTION("""COMPUTED_VALUE"""),3.72)</f>
        <v>3.72</v>
      </c>
      <c r="F2192" s="2"/>
      <c r="G2192" s="2"/>
      <c r="H2192" s="2"/>
      <c r="I2192" s="2"/>
    </row>
    <row r="2193">
      <c r="A2193" s="2">
        <f>IFERROR(__xludf.DUMMYFUNCTION("""COMPUTED_VALUE"""),21320.0)</f>
        <v>21320</v>
      </c>
      <c r="B2193" s="2" t="str">
        <f>IFERROR(__xludf.DUMMYFUNCTION("""COMPUTED_VALUE"""),"Tech")</f>
        <v>Tech</v>
      </c>
      <c r="C2193" s="2" t="str">
        <f>IFERROR(__xludf.DUMMYFUNCTION("""COMPUTED_VALUE"""),"Communication Skills")</f>
        <v>Communication Skills</v>
      </c>
      <c r="D2193" s="2" t="str">
        <f>IFERROR(__xludf.DUMMYFUNCTION("""COMPUTED_VALUE"""),"Ironridge Press")</f>
        <v>Ironridge Press</v>
      </c>
      <c r="E2193" s="2">
        <f>IFERROR(__xludf.DUMMYFUNCTION("""COMPUTED_VALUE"""),3.5)</f>
        <v>3.5</v>
      </c>
      <c r="F2193" s="2"/>
      <c r="G2193" s="2"/>
      <c r="H2193" s="2"/>
      <c r="I2193" s="2"/>
    </row>
    <row r="2194">
      <c r="A2194" s="2">
        <f>IFERROR(__xludf.DUMMYFUNCTION("""COMPUTED_VALUE"""),7365.0)</f>
        <v>7365</v>
      </c>
      <c r="B2194" s="2" t="str">
        <f>IFERROR(__xludf.DUMMYFUNCTION("""COMPUTED_VALUE"""),"Tech")</f>
        <v>Tech</v>
      </c>
      <c r="C2194" s="2" t="str">
        <f>IFERROR(__xludf.DUMMYFUNCTION("""COMPUTED_VALUE"""),"Communication Skills")</f>
        <v>Communication Skills</v>
      </c>
      <c r="D2194" s="2" t="str">
        <f>IFERROR(__xludf.DUMMYFUNCTION("""COMPUTED_VALUE"""),"Ironridge Press")</f>
        <v>Ironridge Press</v>
      </c>
      <c r="E2194" s="2">
        <f>IFERROR(__xludf.DUMMYFUNCTION("""COMPUTED_VALUE"""),7.96)</f>
        <v>7.96</v>
      </c>
      <c r="F2194" s="2"/>
      <c r="G2194" s="2"/>
      <c r="H2194" s="2"/>
      <c r="I2194" s="2"/>
    </row>
    <row r="2195">
      <c r="A2195" s="2">
        <f>IFERROR(__xludf.DUMMYFUNCTION("""COMPUTED_VALUE"""),7364.0)</f>
        <v>7364</v>
      </c>
      <c r="B2195" s="2" t="str">
        <f>IFERROR(__xludf.DUMMYFUNCTION("""COMPUTED_VALUE"""),"Tech")</f>
        <v>Tech</v>
      </c>
      <c r="C2195" s="2" t="str">
        <f>IFERROR(__xludf.DUMMYFUNCTION("""COMPUTED_VALUE"""),"Communication Skills")</f>
        <v>Communication Skills</v>
      </c>
      <c r="D2195" s="2" t="str">
        <f>IFERROR(__xludf.DUMMYFUNCTION("""COMPUTED_VALUE"""),"Ironridge Press")</f>
        <v>Ironridge Press</v>
      </c>
      <c r="E2195" s="2">
        <f>IFERROR(__xludf.DUMMYFUNCTION("""COMPUTED_VALUE"""),8.66)</f>
        <v>8.66</v>
      </c>
      <c r="F2195" s="2"/>
      <c r="G2195" s="2"/>
      <c r="H2195" s="2"/>
      <c r="I2195" s="2"/>
    </row>
    <row r="2196">
      <c r="A2196" s="2">
        <f>IFERROR(__xludf.DUMMYFUNCTION("""COMPUTED_VALUE"""),7362.0)</f>
        <v>7362</v>
      </c>
      <c r="B2196" s="2" t="str">
        <f>IFERROR(__xludf.DUMMYFUNCTION("""COMPUTED_VALUE"""),"Tech")</f>
        <v>Tech</v>
      </c>
      <c r="C2196" s="2" t="str">
        <f>IFERROR(__xludf.DUMMYFUNCTION("""COMPUTED_VALUE"""),"Communication Skills")</f>
        <v>Communication Skills</v>
      </c>
      <c r="D2196" s="2" t="str">
        <f>IFERROR(__xludf.DUMMYFUNCTION("""COMPUTED_VALUE"""),"Ironridge Press")</f>
        <v>Ironridge Press</v>
      </c>
      <c r="E2196" s="2">
        <f>IFERROR(__xludf.DUMMYFUNCTION("""COMPUTED_VALUE"""),6.12)</f>
        <v>6.12</v>
      </c>
      <c r="F2196" s="2"/>
      <c r="G2196" s="2"/>
      <c r="H2196" s="2"/>
      <c r="I2196" s="2"/>
    </row>
    <row r="2197">
      <c r="A2197" s="2">
        <f>IFERROR(__xludf.DUMMYFUNCTION("""COMPUTED_VALUE"""),117237.0)</f>
        <v>117237</v>
      </c>
      <c r="B2197" s="2" t="str">
        <f>IFERROR(__xludf.DUMMYFUNCTION("""COMPUTED_VALUE"""),"History")</f>
        <v>History</v>
      </c>
      <c r="C2197" s="2" t="str">
        <f>IFERROR(__xludf.DUMMYFUNCTION("""COMPUTED_VALUE"""),"Leadership")</f>
        <v>Leadership</v>
      </c>
      <c r="D2197" s="2"/>
      <c r="E2197" s="2">
        <f>IFERROR(__xludf.DUMMYFUNCTION("""COMPUTED_VALUE"""),3.05)</f>
        <v>3.05</v>
      </c>
      <c r="F2197" s="2"/>
      <c r="G2197" s="2"/>
      <c r="H2197" s="2"/>
      <c r="I2197" s="2"/>
    </row>
    <row r="2198">
      <c r="A2198" s="2">
        <f>IFERROR(__xludf.DUMMYFUNCTION("""COMPUTED_VALUE"""),19784.0)</f>
        <v>19784</v>
      </c>
      <c r="B2198" s="2" t="str">
        <f>IFERROR(__xludf.DUMMYFUNCTION("""COMPUTED_VALUE"""),"History")</f>
        <v>History</v>
      </c>
      <c r="C2198" s="2" t="str">
        <f>IFERROR(__xludf.DUMMYFUNCTION("""COMPUTED_VALUE"""),"Leadership")</f>
        <v>Leadership</v>
      </c>
      <c r="D2198" s="2"/>
      <c r="E2198" s="2">
        <f>IFERROR(__xludf.DUMMYFUNCTION("""COMPUTED_VALUE"""),4.13)</f>
        <v>4.13</v>
      </c>
      <c r="F2198" s="2"/>
      <c r="G2198" s="2"/>
      <c r="H2198" s="2"/>
      <c r="I2198" s="2"/>
    </row>
    <row r="2199">
      <c r="A2199" s="2">
        <f>IFERROR(__xludf.DUMMYFUNCTION("""COMPUTED_VALUE"""),9329.0)</f>
        <v>9329</v>
      </c>
      <c r="B2199" s="2" t="str">
        <f>IFERROR(__xludf.DUMMYFUNCTION("""COMPUTED_VALUE"""),"History")</f>
        <v>History</v>
      </c>
      <c r="C2199" s="2" t="str">
        <f>IFERROR(__xludf.DUMMYFUNCTION("""COMPUTED_VALUE"""),"Leadership")</f>
        <v>Leadership</v>
      </c>
      <c r="D2199" s="2"/>
      <c r="E2199" s="2">
        <f>IFERROR(__xludf.DUMMYFUNCTION("""COMPUTED_VALUE"""),3.77)</f>
        <v>3.77</v>
      </c>
      <c r="F2199" s="2"/>
      <c r="G2199" s="2"/>
      <c r="H2199" s="2"/>
      <c r="I2199" s="2"/>
    </row>
    <row r="2200">
      <c r="A2200" s="2">
        <f>IFERROR(__xludf.DUMMYFUNCTION("""COMPUTED_VALUE"""),10859.0)</f>
        <v>10859</v>
      </c>
      <c r="B2200" s="2" t="str">
        <f>IFERROR(__xludf.DUMMYFUNCTION("""COMPUTED_VALUE"""),"Fiction")</f>
        <v>Fiction</v>
      </c>
      <c r="C2200" s="2" t="str">
        <f>IFERROR(__xludf.DUMMYFUNCTION("""COMPUTED_VALUE"""),"Decision Making")</f>
        <v>Decision Making</v>
      </c>
      <c r="D2200" s="2" t="str">
        <f>IFERROR(__xludf.DUMMYFUNCTION("""COMPUTED_VALUE"""),"Silverpeak Publishing")</f>
        <v>Silverpeak Publishing</v>
      </c>
      <c r="E2200" s="2">
        <f>IFERROR(__xludf.DUMMYFUNCTION("""COMPUTED_VALUE"""),42.45)</f>
        <v>42.45</v>
      </c>
      <c r="F2200" s="2"/>
      <c r="G2200" s="2"/>
      <c r="H2200" s="2"/>
      <c r="I2200" s="2"/>
    </row>
    <row r="2201">
      <c r="A2201" s="2">
        <f>IFERROR(__xludf.DUMMYFUNCTION("""COMPUTED_VALUE"""),118329.0)</f>
        <v>118329</v>
      </c>
      <c r="B2201" s="2" t="str">
        <f>IFERROR(__xludf.DUMMYFUNCTION("""COMPUTED_VALUE"""),"Fiction")</f>
        <v>Fiction</v>
      </c>
      <c r="C2201" s="2" t="str">
        <f>IFERROR(__xludf.DUMMYFUNCTION("""COMPUTED_VALUE"""),"Decision Making")</f>
        <v>Decision Making</v>
      </c>
      <c r="D2201" s="2" t="str">
        <f>IFERROR(__xludf.DUMMYFUNCTION("""COMPUTED_VALUE"""),"Northpeak Books")</f>
        <v>Northpeak Books</v>
      </c>
      <c r="E2201" s="2">
        <f>IFERROR(__xludf.DUMMYFUNCTION("""COMPUTED_VALUE"""),2.83)</f>
        <v>2.83</v>
      </c>
      <c r="F2201" s="2"/>
      <c r="G2201" s="2"/>
      <c r="H2201" s="2"/>
      <c r="I2201" s="2"/>
    </row>
    <row r="2202">
      <c r="A2202" s="2">
        <f>IFERROR(__xludf.DUMMYFUNCTION("""COMPUTED_VALUE"""),105169.0)</f>
        <v>105169</v>
      </c>
      <c r="B2202" s="2" t="str">
        <f>IFERROR(__xludf.DUMMYFUNCTION("""COMPUTED_VALUE"""),"Fiction")</f>
        <v>Fiction</v>
      </c>
      <c r="C2202" s="2" t="str">
        <f>IFERROR(__xludf.DUMMYFUNCTION("""COMPUTED_VALUE"""),"Decision Making")</f>
        <v>Decision Making</v>
      </c>
      <c r="D2202" s="2" t="str">
        <f>IFERROR(__xludf.DUMMYFUNCTION("""COMPUTED_VALUE"""),"Northpeak Books")</f>
        <v>Northpeak Books</v>
      </c>
      <c r="E2202" s="2">
        <f>IFERROR(__xludf.DUMMYFUNCTION("""COMPUTED_VALUE"""),2.97)</f>
        <v>2.97</v>
      </c>
      <c r="F2202" s="2"/>
      <c r="G2202" s="2"/>
      <c r="H2202" s="2"/>
      <c r="I2202" s="2"/>
    </row>
    <row r="2203">
      <c r="A2203" s="2">
        <f>IFERROR(__xludf.DUMMYFUNCTION("""COMPUTED_VALUE"""),90567.0)</f>
        <v>90567</v>
      </c>
      <c r="B2203" s="2" t="str">
        <f>IFERROR(__xludf.DUMMYFUNCTION("""COMPUTED_VALUE"""),"Fiction")</f>
        <v>Fiction</v>
      </c>
      <c r="C2203" s="2" t="str">
        <f>IFERROR(__xludf.DUMMYFUNCTION("""COMPUTED_VALUE"""),"Decision Making")</f>
        <v>Decision Making</v>
      </c>
      <c r="D2203" s="2" t="str">
        <f>IFERROR(__xludf.DUMMYFUNCTION("""COMPUTED_VALUE"""),"Northpeak Books")</f>
        <v>Northpeak Books</v>
      </c>
      <c r="E2203" s="2">
        <f>IFERROR(__xludf.DUMMYFUNCTION("""COMPUTED_VALUE"""),11.52)</f>
        <v>11.52</v>
      </c>
      <c r="F2203" s="2"/>
      <c r="G2203" s="2"/>
      <c r="H2203" s="2"/>
      <c r="I2203" s="2"/>
    </row>
    <row r="2204">
      <c r="A2204" s="2">
        <f>IFERROR(__xludf.DUMMYFUNCTION("""COMPUTED_VALUE"""),46672.0)</f>
        <v>46672</v>
      </c>
      <c r="B2204" s="2" t="str">
        <f>IFERROR(__xludf.DUMMYFUNCTION("""COMPUTED_VALUE"""),"Fiction")</f>
        <v>Fiction</v>
      </c>
      <c r="C2204" s="2" t="str">
        <f>IFERROR(__xludf.DUMMYFUNCTION("""COMPUTED_VALUE"""),"Decision Making")</f>
        <v>Decision Making</v>
      </c>
      <c r="D2204" s="2" t="str">
        <f>IFERROR(__xludf.DUMMYFUNCTION("""COMPUTED_VALUE"""),"Harborpeak Press")</f>
        <v>Harborpeak Press</v>
      </c>
      <c r="E2204" s="2">
        <f>IFERROR(__xludf.DUMMYFUNCTION("""COMPUTED_VALUE"""),1.28)</f>
        <v>1.28</v>
      </c>
      <c r="F2204" s="2"/>
      <c r="G2204" s="2"/>
      <c r="H2204" s="2"/>
      <c r="I2204" s="2"/>
    </row>
    <row r="2205">
      <c r="A2205" s="2">
        <f>IFERROR(__xludf.DUMMYFUNCTION("""COMPUTED_VALUE"""),118229.0)</f>
        <v>118229</v>
      </c>
      <c r="B2205" s="2" t="str">
        <f>IFERROR(__xludf.DUMMYFUNCTION("""COMPUTED_VALUE"""),"Fiction")</f>
        <v>Fiction</v>
      </c>
      <c r="C2205" s="2" t="str">
        <f>IFERROR(__xludf.DUMMYFUNCTION("""COMPUTED_VALUE"""),"Decision Making")</f>
        <v>Decision Making</v>
      </c>
      <c r="D2205" s="2" t="str">
        <f>IFERROR(__xludf.DUMMYFUNCTION("""COMPUTED_VALUE"""),"Cedarpeak Publishing")</f>
        <v>Cedarpeak Publishing</v>
      </c>
      <c r="E2205" s="2">
        <f>IFERROR(__xludf.DUMMYFUNCTION("""COMPUTED_VALUE"""),2.44)</f>
        <v>2.44</v>
      </c>
      <c r="F2205" s="2"/>
      <c r="G2205" s="2"/>
      <c r="H2205" s="2"/>
      <c r="I2205" s="2"/>
    </row>
    <row r="2206">
      <c r="A2206" s="2">
        <f>IFERROR(__xludf.DUMMYFUNCTION("""COMPUTED_VALUE"""),193230.0)</f>
        <v>193230</v>
      </c>
      <c r="B2206" s="2" t="str">
        <f>IFERROR(__xludf.DUMMYFUNCTION("""COMPUTED_VALUE"""),"Fiction")</f>
        <v>Fiction</v>
      </c>
      <c r="C2206" s="2" t="str">
        <f>IFERROR(__xludf.DUMMYFUNCTION("""COMPUTED_VALUE"""),"Decision Making")</f>
        <v>Decision Making</v>
      </c>
      <c r="D2206" s="2" t="str">
        <f>IFERROR(__xludf.DUMMYFUNCTION("""COMPUTED_VALUE"""),"Cedarpeak Publishing")</f>
        <v>Cedarpeak Publishing</v>
      </c>
      <c r="E2206" s="2">
        <f>IFERROR(__xludf.DUMMYFUNCTION("""COMPUTED_VALUE"""),2.84)</f>
        <v>2.84</v>
      </c>
      <c r="F2206" s="2"/>
      <c r="G2206" s="2"/>
      <c r="H2206" s="2"/>
      <c r="I2206" s="2"/>
    </row>
    <row r="2207">
      <c r="A2207" s="2">
        <f>IFERROR(__xludf.DUMMYFUNCTION("""COMPUTED_VALUE"""),193254.0)</f>
        <v>193254</v>
      </c>
      <c r="B2207" s="2" t="str">
        <f>IFERROR(__xludf.DUMMYFUNCTION("""COMPUTED_VALUE"""),"Fiction")</f>
        <v>Fiction</v>
      </c>
      <c r="C2207" s="2" t="str">
        <f>IFERROR(__xludf.DUMMYFUNCTION("""COMPUTED_VALUE"""),"Decision Making")</f>
        <v>Decision Making</v>
      </c>
      <c r="D2207" s="2" t="str">
        <f>IFERROR(__xludf.DUMMYFUNCTION("""COMPUTED_VALUE"""),"Cedarpeak Publishing")</f>
        <v>Cedarpeak Publishing</v>
      </c>
      <c r="E2207" s="2">
        <f>IFERROR(__xludf.DUMMYFUNCTION("""COMPUTED_VALUE"""),3.02)</f>
        <v>3.02</v>
      </c>
      <c r="F2207" s="2"/>
      <c r="G2207" s="2"/>
      <c r="H2207" s="2"/>
      <c r="I2207" s="2"/>
    </row>
    <row r="2208">
      <c r="A2208" s="2">
        <f>IFERROR(__xludf.DUMMYFUNCTION("""COMPUTED_VALUE"""),113228.0)</f>
        <v>113228</v>
      </c>
      <c r="B2208" s="2" t="str">
        <f>IFERROR(__xludf.DUMMYFUNCTION("""COMPUTED_VALUE"""),"Fiction")</f>
        <v>Fiction</v>
      </c>
      <c r="C2208" s="2" t="str">
        <f>IFERROR(__xludf.DUMMYFUNCTION("""COMPUTED_VALUE"""),"Decision Making")</f>
        <v>Decision Making</v>
      </c>
      <c r="D2208" s="2" t="str">
        <f>IFERROR(__xludf.DUMMYFUNCTION("""COMPUTED_VALUE"""),"Cedarpeak Publishing")</f>
        <v>Cedarpeak Publishing</v>
      </c>
      <c r="E2208" s="2">
        <f>IFERROR(__xludf.DUMMYFUNCTION("""COMPUTED_VALUE"""),1.3)</f>
        <v>1.3</v>
      </c>
      <c r="F2208" s="2"/>
      <c r="G2208" s="2"/>
      <c r="H2208" s="2"/>
      <c r="I2208" s="2"/>
    </row>
    <row r="2209">
      <c r="A2209" s="2">
        <f>IFERROR(__xludf.DUMMYFUNCTION("""COMPUTED_VALUE"""),193193.0)</f>
        <v>193193</v>
      </c>
      <c r="B2209" s="2" t="str">
        <f>IFERROR(__xludf.DUMMYFUNCTION("""COMPUTED_VALUE"""),"Fiction")</f>
        <v>Fiction</v>
      </c>
      <c r="C2209" s="2" t="str">
        <f>IFERROR(__xludf.DUMMYFUNCTION("""COMPUTED_VALUE"""),"Decision Making")</f>
        <v>Decision Making</v>
      </c>
      <c r="D2209" s="2" t="str">
        <f>IFERROR(__xludf.DUMMYFUNCTION("""COMPUTED_VALUE"""),"Cedarpeak Publishing")</f>
        <v>Cedarpeak Publishing</v>
      </c>
      <c r="E2209" s="2">
        <f>IFERROR(__xludf.DUMMYFUNCTION("""COMPUTED_VALUE"""),3.01)</f>
        <v>3.01</v>
      </c>
      <c r="F2209" s="2"/>
      <c r="G2209" s="2"/>
      <c r="H2209" s="2"/>
      <c r="I2209" s="2"/>
    </row>
    <row r="2210">
      <c r="A2210" s="2">
        <f>IFERROR(__xludf.DUMMYFUNCTION("""COMPUTED_VALUE"""),113223.0)</f>
        <v>113223</v>
      </c>
      <c r="B2210" s="2" t="str">
        <f>IFERROR(__xludf.DUMMYFUNCTION("""COMPUTED_VALUE"""),"Fiction")</f>
        <v>Fiction</v>
      </c>
      <c r="C2210" s="2" t="str">
        <f>IFERROR(__xludf.DUMMYFUNCTION("""COMPUTED_VALUE"""),"Decision Making")</f>
        <v>Decision Making</v>
      </c>
      <c r="D2210" s="2" t="str">
        <f>IFERROR(__xludf.DUMMYFUNCTION("""COMPUTED_VALUE"""),"Cedarpeak Publishing")</f>
        <v>Cedarpeak Publishing</v>
      </c>
      <c r="E2210" s="2">
        <f>IFERROR(__xludf.DUMMYFUNCTION("""COMPUTED_VALUE"""),1.48)</f>
        <v>1.48</v>
      </c>
      <c r="F2210" s="2"/>
      <c r="G2210" s="2"/>
      <c r="H2210" s="2"/>
      <c r="I2210" s="2"/>
    </row>
    <row r="2211">
      <c r="A2211" s="2">
        <f>IFERROR(__xludf.DUMMYFUNCTION("""COMPUTED_VALUE"""),113227.0)</f>
        <v>113227</v>
      </c>
      <c r="B2211" s="2" t="str">
        <f>IFERROR(__xludf.DUMMYFUNCTION("""COMPUTED_VALUE"""),"Fiction")</f>
        <v>Fiction</v>
      </c>
      <c r="C2211" s="2" t="str">
        <f>IFERROR(__xludf.DUMMYFUNCTION("""COMPUTED_VALUE"""),"Decision Making")</f>
        <v>Decision Making</v>
      </c>
      <c r="D2211" s="2" t="str">
        <f>IFERROR(__xludf.DUMMYFUNCTION("""COMPUTED_VALUE"""),"Cedarpeak Publishing")</f>
        <v>Cedarpeak Publishing</v>
      </c>
      <c r="E2211" s="2">
        <f>IFERROR(__xludf.DUMMYFUNCTION("""COMPUTED_VALUE"""),1.54)</f>
        <v>1.54</v>
      </c>
      <c r="F2211" s="2"/>
      <c r="G2211" s="2"/>
      <c r="H2211" s="2"/>
      <c r="I2211" s="2"/>
    </row>
    <row r="2212">
      <c r="A2212" s="2">
        <f>IFERROR(__xludf.DUMMYFUNCTION("""COMPUTED_VALUE"""),114198.0)</f>
        <v>114198</v>
      </c>
      <c r="B2212" s="2" t="str">
        <f>IFERROR(__xludf.DUMMYFUNCTION("""COMPUTED_VALUE"""),"Fiction")</f>
        <v>Fiction</v>
      </c>
      <c r="C2212" s="2" t="str">
        <f>IFERROR(__xludf.DUMMYFUNCTION("""COMPUTED_VALUE"""),"Decision Making")</f>
        <v>Decision Making</v>
      </c>
      <c r="D2212" s="2" t="str">
        <f>IFERROR(__xludf.DUMMYFUNCTION("""COMPUTED_VALUE"""),"Cedarpeak Publishing")</f>
        <v>Cedarpeak Publishing</v>
      </c>
      <c r="E2212" s="2">
        <f>IFERROR(__xludf.DUMMYFUNCTION("""COMPUTED_VALUE"""),0.86)</f>
        <v>0.86</v>
      </c>
      <c r="F2212" s="2"/>
      <c r="G2212" s="2"/>
      <c r="H2212" s="2"/>
      <c r="I2212" s="2"/>
    </row>
    <row r="2213">
      <c r="A2213" s="2">
        <f>IFERROR(__xludf.DUMMYFUNCTION("""COMPUTED_VALUE"""),100451.0)</f>
        <v>100451</v>
      </c>
      <c r="B2213" s="2" t="str">
        <f>IFERROR(__xludf.DUMMYFUNCTION("""COMPUTED_VALUE"""),"Fiction")</f>
        <v>Fiction</v>
      </c>
      <c r="C2213" s="2" t="str">
        <f>IFERROR(__xludf.DUMMYFUNCTION("""COMPUTED_VALUE"""),"Decision Making")</f>
        <v>Decision Making</v>
      </c>
      <c r="D2213" s="2" t="str">
        <f>IFERROR(__xludf.DUMMYFUNCTION("""COMPUTED_VALUE"""),"Cedarpeak Publishing")</f>
        <v>Cedarpeak Publishing</v>
      </c>
      <c r="E2213" s="2">
        <f>IFERROR(__xludf.DUMMYFUNCTION("""COMPUTED_VALUE"""),1.51)</f>
        <v>1.51</v>
      </c>
      <c r="F2213" s="2"/>
      <c r="G2213" s="2"/>
      <c r="H2213" s="2"/>
      <c r="I2213" s="2"/>
    </row>
    <row r="2214">
      <c r="A2214" s="2">
        <f>IFERROR(__xludf.DUMMYFUNCTION("""COMPUTED_VALUE"""),100446.0)</f>
        <v>100446</v>
      </c>
      <c r="B2214" s="2" t="str">
        <f>IFERROR(__xludf.DUMMYFUNCTION("""COMPUTED_VALUE"""),"Fiction")</f>
        <v>Fiction</v>
      </c>
      <c r="C2214" s="2" t="str">
        <f>IFERROR(__xludf.DUMMYFUNCTION("""COMPUTED_VALUE"""),"Decision Making")</f>
        <v>Decision Making</v>
      </c>
      <c r="D2214" s="2" t="str">
        <f>IFERROR(__xludf.DUMMYFUNCTION("""COMPUTED_VALUE"""),"Cedarpeak Publishing")</f>
        <v>Cedarpeak Publishing</v>
      </c>
      <c r="E2214" s="2">
        <f>IFERROR(__xludf.DUMMYFUNCTION("""COMPUTED_VALUE"""),0.92)</f>
        <v>0.92</v>
      </c>
      <c r="F2214" s="2"/>
      <c r="G2214" s="2"/>
      <c r="H2214" s="2"/>
      <c r="I2214" s="2"/>
    </row>
    <row r="2215">
      <c r="A2215" s="2">
        <f>IFERROR(__xludf.DUMMYFUNCTION("""COMPUTED_VALUE"""),193253.0)</f>
        <v>193253</v>
      </c>
      <c r="B2215" s="2" t="str">
        <f>IFERROR(__xludf.DUMMYFUNCTION("""COMPUTED_VALUE"""),"Fiction")</f>
        <v>Fiction</v>
      </c>
      <c r="C2215" s="2" t="str">
        <f>IFERROR(__xludf.DUMMYFUNCTION("""COMPUTED_VALUE"""),"Decision Making")</f>
        <v>Decision Making</v>
      </c>
      <c r="D2215" s="2" t="str">
        <f>IFERROR(__xludf.DUMMYFUNCTION("""COMPUTED_VALUE"""),"Cedarpeak Publishing")</f>
        <v>Cedarpeak Publishing</v>
      </c>
      <c r="E2215" s="2">
        <f>IFERROR(__xludf.DUMMYFUNCTION("""COMPUTED_VALUE"""),3.39)</f>
        <v>3.39</v>
      </c>
      <c r="F2215" s="2"/>
      <c r="G2215" s="2"/>
      <c r="H2215" s="2"/>
      <c r="I2215" s="2"/>
    </row>
    <row r="2216">
      <c r="A2216" s="2">
        <f>IFERROR(__xludf.DUMMYFUNCTION("""COMPUTED_VALUE"""),82432.0)</f>
        <v>82432</v>
      </c>
      <c r="B2216" s="2" t="str">
        <f>IFERROR(__xludf.DUMMYFUNCTION("""COMPUTED_VALUE"""),"Fiction")</f>
        <v>Fiction</v>
      </c>
      <c r="C2216" s="2" t="str">
        <f>IFERROR(__xludf.DUMMYFUNCTION("""COMPUTED_VALUE"""),"Decision Making")</f>
        <v>Decision Making</v>
      </c>
      <c r="D2216" s="2" t="str">
        <f>IFERROR(__xludf.DUMMYFUNCTION("""COMPUTED_VALUE"""),"Cedarpeak Publishing")</f>
        <v>Cedarpeak Publishing</v>
      </c>
      <c r="E2216" s="2">
        <f>IFERROR(__xludf.DUMMYFUNCTION("""COMPUTED_VALUE"""),1.65)</f>
        <v>1.65</v>
      </c>
      <c r="F2216" s="2"/>
      <c r="G2216" s="2"/>
      <c r="H2216" s="2"/>
      <c r="I2216" s="2"/>
    </row>
    <row r="2217">
      <c r="A2217" s="2">
        <f>IFERROR(__xludf.DUMMYFUNCTION("""COMPUTED_VALUE"""),122703.0)</f>
        <v>122703</v>
      </c>
      <c r="B2217" s="2" t="str">
        <f>IFERROR(__xludf.DUMMYFUNCTION("""COMPUTED_VALUE"""),"Tech")</f>
        <v>Tech</v>
      </c>
      <c r="C2217" s="2" t="str">
        <f>IFERROR(__xludf.DUMMYFUNCTION("""COMPUTED_VALUE"""),"Emotional Intelligence")</f>
        <v>Emotional Intelligence</v>
      </c>
      <c r="D2217" s="2" t="str">
        <f>IFERROR(__xludf.DUMMYFUNCTION("""COMPUTED_VALUE"""),"Brightpeak Books")</f>
        <v>Brightpeak Books</v>
      </c>
      <c r="E2217" s="2">
        <f>IFERROR(__xludf.DUMMYFUNCTION("""COMPUTED_VALUE"""),12.29)</f>
        <v>12.29</v>
      </c>
      <c r="F2217" s="2"/>
      <c r="G2217" s="2"/>
      <c r="H2217" s="2"/>
      <c r="I2217" s="2"/>
    </row>
    <row r="2218">
      <c r="A2218" s="2">
        <f>IFERROR(__xludf.DUMMYFUNCTION("""COMPUTED_VALUE"""),129410.0)</f>
        <v>129410</v>
      </c>
      <c r="B2218" s="2" t="str">
        <f>IFERROR(__xludf.DUMMYFUNCTION("""COMPUTED_VALUE"""),"Tech")</f>
        <v>Tech</v>
      </c>
      <c r="C2218" s="2" t="str">
        <f>IFERROR(__xludf.DUMMYFUNCTION("""COMPUTED_VALUE"""),"Emotional Intelligence")</f>
        <v>Emotional Intelligence</v>
      </c>
      <c r="D2218" s="2" t="str">
        <f>IFERROR(__xludf.DUMMYFUNCTION("""COMPUTED_VALUE"""),"Brightpeak Books")</f>
        <v>Brightpeak Books</v>
      </c>
      <c r="E2218" s="2">
        <f>IFERROR(__xludf.DUMMYFUNCTION("""COMPUTED_VALUE"""),11.17)</f>
        <v>11.17</v>
      </c>
      <c r="F2218" s="2"/>
      <c r="G2218" s="2"/>
      <c r="H2218" s="2"/>
      <c r="I2218" s="2"/>
    </row>
    <row r="2219">
      <c r="A2219" s="2">
        <f>IFERROR(__xludf.DUMMYFUNCTION("""COMPUTED_VALUE"""),103236.0)</f>
        <v>103236</v>
      </c>
      <c r="B2219" s="2" t="str">
        <f>IFERROR(__xludf.DUMMYFUNCTION("""COMPUTED_VALUE"""),"Tech")</f>
        <v>Tech</v>
      </c>
      <c r="C2219" s="2" t="str">
        <f>IFERROR(__xludf.DUMMYFUNCTION("""COMPUTED_VALUE"""),"Career Development")</f>
        <v>Career Development</v>
      </c>
      <c r="D2219" s="2" t="str">
        <f>IFERROR(__xludf.DUMMYFUNCTION("""COMPUTED_VALUE"""),"Oakpeak Press")</f>
        <v>Oakpeak Press</v>
      </c>
      <c r="E2219" s="2">
        <f>IFERROR(__xludf.DUMMYFUNCTION("""COMPUTED_VALUE"""),5.13)</f>
        <v>5.13</v>
      </c>
      <c r="F2219" s="2"/>
      <c r="G2219" s="2"/>
      <c r="H2219" s="2"/>
      <c r="I2219" s="2"/>
    </row>
    <row r="2220">
      <c r="A2220" s="2">
        <f>IFERROR(__xludf.DUMMYFUNCTION("""COMPUTED_VALUE"""),127534.0)</f>
        <v>127534</v>
      </c>
      <c r="B2220" s="2" t="str">
        <f>IFERROR(__xludf.DUMMYFUNCTION("""COMPUTED_VALUE"""),"Tech")</f>
        <v>Tech</v>
      </c>
      <c r="C2220" s="2" t="str">
        <f>IFERROR(__xludf.DUMMYFUNCTION("""COMPUTED_VALUE"""),"Career Development")</f>
        <v>Career Development</v>
      </c>
      <c r="D2220" s="2" t="str">
        <f>IFERROR(__xludf.DUMMYFUNCTION("""COMPUTED_VALUE"""),"Oakpeak Press")</f>
        <v>Oakpeak Press</v>
      </c>
      <c r="E2220" s="2">
        <f>IFERROR(__xludf.DUMMYFUNCTION("""COMPUTED_VALUE"""),7.61)</f>
        <v>7.61</v>
      </c>
      <c r="F2220" s="2"/>
      <c r="G2220" s="2"/>
      <c r="H2220" s="2"/>
      <c r="I2220" s="2"/>
    </row>
    <row r="2221">
      <c r="A2221" s="2">
        <f>IFERROR(__xludf.DUMMYFUNCTION("""COMPUTED_VALUE"""),100906.0)</f>
        <v>100906</v>
      </c>
      <c r="B2221" s="2" t="str">
        <f>IFERROR(__xludf.DUMMYFUNCTION("""COMPUTED_VALUE"""),"Tech")</f>
        <v>Tech</v>
      </c>
      <c r="C2221" s="2" t="str">
        <f>IFERROR(__xludf.DUMMYFUNCTION("""COMPUTED_VALUE"""),"Career Development")</f>
        <v>Career Development</v>
      </c>
      <c r="D2221" s="2" t="str">
        <f>IFERROR(__xludf.DUMMYFUNCTION("""COMPUTED_VALUE"""),"Riverpeak Publishing")</f>
        <v>Riverpeak Publishing</v>
      </c>
      <c r="E2221" s="2">
        <f>IFERROR(__xludf.DUMMYFUNCTION("""COMPUTED_VALUE"""),12.75)</f>
        <v>12.75</v>
      </c>
      <c r="F2221" s="2"/>
      <c r="G2221" s="2"/>
      <c r="H2221" s="2"/>
      <c r="I2221" s="2"/>
    </row>
    <row r="2222">
      <c r="A2222" s="2">
        <f>IFERROR(__xludf.DUMMYFUNCTION("""COMPUTED_VALUE"""),109098.0)</f>
        <v>109098</v>
      </c>
      <c r="B2222" s="2" t="str">
        <f>IFERROR(__xludf.DUMMYFUNCTION("""COMPUTED_VALUE"""),"Tech")</f>
        <v>Tech</v>
      </c>
      <c r="C2222" s="2" t="str">
        <f>IFERROR(__xludf.DUMMYFUNCTION("""COMPUTED_VALUE"""),"Career Development")</f>
        <v>Career Development</v>
      </c>
      <c r="D2222" s="2" t="str">
        <f>IFERROR(__xludf.DUMMYFUNCTION("""COMPUTED_VALUE"""),"Riverpeak Publishing")</f>
        <v>Riverpeak Publishing</v>
      </c>
      <c r="E2222" s="2">
        <f>IFERROR(__xludf.DUMMYFUNCTION("""COMPUTED_VALUE"""),18.19)</f>
        <v>18.19</v>
      </c>
      <c r="F2222" s="2"/>
      <c r="G2222" s="2"/>
      <c r="H2222" s="2"/>
      <c r="I2222" s="2"/>
    </row>
    <row r="2223">
      <c r="A2223" s="2">
        <f>IFERROR(__xludf.DUMMYFUNCTION("""COMPUTED_VALUE"""),155864.0)</f>
        <v>155864</v>
      </c>
      <c r="B2223" s="2" t="str">
        <f>IFERROR(__xludf.DUMMYFUNCTION("""COMPUTED_VALUE"""),"Tech")</f>
        <v>Tech</v>
      </c>
      <c r="C2223" s="2" t="str">
        <f>IFERROR(__xludf.DUMMYFUNCTION("""COMPUTED_VALUE"""),"Career Development")</f>
        <v>Career Development</v>
      </c>
      <c r="D2223" s="2" t="str">
        <f>IFERROR(__xludf.DUMMYFUNCTION("""COMPUTED_VALUE"""),"Riverpeak Publishing")</f>
        <v>Riverpeak Publishing</v>
      </c>
      <c r="E2223" s="2">
        <f>IFERROR(__xludf.DUMMYFUNCTION("""COMPUTED_VALUE"""),11.2)</f>
        <v>11.2</v>
      </c>
      <c r="F2223" s="2"/>
      <c r="G2223" s="2"/>
      <c r="H2223" s="2"/>
      <c r="I2223" s="2"/>
    </row>
    <row r="2224">
      <c r="A2224" s="2">
        <f>IFERROR(__xludf.DUMMYFUNCTION("""COMPUTED_VALUE"""),120314.0)</f>
        <v>120314</v>
      </c>
      <c r="B2224" s="2" t="str">
        <f>IFERROR(__xludf.DUMMYFUNCTION("""COMPUTED_VALUE"""),"Tech")</f>
        <v>Tech</v>
      </c>
      <c r="C2224" s="2" t="str">
        <f>IFERROR(__xludf.DUMMYFUNCTION("""COMPUTED_VALUE"""),"Career Development")</f>
        <v>Career Development</v>
      </c>
      <c r="D2224" s="2" t="str">
        <f>IFERROR(__xludf.DUMMYFUNCTION("""COMPUTED_VALUE"""),"Riverpeak Publishing")</f>
        <v>Riverpeak Publishing</v>
      </c>
      <c r="E2224" s="2">
        <f>IFERROR(__xludf.DUMMYFUNCTION("""COMPUTED_VALUE"""),12.54)</f>
        <v>12.54</v>
      </c>
      <c r="F2224" s="2"/>
      <c r="G2224" s="2"/>
      <c r="H2224" s="2"/>
      <c r="I2224" s="2"/>
    </row>
    <row r="2225">
      <c r="A2225" s="2">
        <f>IFERROR(__xludf.DUMMYFUNCTION("""COMPUTED_VALUE"""),199547.0)</f>
        <v>199547</v>
      </c>
      <c r="B2225" s="2" t="str">
        <f>IFERROR(__xludf.DUMMYFUNCTION("""COMPUTED_VALUE"""),"Tech")</f>
        <v>Tech</v>
      </c>
      <c r="C2225" s="2" t="str">
        <f>IFERROR(__xludf.DUMMYFUNCTION("""COMPUTED_VALUE"""),"Career Development")</f>
        <v>Career Development</v>
      </c>
      <c r="D2225" s="2" t="str">
        <f>IFERROR(__xludf.DUMMYFUNCTION("""COMPUTED_VALUE"""),"Ironpeak Books")</f>
        <v>Ironpeak Books</v>
      </c>
      <c r="E2225" s="2">
        <f>IFERROR(__xludf.DUMMYFUNCTION("""COMPUTED_VALUE"""),3.37)</f>
        <v>3.37</v>
      </c>
      <c r="F2225" s="2"/>
      <c r="G2225" s="2"/>
      <c r="H2225" s="2"/>
      <c r="I2225" s="2"/>
    </row>
    <row r="2226">
      <c r="A2226" s="2">
        <f>IFERROR(__xludf.DUMMYFUNCTION("""COMPUTED_VALUE"""),110540.0)</f>
        <v>110540</v>
      </c>
      <c r="B2226" s="2" t="str">
        <f>IFERROR(__xludf.DUMMYFUNCTION("""COMPUTED_VALUE"""),"Tech")</f>
        <v>Tech</v>
      </c>
      <c r="C2226" s="2" t="str">
        <f>IFERROR(__xludf.DUMMYFUNCTION("""COMPUTED_VALUE"""),"Career Development")</f>
        <v>Career Development</v>
      </c>
      <c r="D2226" s="2" t="str">
        <f>IFERROR(__xludf.DUMMYFUNCTION("""COMPUTED_VALUE"""),"Ironpeak Books")</f>
        <v>Ironpeak Books</v>
      </c>
      <c r="E2226" s="2">
        <f>IFERROR(__xludf.DUMMYFUNCTION("""COMPUTED_VALUE"""),4.24)</f>
        <v>4.24</v>
      </c>
      <c r="F2226" s="2"/>
      <c r="G2226" s="2"/>
      <c r="H2226" s="2"/>
      <c r="I2226" s="2"/>
    </row>
    <row r="2227">
      <c r="A2227" s="2">
        <f>IFERROR(__xludf.DUMMYFUNCTION("""COMPUTED_VALUE"""),182190.0)</f>
        <v>182190</v>
      </c>
      <c r="B2227" s="2" t="str">
        <f>IFERROR(__xludf.DUMMYFUNCTION("""COMPUTED_VALUE"""),"Tech")</f>
        <v>Tech</v>
      </c>
      <c r="C2227" s="2" t="str">
        <f>IFERROR(__xludf.DUMMYFUNCTION("""COMPUTED_VALUE"""),"Career Development")</f>
        <v>Career Development</v>
      </c>
      <c r="D2227" s="2" t="str">
        <f>IFERROR(__xludf.DUMMYFUNCTION("""COMPUTED_VALUE"""),"Ironpeak Books")</f>
        <v>Ironpeak Books</v>
      </c>
      <c r="E2227" s="2">
        <f>IFERROR(__xludf.DUMMYFUNCTION("""COMPUTED_VALUE"""),7.96)</f>
        <v>7.96</v>
      </c>
      <c r="F2227" s="2"/>
      <c r="G2227" s="2"/>
      <c r="H2227" s="2"/>
      <c r="I2227" s="2"/>
    </row>
    <row r="2228">
      <c r="A2228" s="2">
        <f>IFERROR(__xludf.DUMMYFUNCTION("""COMPUTED_VALUE"""),79341.0)</f>
        <v>79341</v>
      </c>
      <c r="B2228" s="2" t="str">
        <f>IFERROR(__xludf.DUMMYFUNCTION("""COMPUTED_VALUE"""),"Tech")</f>
        <v>Tech</v>
      </c>
      <c r="C2228" s="2" t="str">
        <f>IFERROR(__xludf.DUMMYFUNCTION("""COMPUTED_VALUE"""),"Career Development")</f>
        <v>Career Development</v>
      </c>
      <c r="D2228" s="2" t="str">
        <f>IFERROR(__xludf.DUMMYFUNCTION("""COMPUTED_VALUE"""),"Ironpeak Books")</f>
        <v>Ironpeak Books</v>
      </c>
      <c r="E2228" s="2">
        <f>IFERROR(__xludf.DUMMYFUNCTION("""COMPUTED_VALUE"""),5.93)</f>
        <v>5.93</v>
      </c>
      <c r="F2228" s="2"/>
      <c r="G2228" s="2"/>
      <c r="H2228" s="2"/>
      <c r="I2228" s="2"/>
    </row>
    <row r="2229">
      <c r="A2229" s="2">
        <f>IFERROR(__xludf.DUMMYFUNCTION("""COMPUTED_VALUE"""),108969.0)</f>
        <v>108969</v>
      </c>
      <c r="B2229" s="2" t="str">
        <f>IFERROR(__xludf.DUMMYFUNCTION("""COMPUTED_VALUE"""),"Tech")</f>
        <v>Tech</v>
      </c>
      <c r="C2229" s="2" t="str">
        <f>IFERROR(__xludf.DUMMYFUNCTION("""COMPUTED_VALUE"""),"Career Development")</f>
        <v>Career Development</v>
      </c>
      <c r="D2229" s="2" t="str">
        <f>IFERROR(__xludf.DUMMYFUNCTION("""COMPUTED_VALUE"""),"Ironpeak Books")</f>
        <v>Ironpeak Books</v>
      </c>
      <c r="E2229" s="2">
        <f>IFERROR(__xludf.DUMMYFUNCTION("""COMPUTED_VALUE"""),4.81)</f>
        <v>4.81</v>
      </c>
      <c r="F2229" s="2"/>
      <c r="G2229" s="2"/>
      <c r="H2229" s="2"/>
      <c r="I2229" s="2"/>
    </row>
    <row r="2230">
      <c r="A2230" s="2">
        <f>IFERROR(__xludf.DUMMYFUNCTION("""COMPUTED_VALUE"""),79939.0)</f>
        <v>79939</v>
      </c>
      <c r="B2230" s="2" t="str">
        <f>IFERROR(__xludf.DUMMYFUNCTION("""COMPUTED_VALUE"""),"Tech")</f>
        <v>Tech</v>
      </c>
      <c r="C2230" s="2" t="str">
        <f>IFERROR(__xludf.DUMMYFUNCTION("""COMPUTED_VALUE"""),"Career Development")</f>
        <v>Career Development</v>
      </c>
      <c r="D2230" s="2" t="str">
        <f>IFERROR(__xludf.DUMMYFUNCTION("""COMPUTED_VALUE"""),"Ironpeak Books")</f>
        <v>Ironpeak Books</v>
      </c>
      <c r="E2230" s="2">
        <f>IFERROR(__xludf.DUMMYFUNCTION("""COMPUTED_VALUE"""),5.72)</f>
        <v>5.72</v>
      </c>
      <c r="F2230" s="2"/>
      <c r="G2230" s="2"/>
      <c r="H2230" s="2"/>
      <c r="I2230" s="2"/>
    </row>
    <row r="2231">
      <c r="A2231" s="2">
        <f>IFERROR(__xludf.DUMMYFUNCTION("""COMPUTED_VALUE"""),11733.0)</f>
        <v>11733</v>
      </c>
      <c r="B2231" s="2" t="str">
        <f>IFERROR(__xludf.DUMMYFUNCTION("""COMPUTED_VALUE"""),"Tech")</f>
        <v>Tech</v>
      </c>
      <c r="C2231" s="2" t="str">
        <f>IFERROR(__xludf.DUMMYFUNCTION("""COMPUTED_VALUE"""),"Career Development")</f>
        <v>Career Development</v>
      </c>
      <c r="D2231" s="2" t="str">
        <f>IFERROR(__xludf.DUMMYFUNCTION("""COMPUTED_VALUE"""),"Ironpeak Books")</f>
        <v>Ironpeak Books</v>
      </c>
      <c r="E2231" s="2">
        <f>IFERROR(__xludf.DUMMYFUNCTION("""COMPUTED_VALUE"""),9.71)</f>
        <v>9.71</v>
      </c>
      <c r="F2231" s="2"/>
      <c r="G2231" s="2"/>
      <c r="H2231" s="2"/>
      <c r="I2231" s="2"/>
    </row>
    <row r="2232">
      <c r="A2232" s="2">
        <f>IFERROR(__xludf.DUMMYFUNCTION("""COMPUTED_VALUE"""),12647.0)</f>
        <v>12647</v>
      </c>
      <c r="B2232" s="2" t="str">
        <f>IFERROR(__xludf.DUMMYFUNCTION("""COMPUTED_VALUE"""),"Tech")</f>
        <v>Tech</v>
      </c>
      <c r="C2232" s="2" t="str">
        <f>IFERROR(__xludf.DUMMYFUNCTION("""COMPUTED_VALUE"""),"Career Development")</f>
        <v>Career Development</v>
      </c>
      <c r="D2232" s="2" t="str">
        <f>IFERROR(__xludf.DUMMYFUNCTION("""COMPUTED_VALUE"""),"Ironpeak Books")</f>
        <v>Ironpeak Books</v>
      </c>
      <c r="E2232" s="2">
        <f>IFERROR(__xludf.DUMMYFUNCTION("""COMPUTED_VALUE"""),4.39)</f>
        <v>4.39</v>
      </c>
      <c r="F2232" s="2"/>
      <c r="G2232" s="2"/>
      <c r="H2232" s="2"/>
      <c r="I2232" s="2"/>
    </row>
    <row r="2233">
      <c r="A2233" s="2">
        <f>IFERROR(__xludf.DUMMYFUNCTION("""COMPUTED_VALUE"""),122292.0)</f>
        <v>122292</v>
      </c>
      <c r="B2233" s="2" t="str">
        <f>IFERROR(__xludf.DUMMYFUNCTION("""COMPUTED_VALUE"""),"Tech")</f>
        <v>Tech</v>
      </c>
      <c r="C2233" s="2" t="str">
        <f>IFERROR(__xludf.DUMMYFUNCTION("""COMPUTED_VALUE"""),"Career Development")</f>
        <v>Career Development</v>
      </c>
      <c r="D2233" s="2" t="str">
        <f>IFERROR(__xludf.DUMMYFUNCTION("""COMPUTED_VALUE"""),"Ironpeak Books")</f>
        <v>Ironpeak Books</v>
      </c>
      <c r="E2233" s="2">
        <f>IFERROR(__xludf.DUMMYFUNCTION("""COMPUTED_VALUE"""),6.72)</f>
        <v>6.72</v>
      </c>
      <c r="F2233" s="2"/>
      <c r="G2233" s="2"/>
      <c r="H2233" s="2"/>
      <c r="I2233" s="2"/>
    </row>
    <row r="2234">
      <c r="A2234" s="2">
        <f>IFERROR(__xludf.DUMMYFUNCTION("""COMPUTED_VALUE"""),117433.0)</f>
        <v>117433</v>
      </c>
      <c r="B2234" s="2" t="str">
        <f>IFERROR(__xludf.DUMMYFUNCTION("""COMPUTED_VALUE"""),"Tech")</f>
        <v>Tech</v>
      </c>
      <c r="C2234" s="2" t="str">
        <f>IFERROR(__xludf.DUMMYFUNCTION("""COMPUTED_VALUE"""),"Career Development")</f>
        <v>Career Development</v>
      </c>
      <c r="D2234" s="2" t="str">
        <f>IFERROR(__xludf.DUMMYFUNCTION("""COMPUTED_VALUE"""),"Ironpeak Books")</f>
        <v>Ironpeak Books</v>
      </c>
      <c r="E2234" s="2">
        <f>IFERROR(__xludf.DUMMYFUNCTION("""COMPUTED_VALUE"""),9.32)</f>
        <v>9.32</v>
      </c>
      <c r="F2234" s="2"/>
      <c r="G2234" s="2"/>
      <c r="H2234" s="2"/>
      <c r="I2234" s="2"/>
    </row>
    <row r="2235">
      <c r="A2235" s="2">
        <f>IFERROR(__xludf.DUMMYFUNCTION("""COMPUTED_VALUE"""),127018.0)</f>
        <v>127018</v>
      </c>
      <c r="B2235" s="2" t="str">
        <f>IFERROR(__xludf.DUMMYFUNCTION("""COMPUTED_VALUE"""),"Tech")</f>
        <v>Tech</v>
      </c>
      <c r="C2235" s="2" t="str">
        <f>IFERROR(__xludf.DUMMYFUNCTION("""COMPUTED_VALUE"""),"Career Development")</f>
        <v>Career Development</v>
      </c>
      <c r="D2235" s="2" t="str">
        <f>IFERROR(__xludf.DUMMYFUNCTION("""COMPUTED_VALUE"""),"Ironpeak Books")</f>
        <v>Ironpeak Books</v>
      </c>
      <c r="E2235" s="2">
        <f>IFERROR(__xludf.DUMMYFUNCTION("""COMPUTED_VALUE"""),6.81)</f>
        <v>6.81</v>
      </c>
      <c r="F2235" s="2"/>
      <c r="G2235" s="2"/>
      <c r="H2235" s="2"/>
      <c r="I2235" s="2"/>
    </row>
    <row r="2236">
      <c r="A2236" s="2">
        <f>IFERROR(__xludf.DUMMYFUNCTION("""COMPUTED_VALUE"""),9705.0)</f>
        <v>9705</v>
      </c>
      <c r="B2236" s="2" t="str">
        <f>IFERROR(__xludf.DUMMYFUNCTION("""COMPUTED_VALUE"""),"Tech")</f>
        <v>Tech</v>
      </c>
      <c r="C2236" s="2" t="str">
        <f>IFERROR(__xludf.DUMMYFUNCTION("""COMPUTED_VALUE"""),"Career Development")</f>
        <v>Career Development</v>
      </c>
      <c r="D2236" s="2" t="str">
        <f>IFERROR(__xludf.DUMMYFUNCTION("""COMPUTED_VALUE"""),"Ironpeak Books")</f>
        <v>Ironpeak Books</v>
      </c>
      <c r="E2236" s="2">
        <f>IFERROR(__xludf.DUMMYFUNCTION("""COMPUTED_VALUE"""),6.31)</f>
        <v>6.31</v>
      </c>
      <c r="F2236" s="2"/>
      <c r="G2236" s="2"/>
      <c r="H2236" s="2"/>
      <c r="I2236" s="2"/>
    </row>
    <row r="2237">
      <c r="A2237" s="2">
        <f>IFERROR(__xludf.DUMMYFUNCTION("""COMPUTED_VALUE"""),9703.0)</f>
        <v>9703</v>
      </c>
      <c r="B2237" s="2" t="str">
        <f>IFERROR(__xludf.DUMMYFUNCTION("""COMPUTED_VALUE"""),"Tech")</f>
        <v>Tech</v>
      </c>
      <c r="C2237" s="2" t="str">
        <f>IFERROR(__xludf.DUMMYFUNCTION("""COMPUTED_VALUE"""),"Career Development")</f>
        <v>Career Development</v>
      </c>
      <c r="D2237" s="2" t="str">
        <f>IFERROR(__xludf.DUMMYFUNCTION("""COMPUTED_VALUE"""),"Ironpeak Books")</f>
        <v>Ironpeak Books</v>
      </c>
      <c r="E2237" s="2">
        <f>IFERROR(__xludf.DUMMYFUNCTION("""COMPUTED_VALUE"""),6.17)</f>
        <v>6.17</v>
      </c>
      <c r="F2237" s="2"/>
      <c r="G2237" s="2"/>
      <c r="H2237" s="2"/>
      <c r="I2237" s="2"/>
    </row>
    <row r="2238">
      <c r="A2238" s="2">
        <f>IFERROR(__xludf.DUMMYFUNCTION("""COMPUTED_VALUE"""),86005.0)</f>
        <v>86005</v>
      </c>
      <c r="B2238" s="2" t="str">
        <f>IFERROR(__xludf.DUMMYFUNCTION("""COMPUTED_VALUE"""),"Tech")</f>
        <v>Tech</v>
      </c>
      <c r="C2238" s="2" t="str">
        <f>IFERROR(__xludf.DUMMYFUNCTION("""COMPUTED_VALUE"""),"Career Development")</f>
        <v>Career Development</v>
      </c>
      <c r="D2238" s="2" t="str">
        <f>IFERROR(__xludf.DUMMYFUNCTION("""COMPUTED_VALUE"""),"Ironpeak Books")</f>
        <v>Ironpeak Books</v>
      </c>
      <c r="E2238" s="2">
        <f>IFERROR(__xludf.DUMMYFUNCTION("""COMPUTED_VALUE"""),3.42)</f>
        <v>3.42</v>
      </c>
      <c r="F2238" s="2"/>
      <c r="G2238" s="2"/>
      <c r="H2238" s="2"/>
      <c r="I2238" s="2"/>
    </row>
    <row r="2239">
      <c r="A2239" s="2">
        <f>IFERROR(__xludf.DUMMYFUNCTION("""COMPUTED_VALUE"""),9704.0)</f>
        <v>9704</v>
      </c>
      <c r="B2239" s="2" t="str">
        <f>IFERROR(__xludf.DUMMYFUNCTION("""COMPUTED_VALUE"""),"Tech")</f>
        <v>Tech</v>
      </c>
      <c r="C2239" s="2" t="str">
        <f>IFERROR(__xludf.DUMMYFUNCTION("""COMPUTED_VALUE"""),"Career Development")</f>
        <v>Career Development</v>
      </c>
      <c r="D2239" s="2" t="str">
        <f>IFERROR(__xludf.DUMMYFUNCTION("""COMPUTED_VALUE"""),"Ironpeak Books")</f>
        <v>Ironpeak Books</v>
      </c>
      <c r="E2239" s="2">
        <f>IFERROR(__xludf.DUMMYFUNCTION("""COMPUTED_VALUE"""),6.34)</f>
        <v>6.34</v>
      </c>
      <c r="F2239" s="2"/>
      <c r="G2239" s="2"/>
      <c r="H2239" s="2"/>
      <c r="I2239" s="2"/>
    </row>
    <row r="2240">
      <c r="A2240" s="2">
        <f>IFERROR(__xludf.DUMMYFUNCTION("""COMPUTED_VALUE"""),182189.0)</f>
        <v>182189</v>
      </c>
      <c r="B2240" s="2" t="str">
        <f>IFERROR(__xludf.DUMMYFUNCTION("""COMPUTED_VALUE"""),"Tech")</f>
        <v>Tech</v>
      </c>
      <c r="C2240" s="2" t="str">
        <f>IFERROR(__xludf.DUMMYFUNCTION("""COMPUTED_VALUE"""),"Career Development")</f>
        <v>Career Development</v>
      </c>
      <c r="D2240" s="2" t="str">
        <f>IFERROR(__xludf.DUMMYFUNCTION("""COMPUTED_VALUE"""),"Ironpeak Books")</f>
        <v>Ironpeak Books</v>
      </c>
      <c r="E2240" s="2">
        <f>IFERROR(__xludf.DUMMYFUNCTION("""COMPUTED_VALUE"""),5.69)</f>
        <v>5.69</v>
      </c>
      <c r="F2240" s="2"/>
      <c r="G2240" s="2"/>
      <c r="H2240" s="2"/>
      <c r="I2240" s="2"/>
    </row>
    <row r="2241">
      <c r="A2241" s="2">
        <f>IFERROR(__xludf.DUMMYFUNCTION("""COMPUTED_VALUE"""),29452.0)</f>
        <v>29452</v>
      </c>
      <c r="B2241" s="2" t="str">
        <f>IFERROR(__xludf.DUMMYFUNCTION("""COMPUTED_VALUE"""),"Tech")</f>
        <v>Tech</v>
      </c>
      <c r="C2241" s="2" t="str">
        <f>IFERROR(__xludf.DUMMYFUNCTION("""COMPUTED_VALUE"""),"Career Development")</f>
        <v>Career Development</v>
      </c>
      <c r="D2241" s="2" t="str">
        <f>IFERROR(__xludf.DUMMYFUNCTION("""COMPUTED_VALUE"""),"Ironpeak Books")</f>
        <v>Ironpeak Books</v>
      </c>
      <c r="E2241" s="2">
        <f>IFERROR(__xludf.DUMMYFUNCTION("""COMPUTED_VALUE"""),4.17)</f>
        <v>4.17</v>
      </c>
      <c r="F2241" s="2"/>
      <c r="G2241" s="2"/>
      <c r="H2241" s="2"/>
      <c r="I2241" s="2"/>
    </row>
    <row r="2242">
      <c r="A2242" s="2">
        <f>IFERROR(__xludf.DUMMYFUNCTION("""COMPUTED_VALUE"""),122485.0)</f>
        <v>122485</v>
      </c>
      <c r="B2242" s="2" t="str">
        <f>IFERROR(__xludf.DUMMYFUNCTION("""COMPUTED_VALUE"""),"Tech")</f>
        <v>Tech</v>
      </c>
      <c r="C2242" s="2" t="str">
        <f>IFERROR(__xludf.DUMMYFUNCTION("""COMPUTED_VALUE"""),"Career Development")</f>
        <v>Career Development</v>
      </c>
      <c r="D2242" s="2" t="str">
        <f>IFERROR(__xludf.DUMMYFUNCTION("""COMPUTED_VALUE"""),"Ironpeak Books")</f>
        <v>Ironpeak Books</v>
      </c>
      <c r="E2242" s="2">
        <f>IFERROR(__xludf.DUMMYFUNCTION("""COMPUTED_VALUE"""),9.78)</f>
        <v>9.78</v>
      </c>
      <c r="F2242" s="2"/>
      <c r="G2242" s="2"/>
      <c r="H2242" s="2"/>
      <c r="I2242" s="2"/>
    </row>
    <row r="2243">
      <c r="A2243" s="2">
        <f>IFERROR(__xludf.DUMMYFUNCTION("""COMPUTED_VALUE"""),9706.0)</f>
        <v>9706</v>
      </c>
      <c r="B2243" s="2" t="str">
        <f>IFERROR(__xludf.DUMMYFUNCTION("""COMPUTED_VALUE"""),"Tech")</f>
        <v>Tech</v>
      </c>
      <c r="C2243" s="2" t="str">
        <f>IFERROR(__xludf.DUMMYFUNCTION("""COMPUTED_VALUE"""),"Career Development")</f>
        <v>Career Development</v>
      </c>
      <c r="D2243" s="2" t="str">
        <f>IFERROR(__xludf.DUMMYFUNCTION("""COMPUTED_VALUE"""),"Ironpeak Books")</f>
        <v>Ironpeak Books</v>
      </c>
      <c r="E2243" s="2">
        <f>IFERROR(__xludf.DUMMYFUNCTION("""COMPUTED_VALUE"""),6.3)</f>
        <v>6.3</v>
      </c>
      <c r="F2243" s="2"/>
      <c r="G2243" s="2"/>
      <c r="H2243" s="2"/>
      <c r="I2243" s="2"/>
    </row>
    <row r="2244">
      <c r="A2244" s="2">
        <f>IFERROR(__xludf.DUMMYFUNCTION("""COMPUTED_VALUE"""),12648.0)</f>
        <v>12648</v>
      </c>
      <c r="B2244" s="2" t="str">
        <f>IFERROR(__xludf.DUMMYFUNCTION("""COMPUTED_VALUE"""),"Tech")</f>
        <v>Tech</v>
      </c>
      <c r="C2244" s="2" t="str">
        <f>IFERROR(__xludf.DUMMYFUNCTION("""COMPUTED_VALUE"""),"Career Development")</f>
        <v>Career Development</v>
      </c>
      <c r="D2244" s="2" t="str">
        <f>IFERROR(__xludf.DUMMYFUNCTION("""COMPUTED_VALUE"""),"Ironpeak Books")</f>
        <v>Ironpeak Books</v>
      </c>
      <c r="E2244" s="2">
        <f>IFERROR(__xludf.DUMMYFUNCTION("""COMPUTED_VALUE"""),6.06)</f>
        <v>6.06</v>
      </c>
      <c r="F2244" s="2"/>
      <c r="G2244" s="2"/>
      <c r="H2244" s="2"/>
      <c r="I2244" s="2"/>
    </row>
    <row r="2245">
      <c r="A2245" s="2">
        <f>IFERROR(__xludf.DUMMYFUNCTION("""COMPUTED_VALUE"""),93899.0)</f>
        <v>93899</v>
      </c>
      <c r="B2245" s="2" t="str">
        <f>IFERROR(__xludf.DUMMYFUNCTION("""COMPUTED_VALUE"""),"Tech")</f>
        <v>Tech</v>
      </c>
      <c r="C2245" s="2" t="str">
        <f>IFERROR(__xludf.DUMMYFUNCTION("""COMPUTED_VALUE"""),"Career Development")</f>
        <v>Career Development</v>
      </c>
      <c r="D2245" s="2" t="str">
        <f>IFERROR(__xludf.DUMMYFUNCTION("""COMPUTED_VALUE"""),"Silvertrail Press")</f>
        <v>Silvertrail Press</v>
      </c>
      <c r="E2245" s="2">
        <f>IFERROR(__xludf.DUMMYFUNCTION("""COMPUTED_VALUE"""),1.82)</f>
        <v>1.82</v>
      </c>
      <c r="F2245" s="2"/>
      <c r="G2245" s="2"/>
      <c r="H2245" s="2"/>
      <c r="I2245" s="2"/>
    </row>
    <row r="2246">
      <c r="A2246" s="2">
        <f>IFERROR(__xludf.DUMMYFUNCTION("""COMPUTED_VALUE"""),28890.0)</f>
        <v>28890</v>
      </c>
      <c r="B2246" s="2" t="str">
        <f>IFERROR(__xludf.DUMMYFUNCTION("""COMPUTED_VALUE"""),"Tech")</f>
        <v>Tech</v>
      </c>
      <c r="C2246" s="2" t="str">
        <f>IFERROR(__xludf.DUMMYFUNCTION("""COMPUTED_VALUE"""),"Career Development")</f>
        <v>Career Development</v>
      </c>
      <c r="D2246" s="2" t="str">
        <f>IFERROR(__xludf.DUMMYFUNCTION("""COMPUTED_VALUE"""),"Silvertrail Press")</f>
        <v>Silvertrail Press</v>
      </c>
      <c r="E2246" s="2">
        <f>IFERROR(__xludf.DUMMYFUNCTION("""COMPUTED_VALUE"""),2.5)</f>
        <v>2.5</v>
      </c>
      <c r="F2246" s="2"/>
      <c r="G2246" s="2"/>
      <c r="H2246" s="2"/>
      <c r="I2246" s="2"/>
    </row>
    <row r="2247">
      <c r="A2247" s="2">
        <f>IFERROR(__xludf.DUMMYFUNCTION("""COMPUTED_VALUE"""),17638.0)</f>
        <v>17638</v>
      </c>
      <c r="B2247" s="2" t="str">
        <f>IFERROR(__xludf.DUMMYFUNCTION("""COMPUTED_VALUE"""),"Tech")</f>
        <v>Tech</v>
      </c>
      <c r="C2247" s="2" t="str">
        <f>IFERROR(__xludf.DUMMYFUNCTION("""COMPUTED_VALUE"""),"Career Development")</f>
        <v>Career Development</v>
      </c>
      <c r="D2247" s="2" t="str">
        <f>IFERROR(__xludf.DUMMYFUNCTION("""COMPUTED_VALUE"""),"Silvertrail Press")</f>
        <v>Silvertrail Press</v>
      </c>
      <c r="E2247" s="2">
        <f>IFERROR(__xludf.DUMMYFUNCTION("""COMPUTED_VALUE"""),3.04)</f>
        <v>3.04</v>
      </c>
      <c r="F2247" s="2"/>
      <c r="G2247" s="2"/>
      <c r="H2247" s="2"/>
      <c r="I2247" s="2"/>
    </row>
    <row r="2248">
      <c r="A2248" s="2">
        <f>IFERROR(__xludf.DUMMYFUNCTION("""COMPUTED_VALUE"""),28888.0)</f>
        <v>28888</v>
      </c>
      <c r="B2248" s="2" t="str">
        <f>IFERROR(__xludf.DUMMYFUNCTION("""COMPUTED_VALUE"""),"Tech")</f>
        <v>Tech</v>
      </c>
      <c r="C2248" s="2" t="str">
        <f>IFERROR(__xludf.DUMMYFUNCTION("""COMPUTED_VALUE"""),"Career Development")</f>
        <v>Career Development</v>
      </c>
      <c r="D2248" s="2" t="str">
        <f>IFERROR(__xludf.DUMMYFUNCTION("""COMPUTED_VALUE"""),"Silvertrail Press")</f>
        <v>Silvertrail Press</v>
      </c>
      <c r="E2248" s="2">
        <f>IFERROR(__xludf.DUMMYFUNCTION("""COMPUTED_VALUE"""),2.55)</f>
        <v>2.55</v>
      </c>
      <c r="F2248" s="2"/>
      <c r="G2248" s="2"/>
      <c r="H2248" s="2"/>
      <c r="I2248" s="2"/>
    </row>
    <row r="2249">
      <c r="A2249" s="2">
        <f>IFERROR(__xludf.DUMMYFUNCTION("""COMPUTED_VALUE"""),29455.0)</f>
        <v>29455</v>
      </c>
      <c r="B2249" s="2" t="str">
        <f>IFERROR(__xludf.DUMMYFUNCTION("""COMPUTED_VALUE"""),"Tech")</f>
        <v>Tech</v>
      </c>
      <c r="C2249" s="2" t="str">
        <f>IFERROR(__xludf.DUMMYFUNCTION("""COMPUTED_VALUE"""),"Career Development")</f>
        <v>Career Development</v>
      </c>
      <c r="D2249" s="2" t="str">
        <f>IFERROR(__xludf.DUMMYFUNCTION("""COMPUTED_VALUE"""),"Silvertrail Press")</f>
        <v>Silvertrail Press</v>
      </c>
      <c r="E2249" s="2">
        <f>IFERROR(__xludf.DUMMYFUNCTION("""COMPUTED_VALUE"""),3.18)</f>
        <v>3.18</v>
      </c>
      <c r="F2249" s="2"/>
      <c r="G2249" s="2"/>
      <c r="H2249" s="2"/>
      <c r="I2249" s="2"/>
    </row>
    <row r="2250">
      <c r="A2250" s="2">
        <f>IFERROR(__xludf.DUMMYFUNCTION("""COMPUTED_VALUE"""),93895.0)</f>
        <v>93895</v>
      </c>
      <c r="B2250" s="2" t="str">
        <f>IFERROR(__xludf.DUMMYFUNCTION("""COMPUTED_VALUE"""),"Tech")</f>
        <v>Tech</v>
      </c>
      <c r="C2250" s="2" t="str">
        <f>IFERROR(__xludf.DUMMYFUNCTION("""COMPUTED_VALUE"""),"Career Development")</f>
        <v>Career Development</v>
      </c>
      <c r="D2250" s="2" t="str">
        <f>IFERROR(__xludf.DUMMYFUNCTION("""COMPUTED_VALUE"""),"Silvertrail Press")</f>
        <v>Silvertrail Press</v>
      </c>
      <c r="E2250" s="2">
        <f>IFERROR(__xludf.DUMMYFUNCTION("""COMPUTED_VALUE"""),1.85)</f>
        <v>1.85</v>
      </c>
      <c r="F2250" s="2"/>
      <c r="G2250" s="2"/>
      <c r="H2250" s="2"/>
      <c r="I2250" s="2"/>
    </row>
    <row r="2251">
      <c r="A2251" s="2">
        <f>IFERROR(__xludf.DUMMYFUNCTION("""COMPUTED_VALUE"""),116417.0)</f>
        <v>116417</v>
      </c>
      <c r="B2251" s="2" t="str">
        <f>IFERROR(__xludf.DUMMYFUNCTION("""COMPUTED_VALUE"""),"Tech")</f>
        <v>Tech</v>
      </c>
      <c r="C2251" s="2" t="str">
        <f>IFERROR(__xludf.DUMMYFUNCTION("""COMPUTED_VALUE"""),"Career Development")</f>
        <v>Career Development</v>
      </c>
      <c r="D2251" s="2" t="str">
        <f>IFERROR(__xludf.DUMMYFUNCTION("""COMPUTED_VALUE"""),"Silvertrail Press")</f>
        <v>Silvertrail Press</v>
      </c>
      <c r="E2251" s="2">
        <f>IFERROR(__xludf.DUMMYFUNCTION("""COMPUTED_VALUE"""),3.29)</f>
        <v>3.29</v>
      </c>
      <c r="F2251" s="2"/>
      <c r="G2251" s="2"/>
      <c r="H2251" s="2"/>
      <c r="I2251" s="2"/>
    </row>
    <row r="2252">
      <c r="A2252" s="2">
        <f>IFERROR(__xludf.DUMMYFUNCTION("""COMPUTED_VALUE"""),1971.0)</f>
        <v>1971</v>
      </c>
      <c r="B2252" s="2" t="str">
        <f>IFERROR(__xludf.DUMMYFUNCTION("""COMPUTED_VALUE"""),"Tech")</f>
        <v>Tech</v>
      </c>
      <c r="C2252" s="2" t="str">
        <f>IFERROR(__xludf.DUMMYFUNCTION("""COMPUTED_VALUE"""),"Career Development")</f>
        <v>Career Development</v>
      </c>
      <c r="D2252" s="2" t="str">
        <f>IFERROR(__xludf.DUMMYFUNCTION("""COMPUTED_VALUE"""),"Silvertrail Press")</f>
        <v>Silvertrail Press</v>
      </c>
      <c r="E2252" s="2">
        <f>IFERROR(__xludf.DUMMYFUNCTION("""COMPUTED_VALUE"""),3.19)</f>
        <v>3.19</v>
      </c>
      <c r="F2252" s="2"/>
      <c r="G2252" s="2"/>
      <c r="H2252" s="2"/>
      <c r="I2252" s="2"/>
    </row>
    <row r="2253">
      <c r="A2253" s="2">
        <f>IFERROR(__xludf.DUMMYFUNCTION("""COMPUTED_VALUE"""),12649.0)</f>
        <v>12649</v>
      </c>
      <c r="B2253" s="2" t="str">
        <f>IFERROR(__xludf.DUMMYFUNCTION("""COMPUTED_VALUE"""),"Tech")</f>
        <v>Tech</v>
      </c>
      <c r="C2253" s="2" t="str">
        <f>IFERROR(__xludf.DUMMYFUNCTION("""COMPUTED_VALUE"""),"Career Development")</f>
        <v>Career Development</v>
      </c>
      <c r="D2253" s="2" t="str">
        <f>IFERROR(__xludf.DUMMYFUNCTION("""COMPUTED_VALUE"""),"Silvertrail Press")</f>
        <v>Silvertrail Press</v>
      </c>
      <c r="E2253" s="2">
        <f>IFERROR(__xludf.DUMMYFUNCTION("""COMPUTED_VALUE"""),4.67)</f>
        <v>4.67</v>
      </c>
      <c r="F2253" s="2"/>
      <c r="G2253" s="2"/>
      <c r="H2253" s="2"/>
      <c r="I2253" s="2"/>
    </row>
    <row r="2254">
      <c r="A2254" s="2">
        <f>IFERROR(__xludf.DUMMYFUNCTION("""COMPUTED_VALUE"""),93896.0)</f>
        <v>93896</v>
      </c>
      <c r="B2254" s="2" t="str">
        <f>IFERROR(__xludf.DUMMYFUNCTION("""COMPUTED_VALUE"""),"Tech")</f>
        <v>Tech</v>
      </c>
      <c r="C2254" s="2" t="str">
        <f>IFERROR(__xludf.DUMMYFUNCTION("""COMPUTED_VALUE"""),"Career Development")</f>
        <v>Career Development</v>
      </c>
      <c r="D2254" s="2" t="str">
        <f>IFERROR(__xludf.DUMMYFUNCTION("""COMPUTED_VALUE"""),"Silvertrail Press")</f>
        <v>Silvertrail Press</v>
      </c>
      <c r="E2254" s="2">
        <f>IFERROR(__xludf.DUMMYFUNCTION("""COMPUTED_VALUE"""),2.16)</f>
        <v>2.16</v>
      </c>
      <c r="F2254" s="2"/>
      <c r="G2254" s="2"/>
      <c r="H2254" s="2"/>
      <c r="I2254" s="2"/>
    </row>
    <row r="2255">
      <c r="A2255" s="2">
        <f>IFERROR(__xludf.DUMMYFUNCTION("""COMPUTED_VALUE"""),44386.0)</f>
        <v>44386</v>
      </c>
      <c r="B2255" s="2" t="str">
        <f>IFERROR(__xludf.DUMMYFUNCTION("""COMPUTED_VALUE"""),"Tech")</f>
        <v>Tech</v>
      </c>
      <c r="C2255" s="2" t="str">
        <f>IFERROR(__xludf.DUMMYFUNCTION("""COMPUTED_VALUE"""),"Career Development")</f>
        <v>Career Development</v>
      </c>
      <c r="D2255" s="2" t="str">
        <f>IFERROR(__xludf.DUMMYFUNCTION("""COMPUTED_VALUE"""),"Silvertrail Press")</f>
        <v>Silvertrail Press</v>
      </c>
      <c r="E2255" s="2">
        <f>IFERROR(__xludf.DUMMYFUNCTION("""COMPUTED_VALUE"""),3.81)</f>
        <v>3.81</v>
      </c>
      <c r="F2255" s="2"/>
      <c r="G2255" s="2"/>
      <c r="H2255" s="2"/>
      <c r="I2255" s="2"/>
    </row>
    <row r="2256">
      <c r="A2256" s="2">
        <f>IFERROR(__xludf.DUMMYFUNCTION("""COMPUTED_VALUE"""),188156.0)</f>
        <v>188156</v>
      </c>
      <c r="B2256" s="2" t="str">
        <f>IFERROR(__xludf.DUMMYFUNCTION("""COMPUTED_VALUE"""),"Tech")</f>
        <v>Tech</v>
      </c>
      <c r="C2256" s="2" t="str">
        <f>IFERROR(__xludf.DUMMYFUNCTION("""COMPUTED_VALUE"""),"Career Development")</f>
        <v>Career Development</v>
      </c>
      <c r="D2256" s="2" t="str">
        <f>IFERROR(__xludf.DUMMYFUNCTION("""COMPUTED_VALUE"""),"Silvertrail Press")</f>
        <v>Silvertrail Press</v>
      </c>
      <c r="E2256" s="2">
        <f>IFERROR(__xludf.DUMMYFUNCTION("""COMPUTED_VALUE"""),2.92)</f>
        <v>2.92</v>
      </c>
      <c r="F2256" s="2"/>
      <c r="G2256" s="2"/>
      <c r="H2256" s="2"/>
      <c r="I2256" s="2"/>
    </row>
    <row r="2257">
      <c r="A2257" s="2">
        <f>IFERROR(__xludf.DUMMYFUNCTION("""COMPUTED_VALUE"""),7360.0)</f>
        <v>7360</v>
      </c>
      <c r="B2257" s="2" t="str">
        <f>IFERROR(__xludf.DUMMYFUNCTION("""COMPUTED_VALUE"""),"Tech")</f>
        <v>Tech</v>
      </c>
      <c r="C2257" s="2" t="str">
        <f>IFERROR(__xludf.DUMMYFUNCTION("""COMPUTED_VALUE"""),"Career Development")</f>
        <v>Career Development</v>
      </c>
      <c r="D2257" s="2" t="str">
        <f>IFERROR(__xludf.DUMMYFUNCTION("""COMPUTED_VALUE"""),"Silvertrail Press")</f>
        <v>Silvertrail Press</v>
      </c>
      <c r="E2257" s="2">
        <f>IFERROR(__xludf.DUMMYFUNCTION("""COMPUTED_VALUE"""),1.24)</f>
        <v>1.24</v>
      </c>
      <c r="F2257" s="2"/>
      <c r="G2257" s="2"/>
      <c r="H2257" s="2"/>
      <c r="I2257" s="2"/>
    </row>
    <row r="2258">
      <c r="A2258" s="2">
        <f>IFERROR(__xludf.DUMMYFUNCTION("""COMPUTED_VALUE"""),79323.0)</f>
        <v>79323</v>
      </c>
      <c r="B2258" s="2" t="str">
        <f>IFERROR(__xludf.DUMMYFUNCTION("""COMPUTED_VALUE"""),"Tech")</f>
        <v>Tech</v>
      </c>
      <c r="C2258" s="2" t="str">
        <f>IFERROR(__xludf.DUMMYFUNCTION("""COMPUTED_VALUE"""),"Career Development")</f>
        <v>Career Development</v>
      </c>
      <c r="D2258" s="2" t="str">
        <f>IFERROR(__xludf.DUMMYFUNCTION("""COMPUTED_VALUE"""),"Northtrail Publishing")</f>
        <v>Northtrail Publishing</v>
      </c>
      <c r="E2258" s="2">
        <f>IFERROR(__xludf.DUMMYFUNCTION("""COMPUTED_VALUE"""),4.92)</f>
        <v>4.92</v>
      </c>
      <c r="F2258" s="2"/>
      <c r="G2258" s="2"/>
      <c r="H2258" s="2"/>
      <c r="I2258" s="2"/>
    </row>
    <row r="2259">
      <c r="A2259" s="2">
        <f>IFERROR(__xludf.DUMMYFUNCTION("""COMPUTED_VALUE"""),72015.0)</f>
        <v>72015</v>
      </c>
      <c r="B2259" s="2" t="str">
        <f>IFERROR(__xludf.DUMMYFUNCTION("""COMPUTED_VALUE"""),"Tech")</f>
        <v>Tech</v>
      </c>
      <c r="C2259" s="2" t="str">
        <f>IFERROR(__xludf.DUMMYFUNCTION("""COMPUTED_VALUE"""),"Career Development")</f>
        <v>Career Development</v>
      </c>
      <c r="D2259" s="2" t="str">
        <f>IFERROR(__xludf.DUMMYFUNCTION("""COMPUTED_VALUE"""),"Northtrail Publishing")</f>
        <v>Northtrail Publishing</v>
      </c>
      <c r="E2259" s="2">
        <f>IFERROR(__xludf.DUMMYFUNCTION("""COMPUTED_VALUE"""),2.25)</f>
        <v>2.25</v>
      </c>
      <c r="F2259" s="2"/>
      <c r="G2259" s="2"/>
      <c r="H2259" s="2"/>
      <c r="I2259" s="2"/>
    </row>
    <row r="2260">
      <c r="A2260" s="2">
        <f>IFERROR(__xludf.DUMMYFUNCTION("""COMPUTED_VALUE"""),44310.0)</f>
        <v>44310</v>
      </c>
      <c r="B2260" s="2" t="str">
        <f>IFERROR(__xludf.DUMMYFUNCTION("""COMPUTED_VALUE"""),"Tech")</f>
        <v>Tech</v>
      </c>
      <c r="C2260" s="2" t="str">
        <f>IFERROR(__xludf.DUMMYFUNCTION("""COMPUTED_VALUE"""),"Career Development")</f>
        <v>Career Development</v>
      </c>
      <c r="D2260" s="2" t="str">
        <f>IFERROR(__xludf.DUMMYFUNCTION("""COMPUTED_VALUE"""),"Northtrail Publishing")</f>
        <v>Northtrail Publishing</v>
      </c>
      <c r="E2260" s="2">
        <f>IFERROR(__xludf.DUMMYFUNCTION("""COMPUTED_VALUE"""),3.46)</f>
        <v>3.46</v>
      </c>
      <c r="F2260" s="2"/>
      <c r="G2260" s="2"/>
      <c r="H2260" s="2"/>
      <c r="I2260" s="2"/>
    </row>
    <row r="2261">
      <c r="A2261" s="2">
        <f>IFERROR(__xludf.DUMMYFUNCTION("""COMPUTED_VALUE"""),77044.0)</f>
        <v>77044</v>
      </c>
      <c r="B2261" s="2" t="str">
        <f>IFERROR(__xludf.DUMMYFUNCTION("""COMPUTED_VALUE"""),"Tech")</f>
        <v>Tech</v>
      </c>
      <c r="C2261" s="2" t="str">
        <f>IFERROR(__xludf.DUMMYFUNCTION("""COMPUTED_VALUE"""),"Career Development")</f>
        <v>Career Development</v>
      </c>
      <c r="D2261" s="2" t="str">
        <f>IFERROR(__xludf.DUMMYFUNCTION("""COMPUTED_VALUE"""),"Northtrail Publishing")</f>
        <v>Northtrail Publishing</v>
      </c>
      <c r="E2261" s="2">
        <f>IFERROR(__xludf.DUMMYFUNCTION("""COMPUTED_VALUE"""),6.59)</f>
        <v>6.59</v>
      </c>
      <c r="F2261" s="2"/>
      <c r="G2261" s="2"/>
      <c r="H2261" s="2"/>
      <c r="I2261" s="2"/>
    </row>
    <row r="2262">
      <c r="A2262" s="2">
        <f>IFERROR(__xludf.DUMMYFUNCTION("""COMPUTED_VALUE"""),120636.0)</f>
        <v>120636</v>
      </c>
      <c r="B2262" s="2" t="str">
        <f>IFERROR(__xludf.DUMMYFUNCTION("""COMPUTED_VALUE"""),"Tech")</f>
        <v>Tech</v>
      </c>
      <c r="C2262" s="2" t="str">
        <f>IFERROR(__xludf.DUMMYFUNCTION("""COMPUTED_VALUE"""),"Career Development")</f>
        <v>Career Development</v>
      </c>
      <c r="D2262" s="2" t="str">
        <f>IFERROR(__xludf.DUMMYFUNCTION("""COMPUTED_VALUE"""),"Northtrail Publishing")</f>
        <v>Northtrail Publishing</v>
      </c>
      <c r="E2262" s="2">
        <f>IFERROR(__xludf.DUMMYFUNCTION("""COMPUTED_VALUE"""),5.54)</f>
        <v>5.54</v>
      </c>
      <c r="F2262" s="2"/>
      <c r="G2262" s="2"/>
      <c r="H2262" s="2"/>
      <c r="I2262" s="2"/>
    </row>
    <row r="2263">
      <c r="A2263" s="2">
        <f>IFERROR(__xludf.DUMMYFUNCTION("""COMPUTED_VALUE"""),92662.0)</f>
        <v>92662</v>
      </c>
      <c r="B2263" s="2" t="str">
        <f>IFERROR(__xludf.DUMMYFUNCTION("""COMPUTED_VALUE"""),"Tech")</f>
        <v>Tech</v>
      </c>
      <c r="C2263" s="2" t="str">
        <f>IFERROR(__xludf.DUMMYFUNCTION("""COMPUTED_VALUE"""),"Career Development")</f>
        <v>Career Development</v>
      </c>
      <c r="D2263" s="2" t="str">
        <f>IFERROR(__xludf.DUMMYFUNCTION("""COMPUTED_VALUE"""),"Northtrail Publishing")</f>
        <v>Northtrail Publishing</v>
      </c>
      <c r="E2263" s="2">
        <f>IFERROR(__xludf.DUMMYFUNCTION("""COMPUTED_VALUE"""),3.34)</f>
        <v>3.34</v>
      </c>
      <c r="F2263" s="2"/>
      <c r="G2263" s="2"/>
      <c r="H2263" s="2"/>
      <c r="I2263" s="2"/>
    </row>
    <row r="2264">
      <c r="A2264" s="2">
        <f>IFERROR(__xludf.DUMMYFUNCTION("""COMPUTED_VALUE"""),117263.0)</f>
        <v>117263</v>
      </c>
      <c r="B2264" s="2" t="str">
        <f>IFERROR(__xludf.DUMMYFUNCTION("""COMPUTED_VALUE"""),"Tech")</f>
        <v>Tech</v>
      </c>
      <c r="C2264" s="2" t="str">
        <f>IFERROR(__xludf.DUMMYFUNCTION("""COMPUTED_VALUE"""),"Career Development")</f>
        <v>Career Development</v>
      </c>
      <c r="D2264" s="2" t="str">
        <f>IFERROR(__xludf.DUMMYFUNCTION("""COMPUTED_VALUE"""),"Harbortrail Books")</f>
        <v>Harbortrail Books</v>
      </c>
      <c r="E2264" s="2">
        <f>IFERROR(__xludf.DUMMYFUNCTION("""COMPUTED_VALUE"""),3.4)</f>
        <v>3.4</v>
      </c>
      <c r="F2264" s="2"/>
      <c r="G2264" s="2"/>
      <c r="H2264" s="2"/>
      <c r="I2264" s="2"/>
    </row>
    <row r="2265">
      <c r="A2265" s="2">
        <f>IFERROR(__xludf.DUMMYFUNCTION("""COMPUTED_VALUE"""),117261.0)</f>
        <v>117261</v>
      </c>
      <c r="B2265" s="2" t="str">
        <f>IFERROR(__xludf.DUMMYFUNCTION("""COMPUTED_VALUE"""),"Tech")</f>
        <v>Tech</v>
      </c>
      <c r="C2265" s="2" t="str">
        <f>IFERROR(__xludf.DUMMYFUNCTION("""COMPUTED_VALUE"""),"Career Development")</f>
        <v>Career Development</v>
      </c>
      <c r="D2265" s="2" t="str">
        <f>IFERROR(__xludf.DUMMYFUNCTION("""COMPUTED_VALUE"""),"Harbortrail Books")</f>
        <v>Harbortrail Books</v>
      </c>
      <c r="E2265" s="2">
        <f>IFERROR(__xludf.DUMMYFUNCTION("""COMPUTED_VALUE"""),3.63)</f>
        <v>3.63</v>
      </c>
      <c r="F2265" s="2"/>
      <c r="G2265" s="2"/>
      <c r="H2265" s="2"/>
      <c r="I2265" s="2"/>
    </row>
    <row r="2266">
      <c r="A2266" s="2">
        <f>IFERROR(__xludf.DUMMYFUNCTION("""COMPUTED_VALUE"""),10644.0)</f>
        <v>10644</v>
      </c>
      <c r="B2266" s="2" t="str">
        <f>IFERROR(__xludf.DUMMYFUNCTION("""COMPUTED_VALUE"""),"Tech")</f>
        <v>Tech</v>
      </c>
      <c r="C2266" s="2" t="str">
        <f>IFERROR(__xludf.DUMMYFUNCTION("""COMPUTED_VALUE"""),"Career Development")</f>
        <v>Career Development</v>
      </c>
      <c r="D2266" s="2" t="str">
        <f>IFERROR(__xludf.DUMMYFUNCTION("""COMPUTED_VALUE"""),"Harbortrail Books")</f>
        <v>Harbortrail Books</v>
      </c>
      <c r="E2266" s="2">
        <f>IFERROR(__xludf.DUMMYFUNCTION("""COMPUTED_VALUE"""),13.75)</f>
        <v>13.75</v>
      </c>
      <c r="F2266" s="2"/>
      <c r="G2266" s="2"/>
      <c r="H2266" s="2"/>
      <c r="I2266" s="2"/>
    </row>
    <row r="2267">
      <c r="A2267" s="2">
        <f>IFERROR(__xludf.DUMMYFUNCTION("""COMPUTED_VALUE"""),102457.0)</f>
        <v>102457</v>
      </c>
      <c r="B2267" s="2" t="str">
        <f>IFERROR(__xludf.DUMMYFUNCTION("""COMPUTED_VALUE"""),"Tech")</f>
        <v>Tech</v>
      </c>
      <c r="C2267" s="2" t="str">
        <f>IFERROR(__xludf.DUMMYFUNCTION("""COMPUTED_VALUE"""),"Career Development")</f>
        <v>Career Development</v>
      </c>
      <c r="D2267" s="2" t="str">
        <f>IFERROR(__xludf.DUMMYFUNCTION("""COMPUTED_VALUE"""),"Cedartrail Press")</f>
        <v>Cedartrail Press</v>
      </c>
      <c r="E2267" s="2">
        <f>IFERROR(__xludf.DUMMYFUNCTION("""COMPUTED_VALUE"""),2.83)</f>
        <v>2.83</v>
      </c>
      <c r="F2267" s="2"/>
      <c r="G2267" s="2"/>
      <c r="H2267" s="2"/>
      <c r="I2267" s="2"/>
    </row>
    <row r="2268">
      <c r="A2268" s="2">
        <f>IFERROR(__xludf.DUMMYFUNCTION("""COMPUTED_VALUE"""),117419.0)</f>
        <v>117419</v>
      </c>
      <c r="B2268" s="2" t="str">
        <f>IFERROR(__xludf.DUMMYFUNCTION("""COMPUTED_VALUE"""),"Tech")</f>
        <v>Tech</v>
      </c>
      <c r="C2268" s="2" t="str">
        <f>IFERROR(__xludf.DUMMYFUNCTION("""COMPUTED_VALUE"""),"Career Development")</f>
        <v>Career Development</v>
      </c>
      <c r="D2268" s="2" t="str">
        <f>IFERROR(__xludf.DUMMYFUNCTION("""COMPUTED_VALUE"""),"Cedartrail Press")</f>
        <v>Cedartrail Press</v>
      </c>
      <c r="E2268" s="2">
        <f>IFERROR(__xludf.DUMMYFUNCTION("""COMPUTED_VALUE"""),7.3)</f>
        <v>7.3</v>
      </c>
      <c r="F2268" s="2"/>
      <c r="G2268" s="2"/>
      <c r="H2268" s="2"/>
      <c r="I2268" s="2"/>
    </row>
    <row r="2269">
      <c r="A2269" s="2">
        <f>IFERROR(__xludf.DUMMYFUNCTION("""COMPUTED_VALUE"""),150939.0)</f>
        <v>150939</v>
      </c>
      <c r="B2269" s="2" t="str">
        <f>IFERROR(__xludf.DUMMYFUNCTION("""COMPUTED_VALUE"""),"Tech")</f>
        <v>Tech</v>
      </c>
      <c r="C2269" s="2" t="str">
        <f>IFERROR(__xludf.DUMMYFUNCTION("""COMPUTED_VALUE"""),"Career Development")</f>
        <v>Career Development</v>
      </c>
      <c r="D2269" s="2" t="str">
        <f>IFERROR(__xludf.DUMMYFUNCTION("""COMPUTED_VALUE"""),"Cedartrail Press")</f>
        <v>Cedartrail Press</v>
      </c>
      <c r="E2269" s="2">
        <f>IFERROR(__xludf.DUMMYFUNCTION("""COMPUTED_VALUE"""),6.71)</f>
        <v>6.71</v>
      </c>
      <c r="F2269" s="2"/>
      <c r="G2269" s="2"/>
      <c r="H2269" s="2"/>
      <c r="I2269" s="2"/>
    </row>
    <row r="2270">
      <c r="A2270" s="2">
        <f>IFERROR(__xludf.DUMMYFUNCTION("""COMPUTED_VALUE"""),10517.0)</f>
        <v>10517</v>
      </c>
      <c r="B2270" s="2" t="str">
        <f>IFERROR(__xludf.DUMMYFUNCTION("""COMPUTED_VALUE"""),"Tech")</f>
        <v>Tech</v>
      </c>
      <c r="C2270" s="2" t="str">
        <f>IFERROR(__xludf.DUMMYFUNCTION("""COMPUTED_VALUE"""),"Career Development")</f>
        <v>Career Development</v>
      </c>
      <c r="D2270" s="2" t="str">
        <f>IFERROR(__xludf.DUMMYFUNCTION("""COMPUTED_VALUE"""),"Cedartrail Press")</f>
        <v>Cedartrail Press</v>
      </c>
      <c r="E2270" s="2">
        <f>IFERROR(__xludf.DUMMYFUNCTION("""COMPUTED_VALUE"""),4.36)</f>
        <v>4.36</v>
      </c>
      <c r="F2270" s="2"/>
      <c r="G2270" s="2"/>
      <c r="H2270" s="2"/>
      <c r="I2270" s="2"/>
    </row>
    <row r="2271">
      <c r="A2271" s="2">
        <f>IFERROR(__xludf.DUMMYFUNCTION("""COMPUTED_VALUE"""),79109.0)</f>
        <v>79109</v>
      </c>
      <c r="B2271" s="2" t="str">
        <f>IFERROR(__xludf.DUMMYFUNCTION("""COMPUTED_VALUE"""),"Tech")</f>
        <v>Tech</v>
      </c>
      <c r="C2271" s="2" t="str">
        <f>IFERROR(__xludf.DUMMYFUNCTION("""COMPUTED_VALUE"""),"Career Development")</f>
        <v>Career Development</v>
      </c>
      <c r="D2271" s="2" t="str">
        <f>IFERROR(__xludf.DUMMYFUNCTION("""COMPUTED_VALUE"""),"Cedartrail Press")</f>
        <v>Cedartrail Press</v>
      </c>
      <c r="E2271" s="2">
        <f>IFERROR(__xludf.DUMMYFUNCTION("""COMPUTED_VALUE"""),2.25)</f>
        <v>2.25</v>
      </c>
      <c r="F2271" s="2"/>
      <c r="G2271" s="2"/>
      <c r="H2271" s="2"/>
      <c r="I2271" s="2"/>
    </row>
    <row r="2272">
      <c r="A2272" s="2">
        <f>IFERROR(__xludf.DUMMYFUNCTION("""COMPUTED_VALUE"""),118918.0)</f>
        <v>118918</v>
      </c>
      <c r="B2272" s="2" t="str">
        <f>IFERROR(__xludf.DUMMYFUNCTION("""COMPUTED_VALUE"""),"Tech")</f>
        <v>Tech</v>
      </c>
      <c r="C2272" s="2" t="str">
        <f>IFERROR(__xludf.DUMMYFUNCTION("""COMPUTED_VALUE"""),"Career Development")</f>
        <v>Career Development</v>
      </c>
      <c r="D2272" s="2" t="str">
        <f>IFERROR(__xludf.DUMMYFUNCTION("""COMPUTED_VALUE"""),"Cedartrail Press")</f>
        <v>Cedartrail Press</v>
      </c>
      <c r="E2272" s="2">
        <f>IFERROR(__xludf.DUMMYFUNCTION("""COMPUTED_VALUE"""),4.32)</f>
        <v>4.32</v>
      </c>
      <c r="F2272" s="2"/>
      <c r="G2272" s="2"/>
      <c r="H2272" s="2"/>
      <c r="I2272" s="2"/>
    </row>
    <row r="2273">
      <c r="A2273" s="2">
        <f>IFERROR(__xludf.DUMMYFUNCTION("""COMPUTED_VALUE"""),102456.0)</f>
        <v>102456</v>
      </c>
      <c r="B2273" s="2" t="str">
        <f>IFERROR(__xludf.DUMMYFUNCTION("""COMPUTED_VALUE"""),"Tech")</f>
        <v>Tech</v>
      </c>
      <c r="C2273" s="2" t="str">
        <f>IFERROR(__xludf.DUMMYFUNCTION("""COMPUTED_VALUE"""),"Career Development")</f>
        <v>Career Development</v>
      </c>
      <c r="D2273" s="2" t="str">
        <f>IFERROR(__xludf.DUMMYFUNCTION("""COMPUTED_VALUE"""),"Cedartrail Press")</f>
        <v>Cedartrail Press</v>
      </c>
      <c r="E2273" s="2">
        <f>IFERROR(__xludf.DUMMYFUNCTION("""COMPUTED_VALUE"""),2.65)</f>
        <v>2.65</v>
      </c>
      <c r="F2273" s="2"/>
      <c r="G2273" s="2"/>
      <c r="H2273" s="2"/>
      <c r="I2273" s="2"/>
    </row>
    <row r="2274">
      <c r="A2274" s="2">
        <f>IFERROR(__xludf.DUMMYFUNCTION("""COMPUTED_VALUE"""),155865.0)</f>
        <v>155865</v>
      </c>
      <c r="B2274" s="2" t="str">
        <f>IFERROR(__xludf.DUMMYFUNCTION("""COMPUTED_VALUE"""),"Tech")</f>
        <v>Tech</v>
      </c>
      <c r="C2274" s="2" t="str">
        <f>IFERROR(__xludf.DUMMYFUNCTION("""COMPUTED_VALUE"""),"Career Development")</f>
        <v>Career Development</v>
      </c>
      <c r="D2274" s="2" t="str">
        <f>IFERROR(__xludf.DUMMYFUNCTION("""COMPUTED_VALUE"""),"Cedartrail Press")</f>
        <v>Cedartrail Press</v>
      </c>
      <c r="E2274" s="2">
        <f>IFERROR(__xludf.DUMMYFUNCTION("""COMPUTED_VALUE"""),15.42)</f>
        <v>15.42</v>
      </c>
      <c r="F2274" s="2"/>
      <c r="G2274" s="2"/>
      <c r="H2274" s="2"/>
      <c r="I2274" s="2"/>
    </row>
    <row r="2275">
      <c r="A2275" s="2">
        <f>IFERROR(__xludf.DUMMYFUNCTION("""COMPUTED_VALUE"""),100443.0)</f>
        <v>100443</v>
      </c>
      <c r="B2275" s="2" t="str">
        <f>IFERROR(__xludf.DUMMYFUNCTION("""COMPUTED_VALUE"""),"Tech")</f>
        <v>Tech</v>
      </c>
      <c r="C2275" s="2" t="str">
        <f>IFERROR(__xludf.DUMMYFUNCTION("""COMPUTED_VALUE"""),"Career Development")</f>
        <v>Career Development</v>
      </c>
      <c r="D2275" s="2" t="str">
        <f>IFERROR(__xludf.DUMMYFUNCTION("""COMPUTED_VALUE"""),"Cedartrail Press")</f>
        <v>Cedartrail Press</v>
      </c>
      <c r="E2275" s="2">
        <f>IFERROR(__xludf.DUMMYFUNCTION("""COMPUTED_VALUE"""),5.52)</f>
        <v>5.52</v>
      </c>
      <c r="F2275" s="2"/>
      <c r="G2275" s="2"/>
      <c r="H2275" s="2"/>
      <c r="I2275" s="2"/>
    </row>
    <row r="2276">
      <c r="A2276" s="2">
        <f>IFERROR(__xludf.DUMMYFUNCTION("""COMPUTED_VALUE"""),93833.0)</f>
        <v>93833</v>
      </c>
      <c r="B2276" s="2" t="str">
        <f>IFERROR(__xludf.DUMMYFUNCTION("""COMPUTED_VALUE"""),"Tech")</f>
        <v>Tech</v>
      </c>
      <c r="C2276" s="2" t="str">
        <f>IFERROR(__xludf.DUMMYFUNCTION("""COMPUTED_VALUE"""),"Career Development")</f>
        <v>Career Development</v>
      </c>
      <c r="D2276" s="2" t="str">
        <f>IFERROR(__xludf.DUMMYFUNCTION("""COMPUTED_VALUE"""),"Cedartrail Press")</f>
        <v>Cedartrail Press</v>
      </c>
      <c r="E2276" s="2">
        <f>IFERROR(__xludf.DUMMYFUNCTION("""COMPUTED_VALUE"""),3.25)</f>
        <v>3.25</v>
      </c>
      <c r="F2276" s="2"/>
      <c r="G2276" s="2"/>
      <c r="H2276" s="2"/>
      <c r="I2276" s="2"/>
    </row>
    <row r="2277">
      <c r="A2277" s="2">
        <f>IFERROR(__xludf.DUMMYFUNCTION("""COMPUTED_VALUE"""),76693.0)</f>
        <v>76693</v>
      </c>
      <c r="B2277" s="2" t="str">
        <f>IFERROR(__xludf.DUMMYFUNCTION("""COMPUTED_VALUE"""),"Tech")</f>
        <v>Tech</v>
      </c>
      <c r="C2277" s="2" t="str">
        <f>IFERROR(__xludf.DUMMYFUNCTION("""COMPUTED_VALUE"""),"Career Development")</f>
        <v>Career Development</v>
      </c>
      <c r="D2277" s="2" t="str">
        <f>IFERROR(__xludf.DUMMYFUNCTION("""COMPUTED_VALUE"""),"Cedartrail Press")</f>
        <v>Cedartrail Press</v>
      </c>
      <c r="E2277" s="2">
        <f>IFERROR(__xludf.DUMMYFUNCTION("""COMPUTED_VALUE"""),6.56)</f>
        <v>6.56</v>
      </c>
      <c r="F2277" s="2"/>
      <c r="G2277" s="2"/>
      <c r="H2277" s="2"/>
      <c r="I2277" s="2"/>
    </row>
    <row r="2278">
      <c r="A2278" s="2">
        <f>IFERROR(__xludf.DUMMYFUNCTION("""COMPUTED_VALUE"""),100441.0)</f>
        <v>100441</v>
      </c>
      <c r="B2278" s="2" t="str">
        <f>IFERROR(__xludf.DUMMYFUNCTION("""COMPUTED_VALUE"""),"Tech")</f>
        <v>Tech</v>
      </c>
      <c r="C2278" s="2" t="str">
        <f>IFERROR(__xludf.DUMMYFUNCTION("""COMPUTED_VALUE"""),"Career Development")</f>
        <v>Career Development</v>
      </c>
      <c r="D2278" s="2" t="str">
        <f>IFERROR(__xludf.DUMMYFUNCTION("""COMPUTED_VALUE"""),"Cedartrail Press")</f>
        <v>Cedartrail Press</v>
      </c>
      <c r="E2278" s="2">
        <f>IFERROR(__xludf.DUMMYFUNCTION("""COMPUTED_VALUE"""),5.81)</f>
        <v>5.81</v>
      </c>
      <c r="F2278" s="2"/>
      <c r="G2278" s="2"/>
      <c r="H2278" s="2"/>
      <c r="I2278" s="2"/>
    </row>
    <row r="2279">
      <c r="A2279" s="2">
        <f>IFERROR(__xludf.DUMMYFUNCTION("""COMPUTED_VALUE"""),103230.0)</f>
        <v>103230</v>
      </c>
      <c r="B2279" s="2" t="str">
        <f>IFERROR(__xludf.DUMMYFUNCTION("""COMPUTED_VALUE"""),"Tech")</f>
        <v>Tech</v>
      </c>
      <c r="C2279" s="2" t="str">
        <f>IFERROR(__xludf.DUMMYFUNCTION("""COMPUTED_VALUE"""),"Career Development")</f>
        <v>Career Development</v>
      </c>
      <c r="D2279" s="2" t="str">
        <f>IFERROR(__xludf.DUMMYFUNCTION("""COMPUTED_VALUE"""),"Cedartrail Press")</f>
        <v>Cedartrail Press</v>
      </c>
      <c r="E2279" s="2">
        <f>IFERROR(__xludf.DUMMYFUNCTION("""COMPUTED_VALUE"""),6.21)</f>
        <v>6.21</v>
      </c>
      <c r="F2279" s="2"/>
      <c r="G2279" s="2"/>
      <c r="H2279" s="2"/>
      <c r="I2279" s="2"/>
    </row>
    <row r="2280">
      <c r="A2280" s="2">
        <f>IFERROR(__xludf.DUMMYFUNCTION("""COMPUTED_VALUE"""),117902.0)</f>
        <v>117902</v>
      </c>
      <c r="B2280" s="2" t="str">
        <f>IFERROR(__xludf.DUMMYFUNCTION("""COMPUTED_VALUE"""),"Fiction")</f>
        <v>Fiction</v>
      </c>
      <c r="C2280" s="2" t="str">
        <f>IFERROR(__xludf.DUMMYFUNCTION("""COMPUTED_VALUE"""),"Life Planning")</f>
        <v>Life Planning</v>
      </c>
      <c r="D2280" s="2" t="str">
        <f>IFERROR(__xludf.DUMMYFUNCTION("""COMPUTED_VALUE"""),"Brighttrail Publishing")</f>
        <v>Brighttrail Publishing</v>
      </c>
      <c r="E2280" s="2">
        <f>IFERROR(__xludf.DUMMYFUNCTION("""COMPUTED_VALUE"""),8.2)</f>
        <v>8.2</v>
      </c>
      <c r="F2280" s="2"/>
      <c r="G2280" s="2"/>
      <c r="H2280" s="2"/>
      <c r="I2280" s="2"/>
    </row>
    <row r="2281">
      <c r="A2281" s="2">
        <f>IFERROR(__xludf.DUMMYFUNCTION("""COMPUTED_VALUE"""),105745.0)</f>
        <v>105745</v>
      </c>
      <c r="B2281" s="2" t="str">
        <f>IFERROR(__xludf.DUMMYFUNCTION("""COMPUTED_VALUE"""),"Fiction")</f>
        <v>Fiction</v>
      </c>
      <c r="C2281" s="2" t="str">
        <f>IFERROR(__xludf.DUMMYFUNCTION("""COMPUTED_VALUE"""),"Life Planning")</f>
        <v>Life Planning</v>
      </c>
      <c r="D2281" s="2" t="str">
        <f>IFERROR(__xludf.DUMMYFUNCTION("""COMPUTED_VALUE"""),"Oaktrail Books")</f>
        <v>Oaktrail Books</v>
      </c>
      <c r="E2281" s="2">
        <f>IFERROR(__xludf.DUMMYFUNCTION("""COMPUTED_VALUE"""),1.4)</f>
        <v>1.4</v>
      </c>
      <c r="F2281" s="2"/>
      <c r="G2281" s="2"/>
      <c r="H2281" s="2"/>
      <c r="I2281" s="2"/>
    </row>
    <row r="2282">
      <c r="A2282" s="2">
        <f>IFERROR(__xludf.DUMMYFUNCTION("""COMPUTED_VALUE"""),100811.0)</f>
        <v>100811</v>
      </c>
      <c r="B2282" s="2" t="str">
        <f>IFERROR(__xludf.DUMMYFUNCTION("""COMPUTED_VALUE"""),"Fiction")</f>
        <v>Fiction</v>
      </c>
      <c r="C2282" s="2" t="str">
        <f>IFERROR(__xludf.DUMMYFUNCTION("""COMPUTED_VALUE"""),"Life Planning")</f>
        <v>Life Planning</v>
      </c>
      <c r="D2282" s="2" t="str">
        <f>IFERROR(__xludf.DUMMYFUNCTION("""COMPUTED_VALUE"""),"Oaktrail Books")</f>
        <v>Oaktrail Books</v>
      </c>
      <c r="E2282" s="2">
        <f>IFERROR(__xludf.DUMMYFUNCTION("""COMPUTED_VALUE"""),5.87)</f>
        <v>5.87</v>
      </c>
      <c r="F2282" s="2"/>
      <c r="G2282" s="2"/>
      <c r="H2282" s="2"/>
      <c r="I2282" s="2"/>
    </row>
    <row r="2283">
      <c r="A2283" s="2">
        <f>IFERROR(__xludf.DUMMYFUNCTION("""COMPUTED_VALUE"""),102505.0)</f>
        <v>102505</v>
      </c>
      <c r="B2283" s="2" t="str">
        <f>IFERROR(__xludf.DUMMYFUNCTION("""COMPUTED_VALUE"""),"Fiction")</f>
        <v>Fiction</v>
      </c>
      <c r="C2283" s="2" t="str">
        <f>IFERROR(__xludf.DUMMYFUNCTION("""COMPUTED_VALUE"""),"Life Planning")</f>
        <v>Life Planning</v>
      </c>
      <c r="D2283" s="2" t="str">
        <f>IFERROR(__xludf.DUMMYFUNCTION("""COMPUTED_VALUE"""),"Rivertrail Press")</f>
        <v>Rivertrail Press</v>
      </c>
      <c r="E2283" s="2">
        <f>IFERROR(__xludf.DUMMYFUNCTION("""COMPUTED_VALUE"""),4.18)</f>
        <v>4.18</v>
      </c>
      <c r="F2283" s="2"/>
      <c r="G2283" s="2"/>
      <c r="H2283" s="2"/>
      <c r="I2283" s="2"/>
    </row>
    <row r="2284">
      <c r="A2284" s="2">
        <f>IFERROR(__xludf.DUMMYFUNCTION("""COMPUTED_VALUE"""),121317.0)</f>
        <v>121317</v>
      </c>
      <c r="B2284" s="2" t="str">
        <f>IFERROR(__xludf.DUMMYFUNCTION("""COMPUTED_VALUE"""),"Fiction")</f>
        <v>Fiction</v>
      </c>
      <c r="C2284" s="2" t="str">
        <f>IFERROR(__xludf.DUMMYFUNCTION("""COMPUTED_VALUE"""),"Life Planning")</f>
        <v>Life Planning</v>
      </c>
      <c r="D2284" s="2" t="str">
        <f>IFERROR(__xludf.DUMMYFUNCTION("""COMPUTED_VALUE"""),"Rivertrail Press")</f>
        <v>Rivertrail Press</v>
      </c>
      <c r="E2284" s="2">
        <f>IFERROR(__xludf.DUMMYFUNCTION("""COMPUTED_VALUE"""),2.12)</f>
        <v>2.12</v>
      </c>
      <c r="F2284" s="2"/>
      <c r="G2284" s="2"/>
      <c r="H2284" s="2"/>
      <c r="I2284" s="2"/>
    </row>
    <row r="2285">
      <c r="A2285" s="2">
        <f>IFERROR(__xludf.DUMMYFUNCTION("""COMPUTED_VALUE"""),121318.0)</f>
        <v>121318</v>
      </c>
      <c r="B2285" s="2" t="str">
        <f>IFERROR(__xludf.DUMMYFUNCTION("""COMPUTED_VALUE"""),"Fiction")</f>
        <v>Fiction</v>
      </c>
      <c r="C2285" s="2" t="str">
        <f>IFERROR(__xludf.DUMMYFUNCTION("""COMPUTED_VALUE"""),"Life Planning")</f>
        <v>Life Planning</v>
      </c>
      <c r="D2285" s="2" t="str">
        <f>IFERROR(__xludf.DUMMYFUNCTION("""COMPUTED_VALUE"""),"Rivertrail Press")</f>
        <v>Rivertrail Press</v>
      </c>
      <c r="E2285" s="2">
        <f>IFERROR(__xludf.DUMMYFUNCTION("""COMPUTED_VALUE"""),2.27)</f>
        <v>2.27</v>
      </c>
      <c r="F2285" s="2"/>
      <c r="G2285" s="2"/>
      <c r="H2285" s="2"/>
      <c r="I2285" s="2"/>
    </row>
    <row r="2286">
      <c r="A2286" s="2">
        <f>IFERROR(__xludf.DUMMYFUNCTION("""COMPUTED_VALUE"""),95155.0)</f>
        <v>95155</v>
      </c>
      <c r="B2286" s="2" t="str">
        <f>IFERROR(__xludf.DUMMYFUNCTION("""COMPUTED_VALUE"""),"Fiction")</f>
        <v>Fiction</v>
      </c>
      <c r="C2286" s="2" t="str">
        <f>IFERROR(__xludf.DUMMYFUNCTION("""COMPUTED_VALUE"""),"Life Planning")</f>
        <v>Life Planning</v>
      </c>
      <c r="D2286" s="2" t="str">
        <f>IFERROR(__xludf.DUMMYFUNCTION("""COMPUTED_VALUE"""),"Irontrail Publishing")</f>
        <v>Irontrail Publishing</v>
      </c>
      <c r="E2286" s="2">
        <f>IFERROR(__xludf.DUMMYFUNCTION("""COMPUTED_VALUE"""),1.29)</f>
        <v>1.29</v>
      </c>
      <c r="F2286" s="2"/>
      <c r="G2286" s="2"/>
      <c r="H2286" s="2"/>
      <c r="I2286" s="2"/>
    </row>
    <row r="2287">
      <c r="A2287" s="2">
        <f>IFERROR(__xludf.DUMMYFUNCTION("""COMPUTED_VALUE"""),25199.0)</f>
        <v>25199</v>
      </c>
      <c r="B2287" s="2" t="str">
        <f>IFERROR(__xludf.DUMMYFUNCTION("""COMPUTED_VALUE"""),"Fiction")</f>
        <v>Fiction</v>
      </c>
      <c r="C2287" s="2" t="str">
        <f>IFERROR(__xludf.DUMMYFUNCTION("""COMPUTED_VALUE"""),"Life Planning")</f>
        <v>Life Planning</v>
      </c>
      <c r="D2287" s="2" t="str">
        <f>IFERROR(__xludf.DUMMYFUNCTION("""COMPUTED_VALUE"""),"Irontrail Publishing")</f>
        <v>Irontrail Publishing</v>
      </c>
      <c r="E2287" s="2">
        <f>IFERROR(__xludf.DUMMYFUNCTION("""COMPUTED_VALUE"""),1.77)</f>
        <v>1.77</v>
      </c>
      <c r="F2287" s="2"/>
      <c r="G2287" s="2"/>
      <c r="H2287" s="2"/>
      <c r="I2287" s="2"/>
    </row>
    <row r="2288">
      <c r="A2288" s="2">
        <f>IFERROR(__xludf.DUMMYFUNCTION("""COMPUTED_VALUE"""),156020.0)</f>
        <v>156020</v>
      </c>
      <c r="B2288" s="2" t="str">
        <f>IFERROR(__xludf.DUMMYFUNCTION("""COMPUTED_VALUE"""),"Fiction")</f>
        <v>Fiction</v>
      </c>
      <c r="C2288" s="2" t="str">
        <f>IFERROR(__xludf.DUMMYFUNCTION("""COMPUTED_VALUE"""),"Life Planning")</f>
        <v>Life Planning</v>
      </c>
      <c r="D2288" s="2" t="str">
        <f>IFERROR(__xludf.DUMMYFUNCTION("""COMPUTED_VALUE"""),"Irontrail Publishing")</f>
        <v>Irontrail Publishing</v>
      </c>
      <c r="E2288" s="2">
        <f>IFERROR(__xludf.DUMMYFUNCTION("""COMPUTED_VALUE"""),5.94)</f>
        <v>5.94</v>
      </c>
      <c r="F2288" s="2"/>
      <c r="G2288" s="2"/>
      <c r="H2288" s="2"/>
      <c r="I2288" s="2"/>
    </row>
    <row r="2289">
      <c r="A2289" s="2">
        <f>IFERROR(__xludf.DUMMYFUNCTION("""COMPUTED_VALUE"""),28587.0)</f>
        <v>28587</v>
      </c>
      <c r="B2289" s="2" t="str">
        <f>IFERROR(__xludf.DUMMYFUNCTION("""COMPUTED_VALUE"""),"Fiction")</f>
        <v>Fiction</v>
      </c>
      <c r="C2289" s="2" t="str">
        <f>IFERROR(__xludf.DUMMYFUNCTION("""COMPUTED_VALUE"""),"Life Planning")</f>
        <v>Life Planning</v>
      </c>
      <c r="D2289" s="2" t="str">
        <f>IFERROR(__xludf.DUMMYFUNCTION("""COMPUTED_VALUE"""),"Irontrail Publishing")</f>
        <v>Irontrail Publishing</v>
      </c>
      <c r="E2289" s="2">
        <f>IFERROR(__xludf.DUMMYFUNCTION("""COMPUTED_VALUE"""),1.82)</f>
        <v>1.82</v>
      </c>
      <c r="F2289" s="2"/>
      <c r="G2289" s="2"/>
      <c r="H2289" s="2"/>
      <c r="I2289" s="2"/>
    </row>
    <row r="2290">
      <c r="A2290" s="2">
        <f>IFERROR(__xludf.DUMMYFUNCTION("""COMPUTED_VALUE"""),16050.0)</f>
        <v>16050</v>
      </c>
      <c r="B2290" s="2" t="str">
        <f>IFERROR(__xludf.DUMMYFUNCTION("""COMPUTED_VALUE"""),"Fiction")</f>
        <v>Fiction</v>
      </c>
      <c r="C2290" s="2" t="str">
        <f>IFERROR(__xludf.DUMMYFUNCTION("""COMPUTED_VALUE"""),"Life Planning")</f>
        <v>Life Planning</v>
      </c>
      <c r="D2290" s="2" t="str">
        <f>IFERROR(__xludf.DUMMYFUNCTION("""COMPUTED_VALUE"""),"Irontrail Publishing")</f>
        <v>Irontrail Publishing</v>
      </c>
      <c r="E2290" s="2">
        <f>IFERROR(__xludf.DUMMYFUNCTION("""COMPUTED_VALUE"""),1.02)</f>
        <v>1.02</v>
      </c>
      <c r="F2290" s="2"/>
      <c r="G2290" s="2"/>
      <c r="H2290" s="2"/>
      <c r="I2290" s="2"/>
    </row>
    <row r="2291">
      <c r="A2291" s="2">
        <f>IFERROR(__xludf.DUMMYFUNCTION("""COMPUTED_VALUE"""),119453.0)</f>
        <v>119453</v>
      </c>
      <c r="B2291" s="2" t="str">
        <f>IFERROR(__xludf.DUMMYFUNCTION("""COMPUTED_VALUE"""),"Fiction")</f>
        <v>Fiction</v>
      </c>
      <c r="C2291" s="2" t="str">
        <f>IFERROR(__xludf.DUMMYFUNCTION("""COMPUTED_VALUE"""),"Life Planning")</f>
        <v>Life Planning</v>
      </c>
      <c r="D2291" s="2" t="str">
        <f>IFERROR(__xludf.DUMMYFUNCTION("""COMPUTED_VALUE"""),"Irontrail Publishing")</f>
        <v>Irontrail Publishing</v>
      </c>
      <c r="E2291" s="2">
        <f>IFERROR(__xludf.DUMMYFUNCTION("""COMPUTED_VALUE"""),1.25)</f>
        <v>1.25</v>
      </c>
      <c r="F2291" s="2"/>
      <c r="G2291" s="2"/>
      <c r="H2291" s="2"/>
      <c r="I2291" s="2"/>
    </row>
    <row r="2292">
      <c r="A2292" s="2">
        <f>IFERROR(__xludf.DUMMYFUNCTION("""COMPUTED_VALUE"""),113070.0)</f>
        <v>113070</v>
      </c>
      <c r="B2292" s="2" t="str">
        <f>IFERROR(__xludf.DUMMYFUNCTION("""COMPUTED_VALUE"""),"Fiction")</f>
        <v>Fiction</v>
      </c>
      <c r="C2292" s="2" t="str">
        <f>IFERROR(__xludf.DUMMYFUNCTION("""COMPUTED_VALUE"""),"Life Planning")</f>
        <v>Life Planning</v>
      </c>
      <c r="D2292" s="2" t="str">
        <f>IFERROR(__xludf.DUMMYFUNCTION("""COMPUTED_VALUE"""),"Silverfield Books")</f>
        <v>Silverfield Books</v>
      </c>
      <c r="E2292" s="2">
        <f>IFERROR(__xludf.DUMMYFUNCTION("""COMPUTED_VALUE"""),0.88)</f>
        <v>0.88</v>
      </c>
      <c r="F2292" s="2"/>
      <c r="G2292" s="2"/>
      <c r="H2292" s="2"/>
      <c r="I2292" s="2"/>
    </row>
    <row r="2293">
      <c r="A2293" s="2">
        <f>IFERROR(__xludf.DUMMYFUNCTION("""COMPUTED_VALUE"""),99097.0)</f>
        <v>99097</v>
      </c>
      <c r="B2293" s="2" t="str">
        <f>IFERROR(__xludf.DUMMYFUNCTION("""COMPUTED_VALUE"""),"Fiction")</f>
        <v>Fiction</v>
      </c>
      <c r="C2293" s="2" t="str">
        <f>IFERROR(__xludf.DUMMYFUNCTION("""COMPUTED_VALUE"""),"Life Planning")</f>
        <v>Life Planning</v>
      </c>
      <c r="D2293" s="2" t="str">
        <f>IFERROR(__xludf.DUMMYFUNCTION("""COMPUTED_VALUE"""),"Silverfield Books")</f>
        <v>Silverfield Books</v>
      </c>
      <c r="E2293" s="2">
        <f>IFERROR(__xludf.DUMMYFUNCTION("""COMPUTED_VALUE"""),1.03)</f>
        <v>1.03</v>
      </c>
      <c r="F2293" s="2"/>
      <c r="G2293" s="2"/>
      <c r="H2293" s="2"/>
      <c r="I2293" s="2"/>
    </row>
    <row r="2294">
      <c r="A2294" s="2">
        <f>IFERROR(__xludf.DUMMYFUNCTION("""COMPUTED_VALUE"""),99099.0)</f>
        <v>99099</v>
      </c>
      <c r="B2294" s="2" t="str">
        <f>IFERROR(__xludf.DUMMYFUNCTION("""COMPUTED_VALUE"""),"Fiction")</f>
        <v>Fiction</v>
      </c>
      <c r="C2294" s="2" t="str">
        <f>IFERROR(__xludf.DUMMYFUNCTION("""COMPUTED_VALUE"""),"Life Planning")</f>
        <v>Life Planning</v>
      </c>
      <c r="D2294" s="2" t="str">
        <f>IFERROR(__xludf.DUMMYFUNCTION("""COMPUTED_VALUE"""),"Silverfield Books")</f>
        <v>Silverfield Books</v>
      </c>
      <c r="E2294" s="2">
        <f>IFERROR(__xludf.DUMMYFUNCTION("""COMPUTED_VALUE"""),0.99)</f>
        <v>0.99</v>
      </c>
      <c r="F2294" s="2"/>
      <c r="G2294" s="2"/>
      <c r="H2294" s="2"/>
      <c r="I2294" s="2"/>
    </row>
    <row r="2295">
      <c r="A2295" s="2">
        <f>IFERROR(__xludf.DUMMYFUNCTION("""COMPUTED_VALUE"""),104998.0)</f>
        <v>104998</v>
      </c>
      <c r="B2295" s="2" t="str">
        <f>IFERROR(__xludf.DUMMYFUNCTION("""COMPUTED_VALUE"""),"History")</f>
        <v>History</v>
      </c>
      <c r="C2295" s="2" t="str">
        <f>IFERROR(__xludf.DUMMYFUNCTION("""COMPUTED_VALUE"""),"Confidence Building")</f>
        <v>Confidence Building</v>
      </c>
      <c r="D2295" s="2"/>
      <c r="E2295" s="2">
        <f>IFERROR(__xludf.DUMMYFUNCTION("""COMPUTED_VALUE"""),2.88)</f>
        <v>2.88</v>
      </c>
      <c r="F2295" s="2"/>
      <c r="G2295" s="2"/>
      <c r="H2295" s="2"/>
      <c r="I2295" s="2"/>
    </row>
    <row r="2296">
      <c r="A2296" s="2">
        <f>IFERROR(__xludf.DUMMYFUNCTION("""COMPUTED_VALUE"""),110524.0)</f>
        <v>110524</v>
      </c>
      <c r="B2296" s="2" t="str">
        <f>IFERROR(__xludf.DUMMYFUNCTION("""COMPUTED_VALUE"""),"History")</f>
        <v>History</v>
      </c>
      <c r="C2296" s="2" t="str">
        <f>IFERROR(__xludf.DUMMYFUNCTION("""COMPUTED_VALUE"""),"Confidence Building")</f>
        <v>Confidence Building</v>
      </c>
      <c r="D2296" s="2"/>
      <c r="E2296" s="2">
        <f>IFERROR(__xludf.DUMMYFUNCTION("""COMPUTED_VALUE"""),3.48)</f>
        <v>3.48</v>
      </c>
      <c r="F2296" s="2"/>
      <c r="G2296" s="2"/>
      <c r="H2296" s="2"/>
      <c r="I2296" s="2"/>
    </row>
    <row r="2297">
      <c r="A2297" s="2">
        <f>IFERROR(__xludf.DUMMYFUNCTION("""COMPUTED_VALUE"""),117133.0)</f>
        <v>117133</v>
      </c>
      <c r="B2297" s="2" t="str">
        <f>IFERROR(__xludf.DUMMYFUNCTION("""COMPUTED_VALUE"""),"Fiction")</f>
        <v>Fiction</v>
      </c>
      <c r="C2297" s="2" t="str">
        <f>IFERROR(__xludf.DUMMYFUNCTION("""COMPUTED_VALUE"""),"Football")</f>
        <v>Football</v>
      </c>
      <c r="D2297" s="2" t="str">
        <f>IFERROR(__xludf.DUMMYFUNCTION("""COMPUTED_VALUE"""),"Northfield Press")</f>
        <v>Northfield Press</v>
      </c>
      <c r="E2297" s="2">
        <f>IFERROR(__xludf.DUMMYFUNCTION("""COMPUTED_VALUE"""),214.5)</f>
        <v>214.5</v>
      </c>
      <c r="F2297" s="2"/>
      <c r="G2297" s="2"/>
      <c r="H2297" s="2"/>
      <c r="I2297" s="2"/>
    </row>
    <row r="2298">
      <c r="A2298" s="2">
        <f>IFERROR(__xludf.DUMMYFUNCTION("""COMPUTED_VALUE"""),70696.0)</f>
        <v>70696</v>
      </c>
      <c r="B2298" s="2" t="str">
        <f>IFERROR(__xludf.DUMMYFUNCTION("""COMPUTED_VALUE"""),"Fiction")</f>
        <v>Fiction</v>
      </c>
      <c r="C2298" s="2" t="str">
        <f>IFERROR(__xludf.DUMMYFUNCTION("""COMPUTED_VALUE"""),"Football")</f>
        <v>Football</v>
      </c>
      <c r="D2298" s="2" t="str">
        <f>IFERROR(__xludf.DUMMYFUNCTION("""COMPUTED_VALUE"""),"Northfield Press")</f>
        <v>Northfield Press</v>
      </c>
      <c r="E2298" s="2">
        <f>IFERROR(__xludf.DUMMYFUNCTION("""COMPUTED_VALUE"""),31.32)</f>
        <v>31.32</v>
      </c>
      <c r="F2298" s="2"/>
      <c r="G2298" s="2"/>
      <c r="H2298" s="2"/>
      <c r="I2298" s="2"/>
    </row>
    <row r="2299">
      <c r="A2299" s="2">
        <f>IFERROR(__xludf.DUMMYFUNCTION("""COMPUTED_VALUE"""),121278.0)</f>
        <v>121278</v>
      </c>
      <c r="B2299" s="2" t="str">
        <f>IFERROR(__xludf.DUMMYFUNCTION("""COMPUTED_VALUE"""),"Fiction")</f>
        <v>Fiction</v>
      </c>
      <c r="C2299" s="2" t="str">
        <f>IFERROR(__xludf.DUMMYFUNCTION("""COMPUTED_VALUE"""),"Football")</f>
        <v>Football</v>
      </c>
      <c r="D2299" s="2" t="str">
        <f>IFERROR(__xludf.DUMMYFUNCTION("""COMPUTED_VALUE"""),"Harborfield Publishing")</f>
        <v>Harborfield Publishing</v>
      </c>
      <c r="E2299" s="2">
        <f>IFERROR(__xludf.DUMMYFUNCTION("""COMPUTED_VALUE"""),11.61)</f>
        <v>11.61</v>
      </c>
      <c r="F2299" s="2"/>
      <c r="G2299" s="2"/>
      <c r="H2299" s="2"/>
      <c r="I2299" s="2"/>
    </row>
    <row r="2300">
      <c r="A2300" s="2">
        <f>IFERROR(__xludf.DUMMYFUNCTION("""COMPUTED_VALUE"""),74382.0)</f>
        <v>74382</v>
      </c>
      <c r="B2300" s="2" t="str">
        <f>IFERROR(__xludf.DUMMYFUNCTION("""COMPUTED_VALUE"""),"History")</f>
        <v>History</v>
      </c>
      <c r="C2300" s="2" t="str">
        <f>IFERROR(__xludf.DUMMYFUNCTION("""COMPUTED_VALUE"""),"Basketball")</f>
        <v>Basketball</v>
      </c>
      <c r="D2300" s="2" t="str">
        <f>IFERROR(__xludf.DUMMYFUNCTION("""COMPUTED_VALUE"""),"Cedarfield Books")</f>
        <v>Cedarfield Books</v>
      </c>
      <c r="E2300" s="2">
        <f>IFERROR(__xludf.DUMMYFUNCTION("""COMPUTED_VALUE"""),2.64)</f>
        <v>2.64</v>
      </c>
      <c r="F2300" s="2"/>
      <c r="G2300" s="2"/>
      <c r="H2300" s="2"/>
      <c r="I2300" s="2"/>
    </row>
    <row r="2301">
      <c r="A2301" s="2">
        <f>IFERROR(__xludf.DUMMYFUNCTION("""COMPUTED_VALUE"""),121921.0)</f>
        <v>121921</v>
      </c>
      <c r="B2301" s="2" t="str">
        <f>IFERROR(__xludf.DUMMYFUNCTION("""COMPUTED_VALUE"""),"History")</f>
        <v>History</v>
      </c>
      <c r="C2301" s="2" t="str">
        <f>IFERROR(__xludf.DUMMYFUNCTION("""COMPUTED_VALUE"""),"Basketball")</f>
        <v>Basketball</v>
      </c>
      <c r="D2301" s="2" t="str">
        <f>IFERROR(__xludf.DUMMYFUNCTION("""COMPUTED_VALUE"""),"Brightfield Press")</f>
        <v>Brightfield Press</v>
      </c>
      <c r="E2301" s="2">
        <f>IFERROR(__xludf.DUMMYFUNCTION("""COMPUTED_VALUE"""),9.78)</f>
        <v>9.78</v>
      </c>
      <c r="F2301" s="2"/>
      <c r="G2301" s="2"/>
      <c r="H2301" s="2"/>
      <c r="I2301" s="2"/>
    </row>
    <row r="2302">
      <c r="A2302" s="2">
        <f>IFERROR(__xludf.DUMMYFUNCTION("""COMPUTED_VALUE"""),83853.0)</f>
        <v>83853</v>
      </c>
      <c r="B2302" s="2" t="str">
        <f>IFERROR(__xludf.DUMMYFUNCTION("""COMPUTED_VALUE"""),"History")</f>
        <v>History</v>
      </c>
      <c r="C2302" s="2" t="str">
        <f>IFERROR(__xludf.DUMMYFUNCTION("""COMPUTED_VALUE"""),"Basketball")</f>
        <v>Basketball</v>
      </c>
      <c r="D2302" s="2" t="str">
        <f>IFERROR(__xludf.DUMMYFUNCTION("""COMPUTED_VALUE"""),"Oakfield Publishing")</f>
        <v>Oakfield Publishing</v>
      </c>
      <c r="E2302" s="2">
        <f>IFERROR(__xludf.DUMMYFUNCTION("""COMPUTED_VALUE"""),1.44)</f>
        <v>1.44</v>
      </c>
      <c r="F2302" s="2"/>
      <c r="G2302" s="2"/>
      <c r="H2302" s="2"/>
      <c r="I2302" s="2"/>
    </row>
    <row r="2303">
      <c r="A2303" s="2">
        <f>IFERROR(__xludf.DUMMYFUNCTION("""COMPUTED_VALUE"""),111706.0)</f>
        <v>111706</v>
      </c>
      <c r="B2303" s="2" t="str">
        <f>IFERROR(__xludf.DUMMYFUNCTION("""COMPUTED_VALUE"""),"History")</f>
        <v>History</v>
      </c>
      <c r="C2303" s="2" t="str">
        <f>IFERROR(__xludf.DUMMYFUNCTION("""COMPUTED_VALUE"""),"Basketball")</f>
        <v>Basketball</v>
      </c>
      <c r="D2303" s="2" t="str">
        <f>IFERROR(__xludf.DUMMYFUNCTION("""COMPUTED_VALUE"""),"Oakfield Publishing")</f>
        <v>Oakfield Publishing</v>
      </c>
      <c r="E2303" s="2">
        <f>IFERROR(__xludf.DUMMYFUNCTION("""COMPUTED_VALUE"""),2.36)</f>
        <v>2.36</v>
      </c>
      <c r="F2303" s="2"/>
      <c r="G2303" s="2"/>
      <c r="H2303" s="2"/>
      <c r="I2303" s="2"/>
    </row>
    <row r="2304">
      <c r="A2304" s="2">
        <f>IFERROR(__xludf.DUMMYFUNCTION("""COMPUTED_VALUE"""),15062.0)</f>
        <v>15062</v>
      </c>
      <c r="B2304" s="2" t="str">
        <f>IFERROR(__xludf.DUMMYFUNCTION("""COMPUTED_VALUE"""),"History")</f>
        <v>History</v>
      </c>
      <c r="C2304" s="2" t="str">
        <f>IFERROR(__xludf.DUMMYFUNCTION("""COMPUTED_VALUE"""),"Basketball")</f>
        <v>Basketball</v>
      </c>
      <c r="D2304" s="2" t="str">
        <f>IFERROR(__xludf.DUMMYFUNCTION("""COMPUTED_VALUE"""),"Riverfield Books")</f>
        <v>Riverfield Books</v>
      </c>
      <c r="E2304" s="2">
        <f>IFERROR(__xludf.DUMMYFUNCTION("""COMPUTED_VALUE"""),1.6)</f>
        <v>1.6</v>
      </c>
      <c r="F2304" s="2"/>
      <c r="G2304" s="2"/>
      <c r="H2304" s="2"/>
      <c r="I2304" s="2"/>
    </row>
    <row r="2305">
      <c r="A2305" s="2">
        <f>IFERROR(__xludf.DUMMYFUNCTION("""COMPUTED_VALUE"""),79948.0)</f>
        <v>79948</v>
      </c>
      <c r="B2305" s="2" t="str">
        <f>IFERROR(__xludf.DUMMYFUNCTION("""COMPUTED_VALUE"""),"History")</f>
        <v>History</v>
      </c>
      <c r="C2305" s="2" t="str">
        <f>IFERROR(__xludf.DUMMYFUNCTION("""COMPUTED_VALUE"""),"Basketball")</f>
        <v>Basketball</v>
      </c>
      <c r="D2305" s="2" t="str">
        <f>IFERROR(__xludf.DUMMYFUNCTION("""COMPUTED_VALUE"""),"Riverfield Books")</f>
        <v>Riverfield Books</v>
      </c>
      <c r="E2305" s="2">
        <f>IFERROR(__xludf.DUMMYFUNCTION("""COMPUTED_VALUE"""),2.25)</f>
        <v>2.25</v>
      </c>
      <c r="F2305" s="2"/>
      <c r="G2305" s="2"/>
      <c r="H2305" s="2"/>
      <c r="I2305" s="2"/>
    </row>
    <row r="2306">
      <c r="A2306" s="2">
        <f>IFERROR(__xludf.DUMMYFUNCTION("""COMPUTED_VALUE"""),84400.0)</f>
        <v>84400</v>
      </c>
      <c r="B2306" s="2" t="str">
        <f>IFERROR(__xludf.DUMMYFUNCTION("""COMPUTED_VALUE"""),"History")</f>
        <v>History</v>
      </c>
      <c r="C2306" s="2" t="str">
        <f>IFERROR(__xludf.DUMMYFUNCTION("""COMPUTED_VALUE"""),"Basketball")</f>
        <v>Basketball</v>
      </c>
      <c r="D2306" s="2" t="str">
        <f>IFERROR(__xludf.DUMMYFUNCTION("""COMPUTED_VALUE"""),"Riverfield Books")</f>
        <v>Riverfield Books</v>
      </c>
      <c r="E2306" s="2">
        <f>IFERROR(__xludf.DUMMYFUNCTION("""COMPUTED_VALUE"""),1.16)</f>
        <v>1.16</v>
      </c>
      <c r="F2306" s="2"/>
      <c r="G2306" s="2"/>
      <c r="H2306" s="2"/>
      <c r="I2306" s="2"/>
    </row>
    <row r="2307">
      <c r="A2307" s="2">
        <f>IFERROR(__xludf.DUMMYFUNCTION("""COMPUTED_VALUE"""),79299.0)</f>
        <v>79299</v>
      </c>
      <c r="B2307" s="2" t="str">
        <f>IFERROR(__xludf.DUMMYFUNCTION("""COMPUTED_VALUE"""),"History")</f>
        <v>History</v>
      </c>
      <c r="C2307" s="2" t="str">
        <f>IFERROR(__xludf.DUMMYFUNCTION("""COMPUTED_VALUE"""),"Basketball")</f>
        <v>Basketball</v>
      </c>
      <c r="D2307" s="2" t="str">
        <f>IFERROR(__xludf.DUMMYFUNCTION("""COMPUTED_VALUE"""),"Riverfield Books")</f>
        <v>Riverfield Books</v>
      </c>
      <c r="E2307" s="2">
        <f>IFERROR(__xludf.DUMMYFUNCTION("""COMPUTED_VALUE"""),2.82)</f>
        <v>2.82</v>
      </c>
      <c r="F2307" s="2"/>
      <c r="G2307" s="2"/>
      <c r="H2307" s="2"/>
      <c r="I2307" s="2"/>
    </row>
    <row r="2308">
      <c r="A2308" s="2">
        <f>IFERROR(__xludf.DUMMYFUNCTION("""COMPUTED_VALUE"""),19776.0)</f>
        <v>19776</v>
      </c>
      <c r="B2308" s="2" t="str">
        <f>IFERROR(__xludf.DUMMYFUNCTION("""COMPUTED_VALUE"""),"History")</f>
        <v>History</v>
      </c>
      <c r="C2308" s="2" t="str">
        <f>IFERROR(__xludf.DUMMYFUNCTION("""COMPUTED_VALUE"""),"Basketball")</f>
        <v>Basketball</v>
      </c>
      <c r="D2308" s="2" t="str">
        <f>IFERROR(__xludf.DUMMYFUNCTION("""COMPUTED_VALUE"""),"Riverfield Books")</f>
        <v>Riverfield Books</v>
      </c>
      <c r="E2308" s="2">
        <f>IFERROR(__xludf.DUMMYFUNCTION("""COMPUTED_VALUE"""),1.82)</f>
        <v>1.82</v>
      </c>
      <c r="F2308" s="2"/>
      <c r="G2308" s="2"/>
      <c r="H2308" s="2"/>
      <c r="I2308" s="2"/>
    </row>
    <row r="2309">
      <c r="A2309" s="2">
        <f>IFERROR(__xludf.DUMMYFUNCTION("""COMPUTED_VALUE"""),74392.0)</f>
        <v>74392</v>
      </c>
      <c r="B2309" s="2" t="str">
        <f>IFERROR(__xludf.DUMMYFUNCTION("""COMPUTED_VALUE"""),"History")</f>
        <v>History</v>
      </c>
      <c r="C2309" s="2" t="str">
        <f>IFERROR(__xludf.DUMMYFUNCTION("""COMPUTED_VALUE"""),"Basketball")</f>
        <v>Basketball</v>
      </c>
      <c r="D2309" s="2" t="str">
        <f>IFERROR(__xludf.DUMMYFUNCTION("""COMPUTED_VALUE"""),"Ironfield Press")</f>
        <v>Ironfield Press</v>
      </c>
      <c r="E2309" s="2">
        <f>IFERROR(__xludf.DUMMYFUNCTION("""COMPUTED_VALUE"""),2.9)</f>
        <v>2.9</v>
      </c>
      <c r="F2309" s="2"/>
      <c r="G2309" s="2"/>
      <c r="H2309" s="2"/>
      <c r="I2309" s="2"/>
    </row>
    <row r="2310">
      <c r="A2310" s="2">
        <f>IFERROR(__xludf.DUMMYFUNCTION("""COMPUTED_VALUE"""),83399.0)</f>
        <v>83399</v>
      </c>
      <c r="B2310" s="2" t="str">
        <f>IFERROR(__xludf.DUMMYFUNCTION("""COMPUTED_VALUE"""),"History")</f>
        <v>History</v>
      </c>
      <c r="C2310" s="2" t="str">
        <f>IFERROR(__xludf.DUMMYFUNCTION("""COMPUTED_VALUE"""),"Basketball")</f>
        <v>Basketball</v>
      </c>
      <c r="D2310" s="2" t="str">
        <f>IFERROR(__xludf.DUMMYFUNCTION("""COMPUTED_VALUE"""),"Ironfield Press")</f>
        <v>Ironfield Press</v>
      </c>
      <c r="E2310" s="2">
        <f>IFERROR(__xludf.DUMMYFUNCTION("""COMPUTED_VALUE"""),2.19)</f>
        <v>2.19</v>
      </c>
      <c r="F2310" s="2"/>
      <c r="G2310" s="2"/>
      <c r="H2310" s="2"/>
      <c r="I2310" s="2"/>
    </row>
    <row r="2311">
      <c r="A2311" s="2">
        <f>IFERROR(__xludf.DUMMYFUNCTION("""COMPUTED_VALUE"""),74383.0)</f>
        <v>74383</v>
      </c>
      <c r="B2311" s="2" t="str">
        <f>IFERROR(__xludf.DUMMYFUNCTION("""COMPUTED_VALUE"""),"History")</f>
        <v>History</v>
      </c>
      <c r="C2311" s="2" t="str">
        <f>IFERROR(__xludf.DUMMYFUNCTION("""COMPUTED_VALUE"""),"Basketball")</f>
        <v>Basketball</v>
      </c>
      <c r="D2311" s="2" t="str">
        <f>IFERROR(__xludf.DUMMYFUNCTION("""COMPUTED_VALUE"""),"Ironfield Press")</f>
        <v>Ironfield Press</v>
      </c>
      <c r="E2311" s="2">
        <f>IFERROR(__xludf.DUMMYFUNCTION("""COMPUTED_VALUE"""),2.72)</f>
        <v>2.72</v>
      </c>
      <c r="F2311" s="2"/>
      <c r="G2311" s="2"/>
      <c r="H2311" s="2"/>
      <c r="I2311" s="2"/>
    </row>
    <row r="2312">
      <c r="A2312" s="2">
        <f>IFERROR(__xludf.DUMMYFUNCTION("""COMPUTED_VALUE"""),100819.0)</f>
        <v>100819</v>
      </c>
      <c r="B2312" s="2" t="str">
        <f>IFERROR(__xludf.DUMMYFUNCTION("""COMPUTED_VALUE"""),"History")</f>
        <v>History</v>
      </c>
      <c r="C2312" s="2" t="str">
        <f>IFERROR(__xludf.DUMMYFUNCTION("""COMPUTED_VALUE"""),"Basketball")</f>
        <v>Basketball</v>
      </c>
      <c r="D2312" s="2" t="str">
        <f>IFERROR(__xludf.DUMMYFUNCTION("""COMPUTED_VALUE"""),"Ironfield Press")</f>
        <v>Ironfield Press</v>
      </c>
      <c r="E2312" s="2">
        <f>IFERROR(__xludf.DUMMYFUNCTION("""COMPUTED_VALUE"""),2.8)</f>
        <v>2.8</v>
      </c>
      <c r="F2312" s="2"/>
      <c r="G2312" s="2"/>
      <c r="H2312" s="2"/>
      <c r="I2312" s="2"/>
    </row>
    <row r="2313">
      <c r="A2313" s="2">
        <f>IFERROR(__xludf.DUMMYFUNCTION("""COMPUTED_VALUE"""),190857.0)</f>
        <v>190857</v>
      </c>
      <c r="B2313" s="2" t="str">
        <f>IFERROR(__xludf.DUMMYFUNCTION("""COMPUTED_VALUE"""),"History")</f>
        <v>History</v>
      </c>
      <c r="C2313" s="2" t="str">
        <f>IFERROR(__xludf.DUMMYFUNCTION("""COMPUTED_VALUE"""),"Basketball")</f>
        <v>Basketball</v>
      </c>
      <c r="D2313" s="2" t="str">
        <f>IFERROR(__xludf.DUMMYFUNCTION("""COMPUTED_VALUE"""),"Ironfield Press")</f>
        <v>Ironfield Press</v>
      </c>
      <c r="E2313" s="2">
        <f>IFERROR(__xludf.DUMMYFUNCTION("""COMPUTED_VALUE"""),3.25)</f>
        <v>3.25</v>
      </c>
      <c r="F2313" s="2"/>
      <c r="G2313" s="2"/>
      <c r="H2313" s="2"/>
      <c r="I2313" s="2"/>
    </row>
    <row r="2314">
      <c r="A2314" s="2">
        <f>IFERROR(__xludf.DUMMYFUNCTION("""COMPUTED_VALUE"""),120331.0)</f>
        <v>120331</v>
      </c>
      <c r="B2314" s="2" t="str">
        <f>IFERROR(__xludf.DUMMYFUNCTION("""COMPUTED_VALUE"""),"History")</f>
        <v>History</v>
      </c>
      <c r="C2314" s="2" t="str">
        <f>IFERROR(__xludf.DUMMYFUNCTION("""COMPUTED_VALUE"""),"Basketball")</f>
        <v>Basketball</v>
      </c>
      <c r="D2314" s="2" t="str">
        <f>IFERROR(__xludf.DUMMYFUNCTION("""COMPUTED_VALUE"""),"Ironfield Press")</f>
        <v>Ironfield Press</v>
      </c>
      <c r="E2314" s="2">
        <f>IFERROR(__xludf.DUMMYFUNCTION("""COMPUTED_VALUE"""),2.64)</f>
        <v>2.64</v>
      </c>
      <c r="F2314" s="2"/>
      <c r="G2314" s="2"/>
      <c r="H2314" s="2"/>
      <c r="I2314" s="2"/>
    </row>
    <row r="2315">
      <c r="A2315" s="2">
        <f>IFERROR(__xludf.DUMMYFUNCTION("""COMPUTED_VALUE"""),87580.0)</f>
        <v>87580</v>
      </c>
      <c r="B2315" s="2" t="str">
        <f>IFERROR(__xludf.DUMMYFUNCTION("""COMPUTED_VALUE"""),"History")</f>
        <v>History</v>
      </c>
      <c r="C2315" s="2" t="str">
        <f>IFERROR(__xludf.DUMMYFUNCTION("""COMPUTED_VALUE"""),"Basketball")</f>
        <v>Basketball</v>
      </c>
      <c r="D2315" s="2" t="str">
        <f>IFERROR(__xludf.DUMMYFUNCTION("""COMPUTED_VALUE"""),"Ironfield Press")</f>
        <v>Ironfield Press</v>
      </c>
      <c r="E2315" s="2">
        <f>IFERROR(__xludf.DUMMYFUNCTION("""COMPUTED_VALUE"""),2.66)</f>
        <v>2.66</v>
      </c>
      <c r="F2315" s="2"/>
      <c r="G2315" s="2"/>
      <c r="H2315" s="2"/>
      <c r="I2315" s="2"/>
    </row>
    <row r="2316">
      <c r="A2316" s="2">
        <f>IFERROR(__xludf.DUMMYFUNCTION("""COMPUTED_VALUE"""),79300.0)</f>
        <v>79300</v>
      </c>
      <c r="B2316" s="2" t="str">
        <f>IFERROR(__xludf.DUMMYFUNCTION("""COMPUTED_VALUE"""),"History")</f>
        <v>History</v>
      </c>
      <c r="C2316" s="2" t="str">
        <f>IFERROR(__xludf.DUMMYFUNCTION("""COMPUTED_VALUE"""),"Basketball")</f>
        <v>Basketball</v>
      </c>
      <c r="D2316" s="2" t="str">
        <f>IFERROR(__xludf.DUMMYFUNCTION("""COMPUTED_VALUE"""),"Ironfield Press")</f>
        <v>Ironfield Press</v>
      </c>
      <c r="E2316" s="2">
        <f>IFERROR(__xludf.DUMMYFUNCTION("""COMPUTED_VALUE"""),2.51)</f>
        <v>2.51</v>
      </c>
      <c r="F2316" s="2"/>
      <c r="G2316" s="2"/>
      <c r="H2316" s="2"/>
      <c r="I2316" s="2"/>
    </row>
    <row r="2317">
      <c r="A2317" s="2">
        <f>IFERROR(__xludf.DUMMYFUNCTION("""COMPUTED_VALUE"""),79950.0)</f>
        <v>79950</v>
      </c>
      <c r="B2317" s="2" t="str">
        <f>IFERROR(__xludf.DUMMYFUNCTION("""COMPUTED_VALUE"""),"History")</f>
        <v>History</v>
      </c>
      <c r="C2317" s="2" t="str">
        <f>IFERROR(__xludf.DUMMYFUNCTION("""COMPUTED_VALUE"""),"Basketball")</f>
        <v>Basketball</v>
      </c>
      <c r="D2317" s="2" t="str">
        <f>IFERROR(__xludf.DUMMYFUNCTION("""COMPUTED_VALUE"""),"Silverlane Publishing")</f>
        <v>Silverlane Publishing</v>
      </c>
      <c r="E2317" s="2">
        <f>IFERROR(__xludf.DUMMYFUNCTION("""COMPUTED_VALUE"""),2.74)</f>
        <v>2.74</v>
      </c>
      <c r="F2317" s="2"/>
      <c r="G2317" s="2"/>
      <c r="H2317" s="2"/>
      <c r="I2317" s="2"/>
    </row>
    <row r="2318">
      <c r="A2318" s="2">
        <f>IFERROR(__xludf.DUMMYFUNCTION("""COMPUTED_VALUE"""),84402.0)</f>
        <v>84402</v>
      </c>
      <c r="B2318" s="2" t="str">
        <f>IFERROR(__xludf.DUMMYFUNCTION("""COMPUTED_VALUE"""),"History")</f>
        <v>History</v>
      </c>
      <c r="C2318" s="2" t="str">
        <f>IFERROR(__xludf.DUMMYFUNCTION("""COMPUTED_VALUE"""),"Basketball")</f>
        <v>Basketball</v>
      </c>
      <c r="D2318" s="2" t="str">
        <f>IFERROR(__xludf.DUMMYFUNCTION("""COMPUTED_VALUE"""),"Silverlane Publishing")</f>
        <v>Silverlane Publishing</v>
      </c>
      <c r="E2318" s="2">
        <f>IFERROR(__xludf.DUMMYFUNCTION("""COMPUTED_VALUE"""),1.2)</f>
        <v>1.2</v>
      </c>
      <c r="F2318" s="2"/>
      <c r="G2318" s="2"/>
      <c r="H2318" s="2"/>
      <c r="I2318" s="2"/>
    </row>
    <row r="2319">
      <c r="A2319" s="2">
        <f>IFERROR(__xludf.DUMMYFUNCTION("""COMPUTED_VALUE"""),79298.0)</f>
        <v>79298</v>
      </c>
      <c r="B2319" s="2" t="str">
        <f>IFERROR(__xludf.DUMMYFUNCTION("""COMPUTED_VALUE"""),"History")</f>
        <v>History</v>
      </c>
      <c r="C2319" s="2" t="str">
        <f>IFERROR(__xludf.DUMMYFUNCTION("""COMPUTED_VALUE"""),"Basketball")</f>
        <v>Basketball</v>
      </c>
      <c r="D2319" s="2" t="str">
        <f>IFERROR(__xludf.DUMMYFUNCTION("""COMPUTED_VALUE"""),"Silverlane Publishing")</f>
        <v>Silverlane Publishing</v>
      </c>
      <c r="E2319" s="2">
        <f>IFERROR(__xludf.DUMMYFUNCTION("""COMPUTED_VALUE"""),2.5)</f>
        <v>2.5</v>
      </c>
      <c r="F2319" s="2"/>
      <c r="G2319" s="2"/>
      <c r="H2319" s="2"/>
      <c r="I2319" s="2"/>
    </row>
    <row r="2320">
      <c r="A2320" s="2">
        <f>IFERROR(__xludf.DUMMYFUNCTION("""COMPUTED_VALUE"""),145105.0)</f>
        <v>145105</v>
      </c>
      <c r="B2320" s="2" t="str">
        <f>IFERROR(__xludf.DUMMYFUNCTION("""COMPUTED_VALUE"""),"Fiction")</f>
        <v>Fiction</v>
      </c>
      <c r="C2320" s="2" t="str">
        <f>IFERROR(__xludf.DUMMYFUNCTION("""COMPUTED_VALUE"""),"Tennis")</f>
        <v>Tennis</v>
      </c>
      <c r="D2320" s="2" t="str">
        <f>IFERROR(__xludf.DUMMYFUNCTION("""COMPUTED_VALUE"""),"Northlane Books")</f>
        <v>Northlane Books</v>
      </c>
      <c r="E2320" s="2">
        <f>IFERROR(__xludf.DUMMYFUNCTION("""COMPUTED_VALUE"""),4.85)</f>
        <v>4.85</v>
      </c>
      <c r="F2320" s="2"/>
      <c r="G2320" s="2"/>
      <c r="H2320" s="2"/>
      <c r="I2320" s="2"/>
    </row>
    <row r="2321">
      <c r="A2321" s="2">
        <f>IFERROR(__xludf.DUMMYFUNCTION("""COMPUTED_VALUE"""),92313.0)</f>
        <v>92313</v>
      </c>
      <c r="B2321" s="2" t="str">
        <f>IFERROR(__xludf.DUMMYFUNCTION("""COMPUTED_VALUE"""),"Fiction")</f>
        <v>Fiction</v>
      </c>
      <c r="C2321" s="2" t="str">
        <f>IFERROR(__xludf.DUMMYFUNCTION("""COMPUTED_VALUE"""),"Tennis")</f>
        <v>Tennis</v>
      </c>
      <c r="D2321" s="2" t="str">
        <f>IFERROR(__xludf.DUMMYFUNCTION("""COMPUTED_VALUE"""),"Harborlane Press")</f>
        <v>Harborlane Press</v>
      </c>
      <c r="E2321" s="2">
        <f>IFERROR(__xludf.DUMMYFUNCTION("""COMPUTED_VALUE"""),6.37)</f>
        <v>6.37</v>
      </c>
      <c r="F2321" s="2"/>
      <c r="G2321" s="2"/>
      <c r="H2321" s="2"/>
      <c r="I2321" s="2"/>
    </row>
    <row r="2322">
      <c r="A2322" s="2">
        <f>IFERROR(__xludf.DUMMYFUNCTION("""COMPUTED_VALUE"""),121735.0)</f>
        <v>121735</v>
      </c>
      <c r="B2322" s="2" t="str">
        <f>IFERROR(__xludf.DUMMYFUNCTION("""COMPUTED_VALUE"""),"Fiction")</f>
        <v>Fiction</v>
      </c>
      <c r="C2322" s="2" t="str">
        <f>IFERROR(__xludf.DUMMYFUNCTION("""COMPUTED_VALUE"""),"Tennis")</f>
        <v>Tennis</v>
      </c>
      <c r="D2322" s="2" t="str">
        <f>IFERROR(__xludf.DUMMYFUNCTION("""COMPUTED_VALUE"""),"Cedarlane Publishing")</f>
        <v>Cedarlane Publishing</v>
      </c>
      <c r="E2322" s="2">
        <f>IFERROR(__xludf.DUMMYFUNCTION("""COMPUTED_VALUE"""),9.72)</f>
        <v>9.72</v>
      </c>
      <c r="F2322" s="2"/>
      <c r="G2322" s="2"/>
      <c r="H2322" s="2"/>
      <c r="I2322" s="2"/>
    </row>
    <row r="2323">
      <c r="A2323" s="2">
        <f>IFERROR(__xludf.DUMMYFUNCTION("""COMPUTED_VALUE"""),47545.0)</f>
        <v>47545</v>
      </c>
      <c r="B2323" s="2" t="str">
        <f>IFERROR(__xludf.DUMMYFUNCTION("""COMPUTED_VALUE"""),"Law")</f>
        <v>Law</v>
      </c>
      <c r="C2323" s="2" t="str">
        <f>IFERROR(__xludf.DUMMYFUNCTION("""COMPUTED_VALUE"""),"Athletics")</f>
        <v>Athletics</v>
      </c>
      <c r="D2323" s="2" t="str">
        <f>IFERROR(__xludf.DUMMYFUNCTION("""COMPUTED_VALUE"""),"Brightlane Books")</f>
        <v>Brightlane Books</v>
      </c>
      <c r="E2323" s="2">
        <f>IFERROR(__xludf.DUMMYFUNCTION("""COMPUTED_VALUE"""),1.91)</f>
        <v>1.91</v>
      </c>
      <c r="F2323" s="2"/>
      <c r="G2323" s="2"/>
      <c r="H2323" s="2"/>
      <c r="I2323" s="2"/>
    </row>
    <row r="2324">
      <c r="A2324" s="2">
        <f>IFERROR(__xludf.DUMMYFUNCTION("""COMPUTED_VALUE"""),122630.0)</f>
        <v>122630</v>
      </c>
      <c r="B2324" s="2" t="str">
        <f>IFERROR(__xludf.DUMMYFUNCTION("""COMPUTED_VALUE"""),"Law")</f>
        <v>Law</v>
      </c>
      <c r="C2324" s="2" t="str">
        <f>IFERROR(__xludf.DUMMYFUNCTION("""COMPUTED_VALUE"""),"Athletics")</f>
        <v>Athletics</v>
      </c>
      <c r="D2324" s="2" t="str">
        <f>IFERROR(__xludf.DUMMYFUNCTION("""COMPUTED_VALUE"""),"Oaklane Press")</f>
        <v>Oaklane Press</v>
      </c>
      <c r="E2324" s="2">
        <f>IFERROR(__xludf.DUMMYFUNCTION("""COMPUTED_VALUE"""),2.13)</f>
        <v>2.13</v>
      </c>
      <c r="F2324" s="2"/>
      <c r="G2324" s="2"/>
      <c r="H2324" s="2"/>
      <c r="I2324" s="2"/>
    </row>
    <row r="2325">
      <c r="A2325" s="2">
        <f>IFERROR(__xludf.DUMMYFUNCTION("""COMPUTED_VALUE"""),159490.0)</f>
        <v>159490</v>
      </c>
      <c r="B2325" s="2" t="str">
        <f>IFERROR(__xludf.DUMMYFUNCTION("""COMPUTED_VALUE"""),"Law")</f>
        <v>Law</v>
      </c>
      <c r="C2325" s="2" t="str">
        <f>IFERROR(__xludf.DUMMYFUNCTION("""COMPUTED_VALUE"""),"Athletics")</f>
        <v>Athletics</v>
      </c>
      <c r="D2325" s="2" t="str">
        <f>IFERROR(__xludf.DUMMYFUNCTION("""COMPUTED_VALUE"""),"Oaklane Press")</f>
        <v>Oaklane Press</v>
      </c>
      <c r="E2325" s="2">
        <f>IFERROR(__xludf.DUMMYFUNCTION("""COMPUTED_VALUE"""),1.99)</f>
        <v>1.99</v>
      </c>
      <c r="F2325" s="2"/>
      <c r="G2325" s="2"/>
      <c r="H2325" s="2"/>
      <c r="I2325" s="2"/>
    </row>
    <row r="2326">
      <c r="A2326" s="2">
        <f>IFERROR(__xludf.DUMMYFUNCTION("""COMPUTED_VALUE"""),120519.0)</f>
        <v>120519</v>
      </c>
      <c r="B2326" s="2" t="str">
        <f>IFERROR(__xludf.DUMMYFUNCTION("""COMPUTED_VALUE"""),"Law")</f>
        <v>Law</v>
      </c>
      <c r="C2326" s="2" t="str">
        <f>IFERROR(__xludf.DUMMYFUNCTION("""COMPUTED_VALUE"""),"Athletics")</f>
        <v>Athletics</v>
      </c>
      <c r="D2326" s="2" t="str">
        <f>IFERROR(__xludf.DUMMYFUNCTION("""COMPUTED_VALUE"""),"Oaklane Press")</f>
        <v>Oaklane Press</v>
      </c>
      <c r="E2326" s="2">
        <f>IFERROR(__xludf.DUMMYFUNCTION("""COMPUTED_VALUE"""),4.53)</f>
        <v>4.53</v>
      </c>
      <c r="F2326" s="2"/>
      <c r="G2326" s="2"/>
      <c r="H2326" s="2"/>
      <c r="I2326" s="2"/>
    </row>
    <row r="2327">
      <c r="A2327" s="2">
        <f>IFERROR(__xludf.DUMMYFUNCTION("""COMPUTED_VALUE"""),159403.0)</f>
        <v>159403</v>
      </c>
      <c r="B2327" s="2" t="str">
        <f>IFERROR(__xludf.DUMMYFUNCTION("""COMPUTED_VALUE"""),"Law")</f>
        <v>Law</v>
      </c>
      <c r="C2327" s="2" t="str">
        <f>IFERROR(__xludf.DUMMYFUNCTION("""COMPUTED_VALUE"""),"Athletics")</f>
        <v>Athletics</v>
      </c>
      <c r="D2327" s="2" t="str">
        <f>IFERROR(__xludf.DUMMYFUNCTION("""COMPUTED_VALUE"""),"Oaklane Press")</f>
        <v>Oaklane Press</v>
      </c>
      <c r="E2327" s="2">
        <f>IFERROR(__xludf.DUMMYFUNCTION("""COMPUTED_VALUE"""),2.15)</f>
        <v>2.15</v>
      </c>
      <c r="F2327" s="2"/>
      <c r="G2327" s="2"/>
      <c r="H2327" s="2"/>
      <c r="I2327" s="2"/>
    </row>
    <row r="2328">
      <c r="A2328" s="2">
        <f>IFERROR(__xludf.DUMMYFUNCTION("""COMPUTED_VALUE"""),159617.0)</f>
        <v>159617</v>
      </c>
      <c r="B2328" s="2" t="str">
        <f>IFERROR(__xludf.DUMMYFUNCTION("""COMPUTED_VALUE"""),"Law")</f>
        <v>Law</v>
      </c>
      <c r="C2328" s="2" t="str">
        <f>IFERROR(__xludf.DUMMYFUNCTION("""COMPUTED_VALUE"""),"Athletics")</f>
        <v>Athletics</v>
      </c>
      <c r="D2328" s="2" t="str">
        <f>IFERROR(__xludf.DUMMYFUNCTION("""COMPUTED_VALUE"""),"Oaklane Press")</f>
        <v>Oaklane Press</v>
      </c>
      <c r="E2328" s="2">
        <f>IFERROR(__xludf.DUMMYFUNCTION("""COMPUTED_VALUE"""),2.33)</f>
        <v>2.33</v>
      </c>
      <c r="F2328" s="2"/>
      <c r="G2328" s="2"/>
      <c r="H2328" s="2"/>
      <c r="I2328" s="2"/>
    </row>
    <row r="2329">
      <c r="A2329" s="2">
        <f>IFERROR(__xludf.DUMMYFUNCTION("""COMPUTED_VALUE"""),85839.0)</f>
        <v>85839</v>
      </c>
      <c r="B2329" s="2" t="str">
        <f>IFERROR(__xludf.DUMMYFUNCTION("""COMPUTED_VALUE"""),"Law")</f>
        <v>Law</v>
      </c>
      <c r="C2329" s="2" t="str">
        <f>IFERROR(__xludf.DUMMYFUNCTION("""COMPUTED_VALUE"""),"Athletics")</f>
        <v>Athletics</v>
      </c>
      <c r="D2329" s="2" t="str">
        <f>IFERROR(__xludf.DUMMYFUNCTION("""COMPUTED_VALUE"""),"Oaklane Press")</f>
        <v>Oaklane Press</v>
      </c>
      <c r="E2329" s="2">
        <f>IFERROR(__xludf.DUMMYFUNCTION("""COMPUTED_VALUE"""),1.66)</f>
        <v>1.66</v>
      </c>
      <c r="F2329" s="2"/>
      <c r="G2329" s="2"/>
      <c r="H2329" s="2"/>
      <c r="I2329" s="2"/>
    </row>
    <row r="2330">
      <c r="A2330" s="2">
        <f>IFERROR(__xludf.DUMMYFUNCTION("""COMPUTED_VALUE"""),85838.0)</f>
        <v>85838</v>
      </c>
      <c r="B2330" s="2" t="str">
        <f>IFERROR(__xludf.DUMMYFUNCTION("""COMPUTED_VALUE"""),"Law")</f>
        <v>Law</v>
      </c>
      <c r="C2330" s="2" t="str">
        <f>IFERROR(__xludf.DUMMYFUNCTION("""COMPUTED_VALUE"""),"Athletics")</f>
        <v>Athletics</v>
      </c>
      <c r="D2330" s="2" t="str">
        <f>IFERROR(__xludf.DUMMYFUNCTION("""COMPUTED_VALUE"""),"Oaklane Press")</f>
        <v>Oaklane Press</v>
      </c>
      <c r="E2330" s="2">
        <f>IFERROR(__xludf.DUMMYFUNCTION("""COMPUTED_VALUE"""),1.74)</f>
        <v>1.74</v>
      </c>
      <c r="F2330" s="2"/>
      <c r="G2330" s="2"/>
      <c r="H2330" s="2"/>
      <c r="I2330" s="2"/>
    </row>
    <row r="2331">
      <c r="A2331" s="2">
        <f>IFERROR(__xludf.DUMMYFUNCTION("""COMPUTED_VALUE"""),8868.0)</f>
        <v>8868</v>
      </c>
      <c r="B2331" s="2" t="str">
        <f>IFERROR(__xludf.DUMMYFUNCTION("""COMPUTED_VALUE"""),"Law")</f>
        <v>Law</v>
      </c>
      <c r="C2331" s="2" t="str">
        <f>IFERROR(__xludf.DUMMYFUNCTION("""COMPUTED_VALUE"""),"Athletics")</f>
        <v>Athletics</v>
      </c>
      <c r="D2331" s="2" t="str">
        <f>IFERROR(__xludf.DUMMYFUNCTION("""COMPUTED_VALUE"""),"Oaklane Press")</f>
        <v>Oaklane Press</v>
      </c>
      <c r="E2331" s="2">
        <f>IFERROR(__xludf.DUMMYFUNCTION("""COMPUTED_VALUE"""),3.51)</f>
        <v>3.51</v>
      </c>
      <c r="F2331" s="2"/>
      <c r="G2331" s="2"/>
      <c r="H2331" s="2"/>
      <c r="I2331" s="2"/>
    </row>
    <row r="2332">
      <c r="A2332" s="2">
        <f>IFERROR(__xludf.DUMMYFUNCTION("""COMPUTED_VALUE"""),116191.0)</f>
        <v>116191</v>
      </c>
      <c r="B2332" s="2" t="str">
        <f>IFERROR(__xludf.DUMMYFUNCTION("""COMPUTED_VALUE"""),"Law")</f>
        <v>Law</v>
      </c>
      <c r="C2332" s="2" t="str">
        <f>IFERROR(__xludf.DUMMYFUNCTION("""COMPUTED_VALUE"""),"Athletics")</f>
        <v>Athletics</v>
      </c>
      <c r="D2332" s="2" t="str">
        <f>IFERROR(__xludf.DUMMYFUNCTION("""COMPUTED_VALUE"""),"Riverlane Publishing")</f>
        <v>Riverlane Publishing</v>
      </c>
      <c r="E2332" s="2">
        <f>IFERROR(__xludf.DUMMYFUNCTION("""COMPUTED_VALUE"""),1.47)</f>
        <v>1.47</v>
      </c>
      <c r="F2332" s="2"/>
      <c r="G2332" s="2"/>
      <c r="H2332" s="2"/>
      <c r="I2332" s="2"/>
    </row>
    <row r="2333">
      <c r="A2333" s="2">
        <f>IFERROR(__xludf.DUMMYFUNCTION("""COMPUTED_VALUE"""),90828.0)</f>
        <v>90828</v>
      </c>
      <c r="B2333" s="2" t="str">
        <f>IFERROR(__xludf.DUMMYFUNCTION("""COMPUTED_VALUE"""),"Law")</f>
        <v>Law</v>
      </c>
      <c r="C2333" s="2" t="str">
        <f>IFERROR(__xludf.DUMMYFUNCTION("""COMPUTED_VALUE"""),"Athletics")</f>
        <v>Athletics</v>
      </c>
      <c r="D2333" s="2" t="str">
        <f>IFERROR(__xludf.DUMMYFUNCTION("""COMPUTED_VALUE"""),"Ironlane Books")</f>
        <v>Ironlane Books</v>
      </c>
      <c r="E2333" s="2">
        <f>IFERROR(__xludf.DUMMYFUNCTION("""COMPUTED_VALUE"""),1.42)</f>
        <v>1.42</v>
      </c>
      <c r="F2333" s="2"/>
      <c r="G2333" s="2"/>
      <c r="H2333" s="2"/>
      <c r="I2333" s="2"/>
    </row>
    <row r="2334">
      <c r="A2334" s="2">
        <f>IFERROR(__xludf.DUMMYFUNCTION("""COMPUTED_VALUE"""),26276.0)</f>
        <v>26276</v>
      </c>
      <c r="B2334" s="2" t="str">
        <f>IFERROR(__xludf.DUMMYFUNCTION("""COMPUTED_VALUE"""),"Law")</f>
        <v>Law</v>
      </c>
      <c r="C2334" s="2" t="str">
        <f>IFERROR(__xludf.DUMMYFUNCTION("""COMPUTED_VALUE"""),"Athletics")</f>
        <v>Athletics</v>
      </c>
      <c r="D2334" s="2" t="str">
        <f>IFERROR(__xludf.DUMMYFUNCTION("""COMPUTED_VALUE"""),"Ironlane Books")</f>
        <v>Ironlane Books</v>
      </c>
      <c r="E2334" s="2">
        <f>IFERROR(__xludf.DUMMYFUNCTION("""COMPUTED_VALUE"""),2.56)</f>
        <v>2.56</v>
      </c>
      <c r="F2334" s="2"/>
      <c r="G2334" s="2"/>
      <c r="H2334" s="2"/>
      <c r="I2334" s="2"/>
    </row>
    <row r="2335">
      <c r="A2335" s="2">
        <f>IFERROR(__xludf.DUMMYFUNCTION("""COMPUTED_VALUE"""),29022.0)</f>
        <v>29022</v>
      </c>
      <c r="B2335" s="2" t="str">
        <f>IFERROR(__xludf.DUMMYFUNCTION("""COMPUTED_VALUE"""),"Law")</f>
        <v>Law</v>
      </c>
      <c r="C2335" s="2" t="str">
        <f>IFERROR(__xludf.DUMMYFUNCTION("""COMPUTED_VALUE"""),"Athletics")</f>
        <v>Athletics</v>
      </c>
      <c r="D2335" s="2" t="str">
        <f>IFERROR(__xludf.DUMMYFUNCTION("""COMPUTED_VALUE"""),"Ironlane Books")</f>
        <v>Ironlane Books</v>
      </c>
      <c r="E2335" s="2">
        <f>IFERROR(__xludf.DUMMYFUNCTION("""COMPUTED_VALUE"""),2.2)</f>
        <v>2.2</v>
      </c>
      <c r="F2335" s="2"/>
      <c r="G2335" s="2"/>
      <c r="H2335" s="2"/>
      <c r="I2335" s="2"/>
    </row>
    <row r="2336">
      <c r="A2336" s="2">
        <f>IFERROR(__xludf.DUMMYFUNCTION("""COMPUTED_VALUE"""),111081.0)</f>
        <v>111081</v>
      </c>
      <c r="B2336" s="2" t="str">
        <f>IFERROR(__xludf.DUMMYFUNCTION("""COMPUTED_VALUE"""),"Law")</f>
        <v>Law</v>
      </c>
      <c r="C2336" s="2" t="str">
        <f>IFERROR(__xludf.DUMMYFUNCTION("""COMPUTED_VALUE"""),"Athletics")</f>
        <v>Athletics</v>
      </c>
      <c r="D2336" s="2" t="str">
        <f>IFERROR(__xludf.DUMMYFUNCTION("""COMPUTED_VALUE"""),"Ironlane Books")</f>
        <v>Ironlane Books</v>
      </c>
      <c r="E2336" s="2">
        <f>IFERROR(__xludf.DUMMYFUNCTION("""COMPUTED_VALUE"""),1.55)</f>
        <v>1.55</v>
      </c>
      <c r="F2336" s="2"/>
      <c r="G2336" s="2"/>
      <c r="H2336" s="2"/>
      <c r="I2336" s="2"/>
    </row>
    <row r="2337">
      <c r="A2337" s="2">
        <f>IFERROR(__xludf.DUMMYFUNCTION("""COMPUTED_VALUE"""),26277.0)</f>
        <v>26277</v>
      </c>
      <c r="B2337" s="2" t="str">
        <f>IFERROR(__xludf.DUMMYFUNCTION("""COMPUTED_VALUE"""),"Law")</f>
        <v>Law</v>
      </c>
      <c r="C2337" s="2" t="str">
        <f>IFERROR(__xludf.DUMMYFUNCTION("""COMPUTED_VALUE"""),"Athletics")</f>
        <v>Athletics</v>
      </c>
      <c r="D2337" s="2" t="str">
        <f>IFERROR(__xludf.DUMMYFUNCTION("""COMPUTED_VALUE"""),"Ironlane Books")</f>
        <v>Ironlane Books</v>
      </c>
      <c r="E2337" s="2">
        <f>IFERROR(__xludf.DUMMYFUNCTION("""COMPUTED_VALUE"""),2.39)</f>
        <v>2.39</v>
      </c>
      <c r="F2337" s="2"/>
      <c r="G2337" s="2"/>
      <c r="H2337" s="2"/>
      <c r="I2337" s="2"/>
    </row>
    <row r="2338">
      <c r="A2338" s="2">
        <f>IFERROR(__xludf.DUMMYFUNCTION("""COMPUTED_VALUE"""),100251.0)</f>
        <v>100251</v>
      </c>
      <c r="B2338" s="2" t="str">
        <f>IFERROR(__xludf.DUMMYFUNCTION("""COMPUTED_VALUE"""),"Law")</f>
        <v>Law</v>
      </c>
      <c r="C2338" s="2" t="str">
        <f>IFERROR(__xludf.DUMMYFUNCTION("""COMPUTED_VALUE"""),"Athletics")</f>
        <v>Athletics</v>
      </c>
      <c r="D2338" s="2" t="str">
        <f>IFERROR(__xludf.DUMMYFUNCTION("""COMPUTED_VALUE"""),"Ironlane Books")</f>
        <v>Ironlane Books</v>
      </c>
      <c r="E2338" s="2">
        <f>IFERROR(__xludf.DUMMYFUNCTION("""COMPUTED_VALUE"""),1.89)</f>
        <v>1.89</v>
      </c>
      <c r="F2338" s="2"/>
      <c r="G2338" s="2"/>
      <c r="H2338" s="2"/>
      <c r="I2338" s="2"/>
    </row>
    <row r="2339">
      <c r="A2339" s="2">
        <f>IFERROR(__xludf.DUMMYFUNCTION("""COMPUTED_VALUE"""),87885.0)</f>
        <v>87885</v>
      </c>
      <c r="B2339" s="2" t="str">
        <f>IFERROR(__xludf.DUMMYFUNCTION("""COMPUTED_VALUE"""),"Law")</f>
        <v>Law</v>
      </c>
      <c r="C2339" s="2" t="str">
        <f>IFERROR(__xludf.DUMMYFUNCTION("""COMPUTED_VALUE"""),"Athletics")</f>
        <v>Athletics</v>
      </c>
      <c r="D2339" s="2" t="str">
        <f>IFERROR(__xludf.DUMMYFUNCTION("""COMPUTED_VALUE"""),"Ironlane Books")</f>
        <v>Ironlane Books</v>
      </c>
      <c r="E2339" s="2">
        <f>IFERROR(__xludf.DUMMYFUNCTION("""COMPUTED_VALUE"""),2.35)</f>
        <v>2.35</v>
      </c>
      <c r="F2339" s="2"/>
      <c r="G2339" s="2"/>
      <c r="H2339" s="2"/>
      <c r="I2339" s="2"/>
    </row>
    <row r="2340">
      <c r="A2340" s="2">
        <f>IFERROR(__xludf.DUMMYFUNCTION("""COMPUTED_VALUE"""),29023.0)</f>
        <v>29023</v>
      </c>
      <c r="B2340" s="2" t="str">
        <f>IFERROR(__xludf.DUMMYFUNCTION("""COMPUTED_VALUE"""),"Law")</f>
        <v>Law</v>
      </c>
      <c r="C2340" s="2" t="str">
        <f>IFERROR(__xludf.DUMMYFUNCTION("""COMPUTED_VALUE"""),"Athletics")</f>
        <v>Athletics</v>
      </c>
      <c r="D2340" s="2" t="str">
        <f>IFERROR(__xludf.DUMMYFUNCTION("""COMPUTED_VALUE"""),"Ironlane Books")</f>
        <v>Ironlane Books</v>
      </c>
      <c r="E2340" s="2">
        <f>IFERROR(__xludf.DUMMYFUNCTION("""COMPUTED_VALUE"""),2.61)</f>
        <v>2.61</v>
      </c>
      <c r="F2340" s="2"/>
      <c r="G2340" s="2"/>
      <c r="H2340" s="2"/>
      <c r="I2340" s="2"/>
    </row>
    <row r="2341">
      <c r="A2341" s="2">
        <f>IFERROR(__xludf.DUMMYFUNCTION("""COMPUTED_VALUE"""),100250.0)</f>
        <v>100250</v>
      </c>
      <c r="B2341" s="2" t="str">
        <f>IFERROR(__xludf.DUMMYFUNCTION("""COMPUTED_VALUE"""),"Law")</f>
        <v>Law</v>
      </c>
      <c r="C2341" s="2" t="str">
        <f>IFERROR(__xludf.DUMMYFUNCTION("""COMPUTED_VALUE"""),"Athletics")</f>
        <v>Athletics</v>
      </c>
      <c r="D2341" s="2" t="str">
        <f>IFERROR(__xludf.DUMMYFUNCTION("""COMPUTED_VALUE"""),"Ironlane Books")</f>
        <v>Ironlane Books</v>
      </c>
      <c r="E2341" s="2">
        <f>IFERROR(__xludf.DUMMYFUNCTION("""COMPUTED_VALUE"""),1.77)</f>
        <v>1.77</v>
      </c>
      <c r="F2341" s="2"/>
      <c r="G2341" s="2"/>
      <c r="H2341" s="2"/>
      <c r="I2341" s="2"/>
    </row>
    <row r="2342">
      <c r="A2342" s="2">
        <f>IFERROR(__xludf.DUMMYFUNCTION("""COMPUTED_VALUE"""),116320.0)</f>
        <v>116320</v>
      </c>
      <c r="B2342" s="2" t="str">
        <f>IFERROR(__xludf.DUMMYFUNCTION("""COMPUTED_VALUE"""),"Law")</f>
        <v>Law</v>
      </c>
      <c r="C2342" s="2" t="str">
        <f>IFERROR(__xludf.DUMMYFUNCTION("""COMPUTED_VALUE"""),"Athletics")</f>
        <v>Athletics</v>
      </c>
      <c r="D2342" s="2" t="str">
        <f>IFERROR(__xludf.DUMMYFUNCTION("""COMPUTED_VALUE"""),"Ironlane Books")</f>
        <v>Ironlane Books</v>
      </c>
      <c r="E2342" s="2">
        <f>IFERROR(__xludf.DUMMYFUNCTION("""COMPUTED_VALUE"""),1.64)</f>
        <v>1.64</v>
      </c>
      <c r="F2342" s="2"/>
      <c r="G2342" s="2"/>
      <c r="H2342" s="2"/>
      <c r="I2342" s="2"/>
    </row>
    <row r="2343">
      <c r="A2343" s="2">
        <f>IFERROR(__xludf.DUMMYFUNCTION("""COMPUTED_VALUE"""),122149.0)</f>
        <v>122149</v>
      </c>
      <c r="B2343" s="2" t="str">
        <f>IFERROR(__xludf.DUMMYFUNCTION("""COMPUTED_VALUE"""),"Law")</f>
        <v>Law</v>
      </c>
      <c r="C2343" s="2" t="str">
        <f>IFERROR(__xludf.DUMMYFUNCTION("""COMPUTED_VALUE"""),"Athletics")</f>
        <v>Athletics</v>
      </c>
      <c r="D2343" s="2" t="str">
        <f>IFERROR(__xludf.DUMMYFUNCTION("""COMPUTED_VALUE"""),"Silverway Press")</f>
        <v>Silverway Press</v>
      </c>
      <c r="E2343" s="2">
        <f>IFERROR(__xludf.DUMMYFUNCTION("""COMPUTED_VALUE"""),9.41)</f>
        <v>9.41</v>
      </c>
      <c r="F2343" s="2"/>
      <c r="G2343" s="2"/>
      <c r="H2343" s="2"/>
      <c r="I2343" s="2"/>
    </row>
    <row r="2344">
      <c r="A2344" s="2">
        <f>IFERROR(__xludf.DUMMYFUNCTION("""COMPUTED_VALUE"""),107220.0)</f>
        <v>107220</v>
      </c>
      <c r="B2344" s="2" t="str">
        <f>IFERROR(__xludf.DUMMYFUNCTION("""COMPUTED_VALUE"""),"Law")</f>
        <v>Law</v>
      </c>
      <c r="C2344" s="2" t="str">
        <f>IFERROR(__xludf.DUMMYFUNCTION("""COMPUTED_VALUE"""),"Athletics")</f>
        <v>Athletics</v>
      </c>
      <c r="D2344" s="2" t="str">
        <f>IFERROR(__xludf.DUMMYFUNCTION("""COMPUTED_VALUE"""),"Silverway Press")</f>
        <v>Silverway Press</v>
      </c>
      <c r="E2344" s="2">
        <f>IFERROR(__xludf.DUMMYFUNCTION("""COMPUTED_VALUE"""),3.8)</f>
        <v>3.8</v>
      </c>
      <c r="F2344" s="2"/>
      <c r="G2344" s="2"/>
      <c r="H2344" s="2"/>
      <c r="I2344" s="2"/>
    </row>
    <row r="2345">
      <c r="A2345" s="2">
        <f>IFERROR(__xludf.DUMMYFUNCTION("""COMPUTED_VALUE"""),122151.0)</f>
        <v>122151</v>
      </c>
      <c r="B2345" s="2" t="str">
        <f>IFERROR(__xludf.DUMMYFUNCTION("""COMPUTED_VALUE"""),"Law")</f>
        <v>Law</v>
      </c>
      <c r="C2345" s="2" t="str">
        <f>IFERROR(__xludf.DUMMYFUNCTION("""COMPUTED_VALUE"""),"Athletics")</f>
        <v>Athletics</v>
      </c>
      <c r="D2345" s="2" t="str">
        <f>IFERROR(__xludf.DUMMYFUNCTION("""COMPUTED_VALUE"""),"Silverway Press")</f>
        <v>Silverway Press</v>
      </c>
      <c r="E2345" s="2">
        <f>IFERROR(__xludf.DUMMYFUNCTION("""COMPUTED_VALUE"""),9.32)</f>
        <v>9.32</v>
      </c>
      <c r="F2345" s="2"/>
      <c r="G2345" s="2"/>
      <c r="H2345" s="2"/>
      <c r="I2345" s="2"/>
    </row>
    <row r="2346">
      <c r="A2346" s="2">
        <f>IFERROR(__xludf.DUMMYFUNCTION("""COMPUTED_VALUE"""),115766.0)</f>
        <v>115766</v>
      </c>
      <c r="B2346" s="2" t="str">
        <f>IFERROR(__xludf.DUMMYFUNCTION("""COMPUTED_VALUE"""),"Law")</f>
        <v>Law</v>
      </c>
      <c r="C2346" s="2" t="str">
        <f>IFERROR(__xludf.DUMMYFUNCTION("""COMPUTED_VALUE"""),"Athletics")</f>
        <v>Athletics</v>
      </c>
      <c r="D2346" s="2" t="str">
        <f>IFERROR(__xludf.DUMMYFUNCTION("""COMPUTED_VALUE"""),"Silverway Press")</f>
        <v>Silverway Press</v>
      </c>
      <c r="E2346" s="2">
        <f>IFERROR(__xludf.DUMMYFUNCTION("""COMPUTED_VALUE"""),1.86)</f>
        <v>1.86</v>
      </c>
      <c r="F2346" s="2"/>
      <c r="G2346" s="2"/>
      <c r="H2346" s="2"/>
      <c r="I2346" s="2"/>
    </row>
    <row r="2347">
      <c r="A2347" s="2">
        <f>IFERROR(__xludf.DUMMYFUNCTION("""COMPUTED_VALUE"""),114033.0)</f>
        <v>114033</v>
      </c>
      <c r="B2347" s="2" t="str">
        <f>IFERROR(__xludf.DUMMYFUNCTION("""COMPUTED_VALUE"""),"Law")</f>
        <v>Law</v>
      </c>
      <c r="C2347" s="2" t="str">
        <f>IFERROR(__xludf.DUMMYFUNCTION("""COMPUTED_VALUE"""),"Athletics")</f>
        <v>Athletics</v>
      </c>
      <c r="D2347" s="2" t="str">
        <f>IFERROR(__xludf.DUMMYFUNCTION("""COMPUTED_VALUE"""),"Silverway Press")</f>
        <v>Silverway Press</v>
      </c>
      <c r="E2347" s="2">
        <f>IFERROR(__xludf.DUMMYFUNCTION("""COMPUTED_VALUE"""),5.52)</f>
        <v>5.52</v>
      </c>
      <c r="F2347" s="2"/>
      <c r="G2347" s="2"/>
      <c r="H2347" s="2"/>
      <c r="I2347" s="2"/>
    </row>
    <row r="2348">
      <c r="A2348" s="2">
        <f>IFERROR(__xludf.DUMMYFUNCTION("""COMPUTED_VALUE"""),149508.0)</f>
        <v>149508</v>
      </c>
      <c r="B2348" s="2" t="str">
        <f>IFERROR(__xludf.DUMMYFUNCTION("""COMPUTED_VALUE"""),"Law")</f>
        <v>Law</v>
      </c>
      <c r="C2348" s="2" t="str">
        <f>IFERROR(__xludf.DUMMYFUNCTION("""COMPUTED_VALUE"""),"Athletics")</f>
        <v>Athletics</v>
      </c>
      <c r="D2348" s="2" t="str">
        <f>IFERROR(__xludf.DUMMYFUNCTION("""COMPUTED_VALUE"""),"Silverway Press")</f>
        <v>Silverway Press</v>
      </c>
      <c r="E2348" s="2">
        <f>IFERROR(__xludf.DUMMYFUNCTION("""COMPUTED_VALUE"""),3.58)</f>
        <v>3.58</v>
      </c>
      <c r="F2348" s="2"/>
      <c r="G2348" s="2"/>
      <c r="H2348" s="2"/>
      <c r="I2348" s="2"/>
    </row>
    <row r="2349">
      <c r="A2349" s="2">
        <f>IFERROR(__xludf.DUMMYFUNCTION("""COMPUTED_VALUE"""),107256.0)</f>
        <v>107256</v>
      </c>
      <c r="B2349" s="2" t="str">
        <f>IFERROR(__xludf.DUMMYFUNCTION("""COMPUTED_VALUE"""),"Law")</f>
        <v>Law</v>
      </c>
      <c r="C2349" s="2" t="str">
        <f>IFERROR(__xludf.DUMMYFUNCTION("""COMPUTED_VALUE"""),"Athletics")</f>
        <v>Athletics</v>
      </c>
      <c r="D2349" s="2" t="str">
        <f>IFERROR(__xludf.DUMMYFUNCTION("""COMPUTED_VALUE"""),"Silverway Press")</f>
        <v>Silverway Press</v>
      </c>
      <c r="E2349" s="2">
        <f>IFERROR(__xludf.DUMMYFUNCTION("""COMPUTED_VALUE"""),1.82)</f>
        <v>1.82</v>
      </c>
      <c r="F2349" s="2"/>
      <c r="G2349" s="2"/>
      <c r="H2349" s="2"/>
      <c r="I2349" s="2"/>
    </row>
    <row r="2350">
      <c r="A2350" s="2">
        <f>IFERROR(__xludf.DUMMYFUNCTION("""COMPUTED_VALUE"""),121615.0)</f>
        <v>121615</v>
      </c>
      <c r="B2350" s="2" t="str">
        <f>IFERROR(__xludf.DUMMYFUNCTION("""COMPUTED_VALUE"""),"Law")</f>
        <v>Law</v>
      </c>
      <c r="C2350" s="2" t="str">
        <f>IFERROR(__xludf.DUMMYFUNCTION("""COMPUTED_VALUE"""),"Athletics")</f>
        <v>Athletics</v>
      </c>
      <c r="D2350" s="2" t="str">
        <f>IFERROR(__xludf.DUMMYFUNCTION("""COMPUTED_VALUE"""),"Silverway Press")</f>
        <v>Silverway Press</v>
      </c>
      <c r="E2350" s="2">
        <f>IFERROR(__xludf.DUMMYFUNCTION("""COMPUTED_VALUE"""),5.56)</f>
        <v>5.56</v>
      </c>
      <c r="F2350" s="2"/>
      <c r="G2350" s="2"/>
      <c r="H2350" s="2"/>
      <c r="I2350" s="2"/>
    </row>
    <row r="2351">
      <c r="A2351" s="2">
        <f>IFERROR(__xludf.DUMMYFUNCTION("""COMPUTED_VALUE"""),107226.0)</f>
        <v>107226</v>
      </c>
      <c r="B2351" s="2" t="str">
        <f>IFERROR(__xludf.DUMMYFUNCTION("""COMPUTED_VALUE"""),"Law")</f>
        <v>Law</v>
      </c>
      <c r="C2351" s="2" t="str">
        <f>IFERROR(__xludf.DUMMYFUNCTION("""COMPUTED_VALUE"""),"Athletics")</f>
        <v>Athletics</v>
      </c>
      <c r="D2351" s="2" t="str">
        <f>IFERROR(__xludf.DUMMYFUNCTION("""COMPUTED_VALUE"""),"Silverway Press")</f>
        <v>Silverway Press</v>
      </c>
      <c r="E2351" s="2">
        <f>IFERROR(__xludf.DUMMYFUNCTION("""COMPUTED_VALUE"""),3.69)</f>
        <v>3.69</v>
      </c>
      <c r="F2351" s="2"/>
      <c r="G2351" s="2"/>
      <c r="H2351" s="2"/>
      <c r="I2351" s="2"/>
    </row>
    <row r="2352">
      <c r="A2352" s="2">
        <f>IFERROR(__xludf.DUMMYFUNCTION("""COMPUTED_VALUE"""),120188.0)</f>
        <v>120188</v>
      </c>
      <c r="B2352" s="2" t="str">
        <f>IFERROR(__xludf.DUMMYFUNCTION("""COMPUTED_VALUE"""),"Law")</f>
        <v>Law</v>
      </c>
      <c r="C2352" s="2" t="str">
        <f>IFERROR(__xludf.DUMMYFUNCTION("""COMPUTED_VALUE"""),"Athletics")</f>
        <v>Athletics</v>
      </c>
      <c r="D2352" s="2" t="str">
        <f>IFERROR(__xludf.DUMMYFUNCTION("""COMPUTED_VALUE"""),"Silverway Press")</f>
        <v>Silverway Press</v>
      </c>
      <c r="E2352" s="2">
        <f>IFERROR(__xludf.DUMMYFUNCTION("""COMPUTED_VALUE"""),6.08)</f>
        <v>6.08</v>
      </c>
      <c r="F2352" s="2"/>
      <c r="G2352" s="2"/>
      <c r="H2352" s="2"/>
      <c r="I2352" s="2"/>
    </row>
    <row r="2353">
      <c r="A2353" s="2">
        <f>IFERROR(__xludf.DUMMYFUNCTION("""COMPUTED_VALUE"""),107944.0)</f>
        <v>107944</v>
      </c>
      <c r="B2353" s="2" t="str">
        <f>IFERROR(__xludf.DUMMYFUNCTION("""COMPUTED_VALUE"""),"Law")</f>
        <v>Law</v>
      </c>
      <c r="C2353" s="2" t="str">
        <f>IFERROR(__xludf.DUMMYFUNCTION("""COMPUTED_VALUE"""),"Athletics")</f>
        <v>Athletics</v>
      </c>
      <c r="D2353" s="2" t="str">
        <f>IFERROR(__xludf.DUMMYFUNCTION("""COMPUTED_VALUE"""),"Silverway Press")</f>
        <v>Silverway Press</v>
      </c>
      <c r="E2353" s="2">
        <f>IFERROR(__xludf.DUMMYFUNCTION("""COMPUTED_VALUE"""),6.31)</f>
        <v>6.31</v>
      </c>
      <c r="F2353" s="2"/>
      <c r="G2353" s="2"/>
      <c r="H2353" s="2"/>
      <c r="I2353" s="2"/>
    </row>
    <row r="2354">
      <c r="A2354" s="2">
        <f>IFERROR(__xludf.DUMMYFUNCTION("""COMPUTED_VALUE"""),70243.0)</f>
        <v>70243</v>
      </c>
      <c r="B2354" s="2" t="str">
        <f>IFERROR(__xludf.DUMMYFUNCTION("""COMPUTED_VALUE"""),"Law")</f>
        <v>Law</v>
      </c>
      <c r="C2354" s="2" t="str">
        <f>IFERROR(__xludf.DUMMYFUNCTION("""COMPUTED_VALUE"""),"Athletics")</f>
        <v>Athletics</v>
      </c>
      <c r="D2354" s="2" t="str">
        <f>IFERROR(__xludf.DUMMYFUNCTION("""COMPUTED_VALUE"""),"Silverway Press")</f>
        <v>Silverway Press</v>
      </c>
      <c r="E2354" s="2">
        <f>IFERROR(__xludf.DUMMYFUNCTION("""COMPUTED_VALUE"""),4.84)</f>
        <v>4.84</v>
      </c>
      <c r="F2354" s="2"/>
      <c r="G2354" s="2"/>
      <c r="H2354" s="2"/>
      <c r="I2354" s="2"/>
    </row>
    <row r="2355">
      <c r="A2355" s="2">
        <f>IFERROR(__xludf.DUMMYFUNCTION("""COMPUTED_VALUE"""),149505.0)</f>
        <v>149505</v>
      </c>
      <c r="B2355" s="2" t="str">
        <f>IFERROR(__xludf.DUMMYFUNCTION("""COMPUTED_VALUE"""),"Law")</f>
        <v>Law</v>
      </c>
      <c r="C2355" s="2" t="str">
        <f>IFERROR(__xludf.DUMMYFUNCTION("""COMPUTED_VALUE"""),"Athletics")</f>
        <v>Athletics</v>
      </c>
      <c r="D2355" s="2" t="str">
        <f>IFERROR(__xludf.DUMMYFUNCTION("""COMPUTED_VALUE"""),"Silverway Press")</f>
        <v>Silverway Press</v>
      </c>
      <c r="E2355" s="2">
        <f>IFERROR(__xludf.DUMMYFUNCTION("""COMPUTED_VALUE"""),3.94)</f>
        <v>3.94</v>
      </c>
      <c r="F2355" s="2"/>
      <c r="G2355" s="2"/>
      <c r="H2355" s="2"/>
      <c r="I2355" s="2"/>
    </row>
    <row r="2356">
      <c r="A2356" s="2">
        <f>IFERROR(__xludf.DUMMYFUNCTION("""COMPUTED_VALUE"""),101428.0)</f>
        <v>101428</v>
      </c>
      <c r="B2356" s="2" t="str">
        <f>IFERROR(__xludf.DUMMYFUNCTION("""COMPUTED_VALUE"""),"Law")</f>
        <v>Law</v>
      </c>
      <c r="C2356" s="2" t="str">
        <f>IFERROR(__xludf.DUMMYFUNCTION("""COMPUTED_VALUE"""),"Athletics")</f>
        <v>Athletics</v>
      </c>
      <c r="D2356" s="2" t="str">
        <f>IFERROR(__xludf.DUMMYFUNCTION("""COMPUTED_VALUE"""),"Silverway Press")</f>
        <v>Silverway Press</v>
      </c>
      <c r="E2356" s="2">
        <f>IFERROR(__xludf.DUMMYFUNCTION("""COMPUTED_VALUE"""),5.5)</f>
        <v>5.5</v>
      </c>
      <c r="F2356" s="2"/>
      <c r="G2356" s="2"/>
      <c r="H2356" s="2"/>
      <c r="I2356" s="2"/>
    </row>
    <row r="2357">
      <c r="A2357" s="2">
        <f>IFERROR(__xludf.DUMMYFUNCTION("""COMPUTED_VALUE"""),121798.0)</f>
        <v>121798</v>
      </c>
      <c r="B2357" s="2" t="str">
        <f>IFERROR(__xludf.DUMMYFUNCTION("""COMPUTED_VALUE"""),"Law")</f>
        <v>Law</v>
      </c>
      <c r="C2357" s="2" t="str">
        <f>IFERROR(__xludf.DUMMYFUNCTION("""COMPUTED_VALUE"""),"Athletics")</f>
        <v>Athletics</v>
      </c>
      <c r="D2357" s="2" t="str">
        <f>IFERROR(__xludf.DUMMYFUNCTION("""COMPUTED_VALUE"""),"Northway Publishing")</f>
        <v>Northway Publishing</v>
      </c>
      <c r="E2357" s="2">
        <f>IFERROR(__xludf.DUMMYFUNCTION("""COMPUTED_VALUE"""),1.68)</f>
        <v>1.68</v>
      </c>
      <c r="F2357" s="2"/>
      <c r="G2357" s="2"/>
      <c r="H2357" s="2"/>
      <c r="I2357" s="2"/>
    </row>
    <row r="2358">
      <c r="A2358" s="2">
        <f>IFERROR(__xludf.DUMMYFUNCTION("""COMPUTED_VALUE"""),88636.0)</f>
        <v>88636</v>
      </c>
      <c r="B2358" s="2" t="str">
        <f>IFERROR(__xludf.DUMMYFUNCTION("""COMPUTED_VALUE"""),"Law")</f>
        <v>Law</v>
      </c>
      <c r="C2358" s="2" t="str">
        <f>IFERROR(__xludf.DUMMYFUNCTION("""COMPUTED_VALUE"""),"Athletics")</f>
        <v>Athletics</v>
      </c>
      <c r="D2358" s="2" t="str">
        <f>IFERROR(__xludf.DUMMYFUNCTION("""COMPUTED_VALUE"""),"Northway Publishing")</f>
        <v>Northway Publishing</v>
      </c>
      <c r="E2358" s="2">
        <f>IFERROR(__xludf.DUMMYFUNCTION("""COMPUTED_VALUE"""),3.42)</f>
        <v>3.42</v>
      </c>
      <c r="F2358" s="2"/>
      <c r="G2358" s="2"/>
      <c r="H2358" s="2"/>
      <c r="I2358" s="2"/>
    </row>
    <row r="2359">
      <c r="A2359" s="2">
        <f>IFERROR(__xludf.DUMMYFUNCTION("""COMPUTED_VALUE"""),111038.0)</f>
        <v>111038</v>
      </c>
      <c r="B2359" s="2" t="str">
        <f>IFERROR(__xludf.DUMMYFUNCTION("""COMPUTED_VALUE"""),"Law")</f>
        <v>Law</v>
      </c>
      <c r="C2359" s="2" t="str">
        <f>IFERROR(__xludf.DUMMYFUNCTION("""COMPUTED_VALUE"""),"Athletics")</f>
        <v>Athletics</v>
      </c>
      <c r="D2359" s="2" t="str">
        <f>IFERROR(__xludf.DUMMYFUNCTION("""COMPUTED_VALUE"""),"Northway Publishing")</f>
        <v>Northway Publishing</v>
      </c>
      <c r="E2359" s="2">
        <f>IFERROR(__xludf.DUMMYFUNCTION("""COMPUTED_VALUE"""),1.57)</f>
        <v>1.57</v>
      </c>
      <c r="F2359" s="2"/>
      <c r="G2359" s="2"/>
      <c r="H2359" s="2"/>
      <c r="I2359" s="2"/>
    </row>
    <row r="2360">
      <c r="A2360" s="2">
        <f>IFERROR(__xludf.DUMMYFUNCTION("""COMPUTED_VALUE"""),75032.0)</f>
        <v>75032</v>
      </c>
      <c r="B2360" s="2" t="str">
        <f>IFERROR(__xludf.DUMMYFUNCTION("""COMPUTED_VALUE"""),"Law")</f>
        <v>Law</v>
      </c>
      <c r="C2360" s="2" t="str">
        <f>IFERROR(__xludf.DUMMYFUNCTION("""COMPUTED_VALUE"""),"Athletics")</f>
        <v>Athletics</v>
      </c>
      <c r="D2360" s="2" t="str">
        <f>IFERROR(__xludf.DUMMYFUNCTION("""COMPUTED_VALUE"""),"Northway Publishing")</f>
        <v>Northway Publishing</v>
      </c>
      <c r="E2360" s="2">
        <f>IFERROR(__xludf.DUMMYFUNCTION("""COMPUTED_VALUE"""),2.47)</f>
        <v>2.47</v>
      </c>
      <c r="F2360" s="2"/>
      <c r="G2360" s="2"/>
      <c r="H2360" s="2"/>
      <c r="I2360" s="2"/>
    </row>
    <row r="2361">
      <c r="A2361" s="2">
        <f>IFERROR(__xludf.DUMMYFUNCTION("""COMPUTED_VALUE"""),70187.0)</f>
        <v>70187</v>
      </c>
      <c r="B2361" s="2" t="str">
        <f>IFERROR(__xludf.DUMMYFUNCTION("""COMPUTED_VALUE"""),"Law")</f>
        <v>Law</v>
      </c>
      <c r="C2361" s="2" t="str">
        <f>IFERROR(__xludf.DUMMYFUNCTION("""COMPUTED_VALUE"""),"Athletics")</f>
        <v>Athletics</v>
      </c>
      <c r="D2361" s="2" t="str">
        <f>IFERROR(__xludf.DUMMYFUNCTION("""COMPUTED_VALUE"""),"Northway Publishing")</f>
        <v>Northway Publishing</v>
      </c>
      <c r="E2361" s="2">
        <f>IFERROR(__xludf.DUMMYFUNCTION("""COMPUTED_VALUE"""),2.39)</f>
        <v>2.39</v>
      </c>
      <c r="F2361" s="2"/>
      <c r="G2361" s="2"/>
      <c r="H2361" s="2"/>
      <c r="I2361" s="2"/>
    </row>
    <row r="2362">
      <c r="A2362" s="2">
        <f>IFERROR(__xludf.DUMMYFUNCTION("""COMPUTED_VALUE"""),147278.0)</f>
        <v>147278</v>
      </c>
      <c r="B2362" s="2" t="str">
        <f>IFERROR(__xludf.DUMMYFUNCTION("""COMPUTED_VALUE"""),"Law")</f>
        <v>Law</v>
      </c>
      <c r="C2362" s="2" t="str">
        <f>IFERROR(__xludf.DUMMYFUNCTION("""COMPUTED_VALUE"""),"Athletics")</f>
        <v>Athletics</v>
      </c>
      <c r="D2362" s="2" t="str">
        <f>IFERROR(__xludf.DUMMYFUNCTION("""COMPUTED_VALUE"""),"Northway Publishing")</f>
        <v>Northway Publishing</v>
      </c>
      <c r="E2362" s="2">
        <f>IFERROR(__xludf.DUMMYFUNCTION("""COMPUTED_VALUE"""),2.4)</f>
        <v>2.4</v>
      </c>
      <c r="F2362" s="2"/>
      <c r="G2362" s="2"/>
      <c r="H2362" s="2"/>
      <c r="I2362" s="2"/>
    </row>
    <row r="2363">
      <c r="A2363" s="2">
        <f>IFERROR(__xludf.DUMMYFUNCTION("""COMPUTED_VALUE"""),114972.0)</f>
        <v>114972</v>
      </c>
      <c r="B2363" s="2" t="str">
        <f>IFERROR(__xludf.DUMMYFUNCTION("""COMPUTED_VALUE"""),"Law")</f>
        <v>Law</v>
      </c>
      <c r="C2363" s="2" t="str">
        <f>IFERROR(__xludf.DUMMYFUNCTION("""COMPUTED_VALUE"""),"Athletics")</f>
        <v>Athletics</v>
      </c>
      <c r="D2363" s="2" t="str">
        <f>IFERROR(__xludf.DUMMYFUNCTION("""COMPUTED_VALUE"""),"Northway Publishing")</f>
        <v>Northway Publishing</v>
      </c>
      <c r="E2363" s="2">
        <f>IFERROR(__xludf.DUMMYFUNCTION("""COMPUTED_VALUE"""),2.3)</f>
        <v>2.3</v>
      </c>
      <c r="F2363" s="2"/>
      <c r="G2363" s="2"/>
      <c r="H2363" s="2"/>
      <c r="I2363" s="2"/>
    </row>
    <row r="2364">
      <c r="A2364" s="2">
        <f>IFERROR(__xludf.DUMMYFUNCTION("""COMPUTED_VALUE"""),75072.0)</f>
        <v>75072</v>
      </c>
      <c r="B2364" s="2" t="str">
        <f>IFERROR(__xludf.DUMMYFUNCTION("""COMPUTED_VALUE"""),"Law")</f>
        <v>Law</v>
      </c>
      <c r="C2364" s="2" t="str">
        <f>IFERROR(__xludf.DUMMYFUNCTION("""COMPUTED_VALUE"""),"Athletics")</f>
        <v>Athletics</v>
      </c>
      <c r="D2364" s="2" t="str">
        <f>IFERROR(__xludf.DUMMYFUNCTION("""COMPUTED_VALUE"""),"Northway Publishing")</f>
        <v>Northway Publishing</v>
      </c>
      <c r="E2364" s="2">
        <f>IFERROR(__xludf.DUMMYFUNCTION("""COMPUTED_VALUE"""),2.2)</f>
        <v>2.2</v>
      </c>
      <c r="F2364" s="2"/>
      <c r="G2364" s="2"/>
      <c r="H2364" s="2"/>
      <c r="I2364" s="2"/>
    </row>
    <row r="2365">
      <c r="A2365" s="2">
        <f>IFERROR(__xludf.DUMMYFUNCTION("""COMPUTED_VALUE"""),114971.0)</f>
        <v>114971</v>
      </c>
      <c r="B2365" s="2" t="str">
        <f>IFERROR(__xludf.DUMMYFUNCTION("""COMPUTED_VALUE"""),"Law")</f>
        <v>Law</v>
      </c>
      <c r="C2365" s="2" t="str">
        <f>IFERROR(__xludf.DUMMYFUNCTION("""COMPUTED_VALUE"""),"Athletics")</f>
        <v>Athletics</v>
      </c>
      <c r="D2365" s="2" t="str">
        <f>IFERROR(__xludf.DUMMYFUNCTION("""COMPUTED_VALUE"""),"Northway Publishing")</f>
        <v>Northway Publishing</v>
      </c>
      <c r="E2365" s="2">
        <f>IFERROR(__xludf.DUMMYFUNCTION("""COMPUTED_VALUE"""),1.88)</f>
        <v>1.88</v>
      </c>
      <c r="F2365" s="2"/>
      <c r="G2365" s="2"/>
      <c r="H2365" s="2"/>
      <c r="I2365" s="2"/>
    </row>
    <row r="2366">
      <c r="A2366" s="2">
        <f>IFERROR(__xludf.DUMMYFUNCTION("""COMPUTED_VALUE"""),99981.0)</f>
        <v>99981</v>
      </c>
      <c r="B2366" s="2" t="str">
        <f>IFERROR(__xludf.DUMMYFUNCTION("""COMPUTED_VALUE"""),"Law")</f>
        <v>Law</v>
      </c>
      <c r="C2366" s="2" t="str">
        <f>IFERROR(__xludf.DUMMYFUNCTION("""COMPUTED_VALUE"""),"Athletics")</f>
        <v>Athletics</v>
      </c>
      <c r="D2366" s="2" t="str">
        <f>IFERROR(__xludf.DUMMYFUNCTION("""COMPUTED_VALUE"""),"Northway Publishing")</f>
        <v>Northway Publishing</v>
      </c>
      <c r="E2366" s="2">
        <f>IFERROR(__xludf.DUMMYFUNCTION("""COMPUTED_VALUE"""),1.67)</f>
        <v>1.67</v>
      </c>
      <c r="F2366" s="2"/>
      <c r="G2366" s="2"/>
      <c r="H2366" s="2"/>
      <c r="I2366" s="2"/>
    </row>
    <row r="2367">
      <c r="A2367" s="2">
        <f>IFERROR(__xludf.DUMMYFUNCTION("""COMPUTED_VALUE"""),86383.0)</f>
        <v>86383</v>
      </c>
      <c r="B2367" s="2" t="str">
        <f>IFERROR(__xludf.DUMMYFUNCTION("""COMPUTED_VALUE"""),"Law")</f>
        <v>Law</v>
      </c>
      <c r="C2367" s="2" t="str">
        <f>IFERROR(__xludf.DUMMYFUNCTION("""COMPUTED_VALUE"""),"Athletics")</f>
        <v>Athletics</v>
      </c>
      <c r="D2367" s="2" t="str">
        <f>IFERROR(__xludf.DUMMYFUNCTION("""COMPUTED_VALUE"""),"Northway Publishing")</f>
        <v>Northway Publishing</v>
      </c>
      <c r="E2367" s="2">
        <f>IFERROR(__xludf.DUMMYFUNCTION("""COMPUTED_VALUE"""),1.91)</f>
        <v>1.91</v>
      </c>
      <c r="F2367" s="2"/>
      <c r="G2367" s="2"/>
      <c r="H2367" s="2"/>
      <c r="I2367" s="2"/>
    </row>
    <row r="2368">
      <c r="A2368" s="2">
        <f>IFERROR(__xludf.DUMMYFUNCTION("""COMPUTED_VALUE"""),89587.0)</f>
        <v>89587</v>
      </c>
      <c r="B2368" s="2" t="str">
        <f>IFERROR(__xludf.DUMMYFUNCTION("""COMPUTED_VALUE"""),"Law")</f>
        <v>Law</v>
      </c>
      <c r="C2368" s="2" t="str">
        <f>IFERROR(__xludf.DUMMYFUNCTION("""COMPUTED_VALUE"""),"Athletics")</f>
        <v>Athletics</v>
      </c>
      <c r="D2368" s="2" t="str">
        <f>IFERROR(__xludf.DUMMYFUNCTION("""COMPUTED_VALUE"""),"Northway Publishing")</f>
        <v>Northway Publishing</v>
      </c>
      <c r="E2368" s="2">
        <f>IFERROR(__xludf.DUMMYFUNCTION("""COMPUTED_VALUE"""),2.35)</f>
        <v>2.35</v>
      </c>
      <c r="F2368" s="2"/>
      <c r="G2368" s="2"/>
      <c r="H2368" s="2"/>
      <c r="I2368" s="2"/>
    </row>
    <row r="2369">
      <c r="A2369" s="2">
        <f>IFERROR(__xludf.DUMMYFUNCTION("""COMPUTED_VALUE"""),89516.0)</f>
        <v>89516</v>
      </c>
      <c r="B2369" s="2" t="str">
        <f>IFERROR(__xludf.DUMMYFUNCTION("""COMPUTED_VALUE"""),"Law")</f>
        <v>Law</v>
      </c>
      <c r="C2369" s="2" t="str">
        <f>IFERROR(__xludf.DUMMYFUNCTION("""COMPUTED_VALUE"""),"Athletics")</f>
        <v>Athletics</v>
      </c>
      <c r="D2369" s="2" t="str">
        <f>IFERROR(__xludf.DUMMYFUNCTION("""COMPUTED_VALUE"""),"Northway Publishing")</f>
        <v>Northway Publishing</v>
      </c>
      <c r="E2369" s="2">
        <f>IFERROR(__xludf.DUMMYFUNCTION("""COMPUTED_VALUE"""),2.21)</f>
        <v>2.21</v>
      </c>
      <c r="F2369" s="2"/>
      <c r="G2369" s="2"/>
      <c r="H2369" s="2"/>
      <c r="I2369" s="2"/>
    </row>
    <row r="2370">
      <c r="A2370" s="2">
        <f>IFERROR(__xludf.DUMMYFUNCTION("""COMPUTED_VALUE"""),89519.0)</f>
        <v>89519</v>
      </c>
      <c r="B2370" s="2" t="str">
        <f>IFERROR(__xludf.DUMMYFUNCTION("""COMPUTED_VALUE"""),"Law")</f>
        <v>Law</v>
      </c>
      <c r="C2370" s="2" t="str">
        <f>IFERROR(__xludf.DUMMYFUNCTION("""COMPUTED_VALUE"""),"Athletics")</f>
        <v>Athletics</v>
      </c>
      <c r="D2370" s="2" t="str">
        <f>IFERROR(__xludf.DUMMYFUNCTION("""COMPUTED_VALUE"""),"Northway Publishing")</f>
        <v>Northway Publishing</v>
      </c>
      <c r="E2370" s="2">
        <f>IFERROR(__xludf.DUMMYFUNCTION("""COMPUTED_VALUE"""),2.06)</f>
        <v>2.06</v>
      </c>
      <c r="F2370" s="2"/>
      <c r="G2370" s="2"/>
      <c r="H2370" s="2"/>
      <c r="I2370" s="2"/>
    </row>
    <row r="2371">
      <c r="A2371" s="2">
        <f>IFERROR(__xludf.DUMMYFUNCTION("""COMPUTED_VALUE"""),75060.0)</f>
        <v>75060</v>
      </c>
      <c r="B2371" s="2" t="str">
        <f>IFERROR(__xludf.DUMMYFUNCTION("""COMPUTED_VALUE"""),"Law")</f>
        <v>Law</v>
      </c>
      <c r="C2371" s="2" t="str">
        <f>IFERROR(__xludf.DUMMYFUNCTION("""COMPUTED_VALUE"""),"Athletics")</f>
        <v>Athletics</v>
      </c>
      <c r="D2371" s="2" t="str">
        <f>IFERROR(__xludf.DUMMYFUNCTION("""COMPUTED_VALUE"""),"Northway Publishing")</f>
        <v>Northway Publishing</v>
      </c>
      <c r="E2371" s="2">
        <f>IFERROR(__xludf.DUMMYFUNCTION("""COMPUTED_VALUE"""),1.96)</f>
        <v>1.96</v>
      </c>
      <c r="F2371" s="2"/>
      <c r="G2371" s="2"/>
      <c r="H2371" s="2"/>
      <c r="I2371" s="2"/>
    </row>
    <row r="2372">
      <c r="A2372" s="2">
        <f>IFERROR(__xludf.DUMMYFUNCTION("""COMPUTED_VALUE"""),111745.0)</f>
        <v>111745</v>
      </c>
      <c r="B2372" s="2" t="str">
        <f>IFERROR(__xludf.DUMMYFUNCTION("""COMPUTED_VALUE"""),"Law")</f>
        <v>Law</v>
      </c>
      <c r="C2372" s="2" t="str">
        <f>IFERROR(__xludf.DUMMYFUNCTION("""COMPUTED_VALUE"""),"Athletics")</f>
        <v>Athletics</v>
      </c>
      <c r="D2372" s="2" t="str">
        <f>IFERROR(__xludf.DUMMYFUNCTION("""COMPUTED_VALUE"""),"Northway Publishing")</f>
        <v>Northway Publishing</v>
      </c>
      <c r="E2372" s="2">
        <f>IFERROR(__xludf.DUMMYFUNCTION("""COMPUTED_VALUE"""),1.03)</f>
        <v>1.03</v>
      </c>
      <c r="F2372" s="2"/>
      <c r="G2372" s="2"/>
      <c r="H2372" s="2"/>
      <c r="I2372" s="2"/>
    </row>
    <row r="2373">
      <c r="A2373" s="2">
        <f>IFERROR(__xludf.DUMMYFUNCTION("""COMPUTED_VALUE"""),70242.0)</f>
        <v>70242</v>
      </c>
      <c r="B2373" s="2" t="str">
        <f>IFERROR(__xludf.DUMMYFUNCTION("""COMPUTED_VALUE"""),"Law")</f>
        <v>Law</v>
      </c>
      <c r="C2373" s="2" t="str">
        <f>IFERROR(__xludf.DUMMYFUNCTION("""COMPUTED_VALUE"""),"Athletics")</f>
        <v>Athletics</v>
      </c>
      <c r="D2373" s="2" t="str">
        <f>IFERROR(__xludf.DUMMYFUNCTION("""COMPUTED_VALUE"""),"Northway Publishing")</f>
        <v>Northway Publishing</v>
      </c>
      <c r="E2373" s="2">
        <f>IFERROR(__xludf.DUMMYFUNCTION("""COMPUTED_VALUE"""),3.77)</f>
        <v>3.77</v>
      </c>
      <c r="F2373" s="2"/>
      <c r="G2373" s="2"/>
      <c r="H2373" s="2"/>
      <c r="I2373" s="2"/>
    </row>
    <row r="2374">
      <c r="A2374" s="2">
        <f>IFERROR(__xludf.DUMMYFUNCTION("""COMPUTED_VALUE"""),75061.0)</f>
        <v>75061</v>
      </c>
      <c r="B2374" s="2" t="str">
        <f>IFERROR(__xludf.DUMMYFUNCTION("""COMPUTED_VALUE"""),"Law")</f>
        <v>Law</v>
      </c>
      <c r="C2374" s="2" t="str">
        <f>IFERROR(__xludf.DUMMYFUNCTION("""COMPUTED_VALUE"""),"Athletics")</f>
        <v>Athletics</v>
      </c>
      <c r="D2374" s="2" t="str">
        <f>IFERROR(__xludf.DUMMYFUNCTION("""COMPUTED_VALUE"""),"Northway Publishing")</f>
        <v>Northway Publishing</v>
      </c>
      <c r="E2374" s="2">
        <f>IFERROR(__xludf.DUMMYFUNCTION("""COMPUTED_VALUE"""),1.96)</f>
        <v>1.96</v>
      </c>
      <c r="F2374" s="2"/>
      <c r="G2374" s="2"/>
      <c r="H2374" s="2"/>
      <c r="I2374" s="2"/>
    </row>
    <row r="2375">
      <c r="A2375" s="2">
        <f>IFERROR(__xludf.DUMMYFUNCTION("""COMPUTED_VALUE"""),69467.0)</f>
        <v>69467</v>
      </c>
      <c r="B2375" s="2" t="str">
        <f>IFERROR(__xludf.DUMMYFUNCTION("""COMPUTED_VALUE"""),"Law")</f>
        <v>Law</v>
      </c>
      <c r="C2375" s="2" t="str">
        <f>IFERROR(__xludf.DUMMYFUNCTION("""COMPUTED_VALUE"""),"Athletics")</f>
        <v>Athletics</v>
      </c>
      <c r="D2375" s="2" t="str">
        <f>IFERROR(__xludf.DUMMYFUNCTION("""COMPUTED_VALUE"""),"Northway Publishing")</f>
        <v>Northway Publishing</v>
      </c>
      <c r="E2375" s="2">
        <f>IFERROR(__xludf.DUMMYFUNCTION("""COMPUTED_VALUE"""),3.33)</f>
        <v>3.33</v>
      </c>
      <c r="F2375" s="2"/>
      <c r="G2375" s="2"/>
      <c r="H2375" s="2"/>
      <c r="I2375" s="2"/>
    </row>
    <row r="2376">
      <c r="A2376" s="2">
        <f>IFERROR(__xludf.DUMMYFUNCTION("""COMPUTED_VALUE"""),121800.0)</f>
        <v>121800</v>
      </c>
      <c r="B2376" s="2" t="str">
        <f>IFERROR(__xludf.DUMMYFUNCTION("""COMPUTED_VALUE"""),"Law")</f>
        <v>Law</v>
      </c>
      <c r="C2376" s="2" t="str">
        <f>IFERROR(__xludf.DUMMYFUNCTION("""COMPUTED_VALUE"""),"Athletics")</f>
        <v>Athletics</v>
      </c>
      <c r="D2376" s="2" t="str">
        <f>IFERROR(__xludf.DUMMYFUNCTION("""COMPUTED_VALUE"""),"Northway Publishing")</f>
        <v>Northway Publishing</v>
      </c>
      <c r="E2376" s="2">
        <f>IFERROR(__xludf.DUMMYFUNCTION("""COMPUTED_VALUE"""),2.47)</f>
        <v>2.47</v>
      </c>
      <c r="F2376" s="2"/>
      <c r="G2376" s="2"/>
      <c r="H2376" s="2"/>
      <c r="I2376" s="2"/>
    </row>
    <row r="2377">
      <c r="A2377" s="2">
        <f>IFERROR(__xludf.DUMMYFUNCTION("""COMPUTED_VALUE"""),110974.0)</f>
        <v>110974</v>
      </c>
      <c r="B2377" s="2" t="str">
        <f>IFERROR(__xludf.DUMMYFUNCTION("""COMPUTED_VALUE"""),"Law")</f>
        <v>Law</v>
      </c>
      <c r="C2377" s="2" t="str">
        <f>IFERROR(__xludf.DUMMYFUNCTION("""COMPUTED_VALUE"""),"Athletics")</f>
        <v>Athletics</v>
      </c>
      <c r="D2377" s="2" t="str">
        <f>IFERROR(__xludf.DUMMYFUNCTION("""COMPUTED_VALUE"""),"Northway Publishing")</f>
        <v>Northway Publishing</v>
      </c>
      <c r="E2377" s="2">
        <f>IFERROR(__xludf.DUMMYFUNCTION("""COMPUTED_VALUE"""),2.0)</f>
        <v>2</v>
      </c>
      <c r="F2377" s="2"/>
      <c r="G2377" s="2"/>
      <c r="H2377" s="2"/>
      <c r="I2377" s="2"/>
    </row>
    <row r="2378">
      <c r="A2378" s="2">
        <f>IFERROR(__xludf.DUMMYFUNCTION("""COMPUTED_VALUE"""),114969.0)</f>
        <v>114969</v>
      </c>
      <c r="B2378" s="2" t="str">
        <f>IFERROR(__xludf.DUMMYFUNCTION("""COMPUTED_VALUE"""),"Law")</f>
        <v>Law</v>
      </c>
      <c r="C2378" s="2" t="str">
        <f>IFERROR(__xludf.DUMMYFUNCTION("""COMPUTED_VALUE"""),"Athletics")</f>
        <v>Athletics</v>
      </c>
      <c r="D2378" s="2" t="str">
        <f>IFERROR(__xludf.DUMMYFUNCTION("""COMPUTED_VALUE"""),"Northway Publishing")</f>
        <v>Northway Publishing</v>
      </c>
      <c r="E2378" s="2">
        <f>IFERROR(__xludf.DUMMYFUNCTION("""COMPUTED_VALUE"""),2.21)</f>
        <v>2.21</v>
      </c>
      <c r="F2378" s="2"/>
      <c r="G2378" s="2"/>
      <c r="H2378" s="2"/>
      <c r="I2378" s="2"/>
    </row>
    <row r="2379">
      <c r="A2379" s="2">
        <f>IFERROR(__xludf.DUMMYFUNCTION("""COMPUTED_VALUE"""),111041.0)</f>
        <v>111041</v>
      </c>
      <c r="B2379" s="2" t="str">
        <f>IFERROR(__xludf.DUMMYFUNCTION("""COMPUTED_VALUE"""),"Law")</f>
        <v>Law</v>
      </c>
      <c r="C2379" s="2" t="str">
        <f>IFERROR(__xludf.DUMMYFUNCTION("""COMPUTED_VALUE"""),"Athletics")</f>
        <v>Athletics</v>
      </c>
      <c r="D2379" s="2" t="str">
        <f>IFERROR(__xludf.DUMMYFUNCTION("""COMPUTED_VALUE"""),"Northway Publishing")</f>
        <v>Northway Publishing</v>
      </c>
      <c r="E2379" s="2">
        <f>IFERROR(__xludf.DUMMYFUNCTION("""COMPUTED_VALUE"""),1.55)</f>
        <v>1.55</v>
      </c>
      <c r="F2379" s="2"/>
      <c r="G2379" s="2"/>
      <c r="H2379" s="2"/>
      <c r="I2379" s="2"/>
    </row>
    <row r="2380">
      <c r="A2380" s="2">
        <f>IFERROR(__xludf.DUMMYFUNCTION("""COMPUTED_VALUE"""),82382.0)</f>
        <v>82382</v>
      </c>
      <c r="B2380" s="2" t="str">
        <f>IFERROR(__xludf.DUMMYFUNCTION("""COMPUTED_VALUE"""),"Law")</f>
        <v>Law</v>
      </c>
      <c r="C2380" s="2" t="str">
        <f>IFERROR(__xludf.DUMMYFUNCTION("""COMPUTED_VALUE"""),"Athletics")</f>
        <v>Athletics</v>
      </c>
      <c r="D2380" s="2" t="str">
        <f>IFERROR(__xludf.DUMMYFUNCTION("""COMPUTED_VALUE"""),"Northway Publishing")</f>
        <v>Northway Publishing</v>
      </c>
      <c r="E2380" s="2">
        <f>IFERROR(__xludf.DUMMYFUNCTION("""COMPUTED_VALUE"""),1.75)</f>
        <v>1.75</v>
      </c>
      <c r="F2380" s="2"/>
      <c r="G2380" s="2"/>
      <c r="H2380" s="2"/>
      <c r="I2380" s="2"/>
    </row>
    <row r="2381">
      <c r="A2381" s="2">
        <f>IFERROR(__xludf.DUMMYFUNCTION("""COMPUTED_VALUE"""),89634.0)</f>
        <v>89634</v>
      </c>
      <c r="B2381" s="2" t="str">
        <f>IFERROR(__xludf.DUMMYFUNCTION("""COMPUTED_VALUE"""),"Law")</f>
        <v>Law</v>
      </c>
      <c r="C2381" s="2" t="str">
        <f>IFERROR(__xludf.DUMMYFUNCTION("""COMPUTED_VALUE"""),"Athletics")</f>
        <v>Athletics</v>
      </c>
      <c r="D2381" s="2" t="str">
        <f>IFERROR(__xludf.DUMMYFUNCTION("""COMPUTED_VALUE"""),"Northway Publishing")</f>
        <v>Northway Publishing</v>
      </c>
      <c r="E2381" s="2">
        <f>IFERROR(__xludf.DUMMYFUNCTION("""COMPUTED_VALUE"""),2.66)</f>
        <v>2.66</v>
      </c>
      <c r="F2381" s="2"/>
      <c r="G2381" s="2"/>
      <c r="H2381" s="2"/>
      <c r="I2381" s="2"/>
    </row>
    <row r="2382">
      <c r="A2382" s="2">
        <f>IFERROR(__xludf.DUMMYFUNCTION("""COMPUTED_VALUE"""),82381.0)</f>
        <v>82381</v>
      </c>
      <c r="B2382" s="2" t="str">
        <f>IFERROR(__xludf.DUMMYFUNCTION("""COMPUTED_VALUE"""),"Law")</f>
        <v>Law</v>
      </c>
      <c r="C2382" s="2" t="str">
        <f>IFERROR(__xludf.DUMMYFUNCTION("""COMPUTED_VALUE"""),"Athletics")</f>
        <v>Athletics</v>
      </c>
      <c r="D2382" s="2" t="str">
        <f>IFERROR(__xludf.DUMMYFUNCTION("""COMPUTED_VALUE"""),"Northway Publishing")</f>
        <v>Northway Publishing</v>
      </c>
      <c r="E2382" s="2">
        <f>IFERROR(__xludf.DUMMYFUNCTION("""COMPUTED_VALUE"""),1.74)</f>
        <v>1.74</v>
      </c>
      <c r="F2382" s="2"/>
      <c r="G2382" s="2"/>
      <c r="H2382" s="2"/>
      <c r="I2382" s="2"/>
    </row>
    <row r="2383">
      <c r="A2383" s="2">
        <f>IFERROR(__xludf.DUMMYFUNCTION("""COMPUTED_VALUE"""),107232.0)</f>
        <v>107232</v>
      </c>
      <c r="B2383" s="2" t="str">
        <f>IFERROR(__xludf.DUMMYFUNCTION("""COMPUTED_VALUE"""),"Law")</f>
        <v>Law</v>
      </c>
      <c r="C2383" s="2" t="str">
        <f>IFERROR(__xludf.DUMMYFUNCTION("""COMPUTED_VALUE"""),"Athletics")</f>
        <v>Athletics</v>
      </c>
      <c r="D2383" s="2" t="str">
        <f>IFERROR(__xludf.DUMMYFUNCTION("""COMPUTED_VALUE"""),"Northway Publishing")</f>
        <v>Northway Publishing</v>
      </c>
      <c r="E2383" s="2">
        <f>IFERROR(__xludf.DUMMYFUNCTION("""COMPUTED_VALUE"""),2.28)</f>
        <v>2.28</v>
      </c>
      <c r="F2383" s="2"/>
      <c r="G2383" s="2"/>
      <c r="H2383" s="2"/>
      <c r="I2383" s="2"/>
    </row>
    <row r="2384">
      <c r="A2384" s="2">
        <f>IFERROR(__xludf.DUMMYFUNCTION("""COMPUTED_VALUE"""),70247.0)</f>
        <v>70247</v>
      </c>
      <c r="B2384" s="2" t="str">
        <f>IFERROR(__xludf.DUMMYFUNCTION("""COMPUTED_VALUE"""),"Law")</f>
        <v>Law</v>
      </c>
      <c r="C2384" s="2" t="str">
        <f>IFERROR(__xludf.DUMMYFUNCTION("""COMPUTED_VALUE"""),"Athletics")</f>
        <v>Athletics</v>
      </c>
      <c r="D2384" s="2" t="str">
        <f>IFERROR(__xludf.DUMMYFUNCTION("""COMPUTED_VALUE"""),"Northway Publishing")</f>
        <v>Northway Publishing</v>
      </c>
      <c r="E2384" s="2">
        <f>IFERROR(__xludf.DUMMYFUNCTION("""COMPUTED_VALUE"""),1.82)</f>
        <v>1.82</v>
      </c>
      <c r="F2384" s="2"/>
      <c r="G2384" s="2"/>
      <c r="H2384" s="2"/>
      <c r="I2384" s="2"/>
    </row>
    <row r="2385">
      <c r="A2385" s="2">
        <f>IFERROR(__xludf.DUMMYFUNCTION("""COMPUTED_VALUE"""),107253.0)</f>
        <v>107253</v>
      </c>
      <c r="B2385" s="2" t="str">
        <f>IFERROR(__xludf.DUMMYFUNCTION("""COMPUTED_VALUE"""),"Law")</f>
        <v>Law</v>
      </c>
      <c r="C2385" s="2" t="str">
        <f>IFERROR(__xludf.DUMMYFUNCTION("""COMPUTED_VALUE"""),"Athletics")</f>
        <v>Athletics</v>
      </c>
      <c r="D2385" s="2" t="str">
        <f>IFERROR(__xludf.DUMMYFUNCTION("""COMPUTED_VALUE"""),"Northway Publishing")</f>
        <v>Northway Publishing</v>
      </c>
      <c r="E2385" s="2">
        <f>IFERROR(__xludf.DUMMYFUNCTION("""COMPUTED_VALUE"""),2.03)</f>
        <v>2.03</v>
      </c>
      <c r="F2385" s="2"/>
      <c r="G2385" s="2"/>
      <c r="H2385" s="2"/>
      <c r="I2385" s="2"/>
    </row>
    <row r="2386">
      <c r="A2386" s="2">
        <f>IFERROR(__xludf.DUMMYFUNCTION("""COMPUTED_VALUE"""),102709.0)</f>
        <v>102709</v>
      </c>
      <c r="B2386" s="2" t="str">
        <f>IFERROR(__xludf.DUMMYFUNCTION("""COMPUTED_VALUE"""),"Law")</f>
        <v>Law</v>
      </c>
      <c r="C2386" s="2" t="str">
        <f>IFERROR(__xludf.DUMMYFUNCTION("""COMPUTED_VALUE"""),"Athletics")</f>
        <v>Athletics</v>
      </c>
      <c r="D2386" s="2" t="str">
        <f>IFERROR(__xludf.DUMMYFUNCTION("""COMPUTED_VALUE"""),"Northway Publishing")</f>
        <v>Northway Publishing</v>
      </c>
      <c r="E2386" s="2">
        <f>IFERROR(__xludf.DUMMYFUNCTION("""COMPUTED_VALUE"""),1.31)</f>
        <v>1.31</v>
      </c>
      <c r="F2386" s="2"/>
      <c r="G2386" s="2"/>
      <c r="H2386" s="2"/>
      <c r="I2386" s="2"/>
    </row>
    <row r="2387">
      <c r="A2387" s="2">
        <f>IFERROR(__xludf.DUMMYFUNCTION("""COMPUTED_VALUE"""),75050.0)</f>
        <v>75050</v>
      </c>
      <c r="B2387" s="2" t="str">
        <f>IFERROR(__xludf.DUMMYFUNCTION("""COMPUTED_VALUE"""),"Law")</f>
        <v>Law</v>
      </c>
      <c r="C2387" s="2" t="str">
        <f>IFERROR(__xludf.DUMMYFUNCTION("""COMPUTED_VALUE"""),"Athletics")</f>
        <v>Athletics</v>
      </c>
      <c r="D2387" s="2" t="str">
        <f>IFERROR(__xludf.DUMMYFUNCTION("""COMPUTED_VALUE"""),"Northway Publishing")</f>
        <v>Northway Publishing</v>
      </c>
      <c r="E2387" s="2">
        <f>IFERROR(__xludf.DUMMYFUNCTION("""COMPUTED_VALUE"""),2.32)</f>
        <v>2.32</v>
      </c>
      <c r="F2387" s="2"/>
      <c r="G2387" s="2"/>
      <c r="H2387" s="2"/>
      <c r="I2387" s="2"/>
    </row>
    <row r="2388">
      <c r="A2388" s="2">
        <f>IFERROR(__xludf.DUMMYFUNCTION("""COMPUTED_VALUE"""),111014.0)</f>
        <v>111014</v>
      </c>
      <c r="B2388" s="2" t="str">
        <f>IFERROR(__xludf.DUMMYFUNCTION("""COMPUTED_VALUE"""),"Law")</f>
        <v>Law</v>
      </c>
      <c r="C2388" s="2" t="str">
        <f>IFERROR(__xludf.DUMMYFUNCTION("""COMPUTED_VALUE"""),"Athletics")</f>
        <v>Athletics</v>
      </c>
      <c r="D2388" s="2" t="str">
        <f>IFERROR(__xludf.DUMMYFUNCTION("""COMPUTED_VALUE"""),"Northway Publishing")</f>
        <v>Northway Publishing</v>
      </c>
      <c r="E2388" s="2">
        <f>IFERROR(__xludf.DUMMYFUNCTION("""COMPUTED_VALUE"""),1.75)</f>
        <v>1.75</v>
      </c>
      <c r="F2388" s="2"/>
      <c r="G2388" s="2"/>
      <c r="H2388" s="2"/>
      <c r="I2388" s="2"/>
    </row>
    <row r="2389">
      <c r="A2389" s="2">
        <f>IFERROR(__xludf.DUMMYFUNCTION("""COMPUTED_VALUE"""),120282.0)</f>
        <v>120282</v>
      </c>
      <c r="B2389" s="2" t="str">
        <f>IFERROR(__xludf.DUMMYFUNCTION("""COMPUTED_VALUE"""),"Tech")</f>
        <v>Tech</v>
      </c>
      <c r="C2389" s="2" t="str">
        <f>IFERROR(__xludf.DUMMYFUNCTION("""COMPUTED_VALUE"""),"Cycling")</f>
        <v>Cycling</v>
      </c>
      <c r="D2389" s="2" t="str">
        <f>IFERROR(__xludf.DUMMYFUNCTION("""COMPUTED_VALUE"""),"Harborway Books")</f>
        <v>Harborway Books</v>
      </c>
      <c r="E2389" s="2">
        <f>IFERROR(__xludf.DUMMYFUNCTION("""COMPUTED_VALUE"""),14.89)</f>
        <v>14.89</v>
      </c>
      <c r="F2389" s="2"/>
      <c r="G2389" s="2"/>
      <c r="H2389" s="2"/>
      <c r="I2389" s="2"/>
    </row>
    <row r="2390">
      <c r="A2390" s="2">
        <f>IFERROR(__xludf.DUMMYFUNCTION("""COMPUTED_VALUE"""),84512.0)</f>
        <v>84512</v>
      </c>
      <c r="B2390" s="2" t="str">
        <f>IFERROR(__xludf.DUMMYFUNCTION("""COMPUTED_VALUE"""),"Tech")</f>
        <v>Tech</v>
      </c>
      <c r="C2390" s="2" t="str">
        <f>IFERROR(__xludf.DUMMYFUNCTION("""COMPUTED_VALUE"""),"Cycling")</f>
        <v>Cycling</v>
      </c>
      <c r="D2390" s="2" t="str">
        <f>IFERROR(__xludf.DUMMYFUNCTION("""COMPUTED_VALUE"""),"Harborway Books")</f>
        <v>Harborway Books</v>
      </c>
      <c r="E2390" s="2">
        <f>IFERROR(__xludf.DUMMYFUNCTION("""COMPUTED_VALUE"""),12.15)</f>
        <v>12.15</v>
      </c>
      <c r="F2390" s="2"/>
      <c r="G2390" s="2"/>
      <c r="H2390" s="2"/>
      <c r="I2390" s="2"/>
    </row>
    <row r="2391">
      <c r="A2391" s="2">
        <f>IFERROR(__xludf.DUMMYFUNCTION("""COMPUTED_VALUE"""),77197.0)</f>
        <v>77197</v>
      </c>
      <c r="B2391" s="2" t="str">
        <f>IFERROR(__xludf.DUMMYFUNCTION("""COMPUTED_VALUE"""),"Tech")</f>
        <v>Tech</v>
      </c>
      <c r="C2391" s="2" t="str">
        <f>IFERROR(__xludf.DUMMYFUNCTION("""COMPUTED_VALUE"""),"Cycling")</f>
        <v>Cycling</v>
      </c>
      <c r="D2391" s="2" t="str">
        <f>IFERROR(__xludf.DUMMYFUNCTION("""COMPUTED_VALUE"""),"Cedarway Press")</f>
        <v>Cedarway Press</v>
      </c>
      <c r="E2391" s="2">
        <f>IFERROR(__xludf.DUMMYFUNCTION("""COMPUTED_VALUE"""),2.77)</f>
        <v>2.77</v>
      </c>
      <c r="F2391" s="2"/>
      <c r="G2391" s="2"/>
      <c r="H2391" s="2"/>
      <c r="I2391" s="2"/>
    </row>
    <row r="2392">
      <c r="A2392" s="2">
        <f>IFERROR(__xludf.DUMMYFUNCTION("""COMPUTED_VALUE"""),29650.0)</f>
        <v>29650</v>
      </c>
      <c r="B2392" s="2" t="str">
        <f>IFERROR(__xludf.DUMMYFUNCTION("""COMPUTED_VALUE"""),"Tech")</f>
        <v>Tech</v>
      </c>
      <c r="C2392" s="2" t="str">
        <f>IFERROR(__xludf.DUMMYFUNCTION("""COMPUTED_VALUE"""),"Cycling")</f>
        <v>Cycling</v>
      </c>
      <c r="D2392" s="2" t="str">
        <f>IFERROR(__xludf.DUMMYFUNCTION("""COMPUTED_VALUE"""),"Cedarway Press")</f>
        <v>Cedarway Press</v>
      </c>
      <c r="E2392" s="2">
        <f>IFERROR(__xludf.DUMMYFUNCTION("""COMPUTED_VALUE"""),1.44)</f>
        <v>1.44</v>
      </c>
      <c r="F2392" s="2"/>
      <c r="G2392" s="2"/>
      <c r="H2392" s="2"/>
      <c r="I2392" s="2"/>
    </row>
    <row r="2393">
      <c r="A2393" s="2">
        <f>IFERROR(__xludf.DUMMYFUNCTION("""COMPUTED_VALUE"""),4162.0)</f>
        <v>4162</v>
      </c>
      <c r="B2393" s="2" t="str">
        <f>IFERROR(__xludf.DUMMYFUNCTION("""COMPUTED_VALUE"""),"Tech")</f>
        <v>Tech</v>
      </c>
      <c r="C2393" s="2" t="str">
        <f>IFERROR(__xludf.DUMMYFUNCTION("""COMPUTED_VALUE"""),"Cycling")</f>
        <v>Cycling</v>
      </c>
      <c r="D2393" s="2" t="str">
        <f>IFERROR(__xludf.DUMMYFUNCTION("""COMPUTED_VALUE"""),"Cedarway Press")</f>
        <v>Cedarway Press</v>
      </c>
      <c r="E2393" s="2">
        <f>IFERROR(__xludf.DUMMYFUNCTION("""COMPUTED_VALUE"""),3.08)</f>
        <v>3.08</v>
      </c>
      <c r="F2393" s="2"/>
      <c r="G2393" s="2"/>
      <c r="H2393" s="2"/>
      <c r="I2393" s="2"/>
    </row>
    <row r="2394">
      <c r="A2394" s="2">
        <f>IFERROR(__xludf.DUMMYFUNCTION("""COMPUTED_VALUE"""),88214.0)</f>
        <v>88214</v>
      </c>
      <c r="B2394" s="2" t="str">
        <f>IFERROR(__xludf.DUMMYFUNCTION("""COMPUTED_VALUE"""),"Tech")</f>
        <v>Tech</v>
      </c>
      <c r="C2394" s="2" t="str">
        <f>IFERROR(__xludf.DUMMYFUNCTION("""COMPUTED_VALUE"""),"Cycling")</f>
        <v>Cycling</v>
      </c>
      <c r="D2394" s="2" t="str">
        <f>IFERROR(__xludf.DUMMYFUNCTION("""COMPUTED_VALUE"""),"Cedarway Press")</f>
        <v>Cedarway Press</v>
      </c>
      <c r="E2394" s="2">
        <f>IFERROR(__xludf.DUMMYFUNCTION("""COMPUTED_VALUE"""),2.34)</f>
        <v>2.34</v>
      </c>
      <c r="F2394" s="2"/>
      <c r="G2394" s="2"/>
      <c r="H2394" s="2"/>
      <c r="I2394" s="2"/>
    </row>
    <row r="2395">
      <c r="A2395" s="2">
        <f>IFERROR(__xludf.DUMMYFUNCTION("""COMPUTED_VALUE"""),73254.0)</f>
        <v>73254</v>
      </c>
      <c r="B2395" s="2" t="str">
        <f>IFERROR(__xludf.DUMMYFUNCTION("""COMPUTED_VALUE"""),"Tech")</f>
        <v>Tech</v>
      </c>
      <c r="C2395" s="2" t="str">
        <f>IFERROR(__xludf.DUMMYFUNCTION("""COMPUTED_VALUE"""),"Cycling")</f>
        <v>Cycling</v>
      </c>
      <c r="D2395" s="2" t="str">
        <f>IFERROR(__xludf.DUMMYFUNCTION("""COMPUTED_VALUE"""),"Cedarway Press")</f>
        <v>Cedarway Press</v>
      </c>
      <c r="E2395" s="2">
        <f>IFERROR(__xludf.DUMMYFUNCTION("""COMPUTED_VALUE"""),1.09)</f>
        <v>1.09</v>
      </c>
      <c r="F2395" s="2"/>
      <c r="G2395" s="2"/>
      <c r="H2395" s="2"/>
      <c r="I2395" s="2"/>
    </row>
    <row r="2396">
      <c r="A2396" s="2">
        <f>IFERROR(__xludf.DUMMYFUNCTION("""COMPUTED_VALUE"""),108204.0)</f>
        <v>108204</v>
      </c>
      <c r="B2396" s="2" t="str">
        <f>IFERROR(__xludf.DUMMYFUNCTION("""COMPUTED_VALUE"""),"Tech")</f>
        <v>Tech</v>
      </c>
      <c r="C2396" s="2" t="str">
        <f>IFERROR(__xludf.DUMMYFUNCTION("""COMPUTED_VALUE"""),"Cycling")</f>
        <v>Cycling</v>
      </c>
      <c r="D2396" s="2" t="str">
        <f>IFERROR(__xludf.DUMMYFUNCTION("""COMPUTED_VALUE"""),"Cedarway Press")</f>
        <v>Cedarway Press</v>
      </c>
      <c r="E2396" s="2">
        <f>IFERROR(__xludf.DUMMYFUNCTION("""COMPUTED_VALUE"""),3.87)</f>
        <v>3.87</v>
      </c>
      <c r="F2396" s="2"/>
      <c r="G2396" s="2"/>
      <c r="H2396" s="2"/>
      <c r="I2396" s="2"/>
    </row>
    <row r="2397">
      <c r="A2397" s="2">
        <f>IFERROR(__xludf.DUMMYFUNCTION("""COMPUTED_VALUE"""),9676.0)</f>
        <v>9676</v>
      </c>
      <c r="B2397" s="2" t="str">
        <f>IFERROR(__xludf.DUMMYFUNCTION("""COMPUTED_VALUE"""),"Tech")</f>
        <v>Tech</v>
      </c>
      <c r="C2397" s="2" t="str">
        <f>IFERROR(__xludf.DUMMYFUNCTION("""COMPUTED_VALUE"""),"Cycling")</f>
        <v>Cycling</v>
      </c>
      <c r="D2397" s="2" t="str">
        <f>IFERROR(__xludf.DUMMYFUNCTION("""COMPUTED_VALUE"""),"Cedarway Press")</f>
        <v>Cedarway Press</v>
      </c>
      <c r="E2397" s="2">
        <f>IFERROR(__xludf.DUMMYFUNCTION("""COMPUTED_VALUE"""),1.65)</f>
        <v>1.65</v>
      </c>
      <c r="F2397" s="2"/>
      <c r="G2397" s="2"/>
      <c r="H2397" s="2"/>
      <c r="I2397" s="2"/>
    </row>
    <row r="2398">
      <c r="A2398" s="2">
        <f>IFERROR(__xludf.DUMMYFUNCTION("""COMPUTED_VALUE"""),44412.0)</f>
        <v>44412</v>
      </c>
      <c r="B2398" s="2" t="str">
        <f>IFERROR(__xludf.DUMMYFUNCTION("""COMPUTED_VALUE"""),"Tech")</f>
        <v>Tech</v>
      </c>
      <c r="C2398" s="2" t="str">
        <f>IFERROR(__xludf.DUMMYFUNCTION("""COMPUTED_VALUE"""),"Cycling")</f>
        <v>Cycling</v>
      </c>
      <c r="D2398" s="2" t="str">
        <f>IFERROR(__xludf.DUMMYFUNCTION("""COMPUTED_VALUE"""),"Cedarway Press")</f>
        <v>Cedarway Press</v>
      </c>
      <c r="E2398" s="2">
        <f>IFERROR(__xludf.DUMMYFUNCTION("""COMPUTED_VALUE"""),3.87)</f>
        <v>3.87</v>
      </c>
      <c r="F2398" s="2"/>
      <c r="G2398" s="2"/>
      <c r="H2398" s="2"/>
      <c r="I2398" s="2"/>
    </row>
    <row r="2399">
      <c r="A2399" s="2">
        <f>IFERROR(__xludf.DUMMYFUNCTION("""COMPUTED_VALUE"""),73253.0)</f>
        <v>73253</v>
      </c>
      <c r="B2399" s="2" t="str">
        <f>IFERROR(__xludf.DUMMYFUNCTION("""COMPUTED_VALUE"""),"Tech")</f>
        <v>Tech</v>
      </c>
      <c r="C2399" s="2" t="str">
        <f>IFERROR(__xludf.DUMMYFUNCTION("""COMPUTED_VALUE"""),"Cycling")</f>
        <v>Cycling</v>
      </c>
      <c r="D2399" s="2" t="str">
        <f>IFERROR(__xludf.DUMMYFUNCTION("""COMPUTED_VALUE"""),"Cedarway Press")</f>
        <v>Cedarway Press</v>
      </c>
      <c r="E2399" s="2">
        <f>IFERROR(__xludf.DUMMYFUNCTION("""COMPUTED_VALUE"""),0.88)</f>
        <v>0.88</v>
      </c>
      <c r="F2399" s="2"/>
      <c r="G2399" s="2"/>
      <c r="H2399" s="2"/>
      <c r="I2399" s="2"/>
    </row>
    <row r="2400">
      <c r="A2400" s="2">
        <f>IFERROR(__xludf.DUMMYFUNCTION("""COMPUTED_VALUE"""),122516.0)</f>
        <v>122516</v>
      </c>
      <c r="B2400" s="2" t="str">
        <f>IFERROR(__xludf.DUMMYFUNCTION("""COMPUTED_VALUE"""),"Tech")</f>
        <v>Tech</v>
      </c>
      <c r="C2400" s="2" t="str">
        <f>IFERROR(__xludf.DUMMYFUNCTION("""COMPUTED_VALUE"""),"Cycling")</f>
        <v>Cycling</v>
      </c>
      <c r="D2400" s="2" t="str">
        <f>IFERROR(__xludf.DUMMYFUNCTION("""COMPUTED_VALUE"""),"Cedarway Press")</f>
        <v>Cedarway Press</v>
      </c>
      <c r="E2400" s="2">
        <f>IFERROR(__xludf.DUMMYFUNCTION("""COMPUTED_VALUE"""),4.9)</f>
        <v>4.9</v>
      </c>
      <c r="F2400" s="2"/>
      <c r="G2400" s="2"/>
      <c r="H2400" s="2"/>
      <c r="I2400" s="2"/>
    </row>
    <row r="2401">
      <c r="A2401" s="2">
        <f>IFERROR(__xludf.DUMMYFUNCTION("""COMPUTED_VALUE"""),70314.0)</f>
        <v>70314</v>
      </c>
      <c r="B2401" s="2" t="str">
        <f>IFERROR(__xludf.DUMMYFUNCTION("""COMPUTED_VALUE"""),"Tech")</f>
        <v>Tech</v>
      </c>
      <c r="C2401" s="2" t="str">
        <f>IFERROR(__xludf.DUMMYFUNCTION("""COMPUTED_VALUE"""),"Cycling")</f>
        <v>Cycling</v>
      </c>
      <c r="D2401" s="2" t="str">
        <f>IFERROR(__xludf.DUMMYFUNCTION("""COMPUTED_VALUE"""),"Cedarway Press")</f>
        <v>Cedarway Press</v>
      </c>
      <c r="E2401" s="2">
        <f>IFERROR(__xludf.DUMMYFUNCTION("""COMPUTED_VALUE"""),3.44)</f>
        <v>3.44</v>
      </c>
      <c r="F2401" s="2"/>
      <c r="G2401" s="2"/>
      <c r="H2401" s="2"/>
      <c r="I2401" s="2"/>
    </row>
    <row r="2402">
      <c r="A2402" s="2">
        <f>IFERROR(__xludf.DUMMYFUNCTION("""COMPUTED_VALUE"""),17644.0)</f>
        <v>17644</v>
      </c>
      <c r="B2402" s="2" t="str">
        <f>IFERROR(__xludf.DUMMYFUNCTION("""COMPUTED_VALUE"""),"Tech")</f>
        <v>Tech</v>
      </c>
      <c r="C2402" s="2" t="str">
        <f>IFERROR(__xludf.DUMMYFUNCTION("""COMPUTED_VALUE"""),"Cycling")</f>
        <v>Cycling</v>
      </c>
      <c r="D2402" s="2" t="str">
        <f>IFERROR(__xludf.DUMMYFUNCTION("""COMPUTED_VALUE"""),"Brightway Publishing")</f>
        <v>Brightway Publishing</v>
      </c>
      <c r="E2402" s="2">
        <f>IFERROR(__xludf.DUMMYFUNCTION("""COMPUTED_VALUE"""),2.59)</f>
        <v>2.59</v>
      </c>
      <c r="F2402" s="2"/>
      <c r="G2402" s="2"/>
      <c r="H2402" s="2"/>
      <c r="I2402" s="2"/>
    </row>
    <row r="2403">
      <c r="A2403" s="2">
        <f>IFERROR(__xludf.DUMMYFUNCTION("""COMPUTED_VALUE"""),118996.0)</f>
        <v>118996</v>
      </c>
      <c r="B2403" s="2" t="str">
        <f>IFERROR(__xludf.DUMMYFUNCTION("""COMPUTED_VALUE"""),"Tech")</f>
        <v>Tech</v>
      </c>
      <c r="C2403" s="2" t="str">
        <f>IFERROR(__xludf.DUMMYFUNCTION("""COMPUTED_VALUE"""),"Cycling")</f>
        <v>Cycling</v>
      </c>
      <c r="D2403" s="2" t="str">
        <f>IFERROR(__xludf.DUMMYFUNCTION("""COMPUTED_VALUE"""),"Brightway Publishing")</f>
        <v>Brightway Publishing</v>
      </c>
      <c r="E2403" s="2">
        <f>IFERROR(__xludf.DUMMYFUNCTION("""COMPUTED_VALUE"""),5.26)</f>
        <v>5.26</v>
      </c>
      <c r="F2403" s="2"/>
      <c r="G2403" s="2"/>
      <c r="H2403" s="2"/>
      <c r="I2403" s="2"/>
    </row>
    <row r="2404">
      <c r="A2404" s="2">
        <f>IFERROR(__xludf.DUMMYFUNCTION("""COMPUTED_VALUE"""),79199.0)</f>
        <v>79199</v>
      </c>
      <c r="B2404" s="2" t="str">
        <f>IFERROR(__xludf.DUMMYFUNCTION("""COMPUTED_VALUE"""),"Tech")</f>
        <v>Tech</v>
      </c>
      <c r="C2404" s="2" t="str">
        <f>IFERROR(__xludf.DUMMYFUNCTION("""COMPUTED_VALUE"""),"Cycling")</f>
        <v>Cycling</v>
      </c>
      <c r="D2404" s="2" t="str">
        <f>IFERROR(__xludf.DUMMYFUNCTION("""COMPUTED_VALUE"""),"Brightway Publishing")</f>
        <v>Brightway Publishing</v>
      </c>
      <c r="E2404" s="2">
        <f>IFERROR(__xludf.DUMMYFUNCTION("""COMPUTED_VALUE"""),3.96)</f>
        <v>3.96</v>
      </c>
      <c r="F2404" s="2"/>
      <c r="G2404" s="2"/>
      <c r="H2404" s="2"/>
      <c r="I2404" s="2"/>
    </row>
    <row r="2405">
      <c r="A2405" s="2">
        <f>IFERROR(__xludf.DUMMYFUNCTION("""COMPUTED_VALUE"""),128316.0)</f>
        <v>128316</v>
      </c>
      <c r="B2405" s="2" t="str">
        <f>IFERROR(__xludf.DUMMYFUNCTION("""COMPUTED_VALUE"""),"Tech")</f>
        <v>Tech</v>
      </c>
      <c r="C2405" s="2" t="str">
        <f>IFERROR(__xludf.DUMMYFUNCTION("""COMPUTED_VALUE"""),"Cycling")</f>
        <v>Cycling</v>
      </c>
      <c r="D2405" s="2" t="str">
        <f>IFERROR(__xludf.DUMMYFUNCTION("""COMPUTED_VALUE"""),"Brightway Publishing")</f>
        <v>Brightway Publishing</v>
      </c>
      <c r="E2405" s="2">
        <f>IFERROR(__xludf.DUMMYFUNCTION("""COMPUTED_VALUE"""),3.01)</f>
        <v>3.01</v>
      </c>
      <c r="F2405" s="2"/>
      <c r="G2405" s="2"/>
      <c r="H2405" s="2"/>
      <c r="I2405" s="2"/>
    </row>
    <row r="2406">
      <c r="A2406" s="2">
        <f>IFERROR(__xludf.DUMMYFUNCTION("""COMPUTED_VALUE"""),7933.0)</f>
        <v>7933</v>
      </c>
      <c r="B2406" s="2" t="str">
        <f>IFERROR(__xludf.DUMMYFUNCTION("""COMPUTED_VALUE"""),"Tech")</f>
        <v>Tech</v>
      </c>
      <c r="C2406" s="2" t="str">
        <f>IFERROR(__xludf.DUMMYFUNCTION("""COMPUTED_VALUE"""),"Cycling")</f>
        <v>Cycling</v>
      </c>
      <c r="D2406" s="2" t="str">
        <f>IFERROR(__xludf.DUMMYFUNCTION("""COMPUTED_VALUE"""),"Oakway Books")</f>
        <v>Oakway Books</v>
      </c>
      <c r="E2406" s="2">
        <f>IFERROR(__xludf.DUMMYFUNCTION("""COMPUTED_VALUE"""),10.0)</f>
        <v>10</v>
      </c>
      <c r="F2406" s="2"/>
      <c r="G2406" s="2"/>
      <c r="H2406" s="2"/>
      <c r="I2406" s="2"/>
    </row>
    <row r="2407">
      <c r="A2407" s="2">
        <f>IFERROR(__xludf.DUMMYFUNCTION("""COMPUTED_VALUE"""),85944.0)</f>
        <v>85944</v>
      </c>
      <c r="B2407" s="2" t="str">
        <f>IFERROR(__xludf.DUMMYFUNCTION("""COMPUTED_VALUE"""),"Tech")</f>
        <v>Tech</v>
      </c>
      <c r="C2407" s="2" t="str">
        <f>IFERROR(__xludf.DUMMYFUNCTION("""COMPUTED_VALUE"""),"Cycling")</f>
        <v>Cycling</v>
      </c>
      <c r="D2407" s="2" t="str">
        <f>IFERROR(__xludf.DUMMYFUNCTION("""COMPUTED_VALUE"""),"Oakway Books")</f>
        <v>Oakway Books</v>
      </c>
      <c r="E2407" s="2">
        <f>IFERROR(__xludf.DUMMYFUNCTION("""COMPUTED_VALUE"""),6.3)</f>
        <v>6.3</v>
      </c>
      <c r="F2407" s="2"/>
      <c r="G2407" s="2"/>
      <c r="H2407" s="2"/>
      <c r="I2407" s="2"/>
    </row>
    <row r="2408">
      <c r="A2408" s="2">
        <f>IFERROR(__xludf.DUMMYFUNCTION("""COMPUTED_VALUE"""),76665.0)</f>
        <v>76665</v>
      </c>
      <c r="B2408" s="2" t="str">
        <f>IFERROR(__xludf.DUMMYFUNCTION("""COMPUTED_VALUE"""),"Tech")</f>
        <v>Tech</v>
      </c>
      <c r="C2408" s="2" t="str">
        <f>IFERROR(__xludf.DUMMYFUNCTION("""COMPUTED_VALUE"""),"Cycling")</f>
        <v>Cycling</v>
      </c>
      <c r="D2408" s="2" t="str">
        <f>IFERROR(__xludf.DUMMYFUNCTION("""COMPUTED_VALUE"""),"Oakway Books")</f>
        <v>Oakway Books</v>
      </c>
      <c r="E2408" s="2">
        <f>IFERROR(__xludf.DUMMYFUNCTION("""COMPUTED_VALUE"""),3.44)</f>
        <v>3.44</v>
      </c>
      <c r="F2408" s="2"/>
      <c r="G2408" s="2"/>
      <c r="H2408" s="2"/>
      <c r="I2408" s="2"/>
    </row>
    <row r="2409">
      <c r="A2409" s="2">
        <f>IFERROR(__xludf.DUMMYFUNCTION("""COMPUTED_VALUE"""),102286.0)</f>
        <v>102286</v>
      </c>
      <c r="B2409" s="2" t="str">
        <f>IFERROR(__xludf.DUMMYFUNCTION("""COMPUTED_VALUE"""),"Tech")</f>
        <v>Tech</v>
      </c>
      <c r="C2409" s="2" t="str">
        <f>IFERROR(__xludf.DUMMYFUNCTION("""COMPUTED_VALUE"""),"Cycling")</f>
        <v>Cycling</v>
      </c>
      <c r="D2409" s="2" t="str">
        <f>IFERROR(__xludf.DUMMYFUNCTION("""COMPUTED_VALUE"""),"Oakway Books")</f>
        <v>Oakway Books</v>
      </c>
      <c r="E2409" s="2">
        <f>IFERROR(__xludf.DUMMYFUNCTION("""COMPUTED_VALUE"""),6.11)</f>
        <v>6.11</v>
      </c>
      <c r="F2409" s="2"/>
      <c r="G2409" s="2"/>
      <c r="H2409" s="2"/>
      <c r="I2409" s="2"/>
    </row>
    <row r="2410">
      <c r="A2410" s="2">
        <f>IFERROR(__xludf.DUMMYFUNCTION("""COMPUTED_VALUE"""),77199.0)</f>
        <v>77199</v>
      </c>
      <c r="B2410" s="2" t="str">
        <f>IFERROR(__xludf.DUMMYFUNCTION("""COMPUTED_VALUE"""),"Tech")</f>
        <v>Tech</v>
      </c>
      <c r="C2410" s="2" t="str">
        <f>IFERROR(__xludf.DUMMYFUNCTION("""COMPUTED_VALUE"""),"Cycling")</f>
        <v>Cycling</v>
      </c>
      <c r="D2410" s="2" t="str">
        <f>IFERROR(__xludf.DUMMYFUNCTION("""COMPUTED_VALUE"""),"Oakway Books")</f>
        <v>Oakway Books</v>
      </c>
      <c r="E2410" s="2">
        <f>IFERROR(__xludf.DUMMYFUNCTION("""COMPUTED_VALUE"""),11.11)</f>
        <v>11.11</v>
      </c>
      <c r="F2410" s="2"/>
      <c r="G2410" s="2"/>
      <c r="H2410" s="2"/>
      <c r="I2410" s="2"/>
    </row>
    <row r="2411">
      <c r="A2411" s="2">
        <f>IFERROR(__xludf.DUMMYFUNCTION("""COMPUTED_VALUE"""),11722.0)</f>
        <v>11722</v>
      </c>
      <c r="B2411" s="2" t="str">
        <f>IFERROR(__xludf.DUMMYFUNCTION("""COMPUTED_VALUE"""),"Tech")</f>
        <v>Tech</v>
      </c>
      <c r="C2411" s="2" t="str">
        <f>IFERROR(__xludf.DUMMYFUNCTION("""COMPUTED_VALUE"""),"Cycling")</f>
        <v>Cycling</v>
      </c>
      <c r="D2411" s="2" t="str">
        <f>IFERROR(__xludf.DUMMYFUNCTION("""COMPUTED_VALUE"""),"Oakway Books")</f>
        <v>Oakway Books</v>
      </c>
      <c r="E2411" s="2">
        <f>IFERROR(__xludf.DUMMYFUNCTION("""COMPUTED_VALUE"""),7.64)</f>
        <v>7.64</v>
      </c>
      <c r="F2411" s="2"/>
      <c r="G2411" s="2"/>
      <c r="H2411" s="2"/>
      <c r="I2411" s="2"/>
    </row>
    <row r="2412">
      <c r="A2412" s="2">
        <f>IFERROR(__xludf.DUMMYFUNCTION("""COMPUTED_VALUE"""),97949.0)</f>
        <v>97949</v>
      </c>
      <c r="B2412" s="2" t="str">
        <f>IFERROR(__xludf.DUMMYFUNCTION("""COMPUTED_VALUE"""),"Tech")</f>
        <v>Tech</v>
      </c>
      <c r="C2412" s="2" t="str">
        <f>IFERROR(__xludf.DUMMYFUNCTION("""COMPUTED_VALUE"""),"Cycling")</f>
        <v>Cycling</v>
      </c>
      <c r="D2412" s="2" t="str">
        <f>IFERROR(__xludf.DUMMYFUNCTION("""COMPUTED_VALUE"""),"Oakway Books")</f>
        <v>Oakway Books</v>
      </c>
      <c r="E2412" s="2">
        <f>IFERROR(__xludf.DUMMYFUNCTION("""COMPUTED_VALUE"""),6.01)</f>
        <v>6.01</v>
      </c>
      <c r="F2412" s="2"/>
      <c r="G2412" s="2"/>
      <c r="H2412" s="2"/>
      <c r="I2412" s="2"/>
    </row>
    <row r="2413">
      <c r="A2413" s="2">
        <f>IFERROR(__xludf.DUMMYFUNCTION("""COMPUTED_VALUE"""),9701.0)</f>
        <v>9701</v>
      </c>
      <c r="B2413" s="2" t="str">
        <f>IFERROR(__xludf.DUMMYFUNCTION("""COMPUTED_VALUE"""),"Tech")</f>
        <v>Tech</v>
      </c>
      <c r="C2413" s="2" t="str">
        <f>IFERROR(__xludf.DUMMYFUNCTION("""COMPUTED_VALUE"""),"Cycling")</f>
        <v>Cycling</v>
      </c>
      <c r="D2413" s="2" t="str">
        <f>IFERROR(__xludf.DUMMYFUNCTION("""COMPUTED_VALUE"""),"Riverway Press")</f>
        <v>Riverway Press</v>
      </c>
      <c r="E2413" s="2">
        <f>IFERROR(__xludf.DUMMYFUNCTION("""COMPUTED_VALUE"""),3.62)</f>
        <v>3.62</v>
      </c>
      <c r="F2413" s="2"/>
      <c r="G2413" s="2"/>
      <c r="H2413" s="2"/>
      <c r="I2413" s="2"/>
    </row>
    <row r="2414">
      <c r="A2414" s="2">
        <f>IFERROR(__xludf.DUMMYFUNCTION("""COMPUTED_VALUE"""),117615.0)</f>
        <v>117615</v>
      </c>
      <c r="B2414" s="2" t="str">
        <f>IFERROR(__xludf.DUMMYFUNCTION("""COMPUTED_VALUE"""),"Tech")</f>
        <v>Tech</v>
      </c>
      <c r="C2414" s="2" t="str">
        <f>IFERROR(__xludf.DUMMYFUNCTION("""COMPUTED_VALUE"""),"Cycling")</f>
        <v>Cycling</v>
      </c>
      <c r="D2414" s="2" t="str">
        <f>IFERROR(__xludf.DUMMYFUNCTION("""COMPUTED_VALUE"""),"Riverway Press")</f>
        <v>Riverway Press</v>
      </c>
      <c r="E2414" s="2">
        <f>IFERROR(__xludf.DUMMYFUNCTION("""COMPUTED_VALUE"""),4.21)</f>
        <v>4.21</v>
      </c>
      <c r="F2414" s="2"/>
      <c r="G2414" s="2"/>
      <c r="H2414" s="2"/>
      <c r="I2414" s="2"/>
    </row>
    <row r="2415">
      <c r="A2415" s="2">
        <f>IFERROR(__xludf.DUMMYFUNCTION("""COMPUTED_VALUE"""),10076.0)</f>
        <v>10076</v>
      </c>
      <c r="B2415" s="2" t="str">
        <f>IFERROR(__xludf.DUMMYFUNCTION("""COMPUTED_VALUE"""),"Tech")</f>
        <v>Tech</v>
      </c>
      <c r="C2415" s="2" t="str">
        <f>IFERROR(__xludf.DUMMYFUNCTION("""COMPUTED_VALUE"""),"Cycling")</f>
        <v>Cycling</v>
      </c>
      <c r="D2415" s="2" t="str">
        <f>IFERROR(__xludf.DUMMYFUNCTION("""COMPUTED_VALUE"""),"Riverway Press")</f>
        <v>Riverway Press</v>
      </c>
      <c r="E2415" s="2">
        <f>IFERROR(__xludf.DUMMYFUNCTION("""COMPUTED_VALUE"""),1.92)</f>
        <v>1.92</v>
      </c>
      <c r="F2415" s="2"/>
      <c r="G2415" s="2"/>
      <c r="H2415" s="2"/>
      <c r="I2415" s="2"/>
    </row>
    <row r="2416">
      <c r="A2416" s="2">
        <f>IFERROR(__xludf.DUMMYFUNCTION("""COMPUTED_VALUE"""),106572.0)</f>
        <v>106572</v>
      </c>
      <c r="B2416" s="2" t="str">
        <f>IFERROR(__xludf.DUMMYFUNCTION("""COMPUTED_VALUE"""),"Tech")</f>
        <v>Tech</v>
      </c>
      <c r="C2416" s="2" t="str">
        <f>IFERROR(__xludf.DUMMYFUNCTION("""COMPUTED_VALUE"""),"Cycling")</f>
        <v>Cycling</v>
      </c>
      <c r="D2416" s="2" t="str">
        <f>IFERROR(__xludf.DUMMYFUNCTION("""COMPUTED_VALUE"""),"Riverway Press")</f>
        <v>Riverway Press</v>
      </c>
      <c r="E2416" s="2">
        <f>IFERROR(__xludf.DUMMYFUNCTION("""COMPUTED_VALUE"""),13.83)</f>
        <v>13.83</v>
      </c>
      <c r="F2416" s="2"/>
      <c r="G2416" s="2"/>
      <c r="H2416" s="2"/>
      <c r="I2416" s="2"/>
    </row>
    <row r="2417">
      <c r="A2417" s="2">
        <f>IFERROR(__xludf.DUMMYFUNCTION("""COMPUTED_VALUE"""),10081.0)</f>
        <v>10081</v>
      </c>
      <c r="B2417" s="2" t="str">
        <f>IFERROR(__xludf.DUMMYFUNCTION("""COMPUTED_VALUE"""),"Tech")</f>
        <v>Tech</v>
      </c>
      <c r="C2417" s="2" t="str">
        <f>IFERROR(__xludf.DUMMYFUNCTION("""COMPUTED_VALUE"""),"Cycling")</f>
        <v>Cycling</v>
      </c>
      <c r="D2417" s="2" t="str">
        <f>IFERROR(__xludf.DUMMYFUNCTION("""COMPUTED_VALUE"""),"Riverway Press")</f>
        <v>Riverway Press</v>
      </c>
      <c r="E2417" s="2">
        <f>IFERROR(__xludf.DUMMYFUNCTION("""COMPUTED_VALUE"""),2.17)</f>
        <v>2.17</v>
      </c>
      <c r="F2417" s="2"/>
      <c r="G2417" s="2"/>
      <c r="H2417" s="2"/>
      <c r="I2417" s="2"/>
    </row>
    <row r="2418">
      <c r="A2418" s="2">
        <f>IFERROR(__xludf.DUMMYFUNCTION("""COMPUTED_VALUE"""),46424.0)</f>
        <v>46424</v>
      </c>
      <c r="B2418" s="2" t="str">
        <f>IFERROR(__xludf.DUMMYFUNCTION("""COMPUTED_VALUE"""),"Tech")</f>
        <v>Tech</v>
      </c>
      <c r="C2418" s="2" t="str">
        <f>IFERROR(__xludf.DUMMYFUNCTION("""COMPUTED_VALUE"""),"Cycling")</f>
        <v>Cycling</v>
      </c>
      <c r="D2418" s="2" t="str">
        <f>IFERROR(__xludf.DUMMYFUNCTION("""COMPUTED_VALUE"""),"Riverway Press")</f>
        <v>Riverway Press</v>
      </c>
      <c r="E2418" s="2">
        <f>IFERROR(__xludf.DUMMYFUNCTION("""COMPUTED_VALUE"""),2.8)</f>
        <v>2.8</v>
      </c>
      <c r="F2418" s="2"/>
      <c r="G2418" s="2"/>
      <c r="H2418" s="2"/>
      <c r="I2418" s="2"/>
    </row>
    <row r="2419">
      <c r="A2419" s="2">
        <f>IFERROR(__xludf.DUMMYFUNCTION("""COMPUTED_VALUE"""),118931.0)</f>
        <v>118931</v>
      </c>
      <c r="B2419" s="2" t="str">
        <f>IFERROR(__xludf.DUMMYFUNCTION("""COMPUTED_VALUE"""),"Tech")</f>
        <v>Tech</v>
      </c>
      <c r="C2419" s="2" t="str">
        <f>IFERROR(__xludf.DUMMYFUNCTION("""COMPUTED_VALUE"""),"Cycling")</f>
        <v>Cycling</v>
      </c>
      <c r="D2419" s="2" t="str">
        <f>IFERROR(__xludf.DUMMYFUNCTION("""COMPUTED_VALUE"""),"Riverway Press")</f>
        <v>Riverway Press</v>
      </c>
      <c r="E2419" s="2">
        <f>IFERROR(__xludf.DUMMYFUNCTION("""COMPUTED_VALUE"""),4.29)</f>
        <v>4.29</v>
      </c>
      <c r="F2419" s="2"/>
      <c r="G2419" s="2"/>
      <c r="H2419" s="2"/>
      <c r="I2419" s="2"/>
    </row>
    <row r="2420">
      <c r="A2420" s="2">
        <f>IFERROR(__xludf.DUMMYFUNCTION("""COMPUTED_VALUE"""),10078.0)</f>
        <v>10078</v>
      </c>
      <c r="B2420" s="2" t="str">
        <f>IFERROR(__xludf.DUMMYFUNCTION("""COMPUTED_VALUE"""),"Tech")</f>
        <v>Tech</v>
      </c>
      <c r="C2420" s="2" t="str">
        <f>IFERROR(__xludf.DUMMYFUNCTION("""COMPUTED_VALUE"""),"Cycling")</f>
        <v>Cycling</v>
      </c>
      <c r="D2420" s="2" t="str">
        <f>IFERROR(__xludf.DUMMYFUNCTION("""COMPUTED_VALUE"""),"Riverway Press")</f>
        <v>Riverway Press</v>
      </c>
      <c r="E2420" s="2">
        <f>IFERROR(__xludf.DUMMYFUNCTION("""COMPUTED_VALUE"""),2.1)</f>
        <v>2.1</v>
      </c>
      <c r="F2420" s="2"/>
      <c r="G2420" s="2"/>
      <c r="H2420" s="2"/>
      <c r="I2420" s="2"/>
    </row>
    <row r="2421">
      <c r="A2421" s="2">
        <f>IFERROR(__xludf.DUMMYFUNCTION("""COMPUTED_VALUE"""),75824.0)</f>
        <v>75824</v>
      </c>
      <c r="B2421" s="2" t="str">
        <f>IFERROR(__xludf.DUMMYFUNCTION("""COMPUTED_VALUE"""),"Tech")</f>
        <v>Tech</v>
      </c>
      <c r="C2421" s="2" t="str">
        <f>IFERROR(__xludf.DUMMYFUNCTION("""COMPUTED_VALUE"""),"Cycling")</f>
        <v>Cycling</v>
      </c>
      <c r="D2421" s="2" t="str">
        <f>IFERROR(__xludf.DUMMYFUNCTION("""COMPUTED_VALUE"""),"Riverway Press")</f>
        <v>Riverway Press</v>
      </c>
      <c r="E2421" s="2">
        <f>IFERROR(__xludf.DUMMYFUNCTION("""COMPUTED_VALUE"""),8.46)</f>
        <v>8.46</v>
      </c>
      <c r="F2421" s="2"/>
      <c r="G2421" s="2"/>
      <c r="H2421" s="2"/>
      <c r="I2421" s="2"/>
    </row>
    <row r="2422">
      <c r="A2422" s="2">
        <f>IFERROR(__xludf.DUMMYFUNCTION("""COMPUTED_VALUE"""),80433.0)</f>
        <v>80433</v>
      </c>
      <c r="B2422" s="2" t="str">
        <f>IFERROR(__xludf.DUMMYFUNCTION("""COMPUTED_VALUE"""),"Tech")</f>
        <v>Tech</v>
      </c>
      <c r="C2422" s="2" t="str">
        <f>IFERROR(__xludf.DUMMYFUNCTION("""COMPUTED_VALUE"""),"Cycling")</f>
        <v>Cycling</v>
      </c>
      <c r="D2422" s="2" t="str">
        <f>IFERROR(__xludf.DUMMYFUNCTION("""COMPUTED_VALUE"""),"Riverway Press")</f>
        <v>Riverway Press</v>
      </c>
      <c r="E2422" s="2">
        <f>IFERROR(__xludf.DUMMYFUNCTION("""COMPUTED_VALUE"""),7.52)</f>
        <v>7.52</v>
      </c>
      <c r="F2422" s="2"/>
      <c r="G2422" s="2"/>
      <c r="H2422" s="2"/>
      <c r="I2422" s="2"/>
    </row>
    <row r="2423">
      <c r="A2423" s="2">
        <f>IFERROR(__xludf.DUMMYFUNCTION("""COMPUTED_VALUE"""),106566.0)</f>
        <v>106566</v>
      </c>
      <c r="B2423" s="2" t="str">
        <f>IFERROR(__xludf.DUMMYFUNCTION("""COMPUTED_VALUE"""),"Tech")</f>
        <v>Tech</v>
      </c>
      <c r="C2423" s="2" t="str">
        <f>IFERROR(__xludf.DUMMYFUNCTION("""COMPUTED_VALUE"""),"Cycling")</f>
        <v>Cycling</v>
      </c>
      <c r="D2423" s="2" t="str">
        <f>IFERROR(__xludf.DUMMYFUNCTION("""COMPUTED_VALUE"""),"Riverway Press")</f>
        <v>Riverway Press</v>
      </c>
      <c r="E2423" s="2">
        <f>IFERROR(__xludf.DUMMYFUNCTION("""COMPUTED_VALUE"""),13.17)</f>
        <v>13.17</v>
      </c>
      <c r="F2423" s="2"/>
      <c r="G2423" s="2"/>
      <c r="H2423" s="2"/>
      <c r="I2423" s="2"/>
    </row>
    <row r="2424">
      <c r="A2424" s="2">
        <f>IFERROR(__xludf.DUMMYFUNCTION("""COMPUTED_VALUE"""),9702.0)</f>
        <v>9702</v>
      </c>
      <c r="B2424" s="2" t="str">
        <f>IFERROR(__xludf.DUMMYFUNCTION("""COMPUTED_VALUE"""),"Tech")</f>
        <v>Tech</v>
      </c>
      <c r="C2424" s="2" t="str">
        <f>IFERROR(__xludf.DUMMYFUNCTION("""COMPUTED_VALUE"""),"Cycling")</f>
        <v>Cycling</v>
      </c>
      <c r="D2424" s="2" t="str">
        <f>IFERROR(__xludf.DUMMYFUNCTION("""COMPUTED_VALUE"""),"Riverway Press")</f>
        <v>Riverway Press</v>
      </c>
      <c r="E2424" s="2">
        <f>IFERROR(__xludf.DUMMYFUNCTION("""COMPUTED_VALUE"""),3.08)</f>
        <v>3.08</v>
      </c>
      <c r="F2424" s="2"/>
      <c r="G2424" s="2"/>
      <c r="H2424" s="2"/>
      <c r="I2424" s="2"/>
    </row>
    <row r="2425">
      <c r="A2425" s="2">
        <f>IFERROR(__xludf.DUMMYFUNCTION("""COMPUTED_VALUE"""),122445.0)</f>
        <v>122445</v>
      </c>
      <c r="B2425" s="2" t="str">
        <f>IFERROR(__xludf.DUMMYFUNCTION("""COMPUTED_VALUE"""),"Tech")</f>
        <v>Tech</v>
      </c>
      <c r="C2425" s="2" t="str">
        <f>IFERROR(__xludf.DUMMYFUNCTION("""COMPUTED_VALUE"""),"Cycling")</f>
        <v>Cycling</v>
      </c>
      <c r="D2425" s="2" t="str">
        <f>IFERROR(__xludf.DUMMYFUNCTION("""COMPUTED_VALUE"""),"Riverway Press")</f>
        <v>Riverway Press</v>
      </c>
      <c r="E2425" s="2">
        <f>IFERROR(__xludf.DUMMYFUNCTION("""COMPUTED_VALUE"""),7.61)</f>
        <v>7.61</v>
      </c>
      <c r="F2425" s="2"/>
      <c r="G2425" s="2"/>
      <c r="H2425" s="2"/>
      <c r="I2425" s="2"/>
    </row>
    <row r="2426">
      <c r="A2426" s="2">
        <f>IFERROR(__xludf.DUMMYFUNCTION("""COMPUTED_VALUE"""),77178.0)</f>
        <v>77178</v>
      </c>
      <c r="B2426" s="2" t="str">
        <f>IFERROR(__xludf.DUMMYFUNCTION("""COMPUTED_VALUE"""),"Tech")</f>
        <v>Tech</v>
      </c>
      <c r="C2426" s="2" t="str">
        <f>IFERROR(__xludf.DUMMYFUNCTION("""COMPUTED_VALUE"""),"Cycling")</f>
        <v>Cycling</v>
      </c>
      <c r="D2426" s="2" t="str">
        <f>IFERROR(__xludf.DUMMYFUNCTION("""COMPUTED_VALUE"""),"Riverway Press")</f>
        <v>Riverway Press</v>
      </c>
      <c r="E2426" s="2">
        <f>IFERROR(__xludf.DUMMYFUNCTION("""COMPUTED_VALUE"""),6.02)</f>
        <v>6.02</v>
      </c>
      <c r="F2426" s="2"/>
      <c r="G2426" s="2"/>
      <c r="H2426" s="2"/>
      <c r="I2426" s="2"/>
    </row>
    <row r="2427">
      <c r="A2427" s="2">
        <f>IFERROR(__xludf.DUMMYFUNCTION("""COMPUTED_VALUE"""),10075.0)</f>
        <v>10075</v>
      </c>
      <c r="B2427" s="2" t="str">
        <f>IFERROR(__xludf.DUMMYFUNCTION("""COMPUTED_VALUE"""),"Tech")</f>
        <v>Tech</v>
      </c>
      <c r="C2427" s="2" t="str">
        <f>IFERROR(__xludf.DUMMYFUNCTION("""COMPUTED_VALUE"""),"Cycling")</f>
        <v>Cycling</v>
      </c>
      <c r="D2427" s="2" t="str">
        <f>IFERROR(__xludf.DUMMYFUNCTION("""COMPUTED_VALUE"""),"Riverway Press")</f>
        <v>Riverway Press</v>
      </c>
      <c r="E2427" s="2">
        <f>IFERROR(__xludf.DUMMYFUNCTION("""COMPUTED_VALUE"""),2.22)</f>
        <v>2.22</v>
      </c>
      <c r="F2427" s="2"/>
      <c r="G2427" s="2"/>
      <c r="H2427" s="2"/>
      <c r="I2427" s="2"/>
    </row>
    <row r="2428">
      <c r="A2428" s="2">
        <f>IFERROR(__xludf.DUMMYFUNCTION("""COMPUTED_VALUE"""),10079.0)</f>
        <v>10079</v>
      </c>
      <c r="B2428" s="2" t="str">
        <f>IFERROR(__xludf.DUMMYFUNCTION("""COMPUTED_VALUE"""),"Tech")</f>
        <v>Tech</v>
      </c>
      <c r="C2428" s="2" t="str">
        <f>IFERROR(__xludf.DUMMYFUNCTION("""COMPUTED_VALUE"""),"Cycling")</f>
        <v>Cycling</v>
      </c>
      <c r="D2428" s="2" t="str">
        <f>IFERROR(__xludf.DUMMYFUNCTION("""COMPUTED_VALUE"""),"Riverway Press")</f>
        <v>Riverway Press</v>
      </c>
      <c r="E2428" s="2">
        <f>IFERROR(__xludf.DUMMYFUNCTION("""COMPUTED_VALUE"""),2.36)</f>
        <v>2.36</v>
      </c>
      <c r="F2428" s="2"/>
      <c r="G2428" s="2"/>
      <c r="H2428" s="2"/>
      <c r="I2428" s="2"/>
    </row>
    <row r="2429">
      <c r="A2429" s="2">
        <f>IFERROR(__xludf.DUMMYFUNCTION("""COMPUTED_VALUE"""),111469.0)</f>
        <v>111469</v>
      </c>
      <c r="B2429" s="2" t="str">
        <f>IFERROR(__xludf.DUMMYFUNCTION("""COMPUTED_VALUE"""),"Tech")</f>
        <v>Tech</v>
      </c>
      <c r="C2429" s="2" t="str">
        <f>IFERROR(__xludf.DUMMYFUNCTION("""COMPUTED_VALUE"""),"Cycling")</f>
        <v>Cycling</v>
      </c>
      <c r="D2429" s="2" t="str">
        <f>IFERROR(__xludf.DUMMYFUNCTION("""COMPUTED_VALUE"""),"Riverway Press")</f>
        <v>Riverway Press</v>
      </c>
      <c r="E2429" s="2">
        <f>IFERROR(__xludf.DUMMYFUNCTION("""COMPUTED_VALUE"""),7.91)</f>
        <v>7.91</v>
      </c>
      <c r="F2429" s="2"/>
      <c r="G2429" s="2"/>
      <c r="H2429" s="2"/>
      <c r="I2429" s="2"/>
    </row>
    <row r="2430">
      <c r="A2430" s="2">
        <f>IFERROR(__xludf.DUMMYFUNCTION("""COMPUTED_VALUE"""),166324.0)</f>
        <v>166324</v>
      </c>
      <c r="B2430" s="2" t="str">
        <f>IFERROR(__xludf.DUMMYFUNCTION("""COMPUTED_VALUE"""),"Tech")</f>
        <v>Tech</v>
      </c>
      <c r="C2430" s="2" t="str">
        <f>IFERROR(__xludf.DUMMYFUNCTION("""COMPUTED_VALUE"""),"Cycling")</f>
        <v>Cycling</v>
      </c>
      <c r="D2430" s="2" t="str">
        <f>IFERROR(__xludf.DUMMYFUNCTION("""COMPUTED_VALUE"""),"Ironway Publishing")</f>
        <v>Ironway Publishing</v>
      </c>
      <c r="E2430" s="2">
        <f>IFERROR(__xludf.DUMMYFUNCTION("""COMPUTED_VALUE"""),7.82)</f>
        <v>7.82</v>
      </c>
      <c r="F2430" s="2"/>
      <c r="G2430" s="2"/>
      <c r="H2430" s="2"/>
      <c r="I2430" s="2"/>
    </row>
    <row r="2431">
      <c r="A2431" s="2">
        <f>IFERROR(__xludf.DUMMYFUNCTION("""COMPUTED_VALUE"""),7829.0)</f>
        <v>7829</v>
      </c>
      <c r="B2431" s="2" t="str">
        <f>IFERROR(__xludf.DUMMYFUNCTION("""COMPUTED_VALUE"""),"Tech")</f>
        <v>Tech</v>
      </c>
      <c r="C2431" s="2" t="str">
        <f>IFERROR(__xludf.DUMMYFUNCTION("""COMPUTED_VALUE"""),"Cycling")</f>
        <v>Cycling</v>
      </c>
      <c r="D2431" s="2" t="str">
        <f>IFERROR(__xludf.DUMMYFUNCTION("""COMPUTED_VALUE"""),"Ironway Publishing")</f>
        <v>Ironway Publishing</v>
      </c>
      <c r="E2431" s="2">
        <f>IFERROR(__xludf.DUMMYFUNCTION("""COMPUTED_VALUE"""),12.27)</f>
        <v>12.27</v>
      </c>
      <c r="F2431" s="2"/>
      <c r="G2431" s="2"/>
      <c r="H2431" s="2"/>
      <c r="I2431" s="2"/>
    </row>
    <row r="2432">
      <c r="A2432" s="2">
        <f>IFERROR(__xludf.DUMMYFUNCTION("""COMPUTED_VALUE"""),105507.0)</f>
        <v>105507</v>
      </c>
      <c r="B2432" s="2" t="str">
        <f>IFERROR(__xludf.DUMMYFUNCTION("""COMPUTED_VALUE"""),"Tech")</f>
        <v>Tech</v>
      </c>
      <c r="C2432" s="2" t="str">
        <f>IFERROR(__xludf.DUMMYFUNCTION("""COMPUTED_VALUE"""),"Cycling")</f>
        <v>Cycling</v>
      </c>
      <c r="D2432" s="2" t="str">
        <f>IFERROR(__xludf.DUMMYFUNCTION("""COMPUTED_VALUE"""),"Ironway Publishing")</f>
        <v>Ironway Publishing</v>
      </c>
      <c r="E2432" s="2">
        <f>IFERROR(__xludf.DUMMYFUNCTION("""COMPUTED_VALUE"""),14.94)</f>
        <v>14.94</v>
      </c>
      <c r="F2432" s="2"/>
      <c r="G2432" s="2"/>
      <c r="H2432" s="2"/>
      <c r="I2432" s="2"/>
    </row>
    <row r="2433">
      <c r="A2433" s="2">
        <f>IFERROR(__xludf.DUMMYFUNCTION("""COMPUTED_VALUE"""),12834.0)</f>
        <v>12834</v>
      </c>
      <c r="B2433" s="2" t="str">
        <f>IFERROR(__xludf.DUMMYFUNCTION("""COMPUTED_VALUE"""),"Tech")</f>
        <v>Tech</v>
      </c>
      <c r="C2433" s="2" t="str">
        <f>IFERROR(__xludf.DUMMYFUNCTION("""COMPUTED_VALUE"""),"Cycling")</f>
        <v>Cycling</v>
      </c>
      <c r="D2433" s="2" t="str">
        <f>IFERROR(__xludf.DUMMYFUNCTION("""COMPUTED_VALUE"""),"Ironway Publishing")</f>
        <v>Ironway Publishing</v>
      </c>
      <c r="E2433" s="2">
        <f>IFERROR(__xludf.DUMMYFUNCTION("""COMPUTED_VALUE"""),11.97)</f>
        <v>11.97</v>
      </c>
      <c r="F2433" s="2"/>
      <c r="G2433" s="2"/>
      <c r="H2433" s="2"/>
      <c r="I2433" s="2"/>
    </row>
    <row r="2434">
      <c r="A2434" s="2">
        <f>IFERROR(__xludf.DUMMYFUNCTION("""COMPUTED_VALUE"""),27984.0)</f>
        <v>27984</v>
      </c>
      <c r="B2434" s="2" t="str">
        <f>IFERROR(__xludf.DUMMYFUNCTION("""COMPUTED_VALUE"""),"Tech")</f>
        <v>Tech</v>
      </c>
      <c r="C2434" s="2" t="str">
        <f>IFERROR(__xludf.DUMMYFUNCTION("""COMPUTED_VALUE"""),"Cycling")</f>
        <v>Cycling</v>
      </c>
      <c r="D2434" s="2" t="str">
        <f>IFERROR(__xludf.DUMMYFUNCTION("""COMPUTED_VALUE"""),"Ironway Publishing")</f>
        <v>Ironway Publishing</v>
      </c>
      <c r="E2434" s="2">
        <f>IFERROR(__xludf.DUMMYFUNCTION("""COMPUTED_VALUE"""),12.57)</f>
        <v>12.57</v>
      </c>
      <c r="F2434" s="2"/>
      <c r="G2434" s="2"/>
      <c r="H2434" s="2"/>
      <c r="I2434" s="2"/>
    </row>
    <row r="2435">
      <c r="A2435" s="2">
        <f>IFERROR(__xludf.DUMMYFUNCTION("""COMPUTED_VALUE"""),29444.0)</f>
        <v>29444</v>
      </c>
      <c r="B2435" s="2" t="str">
        <f>IFERROR(__xludf.DUMMYFUNCTION("""COMPUTED_VALUE"""),"Tech")</f>
        <v>Tech</v>
      </c>
      <c r="C2435" s="2" t="str">
        <f>IFERROR(__xludf.DUMMYFUNCTION("""COMPUTED_VALUE"""),"Cycling")</f>
        <v>Cycling</v>
      </c>
      <c r="D2435" s="2" t="str">
        <f>IFERROR(__xludf.DUMMYFUNCTION("""COMPUTED_VALUE"""),"Ironway Publishing")</f>
        <v>Ironway Publishing</v>
      </c>
      <c r="E2435" s="2">
        <f>IFERROR(__xludf.DUMMYFUNCTION("""COMPUTED_VALUE"""),4.13)</f>
        <v>4.13</v>
      </c>
      <c r="F2435" s="2"/>
      <c r="G2435" s="2"/>
      <c r="H2435" s="2"/>
      <c r="I2435" s="2"/>
    </row>
    <row r="2436">
      <c r="A2436" s="2">
        <f>IFERROR(__xludf.DUMMYFUNCTION("""COMPUTED_VALUE"""),107878.0)</f>
        <v>107878</v>
      </c>
      <c r="B2436" s="2" t="str">
        <f>IFERROR(__xludf.DUMMYFUNCTION("""COMPUTED_VALUE"""),"Tech")</f>
        <v>Tech</v>
      </c>
      <c r="C2436" s="2" t="str">
        <f>IFERROR(__xludf.DUMMYFUNCTION("""COMPUTED_VALUE"""),"Cycling")</f>
        <v>Cycling</v>
      </c>
      <c r="D2436" s="2" t="str">
        <f>IFERROR(__xludf.DUMMYFUNCTION("""COMPUTED_VALUE"""),"Ironway Publishing")</f>
        <v>Ironway Publishing</v>
      </c>
      <c r="E2436" s="2">
        <f>IFERROR(__xludf.DUMMYFUNCTION("""COMPUTED_VALUE"""),15.5)</f>
        <v>15.5</v>
      </c>
      <c r="F2436" s="2"/>
      <c r="G2436" s="2"/>
      <c r="H2436" s="2"/>
      <c r="I2436" s="2"/>
    </row>
    <row r="2437">
      <c r="A2437" s="2">
        <f>IFERROR(__xludf.DUMMYFUNCTION("""COMPUTED_VALUE"""),122416.0)</f>
        <v>122416</v>
      </c>
      <c r="B2437" s="2" t="str">
        <f>IFERROR(__xludf.DUMMYFUNCTION("""COMPUTED_VALUE"""),"Tech")</f>
        <v>Tech</v>
      </c>
      <c r="C2437" s="2" t="str">
        <f>IFERROR(__xludf.DUMMYFUNCTION("""COMPUTED_VALUE"""),"Cycling")</f>
        <v>Cycling</v>
      </c>
      <c r="D2437" s="2" t="str">
        <f>IFERROR(__xludf.DUMMYFUNCTION("""COMPUTED_VALUE"""),"Ironway Publishing")</f>
        <v>Ironway Publishing</v>
      </c>
      <c r="E2437" s="2">
        <f>IFERROR(__xludf.DUMMYFUNCTION("""COMPUTED_VALUE"""),19.41)</f>
        <v>19.41</v>
      </c>
      <c r="F2437" s="2"/>
      <c r="G2437" s="2"/>
      <c r="H2437" s="2"/>
      <c r="I2437" s="2"/>
    </row>
    <row r="2438">
      <c r="A2438" s="2">
        <f>IFERROR(__xludf.DUMMYFUNCTION("""COMPUTED_VALUE"""),95628.0)</f>
        <v>95628</v>
      </c>
      <c r="B2438" s="2" t="str">
        <f>IFERROR(__xludf.DUMMYFUNCTION("""COMPUTED_VALUE"""),"Tech")</f>
        <v>Tech</v>
      </c>
      <c r="C2438" s="2" t="str">
        <f>IFERROR(__xludf.DUMMYFUNCTION("""COMPUTED_VALUE"""),"Cycling")</f>
        <v>Cycling</v>
      </c>
      <c r="D2438" s="2" t="str">
        <f>IFERROR(__xludf.DUMMYFUNCTION("""COMPUTED_VALUE"""),"Ironway Publishing")</f>
        <v>Ironway Publishing</v>
      </c>
      <c r="E2438" s="2">
        <f>IFERROR(__xludf.DUMMYFUNCTION("""COMPUTED_VALUE"""),5.59)</f>
        <v>5.59</v>
      </c>
      <c r="F2438" s="2"/>
      <c r="G2438" s="2"/>
      <c r="H2438" s="2"/>
      <c r="I2438" s="2"/>
    </row>
    <row r="2439">
      <c r="A2439" s="2">
        <f>IFERROR(__xludf.DUMMYFUNCTION("""COMPUTED_VALUE"""),9654.0)</f>
        <v>9654</v>
      </c>
      <c r="B2439" s="2" t="str">
        <f>IFERROR(__xludf.DUMMYFUNCTION("""COMPUTED_VALUE"""),"Tech")</f>
        <v>Tech</v>
      </c>
      <c r="C2439" s="2" t="str">
        <f>IFERROR(__xludf.DUMMYFUNCTION("""COMPUTED_VALUE"""),"Cycling")</f>
        <v>Cycling</v>
      </c>
      <c r="D2439" s="2" t="str">
        <f>IFERROR(__xludf.DUMMYFUNCTION("""COMPUTED_VALUE"""),"Ironway Publishing")</f>
        <v>Ironway Publishing</v>
      </c>
      <c r="E2439" s="2">
        <f>IFERROR(__xludf.DUMMYFUNCTION("""COMPUTED_VALUE"""),11.25)</f>
        <v>11.25</v>
      </c>
      <c r="F2439" s="2"/>
      <c r="G2439" s="2"/>
      <c r="H2439" s="2"/>
      <c r="I2439" s="2"/>
    </row>
    <row r="2440">
      <c r="A2440" s="2">
        <f>IFERROR(__xludf.DUMMYFUNCTION("""COMPUTED_VALUE"""),105609.0)</f>
        <v>105609</v>
      </c>
      <c r="B2440" s="2" t="str">
        <f>IFERROR(__xludf.DUMMYFUNCTION("""COMPUTED_VALUE"""),"Tech")</f>
        <v>Tech</v>
      </c>
      <c r="C2440" s="2" t="str">
        <f>IFERROR(__xludf.DUMMYFUNCTION("""COMPUTED_VALUE"""),"Cycling")</f>
        <v>Cycling</v>
      </c>
      <c r="D2440" s="2" t="str">
        <f>IFERROR(__xludf.DUMMYFUNCTION("""COMPUTED_VALUE"""),"Ironway Publishing")</f>
        <v>Ironway Publishing</v>
      </c>
      <c r="E2440" s="2">
        <f>IFERROR(__xludf.DUMMYFUNCTION("""COMPUTED_VALUE"""),12.21)</f>
        <v>12.21</v>
      </c>
      <c r="F2440" s="2"/>
      <c r="G2440" s="2"/>
      <c r="H2440" s="2"/>
      <c r="I2440" s="2"/>
    </row>
    <row r="2441">
      <c r="A2441" s="2">
        <f>IFERROR(__xludf.DUMMYFUNCTION("""COMPUTED_VALUE"""),118932.0)</f>
        <v>118932</v>
      </c>
      <c r="B2441" s="2" t="str">
        <f>IFERROR(__xludf.DUMMYFUNCTION("""COMPUTED_VALUE"""),"Tech")</f>
        <v>Tech</v>
      </c>
      <c r="C2441" s="2" t="str">
        <f>IFERROR(__xludf.DUMMYFUNCTION("""COMPUTED_VALUE"""),"Cycling")</f>
        <v>Cycling</v>
      </c>
      <c r="D2441" s="2" t="str">
        <f>IFERROR(__xludf.DUMMYFUNCTION("""COMPUTED_VALUE"""),"Ironway Publishing")</f>
        <v>Ironway Publishing</v>
      </c>
      <c r="E2441" s="2">
        <f>IFERROR(__xludf.DUMMYFUNCTION("""COMPUTED_VALUE"""),5.4)</f>
        <v>5.4</v>
      </c>
      <c r="F2441" s="2"/>
      <c r="G2441" s="2"/>
      <c r="H2441" s="2"/>
      <c r="I2441" s="2"/>
    </row>
    <row r="2442">
      <c r="A2442" s="2">
        <f>IFERROR(__xludf.DUMMYFUNCTION("""COMPUTED_VALUE"""),103976.0)</f>
        <v>103976</v>
      </c>
      <c r="B2442" s="2" t="str">
        <f>IFERROR(__xludf.DUMMYFUNCTION("""COMPUTED_VALUE"""),"Tech")</f>
        <v>Tech</v>
      </c>
      <c r="C2442" s="2" t="str">
        <f>IFERROR(__xludf.DUMMYFUNCTION("""COMPUTED_VALUE"""),"Cycling")</f>
        <v>Cycling</v>
      </c>
      <c r="D2442" s="2" t="str">
        <f>IFERROR(__xludf.DUMMYFUNCTION("""COMPUTED_VALUE"""),"Ironway Publishing")</f>
        <v>Ironway Publishing</v>
      </c>
      <c r="E2442" s="2">
        <f>IFERROR(__xludf.DUMMYFUNCTION("""COMPUTED_VALUE"""),8.11)</f>
        <v>8.11</v>
      </c>
      <c r="F2442" s="2"/>
      <c r="G2442" s="2"/>
      <c r="H2442" s="2"/>
      <c r="I2442" s="2"/>
    </row>
    <row r="2443">
      <c r="A2443" s="2">
        <f>IFERROR(__xludf.DUMMYFUNCTION("""COMPUTED_VALUE"""),107881.0)</f>
        <v>107881</v>
      </c>
      <c r="B2443" s="2" t="str">
        <f>IFERROR(__xludf.DUMMYFUNCTION("""COMPUTED_VALUE"""),"Tech")</f>
        <v>Tech</v>
      </c>
      <c r="C2443" s="2" t="str">
        <f>IFERROR(__xludf.DUMMYFUNCTION("""COMPUTED_VALUE"""),"Cycling")</f>
        <v>Cycling</v>
      </c>
      <c r="D2443" s="2" t="str">
        <f>IFERROR(__xludf.DUMMYFUNCTION("""COMPUTED_VALUE"""),"Ironway Publishing")</f>
        <v>Ironway Publishing</v>
      </c>
      <c r="E2443" s="2">
        <f>IFERROR(__xludf.DUMMYFUNCTION("""COMPUTED_VALUE"""),25.94)</f>
        <v>25.94</v>
      </c>
      <c r="F2443" s="2"/>
      <c r="G2443" s="2"/>
      <c r="H2443" s="2"/>
      <c r="I2443" s="2"/>
    </row>
    <row r="2444">
      <c r="A2444" s="2">
        <f>IFERROR(__xludf.DUMMYFUNCTION("""COMPUTED_VALUE"""),7830.0)</f>
        <v>7830</v>
      </c>
      <c r="B2444" s="2" t="str">
        <f>IFERROR(__xludf.DUMMYFUNCTION("""COMPUTED_VALUE"""),"Tech")</f>
        <v>Tech</v>
      </c>
      <c r="C2444" s="2" t="str">
        <f>IFERROR(__xludf.DUMMYFUNCTION("""COMPUTED_VALUE"""),"Cycling")</f>
        <v>Cycling</v>
      </c>
      <c r="D2444" s="2" t="str">
        <f>IFERROR(__xludf.DUMMYFUNCTION("""COMPUTED_VALUE"""),"Ironway Publishing")</f>
        <v>Ironway Publishing</v>
      </c>
      <c r="E2444" s="2">
        <f>IFERROR(__xludf.DUMMYFUNCTION("""COMPUTED_VALUE"""),12.84)</f>
        <v>12.84</v>
      </c>
      <c r="F2444" s="2"/>
      <c r="G2444" s="2"/>
      <c r="H2444" s="2"/>
      <c r="I2444" s="2"/>
    </row>
    <row r="2445">
      <c r="A2445" s="2">
        <f>IFERROR(__xludf.DUMMYFUNCTION("""COMPUTED_VALUE"""),159717.0)</f>
        <v>159717</v>
      </c>
      <c r="B2445" s="2" t="str">
        <f>IFERROR(__xludf.DUMMYFUNCTION("""COMPUTED_VALUE"""),"Tech")</f>
        <v>Tech</v>
      </c>
      <c r="C2445" s="2" t="str">
        <f>IFERROR(__xludf.DUMMYFUNCTION("""COMPUTED_VALUE"""),"Cycling")</f>
        <v>Cycling</v>
      </c>
      <c r="D2445" s="2" t="str">
        <f>IFERROR(__xludf.DUMMYFUNCTION("""COMPUTED_VALUE"""),"Ironway Publishing")</f>
        <v>Ironway Publishing</v>
      </c>
      <c r="E2445" s="2">
        <f>IFERROR(__xludf.DUMMYFUNCTION("""COMPUTED_VALUE"""),18.24)</f>
        <v>18.24</v>
      </c>
      <c r="F2445" s="2"/>
      <c r="G2445" s="2"/>
      <c r="H2445" s="2"/>
      <c r="I2445" s="2"/>
    </row>
    <row r="2446">
      <c r="A2446" s="2">
        <f>IFERROR(__xludf.DUMMYFUNCTION("""COMPUTED_VALUE"""),113449.0)</f>
        <v>113449</v>
      </c>
      <c r="B2446" s="2" t="str">
        <f>IFERROR(__xludf.DUMMYFUNCTION("""COMPUTED_VALUE"""),"Tech")</f>
        <v>Tech</v>
      </c>
      <c r="C2446" s="2" t="str">
        <f>IFERROR(__xludf.DUMMYFUNCTION("""COMPUTED_VALUE"""),"Cycling")</f>
        <v>Cycling</v>
      </c>
      <c r="D2446" s="2" t="str">
        <f>IFERROR(__xludf.DUMMYFUNCTION("""COMPUTED_VALUE"""),"Ironway Publishing")</f>
        <v>Ironway Publishing</v>
      </c>
      <c r="E2446" s="2">
        <f>IFERROR(__xludf.DUMMYFUNCTION("""COMPUTED_VALUE"""),8.64)</f>
        <v>8.64</v>
      </c>
      <c r="F2446" s="2"/>
      <c r="G2446" s="2"/>
      <c r="H2446" s="2"/>
      <c r="I2446" s="2"/>
    </row>
    <row r="2447">
      <c r="A2447" s="2">
        <f>IFERROR(__xludf.DUMMYFUNCTION("""COMPUTED_VALUE"""),79942.0)</f>
        <v>79942</v>
      </c>
      <c r="B2447" s="2" t="str">
        <f>IFERROR(__xludf.DUMMYFUNCTION("""COMPUTED_VALUE"""),"Tech")</f>
        <v>Tech</v>
      </c>
      <c r="C2447" s="2" t="str">
        <f>IFERROR(__xludf.DUMMYFUNCTION("""COMPUTED_VALUE"""),"Cycling")</f>
        <v>Cycling</v>
      </c>
      <c r="D2447" s="2" t="str">
        <f>IFERROR(__xludf.DUMMYFUNCTION("""COMPUTED_VALUE"""),"Ironway Publishing")</f>
        <v>Ironway Publishing</v>
      </c>
      <c r="E2447" s="2">
        <f>IFERROR(__xludf.DUMMYFUNCTION("""COMPUTED_VALUE"""),8.03)</f>
        <v>8.03</v>
      </c>
      <c r="F2447" s="2"/>
      <c r="G2447" s="2"/>
      <c r="H2447" s="2"/>
      <c r="I2447" s="2"/>
    </row>
    <row r="2448">
      <c r="A2448" s="2">
        <f>IFERROR(__xludf.DUMMYFUNCTION("""COMPUTED_VALUE"""),29437.0)</f>
        <v>29437</v>
      </c>
      <c r="B2448" s="2" t="str">
        <f>IFERROR(__xludf.DUMMYFUNCTION("""COMPUTED_VALUE"""),"Tech")</f>
        <v>Tech</v>
      </c>
      <c r="C2448" s="2" t="str">
        <f>IFERROR(__xludf.DUMMYFUNCTION("""COMPUTED_VALUE"""),"Cycling")</f>
        <v>Cycling</v>
      </c>
      <c r="D2448" s="2" t="str">
        <f>IFERROR(__xludf.DUMMYFUNCTION("""COMPUTED_VALUE"""),"Ironway Publishing")</f>
        <v>Ironway Publishing</v>
      </c>
      <c r="E2448" s="2">
        <f>IFERROR(__xludf.DUMMYFUNCTION("""COMPUTED_VALUE"""),3.86)</f>
        <v>3.86</v>
      </c>
      <c r="F2448" s="2"/>
      <c r="G2448" s="2"/>
      <c r="H2448" s="2"/>
      <c r="I2448" s="2"/>
    </row>
    <row r="2449">
      <c r="A2449" s="2">
        <f>IFERROR(__xludf.DUMMYFUNCTION("""COMPUTED_VALUE"""),99234.0)</f>
        <v>99234</v>
      </c>
      <c r="B2449" s="2" t="str">
        <f>IFERROR(__xludf.DUMMYFUNCTION("""COMPUTED_VALUE"""),"Tech")</f>
        <v>Tech</v>
      </c>
      <c r="C2449" s="2" t="str">
        <f>IFERROR(__xludf.DUMMYFUNCTION("""COMPUTED_VALUE"""),"Cycling")</f>
        <v>Cycling</v>
      </c>
      <c r="D2449" s="2" t="str">
        <f>IFERROR(__xludf.DUMMYFUNCTION("""COMPUTED_VALUE"""),"Ironway Publishing")</f>
        <v>Ironway Publishing</v>
      </c>
      <c r="E2449" s="2">
        <f>IFERROR(__xludf.DUMMYFUNCTION("""COMPUTED_VALUE"""),12.42)</f>
        <v>12.42</v>
      </c>
      <c r="F2449" s="2"/>
      <c r="G2449" s="2"/>
      <c r="H2449" s="2"/>
      <c r="I2449" s="2"/>
    </row>
    <row r="2450">
      <c r="A2450" s="2">
        <f>IFERROR(__xludf.DUMMYFUNCTION("""COMPUTED_VALUE"""),103985.0)</f>
        <v>103985</v>
      </c>
      <c r="B2450" s="2" t="str">
        <f>IFERROR(__xludf.DUMMYFUNCTION("""COMPUTED_VALUE"""),"Tech")</f>
        <v>Tech</v>
      </c>
      <c r="C2450" s="2" t="str">
        <f>IFERROR(__xludf.DUMMYFUNCTION("""COMPUTED_VALUE"""),"Cycling")</f>
        <v>Cycling</v>
      </c>
      <c r="D2450" s="2" t="str">
        <f>IFERROR(__xludf.DUMMYFUNCTION("""COMPUTED_VALUE"""),"Ironway Publishing")</f>
        <v>Ironway Publishing</v>
      </c>
      <c r="E2450" s="2">
        <f>IFERROR(__xludf.DUMMYFUNCTION("""COMPUTED_VALUE"""),8.89)</f>
        <v>8.89</v>
      </c>
      <c r="F2450" s="2"/>
      <c r="G2450" s="2"/>
      <c r="H2450" s="2"/>
      <c r="I2450" s="2"/>
    </row>
    <row r="2451">
      <c r="A2451" s="2">
        <f>IFERROR(__xludf.DUMMYFUNCTION("""COMPUTED_VALUE"""),97947.0)</f>
        <v>97947</v>
      </c>
      <c r="B2451" s="2" t="str">
        <f>IFERROR(__xludf.DUMMYFUNCTION("""COMPUTED_VALUE"""),"Tech")</f>
        <v>Tech</v>
      </c>
      <c r="C2451" s="2" t="str">
        <f>IFERROR(__xludf.DUMMYFUNCTION("""COMPUTED_VALUE"""),"Cycling")</f>
        <v>Cycling</v>
      </c>
      <c r="D2451" s="2" t="str">
        <f>IFERROR(__xludf.DUMMYFUNCTION("""COMPUTED_VALUE"""),"Ironway Publishing")</f>
        <v>Ironway Publishing</v>
      </c>
      <c r="E2451" s="2">
        <f>IFERROR(__xludf.DUMMYFUNCTION("""COMPUTED_VALUE"""),6.03)</f>
        <v>6.03</v>
      </c>
      <c r="F2451" s="2"/>
      <c r="G2451" s="2"/>
      <c r="H2451" s="2"/>
      <c r="I2451" s="2"/>
    </row>
    <row r="2452">
      <c r="A2452" s="2">
        <f>IFERROR(__xludf.DUMMYFUNCTION("""COMPUTED_VALUE"""),101083.0)</f>
        <v>101083</v>
      </c>
      <c r="B2452" s="2" t="str">
        <f>IFERROR(__xludf.DUMMYFUNCTION("""COMPUTED_VALUE"""),"Tech")</f>
        <v>Tech</v>
      </c>
      <c r="C2452" s="2" t="str">
        <f>IFERROR(__xludf.DUMMYFUNCTION("""COMPUTED_VALUE"""),"Cycling")</f>
        <v>Cycling</v>
      </c>
      <c r="D2452" s="2" t="str">
        <f>IFERROR(__xludf.DUMMYFUNCTION("""COMPUTED_VALUE"""),"Ironway Publishing")</f>
        <v>Ironway Publishing</v>
      </c>
      <c r="E2452" s="2">
        <f>IFERROR(__xludf.DUMMYFUNCTION("""COMPUTED_VALUE"""),13.0)</f>
        <v>13</v>
      </c>
      <c r="F2452" s="2"/>
      <c r="G2452" s="2"/>
      <c r="H2452" s="2"/>
      <c r="I2452" s="2"/>
    </row>
    <row r="2453">
      <c r="A2453" s="2">
        <f>IFERROR(__xludf.DUMMYFUNCTION("""COMPUTED_VALUE"""),111287.0)</f>
        <v>111287</v>
      </c>
      <c r="B2453" s="2" t="str">
        <f>IFERROR(__xludf.DUMMYFUNCTION("""COMPUTED_VALUE"""),"Tech")</f>
        <v>Tech</v>
      </c>
      <c r="C2453" s="2" t="str">
        <f>IFERROR(__xludf.DUMMYFUNCTION("""COMPUTED_VALUE"""),"Cycling")</f>
        <v>Cycling</v>
      </c>
      <c r="D2453" s="2" t="str">
        <f>IFERROR(__xludf.DUMMYFUNCTION("""COMPUTED_VALUE"""),"Silverbridge Books")</f>
        <v>Silverbridge Books</v>
      </c>
      <c r="E2453" s="2">
        <f>IFERROR(__xludf.DUMMYFUNCTION("""COMPUTED_VALUE"""),1.9)</f>
        <v>1.9</v>
      </c>
      <c r="F2453" s="2"/>
      <c r="G2453" s="2"/>
      <c r="H2453" s="2"/>
      <c r="I2453" s="2"/>
    </row>
    <row r="2454">
      <c r="A2454" s="2">
        <f>IFERROR(__xludf.DUMMYFUNCTION("""COMPUTED_VALUE"""),11728.0)</f>
        <v>11728</v>
      </c>
      <c r="B2454" s="2" t="str">
        <f>IFERROR(__xludf.DUMMYFUNCTION("""COMPUTED_VALUE"""),"Tech")</f>
        <v>Tech</v>
      </c>
      <c r="C2454" s="2" t="str">
        <f>IFERROR(__xludf.DUMMYFUNCTION("""COMPUTED_VALUE"""),"Cycling")</f>
        <v>Cycling</v>
      </c>
      <c r="D2454" s="2" t="str">
        <f>IFERROR(__xludf.DUMMYFUNCTION("""COMPUTED_VALUE"""),"Silverbridge Books")</f>
        <v>Silverbridge Books</v>
      </c>
      <c r="E2454" s="2">
        <f>IFERROR(__xludf.DUMMYFUNCTION("""COMPUTED_VALUE"""),7.3)</f>
        <v>7.3</v>
      </c>
      <c r="F2454" s="2"/>
      <c r="G2454" s="2"/>
      <c r="H2454" s="2"/>
      <c r="I2454" s="2"/>
    </row>
    <row r="2455">
      <c r="A2455" s="2">
        <f>IFERROR(__xludf.DUMMYFUNCTION("""COMPUTED_VALUE"""),111286.0)</f>
        <v>111286</v>
      </c>
      <c r="B2455" s="2" t="str">
        <f>IFERROR(__xludf.DUMMYFUNCTION("""COMPUTED_VALUE"""),"Tech")</f>
        <v>Tech</v>
      </c>
      <c r="C2455" s="2" t="str">
        <f>IFERROR(__xludf.DUMMYFUNCTION("""COMPUTED_VALUE"""),"Cycling")</f>
        <v>Cycling</v>
      </c>
      <c r="D2455" s="2" t="str">
        <f>IFERROR(__xludf.DUMMYFUNCTION("""COMPUTED_VALUE"""),"Silverbridge Books")</f>
        <v>Silverbridge Books</v>
      </c>
      <c r="E2455" s="2">
        <f>IFERROR(__xludf.DUMMYFUNCTION("""COMPUTED_VALUE"""),1.51)</f>
        <v>1.51</v>
      </c>
      <c r="F2455" s="2"/>
      <c r="G2455" s="2"/>
      <c r="H2455" s="2"/>
      <c r="I2455" s="2"/>
    </row>
    <row r="2456">
      <c r="A2456" s="2">
        <f>IFERROR(__xludf.DUMMYFUNCTION("""COMPUTED_VALUE"""),29426.0)</f>
        <v>29426</v>
      </c>
      <c r="B2456" s="2" t="str">
        <f>IFERROR(__xludf.DUMMYFUNCTION("""COMPUTED_VALUE"""),"Tech")</f>
        <v>Tech</v>
      </c>
      <c r="C2456" s="2" t="str">
        <f>IFERROR(__xludf.DUMMYFUNCTION("""COMPUTED_VALUE"""),"Cycling")</f>
        <v>Cycling</v>
      </c>
      <c r="D2456" s="2" t="str">
        <f>IFERROR(__xludf.DUMMYFUNCTION("""COMPUTED_VALUE"""),"Silverbridge Books")</f>
        <v>Silverbridge Books</v>
      </c>
      <c r="E2456" s="2">
        <f>IFERROR(__xludf.DUMMYFUNCTION("""COMPUTED_VALUE"""),3.83)</f>
        <v>3.83</v>
      </c>
      <c r="F2456" s="2"/>
      <c r="G2456" s="2"/>
      <c r="H2456" s="2"/>
      <c r="I2456" s="2"/>
    </row>
    <row r="2457">
      <c r="A2457" s="2">
        <f>IFERROR(__xludf.DUMMYFUNCTION("""COMPUTED_VALUE"""),93419.0)</f>
        <v>93419</v>
      </c>
      <c r="B2457" s="2" t="str">
        <f>IFERROR(__xludf.DUMMYFUNCTION("""COMPUTED_VALUE"""),"Tech")</f>
        <v>Tech</v>
      </c>
      <c r="C2457" s="2" t="str">
        <f>IFERROR(__xludf.DUMMYFUNCTION("""COMPUTED_VALUE"""),"Cycling")</f>
        <v>Cycling</v>
      </c>
      <c r="D2457" s="2" t="str">
        <f>IFERROR(__xludf.DUMMYFUNCTION("""COMPUTED_VALUE"""),"Silverbridge Books")</f>
        <v>Silverbridge Books</v>
      </c>
      <c r="E2457" s="2">
        <f>IFERROR(__xludf.DUMMYFUNCTION("""COMPUTED_VALUE"""),12.88)</f>
        <v>12.88</v>
      </c>
      <c r="F2457" s="2"/>
      <c r="G2457" s="2"/>
      <c r="H2457" s="2"/>
      <c r="I2457" s="2"/>
    </row>
    <row r="2458">
      <c r="A2458" s="2">
        <f>IFERROR(__xludf.DUMMYFUNCTION("""COMPUTED_VALUE"""),93418.0)</f>
        <v>93418</v>
      </c>
      <c r="B2458" s="2" t="str">
        <f>IFERROR(__xludf.DUMMYFUNCTION("""COMPUTED_VALUE"""),"Tech")</f>
        <v>Tech</v>
      </c>
      <c r="C2458" s="2" t="str">
        <f>IFERROR(__xludf.DUMMYFUNCTION("""COMPUTED_VALUE"""),"Cycling")</f>
        <v>Cycling</v>
      </c>
      <c r="D2458" s="2" t="str">
        <f>IFERROR(__xludf.DUMMYFUNCTION("""COMPUTED_VALUE"""),"Silverbridge Books")</f>
        <v>Silverbridge Books</v>
      </c>
      <c r="E2458" s="2">
        <f>IFERROR(__xludf.DUMMYFUNCTION("""COMPUTED_VALUE"""),22.33)</f>
        <v>22.33</v>
      </c>
      <c r="F2458" s="2"/>
      <c r="G2458" s="2"/>
      <c r="H2458" s="2"/>
      <c r="I2458" s="2"/>
    </row>
    <row r="2459">
      <c r="A2459" s="2">
        <f>IFERROR(__xludf.DUMMYFUNCTION("""COMPUTED_VALUE"""),79198.0)</f>
        <v>79198</v>
      </c>
      <c r="B2459" s="2" t="str">
        <f>IFERROR(__xludf.DUMMYFUNCTION("""COMPUTED_VALUE"""),"Tech")</f>
        <v>Tech</v>
      </c>
      <c r="C2459" s="2" t="str">
        <f>IFERROR(__xludf.DUMMYFUNCTION("""COMPUTED_VALUE"""),"Cycling")</f>
        <v>Cycling</v>
      </c>
      <c r="D2459" s="2" t="str">
        <f>IFERROR(__xludf.DUMMYFUNCTION("""COMPUTED_VALUE"""),"Silverbridge Books")</f>
        <v>Silverbridge Books</v>
      </c>
      <c r="E2459" s="2">
        <f>IFERROR(__xludf.DUMMYFUNCTION("""COMPUTED_VALUE"""),4.75)</f>
        <v>4.75</v>
      </c>
      <c r="F2459" s="2"/>
      <c r="G2459" s="2"/>
      <c r="H2459" s="2"/>
      <c r="I2459" s="2"/>
    </row>
    <row r="2460">
      <c r="A2460" s="2">
        <f>IFERROR(__xludf.DUMMYFUNCTION("""COMPUTED_VALUE"""),11720.0)</f>
        <v>11720</v>
      </c>
      <c r="B2460" s="2" t="str">
        <f>IFERROR(__xludf.DUMMYFUNCTION("""COMPUTED_VALUE"""),"Tech")</f>
        <v>Tech</v>
      </c>
      <c r="C2460" s="2" t="str">
        <f>IFERROR(__xludf.DUMMYFUNCTION("""COMPUTED_VALUE"""),"Cycling")</f>
        <v>Cycling</v>
      </c>
      <c r="D2460" s="2" t="str">
        <f>IFERROR(__xludf.DUMMYFUNCTION("""COMPUTED_VALUE"""),"Silverbridge Books")</f>
        <v>Silverbridge Books</v>
      </c>
      <c r="E2460" s="2">
        <f>IFERROR(__xludf.DUMMYFUNCTION("""COMPUTED_VALUE"""),7.39)</f>
        <v>7.39</v>
      </c>
      <c r="F2460" s="2"/>
      <c r="G2460" s="2"/>
      <c r="H2460" s="2"/>
      <c r="I2460" s="2"/>
    </row>
    <row r="2461">
      <c r="A2461" s="2">
        <f>IFERROR(__xludf.DUMMYFUNCTION("""COMPUTED_VALUE"""),122534.0)</f>
        <v>122534</v>
      </c>
      <c r="B2461" s="2" t="str">
        <f>IFERROR(__xludf.DUMMYFUNCTION("""COMPUTED_VALUE"""),"Tech")</f>
        <v>Tech</v>
      </c>
      <c r="C2461" s="2" t="str">
        <f>IFERROR(__xludf.DUMMYFUNCTION("""COMPUTED_VALUE"""),"Cycling")</f>
        <v>Cycling</v>
      </c>
      <c r="D2461" s="2" t="str">
        <f>IFERROR(__xludf.DUMMYFUNCTION("""COMPUTED_VALUE"""),"Silverbridge Books")</f>
        <v>Silverbridge Books</v>
      </c>
      <c r="E2461" s="2">
        <f>IFERROR(__xludf.DUMMYFUNCTION("""COMPUTED_VALUE"""),8.02)</f>
        <v>8.02</v>
      </c>
      <c r="F2461" s="2"/>
      <c r="G2461" s="2"/>
      <c r="H2461" s="2"/>
      <c r="I2461" s="2"/>
    </row>
    <row r="2462">
      <c r="A2462" s="2">
        <f>IFERROR(__xludf.DUMMYFUNCTION("""COMPUTED_VALUE"""),92209.0)</f>
        <v>92209</v>
      </c>
      <c r="B2462" s="2" t="str">
        <f>IFERROR(__xludf.DUMMYFUNCTION("""COMPUTED_VALUE"""),"Tech")</f>
        <v>Tech</v>
      </c>
      <c r="C2462" s="2" t="str">
        <f>IFERROR(__xludf.DUMMYFUNCTION("""COMPUTED_VALUE"""),"Cycling")</f>
        <v>Cycling</v>
      </c>
      <c r="D2462" s="2" t="str">
        <f>IFERROR(__xludf.DUMMYFUNCTION("""COMPUTED_VALUE"""),"Silverbridge Books")</f>
        <v>Silverbridge Books</v>
      </c>
      <c r="E2462" s="2">
        <f>IFERROR(__xludf.DUMMYFUNCTION("""COMPUTED_VALUE"""),8.2)</f>
        <v>8.2</v>
      </c>
      <c r="F2462" s="2"/>
      <c r="G2462" s="2"/>
      <c r="H2462" s="2"/>
      <c r="I2462" s="2"/>
    </row>
    <row r="2463">
      <c r="A2463" s="2">
        <f>IFERROR(__xludf.DUMMYFUNCTION("""COMPUTED_VALUE"""),93417.0)</f>
        <v>93417</v>
      </c>
      <c r="B2463" s="2" t="str">
        <f>IFERROR(__xludf.DUMMYFUNCTION("""COMPUTED_VALUE"""),"Tech")</f>
        <v>Tech</v>
      </c>
      <c r="C2463" s="2" t="str">
        <f>IFERROR(__xludf.DUMMYFUNCTION("""COMPUTED_VALUE"""),"Cycling")</f>
        <v>Cycling</v>
      </c>
      <c r="D2463" s="2" t="str">
        <f>IFERROR(__xludf.DUMMYFUNCTION("""COMPUTED_VALUE"""),"Silverbridge Books")</f>
        <v>Silverbridge Books</v>
      </c>
      <c r="E2463" s="2">
        <f>IFERROR(__xludf.DUMMYFUNCTION("""COMPUTED_VALUE"""),20.31)</f>
        <v>20.31</v>
      </c>
      <c r="F2463" s="2"/>
      <c r="G2463" s="2"/>
      <c r="H2463" s="2"/>
      <c r="I2463" s="2"/>
    </row>
    <row r="2464">
      <c r="A2464" s="2">
        <f>IFERROR(__xludf.DUMMYFUNCTION("""COMPUTED_VALUE"""),103197.0)</f>
        <v>103197</v>
      </c>
      <c r="B2464" s="2" t="str">
        <f>IFERROR(__xludf.DUMMYFUNCTION("""COMPUTED_VALUE"""),"Tech")</f>
        <v>Tech</v>
      </c>
      <c r="C2464" s="2" t="str">
        <f>IFERROR(__xludf.DUMMYFUNCTION("""COMPUTED_VALUE"""),"Cycling")</f>
        <v>Cycling</v>
      </c>
      <c r="D2464" s="2" t="str">
        <f>IFERROR(__xludf.DUMMYFUNCTION("""COMPUTED_VALUE"""),"Silverbridge Books")</f>
        <v>Silverbridge Books</v>
      </c>
      <c r="E2464" s="2">
        <f>IFERROR(__xludf.DUMMYFUNCTION("""COMPUTED_VALUE"""),23.34)</f>
        <v>23.34</v>
      </c>
      <c r="F2464" s="2"/>
      <c r="G2464" s="2"/>
      <c r="H2464" s="2"/>
      <c r="I2464" s="2"/>
    </row>
    <row r="2465">
      <c r="A2465" s="2">
        <f>IFERROR(__xludf.DUMMYFUNCTION("""COMPUTED_VALUE"""),118930.0)</f>
        <v>118930</v>
      </c>
      <c r="B2465" s="2" t="str">
        <f>IFERROR(__xludf.DUMMYFUNCTION("""COMPUTED_VALUE"""),"Tech")</f>
        <v>Tech</v>
      </c>
      <c r="C2465" s="2" t="str">
        <f>IFERROR(__xludf.DUMMYFUNCTION("""COMPUTED_VALUE"""),"Cycling")</f>
        <v>Cycling</v>
      </c>
      <c r="D2465" s="2" t="str">
        <f>IFERROR(__xludf.DUMMYFUNCTION("""COMPUTED_VALUE"""),"Silverbridge Books")</f>
        <v>Silverbridge Books</v>
      </c>
      <c r="E2465" s="2">
        <f>IFERROR(__xludf.DUMMYFUNCTION("""COMPUTED_VALUE"""),4.14)</f>
        <v>4.14</v>
      </c>
      <c r="F2465" s="2"/>
      <c r="G2465" s="2"/>
      <c r="H2465" s="2"/>
      <c r="I2465" s="2"/>
    </row>
    <row r="2466">
      <c r="A2466" s="2">
        <f>IFERROR(__xludf.DUMMYFUNCTION("""COMPUTED_VALUE"""),92199.0)</f>
        <v>92199</v>
      </c>
      <c r="B2466" s="2" t="str">
        <f>IFERROR(__xludf.DUMMYFUNCTION("""COMPUTED_VALUE"""),"Tech")</f>
        <v>Tech</v>
      </c>
      <c r="C2466" s="2" t="str">
        <f>IFERROR(__xludf.DUMMYFUNCTION("""COMPUTED_VALUE"""),"Cycling")</f>
        <v>Cycling</v>
      </c>
      <c r="D2466" s="2" t="str">
        <f>IFERROR(__xludf.DUMMYFUNCTION("""COMPUTED_VALUE"""),"Silverbridge Books")</f>
        <v>Silverbridge Books</v>
      </c>
      <c r="E2466" s="2">
        <f>IFERROR(__xludf.DUMMYFUNCTION("""COMPUTED_VALUE"""),11.25)</f>
        <v>11.25</v>
      </c>
      <c r="F2466" s="2"/>
      <c r="G2466" s="2"/>
      <c r="H2466" s="2"/>
      <c r="I2466" s="2"/>
    </row>
    <row r="2467">
      <c r="A2467" s="2">
        <f>IFERROR(__xludf.DUMMYFUNCTION("""COMPUTED_VALUE"""),29647.0)</f>
        <v>29647</v>
      </c>
      <c r="B2467" s="2" t="str">
        <f>IFERROR(__xludf.DUMMYFUNCTION("""COMPUTED_VALUE"""),"Tech")</f>
        <v>Tech</v>
      </c>
      <c r="C2467" s="2" t="str">
        <f>IFERROR(__xludf.DUMMYFUNCTION("""COMPUTED_VALUE"""),"Cycling")</f>
        <v>Cycling</v>
      </c>
      <c r="D2467" s="2" t="str">
        <f>IFERROR(__xludf.DUMMYFUNCTION("""COMPUTED_VALUE"""),"Silverbridge Books")</f>
        <v>Silverbridge Books</v>
      </c>
      <c r="E2467" s="2">
        <f>IFERROR(__xludf.DUMMYFUNCTION("""COMPUTED_VALUE"""),3.1)</f>
        <v>3.1</v>
      </c>
      <c r="F2467" s="2"/>
      <c r="G2467" s="2"/>
      <c r="H2467" s="2"/>
      <c r="I2467" s="2"/>
    </row>
    <row r="2468">
      <c r="A2468" s="2">
        <f>IFERROR(__xludf.DUMMYFUNCTION("""COMPUTED_VALUE"""),121857.0)</f>
        <v>121857</v>
      </c>
      <c r="B2468" s="2" t="str">
        <f>IFERROR(__xludf.DUMMYFUNCTION("""COMPUTED_VALUE"""),"Tech")</f>
        <v>Tech</v>
      </c>
      <c r="C2468" s="2" t="str">
        <f>IFERROR(__xludf.DUMMYFUNCTION("""COMPUTED_VALUE"""),"Cycling")</f>
        <v>Cycling</v>
      </c>
      <c r="D2468" s="2" t="str">
        <f>IFERROR(__xludf.DUMMYFUNCTION("""COMPUTED_VALUE"""),"Northbridge Press")</f>
        <v>Northbridge Press</v>
      </c>
      <c r="E2468" s="2">
        <f>IFERROR(__xludf.DUMMYFUNCTION("""COMPUTED_VALUE"""),6.78)</f>
        <v>6.78</v>
      </c>
      <c r="F2468" s="2"/>
      <c r="G2468" s="2"/>
      <c r="H2468" s="2"/>
      <c r="I2468" s="2"/>
    </row>
    <row r="2469">
      <c r="A2469" s="2">
        <f>IFERROR(__xludf.DUMMYFUNCTION("""COMPUTED_VALUE"""),129484.0)</f>
        <v>129484</v>
      </c>
      <c r="B2469" s="2" t="str">
        <f>IFERROR(__xludf.DUMMYFUNCTION("""COMPUTED_VALUE"""),"Tech")</f>
        <v>Tech</v>
      </c>
      <c r="C2469" s="2" t="str">
        <f>IFERROR(__xludf.DUMMYFUNCTION("""COMPUTED_VALUE"""),"Cycling")</f>
        <v>Cycling</v>
      </c>
      <c r="D2469" s="2" t="str">
        <f>IFERROR(__xludf.DUMMYFUNCTION("""COMPUTED_VALUE"""),"Northbridge Press")</f>
        <v>Northbridge Press</v>
      </c>
      <c r="E2469" s="2">
        <f>IFERROR(__xludf.DUMMYFUNCTION("""COMPUTED_VALUE"""),3.95)</f>
        <v>3.95</v>
      </c>
      <c r="F2469" s="2"/>
      <c r="G2469" s="2"/>
      <c r="H2469" s="2"/>
      <c r="I2469" s="2"/>
    </row>
    <row r="2470">
      <c r="A2470" s="2">
        <f>IFERROR(__xludf.DUMMYFUNCTION("""COMPUTED_VALUE"""),122405.0)</f>
        <v>122405</v>
      </c>
      <c r="B2470" s="2" t="str">
        <f>IFERROR(__xludf.DUMMYFUNCTION("""COMPUTED_VALUE"""),"Tech")</f>
        <v>Tech</v>
      </c>
      <c r="C2470" s="2" t="str">
        <f>IFERROR(__xludf.DUMMYFUNCTION("""COMPUTED_VALUE"""),"Cycling")</f>
        <v>Cycling</v>
      </c>
      <c r="D2470" s="2" t="str">
        <f>IFERROR(__xludf.DUMMYFUNCTION("""COMPUTED_VALUE"""),"Northbridge Press")</f>
        <v>Northbridge Press</v>
      </c>
      <c r="E2470" s="2">
        <f>IFERROR(__xludf.DUMMYFUNCTION("""COMPUTED_VALUE"""),2.86)</f>
        <v>2.86</v>
      </c>
      <c r="F2470" s="2"/>
      <c r="G2470" s="2"/>
      <c r="H2470" s="2"/>
      <c r="I2470" s="2"/>
    </row>
    <row r="2471">
      <c r="A2471" s="2">
        <f>IFERROR(__xludf.DUMMYFUNCTION("""COMPUTED_VALUE"""),108690.0)</f>
        <v>108690</v>
      </c>
      <c r="B2471" s="2" t="str">
        <f>IFERROR(__xludf.DUMMYFUNCTION("""COMPUTED_VALUE"""),"Tech")</f>
        <v>Tech</v>
      </c>
      <c r="C2471" s="2" t="str">
        <f>IFERROR(__xludf.DUMMYFUNCTION("""COMPUTED_VALUE"""),"Cycling")</f>
        <v>Cycling</v>
      </c>
      <c r="D2471" s="2" t="str">
        <f>IFERROR(__xludf.DUMMYFUNCTION("""COMPUTED_VALUE"""),"Northbridge Press")</f>
        <v>Northbridge Press</v>
      </c>
      <c r="E2471" s="2">
        <f>IFERROR(__xludf.DUMMYFUNCTION("""COMPUTED_VALUE"""),7.05)</f>
        <v>7.05</v>
      </c>
      <c r="F2471" s="2"/>
      <c r="G2471" s="2"/>
      <c r="H2471" s="2"/>
      <c r="I2471" s="2"/>
    </row>
    <row r="2472">
      <c r="A2472" s="2">
        <f>IFERROR(__xludf.DUMMYFUNCTION("""COMPUTED_VALUE"""),11726.0)</f>
        <v>11726</v>
      </c>
      <c r="B2472" s="2" t="str">
        <f>IFERROR(__xludf.DUMMYFUNCTION("""COMPUTED_VALUE"""),"Tech")</f>
        <v>Tech</v>
      </c>
      <c r="C2472" s="2" t="str">
        <f>IFERROR(__xludf.DUMMYFUNCTION("""COMPUTED_VALUE"""),"Cycling")</f>
        <v>Cycling</v>
      </c>
      <c r="D2472" s="2" t="str">
        <f>IFERROR(__xludf.DUMMYFUNCTION("""COMPUTED_VALUE"""),"Northbridge Press")</f>
        <v>Northbridge Press</v>
      </c>
      <c r="E2472" s="2">
        <f>IFERROR(__xludf.DUMMYFUNCTION("""COMPUTED_VALUE"""),5.26)</f>
        <v>5.26</v>
      </c>
      <c r="F2472" s="2"/>
      <c r="G2472" s="2"/>
      <c r="H2472" s="2"/>
      <c r="I2472" s="2"/>
    </row>
    <row r="2473">
      <c r="A2473" s="2">
        <f>IFERROR(__xludf.DUMMYFUNCTION("""COMPUTED_VALUE"""),109074.0)</f>
        <v>109074</v>
      </c>
      <c r="B2473" s="2" t="str">
        <f>IFERROR(__xludf.DUMMYFUNCTION("""COMPUTED_VALUE"""),"Tech")</f>
        <v>Tech</v>
      </c>
      <c r="C2473" s="2" t="str">
        <f>IFERROR(__xludf.DUMMYFUNCTION("""COMPUTED_VALUE"""),"Cycling")</f>
        <v>Cycling</v>
      </c>
      <c r="D2473" s="2" t="str">
        <f>IFERROR(__xludf.DUMMYFUNCTION("""COMPUTED_VALUE"""),"Northbridge Press")</f>
        <v>Northbridge Press</v>
      </c>
      <c r="E2473" s="2">
        <f>IFERROR(__xludf.DUMMYFUNCTION("""COMPUTED_VALUE"""),4.17)</f>
        <v>4.17</v>
      </c>
      <c r="F2473" s="2"/>
      <c r="G2473" s="2"/>
      <c r="H2473" s="2"/>
      <c r="I2473" s="2"/>
    </row>
    <row r="2474">
      <c r="A2474" s="2">
        <f>IFERROR(__xludf.DUMMYFUNCTION("""COMPUTED_VALUE"""),75818.0)</f>
        <v>75818</v>
      </c>
      <c r="B2474" s="2" t="str">
        <f>IFERROR(__xludf.DUMMYFUNCTION("""COMPUTED_VALUE"""),"Tech")</f>
        <v>Tech</v>
      </c>
      <c r="C2474" s="2" t="str">
        <f>IFERROR(__xludf.DUMMYFUNCTION("""COMPUTED_VALUE"""),"Cycling")</f>
        <v>Cycling</v>
      </c>
      <c r="D2474" s="2" t="str">
        <f>IFERROR(__xludf.DUMMYFUNCTION("""COMPUTED_VALUE"""),"Northbridge Press")</f>
        <v>Northbridge Press</v>
      </c>
      <c r="E2474" s="2">
        <f>IFERROR(__xludf.DUMMYFUNCTION("""COMPUTED_VALUE"""),9.19)</f>
        <v>9.19</v>
      </c>
      <c r="F2474" s="2"/>
      <c r="G2474" s="2"/>
      <c r="H2474" s="2"/>
      <c r="I2474" s="2"/>
    </row>
    <row r="2475">
      <c r="A2475" s="2">
        <f>IFERROR(__xludf.DUMMYFUNCTION("""COMPUTED_VALUE"""),10663.0)</f>
        <v>10663</v>
      </c>
      <c r="B2475" s="2" t="str">
        <f>IFERROR(__xludf.DUMMYFUNCTION("""COMPUTED_VALUE"""),"Tech")</f>
        <v>Tech</v>
      </c>
      <c r="C2475" s="2" t="str">
        <f>IFERROR(__xludf.DUMMYFUNCTION("""COMPUTED_VALUE"""),"Cycling")</f>
        <v>Cycling</v>
      </c>
      <c r="D2475" s="2" t="str">
        <f>IFERROR(__xludf.DUMMYFUNCTION("""COMPUTED_VALUE"""),"Northbridge Press")</f>
        <v>Northbridge Press</v>
      </c>
      <c r="E2475" s="2">
        <f>IFERROR(__xludf.DUMMYFUNCTION("""COMPUTED_VALUE"""),4.25)</f>
        <v>4.25</v>
      </c>
      <c r="F2475" s="2"/>
      <c r="G2475" s="2"/>
      <c r="H2475" s="2"/>
      <c r="I2475" s="2"/>
    </row>
    <row r="2476">
      <c r="A2476" s="2">
        <f>IFERROR(__xludf.DUMMYFUNCTION("""COMPUTED_VALUE"""),9667.0)</f>
        <v>9667</v>
      </c>
      <c r="B2476" s="2" t="str">
        <f>IFERROR(__xludf.DUMMYFUNCTION("""COMPUTED_VALUE"""),"Tech")</f>
        <v>Tech</v>
      </c>
      <c r="C2476" s="2" t="str">
        <f>IFERROR(__xludf.DUMMYFUNCTION("""COMPUTED_VALUE"""),"Cycling")</f>
        <v>Cycling</v>
      </c>
      <c r="D2476" s="2" t="str">
        <f>IFERROR(__xludf.DUMMYFUNCTION("""COMPUTED_VALUE"""),"Northbridge Press")</f>
        <v>Northbridge Press</v>
      </c>
      <c r="E2476" s="2">
        <f>IFERROR(__xludf.DUMMYFUNCTION("""COMPUTED_VALUE"""),5.27)</f>
        <v>5.27</v>
      </c>
      <c r="F2476" s="2"/>
      <c r="G2476" s="2"/>
      <c r="H2476" s="2"/>
      <c r="I2476" s="2"/>
    </row>
    <row r="2477">
      <c r="A2477" s="2">
        <f>IFERROR(__xludf.DUMMYFUNCTION("""COMPUTED_VALUE"""),109073.0)</f>
        <v>109073</v>
      </c>
      <c r="B2477" s="2" t="str">
        <f>IFERROR(__xludf.DUMMYFUNCTION("""COMPUTED_VALUE"""),"Tech")</f>
        <v>Tech</v>
      </c>
      <c r="C2477" s="2" t="str">
        <f>IFERROR(__xludf.DUMMYFUNCTION("""COMPUTED_VALUE"""),"Cycling")</f>
        <v>Cycling</v>
      </c>
      <c r="D2477" s="2" t="str">
        <f>IFERROR(__xludf.DUMMYFUNCTION("""COMPUTED_VALUE"""),"Northbridge Press")</f>
        <v>Northbridge Press</v>
      </c>
      <c r="E2477" s="2">
        <f>IFERROR(__xludf.DUMMYFUNCTION("""COMPUTED_VALUE"""),4.18)</f>
        <v>4.18</v>
      </c>
      <c r="F2477" s="2"/>
      <c r="G2477" s="2"/>
      <c r="H2477" s="2"/>
      <c r="I2477" s="2"/>
    </row>
    <row r="2478">
      <c r="A2478" s="2">
        <f>IFERROR(__xludf.DUMMYFUNCTION("""COMPUTED_VALUE"""),11731.0)</f>
        <v>11731</v>
      </c>
      <c r="B2478" s="2" t="str">
        <f>IFERROR(__xludf.DUMMYFUNCTION("""COMPUTED_VALUE"""),"Tech")</f>
        <v>Tech</v>
      </c>
      <c r="C2478" s="2" t="str">
        <f>IFERROR(__xludf.DUMMYFUNCTION("""COMPUTED_VALUE"""),"Cycling")</f>
        <v>Cycling</v>
      </c>
      <c r="D2478" s="2" t="str">
        <f>IFERROR(__xludf.DUMMYFUNCTION("""COMPUTED_VALUE"""),"Northbridge Press")</f>
        <v>Northbridge Press</v>
      </c>
      <c r="E2478" s="2">
        <f>IFERROR(__xludf.DUMMYFUNCTION("""COMPUTED_VALUE"""),5.88)</f>
        <v>5.88</v>
      </c>
      <c r="F2478" s="2"/>
      <c r="G2478" s="2"/>
      <c r="H2478" s="2"/>
      <c r="I2478" s="2"/>
    </row>
    <row r="2479">
      <c r="A2479" s="2">
        <f>IFERROR(__xludf.DUMMYFUNCTION("""COMPUTED_VALUE"""),155869.0)</f>
        <v>155869</v>
      </c>
      <c r="B2479" s="2" t="str">
        <f>IFERROR(__xludf.DUMMYFUNCTION("""COMPUTED_VALUE"""),"Tech")</f>
        <v>Tech</v>
      </c>
      <c r="C2479" s="2" t="str">
        <f>IFERROR(__xludf.DUMMYFUNCTION("""COMPUTED_VALUE"""),"Cycling")</f>
        <v>Cycling</v>
      </c>
      <c r="D2479" s="2" t="str">
        <f>IFERROR(__xludf.DUMMYFUNCTION("""COMPUTED_VALUE"""),"Northbridge Press")</f>
        <v>Northbridge Press</v>
      </c>
      <c r="E2479" s="2">
        <f>IFERROR(__xludf.DUMMYFUNCTION("""COMPUTED_VALUE"""),5.45)</f>
        <v>5.45</v>
      </c>
      <c r="F2479" s="2"/>
      <c r="G2479" s="2"/>
      <c r="H2479" s="2"/>
      <c r="I2479" s="2"/>
    </row>
    <row r="2480">
      <c r="A2480" s="2">
        <f>IFERROR(__xludf.DUMMYFUNCTION("""COMPUTED_VALUE"""),118982.0)</f>
        <v>118982</v>
      </c>
      <c r="B2480" s="2" t="str">
        <f>IFERROR(__xludf.DUMMYFUNCTION("""COMPUTED_VALUE"""),"Tech")</f>
        <v>Tech</v>
      </c>
      <c r="C2480" s="2" t="str">
        <f>IFERROR(__xludf.DUMMYFUNCTION("""COMPUTED_VALUE"""),"Cycling")</f>
        <v>Cycling</v>
      </c>
      <c r="D2480" s="2" t="str">
        <f>IFERROR(__xludf.DUMMYFUNCTION("""COMPUTED_VALUE"""),"Northbridge Press")</f>
        <v>Northbridge Press</v>
      </c>
      <c r="E2480" s="2">
        <f>IFERROR(__xludf.DUMMYFUNCTION("""COMPUTED_VALUE"""),4.84)</f>
        <v>4.84</v>
      </c>
      <c r="F2480" s="2"/>
      <c r="G2480" s="2"/>
      <c r="H2480" s="2"/>
      <c r="I2480" s="2"/>
    </row>
    <row r="2481">
      <c r="A2481" s="2">
        <f>IFERROR(__xludf.DUMMYFUNCTION("""COMPUTED_VALUE"""),29642.0)</f>
        <v>29642</v>
      </c>
      <c r="B2481" s="2" t="str">
        <f>IFERROR(__xludf.DUMMYFUNCTION("""COMPUTED_VALUE"""),"Tech")</f>
        <v>Tech</v>
      </c>
      <c r="C2481" s="2" t="str">
        <f>IFERROR(__xludf.DUMMYFUNCTION("""COMPUTED_VALUE"""),"Cycling")</f>
        <v>Cycling</v>
      </c>
      <c r="D2481" s="2" t="str">
        <f>IFERROR(__xludf.DUMMYFUNCTION("""COMPUTED_VALUE"""),"Northbridge Press")</f>
        <v>Northbridge Press</v>
      </c>
      <c r="E2481" s="2">
        <f>IFERROR(__xludf.DUMMYFUNCTION("""COMPUTED_VALUE"""),3.21)</f>
        <v>3.21</v>
      </c>
      <c r="F2481" s="2"/>
      <c r="G2481" s="2"/>
      <c r="H2481" s="2"/>
      <c r="I2481" s="2"/>
    </row>
    <row r="2482">
      <c r="A2482" s="2">
        <f>IFERROR(__xludf.DUMMYFUNCTION("""COMPUTED_VALUE"""),111774.0)</f>
        <v>111774</v>
      </c>
      <c r="B2482" s="2" t="str">
        <f>IFERROR(__xludf.DUMMYFUNCTION("""COMPUTED_VALUE"""),"Tech")</f>
        <v>Tech</v>
      </c>
      <c r="C2482" s="2" t="str">
        <f>IFERROR(__xludf.DUMMYFUNCTION("""COMPUTED_VALUE"""),"Cycling")</f>
        <v>Cycling</v>
      </c>
      <c r="D2482" s="2" t="str">
        <f>IFERROR(__xludf.DUMMYFUNCTION("""COMPUTED_VALUE"""),"Northbridge Press")</f>
        <v>Northbridge Press</v>
      </c>
      <c r="E2482" s="2">
        <f>IFERROR(__xludf.DUMMYFUNCTION("""COMPUTED_VALUE"""),2.89)</f>
        <v>2.89</v>
      </c>
      <c r="F2482" s="2"/>
      <c r="G2482" s="2"/>
      <c r="H2482" s="2"/>
      <c r="I2482" s="2"/>
    </row>
    <row r="2483">
      <c r="A2483" s="2">
        <f>IFERROR(__xludf.DUMMYFUNCTION("""COMPUTED_VALUE"""),117290.0)</f>
        <v>117290</v>
      </c>
      <c r="B2483" s="2" t="str">
        <f>IFERROR(__xludf.DUMMYFUNCTION("""COMPUTED_VALUE"""),"Tech")</f>
        <v>Tech</v>
      </c>
      <c r="C2483" s="2" t="str">
        <f>IFERROR(__xludf.DUMMYFUNCTION("""COMPUTED_VALUE"""),"Cycling")</f>
        <v>Cycling</v>
      </c>
      <c r="D2483" s="2" t="str">
        <f>IFERROR(__xludf.DUMMYFUNCTION("""COMPUTED_VALUE"""),"Northbridge Press")</f>
        <v>Northbridge Press</v>
      </c>
      <c r="E2483" s="2">
        <f>IFERROR(__xludf.DUMMYFUNCTION("""COMPUTED_VALUE"""),4.25)</f>
        <v>4.25</v>
      </c>
      <c r="F2483" s="2"/>
      <c r="G2483" s="2"/>
      <c r="H2483" s="2"/>
      <c r="I2483" s="2"/>
    </row>
    <row r="2484">
      <c r="A2484" s="2">
        <f>IFERROR(__xludf.DUMMYFUNCTION("""COMPUTED_VALUE"""),105593.0)</f>
        <v>105593</v>
      </c>
      <c r="B2484" s="2" t="str">
        <f>IFERROR(__xludf.DUMMYFUNCTION("""COMPUTED_VALUE"""),"Tech")</f>
        <v>Tech</v>
      </c>
      <c r="C2484" s="2" t="str">
        <f>IFERROR(__xludf.DUMMYFUNCTION("""COMPUTED_VALUE"""),"Cycling")</f>
        <v>Cycling</v>
      </c>
      <c r="D2484" s="2" t="str">
        <f>IFERROR(__xludf.DUMMYFUNCTION("""COMPUTED_VALUE"""),"Northbridge Press")</f>
        <v>Northbridge Press</v>
      </c>
      <c r="E2484" s="2">
        <f>IFERROR(__xludf.DUMMYFUNCTION("""COMPUTED_VALUE"""),7.61)</f>
        <v>7.61</v>
      </c>
      <c r="F2484" s="2"/>
      <c r="G2484" s="2"/>
      <c r="H2484" s="2"/>
      <c r="I2484" s="2"/>
    </row>
    <row r="2485">
      <c r="A2485" s="2">
        <f>IFERROR(__xludf.DUMMYFUNCTION("""COMPUTED_VALUE"""),70751.0)</f>
        <v>70751</v>
      </c>
      <c r="B2485" s="2" t="str">
        <f>IFERROR(__xludf.DUMMYFUNCTION("""COMPUTED_VALUE"""),"Tech")</f>
        <v>Tech</v>
      </c>
      <c r="C2485" s="2" t="str">
        <f>IFERROR(__xludf.DUMMYFUNCTION("""COMPUTED_VALUE"""),"Cycling")</f>
        <v>Cycling</v>
      </c>
      <c r="D2485" s="2" t="str">
        <f>IFERROR(__xludf.DUMMYFUNCTION("""COMPUTED_VALUE"""),"Northbridge Press")</f>
        <v>Northbridge Press</v>
      </c>
      <c r="E2485" s="2">
        <f>IFERROR(__xludf.DUMMYFUNCTION("""COMPUTED_VALUE"""),5.4)</f>
        <v>5.4</v>
      </c>
      <c r="F2485" s="2"/>
      <c r="G2485" s="2"/>
      <c r="H2485" s="2"/>
      <c r="I2485" s="2"/>
    </row>
    <row r="2486">
      <c r="A2486" s="2">
        <f>IFERROR(__xludf.DUMMYFUNCTION("""COMPUTED_VALUE"""),118929.0)</f>
        <v>118929</v>
      </c>
      <c r="B2486" s="2" t="str">
        <f>IFERROR(__xludf.DUMMYFUNCTION("""COMPUTED_VALUE"""),"Tech")</f>
        <v>Tech</v>
      </c>
      <c r="C2486" s="2" t="str">
        <f>IFERROR(__xludf.DUMMYFUNCTION("""COMPUTED_VALUE"""),"Cycling")</f>
        <v>Cycling</v>
      </c>
      <c r="D2486" s="2" t="str">
        <f>IFERROR(__xludf.DUMMYFUNCTION("""COMPUTED_VALUE"""),"Northbridge Press")</f>
        <v>Northbridge Press</v>
      </c>
      <c r="E2486" s="2">
        <f>IFERROR(__xludf.DUMMYFUNCTION("""COMPUTED_VALUE"""),5.28)</f>
        <v>5.28</v>
      </c>
      <c r="F2486" s="2"/>
      <c r="G2486" s="2"/>
      <c r="H2486" s="2"/>
      <c r="I2486" s="2"/>
    </row>
    <row r="2487">
      <c r="A2487" s="2">
        <f>IFERROR(__xludf.DUMMYFUNCTION("""COMPUTED_VALUE"""),70594.0)</f>
        <v>70594</v>
      </c>
      <c r="B2487" s="2" t="str">
        <f>IFERROR(__xludf.DUMMYFUNCTION("""COMPUTED_VALUE"""),"Tech")</f>
        <v>Tech</v>
      </c>
      <c r="C2487" s="2" t="str">
        <f>IFERROR(__xludf.DUMMYFUNCTION("""COMPUTED_VALUE"""),"Cycling")</f>
        <v>Cycling</v>
      </c>
      <c r="D2487" s="2" t="str">
        <f>IFERROR(__xludf.DUMMYFUNCTION("""COMPUTED_VALUE"""),"Northbridge Press")</f>
        <v>Northbridge Press</v>
      </c>
      <c r="E2487" s="2">
        <f>IFERROR(__xludf.DUMMYFUNCTION("""COMPUTED_VALUE"""),5.48)</f>
        <v>5.48</v>
      </c>
      <c r="F2487" s="2"/>
      <c r="G2487" s="2"/>
      <c r="H2487" s="2"/>
      <c r="I2487" s="2"/>
    </row>
    <row r="2488">
      <c r="A2488" s="2">
        <f>IFERROR(__xludf.DUMMYFUNCTION("""COMPUTED_VALUE"""),118270.0)</f>
        <v>118270</v>
      </c>
      <c r="B2488" s="2" t="str">
        <f>IFERROR(__xludf.DUMMYFUNCTION("""COMPUTED_VALUE"""),"Tech")</f>
        <v>Tech</v>
      </c>
      <c r="C2488" s="2" t="str">
        <f>IFERROR(__xludf.DUMMYFUNCTION("""COMPUTED_VALUE"""),"Cycling")</f>
        <v>Cycling</v>
      </c>
      <c r="D2488" s="2" t="str">
        <f>IFERROR(__xludf.DUMMYFUNCTION("""COMPUTED_VALUE"""),"Northbridge Press")</f>
        <v>Northbridge Press</v>
      </c>
      <c r="E2488" s="2">
        <f>IFERROR(__xludf.DUMMYFUNCTION("""COMPUTED_VALUE"""),3.44)</f>
        <v>3.44</v>
      </c>
      <c r="F2488" s="2"/>
      <c r="G2488" s="2"/>
      <c r="H2488" s="2"/>
      <c r="I2488" s="2"/>
    </row>
    <row r="2489">
      <c r="A2489" s="2">
        <f>IFERROR(__xludf.DUMMYFUNCTION("""COMPUTED_VALUE"""),20584.0)</f>
        <v>20584</v>
      </c>
      <c r="B2489" s="2" t="str">
        <f>IFERROR(__xludf.DUMMYFUNCTION("""COMPUTED_VALUE"""),"Tech")</f>
        <v>Tech</v>
      </c>
      <c r="C2489" s="2" t="str">
        <f>IFERROR(__xludf.DUMMYFUNCTION("""COMPUTED_VALUE"""),"Cycling")</f>
        <v>Cycling</v>
      </c>
      <c r="D2489" s="2" t="str">
        <f>IFERROR(__xludf.DUMMYFUNCTION("""COMPUTED_VALUE"""),"Northbridge Press")</f>
        <v>Northbridge Press</v>
      </c>
      <c r="E2489" s="2">
        <f>IFERROR(__xludf.DUMMYFUNCTION("""COMPUTED_VALUE"""),8.55)</f>
        <v>8.55</v>
      </c>
      <c r="F2489" s="2"/>
      <c r="G2489" s="2"/>
      <c r="H2489" s="2"/>
      <c r="I2489" s="2"/>
    </row>
    <row r="2490">
      <c r="A2490" s="2">
        <f>IFERROR(__xludf.DUMMYFUNCTION("""COMPUTED_VALUE"""),150541.0)</f>
        <v>150541</v>
      </c>
      <c r="B2490" s="2" t="str">
        <f>IFERROR(__xludf.DUMMYFUNCTION("""COMPUTED_VALUE"""),"Tech")</f>
        <v>Tech</v>
      </c>
      <c r="C2490" s="2" t="str">
        <f>IFERROR(__xludf.DUMMYFUNCTION("""COMPUTED_VALUE"""),"Cycling")</f>
        <v>Cycling</v>
      </c>
      <c r="D2490" s="2" t="str">
        <f>IFERROR(__xludf.DUMMYFUNCTION("""COMPUTED_VALUE"""),"Northbridge Press")</f>
        <v>Northbridge Press</v>
      </c>
      <c r="E2490" s="2">
        <f>IFERROR(__xludf.DUMMYFUNCTION("""COMPUTED_VALUE"""),4.0)</f>
        <v>4</v>
      </c>
      <c r="F2490" s="2"/>
      <c r="G2490" s="2"/>
      <c r="H2490" s="2"/>
      <c r="I2490" s="2"/>
    </row>
    <row r="2491">
      <c r="A2491" s="2">
        <f>IFERROR(__xludf.DUMMYFUNCTION("""COMPUTED_VALUE"""),12633.0)</f>
        <v>12633</v>
      </c>
      <c r="B2491" s="2" t="str">
        <f>IFERROR(__xludf.DUMMYFUNCTION("""COMPUTED_VALUE"""),"Tech")</f>
        <v>Tech</v>
      </c>
      <c r="C2491" s="2" t="str">
        <f>IFERROR(__xludf.DUMMYFUNCTION("""COMPUTED_VALUE"""),"Cycling")</f>
        <v>Cycling</v>
      </c>
      <c r="D2491" s="2" t="str">
        <f>IFERROR(__xludf.DUMMYFUNCTION("""COMPUTED_VALUE"""),"Northbridge Press")</f>
        <v>Northbridge Press</v>
      </c>
      <c r="E2491" s="2">
        <f>IFERROR(__xludf.DUMMYFUNCTION("""COMPUTED_VALUE"""),5.17)</f>
        <v>5.17</v>
      </c>
      <c r="F2491" s="2"/>
      <c r="G2491" s="2"/>
      <c r="H2491" s="2"/>
      <c r="I2491" s="2"/>
    </row>
    <row r="2492">
      <c r="A2492" s="2">
        <f>IFERROR(__xludf.DUMMYFUNCTION("""COMPUTED_VALUE"""),9666.0)</f>
        <v>9666</v>
      </c>
      <c r="B2492" s="2" t="str">
        <f>IFERROR(__xludf.DUMMYFUNCTION("""COMPUTED_VALUE"""),"Tech")</f>
        <v>Tech</v>
      </c>
      <c r="C2492" s="2" t="str">
        <f>IFERROR(__xludf.DUMMYFUNCTION("""COMPUTED_VALUE"""),"Cycling")</f>
        <v>Cycling</v>
      </c>
      <c r="D2492" s="2" t="str">
        <f>IFERROR(__xludf.DUMMYFUNCTION("""COMPUTED_VALUE"""),"Northbridge Press")</f>
        <v>Northbridge Press</v>
      </c>
      <c r="E2492" s="2">
        <f>IFERROR(__xludf.DUMMYFUNCTION("""COMPUTED_VALUE"""),4.01)</f>
        <v>4.01</v>
      </c>
      <c r="F2492" s="2"/>
      <c r="G2492" s="2"/>
      <c r="H2492" s="2"/>
      <c r="I2492" s="2"/>
    </row>
    <row r="2493">
      <c r="A2493" s="2">
        <f>IFERROR(__xludf.DUMMYFUNCTION("""COMPUTED_VALUE"""),79940.0)</f>
        <v>79940</v>
      </c>
      <c r="B2493" s="2" t="str">
        <f>IFERROR(__xludf.DUMMYFUNCTION("""COMPUTED_VALUE"""),"Tech")</f>
        <v>Tech</v>
      </c>
      <c r="C2493" s="2" t="str">
        <f>IFERROR(__xludf.DUMMYFUNCTION("""COMPUTED_VALUE"""),"Cycling")</f>
        <v>Cycling</v>
      </c>
      <c r="D2493" s="2" t="str">
        <f>IFERROR(__xludf.DUMMYFUNCTION("""COMPUTED_VALUE"""),"Northbridge Press")</f>
        <v>Northbridge Press</v>
      </c>
      <c r="E2493" s="2">
        <f>IFERROR(__xludf.DUMMYFUNCTION("""COMPUTED_VALUE"""),2.54)</f>
        <v>2.54</v>
      </c>
      <c r="F2493" s="2"/>
      <c r="G2493" s="2"/>
      <c r="H2493" s="2"/>
      <c r="I2493" s="2"/>
    </row>
    <row r="2494">
      <c r="A2494" s="2">
        <f>IFERROR(__xludf.DUMMYFUNCTION("""COMPUTED_VALUE"""),201198.0)</f>
        <v>201198</v>
      </c>
      <c r="B2494" s="2" t="str">
        <f>IFERROR(__xludf.DUMMYFUNCTION("""COMPUTED_VALUE"""),"Tech")</f>
        <v>Tech</v>
      </c>
      <c r="C2494" s="2" t="str">
        <f>IFERROR(__xludf.DUMMYFUNCTION("""COMPUTED_VALUE"""),"Cycling")</f>
        <v>Cycling</v>
      </c>
      <c r="D2494" s="2" t="str">
        <f>IFERROR(__xludf.DUMMYFUNCTION("""COMPUTED_VALUE"""),"Northbridge Press")</f>
        <v>Northbridge Press</v>
      </c>
      <c r="E2494" s="2">
        <f>IFERROR(__xludf.DUMMYFUNCTION("""COMPUTED_VALUE"""),6.0)</f>
        <v>6</v>
      </c>
      <c r="F2494" s="2"/>
      <c r="G2494" s="2"/>
      <c r="H2494" s="2"/>
      <c r="I2494" s="2"/>
    </row>
    <row r="2495">
      <c r="A2495" s="2">
        <f>IFERROR(__xludf.DUMMYFUNCTION("""COMPUTED_VALUE"""),117268.0)</f>
        <v>117268</v>
      </c>
      <c r="B2495" s="2" t="str">
        <f>IFERROR(__xludf.DUMMYFUNCTION("""COMPUTED_VALUE"""),"Tech")</f>
        <v>Tech</v>
      </c>
      <c r="C2495" s="2" t="str">
        <f>IFERROR(__xludf.DUMMYFUNCTION("""COMPUTED_VALUE"""),"Cycling")</f>
        <v>Cycling</v>
      </c>
      <c r="D2495" s="2" t="str">
        <f>IFERROR(__xludf.DUMMYFUNCTION("""COMPUTED_VALUE"""),"Northbridge Press")</f>
        <v>Northbridge Press</v>
      </c>
      <c r="E2495" s="2">
        <f>IFERROR(__xludf.DUMMYFUNCTION("""COMPUTED_VALUE"""),3.5)</f>
        <v>3.5</v>
      </c>
      <c r="F2495" s="2"/>
      <c r="G2495" s="2"/>
      <c r="H2495" s="2"/>
      <c r="I2495" s="2"/>
    </row>
    <row r="2496">
      <c r="A2496" s="2">
        <f>IFERROR(__xludf.DUMMYFUNCTION("""COMPUTED_VALUE"""),80623.0)</f>
        <v>80623</v>
      </c>
      <c r="B2496" s="2" t="str">
        <f>IFERROR(__xludf.DUMMYFUNCTION("""COMPUTED_VALUE"""),"Tech")</f>
        <v>Tech</v>
      </c>
      <c r="C2496" s="2" t="str">
        <f>IFERROR(__xludf.DUMMYFUNCTION("""COMPUTED_VALUE"""),"Cycling")</f>
        <v>Cycling</v>
      </c>
      <c r="D2496" s="2" t="str">
        <f>IFERROR(__xludf.DUMMYFUNCTION("""COMPUTED_VALUE"""),"Northbridge Press")</f>
        <v>Northbridge Press</v>
      </c>
      <c r="E2496" s="2">
        <f>IFERROR(__xludf.DUMMYFUNCTION("""COMPUTED_VALUE"""),6.05)</f>
        <v>6.05</v>
      </c>
      <c r="F2496" s="2"/>
      <c r="G2496" s="2"/>
      <c r="H2496" s="2"/>
      <c r="I2496" s="2"/>
    </row>
    <row r="2497">
      <c r="A2497" s="2">
        <f>IFERROR(__xludf.DUMMYFUNCTION("""COMPUTED_VALUE"""),9698.0)</f>
        <v>9698</v>
      </c>
      <c r="B2497" s="2" t="str">
        <f>IFERROR(__xludf.DUMMYFUNCTION("""COMPUTED_VALUE"""),"Tech")</f>
        <v>Tech</v>
      </c>
      <c r="C2497" s="2" t="str">
        <f>IFERROR(__xludf.DUMMYFUNCTION("""COMPUTED_VALUE"""),"Cycling")</f>
        <v>Cycling</v>
      </c>
      <c r="D2497" s="2" t="str">
        <f>IFERROR(__xludf.DUMMYFUNCTION("""COMPUTED_VALUE"""),"Northbridge Press")</f>
        <v>Northbridge Press</v>
      </c>
      <c r="E2497" s="2">
        <f>IFERROR(__xludf.DUMMYFUNCTION("""COMPUTED_VALUE"""),3.36)</f>
        <v>3.36</v>
      </c>
      <c r="F2497" s="2"/>
      <c r="G2497" s="2"/>
      <c r="H2497" s="2"/>
      <c r="I2497" s="2"/>
    </row>
    <row r="2498">
      <c r="A2498" s="2">
        <f>IFERROR(__xludf.DUMMYFUNCTION("""COMPUTED_VALUE"""),83102.0)</f>
        <v>83102</v>
      </c>
      <c r="B2498" s="2" t="str">
        <f>IFERROR(__xludf.DUMMYFUNCTION("""COMPUTED_VALUE"""),"Tech")</f>
        <v>Tech</v>
      </c>
      <c r="C2498" s="2" t="str">
        <f>IFERROR(__xludf.DUMMYFUNCTION("""COMPUTED_VALUE"""),"Cycling")</f>
        <v>Cycling</v>
      </c>
      <c r="D2498" s="2" t="str">
        <f>IFERROR(__xludf.DUMMYFUNCTION("""COMPUTED_VALUE"""),"Northbridge Press")</f>
        <v>Northbridge Press</v>
      </c>
      <c r="E2498" s="2">
        <f>IFERROR(__xludf.DUMMYFUNCTION("""COMPUTED_VALUE"""),2.41)</f>
        <v>2.41</v>
      </c>
      <c r="F2498" s="2"/>
      <c r="G2498" s="2"/>
      <c r="H2498" s="2"/>
      <c r="I2498" s="2"/>
    </row>
    <row r="2499">
      <c r="A2499" s="2">
        <f>IFERROR(__xludf.DUMMYFUNCTION("""COMPUTED_VALUE"""),118271.0)</f>
        <v>118271</v>
      </c>
      <c r="B2499" s="2" t="str">
        <f>IFERROR(__xludf.DUMMYFUNCTION("""COMPUTED_VALUE"""),"Tech")</f>
        <v>Tech</v>
      </c>
      <c r="C2499" s="2" t="str">
        <f>IFERROR(__xludf.DUMMYFUNCTION("""COMPUTED_VALUE"""),"Cycling")</f>
        <v>Cycling</v>
      </c>
      <c r="D2499" s="2" t="str">
        <f>IFERROR(__xludf.DUMMYFUNCTION("""COMPUTED_VALUE"""),"Northbridge Press")</f>
        <v>Northbridge Press</v>
      </c>
      <c r="E2499" s="2">
        <f>IFERROR(__xludf.DUMMYFUNCTION("""COMPUTED_VALUE"""),3.6)</f>
        <v>3.6</v>
      </c>
      <c r="F2499" s="2"/>
      <c r="G2499" s="2"/>
      <c r="H2499" s="2"/>
      <c r="I2499" s="2"/>
    </row>
    <row r="2500">
      <c r="A2500" s="2">
        <f>IFERROR(__xludf.DUMMYFUNCTION("""COMPUTED_VALUE"""),41659.0)</f>
        <v>41659</v>
      </c>
      <c r="B2500" s="2" t="str">
        <f>IFERROR(__xludf.DUMMYFUNCTION("""COMPUTED_VALUE"""),"Tech")</f>
        <v>Tech</v>
      </c>
      <c r="C2500" s="2" t="str">
        <f>IFERROR(__xludf.DUMMYFUNCTION("""COMPUTED_VALUE"""),"Cycling")</f>
        <v>Cycling</v>
      </c>
      <c r="D2500" s="2" t="str">
        <f>IFERROR(__xludf.DUMMYFUNCTION("""COMPUTED_VALUE"""),"Northbridge Press")</f>
        <v>Northbridge Press</v>
      </c>
      <c r="E2500" s="2">
        <f>IFERROR(__xludf.DUMMYFUNCTION("""COMPUTED_VALUE"""),5.21)</f>
        <v>5.21</v>
      </c>
      <c r="F2500" s="2"/>
      <c r="G2500" s="2"/>
      <c r="H2500" s="2"/>
      <c r="I2500" s="2"/>
    </row>
    <row r="2501">
      <c r="A2501" s="2">
        <f>IFERROR(__xludf.DUMMYFUNCTION("""COMPUTED_VALUE"""),81564.0)</f>
        <v>81564</v>
      </c>
      <c r="B2501" s="2" t="str">
        <f>IFERROR(__xludf.DUMMYFUNCTION("""COMPUTED_VALUE"""),"Tech")</f>
        <v>Tech</v>
      </c>
      <c r="C2501" s="2" t="str">
        <f>IFERROR(__xludf.DUMMYFUNCTION("""COMPUTED_VALUE"""),"Cycling")</f>
        <v>Cycling</v>
      </c>
      <c r="D2501" s="2" t="str">
        <f>IFERROR(__xludf.DUMMYFUNCTION("""COMPUTED_VALUE"""),"Northbridge Press")</f>
        <v>Northbridge Press</v>
      </c>
      <c r="E2501" s="2">
        <f>IFERROR(__xludf.DUMMYFUNCTION("""COMPUTED_VALUE"""),3.46)</f>
        <v>3.46</v>
      </c>
      <c r="F2501" s="2"/>
      <c r="G2501" s="2"/>
      <c r="H2501" s="2"/>
      <c r="I2501" s="2"/>
    </row>
    <row r="2502">
      <c r="A2502" s="2">
        <f>IFERROR(__xludf.DUMMYFUNCTION("""COMPUTED_VALUE"""),110132.0)</f>
        <v>110132</v>
      </c>
      <c r="B2502" s="2" t="str">
        <f>IFERROR(__xludf.DUMMYFUNCTION("""COMPUTED_VALUE"""),"Tech")</f>
        <v>Tech</v>
      </c>
      <c r="C2502" s="2" t="str">
        <f>IFERROR(__xludf.DUMMYFUNCTION("""COMPUTED_VALUE"""),"Cycling")</f>
        <v>Cycling</v>
      </c>
      <c r="D2502" s="2" t="str">
        <f>IFERROR(__xludf.DUMMYFUNCTION("""COMPUTED_VALUE"""),"Northbridge Press")</f>
        <v>Northbridge Press</v>
      </c>
      <c r="E2502" s="2">
        <f>IFERROR(__xludf.DUMMYFUNCTION("""COMPUTED_VALUE"""),5.16)</f>
        <v>5.16</v>
      </c>
      <c r="F2502" s="2"/>
      <c r="G2502" s="2"/>
      <c r="H2502" s="2"/>
      <c r="I2502" s="2"/>
    </row>
    <row r="2503">
      <c r="A2503" s="2">
        <f>IFERROR(__xludf.DUMMYFUNCTION("""COMPUTED_VALUE"""),17639.0)</f>
        <v>17639</v>
      </c>
      <c r="B2503" s="2" t="str">
        <f>IFERROR(__xludf.DUMMYFUNCTION("""COMPUTED_VALUE"""),"Tech")</f>
        <v>Tech</v>
      </c>
      <c r="C2503" s="2" t="str">
        <f>IFERROR(__xludf.DUMMYFUNCTION("""COMPUTED_VALUE"""),"Cycling")</f>
        <v>Cycling</v>
      </c>
      <c r="D2503" s="2" t="str">
        <f>IFERROR(__xludf.DUMMYFUNCTION("""COMPUTED_VALUE"""),"Northbridge Press")</f>
        <v>Northbridge Press</v>
      </c>
      <c r="E2503" s="2">
        <f>IFERROR(__xludf.DUMMYFUNCTION("""COMPUTED_VALUE"""),2.36)</f>
        <v>2.36</v>
      </c>
      <c r="F2503" s="2"/>
      <c r="G2503" s="2"/>
      <c r="H2503" s="2"/>
      <c r="I2503" s="2"/>
    </row>
    <row r="2504">
      <c r="A2504" s="2">
        <f>IFERROR(__xludf.DUMMYFUNCTION("""COMPUTED_VALUE"""),201025.0)</f>
        <v>201025</v>
      </c>
      <c r="B2504" s="2" t="str">
        <f>IFERROR(__xludf.DUMMYFUNCTION("""COMPUTED_VALUE"""),"Tech")</f>
        <v>Tech</v>
      </c>
      <c r="C2504" s="2" t="str">
        <f>IFERROR(__xludf.DUMMYFUNCTION("""COMPUTED_VALUE"""),"Cycling")</f>
        <v>Cycling</v>
      </c>
      <c r="D2504" s="2" t="str">
        <f>IFERROR(__xludf.DUMMYFUNCTION("""COMPUTED_VALUE"""),"Northbridge Press")</f>
        <v>Northbridge Press</v>
      </c>
      <c r="E2504" s="2">
        <f>IFERROR(__xludf.DUMMYFUNCTION("""COMPUTED_VALUE"""),4.76)</f>
        <v>4.76</v>
      </c>
      <c r="F2504" s="2"/>
      <c r="G2504" s="2"/>
      <c r="H2504" s="2"/>
      <c r="I2504" s="2"/>
    </row>
    <row r="2505">
      <c r="A2505" s="2">
        <f>IFERROR(__xludf.DUMMYFUNCTION("""COMPUTED_VALUE"""),70589.0)</f>
        <v>70589</v>
      </c>
      <c r="B2505" s="2" t="str">
        <f>IFERROR(__xludf.DUMMYFUNCTION("""COMPUTED_VALUE"""),"Tech")</f>
        <v>Tech</v>
      </c>
      <c r="C2505" s="2" t="str">
        <f>IFERROR(__xludf.DUMMYFUNCTION("""COMPUTED_VALUE"""),"Cycling")</f>
        <v>Cycling</v>
      </c>
      <c r="D2505" s="2" t="str">
        <f>IFERROR(__xludf.DUMMYFUNCTION("""COMPUTED_VALUE"""),"Northbridge Press")</f>
        <v>Northbridge Press</v>
      </c>
      <c r="E2505" s="2">
        <f>IFERROR(__xludf.DUMMYFUNCTION("""COMPUTED_VALUE"""),5.32)</f>
        <v>5.32</v>
      </c>
      <c r="F2505" s="2"/>
      <c r="G2505" s="2"/>
      <c r="H2505" s="2"/>
      <c r="I2505" s="2"/>
    </row>
    <row r="2506">
      <c r="A2506" s="2">
        <f>IFERROR(__xludf.DUMMYFUNCTION("""COMPUTED_VALUE"""),75825.0)</f>
        <v>75825</v>
      </c>
      <c r="B2506" s="2" t="str">
        <f>IFERROR(__xludf.DUMMYFUNCTION("""COMPUTED_VALUE"""),"Tech")</f>
        <v>Tech</v>
      </c>
      <c r="C2506" s="2" t="str">
        <f>IFERROR(__xludf.DUMMYFUNCTION("""COMPUTED_VALUE"""),"Cycling")</f>
        <v>Cycling</v>
      </c>
      <c r="D2506" s="2" t="str">
        <f>IFERROR(__xludf.DUMMYFUNCTION("""COMPUTED_VALUE"""),"Northbridge Press")</f>
        <v>Northbridge Press</v>
      </c>
      <c r="E2506" s="2">
        <f>IFERROR(__xludf.DUMMYFUNCTION("""COMPUTED_VALUE"""),6.2)</f>
        <v>6.2</v>
      </c>
      <c r="F2506" s="2"/>
      <c r="G2506" s="2"/>
      <c r="H2506" s="2"/>
      <c r="I2506" s="2"/>
    </row>
    <row r="2507">
      <c r="A2507" s="2">
        <f>IFERROR(__xludf.DUMMYFUNCTION("""COMPUTED_VALUE"""),9699.0)</f>
        <v>9699</v>
      </c>
      <c r="B2507" s="2" t="str">
        <f>IFERROR(__xludf.DUMMYFUNCTION("""COMPUTED_VALUE"""),"Tech")</f>
        <v>Tech</v>
      </c>
      <c r="C2507" s="2" t="str">
        <f>IFERROR(__xludf.DUMMYFUNCTION("""COMPUTED_VALUE"""),"Cycling")</f>
        <v>Cycling</v>
      </c>
      <c r="D2507" s="2" t="str">
        <f>IFERROR(__xludf.DUMMYFUNCTION("""COMPUTED_VALUE"""),"Northbridge Press")</f>
        <v>Northbridge Press</v>
      </c>
      <c r="E2507" s="2">
        <f>IFERROR(__xludf.DUMMYFUNCTION("""COMPUTED_VALUE"""),2.65)</f>
        <v>2.65</v>
      </c>
      <c r="F2507" s="2"/>
      <c r="G2507" s="2"/>
      <c r="H2507" s="2"/>
      <c r="I2507" s="2"/>
    </row>
    <row r="2508">
      <c r="A2508" s="2">
        <f>IFERROR(__xludf.DUMMYFUNCTION("""COMPUTED_VALUE"""),122448.0)</f>
        <v>122448</v>
      </c>
      <c r="B2508" s="2" t="str">
        <f>IFERROR(__xludf.DUMMYFUNCTION("""COMPUTED_VALUE"""),"Tech")</f>
        <v>Tech</v>
      </c>
      <c r="C2508" s="2" t="str">
        <f>IFERROR(__xludf.DUMMYFUNCTION("""COMPUTED_VALUE"""),"Cycling")</f>
        <v>Cycling</v>
      </c>
      <c r="D2508" s="2" t="str">
        <f>IFERROR(__xludf.DUMMYFUNCTION("""COMPUTED_VALUE"""),"Northbridge Press")</f>
        <v>Northbridge Press</v>
      </c>
      <c r="E2508" s="2">
        <f>IFERROR(__xludf.DUMMYFUNCTION("""COMPUTED_VALUE"""),6.25)</f>
        <v>6.25</v>
      </c>
      <c r="F2508" s="2"/>
      <c r="G2508" s="2"/>
      <c r="H2508" s="2"/>
      <c r="I2508" s="2"/>
    </row>
    <row r="2509">
      <c r="A2509" s="2">
        <f>IFERROR(__xludf.DUMMYFUNCTION("""COMPUTED_VALUE"""),105506.0)</f>
        <v>105506</v>
      </c>
      <c r="B2509" s="2" t="str">
        <f>IFERROR(__xludf.DUMMYFUNCTION("""COMPUTED_VALUE"""),"Tech")</f>
        <v>Tech</v>
      </c>
      <c r="C2509" s="2" t="str">
        <f>IFERROR(__xludf.DUMMYFUNCTION("""COMPUTED_VALUE"""),"Cycling")</f>
        <v>Cycling</v>
      </c>
      <c r="D2509" s="2" t="str">
        <f>IFERROR(__xludf.DUMMYFUNCTION("""COMPUTED_VALUE"""),"Harborbridge Publishing")</f>
        <v>Harborbridge Publishing</v>
      </c>
      <c r="E2509" s="2">
        <f>IFERROR(__xludf.DUMMYFUNCTION("""COMPUTED_VALUE"""),10.82)</f>
        <v>10.82</v>
      </c>
      <c r="F2509" s="2"/>
      <c r="G2509" s="2"/>
      <c r="H2509" s="2"/>
      <c r="I2509" s="2"/>
    </row>
    <row r="2510">
      <c r="A2510" s="2">
        <f>IFERROR(__xludf.DUMMYFUNCTION("""COMPUTED_VALUE"""),142304.0)</f>
        <v>142304</v>
      </c>
      <c r="B2510" s="2" t="str">
        <f>IFERROR(__xludf.DUMMYFUNCTION("""COMPUTED_VALUE"""),"Tech")</f>
        <v>Tech</v>
      </c>
      <c r="C2510" s="2" t="str">
        <f>IFERROR(__xludf.DUMMYFUNCTION("""COMPUTED_VALUE"""),"Cycling")</f>
        <v>Cycling</v>
      </c>
      <c r="D2510" s="2" t="str">
        <f>IFERROR(__xludf.DUMMYFUNCTION("""COMPUTED_VALUE"""),"Harborbridge Publishing")</f>
        <v>Harborbridge Publishing</v>
      </c>
      <c r="E2510" s="2">
        <f>IFERROR(__xludf.DUMMYFUNCTION("""COMPUTED_VALUE"""),3.97)</f>
        <v>3.97</v>
      </c>
      <c r="F2510" s="2"/>
      <c r="G2510" s="2"/>
      <c r="H2510" s="2"/>
      <c r="I2510" s="2"/>
    </row>
    <row r="2511">
      <c r="A2511" s="2">
        <f>IFERROR(__xludf.DUMMYFUNCTION("""COMPUTED_VALUE"""),105505.0)</f>
        <v>105505</v>
      </c>
      <c r="B2511" s="2" t="str">
        <f>IFERROR(__xludf.DUMMYFUNCTION("""COMPUTED_VALUE"""),"Tech")</f>
        <v>Tech</v>
      </c>
      <c r="C2511" s="2" t="str">
        <f>IFERROR(__xludf.DUMMYFUNCTION("""COMPUTED_VALUE"""),"Cycling")</f>
        <v>Cycling</v>
      </c>
      <c r="D2511" s="2" t="str">
        <f>IFERROR(__xludf.DUMMYFUNCTION("""COMPUTED_VALUE"""),"Harborbridge Publishing")</f>
        <v>Harborbridge Publishing</v>
      </c>
      <c r="E2511" s="2">
        <f>IFERROR(__xludf.DUMMYFUNCTION("""COMPUTED_VALUE"""),10.47)</f>
        <v>10.47</v>
      </c>
      <c r="F2511" s="2"/>
      <c r="G2511" s="2"/>
      <c r="H2511" s="2"/>
      <c r="I2511" s="2"/>
    </row>
    <row r="2512">
      <c r="A2512" s="2">
        <f>IFERROR(__xludf.DUMMYFUNCTION("""COMPUTED_VALUE"""),122502.0)</f>
        <v>122502</v>
      </c>
      <c r="B2512" s="2" t="str">
        <f>IFERROR(__xludf.DUMMYFUNCTION("""COMPUTED_VALUE"""),"Tech")</f>
        <v>Tech</v>
      </c>
      <c r="C2512" s="2" t="str">
        <f>IFERROR(__xludf.DUMMYFUNCTION("""COMPUTED_VALUE"""),"Cycling")</f>
        <v>Cycling</v>
      </c>
      <c r="D2512" s="2" t="str">
        <f>IFERROR(__xludf.DUMMYFUNCTION("""COMPUTED_VALUE"""),"Harborbridge Publishing")</f>
        <v>Harborbridge Publishing</v>
      </c>
      <c r="E2512" s="2">
        <f>IFERROR(__xludf.DUMMYFUNCTION("""COMPUTED_VALUE"""),7.88)</f>
        <v>7.88</v>
      </c>
      <c r="F2512" s="2"/>
      <c r="G2512" s="2"/>
      <c r="H2512" s="2"/>
      <c r="I2512" s="2"/>
    </row>
    <row r="2513">
      <c r="A2513" s="2">
        <f>IFERROR(__xludf.DUMMYFUNCTION("""COMPUTED_VALUE"""),118264.0)</f>
        <v>118264</v>
      </c>
      <c r="B2513" s="2" t="str">
        <f>IFERROR(__xludf.DUMMYFUNCTION("""COMPUTED_VALUE"""),"Tech")</f>
        <v>Tech</v>
      </c>
      <c r="C2513" s="2" t="str">
        <f>IFERROR(__xludf.DUMMYFUNCTION("""COMPUTED_VALUE"""),"Cycling")</f>
        <v>Cycling</v>
      </c>
      <c r="D2513" s="2" t="str">
        <f>IFERROR(__xludf.DUMMYFUNCTION("""COMPUTED_VALUE"""),"Harborbridge Publishing")</f>
        <v>Harborbridge Publishing</v>
      </c>
      <c r="E2513" s="2">
        <f>IFERROR(__xludf.DUMMYFUNCTION("""COMPUTED_VALUE"""),6.66)</f>
        <v>6.66</v>
      </c>
      <c r="F2513" s="2"/>
      <c r="G2513" s="2"/>
      <c r="H2513" s="2"/>
      <c r="I2513" s="2"/>
    </row>
    <row r="2514">
      <c r="A2514" s="2">
        <f>IFERROR(__xludf.DUMMYFUNCTION("""COMPUTED_VALUE"""),17632.0)</f>
        <v>17632</v>
      </c>
      <c r="B2514" s="2" t="str">
        <f>IFERROR(__xludf.DUMMYFUNCTION("""COMPUTED_VALUE"""),"Tech")</f>
        <v>Tech</v>
      </c>
      <c r="C2514" s="2" t="str">
        <f>IFERROR(__xludf.DUMMYFUNCTION("""COMPUTED_VALUE"""),"Cycling")</f>
        <v>Cycling</v>
      </c>
      <c r="D2514" s="2" t="str">
        <f>IFERROR(__xludf.DUMMYFUNCTION("""COMPUTED_VALUE"""),"Harborbridge Publishing")</f>
        <v>Harborbridge Publishing</v>
      </c>
      <c r="E2514" s="2">
        <f>IFERROR(__xludf.DUMMYFUNCTION("""COMPUTED_VALUE"""),2.41)</f>
        <v>2.41</v>
      </c>
      <c r="F2514" s="2"/>
      <c r="G2514" s="2"/>
      <c r="H2514" s="2"/>
      <c r="I2514" s="2"/>
    </row>
    <row r="2515">
      <c r="A2515" s="2">
        <f>IFERROR(__xludf.DUMMYFUNCTION("""COMPUTED_VALUE"""),108790.0)</f>
        <v>108790</v>
      </c>
      <c r="B2515" s="2" t="str">
        <f>IFERROR(__xludf.DUMMYFUNCTION("""COMPUTED_VALUE"""),"Tech")</f>
        <v>Tech</v>
      </c>
      <c r="C2515" s="2" t="str">
        <f>IFERROR(__xludf.DUMMYFUNCTION("""COMPUTED_VALUE"""),"Cycling")</f>
        <v>Cycling</v>
      </c>
      <c r="D2515" s="2" t="str">
        <f>IFERROR(__xludf.DUMMYFUNCTION("""COMPUTED_VALUE"""),"Harborbridge Publishing")</f>
        <v>Harborbridge Publishing</v>
      </c>
      <c r="E2515" s="2">
        <f>IFERROR(__xludf.DUMMYFUNCTION("""COMPUTED_VALUE"""),4.39)</f>
        <v>4.39</v>
      </c>
      <c r="F2515" s="2"/>
      <c r="G2515" s="2"/>
      <c r="H2515" s="2"/>
      <c r="I2515" s="2"/>
    </row>
    <row r="2516">
      <c r="A2516" s="2">
        <f>IFERROR(__xludf.DUMMYFUNCTION("""COMPUTED_VALUE"""),92200.0)</f>
        <v>92200</v>
      </c>
      <c r="B2516" s="2" t="str">
        <f>IFERROR(__xludf.DUMMYFUNCTION("""COMPUTED_VALUE"""),"Tech")</f>
        <v>Tech</v>
      </c>
      <c r="C2516" s="2" t="str">
        <f>IFERROR(__xludf.DUMMYFUNCTION("""COMPUTED_VALUE"""),"Cycling")</f>
        <v>Cycling</v>
      </c>
      <c r="D2516" s="2" t="str">
        <f>IFERROR(__xludf.DUMMYFUNCTION("""COMPUTED_VALUE"""),"Harborbridge Publishing")</f>
        <v>Harborbridge Publishing</v>
      </c>
      <c r="E2516" s="2">
        <f>IFERROR(__xludf.DUMMYFUNCTION("""COMPUTED_VALUE"""),12.65)</f>
        <v>12.65</v>
      </c>
      <c r="F2516" s="2"/>
      <c r="G2516" s="2"/>
      <c r="H2516" s="2"/>
      <c r="I2516" s="2"/>
    </row>
    <row r="2517">
      <c r="A2517" s="2">
        <f>IFERROR(__xludf.DUMMYFUNCTION("""COMPUTED_VALUE"""),17634.0)</f>
        <v>17634</v>
      </c>
      <c r="B2517" s="2" t="str">
        <f>IFERROR(__xludf.DUMMYFUNCTION("""COMPUTED_VALUE"""),"Tech")</f>
        <v>Tech</v>
      </c>
      <c r="C2517" s="2" t="str">
        <f>IFERROR(__xludf.DUMMYFUNCTION("""COMPUTED_VALUE"""),"Cycling")</f>
        <v>Cycling</v>
      </c>
      <c r="D2517" s="2" t="str">
        <f>IFERROR(__xludf.DUMMYFUNCTION("""COMPUTED_VALUE"""),"Harborbridge Publishing")</f>
        <v>Harborbridge Publishing</v>
      </c>
      <c r="E2517" s="2">
        <f>IFERROR(__xludf.DUMMYFUNCTION("""COMPUTED_VALUE"""),2.28)</f>
        <v>2.28</v>
      </c>
      <c r="F2517" s="2"/>
      <c r="G2517" s="2"/>
      <c r="H2517" s="2"/>
      <c r="I2517" s="2"/>
    </row>
    <row r="2518">
      <c r="A2518" s="2">
        <f>IFERROR(__xludf.DUMMYFUNCTION("""COMPUTED_VALUE"""),122522.0)</f>
        <v>122522</v>
      </c>
      <c r="B2518" s="2" t="str">
        <f>IFERROR(__xludf.DUMMYFUNCTION("""COMPUTED_VALUE"""),"Tech")</f>
        <v>Tech</v>
      </c>
      <c r="C2518" s="2" t="str">
        <f>IFERROR(__xludf.DUMMYFUNCTION("""COMPUTED_VALUE"""),"Cycling")</f>
        <v>Cycling</v>
      </c>
      <c r="D2518" s="2" t="str">
        <f>IFERROR(__xludf.DUMMYFUNCTION("""COMPUTED_VALUE"""),"Harborbridge Publishing")</f>
        <v>Harborbridge Publishing</v>
      </c>
      <c r="E2518" s="2">
        <f>IFERROR(__xludf.DUMMYFUNCTION("""COMPUTED_VALUE"""),6.98)</f>
        <v>6.98</v>
      </c>
      <c r="F2518" s="2"/>
      <c r="G2518" s="2"/>
      <c r="H2518" s="2"/>
      <c r="I2518" s="2"/>
    </row>
    <row r="2519">
      <c r="A2519" s="2">
        <f>IFERROR(__xludf.DUMMYFUNCTION("""COMPUTED_VALUE"""),122505.0)</f>
        <v>122505</v>
      </c>
      <c r="B2519" s="2" t="str">
        <f>IFERROR(__xludf.DUMMYFUNCTION("""COMPUTED_VALUE"""),"Tech")</f>
        <v>Tech</v>
      </c>
      <c r="C2519" s="2" t="str">
        <f>IFERROR(__xludf.DUMMYFUNCTION("""COMPUTED_VALUE"""),"Cycling")</f>
        <v>Cycling</v>
      </c>
      <c r="D2519" s="2" t="str">
        <f>IFERROR(__xludf.DUMMYFUNCTION("""COMPUTED_VALUE"""),"Harborbridge Publishing")</f>
        <v>Harborbridge Publishing</v>
      </c>
      <c r="E2519" s="2">
        <f>IFERROR(__xludf.DUMMYFUNCTION("""COMPUTED_VALUE"""),7.47)</f>
        <v>7.47</v>
      </c>
      <c r="F2519" s="2"/>
      <c r="G2519" s="2"/>
      <c r="H2519" s="2"/>
      <c r="I2519" s="2"/>
    </row>
    <row r="2520">
      <c r="A2520" s="2">
        <f>IFERROR(__xludf.DUMMYFUNCTION("""COMPUTED_VALUE"""),93416.0)</f>
        <v>93416</v>
      </c>
      <c r="B2520" s="2" t="str">
        <f>IFERROR(__xludf.DUMMYFUNCTION("""COMPUTED_VALUE"""),"Tech")</f>
        <v>Tech</v>
      </c>
      <c r="C2520" s="2" t="str">
        <f>IFERROR(__xludf.DUMMYFUNCTION("""COMPUTED_VALUE"""),"Cycling")</f>
        <v>Cycling</v>
      </c>
      <c r="D2520" s="2" t="str">
        <f>IFERROR(__xludf.DUMMYFUNCTION("""COMPUTED_VALUE"""),"Harborbridge Publishing")</f>
        <v>Harborbridge Publishing</v>
      </c>
      <c r="E2520" s="2">
        <f>IFERROR(__xludf.DUMMYFUNCTION("""COMPUTED_VALUE"""),20.37)</f>
        <v>20.37</v>
      </c>
      <c r="F2520" s="2"/>
      <c r="G2520" s="2"/>
      <c r="H2520" s="2"/>
      <c r="I2520" s="2"/>
    </row>
    <row r="2521">
      <c r="A2521" s="2">
        <f>IFERROR(__xludf.DUMMYFUNCTION("""COMPUTED_VALUE"""),93406.0)</f>
        <v>93406</v>
      </c>
      <c r="B2521" s="2" t="str">
        <f>IFERROR(__xludf.DUMMYFUNCTION("""COMPUTED_VALUE"""),"Tech")</f>
        <v>Tech</v>
      </c>
      <c r="C2521" s="2" t="str">
        <f>IFERROR(__xludf.DUMMYFUNCTION("""COMPUTED_VALUE"""),"Cycling")</f>
        <v>Cycling</v>
      </c>
      <c r="D2521" s="2" t="str">
        <f>IFERROR(__xludf.DUMMYFUNCTION("""COMPUTED_VALUE"""),"Harborbridge Publishing")</f>
        <v>Harborbridge Publishing</v>
      </c>
      <c r="E2521" s="2">
        <f>IFERROR(__xludf.DUMMYFUNCTION("""COMPUTED_VALUE"""),26.88)</f>
        <v>26.88</v>
      </c>
      <c r="F2521" s="2"/>
      <c r="G2521" s="2"/>
      <c r="H2521" s="2"/>
      <c r="I2521" s="2"/>
    </row>
    <row r="2522">
      <c r="A2522" s="2">
        <f>IFERROR(__xludf.DUMMYFUNCTION("""COMPUTED_VALUE"""),69329.0)</f>
        <v>69329</v>
      </c>
      <c r="B2522" s="2" t="str">
        <f>IFERROR(__xludf.DUMMYFUNCTION("""COMPUTED_VALUE"""),"Tech")</f>
        <v>Tech</v>
      </c>
      <c r="C2522" s="2" t="str">
        <f>IFERROR(__xludf.DUMMYFUNCTION("""COMPUTED_VALUE"""),"Cycling")</f>
        <v>Cycling</v>
      </c>
      <c r="D2522" s="2" t="str">
        <f>IFERROR(__xludf.DUMMYFUNCTION("""COMPUTED_VALUE"""),"Harborbridge Publishing")</f>
        <v>Harborbridge Publishing</v>
      </c>
      <c r="E2522" s="2">
        <f>IFERROR(__xludf.DUMMYFUNCTION("""COMPUTED_VALUE"""),3.09)</f>
        <v>3.09</v>
      </c>
      <c r="F2522" s="2"/>
      <c r="G2522" s="2"/>
      <c r="H2522" s="2"/>
      <c r="I2522" s="2"/>
    </row>
    <row r="2523">
      <c r="A2523" s="2">
        <f>IFERROR(__xludf.DUMMYFUNCTION("""COMPUTED_VALUE"""),155953.0)</f>
        <v>155953</v>
      </c>
      <c r="B2523" s="2" t="str">
        <f>IFERROR(__xludf.DUMMYFUNCTION("""COMPUTED_VALUE"""),"Tech")</f>
        <v>Tech</v>
      </c>
      <c r="C2523" s="2" t="str">
        <f>IFERROR(__xludf.DUMMYFUNCTION("""COMPUTED_VALUE"""),"Cycling")</f>
        <v>Cycling</v>
      </c>
      <c r="D2523" s="2" t="str">
        <f>IFERROR(__xludf.DUMMYFUNCTION("""COMPUTED_VALUE"""),"Harborbridge Publishing")</f>
        <v>Harborbridge Publishing</v>
      </c>
      <c r="E2523" s="2">
        <f>IFERROR(__xludf.DUMMYFUNCTION("""COMPUTED_VALUE"""),6.35)</f>
        <v>6.35</v>
      </c>
      <c r="F2523" s="2"/>
      <c r="G2523" s="2"/>
      <c r="H2523" s="2"/>
      <c r="I2523" s="2"/>
    </row>
    <row r="2524">
      <c r="A2524" s="2">
        <f>IFERROR(__xludf.DUMMYFUNCTION("""COMPUTED_VALUE"""),11721.0)</f>
        <v>11721</v>
      </c>
      <c r="B2524" s="2" t="str">
        <f>IFERROR(__xludf.DUMMYFUNCTION("""COMPUTED_VALUE"""),"Tech")</f>
        <v>Tech</v>
      </c>
      <c r="C2524" s="2" t="str">
        <f>IFERROR(__xludf.DUMMYFUNCTION("""COMPUTED_VALUE"""),"Cycling")</f>
        <v>Cycling</v>
      </c>
      <c r="D2524" s="2" t="str">
        <f>IFERROR(__xludf.DUMMYFUNCTION("""COMPUTED_VALUE"""),"Harborbridge Publishing")</f>
        <v>Harborbridge Publishing</v>
      </c>
      <c r="E2524" s="2">
        <f>IFERROR(__xludf.DUMMYFUNCTION("""COMPUTED_VALUE"""),7.71)</f>
        <v>7.71</v>
      </c>
      <c r="F2524" s="2"/>
      <c r="G2524" s="2"/>
      <c r="H2524" s="2"/>
      <c r="I2524" s="2"/>
    </row>
    <row r="2525">
      <c r="A2525" s="2">
        <f>IFERROR(__xludf.DUMMYFUNCTION("""COMPUTED_VALUE"""),41654.0)</f>
        <v>41654</v>
      </c>
      <c r="B2525" s="2" t="str">
        <f>IFERROR(__xludf.DUMMYFUNCTION("""COMPUTED_VALUE"""),"Tech")</f>
        <v>Tech</v>
      </c>
      <c r="C2525" s="2" t="str">
        <f>IFERROR(__xludf.DUMMYFUNCTION("""COMPUTED_VALUE"""),"Cycling")</f>
        <v>Cycling</v>
      </c>
      <c r="D2525" s="2" t="str">
        <f>IFERROR(__xludf.DUMMYFUNCTION("""COMPUTED_VALUE"""),"Harborbridge Publishing")</f>
        <v>Harborbridge Publishing</v>
      </c>
      <c r="E2525" s="2">
        <f>IFERROR(__xludf.DUMMYFUNCTION("""COMPUTED_VALUE"""),6.77)</f>
        <v>6.77</v>
      </c>
      <c r="F2525" s="2"/>
      <c r="G2525" s="2"/>
      <c r="H2525" s="2"/>
      <c r="I2525" s="2"/>
    </row>
    <row r="2526">
      <c r="A2526" s="2">
        <f>IFERROR(__xludf.DUMMYFUNCTION("""COMPUTED_VALUE"""),92204.0)</f>
        <v>92204</v>
      </c>
      <c r="B2526" s="2" t="str">
        <f>IFERROR(__xludf.DUMMYFUNCTION("""COMPUTED_VALUE"""),"Tech")</f>
        <v>Tech</v>
      </c>
      <c r="C2526" s="2" t="str">
        <f>IFERROR(__xludf.DUMMYFUNCTION("""COMPUTED_VALUE"""),"Cycling")</f>
        <v>Cycling</v>
      </c>
      <c r="D2526" s="2" t="str">
        <f>IFERROR(__xludf.DUMMYFUNCTION("""COMPUTED_VALUE"""),"Harborbridge Publishing")</f>
        <v>Harborbridge Publishing</v>
      </c>
      <c r="E2526" s="2">
        <f>IFERROR(__xludf.DUMMYFUNCTION("""COMPUTED_VALUE"""),11.53)</f>
        <v>11.53</v>
      </c>
      <c r="F2526" s="2"/>
      <c r="G2526" s="2"/>
      <c r="H2526" s="2"/>
      <c r="I2526" s="2"/>
    </row>
    <row r="2527">
      <c r="A2527" s="2">
        <f>IFERROR(__xludf.DUMMYFUNCTION("""COMPUTED_VALUE"""),105572.0)</f>
        <v>105572</v>
      </c>
      <c r="B2527" s="2" t="str">
        <f>IFERROR(__xludf.DUMMYFUNCTION("""COMPUTED_VALUE"""),"Tech")</f>
        <v>Tech</v>
      </c>
      <c r="C2527" s="2" t="str">
        <f>IFERROR(__xludf.DUMMYFUNCTION("""COMPUTED_VALUE"""),"Cycling")</f>
        <v>Cycling</v>
      </c>
      <c r="D2527" s="2" t="str">
        <f>IFERROR(__xludf.DUMMYFUNCTION("""COMPUTED_VALUE"""),"Harborbridge Publishing")</f>
        <v>Harborbridge Publishing</v>
      </c>
      <c r="E2527" s="2">
        <f>IFERROR(__xludf.DUMMYFUNCTION("""COMPUTED_VALUE"""),10.04)</f>
        <v>10.04</v>
      </c>
      <c r="F2527" s="2"/>
      <c r="G2527" s="2"/>
      <c r="H2527" s="2"/>
      <c r="I2527" s="2"/>
    </row>
    <row r="2528">
      <c r="A2528" s="2">
        <f>IFERROR(__xludf.DUMMYFUNCTION("""COMPUTED_VALUE"""),110141.0)</f>
        <v>110141</v>
      </c>
      <c r="B2528" s="2" t="str">
        <f>IFERROR(__xludf.DUMMYFUNCTION("""COMPUTED_VALUE"""),"Tech")</f>
        <v>Tech</v>
      </c>
      <c r="C2528" s="2" t="str">
        <f>IFERROR(__xludf.DUMMYFUNCTION("""COMPUTED_VALUE"""),"Cycling")</f>
        <v>Cycling</v>
      </c>
      <c r="D2528" s="2" t="str">
        <f>IFERROR(__xludf.DUMMYFUNCTION("""COMPUTED_VALUE"""),"Harborbridge Publishing")</f>
        <v>Harborbridge Publishing</v>
      </c>
      <c r="E2528" s="2">
        <f>IFERROR(__xludf.DUMMYFUNCTION("""COMPUTED_VALUE"""),9.34)</f>
        <v>9.34</v>
      </c>
      <c r="F2528" s="2"/>
      <c r="G2528" s="2"/>
      <c r="H2528" s="2"/>
      <c r="I2528" s="2"/>
    </row>
    <row r="2529">
      <c r="A2529" s="2">
        <f>IFERROR(__xludf.DUMMYFUNCTION("""COMPUTED_VALUE"""),158471.0)</f>
        <v>158471</v>
      </c>
      <c r="B2529" s="2" t="str">
        <f>IFERROR(__xludf.DUMMYFUNCTION("""COMPUTED_VALUE"""),"Tech")</f>
        <v>Tech</v>
      </c>
      <c r="C2529" s="2" t="str">
        <f>IFERROR(__xludf.DUMMYFUNCTION("""COMPUTED_VALUE"""),"Cycling")</f>
        <v>Cycling</v>
      </c>
      <c r="D2529" s="2" t="str">
        <f>IFERROR(__xludf.DUMMYFUNCTION("""COMPUTED_VALUE"""),"Harborbridge Publishing")</f>
        <v>Harborbridge Publishing</v>
      </c>
      <c r="E2529" s="2">
        <f>IFERROR(__xludf.DUMMYFUNCTION("""COMPUTED_VALUE"""),4.31)</f>
        <v>4.31</v>
      </c>
      <c r="F2529" s="2"/>
      <c r="G2529" s="2"/>
      <c r="H2529" s="2"/>
      <c r="I2529" s="2"/>
    </row>
    <row r="2530">
      <c r="A2530" s="2">
        <f>IFERROR(__xludf.DUMMYFUNCTION("""COMPUTED_VALUE"""),120876.0)</f>
        <v>120876</v>
      </c>
      <c r="B2530" s="2" t="str">
        <f>IFERROR(__xludf.DUMMYFUNCTION("""COMPUTED_VALUE"""),"Law")</f>
        <v>Law</v>
      </c>
      <c r="C2530" s="2" t="str">
        <f>IFERROR(__xludf.DUMMYFUNCTION("""COMPUTED_VALUE"""),"Swimming")</f>
        <v>Swimming</v>
      </c>
      <c r="D2530" s="2" t="str">
        <f>IFERROR(__xludf.DUMMYFUNCTION("""COMPUTED_VALUE"""),"Cedarbridge Books")</f>
        <v>Cedarbridge Books</v>
      </c>
      <c r="E2530" s="2">
        <f>IFERROR(__xludf.DUMMYFUNCTION("""COMPUTED_VALUE"""),2.05)</f>
        <v>2.05</v>
      </c>
      <c r="F2530" s="2"/>
      <c r="G2530" s="2"/>
      <c r="H2530" s="2"/>
      <c r="I2530" s="2"/>
    </row>
    <row r="2531">
      <c r="A2531" s="2">
        <f>IFERROR(__xludf.DUMMYFUNCTION("""COMPUTED_VALUE"""),87437.0)</f>
        <v>87437</v>
      </c>
      <c r="B2531" s="2" t="str">
        <f>IFERROR(__xludf.DUMMYFUNCTION("""COMPUTED_VALUE"""),"Law")</f>
        <v>Law</v>
      </c>
      <c r="C2531" s="2" t="str">
        <f>IFERROR(__xludf.DUMMYFUNCTION("""COMPUTED_VALUE"""),"Swimming")</f>
        <v>Swimming</v>
      </c>
      <c r="D2531" s="2" t="str">
        <f>IFERROR(__xludf.DUMMYFUNCTION("""COMPUTED_VALUE"""),"Cedarbridge Books")</f>
        <v>Cedarbridge Books</v>
      </c>
      <c r="E2531" s="2">
        <f>IFERROR(__xludf.DUMMYFUNCTION("""COMPUTED_VALUE"""),1.75)</f>
        <v>1.75</v>
      </c>
      <c r="F2531" s="2"/>
      <c r="G2531" s="2"/>
      <c r="H2531" s="2"/>
      <c r="I2531" s="2"/>
    </row>
    <row r="2532">
      <c r="A2532" s="2">
        <f>IFERROR(__xludf.DUMMYFUNCTION("""COMPUTED_VALUE"""),121462.0)</f>
        <v>121462</v>
      </c>
      <c r="B2532" s="2" t="str">
        <f>IFERROR(__xludf.DUMMYFUNCTION("""COMPUTED_VALUE"""),"Law")</f>
        <v>Law</v>
      </c>
      <c r="C2532" s="2" t="str">
        <f>IFERROR(__xludf.DUMMYFUNCTION("""COMPUTED_VALUE"""),"Swimming")</f>
        <v>Swimming</v>
      </c>
      <c r="D2532" s="2" t="str">
        <f>IFERROR(__xludf.DUMMYFUNCTION("""COMPUTED_VALUE"""),"Cedarbridge Books")</f>
        <v>Cedarbridge Books</v>
      </c>
      <c r="E2532" s="2">
        <f>IFERROR(__xludf.DUMMYFUNCTION("""COMPUTED_VALUE"""),1.32)</f>
        <v>1.32</v>
      </c>
      <c r="F2532" s="2"/>
      <c r="G2532" s="2"/>
      <c r="H2532" s="2"/>
      <c r="I2532" s="2"/>
    </row>
    <row r="2533">
      <c r="A2533" s="2">
        <f>IFERROR(__xludf.DUMMYFUNCTION("""COMPUTED_VALUE"""),69471.0)</f>
        <v>69471</v>
      </c>
      <c r="B2533" s="2" t="str">
        <f>IFERROR(__xludf.DUMMYFUNCTION("""COMPUTED_VALUE"""),"Law")</f>
        <v>Law</v>
      </c>
      <c r="C2533" s="2" t="str">
        <f>IFERROR(__xludf.DUMMYFUNCTION("""COMPUTED_VALUE"""),"Swimming")</f>
        <v>Swimming</v>
      </c>
      <c r="D2533" s="2" t="str">
        <f>IFERROR(__xludf.DUMMYFUNCTION("""COMPUTED_VALUE"""),"Cedarbridge Books")</f>
        <v>Cedarbridge Books</v>
      </c>
      <c r="E2533" s="2">
        <f>IFERROR(__xludf.DUMMYFUNCTION("""COMPUTED_VALUE"""),1.08)</f>
        <v>1.08</v>
      </c>
      <c r="F2533" s="2"/>
      <c r="G2533" s="2"/>
      <c r="H2533" s="2"/>
      <c r="I2533" s="2"/>
    </row>
    <row r="2534">
      <c r="A2534" s="2">
        <f>IFERROR(__xludf.DUMMYFUNCTION("""COMPUTED_VALUE"""),114904.0)</f>
        <v>114904</v>
      </c>
      <c r="B2534" s="2" t="str">
        <f>IFERROR(__xludf.DUMMYFUNCTION("""COMPUTED_VALUE"""),"Law")</f>
        <v>Law</v>
      </c>
      <c r="C2534" s="2" t="str">
        <f>IFERROR(__xludf.DUMMYFUNCTION("""COMPUTED_VALUE"""),"Swimming")</f>
        <v>Swimming</v>
      </c>
      <c r="D2534" s="2" t="str">
        <f>IFERROR(__xludf.DUMMYFUNCTION("""COMPUTED_VALUE"""),"Cedarbridge Books")</f>
        <v>Cedarbridge Books</v>
      </c>
      <c r="E2534" s="2">
        <f>IFERROR(__xludf.DUMMYFUNCTION("""COMPUTED_VALUE"""),3.54)</f>
        <v>3.54</v>
      </c>
      <c r="F2534" s="2"/>
      <c r="G2534" s="2"/>
      <c r="H2534" s="2"/>
      <c r="I2534" s="2"/>
    </row>
    <row r="2535">
      <c r="A2535" s="2">
        <f>IFERROR(__xludf.DUMMYFUNCTION("""COMPUTED_VALUE"""),113910.0)</f>
        <v>113910</v>
      </c>
      <c r="B2535" s="2" t="str">
        <f>IFERROR(__xludf.DUMMYFUNCTION("""COMPUTED_VALUE"""),"Law")</f>
        <v>Law</v>
      </c>
      <c r="C2535" s="2" t="str">
        <f>IFERROR(__xludf.DUMMYFUNCTION("""COMPUTED_VALUE"""),"Swimming")</f>
        <v>Swimming</v>
      </c>
      <c r="D2535" s="2" t="str">
        <f>IFERROR(__xludf.DUMMYFUNCTION("""COMPUTED_VALUE"""),"Cedarbridge Books")</f>
        <v>Cedarbridge Books</v>
      </c>
      <c r="E2535" s="2">
        <f>IFERROR(__xludf.DUMMYFUNCTION("""COMPUTED_VALUE"""),1.98)</f>
        <v>1.98</v>
      </c>
      <c r="F2535" s="2"/>
      <c r="G2535" s="2"/>
      <c r="H2535" s="2"/>
      <c r="I2535" s="2"/>
    </row>
    <row r="2536">
      <c r="A2536" s="2">
        <f>IFERROR(__xludf.DUMMYFUNCTION("""COMPUTED_VALUE"""),18100.0)</f>
        <v>18100</v>
      </c>
      <c r="B2536" s="2" t="str">
        <f>IFERROR(__xludf.DUMMYFUNCTION("""COMPUTED_VALUE"""),"Law")</f>
        <v>Law</v>
      </c>
      <c r="C2536" s="2" t="str">
        <f>IFERROR(__xludf.DUMMYFUNCTION("""COMPUTED_VALUE"""),"Swimming")</f>
        <v>Swimming</v>
      </c>
      <c r="D2536" s="2" t="str">
        <f>IFERROR(__xludf.DUMMYFUNCTION("""COMPUTED_VALUE"""),"Cedarbridge Books")</f>
        <v>Cedarbridge Books</v>
      </c>
      <c r="E2536" s="2">
        <f>IFERROR(__xludf.DUMMYFUNCTION("""COMPUTED_VALUE"""),6.86)</f>
        <v>6.86</v>
      </c>
      <c r="F2536" s="2"/>
      <c r="G2536" s="2"/>
      <c r="H2536" s="2"/>
      <c r="I2536" s="2"/>
    </row>
    <row r="2537">
      <c r="A2537" s="2">
        <f>IFERROR(__xludf.DUMMYFUNCTION("""COMPUTED_VALUE"""),114963.0)</f>
        <v>114963</v>
      </c>
      <c r="B2537" s="2" t="str">
        <f>IFERROR(__xludf.DUMMYFUNCTION("""COMPUTED_VALUE"""),"Law")</f>
        <v>Law</v>
      </c>
      <c r="C2537" s="2" t="str">
        <f>IFERROR(__xludf.DUMMYFUNCTION("""COMPUTED_VALUE"""),"Swimming")</f>
        <v>Swimming</v>
      </c>
      <c r="D2537" s="2" t="str">
        <f>IFERROR(__xludf.DUMMYFUNCTION("""COMPUTED_VALUE"""),"Cedarbridge Books")</f>
        <v>Cedarbridge Books</v>
      </c>
      <c r="E2537" s="2">
        <f>IFERROR(__xludf.DUMMYFUNCTION("""COMPUTED_VALUE"""),1.3)</f>
        <v>1.3</v>
      </c>
      <c r="F2537" s="2"/>
      <c r="G2537" s="2"/>
      <c r="H2537" s="2"/>
      <c r="I2537" s="2"/>
    </row>
    <row r="2538">
      <c r="A2538" s="2">
        <f>IFERROR(__xludf.DUMMYFUNCTION("""COMPUTED_VALUE"""),121495.0)</f>
        <v>121495</v>
      </c>
      <c r="B2538" s="2" t="str">
        <f>IFERROR(__xludf.DUMMYFUNCTION("""COMPUTED_VALUE"""),"Law")</f>
        <v>Law</v>
      </c>
      <c r="C2538" s="2" t="str">
        <f>IFERROR(__xludf.DUMMYFUNCTION("""COMPUTED_VALUE"""),"Swimming")</f>
        <v>Swimming</v>
      </c>
      <c r="D2538" s="2" t="str">
        <f>IFERROR(__xludf.DUMMYFUNCTION("""COMPUTED_VALUE"""),"Cedarbridge Books")</f>
        <v>Cedarbridge Books</v>
      </c>
      <c r="E2538" s="2">
        <f>IFERROR(__xludf.DUMMYFUNCTION("""COMPUTED_VALUE"""),1.34)</f>
        <v>1.34</v>
      </c>
      <c r="F2538" s="2"/>
      <c r="G2538" s="2"/>
      <c r="H2538" s="2"/>
      <c r="I2538" s="2"/>
    </row>
    <row r="2539">
      <c r="A2539" s="2">
        <f>IFERROR(__xludf.DUMMYFUNCTION("""COMPUTED_VALUE"""),83041.0)</f>
        <v>83041</v>
      </c>
      <c r="B2539" s="2" t="str">
        <f>IFERROR(__xludf.DUMMYFUNCTION("""COMPUTED_VALUE"""),"Law")</f>
        <v>Law</v>
      </c>
      <c r="C2539" s="2" t="str">
        <f>IFERROR(__xludf.DUMMYFUNCTION("""COMPUTED_VALUE"""),"Swimming")</f>
        <v>Swimming</v>
      </c>
      <c r="D2539" s="2" t="str">
        <f>IFERROR(__xludf.DUMMYFUNCTION("""COMPUTED_VALUE"""),"Cedarbridge Books")</f>
        <v>Cedarbridge Books</v>
      </c>
      <c r="E2539" s="2">
        <f>IFERROR(__xludf.DUMMYFUNCTION("""COMPUTED_VALUE"""),3.81)</f>
        <v>3.81</v>
      </c>
      <c r="F2539" s="2"/>
      <c r="G2539" s="2"/>
      <c r="H2539" s="2"/>
      <c r="I2539" s="2"/>
    </row>
    <row r="2540">
      <c r="A2540" s="2">
        <f>IFERROR(__xludf.DUMMYFUNCTION("""COMPUTED_VALUE"""),121499.0)</f>
        <v>121499</v>
      </c>
      <c r="B2540" s="2" t="str">
        <f>IFERROR(__xludf.DUMMYFUNCTION("""COMPUTED_VALUE"""),"Law")</f>
        <v>Law</v>
      </c>
      <c r="C2540" s="2" t="str">
        <f>IFERROR(__xludf.DUMMYFUNCTION("""COMPUTED_VALUE"""),"Swimming")</f>
        <v>Swimming</v>
      </c>
      <c r="D2540" s="2" t="str">
        <f>IFERROR(__xludf.DUMMYFUNCTION("""COMPUTED_VALUE"""),"Cedarbridge Books")</f>
        <v>Cedarbridge Books</v>
      </c>
      <c r="E2540" s="2">
        <f>IFERROR(__xludf.DUMMYFUNCTION("""COMPUTED_VALUE"""),0.73)</f>
        <v>0.73</v>
      </c>
      <c r="F2540" s="2"/>
      <c r="G2540" s="2"/>
      <c r="H2540" s="2"/>
      <c r="I2540" s="2"/>
    </row>
    <row r="2541">
      <c r="A2541" s="2">
        <f>IFERROR(__xludf.DUMMYFUNCTION("""COMPUTED_VALUE"""),108528.0)</f>
        <v>108528</v>
      </c>
      <c r="B2541" s="2" t="str">
        <f>IFERROR(__xludf.DUMMYFUNCTION("""COMPUTED_VALUE"""),"Law")</f>
        <v>Law</v>
      </c>
      <c r="C2541" s="2" t="str">
        <f>IFERROR(__xludf.DUMMYFUNCTION("""COMPUTED_VALUE"""),"Swimming")</f>
        <v>Swimming</v>
      </c>
      <c r="D2541" s="2" t="str">
        <f>IFERROR(__xludf.DUMMYFUNCTION("""COMPUTED_VALUE"""),"Cedarbridge Books")</f>
        <v>Cedarbridge Books</v>
      </c>
      <c r="E2541" s="2">
        <f>IFERROR(__xludf.DUMMYFUNCTION("""COMPUTED_VALUE"""),5.38)</f>
        <v>5.38</v>
      </c>
      <c r="F2541" s="2"/>
      <c r="G2541" s="2"/>
      <c r="H2541" s="2"/>
      <c r="I2541" s="2"/>
    </row>
    <row r="2542">
      <c r="A2542" s="2">
        <f>IFERROR(__xludf.DUMMYFUNCTION("""COMPUTED_VALUE"""),69547.0)</f>
        <v>69547</v>
      </c>
      <c r="B2542" s="2" t="str">
        <f>IFERROR(__xludf.DUMMYFUNCTION("""COMPUTED_VALUE"""),"Law")</f>
        <v>Law</v>
      </c>
      <c r="C2542" s="2" t="str">
        <f>IFERROR(__xludf.DUMMYFUNCTION("""COMPUTED_VALUE"""),"Swimming")</f>
        <v>Swimming</v>
      </c>
      <c r="D2542" s="2" t="str">
        <f>IFERROR(__xludf.DUMMYFUNCTION("""COMPUTED_VALUE"""),"Cedarbridge Books")</f>
        <v>Cedarbridge Books</v>
      </c>
      <c r="E2542" s="2">
        <f>IFERROR(__xludf.DUMMYFUNCTION("""COMPUTED_VALUE"""),1.72)</f>
        <v>1.72</v>
      </c>
      <c r="F2542" s="2"/>
      <c r="G2542" s="2"/>
      <c r="H2542" s="2"/>
      <c r="I2542" s="2"/>
    </row>
    <row r="2543">
      <c r="A2543" s="2">
        <f>IFERROR(__xludf.DUMMYFUNCTION("""COMPUTED_VALUE"""),18126.0)</f>
        <v>18126</v>
      </c>
      <c r="B2543" s="2" t="str">
        <f>IFERROR(__xludf.DUMMYFUNCTION("""COMPUTED_VALUE"""),"Law")</f>
        <v>Law</v>
      </c>
      <c r="C2543" s="2" t="str">
        <f>IFERROR(__xludf.DUMMYFUNCTION("""COMPUTED_VALUE"""),"Swimming")</f>
        <v>Swimming</v>
      </c>
      <c r="D2543" s="2" t="str">
        <f>IFERROR(__xludf.DUMMYFUNCTION("""COMPUTED_VALUE"""),"Cedarbridge Books")</f>
        <v>Cedarbridge Books</v>
      </c>
      <c r="E2543" s="2">
        <f>IFERROR(__xludf.DUMMYFUNCTION("""COMPUTED_VALUE"""),8.43)</f>
        <v>8.43</v>
      </c>
      <c r="F2543" s="2"/>
      <c r="G2543" s="2"/>
      <c r="H2543" s="2"/>
      <c r="I2543" s="2"/>
    </row>
    <row r="2544">
      <c r="A2544" s="2">
        <f>IFERROR(__xludf.DUMMYFUNCTION("""COMPUTED_VALUE"""),121812.0)</f>
        <v>121812</v>
      </c>
      <c r="B2544" s="2" t="str">
        <f>IFERROR(__xludf.DUMMYFUNCTION("""COMPUTED_VALUE"""),"Law")</f>
        <v>Law</v>
      </c>
      <c r="C2544" s="2" t="str">
        <f>IFERROR(__xludf.DUMMYFUNCTION("""COMPUTED_VALUE"""),"Swimming")</f>
        <v>Swimming</v>
      </c>
      <c r="D2544" s="2" t="str">
        <f>IFERROR(__xludf.DUMMYFUNCTION("""COMPUTED_VALUE"""),"Cedarbridge Books")</f>
        <v>Cedarbridge Books</v>
      </c>
      <c r="E2544" s="2">
        <f>IFERROR(__xludf.DUMMYFUNCTION("""COMPUTED_VALUE"""),2.08)</f>
        <v>2.08</v>
      </c>
      <c r="F2544" s="2"/>
      <c r="G2544" s="2"/>
      <c r="H2544" s="2"/>
      <c r="I2544" s="2"/>
    </row>
    <row r="2545">
      <c r="A2545" s="2">
        <f>IFERROR(__xludf.DUMMYFUNCTION("""COMPUTED_VALUE"""),81497.0)</f>
        <v>81497</v>
      </c>
      <c r="B2545" s="2" t="str">
        <f>IFERROR(__xludf.DUMMYFUNCTION("""COMPUTED_VALUE"""),"Law")</f>
        <v>Law</v>
      </c>
      <c r="C2545" s="2" t="str">
        <f>IFERROR(__xludf.DUMMYFUNCTION("""COMPUTED_VALUE"""),"Swimming")</f>
        <v>Swimming</v>
      </c>
      <c r="D2545" s="2" t="str">
        <f>IFERROR(__xludf.DUMMYFUNCTION("""COMPUTED_VALUE"""),"Cedarbridge Books")</f>
        <v>Cedarbridge Books</v>
      </c>
      <c r="E2545" s="2">
        <f>IFERROR(__xludf.DUMMYFUNCTION("""COMPUTED_VALUE"""),1.26)</f>
        <v>1.26</v>
      </c>
      <c r="F2545" s="2"/>
      <c r="G2545" s="2"/>
      <c r="H2545" s="2"/>
      <c r="I2545" s="2"/>
    </row>
    <row r="2546">
      <c r="A2546" s="2">
        <f>IFERROR(__xludf.DUMMYFUNCTION("""COMPUTED_VALUE"""),121500.0)</f>
        <v>121500</v>
      </c>
      <c r="B2546" s="2" t="str">
        <f>IFERROR(__xludf.DUMMYFUNCTION("""COMPUTED_VALUE"""),"Law")</f>
        <v>Law</v>
      </c>
      <c r="C2546" s="2" t="str">
        <f>IFERROR(__xludf.DUMMYFUNCTION("""COMPUTED_VALUE"""),"Swimming")</f>
        <v>Swimming</v>
      </c>
      <c r="D2546" s="2" t="str">
        <f>IFERROR(__xludf.DUMMYFUNCTION("""COMPUTED_VALUE"""),"Cedarbridge Books")</f>
        <v>Cedarbridge Books</v>
      </c>
      <c r="E2546" s="2">
        <f>IFERROR(__xludf.DUMMYFUNCTION("""COMPUTED_VALUE"""),1.15)</f>
        <v>1.15</v>
      </c>
      <c r="F2546" s="2"/>
      <c r="G2546" s="2"/>
      <c r="H2546" s="2"/>
      <c r="I2546" s="2"/>
    </row>
    <row r="2547">
      <c r="A2547" s="2">
        <f>IFERROR(__xludf.DUMMYFUNCTION("""COMPUTED_VALUE"""),45903.0)</f>
        <v>45903</v>
      </c>
      <c r="B2547" s="2" t="str">
        <f>IFERROR(__xludf.DUMMYFUNCTION("""COMPUTED_VALUE"""),"Law")</f>
        <v>Law</v>
      </c>
      <c r="C2547" s="2" t="str">
        <f>IFERROR(__xludf.DUMMYFUNCTION("""COMPUTED_VALUE"""),"Swimming")</f>
        <v>Swimming</v>
      </c>
      <c r="D2547" s="2" t="str">
        <f>IFERROR(__xludf.DUMMYFUNCTION("""COMPUTED_VALUE"""),"Cedarbridge Books")</f>
        <v>Cedarbridge Books</v>
      </c>
      <c r="E2547" s="2">
        <f>IFERROR(__xludf.DUMMYFUNCTION("""COMPUTED_VALUE"""),3.73)</f>
        <v>3.73</v>
      </c>
      <c r="F2547" s="2"/>
      <c r="G2547" s="2"/>
      <c r="H2547" s="2"/>
      <c r="I2547" s="2"/>
    </row>
    <row r="2548">
      <c r="A2548" s="2">
        <f>IFERROR(__xludf.DUMMYFUNCTION("""COMPUTED_VALUE"""),121813.0)</f>
        <v>121813</v>
      </c>
      <c r="B2548" s="2" t="str">
        <f>IFERROR(__xludf.DUMMYFUNCTION("""COMPUTED_VALUE"""),"Law")</f>
        <v>Law</v>
      </c>
      <c r="C2548" s="2" t="str">
        <f>IFERROR(__xludf.DUMMYFUNCTION("""COMPUTED_VALUE"""),"Swimming")</f>
        <v>Swimming</v>
      </c>
      <c r="D2548" s="2" t="str">
        <f>IFERROR(__xludf.DUMMYFUNCTION("""COMPUTED_VALUE"""),"Cedarbridge Books")</f>
        <v>Cedarbridge Books</v>
      </c>
      <c r="E2548" s="2">
        <f>IFERROR(__xludf.DUMMYFUNCTION("""COMPUTED_VALUE"""),1.53)</f>
        <v>1.53</v>
      </c>
      <c r="F2548" s="2"/>
      <c r="G2548" s="2"/>
      <c r="H2548" s="2"/>
      <c r="I2548" s="2"/>
    </row>
    <row r="2549">
      <c r="A2549" s="2">
        <f>IFERROR(__xludf.DUMMYFUNCTION("""COMPUTED_VALUE"""),108512.0)</f>
        <v>108512</v>
      </c>
      <c r="B2549" s="2" t="str">
        <f>IFERROR(__xludf.DUMMYFUNCTION("""COMPUTED_VALUE"""),"Law")</f>
        <v>Law</v>
      </c>
      <c r="C2549" s="2" t="str">
        <f>IFERROR(__xludf.DUMMYFUNCTION("""COMPUTED_VALUE"""),"Swimming")</f>
        <v>Swimming</v>
      </c>
      <c r="D2549" s="2" t="str">
        <f>IFERROR(__xludf.DUMMYFUNCTION("""COMPUTED_VALUE"""),"Cedarbridge Books")</f>
        <v>Cedarbridge Books</v>
      </c>
      <c r="E2549" s="2">
        <f>IFERROR(__xludf.DUMMYFUNCTION("""COMPUTED_VALUE"""),4.68)</f>
        <v>4.68</v>
      </c>
      <c r="F2549" s="2"/>
      <c r="G2549" s="2"/>
      <c r="H2549" s="2"/>
      <c r="I2549" s="2"/>
    </row>
    <row r="2550">
      <c r="A2550" s="2">
        <f>IFERROR(__xludf.DUMMYFUNCTION("""COMPUTED_VALUE"""),70189.0)</f>
        <v>70189</v>
      </c>
      <c r="B2550" s="2" t="str">
        <f>IFERROR(__xludf.DUMMYFUNCTION("""COMPUTED_VALUE"""),"Law")</f>
        <v>Law</v>
      </c>
      <c r="C2550" s="2" t="str">
        <f>IFERROR(__xludf.DUMMYFUNCTION("""COMPUTED_VALUE"""),"Swimming")</f>
        <v>Swimming</v>
      </c>
      <c r="D2550" s="2" t="str">
        <f>IFERROR(__xludf.DUMMYFUNCTION("""COMPUTED_VALUE"""),"Cedarbridge Books")</f>
        <v>Cedarbridge Books</v>
      </c>
      <c r="E2550" s="2">
        <f>IFERROR(__xludf.DUMMYFUNCTION("""COMPUTED_VALUE"""),1.69)</f>
        <v>1.69</v>
      </c>
      <c r="F2550" s="2"/>
      <c r="G2550" s="2"/>
      <c r="H2550" s="2"/>
      <c r="I2550" s="2"/>
    </row>
    <row r="2551">
      <c r="A2551" s="2">
        <f>IFERROR(__xludf.DUMMYFUNCTION("""COMPUTED_VALUE"""),194057.0)</f>
        <v>194057</v>
      </c>
      <c r="B2551" s="2" t="str">
        <f>IFERROR(__xludf.DUMMYFUNCTION("""COMPUTED_VALUE"""),"Law")</f>
        <v>Law</v>
      </c>
      <c r="C2551" s="2" t="str">
        <f>IFERROR(__xludf.DUMMYFUNCTION("""COMPUTED_VALUE"""),"Swimming")</f>
        <v>Swimming</v>
      </c>
      <c r="D2551" s="2" t="str">
        <f>IFERROR(__xludf.DUMMYFUNCTION("""COMPUTED_VALUE"""),"Cedarbridge Books")</f>
        <v>Cedarbridge Books</v>
      </c>
      <c r="E2551" s="2">
        <f>IFERROR(__xludf.DUMMYFUNCTION("""COMPUTED_VALUE"""),2.38)</f>
        <v>2.38</v>
      </c>
      <c r="F2551" s="2"/>
      <c r="G2551" s="2"/>
      <c r="H2551" s="2"/>
      <c r="I2551" s="2"/>
    </row>
    <row r="2552">
      <c r="A2552" s="2">
        <f>IFERROR(__xludf.DUMMYFUNCTION("""COMPUTED_VALUE"""),121460.0)</f>
        <v>121460</v>
      </c>
      <c r="B2552" s="2" t="str">
        <f>IFERROR(__xludf.DUMMYFUNCTION("""COMPUTED_VALUE"""),"Law")</f>
        <v>Law</v>
      </c>
      <c r="C2552" s="2" t="str">
        <f>IFERROR(__xludf.DUMMYFUNCTION("""COMPUTED_VALUE"""),"Swimming")</f>
        <v>Swimming</v>
      </c>
      <c r="D2552" s="2" t="str">
        <f>IFERROR(__xludf.DUMMYFUNCTION("""COMPUTED_VALUE"""),"Cedarbridge Books")</f>
        <v>Cedarbridge Books</v>
      </c>
      <c r="E2552" s="2">
        <f>IFERROR(__xludf.DUMMYFUNCTION("""COMPUTED_VALUE"""),0.44)</f>
        <v>0.44</v>
      </c>
      <c r="F2552" s="2"/>
      <c r="G2552" s="2"/>
      <c r="H2552" s="2"/>
      <c r="I2552" s="2"/>
    </row>
    <row r="2553">
      <c r="A2553" s="2">
        <f>IFERROR(__xludf.DUMMYFUNCTION("""COMPUTED_VALUE"""),121950.0)</f>
        <v>121950</v>
      </c>
      <c r="B2553" s="2" t="str">
        <f>IFERROR(__xludf.DUMMYFUNCTION("""COMPUTED_VALUE"""),"Law")</f>
        <v>Law</v>
      </c>
      <c r="C2553" s="2" t="str">
        <f>IFERROR(__xludf.DUMMYFUNCTION("""COMPUTED_VALUE"""),"Swimming")</f>
        <v>Swimming</v>
      </c>
      <c r="D2553" s="2" t="str">
        <f>IFERROR(__xludf.DUMMYFUNCTION("""COMPUTED_VALUE"""),"Cedarbridge Books")</f>
        <v>Cedarbridge Books</v>
      </c>
      <c r="E2553" s="2">
        <f>IFERROR(__xludf.DUMMYFUNCTION("""COMPUTED_VALUE"""),3.42)</f>
        <v>3.42</v>
      </c>
      <c r="F2553" s="2"/>
      <c r="G2553" s="2"/>
      <c r="H2553" s="2"/>
      <c r="I2553" s="2"/>
    </row>
    <row r="2554">
      <c r="A2554" s="2">
        <f>IFERROR(__xludf.DUMMYFUNCTION("""COMPUTED_VALUE"""),121811.0)</f>
        <v>121811</v>
      </c>
      <c r="B2554" s="2" t="str">
        <f>IFERROR(__xludf.DUMMYFUNCTION("""COMPUTED_VALUE"""),"Law")</f>
        <v>Law</v>
      </c>
      <c r="C2554" s="2" t="str">
        <f>IFERROR(__xludf.DUMMYFUNCTION("""COMPUTED_VALUE"""),"Swimming")</f>
        <v>Swimming</v>
      </c>
      <c r="D2554" s="2" t="str">
        <f>IFERROR(__xludf.DUMMYFUNCTION("""COMPUTED_VALUE"""),"Cedarbridge Books")</f>
        <v>Cedarbridge Books</v>
      </c>
      <c r="E2554" s="2">
        <f>IFERROR(__xludf.DUMMYFUNCTION("""COMPUTED_VALUE"""),1.16)</f>
        <v>1.16</v>
      </c>
      <c r="F2554" s="2"/>
      <c r="G2554" s="2"/>
      <c r="H2554" s="2"/>
      <c r="I2554" s="2"/>
    </row>
    <row r="2555">
      <c r="A2555" s="2">
        <f>IFERROR(__xludf.DUMMYFUNCTION("""COMPUTED_VALUE"""),86400.0)</f>
        <v>86400</v>
      </c>
      <c r="B2555" s="2" t="str">
        <f>IFERROR(__xludf.DUMMYFUNCTION("""COMPUTED_VALUE"""),"Law")</f>
        <v>Law</v>
      </c>
      <c r="C2555" s="2" t="str">
        <f>IFERROR(__xludf.DUMMYFUNCTION("""COMPUTED_VALUE"""),"Swimming")</f>
        <v>Swimming</v>
      </c>
      <c r="D2555" s="2" t="str">
        <f>IFERROR(__xludf.DUMMYFUNCTION("""COMPUTED_VALUE"""),"Cedarbridge Books")</f>
        <v>Cedarbridge Books</v>
      </c>
      <c r="E2555" s="2">
        <f>IFERROR(__xludf.DUMMYFUNCTION("""COMPUTED_VALUE"""),1.18)</f>
        <v>1.18</v>
      </c>
      <c r="F2555" s="2"/>
      <c r="G2555" s="2"/>
      <c r="H2555" s="2"/>
      <c r="I2555" s="2"/>
    </row>
    <row r="2556">
      <c r="A2556" s="2">
        <f>IFERROR(__xludf.DUMMYFUNCTION("""COMPUTED_VALUE"""),108527.0)</f>
        <v>108527</v>
      </c>
      <c r="B2556" s="2" t="str">
        <f>IFERROR(__xludf.DUMMYFUNCTION("""COMPUTED_VALUE"""),"Law")</f>
        <v>Law</v>
      </c>
      <c r="C2556" s="2" t="str">
        <f>IFERROR(__xludf.DUMMYFUNCTION("""COMPUTED_VALUE"""),"Swimming")</f>
        <v>Swimming</v>
      </c>
      <c r="D2556" s="2" t="str">
        <f>IFERROR(__xludf.DUMMYFUNCTION("""COMPUTED_VALUE"""),"Cedarbridge Books")</f>
        <v>Cedarbridge Books</v>
      </c>
      <c r="E2556" s="2">
        <f>IFERROR(__xludf.DUMMYFUNCTION("""COMPUTED_VALUE"""),2.58)</f>
        <v>2.58</v>
      </c>
      <c r="F2556" s="2"/>
      <c r="G2556" s="2"/>
      <c r="H2556" s="2"/>
      <c r="I2556" s="2"/>
    </row>
    <row r="2557">
      <c r="A2557" s="2">
        <f>IFERROR(__xludf.DUMMYFUNCTION("""COMPUTED_VALUE"""),88622.0)</f>
        <v>88622</v>
      </c>
      <c r="B2557" s="2" t="str">
        <f>IFERROR(__xludf.DUMMYFUNCTION("""COMPUTED_VALUE"""),"Law")</f>
        <v>Law</v>
      </c>
      <c r="C2557" s="2" t="str">
        <f>IFERROR(__xludf.DUMMYFUNCTION("""COMPUTED_VALUE"""),"Swimming")</f>
        <v>Swimming</v>
      </c>
      <c r="D2557" s="2" t="str">
        <f>IFERROR(__xludf.DUMMYFUNCTION("""COMPUTED_VALUE"""),"Cedarbridge Books")</f>
        <v>Cedarbridge Books</v>
      </c>
      <c r="E2557" s="2">
        <f>IFERROR(__xludf.DUMMYFUNCTION("""COMPUTED_VALUE"""),1.73)</f>
        <v>1.73</v>
      </c>
      <c r="F2557" s="2"/>
      <c r="G2557" s="2"/>
      <c r="H2557" s="2"/>
      <c r="I2557" s="2"/>
    </row>
    <row r="2558">
      <c r="A2558" s="2">
        <f>IFERROR(__xludf.DUMMYFUNCTION("""COMPUTED_VALUE"""),121803.0)</f>
        <v>121803</v>
      </c>
      <c r="B2558" s="2" t="str">
        <f>IFERROR(__xludf.DUMMYFUNCTION("""COMPUTED_VALUE"""),"Law")</f>
        <v>Law</v>
      </c>
      <c r="C2558" s="2" t="str">
        <f>IFERROR(__xludf.DUMMYFUNCTION("""COMPUTED_VALUE"""),"Swimming")</f>
        <v>Swimming</v>
      </c>
      <c r="D2558" s="2" t="str">
        <f>IFERROR(__xludf.DUMMYFUNCTION("""COMPUTED_VALUE"""),"Cedarbridge Books")</f>
        <v>Cedarbridge Books</v>
      </c>
      <c r="E2558" s="2">
        <f>IFERROR(__xludf.DUMMYFUNCTION("""COMPUTED_VALUE"""),1.2)</f>
        <v>1.2</v>
      </c>
      <c r="F2558" s="2"/>
      <c r="G2558" s="2"/>
      <c r="H2558" s="2"/>
      <c r="I2558" s="2"/>
    </row>
    <row r="2559">
      <c r="A2559" s="2">
        <f>IFERROR(__xludf.DUMMYFUNCTION("""COMPUTED_VALUE"""),87418.0)</f>
        <v>87418</v>
      </c>
      <c r="B2559" s="2" t="str">
        <f>IFERROR(__xludf.DUMMYFUNCTION("""COMPUTED_VALUE"""),"Law")</f>
        <v>Law</v>
      </c>
      <c r="C2559" s="2" t="str">
        <f>IFERROR(__xludf.DUMMYFUNCTION("""COMPUTED_VALUE"""),"Swimming")</f>
        <v>Swimming</v>
      </c>
      <c r="D2559" s="2" t="str">
        <f>IFERROR(__xludf.DUMMYFUNCTION("""COMPUTED_VALUE"""),"Cedarbridge Books")</f>
        <v>Cedarbridge Books</v>
      </c>
      <c r="E2559" s="2">
        <f>IFERROR(__xludf.DUMMYFUNCTION("""COMPUTED_VALUE"""),1.63)</f>
        <v>1.63</v>
      </c>
      <c r="F2559" s="2"/>
      <c r="G2559" s="2"/>
      <c r="H2559" s="2"/>
      <c r="I2559" s="2"/>
    </row>
    <row r="2560">
      <c r="A2560" s="2">
        <f>IFERROR(__xludf.DUMMYFUNCTION("""COMPUTED_VALUE"""),26275.0)</f>
        <v>26275</v>
      </c>
      <c r="B2560" s="2" t="str">
        <f>IFERROR(__xludf.DUMMYFUNCTION("""COMPUTED_VALUE"""),"Law")</f>
        <v>Law</v>
      </c>
      <c r="C2560" s="2" t="str">
        <f>IFERROR(__xludf.DUMMYFUNCTION("""COMPUTED_VALUE"""),"Swimming")</f>
        <v>Swimming</v>
      </c>
      <c r="D2560" s="2" t="str">
        <f>IFERROR(__xludf.DUMMYFUNCTION("""COMPUTED_VALUE"""),"Cedarbridge Books")</f>
        <v>Cedarbridge Books</v>
      </c>
      <c r="E2560" s="2">
        <f>IFERROR(__xludf.DUMMYFUNCTION("""COMPUTED_VALUE"""),1.77)</f>
        <v>1.77</v>
      </c>
      <c r="F2560" s="2"/>
      <c r="G2560" s="2"/>
      <c r="H2560" s="2"/>
      <c r="I2560" s="2"/>
    </row>
    <row r="2561">
      <c r="A2561" s="2">
        <f>IFERROR(__xludf.DUMMYFUNCTION("""COMPUTED_VALUE"""),119229.0)</f>
        <v>119229</v>
      </c>
      <c r="B2561" s="2" t="str">
        <f>IFERROR(__xludf.DUMMYFUNCTION("""COMPUTED_VALUE"""),"Law")</f>
        <v>Law</v>
      </c>
      <c r="C2561" s="2" t="str">
        <f>IFERROR(__xludf.DUMMYFUNCTION("""COMPUTED_VALUE"""),"Swimming")</f>
        <v>Swimming</v>
      </c>
      <c r="D2561" s="2" t="str">
        <f>IFERROR(__xludf.DUMMYFUNCTION("""COMPUTED_VALUE"""),"Cedarbridge Books")</f>
        <v>Cedarbridge Books</v>
      </c>
      <c r="E2561" s="2">
        <f>IFERROR(__xludf.DUMMYFUNCTION("""COMPUTED_VALUE"""),2.24)</f>
        <v>2.24</v>
      </c>
      <c r="F2561" s="2"/>
      <c r="G2561" s="2"/>
      <c r="H2561" s="2"/>
      <c r="I2561" s="2"/>
    </row>
    <row r="2562">
      <c r="A2562" s="2">
        <f>IFERROR(__xludf.DUMMYFUNCTION("""COMPUTED_VALUE"""),74881.0)</f>
        <v>74881</v>
      </c>
      <c r="B2562" s="2" t="str">
        <f>IFERROR(__xludf.DUMMYFUNCTION("""COMPUTED_VALUE"""),"Law")</f>
        <v>Law</v>
      </c>
      <c r="C2562" s="2" t="str">
        <f>IFERROR(__xludf.DUMMYFUNCTION("""COMPUTED_VALUE"""),"Swimming")</f>
        <v>Swimming</v>
      </c>
      <c r="D2562" s="2" t="str">
        <f>IFERROR(__xludf.DUMMYFUNCTION("""COMPUTED_VALUE"""),"Cedarbridge Books")</f>
        <v>Cedarbridge Books</v>
      </c>
      <c r="E2562" s="2">
        <f>IFERROR(__xludf.DUMMYFUNCTION("""COMPUTED_VALUE"""),4.73)</f>
        <v>4.73</v>
      </c>
      <c r="F2562" s="2"/>
      <c r="G2562" s="2"/>
      <c r="H2562" s="2"/>
      <c r="I2562" s="2"/>
    </row>
    <row r="2563">
      <c r="A2563" s="2">
        <f>IFERROR(__xludf.DUMMYFUNCTION("""COMPUTED_VALUE"""),86469.0)</f>
        <v>86469</v>
      </c>
      <c r="B2563" s="2" t="str">
        <f>IFERROR(__xludf.DUMMYFUNCTION("""COMPUTED_VALUE"""),"Law")</f>
        <v>Law</v>
      </c>
      <c r="C2563" s="2" t="str">
        <f>IFERROR(__xludf.DUMMYFUNCTION("""COMPUTED_VALUE"""),"Swimming")</f>
        <v>Swimming</v>
      </c>
      <c r="D2563" s="2" t="str">
        <f>IFERROR(__xludf.DUMMYFUNCTION("""COMPUTED_VALUE"""),"Cedarbridge Books")</f>
        <v>Cedarbridge Books</v>
      </c>
      <c r="E2563" s="2">
        <f>IFERROR(__xludf.DUMMYFUNCTION("""COMPUTED_VALUE"""),1.37)</f>
        <v>1.37</v>
      </c>
      <c r="F2563" s="2"/>
      <c r="G2563" s="2"/>
      <c r="H2563" s="2"/>
      <c r="I2563" s="2"/>
    </row>
    <row r="2564">
      <c r="A2564" s="2">
        <f>IFERROR(__xludf.DUMMYFUNCTION("""COMPUTED_VALUE"""),120798.0)</f>
        <v>120798</v>
      </c>
      <c r="B2564" s="2" t="str">
        <f>IFERROR(__xludf.DUMMYFUNCTION("""COMPUTED_VALUE"""),"Law")</f>
        <v>Law</v>
      </c>
      <c r="C2564" s="2" t="str">
        <f>IFERROR(__xludf.DUMMYFUNCTION("""COMPUTED_VALUE"""),"Swimming")</f>
        <v>Swimming</v>
      </c>
      <c r="D2564" s="2" t="str">
        <f>IFERROR(__xludf.DUMMYFUNCTION("""COMPUTED_VALUE"""),"Cedarbridge Books")</f>
        <v>Cedarbridge Books</v>
      </c>
      <c r="E2564" s="2">
        <f>IFERROR(__xludf.DUMMYFUNCTION("""COMPUTED_VALUE"""),0.76)</f>
        <v>0.76</v>
      </c>
      <c r="F2564" s="2"/>
      <c r="G2564" s="2"/>
      <c r="H2564" s="2"/>
      <c r="I2564" s="2"/>
    </row>
    <row r="2565">
      <c r="A2565" s="2">
        <f>IFERROR(__xludf.DUMMYFUNCTION("""COMPUTED_VALUE"""),86479.0)</f>
        <v>86479</v>
      </c>
      <c r="B2565" s="2" t="str">
        <f>IFERROR(__xludf.DUMMYFUNCTION("""COMPUTED_VALUE"""),"Law")</f>
        <v>Law</v>
      </c>
      <c r="C2565" s="2" t="str">
        <f>IFERROR(__xludf.DUMMYFUNCTION("""COMPUTED_VALUE"""),"Swimming")</f>
        <v>Swimming</v>
      </c>
      <c r="D2565" s="2" t="str">
        <f>IFERROR(__xludf.DUMMYFUNCTION("""COMPUTED_VALUE"""),"Cedarbridge Books")</f>
        <v>Cedarbridge Books</v>
      </c>
      <c r="E2565" s="2">
        <f>IFERROR(__xludf.DUMMYFUNCTION("""COMPUTED_VALUE"""),1.25)</f>
        <v>1.25</v>
      </c>
      <c r="F2565" s="2"/>
      <c r="G2565" s="2"/>
      <c r="H2565" s="2"/>
      <c r="I2565" s="2"/>
    </row>
    <row r="2566">
      <c r="A2566" s="2">
        <f>IFERROR(__xludf.DUMMYFUNCTION("""COMPUTED_VALUE"""),80411.0)</f>
        <v>80411</v>
      </c>
      <c r="B2566" s="2" t="str">
        <f>IFERROR(__xludf.DUMMYFUNCTION("""COMPUTED_VALUE"""),"Law")</f>
        <v>Law</v>
      </c>
      <c r="C2566" s="2" t="str">
        <f>IFERROR(__xludf.DUMMYFUNCTION("""COMPUTED_VALUE"""),"Swimming")</f>
        <v>Swimming</v>
      </c>
      <c r="D2566" s="2" t="str">
        <f>IFERROR(__xludf.DUMMYFUNCTION("""COMPUTED_VALUE"""),"Cedarbridge Books")</f>
        <v>Cedarbridge Books</v>
      </c>
      <c r="E2566" s="2">
        <f>IFERROR(__xludf.DUMMYFUNCTION("""COMPUTED_VALUE"""),0.89)</f>
        <v>0.89</v>
      </c>
      <c r="F2566" s="2"/>
      <c r="G2566" s="2"/>
      <c r="H2566" s="2"/>
      <c r="I2566" s="2"/>
    </row>
    <row r="2567">
      <c r="A2567" s="2">
        <f>IFERROR(__xludf.DUMMYFUNCTION("""COMPUTED_VALUE"""),120797.0)</f>
        <v>120797</v>
      </c>
      <c r="B2567" s="2" t="str">
        <f>IFERROR(__xludf.DUMMYFUNCTION("""COMPUTED_VALUE"""),"Law")</f>
        <v>Law</v>
      </c>
      <c r="C2567" s="2" t="str">
        <f>IFERROR(__xludf.DUMMYFUNCTION("""COMPUTED_VALUE"""),"Swimming")</f>
        <v>Swimming</v>
      </c>
      <c r="D2567" s="2" t="str">
        <f>IFERROR(__xludf.DUMMYFUNCTION("""COMPUTED_VALUE"""),"Cedarbridge Books")</f>
        <v>Cedarbridge Books</v>
      </c>
      <c r="E2567" s="2">
        <f>IFERROR(__xludf.DUMMYFUNCTION("""COMPUTED_VALUE"""),0.52)</f>
        <v>0.52</v>
      </c>
      <c r="F2567" s="2"/>
      <c r="G2567" s="2"/>
      <c r="H2567" s="2"/>
      <c r="I2567" s="2"/>
    </row>
    <row r="2568">
      <c r="A2568" s="2">
        <f>IFERROR(__xludf.DUMMYFUNCTION("""COMPUTED_VALUE"""),86480.0)</f>
        <v>86480</v>
      </c>
      <c r="B2568" s="2" t="str">
        <f>IFERROR(__xludf.DUMMYFUNCTION("""COMPUTED_VALUE"""),"Law")</f>
        <v>Law</v>
      </c>
      <c r="C2568" s="2" t="str">
        <f>IFERROR(__xludf.DUMMYFUNCTION("""COMPUTED_VALUE"""),"Swimming")</f>
        <v>Swimming</v>
      </c>
      <c r="D2568" s="2" t="str">
        <f>IFERROR(__xludf.DUMMYFUNCTION("""COMPUTED_VALUE"""),"Cedarbridge Books")</f>
        <v>Cedarbridge Books</v>
      </c>
      <c r="E2568" s="2">
        <f>IFERROR(__xludf.DUMMYFUNCTION("""COMPUTED_VALUE"""),1.19)</f>
        <v>1.19</v>
      </c>
      <c r="F2568" s="2"/>
      <c r="G2568" s="2"/>
      <c r="H2568" s="2"/>
      <c r="I2568" s="2"/>
    </row>
    <row r="2569">
      <c r="A2569" s="2">
        <f>IFERROR(__xludf.DUMMYFUNCTION("""COMPUTED_VALUE"""),86478.0)</f>
        <v>86478</v>
      </c>
      <c r="B2569" s="2" t="str">
        <f>IFERROR(__xludf.DUMMYFUNCTION("""COMPUTED_VALUE"""),"Law")</f>
        <v>Law</v>
      </c>
      <c r="C2569" s="2" t="str">
        <f>IFERROR(__xludf.DUMMYFUNCTION("""COMPUTED_VALUE"""),"Swimming")</f>
        <v>Swimming</v>
      </c>
      <c r="D2569" s="2" t="str">
        <f>IFERROR(__xludf.DUMMYFUNCTION("""COMPUTED_VALUE"""),"Cedarbridge Books")</f>
        <v>Cedarbridge Books</v>
      </c>
      <c r="E2569" s="2">
        <f>IFERROR(__xludf.DUMMYFUNCTION("""COMPUTED_VALUE"""),1.27)</f>
        <v>1.27</v>
      </c>
      <c r="F2569" s="2"/>
      <c r="G2569" s="2"/>
      <c r="H2569" s="2"/>
      <c r="I2569" s="2"/>
    </row>
    <row r="2570">
      <c r="A2570" s="2">
        <f>IFERROR(__xludf.DUMMYFUNCTION("""COMPUTED_VALUE"""),118887.0)</f>
        <v>118887</v>
      </c>
      <c r="B2570" s="2" t="str">
        <f>IFERROR(__xludf.DUMMYFUNCTION("""COMPUTED_VALUE"""),"Law")</f>
        <v>Law</v>
      </c>
      <c r="C2570" s="2" t="str">
        <f>IFERROR(__xludf.DUMMYFUNCTION("""COMPUTED_VALUE"""),"Swimming")</f>
        <v>Swimming</v>
      </c>
      <c r="D2570" s="2" t="str">
        <f>IFERROR(__xludf.DUMMYFUNCTION("""COMPUTED_VALUE"""),"Cedarbridge Books")</f>
        <v>Cedarbridge Books</v>
      </c>
      <c r="E2570" s="2">
        <f>IFERROR(__xludf.DUMMYFUNCTION("""COMPUTED_VALUE"""),2.45)</f>
        <v>2.45</v>
      </c>
      <c r="F2570" s="2"/>
      <c r="G2570" s="2"/>
      <c r="H2570" s="2"/>
      <c r="I2570" s="2"/>
    </row>
    <row r="2571">
      <c r="A2571" s="2">
        <f>IFERROR(__xludf.DUMMYFUNCTION("""COMPUTED_VALUE"""),121802.0)</f>
        <v>121802</v>
      </c>
      <c r="B2571" s="2" t="str">
        <f>IFERROR(__xludf.DUMMYFUNCTION("""COMPUTED_VALUE"""),"Law")</f>
        <v>Law</v>
      </c>
      <c r="C2571" s="2" t="str">
        <f>IFERROR(__xludf.DUMMYFUNCTION("""COMPUTED_VALUE"""),"Swimming")</f>
        <v>Swimming</v>
      </c>
      <c r="D2571" s="2" t="str">
        <f>IFERROR(__xludf.DUMMYFUNCTION("""COMPUTED_VALUE"""),"Cedarbridge Books")</f>
        <v>Cedarbridge Books</v>
      </c>
      <c r="E2571" s="2">
        <f>IFERROR(__xludf.DUMMYFUNCTION("""COMPUTED_VALUE"""),1.17)</f>
        <v>1.17</v>
      </c>
      <c r="F2571" s="2"/>
      <c r="G2571" s="2"/>
      <c r="H2571" s="2"/>
      <c r="I2571" s="2"/>
    </row>
    <row r="2572">
      <c r="A2572" s="2">
        <f>IFERROR(__xludf.DUMMYFUNCTION("""COMPUTED_VALUE"""),87440.0)</f>
        <v>87440</v>
      </c>
      <c r="B2572" s="2" t="str">
        <f>IFERROR(__xludf.DUMMYFUNCTION("""COMPUTED_VALUE"""),"Law")</f>
        <v>Law</v>
      </c>
      <c r="C2572" s="2" t="str">
        <f>IFERROR(__xludf.DUMMYFUNCTION("""COMPUTED_VALUE"""),"Swimming")</f>
        <v>Swimming</v>
      </c>
      <c r="D2572" s="2" t="str">
        <f>IFERROR(__xludf.DUMMYFUNCTION("""COMPUTED_VALUE"""),"Cedarbridge Books")</f>
        <v>Cedarbridge Books</v>
      </c>
      <c r="E2572" s="2">
        <f>IFERROR(__xludf.DUMMYFUNCTION("""COMPUTED_VALUE"""),1.01)</f>
        <v>1.01</v>
      </c>
      <c r="F2572" s="2"/>
      <c r="G2572" s="2"/>
      <c r="H2572" s="2"/>
      <c r="I2572" s="2"/>
    </row>
    <row r="2573">
      <c r="A2573" s="2">
        <f>IFERROR(__xludf.DUMMYFUNCTION("""COMPUTED_VALUE"""),86477.0)</f>
        <v>86477</v>
      </c>
      <c r="B2573" s="2" t="str">
        <f>IFERROR(__xludf.DUMMYFUNCTION("""COMPUTED_VALUE"""),"Law")</f>
        <v>Law</v>
      </c>
      <c r="C2573" s="2" t="str">
        <f>IFERROR(__xludf.DUMMYFUNCTION("""COMPUTED_VALUE"""),"Swimming")</f>
        <v>Swimming</v>
      </c>
      <c r="D2573" s="2" t="str">
        <f>IFERROR(__xludf.DUMMYFUNCTION("""COMPUTED_VALUE"""),"Cedarbridge Books")</f>
        <v>Cedarbridge Books</v>
      </c>
      <c r="E2573" s="2">
        <f>IFERROR(__xludf.DUMMYFUNCTION("""COMPUTED_VALUE"""),1.26)</f>
        <v>1.26</v>
      </c>
      <c r="F2573" s="2"/>
      <c r="G2573" s="2"/>
      <c r="H2573" s="2"/>
      <c r="I2573" s="2"/>
    </row>
    <row r="2574">
      <c r="A2574" s="2">
        <f>IFERROR(__xludf.DUMMYFUNCTION("""COMPUTED_VALUE"""),83059.0)</f>
        <v>83059</v>
      </c>
      <c r="B2574" s="2" t="str">
        <f>IFERROR(__xludf.DUMMYFUNCTION("""COMPUTED_VALUE"""),"Law")</f>
        <v>Law</v>
      </c>
      <c r="C2574" s="2" t="str">
        <f>IFERROR(__xludf.DUMMYFUNCTION("""COMPUTED_VALUE"""),"Swimming")</f>
        <v>Swimming</v>
      </c>
      <c r="D2574" s="2" t="str">
        <f>IFERROR(__xludf.DUMMYFUNCTION("""COMPUTED_VALUE"""),"Cedarbridge Books")</f>
        <v>Cedarbridge Books</v>
      </c>
      <c r="E2574" s="2">
        <f>IFERROR(__xludf.DUMMYFUNCTION("""COMPUTED_VALUE"""),6.03)</f>
        <v>6.03</v>
      </c>
      <c r="F2574" s="2"/>
      <c r="G2574" s="2"/>
      <c r="H2574" s="2"/>
      <c r="I2574" s="2"/>
    </row>
    <row r="2575">
      <c r="A2575" s="2">
        <f>IFERROR(__xludf.DUMMYFUNCTION("""COMPUTED_VALUE"""),86449.0)</f>
        <v>86449</v>
      </c>
      <c r="B2575" s="2" t="str">
        <f>IFERROR(__xludf.DUMMYFUNCTION("""COMPUTED_VALUE"""),"Law")</f>
        <v>Law</v>
      </c>
      <c r="C2575" s="2" t="str">
        <f>IFERROR(__xludf.DUMMYFUNCTION("""COMPUTED_VALUE"""),"Swimming")</f>
        <v>Swimming</v>
      </c>
      <c r="D2575" s="2" t="str">
        <f>IFERROR(__xludf.DUMMYFUNCTION("""COMPUTED_VALUE"""),"Cedarbridge Books")</f>
        <v>Cedarbridge Books</v>
      </c>
      <c r="E2575" s="2">
        <f>IFERROR(__xludf.DUMMYFUNCTION("""COMPUTED_VALUE"""),1.6)</f>
        <v>1.6</v>
      </c>
      <c r="F2575" s="2"/>
      <c r="G2575" s="2"/>
      <c r="H2575" s="2"/>
      <c r="I2575" s="2"/>
    </row>
    <row r="2576">
      <c r="A2576" s="2">
        <f>IFERROR(__xludf.DUMMYFUNCTION("""COMPUTED_VALUE"""),86416.0)</f>
        <v>86416</v>
      </c>
      <c r="B2576" s="2" t="str">
        <f>IFERROR(__xludf.DUMMYFUNCTION("""COMPUTED_VALUE"""),"Law")</f>
        <v>Law</v>
      </c>
      <c r="C2576" s="2" t="str">
        <f>IFERROR(__xludf.DUMMYFUNCTION("""COMPUTED_VALUE"""),"Swimming")</f>
        <v>Swimming</v>
      </c>
      <c r="D2576" s="2" t="str">
        <f>IFERROR(__xludf.DUMMYFUNCTION("""COMPUTED_VALUE"""),"Cedarbridge Books")</f>
        <v>Cedarbridge Books</v>
      </c>
      <c r="E2576" s="2">
        <f>IFERROR(__xludf.DUMMYFUNCTION("""COMPUTED_VALUE"""),1.51)</f>
        <v>1.51</v>
      </c>
      <c r="F2576" s="2"/>
      <c r="G2576" s="2"/>
      <c r="H2576" s="2"/>
      <c r="I2576" s="2"/>
    </row>
    <row r="2577">
      <c r="A2577" s="2">
        <f>IFERROR(__xludf.DUMMYFUNCTION("""COMPUTED_VALUE"""),83064.0)</f>
        <v>83064</v>
      </c>
      <c r="B2577" s="2" t="str">
        <f>IFERROR(__xludf.DUMMYFUNCTION("""COMPUTED_VALUE"""),"Law")</f>
        <v>Law</v>
      </c>
      <c r="C2577" s="2" t="str">
        <f>IFERROR(__xludf.DUMMYFUNCTION("""COMPUTED_VALUE"""),"Swimming")</f>
        <v>Swimming</v>
      </c>
      <c r="D2577" s="2" t="str">
        <f>IFERROR(__xludf.DUMMYFUNCTION("""COMPUTED_VALUE"""),"Cedarbridge Books")</f>
        <v>Cedarbridge Books</v>
      </c>
      <c r="E2577" s="2">
        <f>IFERROR(__xludf.DUMMYFUNCTION("""COMPUTED_VALUE"""),10.3)</f>
        <v>10.3</v>
      </c>
      <c r="F2577" s="2"/>
      <c r="G2577" s="2"/>
      <c r="H2577" s="2"/>
      <c r="I2577" s="2"/>
    </row>
    <row r="2578">
      <c r="A2578" s="2">
        <f>IFERROR(__xludf.DUMMYFUNCTION("""COMPUTED_VALUE"""),108514.0)</f>
        <v>108514</v>
      </c>
      <c r="B2578" s="2" t="str">
        <f>IFERROR(__xludf.DUMMYFUNCTION("""COMPUTED_VALUE"""),"Law")</f>
        <v>Law</v>
      </c>
      <c r="C2578" s="2" t="str">
        <f>IFERROR(__xludf.DUMMYFUNCTION("""COMPUTED_VALUE"""),"Swimming")</f>
        <v>Swimming</v>
      </c>
      <c r="D2578" s="2" t="str">
        <f>IFERROR(__xludf.DUMMYFUNCTION("""COMPUTED_VALUE"""),"Cedarbridge Books")</f>
        <v>Cedarbridge Books</v>
      </c>
      <c r="E2578" s="2">
        <f>IFERROR(__xludf.DUMMYFUNCTION("""COMPUTED_VALUE"""),2.24)</f>
        <v>2.24</v>
      </c>
      <c r="F2578" s="2"/>
      <c r="G2578" s="2"/>
      <c r="H2578" s="2"/>
      <c r="I2578" s="2"/>
    </row>
    <row r="2579">
      <c r="A2579" s="2">
        <f>IFERROR(__xludf.DUMMYFUNCTION("""COMPUTED_VALUE"""),86454.0)</f>
        <v>86454</v>
      </c>
      <c r="B2579" s="2" t="str">
        <f>IFERROR(__xludf.DUMMYFUNCTION("""COMPUTED_VALUE"""),"Law")</f>
        <v>Law</v>
      </c>
      <c r="C2579" s="2" t="str">
        <f>IFERROR(__xludf.DUMMYFUNCTION("""COMPUTED_VALUE"""),"Swimming")</f>
        <v>Swimming</v>
      </c>
      <c r="D2579" s="2" t="str">
        <f>IFERROR(__xludf.DUMMYFUNCTION("""COMPUTED_VALUE"""),"Cedarbridge Books")</f>
        <v>Cedarbridge Books</v>
      </c>
      <c r="E2579" s="2">
        <f>IFERROR(__xludf.DUMMYFUNCTION("""COMPUTED_VALUE"""),3.32)</f>
        <v>3.32</v>
      </c>
      <c r="F2579" s="2"/>
      <c r="G2579" s="2"/>
      <c r="H2579" s="2"/>
      <c r="I2579" s="2"/>
    </row>
    <row r="2580">
      <c r="A2580" s="2">
        <f>IFERROR(__xludf.DUMMYFUNCTION("""COMPUTED_VALUE"""),143238.0)</f>
        <v>143238</v>
      </c>
      <c r="B2580" s="2" t="str">
        <f>IFERROR(__xludf.DUMMYFUNCTION("""COMPUTED_VALUE"""),"Law")</f>
        <v>Law</v>
      </c>
      <c r="C2580" s="2" t="str">
        <f>IFERROR(__xludf.DUMMYFUNCTION("""COMPUTED_VALUE"""),"Swimming")</f>
        <v>Swimming</v>
      </c>
      <c r="D2580" s="2" t="str">
        <f>IFERROR(__xludf.DUMMYFUNCTION("""COMPUTED_VALUE"""),"Cedarbridge Books")</f>
        <v>Cedarbridge Books</v>
      </c>
      <c r="E2580" s="2">
        <f>IFERROR(__xludf.DUMMYFUNCTION("""COMPUTED_VALUE"""),1.66)</f>
        <v>1.66</v>
      </c>
      <c r="F2580" s="2"/>
      <c r="G2580" s="2"/>
      <c r="H2580" s="2"/>
      <c r="I2580" s="2"/>
    </row>
    <row r="2581">
      <c r="A2581" s="2">
        <f>IFERROR(__xludf.DUMMYFUNCTION("""COMPUTED_VALUE"""),107070.0)</f>
        <v>107070</v>
      </c>
      <c r="B2581" s="2" t="str">
        <f>IFERROR(__xludf.DUMMYFUNCTION("""COMPUTED_VALUE"""),"Law")</f>
        <v>Law</v>
      </c>
      <c r="C2581" s="2" t="str">
        <f>IFERROR(__xludf.DUMMYFUNCTION("""COMPUTED_VALUE"""),"Swimming")</f>
        <v>Swimming</v>
      </c>
      <c r="D2581" s="2" t="str">
        <f>IFERROR(__xludf.DUMMYFUNCTION("""COMPUTED_VALUE"""),"Cedarbridge Books")</f>
        <v>Cedarbridge Books</v>
      </c>
      <c r="E2581" s="2">
        <f>IFERROR(__xludf.DUMMYFUNCTION("""COMPUTED_VALUE"""),6.09)</f>
        <v>6.09</v>
      </c>
      <c r="F2581" s="2"/>
      <c r="G2581" s="2"/>
      <c r="H2581" s="2"/>
      <c r="I2581" s="2"/>
    </row>
    <row r="2582">
      <c r="A2582" s="2">
        <f>IFERROR(__xludf.DUMMYFUNCTION("""COMPUTED_VALUE"""),114467.0)</f>
        <v>114467</v>
      </c>
      <c r="B2582" s="2" t="str">
        <f>IFERROR(__xludf.DUMMYFUNCTION("""COMPUTED_VALUE"""),"Law")</f>
        <v>Law</v>
      </c>
      <c r="C2582" s="2" t="str">
        <f>IFERROR(__xludf.DUMMYFUNCTION("""COMPUTED_VALUE"""),"Swimming")</f>
        <v>Swimming</v>
      </c>
      <c r="D2582" s="2" t="str">
        <f>IFERROR(__xludf.DUMMYFUNCTION("""COMPUTED_VALUE"""),"Cedarbridge Books")</f>
        <v>Cedarbridge Books</v>
      </c>
      <c r="E2582" s="2">
        <f>IFERROR(__xludf.DUMMYFUNCTION("""COMPUTED_VALUE"""),3.25)</f>
        <v>3.25</v>
      </c>
      <c r="F2582" s="2"/>
      <c r="G2582" s="2"/>
      <c r="H2582" s="2"/>
      <c r="I2582" s="2"/>
    </row>
    <row r="2583">
      <c r="A2583" s="2">
        <f>IFERROR(__xludf.DUMMYFUNCTION("""COMPUTED_VALUE"""),143237.0)</f>
        <v>143237</v>
      </c>
      <c r="B2583" s="2" t="str">
        <f>IFERROR(__xludf.DUMMYFUNCTION("""COMPUTED_VALUE"""),"Law")</f>
        <v>Law</v>
      </c>
      <c r="C2583" s="2" t="str">
        <f>IFERROR(__xludf.DUMMYFUNCTION("""COMPUTED_VALUE"""),"Swimming")</f>
        <v>Swimming</v>
      </c>
      <c r="D2583" s="2" t="str">
        <f>IFERROR(__xludf.DUMMYFUNCTION("""COMPUTED_VALUE"""),"Cedarbridge Books")</f>
        <v>Cedarbridge Books</v>
      </c>
      <c r="E2583" s="2">
        <f>IFERROR(__xludf.DUMMYFUNCTION("""COMPUTED_VALUE"""),2.17)</f>
        <v>2.17</v>
      </c>
      <c r="F2583" s="2"/>
      <c r="G2583" s="2"/>
      <c r="H2583" s="2"/>
      <c r="I2583" s="2"/>
    </row>
    <row r="2584">
      <c r="A2584" s="2">
        <f>IFERROR(__xludf.DUMMYFUNCTION("""COMPUTED_VALUE"""),86417.0)</f>
        <v>86417</v>
      </c>
      <c r="B2584" s="2" t="str">
        <f>IFERROR(__xludf.DUMMYFUNCTION("""COMPUTED_VALUE"""),"Law")</f>
        <v>Law</v>
      </c>
      <c r="C2584" s="2" t="str">
        <f>IFERROR(__xludf.DUMMYFUNCTION("""COMPUTED_VALUE"""),"Swimming")</f>
        <v>Swimming</v>
      </c>
      <c r="D2584" s="2" t="str">
        <f>IFERROR(__xludf.DUMMYFUNCTION("""COMPUTED_VALUE"""),"Cedarbridge Books")</f>
        <v>Cedarbridge Books</v>
      </c>
      <c r="E2584" s="2">
        <f>IFERROR(__xludf.DUMMYFUNCTION("""COMPUTED_VALUE"""),1.62)</f>
        <v>1.62</v>
      </c>
      <c r="F2584" s="2"/>
      <c r="G2584" s="2"/>
      <c r="H2584" s="2"/>
      <c r="I2584" s="2"/>
    </row>
    <row r="2585">
      <c r="A2585" s="2">
        <f>IFERROR(__xludf.DUMMYFUNCTION("""COMPUTED_VALUE"""),147317.0)</f>
        <v>147317</v>
      </c>
      <c r="B2585" s="2" t="str">
        <f>IFERROR(__xludf.DUMMYFUNCTION("""COMPUTED_VALUE"""),"Law")</f>
        <v>Law</v>
      </c>
      <c r="C2585" s="2" t="str">
        <f>IFERROR(__xludf.DUMMYFUNCTION("""COMPUTED_VALUE"""),"Swimming")</f>
        <v>Swimming</v>
      </c>
      <c r="D2585" s="2" t="str">
        <f>IFERROR(__xludf.DUMMYFUNCTION("""COMPUTED_VALUE"""),"Cedarbridge Books")</f>
        <v>Cedarbridge Books</v>
      </c>
      <c r="E2585" s="2">
        <f>IFERROR(__xludf.DUMMYFUNCTION("""COMPUTED_VALUE"""),0.59)</f>
        <v>0.59</v>
      </c>
      <c r="F2585" s="2"/>
      <c r="G2585" s="2"/>
      <c r="H2585" s="2"/>
      <c r="I2585" s="2"/>
    </row>
    <row r="2586">
      <c r="A2586" s="2">
        <f>IFERROR(__xludf.DUMMYFUNCTION("""COMPUTED_VALUE"""),122177.0)</f>
        <v>122177</v>
      </c>
      <c r="B2586" s="2" t="str">
        <f>IFERROR(__xludf.DUMMYFUNCTION("""COMPUTED_VALUE"""),"Law")</f>
        <v>Law</v>
      </c>
      <c r="C2586" s="2" t="str">
        <f>IFERROR(__xludf.DUMMYFUNCTION("""COMPUTED_VALUE"""),"Swimming")</f>
        <v>Swimming</v>
      </c>
      <c r="D2586" s="2" t="str">
        <f>IFERROR(__xludf.DUMMYFUNCTION("""COMPUTED_VALUE"""),"Cedarbridge Books")</f>
        <v>Cedarbridge Books</v>
      </c>
      <c r="E2586" s="2">
        <f>IFERROR(__xludf.DUMMYFUNCTION("""COMPUTED_VALUE"""),1.63)</f>
        <v>1.63</v>
      </c>
      <c r="F2586" s="2"/>
      <c r="G2586" s="2"/>
      <c r="H2586" s="2"/>
      <c r="I2586" s="2"/>
    </row>
    <row r="2587">
      <c r="A2587" s="2">
        <f>IFERROR(__xludf.DUMMYFUNCTION("""COMPUTED_VALUE"""),114909.0)</f>
        <v>114909</v>
      </c>
      <c r="B2587" s="2" t="str">
        <f>IFERROR(__xludf.DUMMYFUNCTION("""COMPUTED_VALUE"""),"Law")</f>
        <v>Law</v>
      </c>
      <c r="C2587" s="2" t="str">
        <f>IFERROR(__xludf.DUMMYFUNCTION("""COMPUTED_VALUE"""),"Swimming")</f>
        <v>Swimming</v>
      </c>
      <c r="D2587" s="2" t="str">
        <f>IFERROR(__xludf.DUMMYFUNCTION("""COMPUTED_VALUE"""),"Cedarbridge Books")</f>
        <v>Cedarbridge Books</v>
      </c>
      <c r="E2587" s="2">
        <f>IFERROR(__xludf.DUMMYFUNCTION("""COMPUTED_VALUE"""),5.3)</f>
        <v>5.3</v>
      </c>
      <c r="F2587" s="2"/>
      <c r="G2587" s="2"/>
      <c r="H2587" s="2"/>
      <c r="I2587" s="2"/>
    </row>
    <row r="2588">
      <c r="A2588" s="2">
        <f>IFERROR(__xludf.DUMMYFUNCTION("""COMPUTED_VALUE"""),119230.0)</f>
        <v>119230</v>
      </c>
      <c r="B2588" s="2" t="str">
        <f>IFERROR(__xludf.DUMMYFUNCTION("""COMPUTED_VALUE"""),"Law")</f>
        <v>Law</v>
      </c>
      <c r="C2588" s="2" t="str">
        <f>IFERROR(__xludf.DUMMYFUNCTION("""COMPUTED_VALUE"""),"Swimming")</f>
        <v>Swimming</v>
      </c>
      <c r="D2588" s="2" t="str">
        <f>IFERROR(__xludf.DUMMYFUNCTION("""COMPUTED_VALUE"""),"Cedarbridge Books")</f>
        <v>Cedarbridge Books</v>
      </c>
      <c r="E2588" s="2">
        <f>IFERROR(__xludf.DUMMYFUNCTION("""COMPUTED_VALUE"""),2.3)</f>
        <v>2.3</v>
      </c>
      <c r="F2588" s="2"/>
      <c r="G2588" s="2"/>
      <c r="H2588" s="2"/>
      <c r="I2588" s="2"/>
    </row>
    <row r="2589">
      <c r="A2589" s="2">
        <f>IFERROR(__xludf.DUMMYFUNCTION("""COMPUTED_VALUE"""),107109.0)</f>
        <v>107109</v>
      </c>
      <c r="B2589" s="2" t="str">
        <f>IFERROR(__xludf.DUMMYFUNCTION("""COMPUTED_VALUE"""),"Law")</f>
        <v>Law</v>
      </c>
      <c r="C2589" s="2" t="str">
        <f>IFERROR(__xludf.DUMMYFUNCTION("""COMPUTED_VALUE"""),"Swimming")</f>
        <v>Swimming</v>
      </c>
      <c r="D2589" s="2" t="str">
        <f>IFERROR(__xludf.DUMMYFUNCTION("""COMPUTED_VALUE"""),"Cedarbridge Books")</f>
        <v>Cedarbridge Books</v>
      </c>
      <c r="E2589" s="2">
        <f>IFERROR(__xludf.DUMMYFUNCTION("""COMPUTED_VALUE"""),2.29)</f>
        <v>2.29</v>
      </c>
      <c r="F2589" s="2"/>
      <c r="G2589" s="2"/>
      <c r="H2589" s="2"/>
      <c r="I2589" s="2"/>
    </row>
    <row r="2590">
      <c r="A2590" s="2">
        <f>IFERROR(__xludf.DUMMYFUNCTION("""COMPUTED_VALUE"""),121461.0)</f>
        <v>121461</v>
      </c>
      <c r="B2590" s="2" t="str">
        <f>IFERROR(__xludf.DUMMYFUNCTION("""COMPUTED_VALUE"""),"Law")</f>
        <v>Law</v>
      </c>
      <c r="C2590" s="2" t="str">
        <f>IFERROR(__xludf.DUMMYFUNCTION("""COMPUTED_VALUE"""),"Swimming")</f>
        <v>Swimming</v>
      </c>
      <c r="D2590" s="2" t="str">
        <f>IFERROR(__xludf.DUMMYFUNCTION("""COMPUTED_VALUE"""),"Cedarbridge Books")</f>
        <v>Cedarbridge Books</v>
      </c>
      <c r="E2590" s="2">
        <f>IFERROR(__xludf.DUMMYFUNCTION("""COMPUTED_VALUE"""),0.94)</f>
        <v>0.94</v>
      </c>
      <c r="F2590" s="2"/>
      <c r="G2590" s="2"/>
      <c r="H2590" s="2"/>
      <c r="I2590" s="2"/>
    </row>
    <row r="2591">
      <c r="A2591" s="2">
        <f>IFERROR(__xludf.DUMMYFUNCTION("""COMPUTED_VALUE"""),86413.0)</f>
        <v>86413</v>
      </c>
      <c r="B2591" s="2" t="str">
        <f>IFERROR(__xludf.DUMMYFUNCTION("""COMPUTED_VALUE"""),"Law")</f>
        <v>Law</v>
      </c>
      <c r="C2591" s="2" t="str">
        <f>IFERROR(__xludf.DUMMYFUNCTION("""COMPUTED_VALUE"""),"Swimming")</f>
        <v>Swimming</v>
      </c>
      <c r="D2591" s="2" t="str">
        <f>IFERROR(__xludf.DUMMYFUNCTION("""COMPUTED_VALUE"""),"Cedarbridge Books")</f>
        <v>Cedarbridge Books</v>
      </c>
      <c r="E2591" s="2">
        <f>IFERROR(__xludf.DUMMYFUNCTION("""COMPUTED_VALUE"""),1.89)</f>
        <v>1.89</v>
      </c>
      <c r="F2591" s="2"/>
      <c r="G2591" s="2"/>
      <c r="H2591" s="2"/>
      <c r="I2591" s="2"/>
    </row>
    <row r="2592">
      <c r="A2592" s="2">
        <f>IFERROR(__xludf.DUMMYFUNCTION("""COMPUTED_VALUE"""),108511.0)</f>
        <v>108511</v>
      </c>
      <c r="B2592" s="2" t="str">
        <f>IFERROR(__xludf.DUMMYFUNCTION("""COMPUTED_VALUE"""),"Law")</f>
        <v>Law</v>
      </c>
      <c r="C2592" s="2" t="str">
        <f>IFERROR(__xludf.DUMMYFUNCTION("""COMPUTED_VALUE"""),"Swimming")</f>
        <v>Swimming</v>
      </c>
      <c r="D2592" s="2" t="str">
        <f>IFERROR(__xludf.DUMMYFUNCTION("""COMPUTED_VALUE"""),"Cedarbridge Books")</f>
        <v>Cedarbridge Books</v>
      </c>
      <c r="E2592" s="2">
        <f>IFERROR(__xludf.DUMMYFUNCTION("""COMPUTED_VALUE"""),2.16)</f>
        <v>2.16</v>
      </c>
      <c r="F2592" s="2"/>
      <c r="G2592" s="2"/>
      <c r="H2592" s="2"/>
      <c r="I2592" s="2"/>
    </row>
    <row r="2593">
      <c r="A2593" s="2">
        <f>IFERROR(__xludf.DUMMYFUNCTION("""COMPUTED_VALUE"""),120877.0)</f>
        <v>120877</v>
      </c>
      <c r="B2593" s="2" t="str">
        <f>IFERROR(__xludf.DUMMYFUNCTION("""COMPUTED_VALUE"""),"Law")</f>
        <v>Law</v>
      </c>
      <c r="C2593" s="2" t="str">
        <f>IFERROR(__xludf.DUMMYFUNCTION("""COMPUTED_VALUE"""),"Swimming")</f>
        <v>Swimming</v>
      </c>
      <c r="D2593" s="2" t="str">
        <f>IFERROR(__xludf.DUMMYFUNCTION("""COMPUTED_VALUE"""),"Cedarbridge Books")</f>
        <v>Cedarbridge Books</v>
      </c>
      <c r="E2593" s="2">
        <f>IFERROR(__xludf.DUMMYFUNCTION("""COMPUTED_VALUE"""),2.05)</f>
        <v>2.05</v>
      </c>
      <c r="F2593" s="2"/>
      <c r="G2593" s="2"/>
      <c r="H2593" s="2"/>
      <c r="I2593" s="2"/>
    </row>
    <row r="2594">
      <c r="A2594" s="2">
        <f>IFERROR(__xludf.DUMMYFUNCTION("""COMPUTED_VALUE"""),194052.0)</f>
        <v>194052</v>
      </c>
      <c r="B2594" s="2" t="str">
        <f>IFERROR(__xludf.DUMMYFUNCTION("""COMPUTED_VALUE"""),"Law")</f>
        <v>Law</v>
      </c>
      <c r="C2594" s="2" t="str">
        <f>IFERROR(__xludf.DUMMYFUNCTION("""COMPUTED_VALUE"""),"Swimming")</f>
        <v>Swimming</v>
      </c>
      <c r="D2594" s="2" t="str">
        <f>IFERROR(__xludf.DUMMYFUNCTION("""COMPUTED_VALUE"""),"Cedarbridge Books")</f>
        <v>Cedarbridge Books</v>
      </c>
      <c r="E2594" s="2">
        <f>IFERROR(__xludf.DUMMYFUNCTION("""COMPUTED_VALUE"""),2.01)</f>
        <v>2.01</v>
      </c>
      <c r="F2594" s="2"/>
      <c r="G2594" s="2"/>
      <c r="H2594" s="2"/>
      <c r="I2594" s="2"/>
    </row>
    <row r="2595">
      <c r="A2595" s="2">
        <f>IFERROR(__xludf.DUMMYFUNCTION("""COMPUTED_VALUE"""),121493.0)</f>
        <v>121493</v>
      </c>
      <c r="B2595" s="2" t="str">
        <f>IFERROR(__xludf.DUMMYFUNCTION("""COMPUTED_VALUE"""),"Law")</f>
        <v>Law</v>
      </c>
      <c r="C2595" s="2" t="str">
        <f>IFERROR(__xludf.DUMMYFUNCTION("""COMPUTED_VALUE"""),"Swimming")</f>
        <v>Swimming</v>
      </c>
      <c r="D2595" s="2" t="str">
        <f>IFERROR(__xludf.DUMMYFUNCTION("""COMPUTED_VALUE"""),"Cedarbridge Books")</f>
        <v>Cedarbridge Books</v>
      </c>
      <c r="E2595" s="2">
        <f>IFERROR(__xludf.DUMMYFUNCTION("""COMPUTED_VALUE"""),1.98)</f>
        <v>1.98</v>
      </c>
      <c r="F2595" s="2"/>
      <c r="G2595" s="2"/>
      <c r="H2595" s="2"/>
      <c r="I2595" s="2"/>
    </row>
    <row r="2596">
      <c r="A2596" s="2">
        <f>IFERROR(__xludf.DUMMYFUNCTION("""COMPUTED_VALUE"""),121479.0)</f>
        <v>121479</v>
      </c>
      <c r="B2596" s="2" t="str">
        <f>IFERROR(__xludf.DUMMYFUNCTION("""COMPUTED_VALUE"""),"Law")</f>
        <v>Law</v>
      </c>
      <c r="C2596" s="2" t="str">
        <f>IFERROR(__xludf.DUMMYFUNCTION("""COMPUTED_VALUE"""),"Swimming")</f>
        <v>Swimming</v>
      </c>
      <c r="D2596" s="2" t="str">
        <f>IFERROR(__xludf.DUMMYFUNCTION("""COMPUTED_VALUE"""),"Cedarbridge Books")</f>
        <v>Cedarbridge Books</v>
      </c>
      <c r="E2596" s="2">
        <f>IFERROR(__xludf.DUMMYFUNCTION("""COMPUTED_VALUE"""),1.3)</f>
        <v>1.3</v>
      </c>
      <c r="F2596" s="2"/>
      <c r="G2596" s="2"/>
      <c r="H2596" s="2"/>
      <c r="I2596" s="2"/>
    </row>
    <row r="2597">
      <c r="A2597" s="2">
        <f>IFERROR(__xludf.DUMMYFUNCTION("""COMPUTED_VALUE"""),79011.0)</f>
        <v>79011</v>
      </c>
      <c r="B2597" s="2" t="str">
        <f>IFERROR(__xludf.DUMMYFUNCTION("""COMPUTED_VALUE"""),"Law")</f>
        <v>Law</v>
      </c>
      <c r="C2597" s="2" t="str">
        <f>IFERROR(__xludf.DUMMYFUNCTION("""COMPUTED_VALUE"""),"Swimming")</f>
        <v>Swimming</v>
      </c>
      <c r="D2597" s="2" t="str">
        <f>IFERROR(__xludf.DUMMYFUNCTION("""COMPUTED_VALUE"""),"Cedarbridge Books")</f>
        <v>Cedarbridge Books</v>
      </c>
      <c r="E2597" s="2">
        <f>IFERROR(__xludf.DUMMYFUNCTION("""COMPUTED_VALUE"""),1.19)</f>
        <v>1.19</v>
      </c>
      <c r="F2597" s="2"/>
      <c r="G2597" s="2"/>
      <c r="H2597" s="2"/>
      <c r="I2597" s="2"/>
    </row>
    <row r="2598">
      <c r="A2598" s="2">
        <f>IFERROR(__xludf.DUMMYFUNCTION("""COMPUTED_VALUE"""),86470.0)</f>
        <v>86470</v>
      </c>
      <c r="B2598" s="2" t="str">
        <f>IFERROR(__xludf.DUMMYFUNCTION("""COMPUTED_VALUE"""),"Law")</f>
        <v>Law</v>
      </c>
      <c r="C2598" s="2" t="str">
        <f>IFERROR(__xludf.DUMMYFUNCTION("""COMPUTED_VALUE"""),"Swimming")</f>
        <v>Swimming</v>
      </c>
      <c r="D2598" s="2" t="str">
        <f>IFERROR(__xludf.DUMMYFUNCTION("""COMPUTED_VALUE"""),"Cedarbridge Books")</f>
        <v>Cedarbridge Books</v>
      </c>
      <c r="E2598" s="2">
        <f>IFERROR(__xludf.DUMMYFUNCTION("""COMPUTED_VALUE"""),1.05)</f>
        <v>1.05</v>
      </c>
      <c r="F2598" s="2"/>
      <c r="G2598" s="2"/>
      <c r="H2598" s="2"/>
      <c r="I2598" s="2"/>
    </row>
    <row r="2599">
      <c r="A2599" s="2">
        <f>IFERROR(__xludf.DUMMYFUNCTION("""COMPUTED_VALUE"""),194997.0)</f>
        <v>194997</v>
      </c>
      <c r="B2599" s="2" t="str">
        <f>IFERROR(__xludf.DUMMYFUNCTION("""COMPUTED_VALUE"""),"Law")</f>
        <v>Law</v>
      </c>
      <c r="C2599" s="2" t="str">
        <f>IFERROR(__xludf.DUMMYFUNCTION("""COMPUTED_VALUE"""),"Swimming")</f>
        <v>Swimming</v>
      </c>
      <c r="D2599" s="2" t="str">
        <f>IFERROR(__xludf.DUMMYFUNCTION("""COMPUTED_VALUE"""),"Cedarbridge Books")</f>
        <v>Cedarbridge Books</v>
      </c>
      <c r="E2599" s="2">
        <f>IFERROR(__xludf.DUMMYFUNCTION("""COMPUTED_VALUE"""),3.15)</f>
        <v>3.15</v>
      </c>
      <c r="F2599" s="2"/>
      <c r="G2599" s="2"/>
      <c r="H2599" s="2"/>
      <c r="I2599" s="2"/>
    </row>
    <row r="2600">
      <c r="A2600" s="2">
        <f>IFERROR(__xludf.DUMMYFUNCTION("""COMPUTED_VALUE"""),108515.0)</f>
        <v>108515</v>
      </c>
      <c r="B2600" s="2" t="str">
        <f>IFERROR(__xludf.DUMMYFUNCTION("""COMPUTED_VALUE"""),"Law")</f>
        <v>Law</v>
      </c>
      <c r="C2600" s="2" t="str">
        <f>IFERROR(__xludf.DUMMYFUNCTION("""COMPUTED_VALUE"""),"Swimming")</f>
        <v>Swimming</v>
      </c>
      <c r="D2600" s="2" t="str">
        <f>IFERROR(__xludf.DUMMYFUNCTION("""COMPUTED_VALUE"""),"Cedarbridge Books")</f>
        <v>Cedarbridge Books</v>
      </c>
      <c r="E2600" s="2">
        <f>IFERROR(__xludf.DUMMYFUNCTION("""COMPUTED_VALUE"""),4.47)</f>
        <v>4.47</v>
      </c>
      <c r="F2600" s="2"/>
      <c r="G2600" s="2"/>
      <c r="H2600" s="2"/>
      <c r="I2600" s="2"/>
    </row>
    <row r="2601">
      <c r="A2601" s="2">
        <f>IFERROR(__xludf.DUMMYFUNCTION("""COMPUTED_VALUE"""),69346.0)</f>
        <v>69346</v>
      </c>
      <c r="B2601" s="2" t="str">
        <f>IFERROR(__xludf.DUMMYFUNCTION("""COMPUTED_VALUE"""),"Law")</f>
        <v>Law</v>
      </c>
      <c r="C2601" s="2" t="str">
        <f>IFERROR(__xludf.DUMMYFUNCTION("""COMPUTED_VALUE"""),"Swimming")</f>
        <v>Swimming</v>
      </c>
      <c r="D2601" s="2" t="str">
        <f>IFERROR(__xludf.DUMMYFUNCTION("""COMPUTED_VALUE"""),"Cedarbridge Books")</f>
        <v>Cedarbridge Books</v>
      </c>
      <c r="E2601" s="2">
        <f>IFERROR(__xludf.DUMMYFUNCTION("""COMPUTED_VALUE"""),1.51)</f>
        <v>1.51</v>
      </c>
      <c r="F2601" s="2"/>
      <c r="G2601" s="2"/>
      <c r="H2601" s="2"/>
      <c r="I2601" s="2"/>
    </row>
    <row r="2602">
      <c r="A2602" s="2">
        <f>IFERROR(__xludf.DUMMYFUNCTION("""COMPUTED_VALUE"""),119971.0)</f>
        <v>119971</v>
      </c>
      <c r="B2602" s="2" t="str">
        <f>IFERROR(__xludf.DUMMYFUNCTION("""COMPUTED_VALUE"""),"Law")</f>
        <v>Law</v>
      </c>
      <c r="C2602" s="2" t="str">
        <f>IFERROR(__xludf.DUMMYFUNCTION("""COMPUTED_VALUE"""),"Swimming")</f>
        <v>Swimming</v>
      </c>
      <c r="D2602" s="2" t="str">
        <f>IFERROR(__xludf.DUMMYFUNCTION("""COMPUTED_VALUE"""),"Cedarbridge Books")</f>
        <v>Cedarbridge Books</v>
      </c>
      <c r="E2602" s="2">
        <f>IFERROR(__xludf.DUMMYFUNCTION("""COMPUTED_VALUE"""),3.15)</f>
        <v>3.15</v>
      </c>
      <c r="F2602" s="2"/>
      <c r="G2602" s="2"/>
      <c r="H2602" s="2"/>
      <c r="I2602" s="2"/>
    </row>
    <row r="2603">
      <c r="A2603" s="2">
        <f>IFERROR(__xludf.DUMMYFUNCTION("""COMPUTED_VALUE"""),107274.0)</f>
        <v>107274</v>
      </c>
      <c r="B2603" s="2" t="str">
        <f>IFERROR(__xludf.DUMMYFUNCTION("""COMPUTED_VALUE"""),"Law")</f>
        <v>Law</v>
      </c>
      <c r="C2603" s="2" t="str">
        <f>IFERROR(__xludf.DUMMYFUNCTION("""COMPUTED_VALUE"""),"Swimming")</f>
        <v>Swimming</v>
      </c>
      <c r="D2603" s="2" t="str">
        <f>IFERROR(__xludf.DUMMYFUNCTION("""COMPUTED_VALUE"""),"Cedarbridge Books")</f>
        <v>Cedarbridge Books</v>
      </c>
      <c r="E2603" s="2">
        <f>IFERROR(__xludf.DUMMYFUNCTION("""COMPUTED_VALUE"""),1.25)</f>
        <v>1.25</v>
      </c>
      <c r="F2603" s="2"/>
      <c r="G2603" s="2"/>
      <c r="H2603" s="2"/>
      <c r="I2603" s="2"/>
    </row>
    <row r="2604">
      <c r="A2604" s="2">
        <f>IFERROR(__xludf.DUMMYFUNCTION("""COMPUTED_VALUE"""),69451.0)</f>
        <v>69451</v>
      </c>
      <c r="B2604" s="2" t="str">
        <f>IFERROR(__xludf.DUMMYFUNCTION("""COMPUTED_VALUE"""),"Law")</f>
        <v>Law</v>
      </c>
      <c r="C2604" s="2" t="str">
        <f>IFERROR(__xludf.DUMMYFUNCTION("""COMPUTED_VALUE"""),"Swimming")</f>
        <v>Swimming</v>
      </c>
      <c r="D2604" s="2" t="str">
        <f>IFERROR(__xludf.DUMMYFUNCTION("""COMPUTED_VALUE"""),"Cedarbridge Books")</f>
        <v>Cedarbridge Books</v>
      </c>
      <c r="E2604" s="2">
        <f>IFERROR(__xludf.DUMMYFUNCTION("""COMPUTED_VALUE"""),1.77)</f>
        <v>1.77</v>
      </c>
      <c r="F2604" s="2"/>
      <c r="G2604" s="2"/>
      <c r="H2604" s="2"/>
      <c r="I2604" s="2"/>
    </row>
    <row r="2605">
      <c r="A2605" s="2">
        <f>IFERROR(__xludf.DUMMYFUNCTION("""COMPUTED_VALUE"""),87416.0)</f>
        <v>87416</v>
      </c>
      <c r="B2605" s="2" t="str">
        <f>IFERROR(__xludf.DUMMYFUNCTION("""COMPUTED_VALUE"""),"Law")</f>
        <v>Law</v>
      </c>
      <c r="C2605" s="2" t="str">
        <f>IFERROR(__xludf.DUMMYFUNCTION("""COMPUTED_VALUE"""),"Swimming")</f>
        <v>Swimming</v>
      </c>
      <c r="D2605" s="2" t="str">
        <f>IFERROR(__xludf.DUMMYFUNCTION("""COMPUTED_VALUE"""),"Cedarbridge Books")</f>
        <v>Cedarbridge Books</v>
      </c>
      <c r="E2605" s="2">
        <f>IFERROR(__xludf.DUMMYFUNCTION("""COMPUTED_VALUE"""),1.72)</f>
        <v>1.72</v>
      </c>
      <c r="F2605" s="2"/>
      <c r="G2605" s="2"/>
      <c r="H2605" s="2"/>
      <c r="I2605" s="2"/>
    </row>
    <row r="2606">
      <c r="A2606" s="2">
        <f>IFERROR(__xludf.DUMMYFUNCTION("""COMPUTED_VALUE"""),23667.0)</f>
        <v>23667</v>
      </c>
      <c r="B2606" s="2" t="str">
        <f>IFERROR(__xludf.DUMMYFUNCTION("""COMPUTED_VALUE"""),"Law")</f>
        <v>Law</v>
      </c>
      <c r="C2606" s="2" t="str">
        <f>IFERROR(__xludf.DUMMYFUNCTION("""COMPUTED_VALUE"""),"Swimming")</f>
        <v>Swimming</v>
      </c>
      <c r="D2606" s="2" t="str">
        <f>IFERROR(__xludf.DUMMYFUNCTION("""COMPUTED_VALUE"""),"Brightbridge Press")</f>
        <v>Brightbridge Press</v>
      </c>
      <c r="E2606" s="2">
        <f>IFERROR(__xludf.DUMMYFUNCTION("""COMPUTED_VALUE"""),0.66)</f>
        <v>0.66</v>
      </c>
      <c r="F2606" s="2"/>
      <c r="G2606" s="2"/>
      <c r="H2606" s="2"/>
      <c r="I2606" s="2"/>
    </row>
    <row r="2607">
      <c r="A2607" s="2">
        <f>IFERROR(__xludf.DUMMYFUNCTION("""COMPUTED_VALUE"""),112770.0)</f>
        <v>112770</v>
      </c>
      <c r="B2607" s="2" t="str">
        <f>IFERROR(__xludf.DUMMYFUNCTION("""COMPUTED_VALUE"""),"Law")</f>
        <v>Law</v>
      </c>
      <c r="C2607" s="2" t="str">
        <f>IFERROR(__xludf.DUMMYFUNCTION("""COMPUTED_VALUE"""),"Swimming")</f>
        <v>Swimming</v>
      </c>
      <c r="D2607" s="2" t="str">
        <f>IFERROR(__xludf.DUMMYFUNCTION("""COMPUTED_VALUE"""),"Brightbridge Press")</f>
        <v>Brightbridge Press</v>
      </c>
      <c r="E2607" s="2">
        <f>IFERROR(__xludf.DUMMYFUNCTION("""COMPUTED_VALUE"""),0.61)</f>
        <v>0.61</v>
      </c>
      <c r="F2607" s="2"/>
      <c r="G2607" s="2"/>
      <c r="H2607" s="2"/>
      <c r="I2607" s="2"/>
    </row>
    <row r="2608">
      <c r="A2608" s="2">
        <f>IFERROR(__xludf.DUMMYFUNCTION("""COMPUTED_VALUE"""),116186.0)</f>
        <v>116186</v>
      </c>
      <c r="B2608" s="2" t="str">
        <f>IFERROR(__xludf.DUMMYFUNCTION("""COMPUTED_VALUE"""),"Law")</f>
        <v>Law</v>
      </c>
      <c r="C2608" s="2" t="str">
        <f>IFERROR(__xludf.DUMMYFUNCTION("""COMPUTED_VALUE"""),"Swimming")</f>
        <v>Swimming</v>
      </c>
      <c r="D2608" s="2" t="str">
        <f>IFERROR(__xludf.DUMMYFUNCTION("""COMPUTED_VALUE"""),"Brightbridge Press")</f>
        <v>Brightbridge Press</v>
      </c>
      <c r="E2608" s="2">
        <f>IFERROR(__xludf.DUMMYFUNCTION("""COMPUTED_VALUE"""),1.5)</f>
        <v>1.5</v>
      </c>
      <c r="F2608" s="2"/>
      <c r="G2608" s="2"/>
      <c r="H2608" s="2"/>
      <c r="I2608" s="2"/>
    </row>
    <row r="2609">
      <c r="A2609" s="2">
        <f>IFERROR(__xludf.DUMMYFUNCTION("""COMPUTED_VALUE"""),95413.0)</f>
        <v>95413</v>
      </c>
      <c r="B2609" s="2" t="str">
        <f>IFERROR(__xludf.DUMMYFUNCTION("""COMPUTED_VALUE"""),"Law")</f>
        <v>Law</v>
      </c>
      <c r="C2609" s="2" t="str">
        <f>IFERROR(__xludf.DUMMYFUNCTION("""COMPUTED_VALUE"""),"Swimming")</f>
        <v>Swimming</v>
      </c>
      <c r="D2609" s="2" t="str">
        <f>IFERROR(__xludf.DUMMYFUNCTION("""COMPUTED_VALUE"""),"Brightbridge Press")</f>
        <v>Brightbridge Press</v>
      </c>
      <c r="E2609" s="2">
        <f>IFERROR(__xludf.DUMMYFUNCTION("""COMPUTED_VALUE"""),0.59)</f>
        <v>0.59</v>
      </c>
      <c r="F2609" s="2"/>
      <c r="G2609" s="2"/>
      <c r="H2609" s="2"/>
      <c r="I2609" s="2"/>
    </row>
    <row r="2610">
      <c r="A2610" s="2">
        <f>IFERROR(__xludf.DUMMYFUNCTION("""COMPUTED_VALUE"""),116184.0)</f>
        <v>116184</v>
      </c>
      <c r="B2610" s="2" t="str">
        <f>IFERROR(__xludf.DUMMYFUNCTION("""COMPUTED_VALUE"""),"Law")</f>
        <v>Law</v>
      </c>
      <c r="C2610" s="2" t="str">
        <f>IFERROR(__xludf.DUMMYFUNCTION("""COMPUTED_VALUE"""),"Swimming")</f>
        <v>Swimming</v>
      </c>
      <c r="D2610" s="2" t="str">
        <f>IFERROR(__xludf.DUMMYFUNCTION("""COMPUTED_VALUE"""),"Brightbridge Press")</f>
        <v>Brightbridge Press</v>
      </c>
      <c r="E2610" s="2">
        <f>IFERROR(__xludf.DUMMYFUNCTION("""COMPUTED_VALUE"""),1.41)</f>
        <v>1.41</v>
      </c>
      <c r="F2610" s="2"/>
      <c r="G2610" s="2"/>
      <c r="H2610" s="2"/>
      <c r="I2610" s="2"/>
    </row>
    <row r="2611">
      <c r="A2611" s="2">
        <f>IFERROR(__xludf.DUMMYFUNCTION("""COMPUTED_VALUE"""),95412.0)</f>
        <v>95412</v>
      </c>
      <c r="B2611" s="2" t="str">
        <f>IFERROR(__xludf.DUMMYFUNCTION("""COMPUTED_VALUE"""),"Law")</f>
        <v>Law</v>
      </c>
      <c r="C2611" s="2" t="str">
        <f>IFERROR(__xludf.DUMMYFUNCTION("""COMPUTED_VALUE"""),"Swimming")</f>
        <v>Swimming</v>
      </c>
      <c r="D2611" s="2" t="str">
        <f>IFERROR(__xludf.DUMMYFUNCTION("""COMPUTED_VALUE"""),"Brightbridge Press")</f>
        <v>Brightbridge Press</v>
      </c>
      <c r="E2611" s="2">
        <f>IFERROR(__xludf.DUMMYFUNCTION("""COMPUTED_VALUE"""),0.74)</f>
        <v>0.74</v>
      </c>
      <c r="F2611" s="2"/>
      <c r="G2611" s="2"/>
      <c r="H2611" s="2"/>
      <c r="I2611" s="2"/>
    </row>
    <row r="2612">
      <c r="A2612" s="2">
        <f>IFERROR(__xludf.DUMMYFUNCTION("""COMPUTED_VALUE"""),95414.0)</f>
        <v>95414</v>
      </c>
      <c r="B2612" s="2" t="str">
        <f>IFERROR(__xludf.DUMMYFUNCTION("""COMPUTED_VALUE"""),"Law")</f>
        <v>Law</v>
      </c>
      <c r="C2612" s="2" t="str">
        <f>IFERROR(__xludf.DUMMYFUNCTION("""COMPUTED_VALUE"""),"Swimming")</f>
        <v>Swimming</v>
      </c>
      <c r="D2612" s="2" t="str">
        <f>IFERROR(__xludf.DUMMYFUNCTION("""COMPUTED_VALUE"""),"Brightbridge Press")</f>
        <v>Brightbridge Press</v>
      </c>
      <c r="E2612" s="2">
        <f>IFERROR(__xludf.DUMMYFUNCTION("""COMPUTED_VALUE"""),0.91)</f>
        <v>0.91</v>
      </c>
      <c r="F2612" s="2"/>
      <c r="G2612" s="2"/>
      <c r="H2612" s="2"/>
      <c r="I2612" s="2"/>
    </row>
    <row r="2613">
      <c r="A2613" s="2">
        <f>IFERROR(__xludf.DUMMYFUNCTION("""COMPUTED_VALUE"""),24088.0)</f>
        <v>24088</v>
      </c>
      <c r="B2613" s="2" t="str">
        <f>IFERROR(__xludf.DUMMYFUNCTION("""COMPUTED_VALUE"""),"Law")</f>
        <v>Law</v>
      </c>
      <c r="C2613" s="2" t="str">
        <f>IFERROR(__xludf.DUMMYFUNCTION("""COMPUTED_VALUE"""),"Swimming")</f>
        <v>Swimming</v>
      </c>
      <c r="D2613" s="2" t="str">
        <f>IFERROR(__xludf.DUMMYFUNCTION("""COMPUTED_VALUE"""),"Brightbridge Press")</f>
        <v>Brightbridge Press</v>
      </c>
      <c r="E2613" s="2">
        <f>IFERROR(__xludf.DUMMYFUNCTION("""COMPUTED_VALUE"""),1.89)</f>
        <v>1.89</v>
      </c>
      <c r="F2613" s="2"/>
      <c r="G2613" s="2"/>
      <c r="H2613" s="2"/>
      <c r="I2613" s="2"/>
    </row>
    <row r="2614">
      <c r="A2614" s="2">
        <f>IFERROR(__xludf.DUMMYFUNCTION("""COMPUTED_VALUE"""),75156.0)</f>
        <v>75156</v>
      </c>
      <c r="B2614" s="2" t="str">
        <f>IFERROR(__xludf.DUMMYFUNCTION("""COMPUTED_VALUE"""),"Law")</f>
        <v>Law</v>
      </c>
      <c r="C2614" s="2" t="str">
        <f>IFERROR(__xludf.DUMMYFUNCTION("""COMPUTED_VALUE"""),"Swimming")</f>
        <v>Swimming</v>
      </c>
      <c r="D2614" s="2" t="str">
        <f>IFERROR(__xludf.DUMMYFUNCTION("""COMPUTED_VALUE"""),"Brightbridge Press")</f>
        <v>Brightbridge Press</v>
      </c>
      <c r="E2614" s="2">
        <f>IFERROR(__xludf.DUMMYFUNCTION("""COMPUTED_VALUE"""),1.68)</f>
        <v>1.68</v>
      </c>
      <c r="F2614" s="2"/>
      <c r="G2614" s="2"/>
      <c r="H2614" s="2"/>
      <c r="I2614" s="2"/>
    </row>
    <row r="2615">
      <c r="A2615" s="2">
        <f>IFERROR(__xludf.DUMMYFUNCTION("""COMPUTED_VALUE"""),6216.0)</f>
        <v>6216</v>
      </c>
      <c r="B2615" s="2" t="str">
        <f>IFERROR(__xludf.DUMMYFUNCTION("""COMPUTED_VALUE"""),"Law")</f>
        <v>Law</v>
      </c>
      <c r="C2615" s="2" t="str">
        <f>IFERROR(__xludf.DUMMYFUNCTION("""COMPUTED_VALUE"""),"Swimming")</f>
        <v>Swimming</v>
      </c>
      <c r="D2615" s="2" t="str">
        <f>IFERROR(__xludf.DUMMYFUNCTION("""COMPUTED_VALUE"""),"Brightbridge Press")</f>
        <v>Brightbridge Press</v>
      </c>
      <c r="E2615" s="2">
        <f>IFERROR(__xludf.DUMMYFUNCTION("""COMPUTED_VALUE"""),1.32)</f>
        <v>1.32</v>
      </c>
      <c r="F2615" s="2"/>
      <c r="G2615" s="2"/>
      <c r="H2615" s="2"/>
      <c r="I2615" s="2"/>
    </row>
    <row r="2616">
      <c r="A2616" s="2">
        <f>IFERROR(__xludf.DUMMYFUNCTION("""COMPUTED_VALUE"""),149867.0)</f>
        <v>149867</v>
      </c>
      <c r="B2616" s="2" t="str">
        <f>IFERROR(__xludf.DUMMYFUNCTION("""COMPUTED_VALUE"""),"Law")</f>
        <v>Law</v>
      </c>
      <c r="C2616" s="2" t="str">
        <f>IFERROR(__xludf.DUMMYFUNCTION("""COMPUTED_VALUE"""),"Swimming")</f>
        <v>Swimming</v>
      </c>
      <c r="D2616" s="2" t="str">
        <f>IFERROR(__xludf.DUMMYFUNCTION("""COMPUTED_VALUE"""),"Brightbridge Press")</f>
        <v>Brightbridge Press</v>
      </c>
      <c r="E2616" s="2">
        <f>IFERROR(__xludf.DUMMYFUNCTION("""COMPUTED_VALUE"""),3.36)</f>
        <v>3.36</v>
      </c>
      <c r="F2616" s="2"/>
      <c r="G2616" s="2"/>
      <c r="H2616" s="2"/>
      <c r="I2616" s="2"/>
    </row>
    <row r="2617">
      <c r="A2617" s="2">
        <f>IFERROR(__xludf.DUMMYFUNCTION("""COMPUTED_VALUE"""),44037.0)</f>
        <v>44037</v>
      </c>
      <c r="B2617" s="2" t="str">
        <f>IFERROR(__xludf.DUMMYFUNCTION("""COMPUTED_VALUE"""),"Law")</f>
        <v>Law</v>
      </c>
      <c r="C2617" s="2" t="str">
        <f>IFERROR(__xludf.DUMMYFUNCTION("""COMPUTED_VALUE"""),"Swimming")</f>
        <v>Swimming</v>
      </c>
      <c r="D2617" s="2" t="str">
        <f>IFERROR(__xludf.DUMMYFUNCTION("""COMPUTED_VALUE"""),"Brightbridge Press")</f>
        <v>Brightbridge Press</v>
      </c>
      <c r="E2617" s="2">
        <f>IFERROR(__xludf.DUMMYFUNCTION("""COMPUTED_VALUE"""),0.86)</f>
        <v>0.86</v>
      </c>
      <c r="F2617" s="2"/>
      <c r="G2617" s="2"/>
      <c r="H2617" s="2"/>
      <c r="I2617" s="2"/>
    </row>
    <row r="2618">
      <c r="A2618" s="2">
        <f>IFERROR(__xludf.DUMMYFUNCTION("""COMPUTED_VALUE"""),83029.0)</f>
        <v>83029</v>
      </c>
      <c r="B2618" s="2" t="str">
        <f>IFERROR(__xludf.DUMMYFUNCTION("""COMPUTED_VALUE"""),"Law")</f>
        <v>Law</v>
      </c>
      <c r="C2618" s="2" t="str">
        <f>IFERROR(__xludf.DUMMYFUNCTION("""COMPUTED_VALUE"""),"Swimming")</f>
        <v>Swimming</v>
      </c>
      <c r="D2618" s="2" t="str">
        <f>IFERROR(__xludf.DUMMYFUNCTION("""COMPUTED_VALUE"""),"Brightbridge Press")</f>
        <v>Brightbridge Press</v>
      </c>
      <c r="E2618" s="2">
        <f>IFERROR(__xludf.DUMMYFUNCTION("""COMPUTED_VALUE"""),0.82)</f>
        <v>0.82</v>
      </c>
      <c r="F2618" s="2"/>
      <c r="G2618" s="2"/>
      <c r="H2618" s="2"/>
      <c r="I2618" s="2"/>
    </row>
    <row r="2619">
      <c r="A2619" s="2">
        <f>IFERROR(__xludf.DUMMYFUNCTION("""COMPUTED_VALUE"""),100395.0)</f>
        <v>100395</v>
      </c>
      <c r="B2619" s="2" t="str">
        <f>IFERROR(__xludf.DUMMYFUNCTION("""COMPUTED_VALUE"""),"Law")</f>
        <v>Law</v>
      </c>
      <c r="C2619" s="2" t="str">
        <f>IFERROR(__xludf.DUMMYFUNCTION("""COMPUTED_VALUE"""),"Swimming")</f>
        <v>Swimming</v>
      </c>
      <c r="D2619" s="2" t="str">
        <f>IFERROR(__xludf.DUMMYFUNCTION("""COMPUTED_VALUE"""),"Brightbridge Press")</f>
        <v>Brightbridge Press</v>
      </c>
      <c r="E2619" s="2">
        <f>IFERROR(__xludf.DUMMYFUNCTION("""COMPUTED_VALUE"""),1.64)</f>
        <v>1.64</v>
      </c>
      <c r="F2619" s="2"/>
      <c r="G2619" s="2"/>
      <c r="H2619" s="2"/>
      <c r="I2619" s="2"/>
    </row>
    <row r="2620">
      <c r="A2620" s="2">
        <f>IFERROR(__xludf.DUMMYFUNCTION("""COMPUTED_VALUE"""),110437.0)</f>
        <v>110437</v>
      </c>
      <c r="B2620" s="2" t="str">
        <f>IFERROR(__xludf.DUMMYFUNCTION("""COMPUTED_VALUE"""),"Law")</f>
        <v>Law</v>
      </c>
      <c r="C2620" s="2" t="str">
        <f>IFERROR(__xludf.DUMMYFUNCTION("""COMPUTED_VALUE"""),"Swimming")</f>
        <v>Swimming</v>
      </c>
      <c r="D2620" s="2" t="str">
        <f>IFERROR(__xludf.DUMMYFUNCTION("""COMPUTED_VALUE"""),"Brightbridge Press")</f>
        <v>Brightbridge Press</v>
      </c>
      <c r="E2620" s="2">
        <f>IFERROR(__xludf.DUMMYFUNCTION("""COMPUTED_VALUE"""),0.54)</f>
        <v>0.54</v>
      </c>
      <c r="F2620" s="2"/>
      <c r="G2620" s="2"/>
      <c r="H2620" s="2"/>
      <c r="I2620" s="2"/>
    </row>
    <row r="2621">
      <c r="A2621" s="2">
        <f>IFERROR(__xludf.DUMMYFUNCTION("""COMPUTED_VALUE"""),29430.0)</f>
        <v>29430</v>
      </c>
      <c r="B2621" s="2" t="str">
        <f>IFERROR(__xludf.DUMMYFUNCTION("""COMPUTED_VALUE"""),"Law")</f>
        <v>Law</v>
      </c>
      <c r="C2621" s="2" t="str">
        <f>IFERROR(__xludf.DUMMYFUNCTION("""COMPUTED_VALUE"""),"Swimming")</f>
        <v>Swimming</v>
      </c>
      <c r="D2621" s="2" t="str">
        <f>IFERROR(__xludf.DUMMYFUNCTION("""COMPUTED_VALUE"""),"Brightbridge Press")</f>
        <v>Brightbridge Press</v>
      </c>
      <c r="E2621" s="2">
        <f>IFERROR(__xludf.DUMMYFUNCTION("""COMPUTED_VALUE"""),1.22)</f>
        <v>1.22</v>
      </c>
      <c r="F2621" s="2"/>
      <c r="G2621" s="2"/>
      <c r="H2621" s="2"/>
      <c r="I2621" s="2"/>
    </row>
    <row r="2622">
      <c r="A2622" s="2">
        <f>IFERROR(__xludf.DUMMYFUNCTION("""COMPUTED_VALUE"""),95416.0)</f>
        <v>95416</v>
      </c>
      <c r="B2622" s="2" t="str">
        <f>IFERROR(__xludf.DUMMYFUNCTION("""COMPUTED_VALUE"""),"Law")</f>
        <v>Law</v>
      </c>
      <c r="C2622" s="2" t="str">
        <f>IFERROR(__xludf.DUMMYFUNCTION("""COMPUTED_VALUE"""),"Swimming")</f>
        <v>Swimming</v>
      </c>
      <c r="D2622" s="2" t="str">
        <f>IFERROR(__xludf.DUMMYFUNCTION("""COMPUTED_VALUE"""),"Brightbridge Press")</f>
        <v>Brightbridge Press</v>
      </c>
      <c r="E2622" s="2">
        <f>IFERROR(__xludf.DUMMYFUNCTION("""COMPUTED_VALUE"""),0.96)</f>
        <v>0.96</v>
      </c>
      <c r="F2622" s="2"/>
      <c r="G2622" s="2"/>
      <c r="H2622" s="2"/>
      <c r="I2622" s="2"/>
    </row>
    <row r="2623">
      <c r="A2623" s="2">
        <f>IFERROR(__xludf.DUMMYFUNCTION("""COMPUTED_VALUE"""),108493.0)</f>
        <v>108493</v>
      </c>
      <c r="B2623" s="2" t="str">
        <f>IFERROR(__xludf.DUMMYFUNCTION("""COMPUTED_VALUE"""),"Law")</f>
        <v>Law</v>
      </c>
      <c r="C2623" s="2" t="str">
        <f>IFERROR(__xludf.DUMMYFUNCTION("""COMPUTED_VALUE"""),"Swimming")</f>
        <v>Swimming</v>
      </c>
      <c r="D2623" s="2" t="str">
        <f>IFERROR(__xludf.DUMMYFUNCTION("""COMPUTED_VALUE"""),"Brightbridge Press")</f>
        <v>Brightbridge Press</v>
      </c>
      <c r="E2623" s="2">
        <f>IFERROR(__xludf.DUMMYFUNCTION("""COMPUTED_VALUE"""),2.71)</f>
        <v>2.71</v>
      </c>
      <c r="F2623" s="2"/>
      <c r="G2623" s="2"/>
      <c r="H2623" s="2"/>
      <c r="I2623" s="2"/>
    </row>
    <row r="2624">
      <c r="A2624" s="2">
        <f>IFERROR(__xludf.DUMMYFUNCTION("""COMPUTED_VALUE"""),109293.0)</f>
        <v>109293</v>
      </c>
      <c r="B2624" s="2" t="str">
        <f>IFERROR(__xludf.DUMMYFUNCTION("""COMPUTED_VALUE"""),"Law")</f>
        <v>Law</v>
      </c>
      <c r="C2624" s="2" t="str">
        <f>IFERROR(__xludf.DUMMYFUNCTION("""COMPUTED_VALUE"""),"Swimming")</f>
        <v>Swimming</v>
      </c>
      <c r="D2624" s="2" t="str">
        <f>IFERROR(__xludf.DUMMYFUNCTION("""COMPUTED_VALUE"""),"Brightbridge Press")</f>
        <v>Brightbridge Press</v>
      </c>
      <c r="E2624" s="2">
        <f>IFERROR(__xludf.DUMMYFUNCTION("""COMPUTED_VALUE"""),1.95)</f>
        <v>1.95</v>
      </c>
      <c r="F2624" s="2"/>
      <c r="G2624" s="2"/>
      <c r="H2624" s="2"/>
      <c r="I2624" s="2"/>
    </row>
    <row r="2625">
      <c r="A2625" s="2">
        <f>IFERROR(__xludf.DUMMYFUNCTION("""COMPUTED_VALUE"""),73581.0)</f>
        <v>73581</v>
      </c>
      <c r="B2625" s="2" t="str">
        <f>IFERROR(__xludf.DUMMYFUNCTION("""COMPUTED_VALUE"""),"Law")</f>
        <v>Law</v>
      </c>
      <c r="C2625" s="2" t="str">
        <f>IFERROR(__xludf.DUMMYFUNCTION("""COMPUTED_VALUE"""),"Swimming")</f>
        <v>Swimming</v>
      </c>
      <c r="D2625" s="2" t="str">
        <f>IFERROR(__xludf.DUMMYFUNCTION("""COMPUTED_VALUE"""),"Brightbridge Press")</f>
        <v>Brightbridge Press</v>
      </c>
      <c r="E2625" s="2">
        <f>IFERROR(__xludf.DUMMYFUNCTION("""COMPUTED_VALUE"""),3.17)</f>
        <v>3.17</v>
      </c>
      <c r="F2625" s="2"/>
      <c r="G2625" s="2"/>
      <c r="H2625" s="2"/>
      <c r="I2625" s="2"/>
    </row>
    <row r="2626">
      <c r="A2626" s="2">
        <f>IFERROR(__xludf.DUMMYFUNCTION("""COMPUTED_VALUE"""),100396.0)</f>
        <v>100396</v>
      </c>
      <c r="B2626" s="2" t="str">
        <f>IFERROR(__xludf.DUMMYFUNCTION("""COMPUTED_VALUE"""),"Law")</f>
        <v>Law</v>
      </c>
      <c r="C2626" s="2" t="str">
        <f>IFERROR(__xludf.DUMMYFUNCTION("""COMPUTED_VALUE"""),"Swimming")</f>
        <v>Swimming</v>
      </c>
      <c r="D2626" s="2" t="str">
        <f>IFERROR(__xludf.DUMMYFUNCTION("""COMPUTED_VALUE"""),"Brightbridge Press")</f>
        <v>Brightbridge Press</v>
      </c>
      <c r="E2626" s="2">
        <f>IFERROR(__xludf.DUMMYFUNCTION("""COMPUTED_VALUE"""),1.17)</f>
        <v>1.17</v>
      </c>
      <c r="F2626" s="2"/>
      <c r="G2626" s="2"/>
      <c r="H2626" s="2"/>
      <c r="I2626" s="2"/>
    </row>
    <row r="2627">
      <c r="A2627" s="2">
        <f>IFERROR(__xludf.DUMMYFUNCTION("""COMPUTED_VALUE"""),45917.0)</f>
        <v>45917</v>
      </c>
      <c r="B2627" s="2" t="str">
        <f>IFERROR(__xludf.DUMMYFUNCTION("""COMPUTED_VALUE"""),"Law")</f>
        <v>Law</v>
      </c>
      <c r="C2627" s="2" t="str">
        <f>IFERROR(__xludf.DUMMYFUNCTION("""COMPUTED_VALUE"""),"Swimming")</f>
        <v>Swimming</v>
      </c>
      <c r="D2627" s="2" t="str">
        <f>IFERROR(__xludf.DUMMYFUNCTION("""COMPUTED_VALUE"""),"Brightbridge Press")</f>
        <v>Brightbridge Press</v>
      </c>
      <c r="E2627" s="2">
        <f>IFERROR(__xludf.DUMMYFUNCTION("""COMPUTED_VALUE"""),1.96)</f>
        <v>1.96</v>
      </c>
      <c r="F2627" s="2"/>
      <c r="G2627" s="2"/>
      <c r="H2627" s="2"/>
      <c r="I2627" s="2"/>
    </row>
    <row r="2628">
      <c r="A2628" s="2">
        <f>IFERROR(__xludf.DUMMYFUNCTION("""COMPUTED_VALUE"""),83420.0)</f>
        <v>83420</v>
      </c>
      <c r="B2628" s="2" t="str">
        <f>IFERROR(__xludf.DUMMYFUNCTION("""COMPUTED_VALUE"""),"Law")</f>
        <v>Law</v>
      </c>
      <c r="C2628" s="2" t="str">
        <f>IFERROR(__xludf.DUMMYFUNCTION("""COMPUTED_VALUE"""),"Swimming")</f>
        <v>Swimming</v>
      </c>
      <c r="D2628" s="2" t="str">
        <f>IFERROR(__xludf.DUMMYFUNCTION("""COMPUTED_VALUE"""),"Brightbridge Press")</f>
        <v>Brightbridge Press</v>
      </c>
      <c r="E2628" s="2">
        <f>IFERROR(__xludf.DUMMYFUNCTION("""COMPUTED_VALUE"""),1.42)</f>
        <v>1.42</v>
      </c>
      <c r="F2628" s="2"/>
      <c r="G2628" s="2"/>
      <c r="H2628" s="2"/>
      <c r="I2628" s="2"/>
    </row>
    <row r="2629">
      <c r="A2629" s="2">
        <f>IFERROR(__xludf.DUMMYFUNCTION("""COMPUTED_VALUE"""),101591.0)</f>
        <v>101591</v>
      </c>
      <c r="B2629" s="2" t="str">
        <f>IFERROR(__xludf.DUMMYFUNCTION("""COMPUTED_VALUE"""),"Law")</f>
        <v>Law</v>
      </c>
      <c r="C2629" s="2" t="str">
        <f>IFERROR(__xludf.DUMMYFUNCTION("""COMPUTED_VALUE"""),"Swimming")</f>
        <v>Swimming</v>
      </c>
      <c r="D2629" s="2" t="str">
        <f>IFERROR(__xludf.DUMMYFUNCTION("""COMPUTED_VALUE"""),"Brightbridge Press")</f>
        <v>Brightbridge Press</v>
      </c>
      <c r="E2629" s="2">
        <f>IFERROR(__xludf.DUMMYFUNCTION("""COMPUTED_VALUE"""),2.6)</f>
        <v>2.6</v>
      </c>
      <c r="F2629" s="2"/>
      <c r="G2629" s="2"/>
      <c r="H2629" s="2"/>
      <c r="I2629" s="2"/>
    </row>
    <row r="2630">
      <c r="A2630" s="2">
        <f>IFERROR(__xludf.DUMMYFUNCTION("""COMPUTED_VALUE"""),116181.0)</f>
        <v>116181</v>
      </c>
      <c r="B2630" s="2" t="str">
        <f>IFERROR(__xludf.DUMMYFUNCTION("""COMPUTED_VALUE"""),"Law")</f>
        <v>Law</v>
      </c>
      <c r="C2630" s="2" t="str">
        <f>IFERROR(__xludf.DUMMYFUNCTION("""COMPUTED_VALUE"""),"Swimming")</f>
        <v>Swimming</v>
      </c>
      <c r="D2630" s="2" t="str">
        <f>IFERROR(__xludf.DUMMYFUNCTION("""COMPUTED_VALUE"""),"Brightbridge Press")</f>
        <v>Brightbridge Press</v>
      </c>
      <c r="E2630" s="2">
        <f>IFERROR(__xludf.DUMMYFUNCTION("""COMPUTED_VALUE"""),0.99)</f>
        <v>0.99</v>
      </c>
      <c r="F2630" s="2"/>
      <c r="G2630" s="2"/>
      <c r="H2630" s="2"/>
      <c r="I2630" s="2"/>
    </row>
    <row r="2631">
      <c r="A2631" s="2">
        <f>IFERROR(__xludf.DUMMYFUNCTION("""COMPUTED_VALUE"""),109300.0)</f>
        <v>109300</v>
      </c>
      <c r="B2631" s="2" t="str">
        <f>IFERROR(__xludf.DUMMYFUNCTION("""COMPUTED_VALUE"""),"Law")</f>
        <v>Law</v>
      </c>
      <c r="C2631" s="2" t="str">
        <f>IFERROR(__xludf.DUMMYFUNCTION("""COMPUTED_VALUE"""),"Swimming")</f>
        <v>Swimming</v>
      </c>
      <c r="D2631" s="2" t="str">
        <f>IFERROR(__xludf.DUMMYFUNCTION("""COMPUTED_VALUE"""),"Brightbridge Press")</f>
        <v>Brightbridge Press</v>
      </c>
      <c r="E2631" s="2">
        <f>IFERROR(__xludf.DUMMYFUNCTION("""COMPUTED_VALUE"""),0.84)</f>
        <v>0.84</v>
      </c>
      <c r="F2631" s="2"/>
      <c r="G2631" s="2"/>
      <c r="H2631" s="2"/>
      <c r="I2631" s="2"/>
    </row>
    <row r="2632">
      <c r="A2632" s="2">
        <f>IFERROR(__xludf.DUMMYFUNCTION("""COMPUTED_VALUE"""),46160.0)</f>
        <v>46160</v>
      </c>
      <c r="B2632" s="2" t="str">
        <f>IFERROR(__xludf.DUMMYFUNCTION("""COMPUTED_VALUE"""),"Law")</f>
        <v>Law</v>
      </c>
      <c r="C2632" s="2" t="str">
        <f>IFERROR(__xludf.DUMMYFUNCTION("""COMPUTED_VALUE"""),"Swimming")</f>
        <v>Swimming</v>
      </c>
      <c r="D2632" s="2" t="str">
        <f>IFERROR(__xludf.DUMMYFUNCTION("""COMPUTED_VALUE"""),"Brightbridge Press")</f>
        <v>Brightbridge Press</v>
      </c>
      <c r="E2632" s="2">
        <f>IFERROR(__xludf.DUMMYFUNCTION("""COMPUTED_VALUE"""),0.44)</f>
        <v>0.44</v>
      </c>
      <c r="F2632" s="2"/>
      <c r="G2632" s="2"/>
      <c r="H2632" s="2"/>
      <c r="I2632" s="2"/>
    </row>
    <row r="2633">
      <c r="A2633" s="2">
        <f>IFERROR(__xludf.DUMMYFUNCTION("""COMPUTED_VALUE"""),116202.0)</f>
        <v>116202</v>
      </c>
      <c r="B2633" s="2" t="str">
        <f>IFERROR(__xludf.DUMMYFUNCTION("""COMPUTED_VALUE"""),"Law")</f>
        <v>Law</v>
      </c>
      <c r="C2633" s="2" t="str">
        <f>IFERROR(__xludf.DUMMYFUNCTION("""COMPUTED_VALUE"""),"Swimming")</f>
        <v>Swimming</v>
      </c>
      <c r="D2633" s="2" t="str">
        <f>IFERROR(__xludf.DUMMYFUNCTION("""COMPUTED_VALUE"""),"Brightbridge Press")</f>
        <v>Brightbridge Press</v>
      </c>
      <c r="E2633" s="2">
        <f>IFERROR(__xludf.DUMMYFUNCTION("""COMPUTED_VALUE"""),0.99)</f>
        <v>0.99</v>
      </c>
      <c r="F2633" s="2"/>
      <c r="G2633" s="2"/>
      <c r="H2633" s="2"/>
      <c r="I2633" s="2"/>
    </row>
    <row r="2634">
      <c r="A2634" s="2">
        <f>IFERROR(__xludf.DUMMYFUNCTION("""COMPUTED_VALUE"""),106884.0)</f>
        <v>106884</v>
      </c>
      <c r="B2634" s="2" t="str">
        <f>IFERROR(__xludf.DUMMYFUNCTION("""COMPUTED_VALUE"""),"Law")</f>
        <v>Law</v>
      </c>
      <c r="C2634" s="2" t="str">
        <f>IFERROR(__xludf.DUMMYFUNCTION("""COMPUTED_VALUE"""),"Swimming")</f>
        <v>Swimming</v>
      </c>
      <c r="D2634" s="2" t="str">
        <f>IFERROR(__xludf.DUMMYFUNCTION("""COMPUTED_VALUE"""),"Brightbridge Press")</f>
        <v>Brightbridge Press</v>
      </c>
      <c r="E2634" s="2">
        <f>IFERROR(__xludf.DUMMYFUNCTION("""COMPUTED_VALUE"""),0.84)</f>
        <v>0.84</v>
      </c>
      <c r="F2634" s="2"/>
      <c r="G2634" s="2"/>
      <c r="H2634" s="2"/>
      <c r="I2634" s="2"/>
    </row>
    <row r="2635">
      <c r="A2635" s="2">
        <f>IFERROR(__xludf.DUMMYFUNCTION("""COMPUTED_VALUE"""),98598.0)</f>
        <v>98598</v>
      </c>
      <c r="B2635" s="2" t="str">
        <f>IFERROR(__xludf.DUMMYFUNCTION("""COMPUTED_VALUE"""),"Law")</f>
        <v>Law</v>
      </c>
      <c r="C2635" s="2" t="str">
        <f>IFERROR(__xludf.DUMMYFUNCTION("""COMPUTED_VALUE"""),"Swimming")</f>
        <v>Swimming</v>
      </c>
      <c r="D2635" s="2" t="str">
        <f>IFERROR(__xludf.DUMMYFUNCTION("""COMPUTED_VALUE"""),"Brightbridge Press")</f>
        <v>Brightbridge Press</v>
      </c>
      <c r="E2635" s="2">
        <f>IFERROR(__xludf.DUMMYFUNCTION("""COMPUTED_VALUE"""),3.53)</f>
        <v>3.53</v>
      </c>
      <c r="F2635" s="2"/>
      <c r="G2635" s="2"/>
      <c r="H2635" s="2"/>
      <c r="I2635" s="2"/>
    </row>
    <row r="2636">
      <c r="A2636" s="2">
        <f>IFERROR(__xludf.DUMMYFUNCTION("""COMPUTED_VALUE"""),78515.0)</f>
        <v>78515</v>
      </c>
      <c r="B2636" s="2" t="str">
        <f>IFERROR(__xludf.DUMMYFUNCTION("""COMPUTED_VALUE"""),"Law")</f>
        <v>Law</v>
      </c>
      <c r="C2636" s="2" t="str">
        <f>IFERROR(__xludf.DUMMYFUNCTION("""COMPUTED_VALUE"""),"Swimming")</f>
        <v>Swimming</v>
      </c>
      <c r="D2636" s="2" t="str">
        <f>IFERROR(__xludf.DUMMYFUNCTION("""COMPUTED_VALUE"""),"Brightbridge Press")</f>
        <v>Brightbridge Press</v>
      </c>
      <c r="E2636" s="2">
        <f>IFERROR(__xludf.DUMMYFUNCTION("""COMPUTED_VALUE"""),1.31)</f>
        <v>1.31</v>
      </c>
      <c r="F2636" s="2"/>
      <c r="G2636" s="2"/>
      <c r="H2636" s="2"/>
      <c r="I2636" s="2"/>
    </row>
    <row r="2637">
      <c r="A2637" s="2">
        <f>IFERROR(__xludf.DUMMYFUNCTION("""COMPUTED_VALUE"""),46154.0)</f>
        <v>46154</v>
      </c>
      <c r="B2637" s="2" t="str">
        <f>IFERROR(__xludf.DUMMYFUNCTION("""COMPUTED_VALUE"""),"Law")</f>
        <v>Law</v>
      </c>
      <c r="C2637" s="2" t="str">
        <f>IFERROR(__xludf.DUMMYFUNCTION("""COMPUTED_VALUE"""),"Swimming")</f>
        <v>Swimming</v>
      </c>
      <c r="D2637" s="2" t="str">
        <f>IFERROR(__xludf.DUMMYFUNCTION("""COMPUTED_VALUE"""),"Brightbridge Press")</f>
        <v>Brightbridge Press</v>
      </c>
      <c r="E2637" s="2">
        <f>IFERROR(__xludf.DUMMYFUNCTION("""COMPUTED_VALUE"""),0.5)</f>
        <v>0.5</v>
      </c>
      <c r="F2637" s="2"/>
      <c r="G2637" s="2"/>
      <c r="H2637" s="2"/>
      <c r="I2637" s="2"/>
    </row>
    <row r="2638">
      <c r="A2638" s="2">
        <f>IFERROR(__xludf.DUMMYFUNCTION("""COMPUTED_VALUE"""),23668.0)</f>
        <v>23668</v>
      </c>
      <c r="B2638" s="2" t="str">
        <f>IFERROR(__xludf.DUMMYFUNCTION("""COMPUTED_VALUE"""),"Law")</f>
        <v>Law</v>
      </c>
      <c r="C2638" s="2" t="str">
        <f>IFERROR(__xludf.DUMMYFUNCTION("""COMPUTED_VALUE"""),"Swimming")</f>
        <v>Swimming</v>
      </c>
      <c r="D2638" s="2" t="str">
        <f>IFERROR(__xludf.DUMMYFUNCTION("""COMPUTED_VALUE"""),"Brightbridge Press")</f>
        <v>Brightbridge Press</v>
      </c>
      <c r="E2638" s="2">
        <f>IFERROR(__xludf.DUMMYFUNCTION("""COMPUTED_VALUE"""),0.49)</f>
        <v>0.49</v>
      </c>
      <c r="F2638" s="2"/>
      <c r="G2638" s="2"/>
      <c r="H2638" s="2"/>
      <c r="I2638" s="2"/>
    </row>
    <row r="2639">
      <c r="A2639" s="2">
        <f>IFERROR(__xludf.DUMMYFUNCTION("""COMPUTED_VALUE"""),107900.0)</f>
        <v>107900</v>
      </c>
      <c r="B2639" s="2" t="str">
        <f>IFERROR(__xludf.DUMMYFUNCTION("""COMPUTED_VALUE"""),"History")</f>
        <v>History</v>
      </c>
      <c r="C2639" s="2" t="str">
        <f>IFERROR(__xludf.DUMMYFUNCTION("""COMPUTED_VALUE"""),"Running")</f>
        <v>Running</v>
      </c>
      <c r="D2639" s="2" t="str">
        <f>IFERROR(__xludf.DUMMYFUNCTION("""COMPUTED_VALUE"""),"Oakbridge Publishing")</f>
        <v>Oakbridge Publishing</v>
      </c>
      <c r="E2639" s="2">
        <f>IFERROR(__xludf.DUMMYFUNCTION("""COMPUTED_VALUE"""),2.17)</f>
        <v>2.17</v>
      </c>
      <c r="F2639" s="2"/>
      <c r="G2639" s="2"/>
      <c r="H2639" s="2"/>
      <c r="I2639" s="2"/>
    </row>
    <row r="2640">
      <c r="A2640" s="2">
        <f>IFERROR(__xludf.DUMMYFUNCTION("""COMPUTED_VALUE"""),85037.0)</f>
        <v>85037</v>
      </c>
      <c r="B2640" s="2" t="str">
        <f>IFERROR(__xludf.DUMMYFUNCTION("""COMPUTED_VALUE"""),"History")</f>
        <v>History</v>
      </c>
      <c r="C2640" s="2" t="str">
        <f>IFERROR(__xludf.DUMMYFUNCTION("""COMPUTED_VALUE"""),"Running")</f>
        <v>Running</v>
      </c>
      <c r="D2640" s="2" t="str">
        <f>IFERROR(__xludf.DUMMYFUNCTION("""COMPUTED_VALUE"""),"Oakbridge Publishing")</f>
        <v>Oakbridge Publishing</v>
      </c>
      <c r="E2640" s="2">
        <f>IFERROR(__xludf.DUMMYFUNCTION("""COMPUTED_VALUE"""),5.06)</f>
        <v>5.06</v>
      </c>
      <c r="F2640" s="2"/>
      <c r="G2640" s="2"/>
      <c r="H2640" s="2"/>
      <c r="I2640" s="2"/>
    </row>
    <row r="2641">
      <c r="A2641" s="2">
        <f>IFERROR(__xludf.DUMMYFUNCTION("""COMPUTED_VALUE"""),49182.0)</f>
        <v>49182</v>
      </c>
      <c r="B2641" s="2" t="str">
        <f>IFERROR(__xludf.DUMMYFUNCTION("""COMPUTED_VALUE"""),"History")</f>
        <v>History</v>
      </c>
      <c r="C2641" s="2" t="str">
        <f>IFERROR(__xludf.DUMMYFUNCTION("""COMPUTED_VALUE"""),"Running")</f>
        <v>Running</v>
      </c>
      <c r="D2641" s="2" t="str">
        <f>IFERROR(__xludf.DUMMYFUNCTION("""COMPUTED_VALUE"""),"Oakbridge Publishing")</f>
        <v>Oakbridge Publishing</v>
      </c>
      <c r="E2641" s="2">
        <f>IFERROR(__xludf.DUMMYFUNCTION("""COMPUTED_VALUE"""),5.1)</f>
        <v>5.1</v>
      </c>
      <c r="F2641" s="2"/>
      <c r="G2641" s="2"/>
      <c r="H2641" s="2"/>
      <c r="I2641" s="2"/>
    </row>
    <row r="2642">
      <c r="A2642" s="2">
        <f>IFERROR(__xludf.DUMMYFUNCTION("""COMPUTED_VALUE"""),69111.0)</f>
        <v>69111</v>
      </c>
      <c r="B2642" s="2" t="str">
        <f>IFERROR(__xludf.DUMMYFUNCTION("""COMPUTED_VALUE"""),"History")</f>
        <v>History</v>
      </c>
      <c r="C2642" s="2" t="str">
        <f>IFERROR(__xludf.DUMMYFUNCTION("""COMPUTED_VALUE"""),"Running")</f>
        <v>Running</v>
      </c>
      <c r="D2642" s="2" t="str">
        <f>IFERROR(__xludf.DUMMYFUNCTION("""COMPUTED_VALUE"""),"Riverbridge Books")</f>
        <v>Riverbridge Books</v>
      </c>
      <c r="E2642" s="2">
        <f>IFERROR(__xludf.DUMMYFUNCTION("""COMPUTED_VALUE"""),2.18)</f>
        <v>2.18</v>
      </c>
      <c r="F2642" s="2"/>
      <c r="G2642" s="2"/>
      <c r="H2642" s="2"/>
      <c r="I2642" s="2"/>
    </row>
    <row r="2643">
      <c r="A2643" s="2">
        <f>IFERROR(__xludf.DUMMYFUNCTION("""COMPUTED_VALUE"""),80054.0)</f>
        <v>80054</v>
      </c>
      <c r="B2643" s="2" t="str">
        <f>IFERROR(__xludf.DUMMYFUNCTION("""COMPUTED_VALUE"""),"History")</f>
        <v>History</v>
      </c>
      <c r="C2643" s="2" t="str">
        <f>IFERROR(__xludf.DUMMYFUNCTION("""COMPUTED_VALUE"""),"Running")</f>
        <v>Running</v>
      </c>
      <c r="D2643" s="2" t="str">
        <f>IFERROR(__xludf.DUMMYFUNCTION("""COMPUTED_VALUE"""),"Riverbridge Books")</f>
        <v>Riverbridge Books</v>
      </c>
      <c r="E2643" s="2">
        <f>IFERROR(__xludf.DUMMYFUNCTION("""COMPUTED_VALUE"""),2.2)</f>
        <v>2.2</v>
      </c>
      <c r="F2643" s="2"/>
      <c r="G2643" s="2"/>
      <c r="H2643" s="2"/>
      <c r="I2643" s="2"/>
    </row>
    <row r="2644">
      <c r="A2644" s="2">
        <f>IFERROR(__xludf.DUMMYFUNCTION("""COMPUTED_VALUE"""),79782.0)</f>
        <v>79782</v>
      </c>
      <c r="B2644" s="2" t="str">
        <f>IFERROR(__xludf.DUMMYFUNCTION("""COMPUTED_VALUE"""),"History")</f>
        <v>History</v>
      </c>
      <c r="C2644" s="2" t="str">
        <f>IFERROR(__xludf.DUMMYFUNCTION("""COMPUTED_VALUE"""),"Running")</f>
        <v>Running</v>
      </c>
      <c r="D2644" s="2" t="str">
        <f>IFERROR(__xludf.DUMMYFUNCTION("""COMPUTED_VALUE"""),"Riverbridge Books")</f>
        <v>Riverbridge Books</v>
      </c>
      <c r="E2644" s="2">
        <f>IFERROR(__xludf.DUMMYFUNCTION("""COMPUTED_VALUE"""),2.35)</f>
        <v>2.35</v>
      </c>
      <c r="F2644" s="2"/>
      <c r="G2644" s="2"/>
      <c r="H2644" s="2"/>
      <c r="I2644" s="2"/>
    </row>
    <row r="2645">
      <c r="A2645" s="2">
        <f>IFERROR(__xludf.DUMMYFUNCTION("""COMPUTED_VALUE"""),80045.0)</f>
        <v>80045</v>
      </c>
      <c r="B2645" s="2" t="str">
        <f>IFERROR(__xludf.DUMMYFUNCTION("""COMPUTED_VALUE"""),"History")</f>
        <v>History</v>
      </c>
      <c r="C2645" s="2" t="str">
        <f>IFERROR(__xludf.DUMMYFUNCTION("""COMPUTED_VALUE"""),"Running")</f>
        <v>Running</v>
      </c>
      <c r="D2645" s="2" t="str">
        <f>IFERROR(__xludf.DUMMYFUNCTION("""COMPUTED_VALUE"""),"Riverbridge Books")</f>
        <v>Riverbridge Books</v>
      </c>
      <c r="E2645" s="2">
        <f>IFERROR(__xludf.DUMMYFUNCTION("""COMPUTED_VALUE"""),2.03)</f>
        <v>2.03</v>
      </c>
      <c r="F2645" s="2"/>
      <c r="G2645" s="2"/>
      <c r="H2645" s="2"/>
      <c r="I2645" s="2"/>
    </row>
    <row r="2646">
      <c r="A2646" s="2">
        <f>IFERROR(__xludf.DUMMYFUNCTION("""COMPUTED_VALUE"""),69108.0)</f>
        <v>69108</v>
      </c>
      <c r="B2646" s="2" t="str">
        <f>IFERROR(__xludf.DUMMYFUNCTION("""COMPUTED_VALUE"""),"History")</f>
        <v>History</v>
      </c>
      <c r="C2646" s="2" t="str">
        <f>IFERROR(__xludf.DUMMYFUNCTION("""COMPUTED_VALUE"""),"Running")</f>
        <v>Running</v>
      </c>
      <c r="D2646" s="2" t="str">
        <f>IFERROR(__xludf.DUMMYFUNCTION("""COMPUTED_VALUE"""),"Riverbridge Books")</f>
        <v>Riverbridge Books</v>
      </c>
      <c r="E2646" s="2">
        <f>IFERROR(__xludf.DUMMYFUNCTION("""COMPUTED_VALUE"""),2.05)</f>
        <v>2.05</v>
      </c>
      <c r="F2646" s="2"/>
      <c r="G2646" s="2"/>
      <c r="H2646" s="2"/>
      <c r="I2646" s="2"/>
    </row>
    <row r="2647">
      <c r="A2647" s="2">
        <f>IFERROR(__xludf.DUMMYFUNCTION("""COMPUTED_VALUE"""),69112.0)</f>
        <v>69112</v>
      </c>
      <c r="B2647" s="2" t="str">
        <f>IFERROR(__xludf.DUMMYFUNCTION("""COMPUTED_VALUE"""),"History")</f>
        <v>History</v>
      </c>
      <c r="C2647" s="2" t="str">
        <f>IFERROR(__xludf.DUMMYFUNCTION("""COMPUTED_VALUE"""),"Running")</f>
        <v>Running</v>
      </c>
      <c r="D2647" s="2" t="str">
        <f>IFERROR(__xludf.DUMMYFUNCTION("""COMPUTED_VALUE"""),"Riverbridge Books")</f>
        <v>Riverbridge Books</v>
      </c>
      <c r="E2647" s="2">
        <f>IFERROR(__xludf.DUMMYFUNCTION("""COMPUTED_VALUE"""),1.87)</f>
        <v>1.87</v>
      </c>
      <c r="F2647" s="2"/>
      <c r="G2647" s="2"/>
      <c r="H2647" s="2"/>
      <c r="I2647" s="2"/>
    </row>
    <row r="2648">
      <c r="A2648" s="2">
        <f>IFERROR(__xludf.DUMMYFUNCTION("""COMPUTED_VALUE"""),121992.0)</f>
        <v>121992</v>
      </c>
      <c r="B2648" s="2" t="str">
        <f>IFERROR(__xludf.DUMMYFUNCTION("""COMPUTED_VALUE"""),"History")</f>
        <v>History</v>
      </c>
      <c r="C2648" s="2" t="str">
        <f>IFERROR(__xludf.DUMMYFUNCTION("""COMPUTED_VALUE"""),"Running")</f>
        <v>Running</v>
      </c>
      <c r="D2648" s="2" t="str">
        <f>IFERROR(__xludf.DUMMYFUNCTION("""COMPUTED_VALUE"""),"Riverbridge Books")</f>
        <v>Riverbridge Books</v>
      </c>
      <c r="E2648" s="2">
        <f>IFERROR(__xludf.DUMMYFUNCTION("""COMPUTED_VALUE"""),2.13)</f>
        <v>2.13</v>
      </c>
      <c r="F2648" s="2"/>
      <c r="G2648" s="2"/>
      <c r="H2648" s="2"/>
      <c r="I2648" s="2"/>
    </row>
    <row r="2649">
      <c r="A2649" s="2">
        <f>IFERROR(__xludf.DUMMYFUNCTION("""COMPUTED_VALUE"""),80048.0)</f>
        <v>80048</v>
      </c>
      <c r="B2649" s="2" t="str">
        <f>IFERROR(__xludf.DUMMYFUNCTION("""COMPUTED_VALUE"""),"History")</f>
        <v>History</v>
      </c>
      <c r="C2649" s="2" t="str">
        <f>IFERROR(__xludf.DUMMYFUNCTION("""COMPUTED_VALUE"""),"Running")</f>
        <v>Running</v>
      </c>
      <c r="D2649" s="2" t="str">
        <f>IFERROR(__xludf.DUMMYFUNCTION("""COMPUTED_VALUE"""),"Riverbridge Books")</f>
        <v>Riverbridge Books</v>
      </c>
      <c r="E2649" s="2">
        <f>IFERROR(__xludf.DUMMYFUNCTION("""COMPUTED_VALUE"""),2.54)</f>
        <v>2.54</v>
      </c>
      <c r="F2649" s="2"/>
      <c r="G2649" s="2"/>
      <c r="H2649" s="2"/>
      <c r="I2649" s="2"/>
    </row>
    <row r="2650">
      <c r="A2650" s="2">
        <f>IFERROR(__xludf.DUMMYFUNCTION("""COMPUTED_VALUE"""),121982.0)</f>
        <v>121982</v>
      </c>
      <c r="B2650" s="2" t="str">
        <f>IFERROR(__xludf.DUMMYFUNCTION("""COMPUTED_VALUE"""),"History")</f>
        <v>History</v>
      </c>
      <c r="C2650" s="2" t="str">
        <f>IFERROR(__xludf.DUMMYFUNCTION("""COMPUTED_VALUE"""),"Running")</f>
        <v>Running</v>
      </c>
      <c r="D2650" s="2" t="str">
        <f>IFERROR(__xludf.DUMMYFUNCTION("""COMPUTED_VALUE"""),"Riverbridge Books")</f>
        <v>Riverbridge Books</v>
      </c>
      <c r="E2650" s="2">
        <f>IFERROR(__xludf.DUMMYFUNCTION("""COMPUTED_VALUE"""),2.15)</f>
        <v>2.15</v>
      </c>
      <c r="F2650" s="2"/>
      <c r="G2650" s="2"/>
      <c r="H2650" s="2"/>
      <c r="I2650" s="2"/>
    </row>
    <row r="2651">
      <c r="A2651" s="2">
        <f>IFERROR(__xludf.DUMMYFUNCTION("""COMPUTED_VALUE"""),121974.0)</f>
        <v>121974</v>
      </c>
      <c r="B2651" s="2" t="str">
        <f>IFERROR(__xludf.DUMMYFUNCTION("""COMPUTED_VALUE"""),"History")</f>
        <v>History</v>
      </c>
      <c r="C2651" s="2" t="str">
        <f>IFERROR(__xludf.DUMMYFUNCTION("""COMPUTED_VALUE"""),"Running")</f>
        <v>Running</v>
      </c>
      <c r="D2651" s="2" t="str">
        <f>IFERROR(__xludf.DUMMYFUNCTION("""COMPUTED_VALUE"""),"Riverbridge Books")</f>
        <v>Riverbridge Books</v>
      </c>
      <c r="E2651" s="2">
        <f>IFERROR(__xludf.DUMMYFUNCTION("""COMPUTED_VALUE"""),1.89)</f>
        <v>1.89</v>
      </c>
      <c r="F2651" s="2"/>
      <c r="G2651" s="2"/>
      <c r="H2651" s="2"/>
      <c r="I2651" s="2"/>
    </row>
    <row r="2652">
      <c r="A2652" s="2">
        <f>IFERROR(__xludf.DUMMYFUNCTION("""COMPUTED_VALUE"""),69110.0)</f>
        <v>69110</v>
      </c>
      <c r="B2652" s="2" t="str">
        <f>IFERROR(__xludf.DUMMYFUNCTION("""COMPUTED_VALUE"""),"History")</f>
        <v>History</v>
      </c>
      <c r="C2652" s="2" t="str">
        <f>IFERROR(__xludf.DUMMYFUNCTION("""COMPUTED_VALUE"""),"Running")</f>
        <v>Running</v>
      </c>
      <c r="D2652" s="2" t="str">
        <f>IFERROR(__xludf.DUMMYFUNCTION("""COMPUTED_VALUE"""),"Riverbridge Books")</f>
        <v>Riverbridge Books</v>
      </c>
      <c r="E2652" s="2">
        <f>IFERROR(__xludf.DUMMYFUNCTION("""COMPUTED_VALUE"""),1.85)</f>
        <v>1.85</v>
      </c>
      <c r="F2652" s="2"/>
      <c r="G2652" s="2"/>
      <c r="H2652" s="2"/>
      <c r="I2652" s="2"/>
    </row>
    <row r="2653">
      <c r="A2653" s="2">
        <f>IFERROR(__xludf.DUMMYFUNCTION("""COMPUTED_VALUE"""),23540.0)</f>
        <v>23540</v>
      </c>
      <c r="B2653" s="2" t="str">
        <f>IFERROR(__xludf.DUMMYFUNCTION("""COMPUTED_VALUE"""),"History")</f>
        <v>History</v>
      </c>
      <c r="C2653" s="2" t="str">
        <f>IFERROR(__xludf.DUMMYFUNCTION("""COMPUTED_VALUE"""),"Running")</f>
        <v>Running</v>
      </c>
      <c r="D2653" s="2" t="str">
        <f>IFERROR(__xludf.DUMMYFUNCTION("""COMPUTED_VALUE"""),"Riverbridge Books")</f>
        <v>Riverbridge Books</v>
      </c>
      <c r="E2653" s="2">
        <f>IFERROR(__xludf.DUMMYFUNCTION("""COMPUTED_VALUE"""),2.53)</f>
        <v>2.53</v>
      </c>
      <c r="F2653" s="2"/>
      <c r="G2653" s="2"/>
      <c r="H2653" s="2"/>
      <c r="I2653" s="2"/>
    </row>
    <row r="2654">
      <c r="A2654" s="2">
        <f>IFERROR(__xludf.DUMMYFUNCTION("""COMPUTED_VALUE"""),69123.0)</f>
        <v>69123</v>
      </c>
      <c r="B2654" s="2" t="str">
        <f>IFERROR(__xludf.DUMMYFUNCTION("""COMPUTED_VALUE"""),"History")</f>
        <v>History</v>
      </c>
      <c r="C2654" s="2" t="str">
        <f>IFERROR(__xludf.DUMMYFUNCTION("""COMPUTED_VALUE"""),"Running")</f>
        <v>Running</v>
      </c>
      <c r="D2654" s="2" t="str">
        <f>IFERROR(__xludf.DUMMYFUNCTION("""COMPUTED_VALUE"""),"Riverbridge Books")</f>
        <v>Riverbridge Books</v>
      </c>
      <c r="E2654" s="2">
        <f>IFERROR(__xludf.DUMMYFUNCTION("""COMPUTED_VALUE"""),1.97)</f>
        <v>1.97</v>
      </c>
      <c r="F2654" s="2"/>
      <c r="G2654" s="2"/>
      <c r="H2654" s="2"/>
      <c r="I2654" s="2"/>
    </row>
    <row r="2655">
      <c r="A2655" s="2">
        <f>IFERROR(__xludf.DUMMYFUNCTION("""COMPUTED_VALUE"""),121984.0)</f>
        <v>121984</v>
      </c>
      <c r="B2655" s="2" t="str">
        <f>IFERROR(__xludf.DUMMYFUNCTION("""COMPUTED_VALUE"""),"History")</f>
        <v>History</v>
      </c>
      <c r="C2655" s="2" t="str">
        <f>IFERROR(__xludf.DUMMYFUNCTION("""COMPUTED_VALUE"""),"Running")</f>
        <v>Running</v>
      </c>
      <c r="D2655" s="2" t="str">
        <f>IFERROR(__xludf.DUMMYFUNCTION("""COMPUTED_VALUE"""),"Riverbridge Books")</f>
        <v>Riverbridge Books</v>
      </c>
      <c r="E2655" s="2">
        <f>IFERROR(__xludf.DUMMYFUNCTION("""COMPUTED_VALUE"""),1.96)</f>
        <v>1.96</v>
      </c>
      <c r="F2655" s="2"/>
      <c r="G2655" s="2"/>
      <c r="H2655" s="2"/>
      <c r="I2655" s="2"/>
    </row>
    <row r="2656">
      <c r="A2656" s="2">
        <f>IFERROR(__xludf.DUMMYFUNCTION("""COMPUTED_VALUE"""),121979.0)</f>
        <v>121979</v>
      </c>
      <c r="B2656" s="2" t="str">
        <f>IFERROR(__xludf.DUMMYFUNCTION("""COMPUTED_VALUE"""),"History")</f>
        <v>History</v>
      </c>
      <c r="C2656" s="2" t="str">
        <f>IFERROR(__xludf.DUMMYFUNCTION("""COMPUTED_VALUE"""),"Running")</f>
        <v>Running</v>
      </c>
      <c r="D2656" s="2" t="str">
        <f>IFERROR(__xludf.DUMMYFUNCTION("""COMPUTED_VALUE"""),"Riverbridge Books")</f>
        <v>Riverbridge Books</v>
      </c>
      <c r="E2656" s="2">
        <f>IFERROR(__xludf.DUMMYFUNCTION("""COMPUTED_VALUE"""),2.15)</f>
        <v>2.15</v>
      </c>
      <c r="F2656" s="2"/>
      <c r="G2656" s="2"/>
      <c r="H2656" s="2"/>
      <c r="I2656" s="2"/>
    </row>
    <row r="2657">
      <c r="A2657" s="2">
        <f>IFERROR(__xludf.DUMMYFUNCTION("""COMPUTED_VALUE"""),80043.0)</f>
        <v>80043</v>
      </c>
      <c r="B2657" s="2" t="str">
        <f>IFERROR(__xludf.DUMMYFUNCTION("""COMPUTED_VALUE"""),"History")</f>
        <v>History</v>
      </c>
      <c r="C2657" s="2" t="str">
        <f>IFERROR(__xludf.DUMMYFUNCTION("""COMPUTED_VALUE"""),"Running")</f>
        <v>Running</v>
      </c>
      <c r="D2657" s="2" t="str">
        <f>IFERROR(__xludf.DUMMYFUNCTION("""COMPUTED_VALUE"""),"Riverbridge Books")</f>
        <v>Riverbridge Books</v>
      </c>
      <c r="E2657" s="2">
        <f>IFERROR(__xludf.DUMMYFUNCTION("""COMPUTED_VALUE"""),2.47)</f>
        <v>2.47</v>
      </c>
      <c r="F2657" s="2"/>
      <c r="G2657" s="2"/>
      <c r="H2657" s="2"/>
      <c r="I2657" s="2"/>
    </row>
    <row r="2658">
      <c r="A2658" s="2">
        <f>IFERROR(__xludf.DUMMYFUNCTION("""COMPUTED_VALUE"""),100326.0)</f>
        <v>100326</v>
      </c>
      <c r="B2658" s="2" t="str">
        <f>IFERROR(__xludf.DUMMYFUNCTION("""COMPUTED_VALUE"""),"History")</f>
        <v>History</v>
      </c>
      <c r="C2658" s="2" t="str">
        <f>IFERROR(__xludf.DUMMYFUNCTION("""COMPUTED_VALUE"""),"Running")</f>
        <v>Running</v>
      </c>
      <c r="D2658" s="2" t="str">
        <f>IFERROR(__xludf.DUMMYFUNCTION("""COMPUTED_VALUE"""),"Riverbridge Books")</f>
        <v>Riverbridge Books</v>
      </c>
      <c r="E2658" s="2">
        <f>IFERROR(__xludf.DUMMYFUNCTION("""COMPUTED_VALUE"""),2.29)</f>
        <v>2.29</v>
      </c>
      <c r="F2658" s="2"/>
      <c r="G2658" s="2"/>
      <c r="H2658" s="2"/>
      <c r="I2658" s="2"/>
    </row>
    <row r="2659">
      <c r="A2659" s="2">
        <f>IFERROR(__xludf.DUMMYFUNCTION("""COMPUTED_VALUE"""),69117.0)</f>
        <v>69117</v>
      </c>
      <c r="B2659" s="2" t="str">
        <f>IFERROR(__xludf.DUMMYFUNCTION("""COMPUTED_VALUE"""),"History")</f>
        <v>History</v>
      </c>
      <c r="C2659" s="2" t="str">
        <f>IFERROR(__xludf.DUMMYFUNCTION("""COMPUTED_VALUE"""),"Running")</f>
        <v>Running</v>
      </c>
      <c r="D2659" s="2" t="str">
        <f>IFERROR(__xludf.DUMMYFUNCTION("""COMPUTED_VALUE"""),"Riverbridge Books")</f>
        <v>Riverbridge Books</v>
      </c>
      <c r="E2659" s="2">
        <f>IFERROR(__xludf.DUMMYFUNCTION("""COMPUTED_VALUE"""),2.21)</f>
        <v>2.21</v>
      </c>
      <c r="F2659" s="2"/>
      <c r="G2659" s="2"/>
      <c r="H2659" s="2"/>
      <c r="I2659" s="2"/>
    </row>
    <row r="2660">
      <c r="A2660" s="2">
        <f>IFERROR(__xludf.DUMMYFUNCTION("""COMPUTED_VALUE"""),100334.0)</f>
        <v>100334</v>
      </c>
      <c r="B2660" s="2" t="str">
        <f>IFERROR(__xludf.DUMMYFUNCTION("""COMPUTED_VALUE"""),"History")</f>
        <v>History</v>
      </c>
      <c r="C2660" s="2" t="str">
        <f>IFERROR(__xludf.DUMMYFUNCTION("""COMPUTED_VALUE"""),"Running")</f>
        <v>Running</v>
      </c>
      <c r="D2660" s="2" t="str">
        <f>IFERROR(__xludf.DUMMYFUNCTION("""COMPUTED_VALUE"""),"Riverbridge Books")</f>
        <v>Riverbridge Books</v>
      </c>
      <c r="E2660" s="2">
        <f>IFERROR(__xludf.DUMMYFUNCTION("""COMPUTED_VALUE"""),2.56)</f>
        <v>2.56</v>
      </c>
      <c r="F2660" s="2"/>
      <c r="G2660" s="2"/>
      <c r="H2660" s="2"/>
      <c r="I2660" s="2"/>
    </row>
    <row r="2661">
      <c r="A2661" s="2">
        <f>IFERROR(__xludf.DUMMYFUNCTION("""COMPUTED_VALUE"""),69120.0)</f>
        <v>69120</v>
      </c>
      <c r="B2661" s="2" t="str">
        <f>IFERROR(__xludf.DUMMYFUNCTION("""COMPUTED_VALUE"""),"History")</f>
        <v>History</v>
      </c>
      <c r="C2661" s="2" t="str">
        <f>IFERROR(__xludf.DUMMYFUNCTION("""COMPUTED_VALUE"""),"Running")</f>
        <v>Running</v>
      </c>
      <c r="D2661" s="2" t="str">
        <f>IFERROR(__xludf.DUMMYFUNCTION("""COMPUTED_VALUE"""),"Riverbridge Books")</f>
        <v>Riverbridge Books</v>
      </c>
      <c r="E2661" s="2">
        <f>IFERROR(__xludf.DUMMYFUNCTION("""COMPUTED_VALUE"""),1.96)</f>
        <v>1.96</v>
      </c>
      <c r="F2661" s="2"/>
      <c r="G2661" s="2"/>
      <c r="H2661" s="2"/>
      <c r="I2661" s="2"/>
    </row>
    <row r="2662">
      <c r="A2662" s="2">
        <f>IFERROR(__xludf.DUMMYFUNCTION("""COMPUTED_VALUE"""),69119.0)</f>
        <v>69119</v>
      </c>
      <c r="B2662" s="2" t="str">
        <f>IFERROR(__xludf.DUMMYFUNCTION("""COMPUTED_VALUE"""),"History")</f>
        <v>History</v>
      </c>
      <c r="C2662" s="2" t="str">
        <f>IFERROR(__xludf.DUMMYFUNCTION("""COMPUTED_VALUE"""),"Running")</f>
        <v>Running</v>
      </c>
      <c r="D2662" s="2" t="str">
        <f>IFERROR(__xludf.DUMMYFUNCTION("""COMPUTED_VALUE"""),"Riverbridge Books")</f>
        <v>Riverbridge Books</v>
      </c>
      <c r="E2662" s="2">
        <f>IFERROR(__xludf.DUMMYFUNCTION("""COMPUTED_VALUE"""),1.9)</f>
        <v>1.9</v>
      </c>
      <c r="F2662" s="2"/>
      <c r="G2662" s="2"/>
      <c r="H2662" s="2"/>
      <c r="I2662" s="2"/>
    </row>
    <row r="2663">
      <c r="A2663" s="2">
        <f>IFERROR(__xludf.DUMMYFUNCTION("""COMPUTED_VALUE"""),69118.0)</f>
        <v>69118</v>
      </c>
      <c r="B2663" s="2" t="str">
        <f>IFERROR(__xludf.DUMMYFUNCTION("""COMPUTED_VALUE"""),"History")</f>
        <v>History</v>
      </c>
      <c r="C2663" s="2" t="str">
        <f>IFERROR(__xludf.DUMMYFUNCTION("""COMPUTED_VALUE"""),"Running")</f>
        <v>Running</v>
      </c>
      <c r="D2663" s="2" t="str">
        <f>IFERROR(__xludf.DUMMYFUNCTION("""COMPUTED_VALUE"""),"Riverbridge Books")</f>
        <v>Riverbridge Books</v>
      </c>
      <c r="E2663" s="2">
        <f>IFERROR(__xludf.DUMMYFUNCTION("""COMPUTED_VALUE"""),2.19)</f>
        <v>2.19</v>
      </c>
      <c r="F2663" s="2"/>
      <c r="G2663" s="2"/>
      <c r="H2663" s="2"/>
      <c r="I2663" s="2"/>
    </row>
    <row r="2664">
      <c r="A2664" s="2">
        <f>IFERROR(__xludf.DUMMYFUNCTION("""COMPUTED_VALUE"""),80044.0)</f>
        <v>80044</v>
      </c>
      <c r="B2664" s="2" t="str">
        <f>IFERROR(__xludf.DUMMYFUNCTION("""COMPUTED_VALUE"""),"History")</f>
        <v>History</v>
      </c>
      <c r="C2664" s="2" t="str">
        <f>IFERROR(__xludf.DUMMYFUNCTION("""COMPUTED_VALUE"""),"Running")</f>
        <v>Running</v>
      </c>
      <c r="D2664" s="2" t="str">
        <f>IFERROR(__xludf.DUMMYFUNCTION("""COMPUTED_VALUE"""),"Riverbridge Books")</f>
        <v>Riverbridge Books</v>
      </c>
      <c r="E2664" s="2">
        <f>IFERROR(__xludf.DUMMYFUNCTION("""COMPUTED_VALUE"""),2.48)</f>
        <v>2.48</v>
      </c>
      <c r="F2664" s="2"/>
      <c r="G2664" s="2"/>
      <c r="H2664" s="2"/>
      <c r="I2664" s="2"/>
    </row>
    <row r="2665">
      <c r="A2665" s="2">
        <f>IFERROR(__xludf.DUMMYFUNCTION("""COMPUTED_VALUE"""),23556.0)</f>
        <v>23556</v>
      </c>
      <c r="B2665" s="2" t="str">
        <f>IFERROR(__xludf.DUMMYFUNCTION("""COMPUTED_VALUE"""),"History")</f>
        <v>History</v>
      </c>
      <c r="C2665" s="2" t="str">
        <f>IFERROR(__xludf.DUMMYFUNCTION("""COMPUTED_VALUE"""),"Running")</f>
        <v>Running</v>
      </c>
      <c r="D2665" s="2" t="str">
        <f>IFERROR(__xludf.DUMMYFUNCTION("""COMPUTED_VALUE"""),"Riverbridge Books")</f>
        <v>Riverbridge Books</v>
      </c>
      <c r="E2665" s="2">
        <f>IFERROR(__xludf.DUMMYFUNCTION("""COMPUTED_VALUE"""),2.53)</f>
        <v>2.53</v>
      </c>
      <c r="F2665" s="2"/>
      <c r="G2665" s="2"/>
      <c r="H2665" s="2"/>
      <c r="I2665" s="2"/>
    </row>
    <row r="2666">
      <c r="A2666" s="2">
        <f>IFERROR(__xludf.DUMMYFUNCTION("""COMPUTED_VALUE"""),69114.0)</f>
        <v>69114</v>
      </c>
      <c r="B2666" s="2" t="str">
        <f>IFERROR(__xludf.DUMMYFUNCTION("""COMPUTED_VALUE"""),"History")</f>
        <v>History</v>
      </c>
      <c r="C2666" s="2" t="str">
        <f>IFERROR(__xludf.DUMMYFUNCTION("""COMPUTED_VALUE"""),"Running")</f>
        <v>Running</v>
      </c>
      <c r="D2666" s="2" t="str">
        <f>IFERROR(__xludf.DUMMYFUNCTION("""COMPUTED_VALUE"""),"Riverbridge Books")</f>
        <v>Riverbridge Books</v>
      </c>
      <c r="E2666" s="2">
        <f>IFERROR(__xludf.DUMMYFUNCTION("""COMPUTED_VALUE"""),2.18)</f>
        <v>2.18</v>
      </c>
      <c r="F2666" s="2"/>
      <c r="G2666" s="2"/>
      <c r="H2666" s="2"/>
      <c r="I2666" s="2"/>
    </row>
    <row r="2667">
      <c r="A2667" s="2">
        <f>IFERROR(__xludf.DUMMYFUNCTION("""COMPUTED_VALUE"""),79778.0)</f>
        <v>79778</v>
      </c>
      <c r="B2667" s="2" t="str">
        <f>IFERROR(__xludf.DUMMYFUNCTION("""COMPUTED_VALUE"""),"History")</f>
        <v>History</v>
      </c>
      <c r="C2667" s="2" t="str">
        <f>IFERROR(__xludf.DUMMYFUNCTION("""COMPUTED_VALUE"""),"Running")</f>
        <v>Running</v>
      </c>
      <c r="D2667" s="2" t="str">
        <f>IFERROR(__xludf.DUMMYFUNCTION("""COMPUTED_VALUE"""),"Riverbridge Books")</f>
        <v>Riverbridge Books</v>
      </c>
      <c r="E2667" s="2">
        <f>IFERROR(__xludf.DUMMYFUNCTION("""COMPUTED_VALUE"""),2.59)</f>
        <v>2.59</v>
      </c>
      <c r="F2667" s="2"/>
      <c r="G2667" s="2"/>
      <c r="H2667" s="2"/>
      <c r="I2667" s="2"/>
    </row>
    <row r="2668">
      <c r="A2668" s="2">
        <f>IFERROR(__xludf.DUMMYFUNCTION("""COMPUTED_VALUE"""),100323.0)</f>
        <v>100323</v>
      </c>
      <c r="B2668" s="2" t="str">
        <f>IFERROR(__xludf.DUMMYFUNCTION("""COMPUTED_VALUE"""),"History")</f>
        <v>History</v>
      </c>
      <c r="C2668" s="2" t="str">
        <f>IFERROR(__xludf.DUMMYFUNCTION("""COMPUTED_VALUE"""),"Running")</f>
        <v>Running</v>
      </c>
      <c r="D2668" s="2" t="str">
        <f>IFERROR(__xludf.DUMMYFUNCTION("""COMPUTED_VALUE"""),"Riverbridge Books")</f>
        <v>Riverbridge Books</v>
      </c>
      <c r="E2668" s="2">
        <f>IFERROR(__xludf.DUMMYFUNCTION("""COMPUTED_VALUE"""),2.41)</f>
        <v>2.41</v>
      </c>
      <c r="F2668" s="2"/>
      <c r="G2668" s="2"/>
      <c r="H2668" s="2"/>
      <c r="I2668" s="2"/>
    </row>
    <row r="2669">
      <c r="A2669" s="2">
        <f>IFERROR(__xludf.DUMMYFUNCTION("""COMPUTED_VALUE"""),69116.0)</f>
        <v>69116</v>
      </c>
      <c r="B2669" s="2" t="str">
        <f>IFERROR(__xludf.DUMMYFUNCTION("""COMPUTED_VALUE"""),"History")</f>
        <v>History</v>
      </c>
      <c r="C2669" s="2" t="str">
        <f>IFERROR(__xludf.DUMMYFUNCTION("""COMPUTED_VALUE"""),"Running")</f>
        <v>Running</v>
      </c>
      <c r="D2669" s="2" t="str">
        <f>IFERROR(__xludf.DUMMYFUNCTION("""COMPUTED_VALUE"""),"Riverbridge Books")</f>
        <v>Riverbridge Books</v>
      </c>
      <c r="E2669" s="2">
        <f>IFERROR(__xludf.DUMMYFUNCTION("""COMPUTED_VALUE"""),2.06)</f>
        <v>2.06</v>
      </c>
      <c r="F2669" s="2"/>
      <c r="G2669" s="2"/>
      <c r="H2669" s="2"/>
      <c r="I2669" s="2"/>
    </row>
    <row r="2670">
      <c r="A2670" s="2">
        <f>IFERROR(__xludf.DUMMYFUNCTION("""COMPUTED_VALUE"""),68938.0)</f>
        <v>68938</v>
      </c>
      <c r="B2670" s="2" t="str">
        <f>IFERROR(__xludf.DUMMYFUNCTION("""COMPUTED_VALUE"""),"History")</f>
        <v>History</v>
      </c>
      <c r="C2670" s="2" t="str">
        <f>IFERROR(__xludf.DUMMYFUNCTION("""COMPUTED_VALUE"""),"Running")</f>
        <v>Running</v>
      </c>
      <c r="D2670" s="2" t="str">
        <f>IFERROR(__xludf.DUMMYFUNCTION("""COMPUTED_VALUE"""),"Riverbridge Books")</f>
        <v>Riverbridge Books</v>
      </c>
      <c r="E2670" s="2">
        <f>IFERROR(__xludf.DUMMYFUNCTION("""COMPUTED_VALUE"""),2.28)</f>
        <v>2.28</v>
      </c>
      <c r="F2670" s="2"/>
      <c r="G2670" s="2"/>
      <c r="H2670" s="2"/>
      <c r="I2670" s="2"/>
    </row>
    <row r="2671">
      <c r="A2671" s="2">
        <f>IFERROR(__xludf.DUMMYFUNCTION("""COMPUTED_VALUE"""),121987.0)</f>
        <v>121987</v>
      </c>
      <c r="B2671" s="2" t="str">
        <f>IFERROR(__xludf.DUMMYFUNCTION("""COMPUTED_VALUE"""),"History")</f>
        <v>History</v>
      </c>
      <c r="C2671" s="2" t="str">
        <f>IFERROR(__xludf.DUMMYFUNCTION("""COMPUTED_VALUE"""),"Running")</f>
        <v>Running</v>
      </c>
      <c r="D2671" s="2" t="str">
        <f>IFERROR(__xludf.DUMMYFUNCTION("""COMPUTED_VALUE"""),"Riverbridge Books")</f>
        <v>Riverbridge Books</v>
      </c>
      <c r="E2671" s="2">
        <f>IFERROR(__xludf.DUMMYFUNCTION("""COMPUTED_VALUE"""),1.8)</f>
        <v>1.8</v>
      </c>
      <c r="F2671" s="2"/>
      <c r="G2671" s="2"/>
      <c r="H2671" s="2"/>
      <c r="I2671" s="2"/>
    </row>
    <row r="2672">
      <c r="A2672" s="2">
        <f>IFERROR(__xludf.DUMMYFUNCTION("""COMPUTED_VALUE"""),69113.0)</f>
        <v>69113</v>
      </c>
      <c r="B2672" s="2" t="str">
        <f>IFERROR(__xludf.DUMMYFUNCTION("""COMPUTED_VALUE"""),"History")</f>
        <v>History</v>
      </c>
      <c r="C2672" s="2" t="str">
        <f>IFERROR(__xludf.DUMMYFUNCTION("""COMPUTED_VALUE"""),"Running")</f>
        <v>Running</v>
      </c>
      <c r="D2672" s="2" t="str">
        <f>IFERROR(__xludf.DUMMYFUNCTION("""COMPUTED_VALUE"""),"Riverbridge Books")</f>
        <v>Riverbridge Books</v>
      </c>
      <c r="E2672" s="2">
        <f>IFERROR(__xludf.DUMMYFUNCTION("""COMPUTED_VALUE"""),2.21)</f>
        <v>2.21</v>
      </c>
      <c r="F2672" s="2"/>
      <c r="G2672" s="2"/>
      <c r="H2672" s="2"/>
      <c r="I2672" s="2"/>
    </row>
    <row r="2673">
      <c r="A2673" s="2">
        <f>IFERROR(__xludf.DUMMYFUNCTION("""COMPUTED_VALUE"""),80053.0)</f>
        <v>80053</v>
      </c>
      <c r="B2673" s="2" t="str">
        <f>IFERROR(__xludf.DUMMYFUNCTION("""COMPUTED_VALUE"""),"History")</f>
        <v>History</v>
      </c>
      <c r="C2673" s="2" t="str">
        <f>IFERROR(__xludf.DUMMYFUNCTION("""COMPUTED_VALUE"""),"Running")</f>
        <v>Running</v>
      </c>
      <c r="D2673" s="2" t="str">
        <f>IFERROR(__xludf.DUMMYFUNCTION("""COMPUTED_VALUE"""),"Riverbridge Books")</f>
        <v>Riverbridge Books</v>
      </c>
      <c r="E2673" s="2">
        <f>IFERROR(__xludf.DUMMYFUNCTION("""COMPUTED_VALUE"""),2.62)</f>
        <v>2.62</v>
      </c>
      <c r="F2673" s="2"/>
      <c r="G2673" s="2"/>
      <c r="H2673" s="2"/>
      <c r="I2673" s="2"/>
    </row>
    <row r="2674">
      <c r="A2674" s="2">
        <f>IFERROR(__xludf.DUMMYFUNCTION("""COMPUTED_VALUE"""),121986.0)</f>
        <v>121986</v>
      </c>
      <c r="B2674" s="2" t="str">
        <f>IFERROR(__xludf.DUMMYFUNCTION("""COMPUTED_VALUE"""),"History")</f>
        <v>History</v>
      </c>
      <c r="C2674" s="2" t="str">
        <f>IFERROR(__xludf.DUMMYFUNCTION("""COMPUTED_VALUE"""),"Running")</f>
        <v>Running</v>
      </c>
      <c r="D2674" s="2" t="str">
        <f>IFERROR(__xludf.DUMMYFUNCTION("""COMPUTED_VALUE"""),"Riverbridge Books")</f>
        <v>Riverbridge Books</v>
      </c>
      <c r="E2674" s="2">
        <f>IFERROR(__xludf.DUMMYFUNCTION("""COMPUTED_VALUE"""),2.08)</f>
        <v>2.08</v>
      </c>
      <c r="F2674" s="2"/>
      <c r="G2674" s="2"/>
      <c r="H2674" s="2"/>
      <c r="I2674" s="2"/>
    </row>
    <row r="2675">
      <c r="A2675" s="2">
        <f>IFERROR(__xludf.DUMMYFUNCTION("""COMPUTED_VALUE"""),121988.0)</f>
        <v>121988</v>
      </c>
      <c r="B2675" s="2" t="str">
        <f>IFERROR(__xludf.DUMMYFUNCTION("""COMPUTED_VALUE"""),"History")</f>
        <v>History</v>
      </c>
      <c r="C2675" s="2" t="str">
        <f>IFERROR(__xludf.DUMMYFUNCTION("""COMPUTED_VALUE"""),"Running")</f>
        <v>Running</v>
      </c>
      <c r="D2675" s="2" t="str">
        <f>IFERROR(__xludf.DUMMYFUNCTION("""COMPUTED_VALUE"""),"Riverbridge Books")</f>
        <v>Riverbridge Books</v>
      </c>
      <c r="E2675" s="2">
        <f>IFERROR(__xludf.DUMMYFUNCTION("""COMPUTED_VALUE"""),2.0)</f>
        <v>2</v>
      </c>
      <c r="F2675" s="2"/>
      <c r="G2675" s="2"/>
      <c r="H2675" s="2"/>
      <c r="I2675" s="2"/>
    </row>
    <row r="2676">
      <c r="A2676" s="2">
        <f>IFERROR(__xludf.DUMMYFUNCTION("""COMPUTED_VALUE"""),121990.0)</f>
        <v>121990</v>
      </c>
      <c r="B2676" s="2" t="str">
        <f>IFERROR(__xludf.DUMMYFUNCTION("""COMPUTED_VALUE"""),"History")</f>
        <v>History</v>
      </c>
      <c r="C2676" s="2" t="str">
        <f>IFERROR(__xludf.DUMMYFUNCTION("""COMPUTED_VALUE"""),"Running")</f>
        <v>Running</v>
      </c>
      <c r="D2676" s="2" t="str">
        <f>IFERROR(__xludf.DUMMYFUNCTION("""COMPUTED_VALUE"""),"Riverbridge Books")</f>
        <v>Riverbridge Books</v>
      </c>
      <c r="E2676" s="2">
        <f>IFERROR(__xludf.DUMMYFUNCTION("""COMPUTED_VALUE"""),1.94)</f>
        <v>1.94</v>
      </c>
      <c r="F2676" s="2"/>
      <c r="G2676" s="2"/>
      <c r="H2676" s="2"/>
      <c r="I2676" s="2"/>
    </row>
    <row r="2677">
      <c r="A2677" s="2">
        <f>IFERROR(__xludf.DUMMYFUNCTION("""COMPUTED_VALUE"""),68941.0)</f>
        <v>68941</v>
      </c>
      <c r="B2677" s="2" t="str">
        <f>IFERROR(__xludf.DUMMYFUNCTION("""COMPUTED_VALUE"""),"History")</f>
        <v>History</v>
      </c>
      <c r="C2677" s="2" t="str">
        <f>IFERROR(__xludf.DUMMYFUNCTION("""COMPUTED_VALUE"""),"Running")</f>
        <v>Running</v>
      </c>
      <c r="D2677" s="2" t="str">
        <f>IFERROR(__xludf.DUMMYFUNCTION("""COMPUTED_VALUE"""),"Riverbridge Books")</f>
        <v>Riverbridge Books</v>
      </c>
      <c r="E2677" s="2">
        <f>IFERROR(__xludf.DUMMYFUNCTION("""COMPUTED_VALUE"""),1.81)</f>
        <v>1.81</v>
      </c>
      <c r="F2677" s="2"/>
      <c r="G2677" s="2"/>
      <c r="H2677" s="2"/>
      <c r="I2677" s="2"/>
    </row>
    <row r="2678">
      <c r="A2678" s="2">
        <f>IFERROR(__xludf.DUMMYFUNCTION("""COMPUTED_VALUE"""),69122.0)</f>
        <v>69122</v>
      </c>
      <c r="B2678" s="2" t="str">
        <f>IFERROR(__xludf.DUMMYFUNCTION("""COMPUTED_VALUE"""),"History")</f>
        <v>History</v>
      </c>
      <c r="C2678" s="2" t="str">
        <f>IFERROR(__xludf.DUMMYFUNCTION("""COMPUTED_VALUE"""),"Running")</f>
        <v>Running</v>
      </c>
      <c r="D2678" s="2" t="str">
        <f>IFERROR(__xludf.DUMMYFUNCTION("""COMPUTED_VALUE"""),"Riverbridge Books")</f>
        <v>Riverbridge Books</v>
      </c>
      <c r="E2678" s="2">
        <f>IFERROR(__xludf.DUMMYFUNCTION("""COMPUTED_VALUE"""),1.78)</f>
        <v>1.78</v>
      </c>
      <c r="F2678" s="2"/>
      <c r="G2678" s="2"/>
      <c r="H2678" s="2"/>
      <c r="I2678" s="2"/>
    </row>
    <row r="2679">
      <c r="A2679" s="2">
        <f>IFERROR(__xludf.DUMMYFUNCTION("""COMPUTED_VALUE"""),80049.0)</f>
        <v>80049</v>
      </c>
      <c r="B2679" s="2" t="str">
        <f>IFERROR(__xludf.DUMMYFUNCTION("""COMPUTED_VALUE"""),"History")</f>
        <v>History</v>
      </c>
      <c r="C2679" s="2" t="str">
        <f>IFERROR(__xludf.DUMMYFUNCTION("""COMPUTED_VALUE"""),"Running")</f>
        <v>Running</v>
      </c>
      <c r="D2679" s="2" t="str">
        <f>IFERROR(__xludf.DUMMYFUNCTION("""COMPUTED_VALUE"""),"Riverbridge Books")</f>
        <v>Riverbridge Books</v>
      </c>
      <c r="E2679" s="2">
        <f>IFERROR(__xludf.DUMMYFUNCTION("""COMPUTED_VALUE"""),2.38)</f>
        <v>2.38</v>
      </c>
      <c r="F2679" s="2"/>
      <c r="G2679" s="2"/>
      <c r="H2679" s="2"/>
      <c r="I2679" s="2"/>
    </row>
    <row r="2680">
      <c r="A2680" s="2">
        <f>IFERROR(__xludf.DUMMYFUNCTION("""COMPUTED_VALUE"""),121971.0)</f>
        <v>121971</v>
      </c>
      <c r="B2680" s="2" t="str">
        <f>IFERROR(__xludf.DUMMYFUNCTION("""COMPUTED_VALUE"""),"History")</f>
        <v>History</v>
      </c>
      <c r="C2680" s="2" t="str">
        <f>IFERROR(__xludf.DUMMYFUNCTION("""COMPUTED_VALUE"""),"Running")</f>
        <v>Running</v>
      </c>
      <c r="D2680" s="2" t="str">
        <f>IFERROR(__xludf.DUMMYFUNCTION("""COMPUTED_VALUE"""),"Riverbridge Books")</f>
        <v>Riverbridge Books</v>
      </c>
      <c r="E2680" s="2">
        <f>IFERROR(__xludf.DUMMYFUNCTION("""COMPUTED_VALUE"""),3.31)</f>
        <v>3.31</v>
      </c>
      <c r="F2680" s="2"/>
      <c r="G2680" s="2"/>
      <c r="H2680" s="2"/>
      <c r="I2680" s="2"/>
    </row>
    <row r="2681">
      <c r="A2681" s="2">
        <f>IFERROR(__xludf.DUMMYFUNCTION("""COMPUTED_VALUE"""),68945.0)</f>
        <v>68945</v>
      </c>
      <c r="B2681" s="2" t="str">
        <f>IFERROR(__xludf.DUMMYFUNCTION("""COMPUTED_VALUE"""),"History")</f>
        <v>History</v>
      </c>
      <c r="C2681" s="2" t="str">
        <f>IFERROR(__xludf.DUMMYFUNCTION("""COMPUTED_VALUE"""),"Running")</f>
        <v>Running</v>
      </c>
      <c r="D2681" s="2" t="str">
        <f>IFERROR(__xludf.DUMMYFUNCTION("""COMPUTED_VALUE"""),"Riverbridge Books")</f>
        <v>Riverbridge Books</v>
      </c>
      <c r="E2681" s="2">
        <f>IFERROR(__xludf.DUMMYFUNCTION("""COMPUTED_VALUE"""),2.14)</f>
        <v>2.14</v>
      </c>
      <c r="F2681" s="2"/>
      <c r="G2681" s="2"/>
      <c r="H2681" s="2"/>
      <c r="I2681" s="2"/>
    </row>
    <row r="2682">
      <c r="A2682" s="2">
        <f>IFERROR(__xludf.DUMMYFUNCTION("""COMPUTED_VALUE"""),79780.0)</f>
        <v>79780</v>
      </c>
      <c r="B2682" s="2" t="str">
        <f>IFERROR(__xludf.DUMMYFUNCTION("""COMPUTED_VALUE"""),"History")</f>
        <v>History</v>
      </c>
      <c r="C2682" s="2" t="str">
        <f>IFERROR(__xludf.DUMMYFUNCTION("""COMPUTED_VALUE"""),"Running")</f>
        <v>Running</v>
      </c>
      <c r="D2682" s="2" t="str">
        <f>IFERROR(__xludf.DUMMYFUNCTION("""COMPUTED_VALUE"""),"Riverbridge Books")</f>
        <v>Riverbridge Books</v>
      </c>
      <c r="E2682" s="2">
        <f>IFERROR(__xludf.DUMMYFUNCTION("""COMPUTED_VALUE"""),2.24)</f>
        <v>2.24</v>
      </c>
      <c r="F2682" s="2"/>
      <c r="G2682" s="2"/>
      <c r="H2682" s="2"/>
      <c r="I2682" s="2"/>
    </row>
    <row r="2683">
      <c r="A2683" s="2">
        <f>IFERROR(__xludf.DUMMYFUNCTION("""COMPUTED_VALUE"""),80056.0)</f>
        <v>80056</v>
      </c>
      <c r="B2683" s="2" t="str">
        <f>IFERROR(__xludf.DUMMYFUNCTION("""COMPUTED_VALUE"""),"History")</f>
        <v>History</v>
      </c>
      <c r="C2683" s="2" t="str">
        <f>IFERROR(__xludf.DUMMYFUNCTION("""COMPUTED_VALUE"""),"Running")</f>
        <v>Running</v>
      </c>
      <c r="D2683" s="2" t="str">
        <f>IFERROR(__xludf.DUMMYFUNCTION("""COMPUTED_VALUE"""),"Riverbridge Books")</f>
        <v>Riverbridge Books</v>
      </c>
      <c r="E2683" s="2">
        <f>IFERROR(__xludf.DUMMYFUNCTION("""COMPUTED_VALUE"""),2.52)</f>
        <v>2.52</v>
      </c>
      <c r="F2683" s="2"/>
      <c r="G2683" s="2"/>
      <c r="H2683" s="2"/>
      <c r="I2683" s="2"/>
    </row>
    <row r="2684">
      <c r="A2684" s="2">
        <f>IFERROR(__xludf.DUMMYFUNCTION("""COMPUTED_VALUE"""),80040.0)</f>
        <v>80040</v>
      </c>
      <c r="B2684" s="2" t="str">
        <f>IFERROR(__xludf.DUMMYFUNCTION("""COMPUTED_VALUE"""),"History")</f>
        <v>History</v>
      </c>
      <c r="C2684" s="2" t="str">
        <f>IFERROR(__xludf.DUMMYFUNCTION("""COMPUTED_VALUE"""),"Running")</f>
        <v>Running</v>
      </c>
      <c r="D2684" s="2" t="str">
        <f>IFERROR(__xludf.DUMMYFUNCTION("""COMPUTED_VALUE"""),"Riverbridge Books")</f>
        <v>Riverbridge Books</v>
      </c>
      <c r="E2684" s="2">
        <f>IFERROR(__xludf.DUMMYFUNCTION("""COMPUTED_VALUE"""),2.4)</f>
        <v>2.4</v>
      </c>
      <c r="F2684" s="2"/>
      <c r="G2684" s="2"/>
      <c r="H2684" s="2"/>
      <c r="I2684" s="2"/>
    </row>
    <row r="2685">
      <c r="A2685" s="2">
        <f>IFERROR(__xludf.DUMMYFUNCTION("""COMPUTED_VALUE"""),114480.0)</f>
        <v>114480</v>
      </c>
      <c r="B2685" s="2" t="str">
        <f>IFERROR(__xludf.DUMMYFUNCTION("""COMPUTED_VALUE"""),"History")</f>
        <v>History</v>
      </c>
      <c r="C2685" s="2" t="str">
        <f>IFERROR(__xludf.DUMMYFUNCTION("""COMPUTED_VALUE"""),"Running")</f>
        <v>Running</v>
      </c>
      <c r="D2685" s="2" t="str">
        <f>IFERROR(__xludf.DUMMYFUNCTION("""COMPUTED_VALUE"""),"Riverbridge Books")</f>
        <v>Riverbridge Books</v>
      </c>
      <c r="E2685" s="2">
        <f>IFERROR(__xludf.DUMMYFUNCTION("""COMPUTED_VALUE"""),3.06)</f>
        <v>3.06</v>
      </c>
      <c r="F2685" s="2"/>
      <c r="G2685" s="2"/>
      <c r="H2685" s="2"/>
      <c r="I2685" s="2"/>
    </row>
    <row r="2686">
      <c r="A2686" s="2">
        <f>IFERROR(__xludf.DUMMYFUNCTION("""COMPUTED_VALUE"""),111922.0)</f>
        <v>111922</v>
      </c>
      <c r="B2686" s="2" t="str">
        <f>IFERROR(__xludf.DUMMYFUNCTION("""COMPUTED_VALUE"""),"History")</f>
        <v>History</v>
      </c>
      <c r="C2686" s="2" t="str">
        <f>IFERROR(__xludf.DUMMYFUNCTION("""COMPUTED_VALUE"""),"Running")</f>
        <v>Running</v>
      </c>
      <c r="D2686" s="2" t="str">
        <f>IFERROR(__xludf.DUMMYFUNCTION("""COMPUTED_VALUE"""),"Riverbridge Books")</f>
        <v>Riverbridge Books</v>
      </c>
      <c r="E2686" s="2">
        <f>IFERROR(__xludf.DUMMYFUNCTION("""COMPUTED_VALUE"""),2.56)</f>
        <v>2.56</v>
      </c>
      <c r="F2686" s="2"/>
      <c r="G2686" s="2"/>
      <c r="H2686" s="2"/>
      <c r="I2686" s="2"/>
    </row>
    <row r="2687">
      <c r="A2687" s="2">
        <f>IFERROR(__xludf.DUMMYFUNCTION("""COMPUTED_VALUE"""),111924.0)</f>
        <v>111924</v>
      </c>
      <c r="B2687" s="2" t="str">
        <f>IFERROR(__xludf.DUMMYFUNCTION("""COMPUTED_VALUE"""),"History")</f>
        <v>History</v>
      </c>
      <c r="C2687" s="2" t="str">
        <f>IFERROR(__xludf.DUMMYFUNCTION("""COMPUTED_VALUE"""),"Running")</f>
        <v>Running</v>
      </c>
      <c r="D2687" s="2" t="str">
        <f>IFERROR(__xludf.DUMMYFUNCTION("""COMPUTED_VALUE"""),"Riverbridge Books")</f>
        <v>Riverbridge Books</v>
      </c>
      <c r="E2687" s="2">
        <f>IFERROR(__xludf.DUMMYFUNCTION("""COMPUTED_VALUE"""),2.48)</f>
        <v>2.48</v>
      </c>
      <c r="F2687" s="2"/>
      <c r="G2687" s="2"/>
      <c r="H2687" s="2"/>
      <c r="I2687" s="2"/>
    </row>
    <row r="2688">
      <c r="A2688" s="2">
        <f>IFERROR(__xludf.DUMMYFUNCTION("""COMPUTED_VALUE"""),80047.0)</f>
        <v>80047</v>
      </c>
      <c r="B2688" s="2" t="str">
        <f>IFERROR(__xludf.DUMMYFUNCTION("""COMPUTED_VALUE"""),"History")</f>
        <v>History</v>
      </c>
      <c r="C2688" s="2" t="str">
        <f>IFERROR(__xludf.DUMMYFUNCTION("""COMPUTED_VALUE"""),"Running")</f>
        <v>Running</v>
      </c>
      <c r="D2688" s="2" t="str">
        <f>IFERROR(__xludf.DUMMYFUNCTION("""COMPUTED_VALUE"""),"Riverbridge Books")</f>
        <v>Riverbridge Books</v>
      </c>
      <c r="E2688" s="2">
        <f>IFERROR(__xludf.DUMMYFUNCTION("""COMPUTED_VALUE"""),2.34)</f>
        <v>2.34</v>
      </c>
      <c r="F2688" s="2"/>
      <c r="G2688" s="2"/>
      <c r="H2688" s="2"/>
      <c r="I2688" s="2"/>
    </row>
    <row r="2689">
      <c r="A2689" s="2">
        <f>IFERROR(__xludf.DUMMYFUNCTION("""COMPUTED_VALUE"""),69121.0)</f>
        <v>69121</v>
      </c>
      <c r="B2689" s="2" t="str">
        <f>IFERROR(__xludf.DUMMYFUNCTION("""COMPUTED_VALUE"""),"History")</f>
        <v>History</v>
      </c>
      <c r="C2689" s="2" t="str">
        <f>IFERROR(__xludf.DUMMYFUNCTION("""COMPUTED_VALUE"""),"Running")</f>
        <v>Running</v>
      </c>
      <c r="D2689" s="2" t="str">
        <f>IFERROR(__xludf.DUMMYFUNCTION("""COMPUTED_VALUE"""),"Riverbridge Books")</f>
        <v>Riverbridge Books</v>
      </c>
      <c r="E2689" s="2">
        <f>IFERROR(__xludf.DUMMYFUNCTION("""COMPUTED_VALUE"""),1.9)</f>
        <v>1.9</v>
      </c>
      <c r="F2689" s="2"/>
      <c r="G2689" s="2"/>
      <c r="H2689" s="2"/>
      <c r="I2689" s="2"/>
    </row>
    <row r="2690">
      <c r="A2690" s="2">
        <f>IFERROR(__xludf.DUMMYFUNCTION("""COMPUTED_VALUE"""),68939.0)</f>
        <v>68939</v>
      </c>
      <c r="B2690" s="2" t="str">
        <f>IFERROR(__xludf.DUMMYFUNCTION("""COMPUTED_VALUE"""),"History")</f>
        <v>History</v>
      </c>
      <c r="C2690" s="2" t="str">
        <f>IFERROR(__xludf.DUMMYFUNCTION("""COMPUTED_VALUE"""),"Running")</f>
        <v>Running</v>
      </c>
      <c r="D2690" s="2" t="str">
        <f>IFERROR(__xludf.DUMMYFUNCTION("""COMPUTED_VALUE"""),"Riverbridge Books")</f>
        <v>Riverbridge Books</v>
      </c>
      <c r="E2690" s="2">
        <f>IFERROR(__xludf.DUMMYFUNCTION("""COMPUTED_VALUE"""),1.86)</f>
        <v>1.86</v>
      </c>
      <c r="F2690" s="2"/>
      <c r="G2690" s="2"/>
      <c r="H2690" s="2"/>
      <c r="I2690" s="2"/>
    </row>
    <row r="2691">
      <c r="A2691" s="2">
        <f>IFERROR(__xludf.DUMMYFUNCTION("""COMPUTED_VALUE"""),69124.0)</f>
        <v>69124</v>
      </c>
      <c r="B2691" s="2" t="str">
        <f>IFERROR(__xludf.DUMMYFUNCTION("""COMPUTED_VALUE"""),"History")</f>
        <v>History</v>
      </c>
      <c r="C2691" s="2" t="str">
        <f>IFERROR(__xludf.DUMMYFUNCTION("""COMPUTED_VALUE"""),"Running")</f>
        <v>Running</v>
      </c>
      <c r="D2691" s="2" t="str">
        <f>IFERROR(__xludf.DUMMYFUNCTION("""COMPUTED_VALUE"""),"Riverbridge Books")</f>
        <v>Riverbridge Books</v>
      </c>
      <c r="E2691" s="2">
        <f>IFERROR(__xludf.DUMMYFUNCTION("""COMPUTED_VALUE"""),1.85)</f>
        <v>1.85</v>
      </c>
      <c r="F2691" s="2"/>
      <c r="G2691" s="2"/>
      <c r="H2691" s="2"/>
      <c r="I2691" s="2"/>
    </row>
    <row r="2692">
      <c r="A2692" s="2">
        <f>IFERROR(__xludf.DUMMYFUNCTION("""COMPUTED_VALUE"""),23552.0)</f>
        <v>23552</v>
      </c>
      <c r="B2692" s="2" t="str">
        <f>IFERROR(__xludf.DUMMYFUNCTION("""COMPUTED_VALUE"""),"History")</f>
        <v>History</v>
      </c>
      <c r="C2692" s="2" t="str">
        <f>IFERROR(__xludf.DUMMYFUNCTION("""COMPUTED_VALUE"""),"Running")</f>
        <v>Running</v>
      </c>
      <c r="D2692" s="2" t="str">
        <f>IFERROR(__xludf.DUMMYFUNCTION("""COMPUTED_VALUE"""),"Riverbridge Books")</f>
        <v>Riverbridge Books</v>
      </c>
      <c r="E2692" s="2">
        <f>IFERROR(__xludf.DUMMYFUNCTION("""COMPUTED_VALUE"""),2.54)</f>
        <v>2.54</v>
      </c>
      <c r="F2692" s="2"/>
      <c r="G2692" s="2"/>
      <c r="H2692" s="2"/>
      <c r="I2692" s="2"/>
    </row>
    <row r="2693">
      <c r="A2693" s="2">
        <f>IFERROR(__xludf.DUMMYFUNCTION("""COMPUTED_VALUE"""),68943.0)</f>
        <v>68943</v>
      </c>
      <c r="B2693" s="2" t="str">
        <f>IFERROR(__xludf.DUMMYFUNCTION("""COMPUTED_VALUE"""),"History")</f>
        <v>History</v>
      </c>
      <c r="C2693" s="2" t="str">
        <f>IFERROR(__xludf.DUMMYFUNCTION("""COMPUTED_VALUE"""),"Running")</f>
        <v>Running</v>
      </c>
      <c r="D2693" s="2" t="str">
        <f>IFERROR(__xludf.DUMMYFUNCTION("""COMPUTED_VALUE"""),"Riverbridge Books")</f>
        <v>Riverbridge Books</v>
      </c>
      <c r="E2693" s="2">
        <f>IFERROR(__xludf.DUMMYFUNCTION("""COMPUTED_VALUE"""),2.14)</f>
        <v>2.14</v>
      </c>
      <c r="F2693" s="2"/>
      <c r="G2693" s="2"/>
      <c r="H2693" s="2"/>
      <c r="I2693" s="2"/>
    </row>
    <row r="2694">
      <c r="A2694" s="2">
        <f>IFERROR(__xludf.DUMMYFUNCTION("""COMPUTED_VALUE"""),69115.0)</f>
        <v>69115</v>
      </c>
      <c r="B2694" s="2" t="str">
        <f>IFERROR(__xludf.DUMMYFUNCTION("""COMPUTED_VALUE"""),"History")</f>
        <v>History</v>
      </c>
      <c r="C2694" s="2" t="str">
        <f>IFERROR(__xludf.DUMMYFUNCTION("""COMPUTED_VALUE"""),"Running")</f>
        <v>Running</v>
      </c>
      <c r="D2694" s="2" t="str">
        <f>IFERROR(__xludf.DUMMYFUNCTION("""COMPUTED_VALUE"""),"Riverbridge Books")</f>
        <v>Riverbridge Books</v>
      </c>
      <c r="E2694" s="2">
        <f>IFERROR(__xludf.DUMMYFUNCTION("""COMPUTED_VALUE"""),2.21)</f>
        <v>2.21</v>
      </c>
      <c r="F2694" s="2"/>
      <c r="G2694" s="2"/>
      <c r="H2694" s="2"/>
      <c r="I2694" s="2"/>
    </row>
    <row r="2695">
      <c r="A2695" s="2">
        <f>IFERROR(__xludf.DUMMYFUNCTION("""COMPUTED_VALUE"""),81122.0)</f>
        <v>81122</v>
      </c>
      <c r="B2695" s="2" t="str">
        <f>IFERROR(__xludf.DUMMYFUNCTION("""COMPUTED_VALUE"""),"History")</f>
        <v>History</v>
      </c>
      <c r="C2695" s="2" t="str">
        <f>IFERROR(__xludf.DUMMYFUNCTION("""COMPUTED_VALUE"""),"Running")</f>
        <v>Running</v>
      </c>
      <c r="D2695" s="2" t="str">
        <f>IFERROR(__xludf.DUMMYFUNCTION("""COMPUTED_VALUE"""),"Ironbridge Press")</f>
        <v>Ironbridge Press</v>
      </c>
      <c r="E2695" s="2">
        <f>IFERROR(__xludf.DUMMYFUNCTION("""COMPUTED_VALUE"""),2.08)</f>
        <v>2.08</v>
      </c>
      <c r="F2695" s="2"/>
      <c r="G2695" s="2"/>
      <c r="H2695" s="2"/>
      <c r="I2695" s="2"/>
    </row>
    <row r="2696">
      <c r="A2696" s="2">
        <f>IFERROR(__xludf.DUMMYFUNCTION("""COMPUTED_VALUE"""),84672.0)</f>
        <v>84672</v>
      </c>
      <c r="B2696" s="2" t="str">
        <f>IFERROR(__xludf.DUMMYFUNCTION("""COMPUTED_VALUE"""),"History")</f>
        <v>History</v>
      </c>
      <c r="C2696" s="2" t="str">
        <f>IFERROR(__xludf.DUMMYFUNCTION("""COMPUTED_VALUE"""),"Running")</f>
        <v>Running</v>
      </c>
      <c r="D2696" s="2" t="str">
        <f>IFERROR(__xludf.DUMMYFUNCTION("""COMPUTED_VALUE"""),"Ironbridge Press")</f>
        <v>Ironbridge Press</v>
      </c>
      <c r="E2696" s="2">
        <f>IFERROR(__xludf.DUMMYFUNCTION("""COMPUTED_VALUE"""),1.85)</f>
        <v>1.85</v>
      </c>
      <c r="F2696" s="2"/>
      <c r="G2696" s="2"/>
      <c r="H2696" s="2"/>
      <c r="I2696" s="2"/>
    </row>
    <row r="2697">
      <c r="A2697" s="2">
        <f>IFERROR(__xludf.DUMMYFUNCTION("""COMPUTED_VALUE"""),81127.0)</f>
        <v>81127</v>
      </c>
      <c r="B2697" s="2" t="str">
        <f>IFERROR(__xludf.DUMMYFUNCTION("""COMPUTED_VALUE"""),"History")</f>
        <v>History</v>
      </c>
      <c r="C2697" s="2" t="str">
        <f>IFERROR(__xludf.DUMMYFUNCTION("""COMPUTED_VALUE"""),"Running")</f>
        <v>Running</v>
      </c>
      <c r="D2697" s="2" t="str">
        <f>IFERROR(__xludf.DUMMYFUNCTION("""COMPUTED_VALUE"""),"Ironbridge Press")</f>
        <v>Ironbridge Press</v>
      </c>
      <c r="E2697" s="2">
        <f>IFERROR(__xludf.DUMMYFUNCTION("""COMPUTED_VALUE"""),3.66)</f>
        <v>3.66</v>
      </c>
      <c r="F2697" s="2"/>
      <c r="G2697" s="2"/>
      <c r="H2697" s="2"/>
      <c r="I2697" s="2"/>
    </row>
    <row r="2698">
      <c r="A2698" s="2">
        <f>IFERROR(__xludf.DUMMYFUNCTION("""COMPUTED_VALUE"""),87858.0)</f>
        <v>87858</v>
      </c>
      <c r="B2698" s="2" t="str">
        <f>IFERROR(__xludf.DUMMYFUNCTION("""COMPUTED_VALUE"""),"History")</f>
        <v>History</v>
      </c>
      <c r="C2698" s="2" t="str">
        <f>IFERROR(__xludf.DUMMYFUNCTION("""COMPUTED_VALUE"""),"Running")</f>
        <v>Running</v>
      </c>
      <c r="D2698" s="2" t="str">
        <f>IFERROR(__xludf.DUMMYFUNCTION("""COMPUTED_VALUE"""),"Ironbridge Press")</f>
        <v>Ironbridge Press</v>
      </c>
      <c r="E2698" s="2">
        <f>IFERROR(__xludf.DUMMYFUNCTION("""COMPUTED_VALUE"""),2.22)</f>
        <v>2.22</v>
      </c>
      <c r="F2698" s="2"/>
      <c r="G2698" s="2"/>
      <c r="H2698" s="2"/>
      <c r="I2698" s="2"/>
    </row>
    <row r="2699">
      <c r="A2699" s="2">
        <f>IFERROR(__xludf.DUMMYFUNCTION("""COMPUTED_VALUE"""),84673.0)</f>
        <v>84673</v>
      </c>
      <c r="B2699" s="2" t="str">
        <f>IFERROR(__xludf.DUMMYFUNCTION("""COMPUTED_VALUE"""),"History")</f>
        <v>History</v>
      </c>
      <c r="C2699" s="2" t="str">
        <f>IFERROR(__xludf.DUMMYFUNCTION("""COMPUTED_VALUE"""),"Running")</f>
        <v>Running</v>
      </c>
      <c r="D2699" s="2" t="str">
        <f>IFERROR(__xludf.DUMMYFUNCTION("""COMPUTED_VALUE"""),"Ironbridge Press")</f>
        <v>Ironbridge Press</v>
      </c>
      <c r="E2699" s="2">
        <f>IFERROR(__xludf.DUMMYFUNCTION("""COMPUTED_VALUE"""),1.81)</f>
        <v>1.81</v>
      </c>
      <c r="F2699" s="2"/>
      <c r="G2699" s="2"/>
      <c r="H2699" s="2"/>
      <c r="I2699" s="2"/>
    </row>
    <row r="2700">
      <c r="A2700" s="2">
        <f>IFERROR(__xludf.DUMMYFUNCTION("""COMPUTED_VALUE"""),81064.0)</f>
        <v>81064</v>
      </c>
      <c r="B2700" s="2" t="str">
        <f>IFERROR(__xludf.DUMMYFUNCTION("""COMPUTED_VALUE"""),"History")</f>
        <v>History</v>
      </c>
      <c r="C2700" s="2" t="str">
        <f>IFERROR(__xludf.DUMMYFUNCTION("""COMPUTED_VALUE"""),"Running")</f>
        <v>Running</v>
      </c>
      <c r="D2700" s="2" t="str">
        <f>IFERROR(__xludf.DUMMYFUNCTION("""COMPUTED_VALUE"""),"Ironbridge Press")</f>
        <v>Ironbridge Press</v>
      </c>
      <c r="E2700" s="2">
        <f>IFERROR(__xludf.DUMMYFUNCTION("""COMPUTED_VALUE"""),3.36)</f>
        <v>3.36</v>
      </c>
      <c r="F2700" s="2"/>
      <c r="G2700" s="2"/>
      <c r="H2700" s="2"/>
      <c r="I2700" s="2"/>
    </row>
    <row r="2701">
      <c r="A2701" s="2">
        <f>IFERROR(__xludf.DUMMYFUNCTION("""COMPUTED_VALUE"""),81139.0)</f>
        <v>81139</v>
      </c>
      <c r="B2701" s="2" t="str">
        <f>IFERROR(__xludf.DUMMYFUNCTION("""COMPUTED_VALUE"""),"History")</f>
        <v>History</v>
      </c>
      <c r="C2701" s="2" t="str">
        <f>IFERROR(__xludf.DUMMYFUNCTION("""COMPUTED_VALUE"""),"Running")</f>
        <v>Running</v>
      </c>
      <c r="D2701" s="2" t="str">
        <f>IFERROR(__xludf.DUMMYFUNCTION("""COMPUTED_VALUE"""),"Ironbridge Press")</f>
        <v>Ironbridge Press</v>
      </c>
      <c r="E2701" s="2">
        <f>IFERROR(__xludf.DUMMYFUNCTION("""COMPUTED_VALUE"""),2.93)</f>
        <v>2.93</v>
      </c>
      <c r="F2701" s="2"/>
      <c r="G2701" s="2"/>
      <c r="H2701" s="2"/>
      <c r="I2701" s="2"/>
    </row>
    <row r="2702">
      <c r="A2702" s="2">
        <f>IFERROR(__xludf.DUMMYFUNCTION("""COMPUTED_VALUE"""),81141.0)</f>
        <v>81141</v>
      </c>
      <c r="B2702" s="2" t="str">
        <f>IFERROR(__xludf.DUMMYFUNCTION("""COMPUTED_VALUE"""),"History")</f>
        <v>History</v>
      </c>
      <c r="C2702" s="2" t="str">
        <f>IFERROR(__xludf.DUMMYFUNCTION("""COMPUTED_VALUE"""),"Running")</f>
        <v>Running</v>
      </c>
      <c r="D2702" s="2" t="str">
        <f>IFERROR(__xludf.DUMMYFUNCTION("""COMPUTED_VALUE"""),"Ironbridge Press")</f>
        <v>Ironbridge Press</v>
      </c>
      <c r="E2702" s="2">
        <f>IFERROR(__xludf.DUMMYFUNCTION("""COMPUTED_VALUE"""),2.26)</f>
        <v>2.26</v>
      </c>
      <c r="F2702" s="2"/>
      <c r="G2702" s="2"/>
      <c r="H2702" s="2"/>
      <c r="I2702" s="2"/>
    </row>
    <row r="2703">
      <c r="A2703" s="2">
        <f>IFERROR(__xludf.DUMMYFUNCTION("""COMPUTED_VALUE"""),81054.0)</f>
        <v>81054</v>
      </c>
      <c r="B2703" s="2" t="str">
        <f>IFERROR(__xludf.DUMMYFUNCTION("""COMPUTED_VALUE"""),"History")</f>
        <v>History</v>
      </c>
      <c r="C2703" s="2" t="str">
        <f>IFERROR(__xludf.DUMMYFUNCTION("""COMPUTED_VALUE"""),"Running")</f>
        <v>Running</v>
      </c>
      <c r="D2703" s="2" t="str">
        <f>IFERROR(__xludf.DUMMYFUNCTION("""COMPUTED_VALUE"""),"Ironbridge Press")</f>
        <v>Ironbridge Press</v>
      </c>
      <c r="E2703" s="2">
        <f>IFERROR(__xludf.DUMMYFUNCTION("""COMPUTED_VALUE"""),1.75)</f>
        <v>1.75</v>
      </c>
      <c r="F2703" s="2"/>
      <c r="G2703" s="2"/>
      <c r="H2703" s="2"/>
      <c r="I2703" s="2"/>
    </row>
    <row r="2704">
      <c r="A2704" s="2">
        <f>IFERROR(__xludf.DUMMYFUNCTION("""COMPUTED_VALUE"""),118352.0)</f>
        <v>118352</v>
      </c>
      <c r="B2704" s="2" t="str">
        <f>IFERROR(__xludf.DUMMYFUNCTION("""COMPUTED_VALUE"""),"History")</f>
        <v>History</v>
      </c>
      <c r="C2704" s="2" t="str">
        <f>IFERROR(__xludf.DUMMYFUNCTION("""COMPUTED_VALUE"""),"Running")</f>
        <v>Running</v>
      </c>
      <c r="D2704" s="2" t="str">
        <f>IFERROR(__xludf.DUMMYFUNCTION("""COMPUTED_VALUE"""),"Ironbridge Press")</f>
        <v>Ironbridge Press</v>
      </c>
      <c r="E2704" s="2">
        <f>IFERROR(__xludf.DUMMYFUNCTION("""COMPUTED_VALUE"""),3.84)</f>
        <v>3.84</v>
      </c>
      <c r="F2704" s="2"/>
      <c r="G2704" s="2"/>
      <c r="H2704" s="2"/>
      <c r="I2704" s="2"/>
    </row>
    <row r="2705">
      <c r="A2705" s="2">
        <f>IFERROR(__xludf.DUMMYFUNCTION("""COMPUTED_VALUE"""),81091.0)</f>
        <v>81091</v>
      </c>
      <c r="B2705" s="2" t="str">
        <f>IFERROR(__xludf.DUMMYFUNCTION("""COMPUTED_VALUE"""),"History")</f>
        <v>History</v>
      </c>
      <c r="C2705" s="2" t="str">
        <f>IFERROR(__xludf.DUMMYFUNCTION("""COMPUTED_VALUE"""),"Running")</f>
        <v>Running</v>
      </c>
      <c r="D2705" s="2" t="str">
        <f>IFERROR(__xludf.DUMMYFUNCTION("""COMPUTED_VALUE"""),"Ironbridge Press")</f>
        <v>Ironbridge Press</v>
      </c>
      <c r="E2705" s="2">
        <f>IFERROR(__xludf.DUMMYFUNCTION("""COMPUTED_VALUE"""),4.24)</f>
        <v>4.24</v>
      </c>
      <c r="F2705" s="2"/>
      <c r="G2705" s="2"/>
      <c r="H2705" s="2"/>
      <c r="I2705" s="2"/>
    </row>
    <row r="2706">
      <c r="A2706" s="2">
        <f>IFERROR(__xludf.DUMMYFUNCTION("""COMPUTED_VALUE"""),81025.0)</f>
        <v>81025</v>
      </c>
      <c r="B2706" s="2" t="str">
        <f>IFERROR(__xludf.DUMMYFUNCTION("""COMPUTED_VALUE"""),"History")</f>
        <v>History</v>
      </c>
      <c r="C2706" s="2" t="str">
        <f>IFERROR(__xludf.DUMMYFUNCTION("""COMPUTED_VALUE"""),"Running")</f>
        <v>Running</v>
      </c>
      <c r="D2706" s="2" t="str">
        <f>IFERROR(__xludf.DUMMYFUNCTION("""COMPUTED_VALUE"""),"Ironbridge Press")</f>
        <v>Ironbridge Press</v>
      </c>
      <c r="E2706" s="2">
        <f>IFERROR(__xludf.DUMMYFUNCTION("""COMPUTED_VALUE"""),1.8)</f>
        <v>1.8</v>
      </c>
      <c r="F2706" s="2"/>
      <c r="G2706" s="2"/>
      <c r="H2706" s="2"/>
      <c r="I2706" s="2"/>
    </row>
    <row r="2707">
      <c r="A2707" s="2">
        <f>IFERROR(__xludf.DUMMYFUNCTION("""COMPUTED_VALUE"""),81129.0)</f>
        <v>81129</v>
      </c>
      <c r="B2707" s="2" t="str">
        <f>IFERROR(__xludf.DUMMYFUNCTION("""COMPUTED_VALUE"""),"History")</f>
        <v>History</v>
      </c>
      <c r="C2707" s="2" t="str">
        <f>IFERROR(__xludf.DUMMYFUNCTION("""COMPUTED_VALUE"""),"Running")</f>
        <v>Running</v>
      </c>
      <c r="D2707" s="2" t="str">
        <f>IFERROR(__xludf.DUMMYFUNCTION("""COMPUTED_VALUE"""),"Ironbridge Press")</f>
        <v>Ironbridge Press</v>
      </c>
      <c r="E2707" s="2">
        <f>IFERROR(__xludf.DUMMYFUNCTION("""COMPUTED_VALUE"""),2.31)</f>
        <v>2.31</v>
      </c>
      <c r="F2707" s="2"/>
      <c r="G2707" s="2"/>
      <c r="H2707" s="2"/>
      <c r="I2707" s="2"/>
    </row>
    <row r="2708">
      <c r="A2708" s="2">
        <f>IFERROR(__xludf.DUMMYFUNCTION("""COMPUTED_VALUE"""),81043.0)</f>
        <v>81043</v>
      </c>
      <c r="B2708" s="2" t="str">
        <f>IFERROR(__xludf.DUMMYFUNCTION("""COMPUTED_VALUE"""),"History")</f>
        <v>History</v>
      </c>
      <c r="C2708" s="2" t="str">
        <f>IFERROR(__xludf.DUMMYFUNCTION("""COMPUTED_VALUE"""),"Running")</f>
        <v>Running</v>
      </c>
      <c r="D2708" s="2" t="str">
        <f>IFERROR(__xludf.DUMMYFUNCTION("""COMPUTED_VALUE"""),"Ironbridge Press")</f>
        <v>Ironbridge Press</v>
      </c>
      <c r="E2708" s="2">
        <f>IFERROR(__xludf.DUMMYFUNCTION("""COMPUTED_VALUE"""),1.57)</f>
        <v>1.57</v>
      </c>
      <c r="F2708" s="2"/>
      <c r="G2708" s="2"/>
      <c r="H2708" s="2"/>
      <c r="I2708" s="2"/>
    </row>
    <row r="2709">
      <c r="A2709" s="2">
        <f>IFERROR(__xludf.DUMMYFUNCTION("""COMPUTED_VALUE"""),81120.0)</f>
        <v>81120</v>
      </c>
      <c r="B2709" s="2" t="str">
        <f>IFERROR(__xludf.DUMMYFUNCTION("""COMPUTED_VALUE"""),"History")</f>
        <v>History</v>
      </c>
      <c r="C2709" s="2" t="str">
        <f>IFERROR(__xludf.DUMMYFUNCTION("""COMPUTED_VALUE"""),"Running")</f>
        <v>Running</v>
      </c>
      <c r="D2709" s="2" t="str">
        <f>IFERROR(__xludf.DUMMYFUNCTION("""COMPUTED_VALUE"""),"Ironbridge Press")</f>
        <v>Ironbridge Press</v>
      </c>
      <c r="E2709" s="2">
        <f>IFERROR(__xludf.DUMMYFUNCTION("""COMPUTED_VALUE"""),2.36)</f>
        <v>2.36</v>
      </c>
      <c r="F2709" s="2"/>
      <c r="G2709" s="2"/>
      <c r="H2709" s="2"/>
      <c r="I2709" s="2"/>
    </row>
    <row r="2710">
      <c r="A2710" s="2">
        <f>IFERROR(__xludf.DUMMYFUNCTION("""COMPUTED_VALUE"""),81109.0)</f>
        <v>81109</v>
      </c>
      <c r="B2710" s="2" t="str">
        <f>IFERROR(__xludf.DUMMYFUNCTION("""COMPUTED_VALUE"""),"History")</f>
        <v>History</v>
      </c>
      <c r="C2710" s="2" t="str">
        <f>IFERROR(__xludf.DUMMYFUNCTION("""COMPUTED_VALUE"""),"Running")</f>
        <v>Running</v>
      </c>
      <c r="D2710" s="2" t="str">
        <f>IFERROR(__xludf.DUMMYFUNCTION("""COMPUTED_VALUE"""),"Ironbridge Press")</f>
        <v>Ironbridge Press</v>
      </c>
      <c r="E2710" s="2">
        <f>IFERROR(__xludf.DUMMYFUNCTION("""COMPUTED_VALUE"""),2.0)</f>
        <v>2</v>
      </c>
      <c r="F2710" s="2"/>
      <c r="G2710" s="2"/>
      <c r="H2710" s="2"/>
      <c r="I2710" s="2"/>
    </row>
    <row r="2711">
      <c r="A2711" s="2">
        <f>IFERROR(__xludf.DUMMYFUNCTION("""COMPUTED_VALUE"""),81082.0)</f>
        <v>81082</v>
      </c>
      <c r="B2711" s="2" t="str">
        <f>IFERROR(__xludf.DUMMYFUNCTION("""COMPUTED_VALUE"""),"History")</f>
        <v>History</v>
      </c>
      <c r="C2711" s="2" t="str">
        <f>IFERROR(__xludf.DUMMYFUNCTION("""COMPUTED_VALUE"""),"Running")</f>
        <v>Running</v>
      </c>
      <c r="D2711" s="2" t="str">
        <f>IFERROR(__xludf.DUMMYFUNCTION("""COMPUTED_VALUE"""),"Ironbridge Press")</f>
        <v>Ironbridge Press</v>
      </c>
      <c r="E2711" s="2">
        <f>IFERROR(__xludf.DUMMYFUNCTION("""COMPUTED_VALUE"""),1.82)</f>
        <v>1.82</v>
      </c>
      <c r="F2711" s="2"/>
      <c r="G2711" s="2"/>
      <c r="H2711" s="2"/>
      <c r="I2711" s="2"/>
    </row>
    <row r="2712">
      <c r="A2712" s="2">
        <f>IFERROR(__xludf.DUMMYFUNCTION("""COMPUTED_VALUE"""),81036.0)</f>
        <v>81036</v>
      </c>
      <c r="B2712" s="2" t="str">
        <f>IFERROR(__xludf.DUMMYFUNCTION("""COMPUTED_VALUE"""),"History")</f>
        <v>History</v>
      </c>
      <c r="C2712" s="2" t="str">
        <f>IFERROR(__xludf.DUMMYFUNCTION("""COMPUTED_VALUE"""),"Running")</f>
        <v>Running</v>
      </c>
      <c r="D2712" s="2" t="str">
        <f>IFERROR(__xludf.DUMMYFUNCTION("""COMPUTED_VALUE"""),"Ironbridge Press")</f>
        <v>Ironbridge Press</v>
      </c>
      <c r="E2712" s="2">
        <f>IFERROR(__xludf.DUMMYFUNCTION("""COMPUTED_VALUE"""),2.2)</f>
        <v>2.2</v>
      </c>
      <c r="F2712" s="2"/>
      <c r="G2712" s="2"/>
      <c r="H2712" s="2"/>
      <c r="I2712" s="2"/>
    </row>
    <row r="2713">
      <c r="A2713" s="2">
        <f>IFERROR(__xludf.DUMMYFUNCTION("""COMPUTED_VALUE"""),81690.0)</f>
        <v>81690</v>
      </c>
      <c r="B2713" s="2" t="str">
        <f>IFERROR(__xludf.DUMMYFUNCTION("""COMPUTED_VALUE"""),"History")</f>
        <v>History</v>
      </c>
      <c r="C2713" s="2" t="str">
        <f>IFERROR(__xludf.DUMMYFUNCTION("""COMPUTED_VALUE"""),"Running")</f>
        <v>Running</v>
      </c>
      <c r="D2713" s="2" t="str">
        <f>IFERROR(__xludf.DUMMYFUNCTION("""COMPUTED_VALUE"""),"Ironbridge Press")</f>
        <v>Ironbridge Press</v>
      </c>
      <c r="E2713" s="2">
        <f>IFERROR(__xludf.DUMMYFUNCTION("""COMPUTED_VALUE"""),1.53)</f>
        <v>1.53</v>
      </c>
      <c r="F2713" s="2"/>
      <c r="G2713" s="2"/>
      <c r="H2713" s="2"/>
      <c r="I2713" s="2"/>
    </row>
    <row r="2714">
      <c r="A2714" s="2">
        <f>IFERROR(__xludf.DUMMYFUNCTION("""COMPUTED_VALUE"""),87849.0)</f>
        <v>87849</v>
      </c>
      <c r="B2714" s="2" t="str">
        <f>IFERROR(__xludf.DUMMYFUNCTION("""COMPUTED_VALUE"""),"History")</f>
        <v>History</v>
      </c>
      <c r="C2714" s="2" t="str">
        <f>IFERROR(__xludf.DUMMYFUNCTION("""COMPUTED_VALUE"""),"Running")</f>
        <v>Running</v>
      </c>
      <c r="D2714" s="2" t="str">
        <f>IFERROR(__xludf.DUMMYFUNCTION("""COMPUTED_VALUE"""),"Ironbridge Press")</f>
        <v>Ironbridge Press</v>
      </c>
      <c r="E2714" s="2">
        <f>IFERROR(__xludf.DUMMYFUNCTION("""COMPUTED_VALUE"""),2.03)</f>
        <v>2.03</v>
      </c>
      <c r="F2714" s="2"/>
      <c r="G2714" s="2"/>
      <c r="H2714" s="2"/>
      <c r="I2714" s="2"/>
    </row>
    <row r="2715">
      <c r="A2715" s="2">
        <f>IFERROR(__xludf.DUMMYFUNCTION("""COMPUTED_VALUE"""),81094.0)</f>
        <v>81094</v>
      </c>
      <c r="B2715" s="2" t="str">
        <f>IFERROR(__xludf.DUMMYFUNCTION("""COMPUTED_VALUE"""),"History")</f>
        <v>History</v>
      </c>
      <c r="C2715" s="2" t="str">
        <f>IFERROR(__xludf.DUMMYFUNCTION("""COMPUTED_VALUE"""),"Running")</f>
        <v>Running</v>
      </c>
      <c r="D2715" s="2" t="str">
        <f>IFERROR(__xludf.DUMMYFUNCTION("""COMPUTED_VALUE"""),"Ironbridge Press")</f>
        <v>Ironbridge Press</v>
      </c>
      <c r="E2715" s="2">
        <f>IFERROR(__xludf.DUMMYFUNCTION("""COMPUTED_VALUE"""),2.49)</f>
        <v>2.49</v>
      </c>
      <c r="F2715" s="2"/>
      <c r="G2715" s="2"/>
      <c r="H2715" s="2"/>
      <c r="I2715" s="2"/>
    </row>
    <row r="2716">
      <c r="A2716" s="2">
        <f>IFERROR(__xludf.DUMMYFUNCTION("""COMPUTED_VALUE"""),202726.0)</f>
        <v>202726</v>
      </c>
      <c r="B2716" s="2" t="str">
        <f>IFERROR(__xludf.DUMMYFUNCTION("""COMPUTED_VALUE"""),"History")</f>
        <v>History</v>
      </c>
      <c r="C2716" s="2" t="str">
        <f>IFERROR(__xludf.DUMMYFUNCTION("""COMPUTED_VALUE"""),"Running")</f>
        <v>Running</v>
      </c>
      <c r="D2716" s="2" t="str">
        <f>IFERROR(__xludf.DUMMYFUNCTION("""COMPUTED_VALUE"""),"Silvergrove Publishing")</f>
        <v>Silvergrove Publishing</v>
      </c>
      <c r="E2716" s="2">
        <f>IFERROR(__xludf.DUMMYFUNCTION("""COMPUTED_VALUE"""),6.89)</f>
        <v>6.89</v>
      </c>
      <c r="F2716" s="2"/>
      <c r="G2716" s="2"/>
      <c r="H2716" s="2"/>
      <c r="I2716" s="2"/>
    </row>
    <row r="2717">
      <c r="A2717" s="2">
        <f>IFERROR(__xludf.DUMMYFUNCTION("""COMPUTED_VALUE"""),101516.0)</f>
        <v>101516</v>
      </c>
      <c r="B2717" s="2" t="str">
        <f>IFERROR(__xludf.DUMMYFUNCTION("""COMPUTED_VALUE"""),"History")</f>
        <v>History</v>
      </c>
      <c r="C2717" s="2" t="str">
        <f>IFERROR(__xludf.DUMMYFUNCTION("""COMPUTED_VALUE"""),"Running")</f>
        <v>Running</v>
      </c>
      <c r="D2717" s="2" t="str">
        <f>IFERROR(__xludf.DUMMYFUNCTION("""COMPUTED_VALUE"""),"Silvergrove Publishing")</f>
        <v>Silvergrove Publishing</v>
      </c>
      <c r="E2717" s="2">
        <f>IFERROR(__xludf.DUMMYFUNCTION("""COMPUTED_VALUE"""),1.91)</f>
        <v>1.91</v>
      </c>
      <c r="F2717" s="2"/>
      <c r="G2717" s="2"/>
      <c r="H2717" s="2"/>
      <c r="I2717" s="2"/>
    </row>
    <row r="2718">
      <c r="A2718" s="2">
        <f>IFERROR(__xludf.DUMMYFUNCTION("""COMPUTED_VALUE"""),84332.0)</f>
        <v>84332</v>
      </c>
      <c r="B2718" s="2" t="str">
        <f>IFERROR(__xludf.DUMMYFUNCTION("""COMPUTED_VALUE"""),"History")</f>
        <v>History</v>
      </c>
      <c r="C2718" s="2" t="str">
        <f>IFERROR(__xludf.DUMMYFUNCTION("""COMPUTED_VALUE"""),"Running")</f>
        <v>Running</v>
      </c>
      <c r="D2718" s="2" t="str">
        <f>IFERROR(__xludf.DUMMYFUNCTION("""COMPUTED_VALUE"""),"Silvergrove Publishing")</f>
        <v>Silvergrove Publishing</v>
      </c>
      <c r="E2718" s="2">
        <f>IFERROR(__xludf.DUMMYFUNCTION("""COMPUTED_VALUE"""),2.25)</f>
        <v>2.25</v>
      </c>
      <c r="F2718" s="2"/>
      <c r="G2718" s="2"/>
      <c r="H2718" s="2"/>
      <c r="I2718" s="2"/>
    </row>
    <row r="2719">
      <c r="A2719" s="2">
        <f>IFERROR(__xludf.DUMMYFUNCTION("""COMPUTED_VALUE"""),16959.0)</f>
        <v>16959</v>
      </c>
      <c r="B2719" s="2" t="str">
        <f>IFERROR(__xludf.DUMMYFUNCTION("""COMPUTED_VALUE"""),"History")</f>
        <v>History</v>
      </c>
      <c r="C2719" s="2" t="str">
        <f>IFERROR(__xludf.DUMMYFUNCTION("""COMPUTED_VALUE"""),"Running")</f>
        <v>Running</v>
      </c>
      <c r="D2719" s="2" t="str">
        <f>IFERROR(__xludf.DUMMYFUNCTION("""COMPUTED_VALUE"""),"Silvergrove Publishing")</f>
        <v>Silvergrove Publishing</v>
      </c>
      <c r="E2719" s="2">
        <f>IFERROR(__xludf.DUMMYFUNCTION("""COMPUTED_VALUE"""),4.12)</f>
        <v>4.12</v>
      </c>
      <c r="F2719" s="2"/>
      <c r="G2719" s="2"/>
      <c r="H2719" s="2"/>
      <c r="I2719" s="2"/>
    </row>
    <row r="2720">
      <c r="A2720" s="2">
        <f>IFERROR(__xludf.DUMMYFUNCTION("""COMPUTED_VALUE"""),87762.0)</f>
        <v>87762</v>
      </c>
      <c r="B2720" s="2" t="str">
        <f>IFERROR(__xludf.DUMMYFUNCTION("""COMPUTED_VALUE"""),"History")</f>
        <v>History</v>
      </c>
      <c r="C2720" s="2" t="str">
        <f>IFERROR(__xludf.DUMMYFUNCTION("""COMPUTED_VALUE"""),"Running")</f>
        <v>Running</v>
      </c>
      <c r="D2720" s="2" t="str">
        <f>IFERROR(__xludf.DUMMYFUNCTION("""COMPUTED_VALUE"""),"Silvergrove Publishing")</f>
        <v>Silvergrove Publishing</v>
      </c>
      <c r="E2720" s="2">
        <f>IFERROR(__xludf.DUMMYFUNCTION("""COMPUTED_VALUE"""),1.94)</f>
        <v>1.94</v>
      </c>
      <c r="F2720" s="2"/>
      <c r="G2720" s="2"/>
      <c r="H2720" s="2"/>
      <c r="I2720" s="2"/>
    </row>
    <row r="2721">
      <c r="A2721" s="2">
        <f>IFERROR(__xludf.DUMMYFUNCTION("""COMPUTED_VALUE"""),16952.0)</f>
        <v>16952</v>
      </c>
      <c r="B2721" s="2" t="str">
        <f>IFERROR(__xludf.DUMMYFUNCTION("""COMPUTED_VALUE"""),"History")</f>
        <v>History</v>
      </c>
      <c r="C2721" s="2" t="str">
        <f>IFERROR(__xludf.DUMMYFUNCTION("""COMPUTED_VALUE"""),"Running")</f>
        <v>Running</v>
      </c>
      <c r="D2721" s="2" t="str">
        <f>IFERROR(__xludf.DUMMYFUNCTION("""COMPUTED_VALUE"""),"Silvergrove Publishing")</f>
        <v>Silvergrove Publishing</v>
      </c>
      <c r="E2721" s="2">
        <f>IFERROR(__xludf.DUMMYFUNCTION("""COMPUTED_VALUE"""),3.71)</f>
        <v>3.71</v>
      </c>
      <c r="F2721" s="2"/>
      <c r="G2721" s="2"/>
      <c r="H2721" s="2"/>
      <c r="I2721" s="2"/>
    </row>
    <row r="2722">
      <c r="A2722" s="2">
        <f>IFERROR(__xludf.DUMMYFUNCTION("""COMPUTED_VALUE"""),16958.0)</f>
        <v>16958</v>
      </c>
      <c r="B2722" s="2" t="str">
        <f>IFERROR(__xludf.DUMMYFUNCTION("""COMPUTED_VALUE"""),"History")</f>
        <v>History</v>
      </c>
      <c r="C2722" s="2" t="str">
        <f>IFERROR(__xludf.DUMMYFUNCTION("""COMPUTED_VALUE"""),"Running")</f>
        <v>Running</v>
      </c>
      <c r="D2722" s="2" t="str">
        <f>IFERROR(__xludf.DUMMYFUNCTION("""COMPUTED_VALUE"""),"Silvergrove Publishing")</f>
        <v>Silvergrove Publishing</v>
      </c>
      <c r="E2722" s="2">
        <f>IFERROR(__xludf.DUMMYFUNCTION("""COMPUTED_VALUE"""),3.86)</f>
        <v>3.86</v>
      </c>
      <c r="F2722" s="2"/>
      <c r="G2722" s="2"/>
      <c r="H2722" s="2"/>
      <c r="I2722" s="2"/>
    </row>
    <row r="2723">
      <c r="A2723" s="2">
        <f>IFERROR(__xludf.DUMMYFUNCTION("""COMPUTED_VALUE"""),16950.0)</f>
        <v>16950</v>
      </c>
      <c r="B2723" s="2" t="str">
        <f>IFERROR(__xludf.DUMMYFUNCTION("""COMPUTED_VALUE"""),"History")</f>
        <v>History</v>
      </c>
      <c r="C2723" s="2" t="str">
        <f>IFERROR(__xludf.DUMMYFUNCTION("""COMPUTED_VALUE"""),"Running")</f>
        <v>Running</v>
      </c>
      <c r="D2723" s="2" t="str">
        <f>IFERROR(__xludf.DUMMYFUNCTION("""COMPUTED_VALUE"""),"Silvergrove Publishing")</f>
        <v>Silvergrove Publishing</v>
      </c>
      <c r="E2723" s="2">
        <f>IFERROR(__xludf.DUMMYFUNCTION("""COMPUTED_VALUE"""),3.62)</f>
        <v>3.62</v>
      </c>
      <c r="F2723" s="2"/>
      <c r="G2723" s="2"/>
      <c r="H2723" s="2"/>
      <c r="I2723" s="2"/>
    </row>
    <row r="2724">
      <c r="A2724" s="2">
        <f>IFERROR(__xludf.DUMMYFUNCTION("""COMPUTED_VALUE"""),102266.0)</f>
        <v>102266</v>
      </c>
      <c r="B2724" s="2" t="str">
        <f>IFERROR(__xludf.DUMMYFUNCTION("""COMPUTED_VALUE"""),"History")</f>
        <v>History</v>
      </c>
      <c r="C2724" s="2" t="str">
        <f>IFERROR(__xludf.DUMMYFUNCTION("""COMPUTED_VALUE"""),"Running")</f>
        <v>Running</v>
      </c>
      <c r="D2724" s="2" t="str">
        <f>IFERROR(__xludf.DUMMYFUNCTION("""COMPUTED_VALUE"""),"Silvergrove Publishing")</f>
        <v>Silvergrove Publishing</v>
      </c>
      <c r="E2724" s="2">
        <f>IFERROR(__xludf.DUMMYFUNCTION("""COMPUTED_VALUE"""),2.46)</f>
        <v>2.46</v>
      </c>
      <c r="F2724" s="2"/>
      <c r="G2724" s="2"/>
      <c r="H2724" s="2"/>
      <c r="I2724" s="2"/>
    </row>
    <row r="2725">
      <c r="A2725" s="2">
        <f>IFERROR(__xludf.DUMMYFUNCTION("""COMPUTED_VALUE"""),202746.0)</f>
        <v>202746</v>
      </c>
      <c r="B2725" s="2" t="str">
        <f>IFERROR(__xludf.DUMMYFUNCTION("""COMPUTED_VALUE"""),"History")</f>
        <v>History</v>
      </c>
      <c r="C2725" s="2" t="str">
        <f>IFERROR(__xludf.DUMMYFUNCTION("""COMPUTED_VALUE"""),"Running")</f>
        <v>Running</v>
      </c>
      <c r="D2725" s="2" t="str">
        <f>IFERROR(__xludf.DUMMYFUNCTION("""COMPUTED_VALUE"""),"Silvergrove Publishing")</f>
        <v>Silvergrove Publishing</v>
      </c>
      <c r="E2725" s="2">
        <f>IFERROR(__xludf.DUMMYFUNCTION("""COMPUTED_VALUE"""),7.24)</f>
        <v>7.24</v>
      </c>
      <c r="F2725" s="2"/>
      <c r="G2725" s="2"/>
      <c r="H2725" s="2"/>
      <c r="I2725" s="2"/>
    </row>
    <row r="2726">
      <c r="A2726" s="2">
        <f>IFERROR(__xludf.DUMMYFUNCTION("""COMPUTED_VALUE"""),101519.0)</f>
        <v>101519</v>
      </c>
      <c r="B2726" s="2" t="str">
        <f>IFERROR(__xludf.DUMMYFUNCTION("""COMPUTED_VALUE"""),"History")</f>
        <v>History</v>
      </c>
      <c r="C2726" s="2" t="str">
        <f>IFERROR(__xludf.DUMMYFUNCTION("""COMPUTED_VALUE"""),"Running")</f>
        <v>Running</v>
      </c>
      <c r="D2726" s="2" t="str">
        <f>IFERROR(__xludf.DUMMYFUNCTION("""COMPUTED_VALUE"""),"Silvergrove Publishing")</f>
        <v>Silvergrove Publishing</v>
      </c>
      <c r="E2726" s="2">
        <f>IFERROR(__xludf.DUMMYFUNCTION("""COMPUTED_VALUE"""),1.99)</f>
        <v>1.99</v>
      </c>
      <c r="F2726" s="2"/>
      <c r="G2726" s="2"/>
      <c r="H2726" s="2"/>
      <c r="I2726" s="2"/>
    </row>
    <row r="2727">
      <c r="A2727" s="2">
        <f>IFERROR(__xludf.DUMMYFUNCTION("""COMPUTED_VALUE"""),81688.0)</f>
        <v>81688</v>
      </c>
      <c r="B2727" s="2" t="str">
        <f>IFERROR(__xludf.DUMMYFUNCTION("""COMPUTED_VALUE"""),"History")</f>
        <v>History</v>
      </c>
      <c r="C2727" s="2" t="str">
        <f>IFERROR(__xludf.DUMMYFUNCTION("""COMPUTED_VALUE"""),"Running")</f>
        <v>Running</v>
      </c>
      <c r="D2727" s="2" t="str">
        <f>IFERROR(__xludf.DUMMYFUNCTION("""COMPUTED_VALUE"""),"Silvergrove Publishing")</f>
        <v>Silvergrove Publishing</v>
      </c>
      <c r="E2727" s="2">
        <f>IFERROR(__xludf.DUMMYFUNCTION("""COMPUTED_VALUE"""),1.55)</f>
        <v>1.55</v>
      </c>
      <c r="F2727" s="2"/>
      <c r="G2727" s="2"/>
      <c r="H2727" s="2"/>
      <c r="I2727" s="2"/>
    </row>
    <row r="2728">
      <c r="A2728" s="2">
        <f>IFERROR(__xludf.DUMMYFUNCTION("""COMPUTED_VALUE"""),120365.0)</f>
        <v>120365</v>
      </c>
      <c r="B2728" s="2" t="str">
        <f>IFERROR(__xludf.DUMMYFUNCTION("""COMPUTED_VALUE"""),"History")</f>
        <v>History</v>
      </c>
      <c r="C2728" s="2" t="str">
        <f>IFERROR(__xludf.DUMMYFUNCTION("""COMPUTED_VALUE"""),"Running")</f>
        <v>Running</v>
      </c>
      <c r="D2728" s="2" t="str">
        <f>IFERROR(__xludf.DUMMYFUNCTION("""COMPUTED_VALUE"""),"Silvergrove Publishing")</f>
        <v>Silvergrove Publishing</v>
      </c>
      <c r="E2728" s="2">
        <f>IFERROR(__xludf.DUMMYFUNCTION("""COMPUTED_VALUE"""),2.24)</f>
        <v>2.24</v>
      </c>
      <c r="F2728" s="2"/>
      <c r="G2728" s="2"/>
      <c r="H2728" s="2"/>
      <c r="I2728" s="2"/>
    </row>
    <row r="2729">
      <c r="A2729" s="2">
        <f>IFERROR(__xludf.DUMMYFUNCTION("""COMPUTED_VALUE"""),3438.0)</f>
        <v>3438</v>
      </c>
      <c r="B2729" s="2" t="str">
        <f>IFERROR(__xludf.DUMMYFUNCTION("""COMPUTED_VALUE"""),"History")</f>
        <v>History</v>
      </c>
      <c r="C2729" s="2" t="str">
        <f>IFERROR(__xludf.DUMMYFUNCTION("""COMPUTED_VALUE"""),"Running")</f>
        <v>Running</v>
      </c>
      <c r="D2729" s="2" t="str">
        <f>IFERROR(__xludf.DUMMYFUNCTION("""COMPUTED_VALUE"""),"Silvergrove Publishing")</f>
        <v>Silvergrove Publishing</v>
      </c>
      <c r="E2729" s="2">
        <f>IFERROR(__xludf.DUMMYFUNCTION("""COMPUTED_VALUE"""),3.8)</f>
        <v>3.8</v>
      </c>
      <c r="F2729" s="2"/>
      <c r="G2729" s="2"/>
      <c r="H2729" s="2"/>
      <c r="I2729" s="2"/>
    </row>
    <row r="2730">
      <c r="A2730" s="2">
        <f>IFERROR(__xludf.DUMMYFUNCTION("""COMPUTED_VALUE"""),102262.0)</f>
        <v>102262</v>
      </c>
      <c r="B2730" s="2" t="str">
        <f>IFERROR(__xludf.DUMMYFUNCTION("""COMPUTED_VALUE"""),"History")</f>
        <v>History</v>
      </c>
      <c r="C2730" s="2" t="str">
        <f>IFERROR(__xludf.DUMMYFUNCTION("""COMPUTED_VALUE"""),"Running")</f>
        <v>Running</v>
      </c>
      <c r="D2730" s="2" t="str">
        <f>IFERROR(__xludf.DUMMYFUNCTION("""COMPUTED_VALUE"""),"Silvergrove Publishing")</f>
        <v>Silvergrove Publishing</v>
      </c>
      <c r="E2730" s="2">
        <f>IFERROR(__xludf.DUMMYFUNCTION("""COMPUTED_VALUE"""),1.94)</f>
        <v>1.94</v>
      </c>
      <c r="F2730" s="2"/>
      <c r="G2730" s="2"/>
      <c r="H2730" s="2"/>
      <c r="I2730" s="2"/>
    </row>
    <row r="2731">
      <c r="A2731" s="2">
        <f>IFERROR(__xludf.DUMMYFUNCTION("""COMPUTED_VALUE"""),87764.0)</f>
        <v>87764</v>
      </c>
      <c r="B2731" s="2" t="str">
        <f>IFERROR(__xludf.DUMMYFUNCTION("""COMPUTED_VALUE"""),"History")</f>
        <v>History</v>
      </c>
      <c r="C2731" s="2" t="str">
        <f>IFERROR(__xludf.DUMMYFUNCTION("""COMPUTED_VALUE"""),"Running")</f>
        <v>Running</v>
      </c>
      <c r="D2731" s="2" t="str">
        <f>IFERROR(__xludf.DUMMYFUNCTION("""COMPUTED_VALUE"""),"Silvergrove Publishing")</f>
        <v>Silvergrove Publishing</v>
      </c>
      <c r="E2731" s="2">
        <f>IFERROR(__xludf.DUMMYFUNCTION("""COMPUTED_VALUE"""),2.08)</f>
        <v>2.08</v>
      </c>
      <c r="F2731" s="2"/>
      <c r="G2731" s="2"/>
      <c r="H2731" s="2"/>
      <c r="I2731" s="2"/>
    </row>
    <row r="2732">
      <c r="A2732" s="2">
        <f>IFERROR(__xludf.DUMMYFUNCTION("""COMPUTED_VALUE"""),3437.0)</f>
        <v>3437</v>
      </c>
      <c r="B2732" s="2" t="str">
        <f>IFERROR(__xludf.DUMMYFUNCTION("""COMPUTED_VALUE"""),"History")</f>
        <v>History</v>
      </c>
      <c r="C2732" s="2" t="str">
        <f>IFERROR(__xludf.DUMMYFUNCTION("""COMPUTED_VALUE"""),"Running")</f>
        <v>Running</v>
      </c>
      <c r="D2732" s="2" t="str">
        <f>IFERROR(__xludf.DUMMYFUNCTION("""COMPUTED_VALUE"""),"Silvergrove Publishing")</f>
        <v>Silvergrove Publishing</v>
      </c>
      <c r="E2732" s="2">
        <f>IFERROR(__xludf.DUMMYFUNCTION("""COMPUTED_VALUE"""),3.38)</f>
        <v>3.38</v>
      </c>
      <c r="F2732" s="2"/>
      <c r="G2732" s="2"/>
      <c r="H2732" s="2"/>
      <c r="I2732" s="2"/>
    </row>
    <row r="2733">
      <c r="A2733" s="2">
        <f>IFERROR(__xludf.DUMMYFUNCTION("""COMPUTED_VALUE"""),111017.0)</f>
        <v>111017</v>
      </c>
      <c r="B2733" s="2" t="str">
        <f>IFERROR(__xludf.DUMMYFUNCTION("""COMPUTED_VALUE"""),"History")</f>
        <v>History</v>
      </c>
      <c r="C2733" s="2" t="str">
        <f>IFERROR(__xludf.DUMMYFUNCTION("""COMPUTED_VALUE"""),"Running")</f>
        <v>Running</v>
      </c>
      <c r="D2733" s="2" t="str">
        <f>IFERROR(__xludf.DUMMYFUNCTION("""COMPUTED_VALUE"""),"Silvergrove Publishing")</f>
        <v>Silvergrove Publishing</v>
      </c>
      <c r="E2733" s="2">
        <f>IFERROR(__xludf.DUMMYFUNCTION("""COMPUTED_VALUE"""),3.55)</f>
        <v>3.55</v>
      </c>
      <c r="F2733" s="2"/>
      <c r="G2733" s="2"/>
      <c r="H2733" s="2"/>
      <c r="I2733" s="2"/>
    </row>
    <row r="2734">
      <c r="A2734" s="2">
        <f>IFERROR(__xludf.DUMMYFUNCTION("""COMPUTED_VALUE"""),102264.0)</f>
        <v>102264</v>
      </c>
      <c r="B2734" s="2" t="str">
        <f>IFERROR(__xludf.DUMMYFUNCTION("""COMPUTED_VALUE"""),"History")</f>
        <v>History</v>
      </c>
      <c r="C2734" s="2" t="str">
        <f>IFERROR(__xludf.DUMMYFUNCTION("""COMPUTED_VALUE"""),"Running")</f>
        <v>Running</v>
      </c>
      <c r="D2734" s="2" t="str">
        <f>IFERROR(__xludf.DUMMYFUNCTION("""COMPUTED_VALUE"""),"Silvergrove Publishing")</f>
        <v>Silvergrove Publishing</v>
      </c>
      <c r="E2734" s="2">
        <f>IFERROR(__xludf.DUMMYFUNCTION("""COMPUTED_VALUE"""),2.09)</f>
        <v>2.09</v>
      </c>
      <c r="F2734" s="2"/>
      <c r="G2734" s="2"/>
      <c r="H2734" s="2"/>
      <c r="I2734" s="2"/>
    </row>
    <row r="2735">
      <c r="A2735" s="2">
        <f>IFERROR(__xludf.DUMMYFUNCTION("""COMPUTED_VALUE"""),18088.0)</f>
        <v>18088</v>
      </c>
      <c r="B2735" s="2" t="str">
        <f>IFERROR(__xludf.DUMMYFUNCTION("""COMPUTED_VALUE"""),"History")</f>
        <v>History</v>
      </c>
      <c r="C2735" s="2" t="str">
        <f>IFERROR(__xludf.DUMMYFUNCTION("""COMPUTED_VALUE"""),"Running")</f>
        <v>Running</v>
      </c>
      <c r="D2735" s="2" t="str">
        <f>IFERROR(__xludf.DUMMYFUNCTION("""COMPUTED_VALUE"""),"Silvergrove Publishing")</f>
        <v>Silvergrove Publishing</v>
      </c>
      <c r="E2735" s="2">
        <f>IFERROR(__xludf.DUMMYFUNCTION("""COMPUTED_VALUE"""),3.03)</f>
        <v>3.03</v>
      </c>
      <c r="F2735" s="2"/>
      <c r="G2735" s="2"/>
      <c r="H2735" s="2"/>
      <c r="I2735" s="2"/>
    </row>
    <row r="2736">
      <c r="A2736" s="2">
        <f>IFERROR(__xludf.DUMMYFUNCTION("""COMPUTED_VALUE"""),87836.0)</f>
        <v>87836</v>
      </c>
      <c r="B2736" s="2" t="str">
        <f>IFERROR(__xludf.DUMMYFUNCTION("""COMPUTED_VALUE"""),"History")</f>
        <v>History</v>
      </c>
      <c r="C2736" s="2" t="str">
        <f>IFERROR(__xludf.DUMMYFUNCTION("""COMPUTED_VALUE"""),"Running")</f>
        <v>Running</v>
      </c>
      <c r="D2736" s="2" t="str">
        <f>IFERROR(__xludf.DUMMYFUNCTION("""COMPUTED_VALUE"""),"Silvergrove Publishing")</f>
        <v>Silvergrove Publishing</v>
      </c>
      <c r="E2736" s="2">
        <f>IFERROR(__xludf.DUMMYFUNCTION("""COMPUTED_VALUE"""),2.34)</f>
        <v>2.34</v>
      </c>
      <c r="F2736" s="2"/>
      <c r="G2736" s="2"/>
      <c r="H2736" s="2"/>
      <c r="I2736" s="2"/>
    </row>
    <row r="2737">
      <c r="A2737" s="2">
        <f>IFERROR(__xludf.DUMMYFUNCTION("""COMPUTED_VALUE"""),87804.0)</f>
        <v>87804</v>
      </c>
      <c r="B2737" s="2" t="str">
        <f>IFERROR(__xludf.DUMMYFUNCTION("""COMPUTED_VALUE"""),"History")</f>
        <v>History</v>
      </c>
      <c r="C2737" s="2" t="str">
        <f>IFERROR(__xludf.DUMMYFUNCTION("""COMPUTED_VALUE"""),"Running")</f>
        <v>Running</v>
      </c>
      <c r="D2737" s="2" t="str">
        <f>IFERROR(__xludf.DUMMYFUNCTION("""COMPUTED_VALUE"""),"Silvergrove Publishing")</f>
        <v>Silvergrove Publishing</v>
      </c>
      <c r="E2737" s="2">
        <f>IFERROR(__xludf.DUMMYFUNCTION("""COMPUTED_VALUE"""),2.0)</f>
        <v>2</v>
      </c>
      <c r="F2737" s="2"/>
      <c r="G2737" s="2"/>
      <c r="H2737" s="2"/>
      <c r="I2737" s="2"/>
    </row>
    <row r="2738">
      <c r="A2738" s="2">
        <f>IFERROR(__xludf.DUMMYFUNCTION("""COMPUTED_VALUE"""),108207.0)</f>
        <v>108207</v>
      </c>
      <c r="B2738" s="2" t="str">
        <f>IFERROR(__xludf.DUMMYFUNCTION("""COMPUTED_VALUE"""),"Finance")</f>
        <v>Finance</v>
      </c>
      <c r="C2738" s="2" t="str">
        <f>IFERROR(__xludf.DUMMYFUNCTION("""COMPUTED_VALUE"""),"Fitness Training")</f>
        <v>Fitness Training</v>
      </c>
      <c r="D2738" s="2" t="str">
        <f>IFERROR(__xludf.DUMMYFUNCTION("""COMPUTED_VALUE"""),"Northgrove Books")</f>
        <v>Northgrove Books</v>
      </c>
      <c r="E2738" s="2">
        <f>IFERROR(__xludf.DUMMYFUNCTION("""COMPUTED_VALUE"""),22.1)</f>
        <v>22.1</v>
      </c>
      <c r="F2738" s="2"/>
      <c r="G2738" s="2"/>
      <c r="H2738" s="2"/>
      <c r="I2738" s="2"/>
    </row>
    <row r="2739">
      <c r="A2739" s="2">
        <f>IFERROR(__xludf.DUMMYFUNCTION("""COMPUTED_VALUE"""),111043.0)</f>
        <v>111043</v>
      </c>
      <c r="B2739" s="2" t="str">
        <f>IFERROR(__xludf.DUMMYFUNCTION("""COMPUTED_VALUE"""),"Finance")</f>
        <v>Finance</v>
      </c>
      <c r="C2739" s="2" t="str">
        <f>IFERROR(__xludf.DUMMYFUNCTION("""COMPUTED_VALUE"""),"Fitness Training")</f>
        <v>Fitness Training</v>
      </c>
      <c r="D2739" s="2" t="str">
        <f>IFERROR(__xludf.DUMMYFUNCTION("""COMPUTED_VALUE"""),"Northgrove Books")</f>
        <v>Northgrove Books</v>
      </c>
      <c r="E2739" s="2">
        <f>IFERROR(__xludf.DUMMYFUNCTION("""COMPUTED_VALUE"""),62.95)</f>
        <v>62.95</v>
      </c>
      <c r="F2739" s="2"/>
      <c r="G2739" s="2"/>
      <c r="H2739" s="2"/>
      <c r="I2739" s="2"/>
    </row>
    <row r="2740">
      <c r="A2740" s="2">
        <f>IFERROR(__xludf.DUMMYFUNCTION("""COMPUTED_VALUE"""),100223.0)</f>
        <v>100223</v>
      </c>
      <c r="B2740" s="2" t="str">
        <f>IFERROR(__xludf.DUMMYFUNCTION("""COMPUTED_VALUE"""),"Finance")</f>
        <v>Finance</v>
      </c>
      <c r="C2740" s="2" t="str">
        <f>IFERROR(__xludf.DUMMYFUNCTION("""COMPUTED_VALUE"""),"Fitness Training")</f>
        <v>Fitness Training</v>
      </c>
      <c r="D2740" s="2" t="str">
        <f>IFERROR(__xludf.DUMMYFUNCTION("""COMPUTED_VALUE"""),"Northgrove Books")</f>
        <v>Northgrove Books</v>
      </c>
      <c r="E2740" s="2">
        <f>IFERROR(__xludf.DUMMYFUNCTION("""COMPUTED_VALUE"""),28.88)</f>
        <v>28.88</v>
      </c>
      <c r="F2740" s="2"/>
      <c r="G2740" s="2"/>
      <c r="H2740" s="2"/>
      <c r="I2740" s="2"/>
    </row>
    <row r="2741">
      <c r="A2741" s="2">
        <f>IFERROR(__xludf.DUMMYFUNCTION("""COMPUTED_VALUE"""),92161.0)</f>
        <v>92161</v>
      </c>
      <c r="B2741" s="2" t="str">
        <f>IFERROR(__xludf.DUMMYFUNCTION("""COMPUTED_VALUE"""),"Finance")</f>
        <v>Finance</v>
      </c>
      <c r="C2741" s="2" t="str">
        <f>IFERROR(__xludf.DUMMYFUNCTION("""COMPUTED_VALUE"""),"Coaching")</f>
        <v>Coaching</v>
      </c>
      <c r="D2741" s="2" t="str">
        <f>IFERROR(__xludf.DUMMYFUNCTION("""COMPUTED_VALUE"""),"Harborgrove Press")</f>
        <v>Harborgrove Press</v>
      </c>
      <c r="E2741" s="2">
        <f>IFERROR(__xludf.DUMMYFUNCTION("""COMPUTED_VALUE"""),6.32)</f>
        <v>6.32</v>
      </c>
      <c r="F2741" s="2"/>
      <c r="G2741" s="2"/>
      <c r="H2741" s="2"/>
      <c r="I2741" s="2"/>
    </row>
    <row r="2742">
      <c r="A2742" s="2">
        <f>IFERROR(__xludf.DUMMYFUNCTION("""COMPUTED_VALUE"""),113405.0)</f>
        <v>113405</v>
      </c>
      <c r="B2742" s="2" t="str">
        <f>IFERROR(__xludf.DUMMYFUNCTION("""COMPUTED_VALUE"""),"Finance")</f>
        <v>Finance</v>
      </c>
      <c r="C2742" s="2" t="str">
        <f>IFERROR(__xludf.DUMMYFUNCTION("""COMPUTED_VALUE"""),"Coaching")</f>
        <v>Coaching</v>
      </c>
      <c r="D2742" s="2" t="str">
        <f>IFERROR(__xludf.DUMMYFUNCTION("""COMPUTED_VALUE"""),"Cedargrove Publishing")</f>
        <v>Cedargrove Publishing</v>
      </c>
      <c r="E2742" s="2">
        <f>IFERROR(__xludf.DUMMYFUNCTION("""COMPUTED_VALUE"""),6.74)</f>
        <v>6.74</v>
      </c>
      <c r="F2742" s="2"/>
      <c r="G2742" s="2"/>
      <c r="H2742" s="2"/>
      <c r="I2742" s="2"/>
    </row>
    <row r="2743">
      <c r="A2743" s="2">
        <f>IFERROR(__xludf.DUMMYFUNCTION("""COMPUTED_VALUE"""),120817.0)</f>
        <v>120817</v>
      </c>
      <c r="B2743" s="2" t="str">
        <f>IFERROR(__xludf.DUMMYFUNCTION("""COMPUTED_VALUE"""),"Finance")</f>
        <v>Finance</v>
      </c>
      <c r="C2743" s="2" t="str">
        <f>IFERROR(__xludf.DUMMYFUNCTION("""COMPUTED_VALUE"""),"Coaching")</f>
        <v>Coaching</v>
      </c>
      <c r="D2743" s="2" t="str">
        <f>IFERROR(__xludf.DUMMYFUNCTION("""COMPUTED_VALUE"""),"Brightgrove Books")</f>
        <v>Brightgrove Books</v>
      </c>
      <c r="E2743" s="2">
        <f>IFERROR(__xludf.DUMMYFUNCTION("""COMPUTED_VALUE"""),7.23)</f>
        <v>7.23</v>
      </c>
      <c r="F2743" s="2"/>
      <c r="G2743" s="2"/>
      <c r="H2743" s="2"/>
      <c r="I2743" s="2"/>
    </row>
    <row r="2744">
      <c r="A2744" s="2">
        <f>IFERROR(__xludf.DUMMYFUNCTION("""COMPUTED_VALUE"""),14520.0)</f>
        <v>14520</v>
      </c>
      <c r="B2744" s="2" t="str">
        <f>IFERROR(__xludf.DUMMYFUNCTION("""COMPUTED_VALUE"""),"Finance")</f>
        <v>Finance</v>
      </c>
      <c r="C2744" s="2" t="str">
        <f>IFERROR(__xludf.DUMMYFUNCTION("""COMPUTED_VALUE"""),"Coaching")</f>
        <v>Coaching</v>
      </c>
      <c r="D2744" s="2" t="str">
        <f>IFERROR(__xludf.DUMMYFUNCTION("""COMPUTED_VALUE"""),"Brightgrove Books")</f>
        <v>Brightgrove Books</v>
      </c>
      <c r="E2744" s="2">
        <f>IFERROR(__xludf.DUMMYFUNCTION("""COMPUTED_VALUE"""),1.21)</f>
        <v>1.21</v>
      </c>
      <c r="F2744" s="2"/>
      <c r="G2744" s="2"/>
      <c r="H2744" s="2"/>
      <c r="I2744" s="2"/>
    </row>
    <row r="2745">
      <c r="A2745" s="2">
        <f>IFERROR(__xludf.DUMMYFUNCTION("""COMPUTED_VALUE"""),104928.0)</f>
        <v>104928</v>
      </c>
      <c r="B2745" s="2" t="str">
        <f>IFERROR(__xludf.DUMMYFUNCTION("""COMPUTED_VALUE"""),"Finance")</f>
        <v>Finance</v>
      </c>
      <c r="C2745" s="2" t="str">
        <f>IFERROR(__xludf.DUMMYFUNCTION("""COMPUTED_VALUE"""),"Coaching")</f>
        <v>Coaching</v>
      </c>
      <c r="D2745" s="2" t="str">
        <f>IFERROR(__xludf.DUMMYFUNCTION("""COMPUTED_VALUE"""),"Brightgrove Books")</f>
        <v>Brightgrove Books</v>
      </c>
      <c r="E2745" s="2">
        <f>IFERROR(__xludf.DUMMYFUNCTION("""COMPUTED_VALUE"""),5.87)</f>
        <v>5.87</v>
      </c>
      <c r="F2745" s="2"/>
      <c r="G2745" s="2"/>
      <c r="H2745" s="2"/>
      <c r="I2745" s="2"/>
    </row>
    <row r="2746">
      <c r="A2746" s="2">
        <f>IFERROR(__xludf.DUMMYFUNCTION("""COMPUTED_VALUE"""),14517.0)</f>
        <v>14517</v>
      </c>
      <c r="B2746" s="2" t="str">
        <f>IFERROR(__xludf.DUMMYFUNCTION("""COMPUTED_VALUE"""),"Finance")</f>
        <v>Finance</v>
      </c>
      <c r="C2746" s="2" t="str">
        <f>IFERROR(__xludf.DUMMYFUNCTION("""COMPUTED_VALUE"""),"Coaching")</f>
        <v>Coaching</v>
      </c>
      <c r="D2746" s="2" t="str">
        <f>IFERROR(__xludf.DUMMYFUNCTION("""COMPUTED_VALUE"""),"Brightgrove Books")</f>
        <v>Brightgrove Books</v>
      </c>
      <c r="E2746" s="2">
        <f>IFERROR(__xludf.DUMMYFUNCTION("""COMPUTED_VALUE"""),1.2)</f>
        <v>1.2</v>
      </c>
      <c r="F2746" s="2"/>
      <c r="G2746" s="2"/>
      <c r="H2746" s="2"/>
      <c r="I2746" s="2"/>
    </row>
    <row r="2747">
      <c r="A2747" s="2">
        <f>IFERROR(__xludf.DUMMYFUNCTION("""COMPUTED_VALUE"""),122563.0)</f>
        <v>122563</v>
      </c>
      <c r="B2747" s="2" t="str">
        <f>IFERROR(__xludf.DUMMYFUNCTION("""COMPUTED_VALUE"""),"Finance")</f>
        <v>Finance</v>
      </c>
      <c r="C2747" s="2" t="str">
        <f>IFERROR(__xludf.DUMMYFUNCTION("""COMPUTED_VALUE"""),"Coaching")</f>
        <v>Coaching</v>
      </c>
      <c r="D2747" s="2" t="str">
        <f>IFERROR(__xludf.DUMMYFUNCTION("""COMPUTED_VALUE"""),"Brightgrove Books")</f>
        <v>Brightgrove Books</v>
      </c>
      <c r="E2747" s="2">
        <f>IFERROR(__xludf.DUMMYFUNCTION("""COMPUTED_VALUE"""),7.43)</f>
        <v>7.43</v>
      </c>
      <c r="F2747" s="2"/>
      <c r="G2747" s="2"/>
      <c r="H2747" s="2"/>
      <c r="I2747" s="2"/>
    </row>
    <row r="2748">
      <c r="A2748" s="2">
        <f>IFERROR(__xludf.DUMMYFUNCTION("""COMPUTED_VALUE"""),96404.0)</f>
        <v>96404</v>
      </c>
      <c r="B2748" s="2" t="str">
        <f>IFERROR(__xludf.DUMMYFUNCTION("""COMPUTED_VALUE"""),"Finance")</f>
        <v>Finance</v>
      </c>
      <c r="C2748" s="2" t="str">
        <f>IFERROR(__xludf.DUMMYFUNCTION("""COMPUTED_VALUE"""),"Coaching")</f>
        <v>Coaching</v>
      </c>
      <c r="D2748" s="2" t="str">
        <f>IFERROR(__xludf.DUMMYFUNCTION("""COMPUTED_VALUE"""),"Brightgrove Books")</f>
        <v>Brightgrove Books</v>
      </c>
      <c r="E2748" s="2">
        <f>IFERROR(__xludf.DUMMYFUNCTION("""COMPUTED_VALUE"""),6.75)</f>
        <v>6.75</v>
      </c>
      <c r="F2748" s="2"/>
      <c r="G2748" s="2"/>
      <c r="H2748" s="2"/>
      <c r="I2748" s="2"/>
    </row>
    <row r="2749">
      <c r="A2749" s="2">
        <f>IFERROR(__xludf.DUMMYFUNCTION("""COMPUTED_VALUE"""),121469.0)</f>
        <v>121469</v>
      </c>
      <c r="B2749" s="2" t="str">
        <f>IFERROR(__xludf.DUMMYFUNCTION("""COMPUTED_VALUE"""),"Finance")</f>
        <v>Finance</v>
      </c>
      <c r="C2749" s="2" t="str">
        <f>IFERROR(__xludf.DUMMYFUNCTION("""COMPUTED_VALUE"""),"Coaching")</f>
        <v>Coaching</v>
      </c>
      <c r="D2749" s="2" t="str">
        <f>IFERROR(__xludf.DUMMYFUNCTION("""COMPUTED_VALUE"""),"Oakgrove Press")</f>
        <v>Oakgrove Press</v>
      </c>
      <c r="E2749" s="2">
        <f>IFERROR(__xludf.DUMMYFUNCTION("""COMPUTED_VALUE"""),5.49)</f>
        <v>5.49</v>
      </c>
      <c r="F2749" s="2"/>
      <c r="G2749" s="2"/>
      <c r="H2749" s="2"/>
      <c r="I2749" s="2"/>
    </row>
    <row r="2750">
      <c r="A2750" s="2">
        <f>IFERROR(__xludf.DUMMYFUNCTION("""COMPUTED_VALUE"""),122579.0)</f>
        <v>122579</v>
      </c>
      <c r="B2750" s="2" t="str">
        <f>IFERROR(__xludf.DUMMYFUNCTION("""COMPUTED_VALUE"""),"Finance")</f>
        <v>Finance</v>
      </c>
      <c r="C2750" s="2" t="str">
        <f>IFERROR(__xludf.DUMMYFUNCTION("""COMPUTED_VALUE"""),"Coaching")</f>
        <v>Coaching</v>
      </c>
      <c r="D2750" s="2" t="str">
        <f>IFERROR(__xludf.DUMMYFUNCTION("""COMPUTED_VALUE"""),"Oakgrove Press")</f>
        <v>Oakgrove Press</v>
      </c>
      <c r="E2750" s="2">
        <f>IFERROR(__xludf.DUMMYFUNCTION("""COMPUTED_VALUE"""),3.72)</f>
        <v>3.72</v>
      </c>
      <c r="F2750" s="2"/>
      <c r="G2750" s="2"/>
      <c r="H2750" s="2"/>
      <c r="I2750" s="2"/>
    </row>
    <row r="2751">
      <c r="A2751" s="2">
        <f>IFERROR(__xludf.DUMMYFUNCTION("""COMPUTED_VALUE"""),113407.0)</f>
        <v>113407</v>
      </c>
      <c r="B2751" s="2" t="str">
        <f>IFERROR(__xludf.DUMMYFUNCTION("""COMPUTED_VALUE"""),"Finance")</f>
        <v>Finance</v>
      </c>
      <c r="C2751" s="2" t="str">
        <f>IFERROR(__xludf.DUMMYFUNCTION("""COMPUTED_VALUE"""),"Coaching")</f>
        <v>Coaching</v>
      </c>
      <c r="D2751" s="2" t="str">
        <f>IFERROR(__xludf.DUMMYFUNCTION("""COMPUTED_VALUE"""),"Oakgrove Press")</f>
        <v>Oakgrove Press</v>
      </c>
      <c r="E2751" s="2">
        <f>IFERROR(__xludf.DUMMYFUNCTION("""COMPUTED_VALUE"""),5.49)</f>
        <v>5.49</v>
      </c>
      <c r="F2751" s="2"/>
      <c r="G2751" s="2"/>
      <c r="H2751" s="2"/>
      <c r="I2751" s="2"/>
    </row>
    <row r="2752">
      <c r="A2752" s="2">
        <f>IFERROR(__xludf.DUMMYFUNCTION("""COMPUTED_VALUE"""),91995.0)</f>
        <v>91995</v>
      </c>
      <c r="B2752" s="2" t="str">
        <f>IFERROR(__xludf.DUMMYFUNCTION("""COMPUTED_VALUE"""),"Finance")</f>
        <v>Finance</v>
      </c>
      <c r="C2752" s="2" t="str">
        <f>IFERROR(__xludf.DUMMYFUNCTION("""COMPUTED_VALUE"""),"Coaching")</f>
        <v>Coaching</v>
      </c>
      <c r="D2752" s="2" t="str">
        <f>IFERROR(__xludf.DUMMYFUNCTION("""COMPUTED_VALUE"""),"Oakgrove Press")</f>
        <v>Oakgrove Press</v>
      </c>
      <c r="E2752" s="2">
        <f>IFERROR(__xludf.DUMMYFUNCTION("""COMPUTED_VALUE"""),2.59)</f>
        <v>2.59</v>
      </c>
      <c r="F2752" s="2"/>
      <c r="G2752" s="2"/>
      <c r="H2752" s="2"/>
      <c r="I2752" s="2"/>
    </row>
    <row r="2753">
      <c r="A2753" s="2">
        <f>IFERROR(__xludf.DUMMYFUNCTION("""COMPUTED_VALUE"""),81178.0)</f>
        <v>81178</v>
      </c>
      <c r="B2753" s="2" t="str">
        <f>IFERROR(__xludf.DUMMYFUNCTION("""COMPUTED_VALUE"""),"Arts")</f>
        <v>Arts</v>
      </c>
      <c r="C2753" s="2" t="str">
        <f>IFERROR(__xludf.DUMMYFUNCTION("""COMPUTED_VALUE"""),"Sports Psychology")</f>
        <v>Sports Psychology</v>
      </c>
      <c r="D2753" s="2" t="str">
        <f>IFERROR(__xludf.DUMMYFUNCTION("""COMPUTED_VALUE"""),"Rivergrove Publishing")</f>
        <v>Rivergrove Publishing</v>
      </c>
      <c r="E2753" s="2">
        <f>IFERROR(__xludf.DUMMYFUNCTION("""COMPUTED_VALUE"""),1.97)</f>
        <v>1.97</v>
      </c>
      <c r="F2753" s="2"/>
      <c r="G2753" s="2"/>
      <c r="H2753" s="2"/>
      <c r="I2753" s="2"/>
    </row>
    <row r="2754">
      <c r="A2754" s="2">
        <f>IFERROR(__xludf.DUMMYFUNCTION("""COMPUTED_VALUE"""),12918.0)</f>
        <v>12918</v>
      </c>
      <c r="B2754" s="2" t="str">
        <f>IFERROR(__xludf.DUMMYFUNCTION("""COMPUTED_VALUE"""),"Arts")</f>
        <v>Arts</v>
      </c>
      <c r="C2754" s="2" t="str">
        <f>IFERROR(__xludf.DUMMYFUNCTION("""COMPUTED_VALUE"""),"Sports Psychology")</f>
        <v>Sports Psychology</v>
      </c>
      <c r="D2754" s="2" t="str">
        <f>IFERROR(__xludf.DUMMYFUNCTION("""COMPUTED_VALUE"""),"Rivergrove Publishing")</f>
        <v>Rivergrove Publishing</v>
      </c>
      <c r="E2754" s="2">
        <f>IFERROR(__xludf.DUMMYFUNCTION("""COMPUTED_VALUE"""),2.12)</f>
        <v>2.12</v>
      </c>
      <c r="F2754" s="2"/>
      <c r="G2754" s="2"/>
      <c r="H2754" s="2"/>
      <c r="I2754" s="2"/>
    </row>
    <row r="2755">
      <c r="A2755" s="2">
        <f>IFERROR(__xludf.DUMMYFUNCTION("""COMPUTED_VALUE"""),122411.0)</f>
        <v>122411</v>
      </c>
      <c r="B2755" s="2" t="str">
        <f>IFERROR(__xludf.DUMMYFUNCTION("""COMPUTED_VALUE"""),"Arts")</f>
        <v>Arts</v>
      </c>
      <c r="C2755" s="2" t="str">
        <f>IFERROR(__xludf.DUMMYFUNCTION("""COMPUTED_VALUE"""),"Sports Psychology")</f>
        <v>Sports Psychology</v>
      </c>
      <c r="D2755" s="2" t="str">
        <f>IFERROR(__xludf.DUMMYFUNCTION("""COMPUTED_VALUE"""),"Rivergrove Publishing")</f>
        <v>Rivergrove Publishing</v>
      </c>
      <c r="E2755" s="2">
        <f>IFERROR(__xludf.DUMMYFUNCTION("""COMPUTED_VALUE"""),2.63)</f>
        <v>2.63</v>
      </c>
      <c r="F2755" s="2"/>
      <c r="G2755" s="2"/>
      <c r="H2755" s="2"/>
      <c r="I2755" s="2"/>
    </row>
    <row r="2756">
      <c r="A2756" s="2">
        <f>IFERROR(__xludf.DUMMYFUNCTION("""COMPUTED_VALUE"""),81194.0)</f>
        <v>81194</v>
      </c>
      <c r="B2756" s="2" t="str">
        <f>IFERROR(__xludf.DUMMYFUNCTION("""COMPUTED_VALUE"""),"Arts")</f>
        <v>Arts</v>
      </c>
      <c r="C2756" s="2" t="str">
        <f>IFERROR(__xludf.DUMMYFUNCTION("""COMPUTED_VALUE"""),"Sports Psychology")</f>
        <v>Sports Psychology</v>
      </c>
      <c r="D2756" s="2" t="str">
        <f>IFERROR(__xludf.DUMMYFUNCTION("""COMPUTED_VALUE"""),"Rivergrove Publishing")</f>
        <v>Rivergrove Publishing</v>
      </c>
      <c r="E2756" s="2">
        <f>IFERROR(__xludf.DUMMYFUNCTION("""COMPUTED_VALUE"""),1.62)</f>
        <v>1.62</v>
      </c>
      <c r="F2756" s="2"/>
      <c r="G2756" s="2"/>
      <c r="H2756" s="2"/>
      <c r="I2756" s="2"/>
    </row>
    <row r="2757">
      <c r="A2757" s="2">
        <f>IFERROR(__xludf.DUMMYFUNCTION("""COMPUTED_VALUE"""),71876.0)</f>
        <v>71876</v>
      </c>
      <c r="B2757" s="2" t="str">
        <f>IFERROR(__xludf.DUMMYFUNCTION("""COMPUTED_VALUE"""),"Arts")</f>
        <v>Arts</v>
      </c>
      <c r="C2757" s="2" t="str">
        <f>IFERROR(__xludf.DUMMYFUNCTION("""COMPUTED_VALUE"""),"Sports Psychology")</f>
        <v>Sports Psychology</v>
      </c>
      <c r="D2757" s="2" t="str">
        <f>IFERROR(__xludf.DUMMYFUNCTION("""COMPUTED_VALUE"""),"Rivergrove Publishing")</f>
        <v>Rivergrove Publishing</v>
      </c>
      <c r="E2757" s="2">
        <f>IFERROR(__xludf.DUMMYFUNCTION("""COMPUTED_VALUE"""),4.54)</f>
        <v>4.54</v>
      </c>
      <c r="F2757" s="2"/>
      <c r="G2757" s="2"/>
      <c r="H2757" s="2"/>
      <c r="I2757" s="2"/>
    </row>
    <row r="2758">
      <c r="A2758" s="2">
        <f>IFERROR(__xludf.DUMMYFUNCTION("""COMPUTED_VALUE"""),129493.0)</f>
        <v>129493</v>
      </c>
      <c r="B2758" s="2" t="str">
        <f>IFERROR(__xludf.DUMMYFUNCTION("""COMPUTED_VALUE"""),"Arts")</f>
        <v>Arts</v>
      </c>
      <c r="C2758" s="2" t="str">
        <f>IFERROR(__xludf.DUMMYFUNCTION("""COMPUTED_VALUE"""),"Sports Psychology")</f>
        <v>Sports Psychology</v>
      </c>
      <c r="D2758" s="2" t="str">
        <f>IFERROR(__xludf.DUMMYFUNCTION("""COMPUTED_VALUE"""),"Rivergrove Publishing")</f>
        <v>Rivergrove Publishing</v>
      </c>
      <c r="E2758" s="2">
        <f>IFERROR(__xludf.DUMMYFUNCTION("""COMPUTED_VALUE"""),3.58)</f>
        <v>3.58</v>
      </c>
      <c r="F2758" s="2"/>
      <c r="G2758" s="2"/>
      <c r="H2758" s="2"/>
      <c r="I2758" s="2"/>
    </row>
    <row r="2759">
      <c r="A2759" s="2">
        <f>IFERROR(__xludf.DUMMYFUNCTION("""COMPUTED_VALUE"""),81190.0)</f>
        <v>81190</v>
      </c>
      <c r="B2759" s="2" t="str">
        <f>IFERROR(__xludf.DUMMYFUNCTION("""COMPUTED_VALUE"""),"Arts")</f>
        <v>Arts</v>
      </c>
      <c r="C2759" s="2" t="str">
        <f>IFERROR(__xludf.DUMMYFUNCTION("""COMPUTED_VALUE"""),"Sports Psychology")</f>
        <v>Sports Psychology</v>
      </c>
      <c r="D2759" s="2" t="str">
        <f>IFERROR(__xludf.DUMMYFUNCTION("""COMPUTED_VALUE"""),"Rivergrove Publishing")</f>
        <v>Rivergrove Publishing</v>
      </c>
      <c r="E2759" s="2">
        <f>IFERROR(__xludf.DUMMYFUNCTION("""COMPUTED_VALUE"""),1.91)</f>
        <v>1.91</v>
      </c>
      <c r="F2759" s="2"/>
      <c r="G2759" s="2"/>
      <c r="H2759" s="2"/>
      <c r="I2759" s="2"/>
    </row>
    <row r="2760">
      <c r="A2760" s="2">
        <f>IFERROR(__xludf.DUMMYFUNCTION("""COMPUTED_VALUE"""),71875.0)</f>
        <v>71875</v>
      </c>
      <c r="B2760" s="2" t="str">
        <f>IFERROR(__xludf.DUMMYFUNCTION("""COMPUTED_VALUE"""),"Arts")</f>
        <v>Arts</v>
      </c>
      <c r="C2760" s="2" t="str">
        <f>IFERROR(__xludf.DUMMYFUNCTION("""COMPUTED_VALUE"""),"Sports Psychology")</f>
        <v>Sports Psychology</v>
      </c>
      <c r="D2760" s="2" t="str">
        <f>IFERROR(__xludf.DUMMYFUNCTION("""COMPUTED_VALUE"""),"Rivergrove Publishing")</f>
        <v>Rivergrove Publishing</v>
      </c>
      <c r="E2760" s="2">
        <f>IFERROR(__xludf.DUMMYFUNCTION("""COMPUTED_VALUE"""),4.18)</f>
        <v>4.18</v>
      </c>
      <c r="F2760" s="2"/>
      <c r="G2760" s="2"/>
      <c r="H2760" s="2"/>
      <c r="I2760" s="2"/>
    </row>
    <row r="2761">
      <c r="A2761" s="2">
        <f>IFERROR(__xludf.DUMMYFUNCTION("""COMPUTED_VALUE"""),81198.0)</f>
        <v>81198</v>
      </c>
      <c r="B2761" s="2" t="str">
        <f>IFERROR(__xludf.DUMMYFUNCTION("""COMPUTED_VALUE"""),"Arts")</f>
        <v>Arts</v>
      </c>
      <c r="C2761" s="2" t="str">
        <f>IFERROR(__xludf.DUMMYFUNCTION("""COMPUTED_VALUE"""),"Sports Psychology")</f>
        <v>Sports Psychology</v>
      </c>
      <c r="D2761" s="2" t="str">
        <f>IFERROR(__xludf.DUMMYFUNCTION("""COMPUTED_VALUE"""),"Rivergrove Publishing")</f>
        <v>Rivergrove Publishing</v>
      </c>
      <c r="E2761" s="2">
        <f>IFERROR(__xludf.DUMMYFUNCTION("""COMPUTED_VALUE"""),1.73)</f>
        <v>1.73</v>
      </c>
      <c r="F2761" s="2"/>
      <c r="G2761" s="2"/>
      <c r="H2761" s="2"/>
      <c r="I2761" s="2"/>
    </row>
    <row r="2762">
      <c r="A2762" s="2">
        <f>IFERROR(__xludf.DUMMYFUNCTION("""COMPUTED_VALUE"""),188723.0)</f>
        <v>188723</v>
      </c>
      <c r="B2762" s="2" t="str">
        <f>IFERROR(__xludf.DUMMYFUNCTION("""COMPUTED_VALUE"""),"Arts")</f>
        <v>Arts</v>
      </c>
      <c r="C2762" s="2" t="str">
        <f>IFERROR(__xludf.DUMMYFUNCTION("""COMPUTED_VALUE"""),"Sports Psychology")</f>
        <v>Sports Psychology</v>
      </c>
      <c r="D2762" s="2" t="str">
        <f>IFERROR(__xludf.DUMMYFUNCTION("""COMPUTED_VALUE"""),"Rivergrove Publishing")</f>
        <v>Rivergrove Publishing</v>
      </c>
      <c r="E2762" s="2">
        <f>IFERROR(__xludf.DUMMYFUNCTION("""COMPUTED_VALUE"""),1.72)</f>
        <v>1.72</v>
      </c>
      <c r="F2762" s="2"/>
      <c r="G2762" s="2"/>
      <c r="H2762" s="2"/>
      <c r="I2762" s="2"/>
    </row>
    <row r="2763">
      <c r="A2763" s="2">
        <f>IFERROR(__xludf.DUMMYFUNCTION("""COMPUTED_VALUE"""),115053.0)</f>
        <v>115053</v>
      </c>
      <c r="B2763" s="2" t="str">
        <f>IFERROR(__xludf.DUMMYFUNCTION("""COMPUTED_VALUE"""),"Arts")</f>
        <v>Arts</v>
      </c>
      <c r="C2763" s="2" t="str">
        <f>IFERROR(__xludf.DUMMYFUNCTION("""COMPUTED_VALUE"""),"Sports Psychology")</f>
        <v>Sports Psychology</v>
      </c>
      <c r="D2763" s="2" t="str">
        <f>IFERROR(__xludf.DUMMYFUNCTION("""COMPUTED_VALUE"""),"Rivergrove Publishing")</f>
        <v>Rivergrove Publishing</v>
      </c>
      <c r="E2763" s="2">
        <f>IFERROR(__xludf.DUMMYFUNCTION("""COMPUTED_VALUE"""),3.0)</f>
        <v>3</v>
      </c>
      <c r="F2763" s="2"/>
      <c r="G2763" s="2"/>
      <c r="H2763" s="2"/>
      <c r="I2763" s="2"/>
    </row>
    <row r="2764">
      <c r="A2764" s="2">
        <f>IFERROR(__xludf.DUMMYFUNCTION("""COMPUTED_VALUE"""),104609.0)</f>
        <v>104609</v>
      </c>
      <c r="B2764" s="2" t="str">
        <f>IFERROR(__xludf.DUMMYFUNCTION("""COMPUTED_VALUE"""),"Arts")</f>
        <v>Arts</v>
      </c>
      <c r="C2764" s="2" t="str">
        <f>IFERROR(__xludf.DUMMYFUNCTION("""COMPUTED_VALUE"""),"Sports Psychology")</f>
        <v>Sports Psychology</v>
      </c>
      <c r="D2764" s="2" t="str">
        <f>IFERROR(__xludf.DUMMYFUNCTION("""COMPUTED_VALUE"""),"Rivergrove Publishing")</f>
        <v>Rivergrove Publishing</v>
      </c>
      <c r="E2764" s="2">
        <f>IFERROR(__xludf.DUMMYFUNCTION("""COMPUTED_VALUE"""),2.69)</f>
        <v>2.69</v>
      </c>
      <c r="F2764" s="2"/>
      <c r="G2764" s="2"/>
      <c r="H2764" s="2"/>
      <c r="I2764" s="2"/>
    </row>
    <row r="2765">
      <c r="A2765" s="2">
        <f>IFERROR(__xludf.DUMMYFUNCTION("""COMPUTED_VALUE"""),12916.0)</f>
        <v>12916</v>
      </c>
      <c r="B2765" s="2" t="str">
        <f>IFERROR(__xludf.DUMMYFUNCTION("""COMPUTED_VALUE"""),"Arts")</f>
        <v>Arts</v>
      </c>
      <c r="C2765" s="2" t="str">
        <f>IFERROR(__xludf.DUMMYFUNCTION("""COMPUTED_VALUE"""),"Sports Psychology")</f>
        <v>Sports Psychology</v>
      </c>
      <c r="D2765" s="2" t="str">
        <f>IFERROR(__xludf.DUMMYFUNCTION("""COMPUTED_VALUE"""),"Rivergrove Publishing")</f>
        <v>Rivergrove Publishing</v>
      </c>
      <c r="E2765" s="2">
        <f>IFERROR(__xludf.DUMMYFUNCTION("""COMPUTED_VALUE"""),2.36)</f>
        <v>2.36</v>
      </c>
      <c r="F2765" s="2"/>
      <c r="G2765" s="2"/>
      <c r="H2765" s="2"/>
      <c r="I2765" s="2"/>
    </row>
    <row r="2766">
      <c r="A2766" s="2">
        <f>IFERROR(__xludf.DUMMYFUNCTION("""COMPUTED_VALUE"""),129488.0)</f>
        <v>129488</v>
      </c>
      <c r="B2766" s="2" t="str">
        <f>IFERROR(__xludf.DUMMYFUNCTION("""COMPUTED_VALUE"""),"Arts")</f>
        <v>Arts</v>
      </c>
      <c r="C2766" s="2" t="str">
        <f>IFERROR(__xludf.DUMMYFUNCTION("""COMPUTED_VALUE"""),"Sports Psychology")</f>
        <v>Sports Psychology</v>
      </c>
      <c r="D2766" s="2" t="str">
        <f>IFERROR(__xludf.DUMMYFUNCTION("""COMPUTED_VALUE"""),"Rivergrove Publishing")</f>
        <v>Rivergrove Publishing</v>
      </c>
      <c r="E2766" s="2">
        <f>IFERROR(__xludf.DUMMYFUNCTION("""COMPUTED_VALUE"""),2.83)</f>
        <v>2.83</v>
      </c>
      <c r="F2766" s="2"/>
      <c r="G2766" s="2"/>
      <c r="H2766" s="2"/>
      <c r="I2766" s="2"/>
    </row>
    <row r="2767">
      <c r="A2767" s="2">
        <f>IFERROR(__xludf.DUMMYFUNCTION("""COMPUTED_VALUE"""),78566.0)</f>
        <v>78566</v>
      </c>
      <c r="B2767" s="2" t="str">
        <f>IFERROR(__xludf.DUMMYFUNCTION("""COMPUTED_VALUE"""),"Arts")</f>
        <v>Arts</v>
      </c>
      <c r="C2767" s="2" t="str">
        <f>IFERROR(__xludf.DUMMYFUNCTION("""COMPUTED_VALUE"""),"Sports Psychology")</f>
        <v>Sports Psychology</v>
      </c>
      <c r="D2767" s="2" t="str">
        <f>IFERROR(__xludf.DUMMYFUNCTION("""COMPUTED_VALUE"""),"Rivergrove Publishing")</f>
        <v>Rivergrove Publishing</v>
      </c>
      <c r="E2767" s="2">
        <f>IFERROR(__xludf.DUMMYFUNCTION("""COMPUTED_VALUE"""),2.02)</f>
        <v>2.02</v>
      </c>
      <c r="F2767" s="2"/>
      <c r="G2767" s="2"/>
      <c r="H2767" s="2"/>
      <c r="I2767" s="2"/>
    </row>
    <row r="2768">
      <c r="A2768" s="2">
        <f>IFERROR(__xludf.DUMMYFUNCTION("""COMPUTED_VALUE"""),15090.0)</f>
        <v>15090</v>
      </c>
      <c r="B2768" s="2" t="str">
        <f>IFERROR(__xludf.DUMMYFUNCTION("""COMPUTED_VALUE"""),"Arts")</f>
        <v>Arts</v>
      </c>
      <c r="C2768" s="2" t="str">
        <f>IFERROR(__xludf.DUMMYFUNCTION("""COMPUTED_VALUE"""),"Sports Psychology")</f>
        <v>Sports Psychology</v>
      </c>
      <c r="D2768" s="2" t="str">
        <f>IFERROR(__xludf.DUMMYFUNCTION("""COMPUTED_VALUE"""),"Rivergrove Publishing")</f>
        <v>Rivergrove Publishing</v>
      </c>
      <c r="E2768" s="2">
        <f>IFERROR(__xludf.DUMMYFUNCTION("""COMPUTED_VALUE"""),2.66)</f>
        <v>2.66</v>
      </c>
      <c r="F2768" s="2"/>
      <c r="G2768" s="2"/>
      <c r="H2768" s="2"/>
      <c r="I2768" s="2"/>
    </row>
    <row r="2769">
      <c r="A2769" s="2">
        <f>IFERROR(__xludf.DUMMYFUNCTION("""COMPUTED_VALUE"""),81209.0)</f>
        <v>81209</v>
      </c>
      <c r="B2769" s="2" t="str">
        <f>IFERROR(__xludf.DUMMYFUNCTION("""COMPUTED_VALUE"""),"Arts")</f>
        <v>Arts</v>
      </c>
      <c r="C2769" s="2" t="str">
        <f>IFERROR(__xludf.DUMMYFUNCTION("""COMPUTED_VALUE"""),"Sports Psychology")</f>
        <v>Sports Psychology</v>
      </c>
      <c r="D2769" s="2" t="str">
        <f>IFERROR(__xludf.DUMMYFUNCTION("""COMPUTED_VALUE"""),"Rivergrove Publishing")</f>
        <v>Rivergrove Publishing</v>
      </c>
      <c r="E2769" s="2">
        <f>IFERROR(__xludf.DUMMYFUNCTION("""COMPUTED_VALUE"""),1.97)</f>
        <v>1.97</v>
      </c>
      <c r="F2769" s="2"/>
      <c r="G2769" s="2"/>
      <c r="H2769" s="2"/>
      <c r="I2769" s="2"/>
    </row>
    <row r="2770">
      <c r="A2770" s="2">
        <f>IFERROR(__xludf.DUMMYFUNCTION("""COMPUTED_VALUE"""),108141.0)</f>
        <v>108141</v>
      </c>
      <c r="B2770" s="2" t="str">
        <f>IFERROR(__xludf.DUMMYFUNCTION("""COMPUTED_VALUE"""),"Arts")</f>
        <v>Arts</v>
      </c>
      <c r="C2770" s="2" t="str">
        <f>IFERROR(__xludf.DUMMYFUNCTION("""COMPUTED_VALUE"""),"Sports Psychology")</f>
        <v>Sports Psychology</v>
      </c>
      <c r="D2770" s="2" t="str">
        <f>IFERROR(__xludf.DUMMYFUNCTION("""COMPUTED_VALUE"""),"Rivergrove Publishing")</f>
        <v>Rivergrove Publishing</v>
      </c>
      <c r="E2770" s="2">
        <f>IFERROR(__xludf.DUMMYFUNCTION("""COMPUTED_VALUE"""),2.3)</f>
        <v>2.3</v>
      </c>
      <c r="F2770" s="2"/>
      <c r="G2770" s="2"/>
      <c r="H2770" s="2"/>
      <c r="I2770" s="2"/>
    </row>
    <row r="2771">
      <c r="A2771" s="2">
        <f>IFERROR(__xludf.DUMMYFUNCTION("""COMPUTED_VALUE"""),12914.0)</f>
        <v>12914</v>
      </c>
      <c r="B2771" s="2" t="str">
        <f>IFERROR(__xludf.DUMMYFUNCTION("""COMPUTED_VALUE"""),"Arts")</f>
        <v>Arts</v>
      </c>
      <c r="C2771" s="2" t="str">
        <f>IFERROR(__xludf.DUMMYFUNCTION("""COMPUTED_VALUE"""),"Sports Psychology")</f>
        <v>Sports Psychology</v>
      </c>
      <c r="D2771" s="2" t="str">
        <f>IFERROR(__xludf.DUMMYFUNCTION("""COMPUTED_VALUE"""),"Rivergrove Publishing")</f>
        <v>Rivergrove Publishing</v>
      </c>
      <c r="E2771" s="2">
        <f>IFERROR(__xludf.DUMMYFUNCTION("""COMPUTED_VALUE"""),2.11)</f>
        <v>2.11</v>
      </c>
      <c r="F2771" s="2"/>
      <c r="G2771" s="2"/>
      <c r="H2771" s="2"/>
      <c r="I2771" s="2"/>
    </row>
    <row r="2772">
      <c r="A2772" s="2">
        <f>IFERROR(__xludf.DUMMYFUNCTION("""COMPUTED_VALUE"""),129492.0)</f>
        <v>129492</v>
      </c>
      <c r="B2772" s="2" t="str">
        <f>IFERROR(__xludf.DUMMYFUNCTION("""COMPUTED_VALUE"""),"Arts")</f>
        <v>Arts</v>
      </c>
      <c r="C2772" s="2" t="str">
        <f>IFERROR(__xludf.DUMMYFUNCTION("""COMPUTED_VALUE"""),"Sports Psychology")</f>
        <v>Sports Psychology</v>
      </c>
      <c r="D2772" s="2" t="str">
        <f>IFERROR(__xludf.DUMMYFUNCTION("""COMPUTED_VALUE"""),"Rivergrove Publishing")</f>
        <v>Rivergrove Publishing</v>
      </c>
      <c r="E2772" s="2">
        <f>IFERROR(__xludf.DUMMYFUNCTION("""COMPUTED_VALUE"""),3.44)</f>
        <v>3.44</v>
      </c>
      <c r="F2772" s="2"/>
      <c r="G2772" s="2"/>
      <c r="H2772" s="2"/>
      <c r="I2772" s="2"/>
    </row>
    <row r="2773">
      <c r="A2773" s="2">
        <f>IFERROR(__xludf.DUMMYFUNCTION("""COMPUTED_VALUE"""),120473.0)</f>
        <v>120473</v>
      </c>
      <c r="B2773" s="2" t="str">
        <f>IFERROR(__xludf.DUMMYFUNCTION("""COMPUTED_VALUE"""),"Arts")</f>
        <v>Arts</v>
      </c>
      <c r="C2773" s="2" t="str">
        <f>IFERROR(__xludf.DUMMYFUNCTION("""COMPUTED_VALUE"""),"Sports Psychology")</f>
        <v>Sports Psychology</v>
      </c>
      <c r="D2773" s="2" t="str">
        <f>IFERROR(__xludf.DUMMYFUNCTION("""COMPUTED_VALUE"""),"Rivergrove Publishing")</f>
        <v>Rivergrove Publishing</v>
      </c>
      <c r="E2773" s="2">
        <f>IFERROR(__xludf.DUMMYFUNCTION("""COMPUTED_VALUE"""),2.79)</f>
        <v>2.79</v>
      </c>
      <c r="F2773" s="2"/>
      <c r="G2773" s="2"/>
      <c r="H2773" s="2"/>
      <c r="I2773" s="2"/>
    </row>
    <row r="2774">
      <c r="A2774" s="2">
        <f>IFERROR(__xludf.DUMMYFUNCTION("""COMPUTED_VALUE"""),12924.0)</f>
        <v>12924</v>
      </c>
      <c r="B2774" s="2" t="str">
        <f>IFERROR(__xludf.DUMMYFUNCTION("""COMPUTED_VALUE"""),"Arts")</f>
        <v>Arts</v>
      </c>
      <c r="C2774" s="2" t="str">
        <f>IFERROR(__xludf.DUMMYFUNCTION("""COMPUTED_VALUE"""),"Sports Psychology")</f>
        <v>Sports Psychology</v>
      </c>
      <c r="D2774" s="2" t="str">
        <f>IFERROR(__xludf.DUMMYFUNCTION("""COMPUTED_VALUE"""),"Rivergrove Publishing")</f>
        <v>Rivergrove Publishing</v>
      </c>
      <c r="E2774" s="2">
        <f>IFERROR(__xludf.DUMMYFUNCTION("""COMPUTED_VALUE"""),2.13)</f>
        <v>2.13</v>
      </c>
      <c r="F2774" s="2"/>
      <c r="G2774" s="2"/>
      <c r="H2774" s="2"/>
      <c r="I2774" s="2"/>
    </row>
    <row r="2775">
      <c r="A2775" s="2">
        <f>IFERROR(__xludf.DUMMYFUNCTION("""COMPUTED_VALUE"""),12920.0)</f>
        <v>12920</v>
      </c>
      <c r="B2775" s="2" t="str">
        <f>IFERROR(__xludf.DUMMYFUNCTION("""COMPUTED_VALUE"""),"Arts")</f>
        <v>Arts</v>
      </c>
      <c r="C2775" s="2" t="str">
        <f>IFERROR(__xludf.DUMMYFUNCTION("""COMPUTED_VALUE"""),"Sports Psychology")</f>
        <v>Sports Psychology</v>
      </c>
      <c r="D2775" s="2" t="str">
        <f>IFERROR(__xludf.DUMMYFUNCTION("""COMPUTED_VALUE"""),"Rivergrove Publishing")</f>
        <v>Rivergrove Publishing</v>
      </c>
      <c r="E2775" s="2">
        <f>IFERROR(__xludf.DUMMYFUNCTION("""COMPUTED_VALUE"""),2.14)</f>
        <v>2.14</v>
      </c>
      <c r="F2775" s="2"/>
      <c r="G2775" s="2"/>
      <c r="H2775" s="2"/>
      <c r="I2775" s="2"/>
    </row>
    <row r="2776">
      <c r="A2776" s="2">
        <f>IFERROR(__xludf.DUMMYFUNCTION("""COMPUTED_VALUE"""),81200.0)</f>
        <v>81200</v>
      </c>
      <c r="B2776" s="2" t="str">
        <f>IFERROR(__xludf.DUMMYFUNCTION("""COMPUTED_VALUE"""),"Arts")</f>
        <v>Arts</v>
      </c>
      <c r="C2776" s="2" t="str">
        <f>IFERROR(__xludf.DUMMYFUNCTION("""COMPUTED_VALUE"""),"Sports Psychology")</f>
        <v>Sports Psychology</v>
      </c>
      <c r="D2776" s="2" t="str">
        <f>IFERROR(__xludf.DUMMYFUNCTION("""COMPUTED_VALUE"""),"Rivergrove Publishing")</f>
        <v>Rivergrove Publishing</v>
      </c>
      <c r="E2776" s="2">
        <f>IFERROR(__xludf.DUMMYFUNCTION("""COMPUTED_VALUE"""),1.66)</f>
        <v>1.66</v>
      </c>
      <c r="F2776" s="2"/>
      <c r="G2776" s="2"/>
      <c r="H2776" s="2"/>
      <c r="I2776" s="2"/>
    </row>
    <row r="2777">
      <c r="A2777" s="2">
        <f>IFERROR(__xludf.DUMMYFUNCTION("""COMPUTED_VALUE"""),122410.0)</f>
        <v>122410</v>
      </c>
      <c r="B2777" s="2" t="str">
        <f>IFERROR(__xludf.DUMMYFUNCTION("""COMPUTED_VALUE"""),"Arts")</f>
        <v>Arts</v>
      </c>
      <c r="C2777" s="2" t="str">
        <f>IFERROR(__xludf.DUMMYFUNCTION("""COMPUTED_VALUE"""),"Sports Psychology")</f>
        <v>Sports Psychology</v>
      </c>
      <c r="D2777" s="2" t="str">
        <f>IFERROR(__xludf.DUMMYFUNCTION("""COMPUTED_VALUE"""),"Rivergrove Publishing")</f>
        <v>Rivergrove Publishing</v>
      </c>
      <c r="E2777" s="2">
        <f>IFERROR(__xludf.DUMMYFUNCTION("""COMPUTED_VALUE"""),2.3)</f>
        <v>2.3</v>
      </c>
      <c r="F2777" s="2"/>
      <c r="G2777" s="2"/>
      <c r="H2777" s="2"/>
      <c r="I2777" s="2"/>
    </row>
    <row r="2778">
      <c r="A2778" s="2">
        <f>IFERROR(__xludf.DUMMYFUNCTION("""COMPUTED_VALUE"""),81720.0)</f>
        <v>81720</v>
      </c>
      <c r="B2778" s="2" t="str">
        <f>IFERROR(__xludf.DUMMYFUNCTION("""COMPUTED_VALUE"""),"Arts")</f>
        <v>Arts</v>
      </c>
      <c r="C2778" s="2" t="str">
        <f>IFERROR(__xludf.DUMMYFUNCTION("""COMPUTED_VALUE"""),"Sports Psychology")</f>
        <v>Sports Psychology</v>
      </c>
      <c r="D2778" s="2" t="str">
        <f>IFERROR(__xludf.DUMMYFUNCTION("""COMPUTED_VALUE"""),"Rivergrove Publishing")</f>
        <v>Rivergrove Publishing</v>
      </c>
      <c r="E2778" s="2">
        <f>IFERROR(__xludf.DUMMYFUNCTION("""COMPUTED_VALUE"""),3.53)</f>
        <v>3.53</v>
      </c>
      <c r="F2778" s="2"/>
      <c r="G2778" s="2"/>
      <c r="H2778" s="2"/>
      <c r="I2778" s="2"/>
    </row>
    <row r="2779">
      <c r="A2779" s="2">
        <f>IFERROR(__xludf.DUMMYFUNCTION("""COMPUTED_VALUE"""),12923.0)</f>
        <v>12923</v>
      </c>
      <c r="B2779" s="2" t="str">
        <f>IFERROR(__xludf.DUMMYFUNCTION("""COMPUTED_VALUE"""),"Arts")</f>
        <v>Arts</v>
      </c>
      <c r="C2779" s="2" t="str">
        <f>IFERROR(__xludf.DUMMYFUNCTION("""COMPUTED_VALUE"""),"Sports Psychology")</f>
        <v>Sports Psychology</v>
      </c>
      <c r="D2779" s="2" t="str">
        <f>IFERROR(__xludf.DUMMYFUNCTION("""COMPUTED_VALUE"""),"Rivergrove Publishing")</f>
        <v>Rivergrove Publishing</v>
      </c>
      <c r="E2779" s="2">
        <f>IFERROR(__xludf.DUMMYFUNCTION("""COMPUTED_VALUE"""),2.36)</f>
        <v>2.36</v>
      </c>
      <c r="F2779" s="2"/>
      <c r="G2779" s="2"/>
      <c r="H2779" s="2"/>
      <c r="I2779" s="2"/>
    </row>
    <row r="2780">
      <c r="A2780" s="2">
        <f>IFERROR(__xludf.DUMMYFUNCTION("""COMPUTED_VALUE"""),81173.0)</f>
        <v>81173</v>
      </c>
      <c r="B2780" s="2" t="str">
        <f>IFERROR(__xludf.DUMMYFUNCTION("""COMPUTED_VALUE"""),"Arts")</f>
        <v>Arts</v>
      </c>
      <c r="C2780" s="2" t="str">
        <f>IFERROR(__xludf.DUMMYFUNCTION("""COMPUTED_VALUE"""),"Sports Psychology")</f>
        <v>Sports Psychology</v>
      </c>
      <c r="D2780" s="2" t="str">
        <f>IFERROR(__xludf.DUMMYFUNCTION("""COMPUTED_VALUE"""),"Rivergrove Publishing")</f>
        <v>Rivergrove Publishing</v>
      </c>
      <c r="E2780" s="2">
        <f>IFERROR(__xludf.DUMMYFUNCTION("""COMPUTED_VALUE"""),1.9)</f>
        <v>1.9</v>
      </c>
      <c r="F2780" s="2"/>
      <c r="G2780" s="2"/>
      <c r="H2780" s="2"/>
      <c r="I2780" s="2"/>
    </row>
    <row r="2781">
      <c r="A2781" s="2">
        <f>IFERROR(__xludf.DUMMYFUNCTION("""COMPUTED_VALUE"""),12910.0)</f>
        <v>12910</v>
      </c>
      <c r="B2781" s="2" t="str">
        <f>IFERROR(__xludf.DUMMYFUNCTION("""COMPUTED_VALUE"""),"Arts")</f>
        <v>Arts</v>
      </c>
      <c r="C2781" s="2" t="str">
        <f>IFERROR(__xludf.DUMMYFUNCTION("""COMPUTED_VALUE"""),"Sports Psychology")</f>
        <v>Sports Psychology</v>
      </c>
      <c r="D2781" s="2" t="str">
        <f>IFERROR(__xludf.DUMMYFUNCTION("""COMPUTED_VALUE"""),"Rivergrove Publishing")</f>
        <v>Rivergrove Publishing</v>
      </c>
      <c r="E2781" s="2">
        <f>IFERROR(__xludf.DUMMYFUNCTION("""COMPUTED_VALUE"""),1.88)</f>
        <v>1.88</v>
      </c>
      <c r="F2781" s="2"/>
      <c r="G2781" s="2"/>
      <c r="H2781" s="2"/>
      <c r="I2781" s="2"/>
    </row>
    <row r="2782">
      <c r="A2782" s="2">
        <f>IFERROR(__xludf.DUMMYFUNCTION("""COMPUTED_VALUE"""),81193.0)</f>
        <v>81193</v>
      </c>
      <c r="B2782" s="2" t="str">
        <f>IFERROR(__xludf.DUMMYFUNCTION("""COMPUTED_VALUE"""),"Arts")</f>
        <v>Arts</v>
      </c>
      <c r="C2782" s="2" t="str">
        <f>IFERROR(__xludf.DUMMYFUNCTION("""COMPUTED_VALUE"""),"Sports Psychology")</f>
        <v>Sports Psychology</v>
      </c>
      <c r="D2782" s="2" t="str">
        <f>IFERROR(__xludf.DUMMYFUNCTION("""COMPUTED_VALUE"""),"Rivergrove Publishing")</f>
        <v>Rivergrove Publishing</v>
      </c>
      <c r="E2782" s="2">
        <f>IFERROR(__xludf.DUMMYFUNCTION("""COMPUTED_VALUE"""),1.98)</f>
        <v>1.98</v>
      </c>
      <c r="F2782" s="2"/>
      <c r="G2782" s="2"/>
      <c r="H2782" s="2"/>
      <c r="I2782" s="2"/>
    </row>
    <row r="2783">
      <c r="A2783" s="2">
        <f>IFERROR(__xludf.DUMMYFUNCTION("""COMPUTED_VALUE"""),12917.0)</f>
        <v>12917</v>
      </c>
      <c r="B2783" s="2" t="str">
        <f>IFERROR(__xludf.DUMMYFUNCTION("""COMPUTED_VALUE"""),"Arts")</f>
        <v>Arts</v>
      </c>
      <c r="C2783" s="2" t="str">
        <f>IFERROR(__xludf.DUMMYFUNCTION("""COMPUTED_VALUE"""),"Sports Psychology")</f>
        <v>Sports Psychology</v>
      </c>
      <c r="D2783" s="2" t="str">
        <f>IFERROR(__xludf.DUMMYFUNCTION("""COMPUTED_VALUE"""),"Rivergrove Publishing")</f>
        <v>Rivergrove Publishing</v>
      </c>
      <c r="E2783" s="2">
        <f>IFERROR(__xludf.DUMMYFUNCTION("""COMPUTED_VALUE"""),2.32)</f>
        <v>2.32</v>
      </c>
      <c r="F2783" s="2"/>
      <c r="G2783" s="2"/>
      <c r="H2783" s="2"/>
      <c r="I2783" s="2"/>
    </row>
    <row r="2784">
      <c r="A2784" s="2">
        <f>IFERROR(__xludf.DUMMYFUNCTION("""COMPUTED_VALUE"""),129491.0)</f>
        <v>129491</v>
      </c>
      <c r="B2784" s="2" t="str">
        <f>IFERROR(__xludf.DUMMYFUNCTION("""COMPUTED_VALUE"""),"Arts")</f>
        <v>Arts</v>
      </c>
      <c r="C2784" s="2" t="str">
        <f>IFERROR(__xludf.DUMMYFUNCTION("""COMPUTED_VALUE"""),"Sports Psychology")</f>
        <v>Sports Psychology</v>
      </c>
      <c r="D2784" s="2" t="str">
        <f>IFERROR(__xludf.DUMMYFUNCTION("""COMPUTED_VALUE"""),"Rivergrove Publishing")</f>
        <v>Rivergrove Publishing</v>
      </c>
      <c r="E2784" s="2">
        <f>IFERROR(__xludf.DUMMYFUNCTION("""COMPUTED_VALUE"""),2.55)</f>
        <v>2.55</v>
      </c>
      <c r="F2784" s="2"/>
      <c r="G2784" s="2"/>
      <c r="H2784" s="2"/>
      <c r="I2784" s="2"/>
    </row>
    <row r="2785">
      <c r="A2785" s="2">
        <f>IFERROR(__xludf.DUMMYFUNCTION("""COMPUTED_VALUE"""),15104.0)</f>
        <v>15104</v>
      </c>
      <c r="B2785" s="2" t="str">
        <f>IFERROR(__xludf.DUMMYFUNCTION("""COMPUTED_VALUE"""),"Arts")</f>
        <v>Arts</v>
      </c>
      <c r="C2785" s="2" t="str">
        <f>IFERROR(__xludf.DUMMYFUNCTION("""COMPUTED_VALUE"""),"Sports Psychology")</f>
        <v>Sports Psychology</v>
      </c>
      <c r="D2785" s="2" t="str">
        <f>IFERROR(__xludf.DUMMYFUNCTION("""COMPUTED_VALUE"""),"Rivergrove Publishing")</f>
        <v>Rivergrove Publishing</v>
      </c>
      <c r="E2785" s="2">
        <f>IFERROR(__xludf.DUMMYFUNCTION("""COMPUTED_VALUE"""),2.19)</f>
        <v>2.19</v>
      </c>
      <c r="F2785" s="2"/>
      <c r="G2785" s="2"/>
      <c r="H2785" s="2"/>
      <c r="I2785" s="2"/>
    </row>
    <row r="2786">
      <c r="A2786" s="2">
        <f>IFERROR(__xludf.DUMMYFUNCTION("""COMPUTED_VALUE"""),122407.0)</f>
        <v>122407</v>
      </c>
      <c r="B2786" s="2" t="str">
        <f>IFERROR(__xludf.DUMMYFUNCTION("""COMPUTED_VALUE"""),"Arts")</f>
        <v>Arts</v>
      </c>
      <c r="C2786" s="2" t="str">
        <f>IFERROR(__xludf.DUMMYFUNCTION("""COMPUTED_VALUE"""),"Sports Psychology")</f>
        <v>Sports Psychology</v>
      </c>
      <c r="D2786" s="2" t="str">
        <f>IFERROR(__xludf.DUMMYFUNCTION("""COMPUTED_VALUE"""),"Rivergrove Publishing")</f>
        <v>Rivergrove Publishing</v>
      </c>
      <c r="E2786" s="2">
        <f>IFERROR(__xludf.DUMMYFUNCTION("""COMPUTED_VALUE"""),2.72)</f>
        <v>2.72</v>
      </c>
      <c r="F2786" s="2"/>
      <c r="G2786" s="2"/>
      <c r="H2786" s="2"/>
      <c r="I2786" s="2"/>
    </row>
    <row r="2787">
      <c r="A2787" s="2">
        <f>IFERROR(__xludf.DUMMYFUNCTION("""COMPUTED_VALUE"""),81191.0)</f>
        <v>81191</v>
      </c>
      <c r="B2787" s="2" t="str">
        <f>IFERROR(__xludf.DUMMYFUNCTION("""COMPUTED_VALUE"""),"Arts")</f>
        <v>Arts</v>
      </c>
      <c r="C2787" s="2" t="str">
        <f>IFERROR(__xludf.DUMMYFUNCTION("""COMPUTED_VALUE"""),"Sports Psychology")</f>
        <v>Sports Psychology</v>
      </c>
      <c r="D2787" s="2" t="str">
        <f>IFERROR(__xludf.DUMMYFUNCTION("""COMPUTED_VALUE"""),"Rivergrove Publishing")</f>
        <v>Rivergrove Publishing</v>
      </c>
      <c r="E2787" s="2">
        <f>IFERROR(__xludf.DUMMYFUNCTION("""COMPUTED_VALUE"""),2.02)</f>
        <v>2.02</v>
      </c>
      <c r="F2787" s="2"/>
      <c r="G2787" s="2"/>
      <c r="H2787" s="2"/>
      <c r="I2787" s="2"/>
    </row>
    <row r="2788">
      <c r="A2788" s="2">
        <f>IFERROR(__xludf.DUMMYFUNCTION("""COMPUTED_VALUE"""),188725.0)</f>
        <v>188725</v>
      </c>
      <c r="B2788" s="2" t="str">
        <f>IFERROR(__xludf.DUMMYFUNCTION("""COMPUTED_VALUE"""),"Arts")</f>
        <v>Arts</v>
      </c>
      <c r="C2788" s="2" t="str">
        <f>IFERROR(__xludf.DUMMYFUNCTION("""COMPUTED_VALUE"""),"Sports Psychology")</f>
        <v>Sports Psychology</v>
      </c>
      <c r="D2788" s="2" t="str">
        <f>IFERROR(__xludf.DUMMYFUNCTION("""COMPUTED_VALUE"""),"Rivergrove Publishing")</f>
        <v>Rivergrove Publishing</v>
      </c>
      <c r="E2788" s="2">
        <f>IFERROR(__xludf.DUMMYFUNCTION("""COMPUTED_VALUE"""),1.31)</f>
        <v>1.31</v>
      </c>
      <c r="F2788" s="2"/>
      <c r="G2788" s="2"/>
      <c r="H2788" s="2"/>
      <c r="I2788" s="2"/>
    </row>
    <row r="2789">
      <c r="A2789" s="2">
        <f>IFERROR(__xludf.DUMMYFUNCTION("""COMPUTED_VALUE"""),188724.0)</f>
        <v>188724</v>
      </c>
      <c r="B2789" s="2" t="str">
        <f>IFERROR(__xludf.DUMMYFUNCTION("""COMPUTED_VALUE"""),"Arts")</f>
        <v>Arts</v>
      </c>
      <c r="C2789" s="2" t="str">
        <f>IFERROR(__xludf.DUMMYFUNCTION("""COMPUTED_VALUE"""),"Sports Psychology")</f>
        <v>Sports Psychology</v>
      </c>
      <c r="D2789" s="2" t="str">
        <f>IFERROR(__xludf.DUMMYFUNCTION("""COMPUTED_VALUE"""),"Rivergrove Publishing")</f>
        <v>Rivergrove Publishing</v>
      </c>
      <c r="E2789" s="2">
        <f>IFERROR(__xludf.DUMMYFUNCTION("""COMPUTED_VALUE"""),1.58)</f>
        <v>1.58</v>
      </c>
      <c r="F2789" s="2"/>
      <c r="G2789" s="2"/>
      <c r="H2789" s="2"/>
      <c r="I2789" s="2"/>
    </row>
    <row r="2790">
      <c r="A2790" s="2">
        <f>IFERROR(__xludf.DUMMYFUNCTION("""COMPUTED_VALUE"""),12911.0)</f>
        <v>12911</v>
      </c>
      <c r="B2790" s="2" t="str">
        <f>IFERROR(__xludf.DUMMYFUNCTION("""COMPUTED_VALUE"""),"Arts")</f>
        <v>Arts</v>
      </c>
      <c r="C2790" s="2" t="str">
        <f>IFERROR(__xludf.DUMMYFUNCTION("""COMPUTED_VALUE"""),"Sports Psychology")</f>
        <v>Sports Psychology</v>
      </c>
      <c r="D2790" s="2" t="str">
        <f>IFERROR(__xludf.DUMMYFUNCTION("""COMPUTED_VALUE"""),"Rivergrove Publishing")</f>
        <v>Rivergrove Publishing</v>
      </c>
      <c r="E2790" s="2">
        <f>IFERROR(__xludf.DUMMYFUNCTION("""COMPUTED_VALUE"""),2.39)</f>
        <v>2.39</v>
      </c>
      <c r="F2790" s="2"/>
      <c r="G2790" s="2"/>
      <c r="H2790" s="2"/>
      <c r="I2790" s="2"/>
    </row>
    <row r="2791">
      <c r="A2791" s="2">
        <f>IFERROR(__xludf.DUMMYFUNCTION("""COMPUTED_VALUE"""),21612.0)</f>
        <v>21612</v>
      </c>
      <c r="B2791" s="2" t="str">
        <f>IFERROR(__xludf.DUMMYFUNCTION("""COMPUTED_VALUE"""),"Arts")</f>
        <v>Arts</v>
      </c>
      <c r="C2791" s="2" t="str">
        <f>IFERROR(__xludf.DUMMYFUNCTION("""COMPUTED_VALUE"""),"Sports Psychology")</f>
        <v>Sports Psychology</v>
      </c>
      <c r="D2791" s="2" t="str">
        <f>IFERROR(__xludf.DUMMYFUNCTION("""COMPUTED_VALUE"""),"Rivergrove Publishing")</f>
        <v>Rivergrove Publishing</v>
      </c>
      <c r="E2791" s="2">
        <f>IFERROR(__xludf.DUMMYFUNCTION("""COMPUTED_VALUE"""),3.55)</f>
        <v>3.55</v>
      </c>
      <c r="F2791" s="2"/>
      <c r="G2791" s="2"/>
      <c r="H2791" s="2"/>
      <c r="I2791" s="2"/>
    </row>
    <row r="2792">
      <c r="A2792" s="2">
        <f>IFERROR(__xludf.DUMMYFUNCTION("""COMPUTED_VALUE"""),21603.0)</f>
        <v>21603</v>
      </c>
      <c r="B2792" s="2" t="str">
        <f>IFERROR(__xludf.DUMMYFUNCTION("""COMPUTED_VALUE"""),"Arts")</f>
        <v>Arts</v>
      </c>
      <c r="C2792" s="2" t="str">
        <f>IFERROR(__xludf.DUMMYFUNCTION("""COMPUTED_VALUE"""),"Sports Psychology")</f>
        <v>Sports Psychology</v>
      </c>
      <c r="D2792" s="2" t="str">
        <f>IFERROR(__xludf.DUMMYFUNCTION("""COMPUTED_VALUE"""),"Rivergrove Publishing")</f>
        <v>Rivergrove Publishing</v>
      </c>
      <c r="E2792" s="2">
        <f>IFERROR(__xludf.DUMMYFUNCTION("""COMPUTED_VALUE"""),3.35)</f>
        <v>3.35</v>
      </c>
      <c r="F2792" s="2"/>
      <c r="G2792" s="2"/>
      <c r="H2792" s="2"/>
      <c r="I2792" s="2"/>
    </row>
    <row r="2793">
      <c r="A2793" s="2">
        <f>IFERROR(__xludf.DUMMYFUNCTION("""COMPUTED_VALUE"""),81218.0)</f>
        <v>81218</v>
      </c>
      <c r="B2793" s="2" t="str">
        <f>IFERROR(__xludf.DUMMYFUNCTION("""COMPUTED_VALUE"""),"Arts")</f>
        <v>Arts</v>
      </c>
      <c r="C2793" s="2" t="str">
        <f>IFERROR(__xludf.DUMMYFUNCTION("""COMPUTED_VALUE"""),"Sports Psychology")</f>
        <v>Sports Psychology</v>
      </c>
      <c r="D2793" s="2" t="str">
        <f>IFERROR(__xludf.DUMMYFUNCTION("""COMPUTED_VALUE"""),"Irongrove Books")</f>
        <v>Irongrove Books</v>
      </c>
      <c r="E2793" s="2">
        <f>IFERROR(__xludf.DUMMYFUNCTION("""COMPUTED_VALUE"""),3.27)</f>
        <v>3.27</v>
      </c>
      <c r="F2793" s="2"/>
      <c r="G2793" s="2"/>
      <c r="H2793" s="2"/>
      <c r="I2793" s="2"/>
    </row>
    <row r="2794">
      <c r="A2794" s="2">
        <f>IFERROR(__xludf.DUMMYFUNCTION("""COMPUTED_VALUE"""),70543.0)</f>
        <v>70543</v>
      </c>
      <c r="B2794" s="2" t="str">
        <f>IFERROR(__xludf.DUMMYFUNCTION("""COMPUTED_VALUE"""),"Arts")</f>
        <v>Arts</v>
      </c>
      <c r="C2794" s="2" t="str">
        <f>IFERROR(__xludf.DUMMYFUNCTION("""COMPUTED_VALUE"""),"Sports Psychology")</f>
        <v>Sports Psychology</v>
      </c>
      <c r="D2794" s="2" t="str">
        <f>IFERROR(__xludf.DUMMYFUNCTION("""COMPUTED_VALUE"""),"Irongrove Books")</f>
        <v>Irongrove Books</v>
      </c>
      <c r="E2794" s="2">
        <f>IFERROR(__xludf.DUMMYFUNCTION("""COMPUTED_VALUE"""),5.98)</f>
        <v>5.98</v>
      </c>
      <c r="F2794" s="2"/>
      <c r="G2794" s="2"/>
      <c r="H2794" s="2"/>
      <c r="I2794" s="2"/>
    </row>
    <row r="2795">
      <c r="A2795" s="2">
        <f>IFERROR(__xludf.DUMMYFUNCTION("""COMPUTED_VALUE"""),80549.0)</f>
        <v>80549</v>
      </c>
      <c r="B2795" s="2" t="str">
        <f>IFERROR(__xludf.DUMMYFUNCTION("""COMPUTED_VALUE"""),"Arts")</f>
        <v>Arts</v>
      </c>
      <c r="C2795" s="2" t="str">
        <f>IFERROR(__xludf.DUMMYFUNCTION("""COMPUTED_VALUE"""),"Sports Psychology")</f>
        <v>Sports Psychology</v>
      </c>
      <c r="D2795" s="2" t="str">
        <f>IFERROR(__xludf.DUMMYFUNCTION("""COMPUTED_VALUE"""),"Irongrove Books")</f>
        <v>Irongrove Books</v>
      </c>
      <c r="E2795" s="2">
        <f>IFERROR(__xludf.DUMMYFUNCTION("""COMPUTED_VALUE"""),5.16)</f>
        <v>5.16</v>
      </c>
      <c r="F2795" s="2"/>
      <c r="G2795" s="2"/>
      <c r="H2795" s="2"/>
      <c r="I2795" s="2"/>
    </row>
    <row r="2796">
      <c r="A2796" s="2">
        <f>IFERROR(__xludf.DUMMYFUNCTION("""COMPUTED_VALUE"""),79404.0)</f>
        <v>79404</v>
      </c>
      <c r="B2796" s="2" t="str">
        <f>IFERROR(__xludf.DUMMYFUNCTION("""COMPUTED_VALUE"""),"Arts")</f>
        <v>Arts</v>
      </c>
      <c r="C2796" s="2" t="str">
        <f>IFERROR(__xludf.DUMMYFUNCTION("""COMPUTED_VALUE"""),"Sports Psychology")</f>
        <v>Sports Psychology</v>
      </c>
      <c r="D2796" s="2" t="str">
        <f>IFERROR(__xludf.DUMMYFUNCTION("""COMPUTED_VALUE"""),"Irongrove Books")</f>
        <v>Irongrove Books</v>
      </c>
      <c r="E2796" s="2">
        <f>IFERROR(__xludf.DUMMYFUNCTION("""COMPUTED_VALUE"""),10.96)</f>
        <v>10.96</v>
      </c>
      <c r="F2796" s="2"/>
      <c r="G2796" s="2"/>
      <c r="H2796" s="2"/>
      <c r="I2796" s="2"/>
    </row>
    <row r="2797">
      <c r="A2797" s="2">
        <f>IFERROR(__xludf.DUMMYFUNCTION("""COMPUTED_VALUE"""),110596.0)</f>
        <v>110596</v>
      </c>
      <c r="B2797" s="2" t="str">
        <f>IFERROR(__xludf.DUMMYFUNCTION("""COMPUTED_VALUE"""),"Arts")</f>
        <v>Arts</v>
      </c>
      <c r="C2797" s="2" t="str">
        <f>IFERROR(__xludf.DUMMYFUNCTION("""COMPUTED_VALUE"""),"Sports Psychology")</f>
        <v>Sports Psychology</v>
      </c>
      <c r="D2797" s="2" t="str">
        <f>IFERROR(__xludf.DUMMYFUNCTION("""COMPUTED_VALUE"""),"Irongrove Books")</f>
        <v>Irongrove Books</v>
      </c>
      <c r="E2797" s="2">
        <f>IFERROR(__xludf.DUMMYFUNCTION("""COMPUTED_VALUE"""),6.19)</f>
        <v>6.19</v>
      </c>
      <c r="F2797" s="2"/>
      <c r="G2797" s="2"/>
      <c r="H2797" s="2"/>
      <c r="I2797" s="2"/>
    </row>
    <row r="2798">
      <c r="A2798" s="2">
        <f>IFERROR(__xludf.DUMMYFUNCTION("""COMPUTED_VALUE"""),70547.0)</f>
        <v>70547</v>
      </c>
      <c r="B2798" s="2" t="str">
        <f>IFERROR(__xludf.DUMMYFUNCTION("""COMPUTED_VALUE"""),"Arts")</f>
        <v>Arts</v>
      </c>
      <c r="C2798" s="2" t="str">
        <f>IFERROR(__xludf.DUMMYFUNCTION("""COMPUTED_VALUE"""),"Sports Psychology")</f>
        <v>Sports Psychology</v>
      </c>
      <c r="D2798" s="2" t="str">
        <f>IFERROR(__xludf.DUMMYFUNCTION("""COMPUTED_VALUE"""),"Irongrove Books")</f>
        <v>Irongrove Books</v>
      </c>
      <c r="E2798" s="2">
        <f>IFERROR(__xludf.DUMMYFUNCTION("""COMPUTED_VALUE"""),6.31)</f>
        <v>6.31</v>
      </c>
      <c r="F2798" s="2"/>
      <c r="G2798" s="2"/>
      <c r="H2798" s="2"/>
      <c r="I2798" s="2"/>
    </row>
    <row r="2799">
      <c r="A2799" s="2">
        <f>IFERROR(__xludf.DUMMYFUNCTION("""COMPUTED_VALUE"""),11410.0)</f>
        <v>11410</v>
      </c>
      <c r="B2799" s="2" t="str">
        <f>IFERROR(__xludf.DUMMYFUNCTION("""COMPUTED_VALUE"""),"Arts")</f>
        <v>Arts</v>
      </c>
      <c r="C2799" s="2" t="str">
        <f>IFERROR(__xludf.DUMMYFUNCTION("""COMPUTED_VALUE"""),"Sports Psychology")</f>
        <v>Sports Psychology</v>
      </c>
      <c r="D2799" s="2" t="str">
        <f>IFERROR(__xludf.DUMMYFUNCTION("""COMPUTED_VALUE"""),"Irongrove Books")</f>
        <v>Irongrove Books</v>
      </c>
      <c r="E2799" s="2">
        <f>IFERROR(__xludf.DUMMYFUNCTION("""COMPUTED_VALUE"""),5.39)</f>
        <v>5.39</v>
      </c>
      <c r="F2799" s="2"/>
      <c r="G2799" s="2"/>
      <c r="H2799" s="2"/>
      <c r="I2799" s="2"/>
    </row>
    <row r="2800">
      <c r="A2800" s="2">
        <f>IFERROR(__xludf.DUMMYFUNCTION("""COMPUTED_VALUE"""),116632.0)</f>
        <v>116632</v>
      </c>
      <c r="B2800" s="2" t="str">
        <f>IFERROR(__xludf.DUMMYFUNCTION("""COMPUTED_VALUE"""),"Arts")</f>
        <v>Arts</v>
      </c>
      <c r="C2800" s="2" t="str">
        <f>IFERROR(__xludf.DUMMYFUNCTION("""COMPUTED_VALUE"""),"Sports Psychology")</f>
        <v>Sports Psychology</v>
      </c>
      <c r="D2800" s="2" t="str">
        <f>IFERROR(__xludf.DUMMYFUNCTION("""COMPUTED_VALUE"""),"Irongrove Books")</f>
        <v>Irongrove Books</v>
      </c>
      <c r="E2800" s="2">
        <f>IFERROR(__xludf.DUMMYFUNCTION("""COMPUTED_VALUE"""),7.76)</f>
        <v>7.76</v>
      </c>
      <c r="F2800" s="2"/>
      <c r="G2800" s="2"/>
      <c r="H2800" s="2"/>
      <c r="I2800" s="2"/>
    </row>
    <row r="2801">
      <c r="A2801" s="2">
        <f>IFERROR(__xludf.DUMMYFUNCTION("""COMPUTED_VALUE"""),80546.0)</f>
        <v>80546</v>
      </c>
      <c r="B2801" s="2" t="str">
        <f>IFERROR(__xludf.DUMMYFUNCTION("""COMPUTED_VALUE"""),"Arts")</f>
        <v>Arts</v>
      </c>
      <c r="C2801" s="2" t="str">
        <f>IFERROR(__xludf.DUMMYFUNCTION("""COMPUTED_VALUE"""),"Sports Psychology")</f>
        <v>Sports Psychology</v>
      </c>
      <c r="D2801" s="2" t="str">
        <f>IFERROR(__xludf.DUMMYFUNCTION("""COMPUTED_VALUE"""),"Irongrove Books")</f>
        <v>Irongrove Books</v>
      </c>
      <c r="E2801" s="2">
        <f>IFERROR(__xludf.DUMMYFUNCTION("""COMPUTED_VALUE"""),5.19)</f>
        <v>5.19</v>
      </c>
      <c r="F2801" s="2"/>
      <c r="G2801" s="2"/>
      <c r="H2801" s="2"/>
      <c r="I2801" s="2"/>
    </row>
    <row r="2802">
      <c r="A2802" s="2">
        <f>IFERROR(__xludf.DUMMYFUNCTION("""COMPUTED_VALUE"""),80572.0)</f>
        <v>80572</v>
      </c>
      <c r="B2802" s="2" t="str">
        <f>IFERROR(__xludf.DUMMYFUNCTION("""COMPUTED_VALUE"""),"Arts")</f>
        <v>Arts</v>
      </c>
      <c r="C2802" s="2" t="str">
        <f>IFERROR(__xludf.DUMMYFUNCTION("""COMPUTED_VALUE"""),"Sports Psychology")</f>
        <v>Sports Psychology</v>
      </c>
      <c r="D2802" s="2" t="str">
        <f>IFERROR(__xludf.DUMMYFUNCTION("""COMPUTED_VALUE"""),"Irongrove Books")</f>
        <v>Irongrove Books</v>
      </c>
      <c r="E2802" s="2">
        <f>IFERROR(__xludf.DUMMYFUNCTION("""COMPUTED_VALUE"""),5.75)</f>
        <v>5.75</v>
      </c>
      <c r="F2802" s="2"/>
      <c r="G2802" s="2"/>
      <c r="H2802" s="2"/>
      <c r="I2802" s="2"/>
    </row>
    <row r="2803">
      <c r="A2803" s="2">
        <f>IFERROR(__xludf.DUMMYFUNCTION("""COMPUTED_VALUE"""),70558.0)</f>
        <v>70558</v>
      </c>
      <c r="B2803" s="2" t="str">
        <f>IFERROR(__xludf.DUMMYFUNCTION("""COMPUTED_VALUE"""),"Arts")</f>
        <v>Arts</v>
      </c>
      <c r="C2803" s="2" t="str">
        <f>IFERROR(__xludf.DUMMYFUNCTION("""COMPUTED_VALUE"""),"Sports Psychology")</f>
        <v>Sports Psychology</v>
      </c>
      <c r="D2803" s="2" t="str">
        <f>IFERROR(__xludf.DUMMYFUNCTION("""COMPUTED_VALUE"""),"Irongrove Books")</f>
        <v>Irongrove Books</v>
      </c>
      <c r="E2803" s="2">
        <f>IFERROR(__xludf.DUMMYFUNCTION("""COMPUTED_VALUE"""),10.72)</f>
        <v>10.72</v>
      </c>
      <c r="F2803" s="2"/>
      <c r="G2803" s="2"/>
      <c r="H2803" s="2"/>
      <c r="I2803" s="2"/>
    </row>
    <row r="2804">
      <c r="A2804" s="2">
        <f>IFERROR(__xludf.DUMMYFUNCTION("""COMPUTED_VALUE"""),79405.0)</f>
        <v>79405</v>
      </c>
      <c r="B2804" s="2" t="str">
        <f>IFERROR(__xludf.DUMMYFUNCTION("""COMPUTED_VALUE"""),"Arts")</f>
        <v>Arts</v>
      </c>
      <c r="C2804" s="2" t="str">
        <f>IFERROR(__xludf.DUMMYFUNCTION("""COMPUTED_VALUE"""),"Sports Psychology")</f>
        <v>Sports Psychology</v>
      </c>
      <c r="D2804" s="2" t="str">
        <f>IFERROR(__xludf.DUMMYFUNCTION("""COMPUTED_VALUE"""),"Irongrove Books")</f>
        <v>Irongrove Books</v>
      </c>
      <c r="E2804" s="2">
        <f>IFERROR(__xludf.DUMMYFUNCTION("""COMPUTED_VALUE"""),11.66)</f>
        <v>11.66</v>
      </c>
      <c r="F2804" s="2"/>
      <c r="G2804" s="2"/>
      <c r="H2804" s="2"/>
      <c r="I2804" s="2"/>
    </row>
    <row r="2805">
      <c r="A2805" s="2">
        <f>IFERROR(__xludf.DUMMYFUNCTION("""COMPUTED_VALUE"""),80543.0)</f>
        <v>80543</v>
      </c>
      <c r="B2805" s="2" t="str">
        <f>IFERROR(__xludf.DUMMYFUNCTION("""COMPUTED_VALUE"""),"Arts")</f>
        <v>Arts</v>
      </c>
      <c r="C2805" s="2" t="str">
        <f>IFERROR(__xludf.DUMMYFUNCTION("""COMPUTED_VALUE"""),"Sports Psychology")</f>
        <v>Sports Psychology</v>
      </c>
      <c r="D2805" s="2" t="str">
        <f>IFERROR(__xludf.DUMMYFUNCTION("""COMPUTED_VALUE"""),"Irongrove Books")</f>
        <v>Irongrove Books</v>
      </c>
      <c r="E2805" s="2">
        <f>IFERROR(__xludf.DUMMYFUNCTION("""COMPUTED_VALUE"""),9.71)</f>
        <v>9.71</v>
      </c>
      <c r="F2805" s="2"/>
      <c r="G2805" s="2"/>
      <c r="H2805" s="2"/>
      <c r="I2805" s="2"/>
    </row>
    <row r="2806">
      <c r="A2806" s="2">
        <f>IFERROR(__xludf.DUMMYFUNCTION("""COMPUTED_VALUE"""),14041.0)</f>
        <v>14041</v>
      </c>
      <c r="B2806" s="2" t="str">
        <f>IFERROR(__xludf.DUMMYFUNCTION("""COMPUTED_VALUE"""),"Arts")</f>
        <v>Arts</v>
      </c>
      <c r="C2806" s="2" t="str">
        <f>IFERROR(__xludf.DUMMYFUNCTION("""COMPUTED_VALUE"""),"Sports Psychology")</f>
        <v>Sports Psychology</v>
      </c>
      <c r="D2806" s="2" t="str">
        <f>IFERROR(__xludf.DUMMYFUNCTION("""COMPUTED_VALUE"""),"Irongrove Books")</f>
        <v>Irongrove Books</v>
      </c>
      <c r="E2806" s="2">
        <f>IFERROR(__xludf.DUMMYFUNCTION("""COMPUTED_VALUE"""),12.73)</f>
        <v>12.73</v>
      </c>
      <c r="F2806" s="2"/>
      <c r="G2806" s="2"/>
      <c r="H2806" s="2"/>
      <c r="I2806" s="2"/>
    </row>
    <row r="2807">
      <c r="A2807" s="2">
        <f>IFERROR(__xludf.DUMMYFUNCTION("""COMPUTED_VALUE"""),70559.0)</f>
        <v>70559</v>
      </c>
      <c r="B2807" s="2" t="str">
        <f>IFERROR(__xludf.DUMMYFUNCTION("""COMPUTED_VALUE"""),"Arts")</f>
        <v>Arts</v>
      </c>
      <c r="C2807" s="2" t="str">
        <f>IFERROR(__xludf.DUMMYFUNCTION("""COMPUTED_VALUE"""),"Sports Psychology")</f>
        <v>Sports Psychology</v>
      </c>
      <c r="D2807" s="2" t="str">
        <f>IFERROR(__xludf.DUMMYFUNCTION("""COMPUTED_VALUE"""),"Irongrove Books")</f>
        <v>Irongrove Books</v>
      </c>
      <c r="E2807" s="2">
        <f>IFERROR(__xludf.DUMMYFUNCTION("""COMPUTED_VALUE"""),7.92)</f>
        <v>7.92</v>
      </c>
      <c r="F2807" s="2"/>
      <c r="G2807" s="2"/>
      <c r="H2807" s="2"/>
      <c r="I2807" s="2"/>
    </row>
    <row r="2808">
      <c r="A2808" s="2">
        <f>IFERROR(__xludf.DUMMYFUNCTION("""COMPUTED_VALUE"""),80582.0)</f>
        <v>80582</v>
      </c>
      <c r="B2808" s="2" t="str">
        <f>IFERROR(__xludf.DUMMYFUNCTION("""COMPUTED_VALUE"""),"Arts")</f>
        <v>Arts</v>
      </c>
      <c r="C2808" s="2" t="str">
        <f>IFERROR(__xludf.DUMMYFUNCTION("""COMPUTED_VALUE"""),"Sports Psychology")</f>
        <v>Sports Psychology</v>
      </c>
      <c r="D2808" s="2" t="str">
        <f>IFERROR(__xludf.DUMMYFUNCTION("""COMPUTED_VALUE"""),"Irongrove Books")</f>
        <v>Irongrove Books</v>
      </c>
      <c r="E2808" s="2">
        <f>IFERROR(__xludf.DUMMYFUNCTION("""COMPUTED_VALUE"""),9.34)</f>
        <v>9.34</v>
      </c>
      <c r="F2808" s="2"/>
      <c r="G2808" s="2"/>
      <c r="H2808" s="2"/>
      <c r="I2808" s="2"/>
    </row>
    <row r="2809">
      <c r="A2809" s="2">
        <f>IFERROR(__xludf.DUMMYFUNCTION("""COMPUTED_VALUE"""),90004.0)</f>
        <v>90004</v>
      </c>
      <c r="B2809" s="2" t="str">
        <f>IFERROR(__xludf.DUMMYFUNCTION("""COMPUTED_VALUE"""),"Arts")</f>
        <v>Arts</v>
      </c>
      <c r="C2809" s="2" t="str">
        <f>IFERROR(__xludf.DUMMYFUNCTION("""COMPUTED_VALUE"""),"Sports Psychology")</f>
        <v>Sports Psychology</v>
      </c>
      <c r="D2809" s="2" t="str">
        <f>IFERROR(__xludf.DUMMYFUNCTION("""COMPUTED_VALUE"""),"Irongrove Books")</f>
        <v>Irongrove Books</v>
      </c>
      <c r="E2809" s="2">
        <f>IFERROR(__xludf.DUMMYFUNCTION("""COMPUTED_VALUE"""),7.05)</f>
        <v>7.05</v>
      </c>
      <c r="F2809" s="2"/>
      <c r="G2809" s="2"/>
      <c r="H2809" s="2"/>
      <c r="I2809" s="2"/>
    </row>
    <row r="2810">
      <c r="A2810" s="2">
        <f>IFERROR(__xludf.DUMMYFUNCTION("""COMPUTED_VALUE"""),117907.0)</f>
        <v>117907</v>
      </c>
      <c r="B2810" s="2" t="str">
        <f>IFERROR(__xludf.DUMMYFUNCTION("""COMPUTED_VALUE"""),"Arts")</f>
        <v>Arts</v>
      </c>
      <c r="C2810" s="2" t="str">
        <f>IFERROR(__xludf.DUMMYFUNCTION("""COMPUTED_VALUE"""),"Sports Psychology")</f>
        <v>Sports Psychology</v>
      </c>
      <c r="D2810" s="2" t="str">
        <f>IFERROR(__xludf.DUMMYFUNCTION("""COMPUTED_VALUE"""),"Irongrove Books")</f>
        <v>Irongrove Books</v>
      </c>
      <c r="E2810" s="2">
        <f>IFERROR(__xludf.DUMMYFUNCTION("""COMPUTED_VALUE"""),3.37)</f>
        <v>3.37</v>
      </c>
      <c r="F2810" s="2"/>
      <c r="G2810" s="2"/>
      <c r="H2810" s="2"/>
      <c r="I2810" s="2"/>
    </row>
    <row r="2811">
      <c r="A2811" s="2">
        <f>IFERROR(__xludf.DUMMYFUNCTION("""COMPUTED_VALUE"""),70542.0)</f>
        <v>70542</v>
      </c>
      <c r="B2811" s="2" t="str">
        <f>IFERROR(__xludf.DUMMYFUNCTION("""COMPUTED_VALUE"""),"Arts")</f>
        <v>Arts</v>
      </c>
      <c r="C2811" s="2" t="str">
        <f>IFERROR(__xludf.DUMMYFUNCTION("""COMPUTED_VALUE"""),"Sports Psychology")</f>
        <v>Sports Psychology</v>
      </c>
      <c r="D2811" s="2" t="str">
        <f>IFERROR(__xludf.DUMMYFUNCTION("""COMPUTED_VALUE"""),"Irongrove Books")</f>
        <v>Irongrove Books</v>
      </c>
      <c r="E2811" s="2">
        <f>IFERROR(__xludf.DUMMYFUNCTION("""COMPUTED_VALUE"""),6.62)</f>
        <v>6.62</v>
      </c>
      <c r="F2811" s="2"/>
      <c r="G2811" s="2"/>
      <c r="H2811" s="2"/>
      <c r="I2811" s="2"/>
    </row>
    <row r="2812">
      <c r="A2812" s="2">
        <f>IFERROR(__xludf.DUMMYFUNCTION("""COMPUTED_VALUE"""),81210.0)</f>
        <v>81210</v>
      </c>
      <c r="B2812" s="2" t="str">
        <f>IFERROR(__xludf.DUMMYFUNCTION("""COMPUTED_VALUE"""),"Arts")</f>
        <v>Arts</v>
      </c>
      <c r="C2812" s="2" t="str">
        <f>IFERROR(__xludf.DUMMYFUNCTION("""COMPUTED_VALUE"""),"Sports Psychology")</f>
        <v>Sports Psychology</v>
      </c>
      <c r="D2812" s="2" t="str">
        <f>IFERROR(__xludf.DUMMYFUNCTION("""COMPUTED_VALUE"""),"Irongrove Books")</f>
        <v>Irongrove Books</v>
      </c>
      <c r="E2812" s="2">
        <f>IFERROR(__xludf.DUMMYFUNCTION("""COMPUTED_VALUE"""),2.61)</f>
        <v>2.61</v>
      </c>
      <c r="F2812" s="2"/>
      <c r="G2812" s="2"/>
      <c r="H2812" s="2"/>
      <c r="I2812" s="2"/>
    </row>
    <row r="2813">
      <c r="A2813" s="2">
        <f>IFERROR(__xludf.DUMMYFUNCTION("""COMPUTED_VALUE"""),81211.0)</f>
        <v>81211</v>
      </c>
      <c r="B2813" s="2" t="str">
        <f>IFERROR(__xludf.DUMMYFUNCTION("""COMPUTED_VALUE"""),"Arts")</f>
        <v>Arts</v>
      </c>
      <c r="C2813" s="2" t="str">
        <f>IFERROR(__xludf.DUMMYFUNCTION("""COMPUTED_VALUE"""),"Sports Psychology")</f>
        <v>Sports Psychology</v>
      </c>
      <c r="D2813" s="2" t="str">
        <f>IFERROR(__xludf.DUMMYFUNCTION("""COMPUTED_VALUE"""),"Irongrove Books")</f>
        <v>Irongrove Books</v>
      </c>
      <c r="E2813" s="2">
        <f>IFERROR(__xludf.DUMMYFUNCTION("""COMPUTED_VALUE"""),2.88)</f>
        <v>2.88</v>
      </c>
      <c r="F2813" s="2"/>
      <c r="G2813" s="2"/>
      <c r="H2813" s="2"/>
      <c r="I2813" s="2"/>
    </row>
    <row r="2814">
      <c r="A2814" s="2">
        <f>IFERROR(__xludf.DUMMYFUNCTION("""COMPUTED_VALUE"""),80573.0)</f>
        <v>80573</v>
      </c>
      <c r="B2814" s="2" t="str">
        <f>IFERROR(__xludf.DUMMYFUNCTION("""COMPUTED_VALUE"""),"Arts")</f>
        <v>Arts</v>
      </c>
      <c r="C2814" s="2" t="str">
        <f>IFERROR(__xludf.DUMMYFUNCTION("""COMPUTED_VALUE"""),"Sports Psychology")</f>
        <v>Sports Psychology</v>
      </c>
      <c r="D2814" s="2" t="str">
        <f>IFERROR(__xludf.DUMMYFUNCTION("""COMPUTED_VALUE"""),"Irongrove Books")</f>
        <v>Irongrove Books</v>
      </c>
      <c r="E2814" s="2">
        <f>IFERROR(__xludf.DUMMYFUNCTION("""COMPUTED_VALUE"""),6.77)</f>
        <v>6.77</v>
      </c>
      <c r="F2814" s="2"/>
      <c r="G2814" s="2"/>
      <c r="H2814" s="2"/>
      <c r="I2814" s="2"/>
    </row>
    <row r="2815">
      <c r="A2815" s="2">
        <f>IFERROR(__xludf.DUMMYFUNCTION("""COMPUTED_VALUE"""),117909.0)</f>
        <v>117909</v>
      </c>
      <c r="B2815" s="2" t="str">
        <f>IFERROR(__xludf.DUMMYFUNCTION("""COMPUTED_VALUE"""),"Arts")</f>
        <v>Arts</v>
      </c>
      <c r="C2815" s="2" t="str">
        <f>IFERROR(__xludf.DUMMYFUNCTION("""COMPUTED_VALUE"""),"Sports Psychology")</f>
        <v>Sports Psychology</v>
      </c>
      <c r="D2815" s="2" t="str">
        <f>IFERROR(__xludf.DUMMYFUNCTION("""COMPUTED_VALUE"""),"Irongrove Books")</f>
        <v>Irongrove Books</v>
      </c>
      <c r="E2815" s="2">
        <f>IFERROR(__xludf.DUMMYFUNCTION("""COMPUTED_VALUE"""),3.28)</f>
        <v>3.28</v>
      </c>
      <c r="F2815" s="2"/>
      <c r="G2815" s="2"/>
      <c r="H2815" s="2"/>
      <c r="I2815" s="2"/>
    </row>
    <row r="2816">
      <c r="A2816" s="2">
        <f>IFERROR(__xludf.DUMMYFUNCTION("""COMPUTED_VALUE"""),80584.0)</f>
        <v>80584</v>
      </c>
      <c r="B2816" s="2" t="str">
        <f>IFERROR(__xludf.DUMMYFUNCTION("""COMPUTED_VALUE"""),"Arts")</f>
        <v>Arts</v>
      </c>
      <c r="C2816" s="2" t="str">
        <f>IFERROR(__xludf.DUMMYFUNCTION("""COMPUTED_VALUE"""),"Sports Psychology")</f>
        <v>Sports Psychology</v>
      </c>
      <c r="D2816" s="2" t="str">
        <f>IFERROR(__xludf.DUMMYFUNCTION("""COMPUTED_VALUE"""),"Irongrove Books")</f>
        <v>Irongrove Books</v>
      </c>
      <c r="E2816" s="2">
        <f>IFERROR(__xludf.DUMMYFUNCTION("""COMPUTED_VALUE"""),12.38)</f>
        <v>12.38</v>
      </c>
      <c r="F2816" s="2"/>
      <c r="G2816" s="2"/>
      <c r="H2816" s="2"/>
      <c r="I2816" s="2"/>
    </row>
    <row r="2817">
      <c r="A2817" s="2">
        <f>IFERROR(__xludf.DUMMYFUNCTION("""COMPUTED_VALUE"""),80550.0)</f>
        <v>80550</v>
      </c>
      <c r="B2817" s="2" t="str">
        <f>IFERROR(__xludf.DUMMYFUNCTION("""COMPUTED_VALUE"""),"Arts")</f>
        <v>Arts</v>
      </c>
      <c r="C2817" s="2" t="str">
        <f>IFERROR(__xludf.DUMMYFUNCTION("""COMPUTED_VALUE"""),"Sports Psychology")</f>
        <v>Sports Psychology</v>
      </c>
      <c r="D2817" s="2" t="str">
        <f>IFERROR(__xludf.DUMMYFUNCTION("""COMPUTED_VALUE"""),"Irongrove Books")</f>
        <v>Irongrove Books</v>
      </c>
      <c r="E2817" s="2">
        <f>IFERROR(__xludf.DUMMYFUNCTION("""COMPUTED_VALUE"""),7.6)</f>
        <v>7.6</v>
      </c>
      <c r="F2817" s="2"/>
      <c r="G2817" s="2"/>
      <c r="H2817" s="2"/>
      <c r="I2817" s="2"/>
    </row>
    <row r="2818">
      <c r="A2818" s="2">
        <f>IFERROR(__xludf.DUMMYFUNCTION("""COMPUTED_VALUE"""),81227.0)</f>
        <v>81227</v>
      </c>
      <c r="B2818" s="2" t="str">
        <f>IFERROR(__xludf.DUMMYFUNCTION("""COMPUTED_VALUE"""),"Arts")</f>
        <v>Arts</v>
      </c>
      <c r="C2818" s="2" t="str">
        <f>IFERROR(__xludf.DUMMYFUNCTION("""COMPUTED_VALUE"""),"Sports Psychology")</f>
        <v>Sports Psychology</v>
      </c>
      <c r="D2818" s="2" t="str">
        <f>IFERROR(__xludf.DUMMYFUNCTION("""COMPUTED_VALUE"""),"Irongrove Books")</f>
        <v>Irongrove Books</v>
      </c>
      <c r="E2818" s="2">
        <f>IFERROR(__xludf.DUMMYFUNCTION("""COMPUTED_VALUE"""),4.0)</f>
        <v>4</v>
      </c>
      <c r="F2818" s="2"/>
      <c r="G2818" s="2"/>
      <c r="H2818" s="2"/>
      <c r="I2818" s="2"/>
    </row>
    <row r="2819">
      <c r="A2819" s="2">
        <f>IFERROR(__xludf.DUMMYFUNCTION("""COMPUTED_VALUE"""),80578.0)</f>
        <v>80578</v>
      </c>
      <c r="B2819" s="2" t="str">
        <f>IFERROR(__xludf.DUMMYFUNCTION("""COMPUTED_VALUE"""),"Arts")</f>
        <v>Arts</v>
      </c>
      <c r="C2819" s="2" t="str">
        <f>IFERROR(__xludf.DUMMYFUNCTION("""COMPUTED_VALUE"""),"Sports Psychology")</f>
        <v>Sports Psychology</v>
      </c>
      <c r="D2819" s="2" t="str">
        <f>IFERROR(__xludf.DUMMYFUNCTION("""COMPUTED_VALUE"""),"Irongrove Books")</f>
        <v>Irongrove Books</v>
      </c>
      <c r="E2819" s="2">
        <f>IFERROR(__xludf.DUMMYFUNCTION("""COMPUTED_VALUE"""),10.17)</f>
        <v>10.17</v>
      </c>
      <c r="F2819" s="2"/>
      <c r="G2819" s="2"/>
      <c r="H2819" s="2"/>
      <c r="I2819" s="2"/>
    </row>
    <row r="2820">
      <c r="A2820" s="2">
        <f>IFERROR(__xludf.DUMMYFUNCTION("""COMPUTED_VALUE"""),110595.0)</f>
        <v>110595</v>
      </c>
      <c r="B2820" s="2" t="str">
        <f>IFERROR(__xludf.DUMMYFUNCTION("""COMPUTED_VALUE"""),"Arts")</f>
        <v>Arts</v>
      </c>
      <c r="C2820" s="2" t="str">
        <f>IFERROR(__xludf.DUMMYFUNCTION("""COMPUTED_VALUE"""),"Sports Psychology")</f>
        <v>Sports Psychology</v>
      </c>
      <c r="D2820" s="2" t="str">
        <f>IFERROR(__xludf.DUMMYFUNCTION("""COMPUTED_VALUE"""),"Irongrove Books")</f>
        <v>Irongrove Books</v>
      </c>
      <c r="E2820" s="2">
        <f>IFERROR(__xludf.DUMMYFUNCTION("""COMPUTED_VALUE"""),5.37)</f>
        <v>5.37</v>
      </c>
      <c r="F2820" s="2"/>
      <c r="G2820" s="2"/>
      <c r="H2820" s="2"/>
      <c r="I2820" s="2"/>
    </row>
    <row r="2821">
      <c r="A2821" s="2">
        <f>IFERROR(__xludf.DUMMYFUNCTION("""COMPUTED_VALUE"""),70557.0)</f>
        <v>70557</v>
      </c>
      <c r="B2821" s="2" t="str">
        <f>IFERROR(__xludf.DUMMYFUNCTION("""COMPUTED_VALUE"""),"Arts")</f>
        <v>Arts</v>
      </c>
      <c r="C2821" s="2" t="str">
        <f>IFERROR(__xludf.DUMMYFUNCTION("""COMPUTED_VALUE"""),"Sports Psychology")</f>
        <v>Sports Psychology</v>
      </c>
      <c r="D2821" s="2" t="str">
        <f>IFERROR(__xludf.DUMMYFUNCTION("""COMPUTED_VALUE"""),"Irongrove Books")</f>
        <v>Irongrove Books</v>
      </c>
      <c r="E2821" s="2">
        <f>IFERROR(__xludf.DUMMYFUNCTION("""COMPUTED_VALUE"""),10.74)</f>
        <v>10.74</v>
      </c>
      <c r="F2821" s="2"/>
      <c r="G2821" s="2"/>
      <c r="H2821" s="2"/>
      <c r="I2821" s="2"/>
    </row>
    <row r="2822">
      <c r="A2822" s="2">
        <f>IFERROR(__xludf.DUMMYFUNCTION("""COMPUTED_VALUE"""),147284.0)</f>
        <v>147284</v>
      </c>
      <c r="B2822" s="2" t="str">
        <f>IFERROR(__xludf.DUMMYFUNCTION("""COMPUTED_VALUE"""),"Arts")</f>
        <v>Arts</v>
      </c>
      <c r="C2822" s="2" t="str">
        <f>IFERROR(__xludf.DUMMYFUNCTION("""COMPUTED_VALUE"""),"Sports Psychology")</f>
        <v>Sports Psychology</v>
      </c>
      <c r="D2822" s="2" t="str">
        <f>IFERROR(__xludf.DUMMYFUNCTION("""COMPUTED_VALUE"""),"Irongrove Books")</f>
        <v>Irongrove Books</v>
      </c>
      <c r="E2822" s="2">
        <f>IFERROR(__xludf.DUMMYFUNCTION("""COMPUTED_VALUE"""),6.1)</f>
        <v>6.1</v>
      </c>
      <c r="F2822" s="2"/>
      <c r="G2822" s="2"/>
      <c r="H2822" s="2"/>
      <c r="I2822" s="2"/>
    </row>
    <row r="2823">
      <c r="A2823" s="2">
        <f>IFERROR(__xludf.DUMMYFUNCTION("""COMPUTED_VALUE"""),70553.0)</f>
        <v>70553</v>
      </c>
      <c r="B2823" s="2" t="str">
        <f>IFERROR(__xludf.DUMMYFUNCTION("""COMPUTED_VALUE"""),"Arts")</f>
        <v>Arts</v>
      </c>
      <c r="C2823" s="2" t="str">
        <f>IFERROR(__xludf.DUMMYFUNCTION("""COMPUTED_VALUE"""),"Sports Psychology")</f>
        <v>Sports Psychology</v>
      </c>
      <c r="D2823" s="2" t="str">
        <f>IFERROR(__xludf.DUMMYFUNCTION("""COMPUTED_VALUE"""),"Irongrove Books")</f>
        <v>Irongrove Books</v>
      </c>
      <c r="E2823" s="2">
        <f>IFERROR(__xludf.DUMMYFUNCTION("""COMPUTED_VALUE"""),7.11)</f>
        <v>7.11</v>
      </c>
      <c r="F2823" s="2"/>
      <c r="G2823" s="2"/>
      <c r="H2823" s="2"/>
      <c r="I2823" s="2"/>
    </row>
    <row r="2824">
      <c r="A2824" s="2">
        <f>IFERROR(__xludf.DUMMYFUNCTION("""COMPUTED_VALUE"""),81212.0)</f>
        <v>81212</v>
      </c>
      <c r="B2824" s="2" t="str">
        <f>IFERROR(__xludf.DUMMYFUNCTION("""COMPUTED_VALUE"""),"Arts")</f>
        <v>Arts</v>
      </c>
      <c r="C2824" s="2" t="str">
        <f>IFERROR(__xludf.DUMMYFUNCTION("""COMPUTED_VALUE"""),"Sports Psychology")</f>
        <v>Sports Psychology</v>
      </c>
      <c r="D2824" s="2" t="str">
        <f>IFERROR(__xludf.DUMMYFUNCTION("""COMPUTED_VALUE"""),"Irongrove Books")</f>
        <v>Irongrove Books</v>
      </c>
      <c r="E2824" s="2">
        <f>IFERROR(__xludf.DUMMYFUNCTION("""COMPUTED_VALUE"""),3.2)</f>
        <v>3.2</v>
      </c>
      <c r="F2824" s="2"/>
      <c r="G2824" s="2"/>
      <c r="H2824" s="2"/>
      <c r="I2824" s="2"/>
    </row>
    <row r="2825">
      <c r="A2825" s="2">
        <f>IFERROR(__xludf.DUMMYFUNCTION("""COMPUTED_VALUE"""),120427.0)</f>
        <v>120427</v>
      </c>
      <c r="B2825" s="2" t="str">
        <f>IFERROR(__xludf.DUMMYFUNCTION("""COMPUTED_VALUE"""),"Arts")</f>
        <v>Arts</v>
      </c>
      <c r="C2825" s="2" t="str">
        <f>IFERROR(__xludf.DUMMYFUNCTION("""COMPUTED_VALUE"""),"Sports Psychology")</f>
        <v>Sports Psychology</v>
      </c>
      <c r="D2825" s="2" t="str">
        <f>IFERROR(__xludf.DUMMYFUNCTION("""COMPUTED_VALUE"""),"Irongrove Books")</f>
        <v>Irongrove Books</v>
      </c>
      <c r="E2825" s="2">
        <f>IFERROR(__xludf.DUMMYFUNCTION("""COMPUTED_VALUE"""),2.75)</f>
        <v>2.75</v>
      </c>
      <c r="F2825" s="2"/>
      <c r="G2825" s="2"/>
      <c r="H2825" s="2"/>
      <c r="I2825" s="2"/>
    </row>
    <row r="2826">
      <c r="A2826" s="2">
        <f>IFERROR(__xludf.DUMMYFUNCTION("""COMPUTED_VALUE"""),46049.0)</f>
        <v>46049</v>
      </c>
      <c r="B2826" s="2" t="str">
        <f>IFERROR(__xludf.DUMMYFUNCTION("""COMPUTED_VALUE"""),"Law")</f>
        <v>Law</v>
      </c>
      <c r="C2826" s="2" t="str">
        <f>IFERROR(__xludf.DUMMYFUNCTION("""COMPUTED_VALUE"""),"Sports Nutrition")</f>
        <v>Sports Nutrition</v>
      </c>
      <c r="D2826" s="2" t="str">
        <f>IFERROR(__xludf.DUMMYFUNCTION("""COMPUTED_VALUE"""),"Silverhill Press")</f>
        <v>Silverhill Press</v>
      </c>
      <c r="E2826" s="2">
        <f>IFERROR(__xludf.DUMMYFUNCTION("""COMPUTED_VALUE"""),1.43)</f>
        <v>1.43</v>
      </c>
      <c r="F2826" s="2"/>
      <c r="G2826" s="2"/>
      <c r="H2826" s="2"/>
      <c r="I2826" s="2"/>
    </row>
    <row r="2827">
      <c r="A2827" s="2">
        <f>IFERROR(__xludf.DUMMYFUNCTION("""COMPUTED_VALUE"""),46039.0)</f>
        <v>46039</v>
      </c>
      <c r="B2827" s="2" t="str">
        <f>IFERROR(__xludf.DUMMYFUNCTION("""COMPUTED_VALUE"""),"Law")</f>
        <v>Law</v>
      </c>
      <c r="C2827" s="2" t="str">
        <f>IFERROR(__xludf.DUMMYFUNCTION("""COMPUTED_VALUE"""),"Sports Nutrition")</f>
        <v>Sports Nutrition</v>
      </c>
      <c r="D2827" s="2" t="str">
        <f>IFERROR(__xludf.DUMMYFUNCTION("""COMPUTED_VALUE"""),"Silverhill Press")</f>
        <v>Silverhill Press</v>
      </c>
      <c r="E2827" s="2">
        <f>IFERROR(__xludf.DUMMYFUNCTION("""COMPUTED_VALUE"""),2.33)</f>
        <v>2.33</v>
      </c>
      <c r="F2827" s="2"/>
      <c r="G2827" s="2"/>
      <c r="H2827" s="2"/>
      <c r="I2827" s="2"/>
    </row>
    <row r="2828">
      <c r="A2828" s="2">
        <f>IFERROR(__xludf.DUMMYFUNCTION("""COMPUTED_VALUE"""),46037.0)</f>
        <v>46037</v>
      </c>
      <c r="B2828" s="2" t="str">
        <f>IFERROR(__xludf.DUMMYFUNCTION("""COMPUTED_VALUE"""),"Law")</f>
        <v>Law</v>
      </c>
      <c r="C2828" s="2" t="str">
        <f>IFERROR(__xludf.DUMMYFUNCTION("""COMPUTED_VALUE"""),"Sports Nutrition")</f>
        <v>Sports Nutrition</v>
      </c>
      <c r="D2828" s="2" t="str">
        <f>IFERROR(__xludf.DUMMYFUNCTION("""COMPUTED_VALUE"""),"Silverhill Press")</f>
        <v>Silverhill Press</v>
      </c>
      <c r="E2828" s="2">
        <f>IFERROR(__xludf.DUMMYFUNCTION("""COMPUTED_VALUE"""),2.24)</f>
        <v>2.24</v>
      </c>
      <c r="F2828" s="2"/>
      <c r="G2828" s="2"/>
      <c r="H2828" s="2"/>
      <c r="I2828" s="2"/>
    </row>
    <row r="2829">
      <c r="A2829" s="2">
        <f>IFERROR(__xludf.DUMMYFUNCTION("""COMPUTED_VALUE"""),88965.0)</f>
        <v>88965</v>
      </c>
      <c r="B2829" s="2" t="str">
        <f>IFERROR(__xludf.DUMMYFUNCTION("""COMPUTED_VALUE"""),"Law")</f>
        <v>Law</v>
      </c>
      <c r="C2829" s="2" t="str">
        <f>IFERROR(__xludf.DUMMYFUNCTION("""COMPUTED_VALUE"""),"Sports Nutrition")</f>
        <v>Sports Nutrition</v>
      </c>
      <c r="D2829" s="2" t="str">
        <f>IFERROR(__xludf.DUMMYFUNCTION("""COMPUTED_VALUE"""),"Silverhill Press")</f>
        <v>Silverhill Press</v>
      </c>
      <c r="E2829" s="2">
        <f>IFERROR(__xludf.DUMMYFUNCTION("""COMPUTED_VALUE"""),3.18)</f>
        <v>3.18</v>
      </c>
      <c r="F2829" s="2"/>
      <c r="G2829" s="2"/>
      <c r="H2829" s="2"/>
      <c r="I2829" s="2"/>
    </row>
    <row r="2830">
      <c r="A2830" s="2">
        <f>IFERROR(__xludf.DUMMYFUNCTION("""COMPUTED_VALUE"""),102614.0)</f>
        <v>102614</v>
      </c>
      <c r="B2830" s="2" t="str">
        <f>IFERROR(__xludf.DUMMYFUNCTION("""COMPUTED_VALUE"""),"Law")</f>
        <v>Law</v>
      </c>
      <c r="C2830" s="2" t="str">
        <f>IFERROR(__xludf.DUMMYFUNCTION("""COMPUTED_VALUE"""),"Sports Nutrition")</f>
        <v>Sports Nutrition</v>
      </c>
      <c r="D2830" s="2" t="str">
        <f>IFERROR(__xludf.DUMMYFUNCTION("""COMPUTED_VALUE"""),"Silverhill Press")</f>
        <v>Silverhill Press</v>
      </c>
      <c r="E2830" s="2">
        <f>IFERROR(__xludf.DUMMYFUNCTION("""COMPUTED_VALUE"""),3.75)</f>
        <v>3.75</v>
      </c>
      <c r="F2830" s="2"/>
      <c r="G2830" s="2"/>
      <c r="H2830" s="2"/>
      <c r="I2830" s="2"/>
    </row>
    <row r="2831">
      <c r="A2831" s="2">
        <f>IFERROR(__xludf.DUMMYFUNCTION("""COMPUTED_VALUE"""),122704.0)</f>
        <v>122704</v>
      </c>
      <c r="B2831" s="2" t="str">
        <f>IFERROR(__xludf.DUMMYFUNCTION("""COMPUTED_VALUE"""),"Law")</f>
        <v>Law</v>
      </c>
      <c r="C2831" s="2" t="str">
        <f>IFERROR(__xludf.DUMMYFUNCTION("""COMPUTED_VALUE"""),"Sports Nutrition")</f>
        <v>Sports Nutrition</v>
      </c>
      <c r="D2831" s="2" t="str">
        <f>IFERROR(__xludf.DUMMYFUNCTION("""COMPUTED_VALUE"""),"Silverhill Press")</f>
        <v>Silverhill Press</v>
      </c>
      <c r="E2831" s="2">
        <f>IFERROR(__xludf.DUMMYFUNCTION("""COMPUTED_VALUE"""),1.86)</f>
        <v>1.86</v>
      </c>
      <c r="F2831" s="2"/>
      <c r="G2831" s="2"/>
      <c r="H2831" s="2"/>
      <c r="I2831" s="2"/>
    </row>
    <row r="2832">
      <c r="A2832" s="2">
        <f>IFERROR(__xludf.DUMMYFUNCTION("""COMPUTED_VALUE"""),164902.0)</f>
        <v>164902</v>
      </c>
      <c r="B2832" s="2" t="str">
        <f>IFERROR(__xludf.DUMMYFUNCTION("""COMPUTED_VALUE"""),"Law")</f>
        <v>Law</v>
      </c>
      <c r="C2832" s="2" t="str">
        <f>IFERROR(__xludf.DUMMYFUNCTION("""COMPUTED_VALUE"""),"Sports Nutrition")</f>
        <v>Sports Nutrition</v>
      </c>
      <c r="D2832" s="2" t="str">
        <f>IFERROR(__xludf.DUMMYFUNCTION("""COMPUTED_VALUE"""),"Silverhill Press")</f>
        <v>Silverhill Press</v>
      </c>
      <c r="E2832" s="2">
        <f>IFERROR(__xludf.DUMMYFUNCTION("""COMPUTED_VALUE"""),2.07)</f>
        <v>2.07</v>
      </c>
      <c r="F2832" s="2"/>
      <c r="G2832" s="2"/>
      <c r="H2832" s="2"/>
      <c r="I2832" s="2"/>
    </row>
    <row r="2833">
      <c r="A2833" s="2">
        <f>IFERROR(__xludf.DUMMYFUNCTION("""COMPUTED_VALUE"""),117783.0)</f>
        <v>117783</v>
      </c>
      <c r="B2833" s="2" t="str">
        <f>IFERROR(__xludf.DUMMYFUNCTION("""COMPUTED_VALUE"""),"Law")</f>
        <v>Law</v>
      </c>
      <c r="C2833" s="2" t="str">
        <f>IFERROR(__xludf.DUMMYFUNCTION("""COMPUTED_VALUE"""),"Sports Nutrition")</f>
        <v>Sports Nutrition</v>
      </c>
      <c r="D2833" s="2" t="str">
        <f>IFERROR(__xludf.DUMMYFUNCTION("""COMPUTED_VALUE"""),"Silverhill Press")</f>
        <v>Silverhill Press</v>
      </c>
      <c r="E2833" s="2">
        <f>IFERROR(__xludf.DUMMYFUNCTION("""COMPUTED_VALUE"""),1.76)</f>
        <v>1.76</v>
      </c>
      <c r="F2833" s="2"/>
      <c r="G2833" s="2"/>
      <c r="H2833" s="2"/>
      <c r="I2833" s="2"/>
    </row>
    <row r="2834">
      <c r="A2834" s="2">
        <f>IFERROR(__xludf.DUMMYFUNCTION("""COMPUTED_VALUE"""),114278.0)</f>
        <v>114278</v>
      </c>
      <c r="B2834" s="2" t="str">
        <f>IFERROR(__xludf.DUMMYFUNCTION("""COMPUTED_VALUE"""),"Law")</f>
        <v>Law</v>
      </c>
      <c r="C2834" s="2" t="str">
        <f>IFERROR(__xludf.DUMMYFUNCTION("""COMPUTED_VALUE"""),"Sports Nutrition")</f>
        <v>Sports Nutrition</v>
      </c>
      <c r="D2834" s="2" t="str">
        <f>IFERROR(__xludf.DUMMYFUNCTION("""COMPUTED_VALUE"""),"Silverhill Press")</f>
        <v>Silverhill Press</v>
      </c>
      <c r="E2834" s="2">
        <f>IFERROR(__xludf.DUMMYFUNCTION("""COMPUTED_VALUE"""),1.6)</f>
        <v>1.6</v>
      </c>
      <c r="F2834" s="2"/>
      <c r="G2834" s="2"/>
      <c r="H2834" s="2"/>
      <c r="I2834" s="2"/>
    </row>
    <row r="2835">
      <c r="A2835" s="2">
        <f>IFERROR(__xludf.DUMMYFUNCTION("""COMPUTED_VALUE"""),46056.0)</f>
        <v>46056</v>
      </c>
      <c r="B2835" s="2" t="str">
        <f>IFERROR(__xludf.DUMMYFUNCTION("""COMPUTED_VALUE"""),"Law")</f>
        <v>Law</v>
      </c>
      <c r="C2835" s="2" t="str">
        <f>IFERROR(__xludf.DUMMYFUNCTION("""COMPUTED_VALUE"""),"Sports Nutrition")</f>
        <v>Sports Nutrition</v>
      </c>
      <c r="D2835" s="2" t="str">
        <f>IFERROR(__xludf.DUMMYFUNCTION("""COMPUTED_VALUE"""),"Silverhill Press")</f>
        <v>Silverhill Press</v>
      </c>
      <c r="E2835" s="2">
        <f>IFERROR(__xludf.DUMMYFUNCTION("""COMPUTED_VALUE"""),2.78)</f>
        <v>2.78</v>
      </c>
      <c r="F2835" s="2"/>
      <c r="G2835" s="2"/>
      <c r="H2835" s="2"/>
      <c r="I2835" s="2"/>
    </row>
    <row r="2836">
      <c r="A2836" s="2">
        <f>IFERROR(__xludf.DUMMYFUNCTION("""COMPUTED_VALUE"""),5703.0)</f>
        <v>5703</v>
      </c>
      <c r="B2836" s="2" t="str">
        <f>IFERROR(__xludf.DUMMYFUNCTION("""COMPUTED_VALUE"""),"Law")</f>
        <v>Law</v>
      </c>
      <c r="C2836" s="2" t="str">
        <f>IFERROR(__xludf.DUMMYFUNCTION("""COMPUTED_VALUE"""),"Sports Nutrition")</f>
        <v>Sports Nutrition</v>
      </c>
      <c r="D2836" s="2" t="str">
        <f>IFERROR(__xludf.DUMMYFUNCTION("""COMPUTED_VALUE"""),"Silverhill Press")</f>
        <v>Silverhill Press</v>
      </c>
      <c r="E2836" s="2">
        <f>IFERROR(__xludf.DUMMYFUNCTION("""COMPUTED_VALUE"""),2.67)</f>
        <v>2.67</v>
      </c>
      <c r="F2836" s="2"/>
      <c r="G2836" s="2"/>
      <c r="H2836" s="2"/>
      <c r="I2836" s="2"/>
    </row>
    <row r="2837">
      <c r="A2837" s="2">
        <f>IFERROR(__xludf.DUMMYFUNCTION("""COMPUTED_VALUE"""),102607.0)</f>
        <v>102607</v>
      </c>
      <c r="B2837" s="2" t="str">
        <f>IFERROR(__xludf.DUMMYFUNCTION("""COMPUTED_VALUE"""),"Law")</f>
        <v>Law</v>
      </c>
      <c r="C2837" s="2" t="str">
        <f>IFERROR(__xludf.DUMMYFUNCTION("""COMPUTED_VALUE"""),"Sports Nutrition")</f>
        <v>Sports Nutrition</v>
      </c>
      <c r="D2837" s="2" t="str">
        <f>IFERROR(__xludf.DUMMYFUNCTION("""COMPUTED_VALUE"""),"Silverhill Press")</f>
        <v>Silverhill Press</v>
      </c>
      <c r="E2837" s="2">
        <f>IFERROR(__xludf.DUMMYFUNCTION("""COMPUTED_VALUE"""),4.37)</f>
        <v>4.37</v>
      </c>
      <c r="F2837" s="2"/>
      <c r="G2837" s="2"/>
      <c r="H2837" s="2"/>
      <c r="I2837" s="2"/>
    </row>
    <row r="2838">
      <c r="A2838" s="2">
        <f>IFERROR(__xludf.DUMMYFUNCTION("""COMPUTED_VALUE"""),87913.0)</f>
        <v>87913</v>
      </c>
      <c r="B2838" s="2" t="str">
        <f>IFERROR(__xludf.DUMMYFUNCTION("""COMPUTED_VALUE"""),"Law")</f>
        <v>Law</v>
      </c>
      <c r="C2838" s="2" t="str">
        <f>IFERROR(__xludf.DUMMYFUNCTION("""COMPUTED_VALUE"""),"Sports Nutrition")</f>
        <v>Sports Nutrition</v>
      </c>
      <c r="D2838" s="2" t="str">
        <f>IFERROR(__xludf.DUMMYFUNCTION("""COMPUTED_VALUE"""),"Silverhill Press")</f>
        <v>Silverhill Press</v>
      </c>
      <c r="E2838" s="2">
        <f>IFERROR(__xludf.DUMMYFUNCTION("""COMPUTED_VALUE"""),1.5)</f>
        <v>1.5</v>
      </c>
      <c r="F2838" s="2"/>
      <c r="G2838" s="2"/>
      <c r="H2838" s="2"/>
      <c r="I2838" s="2"/>
    </row>
    <row r="2839">
      <c r="A2839" s="2">
        <f>IFERROR(__xludf.DUMMYFUNCTION("""COMPUTED_VALUE"""),149513.0)</f>
        <v>149513</v>
      </c>
      <c r="B2839" s="2" t="str">
        <f>IFERROR(__xludf.DUMMYFUNCTION("""COMPUTED_VALUE"""),"Law")</f>
        <v>Law</v>
      </c>
      <c r="C2839" s="2" t="str">
        <f>IFERROR(__xludf.DUMMYFUNCTION("""COMPUTED_VALUE"""),"Sports Nutrition")</f>
        <v>Sports Nutrition</v>
      </c>
      <c r="D2839" s="2" t="str">
        <f>IFERROR(__xludf.DUMMYFUNCTION("""COMPUTED_VALUE"""),"Silverhill Press")</f>
        <v>Silverhill Press</v>
      </c>
      <c r="E2839" s="2">
        <f>IFERROR(__xludf.DUMMYFUNCTION("""COMPUTED_VALUE"""),0.98)</f>
        <v>0.98</v>
      </c>
      <c r="F2839" s="2"/>
      <c r="G2839" s="2"/>
      <c r="H2839" s="2"/>
      <c r="I2839" s="2"/>
    </row>
    <row r="2840">
      <c r="A2840" s="2">
        <f>IFERROR(__xludf.DUMMYFUNCTION("""COMPUTED_VALUE"""),87909.0)</f>
        <v>87909</v>
      </c>
      <c r="B2840" s="2" t="str">
        <f>IFERROR(__xludf.DUMMYFUNCTION("""COMPUTED_VALUE"""),"Law")</f>
        <v>Law</v>
      </c>
      <c r="C2840" s="2" t="str">
        <f>IFERROR(__xludf.DUMMYFUNCTION("""COMPUTED_VALUE"""),"Sports Nutrition")</f>
        <v>Sports Nutrition</v>
      </c>
      <c r="D2840" s="2" t="str">
        <f>IFERROR(__xludf.DUMMYFUNCTION("""COMPUTED_VALUE"""),"Silverhill Press")</f>
        <v>Silverhill Press</v>
      </c>
      <c r="E2840" s="2">
        <f>IFERROR(__xludf.DUMMYFUNCTION("""COMPUTED_VALUE"""),1.0)</f>
        <v>1</v>
      </c>
      <c r="F2840" s="2"/>
      <c r="G2840" s="2"/>
      <c r="H2840" s="2"/>
      <c r="I2840" s="2"/>
    </row>
    <row r="2841">
      <c r="A2841" s="2">
        <f>IFERROR(__xludf.DUMMYFUNCTION("""COMPUTED_VALUE"""),101897.0)</f>
        <v>101897</v>
      </c>
      <c r="B2841" s="2" t="str">
        <f>IFERROR(__xludf.DUMMYFUNCTION("""COMPUTED_VALUE"""),"Law")</f>
        <v>Law</v>
      </c>
      <c r="C2841" s="2" t="str">
        <f>IFERROR(__xludf.DUMMYFUNCTION("""COMPUTED_VALUE"""),"Sports Nutrition")</f>
        <v>Sports Nutrition</v>
      </c>
      <c r="D2841" s="2" t="str">
        <f>IFERROR(__xludf.DUMMYFUNCTION("""COMPUTED_VALUE"""),"Silverhill Press")</f>
        <v>Silverhill Press</v>
      </c>
      <c r="E2841" s="2">
        <f>IFERROR(__xludf.DUMMYFUNCTION("""COMPUTED_VALUE"""),2.48)</f>
        <v>2.48</v>
      </c>
      <c r="F2841" s="2"/>
      <c r="G2841" s="2"/>
      <c r="H2841" s="2"/>
      <c r="I2841" s="2"/>
    </row>
    <row r="2842">
      <c r="A2842" s="2">
        <f>IFERROR(__xludf.DUMMYFUNCTION("""COMPUTED_VALUE"""),121675.0)</f>
        <v>121675</v>
      </c>
      <c r="B2842" s="2" t="str">
        <f>IFERROR(__xludf.DUMMYFUNCTION("""COMPUTED_VALUE"""),"Law")</f>
        <v>Law</v>
      </c>
      <c r="C2842" s="2" t="str">
        <f>IFERROR(__xludf.DUMMYFUNCTION("""COMPUTED_VALUE"""),"Sports Nutrition")</f>
        <v>Sports Nutrition</v>
      </c>
      <c r="D2842" s="2" t="str">
        <f>IFERROR(__xludf.DUMMYFUNCTION("""COMPUTED_VALUE"""),"Silverhill Press")</f>
        <v>Silverhill Press</v>
      </c>
      <c r="E2842" s="2">
        <f>IFERROR(__xludf.DUMMYFUNCTION("""COMPUTED_VALUE"""),1.82)</f>
        <v>1.82</v>
      </c>
      <c r="F2842" s="2"/>
      <c r="G2842" s="2"/>
      <c r="H2842" s="2"/>
      <c r="I2842" s="2"/>
    </row>
    <row r="2843">
      <c r="A2843" s="2">
        <f>IFERROR(__xludf.DUMMYFUNCTION("""COMPUTED_VALUE"""),99349.0)</f>
        <v>99349</v>
      </c>
      <c r="B2843" s="2" t="str">
        <f>IFERROR(__xludf.DUMMYFUNCTION("""COMPUTED_VALUE"""),"Law")</f>
        <v>Law</v>
      </c>
      <c r="C2843" s="2" t="str">
        <f>IFERROR(__xludf.DUMMYFUNCTION("""COMPUTED_VALUE"""),"Sports Nutrition")</f>
        <v>Sports Nutrition</v>
      </c>
      <c r="D2843" s="2" t="str">
        <f>IFERROR(__xludf.DUMMYFUNCTION("""COMPUTED_VALUE"""),"Silverhill Press")</f>
        <v>Silverhill Press</v>
      </c>
      <c r="E2843" s="2">
        <f>IFERROR(__xludf.DUMMYFUNCTION("""COMPUTED_VALUE"""),1.14)</f>
        <v>1.14</v>
      </c>
      <c r="F2843" s="2"/>
      <c r="G2843" s="2"/>
      <c r="H2843" s="2"/>
      <c r="I2843" s="2"/>
    </row>
    <row r="2844">
      <c r="A2844" s="2">
        <f>IFERROR(__xludf.DUMMYFUNCTION("""COMPUTED_VALUE"""),117785.0)</f>
        <v>117785</v>
      </c>
      <c r="B2844" s="2" t="str">
        <f>IFERROR(__xludf.DUMMYFUNCTION("""COMPUTED_VALUE"""),"Law")</f>
        <v>Law</v>
      </c>
      <c r="C2844" s="2" t="str">
        <f>IFERROR(__xludf.DUMMYFUNCTION("""COMPUTED_VALUE"""),"Sports Nutrition")</f>
        <v>Sports Nutrition</v>
      </c>
      <c r="D2844" s="2" t="str">
        <f>IFERROR(__xludf.DUMMYFUNCTION("""COMPUTED_VALUE"""),"Silverhill Press")</f>
        <v>Silverhill Press</v>
      </c>
      <c r="E2844" s="2">
        <f>IFERROR(__xludf.DUMMYFUNCTION("""COMPUTED_VALUE"""),1.42)</f>
        <v>1.42</v>
      </c>
      <c r="F2844" s="2"/>
      <c r="G2844" s="2"/>
      <c r="H2844" s="2"/>
      <c r="I2844" s="2"/>
    </row>
    <row r="2845">
      <c r="A2845" s="2">
        <f>IFERROR(__xludf.DUMMYFUNCTION("""COMPUTED_VALUE"""),120558.0)</f>
        <v>120558</v>
      </c>
      <c r="B2845" s="2" t="str">
        <f>IFERROR(__xludf.DUMMYFUNCTION("""COMPUTED_VALUE"""),"Law")</f>
        <v>Law</v>
      </c>
      <c r="C2845" s="2" t="str">
        <f>IFERROR(__xludf.DUMMYFUNCTION("""COMPUTED_VALUE"""),"Sports Nutrition")</f>
        <v>Sports Nutrition</v>
      </c>
      <c r="D2845" s="2" t="str">
        <f>IFERROR(__xludf.DUMMYFUNCTION("""COMPUTED_VALUE"""),"Silverhill Press")</f>
        <v>Silverhill Press</v>
      </c>
      <c r="E2845" s="2">
        <f>IFERROR(__xludf.DUMMYFUNCTION("""COMPUTED_VALUE"""),1.28)</f>
        <v>1.28</v>
      </c>
      <c r="F2845" s="2"/>
      <c r="G2845" s="2"/>
      <c r="H2845" s="2"/>
      <c r="I2845" s="2"/>
    </row>
    <row r="2846">
      <c r="A2846" s="2">
        <f>IFERROR(__xludf.DUMMYFUNCTION("""COMPUTED_VALUE"""),99351.0)</f>
        <v>99351</v>
      </c>
      <c r="B2846" s="2" t="str">
        <f>IFERROR(__xludf.DUMMYFUNCTION("""COMPUTED_VALUE"""),"Law")</f>
        <v>Law</v>
      </c>
      <c r="C2846" s="2" t="str">
        <f>IFERROR(__xludf.DUMMYFUNCTION("""COMPUTED_VALUE"""),"Sports Nutrition")</f>
        <v>Sports Nutrition</v>
      </c>
      <c r="D2846" s="2" t="str">
        <f>IFERROR(__xludf.DUMMYFUNCTION("""COMPUTED_VALUE"""),"Silverhill Press")</f>
        <v>Silverhill Press</v>
      </c>
      <c r="E2846" s="2">
        <f>IFERROR(__xludf.DUMMYFUNCTION("""COMPUTED_VALUE"""),1.05)</f>
        <v>1.05</v>
      </c>
      <c r="F2846" s="2"/>
      <c r="G2846" s="2"/>
      <c r="H2846" s="2"/>
      <c r="I2846" s="2"/>
    </row>
    <row r="2847">
      <c r="A2847" s="2">
        <f>IFERROR(__xludf.DUMMYFUNCTION("""COMPUTED_VALUE"""),113058.0)</f>
        <v>113058</v>
      </c>
      <c r="B2847" s="2" t="str">
        <f>IFERROR(__xludf.DUMMYFUNCTION("""COMPUTED_VALUE"""),"Law")</f>
        <v>Law</v>
      </c>
      <c r="C2847" s="2" t="str">
        <f>IFERROR(__xludf.DUMMYFUNCTION("""COMPUTED_VALUE"""),"Sports Nutrition")</f>
        <v>Sports Nutrition</v>
      </c>
      <c r="D2847" s="2" t="str">
        <f>IFERROR(__xludf.DUMMYFUNCTION("""COMPUTED_VALUE"""),"Silverhill Press")</f>
        <v>Silverhill Press</v>
      </c>
      <c r="E2847" s="2">
        <f>IFERROR(__xludf.DUMMYFUNCTION("""COMPUTED_VALUE"""),2.43)</f>
        <v>2.43</v>
      </c>
      <c r="F2847" s="2"/>
      <c r="G2847" s="2"/>
      <c r="H2847" s="2"/>
      <c r="I2847" s="2"/>
    </row>
    <row r="2848">
      <c r="A2848" s="2">
        <f>IFERROR(__xludf.DUMMYFUNCTION("""COMPUTED_VALUE"""),118917.0)</f>
        <v>118917</v>
      </c>
      <c r="B2848" s="2" t="str">
        <f>IFERROR(__xludf.DUMMYFUNCTION("""COMPUTED_VALUE"""),"Law")</f>
        <v>Law</v>
      </c>
      <c r="C2848" s="2" t="str">
        <f>IFERROR(__xludf.DUMMYFUNCTION("""COMPUTED_VALUE"""),"Sports Nutrition")</f>
        <v>Sports Nutrition</v>
      </c>
      <c r="D2848" s="2" t="str">
        <f>IFERROR(__xludf.DUMMYFUNCTION("""COMPUTED_VALUE"""),"Silverhill Press")</f>
        <v>Silverhill Press</v>
      </c>
      <c r="E2848" s="2">
        <f>IFERROR(__xludf.DUMMYFUNCTION("""COMPUTED_VALUE"""),0.97)</f>
        <v>0.97</v>
      </c>
      <c r="F2848" s="2"/>
      <c r="G2848" s="2"/>
      <c r="H2848" s="2"/>
      <c r="I2848" s="2"/>
    </row>
    <row r="2849">
      <c r="A2849" s="2">
        <f>IFERROR(__xludf.DUMMYFUNCTION("""COMPUTED_VALUE"""),164891.0)</f>
        <v>164891</v>
      </c>
      <c r="B2849" s="2" t="str">
        <f>IFERROR(__xludf.DUMMYFUNCTION("""COMPUTED_VALUE"""),"Law")</f>
        <v>Law</v>
      </c>
      <c r="C2849" s="2" t="str">
        <f>IFERROR(__xludf.DUMMYFUNCTION("""COMPUTED_VALUE"""),"Sports Nutrition")</f>
        <v>Sports Nutrition</v>
      </c>
      <c r="D2849" s="2" t="str">
        <f>IFERROR(__xludf.DUMMYFUNCTION("""COMPUTED_VALUE"""),"Silverhill Press")</f>
        <v>Silverhill Press</v>
      </c>
      <c r="E2849" s="2">
        <f>IFERROR(__xludf.DUMMYFUNCTION("""COMPUTED_VALUE"""),2.01)</f>
        <v>2.01</v>
      </c>
      <c r="F2849" s="2"/>
      <c r="G2849" s="2"/>
      <c r="H2849" s="2"/>
      <c r="I2849" s="2"/>
    </row>
    <row r="2850">
      <c r="A2850" s="2">
        <f>IFERROR(__xludf.DUMMYFUNCTION("""COMPUTED_VALUE"""),101901.0)</f>
        <v>101901</v>
      </c>
      <c r="B2850" s="2" t="str">
        <f>IFERROR(__xludf.DUMMYFUNCTION("""COMPUTED_VALUE"""),"Law")</f>
        <v>Law</v>
      </c>
      <c r="C2850" s="2" t="str">
        <f>IFERROR(__xludf.DUMMYFUNCTION("""COMPUTED_VALUE"""),"Sports Nutrition")</f>
        <v>Sports Nutrition</v>
      </c>
      <c r="D2850" s="2" t="str">
        <f>IFERROR(__xludf.DUMMYFUNCTION("""COMPUTED_VALUE"""),"Silverhill Press")</f>
        <v>Silverhill Press</v>
      </c>
      <c r="E2850" s="2">
        <f>IFERROR(__xludf.DUMMYFUNCTION("""COMPUTED_VALUE"""),2.87)</f>
        <v>2.87</v>
      </c>
      <c r="F2850" s="2"/>
      <c r="G2850" s="2"/>
      <c r="H2850" s="2"/>
      <c r="I2850" s="2"/>
    </row>
    <row r="2851">
      <c r="A2851" s="2">
        <f>IFERROR(__xludf.DUMMYFUNCTION("""COMPUTED_VALUE"""),197164.0)</f>
        <v>197164</v>
      </c>
      <c r="B2851" s="2" t="str">
        <f>IFERROR(__xludf.DUMMYFUNCTION("""COMPUTED_VALUE"""),"Law")</f>
        <v>Law</v>
      </c>
      <c r="C2851" s="2" t="str">
        <f>IFERROR(__xludf.DUMMYFUNCTION("""COMPUTED_VALUE"""),"Sports Nutrition")</f>
        <v>Sports Nutrition</v>
      </c>
      <c r="D2851" s="2" t="str">
        <f>IFERROR(__xludf.DUMMYFUNCTION("""COMPUTED_VALUE"""),"Silverhill Press")</f>
        <v>Silverhill Press</v>
      </c>
      <c r="E2851" s="2">
        <f>IFERROR(__xludf.DUMMYFUNCTION("""COMPUTED_VALUE"""),2.46)</f>
        <v>2.46</v>
      </c>
      <c r="F2851" s="2"/>
      <c r="G2851" s="2"/>
      <c r="H2851" s="2"/>
      <c r="I2851" s="2"/>
    </row>
    <row r="2852">
      <c r="A2852" s="2">
        <f>IFERROR(__xludf.DUMMYFUNCTION("""COMPUTED_VALUE"""),114277.0)</f>
        <v>114277</v>
      </c>
      <c r="B2852" s="2" t="str">
        <f>IFERROR(__xludf.DUMMYFUNCTION("""COMPUTED_VALUE"""),"Law")</f>
        <v>Law</v>
      </c>
      <c r="C2852" s="2" t="str">
        <f>IFERROR(__xludf.DUMMYFUNCTION("""COMPUTED_VALUE"""),"Sports Nutrition")</f>
        <v>Sports Nutrition</v>
      </c>
      <c r="D2852" s="2" t="str">
        <f>IFERROR(__xludf.DUMMYFUNCTION("""COMPUTED_VALUE"""),"Silverhill Press")</f>
        <v>Silverhill Press</v>
      </c>
      <c r="E2852" s="2">
        <f>IFERROR(__xludf.DUMMYFUNCTION("""COMPUTED_VALUE"""),2.32)</f>
        <v>2.32</v>
      </c>
      <c r="F2852" s="2"/>
      <c r="G2852" s="2"/>
      <c r="H2852" s="2"/>
      <c r="I2852" s="2"/>
    </row>
    <row r="2853">
      <c r="A2853" s="2">
        <f>IFERROR(__xludf.DUMMYFUNCTION("""COMPUTED_VALUE"""),86913.0)</f>
        <v>86913</v>
      </c>
      <c r="B2853" s="2" t="str">
        <f>IFERROR(__xludf.DUMMYFUNCTION("""COMPUTED_VALUE"""),"Law")</f>
        <v>Law</v>
      </c>
      <c r="C2853" s="2" t="str">
        <f>IFERROR(__xludf.DUMMYFUNCTION("""COMPUTED_VALUE"""),"Sports Nutrition")</f>
        <v>Sports Nutrition</v>
      </c>
      <c r="D2853" s="2" t="str">
        <f>IFERROR(__xludf.DUMMYFUNCTION("""COMPUTED_VALUE"""),"Silverhill Press")</f>
        <v>Silverhill Press</v>
      </c>
      <c r="E2853" s="2">
        <f>IFERROR(__xludf.DUMMYFUNCTION("""COMPUTED_VALUE"""),1.36)</f>
        <v>1.36</v>
      </c>
      <c r="F2853" s="2"/>
      <c r="G2853" s="2"/>
      <c r="H2853" s="2"/>
      <c r="I2853" s="2"/>
    </row>
    <row r="2854">
      <c r="A2854" s="2">
        <f>IFERROR(__xludf.DUMMYFUNCTION("""COMPUTED_VALUE"""),88971.0)</f>
        <v>88971</v>
      </c>
      <c r="B2854" s="2" t="str">
        <f>IFERROR(__xludf.DUMMYFUNCTION("""COMPUTED_VALUE"""),"Law")</f>
        <v>Law</v>
      </c>
      <c r="C2854" s="2" t="str">
        <f>IFERROR(__xludf.DUMMYFUNCTION("""COMPUTED_VALUE"""),"Sports Nutrition")</f>
        <v>Sports Nutrition</v>
      </c>
      <c r="D2854" s="2" t="str">
        <f>IFERROR(__xludf.DUMMYFUNCTION("""COMPUTED_VALUE"""),"Silverhill Press")</f>
        <v>Silverhill Press</v>
      </c>
      <c r="E2854" s="2">
        <f>IFERROR(__xludf.DUMMYFUNCTION("""COMPUTED_VALUE"""),2.26)</f>
        <v>2.26</v>
      </c>
      <c r="F2854" s="2"/>
      <c r="G2854" s="2"/>
      <c r="H2854" s="2"/>
      <c r="I2854" s="2"/>
    </row>
    <row r="2855">
      <c r="A2855" s="2">
        <f>IFERROR(__xludf.DUMMYFUNCTION("""COMPUTED_VALUE"""),188840.0)</f>
        <v>188840</v>
      </c>
      <c r="B2855" s="2" t="str">
        <f>IFERROR(__xludf.DUMMYFUNCTION("""COMPUTED_VALUE"""),"Law")</f>
        <v>Law</v>
      </c>
      <c r="C2855" s="2" t="str">
        <f>IFERROR(__xludf.DUMMYFUNCTION("""COMPUTED_VALUE"""),"Sports Nutrition")</f>
        <v>Sports Nutrition</v>
      </c>
      <c r="D2855" s="2" t="str">
        <f>IFERROR(__xludf.DUMMYFUNCTION("""COMPUTED_VALUE"""),"Silverhill Press")</f>
        <v>Silverhill Press</v>
      </c>
      <c r="E2855" s="2">
        <f>IFERROR(__xludf.DUMMYFUNCTION("""COMPUTED_VALUE"""),3.26)</f>
        <v>3.26</v>
      </c>
      <c r="F2855" s="2"/>
      <c r="G2855" s="2"/>
      <c r="H2855" s="2"/>
      <c r="I2855" s="2"/>
    </row>
    <row r="2856">
      <c r="A2856" s="2">
        <f>IFERROR(__xludf.DUMMYFUNCTION("""COMPUTED_VALUE"""),95652.0)</f>
        <v>95652</v>
      </c>
      <c r="B2856" s="2" t="str">
        <f>IFERROR(__xludf.DUMMYFUNCTION("""COMPUTED_VALUE"""),"Law")</f>
        <v>Law</v>
      </c>
      <c r="C2856" s="2" t="str">
        <f>IFERROR(__xludf.DUMMYFUNCTION("""COMPUTED_VALUE"""),"Sports Nutrition")</f>
        <v>Sports Nutrition</v>
      </c>
      <c r="D2856" s="2" t="str">
        <f>IFERROR(__xludf.DUMMYFUNCTION("""COMPUTED_VALUE"""),"Silverhill Press")</f>
        <v>Silverhill Press</v>
      </c>
      <c r="E2856" s="2">
        <f>IFERROR(__xludf.DUMMYFUNCTION("""COMPUTED_VALUE"""),2.53)</f>
        <v>2.53</v>
      </c>
      <c r="F2856" s="2"/>
      <c r="G2856" s="2"/>
      <c r="H2856" s="2"/>
      <c r="I2856" s="2"/>
    </row>
    <row r="2857">
      <c r="A2857" s="2">
        <f>IFERROR(__xludf.DUMMYFUNCTION("""COMPUTED_VALUE"""),68627.0)</f>
        <v>68627</v>
      </c>
      <c r="B2857" s="2" t="str">
        <f>IFERROR(__xludf.DUMMYFUNCTION("""COMPUTED_VALUE"""),"Law")</f>
        <v>Law</v>
      </c>
      <c r="C2857" s="2" t="str">
        <f>IFERROR(__xludf.DUMMYFUNCTION("""COMPUTED_VALUE"""),"Sports Nutrition")</f>
        <v>Sports Nutrition</v>
      </c>
      <c r="D2857" s="2" t="str">
        <f>IFERROR(__xludf.DUMMYFUNCTION("""COMPUTED_VALUE"""),"Silverhill Press")</f>
        <v>Silverhill Press</v>
      </c>
      <c r="E2857" s="2">
        <f>IFERROR(__xludf.DUMMYFUNCTION("""COMPUTED_VALUE"""),3.1)</f>
        <v>3.1</v>
      </c>
      <c r="F2857" s="2"/>
      <c r="G2857" s="2"/>
      <c r="H2857" s="2"/>
      <c r="I2857" s="2"/>
    </row>
    <row r="2858">
      <c r="A2858" s="2">
        <f>IFERROR(__xludf.DUMMYFUNCTION("""COMPUTED_VALUE"""),46043.0)</f>
        <v>46043</v>
      </c>
      <c r="B2858" s="2" t="str">
        <f>IFERROR(__xludf.DUMMYFUNCTION("""COMPUTED_VALUE"""),"Law")</f>
        <v>Law</v>
      </c>
      <c r="C2858" s="2" t="str">
        <f>IFERROR(__xludf.DUMMYFUNCTION("""COMPUTED_VALUE"""),"Sports Nutrition")</f>
        <v>Sports Nutrition</v>
      </c>
      <c r="D2858" s="2" t="str">
        <f>IFERROR(__xludf.DUMMYFUNCTION("""COMPUTED_VALUE"""),"Silverhill Press")</f>
        <v>Silverhill Press</v>
      </c>
      <c r="E2858" s="2">
        <f>IFERROR(__xludf.DUMMYFUNCTION("""COMPUTED_VALUE"""),2.86)</f>
        <v>2.86</v>
      </c>
      <c r="F2858" s="2"/>
      <c r="G2858" s="2"/>
      <c r="H2858" s="2"/>
      <c r="I2858" s="2"/>
    </row>
    <row r="2859">
      <c r="A2859" s="2">
        <f>IFERROR(__xludf.DUMMYFUNCTION("""COMPUTED_VALUE"""),60592.0)</f>
        <v>60592</v>
      </c>
      <c r="B2859" s="2" t="str">
        <f>IFERROR(__xludf.DUMMYFUNCTION("""COMPUTED_VALUE"""),"Law")</f>
        <v>Law</v>
      </c>
      <c r="C2859" s="2" t="str">
        <f>IFERROR(__xludf.DUMMYFUNCTION("""COMPUTED_VALUE"""),"Sports Nutrition")</f>
        <v>Sports Nutrition</v>
      </c>
      <c r="D2859" s="2" t="str">
        <f>IFERROR(__xludf.DUMMYFUNCTION("""COMPUTED_VALUE"""),"Silverhill Press")</f>
        <v>Silverhill Press</v>
      </c>
      <c r="E2859" s="2">
        <f>IFERROR(__xludf.DUMMYFUNCTION("""COMPUTED_VALUE"""),1.85)</f>
        <v>1.85</v>
      </c>
      <c r="F2859" s="2"/>
      <c r="G2859" s="2"/>
      <c r="H2859" s="2"/>
      <c r="I2859" s="2"/>
    </row>
    <row r="2860">
      <c r="A2860" s="2">
        <f>IFERROR(__xludf.DUMMYFUNCTION("""COMPUTED_VALUE"""),99350.0)</f>
        <v>99350</v>
      </c>
      <c r="B2860" s="2" t="str">
        <f>IFERROR(__xludf.DUMMYFUNCTION("""COMPUTED_VALUE"""),"Law")</f>
        <v>Law</v>
      </c>
      <c r="C2860" s="2" t="str">
        <f>IFERROR(__xludf.DUMMYFUNCTION("""COMPUTED_VALUE"""),"Sports Nutrition")</f>
        <v>Sports Nutrition</v>
      </c>
      <c r="D2860" s="2" t="str">
        <f>IFERROR(__xludf.DUMMYFUNCTION("""COMPUTED_VALUE"""),"Silverhill Press")</f>
        <v>Silverhill Press</v>
      </c>
      <c r="E2860" s="2">
        <f>IFERROR(__xludf.DUMMYFUNCTION("""COMPUTED_VALUE"""),0.97)</f>
        <v>0.97</v>
      </c>
      <c r="F2860" s="2"/>
      <c r="G2860" s="2"/>
      <c r="H2860" s="2"/>
      <c r="I2860" s="2"/>
    </row>
    <row r="2861">
      <c r="A2861" s="2">
        <f>IFERROR(__xludf.DUMMYFUNCTION("""COMPUTED_VALUE"""),78983.0)</f>
        <v>78983</v>
      </c>
      <c r="B2861" s="2" t="str">
        <f>IFERROR(__xludf.DUMMYFUNCTION("""COMPUTED_VALUE"""),"Law")</f>
        <v>Law</v>
      </c>
      <c r="C2861" s="2" t="str">
        <f>IFERROR(__xludf.DUMMYFUNCTION("""COMPUTED_VALUE"""),"Sports Nutrition")</f>
        <v>Sports Nutrition</v>
      </c>
      <c r="D2861" s="2" t="str">
        <f>IFERROR(__xludf.DUMMYFUNCTION("""COMPUTED_VALUE"""),"Silverhill Press")</f>
        <v>Silverhill Press</v>
      </c>
      <c r="E2861" s="2">
        <f>IFERROR(__xludf.DUMMYFUNCTION("""COMPUTED_VALUE"""),2.09)</f>
        <v>2.09</v>
      </c>
      <c r="F2861" s="2"/>
      <c r="G2861" s="2"/>
      <c r="H2861" s="2"/>
      <c r="I2861" s="2"/>
    </row>
    <row r="2862">
      <c r="A2862" s="2">
        <f>IFERROR(__xludf.DUMMYFUNCTION("""COMPUTED_VALUE"""),188845.0)</f>
        <v>188845</v>
      </c>
      <c r="B2862" s="2" t="str">
        <f>IFERROR(__xludf.DUMMYFUNCTION("""COMPUTED_VALUE"""),"Law")</f>
        <v>Law</v>
      </c>
      <c r="C2862" s="2" t="str">
        <f>IFERROR(__xludf.DUMMYFUNCTION("""COMPUTED_VALUE"""),"Sports Nutrition")</f>
        <v>Sports Nutrition</v>
      </c>
      <c r="D2862" s="2" t="str">
        <f>IFERROR(__xludf.DUMMYFUNCTION("""COMPUTED_VALUE"""),"Silverhill Press")</f>
        <v>Silverhill Press</v>
      </c>
      <c r="E2862" s="2">
        <f>IFERROR(__xludf.DUMMYFUNCTION("""COMPUTED_VALUE"""),2.07)</f>
        <v>2.07</v>
      </c>
      <c r="F2862" s="2"/>
      <c r="G2862" s="2"/>
      <c r="H2862" s="2"/>
      <c r="I2862" s="2"/>
    </row>
    <row r="2863">
      <c r="A2863" s="2">
        <f>IFERROR(__xludf.DUMMYFUNCTION("""COMPUTED_VALUE"""),117787.0)</f>
        <v>117787</v>
      </c>
      <c r="B2863" s="2" t="str">
        <f>IFERROR(__xludf.DUMMYFUNCTION("""COMPUTED_VALUE"""),"Law")</f>
        <v>Law</v>
      </c>
      <c r="C2863" s="2" t="str">
        <f>IFERROR(__xludf.DUMMYFUNCTION("""COMPUTED_VALUE"""),"Sports Nutrition")</f>
        <v>Sports Nutrition</v>
      </c>
      <c r="D2863" s="2" t="str">
        <f>IFERROR(__xludf.DUMMYFUNCTION("""COMPUTED_VALUE"""),"Silverhill Press")</f>
        <v>Silverhill Press</v>
      </c>
      <c r="E2863" s="2">
        <f>IFERROR(__xludf.DUMMYFUNCTION("""COMPUTED_VALUE"""),1.29)</f>
        <v>1.29</v>
      </c>
      <c r="F2863" s="2"/>
      <c r="G2863" s="2"/>
      <c r="H2863" s="2"/>
      <c r="I2863" s="2"/>
    </row>
    <row r="2864">
      <c r="A2864" s="2">
        <f>IFERROR(__xludf.DUMMYFUNCTION("""COMPUTED_VALUE"""),119986.0)</f>
        <v>119986</v>
      </c>
      <c r="B2864" s="2" t="str">
        <f>IFERROR(__xludf.DUMMYFUNCTION("""COMPUTED_VALUE"""),"Law")</f>
        <v>Law</v>
      </c>
      <c r="C2864" s="2" t="str">
        <f>IFERROR(__xludf.DUMMYFUNCTION("""COMPUTED_VALUE"""),"Sports Nutrition")</f>
        <v>Sports Nutrition</v>
      </c>
      <c r="D2864" s="2" t="str">
        <f>IFERROR(__xludf.DUMMYFUNCTION("""COMPUTED_VALUE"""),"Silverhill Press")</f>
        <v>Silverhill Press</v>
      </c>
      <c r="E2864" s="2">
        <f>IFERROR(__xludf.DUMMYFUNCTION("""COMPUTED_VALUE"""),2.56)</f>
        <v>2.56</v>
      </c>
      <c r="F2864" s="2"/>
      <c r="G2864" s="2"/>
      <c r="H2864" s="2"/>
      <c r="I2864" s="2"/>
    </row>
    <row r="2865">
      <c r="A2865" s="2">
        <f>IFERROR(__xludf.DUMMYFUNCTION("""COMPUTED_VALUE"""),188841.0)</f>
        <v>188841</v>
      </c>
      <c r="B2865" s="2" t="str">
        <f>IFERROR(__xludf.DUMMYFUNCTION("""COMPUTED_VALUE"""),"Law")</f>
        <v>Law</v>
      </c>
      <c r="C2865" s="2" t="str">
        <f>IFERROR(__xludf.DUMMYFUNCTION("""COMPUTED_VALUE"""),"Sports Nutrition")</f>
        <v>Sports Nutrition</v>
      </c>
      <c r="D2865" s="2" t="str">
        <f>IFERROR(__xludf.DUMMYFUNCTION("""COMPUTED_VALUE"""),"Silverhill Press")</f>
        <v>Silverhill Press</v>
      </c>
      <c r="E2865" s="2">
        <f>IFERROR(__xludf.DUMMYFUNCTION("""COMPUTED_VALUE"""),2.46)</f>
        <v>2.46</v>
      </c>
      <c r="F2865" s="2"/>
      <c r="G2865" s="2"/>
      <c r="H2865" s="2"/>
      <c r="I2865" s="2"/>
    </row>
    <row r="2866">
      <c r="A2866" s="2">
        <f>IFERROR(__xludf.DUMMYFUNCTION("""COMPUTED_VALUE"""),99348.0)</f>
        <v>99348</v>
      </c>
      <c r="B2866" s="2" t="str">
        <f>IFERROR(__xludf.DUMMYFUNCTION("""COMPUTED_VALUE"""),"Law")</f>
        <v>Law</v>
      </c>
      <c r="C2866" s="2" t="str">
        <f>IFERROR(__xludf.DUMMYFUNCTION("""COMPUTED_VALUE"""),"Sports Nutrition")</f>
        <v>Sports Nutrition</v>
      </c>
      <c r="D2866" s="2" t="str">
        <f>IFERROR(__xludf.DUMMYFUNCTION("""COMPUTED_VALUE"""),"Silverhill Press")</f>
        <v>Silverhill Press</v>
      </c>
      <c r="E2866" s="2">
        <f>IFERROR(__xludf.DUMMYFUNCTION("""COMPUTED_VALUE"""),0.88)</f>
        <v>0.88</v>
      </c>
      <c r="F2866" s="2"/>
      <c r="G2866" s="2"/>
      <c r="H2866" s="2"/>
      <c r="I2866" s="2"/>
    </row>
    <row r="2867">
      <c r="A2867" s="2">
        <f>IFERROR(__xludf.DUMMYFUNCTION("""COMPUTED_VALUE"""),78978.0)</f>
        <v>78978</v>
      </c>
      <c r="B2867" s="2" t="str">
        <f>IFERROR(__xludf.DUMMYFUNCTION("""COMPUTED_VALUE"""),"Law")</f>
        <v>Law</v>
      </c>
      <c r="C2867" s="2" t="str">
        <f>IFERROR(__xludf.DUMMYFUNCTION("""COMPUTED_VALUE"""),"Sports Nutrition")</f>
        <v>Sports Nutrition</v>
      </c>
      <c r="D2867" s="2" t="str">
        <f>IFERROR(__xludf.DUMMYFUNCTION("""COMPUTED_VALUE"""),"Silverhill Press")</f>
        <v>Silverhill Press</v>
      </c>
      <c r="E2867" s="2">
        <f>IFERROR(__xludf.DUMMYFUNCTION("""COMPUTED_VALUE"""),2.44)</f>
        <v>2.44</v>
      </c>
      <c r="F2867" s="2"/>
      <c r="G2867" s="2"/>
      <c r="H2867" s="2"/>
      <c r="I2867" s="2"/>
    </row>
    <row r="2868">
      <c r="A2868" s="2">
        <f>IFERROR(__xludf.DUMMYFUNCTION("""COMPUTED_VALUE"""),120556.0)</f>
        <v>120556</v>
      </c>
      <c r="B2868" s="2" t="str">
        <f>IFERROR(__xludf.DUMMYFUNCTION("""COMPUTED_VALUE"""),"Law")</f>
        <v>Law</v>
      </c>
      <c r="C2868" s="2" t="str">
        <f>IFERROR(__xludf.DUMMYFUNCTION("""COMPUTED_VALUE"""),"Sports Nutrition")</f>
        <v>Sports Nutrition</v>
      </c>
      <c r="D2868" s="2" t="str">
        <f>IFERROR(__xludf.DUMMYFUNCTION("""COMPUTED_VALUE"""),"Silverhill Press")</f>
        <v>Silverhill Press</v>
      </c>
      <c r="E2868" s="2">
        <f>IFERROR(__xludf.DUMMYFUNCTION("""COMPUTED_VALUE"""),1.57)</f>
        <v>1.57</v>
      </c>
      <c r="F2868" s="2"/>
      <c r="G2868" s="2"/>
      <c r="H2868" s="2"/>
      <c r="I2868" s="2"/>
    </row>
    <row r="2869">
      <c r="A2869" s="2">
        <f>IFERROR(__xludf.DUMMYFUNCTION("""COMPUTED_VALUE"""),80254.0)</f>
        <v>80254</v>
      </c>
      <c r="B2869" s="2" t="str">
        <f>IFERROR(__xludf.DUMMYFUNCTION("""COMPUTED_VALUE"""),"Law")</f>
        <v>Law</v>
      </c>
      <c r="C2869" s="2" t="str">
        <f>IFERROR(__xludf.DUMMYFUNCTION("""COMPUTED_VALUE"""),"Sports Nutrition")</f>
        <v>Sports Nutrition</v>
      </c>
      <c r="D2869" s="2" t="str">
        <f>IFERROR(__xludf.DUMMYFUNCTION("""COMPUTED_VALUE"""),"Silverhill Press")</f>
        <v>Silverhill Press</v>
      </c>
      <c r="E2869" s="2">
        <f>IFERROR(__xludf.DUMMYFUNCTION("""COMPUTED_VALUE"""),1.33)</f>
        <v>1.33</v>
      </c>
      <c r="F2869" s="2"/>
      <c r="G2869" s="2"/>
      <c r="H2869" s="2"/>
      <c r="I2869" s="2"/>
    </row>
    <row r="2870">
      <c r="A2870" s="2">
        <f>IFERROR(__xludf.DUMMYFUNCTION("""COMPUTED_VALUE"""),121911.0)</f>
        <v>121911</v>
      </c>
      <c r="B2870" s="2" t="str">
        <f>IFERROR(__xludf.DUMMYFUNCTION("""COMPUTED_VALUE"""),"Arts")</f>
        <v>Arts</v>
      </c>
      <c r="C2870" s="2" t="str">
        <f>IFERROR(__xludf.DUMMYFUNCTION("""COMPUTED_VALUE"""),"Extreme Sports")</f>
        <v>Extreme Sports</v>
      </c>
      <c r="D2870" s="2" t="str">
        <f>IFERROR(__xludf.DUMMYFUNCTION("""COMPUTED_VALUE"""),"Northhill Publishing")</f>
        <v>Northhill Publishing</v>
      </c>
      <c r="E2870" s="2">
        <f>IFERROR(__xludf.DUMMYFUNCTION("""COMPUTED_VALUE"""),4.42)</f>
        <v>4.42</v>
      </c>
      <c r="F2870" s="2"/>
      <c r="G2870" s="2"/>
      <c r="H2870" s="2"/>
      <c r="I2870" s="2"/>
    </row>
    <row r="2871">
      <c r="A2871" s="2">
        <f>IFERROR(__xludf.DUMMYFUNCTION("""COMPUTED_VALUE"""),120328.0)</f>
        <v>120328</v>
      </c>
      <c r="B2871" s="2" t="str">
        <f>IFERROR(__xludf.DUMMYFUNCTION("""COMPUTED_VALUE"""),"Arts")</f>
        <v>Arts</v>
      </c>
      <c r="C2871" s="2" t="str">
        <f>IFERROR(__xludf.DUMMYFUNCTION("""COMPUTED_VALUE"""),"Extreme Sports")</f>
        <v>Extreme Sports</v>
      </c>
      <c r="D2871" s="2" t="str">
        <f>IFERROR(__xludf.DUMMYFUNCTION("""COMPUTED_VALUE"""),"Northhill Publishing")</f>
        <v>Northhill Publishing</v>
      </c>
      <c r="E2871" s="2">
        <f>IFERROR(__xludf.DUMMYFUNCTION("""COMPUTED_VALUE"""),3.0)</f>
        <v>3</v>
      </c>
      <c r="F2871" s="2"/>
      <c r="G2871" s="2"/>
      <c r="H2871" s="2"/>
      <c r="I2871" s="2"/>
    </row>
    <row r="2872">
      <c r="A2872" s="2">
        <f>IFERROR(__xludf.DUMMYFUNCTION("""COMPUTED_VALUE"""),122702.0)</f>
        <v>122702</v>
      </c>
      <c r="B2872" s="2" t="str">
        <f>IFERROR(__xludf.DUMMYFUNCTION("""COMPUTED_VALUE"""),"Arts")</f>
        <v>Arts</v>
      </c>
      <c r="C2872" s="2" t="str">
        <f>IFERROR(__xludf.DUMMYFUNCTION("""COMPUTED_VALUE"""),"Extreme Sports")</f>
        <v>Extreme Sports</v>
      </c>
      <c r="D2872" s="2" t="str">
        <f>IFERROR(__xludf.DUMMYFUNCTION("""COMPUTED_VALUE"""),"Northhill Publishing")</f>
        <v>Northhill Publishing</v>
      </c>
      <c r="E2872" s="2">
        <f>IFERROR(__xludf.DUMMYFUNCTION("""COMPUTED_VALUE"""),2.85)</f>
        <v>2.85</v>
      </c>
      <c r="F2872" s="2"/>
      <c r="G2872" s="2"/>
      <c r="H2872" s="2"/>
      <c r="I2872" s="2"/>
    </row>
    <row r="2873">
      <c r="A2873" s="2">
        <f>IFERROR(__xludf.DUMMYFUNCTION("""COMPUTED_VALUE"""),92542.0)</f>
        <v>92542</v>
      </c>
      <c r="B2873" s="2" t="str">
        <f>IFERROR(__xludf.DUMMYFUNCTION("""COMPUTED_VALUE"""),"Arts")</f>
        <v>Arts</v>
      </c>
      <c r="C2873" s="2" t="str">
        <f>IFERROR(__xludf.DUMMYFUNCTION("""COMPUTED_VALUE"""),"Extreme Sports")</f>
        <v>Extreme Sports</v>
      </c>
      <c r="D2873" s="2" t="str">
        <f>IFERROR(__xludf.DUMMYFUNCTION("""COMPUTED_VALUE"""),"Northhill Publishing")</f>
        <v>Northhill Publishing</v>
      </c>
      <c r="E2873" s="2">
        <f>IFERROR(__xludf.DUMMYFUNCTION("""COMPUTED_VALUE"""),3.13)</f>
        <v>3.13</v>
      </c>
      <c r="F2873" s="2"/>
      <c r="G2873" s="2"/>
      <c r="H2873" s="2"/>
      <c r="I2873" s="2"/>
    </row>
    <row r="2874">
      <c r="A2874" s="2">
        <f>IFERROR(__xludf.DUMMYFUNCTION("""COMPUTED_VALUE"""),15423.0)</f>
        <v>15423</v>
      </c>
      <c r="B2874" s="2" t="str">
        <f>IFERROR(__xludf.DUMMYFUNCTION("""COMPUTED_VALUE"""),"Arts")</f>
        <v>Arts</v>
      </c>
      <c r="C2874" s="2" t="str">
        <f>IFERROR(__xludf.DUMMYFUNCTION("""COMPUTED_VALUE"""),"Extreme Sports")</f>
        <v>Extreme Sports</v>
      </c>
      <c r="D2874" s="2" t="str">
        <f>IFERROR(__xludf.DUMMYFUNCTION("""COMPUTED_VALUE"""),"Northhill Publishing")</f>
        <v>Northhill Publishing</v>
      </c>
      <c r="E2874" s="2">
        <f>IFERROR(__xludf.DUMMYFUNCTION("""COMPUTED_VALUE"""),3.74)</f>
        <v>3.74</v>
      </c>
      <c r="F2874" s="2"/>
      <c r="G2874" s="2"/>
      <c r="H2874" s="2"/>
      <c r="I2874" s="2"/>
    </row>
    <row r="2875">
      <c r="A2875" s="2">
        <f>IFERROR(__xludf.DUMMYFUNCTION("""COMPUTED_VALUE"""),111797.0)</f>
        <v>111797</v>
      </c>
      <c r="B2875" s="2" t="str">
        <f>IFERROR(__xludf.DUMMYFUNCTION("""COMPUTED_VALUE"""),"Arts")</f>
        <v>Arts</v>
      </c>
      <c r="C2875" s="2" t="str">
        <f>IFERROR(__xludf.DUMMYFUNCTION("""COMPUTED_VALUE"""),"Extreme Sports")</f>
        <v>Extreme Sports</v>
      </c>
      <c r="D2875" s="2" t="str">
        <f>IFERROR(__xludf.DUMMYFUNCTION("""COMPUTED_VALUE"""),"Northhill Publishing")</f>
        <v>Northhill Publishing</v>
      </c>
      <c r="E2875" s="2">
        <f>IFERROR(__xludf.DUMMYFUNCTION("""COMPUTED_VALUE"""),4.6)</f>
        <v>4.6</v>
      </c>
      <c r="F2875" s="2"/>
      <c r="G2875" s="2"/>
      <c r="H2875" s="2"/>
      <c r="I2875" s="2"/>
    </row>
    <row r="2876">
      <c r="A2876" s="2">
        <f>IFERROR(__xludf.DUMMYFUNCTION("""COMPUTED_VALUE"""),112626.0)</f>
        <v>112626</v>
      </c>
      <c r="B2876" s="2" t="str">
        <f>IFERROR(__xludf.DUMMYFUNCTION("""COMPUTED_VALUE"""),"Arts")</f>
        <v>Arts</v>
      </c>
      <c r="C2876" s="2" t="str">
        <f>IFERROR(__xludf.DUMMYFUNCTION("""COMPUTED_VALUE"""),"Extreme Sports")</f>
        <v>Extreme Sports</v>
      </c>
      <c r="D2876" s="2" t="str">
        <f>IFERROR(__xludf.DUMMYFUNCTION("""COMPUTED_VALUE"""),"Northhill Publishing")</f>
        <v>Northhill Publishing</v>
      </c>
      <c r="E2876" s="2">
        <f>IFERROR(__xludf.DUMMYFUNCTION("""COMPUTED_VALUE"""),3.17)</f>
        <v>3.17</v>
      </c>
      <c r="F2876" s="2"/>
      <c r="G2876" s="2"/>
      <c r="H2876" s="2"/>
      <c r="I2876" s="2"/>
    </row>
    <row r="2877">
      <c r="A2877" s="2">
        <f>IFERROR(__xludf.DUMMYFUNCTION("""COMPUTED_VALUE"""),12925.0)</f>
        <v>12925</v>
      </c>
      <c r="B2877" s="2" t="str">
        <f>IFERROR(__xludf.DUMMYFUNCTION("""COMPUTED_VALUE"""),"Arts")</f>
        <v>Arts</v>
      </c>
      <c r="C2877" s="2" t="str">
        <f>IFERROR(__xludf.DUMMYFUNCTION("""COMPUTED_VALUE"""),"Extreme Sports")</f>
        <v>Extreme Sports</v>
      </c>
      <c r="D2877" s="2" t="str">
        <f>IFERROR(__xludf.DUMMYFUNCTION("""COMPUTED_VALUE"""),"Northhill Publishing")</f>
        <v>Northhill Publishing</v>
      </c>
      <c r="E2877" s="2">
        <f>IFERROR(__xludf.DUMMYFUNCTION("""COMPUTED_VALUE"""),2.44)</f>
        <v>2.44</v>
      </c>
      <c r="F2877" s="2"/>
      <c r="G2877" s="2"/>
      <c r="H2877" s="2"/>
      <c r="I2877" s="2"/>
    </row>
    <row r="2878">
      <c r="A2878" s="2">
        <f>IFERROR(__xludf.DUMMYFUNCTION("""COMPUTED_VALUE"""),107034.0)</f>
        <v>107034</v>
      </c>
      <c r="B2878" s="2" t="str">
        <f>IFERROR(__xludf.DUMMYFUNCTION("""COMPUTED_VALUE"""),"Arts")</f>
        <v>Arts</v>
      </c>
      <c r="C2878" s="2" t="str">
        <f>IFERROR(__xludf.DUMMYFUNCTION("""COMPUTED_VALUE"""),"Extreme Sports")</f>
        <v>Extreme Sports</v>
      </c>
      <c r="D2878" s="2" t="str">
        <f>IFERROR(__xludf.DUMMYFUNCTION("""COMPUTED_VALUE"""),"Northhill Publishing")</f>
        <v>Northhill Publishing</v>
      </c>
      <c r="E2878" s="2">
        <f>IFERROR(__xludf.DUMMYFUNCTION("""COMPUTED_VALUE"""),2.97)</f>
        <v>2.97</v>
      </c>
      <c r="F2878" s="2"/>
      <c r="G2878" s="2"/>
      <c r="H2878" s="2"/>
      <c r="I2878" s="2"/>
    </row>
    <row r="2879">
      <c r="A2879" s="2">
        <f>IFERROR(__xludf.DUMMYFUNCTION("""COMPUTED_VALUE"""),88319.0)</f>
        <v>88319</v>
      </c>
      <c r="B2879" s="2" t="str">
        <f>IFERROR(__xludf.DUMMYFUNCTION("""COMPUTED_VALUE"""),"Arts")</f>
        <v>Arts</v>
      </c>
      <c r="C2879" s="2" t="str">
        <f>IFERROR(__xludf.DUMMYFUNCTION("""COMPUTED_VALUE"""),"Extreme Sports")</f>
        <v>Extreme Sports</v>
      </c>
      <c r="D2879" s="2" t="str">
        <f>IFERROR(__xludf.DUMMYFUNCTION("""COMPUTED_VALUE"""),"Northhill Publishing")</f>
        <v>Northhill Publishing</v>
      </c>
      <c r="E2879" s="2">
        <f>IFERROR(__xludf.DUMMYFUNCTION("""COMPUTED_VALUE"""),3.15)</f>
        <v>3.15</v>
      </c>
      <c r="F2879" s="2"/>
      <c r="G2879" s="2"/>
      <c r="H2879" s="2"/>
      <c r="I2879" s="2"/>
    </row>
    <row r="2880">
      <c r="A2880" s="2">
        <f>IFERROR(__xludf.DUMMYFUNCTION("""COMPUTED_VALUE"""),3453.0)</f>
        <v>3453</v>
      </c>
      <c r="B2880" s="2" t="str">
        <f>IFERROR(__xludf.DUMMYFUNCTION("""COMPUTED_VALUE"""),"Arts")</f>
        <v>Arts</v>
      </c>
      <c r="C2880" s="2" t="str">
        <f>IFERROR(__xludf.DUMMYFUNCTION("""COMPUTED_VALUE"""),"Extreme Sports")</f>
        <v>Extreme Sports</v>
      </c>
      <c r="D2880" s="2" t="str">
        <f>IFERROR(__xludf.DUMMYFUNCTION("""COMPUTED_VALUE"""),"Northhill Publishing")</f>
        <v>Northhill Publishing</v>
      </c>
      <c r="E2880" s="2">
        <f>IFERROR(__xludf.DUMMYFUNCTION("""COMPUTED_VALUE"""),1.76)</f>
        <v>1.76</v>
      </c>
      <c r="F2880" s="2"/>
      <c r="G2880" s="2"/>
      <c r="H2880" s="2"/>
      <c r="I2880" s="2"/>
    </row>
    <row r="2881">
      <c r="A2881" s="2">
        <f>IFERROR(__xludf.DUMMYFUNCTION("""COMPUTED_VALUE"""),121425.0)</f>
        <v>121425</v>
      </c>
      <c r="B2881" s="2" t="str">
        <f>IFERROR(__xludf.DUMMYFUNCTION("""COMPUTED_VALUE"""),"Arts")</f>
        <v>Arts</v>
      </c>
      <c r="C2881" s="2" t="str">
        <f>IFERROR(__xludf.DUMMYFUNCTION("""COMPUTED_VALUE"""),"Extreme Sports")</f>
        <v>Extreme Sports</v>
      </c>
      <c r="D2881" s="2" t="str">
        <f>IFERROR(__xludf.DUMMYFUNCTION("""COMPUTED_VALUE"""),"Harborhill Books")</f>
        <v>Harborhill Books</v>
      </c>
      <c r="E2881" s="2">
        <f>IFERROR(__xludf.DUMMYFUNCTION("""COMPUTED_VALUE"""),5.12)</f>
        <v>5.12</v>
      </c>
      <c r="F2881" s="2"/>
      <c r="G2881" s="2"/>
      <c r="H2881" s="2"/>
      <c r="I2881" s="2"/>
    </row>
    <row r="2882">
      <c r="A2882" s="2">
        <f>IFERROR(__xludf.DUMMYFUNCTION("""COMPUTED_VALUE"""),10561.0)</f>
        <v>10561</v>
      </c>
      <c r="B2882" s="2" t="str">
        <f>IFERROR(__xludf.DUMMYFUNCTION("""COMPUTED_VALUE"""),"Arts")</f>
        <v>Arts</v>
      </c>
      <c r="C2882" s="2" t="str">
        <f>IFERROR(__xludf.DUMMYFUNCTION("""COMPUTED_VALUE"""),"Extreme Sports")</f>
        <v>Extreme Sports</v>
      </c>
      <c r="D2882" s="2" t="str">
        <f>IFERROR(__xludf.DUMMYFUNCTION("""COMPUTED_VALUE"""),"Harborhill Books")</f>
        <v>Harborhill Books</v>
      </c>
      <c r="E2882" s="2">
        <f>IFERROR(__xludf.DUMMYFUNCTION("""COMPUTED_VALUE"""),5.35)</f>
        <v>5.35</v>
      </c>
      <c r="F2882" s="2"/>
      <c r="G2882" s="2"/>
      <c r="H2882" s="2"/>
      <c r="I2882" s="2"/>
    </row>
    <row r="2883">
      <c r="A2883" s="2">
        <f>IFERROR(__xludf.DUMMYFUNCTION("""COMPUTED_VALUE"""),90294.0)</f>
        <v>90294</v>
      </c>
      <c r="B2883" s="2" t="str">
        <f>IFERROR(__xludf.DUMMYFUNCTION("""COMPUTED_VALUE"""),"Arts")</f>
        <v>Arts</v>
      </c>
      <c r="C2883" s="2" t="str">
        <f>IFERROR(__xludf.DUMMYFUNCTION("""COMPUTED_VALUE"""),"Extreme Sports")</f>
        <v>Extreme Sports</v>
      </c>
      <c r="D2883" s="2" t="str">
        <f>IFERROR(__xludf.DUMMYFUNCTION("""COMPUTED_VALUE"""),"Harborhill Books")</f>
        <v>Harborhill Books</v>
      </c>
      <c r="E2883" s="2">
        <f>IFERROR(__xludf.DUMMYFUNCTION("""COMPUTED_VALUE"""),4.67)</f>
        <v>4.67</v>
      </c>
      <c r="F2883" s="2"/>
      <c r="G2883" s="2"/>
      <c r="H2883" s="2"/>
      <c r="I2883" s="2"/>
    </row>
    <row r="2884">
      <c r="A2884" s="2">
        <f>IFERROR(__xludf.DUMMYFUNCTION("""COMPUTED_VALUE"""),70804.0)</f>
        <v>70804</v>
      </c>
      <c r="B2884" s="2" t="str">
        <f>IFERROR(__xludf.DUMMYFUNCTION("""COMPUTED_VALUE"""),"Arts")</f>
        <v>Arts</v>
      </c>
      <c r="C2884" s="2" t="str">
        <f>IFERROR(__xludf.DUMMYFUNCTION("""COMPUTED_VALUE"""),"Extreme Sports")</f>
        <v>Extreme Sports</v>
      </c>
      <c r="D2884" s="2" t="str">
        <f>IFERROR(__xludf.DUMMYFUNCTION("""COMPUTED_VALUE"""),"Harborhill Books")</f>
        <v>Harborhill Books</v>
      </c>
      <c r="E2884" s="2">
        <f>IFERROR(__xludf.DUMMYFUNCTION("""COMPUTED_VALUE"""),8.94)</f>
        <v>8.94</v>
      </c>
      <c r="F2884" s="2"/>
      <c r="G2884" s="2"/>
      <c r="H2884" s="2"/>
      <c r="I2884" s="2"/>
    </row>
    <row r="2885">
      <c r="A2885" s="2">
        <f>IFERROR(__xludf.DUMMYFUNCTION("""COMPUTED_VALUE"""),81237.0)</f>
        <v>81237</v>
      </c>
      <c r="B2885" s="2" t="str">
        <f>IFERROR(__xludf.DUMMYFUNCTION("""COMPUTED_VALUE"""),"Arts")</f>
        <v>Arts</v>
      </c>
      <c r="C2885" s="2" t="str">
        <f>IFERROR(__xludf.DUMMYFUNCTION("""COMPUTED_VALUE"""),"Extreme Sports")</f>
        <v>Extreme Sports</v>
      </c>
      <c r="D2885" s="2" t="str">
        <f>IFERROR(__xludf.DUMMYFUNCTION("""COMPUTED_VALUE"""),"Harborhill Books")</f>
        <v>Harborhill Books</v>
      </c>
      <c r="E2885" s="2">
        <f>IFERROR(__xludf.DUMMYFUNCTION("""COMPUTED_VALUE"""),2.44)</f>
        <v>2.44</v>
      </c>
      <c r="F2885" s="2"/>
      <c r="G2885" s="2"/>
      <c r="H2885" s="2"/>
      <c r="I2885" s="2"/>
    </row>
    <row r="2886">
      <c r="A2886" s="2">
        <f>IFERROR(__xludf.DUMMYFUNCTION("""COMPUTED_VALUE"""),47564.0)</f>
        <v>47564</v>
      </c>
      <c r="B2886" s="2" t="str">
        <f>IFERROR(__xludf.DUMMYFUNCTION("""COMPUTED_VALUE"""),"Arts")</f>
        <v>Arts</v>
      </c>
      <c r="C2886" s="2" t="str">
        <f>IFERROR(__xludf.DUMMYFUNCTION("""COMPUTED_VALUE"""),"Extreme Sports")</f>
        <v>Extreme Sports</v>
      </c>
      <c r="D2886" s="2" t="str">
        <f>IFERROR(__xludf.DUMMYFUNCTION("""COMPUTED_VALUE"""),"Harborhill Books")</f>
        <v>Harborhill Books</v>
      </c>
      <c r="E2886" s="2">
        <f>IFERROR(__xludf.DUMMYFUNCTION("""COMPUTED_VALUE"""),7.67)</f>
        <v>7.67</v>
      </c>
      <c r="F2886" s="2"/>
      <c r="G2886" s="2"/>
      <c r="H2886" s="2"/>
      <c r="I2886" s="2"/>
    </row>
    <row r="2887">
      <c r="A2887" s="2">
        <f>IFERROR(__xludf.DUMMYFUNCTION("""COMPUTED_VALUE"""),24055.0)</f>
        <v>24055</v>
      </c>
      <c r="B2887" s="2" t="str">
        <f>IFERROR(__xludf.DUMMYFUNCTION("""COMPUTED_VALUE"""),"Arts")</f>
        <v>Arts</v>
      </c>
      <c r="C2887" s="2" t="str">
        <f>IFERROR(__xludf.DUMMYFUNCTION("""COMPUTED_VALUE"""),"Extreme Sports")</f>
        <v>Extreme Sports</v>
      </c>
      <c r="D2887" s="2" t="str">
        <f>IFERROR(__xludf.DUMMYFUNCTION("""COMPUTED_VALUE"""),"Harborhill Books")</f>
        <v>Harborhill Books</v>
      </c>
      <c r="E2887" s="2">
        <f>IFERROR(__xludf.DUMMYFUNCTION("""COMPUTED_VALUE"""),11.19)</f>
        <v>11.19</v>
      </c>
      <c r="F2887" s="2"/>
      <c r="G2887" s="2"/>
      <c r="H2887" s="2"/>
      <c r="I2887" s="2"/>
    </row>
    <row r="2888">
      <c r="A2888" s="2">
        <f>IFERROR(__xludf.DUMMYFUNCTION("""COMPUTED_VALUE"""),48637.0)</f>
        <v>48637</v>
      </c>
      <c r="B2888" s="2" t="str">
        <f>IFERROR(__xludf.DUMMYFUNCTION("""COMPUTED_VALUE"""),"Arts")</f>
        <v>Arts</v>
      </c>
      <c r="C2888" s="2" t="str">
        <f>IFERROR(__xludf.DUMMYFUNCTION("""COMPUTED_VALUE"""),"Extreme Sports")</f>
        <v>Extreme Sports</v>
      </c>
      <c r="D2888" s="2" t="str">
        <f>IFERROR(__xludf.DUMMYFUNCTION("""COMPUTED_VALUE"""),"Cedarhill Press")</f>
        <v>Cedarhill Press</v>
      </c>
      <c r="E2888" s="2">
        <f>IFERROR(__xludf.DUMMYFUNCTION("""COMPUTED_VALUE"""),8.87)</f>
        <v>8.87</v>
      </c>
      <c r="F2888" s="2"/>
      <c r="G2888" s="2"/>
      <c r="H2888" s="2"/>
      <c r="I2888" s="2"/>
    </row>
    <row r="2889">
      <c r="A2889" s="2">
        <f>IFERROR(__xludf.DUMMYFUNCTION("""COMPUTED_VALUE"""),3447.0)</f>
        <v>3447</v>
      </c>
      <c r="B2889" s="2" t="str">
        <f>IFERROR(__xludf.DUMMYFUNCTION("""COMPUTED_VALUE"""),"Arts")</f>
        <v>Arts</v>
      </c>
      <c r="C2889" s="2" t="str">
        <f>IFERROR(__xludf.DUMMYFUNCTION("""COMPUTED_VALUE"""),"Extreme Sports")</f>
        <v>Extreme Sports</v>
      </c>
      <c r="D2889" s="2" t="str">
        <f>IFERROR(__xludf.DUMMYFUNCTION("""COMPUTED_VALUE"""),"Cedarhill Press")</f>
        <v>Cedarhill Press</v>
      </c>
      <c r="E2889" s="2">
        <f>IFERROR(__xludf.DUMMYFUNCTION("""COMPUTED_VALUE"""),6.25)</f>
        <v>6.25</v>
      </c>
      <c r="F2889" s="2"/>
      <c r="G2889" s="2"/>
      <c r="H2889" s="2"/>
      <c r="I2889" s="2"/>
    </row>
    <row r="2890">
      <c r="A2890" s="2">
        <f>IFERROR(__xludf.DUMMYFUNCTION("""COMPUTED_VALUE"""),117921.0)</f>
        <v>117921</v>
      </c>
      <c r="B2890" s="2" t="str">
        <f>IFERROR(__xludf.DUMMYFUNCTION("""COMPUTED_VALUE"""),"Arts")</f>
        <v>Arts</v>
      </c>
      <c r="C2890" s="2" t="str">
        <f>IFERROR(__xludf.DUMMYFUNCTION("""COMPUTED_VALUE"""),"Extreme Sports")</f>
        <v>Extreme Sports</v>
      </c>
      <c r="D2890" s="2" t="str">
        <f>IFERROR(__xludf.DUMMYFUNCTION("""COMPUTED_VALUE"""),"Cedarhill Press")</f>
        <v>Cedarhill Press</v>
      </c>
      <c r="E2890" s="2">
        <f>IFERROR(__xludf.DUMMYFUNCTION("""COMPUTED_VALUE"""),6.81)</f>
        <v>6.81</v>
      </c>
      <c r="F2890" s="2"/>
      <c r="G2890" s="2"/>
      <c r="H2890" s="2"/>
      <c r="I2890" s="2"/>
    </row>
    <row r="2891">
      <c r="A2891" s="2">
        <f>IFERROR(__xludf.DUMMYFUNCTION("""COMPUTED_VALUE"""),128322.0)</f>
        <v>128322</v>
      </c>
      <c r="B2891" s="2" t="str">
        <f>IFERROR(__xludf.DUMMYFUNCTION("""COMPUTED_VALUE"""),"Arts")</f>
        <v>Arts</v>
      </c>
      <c r="C2891" s="2" t="str">
        <f>IFERROR(__xludf.DUMMYFUNCTION("""COMPUTED_VALUE"""),"Extreme Sports")</f>
        <v>Extreme Sports</v>
      </c>
      <c r="D2891" s="2" t="str">
        <f>IFERROR(__xludf.DUMMYFUNCTION("""COMPUTED_VALUE"""),"Cedarhill Press")</f>
        <v>Cedarhill Press</v>
      </c>
      <c r="E2891" s="2">
        <f>IFERROR(__xludf.DUMMYFUNCTION("""COMPUTED_VALUE"""),2.33)</f>
        <v>2.33</v>
      </c>
      <c r="F2891" s="2"/>
      <c r="G2891" s="2"/>
      <c r="H2891" s="2"/>
      <c r="I2891" s="2"/>
    </row>
    <row r="2892">
      <c r="A2892" s="2">
        <f>IFERROR(__xludf.DUMMYFUNCTION("""COMPUTED_VALUE"""),42207.0)</f>
        <v>42207</v>
      </c>
      <c r="B2892" s="2" t="str">
        <f>IFERROR(__xludf.DUMMYFUNCTION("""COMPUTED_VALUE"""),"Arts")</f>
        <v>Arts</v>
      </c>
      <c r="C2892" s="2" t="str">
        <f>IFERROR(__xludf.DUMMYFUNCTION("""COMPUTED_VALUE"""),"Extreme Sports")</f>
        <v>Extreme Sports</v>
      </c>
      <c r="D2892" s="2" t="str">
        <f>IFERROR(__xludf.DUMMYFUNCTION("""COMPUTED_VALUE"""),"Cedarhill Press")</f>
        <v>Cedarhill Press</v>
      </c>
      <c r="E2892" s="2">
        <f>IFERROR(__xludf.DUMMYFUNCTION("""COMPUTED_VALUE"""),4.58)</f>
        <v>4.58</v>
      </c>
      <c r="F2892" s="2"/>
      <c r="G2892" s="2"/>
      <c r="H2892" s="2"/>
      <c r="I2892" s="2"/>
    </row>
    <row r="2893">
      <c r="A2893" s="2">
        <f>IFERROR(__xludf.DUMMYFUNCTION("""COMPUTED_VALUE"""),108394.0)</f>
        <v>108394</v>
      </c>
      <c r="B2893" s="2" t="str">
        <f>IFERROR(__xludf.DUMMYFUNCTION("""COMPUTED_VALUE"""),"Arts")</f>
        <v>Arts</v>
      </c>
      <c r="C2893" s="2" t="str">
        <f>IFERROR(__xludf.DUMMYFUNCTION("""COMPUTED_VALUE"""),"Extreme Sports")</f>
        <v>Extreme Sports</v>
      </c>
      <c r="D2893" s="2" t="str">
        <f>IFERROR(__xludf.DUMMYFUNCTION("""COMPUTED_VALUE"""),"Cedarhill Press")</f>
        <v>Cedarhill Press</v>
      </c>
      <c r="E2893" s="2">
        <f>IFERROR(__xludf.DUMMYFUNCTION("""COMPUTED_VALUE"""),3.97)</f>
        <v>3.97</v>
      </c>
      <c r="F2893" s="2"/>
      <c r="G2893" s="2"/>
      <c r="H2893" s="2"/>
      <c r="I2893" s="2"/>
    </row>
    <row r="2894">
      <c r="A2894" s="2">
        <f>IFERROR(__xludf.DUMMYFUNCTION("""COMPUTED_VALUE"""),119967.0)</f>
        <v>119967</v>
      </c>
      <c r="B2894" s="2" t="str">
        <f>IFERROR(__xludf.DUMMYFUNCTION("""COMPUTED_VALUE"""),"Arts")</f>
        <v>Arts</v>
      </c>
      <c r="C2894" s="2" t="str">
        <f>IFERROR(__xludf.DUMMYFUNCTION("""COMPUTED_VALUE"""),"Extreme Sports")</f>
        <v>Extreme Sports</v>
      </c>
      <c r="D2894" s="2" t="str">
        <f>IFERROR(__xludf.DUMMYFUNCTION("""COMPUTED_VALUE"""),"Cedarhill Press")</f>
        <v>Cedarhill Press</v>
      </c>
      <c r="E2894" s="2">
        <f>IFERROR(__xludf.DUMMYFUNCTION("""COMPUTED_VALUE"""),4.49)</f>
        <v>4.49</v>
      </c>
      <c r="F2894" s="2"/>
      <c r="G2894" s="2"/>
      <c r="H2894" s="2"/>
      <c r="I2894" s="2"/>
    </row>
    <row r="2895">
      <c r="A2895" s="2">
        <f>IFERROR(__xludf.DUMMYFUNCTION("""COMPUTED_VALUE"""),81235.0)</f>
        <v>81235</v>
      </c>
      <c r="B2895" s="2" t="str">
        <f>IFERROR(__xludf.DUMMYFUNCTION("""COMPUTED_VALUE"""),"Arts")</f>
        <v>Arts</v>
      </c>
      <c r="C2895" s="2" t="str">
        <f>IFERROR(__xludf.DUMMYFUNCTION("""COMPUTED_VALUE"""),"Extreme Sports")</f>
        <v>Extreme Sports</v>
      </c>
      <c r="D2895" s="2" t="str">
        <f>IFERROR(__xludf.DUMMYFUNCTION("""COMPUTED_VALUE"""),"Cedarhill Press")</f>
        <v>Cedarhill Press</v>
      </c>
      <c r="E2895" s="2">
        <f>IFERROR(__xludf.DUMMYFUNCTION("""COMPUTED_VALUE"""),4.58)</f>
        <v>4.58</v>
      </c>
      <c r="F2895" s="2"/>
      <c r="G2895" s="2"/>
      <c r="H2895" s="2"/>
      <c r="I2895" s="2"/>
    </row>
    <row r="2896">
      <c r="A2896" s="2">
        <f>IFERROR(__xludf.DUMMYFUNCTION("""COMPUTED_VALUE"""),24053.0)</f>
        <v>24053</v>
      </c>
      <c r="B2896" s="2" t="str">
        <f>IFERROR(__xludf.DUMMYFUNCTION("""COMPUTED_VALUE"""),"Arts")</f>
        <v>Arts</v>
      </c>
      <c r="C2896" s="2" t="str">
        <f>IFERROR(__xludf.DUMMYFUNCTION("""COMPUTED_VALUE"""),"Extreme Sports")</f>
        <v>Extreme Sports</v>
      </c>
      <c r="D2896" s="2" t="str">
        <f>IFERROR(__xludf.DUMMYFUNCTION("""COMPUTED_VALUE"""),"Cedarhill Press")</f>
        <v>Cedarhill Press</v>
      </c>
      <c r="E2896" s="2">
        <f>IFERROR(__xludf.DUMMYFUNCTION("""COMPUTED_VALUE"""),9.36)</f>
        <v>9.36</v>
      </c>
      <c r="F2896" s="2"/>
      <c r="G2896" s="2"/>
      <c r="H2896" s="2"/>
      <c r="I2896" s="2"/>
    </row>
    <row r="2897">
      <c r="A2897" s="2">
        <f>IFERROR(__xludf.DUMMYFUNCTION("""COMPUTED_VALUE"""),116936.0)</f>
        <v>116936</v>
      </c>
      <c r="B2897" s="2" t="str">
        <f>IFERROR(__xludf.DUMMYFUNCTION("""COMPUTED_VALUE"""),"Arts")</f>
        <v>Arts</v>
      </c>
      <c r="C2897" s="2" t="str">
        <f>IFERROR(__xludf.DUMMYFUNCTION("""COMPUTED_VALUE"""),"Extreme Sports")</f>
        <v>Extreme Sports</v>
      </c>
      <c r="D2897" s="2" t="str">
        <f>IFERROR(__xludf.DUMMYFUNCTION("""COMPUTED_VALUE"""),"Cedarhill Press")</f>
        <v>Cedarhill Press</v>
      </c>
      <c r="E2897" s="2">
        <f>IFERROR(__xludf.DUMMYFUNCTION("""COMPUTED_VALUE"""),3.63)</f>
        <v>3.63</v>
      </c>
      <c r="F2897" s="2"/>
      <c r="G2897" s="2"/>
      <c r="H2897" s="2"/>
      <c r="I2897" s="2"/>
    </row>
    <row r="2898">
      <c r="A2898" s="2">
        <f>IFERROR(__xludf.DUMMYFUNCTION("""COMPUTED_VALUE"""),44268.0)</f>
        <v>44268</v>
      </c>
      <c r="B2898" s="2" t="str">
        <f>IFERROR(__xludf.DUMMYFUNCTION("""COMPUTED_VALUE"""),"Arts")</f>
        <v>Arts</v>
      </c>
      <c r="C2898" s="2" t="str">
        <f>IFERROR(__xludf.DUMMYFUNCTION("""COMPUTED_VALUE"""),"Extreme Sports")</f>
        <v>Extreme Sports</v>
      </c>
      <c r="D2898" s="2" t="str">
        <f>IFERROR(__xludf.DUMMYFUNCTION("""COMPUTED_VALUE"""),"Cedarhill Press")</f>
        <v>Cedarhill Press</v>
      </c>
      <c r="E2898" s="2">
        <f>IFERROR(__xludf.DUMMYFUNCTION("""COMPUTED_VALUE"""),4.93)</f>
        <v>4.93</v>
      </c>
      <c r="F2898" s="2"/>
      <c r="G2898" s="2"/>
      <c r="H2898" s="2"/>
      <c r="I2898" s="2"/>
    </row>
    <row r="2899">
      <c r="A2899" s="2">
        <f>IFERROR(__xludf.DUMMYFUNCTION("""COMPUTED_VALUE"""),111946.0)</f>
        <v>111946</v>
      </c>
      <c r="B2899" s="2" t="str">
        <f>IFERROR(__xludf.DUMMYFUNCTION("""COMPUTED_VALUE"""),"Arts")</f>
        <v>Arts</v>
      </c>
      <c r="C2899" s="2" t="str">
        <f>IFERROR(__xludf.DUMMYFUNCTION("""COMPUTED_VALUE"""),"Extreme Sports")</f>
        <v>Extreme Sports</v>
      </c>
      <c r="D2899" s="2" t="str">
        <f>IFERROR(__xludf.DUMMYFUNCTION("""COMPUTED_VALUE"""),"Cedarhill Press")</f>
        <v>Cedarhill Press</v>
      </c>
      <c r="E2899" s="2">
        <f>IFERROR(__xludf.DUMMYFUNCTION("""COMPUTED_VALUE"""),2.72)</f>
        <v>2.72</v>
      </c>
      <c r="F2899" s="2"/>
      <c r="G2899" s="2"/>
      <c r="H2899" s="2"/>
      <c r="I2899" s="2"/>
    </row>
    <row r="2900">
      <c r="A2900" s="2">
        <f>IFERROR(__xludf.DUMMYFUNCTION("""COMPUTED_VALUE"""),81234.0)</f>
        <v>81234</v>
      </c>
      <c r="B2900" s="2" t="str">
        <f>IFERROR(__xludf.DUMMYFUNCTION("""COMPUTED_VALUE"""),"Arts")</f>
        <v>Arts</v>
      </c>
      <c r="C2900" s="2" t="str">
        <f>IFERROR(__xludf.DUMMYFUNCTION("""COMPUTED_VALUE"""),"Extreme Sports")</f>
        <v>Extreme Sports</v>
      </c>
      <c r="D2900" s="2" t="str">
        <f>IFERROR(__xludf.DUMMYFUNCTION("""COMPUTED_VALUE"""),"Cedarhill Press")</f>
        <v>Cedarhill Press</v>
      </c>
      <c r="E2900" s="2">
        <f>IFERROR(__xludf.DUMMYFUNCTION("""COMPUTED_VALUE"""),2.44)</f>
        <v>2.44</v>
      </c>
      <c r="F2900" s="2"/>
      <c r="G2900" s="2"/>
      <c r="H2900" s="2"/>
      <c r="I2900" s="2"/>
    </row>
    <row r="2901">
      <c r="A2901" s="2">
        <f>IFERROR(__xludf.DUMMYFUNCTION("""COMPUTED_VALUE"""),24038.0)</f>
        <v>24038</v>
      </c>
      <c r="B2901" s="2" t="str">
        <f>IFERROR(__xludf.DUMMYFUNCTION("""COMPUTED_VALUE"""),"Arts")</f>
        <v>Arts</v>
      </c>
      <c r="C2901" s="2" t="str">
        <f>IFERROR(__xludf.DUMMYFUNCTION("""COMPUTED_VALUE"""),"Extreme Sports")</f>
        <v>Extreme Sports</v>
      </c>
      <c r="D2901" s="2" t="str">
        <f>IFERROR(__xludf.DUMMYFUNCTION("""COMPUTED_VALUE"""),"Cedarhill Press")</f>
        <v>Cedarhill Press</v>
      </c>
      <c r="E2901" s="2">
        <f>IFERROR(__xludf.DUMMYFUNCTION("""COMPUTED_VALUE"""),9.87)</f>
        <v>9.87</v>
      </c>
      <c r="F2901" s="2"/>
      <c r="G2901" s="2"/>
      <c r="H2901" s="2"/>
      <c r="I2901" s="2"/>
    </row>
    <row r="2902">
      <c r="A2902" s="2">
        <f>IFERROR(__xludf.DUMMYFUNCTION("""COMPUTED_VALUE"""),44882.0)</f>
        <v>44882</v>
      </c>
      <c r="B2902" s="2" t="str">
        <f>IFERROR(__xludf.DUMMYFUNCTION("""COMPUTED_VALUE"""),"Arts")</f>
        <v>Arts</v>
      </c>
      <c r="C2902" s="2" t="str">
        <f>IFERROR(__xludf.DUMMYFUNCTION("""COMPUTED_VALUE"""),"Extreme Sports")</f>
        <v>Extreme Sports</v>
      </c>
      <c r="D2902" s="2" t="str">
        <f>IFERROR(__xludf.DUMMYFUNCTION("""COMPUTED_VALUE"""),"Brighthill Publishing")</f>
        <v>Brighthill Publishing</v>
      </c>
      <c r="E2902" s="2">
        <f>IFERROR(__xludf.DUMMYFUNCTION("""COMPUTED_VALUE"""),5.4)</f>
        <v>5.4</v>
      </c>
      <c r="F2902" s="2"/>
      <c r="G2902" s="2"/>
      <c r="H2902" s="2"/>
      <c r="I2902" s="2"/>
    </row>
    <row r="2903">
      <c r="A2903" s="2">
        <f>IFERROR(__xludf.DUMMYFUNCTION("""COMPUTED_VALUE"""),44266.0)</f>
        <v>44266</v>
      </c>
      <c r="B2903" s="2" t="str">
        <f>IFERROR(__xludf.DUMMYFUNCTION("""COMPUTED_VALUE"""),"Arts")</f>
        <v>Arts</v>
      </c>
      <c r="C2903" s="2" t="str">
        <f>IFERROR(__xludf.DUMMYFUNCTION("""COMPUTED_VALUE"""),"Extreme Sports")</f>
        <v>Extreme Sports</v>
      </c>
      <c r="D2903" s="2" t="str">
        <f>IFERROR(__xludf.DUMMYFUNCTION("""COMPUTED_VALUE"""),"Brighthill Publishing")</f>
        <v>Brighthill Publishing</v>
      </c>
      <c r="E2903" s="2">
        <f>IFERROR(__xludf.DUMMYFUNCTION("""COMPUTED_VALUE"""),5.25)</f>
        <v>5.25</v>
      </c>
      <c r="F2903" s="2"/>
      <c r="G2903" s="2"/>
      <c r="H2903" s="2"/>
      <c r="I2903" s="2"/>
    </row>
    <row r="2904">
      <c r="A2904" s="2">
        <f>IFERROR(__xludf.DUMMYFUNCTION("""COMPUTED_VALUE"""),3452.0)</f>
        <v>3452</v>
      </c>
      <c r="B2904" s="2" t="str">
        <f>IFERROR(__xludf.DUMMYFUNCTION("""COMPUTED_VALUE"""),"Arts")</f>
        <v>Arts</v>
      </c>
      <c r="C2904" s="2" t="str">
        <f>IFERROR(__xludf.DUMMYFUNCTION("""COMPUTED_VALUE"""),"Extreme Sports")</f>
        <v>Extreme Sports</v>
      </c>
      <c r="D2904" s="2" t="str">
        <f>IFERROR(__xludf.DUMMYFUNCTION("""COMPUTED_VALUE"""),"Brighthill Publishing")</f>
        <v>Brighthill Publishing</v>
      </c>
      <c r="E2904" s="2">
        <f>IFERROR(__xludf.DUMMYFUNCTION("""COMPUTED_VALUE"""),2.28)</f>
        <v>2.28</v>
      </c>
      <c r="F2904" s="2"/>
      <c r="G2904" s="2"/>
      <c r="H2904" s="2"/>
      <c r="I2904" s="2"/>
    </row>
    <row r="2905">
      <c r="A2905" s="2">
        <f>IFERROR(__xludf.DUMMYFUNCTION("""COMPUTED_VALUE"""),118569.0)</f>
        <v>118569</v>
      </c>
      <c r="B2905" s="2" t="str">
        <f>IFERROR(__xludf.DUMMYFUNCTION("""COMPUTED_VALUE"""),"Arts")</f>
        <v>Arts</v>
      </c>
      <c r="C2905" s="2" t="str">
        <f>IFERROR(__xludf.DUMMYFUNCTION("""COMPUTED_VALUE"""),"Extreme Sports")</f>
        <v>Extreme Sports</v>
      </c>
      <c r="D2905" s="2" t="str">
        <f>IFERROR(__xludf.DUMMYFUNCTION("""COMPUTED_VALUE"""),"Brighthill Publishing")</f>
        <v>Brighthill Publishing</v>
      </c>
      <c r="E2905" s="2">
        <f>IFERROR(__xludf.DUMMYFUNCTION("""COMPUTED_VALUE"""),3.95)</f>
        <v>3.95</v>
      </c>
      <c r="F2905" s="2"/>
      <c r="G2905" s="2"/>
      <c r="H2905" s="2"/>
      <c r="I2905" s="2"/>
    </row>
    <row r="2906">
      <c r="A2906" s="2">
        <f>IFERROR(__xludf.DUMMYFUNCTION("""COMPUTED_VALUE"""),84378.0)</f>
        <v>84378</v>
      </c>
      <c r="B2906" s="2" t="str">
        <f>IFERROR(__xludf.DUMMYFUNCTION("""COMPUTED_VALUE"""),"Arts")</f>
        <v>Arts</v>
      </c>
      <c r="C2906" s="2" t="str">
        <f>IFERROR(__xludf.DUMMYFUNCTION("""COMPUTED_VALUE"""),"Extreme Sports")</f>
        <v>Extreme Sports</v>
      </c>
      <c r="D2906" s="2" t="str">
        <f>IFERROR(__xludf.DUMMYFUNCTION("""COMPUTED_VALUE"""),"Oakhill Books")</f>
        <v>Oakhill Books</v>
      </c>
      <c r="E2906" s="2">
        <f>IFERROR(__xludf.DUMMYFUNCTION("""COMPUTED_VALUE"""),2.07)</f>
        <v>2.07</v>
      </c>
      <c r="F2906" s="2"/>
      <c r="G2906" s="2"/>
      <c r="H2906" s="2"/>
      <c r="I2906" s="2"/>
    </row>
    <row r="2907">
      <c r="A2907" s="2">
        <f>IFERROR(__xludf.DUMMYFUNCTION("""COMPUTED_VALUE"""),112731.0)</f>
        <v>112731</v>
      </c>
      <c r="B2907" s="2" t="str">
        <f>IFERROR(__xludf.DUMMYFUNCTION("""COMPUTED_VALUE"""),"Arts")</f>
        <v>Arts</v>
      </c>
      <c r="C2907" s="2" t="str">
        <f>IFERROR(__xludf.DUMMYFUNCTION("""COMPUTED_VALUE"""),"Extreme Sports")</f>
        <v>Extreme Sports</v>
      </c>
      <c r="D2907" s="2" t="str">
        <f>IFERROR(__xludf.DUMMYFUNCTION("""COMPUTED_VALUE"""),"Oakhill Books")</f>
        <v>Oakhill Books</v>
      </c>
      <c r="E2907" s="2">
        <f>IFERROR(__xludf.DUMMYFUNCTION("""COMPUTED_VALUE"""),3.86)</f>
        <v>3.86</v>
      </c>
      <c r="F2907" s="2"/>
      <c r="G2907" s="2"/>
      <c r="H2907" s="2"/>
      <c r="I2907" s="2"/>
    </row>
    <row r="2908">
      <c r="A2908" s="2">
        <f>IFERROR(__xludf.DUMMYFUNCTION("""COMPUTED_VALUE"""),166201.0)</f>
        <v>166201</v>
      </c>
      <c r="B2908" s="2" t="str">
        <f>IFERROR(__xludf.DUMMYFUNCTION("""COMPUTED_VALUE"""),"Tech")</f>
        <v>Tech</v>
      </c>
      <c r="C2908" s="2" t="str">
        <f>IFERROR(__xludf.DUMMYFUNCTION("""COMPUTED_VALUE"""),"Winter Sports")</f>
        <v>Winter Sports</v>
      </c>
      <c r="D2908" s="2" t="str">
        <f>IFERROR(__xludf.DUMMYFUNCTION("""COMPUTED_VALUE"""),"Riverhill Press")</f>
        <v>Riverhill Press</v>
      </c>
      <c r="E2908" s="2">
        <f>IFERROR(__xludf.DUMMYFUNCTION("""COMPUTED_VALUE"""),3.36)</f>
        <v>3.36</v>
      </c>
      <c r="F2908" s="2"/>
      <c r="G2908" s="2"/>
      <c r="H2908" s="2"/>
      <c r="I2908" s="2"/>
    </row>
    <row r="2909">
      <c r="A2909" s="2">
        <f>IFERROR(__xludf.DUMMYFUNCTION("""COMPUTED_VALUE"""),48495.0)</f>
        <v>48495</v>
      </c>
      <c r="B2909" s="2" t="str">
        <f>IFERROR(__xludf.DUMMYFUNCTION("""COMPUTED_VALUE"""),"Tech")</f>
        <v>Tech</v>
      </c>
      <c r="C2909" s="2" t="str">
        <f>IFERROR(__xludf.DUMMYFUNCTION("""COMPUTED_VALUE"""),"Winter Sports")</f>
        <v>Winter Sports</v>
      </c>
      <c r="D2909" s="2" t="str">
        <f>IFERROR(__xludf.DUMMYFUNCTION("""COMPUTED_VALUE"""),"Riverhill Press")</f>
        <v>Riverhill Press</v>
      </c>
      <c r="E2909" s="2">
        <f>IFERROR(__xludf.DUMMYFUNCTION("""COMPUTED_VALUE"""),7.46)</f>
        <v>7.46</v>
      </c>
      <c r="F2909" s="2"/>
      <c r="G2909" s="2"/>
      <c r="H2909" s="2"/>
      <c r="I2909" s="2"/>
    </row>
    <row r="2910">
      <c r="A2910" s="2">
        <f>IFERROR(__xludf.DUMMYFUNCTION("""COMPUTED_VALUE"""),10383.0)</f>
        <v>10383</v>
      </c>
      <c r="B2910" s="2" t="str">
        <f>IFERROR(__xludf.DUMMYFUNCTION("""COMPUTED_VALUE"""),"Tech")</f>
        <v>Tech</v>
      </c>
      <c r="C2910" s="2" t="str">
        <f>IFERROR(__xludf.DUMMYFUNCTION("""COMPUTED_VALUE"""),"Winter Sports")</f>
        <v>Winter Sports</v>
      </c>
      <c r="D2910" s="2" t="str">
        <f>IFERROR(__xludf.DUMMYFUNCTION("""COMPUTED_VALUE"""),"Riverhill Press")</f>
        <v>Riverhill Press</v>
      </c>
      <c r="E2910" s="2">
        <f>IFERROR(__xludf.DUMMYFUNCTION("""COMPUTED_VALUE"""),7.07)</f>
        <v>7.07</v>
      </c>
      <c r="F2910" s="2"/>
      <c r="G2910" s="2"/>
      <c r="H2910" s="2"/>
      <c r="I2910" s="2"/>
    </row>
    <row r="2911">
      <c r="A2911" s="2">
        <f>IFERROR(__xludf.DUMMYFUNCTION("""COMPUTED_VALUE"""),116284.0)</f>
        <v>116284</v>
      </c>
      <c r="B2911" s="2" t="str">
        <f>IFERROR(__xludf.DUMMYFUNCTION("""COMPUTED_VALUE"""),"Tech")</f>
        <v>Tech</v>
      </c>
      <c r="C2911" s="2" t="str">
        <f>IFERROR(__xludf.DUMMYFUNCTION("""COMPUTED_VALUE"""),"Winter Sports")</f>
        <v>Winter Sports</v>
      </c>
      <c r="D2911" s="2" t="str">
        <f>IFERROR(__xludf.DUMMYFUNCTION("""COMPUTED_VALUE"""),"Riverhill Press")</f>
        <v>Riverhill Press</v>
      </c>
      <c r="E2911" s="2">
        <f>IFERROR(__xludf.DUMMYFUNCTION("""COMPUTED_VALUE"""),3.78)</f>
        <v>3.78</v>
      </c>
      <c r="F2911" s="2"/>
      <c r="G2911" s="2"/>
      <c r="H2911" s="2"/>
      <c r="I2911" s="2"/>
    </row>
    <row r="2912">
      <c r="A2912" s="2">
        <f>IFERROR(__xludf.DUMMYFUNCTION("""COMPUTED_VALUE"""),86543.0)</f>
        <v>86543</v>
      </c>
      <c r="B2912" s="2" t="str">
        <f>IFERROR(__xludf.DUMMYFUNCTION("""COMPUTED_VALUE"""),"Tech")</f>
        <v>Tech</v>
      </c>
      <c r="C2912" s="2" t="str">
        <f>IFERROR(__xludf.DUMMYFUNCTION("""COMPUTED_VALUE"""),"Winter Sports")</f>
        <v>Winter Sports</v>
      </c>
      <c r="D2912" s="2" t="str">
        <f>IFERROR(__xludf.DUMMYFUNCTION("""COMPUTED_VALUE"""),"Riverhill Press")</f>
        <v>Riverhill Press</v>
      </c>
      <c r="E2912" s="2">
        <f>IFERROR(__xludf.DUMMYFUNCTION("""COMPUTED_VALUE"""),4.09)</f>
        <v>4.09</v>
      </c>
      <c r="F2912" s="2"/>
      <c r="G2912" s="2"/>
      <c r="H2912" s="2"/>
      <c r="I2912" s="2"/>
    </row>
    <row r="2913">
      <c r="A2913" s="2">
        <f>IFERROR(__xludf.DUMMYFUNCTION("""COMPUTED_VALUE"""),21165.0)</f>
        <v>21165</v>
      </c>
      <c r="B2913" s="2" t="str">
        <f>IFERROR(__xludf.DUMMYFUNCTION("""COMPUTED_VALUE"""),"Tech")</f>
        <v>Tech</v>
      </c>
      <c r="C2913" s="2" t="str">
        <f>IFERROR(__xludf.DUMMYFUNCTION("""COMPUTED_VALUE"""),"Winter Sports")</f>
        <v>Winter Sports</v>
      </c>
      <c r="D2913" s="2" t="str">
        <f>IFERROR(__xludf.DUMMYFUNCTION("""COMPUTED_VALUE"""),"Riverhill Press")</f>
        <v>Riverhill Press</v>
      </c>
      <c r="E2913" s="2">
        <f>IFERROR(__xludf.DUMMYFUNCTION("""COMPUTED_VALUE"""),6.22)</f>
        <v>6.22</v>
      </c>
      <c r="F2913" s="2"/>
      <c r="G2913" s="2"/>
      <c r="H2913" s="2"/>
      <c r="I2913" s="2"/>
    </row>
    <row r="2914">
      <c r="A2914" s="2">
        <f>IFERROR(__xludf.DUMMYFUNCTION("""COMPUTED_VALUE"""),10309.0)</f>
        <v>10309</v>
      </c>
      <c r="B2914" s="2" t="str">
        <f>IFERROR(__xludf.DUMMYFUNCTION("""COMPUTED_VALUE"""),"Tech")</f>
        <v>Tech</v>
      </c>
      <c r="C2914" s="2" t="str">
        <f>IFERROR(__xludf.DUMMYFUNCTION("""COMPUTED_VALUE"""),"Winter Sports")</f>
        <v>Winter Sports</v>
      </c>
      <c r="D2914" s="2" t="str">
        <f>IFERROR(__xludf.DUMMYFUNCTION("""COMPUTED_VALUE"""),"Riverhill Press")</f>
        <v>Riverhill Press</v>
      </c>
      <c r="E2914" s="2">
        <f>IFERROR(__xludf.DUMMYFUNCTION("""COMPUTED_VALUE"""),2.54)</f>
        <v>2.54</v>
      </c>
      <c r="F2914" s="2"/>
      <c r="G2914" s="2"/>
      <c r="H2914" s="2"/>
      <c r="I2914" s="2"/>
    </row>
    <row r="2915">
      <c r="A2915" s="2">
        <f>IFERROR(__xludf.DUMMYFUNCTION("""COMPUTED_VALUE"""),10367.0)</f>
        <v>10367</v>
      </c>
      <c r="B2915" s="2" t="str">
        <f>IFERROR(__xludf.DUMMYFUNCTION("""COMPUTED_VALUE"""),"Tech")</f>
        <v>Tech</v>
      </c>
      <c r="C2915" s="2" t="str">
        <f>IFERROR(__xludf.DUMMYFUNCTION("""COMPUTED_VALUE"""),"Winter Sports")</f>
        <v>Winter Sports</v>
      </c>
      <c r="D2915" s="2" t="str">
        <f>IFERROR(__xludf.DUMMYFUNCTION("""COMPUTED_VALUE"""),"Riverhill Press")</f>
        <v>Riverhill Press</v>
      </c>
      <c r="E2915" s="2">
        <f>IFERROR(__xludf.DUMMYFUNCTION("""COMPUTED_VALUE"""),3.97)</f>
        <v>3.97</v>
      </c>
      <c r="F2915" s="2"/>
      <c r="G2915" s="2"/>
      <c r="H2915" s="2"/>
      <c r="I2915" s="2"/>
    </row>
    <row r="2916">
      <c r="A2916" s="2">
        <f>IFERROR(__xludf.DUMMYFUNCTION("""COMPUTED_VALUE"""),86545.0)</f>
        <v>86545</v>
      </c>
      <c r="B2916" s="2" t="str">
        <f>IFERROR(__xludf.DUMMYFUNCTION("""COMPUTED_VALUE"""),"Tech")</f>
        <v>Tech</v>
      </c>
      <c r="C2916" s="2" t="str">
        <f>IFERROR(__xludf.DUMMYFUNCTION("""COMPUTED_VALUE"""),"Winter Sports")</f>
        <v>Winter Sports</v>
      </c>
      <c r="D2916" s="2" t="str">
        <f>IFERROR(__xludf.DUMMYFUNCTION("""COMPUTED_VALUE"""),"Riverhill Press")</f>
        <v>Riverhill Press</v>
      </c>
      <c r="E2916" s="2">
        <f>IFERROR(__xludf.DUMMYFUNCTION("""COMPUTED_VALUE"""),5.31)</f>
        <v>5.31</v>
      </c>
      <c r="F2916" s="2"/>
      <c r="G2916" s="2"/>
      <c r="H2916" s="2"/>
      <c r="I2916" s="2"/>
    </row>
    <row r="2917">
      <c r="A2917" s="2">
        <f>IFERROR(__xludf.DUMMYFUNCTION("""COMPUTED_VALUE"""),86544.0)</f>
        <v>86544</v>
      </c>
      <c r="B2917" s="2" t="str">
        <f>IFERROR(__xludf.DUMMYFUNCTION("""COMPUTED_VALUE"""),"Tech")</f>
        <v>Tech</v>
      </c>
      <c r="C2917" s="2" t="str">
        <f>IFERROR(__xludf.DUMMYFUNCTION("""COMPUTED_VALUE"""),"Winter Sports")</f>
        <v>Winter Sports</v>
      </c>
      <c r="D2917" s="2" t="str">
        <f>IFERROR(__xludf.DUMMYFUNCTION("""COMPUTED_VALUE"""),"Riverhill Press")</f>
        <v>Riverhill Press</v>
      </c>
      <c r="E2917" s="2">
        <f>IFERROR(__xludf.DUMMYFUNCTION("""COMPUTED_VALUE"""),5.87)</f>
        <v>5.87</v>
      </c>
      <c r="F2917" s="2"/>
      <c r="G2917" s="2"/>
      <c r="H2917" s="2"/>
      <c r="I2917" s="2"/>
    </row>
    <row r="2918">
      <c r="A2918" s="2">
        <f>IFERROR(__xludf.DUMMYFUNCTION("""COMPUTED_VALUE"""),10384.0)</f>
        <v>10384</v>
      </c>
      <c r="B2918" s="2" t="str">
        <f>IFERROR(__xludf.DUMMYFUNCTION("""COMPUTED_VALUE"""),"Tech")</f>
        <v>Tech</v>
      </c>
      <c r="C2918" s="2" t="str">
        <f>IFERROR(__xludf.DUMMYFUNCTION("""COMPUTED_VALUE"""),"Winter Sports")</f>
        <v>Winter Sports</v>
      </c>
      <c r="D2918" s="2" t="str">
        <f>IFERROR(__xludf.DUMMYFUNCTION("""COMPUTED_VALUE"""),"Riverhill Press")</f>
        <v>Riverhill Press</v>
      </c>
      <c r="E2918" s="2">
        <f>IFERROR(__xludf.DUMMYFUNCTION("""COMPUTED_VALUE"""),7.12)</f>
        <v>7.12</v>
      </c>
      <c r="F2918" s="2"/>
      <c r="G2918" s="2"/>
      <c r="H2918" s="2"/>
      <c r="I2918" s="2"/>
    </row>
    <row r="2919">
      <c r="A2919" s="2">
        <f>IFERROR(__xludf.DUMMYFUNCTION("""COMPUTED_VALUE"""),79314.0)</f>
        <v>79314</v>
      </c>
      <c r="B2919" s="2" t="str">
        <f>IFERROR(__xludf.DUMMYFUNCTION("""COMPUTED_VALUE"""),"Tech")</f>
        <v>Tech</v>
      </c>
      <c r="C2919" s="2" t="str">
        <f>IFERROR(__xludf.DUMMYFUNCTION("""COMPUTED_VALUE"""),"Winter Sports")</f>
        <v>Winter Sports</v>
      </c>
      <c r="D2919" s="2" t="str">
        <f>IFERROR(__xludf.DUMMYFUNCTION("""COMPUTED_VALUE"""),"Ironhill Publishing")</f>
        <v>Ironhill Publishing</v>
      </c>
      <c r="E2919" s="2">
        <f>IFERROR(__xludf.DUMMYFUNCTION("""COMPUTED_VALUE"""),4.77)</f>
        <v>4.77</v>
      </c>
      <c r="F2919" s="2"/>
      <c r="G2919" s="2"/>
      <c r="H2919" s="2"/>
      <c r="I2919" s="2"/>
    </row>
    <row r="2920">
      <c r="A2920" s="2">
        <f>IFERROR(__xludf.DUMMYFUNCTION("""COMPUTED_VALUE"""),79311.0)</f>
        <v>79311</v>
      </c>
      <c r="B2920" s="2" t="str">
        <f>IFERROR(__xludf.DUMMYFUNCTION("""COMPUTED_VALUE"""),"Tech")</f>
        <v>Tech</v>
      </c>
      <c r="C2920" s="2" t="str">
        <f>IFERROR(__xludf.DUMMYFUNCTION("""COMPUTED_VALUE"""),"Winter Sports")</f>
        <v>Winter Sports</v>
      </c>
      <c r="D2920" s="2" t="str">
        <f>IFERROR(__xludf.DUMMYFUNCTION("""COMPUTED_VALUE"""),"Ironhill Publishing")</f>
        <v>Ironhill Publishing</v>
      </c>
      <c r="E2920" s="2">
        <f>IFERROR(__xludf.DUMMYFUNCTION("""COMPUTED_VALUE"""),4.84)</f>
        <v>4.84</v>
      </c>
      <c r="F2920" s="2"/>
      <c r="G2920" s="2"/>
      <c r="H2920" s="2"/>
      <c r="I2920" s="2"/>
    </row>
    <row r="2921">
      <c r="A2921" s="2">
        <f>IFERROR(__xludf.DUMMYFUNCTION("""COMPUTED_VALUE"""),118249.0)</f>
        <v>118249</v>
      </c>
      <c r="B2921" s="2" t="str">
        <f>IFERROR(__xludf.DUMMYFUNCTION("""COMPUTED_VALUE"""),"Tech")</f>
        <v>Tech</v>
      </c>
      <c r="C2921" s="2" t="str">
        <f>IFERROR(__xludf.DUMMYFUNCTION("""COMPUTED_VALUE"""),"Winter Sports")</f>
        <v>Winter Sports</v>
      </c>
      <c r="D2921" s="2" t="str">
        <f>IFERROR(__xludf.DUMMYFUNCTION("""COMPUTED_VALUE"""),"Ironhill Publishing")</f>
        <v>Ironhill Publishing</v>
      </c>
      <c r="E2921" s="2">
        <f>IFERROR(__xludf.DUMMYFUNCTION("""COMPUTED_VALUE"""),3.07)</f>
        <v>3.07</v>
      </c>
      <c r="F2921" s="2"/>
      <c r="G2921" s="2"/>
      <c r="H2921" s="2"/>
      <c r="I2921" s="2"/>
    </row>
    <row r="2922">
      <c r="A2922" s="2">
        <f>IFERROR(__xludf.DUMMYFUNCTION("""COMPUTED_VALUE"""),128420.0)</f>
        <v>128420</v>
      </c>
      <c r="B2922" s="2" t="str">
        <f>IFERROR(__xludf.DUMMYFUNCTION("""COMPUTED_VALUE"""),"Tech")</f>
        <v>Tech</v>
      </c>
      <c r="C2922" s="2" t="str">
        <f>IFERROR(__xludf.DUMMYFUNCTION("""COMPUTED_VALUE"""),"Winter Sports")</f>
        <v>Winter Sports</v>
      </c>
      <c r="D2922" s="2" t="str">
        <f>IFERROR(__xludf.DUMMYFUNCTION("""COMPUTED_VALUE"""),"Ironhill Publishing")</f>
        <v>Ironhill Publishing</v>
      </c>
      <c r="E2922" s="2">
        <f>IFERROR(__xludf.DUMMYFUNCTION("""COMPUTED_VALUE"""),4.57)</f>
        <v>4.57</v>
      </c>
      <c r="F2922" s="2"/>
      <c r="G2922" s="2"/>
      <c r="H2922" s="2"/>
      <c r="I2922" s="2"/>
    </row>
    <row r="2923">
      <c r="A2923" s="2">
        <f>IFERROR(__xludf.DUMMYFUNCTION("""COMPUTED_VALUE"""),120692.0)</f>
        <v>120692</v>
      </c>
      <c r="B2923" s="2" t="str">
        <f>IFERROR(__xludf.DUMMYFUNCTION("""COMPUTED_VALUE"""),"Tech")</f>
        <v>Tech</v>
      </c>
      <c r="C2923" s="2" t="str">
        <f>IFERROR(__xludf.DUMMYFUNCTION("""COMPUTED_VALUE"""),"Winter Sports")</f>
        <v>Winter Sports</v>
      </c>
      <c r="D2923" s="2" t="str">
        <f>IFERROR(__xludf.DUMMYFUNCTION("""COMPUTED_VALUE"""),"Ironhill Publishing")</f>
        <v>Ironhill Publishing</v>
      </c>
      <c r="E2923" s="2">
        <f>IFERROR(__xludf.DUMMYFUNCTION("""COMPUTED_VALUE"""),4.94)</f>
        <v>4.94</v>
      </c>
      <c r="F2923" s="2"/>
      <c r="G2923" s="2"/>
      <c r="H2923" s="2"/>
      <c r="I2923" s="2"/>
    </row>
    <row r="2924">
      <c r="A2924" s="2">
        <f>IFERROR(__xludf.DUMMYFUNCTION("""COMPUTED_VALUE"""),122464.0)</f>
        <v>122464</v>
      </c>
      <c r="B2924" s="2" t="str">
        <f>IFERROR(__xludf.DUMMYFUNCTION("""COMPUTED_VALUE"""),"Tech")</f>
        <v>Tech</v>
      </c>
      <c r="C2924" s="2" t="str">
        <f>IFERROR(__xludf.DUMMYFUNCTION("""COMPUTED_VALUE"""),"Winter Sports")</f>
        <v>Winter Sports</v>
      </c>
      <c r="D2924" s="2" t="str">
        <f>IFERROR(__xludf.DUMMYFUNCTION("""COMPUTED_VALUE"""),"Ironhill Publishing")</f>
        <v>Ironhill Publishing</v>
      </c>
      <c r="E2924" s="2">
        <f>IFERROR(__xludf.DUMMYFUNCTION("""COMPUTED_VALUE"""),9.68)</f>
        <v>9.68</v>
      </c>
      <c r="F2924" s="2"/>
      <c r="G2924" s="2"/>
      <c r="H2924" s="2"/>
      <c r="I2924" s="2"/>
    </row>
    <row r="2925">
      <c r="A2925" s="2">
        <f>IFERROR(__xludf.DUMMYFUNCTION("""COMPUTED_VALUE"""),79762.0)</f>
        <v>79762</v>
      </c>
      <c r="B2925" s="2" t="str">
        <f>IFERROR(__xludf.DUMMYFUNCTION("""COMPUTED_VALUE"""),"Tech")</f>
        <v>Tech</v>
      </c>
      <c r="C2925" s="2" t="str">
        <f>IFERROR(__xludf.DUMMYFUNCTION("""COMPUTED_VALUE"""),"Winter Sports")</f>
        <v>Winter Sports</v>
      </c>
      <c r="D2925" s="2" t="str">
        <f>IFERROR(__xludf.DUMMYFUNCTION("""COMPUTED_VALUE"""),"Ironhill Publishing")</f>
        <v>Ironhill Publishing</v>
      </c>
      <c r="E2925" s="2">
        <f>IFERROR(__xludf.DUMMYFUNCTION("""COMPUTED_VALUE"""),7.36)</f>
        <v>7.36</v>
      </c>
      <c r="F2925" s="2"/>
      <c r="G2925" s="2"/>
      <c r="H2925" s="2"/>
      <c r="I2925" s="2"/>
    </row>
    <row r="2926">
      <c r="A2926" s="2">
        <f>IFERROR(__xludf.DUMMYFUNCTION("""COMPUTED_VALUE"""),79315.0)</f>
        <v>79315</v>
      </c>
      <c r="B2926" s="2" t="str">
        <f>IFERROR(__xludf.DUMMYFUNCTION("""COMPUTED_VALUE"""),"Tech")</f>
        <v>Tech</v>
      </c>
      <c r="C2926" s="2" t="str">
        <f>IFERROR(__xludf.DUMMYFUNCTION("""COMPUTED_VALUE"""),"Winter Sports")</f>
        <v>Winter Sports</v>
      </c>
      <c r="D2926" s="2" t="str">
        <f>IFERROR(__xludf.DUMMYFUNCTION("""COMPUTED_VALUE"""),"Ironhill Publishing")</f>
        <v>Ironhill Publishing</v>
      </c>
      <c r="E2926" s="2">
        <f>IFERROR(__xludf.DUMMYFUNCTION("""COMPUTED_VALUE"""),5.35)</f>
        <v>5.35</v>
      </c>
      <c r="F2926" s="2"/>
      <c r="G2926" s="2"/>
      <c r="H2926" s="2"/>
      <c r="I2926" s="2"/>
    </row>
    <row r="2927">
      <c r="A2927" s="2">
        <f>IFERROR(__xludf.DUMMYFUNCTION("""COMPUTED_VALUE"""),98941.0)</f>
        <v>98941</v>
      </c>
      <c r="B2927" s="2" t="str">
        <f>IFERROR(__xludf.DUMMYFUNCTION("""COMPUTED_VALUE"""),"Tech")</f>
        <v>Tech</v>
      </c>
      <c r="C2927" s="2" t="str">
        <f>IFERROR(__xludf.DUMMYFUNCTION("""COMPUTED_VALUE"""),"Winter Sports")</f>
        <v>Winter Sports</v>
      </c>
      <c r="D2927" s="2" t="str">
        <f>IFERROR(__xludf.DUMMYFUNCTION("""COMPUTED_VALUE"""),"Ironhill Publishing")</f>
        <v>Ironhill Publishing</v>
      </c>
      <c r="E2927" s="2">
        <f>IFERROR(__xludf.DUMMYFUNCTION("""COMPUTED_VALUE"""),6.93)</f>
        <v>6.93</v>
      </c>
      <c r="F2927" s="2"/>
      <c r="G2927" s="2"/>
      <c r="H2927" s="2"/>
      <c r="I2927" s="2"/>
    </row>
    <row r="2928">
      <c r="A2928" s="2">
        <f>IFERROR(__xludf.DUMMYFUNCTION("""COMPUTED_VALUE"""),118245.0)</f>
        <v>118245</v>
      </c>
      <c r="B2928" s="2" t="str">
        <f>IFERROR(__xludf.DUMMYFUNCTION("""COMPUTED_VALUE"""),"Tech")</f>
        <v>Tech</v>
      </c>
      <c r="C2928" s="2" t="str">
        <f>IFERROR(__xludf.DUMMYFUNCTION("""COMPUTED_VALUE"""),"Winter Sports")</f>
        <v>Winter Sports</v>
      </c>
      <c r="D2928" s="2" t="str">
        <f>IFERROR(__xludf.DUMMYFUNCTION("""COMPUTED_VALUE"""),"Ironhill Publishing")</f>
        <v>Ironhill Publishing</v>
      </c>
      <c r="E2928" s="2">
        <f>IFERROR(__xludf.DUMMYFUNCTION("""COMPUTED_VALUE"""),3.09)</f>
        <v>3.09</v>
      </c>
      <c r="F2928" s="2"/>
      <c r="G2928" s="2"/>
      <c r="H2928" s="2"/>
      <c r="I2928" s="2"/>
    </row>
    <row r="2929">
      <c r="A2929" s="2">
        <f>IFERROR(__xludf.DUMMYFUNCTION("""COMPUTED_VALUE"""),122333.0)</f>
        <v>122333</v>
      </c>
      <c r="B2929" s="2" t="str">
        <f>IFERROR(__xludf.DUMMYFUNCTION("""COMPUTED_VALUE"""),"Tech")</f>
        <v>Tech</v>
      </c>
      <c r="C2929" s="2" t="str">
        <f>IFERROR(__xludf.DUMMYFUNCTION("""COMPUTED_VALUE"""),"Winter Sports")</f>
        <v>Winter Sports</v>
      </c>
      <c r="D2929" s="2" t="str">
        <f>IFERROR(__xludf.DUMMYFUNCTION("""COMPUTED_VALUE"""),"Ironhill Publishing")</f>
        <v>Ironhill Publishing</v>
      </c>
      <c r="E2929" s="2">
        <f>IFERROR(__xludf.DUMMYFUNCTION("""COMPUTED_VALUE"""),8.92)</f>
        <v>8.92</v>
      </c>
      <c r="F2929" s="2"/>
      <c r="G2929" s="2"/>
      <c r="H2929" s="2"/>
      <c r="I2929" s="2"/>
    </row>
    <row r="2930">
      <c r="A2930" s="2">
        <f>IFERROR(__xludf.DUMMYFUNCTION("""COMPUTED_VALUE"""),121901.0)</f>
        <v>121901</v>
      </c>
      <c r="B2930" s="2" t="str">
        <f>IFERROR(__xludf.DUMMYFUNCTION("""COMPUTED_VALUE"""),"Tech")</f>
        <v>Tech</v>
      </c>
      <c r="C2930" s="2" t="str">
        <f>IFERROR(__xludf.DUMMYFUNCTION("""COMPUTED_VALUE"""),"Winter Sports")</f>
        <v>Winter Sports</v>
      </c>
      <c r="D2930" s="2" t="str">
        <f>IFERROR(__xludf.DUMMYFUNCTION("""COMPUTED_VALUE"""),"Ironhill Publishing")</f>
        <v>Ironhill Publishing</v>
      </c>
      <c r="E2930" s="2">
        <f>IFERROR(__xludf.DUMMYFUNCTION("""COMPUTED_VALUE"""),7.11)</f>
        <v>7.11</v>
      </c>
      <c r="F2930" s="2"/>
      <c r="G2930" s="2"/>
      <c r="H2930" s="2"/>
      <c r="I2930" s="2"/>
    </row>
    <row r="2931">
      <c r="A2931" s="2">
        <f>IFERROR(__xludf.DUMMYFUNCTION("""COMPUTED_VALUE"""),79316.0)</f>
        <v>79316</v>
      </c>
      <c r="B2931" s="2" t="str">
        <f>IFERROR(__xludf.DUMMYFUNCTION("""COMPUTED_VALUE"""),"Tech")</f>
        <v>Tech</v>
      </c>
      <c r="C2931" s="2" t="str">
        <f>IFERROR(__xludf.DUMMYFUNCTION("""COMPUTED_VALUE"""),"Winter Sports")</f>
        <v>Winter Sports</v>
      </c>
      <c r="D2931" s="2" t="str">
        <f>IFERROR(__xludf.DUMMYFUNCTION("""COMPUTED_VALUE"""),"Ironhill Publishing")</f>
        <v>Ironhill Publishing</v>
      </c>
      <c r="E2931" s="2">
        <f>IFERROR(__xludf.DUMMYFUNCTION("""COMPUTED_VALUE"""),5.74)</f>
        <v>5.74</v>
      </c>
      <c r="F2931" s="2"/>
      <c r="G2931" s="2"/>
      <c r="H2931" s="2"/>
      <c r="I2931" s="2"/>
    </row>
    <row r="2932">
      <c r="A2932" s="2">
        <f>IFERROR(__xludf.DUMMYFUNCTION("""COMPUTED_VALUE"""),109899.0)</f>
        <v>109899</v>
      </c>
      <c r="B2932" s="2" t="str">
        <f>IFERROR(__xludf.DUMMYFUNCTION("""COMPUTED_VALUE"""),"Tech")</f>
        <v>Tech</v>
      </c>
      <c r="C2932" s="2" t="str">
        <f>IFERROR(__xludf.DUMMYFUNCTION("""COMPUTED_VALUE"""),"Winter Sports")</f>
        <v>Winter Sports</v>
      </c>
      <c r="D2932" s="2" t="str">
        <f>IFERROR(__xludf.DUMMYFUNCTION("""COMPUTED_VALUE"""),"Ironhill Publishing")</f>
        <v>Ironhill Publishing</v>
      </c>
      <c r="E2932" s="2">
        <f>IFERROR(__xludf.DUMMYFUNCTION("""COMPUTED_VALUE"""),3.51)</f>
        <v>3.51</v>
      </c>
      <c r="F2932" s="2"/>
      <c r="G2932" s="2"/>
      <c r="H2932" s="2"/>
      <c r="I2932" s="2"/>
    </row>
    <row r="2933">
      <c r="A2933" s="2">
        <f>IFERROR(__xludf.DUMMYFUNCTION("""COMPUTED_VALUE"""),70570.0)</f>
        <v>70570</v>
      </c>
      <c r="B2933" s="2" t="str">
        <f>IFERROR(__xludf.DUMMYFUNCTION("""COMPUTED_VALUE"""),"Tech")</f>
        <v>Tech</v>
      </c>
      <c r="C2933" s="2" t="str">
        <f>IFERROR(__xludf.DUMMYFUNCTION("""COMPUTED_VALUE"""),"Winter Sports")</f>
        <v>Winter Sports</v>
      </c>
      <c r="D2933" s="2" t="str">
        <f>IFERROR(__xludf.DUMMYFUNCTION("""COMPUTED_VALUE"""),"Ironhill Publishing")</f>
        <v>Ironhill Publishing</v>
      </c>
      <c r="E2933" s="2">
        <f>IFERROR(__xludf.DUMMYFUNCTION("""COMPUTED_VALUE"""),5.73)</f>
        <v>5.73</v>
      </c>
      <c r="F2933" s="2"/>
      <c r="G2933" s="2"/>
      <c r="H2933" s="2"/>
      <c r="I2933" s="2"/>
    </row>
    <row r="2934">
      <c r="A2934" s="2">
        <f>IFERROR(__xludf.DUMMYFUNCTION("""COMPUTED_VALUE"""),79364.0)</f>
        <v>79364</v>
      </c>
      <c r="B2934" s="2" t="str">
        <f>IFERROR(__xludf.DUMMYFUNCTION("""COMPUTED_VALUE"""),"Tech")</f>
        <v>Tech</v>
      </c>
      <c r="C2934" s="2" t="str">
        <f>IFERROR(__xludf.DUMMYFUNCTION("""COMPUTED_VALUE"""),"Winter Sports")</f>
        <v>Winter Sports</v>
      </c>
      <c r="D2934" s="2" t="str">
        <f>IFERROR(__xludf.DUMMYFUNCTION("""COMPUTED_VALUE"""),"Ironhill Publishing")</f>
        <v>Ironhill Publishing</v>
      </c>
      <c r="E2934" s="2">
        <f>IFERROR(__xludf.DUMMYFUNCTION("""COMPUTED_VALUE"""),6.04)</f>
        <v>6.04</v>
      </c>
      <c r="F2934" s="2"/>
      <c r="G2934" s="2"/>
      <c r="H2934" s="2"/>
      <c r="I2934" s="2"/>
    </row>
    <row r="2935">
      <c r="A2935" s="2">
        <f>IFERROR(__xludf.DUMMYFUNCTION("""COMPUTED_VALUE"""),113103.0)</f>
        <v>113103</v>
      </c>
      <c r="B2935" s="2" t="str">
        <f>IFERROR(__xludf.DUMMYFUNCTION("""COMPUTED_VALUE"""),"Tech")</f>
        <v>Tech</v>
      </c>
      <c r="C2935" s="2" t="str">
        <f>IFERROR(__xludf.DUMMYFUNCTION("""COMPUTED_VALUE"""),"Winter Sports")</f>
        <v>Winter Sports</v>
      </c>
      <c r="D2935" s="2" t="str">
        <f>IFERROR(__xludf.DUMMYFUNCTION("""COMPUTED_VALUE"""),"Ironhill Publishing")</f>
        <v>Ironhill Publishing</v>
      </c>
      <c r="E2935" s="2">
        <f>IFERROR(__xludf.DUMMYFUNCTION("""COMPUTED_VALUE"""),7.52)</f>
        <v>7.52</v>
      </c>
      <c r="F2935" s="2"/>
      <c r="G2935" s="2"/>
      <c r="H2935" s="2"/>
      <c r="I2935" s="2"/>
    </row>
    <row r="2936">
      <c r="A2936" s="2">
        <f>IFERROR(__xludf.DUMMYFUNCTION("""COMPUTED_VALUE"""),200581.0)</f>
        <v>200581</v>
      </c>
      <c r="B2936" s="2" t="str">
        <f>IFERROR(__xludf.DUMMYFUNCTION("""COMPUTED_VALUE"""),"Tech")</f>
        <v>Tech</v>
      </c>
      <c r="C2936" s="2" t="str">
        <f>IFERROR(__xludf.DUMMYFUNCTION("""COMPUTED_VALUE"""),"Winter Sports")</f>
        <v>Winter Sports</v>
      </c>
      <c r="D2936" s="2" t="str">
        <f>IFERROR(__xludf.DUMMYFUNCTION("""COMPUTED_VALUE"""),"Ironhill Publishing")</f>
        <v>Ironhill Publishing</v>
      </c>
      <c r="E2936" s="2">
        <f>IFERROR(__xludf.DUMMYFUNCTION("""COMPUTED_VALUE"""),4.45)</f>
        <v>4.45</v>
      </c>
      <c r="F2936" s="2"/>
      <c r="G2936" s="2"/>
      <c r="H2936" s="2"/>
      <c r="I2936" s="2"/>
    </row>
    <row r="2937">
      <c r="A2937" s="2">
        <f>IFERROR(__xludf.DUMMYFUNCTION("""COMPUTED_VALUE"""),91490.0)</f>
        <v>91490</v>
      </c>
      <c r="B2937" s="2" t="str">
        <f>IFERROR(__xludf.DUMMYFUNCTION("""COMPUTED_VALUE"""),"Tech")</f>
        <v>Tech</v>
      </c>
      <c r="C2937" s="2" t="str">
        <f>IFERROR(__xludf.DUMMYFUNCTION("""COMPUTED_VALUE"""),"Winter Sports")</f>
        <v>Winter Sports</v>
      </c>
      <c r="D2937" s="2" t="str">
        <f>IFERROR(__xludf.DUMMYFUNCTION("""COMPUTED_VALUE"""),"Ironhill Publishing")</f>
        <v>Ironhill Publishing</v>
      </c>
      <c r="E2937" s="2">
        <f>IFERROR(__xludf.DUMMYFUNCTION("""COMPUTED_VALUE"""),4.3)</f>
        <v>4.3</v>
      </c>
      <c r="F2937" s="2"/>
      <c r="G2937" s="2"/>
      <c r="H2937" s="2"/>
      <c r="I2937" s="2"/>
    </row>
    <row r="2938">
      <c r="A2938" s="2">
        <f>IFERROR(__xludf.DUMMYFUNCTION("""COMPUTED_VALUE"""),79320.0)</f>
        <v>79320</v>
      </c>
      <c r="B2938" s="2" t="str">
        <f>IFERROR(__xludf.DUMMYFUNCTION("""COMPUTED_VALUE"""),"Tech")</f>
        <v>Tech</v>
      </c>
      <c r="C2938" s="2" t="str">
        <f>IFERROR(__xludf.DUMMYFUNCTION("""COMPUTED_VALUE"""),"Winter Sports")</f>
        <v>Winter Sports</v>
      </c>
      <c r="D2938" s="2" t="str">
        <f>IFERROR(__xludf.DUMMYFUNCTION("""COMPUTED_VALUE"""),"Ironhill Publishing")</f>
        <v>Ironhill Publishing</v>
      </c>
      <c r="E2938" s="2">
        <f>IFERROR(__xludf.DUMMYFUNCTION("""COMPUTED_VALUE"""),6.08)</f>
        <v>6.08</v>
      </c>
      <c r="F2938" s="2"/>
      <c r="G2938" s="2"/>
      <c r="H2938" s="2"/>
      <c r="I2938" s="2"/>
    </row>
    <row r="2939">
      <c r="A2939" s="2">
        <f>IFERROR(__xludf.DUMMYFUNCTION("""COMPUTED_VALUE"""),122331.0)</f>
        <v>122331</v>
      </c>
      <c r="B2939" s="2" t="str">
        <f>IFERROR(__xludf.DUMMYFUNCTION("""COMPUTED_VALUE"""),"Tech")</f>
        <v>Tech</v>
      </c>
      <c r="C2939" s="2" t="str">
        <f>IFERROR(__xludf.DUMMYFUNCTION("""COMPUTED_VALUE"""),"Winter Sports")</f>
        <v>Winter Sports</v>
      </c>
      <c r="D2939" s="2" t="str">
        <f>IFERROR(__xludf.DUMMYFUNCTION("""COMPUTED_VALUE"""),"Ironhill Publishing")</f>
        <v>Ironhill Publishing</v>
      </c>
      <c r="E2939" s="2">
        <f>IFERROR(__xludf.DUMMYFUNCTION("""COMPUTED_VALUE"""),9.01)</f>
        <v>9.01</v>
      </c>
      <c r="F2939" s="2"/>
      <c r="G2939" s="2"/>
      <c r="H2939" s="2"/>
      <c r="I2939" s="2"/>
    </row>
    <row r="2940">
      <c r="A2940" s="2">
        <f>IFERROR(__xludf.DUMMYFUNCTION("""COMPUTED_VALUE"""),79921.0)</f>
        <v>79921</v>
      </c>
      <c r="B2940" s="2" t="str">
        <f>IFERROR(__xludf.DUMMYFUNCTION("""COMPUTED_VALUE"""),"Tech")</f>
        <v>Tech</v>
      </c>
      <c r="C2940" s="2" t="str">
        <f>IFERROR(__xludf.DUMMYFUNCTION("""COMPUTED_VALUE"""),"Winter Sports")</f>
        <v>Winter Sports</v>
      </c>
      <c r="D2940" s="2" t="str">
        <f>IFERROR(__xludf.DUMMYFUNCTION("""COMPUTED_VALUE"""),"Ironhill Publishing")</f>
        <v>Ironhill Publishing</v>
      </c>
      <c r="E2940" s="2">
        <f>IFERROR(__xludf.DUMMYFUNCTION("""COMPUTED_VALUE"""),6.9)</f>
        <v>6.9</v>
      </c>
      <c r="F2940" s="2"/>
      <c r="G2940" s="2"/>
      <c r="H2940" s="2"/>
      <c r="I2940" s="2"/>
    </row>
    <row r="2941">
      <c r="A2941" s="2">
        <f>IFERROR(__xludf.DUMMYFUNCTION("""COMPUTED_VALUE"""),128421.0)</f>
        <v>128421</v>
      </c>
      <c r="B2941" s="2" t="str">
        <f>IFERROR(__xludf.DUMMYFUNCTION("""COMPUTED_VALUE"""),"Tech")</f>
        <v>Tech</v>
      </c>
      <c r="C2941" s="2" t="str">
        <f>IFERROR(__xludf.DUMMYFUNCTION("""COMPUTED_VALUE"""),"Winter Sports")</f>
        <v>Winter Sports</v>
      </c>
      <c r="D2941" s="2" t="str">
        <f>IFERROR(__xludf.DUMMYFUNCTION("""COMPUTED_VALUE"""),"Ironhill Publishing")</f>
        <v>Ironhill Publishing</v>
      </c>
      <c r="E2941" s="2">
        <f>IFERROR(__xludf.DUMMYFUNCTION("""COMPUTED_VALUE"""),9.29)</f>
        <v>9.29</v>
      </c>
      <c r="F2941" s="2"/>
      <c r="G2941" s="2"/>
      <c r="H2941" s="2"/>
      <c r="I2941" s="2"/>
    </row>
    <row r="2942">
      <c r="A2942" s="2">
        <f>IFERROR(__xludf.DUMMYFUNCTION("""COMPUTED_VALUE"""),80421.0)</f>
        <v>80421</v>
      </c>
      <c r="B2942" s="2" t="str">
        <f>IFERROR(__xludf.DUMMYFUNCTION("""COMPUTED_VALUE"""),"Tech")</f>
        <v>Tech</v>
      </c>
      <c r="C2942" s="2" t="str">
        <f>IFERROR(__xludf.DUMMYFUNCTION("""COMPUTED_VALUE"""),"Winter Sports")</f>
        <v>Winter Sports</v>
      </c>
      <c r="D2942" s="2" t="str">
        <f>IFERROR(__xludf.DUMMYFUNCTION("""COMPUTED_VALUE"""),"Ironhill Publishing")</f>
        <v>Ironhill Publishing</v>
      </c>
      <c r="E2942" s="2">
        <f>IFERROR(__xludf.DUMMYFUNCTION("""COMPUTED_VALUE"""),5.76)</f>
        <v>5.76</v>
      </c>
      <c r="F2942" s="2"/>
      <c r="G2942" s="2"/>
      <c r="H2942" s="2"/>
      <c r="I2942" s="2"/>
    </row>
    <row r="2943">
      <c r="A2943" s="2">
        <f>IFERROR(__xludf.DUMMYFUNCTION("""COMPUTED_VALUE"""),121867.0)</f>
        <v>121867</v>
      </c>
      <c r="B2943" s="2" t="str">
        <f>IFERROR(__xludf.DUMMYFUNCTION("""COMPUTED_VALUE"""),"Tech")</f>
        <v>Tech</v>
      </c>
      <c r="C2943" s="2" t="str">
        <f>IFERROR(__xludf.DUMMYFUNCTION("""COMPUTED_VALUE"""),"Winter Sports")</f>
        <v>Winter Sports</v>
      </c>
      <c r="D2943" s="2" t="str">
        <f>IFERROR(__xludf.DUMMYFUNCTION("""COMPUTED_VALUE"""),"Ironhill Publishing")</f>
        <v>Ironhill Publishing</v>
      </c>
      <c r="E2943" s="2">
        <f>IFERROR(__xludf.DUMMYFUNCTION("""COMPUTED_VALUE"""),3.79)</f>
        <v>3.79</v>
      </c>
      <c r="F2943" s="2"/>
      <c r="G2943" s="2"/>
      <c r="H2943" s="2"/>
      <c r="I2943" s="2"/>
    </row>
    <row r="2944">
      <c r="A2944" s="2">
        <f>IFERROR(__xludf.DUMMYFUNCTION("""COMPUTED_VALUE"""),122501.0)</f>
        <v>122501</v>
      </c>
      <c r="B2944" s="2" t="str">
        <f>IFERROR(__xludf.DUMMYFUNCTION("""COMPUTED_VALUE"""),"Tech")</f>
        <v>Tech</v>
      </c>
      <c r="C2944" s="2" t="str">
        <f>IFERROR(__xludf.DUMMYFUNCTION("""COMPUTED_VALUE"""),"Winter Sports")</f>
        <v>Winter Sports</v>
      </c>
      <c r="D2944" s="2" t="str">
        <f>IFERROR(__xludf.DUMMYFUNCTION("""COMPUTED_VALUE"""),"Ironhill Publishing")</f>
        <v>Ironhill Publishing</v>
      </c>
      <c r="E2944" s="2">
        <f>IFERROR(__xludf.DUMMYFUNCTION("""COMPUTED_VALUE"""),3.54)</f>
        <v>3.54</v>
      </c>
      <c r="F2944" s="2"/>
      <c r="G2944" s="2"/>
      <c r="H2944" s="2"/>
      <c r="I2944" s="2"/>
    </row>
    <row r="2945">
      <c r="A2945" s="2">
        <f>IFERROR(__xludf.DUMMYFUNCTION("""COMPUTED_VALUE"""),44531.0)</f>
        <v>44531</v>
      </c>
      <c r="B2945" s="2" t="str">
        <f>IFERROR(__xludf.DUMMYFUNCTION("""COMPUTED_VALUE"""),"Tech")</f>
        <v>Tech</v>
      </c>
      <c r="C2945" s="2" t="str">
        <f>IFERROR(__xludf.DUMMYFUNCTION("""COMPUTED_VALUE"""),"Winter Sports")</f>
        <v>Winter Sports</v>
      </c>
      <c r="D2945" s="2" t="str">
        <f>IFERROR(__xludf.DUMMYFUNCTION("""COMPUTED_VALUE"""),"Ironhill Publishing")</f>
        <v>Ironhill Publishing</v>
      </c>
      <c r="E2945" s="2">
        <f>IFERROR(__xludf.DUMMYFUNCTION("""COMPUTED_VALUE"""),7.16)</f>
        <v>7.16</v>
      </c>
      <c r="F2945" s="2"/>
      <c r="G2945" s="2"/>
      <c r="H2945" s="2"/>
      <c r="I2945" s="2"/>
    </row>
    <row r="2946">
      <c r="A2946" s="2">
        <f>IFERROR(__xludf.DUMMYFUNCTION("""COMPUTED_VALUE"""),118153.0)</f>
        <v>118153</v>
      </c>
      <c r="B2946" s="2" t="str">
        <f>IFERROR(__xludf.DUMMYFUNCTION("""COMPUTED_VALUE"""),"Tech")</f>
        <v>Tech</v>
      </c>
      <c r="C2946" s="2" t="str">
        <f>IFERROR(__xludf.DUMMYFUNCTION("""COMPUTED_VALUE"""),"Winter Sports")</f>
        <v>Winter Sports</v>
      </c>
      <c r="D2946" s="2" t="str">
        <f>IFERROR(__xludf.DUMMYFUNCTION("""COMPUTED_VALUE"""),"Ironhill Publishing")</f>
        <v>Ironhill Publishing</v>
      </c>
      <c r="E2946" s="2">
        <f>IFERROR(__xludf.DUMMYFUNCTION("""COMPUTED_VALUE"""),4.46)</f>
        <v>4.46</v>
      </c>
      <c r="F2946" s="2"/>
      <c r="G2946" s="2"/>
      <c r="H2946" s="2"/>
      <c r="I2946" s="2"/>
    </row>
    <row r="2947">
      <c r="A2947" s="2">
        <f>IFERROR(__xludf.DUMMYFUNCTION("""COMPUTED_VALUE"""),118244.0)</f>
        <v>118244</v>
      </c>
      <c r="B2947" s="2" t="str">
        <f>IFERROR(__xludf.DUMMYFUNCTION("""COMPUTED_VALUE"""),"Tech")</f>
        <v>Tech</v>
      </c>
      <c r="C2947" s="2" t="str">
        <f>IFERROR(__xludf.DUMMYFUNCTION("""COMPUTED_VALUE"""),"Winter Sports")</f>
        <v>Winter Sports</v>
      </c>
      <c r="D2947" s="2" t="str">
        <f>IFERROR(__xludf.DUMMYFUNCTION("""COMPUTED_VALUE"""),"Ironhill Publishing")</f>
        <v>Ironhill Publishing</v>
      </c>
      <c r="E2947" s="2">
        <f>IFERROR(__xludf.DUMMYFUNCTION("""COMPUTED_VALUE"""),2.7)</f>
        <v>2.7</v>
      </c>
      <c r="F2947" s="2"/>
      <c r="G2947" s="2"/>
      <c r="H2947" s="2"/>
      <c r="I2947" s="2"/>
    </row>
    <row r="2948">
      <c r="A2948" s="2">
        <f>IFERROR(__xludf.DUMMYFUNCTION("""COMPUTED_VALUE"""),46974.0)</f>
        <v>46974</v>
      </c>
      <c r="B2948" s="2" t="str">
        <f>IFERROR(__xludf.DUMMYFUNCTION("""COMPUTED_VALUE"""),"Tech")</f>
        <v>Tech</v>
      </c>
      <c r="C2948" s="2" t="str">
        <f>IFERROR(__xludf.DUMMYFUNCTION("""COMPUTED_VALUE"""),"Winter Sports")</f>
        <v>Winter Sports</v>
      </c>
      <c r="D2948" s="2" t="str">
        <f>IFERROR(__xludf.DUMMYFUNCTION("""COMPUTED_VALUE"""),"Ironhill Publishing")</f>
        <v>Ironhill Publishing</v>
      </c>
      <c r="E2948" s="2">
        <f>IFERROR(__xludf.DUMMYFUNCTION("""COMPUTED_VALUE"""),4.95)</f>
        <v>4.95</v>
      </c>
      <c r="F2948" s="2"/>
      <c r="G2948" s="2"/>
      <c r="H2948" s="2"/>
      <c r="I2948" s="2"/>
    </row>
    <row r="2949">
      <c r="A2949" s="2">
        <f>IFERROR(__xludf.DUMMYFUNCTION("""COMPUTED_VALUE"""),69232.0)</f>
        <v>69232</v>
      </c>
      <c r="B2949" s="2" t="str">
        <f>IFERROR(__xludf.DUMMYFUNCTION("""COMPUTED_VALUE"""),"Tech")</f>
        <v>Tech</v>
      </c>
      <c r="C2949" s="2" t="str">
        <f>IFERROR(__xludf.DUMMYFUNCTION("""COMPUTED_VALUE"""),"Winter Sports")</f>
        <v>Winter Sports</v>
      </c>
      <c r="D2949" s="2" t="str">
        <f>IFERROR(__xludf.DUMMYFUNCTION("""COMPUTED_VALUE"""),"Ironhill Publishing")</f>
        <v>Ironhill Publishing</v>
      </c>
      <c r="E2949" s="2">
        <f>IFERROR(__xludf.DUMMYFUNCTION("""COMPUTED_VALUE"""),4.43)</f>
        <v>4.43</v>
      </c>
      <c r="F2949" s="2"/>
      <c r="G2949" s="2"/>
      <c r="H2949" s="2"/>
      <c r="I2949" s="2"/>
    </row>
    <row r="2950">
      <c r="A2950" s="2">
        <f>IFERROR(__xludf.DUMMYFUNCTION("""COMPUTED_VALUE"""),117461.0)</f>
        <v>117461</v>
      </c>
      <c r="B2950" s="2" t="str">
        <f>IFERROR(__xludf.DUMMYFUNCTION("""COMPUTED_VALUE"""),"Tech")</f>
        <v>Tech</v>
      </c>
      <c r="C2950" s="2" t="str">
        <f>IFERROR(__xludf.DUMMYFUNCTION("""COMPUTED_VALUE"""),"Winter Sports")</f>
        <v>Winter Sports</v>
      </c>
      <c r="D2950" s="2" t="str">
        <f>IFERROR(__xludf.DUMMYFUNCTION("""COMPUTED_VALUE"""),"Ironhill Publishing")</f>
        <v>Ironhill Publishing</v>
      </c>
      <c r="E2950" s="2">
        <f>IFERROR(__xludf.DUMMYFUNCTION("""COMPUTED_VALUE"""),6.42)</f>
        <v>6.42</v>
      </c>
      <c r="F2950" s="2"/>
      <c r="G2950" s="2"/>
      <c r="H2950" s="2"/>
      <c r="I2950" s="2"/>
    </row>
    <row r="2951">
      <c r="A2951" s="2">
        <f>IFERROR(__xludf.DUMMYFUNCTION("""COMPUTED_VALUE"""),122324.0)</f>
        <v>122324</v>
      </c>
      <c r="B2951" s="2" t="str">
        <f>IFERROR(__xludf.DUMMYFUNCTION("""COMPUTED_VALUE"""),"Tech")</f>
        <v>Tech</v>
      </c>
      <c r="C2951" s="2" t="str">
        <f>IFERROR(__xludf.DUMMYFUNCTION("""COMPUTED_VALUE"""),"Winter Sports")</f>
        <v>Winter Sports</v>
      </c>
      <c r="D2951" s="2" t="str">
        <f>IFERROR(__xludf.DUMMYFUNCTION("""COMPUTED_VALUE"""),"Ironhill Publishing")</f>
        <v>Ironhill Publishing</v>
      </c>
      <c r="E2951" s="2">
        <f>IFERROR(__xludf.DUMMYFUNCTION("""COMPUTED_VALUE"""),5.29)</f>
        <v>5.29</v>
      </c>
      <c r="F2951" s="2"/>
      <c r="G2951" s="2"/>
      <c r="H2951" s="2"/>
      <c r="I2951" s="2"/>
    </row>
    <row r="2952">
      <c r="A2952" s="2">
        <f>IFERROR(__xludf.DUMMYFUNCTION("""COMPUTED_VALUE"""),119023.0)</f>
        <v>119023</v>
      </c>
      <c r="B2952" s="2" t="str">
        <f>IFERROR(__xludf.DUMMYFUNCTION("""COMPUTED_VALUE"""),"Tech")</f>
        <v>Tech</v>
      </c>
      <c r="C2952" s="2" t="str">
        <f>IFERROR(__xludf.DUMMYFUNCTION("""COMPUTED_VALUE"""),"Winter Sports")</f>
        <v>Winter Sports</v>
      </c>
      <c r="D2952" s="2" t="str">
        <f>IFERROR(__xludf.DUMMYFUNCTION("""COMPUTED_VALUE"""),"Ironhill Publishing")</f>
        <v>Ironhill Publishing</v>
      </c>
      <c r="E2952" s="2">
        <f>IFERROR(__xludf.DUMMYFUNCTION("""COMPUTED_VALUE"""),8.31)</f>
        <v>8.31</v>
      </c>
      <c r="F2952" s="2"/>
      <c r="G2952" s="2"/>
      <c r="H2952" s="2"/>
      <c r="I2952" s="2"/>
    </row>
    <row r="2953">
      <c r="A2953" s="2">
        <f>IFERROR(__xludf.DUMMYFUNCTION("""COMPUTED_VALUE"""),70600.0)</f>
        <v>70600</v>
      </c>
      <c r="B2953" s="2" t="str">
        <f>IFERROR(__xludf.DUMMYFUNCTION("""COMPUTED_VALUE"""),"Tech")</f>
        <v>Tech</v>
      </c>
      <c r="C2953" s="2" t="str">
        <f>IFERROR(__xludf.DUMMYFUNCTION("""COMPUTED_VALUE"""),"Winter Sports")</f>
        <v>Winter Sports</v>
      </c>
      <c r="D2953" s="2" t="str">
        <f>IFERROR(__xludf.DUMMYFUNCTION("""COMPUTED_VALUE"""),"Ironhill Publishing")</f>
        <v>Ironhill Publishing</v>
      </c>
      <c r="E2953" s="2">
        <f>IFERROR(__xludf.DUMMYFUNCTION("""COMPUTED_VALUE"""),8.98)</f>
        <v>8.98</v>
      </c>
      <c r="F2953" s="2"/>
      <c r="G2953" s="2"/>
      <c r="H2953" s="2"/>
      <c r="I2953" s="2"/>
    </row>
    <row r="2954">
      <c r="A2954" s="2">
        <f>IFERROR(__xludf.DUMMYFUNCTION("""COMPUTED_VALUE"""),10689.0)</f>
        <v>10689</v>
      </c>
      <c r="B2954" s="2" t="str">
        <f>IFERROR(__xludf.DUMMYFUNCTION("""COMPUTED_VALUE"""),"Tech")</f>
        <v>Tech</v>
      </c>
      <c r="C2954" s="2" t="str">
        <f>IFERROR(__xludf.DUMMYFUNCTION("""COMPUTED_VALUE"""),"Winter Sports")</f>
        <v>Winter Sports</v>
      </c>
      <c r="D2954" s="2" t="str">
        <f>IFERROR(__xludf.DUMMYFUNCTION("""COMPUTED_VALUE"""),"Ironhill Publishing")</f>
        <v>Ironhill Publishing</v>
      </c>
      <c r="E2954" s="2">
        <f>IFERROR(__xludf.DUMMYFUNCTION("""COMPUTED_VALUE"""),5.23)</f>
        <v>5.23</v>
      </c>
      <c r="F2954" s="2"/>
      <c r="G2954" s="2"/>
      <c r="H2954" s="2"/>
      <c r="I2954" s="2"/>
    </row>
    <row r="2955">
      <c r="A2955" s="2">
        <f>IFERROR(__xludf.DUMMYFUNCTION("""COMPUTED_VALUE"""),158427.0)</f>
        <v>158427</v>
      </c>
      <c r="B2955" s="2" t="str">
        <f>IFERROR(__xludf.DUMMYFUNCTION("""COMPUTED_VALUE"""),"Tech")</f>
        <v>Tech</v>
      </c>
      <c r="C2955" s="2" t="str">
        <f>IFERROR(__xludf.DUMMYFUNCTION("""COMPUTED_VALUE"""),"Winter Sports")</f>
        <v>Winter Sports</v>
      </c>
      <c r="D2955" s="2" t="str">
        <f>IFERROR(__xludf.DUMMYFUNCTION("""COMPUTED_VALUE"""),"Ironhill Publishing")</f>
        <v>Ironhill Publishing</v>
      </c>
      <c r="E2955" s="2">
        <f>IFERROR(__xludf.DUMMYFUNCTION("""COMPUTED_VALUE"""),4.21)</f>
        <v>4.21</v>
      </c>
      <c r="F2955" s="2"/>
      <c r="G2955" s="2"/>
      <c r="H2955" s="2"/>
      <c r="I2955" s="2"/>
    </row>
    <row r="2956">
      <c r="A2956" s="2">
        <f>IFERROR(__xludf.DUMMYFUNCTION("""COMPUTED_VALUE"""),122462.0)</f>
        <v>122462</v>
      </c>
      <c r="B2956" s="2" t="str">
        <f>IFERROR(__xludf.DUMMYFUNCTION("""COMPUTED_VALUE"""),"Tech")</f>
        <v>Tech</v>
      </c>
      <c r="C2956" s="2" t="str">
        <f>IFERROR(__xludf.DUMMYFUNCTION("""COMPUTED_VALUE"""),"Winter Sports")</f>
        <v>Winter Sports</v>
      </c>
      <c r="D2956" s="2" t="str">
        <f>IFERROR(__xludf.DUMMYFUNCTION("""COMPUTED_VALUE"""),"Ironhill Publishing")</f>
        <v>Ironhill Publishing</v>
      </c>
      <c r="E2956" s="2">
        <f>IFERROR(__xludf.DUMMYFUNCTION("""COMPUTED_VALUE"""),9.76)</f>
        <v>9.76</v>
      </c>
      <c r="F2956" s="2"/>
      <c r="G2956" s="2"/>
      <c r="H2956" s="2"/>
      <c r="I2956" s="2"/>
    </row>
    <row r="2957">
      <c r="A2957" s="2">
        <f>IFERROR(__xludf.DUMMYFUNCTION("""COMPUTED_VALUE"""),155951.0)</f>
        <v>155951</v>
      </c>
      <c r="B2957" s="2" t="str">
        <f>IFERROR(__xludf.DUMMYFUNCTION("""COMPUTED_VALUE"""),"Tech")</f>
        <v>Tech</v>
      </c>
      <c r="C2957" s="2" t="str">
        <f>IFERROR(__xludf.DUMMYFUNCTION("""COMPUTED_VALUE"""),"Winter Sports")</f>
        <v>Winter Sports</v>
      </c>
      <c r="D2957" s="2" t="str">
        <f>IFERROR(__xludf.DUMMYFUNCTION("""COMPUTED_VALUE"""),"Ironhill Publishing")</f>
        <v>Ironhill Publishing</v>
      </c>
      <c r="E2957" s="2">
        <f>IFERROR(__xludf.DUMMYFUNCTION("""COMPUTED_VALUE"""),6.1)</f>
        <v>6.1</v>
      </c>
      <c r="F2957" s="2"/>
      <c r="G2957" s="2"/>
      <c r="H2957" s="2"/>
      <c r="I2957" s="2"/>
    </row>
    <row r="2958">
      <c r="A2958" s="2">
        <f>IFERROR(__xludf.DUMMYFUNCTION("""COMPUTED_VALUE"""),79338.0)</f>
        <v>79338</v>
      </c>
      <c r="B2958" s="2" t="str">
        <f>IFERROR(__xludf.DUMMYFUNCTION("""COMPUTED_VALUE"""),"Tech")</f>
        <v>Tech</v>
      </c>
      <c r="C2958" s="2" t="str">
        <f>IFERROR(__xludf.DUMMYFUNCTION("""COMPUTED_VALUE"""),"Winter Sports")</f>
        <v>Winter Sports</v>
      </c>
      <c r="D2958" s="2" t="str">
        <f>IFERROR(__xludf.DUMMYFUNCTION("""COMPUTED_VALUE"""),"Ironhill Publishing")</f>
        <v>Ironhill Publishing</v>
      </c>
      <c r="E2958" s="2">
        <f>IFERROR(__xludf.DUMMYFUNCTION("""COMPUTED_VALUE"""),5.8)</f>
        <v>5.8</v>
      </c>
      <c r="F2958" s="2"/>
      <c r="G2958" s="2"/>
      <c r="H2958" s="2"/>
      <c r="I2958" s="2"/>
    </row>
    <row r="2959">
      <c r="A2959" s="2">
        <f>IFERROR(__xludf.DUMMYFUNCTION("""COMPUTED_VALUE"""),79919.0)</f>
        <v>79919</v>
      </c>
      <c r="B2959" s="2" t="str">
        <f>IFERROR(__xludf.DUMMYFUNCTION("""COMPUTED_VALUE"""),"Tech")</f>
        <v>Tech</v>
      </c>
      <c r="C2959" s="2" t="str">
        <f>IFERROR(__xludf.DUMMYFUNCTION("""COMPUTED_VALUE"""),"Winter Sports")</f>
        <v>Winter Sports</v>
      </c>
      <c r="D2959" s="2" t="str">
        <f>IFERROR(__xludf.DUMMYFUNCTION("""COMPUTED_VALUE"""),"Ironhill Publishing")</f>
        <v>Ironhill Publishing</v>
      </c>
      <c r="E2959" s="2">
        <f>IFERROR(__xludf.DUMMYFUNCTION("""COMPUTED_VALUE"""),5.13)</f>
        <v>5.13</v>
      </c>
      <c r="F2959" s="2"/>
      <c r="G2959" s="2"/>
      <c r="H2959" s="2"/>
      <c r="I2959" s="2"/>
    </row>
    <row r="2960">
      <c r="A2960" s="2">
        <f>IFERROR(__xludf.DUMMYFUNCTION("""COMPUTED_VALUE"""),117057.0)</f>
        <v>117057</v>
      </c>
      <c r="B2960" s="2" t="str">
        <f>IFERROR(__xludf.DUMMYFUNCTION("""COMPUTED_VALUE"""),"Tech")</f>
        <v>Tech</v>
      </c>
      <c r="C2960" s="2" t="str">
        <f>IFERROR(__xludf.DUMMYFUNCTION("""COMPUTED_VALUE"""),"Winter Sports")</f>
        <v>Winter Sports</v>
      </c>
      <c r="D2960" s="2" t="str">
        <f>IFERROR(__xludf.DUMMYFUNCTION("""COMPUTED_VALUE"""),"Ironhill Publishing")</f>
        <v>Ironhill Publishing</v>
      </c>
      <c r="E2960" s="2">
        <f>IFERROR(__xludf.DUMMYFUNCTION("""COMPUTED_VALUE"""),7.95)</f>
        <v>7.95</v>
      </c>
      <c r="F2960" s="2"/>
      <c r="G2960" s="2"/>
      <c r="H2960" s="2"/>
      <c r="I2960" s="2"/>
    </row>
    <row r="2961">
      <c r="A2961" s="2">
        <f>IFERROR(__xludf.DUMMYFUNCTION("""COMPUTED_VALUE"""),122334.0)</f>
        <v>122334</v>
      </c>
      <c r="B2961" s="2" t="str">
        <f>IFERROR(__xludf.DUMMYFUNCTION("""COMPUTED_VALUE"""),"Tech")</f>
        <v>Tech</v>
      </c>
      <c r="C2961" s="2" t="str">
        <f>IFERROR(__xludf.DUMMYFUNCTION("""COMPUTED_VALUE"""),"Winter Sports")</f>
        <v>Winter Sports</v>
      </c>
      <c r="D2961" s="2" t="str">
        <f>IFERROR(__xludf.DUMMYFUNCTION("""COMPUTED_VALUE"""),"Ironhill Publishing")</f>
        <v>Ironhill Publishing</v>
      </c>
      <c r="E2961" s="2">
        <f>IFERROR(__xludf.DUMMYFUNCTION("""COMPUTED_VALUE"""),9.11)</f>
        <v>9.11</v>
      </c>
      <c r="F2961" s="2"/>
      <c r="G2961" s="2"/>
      <c r="H2961" s="2"/>
      <c r="I2961" s="2"/>
    </row>
    <row r="2962">
      <c r="A2962" s="2">
        <f>IFERROR(__xludf.DUMMYFUNCTION("""COMPUTED_VALUE"""),122648.0)</f>
        <v>122648</v>
      </c>
      <c r="B2962" s="2" t="str">
        <f>IFERROR(__xludf.DUMMYFUNCTION("""COMPUTED_VALUE"""),"Tech")</f>
        <v>Tech</v>
      </c>
      <c r="C2962" s="2" t="str">
        <f>IFERROR(__xludf.DUMMYFUNCTION("""COMPUTED_VALUE"""),"Winter Sports")</f>
        <v>Winter Sports</v>
      </c>
      <c r="D2962" s="2" t="str">
        <f>IFERROR(__xludf.DUMMYFUNCTION("""COMPUTED_VALUE"""),"Ironhill Publishing")</f>
        <v>Ironhill Publishing</v>
      </c>
      <c r="E2962" s="2">
        <f>IFERROR(__xludf.DUMMYFUNCTION("""COMPUTED_VALUE"""),4.29)</f>
        <v>4.29</v>
      </c>
      <c r="F2962" s="2"/>
      <c r="G2962" s="2"/>
      <c r="H2962" s="2"/>
      <c r="I2962" s="2"/>
    </row>
    <row r="2963">
      <c r="A2963" s="2">
        <f>IFERROR(__xludf.DUMMYFUNCTION("""COMPUTED_VALUE"""),128418.0)</f>
        <v>128418</v>
      </c>
      <c r="B2963" s="2" t="str">
        <f>IFERROR(__xludf.DUMMYFUNCTION("""COMPUTED_VALUE"""),"Tech")</f>
        <v>Tech</v>
      </c>
      <c r="C2963" s="2" t="str">
        <f>IFERROR(__xludf.DUMMYFUNCTION("""COMPUTED_VALUE"""),"Winter Sports")</f>
        <v>Winter Sports</v>
      </c>
      <c r="D2963" s="2" t="str">
        <f>IFERROR(__xludf.DUMMYFUNCTION("""COMPUTED_VALUE"""),"Ironhill Publishing")</f>
        <v>Ironhill Publishing</v>
      </c>
      <c r="E2963" s="2">
        <f>IFERROR(__xludf.DUMMYFUNCTION("""COMPUTED_VALUE"""),4.48)</f>
        <v>4.48</v>
      </c>
      <c r="F2963" s="2"/>
      <c r="G2963" s="2"/>
      <c r="H2963" s="2"/>
      <c r="I2963" s="2"/>
    </row>
    <row r="2964">
      <c r="A2964" s="2">
        <f>IFERROR(__xludf.DUMMYFUNCTION("""COMPUTED_VALUE"""),109883.0)</f>
        <v>109883</v>
      </c>
      <c r="B2964" s="2" t="str">
        <f>IFERROR(__xludf.DUMMYFUNCTION("""COMPUTED_VALUE"""),"Tech")</f>
        <v>Tech</v>
      </c>
      <c r="C2964" s="2" t="str">
        <f>IFERROR(__xludf.DUMMYFUNCTION("""COMPUTED_VALUE"""),"Winter Sports")</f>
        <v>Winter Sports</v>
      </c>
      <c r="D2964" s="2" t="str">
        <f>IFERROR(__xludf.DUMMYFUNCTION("""COMPUTED_VALUE"""),"Ironhill Publishing")</f>
        <v>Ironhill Publishing</v>
      </c>
      <c r="E2964" s="2">
        <f>IFERROR(__xludf.DUMMYFUNCTION("""COMPUTED_VALUE"""),3.5)</f>
        <v>3.5</v>
      </c>
      <c r="F2964" s="2"/>
      <c r="G2964" s="2"/>
      <c r="H2964" s="2"/>
      <c r="I2964" s="2"/>
    </row>
    <row r="2965">
      <c r="A2965" s="2">
        <f>IFERROR(__xludf.DUMMYFUNCTION("""COMPUTED_VALUE"""),119027.0)</f>
        <v>119027</v>
      </c>
      <c r="B2965" s="2" t="str">
        <f>IFERROR(__xludf.DUMMYFUNCTION("""COMPUTED_VALUE"""),"Tech")</f>
        <v>Tech</v>
      </c>
      <c r="C2965" s="2" t="str">
        <f>IFERROR(__xludf.DUMMYFUNCTION("""COMPUTED_VALUE"""),"Winter Sports")</f>
        <v>Winter Sports</v>
      </c>
      <c r="D2965" s="2" t="str">
        <f>IFERROR(__xludf.DUMMYFUNCTION("""COMPUTED_VALUE"""),"Ironhill Publishing")</f>
        <v>Ironhill Publishing</v>
      </c>
      <c r="E2965" s="2">
        <f>IFERROR(__xludf.DUMMYFUNCTION("""COMPUTED_VALUE"""),5.96)</f>
        <v>5.96</v>
      </c>
      <c r="F2965" s="2"/>
      <c r="G2965" s="2"/>
      <c r="H2965" s="2"/>
      <c r="I2965" s="2"/>
    </row>
    <row r="2966">
      <c r="A2966" s="2">
        <f>IFERROR(__xludf.DUMMYFUNCTION("""COMPUTED_VALUE"""),30522.0)</f>
        <v>30522</v>
      </c>
      <c r="B2966" s="2" t="str">
        <f>IFERROR(__xludf.DUMMYFUNCTION("""COMPUTED_VALUE"""),"Tech")</f>
        <v>Tech</v>
      </c>
      <c r="C2966" s="2" t="str">
        <f>IFERROR(__xludf.DUMMYFUNCTION("""COMPUTED_VALUE"""),"Winter Sports")</f>
        <v>Winter Sports</v>
      </c>
      <c r="D2966" s="2" t="str">
        <f>IFERROR(__xludf.DUMMYFUNCTION("""COMPUTED_VALUE"""),"Ironhill Publishing")</f>
        <v>Ironhill Publishing</v>
      </c>
      <c r="E2966" s="2">
        <f>IFERROR(__xludf.DUMMYFUNCTION("""COMPUTED_VALUE"""),5.79)</f>
        <v>5.79</v>
      </c>
      <c r="F2966" s="2"/>
      <c r="G2966" s="2"/>
      <c r="H2966" s="2"/>
      <c r="I2966" s="2"/>
    </row>
    <row r="2967">
      <c r="A2967" s="2">
        <f>IFERROR(__xludf.DUMMYFUNCTION("""COMPUTED_VALUE"""),118155.0)</f>
        <v>118155</v>
      </c>
      <c r="B2967" s="2" t="str">
        <f>IFERROR(__xludf.DUMMYFUNCTION("""COMPUTED_VALUE"""),"Tech")</f>
        <v>Tech</v>
      </c>
      <c r="C2967" s="2" t="str">
        <f>IFERROR(__xludf.DUMMYFUNCTION("""COMPUTED_VALUE"""),"Winter Sports")</f>
        <v>Winter Sports</v>
      </c>
      <c r="D2967" s="2" t="str">
        <f>IFERROR(__xludf.DUMMYFUNCTION("""COMPUTED_VALUE"""),"Ironhill Publishing")</f>
        <v>Ironhill Publishing</v>
      </c>
      <c r="E2967" s="2">
        <f>IFERROR(__xludf.DUMMYFUNCTION("""COMPUTED_VALUE"""),4.29)</f>
        <v>4.29</v>
      </c>
      <c r="F2967" s="2"/>
      <c r="G2967" s="2"/>
      <c r="H2967" s="2"/>
      <c r="I2967" s="2"/>
    </row>
    <row r="2968">
      <c r="A2968" s="2">
        <f>IFERROR(__xludf.DUMMYFUNCTION("""COMPUTED_VALUE"""),188068.0)</f>
        <v>188068</v>
      </c>
      <c r="B2968" s="2" t="str">
        <f>IFERROR(__xludf.DUMMYFUNCTION("""COMPUTED_VALUE"""),"Tech")</f>
        <v>Tech</v>
      </c>
      <c r="C2968" s="2" t="str">
        <f>IFERROR(__xludf.DUMMYFUNCTION("""COMPUTED_VALUE"""),"Winter Sports")</f>
        <v>Winter Sports</v>
      </c>
      <c r="D2968" s="2" t="str">
        <f>IFERROR(__xludf.DUMMYFUNCTION("""COMPUTED_VALUE"""),"Ironhill Publishing")</f>
        <v>Ironhill Publishing</v>
      </c>
      <c r="E2968" s="2">
        <f>IFERROR(__xludf.DUMMYFUNCTION("""COMPUTED_VALUE"""),3.82)</f>
        <v>3.82</v>
      </c>
      <c r="F2968" s="2"/>
      <c r="G2968" s="2"/>
      <c r="H2968" s="2"/>
      <c r="I2968" s="2"/>
    </row>
    <row r="2969">
      <c r="A2969" s="2">
        <f>IFERROR(__xludf.DUMMYFUNCTION("""COMPUTED_VALUE"""),92613.0)</f>
        <v>92613</v>
      </c>
      <c r="B2969" s="2" t="str">
        <f>IFERROR(__xludf.DUMMYFUNCTION("""COMPUTED_VALUE"""),"Tech")</f>
        <v>Tech</v>
      </c>
      <c r="C2969" s="2" t="str">
        <f>IFERROR(__xludf.DUMMYFUNCTION("""COMPUTED_VALUE"""),"Winter Sports")</f>
        <v>Winter Sports</v>
      </c>
      <c r="D2969" s="2" t="str">
        <f>IFERROR(__xludf.DUMMYFUNCTION("""COMPUTED_VALUE"""),"Ironhill Publishing")</f>
        <v>Ironhill Publishing</v>
      </c>
      <c r="E2969" s="2">
        <f>IFERROR(__xludf.DUMMYFUNCTION("""COMPUTED_VALUE"""),3.46)</f>
        <v>3.46</v>
      </c>
      <c r="F2969" s="2"/>
      <c r="G2969" s="2"/>
      <c r="H2969" s="2"/>
      <c r="I2969" s="2"/>
    </row>
    <row r="2970">
      <c r="A2970" s="2">
        <f>IFERROR(__xludf.DUMMYFUNCTION("""COMPUTED_VALUE"""),69234.0)</f>
        <v>69234</v>
      </c>
      <c r="B2970" s="2" t="str">
        <f>IFERROR(__xludf.DUMMYFUNCTION("""COMPUTED_VALUE"""),"Tech")</f>
        <v>Tech</v>
      </c>
      <c r="C2970" s="2" t="str">
        <f>IFERROR(__xludf.DUMMYFUNCTION("""COMPUTED_VALUE"""),"Winter Sports")</f>
        <v>Winter Sports</v>
      </c>
      <c r="D2970" s="2" t="str">
        <f>IFERROR(__xludf.DUMMYFUNCTION("""COMPUTED_VALUE"""),"Ironhill Publishing")</f>
        <v>Ironhill Publishing</v>
      </c>
      <c r="E2970" s="2">
        <f>IFERROR(__xludf.DUMMYFUNCTION("""COMPUTED_VALUE"""),4.93)</f>
        <v>4.93</v>
      </c>
      <c r="F2970" s="2"/>
      <c r="G2970" s="2"/>
      <c r="H2970" s="2"/>
      <c r="I2970" s="2"/>
    </row>
    <row r="2971">
      <c r="A2971" s="2">
        <f>IFERROR(__xludf.DUMMYFUNCTION("""COMPUTED_VALUE"""),109938.0)</f>
        <v>109938</v>
      </c>
      <c r="B2971" s="2" t="str">
        <f>IFERROR(__xludf.DUMMYFUNCTION("""COMPUTED_VALUE"""),"Tech")</f>
        <v>Tech</v>
      </c>
      <c r="C2971" s="2" t="str">
        <f>IFERROR(__xludf.DUMMYFUNCTION("""COMPUTED_VALUE"""),"Winter Sports")</f>
        <v>Winter Sports</v>
      </c>
      <c r="D2971" s="2" t="str">
        <f>IFERROR(__xludf.DUMMYFUNCTION("""COMPUTED_VALUE"""),"Ironhill Publishing")</f>
        <v>Ironhill Publishing</v>
      </c>
      <c r="E2971" s="2">
        <f>IFERROR(__xludf.DUMMYFUNCTION("""COMPUTED_VALUE"""),4.81)</f>
        <v>4.81</v>
      </c>
      <c r="F2971" s="2"/>
      <c r="G2971" s="2"/>
      <c r="H2971" s="2"/>
      <c r="I2971" s="2"/>
    </row>
    <row r="2972">
      <c r="A2972" s="2">
        <f>IFERROR(__xludf.DUMMYFUNCTION("""COMPUTED_VALUE"""),120307.0)</f>
        <v>120307</v>
      </c>
      <c r="B2972" s="2" t="str">
        <f>IFERROR(__xludf.DUMMYFUNCTION("""COMPUTED_VALUE"""),"Tech")</f>
        <v>Tech</v>
      </c>
      <c r="C2972" s="2" t="str">
        <f>IFERROR(__xludf.DUMMYFUNCTION("""COMPUTED_VALUE"""),"Winter Sports")</f>
        <v>Winter Sports</v>
      </c>
      <c r="D2972" s="2" t="str">
        <f>IFERROR(__xludf.DUMMYFUNCTION("""COMPUTED_VALUE"""),"Ironhill Publishing")</f>
        <v>Ironhill Publishing</v>
      </c>
      <c r="E2972" s="2">
        <f>IFERROR(__xludf.DUMMYFUNCTION("""COMPUTED_VALUE"""),3.98)</f>
        <v>3.98</v>
      </c>
      <c r="F2972" s="2"/>
      <c r="G2972" s="2"/>
      <c r="H2972" s="2"/>
      <c r="I2972" s="2"/>
    </row>
    <row r="2973">
      <c r="A2973" s="2">
        <f>IFERROR(__xludf.DUMMYFUNCTION("""COMPUTED_VALUE"""),118906.0)</f>
        <v>118906</v>
      </c>
      <c r="B2973" s="2" t="str">
        <f>IFERROR(__xludf.DUMMYFUNCTION("""COMPUTED_VALUE"""),"Tech")</f>
        <v>Tech</v>
      </c>
      <c r="C2973" s="2" t="str">
        <f>IFERROR(__xludf.DUMMYFUNCTION("""COMPUTED_VALUE"""),"Winter Sports")</f>
        <v>Winter Sports</v>
      </c>
      <c r="D2973" s="2" t="str">
        <f>IFERROR(__xludf.DUMMYFUNCTION("""COMPUTED_VALUE"""),"Ironhill Publishing")</f>
        <v>Ironhill Publishing</v>
      </c>
      <c r="E2973" s="2">
        <f>IFERROR(__xludf.DUMMYFUNCTION("""COMPUTED_VALUE"""),5.1)</f>
        <v>5.1</v>
      </c>
      <c r="F2973" s="2"/>
      <c r="G2973" s="2"/>
      <c r="H2973" s="2"/>
      <c r="I2973" s="2"/>
    </row>
    <row r="2974">
      <c r="A2974" s="2">
        <f>IFERROR(__xludf.DUMMYFUNCTION("""COMPUTED_VALUE"""),128309.0)</f>
        <v>128309</v>
      </c>
      <c r="B2974" s="2" t="str">
        <f>IFERROR(__xludf.DUMMYFUNCTION("""COMPUTED_VALUE"""),"Tech")</f>
        <v>Tech</v>
      </c>
      <c r="C2974" s="2" t="str">
        <f>IFERROR(__xludf.DUMMYFUNCTION("""COMPUTED_VALUE"""),"Winter Sports")</f>
        <v>Winter Sports</v>
      </c>
      <c r="D2974" s="2" t="str">
        <f>IFERROR(__xludf.DUMMYFUNCTION("""COMPUTED_VALUE"""),"Silverpoint Books")</f>
        <v>Silverpoint Books</v>
      </c>
      <c r="E2974" s="2">
        <f>IFERROR(__xludf.DUMMYFUNCTION("""COMPUTED_VALUE"""),2.98)</f>
        <v>2.98</v>
      </c>
      <c r="F2974" s="2"/>
      <c r="G2974" s="2"/>
      <c r="H2974" s="2"/>
      <c r="I2974" s="2"/>
    </row>
    <row r="2975">
      <c r="A2975" s="2">
        <f>IFERROR(__xludf.DUMMYFUNCTION("""COMPUTED_VALUE"""),1986.0)</f>
        <v>1986</v>
      </c>
      <c r="B2975" s="2" t="str">
        <f>IFERROR(__xludf.DUMMYFUNCTION("""COMPUTED_VALUE"""),"Tech")</f>
        <v>Tech</v>
      </c>
      <c r="C2975" s="2" t="str">
        <f>IFERROR(__xludf.DUMMYFUNCTION("""COMPUTED_VALUE"""),"Winter Sports")</f>
        <v>Winter Sports</v>
      </c>
      <c r="D2975" s="2" t="str">
        <f>IFERROR(__xludf.DUMMYFUNCTION("""COMPUTED_VALUE"""),"Silverpoint Books")</f>
        <v>Silverpoint Books</v>
      </c>
      <c r="E2975" s="2">
        <f>IFERROR(__xludf.DUMMYFUNCTION("""COMPUTED_VALUE"""),5.76)</f>
        <v>5.76</v>
      </c>
      <c r="F2975" s="2"/>
      <c r="G2975" s="2"/>
      <c r="H2975" s="2"/>
      <c r="I2975" s="2"/>
    </row>
    <row r="2976">
      <c r="A2976" s="2">
        <f>IFERROR(__xludf.DUMMYFUNCTION("""COMPUTED_VALUE"""),117749.0)</f>
        <v>117749</v>
      </c>
      <c r="B2976" s="2" t="str">
        <f>IFERROR(__xludf.DUMMYFUNCTION("""COMPUTED_VALUE"""),"Tech")</f>
        <v>Tech</v>
      </c>
      <c r="C2976" s="2" t="str">
        <f>IFERROR(__xludf.DUMMYFUNCTION("""COMPUTED_VALUE"""),"Winter Sports")</f>
        <v>Winter Sports</v>
      </c>
      <c r="D2976" s="2" t="str">
        <f>IFERROR(__xludf.DUMMYFUNCTION("""COMPUTED_VALUE"""),"Silverpoint Books")</f>
        <v>Silverpoint Books</v>
      </c>
      <c r="E2976" s="2">
        <f>IFERROR(__xludf.DUMMYFUNCTION("""COMPUTED_VALUE"""),12.18)</f>
        <v>12.18</v>
      </c>
      <c r="F2976" s="2"/>
      <c r="G2976" s="2"/>
      <c r="H2976" s="2"/>
      <c r="I2976" s="2"/>
    </row>
    <row r="2977">
      <c r="A2977" s="2">
        <f>IFERROR(__xludf.DUMMYFUNCTION("""COMPUTED_VALUE"""),117748.0)</f>
        <v>117748</v>
      </c>
      <c r="B2977" s="2" t="str">
        <f>IFERROR(__xludf.DUMMYFUNCTION("""COMPUTED_VALUE"""),"Tech")</f>
        <v>Tech</v>
      </c>
      <c r="C2977" s="2" t="str">
        <f>IFERROR(__xludf.DUMMYFUNCTION("""COMPUTED_VALUE"""),"Winter Sports")</f>
        <v>Winter Sports</v>
      </c>
      <c r="D2977" s="2" t="str">
        <f>IFERROR(__xludf.DUMMYFUNCTION("""COMPUTED_VALUE"""),"Silverpoint Books")</f>
        <v>Silverpoint Books</v>
      </c>
      <c r="E2977" s="2">
        <f>IFERROR(__xludf.DUMMYFUNCTION("""COMPUTED_VALUE"""),9.22)</f>
        <v>9.22</v>
      </c>
      <c r="F2977" s="2"/>
      <c r="G2977" s="2"/>
      <c r="H2977" s="2"/>
      <c r="I2977" s="2"/>
    </row>
    <row r="2978">
      <c r="A2978" s="2">
        <f>IFERROR(__xludf.DUMMYFUNCTION("""COMPUTED_VALUE"""),1962.0)</f>
        <v>1962</v>
      </c>
      <c r="B2978" s="2" t="str">
        <f>IFERROR(__xludf.DUMMYFUNCTION("""COMPUTED_VALUE"""),"Tech")</f>
        <v>Tech</v>
      </c>
      <c r="C2978" s="2" t="str">
        <f>IFERROR(__xludf.DUMMYFUNCTION("""COMPUTED_VALUE"""),"Winter Sports")</f>
        <v>Winter Sports</v>
      </c>
      <c r="D2978" s="2" t="str">
        <f>IFERROR(__xludf.DUMMYFUNCTION("""COMPUTED_VALUE"""),"Silverpoint Books")</f>
        <v>Silverpoint Books</v>
      </c>
      <c r="E2978" s="2">
        <f>IFERROR(__xludf.DUMMYFUNCTION("""COMPUTED_VALUE"""),3.41)</f>
        <v>3.41</v>
      </c>
      <c r="F2978" s="2"/>
      <c r="G2978" s="2"/>
      <c r="H2978" s="2"/>
      <c r="I2978" s="2"/>
    </row>
    <row r="2979">
      <c r="A2979" s="2">
        <f>IFERROR(__xludf.DUMMYFUNCTION("""COMPUTED_VALUE"""),109994.0)</f>
        <v>109994</v>
      </c>
      <c r="B2979" s="2" t="str">
        <f>IFERROR(__xludf.DUMMYFUNCTION("""COMPUTED_VALUE"""),"Tech")</f>
        <v>Tech</v>
      </c>
      <c r="C2979" s="2" t="str">
        <f>IFERROR(__xludf.DUMMYFUNCTION("""COMPUTED_VALUE"""),"Winter Sports")</f>
        <v>Winter Sports</v>
      </c>
      <c r="D2979" s="2" t="str">
        <f>IFERROR(__xludf.DUMMYFUNCTION("""COMPUTED_VALUE"""),"Silverpoint Books")</f>
        <v>Silverpoint Books</v>
      </c>
      <c r="E2979" s="2">
        <f>IFERROR(__xludf.DUMMYFUNCTION("""COMPUTED_VALUE"""),3.57)</f>
        <v>3.57</v>
      </c>
      <c r="F2979" s="2"/>
      <c r="G2979" s="2"/>
      <c r="H2979" s="2"/>
      <c r="I2979" s="2"/>
    </row>
    <row r="2980">
      <c r="A2980" s="2">
        <f>IFERROR(__xludf.DUMMYFUNCTION("""COMPUTED_VALUE"""),69364.0)</f>
        <v>69364</v>
      </c>
      <c r="B2980" s="2" t="str">
        <f>IFERROR(__xludf.DUMMYFUNCTION("""COMPUTED_VALUE"""),"Tech")</f>
        <v>Tech</v>
      </c>
      <c r="C2980" s="2" t="str">
        <f>IFERROR(__xludf.DUMMYFUNCTION("""COMPUTED_VALUE"""),"Winter Sports")</f>
        <v>Winter Sports</v>
      </c>
      <c r="D2980" s="2" t="str">
        <f>IFERROR(__xludf.DUMMYFUNCTION("""COMPUTED_VALUE"""),"Silverpoint Books")</f>
        <v>Silverpoint Books</v>
      </c>
      <c r="E2980" s="2">
        <f>IFERROR(__xludf.DUMMYFUNCTION("""COMPUTED_VALUE"""),5.12)</f>
        <v>5.12</v>
      </c>
      <c r="F2980" s="2"/>
      <c r="G2980" s="2"/>
      <c r="H2980" s="2"/>
      <c r="I2980" s="2"/>
    </row>
    <row r="2981">
      <c r="A2981" s="2">
        <f>IFERROR(__xludf.DUMMYFUNCTION("""COMPUTED_VALUE"""),69365.0)</f>
        <v>69365</v>
      </c>
      <c r="B2981" s="2" t="str">
        <f>IFERROR(__xludf.DUMMYFUNCTION("""COMPUTED_VALUE"""),"Tech")</f>
        <v>Tech</v>
      </c>
      <c r="C2981" s="2" t="str">
        <f>IFERROR(__xludf.DUMMYFUNCTION("""COMPUTED_VALUE"""),"Winter Sports")</f>
        <v>Winter Sports</v>
      </c>
      <c r="D2981" s="2" t="str">
        <f>IFERROR(__xludf.DUMMYFUNCTION("""COMPUTED_VALUE"""),"Silverpoint Books")</f>
        <v>Silverpoint Books</v>
      </c>
      <c r="E2981" s="2">
        <f>IFERROR(__xludf.DUMMYFUNCTION("""COMPUTED_VALUE"""),3.0)</f>
        <v>3</v>
      </c>
      <c r="F2981" s="2"/>
      <c r="G2981" s="2"/>
      <c r="H2981" s="2"/>
      <c r="I2981" s="2"/>
    </row>
    <row r="2982">
      <c r="A2982" s="2">
        <f>IFERROR(__xludf.DUMMYFUNCTION("""COMPUTED_VALUE"""),46990.0)</f>
        <v>46990</v>
      </c>
      <c r="B2982" s="2" t="str">
        <f>IFERROR(__xludf.DUMMYFUNCTION("""COMPUTED_VALUE"""),"Tech")</f>
        <v>Tech</v>
      </c>
      <c r="C2982" s="2" t="str">
        <f>IFERROR(__xludf.DUMMYFUNCTION("""COMPUTED_VALUE"""),"Winter Sports")</f>
        <v>Winter Sports</v>
      </c>
      <c r="D2982" s="2" t="str">
        <f>IFERROR(__xludf.DUMMYFUNCTION("""COMPUTED_VALUE"""),"Silverpoint Books")</f>
        <v>Silverpoint Books</v>
      </c>
      <c r="E2982" s="2">
        <f>IFERROR(__xludf.DUMMYFUNCTION("""COMPUTED_VALUE"""),3.72)</f>
        <v>3.72</v>
      </c>
      <c r="F2982" s="2"/>
      <c r="G2982" s="2"/>
      <c r="H2982" s="2"/>
      <c r="I2982" s="2"/>
    </row>
    <row r="2983">
      <c r="A2983" s="2">
        <f>IFERROR(__xludf.DUMMYFUNCTION("""COMPUTED_VALUE"""),11428.0)</f>
        <v>11428</v>
      </c>
      <c r="B2983" s="2" t="str">
        <f>IFERROR(__xludf.DUMMYFUNCTION("""COMPUTED_VALUE"""),"Tech")</f>
        <v>Tech</v>
      </c>
      <c r="C2983" s="2" t="str">
        <f>IFERROR(__xludf.DUMMYFUNCTION("""COMPUTED_VALUE"""),"Winter Sports")</f>
        <v>Winter Sports</v>
      </c>
      <c r="D2983" s="2" t="str">
        <f>IFERROR(__xludf.DUMMYFUNCTION("""COMPUTED_VALUE"""),"Silverpoint Books")</f>
        <v>Silverpoint Books</v>
      </c>
      <c r="E2983" s="2">
        <f>IFERROR(__xludf.DUMMYFUNCTION("""COMPUTED_VALUE"""),7.8)</f>
        <v>7.8</v>
      </c>
      <c r="F2983" s="2"/>
      <c r="G2983" s="2"/>
      <c r="H2983" s="2"/>
      <c r="I2983" s="2"/>
    </row>
    <row r="2984">
      <c r="A2984" s="2">
        <f>IFERROR(__xludf.DUMMYFUNCTION("""COMPUTED_VALUE"""),122318.0)</f>
        <v>122318</v>
      </c>
      <c r="B2984" s="2" t="str">
        <f>IFERROR(__xludf.DUMMYFUNCTION("""COMPUTED_VALUE"""),"Tech")</f>
        <v>Tech</v>
      </c>
      <c r="C2984" s="2" t="str">
        <f>IFERROR(__xludf.DUMMYFUNCTION("""COMPUTED_VALUE"""),"Winter Sports")</f>
        <v>Winter Sports</v>
      </c>
      <c r="D2984" s="2" t="str">
        <f>IFERROR(__xludf.DUMMYFUNCTION("""COMPUTED_VALUE"""),"Silverpoint Books")</f>
        <v>Silverpoint Books</v>
      </c>
      <c r="E2984" s="2">
        <f>IFERROR(__xludf.DUMMYFUNCTION("""COMPUTED_VALUE"""),4.26)</f>
        <v>4.26</v>
      </c>
      <c r="F2984" s="2"/>
      <c r="G2984" s="2"/>
      <c r="H2984" s="2"/>
      <c r="I2984" s="2"/>
    </row>
    <row r="2985">
      <c r="A2985" s="2">
        <f>IFERROR(__xludf.DUMMYFUNCTION("""COMPUTED_VALUE"""),182194.0)</f>
        <v>182194</v>
      </c>
      <c r="B2985" s="2" t="str">
        <f>IFERROR(__xludf.DUMMYFUNCTION("""COMPUTED_VALUE"""),"Tech")</f>
        <v>Tech</v>
      </c>
      <c r="C2985" s="2" t="str">
        <f>IFERROR(__xludf.DUMMYFUNCTION("""COMPUTED_VALUE"""),"Winter Sports")</f>
        <v>Winter Sports</v>
      </c>
      <c r="D2985" s="2" t="str">
        <f>IFERROR(__xludf.DUMMYFUNCTION("""COMPUTED_VALUE"""),"Silverpoint Books")</f>
        <v>Silverpoint Books</v>
      </c>
      <c r="E2985" s="2">
        <f>IFERROR(__xludf.DUMMYFUNCTION("""COMPUTED_VALUE"""),3.51)</f>
        <v>3.51</v>
      </c>
      <c r="F2985" s="2"/>
      <c r="G2985" s="2"/>
      <c r="H2985" s="2"/>
      <c r="I2985" s="2"/>
    </row>
    <row r="2986">
      <c r="A2986" s="2">
        <f>IFERROR(__xludf.DUMMYFUNCTION("""COMPUTED_VALUE"""),147256.0)</f>
        <v>147256</v>
      </c>
      <c r="B2986" s="2" t="str">
        <f>IFERROR(__xludf.DUMMYFUNCTION("""COMPUTED_VALUE"""),"Tech")</f>
        <v>Tech</v>
      </c>
      <c r="C2986" s="2" t="str">
        <f>IFERROR(__xludf.DUMMYFUNCTION("""COMPUTED_VALUE"""),"Winter Sports")</f>
        <v>Winter Sports</v>
      </c>
      <c r="D2986" s="2" t="str">
        <f>IFERROR(__xludf.DUMMYFUNCTION("""COMPUTED_VALUE"""),"Silverpoint Books")</f>
        <v>Silverpoint Books</v>
      </c>
      <c r="E2986" s="2">
        <f>IFERROR(__xludf.DUMMYFUNCTION("""COMPUTED_VALUE"""),3.45)</f>
        <v>3.45</v>
      </c>
      <c r="F2986" s="2"/>
      <c r="G2986" s="2"/>
      <c r="H2986" s="2"/>
      <c r="I2986" s="2"/>
    </row>
    <row r="2987">
      <c r="A2987" s="2">
        <f>IFERROR(__xludf.DUMMYFUNCTION("""COMPUTED_VALUE"""),5079.0)</f>
        <v>5079</v>
      </c>
      <c r="B2987" s="2" t="str">
        <f>IFERROR(__xludf.DUMMYFUNCTION("""COMPUTED_VALUE"""),"Tech")</f>
        <v>Tech</v>
      </c>
      <c r="C2987" s="2" t="str">
        <f>IFERROR(__xludf.DUMMYFUNCTION("""COMPUTED_VALUE"""),"Winter Sports")</f>
        <v>Winter Sports</v>
      </c>
      <c r="D2987" s="2" t="str">
        <f>IFERROR(__xludf.DUMMYFUNCTION("""COMPUTED_VALUE"""),"Silverpoint Books")</f>
        <v>Silverpoint Books</v>
      </c>
      <c r="E2987" s="2">
        <f>IFERROR(__xludf.DUMMYFUNCTION("""COMPUTED_VALUE"""),6.38)</f>
        <v>6.38</v>
      </c>
      <c r="F2987" s="2"/>
      <c r="G2987" s="2"/>
      <c r="H2987" s="2"/>
      <c r="I2987" s="2"/>
    </row>
    <row r="2988">
      <c r="A2988" s="2">
        <f>IFERROR(__xludf.DUMMYFUNCTION("""COMPUTED_VALUE"""),92621.0)</f>
        <v>92621</v>
      </c>
      <c r="B2988" s="2" t="str">
        <f>IFERROR(__xludf.DUMMYFUNCTION("""COMPUTED_VALUE"""),"Tech")</f>
        <v>Tech</v>
      </c>
      <c r="C2988" s="2" t="str">
        <f>IFERROR(__xludf.DUMMYFUNCTION("""COMPUTED_VALUE"""),"Winter Sports")</f>
        <v>Winter Sports</v>
      </c>
      <c r="D2988" s="2" t="str">
        <f>IFERROR(__xludf.DUMMYFUNCTION("""COMPUTED_VALUE"""),"Silverpoint Books")</f>
        <v>Silverpoint Books</v>
      </c>
      <c r="E2988" s="2">
        <f>IFERROR(__xludf.DUMMYFUNCTION("""COMPUTED_VALUE"""),6.49)</f>
        <v>6.49</v>
      </c>
      <c r="F2988" s="2"/>
      <c r="G2988" s="2"/>
      <c r="H2988" s="2"/>
      <c r="I2988" s="2"/>
    </row>
    <row r="2989">
      <c r="A2989" s="2">
        <f>IFERROR(__xludf.DUMMYFUNCTION("""COMPUTED_VALUE"""),11003.0)</f>
        <v>11003</v>
      </c>
      <c r="B2989" s="2" t="str">
        <f>IFERROR(__xludf.DUMMYFUNCTION("""COMPUTED_VALUE"""),"Tech")</f>
        <v>Tech</v>
      </c>
      <c r="C2989" s="2" t="str">
        <f>IFERROR(__xludf.DUMMYFUNCTION("""COMPUTED_VALUE"""),"Winter Sports")</f>
        <v>Winter Sports</v>
      </c>
      <c r="D2989" s="2" t="str">
        <f>IFERROR(__xludf.DUMMYFUNCTION("""COMPUTED_VALUE"""),"Silverpoint Books")</f>
        <v>Silverpoint Books</v>
      </c>
      <c r="E2989" s="2">
        <f>IFERROR(__xludf.DUMMYFUNCTION("""COMPUTED_VALUE"""),2.95)</f>
        <v>2.95</v>
      </c>
      <c r="F2989" s="2"/>
      <c r="G2989" s="2"/>
      <c r="H2989" s="2"/>
      <c r="I2989" s="2"/>
    </row>
    <row r="2990">
      <c r="A2990" s="2">
        <f>IFERROR(__xludf.DUMMYFUNCTION("""COMPUTED_VALUE"""),117560.0)</f>
        <v>117560</v>
      </c>
      <c r="B2990" s="2" t="str">
        <f>IFERROR(__xludf.DUMMYFUNCTION("""COMPUTED_VALUE"""),"Tech")</f>
        <v>Tech</v>
      </c>
      <c r="C2990" s="2" t="str">
        <f>IFERROR(__xludf.DUMMYFUNCTION("""COMPUTED_VALUE"""),"Winter Sports")</f>
        <v>Winter Sports</v>
      </c>
      <c r="D2990" s="2" t="str">
        <f>IFERROR(__xludf.DUMMYFUNCTION("""COMPUTED_VALUE"""),"Silverpoint Books")</f>
        <v>Silverpoint Books</v>
      </c>
      <c r="E2990" s="2">
        <f>IFERROR(__xludf.DUMMYFUNCTION("""COMPUTED_VALUE"""),3.03)</f>
        <v>3.03</v>
      </c>
      <c r="F2990" s="2"/>
      <c r="G2990" s="2"/>
      <c r="H2990" s="2"/>
      <c r="I2990" s="2"/>
    </row>
    <row r="2991">
      <c r="A2991" s="2">
        <f>IFERROR(__xludf.DUMMYFUNCTION("""COMPUTED_VALUE"""),188368.0)</f>
        <v>188368</v>
      </c>
      <c r="B2991" s="2" t="str">
        <f>IFERROR(__xludf.DUMMYFUNCTION("""COMPUTED_VALUE"""),"Tech")</f>
        <v>Tech</v>
      </c>
      <c r="C2991" s="2" t="str">
        <f>IFERROR(__xludf.DUMMYFUNCTION("""COMPUTED_VALUE"""),"Winter Sports")</f>
        <v>Winter Sports</v>
      </c>
      <c r="D2991" s="2" t="str">
        <f>IFERROR(__xludf.DUMMYFUNCTION("""COMPUTED_VALUE"""),"Silverpoint Books")</f>
        <v>Silverpoint Books</v>
      </c>
      <c r="E2991" s="2">
        <f>IFERROR(__xludf.DUMMYFUNCTION("""COMPUTED_VALUE"""),4.08)</f>
        <v>4.08</v>
      </c>
      <c r="F2991" s="2"/>
      <c r="G2991" s="2"/>
      <c r="H2991" s="2"/>
      <c r="I2991" s="2"/>
    </row>
    <row r="2992">
      <c r="A2992" s="2">
        <f>IFERROR(__xludf.DUMMYFUNCTION("""COMPUTED_VALUE"""),124765.0)</f>
        <v>124765</v>
      </c>
      <c r="B2992" s="2" t="str">
        <f>IFERROR(__xludf.DUMMYFUNCTION("""COMPUTED_VALUE"""),"Tech")</f>
        <v>Tech</v>
      </c>
      <c r="C2992" s="2" t="str">
        <f>IFERROR(__xludf.DUMMYFUNCTION("""COMPUTED_VALUE"""),"Winter Sports")</f>
        <v>Winter Sports</v>
      </c>
      <c r="D2992" s="2" t="str">
        <f>IFERROR(__xludf.DUMMYFUNCTION("""COMPUTED_VALUE"""),"Silverpoint Books")</f>
        <v>Silverpoint Books</v>
      </c>
      <c r="E2992" s="2">
        <f>IFERROR(__xludf.DUMMYFUNCTION("""COMPUTED_VALUE"""),9.76)</f>
        <v>9.76</v>
      </c>
      <c r="F2992" s="2"/>
      <c r="G2992" s="2"/>
      <c r="H2992" s="2"/>
      <c r="I2992" s="2"/>
    </row>
    <row r="2993">
      <c r="A2993" s="2">
        <f>IFERROR(__xludf.DUMMYFUNCTION("""COMPUTED_VALUE"""),8726.0)</f>
        <v>8726</v>
      </c>
      <c r="B2993" s="2" t="str">
        <f>IFERROR(__xludf.DUMMYFUNCTION("""COMPUTED_VALUE"""),"Tech")</f>
        <v>Tech</v>
      </c>
      <c r="C2993" s="2" t="str">
        <f>IFERROR(__xludf.DUMMYFUNCTION("""COMPUTED_VALUE"""),"Winter Sports")</f>
        <v>Winter Sports</v>
      </c>
      <c r="D2993" s="2" t="str">
        <f>IFERROR(__xludf.DUMMYFUNCTION("""COMPUTED_VALUE"""),"Silverpoint Books")</f>
        <v>Silverpoint Books</v>
      </c>
      <c r="E2993" s="2">
        <f>IFERROR(__xludf.DUMMYFUNCTION("""COMPUTED_VALUE"""),5.25)</f>
        <v>5.25</v>
      </c>
      <c r="F2993" s="2"/>
      <c r="G2993" s="2"/>
      <c r="H2993" s="2"/>
      <c r="I2993" s="2"/>
    </row>
    <row r="2994">
      <c r="A2994" s="2">
        <f>IFERROR(__xludf.DUMMYFUNCTION("""COMPUTED_VALUE"""),118158.0)</f>
        <v>118158</v>
      </c>
      <c r="B2994" s="2" t="str">
        <f>IFERROR(__xludf.DUMMYFUNCTION("""COMPUTED_VALUE"""),"Tech")</f>
        <v>Tech</v>
      </c>
      <c r="C2994" s="2" t="str">
        <f>IFERROR(__xludf.DUMMYFUNCTION("""COMPUTED_VALUE"""),"Winter Sports")</f>
        <v>Winter Sports</v>
      </c>
      <c r="D2994" s="2" t="str">
        <f>IFERROR(__xludf.DUMMYFUNCTION("""COMPUTED_VALUE"""),"Northpoint Press")</f>
        <v>Northpoint Press</v>
      </c>
      <c r="E2994" s="2">
        <f>IFERROR(__xludf.DUMMYFUNCTION("""COMPUTED_VALUE"""),0.72)</f>
        <v>0.72</v>
      </c>
      <c r="F2994" s="2"/>
      <c r="G2994" s="2"/>
      <c r="H2994" s="2"/>
      <c r="I2994" s="2"/>
    </row>
    <row r="2995">
      <c r="A2995" s="2">
        <f>IFERROR(__xludf.DUMMYFUNCTION("""COMPUTED_VALUE"""),121871.0)</f>
        <v>121871</v>
      </c>
      <c r="B2995" s="2" t="str">
        <f>IFERROR(__xludf.DUMMYFUNCTION("""COMPUTED_VALUE"""),"Tech")</f>
        <v>Tech</v>
      </c>
      <c r="C2995" s="2" t="str">
        <f>IFERROR(__xludf.DUMMYFUNCTION("""COMPUTED_VALUE"""),"Winter Sports")</f>
        <v>Winter Sports</v>
      </c>
      <c r="D2995" s="2" t="str">
        <f>IFERROR(__xludf.DUMMYFUNCTION("""COMPUTED_VALUE"""),"Northpoint Press")</f>
        <v>Northpoint Press</v>
      </c>
      <c r="E2995" s="2">
        <f>IFERROR(__xludf.DUMMYFUNCTION("""COMPUTED_VALUE"""),5.99)</f>
        <v>5.99</v>
      </c>
      <c r="F2995" s="2"/>
      <c r="G2995" s="2"/>
      <c r="H2995" s="2"/>
      <c r="I2995" s="2"/>
    </row>
    <row r="2996">
      <c r="A2996" s="2">
        <f>IFERROR(__xludf.DUMMYFUNCTION("""COMPUTED_VALUE"""),121876.0)</f>
        <v>121876</v>
      </c>
      <c r="B2996" s="2" t="str">
        <f>IFERROR(__xludf.DUMMYFUNCTION("""COMPUTED_VALUE"""),"Tech")</f>
        <v>Tech</v>
      </c>
      <c r="C2996" s="2" t="str">
        <f>IFERROR(__xludf.DUMMYFUNCTION("""COMPUTED_VALUE"""),"Winter Sports")</f>
        <v>Winter Sports</v>
      </c>
      <c r="D2996" s="2" t="str">
        <f>IFERROR(__xludf.DUMMYFUNCTION("""COMPUTED_VALUE"""),"Northpoint Press")</f>
        <v>Northpoint Press</v>
      </c>
      <c r="E2996" s="2">
        <f>IFERROR(__xludf.DUMMYFUNCTION("""COMPUTED_VALUE"""),6.07)</f>
        <v>6.07</v>
      </c>
      <c r="F2996" s="2"/>
      <c r="G2996" s="2"/>
      <c r="H2996" s="2"/>
      <c r="I2996" s="2"/>
    </row>
    <row r="2997">
      <c r="A2997" s="2">
        <f>IFERROR(__xludf.DUMMYFUNCTION("""COMPUTED_VALUE"""),121877.0)</f>
        <v>121877</v>
      </c>
      <c r="B2997" s="2" t="str">
        <f>IFERROR(__xludf.DUMMYFUNCTION("""COMPUTED_VALUE"""),"Tech")</f>
        <v>Tech</v>
      </c>
      <c r="C2997" s="2" t="str">
        <f>IFERROR(__xludf.DUMMYFUNCTION("""COMPUTED_VALUE"""),"Winter Sports")</f>
        <v>Winter Sports</v>
      </c>
      <c r="D2997" s="2" t="str">
        <f>IFERROR(__xludf.DUMMYFUNCTION("""COMPUTED_VALUE"""),"Northpoint Press")</f>
        <v>Northpoint Press</v>
      </c>
      <c r="E2997" s="2">
        <f>IFERROR(__xludf.DUMMYFUNCTION("""COMPUTED_VALUE"""),5.76)</f>
        <v>5.76</v>
      </c>
      <c r="F2997" s="2"/>
      <c r="G2997" s="2"/>
      <c r="H2997" s="2"/>
      <c r="I2997" s="2"/>
    </row>
    <row r="2998">
      <c r="A2998" s="2">
        <f>IFERROR(__xludf.DUMMYFUNCTION("""COMPUTED_VALUE"""),121879.0)</f>
        <v>121879</v>
      </c>
      <c r="B2998" s="2" t="str">
        <f>IFERROR(__xludf.DUMMYFUNCTION("""COMPUTED_VALUE"""),"Tech")</f>
        <v>Tech</v>
      </c>
      <c r="C2998" s="2" t="str">
        <f>IFERROR(__xludf.DUMMYFUNCTION("""COMPUTED_VALUE"""),"Winter Sports")</f>
        <v>Winter Sports</v>
      </c>
      <c r="D2998" s="2" t="str">
        <f>IFERROR(__xludf.DUMMYFUNCTION("""COMPUTED_VALUE"""),"Northpoint Press")</f>
        <v>Northpoint Press</v>
      </c>
      <c r="E2998" s="2">
        <f>IFERROR(__xludf.DUMMYFUNCTION("""COMPUTED_VALUE"""),6.1)</f>
        <v>6.1</v>
      </c>
      <c r="F2998" s="2"/>
      <c r="G2998" s="2"/>
      <c r="H2998" s="2"/>
      <c r="I2998" s="2"/>
    </row>
    <row r="2999">
      <c r="A2999" s="2">
        <f>IFERROR(__xludf.DUMMYFUNCTION("""COMPUTED_VALUE"""),121874.0)</f>
        <v>121874</v>
      </c>
      <c r="B2999" s="2" t="str">
        <f>IFERROR(__xludf.DUMMYFUNCTION("""COMPUTED_VALUE"""),"Tech")</f>
        <v>Tech</v>
      </c>
      <c r="C2999" s="2" t="str">
        <f>IFERROR(__xludf.DUMMYFUNCTION("""COMPUTED_VALUE"""),"Winter Sports")</f>
        <v>Winter Sports</v>
      </c>
      <c r="D2999" s="2" t="str">
        <f>IFERROR(__xludf.DUMMYFUNCTION("""COMPUTED_VALUE"""),"Northpoint Press")</f>
        <v>Northpoint Press</v>
      </c>
      <c r="E2999" s="2">
        <f>IFERROR(__xludf.DUMMYFUNCTION("""COMPUTED_VALUE"""),5.92)</f>
        <v>5.92</v>
      </c>
      <c r="F2999" s="2"/>
      <c r="G2999" s="2"/>
      <c r="H2999" s="2"/>
      <c r="I2999" s="2"/>
    </row>
    <row r="3000">
      <c r="A3000" s="2">
        <f>IFERROR(__xludf.DUMMYFUNCTION("""COMPUTED_VALUE"""),121893.0)</f>
        <v>121893</v>
      </c>
      <c r="B3000" s="2" t="str">
        <f>IFERROR(__xludf.DUMMYFUNCTION("""COMPUTED_VALUE"""),"Tech")</f>
        <v>Tech</v>
      </c>
      <c r="C3000" s="2" t="str">
        <f>IFERROR(__xludf.DUMMYFUNCTION("""COMPUTED_VALUE"""),"Winter Sports")</f>
        <v>Winter Sports</v>
      </c>
      <c r="D3000" s="2" t="str">
        <f>IFERROR(__xludf.DUMMYFUNCTION("""COMPUTED_VALUE"""),"Northpoint Press")</f>
        <v>Northpoint Press</v>
      </c>
      <c r="E3000" s="2">
        <f>IFERROR(__xludf.DUMMYFUNCTION("""COMPUTED_VALUE"""),6.01)</f>
        <v>6.01</v>
      </c>
      <c r="F3000" s="2"/>
      <c r="G3000" s="2"/>
      <c r="H3000" s="2"/>
      <c r="I3000" s="2"/>
    </row>
    <row r="3001">
      <c r="A3001" s="2">
        <f>IFERROR(__xludf.DUMMYFUNCTION("""COMPUTED_VALUE"""),121892.0)</f>
        <v>121892</v>
      </c>
      <c r="B3001" s="2" t="str">
        <f>IFERROR(__xludf.DUMMYFUNCTION("""COMPUTED_VALUE"""),"Tech")</f>
        <v>Tech</v>
      </c>
      <c r="C3001" s="2" t="str">
        <f>IFERROR(__xludf.DUMMYFUNCTION("""COMPUTED_VALUE"""),"Winter Sports")</f>
        <v>Winter Sports</v>
      </c>
      <c r="D3001" s="2" t="str">
        <f>IFERROR(__xludf.DUMMYFUNCTION("""COMPUTED_VALUE"""),"Northpoint Press")</f>
        <v>Northpoint Press</v>
      </c>
      <c r="E3001" s="2">
        <f>IFERROR(__xludf.DUMMYFUNCTION("""COMPUTED_VALUE"""),5.66)</f>
        <v>5.66</v>
      </c>
      <c r="F3001" s="2"/>
      <c r="G3001" s="2"/>
      <c r="H3001" s="2"/>
      <c r="I3001" s="2"/>
    </row>
    <row r="3002">
      <c r="A3002" s="2">
        <f>IFERROR(__xludf.DUMMYFUNCTION("""COMPUTED_VALUE"""),102678.0)</f>
        <v>102678</v>
      </c>
      <c r="B3002" s="2" t="str">
        <f>IFERROR(__xludf.DUMMYFUNCTION("""COMPUTED_VALUE"""),"Tech")</f>
        <v>Tech</v>
      </c>
      <c r="C3002" s="2" t="str">
        <f>IFERROR(__xludf.DUMMYFUNCTION("""COMPUTED_VALUE"""),"Winter Sports")</f>
        <v>Winter Sports</v>
      </c>
      <c r="D3002" s="2" t="str">
        <f>IFERROR(__xludf.DUMMYFUNCTION("""COMPUTED_VALUE"""),"Northpoint Press")</f>
        <v>Northpoint Press</v>
      </c>
      <c r="E3002" s="2">
        <f>IFERROR(__xludf.DUMMYFUNCTION("""COMPUTED_VALUE"""),6.55)</f>
        <v>6.55</v>
      </c>
      <c r="F3002" s="2"/>
      <c r="G3002" s="2"/>
      <c r="H3002" s="2"/>
      <c r="I3002" s="2"/>
    </row>
    <row r="3003">
      <c r="A3003" s="2">
        <f>IFERROR(__xludf.DUMMYFUNCTION("""COMPUTED_VALUE"""),121887.0)</f>
        <v>121887</v>
      </c>
      <c r="B3003" s="2" t="str">
        <f>IFERROR(__xludf.DUMMYFUNCTION("""COMPUTED_VALUE"""),"Tech")</f>
        <v>Tech</v>
      </c>
      <c r="C3003" s="2" t="str">
        <f>IFERROR(__xludf.DUMMYFUNCTION("""COMPUTED_VALUE"""),"Winter Sports")</f>
        <v>Winter Sports</v>
      </c>
      <c r="D3003" s="2" t="str">
        <f>IFERROR(__xludf.DUMMYFUNCTION("""COMPUTED_VALUE"""),"Northpoint Press")</f>
        <v>Northpoint Press</v>
      </c>
      <c r="E3003" s="2">
        <f>IFERROR(__xludf.DUMMYFUNCTION("""COMPUTED_VALUE"""),5.85)</f>
        <v>5.85</v>
      </c>
      <c r="F3003" s="2"/>
      <c r="G3003" s="2"/>
      <c r="H3003" s="2"/>
      <c r="I3003" s="2"/>
    </row>
    <row r="3004">
      <c r="A3004" s="2">
        <f>IFERROR(__xludf.DUMMYFUNCTION("""COMPUTED_VALUE"""),21344.0)</f>
        <v>21344</v>
      </c>
      <c r="B3004" s="2" t="str">
        <f>IFERROR(__xludf.DUMMYFUNCTION("""COMPUTED_VALUE"""),"Tech")</f>
        <v>Tech</v>
      </c>
      <c r="C3004" s="2" t="str">
        <f>IFERROR(__xludf.DUMMYFUNCTION("""COMPUTED_VALUE"""),"Winter Sports")</f>
        <v>Winter Sports</v>
      </c>
      <c r="D3004" s="2" t="str">
        <f>IFERROR(__xludf.DUMMYFUNCTION("""COMPUTED_VALUE"""),"Northpoint Press")</f>
        <v>Northpoint Press</v>
      </c>
      <c r="E3004" s="2">
        <f>IFERROR(__xludf.DUMMYFUNCTION("""COMPUTED_VALUE"""),5.39)</f>
        <v>5.39</v>
      </c>
      <c r="F3004" s="2"/>
      <c r="G3004" s="2"/>
      <c r="H3004" s="2"/>
      <c r="I3004" s="2"/>
    </row>
    <row r="3005">
      <c r="A3005" s="2">
        <f>IFERROR(__xludf.DUMMYFUNCTION("""COMPUTED_VALUE"""),121873.0)</f>
        <v>121873</v>
      </c>
      <c r="B3005" s="2" t="str">
        <f>IFERROR(__xludf.DUMMYFUNCTION("""COMPUTED_VALUE"""),"Tech")</f>
        <v>Tech</v>
      </c>
      <c r="C3005" s="2" t="str">
        <f>IFERROR(__xludf.DUMMYFUNCTION("""COMPUTED_VALUE"""),"Winter Sports")</f>
        <v>Winter Sports</v>
      </c>
      <c r="D3005" s="2" t="str">
        <f>IFERROR(__xludf.DUMMYFUNCTION("""COMPUTED_VALUE"""),"Northpoint Press")</f>
        <v>Northpoint Press</v>
      </c>
      <c r="E3005" s="2">
        <f>IFERROR(__xludf.DUMMYFUNCTION("""COMPUTED_VALUE"""),5.8)</f>
        <v>5.8</v>
      </c>
      <c r="F3005" s="2"/>
      <c r="G3005" s="2"/>
      <c r="H3005" s="2"/>
      <c r="I3005" s="2"/>
    </row>
    <row r="3006">
      <c r="A3006" s="2">
        <f>IFERROR(__xludf.DUMMYFUNCTION("""COMPUTED_VALUE"""),108833.0)</f>
        <v>108833</v>
      </c>
      <c r="B3006" s="2" t="str">
        <f>IFERROR(__xludf.DUMMYFUNCTION("""COMPUTED_VALUE"""),"Tech")</f>
        <v>Tech</v>
      </c>
      <c r="C3006" s="2" t="str">
        <f>IFERROR(__xludf.DUMMYFUNCTION("""COMPUTED_VALUE"""),"Winter Sports")</f>
        <v>Winter Sports</v>
      </c>
      <c r="D3006" s="2" t="str">
        <f>IFERROR(__xludf.DUMMYFUNCTION("""COMPUTED_VALUE"""),"Northpoint Press")</f>
        <v>Northpoint Press</v>
      </c>
      <c r="E3006" s="2">
        <f>IFERROR(__xludf.DUMMYFUNCTION("""COMPUTED_VALUE"""),8.51)</f>
        <v>8.51</v>
      </c>
      <c r="F3006" s="2"/>
      <c r="G3006" s="2"/>
      <c r="H3006" s="2"/>
      <c r="I3006" s="2"/>
    </row>
    <row r="3007">
      <c r="A3007" s="2">
        <f>IFERROR(__xludf.DUMMYFUNCTION("""COMPUTED_VALUE"""),121882.0)</f>
        <v>121882</v>
      </c>
      <c r="B3007" s="2" t="str">
        <f>IFERROR(__xludf.DUMMYFUNCTION("""COMPUTED_VALUE"""),"Tech")</f>
        <v>Tech</v>
      </c>
      <c r="C3007" s="2" t="str">
        <f>IFERROR(__xludf.DUMMYFUNCTION("""COMPUTED_VALUE"""),"Winter Sports")</f>
        <v>Winter Sports</v>
      </c>
      <c r="D3007" s="2" t="str">
        <f>IFERROR(__xludf.DUMMYFUNCTION("""COMPUTED_VALUE"""),"Northpoint Press")</f>
        <v>Northpoint Press</v>
      </c>
      <c r="E3007" s="2">
        <f>IFERROR(__xludf.DUMMYFUNCTION("""COMPUTED_VALUE"""),6.04)</f>
        <v>6.04</v>
      </c>
      <c r="F3007" s="2"/>
      <c r="G3007" s="2"/>
      <c r="H3007" s="2"/>
      <c r="I3007" s="2"/>
    </row>
    <row r="3008">
      <c r="A3008" s="2">
        <f>IFERROR(__xludf.DUMMYFUNCTION("""COMPUTED_VALUE"""),91492.0)</f>
        <v>91492</v>
      </c>
      <c r="B3008" s="2" t="str">
        <f>IFERROR(__xludf.DUMMYFUNCTION("""COMPUTED_VALUE"""),"Tech")</f>
        <v>Tech</v>
      </c>
      <c r="C3008" s="2" t="str">
        <f>IFERROR(__xludf.DUMMYFUNCTION("""COMPUTED_VALUE"""),"Winter Sports")</f>
        <v>Winter Sports</v>
      </c>
      <c r="D3008" s="2" t="str">
        <f>IFERROR(__xludf.DUMMYFUNCTION("""COMPUTED_VALUE"""),"Northpoint Press")</f>
        <v>Northpoint Press</v>
      </c>
      <c r="E3008" s="2">
        <f>IFERROR(__xludf.DUMMYFUNCTION("""COMPUTED_VALUE"""),3.32)</f>
        <v>3.32</v>
      </c>
      <c r="F3008" s="2"/>
      <c r="G3008" s="2"/>
      <c r="H3008" s="2"/>
      <c r="I3008" s="2"/>
    </row>
    <row r="3009">
      <c r="A3009" s="2">
        <f>IFERROR(__xludf.DUMMYFUNCTION("""COMPUTED_VALUE"""),111392.0)</f>
        <v>111392</v>
      </c>
      <c r="B3009" s="2" t="str">
        <f>IFERROR(__xludf.DUMMYFUNCTION("""COMPUTED_VALUE"""),"Tech")</f>
        <v>Tech</v>
      </c>
      <c r="C3009" s="2" t="str">
        <f>IFERROR(__xludf.DUMMYFUNCTION("""COMPUTED_VALUE"""),"Winter Sports")</f>
        <v>Winter Sports</v>
      </c>
      <c r="D3009" s="2" t="str">
        <f>IFERROR(__xludf.DUMMYFUNCTION("""COMPUTED_VALUE"""),"Northpoint Press")</f>
        <v>Northpoint Press</v>
      </c>
      <c r="E3009" s="2">
        <f>IFERROR(__xludf.DUMMYFUNCTION("""COMPUTED_VALUE"""),6.5)</f>
        <v>6.5</v>
      </c>
      <c r="F3009" s="2"/>
      <c r="G3009" s="2"/>
      <c r="H3009" s="2"/>
      <c r="I3009" s="2"/>
    </row>
    <row r="3010">
      <c r="A3010" s="2">
        <f>IFERROR(__xludf.DUMMYFUNCTION("""COMPUTED_VALUE"""),108835.0)</f>
        <v>108835</v>
      </c>
      <c r="B3010" s="2" t="str">
        <f>IFERROR(__xludf.DUMMYFUNCTION("""COMPUTED_VALUE"""),"Tech")</f>
        <v>Tech</v>
      </c>
      <c r="C3010" s="2" t="str">
        <f>IFERROR(__xludf.DUMMYFUNCTION("""COMPUTED_VALUE"""),"Winter Sports")</f>
        <v>Winter Sports</v>
      </c>
      <c r="D3010" s="2" t="str">
        <f>IFERROR(__xludf.DUMMYFUNCTION("""COMPUTED_VALUE"""),"Northpoint Press")</f>
        <v>Northpoint Press</v>
      </c>
      <c r="E3010" s="2">
        <f>IFERROR(__xludf.DUMMYFUNCTION("""COMPUTED_VALUE"""),8.85)</f>
        <v>8.85</v>
      </c>
      <c r="F3010" s="2"/>
      <c r="G3010" s="2"/>
      <c r="H3010" s="2"/>
      <c r="I3010" s="2"/>
    </row>
    <row r="3011">
      <c r="A3011" s="2">
        <f>IFERROR(__xludf.DUMMYFUNCTION("""COMPUTED_VALUE"""),118111.0)</f>
        <v>118111</v>
      </c>
      <c r="B3011" s="2" t="str">
        <f>IFERROR(__xludf.DUMMYFUNCTION("""COMPUTED_VALUE"""),"Tech")</f>
        <v>Tech</v>
      </c>
      <c r="C3011" s="2" t="str">
        <f>IFERROR(__xludf.DUMMYFUNCTION("""COMPUTED_VALUE"""),"Winter Sports")</f>
        <v>Winter Sports</v>
      </c>
      <c r="D3011" s="2" t="str">
        <f>IFERROR(__xludf.DUMMYFUNCTION("""COMPUTED_VALUE"""),"Northpoint Press")</f>
        <v>Northpoint Press</v>
      </c>
      <c r="E3011" s="2">
        <f>IFERROR(__xludf.DUMMYFUNCTION("""COMPUTED_VALUE"""),5.17)</f>
        <v>5.17</v>
      </c>
      <c r="F3011" s="2"/>
      <c r="G3011" s="2"/>
      <c r="H3011" s="2"/>
      <c r="I3011" s="2"/>
    </row>
    <row r="3012">
      <c r="A3012" s="2">
        <f>IFERROR(__xludf.DUMMYFUNCTION("""COMPUTED_VALUE"""),121872.0)</f>
        <v>121872</v>
      </c>
      <c r="B3012" s="2" t="str">
        <f>IFERROR(__xludf.DUMMYFUNCTION("""COMPUTED_VALUE"""),"Tech")</f>
        <v>Tech</v>
      </c>
      <c r="C3012" s="2" t="str">
        <f>IFERROR(__xludf.DUMMYFUNCTION("""COMPUTED_VALUE"""),"Winter Sports")</f>
        <v>Winter Sports</v>
      </c>
      <c r="D3012" s="2" t="str">
        <f>IFERROR(__xludf.DUMMYFUNCTION("""COMPUTED_VALUE"""),"Northpoint Press")</f>
        <v>Northpoint Press</v>
      </c>
      <c r="E3012" s="2">
        <f>IFERROR(__xludf.DUMMYFUNCTION("""COMPUTED_VALUE"""),5.76)</f>
        <v>5.76</v>
      </c>
      <c r="F3012" s="2"/>
      <c r="G3012" s="2"/>
      <c r="H3012" s="2"/>
      <c r="I3012" s="2"/>
    </row>
    <row r="3013">
      <c r="A3013" s="2">
        <f>IFERROR(__xludf.DUMMYFUNCTION("""COMPUTED_VALUE"""),112885.0)</f>
        <v>112885</v>
      </c>
      <c r="B3013" s="2" t="str">
        <f>IFERROR(__xludf.DUMMYFUNCTION("""COMPUTED_VALUE"""),"Tech")</f>
        <v>Tech</v>
      </c>
      <c r="C3013" s="2" t="str">
        <f>IFERROR(__xludf.DUMMYFUNCTION("""COMPUTED_VALUE"""),"Winter Sports")</f>
        <v>Winter Sports</v>
      </c>
      <c r="D3013" s="2" t="str">
        <f>IFERROR(__xludf.DUMMYFUNCTION("""COMPUTED_VALUE"""),"Northpoint Press")</f>
        <v>Northpoint Press</v>
      </c>
      <c r="E3013" s="2">
        <f>IFERROR(__xludf.DUMMYFUNCTION("""COMPUTED_VALUE"""),8.83)</f>
        <v>8.83</v>
      </c>
      <c r="F3013" s="2"/>
      <c r="G3013" s="2"/>
      <c r="H3013" s="2"/>
      <c r="I3013" s="2"/>
    </row>
    <row r="3014">
      <c r="A3014" s="2">
        <f>IFERROR(__xludf.DUMMYFUNCTION("""COMPUTED_VALUE"""),108738.0)</f>
        <v>108738</v>
      </c>
      <c r="B3014" s="2" t="str">
        <f>IFERROR(__xludf.DUMMYFUNCTION("""COMPUTED_VALUE"""),"Tech")</f>
        <v>Tech</v>
      </c>
      <c r="C3014" s="2" t="str">
        <f>IFERROR(__xludf.DUMMYFUNCTION("""COMPUTED_VALUE"""),"Winter Sports")</f>
        <v>Winter Sports</v>
      </c>
      <c r="D3014" s="2" t="str">
        <f>IFERROR(__xludf.DUMMYFUNCTION("""COMPUTED_VALUE"""),"Northpoint Press")</f>
        <v>Northpoint Press</v>
      </c>
      <c r="E3014" s="2">
        <f>IFERROR(__xludf.DUMMYFUNCTION("""COMPUTED_VALUE"""),8.9)</f>
        <v>8.9</v>
      </c>
      <c r="F3014" s="2"/>
      <c r="G3014" s="2"/>
      <c r="H3014" s="2"/>
      <c r="I3014" s="2"/>
    </row>
    <row r="3015">
      <c r="A3015" s="2">
        <f>IFERROR(__xludf.DUMMYFUNCTION("""COMPUTED_VALUE"""),21338.0)</f>
        <v>21338</v>
      </c>
      <c r="B3015" s="2" t="str">
        <f>IFERROR(__xludf.DUMMYFUNCTION("""COMPUTED_VALUE"""),"Tech")</f>
        <v>Tech</v>
      </c>
      <c r="C3015" s="2" t="str">
        <f>IFERROR(__xludf.DUMMYFUNCTION("""COMPUTED_VALUE"""),"Winter Sports")</f>
        <v>Winter Sports</v>
      </c>
      <c r="D3015" s="2" t="str">
        <f>IFERROR(__xludf.DUMMYFUNCTION("""COMPUTED_VALUE"""),"Northpoint Press")</f>
        <v>Northpoint Press</v>
      </c>
      <c r="E3015" s="2">
        <f>IFERROR(__xludf.DUMMYFUNCTION("""COMPUTED_VALUE"""),5.67)</f>
        <v>5.67</v>
      </c>
      <c r="F3015" s="2"/>
      <c r="G3015" s="2"/>
      <c r="H3015" s="2"/>
      <c r="I3015" s="2"/>
    </row>
    <row r="3016">
      <c r="A3016" s="2">
        <f>IFERROR(__xludf.DUMMYFUNCTION("""COMPUTED_VALUE"""),76513.0)</f>
        <v>76513</v>
      </c>
      <c r="B3016" s="2" t="str">
        <f>IFERROR(__xludf.DUMMYFUNCTION("""COMPUTED_VALUE"""),"Tech")</f>
        <v>Tech</v>
      </c>
      <c r="C3016" s="2" t="str">
        <f>IFERROR(__xludf.DUMMYFUNCTION("""COMPUTED_VALUE"""),"Winter Sports")</f>
        <v>Winter Sports</v>
      </c>
      <c r="D3016" s="2" t="str">
        <f>IFERROR(__xludf.DUMMYFUNCTION("""COMPUTED_VALUE"""),"Northpoint Press")</f>
        <v>Northpoint Press</v>
      </c>
      <c r="E3016" s="2">
        <f>IFERROR(__xludf.DUMMYFUNCTION("""COMPUTED_VALUE"""),5.68)</f>
        <v>5.68</v>
      </c>
      <c r="F3016" s="2"/>
      <c r="G3016" s="2"/>
      <c r="H3016" s="2"/>
      <c r="I3016" s="2"/>
    </row>
    <row r="3017">
      <c r="A3017" s="2">
        <f>IFERROR(__xludf.DUMMYFUNCTION("""COMPUTED_VALUE"""),76514.0)</f>
        <v>76514</v>
      </c>
      <c r="B3017" s="2" t="str">
        <f>IFERROR(__xludf.DUMMYFUNCTION("""COMPUTED_VALUE"""),"Tech")</f>
        <v>Tech</v>
      </c>
      <c r="C3017" s="2" t="str">
        <f>IFERROR(__xludf.DUMMYFUNCTION("""COMPUTED_VALUE"""),"Winter Sports")</f>
        <v>Winter Sports</v>
      </c>
      <c r="D3017" s="2" t="str">
        <f>IFERROR(__xludf.DUMMYFUNCTION("""COMPUTED_VALUE"""),"Northpoint Press")</f>
        <v>Northpoint Press</v>
      </c>
      <c r="E3017" s="2">
        <f>IFERROR(__xludf.DUMMYFUNCTION("""COMPUTED_VALUE"""),6.08)</f>
        <v>6.08</v>
      </c>
      <c r="F3017" s="2"/>
      <c r="G3017" s="2"/>
      <c r="H3017" s="2"/>
      <c r="I3017" s="2"/>
    </row>
    <row r="3018">
      <c r="A3018" s="2">
        <f>IFERROR(__xludf.DUMMYFUNCTION("""COMPUTED_VALUE"""),21339.0)</f>
        <v>21339</v>
      </c>
      <c r="B3018" s="2" t="str">
        <f>IFERROR(__xludf.DUMMYFUNCTION("""COMPUTED_VALUE"""),"Tech")</f>
        <v>Tech</v>
      </c>
      <c r="C3018" s="2" t="str">
        <f>IFERROR(__xludf.DUMMYFUNCTION("""COMPUTED_VALUE"""),"Winter Sports")</f>
        <v>Winter Sports</v>
      </c>
      <c r="D3018" s="2" t="str">
        <f>IFERROR(__xludf.DUMMYFUNCTION("""COMPUTED_VALUE"""),"Northpoint Press")</f>
        <v>Northpoint Press</v>
      </c>
      <c r="E3018" s="2">
        <f>IFERROR(__xludf.DUMMYFUNCTION("""COMPUTED_VALUE"""),5.59)</f>
        <v>5.59</v>
      </c>
      <c r="F3018" s="2"/>
      <c r="G3018" s="2"/>
      <c r="H3018" s="2"/>
      <c r="I3018" s="2"/>
    </row>
    <row r="3019">
      <c r="A3019" s="2">
        <f>IFERROR(__xludf.DUMMYFUNCTION("""COMPUTED_VALUE"""),75436.0)</f>
        <v>75436</v>
      </c>
      <c r="B3019" s="2" t="str">
        <f>IFERROR(__xludf.DUMMYFUNCTION("""COMPUTED_VALUE"""),"Tech")</f>
        <v>Tech</v>
      </c>
      <c r="C3019" s="2" t="str">
        <f>IFERROR(__xludf.DUMMYFUNCTION("""COMPUTED_VALUE"""),"Winter Sports")</f>
        <v>Winter Sports</v>
      </c>
      <c r="D3019" s="2" t="str">
        <f>IFERROR(__xludf.DUMMYFUNCTION("""COMPUTED_VALUE"""),"Northpoint Press")</f>
        <v>Northpoint Press</v>
      </c>
      <c r="E3019" s="2">
        <f>IFERROR(__xludf.DUMMYFUNCTION("""COMPUTED_VALUE"""),6.33)</f>
        <v>6.33</v>
      </c>
      <c r="F3019" s="2"/>
      <c r="G3019" s="2"/>
      <c r="H3019" s="2"/>
      <c r="I3019" s="2"/>
    </row>
    <row r="3020">
      <c r="A3020" s="2">
        <f>IFERROR(__xludf.DUMMYFUNCTION("""COMPUTED_VALUE"""),84092.0)</f>
        <v>84092</v>
      </c>
      <c r="B3020" s="2" t="str">
        <f>IFERROR(__xludf.DUMMYFUNCTION("""COMPUTED_VALUE"""),"Tech")</f>
        <v>Tech</v>
      </c>
      <c r="C3020" s="2" t="str">
        <f>IFERROR(__xludf.DUMMYFUNCTION("""COMPUTED_VALUE"""),"Winter Sports")</f>
        <v>Winter Sports</v>
      </c>
      <c r="D3020" s="2" t="str">
        <f>IFERROR(__xludf.DUMMYFUNCTION("""COMPUTED_VALUE"""),"Northpoint Press")</f>
        <v>Northpoint Press</v>
      </c>
      <c r="E3020" s="2">
        <f>IFERROR(__xludf.DUMMYFUNCTION("""COMPUTED_VALUE"""),5.86)</f>
        <v>5.86</v>
      </c>
      <c r="F3020" s="2"/>
      <c r="G3020" s="2"/>
      <c r="H3020" s="2"/>
      <c r="I3020" s="2"/>
    </row>
    <row r="3021">
      <c r="A3021" s="2">
        <f>IFERROR(__xludf.DUMMYFUNCTION("""COMPUTED_VALUE"""),86943.0)</f>
        <v>86943</v>
      </c>
      <c r="B3021" s="2" t="str">
        <f>IFERROR(__xludf.DUMMYFUNCTION("""COMPUTED_VALUE"""),"Tech")</f>
        <v>Tech</v>
      </c>
      <c r="C3021" s="2" t="str">
        <f>IFERROR(__xludf.DUMMYFUNCTION("""COMPUTED_VALUE"""),"Winter Sports")</f>
        <v>Winter Sports</v>
      </c>
      <c r="D3021" s="2" t="str">
        <f>IFERROR(__xludf.DUMMYFUNCTION("""COMPUTED_VALUE"""),"Northpoint Press")</f>
        <v>Northpoint Press</v>
      </c>
      <c r="E3021" s="2">
        <f>IFERROR(__xludf.DUMMYFUNCTION("""COMPUTED_VALUE"""),6.34)</f>
        <v>6.34</v>
      </c>
      <c r="F3021" s="2"/>
      <c r="G3021" s="2"/>
      <c r="H3021" s="2"/>
      <c r="I3021" s="2"/>
    </row>
    <row r="3022">
      <c r="A3022" s="2">
        <f>IFERROR(__xludf.DUMMYFUNCTION("""COMPUTED_VALUE"""),8688.0)</f>
        <v>8688</v>
      </c>
      <c r="B3022" s="2" t="str">
        <f>IFERROR(__xludf.DUMMYFUNCTION("""COMPUTED_VALUE"""),"Tech")</f>
        <v>Tech</v>
      </c>
      <c r="C3022" s="2" t="str">
        <f>IFERROR(__xludf.DUMMYFUNCTION("""COMPUTED_VALUE"""),"Winter Sports")</f>
        <v>Winter Sports</v>
      </c>
      <c r="D3022" s="2" t="str">
        <f>IFERROR(__xludf.DUMMYFUNCTION("""COMPUTED_VALUE"""),"Harborpoint Publishing")</f>
        <v>Harborpoint Publishing</v>
      </c>
      <c r="E3022" s="2">
        <f>IFERROR(__xludf.DUMMYFUNCTION("""COMPUTED_VALUE"""),7.21)</f>
        <v>7.21</v>
      </c>
      <c r="F3022" s="2"/>
      <c r="G3022" s="2"/>
      <c r="H3022" s="2"/>
      <c r="I3022" s="2"/>
    </row>
    <row r="3023">
      <c r="A3023" s="2">
        <f>IFERROR(__xludf.DUMMYFUNCTION("""COMPUTED_VALUE"""),117967.0)</f>
        <v>117967</v>
      </c>
      <c r="B3023" s="2" t="str">
        <f>IFERROR(__xludf.DUMMYFUNCTION("""COMPUTED_VALUE"""),"Tech")</f>
        <v>Tech</v>
      </c>
      <c r="C3023" s="2" t="str">
        <f>IFERROR(__xludf.DUMMYFUNCTION("""COMPUTED_VALUE"""),"Winter Sports")</f>
        <v>Winter Sports</v>
      </c>
      <c r="D3023" s="2" t="str">
        <f>IFERROR(__xludf.DUMMYFUNCTION("""COMPUTED_VALUE"""),"Harborpoint Publishing")</f>
        <v>Harborpoint Publishing</v>
      </c>
      <c r="E3023" s="2">
        <f>IFERROR(__xludf.DUMMYFUNCTION("""COMPUTED_VALUE"""),8.47)</f>
        <v>8.47</v>
      </c>
      <c r="F3023" s="2"/>
      <c r="G3023" s="2"/>
      <c r="H3023" s="2"/>
      <c r="I3023" s="2"/>
    </row>
    <row r="3024">
      <c r="A3024" s="2">
        <f>IFERROR(__xludf.DUMMYFUNCTION("""COMPUTED_VALUE"""),23061.0)</f>
        <v>23061</v>
      </c>
      <c r="B3024" s="2" t="str">
        <f>IFERROR(__xludf.DUMMYFUNCTION("""COMPUTED_VALUE"""),"Tech")</f>
        <v>Tech</v>
      </c>
      <c r="C3024" s="2" t="str">
        <f>IFERROR(__xludf.DUMMYFUNCTION("""COMPUTED_VALUE"""),"Winter Sports")</f>
        <v>Winter Sports</v>
      </c>
      <c r="D3024" s="2" t="str">
        <f>IFERROR(__xludf.DUMMYFUNCTION("""COMPUTED_VALUE"""),"Harborpoint Publishing")</f>
        <v>Harborpoint Publishing</v>
      </c>
      <c r="E3024" s="2">
        <f>IFERROR(__xludf.DUMMYFUNCTION("""COMPUTED_VALUE"""),2.92)</f>
        <v>2.92</v>
      </c>
      <c r="F3024" s="2"/>
      <c r="G3024" s="2"/>
      <c r="H3024" s="2"/>
      <c r="I3024" s="2"/>
    </row>
    <row r="3025">
      <c r="A3025" s="2">
        <f>IFERROR(__xludf.DUMMYFUNCTION("""COMPUTED_VALUE"""),10688.0)</f>
        <v>10688</v>
      </c>
      <c r="B3025" s="2" t="str">
        <f>IFERROR(__xludf.DUMMYFUNCTION("""COMPUTED_VALUE"""),"Tech")</f>
        <v>Tech</v>
      </c>
      <c r="C3025" s="2" t="str">
        <f>IFERROR(__xludf.DUMMYFUNCTION("""COMPUTED_VALUE"""),"Winter Sports")</f>
        <v>Winter Sports</v>
      </c>
      <c r="D3025" s="2" t="str">
        <f>IFERROR(__xludf.DUMMYFUNCTION("""COMPUTED_VALUE"""),"Harborpoint Publishing")</f>
        <v>Harborpoint Publishing</v>
      </c>
      <c r="E3025" s="2">
        <f>IFERROR(__xludf.DUMMYFUNCTION("""COMPUTED_VALUE"""),6.5)</f>
        <v>6.5</v>
      </c>
      <c r="F3025" s="2"/>
      <c r="G3025" s="2"/>
      <c r="H3025" s="2"/>
      <c r="I3025" s="2"/>
    </row>
    <row r="3026">
      <c r="A3026" s="2">
        <f>IFERROR(__xludf.DUMMYFUNCTION("""COMPUTED_VALUE"""),8690.0)</f>
        <v>8690</v>
      </c>
      <c r="B3026" s="2" t="str">
        <f>IFERROR(__xludf.DUMMYFUNCTION("""COMPUTED_VALUE"""),"Tech")</f>
        <v>Tech</v>
      </c>
      <c r="C3026" s="2" t="str">
        <f>IFERROR(__xludf.DUMMYFUNCTION("""COMPUTED_VALUE"""),"Winter Sports")</f>
        <v>Winter Sports</v>
      </c>
      <c r="D3026" s="2" t="str">
        <f>IFERROR(__xludf.DUMMYFUNCTION("""COMPUTED_VALUE"""),"Harborpoint Publishing")</f>
        <v>Harborpoint Publishing</v>
      </c>
      <c r="E3026" s="2">
        <f>IFERROR(__xludf.DUMMYFUNCTION("""COMPUTED_VALUE"""),7.44)</f>
        <v>7.44</v>
      </c>
      <c r="F3026" s="2"/>
      <c r="G3026" s="2"/>
      <c r="H3026" s="2"/>
      <c r="I3026" s="2"/>
    </row>
    <row r="3027">
      <c r="A3027" s="2">
        <f>IFERROR(__xludf.DUMMYFUNCTION("""COMPUTED_VALUE"""),79808.0)</f>
        <v>79808</v>
      </c>
      <c r="B3027" s="2" t="str">
        <f>IFERROR(__xludf.DUMMYFUNCTION("""COMPUTED_VALUE"""),"Tech")</f>
        <v>Tech</v>
      </c>
      <c r="C3027" s="2" t="str">
        <f>IFERROR(__xludf.DUMMYFUNCTION("""COMPUTED_VALUE"""),"Winter Sports")</f>
        <v>Winter Sports</v>
      </c>
      <c r="D3027" s="2" t="str">
        <f>IFERROR(__xludf.DUMMYFUNCTION("""COMPUTED_VALUE"""),"Cedarpoint Books")</f>
        <v>Cedarpoint Books</v>
      </c>
      <c r="E3027" s="2">
        <f>IFERROR(__xludf.DUMMYFUNCTION("""COMPUTED_VALUE"""),4.44)</f>
        <v>4.44</v>
      </c>
      <c r="F3027" s="2"/>
      <c r="G3027" s="2"/>
      <c r="H3027" s="2"/>
      <c r="I3027" s="2"/>
    </row>
    <row r="3028">
      <c r="A3028" s="2">
        <f>IFERROR(__xludf.DUMMYFUNCTION("""COMPUTED_VALUE"""),44797.0)</f>
        <v>44797</v>
      </c>
      <c r="B3028" s="2" t="str">
        <f>IFERROR(__xludf.DUMMYFUNCTION("""COMPUTED_VALUE"""),"Tech")</f>
        <v>Tech</v>
      </c>
      <c r="C3028" s="2" t="str">
        <f>IFERROR(__xludf.DUMMYFUNCTION("""COMPUTED_VALUE"""),"Winter Sports")</f>
        <v>Winter Sports</v>
      </c>
      <c r="D3028" s="2" t="str">
        <f>IFERROR(__xludf.DUMMYFUNCTION("""COMPUTED_VALUE"""),"Cedarpoint Books")</f>
        <v>Cedarpoint Books</v>
      </c>
      <c r="E3028" s="2">
        <f>IFERROR(__xludf.DUMMYFUNCTION("""COMPUTED_VALUE"""),6.45)</f>
        <v>6.45</v>
      </c>
      <c r="F3028" s="2"/>
      <c r="G3028" s="2"/>
      <c r="H3028" s="2"/>
      <c r="I3028" s="2"/>
    </row>
    <row r="3029">
      <c r="A3029" s="2">
        <f>IFERROR(__xludf.DUMMYFUNCTION("""COMPUTED_VALUE"""),79807.0)</f>
        <v>79807</v>
      </c>
      <c r="B3029" s="2" t="str">
        <f>IFERROR(__xludf.DUMMYFUNCTION("""COMPUTED_VALUE"""),"Tech")</f>
        <v>Tech</v>
      </c>
      <c r="C3029" s="2" t="str">
        <f>IFERROR(__xludf.DUMMYFUNCTION("""COMPUTED_VALUE"""),"Winter Sports")</f>
        <v>Winter Sports</v>
      </c>
      <c r="D3029" s="2" t="str">
        <f>IFERROR(__xludf.DUMMYFUNCTION("""COMPUTED_VALUE"""),"Cedarpoint Books")</f>
        <v>Cedarpoint Books</v>
      </c>
      <c r="E3029" s="2">
        <f>IFERROR(__xludf.DUMMYFUNCTION("""COMPUTED_VALUE"""),4.63)</f>
        <v>4.63</v>
      </c>
      <c r="F3029" s="2"/>
      <c r="G3029" s="2"/>
      <c r="H3029" s="2"/>
      <c r="I3029" s="2"/>
    </row>
    <row r="3030">
      <c r="A3030" s="2">
        <f>IFERROR(__xludf.DUMMYFUNCTION("""COMPUTED_VALUE"""),11426.0)</f>
        <v>11426</v>
      </c>
      <c r="B3030" s="2" t="str">
        <f>IFERROR(__xludf.DUMMYFUNCTION("""COMPUTED_VALUE"""),"Tech")</f>
        <v>Tech</v>
      </c>
      <c r="C3030" s="2" t="str">
        <f>IFERROR(__xludf.DUMMYFUNCTION("""COMPUTED_VALUE"""),"Winter Sports")</f>
        <v>Winter Sports</v>
      </c>
      <c r="D3030" s="2" t="str">
        <f>IFERROR(__xludf.DUMMYFUNCTION("""COMPUTED_VALUE"""),"Cedarpoint Books")</f>
        <v>Cedarpoint Books</v>
      </c>
      <c r="E3030" s="2">
        <f>IFERROR(__xludf.DUMMYFUNCTION("""COMPUTED_VALUE"""),7.77)</f>
        <v>7.77</v>
      </c>
      <c r="F3030" s="2"/>
      <c r="G3030" s="2"/>
      <c r="H3030" s="2"/>
      <c r="I3030" s="2"/>
    </row>
    <row r="3031">
      <c r="A3031" s="2">
        <f>IFERROR(__xludf.DUMMYFUNCTION("""COMPUTED_VALUE"""),45059.0)</f>
        <v>45059</v>
      </c>
      <c r="B3031" s="2" t="str">
        <f>IFERROR(__xludf.DUMMYFUNCTION("""COMPUTED_VALUE"""),"Tech")</f>
        <v>Tech</v>
      </c>
      <c r="C3031" s="2" t="str">
        <f>IFERROR(__xludf.DUMMYFUNCTION("""COMPUTED_VALUE"""),"Winter Sports")</f>
        <v>Winter Sports</v>
      </c>
      <c r="D3031" s="2" t="str">
        <f>IFERROR(__xludf.DUMMYFUNCTION("""COMPUTED_VALUE"""),"Cedarpoint Books")</f>
        <v>Cedarpoint Books</v>
      </c>
      <c r="E3031" s="2">
        <f>IFERROR(__xludf.DUMMYFUNCTION("""COMPUTED_VALUE"""),6.61)</f>
        <v>6.61</v>
      </c>
      <c r="F3031" s="2"/>
      <c r="G3031" s="2"/>
      <c r="H3031" s="2"/>
      <c r="I3031" s="2"/>
    </row>
    <row r="3032">
      <c r="A3032" s="2">
        <f>IFERROR(__xludf.DUMMYFUNCTION("""COMPUTED_VALUE"""),200582.0)</f>
        <v>200582</v>
      </c>
      <c r="B3032" s="2" t="str">
        <f>IFERROR(__xludf.DUMMYFUNCTION("""COMPUTED_VALUE"""),"Tech")</f>
        <v>Tech</v>
      </c>
      <c r="C3032" s="2" t="str">
        <f>IFERROR(__xludf.DUMMYFUNCTION("""COMPUTED_VALUE"""),"Winter Sports")</f>
        <v>Winter Sports</v>
      </c>
      <c r="D3032" s="2" t="str">
        <f>IFERROR(__xludf.DUMMYFUNCTION("""COMPUTED_VALUE"""),"Cedarpoint Books")</f>
        <v>Cedarpoint Books</v>
      </c>
      <c r="E3032" s="2">
        <f>IFERROR(__xludf.DUMMYFUNCTION("""COMPUTED_VALUE"""),5.38)</f>
        <v>5.38</v>
      </c>
      <c r="F3032" s="2"/>
      <c r="G3032" s="2"/>
      <c r="H3032" s="2"/>
      <c r="I3032" s="2"/>
    </row>
    <row r="3033">
      <c r="A3033" s="2">
        <f>IFERROR(__xludf.DUMMYFUNCTION("""COMPUTED_VALUE"""),143825.0)</f>
        <v>143825</v>
      </c>
      <c r="B3033" s="2" t="str">
        <f>IFERROR(__xludf.DUMMYFUNCTION("""COMPUTED_VALUE"""),"Tech")</f>
        <v>Tech</v>
      </c>
      <c r="C3033" s="2" t="str">
        <f>IFERROR(__xludf.DUMMYFUNCTION("""COMPUTED_VALUE"""),"Winter Sports")</f>
        <v>Winter Sports</v>
      </c>
      <c r="D3033" s="2" t="str">
        <f>IFERROR(__xludf.DUMMYFUNCTION("""COMPUTED_VALUE"""),"Cedarpoint Books")</f>
        <v>Cedarpoint Books</v>
      </c>
      <c r="E3033" s="2">
        <f>IFERROR(__xludf.DUMMYFUNCTION("""COMPUTED_VALUE"""),6.64)</f>
        <v>6.64</v>
      </c>
      <c r="F3033" s="2"/>
      <c r="G3033" s="2"/>
      <c r="H3033" s="2"/>
      <c r="I3033" s="2"/>
    </row>
    <row r="3034">
      <c r="A3034" s="2">
        <f>IFERROR(__xludf.DUMMYFUNCTION("""COMPUTED_VALUE"""),85232.0)</f>
        <v>85232</v>
      </c>
      <c r="B3034" s="2" t="str">
        <f>IFERROR(__xludf.DUMMYFUNCTION("""COMPUTED_VALUE"""),"Tech")</f>
        <v>Tech</v>
      </c>
      <c r="C3034" s="2" t="str">
        <f>IFERROR(__xludf.DUMMYFUNCTION("""COMPUTED_VALUE"""),"Winter Sports")</f>
        <v>Winter Sports</v>
      </c>
      <c r="D3034" s="2" t="str">
        <f>IFERROR(__xludf.DUMMYFUNCTION("""COMPUTED_VALUE"""),"Cedarpoint Books")</f>
        <v>Cedarpoint Books</v>
      </c>
      <c r="E3034" s="2">
        <f>IFERROR(__xludf.DUMMYFUNCTION("""COMPUTED_VALUE"""),4.54)</f>
        <v>4.54</v>
      </c>
      <c r="F3034" s="2"/>
      <c r="G3034" s="2"/>
      <c r="H3034" s="2"/>
      <c r="I3034" s="2"/>
    </row>
    <row r="3035">
      <c r="A3035" s="2">
        <f>IFERROR(__xludf.DUMMYFUNCTION("""COMPUTED_VALUE"""),79806.0)</f>
        <v>79806</v>
      </c>
      <c r="B3035" s="2" t="str">
        <f>IFERROR(__xludf.DUMMYFUNCTION("""COMPUTED_VALUE"""),"Tech")</f>
        <v>Tech</v>
      </c>
      <c r="C3035" s="2" t="str">
        <f>IFERROR(__xludf.DUMMYFUNCTION("""COMPUTED_VALUE"""),"Winter Sports")</f>
        <v>Winter Sports</v>
      </c>
      <c r="D3035" s="2" t="str">
        <f>IFERROR(__xludf.DUMMYFUNCTION("""COMPUTED_VALUE"""),"Cedarpoint Books")</f>
        <v>Cedarpoint Books</v>
      </c>
      <c r="E3035" s="2">
        <f>IFERROR(__xludf.DUMMYFUNCTION("""COMPUTED_VALUE"""),4.34)</f>
        <v>4.34</v>
      </c>
      <c r="F3035" s="2"/>
      <c r="G3035" s="2"/>
      <c r="H3035" s="2"/>
      <c r="I3035" s="2"/>
    </row>
    <row r="3036">
      <c r="A3036" s="2">
        <f>IFERROR(__xludf.DUMMYFUNCTION("""COMPUTED_VALUE"""),46991.0)</f>
        <v>46991</v>
      </c>
      <c r="B3036" s="2" t="str">
        <f>IFERROR(__xludf.DUMMYFUNCTION("""COMPUTED_VALUE"""),"Tech")</f>
        <v>Tech</v>
      </c>
      <c r="C3036" s="2" t="str">
        <f>IFERROR(__xludf.DUMMYFUNCTION("""COMPUTED_VALUE"""),"Winter Sports")</f>
        <v>Winter Sports</v>
      </c>
      <c r="D3036" s="2" t="str">
        <f>IFERROR(__xludf.DUMMYFUNCTION("""COMPUTED_VALUE"""),"Cedarpoint Books")</f>
        <v>Cedarpoint Books</v>
      </c>
      <c r="E3036" s="2">
        <f>IFERROR(__xludf.DUMMYFUNCTION("""COMPUTED_VALUE"""),3.78)</f>
        <v>3.78</v>
      </c>
      <c r="F3036" s="2"/>
      <c r="G3036" s="2"/>
      <c r="H3036" s="2"/>
      <c r="I3036" s="2"/>
    </row>
    <row r="3037">
      <c r="A3037" s="2">
        <f>IFERROR(__xludf.DUMMYFUNCTION("""COMPUTED_VALUE"""),69360.0)</f>
        <v>69360</v>
      </c>
      <c r="B3037" s="2" t="str">
        <f>IFERROR(__xludf.DUMMYFUNCTION("""COMPUTED_VALUE"""),"Tech")</f>
        <v>Tech</v>
      </c>
      <c r="C3037" s="2" t="str">
        <f>IFERROR(__xludf.DUMMYFUNCTION("""COMPUTED_VALUE"""),"Winter Sports")</f>
        <v>Winter Sports</v>
      </c>
      <c r="D3037" s="2" t="str">
        <f>IFERROR(__xludf.DUMMYFUNCTION("""COMPUTED_VALUE"""),"Cedarpoint Books")</f>
        <v>Cedarpoint Books</v>
      </c>
      <c r="E3037" s="2">
        <f>IFERROR(__xludf.DUMMYFUNCTION("""COMPUTED_VALUE"""),5.88)</f>
        <v>5.88</v>
      </c>
      <c r="F3037" s="2"/>
      <c r="G3037" s="2"/>
      <c r="H3037" s="2"/>
      <c r="I3037" s="2"/>
    </row>
    <row r="3038">
      <c r="A3038" s="2">
        <f>IFERROR(__xludf.DUMMYFUNCTION("""COMPUTED_VALUE"""),110441.0)</f>
        <v>110441</v>
      </c>
      <c r="B3038" s="2" t="str">
        <f>IFERROR(__xludf.DUMMYFUNCTION("""COMPUTED_VALUE"""),"Tech")</f>
        <v>Tech</v>
      </c>
      <c r="C3038" s="2" t="str">
        <f>IFERROR(__xludf.DUMMYFUNCTION("""COMPUTED_VALUE"""),"Winter Sports")</f>
        <v>Winter Sports</v>
      </c>
      <c r="D3038" s="2" t="str">
        <f>IFERROR(__xludf.DUMMYFUNCTION("""COMPUTED_VALUE"""),"Cedarpoint Books")</f>
        <v>Cedarpoint Books</v>
      </c>
      <c r="E3038" s="2">
        <f>IFERROR(__xludf.DUMMYFUNCTION("""COMPUTED_VALUE"""),4.18)</f>
        <v>4.18</v>
      </c>
      <c r="F3038" s="2"/>
      <c r="G3038" s="2"/>
      <c r="H3038" s="2"/>
      <c r="I3038" s="2"/>
    </row>
    <row r="3039">
      <c r="A3039" s="2">
        <f>IFERROR(__xludf.DUMMYFUNCTION("""COMPUTED_VALUE"""),120781.0)</f>
        <v>120781</v>
      </c>
      <c r="B3039" s="2" t="str">
        <f>IFERROR(__xludf.DUMMYFUNCTION("""COMPUTED_VALUE"""),"Tech")</f>
        <v>Tech</v>
      </c>
      <c r="C3039" s="2" t="str">
        <f>IFERROR(__xludf.DUMMYFUNCTION("""COMPUTED_VALUE"""),"Winter Sports")</f>
        <v>Winter Sports</v>
      </c>
      <c r="D3039" s="2" t="str">
        <f>IFERROR(__xludf.DUMMYFUNCTION("""COMPUTED_VALUE"""),"Cedarpoint Books")</f>
        <v>Cedarpoint Books</v>
      </c>
      <c r="E3039" s="2">
        <f>IFERROR(__xludf.DUMMYFUNCTION("""COMPUTED_VALUE"""),3.13)</f>
        <v>3.13</v>
      </c>
      <c r="F3039" s="2"/>
      <c r="G3039" s="2"/>
      <c r="H3039" s="2"/>
      <c r="I3039" s="2"/>
    </row>
    <row r="3040">
      <c r="A3040" s="2">
        <f>IFERROR(__xludf.DUMMYFUNCTION("""COMPUTED_VALUE"""),79809.0)</f>
        <v>79809</v>
      </c>
      <c r="B3040" s="2" t="str">
        <f>IFERROR(__xludf.DUMMYFUNCTION("""COMPUTED_VALUE"""),"Tech")</f>
        <v>Tech</v>
      </c>
      <c r="C3040" s="2" t="str">
        <f>IFERROR(__xludf.DUMMYFUNCTION("""COMPUTED_VALUE"""),"Winter Sports")</f>
        <v>Winter Sports</v>
      </c>
      <c r="D3040" s="2" t="str">
        <f>IFERROR(__xludf.DUMMYFUNCTION("""COMPUTED_VALUE"""),"Cedarpoint Books")</f>
        <v>Cedarpoint Books</v>
      </c>
      <c r="E3040" s="2">
        <f>IFERROR(__xludf.DUMMYFUNCTION("""COMPUTED_VALUE"""),4.19)</f>
        <v>4.19</v>
      </c>
      <c r="F3040" s="2"/>
      <c r="G3040" s="2"/>
      <c r="H3040" s="2"/>
      <c r="I3040" s="2"/>
    </row>
    <row r="3041">
      <c r="A3041" s="2">
        <f>IFERROR(__xludf.DUMMYFUNCTION("""COMPUTED_VALUE"""),45057.0)</f>
        <v>45057</v>
      </c>
      <c r="B3041" s="2" t="str">
        <f>IFERROR(__xludf.DUMMYFUNCTION("""COMPUTED_VALUE"""),"Tech")</f>
        <v>Tech</v>
      </c>
      <c r="C3041" s="2" t="str">
        <f>IFERROR(__xludf.DUMMYFUNCTION("""COMPUTED_VALUE"""),"Winter Sports")</f>
        <v>Winter Sports</v>
      </c>
      <c r="D3041" s="2" t="str">
        <f>IFERROR(__xludf.DUMMYFUNCTION("""COMPUTED_VALUE"""),"Cedarpoint Books")</f>
        <v>Cedarpoint Books</v>
      </c>
      <c r="E3041" s="2">
        <f>IFERROR(__xludf.DUMMYFUNCTION("""COMPUTED_VALUE"""),6.64)</f>
        <v>6.64</v>
      </c>
      <c r="F3041" s="2"/>
      <c r="G3041" s="2"/>
      <c r="H3041" s="2"/>
      <c r="I3041" s="2"/>
    </row>
    <row r="3042">
      <c r="A3042" s="2">
        <f>IFERROR(__xludf.DUMMYFUNCTION("""COMPUTED_VALUE"""),79805.0)</f>
        <v>79805</v>
      </c>
      <c r="B3042" s="2" t="str">
        <f>IFERROR(__xludf.DUMMYFUNCTION("""COMPUTED_VALUE"""),"Tech")</f>
        <v>Tech</v>
      </c>
      <c r="C3042" s="2" t="str">
        <f>IFERROR(__xludf.DUMMYFUNCTION("""COMPUTED_VALUE"""),"Winter Sports")</f>
        <v>Winter Sports</v>
      </c>
      <c r="D3042" s="2" t="str">
        <f>IFERROR(__xludf.DUMMYFUNCTION("""COMPUTED_VALUE"""),"Cedarpoint Books")</f>
        <v>Cedarpoint Books</v>
      </c>
      <c r="E3042" s="2">
        <f>IFERROR(__xludf.DUMMYFUNCTION("""COMPUTED_VALUE"""),4.49)</f>
        <v>4.49</v>
      </c>
      <c r="F3042" s="2"/>
      <c r="G3042" s="2"/>
      <c r="H3042" s="2"/>
      <c r="I3042" s="2"/>
    </row>
    <row r="3043">
      <c r="A3043" s="2">
        <f>IFERROR(__xludf.DUMMYFUNCTION("""COMPUTED_VALUE"""),45707.0)</f>
        <v>45707</v>
      </c>
      <c r="B3043" s="2" t="str">
        <f>IFERROR(__xludf.DUMMYFUNCTION("""COMPUTED_VALUE"""),"Tech")</f>
        <v>Tech</v>
      </c>
      <c r="C3043" s="2" t="str">
        <f>IFERROR(__xludf.DUMMYFUNCTION("""COMPUTED_VALUE"""),"Winter Sports")</f>
        <v>Winter Sports</v>
      </c>
      <c r="D3043" s="2" t="str">
        <f>IFERROR(__xludf.DUMMYFUNCTION("""COMPUTED_VALUE"""),"Cedarpoint Books")</f>
        <v>Cedarpoint Books</v>
      </c>
      <c r="E3043" s="2">
        <f>IFERROR(__xludf.DUMMYFUNCTION("""COMPUTED_VALUE"""),6.72)</f>
        <v>6.72</v>
      </c>
      <c r="F3043" s="2"/>
      <c r="G3043" s="2"/>
      <c r="H3043" s="2"/>
      <c r="I3043" s="2"/>
    </row>
    <row r="3044">
      <c r="A3044" s="2">
        <f>IFERROR(__xludf.DUMMYFUNCTION("""COMPUTED_VALUE"""),117282.0)</f>
        <v>117282</v>
      </c>
      <c r="B3044" s="2" t="str">
        <f>IFERROR(__xludf.DUMMYFUNCTION("""COMPUTED_VALUE"""),"Tech")</f>
        <v>Tech</v>
      </c>
      <c r="C3044" s="2" t="str">
        <f>IFERROR(__xludf.DUMMYFUNCTION("""COMPUTED_VALUE"""),"Winter Sports")</f>
        <v>Winter Sports</v>
      </c>
      <c r="D3044" s="2" t="str">
        <f>IFERROR(__xludf.DUMMYFUNCTION("""COMPUTED_VALUE"""),"Brightpoint Press")</f>
        <v>Brightpoint Press</v>
      </c>
      <c r="E3044" s="2">
        <f>IFERROR(__xludf.DUMMYFUNCTION("""COMPUTED_VALUE"""),3.17)</f>
        <v>3.17</v>
      </c>
      <c r="F3044" s="2"/>
      <c r="G3044" s="2"/>
      <c r="H3044" s="2"/>
      <c r="I3044" s="2"/>
    </row>
    <row r="3045">
      <c r="A3045" s="2">
        <f>IFERROR(__xludf.DUMMYFUNCTION("""COMPUTED_VALUE"""),30503.0)</f>
        <v>30503</v>
      </c>
      <c r="B3045" s="2" t="str">
        <f>IFERROR(__xludf.DUMMYFUNCTION("""COMPUTED_VALUE"""),"Tech")</f>
        <v>Tech</v>
      </c>
      <c r="C3045" s="2" t="str">
        <f>IFERROR(__xludf.DUMMYFUNCTION("""COMPUTED_VALUE"""),"Winter Sports")</f>
        <v>Winter Sports</v>
      </c>
      <c r="D3045" s="2" t="str">
        <f>IFERROR(__xludf.DUMMYFUNCTION("""COMPUTED_VALUE"""),"Brightpoint Press")</f>
        <v>Brightpoint Press</v>
      </c>
      <c r="E3045" s="2">
        <f>IFERROR(__xludf.DUMMYFUNCTION("""COMPUTED_VALUE"""),5.22)</f>
        <v>5.22</v>
      </c>
      <c r="F3045" s="2"/>
      <c r="G3045" s="2"/>
      <c r="H3045" s="2"/>
      <c r="I3045" s="2"/>
    </row>
    <row r="3046">
      <c r="A3046" s="2">
        <f>IFERROR(__xludf.DUMMYFUNCTION("""COMPUTED_VALUE"""),187336.0)</f>
        <v>187336</v>
      </c>
      <c r="B3046" s="2" t="str">
        <f>IFERROR(__xludf.DUMMYFUNCTION("""COMPUTED_VALUE"""),"Tech")</f>
        <v>Tech</v>
      </c>
      <c r="C3046" s="2" t="str">
        <f>IFERROR(__xludf.DUMMYFUNCTION("""COMPUTED_VALUE"""),"Winter Sports")</f>
        <v>Winter Sports</v>
      </c>
      <c r="D3046" s="2" t="str">
        <f>IFERROR(__xludf.DUMMYFUNCTION("""COMPUTED_VALUE"""),"Brightpoint Press")</f>
        <v>Brightpoint Press</v>
      </c>
      <c r="E3046" s="2">
        <f>IFERROR(__xludf.DUMMYFUNCTION("""COMPUTED_VALUE"""),3.83)</f>
        <v>3.83</v>
      </c>
      <c r="F3046" s="2"/>
      <c r="G3046" s="2"/>
      <c r="H3046" s="2"/>
      <c r="I3046" s="2"/>
    </row>
    <row r="3047">
      <c r="A3047" s="2">
        <f>IFERROR(__xludf.DUMMYFUNCTION("""COMPUTED_VALUE"""),82427.0)</f>
        <v>82427</v>
      </c>
      <c r="B3047" s="2" t="str">
        <f>IFERROR(__xludf.DUMMYFUNCTION("""COMPUTED_VALUE"""),"Tech")</f>
        <v>Tech</v>
      </c>
      <c r="C3047" s="2" t="str">
        <f>IFERROR(__xludf.DUMMYFUNCTION("""COMPUTED_VALUE"""),"Winter Sports")</f>
        <v>Winter Sports</v>
      </c>
      <c r="D3047" s="2" t="str">
        <f>IFERROR(__xludf.DUMMYFUNCTION("""COMPUTED_VALUE"""),"Brightpoint Press")</f>
        <v>Brightpoint Press</v>
      </c>
      <c r="E3047" s="2">
        <f>IFERROR(__xludf.DUMMYFUNCTION("""COMPUTED_VALUE"""),2.76)</f>
        <v>2.76</v>
      </c>
      <c r="F3047" s="2"/>
      <c r="G3047" s="2"/>
      <c r="H3047" s="2"/>
      <c r="I3047" s="2"/>
    </row>
    <row r="3048">
      <c r="A3048" s="2">
        <f>IFERROR(__xludf.DUMMYFUNCTION("""COMPUTED_VALUE"""),11000.0)</f>
        <v>11000</v>
      </c>
      <c r="B3048" s="2" t="str">
        <f>IFERROR(__xludf.DUMMYFUNCTION("""COMPUTED_VALUE"""),"Tech")</f>
        <v>Tech</v>
      </c>
      <c r="C3048" s="2" t="str">
        <f>IFERROR(__xludf.DUMMYFUNCTION("""COMPUTED_VALUE"""),"Winter Sports")</f>
        <v>Winter Sports</v>
      </c>
      <c r="D3048" s="2" t="str">
        <f>IFERROR(__xludf.DUMMYFUNCTION("""COMPUTED_VALUE"""),"Brightpoint Press")</f>
        <v>Brightpoint Press</v>
      </c>
      <c r="E3048" s="2">
        <f>IFERROR(__xludf.DUMMYFUNCTION("""COMPUTED_VALUE"""),2.9)</f>
        <v>2.9</v>
      </c>
      <c r="F3048" s="2"/>
      <c r="G3048" s="2"/>
      <c r="H3048" s="2"/>
      <c r="I3048" s="2"/>
    </row>
    <row r="3049">
      <c r="A3049" s="2">
        <f>IFERROR(__xludf.DUMMYFUNCTION("""COMPUTED_VALUE"""),117274.0)</f>
        <v>117274</v>
      </c>
      <c r="B3049" s="2" t="str">
        <f>IFERROR(__xludf.DUMMYFUNCTION("""COMPUTED_VALUE"""),"Tech")</f>
        <v>Tech</v>
      </c>
      <c r="C3049" s="2" t="str">
        <f>IFERROR(__xludf.DUMMYFUNCTION("""COMPUTED_VALUE"""),"Winter Sports")</f>
        <v>Winter Sports</v>
      </c>
      <c r="D3049" s="2" t="str">
        <f>IFERROR(__xludf.DUMMYFUNCTION("""COMPUTED_VALUE"""),"Brightpoint Press")</f>
        <v>Brightpoint Press</v>
      </c>
      <c r="E3049" s="2">
        <f>IFERROR(__xludf.DUMMYFUNCTION("""COMPUTED_VALUE"""),4.73)</f>
        <v>4.73</v>
      </c>
      <c r="F3049" s="2"/>
      <c r="G3049" s="2"/>
      <c r="H3049" s="2"/>
      <c r="I3049" s="2"/>
    </row>
    <row r="3050">
      <c r="A3050" s="2">
        <f>IFERROR(__xludf.DUMMYFUNCTION("""COMPUTED_VALUE"""),117445.0)</f>
        <v>117445</v>
      </c>
      <c r="B3050" s="2" t="str">
        <f>IFERROR(__xludf.DUMMYFUNCTION("""COMPUTED_VALUE"""),"Tech")</f>
        <v>Tech</v>
      </c>
      <c r="C3050" s="2" t="str">
        <f>IFERROR(__xludf.DUMMYFUNCTION("""COMPUTED_VALUE"""),"Winter Sports")</f>
        <v>Winter Sports</v>
      </c>
      <c r="D3050" s="2" t="str">
        <f>IFERROR(__xludf.DUMMYFUNCTION("""COMPUTED_VALUE"""),"Brightpoint Press")</f>
        <v>Brightpoint Press</v>
      </c>
      <c r="E3050" s="2">
        <f>IFERROR(__xludf.DUMMYFUNCTION("""COMPUTED_VALUE"""),6.5)</f>
        <v>6.5</v>
      </c>
      <c r="F3050" s="2"/>
      <c r="G3050" s="2"/>
      <c r="H3050" s="2"/>
      <c r="I3050" s="2"/>
    </row>
    <row r="3051">
      <c r="A3051" s="2">
        <f>IFERROR(__xludf.DUMMYFUNCTION("""COMPUTED_VALUE"""),103246.0)</f>
        <v>103246</v>
      </c>
      <c r="B3051" s="2" t="str">
        <f>IFERROR(__xludf.DUMMYFUNCTION("""COMPUTED_VALUE"""),"Tech")</f>
        <v>Tech</v>
      </c>
      <c r="C3051" s="2" t="str">
        <f>IFERROR(__xludf.DUMMYFUNCTION("""COMPUTED_VALUE"""),"Winter Sports")</f>
        <v>Winter Sports</v>
      </c>
      <c r="D3051" s="2" t="str">
        <f>IFERROR(__xludf.DUMMYFUNCTION("""COMPUTED_VALUE"""),"Brightpoint Press")</f>
        <v>Brightpoint Press</v>
      </c>
      <c r="E3051" s="2">
        <f>IFERROR(__xludf.DUMMYFUNCTION("""COMPUTED_VALUE"""),4.47)</f>
        <v>4.47</v>
      </c>
      <c r="F3051" s="2"/>
      <c r="G3051" s="2"/>
      <c r="H3051" s="2"/>
      <c r="I3051" s="2"/>
    </row>
    <row r="3052">
      <c r="A3052" s="2">
        <f>IFERROR(__xludf.DUMMYFUNCTION("""COMPUTED_VALUE"""),92626.0)</f>
        <v>92626</v>
      </c>
      <c r="B3052" s="2" t="str">
        <f>IFERROR(__xludf.DUMMYFUNCTION("""COMPUTED_VALUE"""),"Tech")</f>
        <v>Tech</v>
      </c>
      <c r="C3052" s="2" t="str">
        <f>IFERROR(__xludf.DUMMYFUNCTION("""COMPUTED_VALUE"""),"Winter Sports")</f>
        <v>Winter Sports</v>
      </c>
      <c r="D3052" s="2" t="str">
        <f>IFERROR(__xludf.DUMMYFUNCTION("""COMPUTED_VALUE"""),"Brightpoint Press")</f>
        <v>Brightpoint Press</v>
      </c>
      <c r="E3052" s="2">
        <f>IFERROR(__xludf.DUMMYFUNCTION("""COMPUTED_VALUE"""),6.08)</f>
        <v>6.08</v>
      </c>
      <c r="F3052" s="2"/>
      <c r="G3052" s="2"/>
      <c r="H3052" s="2"/>
      <c r="I3052" s="2"/>
    </row>
    <row r="3053">
      <c r="A3053" s="2">
        <f>IFERROR(__xludf.DUMMYFUNCTION("""COMPUTED_VALUE"""),79352.0)</f>
        <v>79352</v>
      </c>
      <c r="B3053" s="2" t="str">
        <f>IFERROR(__xludf.DUMMYFUNCTION("""COMPUTED_VALUE"""),"Tech")</f>
        <v>Tech</v>
      </c>
      <c r="C3053" s="2" t="str">
        <f>IFERROR(__xludf.DUMMYFUNCTION("""COMPUTED_VALUE"""),"Winter Sports")</f>
        <v>Winter Sports</v>
      </c>
      <c r="D3053" s="2" t="str">
        <f>IFERROR(__xludf.DUMMYFUNCTION("""COMPUTED_VALUE"""),"Brightpoint Press")</f>
        <v>Brightpoint Press</v>
      </c>
      <c r="E3053" s="2">
        <f>IFERROR(__xludf.DUMMYFUNCTION("""COMPUTED_VALUE"""),4.62)</f>
        <v>4.62</v>
      </c>
      <c r="F3053" s="2"/>
      <c r="G3053" s="2"/>
      <c r="H3053" s="2"/>
      <c r="I3053" s="2"/>
    </row>
    <row r="3054">
      <c r="A3054" s="2">
        <f>IFERROR(__xludf.DUMMYFUNCTION("""COMPUTED_VALUE"""),128315.0)</f>
        <v>128315</v>
      </c>
      <c r="B3054" s="2" t="str">
        <f>IFERROR(__xludf.DUMMYFUNCTION("""COMPUTED_VALUE"""),"Tech")</f>
        <v>Tech</v>
      </c>
      <c r="C3054" s="2" t="str">
        <f>IFERROR(__xludf.DUMMYFUNCTION("""COMPUTED_VALUE"""),"Winter Sports")</f>
        <v>Winter Sports</v>
      </c>
      <c r="D3054" s="2" t="str">
        <f>IFERROR(__xludf.DUMMYFUNCTION("""COMPUTED_VALUE"""),"Brightpoint Press")</f>
        <v>Brightpoint Press</v>
      </c>
      <c r="E3054" s="2">
        <f>IFERROR(__xludf.DUMMYFUNCTION("""COMPUTED_VALUE"""),2.66)</f>
        <v>2.66</v>
      </c>
      <c r="F3054" s="2"/>
      <c r="G3054" s="2"/>
      <c r="H3054" s="2"/>
      <c r="I3054" s="2"/>
    </row>
    <row r="3055">
      <c r="A3055" s="2">
        <f>IFERROR(__xludf.DUMMYFUNCTION("""COMPUTED_VALUE"""),117272.0)</f>
        <v>117272</v>
      </c>
      <c r="B3055" s="2" t="str">
        <f>IFERROR(__xludf.DUMMYFUNCTION("""COMPUTED_VALUE"""),"Tech")</f>
        <v>Tech</v>
      </c>
      <c r="C3055" s="2" t="str">
        <f>IFERROR(__xludf.DUMMYFUNCTION("""COMPUTED_VALUE"""),"Winter Sports")</f>
        <v>Winter Sports</v>
      </c>
      <c r="D3055" s="2" t="str">
        <f>IFERROR(__xludf.DUMMYFUNCTION("""COMPUTED_VALUE"""),"Brightpoint Press")</f>
        <v>Brightpoint Press</v>
      </c>
      <c r="E3055" s="2">
        <f>IFERROR(__xludf.DUMMYFUNCTION("""COMPUTED_VALUE"""),4.74)</f>
        <v>4.74</v>
      </c>
      <c r="F3055" s="2"/>
      <c r="G3055" s="2"/>
      <c r="H3055" s="2"/>
      <c r="I3055" s="2"/>
    </row>
    <row r="3056">
      <c r="A3056" s="2">
        <f>IFERROR(__xludf.DUMMYFUNCTION("""COMPUTED_VALUE"""),116770.0)</f>
        <v>116770</v>
      </c>
      <c r="B3056" s="2" t="str">
        <f>IFERROR(__xludf.DUMMYFUNCTION("""COMPUTED_VALUE"""),"Tech")</f>
        <v>Tech</v>
      </c>
      <c r="C3056" s="2" t="str">
        <f>IFERROR(__xludf.DUMMYFUNCTION("""COMPUTED_VALUE"""),"Winter Sports")</f>
        <v>Winter Sports</v>
      </c>
      <c r="D3056" s="2" t="str">
        <f>IFERROR(__xludf.DUMMYFUNCTION("""COMPUTED_VALUE"""),"Brightpoint Press")</f>
        <v>Brightpoint Press</v>
      </c>
      <c r="E3056" s="2">
        <f>IFERROR(__xludf.DUMMYFUNCTION("""COMPUTED_VALUE"""),2.66)</f>
        <v>2.66</v>
      </c>
      <c r="F3056" s="2"/>
      <c r="G3056" s="2"/>
      <c r="H3056" s="2"/>
      <c r="I3056" s="2"/>
    </row>
    <row r="3057">
      <c r="A3057" s="2">
        <f>IFERROR(__xludf.DUMMYFUNCTION("""COMPUTED_VALUE"""),118012.0)</f>
        <v>118012</v>
      </c>
      <c r="B3057" s="2" t="str">
        <f>IFERROR(__xludf.DUMMYFUNCTION("""COMPUTED_VALUE"""),"Tech")</f>
        <v>Tech</v>
      </c>
      <c r="C3057" s="2" t="str">
        <f>IFERROR(__xludf.DUMMYFUNCTION("""COMPUTED_VALUE"""),"Winter Sports")</f>
        <v>Winter Sports</v>
      </c>
      <c r="D3057" s="2" t="str">
        <f>IFERROR(__xludf.DUMMYFUNCTION("""COMPUTED_VALUE"""),"Brightpoint Press")</f>
        <v>Brightpoint Press</v>
      </c>
      <c r="E3057" s="2">
        <f>IFERROR(__xludf.DUMMYFUNCTION("""COMPUTED_VALUE"""),5.0)</f>
        <v>5</v>
      </c>
      <c r="F3057" s="2"/>
      <c r="G3057" s="2"/>
      <c r="H3057" s="2"/>
      <c r="I3057" s="2"/>
    </row>
    <row r="3058">
      <c r="A3058" s="2">
        <f>IFERROR(__xludf.DUMMYFUNCTION("""COMPUTED_VALUE"""),117306.0)</f>
        <v>117306</v>
      </c>
      <c r="B3058" s="2" t="str">
        <f>IFERROR(__xludf.DUMMYFUNCTION("""COMPUTED_VALUE"""),"Tech")</f>
        <v>Tech</v>
      </c>
      <c r="C3058" s="2" t="str">
        <f>IFERROR(__xludf.DUMMYFUNCTION("""COMPUTED_VALUE"""),"Winter Sports")</f>
        <v>Winter Sports</v>
      </c>
      <c r="D3058" s="2" t="str">
        <f>IFERROR(__xludf.DUMMYFUNCTION("""COMPUTED_VALUE"""),"Brightpoint Press")</f>
        <v>Brightpoint Press</v>
      </c>
      <c r="E3058" s="2">
        <f>IFERROR(__xludf.DUMMYFUNCTION("""COMPUTED_VALUE"""),4.19)</f>
        <v>4.19</v>
      </c>
      <c r="F3058" s="2"/>
      <c r="G3058" s="2"/>
      <c r="H3058" s="2"/>
      <c r="I3058" s="2"/>
    </row>
    <row r="3059">
      <c r="A3059" s="2">
        <f>IFERROR(__xludf.DUMMYFUNCTION("""COMPUTED_VALUE"""),117056.0)</f>
        <v>117056</v>
      </c>
      <c r="B3059" s="2" t="str">
        <f>IFERROR(__xludf.DUMMYFUNCTION("""COMPUTED_VALUE"""),"Tech")</f>
        <v>Tech</v>
      </c>
      <c r="C3059" s="2" t="str">
        <f>IFERROR(__xludf.DUMMYFUNCTION("""COMPUTED_VALUE"""),"Winter Sports")</f>
        <v>Winter Sports</v>
      </c>
      <c r="D3059" s="2" t="str">
        <f>IFERROR(__xludf.DUMMYFUNCTION("""COMPUTED_VALUE"""),"Brightpoint Press")</f>
        <v>Brightpoint Press</v>
      </c>
      <c r="E3059" s="2">
        <f>IFERROR(__xludf.DUMMYFUNCTION("""COMPUTED_VALUE"""),6.9)</f>
        <v>6.9</v>
      </c>
      <c r="F3059" s="2"/>
      <c r="G3059" s="2"/>
      <c r="H3059" s="2"/>
      <c r="I3059" s="2"/>
    </row>
    <row r="3060">
      <c r="A3060" s="2">
        <f>IFERROR(__xludf.DUMMYFUNCTION("""COMPUTED_VALUE"""),188066.0)</f>
        <v>188066</v>
      </c>
      <c r="B3060" s="2" t="str">
        <f>IFERROR(__xludf.DUMMYFUNCTION("""COMPUTED_VALUE"""),"Tech")</f>
        <v>Tech</v>
      </c>
      <c r="C3060" s="2" t="str">
        <f>IFERROR(__xludf.DUMMYFUNCTION("""COMPUTED_VALUE"""),"Winter Sports")</f>
        <v>Winter Sports</v>
      </c>
      <c r="D3060" s="2" t="str">
        <f>IFERROR(__xludf.DUMMYFUNCTION("""COMPUTED_VALUE"""),"Brightpoint Press")</f>
        <v>Brightpoint Press</v>
      </c>
      <c r="E3060" s="2">
        <f>IFERROR(__xludf.DUMMYFUNCTION("""COMPUTED_VALUE"""),6.38)</f>
        <v>6.38</v>
      </c>
      <c r="F3060" s="2"/>
      <c r="G3060" s="2"/>
      <c r="H3060" s="2"/>
      <c r="I3060" s="2"/>
    </row>
    <row r="3061">
      <c r="A3061" s="2">
        <f>IFERROR(__xludf.DUMMYFUNCTION("""COMPUTED_VALUE"""),181147.0)</f>
        <v>181147</v>
      </c>
      <c r="B3061" s="2" t="str">
        <f>IFERROR(__xludf.DUMMYFUNCTION("""COMPUTED_VALUE"""),"Tech")</f>
        <v>Tech</v>
      </c>
      <c r="C3061" s="2" t="str">
        <f>IFERROR(__xludf.DUMMYFUNCTION("""COMPUTED_VALUE"""),"Winter Sports")</f>
        <v>Winter Sports</v>
      </c>
      <c r="D3061" s="2" t="str">
        <f>IFERROR(__xludf.DUMMYFUNCTION("""COMPUTED_VALUE"""),"Brightpoint Press")</f>
        <v>Brightpoint Press</v>
      </c>
      <c r="E3061" s="2">
        <f>IFERROR(__xludf.DUMMYFUNCTION("""COMPUTED_VALUE"""),5.27)</f>
        <v>5.27</v>
      </c>
      <c r="F3061" s="2"/>
      <c r="G3061" s="2"/>
      <c r="H3061" s="2"/>
      <c r="I3061" s="2"/>
    </row>
    <row r="3062">
      <c r="A3062" s="2">
        <f>IFERROR(__xludf.DUMMYFUNCTION("""COMPUTED_VALUE"""),79917.0)</f>
        <v>79917</v>
      </c>
      <c r="B3062" s="2" t="str">
        <f>IFERROR(__xludf.DUMMYFUNCTION("""COMPUTED_VALUE"""),"Tech")</f>
        <v>Tech</v>
      </c>
      <c r="C3062" s="2" t="str">
        <f>IFERROR(__xludf.DUMMYFUNCTION("""COMPUTED_VALUE"""),"Winter Sports")</f>
        <v>Winter Sports</v>
      </c>
      <c r="D3062" s="2" t="str">
        <f>IFERROR(__xludf.DUMMYFUNCTION("""COMPUTED_VALUE"""),"Brightpoint Press")</f>
        <v>Brightpoint Press</v>
      </c>
      <c r="E3062" s="2">
        <f>IFERROR(__xludf.DUMMYFUNCTION("""COMPUTED_VALUE"""),4.18)</f>
        <v>4.18</v>
      </c>
      <c r="F3062" s="2"/>
      <c r="G3062" s="2"/>
      <c r="H3062" s="2"/>
      <c r="I3062" s="2"/>
    </row>
    <row r="3063">
      <c r="A3063" s="2">
        <f>IFERROR(__xludf.DUMMYFUNCTION("""COMPUTED_VALUE"""),110282.0)</f>
        <v>110282</v>
      </c>
      <c r="B3063" s="2" t="str">
        <f>IFERROR(__xludf.DUMMYFUNCTION("""COMPUTED_VALUE"""),"Tech")</f>
        <v>Tech</v>
      </c>
      <c r="C3063" s="2" t="str">
        <f>IFERROR(__xludf.DUMMYFUNCTION("""COMPUTED_VALUE"""),"Winter Sports")</f>
        <v>Winter Sports</v>
      </c>
      <c r="D3063" s="2" t="str">
        <f>IFERROR(__xludf.DUMMYFUNCTION("""COMPUTED_VALUE"""),"Brightpoint Press")</f>
        <v>Brightpoint Press</v>
      </c>
      <c r="E3063" s="2">
        <f>IFERROR(__xludf.DUMMYFUNCTION("""COMPUTED_VALUE"""),3.73)</f>
        <v>3.73</v>
      </c>
      <c r="F3063" s="2"/>
      <c r="G3063" s="2"/>
      <c r="H3063" s="2"/>
      <c r="I3063" s="2"/>
    </row>
    <row r="3064">
      <c r="A3064" s="2">
        <f>IFERROR(__xludf.DUMMYFUNCTION("""COMPUTED_VALUE"""),200526.0)</f>
        <v>200526</v>
      </c>
      <c r="B3064" s="2" t="str">
        <f>IFERROR(__xludf.DUMMYFUNCTION("""COMPUTED_VALUE"""),"Tech")</f>
        <v>Tech</v>
      </c>
      <c r="C3064" s="2" t="str">
        <f>IFERROR(__xludf.DUMMYFUNCTION("""COMPUTED_VALUE"""),"Winter Sports")</f>
        <v>Winter Sports</v>
      </c>
      <c r="D3064" s="2" t="str">
        <f>IFERROR(__xludf.DUMMYFUNCTION("""COMPUTED_VALUE"""),"Brightpoint Press")</f>
        <v>Brightpoint Press</v>
      </c>
      <c r="E3064" s="2">
        <f>IFERROR(__xludf.DUMMYFUNCTION("""COMPUTED_VALUE"""),5.85)</f>
        <v>5.85</v>
      </c>
      <c r="F3064" s="2"/>
      <c r="G3064" s="2"/>
      <c r="H3064" s="2"/>
      <c r="I3064" s="2"/>
    </row>
    <row r="3065">
      <c r="A3065" s="2">
        <f>IFERROR(__xludf.DUMMYFUNCTION("""COMPUTED_VALUE"""),193197.0)</f>
        <v>193197</v>
      </c>
      <c r="B3065" s="2" t="str">
        <f>IFERROR(__xludf.DUMMYFUNCTION("""COMPUTED_VALUE"""),"Tech")</f>
        <v>Tech</v>
      </c>
      <c r="C3065" s="2" t="str">
        <f>IFERROR(__xludf.DUMMYFUNCTION("""COMPUTED_VALUE"""),"Winter Sports")</f>
        <v>Winter Sports</v>
      </c>
      <c r="D3065" s="2" t="str">
        <f>IFERROR(__xludf.DUMMYFUNCTION("""COMPUTED_VALUE"""),"Brightpoint Press")</f>
        <v>Brightpoint Press</v>
      </c>
      <c r="E3065" s="2">
        <f>IFERROR(__xludf.DUMMYFUNCTION("""COMPUTED_VALUE"""),4.22)</f>
        <v>4.22</v>
      </c>
      <c r="F3065" s="2"/>
      <c r="G3065" s="2"/>
      <c r="H3065" s="2"/>
      <c r="I3065" s="2"/>
    </row>
    <row r="3066">
      <c r="A3066" s="2">
        <f>IFERROR(__xludf.DUMMYFUNCTION("""COMPUTED_VALUE"""),79820.0)</f>
        <v>79820</v>
      </c>
      <c r="B3066" s="2" t="str">
        <f>IFERROR(__xludf.DUMMYFUNCTION("""COMPUTED_VALUE"""),"Tech")</f>
        <v>Tech</v>
      </c>
      <c r="C3066" s="2" t="str">
        <f>IFERROR(__xludf.DUMMYFUNCTION("""COMPUTED_VALUE"""),"Winter Sports")</f>
        <v>Winter Sports</v>
      </c>
      <c r="D3066" s="2" t="str">
        <f>IFERROR(__xludf.DUMMYFUNCTION("""COMPUTED_VALUE"""),"Brightpoint Press")</f>
        <v>Brightpoint Press</v>
      </c>
      <c r="E3066" s="2">
        <f>IFERROR(__xludf.DUMMYFUNCTION("""COMPUTED_VALUE"""),4.05)</f>
        <v>4.05</v>
      </c>
      <c r="F3066" s="2"/>
      <c r="G3066" s="2"/>
      <c r="H3066" s="2"/>
      <c r="I3066" s="2"/>
    </row>
    <row r="3067">
      <c r="A3067" s="2">
        <f>IFERROR(__xludf.DUMMYFUNCTION("""COMPUTED_VALUE"""),122327.0)</f>
        <v>122327</v>
      </c>
      <c r="B3067" s="2" t="str">
        <f>IFERROR(__xludf.DUMMYFUNCTION("""COMPUTED_VALUE"""),"Tech")</f>
        <v>Tech</v>
      </c>
      <c r="C3067" s="2" t="str">
        <f>IFERROR(__xludf.DUMMYFUNCTION("""COMPUTED_VALUE"""),"Winter Sports")</f>
        <v>Winter Sports</v>
      </c>
      <c r="D3067" s="2" t="str">
        <f>IFERROR(__xludf.DUMMYFUNCTION("""COMPUTED_VALUE"""),"Brightpoint Press")</f>
        <v>Brightpoint Press</v>
      </c>
      <c r="E3067" s="2">
        <f>IFERROR(__xludf.DUMMYFUNCTION("""COMPUTED_VALUE"""),4.17)</f>
        <v>4.17</v>
      </c>
      <c r="F3067" s="2"/>
      <c r="G3067" s="2"/>
      <c r="H3067" s="2"/>
      <c r="I3067" s="2"/>
    </row>
    <row r="3068">
      <c r="A3068" s="2">
        <f>IFERROR(__xludf.DUMMYFUNCTION("""COMPUTED_VALUE"""),117956.0)</f>
        <v>117956</v>
      </c>
      <c r="B3068" s="2" t="str">
        <f>IFERROR(__xludf.DUMMYFUNCTION("""COMPUTED_VALUE"""),"Tech")</f>
        <v>Tech</v>
      </c>
      <c r="C3068" s="2" t="str">
        <f>IFERROR(__xludf.DUMMYFUNCTION("""COMPUTED_VALUE"""),"Winter Sports")</f>
        <v>Winter Sports</v>
      </c>
      <c r="D3068" s="2" t="str">
        <f>IFERROR(__xludf.DUMMYFUNCTION("""COMPUTED_VALUE"""),"Brightpoint Press")</f>
        <v>Brightpoint Press</v>
      </c>
      <c r="E3068" s="2">
        <f>IFERROR(__xludf.DUMMYFUNCTION("""COMPUTED_VALUE"""),6.89)</f>
        <v>6.89</v>
      </c>
      <c r="F3068" s="2"/>
      <c r="G3068" s="2"/>
      <c r="H3068" s="2"/>
      <c r="I3068" s="2"/>
    </row>
    <row r="3069">
      <c r="A3069" s="2">
        <f>IFERROR(__xludf.DUMMYFUNCTION("""COMPUTED_VALUE"""),86182.0)</f>
        <v>86182</v>
      </c>
      <c r="B3069" s="2" t="str">
        <f>IFERROR(__xludf.DUMMYFUNCTION("""COMPUTED_VALUE"""),"Tech")</f>
        <v>Tech</v>
      </c>
      <c r="C3069" s="2" t="str">
        <f>IFERROR(__xludf.DUMMYFUNCTION("""COMPUTED_VALUE"""),"Winter Sports")</f>
        <v>Winter Sports</v>
      </c>
      <c r="D3069" s="2" t="str">
        <f>IFERROR(__xludf.DUMMYFUNCTION("""COMPUTED_VALUE"""),"Brightpoint Press")</f>
        <v>Brightpoint Press</v>
      </c>
      <c r="E3069" s="2">
        <f>IFERROR(__xludf.DUMMYFUNCTION("""COMPUTED_VALUE"""),3.8)</f>
        <v>3.8</v>
      </c>
      <c r="F3069" s="2"/>
      <c r="G3069" s="2"/>
      <c r="H3069" s="2"/>
      <c r="I3069" s="2"/>
    </row>
    <row r="3070">
      <c r="A3070" s="2">
        <f>IFERROR(__xludf.DUMMYFUNCTION("""COMPUTED_VALUE"""),46989.0)</f>
        <v>46989</v>
      </c>
      <c r="B3070" s="2" t="str">
        <f>IFERROR(__xludf.DUMMYFUNCTION("""COMPUTED_VALUE"""),"Tech")</f>
        <v>Tech</v>
      </c>
      <c r="C3070" s="2" t="str">
        <f>IFERROR(__xludf.DUMMYFUNCTION("""COMPUTED_VALUE"""),"Winter Sports")</f>
        <v>Winter Sports</v>
      </c>
      <c r="D3070" s="2" t="str">
        <f>IFERROR(__xludf.DUMMYFUNCTION("""COMPUTED_VALUE"""),"Brightpoint Press")</f>
        <v>Brightpoint Press</v>
      </c>
      <c r="E3070" s="2">
        <f>IFERROR(__xludf.DUMMYFUNCTION("""COMPUTED_VALUE"""),3.52)</f>
        <v>3.52</v>
      </c>
      <c r="F3070" s="2"/>
      <c r="G3070" s="2"/>
      <c r="H3070" s="2"/>
      <c r="I3070" s="2"/>
    </row>
    <row r="3071">
      <c r="A3071" s="2">
        <f>IFERROR(__xludf.DUMMYFUNCTION("""COMPUTED_VALUE"""),46976.0)</f>
        <v>46976</v>
      </c>
      <c r="B3071" s="2" t="str">
        <f>IFERROR(__xludf.DUMMYFUNCTION("""COMPUTED_VALUE"""),"Tech")</f>
        <v>Tech</v>
      </c>
      <c r="C3071" s="2" t="str">
        <f>IFERROR(__xludf.DUMMYFUNCTION("""COMPUTED_VALUE"""),"Winter Sports")</f>
        <v>Winter Sports</v>
      </c>
      <c r="D3071" s="2" t="str">
        <f>IFERROR(__xludf.DUMMYFUNCTION("""COMPUTED_VALUE"""),"Brightpoint Press")</f>
        <v>Brightpoint Press</v>
      </c>
      <c r="E3071" s="2">
        <f>IFERROR(__xludf.DUMMYFUNCTION("""COMPUTED_VALUE"""),7.05)</f>
        <v>7.05</v>
      </c>
      <c r="F3071" s="2"/>
      <c r="G3071" s="2"/>
      <c r="H3071" s="2"/>
      <c r="I3071" s="2"/>
    </row>
    <row r="3072">
      <c r="A3072" s="2">
        <f>IFERROR(__xludf.DUMMYFUNCTION("""COMPUTED_VALUE"""),79354.0)</f>
        <v>79354</v>
      </c>
      <c r="B3072" s="2" t="str">
        <f>IFERROR(__xludf.DUMMYFUNCTION("""COMPUTED_VALUE"""),"Tech")</f>
        <v>Tech</v>
      </c>
      <c r="C3072" s="2" t="str">
        <f>IFERROR(__xludf.DUMMYFUNCTION("""COMPUTED_VALUE"""),"Winter Sports")</f>
        <v>Winter Sports</v>
      </c>
      <c r="D3072" s="2" t="str">
        <f>IFERROR(__xludf.DUMMYFUNCTION("""COMPUTED_VALUE"""),"Brightpoint Press")</f>
        <v>Brightpoint Press</v>
      </c>
      <c r="E3072" s="2">
        <f>IFERROR(__xludf.DUMMYFUNCTION("""COMPUTED_VALUE"""),4.57)</f>
        <v>4.57</v>
      </c>
      <c r="F3072" s="2"/>
      <c r="G3072" s="2"/>
      <c r="H3072" s="2"/>
      <c r="I3072" s="2"/>
    </row>
    <row r="3073">
      <c r="A3073" s="2">
        <f>IFERROR(__xludf.DUMMYFUNCTION("""COMPUTED_VALUE"""),114268.0)</f>
        <v>114268</v>
      </c>
      <c r="B3073" s="2" t="str">
        <f>IFERROR(__xludf.DUMMYFUNCTION("""COMPUTED_VALUE"""),"Tech")</f>
        <v>Tech</v>
      </c>
      <c r="C3073" s="2" t="str">
        <f>IFERROR(__xludf.DUMMYFUNCTION("""COMPUTED_VALUE"""),"Winter Sports")</f>
        <v>Winter Sports</v>
      </c>
      <c r="D3073" s="2" t="str">
        <f>IFERROR(__xludf.DUMMYFUNCTION("""COMPUTED_VALUE"""),"Brightpoint Press")</f>
        <v>Brightpoint Press</v>
      </c>
      <c r="E3073" s="2">
        <f>IFERROR(__xludf.DUMMYFUNCTION("""COMPUTED_VALUE"""),3.06)</f>
        <v>3.06</v>
      </c>
      <c r="F3073" s="2"/>
      <c r="G3073" s="2"/>
      <c r="H3073" s="2"/>
      <c r="I3073" s="2"/>
    </row>
    <row r="3074">
      <c r="A3074" s="2">
        <f>IFERROR(__xludf.DUMMYFUNCTION("""COMPUTED_VALUE"""),10685.0)</f>
        <v>10685</v>
      </c>
      <c r="B3074" s="2" t="str">
        <f>IFERROR(__xludf.DUMMYFUNCTION("""COMPUTED_VALUE"""),"Tech")</f>
        <v>Tech</v>
      </c>
      <c r="C3074" s="2" t="str">
        <f>IFERROR(__xludf.DUMMYFUNCTION("""COMPUTED_VALUE"""),"Winter Sports")</f>
        <v>Winter Sports</v>
      </c>
      <c r="D3074" s="2" t="str">
        <f>IFERROR(__xludf.DUMMYFUNCTION("""COMPUTED_VALUE"""),"Brightpoint Press")</f>
        <v>Brightpoint Press</v>
      </c>
      <c r="E3074" s="2">
        <f>IFERROR(__xludf.DUMMYFUNCTION("""COMPUTED_VALUE"""),5.99)</f>
        <v>5.99</v>
      </c>
      <c r="F3074" s="2"/>
      <c r="G3074" s="2"/>
      <c r="H3074" s="2"/>
      <c r="I3074" s="2"/>
    </row>
    <row r="3075">
      <c r="A3075" s="2">
        <f>IFERROR(__xludf.DUMMYFUNCTION("""COMPUTED_VALUE"""),118157.0)</f>
        <v>118157</v>
      </c>
      <c r="B3075" s="2" t="str">
        <f>IFERROR(__xludf.DUMMYFUNCTION("""COMPUTED_VALUE"""),"Tech")</f>
        <v>Tech</v>
      </c>
      <c r="C3075" s="2" t="str">
        <f>IFERROR(__xludf.DUMMYFUNCTION("""COMPUTED_VALUE"""),"Winter Sports")</f>
        <v>Winter Sports</v>
      </c>
      <c r="D3075" s="2" t="str">
        <f>IFERROR(__xludf.DUMMYFUNCTION("""COMPUTED_VALUE"""),"Brightpoint Press")</f>
        <v>Brightpoint Press</v>
      </c>
      <c r="E3075" s="2">
        <f>IFERROR(__xludf.DUMMYFUNCTION("""COMPUTED_VALUE"""),4.41)</f>
        <v>4.41</v>
      </c>
      <c r="F3075" s="2"/>
      <c r="G3075" s="2"/>
      <c r="H3075" s="2"/>
      <c r="I3075" s="2"/>
    </row>
    <row r="3076">
      <c r="A3076" s="2">
        <f>IFERROR(__xludf.DUMMYFUNCTION("""COMPUTED_VALUE"""),122322.0)</f>
        <v>122322</v>
      </c>
      <c r="B3076" s="2" t="str">
        <f>IFERROR(__xludf.DUMMYFUNCTION("""COMPUTED_VALUE"""),"Tech")</f>
        <v>Tech</v>
      </c>
      <c r="C3076" s="2" t="str">
        <f>IFERROR(__xludf.DUMMYFUNCTION("""COMPUTED_VALUE"""),"Winter Sports")</f>
        <v>Winter Sports</v>
      </c>
      <c r="D3076" s="2" t="str">
        <f>IFERROR(__xludf.DUMMYFUNCTION("""COMPUTED_VALUE"""),"Brightpoint Press")</f>
        <v>Brightpoint Press</v>
      </c>
      <c r="E3076" s="2">
        <f>IFERROR(__xludf.DUMMYFUNCTION("""COMPUTED_VALUE"""),4.68)</f>
        <v>4.68</v>
      </c>
      <c r="F3076" s="2"/>
      <c r="G3076" s="2"/>
      <c r="H3076" s="2"/>
      <c r="I3076" s="2"/>
    </row>
    <row r="3077">
      <c r="A3077" s="2">
        <f>IFERROR(__xludf.DUMMYFUNCTION("""COMPUTED_VALUE"""),27509.0)</f>
        <v>27509</v>
      </c>
      <c r="B3077" s="2" t="str">
        <f>IFERROR(__xludf.DUMMYFUNCTION("""COMPUTED_VALUE"""),"Tech")</f>
        <v>Tech</v>
      </c>
      <c r="C3077" s="2" t="str">
        <f>IFERROR(__xludf.DUMMYFUNCTION("""COMPUTED_VALUE"""),"Winter Sports")</f>
        <v>Winter Sports</v>
      </c>
      <c r="D3077" s="2" t="str">
        <f>IFERROR(__xludf.DUMMYFUNCTION("""COMPUTED_VALUE"""),"Brightpoint Press")</f>
        <v>Brightpoint Press</v>
      </c>
      <c r="E3077" s="2">
        <f>IFERROR(__xludf.DUMMYFUNCTION("""COMPUTED_VALUE"""),6.24)</f>
        <v>6.24</v>
      </c>
      <c r="F3077" s="2"/>
      <c r="G3077" s="2"/>
      <c r="H3077" s="2"/>
      <c r="I3077" s="2"/>
    </row>
    <row r="3078">
      <c r="A3078" s="2">
        <f>IFERROR(__xludf.DUMMYFUNCTION("""COMPUTED_VALUE"""),110852.0)</f>
        <v>110852</v>
      </c>
      <c r="B3078" s="2" t="str">
        <f>IFERROR(__xludf.DUMMYFUNCTION("""COMPUTED_VALUE"""),"Tech")</f>
        <v>Tech</v>
      </c>
      <c r="C3078" s="2" t="str">
        <f>IFERROR(__xludf.DUMMYFUNCTION("""COMPUTED_VALUE"""),"Winter Sports")</f>
        <v>Winter Sports</v>
      </c>
      <c r="D3078" s="2" t="str">
        <f>IFERROR(__xludf.DUMMYFUNCTION("""COMPUTED_VALUE"""),"Brightpoint Press")</f>
        <v>Brightpoint Press</v>
      </c>
      <c r="E3078" s="2">
        <f>IFERROR(__xludf.DUMMYFUNCTION("""COMPUTED_VALUE"""),5.66)</f>
        <v>5.66</v>
      </c>
      <c r="F3078" s="2"/>
      <c r="G3078" s="2"/>
      <c r="H3078" s="2"/>
      <c r="I3078" s="2"/>
    </row>
    <row r="3079">
      <c r="A3079" s="2">
        <f>IFERROR(__xludf.DUMMYFUNCTION("""COMPUTED_VALUE"""),128312.0)</f>
        <v>128312</v>
      </c>
      <c r="B3079" s="2" t="str">
        <f>IFERROR(__xludf.DUMMYFUNCTION("""COMPUTED_VALUE"""),"Tech")</f>
        <v>Tech</v>
      </c>
      <c r="C3079" s="2" t="str">
        <f>IFERROR(__xludf.DUMMYFUNCTION("""COMPUTED_VALUE"""),"Winter Sports")</f>
        <v>Winter Sports</v>
      </c>
      <c r="D3079" s="2" t="str">
        <f>IFERROR(__xludf.DUMMYFUNCTION("""COMPUTED_VALUE"""),"Brightpoint Press")</f>
        <v>Brightpoint Press</v>
      </c>
      <c r="E3079" s="2">
        <f>IFERROR(__xludf.DUMMYFUNCTION("""COMPUTED_VALUE"""),2.93)</f>
        <v>2.93</v>
      </c>
      <c r="F3079" s="2"/>
      <c r="G3079" s="2"/>
      <c r="H3079" s="2"/>
      <c r="I3079" s="2"/>
    </row>
    <row r="3080">
      <c r="A3080" s="2">
        <f>IFERROR(__xludf.DUMMYFUNCTION("""COMPUTED_VALUE"""),79355.0)</f>
        <v>79355</v>
      </c>
      <c r="B3080" s="2" t="str">
        <f>IFERROR(__xludf.DUMMYFUNCTION("""COMPUTED_VALUE"""),"Tech")</f>
        <v>Tech</v>
      </c>
      <c r="C3080" s="2" t="str">
        <f>IFERROR(__xludf.DUMMYFUNCTION("""COMPUTED_VALUE"""),"Winter Sports")</f>
        <v>Winter Sports</v>
      </c>
      <c r="D3080" s="2" t="str">
        <f>IFERROR(__xludf.DUMMYFUNCTION("""COMPUTED_VALUE"""),"Brightpoint Press")</f>
        <v>Brightpoint Press</v>
      </c>
      <c r="E3080" s="2">
        <f>IFERROR(__xludf.DUMMYFUNCTION("""COMPUTED_VALUE"""),5.18)</f>
        <v>5.18</v>
      </c>
      <c r="F3080" s="2"/>
      <c r="G3080" s="2"/>
      <c r="H3080" s="2"/>
      <c r="I3080" s="2"/>
    </row>
    <row r="3081">
      <c r="A3081" s="2">
        <f>IFERROR(__xludf.DUMMYFUNCTION("""COMPUTED_VALUE"""),86185.0)</f>
        <v>86185</v>
      </c>
      <c r="B3081" s="2" t="str">
        <f>IFERROR(__xludf.DUMMYFUNCTION("""COMPUTED_VALUE"""),"Tech")</f>
        <v>Tech</v>
      </c>
      <c r="C3081" s="2" t="str">
        <f>IFERROR(__xludf.DUMMYFUNCTION("""COMPUTED_VALUE"""),"Winter Sports")</f>
        <v>Winter Sports</v>
      </c>
      <c r="D3081" s="2" t="str">
        <f>IFERROR(__xludf.DUMMYFUNCTION("""COMPUTED_VALUE"""),"Brightpoint Press")</f>
        <v>Brightpoint Press</v>
      </c>
      <c r="E3081" s="2">
        <f>IFERROR(__xludf.DUMMYFUNCTION("""COMPUTED_VALUE"""),3.49)</f>
        <v>3.49</v>
      </c>
      <c r="F3081" s="2"/>
      <c r="G3081" s="2"/>
      <c r="H3081" s="2"/>
      <c r="I3081" s="2"/>
    </row>
    <row r="3082">
      <c r="A3082" s="2">
        <f>IFERROR(__xludf.DUMMYFUNCTION("""COMPUTED_VALUE"""),77138.0)</f>
        <v>77138</v>
      </c>
      <c r="B3082" s="2" t="str">
        <f>IFERROR(__xludf.DUMMYFUNCTION("""COMPUTED_VALUE"""),"Tech")</f>
        <v>Tech</v>
      </c>
      <c r="C3082" s="2" t="str">
        <f>IFERROR(__xludf.DUMMYFUNCTION("""COMPUTED_VALUE"""),"Winter Sports")</f>
        <v>Winter Sports</v>
      </c>
      <c r="D3082" s="2" t="str">
        <f>IFERROR(__xludf.DUMMYFUNCTION("""COMPUTED_VALUE"""),"Brightpoint Press")</f>
        <v>Brightpoint Press</v>
      </c>
      <c r="E3082" s="2">
        <f>IFERROR(__xludf.DUMMYFUNCTION("""COMPUTED_VALUE"""),6.0)</f>
        <v>6</v>
      </c>
      <c r="F3082" s="2"/>
      <c r="G3082" s="2"/>
      <c r="H3082" s="2"/>
      <c r="I3082" s="2"/>
    </row>
    <row r="3083">
      <c r="A3083" s="2">
        <f>IFERROR(__xludf.DUMMYFUNCTION("""COMPUTED_VALUE"""),86183.0)</f>
        <v>86183</v>
      </c>
      <c r="B3083" s="2" t="str">
        <f>IFERROR(__xludf.DUMMYFUNCTION("""COMPUTED_VALUE"""),"Tech")</f>
        <v>Tech</v>
      </c>
      <c r="C3083" s="2" t="str">
        <f>IFERROR(__xludf.DUMMYFUNCTION("""COMPUTED_VALUE"""),"Winter Sports")</f>
        <v>Winter Sports</v>
      </c>
      <c r="D3083" s="2" t="str">
        <f>IFERROR(__xludf.DUMMYFUNCTION("""COMPUTED_VALUE"""),"Brightpoint Press")</f>
        <v>Brightpoint Press</v>
      </c>
      <c r="E3083" s="2">
        <f>IFERROR(__xludf.DUMMYFUNCTION("""COMPUTED_VALUE"""),4.05)</f>
        <v>4.05</v>
      </c>
      <c r="F3083" s="2"/>
      <c r="G3083" s="2"/>
      <c r="H3083" s="2"/>
      <c r="I3083" s="2"/>
    </row>
    <row r="3084">
      <c r="A3084" s="2">
        <f>IFERROR(__xludf.DUMMYFUNCTION("""COMPUTED_VALUE"""),122595.0)</f>
        <v>122595</v>
      </c>
      <c r="B3084" s="2" t="str">
        <f>IFERROR(__xludf.DUMMYFUNCTION("""COMPUTED_VALUE"""),"Tech")</f>
        <v>Tech</v>
      </c>
      <c r="C3084" s="2" t="str">
        <f>IFERROR(__xludf.DUMMYFUNCTION("""COMPUTED_VALUE"""),"Winter Sports")</f>
        <v>Winter Sports</v>
      </c>
      <c r="D3084" s="2" t="str">
        <f>IFERROR(__xludf.DUMMYFUNCTION("""COMPUTED_VALUE"""),"Brightpoint Press")</f>
        <v>Brightpoint Press</v>
      </c>
      <c r="E3084" s="2">
        <f>IFERROR(__xludf.DUMMYFUNCTION("""COMPUTED_VALUE"""),4.27)</f>
        <v>4.27</v>
      </c>
      <c r="F3084" s="2"/>
      <c r="G3084" s="2"/>
      <c r="H3084" s="2"/>
      <c r="I3084" s="2"/>
    </row>
    <row r="3085">
      <c r="A3085" s="2">
        <f>IFERROR(__xludf.DUMMYFUNCTION("""COMPUTED_VALUE"""),70338.0)</f>
        <v>70338</v>
      </c>
      <c r="B3085" s="2" t="str">
        <f>IFERROR(__xludf.DUMMYFUNCTION("""COMPUTED_VALUE"""),"Tech")</f>
        <v>Tech</v>
      </c>
      <c r="C3085" s="2" t="str">
        <f>IFERROR(__xludf.DUMMYFUNCTION("""COMPUTED_VALUE"""),"Winter Sports")</f>
        <v>Winter Sports</v>
      </c>
      <c r="D3085" s="2" t="str">
        <f>IFERROR(__xludf.DUMMYFUNCTION("""COMPUTED_VALUE"""),"Brightpoint Press")</f>
        <v>Brightpoint Press</v>
      </c>
      <c r="E3085" s="2">
        <f>IFERROR(__xludf.DUMMYFUNCTION("""COMPUTED_VALUE"""),6.62)</f>
        <v>6.62</v>
      </c>
      <c r="F3085" s="2"/>
      <c r="G3085" s="2"/>
      <c r="H3085" s="2"/>
      <c r="I3085" s="2"/>
    </row>
    <row r="3086">
      <c r="A3086" s="2">
        <f>IFERROR(__xludf.DUMMYFUNCTION("""COMPUTED_VALUE"""),114273.0)</f>
        <v>114273</v>
      </c>
      <c r="B3086" s="2" t="str">
        <f>IFERROR(__xludf.DUMMYFUNCTION("""COMPUTED_VALUE"""),"Tech")</f>
        <v>Tech</v>
      </c>
      <c r="C3086" s="2" t="str">
        <f>IFERROR(__xludf.DUMMYFUNCTION("""COMPUTED_VALUE"""),"Winter Sports")</f>
        <v>Winter Sports</v>
      </c>
      <c r="D3086" s="2" t="str">
        <f>IFERROR(__xludf.DUMMYFUNCTION("""COMPUTED_VALUE"""),"Brightpoint Press")</f>
        <v>Brightpoint Press</v>
      </c>
      <c r="E3086" s="2">
        <f>IFERROR(__xludf.DUMMYFUNCTION("""COMPUTED_VALUE"""),3.19)</f>
        <v>3.19</v>
      </c>
      <c r="F3086" s="2"/>
      <c r="G3086" s="2"/>
      <c r="H3086" s="2"/>
      <c r="I3086" s="2"/>
    </row>
    <row r="3087">
      <c r="A3087" s="2">
        <f>IFERROR(__xludf.DUMMYFUNCTION("""COMPUTED_VALUE"""),110849.0)</f>
        <v>110849</v>
      </c>
      <c r="B3087" s="2" t="str">
        <f>IFERROR(__xludf.DUMMYFUNCTION("""COMPUTED_VALUE"""),"Tech")</f>
        <v>Tech</v>
      </c>
      <c r="C3087" s="2" t="str">
        <f>IFERROR(__xludf.DUMMYFUNCTION("""COMPUTED_VALUE"""),"Winter Sports")</f>
        <v>Winter Sports</v>
      </c>
      <c r="D3087" s="2" t="str">
        <f>IFERROR(__xludf.DUMMYFUNCTION("""COMPUTED_VALUE"""),"Brightpoint Press")</f>
        <v>Brightpoint Press</v>
      </c>
      <c r="E3087" s="2">
        <f>IFERROR(__xludf.DUMMYFUNCTION("""COMPUTED_VALUE"""),5.36)</f>
        <v>5.36</v>
      </c>
      <c r="F3087" s="2"/>
      <c r="G3087" s="2"/>
      <c r="H3087" s="2"/>
      <c r="I3087" s="2"/>
    </row>
    <row r="3088">
      <c r="A3088" s="2">
        <f>IFERROR(__xludf.DUMMYFUNCTION("""COMPUTED_VALUE"""),45056.0)</f>
        <v>45056</v>
      </c>
      <c r="B3088" s="2" t="str">
        <f>IFERROR(__xludf.DUMMYFUNCTION("""COMPUTED_VALUE"""),"Tech")</f>
        <v>Tech</v>
      </c>
      <c r="C3088" s="2" t="str">
        <f>IFERROR(__xludf.DUMMYFUNCTION("""COMPUTED_VALUE"""),"Winter Sports")</f>
        <v>Winter Sports</v>
      </c>
      <c r="D3088" s="2" t="str">
        <f>IFERROR(__xludf.DUMMYFUNCTION("""COMPUTED_VALUE"""),"Brightpoint Press")</f>
        <v>Brightpoint Press</v>
      </c>
      <c r="E3088" s="2">
        <f>IFERROR(__xludf.DUMMYFUNCTION("""COMPUTED_VALUE"""),6.33)</f>
        <v>6.33</v>
      </c>
      <c r="F3088" s="2"/>
      <c r="G3088" s="2"/>
      <c r="H3088" s="2"/>
      <c r="I3088" s="2"/>
    </row>
    <row r="3089">
      <c r="A3089" s="2">
        <f>IFERROR(__xludf.DUMMYFUNCTION("""COMPUTED_VALUE"""),92633.0)</f>
        <v>92633</v>
      </c>
      <c r="B3089" s="2" t="str">
        <f>IFERROR(__xludf.DUMMYFUNCTION("""COMPUTED_VALUE"""),"Tech")</f>
        <v>Tech</v>
      </c>
      <c r="C3089" s="2" t="str">
        <f>IFERROR(__xludf.DUMMYFUNCTION("""COMPUTED_VALUE"""),"Winter Sports")</f>
        <v>Winter Sports</v>
      </c>
      <c r="D3089" s="2" t="str">
        <f>IFERROR(__xludf.DUMMYFUNCTION("""COMPUTED_VALUE"""),"Brightpoint Press")</f>
        <v>Brightpoint Press</v>
      </c>
      <c r="E3089" s="2">
        <f>IFERROR(__xludf.DUMMYFUNCTION("""COMPUTED_VALUE"""),6.39)</f>
        <v>6.39</v>
      </c>
      <c r="F3089" s="2"/>
      <c r="G3089" s="2"/>
      <c r="H3089" s="2"/>
      <c r="I3089" s="2"/>
    </row>
    <row r="3090">
      <c r="A3090" s="2">
        <f>IFERROR(__xludf.DUMMYFUNCTION("""COMPUTED_VALUE"""),111011.0)</f>
        <v>111011</v>
      </c>
      <c r="B3090" s="2" t="str">
        <f>IFERROR(__xludf.DUMMYFUNCTION("""COMPUTED_VALUE"""),"Tech")</f>
        <v>Tech</v>
      </c>
      <c r="C3090" s="2" t="str">
        <f>IFERROR(__xludf.DUMMYFUNCTION("""COMPUTED_VALUE"""),"Winter Sports")</f>
        <v>Winter Sports</v>
      </c>
      <c r="D3090" s="2" t="str">
        <f>IFERROR(__xludf.DUMMYFUNCTION("""COMPUTED_VALUE"""),"Brightpoint Press")</f>
        <v>Brightpoint Press</v>
      </c>
      <c r="E3090" s="2">
        <f>IFERROR(__xludf.DUMMYFUNCTION("""COMPUTED_VALUE"""),3.65)</f>
        <v>3.65</v>
      </c>
      <c r="F3090" s="2"/>
      <c r="G3090" s="2"/>
      <c r="H3090" s="2"/>
      <c r="I3090" s="2"/>
    </row>
    <row r="3091">
      <c r="A3091" s="2">
        <f>IFERROR(__xludf.DUMMYFUNCTION("""COMPUTED_VALUE"""),11002.0)</f>
        <v>11002</v>
      </c>
      <c r="B3091" s="2" t="str">
        <f>IFERROR(__xludf.DUMMYFUNCTION("""COMPUTED_VALUE"""),"Tech")</f>
        <v>Tech</v>
      </c>
      <c r="C3091" s="2" t="str">
        <f>IFERROR(__xludf.DUMMYFUNCTION("""COMPUTED_VALUE"""),"Winter Sports")</f>
        <v>Winter Sports</v>
      </c>
      <c r="D3091" s="2" t="str">
        <f>IFERROR(__xludf.DUMMYFUNCTION("""COMPUTED_VALUE"""),"Brightpoint Press")</f>
        <v>Brightpoint Press</v>
      </c>
      <c r="E3091" s="2">
        <f>IFERROR(__xludf.DUMMYFUNCTION("""COMPUTED_VALUE"""),2.97)</f>
        <v>2.97</v>
      </c>
      <c r="F3091" s="2"/>
      <c r="G3091" s="2"/>
      <c r="H3091" s="2"/>
      <c r="I3091" s="2"/>
    </row>
    <row r="3092">
      <c r="A3092" s="2">
        <f>IFERROR(__xludf.DUMMYFUNCTION("""COMPUTED_VALUE"""),80661.0)</f>
        <v>80661</v>
      </c>
      <c r="B3092" s="2" t="str">
        <f>IFERROR(__xludf.DUMMYFUNCTION("""COMPUTED_VALUE"""),"Tech")</f>
        <v>Tech</v>
      </c>
      <c r="C3092" s="2" t="str">
        <f>IFERROR(__xludf.DUMMYFUNCTION("""COMPUTED_VALUE"""),"Winter Sports")</f>
        <v>Winter Sports</v>
      </c>
      <c r="D3092" s="2" t="str">
        <f>IFERROR(__xludf.DUMMYFUNCTION("""COMPUTED_VALUE"""),"Brightpoint Press")</f>
        <v>Brightpoint Press</v>
      </c>
      <c r="E3092" s="2">
        <f>IFERROR(__xludf.DUMMYFUNCTION("""COMPUTED_VALUE"""),4.0)</f>
        <v>4</v>
      </c>
      <c r="F3092" s="2"/>
      <c r="G3092" s="2"/>
      <c r="H3092" s="2"/>
      <c r="I3092" s="2"/>
    </row>
    <row r="3093">
      <c r="A3093" s="2">
        <f>IFERROR(__xludf.DUMMYFUNCTION("""COMPUTED_VALUE"""),128310.0)</f>
        <v>128310</v>
      </c>
      <c r="B3093" s="2" t="str">
        <f>IFERROR(__xludf.DUMMYFUNCTION("""COMPUTED_VALUE"""),"Tech")</f>
        <v>Tech</v>
      </c>
      <c r="C3093" s="2" t="str">
        <f>IFERROR(__xludf.DUMMYFUNCTION("""COMPUTED_VALUE"""),"Winter Sports")</f>
        <v>Winter Sports</v>
      </c>
      <c r="D3093" s="2" t="str">
        <f>IFERROR(__xludf.DUMMYFUNCTION("""COMPUTED_VALUE"""),"Brightpoint Press")</f>
        <v>Brightpoint Press</v>
      </c>
      <c r="E3093" s="2">
        <f>IFERROR(__xludf.DUMMYFUNCTION("""COMPUTED_VALUE"""),2.68)</f>
        <v>2.68</v>
      </c>
      <c r="F3093" s="2"/>
      <c r="G3093" s="2"/>
      <c r="H3093" s="2"/>
      <c r="I3093" s="2"/>
    </row>
    <row r="3094">
      <c r="A3094" s="2">
        <f>IFERROR(__xludf.DUMMYFUNCTION("""COMPUTED_VALUE"""),182193.0)</f>
        <v>182193</v>
      </c>
      <c r="B3094" s="2" t="str">
        <f>IFERROR(__xludf.DUMMYFUNCTION("""COMPUTED_VALUE"""),"Tech")</f>
        <v>Tech</v>
      </c>
      <c r="C3094" s="2" t="str">
        <f>IFERROR(__xludf.DUMMYFUNCTION("""COMPUTED_VALUE"""),"Winter Sports")</f>
        <v>Winter Sports</v>
      </c>
      <c r="D3094" s="2" t="str">
        <f>IFERROR(__xludf.DUMMYFUNCTION("""COMPUTED_VALUE"""),"Brightpoint Press")</f>
        <v>Brightpoint Press</v>
      </c>
      <c r="E3094" s="2">
        <f>IFERROR(__xludf.DUMMYFUNCTION("""COMPUTED_VALUE"""),3.68)</f>
        <v>3.68</v>
      </c>
      <c r="F3094" s="2"/>
      <c r="G3094" s="2"/>
      <c r="H3094" s="2"/>
      <c r="I3094" s="2"/>
    </row>
    <row r="3095">
      <c r="A3095" s="2">
        <f>IFERROR(__xludf.DUMMYFUNCTION("""COMPUTED_VALUE"""),116771.0)</f>
        <v>116771</v>
      </c>
      <c r="B3095" s="2" t="str">
        <f>IFERROR(__xludf.DUMMYFUNCTION("""COMPUTED_VALUE"""),"Tech")</f>
        <v>Tech</v>
      </c>
      <c r="C3095" s="2" t="str">
        <f>IFERROR(__xludf.DUMMYFUNCTION("""COMPUTED_VALUE"""),"Winter Sports")</f>
        <v>Winter Sports</v>
      </c>
      <c r="D3095" s="2" t="str">
        <f>IFERROR(__xludf.DUMMYFUNCTION("""COMPUTED_VALUE"""),"Brightpoint Press")</f>
        <v>Brightpoint Press</v>
      </c>
      <c r="E3095" s="2">
        <f>IFERROR(__xludf.DUMMYFUNCTION("""COMPUTED_VALUE"""),2.89)</f>
        <v>2.89</v>
      </c>
      <c r="F3095" s="2"/>
      <c r="G3095" s="2"/>
      <c r="H3095" s="2"/>
      <c r="I3095" s="2"/>
    </row>
    <row r="3096">
      <c r="A3096" s="2">
        <f>IFERROR(__xludf.DUMMYFUNCTION("""COMPUTED_VALUE"""),103245.0)</f>
        <v>103245</v>
      </c>
      <c r="B3096" s="2" t="str">
        <f>IFERROR(__xludf.DUMMYFUNCTION("""COMPUTED_VALUE"""),"Tech")</f>
        <v>Tech</v>
      </c>
      <c r="C3096" s="2" t="str">
        <f>IFERROR(__xludf.DUMMYFUNCTION("""COMPUTED_VALUE"""),"Winter Sports")</f>
        <v>Winter Sports</v>
      </c>
      <c r="D3096" s="2" t="str">
        <f>IFERROR(__xludf.DUMMYFUNCTION("""COMPUTED_VALUE"""),"Brightpoint Press")</f>
        <v>Brightpoint Press</v>
      </c>
      <c r="E3096" s="2">
        <f>IFERROR(__xludf.DUMMYFUNCTION("""COMPUTED_VALUE"""),4.2)</f>
        <v>4.2</v>
      </c>
      <c r="F3096" s="2"/>
      <c r="G3096" s="2"/>
      <c r="H3096" s="2"/>
      <c r="I3096" s="2"/>
    </row>
    <row r="3097">
      <c r="A3097" s="2">
        <f>IFERROR(__xludf.DUMMYFUNCTION("""COMPUTED_VALUE"""),1961.0)</f>
        <v>1961</v>
      </c>
      <c r="B3097" s="2" t="str">
        <f>IFERROR(__xludf.DUMMYFUNCTION("""COMPUTED_VALUE"""),"Tech")</f>
        <v>Tech</v>
      </c>
      <c r="C3097" s="2" t="str">
        <f>IFERROR(__xludf.DUMMYFUNCTION("""COMPUTED_VALUE"""),"Winter Sports")</f>
        <v>Winter Sports</v>
      </c>
      <c r="D3097" s="2" t="str">
        <f>IFERROR(__xludf.DUMMYFUNCTION("""COMPUTED_VALUE"""),"Brightpoint Press")</f>
        <v>Brightpoint Press</v>
      </c>
      <c r="E3097" s="2">
        <f>IFERROR(__xludf.DUMMYFUNCTION("""COMPUTED_VALUE"""),3.68)</f>
        <v>3.68</v>
      </c>
      <c r="F3097" s="2"/>
      <c r="G3097" s="2"/>
      <c r="H3097" s="2"/>
      <c r="I3097" s="2"/>
    </row>
    <row r="3098">
      <c r="A3098" s="2">
        <f>IFERROR(__xludf.DUMMYFUNCTION("""COMPUTED_VALUE"""),128314.0)</f>
        <v>128314</v>
      </c>
      <c r="B3098" s="2" t="str">
        <f>IFERROR(__xludf.DUMMYFUNCTION("""COMPUTED_VALUE"""),"Tech")</f>
        <v>Tech</v>
      </c>
      <c r="C3098" s="2" t="str">
        <f>IFERROR(__xludf.DUMMYFUNCTION("""COMPUTED_VALUE"""),"Winter Sports")</f>
        <v>Winter Sports</v>
      </c>
      <c r="D3098" s="2" t="str">
        <f>IFERROR(__xludf.DUMMYFUNCTION("""COMPUTED_VALUE"""),"Brightpoint Press")</f>
        <v>Brightpoint Press</v>
      </c>
      <c r="E3098" s="2">
        <f>IFERROR(__xludf.DUMMYFUNCTION("""COMPUTED_VALUE"""),2.53)</f>
        <v>2.53</v>
      </c>
      <c r="F3098" s="2"/>
      <c r="G3098" s="2"/>
      <c r="H3098" s="2"/>
      <c r="I3098" s="2"/>
    </row>
    <row r="3099">
      <c r="A3099" s="2">
        <f>IFERROR(__xludf.DUMMYFUNCTION("""COMPUTED_VALUE"""),109993.0)</f>
        <v>109993</v>
      </c>
      <c r="B3099" s="2" t="str">
        <f>IFERROR(__xludf.DUMMYFUNCTION("""COMPUTED_VALUE"""),"Tech")</f>
        <v>Tech</v>
      </c>
      <c r="C3099" s="2" t="str">
        <f>IFERROR(__xludf.DUMMYFUNCTION("""COMPUTED_VALUE"""),"Winter Sports")</f>
        <v>Winter Sports</v>
      </c>
      <c r="D3099" s="2" t="str">
        <f>IFERROR(__xludf.DUMMYFUNCTION("""COMPUTED_VALUE"""),"Brightpoint Press")</f>
        <v>Brightpoint Press</v>
      </c>
      <c r="E3099" s="2">
        <f>IFERROR(__xludf.DUMMYFUNCTION("""COMPUTED_VALUE"""),6.5)</f>
        <v>6.5</v>
      </c>
      <c r="F3099" s="2"/>
      <c r="G3099" s="2"/>
      <c r="H3099" s="2"/>
      <c r="I3099" s="2"/>
    </row>
    <row r="3100">
      <c r="A3100" s="2">
        <f>IFERROR(__xludf.DUMMYFUNCTION("""COMPUTED_VALUE"""),117270.0)</f>
        <v>117270</v>
      </c>
      <c r="B3100" s="2" t="str">
        <f>IFERROR(__xludf.DUMMYFUNCTION("""COMPUTED_VALUE"""),"Tech")</f>
        <v>Tech</v>
      </c>
      <c r="C3100" s="2" t="str">
        <f>IFERROR(__xludf.DUMMYFUNCTION("""COMPUTED_VALUE"""),"Winter Sports")</f>
        <v>Winter Sports</v>
      </c>
      <c r="D3100" s="2" t="str">
        <f>IFERROR(__xludf.DUMMYFUNCTION("""COMPUTED_VALUE"""),"Brightpoint Press")</f>
        <v>Brightpoint Press</v>
      </c>
      <c r="E3100" s="2">
        <f>IFERROR(__xludf.DUMMYFUNCTION("""COMPUTED_VALUE"""),4.63)</f>
        <v>4.63</v>
      </c>
      <c r="F3100" s="2"/>
      <c r="G3100" s="2"/>
      <c r="H3100" s="2"/>
      <c r="I3100" s="2"/>
    </row>
    <row r="3101">
      <c r="A3101" s="2">
        <f>IFERROR(__xludf.DUMMYFUNCTION("""COMPUTED_VALUE"""),42748.0)</f>
        <v>42748</v>
      </c>
      <c r="B3101" s="2" t="str">
        <f>IFERROR(__xludf.DUMMYFUNCTION("""COMPUTED_VALUE"""),"Tech")</f>
        <v>Tech</v>
      </c>
      <c r="C3101" s="2" t="str">
        <f>IFERROR(__xludf.DUMMYFUNCTION("""COMPUTED_VALUE"""),"Winter Sports")</f>
        <v>Winter Sports</v>
      </c>
      <c r="D3101" s="2" t="str">
        <f>IFERROR(__xludf.DUMMYFUNCTION("""COMPUTED_VALUE"""),"Brightpoint Press")</f>
        <v>Brightpoint Press</v>
      </c>
      <c r="E3101" s="2">
        <f>IFERROR(__xludf.DUMMYFUNCTION("""COMPUTED_VALUE"""),5.39)</f>
        <v>5.39</v>
      </c>
      <c r="F3101" s="2"/>
      <c r="G3101" s="2"/>
      <c r="H3101" s="2"/>
      <c r="I3101" s="2"/>
    </row>
    <row r="3102">
      <c r="A3102" s="2">
        <f>IFERROR(__xludf.DUMMYFUNCTION("""COMPUTED_VALUE"""),110447.0)</f>
        <v>110447</v>
      </c>
      <c r="B3102" s="2" t="str">
        <f>IFERROR(__xludf.DUMMYFUNCTION("""COMPUTED_VALUE"""),"Tech")</f>
        <v>Tech</v>
      </c>
      <c r="C3102" s="2" t="str">
        <f>IFERROR(__xludf.DUMMYFUNCTION("""COMPUTED_VALUE"""),"Winter Sports")</f>
        <v>Winter Sports</v>
      </c>
      <c r="D3102" s="2" t="str">
        <f>IFERROR(__xludf.DUMMYFUNCTION("""COMPUTED_VALUE"""),"Brightpoint Press")</f>
        <v>Brightpoint Press</v>
      </c>
      <c r="E3102" s="2">
        <f>IFERROR(__xludf.DUMMYFUNCTION("""COMPUTED_VALUE"""),19.99)</f>
        <v>19.99</v>
      </c>
      <c r="F3102" s="2"/>
      <c r="G3102" s="2"/>
      <c r="H3102" s="2"/>
      <c r="I3102" s="2"/>
    </row>
    <row r="3103">
      <c r="A3103" s="2">
        <f>IFERROR(__xludf.DUMMYFUNCTION("""COMPUTED_VALUE"""),46979.0)</f>
        <v>46979</v>
      </c>
      <c r="B3103" s="2" t="str">
        <f>IFERROR(__xludf.DUMMYFUNCTION("""COMPUTED_VALUE"""),"Tech")</f>
        <v>Tech</v>
      </c>
      <c r="C3103" s="2" t="str">
        <f>IFERROR(__xludf.DUMMYFUNCTION("""COMPUTED_VALUE"""),"Winter Sports")</f>
        <v>Winter Sports</v>
      </c>
      <c r="D3103" s="2" t="str">
        <f>IFERROR(__xludf.DUMMYFUNCTION("""COMPUTED_VALUE"""),"Brightpoint Press")</f>
        <v>Brightpoint Press</v>
      </c>
      <c r="E3103" s="2">
        <f>IFERROR(__xludf.DUMMYFUNCTION("""COMPUTED_VALUE"""),5.36)</f>
        <v>5.36</v>
      </c>
      <c r="F3103" s="2"/>
      <c r="G3103" s="2"/>
      <c r="H3103" s="2"/>
      <c r="I3103" s="2"/>
    </row>
    <row r="3104">
      <c r="A3104" s="2">
        <f>IFERROR(__xludf.DUMMYFUNCTION("""COMPUTED_VALUE"""),1296.0)</f>
        <v>1296</v>
      </c>
      <c r="B3104" s="2" t="str">
        <f>IFERROR(__xludf.DUMMYFUNCTION("""COMPUTED_VALUE"""),"Tech")</f>
        <v>Tech</v>
      </c>
      <c r="C3104" s="2" t="str">
        <f>IFERROR(__xludf.DUMMYFUNCTION("""COMPUTED_VALUE"""),"Winter Sports")</f>
        <v>Winter Sports</v>
      </c>
      <c r="D3104" s="2" t="str">
        <f>IFERROR(__xludf.DUMMYFUNCTION("""COMPUTED_VALUE"""),"Brightpoint Press")</f>
        <v>Brightpoint Press</v>
      </c>
      <c r="E3104" s="2">
        <f>IFERROR(__xludf.DUMMYFUNCTION("""COMPUTED_VALUE"""),5.5)</f>
        <v>5.5</v>
      </c>
      <c r="F3104" s="2"/>
      <c r="G3104" s="2"/>
      <c r="H3104" s="2"/>
      <c r="I3104" s="2"/>
    </row>
    <row r="3105">
      <c r="A3105" s="2">
        <f>IFERROR(__xludf.DUMMYFUNCTION("""COMPUTED_VALUE"""),109973.0)</f>
        <v>109973</v>
      </c>
      <c r="B3105" s="2" t="str">
        <f>IFERROR(__xludf.DUMMYFUNCTION("""COMPUTED_VALUE"""),"Tech")</f>
        <v>Tech</v>
      </c>
      <c r="C3105" s="2" t="str">
        <f>IFERROR(__xludf.DUMMYFUNCTION("""COMPUTED_VALUE"""),"Winter Sports")</f>
        <v>Winter Sports</v>
      </c>
      <c r="D3105" s="2" t="str">
        <f>IFERROR(__xludf.DUMMYFUNCTION("""COMPUTED_VALUE"""),"Brightpoint Press")</f>
        <v>Brightpoint Press</v>
      </c>
      <c r="E3105" s="2">
        <f>IFERROR(__xludf.DUMMYFUNCTION("""COMPUTED_VALUE"""),3.73)</f>
        <v>3.73</v>
      </c>
      <c r="F3105" s="2"/>
      <c r="G3105" s="2"/>
      <c r="H3105" s="2"/>
      <c r="I3105" s="2"/>
    </row>
    <row r="3106">
      <c r="A3106" s="2">
        <f>IFERROR(__xludf.DUMMYFUNCTION("""COMPUTED_VALUE"""),155949.0)</f>
        <v>155949</v>
      </c>
      <c r="B3106" s="2" t="str">
        <f>IFERROR(__xludf.DUMMYFUNCTION("""COMPUTED_VALUE"""),"Tech")</f>
        <v>Tech</v>
      </c>
      <c r="C3106" s="2" t="str">
        <f>IFERROR(__xludf.DUMMYFUNCTION("""COMPUTED_VALUE"""),"Winter Sports")</f>
        <v>Winter Sports</v>
      </c>
      <c r="D3106" s="2" t="str">
        <f>IFERROR(__xludf.DUMMYFUNCTION("""COMPUTED_VALUE"""),"Brightpoint Press")</f>
        <v>Brightpoint Press</v>
      </c>
      <c r="E3106" s="2">
        <f>IFERROR(__xludf.DUMMYFUNCTION("""COMPUTED_VALUE"""),5.39)</f>
        <v>5.39</v>
      </c>
      <c r="F3106" s="2"/>
      <c r="G3106" s="2"/>
      <c r="H3106" s="2"/>
      <c r="I3106" s="2"/>
    </row>
    <row r="3107">
      <c r="A3107" s="2">
        <f>IFERROR(__xludf.DUMMYFUNCTION("""COMPUTED_VALUE"""),187346.0)</f>
        <v>187346</v>
      </c>
      <c r="B3107" s="2" t="str">
        <f>IFERROR(__xludf.DUMMYFUNCTION("""COMPUTED_VALUE"""),"Tech")</f>
        <v>Tech</v>
      </c>
      <c r="C3107" s="2" t="str">
        <f>IFERROR(__xludf.DUMMYFUNCTION("""COMPUTED_VALUE"""),"Winter Sports")</f>
        <v>Winter Sports</v>
      </c>
      <c r="D3107" s="2" t="str">
        <f>IFERROR(__xludf.DUMMYFUNCTION("""COMPUTED_VALUE"""),"Brightpoint Press")</f>
        <v>Brightpoint Press</v>
      </c>
      <c r="E3107" s="2">
        <f>IFERROR(__xludf.DUMMYFUNCTION("""COMPUTED_VALUE"""),6.42)</f>
        <v>6.42</v>
      </c>
      <c r="F3107" s="2"/>
      <c r="G3107" s="2"/>
      <c r="H3107" s="2"/>
      <c r="I3107" s="2"/>
    </row>
    <row r="3108">
      <c r="A3108" s="2">
        <f>IFERROR(__xludf.DUMMYFUNCTION("""COMPUTED_VALUE"""),46978.0)</f>
        <v>46978</v>
      </c>
      <c r="B3108" s="2" t="str">
        <f>IFERROR(__xludf.DUMMYFUNCTION("""COMPUTED_VALUE"""),"Tech")</f>
        <v>Tech</v>
      </c>
      <c r="C3108" s="2" t="str">
        <f>IFERROR(__xludf.DUMMYFUNCTION("""COMPUTED_VALUE"""),"Winter Sports")</f>
        <v>Winter Sports</v>
      </c>
      <c r="D3108" s="2" t="str">
        <f>IFERROR(__xludf.DUMMYFUNCTION("""COMPUTED_VALUE"""),"Brightpoint Press")</f>
        <v>Brightpoint Press</v>
      </c>
      <c r="E3108" s="2">
        <f>IFERROR(__xludf.DUMMYFUNCTION("""COMPUTED_VALUE"""),7.19)</f>
        <v>7.19</v>
      </c>
      <c r="F3108" s="2"/>
      <c r="G3108" s="2"/>
      <c r="H3108" s="2"/>
      <c r="I3108" s="2"/>
    </row>
    <row r="3109">
      <c r="A3109" s="2">
        <f>IFERROR(__xludf.DUMMYFUNCTION("""COMPUTED_VALUE"""),110283.0)</f>
        <v>110283</v>
      </c>
      <c r="B3109" s="2" t="str">
        <f>IFERROR(__xludf.DUMMYFUNCTION("""COMPUTED_VALUE"""),"Tech")</f>
        <v>Tech</v>
      </c>
      <c r="C3109" s="2" t="str">
        <f>IFERROR(__xludf.DUMMYFUNCTION("""COMPUTED_VALUE"""),"Winter Sports")</f>
        <v>Winter Sports</v>
      </c>
      <c r="D3109" s="2" t="str">
        <f>IFERROR(__xludf.DUMMYFUNCTION("""COMPUTED_VALUE"""),"Brightpoint Press")</f>
        <v>Brightpoint Press</v>
      </c>
      <c r="E3109" s="2">
        <f>IFERROR(__xludf.DUMMYFUNCTION("""COMPUTED_VALUE"""),3.65)</f>
        <v>3.65</v>
      </c>
      <c r="F3109" s="2"/>
      <c r="G3109" s="2"/>
      <c r="H3109" s="2"/>
      <c r="I3109" s="2"/>
    </row>
    <row r="3110">
      <c r="A3110" s="2">
        <f>IFERROR(__xludf.DUMMYFUNCTION("""COMPUTED_VALUE"""),147257.0)</f>
        <v>147257</v>
      </c>
      <c r="B3110" s="2" t="str">
        <f>IFERROR(__xludf.DUMMYFUNCTION("""COMPUTED_VALUE"""),"Tech")</f>
        <v>Tech</v>
      </c>
      <c r="C3110" s="2" t="str">
        <f>IFERROR(__xludf.DUMMYFUNCTION("""COMPUTED_VALUE"""),"Winter Sports")</f>
        <v>Winter Sports</v>
      </c>
      <c r="D3110" s="2" t="str">
        <f>IFERROR(__xludf.DUMMYFUNCTION("""COMPUTED_VALUE"""),"Brightpoint Press")</f>
        <v>Brightpoint Press</v>
      </c>
      <c r="E3110" s="2">
        <f>IFERROR(__xludf.DUMMYFUNCTION("""COMPUTED_VALUE"""),3.32)</f>
        <v>3.32</v>
      </c>
      <c r="F3110" s="2"/>
      <c r="G3110" s="2"/>
      <c r="H3110" s="2"/>
      <c r="I3110" s="2"/>
    </row>
    <row r="3111">
      <c r="A3111" s="2">
        <f>IFERROR(__xludf.DUMMYFUNCTION("""COMPUTED_VALUE"""),182191.0)</f>
        <v>182191</v>
      </c>
      <c r="B3111" s="2" t="str">
        <f>IFERROR(__xludf.DUMMYFUNCTION("""COMPUTED_VALUE"""),"Tech")</f>
        <v>Tech</v>
      </c>
      <c r="C3111" s="2" t="str">
        <f>IFERROR(__xludf.DUMMYFUNCTION("""COMPUTED_VALUE"""),"Winter Sports")</f>
        <v>Winter Sports</v>
      </c>
      <c r="D3111" s="2" t="str">
        <f>IFERROR(__xludf.DUMMYFUNCTION("""COMPUTED_VALUE"""),"Brightpoint Press")</f>
        <v>Brightpoint Press</v>
      </c>
      <c r="E3111" s="2">
        <f>IFERROR(__xludf.DUMMYFUNCTION("""COMPUTED_VALUE"""),3.52)</f>
        <v>3.52</v>
      </c>
      <c r="F3111" s="2"/>
      <c r="G3111" s="2"/>
      <c r="H3111" s="2"/>
      <c r="I3111" s="2"/>
    </row>
    <row r="3112">
      <c r="A3112" s="2">
        <f>IFERROR(__xludf.DUMMYFUNCTION("""COMPUTED_VALUE"""),9722.0)</f>
        <v>9722</v>
      </c>
      <c r="B3112" s="2" t="str">
        <f>IFERROR(__xludf.DUMMYFUNCTION("""COMPUTED_VALUE"""),"Tech")</f>
        <v>Tech</v>
      </c>
      <c r="C3112" s="2" t="str">
        <f>IFERROR(__xludf.DUMMYFUNCTION("""COMPUTED_VALUE"""),"Winter Sports")</f>
        <v>Winter Sports</v>
      </c>
      <c r="D3112" s="2" t="str">
        <f>IFERROR(__xludf.DUMMYFUNCTION("""COMPUTED_VALUE"""),"Brightpoint Press")</f>
        <v>Brightpoint Press</v>
      </c>
      <c r="E3112" s="2">
        <f>IFERROR(__xludf.DUMMYFUNCTION("""COMPUTED_VALUE"""),3.61)</f>
        <v>3.61</v>
      </c>
      <c r="F3112" s="2"/>
      <c r="G3112" s="2"/>
      <c r="H3112" s="2"/>
      <c r="I3112" s="2"/>
    </row>
    <row r="3113">
      <c r="A3113" s="2">
        <f>IFERROR(__xludf.DUMMYFUNCTION("""COMPUTED_VALUE"""),124772.0)</f>
        <v>124772</v>
      </c>
      <c r="B3113" s="2" t="str">
        <f>IFERROR(__xludf.DUMMYFUNCTION("""COMPUTED_VALUE"""),"Tech")</f>
        <v>Tech</v>
      </c>
      <c r="C3113" s="2" t="str">
        <f>IFERROR(__xludf.DUMMYFUNCTION("""COMPUTED_VALUE"""),"Winter Sports")</f>
        <v>Winter Sports</v>
      </c>
      <c r="D3113" s="2" t="str">
        <f>IFERROR(__xludf.DUMMYFUNCTION("""COMPUTED_VALUE"""),"Brightpoint Press")</f>
        <v>Brightpoint Press</v>
      </c>
      <c r="E3113" s="2">
        <f>IFERROR(__xludf.DUMMYFUNCTION("""COMPUTED_VALUE"""),9.4)</f>
        <v>9.4</v>
      </c>
      <c r="F3113" s="2"/>
      <c r="G3113" s="2"/>
      <c r="H3113" s="2"/>
      <c r="I3113" s="2"/>
    </row>
    <row r="3114">
      <c r="A3114" s="2">
        <f>IFERROR(__xludf.DUMMYFUNCTION("""COMPUTED_VALUE"""),8681.0)</f>
        <v>8681</v>
      </c>
      <c r="B3114" s="2" t="str">
        <f>IFERROR(__xludf.DUMMYFUNCTION("""COMPUTED_VALUE"""),"Tech")</f>
        <v>Tech</v>
      </c>
      <c r="C3114" s="2" t="str">
        <f>IFERROR(__xludf.DUMMYFUNCTION("""COMPUTED_VALUE"""),"Winter Sports")</f>
        <v>Winter Sports</v>
      </c>
      <c r="D3114" s="2" t="str">
        <f>IFERROR(__xludf.DUMMYFUNCTION("""COMPUTED_VALUE"""),"Brightpoint Press")</f>
        <v>Brightpoint Press</v>
      </c>
      <c r="E3114" s="2">
        <f>IFERROR(__xludf.DUMMYFUNCTION("""COMPUTED_VALUE"""),5.63)</f>
        <v>5.63</v>
      </c>
      <c r="F3114" s="2"/>
      <c r="G3114" s="2"/>
      <c r="H3114" s="2"/>
      <c r="I3114" s="2"/>
    </row>
    <row r="3115">
      <c r="A3115" s="2">
        <f>IFERROR(__xludf.DUMMYFUNCTION("""COMPUTED_VALUE"""),5077.0)</f>
        <v>5077</v>
      </c>
      <c r="B3115" s="2" t="str">
        <f>IFERROR(__xludf.DUMMYFUNCTION("""COMPUTED_VALUE"""),"Tech")</f>
        <v>Tech</v>
      </c>
      <c r="C3115" s="2" t="str">
        <f>IFERROR(__xludf.DUMMYFUNCTION("""COMPUTED_VALUE"""),"Winter Sports")</f>
        <v>Winter Sports</v>
      </c>
      <c r="D3115" s="2" t="str">
        <f>IFERROR(__xludf.DUMMYFUNCTION("""COMPUTED_VALUE"""),"Brightpoint Press")</f>
        <v>Brightpoint Press</v>
      </c>
      <c r="E3115" s="2">
        <f>IFERROR(__xludf.DUMMYFUNCTION("""COMPUTED_VALUE"""),6.67)</f>
        <v>6.67</v>
      </c>
      <c r="F3115" s="2"/>
      <c r="G3115" s="2"/>
      <c r="H3115" s="2"/>
      <c r="I3115" s="2"/>
    </row>
    <row r="3116">
      <c r="A3116" s="2">
        <f>IFERROR(__xludf.DUMMYFUNCTION("""COMPUTED_VALUE"""),114274.0)</f>
        <v>114274</v>
      </c>
      <c r="B3116" s="2" t="str">
        <f>IFERROR(__xludf.DUMMYFUNCTION("""COMPUTED_VALUE"""),"Tech")</f>
        <v>Tech</v>
      </c>
      <c r="C3116" s="2" t="str">
        <f>IFERROR(__xludf.DUMMYFUNCTION("""COMPUTED_VALUE"""),"Winter Sports")</f>
        <v>Winter Sports</v>
      </c>
      <c r="D3116" s="2" t="str">
        <f>IFERROR(__xludf.DUMMYFUNCTION("""COMPUTED_VALUE"""),"Brightpoint Press")</f>
        <v>Brightpoint Press</v>
      </c>
      <c r="E3116" s="2">
        <f>IFERROR(__xludf.DUMMYFUNCTION("""COMPUTED_VALUE"""),5.58)</f>
        <v>5.58</v>
      </c>
      <c r="F3116" s="2"/>
      <c r="G3116" s="2"/>
      <c r="H3116" s="2"/>
      <c r="I3116" s="2"/>
    </row>
    <row r="3117">
      <c r="A3117" s="2">
        <f>IFERROR(__xludf.DUMMYFUNCTION("""COMPUTED_VALUE"""),1297.0)</f>
        <v>1297</v>
      </c>
      <c r="B3117" s="2" t="str">
        <f>IFERROR(__xludf.DUMMYFUNCTION("""COMPUTED_VALUE"""),"Tech")</f>
        <v>Tech</v>
      </c>
      <c r="C3117" s="2" t="str">
        <f>IFERROR(__xludf.DUMMYFUNCTION("""COMPUTED_VALUE"""),"Winter Sports")</f>
        <v>Winter Sports</v>
      </c>
      <c r="D3117" s="2" t="str">
        <f>IFERROR(__xludf.DUMMYFUNCTION("""COMPUTED_VALUE"""),"Brightpoint Press")</f>
        <v>Brightpoint Press</v>
      </c>
      <c r="E3117" s="2">
        <f>IFERROR(__xludf.DUMMYFUNCTION("""COMPUTED_VALUE"""),5.69)</f>
        <v>5.69</v>
      </c>
      <c r="F3117" s="2"/>
      <c r="G3117" s="2"/>
      <c r="H3117" s="2"/>
      <c r="I3117" s="2"/>
    </row>
    <row r="3118">
      <c r="A3118" s="2">
        <f>IFERROR(__xludf.DUMMYFUNCTION("""COMPUTED_VALUE"""),46988.0)</f>
        <v>46988</v>
      </c>
      <c r="B3118" s="2" t="str">
        <f>IFERROR(__xludf.DUMMYFUNCTION("""COMPUTED_VALUE"""),"Tech")</f>
        <v>Tech</v>
      </c>
      <c r="C3118" s="2" t="str">
        <f>IFERROR(__xludf.DUMMYFUNCTION("""COMPUTED_VALUE"""),"Winter Sports")</f>
        <v>Winter Sports</v>
      </c>
      <c r="D3118" s="2" t="str">
        <f>IFERROR(__xludf.DUMMYFUNCTION("""COMPUTED_VALUE"""),"Brightpoint Press")</f>
        <v>Brightpoint Press</v>
      </c>
      <c r="E3118" s="2">
        <f>IFERROR(__xludf.DUMMYFUNCTION("""COMPUTED_VALUE"""),3.59)</f>
        <v>3.59</v>
      </c>
      <c r="F3118" s="2"/>
      <c r="G3118" s="2"/>
      <c r="H3118" s="2"/>
      <c r="I3118" s="2"/>
    </row>
    <row r="3119">
      <c r="A3119" s="2">
        <f>IFERROR(__xludf.DUMMYFUNCTION("""COMPUTED_VALUE"""),92623.0)</f>
        <v>92623</v>
      </c>
      <c r="B3119" s="2" t="str">
        <f>IFERROR(__xludf.DUMMYFUNCTION("""COMPUTED_VALUE"""),"Tech")</f>
        <v>Tech</v>
      </c>
      <c r="C3119" s="2" t="str">
        <f>IFERROR(__xludf.DUMMYFUNCTION("""COMPUTED_VALUE"""),"Winter Sports")</f>
        <v>Winter Sports</v>
      </c>
      <c r="D3119" s="2" t="str">
        <f>IFERROR(__xludf.DUMMYFUNCTION("""COMPUTED_VALUE"""),"Brightpoint Press")</f>
        <v>Brightpoint Press</v>
      </c>
      <c r="E3119" s="2">
        <f>IFERROR(__xludf.DUMMYFUNCTION("""COMPUTED_VALUE"""),6.05)</f>
        <v>6.05</v>
      </c>
      <c r="F3119" s="2"/>
      <c r="G3119" s="2"/>
      <c r="H3119" s="2"/>
      <c r="I3119" s="2"/>
    </row>
    <row r="3120">
      <c r="A3120" s="2">
        <f>IFERROR(__xludf.DUMMYFUNCTION("""COMPUTED_VALUE"""),79761.0)</f>
        <v>79761</v>
      </c>
      <c r="B3120" s="2" t="str">
        <f>IFERROR(__xludf.DUMMYFUNCTION("""COMPUTED_VALUE"""),"Tech")</f>
        <v>Tech</v>
      </c>
      <c r="C3120" s="2" t="str">
        <f>IFERROR(__xludf.DUMMYFUNCTION("""COMPUTED_VALUE"""),"Winter Sports")</f>
        <v>Winter Sports</v>
      </c>
      <c r="D3120" s="2" t="str">
        <f>IFERROR(__xludf.DUMMYFUNCTION("""COMPUTED_VALUE"""),"Brightpoint Press")</f>
        <v>Brightpoint Press</v>
      </c>
      <c r="E3120" s="2">
        <f>IFERROR(__xludf.DUMMYFUNCTION("""COMPUTED_VALUE"""),5.72)</f>
        <v>5.72</v>
      </c>
      <c r="F3120" s="2"/>
      <c r="G3120" s="2"/>
      <c r="H3120" s="2"/>
      <c r="I3120" s="2"/>
    </row>
    <row r="3121">
      <c r="A3121" s="2">
        <f>IFERROR(__xludf.DUMMYFUNCTION("""COMPUTED_VALUE"""),11001.0)</f>
        <v>11001</v>
      </c>
      <c r="B3121" s="2" t="str">
        <f>IFERROR(__xludf.DUMMYFUNCTION("""COMPUTED_VALUE"""),"Tech")</f>
        <v>Tech</v>
      </c>
      <c r="C3121" s="2" t="str">
        <f>IFERROR(__xludf.DUMMYFUNCTION("""COMPUTED_VALUE"""),"Winter Sports")</f>
        <v>Winter Sports</v>
      </c>
      <c r="D3121" s="2" t="str">
        <f>IFERROR(__xludf.DUMMYFUNCTION("""COMPUTED_VALUE"""),"Brightpoint Press")</f>
        <v>Brightpoint Press</v>
      </c>
      <c r="E3121" s="2">
        <f>IFERROR(__xludf.DUMMYFUNCTION("""COMPUTED_VALUE"""),3.21)</f>
        <v>3.21</v>
      </c>
      <c r="F3121" s="2"/>
      <c r="G3121" s="2"/>
      <c r="H3121" s="2"/>
      <c r="I3121" s="2"/>
    </row>
    <row r="3122">
      <c r="A3122" s="2">
        <f>IFERROR(__xludf.DUMMYFUNCTION("""COMPUTED_VALUE"""),9731.0)</f>
        <v>9731</v>
      </c>
      <c r="B3122" s="2" t="str">
        <f>IFERROR(__xludf.DUMMYFUNCTION("""COMPUTED_VALUE"""),"Tech")</f>
        <v>Tech</v>
      </c>
      <c r="C3122" s="2" t="str">
        <f>IFERROR(__xludf.DUMMYFUNCTION("""COMPUTED_VALUE"""),"Winter Sports")</f>
        <v>Winter Sports</v>
      </c>
      <c r="D3122" s="2" t="str">
        <f>IFERROR(__xludf.DUMMYFUNCTION("""COMPUTED_VALUE"""),"Oakpoint Publishing")</f>
        <v>Oakpoint Publishing</v>
      </c>
      <c r="E3122" s="2">
        <f>IFERROR(__xludf.DUMMYFUNCTION("""COMPUTED_VALUE"""),7.0)</f>
        <v>7</v>
      </c>
      <c r="F3122" s="2"/>
      <c r="G3122" s="2"/>
      <c r="H3122" s="2"/>
      <c r="I3122" s="2"/>
    </row>
    <row r="3123">
      <c r="A3123" s="2">
        <f>IFERROR(__xludf.DUMMYFUNCTION("""COMPUTED_VALUE"""),122316.0)</f>
        <v>122316</v>
      </c>
      <c r="B3123" s="2" t="str">
        <f>IFERROR(__xludf.DUMMYFUNCTION("""COMPUTED_VALUE"""),"Tech")</f>
        <v>Tech</v>
      </c>
      <c r="C3123" s="2" t="str">
        <f>IFERROR(__xludf.DUMMYFUNCTION("""COMPUTED_VALUE"""),"Winter Sports")</f>
        <v>Winter Sports</v>
      </c>
      <c r="D3123" s="2" t="str">
        <f>IFERROR(__xludf.DUMMYFUNCTION("""COMPUTED_VALUE"""),"Oakpoint Publishing")</f>
        <v>Oakpoint Publishing</v>
      </c>
      <c r="E3123" s="2">
        <f>IFERROR(__xludf.DUMMYFUNCTION("""COMPUTED_VALUE"""),6.04)</f>
        <v>6.04</v>
      </c>
      <c r="F3123" s="2"/>
      <c r="G3123" s="2"/>
      <c r="H3123" s="2"/>
      <c r="I3123" s="2"/>
    </row>
    <row r="3124">
      <c r="A3124" s="2">
        <f>IFERROR(__xludf.DUMMYFUNCTION("""COMPUTED_VALUE"""),147255.0)</f>
        <v>147255</v>
      </c>
      <c r="B3124" s="2" t="str">
        <f>IFERROR(__xludf.DUMMYFUNCTION("""COMPUTED_VALUE"""),"Tech")</f>
        <v>Tech</v>
      </c>
      <c r="C3124" s="2" t="str">
        <f>IFERROR(__xludf.DUMMYFUNCTION("""COMPUTED_VALUE"""),"Winter Sports")</f>
        <v>Winter Sports</v>
      </c>
      <c r="D3124" s="2" t="str">
        <f>IFERROR(__xludf.DUMMYFUNCTION("""COMPUTED_VALUE"""),"Oakpoint Publishing")</f>
        <v>Oakpoint Publishing</v>
      </c>
      <c r="E3124" s="2">
        <f>IFERROR(__xludf.DUMMYFUNCTION("""COMPUTED_VALUE"""),3.63)</f>
        <v>3.63</v>
      </c>
      <c r="F3124" s="2"/>
      <c r="G3124" s="2"/>
      <c r="H3124" s="2"/>
      <c r="I3124" s="2"/>
    </row>
    <row r="3125">
      <c r="A3125" s="2">
        <f>IFERROR(__xludf.DUMMYFUNCTION("""COMPUTED_VALUE"""),8675.0)</f>
        <v>8675</v>
      </c>
      <c r="B3125" s="2" t="str">
        <f>IFERROR(__xludf.DUMMYFUNCTION("""COMPUTED_VALUE"""),"Tech")</f>
        <v>Tech</v>
      </c>
      <c r="C3125" s="2" t="str">
        <f>IFERROR(__xludf.DUMMYFUNCTION("""COMPUTED_VALUE"""),"Winter Sports")</f>
        <v>Winter Sports</v>
      </c>
      <c r="D3125" s="2" t="str">
        <f>IFERROR(__xludf.DUMMYFUNCTION("""COMPUTED_VALUE"""),"Oakpoint Publishing")</f>
        <v>Oakpoint Publishing</v>
      </c>
      <c r="E3125" s="2">
        <f>IFERROR(__xludf.DUMMYFUNCTION("""COMPUTED_VALUE"""),7.56)</f>
        <v>7.56</v>
      </c>
      <c r="F3125" s="2"/>
      <c r="G3125" s="2"/>
      <c r="H3125" s="2"/>
      <c r="I3125" s="2"/>
    </row>
    <row r="3126">
      <c r="A3126" s="2">
        <f>IFERROR(__xludf.DUMMYFUNCTION("""COMPUTED_VALUE"""),121900.0)</f>
        <v>121900</v>
      </c>
      <c r="B3126" s="2" t="str">
        <f>IFERROR(__xludf.DUMMYFUNCTION("""COMPUTED_VALUE"""),"Tech")</f>
        <v>Tech</v>
      </c>
      <c r="C3126" s="2" t="str">
        <f>IFERROR(__xludf.DUMMYFUNCTION("""COMPUTED_VALUE"""),"Winter Sports")</f>
        <v>Winter Sports</v>
      </c>
      <c r="D3126" s="2" t="str">
        <f>IFERROR(__xludf.DUMMYFUNCTION("""COMPUTED_VALUE"""),"Oakpoint Publishing")</f>
        <v>Oakpoint Publishing</v>
      </c>
      <c r="E3126" s="2">
        <f>IFERROR(__xludf.DUMMYFUNCTION("""COMPUTED_VALUE"""),6.17)</f>
        <v>6.17</v>
      </c>
      <c r="F3126" s="2"/>
      <c r="G3126" s="2"/>
      <c r="H3126" s="2"/>
      <c r="I3126" s="2"/>
    </row>
    <row r="3127">
      <c r="A3127" s="2">
        <f>IFERROR(__xludf.DUMMYFUNCTION("""COMPUTED_VALUE"""),124764.0)</f>
        <v>124764</v>
      </c>
      <c r="B3127" s="2" t="str">
        <f>IFERROR(__xludf.DUMMYFUNCTION("""COMPUTED_VALUE"""),"Tech")</f>
        <v>Tech</v>
      </c>
      <c r="C3127" s="2" t="str">
        <f>IFERROR(__xludf.DUMMYFUNCTION("""COMPUTED_VALUE"""),"Winter Sports")</f>
        <v>Winter Sports</v>
      </c>
      <c r="D3127" s="2" t="str">
        <f>IFERROR(__xludf.DUMMYFUNCTION("""COMPUTED_VALUE"""),"Oakpoint Publishing")</f>
        <v>Oakpoint Publishing</v>
      </c>
      <c r="E3127" s="2">
        <f>IFERROR(__xludf.DUMMYFUNCTION("""COMPUTED_VALUE"""),9.38)</f>
        <v>9.38</v>
      </c>
      <c r="F3127" s="2"/>
      <c r="G3127" s="2"/>
      <c r="H3127" s="2"/>
      <c r="I3127" s="2"/>
    </row>
    <row r="3128">
      <c r="A3128" s="2">
        <f>IFERROR(__xludf.DUMMYFUNCTION("""COMPUTED_VALUE"""),124774.0)</f>
        <v>124774</v>
      </c>
      <c r="B3128" s="2" t="str">
        <f>IFERROR(__xludf.DUMMYFUNCTION("""COMPUTED_VALUE"""),"Tech")</f>
        <v>Tech</v>
      </c>
      <c r="C3128" s="2" t="str">
        <f>IFERROR(__xludf.DUMMYFUNCTION("""COMPUTED_VALUE"""),"Winter Sports")</f>
        <v>Winter Sports</v>
      </c>
      <c r="D3128" s="2" t="str">
        <f>IFERROR(__xludf.DUMMYFUNCTION("""COMPUTED_VALUE"""),"Oakpoint Publishing")</f>
        <v>Oakpoint Publishing</v>
      </c>
      <c r="E3128" s="2">
        <f>IFERROR(__xludf.DUMMYFUNCTION("""COMPUTED_VALUE"""),9.42)</f>
        <v>9.42</v>
      </c>
      <c r="F3128" s="2"/>
      <c r="G3128" s="2"/>
      <c r="H3128" s="2"/>
      <c r="I3128" s="2"/>
    </row>
    <row r="3129">
      <c r="A3129" s="2">
        <f>IFERROR(__xludf.DUMMYFUNCTION("""COMPUTED_VALUE"""),79353.0)</f>
        <v>79353</v>
      </c>
      <c r="B3129" s="2" t="str">
        <f>IFERROR(__xludf.DUMMYFUNCTION("""COMPUTED_VALUE"""),"Tech")</f>
        <v>Tech</v>
      </c>
      <c r="C3129" s="2" t="str">
        <f>IFERROR(__xludf.DUMMYFUNCTION("""COMPUTED_VALUE"""),"Winter Sports")</f>
        <v>Winter Sports</v>
      </c>
      <c r="D3129" s="2" t="str">
        <f>IFERROR(__xludf.DUMMYFUNCTION("""COMPUTED_VALUE"""),"Oakpoint Publishing")</f>
        <v>Oakpoint Publishing</v>
      </c>
      <c r="E3129" s="2">
        <f>IFERROR(__xludf.DUMMYFUNCTION("""COMPUTED_VALUE"""),4.64)</f>
        <v>4.64</v>
      </c>
      <c r="F3129" s="2"/>
      <c r="G3129" s="2"/>
      <c r="H3129" s="2"/>
      <c r="I3129" s="2"/>
    </row>
    <row r="3130">
      <c r="A3130" s="2">
        <f>IFERROR(__xludf.DUMMYFUNCTION("""COMPUTED_VALUE"""),82703.0)</f>
        <v>82703</v>
      </c>
      <c r="B3130" s="2" t="str">
        <f>IFERROR(__xludf.DUMMYFUNCTION("""COMPUTED_VALUE"""),"Tech")</f>
        <v>Tech</v>
      </c>
      <c r="C3130" s="2" t="str">
        <f>IFERROR(__xludf.DUMMYFUNCTION("""COMPUTED_VALUE"""),"Winter Sports")</f>
        <v>Winter Sports</v>
      </c>
      <c r="D3130" s="2" t="str">
        <f>IFERROR(__xludf.DUMMYFUNCTION("""COMPUTED_VALUE"""),"Oakpoint Publishing")</f>
        <v>Oakpoint Publishing</v>
      </c>
      <c r="E3130" s="2">
        <f>IFERROR(__xludf.DUMMYFUNCTION("""COMPUTED_VALUE"""),7.98)</f>
        <v>7.98</v>
      </c>
      <c r="F3130" s="2"/>
      <c r="G3130" s="2"/>
      <c r="H3130" s="2"/>
      <c r="I3130" s="2"/>
    </row>
    <row r="3131">
      <c r="A3131" s="2">
        <f>IFERROR(__xludf.DUMMYFUNCTION("""COMPUTED_VALUE"""),71820.0)</f>
        <v>71820</v>
      </c>
      <c r="B3131" s="2" t="str">
        <f>IFERROR(__xludf.DUMMYFUNCTION("""COMPUTED_VALUE"""),"Tech")</f>
        <v>Tech</v>
      </c>
      <c r="C3131" s="2" t="str">
        <f>IFERROR(__xludf.DUMMYFUNCTION("""COMPUTED_VALUE"""),"Winter Sports")</f>
        <v>Winter Sports</v>
      </c>
      <c r="D3131" s="2" t="str">
        <f>IFERROR(__xludf.DUMMYFUNCTION("""COMPUTED_VALUE"""),"Oakpoint Publishing")</f>
        <v>Oakpoint Publishing</v>
      </c>
      <c r="E3131" s="2">
        <f>IFERROR(__xludf.DUMMYFUNCTION("""COMPUTED_VALUE"""),5.73)</f>
        <v>5.73</v>
      </c>
      <c r="F3131" s="2"/>
      <c r="G3131" s="2"/>
      <c r="H3131" s="2"/>
      <c r="I3131" s="2"/>
    </row>
    <row r="3132">
      <c r="A3132" s="2">
        <f>IFERROR(__xludf.DUMMYFUNCTION("""COMPUTED_VALUE"""),128311.0)</f>
        <v>128311</v>
      </c>
      <c r="B3132" s="2" t="str">
        <f>IFERROR(__xludf.DUMMYFUNCTION("""COMPUTED_VALUE"""),"Tech")</f>
        <v>Tech</v>
      </c>
      <c r="C3132" s="2" t="str">
        <f>IFERROR(__xludf.DUMMYFUNCTION("""COMPUTED_VALUE"""),"Winter Sports")</f>
        <v>Winter Sports</v>
      </c>
      <c r="D3132" s="2" t="str">
        <f>IFERROR(__xludf.DUMMYFUNCTION("""COMPUTED_VALUE"""),"Oakpoint Publishing")</f>
        <v>Oakpoint Publishing</v>
      </c>
      <c r="E3132" s="2">
        <f>IFERROR(__xludf.DUMMYFUNCTION("""COMPUTED_VALUE"""),2.96)</f>
        <v>2.96</v>
      </c>
      <c r="F3132" s="2"/>
      <c r="G3132" s="2"/>
      <c r="H3132" s="2"/>
      <c r="I3132" s="2"/>
    </row>
    <row r="3133">
      <c r="A3133" s="2">
        <f>IFERROR(__xludf.DUMMYFUNCTION("""COMPUTED_VALUE"""),70595.0)</f>
        <v>70595</v>
      </c>
      <c r="B3133" s="2" t="str">
        <f>IFERROR(__xludf.DUMMYFUNCTION("""COMPUTED_VALUE"""),"Tech")</f>
        <v>Tech</v>
      </c>
      <c r="C3133" s="2" t="str">
        <f>IFERROR(__xludf.DUMMYFUNCTION("""COMPUTED_VALUE"""),"Winter Sports")</f>
        <v>Winter Sports</v>
      </c>
      <c r="D3133" s="2" t="str">
        <f>IFERROR(__xludf.DUMMYFUNCTION("""COMPUTED_VALUE"""),"Oakpoint Publishing")</f>
        <v>Oakpoint Publishing</v>
      </c>
      <c r="E3133" s="2">
        <f>IFERROR(__xludf.DUMMYFUNCTION("""COMPUTED_VALUE"""),5.96)</f>
        <v>5.96</v>
      </c>
      <c r="F3133" s="2"/>
      <c r="G3133" s="2"/>
      <c r="H3133" s="2"/>
      <c r="I3133" s="2"/>
    </row>
    <row r="3134">
      <c r="A3134" s="2">
        <f>IFERROR(__xludf.DUMMYFUNCTION("""COMPUTED_VALUE"""),8676.0)</f>
        <v>8676</v>
      </c>
      <c r="B3134" s="2" t="str">
        <f>IFERROR(__xludf.DUMMYFUNCTION("""COMPUTED_VALUE"""),"Tech")</f>
        <v>Tech</v>
      </c>
      <c r="C3134" s="2" t="str">
        <f>IFERROR(__xludf.DUMMYFUNCTION("""COMPUTED_VALUE"""),"Winter Sports")</f>
        <v>Winter Sports</v>
      </c>
      <c r="D3134" s="2" t="str">
        <f>IFERROR(__xludf.DUMMYFUNCTION("""COMPUTED_VALUE"""),"Oakpoint Publishing")</f>
        <v>Oakpoint Publishing</v>
      </c>
      <c r="E3134" s="2">
        <f>IFERROR(__xludf.DUMMYFUNCTION("""COMPUTED_VALUE"""),5.49)</f>
        <v>5.49</v>
      </c>
      <c r="F3134" s="2"/>
      <c r="G3134" s="2"/>
      <c r="H3134" s="2"/>
      <c r="I3134" s="2"/>
    </row>
    <row r="3135">
      <c r="A3135" s="2">
        <f>IFERROR(__xludf.DUMMYFUNCTION("""COMPUTED_VALUE"""),128313.0)</f>
        <v>128313</v>
      </c>
      <c r="B3135" s="2" t="str">
        <f>IFERROR(__xludf.DUMMYFUNCTION("""COMPUTED_VALUE"""),"Tech")</f>
        <v>Tech</v>
      </c>
      <c r="C3135" s="2" t="str">
        <f>IFERROR(__xludf.DUMMYFUNCTION("""COMPUTED_VALUE"""),"Winter Sports")</f>
        <v>Winter Sports</v>
      </c>
      <c r="D3135" s="2" t="str">
        <f>IFERROR(__xludf.DUMMYFUNCTION("""COMPUTED_VALUE"""),"Oakpoint Publishing")</f>
        <v>Oakpoint Publishing</v>
      </c>
      <c r="E3135" s="2">
        <f>IFERROR(__xludf.DUMMYFUNCTION("""COMPUTED_VALUE"""),2.86)</f>
        <v>2.86</v>
      </c>
      <c r="F3135" s="2"/>
      <c r="G3135" s="2"/>
      <c r="H3135" s="2"/>
      <c r="I3135" s="2"/>
    </row>
    <row r="3136">
      <c r="A3136" s="2">
        <f>IFERROR(__xludf.DUMMYFUNCTION("""COMPUTED_VALUE"""),45479.0)</f>
        <v>45479</v>
      </c>
      <c r="B3136" s="2" t="str">
        <f>IFERROR(__xludf.DUMMYFUNCTION("""COMPUTED_VALUE"""),"Tech")</f>
        <v>Tech</v>
      </c>
      <c r="C3136" s="2" t="str">
        <f>IFERROR(__xludf.DUMMYFUNCTION("""COMPUTED_VALUE"""),"Constitutional Law")</f>
        <v>Constitutional Law</v>
      </c>
      <c r="D3136" s="2" t="str">
        <f>IFERROR(__xludf.DUMMYFUNCTION("""COMPUTED_VALUE"""),"Riverpoint Books")</f>
        <v>Riverpoint Books</v>
      </c>
      <c r="E3136" s="2">
        <f>IFERROR(__xludf.DUMMYFUNCTION("""COMPUTED_VALUE"""),2.07)</f>
        <v>2.07</v>
      </c>
      <c r="F3136" s="2"/>
      <c r="G3136" s="2"/>
      <c r="H3136" s="2"/>
      <c r="I3136" s="2"/>
    </row>
    <row r="3137">
      <c r="A3137" s="2">
        <f>IFERROR(__xludf.DUMMYFUNCTION("""COMPUTED_VALUE"""),45481.0)</f>
        <v>45481</v>
      </c>
      <c r="B3137" s="2" t="str">
        <f>IFERROR(__xludf.DUMMYFUNCTION("""COMPUTED_VALUE"""),"Tech")</f>
        <v>Tech</v>
      </c>
      <c r="C3137" s="2" t="str">
        <f>IFERROR(__xludf.DUMMYFUNCTION("""COMPUTED_VALUE"""),"Constitutional Law")</f>
        <v>Constitutional Law</v>
      </c>
      <c r="D3137" s="2" t="str">
        <f>IFERROR(__xludf.DUMMYFUNCTION("""COMPUTED_VALUE"""),"Riverpoint Books")</f>
        <v>Riverpoint Books</v>
      </c>
      <c r="E3137" s="2">
        <f>IFERROR(__xludf.DUMMYFUNCTION("""COMPUTED_VALUE"""),5.44)</f>
        <v>5.44</v>
      </c>
      <c r="F3137" s="2"/>
      <c r="G3137" s="2"/>
      <c r="H3137" s="2"/>
      <c r="I3137" s="2"/>
    </row>
    <row r="3138">
      <c r="A3138" s="2">
        <f>IFERROR(__xludf.DUMMYFUNCTION("""COMPUTED_VALUE"""),80001.0)</f>
        <v>80001</v>
      </c>
      <c r="B3138" s="2" t="str">
        <f>IFERROR(__xludf.DUMMYFUNCTION("""COMPUTED_VALUE"""),"Tech")</f>
        <v>Tech</v>
      </c>
      <c r="C3138" s="2" t="str">
        <f>IFERROR(__xludf.DUMMYFUNCTION("""COMPUTED_VALUE"""),"Constitutional Law")</f>
        <v>Constitutional Law</v>
      </c>
      <c r="D3138" s="2" t="str">
        <f>IFERROR(__xludf.DUMMYFUNCTION("""COMPUTED_VALUE"""),"Riverpoint Books")</f>
        <v>Riverpoint Books</v>
      </c>
      <c r="E3138" s="2">
        <f>IFERROR(__xludf.DUMMYFUNCTION("""COMPUTED_VALUE"""),3.08)</f>
        <v>3.08</v>
      </c>
      <c r="F3138" s="2"/>
      <c r="G3138" s="2"/>
      <c r="H3138" s="2"/>
      <c r="I3138" s="2"/>
    </row>
    <row r="3139">
      <c r="A3139" s="2">
        <f>IFERROR(__xludf.DUMMYFUNCTION("""COMPUTED_VALUE"""),10068.0)</f>
        <v>10068</v>
      </c>
      <c r="B3139" s="2" t="str">
        <f>IFERROR(__xludf.DUMMYFUNCTION("""COMPUTED_VALUE"""),"Tech")</f>
        <v>Tech</v>
      </c>
      <c r="C3139" s="2" t="str">
        <f>IFERROR(__xludf.DUMMYFUNCTION("""COMPUTED_VALUE"""),"Constitutional Law")</f>
        <v>Constitutional Law</v>
      </c>
      <c r="D3139" s="2" t="str">
        <f>IFERROR(__xludf.DUMMYFUNCTION("""COMPUTED_VALUE"""),"Riverpoint Books")</f>
        <v>Riverpoint Books</v>
      </c>
      <c r="E3139" s="2">
        <f>IFERROR(__xludf.DUMMYFUNCTION("""COMPUTED_VALUE"""),2.26)</f>
        <v>2.26</v>
      </c>
      <c r="F3139" s="2"/>
      <c r="G3139" s="2"/>
      <c r="H3139" s="2"/>
      <c r="I3139" s="2"/>
    </row>
    <row r="3140">
      <c r="A3140" s="2">
        <f>IFERROR(__xludf.DUMMYFUNCTION("""COMPUTED_VALUE"""),10054.0)</f>
        <v>10054</v>
      </c>
      <c r="B3140" s="2" t="str">
        <f>IFERROR(__xludf.DUMMYFUNCTION("""COMPUTED_VALUE"""),"Tech")</f>
        <v>Tech</v>
      </c>
      <c r="C3140" s="2" t="str">
        <f>IFERROR(__xludf.DUMMYFUNCTION("""COMPUTED_VALUE"""),"Constitutional Law")</f>
        <v>Constitutional Law</v>
      </c>
      <c r="D3140" s="2" t="str">
        <f>IFERROR(__xludf.DUMMYFUNCTION("""COMPUTED_VALUE"""),"Riverpoint Books")</f>
        <v>Riverpoint Books</v>
      </c>
      <c r="E3140" s="2">
        <f>IFERROR(__xludf.DUMMYFUNCTION("""COMPUTED_VALUE"""),4.29)</f>
        <v>4.29</v>
      </c>
      <c r="F3140" s="2"/>
      <c r="G3140" s="2"/>
      <c r="H3140" s="2"/>
      <c r="I3140" s="2"/>
    </row>
    <row r="3141">
      <c r="A3141" s="2">
        <f>IFERROR(__xludf.DUMMYFUNCTION("""COMPUTED_VALUE"""),10070.0)</f>
        <v>10070</v>
      </c>
      <c r="B3141" s="2" t="str">
        <f>IFERROR(__xludf.DUMMYFUNCTION("""COMPUTED_VALUE"""),"Tech")</f>
        <v>Tech</v>
      </c>
      <c r="C3141" s="2" t="str">
        <f>IFERROR(__xludf.DUMMYFUNCTION("""COMPUTED_VALUE"""),"Constitutional Law")</f>
        <v>Constitutional Law</v>
      </c>
      <c r="D3141" s="2" t="str">
        <f>IFERROR(__xludf.DUMMYFUNCTION("""COMPUTED_VALUE"""),"Riverpoint Books")</f>
        <v>Riverpoint Books</v>
      </c>
      <c r="E3141" s="2">
        <f>IFERROR(__xludf.DUMMYFUNCTION("""COMPUTED_VALUE"""),2.58)</f>
        <v>2.58</v>
      </c>
      <c r="F3141" s="2"/>
      <c r="G3141" s="2"/>
      <c r="H3141" s="2"/>
      <c r="I3141" s="2"/>
    </row>
    <row r="3142">
      <c r="A3142" s="2">
        <f>IFERROR(__xludf.DUMMYFUNCTION("""COMPUTED_VALUE"""),45480.0)</f>
        <v>45480</v>
      </c>
      <c r="B3142" s="2" t="str">
        <f>IFERROR(__xludf.DUMMYFUNCTION("""COMPUTED_VALUE"""),"Tech")</f>
        <v>Tech</v>
      </c>
      <c r="C3142" s="2" t="str">
        <f>IFERROR(__xludf.DUMMYFUNCTION("""COMPUTED_VALUE"""),"Constitutional Law")</f>
        <v>Constitutional Law</v>
      </c>
      <c r="D3142" s="2" t="str">
        <f>IFERROR(__xludf.DUMMYFUNCTION("""COMPUTED_VALUE"""),"Riverpoint Books")</f>
        <v>Riverpoint Books</v>
      </c>
      <c r="E3142" s="2">
        <f>IFERROR(__xludf.DUMMYFUNCTION("""COMPUTED_VALUE"""),2.57)</f>
        <v>2.57</v>
      </c>
      <c r="F3142" s="2"/>
      <c r="G3142" s="2"/>
      <c r="H3142" s="2"/>
      <c r="I3142" s="2"/>
    </row>
    <row r="3143">
      <c r="A3143" s="2">
        <f>IFERROR(__xludf.DUMMYFUNCTION("""COMPUTED_VALUE"""),92791.0)</f>
        <v>92791</v>
      </c>
      <c r="B3143" s="2" t="str">
        <f>IFERROR(__xludf.DUMMYFUNCTION("""COMPUTED_VALUE"""),"Tech")</f>
        <v>Tech</v>
      </c>
      <c r="C3143" s="2" t="str">
        <f>IFERROR(__xludf.DUMMYFUNCTION("""COMPUTED_VALUE"""),"Constitutional Law")</f>
        <v>Constitutional Law</v>
      </c>
      <c r="D3143" s="2" t="str">
        <f>IFERROR(__xludf.DUMMYFUNCTION("""COMPUTED_VALUE"""),"Riverpoint Books")</f>
        <v>Riverpoint Books</v>
      </c>
      <c r="E3143" s="2">
        <f>IFERROR(__xludf.DUMMYFUNCTION("""COMPUTED_VALUE"""),1.91)</f>
        <v>1.91</v>
      </c>
      <c r="F3143" s="2"/>
      <c r="G3143" s="2"/>
      <c r="H3143" s="2"/>
      <c r="I3143" s="2"/>
    </row>
    <row r="3144">
      <c r="A3144" s="2">
        <f>IFERROR(__xludf.DUMMYFUNCTION("""COMPUTED_VALUE"""),188722.0)</f>
        <v>188722</v>
      </c>
      <c r="B3144" s="2" t="str">
        <f>IFERROR(__xludf.DUMMYFUNCTION("""COMPUTED_VALUE"""),"Tech")</f>
        <v>Tech</v>
      </c>
      <c r="C3144" s="2" t="str">
        <f>IFERROR(__xludf.DUMMYFUNCTION("""COMPUTED_VALUE"""),"Constitutional Law")</f>
        <v>Constitutional Law</v>
      </c>
      <c r="D3144" s="2" t="str">
        <f>IFERROR(__xludf.DUMMYFUNCTION("""COMPUTED_VALUE"""),"Ironpoint Press")</f>
        <v>Ironpoint Press</v>
      </c>
      <c r="E3144" s="2">
        <f>IFERROR(__xludf.DUMMYFUNCTION("""COMPUTED_VALUE"""),2.47)</f>
        <v>2.47</v>
      </c>
      <c r="F3144" s="2"/>
      <c r="G3144" s="2"/>
      <c r="H3144" s="2"/>
      <c r="I3144" s="2"/>
    </row>
    <row r="3145">
      <c r="A3145" s="2">
        <f>IFERROR(__xludf.DUMMYFUNCTION("""COMPUTED_VALUE"""),10061.0)</f>
        <v>10061</v>
      </c>
      <c r="B3145" s="2" t="str">
        <f>IFERROR(__xludf.DUMMYFUNCTION("""COMPUTED_VALUE"""),"Tech")</f>
        <v>Tech</v>
      </c>
      <c r="C3145" s="2" t="str">
        <f>IFERROR(__xludf.DUMMYFUNCTION("""COMPUTED_VALUE"""),"Constitutional Law")</f>
        <v>Constitutional Law</v>
      </c>
      <c r="D3145" s="2" t="str">
        <f>IFERROR(__xludf.DUMMYFUNCTION("""COMPUTED_VALUE"""),"Ironpoint Press")</f>
        <v>Ironpoint Press</v>
      </c>
      <c r="E3145" s="2">
        <f>IFERROR(__xludf.DUMMYFUNCTION("""COMPUTED_VALUE"""),4.28)</f>
        <v>4.28</v>
      </c>
      <c r="F3145" s="2"/>
      <c r="G3145" s="2"/>
      <c r="H3145" s="2"/>
      <c r="I3145" s="2"/>
    </row>
    <row r="3146">
      <c r="A3146" s="2">
        <f>IFERROR(__xludf.DUMMYFUNCTION("""COMPUTED_VALUE"""),188708.0)</f>
        <v>188708</v>
      </c>
      <c r="B3146" s="2" t="str">
        <f>IFERROR(__xludf.DUMMYFUNCTION("""COMPUTED_VALUE"""),"Tech")</f>
        <v>Tech</v>
      </c>
      <c r="C3146" s="2" t="str">
        <f>IFERROR(__xludf.DUMMYFUNCTION("""COMPUTED_VALUE"""),"Constitutional Law")</f>
        <v>Constitutional Law</v>
      </c>
      <c r="D3146" s="2" t="str">
        <f>IFERROR(__xludf.DUMMYFUNCTION("""COMPUTED_VALUE"""),"Ironpoint Press")</f>
        <v>Ironpoint Press</v>
      </c>
      <c r="E3146" s="2">
        <f>IFERROR(__xludf.DUMMYFUNCTION("""COMPUTED_VALUE"""),2.21)</f>
        <v>2.21</v>
      </c>
      <c r="F3146" s="2"/>
      <c r="G3146" s="2"/>
      <c r="H3146" s="2"/>
      <c r="I3146" s="2"/>
    </row>
    <row r="3147">
      <c r="A3147" s="2">
        <f>IFERROR(__xludf.DUMMYFUNCTION("""COMPUTED_VALUE"""),110927.0)</f>
        <v>110927</v>
      </c>
      <c r="B3147" s="2" t="str">
        <f>IFERROR(__xludf.DUMMYFUNCTION("""COMPUTED_VALUE"""),"Tech")</f>
        <v>Tech</v>
      </c>
      <c r="C3147" s="2" t="str">
        <f>IFERROR(__xludf.DUMMYFUNCTION("""COMPUTED_VALUE"""),"Constitutional Law")</f>
        <v>Constitutional Law</v>
      </c>
      <c r="D3147" s="2" t="str">
        <f>IFERROR(__xludf.DUMMYFUNCTION("""COMPUTED_VALUE"""),"Ironpoint Press")</f>
        <v>Ironpoint Press</v>
      </c>
      <c r="E3147" s="2">
        <f>IFERROR(__xludf.DUMMYFUNCTION("""COMPUTED_VALUE"""),2.86)</f>
        <v>2.86</v>
      </c>
      <c r="F3147" s="2"/>
      <c r="G3147" s="2"/>
      <c r="H3147" s="2"/>
      <c r="I3147" s="2"/>
    </row>
    <row r="3148">
      <c r="A3148" s="2">
        <f>IFERROR(__xludf.DUMMYFUNCTION("""COMPUTED_VALUE"""),188729.0)</f>
        <v>188729</v>
      </c>
      <c r="B3148" s="2" t="str">
        <f>IFERROR(__xludf.DUMMYFUNCTION("""COMPUTED_VALUE"""),"Tech")</f>
        <v>Tech</v>
      </c>
      <c r="C3148" s="2" t="str">
        <f>IFERROR(__xludf.DUMMYFUNCTION("""COMPUTED_VALUE"""),"Constitutional Law")</f>
        <v>Constitutional Law</v>
      </c>
      <c r="D3148" s="2" t="str">
        <f>IFERROR(__xludf.DUMMYFUNCTION("""COMPUTED_VALUE"""),"Ironpoint Press")</f>
        <v>Ironpoint Press</v>
      </c>
      <c r="E3148" s="2">
        <f>IFERROR(__xludf.DUMMYFUNCTION("""COMPUTED_VALUE"""),1.16)</f>
        <v>1.16</v>
      </c>
      <c r="F3148" s="2"/>
      <c r="G3148" s="2"/>
      <c r="H3148" s="2"/>
      <c r="I3148" s="2"/>
    </row>
    <row r="3149">
      <c r="A3149" s="2">
        <f>IFERROR(__xludf.DUMMYFUNCTION("""COMPUTED_VALUE"""),120969.0)</f>
        <v>120969</v>
      </c>
      <c r="B3149" s="2" t="str">
        <f>IFERROR(__xludf.DUMMYFUNCTION("""COMPUTED_VALUE"""),"Tech")</f>
        <v>Tech</v>
      </c>
      <c r="C3149" s="2" t="str">
        <f>IFERROR(__xludf.DUMMYFUNCTION("""COMPUTED_VALUE"""),"Constitutional Law")</f>
        <v>Constitutional Law</v>
      </c>
      <c r="D3149" s="2" t="str">
        <f>IFERROR(__xludf.DUMMYFUNCTION("""COMPUTED_VALUE"""),"Ironpoint Press")</f>
        <v>Ironpoint Press</v>
      </c>
      <c r="E3149" s="2">
        <f>IFERROR(__xludf.DUMMYFUNCTION("""COMPUTED_VALUE"""),6.03)</f>
        <v>6.03</v>
      </c>
      <c r="F3149" s="2"/>
      <c r="G3149" s="2"/>
      <c r="H3149" s="2"/>
      <c r="I3149" s="2"/>
    </row>
    <row r="3150">
      <c r="A3150" s="2">
        <f>IFERROR(__xludf.DUMMYFUNCTION("""COMPUTED_VALUE"""),188728.0)</f>
        <v>188728</v>
      </c>
      <c r="B3150" s="2" t="str">
        <f>IFERROR(__xludf.DUMMYFUNCTION("""COMPUTED_VALUE"""),"Tech")</f>
        <v>Tech</v>
      </c>
      <c r="C3150" s="2" t="str">
        <f>IFERROR(__xludf.DUMMYFUNCTION("""COMPUTED_VALUE"""),"Constitutional Law")</f>
        <v>Constitutional Law</v>
      </c>
      <c r="D3150" s="2" t="str">
        <f>IFERROR(__xludf.DUMMYFUNCTION("""COMPUTED_VALUE"""),"Ironpoint Press")</f>
        <v>Ironpoint Press</v>
      </c>
      <c r="E3150" s="2">
        <f>IFERROR(__xludf.DUMMYFUNCTION("""COMPUTED_VALUE"""),0.82)</f>
        <v>0.82</v>
      </c>
      <c r="F3150" s="2"/>
      <c r="G3150" s="2"/>
      <c r="H3150" s="2"/>
      <c r="I3150" s="2"/>
    </row>
    <row r="3151">
      <c r="A3151" s="2">
        <f>IFERROR(__xludf.DUMMYFUNCTION("""COMPUTED_VALUE"""),188663.0)</f>
        <v>188663</v>
      </c>
      <c r="B3151" s="2" t="str">
        <f>IFERROR(__xludf.DUMMYFUNCTION("""COMPUTED_VALUE"""),"Tech")</f>
        <v>Tech</v>
      </c>
      <c r="C3151" s="2" t="str">
        <f>IFERROR(__xludf.DUMMYFUNCTION("""COMPUTED_VALUE"""),"Constitutional Law")</f>
        <v>Constitutional Law</v>
      </c>
      <c r="D3151" s="2" t="str">
        <f>IFERROR(__xludf.DUMMYFUNCTION("""COMPUTED_VALUE"""),"Ironpoint Press")</f>
        <v>Ironpoint Press</v>
      </c>
      <c r="E3151" s="2">
        <f>IFERROR(__xludf.DUMMYFUNCTION("""COMPUTED_VALUE"""),2.74)</f>
        <v>2.74</v>
      </c>
      <c r="F3151" s="2"/>
      <c r="G3151" s="2"/>
      <c r="H3151" s="2"/>
      <c r="I3151" s="2"/>
    </row>
    <row r="3152">
      <c r="A3152" s="2">
        <f>IFERROR(__xludf.DUMMYFUNCTION("""COMPUTED_VALUE"""),188727.0)</f>
        <v>188727</v>
      </c>
      <c r="B3152" s="2" t="str">
        <f>IFERROR(__xludf.DUMMYFUNCTION("""COMPUTED_VALUE"""),"Tech")</f>
        <v>Tech</v>
      </c>
      <c r="C3152" s="2" t="str">
        <f>IFERROR(__xludf.DUMMYFUNCTION("""COMPUTED_VALUE"""),"Constitutional Law")</f>
        <v>Constitutional Law</v>
      </c>
      <c r="D3152" s="2" t="str">
        <f>IFERROR(__xludf.DUMMYFUNCTION("""COMPUTED_VALUE"""),"Ironpoint Press")</f>
        <v>Ironpoint Press</v>
      </c>
      <c r="E3152" s="2">
        <f>IFERROR(__xludf.DUMMYFUNCTION("""COMPUTED_VALUE"""),1.25)</f>
        <v>1.25</v>
      </c>
      <c r="F3152" s="2"/>
      <c r="G3152" s="2"/>
      <c r="H3152" s="2"/>
      <c r="I3152" s="2"/>
    </row>
    <row r="3153">
      <c r="A3153" s="2">
        <f>IFERROR(__xludf.DUMMYFUNCTION("""COMPUTED_VALUE"""),9741.0)</f>
        <v>9741</v>
      </c>
      <c r="B3153" s="2" t="str">
        <f>IFERROR(__xludf.DUMMYFUNCTION("""COMPUTED_VALUE"""),"Tech")</f>
        <v>Tech</v>
      </c>
      <c r="C3153" s="2" t="str">
        <f>IFERROR(__xludf.DUMMYFUNCTION("""COMPUTED_VALUE"""),"Constitutional Law")</f>
        <v>Constitutional Law</v>
      </c>
      <c r="D3153" s="2" t="str">
        <f>IFERROR(__xludf.DUMMYFUNCTION("""COMPUTED_VALUE"""),"Ironpoint Press")</f>
        <v>Ironpoint Press</v>
      </c>
      <c r="E3153" s="2">
        <f>IFERROR(__xludf.DUMMYFUNCTION("""COMPUTED_VALUE"""),3.48)</f>
        <v>3.48</v>
      </c>
      <c r="F3153" s="2"/>
      <c r="G3153" s="2"/>
      <c r="H3153" s="2"/>
      <c r="I3153" s="2"/>
    </row>
    <row r="3154">
      <c r="A3154" s="2">
        <f>IFERROR(__xludf.DUMMYFUNCTION("""COMPUTED_VALUE"""),70406.0)</f>
        <v>70406</v>
      </c>
      <c r="B3154" s="2" t="str">
        <f>IFERROR(__xludf.DUMMYFUNCTION("""COMPUTED_VALUE"""),"Medical")</f>
        <v>Medical</v>
      </c>
      <c r="C3154" s="2" t="str">
        <f>IFERROR(__xludf.DUMMYFUNCTION("""COMPUTED_VALUE"""),"Criminal Law")</f>
        <v>Criminal Law</v>
      </c>
      <c r="D3154" s="2" t="str">
        <f>IFERROR(__xludf.DUMMYFUNCTION("""COMPUTED_VALUE"""),"Silverlight Publishing")</f>
        <v>Silverlight Publishing</v>
      </c>
      <c r="E3154" s="2">
        <f>IFERROR(__xludf.DUMMYFUNCTION("""COMPUTED_VALUE"""),1.7)</f>
        <v>1.7</v>
      </c>
      <c r="F3154" s="2"/>
      <c r="G3154" s="2"/>
      <c r="H3154" s="2"/>
      <c r="I3154" s="2"/>
    </row>
    <row r="3155">
      <c r="A3155" s="2">
        <f>IFERROR(__xludf.DUMMYFUNCTION("""COMPUTED_VALUE"""),112114.0)</f>
        <v>112114</v>
      </c>
      <c r="B3155" s="2" t="str">
        <f>IFERROR(__xludf.DUMMYFUNCTION("""COMPUTED_VALUE"""),"Medical")</f>
        <v>Medical</v>
      </c>
      <c r="C3155" s="2" t="str">
        <f>IFERROR(__xludf.DUMMYFUNCTION("""COMPUTED_VALUE"""),"Criminal Law")</f>
        <v>Criminal Law</v>
      </c>
      <c r="D3155" s="2" t="str">
        <f>IFERROR(__xludf.DUMMYFUNCTION("""COMPUTED_VALUE"""),"Silverlight Publishing")</f>
        <v>Silverlight Publishing</v>
      </c>
      <c r="E3155" s="2">
        <f>IFERROR(__xludf.DUMMYFUNCTION("""COMPUTED_VALUE"""),1.36)</f>
        <v>1.36</v>
      </c>
      <c r="F3155" s="2"/>
      <c r="G3155" s="2"/>
      <c r="H3155" s="2"/>
      <c r="I3155" s="2"/>
    </row>
    <row r="3156">
      <c r="A3156" s="2">
        <f>IFERROR(__xludf.DUMMYFUNCTION("""COMPUTED_VALUE"""),70405.0)</f>
        <v>70405</v>
      </c>
      <c r="B3156" s="2" t="str">
        <f>IFERROR(__xludf.DUMMYFUNCTION("""COMPUTED_VALUE"""),"Medical")</f>
        <v>Medical</v>
      </c>
      <c r="C3156" s="2" t="str">
        <f>IFERROR(__xludf.DUMMYFUNCTION("""COMPUTED_VALUE"""),"Criminal Law")</f>
        <v>Criminal Law</v>
      </c>
      <c r="D3156" s="2" t="str">
        <f>IFERROR(__xludf.DUMMYFUNCTION("""COMPUTED_VALUE"""),"Silverlight Publishing")</f>
        <v>Silverlight Publishing</v>
      </c>
      <c r="E3156" s="2">
        <f>IFERROR(__xludf.DUMMYFUNCTION("""COMPUTED_VALUE"""),1.25)</f>
        <v>1.25</v>
      </c>
      <c r="F3156" s="2"/>
      <c r="G3156" s="2"/>
      <c r="H3156" s="2"/>
      <c r="I3156" s="2"/>
    </row>
    <row r="3157">
      <c r="A3157" s="2">
        <f>IFERROR(__xludf.DUMMYFUNCTION("""COMPUTED_VALUE"""),20405.0)</f>
        <v>20405</v>
      </c>
      <c r="B3157" s="2" t="str">
        <f>IFERROR(__xludf.DUMMYFUNCTION("""COMPUTED_VALUE"""),"Medical")</f>
        <v>Medical</v>
      </c>
      <c r="C3157" s="2" t="str">
        <f>IFERROR(__xludf.DUMMYFUNCTION("""COMPUTED_VALUE"""),"Criminal Law")</f>
        <v>Criminal Law</v>
      </c>
      <c r="D3157" s="2" t="str">
        <f>IFERROR(__xludf.DUMMYFUNCTION("""COMPUTED_VALUE"""),"Northlight Books")</f>
        <v>Northlight Books</v>
      </c>
      <c r="E3157" s="2">
        <f>IFERROR(__xludf.DUMMYFUNCTION("""COMPUTED_VALUE"""),2.06)</f>
        <v>2.06</v>
      </c>
      <c r="F3157" s="2"/>
      <c r="G3157" s="2"/>
      <c r="H3157" s="2"/>
      <c r="I3157" s="2"/>
    </row>
    <row r="3158">
      <c r="A3158" s="2">
        <f>IFERROR(__xludf.DUMMYFUNCTION("""COMPUTED_VALUE"""),121308.0)</f>
        <v>121308</v>
      </c>
      <c r="B3158" s="2" t="str">
        <f>IFERROR(__xludf.DUMMYFUNCTION("""COMPUTED_VALUE"""),"Self-Help")</f>
        <v>Self-Help</v>
      </c>
      <c r="C3158" s="2" t="str">
        <f>IFERROR(__xludf.DUMMYFUNCTION("""COMPUTED_VALUE"""),"Civil Law")</f>
        <v>Civil Law</v>
      </c>
      <c r="D3158" s="2" t="str">
        <f>IFERROR(__xludf.DUMMYFUNCTION("""COMPUTED_VALUE"""),"Harborlight Press")</f>
        <v>Harborlight Press</v>
      </c>
      <c r="E3158" s="2">
        <f>IFERROR(__xludf.DUMMYFUNCTION("""COMPUTED_VALUE"""),6.42)</f>
        <v>6.42</v>
      </c>
      <c r="F3158" s="2"/>
      <c r="G3158" s="2"/>
      <c r="H3158" s="2"/>
      <c r="I3158" s="2"/>
    </row>
    <row r="3159">
      <c r="A3159" s="2">
        <f>IFERROR(__xludf.DUMMYFUNCTION("""COMPUTED_VALUE"""),121311.0)</f>
        <v>121311</v>
      </c>
      <c r="B3159" s="2" t="str">
        <f>IFERROR(__xludf.DUMMYFUNCTION("""COMPUTED_VALUE"""),"Self-Help")</f>
        <v>Self-Help</v>
      </c>
      <c r="C3159" s="2" t="str">
        <f>IFERROR(__xludf.DUMMYFUNCTION("""COMPUTED_VALUE"""),"Civil Law")</f>
        <v>Civil Law</v>
      </c>
      <c r="D3159" s="2" t="str">
        <f>IFERROR(__xludf.DUMMYFUNCTION("""COMPUTED_VALUE"""),"Harborlight Press")</f>
        <v>Harborlight Press</v>
      </c>
      <c r="E3159" s="2">
        <f>IFERROR(__xludf.DUMMYFUNCTION("""COMPUTED_VALUE"""),7.63)</f>
        <v>7.63</v>
      </c>
      <c r="F3159" s="2"/>
      <c r="G3159" s="2"/>
      <c r="H3159" s="2"/>
      <c r="I3159" s="2"/>
    </row>
    <row r="3160">
      <c r="A3160" s="2">
        <f>IFERROR(__xludf.DUMMYFUNCTION("""COMPUTED_VALUE"""),124748.0)</f>
        <v>124748</v>
      </c>
      <c r="B3160" s="2" t="str">
        <f>IFERROR(__xludf.DUMMYFUNCTION("""COMPUTED_VALUE"""),"Arts")</f>
        <v>Arts</v>
      </c>
      <c r="C3160" s="2" t="str">
        <f>IFERROR(__xludf.DUMMYFUNCTION("""COMPUTED_VALUE"""),"Commercial Law")</f>
        <v>Commercial Law</v>
      </c>
      <c r="D3160" s="2" t="str">
        <f>IFERROR(__xludf.DUMMYFUNCTION("""COMPUTED_VALUE"""),"Cedarlight Publishing")</f>
        <v>Cedarlight Publishing</v>
      </c>
      <c r="E3160" s="2">
        <f>IFERROR(__xludf.DUMMYFUNCTION("""COMPUTED_VALUE"""),5.59)</f>
        <v>5.59</v>
      </c>
      <c r="F3160" s="2"/>
      <c r="G3160" s="2"/>
      <c r="H3160" s="2"/>
      <c r="I3160" s="2"/>
    </row>
    <row r="3161">
      <c r="A3161" s="2">
        <f>IFERROR(__xludf.DUMMYFUNCTION("""COMPUTED_VALUE"""),104315.0)</f>
        <v>104315</v>
      </c>
      <c r="B3161" s="2" t="str">
        <f>IFERROR(__xludf.DUMMYFUNCTION("""COMPUTED_VALUE"""),"Arts")</f>
        <v>Arts</v>
      </c>
      <c r="C3161" s="2" t="str">
        <f>IFERROR(__xludf.DUMMYFUNCTION("""COMPUTED_VALUE"""),"Commercial Law")</f>
        <v>Commercial Law</v>
      </c>
      <c r="D3161" s="2" t="str">
        <f>IFERROR(__xludf.DUMMYFUNCTION("""COMPUTED_VALUE"""),"Cedarlight Publishing")</f>
        <v>Cedarlight Publishing</v>
      </c>
      <c r="E3161" s="2">
        <f>IFERROR(__xludf.DUMMYFUNCTION("""COMPUTED_VALUE"""),2.38)</f>
        <v>2.38</v>
      </c>
      <c r="F3161" s="2"/>
      <c r="G3161" s="2"/>
      <c r="H3161" s="2"/>
      <c r="I3161" s="2"/>
    </row>
    <row r="3162">
      <c r="A3162" s="2">
        <f>IFERROR(__xludf.DUMMYFUNCTION("""COMPUTED_VALUE"""),104314.0)</f>
        <v>104314</v>
      </c>
      <c r="B3162" s="2" t="str">
        <f>IFERROR(__xludf.DUMMYFUNCTION("""COMPUTED_VALUE"""),"Arts")</f>
        <v>Arts</v>
      </c>
      <c r="C3162" s="2" t="str">
        <f>IFERROR(__xludf.DUMMYFUNCTION("""COMPUTED_VALUE"""),"Commercial Law")</f>
        <v>Commercial Law</v>
      </c>
      <c r="D3162" s="2" t="str">
        <f>IFERROR(__xludf.DUMMYFUNCTION("""COMPUTED_VALUE"""),"Cedarlight Publishing")</f>
        <v>Cedarlight Publishing</v>
      </c>
      <c r="E3162" s="2">
        <f>IFERROR(__xludf.DUMMYFUNCTION("""COMPUTED_VALUE"""),2.52)</f>
        <v>2.52</v>
      </c>
      <c r="F3162" s="2"/>
      <c r="G3162" s="2"/>
      <c r="H3162" s="2"/>
      <c r="I3162" s="2"/>
    </row>
    <row r="3163">
      <c r="A3163" s="2">
        <f>IFERROR(__xludf.DUMMYFUNCTION("""COMPUTED_VALUE"""),69287.0)</f>
        <v>69287</v>
      </c>
      <c r="B3163" s="2" t="str">
        <f>IFERROR(__xludf.DUMMYFUNCTION("""COMPUTED_VALUE"""),"Arts")</f>
        <v>Arts</v>
      </c>
      <c r="C3163" s="2" t="str">
        <f>IFERROR(__xludf.DUMMYFUNCTION("""COMPUTED_VALUE"""),"Commercial Law")</f>
        <v>Commercial Law</v>
      </c>
      <c r="D3163" s="2" t="str">
        <f>IFERROR(__xludf.DUMMYFUNCTION("""COMPUTED_VALUE"""),"Cedarlight Publishing")</f>
        <v>Cedarlight Publishing</v>
      </c>
      <c r="E3163" s="2">
        <f>IFERROR(__xludf.DUMMYFUNCTION("""COMPUTED_VALUE"""),2.37)</f>
        <v>2.37</v>
      </c>
      <c r="F3163" s="2"/>
      <c r="G3163" s="2"/>
      <c r="H3163" s="2"/>
      <c r="I3163" s="2"/>
    </row>
    <row r="3164">
      <c r="A3164" s="2">
        <f>IFERROR(__xludf.DUMMYFUNCTION("""COMPUTED_VALUE"""),5789.0)</f>
        <v>5789</v>
      </c>
      <c r="B3164" s="2" t="str">
        <f>IFERROR(__xludf.DUMMYFUNCTION("""COMPUTED_VALUE"""),"Arts")</f>
        <v>Arts</v>
      </c>
      <c r="C3164" s="2" t="str">
        <f>IFERROR(__xludf.DUMMYFUNCTION("""COMPUTED_VALUE"""),"Commercial Law")</f>
        <v>Commercial Law</v>
      </c>
      <c r="D3164" s="2" t="str">
        <f>IFERROR(__xludf.DUMMYFUNCTION("""COMPUTED_VALUE"""),"Cedarlight Publishing")</f>
        <v>Cedarlight Publishing</v>
      </c>
      <c r="E3164" s="2">
        <f>IFERROR(__xludf.DUMMYFUNCTION("""COMPUTED_VALUE"""),1.85)</f>
        <v>1.85</v>
      </c>
      <c r="F3164" s="2"/>
      <c r="G3164" s="2"/>
      <c r="H3164" s="2"/>
      <c r="I3164" s="2"/>
    </row>
    <row r="3165">
      <c r="A3165" s="2">
        <f>IFERROR(__xludf.DUMMYFUNCTION("""COMPUTED_VALUE"""),14013.0)</f>
        <v>14013</v>
      </c>
      <c r="B3165" s="2" t="str">
        <f>IFERROR(__xludf.DUMMYFUNCTION("""COMPUTED_VALUE"""),"Arts")</f>
        <v>Arts</v>
      </c>
      <c r="C3165" s="2" t="str">
        <f>IFERROR(__xludf.DUMMYFUNCTION("""COMPUTED_VALUE"""),"Commercial Law")</f>
        <v>Commercial Law</v>
      </c>
      <c r="D3165" s="2" t="str">
        <f>IFERROR(__xludf.DUMMYFUNCTION("""COMPUTED_VALUE"""),"Cedarlight Publishing")</f>
        <v>Cedarlight Publishing</v>
      </c>
      <c r="E3165" s="2">
        <f>IFERROR(__xludf.DUMMYFUNCTION("""COMPUTED_VALUE"""),0.32)</f>
        <v>0.32</v>
      </c>
      <c r="F3165" s="2"/>
      <c r="G3165" s="2"/>
      <c r="H3165" s="2"/>
      <c r="I3165" s="2"/>
    </row>
    <row r="3166">
      <c r="A3166" s="2">
        <f>IFERROR(__xludf.DUMMYFUNCTION("""COMPUTED_VALUE"""),14015.0)</f>
        <v>14015</v>
      </c>
      <c r="B3166" s="2" t="str">
        <f>IFERROR(__xludf.DUMMYFUNCTION("""COMPUTED_VALUE"""),"Arts")</f>
        <v>Arts</v>
      </c>
      <c r="C3166" s="2" t="str">
        <f>IFERROR(__xludf.DUMMYFUNCTION("""COMPUTED_VALUE"""),"Commercial Law")</f>
        <v>Commercial Law</v>
      </c>
      <c r="D3166" s="2" t="str">
        <f>IFERROR(__xludf.DUMMYFUNCTION("""COMPUTED_VALUE"""),"Cedarlight Publishing")</f>
        <v>Cedarlight Publishing</v>
      </c>
      <c r="E3166" s="2">
        <f>IFERROR(__xludf.DUMMYFUNCTION("""COMPUTED_VALUE"""),1.9)</f>
        <v>1.9</v>
      </c>
      <c r="F3166" s="2"/>
      <c r="G3166" s="2"/>
      <c r="H3166" s="2"/>
      <c r="I3166" s="2"/>
    </row>
    <row r="3167">
      <c r="A3167" s="2">
        <f>IFERROR(__xludf.DUMMYFUNCTION("""COMPUTED_VALUE"""),69291.0)</f>
        <v>69291</v>
      </c>
      <c r="B3167" s="2" t="str">
        <f>IFERROR(__xludf.DUMMYFUNCTION("""COMPUTED_VALUE"""),"Arts")</f>
        <v>Arts</v>
      </c>
      <c r="C3167" s="2" t="str">
        <f>IFERROR(__xludf.DUMMYFUNCTION("""COMPUTED_VALUE"""),"Commercial Law")</f>
        <v>Commercial Law</v>
      </c>
      <c r="D3167" s="2" t="str">
        <f>IFERROR(__xludf.DUMMYFUNCTION("""COMPUTED_VALUE"""),"Cedarlight Publishing")</f>
        <v>Cedarlight Publishing</v>
      </c>
      <c r="E3167" s="2">
        <f>IFERROR(__xludf.DUMMYFUNCTION("""COMPUTED_VALUE"""),2.49)</f>
        <v>2.49</v>
      </c>
      <c r="F3167" s="2"/>
      <c r="G3167" s="2"/>
      <c r="H3167" s="2"/>
      <c r="I3167" s="2"/>
    </row>
    <row r="3168">
      <c r="A3168" s="2">
        <f>IFERROR(__xludf.DUMMYFUNCTION("""COMPUTED_VALUE"""),26057.0)</f>
        <v>26057</v>
      </c>
      <c r="B3168" s="2" t="str">
        <f>IFERROR(__xludf.DUMMYFUNCTION("""COMPUTED_VALUE"""),"Arts")</f>
        <v>Arts</v>
      </c>
      <c r="C3168" s="2" t="str">
        <f>IFERROR(__xludf.DUMMYFUNCTION("""COMPUTED_VALUE"""),"Commercial Law")</f>
        <v>Commercial Law</v>
      </c>
      <c r="D3168" s="2" t="str">
        <f>IFERROR(__xludf.DUMMYFUNCTION("""COMPUTED_VALUE"""),"Brightlight Books")</f>
        <v>Brightlight Books</v>
      </c>
      <c r="E3168" s="2">
        <f>IFERROR(__xludf.DUMMYFUNCTION("""COMPUTED_VALUE"""),1.5)</f>
        <v>1.5</v>
      </c>
      <c r="F3168" s="2"/>
      <c r="G3168" s="2"/>
      <c r="H3168" s="2"/>
      <c r="I3168" s="2"/>
    </row>
    <row r="3169">
      <c r="A3169" s="2">
        <f>IFERROR(__xludf.DUMMYFUNCTION("""COMPUTED_VALUE"""),14022.0)</f>
        <v>14022</v>
      </c>
      <c r="B3169" s="2" t="str">
        <f>IFERROR(__xludf.DUMMYFUNCTION("""COMPUTED_VALUE"""),"Arts")</f>
        <v>Arts</v>
      </c>
      <c r="C3169" s="2" t="str">
        <f>IFERROR(__xludf.DUMMYFUNCTION("""COMPUTED_VALUE"""),"Commercial Law")</f>
        <v>Commercial Law</v>
      </c>
      <c r="D3169" s="2" t="str">
        <f>IFERROR(__xludf.DUMMYFUNCTION("""COMPUTED_VALUE"""),"Brightlight Books")</f>
        <v>Brightlight Books</v>
      </c>
      <c r="E3169" s="2">
        <f>IFERROR(__xludf.DUMMYFUNCTION("""COMPUTED_VALUE"""),1.76)</f>
        <v>1.76</v>
      </c>
      <c r="F3169" s="2"/>
      <c r="G3169" s="2"/>
      <c r="H3169" s="2"/>
      <c r="I3169" s="2"/>
    </row>
    <row r="3170">
      <c r="A3170" s="2">
        <f>IFERROR(__xludf.DUMMYFUNCTION("""COMPUTED_VALUE"""),80109.0)</f>
        <v>80109</v>
      </c>
      <c r="B3170" s="2" t="str">
        <f>IFERROR(__xludf.DUMMYFUNCTION("""COMPUTED_VALUE"""),"Arts")</f>
        <v>Arts</v>
      </c>
      <c r="C3170" s="2" t="str">
        <f>IFERROR(__xludf.DUMMYFUNCTION("""COMPUTED_VALUE"""),"Commercial Law")</f>
        <v>Commercial Law</v>
      </c>
      <c r="D3170" s="2" t="str">
        <f>IFERROR(__xludf.DUMMYFUNCTION("""COMPUTED_VALUE"""),"Brightlight Books")</f>
        <v>Brightlight Books</v>
      </c>
      <c r="E3170" s="2">
        <f>IFERROR(__xludf.DUMMYFUNCTION("""COMPUTED_VALUE"""),2.45)</f>
        <v>2.45</v>
      </c>
      <c r="F3170" s="2"/>
      <c r="G3170" s="2"/>
      <c r="H3170" s="2"/>
      <c r="I3170" s="2"/>
    </row>
    <row r="3171">
      <c r="A3171" s="2">
        <f>IFERROR(__xludf.DUMMYFUNCTION("""COMPUTED_VALUE"""),121686.0)</f>
        <v>121686</v>
      </c>
      <c r="B3171" s="2" t="str">
        <f>IFERROR(__xludf.DUMMYFUNCTION("""COMPUTED_VALUE"""),"Arts")</f>
        <v>Arts</v>
      </c>
      <c r="C3171" s="2" t="str">
        <f>IFERROR(__xludf.DUMMYFUNCTION("""COMPUTED_VALUE"""),"Commercial Law")</f>
        <v>Commercial Law</v>
      </c>
      <c r="D3171" s="2" t="str">
        <f>IFERROR(__xludf.DUMMYFUNCTION("""COMPUTED_VALUE"""),"Brightlight Books")</f>
        <v>Brightlight Books</v>
      </c>
      <c r="E3171" s="2">
        <f>IFERROR(__xludf.DUMMYFUNCTION("""COMPUTED_VALUE"""),1.46)</f>
        <v>1.46</v>
      </c>
      <c r="F3171" s="2"/>
      <c r="G3171" s="2"/>
      <c r="H3171" s="2"/>
      <c r="I3171" s="2"/>
    </row>
    <row r="3172">
      <c r="A3172" s="2">
        <f>IFERROR(__xludf.DUMMYFUNCTION("""COMPUTED_VALUE"""),60365.0)</f>
        <v>60365</v>
      </c>
      <c r="B3172" s="2" t="str">
        <f>IFERROR(__xludf.DUMMYFUNCTION("""COMPUTED_VALUE"""),"Arts")</f>
        <v>Arts</v>
      </c>
      <c r="C3172" s="2" t="str">
        <f>IFERROR(__xludf.DUMMYFUNCTION("""COMPUTED_VALUE"""),"Commercial Law")</f>
        <v>Commercial Law</v>
      </c>
      <c r="D3172" s="2" t="str">
        <f>IFERROR(__xludf.DUMMYFUNCTION("""COMPUTED_VALUE"""),"Brightlight Books")</f>
        <v>Brightlight Books</v>
      </c>
      <c r="E3172" s="2">
        <f>IFERROR(__xludf.DUMMYFUNCTION("""COMPUTED_VALUE"""),2.18)</f>
        <v>2.18</v>
      </c>
      <c r="F3172" s="2"/>
      <c r="G3172" s="2"/>
      <c r="H3172" s="2"/>
      <c r="I3172" s="2"/>
    </row>
    <row r="3173">
      <c r="A3173" s="2">
        <f>IFERROR(__xludf.DUMMYFUNCTION("""COMPUTED_VALUE"""),86488.0)</f>
        <v>86488</v>
      </c>
      <c r="B3173" s="2" t="str">
        <f>IFERROR(__xludf.DUMMYFUNCTION("""COMPUTED_VALUE"""),"Arts")</f>
        <v>Arts</v>
      </c>
      <c r="C3173" s="2" t="str">
        <f>IFERROR(__xludf.DUMMYFUNCTION("""COMPUTED_VALUE"""),"Commercial Law")</f>
        <v>Commercial Law</v>
      </c>
      <c r="D3173" s="2" t="str">
        <f>IFERROR(__xludf.DUMMYFUNCTION("""COMPUTED_VALUE"""),"Brightlight Books")</f>
        <v>Brightlight Books</v>
      </c>
      <c r="E3173" s="2">
        <f>IFERROR(__xludf.DUMMYFUNCTION("""COMPUTED_VALUE"""),1.28)</f>
        <v>1.28</v>
      </c>
      <c r="F3173" s="2"/>
      <c r="G3173" s="2"/>
      <c r="H3173" s="2"/>
      <c r="I3173" s="2"/>
    </row>
    <row r="3174">
      <c r="A3174" s="2">
        <f>IFERROR(__xludf.DUMMYFUNCTION("""COMPUTED_VALUE"""),122530.0)</f>
        <v>122530</v>
      </c>
      <c r="B3174" s="2" t="str">
        <f>IFERROR(__xludf.DUMMYFUNCTION("""COMPUTED_VALUE"""),"Arts")</f>
        <v>Arts</v>
      </c>
      <c r="C3174" s="2" t="str">
        <f>IFERROR(__xludf.DUMMYFUNCTION("""COMPUTED_VALUE"""),"Commercial Law")</f>
        <v>Commercial Law</v>
      </c>
      <c r="D3174" s="2" t="str">
        <f>IFERROR(__xludf.DUMMYFUNCTION("""COMPUTED_VALUE"""),"Brightlight Books")</f>
        <v>Brightlight Books</v>
      </c>
      <c r="E3174" s="2">
        <f>IFERROR(__xludf.DUMMYFUNCTION("""COMPUTED_VALUE"""),1.58)</f>
        <v>1.58</v>
      </c>
      <c r="F3174" s="2"/>
      <c r="G3174" s="2"/>
      <c r="H3174" s="2"/>
      <c r="I3174" s="2"/>
    </row>
    <row r="3175">
      <c r="A3175" s="2">
        <f>IFERROR(__xludf.DUMMYFUNCTION("""COMPUTED_VALUE"""),60526.0)</f>
        <v>60526</v>
      </c>
      <c r="B3175" s="2" t="str">
        <f>IFERROR(__xludf.DUMMYFUNCTION("""COMPUTED_VALUE"""),"Arts")</f>
        <v>Arts</v>
      </c>
      <c r="C3175" s="2" t="str">
        <f>IFERROR(__xludf.DUMMYFUNCTION("""COMPUTED_VALUE"""),"Commercial Law")</f>
        <v>Commercial Law</v>
      </c>
      <c r="D3175" s="2" t="str">
        <f>IFERROR(__xludf.DUMMYFUNCTION("""COMPUTED_VALUE"""),"Brightlight Books")</f>
        <v>Brightlight Books</v>
      </c>
      <c r="E3175" s="2">
        <f>IFERROR(__xludf.DUMMYFUNCTION("""COMPUTED_VALUE"""),1.07)</f>
        <v>1.07</v>
      </c>
      <c r="F3175" s="2"/>
      <c r="G3175" s="2"/>
      <c r="H3175" s="2"/>
      <c r="I3175" s="2"/>
    </row>
    <row r="3176">
      <c r="A3176" s="2">
        <f>IFERROR(__xludf.DUMMYFUNCTION("""COMPUTED_VALUE"""),116807.0)</f>
        <v>116807</v>
      </c>
      <c r="B3176" s="2" t="str">
        <f>IFERROR(__xludf.DUMMYFUNCTION("""COMPUTED_VALUE"""),"Arts")</f>
        <v>Arts</v>
      </c>
      <c r="C3176" s="2" t="str">
        <f>IFERROR(__xludf.DUMMYFUNCTION("""COMPUTED_VALUE"""),"Commercial Law")</f>
        <v>Commercial Law</v>
      </c>
      <c r="D3176" s="2" t="str">
        <f>IFERROR(__xludf.DUMMYFUNCTION("""COMPUTED_VALUE"""),"Brightlight Books")</f>
        <v>Brightlight Books</v>
      </c>
      <c r="E3176" s="2">
        <f>IFERROR(__xludf.DUMMYFUNCTION("""COMPUTED_VALUE"""),1.19)</f>
        <v>1.19</v>
      </c>
      <c r="F3176" s="2"/>
      <c r="G3176" s="2"/>
      <c r="H3176" s="2"/>
      <c r="I3176" s="2"/>
    </row>
    <row r="3177">
      <c r="A3177" s="2">
        <f>IFERROR(__xludf.DUMMYFUNCTION("""COMPUTED_VALUE"""),80030.0)</f>
        <v>80030</v>
      </c>
      <c r="B3177" s="2" t="str">
        <f>IFERROR(__xludf.DUMMYFUNCTION("""COMPUTED_VALUE"""),"Arts")</f>
        <v>Arts</v>
      </c>
      <c r="C3177" s="2" t="str">
        <f>IFERROR(__xludf.DUMMYFUNCTION("""COMPUTED_VALUE"""),"Commercial Law")</f>
        <v>Commercial Law</v>
      </c>
      <c r="D3177" s="2" t="str">
        <f>IFERROR(__xludf.DUMMYFUNCTION("""COMPUTED_VALUE"""),"Brightlight Books")</f>
        <v>Brightlight Books</v>
      </c>
      <c r="E3177" s="2">
        <f>IFERROR(__xludf.DUMMYFUNCTION("""COMPUTED_VALUE"""),1.59)</f>
        <v>1.59</v>
      </c>
      <c r="F3177" s="2"/>
      <c r="G3177" s="2"/>
      <c r="H3177" s="2"/>
      <c r="I3177" s="2"/>
    </row>
    <row r="3178">
      <c r="A3178" s="2">
        <f>IFERROR(__xludf.DUMMYFUNCTION("""COMPUTED_VALUE"""),122529.0)</f>
        <v>122529</v>
      </c>
      <c r="B3178" s="2" t="str">
        <f>IFERROR(__xludf.DUMMYFUNCTION("""COMPUTED_VALUE"""),"Arts")</f>
        <v>Arts</v>
      </c>
      <c r="C3178" s="2" t="str">
        <f>IFERROR(__xludf.DUMMYFUNCTION("""COMPUTED_VALUE"""),"Commercial Law")</f>
        <v>Commercial Law</v>
      </c>
      <c r="D3178" s="2" t="str">
        <f>IFERROR(__xludf.DUMMYFUNCTION("""COMPUTED_VALUE"""),"Brightlight Books")</f>
        <v>Brightlight Books</v>
      </c>
      <c r="E3178" s="2">
        <f>IFERROR(__xludf.DUMMYFUNCTION("""COMPUTED_VALUE"""),1.65)</f>
        <v>1.65</v>
      </c>
      <c r="F3178" s="2"/>
      <c r="G3178" s="2"/>
      <c r="H3178" s="2"/>
      <c r="I3178" s="2"/>
    </row>
    <row r="3179">
      <c r="A3179" s="2">
        <f>IFERROR(__xludf.DUMMYFUNCTION("""COMPUTED_VALUE"""),14042.0)</f>
        <v>14042</v>
      </c>
      <c r="B3179" s="2" t="str">
        <f>IFERROR(__xludf.DUMMYFUNCTION("""COMPUTED_VALUE"""),"Arts")</f>
        <v>Arts</v>
      </c>
      <c r="C3179" s="2" t="str">
        <f>IFERROR(__xludf.DUMMYFUNCTION("""COMPUTED_VALUE"""),"Commercial Law")</f>
        <v>Commercial Law</v>
      </c>
      <c r="D3179" s="2" t="str">
        <f>IFERROR(__xludf.DUMMYFUNCTION("""COMPUTED_VALUE"""),"Brightlight Books")</f>
        <v>Brightlight Books</v>
      </c>
      <c r="E3179" s="2">
        <f>IFERROR(__xludf.DUMMYFUNCTION("""COMPUTED_VALUE"""),1.58)</f>
        <v>1.58</v>
      </c>
      <c r="F3179" s="2"/>
      <c r="G3179" s="2"/>
      <c r="H3179" s="2"/>
      <c r="I3179" s="2"/>
    </row>
    <row r="3180">
      <c r="A3180" s="2">
        <f>IFERROR(__xludf.DUMMYFUNCTION("""COMPUTED_VALUE"""),14043.0)</f>
        <v>14043</v>
      </c>
      <c r="B3180" s="2" t="str">
        <f>IFERROR(__xludf.DUMMYFUNCTION("""COMPUTED_VALUE"""),"Arts")</f>
        <v>Arts</v>
      </c>
      <c r="C3180" s="2" t="str">
        <f>IFERROR(__xludf.DUMMYFUNCTION("""COMPUTED_VALUE"""),"Commercial Law")</f>
        <v>Commercial Law</v>
      </c>
      <c r="D3180" s="2" t="str">
        <f>IFERROR(__xludf.DUMMYFUNCTION("""COMPUTED_VALUE"""),"Brightlight Books")</f>
        <v>Brightlight Books</v>
      </c>
      <c r="E3180" s="2">
        <f>IFERROR(__xludf.DUMMYFUNCTION("""COMPUTED_VALUE"""),1.94)</f>
        <v>1.94</v>
      </c>
      <c r="F3180" s="2"/>
      <c r="G3180" s="2"/>
      <c r="H3180" s="2"/>
      <c r="I3180" s="2"/>
    </row>
    <row r="3181">
      <c r="A3181" s="2">
        <f>IFERROR(__xludf.DUMMYFUNCTION("""COMPUTED_VALUE"""),9157.0)</f>
        <v>9157</v>
      </c>
      <c r="B3181" s="2" t="str">
        <f>IFERROR(__xludf.DUMMYFUNCTION("""COMPUTED_VALUE"""),"Arts")</f>
        <v>Arts</v>
      </c>
      <c r="C3181" s="2" t="str">
        <f>IFERROR(__xludf.DUMMYFUNCTION("""COMPUTED_VALUE"""),"Commercial Law")</f>
        <v>Commercial Law</v>
      </c>
      <c r="D3181" s="2" t="str">
        <f>IFERROR(__xludf.DUMMYFUNCTION("""COMPUTED_VALUE"""),"Oaklight Press")</f>
        <v>Oaklight Press</v>
      </c>
      <c r="E3181" s="2">
        <f>IFERROR(__xludf.DUMMYFUNCTION("""COMPUTED_VALUE"""),1.57)</f>
        <v>1.57</v>
      </c>
      <c r="F3181" s="2"/>
      <c r="G3181" s="2"/>
      <c r="H3181" s="2"/>
      <c r="I3181" s="2"/>
    </row>
    <row r="3182">
      <c r="A3182" s="2">
        <f>IFERROR(__xludf.DUMMYFUNCTION("""COMPUTED_VALUE"""),149968.0)</f>
        <v>149968</v>
      </c>
      <c r="B3182" s="2" t="str">
        <f>IFERROR(__xludf.DUMMYFUNCTION("""COMPUTED_VALUE"""),"Arts")</f>
        <v>Arts</v>
      </c>
      <c r="C3182" s="2" t="str">
        <f>IFERROR(__xludf.DUMMYFUNCTION("""COMPUTED_VALUE"""),"Commercial Law")</f>
        <v>Commercial Law</v>
      </c>
      <c r="D3182" s="2" t="str">
        <f>IFERROR(__xludf.DUMMYFUNCTION("""COMPUTED_VALUE"""),"Oaklight Press")</f>
        <v>Oaklight Press</v>
      </c>
      <c r="E3182" s="2">
        <f>IFERROR(__xludf.DUMMYFUNCTION("""COMPUTED_VALUE"""),1.48)</f>
        <v>1.48</v>
      </c>
      <c r="F3182" s="2"/>
      <c r="G3182" s="2"/>
      <c r="H3182" s="2"/>
      <c r="I3182" s="2"/>
    </row>
    <row r="3183">
      <c r="A3183" s="2">
        <f>IFERROR(__xludf.DUMMYFUNCTION("""COMPUTED_VALUE"""),47299.0)</f>
        <v>47299</v>
      </c>
      <c r="B3183" s="2" t="str">
        <f>IFERROR(__xludf.DUMMYFUNCTION("""COMPUTED_VALUE"""),"Arts")</f>
        <v>Arts</v>
      </c>
      <c r="C3183" s="2" t="str">
        <f>IFERROR(__xludf.DUMMYFUNCTION("""COMPUTED_VALUE"""),"Commercial Law")</f>
        <v>Commercial Law</v>
      </c>
      <c r="D3183" s="2" t="str">
        <f>IFERROR(__xludf.DUMMYFUNCTION("""COMPUTED_VALUE"""),"Oaklight Press")</f>
        <v>Oaklight Press</v>
      </c>
      <c r="E3183" s="2">
        <f>IFERROR(__xludf.DUMMYFUNCTION("""COMPUTED_VALUE"""),1.69)</f>
        <v>1.69</v>
      </c>
      <c r="F3183" s="2"/>
      <c r="G3183" s="2"/>
      <c r="H3183" s="2"/>
      <c r="I3183" s="2"/>
    </row>
    <row r="3184">
      <c r="A3184" s="2">
        <f>IFERROR(__xludf.DUMMYFUNCTION("""COMPUTED_VALUE"""),109275.0)</f>
        <v>109275</v>
      </c>
      <c r="B3184" s="2" t="str">
        <f>IFERROR(__xludf.DUMMYFUNCTION("""COMPUTED_VALUE"""),"Arts")</f>
        <v>Arts</v>
      </c>
      <c r="C3184" s="2" t="str">
        <f>IFERROR(__xludf.DUMMYFUNCTION("""COMPUTED_VALUE"""),"Commercial Law")</f>
        <v>Commercial Law</v>
      </c>
      <c r="D3184" s="2" t="str">
        <f>IFERROR(__xludf.DUMMYFUNCTION("""COMPUTED_VALUE"""),"Oaklight Press")</f>
        <v>Oaklight Press</v>
      </c>
      <c r="E3184" s="2">
        <f>IFERROR(__xludf.DUMMYFUNCTION("""COMPUTED_VALUE"""),2.05)</f>
        <v>2.05</v>
      </c>
      <c r="F3184" s="2"/>
      <c r="G3184" s="2"/>
      <c r="H3184" s="2"/>
      <c r="I3184" s="2"/>
    </row>
    <row r="3185">
      <c r="A3185" s="2">
        <f>IFERROR(__xludf.DUMMYFUNCTION("""COMPUTED_VALUE"""),122768.0)</f>
        <v>122768</v>
      </c>
      <c r="B3185" s="2" t="str">
        <f>IFERROR(__xludf.DUMMYFUNCTION("""COMPUTED_VALUE"""),"Arts")</f>
        <v>Arts</v>
      </c>
      <c r="C3185" s="2" t="str">
        <f>IFERROR(__xludf.DUMMYFUNCTION("""COMPUTED_VALUE"""),"Commercial Law")</f>
        <v>Commercial Law</v>
      </c>
      <c r="D3185" s="2" t="str">
        <f>IFERROR(__xludf.DUMMYFUNCTION("""COMPUTED_VALUE"""),"Oaklight Press")</f>
        <v>Oaklight Press</v>
      </c>
      <c r="E3185" s="2">
        <f>IFERROR(__xludf.DUMMYFUNCTION("""COMPUTED_VALUE"""),1.44)</f>
        <v>1.44</v>
      </c>
      <c r="F3185" s="2"/>
      <c r="G3185" s="2"/>
      <c r="H3185" s="2"/>
      <c r="I3185" s="2"/>
    </row>
    <row r="3186">
      <c r="A3186" s="2">
        <f>IFERROR(__xludf.DUMMYFUNCTION("""COMPUTED_VALUE"""),80400.0)</f>
        <v>80400</v>
      </c>
      <c r="B3186" s="2" t="str">
        <f>IFERROR(__xludf.DUMMYFUNCTION("""COMPUTED_VALUE"""),"Arts")</f>
        <v>Arts</v>
      </c>
      <c r="C3186" s="2" t="str">
        <f>IFERROR(__xludf.DUMMYFUNCTION("""COMPUTED_VALUE"""),"Commercial Law")</f>
        <v>Commercial Law</v>
      </c>
      <c r="D3186" s="2" t="str">
        <f>IFERROR(__xludf.DUMMYFUNCTION("""COMPUTED_VALUE"""),"Oaklight Press")</f>
        <v>Oaklight Press</v>
      </c>
      <c r="E3186" s="2">
        <f>IFERROR(__xludf.DUMMYFUNCTION("""COMPUTED_VALUE"""),2.7)</f>
        <v>2.7</v>
      </c>
      <c r="F3186" s="2"/>
      <c r="G3186" s="2"/>
      <c r="H3186" s="2"/>
      <c r="I3186" s="2"/>
    </row>
    <row r="3187">
      <c r="A3187" s="2">
        <f>IFERROR(__xludf.DUMMYFUNCTION("""COMPUTED_VALUE"""),8803.0)</f>
        <v>8803</v>
      </c>
      <c r="B3187" s="2" t="str">
        <f>IFERROR(__xludf.DUMMYFUNCTION("""COMPUTED_VALUE"""),"Arts")</f>
        <v>Arts</v>
      </c>
      <c r="C3187" s="2" t="str">
        <f>IFERROR(__xludf.DUMMYFUNCTION("""COMPUTED_VALUE"""),"Commercial Law")</f>
        <v>Commercial Law</v>
      </c>
      <c r="D3187" s="2" t="str">
        <f>IFERROR(__xludf.DUMMYFUNCTION("""COMPUTED_VALUE"""),"Oaklight Press")</f>
        <v>Oaklight Press</v>
      </c>
      <c r="E3187" s="2">
        <f>IFERROR(__xludf.DUMMYFUNCTION("""COMPUTED_VALUE"""),2.31)</f>
        <v>2.31</v>
      </c>
      <c r="F3187" s="2"/>
      <c r="G3187" s="2"/>
      <c r="H3187" s="2"/>
      <c r="I3187" s="2"/>
    </row>
    <row r="3188">
      <c r="A3188" s="2">
        <f>IFERROR(__xludf.DUMMYFUNCTION("""COMPUTED_VALUE"""),80085.0)</f>
        <v>80085</v>
      </c>
      <c r="B3188" s="2" t="str">
        <f>IFERROR(__xludf.DUMMYFUNCTION("""COMPUTED_VALUE"""),"Arts")</f>
        <v>Arts</v>
      </c>
      <c r="C3188" s="2" t="str">
        <f>IFERROR(__xludf.DUMMYFUNCTION("""COMPUTED_VALUE"""),"Commercial Law")</f>
        <v>Commercial Law</v>
      </c>
      <c r="D3188" s="2" t="str">
        <f>IFERROR(__xludf.DUMMYFUNCTION("""COMPUTED_VALUE"""),"Oaklight Press")</f>
        <v>Oaklight Press</v>
      </c>
      <c r="E3188" s="2">
        <f>IFERROR(__xludf.DUMMYFUNCTION("""COMPUTED_VALUE"""),2.4)</f>
        <v>2.4</v>
      </c>
      <c r="F3188" s="2"/>
      <c r="G3188" s="2"/>
      <c r="H3188" s="2"/>
      <c r="I3188" s="2"/>
    </row>
    <row r="3189">
      <c r="A3189" s="2">
        <f>IFERROR(__xludf.DUMMYFUNCTION("""COMPUTED_VALUE"""),47379.0)</f>
        <v>47379</v>
      </c>
      <c r="B3189" s="2" t="str">
        <f>IFERROR(__xludf.DUMMYFUNCTION("""COMPUTED_VALUE"""),"Arts")</f>
        <v>Arts</v>
      </c>
      <c r="C3189" s="2" t="str">
        <f>IFERROR(__xludf.DUMMYFUNCTION("""COMPUTED_VALUE"""),"Commercial Law")</f>
        <v>Commercial Law</v>
      </c>
      <c r="D3189" s="2" t="str">
        <f>IFERROR(__xludf.DUMMYFUNCTION("""COMPUTED_VALUE"""),"Oaklight Press")</f>
        <v>Oaklight Press</v>
      </c>
      <c r="E3189" s="2">
        <f>IFERROR(__xludf.DUMMYFUNCTION("""COMPUTED_VALUE"""),1.84)</f>
        <v>1.84</v>
      </c>
      <c r="F3189" s="2"/>
      <c r="G3189" s="2"/>
      <c r="H3189" s="2"/>
      <c r="I3189" s="2"/>
    </row>
    <row r="3190">
      <c r="A3190" s="2">
        <f>IFERROR(__xludf.DUMMYFUNCTION("""COMPUTED_VALUE"""),47366.0)</f>
        <v>47366</v>
      </c>
      <c r="B3190" s="2" t="str">
        <f>IFERROR(__xludf.DUMMYFUNCTION("""COMPUTED_VALUE"""),"Arts")</f>
        <v>Arts</v>
      </c>
      <c r="C3190" s="2" t="str">
        <f>IFERROR(__xludf.DUMMYFUNCTION("""COMPUTED_VALUE"""),"Commercial Law")</f>
        <v>Commercial Law</v>
      </c>
      <c r="D3190" s="2" t="str">
        <f>IFERROR(__xludf.DUMMYFUNCTION("""COMPUTED_VALUE"""),"Oaklight Press")</f>
        <v>Oaklight Press</v>
      </c>
      <c r="E3190" s="2">
        <f>IFERROR(__xludf.DUMMYFUNCTION("""COMPUTED_VALUE"""),2.02)</f>
        <v>2.02</v>
      </c>
      <c r="F3190" s="2"/>
      <c r="G3190" s="2"/>
      <c r="H3190" s="2"/>
      <c r="I3190" s="2"/>
    </row>
    <row r="3191">
      <c r="A3191" s="2">
        <f>IFERROR(__xludf.DUMMYFUNCTION("""COMPUTED_VALUE"""),47376.0)</f>
        <v>47376</v>
      </c>
      <c r="B3191" s="2" t="str">
        <f>IFERROR(__xludf.DUMMYFUNCTION("""COMPUTED_VALUE"""),"Arts")</f>
        <v>Arts</v>
      </c>
      <c r="C3191" s="2" t="str">
        <f>IFERROR(__xludf.DUMMYFUNCTION("""COMPUTED_VALUE"""),"Commercial Law")</f>
        <v>Commercial Law</v>
      </c>
      <c r="D3191" s="2" t="str">
        <f>IFERROR(__xludf.DUMMYFUNCTION("""COMPUTED_VALUE"""),"Oaklight Press")</f>
        <v>Oaklight Press</v>
      </c>
      <c r="E3191" s="2">
        <f>IFERROR(__xludf.DUMMYFUNCTION("""COMPUTED_VALUE"""),1.75)</f>
        <v>1.75</v>
      </c>
      <c r="F3191" s="2"/>
      <c r="G3191" s="2"/>
      <c r="H3191" s="2"/>
      <c r="I3191" s="2"/>
    </row>
    <row r="3192">
      <c r="A3192" s="2">
        <f>IFERROR(__xludf.DUMMYFUNCTION("""COMPUTED_VALUE"""),95799.0)</f>
        <v>95799</v>
      </c>
      <c r="B3192" s="2" t="str">
        <f>IFERROR(__xludf.DUMMYFUNCTION("""COMPUTED_VALUE"""),"Arts")</f>
        <v>Arts</v>
      </c>
      <c r="C3192" s="2" t="str">
        <f>IFERROR(__xludf.DUMMYFUNCTION("""COMPUTED_VALUE"""),"Commercial Law")</f>
        <v>Commercial Law</v>
      </c>
      <c r="D3192" s="2" t="str">
        <f>IFERROR(__xludf.DUMMYFUNCTION("""COMPUTED_VALUE"""),"Oaklight Press")</f>
        <v>Oaklight Press</v>
      </c>
      <c r="E3192" s="2">
        <f>IFERROR(__xludf.DUMMYFUNCTION("""COMPUTED_VALUE"""),1.99)</f>
        <v>1.99</v>
      </c>
      <c r="F3192" s="2"/>
      <c r="G3192" s="2"/>
      <c r="H3192" s="2"/>
      <c r="I3192" s="2"/>
    </row>
    <row r="3193">
      <c r="A3193" s="2">
        <f>IFERROR(__xludf.DUMMYFUNCTION("""COMPUTED_VALUE"""),112733.0)</f>
        <v>112733</v>
      </c>
      <c r="B3193" s="2" t="str">
        <f>IFERROR(__xludf.DUMMYFUNCTION("""COMPUTED_VALUE"""),"Arts")</f>
        <v>Arts</v>
      </c>
      <c r="C3193" s="2" t="str">
        <f>IFERROR(__xludf.DUMMYFUNCTION("""COMPUTED_VALUE"""),"Commercial Law")</f>
        <v>Commercial Law</v>
      </c>
      <c r="D3193" s="2" t="str">
        <f>IFERROR(__xludf.DUMMYFUNCTION("""COMPUTED_VALUE"""),"Oaklight Press")</f>
        <v>Oaklight Press</v>
      </c>
      <c r="E3193" s="2">
        <f>IFERROR(__xludf.DUMMYFUNCTION("""COMPUTED_VALUE"""),1.87)</f>
        <v>1.87</v>
      </c>
      <c r="F3193" s="2"/>
      <c r="G3193" s="2"/>
      <c r="H3193" s="2"/>
      <c r="I3193" s="2"/>
    </row>
    <row r="3194">
      <c r="A3194" s="2">
        <f>IFERROR(__xludf.DUMMYFUNCTION("""COMPUTED_VALUE"""),47050.0)</f>
        <v>47050</v>
      </c>
      <c r="B3194" s="2" t="str">
        <f>IFERROR(__xludf.DUMMYFUNCTION("""COMPUTED_VALUE"""),"Arts")</f>
        <v>Arts</v>
      </c>
      <c r="C3194" s="2" t="str">
        <f>IFERROR(__xludf.DUMMYFUNCTION("""COMPUTED_VALUE"""),"Commercial Law")</f>
        <v>Commercial Law</v>
      </c>
      <c r="D3194" s="2" t="str">
        <f>IFERROR(__xludf.DUMMYFUNCTION("""COMPUTED_VALUE"""),"Riverlight Publishing")</f>
        <v>Riverlight Publishing</v>
      </c>
      <c r="E3194" s="2">
        <f>IFERROR(__xludf.DUMMYFUNCTION("""COMPUTED_VALUE"""),2.24)</f>
        <v>2.24</v>
      </c>
      <c r="F3194" s="2"/>
      <c r="G3194" s="2"/>
      <c r="H3194" s="2"/>
      <c r="I3194" s="2"/>
    </row>
    <row r="3195">
      <c r="A3195" s="2">
        <f>IFERROR(__xludf.DUMMYFUNCTION("""COMPUTED_VALUE"""),112449.0)</f>
        <v>112449</v>
      </c>
      <c r="B3195" s="2" t="str">
        <f>IFERROR(__xludf.DUMMYFUNCTION("""COMPUTED_VALUE"""),"Arts")</f>
        <v>Arts</v>
      </c>
      <c r="C3195" s="2" t="str">
        <f>IFERROR(__xludf.DUMMYFUNCTION("""COMPUTED_VALUE"""),"Commercial Law")</f>
        <v>Commercial Law</v>
      </c>
      <c r="D3195" s="2" t="str">
        <f>IFERROR(__xludf.DUMMYFUNCTION("""COMPUTED_VALUE"""),"Riverlight Publishing")</f>
        <v>Riverlight Publishing</v>
      </c>
      <c r="E3195" s="2">
        <f>IFERROR(__xludf.DUMMYFUNCTION("""COMPUTED_VALUE"""),1.83)</f>
        <v>1.83</v>
      </c>
      <c r="F3195" s="2"/>
      <c r="G3195" s="2"/>
      <c r="H3195" s="2"/>
      <c r="I3195" s="2"/>
    </row>
    <row r="3196">
      <c r="A3196" s="2">
        <f>IFERROR(__xludf.DUMMYFUNCTION("""COMPUTED_VALUE"""),14025.0)</f>
        <v>14025</v>
      </c>
      <c r="B3196" s="2" t="str">
        <f>IFERROR(__xludf.DUMMYFUNCTION("""COMPUTED_VALUE"""),"Arts")</f>
        <v>Arts</v>
      </c>
      <c r="C3196" s="2" t="str">
        <f>IFERROR(__xludf.DUMMYFUNCTION("""COMPUTED_VALUE"""),"Commercial Law")</f>
        <v>Commercial Law</v>
      </c>
      <c r="D3196" s="2" t="str">
        <f>IFERROR(__xludf.DUMMYFUNCTION("""COMPUTED_VALUE"""),"Riverlight Publishing")</f>
        <v>Riverlight Publishing</v>
      </c>
      <c r="E3196" s="2">
        <f>IFERROR(__xludf.DUMMYFUNCTION("""COMPUTED_VALUE"""),1.8)</f>
        <v>1.8</v>
      </c>
      <c r="F3196" s="2"/>
      <c r="G3196" s="2"/>
      <c r="H3196" s="2"/>
      <c r="I3196" s="2"/>
    </row>
    <row r="3197">
      <c r="A3197" s="2">
        <f>IFERROR(__xludf.DUMMYFUNCTION("""COMPUTED_VALUE"""),26054.0)</f>
        <v>26054</v>
      </c>
      <c r="B3197" s="2" t="str">
        <f>IFERROR(__xludf.DUMMYFUNCTION("""COMPUTED_VALUE"""),"Arts")</f>
        <v>Arts</v>
      </c>
      <c r="C3197" s="2" t="str">
        <f>IFERROR(__xludf.DUMMYFUNCTION("""COMPUTED_VALUE"""),"Commercial Law")</f>
        <v>Commercial Law</v>
      </c>
      <c r="D3197" s="2" t="str">
        <f>IFERROR(__xludf.DUMMYFUNCTION("""COMPUTED_VALUE"""),"Riverlight Publishing")</f>
        <v>Riverlight Publishing</v>
      </c>
      <c r="E3197" s="2">
        <f>IFERROR(__xludf.DUMMYFUNCTION("""COMPUTED_VALUE"""),1.72)</f>
        <v>1.72</v>
      </c>
      <c r="F3197" s="2"/>
      <c r="G3197" s="2"/>
      <c r="H3197" s="2"/>
      <c r="I3197" s="2"/>
    </row>
    <row r="3198">
      <c r="A3198" s="2">
        <f>IFERROR(__xludf.DUMMYFUNCTION("""COMPUTED_VALUE"""),60366.0)</f>
        <v>60366</v>
      </c>
      <c r="B3198" s="2" t="str">
        <f>IFERROR(__xludf.DUMMYFUNCTION("""COMPUTED_VALUE"""),"Arts")</f>
        <v>Arts</v>
      </c>
      <c r="C3198" s="2" t="str">
        <f>IFERROR(__xludf.DUMMYFUNCTION("""COMPUTED_VALUE"""),"Commercial Law")</f>
        <v>Commercial Law</v>
      </c>
      <c r="D3198" s="2" t="str">
        <f>IFERROR(__xludf.DUMMYFUNCTION("""COMPUTED_VALUE"""),"Riverlight Publishing")</f>
        <v>Riverlight Publishing</v>
      </c>
      <c r="E3198" s="2">
        <f>IFERROR(__xludf.DUMMYFUNCTION("""COMPUTED_VALUE"""),2.19)</f>
        <v>2.19</v>
      </c>
      <c r="F3198" s="2"/>
      <c r="G3198" s="2"/>
      <c r="H3198" s="2"/>
      <c r="I3198" s="2"/>
    </row>
    <row r="3199">
      <c r="A3199" s="2">
        <f>IFERROR(__xludf.DUMMYFUNCTION("""COMPUTED_VALUE"""),116805.0)</f>
        <v>116805</v>
      </c>
      <c r="B3199" s="2" t="str">
        <f>IFERROR(__xludf.DUMMYFUNCTION("""COMPUTED_VALUE"""),"Arts")</f>
        <v>Arts</v>
      </c>
      <c r="C3199" s="2" t="str">
        <f>IFERROR(__xludf.DUMMYFUNCTION("""COMPUTED_VALUE"""),"Commercial Law")</f>
        <v>Commercial Law</v>
      </c>
      <c r="D3199" s="2" t="str">
        <f>IFERROR(__xludf.DUMMYFUNCTION("""COMPUTED_VALUE"""),"Riverlight Publishing")</f>
        <v>Riverlight Publishing</v>
      </c>
      <c r="E3199" s="2">
        <f>IFERROR(__xludf.DUMMYFUNCTION("""COMPUTED_VALUE"""),1.28)</f>
        <v>1.28</v>
      </c>
      <c r="F3199" s="2"/>
      <c r="G3199" s="2"/>
      <c r="H3199" s="2"/>
      <c r="I3199" s="2"/>
    </row>
    <row r="3200">
      <c r="A3200" s="2">
        <f>IFERROR(__xludf.DUMMYFUNCTION("""COMPUTED_VALUE"""),8804.0)</f>
        <v>8804</v>
      </c>
      <c r="B3200" s="2" t="str">
        <f>IFERROR(__xludf.DUMMYFUNCTION("""COMPUTED_VALUE"""),"Arts")</f>
        <v>Arts</v>
      </c>
      <c r="C3200" s="2" t="str">
        <f>IFERROR(__xludf.DUMMYFUNCTION("""COMPUTED_VALUE"""),"Commercial Law")</f>
        <v>Commercial Law</v>
      </c>
      <c r="D3200" s="2" t="str">
        <f>IFERROR(__xludf.DUMMYFUNCTION("""COMPUTED_VALUE"""),"Riverlight Publishing")</f>
        <v>Riverlight Publishing</v>
      </c>
      <c r="E3200" s="2">
        <f>IFERROR(__xludf.DUMMYFUNCTION("""COMPUTED_VALUE"""),2.42)</f>
        <v>2.42</v>
      </c>
      <c r="F3200" s="2"/>
      <c r="G3200" s="2"/>
      <c r="H3200" s="2"/>
      <c r="I3200" s="2"/>
    </row>
    <row r="3201">
      <c r="A3201" s="2">
        <f>IFERROR(__xludf.DUMMYFUNCTION("""COMPUTED_VALUE"""),48470.0)</f>
        <v>48470</v>
      </c>
      <c r="B3201" s="2" t="str">
        <f>IFERROR(__xludf.DUMMYFUNCTION("""COMPUTED_VALUE"""),"Arts")</f>
        <v>Arts</v>
      </c>
      <c r="C3201" s="2" t="str">
        <f>IFERROR(__xludf.DUMMYFUNCTION("""COMPUTED_VALUE"""),"Commercial Law")</f>
        <v>Commercial Law</v>
      </c>
      <c r="D3201" s="2" t="str">
        <f>IFERROR(__xludf.DUMMYFUNCTION("""COMPUTED_VALUE"""),"Riverlight Publishing")</f>
        <v>Riverlight Publishing</v>
      </c>
      <c r="E3201" s="2">
        <f>IFERROR(__xludf.DUMMYFUNCTION("""COMPUTED_VALUE"""),2.28)</f>
        <v>2.28</v>
      </c>
      <c r="F3201" s="2"/>
      <c r="G3201" s="2"/>
      <c r="H3201" s="2"/>
      <c r="I3201" s="2"/>
    </row>
    <row r="3202">
      <c r="A3202" s="2">
        <f>IFERROR(__xludf.DUMMYFUNCTION("""COMPUTED_VALUE"""),86485.0)</f>
        <v>86485</v>
      </c>
      <c r="B3202" s="2" t="str">
        <f>IFERROR(__xludf.DUMMYFUNCTION("""COMPUTED_VALUE"""),"Arts")</f>
        <v>Arts</v>
      </c>
      <c r="C3202" s="2" t="str">
        <f>IFERROR(__xludf.DUMMYFUNCTION("""COMPUTED_VALUE"""),"Commercial Law")</f>
        <v>Commercial Law</v>
      </c>
      <c r="D3202" s="2" t="str">
        <f>IFERROR(__xludf.DUMMYFUNCTION("""COMPUTED_VALUE"""),"Riverlight Publishing")</f>
        <v>Riverlight Publishing</v>
      </c>
      <c r="E3202" s="2">
        <f>IFERROR(__xludf.DUMMYFUNCTION("""COMPUTED_VALUE"""),1.6)</f>
        <v>1.6</v>
      </c>
      <c r="F3202" s="2"/>
      <c r="G3202" s="2"/>
      <c r="H3202" s="2"/>
      <c r="I3202" s="2"/>
    </row>
    <row r="3203">
      <c r="A3203" s="2">
        <f>IFERROR(__xludf.DUMMYFUNCTION("""COMPUTED_VALUE"""),73872.0)</f>
        <v>73872</v>
      </c>
      <c r="B3203" s="2" t="str">
        <f>IFERROR(__xludf.DUMMYFUNCTION("""COMPUTED_VALUE"""),"Arts")</f>
        <v>Arts</v>
      </c>
      <c r="C3203" s="2" t="str">
        <f>IFERROR(__xludf.DUMMYFUNCTION("""COMPUTED_VALUE"""),"Commercial Law")</f>
        <v>Commercial Law</v>
      </c>
      <c r="D3203" s="2" t="str">
        <f>IFERROR(__xludf.DUMMYFUNCTION("""COMPUTED_VALUE"""),"Riverlight Publishing")</f>
        <v>Riverlight Publishing</v>
      </c>
      <c r="E3203" s="2">
        <f>IFERROR(__xludf.DUMMYFUNCTION("""COMPUTED_VALUE"""),2.16)</f>
        <v>2.16</v>
      </c>
      <c r="F3203" s="2"/>
      <c r="G3203" s="2"/>
      <c r="H3203" s="2"/>
      <c r="I3203" s="2"/>
    </row>
    <row r="3204">
      <c r="A3204" s="2">
        <f>IFERROR(__xludf.DUMMYFUNCTION("""COMPUTED_VALUE"""),72852.0)</f>
        <v>72852</v>
      </c>
      <c r="B3204" s="2" t="str">
        <f>IFERROR(__xludf.DUMMYFUNCTION("""COMPUTED_VALUE"""),"Arts")</f>
        <v>Arts</v>
      </c>
      <c r="C3204" s="2" t="str">
        <f>IFERROR(__xludf.DUMMYFUNCTION("""COMPUTED_VALUE"""),"Commercial Law")</f>
        <v>Commercial Law</v>
      </c>
      <c r="D3204" s="2" t="str">
        <f>IFERROR(__xludf.DUMMYFUNCTION("""COMPUTED_VALUE"""),"Riverlight Publishing")</f>
        <v>Riverlight Publishing</v>
      </c>
      <c r="E3204" s="2">
        <f>IFERROR(__xludf.DUMMYFUNCTION("""COMPUTED_VALUE"""),2.48)</f>
        <v>2.48</v>
      </c>
      <c r="F3204" s="2"/>
      <c r="G3204" s="2"/>
      <c r="H3204" s="2"/>
      <c r="I3204" s="2"/>
    </row>
    <row r="3205">
      <c r="A3205" s="2">
        <f>IFERROR(__xludf.DUMMYFUNCTION("""COMPUTED_VALUE"""),85856.0)</f>
        <v>85856</v>
      </c>
      <c r="B3205" s="2" t="str">
        <f>IFERROR(__xludf.DUMMYFUNCTION("""COMPUTED_VALUE"""),"Arts")</f>
        <v>Arts</v>
      </c>
      <c r="C3205" s="2" t="str">
        <f>IFERROR(__xludf.DUMMYFUNCTION("""COMPUTED_VALUE"""),"Commercial Law")</f>
        <v>Commercial Law</v>
      </c>
      <c r="D3205" s="2" t="str">
        <f>IFERROR(__xludf.DUMMYFUNCTION("""COMPUTED_VALUE"""),"Riverlight Publishing")</f>
        <v>Riverlight Publishing</v>
      </c>
      <c r="E3205" s="2">
        <f>IFERROR(__xludf.DUMMYFUNCTION("""COMPUTED_VALUE"""),0.47)</f>
        <v>0.47</v>
      </c>
      <c r="F3205" s="2"/>
      <c r="G3205" s="2"/>
      <c r="H3205" s="2"/>
      <c r="I3205" s="2"/>
    </row>
    <row r="3206">
      <c r="A3206" s="2">
        <f>IFERROR(__xludf.DUMMYFUNCTION("""COMPUTED_VALUE"""),14018.0)</f>
        <v>14018</v>
      </c>
      <c r="B3206" s="2" t="str">
        <f>IFERROR(__xludf.DUMMYFUNCTION("""COMPUTED_VALUE"""),"Arts")</f>
        <v>Arts</v>
      </c>
      <c r="C3206" s="2" t="str">
        <f>IFERROR(__xludf.DUMMYFUNCTION("""COMPUTED_VALUE"""),"Commercial Law")</f>
        <v>Commercial Law</v>
      </c>
      <c r="D3206" s="2" t="str">
        <f>IFERROR(__xludf.DUMMYFUNCTION("""COMPUTED_VALUE"""),"Riverlight Publishing")</f>
        <v>Riverlight Publishing</v>
      </c>
      <c r="E3206" s="2">
        <f>IFERROR(__xludf.DUMMYFUNCTION("""COMPUTED_VALUE"""),2.37)</f>
        <v>2.37</v>
      </c>
      <c r="F3206" s="2"/>
      <c r="G3206" s="2"/>
      <c r="H3206" s="2"/>
      <c r="I3206" s="2"/>
    </row>
    <row r="3207">
      <c r="A3207" s="2">
        <f>IFERROR(__xludf.DUMMYFUNCTION("""COMPUTED_VALUE"""),100262.0)</f>
        <v>100262</v>
      </c>
      <c r="B3207" s="2" t="str">
        <f>IFERROR(__xludf.DUMMYFUNCTION("""COMPUTED_VALUE"""),"Arts")</f>
        <v>Arts</v>
      </c>
      <c r="C3207" s="2" t="str">
        <f>IFERROR(__xludf.DUMMYFUNCTION("""COMPUTED_VALUE"""),"Commercial Law")</f>
        <v>Commercial Law</v>
      </c>
      <c r="D3207" s="2" t="str">
        <f>IFERROR(__xludf.DUMMYFUNCTION("""COMPUTED_VALUE"""),"Riverlight Publishing")</f>
        <v>Riverlight Publishing</v>
      </c>
      <c r="E3207" s="2">
        <f>IFERROR(__xludf.DUMMYFUNCTION("""COMPUTED_VALUE"""),1.92)</f>
        <v>1.92</v>
      </c>
      <c r="F3207" s="2"/>
      <c r="G3207" s="2"/>
      <c r="H3207" s="2"/>
      <c r="I3207" s="2"/>
    </row>
    <row r="3208">
      <c r="A3208" s="2">
        <f>IFERROR(__xludf.DUMMYFUNCTION("""COMPUTED_VALUE"""),114657.0)</f>
        <v>114657</v>
      </c>
      <c r="B3208" s="2" t="str">
        <f>IFERROR(__xludf.DUMMYFUNCTION("""COMPUTED_VALUE"""),"Arts")</f>
        <v>Arts</v>
      </c>
      <c r="C3208" s="2" t="str">
        <f>IFERROR(__xludf.DUMMYFUNCTION("""COMPUTED_VALUE"""),"Commercial Law")</f>
        <v>Commercial Law</v>
      </c>
      <c r="D3208" s="2" t="str">
        <f>IFERROR(__xludf.DUMMYFUNCTION("""COMPUTED_VALUE"""),"Riverlight Publishing")</f>
        <v>Riverlight Publishing</v>
      </c>
      <c r="E3208" s="2">
        <f>IFERROR(__xludf.DUMMYFUNCTION("""COMPUTED_VALUE"""),1.92)</f>
        <v>1.92</v>
      </c>
      <c r="F3208" s="2"/>
      <c r="G3208" s="2"/>
      <c r="H3208" s="2"/>
      <c r="I3208" s="2"/>
    </row>
    <row r="3209">
      <c r="A3209" s="2">
        <f>IFERROR(__xludf.DUMMYFUNCTION("""COMPUTED_VALUE"""),150281.0)</f>
        <v>150281</v>
      </c>
      <c r="B3209" s="2" t="str">
        <f>IFERROR(__xludf.DUMMYFUNCTION("""COMPUTED_VALUE"""),"Arts")</f>
        <v>Arts</v>
      </c>
      <c r="C3209" s="2" t="str">
        <f>IFERROR(__xludf.DUMMYFUNCTION("""COMPUTED_VALUE"""),"Commercial Law")</f>
        <v>Commercial Law</v>
      </c>
      <c r="D3209" s="2" t="str">
        <f>IFERROR(__xludf.DUMMYFUNCTION("""COMPUTED_VALUE"""),"Riverlight Publishing")</f>
        <v>Riverlight Publishing</v>
      </c>
      <c r="E3209" s="2">
        <f>IFERROR(__xludf.DUMMYFUNCTION("""COMPUTED_VALUE"""),1.54)</f>
        <v>1.54</v>
      </c>
      <c r="F3209" s="2"/>
      <c r="G3209" s="2"/>
      <c r="H3209" s="2"/>
      <c r="I3209" s="2"/>
    </row>
    <row r="3210">
      <c r="A3210" s="2">
        <f>IFERROR(__xludf.DUMMYFUNCTION("""COMPUTED_VALUE"""),81491.0)</f>
        <v>81491</v>
      </c>
      <c r="B3210" s="2" t="str">
        <f>IFERROR(__xludf.DUMMYFUNCTION("""COMPUTED_VALUE"""),"Arts")</f>
        <v>Arts</v>
      </c>
      <c r="C3210" s="2" t="str">
        <f>IFERROR(__xludf.DUMMYFUNCTION("""COMPUTED_VALUE"""),"Commercial Law")</f>
        <v>Commercial Law</v>
      </c>
      <c r="D3210" s="2" t="str">
        <f>IFERROR(__xludf.DUMMYFUNCTION("""COMPUTED_VALUE"""),"Riverlight Publishing")</f>
        <v>Riverlight Publishing</v>
      </c>
      <c r="E3210" s="2">
        <f>IFERROR(__xludf.DUMMYFUNCTION("""COMPUTED_VALUE"""),1.89)</f>
        <v>1.89</v>
      </c>
      <c r="F3210" s="2"/>
      <c r="G3210" s="2"/>
      <c r="H3210" s="2"/>
      <c r="I3210" s="2"/>
    </row>
    <row r="3211">
      <c r="A3211" s="2">
        <f>IFERROR(__xludf.DUMMYFUNCTION("""COMPUTED_VALUE"""),88519.0)</f>
        <v>88519</v>
      </c>
      <c r="B3211" s="2" t="str">
        <f>IFERROR(__xludf.DUMMYFUNCTION("""COMPUTED_VALUE"""),"Arts")</f>
        <v>Arts</v>
      </c>
      <c r="C3211" s="2" t="str">
        <f>IFERROR(__xludf.DUMMYFUNCTION("""COMPUTED_VALUE"""),"Commercial Law")</f>
        <v>Commercial Law</v>
      </c>
      <c r="D3211" s="2" t="str">
        <f>IFERROR(__xludf.DUMMYFUNCTION("""COMPUTED_VALUE"""),"Riverlight Publishing")</f>
        <v>Riverlight Publishing</v>
      </c>
      <c r="E3211" s="2">
        <f>IFERROR(__xludf.DUMMYFUNCTION("""COMPUTED_VALUE"""),1.91)</f>
        <v>1.91</v>
      </c>
      <c r="F3211" s="2"/>
      <c r="G3211" s="2"/>
      <c r="H3211" s="2"/>
      <c r="I3211" s="2"/>
    </row>
    <row r="3212">
      <c r="A3212" s="2">
        <f>IFERROR(__xludf.DUMMYFUNCTION("""COMPUTED_VALUE"""),116800.0)</f>
        <v>116800</v>
      </c>
      <c r="B3212" s="2" t="str">
        <f>IFERROR(__xludf.DUMMYFUNCTION("""COMPUTED_VALUE"""),"Arts")</f>
        <v>Arts</v>
      </c>
      <c r="C3212" s="2" t="str">
        <f>IFERROR(__xludf.DUMMYFUNCTION("""COMPUTED_VALUE"""),"Commercial Law")</f>
        <v>Commercial Law</v>
      </c>
      <c r="D3212" s="2" t="str">
        <f>IFERROR(__xludf.DUMMYFUNCTION("""COMPUTED_VALUE"""),"Riverlight Publishing")</f>
        <v>Riverlight Publishing</v>
      </c>
      <c r="E3212" s="2">
        <f>IFERROR(__xludf.DUMMYFUNCTION("""COMPUTED_VALUE"""),1.38)</f>
        <v>1.38</v>
      </c>
      <c r="F3212" s="2"/>
      <c r="G3212" s="2"/>
      <c r="H3212" s="2"/>
      <c r="I3212" s="2"/>
    </row>
    <row r="3213">
      <c r="A3213" s="2">
        <f>IFERROR(__xludf.DUMMYFUNCTION("""COMPUTED_VALUE"""),117675.0)</f>
        <v>117675</v>
      </c>
      <c r="B3213" s="2" t="str">
        <f>IFERROR(__xludf.DUMMYFUNCTION("""COMPUTED_VALUE"""),"Arts")</f>
        <v>Arts</v>
      </c>
      <c r="C3213" s="2" t="str">
        <f>IFERROR(__xludf.DUMMYFUNCTION("""COMPUTED_VALUE"""),"Commercial Law")</f>
        <v>Commercial Law</v>
      </c>
      <c r="D3213" s="2" t="str">
        <f>IFERROR(__xludf.DUMMYFUNCTION("""COMPUTED_VALUE"""),"Riverlight Publishing")</f>
        <v>Riverlight Publishing</v>
      </c>
      <c r="E3213" s="2">
        <f>IFERROR(__xludf.DUMMYFUNCTION("""COMPUTED_VALUE"""),1.38)</f>
        <v>1.38</v>
      </c>
      <c r="F3213" s="2"/>
      <c r="G3213" s="2"/>
      <c r="H3213" s="2"/>
      <c r="I3213" s="2"/>
    </row>
    <row r="3214">
      <c r="A3214" s="2">
        <f>IFERROR(__xludf.DUMMYFUNCTION("""COMPUTED_VALUE"""),47051.0)</f>
        <v>47051</v>
      </c>
      <c r="B3214" s="2" t="str">
        <f>IFERROR(__xludf.DUMMYFUNCTION("""COMPUTED_VALUE"""),"Arts")</f>
        <v>Arts</v>
      </c>
      <c r="C3214" s="2" t="str">
        <f>IFERROR(__xludf.DUMMYFUNCTION("""COMPUTED_VALUE"""),"Commercial Law")</f>
        <v>Commercial Law</v>
      </c>
      <c r="D3214" s="2" t="str">
        <f>IFERROR(__xludf.DUMMYFUNCTION("""COMPUTED_VALUE"""),"Riverlight Publishing")</f>
        <v>Riverlight Publishing</v>
      </c>
      <c r="E3214" s="2">
        <f>IFERROR(__xludf.DUMMYFUNCTION("""COMPUTED_VALUE"""),1.59)</f>
        <v>1.59</v>
      </c>
      <c r="F3214" s="2"/>
      <c r="G3214" s="2"/>
      <c r="H3214" s="2"/>
      <c r="I3214" s="2"/>
    </row>
    <row r="3215">
      <c r="A3215" s="2">
        <f>IFERROR(__xludf.DUMMYFUNCTION("""COMPUTED_VALUE"""),103171.0)</f>
        <v>103171</v>
      </c>
      <c r="B3215" s="2" t="str">
        <f>IFERROR(__xludf.DUMMYFUNCTION("""COMPUTED_VALUE"""),"Arts")</f>
        <v>Arts</v>
      </c>
      <c r="C3215" s="2" t="str">
        <f>IFERROR(__xludf.DUMMYFUNCTION("""COMPUTED_VALUE"""),"Commercial Law")</f>
        <v>Commercial Law</v>
      </c>
      <c r="D3215" s="2" t="str">
        <f>IFERROR(__xludf.DUMMYFUNCTION("""COMPUTED_VALUE"""),"Riverlight Publishing")</f>
        <v>Riverlight Publishing</v>
      </c>
      <c r="E3215" s="2">
        <f>IFERROR(__xludf.DUMMYFUNCTION("""COMPUTED_VALUE"""),2.08)</f>
        <v>2.08</v>
      </c>
      <c r="F3215" s="2"/>
      <c r="G3215" s="2"/>
      <c r="H3215" s="2"/>
      <c r="I3215" s="2"/>
    </row>
    <row r="3216">
      <c r="A3216" s="2">
        <f>IFERROR(__xludf.DUMMYFUNCTION("""COMPUTED_VALUE"""),47049.0)</f>
        <v>47049</v>
      </c>
      <c r="B3216" s="2" t="str">
        <f>IFERROR(__xludf.DUMMYFUNCTION("""COMPUTED_VALUE"""),"Arts")</f>
        <v>Arts</v>
      </c>
      <c r="C3216" s="2" t="str">
        <f>IFERROR(__xludf.DUMMYFUNCTION("""COMPUTED_VALUE"""),"Commercial Law")</f>
        <v>Commercial Law</v>
      </c>
      <c r="D3216" s="2" t="str">
        <f>IFERROR(__xludf.DUMMYFUNCTION("""COMPUTED_VALUE"""),"Riverlight Publishing")</f>
        <v>Riverlight Publishing</v>
      </c>
      <c r="E3216" s="2">
        <f>IFERROR(__xludf.DUMMYFUNCTION("""COMPUTED_VALUE"""),1.75)</f>
        <v>1.75</v>
      </c>
      <c r="F3216" s="2"/>
      <c r="G3216" s="2"/>
      <c r="H3216" s="2"/>
      <c r="I3216" s="2"/>
    </row>
    <row r="3217">
      <c r="A3217" s="2">
        <f>IFERROR(__xludf.DUMMYFUNCTION("""COMPUTED_VALUE"""),47351.0)</f>
        <v>47351</v>
      </c>
      <c r="B3217" s="2" t="str">
        <f>IFERROR(__xludf.DUMMYFUNCTION("""COMPUTED_VALUE"""),"Arts")</f>
        <v>Arts</v>
      </c>
      <c r="C3217" s="2" t="str">
        <f>IFERROR(__xludf.DUMMYFUNCTION("""COMPUTED_VALUE"""),"Commercial Law")</f>
        <v>Commercial Law</v>
      </c>
      <c r="D3217" s="2" t="str">
        <f>IFERROR(__xludf.DUMMYFUNCTION("""COMPUTED_VALUE"""),"Riverlight Publishing")</f>
        <v>Riverlight Publishing</v>
      </c>
      <c r="E3217" s="2">
        <f>IFERROR(__xludf.DUMMYFUNCTION("""COMPUTED_VALUE"""),1.81)</f>
        <v>1.81</v>
      </c>
      <c r="F3217" s="2"/>
      <c r="G3217" s="2"/>
      <c r="H3217" s="2"/>
      <c r="I3217" s="2"/>
    </row>
    <row r="3218">
      <c r="A3218" s="2">
        <f>IFERROR(__xludf.DUMMYFUNCTION("""COMPUTED_VALUE"""),47575.0)</f>
        <v>47575</v>
      </c>
      <c r="B3218" s="2" t="str">
        <f>IFERROR(__xludf.DUMMYFUNCTION("""COMPUTED_VALUE"""),"Arts")</f>
        <v>Arts</v>
      </c>
      <c r="C3218" s="2" t="str">
        <f>IFERROR(__xludf.DUMMYFUNCTION("""COMPUTED_VALUE"""),"Commercial Law")</f>
        <v>Commercial Law</v>
      </c>
      <c r="D3218" s="2" t="str">
        <f>IFERROR(__xludf.DUMMYFUNCTION("""COMPUTED_VALUE"""),"Riverlight Publishing")</f>
        <v>Riverlight Publishing</v>
      </c>
      <c r="E3218" s="2">
        <f>IFERROR(__xludf.DUMMYFUNCTION("""COMPUTED_VALUE"""),2.54)</f>
        <v>2.54</v>
      </c>
      <c r="F3218" s="2"/>
      <c r="G3218" s="2"/>
      <c r="H3218" s="2"/>
      <c r="I3218" s="2"/>
    </row>
    <row r="3219">
      <c r="A3219" s="2">
        <f>IFERROR(__xludf.DUMMYFUNCTION("""COMPUTED_VALUE"""),80088.0)</f>
        <v>80088</v>
      </c>
      <c r="B3219" s="2" t="str">
        <f>IFERROR(__xludf.DUMMYFUNCTION("""COMPUTED_VALUE"""),"Arts")</f>
        <v>Arts</v>
      </c>
      <c r="C3219" s="2" t="str">
        <f>IFERROR(__xludf.DUMMYFUNCTION("""COMPUTED_VALUE"""),"Commercial Law")</f>
        <v>Commercial Law</v>
      </c>
      <c r="D3219" s="2" t="str">
        <f>IFERROR(__xludf.DUMMYFUNCTION("""COMPUTED_VALUE"""),"Riverlight Publishing")</f>
        <v>Riverlight Publishing</v>
      </c>
      <c r="E3219" s="2">
        <f>IFERROR(__xludf.DUMMYFUNCTION("""COMPUTED_VALUE"""),2.44)</f>
        <v>2.44</v>
      </c>
      <c r="F3219" s="2"/>
      <c r="G3219" s="2"/>
      <c r="H3219" s="2"/>
      <c r="I3219" s="2"/>
    </row>
    <row r="3220">
      <c r="A3220" s="2">
        <f>IFERROR(__xludf.DUMMYFUNCTION("""COMPUTED_VALUE"""),47298.0)</f>
        <v>47298</v>
      </c>
      <c r="B3220" s="2" t="str">
        <f>IFERROR(__xludf.DUMMYFUNCTION("""COMPUTED_VALUE"""),"Arts")</f>
        <v>Arts</v>
      </c>
      <c r="C3220" s="2" t="str">
        <f>IFERROR(__xludf.DUMMYFUNCTION("""COMPUTED_VALUE"""),"Commercial Law")</f>
        <v>Commercial Law</v>
      </c>
      <c r="D3220" s="2" t="str">
        <f>IFERROR(__xludf.DUMMYFUNCTION("""COMPUTED_VALUE"""),"Riverlight Publishing")</f>
        <v>Riverlight Publishing</v>
      </c>
      <c r="E3220" s="2">
        <f>IFERROR(__xludf.DUMMYFUNCTION("""COMPUTED_VALUE"""),2.09)</f>
        <v>2.09</v>
      </c>
      <c r="F3220" s="2"/>
      <c r="G3220" s="2"/>
      <c r="H3220" s="2"/>
      <c r="I3220" s="2"/>
    </row>
    <row r="3221">
      <c r="A3221" s="2">
        <f>IFERROR(__xludf.DUMMYFUNCTION("""COMPUTED_VALUE"""),100271.0)</f>
        <v>100271</v>
      </c>
      <c r="B3221" s="2" t="str">
        <f>IFERROR(__xludf.DUMMYFUNCTION("""COMPUTED_VALUE"""),"Arts")</f>
        <v>Arts</v>
      </c>
      <c r="C3221" s="2" t="str">
        <f>IFERROR(__xludf.DUMMYFUNCTION("""COMPUTED_VALUE"""),"Commercial Law")</f>
        <v>Commercial Law</v>
      </c>
      <c r="D3221" s="2" t="str">
        <f>IFERROR(__xludf.DUMMYFUNCTION("""COMPUTED_VALUE"""),"Riverlight Publishing")</f>
        <v>Riverlight Publishing</v>
      </c>
      <c r="E3221" s="2">
        <f>IFERROR(__xludf.DUMMYFUNCTION("""COMPUTED_VALUE"""),1.41)</f>
        <v>1.41</v>
      </c>
      <c r="F3221" s="2"/>
      <c r="G3221" s="2"/>
      <c r="H3221" s="2"/>
      <c r="I3221" s="2"/>
    </row>
    <row r="3222">
      <c r="A3222" s="2">
        <f>IFERROR(__xludf.DUMMYFUNCTION("""COMPUTED_VALUE"""),47621.0)</f>
        <v>47621</v>
      </c>
      <c r="B3222" s="2" t="str">
        <f>IFERROR(__xludf.DUMMYFUNCTION("""COMPUTED_VALUE"""),"Arts")</f>
        <v>Arts</v>
      </c>
      <c r="C3222" s="2" t="str">
        <f>IFERROR(__xludf.DUMMYFUNCTION("""COMPUTED_VALUE"""),"Commercial Law")</f>
        <v>Commercial Law</v>
      </c>
      <c r="D3222" s="2" t="str">
        <f>IFERROR(__xludf.DUMMYFUNCTION("""COMPUTED_VALUE"""),"Riverlight Publishing")</f>
        <v>Riverlight Publishing</v>
      </c>
      <c r="E3222" s="2">
        <f>IFERROR(__xludf.DUMMYFUNCTION("""COMPUTED_VALUE"""),1.83)</f>
        <v>1.83</v>
      </c>
      <c r="F3222" s="2"/>
      <c r="G3222" s="2"/>
      <c r="H3222" s="2"/>
      <c r="I3222" s="2"/>
    </row>
    <row r="3223">
      <c r="A3223" s="2">
        <f>IFERROR(__xludf.DUMMYFUNCTION("""COMPUTED_VALUE"""),117609.0)</f>
        <v>117609</v>
      </c>
      <c r="B3223" s="2" t="str">
        <f>IFERROR(__xludf.DUMMYFUNCTION("""COMPUTED_VALUE"""),"Arts")</f>
        <v>Arts</v>
      </c>
      <c r="C3223" s="2" t="str">
        <f>IFERROR(__xludf.DUMMYFUNCTION("""COMPUTED_VALUE"""),"Commercial Law")</f>
        <v>Commercial Law</v>
      </c>
      <c r="D3223" s="2" t="str">
        <f>IFERROR(__xludf.DUMMYFUNCTION("""COMPUTED_VALUE"""),"Riverlight Publishing")</f>
        <v>Riverlight Publishing</v>
      </c>
      <c r="E3223" s="2">
        <f>IFERROR(__xludf.DUMMYFUNCTION("""COMPUTED_VALUE"""),1.98)</f>
        <v>1.98</v>
      </c>
      <c r="F3223" s="2"/>
      <c r="G3223" s="2"/>
      <c r="H3223" s="2"/>
      <c r="I3223" s="2"/>
    </row>
    <row r="3224">
      <c r="A3224" s="2">
        <f>IFERROR(__xludf.DUMMYFUNCTION("""COMPUTED_VALUE"""),103873.0)</f>
        <v>103873</v>
      </c>
      <c r="B3224" s="2" t="str">
        <f>IFERROR(__xludf.DUMMYFUNCTION("""COMPUTED_VALUE"""),"Arts")</f>
        <v>Arts</v>
      </c>
      <c r="C3224" s="2" t="str">
        <f>IFERROR(__xludf.DUMMYFUNCTION("""COMPUTED_VALUE"""),"Commercial Law")</f>
        <v>Commercial Law</v>
      </c>
      <c r="D3224" s="2" t="str">
        <f>IFERROR(__xludf.DUMMYFUNCTION("""COMPUTED_VALUE"""),"Riverlight Publishing")</f>
        <v>Riverlight Publishing</v>
      </c>
      <c r="E3224" s="2">
        <f>IFERROR(__xludf.DUMMYFUNCTION("""COMPUTED_VALUE"""),1.95)</f>
        <v>1.95</v>
      </c>
      <c r="F3224" s="2"/>
      <c r="G3224" s="2"/>
      <c r="H3224" s="2"/>
      <c r="I3224" s="2"/>
    </row>
    <row r="3225">
      <c r="A3225" s="2">
        <f>IFERROR(__xludf.DUMMYFUNCTION("""COMPUTED_VALUE"""),14026.0)</f>
        <v>14026</v>
      </c>
      <c r="B3225" s="2" t="str">
        <f>IFERROR(__xludf.DUMMYFUNCTION("""COMPUTED_VALUE"""),"Arts")</f>
        <v>Arts</v>
      </c>
      <c r="C3225" s="2" t="str">
        <f>IFERROR(__xludf.DUMMYFUNCTION("""COMPUTED_VALUE"""),"Commercial Law")</f>
        <v>Commercial Law</v>
      </c>
      <c r="D3225" s="2" t="str">
        <f>IFERROR(__xludf.DUMMYFUNCTION("""COMPUTED_VALUE"""),"Riverlight Publishing")</f>
        <v>Riverlight Publishing</v>
      </c>
      <c r="E3225" s="2">
        <f>IFERROR(__xludf.DUMMYFUNCTION("""COMPUTED_VALUE"""),1.74)</f>
        <v>1.74</v>
      </c>
      <c r="F3225" s="2"/>
      <c r="G3225" s="2"/>
      <c r="H3225" s="2"/>
      <c r="I3225" s="2"/>
    </row>
    <row r="3226">
      <c r="A3226" s="2">
        <f>IFERROR(__xludf.DUMMYFUNCTION("""COMPUTED_VALUE"""),95951.0)</f>
        <v>95951</v>
      </c>
      <c r="B3226" s="2" t="str">
        <f>IFERROR(__xludf.DUMMYFUNCTION("""COMPUTED_VALUE"""),"Arts")</f>
        <v>Arts</v>
      </c>
      <c r="C3226" s="2" t="str">
        <f>IFERROR(__xludf.DUMMYFUNCTION("""COMPUTED_VALUE"""),"Commercial Law")</f>
        <v>Commercial Law</v>
      </c>
      <c r="D3226" s="2" t="str">
        <f>IFERROR(__xludf.DUMMYFUNCTION("""COMPUTED_VALUE"""),"Riverlight Publishing")</f>
        <v>Riverlight Publishing</v>
      </c>
      <c r="E3226" s="2">
        <f>IFERROR(__xludf.DUMMYFUNCTION("""COMPUTED_VALUE"""),0.62)</f>
        <v>0.62</v>
      </c>
      <c r="F3226" s="2"/>
      <c r="G3226" s="2"/>
      <c r="H3226" s="2"/>
      <c r="I3226" s="2"/>
    </row>
    <row r="3227">
      <c r="A3227" s="2">
        <f>IFERROR(__xludf.DUMMYFUNCTION("""COMPUTED_VALUE"""),9162.0)</f>
        <v>9162</v>
      </c>
      <c r="B3227" s="2" t="str">
        <f>IFERROR(__xludf.DUMMYFUNCTION("""COMPUTED_VALUE"""),"Arts")</f>
        <v>Arts</v>
      </c>
      <c r="C3227" s="2" t="str">
        <f>IFERROR(__xludf.DUMMYFUNCTION("""COMPUTED_VALUE"""),"Commercial Law")</f>
        <v>Commercial Law</v>
      </c>
      <c r="D3227" s="2" t="str">
        <f>IFERROR(__xludf.DUMMYFUNCTION("""COMPUTED_VALUE"""),"Riverlight Publishing")</f>
        <v>Riverlight Publishing</v>
      </c>
      <c r="E3227" s="2">
        <f>IFERROR(__xludf.DUMMYFUNCTION("""COMPUTED_VALUE"""),1.35)</f>
        <v>1.35</v>
      </c>
      <c r="F3227" s="2"/>
      <c r="G3227" s="2"/>
      <c r="H3227" s="2"/>
      <c r="I3227" s="2"/>
    </row>
    <row r="3228">
      <c r="A3228" s="2">
        <f>IFERROR(__xludf.DUMMYFUNCTION("""COMPUTED_VALUE"""),80089.0)</f>
        <v>80089</v>
      </c>
      <c r="B3228" s="2" t="str">
        <f>IFERROR(__xludf.DUMMYFUNCTION("""COMPUTED_VALUE"""),"Arts")</f>
        <v>Arts</v>
      </c>
      <c r="C3228" s="2" t="str">
        <f>IFERROR(__xludf.DUMMYFUNCTION("""COMPUTED_VALUE"""),"Commercial Law")</f>
        <v>Commercial Law</v>
      </c>
      <c r="D3228" s="2" t="str">
        <f>IFERROR(__xludf.DUMMYFUNCTION("""COMPUTED_VALUE"""),"Riverlight Publishing")</f>
        <v>Riverlight Publishing</v>
      </c>
      <c r="E3228" s="2">
        <f>IFERROR(__xludf.DUMMYFUNCTION("""COMPUTED_VALUE"""),2.1)</f>
        <v>2.1</v>
      </c>
      <c r="F3228" s="2"/>
      <c r="G3228" s="2"/>
      <c r="H3228" s="2"/>
      <c r="I3228" s="2"/>
    </row>
    <row r="3229">
      <c r="A3229" s="2">
        <f>IFERROR(__xludf.DUMMYFUNCTION("""COMPUTED_VALUE"""),122521.0)</f>
        <v>122521</v>
      </c>
      <c r="B3229" s="2" t="str">
        <f>IFERROR(__xludf.DUMMYFUNCTION("""COMPUTED_VALUE"""),"Arts")</f>
        <v>Arts</v>
      </c>
      <c r="C3229" s="2" t="str">
        <f>IFERROR(__xludf.DUMMYFUNCTION("""COMPUTED_VALUE"""),"Commercial Law")</f>
        <v>Commercial Law</v>
      </c>
      <c r="D3229" s="2" t="str">
        <f>IFERROR(__xludf.DUMMYFUNCTION("""COMPUTED_VALUE"""),"Riverlight Publishing")</f>
        <v>Riverlight Publishing</v>
      </c>
      <c r="E3229" s="2">
        <f>IFERROR(__xludf.DUMMYFUNCTION("""COMPUTED_VALUE"""),1.41)</f>
        <v>1.41</v>
      </c>
      <c r="F3229" s="2"/>
      <c r="G3229" s="2"/>
      <c r="H3229" s="2"/>
      <c r="I3229" s="2"/>
    </row>
    <row r="3230">
      <c r="A3230" s="2">
        <f>IFERROR(__xludf.DUMMYFUNCTION("""COMPUTED_VALUE"""),69300.0)</f>
        <v>69300</v>
      </c>
      <c r="B3230" s="2" t="str">
        <f>IFERROR(__xludf.DUMMYFUNCTION("""COMPUTED_VALUE"""),"Arts")</f>
        <v>Arts</v>
      </c>
      <c r="C3230" s="2" t="str">
        <f>IFERROR(__xludf.DUMMYFUNCTION("""COMPUTED_VALUE"""),"Commercial Law")</f>
        <v>Commercial Law</v>
      </c>
      <c r="D3230" s="2" t="str">
        <f>IFERROR(__xludf.DUMMYFUNCTION("""COMPUTED_VALUE"""),"Riverlight Publishing")</f>
        <v>Riverlight Publishing</v>
      </c>
      <c r="E3230" s="2">
        <f>IFERROR(__xludf.DUMMYFUNCTION("""COMPUTED_VALUE"""),2.12)</f>
        <v>2.12</v>
      </c>
      <c r="F3230" s="2"/>
      <c r="G3230" s="2"/>
      <c r="H3230" s="2"/>
      <c r="I3230" s="2"/>
    </row>
    <row r="3231">
      <c r="A3231" s="2">
        <f>IFERROR(__xludf.DUMMYFUNCTION("""COMPUTED_VALUE"""),80417.0)</f>
        <v>80417</v>
      </c>
      <c r="B3231" s="2" t="str">
        <f>IFERROR(__xludf.DUMMYFUNCTION("""COMPUTED_VALUE"""),"Arts")</f>
        <v>Arts</v>
      </c>
      <c r="C3231" s="2" t="str">
        <f>IFERROR(__xludf.DUMMYFUNCTION("""COMPUTED_VALUE"""),"Commercial Law")</f>
        <v>Commercial Law</v>
      </c>
      <c r="D3231" s="2" t="str">
        <f>IFERROR(__xludf.DUMMYFUNCTION("""COMPUTED_VALUE"""),"Riverlight Publishing")</f>
        <v>Riverlight Publishing</v>
      </c>
      <c r="E3231" s="2">
        <f>IFERROR(__xludf.DUMMYFUNCTION("""COMPUTED_VALUE"""),2.15)</f>
        <v>2.15</v>
      </c>
      <c r="F3231" s="2"/>
      <c r="G3231" s="2"/>
      <c r="H3231" s="2"/>
      <c r="I3231" s="2"/>
    </row>
    <row r="3232">
      <c r="A3232" s="2">
        <f>IFERROR(__xludf.DUMMYFUNCTION("""COMPUTED_VALUE"""),128323.0)</f>
        <v>128323</v>
      </c>
      <c r="B3232" s="2" t="str">
        <f>IFERROR(__xludf.DUMMYFUNCTION("""COMPUTED_VALUE"""),"Arts")</f>
        <v>Arts</v>
      </c>
      <c r="C3232" s="2" t="str">
        <f>IFERROR(__xludf.DUMMYFUNCTION("""COMPUTED_VALUE"""),"Commercial Law")</f>
        <v>Commercial Law</v>
      </c>
      <c r="D3232" s="2" t="str">
        <f>IFERROR(__xludf.DUMMYFUNCTION("""COMPUTED_VALUE"""),"Riverlight Publishing")</f>
        <v>Riverlight Publishing</v>
      </c>
      <c r="E3232" s="2">
        <f>IFERROR(__xludf.DUMMYFUNCTION("""COMPUTED_VALUE"""),1.86)</f>
        <v>1.86</v>
      </c>
      <c r="F3232" s="2"/>
      <c r="G3232" s="2"/>
      <c r="H3232" s="2"/>
      <c r="I3232" s="2"/>
    </row>
    <row r="3233">
      <c r="A3233" s="2">
        <f>IFERROR(__xludf.DUMMYFUNCTION("""COMPUTED_VALUE"""),80091.0)</f>
        <v>80091</v>
      </c>
      <c r="B3233" s="2" t="str">
        <f>IFERROR(__xludf.DUMMYFUNCTION("""COMPUTED_VALUE"""),"Arts")</f>
        <v>Arts</v>
      </c>
      <c r="C3233" s="2" t="str">
        <f>IFERROR(__xludf.DUMMYFUNCTION("""COMPUTED_VALUE"""),"Commercial Law")</f>
        <v>Commercial Law</v>
      </c>
      <c r="D3233" s="2" t="str">
        <f>IFERROR(__xludf.DUMMYFUNCTION("""COMPUTED_VALUE"""),"Riverlight Publishing")</f>
        <v>Riverlight Publishing</v>
      </c>
      <c r="E3233" s="2">
        <f>IFERROR(__xludf.DUMMYFUNCTION("""COMPUTED_VALUE"""),1.18)</f>
        <v>1.18</v>
      </c>
      <c r="F3233" s="2"/>
      <c r="G3233" s="2"/>
      <c r="H3233" s="2"/>
      <c r="I3233" s="2"/>
    </row>
    <row r="3234">
      <c r="A3234" s="2">
        <f>IFERROR(__xludf.DUMMYFUNCTION("""COMPUTED_VALUE"""),92927.0)</f>
        <v>92927</v>
      </c>
      <c r="B3234" s="2" t="str">
        <f>IFERROR(__xludf.DUMMYFUNCTION("""COMPUTED_VALUE"""),"Arts")</f>
        <v>Arts</v>
      </c>
      <c r="C3234" s="2" t="str">
        <f>IFERROR(__xludf.DUMMYFUNCTION("""COMPUTED_VALUE"""),"Commercial Law")</f>
        <v>Commercial Law</v>
      </c>
      <c r="D3234" s="2" t="str">
        <f>IFERROR(__xludf.DUMMYFUNCTION("""COMPUTED_VALUE"""),"Riverlight Publishing")</f>
        <v>Riverlight Publishing</v>
      </c>
      <c r="E3234" s="2">
        <f>IFERROR(__xludf.DUMMYFUNCTION("""COMPUTED_VALUE"""),1.56)</f>
        <v>1.56</v>
      </c>
      <c r="F3234" s="2"/>
      <c r="G3234" s="2"/>
      <c r="H3234" s="2"/>
      <c r="I3234" s="2"/>
    </row>
    <row r="3235">
      <c r="A3235" s="2">
        <f>IFERROR(__xludf.DUMMYFUNCTION("""COMPUTED_VALUE"""),9158.0)</f>
        <v>9158</v>
      </c>
      <c r="B3235" s="2" t="str">
        <f>IFERROR(__xludf.DUMMYFUNCTION("""COMPUTED_VALUE"""),"Arts")</f>
        <v>Arts</v>
      </c>
      <c r="C3235" s="2" t="str">
        <f>IFERROR(__xludf.DUMMYFUNCTION("""COMPUTED_VALUE"""),"Commercial Law")</f>
        <v>Commercial Law</v>
      </c>
      <c r="D3235" s="2" t="str">
        <f>IFERROR(__xludf.DUMMYFUNCTION("""COMPUTED_VALUE"""),"Riverlight Publishing")</f>
        <v>Riverlight Publishing</v>
      </c>
      <c r="E3235" s="2">
        <f>IFERROR(__xludf.DUMMYFUNCTION("""COMPUTED_VALUE"""),1.64)</f>
        <v>1.64</v>
      </c>
      <c r="F3235" s="2"/>
      <c r="G3235" s="2"/>
      <c r="H3235" s="2"/>
      <c r="I3235" s="2"/>
    </row>
    <row r="3236">
      <c r="A3236" s="2">
        <f>IFERROR(__xludf.DUMMYFUNCTION("""COMPUTED_VALUE"""),103872.0)</f>
        <v>103872</v>
      </c>
      <c r="B3236" s="2" t="str">
        <f>IFERROR(__xludf.DUMMYFUNCTION("""COMPUTED_VALUE"""),"Arts")</f>
        <v>Arts</v>
      </c>
      <c r="C3236" s="2" t="str">
        <f>IFERROR(__xludf.DUMMYFUNCTION("""COMPUTED_VALUE"""),"Commercial Law")</f>
        <v>Commercial Law</v>
      </c>
      <c r="D3236" s="2" t="str">
        <f>IFERROR(__xludf.DUMMYFUNCTION("""COMPUTED_VALUE"""),"Riverlight Publishing")</f>
        <v>Riverlight Publishing</v>
      </c>
      <c r="E3236" s="2">
        <f>IFERROR(__xludf.DUMMYFUNCTION("""COMPUTED_VALUE"""),1.72)</f>
        <v>1.72</v>
      </c>
      <c r="F3236" s="2"/>
      <c r="G3236" s="2"/>
      <c r="H3236" s="2"/>
      <c r="I3236" s="2"/>
    </row>
    <row r="3237">
      <c r="A3237" s="2">
        <f>IFERROR(__xludf.DUMMYFUNCTION("""COMPUTED_VALUE"""),116809.0)</f>
        <v>116809</v>
      </c>
      <c r="B3237" s="2" t="str">
        <f>IFERROR(__xludf.DUMMYFUNCTION("""COMPUTED_VALUE"""),"Arts")</f>
        <v>Arts</v>
      </c>
      <c r="C3237" s="2" t="str">
        <f>IFERROR(__xludf.DUMMYFUNCTION("""COMPUTED_VALUE"""),"Commercial Law")</f>
        <v>Commercial Law</v>
      </c>
      <c r="D3237" s="2" t="str">
        <f>IFERROR(__xludf.DUMMYFUNCTION("""COMPUTED_VALUE"""),"Riverlight Publishing")</f>
        <v>Riverlight Publishing</v>
      </c>
      <c r="E3237" s="2">
        <f>IFERROR(__xludf.DUMMYFUNCTION("""COMPUTED_VALUE"""),1.2)</f>
        <v>1.2</v>
      </c>
      <c r="F3237" s="2"/>
      <c r="G3237" s="2"/>
      <c r="H3237" s="2"/>
      <c r="I3237" s="2"/>
    </row>
    <row r="3238">
      <c r="A3238" s="2">
        <f>IFERROR(__xludf.DUMMYFUNCTION("""COMPUTED_VALUE"""),114655.0)</f>
        <v>114655</v>
      </c>
      <c r="B3238" s="2" t="str">
        <f>IFERROR(__xludf.DUMMYFUNCTION("""COMPUTED_VALUE"""),"Arts")</f>
        <v>Arts</v>
      </c>
      <c r="C3238" s="2" t="str">
        <f>IFERROR(__xludf.DUMMYFUNCTION("""COMPUTED_VALUE"""),"Commercial Law")</f>
        <v>Commercial Law</v>
      </c>
      <c r="D3238" s="2" t="str">
        <f>IFERROR(__xludf.DUMMYFUNCTION("""COMPUTED_VALUE"""),"Riverlight Publishing")</f>
        <v>Riverlight Publishing</v>
      </c>
      <c r="E3238" s="2">
        <f>IFERROR(__xludf.DUMMYFUNCTION("""COMPUTED_VALUE"""),1.9)</f>
        <v>1.9</v>
      </c>
      <c r="F3238" s="2"/>
      <c r="G3238" s="2"/>
      <c r="H3238" s="2"/>
      <c r="I3238" s="2"/>
    </row>
    <row r="3239">
      <c r="A3239" s="2">
        <f>IFERROR(__xludf.DUMMYFUNCTION("""COMPUTED_VALUE"""),80228.0)</f>
        <v>80228</v>
      </c>
      <c r="B3239" s="2" t="str">
        <f>IFERROR(__xludf.DUMMYFUNCTION("""COMPUTED_VALUE"""),"Arts")</f>
        <v>Arts</v>
      </c>
      <c r="C3239" s="2" t="str">
        <f>IFERROR(__xludf.DUMMYFUNCTION("""COMPUTED_VALUE"""),"Commercial Law")</f>
        <v>Commercial Law</v>
      </c>
      <c r="D3239" s="2" t="str">
        <f>IFERROR(__xludf.DUMMYFUNCTION("""COMPUTED_VALUE"""),"Riverlight Publishing")</f>
        <v>Riverlight Publishing</v>
      </c>
      <c r="E3239" s="2">
        <f>IFERROR(__xludf.DUMMYFUNCTION("""COMPUTED_VALUE"""),2.35)</f>
        <v>2.35</v>
      </c>
      <c r="F3239" s="2"/>
      <c r="G3239" s="2"/>
      <c r="H3239" s="2"/>
      <c r="I3239" s="2"/>
    </row>
    <row r="3240">
      <c r="A3240" s="2">
        <f>IFERROR(__xludf.DUMMYFUNCTION("""COMPUTED_VALUE"""),47207.0)</f>
        <v>47207</v>
      </c>
      <c r="B3240" s="2" t="str">
        <f>IFERROR(__xludf.DUMMYFUNCTION("""COMPUTED_VALUE"""),"Arts")</f>
        <v>Arts</v>
      </c>
      <c r="C3240" s="2" t="str">
        <f>IFERROR(__xludf.DUMMYFUNCTION("""COMPUTED_VALUE"""),"Commercial Law")</f>
        <v>Commercial Law</v>
      </c>
      <c r="D3240" s="2" t="str">
        <f>IFERROR(__xludf.DUMMYFUNCTION("""COMPUTED_VALUE"""),"Riverlight Publishing")</f>
        <v>Riverlight Publishing</v>
      </c>
      <c r="E3240" s="2">
        <f>IFERROR(__xludf.DUMMYFUNCTION("""COMPUTED_VALUE"""),1.85)</f>
        <v>1.85</v>
      </c>
      <c r="F3240" s="2"/>
      <c r="G3240" s="2"/>
      <c r="H3240" s="2"/>
      <c r="I3240" s="2"/>
    </row>
    <row r="3241">
      <c r="A3241" s="2">
        <f>IFERROR(__xludf.DUMMYFUNCTION("""COMPUTED_VALUE"""),116402.0)</f>
        <v>116402</v>
      </c>
      <c r="B3241" s="2" t="str">
        <f>IFERROR(__xludf.DUMMYFUNCTION("""COMPUTED_VALUE"""),"Arts")</f>
        <v>Arts</v>
      </c>
      <c r="C3241" s="2" t="str">
        <f>IFERROR(__xludf.DUMMYFUNCTION("""COMPUTED_VALUE"""),"Commercial Law")</f>
        <v>Commercial Law</v>
      </c>
      <c r="D3241" s="2" t="str">
        <f>IFERROR(__xludf.DUMMYFUNCTION("""COMPUTED_VALUE"""),"Ironlight Books")</f>
        <v>Ironlight Books</v>
      </c>
      <c r="E3241" s="2">
        <f>IFERROR(__xludf.DUMMYFUNCTION("""COMPUTED_VALUE"""),2.73)</f>
        <v>2.73</v>
      </c>
      <c r="F3241" s="2"/>
      <c r="G3241" s="2"/>
      <c r="H3241" s="2"/>
      <c r="I3241" s="2"/>
    </row>
    <row r="3242">
      <c r="A3242" s="2">
        <f>IFERROR(__xludf.DUMMYFUNCTION("""COMPUTED_VALUE"""),116408.0)</f>
        <v>116408</v>
      </c>
      <c r="B3242" s="2" t="str">
        <f>IFERROR(__xludf.DUMMYFUNCTION("""COMPUTED_VALUE"""),"Arts")</f>
        <v>Arts</v>
      </c>
      <c r="C3242" s="2" t="str">
        <f>IFERROR(__xludf.DUMMYFUNCTION("""COMPUTED_VALUE"""),"Commercial Law")</f>
        <v>Commercial Law</v>
      </c>
      <c r="D3242" s="2" t="str">
        <f>IFERROR(__xludf.DUMMYFUNCTION("""COMPUTED_VALUE"""),"Ironlight Books")</f>
        <v>Ironlight Books</v>
      </c>
      <c r="E3242" s="2">
        <f>IFERROR(__xludf.DUMMYFUNCTION("""COMPUTED_VALUE"""),2.82)</f>
        <v>2.82</v>
      </c>
      <c r="F3242" s="2"/>
      <c r="G3242" s="2"/>
      <c r="H3242" s="2"/>
      <c r="I3242" s="2"/>
    </row>
    <row r="3243">
      <c r="A3243" s="2">
        <f>IFERROR(__xludf.DUMMYFUNCTION("""COMPUTED_VALUE"""),83592.0)</f>
        <v>83592</v>
      </c>
      <c r="B3243" s="2" t="str">
        <f>IFERROR(__xludf.DUMMYFUNCTION("""COMPUTED_VALUE"""),"Arts")</f>
        <v>Arts</v>
      </c>
      <c r="C3243" s="2" t="str">
        <f>IFERROR(__xludf.DUMMYFUNCTION("""COMPUTED_VALUE"""),"Commercial Law")</f>
        <v>Commercial Law</v>
      </c>
      <c r="D3243" s="2" t="str">
        <f>IFERROR(__xludf.DUMMYFUNCTION("""COMPUTED_VALUE"""),"Ironlight Books")</f>
        <v>Ironlight Books</v>
      </c>
      <c r="E3243" s="2">
        <f>IFERROR(__xludf.DUMMYFUNCTION("""COMPUTED_VALUE"""),3.38)</f>
        <v>3.38</v>
      </c>
      <c r="F3243" s="2"/>
      <c r="G3243" s="2"/>
      <c r="H3243" s="2"/>
      <c r="I3243" s="2"/>
    </row>
    <row r="3244">
      <c r="A3244" s="2">
        <f>IFERROR(__xludf.DUMMYFUNCTION("""COMPUTED_VALUE"""),122241.0)</f>
        <v>122241</v>
      </c>
      <c r="B3244" s="2" t="str">
        <f>IFERROR(__xludf.DUMMYFUNCTION("""COMPUTED_VALUE"""),"Arts")</f>
        <v>Arts</v>
      </c>
      <c r="C3244" s="2" t="str">
        <f>IFERROR(__xludf.DUMMYFUNCTION("""COMPUTED_VALUE"""),"Commercial Law")</f>
        <v>Commercial Law</v>
      </c>
      <c r="D3244" s="2" t="str">
        <f>IFERROR(__xludf.DUMMYFUNCTION("""COMPUTED_VALUE"""),"Ironlight Books")</f>
        <v>Ironlight Books</v>
      </c>
      <c r="E3244" s="2">
        <f>IFERROR(__xludf.DUMMYFUNCTION("""COMPUTED_VALUE"""),1.84)</f>
        <v>1.84</v>
      </c>
      <c r="F3244" s="2"/>
      <c r="G3244" s="2"/>
      <c r="H3244" s="2"/>
      <c r="I3244" s="2"/>
    </row>
    <row r="3245">
      <c r="A3245" s="2">
        <f>IFERROR(__xludf.DUMMYFUNCTION("""COMPUTED_VALUE"""),112799.0)</f>
        <v>112799</v>
      </c>
      <c r="B3245" s="2" t="str">
        <f>IFERROR(__xludf.DUMMYFUNCTION("""COMPUTED_VALUE"""),"Arts")</f>
        <v>Arts</v>
      </c>
      <c r="C3245" s="2" t="str">
        <f>IFERROR(__xludf.DUMMYFUNCTION("""COMPUTED_VALUE"""),"Commercial Law")</f>
        <v>Commercial Law</v>
      </c>
      <c r="D3245" s="2" t="str">
        <f>IFERROR(__xludf.DUMMYFUNCTION("""COMPUTED_VALUE"""),"Ironlight Books")</f>
        <v>Ironlight Books</v>
      </c>
      <c r="E3245" s="2">
        <f>IFERROR(__xludf.DUMMYFUNCTION("""COMPUTED_VALUE"""),3.17)</f>
        <v>3.17</v>
      </c>
      <c r="F3245" s="2"/>
      <c r="G3245" s="2"/>
      <c r="H3245" s="2"/>
      <c r="I3245" s="2"/>
    </row>
    <row r="3246">
      <c r="A3246" s="2">
        <f>IFERROR(__xludf.DUMMYFUNCTION("""COMPUTED_VALUE"""),122659.0)</f>
        <v>122659</v>
      </c>
      <c r="B3246" s="2" t="str">
        <f>IFERROR(__xludf.DUMMYFUNCTION("""COMPUTED_VALUE"""),"Arts")</f>
        <v>Arts</v>
      </c>
      <c r="C3246" s="2" t="str">
        <f>IFERROR(__xludf.DUMMYFUNCTION("""COMPUTED_VALUE"""),"Commercial Law")</f>
        <v>Commercial Law</v>
      </c>
      <c r="D3246" s="2" t="str">
        <f>IFERROR(__xludf.DUMMYFUNCTION("""COMPUTED_VALUE"""),"Ironlight Books")</f>
        <v>Ironlight Books</v>
      </c>
      <c r="E3246" s="2">
        <f>IFERROR(__xludf.DUMMYFUNCTION("""COMPUTED_VALUE"""),3.34)</f>
        <v>3.34</v>
      </c>
      <c r="F3246" s="2"/>
      <c r="G3246" s="2"/>
      <c r="H3246" s="2"/>
      <c r="I3246" s="2"/>
    </row>
    <row r="3247">
      <c r="A3247" s="2">
        <f>IFERROR(__xludf.DUMMYFUNCTION("""COMPUTED_VALUE"""),112797.0)</f>
        <v>112797</v>
      </c>
      <c r="B3247" s="2" t="str">
        <f>IFERROR(__xludf.DUMMYFUNCTION("""COMPUTED_VALUE"""),"Arts")</f>
        <v>Arts</v>
      </c>
      <c r="C3247" s="2" t="str">
        <f>IFERROR(__xludf.DUMMYFUNCTION("""COMPUTED_VALUE"""),"Commercial Law")</f>
        <v>Commercial Law</v>
      </c>
      <c r="D3247" s="2" t="str">
        <f>IFERROR(__xludf.DUMMYFUNCTION("""COMPUTED_VALUE"""),"Ironlight Books")</f>
        <v>Ironlight Books</v>
      </c>
      <c r="E3247" s="2">
        <f>IFERROR(__xludf.DUMMYFUNCTION("""COMPUTED_VALUE"""),3.19)</f>
        <v>3.19</v>
      </c>
      <c r="F3247" s="2"/>
      <c r="G3247" s="2"/>
      <c r="H3247" s="2"/>
      <c r="I3247" s="2"/>
    </row>
    <row r="3248">
      <c r="A3248" s="2">
        <f>IFERROR(__xludf.DUMMYFUNCTION("""COMPUTED_VALUE"""),122663.0)</f>
        <v>122663</v>
      </c>
      <c r="B3248" s="2" t="str">
        <f>IFERROR(__xludf.DUMMYFUNCTION("""COMPUTED_VALUE"""),"Arts")</f>
        <v>Arts</v>
      </c>
      <c r="C3248" s="2" t="str">
        <f>IFERROR(__xludf.DUMMYFUNCTION("""COMPUTED_VALUE"""),"Commercial Law")</f>
        <v>Commercial Law</v>
      </c>
      <c r="D3248" s="2" t="str">
        <f>IFERROR(__xludf.DUMMYFUNCTION("""COMPUTED_VALUE"""),"Ironlight Books")</f>
        <v>Ironlight Books</v>
      </c>
      <c r="E3248" s="2">
        <f>IFERROR(__xludf.DUMMYFUNCTION("""COMPUTED_VALUE"""),2.37)</f>
        <v>2.37</v>
      </c>
      <c r="F3248" s="2"/>
      <c r="G3248" s="2"/>
      <c r="H3248" s="2"/>
      <c r="I3248" s="2"/>
    </row>
    <row r="3249">
      <c r="A3249" s="2">
        <f>IFERROR(__xludf.DUMMYFUNCTION("""COMPUTED_VALUE"""),112809.0)</f>
        <v>112809</v>
      </c>
      <c r="B3249" s="2" t="str">
        <f>IFERROR(__xludf.DUMMYFUNCTION("""COMPUTED_VALUE"""),"Arts")</f>
        <v>Arts</v>
      </c>
      <c r="C3249" s="2" t="str">
        <f>IFERROR(__xludf.DUMMYFUNCTION("""COMPUTED_VALUE"""),"Commercial Law")</f>
        <v>Commercial Law</v>
      </c>
      <c r="D3249" s="2" t="str">
        <f>IFERROR(__xludf.DUMMYFUNCTION("""COMPUTED_VALUE"""),"Ironlight Books")</f>
        <v>Ironlight Books</v>
      </c>
      <c r="E3249" s="2">
        <f>IFERROR(__xludf.DUMMYFUNCTION("""COMPUTED_VALUE"""),1.09)</f>
        <v>1.09</v>
      </c>
      <c r="F3249" s="2"/>
      <c r="G3249" s="2"/>
      <c r="H3249" s="2"/>
      <c r="I3249" s="2"/>
    </row>
    <row r="3250">
      <c r="A3250" s="2">
        <f>IFERROR(__xludf.DUMMYFUNCTION("""COMPUTED_VALUE"""),80220.0)</f>
        <v>80220</v>
      </c>
      <c r="B3250" s="2" t="str">
        <f>IFERROR(__xludf.DUMMYFUNCTION("""COMPUTED_VALUE"""),"Arts")</f>
        <v>Arts</v>
      </c>
      <c r="C3250" s="2" t="str">
        <f>IFERROR(__xludf.DUMMYFUNCTION("""COMPUTED_VALUE"""),"Commercial Law")</f>
        <v>Commercial Law</v>
      </c>
      <c r="D3250" s="2" t="str">
        <f>IFERROR(__xludf.DUMMYFUNCTION("""COMPUTED_VALUE"""),"Ironlight Books")</f>
        <v>Ironlight Books</v>
      </c>
      <c r="E3250" s="2">
        <f>IFERROR(__xludf.DUMMYFUNCTION("""COMPUTED_VALUE"""),2.95)</f>
        <v>2.95</v>
      </c>
      <c r="F3250" s="2"/>
      <c r="G3250" s="2"/>
      <c r="H3250" s="2"/>
      <c r="I3250" s="2"/>
    </row>
    <row r="3251">
      <c r="A3251" s="2">
        <f>IFERROR(__xludf.DUMMYFUNCTION("""COMPUTED_VALUE"""),112732.0)</f>
        <v>112732</v>
      </c>
      <c r="B3251" s="2" t="str">
        <f>IFERROR(__xludf.DUMMYFUNCTION("""COMPUTED_VALUE"""),"Arts")</f>
        <v>Arts</v>
      </c>
      <c r="C3251" s="2" t="str">
        <f>IFERROR(__xludf.DUMMYFUNCTION("""COMPUTED_VALUE"""),"Commercial Law")</f>
        <v>Commercial Law</v>
      </c>
      <c r="D3251" s="2" t="str">
        <f>IFERROR(__xludf.DUMMYFUNCTION("""COMPUTED_VALUE"""),"Ironlight Books")</f>
        <v>Ironlight Books</v>
      </c>
      <c r="E3251" s="2">
        <f>IFERROR(__xludf.DUMMYFUNCTION("""COMPUTED_VALUE"""),2.7)</f>
        <v>2.7</v>
      </c>
      <c r="F3251" s="2"/>
      <c r="G3251" s="2"/>
      <c r="H3251" s="2"/>
      <c r="I3251" s="2"/>
    </row>
    <row r="3252">
      <c r="A3252" s="2">
        <f>IFERROR(__xludf.DUMMYFUNCTION("""COMPUTED_VALUE"""),83354.0)</f>
        <v>83354</v>
      </c>
      <c r="B3252" s="2" t="str">
        <f>IFERROR(__xludf.DUMMYFUNCTION("""COMPUTED_VALUE"""),"Arts")</f>
        <v>Arts</v>
      </c>
      <c r="C3252" s="2" t="str">
        <f>IFERROR(__xludf.DUMMYFUNCTION("""COMPUTED_VALUE"""),"Commercial Law")</f>
        <v>Commercial Law</v>
      </c>
      <c r="D3252" s="2" t="str">
        <f>IFERROR(__xludf.DUMMYFUNCTION("""COMPUTED_VALUE"""),"Ironlight Books")</f>
        <v>Ironlight Books</v>
      </c>
      <c r="E3252" s="2">
        <f>IFERROR(__xludf.DUMMYFUNCTION("""COMPUTED_VALUE"""),2.31)</f>
        <v>2.31</v>
      </c>
      <c r="F3252" s="2"/>
      <c r="G3252" s="2"/>
      <c r="H3252" s="2"/>
      <c r="I3252" s="2"/>
    </row>
    <row r="3253">
      <c r="A3253" s="2">
        <f>IFERROR(__xludf.DUMMYFUNCTION("""COMPUTED_VALUE"""),116410.0)</f>
        <v>116410</v>
      </c>
      <c r="B3253" s="2" t="str">
        <f>IFERROR(__xludf.DUMMYFUNCTION("""COMPUTED_VALUE"""),"Arts")</f>
        <v>Arts</v>
      </c>
      <c r="C3253" s="2" t="str">
        <f>IFERROR(__xludf.DUMMYFUNCTION("""COMPUTED_VALUE"""),"Commercial Law")</f>
        <v>Commercial Law</v>
      </c>
      <c r="D3253" s="2" t="str">
        <f>IFERROR(__xludf.DUMMYFUNCTION("""COMPUTED_VALUE"""),"Ironlight Books")</f>
        <v>Ironlight Books</v>
      </c>
      <c r="E3253" s="2">
        <f>IFERROR(__xludf.DUMMYFUNCTION("""COMPUTED_VALUE"""),2.64)</f>
        <v>2.64</v>
      </c>
      <c r="F3253" s="2"/>
      <c r="G3253" s="2"/>
      <c r="H3253" s="2"/>
      <c r="I3253" s="2"/>
    </row>
    <row r="3254">
      <c r="A3254" s="2">
        <f>IFERROR(__xludf.DUMMYFUNCTION("""COMPUTED_VALUE"""),103841.0)</f>
        <v>103841</v>
      </c>
      <c r="B3254" s="2" t="str">
        <f>IFERROR(__xludf.DUMMYFUNCTION("""COMPUTED_VALUE"""),"Arts")</f>
        <v>Arts</v>
      </c>
      <c r="C3254" s="2" t="str">
        <f>IFERROR(__xludf.DUMMYFUNCTION("""COMPUTED_VALUE"""),"Commercial Law")</f>
        <v>Commercial Law</v>
      </c>
      <c r="D3254" s="2" t="str">
        <f>IFERROR(__xludf.DUMMYFUNCTION("""COMPUTED_VALUE"""),"Ironlight Books")</f>
        <v>Ironlight Books</v>
      </c>
      <c r="E3254" s="2">
        <f>IFERROR(__xludf.DUMMYFUNCTION("""COMPUTED_VALUE"""),1.71)</f>
        <v>1.71</v>
      </c>
      <c r="F3254" s="2"/>
      <c r="G3254" s="2"/>
      <c r="H3254" s="2"/>
      <c r="I3254" s="2"/>
    </row>
    <row r="3255">
      <c r="A3255" s="2">
        <f>IFERROR(__xludf.DUMMYFUNCTION("""COMPUTED_VALUE"""),116746.0)</f>
        <v>116746</v>
      </c>
      <c r="B3255" s="2" t="str">
        <f>IFERROR(__xludf.DUMMYFUNCTION("""COMPUTED_VALUE"""),"Arts")</f>
        <v>Arts</v>
      </c>
      <c r="C3255" s="2" t="str">
        <f>IFERROR(__xludf.DUMMYFUNCTION("""COMPUTED_VALUE"""),"Commercial Law")</f>
        <v>Commercial Law</v>
      </c>
      <c r="D3255" s="2" t="str">
        <f>IFERROR(__xludf.DUMMYFUNCTION("""COMPUTED_VALUE"""),"Ironlight Books")</f>
        <v>Ironlight Books</v>
      </c>
      <c r="E3255" s="2">
        <f>IFERROR(__xludf.DUMMYFUNCTION("""COMPUTED_VALUE"""),2.07)</f>
        <v>2.07</v>
      </c>
      <c r="F3255" s="2"/>
      <c r="G3255" s="2"/>
      <c r="H3255" s="2"/>
      <c r="I3255" s="2"/>
    </row>
    <row r="3256">
      <c r="A3256" s="2">
        <f>IFERROR(__xludf.DUMMYFUNCTION("""COMPUTED_VALUE"""),116405.0)</f>
        <v>116405</v>
      </c>
      <c r="B3256" s="2" t="str">
        <f>IFERROR(__xludf.DUMMYFUNCTION("""COMPUTED_VALUE"""),"Arts")</f>
        <v>Arts</v>
      </c>
      <c r="C3256" s="2" t="str">
        <f>IFERROR(__xludf.DUMMYFUNCTION("""COMPUTED_VALUE"""),"Commercial Law")</f>
        <v>Commercial Law</v>
      </c>
      <c r="D3256" s="2" t="str">
        <f>IFERROR(__xludf.DUMMYFUNCTION("""COMPUTED_VALUE"""),"Ironlight Books")</f>
        <v>Ironlight Books</v>
      </c>
      <c r="E3256" s="2">
        <f>IFERROR(__xludf.DUMMYFUNCTION("""COMPUTED_VALUE"""),3.01)</f>
        <v>3.01</v>
      </c>
      <c r="F3256" s="2"/>
      <c r="G3256" s="2"/>
      <c r="H3256" s="2"/>
      <c r="I3256" s="2"/>
    </row>
    <row r="3257">
      <c r="A3257" s="2">
        <f>IFERROR(__xludf.DUMMYFUNCTION("""COMPUTED_VALUE"""),112810.0)</f>
        <v>112810</v>
      </c>
      <c r="B3257" s="2" t="str">
        <f>IFERROR(__xludf.DUMMYFUNCTION("""COMPUTED_VALUE"""),"Arts")</f>
        <v>Arts</v>
      </c>
      <c r="C3257" s="2" t="str">
        <f>IFERROR(__xludf.DUMMYFUNCTION("""COMPUTED_VALUE"""),"Commercial Law")</f>
        <v>Commercial Law</v>
      </c>
      <c r="D3257" s="2" t="str">
        <f>IFERROR(__xludf.DUMMYFUNCTION("""COMPUTED_VALUE"""),"Ironlight Books")</f>
        <v>Ironlight Books</v>
      </c>
      <c r="E3257" s="2">
        <f>IFERROR(__xludf.DUMMYFUNCTION("""COMPUTED_VALUE"""),2.25)</f>
        <v>2.25</v>
      </c>
      <c r="F3257" s="2"/>
      <c r="G3257" s="2"/>
      <c r="H3257" s="2"/>
      <c r="I3257" s="2"/>
    </row>
    <row r="3258">
      <c r="A3258" s="2">
        <f>IFERROR(__xludf.DUMMYFUNCTION("""COMPUTED_VALUE"""),47347.0)</f>
        <v>47347</v>
      </c>
      <c r="B3258" s="2" t="str">
        <f>IFERROR(__xludf.DUMMYFUNCTION("""COMPUTED_VALUE"""),"Arts")</f>
        <v>Arts</v>
      </c>
      <c r="C3258" s="2" t="str">
        <f>IFERROR(__xludf.DUMMYFUNCTION("""COMPUTED_VALUE"""),"Commercial Law")</f>
        <v>Commercial Law</v>
      </c>
      <c r="D3258" s="2" t="str">
        <f>IFERROR(__xludf.DUMMYFUNCTION("""COMPUTED_VALUE"""),"Silverwind Press")</f>
        <v>Silverwind Press</v>
      </c>
      <c r="E3258" s="2">
        <f>IFERROR(__xludf.DUMMYFUNCTION("""COMPUTED_VALUE"""),1.75)</f>
        <v>1.75</v>
      </c>
      <c r="F3258" s="2"/>
      <c r="G3258" s="2"/>
      <c r="H3258" s="2"/>
      <c r="I3258" s="2"/>
    </row>
    <row r="3259">
      <c r="A3259" s="2">
        <f>IFERROR(__xludf.DUMMYFUNCTION("""COMPUTED_VALUE"""),101902.0)</f>
        <v>101902</v>
      </c>
      <c r="B3259" s="2" t="str">
        <f>IFERROR(__xludf.DUMMYFUNCTION("""COMPUTED_VALUE"""),"Arts")</f>
        <v>Arts</v>
      </c>
      <c r="C3259" s="2" t="str">
        <f>IFERROR(__xludf.DUMMYFUNCTION("""COMPUTED_VALUE"""),"Commercial Law")</f>
        <v>Commercial Law</v>
      </c>
      <c r="D3259" s="2" t="str">
        <f>IFERROR(__xludf.DUMMYFUNCTION("""COMPUTED_VALUE"""),"Silverwind Press")</f>
        <v>Silverwind Press</v>
      </c>
      <c r="E3259" s="2">
        <f>IFERROR(__xludf.DUMMYFUNCTION("""COMPUTED_VALUE"""),2.07)</f>
        <v>2.07</v>
      </c>
      <c r="F3259" s="2"/>
      <c r="G3259" s="2"/>
      <c r="H3259" s="2"/>
      <c r="I3259" s="2"/>
    </row>
    <row r="3260">
      <c r="A3260" s="2">
        <f>IFERROR(__xludf.DUMMYFUNCTION("""COMPUTED_VALUE"""),92926.0)</f>
        <v>92926</v>
      </c>
      <c r="B3260" s="2" t="str">
        <f>IFERROR(__xludf.DUMMYFUNCTION("""COMPUTED_VALUE"""),"Arts")</f>
        <v>Arts</v>
      </c>
      <c r="C3260" s="2" t="str">
        <f>IFERROR(__xludf.DUMMYFUNCTION("""COMPUTED_VALUE"""),"Commercial Law")</f>
        <v>Commercial Law</v>
      </c>
      <c r="D3260" s="2" t="str">
        <f>IFERROR(__xludf.DUMMYFUNCTION("""COMPUTED_VALUE"""),"Silverwind Press")</f>
        <v>Silverwind Press</v>
      </c>
      <c r="E3260" s="2">
        <f>IFERROR(__xludf.DUMMYFUNCTION("""COMPUTED_VALUE"""),3.19)</f>
        <v>3.19</v>
      </c>
      <c r="F3260" s="2"/>
      <c r="G3260" s="2"/>
      <c r="H3260" s="2"/>
      <c r="I3260" s="2"/>
    </row>
    <row r="3261">
      <c r="A3261" s="2">
        <f>IFERROR(__xludf.DUMMYFUNCTION("""COMPUTED_VALUE"""),47345.0)</f>
        <v>47345</v>
      </c>
      <c r="B3261" s="2" t="str">
        <f>IFERROR(__xludf.DUMMYFUNCTION("""COMPUTED_VALUE"""),"Arts")</f>
        <v>Arts</v>
      </c>
      <c r="C3261" s="2" t="str">
        <f>IFERROR(__xludf.DUMMYFUNCTION("""COMPUTED_VALUE"""),"Commercial Law")</f>
        <v>Commercial Law</v>
      </c>
      <c r="D3261" s="2" t="str">
        <f>IFERROR(__xludf.DUMMYFUNCTION("""COMPUTED_VALUE"""),"Silverwind Press")</f>
        <v>Silverwind Press</v>
      </c>
      <c r="E3261" s="2">
        <f>IFERROR(__xludf.DUMMYFUNCTION("""COMPUTED_VALUE"""),1.72)</f>
        <v>1.72</v>
      </c>
      <c r="F3261" s="2"/>
      <c r="G3261" s="2"/>
      <c r="H3261" s="2"/>
      <c r="I3261" s="2"/>
    </row>
    <row r="3262">
      <c r="A3262" s="2">
        <f>IFERROR(__xludf.DUMMYFUNCTION("""COMPUTED_VALUE"""),121611.0)</f>
        <v>121611</v>
      </c>
      <c r="B3262" s="2" t="str">
        <f>IFERROR(__xludf.DUMMYFUNCTION("""COMPUTED_VALUE"""),"Arts")</f>
        <v>Arts</v>
      </c>
      <c r="C3262" s="2" t="str">
        <f>IFERROR(__xludf.DUMMYFUNCTION("""COMPUTED_VALUE"""),"Commercial Law")</f>
        <v>Commercial Law</v>
      </c>
      <c r="D3262" s="2" t="str">
        <f>IFERROR(__xludf.DUMMYFUNCTION("""COMPUTED_VALUE"""),"Silverwind Press")</f>
        <v>Silverwind Press</v>
      </c>
      <c r="E3262" s="2">
        <f>IFERROR(__xludf.DUMMYFUNCTION("""COMPUTED_VALUE"""),2.61)</f>
        <v>2.61</v>
      </c>
      <c r="F3262" s="2"/>
      <c r="G3262" s="2"/>
      <c r="H3262" s="2"/>
      <c r="I3262" s="2"/>
    </row>
    <row r="3263">
      <c r="A3263" s="2">
        <f>IFERROR(__xludf.DUMMYFUNCTION("""COMPUTED_VALUE"""),73310.0)</f>
        <v>73310</v>
      </c>
      <c r="B3263" s="2" t="str">
        <f>IFERROR(__xludf.DUMMYFUNCTION("""COMPUTED_VALUE"""),"Arts")</f>
        <v>Arts</v>
      </c>
      <c r="C3263" s="2" t="str">
        <f>IFERROR(__xludf.DUMMYFUNCTION("""COMPUTED_VALUE"""),"Commercial Law")</f>
        <v>Commercial Law</v>
      </c>
      <c r="D3263" s="2" t="str">
        <f>IFERROR(__xludf.DUMMYFUNCTION("""COMPUTED_VALUE"""),"Silverwind Press")</f>
        <v>Silverwind Press</v>
      </c>
      <c r="E3263" s="2">
        <f>IFERROR(__xludf.DUMMYFUNCTION("""COMPUTED_VALUE"""),2.3)</f>
        <v>2.3</v>
      </c>
      <c r="F3263" s="2"/>
      <c r="G3263" s="2"/>
      <c r="H3263" s="2"/>
      <c r="I3263" s="2"/>
    </row>
    <row r="3264">
      <c r="A3264" s="2">
        <f>IFERROR(__xludf.DUMMYFUNCTION("""COMPUTED_VALUE"""),80102.0)</f>
        <v>80102</v>
      </c>
      <c r="B3264" s="2" t="str">
        <f>IFERROR(__xludf.DUMMYFUNCTION("""COMPUTED_VALUE"""),"Arts")</f>
        <v>Arts</v>
      </c>
      <c r="C3264" s="2" t="str">
        <f>IFERROR(__xludf.DUMMYFUNCTION("""COMPUTED_VALUE"""),"Commercial Law")</f>
        <v>Commercial Law</v>
      </c>
      <c r="D3264" s="2" t="str">
        <f>IFERROR(__xludf.DUMMYFUNCTION("""COMPUTED_VALUE"""),"Silverwind Press")</f>
        <v>Silverwind Press</v>
      </c>
      <c r="E3264" s="2">
        <f>IFERROR(__xludf.DUMMYFUNCTION("""COMPUTED_VALUE"""),2.89)</f>
        <v>2.89</v>
      </c>
      <c r="F3264" s="2"/>
      <c r="G3264" s="2"/>
      <c r="H3264" s="2"/>
      <c r="I3264" s="2"/>
    </row>
    <row r="3265">
      <c r="A3265" s="2">
        <f>IFERROR(__xludf.DUMMYFUNCTION("""COMPUTED_VALUE"""),122773.0)</f>
        <v>122773</v>
      </c>
      <c r="B3265" s="2" t="str">
        <f>IFERROR(__xludf.DUMMYFUNCTION("""COMPUTED_VALUE"""),"Arts")</f>
        <v>Arts</v>
      </c>
      <c r="C3265" s="2" t="str">
        <f>IFERROR(__xludf.DUMMYFUNCTION("""COMPUTED_VALUE"""),"Commercial Law")</f>
        <v>Commercial Law</v>
      </c>
      <c r="D3265" s="2" t="str">
        <f>IFERROR(__xludf.DUMMYFUNCTION("""COMPUTED_VALUE"""),"Silverwind Press")</f>
        <v>Silverwind Press</v>
      </c>
      <c r="E3265" s="2">
        <f>IFERROR(__xludf.DUMMYFUNCTION("""COMPUTED_VALUE"""),2.36)</f>
        <v>2.36</v>
      </c>
      <c r="F3265" s="2"/>
      <c r="G3265" s="2"/>
      <c r="H3265" s="2"/>
      <c r="I3265" s="2"/>
    </row>
    <row r="3266">
      <c r="A3266" s="2">
        <f>IFERROR(__xludf.DUMMYFUNCTION("""COMPUTED_VALUE"""),119421.0)</f>
        <v>119421</v>
      </c>
      <c r="B3266" s="2" t="str">
        <f>IFERROR(__xludf.DUMMYFUNCTION("""COMPUTED_VALUE"""),"Arts")</f>
        <v>Arts</v>
      </c>
      <c r="C3266" s="2" t="str">
        <f>IFERROR(__xludf.DUMMYFUNCTION("""COMPUTED_VALUE"""),"Commercial Law")</f>
        <v>Commercial Law</v>
      </c>
      <c r="D3266" s="2" t="str">
        <f>IFERROR(__xludf.DUMMYFUNCTION("""COMPUTED_VALUE"""),"Silverwind Press")</f>
        <v>Silverwind Press</v>
      </c>
      <c r="E3266" s="2">
        <f>IFERROR(__xludf.DUMMYFUNCTION("""COMPUTED_VALUE"""),4.32)</f>
        <v>4.32</v>
      </c>
      <c r="F3266" s="2"/>
      <c r="G3266" s="2"/>
      <c r="H3266" s="2"/>
      <c r="I3266" s="2"/>
    </row>
    <row r="3267">
      <c r="A3267" s="2">
        <f>IFERROR(__xludf.DUMMYFUNCTION("""COMPUTED_VALUE"""),118276.0)</f>
        <v>118276</v>
      </c>
      <c r="B3267" s="2" t="str">
        <f>IFERROR(__xludf.DUMMYFUNCTION("""COMPUTED_VALUE"""),"Arts")</f>
        <v>Arts</v>
      </c>
      <c r="C3267" s="2" t="str">
        <f>IFERROR(__xludf.DUMMYFUNCTION("""COMPUTED_VALUE"""),"Commercial Law")</f>
        <v>Commercial Law</v>
      </c>
      <c r="D3267" s="2" t="str">
        <f>IFERROR(__xludf.DUMMYFUNCTION("""COMPUTED_VALUE"""),"Silverwind Press")</f>
        <v>Silverwind Press</v>
      </c>
      <c r="E3267" s="2">
        <f>IFERROR(__xludf.DUMMYFUNCTION("""COMPUTED_VALUE"""),1.83)</f>
        <v>1.83</v>
      </c>
      <c r="F3267" s="2"/>
      <c r="G3267" s="2"/>
      <c r="H3267" s="2"/>
      <c r="I3267" s="2"/>
    </row>
    <row r="3268">
      <c r="A3268" s="2">
        <f>IFERROR(__xludf.DUMMYFUNCTION("""COMPUTED_VALUE"""),47314.0)</f>
        <v>47314</v>
      </c>
      <c r="B3268" s="2" t="str">
        <f>IFERROR(__xludf.DUMMYFUNCTION("""COMPUTED_VALUE"""),"Arts")</f>
        <v>Arts</v>
      </c>
      <c r="C3268" s="2" t="str">
        <f>IFERROR(__xludf.DUMMYFUNCTION("""COMPUTED_VALUE"""),"Commercial Law")</f>
        <v>Commercial Law</v>
      </c>
      <c r="D3268" s="2" t="str">
        <f>IFERROR(__xludf.DUMMYFUNCTION("""COMPUTED_VALUE"""),"Silverwind Press")</f>
        <v>Silverwind Press</v>
      </c>
      <c r="E3268" s="2">
        <f>IFERROR(__xludf.DUMMYFUNCTION("""COMPUTED_VALUE"""),2.02)</f>
        <v>2.02</v>
      </c>
      <c r="F3268" s="2"/>
      <c r="G3268" s="2"/>
      <c r="H3268" s="2"/>
      <c r="I3268" s="2"/>
    </row>
    <row r="3269">
      <c r="A3269" s="2">
        <f>IFERROR(__xludf.DUMMYFUNCTION("""COMPUTED_VALUE"""),122771.0)</f>
        <v>122771</v>
      </c>
      <c r="B3269" s="2" t="str">
        <f>IFERROR(__xludf.DUMMYFUNCTION("""COMPUTED_VALUE"""),"Arts")</f>
        <v>Arts</v>
      </c>
      <c r="C3269" s="2" t="str">
        <f>IFERROR(__xludf.DUMMYFUNCTION("""COMPUTED_VALUE"""),"Commercial Law")</f>
        <v>Commercial Law</v>
      </c>
      <c r="D3269" s="2" t="str">
        <f>IFERROR(__xludf.DUMMYFUNCTION("""COMPUTED_VALUE"""),"Silverwind Press")</f>
        <v>Silverwind Press</v>
      </c>
      <c r="E3269" s="2">
        <f>IFERROR(__xludf.DUMMYFUNCTION("""COMPUTED_VALUE"""),2.48)</f>
        <v>2.48</v>
      </c>
      <c r="F3269" s="2"/>
      <c r="G3269" s="2"/>
      <c r="H3269" s="2"/>
      <c r="I3269" s="2"/>
    </row>
    <row r="3270">
      <c r="A3270" s="2">
        <f>IFERROR(__xludf.DUMMYFUNCTION("""COMPUTED_VALUE"""),47380.0)</f>
        <v>47380</v>
      </c>
      <c r="B3270" s="2" t="str">
        <f>IFERROR(__xludf.DUMMYFUNCTION("""COMPUTED_VALUE"""),"Arts")</f>
        <v>Arts</v>
      </c>
      <c r="C3270" s="2" t="str">
        <f>IFERROR(__xludf.DUMMYFUNCTION("""COMPUTED_VALUE"""),"Commercial Law")</f>
        <v>Commercial Law</v>
      </c>
      <c r="D3270" s="2" t="str">
        <f>IFERROR(__xludf.DUMMYFUNCTION("""COMPUTED_VALUE"""),"Northwind Publishing")</f>
        <v>Northwind Publishing</v>
      </c>
      <c r="E3270" s="2">
        <f>IFERROR(__xludf.DUMMYFUNCTION("""COMPUTED_VALUE"""),1.72)</f>
        <v>1.72</v>
      </c>
      <c r="F3270" s="2"/>
      <c r="G3270" s="2"/>
      <c r="H3270" s="2"/>
      <c r="I3270" s="2"/>
    </row>
    <row r="3271">
      <c r="A3271" s="2">
        <f>IFERROR(__xludf.DUMMYFUNCTION("""COMPUTED_VALUE"""),98329.0)</f>
        <v>98329</v>
      </c>
      <c r="B3271" s="2" t="str">
        <f>IFERROR(__xludf.DUMMYFUNCTION("""COMPUTED_VALUE"""),"Arts")</f>
        <v>Arts</v>
      </c>
      <c r="C3271" s="2" t="str">
        <f>IFERROR(__xludf.DUMMYFUNCTION("""COMPUTED_VALUE"""),"Commercial Law")</f>
        <v>Commercial Law</v>
      </c>
      <c r="D3271" s="2" t="str">
        <f>IFERROR(__xludf.DUMMYFUNCTION("""COMPUTED_VALUE"""),"Northwind Publishing")</f>
        <v>Northwind Publishing</v>
      </c>
      <c r="E3271" s="2">
        <f>IFERROR(__xludf.DUMMYFUNCTION("""COMPUTED_VALUE"""),2.13)</f>
        <v>2.13</v>
      </c>
      <c r="F3271" s="2"/>
      <c r="G3271" s="2"/>
      <c r="H3271" s="2"/>
      <c r="I3271" s="2"/>
    </row>
    <row r="3272">
      <c r="A3272" s="2">
        <f>IFERROR(__xludf.DUMMYFUNCTION("""COMPUTED_VALUE"""),81485.0)</f>
        <v>81485</v>
      </c>
      <c r="B3272" s="2" t="str">
        <f>IFERROR(__xludf.DUMMYFUNCTION("""COMPUTED_VALUE"""),"Arts")</f>
        <v>Arts</v>
      </c>
      <c r="C3272" s="2" t="str">
        <f>IFERROR(__xludf.DUMMYFUNCTION("""COMPUTED_VALUE"""),"Commercial Law")</f>
        <v>Commercial Law</v>
      </c>
      <c r="D3272" s="2" t="str">
        <f>IFERROR(__xludf.DUMMYFUNCTION("""COMPUTED_VALUE"""),"Northwind Publishing")</f>
        <v>Northwind Publishing</v>
      </c>
      <c r="E3272" s="2">
        <f>IFERROR(__xludf.DUMMYFUNCTION("""COMPUTED_VALUE"""),1.87)</f>
        <v>1.87</v>
      </c>
      <c r="F3272" s="2"/>
      <c r="G3272" s="2"/>
      <c r="H3272" s="2"/>
      <c r="I3272" s="2"/>
    </row>
    <row r="3273">
      <c r="A3273" s="2">
        <f>IFERROR(__xludf.DUMMYFUNCTION("""COMPUTED_VALUE"""),77847.0)</f>
        <v>77847</v>
      </c>
      <c r="B3273" s="2" t="str">
        <f>IFERROR(__xludf.DUMMYFUNCTION("""COMPUTED_VALUE"""),"Arts")</f>
        <v>Arts</v>
      </c>
      <c r="C3273" s="2" t="str">
        <f>IFERROR(__xludf.DUMMYFUNCTION("""COMPUTED_VALUE"""),"Commercial Law")</f>
        <v>Commercial Law</v>
      </c>
      <c r="D3273" s="2" t="str">
        <f>IFERROR(__xludf.DUMMYFUNCTION("""COMPUTED_VALUE"""),"Northwind Publishing")</f>
        <v>Northwind Publishing</v>
      </c>
      <c r="E3273" s="2">
        <f>IFERROR(__xludf.DUMMYFUNCTION("""COMPUTED_VALUE"""),3.64)</f>
        <v>3.64</v>
      </c>
      <c r="F3273" s="2"/>
      <c r="G3273" s="2"/>
      <c r="H3273" s="2"/>
      <c r="I3273" s="2"/>
    </row>
    <row r="3274">
      <c r="A3274" s="2">
        <f>IFERROR(__xludf.DUMMYFUNCTION("""COMPUTED_VALUE"""),77290.0)</f>
        <v>77290</v>
      </c>
      <c r="B3274" s="2" t="str">
        <f>IFERROR(__xludf.DUMMYFUNCTION("""COMPUTED_VALUE"""),"Arts")</f>
        <v>Arts</v>
      </c>
      <c r="C3274" s="2" t="str">
        <f>IFERROR(__xludf.DUMMYFUNCTION("""COMPUTED_VALUE"""),"Commercial Law")</f>
        <v>Commercial Law</v>
      </c>
      <c r="D3274" s="2" t="str">
        <f>IFERROR(__xludf.DUMMYFUNCTION("""COMPUTED_VALUE"""),"Northwind Publishing")</f>
        <v>Northwind Publishing</v>
      </c>
      <c r="E3274" s="2">
        <f>IFERROR(__xludf.DUMMYFUNCTION("""COMPUTED_VALUE"""),1.63)</f>
        <v>1.63</v>
      </c>
      <c r="F3274" s="2"/>
      <c r="G3274" s="2"/>
      <c r="H3274" s="2"/>
      <c r="I3274" s="2"/>
    </row>
    <row r="3275">
      <c r="A3275" s="2">
        <f>IFERROR(__xludf.DUMMYFUNCTION("""COMPUTED_VALUE"""),114656.0)</f>
        <v>114656</v>
      </c>
      <c r="B3275" s="2" t="str">
        <f>IFERROR(__xludf.DUMMYFUNCTION("""COMPUTED_VALUE"""),"Arts")</f>
        <v>Arts</v>
      </c>
      <c r="C3275" s="2" t="str">
        <f>IFERROR(__xludf.DUMMYFUNCTION("""COMPUTED_VALUE"""),"Commercial Law")</f>
        <v>Commercial Law</v>
      </c>
      <c r="D3275" s="2" t="str">
        <f>IFERROR(__xludf.DUMMYFUNCTION("""COMPUTED_VALUE"""),"Northwind Publishing")</f>
        <v>Northwind Publishing</v>
      </c>
      <c r="E3275" s="2">
        <f>IFERROR(__xludf.DUMMYFUNCTION("""COMPUTED_VALUE"""),1.65)</f>
        <v>1.65</v>
      </c>
      <c r="F3275" s="2"/>
      <c r="G3275" s="2"/>
      <c r="H3275" s="2"/>
      <c r="I3275" s="2"/>
    </row>
    <row r="3276">
      <c r="A3276" s="2">
        <f>IFERROR(__xludf.DUMMYFUNCTION("""COMPUTED_VALUE"""),118486.0)</f>
        <v>118486</v>
      </c>
      <c r="B3276" s="2" t="str">
        <f>IFERROR(__xludf.DUMMYFUNCTION("""COMPUTED_VALUE"""),"Arts")</f>
        <v>Arts</v>
      </c>
      <c r="C3276" s="2" t="str">
        <f>IFERROR(__xludf.DUMMYFUNCTION("""COMPUTED_VALUE"""),"Commercial Law")</f>
        <v>Commercial Law</v>
      </c>
      <c r="D3276" s="2" t="str">
        <f>IFERROR(__xludf.DUMMYFUNCTION("""COMPUTED_VALUE"""),"Northwind Publishing")</f>
        <v>Northwind Publishing</v>
      </c>
      <c r="E3276" s="2">
        <f>IFERROR(__xludf.DUMMYFUNCTION("""COMPUTED_VALUE"""),1.88)</f>
        <v>1.88</v>
      </c>
      <c r="F3276" s="2"/>
      <c r="G3276" s="2"/>
      <c r="H3276" s="2"/>
      <c r="I3276" s="2"/>
    </row>
    <row r="3277">
      <c r="A3277" s="2">
        <f>IFERROR(__xludf.DUMMYFUNCTION("""COMPUTED_VALUE"""),101889.0)</f>
        <v>101889</v>
      </c>
      <c r="B3277" s="2" t="str">
        <f>IFERROR(__xludf.DUMMYFUNCTION("""COMPUTED_VALUE"""),"Arts")</f>
        <v>Arts</v>
      </c>
      <c r="C3277" s="2" t="str">
        <f>IFERROR(__xludf.DUMMYFUNCTION("""COMPUTED_VALUE"""),"Commercial Law")</f>
        <v>Commercial Law</v>
      </c>
      <c r="D3277" s="2" t="str">
        <f>IFERROR(__xludf.DUMMYFUNCTION("""COMPUTED_VALUE"""),"Northwind Publishing")</f>
        <v>Northwind Publishing</v>
      </c>
      <c r="E3277" s="2">
        <f>IFERROR(__xludf.DUMMYFUNCTION("""COMPUTED_VALUE"""),1.85)</f>
        <v>1.85</v>
      </c>
      <c r="F3277" s="2"/>
      <c r="G3277" s="2"/>
      <c r="H3277" s="2"/>
      <c r="I3277" s="2"/>
    </row>
    <row r="3278">
      <c r="A3278" s="2">
        <f>IFERROR(__xludf.DUMMYFUNCTION("""COMPUTED_VALUE"""),14030.0)</f>
        <v>14030</v>
      </c>
      <c r="B3278" s="2" t="str">
        <f>IFERROR(__xludf.DUMMYFUNCTION("""COMPUTED_VALUE"""),"Arts")</f>
        <v>Arts</v>
      </c>
      <c r="C3278" s="2" t="str">
        <f>IFERROR(__xludf.DUMMYFUNCTION("""COMPUTED_VALUE"""),"Commercial Law")</f>
        <v>Commercial Law</v>
      </c>
      <c r="D3278" s="2" t="str">
        <f>IFERROR(__xludf.DUMMYFUNCTION("""COMPUTED_VALUE"""),"Northwind Publishing")</f>
        <v>Northwind Publishing</v>
      </c>
      <c r="E3278" s="2">
        <f>IFERROR(__xludf.DUMMYFUNCTION("""COMPUTED_VALUE"""),1.6)</f>
        <v>1.6</v>
      </c>
      <c r="F3278" s="2"/>
      <c r="G3278" s="2"/>
      <c r="H3278" s="2"/>
      <c r="I3278" s="2"/>
    </row>
    <row r="3279">
      <c r="A3279" s="2">
        <f>IFERROR(__xludf.DUMMYFUNCTION("""COMPUTED_VALUE"""),47381.0)</f>
        <v>47381</v>
      </c>
      <c r="B3279" s="2" t="str">
        <f>IFERROR(__xludf.DUMMYFUNCTION("""COMPUTED_VALUE"""),"Arts")</f>
        <v>Arts</v>
      </c>
      <c r="C3279" s="2" t="str">
        <f>IFERROR(__xludf.DUMMYFUNCTION("""COMPUTED_VALUE"""),"Commercial Law")</f>
        <v>Commercial Law</v>
      </c>
      <c r="D3279" s="2" t="str">
        <f>IFERROR(__xludf.DUMMYFUNCTION("""COMPUTED_VALUE"""),"Northwind Publishing")</f>
        <v>Northwind Publishing</v>
      </c>
      <c r="E3279" s="2">
        <f>IFERROR(__xludf.DUMMYFUNCTION("""COMPUTED_VALUE"""),1.84)</f>
        <v>1.84</v>
      </c>
      <c r="F3279" s="2"/>
      <c r="G3279" s="2"/>
      <c r="H3279" s="2"/>
      <c r="I3279" s="2"/>
    </row>
    <row r="3280">
      <c r="A3280" s="2">
        <f>IFERROR(__xludf.DUMMYFUNCTION("""COMPUTED_VALUE"""),101888.0)</f>
        <v>101888</v>
      </c>
      <c r="B3280" s="2" t="str">
        <f>IFERROR(__xludf.DUMMYFUNCTION("""COMPUTED_VALUE"""),"Arts")</f>
        <v>Arts</v>
      </c>
      <c r="C3280" s="2" t="str">
        <f>IFERROR(__xludf.DUMMYFUNCTION("""COMPUTED_VALUE"""),"Commercial Law")</f>
        <v>Commercial Law</v>
      </c>
      <c r="D3280" s="2" t="str">
        <f>IFERROR(__xludf.DUMMYFUNCTION("""COMPUTED_VALUE"""),"Northwind Publishing")</f>
        <v>Northwind Publishing</v>
      </c>
      <c r="E3280" s="2">
        <f>IFERROR(__xludf.DUMMYFUNCTION("""COMPUTED_VALUE"""),1.89)</f>
        <v>1.89</v>
      </c>
      <c r="F3280" s="2"/>
      <c r="G3280" s="2"/>
      <c r="H3280" s="2"/>
      <c r="I3280" s="2"/>
    </row>
    <row r="3281">
      <c r="A3281" s="2">
        <f>IFERROR(__xludf.DUMMYFUNCTION("""COMPUTED_VALUE"""),98328.0)</f>
        <v>98328</v>
      </c>
      <c r="B3281" s="2" t="str">
        <f>IFERROR(__xludf.DUMMYFUNCTION("""COMPUTED_VALUE"""),"Arts")</f>
        <v>Arts</v>
      </c>
      <c r="C3281" s="2" t="str">
        <f>IFERROR(__xludf.DUMMYFUNCTION("""COMPUTED_VALUE"""),"Commercial Law")</f>
        <v>Commercial Law</v>
      </c>
      <c r="D3281" s="2" t="str">
        <f>IFERROR(__xludf.DUMMYFUNCTION("""COMPUTED_VALUE"""),"Northwind Publishing")</f>
        <v>Northwind Publishing</v>
      </c>
      <c r="E3281" s="2">
        <f>IFERROR(__xludf.DUMMYFUNCTION("""COMPUTED_VALUE"""),1.99)</f>
        <v>1.99</v>
      </c>
      <c r="F3281" s="2"/>
      <c r="G3281" s="2"/>
      <c r="H3281" s="2"/>
      <c r="I3281" s="2"/>
    </row>
    <row r="3282">
      <c r="A3282" s="2">
        <f>IFERROR(__xludf.DUMMYFUNCTION("""COMPUTED_VALUE"""),79775.0)</f>
        <v>79775</v>
      </c>
      <c r="B3282" s="2" t="str">
        <f>IFERROR(__xludf.DUMMYFUNCTION("""COMPUTED_VALUE"""),"Arts")</f>
        <v>Arts</v>
      </c>
      <c r="C3282" s="2" t="str">
        <f>IFERROR(__xludf.DUMMYFUNCTION("""COMPUTED_VALUE"""),"Commercial Law")</f>
        <v>Commercial Law</v>
      </c>
      <c r="D3282" s="2" t="str">
        <f>IFERROR(__xludf.DUMMYFUNCTION("""COMPUTED_VALUE"""),"Harborwind Books")</f>
        <v>Harborwind Books</v>
      </c>
      <c r="E3282" s="2">
        <f>IFERROR(__xludf.DUMMYFUNCTION("""COMPUTED_VALUE"""),1.92)</f>
        <v>1.92</v>
      </c>
      <c r="F3282" s="2"/>
      <c r="G3282" s="2"/>
      <c r="H3282" s="2"/>
      <c r="I3282" s="2"/>
    </row>
    <row r="3283">
      <c r="A3283" s="2">
        <f>IFERROR(__xludf.DUMMYFUNCTION("""COMPUTED_VALUE"""),122616.0)</f>
        <v>122616</v>
      </c>
      <c r="B3283" s="2" t="str">
        <f>IFERROR(__xludf.DUMMYFUNCTION("""COMPUTED_VALUE"""),"Arts")</f>
        <v>Arts</v>
      </c>
      <c r="C3283" s="2" t="str">
        <f>IFERROR(__xludf.DUMMYFUNCTION("""COMPUTED_VALUE"""),"Commercial Law")</f>
        <v>Commercial Law</v>
      </c>
      <c r="D3283" s="2" t="str">
        <f>IFERROR(__xludf.DUMMYFUNCTION("""COMPUTED_VALUE"""),"Harborwind Books")</f>
        <v>Harborwind Books</v>
      </c>
      <c r="E3283" s="2">
        <f>IFERROR(__xludf.DUMMYFUNCTION("""COMPUTED_VALUE"""),1.94)</f>
        <v>1.94</v>
      </c>
      <c r="F3283" s="2"/>
      <c r="G3283" s="2"/>
      <c r="H3283" s="2"/>
      <c r="I3283" s="2"/>
    </row>
    <row r="3284">
      <c r="A3284" s="2">
        <f>IFERROR(__xludf.DUMMYFUNCTION("""COMPUTED_VALUE"""),101950.0)</f>
        <v>101950</v>
      </c>
      <c r="B3284" s="2" t="str">
        <f>IFERROR(__xludf.DUMMYFUNCTION("""COMPUTED_VALUE"""),"Arts")</f>
        <v>Arts</v>
      </c>
      <c r="C3284" s="2" t="str">
        <f>IFERROR(__xludf.DUMMYFUNCTION("""COMPUTED_VALUE"""),"Commercial Law")</f>
        <v>Commercial Law</v>
      </c>
      <c r="D3284" s="2" t="str">
        <f>IFERROR(__xludf.DUMMYFUNCTION("""COMPUTED_VALUE"""),"Harborwind Books")</f>
        <v>Harborwind Books</v>
      </c>
      <c r="E3284" s="2">
        <f>IFERROR(__xludf.DUMMYFUNCTION("""COMPUTED_VALUE"""),2.16)</f>
        <v>2.16</v>
      </c>
      <c r="F3284" s="2"/>
      <c r="G3284" s="2"/>
      <c r="H3284" s="2"/>
      <c r="I3284" s="2"/>
    </row>
    <row r="3285">
      <c r="A3285" s="2">
        <f>IFERROR(__xludf.DUMMYFUNCTION("""COMPUTED_VALUE"""),9163.0)</f>
        <v>9163</v>
      </c>
      <c r="B3285" s="2" t="str">
        <f>IFERROR(__xludf.DUMMYFUNCTION("""COMPUTED_VALUE"""),"Arts")</f>
        <v>Arts</v>
      </c>
      <c r="C3285" s="2" t="str">
        <f>IFERROR(__xludf.DUMMYFUNCTION("""COMPUTED_VALUE"""),"Commercial Law")</f>
        <v>Commercial Law</v>
      </c>
      <c r="D3285" s="2" t="str">
        <f>IFERROR(__xludf.DUMMYFUNCTION("""COMPUTED_VALUE"""),"Harborwind Books")</f>
        <v>Harborwind Books</v>
      </c>
      <c r="E3285" s="2">
        <f>IFERROR(__xludf.DUMMYFUNCTION("""COMPUTED_VALUE"""),1.46)</f>
        <v>1.46</v>
      </c>
      <c r="F3285" s="2"/>
      <c r="G3285" s="2"/>
      <c r="H3285" s="2"/>
      <c r="I3285" s="2"/>
    </row>
    <row r="3286">
      <c r="A3286" s="2">
        <f>IFERROR(__xludf.DUMMYFUNCTION("""COMPUTED_VALUE"""),110106.0)</f>
        <v>110106</v>
      </c>
      <c r="B3286" s="2" t="str">
        <f>IFERROR(__xludf.DUMMYFUNCTION("""COMPUTED_VALUE"""),"Arts")</f>
        <v>Arts</v>
      </c>
      <c r="C3286" s="2" t="str">
        <f>IFERROR(__xludf.DUMMYFUNCTION("""COMPUTED_VALUE"""),"Commercial Law")</f>
        <v>Commercial Law</v>
      </c>
      <c r="D3286" s="2" t="str">
        <f>IFERROR(__xludf.DUMMYFUNCTION("""COMPUTED_VALUE"""),"Harborwind Books")</f>
        <v>Harborwind Books</v>
      </c>
      <c r="E3286" s="2">
        <f>IFERROR(__xludf.DUMMYFUNCTION("""COMPUTED_VALUE"""),1.55)</f>
        <v>1.55</v>
      </c>
      <c r="F3286" s="2"/>
      <c r="G3286" s="2"/>
      <c r="H3286" s="2"/>
      <c r="I3286" s="2"/>
    </row>
    <row r="3287">
      <c r="A3287" s="2">
        <f>IFERROR(__xludf.DUMMYFUNCTION("""COMPUTED_VALUE"""),14045.0)</f>
        <v>14045</v>
      </c>
      <c r="B3287" s="2" t="str">
        <f>IFERROR(__xludf.DUMMYFUNCTION("""COMPUTED_VALUE"""),"Arts")</f>
        <v>Arts</v>
      </c>
      <c r="C3287" s="2" t="str">
        <f>IFERROR(__xludf.DUMMYFUNCTION("""COMPUTED_VALUE"""),"Commercial Law")</f>
        <v>Commercial Law</v>
      </c>
      <c r="D3287" s="2" t="str">
        <f>IFERROR(__xludf.DUMMYFUNCTION("""COMPUTED_VALUE"""),"Cedarwind Press")</f>
        <v>Cedarwind Press</v>
      </c>
      <c r="E3287" s="2">
        <f>IFERROR(__xludf.DUMMYFUNCTION("""COMPUTED_VALUE"""),1.89)</f>
        <v>1.89</v>
      </c>
      <c r="F3287" s="2"/>
      <c r="G3287" s="2"/>
      <c r="H3287" s="2"/>
      <c r="I3287" s="2"/>
    </row>
    <row r="3288">
      <c r="A3288" s="2">
        <f>IFERROR(__xludf.DUMMYFUNCTION("""COMPUTED_VALUE"""),95993.0)</f>
        <v>95993</v>
      </c>
      <c r="B3288" s="2" t="str">
        <f>IFERROR(__xludf.DUMMYFUNCTION("""COMPUTED_VALUE"""),"Arts")</f>
        <v>Arts</v>
      </c>
      <c r="C3288" s="2" t="str">
        <f>IFERROR(__xludf.DUMMYFUNCTION("""COMPUTED_VALUE"""),"Commercial Law")</f>
        <v>Commercial Law</v>
      </c>
      <c r="D3288" s="2" t="str">
        <f>IFERROR(__xludf.DUMMYFUNCTION("""COMPUTED_VALUE"""),"Cedarwind Press")</f>
        <v>Cedarwind Press</v>
      </c>
      <c r="E3288" s="2">
        <f>IFERROR(__xludf.DUMMYFUNCTION("""COMPUTED_VALUE"""),0.41)</f>
        <v>0.41</v>
      </c>
      <c r="F3288" s="2"/>
      <c r="G3288" s="2"/>
      <c r="H3288" s="2"/>
      <c r="I3288" s="2"/>
    </row>
    <row r="3289">
      <c r="A3289" s="2">
        <f>IFERROR(__xludf.DUMMYFUNCTION("""COMPUTED_VALUE"""),81488.0)</f>
        <v>81488</v>
      </c>
      <c r="B3289" s="2" t="str">
        <f>IFERROR(__xludf.DUMMYFUNCTION("""COMPUTED_VALUE"""),"Arts")</f>
        <v>Arts</v>
      </c>
      <c r="C3289" s="2" t="str">
        <f>IFERROR(__xludf.DUMMYFUNCTION("""COMPUTED_VALUE"""),"Commercial Law")</f>
        <v>Commercial Law</v>
      </c>
      <c r="D3289" s="2" t="str">
        <f>IFERROR(__xludf.DUMMYFUNCTION("""COMPUTED_VALUE"""),"Cedarwind Press")</f>
        <v>Cedarwind Press</v>
      </c>
      <c r="E3289" s="2">
        <f>IFERROR(__xludf.DUMMYFUNCTION("""COMPUTED_VALUE"""),1.81)</f>
        <v>1.81</v>
      </c>
      <c r="F3289" s="2"/>
      <c r="G3289" s="2"/>
      <c r="H3289" s="2"/>
      <c r="I3289" s="2"/>
    </row>
    <row r="3290">
      <c r="A3290" s="2">
        <f>IFERROR(__xludf.DUMMYFUNCTION("""COMPUTED_VALUE"""),14049.0)</f>
        <v>14049</v>
      </c>
      <c r="B3290" s="2" t="str">
        <f>IFERROR(__xludf.DUMMYFUNCTION("""COMPUTED_VALUE"""),"Arts")</f>
        <v>Arts</v>
      </c>
      <c r="C3290" s="2" t="str">
        <f>IFERROR(__xludf.DUMMYFUNCTION("""COMPUTED_VALUE"""),"Commercial Law")</f>
        <v>Commercial Law</v>
      </c>
      <c r="D3290" s="2" t="str">
        <f>IFERROR(__xludf.DUMMYFUNCTION("""COMPUTED_VALUE"""),"Cedarwind Press")</f>
        <v>Cedarwind Press</v>
      </c>
      <c r="E3290" s="2">
        <f>IFERROR(__xludf.DUMMYFUNCTION("""COMPUTED_VALUE"""),1.63)</f>
        <v>1.63</v>
      </c>
      <c r="F3290" s="2"/>
      <c r="G3290" s="2"/>
      <c r="H3290" s="2"/>
      <c r="I3290" s="2"/>
    </row>
    <row r="3291">
      <c r="A3291" s="2">
        <f>IFERROR(__xludf.DUMMYFUNCTION("""COMPUTED_VALUE"""),121749.0)</f>
        <v>121749</v>
      </c>
      <c r="B3291" s="2" t="str">
        <f>IFERROR(__xludf.DUMMYFUNCTION("""COMPUTED_VALUE"""),"Arts")</f>
        <v>Arts</v>
      </c>
      <c r="C3291" s="2" t="str">
        <f>IFERROR(__xludf.DUMMYFUNCTION("""COMPUTED_VALUE"""),"Commercial Law")</f>
        <v>Commercial Law</v>
      </c>
      <c r="D3291" s="2" t="str">
        <f>IFERROR(__xludf.DUMMYFUNCTION("""COMPUTED_VALUE"""),"Cedarwind Press")</f>
        <v>Cedarwind Press</v>
      </c>
      <c r="E3291" s="2">
        <f>IFERROR(__xludf.DUMMYFUNCTION("""COMPUTED_VALUE"""),1.46)</f>
        <v>1.46</v>
      </c>
      <c r="F3291" s="2"/>
      <c r="G3291" s="2"/>
      <c r="H3291" s="2"/>
      <c r="I3291" s="2"/>
    </row>
    <row r="3292">
      <c r="A3292" s="2">
        <f>IFERROR(__xludf.DUMMYFUNCTION("""COMPUTED_VALUE"""),101927.0)</f>
        <v>101927</v>
      </c>
      <c r="B3292" s="2" t="str">
        <f>IFERROR(__xludf.DUMMYFUNCTION("""COMPUTED_VALUE"""),"Arts")</f>
        <v>Arts</v>
      </c>
      <c r="C3292" s="2" t="str">
        <f>IFERROR(__xludf.DUMMYFUNCTION("""COMPUTED_VALUE"""),"Commercial Law")</f>
        <v>Commercial Law</v>
      </c>
      <c r="D3292" s="2" t="str">
        <f>IFERROR(__xludf.DUMMYFUNCTION("""COMPUTED_VALUE"""),"Cedarwind Press")</f>
        <v>Cedarwind Press</v>
      </c>
      <c r="E3292" s="2">
        <f>IFERROR(__xludf.DUMMYFUNCTION("""COMPUTED_VALUE"""),1.97)</f>
        <v>1.97</v>
      </c>
      <c r="F3292" s="2"/>
      <c r="G3292" s="2"/>
      <c r="H3292" s="2"/>
      <c r="I3292" s="2"/>
    </row>
    <row r="3293">
      <c r="A3293" s="2">
        <f>IFERROR(__xludf.DUMMYFUNCTION("""COMPUTED_VALUE"""),103864.0)</f>
        <v>103864</v>
      </c>
      <c r="B3293" s="2" t="str">
        <f>IFERROR(__xludf.DUMMYFUNCTION("""COMPUTED_VALUE"""),"Arts")</f>
        <v>Arts</v>
      </c>
      <c r="C3293" s="2" t="str">
        <f>IFERROR(__xludf.DUMMYFUNCTION("""COMPUTED_VALUE"""),"Commercial Law")</f>
        <v>Commercial Law</v>
      </c>
      <c r="D3293" s="2" t="str">
        <f>IFERROR(__xludf.DUMMYFUNCTION("""COMPUTED_VALUE"""),"Cedarwind Press")</f>
        <v>Cedarwind Press</v>
      </c>
      <c r="E3293" s="2">
        <f>IFERROR(__xludf.DUMMYFUNCTION("""COMPUTED_VALUE"""),2.09)</f>
        <v>2.09</v>
      </c>
      <c r="F3293" s="2"/>
      <c r="G3293" s="2"/>
      <c r="H3293" s="2"/>
      <c r="I3293" s="2"/>
    </row>
    <row r="3294">
      <c r="A3294" s="2">
        <f>IFERROR(__xludf.DUMMYFUNCTION("""COMPUTED_VALUE"""),85862.0)</f>
        <v>85862</v>
      </c>
      <c r="B3294" s="2" t="str">
        <f>IFERROR(__xludf.DUMMYFUNCTION("""COMPUTED_VALUE"""),"Arts")</f>
        <v>Arts</v>
      </c>
      <c r="C3294" s="2" t="str">
        <f>IFERROR(__xludf.DUMMYFUNCTION("""COMPUTED_VALUE"""),"Commercial Law")</f>
        <v>Commercial Law</v>
      </c>
      <c r="D3294" s="2" t="str">
        <f>IFERROR(__xludf.DUMMYFUNCTION("""COMPUTED_VALUE"""),"Cedarwind Press")</f>
        <v>Cedarwind Press</v>
      </c>
      <c r="E3294" s="2">
        <f>IFERROR(__xludf.DUMMYFUNCTION("""COMPUTED_VALUE"""),1.85)</f>
        <v>1.85</v>
      </c>
      <c r="F3294" s="2"/>
      <c r="G3294" s="2"/>
      <c r="H3294" s="2"/>
      <c r="I3294" s="2"/>
    </row>
    <row r="3295">
      <c r="A3295" s="2">
        <f>IFERROR(__xludf.DUMMYFUNCTION("""COMPUTED_VALUE"""),46124.0)</f>
        <v>46124</v>
      </c>
      <c r="B3295" s="2" t="str">
        <f>IFERROR(__xludf.DUMMYFUNCTION("""COMPUTED_VALUE"""),"History")</f>
        <v>History</v>
      </c>
      <c r="C3295" s="2" t="str">
        <f>IFERROR(__xludf.DUMMYFUNCTION("""COMPUTED_VALUE"""),"Corporate Law")</f>
        <v>Corporate Law</v>
      </c>
      <c r="D3295" s="2" t="str">
        <f>IFERROR(__xludf.DUMMYFUNCTION("""COMPUTED_VALUE"""),"Brightwind Publishing")</f>
        <v>Brightwind Publishing</v>
      </c>
      <c r="E3295" s="2">
        <f>IFERROR(__xludf.DUMMYFUNCTION("""COMPUTED_VALUE"""),1.06)</f>
        <v>1.06</v>
      </c>
      <c r="F3295" s="2"/>
      <c r="G3295" s="2"/>
      <c r="H3295" s="2"/>
      <c r="I3295" s="2"/>
    </row>
    <row r="3296">
      <c r="A3296" s="2">
        <f>IFERROR(__xludf.DUMMYFUNCTION("""COMPUTED_VALUE"""),114346.0)</f>
        <v>114346</v>
      </c>
      <c r="B3296" s="2" t="str">
        <f>IFERROR(__xludf.DUMMYFUNCTION("""COMPUTED_VALUE"""),"History")</f>
        <v>History</v>
      </c>
      <c r="C3296" s="2" t="str">
        <f>IFERROR(__xludf.DUMMYFUNCTION("""COMPUTED_VALUE"""),"Corporate Law")</f>
        <v>Corporate Law</v>
      </c>
      <c r="D3296" s="2" t="str">
        <f>IFERROR(__xludf.DUMMYFUNCTION("""COMPUTED_VALUE"""),"Brightwind Publishing")</f>
        <v>Brightwind Publishing</v>
      </c>
      <c r="E3296" s="2">
        <f>IFERROR(__xludf.DUMMYFUNCTION("""COMPUTED_VALUE"""),1.69)</f>
        <v>1.69</v>
      </c>
      <c r="F3296" s="2"/>
      <c r="G3296" s="2"/>
      <c r="H3296" s="2"/>
      <c r="I3296" s="2"/>
    </row>
    <row r="3297">
      <c r="A3297" s="2">
        <f>IFERROR(__xludf.DUMMYFUNCTION("""COMPUTED_VALUE"""),80194.0)</f>
        <v>80194</v>
      </c>
      <c r="B3297" s="2" t="str">
        <f>IFERROR(__xludf.DUMMYFUNCTION("""COMPUTED_VALUE"""),"History")</f>
        <v>History</v>
      </c>
      <c r="C3297" s="2" t="str">
        <f>IFERROR(__xludf.DUMMYFUNCTION("""COMPUTED_VALUE"""),"Corporate Law")</f>
        <v>Corporate Law</v>
      </c>
      <c r="D3297" s="2" t="str">
        <f>IFERROR(__xludf.DUMMYFUNCTION("""COMPUTED_VALUE"""),"Brightwind Publishing")</f>
        <v>Brightwind Publishing</v>
      </c>
      <c r="E3297" s="2">
        <f>IFERROR(__xludf.DUMMYFUNCTION("""COMPUTED_VALUE"""),2.13)</f>
        <v>2.13</v>
      </c>
      <c r="F3297" s="2"/>
      <c r="G3297" s="2"/>
      <c r="H3297" s="2"/>
      <c r="I3297" s="2"/>
    </row>
    <row r="3298">
      <c r="A3298" s="2">
        <f>IFERROR(__xludf.DUMMYFUNCTION("""COMPUTED_VALUE"""),80192.0)</f>
        <v>80192</v>
      </c>
      <c r="B3298" s="2" t="str">
        <f>IFERROR(__xludf.DUMMYFUNCTION("""COMPUTED_VALUE"""),"History")</f>
        <v>History</v>
      </c>
      <c r="C3298" s="2" t="str">
        <f>IFERROR(__xludf.DUMMYFUNCTION("""COMPUTED_VALUE"""),"Corporate Law")</f>
        <v>Corporate Law</v>
      </c>
      <c r="D3298" s="2" t="str">
        <f>IFERROR(__xludf.DUMMYFUNCTION("""COMPUTED_VALUE"""),"Brightwind Publishing")</f>
        <v>Brightwind Publishing</v>
      </c>
      <c r="E3298" s="2">
        <f>IFERROR(__xludf.DUMMYFUNCTION("""COMPUTED_VALUE"""),2.37)</f>
        <v>2.37</v>
      </c>
      <c r="F3298" s="2"/>
      <c r="G3298" s="2"/>
      <c r="H3298" s="2"/>
      <c r="I3298" s="2"/>
    </row>
    <row r="3299">
      <c r="A3299" s="2">
        <f>IFERROR(__xludf.DUMMYFUNCTION("""COMPUTED_VALUE"""),46109.0)</f>
        <v>46109</v>
      </c>
      <c r="B3299" s="2" t="str">
        <f>IFERROR(__xludf.DUMMYFUNCTION("""COMPUTED_VALUE"""),"History")</f>
        <v>History</v>
      </c>
      <c r="C3299" s="2" t="str">
        <f>IFERROR(__xludf.DUMMYFUNCTION("""COMPUTED_VALUE"""),"Corporate Law")</f>
        <v>Corporate Law</v>
      </c>
      <c r="D3299" s="2" t="str">
        <f>IFERROR(__xludf.DUMMYFUNCTION("""COMPUTED_VALUE"""),"Brightwind Publishing")</f>
        <v>Brightwind Publishing</v>
      </c>
      <c r="E3299" s="2">
        <f>IFERROR(__xludf.DUMMYFUNCTION("""COMPUTED_VALUE"""),0.99)</f>
        <v>0.99</v>
      </c>
      <c r="F3299" s="2"/>
      <c r="G3299" s="2"/>
      <c r="H3299" s="2"/>
      <c r="I3299" s="2"/>
    </row>
    <row r="3300">
      <c r="A3300" s="2">
        <f>IFERROR(__xludf.DUMMYFUNCTION("""COMPUTED_VALUE"""),80196.0)</f>
        <v>80196</v>
      </c>
      <c r="B3300" s="2" t="str">
        <f>IFERROR(__xludf.DUMMYFUNCTION("""COMPUTED_VALUE"""),"History")</f>
        <v>History</v>
      </c>
      <c r="C3300" s="2" t="str">
        <f>IFERROR(__xludf.DUMMYFUNCTION("""COMPUTED_VALUE"""),"Corporate Law")</f>
        <v>Corporate Law</v>
      </c>
      <c r="D3300" s="2" t="str">
        <f>IFERROR(__xludf.DUMMYFUNCTION("""COMPUTED_VALUE"""),"Brightwind Publishing")</f>
        <v>Brightwind Publishing</v>
      </c>
      <c r="E3300" s="2">
        <f>IFERROR(__xludf.DUMMYFUNCTION("""COMPUTED_VALUE"""),2.36)</f>
        <v>2.36</v>
      </c>
      <c r="F3300" s="2"/>
      <c r="G3300" s="2"/>
      <c r="H3300" s="2"/>
      <c r="I3300" s="2"/>
    </row>
    <row r="3301">
      <c r="A3301" s="2">
        <f>IFERROR(__xludf.DUMMYFUNCTION("""COMPUTED_VALUE"""),149602.0)</f>
        <v>149602</v>
      </c>
      <c r="B3301" s="2" t="str">
        <f>IFERROR(__xludf.DUMMYFUNCTION("""COMPUTED_VALUE"""),"History")</f>
        <v>History</v>
      </c>
      <c r="C3301" s="2" t="str">
        <f>IFERROR(__xludf.DUMMYFUNCTION("""COMPUTED_VALUE"""),"Corporate Law")</f>
        <v>Corporate Law</v>
      </c>
      <c r="D3301" s="2" t="str">
        <f>IFERROR(__xludf.DUMMYFUNCTION("""COMPUTED_VALUE"""),"Brightwind Publishing")</f>
        <v>Brightwind Publishing</v>
      </c>
      <c r="E3301" s="2">
        <f>IFERROR(__xludf.DUMMYFUNCTION("""COMPUTED_VALUE"""),1.2)</f>
        <v>1.2</v>
      </c>
      <c r="F3301" s="2"/>
      <c r="G3301" s="2"/>
      <c r="H3301" s="2"/>
      <c r="I3301" s="2"/>
    </row>
    <row r="3302">
      <c r="A3302" s="2">
        <f>IFERROR(__xludf.DUMMYFUNCTION("""COMPUTED_VALUE"""),46123.0)</f>
        <v>46123</v>
      </c>
      <c r="B3302" s="2" t="str">
        <f>IFERROR(__xludf.DUMMYFUNCTION("""COMPUTED_VALUE"""),"History")</f>
        <v>History</v>
      </c>
      <c r="C3302" s="2" t="str">
        <f>IFERROR(__xludf.DUMMYFUNCTION("""COMPUTED_VALUE"""),"Corporate Law")</f>
        <v>Corporate Law</v>
      </c>
      <c r="D3302" s="2" t="str">
        <f>IFERROR(__xludf.DUMMYFUNCTION("""COMPUTED_VALUE"""),"Brightwind Publishing")</f>
        <v>Brightwind Publishing</v>
      </c>
      <c r="E3302" s="2">
        <f>IFERROR(__xludf.DUMMYFUNCTION("""COMPUTED_VALUE"""),0.8)</f>
        <v>0.8</v>
      </c>
      <c r="F3302" s="2"/>
      <c r="G3302" s="2"/>
      <c r="H3302" s="2"/>
      <c r="I3302" s="2"/>
    </row>
    <row r="3303">
      <c r="A3303" s="2">
        <f>IFERROR(__xludf.DUMMYFUNCTION("""COMPUTED_VALUE"""),46113.0)</f>
        <v>46113</v>
      </c>
      <c r="B3303" s="2" t="str">
        <f>IFERROR(__xludf.DUMMYFUNCTION("""COMPUTED_VALUE"""),"History")</f>
        <v>History</v>
      </c>
      <c r="C3303" s="2" t="str">
        <f>IFERROR(__xludf.DUMMYFUNCTION("""COMPUTED_VALUE"""),"Corporate Law")</f>
        <v>Corporate Law</v>
      </c>
      <c r="D3303" s="2" t="str">
        <f>IFERROR(__xludf.DUMMYFUNCTION("""COMPUTED_VALUE"""),"Brightwind Publishing")</f>
        <v>Brightwind Publishing</v>
      </c>
      <c r="E3303" s="2">
        <f>IFERROR(__xludf.DUMMYFUNCTION("""COMPUTED_VALUE"""),1.07)</f>
        <v>1.07</v>
      </c>
      <c r="F3303" s="2"/>
      <c r="G3303" s="2"/>
      <c r="H3303" s="2"/>
      <c r="I3303" s="2"/>
    </row>
    <row r="3304">
      <c r="A3304" s="2">
        <f>IFERROR(__xludf.DUMMYFUNCTION("""COMPUTED_VALUE"""),46116.0)</f>
        <v>46116</v>
      </c>
      <c r="B3304" s="2" t="str">
        <f>IFERROR(__xludf.DUMMYFUNCTION("""COMPUTED_VALUE"""),"History")</f>
        <v>History</v>
      </c>
      <c r="C3304" s="2" t="str">
        <f>IFERROR(__xludf.DUMMYFUNCTION("""COMPUTED_VALUE"""),"Corporate Law")</f>
        <v>Corporate Law</v>
      </c>
      <c r="D3304" s="2" t="str">
        <f>IFERROR(__xludf.DUMMYFUNCTION("""COMPUTED_VALUE"""),"Brightwind Publishing")</f>
        <v>Brightwind Publishing</v>
      </c>
      <c r="E3304" s="2">
        <f>IFERROR(__xludf.DUMMYFUNCTION("""COMPUTED_VALUE"""),1.35)</f>
        <v>1.35</v>
      </c>
      <c r="F3304" s="2"/>
      <c r="G3304" s="2"/>
      <c r="H3304" s="2"/>
      <c r="I3304" s="2"/>
    </row>
    <row r="3305">
      <c r="A3305" s="2">
        <f>IFERROR(__xludf.DUMMYFUNCTION("""COMPUTED_VALUE"""),46119.0)</f>
        <v>46119</v>
      </c>
      <c r="B3305" s="2" t="str">
        <f>IFERROR(__xludf.DUMMYFUNCTION("""COMPUTED_VALUE"""),"History")</f>
        <v>History</v>
      </c>
      <c r="C3305" s="2" t="str">
        <f>IFERROR(__xludf.DUMMYFUNCTION("""COMPUTED_VALUE"""),"Corporate Law")</f>
        <v>Corporate Law</v>
      </c>
      <c r="D3305" s="2" t="str">
        <f>IFERROR(__xludf.DUMMYFUNCTION("""COMPUTED_VALUE"""),"Brightwind Publishing")</f>
        <v>Brightwind Publishing</v>
      </c>
      <c r="E3305" s="2">
        <f>IFERROR(__xludf.DUMMYFUNCTION("""COMPUTED_VALUE"""),1.03)</f>
        <v>1.03</v>
      </c>
      <c r="F3305" s="2"/>
      <c r="G3305" s="2"/>
      <c r="H3305" s="2"/>
      <c r="I3305" s="2"/>
    </row>
    <row r="3306">
      <c r="A3306" s="2">
        <f>IFERROR(__xludf.DUMMYFUNCTION("""COMPUTED_VALUE"""),63867.0)</f>
        <v>63867</v>
      </c>
      <c r="B3306" s="2" t="str">
        <f>IFERROR(__xludf.DUMMYFUNCTION("""COMPUTED_VALUE"""),"History")</f>
        <v>History</v>
      </c>
      <c r="C3306" s="2" t="str">
        <f>IFERROR(__xludf.DUMMYFUNCTION("""COMPUTED_VALUE"""),"Corporate Law")</f>
        <v>Corporate Law</v>
      </c>
      <c r="D3306" s="2" t="str">
        <f>IFERROR(__xludf.DUMMYFUNCTION("""COMPUTED_VALUE"""),"Brightwind Publishing")</f>
        <v>Brightwind Publishing</v>
      </c>
      <c r="E3306" s="2">
        <f>IFERROR(__xludf.DUMMYFUNCTION("""COMPUTED_VALUE"""),2.09)</f>
        <v>2.09</v>
      </c>
      <c r="F3306" s="2"/>
      <c r="G3306" s="2"/>
      <c r="H3306" s="2"/>
      <c r="I3306" s="2"/>
    </row>
    <row r="3307">
      <c r="A3307" s="2">
        <f>IFERROR(__xludf.DUMMYFUNCTION("""COMPUTED_VALUE"""),80190.0)</f>
        <v>80190</v>
      </c>
      <c r="B3307" s="2" t="str">
        <f>IFERROR(__xludf.DUMMYFUNCTION("""COMPUTED_VALUE"""),"History")</f>
        <v>History</v>
      </c>
      <c r="C3307" s="2" t="str">
        <f>IFERROR(__xludf.DUMMYFUNCTION("""COMPUTED_VALUE"""),"Corporate Law")</f>
        <v>Corporate Law</v>
      </c>
      <c r="D3307" s="2" t="str">
        <f>IFERROR(__xludf.DUMMYFUNCTION("""COMPUTED_VALUE"""),"Brightwind Publishing")</f>
        <v>Brightwind Publishing</v>
      </c>
      <c r="E3307" s="2">
        <f>IFERROR(__xludf.DUMMYFUNCTION("""COMPUTED_VALUE"""),2.05)</f>
        <v>2.05</v>
      </c>
      <c r="F3307" s="2"/>
      <c r="G3307" s="2"/>
      <c r="H3307" s="2"/>
      <c r="I3307" s="2"/>
    </row>
    <row r="3308">
      <c r="A3308" s="2">
        <f>IFERROR(__xludf.DUMMYFUNCTION("""COMPUTED_VALUE"""),48485.0)</f>
        <v>48485</v>
      </c>
      <c r="B3308" s="2" t="str">
        <f>IFERROR(__xludf.DUMMYFUNCTION("""COMPUTED_VALUE"""),"History")</f>
        <v>History</v>
      </c>
      <c r="C3308" s="2" t="str">
        <f>IFERROR(__xludf.DUMMYFUNCTION("""COMPUTED_VALUE"""),"Corporate Law")</f>
        <v>Corporate Law</v>
      </c>
      <c r="D3308" s="2" t="str">
        <f>IFERROR(__xludf.DUMMYFUNCTION("""COMPUTED_VALUE"""),"Brightwind Publishing")</f>
        <v>Brightwind Publishing</v>
      </c>
      <c r="E3308" s="2">
        <f>IFERROR(__xludf.DUMMYFUNCTION("""COMPUTED_VALUE"""),10.13)</f>
        <v>10.13</v>
      </c>
      <c r="F3308" s="2"/>
      <c r="G3308" s="2"/>
      <c r="H3308" s="2"/>
      <c r="I3308" s="2"/>
    </row>
    <row r="3309">
      <c r="A3309" s="2">
        <f>IFERROR(__xludf.DUMMYFUNCTION("""COMPUTED_VALUE"""),80203.0)</f>
        <v>80203</v>
      </c>
      <c r="B3309" s="2" t="str">
        <f>IFERROR(__xludf.DUMMYFUNCTION("""COMPUTED_VALUE"""),"History")</f>
        <v>History</v>
      </c>
      <c r="C3309" s="2" t="str">
        <f>IFERROR(__xludf.DUMMYFUNCTION("""COMPUTED_VALUE"""),"Corporate Law")</f>
        <v>Corporate Law</v>
      </c>
      <c r="D3309" s="2" t="str">
        <f>IFERROR(__xludf.DUMMYFUNCTION("""COMPUTED_VALUE"""),"Brightwind Publishing")</f>
        <v>Brightwind Publishing</v>
      </c>
      <c r="E3309" s="2">
        <f>IFERROR(__xludf.DUMMYFUNCTION("""COMPUTED_VALUE"""),1.6)</f>
        <v>1.6</v>
      </c>
      <c r="F3309" s="2"/>
      <c r="G3309" s="2"/>
      <c r="H3309" s="2"/>
      <c r="I3309" s="2"/>
    </row>
    <row r="3310">
      <c r="A3310" s="2">
        <f>IFERROR(__xludf.DUMMYFUNCTION("""COMPUTED_VALUE"""),100670.0)</f>
        <v>100670</v>
      </c>
      <c r="B3310" s="2" t="str">
        <f>IFERROR(__xludf.DUMMYFUNCTION("""COMPUTED_VALUE"""),"History")</f>
        <v>History</v>
      </c>
      <c r="C3310" s="2" t="str">
        <f>IFERROR(__xludf.DUMMYFUNCTION("""COMPUTED_VALUE"""),"Corporate Law")</f>
        <v>Corporate Law</v>
      </c>
      <c r="D3310" s="2" t="str">
        <f>IFERROR(__xludf.DUMMYFUNCTION("""COMPUTED_VALUE"""),"Brightwind Publishing")</f>
        <v>Brightwind Publishing</v>
      </c>
      <c r="E3310" s="2">
        <f>IFERROR(__xludf.DUMMYFUNCTION("""COMPUTED_VALUE"""),0.92)</f>
        <v>0.92</v>
      </c>
      <c r="F3310" s="2"/>
      <c r="G3310" s="2"/>
      <c r="H3310" s="2"/>
      <c r="I3310" s="2"/>
    </row>
    <row r="3311">
      <c r="A3311" s="2">
        <f>IFERROR(__xludf.DUMMYFUNCTION("""COMPUTED_VALUE"""),16546.0)</f>
        <v>16546</v>
      </c>
      <c r="B3311" s="2" t="str">
        <f>IFERROR(__xludf.DUMMYFUNCTION("""COMPUTED_VALUE"""),"History")</f>
        <v>History</v>
      </c>
      <c r="C3311" s="2" t="str">
        <f>IFERROR(__xludf.DUMMYFUNCTION("""COMPUTED_VALUE"""),"Corporate Law")</f>
        <v>Corporate Law</v>
      </c>
      <c r="D3311" s="2" t="str">
        <f>IFERROR(__xludf.DUMMYFUNCTION("""COMPUTED_VALUE"""),"Brightwind Publishing")</f>
        <v>Brightwind Publishing</v>
      </c>
      <c r="E3311" s="2">
        <f>IFERROR(__xludf.DUMMYFUNCTION("""COMPUTED_VALUE"""),1.2)</f>
        <v>1.2</v>
      </c>
      <c r="F3311" s="2"/>
      <c r="G3311" s="2"/>
      <c r="H3311" s="2"/>
      <c r="I3311" s="2"/>
    </row>
    <row r="3312">
      <c r="A3312" s="2">
        <f>IFERROR(__xludf.DUMMYFUNCTION("""COMPUTED_VALUE"""),121622.0)</f>
        <v>121622</v>
      </c>
      <c r="B3312" s="2" t="str">
        <f>IFERROR(__xludf.DUMMYFUNCTION("""COMPUTED_VALUE"""),"History")</f>
        <v>History</v>
      </c>
      <c r="C3312" s="2" t="str">
        <f>IFERROR(__xludf.DUMMYFUNCTION("""COMPUTED_VALUE"""),"Corporate Law")</f>
        <v>Corporate Law</v>
      </c>
      <c r="D3312" s="2" t="str">
        <f>IFERROR(__xludf.DUMMYFUNCTION("""COMPUTED_VALUE"""),"Brightwind Publishing")</f>
        <v>Brightwind Publishing</v>
      </c>
      <c r="E3312" s="2">
        <f>IFERROR(__xludf.DUMMYFUNCTION("""COMPUTED_VALUE"""),0.96)</f>
        <v>0.96</v>
      </c>
      <c r="F3312" s="2"/>
      <c r="G3312" s="2"/>
      <c r="H3312" s="2"/>
      <c r="I3312" s="2"/>
    </row>
    <row r="3313">
      <c r="A3313" s="2">
        <f>IFERROR(__xludf.DUMMYFUNCTION("""COMPUTED_VALUE"""),80202.0)</f>
        <v>80202</v>
      </c>
      <c r="B3313" s="2" t="str">
        <f>IFERROR(__xludf.DUMMYFUNCTION("""COMPUTED_VALUE"""),"History")</f>
        <v>History</v>
      </c>
      <c r="C3313" s="2" t="str">
        <f>IFERROR(__xludf.DUMMYFUNCTION("""COMPUTED_VALUE"""),"Corporate Law")</f>
        <v>Corporate Law</v>
      </c>
      <c r="D3313" s="2" t="str">
        <f>IFERROR(__xludf.DUMMYFUNCTION("""COMPUTED_VALUE"""),"Brightwind Publishing")</f>
        <v>Brightwind Publishing</v>
      </c>
      <c r="E3313" s="2">
        <f>IFERROR(__xludf.DUMMYFUNCTION("""COMPUTED_VALUE"""),0.87)</f>
        <v>0.87</v>
      </c>
      <c r="F3313" s="2"/>
      <c r="G3313" s="2"/>
      <c r="H3313" s="2"/>
      <c r="I3313" s="2"/>
    </row>
    <row r="3314">
      <c r="A3314" s="2">
        <f>IFERROR(__xludf.DUMMYFUNCTION("""COMPUTED_VALUE"""),24263.0)</f>
        <v>24263</v>
      </c>
      <c r="B3314" s="2" t="str">
        <f>IFERROR(__xludf.DUMMYFUNCTION("""COMPUTED_VALUE"""),"History")</f>
        <v>History</v>
      </c>
      <c r="C3314" s="2" t="str">
        <f>IFERROR(__xludf.DUMMYFUNCTION("""COMPUTED_VALUE"""),"Corporate Law")</f>
        <v>Corporate Law</v>
      </c>
      <c r="D3314" s="2" t="str">
        <f>IFERROR(__xludf.DUMMYFUNCTION("""COMPUTED_VALUE"""),"Brightwind Publishing")</f>
        <v>Brightwind Publishing</v>
      </c>
      <c r="E3314" s="2">
        <f>IFERROR(__xludf.DUMMYFUNCTION("""COMPUTED_VALUE"""),1.29)</f>
        <v>1.29</v>
      </c>
      <c r="F3314" s="2"/>
      <c r="G3314" s="2"/>
      <c r="H3314" s="2"/>
      <c r="I3314" s="2"/>
    </row>
    <row r="3315">
      <c r="A3315" s="2">
        <f>IFERROR(__xludf.DUMMYFUNCTION("""COMPUTED_VALUE"""),16552.0)</f>
        <v>16552</v>
      </c>
      <c r="B3315" s="2" t="str">
        <f>IFERROR(__xludf.DUMMYFUNCTION("""COMPUTED_VALUE"""),"History")</f>
        <v>History</v>
      </c>
      <c r="C3315" s="2" t="str">
        <f>IFERROR(__xludf.DUMMYFUNCTION("""COMPUTED_VALUE"""),"Corporate Law")</f>
        <v>Corporate Law</v>
      </c>
      <c r="D3315" s="2" t="str">
        <f>IFERROR(__xludf.DUMMYFUNCTION("""COMPUTED_VALUE"""),"Brightwind Publishing")</f>
        <v>Brightwind Publishing</v>
      </c>
      <c r="E3315" s="2">
        <f>IFERROR(__xludf.DUMMYFUNCTION("""COMPUTED_VALUE"""),1.68)</f>
        <v>1.68</v>
      </c>
      <c r="F3315" s="2"/>
      <c r="G3315" s="2"/>
      <c r="H3315" s="2"/>
      <c r="I3315" s="2"/>
    </row>
    <row r="3316">
      <c r="A3316" s="2">
        <f>IFERROR(__xludf.DUMMYFUNCTION("""COMPUTED_VALUE"""),112771.0)</f>
        <v>112771</v>
      </c>
      <c r="B3316" s="2" t="str">
        <f>IFERROR(__xludf.DUMMYFUNCTION("""COMPUTED_VALUE"""),"History")</f>
        <v>History</v>
      </c>
      <c r="C3316" s="2" t="str">
        <f>IFERROR(__xludf.DUMMYFUNCTION("""COMPUTED_VALUE"""),"Corporate Law")</f>
        <v>Corporate Law</v>
      </c>
      <c r="D3316" s="2" t="str">
        <f>IFERROR(__xludf.DUMMYFUNCTION("""COMPUTED_VALUE"""),"Oakwind Books")</f>
        <v>Oakwind Books</v>
      </c>
      <c r="E3316" s="2">
        <f>IFERROR(__xludf.DUMMYFUNCTION("""COMPUTED_VALUE"""),0.81)</f>
        <v>0.81</v>
      </c>
      <c r="F3316" s="2"/>
      <c r="G3316" s="2"/>
      <c r="H3316" s="2"/>
      <c r="I3316" s="2"/>
    </row>
    <row r="3317">
      <c r="A3317" s="2">
        <f>IFERROR(__xludf.DUMMYFUNCTION("""COMPUTED_VALUE"""),116197.0)</f>
        <v>116197</v>
      </c>
      <c r="B3317" s="2" t="str">
        <f>IFERROR(__xludf.DUMMYFUNCTION("""COMPUTED_VALUE"""),"History")</f>
        <v>History</v>
      </c>
      <c r="C3317" s="2" t="str">
        <f>IFERROR(__xludf.DUMMYFUNCTION("""COMPUTED_VALUE"""),"Corporate Law")</f>
        <v>Corporate Law</v>
      </c>
      <c r="D3317" s="2" t="str">
        <f>IFERROR(__xludf.DUMMYFUNCTION("""COMPUTED_VALUE"""),"Oakwind Books")</f>
        <v>Oakwind Books</v>
      </c>
      <c r="E3317" s="2">
        <f>IFERROR(__xludf.DUMMYFUNCTION("""COMPUTED_VALUE"""),1.01)</f>
        <v>1.01</v>
      </c>
      <c r="F3317" s="2"/>
      <c r="G3317" s="2"/>
      <c r="H3317" s="2"/>
      <c r="I3317" s="2"/>
    </row>
    <row r="3318">
      <c r="A3318" s="2">
        <f>IFERROR(__xludf.DUMMYFUNCTION("""COMPUTED_VALUE"""),46138.0)</f>
        <v>46138</v>
      </c>
      <c r="B3318" s="2" t="str">
        <f>IFERROR(__xludf.DUMMYFUNCTION("""COMPUTED_VALUE"""),"History")</f>
        <v>History</v>
      </c>
      <c r="C3318" s="2" t="str">
        <f>IFERROR(__xludf.DUMMYFUNCTION("""COMPUTED_VALUE"""),"Corporate Law")</f>
        <v>Corporate Law</v>
      </c>
      <c r="D3318" s="2" t="str">
        <f>IFERROR(__xludf.DUMMYFUNCTION("""COMPUTED_VALUE"""),"Oakwind Books")</f>
        <v>Oakwind Books</v>
      </c>
      <c r="E3318" s="2">
        <f>IFERROR(__xludf.DUMMYFUNCTION("""COMPUTED_VALUE"""),0.86)</f>
        <v>0.86</v>
      </c>
      <c r="F3318" s="2"/>
      <c r="G3318" s="2"/>
      <c r="H3318" s="2"/>
      <c r="I3318" s="2"/>
    </row>
    <row r="3319">
      <c r="A3319" s="2">
        <f>IFERROR(__xludf.DUMMYFUNCTION("""COMPUTED_VALUE"""),109546.0)</f>
        <v>109546</v>
      </c>
      <c r="B3319" s="2" t="str">
        <f>IFERROR(__xludf.DUMMYFUNCTION("""COMPUTED_VALUE"""),"History")</f>
        <v>History</v>
      </c>
      <c r="C3319" s="2" t="str">
        <f>IFERROR(__xludf.DUMMYFUNCTION("""COMPUTED_VALUE"""),"Corporate Law")</f>
        <v>Corporate Law</v>
      </c>
      <c r="D3319" s="2" t="str">
        <f>IFERROR(__xludf.DUMMYFUNCTION("""COMPUTED_VALUE"""),"Oakwind Books")</f>
        <v>Oakwind Books</v>
      </c>
      <c r="E3319" s="2">
        <f>IFERROR(__xludf.DUMMYFUNCTION("""COMPUTED_VALUE"""),1.16)</f>
        <v>1.16</v>
      </c>
      <c r="F3319" s="2"/>
      <c r="G3319" s="2"/>
      <c r="H3319" s="2"/>
      <c r="I3319" s="2"/>
    </row>
    <row r="3320">
      <c r="A3320" s="2">
        <f>IFERROR(__xludf.DUMMYFUNCTION("""COMPUTED_VALUE"""),199475.0)</f>
        <v>199475</v>
      </c>
      <c r="B3320" s="2" t="str">
        <f>IFERROR(__xludf.DUMMYFUNCTION("""COMPUTED_VALUE"""),"History")</f>
        <v>History</v>
      </c>
      <c r="C3320" s="2" t="str">
        <f>IFERROR(__xludf.DUMMYFUNCTION("""COMPUTED_VALUE"""),"Corporate Law")</f>
        <v>Corporate Law</v>
      </c>
      <c r="D3320" s="2" t="str">
        <f>IFERROR(__xludf.DUMMYFUNCTION("""COMPUTED_VALUE"""),"Oakwind Books")</f>
        <v>Oakwind Books</v>
      </c>
      <c r="E3320" s="2">
        <f>IFERROR(__xludf.DUMMYFUNCTION("""COMPUTED_VALUE"""),1.52)</f>
        <v>1.52</v>
      </c>
      <c r="F3320" s="2"/>
      <c r="G3320" s="2"/>
      <c r="H3320" s="2"/>
      <c r="I3320" s="2"/>
    </row>
    <row r="3321">
      <c r="A3321" s="2">
        <f>IFERROR(__xludf.DUMMYFUNCTION("""COMPUTED_VALUE"""),199479.0)</f>
        <v>199479</v>
      </c>
      <c r="B3321" s="2" t="str">
        <f>IFERROR(__xludf.DUMMYFUNCTION("""COMPUTED_VALUE"""),"History")</f>
        <v>History</v>
      </c>
      <c r="C3321" s="2" t="str">
        <f>IFERROR(__xludf.DUMMYFUNCTION("""COMPUTED_VALUE"""),"Corporate Law")</f>
        <v>Corporate Law</v>
      </c>
      <c r="D3321" s="2" t="str">
        <f>IFERROR(__xludf.DUMMYFUNCTION("""COMPUTED_VALUE"""),"Oakwind Books")</f>
        <v>Oakwind Books</v>
      </c>
      <c r="E3321" s="2">
        <f>IFERROR(__xludf.DUMMYFUNCTION("""COMPUTED_VALUE"""),1.55)</f>
        <v>1.55</v>
      </c>
      <c r="F3321" s="2"/>
      <c r="G3321" s="2"/>
      <c r="H3321" s="2"/>
      <c r="I3321" s="2"/>
    </row>
    <row r="3322">
      <c r="A3322" s="2">
        <f>IFERROR(__xludf.DUMMYFUNCTION("""COMPUTED_VALUE"""),48180.0)</f>
        <v>48180</v>
      </c>
      <c r="B3322" s="2" t="str">
        <f>IFERROR(__xludf.DUMMYFUNCTION("""COMPUTED_VALUE"""),"History")</f>
        <v>History</v>
      </c>
      <c r="C3322" s="2" t="str">
        <f>IFERROR(__xludf.DUMMYFUNCTION("""COMPUTED_VALUE"""),"Corporate Law")</f>
        <v>Corporate Law</v>
      </c>
      <c r="D3322" s="2" t="str">
        <f>IFERROR(__xludf.DUMMYFUNCTION("""COMPUTED_VALUE"""),"Riverwind Press")</f>
        <v>Riverwind Press</v>
      </c>
      <c r="E3322" s="2">
        <f>IFERROR(__xludf.DUMMYFUNCTION("""COMPUTED_VALUE"""),2.03)</f>
        <v>2.03</v>
      </c>
      <c r="F3322" s="2"/>
      <c r="G3322" s="2"/>
      <c r="H3322" s="2"/>
      <c r="I3322" s="2"/>
    </row>
    <row r="3323">
      <c r="A3323" s="2">
        <f>IFERROR(__xludf.DUMMYFUNCTION("""COMPUTED_VALUE"""),90374.0)</f>
        <v>90374</v>
      </c>
      <c r="B3323" s="2" t="str">
        <f>IFERROR(__xludf.DUMMYFUNCTION("""COMPUTED_VALUE"""),"History")</f>
        <v>History</v>
      </c>
      <c r="C3323" s="2" t="str">
        <f>IFERROR(__xludf.DUMMYFUNCTION("""COMPUTED_VALUE"""),"Corporate Law")</f>
        <v>Corporate Law</v>
      </c>
      <c r="D3323" s="2" t="str">
        <f>IFERROR(__xludf.DUMMYFUNCTION("""COMPUTED_VALUE"""),"Riverwind Press")</f>
        <v>Riverwind Press</v>
      </c>
      <c r="E3323" s="2">
        <f>IFERROR(__xludf.DUMMYFUNCTION("""COMPUTED_VALUE"""),1.97)</f>
        <v>1.97</v>
      </c>
      <c r="F3323" s="2"/>
      <c r="G3323" s="2"/>
      <c r="H3323" s="2"/>
      <c r="I3323" s="2"/>
    </row>
    <row r="3324">
      <c r="A3324" s="2">
        <f>IFERROR(__xludf.DUMMYFUNCTION("""COMPUTED_VALUE"""),80318.0)</f>
        <v>80318</v>
      </c>
      <c r="B3324" s="2" t="str">
        <f>IFERROR(__xludf.DUMMYFUNCTION("""COMPUTED_VALUE"""),"History")</f>
        <v>History</v>
      </c>
      <c r="C3324" s="2" t="str">
        <f>IFERROR(__xludf.DUMMYFUNCTION("""COMPUTED_VALUE"""),"Corporate Law")</f>
        <v>Corporate Law</v>
      </c>
      <c r="D3324" s="2" t="str">
        <f>IFERROR(__xludf.DUMMYFUNCTION("""COMPUTED_VALUE"""),"Riverwind Press")</f>
        <v>Riverwind Press</v>
      </c>
      <c r="E3324" s="2">
        <f>IFERROR(__xludf.DUMMYFUNCTION("""COMPUTED_VALUE"""),1.83)</f>
        <v>1.83</v>
      </c>
      <c r="F3324" s="2"/>
      <c r="G3324" s="2"/>
      <c r="H3324" s="2"/>
      <c r="I3324" s="2"/>
    </row>
    <row r="3325">
      <c r="A3325" s="2">
        <f>IFERROR(__xludf.DUMMYFUNCTION("""COMPUTED_VALUE"""),6206.0)</f>
        <v>6206</v>
      </c>
      <c r="B3325" s="2" t="str">
        <f>IFERROR(__xludf.DUMMYFUNCTION("""COMPUTED_VALUE"""),"History")</f>
        <v>History</v>
      </c>
      <c r="C3325" s="2" t="str">
        <f>IFERROR(__xludf.DUMMYFUNCTION("""COMPUTED_VALUE"""),"Corporate Law")</f>
        <v>Corporate Law</v>
      </c>
      <c r="D3325" s="2" t="str">
        <f>IFERROR(__xludf.DUMMYFUNCTION("""COMPUTED_VALUE"""),"Riverwind Press")</f>
        <v>Riverwind Press</v>
      </c>
      <c r="E3325" s="2">
        <f>IFERROR(__xludf.DUMMYFUNCTION("""COMPUTED_VALUE"""),10.31)</f>
        <v>10.31</v>
      </c>
      <c r="F3325" s="2"/>
      <c r="G3325" s="2"/>
      <c r="H3325" s="2"/>
      <c r="I3325" s="2"/>
    </row>
    <row r="3326">
      <c r="A3326" s="2">
        <f>IFERROR(__xludf.DUMMYFUNCTION("""COMPUTED_VALUE"""),181492.0)</f>
        <v>181492</v>
      </c>
      <c r="B3326" s="2" t="str">
        <f>IFERROR(__xludf.DUMMYFUNCTION("""COMPUTED_VALUE"""),"History")</f>
        <v>History</v>
      </c>
      <c r="C3326" s="2" t="str">
        <f>IFERROR(__xludf.DUMMYFUNCTION("""COMPUTED_VALUE"""),"Corporate Law")</f>
        <v>Corporate Law</v>
      </c>
      <c r="D3326" s="2" t="str">
        <f>IFERROR(__xludf.DUMMYFUNCTION("""COMPUTED_VALUE"""),"Riverwind Press")</f>
        <v>Riverwind Press</v>
      </c>
      <c r="E3326" s="2">
        <f>IFERROR(__xludf.DUMMYFUNCTION("""COMPUTED_VALUE"""),1.41)</f>
        <v>1.41</v>
      </c>
      <c r="F3326" s="2"/>
      <c r="G3326" s="2"/>
      <c r="H3326" s="2"/>
      <c r="I3326" s="2"/>
    </row>
    <row r="3327">
      <c r="A3327" s="2">
        <f>IFERROR(__xludf.DUMMYFUNCTION("""COMPUTED_VALUE"""),148738.0)</f>
        <v>148738</v>
      </c>
      <c r="B3327" s="2" t="str">
        <f>IFERROR(__xludf.DUMMYFUNCTION("""COMPUTED_VALUE"""),"History")</f>
        <v>History</v>
      </c>
      <c r="C3327" s="2" t="str">
        <f>IFERROR(__xludf.DUMMYFUNCTION("""COMPUTED_VALUE"""),"Corporate Law")</f>
        <v>Corporate Law</v>
      </c>
      <c r="D3327" s="2" t="str">
        <f>IFERROR(__xludf.DUMMYFUNCTION("""COMPUTED_VALUE"""),"Riverwind Press")</f>
        <v>Riverwind Press</v>
      </c>
      <c r="E3327" s="2">
        <f>IFERROR(__xludf.DUMMYFUNCTION("""COMPUTED_VALUE"""),1.49)</f>
        <v>1.49</v>
      </c>
      <c r="F3327" s="2"/>
      <c r="G3327" s="2"/>
      <c r="H3327" s="2"/>
      <c r="I3327" s="2"/>
    </row>
    <row r="3328">
      <c r="A3328" s="2">
        <f>IFERROR(__xludf.DUMMYFUNCTION("""COMPUTED_VALUE"""),100692.0)</f>
        <v>100692</v>
      </c>
      <c r="B3328" s="2" t="str">
        <f>IFERROR(__xludf.DUMMYFUNCTION("""COMPUTED_VALUE"""),"History")</f>
        <v>History</v>
      </c>
      <c r="C3328" s="2" t="str">
        <f>IFERROR(__xludf.DUMMYFUNCTION("""COMPUTED_VALUE"""),"Corporate Law")</f>
        <v>Corporate Law</v>
      </c>
      <c r="D3328" s="2" t="str">
        <f>IFERROR(__xludf.DUMMYFUNCTION("""COMPUTED_VALUE"""),"Riverwind Press")</f>
        <v>Riverwind Press</v>
      </c>
      <c r="E3328" s="2">
        <f>IFERROR(__xludf.DUMMYFUNCTION("""COMPUTED_VALUE"""),1.24)</f>
        <v>1.24</v>
      </c>
      <c r="F3328" s="2"/>
      <c r="G3328" s="2"/>
      <c r="H3328" s="2"/>
      <c r="I3328" s="2"/>
    </row>
    <row r="3329">
      <c r="A3329" s="2">
        <f>IFERROR(__xludf.DUMMYFUNCTION("""COMPUTED_VALUE"""),121708.0)</f>
        <v>121708</v>
      </c>
      <c r="B3329" s="2" t="str">
        <f>IFERROR(__xludf.DUMMYFUNCTION("""COMPUTED_VALUE"""),"History")</f>
        <v>History</v>
      </c>
      <c r="C3329" s="2" t="str">
        <f>IFERROR(__xludf.DUMMYFUNCTION("""COMPUTED_VALUE"""),"Corporate Law")</f>
        <v>Corporate Law</v>
      </c>
      <c r="D3329" s="2" t="str">
        <f>IFERROR(__xludf.DUMMYFUNCTION("""COMPUTED_VALUE"""),"Ironwind Publishing")</f>
        <v>Ironwind Publishing</v>
      </c>
      <c r="E3329" s="2">
        <f>IFERROR(__xludf.DUMMYFUNCTION("""COMPUTED_VALUE"""),9.81)</f>
        <v>9.81</v>
      </c>
      <c r="F3329" s="2"/>
      <c r="G3329" s="2"/>
      <c r="H3329" s="2"/>
      <c r="I3329" s="2"/>
    </row>
    <row r="3330">
      <c r="A3330" s="2">
        <f>IFERROR(__xludf.DUMMYFUNCTION("""COMPUTED_VALUE"""),47508.0)</f>
        <v>47508</v>
      </c>
      <c r="B3330" s="2" t="str">
        <f>IFERROR(__xludf.DUMMYFUNCTION("""COMPUTED_VALUE"""),"History")</f>
        <v>History</v>
      </c>
      <c r="C3330" s="2" t="str">
        <f>IFERROR(__xludf.DUMMYFUNCTION("""COMPUTED_VALUE"""),"Corporate Law")</f>
        <v>Corporate Law</v>
      </c>
      <c r="D3330" s="2" t="str">
        <f>IFERROR(__xludf.DUMMYFUNCTION("""COMPUTED_VALUE"""),"Ironwind Publishing")</f>
        <v>Ironwind Publishing</v>
      </c>
      <c r="E3330" s="2">
        <f>IFERROR(__xludf.DUMMYFUNCTION("""COMPUTED_VALUE"""),2.1)</f>
        <v>2.1</v>
      </c>
      <c r="F3330" s="2"/>
      <c r="G3330" s="2"/>
      <c r="H3330" s="2"/>
      <c r="I3330" s="2"/>
    </row>
    <row r="3331">
      <c r="A3331" s="2">
        <f>IFERROR(__xludf.DUMMYFUNCTION("""COMPUTED_VALUE"""),89514.0)</f>
        <v>89514</v>
      </c>
      <c r="B3331" s="2" t="str">
        <f>IFERROR(__xludf.DUMMYFUNCTION("""COMPUTED_VALUE"""),"History")</f>
        <v>History</v>
      </c>
      <c r="C3331" s="2" t="str">
        <f>IFERROR(__xludf.DUMMYFUNCTION("""COMPUTED_VALUE"""),"Corporate Law")</f>
        <v>Corporate Law</v>
      </c>
      <c r="D3331" s="2" t="str">
        <f>IFERROR(__xludf.DUMMYFUNCTION("""COMPUTED_VALUE"""),"Ironwind Publishing")</f>
        <v>Ironwind Publishing</v>
      </c>
      <c r="E3331" s="2">
        <f>IFERROR(__xludf.DUMMYFUNCTION("""COMPUTED_VALUE"""),1.86)</f>
        <v>1.86</v>
      </c>
      <c r="F3331" s="2"/>
      <c r="G3331" s="2"/>
      <c r="H3331" s="2"/>
      <c r="I3331" s="2"/>
    </row>
    <row r="3332">
      <c r="A3332" s="2">
        <f>IFERROR(__xludf.DUMMYFUNCTION("""COMPUTED_VALUE"""),117918.0)</f>
        <v>117918</v>
      </c>
      <c r="B3332" s="2" t="str">
        <f>IFERROR(__xludf.DUMMYFUNCTION("""COMPUTED_VALUE"""),"History")</f>
        <v>History</v>
      </c>
      <c r="C3332" s="2" t="str">
        <f>IFERROR(__xludf.DUMMYFUNCTION("""COMPUTED_VALUE"""),"Corporate Law")</f>
        <v>Corporate Law</v>
      </c>
      <c r="D3332" s="2" t="str">
        <f>IFERROR(__xludf.DUMMYFUNCTION("""COMPUTED_VALUE"""),"Ironwind Publishing")</f>
        <v>Ironwind Publishing</v>
      </c>
      <c r="E3332" s="2">
        <f>IFERROR(__xludf.DUMMYFUNCTION("""COMPUTED_VALUE"""),2.12)</f>
        <v>2.12</v>
      </c>
      <c r="F3332" s="2"/>
      <c r="G3332" s="2"/>
      <c r="H3332" s="2"/>
      <c r="I3332" s="2"/>
    </row>
    <row r="3333">
      <c r="A3333" s="2">
        <f>IFERROR(__xludf.DUMMYFUNCTION("""COMPUTED_VALUE"""),16645.0)</f>
        <v>16645</v>
      </c>
      <c r="B3333" s="2" t="str">
        <f>IFERROR(__xludf.DUMMYFUNCTION("""COMPUTED_VALUE"""),"History")</f>
        <v>History</v>
      </c>
      <c r="C3333" s="2" t="str">
        <f>IFERROR(__xludf.DUMMYFUNCTION("""COMPUTED_VALUE"""),"Corporate Law")</f>
        <v>Corporate Law</v>
      </c>
      <c r="D3333" s="2" t="str">
        <f>IFERROR(__xludf.DUMMYFUNCTION("""COMPUTED_VALUE"""),"Ironwind Publishing")</f>
        <v>Ironwind Publishing</v>
      </c>
      <c r="E3333" s="2">
        <f>IFERROR(__xludf.DUMMYFUNCTION("""COMPUTED_VALUE"""),2.16)</f>
        <v>2.16</v>
      </c>
      <c r="F3333" s="2"/>
      <c r="G3333" s="2"/>
      <c r="H3333" s="2"/>
      <c r="I3333" s="2"/>
    </row>
    <row r="3334">
      <c r="A3334" s="2">
        <f>IFERROR(__xludf.DUMMYFUNCTION("""COMPUTED_VALUE"""),148740.0)</f>
        <v>148740</v>
      </c>
      <c r="B3334" s="2" t="str">
        <f>IFERROR(__xludf.DUMMYFUNCTION("""COMPUTED_VALUE"""),"History")</f>
        <v>History</v>
      </c>
      <c r="C3334" s="2" t="str">
        <f>IFERROR(__xludf.DUMMYFUNCTION("""COMPUTED_VALUE"""),"Corporate Law")</f>
        <v>Corporate Law</v>
      </c>
      <c r="D3334" s="2" t="str">
        <f>IFERROR(__xludf.DUMMYFUNCTION("""COMPUTED_VALUE"""),"Ironwind Publishing")</f>
        <v>Ironwind Publishing</v>
      </c>
      <c r="E3334" s="2">
        <f>IFERROR(__xludf.DUMMYFUNCTION("""COMPUTED_VALUE"""),1.26)</f>
        <v>1.26</v>
      </c>
      <c r="F3334" s="2"/>
      <c r="G3334" s="2"/>
      <c r="H3334" s="2"/>
      <c r="I3334" s="2"/>
    </row>
    <row r="3335">
      <c r="A3335" s="2">
        <f>IFERROR(__xludf.DUMMYFUNCTION("""COMPUTED_VALUE"""),100688.0)</f>
        <v>100688</v>
      </c>
      <c r="B3335" s="2" t="str">
        <f>IFERROR(__xludf.DUMMYFUNCTION("""COMPUTED_VALUE"""),"History")</f>
        <v>History</v>
      </c>
      <c r="C3335" s="2" t="str">
        <f>IFERROR(__xludf.DUMMYFUNCTION("""COMPUTED_VALUE"""),"Corporate Law")</f>
        <v>Corporate Law</v>
      </c>
      <c r="D3335" s="2" t="str">
        <f>IFERROR(__xludf.DUMMYFUNCTION("""COMPUTED_VALUE"""),"Ironwind Publishing")</f>
        <v>Ironwind Publishing</v>
      </c>
      <c r="E3335" s="2">
        <f>IFERROR(__xludf.DUMMYFUNCTION("""COMPUTED_VALUE"""),1.25)</f>
        <v>1.25</v>
      </c>
      <c r="F3335" s="2"/>
      <c r="G3335" s="2"/>
      <c r="H3335" s="2"/>
      <c r="I3335" s="2"/>
    </row>
    <row r="3336">
      <c r="A3336" s="2">
        <f>IFERROR(__xludf.DUMMYFUNCTION("""COMPUTED_VALUE"""),148741.0)</f>
        <v>148741</v>
      </c>
      <c r="B3336" s="2" t="str">
        <f>IFERROR(__xludf.DUMMYFUNCTION("""COMPUTED_VALUE"""),"History")</f>
        <v>History</v>
      </c>
      <c r="C3336" s="2" t="str">
        <f>IFERROR(__xludf.DUMMYFUNCTION("""COMPUTED_VALUE"""),"Corporate Law")</f>
        <v>Corporate Law</v>
      </c>
      <c r="D3336" s="2" t="str">
        <f>IFERROR(__xludf.DUMMYFUNCTION("""COMPUTED_VALUE"""),"Ironwind Publishing")</f>
        <v>Ironwind Publishing</v>
      </c>
      <c r="E3336" s="2">
        <f>IFERROR(__xludf.DUMMYFUNCTION("""COMPUTED_VALUE"""),1.38)</f>
        <v>1.38</v>
      </c>
      <c r="F3336" s="2"/>
      <c r="G3336" s="2"/>
      <c r="H3336" s="2"/>
      <c r="I3336" s="2"/>
    </row>
    <row r="3337">
      <c r="A3337" s="2">
        <f>IFERROR(__xludf.DUMMYFUNCTION("""COMPUTED_VALUE"""),109299.0)</f>
        <v>109299</v>
      </c>
      <c r="B3337" s="2" t="str">
        <f>IFERROR(__xludf.DUMMYFUNCTION("""COMPUTED_VALUE"""),"History")</f>
        <v>History</v>
      </c>
      <c r="C3337" s="2" t="str">
        <f>IFERROR(__xludf.DUMMYFUNCTION("""COMPUTED_VALUE"""),"Corporate Law")</f>
        <v>Corporate Law</v>
      </c>
      <c r="D3337" s="2" t="str">
        <f>IFERROR(__xludf.DUMMYFUNCTION("""COMPUTED_VALUE"""),"Ironwind Publishing")</f>
        <v>Ironwind Publishing</v>
      </c>
      <c r="E3337" s="2">
        <f>IFERROR(__xludf.DUMMYFUNCTION("""COMPUTED_VALUE"""),1.14)</f>
        <v>1.14</v>
      </c>
      <c r="F3337" s="2"/>
      <c r="G3337" s="2"/>
      <c r="H3337" s="2"/>
      <c r="I3337" s="2"/>
    </row>
    <row r="3338">
      <c r="A3338" s="2">
        <f>IFERROR(__xludf.DUMMYFUNCTION("""COMPUTED_VALUE"""),196109.0)</f>
        <v>196109</v>
      </c>
      <c r="B3338" s="2" t="str">
        <f>IFERROR(__xludf.DUMMYFUNCTION("""COMPUTED_VALUE"""),"History")</f>
        <v>History</v>
      </c>
      <c r="C3338" s="2" t="str">
        <f>IFERROR(__xludf.DUMMYFUNCTION("""COMPUTED_VALUE"""),"Corporate Law")</f>
        <v>Corporate Law</v>
      </c>
      <c r="D3338" s="2" t="str">
        <f>IFERROR(__xludf.DUMMYFUNCTION("""COMPUTED_VALUE"""),"Ironwind Publishing")</f>
        <v>Ironwind Publishing</v>
      </c>
      <c r="E3338" s="2">
        <f>IFERROR(__xludf.DUMMYFUNCTION("""COMPUTED_VALUE"""),0.88)</f>
        <v>0.88</v>
      </c>
      <c r="F3338" s="2"/>
      <c r="G3338" s="2"/>
      <c r="H3338" s="2"/>
      <c r="I3338" s="2"/>
    </row>
    <row r="3339">
      <c r="A3339" s="2">
        <f>IFERROR(__xludf.DUMMYFUNCTION("""COMPUTED_VALUE"""),72155.0)</f>
        <v>72155</v>
      </c>
      <c r="B3339" s="2" t="str">
        <f>IFERROR(__xludf.DUMMYFUNCTION("""COMPUTED_VALUE"""),"History")</f>
        <v>History</v>
      </c>
      <c r="C3339" s="2" t="str">
        <f>IFERROR(__xludf.DUMMYFUNCTION("""COMPUTED_VALUE"""),"Corporate Law")</f>
        <v>Corporate Law</v>
      </c>
      <c r="D3339" s="2" t="str">
        <f>IFERROR(__xludf.DUMMYFUNCTION("""COMPUTED_VALUE"""),"Ironwind Publishing")</f>
        <v>Ironwind Publishing</v>
      </c>
      <c r="E3339" s="2">
        <f>IFERROR(__xludf.DUMMYFUNCTION("""COMPUTED_VALUE"""),10.93)</f>
        <v>10.93</v>
      </c>
      <c r="F3339" s="2"/>
      <c r="G3339" s="2"/>
      <c r="H3339" s="2"/>
      <c r="I3339" s="2"/>
    </row>
    <row r="3340">
      <c r="A3340" s="2">
        <f>IFERROR(__xludf.DUMMYFUNCTION("""COMPUTED_VALUE"""),80245.0)</f>
        <v>80245</v>
      </c>
      <c r="B3340" s="2" t="str">
        <f>IFERROR(__xludf.DUMMYFUNCTION("""COMPUTED_VALUE"""),"History")</f>
        <v>History</v>
      </c>
      <c r="C3340" s="2" t="str">
        <f>IFERROR(__xludf.DUMMYFUNCTION("""COMPUTED_VALUE"""),"Corporate Law")</f>
        <v>Corporate Law</v>
      </c>
      <c r="D3340" s="2" t="str">
        <f>IFERROR(__xludf.DUMMYFUNCTION("""COMPUTED_VALUE"""),"Ironwind Publishing")</f>
        <v>Ironwind Publishing</v>
      </c>
      <c r="E3340" s="2">
        <f>IFERROR(__xludf.DUMMYFUNCTION("""COMPUTED_VALUE"""),2.64)</f>
        <v>2.64</v>
      </c>
      <c r="F3340" s="2"/>
      <c r="G3340" s="2"/>
      <c r="H3340" s="2"/>
      <c r="I3340" s="2"/>
    </row>
    <row r="3341">
      <c r="A3341" s="2">
        <f>IFERROR(__xludf.DUMMYFUNCTION("""COMPUTED_VALUE"""),6215.0)</f>
        <v>6215</v>
      </c>
      <c r="B3341" s="2" t="str">
        <f>IFERROR(__xludf.DUMMYFUNCTION("""COMPUTED_VALUE"""),"History")</f>
        <v>History</v>
      </c>
      <c r="C3341" s="2" t="str">
        <f>IFERROR(__xludf.DUMMYFUNCTION("""COMPUTED_VALUE"""),"Corporate Law")</f>
        <v>Corporate Law</v>
      </c>
      <c r="D3341" s="2" t="str">
        <f>IFERROR(__xludf.DUMMYFUNCTION("""COMPUTED_VALUE"""),"Ironwind Publishing")</f>
        <v>Ironwind Publishing</v>
      </c>
      <c r="E3341" s="2">
        <f>IFERROR(__xludf.DUMMYFUNCTION("""COMPUTED_VALUE"""),3.08)</f>
        <v>3.08</v>
      </c>
      <c r="F3341" s="2"/>
      <c r="G3341" s="2"/>
      <c r="H3341" s="2"/>
      <c r="I3341" s="2"/>
    </row>
    <row r="3342">
      <c r="A3342" s="2">
        <f>IFERROR(__xludf.DUMMYFUNCTION("""COMPUTED_VALUE"""),45810.0)</f>
        <v>45810</v>
      </c>
      <c r="B3342" s="2" t="str">
        <f>IFERROR(__xludf.DUMMYFUNCTION("""COMPUTED_VALUE"""),"History")</f>
        <v>History</v>
      </c>
      <c r="C3342" s="2" t="str">
        <f>IFERROR(__xludf.DUMMYFUNCTION("""COMPUTED_VALUE"""),"Corporate Law")</f>
        <v>Corporate Law</v>
      </c>
      <c r="D3342" s="2" t="str">
        <f>IFERROR(__xludf.DUMMYFUNCTION("""COMPUTED_VALUE"""),"Ironwind Publishing")</f>
        <v>Ironwind Publishing</v>
      </c>
      <c r="E3342" s="2">
        <f>IFERROR(__xludf.DUMMYFUNCTION("""COMPUTED_VALUE"""),1.45)</f>
        <v>1.45</v>
      </c>
      <c r="F3342" s="2"/>
      <c r="G3342" s="2"/>
      <c r="H3342" s="2"/>
      <c r="I3342" s="2"/>
    </row>
    <row r="3343">
      <c r="A3343" s="2">
        <f>IFERROR(__xludf.DUMMYFUNCTION("""COMPUTED_VALUE"""),80205.0)</f>
        <v>80205</v>
      </c>
      <c r="B3343" s="2" t="str">
        <f>IFERROR(__xludf.DUMMYFUNCTION("""COMPUTED_VALUE"""),"History")</f>
        <v>History</v>
      </c>
      <c r="C3343" s="2" t="str">
        <f>IFERROR(__xludf.DUMMYFUNCTION("""COMPUTED_VALUE"""),"Corporate Law")</f>
        <v>Corporate Law</v>
      </c>
      <c r="D3343" s="2" t="str">
        <f>IFERROR(__xludf.DUMMYFUNCTION("""COMPUTED_VALUE"""),"Ironwind Publishing")</f>
        <v>Ironwind Publishing</v>
      </c>
      <c r="E3343" s="2">
        <f>IFERROR(__xludf.DUMMYFUNCTION("""COMPUTED_VALUE"""),2.07)</f>
        <v>2.07</v>
      </c>
      <c r="F3343" s="2"/>
      <c r="G3343" s="2"/>
      <c r="H3343" s="2"/>
      <c r="I3343" s="2"/>
    </row>
    <row r="3344">
      <c r="A3344" s="2">
        <f>IFERROR(__xludf.DUMMYFUNCTION("""COMPUTED_VALUE"""),107064.0)</f>
        <v>107064</v>
      </c>
      <c r="B3344" s="2" t="str">
        <f>IFERROR(__xludf.DUMMYFUNCTION("""COMPUTED_VALUE"""),"History")</f>
        <v>History</v>
      </c>
      <c r="C3344" s="2" t="str">
        <f>IFERROR(__xludf.DUMMYFUNCTION("""COMPUTED_VALUE"""),"Corporate Law")</f>
        <v>Corporate Law</v>
      </c>
      <c r="D3344" s="2" t="str">
        <f>IFERROR(__xludf.DUMMYFUNCTION("""COMPUTED_VALUE"""),"Ironwind Publishing")</f>
        <v>Ironwind Publishing</v>
      </c>
      <c r="E3344" s="2">
        <f>IFERROR(__xludf.DUMMYFUNCTION("""COMPUTED_VALUE"""),1.59)</f>
        <v>1.59</v>
      </c>
      <c r="F3344" s="2"/>
      <c r="G3344" s="2"/>
      <c r="H3344" s="2"/>
      <c r="I3344" s="2"/>
    </row>
    <row r="3345">
      <c r="A3345" s="2">
        <f>IFERROR(__xludf.DUMMYFUNCTION("""COMPUTED_VALUE"""),6211.0)</f>
        <v>6211</v>
      </c>
      <c r="B3345" s="2" t="str">
        <f>IFERROR(__xludf.DUMMYFUNCTION("""COMPUTED_VALUE"""),"History")</f>
        <v>History</v>
      </c>
      <c r="C3345" s="2" t="str">
        <f>IFERROR(__xludf.DUMMYFUNCTION("""COMPUTED_VALUE"""),"Corporate Law")</f>
        <v>Corporate Law</v>
      </c>
      <c r="D3345" s="2" t="str">
        <f>IFERROR(__xludf.DUMMYFUNCTION("""COMPUTED_VALUE"""),"Ironwind Publishing")</f>
        <v>Ironwind Publishing</v>
      </c>
      <c r="E3345" s="2">
        <f>IFERROR(__xludf.DUMMYFUNCTION("""COMPUTED_VALUE"""),23.63)</f>
        <v>23.63</v>
      </c>
      <c r="F3345" s="2"/>
      <c r="G3345" s="2"/>
      <c r="H3345" s="2"/>
      <c r="I3345" s="2"/>
    </row>
    <row r="3346">
      <c r="A3346" s="2">
        <f>IFERROR(__xludf.DUMMYFUNCTION("""COMPUTED_VALUE"""),44036.0)</f>
        <v>44036</v>
      </c>
      <c r="B3346" s="2" t="str">
        <f>IFERROR(__xludf.DUMMYFUNCTION("""COMPUTED_VALUE"""),"History")</f>
        <v>History</v>
      </c>
      <c r="C3346" s="2" t="str">
        <f>IFERROR(__xludf.DUMMYFUNCTION("""COMPUTED_VALUE"""),"Corporate Law")</f>
        <v>Corporate Law</v>
      </c>
      <c r="D3346" s="2" t="str">
        <f>IFERROR(__xludf.DUMMYFUNCTION("""COMPUTED_VALUE"""),"Ironwind Publishing")</f>
        <v>Ironwind Publishing</v>
      </c>
      <c r="E3346" s="2">
        <f>IFERROR(__xludf.DUMMYFUNCTION("""COMPUTED_VALUE"""),1.94)</f>
        <v>1.94</v>
      </c>
      <c r="F3346" s="2"/>
      <c r="G3346" s="2"/>
      <c r="H3346" s="2"/>
      <c r="I3346" s="2"/>
    </row>
    <row r="3347">
      <c r="A3347" s="2">
        <f>IFERROR(__xludf.DUMMYFUNCTION("""COMPUTED_VALUE"""),181493.0)</f>
        <v>181493</v>
      </c>
      <c r="B3347" s="2" t="str">
        <f>IFERROR(__xludf.DUMMYFUNCTION("""COMPUTED_VALUE"""),"History")</f>
        <v>History</v>
      </c>
      <c r="C3347" s="2" t="str">
        <f>IFERROR(__xludf.DUMMYFUNCTION("""COMPUTED_VALUE"""),"Corporate Law")</f>
        <v>Corporate Law</v>
      </c>
      <c r="D3347" s="2" t="str">
        <f>IFERROR(__xludf.DUMMYFUNCTION("""COMPUTED_VALUE"""),"Ironwind Publishing")</f>
        <v>Ironwind Publishing</v>
      </c>
      <c r="E3347" s="2">
        <f>IFERROR(__xludf.DUMMYFUNCTION("""COMPUTED_VALUE"""),1.91)</f>
        <v>1.91</v>
      </c>
      <c r="F3347" s="2"/>
      <c r="G3347" s="2"/>
      <c r="H3347" s="2"/>
      <c r="I3347" s="2"/>
    </row>
    <row r="3348">
      <c r="A3348" s="2">
        <f>IFERROR(__xludf.DUMMYFUNCTION("""COMPUTED_VALUE"""),6210.0)</f>
        <v>6210</v>
      </c>
      <c r="B3348" s="2" t="str">
        <f>IFERROR(__xludf.DUMMYFUNCTION("""COMPUTED_VALUE"""),"History")</f>
        <v>History</v>
      </c>
      <c r="C3348" s="2" t="str">
        <f>IFERROR(__xludf.DUMMYFUNCTION("""COMPUTED_VALUE"""),"Corporate Law")</f>
        <v>Corporate Law</v>
      </c>
      <c r="D3348" s="2" t="str">
        <f>IFERROR(__xludf.DUMMYFUNCTION("""COMPUTED_VALUE"""),"Ironwind Publishing")</f>
        <v>Ironwind Publishing</v>
      </c>
      <c r="E3348" s="2">
        <f>IFERROR(__xludf.DUMMYFUNCTION("""COMPUTED_VALUE"""),13.38)</f>
        <v>13.38</v>
      </c>
      <c r="F3348" s="2"/>
      <c r="G3348" s="2"/>
      <c r="H3348" s="2"/>
      <c r="I3348" s="2"/>
    </row>
    <row r="3349">
      <c r="A3349" s="2">
        <f>IFERROR(__xludf.DUMMYFUNCTION("""COMPUTED_VALUE"""),110431.0)</f>
        <v>110431</v>
      </c>
      <c r="B3349" s="2" t="str">
        <f>IFERROR(__xludf.DUMMYFUNCTION("""COMPUTED_VALUE"""),"History")</f>
        <v>History</v>
      </c>
      <c r="C3349" s="2" t="str">
        <f>IFERROR(__xludf.DUMMYFUNCTION("""COMPUTED_VALUE"""),"Corporate Law")</f>
        <v>Corporate Law</v>
      </c>
      <c r="D3349" s="2" t="str">
        <f>IFERROR(__xludf.DUMMYFUNCTION("""COMPUTED_VALUE"""),"Silvergate Books")</f>
        <v>Silvergate Books</v>
      </c>
      <c r="E3349" s="2">
        <f>IFERROR(__xludf.DUMMYFUNCTION("""COMPUTED_VALUE"""),0.83)</f>
        <v>0.83</v>
      </c>
      <c r="F3349" s="2"/>
      <c r="G3349" s="2"/>
      <c r="H3349" s="2"/>
      <c r="I3349" s="2"/>
    </row>
    <row r="3350">
      <c r="A3350" s="2">
        <f>IFERROR(__xludf.DUMMYFUNCTION("""COMPUTED_VALUE"""),122878.0)</f>
        <v>122878</v>
      </c>
      <c r="B3350" s="2" t="str">
        <f>IFERROR(__xludf.DUMMYFUNCTION("""COMPUTED_VALUE"""),"History")</f>
        <v>History</v>
      </c>
      <c r="C3350" s="2" t="str">
        <f>IFERROR(__xludf.DUMMYFUNCTION("""COMPUTED_VALUE"""),"Corporate Law")</f>
        <v>Corporate Law</v>
      </c>
      <c r="D3350" s="2" t="str">
        <f>IFERROR(__xludf.DUMMYFUNCTION("""COMPUTED_VALUE"""),"Silvergate Books")</f>
        <v>Silvergate Books</v>
      </c>
      <c r="E3350" s="2">
        <f>IFERROR(__xludf.DUMMYFUNCTION("""COMPUTED_VALUE"""),1.48)</f>
        <v>1.48</v>
      </c>
      <c r="F3350" s="2"/>
      <c r="G3350" s="2"/>
      <c r="H3350" s="2"/>
      <c r="I3350" s="2"/>
    </row>
    <row r="3351">
      <c r="A3351" s="2">
        <f>IFERROR(__xludf.DUMMYFUNCTION("""COMPUTED_VALUE"""),14092.0)</f>
        <v>14092</v>
      </c>
      <c r="B3351" s="2" t="str">
        <f>IFERROR(__xludf.DUMMYFUNCTION("""COMPUTED_VALUE"""),"History")</f>
        <v>History</v>
      </c>
      <c r="C3351" s="2" t="str">
        <f>IFERROR(__xludf.DUMMYFUNCTION("""COMPUTED_VALUE"""),"Corporate Law")</f>
        <v>Corporate Law</v>
      </c>
      <c r="D3351" s="2" t="str">
        <f>IFERROR(__xludf.DUMMYFUNCTION("""COMPUTED_VALUE"""),"Silvergate Books")</f>
        <v>Silvergate Books</v>
      </c>
      <c r="E3351" s="2">
        <f>IFERROR(__xludf.DUMMYFUNCTION("""COMPUTED_VALUE"""),1.14)</f>
        <v>1.14</v>
      </c>
      <c r="F3351" s="2"/>
      <c r="G3351" s="2"/>
      <c r="H3351" s="2"/>
      <c r="I3351" s="2"/>
    </row>
    <row r="3352">
      <c r="A3352" s="2">
        <f>IFERROR(__xludf.DUMMYFUNCTION("""COMPUTED_VALUE"""),121621.0)</f>
        <v>121621</v>
      </c>
      <c r="B3352" s="2" t="str">
        <f>IFERROR(__xludf.DUMMYFUNCTION("""COMPUTED_VALUE"""),"History")</f>
        <v>History</v>
      </c>
      <c r="C3352" s="2" t="str">
        <f>IFERROR(__xludf.DUMMYFUNCTION("""COMPUTED_VALUE"""),"Corporate Law")</f>
        <v>Corporate Law</v>
      </c>
      <c r="D3352" s="2" t="str">
        <f>IFERROR(__xludf.DUMMYFUNCTION("""COMPUTED_VALUE"""),"Silvergate Books")</f>
        <v>Silvergate Books</v>
      </c>
      <c r="E3352" s="2">
        <f>IFERROR(__xludf.DUMMYFUNCTION("""COMPUTED_VALUE"""),0.72)</f>
        <v>0.72</v>
      </c>
      <c r="F3352" s="2"/>
      <c r="G3352" s="2"/>
      <c r="H3352" s="2"/>
      <c r="I3352" s="2"/>
    </row>
    <row r="3353">
      <c r="A3353" s="2">
        <f>IFERROR(__xludf.DUMMYFUNCTION("""COMPUTED_VALUE"""),120511.0)</f>
        <v>120511</v>
      </c>
      <c r="B3353" s="2" t="str">
        <f>IFERROR(__xludf.DUMMYFUNCTION("""COMPUTED_VALUE"""),"History")</f>
        <v>History</v>
      </c>
      <c r="C3353" s="2" t="str">
        <f>IFERROR(__xludf.DUMMYFUNCTION("""COMPUTED_VALUE"""),"Corporate Law")</f>
        <v>Corporate Law</v>
      </c>
      <c r="D3353" s="2" t="str">
        <f>IFERROR(__xludf.DUMMYFUNCTION("""COMPUTED_VALUE"""),"Silvergate Books")</f>
        <v>Silvergate Books</v>
      </c>
      <c r="E3353" s="2">
        <f>IFERROR(__xludf.DUMMYFUNCTION("""COMPUTED_VALUE"""),1.46)</f>
        <v>1.46</v>
      </c>
      <c r="F3353" s="2"/>
      <c r="G3353" s="2"/>
      <c r="H3353" s="2"/>
      <c r="I3353" s="2"/>
    </row>
    <row r="3354">
      <c r="A3354" s="2">
        <f>IFERROR(__xludf.DUMMYFUNCTION("""COMPUTED_VALUE"""),46132.0)</f>
        <v>46132</v>
      </c>
      <c r="B3354" s="2" t="str">
        <f>IFERROR(__xludf.DUMMYFUNCTION("""COMPUTED_VALUE"""),"History")</f>
        <v>History</v>
      </c>
      <c r="C3354" s="2" t="str">
        <f>IFERROR(__xludf.DUMMYFUNCTION("""COMPUTED_VALUE"""),"Corporate Law")</f>
        <v>Corporate Law</v>
      </c>
      <c r="D3354" s="2" t="str">
        <f>IFERROR(__xludf.DUMMYFUNCTION("""COMPUTED_VALUE"""),"Silvergate Books")</f>
        <v>Silvergate Books</v>
      </c>
      <c r="E3354" s="2">
        <f>IFERROR(__xludf.DUMMYFUNCTION("""COMPUTED_VALUE"""),0.87)</f>
        <v>0.87</v>
      </c>
      <c r="F3354" s="2"/>
      <c r="G3354" s="2"/>
      <c r="H3354" s="2"/>
      <c r="I3354" s="2"/>
    </row>
    <row r="3355">
      <c r="A3355" s="2">
        <f>IFERROR(__xludf.DUMMYFUNCTION("""COMPUTED_VALUE"""),83014.0)</f>
        <v>83014</v>
      </c>
      <c r="B3355" s="2" t="str">
        <f>IFERROR(__xludf.DUMMYFUNCTION("""COMPUTED_VALUE"""),"History")</f>
        <v>History</v>
      </c>
      <c r="C3355" s="2" t="str">
        <f>IFERROR(__xludf.DUMMYFUNCTION("""COMPUTED_VALUE"""),"Corporate Law")</f>
        <v>Corporate Law</v>
      </c>
      <c r="D3355" s="2" t="str">
        <f>IFERROR(__xludf.DUMMYFUNCTION("""COMPUTED_VALUE"""),"Silvergate Books")</f>
        <v>Silvergate Books</v>
      </c>
      <c r="E3355" s="2">
        <f>IFERROR(__xludf.DUMMYFUNCTION("""COMPUTED_VALUE"""),1.62)</f>
        <v>1.62</v>
      </c>
      <c r="F3355" s="2"/>
      <c r="G3355" s="2"/>
      <c r="H3355" s="2"/>
      <c r="I3355" s="2"/>
    </row>
    <row r="3356">
      <c r="A3356" s="2">
        <f>IFERROR(__xludf.DUMMYFUNCTION("""COMPUTED_VALUE"""),80199.0)</f>
        <v>80199</v>
      </c>
      <c r="B3356" s="2" t="str">
        <f>IFERROR(__xludf.DUMMYFUNCTION("""COMPUTED_VALUE"""),"History")</f>
        <v>History</v>
      </c>
      <c r="C3356" s="2" t="str">
        <f>IFERROR(__xludf.DUMMYFUNCTION("""COMPUTED_VALUE"""),"Corporate Law")</f>
        <v>Corporate Law</v>
      </c>
      <c r="D3356" s="2" t="str">
        <f>IFERROR(__xludf.DUMMYFUNCTION("""COMPUTED_VALUE"""),"Silvergate Books")</f>
        <v>Silvergate Books</v>
      </c>
      <c r="E3356" s="2">
        <f>IFERROR(__xludf.DUMMYFUNCTION("""COMPUTED_VALUE"""),1.19)</f>
        <v>1.19</v>
      </c>
      <c r="F3356" s="2"/>
      <c r="G3356" s="2"/>
      <c r="H3356" s="2"/>
      <c r="I3356" s="2"/>
    </row>
    <row r="3357">
      <c r="A3357" s="2">
        <f>IFERROR(__xludf.DUMMYFUNCTION("""COMPUTED_VALUE"""),80201.0)</f>
        <v>80201</v>
      </c>
      <c r="B3357" s="2" t="str">
        <f>IFERROR(__xludf.DUMMYFUNCTION("""COMPUTED_VALUE"""),"History")</f>
        <v>History</v>
      </c>
      <c r="C3357" s="2" t="str">
        <f>IFERROR(__xludf.DUMMYFUNCTION("""COMPUTED_VALUE"""),"Corporate Law")</f>
        <v>Corporate Law</v>
      </c>
      <c r="D3357" s="2" t="str">
        <f>IFERROR(__xludf.DUMMYFUNCTION("""COMPUTED_VALUE"""),"Silvergate Books")</f>
        <v>Silvergate Books</v>
      </c>
      <c r="E3357" s="2">
        <f>IFERROR(__xludf.DUMMYFUNCTION("""COMPUTED_VALUE"""),1.36)</f>
        <v>1.36</v>
      </c>
      <c r="F3357" s="2"/>
      <c r="G3357" s="2"/>
      <c r="H3357" s="2"/>
      <c r="I3357" s="2"/>
    </row>
    <row r="3358">
      <c r="A3358" s="2">
        <f>IFERROR(__xludf.DUMMYFUNCTION("""COMPUTED_VALUE"""),46131.0)</f>
        <v>46131</v>
      </c>
      <c r="B3358" s="2" t="str">
        <f>IFERROR(__xludf.DUMMYFUNCTION("""COMPUTED_VALUE"""),"History")</f>
        <v>History</v>
      </c>
      <c r="C3358" s="2" t="str">
        <f>IFERROR(__xludf.DUMMYFUNCTION("""COMPUTED_VALUE"""),"Corporate Law")</f>
        <v>Corporate Law</v>
      </c>
      <c r="D3358" s="2" t="str">
        <f>IFERROR(__xludf.DUMMYFUNCTION("""COMPUTED_VALUE"""),"Silvergate Books")</f>
        <v>Silvergate Books</v>
      </c>
      <c r="E3358" s="2">
        <f>IFERROR(__xludf.DUMMYFUNCTION("""COMPUTED_VALUE"""),0.96)</f>
        <v>0.96</v>
      </c>
      <c r="F3358" s="2"/>
      <c r="G3358" s="2"/>
      <c r="H3358" s="2"/>
      <c r="I3358" s="2"/>
    </row>
    <row r="3359">
      <c r="A3359" s="2">
        <f>IFERROR(__xludf.DUMMYFUNCTION("""COMPUTED_VALUE"""),102346.0)</f>
        <v>102346</v>
      </c>
      <c r="B3359" s="2" t="str">
        <f>IFERROR(__xludf.DUMMYFUNCTION("""COMPUTED_VALUE"""),"History")</f>
        <v>History</v>
      </c>
      <c r="C3359" s="2" t="str">
        <f>IFERROR(__xludf.DUMMYFUNCTION("""COMPUTED_VALUE"""),"Corporate Law")</f>
        <v>Corporate Law</v>
      </c>
      <c r="D3359" s="2" t="str">
        <f>IFERROR(__xludf.DUMMYFUNCTION("""COMPUTED_VALUE"""),"Silvergate Books")</f>
        <v>Silvergate Books</v>
      </c>
      <c r="E3359" s="2">
        <f>IFERROR(__xludf.DUMMYFUNCTION("""COMPUTED_VALUE"""),1.24)</f>
        <v>1.24</v>
      </c>
      <c r="F3359" s="2"/>
      <c r="G3359" s="2"/>
      <c r="H3359" s="2"/>
      <c r="I3359" s="2"/>
    </row>
    <row r="3360">
      <c r="A3360" s="2">
        <f>IFERROR(__xludf.DUMMYFUNCTION("""COMPUTED_VALUE"""),14094.0)</f>
        <v>14094</v>
      </c>
      <c r="B3360" s="2" t="str">
        <f>IFERROR(__xludf.DUMMYFUNCTION("""COMPUTED_VALUE"""),"History")</f>
        <v>History</v>
      </c>
      <c r="C3360" s="2" t="str">
        <f>IFERROR(__xludf.DUMMYFUNCTION("""COMPUTED_VALUE"""),"Corporate Law")</f>
        <v>Corporate Law</v>
      </c>
      <c r="D3360" s="2" t="str">
        <f>IFERROR(__xludf.DUMMYFUNCTION("""COMPUTED_VALUE"""),"Silvergate Books")</f>
        <v>Silvergate Books</v>
      </c>
      <c r="E3360" s="2">
        <f>IFERROR(__xludf.DUMMYFUNCTION("""COMPUTED_VALUE"""),2.11)</f>
        <v>2.11</v>
      </c>
      <c r="F3360" s="2"/>
      <c r="G3360" s="2"/>
      <c r="H3360" s="2"/>
      <c r="I3360" s="2"/>
    </row>
    <row r="3361">
      <c r="A3361" s="2">
        <f>IFERROR(__xludf.DUMMYFUNCTION("""COMPUTED_VALUE"""),100679.0)</f>
        <v>100679</v>
      </c>
      <c r="B3361" s="2" t="str">
        <f>IFERROR(__xludf.DUMMYFUNCTION("""COMPUTED_VALUE"""),"History")</f>
        <v>History</v>
      </c>
      <c r="C3361" s="2" t="str">
        <f>IFERROR(__xludf.DUMMYFUNCTION("""COMPUTED_VALUE"""),"Corporate Law")</f>
        <v>Corporate Law</v>
      </c>
      <c r="D3361" s="2" t="str">
        <f>IFERROR(__xludf.DUMMYFUNCTION("""COMPUTED_VALUE"""),"Silvergate Books")</f>
        <v>Silvergate Books</v>
      </c>
      <c r="E3361" s="2">
        <f>IFERROR(__xludf.DUMMYFUNCTION("""COMPUTED_VALUE"""),0.88)</f>
        <v>0.88</v>
      </c>
      <c r="F3361" s="2"/>
      <c r="G3361" s="2"/>
      <c r="H3361" s="2"/>
      <c r="I3361" s="2"/>
    </row>
    <row r="3362">
      <c r="A3362" s="2">
        <f>IFERROR(__xludf.DUMMYFUNCTION("""COMPUTED_VALUE"""),102345.0)</f>
        <v>102345</v>
      </c>
      <c r="B3362" s="2" t="str">
        <f>IFERROR(__xludf.DUMMYFUNCTION("""COMPUTED_VALUE"""),"History")</f>
        <v>History</v>
      </c>
      <c r="C3362" s="2" t="str">
        <f>IFERROR(__xludf.DUMMYFUNCTION("""COMPUTED_VALUE"""),"Corporate Law")</f>
        <v>Corporate Law</v>
      </c>
      <c r="D3362" s="2" t="str">
        <f>IFERROR(__xludf.DUMMYFUNCTION("""COMPUTED_VALUE"""),"Silvergate Books")</f>
        <v>Silvergate Books</v>
      </c>
      <c r="E3362" s="2">
        <f>IFERROR(__xludf.DUMMYFUNCTION("""COMPUTED_VALUE"""),1.47)</f>
        <v>1.47</v>
      </c>
      <c r="F3362" s="2"/>
      <c r="G3362" s="2"/>
      <c r="H3362" s="2"/>
      <c r="I3362" s="2"/>
    </row>
    <row r="3363">
      <c r="A3363" s="2">
        <f>IFERROR(__xludf.DUMMYFUNCTION("""COMPUTED_VALUE"""),121695.0)</f>
        <v>121695</v>
      </c>
      <c r="B3363" s="2" t="str">
        <f>IFERROR(__xludf.DUMMYFUNCTION("""COMPUTED_VALUE"""),"History")</f>
        <v>History</v>
      </c>
      <c r="C3363" s="2" t="str">
        <f>IFERROR(__xludf.DUMMYFUNCTION("""COMPUTED_VALUE"""),"Corporate Law")</f>
        <v>Corporate Law</v>
      </c>
      <c r="D3363" s="2" t="str">
        <f>IFERROR(__xludf.DUMMYFUNCTION("""COMPUTED_VALUE"""),"Silvergate Books")</f>
        <v>Silvergate Books</v>
      </c>
      <c r="E3363" s="2">
        <f>IFERROR(__xludf.DUMMYFUNCTION("""COMPUTED_VALUE"""),0.74)</f>
        <v>0.74</v>
      </c>
      <c r="F3363" s="2"/>
      <c r="G3363" s="2"/>
      <c r="H3363" s="2"/>
      <c r="I3363" s="2"/>
    </row>
    <row r="3364">
      <c r="A3364" s="2">
        <f>IFERROR(__xludf.DUMMYFUNCTION("""COMPUTED_VALUE"""),6204.0)</f>
        <v>6204</v>
      </c>
      <c r="B3364" s="2" t="str">
        <f>IFERROR(__xludf.DUMMYFUNCTION("""COMPUTED_VALUE"""),"History")</f>
        <v>History</v>
      </c>
      <c r="C3364" s="2" t="str">
        <f>IFERROR(__xludf.DUMMYFUNCTION("""COMPUTED_VALUE"""),"Corporate Law")</f>
        <v>Corporate Law</v>
      </c>
      <c r="D3364" s="2" t="str">
        <f>IFERROR(__xludf.DUMMYFUNCTION("""COMPUTED_VALUE"""),"Northgate Press")</f>
        <v>Northgate Press</v>
      </c>
      <c r="E3364" s="2">
        <f>IFERROR(__xludf.DUMMYFUNCTION("""COMPUTED_VALUE"""),12.82)</f>
        <v>12.82</v>
      </c>
      <c r="F3364" s="2"/>
      <c r="G3364" s="2"/>
      <c r="H3364" s="2"/>
      <c r="I3364" s="2"/>
    </row>
    <row r="3365">
      <c r="A3365" s="2">
        <f>IFERROR(__xludf.DUMMYFUNCTION("""COMPUTED_VALUE"""),16571.0)</f>
        <v>16571</v>
      </c>
      <c r="B3365" s="2" t="str">
        <f>IFERROR(__xludf.DUMMYFUNCTION("""COMPUTED_VALUE"""),"History")</f>
        <v>History</v>
      </c>
      <c r="C3365" s="2" t="str">
        <f>IFERROR(__xludf.DUMMYFUNCTION("""COMPUTED_VALUE"""),"Corporate Law")</f>
        <v>Corporate Law</v>
      </c>
      <c r="D3365" s="2" t="str">
        <f>IFERROR(__xludf.DUMMYFUNCTION("""COMPUTED_VALUE"""),"Northgate Press")</f>
        <v>Northgate Press</v>
      </c>
      <c r="E3365" s="2">
        <f>IFERROR(__xludf.DUMMYFUNCTION("""COMPUTED_VALUE"""),10.77)</f>
        <v>10.77</v>
      </c>
      <c r="F3365" s="2"/>
      <c r="G3365" s="2"/>
      <c r="H3365" s="2"/>
      <c r="I3365" s="2"/>
    </row>
    <row r="3366">
      <c r="A3366" s="2">
        <f>IFERROR(__xludf.DUMMYFUNCTION("""COMPUTED_VALUE"""),181494.0)</f>
        <v>181494</v>
      </c>
      <c r="B3366" s="2" t="str">
        <f>IFERROR(__xludf.DUMMYFUNCTION("""COMPUTED_VALUE"""),"History")</f>
        <v>History</v>
      </c>
      <c r="C3366" s="2" t="str">
        <f>IFERROR(__xludf.DUMMYFUNCTION("""COMPUTED_VALUE"""),"Corporate Law")</f>
        <v>Corporate Law</v>
      </c>
      <c r="D3366" s="2" t="str">
        <f>IFERROR(__xludf.DUMMYFUNCTION("""COMPUTED_VALUE"""),"Northgate Press")</f>
        <v>Northgate Press</v>
      </c>
      <c r="E3366" s="2">
        <f>IFERROR(__xludf.DUMMYFUNCTION("""COMPUTED_VALUE"""),2.41)</f>
        <v>2.41</v>
      </c>
      <c r="F3366" s="2"/>
      <c r="G3366" s="2"/>
      <c r="H3366" s="2"/>
      <c r="I3366" s="2"/>
    </row>
    <row r="3367">
      <c r="A3367" s="2">
        <f>IFERROR(__xludf.DUMMYFUNCTION("""COMPUTED_VALUE"""),80315.0)</f>
        <v>80315</v>
      </c>
      <c r="B3367" s="2" t="str">
        <f>IFERROR(__xludf.DUMMYFUNCTION("""COMPUTED_VALUE"""),"History")</f>
        <v>History</v>
      </c>
      <c r="C3367" s="2" t="str">
        <f>IFERROR(__xludf.DUMMYFUNCTION("""COMPUTED_VALUE"""),"Corporate Law")</f>
        <v>Corporate Law</v>
      </c>
      <c r="D3367" s="2" t="str">
        <f>IFERROR(__xludf.DUMMYFUNCTION("""COMPUTED_VALUE"""),"Northgate Press")</f>
        <v>Northgate Press</v>
      </c>
      <c r="E3367" s="2">
        <f>IFERROR(__xludf.DUMMYFUNCTION("""COMPUTED_VALUE"""),1.96)</f>
        <v>1.96</v>
      </c>
      <c r="F3367" s="2"/>
      <c r="G3367" s="2"/>
      <c r="H3367" s="2"/>
      <c r="I3367" s="2"/>
    </row>
    <row r="3368">
      <c r="A3368" s="2">
        <f>IFERROR(__xludf.DUMMYFUNCTION("""COMPUTED_VALUE"""),83054.0)</f>
        <v>83054</v>
      </c>
      <c r="B3368" s="2" t="str">
        <f>IFERROR(__xludf.DUMMYFUNCTION("""COMPUTED_VALUE"""),"History")</f>
        <v>History</v>
      </c>
      <c r="C3368" s="2" t="str">
        <f>IFERROR(__xludf.DUMMYFUNCTION("""COMPUTED_VALUE"""),"Corporate Law")</f>
        <v>Corporate Law</v>
      </c>
      <c r="D3368" s="2" t="str">
        <f>IFERROR(__xludf.DUMMYFUNCTION("""COMPUTED_VALUE"""),"Harborgate Publishing")</f>
        <v>Harborgate Publishing</v>
      </c>
      <c r="E3368" s="2">
        <f>IFERROR(__xludf.DUMMYFUNCTION("""COMPUTED_VALUE"""),1.52)</f>
        <v>1.52</v>
      </c>
      <c r="F3368" s="2"/>
      <c r="G3368" s="2"/>
      <c r="H3368" s="2"/>
      <c r="I3368" s="2"/>
    </row>
    <row r="3369">
      <c r="A3369" s="2">
        <f>IFERROR(__xludf.DUMMYFUNCTION("""COMPUTED_VALUE"""),83056.0)</f>
        <v>83056</v>
      </c>
      <c r="B3369" s="2" t="str">
        <f>IFERROR(__xludf.DUMMYFUNCTION("""COMPUTED_VALUE"""),"History")</f>
        <v>History</v>
      </c>
      <c r="C3369" s="2" t="str">
        <f>IFERROR(__xludf.DUMMYFUNCTION("""COMPUTED_VALUE"""),"Corporate Law")</f>
        <v>Corporate Law</v>
      </c>
      <c r="D3369" s="2" t="str">
        <f>IFERROR(__xludf.DUMMYFUNCTION("""COMPUTED_VALUE"""),"Harborgate Publishing")</f>
        <v>Harborgate Publishing</v>
      </c>
      <c r="E3369" s="2">
        <f>IFERROR(__xludf.DUMMYFUNCTION("""COMPUTED_VALUE"""),1.71)</f>
        <v>1.71</v>
      </c>
      <c r="F3369" s="2"/>
      <c r="G3369" s="2"/>
      <c r="H3369" s="2"/>
      <c r="I3369" s="2"/>
    </row>
    <row r="3370">
      <c r="A3370" s="2">
        <f>IFERROR(__xludf.DUMMYFUNCTION("""COMPUTED_VALUE"""),83055.0)</f>
        <v>83055</v>
      </c>
      <c r="B3370" s="2" t="str">
        <f>IFERROR(__xludf.DUMMYFUNCTION("""COMPUTED_VALUE"""),"History")</f>
        <v>History</v>
      </c>
      <c r="C3370" s="2" t="str">
        <f>IFERROR(__xludf.DUMMYFUNCTION("""COMPUTED_VALUE"""),"Corporate Law")</f>
        <v>Corporate Law</v>
      </c>
      <c r="D3370" s="2" t="str">
        <f>IFERROR(__xludf.DUMMYFUNCTION("""COMPUTED_VALUE"""),"Harborgate Publishing")</f>
        <v>Harborgate Publishing</v>
      </c>
      <c r="E3370" s="2">
        <f>IFERROR(__xludf.DUMMYFUNCTION("""COMPUTED_VALUE"""),1.45)</f>
        <v>1.45</v>
      </c>
      <c r="F3370" s="2"/>
      <c r="G3370" s="2"/>
      <c r="H3370" s="2"/>
      <c r="I3370" s="2"/>
    </row>
    <row r="3371">
      <c r="A3371" s="2">
        <f>IFERROR(__xludf.DUMMYFUNCTION("""COMPUTED_VALUE"""),46134.0)</f>
        <v>46134</v>
      </c>
      <c r="B3371" s="2" t="str">
        <f>IFERROR(__xludf.DUMMYFUNCTION("""COMPUTED_VALUE"""),"History")</f>
        <v>History</v>
      </c>
      <c r="C3371" s="2" t="str">
        <f>IFERROR(__xludf.DUMMYFUNCTION("""COMPUTED_VALUE"""),"Corporate Law")</f>
        <v>Corporate Law</v>
      </c>
      <c r="D3371" s="2" t="str">
        <f>IFERROR(__xludf.DUMMYFUNCTION("""COMPUTED_VALUE"""),"Harborgate Publishing")</f>
        <v>Harborgate Publishing</v>
      </c>
      <c r="E3371" s="2">
        <f>IFERROR(__xludf.DUMMYFUNCTION("""COMPUTED_VALUE"""),1.21)</f>
        <v>1.21</v>
      </c>
      <c r="F3371" s="2"/>
      <c r="G3371" s="2"/>
      <c r="H3371" s="2"/>
      <c r="I3371" s="2"/>
    </row>
    <row r="3372">
      <c r="A3372" s="2">
        <f>IFERROR(__xludf.DUMMYFUNCTION("""COMPUTED_VALUE"""),121693.0)</f>
        <v>121693</v>
      </c>
      <c r="B3372" s="2" t="str">
        <f>IFERROR(__xludf.DUMMYFUNCTION("""COMPUTED_VALUE"""),"History")</f>
        <v>History</v>
      </c>
      <c r="C3372" s="2" t="str">
        <f>IFERROR(__xludf.DUMMYFUNCTION("""COMPUTED_VALUE"""),"Corporate Law")</f>
        <v>Corporate Law</v>
      </c>
      <c r="D3372" s="2" t="str">
        <f>IFERROR(__xludf.DUMMYFUNCTION("""COMPUTED_VALUE"""),"Harborgate Publishing")</f>
        <v>Harborgate Publishing</v>
      </c>
      <c r="E3372" s="2">
        <f>IFERROR(__xludf.DUMMYFUNCTION("""COMPUTED_VALUE"""),1.55)</f>
        <v>1.55</v>
      </c>
      <c r="F3372" s="2"/>
      <c r="G3372" s="2"/>
      <c r="H3372" s="2"/>
      <c r="I3372" s="2"/>
    </row>
    <row r="3373">
      <c r="A3373" s="2">
        <f>IFERROR(__xludf.DUMMYFUNCTION("""COMPUTED_VALUE"""),102344.0)</f>
        <v>102344</v>
      </c>
      <c r="B3373" s="2" t="str">
        <f>IFERROR(__xludf.DUMMYFUNCTION("""COMPUTED_VALUE"""),"History")</f>
        <v>History</v>
      </c>
      <c r="C3373" s="2" t="str">
        <f>IFERROR(__xludf.DUMMYFUNCTION("""COMPUTED_VALUE"""),"Corporate Law")</f>
        <v>Corporate Law</v>
      </c>
      <c r="D3373" s="2" t="str">
        <f>IFERROR(__xludf.DUMMYFUNCTION("""COMPUTED_VALUE"""),"Cedargate Books")</f>
        <v>Cedargate Books</v>
      </c>
      <c r="E3373" s="2">
        <f>IFERROR(__xludf.DUMMYFUNCTION("""COMPUTED_VALUE"""),1.79)</f>
        <v>1.79</v>
      </c>
      <c r="F3373" s="2"/>
      <c r="G3373" s="2"/>
      <c r="H3373" s="2"/>
      <c r="I3373" s="2"/>
    </row>
    <row r="3374">
      <c r="A3374" s="2">
        <f>IFERROR(__xludf.DUMMYFUNCTION("""COMPUTED_VALUE"""),100687.0)</f>
        <v>100687</v>
      </c>
      <c r="B3374" s="2" t="str">
        <f>IFERROR(__xludf.DUMMYFUNCTION("""COMPUTED_VALUE"""),"History")</f>
        <v>History</v>
      </c>
      <c r="C3374" s="2" t="str">
        <f>IFERROR(__xludf.DUMMYFUNCTION("""COMPUTED_VALUE"""),"Corporate Law")</f>
        <v>Corporate Law</v>
      </c>
      <c r="D3374" s="2" t="str">
        <f>IFERROR(__xludf.DUMMYFUNCTION("""COMPUTED_VALUE"""),"Cedargate Books")</f>
        <v>Cedargate Books</v>
      </c>
      <c r="E3374" s="2">
        <f>IFERROR(__xludf.DUMMYFUNCTION("""COMPUTED_VALUE"""),0.91)</f>
        <v>0.91</v>
      </c>
      <c r="F3374" s="2"/>
      <c r="G3374" s="2"/>
      <c r="H3374" s="2"/>
      <c r="I3374" s="2"/>
    </row>
    <row r="3375">
      <c r="A3375" s="2">
        <f>IFERROR(__xludf.DUMMYFUNCTION("""COMPUTED_VALUE"""),70327.0)</f>
        <v>70327</v>
      </c>
      <c r="B3375" s="2" t="str">
        <f>IFERROR(__xludf.DUMMYFUNCTION("""COMPUTED_VALUE"""),"History")</f>
        <v>History</v>
      </c>
      <c r="C3375" s="2" t="str">
        <f>IFERROR(__xludf.DUMMYFUNCTION("""COMPUTED_VALUE"""),"Corporate Law")</f>
        <v>Corporate Law</v>
      </c>
      <c r="D3375" s="2" t="str">
        <f>IFERROR(__xludf.DUMMYFUNCTION("""COMPUTED_VALUE"""),"Cedargate Books")</f>
        <v>Cedargate Books</v>
      </c>
      <c r="E3375" s="2">
        <f>IFERROR(__xludf.DUMMYFUNCTION("""COMPUTED_VALUE"""),1.74)</f>
        <v>1.74</v>
      </c>
      <c r="F3375" s="2"/>
      <c r="G3375" s="2"/>
      <c r="H3375" s="2"/>
      <c r="I3375" s="2"/>
    </row>
    <row r="3376">
      <c r="A3376" s="2">
        <f>IFERROR(__xludf.DUMMYFUNCTION("""COMPUTED_VALUE"""),80191.0)</f>
        <v>80191</v>
      </c>
      <c r="B3376" s="2" t="str">
        <f>IFERROR(__xludf.DUMMYFUNCTION("""COMPUTED_VALUE"""),"History")</f>
        <v>History</v>
      </c>
      <c r="C3376" s="2" t="str">
        <f>IFERROR(__xludf.DUMMYFUNCTION("""COMPUTED_VALUE"""),"Corporate Law")</f>
        <v>Corporate Law</v>
      </c>
      <c r="D3376" s="2" t="str">
        <f>IFERROR(__xludf.DUMMYFUNCTION("""COMPUTED_VALUE"""),"Cedargate Books")</f>
        <v>Cedargate Books</v>
      </c>
      <c r="E3376" s="2">
        <f>IFERROR(__xludf.DUMMYFUNCTION("""COMPUTED_VALUE"""),2.06)</f>
        <v>2.06</v>
      </c>
      <c r="F3376" s="2"/>
      <c r="G3376" s="2"/>
      <c r="H3376" s="2"/>
      <c r="I3376" s="2"/>
    </row>
    <row r="3377">
      <c r="A3377" s="2">
        <f>IFERROR(__xludf.DUMMYFUNCTION("""COMPUTED_VALUE"""),103037.0)</f>
        <v>103037</v>
      </c>
      <c r="B3377" s="2" t="str">
        <f>IFERROR(__xludf.DUMMYFUNCTION("""COMPUTED_VALUE"""),"History")</f>
        <v>History</v>
      </c>
      <c r="C3377" s="2" t="str">
        <f>IFERROR(__xludf.DUMMYFUNCTION("""COMPUTED_VALUE"""),"Corporate Law")</f>
        <v>Corporate Law</v>
      </c>
      <c r="D3377" s="2" t="str">
        <f>IFERROR(__xludf.DUMMYFUNCTION("""COMPUTED_VALUE"""),"Cedargate Books")</f>
        <v>Cedargate Books</v>
      </c>
      <c r="E3377" s="2">
        <f>IFERROR(__xludf.DUMMYFUNCTION("""COMPUTED_VALUE"""),2.22)</f>
        <v>2.22</v>
      </c>
      <c r="F3377" s="2"/>
      <c r="G3377" s="2"/>
      <c r="H3377" s="2"/>
      <c r="I3377" s="2"/>
    </row>
    <row r="3378">
      <c r="A3378" s="2">
        <f>IFERROR(__xludf.DUMMYFUNCTION("""COMPUTED_VALUE"""),6205.0)</f>
        <v>6205</v>
      </c>
      <c r="B3378" s="2" t="str">
        <f>IFERROR(__xludf.DUMMYFUNCTION("""COMPUTED_VALUE"""),"History")</f>
        <v>History</v>
      </c>
      <c r="C3378" s="2" t="str">
        <f>IFERROR(__xludf.DUMMYFUNCTION("""COMPUTED_VALUE"""),"Corporate Law")</f>
        <v>Corporate Law</v>
      </c>
      <c r="D3378" s="2" t="str">
        <f>IFERROR(__xludf.DUMMYFUNCTION("""COMPUTED_VALUE"""),"Brightgate Press")</f>
        <v>Brightgate Press</v>
      </c>
      <c r="E3378" s="2">
        <f>IFERROR(__xludf.DUMMYFUNCTION("""COMPUTED_VALUE"""),12.79)</f>
        <v>12.79</v>
      </c>
      <c r="F3378" s="2"/>
      <c r="G3378" s="2"/>
      <c r="H3378" s="2"/>
      <c r="I3378" s="2"/>
    </row>
    <row r="3379">
      <c r="A3379" s="2">
        <f>IFERROR(__xludf.DUMMYFUNCTION("""COMPUTED_VALUE"""),70387.0)</f>
        <v>70387</v>
      </c>
      <c r="B3379" s="2" t="str">
        <f>IFERROR(__xludf.DUMMYFUNCTION("""COMPUTED_VALUE"""),"History")</f>
        <v>History</v>
      </c>
      <c r="C3379" s="2" t="str">
        <f>IFERROR(__xludf.DUMMYFUNCTION("""COMPUTED_VALUE"""),"Corporate Law")</f>
        <v>Corporate Law</v>
      </c>
      <c r="D3379" s="2" t="str">
        <f>IFERROR(__xludf.DUMMYFUNCTION("""COMPUTED_VALUE"""),"Brightgate Press")</f>
        <v>Brightgate Press</v>
      </c>
      <c r="E3379" s="2">
        <f>IFERROR(__xludf.DUMMYFUNCTION("""COMPUTED_VALUE"""),11.19)</f>
        <v>11.19</v>
      </c>
      <c r="F3379" s="2"/>
      <c r="G3379" s="2"/>
      <c r="H3379" s="2"/>
      <c r="I3379" s="2"/>
    </row>
    <row r="3380">
      <c r="A3380" s="2">
        <f>IFERROR(__xludf.DUMMYFUNCTION("""COMPUTED_VALUE"""),122278.0)</f>
        <v>122278</v>
      </c>
      <c r="B3380" s="2" t="str">
        <f>IFERROR(__xludf.DUMMYFUNCTION("""COMPUTED_VALUE"""),"Arts")</f>
        <v>Arts</v>
      </c>
      <c r="C3380" s="2" t="str">
        <f>IFERROR(__xludf.DUMMYFUNCTION("""COMPUTED_VALUE"""),"International Law")</f>
        <v>International Law</v>
      </c>
      <c r="D3380" s="2" t="str">
        <f>IFERROR(__xludf.DUMMYFUNCTION("""COMPUTED_VALUE"""),"Oakgate Publishing")</f>
        <v>Oakgate Publishing</v>
      </c>
      <c r="E3380" s="2">
        <f>IFERROR(__xludf.DUMMYFUNCTION("""COMPUTED_VALUE"""),1.54)</f>
        <v>1.54</v>
      </c>
      <c r="F3380" s="2"/>
      <c r="G3380" s="2"/>
      <c r="H3380" s="2"/>
      <c r="I3380" s="2"/>
    </row>
    <row r="3381">
      <c r="A3381" s="2">
        <f>IFERROR(__xludf.DUMMYFUNCTION("""COMPUTED_VALUE"""),29365.0)</f>
        <v>29365</v>
      </c>
      <c r="B3381" s="2" t="str">
        <f>IFERROR(__xludf.DUMMYFUNCTION("""COMPUTED_VALUE"""),"Arts")</f>
        <v>Arts</v>
      </c>
      <c r="C3381" s="2" t="str">
        <f>IFERROR(__xludf.DUMMYFUNCTION("""COMPUTED_VALUE"""),"International Law")</f>
        <v>International Law</v>
      </c>
      <c r="D3381" s="2" t="str">
        <f>IFERROR(__xludf.DUMMYFUNCTION("""COMPUTED_VALUE"""),"Oakgate Publishing")</f>
        <v>Oakgate Publishing</v>
      </c>
      <c r="E3381" s="2">
        <f>IFERROR(__xludf.DUMMYFUNCTION("""COMPUTED_VALUE"""),0.46)</f>
        <v>0.46</v>
      </c>
      <c r="F3381" s="2"/>
      <c r="G3381" s="2"/>
      <c r="H3381" s="2"/>
      <c r="I3381" s="2"/>
    </row>
    <row r="3382">
      <c r="A3382" s="2">
        <f>IFERROR(__xludf.DUMMYFUNCTION("""COMPUTED_VALUE"""),17769.0)</f>
        <v>17769</v>
      </c>
      <c r="B3382" s="2" t="str">
        <f>IFERROR(__xludf.DUMMYFUNCTION("""COMPUTED_VALUE"""),"Arts")</f>
        <v>Arts</v>
      </c>
      <c r="C3382" s="2" t="str">
        <f>IFERROR(__xludf.DUMMYFUNCTION("""COMPUTED_VALUE"""),"International Law")</f>
        <v>International Law</v>
      </c>
      <c r="D3382" s="2" t="str">
        <f>IFERROR(__xludf.DUMMYFUNCTION("""COMPUTED_VALUE"""),"Oakgate Publishing")</f>
        <v>Oakgate Publishing</v>
      </c>
      <c r="E3382" s="2">
        <f>IFERROR(__xludf.DUMMYFUNCTION("""COMPUTED_VALUE"""),0.86)</f>
        <v>0.86</v>
      </c>
      <c r="F3382" s="2"/>
      <c r="G3382" s="2"/>
      <c r="H3382" s="2"/>
      <c r="I3382" s="2"/>
    </row>
    <row r="3383">
      <c r="A3383" s="2">
        <f>IFERROR(__xludf.DUMMYFUNCTION("""COMPUTED_VALUE"""),23144.0)</f>
        <v>23144</v>
      </c>
      <c r="B3383" s="2" t="str">
        <f>IFERROR(__xludf.DUMMYFUNCTION("""COMPUTED_VALUE"""),"Arts")</f>
        <v>Arts</v>
      </c>
      <c r="C3383" s="2" t="str">
        <f>IFERROR(__xludf.DUMMYFUNCTION("""COMPUTED_VALUE"""),"International Law")</f>
        <v>International Law</v>
      </c>
      <c r="D3383" s="2" t="str">
        <f>IFERROR(__xludf.DUMMYFUNCTION("""COMPUTED_VALUE"""),"Oakgate Publishing")</f>
        <v>Oakgate Publishing</v>
      </c>
      <c r="E3383" s="2">
        <f>IFERROR(__xludf.DUMMYFUNCTION("""COMPUTED_VALUE"""),1.29)</f>
        <v>1.29</v>
      </c>
      <c r="F3383" s="2"/>
      <c r="G3383" s="2"/>
      <c r="H3383" s="2"/>
      <c r="I3383" s="2"/>
    </row>
    <row r="3384">
      <c r="A3384" s="2">
        <f>IFERROR(__xludf.DUMMYFUNCTION("""COMPUTED_VALUE"""),120115.0)</f>
        <v>120115</v>
      </c>
      <c r="B3384" s="2" t="str">
        <f>IFERROR(__xludf.DUMMYFUNCTION("""COMPUTED_VALUE"""),"Arts")</f>
        <v>Arts</v>
      </c>
      <c r="C3384" s="2" t="str">
        <f>IFERROR(__xludf.DUMMYFUNCTION("""COMPUTED_VALUE"""),"International Law")</f>
        <v>International Law</v>
      </c>
      <c r="D3384" s="2" t="str">
        <f>IFERROR(__xludf.DUMMYFUNCTION("""COMPUTED_VALUE"""),"Oakgate Publishing")</f>
        <v>Oakgate Publishing</v>
      </c>
      <c r="E3384" s="2">
        <f>IFERROR(__xludf.DUMMYFUNCTION("""COMPUTED_VALUE"""),1.57)</f>
        <v>1.57</v>
      </c>
      <c r="F3384" s="2"/>
      <c r="G3384" s="2"/>
      <c r="H3384" s="2"/>
      <c r="I3384" s="2"/>
    </row>
    <row r="3385">
      <c r="A3385" s="2">
        <f>IFERROR(__xludf.DUMMYFUNCTION("""COMPUTED_VALUE"""),29384.0)</f>
        <v>29384</v>
      </c>
      <c r="B3385" s="2" t="str">
        <f>IFERROR(__xludf.DUMMYFUNCTION("""COMPUTED_VALUE"""),"Arts")</f>
        <v>Arts</v>
      </c>
      <c r="C3385" s="2" t="str">
        <f>IFERROR(__xludf.DUMMYFUNCTION("""COMPUTED_VALUE"""),"International Law")</f>
        <v>International Law</v>
      </c>
      <c r="D3385" s="2" t="str">
        <f>IFERROR(__xludf.DUMMYFUNCTION("""COMPUTED_VALUE"""),"Oakgate Publishing")</f>
        <v>Oakgate Publishing</v>
      </c>
      <c r="E3385" s="2">
        <f>IFERROR(__xludf.DUMMYFUNCTION("""COMPUTED_VALUE"""),0.81)</f>
        <v>0.81</v>
      </c>
      <c r="F3385" s="2"/>
      <c r="G3385" s="2"/>
      <c r="H3385" s="2"/>
      <c r="I3385" s="2"/>
    </row>
    <row r="3386">
      <c r="A3386" s="2">
        <f>IFERROR(__xludf.DUMMYFUNCTION("""COMPUTED_VALUE"""),17746.0)</f>
        <v>17746</v>
      </c>
      <c r="B3386" s="2" t="str">
        <f>IFERROR(__xludf.DUMMYFUNCTION("""COMPUTED_VALUE"""),"Arts")</f>
        <v>Arts</v>
      </c>
      <c r="C3386" s="2" t="str">
        <f>IFERROR(__xludf.DUMMYFUNCTION("""COMPUTED_VALUE"""),"International Law")</f>
        <v>International Law</v>
      </c>
      <c r="D3386" s="2" t="str">
        <f>IFERROR(__xludf.DUMMYFUNCTION("""COMPUTED_VALUE"""),"Oakgate Publishing")</f>
        <v>Oakgate Publishing</v>
      </c>
      <c r="E3386" s="2">
        <f>IFERROR(__xludf.DUMMYFUNCTION("""COMPUTED_VALUE"""),1.64)</f>
        <v>1.64</v>
      </c>
      <c r="F3386" s="2"/>
      <c r="G3386" s="2"/>
      <c r="H3386" s="2"/>
      <c r="I3386" s="2"/>
    </row>
    <row r="3387">
      <c r="A3387" s="2">
        <f>IFERROR(__xludf.DUMMYFUNCTION("""COMPUTED_VALUE"""),121630.0)</f>
        <v>121630</v>
      </c>
      <c r="B3387" s="2" t="str">
        <f>IFERROR(__xludf.DUMMYFUNCTION("""COMPUTED_VALUE"""),"Arts")</f>
        <v>Arts</v>
      </c>
      <c r="C3387" s="2" t="str">
        <f>IFERROR(__xludf.DUMMYFUNCTION("""COMPUTED_VALUE"""),"International Law")</f>
        <v>International Law</v>
      </c>
      <c r="D3387" s="2" t="str">
        <f>IFERROR(__xludf.DUMMYFUNCTION("""COMPUTED_VALUE"""),"Oakgate Publishing")</f>
        <v>Oakgate Publishing</v>
      </c>
      <c r="E3387" s="2">
        <f>IFERROR(__xludf.DUMMYFUNCTION("""COMPUTED_VALUE"""),1.55)</f>
        <v>1.55</v>
      </c>
      <c r="F3387" s="2"/>
      <c r="G3387" s="2"/>
      <c r="H3387" s="2"/>
      <c r="I3387" s="2"/>
    </row>
    <row r="3388">
      <c r="A3388" s="2">
        <f>IFERROR(__xludf.DUMMYFUNCTION("""COMPUTED_VALUE"""),29385.0)</f>
        <v>29385</v>
      </c>
      <c r="B3388" s="2" t="str">
        <f>IFERROR(__xludf.DUMMYFUNCTION("""COMPUTED_VALUE"""),"Arts")</f>
        <v>Arts</v>
      </c>
      <c r="C3388" s="2" t="str">
        <f>IFERROR(__xludf.DUMMYFUNCTION("""COMPUTED_VALUE"""),"International Law")</f>
        <v>International Law</v>
      </c>
      <c r="D3388" s="2" t="str">
        <f>IFERROR(__xludf.DUMMYFUNCTION("""COMPUTED_VALUE"""),"Oakgate Publishing")</f>
        <v>Oakgate Publishing</v>
      </c>
      <c r="E3388" s="2">
        <f>IFERROR(__xludf.DUMMYFUNCTION("""COMPUTED_VALUE"""),0.82)</f>
        <v>0.82</v>
      </c>
      <c r="F3388" s="2"/>
      <c r="G3388" s="2"/>
      <c r="H3388" s="2"/>
      <c r="I3388" s="2"/>
    </row>
    <row r="3389">
      <c r="A3389" s="2">
        <f>IFERROR(__xludf.DUMMYFUNCTION("""COMPUTED_VALUE"""),17767.0)</f>
        <v>17767</v>
      </c>
      <c r="B3389" s="2" t="str">
        <f>IFERROR(__xludf.DUMMYFUNCTION("""COMPUTED_VALUE"""),"Arts")</f>
        <v>Arts</v>
      </c>
      <c r="C3389" s="2" t="str">
        <f>IFERROR(__xludf.DUMMYFUNCTION("""COMPUTED_VALUE"""),"International Law")</f>
        <v>International Law</v>
      </c>
      <c r="D3389" s="2" t="str">
        <f>IFERROR(__xludf.DUMMYFUNCTION("""COMPUTED_VALUE"""),"Oakgate Publishing")</f>
        <v>Oakgate Publishing</v>
      </c>
      <c r="E3389" s="2">
        <f>IFERROR(__xludf.DUMMYFUNCTION("""COMPUTED_VALUE"""),1.08)</f>
        <v>1.08</v>
      </c>
      <c r="F3389" s="2"/>
      <c r="G3389" s="2"/>
      <c r="H3389" s="2"/>
      <c r="I3389" s="2"/>
    </row>
    <row r="3390">
      <c r="A3390" s="2">
        <f>IFERROR(__xludf.DUMMYFUNCTION("""COMPUTED_VALUE"""),103047.0)</f>
        <v>103047</v>
      </c>
      <c r="B3390" s="2" t="str">
        <f>IFERROR(__xludf.DUMMYFUNCTION("""COMPUTED_VALUE"""),"Arts")</f>
        <v>Arts</v>
      </c>
      <c r="C3390" s="2" t="str">
        <f>IFERROR(__xludf.DUMMYFUNCTION("""COMPUTED_VALUE"""),"International Law")</f>
        <v>International Law</v>
      </c>
      <c r="D3390" s="2" t="str">
        <f>IFERROR(__xludf.DUMMYFUNCTION("""COMPUTED_VALUE"""),"Oakgate Publishing")</f>
        <v>Oakgate Publishing</v>
      </c>
      <c r="E3390" s="2">
        <f>IFERROR(__xludf.DUMMYFUNCTION("""COMPUTED_VALUE"""),1.73)</f>
        <v>1.73</v>
      </c>
      <c r="F3390" s="2"/>
      <c r="G3390" s="2"/>
      <c r="H3390" s="2"/>
      <c r="I3390" s="2"/>
    </row>
    <row r="3391">
      <c r="A3391" s="2">
        <f>IFERROR(__xludf.DUMMYFUNCTION("""COMPUTED_VALUE"""),70209.0)</f>
        <v>70209</v>
      </c>
      <c r="B3391" s="2" t="str">
        <f>IFERROR(__xludf.DUMMYFUNCTION("""COMPUTED_VALUE"""),"Arts")</f>
        <v>Arts</v>
      </c>
      <c r="C3391" s="2" t="str">
        <f>IFERROR(__xludf.DUMMYFUNCTION("""COMPUTED_VALUE"""),"International Law")</f>
        <v>International Law</v>
      </c>
      <c r="D3391" s="2" t="str">
        <f>IFERROR(__xludf.DUMMYFUNCTION("""COMPUTED_VALUE"""),"Oakgate Publishing")</f>
        <v>Oakgate Publishing</v>
      </c>
      <c r="E3391" s="2">
        <f>IFERROR(__xludf.DUMMYFUNCTION("""COMPUTED_VALUE"""),1.7)</f>
        <v>1.7</v>
      </c>
      <c r="F3391" s="2"/>
      <c r="G3391" s="2"/>
      <c r="H3391" s="2"/>
      <c r="I3391" s="2"/>
    </row>
    <row r="3392">
      <c r="A3392" s="2">
        <f>IFERROR(__xludf.DUMMYFUNCTION("""COMPUTED_VALUE"""),29372.0)</f>
        <v>29372</v>
      </c>
      <c r="B3392" s="2" t="str">
        <f>IFERROR(__xludf.DUMMYFUNCTION("""COMPUTED_VALUE"""),"Arts")</f>
        <v>Arts</v>
      </c>
      <c r="C3392" s="2" t="str">
        <f>IFERROR(__xludf.DUMMYFUNCTION("""COMPUTED_VALUE"""),"International Law")</f>
        <v>International Law</v>
      </c>
      <c r="D3392" s="2" t="str">
        <f>IFERROR(__xludf.DUMMYFUNCTION("""COMPUTED_VALUE"""),"Oakgate Publishing")</f>
        <v>Oakgate Publishing</v>
      </c>
      <c r="E3392" s="2">
        <f>IFERROR(__xludf.DUMMYFUNCTION("""COMPUTED_VALUE"""),0.66)</f>
        <v>0.66</v>
      </c>
      <c r="F3392" s="2"/>
      <c r="G3392" s="2"/>
      <c r="H3392" s="2"/>
      <c r="I3392" s="2"/>
    </row>
    <row r="3393">
      <c r="A3393" s="2">
        <f>IFERROR(__xludf.DUMMYFUNCTION("""COMPUTED_VALUE"""),120485.0)</f>
        <v>120485</v>
      </c>
      <c r="B3393" s="2" t="str">
        <f>IFERROR(__xludf.DUMMYFUNCTION("""COMPUTED_VALUE"""),"Arts")</f>
        <v>Arts</v>
      </c>
      <c r="C3393" s="2" t="str">
        <f>IFERROR(__xludf.DUMMYFUNCTION("""COMPUTED_VALUE"""),"International Law")</f>
        <v>International Law</v>
      </c>
      <c r="D3393" s="2" t="str">
        <f>IFERROR(__xludf.DUMMYFUNCTION("""COMPUTED_VALUE"""),"Oakgate Publishing")</f>
        <v>Oakgate Publishing</v>
      </c>
      <c r="E3393" s="2">
        <f>IFERROR(__xludf.DUMMYFUNCTION("""COMPUTED_VALUE"""),1.96)</f>
        <v>1.96</v>
      </c>
      <c r="F3393" s="2"/>
      <c r="G3393" s="2"/>
      <c r="H3393" s="2"/>
      <c r="I3393" s="2"/>
    </row>
    <row r="3394">
      <c r="A3394" s="2">
        <f>IFERROR(__xludf.DUMMYFUNCTION("""COMPUTED_VALUE"""),120486.0)</f>
        <v>120486</v>
      </c>
      <c r="B3394" s="2" t="str">
        <f>IFERROR(__xludf.DUMMYFUNCTION("""COMPUTED_VALUE"""),"Arts")</f>
        <v>Arts</v>
      </c>
      <c r="C3394" s="2" t="str">
        <f>IFERROR(__xludf.DUMMYFUNCTION("""COMPUTED_VALUE"""),"International Law")</f>
        <v>International Law</v>
      </c>
      <c r="D3394" s="2" t="str">
        <f>IFERROR(__xludf.DUMMYFUNCTION("""COMPUTED_VALUE"""),"Oakgate Publishing")</f>
        <v>Oakgate Publishing</v>
      </c>
      <c r="E3394" s="2">
        <f>IFERROR(__xludf.DUMMYFUNCTION("""COMPUTED_VALUE"""),1.55)</f>
        <v>1.55</v>
      </c>
      <c r="F3394" s="2"/>
      <c r="G3394" s="2"/>
      <c r="H3394" s="2"/>
      <c r="I3394" s="2"/>
    </row>
    <row r="3395">
      <c r="A3395" s="2">
        <f>IFERROR(__xludf.DUMMYFUNCTION("""COMPUTED_VALUE"""),70293.0)</f>
        <v>70293</v>
      </c>
      <c r="B3395" s="2" t="str">
        <f>IFERROR(__xludf.DUMMYFUNCTION("""COMPUTED_VALUE"""),"Arts")</f>
        <v>Arts</v>
      </c>
      <c r="C3395" s="2" t="str">
        <f>IFERROR(__xludf.DUMMYFUNCTION("""COMPUTED_VALUE"""),"International Law")</f>
        <v>International Law</v>
      </c>
      <c r="D3395" s="2" t="str">
        <f>IFERROR(__xludf.DUMMYFUNCTION("""COMPUTED_VALUE"""),"Rivergate Books")</f>
        <v>Rivergate Books</v>
      </c>
      <c r="E3395" s="2">
        <f>IFERROR(__xludf.DUMMYFUNCTION("""COMPUTED_VALUE"""),5.34)</f>
        <v>5.34</v>
      </c>
      <c r="F3395" s="2"/>
      <c r="G3395" s="2"/>
      <c r="H3395" s="2"/>
      <c r="I3395" s="2"/>
    </row>
    <row r="3396">
      <c r="A3396" s="2">
        <f>IFERROR(__xludf.DUMMYFUNCTION("""COMPUTED_VALUE"""),71772.0)</f>
        <v>71772</v>
      </c>
      <c r="B3396" s="2" t="str">
        <f>IFERROR(__xludf.DUMMYFUNCTION("""COMPUTED_VALUE"""),"Arts")</f>
        <v>Arts</v>
      </c>
      <c r="C3396" s="2" t="str">
        <f>IFERROR(__xludf.DUMMYFUNCTION("""COMPUTED_VALUE"""),"International Law")</f>
        <v>International Law</v>
      </c>
      <c r="D3396" s="2" t="str">
        <f>IFERROR(__xludf.DUMMYFUNCTION("""COMPUTED_VALUE"""),"Rivergate Books")</f>
        <v>Rivergate Books</v>
      </c>
      <c r="E3396" s="2">
        <f>IFERROR(__xludf.DUMMYFUNCTION("""COMPUTED_VALUE"""),4.68)</f>
        <v>4.68</v>
      </c>
      <c r="F3396" s="2"/>
      <c r="G3396" s="2"/>
      <c r="H3396" s="2"/>
      <c r="I3396" s="2"/>
    </row>
    <row r="3397">
      <c r="A3397" s="2">
        <f>IFERROR(__xludf.DUMMYFUNCTION("""COMPUTED_VALUE"""),86111.0)</f>
        <v>86111</v>
      </c>
      <c r="B3397" s="2" t="str">
        <f>IFERROR(__xludf.DUMMYFUNCTION("""COMPUTED_VALUE"""),"Arts")</f>
        <v>Arts</v>
      </c>
      <c r="C3397" s="2" t="str">
        <f>IFERROR(__xludf.DUMMYFUNCTION("""COMPUTED_VALUE"""),"International Law")</f>
        <v>International Law</v>
      </c>
      <c r="D3397" s="2" t="str">
        <f>IFERROR(__xludf.DUMMYFUNCTION("""COMPUTED_VALUE"""),"Rivergate Books")</f>
        <v>Rivergate Books</v>
      </c>
      <c r="E3397" s="2">
        <f>IFERROR(__xludf.DUMMYFUNCTION("""COMPUTED_VALUE"""),2.02)</f>
        <v>2.02</v>
      </c>
      <c r="F3397" s="2"/>
      <c r="G3397" s="2"/>
      <c r="H3397" s="2"/>
      <c r="I3397" s="2"/>
    </row>
    <row r="3398">
      <c r="A3398" s="2">
        <f>IFERROR(__xludf.DUMMYFUNCTION("""COMPUTED_VALUE"""),71840.0)</f>
        <v>71840</v>
      </c>
      <c r="B3398" s="2" t="str">
        <f>IFERROR(__xludf.DUMMYFUNCTION("""COMPUTED_VALUE"""),"Arts")</f>
        <v>Arts</v>
      </c>
      <c r="C3398" s="2" t="str">
        <f>IFERROR(__xludf.DUMMYFUNCTION("""COMPUTED_VALUE"""),"International Law")</f>
        <v>International Law</v>
      </c>
      <c r="D3398" s="2" t="str">
        <f>IFERROR(__xludf.DUMMYFUNCTION("""COMPUTED_VALUE"""),"Rivergate Books")</f>
        <v>Rivergate Books</v>
      </c>
      <c r="E3398" s="2">
        <f>IFERROR(__xludf.DUMMYFUNCTION("""COMPUTED_VALUE"""),2.56)</f>
        <v>2.56</v>
      </c>
      <c r="F3398" s="2"/>
      <c r="G3398" s="2"/>
      <c r="H3398" s="2"/>
      <c r="I3398" s="2"/>
    </row>
    <row r="3399">
      <c r="A3399" s="2">
        <f>IFERROR(__xludf.DUMMYFUNCTION("""COMPUTED_VALUE"""),28533.0)</f>
        <v>28533</v>
      </c>
      <c r="B3399" s="2" t="str">
        <f>IFERROR(__xludf.DUMMYFUNCTION("""COMPUTED_VALUE"""),"Arts")</f>
        <v>Arts</v>
      </c>
      <c r="C3399" s="2" t="str">
        <f>IFERROR(__xludf.DUMMYFUNCTION("""COMPUTED_VALUE"""),"International Law")</f>
        <v>International Law</v>
      </c>
      <c r="D3399" s="2" t="str">
        <f>IFERROR(__xludf.DUMMYFUNCTION("""COMPUTED_VALUE"""),"Rivergate Books")</f>
        <v>Rivergate Books</v>
      </c>
      <c r="E3399" s="2">
        <f>IFERROR(__xludf.DUMMYFUNCTION("""COMPUTED_VALUE"""),5.55)</f>
        <v>5.55</v>
      </c>
      <c r="F3399" s="2"/>
      <c r="G3399" s="2"/>
      <c r="H3399" s="2"/>
      <c r="I3399" s="2"/>
    </row>
    <row r="3400">
      <c r="A3400" s="2">
        <f>IFERROR(__xludf.DUMMYFUNCTION("""COMPUTED_VALUE"""),86994.0)</f>
        <v>86994</v>
      </c>
      <c r="B3400" s="2" t="str">
        <f>IFERROR(__xludf.DUMMYFUNCTION("""COMPUTED_VALUE"""),"Arts")</f>
        <v>Arts</v>
      </c>
      <c r="C3400" s="2" t="str">
        <f>IFERROR(__xludf.DUMMYFUNCTION("""COMPUTED_VALUE"""),"International Law")</f>
        <v>International Law</v>
      </c>
      <c r="D3400" s="2" t="str">
        <f>IFERROR(__xludf.DUMMYFUNCTION("""COMPUTED_VALUE"""),"Rivergate Books")</f>
        <v>Rivergate Books</v>
      </c>
      <c r="E3400" s="2">
        <f>IFERROR(__xludf.DUMMYFUNCTION("""COMPUTED_VALUE"""),2.22)</f>
        <v>2.22</v>
      </c>
      <c r="F3400" s="2"/>
      <c r="G3400" s="2"/>
      <c r="H3400" s="2"/>
      <c r="I3400" s="2"/>
    </row>
    <row r="3401">
      <c r="A3401" s="2">
        <f>IFERROR(__xludf.DUMMYFUNCTION("""COMPUTED_VALUE"""),124881.0)</f>
        <v>124881</v>
      </c>
      <c r="B3401" s="2" t="str">
        <f>IFERROR(__xludf.DUMMYFUNCTION("""COMPUTED_VALUE"""),"Arts")</f>
        <v>Arts</v>
      </c>
      <c r="C3401" s="2" t="str">
        <f>IFERROR(__xludf.DUMMYFUNCTION("""COMPUTED_VALUE"""),"International Law")</f>
        <v>International Law</v>
      </c>
      <c r="D3401" s="2" t="str">
        <f>IFERROR(__xludf.DUMMYFUNCTION("""COMPUTED_VALUE"""),"Rivergate Books")</f>
        <v>Rivergate Books</v>
      </c>
      <c r="E3401" s="2">
        <f>IFERROR(__xludf.DUMMYFUNCTION("""COMPUTED_VALUE"""),7.34)</f>
        <v>7.34</v>
      </c>
      <c r="F3401" s="2"/>
      <c r="G3401" s="2"/>
      <c r="H3401" s="2"/>
      <c r="I3401" s="2"/>
    </row>
    <row r="3402">
      <c r="A3402" s="2">
        <f>IFERROR(__xludf.DUMMYFUNCTION("""COMPUTED_VALUE"""),119280.0)</f>
        <v>119280</v>
      </c>
      <c r="B3402" s="2" t="str">
        <f>IFERROR(__xludf.DUMMYFUNCTION("""COMPUTED_VALUE"""),"Arts")</f>
        <v>Arts</v>
      </c>
      <c r="C3402" s="2" t="str">
        <f>IFERROR(__xludf.DUMMYFUNCTION("""COMPUTED_VALUE"""),"International Law")</f>
        <v>International Law</v>
      </c>
      <c r="D3402" s="2" t="str">
        <f>IFERROR(__xludf.DUMMYFUNCTION("""COMPUTED_VALUE"""),"Rivergate Books")</f>
        <v>Rivergate Books</v>
      </c>
      <c r="E3402" s="2">
        <f>IFERROR(__xludf.DUMMYFUNCTION("""COMPUTED_VALUE"""),3.02)</f>
        <v>3.02</v>
      </c>
      <c r="F3402" s="2"/>
      <c r="G3402" s="2"/>
      <c r="H3402" s="2"/>
      <c r="I3402" s="2"/>
    </row>
    <row r="3403">
      <c r="A3403" s="2">
        <f>IFERROR(__xludf.DUMMYFUNCTION("""COMPUTED_VALUE"""),87001.0)</f>
        <v>87001</v>
      </c>
      <c r="B3403" s="2" t="str">
        <f>IFERROR(__xludf.DUMMYFUNCTION("""COMPUTED_VALUE"""),"Arts")</f>
        <v>Arts</v>
      </c>
      <c r="C3403" s="2" t="str">
        <f>IFERROR(__xludf.DUMMYFUNCTION("""COMPUTED_VALUE"""),"International Law")</f>
        <v>International Law</v>
      </c>
      <c r="D3403" s="2" t="str">
        <f>IFERROR(__xludf.DUMMYFUNCTION("""COMPUTED_VALUE"""),"Rivergate Books")</f>
        <v>Rivergate Books</v>
      </c>
      <c r="E3403" s="2">
        <f>IFERROR(__xludf.DUMMYFUNCTION("""COMPUTED_VALUE"""),2.1)</f>
        <v>2.1</v>
      </c>
      <c r="F3403" s="2"/>
      <c r="G3403" s="2"/>
      <c r="H3403" s="2"/>
      <c r="I3403" s="2"/>
    </row>
    <row r="3404">
      <c r="A3404" s="2">
        <f>IFERROR(__xludf.DUMMYFUNCTION("""COMPUTED_VALUE"""),71839.0)</f>
        <v>71839</v>
      </c>
      <c r="B3404" s="2" t="str">
        <f>IFERROR(__xludf.DUMMYFUNCTION("""COMPUTED_VALUE"""),"Arts")</f>
        <v>Arts</v>
      </c>
      <c r="C3404" s="2" t="str">
        <f>IFERROR(__xludf.DUMMYFUNCTION("""COMPUTED_VALUE"""),"International Law")</f>
        <v>International Law</v>
      </c>
      <c r="D3404" s="2" t="str">
        <f>IFERROR(__xludf.DUMMYFUNCTION("""COMPUTED_VALUE"""),"Rivergate Books")</f>
        <v>Rivergate Books</v>
      </c>
      <c r="E3404" s="2">
        <f>IFERROR(__xludf.DUMMYFUNCTION("""COMPUTED_VALUE"""),2.94)</f>
        <v>2.94</v>
      </c>
      <c r="F3404" s="2"/>
      <c r="G3404" s="2"/>
      <c r="H3404" s="2"/>
      <c r="I3404" s="2"/>
    </row>
    <row r="3405">
      <c r="A3405" s="2">
        <f>IFERROR(__xludf.DUMMYFUNCTION("""COMPUTED_VALUE"""),119288.0)</f>
        <v>119288</v>
      </c>
      <c r="B3405" s="2" t="str">
        <f>IFERROR(__xludf.DUMMYFUNCTION("""COMPUTED_VALUE"""),"Arts")</f>
        <v>Arts</v>
      </c>
      <c r="C3405" s="2" t="str">
        <f>IFERROR(__xludf.DUMMYFUNCTION("""COMPUTED_VALUE"""),"International Law")</f>
        <v>International Law</v>
      </c>
      <c r="D3405" s="2" t="str">
        <f>IFERROR(__xludf.DUMMYFUNCTION("""COMPUTED_VALUE"""),"Rivergate Books")</f>
        <v>Rivergate Books</v>
      </c>
      <c r="E3405" s="2">
        <f>IFERROR(__xludf.DUMMYFUNCTION("""COMPUTED_VALUE"""),2.3)</f>
        <v>2.3</v>
      </c>
      <c r="F3405" s="2"/>
      <c r="G3405" s="2"/>
      <c r="H3405" s="2"/>
      <c r="I3405" s="2"/>
    </row>
    <row r="3406">
      <c r="A3406" s="2">
        <f>IFERROR(__xludf.DUMMYFUNCTION("""COMPUTED_VALUE"""),71770.0)</f>
        <v>71770</v>
      </c>
      <c r="B3406" s="2" t="str">
        <f>IFERROR(__xludf.DUMMYFUNCTION("""COMPUTED_VALUE"""),"Arts")</f>
        <v>Arts</v>
      </c>
      <c r="C3406" s="2" t="str">
        <f>IFERROR(__xludf.DUMMYFUNCTION("""COMPUTED_VALUE"""),"International Law")</f>
        <v>International Law</v>
      </c>
      <c r="D3406" s="2" t="str">
        <f>IFERROR(__xludf.DUMMYFUNCTION("""COMPUTED_VALUE"""),"Rivergate Books")</f>
        <v>Rivergate Books</v>
      </c>
      <c r="E3406" s="2">
        <f>IFERROR(__xludf.DUMMYFUNCTION("""COMPUTED_VALUE"""),4.47)</f>
        <v>4.47</v>
      </c>
      <c r="F3406" s="2"/>
      <c r="G3406" s="2"/>
      <c r="H3406" s="2"/>
      <c r="I3406" s="2"/>
    </row>
    <row r="3407">
      <c r="A3407" s="2">
        <f>IFERROR(__xludf.DUMMYFUNCTION("""COMPUTED_VALUE"""),28536.0)</f>
        <v>28536</v>
      </c>
      <c r="B3407" s="2" t="str">
        <f>IFERROR(__xludf.DUMMYFUNCTION("""COMPUTED_VALUE"""),"Arts")</f>
        <v>Arts</v>
      </c>
      <c r="C3407" s="2" t="str">
        <f>IFERROR(__xludf.DUMMYFUNCTION("""COMPUTED_VALUE"""),"International Law")</f>
        <v>International Law</v>
      </c>
      <c r="D3407" s="2" t="str">
        <f>IFERROR(__xludf.DUMMYFUNCTION("""COMPUTED_VALUE"""),"Rivergate Books")</f>
        <v>Rivergate Books</v>
      </c>
      <c r="E3407" s="2">
        <f>IFERROR(__xludf.DUMMYFUNCTION("""COMPUTED_VALUE"""),5.63)</f>
        <v>5.63</v>
      </c>
      <c r="F3407" s="2"/>
      <c r="G3407" s="2"/>
      <c r="H3407" s="2"/>
      <c r="I3407" s="2"/>
    </row>
    <row r="3408">
      <c r="A3408" s="2">
        <f>IFERROR(__xludf.DUMMYFUNCTION("""COMPUTED_VALUE"""),90007.0)</f>
        <v>90007</v>
      </c>
      <c r="B3408" s="2" t="str">
        <f>IFERROR(__xludf.DUMMYFUNCTION("""COMPUTED_VALUE"""),"Arts")</f>
        <v>Arts</v>
      </c>
      <c r="C3408" s="2" t="str">
        <f>IFERROR(__xludf.DUMMYFUNCTION("""COMPUTED_VALUE"""),"International Law")</f>
        <v>International Law</v>
      </c>
      <c r="D3408" s="2" t="str">
        <f>IFERROR(__xludf.DUMMYFUNCTION("""COMPUTED_VALUE"""),"Rivergate Books")</f>
        <v>Rivergate Books</v>
      </c>
      <c r="E3408" s="2">
        <f>IFERROR(__xludf.DUMMYFUNCTION("""COMPUTED_VALUE"""),2.48)</f>
        <v>2.48</v>
      </c>
      <c r="F3408" s="2"/>
      <c r="G3408" s="2"/>
      <c r="H3408" s="2"/>
      <c r="I3408" s="2"/>
    </row>
    <row r="3409">
      <c r="A3409" s="2">
        <f>IFERROR(__xludf.DUMMYFUNCTION("""COMPUTED_VALUE"""),71830.0)</f>
        <v>71830</v>
      </c>
      <c r="B3409" s="2" t="str">
        <f>IFERROR(__xludf.DUMMYFUNCTION("""COMPUTED_VALUE"""),"Arts")</f>
        <v>Arts</v>
      </c>
      <c r="C3409" s="2" t="str">
        <f>IFERROR(__xludf.DUMMYFUNCTION("""COMPUTED_VALUE"""),"International Law")</f>
        <v>International Law</v>
      </c>
      <c r="D3409" s="2" t="str">
        <f>IFERROR(__xludf.DUMMYFUNCTION("""COMPUTED_VALUE"""),"Rivergate Books")</f>
        <v>Rivergate Books</v>
      </c>
      <c r="E3409" s="2">
        <f>IFERROR(__xludf.DUMMYFUNCTION("""COMPUTED_VALUE"""),2.25)</f>
        <v>2.25</v>
      </c>
      <c r="F3409" s="2"/>
      <c r="G3409" s="2"/>
      <c r="H3409" s="2"/>
      <c r="I3409" s="2"/>
    </row>
    <row r="3410">
      <c r="A3410" s="2">
        <f>IFERROR(__xludf.DUMMYFUNCTION("""COMPUTED_VALUE"""),71837.0)</f>
        <v>71837</v>
      </c>
      <c r="B3410" s="2" t="str">
        <f>IFERROR(__xludf.DUMMYFUNCTION("""COMPUTED_VALUE"""),"Arts")</f>
        <v>Arts</v>
      </c>
      <c r="C3410" s="2" t="str">
        <f>IFERROR(__xludf.DUMMYFUNCTION("""COMPUTED_VALUE"""),"International Law")</f>
        <v>International Law</v>
      </c>
      <c r="D3410" s="2" t="str">
        <f>IFERROR(__xludf.DUMMYFUNCTION("""COMPUTED_VALUE"""),"Rivergate Books")</f>
        <v>Rivergate Books</v>
      </c>
      <c r="E3410" s="2">
        <f>IFERROR(__xludf.DUMMYFUNCTION("""COMPUTED_VALUE"""),2.3)</f>
        <v>2.3</v>
      </c>
      <c r="F3410" s="2"/>
      <c r="G3410" s="2"/>
      <c r="H3410" s="2"/>
      <c r="I3410" s="2"/>
    </row>
    <row r="3411">
      <c r="A3411" s="2">
        <f>IFERROR(__xludf.DUMMYFUNCTION("""COMPUTED_VALUE"""),83640.0)</f>
        <v>83640</v>
      </c>
      <c r="B3411" s="2" t="str">
        <f>IFERROR(__xludf.DUMMYFUNCTION("""COMPUTED_VALUE"""),"Arts")</f>
        <v>Arts</v>
      </c>
      <c r="C3411" s="2" t="str">
        <f>IFERROR(__xludf.DUMMYFUNCTION("""COMPUTED_VALUE"""),"International Law")</f>
        <v>International Law</v>
      </c>
      <c r="D3411" s="2" t="str">
        <f>IFERROR(__xludf.DUMMYFUNCTION("""COMPUTED_VALUE"""),"Rivergate Books")</f>
        <v>Rivergate Books</v>
      </c>
      <c r="E3411" s="2">
        <f>IFERROR(__xludf.DUMMYFUNCTION("""COMPUTED_VALUE"""),2.16)</f>
        <v>2.16</v>
      </c>
      <c r="F3411" s="2"/>
      <c r="G3411" s="2"/>
      <c r="H3411" s="2"/>
      <c r="I3411" s="2"/>
    </row>
    <row r="3412">
      <c r="A3412" s="2">
        <f>IFERROR(__xludf.DUMMYFUNCTION("""COMPUTED_VALUE"""),111191.0)</f>
        <v>111191</v>
      </c>
      <c r="B3412" s="2" t="str">
        <f>IFERROR(__xludf.DUMMYFUNCTION("""COMPUTED_VALUE"""),"Arts")</f>
        <v>Arts</v>
      </c>
      <c r="C3412" s="2" t="str">
        <f>IFERROR(__xludf.DUMMYFUNCTION("""COMPUTED_VALUE"""),"International Law")</f>
        <v>International Law</v>
      </c>
      <c r="D3412" s="2" t="str">
        <f>IFERROR(__xludf.DUMMYFUNCTION("""COMPUTED_VALUE"""),"Rivergate Books")</f>
        <v>Rivergate Books</v>
      </c>
      <c r="E3412" s="2">
        <f>IFERROR(__xludf.DUMMYFUNCTION("""COMPUTED_VALUE"""),8.21)</f>
        <v>8.21</v>
      </c>
      <c r="F3412" s="2"/>
      <c r="G3412" s="2"/>
      <c r="H3412" s="2"/>
      <c r="I3412" s="2"/>
    </row>
    <row r="3413">
      <c r="A3413" s="2">
        <f>IFERROR(__xludf.DUMMYFUNCTION("""COMPUTED_VALUE"""),70442.0)</f>
        <v>70442</v>
      </c>
      <c r="B3413" s="2" t="str">
        <f>IFERROR(__xludf.DUMMYFUNCTION("""COMPUTED_VALUE"""),"Arts")</f>
        <v>Arts</v>
      </c>
      <c r="C3413" s="2" t="str">
        <f>IFERROR(__xludf.DUMMYFUNCTION("""COMPUTED_VALUE"""),"International Law")</f>
        <v>International Law</v>
      </c>
      <c r="D3413" s="2" t="str">
        <f>IFERROR(__xludf.DUMMYFUNCTION("""COMPUTED_VALUE"""),"Rivergate Books")</f>
        <v>Rivergate Books</v>
      </c>
      <c r="E3413" s="2">
        <f>IFERROR(__xludf.DUMMYFUNCTION("""COMPUTED_VALUE"""),2.84)</f>
        <v>2.84</v>
      </c>
      <c r="F3413" s="2"/>
      <c r="G3413" s="2"/>
      <c r="H3413" s="2"/>
      <c r="I3413" s="2"/>
    </row>
    <row r="3414">
      <c r="A3414" s="2">
        <f>IFERROR(__xludf.DUMMYFUNCTION("""COMPUTED_VALUE"""),122228.0)</f>
        <v>122228</v>
      </c>
      <c r="B3414" s="2" t="str">
        <f>IFERROR(__xludf.DUMMYFUNCTION("""COMPUTED_VALUE"""),"Arts")</f>
        <v>Arts</v>
      </c>
      <c r="C3414" s="2" t="str">
        <f>IFERROR(__xludf.DUMMYFUNCTION("""COMPUTED_VALUE"""),"International Law")</f>
        <v>International Law</v>
      </c>
      <c r="D3414" s="2" t="str">
        <f>IFERROR(__xludf.DUMMYFUNCTION("""COMPUTED_VALUE"""),"Rivergate Books")</f>
        <v>Rivergate Books</v>
      </c>
      <c r="E3414" s="2">
        <f>IFERROR(__xludf.DUMMYFUNCTION("""COMPUTED_VALUE"""),2.05)</f>
        <v>2.05</v>
      </c>
      <c r="F3414" s="2"/>
      <c r="G3414" s="2"/>
      <c r="H3414" s="2"/>
      <c r="I3414" s="2"/>
    </row>
    <row r="3415">
      <c r="A3415" s="2">
        <f>IFERROR(__xludf.DUMMYFUNCTION("""COMPUTED_VALUE"""),46822.0)</f>
        <v>46822</v>
      </c>
      <c r="B3415" s="2" t="str">
        <f>IFERROR(__xludf.DUMMYFUNCTION("""COMPUTED_VALUE"""),"Arts")</f>
        <v>Arts</v>
      </c>
      <c r="C3415" s="2" t="str">
        <f>IFERROR(__xludf.DUMMYFUNCTION("""COMPUTED_VALUE"""),"International Law")</f>
        <v>International Law</v>
      </c>
      <c r="D3415" s="2" t="str">
        <f>IFERROR(__xludf.DUMMYFUNCTION("""COMPUTED_VALUE"""),"Rivergate Books")</f>
        <v>Rivergate Books</v>
      </c>
      <c r="E3415" s="2">
        <f>IFERROR(__xludf.DUMMYFUNCTION("""COMPUTED_VALUE"""),2.76)</f>
        <v>2.76</v>
      </c>
      <c r="F3415" s="2"/>
      <c r="G3415" s="2"/>
      <c r="H3415" s="2"/>
      <c r="I3415" s="2"/>
    </row>
    <row r="3416">
      <c r="A3416" s="2">
        <f>IFERROR(__xludf.DUMMYFUNCTION("""COMPUTED_VALUE"""),71769.0)</f>
        <v>71769</v>
      </c>
      <c r="B3416" s="2" t="str">
        <f>IFERROR(__xludf.DUMMYFUNCTION("""COMPUTED_VALUE"""),"Arts")</f>
        <v>Arts</v>
      </c>
      <c r="C3416" s="2" t="str">
        <f>IFERROR(__xludf.DUMMYFUNCTION("""COMPUTED_VALUE"""),"International Law")</f>
        <v>International Law</v>
      </c>
      <c r="D3416" s="2" t="str">
        <f>IFERROR(__xludf.DUMMYFUNCTION("""COMPUTED_VALUE"""),"Rivergate Books")</f>
        <v>Rivergate Books</v>
      </c>
      <c r="E3416" s="2">
        <f>IFERROR(__xludf.DUMMYFUNCTION("""COMPUTED_VALUE"""),3.96)</f>
        <v>3.96</v>
      </c>
      <c r="F3416" s="2"/>
      <c r="G3416" s="2"/>
      <c r="H3416" s="2"/>
      <c r="I3416" s="2"/>
    </row>
    <row r="3417">
      <c r="A3417" s="2">
        <f>IFERROR(__xludf.DUMMYFUNCTION("""COMPUTED_VALUE"""),9302.0)</f>
        <v>9302</v>
      </c>
      <c r="B3417" s="2" t="str">
        <f>IFERROR(__xludf.DUMMYFUNCTION("""COMPUTED_VALUE"""),"Arts")</f>
        <v>Arts</v>
      </c>
      <c r="C3417" s="2" t="str">
        <f>IFERROR(__xludf.DUMMYFUNCTION("""COMPUTED_VALUE"""),"International Law")</f>
        <v>International Law</v>
      </c>
      <c r="D3417" s="2" t="str">
        <f>IFERROR(__xludf.DUMMYFUNCTION("""COMPUTED_VALUE"""),"Rivergate Books")</f>
        <v>Rivergate Books</v>
      </c>
      <c r="E3417" s="2">
        <f>IFERROR(__xludf.DUMMYFUNCTION("""COMPUTED_VALUE"""),1.82)</f>
        <v>1.82</v>
      </c>
      <c r="F3417" s="2"/>
      <c r="G3417" s="2"/>
      <c r="H3417" s="2"/>
      <c r="I3417" s="2"/>
    </row>
    <row r="3418">
      <c r="A3418" s="2">
        <f>IFERROR(__xludf.DUMMYFUNCTION("""COMPUTED_VALUE"""),90006.0)</f>
        <v>90006</v>
      </c>
      <c r="B3418" s="2" t="str">
        <f>IFERROR(__xludf.DUMMYFUNCTION("""COMPUTED_VALUE"""),"Arts")</f>
        <v>Arts</v>
      </c>
      <c r="C3418" s="2" t="str">
        <f>IFERROR(__xludf.DUMMYFUNCTION("""COMPUTED_VALUE"""),"International Law")</f>
        <v>International Law</v>
      </c>
      <c r="D3418" s="2" t="str">
        <f>IFERROR(__xludf.DUMMYFUNCTION("""COMPUTED_VALUE"""),"Rivergate Books")</f>
        <v>Rivergate Books</v>
      </c>
      <c r="E3418" s="2">
        <f>IFERROR(__xludf.DUMMYFUNCTION("""COMPUTED_VALUE"""),6.41)</f>
        <v>6.41</v>
      </c>
      <c r="F3418" s="2"/>
      <c r="G3418" s="2"/>
      <c r="H3418" s="2"/>
      <c r="I3418" s="2"/>
    </row>
    <row r="3419">
      <c r="A3419" s="2">
        <f>IFERROR(__xludf.DUMMYFUNCTION("""COMPUTED_VALUE"""),80673.0)</f>
        <v>80673</v>
      </c>
      <c r="B3419" s="2" t="str">
        <f>IFERROR(__xludf.DUMMYFUNCTION("""COMPUTED_VALUE"""),"Arts")</f>
        <v>Arts</v>
      </c>
      <c r="C3419" s="2" t="str">
        <f>IFERROR(__xludf.DUMMYFUNCTION("""COMPUTED_VALUE"""),"International Law")</f>
        <v>International Law</v>
      </c>
      <c r="D3419" s="2" t="str">
        <f>IFERROR(__xludf.DUMMYFUNCTION("""COMPUTED_VALUE"""),"Rivergate Books")</f>
        <v>Rivergate Books</v>
      </c>
      <c r="E3419" s="2">
        <f>IFERROR(__xludf.DUMMYFUNCTION("""COMPUTED_VALUE"""),2.07)</f>
        <v>2.07</v>
      </c>
      <c r="F3419" s="2"/>
      <c r="G3419" s="2"/>
      <c r="H3419" s="2"/>
      <c r="I3419" s="2"/>
    </row>
    <row r="3420">
      <c r="A3420" s="2">
        <f>IFERROR(__xludf.DUMMYFUNCTION("""COMPUTED_VALUE"""),71834.0)</f>
        <v>71834</v>
      </c>
      <c r="B3420" s="2" t="str">
        <f>IFERROR(__xludf.DUMMYFUNCTION("""COMPUTED_VALUE"""),"Arts")</f>
        <v>Arts</v>
      </c>
      <c r="C3420" s="2" t="str">
        <f>IFERROR(__xludf.DUMMYFUNCTION("""COMPUTED_VALUE"""),"International Law")</f>
        <v>International Law</v>
      </c>
      <c r="D3420" s="2" t="str">
        <f>IFERROR(__xludf.DUMMYFUNCTION("""COMPUTED_VALUE"""),"Rivergate Books")</f>
        <v>Rivergate Books</v>
      </c>
      <c r="E3420" s="2">
        <f>IFERROR(__xludf.DUMMYFUNCTION("""COMPUTED_VALUE"""),2.26)</f>
        <v>2.26</v>
      </c>
      <c r="F3420" s="2"/>
      <c r="G3420" s="2"/>
      <c r="H3420" s="2"/>
      <c r="I3420" s="2"/>
    </row>
    <row r="3421">
      <c r="A3421" s="2">
        <f>IFERROR(__xludf.DUMMYFUNCTION("""COMPUTED_VALUE"""),107310.0)</f>
        <v>107310</v>
      </c>
      <c r="B3421" s="2" t="str">
        <f>IFERROR(__xludf.DUMMYFUNCTION("""COMPUTED_VALUE"""),"Arts")</f>
        <v>Arts</v>
      </c>
      <c r="C3421" s="2" t="str">
        <f>IFERROR(__xludf.DUMMYFUNCTION("""COMPUTED_VALUE"""),"International Law")</f>
        <v>International Law</v>
      </c>
      <c r="D3421" s="2" t="str">
        <f>IFERROR(__xludf.DUMMYFUNCTION("""COMPUTED_VALUE"""),"Rivergate Books")</f>
        <v>Rivergate Books</v>
      </c>
      <c r="E3421" s="2">
        <f>IFERROR(__xludf.DUMMYFUNCTION("""COMPUTED_VALUE"""),3.35)</f>
        <v>3.35</v>
      </c>
      <c r="F3421" s="2"/>
      <c r="G3421" s="2"/>
      <c r="H3421" s="2"/>
      <c r="I3421" s="2"/>
    </row>
    <row r="3422">
      <c r="A3422" s="2">
        <f>IFERROR(__xludf.DUMMYFUNCTION("""COMPUTED_VALUE"""),71843.0)</f>
        <v>71843</v>
      </c>
      <c r="B3422" s="2" t="str">
        <f>IFERROR(__xludf.DUMMYFUNCTION("""COMPUTED_VALUE"""),"Arts")</f>
        <v>Arts</v>
      </c>
      <c r="C3422" s="2" t="str">
        <f>IFERROR(__xludf.DUMMYFUNCTION("""COMPUTED_VALUE"""),"International Law")</f>
        <v>International Law</v>
      </c>
      <c r="D3422" s="2" t="str">
        <f>IFERROR(__xludf.DUMMYFUNCTION("""COMPUTED_VALUE"""),"Rivergate Books")</f>
        <v>Rivergate Books</v>
      </c>
      <c r="E3422" s="2">
        <f>IFERROR(__xludf.DUMMYFUNCTION("""COMPUTED_VALUE"""),3.25)</f>
        <v>3.25</v>
      </c>
      <c r="F3422" s="2"/>
      <c r="G3422" s="2"/>
      <c r="H3422" s="2"/>
      <c r="I3422" s="2"/>
    </row>
    <row r="3423">
      <c r="A3423" s="2">
        <f>IFERROR(__xludf.DUMMYFUNCTION("""COMPUTED_VALUE"""),107358.0)</f>
        <v>107358</v>
      </c>
      <c r="B3423" s="2" t="str">
        <f>IFERROR(__xludf.DUMMYFUNCTION("""COMPUTED_VALUE"""),"Arts")</f>
        <v>Arts</v>
      </c>
      <c r="C3423" s="2" t="str">
        <f>IFERROR(__xludf.DUMMYFUNCTION("""COMPUTED_VALUE"""),"International Law")</f>
        <v>International Law</v>
      </c>
      <c r="D3423" s="2" t="str">
        <f>IFERROR(__xludf.DUMMYFUNCTION("""COMPUTED_VALUE"""),"Rivergate Books")</f>
        <v>Rivergate Books</v>
      </c>
      <c r="E3423" s="2">
        <f>IFERROR(__xludf.DUMMYFUNCTION("""COMPUTED_VALUE"""),2.87)</f>
        <v>2.87</v>
      </c>
      <c r="F3423" s="2"/>
      <c r="G3423" s="2"/>
      <c r="H3423" s="2"/>
      <c r="I3423" s="2"/>
    </row>
    <row r="3424">
      <c r="A3424" s="2">
        <f>IFERROR(__xludf.DUMMYFUNCTION("""COMPUTED_VALUE"""),44842.0)</f>
        <v>44842</v>
      </c>
      <c r="B3424" s="2" t="str">
        <f>IFERROR(__xludf.DUMMYFUNCTION("""COMPUTED_VALUE"""),"Arts")</f>
        <v>Arts</v>
      </c>
      <c r="C3424" s="2" t="str">
        <f>IFERROR(__xludf.DUMMYFUNCTION("""COMPUTED_VALUE"""),"International Law")</f>
        <v>International Law</v>
      </c>
      <c r="D3424" s="2" t="str">
        <f>IFERROR(__xludf.DUMMYFUNCTION("""COMPUTED_VALUE"""),"Rivergate Books")</f>
        <v>Rivergate Books</v>
      </c>
      <c r="E3424" s="2">
        <f>IFERROR(__xludf.DUMMYFUNCTION("""COMPUTED_VALUE"""),1.97)</f>
        <v>1.97</v>
      </c>
      <c r="F3424" s="2"/>
      <c r="G3424" s="2"/>
      <c r="H3424" s="2"/>
      <c r="I3424" s="2"/>
    </row>
    <row r="3425">
      <c r="A3425" s="2">
        <f>IFERROR(__xludf.DUMMYFUNCTION("""COMPUTED_VALUE"""),111181.0)</f>
        <v>111181</v>
      </c>
      <c r="B3425" s="2" t="str">
        <f>IFERROR(__xludf.DUMMYFUNCTION("""COMPUTED_VALUE"""),"Arts")</f>
        <v>Arts</v>
      </c>
      <c r="C3425" s="2" t="str">
        <f>IFERROR(__xludf.DUMMYFUNCTION("""COMPUTED_VALUE"""),"International Law")</f>
        <v>International Law</v>
      </c>
      <c r="D3425" s="2" t="str">
        <f>IFERROR(__xludf.DUMMYFUNCTION("""COMPUTED_VALUE"""),"Rivergate Books")</f>
        <v>Rivergate Books</v>
      </c>
      <c r="E3425" s="2">
        <f>IFERROR(__xludf.DUMMYFUNCTION("""COMPUTED_VALUE"""),7.74)</f>
        <v>7.74</v>
      </c>
      <c r="F3425" s="2"/>
      <c r="G3425" s="2"/>
      <c r="H3425" s="2"/>
      <c r="I3425" s="2"/>
    </row>
    <row r="3426">
      <c r="A3426" s="2">
        <f>IFERROR(__xludf.DUMMYFUNCTION("""COMPUTED_VALUE"""),71773.0)</f>
        <v>71773</v>
      </c>
      <c r="B3426" s="2" t="str">
        <f>IFERROR(__xludf.DUMMYFUNCTION("""COMPUTED_VALUE"""),"Arts")</f>
        <v>Arts</v>
      </c>
      <c r="C3426" s="2" t="str">
        <f>IFERROR(__xludf.DUMMYFUNCTION("""COMPUTED_VALUE"""),"International Law")</f>
        <v>International Law</v>
      </c>
      <c r="D3426" s="2" t="str">
        <f>IFERROR(__xludf.DUMMYFUNCTION("""COMPUTED_VALUE"""),"Rivergate Books")</f>
        <v>Rivergate Books</v>
      </c>
      <c r="E3426" s="2">
        <f>IFERROR(__xludf.DUMMYFUNCTION("""COMPUTED_VALUE"""),4.39)</f>
        <v>4.39</v>
      </c>
      <c r="F3426" s="2"/>
      <c r="G3426" s="2"/>
      <c r="H3426" s="2"/>
      <c r="I3426" s="2"/>
    </row>
    <row r="3427">
      <c r="A3427" s="2">
        <f>IFERROR(__xludf.DUMMYFUNCTION("""COMPUTED_VALUE"""),71836.0)</f>
        <v>71836</v>
      </c>
      <c r="B3427" s="2" t="str">
        <f>IFERROR(__xludf.DUMMYFUNCTION("""COMPUTED_VALUE"""),"Arts")</f>
        <v>Arts</v>
      </c>
      <c r="C3427" s="2" t="str">
        <f>IFERROR(__xludf.DUMMYFUNCTION("""COMPUTED_VALUE"""),"International Law")</f>
        <v>International Law</v>
      </c>
      <c r="D3427" s="2" t="str">
        <f>IFERROR(__xludf.DUMMYFUNCTION("""COMPUTED_VALUE"""),"Rivergate Books")</f>
        <v>Rivergate Books</v>
      </c>
      <c r="E3427" s="2">
        <f>IFERROR(__xludf.DUMMYFUNCTION("""COMPUTED_VALUE"""),2.53)</f>
        <v>2.53</v>
      </c>
      <c r="F3427" s="2"/>
      <c r="G3427" s="2"/>
      <c r="H3427" s="2"/>
      <c r="I3427" s="2"/>
    </row>
    <row r="3428">
      <c r="A3428" s="2">
        <f>IFERROR(__xludf.DUMMYFUNCTION("""COMPUTED_VALUE"""),70276.0)</f>
        <v>70276</v>
      </c>
      <c r="B3428" s="2" t="str">
        <f>IFERROR(__xludf.DUMMYFUNCTION("""COMPUTED_VALUE"""),"Arts")</f>
        <v>Arts</v>
      </c>
      <c r="C3428" s="2" t="str">
        <f>IFERROR(__xludf.DUMMYFUNCTION("""COMPUTED_VALUE"""),"International Law")</f>
        <v>International Law</v>
      </c>
      <c r="D3428" s="2" t="str">
        <f>IFERROR(__xludf.DUMMYFUNCTION("""COMPUTED_VALUE"""),"Rivergate Books")</f>
        <v>Rivergate Books</v>
      </c>
      <c r="E3428" s="2">
        <f>IFERROR(__xludf.DUMMYFUNCTION("""COMPUTED_VALUE"""),5.03)</f>
        <v>5.03</v>
      </c>
      <c r="F3428" s="2"/>
      <c r="G3428" s="2"/>
      <c r="H3428" s="2"/>
      <c r="I3428" s="2"/>
    </row>
    <row r="3429">
      <c r="A3429" s="2">
        <f>IFERROR(__xludf.DUMMYFUNCTION("""COMPUTED_VALUE"""),71775.0)</f>
        <v>71775</v>
      </c>
      <c r="B3429" s="2" t="str">
        <f>IFERROR(__xludf.DUMMYFUNCTION("""COMPUTED_VALUE"""),"Arts")</f>
        <v>Arts</v>
      </c>
      <c r="C3429" s="2" t="str">
        <f>IFERROR(__xludf.DUMMYFUNCTION("""COMPUTED_VALUE"""),"International Law")</f>
        <v>International Law</v>
      </c>
      <c r="D3429" s="2" t="str">
        <f>IFERROR(__xludf.DUMMYFUNCTION("""COMPUTED_VALUE"""),"Rivergate Books")</f>
        <v>Rivergate Books</v>
      </c>
      <c r="E3429" s="2">
        <f>IFERROR(__xludf.DUMMYFUNCTION("""COMPUTED_VALUE"""),4.83)</f>
        <v>4.83</v>
      </c>
      <c r="F3429" s="2"/>
      <c r="G3429" s="2"/>
      <c r="H3429" s="2"/>
      <c r="I3429" s="2"/>
    </row>
    <row r="3430">
      <c r="A3430" s="2">
        <f>IFERROR(__xludf.DUMMYFUNCTION("""COMPUTED_VALUE"""),44844.0)</f>
        <v>44844</v>
      </c>
      <c r="B3430" s="2" t="str">
        <f>IFERROR(__xludf.DUMMYFUNCTION("""COMPUTED_VALUE"""),"Arts")</f>
        <v>Arts</v>
      </c>
      <c r="C3430" s="2" t="str">
        <f>IFERROR(__xludf.DUMMYFUNCTION("""COMPUTED_VALUE"""),"International Law")</f>
        <v>International Law</v>
      </c>
      <c r="D3430" s="2" t="str">
        <f>IFERROR(__xludf.DUMMYFUNCTION("""COMPUTED_VALUE"""),"Rivergate Books")</f>
        <v>Rivergate Books</v>
      </c>
      <c r="E3430" s="2">
        <f>IFERROR(__xludf.DUMMYFUNCTION("""COMPUTED_VALUE"""),2.17)</f>
        <v>2.17</v>
      </c>
      <c r="F3430" s="2"/>
      <c r="G3430" s="2"/>
      <c r="H3430" s="2"/>
      <c r="I3430" s="2"/>
    </row>
    <row r="3431">
      <c r="A3431" s="2">
        <f>IFERROR(__xludf.DUMMYFUNCTION("""COMPUTED_VALUE"""),156181.0)</f>
        <v>156181</v>
      </c>
      <c r="B3431" s="2" t="str">
        <f>IFERROR(__xludf.DUMMYFUNCTION("""COMPUTED_VALUE"""),"Arts")</f>
        <v>Arts</v>
      </c>
      <c r="C3431" s="2" t="str">
        <f>IFERROR(__xludf.DUMMYFUNCTION("""COMPUTED_VALUE"""),"International Law")</f>
        <v>International Law</v>
      </c>
      <c r="D3431" s="2" t="str">
        <f>IFERROR(__xludf.DUMMYFUNCTION("""COMPUTED_VALUE"""),"Rivergate Books")</f>
        <v>Rivergate Books</v>
      </c>
      <c r="E3431" s="2">
        <f>IFERROR(__xludf.DUMMYFUNCTION("""COMPUTED_VALUE"""),2.89)</f>
        <v>2.89</v>
      </c>
      <c r="F3431" s="2"/>
      <c r="G3431" s="2"/>
      <c r="H3431" s="2"/>
      <c r="I3431" s="2"/>
    </row>
    <row r="3432">
      <c r="A3432" s="2">
        <f>IFERROR(__xludf.DUMMYFUNCTION("""COMPUTED_VALUE"""),102898.0)</f>
        <v>102898</v>
      </c>
      <c r="B3432" s="2" t="str">
        <f>IFERROR(__xludf.DUMMYFUNCTION("""COMPUTED_VALUE"""),"Arts")</f>
        <v>Arts</v>
      </c>
      <c r="C3432" s="2" t="str">
        <f>IFERROR(__xludf.DUMMYFUNCTION("""COMPUTED_VALUE"""),"International Law")</f>
        <v>International Law</v>
      </c>
      <c r="D3432" s="2" t="str">
        <f>IFERROR(__xludf.DUMMYFUNCTION("""COMPUTED_VALUE"""),"Rivergate Books")</f>
        <v>Rivergate Books</v>
      </c>
      <c r="E3432" s="2">
        <f>IFERROR(__xludf.DUMMYFUNCTION("""COMPUTED_VALUE"""),2.83)</f>
        <v>2.83</v>
      </c>
      <c r="F3432" s="2"/>
      <c r="G3432" s="2"/>
      <c r="H3432" s="2"/>
      <c r="I3432" s="2"/>
    </row>
    <row r="3433">
      <c r="A3433" s="2">
        <f>IFERROR(__xludf.DUMMYFUNCTION("""COMPUTED_VALUE"""),47600.0)</f>
        <v>47600</v>
      </c>
      <c r="B3433" s="2" t="str">
        <f>IFERROR(__xludf.DUMMYFUNCTION("""COMPUTED_VALUE"""),"Arts")</f>
        <v>Arts</v>
      </c>
      <c r="C3433" s="2" t="str">
        <f>IFERROR(__xludf.DUMMYFUNCTION("""COMPUTED_VALUE"""),"International Law")</f>
        <v>International Law</v>
      </c>
      <c r="D3433" s="2" t="str">
        <f>IFERROR(__xludf.DUMMYFUNCTION("""COMPUTED_VALUE"""),"Rivergate Books")</f>
        <v>Rivergate Books</v>
      </c>
      <c r="E3433" s="2">
        <f>IFERROR(__xludf.DUMMYFUNCTION("""COMPUTED_VALUE"""),1.84)</f>
        <v>1.84</v>
      </c>
      <c r="F3433" s="2"/>
      <c r="G3433" s="2"/>
      <c r="H3433" s="2"/>
      <c r="I3433" s="2"/>
    </row>
    <row r="3434">
      <c r="A3434" s="2">
        <f>IFERROR(__xludf.DUMMYFUNCTION("""COMPUTED_VALUE"""),111173.0)</f>
        <v>111173</v>
      </c>
      <c r="B3434" s="2" t="str">
        <f>IFERROR(__xludf.DUMMYFUNCTION("""COMPUTED_VALUE"""),"Arts")</f>
        <v>Arts</v>
      </c>
      <c r="C3434" s="2" t="str">
        <f>IFERROR(__xludf.DUMMYFUNCTION("""COMPUTED_VALUE"""),"International Law")</f>
        <v>International Law</v>
      </c>
      <c r="D3434" s="2" t="str">
        <f>IFERROR(__xludf.DUMMYFUNCTION("""COMPUTED_VALUE"""),"Rivergate Books")</f>
        <v>Rivergate Books</v>
      </c>
      <c r="E3434" s="2">
        <f>IFERROR(__xludf.DUMMYFUNCTION("""COMPUTED_VALUE"""),2.02)</f>
        <v>2.02</v>
      </c>
      <c r="F3434" s="2"/>
      <c r="G3434" s="2"/>
      <c r="H3434" s="2"/>
      <c r="I3434" s="2"/>
    </row>
    <row r="3435">
      <c r="A3435" s="2">
        <f>IFERROR(__xludf.DUMMYFUNCTION("""COMPUTED_VALUE"""),70201.0)</f>
        <v>70201</v>
      </c>
      <c r="B3435" s="2" t="str">
        <f>IFERROR(__xludf.DUMMYFUNCTION("""COMPUTED_VALUE"""),"Arts")</f>
        <v>Arts</v>
      </c>
      <c r="C3435" s="2" t="str">
        <f>IFERROR(__xludf.DUMMYFUNCTION("""COMPUTED_VALUE"""),"International Law")</f>
        <v>International Law</v>
      </c>
      <c r="D3435" s="2" t="str">
        <f>IFERROR(__xludf.DUMMYFUNCTION("""COMPUTED_VALUE"""),"Rivergate Books")</f>
        <v>Rivergate Books</v>
      </c>
      <c r="E3435" s="2">
        <f>IFERROR(__xludf.DUMMYFUNCTION("""COMPUTED_VALUE"""),3.76)</f>
        <v>3.76</v>
      </c>
      <c r="F3435" s="2"/>
      <c r="G3435" s="2"/>
      <c r="H3435" s="2"/>
      <c r="I3435" s="2"/>
    </row>
    <row r="3436">
      <c r="A3436" s="2">
        <f>IFERROR(__xludf.DUMMYFUNCTION("""COMPUTED_VALUE"""),71842.0)</f>
        <v>71842</v>
      </c>
      <c r="B3436" s="2" t="str">
        <f>IFERROR(__xludf.DUMMYFUNCTION("""COMPUTED_VALUE"""),"Arts")</f>
        <v>Arts</v>
      </c>
      <c r="C3436" s="2" t="str">
        <f>IFERROR(__xludf.DUMMYFUNCTION("""COMPUTED_VALUE"""),"International Law")</f>
        <v>International Law</v>
      </c>
      <c r="D3436" s="2" t="str">
        <f>IFERROR(__xludf.DUMMYFUNCTION("""COMPUTED_VALUE"""),"Rivergate Books")</f>
        <v>Rivergate Books</v>
      </c>
      <c r="E3436" s="2">
        <f>IFERROR(__xludf.DUMMYFUNCTION("""COMPUTED_VALUE"""),2.51)</f>
        <v>2.51</v>
      </c>
      <c r="F3436" s="2"/>
      <c r="G3436" s="2"/>
      <c r="H3436" s="2"/>
      <c r="I3436" s="2"/>
    </row>
    <row r="3437">
      <c r="A3437" s="2">
        <f>IFERROR(__xludf.DUMMYFUNCTION("""COMPUTED_VALUE"""),47601.0)</f>
        <v>47601</v>
      </c>
      <c r="B3437" s="2" t="str">
        <f>IFERROR(__xludf.DUMMYFUNCTION("""COMPUTED_VALUE"""),"Arts")</f>
        <v>Arts</v>
      </c>
      <c r="C3437" s="2" t="str">
        <f>IFERROR(__xludf.DUMMYFUNCTION("""COMPUTED_VALUE"""),"International Law")</f>
        <v>International Law</v>
      </c>
      <c r="D3437" s="2" t="str">
        <f>IFERROR(__xludf.DUMMYFUNCTION("""COMPUTED_VALUE"""),"Rivergate Books")</f>
        <v>Rivergate Books</v>
      </c>
      <c r="E3437" s="2">
        <f>IFERROR(__xludf.DUMMYFUNCTION("""COMPUTED_VALUE"""),2.77)</f>
        <v>2.77</v>
      </c>
      <c r="F3437" s="2"/>
      <c r="G3437" s="2"/>
      <c r="H3437" s="2"/>
      <c r="I3437" s="2"/>
    </row>
    <row r="3438">
      <c r="A3438" s="2">
        <f>IFERROR(__xludf.DUMMYFUNCTION("""COMPUTED_VALUE"""),87000.0)</f>
        <v>87000</v>
      </c>
      <c r="B3438" s="2" t="str">
        <f>IFERROR(__xludf.DUMMYFUNCTION("""COMPUTED_VALUE"""),"Arts")</f>
        <v>Arts</v>
      </c>
      <c r="C3438" s="2" t="str">
        <f>IFERROR(__xludf.DUMMYFUNCTION("""COMPUTED_VALUE"""),"International Law")</f>
        <v>International Law</v>
      </c>
      <c r="D3438" s="2" t="str">
        <f>IFERROR(__xludf.DUMMYFUNCTION("""COMPUTED_VALUE"""),"Rivergate Books")</f>
        <v>Rivergate Books</v>
      </c>
      <c r="E3438" s="2">
        <f>IFERROR(__xludf.DUMMYFUNCTION("""COMPUTED_VALUE"""),1.91)</f>
        <v>1.91</v>
      </c>
      <c r="F3438" s="2"/>
      <c r="G3438" s="2"/>
      <c r="H3438" s="2"/>
      <c r="I3438" s="2"/>
    </row>
    <row r="3439">
      <c r="A3439" s="2">
        <f>IFERROR(__xludf.DUMMYFUNCTION("""COMPUTED_VALUE"""),103457.0)</f>
        <v>103457</v>
      </c>
      <c r="B3439" s="2" t="str">
        <f>IFERROR(__xludf.DUMMYFUNCTION("""COMPUTED_VALUE"""),"Arts")</f>
        <v>Arts</v>
      </c>
      <c r="C3439" s="2" t="str">
        <f>IFERROR(__xludf.DUMMYFUNCTION("""COMPUTED_VALUE"""),"International Law")</f>
        <v>International Law</v>
      </c>
      <c r="D3439" s="2" t="str">
        <f>IFERROR(__xludf.DUMMYFUNCTION("""COMPUTED_VALUE"""),"Rivergate Books")</f>
        <v>Rivergate Books</v>
      </c>
      <c r="E3439" s="2">
        <f>IFERROR(__xludf.DUMMYFUNCTION("""COMPUTED_VALUE"""),1.73)</f>
        <v>1.73</v>
      </c>
      <c r="F3439" s="2"/>
      <c r="G3439" s="2"/>
      <c r="H3439" s="2"/>
      <c r="I3439" s="2"/>
    </row>
    <row r="3440">
      <c r="A3440" s="2">
        <f>IFERROR(__xludf.DUMMYFUNCTION("""COMPUTED_VALUE"""),42198.0)</f>
        <v>42198</v>
      </c>
      <c r="B3440" s="2" t="str">
        <f>IFERROR(__xludf.DUMMYFUNCTION("""COMPUTED_VALUE"""),"Arts")</f>
        <v>Arts</v>
      </c>
      <c r="C3440" s="2" t="str">
        <f>IFERROR(__xludf.DUMMYFUNCTION("""COMPUTED_VALUE"""),"International Law")</f>
        <v>International Law</v>
      </c>
      <c r="D3440" s="2" t="str">
        <f>IFERROR(__xludf.DUMMYFUNCTION("""COMPUTED_VALUE"""),"Rivergate Books")</f>
        <v>Rivergate Books</v>
      </c>
      <c r="E3440" s="2">
        <f>IFERROR(__xludf.DUMMYFUNCTION("""COMPUTED_VALUE"""),2.64)</f>
        <v>2.64</v>
      </c>
      <c r="F3440" s="2"/>
      <c r="G3440" s="2"/>
      <c r="H3440" s="2"/>
      <c r="I3440" s="2"/>
    </row>
    <row r="3441">
      <c r="A3441" s="2">
        <f>IFERROR(__xludf.DUMMYFUNCTION("""COMPUTED_VALUE"""),46823.0)</f>
        <v>46823</v>
      </c>
      <c r="B3441" s="2" t="str">
        <f>IFERROR(__xludf.DUMMYFUNCTION("""COMPUTED_VALUE"""),"Arts")</f>
        <v>Arts</v>
      </c>
      <c r="C3441" s="2" t="str">
        <f>IFERROR(__xludf.DUMMYFUNCTION("""COMPUTED_VALUE"""),"International Law")</f>
        <v>International Law</v>
      </c>
      <c r="D3441" s="2" t="str">
        <f>IFERROR(__xludf.DUMMYFUNCTION("""COMPUTED_VALUE"""),"Rivergate Books")</f>
        <v>Rivergate Books</v>
      </c>
      <c r="E3441" s="2">
        <f>IFERROR(__xludf.DUMMYFUNCTION("""COMPUTED_VALUE"""),2.84)</f>
        <v>2.84</v>
      </c>
      <c r="F3441" s="2"/>
      <c r="G3441" s="2"/>
      <c r="H3441" s="2"/>
      <c r="I3441" s="2"/>
    </row>
    <row r="3442">
      <c r="A3442" s="2">
        <f>IFERROR(__xludf.DUMMYFUNCTION("""COMPUTED_VALUE"""),116196.0)</f>
        <v>116196</v>
      </c>
      <c r="B3442" s="2" t="str">
        <f>IFERROR(__xludf.DUMMYFUNCTION("""COMPUTED_VALUE"""),"Arts")</f>
        <v>Arts</v>
      </c>
      <c r="C3442" s="2" t="str">
        <f>IFERROR(__xludf.DUMMYFUNCTION("""COMPUTED_VALUE"""),"International Law")</f>
        <v>International Law</v>
      </c>
      <c r="D3442" s="2" t="str">
        <f>IFERROR(__xludf.DUMMYFUNCTION("""COMPUTED_VALUE"""),"Rivergate Books")</f>
        <v>Rivergate Books</v>
      </c>
      <c r="E3442" s="2">
        <f>IFERROR(__xludf.DUMMYFUNCTION("""COMPUTED_VALUE"""),1.76)</f>
        <v>1.76</v>
      </c>
      <c r="F3442" s="2"/>
      <c r="G3442" s="2"/>
      <c r="H3442" s="2"/>
      <c r="I3442" s="2"/>
    </row>
    <row r="3443">
      <c r="A3443" s="2">
        <f>IFERROR(__xludf.DUMMYFUNCTION("""COMPUTED_VALUE"""),111177.0)</f>
        <v>111177</v>
      </c>
      <c r="B3443" s="2" t="str">
        <f>IFERROR(__xludf.DUMMYFUNCTION("""COMPUTED_VALUE"""),"Arts")</f>
        <v>Arts</v>
      </c>
      <c r="C3443" s="2" t="str">
        <f>IFERROR(__xludf.DUMMYFUNCTION("""COMPUTED_VALUE"""),"International Law")</f>
        <v>International Law</v>
      </c>
      <c r="D3443" s="2" t="str">
        <f>IFERROR(__xludf.DUMMYFUNCTION("""COMPUTED_VALUE"""),"Rivergate Books")</f>
        <v>Rivergate Books</v>
      </c>
      <c r="E3443" s="2">
        <f>IFERROR(__xludf.DUMMYFUNCTION("""COMPUTED_VALUE"""),6.69)</f>
        <v>6.69</v>
      </c>
      <c r="F3443" s="2"/>
      <c r="G3443" s="2"/>
      <c r="H3443" s="2"/>
      <c r="I3443" s="2"/>
    </row>
    <row r="3444">
      <c r="A3444" s="2">
        <f>IFERROR(__xludf.DUMMYFUNCTION("""COMPUTED_VALUE"""),70292.0)</f>
        <v>70292</v>
      </c>
      <c r="B3444" s="2" t="str">
        <f>IFERROR(__xludf.DUMMYFUNCTION("""COMPUTED_VALUE"""),"Arts")</f>
        <v>Arts</v>
      </c>
      <c r="C3444" s="2" t="str">
        <f>IFERROR(__xludf.DUMMYFUNCTION("""COMPUTED_VALUE"""),"International Law")</f>
        <v>International Law</v>
      </c>
      <c r="D3444" s="2" t="str">
        <f>IFERROR(__xludf.DUMMYFUNCTION("""COMPUTED_VALUE"""),"Rivergate Books")</f>
        <v>Rivergate Books</v>
      </c>
      <c r="E3444" s="2">
        <f>IFERROR(__xludf.DUMMYFUNCTION("""COMPUTED_VALUE"""),5.21)</f>
        <v>5.21</v>
      </c>
      <c r="F3444" s="2"/>
      <c r="G3444" s="2"/>
      <c r="H3444" s="2"/>
      <c r="I3444" s="2"/>
    </row>
    <row r="3445">
      <c r="A3445" s="2">
        <f>IFERROR(__xludf.DUMMYFUNCTION("""COMPUTED_VALUE"""),90008.0)</f>
        <v>90008</v>
      </c>
      <c r="B3445" s="2" t="str">
        <f>IFERROR(__xludf.DUMMYFUNCTION("""COMPUTED_VALUE"""),"Arts")</f>
        <v>Arts</v>
      </c>
      <c r="C3445" s="2" t="str">
        <f>IFERROR(__xludf.DUMMYFUNCTION("""COMPUTED_VALUE"""),"International Law")</f>
        <v>International Law</v>
      </c>
      <c r="D3445" s="2" t="str">
        <f>IFERROR(__xludf.DUMMYFUNCTION("""COMPUTED_VALUE"""),"Rivergate Books")</f>
        <v>Rivergate Books</v>
      </c>
      <c r="E3445" s="2">
        <f>IFERROR(__xludf.DUMMYFUNCTION("""COMPUTED_VALUE"""),2.75)</f>
        <v>2.75</v>
      </c>
      <c r="F3445" s="2"/>
      <c r="G3445" s="2"/>
      <c r="H3445" s="2"/>
      <c r="I3445" s="2"/>
    </row>
    <row r="3446">
      <c r="A3446" s="2">
        <f>IFERROR(__xludf.DUMMYFUNCTION("""COMPUTED_VALUE"""),71768.0)</f>
        <v>71768</v>
      </c>
      <c r="B3446" s="2" t="str">
        <f>IFERROR(__xludf.DUMMYFUNCTION("""COMPUTED_VALUE"""),"Arts")</f>
        <v>Arts</v>
      </c>
      <c r="C3446" s="2" t="str">
        <f>IFERROR(__xludf.DUMMYFUNCTION("""COMPUTED_VALUE"""),"International Law")</f>
        <v>International Law</v>
      </c>
      <c r="D3446" s="2" t="str">
        <f>IFERROR(__xludf.DUMMYFUNCTION("""COMPUTED_VALUE"""),"Rivergate Books")</f>
        <v>Rivergate Books</v>
      </c>
      <c r="E3446" s="2">
        <f>IFERROR(__xludf.DUMMYFUNCTION("""COMPUTED_VALUE"""),2.12)</f>
        <v>2.12</v>
      </c>
      <c r="F3446" s="2"/>
      <c r="G3446" s="2"/>
      <c r="H3446" s="2"/>
      <c r="I3446" s="2"/>
    </row>
    <row r="3447">
      <c r="A3447" s="2">
        <f>IFERROR(__xludf.DUMMYFUNCTION("""COMPUTED_VALUE"""),86972.0)</f>
        <v>86972</v>
      </c>
      <c r="B3447" s="2" t="str">
        <f>IFERROR(__xludf.DUMMYFUNCTION("""COMPUTED_VALUE"""),"Arts")</f>
        <v>Arts</v>
      </c>
      <c r="C3447" s="2" t="str">
        <f>IFERROR(__xludf.DUMMYFUNCTION("""COMPUTED_VALUE"""),"International Law")</f>
        <v>International Law</v>
      </c>
      <c r="D3447" s="2" t="str">
        <f>IFERROR(__xludf.DUMMYFUNCTION("""COMPUTED_VALUE"""),"Rivergate Books")</f>
        <v>Rivergate Books</v>
      </c>
      <c r="E3447" s="2">
        <f>IFERROR(__xludf.DUMMYFUNCTION("""COMPUTED_VALUE"""),2.09)</f>
        <v>2.09</v>
      </c>
      <c r="F3447" s="2"/>
      <c r="G3447" s="2"/>
      <c r="H3447" s="2"/>
      <c r="I3447" s="2"/>
    </row>
    <row r="3448">
      <c r="A3448" s="2">
        <f>IFERROR(__xludf.DUMMYFUNCTION("""COMPUTED_VALUE"""),111179.0)</f>
        <v>111179</v>
      </c>
      <c r="B3448" s="2" t="str">
        <f>IFERROR(__xludf.DUMMYFUNCTION("""COMPUTED_VALUE"""),"Arts")</f>
        <v>Arts</v>
      </c>
      <c r="C3448" s="2" t="str">
        <f>IFERROR(__xludf.DUMMYFUNCTION("""COMPUTED_VALUE"""),"International Law")</f>
        <v>International Law</v>
      </c>
      <c r="D3448" s="2" t="str">
        <f>IFERROR(__xludf.DUMMYFUNCTION("""COMPUTED_VALUE"""),"Rivergate Books")</f>
        <v>Rivergate Books</v>
      </c>
      <c r="E3448" s="2">
        <f>IFERROR(__xludf.DUMMYFUNCTION("""COMPUTED_VALUE"""),8.55)</f>
        <v>8.55</v>
      </c>
      <c r="F3448" s="2"/>
      <c r="G3448" s="2"/>
      <c r="H3448" s="2"/>
      <c r="I3448" s="2"/>
    </row>
    <row r="3449">
      <c r="A3449" s="2">
        <f>IFERROR(__xludf.DUMMYFUNCTION("""COMPUTED_VALUE"""),81726.0)</f>
        <v>81726</v>
      </c>
      <c r="B3449" s="2" t="str">
        <f>IFERROR(__xludf.DUMMYFUNCTION("""COMPUTED_VALUE"""),"Arts")</f>
        <v>Arts</v>
      </c>
      <c r="C3449" s="2" t="str">
        <f>IFERROR(__xludf.DUMMYFUNCTION("""COMPUTED_VALUE"""),"International Law")</f>
        <v>International Law</v>
      </c>
      <c r="D3449" s="2" t="str">
        <f>IFERROR(__xludf.DUMMYFUNCTION("""COMPUTED_VALUE"""),"Rivergate Books")</f>
        <v>Rivergate Books</v>
      </c>
      <c r="E3449" s="2">
        <f>IFERROR(__xludf.DUMMYFUNCTION("""COMPUTED_VALUE"""),1.74)</f>
        <v>1.74</v>
      </c>
      <c r="F3449" s="2"/>
      <c r="G3449" s="2"/>
      <c r="H3449" s="2"/>
      <c r="I3449" s="2"/>
    </row>
    <row r="3450">
      <c r="A3450" s="2">
        <f>IFERROR(__xludf.DUMMYFUNCTION("""COMPUTED_VALUE"""),28535.0)</f>
        <v>28535</v>
      </c>
      <c r="B3450" s="2" t="str">
        <f>IFERROR(__xludf.DUMMYFUNCTION("""COMPUTED_VALUE"""),"Arts")</f>
        <v>Arts</v>
      </c>
      <c r="C3450" s="2" t="str">
        <f>IFERROR(__xludf.DUMMYFUNCTION("""COMPUTED_VALUE"""),"International Law")</f>
        <v>International Law</v>
      </c>
      <c r="D3450" s="2" t="str">
        <f>IFERROR(__xludf.DUMMYFUNCTION("""COMPUTED_VALUE"""),"Rivergate Books")</f>
        <v>Rivergate Books</v>
      </c>
      <c r="E3450" s="2">
        <f>IFERROR(__xludf.DUMMYFUNCTION("""COMPUTED_VALUE"""),5.6)</f>
        <v>5.6</v>
      </c>
      <c r="F3450" s="2"/>
      <c r="G3450" s="2"/>
      <c r="H3450" s="2"/>
      <c r="I3450" s="2"/>
    </row>
    <row r="3451">
      <c r="A3451" s="2">
        <f>IFERROR(__xludf.DUMMYFUNCTION("""COMPUTED_VALUE"""),80682.0)</f>
        <v>80682</v>
      </c>
      <c r="B3451" s="2" t="str">
        <f>IFERROR(__xludf.DUMMYFUNCTION("""COMPUTED_VALUE"""),"Arts")</f>
        <v>Arts</v>
      </c>
      <c r="C3451" s="2" t="str">
        <f>IFERROR(__xludf.DUMMYFUNCTION("""COMPUTED_VALUE"""),"International Law")</f>
        <v>International Law</v>
      </c>
      <c r="D3451" s="2" t="str">
        <f>IFERROR(__xludf.DUMMYFUNCTION("""COMPUTED_VALUE"""),"Rivergate Books")</f>
        <v>Rivergate Books</v>
      </c>
      <c r="E3451" s="2">
        <f>IFERROR(__xludf.DUMMYFUNCTION("""COMPUTED_VALUE"""),2.14)</f>
        <v>2.14</v>
      </c>
      <c r="F3451" s="2"/>
      <c r="G3451" s="2"/>
      <c r="H3451" s="2"/>
      <c r="I3451" s="2"/>
    </row>
    <row r="3452">
      <c r="A3452" s="2">
        <f>IFERROR(__xludf.DUMMYFUNCTION("""COMPUTED_VALUE"""),144008.0)</f>
        <v>144008</v>
      </c>
      <c r="B3452" s="2" t="str">
        <f>IFERROR(__xludf.DUMMYFUNCTION("""COMPUTED_VALUE"""),"Arts")</f>
        <v>Arts</v>
      </c>
      <c r="C3452" s="2" t="str">
        <f>IFERROR(__xludf.DUMMYFUNCTION("""COMPUTED_VALUE"""),"International Law")</f>
        <v>International Law</v>
      </c>
      <c r="D3452" s="2" t="str">
        <f>IFERROR(__xludf.DUMMYFUNCTION("""COMPUTED_VALUE"""),"Rivergate Books")</f>
        <v>Rivergate Books</v>
      </c>
      <c r="E3452" s="2">
        <f>IFERROR(__xludf.DUMMYFUNCTION("""COMPUTED_VALUE"""),2.26)</f>
        <v>2.26</v>
      </c>
      <c r="F3452" s="2"/>
      <c r="G3452" s="2"/>
      <c r="H3452" s="2"/>
      <c r="I3452" s="2"/>
    </row>
    <row r="3453">
      <c r="A3453" s="2">
        <f>IFERROR(__xludf.DUMMYFUNCTION("""COMPUTED_VALUE"""),111129.0)</f>
        <v>111129</v>
      </c>
      <c r="B3453" s="2" t="str">
        <f>IFERROR(__xludf.DUMMYFUNCTION("""COMPUTED_VALUE"""),"Arts")</f>
        <v>Arts</v>
      </c>
      <c r="C3453" s="2" t="str">
        <f>IFERROR(__xludf.DUMMYFUNCTION("""COMPUTED_VALUE"""),"International Law")</f>
        <v>International Law</v>
      </c>
      <c r="D3453" s="2" t="str">
        <f>IFERROR(__xludf.DUMMYFUNCTION("""COMPUTED_VALUE"""),"Rivergate Books")</f>
        <v>Rivergate Books</v>
      </c>
      <c r="E3453" s="2">
        <f>IFERROR(__xludf.DUMMYFUNCTION("""COMPUTED_VALUE"""),2.25)</f>
        <v>2.25</v>
      </c>
      <c r="F3453" s="2"/>
      <c r="G3453" s="2"/>
      <c r="H3453" s="2"/>
      <c r="I3453" s="2"/>
    </row>
    <row r="3454">
      <c r="A3454" s="2">
        <f>IFERROR(__xludf.DUMMYFUNCTION("""COMPUTED_VALUE"""),107307.0)</f>
        <v>107307</v>
      </c>
      <c r="B3454" s="2" t="str">
        <f>IFERROR(__xludf.DUMMYFUNCTION("""COMPUTED_VALUE"""),"Arts")</f>
        <v>Arts</v>
      </c>
      <c r="C3454" s="2" t="str">
        <f>IFERROR(__xludf.DUMMYFUNCTION("""COMPUTED_VALUE"""),"International Law")</f>
        <v>International Law</v>
      </c>
      <c r="D3454" s="2" t="str">
        <f>IFERROR(__xludf.DUMMYFUNCTION("""COMPUTED_VALUE"""),"Rivergate Books")</f>
        <v>Rivergate Books</v>
      </c>
      <c r="E3454" s="2">
        <f>IFERROR(__xludf.DUMMYFUNCTION("""COMPUTED_VALUE"""),3.67)</f>
        <v>3.67</v>
      </c>
      <c r="F3454" s="2"/>
      <c r="G3454" s="2"/>
      <c r="H3454" s="2"/>
      <c r="I3454" s="2"/>
    </row>
    <row r="3455">
      <c r="A3455" s="2">
        <f>IFERROR(__xludf.DUMMYFUNCTION("""COMPUTED_VALUE"""),70206.0)</f>
        <v>70206</v>
      </c>
      <c r="B3455" s="2" t="str">
        <f>IFERROR(__xludf.DUMMYFUNCTION("""COMPUTED_VALUE"""),"Arts")</f>
        <v>Arts</v>
      </c>
      <c r="C3455" s="2" t="str">
        <f>IFERROR(__xludf.DUMMYFUNCTION("""COMPUTED_VALUE"""),"International Law")</f>
        <v>International Law</v>
      </c>
      <c r="D3455" s="2" t="str">
        <f>IFERROR(__xludf.DUMMYFUNCTION("""COMPUTED_VALUE"""),"Rivergate Books")</f>
        <v>Rivergate Books</v>
      </c>
      <c r="E3455" s="2">
        <f>IFERROR(__xludf.DUMMYFUNCTION("""COMPUTED_VALUE"""),4.0)</f>
        <v>4</v>
      </c>
      <c r="F3455" s="2"/>
      <c r="G3455" s="2"/>
      <c r="H3455" s="2"/>
      <c r="I3455" s="2"/>
    </row>
    <row r="3456">
      <c r="A3456" s="2">
        <f>IFERROR(__xludf.DUMMYFUNCTION("""COMPUTED_VALUE"""),107349.0)</f>
        <v>107349</v>
      </c>
      <c r="B3456" s="2" t="str">
        <f>IFERROR(__xludf.DUMMYFUNCTION("""COMPUTED_VALUE"""),"Arts")</f>
        <v>Arts</v>
      </c>
      <c r="C3456" s="2" t="str">
        <f>IFERROR(__xludf.DUMMYFUNCTION("""COMPUTED_VALUE"""),"International Law")</f>
        <v>International Law</v>
      </c>
      <c r="D3456" s="2" t="str">
        <f>IFERROR(__xludf.DUMMYFUNCTION("""COMPUTED_VALUE"""),"Rivergate Books")</f>
        <v>Rivergate Books</v>
      </c>
      <c r="E3456" s="2">
        <f>IFERROR(__xludf.DUMMYFUNCTION("""COMPUTED_VALUE"""),2.39)</f>
        <v>2.39</v>
      </c>
      <c r="F3456" s="2"/>
      <c r="G3456" s="2"/>
      <c r="H3456" s="2"/>
      <c r="I3456" s="2"/>
    </row>
    <row r="3457">
      <c r="A3457" s="2">
        <f>IFERROR(__xludf.DUMMYFUNCTION("""COMPUTED_VALUE"""),122231.0)</f>
        <v>122231</v>
      </c>
      <c r="B3457" s="2" t="str">
        <f>IFERROR(__xludf.DUMMYFUNCTION("""COMPUTED_VALUE"""),"Arts")</f>
        <v>Arts</v>
      </c>
      <c r="C3457" s="2" t="str">
        <f>IFERROR(__xludf.DUMMYFUNCTION("""COMPUTED_VALUE"""),"International Law")</f>
        <v>International Law</v>
      </c>
      <c r="D3457" s="2" t="str">
        <f>IFERROR(__xludf.DUMMYFUNCTION("""COMPUTED_VALUE"""),"Rivergate Books")</f>
        <v>Rivergate Books</v>
      </c>
      <c r="E3457" s="2">
        <f>IFERROR(__xludf.DUMMYFUNCTION("""COMPUTED_VALUE"""),2.5)</f>
        <v>2.5</v>
      </c>
      <c r="F3457" s="2"/>
      <c r="G3457" s="2"/>
      <c r="H3457" s="2"/>
      <c r="I3457" s="2"/>
    </row>
    <row r="3458">
      <c r="A3458" s="2">
        <f>IFERROR(__xludf.DUMMYFUNCTION("""COMPUTED_VALUE"""),103458.0)</f>
        <v>103458</v>
      </c>
      <c r="B3458" s="2" t="str">
        <f>IFERROR(__xludf.DUMMYFUNCTION("""COMPUTED_VALUE"""),"Arts")</f>
        <v>Arts</v>
      </c>
      <c r="C3458" s="2" t="str">
        <f>IFERROR(__xludf.DUMMYFUNCTION("""COMPUTED_VALUE"""),"International Law")</f>
        <v>International Law</v>
      </c>
      <c r="D3458" s="2" t="str">
        <f>IFERROR(__xludf.DUMMYFUNCTION("""COMPUTED_VALUE"""),"Rivergate Books")</f>
        <v>Rivergate Books</v>
      </c>
      <c r="E3458" s="2">
        <f>IFERROR(__xludf.DUMMYFUNCTION("""COMPUTED_VALUE"""),5.37)</f>
        <v>5.37</v>
      </c>
      <c r="F3458" s="2"/>
      <c r="G3458" s="2"/>
      <c r="H3458" s="2"/>
      <c r="I3458" s="2"/>
    </row>
    <row r="3459">
      <c r="A3459" s="2">
        <f>IFERROR(__xludf.DUMMYFUNCTION("""COMPUTED_VALUE"""),71838.0)</f>
        <v>71838</v>
      </c>
      <c r="B3459" s="2" t="str">
        <f>IFERROR(__xludf.DUMMYFUNCTION("""COMPUTED_VALUE"""),"Arts")</f>
        <v>Arts</v>
      </c>
      <c r="C3459" s="2" t="str">
        <f>IFERROR(__xludf.DUMMYFUNCTION("""COMPUTED_VALUE"""),"International Law")</f>
        <v>International Law</v>
      </c>
      <c r="D3459" s="2" t="str">
        <f>IFERROR(__xludf.DUMMYFUNCTION("""COMPUTED_VALUE"""),"Rivergate Books")</f>
        <v>Rivergate Books</v>
      </c>
      <c r="E3459" s="2">
        <f>IFERROR(__xludf.DUMMYFUNCTION("""COMPUTED_VALUE"""),2.63)</f>
        <v>2.63</v>
      </c>
      <c r="F3459" s="2"/>
      <c r="G3459" s="2"/>
      <c r="H3459" s="2"/>
      <c r="I3459" s="2"/>
    </row>
    <row r="3460">
      <c r="A3460" s="2">
        <f>IFERROR(__xludf.DUMMYFUNCTION("""COMPUTED_VALUE"""),104671.0)</f>
        <v>104671</v>
      </c>
      <c r="B3460" s="2" t="str">
        <f>IFERROR(__xludf.DUMMYFUNCTION("""COMPUTED_VALUE"""),"Arts")</f>
        <v>Arts</v>
      </c>
      <c r="C3460" s="2" t="str">
        <f>IFERROR(__xludf.DUMMYFUNCTION("""COMPUTED_VALUE"""),"International Law")</f>
        <v>International Law</v>
      </c>
      <c r="D3460" s="2" t="str">
        <f>IFERROR(__xludf.DUMMYFUNCTION("""COMPUTED_VALUE"""),"Rivergate Books")</f>
        <v>Rivergate Books</v>
      </c>
      <c r="E3460" s="2">
        <f>IFERROR(__xludf.DUMMYFUNCTION("""COMPUTED_VALUE"""),2.38)</f>
        <v>2.38</v>
      </c>
      <c r="F3460" s="2"/>
      <c r="G3460" s="2"/>
      <c r="H3460" s="2"/>
      <c r="I3460" s="2"/>
    </row>
    <row r="3461">
      <c r="A3461" s="2">
        <f>IFERROR(__xludf.DUMMYFUNCTION("""COMPUTED_VALUE"""),83793.0)</f>
        <v>83793</v>
      </c>
      <c r="B3461" s="2" t="str">
        <f>IFERROR(__xludf.DUMMYFUNCTION("""COMPUTED_VALUE"""),"Arts")</f>
        <v>Arts</v>
      </c>
      <c r="C3461" s="2" t="str">
        <f>IFERROR(__xludf.DUMMYFUNCTION("""COMPUTED_VALUE"""),"International Law")</f>
        <v>International Law</v>
      </c>
      <c r="D3461" s="2" t="str">
        <f>IFERROR(__xludf.DUMMYFUNCTION("""COMPUTED_VALUE"""),"Rivergate Books")</f>
        <v>Rivergate Books</v>
      </c>
      <c r="E3461" s="2">
        <f>IFERROR(__xludf.DUMMYFUNCTION("""COMPUTED_VALUE"""),2.2)</f>
        <v>2.2</v>
      </c>
      <c r="F3461" s="2"/>
      <c r="G3461" s="2"/>
      <c r="H3461" s="2"/>
      <c r="I3461" s="2"/>
    </row>
    <row r="3462">
      <c r="A3462" s="2">
        <f>IFERROR(__xludf.DUMMYFUNCTION("""COMPUTED_VALUE"""),50478.0)</f>
        <v>50478</v>
      </c>
      <c r="B3462" s="2" t="str">
        <f>IFERROR(__xludf.DUMMYFUNCTION("""COMPUTED_VALUE"""),"Arts")</f>
        <v>Arts</v>
      </c>
      <c r="C3462" s="2" t="str">
        <f>IFERROR(__xludf.DUMMYFUNCTION("""COMPUTED_VALUE"""),"International Law")</f>
        <v>International Law</v>
      </c>
      <c r="D3462" s="2" t="str">
        <f>IFERROR(__xludf.DUMMYFUNCTION("""COMPUTED_VALUE"""),"Rivergate Books")</f>
        <v>Rivergate Books</v>
      </c>
      <c r="E3462" s="2">
        <f>IFERROR(__xludf.DUMMYFUNCTION("""COMPUTED_VALUE"""),1.64)</f>
        <v>1.64</v>
      </c>
      <c r="F3462" s="2"/>
      <c r="G3462" s="2"/>
      <c r="H3462" s="2"/>
      <c r="I3462" s="2"/>
    </row>
    <row r="3463">
      <c r="A3463" s="2">
        <f>IFERROR(__xludf.DUMMYFUNCTION("""COMPUTED_VALUE"""),118891.0)</f>
        <v>118891</v>
      </c>
      <c r="B3463" s="2" t="str">
        <f>IFERROR(__xludf.DUMMYFUNCTION("""COMPUTED_VALUE"""),"Arts")</f>
        <v>Arts</v>
      </c>
      <c r="C3463" s="2" t="str">
        <f>IFERROR(__xludf.DUMMYFUNCTION("""COMPUTED_VALUE"""),"International Law")</f>
        <v>International Law</v>
      </c>
      <c r="D3463" s="2" t="str">
        <f>IFERROR(__xludf.DUMMYFUNCTION("""COMPUTED_VALUE"""),"Rivergate Books")</f>
        <v>Rivergate Books</v>
      </c>
      <c r="E3463" s="2">
        <f>IFERROR(__xludf.DUMMYFUNCTION("""COMPUTED_VALUE"""),1.45)</f>
        <v>1.45</v>
      </c>
      <c r="F3463" s="2"/>
      <c r="G3463" s="2"/>
      <c r="H3463" s="2"/>
      <c r="I3463" s="2"/>
    </row>
    <row r="3464">
      <c r="A3464" s="2">
        <f>IFERROR(__xludf.DUMMYFUNCTION("""COMPUTED_VALUE"""),70440.0)</f>
        <v>70440</v>
      </c>
      <c r="B3464" s="2" t="str">
        <f>IFERROR(__xludf.DUMMYFUNCTION("""COMPUTED_VALUE"""),"Arts")</f>
        <v>Arts</v>
      </c>
      <c r="C3464" s="2" t="str">
        <f>IFERROR(__xludf.DUMMYFUNCTION("""COMPUTED_VALUE"""),"International Law")</f>
        <v>International Law</v>
      </c>
      <c r="D3464" s="2" t="str">
        <f>IFERROR(__xludf.DUMMYFUNCTION("""COMPUTED_VALUE"""),"Rivergate Books")</f>
        <v>Rivergate Books</v>
      </c>
      <c r="E3464" s="2">
        <f>IFERROR(__xludf.DUMMYFUNCTION("""COMPUTED_VALUE"""),3.33)</f>
        <v>3.33</v>
      </c>
      <c r="F3464" s="2"/>
      <c r="G3464" s="2"/>
      <c r="H3464" s="2"/>
      <c r="I3464" s="2"/>
    </row>
    <row r="3465">
      <c r="A3465" s="2">
        <f>IFERROR(__xludf.DUMMYFUNCTION("""COMPUTED_VALUE"""),44840.0)</f>
        <v>44840</v>
      </c>
      <c r="B3465" s="2" t="str">
        <f>IFERROR(__xludf.DUMMYFUNCTION("""COMPUTED_VALUE"""),"Arts")</f>
        <v>Arts</v>
      </c>
      <c r="C3465" s="2" t="str">
        <f>IFERROR(__xludf.DUMMYFUNCTION("""COMPUTED_VALUE"""),"International Law")</f>
        <v>International Law</v>
      </c>
      <c r="D3465" s="2" t="str">
        <f>IFERROR(__xludf.DUMMYFUNCTION("""COMPUTED_VALUE"""),"Rivergate Books")</f>
        <v>Rivergate Books</v>
      </c>
      <c r="E3465" s="2">
        <f>IFERROR(__xludf.DUMMYFUNCTION("""COMPUTED_VALUE"""),2.01)</f>
        <v>2.01</v>
      </c>
      <c r="F3465" s="2"/>
      <c r="G3465" s="2"/>
      <c r="H3465" s="2"/>
      <c r="I3465" s="2"/>
    </row>
    <row r="3466">
      <c r="A3466" s="2">
        <f>IFERROR(__xludf.DUMMYFUNCTION("""COMPUTED_VALUE"""),107304.0)</f>
        <v>107304</v>
      </c>
      <c r="B3466" s="2" t="str">
        <f>IFERROR(__xludf.DUMMYFUNCTION("""COMPUTED_VALUE"""),"Arts")</f>
        <v>Arts</v>
      </c>
      <c r="C3466" s="2" t="str">
        <f>IFERROR(__xludf.DUMMYFUNCTION("""COMPUTED_VALUE"""),"International Law")</f>
        <v>International Law</v>
      </c>
      <c r="D3466" s="2" t="str">
        <f>IFERROR(__xludf.DUMMYFUNCTION("""COMPUTED_VALUE"""),"Rivergate Books")</f>
        <v>Rivergate Books</v>
      </c>
      <c r="E3466" s="2">
        <f>IFERROR(__xludf.DUMMYFUNCTION("""COMPUTED_VALUE"""),3.27)</f>
        <v>3.27</v>
      </c>
      <c r="F3466" s="2"/>
      <c r="G3466" s="2"/>
      <c r="H3466" s="2"/>
      <c r="I3466" s="2"/>
    </row>
    <row r="3467">
      <c r="A3467" s="2">
        <f>IFERROR(__xludf.DUMMYFUNCTION("""COMPUTED_VALUE"""),116195.0)</f>
        <v>116195</v>
      </c>
      <c r="B3467" s="2" t="str">
        <f>IFERROR(__xludf.DUMMYFUNCTION("""COMPUTED_VALUE"""),"Arts")</f>
        <v>Arts</v>
      </c>
      <c r="C3467" s="2" t="str">
        <f>IFERROR(__xludf.DUMMYFUNCTION("""COMPUTED_VALUE"""),"International Law")</f>
        <v>International Law</v>
      </c>
      <c r="D3467" s="2" t="str">
        <f>IFERROR(__xludf.DUMMYFUNCTION("""COMPUTED_VALUE"""),"Rivergate Books")</f>
        <v>Rivergate Books</v>
      </c>
      <c r="E3467" s="2">
        <f>IFERROR(__xludf.DUMMYFUNCTION("""COMPUTED_VALUE"""),1.77)</f>
        <v>1.77</v>
      </c>
      <c r="F3467" s="2"/>
      <c r="G3467" s="2"/>
      <c r="H3467" s="2"/>
      <c r="I3467" s="2"/>
    </row>
    <row r="3468">
      <c r="A3468" s="2">
        <f>IFERROR(__xludf.DUMMYFUNCTION("""COMPUTED_VALUE"""),86980.0)</f>
        <v>86980</v>
      </c>
      <c r="B3468" s="2" t="str">
        <f>IFERROR(__xludf.DUMMYFUNCTION("""COMPUTED_VALUE"""),"Arts")</f>
        <v>Arts</v>
      </c>
      <c r="C3468" s="2" t="str">
        <f>IFERROR(__xludf.DUMMYFUNCTION("""COMPUTED_VALUE"""),"International Law")</f>
        <v>International Law</v>
      </c>
      <c r="D3468" s="2" t="str">
        <f>IFERROR(__xludf.DUMMYFUNCTION("""COMPUTED_VALUE"""),"Rivergate Books")</f>
        <v>Rivergate Books</v>
      </c>
      <c r="E3468" s="2">
        <f>IFERROR(__xludf.DUMMYFUNCTION("""COMPUTED_VALUE"""),1.85)</f>
        <v>1.85</v>
      </c>
      <c r="F3468" s="2"/>
      <c r="G3468" s="2"/>
      <c r="H3468" s="2"/>
      <c r="I3468" s="2"/>
    </row>
    <row r="3469">
      <c r="A3469" s="2">
        <f>IFERROR(__xludf.DUMMYFUNCTION("""COMPUTED_VALUE"""),122230.0)</f>
        <v>122230</v>
      </c>
      <c r="B3469" s="2" t="str">
        <f>IFERROR(__xludf.DUMMYFUNCTION("""COMPUTED_VALUE"""),"Arts")</f>
        <v>Arts</v>
      </c>
      <c r="C3469" s="2" t="str">
        <f>IFERROR(__xludf.DUMMYFUNCTION("""COMPUTED_VALUE"""),"International Law")</f>
        <v>International Law</v>
      </c>
      <c r="D3469" s="2" t="str">
        <f>IFERROR(__xludf.DUMMYFUNCTION("""COMPUTED_VALUE"""),"Rivergate Books")</f>
        <v>Rivergate Books</v>
      </c>
      <c r="E3469" s="2">
        <f>IFERROR(__xludf.DUMMYFUNCTION("""COMPUTED_VALUE"""),2.14)</f>
        <v>2.14</v>
      </c>
      <c r="F3469" s="2"/>
      <c r="G3469" s="2"/>
      <c r="H3469" s="2"/>
      <c r="I3469" s="2"/>
    </row>
    <row r="3470">
      <c r="A3470" s="2">
        <f>IFERROR(__xludf.DUMMYFUNCTION("""COMPUTED_VALUE"""),47602.0)</f>
        <v>47602</v>
      </c>
      <c r="B3470" s="2" t="str">
        <f>IFERROR(__xludf.DUMMYFUNCTION("""COMPUTED_VALUE"""),"Arts")</f>
        <v>Arts</v>
      </c>
      <c r="C3470" s="2" t="str">
        <f>IFERROR(__xludf.DUMMYFUNCTION("""COMPUTED_VALUE"""),"International Law")</f>
        <v>International Law</v>
      </c>
      <c r="D3470" s="2" t="str">
        <f>IFERROR(__xludf.DUMMYFUNCTION("""COMPUTED_VALUE"""),"Rivergate Books")</f>
        <v>Rivergate Books</v>
      </c>
      <c r="E3470" s="2">
        <f>IFERROR(__xludf.DUMMYFUNCTION("""COMPUTED_VALUE"""),1.83)</f>
        <v>1.83</v>
      </c>
      <c r="F3470" s="2"/>
      <c r="G3470" s="2"/>
      <c r="H3470" s="2"/>
      <c r="I3470" s="2"/>
    </row>
    <row r="3471">
      <c r="A3471" s="2">
        <f>IFERROR(__xludf.DUMMYFUNCTION("""COMPUTED_VALUE"""),42190.0)</f>
        <v>42190</v>
      </c>
      <c r="B3471" s="2" t="str">
        <f>IFERROR(__xludf.DUMMYFUNCTION("""COMPUTED_VALUE"""),"Arts")</f>
        <v>Arts</v>
      </c>
      <c r="C3471" s="2" t="str">
        <f>IFERROR(__xludf.DUMMYFUNCTION("""COMPUTED_VALUE"""),"International Law")</f>
        <v>International Law</v>
      </c>
      <c r="D3471" s="2" t="str">
        <f>IFERROR(__xludf.DUMMYFUNCTION("""COMPUTED_VALUE"""),"Rivergate Books")</f>
        <v>Rivergate Books</v>
      </c>
      <c r="E3471" s="2">
        <f>IFERROR(__xludf.DUMMYFUNCTION("""COMPUTED_VALUE"""),2.01)</f>
        <v>2.01</v>
      </c>
      <c r="F3471" s="2"/>
      <c r="G3471" s="2"/>
      <c r="H3471" s="2"/>
      <c r="I3471" s="2"/>
    </row>
    <row r="3472">
      <c r="A3472" s="2">
        <f>IFERROR(__xludf.DUMMYFUNCTION("""COMPUTED_VALUE"""),111130.0)</f>
        <v>111130</v>
      </c>
      <c r="B3472" s="2" t="str">
        <f>IFERROR(__xludf.DUMMYFUNCTION("""COMPUTED_VALUE"""),"Arts")</f>
        <v>Arts</v>
      </c>
      <c r="C3472" s="2" t="str">
        <f>IFERROR(__xludf.DUMMYFUNCTION("""COMPUTED_VALUE"""),"International Law")</f>
        <v>International Law</v>
      </c>
      <c r="D3472" s="2" t="str">
        <f>IFERROR(__xludf.DUMMYFUNCTION("""COMPUTED_VALUE"""),"Rivergate Books")</f>
        <v>Rivergate Books</v>
      </c>
      <c r="E3472" s="2">
        <f>IFERROR(__xludf.DUMMYFUNCTION("""COMPUTED_VALUE"""),2.6)</f>
        <v>2.6</v>
      </c>
      <c r="F3472" s="2"/>
      <c r="G3472" s="2"/>
      <c r="H3472" s="2"/>
      <c r="I3472" s="2"/>
    </row>
    <row r="3473">
      <c r="A3473" s="2">
        <f>IFERROR(__xludf.DUMMYFUNCTION("""COMPUTED_VALUE"""),71774.0)</f>
        <v>71774</v>
      </c>
      <c r="B3473" s="2" t="str">
        <f>IFERROR(__xludf.DUMMYFUNCTION("""COMPUTED_VALUE"""),"Arts")</f>
        <v>Arts</v>
      </c>
      <c r="C3473" s="2" t="str">
        <f>IFERROR(__xludf.DUMMYFUNCTION("""COMPUTED_VALUE"""),"International Law")</f>
        <v>International Law</v>
      </c>
      <c r="D3473" s="2" t="str">
        <f>IFERROR(__xludf.DUMMYFUNCTION("""COMPUTED_VALUE"""),"Rivergate Books")</f>
        <v>Rivergate Books</v>
      </c>
      <c r="E3473" s="2">
        <f>IFERROR(__xludf.DUMMYFUNCTION("""COMPUTED_VALUE"""),3.17)</f>
        <v>3.17</v>
      </c>
      <c r="F3473" s="2"/>
      <c r="G3473" s="2"/>
      <c r="H3473" s="2"/>
      <c r="I3473" s="2"/>
    </row>
    <row r="3474">
      <c r="A3474" s="2">
        <f>IFERROR(__xludf.DUMMYFUNCTION("""COMPUTED_VALUE"""),75010.0)</f>
        <v>75010</v>
      </c>
      <c r="B3474" s="2" t="str">
        <f>IFERROR(__xludf.DUMMYFUNCTION("""COMPUTED_VALUE"""),"Arts")</f>
        <v>Arts</v>
      </c>
      <c r="C3474" s="2" t="str">
        <f>IFERROR(__xludf.DUMMYFUNCTION("""COMPUTED_VALUE"""),"International Law")</f>
        <v>International Law</v>
      </c>
      <c r="D3474" s="2" t="str">
        <f>IFERROR(__xludf.DUMMYFUNCTION("""COMPUTED_VALUE"""),"Rivergate Books")</f>
        <v>Rivergate Books</v>
      </c>
      <c r="E3474" s="2">
        <f>IFERROR(__xludf.DUMMYFUNCTION("""COMPUTED_VALUE"""),3.11)</f>
        <v>3.11</v>
      </c>
      <c r="F3474" s="2"/>
      <c r="G3474" s="2"/>
      <c r="H3474" s="2"/>
      <c r="I3474" s="2"/>
    </row>
    <row r="3475">
      <c r="A3475" s="2">
        <f>IFERROR(__xludf.DUMMYFUNCTION("""COMPUTED_VALUE"""),119276.0)</f>
        <v>119276</v>
      </c>
      <c r="B3475" s="2" t="str">
        <f>IFERROR(__xludf.DUMMYFUNCTION("""COMPUTED_VALUE"""),"Arts")</f>
        <v>Arts</v>
      </c>
      <c r="C3475" s="2" t="str">
        <f>IFERROR(__xludf.DUMMYFUNCTION("""COMPUTED_VALUE"""),"International Law")</f>
        <v>International Law</v>
      </c>
      <c r="D3475" s="2" t="str">
        <f>IFERROR(__xludf.DUMMYFUNCTION("""COMPUTED_VALUE"""),"Rivergate Books")</f>
        <v>Rivergate Books</v>
      </c>
      <c r="E3475" s="2">
        <f>IFERROR(__xludf.DUMMYFUNCTION("""COMPUTED_VALUE"""),3.04)</f>
        <v>3.04</v>
      </c>
      <c r="F3475" s="2"/>
      <c r="G3475" s="2"/>
      <c r="H3475" s="2"/>
      <c r="I3475" s="2"/>
    </row>
    <row r="3476">
      <c r="A3476" s="2">
        <f>IFERROR(__xludf.DUMMYFUNCTION("""COMPUTED_VALUE"""),83789.0)</f>
        <v>83789</v>
      </c>
      <c r="B3476" s="2" t="str">
        <f>IFERROR(__xludf.DUMMYFUNCTION("""COMPUTED_VALUE"""),"Arts")</f>
        <v>Arts</v>
      </c>
      <c r="C3476" s="2" t="str">
        <f>IFERROR(__xludf.DUMMYFUNCTION("""COMPUTED_VALUE"""),"International Law")</f>
        <v>International Law</v>
      </c>
      <c r="D3476" s="2" t="str">
        <f>IFERROR(__xludf.DUMMYFUNCTION("""COMPUTED_VALUE"""),"Rivergate Books")</f>
        <v>Rivergate Books</v>
      </c>
      <c r="E3476" s="2">
        <f>IFERROR(__xludf.DUMMYFUNCTION("""COMPUTED_VALUE"""),1.76)</f>
        <v>1.76</v>
      </c>
      <c r="F3476" s="2"/>
      <c r="G3476" s="2"/>
      <c r="H3476" s="2"/>
      <c r="I3476" s="2"/>
    </row>
    <row r="3477">
      <c r="A3477" s="2">
        <f>IFERROR(__xludf.DUMMYFUNCTION("""COMPUTED_VALUE"""),86999.0)</f>
        <v>86999</v>
      </c>
      <c r="B3477" s="2" t="str">
        <f>IFERROR(__xludf.DUMMYFUNCTION("""COMPUTED_VALUE"""),"Arts")</f>
        <v>Arts</v>
      </c>
      <c r="C3477" s="2" t="str">
        <f>IFERROR(__xludf.DUMMYFUNCTION("""COMPUTED_VALUE"""),"International Law")</f>
        <v>International Law</v>
      </c>
      <c r="D3477" s="2" t="str">
        <f>IFERROR(__xludf.DUMMYFUNCTION("""COMPUTED_VALUE"""),"Rivergate Books")</f>
        <v>Rivergate Books</v>
      </c>
      <c r="E3477" s="2">
        <f>IFERROR(__xludf.DUMMYFUNCTION("""COMPUTED_VALUE"""),2.22)</f>
        <v>2.22</v>
      </c>
      <c r="F3477" s="2"/>
      <c r="G3477" s="2"/>
      <c r="H3477" s="2"/>
      <c r="I3477" s="2"/>
    </row>
    <row r="3478">
      <c r="A3478" s="2">
        <f>IFERROR(__xludf.DUMMYFUNCTION("""COMPUTED_VALUE"""),80678.0)</f>
        <v>80678</v>
      </c>
      <c r="B3478" s="2" t="str">
        <f>IFERROR(__xludf.DUMMYFUNCTION("""COMPUTED_VALUE"""),"Arts")</f>
        <v>Arts</v>
      </c>
      <c r="C3478" s="2" t="str">
        <f>IFERROR(__xludf.DUMMYFUNCTION("""COMPUTED_VALUE"""),"International Law")</f>
        <v>International Law</v>
      </c>
      <c r="D3478" s="2" t="str">
        <f>IFERROR(__xludf.DUMMYFUNCTION("""COMPUTED_VALUE"""),"Rivergate Books")</f>
        <v>Rivergate Books</v>
      </c>
      <c r="E3478" s="2">
        <f>IFERROR(__xludf.DUMMYFUNCTION("""COMPUTED_VALUE"""),1.91)</f>
        <v>1.91</v>
      </c>
      <c r="F3478" s="2"/>
      <c r="G3478" s="2"/>
      <c r="H3478" s="2"/>
      <c r="I3478" s="2"/>
    </row>
    <row r="3479">
      <c r="A3479" s="2">
        <f>IFERROR(__xludf.DUMMYFUNCTION("""COMPUTED_VALUE"""),86973.0)</f>
        <v>86973</v>
      </c>
      <c r="B3479" s="2" t="str">
        <f>IFERROR(__xludf.DUMMYFUNCTION("""COMPUTED_VALUE"""),"Arts")</f>
        <v>Arts</v>
      </c>
      <c r="C3479" s="2" t="str">
        <f>IFERROR(__xludf.DUMMYFUNCTION("""COMPUTED_VALUE"""),"International Law")</f>
        <v>International Law</v>
      </c>
      <c r="D3479" s="2" t="str">
        <f>IFERROR(__xludf.DUMMYFUNCTION("""COMPUTED_VALUE"""),"Rivergate Books")</f>
        <v>Rivergate Books</v>
      </c>
      <c r="E3479" s="2">
        <f>IFERROR(__xludf.DUMMYFUNCTION("""COMPUTED_VALUE"""),2.05)</f>
        <v>2.05</v>
      </c>
      <c r="F3479" s="2"/>
      <c r="G3479" s="2"/>
      <c r="H3479" s="2"/>
      <c r="I3479" s="2"/>
    </row>
    <row r="3480">
      <c r="A3480" s="2">
        <f>IFERROR(__xludf.DUMMYFUNCTION("""COMPUTED_VALUE"""),81724.0)</f>
        <v>81724</v>
      </c>
      <c r="B3480" s="2" t="str">
        <f>IFERROR(__xludf.DUMMYFUNCTION("""COMPUTED_VALUE"""),"Arts")</f>
        <v>Arts</v>
      </c>
      <c r="C3480" s="2" t="str">
        <f>IFERROR(__xludf.DUMMYFUNCTION("""COMPUTED_VALUE"""),"International Law")</f>
        <v>International Law</v>
      </c>
      <c r="D3480" s="2" t="str">
        <f>IFERROR(__xludf.DUMMYFUNCTION("""COMPUTED_VALUE"""),"Rivergate Books")</f>
        <v>Rivergate Books</v>
      </c>
      <c r="E3480" s="2">
        <f>IFERROR(__xludf.DUMMYFUNCTION("""COMPUTED_VALUE"""),2.49)</f>
        <v>2.49</v>
      </c>
      <c r="F3480" s="2"/>
      <c r="G3480" s="2"/>
      <c r="H3480" s="2"/>
      <c r="I3480" s="2"/>
    </row>
    <row r="3481">
      <c r="A3481" s="2">
        <f>IFERROR(__xludf.DUMMYFUNCTION("""COMPUTED_VALUE"""),104678.0)</f>
        <v>104678</v>
      </c>
      <c r="B3481" s="2" t="str">
        <f>IFERROR(__xludf.DUMMYFUNCTION("""COMPUTED_VALUE"""),"Arts")</f>
        <v>Arts</v>
      </c>
      <c r="C3481" s="2" t="str">
        <f>IFERROR(__xludf.DUMMYFUNCTION("""COMPUTED_VALUE"""),"International Law")</f>
        <v>International Law</v>
      </c>
      <c r="D3481" s="2" t="str">
        <f>IFERROR(__xludf.DUMMYFUNCTION("""COMPUTED_VALUE"""),"Rivergate Books")</f>
        <v>Rivergate Books</v>
      </c>
      <c r="E3481" s="2">
        <f>IFERROR(__xludf.DUMMYFUNCTION("""COMPUTED_VALUE"""),2.42)</f>
        <v>2.42</v>
      </c>
      <c r="F3481" s="2"/>
      <c r="G3481" s="2"/>
      <c r="H3481" s="2"/>
      <c r="I3481" s="2"/>
    </row>
    <row r="3482">
      <c r="A3482" s="2">
        <f>IFERROR(__xludf.DUMMYFUNCTION("""COMPUTED_VALUE"""),71844.0)</f>
        <v>71844</v>
      </c>
      <c r="B3482" s="2" t="str">
        <f>IFERROR(__xludf.DUMMYFUNCTION("""COMPUTED_VALUE"""),"Arts")</f>
        <v>Arts</v>
      </c>
      <c r="C3482" s="2" t="str">
        <f>IFERROR(__xludf.DUMMYFUNCTION("""COMPUTED_VALUE"""),"International Law")</f>
        <v>International Law</v>
      </c>
      <c r="D3482" s="2" t="str">
        <f>IFERROR(__xludf.DUMMYFUNCTION("""COMPUTED_VALUE"""),"Rivergate Books")</f>
        <v>Rivergate Books</v>
      </c>
      <c r="E3482" s="2">
        <f>IFERROR(__xludf.DUMMYFUNCTION("""COMPUTED_VALUE"""),4.28)</f>
        <v>4.28</v>
      </c>
      <c r="F3482" s="2"/>
      <c r="G3482" s="2"/>
      <c r="H3482" s="2"/>
      <c r="I3482" s="2"/>
    </row>
    <row r="3483">
      <c r="A3483" s="2">
        <f>IFERROR(__xludf.DUMMYFUNCTION("""COMPUTED_VALUE"""),42287.0)</f>
        <v>42287</v>
      </c>
      <c r="B3483" s="2" t="str">
        <f>IFERROR(__xludf.DUMMYFUNCTION("""COMPUTED_VALUE"""),"Medical")</f>
        <v>Medical</v>
      </c>
      <c r="C3483" s="2" t="str">
        <f>IFERROR(__xludf.DUMMYFUNCTION("""COMPUTED_VALUE"""),"Human Rights Law")</f>
        <v>Human Rights Law</v>
      </c>
      <c r="D3483" s="2" t="str">
        <f>IFERROR(__xludf.DUMMYFUNCTION("""COMPUTED_VALUE"""),"Irongate Press")</f>
        <v>Irongate Press</v>
      </c>
      <c r="E3483" s="2">
        <f>IFERROR(__xludf.DUMMYFUNCTION("""COMPUTED_VALUE"""),13.01)</f>
        <v>13.01</v>
      </c>
      <c r="F3483" s="2"/>
      <c r="G3483" s="2"/>
      <c r="H3483" s="2"/>
      <c r="I3483" s="2"/>
    </row>
    <row r="3484">
      <c r="A3484" s="2">
        <f>IFERROR(__xludf.DUMMYFUNCTION("""COMPUTED_VALUE"""),116678.0)</f>
        <v>116678</v>
      </c>
      <c r="B3484" s="2" t="str">
        <f>IFERROR(__xludf.DUMMYFUNCTION("""COMPUTED_VALUE"""),"Medical")</f>
        <v>Medical</v>
      </c>
      <c r="C3484" s="2" t="str">
        <f>IFERROR(__xludf.DUMMYFUNCTION("""COMPUTED_VALUE"""),"Human Rights Law")</f>
        <v>Human Rights Law</v>
      </c>
      <c r="D3484" s="2" t="str">
        <f>IFERROR(__xludf.DUMMYFUNCTION("""COMPUTED_VALUE"""),"Irongate Press")</f>
        <v>Irongate Press</v>
      </c>
      <c r="E3484" s="2">
        <f>IFERROR(__xludf.DUMMYFUNCTION("""COMPUTED_VALUE"""),13.06)</f>
        <v>13.06</v>
      </c>
      <c r="F3484" s="2"/>
      <c r="G3484" s="2"/>
      <c r="H3484" s="2"/>
      <c r="I3484" s="2"/>
    </row>
    <row r="3485">
      <c r="A3485" s="2">
        <f>IFERROR(__xludf.DUMMYFUNCTION("""COMPUTED_VALUE"""),116845.0)</f>
        <v>116845</v>
      </c>
      <c r="B3485" s="2" t="str">
        <f>IFERROR(__xludf.DUMMYFUNCTION("""COMPUTED_VALUE"""),"Medical")</f>
        <v>Medical</v>
      </c>
      <c r="C3485" s="2" t="str">
        <f>IFERROR(__xludf.DUMMYFUNCTION("""COMPUTED_VALUE"""),"Human Rights Law")</f>
        <v>Human Rights Law</v>
      </c>
      <c r="D3485" s="2" t="str">
        <f>IFERROR(__xludf.DUMMYFUNCTION("""COMPUTED_VALUE"""),"Irongate Press")</f>
        <v>Irongate Press</v>
      </c>
      <c r="E3485" s="2">
        <f>IFERROR(__xludf.DUMMYFUNCTION("""COMPUTED_VALUE"""),9.28)</f>
        <v>9.28</v>
      </c>
      <c r="F3485" s="2"/>
      <c r="G3485" s="2"/>
      <c r="H3485" s="2"/>
      <c r="I3485" s="2"/>
    </row>
    <row r="3486">
      <c r="A3486" s="2">
        <f>IFERROR(__xludf.DUMMYFUNCTION("""COMPUTED_VALUE"""),114252.0)</f>
        <v>114252</v>
      </c>
      <c r="B3486" s="2" t="str">
        <f>IFERROR(__xludf.DUMMYFUNCTION("""COMPUTED_VALUE"""),"Medical")</f>
        <v>Medical</v>
      </c>
      <c r="C3486" s="2" t="str">
        <f>IFERROR(__xludf.DUMMYFUNCTION("""COMPUTED_VALUE"""),"Human Rights Law")</f>
        <v>Human Rights Law</v>
      </c>
      <c r="D3486" s="2" t="str">
        <f>IFERROR(__xludf.DUMMYFUNCTION("""COMPUTED_VALUE"""),"Irongate Press")</f>
        <v>Irongate Press</v>
      </c>
      <c r="E3486" s="2">
        <f>IFERROR(__xludf.DUMMYFUNCTION("""COMPUTED_VALUE"""),13.76)</f>
        <v>13.76</v>
      </c>
      <c r="F3486" s="2"/>
      <c r="G3486" s="2"/>
      <c r="H3486" s="2"/>
      <c r="I3486" s="2"/>
    </row>
    <row r="3487">
      <c r="A3487" s="2">
        <f>IFERROR(__xludf.DUMMYFUNCTION("""COMPUTED_VALUE"""),117595.0)</f>
        <v>117595</v>
      </c>
      <c r="B3487" s="2" t="str">
        <f>IFERROR(__xludf.DUMMYFUNCTION("""COMPUTED_VALUE"""),"Medical")</f>
        <v>Medical</v>
      </c>
      <c r="C3487" s="2" t="str">
        <f>IFERROR(__xludf.DUMMYFUNCTION("""COMPUTED_VALUE"""),"Human Rights Law")</f>
        <v>Human Rights Law</v>
      </c>
      <c r="D3487" s="2" t="str">
        <f>IFERROR(__xludf.DUMMYFUNCTION("""COMPUTED_VALUE"""),"Irongate Press")</f>
        <v>Irongate Press</v>
      </c>
      <c r="E3487" s="2">
        <f>IFERROR(__xludf.DUMMYFUNCTION("""COMPUTED_VALUE"""),10.53)</f>
        <v>10.53</v>
      </c>
      <c r="F3487" s="2"/>
      <c r="G3487" s="2"/>
      <c r="H3487" s="2"/>
      <c r="I3487" s="2"/>
    </row>
    <row r="3488">
      <c r="A3488" s="2">
        <f>IFERROR(__xludf.DUMMYFUNCTION("""COMPUTED_VALUE"""),109579.0)</f>
        <v>109579</v>
      </c>
      <c r="B3488" s="2" t="str">
        <f>IFERROR(__xludf.DUMMYFUNCTION("""COMPUTED_VALUE"""),"Medical")</f>
        <v>Medical</v>
      </c>
      <c r="C3488" s="2" t="str">
        <f>IFERROR(__xludf.DUMMYFUNCTION("""COMPUTED_VALUE"""),"Human Rights Law")</f>
        <v>Human Rights Law</v>
      </c>
      <c r="D3488" s="2" t="str">
        <f>IFERROR(__xludf.DUMMYFUNCTION("""COMPUTED_VALUE"""),"Irongate Press")</f>
        <v>Irongate Press</v>
      </c>
      <c r="E3488" s="2">
        <f>IFERROR(__xludf.DUMMYFUNCTION("""COMPUTED_VALUE"""),14.51)</f>
        <v>14.51</v>
      </c>
      <c r="F3488" s="2"/>
      <c r="G3488" s="2"/>
      <c r="H3488" s="2"/>
      <c r="I3488" s="2"/>
    </row>
    <row r="3489">
      <c r="A3489" s="2">
        <f>IFERROR(__xludf.DUMMYFUNCTION("""COMPUTED_VALUE"""),117597.0)</f>
        <v>117597</v>
      </c>
      <c r="B3489" s="2" t="str">
        <f>IFERROR(__xludf.DUMMYFUNCTION("""COMPUTED_VALUE"""),"Medical")</f>
        <v>Medical</v>
      </c>
      <c r="C3489" s="2" t="str">
        <f>IFERROR(__xludf.DUMMYFUNCTION("""COMPUTED_VALUE"""),"Human Rights Law")</f>
        <v>Human Rights Law</v>
      </c>
      <c r="D3489" s="2" t="str">
        <f>IFERROR(__xludf.DUMMYFUNCTION("""COMPUTED_VALUE"""),"Irongate Press")</f>
        <v>Irongate Press</v>
      </c>
      <c r="E3489" s="2">
        <f>IFERROR(__xludf.DUMMYFUNCTION("""COMPUTED_VALUE"""),4.26)</f>
        <v>4.26</v>
      </c>
      <c r="F3489" s="2"/>
      <c r="G3489" s="2"/>
      <c r="H3489" s="2"/>
      <c r="I3489" s="2"/>
    </row>
    <row r="3490">
      <c r="A3490" s="2">
        <f>IFERROR(__xludf.DUMMYFUNCTION("""COMPUTED_VALUE"""),14401.0)</f>
        <v>14401</v>
      </c>
      <c r="B3490" s="2" t="str">
        <f>IFERROR(__xludf.DUMMYFUNCTION("""COMPUTED_VALUE"""),"Medical")</f>
        <v>Medical</v>
      </c>
      <c r="C3490" s="2" t="str">
        <f>IFERROR(__xludf.DUMMYFUNCTION("""COMPUTED_VALUE"""),"Human Rights Law")</f>
        <v>Human Rights Law</v>
      </c>
      <c r="D3490" s="2" t="str">
        <f>IFERROR(__xludf.DUMMYFUNCTION("""COMPUTED_VALUE"""),"Irongate Press")</f>
        <v>Irongate Press</v>
      </c>
      <c r="E3490" s="2">
        <f>IFERROR(__xludf.DUMMYFUNCTION("""COMPUTED_VALUE"""),5.02)</f>
        <v>5.02</v>
      </c>
      <c r="F3490" s="2"/>
      <c r="G3490" s="2"/>
      <c r="H3490" s="2"/>
      <c r="I3490" s="2"/>
    </row>
    <row r="3491">
      <c r="A3491" s="2">
        <f>IFERROR(__xludf.DUMMYFUNCTION("""COMPUTED_VALUE"""),109290.0)</f>
        <v>109290</v>
      </c>
      <c r="B3491" s="2" t="str">
        <f>IFERROR(__xludf.DUMMYFUNCTION("""COMPUTED_VALUE"""),"Medical")</f>
        <v>Medical</v>
      </c>
      <c r="C3491" s="2" t="str">
        <f>IFERROR(__xludf.DUMMYFUNCTION("""COMPUTED_VALUE"""),"Human Rights Law")</f>
        <v>Human Rights Law</v>
      </c>
      <c r="D3491" s="2" t="str">
        <f>IFERROR(__xludf.DUMMYFUNCTION("""COMPUTED_VALUE"""),"Irongate Press")</f>
        <v>Irongate Press</v>
      </c>
      <c r="E3491" s="2">
        <f>IFERROR(__xludf.DUMMYFUNCTION("""COMPUTED_VALUE"""),16.54)</f>
        <v>16.54</v>
      </c>
      <c r="F3491" s="2"/>
      <c r="G3491" s="2"/>
      <c r="H3491" s="2"/>
      <c r="I3491" s="2"/>
    </row>
    <row r="3492">
      <c r="A3492" s="2">
        <f>IFERROR(__xludf.DUMMYFUNCTION("""COMPUTED_VALUE"""),117665.0)</f>
        <v>117665</v>
      </c>
      <c r="B3492" s="2" t="str">
        <f>IFERROR(__xludf.DUMMYFUNCTION("""COMPUTED_VALUE"""),"Medical")</f>
        <v>Medical</v>
      </c>
      <c r="C3492" s="2" t="str">
        <f>IFERROR(__xludf.DUMMYFUNCTION("""COMPUTED_VALUE"""),"Human Rights Law")</f>
        <v>Human Rights Law</v>
      </c>
      <c r="D3492" s="2" t="str">
        <f>IFERROR(__xludf.DUMMYFUNCTION("""COMPUTED_VALUE"""),"Irongate Press")</f>
        <v>Irongate Press</v>
      </c>
      <c r="E3492" s="2">
        <f>IFERROR(__xludf.DUMMYFUNCTION("""COMPUTED_VALUE"""),8.76)</f>
        <v>8.76</v>
      </c>
      <c r="F3492" s="2"/>
      <c r="G3492" s="2"/>
      <c r="H3492" s="2"/>
      <c r="I3492" s="2"/>
    </row>
    <row r="3493">
      <c r="A3493" s="2">
        <f>IFERROR(__xludf.DUMMYFUNCTION("""COMPUTED_VALUE"""),117681.0)</f>
        <v>117681</v>
      </c>
      <c r="B3493" s="2" t="str">
        <f>IFERROR(__xludf.DUMMYFUNCTION("""COMPUTED_VALUE"""),"Medical")</f>
        <v>Medical</v>
      </c>
      <c r="C3493" s="2" t="str">
        <f>IFERROR(__xludf.DUMMYFUNCTION("""COMPUTED_VALUE"""),"Human Rights Law")</f>
        <v>Human Rights Law</v>
      </c>
      <c r="D3493" s="2" t="str">
        <f>IFERROR(__xludf.DUMMYFUNCTION("""COMPUTED_VALUE"""),"Irongate Press")</f>
        <v>Irongate Press</v>
      </c>
      <c r="E3493" s="2">
        <f>IFERROR(__xludf.DUMMYFUNCTION("""COMPUTED_VALUE"""),11.58)</f>
        <v>11.58</v>
      </c>
      <c r="F3493" s="2"/>
      <c r="G3493" s="2"/>
      <c r="H3493" s="2"/>
      <c r="I3493" s="2"/>
    </row>
    <row r="3494">
      <c r="A3494" s="2">
        <f>IFERROR(__xludf.DUMMYFUNCTION("""COMPUTED_VALUE"""),119406.0)</f>
        <v>119406</v>
      </c>
      <c r="B3494" s="2" t="str">
        <f>IFERROR(__xludf.DUMMYFUNCTION("""COMPUTED_VALUE"""),"Medical")</f>
        <v>Medical</v>
      </c>
      <c r="C3494" s="2" t="str">
        <f>IFERROR(__xludf.DUMMYFUNCTION("""COMPUTED_VALUE"""),"Human Rights Law")</f>
        <v>Human Rights Law</v>
      </c>
      <c r="D3494" s="2" t="str">
        <f>IFERROR(__xludf.DUMMYFUNCTION("""COMPUTED_VALUE"""),"Irongate Press")</f>
        <v>Irongate Press</v>
      </c>
      <c r="E3494" s="2">
        <f>IFERROR(__xludf.DUMMYFUNCTION("""COMPUTED_VALUE"""),11.71)</f>
        <v>11.71</v>
      </c>
      <c r="F3494" s="2"/>
      <c r="G3494" s="2"/>
      <c r="H3494" s="2"/>
      <c r="I3494" s="2"/>
    </row>
    <row r="3495">
      <c r="A3495" s="2">
        <f>IFERROR(__xludf.DUMMYFUNCTION("""COMPUTED_VALUE"""),117676.0)</f>
        <v>117676</v>
      </c>
      <c r="B3495" s="2" t="str">
        <f>IFERROR(__xludf.DUMMYFUNCTION("""COMPUTED_VALUE"""),"Medical")</f>
        <v>Medical</v>
      </c>
      <c r="C3495" s="2" t="str">
        <f>IFERROR(__xludf.DUMMYFUNCTION("""COMPUTED_VALUE"""),"Human Rights Law")</f>
        <v>Human Rights Law</v>
      </c>
      <c r="D3495" s="2" t="str">
        <f>IFERROR(__xludf.DUMMYFUNCTION("""COMPUTED_VALUE"""),"Silverforge Publishing")</f>
        <v>Silverforge Publishing</v>
      </c>
      <c r="E3495" s="2">
        <f>IFERROR(__xludf.DUMMYFUNCTION("""COMPUTED_VALUE"""),14.36)</f>
        <v>14.36</v>
      </c>
      <c r="F3495" s="2"/>
      <c r="G3495" s="2"/>
      <c r="H3495" s="2"/>
      <c r="I3495" s="2"/>
    </row>
    <row r="3496">
      <c r="A3496" s="2">
        <f>IFERROR(__xludf.DUMMYFUNCTION("""COMPUTED_VALUE"""),109571.0)</f>
        <v>109571</v>
      </c>
      <c r="B3496" s="2" t="str">
        <f>IFERROR(__xludf.DUMMYFUNCTION("""COMPUTED_VALUE"""),"Medical")</f>
        <v>Medical</v>
      </c>
      <c r="C3496" s="2" t="str">
        <f>IFERROR(__xludf.DUMMYFUNCTION("""COMPUTED_VALUE"""),"Human Rights Law")</f>
        <v>Human Rights Law</v>
      </c>
      <c r="D3496" s="2" t="str">
        <f>IFERROR(__xludf.DUMMYFUNCTION("""COMPUTED_VALUE"""),"Silverforge Publishing")</f>
        <v>Silverforge Publishing</v>
      </c>
      <c r="E3496" s="2">
        <f>IFERROR(__xludf.DUMMYFUNCTION("""COMPUTED_VALUE"""),14.53)</f>
        <v>14.53</v>
      </c>
      <c r="F3496" s="2"/>
      <c r="G3496" s="2"/>
      <c r="H3496" s="2"/>
      <c r="I3496" s="2"/>
    </row>
    <row r="3497">
      <c r="A3497" s="2">
        <f>IFERROR(__xludf.DUMMYFUNCTION("""COMPUTED_VALUE"""),116676.0)</f>
        <v>116676</v>
      </c>
      <c r="B3497" s="2" t="str">
        <f>IFERROR(__xludf.DUMMYFUNCTION("""COMPUTED_VALUE"""),"Medical")</f>
        <v>Medical</v>
      </c>
      <c r="C3497" s="2" t="str">
        <f>IFERROR(__xludf.DUMMYFUNCTION("""COMPUTED_VALUE"""),"Human Rights Law")</f>
        <v>Human Rights Law</v>
      </c>
      <c r="D3497" s="2" t="str">
        <f>IFERROR(__xludf.DUMMYFUNCTION("""COMPUTED_VALUE"""),"Silverforge Publishing")</f>
        <v>Silverforge Publishing</v>
      </c>
      <c r="E3497" s="2">
        <f>IFERROR(__xludf.DUMMYFUNCTION("""COMPUTED_VALUE"""),13.54)</f>
        <v>13.54</v>
      </c>
      <c r="F3497" s="2"/>
      <c r="G3497" s="2"/>
      <c r="H3497" s="2"/>
      <c r="I3497" s="2"/>
    </row>
    <row r="3498">
      <c r="A3498" s="2">
        <f>IFERROR(__xludf.DUMMYFUNCTION("""COMPUTED_VALUE"""),116816.0)</f>
        <v>116816</v>
      </c>
      <c r="B3498" s="2" t="str">
        <f>IFERROR(__xludf.DUMMYFUNCTION("""COMPUTED_VALUE"""),"Medical")</f>
        <v>Medical</v>
      </c>
      <c r="C3498" s="2" t="str">
        <f>IFERROR(__xludf.DUMMYFUNCTION("""COMPUTED_VALUE"""),"Human Rights Law")</f>
        <v>Human Rights Law</v>
      </c>
      <c r="D3498" s="2" t="str">
        <f>IFERROR(__xludf.DUMMYFUNCTION("""COMPUTED_VALUE"""),"Silverforge Publishing")</f>
        <v>Silverforge Publishing</v>
      </c>
      <c r="E3498" s="2">
        <f>IFERROR(__xludf.DUMMYFUNCTION("""COMPUTED_VALUE"""),6.35)</f>
        <v>6.35</v>
      </c>
      <c r="F3498" s="2"/>
      <c r="G3498" s="2"/>
      <c r="H3498" s="2"/>
      <c r="I3498" s="2"/>
    </row>
    <row r="3499">
      <c r="A3499" s="2">
        <f>IFERROR(__xludf.DUMMYFUNCTION("""COMPUTED_VALUE"""),117663.0)</f>
        <v>117663</v>
      </c>
      <c r="B3499" s="2" t="str">
        <f>IFERROR(__xludf.DUMMYFUNCTION("""COMPUTED_VALUE"""),"Medical")</f>
        <v>Medical</v>
      </c>
      <c r="C3499" s="2" t="str">
        <f>IFERROR(__xludf.DUMMYFUNCTION("""COMPUTED_VALUE"""),"Human Rights Law")</f>
        <v>Human Rights Law</v>
      </c>
      <c r="D3499" s="2" t="str">
        <f>IFERROR(__xludf.DUMMYFUNCTION("""COMPUTED_VALUE"""),"Silverforge Publishing")</f>
        <v>Silverforge Publishing</v>
      </c>
      <c r="E3499" s="2">
        <f>IFERROR(__xludf.DUMMYFUNCTION("""COMPUTED_VALUE"""),9.71)</f>
        <v>9.71</v>
      </c>
      <c r="F3499" s="2"/>
      <c r="G3499" s="2"/>
      <c r="H3499" s="2"/>
      <c r="I3499" s="2"/>
    </row>
    <row r="3500">
      <c r="A3500" s="2">
        <f>IFERROR(__xludf.DUMMYFUNCTION("""COMPUTED_VALUE"""),117652.0)</f>
        <v>117652</v>
      </c>
      <c r="B3500" s="2" t="str">
        <f>IFERROR(__xludf.DUMMYFUNCTION("""COMPUTED_VALUE"""),"Medical")</f>
        <v>Medical</v>
      </c>
      <c r="C3500" s="2" t="str">
        <f>IFERROR(__xludf.DUMMYFUNCTION("""COMPUTED_VALUE"""),"Human Rights Law")</f>
        <v>Human Rights Law</v>
      </c>
      <c r="D3500" s="2" t="str">
        <f>IFERROR(__xludf.DUMMYFUNCTION("""COMPUTED_VALUE"""),"Silverforge Publishing")</f>
        <v>Silverforge Publishing</v>
      </c>
      <c r="E3500" s="2">
        <f>IFERROR(__xludf.DUMMYFUNCTION("""COMPUTED_VALUE"""),17.57)</f>
        <v>17.57</v>
      </c>
      <c r="F3500" s="2"/>
      <c r="G3500" s="2"/>
      <c r="H3500" s="2"/>
      <c r="I3500" s="2"/>
    </row>
    <row r="3501">
      <c r="A3501" s="2">
        <f>IFERROR(__xludf.DUMMYFUNCTION("""COMPUTED_VALUE"""),109289.0)</f>
        <v>109289</v>
      </c>
      <c r="B3501" s="2" t="str">
        <f>IFERROR(__xludf.DUMMYFUNCTION("""COMPUTED_VALUE"""),"Medical")</f>
        <v>Medical</v>
      </c>
      <c r="C3501" s="2" t="str">
        <f>IFERROR(__xludf.DUMMYFUNCTION("""COMPUTED_VALUE"""),"Human Rights Law")</f>
        <v>Human Rights Law</v>
      </c>
      <c r="D3501" s="2" t="str">
        <f>IFERROR(__xludf.DUMMYFUNCTION("""COMPUTED_VALUE"""),"Northforge Books")</f>
        <v>Northforge Books</v>
      </c>
      <c r="E3501" s="2">
        <f>IFERROR(__xludf.DUMMYFUNCTION("""COMPUTED_VALUE"""),16.53)</f>
        <v>16.53</v>
      </c>
      <c r="F3501" s="2"/>
      <c r="G3501" s="2"/>
      <c r="H3501" s="2"/>
      <c r="I3501" s="2"/>
    </row>
    <row r="3502">
      <c r="A3502" s="2">
        <f>IFERROR(__xludf.DUMMYFUNCTION("""COMPUTED_VALUE"""),117656.0)</f>
        <v>117656</v>
      </c>
      <c r="B3502" s="2" t="str">
        <f>IFERROR(__xludf.DUMMYFUNCTION("""COMPUTED_VALUE"""),"Medical")</f>
        <v>Medical</v>
      </c>
      <c r="C3502" s="2" t="str">
        <f>IFERROR(__xludf.DUMMYFUNCTION("""COMPUTED_VALUE"""),"Human Rights Law")</f>
        <v>Human Rights Law</v>
      </c>
      <c r="D3502" s="2" t="str">
        <f>IFERROR(__xludf.DUMMYFUNCTION("""COMPUTED_VALUE"""),"Northforge Books")</f>
        <v>Northforge Books</v>
      </c>
      <c r="E3502" s="2">
        <f>IFERROR(__xludf.DUMMYFUNCTION("""COMPUTED_VALUE"""),16.52)</f>
        <v>16.52</v>
      </c>
      <c r="F3502" s="2"/>
      <c r="G3502" s="2"/>
      <c r="H3502" s="2"/>
      <c r="I3502" s="2"/>
    </row>
    <row r="3503">
      <c r="A3503" s="2">
        <f>IFERROR(__xludf.DUMMYFUNCTION("""COMPUTED_VALUE"""),117677.0)</f>
        <v>117677</v>
      </c>
      <c r="B3503" s="2" t="str">
        <f>IFERROR(__xludf.DUMMYFUNCTION("""COMPUTED_VALUE"""),"Medical")</f>
        <v>Medical</v>
      </c>
      <c r="C3503" s="2" t="str">
        <f>IFERROR(__xludf.DUMMYFUNCTION("""COMPUTED_VALUE"""),"Human Rights Law")</f>
        <v>Human Rights Law</v>
      </c>
      <c r="D3503" s="2" t="str">
        <f>IFERROR(__xludf.DUMMYFUNCTION("""COMPUTED_VALUE"""),"Northforge Books")</f>
        <v>Northforge Books</v>
      </c>
      <c r="E3503" s="2">
        <f>IFERROR(__xludf.DUMMYFUNCTION("""COMPUTED_VALUE"""),13.74)</f>
        <v>13.74</v>
      </c>
      <c r="F3503" s="2"/>
      <c r="G3503" s="2"/>
      <c r="H3503" s="2"/>
      <c r="I3503" s="2"/>
    </row>
    <row r="3504">
      <c r="A3504" s="2">
        <f>IFERROR(__xludf.DUMMYFUNCTION("""COMPUTED_VALUE"""),116677.0)</f>
        <v>116677</v>
      </c>
      <c r="B3504" s="2" t="str">
        <f>IFERROR(__xludf.DUMMYFUNCTION("""COMPUTED_VALUE"""),"Medical")</f>
        <v>Medical</v>
      </c>
      <c r="C3504" s="2" t="str">
        <f>IFERROR(__xludf.DUMMYFUNCTION("""COMPUTED_VALUE"""),"Human Rights Law")</f>
        <v>Human Rights Law</v>
      </c>
      <c r="D3504" s="2" t="str">
        <f>IFERROR(__xludf.DUMMYFUNCTION("""COMPUTED_VALUE"""),"Northforge Books")</f>
        <v>Northforge Books</v>
      </c>
      <c r="E3504" s="2">
        <f>IFERROR(__xludf.DUMMYFUNCTION("""COMPUTED_VALUE"""),13.88)</f>
        <v>13.88</v>
      </c>
      <c r="F3504" s="2"/>
      <c r="G3504" s="2"/>
      <c r="H3504" s="2"/>
      <c r="I3504" s="2"/>
    </row>
    <row r="3505">
      <c r="A3505" s="2">
        <f>IFERROR(__xludf.DUMMYFUNCTION("""COMPUTED_VALUE"""),117256.0)</f>
        <v>117256</v>
      </c>
      <c r="B3505" s="2" t="str">
        <f>IFERROR(__xludf.DUMMYFUNCTION("""COMPUTED_VALUE"""),"Medical")</f>
        <v>Medical</v>
      </c>
      <c r="C3505" s="2" t="str">
        <f>IFERROR(__xludf.DUMMYFUNCTION("""COMPUTED_VALUE"""),"Human Rights Law")</f>
        <v>Human Rights Law</v>
      </c>
      <c r="D3505" s="2" t="str">
        <f>IFERROR(__xludf.DUMMYFUNCTION("""COMPUTED_VALUE"""),"Northforge Books")</f>
        <v>Northforge Books</v>
      </c>
      <c r="E3505" s="2">
        <f>IFERROR(__xludf.DUMMYFUNCTION("""COMPUTED_VALUE"""),8.5)</f>
        <v>8.5</v>
      </c>
      <c r="F3505" s="2"/>
      <c r="G3505" s="2"/>
      <c r="H3505" s="2"/>
      <c r="I3505" s="2"/>
    </row>
    <row r="3506">
      <c r="A3506" s="2">
        <f>IFERROR(__xludf.DUMMYFUNCTION("""COMPUTED_VALUE"""),122738.0)</f>
        <v>122738</v>
      </c>
      <c r="B3506" s="2" t="str">
        <f>IFERROR(__xludf.DUMMYFUNCTION("""COMPUTED_VALUE"""),"Medical")</f>
        <v>Medical</v>
      </c>
      <c r="C3506" s="2" t="str">
        <f>IFERROR(__xludf.DUMMYFUNCTION("""COMPUTED_VALUE"""),"Human Rights Law")</f>
        <v>Human Rights Law</v>
      </c>
      <c r="D3506" s="2" t="str">
        <f>IFERROR(__xludf.DUMMYFUNCTION("""COMPUTED_VALUE"""),"Northforge Books")</f>
        <v>Northforge Books</v>
      </c>
      <c r="E3506" s="2">
        <f>IFERROR(__xludf.DUMMYFUNCTION("""COMPUTED_VALUE"""),9.73)</f>
        <v>9.73</v>
      </c>
      <c r="F3506" s="2"/>
      <c r="G3506" s="2"/>
      <c r="H3506" s="2"/>
      <c r="I3506" s="2"/>
    </row>
    <row r="3507">
      <c r="A3507" s="2">
        <f>IFERROR(__xludf.DUMMYFUNCTION("""COMPUTED_VALUE"""),116679.0)</f>
        <v>116679</v>
      </c>
      <c r="B3507" s="2" t="str">
        <f>IFERROR(__xludf.DUMMYFUNCTION("""COMPUTED_VALUE"""),"Medical")</f>
        <v>Medical</v>
      </c>
      <c r="C3507" s="2" t="str">
        <f>IFERROR(__xludf.DUMMYFUNCTION("""COMPUTED_VALUE"""),"Human Rights Law")</f>
        <v>Human Rights Law</v>
      </c>
      <c r="D3507" s="2" t="str">
        <f>IFERROR(__xludf.DUMMYFUNCTION("""COMPUTED_VALUE"""),"Northforge Books")</f>
        <v>Northforge Books</v>
      </c>
      <c r="E3507" s="2">
        <f>IFERROR(__xludf.DUMMYFUNCTION("""COMPUTED_VALUE"""),15.15)</f>
        <v>15.15</v>
      </c>
      <c r="F3507" s="2"/>
      <c r="G3507" s="2"/>
      <c r="H3507" s="2"/>
      <c r="I3507" s="2"/>
    </row>
    <row r="3508">
      <c r="A3508" s="2">
        <f>IFERROR(__xludf.DUMMYFUNCTION("""COMPUTED_VALUE"""),116831.0)</f>
        <v>116831</v>
      </c>
      <c r="B3508" s="2" t="str">
        <f>IFERROR(__xludf.DUMMYFUNCTION("""COMPUTED_VALUE"""),"Medical")</f>
        <v>Medical</v>
      </c>
      <c r="C3508" s="2" t="str">
        <f>IFERROR(__xludf.DUMMYFUNCTION("""COMPUTED_VALUE"""),"Human Rights Law")</f>
        <v>Human Rights Law</v>
      </c>
      <c r="D3508" s="2" t="str">
        <f>IFERROR(__xludf.DUMMYFUNCTION("""COMPUTED_VALUE"""),"Northforge Books")</f>
        <v>Northforge Books</v>
      </c>
      <c r="E3508" s="2">
        <f>IFERROR(__xludf.DUMMYFUNCTION("""COMPUTED_VALUE"""),9.14)</f>
        <v>9.14</v>
      </c>
      <c r="F3508" s="2"/>
      <c r="G3508" s="2"/>
      <c r="H3508" s="2"/>
      <c r="I3508" s="2"/>
    </row>
    <row r="3509">
      <c r="A3509" s="2">
        <f>IFERROR(__xludf.DUMMYFUNCTION("""COMPUTED_VALUE"""),109577.0)</f>
        <v>109577</v>
      </c>
      <c r="B3509" s="2" t="str">
        <f>IFERROR(__xludf.DUMMYFUNCTION("""COMPUTED_VALUE"""),"Medical")</f>
        <v>Medical</v>
      </c>
      <c r="C3509" s="2" t="str">
        <f>IFERROR(__xludf.DUMMYFUNCTION("""COMPUTED_VALUE"""),"Human Rights Law")</f>
        <v>Human Rights Law</v>
      </c>
      <c r="D3509" s="2" t="str">
        <f>IFERROR(__xludf.DUMMYFUNCTION("""COMPUTED_VALUE"""),"Northforge Books")</f>
        <v>Northforge Books</v>
      </c>
      <c r="E3509" s="2">
        <f>IFERROR(__xludf.DUMMYFUNCTION("""COMPUTED_VALUE"""),14.49)</f>
        <v>14.49</v>
      </c>
      <c r="F3509" s="2"/>
      <c r="G3509" s="2"/>
      <c r="H3509" s="2"/>
      <c r="I3509" s="2"/>
    </row>
    <row r="3510">
      <c r="A3510" s="2">
        <f>IFERROR(__xludf.DUMMYFUNCTION("""COMPUTED_VALUE"""),77790.0)</f>
        <v>77790</v>
      </c>
      <c r="B3510" s="2" t="str">
        <f>IFERROR(__xludf.DUMMYFUNCTION("""COMPUTED_VALUE"""),"Sports")</f>
        <v>Sports</v>
      </c>
      <c r="C3510" s="2" t="str">
        <f>IFERROR(__xludf.DUMMYFUNCTION("""COMPUTED_VALUE"""),"Intellectual Property Law")</f>
        <v>Intellectual Property Law</v>
      </c>
      <c r="D3510" s="2" t="str">
        <f>IFERROR(__xludf.DUMMYFUNCTION("""COMPUTED_VALUE"""),"Harborforge Press")</f>
        <v>Harborforge Press</v>
      </c>
      <c r="E3510" s="2">
        <f>IFERROR(__xludf.DUMMYFUNCTION("""COMPUTED_VALUE"""),4.95)</f>
        <v>4.95</v>
      </c>
      <c r="F3510" s="2"/>
      <c r="G3510" s="2"/>
      <c r="H3510" s="2"/>
      <c r="I3510" s="2"/>
    </row>
    <row r="3511">
      <c r="A3511" s="2">
        <f>IFERROR(__xludf.DUMMYFUNCTION("""COMPUTED_VALUE"""),101172.0)</f>
        <v>101172</v>
      </c>
      <c r="B3511" s="2" t="str">
        <f>IFERROR(__xludf.DUMMYFUNCTION("""COMPUTED_VALUE"""),"Self-Help")</f>
        <v>Self-Help</v>
      </c>
      <c r="C3511" s="2" t="str">
        <f>IFERROR(__xludf.DUMMYFUNCTION("""COMPUTED_VALUE"""),"Environmental Law")</f>
        <v>Environmental Law</v>
      </c>
      <c r="D3511" s="2" t="str">
        <f>IFERROR(__xludf.DUMMYFUNCTION("""COMPUTED_VALUE"""),"Cedarforge Publishing")</f>
        <v>Cedarforge Publishing</v>
      </c>
      <c r="E3511" s="2">
        <f>IFERROR(__xludf.DUMMYFUNCTION("""COMPUTED_VALUE"""),11.37)</f>
        <v>11.37</v>
      </c>
      <c r="F3511" s="2"/>
      <c r="G3511" s="2"/>
      <c r="H3511" s="2"/>
      <c r="I3511" s="2"/>
    </row>
    <row r="3512">
      <c r="A3512" s="2">
        <f>IFERROR(__xludf.DUMMYFUNCTION("""COMPUTED_VALUE"""),87023.0)</f>
        <v>87023</v>
      </c>
      <c r="B3512" s="2" t="str">
        <f>IFERROR(__xludf.DUMMYFUNCTION("""COMPUTED_VALUE"""),"Self-Help")</f>
        <v>Self-Help</v>
      </c>
      <c r="C3512" s="2" t="str">
        <f>IFERROR(__xludf.DUMMYFUNCTION("""COMPUTED_VALUE"""),"Environmental Law")</f>
        <v>Environmental Law</v>
      </c>
      <c r="D3512" s="2" t="str">
        <f>IFERROR(__xludf.DUMMYFUNCTION("""COMPUTED_VALUE"""),"Brightforge Books")</f>
        <v>Brightforge Books</v>
      </c>
      <c r="E3512" s="2">
        <f>IFERROR(__xludf.DUMMYFUNCTION("""COMPUTED_VALUE"""),11.96)</f>
        <v>11.96</v>
      </c>
      <c r="F3512" s="2"/>
      <c r="G3512" s="2"/>
      <c r="H3512" s="2"/>
      <c r="I3512" s="2"/>
    </row>
    <row r="3513">
      <c r="A3513" s="2">
        <f>IFERROR(__xludf.DUMMYFUNCTION("""COMPUTED_VALUE"""),101520.0)</f>
        <v>101520</v>
      </c>
      <c r="B3513" s="2" t="str">
        <f>IFERROR(__xludf.DUMMYFUNCTION("""COMPUTED_VALUE"""),"Self-Help")</f>
        <v>Self-Help</v>
      </c>
      <c r="C3513" s="2" t="str">
        <f>IFERROR(__xludf.DUMMYFUNCTION("""COMPUTED_VALUE"""),"Environmental Law")</f>
        <v>Environmental Law</v>
      </c>
      <c r="D3513" s="2" t="str">
        <f>IFERROR(__xludf.DUMMYFUNCTION("""COMPUTED_VALUE"""),"Brightforge Books")</f>
        <v>Brightforge Books</v>
      </c>
      <c r="E3513" s="2">
        <f>IFERROR(__xludf.DUMMYFUNCTION("""COMPUTED_VALUE"""),9.24)</f>
        <v>9.24</v>
      </c>
      <c r="F3513" s="2"/>
      <c r="G3513" s="2"/>
      <c r="H3513" s="2"/>
      <c r="I3513" s="2"/>
    </row>
    <row r="3514">
      <c r="A3514" s="2">
        <f>IFERROR(__xludf.DUMMYFUNCTION("""COMPUTED_VALUE"""),118362.0)</f>
        <v>118362</v>
      </c>
      <c r="B3514" s="2" t="str">
        <f>IFERROR(__xludf.DUMMYFUNCTION("""COMPUTED_VALUE"""),"Self-Help")</f>
        <v>Self-Help</v>
      </c>
      <c r="C3514" s="2" t="str">
        <f>IFERROR(__xludf.DUMMYFUNCTION("""COMPUTED_VALUE"""),"Environmental Law")</f>
        <v>Environmental Law</v>
      </c>
      <c r="D3514" s="2" t="str">
        <f>IFERROR(__xludf.DUMMYFUNCTION("""COMPUTED_VALUE"""),"Brightforge Books")</f>
        <v>Brightforge Books</v>
      </c>
      <c r="E3514" s="2">
        <f>IFERROR(__xludf.DUMMYFUNCTION("""COMPUTED_VALUE"""),10.37)</f>
        <v>10.37</v>
      </c>
      <c r="F3514" s="2"/>
      <c r="G3514" s="2"/>
      <c r="H3514" s="2"/>
      <c r="I3514" s="2"/>
    </row>
    <row r="3515">
      <c r="A3515" s="2">
        <f>IFERROR(__xludf.DUMMYFUNCTION("""COMPUTED_VALUE"""),87313.0)</f>
        <v>87313</v>
      </c>
      <c r="B3515" s="2" t="str">
        <f>IFERROR(__xludf.DUMMYFUNCTION("""COMPUTED_VALUE"""),"Self-Help")</f>
        <v>Self-Help</v>
      </c>
      <c r="C3515" s="2" t="str">
        <f>IFERROR(__xludf.DUMMYFUNCTION("""COMPUTED_VALUE"""),"Environmental Law")</f>
        <v>Environmental Law</v>
      </c>
      <c r="D3515" s="2" t="str">
        <f>IFERROR(__xludf.DUMMYFUNCTION("""COMPUTED_VALUE"""),"Brightforge Books")</f>
        <v>Brightforge Books</v>
      </c>
      <c r="E3515" s="2">
        <f>IFERROR(__xludf.DUMMYFUNCTION("""COMPUTED_VALUE"""),7.52)</f>
        <v>7.52</v>
      </c>
      <c r="F3515" s="2"/>
      <c r="G3515" s="2"/>
      <c r="H3515" s="2"/>
      <c r="I3515" s="2"/>
    </row>
    <row r="3516">
      <c r="A3516" s="2">
        <f>IFERROR(__xludf.DUMMYFUNCTION("""COMPUTED_VALUE"""),111015.0)</f>
        <v>111015</v>
      </c>
      <c r="B3516" s="2" t="str">
        <f>IFERROR(__xludf.DUMMYFUNCTION("""COMPUTED_VALUE"""),"Self-Help")</f>
        <v>Self-Help</v>
      </c>
      <c r="C3516" s="2" t="str">
        <f>IFERROR(__xludf.DUMMYFUNCTION("""COMPUTED_VALUE"""),"Environmental Law")</f>
        <v>Environmental Law</v>
      </c>
      <c r="D3516" s="2" t="str">
        <f>IFERROR(__xludf.DUMMYFUNCTION("""COMPUTED_VALUE"""),"Brightforge Books")</f>
        <v>Brightforge Books</v>
      </c>
      <c r="E3516" s="2">
        <f>IFERROR(__xludf.DUMMYFUNCTION("""COMPUTED_VALUE"""),9.61)</f>
        <v>9.61</v>
      </c>
      <c r="F3516" s="2"/>
      <c r="G3516" s="2"/>
      <c r="H3516" s="2"/>
      <c r="I3516" s="2"/>
    </row>
    <row r="3517">
      <c r="A3517" s="2">
        <f>IFERROR(__xludf.DUMMYFUNCTION("""COMPUTED_VALUE"""),87312.0)</f>
        <v>87312</v>
      </c>
      <c r="B3517" s="2" t="str">
        <f>IFERROR(__xludf.DUMMYFUNCTION("""COMPUTED_VALUE"""),"Self-Help")</f>
        <v>Self-Help</v>
      </c>
      <c r="C3517" s="2" t="str">
        <f>IFERROR(__xludf.DUMMYFUNCTION("""COMPUTED_VALUE"""),"Environmental Law")</f>
        <v>Environmental Law</v>
      </c>
      <c r="D3517" s="2" t="str">
        <f>IFERROR(__xludf.DUMMYFUNCTION("""COMPUTED_VALUE"""),"Brightforge Books")</f>
        <v>Brightforge Books</v>
      </c>
      <c r="E3517" s="2">
        <f>IFERROR(__xludf.DUMMYFUNCTION("""COMPUTED_VALUE"""),7.7)</f>
        <v>7.7</v>
      </c>
      <c r="F3517" s="2"/>
      <c r="G3517" s="2"/>
      <c r="H3517" s="2"/>
      <c r="I3517" s="2"/>
    </row>
    <row r="3518">
      <c r="A3518" s="2">
        <f>IFERROR(__xludf.DUMMYFUNCTION("""COMPUTED_VALUE"""),87025.0)</f>
        <v>87025</v>
      </c>
      <c r="B3518" s="2" t="str">
        <f>IFERROR(__xludf.DUMMYFUNCTION("""COMPUTED_VALUE"""),"Self-Help")</f>
        <v>Self-Help</v>
      </c>
      <c r="C3518" s="2" t="str">
        <f>IFERROR(__xludf.DUMMYFUNCTION("""COMPUTED_VALUE"""),"Environmental Law")</f>
        <v>Environmental Law</v>
      </c>
      <c r="D3518" s="2" t="str">
        <f>IFERROR(__xludf.DUMMYFUNCTION("""COMPUTED_VALUE"""),"Brightforge Books")</f>
        <v>Brightforge Books</v>
      </c>
      <c r="E3518" s="2">
        <f>IFERROR(__xludf.DUMMYFUNCTION("""COMPUTED_VALUE"""),12.12)</f>
        <v>12.12</v>
      </c>
      <c r="F3518" s="2"/>
      <c r="G3518" s="2"/>
      <c r="H3518" s="2"/>
      <c r="I3518" s="2"/>
    </row>
    <row r="3519">
      <c r="A3519" s="2">
        <f>IFERROR(__xludf.DUMMYFUNCTION("""COMPUTED_VALUE"""),111587.0)</f>
        <v>111587</v>
      </c>
      <c r="B3519" s="2" t="str">
        <f>IFERROR(__xludf.DUMMYFUNCTION("""COMPUTED_VALUE"""),"Self-Help")</f>
        <v>Self-Help</v>
      </c>
      <c r="C3519" s="2" t="str">
        <f>IFERROR(__xludf.DUMMYFUNCTION("""COMPUTED_VALUE"""),"Environmental Law")</f>
        <v>Environmental Law</v>
      </c>
      <c r="D3519" s="2" t="str">
        <f>IFERROR(__xludf.DUMMYFUNCTION("""COMPUTED_VALUE"""),"Brightforge Books")</f>
        <v>Brightforge Books</v>
      </c>
      <c r="E3519" s="2">
        <f>IFERROR(__xludf.DUMMYFUNCTION("""COMPUTED_VALUE"""),5.54)</f>
        <v>5.54</v>
      </c>
      <c r="F3519" s="2"/>
      <c r="G3519" s="2"/>
      <c r="H3519" s="2"/>
      <c r="I3519" s="2"/>
    </row>
    <row r="3520">
      <c r="A3520" s="2">
        <f>IFERROR(__xludf.DUMMYFUNCTION("""COMPUTED_VALUE"""),114934.0)</f>
        <v>114934</v>
      </c>
      <c r="B3520" s="2" t="str">
        <f>IFERROR(__xludf.DUMMYFUNCTION("""COMPUTED_VALUE"""),"Medical")</f>
        <v>Medical</v>
      </c>
      <c r="C3520" s="2" t="str">
        <f>IFERROR(__xludf.DUMMYFUNCTION("""COMPUTED_VALUE"""),"Labor Law")</f>
        <v>Labor Law</v>
      </c>
      <c r="D3520" s="2" t="str">
        <f>IFERROR(__xludf.DUMMYFUNCTION("""COMPUTED_VALUE"""),"Oakforge Press")</f>
        <v>Oakforge Press</v>
      </c>
      <c r="E3520" s="2">
        <f>IFERROR(__xludf.DUMMYFUNCTION("""COMPUTED_VALUE"""),2.04)</f>
        <v>2.04</v>
      </c>
      <c r="F3520" s="2"/>
      <c r="G3520" s="2"/>
      <c r="H3520" s="2"/>
      <c r="I3520" s="2"/>
    </row>
    <row r="3521">
      <c r="A3521" s="2">
        <f>IFERROR(__xludf.DUMMYFUNCTION("""COMPUTED_VALUE"""),116519.0)</f>
        <v>116519</v>
      </c>
      <c r="B3521" s="2" t="str">
        <f>IFERROR(__xludf.DUMMYFUNCTION("""COMPUTED_VALUE"""),"Medical")</f>
        <v>Medical</v>
      </c>
      <c r="C3521" s="2" t="str">
        <f>IFERROR(__xludf.DUMMYFUNCTION("""COMPUTED_VALUE"""),"Labor Law")</f>
        <v>Labor Law</v>
      </c>
      <c r="D3521" s="2" t="str">
        <f>IFERROR(__xludf.DUMMYFUNCTION("""COMPUTED_VALUE"""),"Riverforge Publishing")</f>
        <v>Riverforge Publishing</v>
      </c>
      <c r="E3521" s="2">
        <f>IFERROR(__xludf.DUMMYFUNCTION("""COMPUTED_VALUE"""),1.83)</f>
        <v>1.83</v>
      </c>
      <c r="F3521" s="2"/>
      <c r="G3521" s="2"/>
      <c r="H3521" s="2"/>
      <c r="I3521" s="2"/>
    </row>
    <row r="3522">
      <c r="A3522" s="2">
        <f>IFERROR(__xludf.DUMMYFUNCTION("""COMPUTED_VALUE"""),116516.0)</f>
        <v>116516</v>
      </c>
      <c r="B3522" s="2" t="str">
        <f>IFERROR(__xludf.DUMMYFUNCTION("""COMPUTED_VALUE"""),"Medical")</f>
        <v>Medical</v>
      </c>
      <c r="C3522" s="2" t="str">
        <f>IFERROR(__xludf.DUMMYFUNCTION("""COMPUTED_VALUE"""),"Labor Law")</f>
        <v>Labor Law</v>
      </c>
      <c r="D3522" s="2" t="str">
        <f>IFERROR(__xludf.DUMMYFUNCTION("""COMPUTED_VALUE"""),"Riverforge Publishing")</f>
        <v>Riverforge Publishing</v>
      </c>
      <c r="E3522" s="2">
        <f>IFERROR(__xludf.DUMMYFUNCTION("""COMPUTED_VALUE"""),1.99)</f>
        <v>1.99</v>
      </c>
      <c r="F3522" s="2"/>
      <c r="G3522" s="2"/>
      <c r="H3522" s="2"/>
      <c r="I3522" s="2"/>
    </row>
    <row r="3523">
      <c r="A3523" s="2">
        <f>IFERROR(__xludf.DUMMYFUNCTION("""COMPUTED_VALUE"""),104931.0)</f>
        <v>104931</v>
      </c>
      <c r="B3523" s="2" t="str">
        <f>IFERROR(__xludf.DUMMYFUNCTION("""COMPUTED_VALUE"""),"Finance")</f>
        <v>Finance</v>
      </c>
      <c r="C3523" s="2" t="str">
        <f>IFERROR(__xludf.DUMMYFUNCTION("""COMPUTED_VALUE"""),"Tax Law")</f>
        <v>Tax Law</v>
      </c>
      <c r="D3523" s="2" t="str">
        <f>IFERROR(__xludf.DUMMYFUNCTION("""COMPUTED_VALUE"""),"Ironforge Books")</f>
        <v>Ironforge Books</v>
      </c>
      <c r="E3523" s="2">
        <f>IFERROR(__xludf.DUMMYFUNCTION("""COMPUTED_VALUE"""),7.18)</f>
        <v>7.18</v>
      </c>
      <c r="F3523" s="2"/>
      <c r="G3523" s="2"/>
      <c r="H3523" s="2"/>
      <c r="I3523" s="2"/>
    </row>
    <row r="3524">
      <c r="A3524" s="2">
        <f>IFERROR(__xludf.DUMMYFUNCTION("""COMPUTED_VALUE"""),105656.0)</f>
        <v>105656</v>
      </c>
      <c r="B3524" s="2" t="str">
        <f>IFERROR(__xludf.DUMMYFUNCTION("""COMPUTED_VALUE"""),"Finance")</f>
        <v>Finance</v>
      </c>
      <c r="C3524" s="2" t="str">
        <f>IFERROR(__xludf.DUMMYFUNCTION("""COMPUTED_VALUE"""),"Tax Law")</f>
        <v>Tax Law</v>
      </c>
      <c r="D3524" s="2" t="str">
        <f>IFERROR(__xludf.DUMMYFUNCTION("""COMPUTED_VALUE"""),"Ironforge Books")</f>
        <v>Ironforge Books</v>
      </c>
      <c r="E3524" s="2">
        <f>IFERROR(__xludf.DUMMYFUNCTION("""COMPUTED_VALUE"""),11.45)</f>
        <v>11.45</v>
      </c>
      <c r="F3524" s="2"/>
      <c r="G3524" s="2"/>
      <c r="H3524" s="2"/>
      <c r="I3524" s="2"/>
    </row>
    <row r="3525">
      <c r="A3525" s="2">
        <f>IFERROR(__xludf.DUMMYFUNCTION("""COMPUTED_VALUE"""),117702.0)</f>
        <v>117702</v>
      </c>
      <c r="B3525" s="2" t="str">
        <f>IFERROR(__xludf.DUMMYFUNCTION("""COMPUTED_VALUE"""),"Finance")</f>
        <v>Finance</v>
      </c>
      <c r="C3525" s="2" t="str">
        <f>IFERROR(__xludf.DUMMYFUNCTION("""COMPUTED_VALUE"""),"Tax Law")</f>
        <v>Tax Law</v>
      </c>
      <c r="D3525" s="2" t="str">
        <f>IFERROR(__xludf.DUMMYFUNCTION("""COMPUTED_VALUE"""),"Silvercrest House")</f>
        <v>Silvercrest House</v>
      </c>
      <c r="E3525" s="2">
        <f>IFERROR(__xludf.DUMMYFUNCTION("""COMPUTED_VALUE"""),42.91)</f>
        <v>42.91</v>
      </c>
      <c r="F3525" s="2"/>
      <c r="G3525" s="2"/>
      <c r="H3525" s="2"/>
      <c r="I3525" s="2"/>
    </row>
    <row r="3526">
      <c r="A3526" s="2">
        <f>IFERROR(__xludf.DUMMYFUNCTION("""COMPUTED_VALUE"""),88385.0)</f>
        <v>88385</v>
      </c>
      <c r="B3526" s="2" t="str">
        <f>IFERROR(__xludf.DUMMYFUNCTION("""COMPUTED_VALUE"""),"Finance")</f>
        <v>Finance</v>
      </c>
      <c r="C3526" s="2" t="str">
        <f>IFERROR(__xludf.DUMMYFUNCTION("""COMPUTED_VALUE"""),"Tax Law")</f>
        <v>Tax Law</v>
      </c>
      <c r="D3526" s="2" t="str">
        <f>IFERROR(__xludf.DUMMYFUNCTION("""COMPUTED_VALUE"""),"Silvercrest House")</f>
        <v>Silvercrest House</v>
      </c>
      <c r="E3526" s="2">
        <f>IFERROR(__xludf.DUMMYFUNCTION("""COMPUTED_VALUE"""),55.58)</f>
        <v>55.58</v>
      </c>
      <c r="F3526" s="2"/>
      <c r="G3526" s="2"/>
      <c r="H3526" s="2"/>
      <c r="I3526" s="2"/>
    </row>
    <row r="3527">
      <c r="A3527" s="2">
        <f>IFERROR(__xludf.DUMMYFUNCTION("""COMPUTED_VALUE"""),76451.0)</f>
        <v>76451</v>
      </c>
      <c r="B3527" s="2" t="str">
        <f>IFERROR(__xludf.DUMMYFUNCTION("""COMPUTED_VALUE"""),"Finance")</f>
        <v>Finance</v>
      </c>
      <c r="C3527" s="2" t="str">
        <f>IFERROR(__xludf.DUMMYFUNCTION("""COMPUTED_VALUE"""),"Tax Law")</f>
        <v>Tax Law</v>
      </c>
      <c r="D3527" s="2" t="str">
        <f>IFERROR(__xludf.DUMMYFUNCTION("""COMPUTED_VALUE"""),"Northcrest House")</f>
        <v>Northcrest House</v>
      </c>
      <c r="E3527" s="2">
        <f>IFERROR(__xludf.DUMMYFUNCTION("""COMPUTED_VALUE"""),5.24)</f>
        <v>5.24</v>
      </c>
      <c r="F3527" s="2"/>
      <c r="G3527" s="2"/>
      <c r="H3527" s="2"/>
      <c r="I3527" s="2"/>
    </row>
    <row r="3528">
      <c r="A3528" s="2">
        <f>IFERROR(__xludf.DUMMYFUNCTION("""COMPUTED_VALUE"""),199950.0)</f>
        <v>199950</v>
      </c>
      <c r="B3528" s="2" t="str">
        <f>IFERROR(__xludf.DUMMYFUNCTION("""COMPUTED_VALUE"""),"Finance")</f>
        <v>Finance</v>
      </c>
      <c r="C3528" s="2" t="str">
        <f>IFERROR(__xludf.DUMMYFUNCTION("""COMPUTED_VALUE"""),"Tax Law")</f>
        <v>Tax Law</v>
      </c>
      <c r="D3528" s="2" t="str">
        <f>IFERROR(__xludf.DUMMYFUNCTION("""COMPUTED_VALUE"""),"Northcrest House")</f>
        <v>Northcrest House</v>
      </c>
      <c r="E3528" s="2">
        <f>IFERROR(__xludf.DUMMYFUNCTION("""COMPUTED_VALUE"""),56.8)</f>
        <v>56.8</v>
      </c>
      <c r="F3528" s="2"/>
      <c r="G3528" s="2"/>
      <c r="H3528" s="2"/>
      <c r="I3528" s="2"/>
    </row>
    <row r="3529">
      <c r="A3529" s="2">
        <f>IFERROR(__xludf.DUMMYFUNCTION("""COMPUTED_VALUE"""),121167.0)</f>
        <v>121167</v>
      </c>
      <c r="B3529" s="2" t="str">
        <f>IFERROR(__xludf.DUMMYFUNCTION("""COMPUTED_VALUE"""),"Finance")</f>
        <v>Finance</v>
      </c>
      <c r="C3529" s="2" t="str">
        <f>IFERROR(__xludf.DUMMYFUNCTION("""COMPUTED_VALUE"""),"Tax Law")</f>
        <v>Tax Law</v>
      </c>
      <c r="D3529" s="2" t="str">
        <f>IFERROR(__xludf.DUMMYFUNCTION("""COMPUTED_VALUE"""),"Northcrest House")</f>
        <v>Northcrest House</v>
      </c>
      <c r="E3529" s="2">
        <f>IFERROR(__xludf.DUMMYFUNCTION("""COMPUTED_VALUE"""),10.83)</f>
        <v>10.83</v>
      </c>
      <c r="F3529" s="2"/>
      <c r="G3529" s="2"/>
      <c r="H3529" s="2"/>
      <c r="I3529" s="2"/>
    </row>
    <row r="3530">
      <c r="A3530" s="2">
        <f>IFERROR(__xludf.DUMMYFUNCTION("""COMPUTED_VALUE"""),199954.0)</f>
        <v>199954</v>
      </c>
      <c r="B3530" s="2" t="str">
        <f>IFERROR(__xludf.DUMMYFUNCTION("""COMPUTED_VALUE"""),"Finance")</f>
        <v>Finance</v>
      </c>
      <c r="C3530" s="2" t="str">
        <f>IFERROR(__xludf.DUMMYFUNCTION("""COMPUTED_VALUE"""),"Tax Law")</f>
        <v>Tax Law</v>
      </c>
      <c r="D3530" s="2" t="str">
        <f>IFERROR(__xludf.DUMMYFUNCTION("""COMPUTED_VALUE"""),"Northcrest House")</f>
        <v>Northcrest House</v>
      </c>
      <c r="E3530" s="2">
        <f>IFERROR(__xludf.DUMMYFUNCTION("""COMPUTED_VALUE"""),9.03)</f>
        <v>9.03</v>
      </c>
      <c r="F3530" s="2"/>
      <c r="G3530" s="2"/>
      <c r="H3530" s="2"/>
      <c r="I3530" s="2"/>
    </row>
    <row r="3531">
      <c r="A3531" s="2">
        <f>IFERROR(__xludf.DUMMYFUNCTION("""COMPUTED_VALUE"""),190713.0)</f>
        <v>190713</v>
      </c>
      <c r="B3531" s="2" t="str">
        <f>IFERROR(__xludf.DUMMYFUNCTION("""COMPUTED_VALUE"""),"Finance")</f>
        <v>Finance</v>
      </c>
      <c r="C3531" s="2" t="str">
        <f>IFERROR(__xludf.DUMMYFUNCTION("""COMPUTED_VALUE"""),"Tax Law")</f>
        <v>Tax Law</v>
      </c>
      <c r="D3531" s="2" t="str">
        <f>IFERROR(__xludf.DUMMYFUNCTION("""COMPUTED_VALUE"""),"Northcrest House")</f>
        <v>Northcrest House</v>
      </c>
      <c r="E3531" s="2">
        <f>IFERROR(__xludf.DUMMYFUNCTION("""COMPUTED_VALUE"""),8.43)</f>
        <v>8.43</v>
      </c>
      <c r="F3531" s="2"/>
      <c r="G3531" s="2"/>
      <c r="H3531" s="2"/>
      <c r="I3531" s="2"/>
    </row>
    <row r="3532">
      <c r="A3532" s="2">
        <f>IFERROR(__xludf.DUMMYFUNCTION("""COMPUTED_VALUE"""),199951.0)</f>
        <v>199951</v>
      </c>
      <c r="B3532" s="2" t="str">
        <f>IFERROR(__xludf.DUMMYFUNCTION("""COMPUTED_VALUE"""),"Finance")</f>
        <v>Finance</v>
      </c>
      <c r="C3532" s="2" t="str">
        <f>IFERROR(__xludf.DUMMYFUNCTION("""COMPUTED_VALUE"""),"Tax Law")</f>
        <v>Tax Law</v>
      </c>
      <c r="D3532" s="2" t="str">
        <f>IFERROR(__xludf.DUMMYFUNCTION("""COMPUTED_VALUE"""),"Northcrest House")</f>
        <v>Northcrest House</v>
      </c>
      <c r="E3532" s="2">
        <f>IFERROR(__xludf.DUMMYFUNCTION("""COMPUTED_VALUE"""),9.21)</f>
        <v>9.21</v>
      </c>
      <c r="F3532" s="2"/>
      <c r="G3532" s="2"/>
      <c r="H3532" s="2"/>
      <c r="I3532" s="2"/>
    </row>
    <row r="3533">
      <c r="A3533" s="2">
        <f>IFERROR(__xludf.DUMMYFUNCTION("""COMPUTED_VALUE"""),85263.0)</f>
        <v>85263</v>
      </c>
      <c r="B3533" s="2" t="str">
        <f>IFERROR(__xludf.DUMMYFUNCTION("""COMPUTED_VALUE"""),"Finance")</f>
        <v>Finance</v>
      </c>
      <c r="C3533" s="2" t="str">
        <f>IFERROR(__xludf.DUMMYFUNCTION("""COMPUTED_VALUE"""),"Tax Law")</f>
        <v>Tax Law</v>
      </c>
      <c r="D3533" s="2" t="str">
        <f>IFERROR(__xludf.DUMMYFUNCTION("""COMPUTED_VALUE"""),"Northcrest House")</f>
        <v>Northcrest House</v>
      </c>
      <c r="E3533" s="2">
        <f>IFERROR(__xludf.DUMMYFUNCTION("""COMPUTED_VALUE"""),7.41)</f>
        <v>7.41</v>
      </c>
      <c r="F3533" s="2"/>
      <c r="G3533" s="2"/>
      <c r="H3533" s="2"/>
      <c r="I3533" s="2"/>
    </row>
    <row r="3534">
      <c r="A3534" s="2">
        <f>IFERROR(__xludf.DUMMYFUNCTION("""COMPUTED_VALUE"""),180016.0)</f>
        <v>180016</v>
      </c>
      <c r="B3534" s="2" t="str">
        <f>IFERROR(__xludf.DUMMYFUNCTION("""COMPUTED_VALUE"""),"Finance")</f>
        <v>Finance</v>
      </c>
      <c r="C3534" s="2" t="str">
        <f>IFERROR(__xludf.DUMMYFUNCTION("""COMPUTED_VALUE"""),"Tax Law")</f>
        <v>Tax Law</v>
      </c>
      <c r="D3534" s="2" t="str">
        <f>IFERROR(__xludf.DUMMYFUNCTION("""COMPUTED_VALUE"""),"Harborcrest House")</f>
        <v>Harborcrest House</v>
      </c>
      <c r="E3534" s="2">
        <f>IFERROR(__xludf.DUMMYFUNCTION("""COMPUTED_VALUE"""),33.79)</f>
        <v>33.79</v>
      </c>
      <c r="F3534" s="2"/>
      <c r="G3534" s="2"/>
      <c r="H3534" s="2"/>
      <c r="I3534" s="2"/>
    </row>
    <row r="3535">
      <c r="A3535" s="2">
        <f>IFERROR(__xludf.DUMMYFUNCTION("""COMPUTED_VALUE"""),129432.0)</f>
        <v>129432</v>
      </c>
      <c r="B3535" s="2" t="str">
        <f>IFERROR(__xludf.DUMMYFUNCTION("""COMPUTED_VALUE"""),"Finance")</f>
        <v>Finance</v>
      </c>
      <c r="C3535" s="2" t="str">
        <f>IFERROR(__xludf.DUMMYFUNCTION("""COMPUTED_VALUE"""),"Tax Law")</f>
        <v>Tax Law</v>
      </c>
      <c r="D3535" s="2" t="str">
        <f>IFERROR(__xludf.DUMMYFUNCTION("""COMPUTED_VALUE"""),"Harborcrest House")</f>
        <v>Harborcrest House</v>
      </c>
      <c r="E3535" s="2">
        <f>IFERROR(__xludf.DUMMYFUNCTION("""COMPUTED_VALUE"""),17.41)</f>
        <v>17.41</v>
      </c>
      <c r="F3535" s="2"/>
      <c r="G3535" s="2"/>
      <c r="H3535" s="2"/>
      <c r="I3535" s="2"/>
    </row>
    <row r="3536">
      <c r="A3536" s="2">
        <f>IFERROR(__xludf.DUMMYFUNCTION("""COMPUTED_VALUE"""),120052.0)</f>
        <v>120052</v>
      </c>
      <c r="B3536" s="2" t="str">
        <f>IFERROR(__xludf.DUMMYFUNCTION("""COMPUTED_VALUE"""),"Finance")</f>
        <v>Finance</v>
      </c>
      <c r="C3536" s="2" t="str">
        <f>IFERROR(__xludf.DUMMYFUNCTION("""COMPUTED_VALUE"""),"Tax Law")</f>
        <v>Tax Law</v>
      </c>
      <c r="D3536" s="2" t="str">
        <f>IFERROR(__xludf.DUMMYFUNCTION("""COMPUTED_VALUE"""),"Harborcrest House")</f>
        <v>Harborcrest House</v>
      </c>
      <c r="E3536" s="2">
        <f>IFERROR(__xludf.DUMMYFUNCTION("""COMPUTED_VALUE"""),18.55)</f>
        <v>18.55</v>
      </c>
      <c r="F3536" s="2"/>
      <c r="G3536" s="2"/>
      <c r="H3536" s="2"/>
      <c r="I3536" s="2"/>
    </row>
    <row r="3537">
      <c r="A3537" s="2">
        <f>IFERROR(__xludf.DUMMYFUNCTION("""COMPUTED_VALUE"""),111876.0)</f>
        <v>111876</v>
      </c>
      <c r="B3537" s="2" t="str">
        <f>IFERROR(__xludf.DUMMYFUNCTION("""COMPUTED_VALUE"""),"Finance")</f>
        <v>Finance</v>
      </c>
      <c r="C3537" s="2" t="str">
        <f>IFERROR(__xludf.DUMMYFUNCTION("""COMPUTED_VALUE"""),"Tax Law")</f>
        <v>Tax Law</v>
      </c>
      <c r="D3537" s="2" t="str">
        <f>IFERROR(__xludf.DUMMYFUNCTION("""COMPUTED_VALUE"""),"Cedarcrest House")</f>
        <v>Cedarcrest House</v>
      </c>
      <c r="E3537" s="2">
        <f>IFERROR(__xludf.DUMMYFUNCTION("""COMPUTED_VALUE"""),23.55)</f>
        <v>23.55</v>
      </c>
      <c r="F3537" s="2"/>
      <c r="G3537" s="2"/>
      <c r="H3537" s="2"/>
      <c r="I3537" s="2"/>
    </row>
    <row r="3538">
      <c r="A3538" s="2">
        <f>IFERROR(__xludf.DUMMYFUNCTION("""COMPUTED_VALUE"""),85092.0)</f>
        <v>85092</v>
      </c>
      <c r="B3538" s="2" t="str">
        <f>IFERROR(__xludf.DUMMYFUNCTION("""COMPUTED_VALUE"""),"Finance")</f>
        <v>Finance</v>
      </c>
      <c r="C3538" s="2" t="str">
        <f>IFERROR(__xludf.DUMMYFUNCTION("""COMPUTED_VALUE"""),"Tax Law")</f>
        <v>Tax Law</v>
      </c>
      <c r="D3538" s="2" t="str">
        <f>IFERROR(__xludf.DUMMYFUNCTION("""COMPUTED_VALUE"""),"Brightcrest House")</f>
        <v>Brightcrest House</v>
      </c>
      <c r="E3538" s="2">
        <f>IFERROR(__xludf.DUMMYFUNCTION("""COMPUTED_VALUE"""),5.18)</f>
        <v>5.18</v>
      </c>
      <c r="F3538" s="2"/>
      <c r="G3538" s="2"/>
      <c r="H3538" s="2"/>
      <c r="I3538" s="2"/>
    </row>
    <row r="3539">
      <c r="A3539" s="2">
        <f>IFERROR(__xludf.DUMMYFUNCTION("""COMPUTED_VALUE"""),121046.0)</f>
        <v>121046</v>
      </c>
      <c r="B3539" s="2" t="str">
        <f>IFERROR(__xludf.DUMMYFUNCTION("""COMPUTED_VALUE"""),"Finance")</f>
        <v>Finance</v>
      </c>
      <c r="C3539" s="2" t="str">
        <f>IFERROR(__xludf.DUMMYFUNCTION("""COMPUTED_VALUE"""),"Tax Law")</f>
        <v>Tax Law</v>
      </c>
      <c r="D3539" s="2" t="str">
        <f>IFERROR(__xludf.DUMMYFUNCTION("""COMPUTED_VALUE"""),"Brightcrest House")</f>
        <v>Brightcrest House</v>
      </c>
      <c r="E3539" s="2">
        <f>IFERROR(__xludf.DUMMYFUNCTION("""COMPUTED_VALUE"""),11.01)</f>
        <v>11.01</v>
      </c>
      <c r="F3539" s="2"/>
      <c r="G3539" s="2"/>
      <c r="H3539" s="2"/>
      <c r="I3539" s="2"/>
    </row>
    <row r="3540">
      <c r="A3540" s="2">
        <f>IFERROR(__xludf.DUMMYFUNCTION("""COMPUTED_VALUE"""),849.0)</f>
        <v>849</v>
      </c>
      <c r="B3540" s="2" t="str">
        <f>IFERROR(__xludf.DUMMYFUNCTION("""COMPUTED_VALUE"""),"Finance")</f>
        <v>Finance</v>
      </c>
      <c r="C3540" s="2" t="str">
        <f>IFERROR(__xludf.DUMMYFUNCTION("""COMPUTED_VALUE"""),"Tax Law")</f>
        <v>Tax Law</v>
      </c>
      <c r="D3540" s="2" t="str">
        <f>IFERROR(__xludf.DUMMYFUNCTION("""COMPUTED_VALUE"""),"Brightcrest House")</f>
        <v>Brightcrest House</v>
      </c>
      <c r="E3540" s="2">
        <f>IFERROR(__xludf.DUMMYFUNCTION("""COMPUTED_VALUE"""),5.15)</f>
        <v>5.15</v>
      </c>
      <c r="F3540" s="2"/>
      <c r="G3540" s="2"/>
      <c r="H3540" s="2"/>
      <c r="I3540" s="2"/>
    </row>
    <row r="3541">
      <c r="A3541" s="2">
        <f>IFERROR(__xludf.DUMMYFUNCTION("""COMPUTED_VALUE"""),21662.0)</f>
        <v>21662</v>
      </c>
      <c r="B3541" s="2" t="str">
        <f>IFERROR(__xludf.DUMMYFUNCTION("""COMPUTED_VALUE"""),"Finance")</f>
        <v>Finance</v>
      </c>
      <c r="C3541" s="2" t="str">
        <f>IFERROR(__xludf.DUMMYFUNCTION("""COMPUTED_VALUE"""),"Tax Law")</f>
        <v>Tax Law</v>
      </c>
      <c r="D3541" s="2" t="str">
        <f>IFERROR(__xludf.DUMMYFUNCTION("""COMPUTED_VALUE"""),"Brightcrest House")</f>
        <v>Brightcrest House</v>
      </c>
      <c r="E3541" s="2">
        <f>IFERROR(__xludf.DUMMYFUNCTION("""COMPUTED_VALUE"""),13.16)</f>
        <v>13.16</v>
      </c>
      <c r="F3541" s="2"/>
      <c r="G3541" s="2"/>
      <c r="H3541" s="2"/>
      <c r="I3541" s="2"/>
    </row>
    <row r="3542">
      <c r="A3542" s="2">
        <f>IFERROR(__xludf.DUMMYFUNCTION("""COMPUTED_VALUE"""),127038.0)</f>
        <v>127038</v>
      </c>
      <c r="B3542" s="2" t="str">
        <f>IFERROR(__xludf.DUMMYFUNCTION("""COMPUTED_VALUE"""),"Finance")</f>
        <v>Finance</v>
      </c>
      <c r="C3542" s="2" t="str">
        <f>IFERROR(__xludf.DUMMYFUNCTION("""COMPUTED_VALUE"""),"Tax Law")</f>
        <v>Tax Law</v>
      </c>
      <c r="D3542" s="2" t="str">
        <f>IFERROR(__xludf.DUMMYFUNCTION("""COMPUTED_VALUE"""),"Brightcrest House")</f>
        <v>Brightcrest House</v>
      </c>
      <c r="E3542" s="2">
        <f>IFERROR(__xludf.DUMMYFUNCTION("""COMPUTED_VALUE"""),21.7)</f>
        <v>21.7</v>
      </c>
      <c r="F3542" s="2"/>
      <c r="G3542" s="2"/>
      <c r="H3542" s="2"/>
      <c r="I3542" s="2"/>
    </row>
    <row r="3543">
      <c r="A3543" s="2">
        <f>IFERROR(__xludf.DUMMYFUNCTION("""COMPUTED_VALUE"""),91954.0)</f>
        <v>91954</v>
      </c>
      <c r="B3543" s="2" t="str">
        <f>IFERROR(__xludf.DUMMYFUNCTION("""COMPUTED_VALUE"""),"Finance")</f>
        <v>Finance</v>
      </c>
      <c r="C3543" s="2" t="str">
        <f>IFERROR(__xludf.DUMMYFUNCTION("""COMPUTED_VALUE"""),"Tax Law")</f>
        <v>Tax Law</v>
      </c>
      <c r="D3543" s="2" t="str">
        <f>IFERROR(__xludf.DUMMYFUNCTION("""COMPUTED_VALUE"""),"Brightcrest House")</f>
        <v>Brightcrest House</v>
      </c>
      <c r="E3543" s="2">
        <f>IFERROR(__xludf.DUMMYFUNCTION("""COMPUTED_VALUE"""),15.4)</f>
        <v>15.4</v>
      </c>
      <c r="F3543" s="2"/>
      <c r="G3543" s="2"/>
      <c r="H3543" s="2"/>
      <c r="I3543" s="2"/>
    </row>
    <row r="3544">
      <c r="A3544" s="2">
        <f>IFERROR(__xludf.DUMMYFUNCTION("""COMPUTED_VALUE"""),96365.0)</f>
        <v>96365</v>
      </c>
      <c r="B3544" s="2" t="str">
        <f>IFERROR(__xludf.DUMMYFUNCTION("""COMPUTED_VALUE"""),"Finance")</f>
        <v>Finance</v>
      </c>
      <c r="C3544" s="2" t="str">
        <f>IFERROR(__xludf.DUMMYFUNCTION("""COMPUTED_VALUE"""),"Tax Law")</f>
        <v>Tax Law</v>
      </c>
      <c r="D3544" s="2" t="str">
        <f>IFERROR(__xludf.DUMMYFUNCTION("""COMPUTED_VALUE"""),"Oakcrest House")</f>
        <v>Oakcrest House</v>
      </c>
      <c r="E3544" s="2">
        <f>IFERROR(__xludf.DUMMYFUNCTION("""COMPUTED_VALUE"""),9.34)</f>
        <v>9.34</v>
      </c>
      <c r="F3544" s="2"/>
      <c r="G3544" s="2"/>
      <c r="H3544" s="2"/>
      <c r="I3544" s="2"/>
    </row>
    <row r="3545">
      <c r="A3545" s="2">
        <f>IFERROR(__xludf.DUMMYFUNCTION("""COMPUTED_VALUE"""),121172.0)</f>
        <v>121172</v>
      </c>
      <c r="B3545" s="2" t="str">
        <f>IFERROR(__xludf.DUMMYFUNCTION("""COMPUTED_VALUE"""),"Finance")</f>
        <v>Finance</v>
      </c>
      <c r="C3545" s="2" t="str">
        <f>IFERROR(__xludf.DUMMYFUNCTION("""COMPUTED_VALUE"""),"Tax Law")</f>
        <v>Tax Law</v>
      </c>
      <c r="D3545" s="2" t="str">
        <f>IFERROR(__xludf.DUMMYFUNCTION("""COMPUTED_VALUE"""),"Oakcrest House")</f>
        <v>Oakcrest House</v>
      </c>
      <c r="E3545" s="2">
        <f>IFERROR(__xludf.DUMMYFUNCTION("""COMPUTED_VALUE"""),11.34)</f>
        <v>11.34</v>
      </c>
      <c r="F3545" s="2"/>
      <c r="G3545" s="2"/>
      <c r="H3545" s="2"/>
      <c r="I3545" s="2"/>
    </row>
    <row r="3546">
      <c r="A3546" s="2">
        <f>IFERROR(__xludf.DUMMYFUNCTION("""COMPUTED_VALUE"""),74331.0)</f>
        <v>74331</v>
      </c>
      <c r="B3546" s="2" t="str">
        <f>IFERROR(__xludf.DUMMYFUNCTION("""COMPUTED_VALUE"""),"Finance")</f>
        <v>Finance</v>
      </c>
      <c r="C3546" s="2" t="str">
        <f>IFERROR(__xludf.DUMMYFUNCTION("""COMPUTED_VALUE"""),"Tax Law")</f>
        <v>Tax Law</v>
      </c>
      <c r="D3546" s="2" t="str">
        <f>IFERROR(__xludf.DUMMYFUNCTION("""COMPUTED_VALUE"""),"Oakcrest House")</f>
        <v>Oakcrest House</v>
      </c>
      <c r="E3546" s="2">
        <f>IFERROR(__xludf.DUMMYFUNCTION("""COMPUTED_VALUE"""),12.26)</f>
        <v>12.26</v>
      </c>
      <c r="F3546" s="2"/>
      <c r="G3546" s="2"/>
      <c r="H3546" s="2"/>
      <c r="I3546" s="2"/>
    </row>
    <row r="3547">
      <c r="A3547" s="2">
        <f>IFERROR(__xludf.DUMMYFUNCTION("""COMPUTED_VALUE"""),105657.0)</f>
        <v>105657</v>
      </c>
      <c r="B3547" s="2" t="str">
        <f>IFERROR(__xludf.DUMMYFUNCTION("""COMPUTED_VALUE"""),"Finance")</f>
        <v>Finance</v>
      </c>
      <c r="C3547" s="2" t="str">
        <f>IFERROR(__xludf.DUMMYFUNCTION("""COMPUTED_VALUE"""),"Tax Law")</f>
        <v>Tax Law</v>
      </c>
      <c r="D3547" s="2" t="str">
        <f>IFERROR(__xludf.DUMMYFUNCTION("""COMPUTED_VALUE"""),"Oakcrest House")</f>
        <v>Oakcrest House</v>
      </c>
      <c r="E3547" s="2">
        <f>IFERROR(__xludf.DUMMYFUNCTION("""COMPUTED_VALUE"""),15.58)</f>
        <v>15.58</v>
      </c>
      <c r="F3547" s="2"/>
      <c r="G3547" s="2"/>
      <c r="H3547" s="2"/>
      <c r="I3547" s="2"/>
    </row>
    <row r="3548">
      <c r="A3548" s="2">
        <f>IFERROR(__xludf.DUMMYFUNCTION("""COMPUTED_VALUE"""),113716.0)</f>
        <v>113716</v>
      </c>
      <c r="B3548" s="2" t="str">
        <f>IFERROR(__xludf.DUMMYFUNCTION("""COMPUTED_VALUE"""),"Finance")</f>
        <v>Finance</v>
      </c>
      <c r="C3548" s="2" t="str">
        <f>IFERROR(__xludf.DUMMYFUNCTION("""COMPUTED_VALUE"""),"Tax Law")</f>
        <v>Tax Law</v>
      </c>
      <c r="D3548" s="2" t="str">
        <f>IFERROR(__xludf.DUMMYFUNCTION("""COMPUTED_VALUE"""),"Oakcrest House")</f>
        <v>Oakcrest House</v>
      </c>
      <c r="E3548" s="2">
        <f>IFERROR(__xludf.DUMMYFUNCTION("""COMPUTED_VALUE"""),14.37)</f>
        <v>14.37</v>
      </c>
      <c r="F3548" s="2"/>
      <c r="G3548" s="2"/>
      <c r="H3548" s="2"/>
      <c r="I3548" s="2"/>
    </row>
    <row r="3549">
      <c r="A3549" s="2">
        <f>IFERROR(__xludf.DUMMYFUNCTION("""COMPUTED_VALUE"""),104510.0)</f>
        <v>104510</v>
      </c>
      <c r="B3549" s="2" t="str">
        <f>IFERROR(__xludf.DUMMYFUNCTION("""COMPUTED_VALUE"""),"Finance")</f>
        <v>Finance</v>
      </c>
      <c r="C3549" s="2" t="str">
        <f>IFERROR(__xludf.DUMMYFUNCTION("""COMPUTED_VALUE"""),"Tax Law")</f>
        <v>Tax Law</v>
      </c>
      <c r="D3549" s="2" t="str">
        <f>IFERROR(__xludf.DUMMYFUNCTION("""COMPUTED_VALUE"""),"Oakcrest House")</f>
        <v>Oakcrest House</v>
      </c>
      <c r="E3549" s="2">
        <f>IFERROR(__xludf.DUMMYFUNCTION("""COMPUTED_VALUE"""),5.14)</f>
        <v>5.14</v>
      </c>
      <c r="F3549" s="2"/>
      <c r="G3549" s="2"/>
      <c r="H3549" s="2"/>
      <c r="I3549" s="2"/>
    </row>
    <row r="3550">
      <c r="A3550" s="2">
        <f>IFERROR(__xludf.DUMMYFUNCTION("""COMPUTED_VALUE"""),105059.0)</f>
        <v>105059</v>
      </c>
      <c r="B3550" s="2" t="str">
        <f>IFERROR(__xludf.DUMMYFUNCTION("""COMPUTED_VALUE"""),"Finance")</f>
        <v>Finance</v>
      </c>
      <c r="C3550" s="2" t="str">
        <f>IFERROR(__xludf.DUMMYFUNCTION("""COMPUTED_VALUE"""),"Tax Law")</f>
        <v>Tax Law</v>
      </c>
      <c r="D3550" s="2" t="str">
        <f>IFERROR(__xludf.DUMMYFUNCTION("""COMPUTED_VALUE"""),"Oakcrest House")</f>
        <v>Oakcrest House</v>
      </c>
      <c r="E3550" s="2">
        <f>IFERROR(__xludf.DUMMYFUNCTION("""COMPUTED_VALUE"""),8.26)</f>
        <v>8.26</v>
      </c>
      <c r="F3550" s="2"/>
      <c r="G3550" s="2"/>
      <c r="H3550" s="2"/>
      <c r="I3550" s="2"/>
    </row>
    <row r="3551">
      <c r="A3551" s="2">
        <f>IFERROR(__xludf.DUMMYFUNCTION("""COMPUTED_VALUE"""),63608.0)</f>
        <v>63608</v>
      </c>
      <c r="B3551" s="2" t="str">
        <f>IFERROR(__xludf.DUMMYFUNCTION("""COMPUTED_VALUE"""),"Finance")</f>
        <v>Finance</v>
      </c>
      <c r="C3551" s="2" t="str">
        <f>IFERROR(__xludf.DUMMYFUNCTION("""COMPUTED_VALUE"""),"Tax Law")</f>
        <v>Tax Law</v>
      </c>
      <c r="D3551" s="2" t="str">
        <f>IFERROR(__xludf.DUMMYFUNCTION("""COMPUTED_VALUE"""),"Oakcrest House")</f>
        <v>Oakcrest House</v>
      </c>
      <c r="E3551" s="2">
        <f>IFERROR(__xludf.DUMMYFUNCTION("""COMPUTED_VALUE"""),8.41)</f>
        <v>8.41</v>
      </c>
      <c r="F3551" s="2"/>
      <c r="G3551" s="2"/>
      <c r="H3551" s="2"/>
      <c r="I3551" s="2"/>
    </row>
    <row r="3552">
      <c r="A3552" s="2">
        <f>IFERROR(__xludf.DUMMYFUNCTION("""COMPUTED_VALUE"""),121095.0)</f>
        <v>121095</v>
      </c>
      <c r="B3552" s="2" t="str">
        <f>IFERROR(__xludf.DUMMYFUNCTION("""COMPUTED_VALUE"""),"Finance")</f>
        <v>Finance</v>
      </c>
      <c r="C3552" s="2" t="str">
        <f>IFERROR(__xludf.DUMMYFUNCTION("""COMPUTED_VALUE"""),"Tax Law")</f>
        <v>Tax Law</v>
      </c>
      <c r="D3552" s="2" t="str">
        <f>IFERROR(__xludf.DUMMYFUNCTION("""COMPUTED_VALUE"""),"Oakcrest House")</f>
        <v>Oakcrest House</v>
      </c>
      <c r="E3552" s="2">
        <f>IFERROR(__xludf.DUMMYFUNCTION("""COMPUTED_VALUE"""),26.53)</f>
        <v>26.53</v>
      </c>
      <c r="F3552" s="2"/>
      <c r="G3552" s="2"/>
      <c r="H3552" s="2"/>
      <c r="I3552" s="2"/>
    </row>
    <row r="3553">
      <c r="A3553" s="2">
        <f>IFERROR(__xludf.DUMMYFUNCTION("""COMPUTED_VALUE"""),76450.0)</f>
        <v>76450</v>
      </c>
      <c r="B3553" s="2" t="str">
        <f>IFERROR(__xludf.DUMMYFUNCTION("""COMPUTED_VALUE"""),"Finance")</f>
        <v>Finance</v>
      </c>
      <c r="C3553" s="2" t="str">
        <f>IFERROR(__xludf.DUMMYFUNCTION("""COMPUTED_VALUE"""),"Tax Law")</f>
        <v>Tax Law</v>
      </c>
      <c r="D3553" s="2" t="str">
        <f>IFERROR(__xludf.DUMMYFUNCTION("""COMPUTED_VALUE"""),"Oakcrest House")</f>
        <v>Oakcrest House</v>
      </c>
      <c r="E3553" s="2">
        <f>IFERROR(__xludf.DUMMYFUNCTION("""COMPUTED_VALUE"""),11.49)</f>
        <v>11.49</v>
      </c>
      <c r="F3553" s="2"/>
      <c r="G3553" s="2"/>
      <c r="H3553" s="2"/>
      <c r="I3553" s="2"/>
    </row>
    <row r="3554">
      <c r="A3554" s="2">
        <f>IFERROR(__xludf.DUMMYFUNCTION("""COMPUTED_VALUE"""),121012.0)</f>
        <v>121012</v>
      </c>
      <c r="B3554" s="2" t="str">
        <f>IFERROR(__xludf.DUMMYFUNCTION("""COMPUTED_VALUE"""),"Finance")</f>
        <v>Finance</v>
      </c>
      <c r="C3554" s="2" t="str">
        <f>IFERROR(__xludf.DUMMYFUNCTION("""COMPUTED_VALUE"""),"Tax Law")</f>
        <v>Tax Law</v>
      </c>
      <c r="D3554" s="2" t="str">
        <f>IFERROR(__xludf.DUMMYFUNCTION("""COMPUTED_VALUE"""),"Oakcrest House")</f>
        <v>Oakcrest House</v>
      </c>
      <c r="E3554" s="2">
        <f>IFERROR(__xludf.DUMMYFUNCTION("""COMPUTED_VALUE"""),11.59)</f>
        <v>11.59</v>
      </c>
      <c r="F3554" s="2"/>
      <c r="G3554" s="2"/>
      <c r="H3554" s="2"/>
      <c r="I3554" s="2"/>
    </row>
    <row r="3555">
      <c r="A3555" s="2">
        <f>IFERROR(__xludf.DUMMYFUNCTION("""COMPUTED_VALUE"""),113187.0)</f>
        <v>113187</v>
      </c>
      <c r="B3555" s="2" t="str">
        <f>IFERROR(__xludf.DUMMYFUNCTION("""COMPUTED_VALUE"""),"Finance")</f>
        <v>Finance</v>
      </c>
      <c r="C3555" s="2" t="str">
        <f>IFERROR(__xludf.DUMMYFUNCTION("""COMPUTED_VALUE"""),"Tax Law")</f>
        <v>Tax Law</v>
      </c>
      <c r="D3555" s="2" t="str">
        <f>IFERROR(__xludf.DUMMYFUNCTION("""COMPUTED_VALUE"""),"Oakcrest House")</f>
        <v>Oakcrest House</v>
      </c>
      <c r="E3555" s="2">
        <f>IFERROR(__xludf.DUMMYFUNCTION("""COMPUTED_VALUE"""),7.61)</f>
        <v>7.61</v>
      </c>
      <c r="F3555" s="2"/>
      <c r="G3555" s="2"/>
      <c r="H3555" s="2"/>
      <c r="I3555" s="2"/>
    </row>
    <row r="3556">
      <c r="A3556" s="2">
        <f>IFERROR(__xludf.DUMMYFUNCTION("""COMPUTED_VALUE"""),101946.0)</f>
        <v>101946</v>
      </c>
      <c r="B3556" s="2" t="str">
        <f>IFERROR(__xludf.DUMMYFUNCTION("""COMPUTED_VALUE"""),"Finance")</f>
        <v>Finance</v>
      </c>
      <c r="C3556" s="2" t="str">
        <f>IFERROR(__xludf.DUMMYFUNCTION("""COMPUTED_VALUE"""),"Tax Law")</f>
        <v>Tax Law</v>
      </c>
      <c r="D3556" s="2" t="str">
        <f>IFERROR(__xludf.DUMMYFUNCTION("""COMPUTED_VALUE"""),"Rivercrest House")</f>
        <v>Rivercrest House</v>
      </c>
      <c r="E3556" s="2">
        <f>IFERROR(__xludf.DUMMYFUNCTION("""COMPUTED_VALUE"""),24.6)</f>
        <v>24.6</v>
      </c>
      <c r="F3556" s="2"/>
      <c r="G3556" s="2"/>
      <c r="H3556" s="2"/>
      <c r="I3556" s="2"/>
    </row>
    <row r="3557">
      <c r="A3557" s="2">
        <f>IFERROR(__xludf.DUMMYFUNCTION("""COMPUTED_VALUE"""),117275.0)</f>
        <v>117275</v>
      </c>
      <c r="B3557" s="2" t="str">
        <f>IFERROR(__xludf.DUMMYFUNCTION("""COMPUTED_VALUE"""),"Finance")</f>
        <v>Finance</v>
      </c>
      <c r="C3557" s="2" t="str">
        <f>IFERROR(__xludf.DUMMYFUNCTION("""COMPUTED_VALUE"""),"Tax Law")</f>
        <v>Tax Law</v>
      </c>
      <c r="D3557" s="2" t="str">
        <f>IFERROR(__xludf.DUMMYFUNCTION("""COMPUTED_VALUE"""),"Rivercrest House")</f>
        <v>Rivercrest House</v>
      </c>
      <c r="E3557" s="2">
        <f>IFERROR(__xludf.DUMMYFUNCTION("""COMPUTED_VALUE"""),24.46)</f>
        <v>24.46</v>
      </c>
      <c r="F3557" s="2"/>
      <c r="G3557" s="2"/>
      <c r="H3557" s="2"/>
      <c r="I3557" s="2"/>
    </row>
    <row r="3558">
      <c r="A3558" s="2">
        <f>IFERROR(__xludf.DUMMYFUNCTION("""COMPUTED_VALUE"""),117695.0)</f>
        <v>117695</v>
      </c>
      <c r="B3558" s="2" t="str">
        <f>IFERROR(__xludf.DUMMYFUNCTION("""COMPUTED_VALUE"""),"Finance")</f>
        <v>Finance</v>
      </c>
      <c r="C3558" s="2" t="str">
        <f>IFERROR(__xludf.DUMMYFUNCTION("""COMPUTED_VALUE"""),"Tax Law")</f>
        <v>Tax Law</v>
      </c>
      <c r="D3558" s="2" t="str">
        <f>IFERROR(__xludf.DUMMYFUNCTION("""COMPUTED_VALUE"""),"Rivercrest House")</f>
        <v>Rivercrest House</v>
      </c>
      <c r="E3558" s="2">
        <f>IFERROR(__xludf.DUMMYFUNCTION("""COMPUTED_VALUE"""),30.61)</f>
        <v>30.61</v>
      </c>
      <c r="F3558" s="2"/>
      <c r="G3558" s="2"/>
      <c r="H3558" s="2"/>
      <c r="I3558" s="2"/>
    </row>
    <row r="3559">
      <c r="A3559" s="2">
        <f>IFERROR(__xludf.DUMMYFUNCTION("""COMPUTED_VALUE"""),74398.0)</f>
        <v>74398</v>
      </c>
      <c r="B3559" s="2" t="str">
        <f>IFERROR(__xludf.DUMMYFUNCTION("""COMPUTED_VALUE"""),"Finance")</f>
        <v>Finance</v>
      </c>
      <c r="C3559" s="2" t="str">
        <f>IFERROR(__xludf.DUMMYFUNCTION("""COMPUTED_VALUE"""),"Tax Law")</f>
        <v>Tax Law</v>
      </c>
      <c r="D3559" s="2" t="str">
        <f>IFERROR(__xludf.DUMMYFUNCTION("""COMPUTED_VALUE"""),"Ironcrest House")</f>
        <v>Ironcrest House</v>
      </c>
      <c r="E3559" s="2">
        <f>IFERROR(__xludf.DUMMYFUNCTION("""COMPUTED_VALUE"""),15.43)</f>
        <v>15.43</v>
      </c>
      <c r="F3559" s="2"/>
      <c r="G3559" s="2"/>
      <c r="H3559" s="2"/>
      <c r="I3559" s="2"/>
    </row>
    <row r="3560">
      <c r="A3560" s="2">
        <f>IFERROR(__xludf.DUMMYFUNCTION("""COMPUTED_VALUE"""),105230.0)</f>
        <v>105230</v>
      </c>
      <c r="B3560" s="2" t="str">
        <f>IFERROR(__xludf.DUMMYFUNCTION("""COMPUTED_VALUE"""),"Finance")</f>
        <v>Finance</v>
      </c>
      <c r="C3560" s="2" t="str">
        <f>IFERROR(__xludf.DUMMYFUNCTION("""COMPUTED_VALUE"""),"Tax Law")</f>
        <v>Tax Law</v>
      </c>
      <c r="D3560" s="2" t="str">
        <f>IFERROR(__xludf.DUMMYFUNCTION("""COMPUTED_VALUE"""),"Ironcrest House")</f>
        <v>Ironcrest House</v>
      </c>
      <c r="E3560" s="2">
        <f>IFERROR(__xludf.DUMMYFUNCTION("""COMPUTED_VALUE"""),13.51)</f>
        <v>13.51</v>
      </c>
      <c r="F3560" s="2"/>
      <c r="G3560" s="2"/>
      <c r="H3560" s="2"/>
      <c r="I3560" s="2"/>
    </row>
    <row r="3561">
      <c r="A3561" s="2">
        <f>IFERROR(__xludf.DUMMYFUNCTION("""COMPUTED_VALUE"""),112776.0)</f>
        <v>112776</v>
      </c>
      <c r="B3561" s="2" t="str">
        <f>IFERROR(__xludf.DUMMYFUNCTION("""COMPUTED_VALUE"""),"Finance")</f>
        <v>Finance</v>
      </c>
      <c r="C3561" s="2" t="str">
        <f>IFERROR(__xludf.DUMMYFUNCTION("""COMPUTED_VALUE"""),"Tax Law")</f>
        <v>Tax Law</v>
      </c>
      <c r="D3561" s="2" t="str">
        <f>IFERROR(__xludf.DUMMYFUNCTION("""COMPUTED_VALUE"""),"Ironcrest House")</f>
        <v>Ironcrest House</v>
      </c>
      <c r="E3561" s="2">
        <f>IFERROR(__xludf.DUMMYFUNCTION("""COMPUTED_VALUE"""),11.44)</f>
        <v>11.44</v>
      </c>
      <c r="F3561" s="2"/>
      <c r="G3561" s="2"/>
      <c r="H3561" s="2"/>
      <c r="I3561" s="2"/>
    </row>
    <row r="3562">
      <c r="A3562" s="2">
        <f>IFERROR(__xludf.DUMMYFUNCTION("""COMPUTED_VALUE"""),23968.0)</f>
        <v>23968</v>
      </c>
      <c r="B3562" s="2" t="str">
        <f>IFERROR(__xludf.DUMMYFUNCTION("""COMPUTED_VALUE"""),"Finance")</f>
        <v>Finance</v>
      </c>
      <c r="C3562" s="2" t="str">
        <f>IFERROR(__xludf.DUMMYFUNCTION("""COMPUTED_VALUE"""),"Tax Law")</f>
        <v>Tax Law</v>
      </c>
      <c r="D3562" s="2" t="str">
        <f>IFERROR(__xludf.DUMMYFUNCTION("""COMPUTED_VALUE"""),"Ironcrest House")</f>
        <v>Ironcrest House</v>
      </c>
      <c r="E3562" s="2">
        <f>IFERROR(__xludf.DUMMYFUNCTION("""COMPUTED_VALUE"""),18.49)</f>
        <v>18.49</v>
      </c>
      <c r="F3562" s="2"/>
      <c r="G3562" s="2"/>
      <c r="H3562" s="2"/>
      <c r="I3562" s="2"/>
    </row>
    <row r="3563">
      <c r="A3563" s="2">
        <f>IFERROR(__xludf.DUMMYFUNCTION("""COMPUTED_VALUE"""),127025.0)</f>
        <v>127025</v>
      </c>
      <c r="B3563" s="2" t="str">
        <f>IFERROR(__xludf.DUMMYFUNCTION("""COMPUTED_VALUE"""),"Finance")</f>
        <v>Finance</v>
      </c>
      <c r="C3563" s="2" t="str">
        <f>IFERROR(__xludf.DUMMYFUNCTION("""COMPUTED_VALUE"""),"Tax Law")</f>
        <v>Tax Law</v>
      </c>
      <c r="D3563" s="2" t="str">
        <f>IFERROR(__xludf.DUMMYFUNCTION("""COMPUTED_VALUE"""),"Ironcrest House")</f>
        <v>Ironcrest House</v>
      </c>
      <c r="E3563" s="2">
        <f>IFERROR(__xludf.DUMMYFUNCTION("""COMPUTED_VALUE"""),21.59)</f>
        <v>21.59</v>
      </c>
      <c r="F3563" s="2"/>
      <c r="G3563" s="2"/>
      <c r="H3563" s="2"/>
      <c r="I3563" s="2"/>
    </row>
    <row r="3564">
      <c r="A3564" s="2">
        <f>IFERROR(__xludf.DUMMYFUNCTION("""COMPUTED_VALUE"""),118956.0)</f>
        <v>118956</v>
      </c>
      <c r="B3564" s="2" t="str">
        <f>IFERROR(__xludf.DUMMYFUNCTION("""COMPUTED_VALUE"""),"Finance")</f>
        <v>Finance</v>
      </c>
      <c r="C3564" s="2" t="str">
        <f>IFERROR(__xludf.DUMMYFUNCTION("""COMPUTED_VALUE"""),"Tax Law")</f>
        <v>Tax Law</v>
      </c>
      <c r="D3564" s="2" t="str">
        <f>IFERROR(__xludf.DUMMYFUNCTION("""COMPUTED_VALUE"""),"Silverline Publishing")</f>
        <v>Silverline Publishing</v>
      </c>
      <c r="E3564" s="2">
        <f>IFERROR(__xludf.DUMMYFUNCTION("""COMPUTED_VALUE"""),13.14)</f>
        <v>13.14</v>
      </c>
      <c r="F3564" s="2"/>
      <c r="G3564" s="2"/>
      <c r="H3564" s="2"/>
      <c r="I3564" s="2"/>
    </row>
    <row r="3565">
      <c r="A3565" s="2">
        <f>IFERROR(__xludf.DUMMYFUNCTION("""COMPUTED_VALUE"""),118947.0)</f>
        <v>118947</v>
      </c>
      <c r="B3565" s="2" t="str">
        <f>IFERROR(__xludf.DUMMYFUNCTION("""COMPUTED_VALUE"""),"Finance")</f>
        <v>Finance</v>
      </c>
      <c r="C3565" s="2" t="str">
        <f>IFERROR(__xludf.DUMMYFUNCTION("""COMPUTED_VALUE"""),"Tax Law")</f>
        <v>Tax Law</v>
      </c>
      <c r="D3565" s="2" t="str">
        <f>IFERROR(__xludf.DUMMYFUNCTION("""COMPUTED_VALUE"""),"Silverline Publishing")</f>
        <v>Silverline Publishing</v>
      </c>
      <c r="E3565" s="2">
        <f>IFERROR(__xludf.DUMMYFUNCTION("""COMPUTED_VALUE"""),2.71)</f>
        <v>2.71</v>
      </c>
      <c r="F3565" s="2"/>
      <c r="G3565" s="2"/>
      <c r="H3565" s="2"/>
      <c r="I3565" s="2"/>
    </row>
    <row r="3566">
      <c r="A3566" s="2">
        <f>IFERROR(__xludf.DUMMYFUNCTION("""COMPUTED_VALUE"""),95873.0)</f>
        <v>95873</v>
      </c>
      <c r="B3566" s="2" t="str">
        <f>IFERROR(__xludf.DUMMYFUNCTION("""COMPUTED_VALUE"""),"Finance")</f>
        <v>Finance</v>
      </c>
      <c r="C3566" s="2" t="str">
        <f>IFERROR(__xludf.DUMMYFUNCTION("""COMPUTED_VALUE"""),"Tax Law")</f>
        <v>Tax Law</v>
      </c>
      <c r="D3566" s="2" t="str">
        <f>IFERROR(__xludf.DUMMYFUNCTION("""COMPUTED_VALUE"""),"Silverline Publishing")</f>
        <v>Silverline Publishing</v>
      </c>
      <c r="E3566" s="2">
        <f>IFERROR(__xludf.DUMMYFUNCTION("""COMPUTED_VALUE"""),9.04)</f>
        <v>9.04</v>
      </c>
      <c r="F3566" s="2"/>
      <c r="G3566" s="2"/>
      <c r="H3566" s="2"/>
      <c r="I3566" s="2"/>
    </row>
    <row r="3567">
      <c r="A3567" s="2">
        <f>IFERROR(__xludf.DUMMYFUNCTION("""COMPUTED_VALUE"""),118946.0)</f>
        <v>118946</v>
      </c>
      <c r="B3567" s="2" t="str">
        <f>IFERROR(__xludf.DUMMYFUNCTION("""COMPUTED_VALUE"""),"Finance")</f>
        <v>Finance</v>
      </c>
      <c r="C3567" s="2" t="str">
        <f>IFERROR(__xludf.DUMMYFUNCTION("""COMPUTED_VALUE"""),"Tax Law")</f>
        <v>Tax Law</v>
      </c>
      <c r="D3567" s="2" t="str">
        <f>IFERROR(__xludf.DUMMYFUNCTION("""COMPUTED_VALUE"""),"Silverline Publishing")</f>
        <v>Silverline Publishing</v>
      </c>
      <c r="E3567" s="2">
        <f>IFERROR(__xludf.DUMMYFUNCTION("""COMPUTED_VALUE"""),2.79)</f>
        <v>2.79</v>
      </c>
      <c r="F3567" s="2"/>
      <c r="G3567" s="2"/>
      <c r="H3567" s="2"/>
      <c r="I3567" s="2"/>
    </row>
    <row r="3568">
      <c r="A3568" s="2">
        <f>IFERROR(__xludf.DUMMYFUNCTION("""COMPUTED_VALUE"""),44991.0)</f>
        <v>44991</v>
      </c>
      <c r="B3568" s="2" t="str">
        <f>IFERROR(__xludf.DUMMYFUNCTION("""COMPUTED_VALUE"""),"Finance")</f>
        <v>Finance</v>
      </c>
      <c r="C3568" s="2" t="str">
        <f>IFERROR(__xludf.DUMMYFUNCTION("""COMPUTED_VALUE"""),"Tax Law")</f>
        <v>Tax Law</v>
      </c>
      <c r="D3568" s="2" t="str">
        <f>IFERROR(__xludf.DUMMYFUNCTION("""COMPUTED_VALUE"""),"Silverline Publishing")</f>
        <v>Silverline Publishing</v>
      </c>
      <c r="E3568" s="2">
        <f>IFERROR(__xludf.DUMMYFUNCTION("""COMPUTED_VALUE"""),17.9)</f>
        <v>17.9</v>
      </c>
      <c r="F3568" s="2"/>
      <c r="G3568" s="2"/>
      <c r="H3568" s="2"/>
      <c r="I3568" s="2"/>
    </row>
    <row r="3569">
      <c r="A3569" s="2">
        <f>IFERROR(__xludf.DUMMYFUNCTION("""COMPUTED_VALUE"""),122398.0)</f>
        <v>122398</v>
      </c>
      <c r="B3569" s="2" t="str">
        <f>IFERROR(__xludf.DUMMYFUNCTION("""COMPUTED_VALUE"""),"Finance")</f>
        <v>Finance</v>
      </c>
      <c r="C3569" s="2" t="str">
        <f>IFERROR(__xludf.DUMMYFUNCTION("""COMPUTED_VALUE"""),"Tax Law")</f>
        <v>Tax Law</v>
      </c>
      <c r="D3569" s="2" t="str">
        <f>IFERROR(__xludf.DUMMYFUNCTION("""COMPUTED_VALUE"""),"Silverline Publishing")</f>
        <v>Silverline Publishing</v>
      </c>
      <c r="E3569" s="2">
        <f>IFERROR(__xludf.DUMMYFUNCTION("""COMPUTED_VALUE"""),18.17)</f>
        <v>18.17</v>
      </c>
      <c r="F3569" s="2"/>
      <c r="G3569" s="2"/>
      <c r="H3569" s="2"/>
      <c r="I3569" s="2"/>
    </row>
    <row r="3570">
      <c r="A3570" s="2">
        <f>IFERROR(__xludf.DUMMYFUNCTION("""COMPUTED_VALUE"""),108638.0)</f>
        <v>108638</v>
      </c>
      <c r="B3570" s="2" t="str">
        <f>IFERROR(__xludf.DUMMYFUNCTION("""COMPUTED_VALUE"""),"Finance")</f>
        <v>Finance</v>
      </c>
      <c r="C3570" s="2" t="str">
        <f>IFERROR(__xludf.DUMMYFUNCTION("""COMPUTED_VALUE"""),"Tax Law")</f>
        <v>Tax Law</v>
      </c>
      <c r="D3570" s="2" t="str">
        <f>IFERROR(__xludf.DUMMYFUNCTION("""COMPUTED_VALUE"""),"Silverline Publishing")</f>
        <v>Silverline Publishing</v>
      </c>
      <c r="E3570" s="2">
        <f>IFERROR(__xludf.DUMMYFUNCTION("""COMPUTED_VALUE"""),6.55)</f>
        <v>6.55</v>
      </c>
      <c r="F3570" s="2"/>
      <c r="G3570" s="2"/>
      <c r="H3570" s="2"/>
      <c r="I3570" s="2"/>
    </row>
    <row r="3571">
      <c r="A3571" s="2">
        <f>IFERROR(__xludf.DUMMYFUNCTION("""COMPUTED_VALUE"""),113633.0)</f>
        <v>113633</v>
      </c>
      <c r="B3571" s="2" t="str">
        <f>IFERROR(__xludf.DUMMYFUNCTION("""COMPUTED_VALUE"""),"Finance")</f>
        <v>Finance</v>
      </c>
      <c r="C3571" s="2" t="str">
        <f>IFERROR(__xludf.DUMMYFUNCTION("""COMPUTED_VALUE"""),"Tax Law")</f>
        <v>Tax Law</v>
      </c>
      <c r="D3571" s="2" t="str">
        <f>IFERROR(__xludf.DUMMYFUNCTION("""COMPUTED_VALUE"""),"Northline Books")</f>
        <v>Northline Books</v>
      </c>
      <c r="E3571" s="2">
        <f>IFERROR(__xludf.DUMMYFUNCTION("""COMPUTED_VALUE"""),13.67)</f>
        <v>13.67</v>
      </c>
      <c r="F3571" s="2"/>
      <c r="G3571" s="2"/>
      <c r="H3571" s="2"/>
      <c r="I3571" s="2"/>
    </row>
    <row r="3572">
      <c r="A3572" s="2">
        <f>IFERROR(__xludf.DUMMYFUNCTION("""COMPUTED_VALUE"""),113649.0)</f>
        <v>113649</v>
      </c>
      <c r="B3572" s="2" t="str">
        <f>IFERROR(__xludf.DUMMYFUNCTION("""COMPUTED_VALUE"""),"Finance")</f>
        <v>Finance</v>
      </c>
      <c r="C3572" s="2" t="str">
        <f>IFERROR(__xludf.DUMMYFUNCTION("""COMPUTED_VALUE"""),"Tax Law")</f>
        <v>Tax Law</v>
      </c>
      <c r="D3572" s="2" t="str">
        <f>IFERROR(__xludf.DUMMYFUNCTION("""COMPUTED_VALUE"""),"Northline Books")</f>
        <v>Northline Books</v>
      </c>
      <c r="E3572" s="2">
        <f>IFERROR(__xludf.DUMMYFUNCTION("""COMPUTED_VALUE"""),3.43)</f>
        <v>3.43</v>
      </c>
      <c r="F3572" s="2"/>
      <c r="G3572" s="2"/>
      <c r="H3572" s="2"/>
      <c r="I3572" s="2"/>
    </row>
    <row r="3573">
      <c r="A3573" s="2">
        <f>IFERROR(__xludf.DUMMYFUNCTION("""COMPUTED_VALUE"""),113619.0)</f>
        <v>113619</v>
      </c>
      <c r="B3573" s="2" t="str">
        <f>IFERROR(__xludf.DUMMYFUNCTION("""COMPUTED_VALUE"""),"Finance")</f>
        <v>Finance</v>
      </c>
      <c r="C3573" s="2" t="str">
        <f>IFERROR(__xludf.DUMMYFUNCTION("""COMPUTED_VALUE"""),"Tax Law")</f>
        <v>Tax Law</v>
      </c>
      <c r="D3573" s="2" t="str">
        <f>IFERROR(__xludf.DUMMYFUNCTION("""COMPUTED_VALUE"""),"Northline Books")</f>
        <v>Northline Books</v>
      </c>
      <c r="E3573" s="2">
        <f>IFERROR(__xludf.DUMMYFUNCTION("""COMPUTED_VALUE"""),6.82)</f>
        <v>6.82</v>
      </c>
      <c r="F3573" s="2"/>
      <c r="G3573" s="2"/>
      <c r="H3573" s="2"/>
      <c r="I3573" s="2"/>
    </row>
    <row r="3574">
      <c r="A3574" s="2">
        <f>IFERROR(__xludf.DUMMYFUNCTION("""COMPUTED_VALUE"""),113648.0)</f>
        <v>113648</v>
      </c>
      <c r="B3574" s="2" t="str">
        <f>IFERROR(__xludf.DUMMYFUNCTION("""COMPUTED_VALUE"""),"Finance")</f>
        <v>Finance</v>
      </c>
      <c r="C3574" s="2" t="str">
        <f>IFERROR(__xludf.DUMMYFUNCTION("""COMPUTED_VALUE"""),"Tax Law")</f>
        <v>Tax Law</v>
      </c>
      <c r="D3574" s="2" t="str">
        <f>IFERROR(__xludf.DUMMYFUNCTION("""COMPUTED_VALUE"""),"Northline Books")</f>
        <v>Northline Books</v>
      </c>
      <c r="E3574" s="2">
        <f>IFERROR(__xludf.DUMMYFUNCTION("""COMPUTED_VALUE"""),3.81)</f>
        <v>3.81</v>
      </c>
      <c r="F3574" s="2"/>
      <c r="G3574" s="2"/>
      <c r="H3574" s="2"/>
      <c r="I3574" s="2"/>
    </row>
    <row r="3575">
      <c r="A3575" s="2">
        <f>IFERROR(__xludf.DUMMYFUNCTION("""COMPUTED_VALUE"""),120889.0)</f>
        <v>120889</v>
      </c>
      <c r="B3575" s="2" t="str">
        <f>IFERROR(__xludf.DUMMYFUNCTION("""COMPUTED_VALUE"""),"Finance")</f>
        <v>Finance</v>
      </c>
      <c r="C3575" s="2" t="str">
        <f>IFERROR(__xludf.DUMMYFUNCTION("""COMPUTED_VALUE"""),"Tax Law")</f>
        <v>Tax Law</v>
      </c>
      <c r="D3575" s="2" t="str">
        <f>IFERROR(__xludf.DUMMYFUNCTION("""COMPUTED_VALUE"""),"Northline Books")</f>
        <v>Northline Books</v>
      </c>
      <c r="E3575" s="2">
        <f>IFERROR(__xludf.DUMMYFUNCTION("""COMPUTED_VALUE"""),45.25)</f>
        <v>45.25</v>
      </c>
      <c r="F3575" s="2"/>
      <c r="G3575" s="2"/>
      <c r="H3575" s="2"/>
      <c r="I3575" s="2"/>
    </row>
    <row r="3576">
      <c r="A3576" s="2">
        <f>IFERROR(__xludf.DUMMYFUNCTION("""COMPUTED_VALUE"""),113620.0)</f>
        <v>113620</v>
      </c>
      <c r="B3576" s="2" t="str">
        <f>IFERROR(__xludf.DUMMYFUNCTION("""COMPUTED_VALUE"""),"Finance")</f>
        <v>Finance</v>
      </c>
      <c r="C3576" s="2" t="str">
        <f>IFERROR(__xludf.DUMMYFUNCTION("""COMPUTED_VALUE"""),"Tax Law")</f>
        <v>Tax Law</v>
      </c>
      <c r="D3576" s="2" t="str">
        <f>IFERROR(__xludf.DUMMYFUNCTION("""COMPUTED_VALUE"""),"Northline Books")</f>
        <v>Northline Books</v>
      </c>
      <c r="E3576" s="2">
        <f>IFERROR(__xludf.DUMMYFUNCTION("""COMPUTED_VALUE"""),6.75)</f>
        <v>6.75</v>
      </c>
      <c r="F3576" s="2"/>
      <c r="G3576" s="2"/>
      <c r="H3576" s="2"/>
      <c r="I3576" s="2"/>
    </row>
    <row r="3577">
      <c r="A3577" s="2">
        <f>IFERROR(__xludf.DUMMYFUNCTION("""COMPUTED_VALUE"""),113626.0)</f>
        <v>113626</v>
      </c>
      <c r="B3577" s="2" t="str">
        <f>IFERROR(__xludf.DUMMYFUNCTION("""COMPUTED_VALUE"""),"Finance")</f>
        <v>Finance</v>
      </c>
      <c r="C3577" s="2" t="str">
        <f>IFERROR(__xludf.DUMMYFUNCTION("""COMPUTED_VALUE"""),"Tax Law")</f>
        <v>Tax Law</v>
      </c>
      <c r="D3577" s="2" t="str">
        <f>IFERROR(__xludf.DUMMYFUNCTION("""COMPUTED_VALUE"""),"Northline Books")</f>
        <v>Northline Books</v>
      </c>
      <c r="E3577" s="2">
        <f>IFERROR(__xludf.DUMMYFUNCTION("""COMPUTED_VALUE"""),5.53)</f>
        <v>5.53</v>
      </c>
      <c r="F3577" s="2"/>
      <c r="G3577" s="2"/>
      <c r="H3577" s="2"/>
      <c r="I3577" s="2"/>
    </row>
    <row r="3578">
      <c r="A3578" s="2">
        <f>IFERROR(__xludf.DUMMYFUNCTION("""COMPUTED_VALUE"""),113657.0)</f>
        <v>113657</v>
      </c>
      <c r="B3578" s="2" t="str">
        <f>IFERROR(__xludf.DUMMYFUNCTION("""COMPUTED_VALUE"""),"Finance")</f>
        <v>Finance</v>
      </c>
      <c r="C3578" s="2" t="str">
        <f>IFERROR(__xludf.DUMMYFUNCTION("""COMPUTED_VALUE"""),"Tax Law")</f>
        <v>Tax Law</v>
      </c>
      <c r="D3578" s="2" t="str">
        <f>IFERROR(__xludf.DUMMYFUNCTION("""COMPUTED_VALUE"""),"Northline Books")</f>
        <v>Northline Books</v>
      </c>
      <c r="E3578" s="2">
        <f>IFERROR(__xludf.DUMMYFUNCTION("""COMPUTED_VALUE"""),6.48)</f>
        <v>6.48</v>
      </c>
      <c r="F3578" s="2"/>
      <c r="G3578" s="2"/>
      <c r="H3578" s="2"/>
      <c r="I3578" s="2"/>
    </row>
    <row r="3579">
      <c r="A3579" s="2">
        <f>IFERROR(__xludf.DUMMYFUNCTION("""COMPUTED_VALUE"""),113645.0)</f>
        <v>113645</v>
      </c>
      <c r="B3579" s="2" t="str">
        <f>IFERROR(__xludf.DUMMYFUNCTION("""COMPUTED_VALUE"""),"Finance")</f>
        <v>Finance</v>
      </c>
      <c r="C3579" s="2" t="str">
        <f>IFERROR(__xludf.DUMMYFUNCTION("""COMPUTED_VALUE"""),"Tax Law")</f>
        <v>Tax Law</v>
      </c>
      <c r="D3579" s="2" t="str">
        <f>IFERROR(__xludf.DUMMYFUNCTION("""COMPUTED_VALUE"""),"Northline Books")</f>
        <v>Northline Books</v>
      </c>
      <c r="E3579" s="2">
        <f>IFERROR(__xludf.DUMMYFUNCTION("""COMPUTED_VALUE"""),9.95)</f>
        <v>9.95</v>
      </c>
      <c r="F3579" s="2"/>
      <c r="G3579" s="2"/>
      <c r="H3579" s="2"/>
      <c r="I3579" s="2"/>
    </row>
    <row r="3580">
      <c r="A3580" s="2">
        <f>IFERROR(__xludf.DUMMYFUNCTION("""COMPUTED_VALUE"""),18247.0)</f>
        <v>18247</v>
      </c>
      <c r="B3580" s="2" t="str">
        <f>IFERROR(__xludf.DUMMYFUNCTION("""COMPUTED_VALUE"""),"Finance")</f>
        <v>Finance</v>
      </c>
      <c r="C3580" s="2" t="str">
        <f>IFERROR(__xludf.DUMMYFUNCTION("""COMPUTED_VALUE"""),"Tax Law")</f>
        <v>Tax Law</v>
      </c>
      <c r="D3580" s="2" t="str">
        <f>IFERROR(__xludf.DUMMYFUNCTION("""COMPUTED_VALUE"""),"Harborline Press")</f>
        <v>Harborline Press</v>
      </c>
      <c r="E3580" s="2">
        <f>IFERROR(__xludf.DUMMYFUNCTION("""COMPUTED_VALUE"""),14.22)</f>
        <v>14.22</v>
      </c>
      <c r="F3580" s="2"/>
      <c r="G3580" s="2"/>
      <c r="H3580" s="2"/>
      <c r="I3580" s="2"/>
    </row>
    <row r="3581">
      <c r="A3581" s="2">
        <f>IFERROR(__xludf.DUMMYFUNCTION("""COMPUTED_VALUE"""),121249.0)</f>
        <v>121249</v>
      </c>
      <c r="B3581" s="2" t="str">
        <f>IFERROR(__xludf.DUMMYFUNCTION("""COMPUTED_VALUE"""),"Finance")</f>
        <v>Finance</v>
      </c>
      <c r="C3581" s="2" t="str">
        <f>IFERROR(__xludf.DUMMYFUNCTION("""COMPUTED_VALUE"""),"Tax Law")</f>
        <v>Tax Law</v>
      </c>
      <c r="D3581" s="2" t="str">
        <f>IFERROR(__xludf.DUMMYFUNCTION("""COMPUTED_VALUE"""),"Cedarline Publishing")</f>
        <v>Cedarline Publishing</v>
      </c>
      <c r="E3581" s="2">
        <f>IFERROR(__xludf.DUMMYFUNCTION("""COMPUTED_VALUE"""),20.63)</f>
        <v>20.63</v>
      </c>
      <c r="F3581" s="2"/>
      <c r="G3581" s="2"/>
      <c r="H3581" s="2"/>
      <c r="I3581" s="2"/>
    </row>
    <row r="3582">
      <c r="A3582" s="2">
        <f>IFERROR(__xludf.DUMMYFUNCTION("""COMPUTED_VALUE"""),104912.0)</f>
        <v>104912</v>
      </c>
      <c r="B3582" s="2" t="str">
        <f>IFERROR(__xludf.DUMMYFUNCTION("""COMPUTED_VALUE"""),"Finance")</f>
        <v>Finance</v>
      </c>
      <c r="C3582" s="2" t="str">
        <f>IFERROR(__xludf.DUMMYFUNCTION("""COMPUTED_VALUE"""),"Tax Law")</f>
        <v>Tax Law</v>
      </c>
      <c r="D3582" s="2" t="str">
        <f>IFERROR(__xludf.DUMMYFUNCTION("""COMPUTED_VALUE"""),"Cedarline Publishing")</f>
        <v>Cedarline Publishing</v>
      </c>
      <c r="E3582" s="2">
        <f>IFERROR(__xludf.DUMMYFUNCTION("""COMPUTED_VALUE"""),50.75)</f>
        <v>50.75</v>
      </c>
      <c r="F3582" s="2"/>
      <c r="G3582" s="2"/>
      <c r="H3582" s="2"/>
      <c r="I3582" s="2"/>
    </row>
    <row r="3583">
      <c r="A3583" s="2">
        <f>IFERROR(__xludf.DUMMYFUNCTION("""COMPUTED_VALUE"""),73222.0)</f>
        <v>73222</v>
      </c>
      <c r="B3583" s="2" t="str">
        <f>IFERROR(__xludf.DUMMYFUNCTION("""COMPUTED_VALUE"""),"History")</f>
        <v>History</v>
      </c>
      <c r="C3583" s="2" t="str">
        <f>IFERROR(__xludf.DUMMYFUNCTION("""COMPUTED_VALUE"""),"Legal Theory")</f>
        <v>Legal Theory</v>
      </c>
      <c r="D3583" s="2" t="str">
        <f>IFERROR(__xludf.DUMMYFUNCTION("""COMPUTED_VALUE"""),"Brightline Books")</f>
        <v>Brightline Books</v>
      </c>
      <c r="E3583" s="2">
        <f>IFERROR(__xludf.DUMMYFUNCTION("""COMPUTED_VALUE"""),3.35)</f>
        <v>3.35</v>
      </c>
      <c r="F3583" s="2"/>
      <c r="G3583" s="2"/>
      <c r="H3583" s="2"/>
      <c r="I3583" s="2"/>
    </row>
    <row r="3584">
      <c r="A3584" s="2">
        <f>IFERROR(__xludf.DUMMYFUNCTION("""COMPUTED_VALUE"""),78834.0)</f>
        <v>78834</v>
      </c>
      <c r="B3584" s="2" t="str">
        <f>IFERROR(__xludf.DUMMYFUNCTION("""COMPUTED_VALUE"""),"History")</f>
        <v>History</v>
      </c>
      <c r="C3584" s="2" t="str">
        <f>IFERROR(__xludf.DUMMYFUNCTION("""COMPUTED_VALUE"""),"Legal Theory")</f>
        <v>Legal Theory</v>
      </c>
      <c r="D3584" s="2" t="str">
        <f>IFERROR(__xludf.DUMMYFUNCTION("""COMPUTED_VALUE"""),"Brightline Books")</f>
        <v>Brightline Books</v>
      </c>
      <c r="E3584" s="2">
        <f>IFERROR(__xludf.DUMMYFUNCTION("""COMPUTED_VALUE"""),1.77)</f>
        <v>1.77</v>
      </c>
      <c r="F3584" s="2"/>
      <c r="G3584" s="2"/>
      <c r="H3584" s="2"/>
      <c r="I3584" s="2"/>
    </row>
    <row r="3585">
      <c r="A3585" s="2">
        <f>IFERROR(__xludf.DUMMYFUNCTION("""COMPUTED_VALUE"""),15109.0)</f>
        <v>15109</v>
      </c>
      <c r="B3585" s="2" t="str">
        <f>IFERROR(__xludf.DUMMYFUNCTION("""COMPUTED_VALUE"""),"History")</f>
        <v>History</v>
      </c>
      <c r="C3585" s="2" t="str">
        <f>IFERROR(__xludf.DUMMYFUNCTION("""COMPUTED_VALUE"""),"Legal Theory")</f>
        <v>Legal Theory</v>
      </c>
      <c r="D3585" s="2" t="str">
        <f>IFERROR(__xludf.DUMMYFUNCTION("""COMPUTED_VALUE"""),"Oakline Press")</f>
        <v>Oakline Press</v>
      </c>
      <c r="E3585" s="2">
        <f>IFERROR(__xludf.DUMMYFUNCTION("""COMPUTED_VALUE"""),4.97)</f>
        <v>4.97</v>
      </c>
      <c r="F3585" s="2"/>
      <c r="G3585" s="2"/>
      <c r="H3585" s="2"/>
      <c r="I3585" s="2"/>
    </row>
    <row r="3586">
      <c r="A3586" s="2">
        <f>IFERROR(__xludf.DUMMYFUNCTION("""COMPUTED_VALUE"""),26126.0)</f>
        <v>26126</v>
      </c>
      <c r="B3586" s="2" t="str">
        <f>IFERROR(__xludf.DUMMYFUNCTION("""COMPUTED_VALUE"""),"History")</f>
        <v>History</v>
      </c>
      <c r="C3586" s="2" t="str">
        <f>IFERROR(__xludf.DUMMYFUNCTION("""COMPUTED_VALUE"""),"Legal Theory")</f>
        <v>Legal Theory</v>
      </c>
      <c r="D3586" s="2" t="str">
        <f>IFERROR(__xludf.DUMMYFUNCTION("""COMPUTED_VALUE"""),"Oakline Press")</f>
        <v>Oakline Press</v>
      </c>
      <c r="E3586" s="2">
        <f>IFERROR(__xludf.DUMMYFUNCTION("""COMPUTED_VALUE"""),3.62)</f>
        <v>3.62</v>
      </c>
      <c r="F3586" s="2"/>
      <c r="G3586" s="2"/>
      <c r="H3586" s="2"/>
      <c r="I3586" s="2"/>
    </row>
    <row r="3587">
      <c r="A3587" s="2">
        <f>IFERROR(__xludf.DUMMYFUNCTION("""COMPUTED_VALUE"""),48724.0)</f>
        <v>48724</v>
      </c>
      <c r="B3587" s="2" t="str">
        <f>IFERROR(__xludf.DUMMYFUNCTION("""COMPUTED_VALUE"""),"History")</f>
        <v>History</v>
      </c>
      <c r="C3587" s="2" t="str">
        <f>IFERROR(__xludf.DUMMYFUNCTION("""COMPUTED_VALUE"""),"Legal Theory")</f>
        <v>Legal Theory</v>
      </c>
      <c r="D3587" s="2" t="str">
        <f>IFERROR(__xludf.DUMMYFUNCTION("""COMPUTED_VALUE"""),"Oakline Press")</f>
        <v>Oakline Press</v>
      </c>
      <c r="E3587" s="2">
        <f>IFERROR(__xludf.DUMMYFUNCTION("""COMPUTED_VALUE"""),4.02)</f>
        <v>4.02</v>
      </c>
      <c r="F3587" s="2"/>
      <c r="G3587" s="2"/>
      <c r="H3587" s="2"/>
      <c r="I3587" s="2"/>
    </row>
    <row r="3588">
      <c r="A3588" s="2">
        <f>IFERROR(__xludf.DUMMYFUNCTION("""COMPUTED_VALUE"""),98888.0)</f>
        <v>98888</v>
      </c>
      <c r="B3588" s="2" t="str">
        <f>IFERROR(__xludf.DUMMYFUNCTION("""COMPUTED_VALUE"""),"History")</f>
        <v>History</v>
      </c>
      <c r="C3588" s="2" t="str">
        <f>IFERROR(__xludf.DUMMYFUNCTION("""COMPUTED_VALUE"""),"Legal Theory")</f>
        <v>Legal Theory</v>
      </c>
      <c r="D3588" s="2" t="str">
        <f>IFERROR(__xludf.DUMMYFUNCTION("""COMPUTED_VALUE"""),"Oakline Press")</f>
        <v>Oakline Press</v>
      </c>
      <c r="E3588" s="2">
        <f>IFERROR(__xludf.DUMMYFUNCTION("""COMPUTED_VALUE"""),2.81)</f>
        <v>2.81</v>
      </c>
      <c r="F3588" s="2"/>
      <c r="G3588" s="2"/>
      <c r="H3588" s="2"/>
      <c r="I3588" s="2"/>
    </row>
    <row r="3589">
      <c r="A3589" s="2">
        <f>IFERROR(__xludf.DUMMYFUNCTION("""COMPUTED_VALUE"""),48605.0)</f>
        <v>48605</v>
      </c>
      <c r="B3589" s="2" t="str">
        <f>IFERROR(__xludf.DUMMYFUNCTION("""COMPUTED_VALUE"""),"History")</f>
        <v>History</v>
      </c>
      <c r="C3589" s="2" t="str">
        <f>IFERROR(__xludf.DUMMYFUNCTION("""COMPUTED_VALUE"""),"Legal Theory")</f>
        <v>Legal Theory</v>
      </c>
      <c r="D3589" s="2" t="str">
        <f>IFERROR(__xludf.DUMMYFUNCTION("""COMPUTED_VALUE"""),"Oakline Press")</f>
        <v>Oakline Press</v>
      </c>
      <c r="E3589" s="2">
        <f>IFERROR(__xludf.DUMMYFUNCTION("""COMPUTED_VALUE"""),2.02)</f>
        <v>2.02</v>
      </c>
      <c r="F3589" s="2"/>
      <c r="G3589" s="2"/>
      <c r="H3589" s="2"/>
      <c r="I3589" s="2"/>
    </row>
    <row r="3590">
      <c r="A3590" s="2">
        <f>IFERROR(__xludf.DUMMYFUNCTION("""COMPUTED_VALUE"""),119243.0)</f>
        <v>119243</v>
      </c>
      <c r="B3590" s="2" t="str">
        <f>IFERROR(__xludf.DUMMYFUNCTION("""COMPUTED_VALUE"""),"History")</f>
        <v>History</v>
      </c>
      <c r="C3590" s="2" t="str">
        <f>IFERROR(__xludf.DUMMYFUNCTION("""COMPUTED_VALUE"""),"Legal Theory")</f>
        <v>Legal Theory</v>
      </c>
      <c r="D3590" s="2" t="str">
        <f>IFERROR(__xludf.DUMMYFUNCTION("""COMPUTED_VALUE"""),"Oakline Press")</f>
        <v>Oakline Press</v>
      </c>
      <c r="E3590" s="2">
        <f>IFERROR(__xludf.DUMMYFUNCTION("""COMPUTED_VALUE"""),2.35)</f>
        <v>2.35</v>
      </c>
      <c r="F3590" s="2"/>
      <c r="G3590" s="2"/>
      <c r="H3590" s="2"/>
      <c r="I3590" s="2"/>
    </row>
    <row r="3591">
      <c r="A3591" s="2">
        <f>IFERROR(__xludf.DUMMYFUNCTION("""COMPUTED_VALUE"""),22045.0)</f>
        <v>22045</v>
      </c>
      <c r="B3591" s="2" t="str">
        <f>IFERROR(__xludf.DUMMYFUNCTION("""COMPUTED_VALUE"""),"History")</f>
        <v>History</v>
      </c>
      <c r="C3591" s="2" t="str">
        <f>IFERROR(__xludf.DUMMYFUNCTION("""COMPUTED_VALUE"""),"Legal Theory")</f>
        <v>Legal Theory</v>
      </c>
      <c r="D3591" s="2" t="str">
        <f>IFERROR(__xludf.DUMMYFUNCTION("""COMPUTED_VALUE"""),"Oakline Press")</f>
        <v>Oakline Press</v>
      </c>
      <c r="E3591" s="2">
        <f>IFERROR(__xludf.DUMMYFUNCTION("""COMPUTED_VALUE"""),2.38)</f>
        <v>2.38</v>
      </c>
      <c r="F3591" s="2"/>
      <c r="G3591" s="2"/>
      <c r="H3591" s="2"/>
      <c r="I3591" s="2"/>
    </row>
    <row r="3592">
      <c r="A3592" s="2">
        <f>IFERROR(__xludf.DUMMYFUNCTION("""COMPUTED_VALUE"""),73221.0)</f>
        <v>73221</v>
      </c>
      <c r="B3592" s="2" t="str">
        <f>IFERROR(__xludf.DUMMYFUNCTION("""COMPUTED_VALUE"""),"History")</f>
        <v>History</v>
      </c>
      <c r="C3592" s="2" t="str">
        <f>IFERROR(__xludf.DUMMYFUNCTION("""COMPUTED_VALUE"""),"Legal Theory")</f>
        <v>Legal Theory</v>
      </c>
      <c r="D3592" s="2" t="str">
        <f>IFERROR(__xludf.DUMMYFUNCTION("""COMPUTED_VALUE"""),"Oakline Press")</f>
        <v>Oakline Press</v>
      </c>
      <c r="E3592" s="2">
        <f>IFERROR(__xludf.DUMMYFUNCTION("""COMPUTED_VALUE"""),14.93)</f>
        <v>14.93</v>
      </c>
      <c r="F3592" s="2"/>
      <c r="G3592" s="2"/>
      <c r="H3592" s="2"/>
      <c r="I3592" s="2"/>
    </row>
    <row r="3593">
      <c r="A3593" s="2">
        <f>IFERROR(__xludf.DUMMYFUNCTION("""COMPUTED_VALUE"""),72168.0)</f>
        <v>72168</v>
      </c>
      <c r="B3593" s="2" t="str">
        <f>IFERROR(__xludf.DUMMYFUNCTION("""COMPUTED_VALUE"""),"History")</f>
        <v>History</v>
      </c>
      <c r="C3593" s="2" t="str">
        <f>IFERROR(__xludf.DUMMYFUNCTION("""COMPUTED_VALUE"""),"Legal Theory")</f>
        <v>Legal Theory</v>
      </c>
      <c r="D3593" s="2" t="str">
        <f>IFERROR(__xludf.DUMMYFUNCTION("""COMPUTED_VALUE"""),"Oakline Press")</f>
        <v>Oakline Press</v>
      </c>
      <c r="E3593" s="2">
        <f>IFERROR(__xludf.DUMMYFUNCTION("""COMPUTED_VALUE"""),3.71)</f>
        <v>3.71</v>
      </c>
      <c r="F3593" s="2"/>
      <c r="G3593" s="2"/>
      <c r="H3593" s="2"/>
      <c r="I3593" s="2"/>
    </row>
    <row r="3594">
      <c r="A3594" s="2">
        <f>IFERROR(__xludf.DUMMYFUNCTION("""COMPUTED_VALUE"""),127039.0)</f>
        <v>127039</v>
      </c>
      <c r="B3594" s="2" t="str">
        <f>IFERROR(__xludf.DUMMYFUNCTION("""COMPUTED_VALUE"""),"History")</f>
        <v>History</v>
      </c>
      <c r="C3594" s="2" t="str">
        <f>IFERROR(__xludf.DUMMYFUNCTION("""COMPUTED_VALUE"""),"Legal Theory")</f>
        <v>Legal Theory</v>
      </c>
      <c r="D3594" s="2" t="str">
        <f>IFERROR(__xludf.DUMMYFUNCTION("""COMPUTED_VALUE"""),"Oakline Press")</f>
        <v>Oakline Press</v>
      </c>
      <c r="E3594" s="2">
        <f>IFERROR(__xludf.DUMMYFUNCTION("""COMPUTED_VALUE"""),3.03)</f>
        <v>3.03</v>
      </c>
      <c r="F3594" s="2"/>
      <c r="G3594" s="2"/>
      <c r="H3594" s="2"/>
      <c r="I3594" s="2"/>
    </row>
    <row r="3595">
      <c r="A3595" s="2">
        <f>IFERROR(__xludf.DUMMYFUNCTION("""COMPUTED_VALUE"""),155861.0)</f>
        <v>155861</v>
      </c>
      <c r="B3595" s="2" t="str">
        <f>IFERROR(__xludf.DUMMYFUNCTION("""COMPUTED_VALUE"""),"History")</f>
        <v>History</v>
      </c>
      <c r="C3595" s="2" t="str">
        <f>IFERROR(__xludf.DUMMYFUNCTION("""COMPUTED_VALUE"""),"Legal Theory")</f>
        <v>Legal Theory</v>
      </c>
      <c r="D3595" s="2" t="str">
        <f>IFERROR(__xludf.DUMMYFUNCTION("""COMPUTED_VALUE"""),"Riverline Publishing")</f>
        <v>Riverline Publishing</v>
      </c>
      <c r="E3595" s="2">
        <f>IFERROR(__xludf.DUMMYFUNCTION("""COMPUTED_VALUE"""),3.46)</f>
        <v>3.46</v>
      </c>
      <c r="F3595" s="2"/>
      <c r="G3595" s="2"/>
      <c r="H3595" s="2"/>
      <c r="I3595" s="2"/>
    </row>
    <row r="3596">
      <c r="A3596" s="2">
        <f>IFERROR(__xludf.DUMMYFUNCTION("""COMPUTED_VALUE"""),6213.0)</f>
        <v>6213</v>
      </c>
      <c r="B3596" s="2" t="str">
        <f>IFERROR(__xludf.DUMMYFUNCTION("""COMPUTED_VALUE"""),"History")</f>
        <v>History</v>
      </c>
      <c r="C3596" s="2" t="str">
        <f>IFERROR(__xludf.DUMMYFUNCTION("""COMPUTED_VALUE"""),"Legal Theory")</f>
        <v>Legal Theory</v>
      </c>
      <c r="D3596" s="2" t="str">
        <f>IFERROR(__xludf.DUMMYFUNCTION("""COMPUTED_VALUE"""),"Riverline Publishing")</f>
        <v>Riverline Publishing</v>
      </c>
      <c r="E3596" s="2">
        <f>IFERROR(__xludf.DUMMYFUNCTION("""COMPUTED_VALUE"""),9.39)</f>
        <v>9.39</v>
      </c>
      <c r="F3596" s="2"/>
      <c r="G3596" s="2"/>
      <c r="H3596" s="2"/>
      <c r="I3596" s="2"/>
    </row>
    <row r="3597">
      <c r="A3597" s="2">
        <f>IFERROR(__xludf.DUMMYFUNCTION("""COMPUTED_VALUE"""),6476.0)</f>
        <v>6476</v>
      </c>
      <c r="B3597" s="2" t="str">
        <f>IFERROR(__xludf.DUMMYFUNCTION("""COMPUTED_VALUE"""),"Medical")</f>
        <v>Medical</v>
      </c>
      <c r="C3597" s="2" t="str">
        <f>IFERROR(__xludf.DUMMYFUNCTION("""COMPUTED_VALUE"""),"Legal Practice")</f>
        <v>Legal Practice</v>
      </c>
      <c r="D3597" s="2" t="str">
        <f>IFERROR(__xludf.DUMMYFUNCTION("""COMPUTED_VALUE"""),"Ironline Books")</f>
        <v>Ironline Books</v>
      </c>
      <c r="E3597" s="2">
        <f>IFERROR(__xludf.DUMMYFUNCTION("""COMPUTED_VALUE"""),2.33)</f>
        <v>2.33</v>
      </c>
      <c r="F3597" s="2"/>
      <c r="G3597" s="2"/>
      <c r="H3597" s="2"/>
      <c r="I3597" s="2"/>
    </row>
    <row r="3598">
      <c r="A3598" s="2">
        <f>IFERROR(__xludf.DUMMYFUNCTION("""COMPUTED_VALUE"""),114933.0)</f>
        <v>114933</v>
      </c>
      <c r="B3598" s="2" t="str">
        <f>IFERROR(__xludf.DUMMYFUNCTION("""COMPUTED_VALUE"""),"Medical")</f>
        <v>Medical</v>
      </c>
      <c r="C3598" s="2" t="str">
        <f>IFERROR(__xludf.DUMMYFUNCTION("""COMPUTED_VALUE"""),"Legal Practice")</f>
        <v>Legal Practice</v>
      </c>
      <c r="D3598" s="2" t="str">
        <f>IFERROR(__xludf.DUMMYFUNCTION("""COMPUTED_VALUE"""),"Ironline Books")</f>
        <v>Ironline Books</v>
      </c>
      <c r="E3598" s="2">
        <f>IFERROR(__xludf.DUMMYFUNCTION("""COMPUTED_VALUE"""),2.5)</f>
        <v>2.5</v>
      </c>
      <c r="F3598" s="2"/>
      <c r="G3598" s="2"/>
      <c r="H3598" s="2"/>
      <c r="I3598" s="2"/>
    </row>
    <row r="3599">
      <c r="A3599" s="2">
        <f>IFERROR(__xludf.DUMMYFUNCTION("""COMPUTED_VALUE"""),6473.0)</f>
        <v>6473</v>
      </c>
      <c r="B3599" s="2" t="str">
        <f>IFERROR(__xludf.DUMMYFUNCTION("""COMPUTED_VALUE"""),"Medical")</f>
        <v>Medical</v>
      </c>
      <c r="C3599" s="2" t="str">
        <f>IFERROR(__xludf.DUMMYFUNCTION("""COMPUTED_VALUE"""),"Legal Practice")</f>
        <v>Legal Practice</v>
      </c>
      <c r="D3599" s="2" t="str">
        <f>IFERROR(__xludf.DUMMYFUNCTION("""COMPUTED_VALUE"""),"Ironline Books")</f>
        <v>Ironline Books</v>
      </c>
      <c r="E3599" s="2">
        <f>IFERROR(__xludf.DUMMYFUNCTION("""COMPUTED_VALUE"""),1.91)</f>
        <v>1.91</v>
      </c>
      <c r="F3599" s="2"/>
      <c r="G3599" s="2"/>
      <c r="H3599" s="2"/>
      <c r="I3599" s="2"/>
    </row>
    <row r="3600">
      <c r="A3600" s="2">
        <f>IFERROR(__xludf.DUMMYFUNCTION("""COMPUTED_VALUE"""),99248.0)</f>
        <v>99248</v>
      </c>
      <c r="B3600" s="2" t="str">
        <f>IFERROR(__xludf.DUMMYFUNCTION("""COMPUTED_VALUE"""),"Medical")</f>
        <v>Medical</v>
      </c>
      <c r="C3600" s="2" t="str">
        <f>IFERROR(__xludf.DUMMYFUNCTION("""COMPUTED_VALUE"""),"Legal Practice")</f>
        <v>Legal Practice</v>
      </c>
      <c r="D3600" s="2" t="str">
        <f>IFERROR(__xludf.DUMMYFUNCTION("""COMPUTED_VALUE"""),"Ironline Books")</f>
        <v>Ironline Books</v>
      </c>
      <c r="E3600" s="2">
        <f>IFERROR(__xludf.DUMMYFUNCTION("""COMPUTED_VALUE"""),2.48)</f>
        <v>2.48</v>
      </c>
      <c r="F3600" s="2"/>
      <c r="G3600" s="2"/>
      <c r="H3600" s="2"/>
      <c r="I3600" s="2"/>
    </row>
    <row r="3601">
      <c r="A3601" s="2">
        <f>IFERROR(__xludf.DUMMYFUNCTION("""COMPUTED_VALUE"""),6477.0)</f>
        <v>6477</v>
      </c>
      <c r="B3601" s="2" t="str">
        <f>IFERROR(__xludf.DUMMYFUNCTION("""COMPUTED_VALUE"""),"Medical")</f>
        <v>Medical</v>
      </c>
      <c r="C3601" s="2" t="str">
        <f>IFERROR(__xludf.DUMMYFUNCTION("""COMPUTED_VALUE"""),"Legal Practice")</f>
        <v>Legal Practice</v>
      </c>
      <c r="D3601" s="2" t="str">
        <f>IFERROR(__xludf.DUMMYFUNCTION("""COMPUTED_VALUE"""),"Ironline Books")</f>
        <v>Ironline Books</v>
      </c>
      <c r="E3601" s="2">
        <f>IFERROR(__xludf.DUMMYFUNCTION("""COMPUTED_VALUE"""),2.09)</f>
        <v>2.09</v>
      </c>
      <c r="F3601" s="2"/>
      <c r="G3601" s="2"/>
      <c r="H3601" s="2"/>
      <c r="I3601" s="2"/>
    </row>
    <row r="3602">
      <c r="A3602" s="2">
        <f>IFERROR(__xludf.DUMMYFUNCTION("""COMPUTED_VALUE"""),6478.0)</f>
        <v>6478</v>
      </c>
      <c r="B3602" s="2" t="str">
        <f>IFERROR(__xludf.DUMMYFUNCTION("""COMPUTED_VALUE"""),"Medical")</f>
        <v>Medical</v>
      </c>
      <c r="C3602" s="2" t="str">
        <f>IFERROR(__xludf.DUMMYFUNCTION("""COMPUTED_VALUE"""),"Legal Practice")</f>
        <v>Legal Practice</v>
      </c>
      <c r="D3602" s="2" t="str">
        <f>IFERROR(__xludf.DUMMYFUNCTION("""COMPUTED_VALUE"""),"Silvermark Press")</f>
        <v>Silvermark Press</v>
      </c>
      <c r="E3602" s="2">
        <f>IFERROR(__xludf.DUMMYFUNCTION("""COMPUTED_VALUE"""),2.24)</f>
        <v>2.24</v>
      </c>
      <c r="F3602" s="2"/>
      <c r="G3602" s="2"/>
      <c r="H3602" s="2"/>
      <c r="I3602" s="2"/>
    </row>
    <row r="3603">
      <c r="A3603" s="2">
        <f>IFERROR(__xludf.DUMMYFUNCTION("""COMPUTED_VALUE"""),6474.0)</f>
        <v>6474</v>
      </c>
      <c r="B3603" s="2" t="str">
        <f>IFERROR(__xludf.DUMMYFUNCTION("""COMPUTED_VALUE"""),"Medical")</f>
        <v>Medical</v>
      </c>
      <c r="C3603" s="2" t="str">
        <f>IFERROR(__xludf.DUMMYFUNCTION("""COMPUTED_VALUE"""),"Legal Practice")</f>
        <v>Legal Practice</v>
      </c>
      <c r="D3603" s="2" t="str">
        <f>IFERROR(__xludf.DUMMYFUNCTION("""COMPUTED_VALUE"""),"Silvermark Press")</f>
        <v>Silvermark Press</v>
      </c>
      <c r="E3603" s="2">
        <f>IFERROR(__xludf.DUMMYFUNCTION("""COMPUTED_VALUE"""),2.38)</f>
        <v>2.38</v>
      </c>
      <c r="F3603" s="2"/>
      <c r="G3603" s="2"/>
      <c r="H3603" s="2"/>
      <c r="I3603" s="2"/>
    </row>
    <row r="3604">
      <c r="A3604" s="2">
        <f>IFERROR(__xludf.DUMMYFUNCTION("""COMPUTED_VALUE"""),70574.0)</f>
        <v>70574</v>
      </c>
      <c r="B3604" s="2" t="str">
        <f>IFERROR(__xludf.DUMMYFUNCTION("""COMPUTED_VALUE"""),"Medical")</f>
        <v>Medical</v>
      </c>
      <c r="C3604" s="2" t="str">
        <f>IFERROR(__xludf.DUMMYFUNCTION("""COMPUTED_VALUE"""),"Legal Practice")</f>
        <v>Legal Practice</v>
      </c>
      <c r="D3604" s="2" t="str">
        <f>IFERROR(__xludf.DUMMYFUNCTION("""COMPUTED_VALUE"""),"Silvermark Press")</f>
        <v>Silvermark Press</v>
      </c>
      <c r="E3604" s="2">
        <f>IFERROR(__xludf.DUMMYFUNCTION("""COMPUTED_VALUE"""),1.95)</f>
        <v>1.95</v>
      </c>
      <c r="F3604" s="2"/>
      <c r="G3604" s="2"/>
      <c r="H3604" s="2"/>
      <c r="I3604" s="2"/>
    </row>
    <row r="3605">
      <c r="A3605" s="2">
        <f>IFERROR(__xludf.DUMMYFUNCTION("""COMPUTED_VALUE"""),101302.0)</f>
        <v>101302</v>
      </c>
      <c r="B3605" s="2" t="str">
        <f>IFERROR(__xludf.DUMMYFUNCTION("""COMPUTED_VALUE"""),"Finance")</f>
        <v>Finance</v>
      </c>
      <c r="C3605" s="2" t="str">
        <f>IFERROR(__xludf.DUMMYFUNCTION("""COMPUTED_VALUE"""),"Programming")</f>
        <v>Programming</v>
      </c>
      <c r="D3605" s="2" t="str">
        <f>IFERROR(__xludf.DUMMYFUNCTION("""COMPUTED_VALUE"""),"Northmark Publishing")</f>
        <v>Northmark Publishing</v>
      </c>
      <c r="E3605" s="2">
        <f>IFERROR(__xludf.DUMMYFUNCTION("""COMPUTED_VALUE"""),4.6)</f>
        <v>4.6</v>
      </c>
      <c r="F3605" s="2"/>
      <c r="G3605" s="2"/>
      <c r="H3605" s="2"/>
      <c r="I3605" s="2"/>
    </row>
    <row r="3606">
      <c r="A3606" s="2">
        <f>IFERROR(__xludf.DUMMYFUNCTION("""COMPUTED_VALUE"""),104475.0)</f>
        <v>104475</v>
      </c>
      <c r="B3606" s="2" t="str">
        <f>IFERROR(__xludf.DUMMYFUNCTION("""COMPUTED_VALUE"""),"Finance")</f>
        <v>Finance</v>
      </c>
      <c r="C3606" s="2" t="str">
        <f>IFERROR(__xludf.DUMMYFUNCTION("""COMPUTED_VALUE"""),"Programming")</f>
        <v>Programming</v>
      </c>
      <c r="D3606" s="2" t="str">
        <f>IFERROR(__xludf.DUMMYFUNCTION("""COMPUTED_VALUE"""),"Northmark Publishing")</f>
        <v>Northmark Publishing</v>
      </c>
      <c r="E3606" s="2">
        <f>IFERROR(__xludf.DUMMYFUNCTION("""COMPUTED_VALUE"""),4.53)</f>
        <v>4.53</v>
      </c>
      <c r="F3606" s="2"/>
      <c r="G3606" s="2"/>
      <c r="H3606" s="2"/>
      <c r="I3606" s="2"/>
    </row>
    <row r="3607">
      <c r="A3607" s="2">
        <f>IFERROR(__xludf.DUMMYFUNCTION("""COMPUTED_VALUE"""),101296.0)</f>
        <v>101296</v>
      </c>
      <c r="B3607" s="2" t="str">
        <f>IFERROR(__xludf.DUMMYFUNCTION("""COMPUTED_VALUE"""),"Finance")</f>
        <v>Finance</v>
      </c>
      <c r="C3607" s="2" t="str">
        <f>IFERROR(__xludf.DUMMYFUNCTION("""COMPUTED_VALUE"""),"Programming")</f>
        <v>Programming</v>
      </c>
      <c r="D3607" s="2" t="str">
        <f>IFERROR(__xludf.DUMMYFUNCTION("""COMPUTED_VALUE"""),"Northmark Publishing")</f>
        <v>Northmark Publishing</v>
      </c>
      <c r="E3607" s="2">
        <f>IFERROR(__xludf.DUMMYFUNCTION("""COMPUTED_VALUE"""),12.35)</f>
        <v>12.35</v>
      </c>
      <c r="F3607" s="2"/>
      <c r="G3607" s="2"/>
      <c r="H3607" s="2"/>
      <c r="I3607" s="2"/>
    </row>
    <row r="3608">
      <c r="A3608" s="2">
        <f>IFERROR(__xludf.DUMMYFUNCTION("""COMPUTED_VALUE"""),122029.0)</f>
        <v>122029</v>
      </c>
      <c r="B3608" s="2" t="str">
        <f>IFERROR(__xludf.DUMMYFUNCTION("""COMPUTED_VALUE"""),"Finance")</f>
        <v>Finance</v>
      </c>
      <c r="C3608" s="2" t="str">
        <f>IFERROR(__xludf.DUMMYFUNCTION("""COMPUTED_VALUE"""),"Programming")</f>
        <v>Programming</v>
      </c>
      <c r="D3608" s="2" t="str">
        <f>IFERROR(__xludf.DUMMYFUNCTION("""COMPUTED_VALUE"""),"Northmark Publishing")</f>
        <v>Northmark Publishing</v>
      </c>
      <c r="E3608" s="2">
        <f>IFERROR(__xludf.DUMMYFUNCTION("""COMPUTED_VALUE"""),9.27)</f>
        <v>9.27</v>
      </c>
      <c r="F3608" s="2"/>
      <c r="G3608" s="2"/>
      <c r="H3608" s="2"/>
      <c r="I3608" s="2"/>
    </row>
    <row r="3609">
      <c r="A3609" s="2">
        <f>IFERROR(__xludf.DUMMYFUNCTION("""COMPUTED_VALUE"""),102549.0)</f>
        <v>102549</v>
      </c>
      <c r="B3609" s="2" t="str">
        <f>IFERROR(__xludf.DUMMYFUNCTION("""COMPUTED_VALUE"""),"Finance")</f>
        <v>Finance</v>
      </c>
      <c r="C3609" s="2" t="str">
        <f>IFERROR(__xludf.DUMMYFUNCTION("""COMPUTED_VALUE"""),"Programming")</f>
        <v>Programming</v>
      </c>
      <c r="D3609" s="2" t="str">
        <f>IFERROR(__xludf.DUMMYFUNCTION("""COMPUTED_VALUE"""),"Northmark Publishing")</f>
        <v>Northmark Publishing</v>
      </c>
      <c r="E3609" s="2">
        <f>IFERROR(__xludf.DUMMYFUNCTION("""COMPUTED_VALUE"""),3.94)</f>
        <v>3.94</v>
      </c>
      <c r="F3609" s="2"/>
      <c r="G3609" s="2"/>
      <c r="H3609" s="2"/>
      <c r="I3609" s="2"/>
    </row>
    <row r="3610">
      <c r="A3610" s="2">
        <f>IFERROR(__xludf.DUMMYFUNCTION("""COMPUTED_VALUE"""),122026.0)</f>
        <v>122026</v>
      </c>
      <c r="B3610" s="2" t="str">
        <f>IFERROR(__xludf.DUMMYFUNCTION("""COMPUTED_VALUE"""),"Finance")</f>
        <v>Finance</v>
      </c>
      <c r="C3610" s="2" t="str">
        <f>IFERROR(__xludf.DUMMYFUNCTION("""COMPUTED_VALUE"""),"Programming")</f>
        <v>Programming</v>
      </c>
      <c r="D3610" s="2" t="str">
        <f>IFERROR(__xludf.DUMMYFUNCTION("""COMPUTED_VALUE"""),"Northmark Publishing")</f>
        <v>Northmark Publishing</v>
      </c>
      <c r="E3610" s="2">
        <f>IFERROR(__xludf.DUMMYFUNCTION("""COMPUTED_VALUE"""),7.69)</f>
        <v>7.69</v>
      </c>
      <c r="F3610" s="2"/>
      <c r="G3610" s="2"/>
      <c r="H3610" s="2"/>
      <c r="I3610" s="2"/>
    </row>
    <row r="3611">
      <c r="A3611" s="2">
        <f>IFERROR(__xludf.DUMMYFUNCTION("""COMPUTED_VALUE"""),101303.0)</f>
        <v>101303</v>
      </c>
      <c r="B3611" s="2" t="str">
        <f>IFERROR(__xludf.DUMMYFUNCTION("""COMPUTED_VALUE"""),"Finance")</f>
        <v>Finance</v>
      </c>
      <c r="C3611" s="2" t="str">
        <f>IFERROR(__xludf.DUMMYFUNCTION("""COMPUTED_VALUE"""),"Programming")</f>
        <v>Programming</v>
      </c>
      <c r="D3611" s="2" t="str">
        <f>IFERROR(__xludf.DUMMYFUNCTION("""COMPUTED_VALUE"""),"Northmark Publishing")</f>
        <v>Northmark Publishing</v>
      </c>
      <c r="E3611" s="2">
        <f>IFERROR(__xludf.DUMMYFUNCTION("""COMPUTED_VALUE"""),6.7)</f>
        <v>6.7</v>
      </c>
      <c r="F3611" s="2"/>
      <c r="G3611" s="2"/>
      <c r="H3611" s="2"/>
      <c r="I3611" s="2"/>
    </row>
    <row r="3612">
      <c r="A3612" s="2">
        <f>IFERROR(__xludf.DUMMYFUNCTION("""COMPUTED_VALUE"""),102548.0)</f>
        <v>102548</v>
      </c>
      <c r="B3612" s="2" t="str">
        <f>IFERROR(__xludf.DUMMYFUNCTION("""COMPUTED_VALUE"""),"Finance")</f>
        <v>Finance</v>
      </c>
      <c r="C3612" s="2" t="str">
        <f>IFERROR(__xludf.DUMMYFUNCTION("""COMPUTED_VALUE"""),"Programming")</f>
        <v>Programming</v>
      </c>
      <c r="D3612" s="2" t="str">
        <f>IFERROR(__xludf.DUMMYFUNCTION("""COMPUTED_VALUE"""),"Northmark Publishing")</f>
        <v>Northmark Publishing</v>
      </c>
      <c r="E3612" s="2">
        <f>IFERROR(__xludf.DUMMYFUNCTION("""COMPUTED_VALUE"""),5.97)</f>
        <v>5.97</v>
      </c>
      <c r="F3612" s="2"/>
      <c r="G3612" s="2"/>
      <c r="H3612" s="2"/>
      <c r="I3612" s="2"/>
    </row>
    <row r="3613">
      <c r="A3613" s="2">
        <f>IFERROR(__xludf.DUMMYFUNCTION("""COMPUTED_VALUE"""),122027.0)</f>
        <v>122027</v>
      </c>
      <c r="B3613" s="2" t="str">
        <f>IFERROR(__xludf.DUMMYFUNCTION("""COMPUTED_VALUE"""),"Finance")</f>
        <v>Finance</v>
      </c>
      <c r="C3613" s="2" t="str">
        <f>IFERROR(__xludf.DUMMYFUNCTION("""COMPUTED_VALUE"""),"Programming")</f>
        <v>Programming</v>
      </c>
      <c r="D3613" s="2" t="str">
        <f>IFERROR(__xludf.DUMMYFUNCTION("""COMPUTED_VALUE"""),"Northmark Publishing")</f>
        <v>Northmark Publishing</v>
      </c>
      <c r="E3613" s="2">
        <f>IFERROR(__xludf.DUMMYFUNCTION("""COMPUTED_VALUE"""),6.54)</f>
        <v>6.54</v>
      </c>
      <c r="F3613" s="2"/>
      <c r="G3613" s="2"/>
      <c r="H3613" s="2"/>
      <c r="I3613" s="2"/>
    </row>
    <row r="3614">
      <c r="A3614" s="2">
        <f>IFERROR(__xludf.DUMMYFUNCTION("""COMPUTED_VALUE"""),46963.0)</f>
        <v>46963</v>
      </c>
      <c r="B3614" s="2" t="str">
        <f>IFERROR(__xludf.DUMMYFUNCTION("""COMPUTED_VALUE"""),"Finance")</f>
        <v>Finance</v>
      </c>
      <c r="C3614" s="2" t="str">
        <f>IFERROR(__xludf.DUMMYFUNCTION("""COMPUTED_VALUE"""),"Programming")</f>
        <v>Programming</v>
      </c>
      <c r="D3614" s="2" t="str">
        <f>IFERROR(__xludf.DUMMYFUNCTION("""COMPUTED_VALUE"""),"Northmark Publishing")</f>
        <v>Northmark Publishing</v>
      </c>
      <c r="E3614" s="2">
        <f>IFERROR(__xludf.DUMMYFUNCTION("""COMPUTED_VALUE"""),4.54)</f>
        <v>4.54</v>
      </c>
      <c r="F3614" s="2"/>
      <c r="G3614" s="2"/>
      <c r="H3614" s="2"/>
      <c r="I3614" s="2"/>
    </row>
    <row r="3615">
      <c r="A3615" s="2">
        <f>IFERROR(__xludf.DUMMYFUNCTION("""COMPUTED_VALUE"""),102268.0)</f>
        <v>102268</v>
      </c>
      <c r="B3615" s="2" t="str">
        <f>IFERROR(__xludf.DUMMYFUNCTION("""COMPUTED_VALUE"""),"Finance")</f>
        <v>Finance</v>
      </c>
      <c r="C3615" s="2" t="str">
        <f>IFERROR(__xludf.DUMMYFUNCTION("""COMPUTED_VALUE"""),"Programming")</f>
        <v>Programming</v>
      </c>
      <c r="D3615" s="2" t="str">
        <f>IFERROR(__xludf.DUMMYFUNCTION("""COMPUTED_VALUE"""),"Northmark Publishing")</f>
        <v>Northmark Publishing</v>
      </c>
      <c r="E3615" s="2">
        <f>IFERROR(__xludf.DUMMYFUNCTION("""COMPUTED_VALUE"""),4.92)</f>
        <v>4.92</v>
      </c>
      <c r="F3615" s="2"/>
      <c r="G3615" s="2"/>
      <c r="H3615" s="2"/>
      <c r="I3615" s="2"/>
    </row>
    <row r="3616">
      <c r="A3616" s="2">
        <f>IFERROR(__xludf.DUMMYFUNCTION("""COMPUTED_VALUE"""),26649.0)</f>
        <v>26649</v>
      </c>
      <c r="B3616" s="2" t="str">
        <f>IFERROR(__xludf.DUMMYFUNCTION("""COMPUTED_VALUE"""),"Finance")</f>
        <v>Finance</v>
      </c>
      <c r="C3616" s="2" t="str">
        <f>IFERROR(__xludf.DUMMYFUNCTION("""COMPUTED_VALUE"""),"Programming")</f>
        <v>Programming</v>
      </c>
      <c r="D3616" s="2" t="str">
        <f>IFERROR(__xludf.DUMMYFUNCTION("""COMPUTED_VALUE"""),"Northmark Publishing")</f>
        <v>Northmark Publishing</v>
      </c>
      <c r="E3616" s="2">
        <f>IFERROR(__xludf.DUMMYFUNCTION("""COMPUTED_VALUE"""),6.53)</f>
        <v>6.53</v>
      </c>
      <c r="F3616" s="2"/>
      <c r="G3616" s="2"/>
      <c r="H3616" s="2"/>
      <c r="I3616" s="2"/>
    </row>
    <row r="3617">
      <c r="A3617" s="2">
        <f>IFERROR(__xludf.DUMMYFUNCTION("""COMPUTED_VALUE"""),102275.0)</f>
        <v>102275</v>
      </c>
      <c r="B3617" s="2" t="str">
        <f>IFERROR(__xludf.DUMMYFUNCTION("""COMPUTED_VALUE"""),"Finance")</f>
        <v>Finance</v>
      </c>
      <c r="C3617" s="2" t="str">
        <f>IFERROR(__xludf.DUMMYFUNCTION("""COMPUTED_VALUE"""),"Programming")</f>
        <v>Programming</v>
      </c>
      <c r="D3617" s="2" t="str">
        <f>IFERROR(__xludf.DUMMYFUNCTION("""COMPUTED_VALUE"""),"Harbormark Books")</f>
        <v>Harbormark Books</v>
      </c>
      <c r="E3617" s="2">
        <f>IFERROR(__xludf.DUMMYFUNCTION("""COMPUTED_VALUE"""),7.04)</f>
        <v>7.04</v>
      </c>
      <c r="F3617" s="2"/>
      <c r="G3617" s="2"/>
      <c r="H3617" s="2"/>
      <c r="I3617" s="2"/>
    </row>
    <row r="3618">
      <c r="A3618" s="2">
        <f>IFERROR(__xludf.DUMMYFUNCTION("""COMPUTED_VALUE"""),43943.0)</f>
        <v>43943</v>
      </c>
      <c r="B3618" s="2" t="str">
        <f>IFERROR(__xludf.DUMMYFUNCTION("""COMPUTED_VALUE"""),"Finance")</f>
        <v>Finance</v>
      </c>
      <c r="C3618" s="2" t="str">
        <f>IFERROR(__xludf.DUMMYFUNCTION("""COMPUTED_VALUE"""),"Programming")</f>
        <v>Programming</v>
      </c>
      <c r="D3618" s="2" t="str">
        <f>IFERROR(__xludf.DUMMYFUNCTION("""COMPUTED_VALUE"""),"Harbormark Books")</f>
        <v>Harbormark Books</v>
      </c>
      <c r="E3618" s="2">
        <f>IFERROR(__xludf.DUMMYFUNCTION("""COMPUTED_VALUE"""),11.66)</f>
        <v>11.66</v>
      </c>
      <c r="F3618" s="2"/>
      <c r="G3618" s="2"/>
      <c r="H3618" s="2"/>
      <c r="I3618" s="2"/>
    </row>
    <row r="3619">
      <c r="A3619" s="2">
        <f>IFERROR(__xludf.DUMMYFUNCTION("""COMPUTED_VALUE"""),102550.0)</f>
        <v>102550</v>
      </c>
      <c r="B3619" s="2" t="str">
        <f>IFERROR(__xludf.DUMMYFUNCTION("""COMPUTED_VALUE"""),"Finance")</f>
        <v>Finance</v>
      </c>
      <c r="C3619" s="2" t="str">
        <f>IFERROR(__xludf.DUMMYFUNCTION("""COMPUTED_VALUE"""),"Programming")</f>
        <v>Programming</v>
      </c>
      <c r="D3619" s="2" t="str">
        <f>IFERROR(__xludf.DUMMYFUNCTION("""COMPUTED_VALUE"""),"Harbormark Books")</f>
        <v>Harbormark Books</v>
      </c>
      <c r="E3619" s="2">
        <f>IFERROR(__xludf.DUMMYFUNCTION("""COMPUTED_VALUE"""),6.07)</f>
        <v>6.07</v>
      </c>
      <c r="F3619" s="2"/>
      <c r="G3619" s="2"/>
      <c r="H3619" s="2"/>
      <c r="I3619" s="2"/>
    </row>
    <row r="3620">
      <c r="A3620" s="2">
        <f>IFERROR(__xludf.DUMMYFUNCTION("""COMPUTED_VALUE"""),26650.0)</f>
        <v>26650</v>
      </c>
      <c r="B3620" s="2" t="str">
        <f>IFERROR(__xludf.DUMMYFUNCTION("""COMPUTED_VALUE"""),"Finance")</f>
        <v>Finance</v>
      </c>
      <c r="C3620" s="2" t="str">
        <f>IFERROR(__xludf.DUMMYFUNCTION("""COMPUTED_VALUE"""),"Programming")</f>
        <v>Programming</v>
      </c>
      <c r="D3620" s="2" t="str">
        <f>IFERROR(__xludf.DUMMYFUNCTION("""COMPUTED_VALUE"""),"Harbormark Books")</f>
        <v>Harbormark Books</v>
      </c>
      <c r="E3620" s="2">
        <f>IFERROR(__xludf.DUMMYFUNCTION("""COMPUTED_VALUE"""),7.97)</f>
        <v>7.97</v>
      </c>
      <c r="F3620" s="2"/>
      <c r="G3620" s="2"/>
      <c r="H3620" s="2"/>
      <c r="I3620" s="2"/>
    </row>
    <row r="3621">
      <c r="A3621" s="2">
        <f>IFERROR(__xludf.DUMMYFUNCTION("""COMPUTED_VALUE"""),117728.0)</f>
        <v>117728</v>
      </c>
      <c r="B3621" s="2" t="str">
        <f>IFERROR(__xludf.DUMMYFUNCTION("""COMPUTED_VALUE"""),"Finance")</f>
        <v>Finance</v>
      </c>
      <c r="C3621" s="2" t="str">
        <f>IFERROR(__xludf.DUMMYFUNCTION("""COMPUTED_VALUE"""),"Programming")</f>
        <v>Programming</v>
      </c>
      <c r="D3621" s="2" t="str">
        <f>IFERROR(__xludf.DUMMYFUNCTION("""COMPUTED_VALUE"""),"Harbormark Books")</f>
        <v>Harbormark Books</v>
      </c>
      <c r="E3621" s="2">
        <f>IFERROR(__xludf.DUMMYFUNCTION("""COMPUTED_VALUE"""),5.52)</f>
        <v>5.52</v>
      </c>
      <c r="F3621" s="2"/>
      <c r="G3621" s="2"/>
      <c r="H3621" s="2"/>
      <c r="I3621" s="2"/>
    </row>
    <row r="3622">
      <c r="A3622" s="2">
        <f>IFERROR(__xludf.DUMMYFUNCTION("""COMPUTED_VALUE"""),103588.0)</f>
        <v>103588</v>
      </c>
      <c r="B3622" s="2" t="str">
        <f>IFERROR(__xludf.DUMMYFUNCTION("""COMPUTED_VALUE"""),"Finance")</f>
        <v>Finance</v>
      </c>
      <c r="C3622" s="2" t="str">
        <f>IFERROR(__xludf.DUMMYFUNCTION("""COMPUTED_VALUE"""),"Programming")</f>
        <v>Programming</v>
      </c>
      <c r="D3622" s="2" t="str">
        <f>IFERROR(__xludf.DUMMYFUNCTION("""COMPUTED_VALUE"""),"Harbormark Books")</f>
        <v>Harbormark Books</v>
      </c>
      <c r="E3622" s="2">
        <f>IFERROR(__xludf.DUMMYFUNCTION("""COMPUTED_VALUE"""),11.86)</f>
        <v>11.86</v>
      </c>
      <c r="F3622" s="2"/>
      <c r="G3622" s="2"/>
      <c r="H3622" s="2"/>
      <c r="I3622" s="2"/>
    </row>
    <row r="3623">
      <c r="A3623" s="2">
        <f>IFERROR(__xludf.DUMMYFUNCTION("""COMPUTED_VALUE"""),101297.0)</f>
        <v>101297</v>
      </c>
      <c r="B3623" s="2" t="str">
        <f>IFERROR(__xludf.DUMMYFUNCTION("""COMPUTED_VALUE"""),"Finance")</f>
        <v>Finance</v>
      </c>
      <c r="C3623" s="2" t="str">
        <f>IFERROR(__xludf.DUMMYFUNCTION("""COMPUTED_VALUE"""),"Programming")</f>
        <v>Programming</v>
      </c>
      <c r="D3623" s="2" t="str">
        <f>IFERROR(__xludf.DUMMYFUNCTION("""COMPUTED_VALUE"""),"Harbormark Books")</f>
        <v>Harbormark Books</v>
      </c>
      <c r="E3623" s="2">
        <f>IFERROR(__xludf.DUMMYFUNCTION("""COMPUTED_VALUE"""),12.43)</f>
        <v>12.43</v>
      </c>
      <c r="F3623" s="2"/>
      <c r="G3623" s="2"/>
      <c r="H3623" s="2"/>
      <c r="I3623" s="2"/>
    </row>
    <row r="3624">
      <c r="A3624" s="2">
        <f>IFERROR(__xludf.DUMMYFUNCTION("""COMPUTED_VALUE"""),101298.0)</f>
        <v>101298</v>
      </c>
      <c r="B3624" s="2" t="str">
        <f>IFERROR(__xludf.DUMMYFUNCTION("""COMPUTED_VALUE"""),"Finance")</f>
        <v>Finance</v>
      </c>
      <c r="C3624" s="2" t="str">
        <f>IFERROR(__xludf.DUMMYFUNCTION("""COMPUTED_VALUE"""),"Programming")</f>
        <v>Programming</v>
      </c>
      <c r="D3624" s="2" t="str">
        <f>IFERROR(__xludf.DUMMYFUNCTION("""COMPUTED_VALUE"""),"Cedarmark Press")</f>
        <v>Cedarmark Press</v>
      </c>
      <c r="E3624" s="2">
        <f>IFERROR(__xludf.DUMMYFUNCTION("""COMPUTED_VALUE"""),12.44)</f>
        <v>12.44</v>
      </c>
      <c r="F3624" s="2"/>
      <c r="G3624" s="2"/>
      <c r="H3624" s="2"/>
      <c r="I3624" s="2"/>
    </row>
    <row r="3625">
      <c r="A3625" s="2">
        <f>IFERROR(__xludf.DUMMYFUNCTION("""COMPUTED_VALUE"""),113129.0)</f>
        <v>113129</v>
      </c>
      <c r="B3625" s="2" t="str">
        <f>IFERROR(__xludf.DUMMYFUNCTION("""COMPUTED_VALUE"""),"Finance")</f>
        <v>Finance</v>
      </c>
      <c r="C3625" s="2" t="str">
        <f>IFERROR(__xludf.DUMMYFUNCTION("""COMPUTED_VALUE"""),"Programming")</f>
        <v>Programming</v>
      </c>
      <c r="D3625" s="2" t="str">
        <f>IFERROR(__xludf.DUMMYFUNCTION("""COMPUTED_VALUE"""),"Cedarmark Press")</f>
        <v>Cedarmark Press</v>
      </c>
      <c r="E3625" s="2">
        <f>IFERROR(__xludf.DUMMYFUNCTION("""COMPUTED_VALUE"""),12.39)</f>
        <v>12.39</v>
      </c>
      <c r="F3625" s="2"/>
      <c r="G3625" s="2"/>
      <c r="H3625" s="2"/>
      <c r="I3625" s="2"/>
    </row>
    <row r="3626">
      <c r="A3626" s="2">
        <f>IFERROR(__xludf.DUMMYFUNCTION("""COMPUTED_VALUE"""),102551.0)</f>
        <v>102551</v>
      </c>
      <c r="B3626" s="2" t="str">
        <f>IFERROR(__xludf.DUMMYFUNCTION("""COMPUTED_VALUE"""),"Finance")</f>
        <v>Finance</v>
      </c>
      <c r="C3626" s="2" t="str">
        <f>IFERROR(__xludf.DUMMYFUNCTION("""COMPUTED_VALUE"""),"Programming")</f>
        <v>Programming</v>
      </c>
      <c r="D3626" s="2" t="str">
        <f>IFERROR(__xludf.DUMMYFUNCTION("""COMPUTED_VALUE"""),"Cedarmark Press")</f>
        <v>Cedarmark Press</v>
      </c>
      <c r="E3626" s="2">
        <f>IFERROR(__xludf.DUMMYFUNCTION("""COMPUTED_VALUE"""),6.16)</f>
        <v>6.16</v>
      </c>
      <c r="F3626" s="2"/>
      <c r="G3626" s="2"/>
      <c r="H3626" s="2"/>
      <c r="I3626" s="2"/>
    </row>
    <row r="3627">
      <c r="A3627" s="2">
        <f>IFERROR(__xludf.DUMMYFUNCTION("""COMPUTED_VALUE"""),117735.0)</f>
        <v>117735</v>
      </c>
      <c r="B3627" s="2" t="str">
        <f>IFERROR(__xludf.DUMMYFUNCTION("""COMPUTED_VALUE"""),"Finance")</f>
        <v>Finance</v>
      </c>
      <c r="C3627" s="2" t="str">
        <f>IFERROR(__xludf.DUMMYFUNCTION("""COMPUTED_VALUE"""),"Programming")</f>
        <v>Programming</v>
      </c>
      <c r="D3627" s="2" t="str">
        <f>IFERROR(__xludf.DUMMYFUNCTION("""COMPUTED_VALUE"""),"Cedarmark Press")</f>
        <v>Cedarmark Press</v>
      </c>
      <c r="E3627" s="2">
        <f>IFERROR(__xludf.DUMMYFUNCTION("""COMPUTED_VALUE"""),5.46)</f>
        <v>5.46</v>
      </c>
      <c r="F3627" s="2"/>
      <c r="G3627" s="2"/>
      <c r="H3627" s="2"/>
      <c r="I3627" s="2"/>
    </row>
    <row r="3628">
      <c r="A3628" s="2">
        <f>IFERROR(__xludf.DUMMYFUNCTION("""COMPUTED_VALUE"""),101299.0)</f>
        <v>101299</v>
      </c>
      <c r="B3628" s="2" t="str">
        <f>IFERROR(__xludf.DUMMYFUNCTION("""COMPUTED_VALUE"""),"Finance")</f>
        <v>Finance</v>
      </c>
      <c r="C3628" s="2" t="str">
        <f>IFERROR(__xludf.DUMMYFUNCTION("""COMPUTED_VALUE"""),"Programming")</f>
        <v>Programming</v>
      </c>
      <c r="D3628" s="2" t="str">
        <f>IFERROR(__xludf.DUMMYFUNCTION("""COMPUTED_VALUE"""),"Cedarmark Press")</f>
        <v>Cedarmark Press</v>
      </c>
      <c r="E3628" s="2">
        <f>IFERROR(__xludf.DUMMYFUNCTION("""COMPUTED_VALUE"""),12.45)</f>
        <v>12.45</v>
      </c>
      <c r="F3628" s="2"/>
      <c r="G3628" s="2"/>
      <c r="H3628" s="2"/>
      <c r="I3628" s="2"/>
    </row>
    <row r="3629">
      <c r="A3629" s="2">
        <f>IFERROR(__xludf.DUMMYFUNCTION("""COMPUTED_VALUE"""),103590.0)</f>
        <v>103590</v>
      </c>
      <c r="B3629" s="2" t="str">
        <f>IFERROR(__xludf.DUMMYFUNCTION("""COMPUTED_VALUE"""),"Finance")</f>
        <v>Finance</v>
      </c>
      <c r="C3629" s="2" t="str">
        <f>IFERROR(__xludf.DUMMYFUNCTION("""COMPUTED_VALUE"""),"Programming")</f>
        <v>Programming</v>
      </c>
      <c r="D3629" s="2" t="str">
        <f>IFERROR(__xludf.DUMMYFUNCTION("""COMPUTED_VALUE"""),"Cedarmark Press")</f>
        <v>Cedarmark Press</v>
      </c>
      <c r="E3629" s="2">
        <f>IFERROR(__xludf.DUMMYFUNCTION("""COMPUTED_VALUE"""),12.0)</f>
        <v>12</v>
      </c>
      <c r="F3629" s="2"/>
      <c r="G3629" s="2"/>
      <c r="H3629" s="2"/>
      <c r="I3629" s="2"/>
    </row>
    <row r="3630">
      <c r="A3630" s="2">
        <f>IFERROR(__xludf.DUMMYFUNCTION("""COMPUTED_VALUE"""),43944.0)</f>
        <v>43944</v>
      </c>
      <c r="B3630" s="2" t="str">
        <f>IFERROR(__xludf.DUMMYFUNCTION("""COMPUTED_VALUE"""),"Finance")</f>
        <v>Finance</v>
      </c>
      <c r="C3630" s="2" t="str">
        <f>IFERROR(__xludf.DUMMYFUNCTION("""COMPUTED_VALUE"""),"Programming")</f>
        <v>Programming</v>
      </c>
      <c r="D3630" s="2" t="str">
        <f>IFERROR(__xludf.DUMMYFUNCTION("""COMPUTED_VALUE"""),"Cedarmark Press")</f>
        <v>Cedarmark Press</v>
      </c>
      <c r="E3630" s="2">
        <f>IFERROR(__xludf.DUMMYFUNCTION("""COMPUTED_VALUE"""),11.42)</f>
        <v>11.42</v>
      </c>
      <c r="F3630" s="2"/>
      <c r="G3630" s="2"/>
      <c r="H3630" s="2"/>
      <c r="I3630" s="2"/>
    </row>
    <row r="3631">
      <c r="A3631" s="2">
        <f>IFERROR(__xludf.DUMMYFUNCTION("""COMPUTED_VALUE"""),113128.0)</f>
        <v>113128</v>
      </c>
      <c r="B3631" s="2" t="str">
        <f>IFERROR(__xludf.DUMMYFUNCTION("""COMPUTED_VALUE"""),"Finance")</f>
        <v>Finance</v>
      </c>
      <c r="C3631" s="2" t="str">
        <f>IFERROR(__xludf.DUMMYFUNCTION("""COMPUTED_VALUE"""),"Programming")</f>
        <v>Programming</v>
      </c>
      <c r="D3631" s="2" t="str">
        <f>IFERROR(__xludf.DUMMYFUNCTION("""COMPUTED_VALUE"""),"Cedarmark Press")</f>
        <v>Cedarmark Press</v>
      </c>
      <c r="E3631" s="2">
        <f>IFERROR(__xludf.DUMMYFUNCTION("""COMPUTED_VALUE"""),12.3)</f>
        <v>12.3</v>
      </c>
      <c r="F3631" s="2"/>
      <c r="G3631" s="2"/>
      <c r="H3631" s="2"/>
      <c r="I3631" s="2"/>
    </row>
    <row r="3632">
      <c r="A3632" s="2">
        <f>IFERROR(__xludf.DUMMYFUNCTION("""COMPUTED_VALUE"""),102553.0)</f>
        <v>102553</v>
      </c>
      <c r="B3632" s="2" t="str">
        <f>IFERROR(__xludf.DUMMYFUNCTION("""COMPUTED_VALUE"""),"Finance")</f>
        <v>Finance</v>
      </c>
      <c r="C3632" s="2" t="str">
        <f>IFERROR(__xludf.DUMMYFUNCTION("""COMPUTED_VALUE"""),"Programming")</f>
        <v>Programming</v>
      </c>
      <c r="D3632" s="2" t="str">
        <f>IFERROR(__xludf.DUMMYFUNCTION("""COMPUTED_VALUE"""),"Cedarmark Press")</f>
        <v>Cedarmark Press</v>
      </c>
      <c r="E3632" s="2">
        <f>IFERROR(__xludf.DUMMYFUNCTION("""COMPUTED_VALUE"""),5.96)</f>
        <v>5.96</v>
      </c>
      <c r="F3632" s="2"/>
      <c r="G3632" s="2"/>
      <c r="H3632" s="2"/>
      <c r="I3632" s="2"/>
    </row>
    <row r="3633">
      <c r="A3633" s="2">
        <f>IFERROR(__xludf.DUMMYFUNCTION("""COMPUTED_VALUE"""),114230.0)</f>
        <v>114230</v>
      </c>
      <c r="B3633" s="2" t="str">
        <f>IFERROR(__xludf.DUMMYFUNCTION("""COMPUTED_VALUE"""),"Finance")</f>
        <v>Finance</v>
      </c>
      <c r="C3633" s="2" t="str">
        <f>IFERROR(__xludf.DUMMYFUNCTION("""COMPUTED_VALUE"""),"Programming")</f>
        <v>Programming</v>
      </c>
      <c r="D3633" s="2" t="str">
        <f>IFERROR(__xludf.DUMMYFUNCTION("""COMPUTED_VALUE"""),"Cedarmark Press")</f>
        <v>Cedarmark Press</v>
      </c>
      <c r="E3633" s="2">
        <f>IFERROR(__xludf.DUMMYFUNCTION("""COMPUTED_VALUE"""),12.21)</f>
        <v>12.21</v>
      </c>
      <c r="F3633" s="2"/>
      <c r="G3633" s="2"/>
      <c r="H3633" s="2"/>
      <c r="I3633" s="2"/>
    </row>
    <row r="3634">
      <c r="A3634" s="2">
        <f>IFERROR(__xludf.DUMMYFUNCTION("""COMPUTED_VALUE"""),122028.0)</f>
        <v>122028</v>
      </c>
      <c r="B3634" s="2" t="str">
        <f>IFERROR(__xludf.DUMMYFUNCTION("""COMPUTED_VALUE"""),"Finance")</f>
        <v>Finance</v>
      </c>
      <c r="C3634" s="2" t="str">
        <f>IFERROR(__xludf.DUMMYFUNCTION("""COMPUTED_VALUE"""),"Programming")</f>
        <v>Programming</v>
      </c>
      <c r="D3634" s="2" t="str">
        <f>IFERROR(__xludf.DUMMYFUNCTION("""COMPUTED_VALUE"""),"Cedarmark Press")</f>
        <v>Cedarmark Press</v>
      </c>
      <c r="E3634" s="2">
        <f>IFERROR(__xludf.DUMMYFUNCTION("""COMPUTED_VALUE"""),11.71)</f>
        <v>11.71</v>
      </c>
      <c r="F3634" s="2"/>
      <c r="G3634" s="2"/>
      <c r="H3634" s="2"/>
      <c r="I3634" s="2"/>
    </row>
    <row r="3635">
      <c r="A3635" s="2">
        <f>IFERROR(__xludf.DUMMYFUNCTION("""COMPUTED_VALUE"""),102269.0)</f>
        <v>102269</v>
      </c>
      <c r="B3635" s="2" t="str">
        <f>IFERROR(__xludf.DUMMYFUNCTION("""COMPUTED_VALUE"""),"Finance")</f>
        <v>Finance</v>
      </c>
      <c r="C3635" s="2" t="str">
        <f>IFERROR(__xludf.DUMMYFUNCTION("""COMPUTED_VALUE"""),"Programming")</f>
        <v>Programming</v>
      </c>
      <c r="D3635" s="2" t="str">
        <f>IFERROR(__xludf.DUMMYFUNCTION("""COMPUTED_VALUE"""),"Cedarmark Press")</f>
        <v>Cedarmark Press</v>
      </c>
      <c r="E3635" s="2">
        <f>IFERROR(__xludf.DUMMYFUNCTION("""COMPUTED_VALUE"""),7.35)</f>
        <v>7.35</v>
      </c>
      <c r="F3635" s="2"/>
      <c r="G3635" s="2"/>
      <c r="H3635" s="2"/>
      <c r="I3635" s="2"/>
    </row>
    <row r="3636">
      <c r="A3636" s="2">
        <f>IFERROR(__xludf.DUMMYFUNCTION("""COMPUTED_VALUE"""),26651.0)</f>
        <v>26651</v>
      </c>
      <c r="B3636" s="2" t="str">
        <f>IFERROR(__xludf.DUMMYFUNCTION("""COMPUTED_VALUE"""),"Finance")</f>
        <v>Finance</v>
      </c>
      <c r="C3636" s="2" t="str">
        <f>IFERROR(__xludf.DUMMYFUNCTION("""COMPUTED_VALUE"""),"Programming")</f>
        <v>Programming</v>
      </c>
      <c r="D3636" s="2" t="str">
        <f>IFERROR(__xludf.DUMMYFUNCTION("""COMPUTED_VALUE"""),"Cedarmark Press")</f>
        <v>Cedarmark Press</v>
      </c>
      <c r="E3636" s="2">
        <f>IFERROR(__xludf.DUMMYFUNCTION("""COMPUTED_VALUE"""),8.44)</f>
        <v>8.44</v>
      </c>
      <c r="F3636" s="2"/>
      <c r="G3636" s="2"/>
      <c r="H3636" s="2"/>
      <c r="I3636" s="2"/>
    </row>
    <row r="3637">
      <c r="A3637" s="2">
        <f>IFERROR(__xludf.DUMMYFUNCTION("""COMPUTED_VALUE"""),101316.0)</f>
        <v>101316</v>
      </c>
      <c r="B3637" s="2" t="str">
        <f>IFERROR(__xludf.DUMMYFUNCTION("""COMPUTED_VALUE"""),"Finance")</f>
        <v>Finance</v>
      </c>
      <c r="C3637" s="2" t="str">
        <f>IFERROR(__xludf.DUMMYFUNCTION("""COMPUTED_VALUE"""),"Programming")</f>
        <v>Programming</v>
      </c>
      <c r="D3637" s="2" t="str">
        <f>IFERROR(__xludf.DUMMYFUNCTION("""COMPUTED_VALUE"""),"Cedarmark Press")</f>
        <v>Cedarmark Press</v>
      </c>
      <c r="E3637" s="2">
        <f>IFERROR(__xludf.DUMMYFUNCTION("""COMPUTED_VALUE"""),5.9)</f>
        <v>5.9</v>
      </c>
      <c r="F3637" s="2"/>
      <c r="G3637" s="2"/>
      <c r="H3637" s="2"/>
      <c r="I3637" s="2"/>
    </row>
    <row r="3638">
      <c r="A3638" s="2">
        <f>IFERROR(__xludf.DUMMYFUNCTION("""COMPUTED_VALUE"""),117742.0)</f>
        <v>117742</v>
      </c>
      <c r="B3638" s="2" t="str">
        <f>IFERROR(__xludf.DUMMYFUNCTION("""COMPUTED_VALUE"""),"Finance")</f>
        <v>Finance</v>
      </c>
      <c r="C3638" s="2" t="str">
        <f>IFERROR(__xludf.DUMMYFUNCTION("""COMPUTED_VALUE"""),"Programming")</f>
        <v>Programming</v>
      </c>
      <c r="D3638" s="2" t="str">
        <f>IFERROR(__xludf.DUMMYFUNCTION("""COMPUTED_VALUE"""),"Cedarmark Press")</f>
        <v>Cedarmark Press</v>
      </c>
      <c r="E3638" s="2">
        <f>IFERROR(__xludf.DUMMYFUNCTION("""COMPUTED_VALUE"""),10.37)</f>
        <v>10.37</v>
      </c>
      <c r="F3638" s="2"/>
      <c r="G3638" s="2"/>
      <c r="H3638" s="2"/>
      <c r="I3638" s="2"/>
    </row>
    <row r="3639">
      <c r="A3639" s="2">
        <f>IFERROR(__xludf.DUMMYFUNCTION("""COMPUTED_VALUE"""),101315.0)</f>
        <v>101315</v>
      </c>
      <c r="B3639" s="2" t="str">
        <f>IFERROR(__xludf.DUMMYFUNCTION("""COMPUTED_VALUE"""),"Finance")</f>
        <v>Finance</v>
      </c>
      <c r="C3639" s="2" t="str">
        <f>IFERROR(__xludf.DUMMYFUNCTION("""COMPUTED_VALUE"""),"Programming")</f>
        <v>Programming</v>
      </c>
      <c r="D3639" s="2" t="str">
        <f>IFERROR(__xludf.DUMMYFUNCTION("""COMPUTED_VALUE"""),"Cedarmark Press")</f>
        <v>Cedarmark Press</v>
      </c>
      <c r="E3639" s="2">
        <f>IFERROR(__xludf.DUMMYFUNCTION("""COMPUTED_VALUE"""),5.97)</f>
        <v>5.97</v>
      </c>
      <c r="F3639" s="2"/>
      <c r="G3639" s="2"/>
      <c r="H3639" s="2"/>
      <c r="I3639" s="2"/>
    </row>
    <row r="3640">
      <c r="A3640" s="2">
        <f>IFERROR(__xludf.DUMMYFUNCTION("""COMPUTED_VALUE"""),43945.0)</f>
        <v>43945</v>
      </c>
      <c r="B3640" s="2" t="str">
        <f>IFERROR(__xludf.DUMMYFUNCTION("""COMPUTED_VALUE"""),"Finance")</f>
        <v>Finance</v>
      </c>
      <c r="C3640" s="2" t="str">
        <f>IFERROR(__xludf.DUMMYFUNCTION("""COMPUTED_VALUE"""),"Programming")</f>
        <v>Programming</v>
      </c>
      <c r="D3640" s="2" t="str">
        <f>IFERROR(__xludf.DUMMYFUNCTION("""COMPUTED_VALUE"""),"Cedarmark Press")</f>
        <v>Cedarmark Press</v>
      </c>
      <c r="E3640" s="2">
        <f>IFERROR(__xludf.DUMMYFUNCTION("""COMPUTED_VALUE"""),11.49)</f>
        <v>11.49</v>
      </c>
      <c r="F3640" s="2"/>
      <c r="G3640" s="2"/>
      <c r="H3640" s="2"/>
      <c r="I3640" s="2"/>
    </row>
    <row r="3641">
      <c r="A3641" s="2">
        <f>IFERROR(__xludf.DUMMYFUNCTION("""COMPUTED_VALUE"""),103589.0)</f>
        <v>103589</v>
      </c>
      <c r="B3641" s="2" t="str">
        <f>IFERROR(__xludf.DUMMYFUNCTION("""COMPUTED_VALUE"""),"Finance")</f>
        <v>Finance</v>
      </c>
      <c r="C3641" s="2" t="str">
        <f>IFERROR(__xludf.DUMMYFUNCTION("""COMPUTED_VALUE"""),"Programming")</f>
        <v>Programming</v>
      </c>
      <c r="D3641" s="2" t="str">
        <f>IFERROR(__xludf.DUMMYFUNCTION("""COMPUTED_VALUE"""),"Cedarmark Press")</f>
        <v>Cedarmark Press</v>
      </c>
      <c r="E3641" s="2">
        <f>IFERROR(__xludf.DUMMYFUNCTION("""COMPUTED_VALUE"""),12.02)</f>
        <v>12.02</v>
      </c>
      <c r="F3641" s="2"/>
      <c r="G3641" s="2"/>
      <c r="H3641" s="2"/>
      <c r="I3641" s="2"/>
    </row>
    <row r="3642">
      <c r="A3642" s="2">
        <f>IFERROR(__xludf.DUMMYFUNCTION("""COMPUTED_VALUE"""),88896.0)</f>
        <v>88896</v>
      </c>
      <c r="B3642" s="2" t="str">
        <f>IFERROR(__xludf.DUMMYFUNCTION("""COMPUTED_VALUE"""),"Finance")</f>
        <v>Finance</v>
      </c>
      <c r="C3642" s="2" t="str">
        <f>IFERROR(__xludf.DUMMYFUNCTION("""COMPUTED_VALUE"""),"Programming")</f>
        <v>Programming</v>
      </c>
      <c r="D3642" s="2" t="str">
        <f>IFERROR(__xludf.DUMMYFUNCTION("""COMPUTED_VALUE"""),"Brightmark Publishing")</f>
        <v>Brightmark Publishing</v>
      </c>
      <c r="E3642" s="2">
        <f>IFERROR(__xludf.DUMMYFUNCTION("""COMPUTED_VALUE"""),16.94)</f>
        <v>16.94</v>
      </c>
      <c r="F3642" s="2"/>
      <c r="G3642" s="2"/>
      <c r="H3642" s="2"/>
      <c r="I3642" s="2"/>
    </row>
    <row r="3643">
      <c r="A3643" s="2">
        <f>IFERROR(__xludf.DUMMYFUNCTION("""COMPUTED_VALUE"""),103595.0)</f>
        <v>103595</v>
      </c>
      <c r="B3643" s="2" t="str">
        <f>IFERROR(__xludf.DUMMYFUNCTION("""COMPUTED_VALUE"""),"Finance")</f>
        <v>Finance</v>
      </c>
      <c r="C3643" s="2" t="str">
        <f>IFERROR(__xludf.DUMMYFUNCTION("""COMPUTED_VALUE"""),"Programming")</f>
        <v>Programming</v>
      </c>
      <c r="D3643" s="2" t="str">
        <f>IFERROR(__xludf.DUMMYFUNCTION("""COMPUTED_VALUE"""),"Oakmark Books")</f>
        <v>Oakmark Books</v>
      </c>
      <c r="E3643" s="2">
        <f>IFERROR(__xludf.DUMMYFUNCTION("""COMPUTED_VALUE"""),11.6)</f>
        <v>11.6</v>
      </c>
      <c r="F3643" s="2"/>
      <c r="G3643" s="2"/>
      <c r="H3643" s="2"/>
      <c r="I3643" s="2"/>
    </row>
    <row r="3644">
      <c r="A3644" s="2">
        <f>IFERROR(__xludf.DUMMYFUNCTION("""COMPUTED_VALUE"""),101300.0)</f>
        <v>101300</v>
      </c>
      <c r="B3644" s="2" t="str">
        <f>IFERROR(__xludf.DUMMYFUNCTION("""COMPUTED_VALUE"""),"Finance")</f>
        <v>Finance</v>
      </c>
      <c r="C3644" s="2" t="str">
        <f>IFERROR(__xludf.DUMMYFUNCTION("""COMPUTED_VALUE"""),"Programming")</f>
        <v>Programming</v>
      </c>
      <c r="D3644" s="2" t="str">
        <f>IFERROR(__xludf.DUMMYFUNCTION("""COMPUTED_VALUE"""),"Oakmark Books")</f>
        <v>Oakmark Books</v>
      </c>
      <c r="E3644" s="2">
        <f>IFERROR(__xludf.DUMMYFUNCTION("""COMPUTED_VALUE"""),12.38)</f>
        <v>12.38</v>
      </c>
      <c r="F3644" s="2"/>
      <c r="G3644" s="2"/>
      <c r="H3644" s="2"/>
      <c r="I3644" s="2"/>
    </row>
    <row r="3645">
      <c r="A3645" s="2">
        <f>IFERROR(__xludf.DUMMYFUNCTION("""COMPUTED_VALUE"""),113130.0)</f>
        <v>113130</v>
      </c>
      <c r="B3645" s="2" t="str">
        <f>IFERROR(__xludf.DUMMYFUNCTION("""COMPUTED_VALUE"""),"Finance")</f>
        <v>Finance</v>
      </c>
      <c r="C3645" s="2" t="str">
        <f>IFERROR(__xludf.DUMMYFUNCTION("""COMPUTED_VALUE"""),"Programming")</f>
        <v>Programming</v>
      </c>
      <c r="D3645" s="2" t="str">
        <f>IFERROR(__xludf.DUMMYFUNCTION("""COMPUTED_VALUE"""),"Oakmark Books")</f>
        <v>Oakmark Books</v>
      </c>
      <c r="E3645" s="2">
        <f>IFERROR(__xludf.DUMMYFUNCTION("""COMPUTED_VALUE"""),12.2)</f>
        <v>12.2</v>
      </c>
      <c r="F3645" s="2"/>
      <c r="G3645" s="2"/>
      <c r="H3645" s="2"/>
      <c r="I3645" s="2"/>
    </row>
    <row r="3646">
      <c r="A3646" s="2">
        <f>IFERROR(__xludf.DUMMYFUNCTION("""COMPUTED_VALUE"""),102272.0)</f>
        <v>102272</v>
      </c>
      <c r="B3646" s="2" t="str">
        <f>IFERROR(__xludf.DUMMYFUNCTION("""COMPUTED_VALUE"""),"Finance")</f>
        <v>Finance</v>
      </c>
      <c r="C3646" s="2" t="str">
        <f>IFERROR(__xludf.DUMMYFUNCTION("""COMPUTED_VALUE"""),"Programming")</f>
        <v>Programming</v>
      </c>
      <c r="D3646" s="2" t="str">
        <f>IFERROR(__xludf.DUMMYFUNCTION("""COMPUTED_VALUE"""),"Oakmark Books")</f>
        <v>Oakmark Books</v>
      </c>
      <c r="E3646" s="2">
        <f>IFERROR(__xludf.DUMMYFUNCTION("""COMPUTED_VALUE"""),7.21)</f>
        <v>7.21</v>
      </c>
      <c r="F3646" s="2"/>
      <c r="G3646" s="2"/>
      <c r="H3646" s="2"/>
      <c r="I3646" s="2"/>
    </row>
    <row r="3647">
      <c r="A3647" s="2">
        <f>IFERROR(__xludf.DUMMYFUNCTION("""COMPUTED_VALUE"""),43947.0)</f>
        <v>43947</v>
      </c>
      <c r="B3647" s="2" t="str">
        <f>IFERROR(__xludf.DUMMYFUNCTION("""COMPUTED_VALUE"""),"Finance")</f>
        <v>Finance</v>
      </c>
      <c r="C3647" s="2" t="str">
        <f>IFERROR(__xludf.DUMMYFUNCTION("""COMPUTED_VALUE"""),"Programming")</f>
        <v>Programming</v>
      </c>
      <c r="D3647" s="2" t="str">
        <f>IFERROR(__xludf.DUMMYFUNCTION("""COMPUTED_VALUE"""),"Oakmark Books")</f>
        <v>Oakmark Books</v>
      </c>
      <c r="E3647" s="2">
        <f>IFERROR(__xludf.DUMMYFUNCTION("""COMPUTED_VALUE"""),11.71)</f>
        <v>11.71</v>
      </c>
      <c r="F3647" s="2"/>
      <c r="G3647" s="2"/>
      <c r="H3647" s="2"/>
      <c r="I3647" s="2"/>
    </row>
    <row r="3648">
      <c r="A3648" s="2">
        <f>IFERROR(__xludf.DUMMYFUNCTION("""COMPUTED_VALUE"""),102271.0)</f>
        <v>102271</v>
      </c>
      <c r="B3648" s="2" t="str">
        <f>IFERROR(__xludf.DUMMYFUNCTION("""COMPUTED_VALUE"""),"Finance")</f>
        <v>Finance</v>
      </c>
      <c r="C3648" s="2" t="str">
        <f>IFERROR(__xludf.DUMMYFUNCTION("""COMPUTED_VALUE"""),"Programming")</f>
        <v>Programming</v>
      </c>
      <c r="D3648" s="2" t="str">
        <f>IFERROR(__xludf.DUMMYFUNCTION("""COMPUTED_VALUE"""),"Oakmark Books")</f>
        <v>Oakmark Books</v>
      </c>
      <c r="E3648" s="2">
        <f>IFERROR(__xludf.DUMMYFUNCTION("""COMPUTED_VALUE"""),7.18)</f>
        <v>7.18</v>
      </c>
      <c r="F3648" s="2"/>
      <c r="G3648" s="2"/>
      <c r="H3648" s="2"/>
      <c r="I3648" s="2"/>
    </row>
    <row r="3649">
      <c r="A3649" s="2">
        <f>IFERROR(__xludf.DUMMYFUNCTION("""COMPUTED_VALUE"""),103592.0)</f>
        <v>103592</v>
      </c>
      <c r="B3649" s="2" t="str">
        <f>IFERROR(__xludf.DUMMYFUNCTION("""COMPUTED_VALUE"""),"Finance")</f>
        <v>Finance</v>
      </c>
      <c r="C3649" s="2" t="str">
        <f>IFERROR(__xludf.DUMMYFUNCTION("""COMPUTED_VALUE"""),"Programming")</f>
        <v>Programming</v>
      </c>
      <c r="D3649" s="2" t="str">
        <f>IFERROR(__xludf.DUMMYFUNCTION("""COMPUTED_VALUE"""),"Oakmark Books")</f>
        <v>Oakmark Books</v>
      </c>
      <c r="E3649" s="2">
        <f>IFERROR(__xludf.DUMMYFUNCTION("""COMPUTED_VALUE"""),11.93)</f>
        <v>11.93</v>
      </c>
      <c r="F3649" s="2"/>
      <c r="G3649" s="2"/>
      <c r="H3649" s="2"/>
      <c r="I3649" s="2"/>
    </row>
    <row r="3650">
      <c r="A3650" s="2">
        <f>IFERROR(__xludf.DUMMYFUNCTION("""COMPUTED_VALUE"""),26652.0)</f>
        <v>26652</v>
      </c>
      <c r="B3650" s="2" t="str">
        <f>IFERROR(__xludf.DUMMYFUNCTION("""COMPUTED_VALUE"""),"Finance")</f>
        <v>Finance</v>
      </c>
      <c r="C3650" s="2" t="str">
        <f>IFERROR(__xludf.DUMMYFUNCTION("""COMPUTED_VALUE"""),"Programming")</f>
        <v>Programming</v>
      </c>
      <c r="D3650" s="2" t="str">
        <f>IFERROR(__xludf.DUMMYFUNCTION("""COMPUTED_VALUE"""),"Oakmark Books")</f>
        <v>Oakmark Books</v>
      </c>
      <c r="E3650" s="2">
        <f>IFERROR(__xludf.DUMMYFUNCTION("""COMPUTED_VALUE"""),8.5)</f>
        <v>8.5</v>
      </c>
      <c r="F3650" s="2"/>
      <c r="G3650" s="2"/>
      <c r="H3650" s="2"/>
      <c r="I3650" s="2"/>
    </row>
    <row r="3651">
      <c r="A3651" s="2">
        <f>IFERROR(__xludf.DUMMYFUNCTION("""COMPUTED_VALUE"""),43946.0)</f>
        <v>43946</v>
      </c>
      <c r="B3651" s="2" t="str">
        <f>IFERROR(__xludf.DUMMYFUNCTION("""COMPUTED_VALUE"""),"Finance")</f>
        <v>Finance</v>
      </c>
      <c r="C3651" s="2" t="str">
        <f>IFERROR(__xludf.DUMMYFUNCTION("""COMPUTED_VALUE"""),"Programming")</f>
        <v>Programming</v>
      </c>
      <c r="D3651" s="2" t="str">
        <f>IFERROR(__xludf.DUMMYFUNCTION("""COMPUTED_VALUE"""),"Oakmark Books")</f>
        <v>Oakmark Books</v>
      </c>
      <c r="E3651" s="2">
        <f>IFERROR(__xludf.DUMMYFUNCTION("""COMPUTED_VALUE"""),11.61)</f>
        <v>11.61</v>
      </c>
      <c r="F3651" s="2"/>
      <c r="G3651" s="2"/>
      <c r="H3651" s="2"/>
      <c r="I3651" s="2"/>
    </row>
    <row r="3652">
      <c r="A3652" s="2">
        <f>IFERROR(__xludf.DUMMYFUNCTION("""COMPUTED_VALUE"""),101301.0)</f>
        <v>101301</v>
      </c>
      <c r="B3652" s="2" t="str">
        <f>IFERROR(__xludf.DUMMYFUNCTION("""COMPUTED_VALUE"""),"Finance")</f>
        <v>Finance</v>
      </c>
      <c r="C3652" s="2" t="str">
        <f>IFERROR(__xludf.DUMMYFUNCTION("""COMPUTED_VALUE"""),"Programming")</f>
        <v>Programming</v>
      </c>
      <c r="D3652" s="2" t="str">
        <f>IFERROR(__xludf.DUMMYFUNCTION("""COMPUTED_VALUE"""),"Oakmark Books")</f>
        <v>Oakmark Books</v>
      </c>
      <c r="E3652" s="2">
        <f>IFERROR(__xludf.DUMMYFUNCTION("""COMPUTED_VALUE"""),12.24)</f>
        <v>12.24</v>
      </c>
      <c r="F3652" s="2"/>
      <c r="G3652" s="2"/>
      <c r="H3652" s="2"/>
      <c r="I3652" s="2"/>
    </row>
    <row r="3653">
      <c r="A3653" s="2">
        <f>IFERROR(__xludf.DUMMYFUNCTION("""COMPUTED_VALUE"""),108458.0)</f>
        <v>108458</v>
      </c>
      <c r="B3653" s="2" t="str">
        <f>IFERROR(__xludf.DUMMYFUNCTION("""COMPUTED_VALUE"""),"Finance")</f>
        <v>Finance</v>
      </c>
      <c r="C3653" s="2" t="str">
        <f>IFERROR(__xludf.DUMMYFUNCTION("""COMPUTED_VALUE"""),"Programming")</f>
        <v>Programming</v>
      </c>
      <c r="D3653" s="2" t="str">
        <f>IFERROR(__xludf.DUMMYFUNCTION("""COMPUTED_VALUE"""),"Oakmark Books")</f>
        <v>Oakmark Books</v>
      </c>
      <c r="E3653" s="2">
        <f>IFERROR(__xludf.DUMMYFUNCTION("""COMPUTED_VALUE"""),6.78)</f>
        <v>6.78</v>
      </c>
      <c r="F3653" s="2"/>
      <c r="G3653" s="2"/>
      <c r="H3653" s="2"/>
      <c r="I3653" s="2"/>
    </row>
    <row r="3654">
      <c r="A3654" s="2">
        <f>IFERROR(__xludf.DUMMYFUNCTION("""COMPUTED_VALUE"""),117736.0)</f>
        <v>117736</v>
      </c>
      <c r="B3654" s="2" t="str">
        <f>IFERROR(__xludf.DUMMYFUNCTION("""COMPUTED_VALUE"""),"Finance")</f>
        <v>Finance</v>
      </c>
      <c r="C3654" s="2" t="str">
        <f>IFERROR(__xludf.DUMMYFUNCTION("""COMPUTED_VALUE"""),"Programming")</f>
        <v>Programming</v>
      </c>
      <c r="D3654" s="2" t="str">
        <f>IFERROR(__xludf.DUMMYFUNCTION("""COMPUTED_VALUE"""),"Oakmark Books")</f>
        <v>Oakmark Books</v>
      </c>
      <c r="E3654" s="2">
        <f>IFERROR(__xludf.DUMMYFUNCTION("""COMPUTED_VALUE"""),5.12)</f>
        <v>5.12</v>
      </c>
      <c r="F3654" s="2"/>
      <c r="G3654" s="2"/>
      <c r="H3654" s="2"/>
      <c r="I3654" s="2"/>
    </row>
    <row r="3655">
      <c r="A3655" s="2">
        <f>IFERROR(__xludf.DUMMYFUNCTION("""COMPUTED_VALUE"""),49606.0)</f>
        <v>49606</v>
      </c>
      <c r="B3655" s="2" t="str">
        <f>IFERROR(__xludf.DUMMYFUNCTION("""COMPUTED_VALUE"""),"Finance")</f>
        <v>Finance</v>
      </c>
      <c r="C3655" s="2" t="str">
        <f>IFERROR(__xludf.DUMMYFUNCTION("""COMPUTED_VALUE"""),"Programming")</f>
        <v>Programming</v>
      </c>
      <c r="D3655" s="2" t="str">
        <f>IFERROR(__xludf.DUMMYFUNCTION("""COMPUTED_VALUE"""),"Rivermark Press")</f>
        <v>Rivermark Press</v>
      </c>
      <c r="E3655" s="2">
        <f>IFERROR(__xludf.DUMMYFUNCTION("""COMPUTED_VALUE"""),3.27)</f>
        <v>3.27</v>
      </c>
      <c r="F3655" s="2"/>
      <c r="G3655" s="2"/>
      <c r="H3655" s="2"/>
      <c r="I3655" s="2"/>
    </row>
    <row r="3656">
      <c r="A3656" s="2">
        <f>IFERROR(__xludf.DUMMYFUNCTION("""COMPUTED_VALUE"""),106297.0)</f>
        <v>106297</v>
      </c>
      <c r="B3656" s="2" t="str">
        <f>IFERROR(__xludf.DUMMYFUNCTION("""COMPUTED_VALUE"""),"Finance")</f>
        <v>Finance</v>
      </c>
      <c r="C3656" s="2" t="str">
        <f>IFERROR(__xludf.DUMMYFUNCTION("""COMPUTED_VALUE"""),"Programming")</f>
        <v>Programming</v>
      </c>
      <c r="D3656" s="2" t="str">
        <f>IFERROR(__xludf.DUMMYFUNCTION("""COMPUTED_VALUE"""),"Rivermark Press")</f>
        <v>Rivermark Press</v>
      </c>
      <c r="E3656" s="2">
        <f>IFERROR(__xludf.DUMMYFUNCTION("""COMPUTED_VALUE"""),3.61)</f>
        <v>3.61</v>
      </c>
      <c r="F3656" s="2"/>
      <c r="G3656" s="2"/>
      <c r="H3656" s="2"/>
      <c r="I3656" s="2"/>
    </row>
    <row r="3657">
      <c r="A3657" s="2">
        <f>IFERROR(__xludf.DUMMYFUNCTION("""COMPUTED_VALUE"""),15556.0)</f>
        <v>15556</v>
      </c>
      <c r="B3657" s="2" t="str">
        <f>IFERROR(__xludf.DUMMYFUNCTION("""COMPUTED_VALUE"""),"Finance")</f>
        <v>Finance</v>
      </c>
      <c r="C3657" s="2" t="str">
        <f>IFERROR(__xludf.DUMMYFUNCTION("""COMPUTED_VALUE"""),"Programming")</f>
        <v>Programming</v>
      </c>
      <c r="D3657" s="2" t="str">
        <f>IFERROR(__xludf.DUMMYFUNCTION("""COMPUTED_VALUE"""),"Rivermark Press")</f>
        <v>Rivermark Press</v>
      </c>
      <c r="E3657" s="2">
        <f>IFERROR(__xludf.DUMMYFUNCTION("""COMPUTED_VALUE"""),1.7)</f>
        <v>1.7</v>
      </c>
      <c r="F3657" s="2"/>
      <c r="G3657" s="2"/>
      <c r="H3657" s="2"/>
      <c r="I3657" s="2"/>
    </row>
    <row r="3658">
      <c r="A3658" s="2">
        <f>IFERROR(__xludf.DUMMYFUNCTION("""COMPUTED_VALUE"""),49605.0)</f>
        <v>49605</v>
      </c>
      <c r="B3658" s="2" t="str">
        <f>IFERROR(__xludf.DUMMYFUNCTION("""COMPUTED_VALUE"""),"Finance")</f>
        <v>Finance</v>
      </c>
      <c r="C3658" s="2" t="str">
        <f>IFERROR(__xludf.DUMMYFUNCTION("""COMPUTED_VALUE"""),"Programming")</f>
        <v>Programming</v>
      </c>
      <c r="D3658" s="2" t="str">
        <f>IFERROR(__xludf.DUMMYFUNCTION("""COMPUTED_VALUE"""),"Rivermark Press")</f>
        <v>Rivermark Press</v>
      </c>
      <c r="E3658" s="2">
        <f>IFERROR(__xludf.DUMMYFUNCTION("""COMPUTED_VALUE"""),3.1)</f>
        <v>3.1</v>
      </c>
      <c r="F3658" s="2"/>
      <c r="G3658" s="2"/>
      <c r="H3658" s="2"/>
      <c r="I3658" s="2"/>
    </row>
    <row r="3659">
      <c r="A3659" s="2">
        <f>IFERROR(__xludf.DUMMYFUNCTION("""COMPUTED_VALUE"""),102312.0)</f>
        <v>102312</v>
      </c>
      <c r="B3659" s="2" t="str">
        <f>IFERROR(__xludf.DUMMYFUNCTION("""COMPUTED_VALUE"""),"Finance")</f>
        <v>Finance</v>
      </c>
      <c r="C3659" s="2" t="str">
        <f>IFERROR(__xludf.DUMMYFUNCTION("""COMPUTED_VALUE"""),"Programming")</f>
        <v>Programming</v>
      </c>
      <c r="D3659" s="2" t="str">
        <f>IFERROR(__xludf.DUMMYFUNCTION("""COMPUTED_VALUE"""),"Ironmark Publishing")</f>
        <v>Ironmark Publishing</v>
      </c>
      <c r="E3659" s="2">
        <f>IFERROR(__xludf.DUMMYFUNCTION("""COMPUTED_VALUE"""),5.04)</f>
        <v>5.04</v>
      </c>
      <c r="F3659" s="2"/>
      <c r="G3659" s="2"/>
      <c r="H3659" s="2"/>
      <c r="I3659" s="2"/>
    </row>
    <row r="3660">
      <c r="A3660" s="2">
        <f>IFERROR(__xludf.DUMMYFUNCTION("""COMPUTED_VALUE"""),121125.0)</f>
        <v>121125</v>
      </c>
      <c r="B3660" s="2" t="str">
        <f>IFERROR(__xludf.DUMMYFUNCTION("""COMPUTED_VALUE"""),"Finance")</f>
        <v>Finance</v>
      </c>
      <c r="C3660" s="2" t="str">
        <f>IFERROR(__xludf.DUMMYFUNCTION("""COMPUTED_VALUE"""),"Programming")</f>
        <v>Programming</v>
      </c>
      <c r="D3660" s="2" t="str">
        <f>IFERROR(__xludf.DUMMYFUNCTION("""COMPUTED_VALUE"""),"Silvergate House")</f>
        <v>Silvergate House</v>
      </c>
      <c r="E3660" s="2">
        <f>IFERROR(__xludf.DUMMYFUNCTION("""COMPUTED_VALUE"""),5.18)</f>
        <v>5.18</v>
      </c>
      <c r="F3660" s="2"/>
      <c r="G3660" s="2"/>
      <c r="H3660" s="2"/>
      <c r="I3660" s="2"/>
    </row>
    <row r="3661">
      <c r="A3661" s="2">
        <f>IFERROR(__xludf.DUMMYFUNCTION("""COMPUTED_VALUE"""),106401.0)</f>
        <v>106401</v>
      </c>
      <c r="B3661" s="2" t="str">
        <f>IFERROR(__xludf.DUMMYFUNCTION("""COMPUTED_VALUE"""),"Finance")</f>
        <v>Finance</v>
      </c>
      <c r="C3661" s="2" t="str">
        <f>IFERROR(__xludf.DUMMYFUNCTION("""COMPUTED_VALUE"""),"Programming")</f>
        <v>Programming</v>
      </c>
      <c r="D3661" s="2" t="str">
        <f>IFERROR(__xludf.DUMMYFUNCTION("""COMPUTED_VALUE"""),"Silvergate House")</f>
        <v>Silvergate House</v>
      </c>
      <c r="E3661" s="2">
        <f>IFERROR(__xludf.DUMMYFUNCTION("""COMPUTED_VALUE"""),5.4)</f>
        <v>5.4</v>
      </c>
      <c r="F3661" s="2"/>
      <c r="G3661" s="2"/>
      <c r="H3661" s="2"/>
      <c r="I3661" s="2"/>
    </row>
    <row r="3662">
      <c r="A3662" s="2">
        <f>IFERROR(__xludf.DUMMYFUNCTION("""COMPUTED_VALUE"""),116834.0)</f>
        <v>116834</v>
      </c>
      <c r="B3662" s="2" t="str">
        <f>IFERROR(__xludf.DUMMYFUNCTION("""COMPUTED_VALUE"""),"Finance")</f>
        <v>Finance</v>
      </c>
      <c r="C3662" s="2" t="str">
        <f>IFERROR(__xludf.DUMMYFUNCTION("""COMPUTED_VALUE"""),"Programming")</f>
        <v>Programming</v>
      </c>
      <c r="D3662" s="2" t="str">
        <f>IFERROR(__xludf.DUMMYFUNCTION("""COMPUTED_VALUE"""),"Northgate House")</f>
        <v>Northgate House</v>
      </c>
      <c r="E3662" s="2">
        <f>IFERROR(__xludf.DUMMYFUNCTION("""COMPUTED_VALUE"""),3.0)</f>
        <v>3</v>
      </c>
      <c r="F3662" s="2"/>
      <c r="G3662" s="2"/>
      <c r="H3662" s="2"/>
      <c r="I3662" s="2"/>
    </row>
    <row r="3663">
      <c r="A3663" s="2">
        <f>IFERROR(__xludf.DUMMYFUNCTION("""COMPUTED_VALUE"""),1953.0)</f>
        <v>1953</v>
      </c>
      <c r="B3663" s="2" t="str">
        <f>IFERROR(__xludf.DUMMYFUNCTION("""COMPUTED_VALUE"""),"Finance")</f>
        <v>Finance</v>
      </c>
      <c r="C3663" s="2" t="str">
        <f>IFERROR(__xludf.DUMMYFUNCTION("""COMPUTED_VALUE"""),"Programming")</f>
        <v>Programming</v>
      </c>
      <c r="D3663" s="2" t="str">
        <f>IFERROR(__xludf.DUMMYFUNCTION("""COMPUTED_VALUE"""),"Northgate House")</f>
        <v>Northgate House</v>
      </c>
      <c r="E3663" s="2">
        <f>IFERROR(__xludf.DUMMYFUNCTION("""COMPUTED_VALUE"""),3.42)</f>
        <v>3.42</v>
      </c>
      <c r="F3663" s="2"/>
      <c r="G3663" s="2"/>
      <c r="H3663" s="2"/>
      <c r="I3663" s="2"/>
    </row>
    <row r="3664">
      <c r="A3664" s="2">
        <f>IFERROR(__xludf.DUMMYFUNCTION("""COMPUTED_VALUE"""),106305.0)</f>
        <v>106305</v>
      </c>
      <c r="B3664" s="2" t="str">
        <f>IFERROR(__xludf.DUMMYFUNCTION("""COMPUTED_VALUE"""),"Finance")</f>
        <v>Finance</v>
      </c>
      <c r="C3664" s="2" t="str">
        <f>IFERROR(__xludf.DUMMYFUNCTION("""COMPUTED_VALUE"""),"Programming")</f>
        <v>Programming</v>
      </c>
      <c r="D3664" s="2" t="str">
        <f>IFERROR(__xludf.DUMMYFUNCTION("""COMPUTED_VALUE"""),"Northgate House")</f>
        <v>Northgate House</v>
      </c>
      <c r="E3664" s="2">
        <f>IFERROR(__xludf.DUMMYFUNCTION("""COMPUTED_VALUE"""),4.24)</f>
        <v>4.24</v>
      </c>
      <c r="F3664" s="2"/>
      <c r="G3664" s="2"/>
      <c r="H3664" s="2"/>
      <c r="I3664" s="2"/>
    </row>
    <row r="3665">
      <c r="A3665" s="2">
        <f>IFERROR(__xludf.DUMMYFUNCTION("""COMPUTED_VALUE"""),108278.0)</f>
        <v>108278</v>
      </c>
      <c r="B3665" s="2" t="str">
        <f>IFERROR(__xludf.DUMMYFUNCTION("""COMPUTED_VALUE"""),"Finance")</f>
        <v>Finance</v>
      </c>
      <c r="C3665" s="2" t="str">
        <f>IFERROR(__xludf.DUMMYFUNCTION("""COMPUTED_VALUE"""),"Programming")</f>
        <v>Programming</v>
      </c>
      <c r="D3665" s="2" t="str">
        <f>IFERROR(__xludf.DUMMYFUNCTION("""COMPUTED_VALUE"""),"Northgate House")</f>
        <v>Northgate House</v>
      </c>
      <c r="E3665" s="2">
        <f>IFERROR(__xludf.DUMMYFUNCTION("""COMPUTED_VALUE"""),5.21)</f>
        <v>5.21</v>
      </c>
      <c r="F3665" s="2"/>
      <c r="G3665" s="2"/>
      <c r="H3665" s="2"/>
      <c r="I3665" s="2"/>
    </row>
    <row r="3666">
      <c r="A3666" s="2">
        <f>IFERROR(__xludf.DUMMYFUNCTION("""COMPUTED_VALUE"""),47660.0)</f>
        <v>47660</v>
      </c>
      <c r="B3666" s="2" t="str">
        <f>IFERROR(__xludf.DUMMYFUNCTION("""COMPUTED_VALUE"""),"Finance")</f>
        <v>Finance</v>
      </c>
      <c r="C3666" s="2" t="str">
        <f>IFERROR(__xludf.DUMMYFUNCTION("""COMPUTED_VALUE"""),"Programming")</f>
        <v>Programming</v>
      </c>
      <c r="D3666" s="2" t="str">
        <f>IFERROR(__xludf.DUMMYFUNCTION("""COMPUTED_VALUE"""),"Northgate House")</f>
        <v>Northgate House</v>
      </c>
      <c r="E3666" s="2">
        <f>IFERROR(__xludf.DUMMYFUNCTION("""COMPUTED_VALUE"""),4.64)</f>
        <v>4.64</v>
      </c>
      <c r="F3666" s="2"/>
      <c r="G3666" s="2"/>
      <c r="H3666" s="2"/>
      <c r="I3666" s="2"/>
    </row>
    <row r="3667">
      <c r="A3667" s="2">
        <f>IFERROR(__xludf.DUMMYFUNCTION("""COMPUTED_VALUE"""),47657.0)</f>
        <v>47657</v>
      </c>
      <c r="B3667" s="2" t="str">
        <f>IFERROR(__xludf.DUMMYFUNCTION("""COMPUTED_VALUE"""),"Finance")</f>
        <v>Finance</v>
      </c>
      <c r="C3667" s="2" t="str">
        <f>IFERROR(__xludf.DUMMYFUNCTION("""COMPUTED_VALUE"""),"Programming")</f>
        <v>Programming</v>
      </c>
      <c r="D3667" s="2" t="str">
        <f>IFERROR(__xludf.DUMMYFUNCTION("""COMPUTED_VALUE"""),"Northgate House")</f>
        <v>Northgate House</v>
      </c>
      <c r="E3667" s="2">
        <f>IFERROR(__xludf.DUMMYFUNCTION("""COMPUTED_VALUE"""),8.95)</f>
        <v>8.95</v>
      </c>
      <c r="F3667" s="2"/>
      <c r="G3667" s="2"/>
      <c r="H3667" s="2"/>
      <c r="I3667" s="2"/>
    </row>
    <row r="3668">
      <c r="A3668" s="2">
        <f>IFERROR(__xludf.DUMMYFUNCTION("""COMPUTED_VALUE"""),64185.0)</f>
        <v>64185</v>
      </c>
      <c r="B3668" s="2" t="str">
        <f>IFERROR(__xludf.DUMMYFUNCTION("""COMPUTED_VALUE"""),"Finance")</f>
        <v>Finance</v>
      </c>
      <c r="C3668" s="2" t="str">
        <f>IFERROR(__xludf.DUMMYFUNCTION("""COMPUTED_VALUE"""),"Programming")</f>
        <v>Programming</v>
      </c>
      <c r="D3668" s="2" t="str">
        <f>IFERROR(__xludf.DUMMYFUNCTION("""COMPUTED_VALUE"""),"Harborgate House")</f>
        <v>Harborgate House</v>
      </c>
      <c r="E3668" s="2">
        <f>IFERROR(__xludf.DUMMYFUNCTION("""COMPUTED_VALUE"""),10.92)</f>
        <v>10.92</v>
      </c>
      <c r="F3668" s="2"/>
      <c r="G3668" s="2"/>
      <c r="H3668" s="2"/>
      <c r="I3668" s="2"/>
    </row>
    <row r="3669">
      <c r="A3669" s="2">
        <f>IFERROR(__xludf.DUMMYFUNCTION("""COMPUTED_VALUE"""),108256.0)</f>
        <v>108256</v>
      </c>
      <c r="B3669" s="2" t="str">
        <f>IFERROR(__xludf.DUMMYFUNCTION("""COMPUTED_VALUE"""),"Finance")</f>
        <v>Finance</v>
      </c>
      <c r="C3669" s="2" t="str">
        <f>IFERROR(__xludf.DUMMYFUNCTION("""COMPUTED_VALUE"""),"Programming")</f>
        <v>Programming</v>
      </c>
      <c r="D3669" s="2" t="str">
        <f>IFERROR(__xludf.DUMMYFUNCTION("""COMPUTED_VALUE"""),"Harborgate House")</f>
        <v>Harborgate House</v>
      </c>
      <c r="E3669" s="2">
        <f>IFERROR(__xludf.DUMMYFUNCTION("""COMPUTED_VALUE"""),7.85)</f>
        <v>7.85</v>
      </c>
      <c r="F3669" s="2"/>
      <c r="G3669" s="2"/>
      <c r="H3669" s="2"/>
      <c r="I3669" s="2"/>
    </row>
    <row r="3670">
      <c r="A3670" s="2">
        <f>IFERROR(__xludf.DUMMYFUNCTION("""COMPUTED_VALUE"""),62597.0)</f>
        <v>62597</v>
      </c>
      <c r="B3670" s="2" t="str">
        <f>IFERROR(__xludf.DUMMYFUNCTION("""COMPUTED_VALUE"""),"Finance")</f>
        <v>Finance</v>
      </c>
      <c r="C3670" s="2" t="str">
        <f>IFERROR(__xludf.DUMMYFUNCTION("""COMPUTED_VALUE"""),"Programming")</f>
        <v>Programming</v>
      </c>
      <c r="D3670" s="2" t="str">
        <f>IFERROR(__xludf.DUMMYFUNCTION("""COMPUTED_VALUE"""),"Harborgate House")</f>
        <v>Harborgate House</v>
      </c>
      <c r="E3670" s="2">
        <f>IFERROR(__xludf.DUMMYFUNCTION("""COMPUTED_VALUE"""),10.82)</f>
        <v>10.82</v>
      </c>
      <c r="F3670" s="2"/>
      <c r="G3670" s="2"/>
      <c r="H3670" s="2"/>
      <c r="I3670" s="2"/>
    </row>
    <row r="3671">
      <c r="A3671" s="2">
        <f>IFERROR(__xludf.DUMMYFUNCTION("""COMPUTED_VALUE"""),102304.0)</f>
        <v>102304</v>
      </c>
      <c r="B3671" s="2" t="str">
        <f>IFERROR(__xludf.DUMMYFUNCTION("""COMPUTED_VALUE"""),"Finance")</f>
        <v>Finance</v>
      </c>
      <c r="C3671" s="2" t="str">
        <f>IFERROR(__xludf.DUMMYFUNCTION("""COMPUTED_VALUE"""),"Programming")</f>
        <v>Programming</v>
      </c>
      <c r="D3671" s="2" t="str">
        <f>IFERROR(__xludf.DUMMYFUNCTION("""COMPUTED_VALUE"""),"Harborgate House")</f>
        <v>Harborgate House</v>
      </c>
      <c r="E3671" s="2">
        <f>IFERROR(__xludf.DUMMYFUNCTION("""COMPUTED_VALUE"""),6.11)</f>
        <v>6.11</v>
      </c>
      <c r="F3671" s="2"/>
      <c r="G3671" s="2"/>
      <c r="H3671" s="2"/>
      <c r="I3671" s="2"/>
    </row>
    <row r="3672">
      <c r="A3672" s="2">
        <f>IFERROR(__xludf.DUMMYFUNCTION("""COMPUTED_VALUE"""),118242.0)</f>
        <v>118242</v>
      </c>
      <c r="B3672" s="2" t="str">
        <f>IFERROR(__xludf.DUMMYFUNCTION("""COMPUTED_VALUE"""),"Finance")</f>
        <v>Finance</v>
      </c>
      <c r="C3672" s="2" t="str">
        <f>IFERROR(__xludf.DUMMYFUNCTION("""COMPUTED_VALUE"""),"Programming")</f>
        <v>Programming</v>
      </c>
      <c r="D3672" s="2" t="str">
        <f>IFERROR(__xludf.DUMMYFUNCTION("""COMPUTED_VALUE"""),"Harborgate House")</f>
        <v>Harborgate House</v>
      </c>
      <c r="E3672" s="2">
        <f>IFERROR(__xludf.DUMMYFUNCTION("""COMPUTED_VALUE"""),12.27)</f>
        <v>12.27</v>
      </c>
      <c r="F3672" s="2"/>
      <c r="G3672" s="2"/>
      <c r="H3672" s="2"/>
      <c r="I3672" s="2"/>
    </row>
    <row r="3673">
      <c r="A3673" s="2">
        <f>IFERROR(__xludf.DUMMYFUNCTION("""COMPUTED_VALUE"""),121743.0)</f>
        <v>121743</v>
      </c>
      <c r="B3673" s="2" t="str">
        <f>IFERROR(__xludf.DUMMYFUNCTION("""COMPUTED_VALUE"""),"Finance")</f>
        <v>Finance</v>
      </c>
      <c r="C3673" s="2" t="str">
        <f>IFERROR(__xludf.DUMMYFUNCTION("""COMPUTED_VALUE"""),"Programming")</f>
        <v>Programming</v>
      </c>
      <c r="D3673" s="2" t="str">
        <f>IFERROR(__xludf.DUMMYFUNCTION("""COMPUTED_VALUE"""),"Harborgate House")</f>
        <v>Harborgate House</v>
      </c>
      <c r="E3673" s="2">
        <f>IFERROR(__xludf.DUMMYFUNCTION("""COMPUTED_VALUE"""),8.37)</f>
        <v>8.37</v>
      </c>
      <c r="F3673" s="2"/>
      <c r="G3673" s="2"/>
      <c r="H3673" s="2"/>
      <c r="I3673" s="2"/>
    </row>
    <row r="3674">
      <c r="A3674" s="2">
        <f>IFERROR(__xludf.DUMMYFUNCTION("""COMPUTED_VALUE"""),108257.0)</f>
        <v>108257</v>
      </c>
      <c r="B3674" s="2" t="str">
        <f>IFERROR(__xludf.DUMMYFUNCTION("""COMPUTED_VALUE"""),"Finance")</f>
        <v>Finance</v>
      </c>
      <c r="C3674" s="2" t="str">
        <f>IFERROR(__xludf.DUMMYFUNCTION("""COMPUTED_VALUE"""),"Programming")</f>
        <v>Programming</v>
      </c>
      <c r="D3674" s="2" t="str">
        <f>IFERROR(__xludf.DUMMYFUNCTION("""COMPUTED_VALUE"""),"Harborgate House")</f>
        <v>Harborgate House</v>
      </c>
      <c r="E3674" s="2">
        <f>IFERROR(__xludf.DUMMYFUNCTION("""COMPUTED_VALUE"""),7.76)</f>
        <v>7.76</v>
      </c>
      <c r="F3674" s="2"/>
      <c r="G3674" s="2"/>
      <c r="H3674" s="2"/>
      <c r="I3674" s="2"/>
    </row>
    <row r="3675">
      <c r="A3675" s="2">
        <f>IFERROR(__xludf.DUMMYFUNCTION("""COMPUTED_VALUE"""),117756.0)</f>
        <v>117756</v>
      </c>
      <c r="B3675" s="2" t="str">
        <f>IFERROR(__xludf.DUMMYFUNCTION("""COMPUTED_VALUE"""),"Finance")</f>
        <v>Finance</v>
      </c>
      <c r="C3675" s="2" t="str">
        <f>IFERROR(__xludf.DUMMYFUNCTION("""COMPUTED_VALUE"""),"Programming")</f>
        <v>Programming</v>
      </c>
      <c r="D3675" s="2" t="str">
        <f>IFERROR(__xludf.DUMMYFUNCTION("""COMPUTED_VALUE"""),"Harborgate House")</f>
        <v>Harborgate House</v>
      </c>
      <c r="E3675" s="2">
        <f>IFERROR(__xludf.DUMMYFUNCTION("""COMPUTED_VALUE"""),6.03)</f>
        <v>6.03</v>
      </c>
      <c r="F3675" s="2"/>
      <c r="G3675" s="2"/>
      <c r="H3675" s="2"/>
      <c r="I3675" s="2"/>
    </row>
    <row r="3676">
      <c r="A3676" s="2">
        <f>IFERROR(__xludf.DUMMYFUNCTION("""COMPUTED_VALUE"""),110334.0)</f>
        <v>110334</v>
      </c>
      <c r="B3676" s="2" t="str">
        <f>IFERROR(__xludf.DUMMYFUNCTION("""COMPUTED_VALUE"""),"Finance")</f>
        <v>Finance</v>
      </c>
      <c r="C3676" s="2" t="str">
        <f>IFERROR(__xludf.DUMMYFUNCTION("""COMPUTED_VALUE"""),"Programming")</f>
        <v>Programming</v>
      </c>
      <c r="D3676" s="2" t="str">
        <f>IFERROR(__xludf.DUMMYFUNCTION("""COMPUTED_VALUE"""),"Harborgate House")</f>
        <v>Harborgate House</v>
      </c>
      <c r="E3676" s="2">
        <f>IFERROR(__xludf.DUMMYFUNCTION("""COMPUTED_VALUE"""),7.78)</f>
        <v>7.78</v>
      </c>
      <c r="F3676" s="2"/>
      <c r="G3676" s="2"/>
      <c r="H3676" s="2"/>
      <c r="I3676" s="2"/>
    </row>
    <row r="3677">
      <c r="A3677" s="2">
        <f>IFERROR(__xludf.DUMMYFUNCTION("""COMPUTED_VALUE"""),102307.0)</f>
        <v>102307</v>
      </c>
      <c r="B3677" s="2" t="str">
        <f>IFERROR(__xludf.DUMMYFUNCTION("""COMPUTED_VALUE"""),"Finance")</f>
        <v>Finance</v>
      </c>
      <c r="C3677" s="2" t="str">
        <f>IFERROR(__xludf.DUMMYFUNCTION("""COMPUTED_VALUE"""),"Programming")</f>
        <v>Programming</v>
      </c>
      <c r="D3677" s="2" t="str">
        <f>IFERROR(__xludf.DUMMYFUNCTION("""COMPUTED_VALUE"""),"Harborgate House")</f>
        <v>Harborgate House</v>
      </c>
      <c r="E3677" s="2">
        <f>IFERROR(__xludf.DUMMYFUNCTION("""COMPUTED_VALUE"""),5.89)</f>
        <v>5.89</v>
      </c>
      <c r="F3677" s="2"/>
      <c r="G3677" s="2"/>
      <c r="H3677" s="2"/>
      <c r="I3677" s="2"/>
    </row>
    <row r="3678">
      <c r="A3678" s="2">
        <f>IFERROR(__xludf.DUMMYFUNCTION("""COMPUTED_VALUE"""),117750.0)</f>
        <v>117750</v>
      </c>
      <c r="B3678" s="2" t="str">
        <f>IFERROR(__xludf.DUMMYFUNCTION("""COMPUTED_VALUE"""),"Finance")</f>
        <v>Finance</v>
      </c>
      <c r="C3678" s="2" t="str">
        <f>IFERROR(__xludf.DUMMYFUNCTION("""COMPUTED_VALUE"""),"Programming")</f>
        <v>Programming</v>
      </c>
      <c r="D3678" s="2" t="str">
        <f>IFERROR(__xludf.DUMMYFUNCTION("""COMPUTED_VALUE"""),"Harborgate House")</f>
        <v>Harborgate House</v>
      </c>
      <c r="E3678" s="2">
        <f>IFERROR(__xludf.DUMMYFUNCTION("""COMPUTED_VALUE"""),5.4)</f>
        <v>5.4</v>
      </c>
      <c r="F3678" s="2"/>
      <c r="G3678" s="2"/>
      <c r="H3678" s="2"/>
      <c r="I3678" s="2"/>
    </row>
    <row r="3679">
      <c r="A3679" s="2">
        <f>IFERROR(__xludf.DUMMYFUNCTION("""COMPUTED_VALUE"""),181976.0)</f>
        <v>181976</v>
      </c>
      <c r="B3679" s="2" t="str">
        <f>IFERROR(__xludf.DUMMYFUNCTION("""COMPUTED_VALUE"""),"Finance")</f>
        <v>Finance</v>
      </c>
      <c r="C3679" s="2" t="str">
        <f>IFERROR(__xludf.DUMMYFUNCTION("""COMPUTED_VALUE"""),"Programming")</f>
        <v>Programming</v>
      </c>
      <c r="D3679" s="2" t="str">
        <f>IFERROR(__xludf.DUMMYFUNCTION("""COMPUTED_VALUE"""),"Harborgate House")</f>
        <v>Harborgate House</v>
      </c>
      <c r="E3679" s="2">
        <f>IFERROR(__xludf.DUMMYFUNCTION("""COMPUTED_VALUE"""),19.32)</f>
        <v>19.32</v>
      </c>
      <c r="F3679" s="2"/>
      <c r="G3679" s="2"/>
      <c r="H3679" s="2"/>
      <c r="I3679" s="2"/>
    </row>
    <row r="3680">
      <c r="A3680" s="2">
        <f>IFERROR(__xludf.DUMMYFUNCTION("""COMPUTED_VALUE"""),108258.0)</f>
        <v>108258</v>
      </c>
      <c r="B3680" s="2" t="str">
        <f>IFERROR(__xludf.DUMMYFUNCTION("""COMPUTED_VALUE"""),"Finance")</f>
        <v>Finance</v>
      </c>
      <c r="C3680" s="2" t="str">
        <f>IFERROR(__xludf.DUMMYFUNCTION("""COMPUTED_VALUE"""),"Programming")</f>
        <v>Programming</v>
      </c>
      <c r="D3680" s="2" t="str">
        <f>IFERROR(__xludf.DUMMYFUNCTION("""COMPUTED_VALUE"""),"Cedargate House")</f>
        <v>Cedargate House</v>
      </c>
      <c r="E3680" s="2">
        <f>IFERROR(__xludf.DUMMYFUNCTION("""COMPUTED_VALUE"""),7.8)</f>
        <v>7.8</v>
      </c>
      <c r="F3680" s="2"/>
      <c r="G3680" s="2"/>
      <c r="H3680" s="2"/>
      <c r="I3680" s="2"/>
    </row>
    <row r="3681">
      <c r="A3681" s="2">
        <f>IFERROR(__xludf.DUMMYFUNCTION("""COMPUTED_VALUE"""),110241.0)</f>
        <v>110241</v>
      </c>
      <c r="B3681" s="2" t="str">
        <f>IFERROR(__xludf.DUMMYFUNCTION("""COMPUTED_VALUE"""),"Finance")</f>
        <v>Finance</v>
      </c>
      <c r="C3681" s="2" t="str">
        <f>IFERROR(__xludf.DUMMYFUNCTION("""COMPUTED_VALUE"""),"Programming")</f>
        <v>Programming</v>
      </c>
      <c r="D3681" s="2" t="str">
        <f>IFERROR(__xludf.DUMMYFUNCTION("""COMPUTED_VALUE"""),"Cedargate House")</f>
        <v>Cedargate House</v>
      </c>
      <c r="E3681" s="2">
        <f>IFERROR(__xludf.DUMMYFUNCTION("""COMPUTED_VALUE"""),5.94)</f>
        <v>5.94</v>
      </c>
      <c r="F3681" s="2"/>
      <c r="G3681" s="2"/>
      <c r="H3681" s="2"/>
      <c r="I3681" s="2"/>
    </row>
    <row r="3682">
      <c r="A3682" s="2">
        <f>IFERROR(__xludf.DUMMYFUNCTION("""COMPUTED_VALUE"""),110337.0)</f>
        <v>110337</v>
      </c>
      <c r="B3682" s="2" t="str">
        <f>IFERROR(__xludf.DUMMYFUNCTION("""COMPUTED_VALUE"""),"Finance")</f>
        <v>Finance</v>
      </c>
      <c r="C3682" s="2" t="str">
        <f>IFERROR(__xludf.DUMMYFUNCTION("""COMPUTED_VALUE"""),"Programming")</f>
        <v>Programming</v>
      </c>
      <c r="D3682" s="2" t="str">
        <f>IFERROR(__xludf.DUMMYFUNCTION("""COMPUTED_VALUE"""),"Cedargate House")</f>
        <v>Cedargate House</v>
      </c>
      <c r="E3682" s="2">
        <f>IFERROR(__xludf.DUMMYFUNCTION("""COMPUTED_VALUE"""),7.86)</f>
        <v>7.86</v>
      </c>
      <c r="F3682" s="2"/>
      <c r="G3682" s="2"/>
      <c r="H3682" s="2"/>
      <c r="I3682" s="2"/>
    </row>
    <row r="3683">
      <c r="A3683" s="2">
        <f>IFERROR(__xludf.DUMMYFUNCTION("""COMPUTED_VALUE"""),118243.0)</f>
        <v>118243</v>
      </c>
      <c r="B3683" s="2" t="str">
        <f>IFERROR(__xludf.DUMMYFUNCTION("""COMPUTED_VALUE"""),"Finance")</f>
        <v>Finance</v>
      </c>
      <c r="C3683" s="2" t="str">
        <f>IFERROR(__xludf.DUMMYFUNCTION("""COMPUTED_VALUE"""),"Programming")</f>
        <v>Programming</v>
      </c>
      <c r="D3683" s="2" t="str">
        <f>IFERROR(__xludf.DUMMYFUNCTION("""COMPUTED_VALUE"""),"Cedargate House")</f>
        <v>Cedargate House</v>
      </c>
      <c r="E3683" s="2">
        <f>IFERROR(__xludf.DUMMYFUNCTION("""COMPUTED_VALUE"""),12.01)</f>
        <v>12.01</v>
      </c>
      <c r="F3683" s="2"/>
      <c r="G3683" s="2"/>
      <c r="H3683" s="2"/>
      <c r="I3683" s="2"/>
    </row>
    <row r="3684">
      <c r="A3684" s="2">
        <f>IFERROR(__xludf.DUMMYFUNCTION("""COMPUTED_VALUE"""),102305.0)</f>
        <v>102305</v>
      </c>
      <c r="B3684" s="2" t="str">
        <f>IFERROR(__xludf.DUMMYFUNCTION("""COMPUTED_VALUE"""),"Finance")</f>
        <v>Finance</v>
      </c>
      <c r="C3684" s="2" t="str">
        <f>IFERROR(__xludf.DUMMYFUNCTION("""COMPUTED_VALUE"""),"Programming")</f>
        <v>Programming</v>
      </c>
      <c r="D3684" s="2" t="str">
        <f>IFERROR(__xludf.DUMMYFUNCTION("""COMPUTED_VALUE"""),"Cedargate House")</f>
        <v>Cedargate House</v>
      </c>
      <c r="E3684" s="2">
        <f>IFERROR(__xludf.DUMMYFUNCTION("""COMPUTED_VALUE"""),10.65)</f>
        <v>10.65</v>
      </c>
      <c r="F3684" s="2"/>
      <c r="G3684" s="2"/>
      <c r="H3684" s="2"/>
      <c r="I3684" s="2"/>
    </row>
    <row r="3685">
      <c r="A3685" s="2">
        <f>IFERROR(__xludf.DUMMYFUNCTION("""COMPUTED_VALUE"""),110342.0)</f>
        <v>110342</v>
      </c>
      <c r="B3685" s="2" t="str">
        <f>IFERROR(__xludf.DUMMYFUNCTION("""COMPUTED_VALUE"""),"Finance")</f>
        <v>Finance</v>
      </c>
      <c r="C3685" s="2" t="str">
        <f>IFERROR(__xludf.DUMMYFUNCTION("""COMPUTED_VALUE"""),"Programming")</f>
        <v>Programming</v>
      </c>
      <c r="D3685" s="2" t="str">
        <f>IFERROR(__xludf.DUMMYFUNCTION("""COMPUTED_VALUE"""),"Cedargate House")</f>
        <v>Cedargate House</v>
      </c>
      <c r="E3685" s="2">
        <f>IFERROR(__xludf.DUMMYFUNCTION("""COMPUTED_VALUE"""),7.75)</f>
        <v>7.75</v>
      </c>
      <c r="F3685" s="2"/>
      <c r="G3685" s="2"/>
      <c r="H3685" s="2"/>
      <c r="I3685" s="2"/>
    </row>
    <row r="3686">
      <c r="A3686" s="2">
        <f>IFERROR(__xludf.DUMMYFUNCTION("""COMPUTED_VALUE"""),102306.0)</f>
        <v>102306</v>
      </c>
      <c r="B3686" s="2" t="str">
        <f>IFERROR(__xludf.DUMMYFUNCTION("""COMPUTED_VALUE"""),"Finance")</f>
        <v>Finance</v>
      </c>
      <c r="C3686" s="2" t="str">
        <f>IFERROR(__xludf.DUMMYFUNCTION("""COMPUTED_VALUE"""),"Programming")</f>
        <v>Programming</v>
      </c>
      <c r="D3686" s="2" t="str">
        <f>IFERROR(__xludf.DUMMYFUNCTION("""COMPUTED_VALUE"""),"Cedargate House")</f>
        <v>Cedargate House</v>
      </c>
      <c r="E3686" s="2">
        <f>IFERROR(__xludf.DUMMYFUNCTION("""COMPUTED_VALUE"""),5.79)</f>
        <v>5.79</v>
      </c>
      <c r="F3686" s="2"/>
      <c r="G3686" s="2"/>
      <c r="H3686" s="2"/>
      <c r="I3686" s="2"/>
    </row>
    <row r="3687">
      <c r="A3687" s="2">
        <f>IFERROR(__xludf.DUMMYFUNCTION("""COMPUTED_VALUE"""),194045.0)</f>
        <v>194045</v>
      </c>
      <c r="B3687" s="2" t="str">
        <f>IFERROR(__xludf.DUMMYFUNCTION("""COMPUTED_VALUE"""),"Law")</f>
        <v>Law</v>
      </c>
      <c r="C3687" s="2" t="str">
        <f>IFERROR(__xludf.DUMMYFUNCTION("""COMPUTED_VALUE"""),"Web Development")</f>
        <v>Web Development</v>
      </c>
      <c r="D3687" s="2" t="str">
        <f>IFERROR(__xludf.DUMMYFUNCTION("""COMPUTED_VALUE"""),"Brightgate House")</f>
        <v>Brightgate House</v>
      </c>
      <c r="E3687" s="2">
        <f>IFERROR(__xludf.DUMMYFUNCTION("""COMPUTED_VALUE"""),1.84)</f>
        <v>1.84</v>
      </c>
      <c r="F3687" s="2"/>
      <c r="G3687" s="2"/>
      <c r="H3687" s="2"/>
      <c r="I3687" s="2"/>
    </row>
    <row r="3688">
      <c r="A3688" s="2">
        <f>IFERROR(__xludf.DUMMYFUNCTION("""COMPUTED_VALUE"""),96009.0)</f>
        <v>96009</v>
      </c>
      <c r="B3688" s="2" t="str">
        <f>IFERROR(__xludf.DUMMYFUNCTION("""COMPUTED_VALUE"""),"Law")</f>
        <v>Law</v>
      </c>
      <c r="C3688" s="2" t="str">
        <f>IFERROR(__xludf.DUMMYFUNCTION("""COMPUTED_VALUE"""),"Web Development")</f>
        <v>Web Development</v>
      </c>
      <c r="D3688" s="2" t="str">
        <f>IFERROR(__xludf.DUMMYFUNCTION("""COMPUTED_VALUE"""),"Brightgate House")</f>
        <v>Brightgate House</v>
      </c>
      <c r="E3688" s="2">
        <f>IFERROR(__xludf.DUMMYFUNCTION("""COMPUTED_VALUE"""),2.4)</f>
        <v>2.4</v>
      </c>
      <c r="F3688" s="2"/>
      <c r="G3688" s="2"/>
      <c r="H3688" s="2"/>
      <c r="I3688" s="2"/>
    </row>
    <row r="3689">
      <c r="A3689" s="2">
        <f>IFERROR(__xludf.DUMMYFUNCTION("""COMPUTED_VALUE"""),104087.0)</f>
        <v>104087</v>
      </c>
      <c r="B3689" s="2" t="str">
        <f>IFERROR(__xludf.DUMMYFUNCTION("""COMPUTED_VALUE"""),"Law")</f>
        <v>Law</v>
      </c>
      <c r="C3689" s="2" t="str">
        <f>IFERROR(__xludf.DUMMYFUNCTION("""COMPUTED_VALUE"""),"Web Development")</f>
        <v>Web Development</v>
      </c>
      <c r="D3689" s="2" t="str">
        <f>IFERROR(__xludf.DUMMYFUNCTION("""COMPUTED_VALUE"""),"Oakgate House")</f>
        <v>Oakgate House</v>
      </c>
      <c r="E3689" s="2">
        <f>IFERROR(__xludf.DUMMYFUNCTION("""COMPUTED_VALUE"""),1.79)</f>
        <v>1.79</v>
      </c>
      <c r="F3689" s="2"/>
      <c r="G3689" s="2"/>
      <c r="H3689" s="2"/>
      <c r="I3689" s="2"/>
    </row>
    <row r="3690">
      <c r="A3690" s="2">
        <f>IFERROR(__xludf.DUMMYFUNCTION("""COMPUTED_VALUE"""),77448.0)</f>
        <v>77448</v>
      </c>
      <c r="B3690" s="2" t="str">
        <f>IFERROR(__xludf.DUMMYFUNCTION("""COMPUTED_VALUE"""),"Law")</f>
        <v>Law</v>
      </c>
      <c r="C3690" s="2" t="str">
        <f>IFERROR(__xludf.DUMMYFUNCTION("""COMPUTED_VALUE"""),"Web Development")</f>
        <v>Web Development</v>
      </c>
      <c r="D3690" s="2" t="str">
        <f>IFERROR(__xludf.DUMMYFUNCTION("""COMPUTED_VALUE"""),"Oakgate House")</f>
        <v>Oakgate House</v>
      </c>
      <c r="E3690" s="2">
        <f>IFERROR(__xludf.DUMMYFUNCTION("""COMPUTED_VALUE"""),0.79)</f>
        <v>0.79</v>
      </c>
      <c r="F3690" s="2"/>
      <c r="G3690" s="2"/>
      <c r="H3690" s="2"/>
      <c r="I3690" s="2"/>
    </row>
    <row r="3691">
      <c r="A3691" s="2">
        <f>IFERROR(__xludf.DUMMYFUNCTION("""COMPUTED_VALUE"""),5801.0)</f>
        <v>5801</v>
      </c>
      <c r="B3691" s="2" t="str">
        <f>IFERROR(__xludf.DUMMYFUNCTION("""COMPUTED_VALUE"""),"Law")</f>
        <v>Law</v>
      </c>
      <c r="C3691" s="2" t="str">
        <f>IFERROR(__xludf.DUMMYFUNCTION("""COMPUTED_VALUE"""),"Web Development")</f>
        <v>Web Development</v>
      </c>
      <c r="D3691" s="2" t="str">
        <f>IFERROR(__xludf.DUMMYFUNCTION("""COMPUTED_VALUE"""),"Oakgate House")</f>
        <v>Oakgate House</v>
      </c>
      <c r="E3691" s="2">
        <f>IFERROR(__xludf.DUMMYFUNCTION("""COMPUTED_VALUE"""),0.33)</f>
        <v>0.33</v>
      </c>
      <c r="F3691" s="2"/>
      <c r="G3691" s="2"/>
      <c r="H3691" s="2"/>
      <c r="I3691" s="2"/>
    </row>
    <row r="3692">
      <c r="A3692" s="2">
        <f>IFERROR(__xludf.DUMMYFUNCTION("""COMPUTED_VALUE"""),90650.0)</f>
        <v>90650</v>
      </c>
      <c r="B3692" s="2" t="str">
        <f>IFERROR(__xludf.DUMMYFUNCTION("""COMPUTED_VALUE"""),"Law")</f>
        <v>Law</v>
      </c>
      <c r="C3692" s="2" t="str">
        <f>IFERROR(__xludf.DUMMYFUNCTION("""COMPUTED_VALUE"""),"Web Development")</f>
        <v>Web Development</v>
      </c>
      <c r="D3692" s="2" t="str">
        <f>IFERROR(__xludf.DUMMYFUNCTION("""COMPUTED_VALUE"""),"Rivergate House")</f>
        <v>Rivergate House</v>
      </c>
      <c r="E3692" s="2">
        <f>IFERROR(__xludf.DUMMYFUNCTION("""COMPUTED_VALUE"""),6.96)</f>
        <v>6.96</v>
      </c>
      <c r="F3692" s="2"/>
      <c r="G3692" s="2"/>
      <c r="H3692" s="2"/>
      <c r="I3692" s="2"/>
    </row>
    <row r="3693">
      <c r="A3693" s="2">
        <f>IFERROR(__xludf.DUMMYFUNCTION("""COMPUTED_VALUE"""),6395.0)</f>
        <v>6395</v>
      </c>
      <c r="B3693" s="2" t="str">
        <f>IFERROR(__xludf.DUMMYFUNCTION("""COMPUTED_VALUE"""),"Law")</f>
        <v>Law</v>
      </c>
      <c r="C3693" s="2" t="str">
        <f>IFERROR(__xludf.DUMMYFUNCTION("""COMPUTED_VALUE"""),"Web Development")</f>
        <v>Web Development</v>
      </c>
      <c r="D3693" s="2" t="str">
        <f>IFERROR(__xludf.DUMMYFUNCTION("""COMPUTED_VALUE"""),"Rivergate House")</f>
        <v>Rivergate House</v>
      </c>
      <c r="E3693" s="2">
        <f>IFERROR(__xludf.DUMMYFUNCTION("""COMPUTED_VALUE"""),3.8)</f>
        <v>3.8</v>
      </c>
      <c r="F3693" s="2"/>
      <c r="G3693" s="2"/>
      <c r="H3693" s="2"/>
      <c r="I3693" s="2"/>
    </row>
    <row r="3694">
      <c r="A3694" s="2">
        <f>IFERROR(__xludf.DUMMYFUNCTION("""COMPUTED_VALUE"""),77444.0)</f>
        <v>77444</v>
      </c>
      <c r="B3694" s="2" t="str">
        <f>IFERROR(__xludf.DUMMYFUNCTION("""COMPUTED_VALUE"""),"Law")</f>
        <v>Law</v>
      </c>
      <c r="C3694" s="2" t="str">
        <f>IFERROR(__xludf.DUMMYFUNCTION("""COMPUTED_VALUE"""),"Web Development")</f>
        <v>Web Development</v>
      </c>
      <c r="D3694" s="2" t="str">
        <f>IFERROR(__xludf.DUMMYFUNCTION("""COMPUTED_VALUE"""),"Rivergate House")</f>
        <v>Rivergate House</v>
      </c>
      <c r="E3694" s="2">
        <f>IFERROR(__xludf.DUMMYFUNCTION("""COMPUTED_VALUE"""),1.38)</f>
        <v>1.38</v>
      </c>
      <c r="F3694" s="2"/>
      <c r="G3694" s="2"/>
      <c r="H3694" s="2"/>
      <c r="I3694" s="2"/>
    </row>
    <row r="3695">
      <c r="A3695" s="2">
        <f>IFERROR(__xludf.DUMMYFUNCTION("""COMPUTED_VALUE"""),20389.0)</f>
        <v>20389</v>
      </c>
      <c r="B3695" s="2" t="str">
        <f>IFERROR(__xludf.DUMMYFUNCTION("""COMPUTED_VALUE"""),"Law")</f>
        <v>Law</v>
      </c>
      <c r="C3695" s="2" t="str">
        <f>IFERROR(__xludf.DUMMYFUNCTION("""COMPUTED_VALUE"""),"Web Development")</f>
        <v>Web Development</v>
      </c>
      <c r="D3695" s="2" t="str">
        <f>IFERROR(__xludf.DUMMYFUNCTION("""COMPUTED_VALUE"""),"Rivergate House")</f>
        <v>Rivergate House</v>
      </c>
      <c r="E3695" s="2">
        <f>IFERROR(__xludf.DUMMYFUNCTION("""COMPUTED_VALUE"""),1.6)</f>
        <v>1.6</v>
      </c>
      <c r="F3695" s="2"/>
      <c r="G3695" s="2"/>
      <c r="H3695" s="2"/>
      <c r="I3695" s="2"/>
    </row>
    <row r="3696">
      <c r="A3696" s="2">
        <f>IFERROR(__xludf.DUMMYFUNCTION("""COMPUTED_VALUE"""),68293.0)</f>
        <v>68293</v>
      </c>
      <c r="B3696" s="2" t="str">
        <f>IFERROR(__xludf.DUMMYFUNCTION("""COMPUTED_VALUE"""),"Law")</f>
        <v>Law</v>
      </c>
      <c r="C3696" s="2" t="str">
        <f>IFERROR(__xludf.DUMMYFUNCTION("""COMPUTED_VALUE"""),"Web Development")</f>
        <v>Web Development</v>
      </c>
      <c r="D3696" s="2" t="str">
        <f>IFERROR(__xludf.DUMMYFUNCTION("""COMPUTED_VALUE"""),"Rivergate House")</f>
        <v>Rivergate House</v>
      </c>
      <c r="E3696" s="2">
        <f>IFERROR(__xludf.DUMMYFUNCTION("""COMPUTED_VALUE"""),0.75)</f>
        <v>0.75</v>
      </c>
      <c r="F3696" s="2"/>
      <c r="G3696" s="2"/>
      <c r="H3696" s="2"/>
      <c r="I3696" s="2"/>
    </row>
    <row r="3697">
      <c r="A3697" s="2">
        <f>IFERROR(__xludf.DUMMYFUNCTION("""COMPUTED_VALUE"""),90982.0)</f>
        <v>90982</v>
      </c>
      <c r="B3697" s="2" t="str">
        <f>IFERROR(__xludf.DUMMYFUNCTION("""COMPUTED_VALUE"""),"Law")</f>
        <v>Law</v>
      </c>
      <c r="C3697" s="2" t="str">
        <f>IFERROR(__xludf.DUMMYFUNCTION("""COMPUTED_VALUE"""),"Web Development")</f>
        <v>Web Development</v>
      </c>
      <c r="D3697" s="2" t="str">
        <f>IFERROR(__xludf.DUMMYFUNCTION("""COMPUTED_VALUE"""),"Rivergate House")</f>
        <v>Rivergate House</v>
      </c>
      <c r="E3697" s="2">
        <f>IFERROR(__xludf.DUMMYFUNCTION("""COMPUTED_VALUE"""),1.69)</f>
        <v>1.69</v>
      </c>
      <c r="F3697" s="2"/>
      <c r="G3697" s="2"/>
      <c r="H3697" s="2"/>
      <c r="I3697" s="2"/>
    </row>
    <row r="3698">
      <c r="A3698" s="2">
        <f>IFERROR(__xludf.DUMMYFUNCTION("""COMPUTED_VALUE"""),48279.0)</f>
        <v>48279</v>
      </c>
      <c r="B3698" s="2" t="str">
        <f>IFERROR(__xludf.DUMMYFUNCTION("""COMPUTED_VALUE"""),"Law")</f>
        <v>Law</v>
      </c>
      <c r="C3698" s="2" t="str">
        <f>IFERROR(__xludf.DUMMYFUNCTION("""COMPUTED_VALUE"""),"Web Development")</f>
        <v>Web Development</v>
      </c>
      <c r="D3698" s="2" t="str">
        <f>IFERROR(__xludf.DUMMYFUNCTION("""COMPUTED_VALUE"""),"Rivergate House")</f>
        <v>Rivergate House</v>
      </c>
      <c r="E3698" s="2">
        <f>IFERROR(__xludf.DUMMYFUNCTION("""COMPUTED_VALUE"""),1.28)</f>
        <v>1.28</v>
      </c>
      <c r="F3698" s="2"/>
      <c r="G3698" s="2"/>
      <c r="H3698" s="2"/>
      <c r="I3698" s="2"/>
    </row>
    <row r="3699">
      <c r="A3699" s="2">
        <f>IFERROR(__xludf.DUMMYFUNCTION("""COMPUTED_VALUE"""),77447.0)</f>
        <v>77447</v>
      </c>
      <c r="B3699" s="2" t="str">
        <f>IFERROR(__xludf.DUMMYFUNCTION("""COMPUTED_VALUE"""),"Law")</f>
        <v>Law</v>
      </c>
      <c r="C3699" s="2" t="str">
        <f>IFERROR(__xludf.DUMMYFUNCTION("""COMPUTED_VALUE"""),"Web Development")</f>
        <v>Web Development</v>
      </c>
      <c r="D3699" s="2" t="str">
        <f>IFERROR(__xludf.DUMMYFUNCTION("""COMPUTED_VALUE"""),"Rivergate House")</f>
        <v>Rivergate House</v>
      </c>
      <c r="E3699" s="2">
        <f>IFERROR(__xludf.DUMMYFUNCTION("""COMPUTED_VALUE"""),6.88)</f>
        <v>6.88</v>
      </c>
      <c r="F3699" s="2"/>
      <c r="G3699" s="2"/>
      <c r="H3699" s="2"/>
      <c r="I3699" s="2"/>
    </row>
    <row r="3700">
      <c r="A3700" s="2">
        <f>IFERROR(__xludf.DUMMYFUNCTION("""COMPUTED_VALUE"""),5710.0)</f>
        <v>5710</v>
      </c>
      <c r="B3700" s="2" t="str">
        <f>IFERROR(__xludf.DUMMYFUNCTION("""COMPUTED_VALUE"""),"Law")</f>
        <v>Law</v>
      </c>
      <c r="C3700" s="2" t="str">
        <f>IFERROR(__xludf.DUMMYFUNCTION("""COMPUTED_VALUE"""),"Web Development")</f>
        <v>Web Development</v>
      </c>
      <c r="D3700" s="2" t="str">
        <f>IFERROR(__xludf.DUMMYFUNCTION("""COMPUTED_VALUE"""),"Irongate House")</f>
        <v>Irongate House</v>
      </c>
      <c r="E3700" s="2">
        <f>IFERROR(__xludf.DUMMYFUNCTION("""COMPUTED_VALUE"""),1.6)</f>
        <v>1.6</v>
      </c>
      <c r="F3700" s="2"/>
      <c r="G3700" s="2"/>
      <c r="H3700" s="2"/>
      <c r="I3700" s="2"/>
    </row>
    <row r="3701">
      <c r="A3701" s="2">
        <f>IFERROR(__xludf.DUMMYFUNCTION("""COMPUTED_VALUE"""),90906.0)</f>
        <v>90906</v>
      </c>
      <c r="B3701" s="2" t="str">
        <f>IFERROR(__xludf.DUMMYFUNCTION("""COMPUTED_VALUE"""),"Law")</f>
        <v>Law</v>
      </c>
      <c r="C3701" s="2" t="str">
        <f>IFERROR(__xludf.DUMMYFUNCTION("""COMPUTED_VALUE"""),"Web Development")</f>
        <v>Web Development</v>
      </c>
      <c r="D3701" s="2" t="str">
        <f>IFERROR(__xludf.DUMMYFUNCTION("""COMPUTED_VALUE"""),"Irongate House")</f>
        <v>Irongate House</v>
      </c>
      <c r="E3701" s="2">
        <f>IFERROR(__xludf.DUMMYFUNCTION("""COMPUTED_VALUE"""),1.71)</f>
        <v>1.71</v>
      </c>
      <c r="F3701" s="2"/>
      <c r="G3701" s="2"/>
      <c r="H3701" s="2"/>
      <c r="I3701" s="2"/>
    </row>
    <row r="3702">
      <c r="A3702" s="2">
        <f>IFERROR(__xludf.DUMMYFUNCTION("""COMPUTED_VALUE"""),90883.0)</f>
        <v>90883</v>
      </c>
      <c r="B3702" s="2" t="str">
        <f>IFERROR(__xludf.DUMMYFUNCTION("""COMPUTED_VALUE"""),"Law")</f>
        <v>Law</v>
      </c>
      <c r="C3702" s="2" t="str">
        <f>IFERROR(__xludf.DUMMYFUNCTION("""COMPUTED_VALUE"""),"Web Development")</f>
        <v>Web Development</v>
      </c>
      <c r="D3702" s="2" t="str">
        <f>IFERROR(__xludf.DUMMYFUNCTION("""COMPUTED_VALUE"""),"Irongate House")</f>
        <v>Irongate House</v>
      </c>
      <c r="E3702" s="2">
        <f>IFERROR(__xludf.DUMMYFUNCTION("""COMPUTED_VALUE"""),1.97)</f>
        <v>1.97</v>
      </c>
      <c r="F3702" s="2"/>
      <c r="G3702" s="2"/>
      <c r="H3702" s="2"/>
      <c r="I3702" s="2"/>
    </row>
    <row r="3703">
      <c r="A3703" s="2">
        <f>IFERROR(__xludf.DUMMYFUNCTION("""COMPUTED_VALUE"""),113093.0)</f>
        <v>113093</v>
      </c>
      <c r="B3703" s="2" t="str">
        <f>IFERROR(__xludf.DUMMYFUNCTION("""COMPUTED_VALUE"""),"Law")</f>
        <v>Law</v>
      </c>
      <c r="C3703" s="2" t="str">
        <f>IFERROR(__xludf.DUMMYFUNCTION("""COMPUTED_VALUE"""),"Web Development")</f>
        <v>Web Development</v>
      </c>
      <c r="D3703" s="2" t="str">
        <f>IFERROR(__xludf.DUMMYFUNCTION("""COMPUTED_VALUE"""),"Irongate House")</f>
        <v>Irongate House</v>
      </c>
      <c r="E3703" s="2">
        <f>IFERROR(__xludf.DUMMYFUNCTION("""COMPUTED_VALUE"""),1.18)</f>
        <v>1.18</v>
      </c>
      <c r="F3703" s="2"/>
      <c r="G3703" s="2"/>
      <c r="H3703" s="2"/>
      <c r="I3703" s="2"/>
    </row>
    <row r="3704">
      <c r="A3704" s="2">
        <f>IFERROR(__xludf.DUMMYFUNCTION("""COMPUTED_VALUE"""),73926.0)</f>
        <v>73926</v>
      </c>
      <c r="B3704" s="2" t="str">
        <f>IFERROR(__xludf.DUMMYFUNCTION("""COMPUTED_VALUE"""),"Law")</f>
        <v>Law</v>
      </c>
      <c r="C3704" s="2" t="str">
        <f>IFERROR(__xludf.DUMMYFUNCTION("""COMPUTED_VALUE"""),"Web Development")</f>
        <v>Web Development</v>
      </c>
      <c r="D3704" s="2" t="str">
        <f>IFERROR(__xludf.DUMMYFUNCTION("""COMPUTED_VALUE"""),"Irongate House")</f>
        <v>Irongate House</v>
      </c>
      <c r="E3704" s="2">
        <f>IFERROR(__xludf.DUMMYFUNCTION("""COMPUTED_VALUE"""),1.45)</f>
        <v>1.45</v>
      </c>
      <c r="F3704" s="2"/>
      <c r="G3704" s="2"/>
      <c r="H3704" s="2"/>
      <c r="I3704" s="2"/>
    </row>
    <row r="3705">
      <c r="A3705" s="2">
        <f>IFERROR(__xludf.DUMMYFUNCTION("""COMPUTED_VALUE"""),110083.0)</f>
        <v>110083</v>
      </c>
      <c r="B3705" s="2" t="str">
        <f>IFERROR(__xludf.DUMMYFUNCTION("""COMPUTED_VALUE"""),"Law")</f>
        <v>Law</v>
      </c>
      <c r="C3705" s="2" t="str">
        <f>IFERROR(__xludf.DUMMYFUNCTION("""COMPUTED_VALUE"""),"Web Development")</f>
        <v>Web Development</v>
      </c>
      <c r="D3705" s="2" t="str">
        <f>IFERROR(__xludf.DUMMYFUNCTION("""COMPUTED_VALUE"""),"Irongate House")</f>
        <v>Irongate House</v>
      </c>
      <c r="E3705" s="2">
        <f>IFERROR(__xludf.DUMMYFUNCTION("""COMPUTED_VALUE"""),1.13)</f>
        <v>1.13</v>
      </c>
      <c r="F3705" s="2"/>
      <c r="G3705" s="2"/>
      <c r="H3705" s="2"/>
      <c r="I3705" s="2"/>
    </row>
    <row r="3706">
      <c r="A3706" s="2">
        <f>IFERROR(__xludf.DUMMYFUNCTION("""COMPUTED_VALUE"""),76313.0)</f>
        <v>76313</v>
      </c>
      <c r="B3706" s="2" t="str">
        <f>IFERROR(__xludf.DUMMYFUNCTION("""COMPUTED_VALUE"""),"Law")</f>
        <v>Law</v>
      </c>
      <c r="C3706" s="2" t="str">
        <f>IFERROR(__xludf.DUMMYFUNCTION("""COMPUTED_VALUE"""),"Web Development")</f>
        <v>Web Development</v>
      </c>
      <c r="D3706" s="2" t="str">
        <f>IFERROR(__xludf.DUMMYFUNCTION("""COMPUTED_VALUE"""),"Irongate House")</f>
        <v>Irongate House</v>
      </c>
      <c r="E3706" s="2">
        <f>IFERROR(__xludf.DUMMYFUNCTION("""COMPUTED_VALUE"""),1.35)</f>
        <v>1.35</v>
      </c>
      <c r="F3706" s="2"/>
      <c r="G3706" s="2"/>
      <c r="H3706" s="2"/>
      <c r="I3706" s="2"/>
    </row>
    <row r="3707">
      <c r="A3707" s="2">
        <f>IFERROR(__xludf.DUMMYFUNCTION("""COMPUTED_VALUE"""),68404.0)</f>
        <v>68404</v>
      </c>
      <c r="B3707" s="2" t="str">
        <f>IFERROR(__xludf.DUMMYFUNCTION("""COMPUTED_VALUE"""),"Law")</f>
        <v>Law</v>
      </c>
      <c r="C3707" s="2" t="str">
        <f>IFERROR(__xludf.DUMMYFUNCTION("""COMPUTED_VALUE"""),"Web Development")</f>
        <v>Web Development</v>
      </c>
      <c r="D3707" s="2" t="str">
        <f>IFERROR(__xludf.DUMMYFUNCTION("""COMPUTED_VALUE"""),"Irongate House")</f>
        <v>Irongate House</v>
      </c>
      <c r="E3707" s="2">
        <f>IFERROR(__xludf.DUMMYFUNCTION("""COMPUTED_VALUE"""),1.35)</f>
        <v>1.35</v>
      </c>
      <c r="F3707" s="2"/>
      <c r="G3707" s="2"/>
      <c r="H3707" s="2"/>
      <c r="I3707" s="2"/>
    </row>
    <row r="3708">
      <c r="A3708" s="2">
        <f>IFERROR(__xludf.DUMMYFUNCTION("""COMPUTED_VALUE"""),68322.0)</f>
        <v>68322</v>
      </c>
      <c r="B3708" s="2" t="str">
        <f>IFERROR(__xludf.DUMMYFUNCTION("""COMPUTED_VALUE"""),"Law")</f>
        <v>Law</v>
      </c>
      <c r="C3708" s="2" t="str">
        <f>IFERROR(__xludf.DUMMYFUNCTION("""COMPUTED_VALUE"""),"Web Development")</f>
        <v>Web Development</v>
      </c>
      <c r="D3708" s="2" t="str">
        <f>IFERROR(__xludf.DUMMYFUNCTION("""COMPUTED_VALUE"""),"Irongate House")</f>
        <v>Irongate House</v>
      </c>
      <c r="E3708" s="2">
        <f>IFERROR(__xludf.DUMMYFUNCTION("""COMPUTED_VALUE"""),1.3)</f>
        <v>1.3</v>
      </c>
      <c r="F3708" s="2"/>
      <c r="G3708" s="2"/>
      <c r="H3708" s="2"/>
      <c r="I3708" s="2"/>
    </row>
    <row r="3709">
      <c r="A3709" s="2">
        <f>IFERROR(__xludf.DUMMYFUNCTION("""COMPUTED_VALUE"""),73947.0)</f>
        <v>73947</v>
      </c>
      <c r="B3709" s="2" t="str">
        <f>IFERROR(__xludf.DUMMYFUNCTION("""COMPUTED_VALUE"""),"Law")</f>
        <v>Law</v>
      </c>
      <c r="C3709" s="2" t="str">
        <f>IFERROR(__xludf.DUMMYFUNCTION("""COMPUTED_VALUE"""),"Web Development")</f>
        <v>Web Development</v>
      </c>
      <c r="D3709" s="2" t="str">
        <f>IFERROR(__xludf.DUMMYFUNCTION("""COMPUTED_VALUE"""),"Irongate House")</f>
        <v>Irongate House</v>
      </c>
      <c r="E3709" s="2">
        <f>IFERROR(__xludf.DUMMYFUNCTION("""COMPUTED_VALUE"""),2.02)</f>
        <v>2.02</v>
      </c>
      <c r="F3709" s="2"/>
      <c r="G3709" s="2"/>
      <c r="H3709" s="2"/>
      <c r="I3709" s="2"/>
    </row>
    <row r="3710">
      <c r="A3710" s="2">
        <f>IFERROR(__xludf.DUMMYFUNCTION("""COMPUTED_VALUE"""),29116.0)</f>
        <v>29116</v>
      </c>
      <c r="B3710" s="2" t="str">
        <f>IFERROR(__xludf.DUMMYFUNCTION("""COMPUTED_VALUE"""),"Law")</f>
        <v>Law</v>
      </c>
      <c r="C3710" s="2" t="str">
        <f>IFERROR(__xludf.DUMMYFUNCTION("""COMPUTED_VALUE"""),"Web Development")</f>
        <v>Web Development</v>
      </c>
      <c r="D3710" s="2" t="str">
        <f>IFERROR(__xludf.DUMMYFUNCTION("""COMPUTED_VALUE"""),"Irongate House")</f>
        <v>Irongate House</v>
      </c>
      <c r="E3710" s="2">
        <f>IFERROR(__xludf.DUMMYFUNCTION("""COMPUTED_VALUE"""),1.49)</f>
        <v>1.49</v>
      </c>
      <c r="F3710" s="2"/>
      <c r="G3710" s="2"/>
      <c r="H3710" s="2"/>
      <c r="I3710" s="2"/>
    </row>
    <row r="3711">
      <c r="A3711" s="2">
        <f>IFERROR(__xludf.DUMMYFUNCTION("""COMPUTED_VALUE"""),90846.0)</f>
        <v>90846</v>
      </c>
      <c r="B3711" s="2" t="str">
        <f>IFERROR(__xludf.DUMMYFUNCTION("""COMPUTED_VALUE"""),"Law")</f>
        <v>Law</v>
      </c>
      <c r="C3711" s="2" t="str">
        <f>IFERROR(__xludf.DUMMYFUNCTION("""COMPUTED_VALUE"""),"Web Development")</f>
        <v>Web Development</v>
      </c>
      <c r="D3711" s="2" t="str">
        <f>IFERROR(__xludf.DUMMYFUNCTION("""COMPUTED_VALUE"""),"Irongate House")</f>
        <v>Irongate House</v>
      </c>
      <c r="E3711" s="2">
        <f>IFERROR(__xludf.DUMMYFUNCTION("""COMPUTED_VALUE"""),6.17)</f>
        <v>6.17</v>
      </c>
      <c r="F3711" s="2"/>
      <c r="G3711" s="2"/>
      <c r="H3711" s="2"/>
      <c r="I3711" s="2"/>
    </row>
    <row r="3712">
      <c r="A3712" s="2">
        <f>IFERROR(__xludf.DUMMYFUNCTION("""COMPUTED_VALUE"""),110084.0)</f>
        <v>110084</v>
      </c>
      <c r="B3712" s="2" t="str">
        <f>IFERROR(__xludf.DUMMYFUNCTION("""COMPUTED_VALUE"""),"Law")</f>
        <v>Law</v>
      </c>
      <c r="C3712" s="2" t="str">
        <f>IFERROR(__xludf.DUMMYFUNCTION("""COMPUTED_VALUE"""),"Web Development")</f>
        <v>Web Development</v>
      </c>
      <c r="D3712" s="2" t="str">
        <f>IFERROR(__xludf.DUMMYFUNCTION("""COMPUTED_VALUE"""),"Irongate House")</f>
        <v>Irongate House</v>
      </c>
      <c r="E3712" s="2">
        <f>IFERROR(__xludf.DUMMYFUNCTION("""COMPUTED_VALUE"""),1.1)</f>
        <v>1.1</v>
      </c>
      <c r="F3712" s="2"/>
      <c r="G3712" s="2"/>
      <c r="H3712" s="2"/>
      <c r="I3712" s="2"/>
    </row>
    <row r="3713">
      <c r="A3713" s="2">
        <f>IFERROR(__xludf.DUMMYFUNCTION("""COMPUTED_VALUE"""),73925.0)</f>
        <v>73925</v>
      </c>
      <c r="B3713" s="2" t="str">
        <f>IFERROR(__xludf.DUMMYFUNCTION("""COMPUTED_VALUE"""),"Law")</f>
        <v>Law</v>
      </c>
      <c r="C3713" s="2" t="str">
        <f>IFERROR(__xludf.DUMMYFUNCTION("""COMPUTED_VALUE"""),"Web Development")</f>
        <v>Web Development</v>
      </c>
      <c r="D3713" s="2" t="str">
        <f>IFERROR(__xludf.DUMMYFUNCTION("""COMPUTED_VALUE"""),"Irongate House")</f>
        <v>Irongate House</v>
      </c>
      <c r="E3713" s="2">
        <f>IFERROR(__xludf.DUMMYFUNCTION("""COMPUTED_VALUE"""),1.71)</f>
        <v>1.71</v>
      </c>
      <c r="F3713" s="2"/>
      <c r="G3713" s="2"/>
      <c r="H3713" s="2"/>
      <c r="I3713" s="2"/>
    </row>
    <row r="3714">
      <c r="A3714" s="2">
        <f>IFERROR(__xludf.DUMMYFUNCTION("""COMPUTED_VALUE"""),68296.0)</f>
        <v>68296</v>
      </c>
      <c r="B3714" s="2" t="str">
        <f>IFERROR(__xludf.DUMMYFUNCTION("""COMPUTED_VALUE"""),"Law")</f>
        <v>Law</v>
      </c>
      <c r="C3714" s="2" t="str">
        <f>IFERROR(__xludf.DUMMYFUNCTION("""COMPUTED_VALUE"""),"Web Development")</f>
        <v>Web Development</v>
      </c>
      <c r="D3714" s="2" t="str">
        <f>IFERROR(__xludf.DUMMYFUNCTION("""COMPUTED_VALUE"""),"Irongate House")</f>
        <v>Irongate House</v>
      </c>
      <c r="E3714" s="2">
        <f>IFERROR(__xludf.DUMMYFUNCTION("""COMPUTED_VALUE"""),1.66)</f>
        <v>1.66</v>
      </c>
      <c r="F3714" s="2"/>
      <c r="G3714" s="2"/>
      <c r="H3714" s="2"/>
      <c r="I3714" s="2"/>
    </row>
    <row r="3715">
      <c r="A3715" s="2">
        <f>IFERROR(__xludf.DUMMYFUNCTION("""COMPUTED_VALUE"""),90873.0)</f>
        <v>90873</v>
      </c>
      <c r="B3715" s="2" t="str">
        <f>IFERROR(__xludf.DUMMYFUNCTION("""COMPUTED_VALUE"""),"Law")</f>
        <v>Law</v>
      </c>
      <c r="C3715" s="2" t="str">
        <f>IFERROR(__xludf.DUMMYFUNCTION("""COMPUTED_VALUE"""),"Web Development")</f>
        <v>Web Development</v>
      </c>
      <c r="D3715" s="2" t="str">
        <f>IFERROR(__xludf.DUMMYFUNCTION("""COMPUTED_VALUE"""),"Irongate House")</f>
        <v>Irongate House</v>
      </c>
      <c r="E3715" s="2">
        <f>IFERROR(__xludf.DUMMYFUNCTION("""COMPUTED_VALUE"""),1.94)</f>
        <v>1.94</v>
      </c>
      <c r="F3715" s="2"/>
      <c r="G3715" s="2"/>
      <c r="H3715" s="2"/>
      <c r="I3715" s="2"/>
    </row>
    <row r="3716">
      <c r="A3716" s="2">
        <f>IFERROR(__xludf.DUMMYFUNCTION("""COMPUTED_VALUE"""),90874.0)</f>
        <v>90874</v>
      </c>
      <c r="B3716" s="2" t="str">
        <f>IFERROR(__xludf.DUMMYFUNCTION("""COMPUTED_VALUE"""),"Law")</f>
        <v>Law</v>
      </c>
      <c r="C3716" s="2" t="str">
        <f>IFERROR(__xludf.DUMMYFUNCTION("""COMPUTED_VALUE"""),"Web Development")</f>
        <v>Web Development</v>
      </c>
      <c r="D3716" s="2" t="str">
        <f>IFERROR(__xludf.DUMMYFUNCTION("""COMPUTED_VALUE"""),"Irongate House")</f>
        <v>Irongate House</v>
      </c>
      <c r="E3716" s="2">
        <f>IFERROR(__xludf.DUMMYFUNCTION("""COMPUTED_VALUE"""),2.07)</f>
        <v>2.07</v>
      </c>
      <c r="F3716" s="2"/>
      <c r="G3716" s="2"/>
      <c r="H3716" s="2"/>
      <c r="I3716" s="2"/>
    </row>
    <row r="3717">
      <c r="A3717" s="2">
        <f>IFERROR(__xludf.DUMMYFUNCTION("""COMPUTED_VALUE"""),90842.0)</f>
        <v>90842</v>
      </c>
      <c r="B3717" s="2" t="str">
        <f>IFERROR(__xludf.DUMMYFUNCTION("""COMPUTED_VALUE"""),"Law")</f>
        <v>Law</v>
      </c>
      <c r="C3717" s="2" t="str">
        <f>IFERROR(__xludf.DUMMYFUNCTION("""COMPUTED_VALUE"""),"Web Development")</f>
        <v>Web Development</v>
      </c>
      <c r="D3717" s="2" t="str">
        <f>IFERROR(__xludf.DUMMYFUNCTION("""COMPUTED_VALUE"""),"Irongate House")</f>
        <v>Irongate House</v>
      </c>
      <c r="E3717" s="2">
        <f>IFERROR(__xludf.DUMMYFUNCTION("""COMPUTED_VALUE"""),5.95)</f>
        <v>5.95</v>
      </c>
      <c r="F3717" s="2"/>
      <c r="G3717" s="2"/>
      <c r="H3717" s="2"/>
      <c r="I3717" s="2"/>
    </row>
    <row r="3718">
      <c r="A3718" s="2">
        <f>IFERROR(__xludf.DUMMYFUNCTION("""COMPUTED_VALUE"""),5709.0)</f>
        <v>5709</v>
      </c>
      <c r="B3718" s="2" t="str">
        <f>IFERROR(__xludf.DUMMYFUNCTION("""COMPUTED_VALUE"""),"Law")</f>
        <v>Law</v>
      </c>
      <c r="C3718" s="2" t="str">
        <f>IFERROR(__xludf.DUMMYFUNCTION("""COMPUTED_VALUE"""),"Web Development")</f>
        <v>Web Development</v>
      </c>
      <c r="D3718" s="2" t="str">
        <f>IFERROR(__xludf.DUMMYFUNCTION("""COMPUTED_VALUE"""),"Irongate House")</f>
        <v>Irongate House</v>
      </c>
      <c r="E3718" s="2">
        <f>IFERROR(__xludf.DUMMYFUNCTION("""COMPUTED_VALUE"""),1.39)</f>
        <v>1.39</v>
      </c>
      <c r="F3718" s="2"/>
      <c r="G3718" s="2"/>
      <c r="H3718" s="2"/>
      <c r="I3718" s="2"/>
    </row>
    <row r="3719">
      <c r="A3719" s="2">
        <f>IFERROR(__xludf.DUMMYFUNCTION("""COMPUTED_VALUE"""),76341.0)</f>
        <v>76341</v>
      </c>
      <c r="B3719" s="2" t="str">
        <f>IFERROR(__xludf.DUMMYFUNCTION("""COMPUTED_VALUE"""),"Law")</f>
        <v>Law</v>
      </c>
      <c r="C3719" s="2" t="str">
        <f>IFERROR(__xludf.DUMMYFUNCTION("""COMPUTED_VALUE"""),"Web Development")</f>
        <v>Web Development</v>
      </c>
      <c r="D3719" s="2" t="str">
        <f>IFERROR(__xludf.DUMMYFUNCTION("""COMPUTED_VALUE"""),"Irongate House")</f>
        <v>Irongate House</v>
      </c>
      <c r="E3719" s="2">
        <f>IFERROR(__xludf.DUMMYFUNCTION("""COMPUTED_VALUE"""),1.57)</f>
        <v>1.57</v>
      </c>
      <c r="F3719" s="2"/>
      <c r="G3719" s="2"/>
      <c r="H3719" s="2"/>
      <c r="I3719" s="2"/>
    </row>
    <row r="3720">
      <c r="A3720" s="2">
        <f>IFERROR(__xludf.DUMMYFUNCTION("""COMPUTED_VALUE"""),113094.0)</f>
        <v>113094</v>
      </c>
      <c r="B3720" s="2" t="str">
        <f>IFERROR(__xludf.DUMMYFUNCTION("""COMPUTED_VALUE"""),"Law")</f>
        <v>Law</v>
      </c>
      <c r="C3720" s="2" t="str">
        <f>IFERROR(__xludf.DUMMYFUNCTION("""COMPUTED_VALUE"""),"Web Development")</f>
        <v>Web Development</v>
      </c>
      <c r="D3720" s="2" t="str">
        <f>IFERROR(__xludf.DUMMYFUNCTION("""COMPUTED_VALUE"""),"Irongate House")</f>
        <v>Irongate House</v>
      </c>
      <c r="E3720" s="2">
        <f>IFERROR(__xludf.DUMMYFUNCTION("""COMPUTED_VALUE"""),1.12)</f>
        <v>1.12</v>
      </c>
      <c r="F3720" s="2"/>
      <c r="G3720" s="2"/>
      <c r="H3720" s="2"/>
      <c r="I3720" s="2"/>
    </row>
    <row r="3721">
      <c r="A3721" s="2">
        <f>IFERROR(__xludf.DUMMYFUNCTION("""COMPUTED_VALUE"""),76301.0)</f>
        <v>76301</v>
      </c>
      <c r="B3721" s="2" t="str">
        <f>IFERROR(__xludf.DUMMYFUNCTION("""COMPUTED_VALUE"""),"Law")</f>
        <v>Law</v>
      </c>
      <c r="C3721" s="2" t="str">
        <f>IFERROR(__xludf.DUMMYFUNCTION("""COMPUTED_VALUE"""),"Web Development")</f>
        <v>Web Development</v>
      </c>
      <c r="D3721" s="2" t="str">
        <f>IFERROR(__xludf.DUMMYFUNCTION("""COMPUTED_VALUE"""),"Irongate House")</f>
        <v>Irongate House</v>
      </c>
      <c r="E3721" s="2">
        <f>IFERROR(__xludf.DUMMYFUNCTION("""COMPUTED_VALUE"""),1.37)</f>
        <v>1.37</v>
      </c>
      <c r="F3721" s="2"/>
      <c r="G3721" s="2"/>
      <c r="H3721" s="2"/>
      <c r="I3721" s="2"/>
    </row>
    <row r="3722">
      <c r="A3722" s="2">
        <f>IFERROR(__xludf.DUMMYFUNCTION("""COMPUTED_VALUE"""),90844.0)</f>
        <v>90844</v>
      </c>
      <c r="B3722" s="2" t="str">
        <f>IFERROR(__xludf.DUMMYFUNCTION("""COMPUTED_VALUE"""),"Law")</f>
        <v>Law</v>
      </c>
      <c r="C3722" s="2" t="str">
        <f>IFERROR(__xludf.DUMMYFUNCTION("""COMPUTED_VALUE"""),"Web Development")</f>
        <v>Web Development</v>
      </c>
      <c r="D3722" s="2" t="str">
        <f>IFERROR(__xludf.DUMMYFUNCTION("""COMPUTED_VALUE"""),"Irongate House")</f>
        <v>Irongate House</v>
      </c>
      <c r="E3722" s="2">
        <f>IFERROR(__xludf.DUMMYFUNCTION("""COMPUTED_VALUE"""),6.2)</f>
        <v>6.2</v>
      </c>
      <c r="F3722" s="2"/>
      <c r="G3722" s="2"/>
      <c r="H3722" s="2"/>
      <c r="I3722" s="2"/>
    </row>
    <row r="3723">
      <c r="A3723" s="2">
        <f>IFERROR(__xludf.DUMMYFUNCTION("""COMPUTED_VALUE"""),90848.0)</f>
        <v>90848</v>
      </c>
      <c r="B3723" s="2" t="str">
        <f>IFERROR(__xludf.DUMMYFUNCTION("""COMPUTED_VALUE"""),"Law")</f>
        <v>Law</v>
      </c>
      <c r="C3723" s="2" t="str">
        <f>IFERROR(__xludf.DUMMYFUNCTION("""COMPUTED_VALUE"""),"Web Development")</f>
        <v>Web Development</v>
      </c>
      <c r="D3723" s="2" t="str">
        <f>IFERROR(__xludf.DUMMYFUNCTION("""COMPUTED_VALUE"""),"Irongate House")</f>
        <v>Irongate House</v>
      </c>
      <c r="E3723" s="2">
        <f>IFERROR(__xludf.DUMMYFUNCTION("""COMPUTED_VALUE"""),5.84)</f>
        <v>5.84</v>
      </c>
      <c r="F3723" s="2"/>
      <c r="G3723" s="2"/>
      <c r="H3723" s="2"/>
      <c r="I3723" s="2"/>
    </row>
    <row r="3724">
      <c r="A3724" s="2">
        <f>IFERROR(__xludf.DUMMYFUNCTION("""COMPUTED_VALUE"""),76318.0)</f>
        <v>76318</v>
      </c>
      <c r="B3724" s="2" t="str">
        <f>IFERROR(__xludf.DUMMYFUNCTION("""COMPUTED_VALUE"""),"Law")</f>
        <v>Law</v>
      </c>
      <c r="C3724" s="2" t="str">
        <f>IFERROR(__xludf.DUMMYFUNCTION("""COMPUTED_VALUE"""),"Web Development")</f>
        <v>Web Development</v>
      </c>
      <c r="D3724" s="2" t="str">
        <f>IFERROR(__xludf.DUMMYFUNCTION("""COMPUTED_VALUE"""),"Irongate House")</f>
        <v>Irongate House</v>
      </c>
      <c r="E3724" s="2">
        <f>IFERROR(__xludf.DUMMYFUNCTION("""COMPUTED_VALUE"""),1.22)</f>
        <v>1.22</v>
      </c>
      <c r="F3724" s="2"/>
      <c r="G3724" s="2"/>
      <c r="H3724" s="2"/>
      <c r="I3724" s="2"/>
    </row>
    <row r="3725">
      <c r="A3725" s="2">
        <f>IFERROR(__xludf.DUMMYFUNCTION("""COMPUTED_VALUE"""),118885.0)</f>
        <v>118885</v>
      </c>
      <c r="B3725" s="2" t="str">
        <f>IFERROR(__xludf.DUMMYFUNCTION("""COMPUTED_VALUE"""),"Law")</f>
        <v>Law</v>
      </c>
      <c r="C3725" s="2" t="str">
        <f>IFERROR(__xludf.DUMMYFUNCTION("""COMPUTED_VALUE"""),"Web Development")</f>
        <v>Web Development</v>
      </c>
      <c r="D3725" s="2" t="str">
        <f>IFERROR(__xludf.DUMMYFUNCTION("""COMPUTED_VALUE"""),"Silvertree Press")</f>
        <v>Silvertree Press</v>
      </c>
      <c r="E3725" s="2">
        <f>IFERROR(__xludf.DUMMYFUNCTION("""COMPUTED_VALUE"""),1.45)</f>
        <v>1.45</v>
      </c>
      <c r="F3725" s="2"/>
      <c r="G3725" s="2"/>
      <c r="H3725" s="2"/>
      <c r="I3725" s="2"/>
    </row>
    <row r="3726">
      <c r="A3726" s="2">
        <f>IFERROR(__xludf.DUMMYFUNCTION("""COMPUTED_VALUE"""),76349.0)</f>
        <v>76349</v>
      </c>
      <c r="B3726" s="2" t="str">
        <f>IFERROR(__xludf.DUMMYFUNCTION("""COMPUTED_VALUE"""),"Law")</f>
        <v>Law</v>
      </c>
      <c r="C3726" s="2" t="str">
        <f>IFERROR(__xludf.DUMMYFUNCTION("""COMPUTED_VALUE"""),"Web Development")</f>
        <v>Web Development</v>
      </c>
      <c r="D3726" s="2" t="str">
        <f>IFERROR(__xludf.DUMMYFUNCTION("""COMPUTED_VALUE"""),"Silvertree Press")</f>
        <v>Silvertree Press</v>
      </c>
      <c r="E3726" s="2">
        <f>IFERROR(__xludf.DUMMYFUNCTION("""COMPUTED_VALUE"""),4.58)</f>
        <v>4.58</v>
      </c>
      <c r="F3726" s="2"/>
      <c r="G3726" s="2"/>
      <c r="H3726" s="2"/>
      <c r="I3726" s="2"/>
    </row>
    <row r="3727">
      <c r="A3727" s="2">
        <f>IFERROR(__xludf.DUMMYFUNCTION("""COMPUTED_VALUE"""),30878.0)</f>
        <v>30878</v>
      </c>
      <c r="B3727" s="2" t="str">
        <f>IFERROR(__xludf.DUMMYFUNCTION("""COMPUTED_VALUE"""),"Law")</f>
        <v>Law</v>
      </c>
      <c r="C3727" s="2" t="str">
        <f>IFERROR(__xludf.DUMMYFUNCTION("""COMPUTED_VALUE"""),"Web Development")</f>
        <v>Web Development</v>
      </c>
      <c r="D3727" s="2" t="str">
        <f>IFERROR(__xludf.DUMMYFUNCTION("""COMPUTED_VALUE"""),"Silvertree Press")</f>
        <v>Silvertree Press</v>
      </c>
      <c r="E3727" s="2">
        <f>IFERROR(__xludf.DUMMYFUNCTION("""COMPUTED_VALUE"""),4.14)</f>
        <v>4.14</v>
      </c>
      <c r="F3727" s="2"/>
      <c r="G3727" s="2"/>
      <c r="H3727" s="2"/>
      <c r="I3727" s="2"/>
    </row>
    <row r="3728">
      <c r="A3728" s="2">
        <f>IFERROR(__xludf.DUMMYFUNCTION("""COMPUTED_VALUE"""),104176.0)</f>
        <v>104176</v>
      </c>
      <c r="B3728" s="2" t="str">
        <f>IFERROR(__xludf.DUMMYFUNCTION("""COMPUTED_VALUE"""),"Law")</f>
        <v>Law</v>
      </c>
      <c r="C3728" s="2" t="str">
        <f>IFERROR(__xludf.DUMMYFUNCTION("""COMPUTED_VALUE"""),"Web Development")</f>
        <v>Web Development</v>
      </c>
      <c r="D3728" s="2" t="str">
        <f>IFERROR(__xludf.DUMMYFUNCTION("""COMPUTED_VALUE"""),"Silvertree Press")</f>
        <v>Silvertree Press</v>
      </c>
      <c r="E3728" s="2">
        <f>IFERROR(__xludf.DUMMYFUNCTION("""COMPUTED_VALUE"""),3.86)</f>
        <v>3.86</v>
      </c>
      <c r="F3728" s="2"/>
      <c r="G3728" s="2"/>
      <c r="H3728" s="2"/>
      <c r="I3728" s="2"/>
    </row>
    <row r="3729">
      <c r="A3729" s="2">
        <f>IFERROR(__xludf.DUMMYFUNCTION("""COMPUTED_VALUE"""),78516.0)</f>
        <v>78516</v>
      </c>
      <c r="B3729" s="2" t="str">
        <f>IFERROR(__xludf.DUMMYFUNCTION("""COMPUTED_VALUE"""),"Law")</f>
        <v>Law</v>
      </c>
      <c r="C3729" s="2" t="str">
        <f>IFERROR(__xludf.DUMMYFUNCTION("""COMPUTED_VALUE"""),"Web Development")</f>
        <v>Web Development</v>
      </c>
      <c r="D3729" s="2" t="str">
        <f>IFERROR(__xludf.DUMMYFUNCTION("""COMPUTED_VALUE"""),"Silvertree Press")</f>
        <v>Silvertree Press</v>
      </c>
      <c r="E3729" s="2">
        <f>IFERROR(__xludf.DUMMYFUNCTION("""COMPUTED_VALUE"""),1.84)</f>
        <v>1.84</v>
      </c>
      <c r="F3729" s="2"/>
      <c r="G3729" s="2"/>
      <c r="H3729" s="2"/>
      <c r="I3729" s="2"/>
    </row>
    <row r="3730">
      <c r="A3730" s="2">
        <f>IFERROR(__xludf.DUMMYFUNCTION("""COMPUTED_VALUE"""),118884.0)</f>
        <v>118884</v>
      </c>
      <c r="B3730" s="2" t="str">
        <f>IFERROR(__xludf.DUMMYFUNCTION("""COMPUTED_VALUE"""),"Law")</f>
        <v>Law</v>
      </c>
      <c r="C3730" s="2" t="str">
        <f>IFERROR(__xludf.DUMMYFUNCTION("""COMPUTED_VALUE"""),"Web Development")</f>
        <v>Web Development</v>
      </c>
      <c r="D3730" s="2" t="str">
        <f>IFERROR(__xludf.DUMMYFUNCTION("""COMPUTED_VALUE"""),"Silvertree Press")</f>
        <v>Silvertree Press</v>
      </c>
      <c r="E3730" s="2">
        <f>IFERROR(__xludf.DUMMYFUNCTION("""COMPUTED_VALUE"""),2.21)</f>
        <v>2.21</v>
      </c>
      <c r="F3730" s="2"/>
      <c r="G3730" s="2"/>
      <c r="H3730" s="2"/>
      <c r="I3730" s="2"/>
    </row>
    <row r="3731">
      <c r="A3731" s="2">
        <f>IFERROR(__xludf.DUMMYFUNCTION("""COMPUTED_VALUE"""),119239.0)</f>
        <v>119239</v>
      </c>
      <c r="B3731" s="2" t="str">
        <f>IFERROR(__xludf.DUMMYFUNCTION("""COMPUTED_VALUE"""),"Law")</f>
        <v>Law</v>
      </c>
      <c r="C3731" s="2" t="str">
        <f>IFERROR(__xludf.DUMMYFUNCTION("""COMPUTED_VALUE"""),"Web Development")</f>
        <v>Web Development</v>
      </c>
      <c r="D3731" s="2" t="str">
        <f>IFERROR(__xludf.DUMMYFUNCTION("""COMPUTED_VALUE"""),"Silvertree Press")</f>
        <v>Silvertree Press</v>
      </c>
      <c r="E3731" s="2">
        <f>IFERROR(__xludf.DUMMYFUNCTION("""COMPUTED_VALUE"""),1.29)</f>
        <v>1.29</v>
      </c>
      <c r="F3731" s="2"/>
      <c r="G3731" s="2"/>
      <c r="H3731" s="2"/>
      <c r="I3731" s="2"/>
    </row>
    <row r="3732">
      <c r="A3732" s="2">
        <f>IFERROR(__xludf.DUMMYFUNCTION("""COMPUTED_VALUE"""),30875.0)</f>
        <v>30875</v>
      </c>
      <c r="B3732" s="2" t="str">
        <f>IFERROR(__xludf.DUMMYFUNCTION("""COMPUTED_VALUE"""),"Law")</f>
        <v>Law</v>
      </c>
      <c r="C3732" s="2" t="str">
        <f>IFERROR(__xludf.DUMMYFUNCTION("""COMPUTED_VALUE"""),"Web Development")</f>
        <v>Web Development</v>
      </c>
      <c r="D3732" s="2" t="str">
        <f>IFERROR(__xludf.DUMMYFUNCTION("""COMPUTED_VALUE"""),"Silvertree Press")</f>
        <v>Silvertree Press</v>
      </c>
      <c r="E3732" s="2">
        <f>IFERROR(__xludf.DUMMYFUNCTION("""COMPUTED_VALUE"""),3.82)</f>
        <v>3.82</v>
      </c>
      <c r="F3732" s="2"/>
      <c r="G3732" s="2"/>
      <c r="H3732" s="2"/>
      <c r="I3732" s="2"/>
    </row>
    <row r="3733">
      <c r="A3733" s="2">
        <f>IFERROR(__xludf.DUMMYFUNCTION("""COMPUTED_VALUE"""),73946.0)</f>
        <v>73946</v>
      </c>
      <c r="B3733" s="2" t="str">
        <f>IFERROR(__xludf.DUMMYFUNCTION("""COMPUTED_VALUE"""),"Law")</f>
        <v>Law</v>
      </c>
      <c r="C3733" s="2" t="str">
        <f>IFERROR(__xludf.DUMMYFUNCTION("""COMPUTED_VALUE"""),"Web Development")</f>
        <v>Web Development</v>
      </c>
      <c r="D3733" s="2" t="str">
        <f>IFERROR(__xludf.DUMMYFUNCTION("""COMPUTED_VALUE"""),"Silvertree Press")</f>
        <v>Silvertree Press</v>
      </c>
      <c r="E3733" s="2">
        <f>IFERROR(__xludf.DUMMYFUNCTION("""COMPUTED_VALUE"""),4.06)</f>
        <v>4.06</v>
      </c>
      <c r="F3733" s="2"/>
      <c r="G3733" s="2"/>
      <c r="H3733" s="2"/>
      <c r="I3733" s="2"/>
    </row>
    <row r="3734">
      <c r="A3734" s="2">
        <f>IFERROR(__xludf.DUMMYFUNCTION("""COMPUTED_VALUE"""),90690.0)</f>
        <v>90690</v>
      </c>
      <c r="B3734" s="2" t="str">
        <f>IFERROR(__xludf.DUMMYFUNCTION("""COMPUTED_VALUE"""),"Law")</f>
        <v>Law</v>
      </c>
      <c r="C3734" s="2" t="str">
        <f>IFERROR(__xludf.DUMMYFUNCTION("""COMPUTED_VALUE"""),"Web Development")</f>
        <v>Web Development</v>
      </c>
      <c r="D3734" s="2" t="str">
        <f>IFERROR(__xludf.DUMMYFUNCTION("""COMPUTED_VALUE"""),"Northtree Publishing")</f>
        <v>Northtree Publishing</v>
      </c>
      <c r="E3734" s="2">
        <f>IFERROR(__xludf.DUMMYFUNCTION("""COMPUTED_VALUE"""),1.11)</f>
        <v>1.11</v>
      </c>
      <c r="F3734" s="2"/>
      <c r="G3734" s="2"/>
      <c r="H3734" s="2"/>
      <c r="I3734" s="2"/>
    </row>
    <row r="3735">
      <c r="A3735" s="2">
        <f>IFERROR(__xludf.DUMMYFUNCTION("""COMPUTED_VALUE"""),101380.0)</f>
        <v>101380</v>
      </c>
      <c r="B3735" s="2" t="str">
        <f>IFERROR(__xludf.DUMMYFUNCTION("""COMPUTED_VALUE"""),"Law")</f>
        <v>Law</v>
      </c>
      <c r="C3735" s="2" t="str">
        <f>IFERROR(__xludf.DUMMYFUNCTION("""COMPUTED_VALUE"""),"Web Development")</f>
        <v>Web Development</v>
      </c>
      <c r="D3735" s="2" t="str">
        <f>IFERROR(__xludf.DUMMYFUNCTION("""COMPUTED_VALUE"""),"Northtree Publishing")</f>
        <v>Northtree Publishing</v>
      </c>
      <c r="E3735" s="2">
        <f>IFERROR(__xludf.DUMMYFUNCTION("""COMPUTED_VALUE"""),0.87)</f>
        <v>0.87</v>
      </c>
      <c r="F3735" s="2"/>
      <c r="G3735" s="2"/>
      <c r="H3735" s="2"/>
      <c r="I3735" s="2"/>
    </row>
    <row r="3736">
      <c r="A3736" s="2">
        <f>IFERROR(__xludf.DUMMYFUNCTION("""COMPUTED_VALUE"""),5804.0)</f>
        <v>5804</v>
      </c>
      <c r="B3736" s="2" t="str">
        <f>IFERROR(__xludf.DUMMYFUNCTION("""COMPUTED_VALUE"""),"Law")</f>
        <v>Law</v>
      </c>
      <c r="C3736" s="2" t="str">
        <f>IFERROR(__xludf.DUMMYFUNCTION("""COMPUTED_VALUE"""),"Web Development")</f>
        <v>Web Development</v>
      </c>
      <c r="D3736" s="2" t="str">
        <f>IFERROR(__xludf.DUMMYFUNCTION("""COMPUTED_VALUE"""),"Harbortree Books")</f>
        <v>Harbortree Books</v>
      </c>
      <c r="E3736" s="2">
        <f>IFERROR(__xludf.DUMMYFUNCTION("""COMPUTED_VALUE"""),1.22)</f>
        <v>1.22</v>
      </c>
      <c r="F3736" s="2"/>
      <c r="G3736" s="2"/>
      <c r="H3736" s="2"/>
      <c r="I3736" s="2"/>
    </row>
    <row r="3737">
      <c r="A3737" s="2">
        <f>IFERROR(__xludf.DUMMYFUNCTION("""COMPUTED_VALUE"""),82372.0)</f>
        <v>82372</v>
      </c>
      <c r="B3737" s="2" t="str">
        <f>IFERROR(__xludf.DUMMYFUNCTION("""COMPUTED_VALUE"""),"Law")</f>
        <v>Law</v>
      </c>
      <c r="C3737" s="2" t="str">
        <f>IFERROR(__xludf.DUMMYFUNCTION("""COMPUTED_VALUE"""),"Web Development")</f>
        <v>Web Development</v>
      </c>
      <c r="D3737" s="2" t="str">
        <f>IFERROR(__xludf.DUMMYFUNCTION("""COMPUTED_VALUE"""),"Harbortree Books")</f>
        <v>Harbortree Books</v>
      </c>
      <c r="E3737" s="2">
        <f>IFERROR(__xludf.DUMMYFUNCTION("""COMPUTED_VALUE"""),2.88)</f>
        <v>2.88</v>
      </c>
      <c r="F3737" s="2"/>
      <c r="G3737" s="2"/>
      <c r="H3737" s="2"/>
      <c r="I3737" s="2"/>
    </row>
    <row r="3738">
      <c r="A3738" s="2">
        <f>IFERROR(__xludf.DUMMYFUNCTION("""COMPUTED_VALUE"""),90643.0)</f>
        <v>90643</v>
      </c>
      <c r="B3738" s="2" t="str">
        <f>IFERROR(__xludf.DUMMYFUNCTION("""COMPUTED_VALUE"""),"Law")</f>
        <v>Law</v>
      </c>
      <c r="C3738" s="2" t="str">
        <f>IFERROR(__xludf.DUMMYFUNCTION("""COMPUTED_VALUE"""),"Web Development")</f>
        <v>Web Development</v>
      </c>
      <c r="D3738" s="2" t="str">
        <f>IFERROR(__xludf.DUMMYFUNCTION("""COMPUTED_VALUE"""),"Harbortree Books")</f>
        <v>Harbortree Books</v>
      </c>
      <c r="E3738" s="2">
        <f>IFERROR(__xludf.DUMMYFUNCTION("""COMPUTED_VALUE"""),3.66)</f>
        <v>3.66</v>
      </c>
      <c r="F3738" s="2"/>
      <c r="G3738" s="2"/>
      <c r="H3738" s="2"/>
      <c r="I3738" s="2"/>
    </row>
    <row r="3739">
      <c r="A3739" s="2">
        <f>IFERROR(__xludf.DUMMYFUNCTION("""COMPUTED_VALUE"""),68412.0)</f>
        <v>68412</v>
      </c>
      <c r="B3739" s="2" t="str">
        <f>IFERROR(__xludf.DUMMYFUNCTION("""COMPUTED_VALUE"""),"Law")</f>
        <v>Law</v>
      </c>
      <c r="C3739" s="2" t="str">
        <f>IFERROR(__xludf.DUMMYFUNCTION("""COMPUTED_VALUE"""),"Web Development")</f>
        <v>Web Development</v>
      </c>
      <c r="D3739" s="2" t="str">
        <f>IFERROR(__xludf.DUMMYFUNCTION("""COMPUTED_VALUE"""),"Harbortree Books")</f>
        <v>Harbortree Books</v>
      </c>
      <c r="E3739" s="2">
        <f>IFERROR(__xludf.DUMMYFUNCTION("""COMPUTED_VALUE"""),1.38)</f>
        <v>1.38</v>
      </c>
      <c r="F3739" s="2"/>
      <c r="G3739" s="2"/>
      <c r="H3739" s="2"/>
      <c r="I3739" s="2"/>
    </row>
    <row r="3740">
      <c r="A3740" s="2">
        <f>IFERROR(__xludf.DUMMYFUNCTION("""COMPUTED_VALUE"""),82393.0)</f>
        <v>82393</v>
      </c>
      <c r="B3740" s="2" t="str">
        <f>IFERROR(__xludf.DUMMYFUNCTION("""COMPUTED_VALUE"""),"Law")</f>
        <v>Law</v>
      </c>
      <c r="C3740" s="2" t="str">
        <f>IFERROR(__xludf.DUMMYFUNCTION("""COMPUTED_VALUE"""),"Web Development")</f>
        <v>Web Development</v>
      </c>
      <c r="D3740" s="2" t="str">
        <f>IFERROR(__xludf.DUMMYFUNCTION("""COMPUTED_VALUE"""),"Harbortree Books")</f>
        <v>Harbortree Books</v>
      </c>
      <c r="E3740" s="2">
        <f>IFERROR(__xludf.DUMMYFUNCTION("""COMPUTED_VALUE"""),2.77)</f>
        <v>2.77</v>
      </c>
      <c r="F3740" s="2"/>
      <c r="G3740" s="2"/>
      <c r="H3740" s="2"/>
      <c r="I3740" s="2"/>
    </row>
    <row r="3741">
      <c r="A3741" s="2">
        <f>IFERROR(__xludf.DUMMYFUNCTION("""COMPUTED_VALUE"""),5803.0)</f>
        <v>5803</v>
      </c>
      <c r="B3741" s="2" t="str">
        <f>IFERROR(__xludf.DUMMYFUNCTION("""COMPUTED_VALUE"""),"Law")</f>
        <v>Law</v>
      </c>
      <c r="C3741" s="2" t="str">
        <f>IFERROR(__xludf.DUMMYFUNCTION("""COMPUTED_VALUE"""),"Web Development")</f>
        <v>Web Development</v>
      </c>
      <c r="D3741" s="2" t="str">
        <f>IFERROR(__xludf.DUMMYFUNCTION("""COMPUTED_VALUE"""),"Harbortree Books")</f>
        <v>Harbortree Books</v>
      </c>
      <c r="E3741" s="2">
        <f>IFERROR(__xludf.DUMMYFUNCTION("""COMPUTED_VALUE"""),1.49)</f>
        <v>1.49</v>
      </c>
      <c r="F3741" s="2"/>
      <c r="G3741" s="2"/>
      <c r="H3741" s="2"/>
      <c r="I3741" s="2"/>
    </row>
    <row r="3742">
      <c r="A3742" s="2">
        <f>IFERROR(__xludf.DUMMYFUNCTION("""COMPUTED_VALUE"""),121706.0)</f>
        <v>121706</v>
      </c>
      <c r="B3742" s="2" t="str">
        <f>IFERROR(__xludf.DUMMYFUNCTION("""COMPUTED_VALUE"""),"Law")</f>
        <v>Law</v>
      </c>
      <c r="C3742" s="2" t="str">
        <f>IFERROR(__xludf.DUMMYFUNCTION("""COMPUTED_VALUE"""),"Web Development")</f>
        <v>Web Development</v>
      </c>
      <c r="D3742" s="2" t="str">
        <f>IFERROR(__xludf.DUMMYFUNCTION("""COMPUTED_VALUE"""),"Harbortree Books")</f>
        <v>Harbortree Books</v>
      </c>
      <c r="E3742" s="2">
        <f>IFERROR(__xludf.DUMMYFUNCTION("""COMPUTED_VALUE"""),1.65)</f>
        <v>1.65</v>
      </c>
      <c r="F3742" s="2"/>
      <c r="G3742" s="2"/>
      <c r="H3742" s="2"/>
      <c r="I3742" s="2"/>
    </row>
    <row r="3743">
      <c r="A3743" s="2">
        <f>IFERROR(__xludf.DUMMYFUNCTION("""COMPUTED_VALUE"""),68374.0)</f>
        <v>68374</v>
      </c>
      <c r="B3743" s="2" t="str">
        <f>IFERROR(__xludf.DUMMYFUNCTION("""COMPUTED_VALUE"""),"Law")</f>
        <v>Law</v>
      </c>
      <c r="C3743" s="2" t="str">
        <f>IFERROR(__xludf.DUMMYFUNCTION("""COMPUTED_VALUE"""),"Web Development")</f>
        <v>Web Development</v>
      </c>
      <c r="D3743" s="2" t="str">
        <f>IFERROR(__xludf.DUMMYFUNCTION("""COMPUTED_VALUE"""),"Harbortree Books")</f>
        <v>Harbortree Books</v>
      </c>
      <c r="E3743" s="2">
        <f>IFERROR(__xludf.DUMMYFUNCTION("""COMPUTED_VALUE"""),1.37)</f>
        <v>1.37</v>
      </c>
      <c r="F3743" s="2"/>
      <c r="G3743" s="2"/>
      <c r="H3743" s="2"/>
      <c r="I3743" s="2"/>
    </row>
    <row r="3744">
      <c r="A3744" s="2">
        <f>IFERROR(__xludf.DUMMYFUNCTION("""COMPUTED_VALUE"""),90946.0)</f>
        <v>90946</v>
      </c>
      <c r="B3744" s="2" t="str">
        <f>IFERROR(__xludf.DUMMYFUNCTION("""COMPUTED_VALUE"""),"Law")</f>
        <v>Law</v>
      </c>
      <c r="C3744" s="2" t="str">
        <f>IFERROR(__xludf.DUMMYFUNCTION("""COMPUTED_VALUE"""),"Web Development")</f>
        <v>Web Development</v>
      </c>
      <c r="D3744" s="2" t="str">
        <f>IFERROR(__xludf.DUMMYFUNCTION("""COMPUTED_VALUE"""),"Harbortree Books")</f>
        <v>Harbortree Books</v>
      </c>
      <c r="E3744" s="2">
        <f>IFERROR(__xludf.DUMMYFUNCTION("""COMPUTED_VALUE"""),3.33)</f>
        <v>3.33</v>
      </c>
      <c r="F3744" s="2"/>
      <c r="G3744" s="2"/>
      <c r="H3744" s="2"/>
      <c r="I3744" s="2"/>
    </row>
    <row r="3745">
      <c r="A3745" s="2">
        <f>IFERROR(__xludf.DUMMYFUNCTION("""COMPUTED_VALUE"""),69312.0)</f>
        <v>69312</v>
      </c>
      <c r="B3745" s="2" t="str">
        <f>IFERROR(__xludf.DUMMYFUNCTION("""COMPUTED_VALUE"""),"Law")</f>
        <v>Law</v>
      </c>
      <c r="C3745" s="2" t="str">
        <f>IFERROR(__xludf.DUMMYFUNCTION("""COMPUTED_VALUE"""),"Web Development")</f>
        <v>Web Development</v>
      </c>
      <c r="D3745" s="2" t="str">
        <f>IFERROR(__xludf.DUMMYFUNCTION("""COMPUTED_VALUE"""),"Harbortree Books")</f>
        <v>Harbortree Books</v>
      </c>
      <c r="E3745" s="2">
        <f>IFERROR(__xludf.DUMMYFUNCTION("""COMPUTED_VALUE"""),1.83)</f>
        <v>1.83</v>
      </c>
      <c r="F3745" s="2"/>
      <c r="G3745" s="2"/>
      <c r="H3745" s="2"/>
      <c r="I3745" s="2"/>
    </row>
    <row r="3746">
      <c r="A3746" s="2">
        <f>IFERROR(__xludf.DUMMYFUNCTION("""COMPUTED_VALUE"""),87128.0)</f>
        <v>87128</v>
      </c>
      <c r="B3746" s="2" t="str">
        <f>IFERROR(__xludf.DUMMYFUNCTION("""COMPUTED_VALUE"""),"Law")</f>
        <v>Law</v>
      </c>
      <c r="C3746" s="2" t="str">
        <f>IFERROR(__xludf.DUMMYFUNCTION("""COMPUTED_VALUE"""),"Web Development")</f>
        <v>Web Development</v>
      </c>
      <c r="D3746" s="2" t="str">
        <f>IFERROR(__xludf.DUMMYFUNCTION("""COMPUTED_VALUE"""),"Harbortree Books")</f>
        <v>Harbortree Books</v>
      </c>
      <c r="E3746" s="2">
        <f>IFERROR(__xludf.DUMMYFUNCTION("""COMPUTED_VALUE"""),1.56)</f>
        <v>1.56</v>
      </c>
      <c r="F3746" s="2"/>
      <c r="G3746" s="2"/>
      <c r="H3746" s="2"/>
      <c r="I3746" s="2"/>
    </row>
    <row r="3747">
      <c r="A3747" s="2">
        <f>IFERROR(__xludf.DUMMYFUNCTION("""COMPUTED_VALUE"""),149506.0)</f>
        <v>149506</v>
      </c>
      <c r="B3747" s="2" t="str">
        <f>IFERROR(__xludf.DUMMYFUNCTION("""COMPUTED_VALUE"""),"Law")</f>
        <v>Law</v>
      </c>
      <c r="C3747" s="2" t="str">
        <f>IFERROR(__xludf.DUMMYFUNCTION("""COMPUTED_VALUE"""),"Web Development")</f>
        <v>Web Development</v>
      </c>
      <c r="D3747" s="2" t="str">
        <f>IFERROR(__xludf.DUMMYFUNCTION("""COMPUTED_VALUE"""),"Cedartree Press")</f>
        <v>Cedartree Press</v>
      </c>
      <c r="E3747" s="2">
        <f>IFERROR(__xludf.DUMMYFUNCTION("""COMPUTED_VALUE"""),1.95)</f>
        <v>1.95</v>
      </c>
      <c r="F3747" s="2"/>
      <c r="G3747" s="2"/>
      <c r="H3747" s="2"/>
      <c r="I3747" s="2"/>
    </row>
    <row r="3748">
      <c r="A3748" s="2">
        <f>IFERROR(__xludf.DUMMYFUNCTION("""COMPUTED_VALUE"""),5722.0)</f>
        <v>5722</v>
      </c>
      <c r="B3748" s="2" t="str">
        <f>IFERROR(__xludf.DUMMYFUNCTION("""COMPUTED_VALUE"""),"Law")</f>
        <v>Law</v>
      </c>
      <c r="C3748" s="2" t="str">
        <f>IFERROR(__xludf.DUMMYFUNCTION("""COMPUTED_VALUE"""),"Web Development")</f>
        <v>Web Development</v>
      </c>
      <c r="D3748" s="2" t="str">
        <f>IFERROR(__xludf.DUMMYFUNCTION("""COMPUTED_VALUE"""),"Brighttree Publishing")</f>
        <v>Brighttree Publishing</v>
      </c>
      <c r="E3748" s="2">
        <f>IFERROR(__xludf.DUMMYFUNCTION("""COMPUTED_VALUE"""),2.93)</f>
        <v>2.93</v>
      </c>
      <c r="F3748" s="2"/>
      <c r="G3748" s="2"/>
      <c r="H3748" s="2"/>
      <c r="I3748" s="2"/>
    </row>
    <row r="3749">
      <c r="A3749" s="2">
        <f>IFERROR(__xludf.DUMMYFUNCTION("""COMPUTED_VALUE"""),5697.0)</f>
        <v>5697</v>
      </c>
      <c r="B3749" s="2" t="str">
        <f>IFERROR(__xludf.DUMMYFUNCTION("""COMPUTED_VALUE"""),"Law")</f>
        <v>Law</v>
      </c>
      <c r="C3749" s="2" t="str">
        <f>IFERROR(__xludf.DUMMYFUNCTION("""COMPUTED_VALUE"""),"Web Development")</f>
        <v>Web Development</v>
      </c>
      <c r="D3749" s="2" t="str">
        <f>IFERROR(__xludf.DUMMYFUNCTION("""COMPUTED_VALUE"""),"Brighttree Publishing")</f>
        <v>Brighttree Publishing</v>
      </c>
      <c r="E3749" s="2">
        <f>IFERROR(__xludf.DUMMYFUNCTION("""COMPUTED_VALUE"""),2.2)</f>
        <v>2.2</v>
      </c>
      <c r="F3749" s="2"/>
      <c r="G3749" s="2"/>
      <c r="H3749" s="2"/>
      <c r="I3749" s="2"/>
    </row>
    <row r="3750">
      <c r="A3750" s="2">
        <f>IFERROR(__xludf.DUMMYFUNCTION("""COMPUTED_VALUE"""),29117.0)</f>
        <v>29117</v>
      </c>
      <c r="B3750" s="2" t="str">
        <f>IFERROR(__xludf.DUMMYFUNCTION("""COMPUTED_VALUE"""),"Law")</f>
        <v>Law</v>
      </c>
      <c r="C3750" s="2" t="str">
        <f>IFERROR(__xludf.DUMMYFUNCTION("""COMPUTED_VALUE"""),"Web Development")</f>
        <v>Web Development</v>
      </c>
      <c r="D3750" s="2" t="str">
        <f>IFERROR(__xludf.DUMMYFUNCTION("""COMPUTED_VALUE"""),"Brighttree Publishing")</f>
        <v>Brighttree Publishing</v>
      </c>
      <c r="E3750" s="2">
        <f>IFERROR(__xludf.DUMMYFUNCTION("""COMPUTED_VALUE"""),1.38)</f>
        <v>1.38</v>
      </c>
      <c r="F3750" s="2"/>
      <c r="G3750" s="2"/>
      <c r="H3750" s="2"/>
      <c r="I3750" s="2"/>
    </row>
    <row r="3751">
      <c r="A3751" s="2">
        <f>IFERROR(__xludf.DUMMYFUNCTION("""COMPUTED_VALUE"""),68305.0)</f>
        <v>68305</v>
      </c>
      <c r="B3751" s="2" t="str">
        <f>IFERROR(__xludf.DUMMYFUNCTION("""COMPUTED_VALUE"""),"Law")</f>
        <v>Law</v>
      </c>
      <c r="C3751" s="2" t="str">
        <f>IFERROR(__xludf.DUMMYFUNCTION("""COMPUTED_VALUE"""),"Web Development")</f>
        <v>Web Development</v>
      </c>
      <c r="D3751" s="2" t="str">
        <f>IFERROR(__xludf.DUMMYFUNCTION("""COMPUTED_VALUE"""),"Brighttree Publishing")</f>
        <v>Brighttree Publishing</v>
      </c>
      <c r="E3751" s="2">
        <f>IFERROR(__xludf.DUMMYFUNCTION("""COMPUTED_VALUE"""),1.8)</f>
        <v>1.8</v>
      </c>
      <c r="F3751" s="2"/>
      <c r="G3751" s="2"/>
      <c r="H3751" s="2"/>
      <c r="I3751" s="2"/>
    </row>
    <row r="3752">
      <c r="A3752" s="2">
        <f>IFERROR(__xludf.DUMMYFUNCTION("""COMPUTED_VALUE"""),5714.0)</f>
        <v>5714</v>
      </c>
      <c r="B3752" s="2" t="str">
        <f>IFERROR(__xludf.DUMMYFUNCTION("""COMPUTED_VALUE"""),"Law")</f>
        <v>Law</v>
      </c>
      <c r="C3752" s="2" t="str">
        <f>IFERROR(__xludf.DUMMYFUNCTION("""COMPUTED_VALUE"""),"Web Development")</f>
        <v>Web Development</v>
      </c>
      <c r="D3752" s="2" t="str">
        <f>IFERROR(__xludf.DUMMYFUNCTION("""COMPUTED_VALUE"""),"Brighttree Publishing")</f>
        <v>Brighttree Publishing</v>
      </c>
      <c r="E3752" s="2">
        <f>IFERROR(__xludf.DUMMYFUNCTION("""COMPUTED_VALUE"""),3.41)</f>
        <v>3.41</v>
      </c>
      <c r="F3752" s="2"/>
      <c r="G3752" s="2"/>
      <c r="H3752" s="2"/>
      <c r="I3752" s="2"/>
    </row>
    <row r="3753">
      <c r="A3753" s="2">
        <f>IFERROR(__xludf.DUMMYFUNCTION("""COMPUTED_VALUE"""),73951.0)</f>
        <v>73951</v>
      </c>
      <c r="B3753" s="2" t="str">
        <f>IFERROR(__xludf.DUMMYFUNCTION("""COMPUTED_VALUE"""),"Law")</f>
        <v>Law</v>
      </c>
      <c r="C3753" s="2" t="str">
        <f>IFERROR(__xludf.DUMMYFUNCTION("""COMPUTED_VALUE"""),"Web Development")</f>
        <v>Web Development</v>
      </c>
      <c r="D3753" s="2" t="str">
        <f>IFERROR(__xludf.DUMMYFUNCTION("""COMPUTED_VALUE"""),"Brighttree Publishing")</f>
        <v>Brighttree Publishing</v>
      </c>
      <c r="E3753" s="2">
        <f>IFERROR(__xludf.DUMMYFUNCTION("""COMPUTED_VALUE"""),1.15)</f>
        <v>1.15</v>
      </c>
      <c r="F3753" s="2"/>
      <c r="G3753" s="2"/>
      <c r="H3753" s="2"/>
      <c r="I3753" s="2"/>
    </row>
    <row r="3754">
      <c r="A3754" s="2">
        <f>IFERROR(__xludf.DUMMYFUNCTION("""COMPUTED_VALUE"""),68337.0)</f>
        <v>68337</v>
      </c>
      <c r="B3754" s="2" t="str">
        <f>IFERROR(__xludf.DUMMYFUNCTION("""COMPUTED_VALUE"""),"Law")</f>
        <v>Law</v>
      </c>
      <c r="C3754" s="2" t="str">
        <f>IFERROR(__xludf.DUMMYFUNCTION("""COMPUTED_VALUE"""),"Web Development")</f>
        <v>Web Development</v>
      </c>
      <c r="D3754" s="2" t="str">
        <f>IFERROR(__xludf.DUMMYFUNCTION("""COMPUTED_VALUE"""),"Brighttree Publishing")</f>
        <v>Brighttree Publishing</v>
      </c>
      <c r="E3754" s="2">
        <f>IFERROR(__xludf.DUMMYFUNCTION("""COMPUTED_VALUE"""),1.66)</f>
        <v>1.66</v>
      </c>
      <c r="F3754" s="2"/>
      <c r="G3754" s="2"/>
      <c r="H3754" s="2"/>
      <c r="I3754" s="2"/>
    </row>
    <row r="3755">
      <c r="A3755" s="2">
        <f>IFERROR(__xludf.DUMMYFUNCTION("""COMPUTED_VALUE"""),76338.0)</f>
        <v>76338</v>
      </c>
      <c r="B3755" s="2" t="str">
        <f>IFERROR(__xludf.DUMMYFUNCTION("""COMPUTED_VALUE"""),"Law")</f>
        <v>Law</v>
      </c>
      <c r="C3755" s="2" t="str">
        <f>IFERROR(__xludf.DUMMYFUNCTION("""COMPUTED_VALUE"""),"Web Development")</f>
        <v>Web Development</v>
      </c>
      <c r="D3755" s="2" t="str">
        <f>IFERROR(__xludf.DUMMYFUNCTION("""COMPUTED_VALUE"""),"Brighttree Publishing")</f>
        <v>Brighttree Publishing</v>
      </c>
      <c r="E3755" s="2">
        <f>IFERROR(__xludf.DUMMYFUNCTION("""COMPUTED_VALUE"""),2.38)</f>
        <v>2.38</v>
      </c>
      <c r="F3755" s="2"/>
      <c r="G3755" s="2"/>
      <c r="H3755" s="2"/>
      <c r="I3755" s="2"/>
    </row>
    <row r="3756">
      <c r="A3756" s="2">
        <f>IFERROR(__xludf.DUMMYFUNCTION("""COMPUTED_VALUE"""),202592.0)</f>
        <v>202592</v>
      </c>
      <c r="B3756" s="2" t="str">
        <f>IFERROR(__xludf.DUMMYFUNCTION("""COMPUTED_VALUE"""),"Law")</f>
        <v>Law</v>
      </c>
      <c r="C3756" s="2" t="str">
        <f>IFERROR(__xludf.DUMMYFUNCTION("""COMPUTED_VALUE"""),"Web Development")</f>
        <v>Web Development</v>
      </c>
      <c r="D3756" s="2" t="str">
        <f>IFERROR(__xludf.DUMMYFUNCTION("""COMPUTED_VALUE"""),"Brighttree Publishing")</f>
        <v>Brighttree Publishing</v>
      </c>
      <c r="E3756" s="2">
        <f>IFERROR(__xludf.DUMMYFUNCTION("""COMPUTED_VALUE"""),4.08)</f>
        <v>4.08</v>
      </c>
      <c r="F3756" s="2"/>
      <c r="G3756" s="2"/>
      <c r="H3756" s="2"/>
      <c r="I3756" s="2"/>
    </row>
    <row r="3757">
      <c r="A3757" s="2">
        <f>IFERROR(__xludf.DUMMYFUNCTION("""COMPUTED_VALUE"""),69578.0)</f>
        <v>69578</v>
      </c>
      <c r="B3757" s="2" t="str">
        <f>IFERROR(__xludf.DUMMYFUNCTION("""COMPUTED_VALUE"""),"Law")</f>
        <v>Law</v>
      </c>
      <c r="C3757" s="2" t="str">
        <f>IFERROR(__xludf.DUMMYFUNCTION("""COMPUTED_VALUE"""),"Web Development")</f>
        <v>Web Development</v>
      </c>
      <c r="D3757" s="2" t="str">
        <f>IFERROR(__xludf.DUMMYFUNCTION("""COMPUTED_VALUE"""),"Brighttree Publishing")</f>
        <v>Brighttree Publishing</v>
      </c>
      <c r="E3757" s="2">
        <f>IFERROR(__xludf.DUMMYFUNCTION("""COMPUTED_VALUE"""),2.27)</f>
        <v>2.27</v>
      </c>
      <c r="F3757" s="2"/>
      <c r="G3757" s="2"/>
      <c r="H3757" s="2"/>
      <c r="I3757" s="2"/>
    </row>
    <row r="3758">
      <c r="A3758" s="2">
        <f>IFERROR(__xludf.DUMMYFUNCTION("""COMPUTED_VALUE"""),76383.0)</f>
        <v>76383</v>
      </c>
      <c r="B3758" s="2" t="str">
        <f>IFERROR(__xludf.DUMMYFUNCTION("""COMPUTED_VALUE"""),"Law")</f>
        <v>Law</v>
      </c>
      <c r="C3758" s="2" t="str">
        <f>IFERROR(__xludf.DUMMYFUNCTION("""COMPUTED_VALUE"""),"Web Development")</f>
        <v>Web Development</v>
      </c>
      <c r="D3758" s="2" t="str">
        <f>IFERROR(__xludf.DUMMYFUNCTION("""COMPUTED_VALUE"""),"Brighttree Publishing")</f>
        <v>Brighttree Publishing</v>
      </c>
      <c r="E3758" s="2">
        <f>IFERROR(__xludf.DUMMYFUNCTION("""COMPUTED_VALUE"""),1.22)</f>
        <v>1.22</v>
      </c>
      <c r="F3758" s="2"/>
      <c r="G3758" s="2"/>
      <c r="H3758" s="2"/>
      <c r="I3758" s="2"/>
    </row>
    <row r="3759">
      <c r="A3759" s="2">
        <f>IFERROR(__xludf.DUMMYFUNCTION("""COMPUTED_VALUE"""),5696.0)</f>
        <v>5696</v>
      </c>
      <c r="B3759" s="2" t="str">
        <f>IFERROR(__xludf.DUMMYFUNCTION("""COMPUTED_VALUE"""),"Law")</f>
        <v>Law</v>
      </c>
      <c r="C3759" s="2" t="str">
        <f>IFERROR(__xludf.DUMMYFUNCTION("""COMPUTED_VALUE"""),"Web Development")</f>
        <v>Web Development</v>
      </c>
      <c r="D3759" s="2" t="str">
        <f>IFERROR(__xludf.DUMMYFUNCTION("""COMPUTED_VALUE"""),"Brighttree Publishing")</f>
        <v>Brighttree Publishing</v>
      </c>
      <c r="E3759" s="2">
        <f>IFERROR(__xludf.DUMMYFUNCTION("""COMPUTED_VALUE"""),2.45)</f>
        <v>2.45</v>
      </c>
      <c r="F3759" s="2"/>
      <c r="G3759" s="2"/>
      <c r="H3759" s="2"/>
      <c r="I3759" s="2"/>
    </row>
    <row r="3760">
      <c r="A3760" s="2">
        <f>IFERROR(__xludf.DUMMYFUNCTION("""COMPUTED_VALUE"""),90929.0)</f>
        <v>90929</v>
      </c>
      <c r="B3760" s="2" t="str">
        <f>IFERROR(__xludf.DUMMYFUNCTION("""COMPUTED_VALUE"""),"Law")</f>
        <v>Law</v>
      </c>
      <c r="C3760" s="2" t="str">
        <f>IFERROR(__xludf.DUMMYFUNCTION("""COMPUTED_VALUE"""),"Web Development")</f>
        <v>Web Development</v>
      </c>
      <c r="D3760" s="2" t="str">
        <f>IFERROR(__xludf.DUMMYFUNCTION("""COMPUTED_VALUE"""),"Brighttree Publishing")</f>
        <v>Brighttree Publishing</v>
      </c>
      <c r="E3760" s="2">
        <f>IFERROR(__xludf.DUMMYFUNCTION("""COMPUTED_VALUE"""),1.65)</f>
        <v>1.65</v>
      </c>
      <c r="F3760" s="2"/>
      <c r="G3760" s="2"/>
      <c r="H3760" s="2"/>
      <c r="I3760" s="2"/>
    </row>
    <row r="3761">
      <c r="A3761" s="2">
        <f>IFERROR(__xludf.DUMMYFUNCTION("""COMPUTED_VALUE"""),90926.0)</f>
        <v>90926</v>
      </c>
      <c r="B3761" s="2" t="str">
        <f>IFERROR(__xludf.DUMMYFUNCTION("""COMPUTED_VALUE"""),"Law")</f>
        <v>Law</v>
      </c>
      <c r="C3761" s="2" t="str">
        <f>IFERROR(__xludf.DUMMYFUNCTION("""COMPUTED_VALUE"""),"Web Development")</f>
        <v>Web Development</v>
      </c>
      <c r="D3761" s="2" t="str">
        <f>IFERROR(__xludf.DUMMYFUNCTION("""COMPUTED_VALUE"""),"Brighttree Publishing")</f>
        <v>Brighttree Publishing</v>
      </c>
      <c r="E3761" s="2">
        <f>IFERROR(__xludf.DUMMYFUNCTION("""COMPUTED_VALUE"""),6.34)</f>
        <v>6.34</v>
      </c>
      <c r="F3761" s="2"/>
      <c r="G3761" s="2"/>
      <c r="H3761" s="2"/>
      <c r="I3761" s="2"/>
    </row>
    <row r="3762">
      <c r="A3762" s="2">
        <f>IFERROR(__xludf.DUMMYFUNCTION("""COMPUTED_VALUE"""),76364.0)</f>
        <v>76364</v>
      </c>
      <c r="B3762" s="2" t="str">
        <f>IFERROR(__xludf.DUMMYFUNCTION("""COMPUTED_VALUE"""),"Law")</f>
        <v>Law</v>
      </c>
      <c r="C3762" s="2" t="str">
        <f>IFERROR(__xludf.DUMMYFUNCTION("""COMPUTED_VALUE"""),"Web Development")</f>
        <v>Web Development</v>
      </c>
      <c r="D3762" s="2" t="str">
        <f>IFERROR(__xludf.DUMMYFUNCTION("""COMPUTED_VALUE"""),"Brighttree Publishing")</f>
        <v>Brighttree Publishing</v>
      </c>
      <c r="E3762" s="2">
        <f>IFERROR(__xludf.DUMMYFUNCTION("""COMPUTED_VALUE"""),0.99)</f>
        <v>0.99</v>
      </c>
      <c r="F3762" s="2"/>
      <c r="G3762" s="2"/>
      <c r="H3762" s="2"/>
      <c r="I3762" s="2"/>
    </row>
    <row r="3763">
      <c r="A3763" s="2">
        <f>IFERROR(__xludf.DUMMYFUNCTION("""COMPUTED_VALUE"""),79152.0)</f>
        <v>79152</v>
      </c>
      <c r="B3763" s="2" t="str">
        <f>IFERROR(__xludf.DUMMYFUNCTION("""COMPUTED_VALUE"""),"Law")</f>
        <v>Law</v>
      </c>
      <c r="C3763" s="2" t="str">
        <f>IFERROR(__xludf.DUMMYFUNCTION("""COMPUTED_VALUE"""),"Web Development")</f>
        <v>Web Development</v>
      </c>
      <c r="D3763" s="2" t="str">
        <f>IFERROR(__xludf.DUMMYFUNCTION("""COMPUTED_VALUE"""),"Brighttree Publishing")</f>
        <v>Brighttree Publishing</v>
      </c>
      <c r="E3763" s="2">
        <f>IFERROR(__xludf.DUMMYFUNCTION("""COMPUTED_VALUE"""),2.74)</f>
        <v>2.74</v>
      </c>
      <c r="F3763" s="2"/>
      <c r="G3763" s="2"/>
      <c r="H3763" s="2"/>
      <c r="I3763" s="2"/>
    </row>
    <row r="3764">
      <c r="A3764" s="2">
        <f>IFERROR(__xludf.DUMMYFUNCTION("""COMPUTED_VALUE"""),30874.0)</f>
        <v>30874</v>
      </c>
      <c r="B3764" s="2" t="str">
        <f>IFERROR(__xludf.DUMMYFUNCTION("""COMPUTED_VALUE"""),"Law")</f>
        <v>Law</v>
      </c>
      <c r="C3764" s="2" t="str">
        <f>IFERROR(__xludf.DUMMYFUNCTION("""COMPUTED_VALUE"""),"Web Development")</f>
        <v>Web Development</v>
      </c>
      <c r="D3764" s="2" t="str">
        <f>IFERROR(__xludf.DUMMYFUNCTION("""COMPUTED_VALUE"""),"Brighttree Publishing")</f>
        <v>Brighttree Publishing</v>
      </c>
      <c r="E3764" s="2">
        <f>IFERROR(__xludf.DUMMYFUNCTION("""COMPUTED_VALUE"""),3.22)</f>
        <v>3.22</v>
      </c>
      <c r="F3764" s="2"/>
      <c r="G3764" s="2"/>
      <c r="H3764" s="2"/>
      <c r="I3764" s="2"/>
    </row>
    <row r="3765">
      <c r="A3765" s="2">
        <f>IFERROR(__xludf.DUMMYFUNCTION("""COMPUTED_VALUE"""),5718.0)</f>
        <v>5718</v>
      </c>
      <c r="B3765" s="2" t="str">
        <f>IFERROR(__xludf.DUMMYFUNCTION("""COMPUTED_VALUE"""),"Law")</f>
        <v>Law</v>
      </c>
      <c r="C3765" s="2" t="str">
        <f>IFERROR(__xludf.DUMMYFUNCTION("""COMPUTED_VALUE"""),"Web Development")</f>
        <v>Web Development</v>
      </c>
      <c r="D3765" s="2" t="str">
        <f>IFERROR(__xludf.DUMMYFUNCTION("""COMPUTED_VALUE"""),"Brighttree Publishing")</f>
        <v>Brighttree Publishing</v>
      </c>
      <c r="E3765" s="2">
        <f>IFERROR(__xludf.DUMMYFUNCTION("""COMPUTED_VALUE"""),3.33)</f>
        <v>3.33</v>
      </c>
      <c r="F3765" s="2"/>
      <c r="G3765" s="2"/>
      <c r="H3765" s="2"/>
      <c r="I3765" s="2"/>
    </row>
    <row r="3766">
      <c r="A3766" s="2">
        <f>IFERROR(__xludf.DUMMYFUNCTION("""COMPUTED_VALUE"""),126542.0)</f>
        <v>126542</v>
      </c>
      <c r="B3766" s="2" t="str">
        <f>IFERROR(__xludf.DUMMYFUNCTION("""COMPUTED_VALUE"""),"Law")</f>
        <v>Law</v>
      </c>
      <c r="C3766" s="2" t="str">
        <f>IFERROR(__xludf.DUMMYFUNCTION("""COMPUTED_VALUE"""),"Web Development")</f>
        <v>Web Development</v>
      </c>
      <c r="D3766" s="2" t="str">
        <f>IFERROR(__xludf.DUMMYFUNCTION("""COMPUTED_VALUE"""),"Brighttree Publishing")</f>
        <v>Brighttree Publishing</v>
      </c>
      <c r="E3766" s="2">
        <f>IFERROR(__xludf.DUMMYFUNCTION("""COMPUTED_VALUE"""),1.49)</f>
        <v>1.49</v>
      </c>
      <c r="F3766" s="2"/>
      <c r="G3766" s="2"/>
      <c r="H3766" s="2"/>
      <c r="I3766" s="2"/>
    </row>
    <row r="3767">
      <c r="A3767" s="2">
        <f>IFERROR(__xludf.DUMMYFUNCTION("""COMPUTED_VALUE"""),90852.0)</f>
        <v>90852</v>
      </c>
      <c r="B3767" s="2" t="str">
        <f>IFERROR(__xludf.DUMMYFUNCTION("""COMPUTED_VALUE"""),"Law")</f>
        <v>Law</v>
      </c>
      <c r="C3767" s="2" t="str">
        <f>IFERROR(__xludf.DUMMYFUNCTION("""COMPUTED_VALUE"""),"Web Development")</f>
        <v>Web Development</v>
      </c>
      <c r="D3767" s="2" t="str">
        <f>IFERROR(__xludf.DUMMYFUNCTION("""COMPUTED_VALUE"""),"Brighttree Publishing")</f>
        <v>Brighttree Publishing</v>
      </c>
      <c r="E3767" s="2">
        <f>IFERROR(__xludf.DUMMYFUNCTION("""COMPUTED_VALUE"""),4.32)</f>
        <v>4.32</v>
      </c>
      <c r="F3767" s="2"/>
      <c r="G3767" s="2"/>
      <c r="H3767" s="2"/>
      <c r="I3767" s="2"/>
    </row>
    <row r="3768">
      <c r="A3768" s="2">
        <f>IFERROR(__xludf.DUMMYFUNCTION("""COMPUTED_VALUE"""),122139.0)</f>
        <v>122139</v>
      </c>
      <c r="B3768" s="2" t="str">
        <f>IFERROR(__xludf.DUMMYFUNCTION("""COMPUTED_VALUE"""),"Law")</f>
        <v>Law</v>
      </c>
      <c r="C3768" s="2" t="str">
        <f>IFERROR(__xludf.DUMMYFUNCTION("""COMPUTED_VALUE"""),"Web Development")</f>
        <v>Web Development</v>
      </c>
      <c r="D3768" s="2" t="str">
        <f>IFERROR(__xludf.DUMMYFUNCTION("""COMPUTED_VALUE"""),"Brighttree Publishing")</f>
        <v>Brighttree Publishing</v>
      </c>
      <c r="E3768" s="2">
        <f>IFERROR(__xludf.DUMMYFUNCTION("""COMPUTED_VALUE"""),2.57)</f>
        <v>2.57</v>
      </c>
      <c r="F3768" s="2"/>
      <c r="G3768" s="2"/>
      <c r="H3768" s="2"/>
      <c r="I3768" s="2"/>
    </row>
    <row r="3769">
      <c r="A3769" s="2">
        <f>IFERROR(__xludf.DUMMYFUNCTION("""COMPUTED_VALUE"""),126975.0)</f>
        <v>126975</v>
      </c>
      <c r="B3769" s="2" t="str">
        <f>IFERROR(__xludf.DUMMYFUNCTION("""COMPUTED_VALUE"""),"Law")</f>
        <v>Law</v>
      </c>
      <c r="C3769" s="2" t="str">
        <f>IFERROR(__xludf.DUMMYFUNCTION("""COMPUTED_VALUE"""),"Web Development")</f>
        <v>Web Development</v>
      </c>
      <c r="D3769" s="2" t="str">
        <f>IFERROR(__xludf.DUMMYFUNCTION("""COMPUTED_VALUE"""),"Brighttree Publishing")</f>
        <v>Brighttree Publishing</v>
      </c>
      <c r="E3769" s="2">
        <f>IFERROR(__xludf.DUMMYFUNCTION("""COMPUTED_VALUE"""),5.57)</f>
        <v>5.57</v>
      </c>
      <c r="F3769" s="2"/>
      <c r="G3769" s="2"/>
      <c r="H3769" s="2"/>
      <c r="I3769" s="2"/>
    </row>
    <row r="3770">
      <c r="A3770" s="2">
        <f>IFERROR(__xludf.DUMMYFUNCTION("""COMPUTED_VALUE"""),202593.0)</f>
        <v>202593</v>
      </c>
      <c r="B3770" s="2" t="str">
        <f>IFERROR(__xludf.DUMMYFUNCTION("""COMPUTED_VALUE"""),"Law")</f>
        <v>Law</v>
      </c>
      <c r="C3770" s="2" t="str">
        <f>IFERROR(__xludf.DUMMYFUNCTION("""COMPUTED_VALUE"""),"Web Development")</f>
        <v>Web Development</v>
      </c>
      <c r="D3770" s="2" t="str">
        <f>IFERROR(__xludf.DUMMYFUNCTION("""COMPUTED_VALUE"""),"Brighttree Publishing")</f>
        <v>Brighttree Publishing</v>
      </c>
      <c r="E3770" s="2">
        <f>IFERROR(__xludf.DUMMYFUNCTION("""COMPUTED_VALUE"""),2.17)</f>
        <v>2.17</v>
      </c>
      <c r="F3770" s="2"/>
      <c r="G3770" s="2"/>
      <c r="H3770" s="2"/>
      <c r="I3770" s="2"/>
    </row>
    <row r="3771">
      <c r="A3771" s="2">
        <f>IFERROR(__xludf.DUMMYFUNCTION("""COMPUTED_VALUE"""),73940.0)</f>
        <v>73940</v>
      </c>
      <c r="B3771" s="2" t="str">
        <f>IFERROR(__xludf.DUMMYFUNCTION("""COMPUTED_VALUE"""),"Law")</f>
        <v>Law</v>
      </c>
      <c r="C3771" s="2" t="str">
        <f>IFERROR(__xludf.DUMMYFUNCTION("""COMPUTED_VALUE"""),"Web Development")</f>
        <v>Web Development</v>
      </c>
      <c r="D3771" s="2" t="str">
        <f>IFERROR(__xludf.DUMMYFUNCTION("""COMPUTED_VALUE"""),"Brighttree Publishing")</f>
        <v>Brighttree Publishing</v>
      </c>
      <c r="E3771" s="2">
        <f>IFERROR(__xludf.DUMMYFUNCTION("""COMPUTED_VALUE"""),2.2)</f>
        <v>2.2</v>
      </c>
      <c r="F3771" s="2"/>
      <c r="G3771" s="2"/>
      <c r="H3771" s="2"/>
      <c r="I3771" s="2"/>
    </row>
    <row r="3772">
      <c r="A3772" s="2">
        <f>IFERROR(__xludf.DUMMYFUNCTION("""COMPUTED_VALUE"""),76360.0)</f>
        <v>76360</v>
      </c>
      <c r="B3772" s="2" t="str">
        <f>IFERROR(__xludf.DUMMYFUNCTION("""COMPUTED_VALUE"""),"Law")</f>
        <v>Law</v>
      </c>
      <c r="C3772" s="2" t="str">
        <f>IFERROR(__xludf.DUMMYFUNCTION("""COMPUTED_VALUE"""),"Web Development")</f>
        <v>Web Development</v>
      </c>
      <c r="D3772" s="2" t="str">
        <f>IFERROR(__xludf.DUMMYFUNCTION("""COMPUTED_VALUE"""),"Brighttree Publishing")</f>
        <v>Brighttree Publishing</v>
      </c>
      <c r="E3772" s="2">
        <f>IFERROR(__xludf.DUMMYFUNCTION("""COMPUTED_VALUE"""),1.23)</f>
        <v>1.23</v>
      </c>
      <c r="F3772" s="2"/>
      <c r="G3772" s="2"/>
      <c r="H3772" s="2"/>
      <c r="I3772" s="2"/>
    </row>
    <row r="3773">
      <c r="A3773" s="2">
        <f>IFERROR(__xludf.DUMMYFUNCTION("""COMPUTED_VALUE"""),118876.0)</f>
        <v>118876</v>
      </c>
      <c r="B3773" s="2" t="str">
        <f>IFERROR(__xludf.DUMMYFUNCTION("""COMPUTED_VALUE"""),"Law")</f>
        <v>Law</v>
      </c>
      <c r="C3773" s="2" t="str">
        <f>IFERROR(__xludf.DUMMYFUNCTION("""COMPUTED_VALUE"""),"Web Development")</f>
        <v>Web Development</v>
      </c>
      <c r="D3773" s="2" t="str">
        <f>IFERROR(__xludf.DUMMYFUNCTION("""COMPUTED_VALUE"""),"Brighttree Publishing")</f>
        <v>Brighttree Publishing</v>
      </c>
      <c r="E3773" s="2">
        <f>IFERROR(__xludf.DUMMYFUNCTION("""COMPUTED_VALUE"""),1.18)</f>
        <v>1.18</v>
      </c>
      <c r="F3773" s="2"/>
      <c r="G3773" s="2"/>
      <c r="H3773" s="2"/>
      <c r="I3773" s="2"/>
    </row>
    <row r="3774">
      <c r="A3774" s="2">
        <f>IFERROR(__xludf.DUMMYFUNCTION("""COMPUTED_VALUE"""),76366.0)</f>
        <v>76366</v>
      </c>
      <c r="B3774" s="2" t="str">
        <f>IFERROR(__xludf.DUMMYFUNCTION("""COMPUTED_VALUE"""),"Law")</f>
        <v>Law</v>
      </c>
      <c r="C3774" s="2" t="str">
        <f>IFERROR(__xludf.DUMMYFUNCTION("""COMPUTED_VALUE"""),"Web Development")</f>
        <v>Web Development</v>
      </c>
      <c r="D3774" s="2" t="str">
        <f>IFERROR(__xludf.DUMMYFUNCTION("""COMPUTED_VALUE"""),"Brighttree Publishing")</f>
        <v>Brighttree Publishing</v>
      </c>
      <c r="E3774" s="2">
        <f>IFERROR(__xludf.DUMMYFUNCTION("""COMPUTED_VALUE"""),1.82)</f>
        <v>1.82</v>
      </c>
      <c r="F3774" s="2"/>
      <c r="G3774" s="2"/>
      <c r="H3774" s="2"/>
      <c r="I3774" s="2"/>
    </row>
    <row r="3775">
      <c r="A3775" s="2">
        <f>IFERROR(__xludf.DUMMYFUNCTION("""COMPUTED_VALUE"""),122645.0)</f>
        <v>122645</v>
      </c>
      <c r="B3775" s="2" t="str">
        <f>IFERROR(__xludf.DUMMYFUNCTION("""COMPUTED_VALUE"""),"Law")</f>
        <v>Law</v>
      </c>
      <c r="C3775" s="2" t="str">
        <f>IFERROR(__xludf.DUMMYFUNCTION("""COMPUTED_VALUE"""),"Web Development")</f>
        <v>Web Development</v>
      </c>
      <c r="D3775" s="2" t="str">
        <f>IFERROR(__xludf.DUMMYFUNCTION("""COMPUTED_VALUE"""),"Brighttree Publishing")</f>
        <v>Brighttree Publishing</v>
      </c>
      <c r="E3775" s="2">
        <f>IFERROR(__xludf.DUMMYFUNCTION("""COMPUTED_VALUE"""),5.54)</f>
        <v>5.54</v>
      </c>
      <c r="F3775" s="2"/>
      <c r="G3775" s="2"/>
      <c r="H3775" s="2"/>
      <c r="I3775" s="2"/>
    </row>
    <row r="3776">
      <c r="A3776" s="2">
        <f>IFERROR(__xludf.DUMMYFUNCTION("""COMPUTED_VALUE"""),76372.0)</f>
        <v>76372</v>
      </c>
      <c r="B3776" s="2" t="str">
        <f>IFERROR(__xludf.DUMMYFUNCTION("""COMPUTED_VALUE"""),"Law")</f>
        <v>Law</v>
      </c>
      <c r="C3776" s="2" t="str">
        <f>IFERROR(__xludf.DUMMYFUNCTION("""COMPUTED_VALUE"""),"Web Development")</f>
        <v>Web Development</v>
      </c>
      <c r="D3776" s="2" t="str">
        <f>IFERROR(__xludf.DUMMYFUNCTION("""COMPUTED_VALUE"""),"Brighttree Publishing")</f>
        <v>Brighttree Publishing</v>
      </c>
      <c r="E3776" s="2">
        <f>IFERROR(__xludf.DUMMYFUNCTION("""COMPUTED_VALUE"""),2.57)</f>
        <v>2.57</v>
      </c>
      <c r="F3776" s="2"/>
      <c r="G3776" s="2"/>
      <c r="H3776" s="2"/>
      <c r="I3776" s="2"/>
    </row>
    <row r="3777">
      <c r="A3777" s="2">
        <f>IFERROR(__xludf.DUMMYFUNCTION("""COMPUTED_VALUE"""),5720.0)</f>
        <v>5720</v>
      </c>
      <c r="B3777" s="2" t="str">
        <f>IFERROR(__xludf.DUMMYFUNCTION("""COMPUTED_VALUE"""),"Law")</f>
        <v>Law</v>
      </c>
      <c r="C3777" s="2" t="str">
        <f>IFERROR(__xludf.DUMMYFUNCTION("""COMPUTED_VALUE"""),"Web Development")</f>
        <v>Web Development</v>
      </c>
      <c r="D3777" s="2" t="str">
        <f>IFERROR(__xludf.DUMMYFUNCTION("""COMPUTED_VALUE"""),"Brighttree Publishing")</f>
        <v>Brighttree Publishing</v>
      </c>
      <c r="E3777" s="2">
        <f>IFERROR(__xludf.DUMMYFUNCTION("""COMPUTED_VALUE"""),2.52)</f>
        <v>2.52</v>
      </c>
      <c r="F3777" s="2"/>
      <c r="G3777" s="2"/>
      <c r="H3777" s="2"/>
      <c r="I3777" s="2"/>
    </row>
    <row r="3778">
      <c r="A3778" s="2">
        <f>IFERROR(__xludf.DUMMYFUNCTION("""COMPUTED_VALUE"""),5695.0)</f>
        <v>5695</v>
      </c>
      <c r="B3778" s="2" t="str">
        <f>IFERROR(__xludf.DUMMYFUNCTION("""COMPUTED_VALUE"""),"Law")</f>
        <v>Law</v>
      </c>
      <c r="C3778" s="2" t="str">
        <f>IFERROR(__xludf.DUMMYFUNCTION("""COMPUTED_VALUE"""),"Web Development")</f>
        <v>Web Development</v>
      </c>
      <c r="D3778" s="2" t="str">
        <f>IFERROR(__xludf.DUMMYFUNCTION("""COMPUTED_VALUE"""),"Brighttree Publishing")</f>
        <v>Brighttree Publishing</v>
      </c>
      <c r="E3778" s="2">
        <f>IFERROR(__xludf.DUMMYFUNCTION("""COMPUTED_VALUE"""),1.73)</f>
        <v>1.73</v>
      </c>
      <c r="F3778" s="2"/>
      <c r="G3778" s="2"/>
      <c r="H3778" s="2"/>
      <c r="I3778" s="2"/>
    </row>
    <row r="3779">
      <c r="A3779" s="2">
        <f>IFERROR(__xludf.DUMMYFUNCTION("""COMPUTED_VALUE"""),90931.0)</f>
        <v>90931</v>
      </c>
      <c r="B3779" s="2" t="str">
        <f>IFERROR(__xludf.DUMMYFUNCTION("""COMPUTED_VALUE"""),"Law")</f>
        <v>Law</v>
      </c>
      <c r="C3779" s="2" t="str">
        <f>IFERROR(__xludf.DUMMYFUNCTION("""COMPUTED_VALUE"""),"Web Development")</f>
        <v>Web Development</v>
      </c>
      <c r="D3779" s="2" t="str">
        <f>IFERROR(__xludf.DUMMYFUNCTION("""COMPUTED_VALUE"""),"Brighttree Publishing")</f>
        <v>Brighttree Publishing</v>
      </c>
      <c r="E3779" s="2">
        <f>IFERROR(__xludf.DUMMYFUNCTION("""COMPUTED_VALUE"""),1.26)</f>
        <v>1.26</v>
      </c>
      <c r="F3779" s="2"/>
      <c r="G3779" s="2"/>
      <c r="H3779" s="2"/>
      <c r="I3779" s="2"/>
    </row>
    <row r="3780">
      <c r="A3780" s="2">
        <f>IFERROR(__xludf.DUMMYFUNCTION("""COMPUTED_VALUE"""),110085.0)</f>
        <v>110085</v>
      </c>
      <c r="B3780" s="2" t="str">
        <f>IFERROR(__xludf.DUMMYFUNCTION("""COMPUTED_VALUE"""),"Law")</f>
        <v>Law</v>
      </c>
      <c r="C3780" s="2" t="str">
        <f>IFERROR(__xludf.DUMMYFUNCTION("""COMPUTED_VALUE"""),"Web Development")</f>
        <v>Web Development</v>
      </c>
      <c r="D3780" s="2" t="str">
        <f>IFERROR(__xludf.DUMMYFUNCTION("""COMPUTED_VALUE"""),"Brighttree Publishing")</f>
        <v>Brighttree Publishing</v>
      </c>
      <c r="E3780" s="2">
        <f>IFERROR(__xludf.DUMMYFUNCTION("""COMPUTED_VALUE"""),0.89)</f>
        <v>0.89</v>
      </c>
      <c r="F3780" s="2"/>
      <c r="G3780" s="2"/>
      <c r="H3780" s="2"/>
      <c r="I3780" s="2"/>
    </row>
    <row r="3781">
      <c r="A3781" s="2">
        <f>IFERROR(__xludf.DUMMYFUNCTION("""COMPUTED_VALUE"""),113096.0)</f>
        <v>113096</v>
      </c>
      <c r="B3781" s="2" t="str">
        <f>IFERROR(__xludf.DUMMYFUNCTION("""COMPUTED_VALUE"""),"Law")</f>
        <v>Law</v>
      </c>
      <c r="C3781" s="2" t="str">
        <f>IFERROR(__xludf.DUMMYFUNCTION("""COMPUTED_VALUE"""),"Web Development")</f>
        <v>Web Development</v>
      </c>
      <c r="D3781" s="2" t="str">
        <f>IFERROR(__xludf.DUMMYFUNCTION("""COMPUTED_VALUE"""),"Brighttree Publishing")</f>
        <v>Brighttree Publishing</v>
      </c>
      <c r="E3781" s="2">
        <f>IFERROR(__xludf.DUMMYFUNCTION("""COMPUTED_VALUE"""),2.49)</f>
        <v>2.49</v>
      </c>
      <c r="F3781" s="2"/>
      <c r="G3781" s="2"/>
      <c r="H3781" s="2"/>
      <c r="I3781" s="2"/>
    </row>
    <row r="3782">
      <c r="A3782" s="2">
        <f>IFERROR(__xludf.DUMMYFUNCTION("""COMPUTED_VALUE"""),90878.0)</f>
        <v>90878</v>
      </c>
      <c r="B3782" s="2" t="str">
        <f>IFERROR(__xludf.DUMMYFUNCTION("""COMPUTED_VALUE"""),"Law")</f>
        <v>Law</v>
      </c>
      <c r="C3782" s="2" t="str">
        <f>IFERROR(__xludf.DUMMYFUNCTION("""COMPUTED_VALUE"""),"Web Development")</f>
        <v>Web Development</v>
      </c>
      <c r="D3782" s="2" t="str">
        <f>IFERROR(__xludf.DUMMYFUNCTION("""COMPUTED_VALUE"""),"Brighttree Publishing")</f>
        <v>Brighttree Publishing</v>
      </c>
      <c r="E3782" s="2">
        <f>IFERROR(__xludf.DUMMYFUNCTION("""COMPUTED_VALUE"""),2.42)</f>
        <v>2.42</v>
      </c>
      <c r="F3782" s="2"/>
      <c r="G3782" s="2"/>
      <c r="H3782" s="2"/>
      <c r="I3782" s="2"/>
    </row>
    <row r="3783">
      <c r="A3783" s="2">
        <f>IFERROR(__xludf.DUMMYFUNCTION("""COMPUTED_VALUE"""),73938.0)</f>
        <v>73938</v>
      </c>
      <c r="B3783" s="2" t="str">
        <f>IFERROR(__xludf.DUMMYFUNCTION("""COMPUTED_VALUE"""),"Law")</f>
        <v>Law</v>
      </c>
      <c r="C3783" s="2" t="str">
        <f>IFERROR(__xludf.DUMMYFUNCTION("""COMPUTED_VALUE"""),"Web Development")</f>
        <v>Web Development</v>
      </c>
      <c r="D3783" s="2" t="str">
        <f>IFERROR(__xludf.DUMMYFUNCTION("""COMPUTED_VALUE"""),"Brighttree Publishing")</f>
        <v>Brighttree Publishing</v>
      </c>
      <c r="E3783" s="2">
        <f>IFERROR(__xludf.DUMMYFUNCTION("""COMPUTED_VALUE"""),2.19)</f>
        <v>2.19</v>
      </c>
      <c r="F3783" s="2"/>
      <c r="G3783" s="2"/>
      <c r="H3783" s="2"/>
      <c r="I3783" s="2"/>
    </row>
    <row r="3784">
      <c r="A3784" s="2">
        <f>IFERROR(__xludf.DUMMYFUNCTION("""COMPUTED_VALUE"""),5698.0)</f>
        <v>5698</v>
      </c>
      <c r="B3784" s="2" t="str">
        <f>IFERROR(__xludf.DUMMYFUNCTION("""COMPUTED_VALUE"""),"Law")</f>
        <v>Law</v>
      </c>
      <c r="C3784" s="2" t="str">
        <f>IFERROR(__xludf.DUMMYFUNCTION("""COMPUTED_VALUE"""),"Web Development")</f>
        <v>Web Development</v>
      </c>
      <c r="D3784" s="2" t="str">
        <f>IFERROR(__xludf.DUMMYFUNCTION("""COMPUTED_VALUE"""),"Brighttree Publishing")</f>
        <v>Brighttree Publishing</v>
      </c>
      <c r="E3784" s="2">
        <f>IFERROR(__xludf.DUMMYFUNCTION("""COMPUTED_VALUE"""),3.54)</f>
        <v>3.54</v>
      </c>
      <c r="F3784" s="2"/>
      <c r="G3784" s="2"/>
      <c r="H3784" s="2"/>
      <c r="I3784" s="2"/>
    </row>
    <row r="3785">
      <c r="A3785" s="2">
        <f>IFERROR(__xludf.DUMMYFUNCTION("""COMPUTED_VALUE"""),76373.0)</f>
        <v>76373</v>
      </c>
      <c r="B3785" s="2" t="str">
        <f>IFERROR(__xludf.DUMMYFUNCTION("""COMPUTED_VALUE"""),"Law")</f>
        <v>Law</v>
      </c>
      <c r="C3785" s="2" t="str">
        <f>IFERROR(__xludf.DUMMYFUNCTION("""COMPUTED_VALUE"""),"Web Development")</f>
        <v>Web Development</v>
      </c>
      <c r="D3785" s="2" t="str">
        <f>IFERROR(__xludf.DUMMYFUNCTION("""COMPUTED_VALUE"""),"Brighttree Publishing")</f>
        <v>Brighttree Publishing</v>
      </c>
      <c r="E3785" s="2">
        <f>IFERROR(__xludf.DUMMYFUNCTION("""COMPUTED_VALUE"""),1.66)</f>
        <v>1.66</v>
      </c>
      <c r="F3785" s="2"/>
      <c r="G3785" s="2"/>
      <c r="H3785" s="2"/>
      <c r="I3785" s="2"/>
    </row>
    <row r="3786">
      <c r="A3786" s="2">
        <f>IFERROR(__xludf.DUMMYFUNCTION("""COMPUTED_VALUE"""),73945.0)</f>
        <v>73945</v>
      </c>
      <c r="B3786" s="2" t="str">
        <f>IFERROR(__xludf.DUMMYFUNCTION("""COMPUTED_VALUE"""),"Law")</f>
        <v>Law</v>
      </c>
      <c r="C3786" s="2" t="str">
        <f>IFERROR(__xludf.DUMMYFUNCTION("""COMPUTED_VALUE"""),"Web Development")</f>
        <v>Web Development</v>
      </c>
      <c r="D3786" s="2" t="str">
        <f>IFERROR(__xludf.DUMMYFUNCTION("""COMPUTED_VALUE"""),"Brighttree Publishing")</f>
        <v>Brighttree Publishing</v>
      </c>
      <c r="E3786" s="2">
        <f>IFERROR(__xludf.DUMMYFUNCTION("""COMPUTED_VALUE"""),1.91)</f>
        <v>1.91</v>
      </c>
      <c r="F3786" s="2"/>
      <c r="G3786" s="2"/>
      <c r="H3786" s="2"/>
      <c r="I3786" s="2"/>
    </row>
    <row r="3787">
      <c r="A3787" s="2">
        <f>IFERROR(__xludf.DUMMYFUNCTION("""COMPUTED_VALUE"""),159200.0)</f>
        <v>159200</v>
      </c>
      <c r="B3787" s="2" t="str">
        <f>IFERROR(__xludf.DUMMYFUNCTION("""COMPUTED_VALUE"""),"Law")</f>
        <v>Law</v>
      </c>
      <c r="C3787" s="2" t="str">
        <f>IFERROR(__xludf.DUMMYFUNCTION("""COMPUTED_VALUE"""),"Web Development")</f>
        <v>Web Development</v>
      </c>
      <c r="D3787" s="2" t="str">
        <f>IFERROR(__xludf.DUMMYFUNCTION("""COMPUTED_VALUE"""),"Brighttree Publishing")</f>
        <v>Brighttree Publishing</v>
      </c>
      <c r="E3787" s="2">
        <f>IFERROR(__xludf.DUMMYFUNCTION("""COMPUTED_VALUE"""),1.23)</f>
        <v>1.23</v>
      </c>
      <c r="F3787" s="2"/>
      <c r="G3787" s="2"/>
      <c r="H3787" s="2"/>
      <c r="I3787" s="2"/>
    </row>
    <row r="3788">
      <c r="A3788" s="2">
        <f>IFERROR(__xludf.DUMMYFUNCTION("""COMPUTED_VALUE"""),68354.0)</f>
        <v>68354</v>
      </c>
      <c r="B3788" s="2" t="str">
        <f>IFERROR(__xludf.DUMMYFUNCTION("""COMPUTED_VALUE"""),"Law")</f>
        <v>Law</v>
      </c>
      <c r="C3788" s="2" t="str">
        <f>IFERROR(__xludf.DUMMYFUNCTION("""COMPUTED_VALUE"""),"Web Development")</f>
        <v>Web Development</v>
      </c>
      <c r="D3788" s="2" t="str">
        <f>IFERROR(__xludf.DUMMYFUNCTION("""COMPUTED_VALUE"""),"Brighttree Publishing")</f>
        <v>Brighttree Publishing</v>
      </c>
      <c r="E3788" s="2">
        <f>IFERROR(__xludf.DUMMYFUNCTION("""COMPUTED_VALUE"""),3.08)</f>
        <v>3.08</v>
      </c>
      <c r="F3788" s="2"/>
      <c r="G3788" s="2"/>
      <c r="H3788" s="2"/>
      <c r="I3788" s="2"/>
    </row>
    <row r="3789">
      <c r="A3789" s="2">
        <f>IFERROR(__xludf.DUMMYFUNCTION("""COMPUTED_VALUE"""),5712.0)</f>
        <v>5712</v>
      </c>
      <c r="B3789" s="2" t="str">
        <f>IFERROR(__xludf.DUMMYFUNCTION("""COMPUTED_VALUE"""),"Law")</f>
        <v>Law</v>
      </c>
      <c r="C3789" s="2" t="str">
        <f>IFERROR(__xludf.DUMMYFUNCTION("""COMPUTED_VALUE"""),"Web Development")</f>
        <v>Web Development</v>
      </c>
      <c r="D3789" s="2" t="str">
        <f>IFERROR(__xludf.DUMMYFUNCTION("""COMPUTED_VALUE"""),"Brighttree Publishing")</f>
        <v>Brighttree Publishing</v>
      </c>
      <c r="E3789" s="2">
        <f>IFERROR(__xludf.DUMMYFUNCTION("""COMPUTED_VALUE"""),3.2)</f>
        <v>3.2</v>
      </c>
      <c r="F3789" s="2"/>
      <c r="G3789" s="2"/>
      <c r="H3789" s="2"/>
      <c r="I3789" s="2"/>
    </row>
    <row r="3790">
      <c r="A3790" s="2">
        <f>IFERROR(__xludf.DUMMYFUNCTION("""COMPUTED_VALUE"""),114471.0)</f>
        <v>114471</v>
      </c>
      <c r="B3790" s="2" t="str">
        <f>IFERROR(__xludf.DUMMYFUNCTION("""COMPUTED_VALUE"""),"Law")</f>
        <v>Law</v>
      </c>
      <c r="C3790" s="2" t="str">
        <f>IFERROR(__xludf.DUMMYFUNCTION("""COMPUTED_VALUE"""),"Web Development")</f>
        <v>Web Development</v>
      </c>
      <c r="D3790" s="2" t="str">
        <f>IFERROR(__xludf.DUMMYFUNCTION("""COMPUTED_VALUE"""),"Brighttree Publishing")</f>
        <v>Brighttree Publishing</v>
      </c>
      <c r="E3790" s="2">
        <f>IFERROR(__xludf.DUMMYFUNCTION("""COMPUTED_VALUE"""),3.84)</f>
        <v>3.84</v>
      </c>
      <c r="F3790" s="2"/>
      <c r="G3790" s="2"/>
      <c r="H3790" s="2"/>
      <c r="I3790" s="2"/>
    </row>
    <row r="3791">
      <c r="A3791" s="2">
        <f>IFERROR(__xludf.DUMMYFUNCTION("""COMPUTED_VALUE"""),90934.0)</f>
        <v>90934</v>
      </c>
      <c r="B3791" s="2" t="str">
        <f>IFERROR(__xludf.DUMMYFUNCTION("""COMPUTED_VALUE"""),"Law")</f>
        <v>Law</v>
      </c>
      <c r="C3791" s="2" t="str">
        <f>IFERROR(__xludf.DUMMYFUNCTION("""COMPUTED_VALUE"""),"Web Development")</f>
        <v>Web Development</v>
      </c>
      <c r="D3791" s="2" t="str">
        <f>IFERROR(__xludf.DUMMYFUNCTION("""COMPUTED_VALUE"""),"Brighttree Publishing")</f>
        <v>Brighttree Publishing</v>
      </c>
      <c r="E3791" s="2">
        <f>IFERROR(__xludf.DUMMYFUNCTION("""COMPUTED_VALUE"""),15.02)</f>
        <v>15.02</v>
      </c>
      <c r="F3791" s="2"/>
      <c r="G3791" s="2"/>
      <c r="H3791" s="2"/>
      <c r="I3791" s="2"/>
    </row>
    <row r="3792">
      <c r="A3792" s="2">
        <f>IFERROR(__xludf.DUMMYFUNCTION("""COMPUTED_VALUE"""),87851.0)</f>
        <v>87851</v>
      </c>
      <c r="B3792" s="2" t="str">
        <f>IFERROR(__xludf.DUMMYFUNCTION("""COMPUTED_VALUE"""),"Law")</f>
        <v>Law</v>
      </c>
      <c r="C3792" s="2" t="str">
        <f>IFERROR(__xludf.DUMMYFUNCTION("""COMPUTED_VALUE"""),"Web Development")</f>
        <v>Web Development</v>
      </c>
      <c r="D3792" s="2" t="str">
        <f>IFERROR(__xludf.DUMMYFUNCTION("""COMPUTED_VALUE"""),"Brighttree Publishing")</f>
        <v>Brighttree Publishing</v>
      </c>
      <c r="E3792" s="2">
        <f>IFERROR(__xludf.DUMMYFUNCTION("""COMPUTED_VALUE"""),1.56)</f>
        <v>1.56</v>
      </c>
      <c r="F3792" s="2"/>
      <c r="G3792" s="2"/>
      <c r="H3792" s="2"/>
      <c r="I3792" s="2"/>
    </row>
    <row r="3793">
      <c r="A3793" s="2">
        <f>IFERROR(__xludf.DUMMYFUNCTION("""COMPUTED_VALUE"""),90891.0)</f>
        <v>90891</v>
      </c>
      <c r="B3793" s="2" t="str">
        <f>IFERROR(__xludf.DUMMYFUNCTION("""COMPUTED_VALUE"""),"Law")</f>
        <v>Law</v>
      </c>
      <c r="C3793" s="2" t="str">
        <f>IFERROR(__xludf.DUMMYFUNCTION("""COMPUTED_VALUE"""),"Web Development")</f>
        <v>Web Development</v>
      </c>
      <c r="D3793" s="2" t="str">
        <f>IFERROR(__xludf.DUMMYFUNCTION("""COMPUTED_VALUE"""),"Brighttree Publishing")</f>
        <v>Brighttree Publishing</v>
      </c>
      <c r="E3793" s="2">
        <f>IFERROR(__xludf.DUMMYFUNCTION("""COMPUTED_VALUE"""),8.49)</f>
        <v>8.49</v>
      </c>
      <c r="F3793" s="2"/>
      <c r="G3793" s="2"/>
      <c r="H3793" s="2"/>
      <c r="I3793" s="2"/>
    </row>
    <row r="3794">
      <c r="A3794" s="2">
        <f>IFERROR(__xludf.DUMMYFUNCTION("""COMPUTED_VALUE"""),69579.0)</f>
        <v>69579</v>
      </c>
      <c r="B3794" s="2" t="str">
        <f>IFERROR(__xludf.DUMMYFUNCTION("""COMPUTED_VALUE"""),"Law")</f>
        <v>Law</v>
      </c>
      <c r="C3794" s="2" t="str">
        <f>IFERROR(__xludf.DUMMYFUNCTION("""COMPUTED_VALUE"""),"Web Development")</f>
        <v>Web Development</v>
      </c>
      <c r="D3794" s="2" t="str">
        <f>IFERROR(__xludf.DUMMYFUNCTION("""COMPUTED_VALUE"""),"Brighttree Publishing")</f>
        <v>Brighttree Publishing</v>
      </c>
      <c r="E3794" s="2">
        <f>IFERROR(__xludf.DUMMYFUNCTION("""COMPUTED_VALUE"""),2.26)</f>
        <v>2.26</v>
      </c>
      <c r="F3794" s="2"/>
      <c r="G3794" s="2"/>
      <c r="H3794" s="2"/>
      <c r="I3794" s="2"/>
    </row>
    <row r="3795">
      <c r="A3795" s="2">
        <f>IFERROR(__xludf.DUMMYFUNCTION("""COMPUTED_VALUE"""),90924.0)</f>
        <v>90924</v>
      </c>
      <c r="B3795" s="2" t="str">
        <f>IFERROR(__xludf.DUMMYFUNCTION("""COMPUTED_VALUE"""),"Law")</f>
        <v>Law</v>
      </c>
      <c r="C3795" s="2" t="str">
        <f>IFERROR(__xludf.DUMMYFUNCTION("""COMPUTED_VALUE"""),"Web Development")</f>
        <v>Web Development</v>
      </c>
      <c r="D3795" s="2" t="str">
        <f>IFERROR(__xludf.DUMMYFUNCTION("""COMPUTED_VALUE"""),"Brighttree Publishing")</f>
        <v>Brighttree Publishing</v>
      </c>
      <c r="E3795" s="2">
        <f>IFERROR(__xludf.DUMMYFUNCTION("""COMPUTED_VALUE"""),2.48)</f>
        <v>2.48</v>
      </c>
      <c r="F3795" s="2"/>
      <c r="G3795" s="2"/>
      <c r="H3795" s="2"/>
      <c r="I3795" s="2"/>
    </row>
    <row r="3796">
      <c r="A3796" s="2">
        <f>IFERROR(__xludf.DUMMYFUNCTION("""COMPUTED_VALUE"""),69311.0)</f>
        <v>69311</v>
      </c>
      <c r="B3796" s="2" t="str">
        <f>IFERROR(__xludf.DUMMYFUNCTION("""COMPUTED_VALUE"""),"Law")</f>
        <v>Law</v>
      </c>
      <c r="C3796" s="2" t="str">
        <f>IFERROR(__xludf.DUMMYFUNCTION("""COMPUTED_VALUE"""),"Web Development")</f>
        <v>Web Development</v>
      </c>
      <c r="D3796" s="2" t="str">
        <f>IFERROR(__xludf.DUMMYFUNCTION("""COMPUTED_VALUE"""),"Brighttree Publishing")</f>
        <v>Brighttree Publishing</v>
      </c>
      <c r="E3796" s="2">
        <f>IFERROR(__xludf.DUMMYFUNCTION("""COMPUTED_VALUE"""),1.53)</f>
        <v>1.53</v>
      </c>
      <c r="F3796" s="2"/>
      <c r="G3796" s="2"/>
      <c r="H3796" s="2"/>
      <c r="I3796" s="2"/>
    </row>
    <row r="3797">
      <c r="A3797" s="2">
        <f>IFERROR(__xludf.DUMMYFUNCTION("""COMPUTED_VALUE"""),90923.0)</f>
        <v>90923</v>
      </c>
      <c r="B3797" s="2" t="str">
        <f>IFERROR(__xludf.DUMMYFUNCTION("""COMPUTED_VALUE"""),"Law")</f>
        <v>Law</v>
      </c>
      <c r="C3797" s="2" t="str">
        <f>IFERROR(__xludf.DUMMYFUNCTION("""COMPUTED_VALUE"""),"Web Development")</f>
        <v>Web Development</v>
      </c>
      <c r="D3797" s="2" t="str">
        <f>IFERROR(__xludf.DUMMYFUNCTION("""COMPUTED_VALUE"""),"Oaktree Books")</f>
        <v>Oaktree Books</v>
      </c>
      <c r="E3797" s="2">
        <f>IFERROR(__xludf.DUMMYFUNCTION("""COMPUTED_VALUE"""),3.17)</f>
        <v>3.17</v>
      </c>
      <c r="F3797" s="2"/>
      <c r="G3797" s="2"/>
      <c r="H3797" s="2"/>
      <c r="I3797" s="2"/>
    </row>
    <row r="3798">
      <c r="A3798" s="2">
        <f>IFERROR(__xludf.DUMMYFUNCTION("""COMPUTED_VALUE"""),159197.0)</f>
        <v>159197</v>
      </c>
      <c r="B3798" s="2" t="str">
        <f>IFERROR(__xludf.DUMMYFUNCTION("""COMPUTED_VALUE"""),"Law")</f>
        <v>Law</v>
      </c>
      <c r="C3798" s="2" t="str">
        <f>IFERROR(__xludf.DUMMYFUNCTION("""COMPUTED_VALUE"""),"Web Development")</f>
        <v>Web Development</v>
      </c>
      <c r="D3798" s="2" t="str">
        <f>IFERROR(__xludf.DUMMYFUNCTION("""COMPUTED_VALUE"""),"Oaktree Books")</f>
        <v>Oaktree Books</v>
      </c>
      <c r="E3798" s="2">
        <f>IFERROR(__xludf.DUMMYFUNCTION("""COMPUTED_VALUE"""),2.1)</f>
        <v>2.1</v>
      </c>
      <c r="F3798" s="2"/>
      <c r="G3798" s="2"/>
      <c r="H3798" s="2"/>
      <c r="I3798" s="2"/>
    </row>
    <row r="3799">
      <c r="A3799" s="2">
        <f>IFERROR(__xludf.DUMMYFUNCTION("""COMPUTED_VALUE"""),88268.0)</f>
        <v>88268</v>
      </c>
      <c r="B3799" s="2" t="str">
        <f>IFERROR(__xludf.DUMMYFUNCTION("""COMPUTED_VALUE"""),"Law")</f>
        <v>Law</v>
      </c>
      <c r="C3799" s="2" t="str">
        <f>IFERROR(__xludf.DUMMYFUNCTION("""COMPUTED_VALUE"""),"Web Development")</f>
        <v>Web Development</v>
      </c>
      <c r="D3799" s="2" t="str">
        <f>IFERROR(__xludf.DUMMYFUNCTION("""COMPUTED_VALUE"""),"Oaktree Books")</f>
        <v>Oaktree Books</v>
      </c>
      <c r="E3799" s="2">
        <f>IFERROR(__xludf.DUMMYFUNCTION("""COMPUTED_VALUE"""),0.69)</f>
        <v>0.69</v>
      </c>
      <c r="F3799" s="2"/>
      <c r="G3799" s="2"/>
      <c r="H3799" s="2"/>
      <c r="I3799" s="2"/>
    </row>
    <row r="3800">
      <c r="A3800" s="2">
        <f>IFERROR(__xludf.DUMMYFUNCTION("""COMPUTED_VALUE"""),90913.0)</f>
        <v>90913</v>
      </c>
      <c r="B3800" s="2" t="str">
        <f>IFERROR(__xludf.DUMMYFUNCTION("""COMPUTED_VALUE"""),"Law")</f>
        <v>Law</v>
      </c>
      <c r="C3800" s="2" t="str">
        <f>IFERROR(__xludf.DUMMYFUNCTION("""COMPUTED_VALUE"""),"Web Development")</f>
        <v>Web Development</v>
      </c>
      <c r="D3800" s="2" t="str">
        <f>IFERROR(__xludf.DUMMYFUNCTION("""COMPUTED_VALUE"""),"Oaktree Books")</f>
        <v>Oaktree Books</v>
      </c>
      <c r="E3800" s="2">
        <f>IFERROR(__xludf.DUMMYFUNCTION("""COMPUTED_VALUE"""),2.99)</f>
        <v>2.99</v>
      </c>
      <c r="F3800" s="2"/>
      <c r="G3800" s="2"/>
      <c r="H3800" s="2"/>
      <c r="I3800" s="2"/>
    </row>
    <row r="3801">
      <c r="A3801" s="2">
        <f>IFERROR(__xludf.DUMMYFUNCTION("""COMPUTED_VALUE"""),76365.0)</f>
        <v>76365</v>
      </c>
      <c r="B3801" s="2" t="str">
        <f>IFERROR(__xludf.DUMMYFUNCTION("""COMPUTED_VALUE"""),"Law")</f>
        <v>Law</v>
      </c>
      <c r="C3801" s="2" t="str">
        <f>IFERROR(__xludf.DUMMYFUNCTION("""COMPUTED_VALUE"""),"Web Development")</f>
        <v>Web Development</v>
      </c>
      <c r="D3801" s="2" t="str">
        <f>IFERROR(__xludf.DUMMYFUNCTION("""COMPUTED_VALUE"""),"Oaktree Books")</f>
        <v>Oaktree Books</v>
      </c>
      <c r="E3801" s="2">
        <f>IFERROR(__xludf.DUMMYFUNCTION("""COMPUTED_VALUE"""),1.47)</f>
        <v>1.47</v>
      </c>
      <c r="F3801" s="2"/>
      <c r="G3801" s="2"/>
      <c r="H3801" s="2"/>
      <c r="I3801" s="2"/>
    </row>
    <row r="3802">
      <c r="A3802" s="2">
        <f>IFERROR(__xludf.DUMMYFUNCTION("""COMPUTED_VALUE"""),9205.0)</f>
        <v>9205</v>
      </c>
      <c r="B3802" s="2" t="str">
        <f>IFERROR(__xludf.DUMMYFUNCTION("""COMPUTED_VALUE"""),"Law")</f>
        <v>Law</v>
      </c>
      <c r="C3802" s="2" t="str">
        <f>IFERROR(__xludf.DUMMYFUNCTION("""COMPUTED_VALUE"""),"Web Development")</f>
        <v>Web Development</v>
      </c>
      <c r="D3802" s="2" t="str">
        <f>IFERROR(__xludf.DUMMYFUNCTION("""COMPUTED_VALUE"""),"Oaktree Books")</f>
        <v>Oaktree Books</v>
      </c>
      <c r="E3802" s="2">
        <f>IFERROR(__xludf.DUMMYFUNCTION("""COMPUTED_VALUE"""),1.27)</f>
        <v>1.27</v>
      </c>
      <c r="F3802" s="2"/>
      <c r="G3802" s="2"/>
      <c r="H3802" s="2"/>
      <c r="I3802" s="2"/>
    </row>
    <row r="3803">
      <c r="A3803" s="2">
        <f>IFERROR(__xludf.DUMMYFUNCTION("""COMPUTED_VALUE"""),76363.0)</f>
        <v>76363</v>
      </c>
      <c r="B3803" s="2" t="str">
        <f>IFERROR(__xludf.DUMMYFUNCTION("""COMPUTED_VALUE"""),"Law")</f>
        <v>Law</v>
      </c>
      <c r="C3803" s="2" t="str">
        <f>IFERROR(__xludf.DUMMYFUNCTION("""COMPUTED_VALUE"""),"Web Development")</f>
        <v>Web Development</v>
      </c>
      <c r="D3803" s="2" t="str">
        <f>IFERROR(__xludf.DUMMYFUNCTION("""COMPUTED_VALUE"""),"Oaktree Books")</f>
        <v>Oaktree Books</v>
      </c>
      <c r="E3803" s="2">
        <f>IFERROR(__xludf.DUMMYFUNCTION("""COMPUTED_VALUE"""),1.64)</f>
        <v>1.64</v>
      </c>
      <c r="F3803" s="2"/>
      <c r="G3803" s="2"/>
      <c r="H3803" s="2"/>
      <c r="I3803" s="2"/>
    </row>
    <row r="3804">
      <c r="A3804" s="2">
        <f>IFERROR(__xludf.DUMMYFUNCTION("""COMPUTED_VALUE"""),121967.0)</f>
        <v>121967</v>
      </c>
      <c r="B3804" s="2" t="str">
        <f>IFERROR(__xludf.DUMMYFUNCTION("""COMPUTED_VALUE"""),"Law")</f>
        <v>Law</v>
      </c>
      <c r="C3804" s="2" t="str">
        <f>IFERROR(__xludf.DUMMYFUNCTION("""COMPUTED_VALUE"""),"Web Development")</f>
        <v>Web Development</v>
      </c>
      <c r="D3804" s="2" t="str">
        <f>IFERROR(__xludf.DUMMYFUNCTION("""COMPUTED_VALUE"""),"Oaktree Books")</f>
        <v>Oaktree Books</v>
      </c>
      <c r="E3804" s="2">
        <f>IFERROR(__xludf.DUMMYFUNCTION("""COMPUTED_VALUE"""),2.96)</f>
        <v>2.96</v>
      </c>
      <c r="F3804" s="2"/>
      <c r="G3804" s="2"/>
      <c r="H3804" s="2"/>
      <c r="I3804" s="2"/>
    </row>
    <row r="3805">
      <c r="A3805" s="2">
        <f>IFERROR(__xludf.DUMMYFUNCTION("""COMPUTED_VALUE"""),90935.0)</f>
        <v>90935</v>
      </c>
      <c r="B3805" s="2" t="str">
        <f>IFERROR(__xludf.DUMMYFUNCTION("""COMPUTED_VALUE"""),"Law")</f>
        <v>Law</v>
      </c>
      <c r="C3805" s="2" t="str">
        <f>IFERROR(__xludf.DUMMYFUNCTION("""COMPUTED_VALUE"""),"Web Development")</f>
        <v>Web Development</v>
      </c>
      <c r="D3805" s="2" t="str">
        <f>IFERROR(__xludf.DUMMYFUNCTION("""COMPUTED_VALUE"""),"Oaktree Books")</f>
        <v>Oaktree Books</v>
      </c>
      <c r="E3805" s="2">
        <f>IFERROR(__xludf.DUMMYFUNCTION("""COMPUTED_VALUE"""),1.56)</f>
        <v>1.56</v>
      </c>
      <c r="F3805" s="2"/>
      <c r="G3805" s="2"/>
      <c r="H3805" s="2"/>
      <c r="I3805" s="2"/>
    </row>
    <row r="3806">
      <c r="A3806" s="2">
        <f>IFERROR(__xludf.DUMMYFUNCTION("""COMPUTED_VALUE"""),87126.0)</f>
        <v>87126</v>
      </c>
      <c r="B3806" s="2" t="str">
        <f>IFERROR(__xludf.DUMMYFUNCTION("""COMPUTED_VALUE"""),"Law")</f>
        <v>Law</v>
      </c>
      <c r="C3806" s="2" t="str">
        <f>IFERROR(__xludf.DUMMYFUNCTION("""COMPUTED_VALUE"""),"Web Development")</f>
        <v>Web Development</v>
      </c>
      <c r="D3806" s="2" t="str">
        <f>IFERROR(__xludf.DUMMYFUNCTION("""COMPUTED_VALUE"""),"Oaktree Books")</f>
        <v>Oaktree Books</v>
      </c>
      <c r="E3806" s="2">
        <f>IFERROR(__xludf.DUMMYFUNCTION("""COMPUTED_VALUE"""),1.58)</f>
        <v>1.58</v>
      </c>
      <c r="F3806" s="2"/>
      <c r="G3806" s="2"/>
      <c r="H3806" s="2"/>
      <c r="I3806" s="2"/>
    </row>
    <row r="3807">
      <c r="A3807" s="2">
        <f>IFERROR(__xludf.DUMMYFUNCTION("""COMPUTED_VALUE"""),90928.0)</f>
        <v>90928</v>
      </c>
      <c r="B3807" s="2" t="str">
        <f>IFERROR(__xludf.DUMMYFUNCTION("""COMPUTED_VALUE"""),"Law")</f>
        <v>Law</v>
      </c>
      <c r="C3807" s="2" t="str">
        <f>IFERROR(__xludf.DUMMYFUNCTION("""COMPUTED_VALUE"""),"Web Development")</f>
        <v>Web Development</v>
      </c>
      <c r="D3807" s="2" t="str">
        <f>IFERROR(__xludf.DUMMYFUNCTION("""COMPUTED_VALUE"""),"Oaktree Books")</f>
        <v>Oaktree Books</v>
      </c>
      <c r="E3807" s="2">
        <f>IFERROR(__xludf.DUMMYFUNCTION("""COMPUTED_VALUE"""),9.47)</f>
        <v>9.47</v>
      </c>
      <c r="F3807" s="2"/>
      <c r="G3807" s="2"/>
      <c r="H3807" s="2"/>
      <c r="I3807" s="2"/>
    </row>
    <row r="3808">
      <c r="A3808" s="2">
        <f>IFERROR(__xludf.DUMMYFUNCTION("""COMPUTED_VALUE"""),90912.0)</f>
        <v>90912</v>
      </c>
      <c r="B3808" s="2" t="str">
        <f>IFERROR(__xludf.DUMMYFUNCTION("""COMPUTED_VALUE"""),"Law")</f>
        <v>Law</v>
      </c>
      <c r="C3808" s="2" t="str">
        <f>IFERROR(__xludf.DUMMYFUNCTION("""COMPUTED_VALUE"""),"Web Development")</f>
        <v>Web Development</v>
      </c>
      <c r="D3808" s="2" t="str">
        <f>IFERROR(__xludf.DUMMYFUNCTION("""COMPUTED_VALUE"""),"Oaktree Books")</f>
        <v>Oaktree Books</v>
      </c>
      <c r="E3808" s="2">
        <f>IFERROR(__xludf.DUMMYFUNCTION("""COMPUTED_VALUE"""),2.1)</f>
        <v>2.1</v>
      </c>
      <c r="F3808" s="2"/>
      <c r="G3808" s="2"/>
      <c r="H3808" s="2"/>
      <c r="I3808" s="2"/>
    </row>
    <row r="3809">
      <c r="A3809" s="2">
        <f>IFERROR(__xludf.DUMMYFUNCTION("""COMPUTED_VALUE"""),48508.0)</f>
        <v>48508</v>
      </c>
      <c r="B3809" s="2" t="str">
        <f>IFERROR(__xludf.DUMMYFUNCTION("""COMPUTED_VALUE"""),"Law")</f>
        <v>Law</v>
      </c>
      <c r="C3809" s="2" t="str">
        <f>IFERROR(__xludf.DUMMYFUNCTION("""COMPUTED_VALUE"""),"Web Development")</f>
        <v>Web Development</v>
      </c>
      <c r="D3809" s="2" t="str">
        <f>IFERROR(__xludf.DUMMYFUNCTION("""COMPUTED_VALUE"""),"Oaktree Books")</f>
        <v>Oaktree Books</v>
      </c>
      <c r="E3809" s="2">
        <f>IFERROR(__xludf.DUMMYFUNCTION("""COMPUTED_VALUE"""),2.67)</f>
        <v>2.67</v>
      </c>
      <c r="F3809" s="2"/>
      <c r="G3809" s="2"/>
      <c r="H3809" s="2"/>
      <c r="I3809" s="2"/>
    </row>
    <row r="3810">
      <c r="A3810" s="2">
        <f>IFERROR(__xludf.DUMMYFUNCTION("""COMPUTED_VALUE"""),90853.0)</f>
        <v>90853</v>
      </c>
      <c r="B3810" s="2" t="str">
        <f>IFERROR(__xludf.DUMMYFUNCTION("""COMPUTED_VALUE"""),"Law")</f>
        <v>Law</v>
      </c>
      <c r="C3810" s="2" t="str">
        <f>IFERROR(__xludf.DUMMYFUNCTION("""COMPUTED_VALUE"""),"Web Development")</f>
        <v>Web Development</v>
      </c>
      <c r="D3810" s="2" t="str">
        <f>IFERROR(__xludf.DUMMYFUNCTION("""COMPUTED_VALUE"""),"Oaktree Books")</f>
        <v>Oaktree Books</v>
      </c>
      <c r="E3810" s="2">
        <f>IFERROR(__xludf.DUMMYFUNCTION("""COMPUTED_VALUE"""),3.19)</f>
        <v>3.19</v>
      </c>
      <c r="F3810" s="2"/>
      <c r="G3810" s="2"/>
      <c r="H3810" s="2"/>
      <c r="I3810" s="2"/>
    </row>
    <row r="3811">
      <c r="A3811" s="2">
        <f>IFERROR(__xludf.DUMMYFUNCTION("""COMPUTED_VALUE"""),117628.0)</f>
        <v>117628</v>
      </c>
      <c r="B3811" s="2" t="str">
        <f>IFERROR(__xludf.DUMMYFUNCTION("""COMPUTED_VALUE"""),"Law")</f>
        <v>Law</v>
      </c>
      <c r="C3811" s="2" t="str">
        <f>IFERROR(__xludf.DUMMYFUNCTION("""COMPUTED_VALUE"""),"Web Development")</f>
        <v>Web Development</v>
      </c>
      <c r="D3811" s="2" t="str">
        <f>IFERROR(__xludf.DUMMYFUNCTION("""COMPUTED_VALUE"""),"Rivertree Press")</f>
        <v>Rivertree Press</v>
      </c>
      <c r="E3811" s="2">
        <f>IFERROR(__xludf.DUMMYFUNCTION("""COMPUTED_VALUE"""),1.58)</f>
        <v>1.58</v>
      </c>
      <c r="F3811" s="2"/>
      <c r="G3811" s="2"/>
      <c r="H3811" s="2"/>
      <c r="I3811" s="2"/>
    </row>
    <row r="3812">
      <c r="A3812" s="2">
        <f>IFERROR(__xludf.DUMMYFUNCTION("""COMPUTED_VALUE"""),5699.0)</f>
        <v>5699</v>
      </c>
      <c r="B3812" s="2" t="str">
        <f>IFERROR(__xludf.DUMMYFUNCTION("""COMPUTED_VALUE"""),"Law")</f>
        <v>Law</v>
      </c>
      <c r="C3812" s="2" t="str">
        <f>IFERROR(__xludf.DUMMYFUNCTION("""COMPUTED_VALUE"""),"Web Development")</f>
        <v>Web Development</v>
      </c>
      <c r="D3812" s="2" t="str">
        <f>IFERROR(__xludf.DUMMYFUNCTION("""COMPUTED_VALUE"""),"Rivertree Press")</f>
        <v>Rivertree Press</v>
      </c>
      <c r="E3812" s="2">
        <f>IFERROR(__xludf.DUMMYFUNCTION("""COMPUTED_VALUE"""),3.45)</f>
        <v>3.45</v>
      </c>
      <c r="F3812" s="2"/>
      <c r="G3812" s="2"/>
      <c r="H3812" s="2"/>
      <c r="I3812" s="2"/>
    </row>
    <row r="3813">
      <c r="A3813" s="2">
        <f>IFERROR(__xludf.DUMMYFUNCTION("""COMPUTED_VALUE"""),5735.0)</f>
        <v>5735</v>
      </c>
      <c r="B3813" s="2" t="str">
        <f>IFERROR(__xludf.DUMMYFUNCTION("""COMPUTED_VALUE"""),"Law")</f>
        <v>Law</v>
      </c>
      <c r="C3813" s="2" t="str">
        <f>IFERROR(__xludf.DUMMYFUNCTION("""COMPUTED_VALUE"""),"Web Development")</f>
        <v>Web Development</v>
      </c>
      <c r="D3813" s="2" t="str">
        <f>IFERROR(__xludf.DUMMYFUNCTION("""COMPUTED_VALUE"""),"Rivertree Press")</f>
        <v>Rivertree Press</v>
      </c>
      <c r="E3813" s="2">
        <f>IFERROR(__xludf.DUMMYFUNCTION("""COMPUTED_VALUE"""),4.11)</f>
        <v>4.11</v>
      </c>
      <c r="F3813" s="2"/>
      <c r="G3813" s="2"/>
      <c r="H3813" s="2"/>
      <c r="I3813" s="2"/>
    </row>
    <row r="3814">
      <c r="A3814" s="2">
        <f>IFERROR(__xludf.DUMMYFUNCTION("""COMPUTED_VALUE"""),109832.0)</f>
        <v>109832</v>
      </c>
      <c r="B3814" s="2" t="str">
        <f>IFERROR(__xludf.DUMMYFUNCTION("""COMPUTED_VALUE"""),"Law")</f>
        <v>Law</v>
      </c>
      <c r="C3814" s="2" t="str">
        <f>IFERROR(__xludf.DUMMYFUNCTION("""COMPUTED_VALUE"""),"Web Development")</f>
        <v>Web Development</v>
      </c>
      <c r="D3814" s="2" t="str">
        <f>IFERROR(__xludf.DUMMYFUNCTION("""COMPUTED_VALUE"""),"Rivertree Press")</f>
        <v>Rivertree Press</v>
      </c>
      <c r="E3814" s="2">
        <f>IFERROR(__xludf.DUMMYFUNCTION("""COMPUTED_VALUE"""),3.45)</f>
        <v>3.45</v>
      </c>
      <c r="F3814" s="2"/>
      <c r="G3814" s="2"/>
      <c r="H3814" s="2"/>
      <c r="I3814" s="2"/>
    </row>
    <row r="3815">
      <c r="A3815" s="2">
        <f>IFERROR(__xludf.DUMMYFUNCTION("""COMPUTED_VALUE"""),122675.0)</f>
        <v>122675</v>
      </c>
      <c r="B3815" s="2" t="str">
        <f>IFERROR(__xludf.DUMMYFUNCTION("""COMPUTED_VALUE"""),"Law")</f>
        <v>Law</v>
      </c>
      <c r="C3815" s="2" t="str">
        <f>IFERROR(__xludf.DUMMYFUNCTION("""COMPUTED_VALUE"""),"Web Development")</f>
        <v>Web Development</v>
      </c>
      <c r="D3815" s="2" t="str">
        <f>IFERROR(__xludf.DUMMYFUNCTION("""COMPUTED_VALUE"""),"Rivertree Press")</f>
        <v>Rivertree Press</v>
      </c>
      <c r="E3815" s="2">
        <f>IFERROR(__xludf.DUMMYFUNCTION("""COMPUTED_VALUE"""),2.73)</f>
        <v>2.73</v>
      </c>
      <c r="F3815" s="2"/>
      <c r="G3815" s="2"/>
      <c r="H3815" s="2"/>
      <c r="I3815" s="2"/>
    </row>
    <row r="3816">
      <c r="A3816" s="2">
        <f>IFERROR(__xludf.DUMMYFUNCTION("""COMPUTED_VALUE"""),87225.0)</f>
        <v>87225</v>
      </c>
      <c r="B3816" s="2" t="str">
        <f>IFERROR(__xludf.DUMMYFUNCTION("""COMPUTED_VALUE"""),"Law")</f>
        <v>Law</v>
      </c>
      <c r="C3816" s="2" t="str">
        <f>IFERROR(__xludf.DUMMYFUNCTION("""COMPUTED_VALUE"""),"Web Development")</f>
        <v>Web Development</v>
      </c>
      <c r="D3816" s="2" t="str">
        <f>IFERROR(__xludf.DUMMYFUNCTION("""COMPUTED_VALUE"""),"Rivertree Press")</f>
        <v>Rivertree Press</v>
      </c>
      <c r="E3816" s="2">
        <f>IFERROR(__xludf.DUMMYFUNCTION("""COMPUTED_VALUE"""),1.8)</f>
        <v>1.8</v>
      </c>
      <c r="F3816" s="2"/>
      <c r="G3816" s="2"/>
      <c r="H3816" s="2"/>
      <c r="I3816" s="2"/>
    </row>
    <row r="3817">
      <c r="A3817" s="2">
        <f>IFERROR(__xludf.DUMMYFUNCTION("""COMPUTED_VALUE"""),82373.0)</f>
        <v>82373</v>
      </c>
      <c r="B3817" s="2" t="str">
        <f>IFERROR(__xludf.DUMMYFUNCTION("""COMPUTED_VALUE"""),"Law")</f>
        <v>Law</v>
      </c>
      <c r="C3817" s="2" t="str">
        <f>IFERROR(__xludf.DUMMYFUNCTION("""COMPUTED_VALUE"""),"Web Development")</f>
        <v>Web Development</v>
      </c>
      <c r="D3817" s="2" t="str">
        <f>IFERROR(__xludf.DUMMYFUNCTION("""COMPUTED_VALUE"""),"Rivertree Press")</f>
        <v>Rivertree Press</v>
      </c>
      <c r="E3817" s="2">
        <f>IFERROR(__xludf.DUMMYFUNCTION("""COMPUTED_VALUE"""),2.48)</f>
        <v>2.48</v>
      </c>
      <c r="F3817" s="2"/>
      <c r="G3817" s="2"/>
      <c r="H3817" s="2"/>
      <c r="I3817" s="2"/>
    </row>
    <row r="3818">
      <c r="A3818" s="2">
        <f>IFERROR(__xludf.DUMMYFUNCTION("""COMPUTED_VALUE"""),77254.0)</f>
        <v>77254</v>
      </c>
      <c r="B3818" s="2" t="str">
        <f>IFERROR(__xludf.DUMMYFUNCTION("""COMPUTED_VALUE"""),"Law")</f>
        <v>Law</v>
      </c>
      <c r="C3818" s="2" t="str">
        <f>IFERROR(__xludf.DUMMYFUNCTION("""COMPUTED_VALUE"""),"Web Development")</f>
        <v>Web Development</v>
      </c>
      <c r="D3818" s="2" t="str">
        <f>IFERROR(__xludf.DUMMYFUNCTION("""COMPUTED_VALUE"""),"Rivertree Press")</f>
        <v>Rivertree Press</v>
      </c>
      <c r="E3818" s="2">
        <f>IFERROR(__xludf.DUMMYFUNCTION("""COMPUTED_VALUE"""),2.09)</f>
        <v>2.09</v>
      </c>
      <c r="F3818" s="2"/>
      <c r="G3818" s="2"/>
      <c r="H3818" s="2"/>
      <c r="I3818" s="2"/>
    </row>
    <row r="3819">
      <c r="A3819" s="2">
        <f>IFERROR(__xludf.DUMMYFUNCTION("""COMPUTED_VALUE"""),5742.0)</f>
        <v>5742</v>
      </c>
      <c r="B3819" s="2" t="str">
        <f>IFERROR(__xludf.DUMMYFUNCTION("""COMPUTED_VALUE"""),"Law")</f>
        <v>Law</v>
      </c>
      <c r="C3819" s="2" t="str">
        <f>IFERROR(__xludf.DUMMYFUNCTION("""COMPUTED_VALUE"""),"Web Development")</f>
        <v>Web Development</v>
      </c>
      <c r="D3819" s="2" t="str">
        <f>IFERROR(__xludf.DUMMYFUNCTION("""COMPUTED_VALUE"""),"Rivertree Press")</f>
        <v>Rivertree Press</v>
      </c>
      <c r="E3819" s="2">
        <f>IFERROR(__xludf.DUMMYFUNCTION("""COMPUTED_VALUE"""),2.13)</f>
        <v>2.13</v>
      </c>
      <c r="F3819" s="2"/>
      <c r="G3819" s="2"/>
      <c r="H3819" s="2"/>
      <c r="I3819" s="2"/>
    </row>
    <row r="3820">
      <c r="A3820" s="2">
        <f>IFERROR(__xludf.DUMMYFUNCTION("""COMPUTED_VALUE"""),117622.0)</f>
        <v>117622</v>
      </c>
      <c r="B3820" s="2" t="str">
        <f>IFERROR(__xludf.DUMMYFUNCTION("""COMPUTED_VALUE"""),"Law")</f>
        <v>Law</v>
      </c>
      <c r="C3820" s="2" t="str">
        <f>IFERROR(__xludf.DUMMYFUNCTION("""COMPUTED_VALUE"""),"Web Development")</f>
        <v>Web Development</v>
      </c>
      <c r="D3820" s="2" t="str">
        <f>IFERROR(__xludf.DUMMYFUNCTION("""COMPUTED_VALUE"""),"Rivertree Press")</f>
        <v>Rivertree Press</v>
      </c>
      <c r="E3820" s="2">
        <f>IFERROR(__xludf.DUMMYFUNCTION("""COMPUTED_VALUE"""),3.63)</f>
        <v>3.63</v>
      </c>
      <c r="F3820" s="2"/>
      <c r="G3820" s="2"/>
      <c r="H3820" s="2"/>
      <c r="I3820" s="2"/>
    </row>
    <row r="3821">
      <c r="A3821" s="2">
        <f>IFERROR(__xludf.DUMMYFUNCTION("""COMPUTED_VALUE"""),77255.0)</f>
        <v>77255</v>
      </c>
      <c r="B3821" s="2" t="str">
        <f>IFERROR(__xludf.DUMMYFUNCTION("""COMPUTED_VALUE"""),"Law")</f>
        <v>Law</v>
      </c>
      <c r="C3821" s="2" t="str">
        <f>IFERROR(__xludf.DUMMYFUNCTION("""COMPUTED_VALUE"""),"Web Development")</f>
        <v>Web Development</v>
      </c>
      <c r="D3821" s="2" t="str">
        <f>IFERROR(__xludf.DUMMYFUNCTION("""COMPUTED_VALUE"""),"Rivertree Press")</f>
        <v>Rivertree Press</v>
      </c>
      <c r="E3821" s="2">
        <f>IFERROR(__xludf.DUMMYFUNCTION("""COMPUTED_VALUE"""),2.24)</f>
        <v>2.24</v>
      </c>
      <c r="F3821" s="2"/>
      <c r="G3821" s="2"/>
      <c r="H3821" s="2"/>
      <c r="I3821" s="2"/>
    </row>
    <row r="3822">
      <c r="A3822" s="2">
        <f>IFERROR(__xludf.DUMMYFUNCTION("""COMPUTED_VALUE"""),101964.0)</f>
        <v>101964</v>
      </c>
      <c r="B3822" s="2" t="str">
        <f>IFERROR(__xludf.DUMMYFUNCTION("""COMPUTED_VALUE"""),"Law")</f>
        <v>Law</v>
      </c>
      <c r="C3822" s="2" t="str">
        <f>IFERROR(__xludf.DUMMYFUNCTION("""COMPUTED_VALUE"""),"Web Development")</f>
        <v>Web Development</v>
      </c>
      <c r="D3822" s="2" t="str">
        <f>IFERROR(__xludf.DUMMYFUNCTION("""COMPUTED_VALUE"""),"Rivertree Press")</f>
        <v>Rivertree Press</v>
      </c>
      <c r="E3822" s="2">
        <f>IFERROR(__xludf.DUMMYFUNCTION("""COMPUTED_VALUE"""),2.22)</f>
        <v>2.22</v>
      </c>
      <c r="F3822" s="2"/>
      <c r="G3822" s="2"/>
      <c r="H3822" s="2"/>
      <c r="I3822" s="2"/>
    </row>
    <row r="3823">
      <c r="A3823" s="2">
        <f>IFERROR(__xludf.DUMMYFUNCTION("""COMPUTED_VALUE"""),48491.0)</f>
        <v>48491</v>
      </c>
      <c r="B3823" s="2" t="str">
        <f>IFERROR(__xludf.DUMMYFUNCTION("""COMPUTED_VALUE"""),"Law")</f>
        <v>Law</v>
      </c>
      <c r="C3823" s="2" t="str">
        <f>IFERROR(__xludf.DUMMYFUNCTION("""COMPUTED_VALUE"""),"Web Development")</f>
        <v>Web Development</v>
      </c>
      <c r="D3823" s="2" t="str">
        <f>IFERROR(__xludf.DUMMYFUNCTION("""COMPUTED_VALUE"""),"Rivertree Press")</f>
        <v>Rivertree Press</v>
      </c>
      <c r="E3823" s="2">
        <f>IFERROR(__xludf.DUMMYFUNCTION("""COMPUTED_VALUE"""),4.12)</f>
        <v>4.12</v>
      </c>
      <c r="F3823" s="2"/>
      <c r="G3823" s="2"/>
      <c r="H3823" s="2"/>
      <c r="I3823" s="2"/>
    </row>
    <row r="3824">
      <c r="A3824" s="2">
        <f>IFERROR(__xludf.DUMMYFUNCTION("""COMPUTED_VALUE"""),82368.0)</f>
        <v>82368</v>
      </c>
      <c r="B3824" s="2" t="str">
        <f>IFERROR(__xludf.DUMMYFUNCTION("""COMPUTED_VALUE"""),"Law")</f>
        <v>Law</v>
      </c>
      <c r="C3824" s="2" t="str">
        <f>IFERROR(__xludf.DUMMYFUNCTION("""COMPUTED_VALUE"""),"Web Development")</f>
        <v>Web Development</v>
      </c>
      <c r="D3824" s="2" t="str">
        <f>IFERROR(__xludf.DUMMYFUNCTION("""COMPUTED_VALUE"""),"Rivertree Press")</f>
        <v>Rivertree Press</v>
      </c>
      <c r="E3824" s="2">
        <f>IFERROR(__xludf.DUMMYFUNCTION("""COMPUTED_VALUE"""),1.56)</f>
        <v>1.56</v>
      </c>
      <c r="F3824" s="2"/>
      <c r="G3824" s="2"/>
      <c r="H3824" s="2"/>
      <c r="I3824" s="2"/>
    </row>
    <row r="3825">
      <c r="A3825" s="2">
        <f>IFERROR(__xludf.DUMMYFUNCTION("""COMPUTED_VALUE"""),82367.0)</f>
        <v>82367</v>
      </c>
      <c r="B3825" s="2" t="str">
        <f>IFERROR(__xludf.DUMMYFUNCTION("""COMPUTED_VALUE"""),"Law")</f>
        <v>Law</v>
      </c>
      <c r="C3825" s="2" t="str">
        <f>IFERROR(__xludf.DUMMYFUNCTION("""COMPUTED_VALUE"""),"Web Development")</f>
        <v>Web Development</v>
      </c>
      <c r="D3825" s="2" t="str">
        <f>IFERROR(__xludf.DUMMYFUNCTION("""COMPUTED_VALUE"""),"Rivertree Press")</f>
        <v>Rivertree Press</v>
      </c>
      <c r="E3825" s="2">
        <f>IFERROR(__xludf.DUMMYFUNCTION("""COMPUTED_VALUE"""),1.4)</f>
        <v>1.4</v>
      </c>
      <c r="F3825" s="2"/>
      <c r="G3825" s="2"/>
      <c r="H3825" s="2"/>
      <c r="I3825" s="2"/>
    </row>
    <row r="3826">
      <c r="A3826" s="2">
        <f>IFERROR(__xludf.DUMMYFUNCTION("""COMPUTED_VALUE"""),118426.0)</f>
        <v>118426</v>
      </c>
      <c r="B3826" s="2" t="str">
        <f>IFERROR(__xludf.DUMMYFUNCTION("""COMPUTED_VALUE"""),"Law")</f>
        <v>Law</v>
      </c>
      <c r="C3826" s="2" t="str">
        <f>IFERROR(__xludf.DUMMYFUNCTION("""COMPUTED_VALUE"""),"Web Development")</f>
        <v>Web Development</v>
      </c>
      <c r="D3826" s="2" t="str">
        <f>IFERROR(__xludf.DUMMYFUNCTION("""COMPUTED_VALUE"""),"Rivertree Press")</f>
        <v>Rivertree Press</v>
      </c>
      <c r="E3826" s="2">
        <f>IFERROR(__xludf.DUMMYFUNCTION("""COMPUTED_VALUE"""),3.5)</f>
        <v>3.5</v>
      </c>
      <c r="F3826" s="2"/>
      <c r="G3826" s="2"/>
      <c r="H3826" s="2"/>
      <c r="I3826" s="2"/>
    </row>
    <row r="3827">
      <c r="A3827" s="2">
        <f>IFERROR(__xludf.DUMMYFUNCTION("""COMPUTED_VALUE"""),5068.0)</f>
        <v>5068</v>
      </c>
      <c r="B3827" s="2" t="str">
        <f>IFERROR(__xludf.DUMMYFUNCTION("""COMPUTED_VALUE"""),"Self-Help")</f>
        <v>Self-Help</v>
      </c>
      <c r="C3827" s="2" t="str">
        <f>IFERROR(__xludf.DUMMYFUNCTION("""COMPUTED_VALUE"""),"Mobile Development")</f>
        <v>Mobile Development</v>
      </c>
      <c r="D3827" s="2" t="str">
        <f>IFERROR(__xludf.DUMMYFUNCTION("""COMPUTED_VALUE"""),"Irontree Publishing")</f>
        <v>Irontree Publishing</v>
      </c>
      <c r="E3827" s="2">
        <f>IFERROR(__xludf.DUMMYFUNCTION("""COMPUTED_VALUE"""),1.37)</f>
        <v>1.37</v>
      </c>
      <c r="F3827" s="2"/>
      <c r="G3827" s="2"/>
      <c r="H3827" s="2"/>
      <c r="I3827" s="2"/>
    </row>
    <row r="3828">
      <c r="A3828" s="2">
        <f>IFERROR(__xludf.DUMMYFUNCTION("""COMPUTED_VALUE"""),84660.0)</f>
        <v>84660</v>
      </c>
      <c r="B3828" s="2" t="str">
        <f>IFERROR(__xludf.DUMMYFUNCTION("""COMPUTED_VALUE"""),"Self-Help")</f>
        <v>Self-Help</v>
      </c>
      <c r="C3828" s="2" t="str">
        <f>IFERROR(__xludf.DUMMYFUNCTION("""COMPUTED_VALUE"""),"Mobile Development")</f>
        <v>Mobile Development</v>
      </c>
      <c r="D3828" s="2" t="str">
        <f>IFERROR(__xludf.DUMMYFUNCTION("""COMPUTED_VALUE"""),"Irontree Publishing")</f>
        <v>Irontree Publishing</v>
      </c>
      <c r="E3828" s="2">
        <f>IFERROR(__xludf.DUMMYFUNCTION("""COMPUTED_VALUE"""),1.4)</f>
        <v>1.4</v>
      </c>
      <c r="F3828" s="2"/>
      <c r="G3828" s="2"/>
      <c r="H3828" s="2"/>
      <c r="I3828" s="2"/>
    </row>
    <row r="3829">
      <c r="A3829" s="2">
        <f>IFERROR(__xludf.DUMMYFUNCTION("""COMPUTED_VALUE"""),5070.0)</f>
        <v>5070</v>
      </c>
      <c r="B3829" s="2" t="str">
        <f>IFERROR(__xludf.DUMMYFUNCTION("""COMPUTED_VALUE"""),"Self-Help")</f>
        <v>Self-Help</v>
      </c>
      <c r="C3829" s="2" t="str">
        <f>IFERROR(__xludf.DUMMYFUNCTION("""COMPUTED_VALUE"""),"Mobile Development")</f>
        <v>Mobile Development</v>
      </c>
      <c r="D3829" s="2" t="str">
        <f>IFERROR(__xludf.DUMMYFUNCTION("""COMPUTED_VALUE"""),"Irontree Publishing")</f>
        <v>Irontree Publishing</v>
      </c>
      <c r="E3829" s="2">
        <f>IFERROR(__xludf.DUMMYFUNCTION("""COMPUTED_VALUE"""),1.61)</f>
        <v>1.61</v>
      </c>
      <c r="F3829" s="2"/>
      <c r="G3829" s="2"/>
      <c r="H3829" s="2"/>
      <c r="I3829" s="2"/>
    </row>
    <row r="3830">
      <c r="A3830" s="2">
        <f>IFERROR(__xludf.DUMMYFUNCTION("""COMPUTED_VALUE"""),84681.0)</f>
        <v>84681</v>
      </c>
      <c r="B3830" s="2" t="str">
        <f>IFERROR(__xludf.DUMMYFUNCTION("""COMPUTED_VALUE"""),"Self-Help")</f>
        <v>Self-Help</v>
      </c>
      <c r="C3830" s="2" t="str">
        <f>IFERROR(__xludf.DUMMYFUNCTION("""COMPUTED_VALUE"""),"Mobile Development")</f>
        <v>Mobile Development</v>
      </c>
      <c r="D3830" s="2" t="str">
        <f>IFERROR(__xludf.DUMMYFUNCTION("""COMPUTED_VALUE"""),"Silverstone House")</f>
        <v>Silverstone House</v>
      </c>
      <c r="E3830" s="2">
        <f>IFERROR(__xludf.DUMMYFUNCTION("""COMPUTED_VALUE"""),1.3)</f>
        <v>1.3</v>
      </c>
      <c r="F3830" s="2"/>
      <c r="G3830" s="2"/>
      <c r="H3830" s="2"/>
      <c r="I3830" s="2"/>
    </row>
    <row r="3831">
      <c r="A3831" s="2">
        <f>IFERROR(__xludf.DUMMYFUNCTION("""COMPUTED_VALUE"""),102596.0)</f>
        <v>102596</v>
      </c>
      <c r="B3831" s="2" t="str">
        <f>IFERROR(__xludf.DUMMYFUNCTION("""COMPUTED_VALUE"""),"Self-Help")</f>
        <v>Self-Help</v>
      </c>
      <c r="C3831" s="2" t="str">
        <f>IFERROR(__xludf.DUMMYFUNCTION("""COMPUTED_VALUE"""),"Mobile Development")</f>
        <v>Mobile Development</v>
      </c>
      <c r="D3831" s="2" t="str">
        <f>IFERROR(__xludf.DUMMYFUNCTION("""COMPUTED_VALUE"""),"Silverstone House")</f>
        <v>Silverstone House</v>
      </c>
      <c r="E3831" s="2">
        <f>IFERROR(__xludf.DUMMYFUNCTION("""COMPUTED_VALUE"""),1.46)</f>
        <v>1.46</v>
      </c>
      <c r="F3831" s="2"/>
      <c r="G3831" s="2"/>
      <c r="H3831" s="2"/>
      <c r="I3831" s="2"/>
    </row>
    <row r="3832">
      <c r="A3832" s="2">
        <f>IFERROR(__xludf.DUMMYFUNCTION("""COMPUTED_VALUE"""),5037.0)</f>
        <v>5037</v>
      </c>
      <c r="B3832" s="2" t="str">
        <f>IFERROR(__xludf.DUMMYFUNCTION("""COMPUTED_VALUE"""),"Self-Help")</f>
        <v>Self-Help</v>
      </c>
      <c r="C3832" s="2" t="str">
        <f>IFERROR(__xludf.DUMMYFUNCTION("""COMPUTED_VALUE"""),"Mobile Development")</f>
        <v>Mobile Development</v>
      </c>
      <c r="D3832" s="2" t="str">
        <f>IFERROR(__xludf.DUMMYFUNCTION("""COMPUTED_VALUE"""),"Northstone House")</f>
        <v>Northstone House</v>
      </c>
      <c r="E3832" s="2">
        <f>IFERROR(__xludf.DUMMYFUNCTION("""COMPUTED_VALUE"""),1.59)</f>
        <v>1.59</v>
      </c>
      <c r="F3832" s="2"/>
      <c r="G3832" s="2"/>
      <c r="H3832" s="2"/>
      <c r="I3832" s="2"/>
    </row>
    <row r="3833">
      <c r="A3833" s="2">
        <f>IFERROR(__xludf.DUMMYFUNCTION("""COMPUTED_VALUE"""),5052.0)</f>
        <v>5052</v>
      </c>
      <c r="B3833" s="2" t="str">
        <f>IFERROR(__xludf.DUMMYFUNCTION("""COMPUTED_VALUE"""),"Self-Help")</f>
        <v>Self-Help</v>
      </c>
      <c r="C3833" s="2" t="str">
        <f>IFERROR(__xludf.DUMMYFUNCTION("""COMPUTED_VALUE"""),"Mobile Development")</f>
        <v>Mobile Development</v>
      </c>
      <c r="D3833" s="2" t="str">
        <f>IFERROR(__xludf.DUMMYFUNCTION("""COMPUTED_VALUE"""),"Northstone House")</f>
        <v>Northstone House</v>
      </c>
      <c r="E3833" s="2">
        <f>IFERROR(__xludf.DUMMYFUNCTION("""COMPUTED_VALUE"""),1.27)</f>
        <v>1.27</v>
      </c>
      <c r="F3833" s="2"/>
      <c r="G3833" s="2"/>
      <c r="H3833" s="2"/>
      <c r="I3833" s="2"/>
    </row>
    <row r="3834">
      <c r="A3834" s="2">
        <f>IFERROR(__xludf.DUMMYFUNCTION("""COMPUTED_VALUE"""),5051.0)</f>
        <v>5051</v>
      </c>
      <c r="B3834" s="2" t="str">
        <f>IFERROR(__xludf.DUMMYFUNCTION("""COMPUTED_VALUE"""),"Self-Help")</f>
        <v>Self-Help</v>
      </c>
      <c r="C3834" s="2" t="str">
        <f>IFERROR(__xludf.DUMMYFUNCTION("""COMPUTED_VALUE"""),"Mobile Development")</f>
        <v>Mobile Development</v>
      </c>
      <c r="D3834" s="2" t="str">
        <f>IFERROR(__xludf.DUMMYFUNCTION("""COMPUTED_VALUE"""),"Northstone House")</f>
        <v>Northstone House</v>
      </c>
      <c r="E3834" s="2">
        <f>IFERROR(__xludf.DUMMYFUNCTION("""COMPUTED_VALUE"""),1.21)</f>
        <v>1.21</v>
      </c>
      <c r="F3834" s="2"/>
      <c r="G3834" s="2"/>
      <c r="H3834" s="2"/>
      <c r="I3834" s="2"/>
    </row>
    <row r="3835">
      <c r="A3835" s="2">
        <f>IFERROR(__xludf.DUMMYFUNCTION("""COMPUTED_VALUE"""),102647.0)</f>
        <v>102647</v>
      </c>
      <c r="B3835" s="2" t="str">
        <f>IFERROR(__xludf.DUMMYFUNCTION("""COMPUTED_VALUE"""),"Self-Help")</f>
        <v>Self-Help</v>
      </c>
      <c r="C3835" s="2" t="str">
        <f>IFERROR(__xludf.DUMMYFUNCTION("""COMPUTED_VALUE"""),"Mobile Development")</f>
        <v>Mobile Development</v>
      </c>
      <c r="D3835" s="2" t="str">
        <f>IFERROR(__xludf.DUMMYFUNCTION("""COMPUTED_VALUE"""),"Harborstone House")</f>
        <v>Harborstone House</v>
      </c>
      <c r="E3835" s="2">
        <f>IFERROR(__xludf.DUMMYFUNCTION("""COMPUTED_VALUE"""),1.34)</f>
        <v>1.34</v>
      </c>
      <c r="F3835" s="2"/>
      <c r="G3835" s="2"/>
      <c r="H3835" s="2"/>
      <c r="I3835" s="2"/>
    </row>
    <row r="3836">
      <c r="A3836" s="2">
        <f>IFERROR(__xludf.DUMMYFUNCTION("""COMPUTED_VALUE"""),5061.0)</f>
        <v>5061</v>
      </c>
      <c r="B3836" s="2" t="str">
        <f>IFERROR(__xludf.DUMMYFUNCTION("""COMPUTED_VALUE"""),"Self-Help")</f>
        <v>Self-Help</v>
      </c>
      <c r="C3836" s="2" t="str">
        <f>IFERROR(__xludf.DUMMYFUNCTION("""COMPUTED_VALUE"""),"Mobile Development")</f>
        <v>Mobile Development</v>
      </c>
      <c r="D3836" s="2" t="str">
        <f>IFERROR(__xludf.DUMMYFUNCTION("""COMPUTED_VALUE"""),"Harborstone House")</f>
        <v>Harborstone House</v>
      </c>
      <c r="E3836" s="2">
        <f>IFERROR(__xludf.DUMMYFUNCTION("""COMPUTED_VALUE"""),1.39)</f>
        <v>1.39</v>
      </c>
      <c r="F3836" s="2"/>
      <c r="G3836" s="2"/>
      <c r="H3836" s="2"/>
      <c r="I3836" s="2"/>
    </row>
    <row r="3837">
      <c r="A3837" s="2">
        <f>IFERROR(__xludf.DUMMYFUNCTION("""COMPUTED_VALUE"""),102649.0)</f>
        <v>102649</v>
      </c>
      <c r="B3837" s="2" t="str">
        <f>IFERROR(__xludf.DUMMYFUNCTION("""COMPUTED_VALUE"""),"Self-Help")</f>
        <v>Self-Help</v>
      </c>
      <c r="C3837" s="2" t="str">
        <f>IFERROR(__xludf.DUMMYFUNCTION("""COMPUTED_VALUE"""),"Mobile Development")</f>
        <v>Mobile Development</v>
      </c>
      <c r="D3837" s="2" t="str">
        <f>IFERROR(__xludf.DUMMYFUNCTION("""COMPUTED_VALUE"""),"Harborstone House")</f>
        <v>Harborstone House</v>
      </c>
      <c r="E3837" s="2">
        <f>IFERROR(__xludf.DUMMYFUNCTION("""COMPUTED_VALUE"""),1.45)</f>
        <v>1.45</v>
      </c>
      <c r="F3837" s="2"/>
      <c r="G3837" s="2"/>
      <c r="H3837" s="2"/>
      <c r="I3837" s="2"/>
    </row>
    <row r="3838">
      <c r="A3838" s="2">
        <f>IFERROR(__xludf.DUMMYFUNCTION("""COMPUTED_VALUE"""),102662.0)</f>
        <v>102662</v>
      </c>
      <c r="B3838" s="2" t="str">
        <f>IFERROR(__xludf.DUMMYFUNCTION("""COMPUTED_VALUE"""),"Self-Help")</f>
        <v>Self-Help</v>
      </c>
      <c r="C3838" s="2" t="str">
        <f>IFERROR(__xludf.DUMMYFUNCTION("""COMPUTED_VALUE"""),"Mobile Development")</f>
        <v>Mobile Development</v>
      </c>
      <c r="D3838" s="2" t="str">
        <f>IFERROR(__xludf.DUMMYFUNCTION("""COMPUTED_VALUE"""),"Cedarstone House")</f>
        <v>Cedarstone House</v>
      </c>
      <c r="E3838" s="2">
        <f>IFERROR(__xludf.DUMMYFUNCTION("""COMPUTED_VALUE"""),1.67)</f>
        <v>1.67</v>
      </c>
      <c r="F3838" s="2"/>
      <c r="G3838" s="2"/>
      <c r="H3838" s="2"/>
      <c r="I3838" s="2"/>
    </row>
    <row r="3839">
      <c r="A3839" s="2">
        <f>IFERROR(__xludf.DUMMYFUNCTION("""COMPUTED_VALUE"""),108337.0)</f>
        <v>108337</v>
      </c>
      <c r="B3839" s="2" t="str">
        <f>IFERROR(__xludf.DUMMYFUNCTION("""COMPUTED_VALUE"""),"Self-Help")</f>
        <v>Self-Help</v>
      </c>
      <c r="C3839" s="2" t="str">
        <f>IFERROR(__xludf.DUMMYFUNCTION("""COMPUTED_VALUE"""),"Mobile Development")</f>
        <v>Mobile Development</v>
      </c>
      <c r="D3839" s="2" t="str">
        <f>IFERROR(__xludf.DUMMYFUNCTION("""COMPUTED_VALUE"""),"Brightstone House")</f>
        <v>Brightstone House</v>
      </c>
      <c r="E3839" s="2">
        <f>IFERROR(__xludf.DUMMYFUNCTION("""COMPUTED_VALUE"""),0.88)</f>
        <v>0.88</v>
      </c>
      <c r="F3839" s="2"/>
      <c r="G3839" s="2"/>
      <c r="H3839" s="2"/>
      <c r="I3839" s="2"/>
    </row>
    <row r="3840">
      <c r="A3840" s="2">
        <f>IFERROR(__xludf.DUMMYFUNCTION("""COMPUTED_VALUE"""),188352.0)</f>
        <v>188352</v>
      </c>
      <c r="B3840" s="2" t="str">
        <f>IFERROR(__xludf.DUMMYFUNCTION("""COMPUTED_VALUE"""),"Sports")</f>
        <v>Sports</v>
      </c>
      <c r="C3840" s="2" t="str">
        <f>IFERROR(__xludf.DUMMYFUNCTION("""COMPUTED_VALUE"""),"Software Engineering")</f>
        <v>Software Engineering</v>
      </c>
      <c r="D3840" s="2"/>
      <c r="E3840" s="2">
        <f>IFERROR(__xludf.DUMMYFUNCTION("""COMPUTED_VALUE"""),4.92)</f>
        <v>4.92</v>
      </c>
      <c r="F3840" s="2"/>
      <c r="G3840" s="2"/>
      <c r="H3840" s="2"/>
      <c r="I3840" s="2"/>
    </row>
    <row r="3841">
      <c r="A3841" s="2">
        <f>IFERROR(__xludf.DUMMYFUNCTION("""COMPUTED_VALUE"""),11459.0)</f>
        <v>11459</v>
      </c>
      <c r="B3841" s="2" t="str">
        <f>IFERROR(__xludf.DUMMYFUNCTION("""COMPUTED_VALUE"""),"Sports")</f>
        <v>Sports</v>
      </c>
      <c r="C3841" s="2" t="str">
        <f>IFERROR(__xludf.DUMMYFUNCTION("""COMPUTED_VALUE"""),"Software Engineering")</f>
        <v>Software Engineering</v>
      </c>
      <c r="D3841" s="2"/>
      <c r="E3841" s="2">
        <f>IFERROR(__xludf.DUMMYFUNCTION("""COMPUTED_VALUE"""),7.96)</f>
        <v>7.96</v>
      </c>
      <c r="F3841" s="2"/>
      <c r="G3841" s="2"/>
      <c r="H3841" s="2"/>
      <c r="I3841" s="2"/>
    </row>
    <row r="3842">
      <c r="A3842" s="2">
        <f>IFERROR(__xludf.DUMMYFUNCTION("""COMPUTED_VALUE"""),11443.0)</f>
        <v>11443</v>
      </c>
      <c r="B3842" s="2" t="str">
        <f>IFERROR(__xludf.DUMMYFUNCTION("""COMPUTED_VALUE"""),"Sports")</f>
        <v>Sports</v>
      </c>
      <c r="C3842" s="2" t="str">
        <f>IFERROR(__xludf.DUMMYFUNCTION("""COMPUTED_VALUE"""),"Software Engineering")</f>
        <v>Software Engineering</v>
      </c>
      <c r="D3842" s="2" t="str">
        <f>IFERROR(__xludf.DUMMYFUNCTION("""COMPUTED_VALUE"""),"Oakstone House")</f>
        <v>Oakstone House</v>
      </c>
      <c r="E3842" s="2">
        <f>IFERROR(__xludf.DUMMYFUNCTION("""COMPUTED_VALUE"""),9.36)</f>
        <v>9.36</v>
      </c>
      <c r="F3842" s="2"/>
      <c r="G3842" s="2"/>
      <c r="H3842" s="2"/>
      <c r="I3842" s="2"/>
    </row>
    <row r="3843">
      <c r="A3843" s="2">
        <f>IFERROR(__xludf.DUMMYFUNCTION("""COMPUTED_VALUE"""),70560.0)</f>
        <v>70560</v>
      </c>
      <c r="B3843" s="2" t="str">
        <f>IFERROR(__xludf.DUMMYFUNCTION("""COMPUTED_VALUE"""),"Sports")</f>
        <v>Sports</v>
      </c>
      <c r="C3843" s="2" t="str">
        <f>IFERROR(__xludf.DUMMYFUNCTION("""COMPUTED_VALUE"""),"Software Engineering")</f>
        <v>Software Engineering</v>
      </c>
      <c r="D3843" s="2" t="str">
        <f>IFERROR(__xludf.DUMMYFUNCTION("""COMPUTED_VALUE"""),"Oakstone House")</f>
        <v>Oakstone House</v>
      </c>
      <c r="E3843" s="2">
        <f>IFERROR(__xludf.DUMMYFUNCTION("""COMPUTED_VALUE"""),6.84)</f>
        <v>6.84</v>
      </c>
      <c r="F3843" s="2"/>
      <c r="G3843" s="2"/>
      <c r="H3843" s="2"/>
      <c r="I3843" s="2"/>
    </row>
    <row r="3844">
      <c r="A3844" s="2">
        <f>IFERROR(__xludf.DUMMYFUNCTION("""COMPUTED_VALUE"""),110363.0)</f>
        <v>110363</v>
      </c>
      <c r="B3844" s="2" t="str">
        <f>IFERROR(__xludf.DUMMYFUNCTION("""COMPUTED_VALUE"""),"Sports")</f>
        <v>Sports</v>
      </c>
      <c r="C3844" s="2" t="str">
        <f>IFERROR(__xludf.DUMMYFUNCTION("""COMPUTED_VALUE"""),"Software Engineering")</f>
        <v>Software Engineering</v>
      </c>
      <c r="D3844" s="2" t="str">
        <f>IFERROR(__xludf.DUMMYFUNCTION("""COMPUTED_VALUE"""),"Riverstone House")</f>
        <v>Riverstone House</v>
      </c>
      <c r="E3844" s="2">
        <f>IFERROR(__xludf.DUMMYFUNCTION("""COMPUTED_VALUE"""),7.14)</f>
        <v>7.14</v>
      </c>
      <c r="F3844" s="2"/>
      <c r="G3844" s="2"/>
      <c r="H3844" s="2"/>
      <c r="I3844" s="2"/>
    </row>
    <row r="3845">
      <c r="A3845" s="2">
        <f>IFERROR(__xludf.DUMMYFUNCTION("""COMPUTED_VALUE"""),11449.0)</f>
        <v>11449</v>
      </c>
      <c r="B3845" s="2" t="str">
        <f>IFERROR(__xludf.DUMMYFUNCTION("""COMPUTED_VALUE"""),"Sports")</f>
        <v>Sports</v>
      </c>
      <c r="C3845" s="2" t="str">
        <f>IFERROR(__xludf.DUMMYFUNCTION("""COMPUTED_VALUE"""),"Software Engineering")</f>
        <v>Software Engineering</v>
      </c>
      <c r="D3845" s="2" t="str">
        <f>IFERROR(__xludf.DUMMYFUNCTION("""COMPUTED_VALUE"""),"Riverstone House")</f>
        <v>Riverstone House</v>
      </c>
      <c r="E3845" s="2">
        <f>IFERROR(__xludf.DUMMYFUNCTION("""COMPUTED_VALUE"""),10.06)</f>
        <v>10.06</v>
      </c>
      <c r="F3845" s="2"/>
      <c r="G3845" s="2"/>
      <c r="H3845" s="2"/>
      <c r="I3845" s="2"/>
    </row>
    <row r="3846">
      <c r="A3846" s="2">
        <f>IFERROR(__xludf.DUMMYFUNCTION("""COMPUTED_VALUE"""),119793.0)</f>
        <v>119793</v>
      </c>
      <c r="B3846" s="2" t="str">
        <f>IFERROR(__xludf.DUMMYFUNCTION("""COMPUTED_VALUE"""),"Sports")</f>
        <v>Sports</v>
      </c>
      <c r="C3846" s="2" t="str">
        <f>IFERROR(__xludf.DUMMYFUNCTION("""COMPUTED_VALUE"""),"Software Engineering")</f>
        <v>Software Engineering</v>
      </c>
      <c r="D3846" s="2" t="str">
        <f>IFERROR(__xludf.DUMMYFUNCTION("""COMPUTED_VALUE"""),"Riverstone House")</f>
        <v>Riverstone House</v>
      </c>
      <c r="E3846" s="2">
        <f>IFERROR(__xludf.DUMMYFUNCTION("""COMPUTED_VALUE"""),10.48)</f>
        <v>10.48</v>
      </c>
      <c r="F3846" s="2"/>
      <c r="G3846" s="2"/>
      <c r="H3846" s="2"/>
      <c r="I3846" s="2"/>
    </row>
    <row r="3847">
      <c r="A3847" s="2">
        <f>IFERROR(__xludf.DUMMYFUNCTION("""COMPUTED_VALUE"""),41107.0)</f>
        <v>41107</v>
      </c>
      <c r="B3847" s="2" t="str">
        <f>IFERROR(__xludf.DUMMYFUNCTION("""COMPUTED_VALUE"""),"Sports")</f>
        <v>Sports</v>
      </c>
      <c r="C3847" s="2" t="str">
        <f>IFERROR(__xludf.DUMMYFUNCTION("""COMPUTED_VALUE"""),"Software Engineering")</f>
        <v>Software Engineering</v>
      </c>
      <c r="D3847" s="2" t="str">
        <f>IFERROR(__xludf.DUMMYFUNCTION("""COMPUTED_VALUE"""),"Riverstone House")</f>
        <v>Riverstone House</v>
      </c>
      <c r="E3847" s="2">
        <f>IFERROR(__xludf.DUMMYFUNCTION("""COMPUTED_VALUE"""),5.72)</f>
        <v>5.72</v>
      </c>
      <c r="F3847" s="2"/>
      <c r="G3847" s="2"/>
      <c r="H3847" s="2"/>
      <c r="I3847" s="2"/>
    </row>
    <row r="3848">
      <c r="A3848" s="2">
        <f>IFERROR(__xludf.DUMMYFUNCTION("""COMPUTED_VALUE"""),78358.0)</f>
        <v>78358</v>
      </c>
      <c r="B3848" s="2" t="str">
        <f>IFERROR(__xludf.DUMMYFUNCTION("""COMPUTED_VALUE"""),"Sports")</f>
        <v>Sports</v>
      </c>
      <c r="C3848" s="2" t="str">
        <f>IFERROR(__xludf.DUMMYFUNCTION("""COMPUTED_VALUE"""),"Software Engineering")</f>
        <v>Software Engineering</v>
      </c>
      <c r="D3848" s="2" t="str">
        <f>IFERROR(__xludf.DUMMYFUNCTION("""COMPUTED_VALUE"""),"Riverstone House")</f>
        <v>Riverstone House</v>
      </c>
      <c r="E3848" s="2">
        <f>IFERROR(__xludf.DUMMYFUNCTION("""COMPUTED_VALUE"""),12.86)</f>
        <v>12.86</v>
      </c>
      <c r="F3848" s="2"/>
      <c r="G3848" s="2"/>
      <c r="H3848" s="2"/>
      <c r="I3848" s="2"/>
    </row>
    <row r="3849">
      <c r="A3849" s="2">
        <f>IFERROR(__xludf.DUMMYFUNCTION("""COMPUTED_VALUE"""),77048.0)</f>
        <v>77048</v>
      </c>
      <c r="B3849" s="2" t="str">
        <f>IFERROR(__xludf.DUMMYFUNCTION("""COMPUTED_VALUE"""),"Sports")</f>
        <v>Sports</v>
      </c>
      <c r="C3849" s="2" t="str">
        <f>IFERROR(__xludf.DUMMYFUNCTION("""COMPUTED_VALUE"""),"Software Engineering")</f>
        <v>Software Engineering</v>
      </c>
      <c r="D3849" s="2" t="str">
        <f>IFERROR(__xludf.DUMMYFUNCTION("""COMPUTED_VALUE"""),"Riverstone House")</f>
        <v>Riverstone House</v>
      </c>
      <c r="E3849" s="2">
        <f>IFERROR(__xludf.DUMMYFUNCTION("""COMPUTED_VALUE"""),7.22)</f>
        <v>7.22</v>
      </c>
      <c r="F3849" s="2"/>
      <c r="G3849" s="2"/>
      <c r="H3849" s="2"/>
      <c r="I3849" s="2"/>
    </row>
    <row r="3850">
      <c r="A3850" s="2">
        <f>IFERROR(__xludf.DUMMYFUNCTION("""COMPUTED_VALUE"""),27428.0)</f>
        <v>27428</v>
      </c>
      <c r="B3850" s="2" t="str">
        <f>IFERROR(__xludf.DUMMYFUNCTION("""COMPUTED_VALUE"""),"Sports")</f>
        <v>Sports</v>
      </c>
      <c r="C3850" s="2" t="str">
        <f>IFERROR(__xludf.DUMMYFUNCTION("""COMPUTED_VALUE"""),"Software Engineering")</f>
        <v>Software Engineering</v>
      </c>
      <c r="D3850" s="2" t="str">
        <f>IFERROR(__xludf.DUMMYFUNCTION("""COMPUTED_VALUE"""),"Ironstone House")</f>
        <v>Ironstone House</v>
      </c>
      <c r="E3850" s="2">
        <f>IFERROR(__xludf.DUMMYFUNCTION("""COMPUTED_VALUE"""),20.32)</f>
        <v>20.32</v>
      </c>
      <c r="F3850" s="2"/>
      <c r="G3850" s="2"/>
      <c r="H3850" s="2"/>
      <c r="I3850" s="2"/>
    </row>
    <row r="3851">
      <c r="A3851" s="2">
        <f>IFERROR(__xludf.DUMMYFUNCTION("""COMPUTED_VALUE"""),8530.0)</f>
        <v>8530</v>
      </c>
      <c r="B3851" s="2" t="str">
        <f>IFERROR(__xludf.DUMMYFUNCTION("""COMPUTED_VALUE"""),"Sports")</f>
        <v>Sports</v>
      </c>
      <c r="C3851" s="2" t="str">
        <f>IFERROR(__xludf.DUMMYFUNCTION("""COMPUTED_VALUE"""),"Software Engineering")</f>
        <v>Software Engineering</v>
      </c>
      <c r="D3851" s="2" t="str">
        <f>IFERROR(__xludf.DUMMYFUNCTION("""COMPUTED_VALUE"""),"Ironstone House")</f>
        <v>Ironstone House</v>
      </c>
      <c r="E3851" s="2">
        <f>IFERROR(__xludf.DUMMYFUNCTION("""COMPUTED_VALUE"""),32.62)</f>
        <v>32.62</v>
      </c>
      <c r="F3851" s="2"/>
      <c r="G3851" s="2"/>
      <c r="H3851" s="2"/>
      <c r="I3851" s="2"/>
    </row>
    <row r="3852">
      <c r="A3852" s="2">
        <f>IFERROR(__xludf.DUMMYFUNCTION("""COMPUTED_VALUE"""),14281.0)</f>
        <v>14281</v>
      </c>
      <c r="B3852" s="2" t="str">
        <f>IFERROR(__xludf.DUMMYFUNCTION("""COMPUTED_VALUE"""),"Sports")</f>
        <v>Sports</v>
      </c>
      <c r="C3852" s="2" t="str">
        <f>IFERROR(__xludf.DUMMYFUNCTION("""COMPUTED_VALUE"""),"Software Engineering")</f>
        <v>Software Engineering</v>
      </c>
      <c r="D3852" s="2" t="str">
        <f>IFERROR(__xludf.DUMMYFUNCTION("""COMPUTED_VALUE"""),"Ironstone House")</f>
        <v>Ironstone House</v>
      </c>
      <c r="E3852" s="2">
        <f>IFERROR(__xludf.DUMMYFUNCTION("""COMPUTED_VALUE"""),45.26)</f>
        <v>45.26</v>
      </c>
      <c r="F3852" s="2"/>
      <c r="G3852" s="2"/>
      <c r="H3852" s="2"/>
      <c r="I3852" s="2"/>
    </row>
    <row r="3853">
      <c r="A3853" s="2">
        <f>IFERROR(__xludf.DUMMYFUNCTION("""COMPUTED_VALUE"""),140582.0)</f>
        <v>140582</v>
      </c>
      <c r="B3853" s="2" t="str">
        <f>IFERROR(__xludf.DUMMYFUNCTION("""COMPUTED_VALUE"""),"Sports")</f>
        <v>Sports</v>
      </c>
      <c r="C3853" s="2" t="str">
        <f>IFERROR(__xludf.DUMMYFUNCTION("""COMPUTED_VALUE"""),"Software Engineering")</f>
        <v>Software Engineering</v>
      </c>
      <c r="D3853" s="2" t="str">
        <f>IFERROR(__xludf.DUMMYFUNCTION("""COMPUTED_VALUE"""),"Ironstone House")</f>
        <v>Ironstone House</v>
      </c>
      <c r="E3853" s="2">
        <f>IFERROR(__xludf.DUMMYFUNCTION("""COMPUTED_VALUE"""),32.59)</f>
        <v>32.59</v>
      </c>
      <c r="F3853" s="2"/>
      <c r="G3853" s="2"/>
      <c r="H3853" s="2"/>
      <c r="I3853" s="2"/>
    </row>
    <row r="3854">
      <c r="A3854" s="2">
        <f>IFERROR(__xludf.DUMMYFUNCTION("""COMPUTED_VALUE"""),98895.0)</f>
        <v>98895</v>
      </c>
      <c r="B3854" s="2" t="str">
        <f>IFERROR(__xludf.DUMMYFUNCTION("""COMPUTED_VALUE"""),"Sports")</f>
        <v>Sports</v>
      </c>
      <c r="C3854" s="2" t="str">
        <f>IFERROR(__xludf.DUMMYFUNCTION("""COMPUTED_VALUE"""),"Software Engineering")</f>
        <v>Software Engineering</v>
      </c>
      <c r="D3854" s="2" t="str">
        <f>IFERROR(__xludf.DUMMYFUNCTION("""COMPUTED_VALUE"""),"Silverhill House")</f>
        <v>Silverhill House</v>
      </c>
      <c r="E3854" s="2">
        <f>IFERROR(__xludf.DUMMYFUNCTION("""COMPUTED_VALUE"""),7.66)</f>
        <v>7.66</v>
      </c>
      <c r="F3854" s="2"/>
      <c r="G3854" s="2"/>
      <c r="H3854" s="2"/>
      <c r="I3854" s="2"/>
    </row>
    <row r="3855">
      <c r="A3855" s="2">
        <f>IFERROR(__xludf.DUMMYFUNCTION("""COMPUTED_VALUE"""),77491.0)</f>
        <v>77491</v>
      </c>
      <c r="B3855" s="2" t="str">
        <f>IFERROR(__xludf.DUMMYFUNCTION("""COMPUTED_VALUE"""),"Arts")</f>
        <v>Arts</v>
      </c>
      <c r="C3855" s="2" t="str">
        <f>IFERROR(__xludf.DUMMYFUNCTION("""COMPUTED_VALUE"""),"Data Science")</f>
        <v>Data Science</v>
      </c>
      <c r="D3855" s="2" t="str">
        <f>IFERROR(__xludf.DUMMYFUNCTION("""COMPUTED_VALUE"""),"Northhill House")</f>
        <v>Northhill House</v>
      </c>
      <c r="E3855" s="2">
        <f>IFERROR(__xludf.DUMMYFUNCTION("""COMPUTED_VALUE"""),10.93)</f>
        <v>10.93</v>
      </c>
      <c r="F3855" s="2"/>
      <c r="G3855" s="2"/>
      <c r="H3855" s="2"/>
      <c r="I3855" s="2"/>
    </row>
    <row r="3856">
      <c r="A3856" s="2">
        <f>IFERROR(__xludf.DUMMYFUNCTION("""COMPUTED_VALUE"""),81704.0)</f>
        <v>81704</v>
      </c>
      <c r="B3856" s="2" t="str">
        <f>IFERROR(__xludf.DUMMYFUNCTION("""COMPUTED_VALUE"""),"Arts")</f>
        <v>Arts</v>
      </c>
      <c r="C3856" s="2" t="str">
        <f>IFERROR(__xludf.DUMMYFUNCTION("""COMPUTED_VALUE"""),"Data Science")</f>
        <v>Data Science</v>
      </c>
      <c r="D3856" s="2" t="str">
        <f>IFERROR(__xludf.DUMMYFUNCTION("""COMPUTED_VALUE"""),"Northhill House")</f>
        <v>Northhill House</v>
      </c>
      <c r="E3856" s="2">
        <f>IFERROR(__xludf.DUMMYFUNCTION("""COMPUTED_VALUE"""),11.7)</f>
        <v>11.7</v>
      </c>
      <c r="F3856" s="2"/>
      <c r="G3856" s="2"/>
      <c r="H3856" s="2"/>
      <c r="I3856" s="2"/>
    </row>
    <row r="3857">
      <c r="A3857" s="2">
        <f>IFERROR(__xludf.DUMMYFUNCTION("""COMPUTED_VALUE"""),111565.0)</f>
        <v>111565</v>
      </c>
      <c r="B3857" s="2" t="str">
        <f>IFERROR(__xludf.DUMMYFUNCTION("""COMPUTED_VALUE"""),"Arts")</f>
        <v>Arts</v>
      </c>
      <c r="C3857" s="2" t="str">
        <f>IFERROR(__xludf.DUMMYFUNCTION("""COMPUTED_VALUE"""),"Data Science")</f>
        <v>Data Science</v>
      </c>
      <c r="D3857" s="2" t="str">
        <f>IFERROR(__xludf.DUMMYFUNCTION("""COMPUTED_VALUE"""),"Northhill House")</f>
        <v>Northhill House</v>
      </c>
      <c r="E3857" s="2">
        <f>IFERROR(__xludf.DUMMYFUNCTION("""COMPUTED_VALUE"""),2.8)</f>
        <v>2.8</v>
      </c>
      <c r="F3857" s="2"/>
      <c r="G3857" s="2"/>
      <c r="H3857" s="2"/>
      <c r="I3857" s="2"/>
    </row>
    <row r="3858">
      <c r="A3858" s="2">
        <f>IFERROR(__xludf.DUMMYFUNCTION("""COMPUTED_VALUE"""),5774.0)</f>
        <v>5774</v>
      </c>
      <c r="B3858" s="2" t="str">
        <f>IFERROR(__xludf.DUMMYFUNCTION("""COMPUTED_VALUE"""),"Arts")</f>
        <v>Arts</v>
      </c>
      <c r="C3858" s="2" t="str">
        <f>IFERROR(__xludf.DUMMYFUNCTION("""COMPUTED_VALUE"""),"Data Science")</f>
        <v>Data Science</v>
      </c>
      <c r="D3858" s="2" t="str">
        <f>IFERROR(__xludf.DUMMYFUNCTION("""COMPUTED_VALUE"""),"Northhill House")</f>
        <v>Northhill House</v>
      </c>
      <c r="E3858" s="2">
        <f>IFERROR(__xludf.DUMMYFUNCTION("""COMPUTED_VALUE"""),3.01)</f>
        <v>3.01</v>
      </c>
      <c r="F3858" s="2"/>
      <c r="G3858" s="2"/>
      <c r="H3858" s="2"/>
      <c r="I3858" s="2"/>
    </row>
    <row r="3859">
      <c r="A3859" s="2">
        <f>IFERROR(__xludf.DUMMYFUNCTION("""COMPUTED_VALUE"""),112075.0)</f>
        <v>112075</v>
      </c>
      <c r="B3859" s="2" t="str">
        <f>IFERROR(__xludf.DUMMYFUNCTION("""COMPUTED_VALUE"""),"Arts")</f>
        <v>Arts</v>
      </c>
      <c r="C3859" s="2" t="str">
        <f>IFERROR(__xludf.DUMMYFUNCTION("""COMPUTED_VALUE"""),"Data Science")</f>
        <v>Data Science</v>
      </c>
      <c r="D3859" s="2" t="str">
        <f>IFERROR(__xludf.DUMMYFUNCTION("""COMPUTED_VALUE"""),"Northhill House")</f>
        <v>Northhill House</v>
      </c>
      <c r="E3859" s="2">
        <f>IFERROR(__xludf.DUMMYFUNCTION("""COMPUTED_VALUE"""),2.73)</f>
        <v>2.73</v>
      </c>
      <c r="F3859" s="2"/>
      <c r="G3859" s="2"/>
      <c r="H3859" s="2"/>
      <c r="I3859" s="2"/>
    </row>
    <row r="3860">
      <c r="A3860" s="2">
        <f>IFERROR(__xludf.DUMMYFUNCTION("""COMPUTED_VALUE"""),88469.0)</f>
        <v>88469</v>
      </c>
      <c r="B3860" s="2" t="str">
        <f>IFERROR(__xludf.DUMMYFUNCTION("""COMPUTED_VALUE"""),"Arts")</f>
        <v>Arts</v>
      </c>
      <c r="C3860" s="2" t="str">
        <f>IFERROR(__xludf.DUMMYFUNCTION("""COMPUTED_VALUE"""),"Data Science")</f>
        <v>Data Science</v>
      </c>
      <c r="D3860" s="2" t="str">
        <f>IFERROR(__xludf.DUMMYFUNCTION("""COMPUTED_VALUE"""),"Northhill House")</f>
        <v>Northhill House</v>
      </c>
      <c r="E3860" s="2">
        <f>IFERROR(__xludf.DUMMYFUNCTION("""COMPUTED_VALUE"""),2.4)</f>
        <v>2.4</v>
      </c>
      <c r="F3860" s="2"/>
      <c r="G3860" s="2"/>
      <c r="H3860" s="2"/>
      <c r="I3860" s="2"/>
    </row>
    <row r="3861">
      <c r="A3861" s="2">
        <f>IFERROR(__xludf.DUMMYFUNCTION("""COMPUTED_VALUE"""),112249.0)</f>
        <v>112249</v>
      </c>
      <c r="B3861" s="2" t="str">
        <f>IFERROR(__xludf.DUMMYFUNCTION("""COMPUTED_VALUE"""),"Arts")</f>
        <v>Arts</v>
      </c>
      <c r="C3861" s="2" t="str">
        <f>IFERROR(__xludf.DUMMYFUNCTION("""COMPUTED_VALUE"""),"Data Science")</f>
        <v>Data Science</v>
      </c>
      <c r="D3861" s="2" t="str">
        <f>IFERROR(__xludf.DUMMYFUNCTION("""COMPUTED_VALUE"""),"Northhill House")</f>
        <v>Northhill House</v>
      </c>
      <c r="E3861" s="2">
        <f>IFERROR(__xludf.DUMMYFUNCTION("""COMPUTED_VALUE"""),2.37)</f>
        <v>2.37</v>
      </c>
      <c r="F3861" s="2"/>
      <c r="G3861" s="2"/>
      <c r="H3861" s="2"/>
      <c r="I3861" s="2"/>
    </row>
    <row r="3862">
      <c r="A3862" s="2">
        <f>IFERROR(__xludf.DUMMYFUNCTION("""COMPUTED_VALUE"""),5775.0)</f>
        <v>5775</v>
      </c>
      <c r="B3862" s="2" t="str">
        <f>IFERROR(__xludf.DUMMYFUNCTION("""COMPUTED_VALUE"""),"Arts")</f>
        <v>Arts</v>
      </c>
      <c r="C3862" s="2" t="str">
        <f>IFERROR(__xludf.DUMMYFUNCTION("""COMPUTED_VALUE"""),"Data Science")</f>
        <v>Data Science</v>
      </c>
      <c r="D3862" s="2" t="str">
        <f>IFERROR(__xludf.DUMMYFUNCTION("""COMPUTED_VALUE"""),"Northhill House")</f>
        <v>Northhill House</v>
      </c>
      <c r="E3862" s="2">
        <f>IFERROR(__xludf.DUMMYFUNCTION("""COMPUTED_VALUE"""),2.58)</f>
        <v>2.58</v>
      </c>
      <c r="F3862" s="2"/>
      <c r="G3862" s="2"/>
      <c r="H3862" s="2"/>
      <c r="I3862" s="2"/>
    </row>
    <row r="3863">
      <c r="A3863" s="2">
        <f>IFERROR(__xludf.DUMMYFUNCTION("""COMPUTED_VALUE"""),77506.0)</f>
        <v>77506</v>
      </c>
      <c r="B3863" s="2" t="str">
        <f>IFERROR(__xludf.DUMMYFUNCTION("""COMPUTED_VALUE"""),"Arts")</f>
        <v>Arts</v>
      </c>
      <c r="C3863" s="2" t="str">
        <f>IFERROR(__xludf.DUMMYFUNCTION("""COMPUTED_VALUE"""),"Data Science")</f>
        <v>Data Science</v>
      </c>
      <c r="D3863" s="2" t="str">
        <f>IFERROR(__xludf.DUMMYFUNCTION("""COMPUTED_VALUE"""),"Northhill House")</f>
        <v>Northhill House</v>
      </c>
      <c r="E3863" s="2">
        <f>IFERROR(__xludf.DUMMYFUNCTION("""COMPUTED_VALUE"""),1.7)</f>
        <v>1.7</v>
      </c>
      <c r="F3863" s="2"/>
      <c r="G3863" s="2"/>
      <c r="H3863" s="2"/>
      <c r="I3863" s="2"/>
    </row>
    <row r="3864">
      <c r="A3864" s="2">
        <f>IFERROR(__xludf.DUMMYFUNCTION("""COMPUTED_VALUE"""),83646.0)</f>
        <v>83646</v>
      </c>
      <c r="B3864" s="2" t="str">
        <f>IFERROR(__xludf.DUMMYFUNCTION("""COMPUTED_VALUE"""),"Arts")</f>
        <v>Arts</v>
      </c>
      <c r="C3864" s="2" t="str">
        <f>IFERROR(__xludf.DUMMYFUNCTION("""COMPUTED_VALUE"""),"Data Science")</f>
        <v>Data Science</v>
      </c>
      <c r="D3864" s="2" t="str">
        <f>IFERROR(__xludf.DUMMYFUNCTION("""COMPUTED_VALUE"""),"Northhill House")</f>
        <v>Northhill House</v>
      </c>
      <c r="E3864" s="2">
        <f>IFERROR(__xludf.DUMMYFUNCTION("""COMPUTED_VALUE"""),1.98)</f>
        <v>1.98</v>
      </c>
      <c r="F3864" s="2"/>
      <c r="G3864" s="2"/>
      <c r="H3864" s="2"/>
      <c r="I3864" s="2"/>
    </row>
    <row r="3865">
      <c r="A3865" s="2">
        <f>IFERROR(__xludf.DUMMYFUNCTION("""COMPUTED_VALUE"""),77484.0)</f>
        <v>77484</v>
      </c>
      <c r="B3865" s="2" t="str">
        <f>IFERROR(__xludf.DUMMYFUNCTION("""COMPUTED_VALUE"""),"Arts")</f>
        <v>Arts</v>
      </c>
      <c r="C3865" s="2" t="str">
        <f>IFERROR(__xludf.DUMMYFUNCTION("""COMPUTED_VALUE"""),"Data Science")</f>
        <v>Data Science</v>
      </c>
      <c r="D3865" s="2" t="str">
        <f>IFERROR(__xludf.DUMMYFUNCTION("""COMPUTED_VALUE"""),"Northhill House")</f>
        <v>Northhill House</v>
      </c>
      <c r="E3865" s="2">
        <f>IFERROR(__xludf.DUMMYFUNCTION("""COMPUTED_VALUE"""),8.41)</f>
        <v>8.41</v>
      </c>
      <c r="F3865" s="2"/>
      <c r="G3865" s="2"/>
      <c r="H3865" s="2"/>
      <c r="I3865" s="2"/>
    </row>
    <row r="3866">
      <c r="A3866" s="2">
        <f>IFERROR(__xludf.DUMMYFUNCTION("""COMPUTED_VALUE"""),77481.0)</f>
        <v>77481</v>
      </c>
      <c r="B3866" s="2" t="str">
        <f>IFERROR(__xludf.DUMMYFUNCTION("""COMPUTED_VALUE"""),"Arts")</f>
        <v>Arts</v>
      </c>
      <c r="C3866" s="2" t="str">
        <f>IFERROR(__xludf.DUMMYFUNCTION("""COMPUTED_VALUE"""),"Data Science")</f>
        <v>Data Science</v>
      </c>
      <c r="D3866" s="2" t="str">
        <f>IFERROR(__xludf.DUMMYFUNCTION("""COMPUTED_VALUE"""),"Northhill House")</f>
        <v>Northhill House</v>
      </c>
      <c r="E3866" s="2">
        <f>IFERROR(__xludf.DUMMYFUNCTION("""COMPUTED_VALUE"""),1.96)</f>
        <v>1.96</v>
      </c>
      <c r="F3866" s="2"/>
      <c r="G3866" s="2"/>
      <c r="H3866" s="2"/>
      <c r="I3866" s="2"/>
    </row>
    <row r="3867">
      <c r="A3867" s="2">
        <f>IFERROR(__xludf.DUMMYFUNCTION("""COMPUTED_VALUE"""),17075.0)</f>
        <v>17075</v>
      </c>
      <c r="B3867" s="2" t="str">
        <f>IFERROR(__xludf.DUMMYFUNCTION("""COMPUTED_VALUE"""),"Arts")</f>
        <v>Arts</v>
      </c>
      <c r="C3867" s="2" t="str">
        <f>IFERROR(__xludf.DUMMYFUNCTION("""COMPUTED_VALUE"""),"Data Science")</f>
        <v>Data Science</v>
      </c>
      <c r="D3867" s="2" t="str">
        <f>IFERROR(__xludf.DUMMYFUNCTION("""COMPUTED_VALUE"""),"Northhill House")</f>
        <v>Northhill House</v>
      </c>
      <c r="E3867" s="2">
        <f>IFERROR(__xludf.DUMMYFUNCTION("""COMPUTED_VALUE"""),4.77)</f>
        <v>4.77</v>
      </c>
      <c r="F3867" s="2"/>
      <c r="G3867" s="2"/>
      <c r="H3867" s="2"/>
      <c r="I3867" s="2"/>
    </row>
    <row r="3868">
      <c r="A3868" s="2">
        <f>IFERROR(__xludf.DUMMYFUNCTION("""COMPUTED_VALUE"""),77492.0)</f>
        <v>77492</v>
      </c>
      <c r="B3868" s="2" t="str">
        <f>IFERROR(__xludf.DUMMYFUNCTION("""COMPUTED_VALUE"""),"Arts")</f>
        <v>Arts</v>
      </c>
      <c r="C3868" s="2" t="str">
        <f>IFERROR(__xludf.DUMMYFUNCTION("""COMPUTED_VALUE"""),"Data Science")</f>
        <v>Data Science</v>
      </c>
      <c r="D3868" s="2" t="str">
        <f>IFERROR(__xludf.DUMMYFUNCTION("""COMPUTED_VALUE"""),"Northhill House")</f>
        <v>Northhill House</v>
      </c>
      <c r="E3868" s="2">
        <f>IFERROR(__xludf.DUMMYFUNCTION("""COMPUTED_VALUE"""),2.28)</f>
        <v>2.28</v>
      </c>
      <c r="F3868" s="2"/>
      <c r="G3868" s="2"/>
      <c r="H3868" s="2"/>
      <c r="I3868" s="2"/>
    </row>
    <row r="3869">
      <c r="A3869" s="2">
        <f>IFERROR(__xludf.DUMMYFUNCTION("""COMPUTED_VALUE"""),112084.0)</f>
        <v>112084</v>
      </c>
      <c r="B3869" s="2" t="str">
        <f>IFERROR(__xludf.DUMMYFUNCTION("""COMPUTED_VALUE"""),"Arts")</f>
        <v>Arts</v>
      </c>
      <c r="C3869" s="2" t="str">
        <f>IFERROR(__xludf.DUMMYFUNCTION("""COMPUTED_VALUE"""),"Data Science")</f>
        <v>Data Science</v>
      </c>
      <c r="D3869" s="2" t="str">
        <f>IFERROR(__xludf.DUMMYFUNCTION("""COMPUTED_VALUE"""),"Northhill House")</f>
        <v>Northhill House</v>
      </c>
      <c r="E3869" s="2">
        <f>IFERROR(__xludf.DUMMYFUNCTION("""COMPUTED_VALUE"""),3.93)</f>
        <v>3.93</v>
      </c>
      <c r="F3869" s="2"/>
      <c r="G3869" s="2"/>
      <c r="H3869" s="2"/>
      <c r="I3869" s="2"/>
    </row>
    <row r="3870">
      <c r="A3870" s="2">
        <f>IFERROR(__xludf.DUMMYFUNCTION("""COMPUTED_VALUE"""),12041.0)</f>
        <v>12041</v>
      </c>
      <c r="B3870" s="2" t="str">
        <f>IFERROR(__xludf.DUMMYFUNCTION("""COMPUTED_VALUE"""),"Arts")</f>
        <v>Arts</v>
      </c>
      <c r="C3870" s="2" t="str">
        <f>IFERROR(__xludf.DUMMYFUNCTION("""COMPUTED_VALUE"""),"Data Science")</f>
        <v>Data Science</v>
      </c>
      <c r="D3870" s="2" t="str">
        <f>IFERROR(__xludf.DUMMYFUNCTION("""COMPUTED_VALUE"""),"Northhill House")</f>
        <v>Northhill House</v>
      </c>
      <c r="E3870" s="2">
        <f>IFERROR(__xludf.DUMMYFUNCTION("""COMPUTED_VALUE"""),3.66)</f>
        <v>3.66</v>
      </c>
      <c r="F3870" s="2"/>
      <c r="G3870" s="2"/>
      <c r="H3870" s="2"/>
      <c r="I3870" s="2"/>
    </row>
    <row r="3871">
      <c r="A3871" s="2">
        <f>IFERROR(__xludf.DUMMYFUNCTION("""COMPUTED_VALUE"""),83042.0)</f>
        <v>83042</v>
      </c>
      <c r="B3871" s="2" t="str">
        <f>IFERROR(__xludf.DUMMYFUNCTION("""COMPUTED_VALUE"""),"Arts")</f>
        <v>Arts</v>
      </c>
      <c r="C3871" s="2" t="str">
        <f>IFERROR(__xludf.DUMMYFUNCTION("""COMPUTED_VALUE"""),"Data Science")</f>
        <v>Data Science</v>
      </c>
      <c r="D3871" s="2" t="str">
        <f>IFERROR(__xludf.DUMMYFUNCTION("""COMPUTED_VALUE"""),"Northhill House")</f>
        <v>Northhill House</v>
      </c>
      <c r="E3871" s="2">
        <f>IFERROR(__xludf.DUMMYFUNCTION("""COMPUTED_VALUE"""),2.92)</f>
        <v>2.92</v>
      </c>
      <c r="F3871" s="2"/>
      <c r="G3871" s="2"/>
      <c r="H3871" s="2"/>
      <c r="I3871" s="2"/>
    </row>
    <row r="3872">
      <c r="A3872" s="2">
        <f>IFERROR(__xludf.DUMMYFUNCTION("""COMPUTED_VALUE"""),77490.0)</f>
        <v>77490</v>
      </c>
      <c r="B3872" s="2" t="str">
        <f>IFERROR(__xludf.DUMMYFUNCTION("""COMPUTED_VALUE"""),"Arts")</f>
        <v>Arts</v>
      </c>
      <c r="C3872" s="2" t="str">
        <f>IFERROR(__xludf.DUMMYFUNCTION("""COMPUTED_VALUE"""),"Data Science")</f>
        <v>Data Science</v>
      </c>
      <c r="D3872" s="2" t="str">
        <f>IFERROR(__xludf.DUMMYFUNCTION("""COMPUTED_VALUE"""),"Northhill House")</f>
        <v>Northhill House</v>
      </c>
      <c r="E3872" s="2">
        <f>IFERROR(__xludf.DUMMYFUNCTION("""COMPUTED_VALUE"""),2.57)</f>
        <v>2.57</v>
      </c>
      <c r="F3872" s="2"/>
      <c r="G3872" s="2"/>
      <c r="H3872" s="2"/>
      <c r="I3872" s="2"/>
    </row>
    <row r="3873">
      <c r="A3873" s="2">
        <f>IFERROR(__xludf.DUMMYFUNCTION("""COMPUTED_VALUE"""),43336.0)</f>
        <v>43336</v>
      </c>
      <c r="B3873" s="2" t="str">
        <f>IFERROR(__xludf.DUMMYFUNCTION("""COMPUTED_VALUE"""),"Arts")</f>
        <v>Arts</v>
      </c>
      <c r="C3873" s="2" t="str">
        <f>IFERROR(__xludf.DUMMYFUNCTION("""COMPUTED_VALUE"""),"Data Science")</f>
        <v>Data Science</v>
      </c>
      <c r="D3873" s="2" t="str">
        <f>IFERROR(__xludf.DUMMYFUNCTION("""COMPUTED_VALUE"""),"Northhill House")</f>
        <v>Northhill House</v>
      </c>
      <c r="E3873" s="2">
        <f>IFERROR(__xludf.DUMMYFUNCTION("""COMPUTED_VALUE"""),4.07)</f>
        <v>4.07</v>
      </c>
      <c r="F3873" s="2"/>
      <c r="G3873" s="2"/>
      <c r="H3873" s="2"/>
      <c r="I3873" s="2"/>
    </row>
    <row r="3874">
      <c r="A3874" s="2">
        <f>IFERROR(__xludf.DUMMYFUNCTION("""COMPUTED_VALUE"""),48609.0)</f>
        <v>48609</v>
      </c>
      <c r="B3874" s="2" t="str">
        <f>IFERROR(__xludf.DUMMYFUNCTION("""COMPUTED_VALUE"""),"Arts")</f>
        <v>Arts</v>
      </c>
      <c r="C3874" s="2" t="str">
        <f>IFERROR(__xludf.DUMMYFUNCTION("""COMPUTED_VALUE"""),"Data Science")</f>
        <v>Data Science</v>
      </c>
      <c r="D3874" s="2" t="str">
        <f>IFERROR(__xludf.DUMMYFUNCTION("""COMPUTED_VALUE"""),"Northhill House")</f>
        <v>Northhill House</v>
      </c>
      <c r="E3874" s="2">
        <f>IFERROR(__xludf.DUMMYFUNCTION("""COMPUTED_VALUE"""),2.44)</f>
        <v>2.44</v>
      </c>
      <c r="F3874" s="2"/>
      <c r="G3874" s="2"/>
      <c r="H3874" s="2"/>
      <c r="I3874" s="2"/>
    </row>
    <row r="3875">
      <c r="A3875" s="2">
        <f>IFERROR(__xludf.DUMMYFUNCTION("""COMPUTED_VALUE"""),117074.0)</f>
        <v>117074</v>
      </c>
      <c r="B3875" s="2" t="str">
        <f>IFERROR(__xludf.DUMMYFUNCTION("""COMPUTED_VALUE"""),"Arts")</f>
        <v>Arts</v>
      </c>
      <c r="C3875" s="2" t="str">
        <f>IFERROR(__xludf.DUMMYFUNCTION("""COMPUTED_VALUE"""),"Data Science")</f>
        <v>Data Science</v>
      </c>
      <c r="D3875" s="2" t="str">
        <f>IFERROR(__xludf.DUMMYFUNCTION("""COMPUTED_VALUE"""),"Northhill House")</f>
        <v>Northhill House</v>
      </c>
      <c r="E3875" s="2">
        <f>IFERROR(__xludf.DUMMYFUNCTION("""COMPUTED_VALUE"""),2.04)</f>
        <v>2.04</v>
      </c>
      <c r="F3875" s="2"/>
      <c r="G3875" s="2"/>
      <c r="H3875" s="2"/>
      <c r="I3875" s="2"/>
    </row>
    <row r="3876">
      <c r="A3876" s="2">
        <f>IFERROR(__xludf.DUMMYFUNCTION("""COMPUTED_VALUE"""),112085.0)</f>
        <v>112085</v>
      </c>
      <c r="B3876" s="2" t="str">
        <f>IFERROR(__xludf.DUMMYFUNCTION("""COMPUTED_VALUE"""),"Arts")</f>
        <v>Arts</v>
      </c>
      <c r="C3876" s="2" t="str">
        <f>IFERROR(__xludf.DUMMYFUNCTION("""COMPUTED_VALUE"""),"Data Science")</f>
        <v>Data Science</v>
      </c>
      <c r="D3876" s="2" t="str">
        <f>IFERROR(__xludf.DUMMYFUNCTION("""COMPUTED_VALUE"""),"Northhill House")</f>
        <v>Northhill House</v>
      </c>
      <c r="E3876" s="2">
        <f>IFERROR(__xludf.DUMMYFUNCTION("""COMPUTED_VALUE"""),1.46)</f>
        <v>1.46</v>
      </c>
      <c r="F3876" s="2"/>
      <c r="G3876" s="2"/>
      <c r="H3876" s="2"/>
      <c r="I3876" s="2"/>
    </row>
    <row r="3877">
      <c r="A3877" s="2">
        <f>IFERROR(__xludf.DUMMYFUNCTION("""COMPUTED_VALUE"""),106656.0)</f>
        <v>106656</v>
      </c>
      <c r="B3877" s="2" t="str">
        <f>IFERROR(__xludf.DUMMYFUNCTION("""COMPUTED_VALUE"""),"Arts")</f>
        <v>Arts</v>
      </c>
      <c r="C3877" s="2" t="str">
        <f>IFERROR(__xludf.DUMMYFUNCTION("""COMPUTED_VALUE"""),"Data Science")</f>
        <v>Data Science</v>
      </c>
      <c r="D3877" s="2" t="str">
        <f>IFERROR(__xludf.DUMMYFUNCTION("""COMPUTED_VALUE"""),"Northhill House")</f>
        <v>Northhill House</v>
      </c>
      <c r="E3877" s="2">
        <f>IFERROR(__xludf.DUMMYFUNCTION("""COMPUTED_VALUE"""),2.68)</f>
        <v>2.68</v>
      </c>
      <c r="F3877" s="2"/>
      <c r="G3877" s="2"/>
      <c r="H3877" s="2"/>
      <c r="I3877" s="2"/>
    </row>
    <row r="3878">
      <c r="A3878" s="2">
        <f>IFERROR(__xludf.DUMMYFUNCTION("""COMPUTED_VALUE"""),119244.0)</f>
        <v>119244</v>
      </c>
      <c r="B3878" s="2" t="str">
        <f>IFERROR(__xludf.DUMMYFUNCTION("""COMPUTED_VALUE"""),"Arts")</f>
        <v>Arts</v>
      </c>
      <c r="C3878" s="2" t="str">
        <f>IFERROR(__xludf.DUMMYFUNCTION("""COMPUTED_VALUE"""),"Data Science")</f>
        <v>Data Science</v>
      </c>
      <c r="D3878" s="2" t="str">
        <f>IFERROR(__xludf.DUMMYFUNCTION("""COMPUTED_VALUE"""),"Harborhill House")</f>
        <v>Harborhill House</v>
      </c>
      <c r="E3878" s="2">
        <f>IFERROR(__xludf.DUMMYFUNCTION("""COMPUTED_VALUE"""),2.65)</f>
        <v>2.65</v>
      </c>
      <c r="F3878" s="2"/>
      <c r="G3878" s="2"/>
      <c r="H3878" s="2"/>
      <c r="I3878" s="2"/>
    </row>
    <row r="3879">
      <c r="A3879" s="2">
        <f>IFERROR(__xludf.DUMMYFUNCTION("""COMPUTED_VALUE"""),73236.0)</f>
        <v>73236</v>
      </c>
      <c r="B3879" s="2" t="str">
        <f>IFERROR(__xludf.DUMMYFUNCTION("""COMPUTED_VALUE"""),"Arts")</f>
        <v>Arts</v>
      </c>
      <c r="C3879" s="2" t="str">
        <f>IFERROR(__xludf.DUMMYFUNCTION("""COMPUTED_VALUE"""),"Data Science")</f>
        <v>Data Science</v>
      </c>
      <c r="D3879" s="2" t="str">
        <f>IFERROR(__xludf.DUMMYFUNCTION("""COMPUTED_VALUE"""),"Harborhill House")</f>
        <v>Harborhill House</v>
      </c>
      <c r="E3879" s="2">
        <f>IFERROR(__xludf.DUMMYFUNCTION("""COMPUTED_VALUE"""),4.35)</f>
        <v>4.35</v>
      </c>
      <c r="F3879" s="2"/>
      <c r="G3879" s="2"/>
      <c r="H3879" s="2"/>
      <c r="I3879" s="2"/>
    </row>
    <row r="3880">
      <c r="A3880" s="2">
        <f>IFERROR(__xludf.DUMMYFUNCTION("""COMPUTED_VALUE"""),127582.0)</f>
        <v>127582</v>
      </c>
      <c r="B3880" s="2" t="str">
        <f>IFERROR(__xludf.DUMMYFUNCTION("""COMPUTED_VALUE"""),"Arts")</f>
        <v>Arts</v>
      </c>
      <c r="C3880" s="2" t="str">
        <f>IFERROR(__xludf.DUMMYFUNCTION("""COMPUTED_VALUE"""),"Data Science")</f>
        <v>Data Science</v>
      </c>
      <c r="D3880" s="2" t="str">
        <f>IFERROR(__xludf.DUMMYFUNCTION("""COMPUTED_VALUE"""),"Harborhill House")</f>
        <v>Harborhill House</v>
      </c>
      <c r="E3880" s="2">
        <f>IFERROR(__xludf.DUMMYFUNCTION("""COMPUTED_VALUE"""),7.96)</f>
        <v>7.96</v>
      </c>
      <c r="F3880" s="2"/>
      <c r="G3880" s="2"/>
      <c r="H3880" s="2"/>
      <c r="I3880" s="2"/>
    </row>
    <row r="3881">
      <c r="A3881" s="2">
        <f>IFERROR(__xludf.DUMMYFUNCTION("""COMPUTED_VALUE"""),128210.0)</f>
        <v>128210</v>
      </c>
      <c r="B3881" s="2" t="str">
        <f>IFERROR(__xludf.DUMMYFUNCTION("""COMPUTED_VALUE"""),"Arts")</f>
        <v>Arts</v>
      </c>
      <c r="C3881" s="2" t="str">
        <f>IFERROR(__xludf.DUMMYFUNCTION("""COMPUTED_VALUE"""),"Data Science")</f>
        <v>Data Science</v>
      </c>
      <c r="D3881" s="2" t="str">
        <f>IFERROR(__xludf.DUMMYFUNCTION("""COMPUTED_VALUE"""),"Harborhill House")</f>
        <v>Harborhill House</v>
      </c>
      <c r="E3881" s="2">
        <f>IFERROR(__xludf.DUMMYFUNCTION("""COMPUTED_VALUE"""),2.98)</f>
        <v>2.98</v>
      </c>
      <c r="F3881" s="2"/>
      <c r="G3881" s="2"/>
      <c r="H3881" s="2"/>
      <c r="I3881" s="2"/>
    </row>
    <row r="3882">
      <c r="A3882" s="2">
        <f>IFERROR(__xludf.DUMMYFUNCTION("""COMPUTED_VALUE"""),73187.0)</f>
        <v>73187</v>
      </c>
      <c r="B3882" s="2" t="str">
        <f>IFERROR(__xludf.DUMMYFUNCTION("""COMPUTED_VALUE"""),"Arts")</f>
        <v>Arts</v>
      </c>
      <c r="C3882" s="2" t="str">
        <f>IFERROR(__xludf.DUMMYFUNCTION("""COMPUTED_VALUE"""),"Data Science")</f>
        <v>Data Science</v>
      </c>
      <c r="D3882" s="2" t="str">
        <f>IFERROR(__xludf.DUMMYFUNCTION("""COMPUTED_VALUE"""),"Harborhill House")</f>
        <v>Harborhill House</v>
      </c>
      <c r="E3882" s="2">
        <f>IFERROR(__xludf.DUMMYFUNCTION("""COMPUTED_VALUE"""),16.81)</f>
        <v>16.81</v>
      </c>
      <c r="F3882" s="2"/>
      <c r="G3882" s="2"/>
      <c r="H3882" s="2"/>
      <c r="I3882" s="2"/>
    </row>
    <row r="3883">
      <c r="A3883" s="2">
        <f>IFERROR(__xludf.DUMMYFUNCTION("""COMPUTED_VALUE"""),41681.0)</f>
        <v>41681</v>
      </c>
      <c r="B3883" s="2" t="str">
        <f>IFERROR(__xludf.DUMMYFUNCTION("""COMPUTED_VALUE"""),"Arts")</f>
        <v>Arts</v>
      </c>
      <c r="C3883" s="2" t="str">
        <f>IFERROR(__xludf.DUMMYFUNCTION("""COMPUTED_VALUE"""),"Data Science")</f>
        <v>Data Science</v>
      </c>
      <c r="D3883" s="2" t="str">
        <f>IFERROR(__xludf.DUMMYFUNCTION("""COMPUTED_VALUE"""),"Harborhill House")</f>
        <v>Harborhill House</v>
      </c>
      <c r="E3883" s="2">
        <f>IFERROR(__xludf.DUMMYFUNCTION("""COMPUTED_VALUE"""),2.62)</f>
        <v>2.62</v>
      </c>
      <c r="F3883" s="2"/>
      <c r="G3883" s="2"/>
      <c r="H3883" s="2"/>
      <c r="I3883" s="2"/>
    </row>
    <row r="3884">
      <c r="A3884" s="2">
        <f>IFERROR(__xludf.DUMMYFUNCTION("""COMPUTED_VALUE"""),30624.0)</f>
        <v>30624</v>
      </c>
      <c r="B3884" s="2" t="str">
        <f>IFERROR(__xludf.DUMMYFUNCTION("""COMPUTED_VALUE"""),"Arts")</f>
        <v>Arts</v>
      </c>
      <c r="C3884" s="2" t="str">
        <f>IFERROR(__xludf.DUMMYFUNCTION("""COMPUTED_VALUE"""),"Data Science")</f>
        <v>Data Science</v>
      </c>
      <c r="D3884" s="2" t="str">
        <f>IFERROR(__xludf.DUMMYFUNCTION("""COMPUTED_VALUE"""),"Harborhill House")</f>
        <v>Harborhill House</v>
      </c>
      <c r="E3884" s="2">
        <f>IFERROR(__xludf.DUMMYFUNCTION("""COMPUTED_VALUE"""),7.73)</f>
        <v>7.73</v>
      </c>
      <c r="F3884" s="2"/>
      <c r="G3884" s="2"/>
      <c r="H3884" s="2"/>
      <c r="I3884" s="2"/>
    </row>
    <row r="3885">
      <c r="A3885" s="2">
        <f>IFERROR(__xludf.DUMMYFUNCTION("""COMPUTED_VALUE"""),114267.0)</f>
        <v>114267</v>
      </c>
      <c r="B3885" s="2" t="str">
        <f>IFERROR(__xludf.DUMMYFUNCTION("""COMPUTED_VALUE"""),"Arts")</f>
        <v>Arts</v>
      </c>
      <c r="C3885" s="2" t="str">
        <f>IFERROR(__xludf.DUMMYFUNCTION("""COMPUTED_VALUE"""),"Data Science")</f>
        <v>Data Science</v>
      </c>
      <c r="D3885" s="2" t="str">
        <f>IFERROR(__xludf.DUMMYFUNCTION("""COMPUTED_VALUE"""),"Harborhill House")</f>
        <v>Harborhill House</v>
      </c>
      <c r="E3885" s="2">
        <f>IFERROR(__xludf.DUMMYFUNCTION("""COMPUTED_VALUE"""),4.5)</f>
        <v>4.5</v>
      </c>
      <c r="F3885" s="2"/>
      <c r="G3885" s="2"/>
      <c r="H3885" s="2"/>
      <c r="I3885" s="2"/>
    </row>
    <row r="3886">
      <c r="A3886" s="2">
        <f>IFERROR(__xludf.DUMMYFUNCTION("""COMPUTED_VALUE"""),77441.0)</f>
        <v>77441</v>
      </c>
      <c r="B3886" s="2" t="str">
        <f>IFERROR(__xludf.DUMMYFUNCTION("""COMPUTED_VALUE"""),"Arts")</f>
        <v>Arts</v>
      </c>
      <c r="C3886" s="2" t="str">
        <f>IFERROR(__xludf.DUMMYFUNCTION("""COMPUTED_VALUE"""),"Data Science")</f>
        <v>Data Science</v>
      </c>
      <c r="D3886" s="2" t="str">
        <f>IFERROR(__xludf.DUMMYFUNCTION("""COMPUTED_VALUE"""),"Harborhill House")</f>
        <v>Harborhill House</v>
      </c>
      <c r="E3886" s="2">
        <f>IFERROR(__xludf.DUMMYFUNCTION("""COMPUTED_VALUE"""),1.93)</f>
        <v>1.93</v>
      </c>
      <c r="F3886" s="2"/>
      <c r="G3886" s="2"/>
      <c r="H3886" s="2"/>
      <c r="I3886" s="2"/>
    </row>
    <row r="3887">
      <c r="A3887" s="2">
        <f>IFERROR(__xludf.DUMMYFUNCTION("""COMPUTED_VALUE"""),116636.0)</f>
        <v>116636</v>
      </c>
      <c r="B3887" s="2" t="str">
        <f>IFERROR(__xludf.DUMMYFUNCTION("""COMPUTED_VALUE"""),"Arts")</f>
        <v>Arts</v>
      </c>
      <c r="C3887" s="2" t="str">
        <f>IFERROR(__xludf.DUMMYFUNCTION("""COMPUTED_VALUE"""),"Data Science")</f>
        <v>Data Science</v>
      </c>
      <c r="D3887" s="2" t="str">
        <f>IFERROR(__xludf.DUMMYFUNCTION("""COMPUTED_VALUE"""),"Harborhill House")</f>
        <v>Harborhill House</v>
      </c>
      <c r="E3887" s="2">
        <f>IFERROR(__xludf.DUMMYFUNCTION("""COMPUTED_VALUE"""),4.03)</f>
        <v>4.03</v>
      </c>
      <c r="F3887" s="2"/>
      <c r="G3887" s="2"/>
      <c r="H3887" s="2"/>
      <c r="I3887" s="2"/>
    </row>
    <row r="3888">
      <c r="A3888" s="2">
        <f>IFERROR(__xludf.DUMMYFUNCTION("""COMPUTED_VALUE"""),115198.0)</f>
        <v>115198</v>
      </c>
      <c r="B3888" s="2" t="str">
        <f>IFERROR(__xludf.DUMMYFUNCTION("""COMPUTED_VALUE"""),"Arts")</f>
        <v>Arts</v>
      </c>
      <c r="C3888" s="2" t="str">
        <f>IFERROR(__xludf.DUMMYFUNCTION("""COMPUTED_VALUE"""),"Data Science")</f>
        <v>Data Science</v>
      </c>
      <c r="D3888" s="2" t="str">
        <f>IFERROR(__xludf.DUMMYFUNCTION("""COMPUTED_VALUE"""),"Harborhill House")</f>
        <v>Harborhill House</v>
      </c>
      <c r="E3888" s="2">
        <f>IFERROR(__xludf.DUMMYFUNCTION("""COMPUTED_VALUE"""),4.95)</f>
        <v>4.95</v>
      </c>
      <c r="F3888" s="2"/>
      <c r="G3888" s="2"/>
      <c r="H3888" s="2"/>
      <c r="I3888" s="2"/>
    </row>
    <row r="3889">
      <c r="A3889" s="2">
        <f>IFERROR(__xludf.DUMMYFUNCTION("""COMPUTED_VALUE"""),89845.0)</f>
        <v>89845</v>
      </c>
      <c r="B3889" s="2" t="str">
        <f>IFERROR(__xludf.DUMMYFUNCTION("""COMPUTED_VALUE"""),"Arts")</f>
        <v>Arts</v>
      </c>
      <c r="C3889" s="2" t="str">
        <f>IFERROR(__xludf.DUMMYFUNCTION("""COMPUTED_VALUE"""),"Data Science")</f>
        <v>Data Science</v>
      </c>
      <c r="D3889" s="2" t="str">
        <f>IFERROR(__xludf.DUMMYFUNCTION("""COMPUTED_VALUE"""),"Harborhill House")</f>
        <v>Harborhill House</v>
      </c>
      <c r="E3889" s="2">
        <f>IFERROR(__xludf.DUMMYFUNCTION("""COMPUTED_VALUE"""),4.8)</f>
        <v>4.8</v>
      </c>
      <c r="F3889" s="2"/>
      <c r="G3889" s="2"/>
      <c r="H3889" s="2"/>
      <c r="I3889" s="2"/>
    </row>
    <row r="3890">
      <c r="A3890" s="2">
        <f>IFERROR(__xludf.DUMMYFUNCTION("""COMPUTED_VALUE"""),112248.0)</f>
        <v>112248</v>
      </c>
      <c r="B3890" s="2" t="str">
        <f>IFERROR(__xludf.DUMMYFUNCTION("""COMPUTED_VALUE"""),"Arts")</f>
        <v>Arts</v>
      </c>
      <c r="C3890" s="2" t="str">
        <f>IFERROR(__xludf.DUMMYFUNCTION("""COMPUTED_VALUE"""),"Data Science")</f>
        <v>Data Science</v>
      </c>
      <c r="D3890" s="2" t="str">
        <f>IFERROR(__xludf.DUMMYFUNCTION("""COMPUTED_VALUE"""),"Harborhill House")</f>
        <v>Harborhill House</v>
      </c>
      <c r="E3890" s="2">
        <f>IFERROR(__xludf.DUMMYFUNCTION("""COMPUTED_VALUE"""),2.33)</f>
        <v>2.33</v>
      </c>
      <c r="F3890" s="2"/>
      <c r="G3890" s="2"/>
      <c r="H3890" s="2"/>
      <c r="I3890" s="2"/>
    </row>
    <row r="3891">
      <c r="A3891" s="2">
        <f>IFERROR(__xludf.DUMMYFUNCTION("""COMPUTED_VALUE"""),89849.0)</f>
        <v>89849</v>
      </c>
      <c r="B3891" s="2" t="str">
        <f>IFERROR(__xludf.DUMMYFUNCTION("""COMPUTED_VALUE"""),"Arts")</f>
        <v>Arts</v>
      </c>
      <c r="C3891" s="2" t="str">
        <f>IFERROR(__xludf.DUMMYFUNCTION("""COMPUTED_VALUE"""),"Data Science")</f>
        <v>Data Science</v>
      </c>
      <c r="D3891" s="2" t="str">
        <f>IFERROR(__xludf.DUMMYFUNCTION("""COMPUTED_VALUE"""),"Harborhill House")</f>
        <v>Harborhill House</v>
      </c>
      <c r="E3891" s="2">
        <f>IFERROR(__xludf.DUMMYFUNCTION("""COMPUTED_VALUE"""),5.7)</f>
        <v>5.7</v>
      </c>
      <c r="F3891" s="2"/>
      <c r="G3891" s="2"/>
      <c r="H3891" s="2"/>
      <c r="I3891" s="2"/>
    </row>
    <row r="3892">
      <c r="A3892" s="2">
        <f>IFERROR(__xludf.DUMMYFUNCTION("""COMPUTED_VALUE"""),121709.0)</f>
        <v>121709</v>
      </c>
      <c r="B3892" s="2" t="str">
        <f>IFERROR(__xludf.DUMMYFUNCTION("""COMPUTED_VALUE"""),"Arts")</f>
        <v>Arts</v>
      </c>
      <c r="C3892" s="2" t="str">
        <f>IFERROR(__xludf.DUMMYFUNCTION("""COMPUTED_VALUE"""),"Data Science")</f>
        <v>Data Science</v>
      </c>
      <c r="D3892" s="2" t="str">
        <f>IFERROR(__xludf.DUMMYFUNCTION("""COMPUTED_VALUE"""),"Harborhill House")</f>
        <v>Harborhill House</v>
      </c>
      <c r="E3892" s="2">
        <f>IFERROR(__xludf.DUMMYFUNCTION("""COMPUTED_VALUE"""),4.62)</f>
        <v>4.62</v>
      </c>
      <c r="F3892" s="2"/>
      <c r="G3892" s="2"/>
      <c r="H3892" s="2"/>
      <c r="I3892" s="2"/>
    </row>
    <row r="3893">
      <c r="A3893" s="2">
        <f>IFERROR(__xludf.DUMMYFUNCTION("""COMPUTED_VALUE"""),122653.0)</f>
        <v>122653</v>
      </c>
      <c r="B3893" s="2" t="str">
        <f>IFERROR(__xludf.DUMMYFUNCTION("""COMPUTED_VALUE"""),"Arts")</f>
        <v>Arts</v>
      </c>
      <c r="C3893" s="2" t="str">
        <f>IFERROR(__xludf.DUMMYFUNCTION("""COMPUTED_VALUE"""),"Data Science")</f>
        <v>Data Science</v>
      </c>
      <c r="D3893" s="2" t="str">
        <f>IFERROR(__xludf.DUMMYFUNCTION("""COMPUTED_VALUE"""),"Harborhill House")</f>
        <v>Harborhill House</v>
      </c>
      <c r="E3893" s="2">
        <f>IFERROR(__xludf.DUMMYFUNCTION("""COMPUTED_VALUE"""),7.94)</f>
        <v>7.94</v>
      </c>
      <c r="F3893" s="2"/>
      <c r="G3893" s="2"/>
      <c r="H3893" s="2"/>
      <c r="I3893" s="2"/>
    </row>
    <row r="3894">
      <c r="A3894" s="2">
        <f>IFERROR(__xludf.DUMMYFUNCTION("""COMPUTED_VALUE"""),9759.0)</f>
        <v>9759</v>
      </c>
      <c r="B3894" s="2" t="str">
        <f>IFERROR(__xludf.DUMMYFUNCTION("""COMPUTED_VALUE"""),"Arts")</f>
        <v>Arts</v>
      </c>
      <c r="C3894" s="2" t="str">
        <f>IFERROR(__xludf.DUMMYFUNCTION("""COMPUTED_VALUE"""),"Data Science")</f>
        <v>Data Science</v>
      </c>
      <c r="D3894" s="2" t="str">
        <f>IFERROR(__xludf.DUMMYFUNCTION("""COMPUTED_VALUE"""),"Harborhill House")</f>
        <v>Harborhill House</v>
      </c>
      <c r="E3894" s="2">
        <f>IFERROR(__xludf.DUMMYFUNCTION("""COMPUTED_VALUE"""),2.11)</f>
        <v>2.11</v>
      </c>
      <c r="F3894" s="2"/>
      <c r="G3894" s="2"/>
      <c r="H3894" s="2"/>
      <c r="I3894" s="2"/>
    </row>
    <row r="3895">
      <c r="A3895" s="2">
        <f>IFERROR(__xludf.DUMMYFUNCTION("""COMPUTED_VALUE"""),86782.0)</f>
        <v>86782</v>
      </c>
      <c r="B3895" s="2" t="str">
        <f>IFERROR(__xludf.DUMMYFUNCTION("""COMPUTED_VALUE"""),"Arts")</f>
        <v>Arts</v>
      </c>
      <c r="C3895" s="2" t="str">
        <f>IFERROR(__xludf.DUMMYFUNCTION("""COMPUTED_VALUE"""),"Data Science")</f>
        <v>Data Science</v>
      </c>
      <c r="D3895" s="2" t="str">
        <f>IFERROR(__xludf.DUMMYFUNCTION("""COMPUTED_VALUE"""),"Harborhill House")</f>
        <v>Harborhill House</v>
      </c>
      <c r="E3895" s="2">
        <f>IFERROR(__xludf.DUMMYFUNCTION("""COMPUTED_VALUE"""),7.06)</f>
        <v>7.06</v>
      </c>
      <c r="F3895" s="2"/>
      <c r="G3895" s="2"/>
      <c r="H3895" s="2"/>
      <c r="I3895" s="2"/>
    </row>
    <row r="3896">
      <c r="A3896" s="2">
        <f>IFERROR(__xludf.DUMMYFUNCTION("""COMPUTED_VALUE"""),119246.0)</f>
        <v>119246</v>
      </c>
      <c r="B3896" s="2" t="str">
        <f>IFERROR(__xludf.DUMMYFUNCTION("""COMPUTED_VALUE"""),"Arts")</f>
        <v>Arts</v>
      </c>
      <c r="C3896" s="2" t="str">
        <f>IFERROR(__xludf.DUMMYFUNCTION("""COMPUTED_VALUE"""),"Data Science")</f>
        <v>Data Science</v>
      </c>
      <c r="D3896" s="2" t="str">
        <f>IFERROR(__xludf.DUMMYFUNCTION("""COMPUTED_VALUE"""),"Harborhill House")</f>
        <v>Harborhill House</v>
      </c>
      <c r="E3896" s="2">
        <f>IFERROR(__xludf.DUMMYFUNCTION("""COMPUTED_VALUE"""),5.95)</f>
        <v>5.95</v>
      </c>
      <c r="F3896" s="2"/>
      <c r="G3896" s="2"/>
      <c r="H3896" s="2"/>
      <c r="I3896" s="2"/>
    </row>
    <row r="3897">
      <c r="A3897" s="2">
        <f>IFERROR(__xludf.DUMMYFUNCTION("""COMPUTED_VALUE"""),6047.0)</f>
        <v>6047</v>
      </c>
      <c r="B3897" s="2" t="str">
        <f>IFERROR(__xludf.DUMMYFUNCTION("""COMPUTED_VALUE"""),"Arts")</f>
        <v>Arts</v>
      </c>
      <c r="C3897" s="2" t="str">
        <f>IFERROR(__xludf.DUMMYFUNCTION("""COMPUTED_VALUE"""),"Data Science")</f>
        <v>Data Science</v>
      </c>
      <c r="D3897" s="2" t="str">
        <f>IFERROR(__xludf.DUMMYFUNCTION("""COMPUTED_VALUE"""),"Harborhill House")</f>
        <v>Harborhill House</v>
      </c>
      <c r="E3897" s="2">
        <f>IFERROR(__xludf.DUMMYFUNCTION("""COMPUTED_VALUE"""),7.01)</f>
        <v>7.01</v>
      </c>
      <c r="F3897" s="2"/>
      <c r="G3897" s="2"/>
      <c r="H3897" s="2"/>
      <c r="I3897" s="2"/>
    </row>
    <row r="3898">
      <c r="A3898" s="2">
        <f>IFERROR(__xludf.DUMMYFUNCTION("""COMPUTED_VALUE"""),117526.0)</f>
        <v>117526</v>
      </c>
      <c r="B3898" s="2" t="str">
        <f>IFERROR(__xludf.DUMMYFUNCTION("""COMPUTED_VALUE"""),"Arts")</f>
        <v>Arts</v>
      </c>
      <c r="C3898" s="2" t="str">
        <f>IFERROR(__xludf.DUMMYFUNCTION("""COMPUTED_VALUE"""),"Data Science")</f>
        <v>Data Science</v>
      </c>
      <c r="D3898" s="2" t="str">
        <f>IFERROR(__xludf.DUMMYFUNCTION("""COMPUTED_VALUE"""),"Harborhill House")</f>
        <v>Harborhill House</v>
      </c>
      <c r="E3898" s="2">
        <f>IFERROR(__xludf.DUMMYFUNCTION("""COMPUTED_VALUE"""),7.14)</f>
        <v>7.14</v>
      </c>
      <c r="F3898" s="2"/>
      <c r="G3898" s="2"/>
      <c r="H3898" s="2"/>
      <c r="I3898" s="2"/>
    </row>
    <row r="3899">
      <c r="A3899" s="2">
        <f>IFERROR(__xludf.DUMMYFUNCTION("""COMPUTED_VALUE"""),106671.0)</f>
        <v>106671</v>
      </c>
      <c r="B3899" s="2" t="str">
        <f>IFERROR(__xludf.DUMMYFUNCTION("""COMPUTED_VALUE"""),"Arts")</f>
        <v>Arts</v>
      </c>
      <c r="C3899" s="2" t="str">
        <f>IFERROR(__xludf.DUMMYFUNCTION("""COMPUTED_VALUE"""),"Data Science")</f>
        <v>Data Science</v>
      </c>
      <c r="D3899" s="2" t="str">
        <f>IFERROR(__xludf.DUMMYFUNCTION("""COMPUTED_VALUE"""),"Harborhill House")</f>
        <v>Harborhill House</v>
      </c>
      <c r="E3899" s="2">
        <f>IFERROR(__xludf.DUMMYFUNCTION("""COMPUTED_VALUE"""),7.12)</f>
        <v>7.12</v>
      </c>
      <c r="F3899" s="2"/>
      <c r="G3899" s="2"/>
      <c r="H3899" s="2"/>
      <c r="I3899" s="2"/>
    </row>
    <row r="3900">
      <c r="A3900" s="2">
        <f>IFERROR(__xludf.DUMMYFUNCTION("""COMPUTED_VALUE"""),30889.0)</f>
        <v>30889</v>
      </c>
      <c r="B3900" s="2" t="str">
        <f>IFERROR(__xludf.DUMMYFUNCTION("""COMPUTED_VALUE"""),"Arts")</f>
        <v>Arts</v>
      </c>
      <c r="C3900" s="2" t="str">
        <f>IFERROR(__xludf.DUMMYFUNCTION("""COMPUTED_VALUE"""),"Data Science")</f>
        <v>Data Science</v>
      </c>
      <c r="D3900" s="2" t="str">
        <f>IFERROR(__xludf.DUMMYFUNCTION("""COMPUTED_VALUE"""),"Harborhill House")</f>
        <v>Harborhill House</v>
      </c>
      <c r="E3900" s="2">
        <f>IFERROR(__xludf.DUMMYFUNCTION("""COMPUTED_VALUE"""),4.13)</f>
        <v>4.13</v>
      </c>
      <c r="F3900" s="2"/>
      <c r="G3900" s="2"/>
      <c r="H3900" s="2"/>
      <c r="I3900" s="2"/>
    </row>
    <row r="3901">
      <c r="A3901" s="2">
        <f>IFERROR(__xludf.DUMMYFUNCTION("""COMPUTED_VALUE"""),80634.0)</f>
        <v>80634</v>
      </c>
      <c r="B3901" s="2" t="str">
        <f>IFERROR(__xludf.DUMMYFUNCTION("""COMPUTED_VALUE"""),"Arts")</f>
        <v>Arts</v>
      </c>
      <c r="C3901" s="2" t="str">
        <f>IFERROR(__xludf.DUMMYFUNCTION("""COMPUTED_VALUE"""),"Data Science")</f>
        <v>Data Science</v>
      </c>
      <c r="D3901" s="2" t="str">
        <f>IFERROR(__xludf.DUMMYFUNCTION("""COMPUTED_VALUE"""),"Harborhill House")</f>
        <v>Harborhill House</v>
      </c>
      <c r="E3901" s="2">
        <f>IFERROR(__xludf.DUMMYFUNCTION("""COMPUTED_VALUE"""),3.46)</f>
        <v>3.46</v>
      </c>
      <c r="F3901" s="2"/>
      <c r="G3901" s="2"/>
      <c r="H3901" s="2"/>
      <c r="I3901" s="2"/>
    </row>
    <row r="3902">
      <c r="A3902" s="2">
        <f>IFERROR(__xludf.DUMMYFUNCTION("""COMPUTED_VALUE"""),114269.0)</f>
        <v>114269</v>
      </c>
      <c r="B3902" s="2" t="str">
        <f>IFERROR(__xludf.DUMMYFUNCTION("""COMPUTED_VALUE"""),"Arts")</f>
        <v>Arts</v>
      </c>
      <c r="C3902" s="2" t="str">
        <f>IFERROR(__xludf.DUMMYFUNCTION("""COMPUTED_VALUE"""),"Data Science")</f>
        <v>Data Science</v>
      </c>
      <c r="D3902" s="2" t="str">
        <f>IFERROR(__xludf.DUMMYFUNCTION("""COMPUTED_VALUE"""),"Harborhill House")</f>
        <v>Harborhill House</v>
      </c>
      <c r="E3902" s="2">
        <f>IFERROR(__xludf.DUMMYFUNCTION("""COMPUTED_VALUE"""),3.24)</f>
        <v>3.24</v>
      </c>
      <c r="F3902" s="2"/>
      <c r="G3902" s="2"/>
      <c r="H3902" s="2"/>
      <c r="I3902" s="2"/>
    </row>
    <row r="3903">
      <c r="A3903" s="2">
        <f>IFERROR(__xludf.DUMMYFUNCTION("""COMPUTED_VALUE"""),84034.0)</f>
        <v>84034</v>
      </c>
      <c r="B3903" s="2" t="str">
        <f>IFERROR(__xludf.DUMMYFUNCTION("""COMPUTED_VALUE"""),"Arts")</f>
        <v>Arts</v>
      </c>
      <c r="C3903" s="2" t="str">
        <f>IFERROR(__xludf.DUMMYFUNCTION("""COMPUTED_VALUE"""),"Data Science")</f>
        <v>Data Science</v>
      </c>
      <c r="D3903" s="2" t="str">
        <f>IFERROR(__xludf.DUMMYFUNCTION("""COMPUTED_VALUE"""),"Harborhill House")</f>
        <v>Harborhill House</v>
      </c>
      <c r="E3903" s="2">
        <f>IFERROR(__xludf.DUMMYFUNCTION("""COMPUTED_VALUE"""),3.72)</f>
        <v>3.72</v>
      </c>
      <c r="F3903" s="2"/>
      <c r="G3903" s="2"/>
      <c r="H3903" s="2"/>
      <c r="I3903" s="2"/>
    </row>
    <row r="3904">
      <c r="A3904" s="2">
        <f>IFERROR(__xludf.DUMMYFUNCTION("""COMPUTED_VALUE"""),103271.0)</f>
        <v>103271</v>
      </c>
      <c r="B3904" s="2" t="str">
        <f>IFERROR(__xludf.DUMMYFUNCTION("""COMPUTED_VALUE"""),"Arts")</f>
        <v>Arts</v>
      </c>
      <c r="C3904" s="2" t="str">
        <f>IFERROR(__xludf.DUMMYFUNCTION("""COMPUTED_VALUE"""),"Data Science")</f>
        <v>Data Science</v>
      </c>
      <c r="D3904" s="2" t="str">
        <f>IFERROR(__xludf.DUMMYFUNCTION("""COMPUTED_VALUE"""),"Harborhill House")</f>
        <v>Harborhill House</v>
      </c>
      <c r="E3904" s="2">
        <f>IFERROR(__xludf.DUMMYFUNCTION("""COMPUTED_VALUE"""),3.9)</f>
        <v>3.9</v>
      </c>
      <c r="F3904" s="2"/>
      <c r="G3904" s="2"/>
      <c r="H3904" s="2"/>
      <c r="I3904" s="2"/>
    </row>
    <row r="3905">
      <c r="A3905" s="2">
        <f>IFERROR(__xludf.DUMMYFUNCTION("""COMPUTED_VALUE"""),72248.0)</f>
        <v>72248</v>
      </c>
      <c r="B3905" s="2" t="str">
        <f>IFERROR(__xludf.DUMMYFUNCTION("""COMPUTED_VALUE"""),"Arts")</f>
        <v>Arts</v>
      </c>
      <c r="C3905" s="2" t="str">
        <f>IFERROR(__xludf.DUMMYFUNCTION("""COMPUTED_VALUE"""),"Data Science")</f>
        <v>Data Science</v>
      </c>
      <c r="D3905" s="2" t="str">
        <f>IFERROR(__xludf.DUMMYFUNCTION("""COMPUTED_VALUE"""),"Harborhill House")</f>
        <v>Harborhill House</v>
      </c>
      <c r="E3905" s="2">
        <f>IFERROR(__xludf.DUMMYFUNCTION("""COMPUTED_VALUE"""),8.12)</f>
        <v>8.12</v>
      </c>
      <c r="F3905" s="2"/>
      <c r="G3905" s="2"/>
      <c r="H3905" s="2"/>
      <c r="I3905" s="2"/>
    </row>
    <row r="3906">
      <c r="A3906" s="2">
        <f>IFERROR(__xludf.DUMMYFUNCTION("""COMPUTED_VALUE"""),7672.0)</f>
        <v>7672</v>
      </c>
      <c r="B3906" s="2" t="str">
        <f>IFERROR(__xludf.DUMMYFUNCTION("""COMPUTED_VALUE"""),"Sports")</f>
        <v>Sports</v>
      </c>
      <c r="C3906" s="2" t="str">
        <f>IFERROR(__xludf.DUMMYFUNCTION("""COMPUTED_VALUE"""),"Artificial Intelligence")</f>
        <v>Artificial Intelligence</v>
      </c>
      <c r="D3906" s="2" t="str">
        <f>IFERROR(__xludf.DUMMYFUNCTION("""COMPUTED_VALUE"""),"Cedarhill House")</f>
        <v>Cedarhill House</v>
      </c>
      <c r="E3906" s="2">
        <f>IFERROR(__xludf.DUMMYFUNCTION("""COMPUTED_VALUE"""),13.72)</f>
        <v>13.72</v>
      </c>
      <c r="F3906" s="2"/>
      <c r="G3906" s="2"/>
      <c r="H3906" s="2"/>
      <c r="I3906" s="2"/>
    </row>
    <row r="3907">
      <c r="A3907" s="2">
        <f>IFERROR(__xludf.DUMMYFUNCTION("""COMPUTED_VALUE"""),82844.0)</f>
        <v>82844</v>
      </c>
      <c r="B3907" s="2" t="str">
        <f>IFERROR(__xludf.DUMMYFUNCTION("""COMPUTED_VALUE"""),"Sports")</f>
        <v>Sports</v>
      </c>
      <c r="C3907" s="2" t="str">
        <f>IFERROR(__xludf.DUMMYFUNCTION("""COMPUTED_VALUE"""),"Artificial Intelligence")</f>
        <v>Artificial Intelligence</v>
      </c>
      <c r="D3907" s="2" t="str">
        <f>IFERROR(__xludf.DUMMYFUNCTION("""COMPUTED_VALUE"""),"Cedarhill House")</f>
        <v>Cedarhill House</v>
      </c>
      <c r="E3907" s="2">
        <f>IFERROR(__xludf.DUMMYFUNCTION("""COMPUTED_VALUE"""),4.93)</f>
        <v>4.93</v>
      </c>
      <c r="F3907" s="2"/>
      <c r="G3907" s="2"/>
      <c r="H3907" s="2"/>
      <c r="I3907" s="2"/>
    </row>
    <row r="3908">
      <c r="A3908" s="2">
        <f>IFERROR(__xludf.DUMMYFUNCTION("""COMPUTED_VALUE"""),7685.0)</f>
        <v>7685</v>
      </c>
      <c r="B3908" s="2" t="str">
        <f>IFERROR(__xludf.DUMMYFUNCTION("""COMPUTED_VALUE"""),"Sports")</f>
        <v>Sports</v>
      </c>
      <c r="C3908" s="2" t="str">
        <f>IFERROR(__xludf.DUMMYFUNCTION("""COMPUTED_VALUE"""),"Artificial Intelligence")</f>
        <v>Artificial Intelligence</v>
      </c>
      <c r="D3908" s="2" t="str">
        <f>IFERROR(__xludf.DUMMYFUNCTION("""COMPUTED_VALUE"""),"Cedarhill House")</f>
        <v>Cedarhill House</v>
      </c>
      <c r="E3908" s="2">
        <f>IFERROR(__xludf.DUMMYFUNCTION("""COMPUTED_VALUE"""),8.41)</f>
        <v>8.41</v>
      </c>
      <c r="F3908" s="2"/>
      <c r="G3908" s="2"/>
      <c r="H3908" s="2"/>
      <c r="I3908" s="2"/>
    </row>
    <row r="3909">
      <c r="A3909" s="2">
        <f>IFERROR(__xludf.DUMMYFUNCTION("""COMPUTED_VALUE"""),7673.0)</f>
        <v>7673</v>
      </c>
      <c r="B3909" s="2" t="str">
        <f>IFERROR(__xludf.DUMMYFUNCTION("""COMPUTED_VALUE"""),"Sports")</f>
        <v>Sports</v>
      </c>
      <c r="C3909" s="2" t="str">
        <f>IFERROR(__xludf.DUMMYFUNCTION("""COMPUTED_VALUE"""),"Artificial Intelligence")</f>
        <v>Artificial Intelligence</v>
      </c>
      <c r="D3909" s="2" t="str">
        <f>IFERROR(__xludf.DUMMYFUNCTION("""COMPUTED_VALUE"""),"Cedarhill House")</f>
        <v>Cedarhill House</v>
      </c>
      <c r="E3909" s="2">
        <f>IFERROR(__xludf.DUMMYFUNCTION("""COMPUTED_VALUE"""),8.23)</f>
        <v>8.23</v>
      </c>
      <c r="F3909" s="2"/>
      <c r="G3909" s="2"/>
      <c r="H3909" s="2"/>
      <c r="I3909" s="2"/>
    </row>
    <row r="3910">
      <c r="A3910" s="2">
        <f>IFERROR(__xludf.DUMMYFUNCTION("""COMPUTED_VALUE"""),72328.0)</f>
        <v>72328</v>
      </c>
      <c r="B3910" s="2" t="str">
        <f>IFERROR(__xludf.DUMMYFUNCTION("""COMPUTED_VALUE"""),"Sports")</f>
        <v>Sports</v>
      </c>
      <c r="C3910" s="2" t="str">
        <f>IFERROR(__xludf.DUMMYFUNCTION("""COMPUTED_VALUE"""),"Artificial Intelligence")</f>
        <v>Artificial Intelligence</v>
      </c>
      <c r="D3910" s="2" t="str">
        <f>IFERROR(__xludf.DUMMYFUNCTION("""COMPUTED_VALUE"""),"Brighthill House")</f>
        <v>Brighthill House</v>
      </c>
      <c r="E3910" s="2">
        <f>IFERROR(__xludf.DUMMYFUNCTION("""COMPUTED_VALUE"""),11.67)</f>
        <v>11.67</v>
      </c>
      <c r="F3910" s="2"/>
      <c r="G3910" s="2"/>
      <c r="H3910" s="2"/>
      <c r="I3910" s="2"/>
    </row>
    <row r="3911">
      <c r="A3911" s="2">
        <f>IFERROR(__xludf.DUMMYFUNCTION("""COMPUTED_VALUE"""),87967.0)</f>
        <v>87967</v>
      </c>
      <c r="B3911" s="2" t="str">
        <f>IFERROR(__xludf.DUMMYFUNCTION("""COMPUTED_VALUE"""),"Sports")</f>
        <v>Sports</v>
      </c>
      <c r="C3911" s="2" t="str">
        <f>IFERROR(__xludf.DUMMYFUNCTION("""COMPUTED_VALUE"""),"Artificial Intelligence")</f>
        <v>Artificial Intelligence</v>
      </c>
      <c r="D3911" s="2" t="str">
        <f>IFERROR(__xludf.DUMMYFUNCTION("""COMPUTED_VALUE"""),"Brighthill House")</f>
        <v>Brighthill House</v>
      </c>
      <c r="E3911" s="2">
        <f>IFERROR(__xludf.DUMMYFUNCTION("""COMPUTED_VALUE"""),12.08)</f>
        <v>12.08</v>
      </c>
      <c r="F3911" s="2"/>
      <c r="G3911" s="2"/>
      <c r="H3911" s="2"/>
      <c r="I3911" s="2"/>
    </row>
    <row r="3912">
      <c r="A3912" s="2">
        <f>IFERROR(__xludf.DUMMYFUNCTION("""COMPUTED_VALUE"""),113193.0)</f>
        <v>113193</v>
      </c>
      <c r="B3912" s="2" t="str">
        <f>IFERROR(__xludf.DUMMYFUNCTION("""COMPUTED_VALUE"""),"Sports")</f>
        <v>Sports</v>
      </c>
      <c r="C3912" s="2" t="str">
        <f>IFERROR(__xludf.DUMMYFUNCTION("""COMPUTED_VALUE"""),"Artificial Intelligence")</f>
        <v>Artificial Intelligence</v>
      </c>
      <c r="D3912" s="2" t="str">
        <f>IFERROR(__xludf.DUMMYFUNCTION("""COMPUTED_VALUE"""),"Brighthill House")</f>
        <v>Brighthill House</v>
      </c>
      <c r="E3912" s="2">
        <f>IFERROR(__xludf.DUMMYFUNCTION("""COMPUTED_VALUE"""),10.45)</f>
        <v>10.45</v>
      </c>
      <c r="F3912" s="2"/>
      <c r="G3912" s="2"/>
      <c r="H3912" s="2"/>
      <c r="I3912" s="2"/>
    </row>
    <row r="3913">
      <c r="A3913" s="2">
        <f>IFERROR(__xludf.DUMMYFUNCTION("""COMPUTED_VALUE"""),82821.0)</f>
        <v>82821</v>
      </c>
      <c r="B3913" s="2" t="str">
        <f>IFERROR(__xludf.DUMMYFUNCTION("""COMPUTED_VALUE"""),"Sports")</f>
        <v>Sports</v>
      </c>
      <c r="C3913" s="2" t="str">
        <f>IFERROR(__xludf.DUMMYFUNCTION("""COMPUTED_VALUE"""),"Artificial Intelligence")</f>
        <v>Artificial Intelligence</v>
      </c>
      <c r="D3913" s="2" t="str">
        <f>IFERROR(__xludf.DUMMYFUNCTION("""COMPUTED_VALUE"""),"Brighthill House")</f>
        <v>Brighthill House</v>
      </c>
      <c r="E3913" s="2">
        <f>IFERROR(__xludf.DUMMYFUNCTION("""COMPUTED_VALUE"""),4.65)</f>
        <v>4.65</v>
      </c>
      <c r="F3913" s="2"/>
      <c r="G3913" s="2"/>
      <c r="H3913" s="2"/>
      <c r="I3913" s="2"/>
    </row>
    <row r="3914">
      <c r="A3914" s="2">
        <f>IFERROR(__xludf.DUMMYFUNCTION("""COMPUTED_VALUE"""),87964.0)</f>
        <v>87964</v>
      </c>
      <c r="B3914" s="2" t="str">
        <f>IFERROR(__xludf.DUMMYFUNCTION("""COMPUTED_VALUE"""),"Sports")</f>
        <v>Sports</v>
      </c>
      <c r="C3914" s="2" t="str">
        <f>IFERROR(__xludf.DUMMYFUNCTION("""COMPUTED_VALUE"""),"Artificial Intelligence")</f>
        <v>Artificial Intelligence</v>
      </c>
      <c r="D3914" s="2" t="str">
        <f>IFERROR(__xludf.DUMMYFUNCTION("""COMPUTED_VALUE"""),"Brighthill House")</f>
        <v>Brighthill House</v>
      </c>
      <c r="E3914" s="2">
        <f>IFERROR(__xludf.DUMMYFUNCTION("""COMPUTED_VALUE"""),10.55)</f>
        <v>10.55</v>
      </c>
      <c r="F3914" s="2"/>
      <c r="G3914" s="2"/>
      <c r="H3914" s="2"/>
      <c r="I3914" s="2"/>
    </row>
    <row r="3915">
      <c r="A3915" s="2">
        <f>IFERROR(__xludf.DUMMYFUNCTION("""COMPUTED_VALUE"""),201751.0)</f>
        <v>201751</v>
      </c>
      <c r="B3915" s="2" t="str">
        <f>IFERROR(__xludf.DUMMYFUNCTION("""COMPUTED_VALUE"""),"Sports")</f>
        <v>Sports</v>
      </c>
      <c r="C3915" s="2" t="str">
        <f>IFERROR(__xludf.DUMMYFUNCTION("""COMPUTED_VALUE"""),"Artificial Intelligence")</f>
        <v>Artificial Intelligence</v>
      </c>
      <c r="D3915" s="2" t="str">
        <f>IFERROR(__xludf.DUMMYFUNCTION("""COMPUTED_VALUE"""),"Brighthill House")</f>
        <v>Brighthill House</v>
      </c>
      <c r="E3915" s="2">
        <f>IFERROR(__xludf.DUMMYFUNCTION("""COMPUTED_VALUE"""),4.77)</f>
        <v>4.77</v>
      </c>
      <c r="F3915" s="2"/>
      <c r="G3915" s="2"/>
      <c r="H3915" s="2"/>
      <c r="I3915" s="2"/>
    </row>
    <row r="3916">
      <c r="A3916" s="2">
        <f>IFERROR(__xludf.DUMMYFUNCTION("""COMPUTED_VALUE"""),79057.0)</f>
        <v>79057</v>
      </c>
      <c r="B3916" s="2" t="str">
        <f>IFERROR(__xludf.DUMMYFUNCTION("""COMPUTED_VALUE"""),"Sports")</f>
        <v>Sports</v>
      </c>
      <c r="C3916" s="2" t="str">
        <f>IFERROR(__xludf.DUMMYFUNCTION("""COMPUTED_VALUE"""),"Artificial Intelligence")</f>
        <v>Artificial Intelligence</v>
      </c>
      <c r="D3916" s="2" t="str">
        <f>IFERROR(__xludf.DUMMYFUNCTION("""COMPUTED_VALUE"""),"Brighthill House")</f>
        <v>Brighthill House</v>
      </c>
      <c r="E3916" s="2">
        <f>IFERROR(__xludf.DUMMYFUNCTION("""COMPUTED_VALUE"""),10.62)</f>
        <v>10.62</v>
      </c>
      <c r="F3916" s="2"/>
      <c r="G3916" s="2"/>
      <c r="H3916" s="2"/>
      <c r="I3916" s="2"/>
    </row>
    <row r="3917">
      <c r="A3917" s="2">
        <f>IFERROR(__xludf.DUMMYFUNCTION("""COMPUTED_VALUE"""),41225.0)</f>
        <v>41225</v>
      </c>
      <c r="B3917" s="2" t="str">
        <f>IFERROR(__xludf.DUMMYFUNCTION("""COMPUTED_VALUE"""),"Sports")</f>
        <v>Sports</v>
      </c>
      <c r="C3917" s="2" t="str">
        <f>IFERROR(__xludf.DUMMYFUNCTION("""COMPUTED_VALUE"""),"Artificial Intelligence")</f>
        <v>Artificial Intelligence</v>
      </c>
      <c r="D3917" s="2" t="str">
        <f>IFERROR(__xludf.DUMMYFUNCTION("""COMPUTED_VALUE"""),"Brighthill House")</f>
        <v>Brighthill House</v>
      </c>
      <c r="E3917" s="2">
        <f>IFERROR(__xludf.DUMMYFUNCTION("""COMPUTED_VALUE"""),9.69)</f>
        <v>9.69</v>
      </c>
      <c r="F3917" s="2"/>
      <c r="G3917" s="2"/>
      <c r="H3917" s="2"/>
      <c r="I3917" s="2"/>
    </row>
    <row r="3918">
      <c r="A3918" s="2">
        <f>IFERROR(__xludf.DUMMYFUNCTION("""COMPUTED_VALUE"""),113300.0)</f>
        <v>113300</v>
      </c>
      <c r="B3918" s="2" t="str">
        <f>IFERROR(__xludf.DUMMYFUNCTION("""COMPUTED_VALUE"""),"Sports")</f>
        <v>Sports</v>
      </c>
      <c r="C3918" s="2" t="str">
        <f>IFERROR(__xludf.DUMMYFUNCTION("""COMPUTED_VALUE"""),"Artificial Intelligence")</f>
        <v>Artificial Intelligence</v>
      </c>
      <c r="D3918" s="2" t="str">
        <f>IFERROR(__xludf.DUMMYFUNCTION("""COMPUTED_VALUE"""),"Brighthill House")</f>
        <v>Brighthill House</v>
      </c>
      <c r="E3918" s="2">
        <f>IFERROR(__xludf.DUMMYFUNCTION("""COMPUTED_VALUE"""),12.63)</f>
        <v>12.63</v>
      </c>
      <c r="F3918" s="2"/>
      <c r="G3918" s="2"/>
      <c r="H3918" s="2"/>
      <c r="I3918" s="2"/>
    </row>
    <row r="3919">
      <c r="A3919" s="2">
        <f>IFERROR(__xludf.DUMMYFUNCTION("""COMPUTED_VALUE"""),113299.0)</f>
        <v>113299</v>
      </c>
      <c r="B3919" s="2" t="str">
        <f>IFERROR(__xludf.DUMMYFUNCTION("""COMPUTED_VALUE"""),"Sports")</f>
        <v>Sports</v>
      </c>
      <c r="C3919" s="2" t="str">
        <f>IFERROR(__xludf.DUMMYFUNCTION("""COMPUTED_VALUE"""),"Artificial Intelligence")</f>
        <v>Artificial Intelligence</v>
      </c>
      <c r="D3919" s="2" t="str">
        <f>IFERROR(__xludf.DUMMYFUNCTION("""COMPUTED_VALUE"""),"Oakhill House")</f>
        <v>Oakhill House</v>
      </c>
      <c r="E3919" s="2">
        <f>IFERROR(__xludf.DUMMYFUNCTION("""COMPUTED_VALUE"""),12.58)</f>
        <v>12.58</v>
      </c>
      <c r="F3919" s="2"/>
      <c r="G3919" s="2"/>
      <c r="H3919" s="2"/>
      <c r="I3919" s="2"/>
    </row>
    <row r="3920">
      <c r="A3920" s="2">
        <f>IFERROR(__xludf.DUMMYFUNCTION("""COMPUTED_VALUE"""),105475.0)</f>
        <v>105475</v>
      </c>
      <c r="B3920" s="2" t="str">
        <f>IFERROR(__xludf.DUMMYFUNCTION("""COMPUTED_VALUE"""),"Sports")</f>
        <v>Sports</v>
      </c>
      <c r="C3920" s="2" t="str">
        <f>IFERROR(__xludf.DUMMYFUNCTION("""COMPUTED_VALUE"""),"Artificial Intelligence")</f>
        <v>Artificial Intelligence</v>
      </c>
      <c r="D3920" s="2" t="str">
        <f>IFERROR(__xludf.DUMMYFUNCTION("""COMPUTED_VALUE"""),"Oakhill House")</f>
        <v>Oakhill House</v>
      </c>
      <c r="E3920" s="2">
        <f>IFERROR(__xludf.DUMMYFUNCTION("""COMPUTED_VALUE"""),5.8)</f>
        <v>5.8</v>
      </c>
      <c r="F3920" s="2"/>
      <c r="G3920" s="2"/>
      <c r="H3920" s="2"/>
      <c r="I3920" s="2"/>
    </row>
    <row r="3921">
      <c r="A3921" s="2">
        <f>IFERROR(__xludf.DUMMYFUNCTION("""COMPUTED_VALUE"""),114724.0)</f>
        <v>114724</v>
      </c>
      <c r="B3921" s="2" t="str">
        <f>IFERROR(__xludf.DUMMYFUNCTION("""COMPUTED_VALUE"""),"Sports")</f>
        <v>Sports</v>
      </c>
      <c r="C3921" s="2" t="str">
        <f>IFERROR(__xludf.DUMMYFUNCTION("""COMPUTED_VALUE"""),"Artificial Intelligence")</f>
        <v>Artificial Intelligence</v>
      </c>
      <c r="D3921" s="2" t="str">
        <f>IFERROR(__xludf.DUMMYFUNCTION("""COMPUTED_VALUE"""),"Oakhill House")</f>
        <v>Oakhill House</v>
      </c>
      <c r="E3921" s="2">
        <f>IFERROR(__xludf.DUMMYFUNCTION("""COMPUTED_VALUE"""),8.09)</f>
        <v>8.09</v>
      </c>
      <c r="F3921" s="2"/>
      <c r="G3921" s="2"/>
      <c r="H3921" s="2"/>
      <c r="I3921" s="2"/>
    </row>
    <row r="3922">
      <c r="A3922" s="2">
        <f>IFERROR(__xludf.DUMMYFUNCTION("""COMPUTED_VALUE"""),113298.0)</f>
        <v>113298</v>
      </c>
      <c r="B3922" s="2" t="str">
        <f>IFERROR(__xludf.DUMMYFUNCTION("""COMPUTED_VALUE"""),"Sports")</f>
        <v>Sports</v>
      </c>
      <c r="C3922" s="2" t="str">
        <f>IFERROR(__xludf.DUMMYFUNCTION("""COMPUTED_VALUE"""),"Artificial Intelligence")</f>
        <v>Artificial Intelligence</v>
      </c>
      <c r="D3922" s="2" t="str">
        <f>IFERROR(__xludf.DUMMYFUNCTION("""COMPUTED_VALUE"""),"Oakhill House")</f>
        <v>Oakhill House</v>
      </c>
      <c r="E3922" s="2">
        <f>IFERROR(__xludf.DUMMYFUNCTION("""COMPUTED_VALUE"""),12.44)</f>
        <v>12.44</v>
      </c>
      <c r="F3922" s="2"/>
      <c r="G3922" s="2"/>
      <c r="H3922" s="2"/>
      <c r="I3922" s="2"/>
    </row>
    <row r="3923">
      <c r="A3923" s="2">
        <f>IFERROR(__xludf.DUMMYFUNCTION("""COMPUTED_VALUE"""),82838.0)</f>
        <v>82838</v>
      </c>
      <c r="B3923" s="2" t="str">
        <f>IFERROR(__xludf.DUMMYFUNCTION("""COMPUTED_VALUE"""),"Sports")</f>
        <v>Sports</v>
      </c>
      <c r="C3923" s="2" t="str">
        <f>IFERROR(__xludf.DUMMYFUNCTION("""COMPUTED_VALUE"""),"Artificial Intelligence")</f>
        <v>Artificial Intelligence</v>
      </c>
      <c r="D3923" s="2" t="str">
        <f>IFERROR(__xludf.DUMMYFUNCTION("""COMPUTED_VALUE"""),"Riverhill House")</f>
        <v>Riverhill House</v>
      </c>
      <c r="E3923" s="2">
        <f>IFERROR(__xludf.DUMMYFUNCTION("""COMPUTED_VALUE"""),7.8)</f>
        <v>7.8</v>
      </c>
      <c r="F3923" s="2"/>
      <c r="G3923" s="2"/>
      <c r="H3923" s="2"/>
      <c r="I3923" s="2"/>
    </row>
    <row r="3924">
      <c r="A3924" s="2">
        <f>IFERROR(__xludf.DUMMYFUNCTION("""COMPUTED_VALUE"""),111960.0)</f>
        <v>111960</v>
      </c>
      <c r="B3924" s="2" t="str">
        <f>IFERROR(__xludf.DUMMYFUNCTION("""COMPUTED_VALUE"""),"Sports")</f>
        <v>Sports</v>
      </c>
      <c r="C3924" s="2" t="str">
        <f>IFERROR(__xludf.DUMMYFUNCTION("""COMPUTED_VALUE"""),"Artificial Intelligence")</f>
        <v>Artificial Intelligence</v>
      </c>
      <c r="D3924" s="2" t="str">
        <f>IFERROR(__xludf.DUMMYFUNCTION("""COMPUTED_VALUE"""),"Riverhill House")</f>
        <v>Riverhill House</v>
      </c>
      <c r="E3924" s="2">
        <f>IFERROR(__xludf.DUMMYFUNCTION("""COMPUTED_VALUE"""),7.4)</f>
        <v>7.4</v>
      </c>
      <c r="F3924" s="2"/>
      <c r="G3924" s="2"/>
      <c r="H3924" s="2"/>
      <c r="I3924" s="2"/>
    </row>
    <row r="3925">
      <c r="A3925" s="2">
        <f>IFERROR(__xludf.DUMMYFUNCTION("""COMPUTED_VALUE"""),108840.0)</f>
        <v>108840</v>
      </c>
      <c r="B3925" s="2" t="str">
        <f>IFERROR(__xludf.DUMMYFUNCTION("""COMPUTED_VALUE"""),"Sports")</f>
        <v>Sports</v>
      </c>
      <c r="C3925" s="2" t="str">
        <f>IFERROR(__xludf.DUMMYFUNCTION("""COMPUTED_VALUE"""),"Artificial Intelligence")</f>
        <v>Artificial Intelligence</v>
      </c>
      <c r="D3925" s="2" t="str">
        <f>IFERROR(__xludf.DUMMYFUNCTION("""COMPUTED_VALUE"""),"Riverhill House")</f>
        <v>Riverhill House</v>
      </c>
      <c r="E3925" s="2">
        <f>IFERROR(__xludf.DUMMYFUNCTION("""COMPUTED_VALUE"""),3.51)</f>
        <v>3.51</v>
      </c>
      <c r="F3925" s="2"/>
      <c r="G3925" s="2"/>
      <c r="H3925" s="2"/>
      <c r="I3925" s="2"/>
    </row>
    <row r="3926">
      <c r="A3926" s="2">
        <f>IFERROR(__xludf.DUMMYFUNCTION("""COMPUTED_VALUE"""),201044.0)</f>
        <v>201044</v>
      </c>
      <c r="B3926" s="2" t="str">
        <f>IFERROR(__xludf.DUMMYFUNCTION("""COMPUTED_VALUE"""),"Sports")</f>
        <v>Sports</v>
      </c>
      <c r="C3926" s="2" t="str">
        <f>IFERROR(__xludf.DUMMYFUNCTION("""COMPUTED_VALUE"""),"Artificial Intelligence")</f>
        <v>Artificial Intelligence</v>
      </c>
      <c r="D3926" s="2" t="str">
        <f>IFERROR(__xludf.DUMMYFUNCTION("""COMPUTED_VALUE"""),"Riverhill House")</f>
        <v>Riverhill House</v>
      </c>
      <c r="E3926" s="2">
        <f>IFERROR(__xludf.DUMMYFUNCTION("""COMPUTED_VALUE"""),5.97)</f>
        <v>5.97</v>
      </c>
      <c r="F3926" s="2"/>
      <c r="G3926" s="2"/>
      <c r="H3926" s="2"/>
      <c r="I3926" s="2"/>
    </row>
    <row r="3927">
      <c r="A3927" s="2">
        <f>IFERROR(__xludf.DUMMYFUNCTION("""COMPUTED_VALUE"""),81880.0)</f>
        <v>81880</v>
      </c>
      <c r="B3927" s="2" t="str">
        <f>IFERROR(__xludf.DUMMYFUNCTION("""COMPUTED_VALUE"""),"Sports")</f>
        <v>Sports</v>
      </c>
      <c r="C3927" s="2" t="str">
        <f>IFERROR(__xludf.DUMMYFUNCTION("""COMPUTED_VALUE"""),"Artificial Intelligence")</f>
        <v>Artificial Intelligence</v>
      </c>
      <c r="D3927" s="2" t="str">
        <f>IFERROR(__xludf.DUMMYFUNCTION("""COMPUTED_VALUE"""),"Riverhill House")</f>
        <v>Riverhill House</v>
      </c>
      <c r="E3927" s="2">
        <f>IFERROR(__xludf.DUMMYFUNCTION("""COMPUTED_VALUE"""),12.25)</f>
        <v>12.25</v>
      </c>
      <c r="F3927" s="2"/>
      <c r="G3927" s="2"/>
      <c r="H3927" s="2"/>
      <c r="I3927" s="2"/>
    </row>
    <row r="3928">
      <c r="A3928" s="2">
        <f>IFERROR(__xludf.DUMMYFUNCTION("""COMPUTED_VALUE"""),81873.0)</f>
        <v>81873</v>
      </c>
      <c r="B3928" s="2" t="str">
        <f>IFERROR(__xludf.DUMMYFUNCTION("""COMPUTED_VALUE"""),"Sports")</f>
        <v>Sports</v>
      </c>
      <c r="C3928" s="2" t="str">
        <f>IFERROR(__xludf.DUMMYFUNCTION("""COMPUTED_VALUE"""),"Artificial Intelligence")</f>
        <v>Artificial Intelligence</v>
      </c>
      <c r="D3928" s="2" t="str">
        <f>IFERROR(__xludf.DUMMYFUNCTION("""COMPUTED_VALUE"""),"Riverhill House")</f>
        <v>Riverhill House</v>
      </c>
      <c r="E3928" s="2">
        <f>IFERROR(__xludf.DUMMYFUNCTION("""COMPUTED_VALUE"""),12.06)</f>
        <v>12.06</v>
      </c>
      <c r="F3928" s="2"/>
      <c r="G3928" s="2"/>
      <c r="H3928" s="2"/>
      <c r="I3928" s="2"/>
    </row>
    <row r="3929">
      <c r="A3929" s="2">
        <f>IFERROR(__xludf.DUMMYFUNCTION("""COMPUTED_VALUE"""),117613.0)</f>
        <v>117613</v>
      </c>
      <c r="B3929" s="2" t="str">
        <f>IFERROR(__xludf.DUMMYFUNCTION("""COMPUTED_VALUE"""),"Sports")</f>
        <v>Sports</v>
      </c>
      <c r="C3929" s="2" t="str">
        <f>IFERROR(__xludf.DUMMYFUNCTION("""COMPUTED_VALUE"""),"Artificial Intelligence")</f>
        <v>Artificial Intelligence</v>
      </c>
      <c r="D3929" s="2" t="str">
        <f>IFERROR(__xludf.DUMMYFUNCTION("""COMPUTED_VALUE"""),"Riverhill House")</f>
        <v>Riverhill House</v>
      </c>
      <c r="E3929" s="2">
        <f>IFERROR(__xludf.DUMMYFUNCTION("""COMPUTED_VALUE"""),4.7)</f>
        <v>4.7</v>
      </c>
      <c r="F3929" s="2"/>
      <c r="G3929" s="2"/>
      <c r="H3929" s="2"/>
      <c r="I3929" s="2"/>
    </row>
    <row r="3930">
      <c r="A3930" s="2">
        <f>IFERROR(__xludf.DUMMYFUNCTION("""COMPUTED_VALUE"""),81876.0)</f>
        <v>81876</v>
      </c>
      <c r="B3930" s="2" t="str">
        <f>IFERROR(__xludf.DUMMYFUNCTION("""COMPUTED_VALUE"""),"Sports")</f>
        <v>Sports</v>
      </c>
      <c r="C3930" s="2" t="str">
        <f>IFERROR(__xludf.DUMMYFUNCTION("""COMPUTED_VALUE"""),"Artificial Intelligence")</f>
        <v>Artificial Intelligence</v>
      </c>
      <c r="D3930" s="2" t="str">
        <f>IFERROR(__xludf.DUMMYFUNCTION("""COMPUTED_VALUE"""),"Riverhill House")</f>
        <v>Riverhill House</v>
      </c>
      <c r="E3930" s="2">
        <f>IFERROR(__xludf.DUMMYFUNCTION("""COMPUTED_VALUE"""),9.34)</f>
        <v>9.34</v>
      </c>
      <c r="F3930" s="2"/>
      <c r="G3930" s="2"/>
      <c r="H3930" s="2"/>
      <c r="I3930" s="2"/>
    </row>
    <row r="3931">
      <c r="A3931" s="2">
        <f>IFERROR(__xludf.DUMMYFUNCTION("""COMPUTED_VALUE"""),104050.0)</f>
        <v>104050</v>
      </c>
      <c r="B3931" s="2" t="str">
        <f>IFERROR(__xludf.DUMMYFUNCTION("""COMPUTED_VALUE"""),"Sports")</f>
        <v>Sports</v>
      </c>
      <c r="C3931" s="2" t="str">
        <f>IFERROR(__xludf.DUMMYFUNCTION("""COMPUTED_VALUE"""),"Artificial Intelligence")</f>
        <v>Artificial Intelligence</v>
      </c>
      <c r="D3931" s="2" t="str">
        <f>IFERROR(__xludf.DUMMYFUNCTION("""COMPUTED_VALUE"""),"Riverhill House")</f>
        <v>Riverhill House</v>
      </c>
      <c r="E3931" s="2">
        <f>IFERROR(__xludf.DUMMYFUNCTION("""COMPUTED_VALUE"""),7.32)</f>
        <v>7.32</v>
      </c>
      <c r="F3931" s="2"/>
      <c r="G3931" s="2"/>
      <c r="H3931" s="2"/>
      <c r="I3931" s="2"/>
    </row>
    <row r="3932">
      <c r="A3932" s="2">
        <f>IFERROR(__xludf.DUMMYFUNCTION("""COMPUTED_VALUE"""),111934.0)</f>
        <v>111934</v>
      </c>
      <c r="B3932" s="2" t="str">
        <f>IFERROR(__xludf.DUMMYFUNCTION("""COMPUTED_VALUE"""),"Sports")</f>
        <v>Sports</v>
      </c>
      <c r="C3932" s="2" t="str">
        <f>IFERROR(__xludf.DUMMYFUNCTION("""COMPUTED_VALUE"""),"Artificial Intelligence")</f>
        <v>Artificial Intelligence</v>
      </c>
      <c r="D3932" s="2" t="str">
        <f>IFERROR(__xludf.DUMMYFUNCTION("""COMPUTED_VALUE"""),"Ironhill House")</f>
        <v>Ironhill House</v>
      </c>
      <c r="E3932" s="2">
        <f>IFERROR(__xludf.DUMMYFUNCTION("""COMPUTED_VALUE"""),10.28)</f>
        <v>10.28</v>
      </c>
      <c r="F3932" s="2"/>
      <c r="G3932" s="2"/>
      <c r="H3932" s="2"/>
      <c r="I3932" s="2"/>
    </row>
    <row r="3933">
      <c r="A3933" s="2">
        <f>IFERROR(__xludf.DUMMYFUNCTION("""COMPUTED_VALUE"""),29819.0)</f>
        <v>29819</v>
      </c>
      <c r="B3933" s="2" t="str">
        <f>IFERROR(__xludf.DUMMYFUNCTION("""COMPUTED_VALUE"""),"Sports")</f>
        <v>Sports</v>
      </c>
      <c r="C3933" s="2" t="str">
        <f>IFERROR(__xludf.DUMMYFUNCTION("""COMPUTED_VALUE"""),"Artificial Intelligence")</f>
        <v>Artificial Intelligence</v>
      </c>
      <c r="D3933" s="2" t="str">
        <f>IFERROR(__xludf.DUMMYFUNCTION("""COMPUTED_VALUE"""),"Ironhill House")</f>
        <v>Ironhill House</v>
      </c>
      <c r="E3933" s="2">
        <f>IFERROR(__xludf.DUMMYFUNCTION("""COMPUTED_VALUE"""),13.16)</f>
        <v>13.16</v>
      </c>
      <c r="F3933" s="2"/>
      <c r="G3933" s="2"/>
      <c r="H3933" s="2"/>
      <c r="I3933" s="2"/>
    </row>
    <row r="3934">
      <c r="A3934" s="2">
        <f>IFERROR(__xludf.DUMMYFUNCTION("""COMPUTED_VALUE"""),120392.0)</f>
        <v>120392</v>
      </c>
      <c r="B3934" s="2" t="str">
        <f>IFERROR(__xludf.DUMMYFUNCTION("""COMPUTED_VALUE"""),"Sports")</f>
        <v>Sports</v>
      </c>
      <c r="C3934" s="2" t="str">
        <f>IFERROR(__xludf.DUMMYFUNCTION("""COMPUTED_VALUE"""),"Artificial Intelligence")</f>
        <v>Artificial Intelligence</v>
      </c>
      <c r="D3934" s="2" t="str">
        <f>IFERROR(__xludf.DUMMYFUNCTION("""COMPUTED_VALUE"""),"Ironhill House")</f>
        <v>Ironhill House</v>
      </c>
      <c r="E3934" s="2">
        <f>IFERROR(__xludf.DUMMYFUNCTION("""COMPUTED_VALUE"""),6.59)</f>
        <v>6.59</v>
      </c>
      <c r="F3934" s="2"/>
      <c r="G3934" s="2"/>
      <c r="H3934" s="2"/>
      <c r="I3934" s="2"/>
    </row>
    <row r="3935">
      <c r="A3935" s="2">
        <f>IFERROR(__xludf.DUMMYFUNCTION("""COMPUTED_VALUE"""),29820.0)</f>
        <v>29820</v>
      </c>
      <c r="B3935" s="2" t="str">
        <f>IFERROR(__xludf.DUMMYFUNCTION("""COMPUTED_VALUE"""),"Sports")</f>
        <v>Sports</v>
      </c>
      <c r="C3935" s="2" t="str">
        <f>IFERROR(__xludf.DUMMYFUNCTION("""COMPUTED_VALUE"""),"Artificial Intelligence")</f>
        <v>Artificial Intelligence</v>
      </c>
      <c r="D3935" s="2" t="str">
        <f>IFERROR(__xludf.DUMMYFUNCTION("""COMPUTED_VALUE"""),"Ironhill House")</f>
        <v>Ironhill House</v>
      </c>
      <c r="E3935" s="2">
        <f>IFERROR(__xludf.DUMMYFUNCTION("""COMPUTED_VALUE"""),13.7)</f>
        <v>13.7</v>
      </c>
      <c r="F3935" s="2"/>
      <c r="G3935" s="2"/>
      <c r="H3935" s="2"/>
      <c r="I3935" s="2"/>
    </row>
    <row r="3936">
      <c r="A3936" s="2">
        <f>IFERROR(__xludf.DUMMYFUNCTION("""COMPUTED_VALUE"""),83755.0)</f>
        <v>83755</v>
      </c>
      <c r="B3936" s="2" t="str">
        <f>IFERROR(__xludf.DUMMYFUNCTION("""COMPUTED_VALUE"""),"Sports")</f>
        <v>Sports</v>
      </c>
      <c r="C3936" s="2" t="str">
        <f>IFERROR(__xludf.DUMMYFUNCTION("""COMPUTED_VALUE"""),"Artificial Intelligence")</f>
        <v>Artificial Intelligence</v>
      </c>
      <c r="D3936" s="2" t="str">
        <f>IFERROR(__xludf.DUMMYFUNCTION("""COMPUTED_VALUE"""),"Silverpeak House")</f>
        <v>Silverpeak House</v>
      </c>
      <c r="E3936" s="2">
        <f>IFERROR(__xludf.DUMMYFUNCTION("""COMPUTED_VALUE"""),11.19)</f>
        <v>11.19</v>
      </c>
      <c r="F3936" s="2"/>
      <c r="G3936" s="2"/>
      <c r="H3936" s="2"/>
      <c r="I3936" s="2"/>
    </row>
    <row r="3937">
      <c r="A3937" s="2">
        <f>IFERROR(__xludf.DUMMYFUNCTION("""COMPUTED_VALUE"""),111941.0)</f>
        <v>111941</v>
      </c>
      <c r="B3937" s="2" t="str">
        <f>IFERROR(__xludf.DUMMYFUNCTION("""COMPUTED_VALUE"""),"Sports")</f>
        <v>Sports</v>
      </c>
      <c r="C3937" s="2" t="str">
        <f>IFERROR(__xludf.DUMMYFUNCTION("""COMPUTED_VALUE"""),"Artificial Intelligence")</f>
        <v>Artificial Intelligence</v>
      </c>
      <c r="D3937" s="2" t="str">
        <f>IFERROR(__xludf.DUMMYFUNCTION("""COMPUTED_VALUE"""),"Silverpeak House")</f>
        <v>Silverpeak House</v>
      </c>
      <c r="E3937" s="2">
        <f>IFERROR(__xludf.DUMMYFUNCTION("""COMPUTED_VALUE"""),7.63)</f>
        <v>7.63</v>
      </c>
      <c r="F3937" s="2"/>
      <c r="G3937" s="2"/>
      <c r="H3937" s="2"/>
      <c r="I3937" s="2"/>
    </row>
    <row r="3938">
      <c r="A3938" s="2">
        <f>IFERROR(__xludf.DUMMYFUNCTION("""COMPUTED_VALUE"""),80858.0)</f>
        <v>80858</v>
      </c>
      <c r="B3938" s="2" t="str">
        <f>IFERROR(__xludf.DUMMYFUNCTION("""COMPUTED_VALUE"""),"Sports")</f>
        <v>Sports</v>
      </c>
      <c r="C3938" s="2" t="str">
        <f>IFERROR(__xludf.DUMMYFUNCTION("""COMPUTED_VALUE"""),"Artificial Intelligence")</f>
        <v>Artificial Intelligence</v>
      </c>
      <c r="D3938" s="2" t="str">
        <f>IFERROR(__xludf.DUMMYFUNCTION("""COMPUTED_VALUE"""),"Silverpeak House")</f>
        <v>Silverpeak House</v>
      </c>
      <c r="E3938" s="2">
        <f>IFERROR(__xludf.DUMMYFUNCTION("""COMPUTED_VALUE"""),8.89)</f>
        <v>8.89</v>
      </c>
      <c r="F3938" s="2"/>
      <c r="G3938" s="2"/>
      <c r="H3938" s="2"/>
      <c r="I3938" s="2"/>
    </row>
    <row r="3939">
      <c r="A3939" s="2">
        <f>IFERROR(__xludf.DUMMYFUNCTION("""COMPUTED_VALUE"""),81902.0)</f>
        <v>81902</v>
      </c>
      <c r="B3939" s="2" t="str">
        <f>IFERROR(__xludf.DUMMYFUNCTION("""COMPUTED_VALUE"""),"Sports")</f>
        <v>Sports</v>
      </c>
      <c r="C3939" s="2" t="str">
        <f>IFERROR(__xludf.DUMMYFUNCTION("""COMPUTED_VALUE"""),"Artificial Intelligence")</f>
        <v>Artificial Intelligence</v>
      </c>
      <c r="D3939" s="2" t="str">
        <f>IFERROR(__xludf.DUMMYFUNCTION("""COMPUTED_VALUE"""),"Silverpeak House")</f>
        <v>Silverpeak House</v>
      </c>
      <c r="E3939" s="2">
        <f>IFERROR(__xludf.DUMMYFUNCTION("""COMPUTED_VALUE"""),6.58)</f>
        <v>6.58</v>
      </c>
      <c r="F3939" s="2"/>
      <c r="G3939" s="2"/>
      <c r="H3939" s="2"/>
      <c r="I3939" s="2"/>
    </row>
    <row r="3940">
      <c r="A3940" s="2">
        <f>IFERROR(__xludf.DUMMYFUNCTION("""COMPUTED_VALUE"""),83754.0)</f>
        <v>83754</v>
      </c>
      <c r="B3940" s="2" t="str">
        <f>IFERROR(__xludf.DUMMYFUNCTION("""COMPUTED_VALUE"""),"Sports")</f>
        <v>Sports</v>
      </c>
      <c r="C3940" s="2" t="str">
        <f>IFERROR(__xludf.DUMMYFUNCTION("""COMPUTED_VALUE"""),"Artificial Intelligence")</f>
        <v>Artificial Intelligence</v>
      </c>
      <c r="D3940" s="2" t="str">
        <f>IFERROR(__xludf.DUMMYFUNCTION("""COMPUTED_VALUE"""),"Silverpeak House")</f>
        <v>Silverpeak House</v>
      </c>
      <c r="E3940" s="2">
        <f>IFERROR(__xludf.DUMMYFUNCTION("""COMPUTED_VALUE"""),5.23)</f>
        <v>5.23</v>
      </c>
      <c r="F3940" s="2"/>
      <c r="G3940" s="2"/>
      <c r="H3940" s="2"/>
      <c r="I3940" s="2"/>
    </row>
    <row r="3941">
      <c r="A3941" s="2">
        <f>IFERROR(__xludf.DUMMYFUNCTION("""COMPUTED_VALUE"""),116233.0)</f>
        <v>116233</v>
      </c>
      <c r="B3941" s="2" t="str">
        <f>IFERROR(__xludf.DUMMYFUNCTION("""COMPUTED_VALUE"""),"Sports")</f>
        <v>Sports</v>
      </c>
      <c r="C3941" s="2" t="str">
        <f>IFERROR(__xludf.DUMMYFUNCTION("""COMPUTED_VALUE"""),"Artificial Intelligence")</f>
        <v>Artificial Intelligence</v>
      </c>
      <c r="D3941" s="2" t="str">
        <f>IFERROR(__xludf.DUMMYFUNCTION("""COMPUTED_VALUE"""),"Silverpeak House")</f>
        <v>Silverpeak House</v>
      </c>
      <c r="E3941" s="2">
        <f>IFERROR(__xludf.DUMMYFUNCTION("""COMPUTED_VALUE"""),11.92)</f>
        <v>11.92</v>
      </c>
      <c r="F3941" s="2"/>
      <c r="G3941" s="2"/>
      <c r="H3941" s="2"/>
      <c r="I3941" s="2"/>
    </row>
    <row r="3942">
      <c r="A3942" s="2">
        <f>IFERROR(__xludf.DUMMYFUNCTION("""COMPUTED_VALUE"""),112192.0)</f>
        <v>112192</v>
      </c>
      <c r="B3942" s="2" t="str">
        <f>IFERROR(__xludf.DUMMYFUNCTION("""COMPUTED_VALUE"""),"Sports")</f>
        <v>Sports</v>
      </c>
      <c r="C3942" s="2" t="str">
        <f>IFERROR(__xludf.DUMMYFUNCTION("""COMPUTED_VALUE"""),"Artificial Intelligence")</f>
        <v>Artificial Intelligence</v>
      </c>
      <c r="D3942" s="2" t="str">
        <f>IFERROR(__xludf.DUMMYFUNCTION("""COMPUTED_VALUE"""),"Silverpeak House")</f>
        <v>Silverpeak House</v>
      </c>
      <c r="E3942" s="2">
        <f>IFERROR(__xludf.DUMMYFUNCTION("""COMPUTED_VALUE"""),10.15)</f>
        <v>10.15</v>
      </c>
      <c r="F3942" s="2"/>
      <c r="G3942" s="2"/>
      <c r="H3942" s="2"/>
      <c r="I3942" s="2"/>
    </row>
    <row r="3943">
      <c r="A3943" s="2">
        <f>IFERROR(__xludf.DUMMYFUNCTION("""COMPUTED_VALUE"""),119728.0)</f>
        <v>119728</v>
      </c>
      <c r="B3943" s="2" t="str">
        <f>IFERROR(__xludf.DUMMYFUNCTION("""COMPUTED_VALUE"""),"Sports")</f>
        <v>Sports</v>
      </c>
      <c r="C3943" s="2" t="str">
        <f>IFERROR(__xludf.DUMMYFUNCTION("""COMPUTED_VALUE"""),"Artificial Intelligence")</f>
        <v>Artificial Intelligence</v>
      </c>
      <c r="D3943" s="2" t="str">
        <f>IFERROR(__xludf.DUMMYFUNCTION("""COMPUTED_VALUE"""),"Silverpeak House")</f>
        <v>Silverpeak House</v>
      </c>
      <c r="E3943" s="2">
        <f>IFERROR(__xludf.DUMMYFUNCTION("""COMPUTED_VALUE"""),9.45)</f>
        <v>9.45</v>
      </c>
      <c r="F3943" s="2"/>
      <c r="G3943" s="2"/>
      <c r="H3943" s="2"/>
      <c r="I3943" s="2"/>
    </row>
    <row r="3944">
      <c r="A3944" s="2">
        <f>IFERROR(__xludf.DUMMYFUNCTION("""COMPUTED_VALUE"""),81901.0)</f>
        <v>81901</v>
      </c>
      <c r="B3944" s="2" t="str">
        <f>IFERROR(__xludf.DUMMYFUNCTION("""COMPUTED_VALUE"""),"Sports")</f>
        <v>Sports</v>
      </c>
      <c r="C3944" s="2" t="str">
        <f>IFERROR(__xludf.DUMMYFUNCTION("""COMPUTED_VALUE"""),"Artificial Intelligence")</f>
        <v>Artificial Intelligence</v>
      </c>
      <c r="D3944" s="2" t="str">
        <f>IFERROR(__xludf.DUMMYFUNCTION("""COMPUTED_VALUE"""),"Silverpeak House")</f>
        <v>Silverpeak House</v>
      </c>
      <c r="E3944" s="2">
        <f>IFERROR(__xludf.DUMMYFUNCTION("""COMPUTED_VALUE"""),11.66)</f>
        <v>11.66</v>
      </c>
      <c r="F3944" s="2"/>
      <c r="G3944" s="2"/>
      <c r="H3944" s="2"/>
      <c r="I3944" s="2"/>
    </row>
    <row r="3945">
      <c r="A3945" s="2">
        <f>IFERROR(__xludf.DUMMYFUNCTION("""COMPUTED_VALUE"""),141878.0)</f>
        <v>141878</v>
      </c>
      <c r="B3945" s="2" t="str">
        <f>IFERROR(__xludf.DUMMYFUNCTION("""COMPUTED_VALUE"""),"Sports")</f>
        <v>Sports</v>
      </c>
      <c r="C3945" s="2" t="str">
        <f>IFERROR(__xludf.DUMMYFUNCTION("""COMPUTED_VALUE"""),"Artificial Intelligence")</f>
        <v>Artificial Intelligence</v>
      </c>
      <c r="D3945" s="2" t="str">
        <f>IFERROR(__xludf.DUMMYFUNCTION("""COMPUTED_VALUE"""),"Silverpeak House")</f>
        <v>Silverpeak House</v>
      </c>
      <c r="E3945" s="2">
        <f>IFERROR(__xludf.DUMMYFUNCTION("""COMPUTED_VALUE"""),7.9)</f>
        <v>7.9</v>
      </c>
      <c r="F3945" s="2"/>
      <c r="G3945" s="2"/>
      <c r="H3945" s="2"/>
      <c r="I3945" s="2"/>
    </row>
    <row r="3946">
      <c r="A3946" s="2">
        <f>IFERROR(__xludf.DUMMYFUNCTION("""COMPUTED_VALUE"""),116236.0)</f>
        <v>116236</v>
      </c>
      <c r="B3946" s="2" t="str">
        <f>IFERROR(__xludf.DUMMYFUNCTION("""COMPUTED_VALUE"""),"Sports")</f>
        <v>Sports</v>
      </c>
      <c r="C3946" s="2" t="str">
        <f>IFERROR(__xludf.DUMMYFUNCTION("""COMPUTED_VALUE"""),"Artificial Intelligence")</f>
        <v>Artificial Intelligence</v>
      </c>
      <c r="D3946" s="2" t="str">
        <f>IFERROR(__xludf.DUMMYFUNCTION("""COMPUTED_VALUE"""),"Silverpeak House")</f>
        <v>Silverpeak House</v>
      </c>
      <c r="E3946" s="2">
        <f>IFERROR(__xludf.DUMMYFUNCTION("""COMPUTED_VALUE"""),11.71)</f>
        <v>11.71</v>
      </c>
      <c r="F3946" s="2"/>
      <c r="G3946" s="2"/>
      <c r="H3946" s="2"/>
      <c r="I3946" s="2"/>
    </row>
    <row r="3947">
      <c r="A3947" s="2">
        <f>IFERROR(__xludf.DUMMYFUNCTION("""COMPUTED_VALUE"""),120751.0)</f>
        <v>120751</v>
      </c>
      <c r="B3947" s="2" t="str">
        <f>IFERROR(__xludf.DUMMYFUNCTION("""COMPUTED_VALUE"""),"Sports")</f>
        <v>Sports</v>
      </c>
      <c r="C3947" s="2" t="str">
        <f>IFERROR(__xludf.DUMMYFUNCTION("""COMPUTED_VALUE"""),"Artificial Intelligence")</f>
        <v>Artificial Intelligence</v>
      </c>
      <c r="D3947" s="2" t="str">
        <f>IFERROR(__xludf.DUMMYFUNCTION("""COMPUTED_VALUE"""),"Silverpeak House")</f>
        <v>Silverpeak House</v>
      </c>
      <c r="E3947" s="2">
        <f>IFERROR(__xludf.DUMMYFUNCTION("""COMPUTED_VALUE"""),4.9)</f>
        <v>4.9</v>
      </c>
      <c r="F3947" s="2"/>
      <c r="G3947" s="2"/>
      <c r="H3947" s="2"/>
      <c r="I3947" s="2"/>
    </row>
    <row r="3948">
      <c r="A3948" s="2">
        <f>IFERROR(__xludf.DUMMYFUNCTION("""COMPUTED_VALUE"""),80756.0)</f>
        <v>80756</v>
      </c>
      <c r="B3948" s="2" t="str">
        <f>IFERROR(__xludf.DUMMYFUNCTION("""COMPUTED_VALUE"""),"Sports")</f>
        <v>Sports</v>
      </c>
      <c r="C3948" s="2" t="str">
        <f>IFERROR(__xludf.DUMMYFUNCTION("""COMPUTED_VALUE"""),"Artificial Intelligence")</f>
        <v>Artificial Intelligence</v>
      </c>
      <c r="D3948" s="2" t="str">
        <f>IFERROR(__xludf.DUMMYFUNCTION("""COMPUTED_VALUE"""),"Silverpeak House")</f>
        <v>Silverpeak House</v>
      </c>
      <c r="E3948" s="2">
        <f>IFERROR(__xludf.DUMMYFUNCTION("""COMPUTED_VALUE"""),12.95)</f>
        <v>12.95</v>
      </c>
      <c r="F3948" s="2"/>
      <c r="G3948" s="2"/>
      <c r="H3948" s="2"/>
      <c r="I3948" s="2"/>
    </row>
    <row r="3949">
      <c r="A3949" s="2">
        <f>IFERROR(__xludf.DUMMYFUNCTION("""COMPUTED_VALUE"""),119729.0)</f>
        <v>119729</v>
      </c>
      <c r="B3949" s="2" t="str">
        <f>IFERROR(__xludf.DUMMYFUNCTION("""COMPUTED_VALUE"""),"Sports")</f>
        <v>Sports</v>
      </c>
      <c r="C3949" s="2" t="str">
        <f>IFERROR(__xludf.DUMMYFUNCTION("""COMPUTED_VALUE"""),"Artificial Intelligence")</f>
        <v>Artificial Intelligence</v>
      </c>
      <c r="D3949" s="2" t="str">
        <f>IFERROR(__xludf.DUMMYFUNCTION("""COMPUTED_VALUE"""),"Silverpeak House")</f>
        <v>Silverpeak House</v>
      </c>
      <c r="E3949" s="2">
        <f>IFERROR(__xludf.DUMMYFUNCTION("""COMPUTED_VALUE"""),5.69)</f>
        <v>5.69</v>
      </c>
      <c r="F3949" s="2"/>
      <c r="G3949" s="2"/>
      <c r="H3949" s="2"/>
      <c r="I3949" s="2"/>
    </row>
    <row r="3950">
      <c r="A3950" s="2">
        <f>IFERROR(__xludf.DUMMYFUNCTION("""COMPUTED_VALUE"""),119028.0)</f>
        <v>119028</v>
      </c>
      <c r="B3950" s="2" t="str">
        <f>IFERROR(__xludf.DUMMYFUNCTION("""COMPUTED_VALUE"""),"Sports")</f>
        <v>Sports</v>
      </c>
      <c r="C3950" s="2" t="str">
        <f>IFERROR(__xludf.DUMMYFUNCTION("""COMPUTED_VALUE"""),"Artificial Intelligence")</f>
        <v>Artificial Intelligence</v>
      </c>
      <c r="D3950" s="2" t="str">
        <f>IFERROR(__xludf.DUMMYFUNCTION("""COMPUTED_VALUE"""),"Silverpeak House")</f>
        <v>Silverpeak House</v>
      </c>
      <c r="E3950" s="2">
        <f>IFERROR(__xludf.DUMMYFUNCTION("""COMPUTED_VALUE"""),8.04)</f>
        <v>8.04</v>
      </c>
      <c r="F3950" s="2"/>
      <c r="G3950" s="2"/>
      <c r="H3950" s="2"/>
      <c r="I3950" s="2"/>
    </row>
    <row r="3951">
      <c r="A3951" s="2">
        <f>IFERROR(__xludf.DUMMYFUNCTION("""COMPUTED_VALUE"""),116957.0)</f>
        <v>116957</v>
      </c>
      <c r="B3951" s="2" t="str">
        <f>IFERROR(__xludf.DUMMYFUNCTION("""COMPUTED_VALUE"""),"Sports")</f>
        <v>Sports</v>
      </c>
      <c r="C3951" s="2" t="str">
        <f>IFERROR(__xludf.DUMMYFUNCTION("""COMPUTED_VALUE"""),"Artificial Intelligence")</f>
        <v>Artificial Intelligence</v>
      </c>
      <c r="D3951" s="2" t="str">
        <f>IFERROR(__xludf.DUMMYFUNCTION("""COMPUTED_VALUE"""),"Northpeak House")</f>
        <v>Northpeak House</v>
      </c>
      <c r="E3951" s="2">
        <f>IFERROR(__xludf.DUMMYFUNCTION("""COMPUTED_VALUE"""),5.92)</f>
        <v>5.92</v>
      </c>
      <c r="F3951" s="2"/>
      <c r="G3951" s="2"/>
      <c r="H3951" s="2"/>
      <c r="I3951" s="2"/>
    </row>
    <row r="3952">
      <c r="A3952" s="2">
        <f>IFERROR(__xludf.DUMMYFUNCTION("""COMPUTED_VALUE"""),78235.0)</f>
        <v>78235</v>
      </c>
      <c r="B3952" s="2" t="str">
        <f>IFERROR(__xludf.DUMMYFUNCTION("""COMPUTED_VALUE"""),"Sports")</f>
        <v>Sports</v>
      </c>
      <c r="C3952" s="2" t="str">
        <f>IFERROR(__xludf.DUMMYFUNCTION("""COMPUTED_VALUE"""),"Artificial Intelligence")</f>
        <v>Artificial Intelligence</v>
      </c>
      <c r="D3952" s="2" t="str">
        <f>IFERROR(__xludf.DUMMYFUNCTION("""COMPUTED_VALUE"""),"Northpeak House")</f>
        <v>Northpeak House</v>
      </c>
      <c r="E3952" s="2">
        <f>IFERROR(__xludf.DUMMYFUNCTION("""COMPUTED_VALUE"""),6.17)</f>
        <v>6.17</v>
      </c>
      <c r="F3952" s="2"/>
      <c r="G3952" s="2"/>
      <c r="H3952" s="2"/>
      <c r="I3952" s="2"/>
    </row>
    <row r="3953">
      <c r="A3953" s="2">
        <f>IFERROR(__xludf.DUMMYFUNCTION("""COMPUTED_VALUE"""),119803.0)</f>
        <v>119803</v>
      </c>
      <c r="B3953" s="2" t="str">
        <f>IFERROR(__xludf.DUMMYFUNCTION("""COMPUTED_VALUE"""),"Sports")</f>
        <v>Sports</v>
      </c>
      <c r="C3953" s="2" t="str">
        <f>IFERROR(__xludf.DUMMYFUNCTION("""COMPUTED_VALUE"""),"Artificial Intelligence")</f>
        <v>Artificial Intelligence</v>
      </c>
      <c r="D3953" s="2" t="str">
        <f>IFERROR(__xludf.DUMMYFUNCTION("""COMPUTED_VALUE"""),"Northpeak House")</f>
        <v>Northpeak House</v>
      </c>
      <c r="E3953" s="2">
        <f>IFERROR(__xludf.DUMMYFUNCTION("""COMPUTED_VALUE"""),7.67)</f>
        <v>7.67</v>
      </c>
      <c r="F3953" s="2"/>
      <c r="G3953" s="2"/>
      <c r="H3953" s="2"/>
      <c r="I3953" s="2"/>
    </row>
    <row r="3954">
      <c r="A3954" s="2">
        <f>IFERROR(__xludf.DUMMYFUNCTION("""COMPUTED_VALUE"""),7669.0)</f>
        <v>7669</v>
      </c>
      <c r="B3954" s="2" t="str">
        <f>IFERROR(__xludf.DUMMYFUNCTION("""COMPUTED_VALUE"""),"Sports")</f>
        <v>Sports</v>
      </c>
      <c r="C3954" s="2" t="str">
        <f>IFERROR(__xludf.DUMMYFUNCTION("""COMPUTED_VALUE"""),"Artificial Intelligence")</f>
        <v>Artificial Intelligence</v>
      </c>
      <c r="D3954" s="2" t="str">
        <f>IFERROR(__xludf.DUMMYFUNCTION("""COMPUTED_VALUE"""),"Northpeak House")</f>
        <v>Northpeak House</v>
      </c>
      <c r="E3954" s="2">
        <f>IFERROR(__xludf.DUMMYFUNCTION("""COMPUTED_VALUE"""),7.59)</f>
        <v>7.59</v>
      </c>
      <c r="F3954" s="2"/>
      <c r="G3954" s="2"/>
      <c r="H3954" s="2"/>
      <c r="I3954" s="2"/>
    </row>
    <row r="3955">
      <c r="A3955" s="2">
        <f>IFERROR(__xludf.DUMMYFUNCTION("""COMPUTED_VALUE"""),139312.0)</f>
        <v>139312</v>
      </c>
      <c r="B3955" s="2" t="str">
        <f>IFERROR(__xludf.DUMMYFUNCTION("""COMPUTED_VALUE"""),"Sports")</f>
        <v>Sports</v>
      </c>
      <c r="C3955" s="2" t="str">
        <f>IFERROR(__xludf.DUMMYFUNCTION("""COMPUTED_VALUE"""),"Artificial Intelligence")</f>
        <v>Artificial Intelligence</v>
      </c>
      <c r="D3955" s="2" t="str">
        <f>IFERROR(__xludf.DUMMYFUNCTION("""COMPUTED_VALUE"""),"Northpeak House")</f>
        <v>Northpeak House</v>
      </c>
      <c r="E3955" s="2">
        <f>IFERROR(__xludf.DUMMYFUNCTION("""COMPUTED_VALUE"""),17.33)</f>
        <v>17.33</v>
      </c>
      <c r="F3955" s="2"/>
      <c r="G3955" s="2"/>
      <c r="H3955" s="2"/>
      <c r="I3955" s="2"/>
    </row>
    <row r="3956">
      <c r="A3956" s="2">
        <f>IFERROR(__xludf.DUMMYFUNCTION("""COMPUTED_VALUE"""),77773.0)</f>
        <v>77773</v>
      </c>
      <c r="B3956" s="2" t="str">
        <f>IFERROR(__xludf.DUMMYFUNCTION("""COMPUTED_VALUE"""),"Sports")</f>
        <v>Sports</v>
      </c>
      <c r="C3956" s="2" t="str">
        <f>IFERROR(__xludf.DUMMYFUNCTION("""COMPUTED_VALUE"""),"Artificial Intelligence")</f>
        <v>Artificial Intelligence</v>
      </c>
      <c r="D3956" s="2" t="str">
        <f>IFERROR(__xludf.DUMMYFUNCTION("""COMPUTED_VALUE"""),"Northpeak House")</f>
        <v>Northpeak House</v>
      </c>
      <c r="E3956" s="2">
        <f>IFERROR(__xludf.DUMMYFUNCTION("""COMPUTED_VALUE"""),2.29)</f>
        <v>2.29</v>
      </c>
      <c r="F3956" s="2"/>
      <c r="G3956" s="2"/>
      <c r="H3956" s="2"/>
      <c r="I3956" s="2"/>
    </row>
    <row r="3957">
      <c r="A3957" s="2">
        <f>IFERROR(__xludf.DUMMYFUNCTION("""COMPUTED_VALUE"""),73442.0)</f>
        <v>73442</v>
      </c>
      <c r="B3957" s="2" t="str">
        <f>IFERROR(__xludf.DUMMYFUNCTION("""COMPUTED_VALUE"""),"Sports")</f>
        <v>Sports</v>
      </c>
      <c r="C3957" s="2" t="str">
        <f>IFERROR(__xludf.DUMMYFUNCTION("""COMPUTED_VALUE"""),"Artificial Intelligence")</f>
        <v>Artificial Intelligence</v>
      </c>
      <c r="D3957" s="2" t="str">
        <f>IFERROR(__xludf.DUMMYFUNCTION("""COMPUTED_VALUE"""),"Northpeak House")</f>
        <v>Northpeak House</v>
      </c>
      <c r="E3957" s="2">
        <f>IFERROR(__xludf.DUMMYFUNCTION("""COMPUTED_VALUE"""),2.05)</f>
        <v>2.05</v>
      </c>
      <c r="F3957" s="2"/>
      <c r="G3957" s="2"/>
      <c r="H3957" s="2"/>
      <c r="I3957" s="2"/>
    </row>
    <row r="3958">
      <c r="A3958" s="2">
        <f>IFERROR(__xludf.DUMMYFUNCTION("""COMPUTED_VALUE"""),3974.0)</f>
        <v>3974</v>
      </c>
      <c r="B3958" s="2" t="str">
        <f>IFERROR(__xludf.DUMMYFUNCTION("""COMPUTED_VALUE"""),"Sports")</f>
        <v>Sports</v>
      </c>
      <c r="C3958" s="2" t="str">
        <f>IFERROR(__xludf.DUMMYFUNCTION("""COMPUTED_VALUE"""),"Artificial Intelligence")</f>
        <v>Artificial Intelligence</v>
      </c>
      <c r="D3958" s="2" t="str">
        <f>IFERROR(__xludf.DUMMYFUNCTION("""COMPUTED_VALUE"""),"Northpeak House")</f>
        <v>Northpeak House</v>
      </c>
      <c r="E3958" s="2">
        <f>IFERROR(__xludf.DUMMYFUNCTION("""COMPUTED_VALUE"""),10.4)</f>
        <v>10.4</v>
      </c>
      <c r="F3958" s="2"/>
      <c r="G3958" s="2"/>
      <c r="H3958" s="2"/>
      <c r="I3958" s="2"/>
    </row>
    <row r="3959">
      <c r="A3959" s="2">
        <f>IFERROR(__xludf.DUMMYFUNCTION("""COMPUTED_VALUE"""),104032.0)</f>
        <v>104032</v>
      </c>
      <c r="B3959" s="2" t="str">
        <f>IFERROR(__xludf.DUMMYFUNCTION("""COMPUTED_VALUE"""),"Sports")</f>
        <v>Sports</v>
      </c>
      <c r="C3959" s="2" t="str">
        <f>IFERROR(__xludf.DUMMYFUNCTION("""COMPUTED_VALUE"""),"Artificial Intelligence")</f>
        <v>Artificial Intelligence</v>
      </c>
      <c r="D3959" s="2" t="str">
        <f>IFERROR(__xludf.DUMMYFUNCTION("""COMPUTED_VALUE"""),"Harborpeak House")</f>
        <v>Harborpeak House</v>
      </c>
      <c r="E3959" s="2">
        <f>IFERROR(__xludf.DUMMYFUNCTION("""COMPUTED_VALUE"""),8.07)</f>
        <v>8.07</v>
      </c>
      <c r="F3959" s="2"/>
      <c r="G3959" s="2"/>
      <c r="H3959" s="2"/>
      <c r="I3959" s="2"/>
    </row>
    <row r="3960">
      <c r="A3960" s="2">
        <f>IFERROR(__xludf.DUMMYFUNCTION("""COMPUTED_VALUE"""),24162.0)</f>
        <v>24162</v>
      </c>
      <c r="B3960" s="2" t="str">
        <f>IFERROR(__xludf.DUMMYFUNCTION("""COMPUTED_VALUE"""),"Law")</f>
        <v>Law</v>
      </c>
      <c r="C3960" s="2" t="str">
        <f>IFERROR(__xludf.DUMMYFUNCTION("""COMPUTED_VALUE"""),"Machine Learning")</f>
        <v>Machine Learning</v>
      </c>
      <c r="D3960" s="2" t="str">
        <f>IFERROR(__xludf.DUMMYFUNCTION("""COMPUTED_VALUE"""),"Cedarpeak House")</f>
        <v>Cedarpeak House</v>
      </c>
      <c r="E3960" s="2">
        <f>IFERROR(__xludf.DUMMYFUNCTION("""COMPUTED_VALUE"""),3.84)</f>
        <v>3.84</v>
      </c>
      <c r="F3960" s="2"/>
      <c r="G3960" s="2"/>
      <c r="H3960" s="2"/>
      <c r="I3960" s="2"/>
    </row>
    <row r="3961">
      <c r="A3961" s="2">
        <f>IFERROR(__xludf.DUMMYFUNCTION("""COMPUTED_VALUE"""),24167.0)</f>
        <v>24167</v>
      </c>
      <c r="B3961" s="2" t="str">
        <f>IFERROR(__xludf.DUMMYFUNCTION("""COMPUTED_VALUE"""),"Law")</f>
        <v>Law</v>
      </c>
      <c r="C3961" s="2" t="str">
        <f>IFERROR(__xludf.DUMMYFUNCTION("""COMPUTED_VALUE"""),"Machine Learning")</f>
        <v>Machine Learning</v>
      </c>
      <c r="D3961" s="2" t="str">
        <f>IFERROR(__xludf.DUMMYFUNCTION("""COMPUTED_VALUE"""),"Cedarpeak House")</f>
        <v>Cedarpeak House</v>
      </c>
      <c r="E3961" s="2">
        <f>IFERROR(__xludf.DUMMYFUNCTION("""COMPUTED_VALUE"""),1.6)</f>
        <v>1.6</v>
      </c>
      <c r="F3961" s="2"/>
      <c r="G3961" s="2"/>
      <c r="H3961" s="2"/>
      <c r="I3961" s="2"/>
    </row>
    <row r="3962">
      <c r="A3962" s="2">
        <f>IFERROR(__xludf.DUMMYFUNCTION("""COMPUTED_VALUE"""),24174.0)</f>
        <v>24174</v>
      </c>
      <c r="B3962" s="2" t="str">
        <f>IFERROR(__xludf.DUMMYFUNCTION("""COMPUTED_VALUE"""),"Law")</f>
        <v>Law</v>
      </c>
      <c r="C3962" s="2" t="str">
        <f>IFERROR(__xludf.DUMMYFUNCTION("""COMPUTED_VALUE"""),"Machine Learning")</f>
        <v>Machine Learning</v>
      </c>
      <c r="D3962" s="2" t="str">
        <f>IFERROR(__xludf.DUMMYFUNCTION("""COMPUTED_VALUE"""),"Cedarpeak House")</f>
        <v>Cedarpeak House</v>
      </c>
      <c r="E3962" s="2">
        <f>IFERROR(__xludf.DUMMYFUNCTION("""COMPUTED_VALUE"""),1.85)</f>
        <v>1.85</v>
      </c>
      <c r="F3962" s="2"/>
      <c r="G3962" s="2"/>
      <c r="H3962" s="2"/>
      <c r="I3962" s="2"/>
    </row>
    <row r="3963">
      <c r="A3963" s="2">
        <f>IFERROR(__xludf.DUMMYFUNCTION("""COMPUTED_VALUE"""),24161.0)</f>
        <v>24161</v>
      </c>
      <c r="B3963" s="2" t="str">
        <f>IFERROR(__xludf.DUMMYFUNCTION("""COMPUTED_VALUE"""),"Law")</f>
        <v>Law</v>
      </c>
      <c r="C3963" s="2" t="str">
        <f>IFERROR(__xludf.DUMMYFUNCTION("""COMPUTED_VALUE"""),"Machine Learning")</f>
        <v>Machine Learning</v>
      </c>
      <c r="D3963" s="2" t="str">
        <f>IFERROR(__xludf.DUMMYFUNCTION("""COMPUTED_VALUE"""),"Cedarpeak House")</f>
        <v>Cedarpeak House</v>
      </c>
      <c r="E3963" s="2">
        <f>IFERROR(__xludf.DUMMYFUNCTION("""COMPUTED_VALUE"""),1.98)</f>
        <v>1.98</v>
      </c>
      <c r="F3963" s="2"/>
      <c r="G3963" s="2"/>
      <c r="H3963" s="2"/>
      <c r="I3963" s="2"/>
    </row>
    <row r="3964">
      <c r="A3964" s="2">
        <f>IFERROR(__xludf.DUMMYFUNCTION("""COMPUTED_VALUE"""),88594.0)</f>
        <v>88594</v>
      </c>
      <c r="B3964" s="2" t="str">
        <f>IFERROR(__xludf.DUMMYFUNCTION("""COMPUTED_VALUE"""),"Law")</f>
        <v>Law</v>
      </c>
      <c r="C3964" s="2" t="str">
        <f>IFERROR(__xludf.DUMMYFUNCTION("""COMPUTED_VALUE"""),"Machine Learning")</f>
        <v>Machine Learning</v>
      </c>
      <c r="D3964" s="2" t="str">
        <f>IFERROR(__xludf.DUMMYFUNCTION("""COMPUTED_VALUE"""),"Cedarpeak House")</f>
        <v>Cedarpeak House</v>
      </c>
      <c r="E3964" s="2">
        <f>IFERROR(__xludf.DUMMYFUNCTION("""COMPUTED_VALUE"""),1.89)</f>
        <v>1.89</v>
      </c>
      <c r="F3964" s="2"/>
      <c r="G3964" s="2"/>
      <c r="H3964" s="2"/>
      <c r="I3964" s="2"/>
    </row>
    <row r="3965">
      <c r="A3965" s="2">
        <f>IFERROR(__xludf.DUMMYFUNCTION("""COMPUTED_VALUE"""),118818.0)</f>
        <v>118818</v>
      </c>
      <c r="B3965" s="2" t="str">
        <f>IFERROR(__xludf.DUMMYFUNCTION("""COMPUTED_VALUE"""),"Law")</f>
        <v>Law</v>
      </c>
      <c r="C3965" s="2" t="str">
        <f>IFERROR(__xludf.DUMMYFUNCTION("""COMPUTED_VALUE"""),"Machine Learning")</f>
        <v>Machine Learning</v>
      </c>
      <c r="D3965" s="2" t="str">
        <f>IFERROR(__xludf.DUMMYFUNCTION("""COMPUTED_VALUE"""),"Cedarpeak House")</f>
        <v>Cedarpeak House</v>
      </c>
      <c r="E3965" s="2">
        <f>IFERROR(__xludf.DUMMYFUNCTION("""COMPUTED_VALUE"""),1.97)</f>
        <v>1.97</v>
      </c>
      <c r="F3965" s="2"/>
      <c r="G3965" s="2"/>
      <c r="H3965" s="2"/>
      <c r="I3965" s="2"/>
    </row>
    <row r="3966">
      <c r="A3966" s="2">
        <f>IFERROR(__xludf.DUMMYFUNCTION("""COMPUTED_VALUE"""),24166.0)</f>
        <v>24166</v>
      </c>
      <c r="B3966" s="2" t="str">
        <f>IFERROR(__xludf.DUMMYFUNCTION("""COMPUTED_VALUE"""),"Law")</f>
        <v>Law</v>
      </c>
      <c r="C3966" s="2" t="str">
        <f>IFERROR(__xludf.DUMMYFUNCTION("""COMPUTED_VALUE"""),"Machine Learning")</f>
        <v>Machine Learning</v>
      </c>
      <c r="D3966" s="2" t="str">
        <f>IFERROR(__xludf.DUMMYFUNCTION("""COMPUTED_VALUE"""),"Cedarpeak House")</f>
        <v>Cedarpeak House</v>
      </c>
      <c r="E3966" s="2">
        <f>IFERROR(__xludf.DUMMYFUNCTION("""COMPUTED_VALUE"""),1.12)</f>
        <v>1.12</v>
      </c>
      <c r="F3966" s="2"/>
      <c r="G3966" s="2"/>
      <c r="H3966" s="2"/>
      <c r="I3966" s="2"/>
    </row>
    <row r="3967">
      <c r="A3967" s="2">
        <f>IFERROR(__xludf.DUMMYFUNCTION("""COMPUTED_VALUE"""),118828.0)</f>
        <v>118828</v>
      </c>
      <c r="B3967" s="2" t="str">
        <f>IFERROR(__xludf.DUMMYFUNCTION("""COMPUTED_VALUE"""),"Law")</f>
        <v>Law</v>
      </c>
      <c r="C3967" s="2" t="str">
        <f>IFERROR(__xludf.DUMMYFUNCTION("""COMPUTED_VALUE"""),"Machine Learning")</f>
        <v>Machine Learning</v>
      </c>
      <c r="D3967" s="2" t="str">
        <f>IFERROR(__xludf.DUMMYFUNCTION("""COMPUTED_VALUE"""),"Cedarpeak House")</f>
        <v>Cedarpeak House</v>
      </c>
      <c r="E3967" s="2">
        <f>IFERROR(__xludf.DUMMYFUNCTION("""COMPUTED_VALUE"""),2.01)</f>
        <v>2.01</v>
      </c>
      <c r="F3967" s="2"/>
      <c r="G3967" s="2"/>
      <c r="H3967" s="2"/>
      <c r="I3967" s="2"/>
    </row>
    <row r="3968">
      <c r="A3968" s="2">
        <f>IFERROR(__xludf.DUMMYFUNCTION("""COMPUTED_VALUE"""),86169.0)</f>
        <v>86169</v>
      </c>
      <c r="B3968" s="2" t="str">
        <f>IFERROR(__xludf.DUMMYFUNCTION("""COMPUTED_VALUE"""),"Law")</f>
        <v>Law</v>
      </c>
      <c r="C3968" s="2" t="str">
        <f>IFERROR(__xludf.DUMMYFUNCTION("""COMPUTED_VALUE"""),"Machine Learning")</f>
        <v>Machine Learning</v>
      </c>
      <c r="D3968" s="2" t="str">
        <f>IFERROR(__xludf.DUMMYFUNCTION("""COMPUTED_VALUE"""),"Cedarpeak House")</f>
        <v>Cedarpeak House</v>
      </c>
      <c r="E3968" s="2">
        <f>IFERROR(__xludf.DUMMYFUNCTION("""COMPUTED_VALUE"""),3.87)</f>
        <v>3.87</v>
      </c>
      <c r="F3968" s="2"/>
      <c r="G3968" s="2"/>
      <c r="H3968" s="2"/>
      <c r="I3968" s="2"/>
    </row>
    <row r="3969">
      <c r="A3969" s="2">
        <f>IFERROR(__xludf.DUMMYFUNCTION("""COMPUTED_VALUE"""),118851.0)</f>
        <v>118851</v>
      </c>
      <c r="B3969" s="2" t="str">
        <f>IFERROR(__xludf.DUMMYFUNCTION("""COMPUTED_VALUE"""),"Law")</f>
        <v>Law</v>
      </c>
      <c r="C3969" s="2" t="str">
        <f>IFERROR(__xludf.DUMMYFUNCTION("""COMPUTED_VALUE"""),"Machine Learning")</f>
        <v>Machine Learning</v>
      </c>
      <c r="D3969" s="2" t="str">
        <f>IFERROR(__xludf.DUMMYFUNCTION("""COMPUTED_VALUE"""),"Cedarpeak House")</f>
        <v>Cedarpeak House</v>
      </c>
      <c r="E3969" s="2">
        <f>IFERROR(__xludf.DUMMYFUNCTION("""COMPUTED_VALUE"""),1.39)</f>
        <v>1.39</v>
      </c>
      <c r="F3969" s="2"/>
      <c r="G3969" s="2"/>
      <c r="H3969" s="2"/>
      <c r="I3969" s="2"/>
    </row>
    <row r="3970">
      <c r="A3970" s="2">
        <f>IFERROR(__xludf.DUMMYFUNCTION("""COMPUTED_VALUE"""),118824.0)</f>
        <v>118824</v>
      </c>
      <c r="B3970" s="2" t="str">
        <f>IFERROR(__xludf.DUMMYFUNCTION("""COMPUTED_VALUE"""),"Law")</f>
        <v>Law</v>
      </c>
      <c r="C3970" s="2" t="str">
        <f>IFERROR(__xludf.DUMMYFUNCTION("""COMPUTED_VALUE"""),"Machine Learning")</f>
        <v>Machine Learning</v>
      </c>
      <c r="D3970" s="2" t="str">
        <f>IFERROR(__xludf.DUMMYFUNCTION("""COMPUTED_VALUE"""),"Cedarpeak House")</f>
        <v>Cedarpeak House</v>
      </c>
      <c r="E3970" s="2">
        <f>IFERROR(__xludf.DUMMYFUNCTION("""COMPUTED_VALUE"""),3.5)</f>
        <v>3.5</v>
      </c>
      <c r="F3970" s="2"/>
      <c r="G3970" s="2"/>
      <c r="H3970" s="2"/>
      <c r="I3970" s="2"/>
    </row>
    <row r="3971">
      <c r="A3971" s="2">
        <f>IFERROR(__xludf.DUMMYFUNCTION("""COMPUTED_VALUE"""),122728.0)</f>
        <v>122728</v>
      </c>
      <c r="B3971" s="2" t="str">
        <f>IFERROR(__xludf.DUMMYFUNCTION("""COMPUTED_VALUE"""),"Law")</f>
        <v>Law</v>
      </c>
      <c r="C3971" s="2" t="str">
        <f>IFERROR(__xludf.DUMMYFUNCTION("""COMPUTED_VALUE"""),"Machine Learning")</f>
        <v>Machine Learning</v>
      </c>
      <c r="D3971" s="2" t="str">
        <f>IFERROR(__xludf.DUMMYFUNCTION("""COMPUTED_VALUE"""),"Cedarpeak House")</f>
        <v>Cedarpeak House</v>
      </c>
      <c r="E3971" s="2">
        <f>IFERROR(__xludf.DUMMYFUNCTION("""COMPUTED_VALUE"""),1.1)</f>
        <v>1.1</v>
      </c>
      <c r="F3971" s="2"/>
      <c r="G3971" s="2"/>
      <c r="H3971" s="2"/>
      <c r="I3971" s="2"/>
    </row>
    <row r="3972">
      <c r="A3972" s="2">
        <f>IFERROR(__xludf.DUMMYFUNCTION("""COMPUTED_VALUE"""),103474.0)</f>
        <v>103474</v>
      </c>
      <c r="B3972" s="2" t="str">
        <f>IFERROR(__xludf.DUMMYFUNCTION("""COMPUTED_VALUE"""),"Law")</f>
        <v>Law</v>
      </c>
      <c r="C3972" s="2" t="str">
        <f>IFERROR(__xludf.DUMMYFUNCTION("""COMPUTED_VALUE"""),"Machine Learning")</f>
        <v>Machine Learning</v>
      </c>
      <c r="D3972" s="2" t="str">
        <f>IFERROR(__xludf.DUMMYFUNCTION("""COMPUTED_VALUE"""),"Brightpeak House")</f>
        <v>Brightpeak House</v>
      </c>
      <c r="E3972" s="2">
        <f>IFERROR(__xludf.DUMMYFUNCTION("""COMPUTED_VALUE"""),3.17)</f>
        <v>3.17</v>
      </c>
      <c r="F3972" s="2"/>
      <c r="G3972" s="2"/>
      <c r="H3972" s="2"/>
      <c r="I3972" s="2"/>
    </row>
    <row r="3973">
      <c r="A3973" s="2">
        <f>IFERROR(__xludf.DUMMYFUNCTION("""COMPUTED_VALUE"""),120635.0)</f>
        <v>120635</v>
      </c>
      <c r="B3973" s="2" t="str">
        <f>IFERROR(__xludf.DUMMYFUNCTION("""COMPUTED_VALUE"""),"Law")</f>
        <v>Law</v>
      </c>
      <c r="C3973" s="2" t="str">
        <f>IFERROR(__xludf.DUMMYFUNCTION("""COMPUTED_VALUE"""),"Machine Learning")</f>
        <v>Machine Learning</v>
      </c>
      <c r="D3973" s="2" t="str">
        <f>IFERROR(__xludf.DUMMYFUNCTION("""COMPUTED_VALUE"""),"Brightpeak House")</f>
        <v>Brightpeak House</v>
      </c>
      <c r="E3973" s="2">
        <f>IFERROR(__xludf.DUMMYFUNCTION("""COMPUTED_VALUE"""),2.73)</f>
        <v>2.73</v>
      </c>
      <c r="F3973" s="2"/>
      <c r="G3973" s="2"/>
      <c r="H3973" s="2"/>
      <c r="I3973" s="2"/>
    </row>
    <row r="3974">
      <c r="A3974" s="2">
        <f>IFERROR(__xludf.DUMMYFUNCTION("""COMPUTED_VALUE"""),120633.0)</f>
        <v>120633</v>
      </c>
      <c r="B3974" s="2" t="str">
        <f>IFERROR(__xludf.DUMMYFUNCTION("""COMPUTED_VALUE"""),"Law")</f>
        <v>Law</v>
      </c>
      <c r="C3974" s="2" t="str">
        <f>IFERROR(__xludf.DUMMYFUNCTION("""COMPUTED_VALUE"""),"Machine Learning")</f>
        <v>Machine Learning</v>
      </c>
      <c r="D3974" s="2" t="str">
        <f>IFERROR(__xludf.DUMMYFUNCTION("""COMPUTED_VALUE"""),"Brightpeak House")</f>
        <v>Brightpeak House</v>
      </c>
      <c r="E3974" s="2">
        <f>IFERROR(__xludf.DUMMYFUNCTION("""COMPUTED_VALUE"""),2.6)</f>
        <v>2.6</v>
      </c>
      <c r="F3974" s="2"/>
      <c r="G3974" s="2"/>
      <c r="H3974" s="2"/>
      <c r="I3974" s="2"/>
    </row>
    <row r="3975">
      <c r="A3975" s="2">
        <f>IFERROR(__xludf.DUMMYFUNCTION("""COMPUTED_VALUE"""),121477.0)</f>
        <v>121477</v>
      </c>
      <c r="B3975" s="2" t="str">
        <f>IFERROR(__xludf.DUMMYFUNCTION("""COMPUTED_VALUE"""),"Law")</f>
        <v>Law</v>
      </c>
      <c r="C3975" s="2" t="str">
        <f>IFERROR(__xludf.DUMMYFUNCTION("""COMPUTED_VALUE"""),"Machine Learning")</f>
        <v>Machine Learning</v>
      </c>
      <c r="D3975" s="2" t="str">
        <f>IFERROR(__xludf.DUMMYFUNCTION("""COMPUTED_VALUE"""),"Brightpeak House")</f>
        <v>Brightpeak House</v>
      </c>
      <c r="E3975" s="2">
        <f>IFERROR(__xludf.DUMMYFUNCTION("""COMPUTED_VALUE"""),1.69)</f>
        <v>1.69</v>
      </c>
      <c r="F3975" s="2"/>
      <c r="G3975" s="2"/>
      <c r="H3975" s="2"/>
      <c r="I3975" s="2"/>
    </row>
    <row r="3976">
      <c r="A3976" s="2">
        <f>IFERROR(__xludf.DUMMYFUNCTION("""COMPUTED_VALUE"""),156024.0)</f>
        <v>156024</v>
      </c>
      <c r="B3976" s="2" t="str">
        <f>IFERROR(__xludf.DUMMYFUNCTION("""COMPUTED_VALUE"""),"Law")</f>
        <v>Law</v>
      </c>
      <c r="C3976" s="2" t="str">
        <f>IFERROR(__xludf.DUMMYFUNCTION("""COMPUTED_VALUE"""),"Machine Learning")</f>
        <v>Machine Learning</v>
      </c>
      <c r="D3976" s="2" t="str">
        <f>IFERROR(__xludf.DUMMYFUNCTION("""COMPUTED_VALUE"""),"Brightpeak House")</f>
        <v>Brightpeak House</v>
      </c>
      <c r="E3976" s="2">
        <f>IFERROR(__xludf.DUMMYFUNCTION("""COMPUTED_VALUE"""),2.74)</f>
        <v>2.74</v>
      </c>
      <c r="F3976" s="2"/>
      <c r="G3976" s="2"/>
      <c r="H3976" s="2"/>
      <c r="I3976" s="2"/>
    </row>
    <row r="3977">
      <c r="A3977" s="2">
        <f>IFERROR(__xludf.DUMMYFUNCTION("""COMPUTED_VALUE"""),70191.0)</f>
        <v>70191</v>
      </c>
      <c r="B3977" s="2" t="str">
        <f>IFERROR(__xludf.DUMMYFUNCTION("""COMPUTED_VALUE"""),"Law")</f>
        <v>Law</v>
      </c>
      <c r="C3977" s="2" t="str">
        <f>IFERROR(__xludf.DUMMYFUNCTION("""COMPUTED_VALUE"""),"Machine Learning")</f>
        <v>Machine Learning</v>
      </c>
      <c r="D3977" s="2" t="str">
        <f>IFERROR(__xludf.DUMMYFUNCTION("""COMPUTED_VALUE"""),"Brightpeak House")</f>
        <v>Brightpeak House</v>
      </c>
      <c r="E3977" s="2">
        <f>IFERROR(__xludf.DUMMYFUNCTION("""COMPUTED_VALUE"""),2.49)</f>
        <v>2.49</v>
      </c>
      <c r="F3977" s="2"/>
      <c r="G3977" s="2"/>
      <c r="H3977" s="2"/>
      <c r="I3977" s="2"/>
    </row>
    <row r="3978">
      <c r="A3978" s="2">
        <f>IFERROR(__xludf.DUMMYFUNCTION("""COMPUTED_VALUE"""),19822.0)</f>
        <v>19822</v>
      </c>
      <c r="B3978" s="2" t="str">
        <f>IFERROR(__xludf.DUMMYFUNCTION("""COMPUTED_VALUE"""),"Law")</f>
        <v>Law</v>
      </c>
      <c r="C3978" s="2" t="str">
        <f>IFERROR(__xludf.DUMMYFUNCTION("""COMPUTED_VALUE"""),"Machine Learning")</f>
        <v>Machine Learning</v>
      </c>
      <c r="D3978" s="2" t="str">
        <f>IFERROR(__xludf.DUMMYFUNCTION("""COMPUTED_VALUE"""),"Brightpeak House")</f>
        <v>Brightpeak House</v>
      </c>
      <c r="E3978" s="2">
        <f>IFERROR(__xludf.DUMMYFUNCTION("""COMPUTED_VALUE"""),1.67)</f>
        <v>1.67</v>
      </c>
      <c r="F3978" s="2"/>
      <c r="G3978" s="2"/>
      <c r="H3978" s="2"/>
      <c r="I3978" s="2"/>
    </row>
    <row r="3979">
      <c r="A3979" s="2">
        <f>IFERROR(__xludf.DUMMYFUNCTION("""COMPUTED_VALUE"""),156023.0)</f>
        <v>156023</v>
      </c>
      <c r="B3979" s="2" t="str">
        <f>IFERROR(__xludf.DUMMYFUNCTION("""COMPUTED_VALUE"""),"Law")</f>
        <v>Law</v>
      </c>
      <c r="C3979" s="2" t="str">
        <f>IFERROR(__xludf.DUMMYFUNCTION("""COMPUTED_VALUE"""),"Machine Learning")</f>
        <v>Machine Learning</v>
      </c>
      <c r="D3979" s="2" t="str">
        <f>IFERROR(__xludf.DUMMYFUNCTION("""COMPUTED_VALUE"""),"Brightpeak House")</f>
        <v>Brightpeak House</v>
      </c>
      <c r="E3979" s="2">
        <f>IFERROR(__xludf.DUMMYFUNCTION("""COMPUTED_VALUE"""),2.68)</f>
        <v>2.68</v>
      </c>
      <c r="F3979" s="2"/>
      <c r="G3979" s="2"/>
      <c r="H3979" s="2"/>
      <c r="I3979" s="2"/>
    </row>
    <row r="3980">
      <c r="A3980" s="2">
        <f>IFERROR(__xludf.DUMMYFUNCTION("""COMPUTED_VALUE"""),120628.0)</f>
        <v>120628</v>
      </c>
      <c r="B3980" s="2" t="str">
        <f>IFERROR(__xludf.DUMMYFUNCTION("""COMPUTED_VALUE"""),"Law")</f>
        <v>Law</v>
      </c>
      <c r="C3980" s="2" t="str">
        <f>IFERROR(__xludf.DUMMYFUNCTION("""COMPUTED_VALUE"""),"Machine Learning")</f>
        <v>Machine Learning</v>
      </c>
      <c r="D3980" s="2" t="str">
        <f>IFERROR(__xludf.DUMMYFUNCTION("""COMPUTED_VALUE"""),"Brightpeak House")</f>
        <v>Brightpeak House</v>
      </c>
      <c r="E3980" s="2">
        <f>IFERROR(__xludf.DUMMYFUNCTION("""COMPUTED_VALUE"""),2.44)</f>
        <v>2.44</v>
      </c>
      <c r="F3980" s="2"/>
      <c r="G3980" s="2"/>
      <c r="H3980" s="2"/>
      <c r="I3980" s="2"/>
    </row>
    <row r="3981">
      <c r="A3981" s="2">
        <f>IFERROR(__xludf.DUMMYFUNCTION("""COMPUTED_VALUE"""),45830.0)</f>
        <v>45830</v>
      </c>
      <c r="B3981" s="2" t="str">
        <f>IFERROR(__xludf.DUMMYFUNCTION("""COMPUTED_VALUE"""),"Law")</f>
        <v>Law</v>
      </c>
      <c r="C3981" s="2" t="str">
        <f>IFERROR(__xludf.DUMMYFUNCTION("""COMPUTED_VALUE"""),"Machine Learning")</f>
        <v>Machine Learning</v>
      </c>
      <c r="D3981" s="2" t="str">
        <f>IFERROR(__xludf.DUMMYFUNCTION("""COMPUTED_VALUE"""),"Oakpeak House")</f>
        <v>Oakpeak House</v>
      </c>
      <c r="E3981" s="2">
        <f>IFERROR(__xludf.DUMMYFUNCTION("""COMPUTED_VALUE"""),2.35)</f>
        <v>2.35</v>
      </c>
      <c r="F3981" s="2"/>
      <c r="G3981" s="2"/>
      <c r="H3981" s="2"/>
      <c r="I3981" s="2"/>
    </row>
    <row r="3982">
      <c r="A3982" s="2">
        <f>IFERROR(__xludf.DUMMYFUNCTION("""COMPUTED_VALUE"""),86192.0)</f>
        <v>86192</v>
      </c>
      <c r="B3982" s="2" t="str">
        <f>IFERROR(__xludf.DUMMYFUNCTION("""COMPUTED_VALUE"""),"Law")</f>
        <v>Law</v>
      </c>
      <c r="C3982" s="2" t="str">
        <f>IFERROR(__xludf.DUMMYFUNCTION("""COMPUTED_VALUE"""),"Machine Learning")</f>
        <v>Machine Learning</v>
      </c>
      <c r="D3982" s="2" t="str">
        <f>IFERROR(__xludf.DUMMYFUNCTION("""COMPUTED_VALUE"""),"Oakpeak House")</f>
        <v>Oakpeak House</v>
      </c>
      <c r="E3982" s="2">
        <f>IFERROR(__xludf.DUMMYFUNCTION("""COMPUTED_VALUE"""),1.87)</f>
        <v>1.87</v>
      </c>
      <c r="F3982" s="2"/>
      <c r="G3982" s="2"/>
      <c r="H3982" s="2"/>
      <c r="I3982" s="2"/>
    </row>
    <row r="3983">
      <c r="A3983" s="2">
        <f>IFERROR(__xludf.DUMMYFUNCTION("""COMPUTED_VALUE"""),127372.0)</f>
        <v>127372</v>
      </c>
      <c r="B3983" s="2" t="str">
        <f>IFERROR(__xludf.DUMMYFUNCTION("""COMPUTED_VALUE"""),"Law")</f>
        <v>Law</v>
      </c>
      <c r="C3983" s="2" t="str">
        <f>IFERROR(__xludf.DUMMYFUNCTION("""COMPUTED_VALUE"""),"Machine Learning")</f>
        <v>Machine Learning</v>
      </c>
      <c r="D3983" s="2" t="str">
        <f>IFERROR(__xludf.DUMMYFUNCTION("""COMPUTED_VALUE"""),"Oakpeak House")</f>
        <v>Oakpeak House</v>
      </c>
      <c r="E3983" s="2">
        <f>IFERROR(__xludf.DUMMYFUNCTION("""COMPUTED_VALUE"""),3.16)</f>
        <v>3.16</v>
      </c>
      <c r="F3983" s="2"/>
      <c r="G3983" s="2"/>
      <c r="H3983" s="2"/>
      <c r="I3983" s="2"/>
    </row>
    <row r="3984">
      <c r="A3984" s="2">
        <f>IFERROR(__xludf.DUMMYFUNCTION("""COMPUTED_VALUE"""),113902.0)</f>
        <v>113902</v>
      </c>
      <c r="B3984" s="2" t="str">
        <f>IFERROR(__xludf.DUMMYFUNCTION("""COMPUTED_VALUE"""),"Law")</f>
        <v>Law</v>
      </c>
      <c r="C3984" s="2" t="str">
        <f>IFERROR(__xludf.DUMMYFUNCTION("""COMPUTED_VALUE"""),"Machine Learning")</f>
        <v>Machine Learning</v>
      </c>
      <c r="D3984" s="2" t="str">
        <f>IFERROR(__xludf.DUMMYFUNCTION("""COMPUTED_VALUE"""),"Oakpeak House")</f>
        <v>Oakpeak House</v>
      </c>
      <c r="E3984" s="2">
        <f>IFERROR(__xludf.DUMMYFUNCTION("""COMPUTED_VALUE"""),2.12)</f>
        <v>2.12</v>
      </c>
      <c r="F3984" s="2"/>
      <c r="G3984" s="2"/>
      <c r="H3984" s="2"/>
      <c r="I3984" s="2"/>
    </row>
    <row r="3985">
      <c r="A3985" s="2">
        <f>IFERROR(__xludf.DUMMYFUNCTION("""COMPUTED_VALUE"""),119133.0)</f>
        <v>119133</v>
      </c>
      <c r="B3985" s="2" t="str">
        <f>IFERROR(__xludf.DUMMYFUNCTION("""COMPUTED_VALUE"""),"Law")</f>
        <v>Law</v>
      </c>
      <c r="C3985" s="2" t="str">
        <f>IFERROR(__xludf.DUMMYFUNCTION("""COMPUTED_VALUE"""),"Machine Learning")</f>
        <v>Machine Learning</v>
      </c>
      <c r="D3985" s="2" t="str">
        <f>IFERROR(__xludf.DUMMYFUNCTION("""COMPUTED_VALUE"""),"Oakpeak House")</f>
        <v>Oakpeak House</v>
      </c>
      <c r="E3985" s="2">
        <f>IFERROR(__xludf.DUMMYFUNCTION("""COMPUTED_VALUE"""),2.08)</f>
        <v>2.08</v>
      </c>
      <c r="F3985" s="2"/>
      <c r="G3985" s="2"/>
      <c r="H3985" s="2"/>
      <c r="I3985" s="2"/>
    </row>
    <row r="3986">
      <c r="A3986" s="2">
        <f>IFERROR(__xludf.DUMMYFUNCTION("""COMPUTED_VALUE"""),114946.0)</f>
        <v>114946</v>
      </c>
      <c r="B3986" s="2" t="str">
        <f>IFERROR(__xludf.DUMMYFUNCTION("""COMPUTED_VALUE"""),"Law")</f>
        <v>Law</v>
      </c>
      <c r="C3986" s="2" t="str">
        <f>IFERROR(__xludf.DUMMYFUNCTION("""COMPUTED_VALUE"""),"Machine Learning")</f>
        <v>Machine Learning</v>
      </c>
      <c r="D3986" s="2" t="str">
        <f>IFERROR(__xludf.DUMMYFUNCTION("""COMPUTED_VALUE"""),"Oakpeak House")</f>
        <v>Oakpeak House</v>
      </c>
      <c r="E3986" s="2">
        <f>IFERROR(__xludf.DUMMYFUNCTION("""COMPUTED_VALUE"""),1.56)</f>
        <v>1.56</v>
      </c>
      <c r="F3986" s="2"/>
      <c r="G3986" s="2"/>
      <c r="H3986" s="2"/>
      <c r="I3986" s="2"/>
    </row>
    <row r="3987">
      <c r="A3987" s="2">
        <f>IFERROR(__xludf.DUMMYFUNCTION("""COMPUTED_VALUE"""),118832.0)</f>
        <v>118832</v>
      </c>
      <c r="B3987" s="2" t="str">
        <f>IFERROR(__xludf.DUMMYFUNCTION("""COMPUTED_VALUE"""),"Law")</f>
        <v>Law</v>
      </c>
      <c r="C3987" s="2" t="str">
        <f>IFERROR(__xludf.DUMMYFUNCTION("""COMPUTED_VALUE"""),"Machine Learning")</f>
        <v>Machine Learning</v>
      </c>
      <c r="D3987" s="2" t="str">
        <f>IFERROR(__xludf.DUMMYFUNCTION("""COMPUTED_VALUE"""),"Oakpeak House")</f>
        <v>Oakpeak House</v>
      </c>
      <c r="E3987" s="2">
        <f>IFERROR(__xludf.DUMMYFUNCTION("""COMPUTED_VALUE"""),1.99)</f>
        <v>1.99</v>
      </c>
      <c r="F3987" s="2"/>
      <c r="G3987" s="2"/>
      <c r="H3987" s="2"/>
      <c r="I3987" s="2"/>
    </row>
    <row r="3988">
      <c r="A3988" s="2">
        <f>IFERROR(__xludf.DUMMYFUNCTION("""COMPUTED_VALUE"""),86499.0)</f>
        <v>86499</v>
      </c>
      <c r="B3988" s="2" t="str">
        <f>IFERROR(__xludf.DUMMYFUNCTION("""COMPUTED_VALUE"""),"Law")</f>
        <v>Law</v>
      </c>
      <c r="C3988" s="2" t="str">
        <f>IFERROR(__xludf.DUMMYFUNCTION("""COMPUTED_VALUE"""),"Machine Learning")</f>
        <v>Machine Learning</v>
      </c>
      <c r="D3988" s="2" t="str">
        <f>IFERROR(__xludf.DUMMYFUNCTION("""COMPUTED_VALUE"""),"Riverpeak House")</f>
        <v>Riverpeak House</v>
      </c>
      <c r="E3988" s="2">
        <f>IFERROR(__xludf.DUMMYFUNCTION("""COMPUTED_VALUE"""),2.92)</f>
        <v>2.92</v>
      </c>
      <c r="F3988" s="2"/>
      <c r="G3988" s="2"/>
      <c r="H3988" s="2"/>
      <c r="I3988" s="2"/>
    </row>
    <row r="3989">
      <c r="A3989" s="2">
        <f>IFERROR(__xludf.DUMMYFUNCTION("""COMPUTED_VALUE"""),81790.0)</f>
        <v>81790</v>
      </c>
      <c r="B3989" s="2" t="str">
        <f>IFERROR(__xludf.DUMMYFUNCTION("""COMPUTED_VALUE"""),"Law")</f>
        <v>Law</v>
      </c>
      <c r="C3989" s="2" t="str">
        <f>IFERROR(__xludf.DUMMYFUNCTION("""COMPUTED_VALUE"""),"Machine Learning")</f>
        <v>Machine Learning</v>
      </c>
      <c r="D3989" s="2" t="str">
        <f>IFERROR(__xludf.DUMMYFUNCTION("""COMPUTED_VALUE"""),"Riverpeak House")</f>
        <v>Riverpeak House</v>
      </c>
      <c r="E3989" s="2">
        <f>IFERROR(__xludf.DUMMYFUNCTION("""COMPUTED_VALUE"""),1.95)</f>
        <v>1.95</v>
      </c>
      <c r="F3989" s="2"/>
      <c r="G3989" s="2"/>
      <c r="H3989" s="2"/>
      <c r="I3989" s="2"/>
    </row>
    <row r="3990">
      <c r="A3990" s="2">
        <f>IFERROR(__xludf.DUMMYFUNCTION("""COMPUTED_VALUE"""),45898.0)</f>
        <v>45898</v>
      </c>
      <c r="B3990" s="2" t="str">
        <f>IFERROR(__xludf.DUMMYFUNCTION("""COMPUTED_VALUE"""),"Law")</f>
        <v>Law</v>
      </c>
      <c r="C3990" s="2" t="str">
        <f>IFERROR(__xludf.DUMMYFUNCTION("""COMPUTED_VALUE"""),"Machine Learning")</f>
        <v>Machine Learning</v>
      </c>
      <c r="D3990" s="2" t="str">
        <f>IFERROR(__xludf.DUMMYFUNCTION("""COMPUTED_VALUE"""),"Riverpeak House")</f>
        <v>Riverpeak House</v>
      </c>
      <c r="E3990" s="2">
        <f>IFERROR(__xludf.DUMMYFUNCTION("""COMPUTED_VALUE"""),3.66)</f>
        <v>3.66</v>
      </c>
      <c r="F3990" s="2"/>
      <c r="G3990" s="2"/>
      <c r="H3990" s="2"/>
      <c r="I3990" s="2"/>
    </row>
    <row r="3991">
      <c r="A3991" s="2">
        <f>IFERROR(__xludf.DUMMYFUNCTION("""COMPUTED_VALUE"""),24144.0)</f>
        <v>24144</v>
      </c>
      <c r="B3991" s="2" t="str">
        <f>IFERROR(__xludf.DUMMYFUNCTION("""COMPUTED_VALUE"""),"Law")</f>
        <v>Law</v>
      </c>
      <c r="C3991" s="2" t="str">
        <f>IFERROR(__xludf.DUMMYFUNCTION("""COMPUTED_VALUE"""),"Machine Learning")</f>
        <v>Machine Learning</v>
      </c>
      <c r="D3991" s="2" t="str">
        <f>IFERROR(__xludf.DUMMYFUNCTION("""COMPUTED_VALUE"""),"Riverpeak House")</f>
        <v>Riverpeak House</v>
      </c>
      <c r="E3991" s="2">
        <f>IFERROR(__xludf.DUMMYFUNCTION("""COMPUTED_VALUE"""),2.8)</f>
        <v>2.8</v>
      </c>
      <c r="F3991" s="2"/>
      <c r="G3991" s="2"/>
      <c r="H3991" s="2"/>
      <c r="I3991" s="2"/>
    </row>
    <row r="3992">
      <c r="A3992" s="2">
        <f>IFERROR(__xludf.DUMMYFUNCTION("""COMPUTED_VALUE"""),98351.0)</f>
        <v>98351</v>
      </c>
      <c r="B3992" s="2" t="str">
        <f>IFERROR(__xludf.DUMMYFUNCTION("""COMPUTED_VALUE"""),"Law")</f>
        <v>Law</v>
      </c>
      <c r="C3992" s="2" t="str">
        <f>IFERROR(__xludf.DUMMYFUNCTION("""COMPUTED_VALUE"""),"Machine Learning")</f>
        <v>Machine Learning</v>
      </c>
      <c r="D3992" s="2" t="str">
        <f>IFERROR(__xludf.DUMMYFUNCTION("""COMPUTED_VALUE"""),"Riverpeak House")</f>
        <v>Riverpeak House</v>
      </c>
      <c r="E3992" s="2">
        <f>IFERROR(__xludf.DUMMYFUNCTION("""COMPUTED_VALUE"""),4.44)</f>
        <v>4.44</v>
      </c>
      <c r="F3992" s="2"/>
      <c r="G3992" s="2"/>
      <c r="H3992" s="2"/>
      <c r="I3992" s="2"/>
    </row>
    <row r="3993">
      <c r="A3993" s="2">
        <f>IFERROR(__xludf.DUMMYFUNCTION("""COMPUTED_VALUE"""),86481.0)</f>
        <v>86481</v>
      </c>
      <c r="B3993" s="2" t="str">
        <f>IFERROR(__xludf.DUMMYFUNCTION("""COMPUTED_VALUE"""),"Law")</f>
        <v>Law</v>
      </c>
      <c r="C3993" s="2" t="str">
        <f>IFERROR(__xludf.DUMMYFUNCTION("""COMPUTED_VALUE"""),"Machine Learning")</f>
        <v>Machine Learning</v>
      </c>
      <c r="D3993" s="2" t="str">
        <f>IFERROR(__xludf.DUMMYFUNCTION("""COMPUTED_VALUE"""),"Riverpeak House")</f>
        <v>Riverpeak House</v>
      </c>
      <c r="E3993" s="2">
        <f>IFERROR(__xludf.DUMMYFUNCTION("""COMPUTED_VALUE"""),4.02)</f>
        <v>4.02</v>
      </c>
      <c r="F3993" s="2"/>
      <c r="G3993" s="2"/>
      <c r="H3993" s="2"/>
      <c r="I3993" s="2"/>
    </row>
    <row r="3994">
      <c r="A3994" s="2">
        <f>IFERROR(__xludf.DUMMYFUNCTION("""COMPUTED_VALUE"""),115747.0)</f>
        <v>115747</v>
      </c>
      <c r="B3994" s="2" t="str">
        <f>IFERROR(__xludf.DUMMYFUNCTION("""COMPUTED_VALUE"""),"Law")</f>
        <v>Law</v>
      </c>
      <c r="C3994" s="2" t="str">
        <f>IFERROR(__xludf.DUMMYFUNCTION("""COMPUTED_VALUE"""),"Machine Learning")</f>
        <v>Machine Learning</v>
      </c>
      <c r="D3994" s="2" t="str">
        <f>IFERROR(__xludf.DUMMYFUNCTION("""COMPUTED_VALUE"""),"Riverpeak House")</f>
        <v>Riverpeak House</v>
      </c>
      <c r="E3994" s="2">
        <f>IFERROR(__xludf.DUMMYFUNCTION("""COMPUTED_VALUE"""),2.71)</f>
        <v>2.71</v>
      </c>
      <c r="F3994" s="2"/>
      <c r="G3994" s="2"/>
      <c r="H3994" s="2"/>
      <c r="I3994" s="2"/>
    </row>
    <row r="3995">
      <c r="A3995" s="2">
        <f>IFERROR(__xludf.DUMMYFUNCTION("""COMPUTED_VALUE"""),116187.0)</f>
        <v>116187</v>
      </c>
      <c r="B3995" s="2" t="str">
        <f>IFERROR(__xludf.DUMMYFUNCTION("""COMPUTED_VALUE"""),"Law")</f>
        <v>Law</v>
      </c>
      <c r="C3995" s="2" t="str">
        <f>IFERROR(__xludf.DUMMYFUNCTION("""COMPUTED_VALUE"""),"Machine Learning")</f>
        <v>Machine Learning</v>
      </c>
      <c r="D3995" s="2" t="str">
        <f>IFERROR(__xludf.DUMMYFUNCTION("""COMPUTED_VALUE"""),"Riverpeak House")</f>
        <v>Riverpeak House</v>
      </c>
      <c r="E3995" s="2">
        <f>IFERROR(__xludf.DUMMYFUNCTION("""COMPUTED_VALUE"""),2.1)</f>
        <v>2.1</v>
      </c>
      <c r="F3995" s="2"/>
      <c r="G3995" s="2"/>
      <c r="H3995" s="2"/>
      <c r="I3995" s="2"/>
    </row>
    <row r="3996">
      <c r="A3996" s="2">
        <f>IFERROR(__xludf.DUMMYFUNCTION("""COMPUTED_VALUE"""),86162.0)</f>
        <v>86162</v>
      </c>
      <c r="B3996" s="2" t="str">
        <f>IFERROR(__xludf.DUMMYFUNCTION("""COMPUTED_VALUE"""),"Law")</f>
        <v>Law</v>
      </c>
      <c r="C3996" s="2" t="str">
        <f>IFERROR(__xludf.DUMMYFUNCTION("""COMPUTED_VALUE"""),"Machine Learning")</f>
        <v>Machine Learning</v>
      </c>
      <c r="D3996" s="2" t="str">
        <f>IFERROR(__xludf.DUMMYFUNCTION("""COMPUTED_VALUE"""),"Riverpeak House")</f>
        <v>Riverpeak House</v>
      </c>
      <c r="E3996" s="2">
        <f>IFERROR(__xludf.DUMMYFUNCTION("""COMPUTED_VALUE"""),4.4)</f>
        <v>4.4</v>
      </c>
      <c r="F3996" s="2"/>
      <c r="G3996" s="2"/>
      <c r="H3996" s="2"/>
      <c r="I3996" s="2"/>
    </row>
    <row r="3997">
      <c r="A3997" s="2">
        <f>IFERROR(__xludf.DUMMYFUNCTION("""COMPUTED_VALUE"""),90654.0)</f>
        <v>90654</v>
      </c>
      <c r="B3997" s="2" t="str">
        <f>IFERROR(__xludf.DUMMYFUNCTION("""COMPUTED_VALUE"""),"Law")</f>
        <v>Law</v>
      </c>
      <c r="C3997" s="2" t="str">
        <f>IFERROR(__xludf.DUMMYFUNCTION("""COMPUTED_VALUE"""),"Machine Learning")</f>
        <v>Machine Learning</v>
      </c>
      <c r="D3997" s="2" t="str">
        <f>IFERROR(__xludf.DUMMYFUNCTION("""COMPUTED_VALUE"""),"Riverpeak House")</f>
        <v>Riverpeak House</v>
      </c>
      <c r="E3997" s="2">
        <f>IFERROR(__xludf.DUMMYFUNCTION("""COMPUTED_VALUE"""),2.24)</f>
        <v>2.24</v>
      </c>
      <c r="F3997" s="2"/>
      <c r="G3997" s="2"/>
      <c r="H3997" s="2"/>
      <c r="I3997" s="2"/>
    </row>
    <row r="3998">
      <c r="A3998" s="2">
        <f>IFERROR(__xludf.DUMMYFUNCTION("""COMPUTED_VALUE"""),71743.0)</f>
        <v>71743</v>
      </c>
      <c r="B3998" s="2" t="str">
        <f>IFERROR(__xludf.DUMMYFUNCTION("""COMPUTED_VALUE"""),"Law")</f>
        <v>Law</v>
      </c>
      <c r="C3998" s="2" t="str">
        <f>IFERROR(__xludf.DUMMYFUNCTION("""COMPUTED_VALUE"""),"Machine Learning")</f>
        <v>Machine Learning</v>
      </c>
      <c r="D3998" s="2" t="str">
        <f>IFERROR(__xludf.DUMMYFUNCTION("""COMPUTED_VALUE"""),"Riverpeak House")</f>
        <v>Riverpeak House</v>
      </c>
      <c r="E3998" s="2">
        <f>IFERROR(__xludf.DUMMYFUNCTION("""COMPUTED_VALUE"""),1.88)</f>
        <v>1.88</v>
      </c>
      <c r="F3998" s="2"/>
      <c r="G3998" s="2"/>
      <c r="H3998" s="2"/>
      <c r="I3998" s="2"/>
    </row>
    <row r="3999">
      <c r="A3999" s="2">
        <f>IFERROR(__xludf.DUMMYFUNCTION("""COMPUTED_VALUE"""),71744.0)</f>
        <v>71744</v>
      </c>
      <c r="B3999" s="2" t="str">
        <f>IFERROR(__xludf.DUMMYFUNCTION("""COMPUTED_VALUE"""),"Law")</f>
        <v>Law</v>
      </c>
      <c r="C3999" s="2" t="str">
        <f>IFERROR(__xludf.DUMMYFUNCTION("""COMPUTED_VALUE"""),"Machine Learning")</f>
        <v>Machine Learning</v>
      </c>
      <c r="D3999" s="2" t="str">
        <f>IFERROR(__xludf.DUMMYFUNCTION("""COMPUTED_VALUE"""),"Riverpeak House")</f>
        <v>Riverpeak House</v>
      </c>
      <c r="E3999" s="2">
        <f>IFERROR(__xludf.DUMMYFUNCTION("""COMPUTED_VALUE"""),1.52)</f>
        <v>1.52</v>
      </c>
      <c r="F3999" s="2"/>
      <c r="G3999" s="2"/>
      <c r="H3999" s="2"/>
      <c r="I3999" s="2"/>
    </row>
    <row r="4000">
      <c r="A4000" s="2">
        <f>IFERROR(__xludf.DUMMYFUNCTION("""COMPUTED_VALUE"""),88590.0)</f>
        <v>88590</v>
      </c>
      <c r="B4000" s="2" t="str">
        <f>IFERROR(__xludf.DUMMYFUNCTION("""COMPUTED_VALUE"""),"Law")</f>
        <v>Law</v>
      </c>
      <c r="C4000" s="2" t="str">
        <f>IFERROR(__xludf.DUMMYFUNCTION("""COMPUTED_VALUE"""),"Machine Learning")</f>
        <v>Machine Learning</v>
      </c>
      <c r="D4000" s="2" t="str">
        <f>IFERROR(__xludf.DUMMYFUNCTION("""COMPUTED_VALUE"""),"Riverpeak House")</f>
        <v>Riverpeak House</v>
      </c>
      <c r="E4000" s="2">
        <f>IFERROR(__xludf.DUMMYFUNCTION("""COMPUTED_VALUE"""),2.08)</f>
        <v>2.08</v>
      </c>
      <c r="F4000" s="2"/>
      <c r="G4000" s="2"/>
      <c r="H4000" s="2"/>
      <c r="I4000" s="2"/>
    </row>
    <row r="4001">
      <c r="A4001" s="2">
        <f>IFERROR(__xludf.DUMMYFUNCTION("""COMPUTED_VALUE"""),78940.0)</f>
        <v>78940</v>
      </c>
      <c r="B4001" s="2" t="str">
        <f>IFERROR(__xludf.DUMMYFUNCTION("""COMPUTED_VALUE"""),"Law")</f>
        <v>Law</v>
      </c>
      <c r="C4001" s="2" t="str">
        <f>IFERROR(__xludf.DUMMYFUNCTION("""COMPUTED_VALUE"""),"Machine Learning")</f>
        <v>Machine Learning</v>
      </c>
      <c r="D4001" s="2" t="str">
        <f>IFERROR(__xludf.DUMMYFUNCTION("""COMPUTED_VALUE"""),"Riverpeak House")</f>
        <v>Riverpeak House</v>
      </c>
      <c r="E4001" s="2">
        <f>IFERROR(__xludf.DUMMYFUNCTION("""COMPUTED_VALUE"""),2.55)</f>
        <v>2.55</v>
      </c>
      <c r="F4001" s="2"/>
      <c r="G4001" s="2"/>
      <c r="H4001" s="2"/>
      <c r="I4001" s="2"/>
    </row>
    <row r="4002">
      <c r="A4002" s="2">
        <f>IFERROR(__xludf.DUMMYFUNCTION("""COMPUTED_VALUE"""),194752.0)</f>
        <v>194752</v>
      </c>
      <c r="B4002" s="2" t="str">
        <f>IFERROR(__xludf.DUMMYFUNCTION("""COMPUTED_VALUE"""),"Law")</f>
        <v>Law</v>
      </c>
      <c r="C4002" s="2" t="str">
        <f>IFERROR(__xludf.DUMMYFUNCTION("""COMPUTED_VALUE"""),"Machine Learning")</f>
        <v>Machine Learning</v>
      </c>
      <c r="D4002" s="2" t="str">
        <f>IFERROR(__xludf.DUMMYFUNCTION("""COMPUTED_VALUE"""),"Ironpeak House")</f>
        <v>Ironpeak House</v>
      </c>
      <c r="E4002" s="2">
        <f>IFERROR(__xludf.DUMMYFUNCTION("""COMPUTED_VALUE"""),1.91)</f>
        <v>1.91</v>
      </c>
      <c r="F4002" s="2"/>
      <c r="G4002" s="2"/>
      <c r="H4002" s="2"/>
      <c r="I4002" s="2"/>
    </row>
    <row r="4003">
      <c r="A4003" s="2">
        <f>IFERROR(__xludf.DUMMYFUNCTION("""COMPUTED_VALUE"""),194748.0)</f>
        <v>194748</v>
      </c>
      <c r="B4003" s="2" t="str">
        <f>IFERROR(__xludf.DUMMYFUNCTION("""COMPUTED_VALUE"""),"Law")</f>
        <v>Law</v>
      </c>
      <c r="C4003" s="2" t="str">
        <f>IFERROR(__xludf.DUMMYFUNCTION("""COMPUTED_VALUE"""),"Machine Learning")</f>
        <v>Machine Learning</v>
      </c>
      <c r="D4003" s="2" t="str">
        <f>IFERROR(__xludf.DUMMYFUNCTION("""COMPUTED_VALUE"""),"Ironpeak House")</f>
        <v>Ironpeak House</v>
      </c>
      <c r="E4003" s="2">
        <f>IFERROR(__xludf.DUMMYFUNCTION("""COMPUTED_VALUE"""),2.17)</f>
        <v>2.17</v>
      </c>
      <c r="F4003" s="2"/>
      <c r="G4003" s="2"/>
      <c r="H4003" s="2"/>
      <c r="I4003" s="2"/>
    </row>
    <row r="4004">
      <c r="A4004" s="2">
        <f>IFERROR(__xludf.DUMMYFUNCTION("""COMPUTED_VALUE"""),111580.0)</f>
        <v>111580</v>
      </c>
      <c r="B4004" s="2" t="str">
        <f>IFERROR(__xludf.DUMMYFUNCTION("""COMPUTED_VALUE"""),"Law")</f>
        <v>Law</v>
      </c>
      <c r="C4004" s="2" t="str">
        <f>IFERROR(__xludf.DUMMYFUNCTION("""COMPUTED_VALUE"""),"Machine Learning")</f>
        <v>Machine Learning</v>
      </c>
      <c r="D4004" s="2" t="str">
        <f>IFERROR(__xludf.DUMMYFUNCTION("""COMPUTED_VALUE"""),"Ironpeak House")</f>
        <v>Ironpeak House</v>
      </c>
      <c r="E4004" s="2">
        <f>IFERROR(__xludf.DUMMYFUNCTION("""COMPUTED_VALUE"""),2.13)</f>
        <v>2.13</v>
      </c>
      <c r="F4004" s="2"/>
      <c r="G4004" s="2"/>
      <c r="H4004" s="2"/>
      <c r="I4004" s="2"/>
    </row>
    <row r="4005">
      <c r="A4005" s="2">
        <f>IFERROR(__xludf.DUMMYFUNCTION("""COMPUTED_VALUE"""),194741.0)</f>
        <v>194741</v>
      </c>
      <c r="B4005" s="2" t="str">
        <f>IFERROR(__xludf.DUMMYFUNCTION("""COMPUTED_VALUE"""),"Law")</f>
        <v>Law</v>
      </c>
      <c r="C4005" s="2" t="str">
        <f>IFERROR(__xludf.DUMMYFUNCTION("""COMPUTED_VALUE"""),"Machine Learning")</f>
        <v>Machine Learning</v>
      </c>
      <c r="D4005" s="2" t="str">
        <f>IFERROR(__xludf.DUMMYFUNCTION("""COMPUTED_VALUE"""),"Ironpeak House")</f>
        <v>Ironpeak House</v>
      </c>
      <c r="E4005" s="2">
        <f>IFERROR(__xludf.DUMMYFUNCTION("""COMPUTED_VALUE"""),1.97)</f>
        <v>1.97</v>
      </c>
      <c r="F4005" s="2"/>
      <c r="G4005" s="2"/>
      <c r="H4005" s="2"/>
      <c r="I4005" s="2"/>
    </row>
    <row r="4006">
      <c r="A4006" s="2">
        <f>IFERROR(__xludf.DUMMYFUNCTION("""COMPUTED_VALUE"""),107082.0)</f>
        <v>107082</v>
      </c>
      <c r="B4006" s="2" t="str">
        <f>IFERROR(__xludf.DUMMYFUNCTION("""COMPUTED_VALUE"""),"Law")</f>
        <v>Law</v>
      </c>
      <c r="C4006" s="2" t="str">
        <f>IFERROR(__xludf.DUMMYFUNCTION("""COMPUTED_VALUE"""),"Machine Learning")</f>
        <v>Machine Learning</v>
      </c>
      <c r="D4006" s="2" t="str">
        <f>IFERROR(__xludf.DUMMYFUNCTION("""COMPUTED_VALUE"""),"Ironpeak House")</f>
        <v>Ironpeak House</v>
      </c>
      <c r="E4006" s="2">
        <f>IFERROR(__xludf.DUMMYFUNCTION("""COMPUTED_VALUE"""),2.76)</f>
        <v>2.76</v>
      </c>
      <c r="F4006" s="2"/>
      <c r="G4006" s="2"/>
      <c r="H4006" s="2"/>
      <c r="I4006" s="2"/>
    </row>
    <row r="4007">
      <c r="A4007" s="2">
        <f>IFERROR(__xludf.DUMMYFUNCTION("""COMPUTED_VALUE"""),83092.0)</f>
        <v>83092</v>
      </c>
      <c r="B4007" s="2" t="str">
        <f>IFERROR(__xludf.DUMMYFUNCTION("""COMPUTED_VALUE"""),"Law")</f>
        <v>Law</v>
      </c>
      <c r="C4007" s="2" t="str">
        <f>IFERROR(__xludf.DUMMYFUNCTION("""COMPUTED_VALUE"""),"Machine Learning")</f>
        <v>Machine Learning</v>
      </c>
      <c r="D4007" s="2" t="str">
        <f>IFERROR(__xludf.DUMMYFUNCTION("""COMPUTED_VALUE"""),"Ironpeak House")</f>
        <v>Ironpeak House</v>
      </c>
      <c r="E4007" s="2">
        <f>IFERROR(__xludf.DUMMYFUNCTION("""COMPUTED_VALUE"""),2.21)</f>
        <v>2.21</v>
      </c>
      <c r="F4007" s="2"/>
      <c r="G4007" s="2"/>
      <c r="H4007" s="2"/>
      <c r="I4007" s="2"/>
    </row>
    <row r="4008">
      <c r="A4008" s="2">
        <f>IFERROR(__xludf.DUMMYFUNCTION("""COMPUTED_VALUE"""),111581.0)</f>
        <v>111581</v>
      </c>
      <c r="B4008" s="2" t="str">
        <f>IFERROR(__xludf.DUMMYFUNCTION("""COMPUTED_VALUE"""),"Law")</f>
        <v>Law</v>
      </c>
      <c r="C4008" s="2" t="str">
        <f>IFERROR(__xludf.DUMMYFUNCTION("""COMPUTED_VALUE"""),"Machine Learning")</f>
        <v>Machine Learning</v>
      </c>
      <c r="D4008" s="2" t="str">
        <f>IFERROR(__xludf.DUMMYFUNCTION("""COMPUTED_VALUE"""),"Ironpeak House")</f>
        <v>Ironpeak House</v>
      </c>
      <c r="E4008" s="2">
        <f>IFERROR(__xludf.DUMMYFUNCTION("""COMPUTED_VALUE"""),2.04)</f>
        <v>2.04</v>
      </c>
      <c r="F4008" s="2"/>
      <c r="G4008" s="2"/>
      <c r="H4008" s="2"/>
      <c r="I4008" s="2"/>
    </row>
    <row r="4009">
      <c r="A4009" s="2">
        <f>IFERROR(__xludf.DUMMYFUNCTION("""COMPUTED_VALUE"""),88402.0)</f>
        <v>88402</v>
      </c>
      <c r="B4009" s="2" t="str">
        <f>IFERROR(__xludf.DUMMYFUNCTION("""COMPUTED_VALUE"""),"Law")</f>
        <v>Law</v>
      </c>
      <c r="C4009" s="2" t="str">
        <f>IFERROR(__xludf.DUMMYFUNCTION("""COMPUTED_VALUE"""),"Machine Learning")</f>
        <v>Machine Learning</v>
      </c>
      <c r="D4009" s="2" t="str">
        <f>IFERROR(__xludf.DUMMYFUNCTION("""COMPUTED_VALUE"""),"Ironpeak House")</f>
        <v>Ironpeak House</v>
      </c>
      <c r="E4009" s="2">
        <f>IFERROR(__xludf.DUMMYFUNCTION("""COMPUTED_VALUE"""),3.7)</f>
        <v>3.7</v>
      </c>
      <c r="F4009" s="2"/>
      <c r="G4009" s="2"/>
      <c r="H4009" s="2"/>
      <c r="I4009" s="2"/>
    </row>
    <row r="4010">
      <c r="A4010" s="2">
        <f>IFERROR(__xludf.DUMMYFUNCTION("""COMPUTED_VALUE"""),88413.0)</f>
        <v>88413</v>
      </c>
      <c r="B4010" s="2" t="str">
        <f>IFERROR(__xludf.DUMMYFUNCTION("""COMPUTED_VALUE"""),"Law")</f>
        <v>Law</v>
      </c>
      <c r="C4010" s="2" t="str">
        <f>IFERROR(__xludf.DUMMYFUNCTION("""COMPUTED_VALUE"""),"Machine Learning")</f>
        <v>Machine Learning</v>
      </c>
      <c r="D4010" s="2" t="str">
        <f>IFERROR(__xludf.DUMMYFUNCTION("""COMPUTED_VALUE"""),"Ironpeak House")</f>
        <v>Ironpeak House</v>
      </c>
      <c r="E4010" s="2">
        <f>IFERROR(__xludf.DUMMYFUNCTION("""COMPUTED_VALUE"""),3.66)</f>
        <v>3.66</v>
      </c>
      <c r="F4010" s="2"/>
      <c r="G4010" s="2"/>
      <c r="H4010" s="2"/>
      <c r="I4010" s="2"/>
    </row>
    <row r="4011">
      <c r="A4011" s="2">
        <f>IFERROR(__xludf.DUMMYFUNCTION("""COMPUTED_VALUE"""),86560.0)</f>
        <v>86560</v>
      </c>
      <c r="B4011" s="2" t="str">
        <f>IFERROR(__xludf.DUMMYFUNCTION("""COMPUTED_VALUE"""),"Law")</f>
        <v>Law</v>
      </c>
      <c r="C4011" s="2" t="str">
        <f>IFERROR(__xludf.DUMMYFUNCTION("""COMPUTED_VALUE"""),"Machine Learning")</f>
        <v>Machine Learning</v>
      </c>
      <c r="D4011" s="2" t="str">
        <f>IFERROR(__xludf.DUMMYFUNCTION("""COMPUTED_VALUE"""),"Silvertrail House")</f>
        <v>Silvertrail House</v>
      </c>
      <c r="E4011" s="2">
        <f>IFERROR(__xludf.DUMMYFUNCTION("""COMPUTED_VALUE"""),1.64)</f>
        <v>1.64</v>
      </c>
      <c r="F4011" s="2"/>
      <c r="G4011" s="2"/>
      <c r="H4011" s="2"/>
      <c r="I4011" s="2"/>
    </row>
    <row r="4012">
      <c r="A4012" s="2">
        <f>IFERROR(__xludf.DUMMYFUNCTION("""COMPUTED_VALUE"""),127584.0)</f>
        <v>127584</v>
      </c>
      <c r="B4012" s="2" t="str">
        <f>IFERROR(__xludf.DUMMYFUNCTION("""COMPUTED_VALUE"""),"Law")</f>
        <v>Law</v>
      </c>
      <c r="C4012" s="2" t="str">
        <f>IFERROR(__xludf.DUMMYFUNCTION("""COMPUTED_VALUE"""),"Machine Learning")</f>
        <v>Machine Learning</v>
      </c>
      <c r="D4012" s="2" t="str">
        <f>IFERROR(__xludf.DUMMYFUNCTION("""COMPUTED_VALUE"""),"Silvertrail House")</f>
        <v>Silvertrail House</v>
      </c>
      <c r="E4012" s="2">
        <f>IFERROR(__xludf.DUMMYFUNCTION("""COMPUTED_VALUE"""),2.09)</f>
        <v>2.09</v>
      </c>
      <c r="F4012" s="2"/>
      <c r="G4012" s="2"/>
      <c r="H4012" s="2"/>
      <c r="I4012" s="2"/>
    </row>
    <row r="4013">
      <c r="A4013" s="2">
        <f>IFERROR(__xludf.DUMMYFUNCTION("""COMPUTED_VALUE"""),122254.0)</f>
        <v>122254</v>
      </c>
      <c r="B4013" s="2" t="str">
        <f>IFERROR(__xludf.DUMMYFUNCTION("""COMPUTED_VALUE"""),"Law")</f>
        <v>Law</v>
      </c>
      <c r="C4013" s="2" t="str">
        <f>IFERROR(__xludf.DUMMYFUNCTION("""COMPUTED_VALUE"""),"Machine Learning")</f>
        <v>Machine Learning</v>
      </c>
      <c r="D4013" s="2" t="str">
        <f>IFERROR(__xludf.DUMMYFUNCTION("""COMPUTED_VALUE"""),"Silvertrail House")</f>
        <v>Silvertrail House</v>
      </c>
      <c r="E4013" s="2">
        <f>IFERROR(__xludf.DUMMYFUNCTION("""COMPUTED_VALUE"""),2.36)</f>
        <v>2.36</v>
      </c>
      <c r="F4013" s="2"/>
      <c r="G4013" s="2"/>
      <c r="H4013" s="2"/>
      <c r="I4013" s="2"/>
    </row>
    <row r="4014">
      <c r="A4014" s="2">
        <f>IFERROR(__xludf.DUMMYFUNCTION("""COMPUTED_VALUE"""),118849.0)</f>
        <v>118849</v>
      </c>
      <c r="B4014" s="2" t="str">
        <f>IFERROR(__xludf.DUMMYFUNCTION("""COMPUTED_VALUE"""),"Law")</f>
        <v>Law</v>
      </c>
      <c r="C4014" s="2" t="str">
        <f>IFERROR(__xludf.DUMMYFUNCTION("""COMPUTED_VALUE"""),"Machine Learning")</f>
        <v>Machine Learning</v>
      </c>
      <c r="D4014" s="2" t="str">
        <f>IFERROR(__xludf.DUMMYFUNCTION("""COMPUTED_VALUE"""),"Silvertrail House")</f>
        <v>Silvertrail House</v>
      </c>
      <c r="E4014" s="2">
        <f>IFERROR(__xludf.DUMMYFUNCTION("""COMPUTED_VALUE"""),2.52)</f>
        <v>2.52</v>
      </c>
      <c r="F4014" s="2"/>
      <c r="G4014" s="2"/>
      <c r="H4014" s="2"/>
      <c r="I4014" s="2"/>
    </row>
    <row r="4015">
      <c r="A4015" s="2">
        <f>IFERROR(__xludf.DUMMYFUNCTION("""COMPUTED_VALUE"""),107187.0)</f>
        <v>107187</v>
      </c>
      <c r="B4015" s="2" t="str">
        <f>IFERROR(__xludf.DUMMYFUNCTION("""COMPUTED_VALUE"""),"Law")</f>
        <v>Law</v>
      </c>
      <c r="C4015" s="2" t="str">
        <f>IFERROR(__xludf.DUMMYFUNCTION("""COMPUTED_VALUE"""),"Machine Learning")</f>
        <v>Machine Learning</v>
      </c>
      <c r="D4015" s="2" t="str">
        <f>IFERROR(__xludf.DUMMYFUNCTION("""COMPUTED_VALUE"""),"Silvertrail House")</f>
        <v>Silvertrail House</v>
      </c>
      <c r="E4015" s="2">
        <f>IFERROR(__xludf.DUMMYFUNCTION("""COMPUTED_VALUE"""),2.74)</f>
        <v>2.74</v>
      </c>
      <c r="F4015" s="2"/>
      <c r="G4015" s="2"/>
      <c r="H4015" s="2"/>
      <c r="I4015" s="2"/>
    </row>
    <row r="4016">
      <c r="A4016" s="2">
        <f>IFERROR(__xludf.DUMMYFUNCTION("""COMPUTED_VALUE"""),119932.0)</f>
        <v>119932</v>
      </c>
      <c r="B4016" s="2" t="str">
        <f>IFERROR(__xludf.DUMMYFUNCTION("""COMPUTED_VALUE"""),"Law")</f>
        <v>Law</v>
      </c>
      <c r="C4016" s="2" t="str">
        <f>IFERROR(__xludf.DUMMYFUNCTION("""COMPUTED_VALUE"""),"Machine Learning")</f>
        <v>Machine Learning</v>
      </c>
      <c r="D4016" s="2" t="str">
        <f>IFERROR(__xludf.DUMMYFUNCTION("""COMPUTED_VALUE"""),"Silvertrail House")</f>
        <v>Silvertrail House</v>
      </c>
      <c r="E4016" s="2">
        <f>IFERROR(__xludf.DUMMYFUNCTION("""COMPUTED_VALUE"""),2.23)</f>
        <v>2.23</v>
      </c>
      <c r="F4016" s="2"/>
      <c r="G4016" s="2"/>
      <c r="H4016" s="2"/>
      <c r="I4016" s="2"/>
    </row>
    <row r="4017">
      <c r="A4017" s="2">
        <f>IFERROR(__xludf.DUMMYFUNCTION("""COMPUTED_VALUE"""),92045.0)</f>
        <v>92045</v>
      </c>
      <c r="B4017" s="2" t="str">
        <f>IFERROR(__xludf.DUMMYFUNCTION("""COMPUTED_VALUE"""),"Medical")</f>
        <v>Medical</v>
      </c>
      <c r="C4017" s="2" t="str">
        <f>IFERROR(__xludf.DUMMYFUNCTION("""COMPUTED_VALUE"""),"Cybersecurity")</f>
        <v>Cybersecurity</v>
      </c>
      <c r="D4017" s="2" t="str">
        <f>IFERROR(__xludf.DUMMYFUNCTION("""COMPUTED_VALUE"""),"Northtrail House")</f>
        <v>Northtrail House</v>
      </c>
      <c r="E4017" s="2">
        <f>IFERROR(__xludf.DUMMYFUNCTION("""COMPUTED_VALUE"""),2.0)</f>
        <v>2</v>
      </c>
      <c r="F4017" s="2"/>
      <c r="G4017" s="2"/>
      <c r="H4017" s="2"/>
      <c r="I4017" s="2"/>
    </row>
    <row r="4018">
      <c r="A4018" s="2">
        <f>IFERROR(__xludf.DUMMYFUNCTION("""COMPUTED_VALUE"""),82168.0)</f>
        <v>82168</v>
      </c>
      <c r="B4018" s="2" t="str">
        <f>IFERROR(__xludf.DUMMYFUNCTION("""COMPUTED_VALUE"""),"Medical")</f>
        <v>Medical</v>
      </c>
      <c r="C4018" s="2" t="str">
        <f>IFERROR(__xludf.DUMMYFUNCTION("""COMPUTED_VALUE"""),"Cybersecurity")</f>
        <v>Cybersecurity</v>
      </c>
      <c r="D4018" s="2" t="str">
        <f>IFERROR(__xludf.DUMMYFUNCTION("""COMPUTED_VALUE"""),"Northtrail House")</f>
        <v>Northtrail House</v>
      </c>
      <c r="E4018" s="2">
        <f>IFERROR(__xludf.DUMMYFUNCTION("""COMPUTED_VALUE"""),3.06)</f>
        <v>3.06</v>
      </c>
      <c r="F4018" s="2"/>
      <c r="G4018" s="2"/>
      <c r="H4018" s="2"/>
      <c r="I4018" s="2"/>
    </row>
    <row r="4019">
      <c r="A4019" s="2">
        <f>IFERROR(__xludf.DUMMYFUNCTION("""COMPUTED_VALUE"""),79263.0)</f>
        <v>79263</v>
      </c>
      <c r="B4019" s="2" t="str">
        <f>IFERROR(__xludf.DUMMYFUNCTION("""COMPUTED_VALUE"""),"Medical")</f>
        <v>Medical</v>
      </c>
      <c r="C4019" s="2" t="str">
        <f>IFERROR(__xludf.DUMMYFUNCTION("""COMPUTED_VALUE"""),"Cybersecurity")</f>
        <v>Cybersecurity</v>
      </c>
      <c r="D4019" s="2" t="str">
        <f>IFERROR(__xludf.DUMMYFUNCTION("""COMPUTED_VALUE"""),"Northtrail House")</f>
        <v>Northtrail House</v>
      </c>
      <c r="E4019" s="2">
        <f>IFERROR(__xludf.DUMMYFUNCTION("""COMPUTED_VALUE"""),2.24)</f>
        <v>2.24</v>
      </c>
      <c r="F4019" s="2"/>
      <c r="G4019" s="2"/>
      <c r="H4019" s="2"/>
      <c r="I4019" s="2"/>
    </row>
    <row r="4020">
      <c r="A4020" s="2">
        <f>IFERROR(__xludf.DUMMYFUNCTION("""COMPUTED_VALUE"""),92044.0)</f>
        <v>92044</v>
      </c>
      <c r="B4020" s="2" t="str">
        <f>IFERROR(__xludf.DUMMYFUNCTION("""COMPUTED_VALUE"""),"Medical")</f>
        <v>Medical</v>
      </c>
      <c r="C4020" s="2" t="str">
        <f>IFERROR(__xludf.DUMMYFUNCTION("""COMPUTED_VALUE"""),"Cybersecurity")</f>
        <v>Cybersecurity</v>
      </c>
      <c r="D4020" s="2" t="str">
        <f>IFERROR(__xludf.DUMMYFUNCTION("""COMPUTED_VALUE"""),"Northtrail House")</f>
        <v>Northtrail House</v>
      </c>
      <c r="E4020" s="2">
        <f>IFERROR(__xludf.DUMMYFUNCTION("""COMPUTED_VALUE"""),2.06)</f>
        <v>2.06</v>
      </c>
      <c r="F4020" s="2"/>
      <c r="G4020" s="2"/>
      <c r="H4020" s="2"/>
      <c r="I4020" s="2"/>
    </row>
    <row r="4021">
      <c r="A4021" s="2">
        <f>IFERROR(__xludf.DUMMYFUNCTION("""COMPUTED_VALUE"""),114725.0)</f>
        <v>114725</v>
      </c>
      <c r="B4021" s="2" t="str">
        <f>IFERROR(__xludf.DUMMYFUNCTION("""COMPUTED_VALUE"""),"Medical")</f>
        <v>Medical</v>
      </c>
      <c r="C4021" s="2" t="str">
        <f>IFERROR(__xludf.DUMMYFUNCTION("""COMPUTED_VALUE"""),"Cybersecurity")</f>
        <v>Cybersecurity</v>
      </c>
      <c r="D4021" s="2" t="str">
        <f>IFERROR(__xludf.DUMMYFUNCTION("""COMPUTED_VALUE"""),"Northtrail House")</f>
        <v>Northtrail House</v>
      </c>
      <c r="E4021" s="2">
        <f>IFERROR(__xludf.DUMMYFUNCTION("""COMPUTED_VALUE"""),6.29)</f>
        <v>6.29</v>
      </c>
      <c r="F4021" s="2"/>
      <c r="G4021" s="2"/>
      <c r="H4021" s="2"/>
      <c r="I4021" s="2"/>
    </row>
    <row r="4022">
      <c r="A4022" s="2">
        <f>IFERROR(__xludf.DUMMYFUNCTION("""COMPUTED_VALUE"""),50684.0)</f>
        <v>50684</v>
      </c>
      <c r="B4022" s="2" t="str">
        <f>IFERROR(__xludf.DUMMYFUNCTION("""COMPUTED_VALUE"""),"Medical")</f>
        <v>Medical</v>
      </c>
      <c r="C4022" s="2" t="str">
        <f>IFERROR(__xludf.DUMMYFUNCTION("""COMPUTED_VALUE"""),"Cybersecurity")</f>
        <v>Cybersecurity</v>
      </c>
      <c r="D4022" s="2" t="str">
        <f>IFERROR(__xludf.DUMMYFUNCTION("""COMPUTED_VALUE"""),"Harbortrail House")</f>
        <v>Harbortrail House</v>
      </c>
      <c r="E4022" s="2">
        <f>IFERROR(__xludf.DUMMYFUNCTION("""COMPUTED_VALUE"""),2.46)</f>
        <v>2.46</v>
      </c>
      <c r="F4022" s="2"/>
      <c r="G4022" s="2"/>
      <c r="H4022" s="2"/>
      <c r="I4022" s="2"/>
    </row>
    <row r="4023">
      <c r="A4023" s="2">
        <f>IFERROR(__xludf.DUMMYFUNCTION("""COMPUTED_VALUE"""),82167.0)</f>
        <v>82167</v>
      </c>
      <c r="B4023" s="2" t="str">
        <f>IFERROR(__xludf.DUMMYFUNCTION("""COMPUTED_VALUE"""),"Medical")</f>
        <v>Medical</v>
      </c>
      <c r="C4023" s="2" t="str">
        <f>IFERROR(__xludf.DUMMYFUNCTION("""COMPUTED_VALUE"""),"Cybersecurity")</f>
        <v>Cybersecurity</v>
      </c>
      <c r="D4023" s="2" t="str">
        <f>IFERROR(__xludf.DUMMYFUNCTION("""COMPUTED_VALUE"""),"Harbortrail House")</f>
        <v>Harbortrail House</v>
      </c>
      <c r="E4023" s="2">
        <f>IFERROR(__xludf.DUMMYFUNCTION("""COMPUTED_VALUE"""),3.12)</f>
        <v>3.12</v>
      </c>
      <c r="F4023" s="2"/>
      <c r="G4023" s="2"/>
      <c r="H4023" s="2"/>
      <c r="I4023" s="2"/>
    </row>
    <row r="4024">
      <c r="A4024" s="2">
        <f>IFERROR(__xludf.DUMMYFUNCTION("""COMPUTED_VALUE"""),68513.0)</f>
        <v>68513</v>
      </c>
      <c r="B4024" s="2" t="str">
        <f>IFERROR(__xludf.DUMMYFUNCTION("""COMPUTED_VALUE"""),"Medical")</f>
        <v>Medical</v>
      </c>
      <c r="C4024" s="2" t="str">
        <f>IFERROR(__xludf.DUMMYFUNCTION("""COMPUTED_VALUE"""),"Cybersecurity")</f>
        <v>Cybersecurity</v>
      </c>
      <c r="D4024" s="2" t="str">
        <f>IFERROR(__xludf.DUMMYFUNCTION("""COMPUTED_VALUE"""),"Harbortrail House")</f>
        <v>Harbortrail House</v>
      </c>
      <c r="E4024" s="2">
        <f>IFERROR(__xludf.DUMMYFUNCTION("""COMPUTED_VALUE"""),2.02)</f>
        <v>2.02</v>
      </c>
      <c r="F4024" s="2"/>
      <c r="G4024" s="2"/>
      <c r="H4024" s="2"/>
      <c r="I4024" s="2"/>
    </row>
    <row r="4025">
      <c r="A4025" s="2">
        <f>IFERROR(__xludf.DUMMYFUNCTION("""COMPUTED_VALUE"""),76566.0)</f>
        <v>76566</v>
      </c>
      <c r="B4025" s="2" t="str">
        <f>IFERROR(__xludf.DUMMYFUNCTION("""COMPUTED_VALUE"""),"Medical")</f>
        <v>Medical</v>
      </c>
      <c r="C4025" s="2" t="str">
        <f>IFERROR(__xludf.DUMMYFUNCTION("""COMPUTED_VALUE"""),"Cybersecurity")</f>
        <v>Cybersecurity</v>
      </c>
      <c r="D4025" s="2" t="str">
        <f>IFERROR(__xludf.DUMMYFUNCTION("""COMPUTED_VALUE"""),"Harbortrail House")</f>
        <v>Harbortrail House</v>
      </c>
      <c r="E4025" s="2">
        <f>IFERROR(__xludf.DUMMYFUNCTION("""COMPUTED_VALUE"""),6.12)</f>
        <v>6.12</v>
      </c>
      <c r="F4025" s="2"/>
      <c r="G4025" s="2"/>
      <c r="H4025" s="2"/>
      <c r="I4025" s="2"/>
    </row>
    <row r="4026">
      <c r="A4026" s="2">
        <f>IFERROR(__xludf.DUMMYFUNCTION("""COMPUTED_VALUE"""),119088.0)</f>
        <v>119088</v>
      </c>
      <c r="B4026" s="2" t="str">
        <f>IFERROR(__xludf.DUMMYFUNCTION("""COMPUTED_VALUE"""),"Medical")</f>
        <v>Medical</v>
      </c>
      <c r="C4026" s="2" t="str">
        <f>IFERROR(__xludf.DUMMYFUNCTION("""COMPUTED_VALUE"""),"Cybersecurity")</f>
        <v>Cybersecurity</v>
      </c>
      <c r="D4026" s="2" t="str">
        <f>IFERROR(__xludf.DUMMYFUNCTION("""COMPUTED_VALUE"""),"Harbortrail House")</f>
        <v>Harbortrail House</v>
      </c>
      <c r="E4026" s="2">
        <f>IFERROR(__xludf.DUMMYFUNCTION("""COMPUTED_VALUE"""),3.48)</f>
        <v>3.48</v>
      </c>
      <c r="F4026" s="2"/>
      <c r="G4026" s="2"/>
      <c r="H4026" s="2"/>
      <c r="I4026" s="2"/>
    </row>
    <row r="4027">
      <c r="A4027" s="2">
        <f>IFERROR(__xludf.DUMMYFUNCTION("""COMPUTED_VALUE"""),119431.0)</f>
        <v>119431</v>
      </c>
      <c r="B4027" s="2" t="str">
        <f>IFERROR(__xludf.DUMMYFUNCTION("""COMPUTED_VALUE"""),"Medical")</f>
        <v>Medical</v>
      </c>
      <c r="C4027" s="2" t="str">
        <f>IFERROR(__xludf.DUMMYFUNCTION("""COMPUTED_VALUE"""),"Cybersecurity")</f>
        <v>Cybersecurity</v>
      </c>
      <c r="D4027" s="2" t="str">
        <f>IFERROR(__xludf.DUMMYFUNCTION("""COMPUTED_VALUE"""),"Harbortrail House")</f>
        <v>Harbortrail House</v>
      </c>
      <c r="E4027" s="2">
        <f>IFERROR(__xludf.DUMMYFUNCTION("""COMPUTED_VALUE"""),2.19)</f>
        <v>2.19</v>
      </c>
      <c r="F4027" s="2"/>
      <c r="G4027" s="2"/>
      <c r="H4027" s="2"/>
      <c r="I4027" s="2"/>
    </row>
    <row r="4028">
      <c r="A4028" s="2">
        <f>IFERROR(__xludf.DUMMYFUNCTION("""COMPUTED_VALUE"""),101279.0)</f>
        <v>101279</v>
      </c>
      <c r="B4028" s="2" t="str">
        <f>IFERROR(__xludf.DUMMYFUNCTION("""COMPUTED_VALUE"""),"Medical")</f>
        <v>Medical</v>
      </c>
      <c r="C4028" s="2" t="str">
        <f>IFERROR(__xludf.DUMMYFUNCTION("""COMPUTED_VALUE"""),"Cybersecurity")</f>
        <v>Cybersecurity</v>
      </c>
      <c r="D4028" s="2" t="str">
        <f>IFERROR(__xludf.DUMMYFUNCTION("""COMPUTED_VALUE"""),"Cedartrail House")</f>
        <v>Cedartrail House</v>
      </c>
      <c r="E4028" s="2">
        <f>IFERROR(__xludf.DUMMYFUNCTION("""COMPUTED_VALUE"""),0.76)</f>
        <v>0.76</v>
      </c>
      <c r="F4028" s="2"/>
      <c r="G4028" s="2"/>
      <c r="H4028" s="2"/>
      <c r="I4028" s="2"/>
    </row>
    <row r="4029">
      <c r="A4029" s="2">
        <f>IFERROR(__xludf.DUMMYFUNCTION("""COMPUTED_VALUE"""),101270.0)</f>
        <v>101270</v>
      </c>
      <c r="B4029" s="2" t="str">
        <f>IFERROR(__xludf.DUMMYFUNCTION("""COMPUTED_VALUE"""),"Medical")</f>
        <v>Medical</v>
      </c>
      <c r="C4029" s="2" t="str">
        <f>IFERROR(__xludf.DUMMYFUNCTION("""COMPUTED_VALUE"""),"Cybersecurity")</f>
        <v>Cybersecurity</v>
      </c>
      <c r="D4029" s="2" t="str">
        <f>IFERROR(__xludf.DUMMYFUNCTION("""COMPUTED_VALUE"""),"Cedartrail House")</f>
        <v>Cedartrail House</v>
      </c>
      <c r="E4029" s="2">
        <f>IFERROR(__xludf.DUMMYFUNCTION("""COMPUTED_VALUE"""),0.65)</f>
        <v>0.65</v>
      </c>
      <c r="F4029" s="2"/>
      <c r="G4029" s="2"/>
      <c r="H4029" s="2"/>
      <c r="I4029" s="2"/>
    </row>
    <row r="4030">
      <c r="A4030" s="2">
        <f>IFERROR(__xludf.DUMMYFUNCTION("""COMPUTED_VALUE"""),101282.0)</f>
        <v>101282</v>
      </c>
      <c r="B4030" s="2" t="str">
        <f>IFERROR(__xludf.DUMMYFUNCTION("""COMPUTED_VALUE"""),"Medical")</f>
        <v>Medical</v>
      </c>
      <c r="C4030" s="2" t="str">
        <f>IFERROR(__xludf.DUMMYFUNCTION("""COMPUTED_VALUE"""),"Cybersecurity")</f>
        <v>Cybersecurity</v>
      </c>
      <c r="D4030" s="2" t="str">
        <f>IFERROR(__xludf.DUMMYFUNCTION("""COMPUTED_VALUE"""),"Cedartrail House")</f>
        <v>Cedartrail House</v>
      </c>
      <c r="E4030" s="2">
        <f>IFERROR(__xludf.DUMMYFUNCTION("""COMPUTED_VALUE"""),0.82)</f>
        <v>0.82</v>
      </c>
      <c r="F4030" s="2"/>
      <c r="G4030" s="2"/>
      <c r="H4030" s="2"/>
      <c r="I4030" s="2"/>
    </row>
    <row r="4031">
      <c r="A4031" s="2">
        <f>IFERROR(__xludf.DUMMYFUNCTION("""COMPUTED_VALUE"""),70291.0)</f>
        <v>70291</v>
      </c>
      <c r="B4031" s="2" t="str">
        <f>IFERROR(__xludf.DUMMYFUNCTION("""COMPUTED_VALUE"""),"Fiction")</f>
        <v>Fiction</v>
      </c>
      <c r="C4031" s="2" t="str">
        <f>IFERROR(__xludf.DUMMYFUNCTION("""COMPUTED_VALUE"""),"Cloud Computing")</f>
        <v>Cloud Computing</v>
      </c>
      <c r="D4031" s="2" t="str">
        <f>IFERROR(__xludf.DUMMYFUNCTION("""COMPUTED_VALUE"""),"Brighttrail House")</f>
        <v>Brighttrail House</v>
      </c>
      <c r="E4031" s="2">
        <f>IFERROR(__xludf.DUMMYFUNCTION("""COMPUTED_VALUE"""),16.16)</f>
        <v>16.16</v>
      </c>
      <c r="F4031" s="2"/>
      <c r="G4031" s="2"/>
      <c r="H4031" s="2"/>
      <c r="I4031" s="2"/>
    </row>
    <row r="4032">
      <c r="A4032" s="2">
        <f>IFERROR(__xludf.DUMMYFUNCTION("""COMPUTED_VALUE"""),70290.0)</f>
        <v>70290</v>
      </c>
      <c r="B4032" s="2" t="str">
        <f>IFERROR(__xludf.DUMMYFUNCTION("""COMPUTED_VALUE"""),"Fiction")</f>
        <v>Fiction</v>
      </c>
      <c r="C4032" s="2" t="str">
        <f>IFERROR(__xludf.DUMMYFUNCTION("""COMPUTED_VALUE"""),"Cloud Computing")</f>
        <v>Cloud Computing</v>
      </c>
      <c r="D4032" s="2" t="str">
        <f>IFERROR(__xludf.DUMMYFUNCTION("""COMPUTED_VALUE"""),"Brighttrail House")</f>
        <v>Brighttrail House</v>
      </c>
      <c r="E4032" s="2">
        <f>IFERROR(__xludf.DUMMYFUNCTION("""COMPUTED_VALUE"""),6.85)</f>
        <v>6.85</v>
      </c>
      <c r="F4032" s="2"/>
      <c r="G4032" s="2"/>
      <c r="H4032" s="2"/>
      <c r="I4032" s="2"/>
    </row>
    <row r="4033">
      <c r="A4033" s="2">
        <f>IFERROR(__xludf.DUMMYFUNCTION("""COMPUTED_VALUE"""),19188.0)</f>
        <v>19188</v>
      </c>
      <c r="B4033" s="2" t="str">
        <f>IFERROR(__xludf.DUMMYFUNCTION("""COMPUTED_VALUE"""),"Fiction")</f>
        <v>Fiction</v>
      </c>
      <c r="C4033" s="2" t="str">
        <f>IFERROR(__xludf.DUMMYFUNCTION("""COMPUTED_VALUE"""),"Cloud Computing")</f>
        <v>Cloud Computing</v>
      </c>
      <c r="D4033" s="2" t="str">
        <f>IFERROR(__xludf.DUMMYFUNCTION("""COMPUTED_VALUE"""),"Oaktrail House")</f>
        <v>Oaktrail House</v>
      </c>
      <c r="E4033" s="2">
        <f>IFERROR(__xludf.DUMMYFUNCTION("""COMPUTED_VALUE"""),14.74)</f>
        <v>14.74</v>
      </c>
      <c r="F4033" s="2"/>
      <c r="G4033" s="2"/>
      <c r="H4033" s="2"/>
      <c r="I4033" s="2"/>
    </row>
    <row r="4034">
      <c r="A4034" s="2">
        <f>IFERROR(__xludf.DUMMYFUNCTION("""COMPUTED_VALUE"""),41117.0)</f>
        <v>41117</v>
      </c>
      <c r="B4034" s="2" t="str">
        <f>IFERROR(__xludf.DUMMYFUNCTION("""COMPUTED_VALUE"""),"Sports")</f>
        <v>Sports</v>
      </c>
      <c r="C4034" s="2" t="str">
        <f>IFERROR(__xludf.DUMMYFUNCTION("""COMPUTED_VALUE"""),"DevOps")</f>
        <v>DevOps</v>
      </c>
      <c r="D4034" s="2" t="str">
        <f>IFERROR(__xludf.DUMMYFUNCTION("""COMPUTED_VALUE"""),"Rivertrail House")</f>
        <v>Rivertrail House</v>
      </c>
      <c r="E4034" s="2">
        <f>IFERROR(__xludf.DUMMYFUNCTION("""COMPUTED_VALUE"""),4.84)</f>
        <v>4.84</v>
      </c>
      <c r="F4034" s="2"/>
      <c r="G4034" s="2"/>
      <c r="H4034" s="2"/>
      <c r="I4034" s="2"/>
    </row>
    <row r="4035">
      <c r="A4035" s="2">
        <f>IFERROR(__xludf.DUMMYFUNCTION("""COMPUTED_VALUE"""),30625.0)</f>
        <v>30625</v>
      </c>
      <c r="B4035" s="2" t="str">
        <f>IFERROR(__xludf.DUMMYFUNCTION("""COMPUTED_VALUE"""),"Sports")</f>
        <v>Sports</v>
      </c>
      <c r="C4035" s="2" t="str">
        <f>IFERROR(__xludf.DUMMYFUNCTION("""COMPUTED_VALUE"""),"DevOps")</f>
        <v>DevOps</v>
      </c>
      <c r="D4035" s="2" t="str">
        <f>IFERROR(__xludf.DUMMYFUNCTION("""COMPUTED_VALUE"""),"Rivertrail House")</f>
        <v>Rivertrail House</v>
      </c>
      <c r="E4035" s="2">
        <f>IFERROR(__xludf.DUMMYFUNCTION("""COMPUTED_VALUE"""),4.64)</f>
        <v>4.64</v>
      </c>
      <c r="F4035" s="2"/>
      <c r="G4035" s="2"/>
      <c r="H4035" s="2"/>
      <c r="I4035" s="2"/>
    </row>
    <row r="4036">
      <c r="A4036" s="2">
        <f>IFERROR(__xludf.DUMMYFUNCTION("""COMPUTED_VALUE"""),11462.0)</f>
        <v>11462</v>
      </c>
      <c r="B4036" s="2" t="str">
        <f>IFERROR(__xludf.DUMMYFUNCTION("""COMPUTED_VALUE"""),"Sports")</f>
        <v>Sports</v>
      </c>
      <c r="C4036" s="2" t="str">
        <f>IFERROR(__xludf.DUMMYFUNCTION("""COMPUTED_VALUE"""),"DevOps")</f>
        <v>DevOps</v>
      </c>
      <c r="D4036" s="2" t="str">
        <f>IFERROR(__xludf.DUMMYFUNCTION("""COMPUTED_VALUE"""),"Rivertrail House")</f>
        <v>Rivertrail House</v>
      </c>
      <c r="E4036" s="2">
        <f>IFERROR(__xludf.DUMMYFUNCTION("""COMPUTED_VALUE"""),3.1)</f>
        <v>3.1</v>
      </c>
      <c r="F4036" s="2"/>
      <c r="G4036" s="2"/>
      <c r="H4036" s="2"/>
      <c r="I4036" s="2"/>
    </row>
    <row r="4037">
      <c r="A4037" s="2">
        <f>IFERROR(__xludf.DUMMYFUNCTION("""COMPUTED_VALUE"""),120733.0)</f>
        <v>120733</v>
      </c>
      <c r="B4037" s="2" t="str">
        <f>IFERROR(__xludf.DUMMYFUNCTION("""COMPUTED_VALUE"""),"Sports")</f>
        <v>Sports</v>
      </c>
      <c r="C4037" s="2" t="str">
        <f>IFERROR(__xludf.DUMMYFUNCTION("""COMPUTED_VALUE"""),"DevOps")</f>
        <v>DevOps</v>
      </c>
      <c r="D4037" s="2" t="str">
        <f>IFERROR(__xludf.DUMMYFUNCTION("""COMPUTED_VALUE"""),"Rivertrail House")</f>
        <v>Rivertrail House</v>
      </c>
      <c r="E4037" s="2">
        <f>IFERROR(__xludf.DUMMYFUNCTION("""COMPUTED_VALUE"""),3.94)</f>
        <v>3.94</v>
      </c>
      <c r="F4037" s="2"/>
      <c r="G4037" s="2"/>
      <c r="H4037" s="2"/>
      <c r="I4037" s="2"/>
    </row>
    <row r="4038">
      <c r="A4038" s="2">
        <f>IFERROR(__xludf.DUMMYFUNCTION("""COMPUTED_VALUE"""),83487.0)</f>
        <v>83487</v>
      </c>
      <c r="B4038" s="2" t="str">
        <f>IFERROR(__xludf.DUMMYFUNCTION("""COMPUTED_VALUE"""),"Sports")</f>
        <v>Sports</v>
      </c>
      <c r="C4038" s="2" t="str">
        <f>IFERROR(__xludf.DUMMYFUNCTION("""COMPUTED_VALUE"""),"DevOps")</f>
        <v>DevOps</v>
      </c>
      <c r="D4038" s="2" t="str">
        <f>IFERROR(__xludf.DUMMYFUNCTION("""COMPUTED_VALUE"""),"Rivertrail House")</f>
        <v>Rivertrail House</v>
      </c>
      <c r="E4038" s="2">
        <f>IFERROR(__xludf.DUMMYFUNCTION("""COMPUTED_VALUE"""),4.11)</f>
        <v>4.11</v>
      </c>
      <c r="F4038" s="2"/>
      <c r="G4038" s="2"/>
      <c r="H4038" s="2"/>
      <c r="I4038" s="2"/>
    </row>
    <row r="4039">
      <c r="A4039" s="2">
        <f>IFERROR(__xludf.DUMMYFUNCTION("""COMPUTED_VALUE"""),117610.0)</f>
        <v>117610</v>
      </c>
      <c r="B4039" s="2" t="str">
        <f>IFERROR(__xludf.DUMMYFUNCTION("""COMPUTED_VALUE"""),"Sports")</f>
        <v>Sports</v>
      </c>
      <c r="C4039" s="2" t="str">
        <f>IFERROR(__xludf.DUMMYFUNCTION("""COMPUTED_VALUE"""),"DevOps")</f>
        <v>DevOps</v>
      </c>
      <c r="D4039" s="2" t="str">
        <f>IFERROR(__xludf.DUMMYFUNCTION("""COMPUTED_VALUE"""),"Rivertrail House")</f>
        <v>Rivertrail House</v>
      </c>
      <c r="E4039" s="2">
        <f>IFERROR(__xludf.DUMMYFUNCTION("""COMPUTED_VALUE"""),4.79)</f>
        <v>4.79</v>
      </c>
      <c r="F4039" s="2"/>
      <c r="G4039" s="2"/>
      <c r="H4039" s="2"/>
      <c r="I4039" s="2"/>
    </row>
    <row r="4040">
      <c r="A4040" s="2">
        <f>IFERROR(__xludf.DUMMYFUNCTION("""COMPUTED_VALUE"""),112177.0)</f>
        <v>112177</v>
      </c>
      <c r="B4040" s="2" t="str">
        <f>IFERROR(__xludf.DUMMYFUNCTION("""COMPUTED_VALUE"""),"Sports")</f>
        <v>Sports</v>
      </c>
      <c r="C4040" s="2" t="str">
        <f>IFERROR(__xludf.DUMMYFUNCTION("""COMPUTED_VALUE"""),"DevOps")</f>
        <v>DevOps</v>
      </c>
      <c r="D4040" s="2" t="str">
        <f>IFERROR(__xludf.DUMMYFUNCTION("""COMPUTED_VALUE"""),"Rivertrail House")</f>
        <v>Rivertrail House</v>
      </c>
      <c r="E4040" s="2">
        <f>IFERROR(__xludf.DUMMYFUNCTION("""COMPUTED_VALUE"""),4.55)</f>
        <v>4.55</v>
      </c>
      <c r="F4040" s="2"/>
      <c r="G4040" s="2"/>
      <c r="H4040" s="2"/>
      <c r="I4040" s="2"/>
    </row>
    <row r="4041">
      <c r="A4041" s="2">
        <f>IFERROR(__xludf.DUMMYFUNCTION("""COMPUTED_VALUE"""),11412.0)</f>
        <v>11412</v>
      </c>
      <c r="B4041" s="2" t="str">
        <f>IFERROR(__xludf.DUMMYFUNCTION("""COMPUTED_VALUE"""),"Sports")</f>
        <v>Sports</v>
      </c>
      <c r="C4041" s="2" t="str">
        <f>IFERROR(__xludf.DUMMYFUNCTION("""COMPUTED_VALUE"""),"DevOps")</f>
        <v>DevOps</v>
      </c>
      <c r="D4041" s="2" t="str">
        <f>IFERROR(__xludf.DUMMYFUNCTION("""COMPUTED_VALUE"""),"Rivertrail House")</f>
        <v>Rivertrail House</v>
      </c>
      <c r="E4041" s="2">
        <f>IFERROR(__xludf.DUMMYFUNCTION("""COMPUTED_VALUE"""),4.46)</f>
        <v>4.46</v>
      </c>
      <c r="F4041" s="2"/>
      <c r="G4041" s="2"/>
      <c r="H4041" s="2"/>
      <c r="I4041" s="2"/>
    </row>
    <row r="4042">
      <c r="A4042" s="2">
        <f>IFERROR(__xludf.DUMMYFUNCTION("""COMPUTED_VALUE"""),76842.0)</f>
        <v>76842</v>
      </c>
      <c r="B4042" s="2" t="str">
        <f>IFERROR(__xludf.DUMMYFUNCTION("""COMPUTED_VALUE"""),"Sports")</f>
        <v>Sports</v>
      </c>
      <c r="C4042" s="2" t="str">
        <f>IFERROR(__xludf.DUMMYFUNCTION("""COMPUTED_VALUE"""),"DevOps")</f>
        <v>DevOps</v>
      </c>
      <c r="D4042" s="2" t="str">
        <f>IFERROR(__xludf.DUMMYFUNCTION("""COMPUTED_VALUE"""),"Irontrail House")</f>
        <v>Irontrail House</v>
      </c>
      <c r="E4042" s="2">
        <f>IFERROR(__xludf.DUMMYFUNCTION("""COMPUTED_VALUE"""),4.65)</f>
        <v>4.65</v>
      </c>
      <c r="F4042" s="2"/>
      <c r="G4042" s="2"/>
      <c r="H4042" s="2"/>
      <c r="I4042" s="2"/>
    </row>
    <row r="4043">
      <c r="A4043" s="2">
        <f>IFERROR(__xludf.DUMMYFUNCTION("""COMPUTED_VALUE"""),78366.0)</f>
        <v>78366</v>
      </c>
      <c r="B4043" s="2" t="str">
        <f>IFERROR(__xludf.DUMMYFUNCTION("""COMPUTED_VALUE"""),"Sports")</f>
        <v>Sports</v>
      </c>
      <c r="C4043" s="2" t="str">
        <f>IFERROR(__xludf.DUMMYFUNCTION("""COMPUTED_VALUE"""),"DevOps")</f>
        <v>DevOps</v>
      </c>
      <c r="D4043" s="2" t="str">
        <f>IFERROR(__xludf.DUMMYFUNCTION("""COMPUTED_VALUE"""),"Irontrail House")</f>
        <v>Irontrail House</v>
      </c>
      <c r="E4043" s="2">
        <f>IFERROR(__xludf.DUMMYFUNCTION("""COMPUTED_VALUE"""),2.18)</f>
        <v>2.18</v>
      </c>
      <c r="F4043" s="2"/>
      <c r="G4043" s="2"/>
      <c r="H4043" s="2"/>
      <c r="I4043" s="2"/>
    </row>
    <row r="4044">
      <c r="A4044" s="2">
        <f>IFERROR(__xludf.DUMMYFUNCTION("""COMPUTED_VALUE"""),98984.0)</f>
        <v>98984</v>
      </c>
      <c r="B4044" s="2" t="str">
        <f>IFERROR(__xludf.DUMMYFUNCTION("""COMPUTED_VALUE"""),"Sports")</f>
        <v>Sports</v>
      </c>
      <c r="C4044" s="2" t="str">
        <f>IFERROR(__xludf.DUMMYFUNCTION("""COMPUTED_VALUE"""),"DevOps")</f>
        <v>DevOps</v>
      </c>
      <c r="D4044" s="2" t="str">
        <f>IFERROR(__xludf.DUMMYFUNCTION("""COMPUTED_VALUE"""),"Irontrail House")</f>
        <v>Irontrail House</v>
      </c>
      <c r="E4044" s="2">
        <f>IFERROR(__xludf.DUMMYFUNCTION("""COMPUTED_VALUE"""),5.3)</f>
        <v>5.3</v>
      </c>
      <c r="F4044" s="2"/>
      <c r="G4044" s="2"/>
      <c r="H4044" s="2"/>
      <c r="I4044" s="2"/>
    </row>
    <row r="4045">
      <c r="A4045" s="2">
        <f>IFERROR(__xludf.DUMMYFUNCTION("""COMPUTED_VALUE"""),120310.0)</f>
        <v>120310</v>
      </c>
      <c r="B4045" s="2" t="str">
        <f>IFERROR(__xludf.DUMMYFUNCTION("""COMPUTED_VALUE"""),"Sports")</f>
        <v>Sports</v>
      </c>
      <c r="C4045" s="2" t="str">
        <f>IFERROR(__xludf.DUMMYFUNCTION("""COMPUTED_VALUE"""),"DevOps")</f>
        <v>DevOps</v>
      </c>
      <c r="D4045" s="2" t="str">
        <f>IFERROR(__xludf.DUMMYFUNCTION("""COMPUTED_VALUE"""),"Irontrail House")</f>
        <v>Irontrail House</v>
      </c>
      <c r="E4045" s="2">
        <f>IFERROR(__xludf.DUMMYFUNCTION("""COMPUTED_VALUE"""),2.73)</f>
        <v>2.73</v>
      </c>
      <c r="F4045" s="2"/>
      <c r="G4045" s="2"/>
      <c r="H4045" s="2"/>
      <c r="I4045" s="2"/>
    </row>
    <row r="4046">
      <c r="A4046" s="2">
        <f>IFERROR(__xludf.DUMMYFUNCTION("""COMPUTED_VALUE"""),116277.0)</f>
        <v>116277</v>
      </c>
      <c r="B4046" s="2" t="str">
        <f>IFERROR(__xludf.DUMMYFUNCTION("""COMPUTED_VALUE"""),"Sports")</f>
        <v>Sports</v>
      </c>
      <c r="C4046" s="2" t="str">
        <f>IFERROR(__xludf.DUMMYFUNCTION("""COMPUTED_VALUE"""),"DevOps")</f>
        <v>DevOps</v>
      </c>
      <c r="D4046" s="2" t="str">
        <f>IFERROR(__xludf.DUMMYFUNCTION("""COMPUTED_VALUE"""),"Irontrail House")</f>
        <v>Irontrail House</v>
      </c>
      <c r="E4046" s="2">
        <f>IFERROR(__xludf.DUMMYFUNCTION("""COMPUTED_VALUE"""),3.57)</f>
        <v>3.57</v>
      </c>
      <c r="F4046" s="2"/>
      <c r="G4046" s="2"/>
      <c r="H4046" s="2"/>
      <c r="I4046" s="2"/>
    </row>
    <row r="4047">
      <c r="A4047" s="2">
        <f>IFERROR(__xludf.DUMMYFUNCTION("""COMPUTED_VALUE"""),77670.0)</f>
        <v>77670</v>
      </c>
      <c r="B4047" s="2" t="str">
        <f>IFERROR(__xludf.DUMMYFUNCTION("""COMPUTED_VALUE"""),"Sports")</f>
        <v>Sports</v>
      </c>
      <c r="C4047" s="2" t="str">
        <f>IFERROR(__xludf.DUMMYFUNCTION("""COMPUTED_VALUE"""),"DevOps")</f>
        <v>DevOps</v>
      </c>
      <c r="D4047" s="2" t="str">
        <f>IFERROR(__xludf.DUMMYFUNCTION("""COMPUTED_VALUE"""),"Irontrail House")</f>
        <v>Irontrail House</v>
      </c>
      <c r="E4047" s="2">
        <f>IFERROR(__xludf.DUMMYFUNCTION("""COMPUTED_VALUE"""),3.06)</f>
        <v>3.06</v>
      </c>
      <c r="F4047" s="2"/>
      <c r="G4047" s="2"/>
      <c r="H4047" s="2"/>
      <c r="I4047" s="2"/>
    </row>
    <row r="4048">
      <c r="A4048" s="2">
        <f>IFERROR(__xludf.DUMMYFUNCTION("""COMPUTED_VALUE"""),78363.0)</f>
        <v>78363</v>
      </c>
      <c r="B4048" s="2" t="str">
        <f>IFERROR(__xludf.DUMMYFUNCTION("""COMPUTED_VALUE"""),"Sports")</f>
        <v>Sports</v>
      </c>
      <c r="C4048" s="2" t="str">
        <f>IFERROR(__xludf.DUMMYFUNCTION("""COMPUTED_VALUE"""),"DevOps")</f>
        <v>DevOps</v>
      </c>
      <c r="D4048" s="2" t="str">
        <f>IFERROR(__xludf.DUMMYFUNCTION("""COMPUTED_VALUE"""),"Irontrail House")</f>
        <v>Irontrail House</v>
      </c>
      <c r="E4048" s="2">
        <f>IFERROR(__xludf.DUMMYFUNCTION("""COMPUTED_VALUE"""),1.82)</f>
        <v>1.82</v>
      </c>
      <c r="F4048" s="2"/>
      <c r="G4048" s="2"/>
      <c r="H4048" s="2"/>
      <c r="I4048" s="2"/>
    </row>
    <row r="4049">
      <c r="A4049" s="2">
        <f>IFERROR(__xludf.DUMMYFUNCTION("""COMPUTED_VALUE"""),11458.0)</f>
        <v>11458</v>
      </c>
      <c r="B4049" s="2" t="str">
        <f>IFERROR(__xludf.DUMMYFUNCTION("""COMPUTED_VALUE"""),"Sports")</f>
        <v>Sports</v>
      </c>
      <c r="C4049" s="2" t="str">
        <f>IFERROR(__xludf.DUMMYFUNCTION("""COMPUTED_VALUE"""),"DevOps")</f>
        <v>DevOps</v>
      </c>
      <c r="D4049" s="2" t="str">
        <f>IFERROR(__xludf.DUMMYFUNCTION("""COMPUTED_VALUE"""),"Irontrail House")</f>
        <v>Irontrail House</v>
      </c>
      <c r="E4049" s="2">
        <f>IFERROR(__xludf.DUMMYFUNCTION("""COMPUTED_VALUE"""),6.86)</f>
        <v>6.86</v>
      </c>
      <c r="F4049" s="2"/>
      <c r="G4049" s="2"/>
      <c r="H4049" s="2"/>
      <c r="I4049" s="2"/>
    </row>
    <row r="4050">
      <c r="A4050" s="2">
        <f>IFERROR(__xludf.DUMMYFUNCTION("""COMPUTED_VALUE"""),11456.0)</f>
        <v>11456</v>
      </c>
      <c r="B4050" s="2" t="str">
        <f>IFERROR(__xludf.DUMMYFUNCTION("""COMPUTED_VALUE"""),"Sports")</f>
        <v>Sports</v>
      </c>
      <c r="C4050" s="2" t="str">
        <f>IFERROR(__xludf.DUMMYFUNCTION("""COMPUTED_VALUE"""),"DevOps")</f>
        <v>DevOps</v>
      </c>
      <c r="D4050" s="2" t="str">
        <f>IFERROR(__xludf.DUMMYFUNCTION("""COMPUTED_VALUE"""),"Irontrail House")</f>
        <v>Irontrail House</v>
      </c>
      <c r="E4050" s="2">
        <f>IFERROR(__xludf.DUMMYFUNCTION("""COMPUTED_VALUE"""),7.12)</f>
        <v>7.12</v>
      </c>
      <c r="F4050" s="2"/>
      <c r="G4050" s="2"/>
      <c r="H4050" s="2"/>
      <c r="I4050" s="2"/>
    </row>
    <row r="4051">
      <c r="A4051" s="2">
        <f>IFERROR(__xludf.DUMMYFUNCTION("""COMPUTED_VALUE"""),120726.0)</f>
        <v>120726</v>
      </c>
      <c r="B4051" s="2" t="str">
        <f>IFERROR(__xludf.DUMMYFUNCTION("""COMPUTED_VALUE"""),"Sports")</f>
        <v>Sports</v>
      </c>
      <c r="C4051" s="2" t="str">
        <f>IFERROR(__xludf.DUMMYFUNCTION("""COMPUTED_VALUE"""),"DevOps")</f>
        <v>DevOps</v>
      </c>
      <c r="D4051" s="2" t="str">
        <f>IFERROR(__xludf.DUMMYFUNCTION("""COMPUTED_VALUE"""),"Irontrail House")</f>
        <v>Irontrail House</v>
      </c>
      <c r="E4051" s="2">
        <f>IFERROR(__xludf.DUMMYFUNCTION("""COMPUTED_VALUE"""),4.48)</f>
        <v>4.48</v>
      </c>
      <c r="F4051" s="2"/>
      <c r="G4051" s="2"/>
      <c r="H4051" s="2"/>
      <c r="I4051" s="2"/>
    </row>
    <row r="4052">
      <c r="A4052" s="2">
        <f>IFERROR(__xludf.DUMMYFUNCTION("""COMPUTED_VALUE"""),11404.0)</f>
        <v>11404</v>
      </c>
      <c r="B4052" s="2" t="str">
        <f>IFERROR(__xludf.DUMMYFUNCTION("""COMPUTED_VALUE"""),"Sports")</f>
        <v>Sports</v>
      </c>
      <c r="C4052" s="2" t="str">
        <f>IFERROR(__xludf.DUMMYFUNCTION("""COMPUTED_VALUE"""),"DevOps")</f>
        <v>DevOps</v>
      </c>
      <c r="D4052" s="2" t="str">
        <f>IFERROR(__xludf.DUMMYFUNCTION("""COMPUTED_VALUE"""),"Irontrail House")</f>
        <v>Irontrail House</v>
      </c>
      <c r="E4052" s="2">
        <f>IFERROR(__xludf.DUMMYFUNCTION("""COMPUTED_VALUE"""),3.81)</f>
        <v>3.81</v>
      </c>
      <c r="F4052" s="2"/>
      <c r="G4052" s="2"/>
      <c r="H4052" s="2"/>
      <c r="I4052" s="2"/>
    </row>
    <row r="4053">
      <c r="A4053" s="2">
        <f>IFERROR(__xludf.DUMMYFUNCTION("""COMPUTED_VALUE"""),11408.0)</f>
        <v>11408</v>
      </c>
      <c r="B4053" s="2" t="str">
        <f>IFERROR(__xludf.DUMMYFUNCTION("""COMPUTED_VALUE"""),"Sports")</f>
        <v>Sports</v>
      </c>
      <c r="C4053" s="2" t="str">
        <f>IFERROR(__xludf.DUMMYFUNCTION("""COMPUTED_VALUE"""),"DevOps")</f>
        <v>DevOps</v>
      </c>
      <c r="D4053" s="2" t="str">
        <f>IFERROR(__xludf.DUMMYFUNCTION("""COMPUTED_VALUE"""),"Irontrail House")</f>
        <v>Irontrail House</v>
      </c>
      <c r="E4053" s="2">
        <f>IFERROR(__xludf.DUMMYFUNCTION("""COMPUTED_VALUE"""),5.59)</f>
        <v>5.59</v>
      </c>
      <c r="F4053" s="2"/>
      <c r="G4053" s="2"/>
      <c r="H4053" s="2"/>
      <c r="I4053" s="2"/>
    </row>
    <row r="4054">
      <c r="A4054" s="2">
        <f>IFERROR(__xludf.DUMMYFUNCTION("""COMPUTED_VALUE"""),120708.0)</f>
        <v>120708</v>
      </c>
      <c r="B4054" s="2" t="str">
        <f>IFERROR(__xludf.DUMMYFUNCTION("""COMPUTED_VALUE"""),"Sports")</f>
        <v>Sports</v>
      </c>
      <c r="C4054" s="2" t="str">
        <f>IFERROR(__xludf.DUMMYFUNCTION("""COMPUTED_VALUE"""),"DevOps")</f>
        <v>DevOps</v>
      </c>
      <c r="D4054" s="2" t="str">
        <f>IFERROR(__xludf.DUMMYFUNCTION("""COMPUTED_VALUE"""),"Irontrail House")</f>
        <v>Irontrail House</v>
      </c>
      <c r="E4054" s="2">
        <f>IFERROR(__xludf.DUMMYFUNCTION("""COMPUTED_VALUE"""),2.45)</f>
        <v>2.45</v>
      </c>
      <c r="F4054" s="2"/>
      <c r="G4054" s="2"/>
      <c r="H4054" s="2"/>
      <c r="I4054" s="2"/>
    </row>
    <row r="4055">
      <c r="A4055" s="2">
        <f>IFERROR(__xludf.DUMMYFUNCTION("""COMPUTED_VALUE"""),74419.0)</f>
        <v>74419</v>
      </c>
      <c r="B4055" s="2" t="str">
        <f>IFERROR(__xludf.DUMMYFUNCTION("""COMPUTED_VALUE"""),"Sports")</f>
        <v>Sports</v>
      </c>
      <c r="C4055" s="2" t="str">
        <f>IFERROR(__xludf.DUMMYFUNCTION("""COMPUTED_VALUE"""),"DevOps")</f>
        <v>DevOps</v>
      </c>
      <c r="D4055" s="2" t="str">
        <f>IFERROR(__xludf.DUMMYFUNCTION("""COMPUTED_VALUE"""),"Irontrail House")</f>
        <v>Irontrail House</v>
      </c>
      <c r="E4055" s="2">
        <f>IFERROR(__xludf.DUMMYFUNCTION("""COMPUTED_VALUE"""),8.2)</f>
        <v>8.2</v>
      </c>
      <c r="F4055" s="2"/>
      <c r="G4055" s="2"/>
      <c r="H4055" s="2"/>
      <c r="I4055" s="2"/>
    </row>
    <row r="4056">
      <c r="A4056" s="2">
        <f>IFERROR(__xludf.DUMMYFUNCTION("""COMPUTED_VALUE"""),113278.0)</f>
        <v>113278</v>
      </c>
      <c r="B4056" s="2" t="str">
        <f>IFERROR(__xludf.DUMMYFUNCTION("""COMPUTED_VALUE"""),"Sports")</f>
        <v>Sports</v>
      </c>
      <c r="C4056" s="2" t="str">
        <f>IFERROR(__xludf.DUMMYFUNCTION("""COMPUTED_VALUE"""),"DevOps")</f>
        <v>DevOps</v>
      </c>
      <c r="D4056" s="2" t="str">
        <f>IFERROR(__xludf.DUMMYFUNCTION("""COMPUTED_VALUE"""),"Irontrail House")</f>
        <v>Irontrail House</v>
      </c>
      <c r="E4056" s="2">
        <f>IFERROR(__xludf.DUMMYFUNCTION("""COMPUTED_VALUE"""),2.94)</f>
        <v>2.94</v>
      </c>
      <c r="F4056" s="2"/>
      <c r="G4056" s="2"/>
      <c r="H4056" s="2"/>
      <c r="I4056" s="2"/>
    </row>
    <row r="4057">
      <c r="A4057" s="2">
        <f>IFERROR(__xludf.DUMMYFUNCTION("""COMPUTED_VALUE"""),83486.0)</f>
        <v>83486</v>
      </c>
      <c r="B4057" s="2" t="str">
        <f>IFERROR(__xludf.DUMMYFUNCTION("""COMPUTED_VALUE"""),"Sports")</f>
        <v>Sports</v>
      </c>
      <c r="C4057" s="2" t="str">
        <f>IFERROR(__xludf.DUMMYFUNCTION("""COMPUTED_VALUE"""),"DevOps")</f>
        <v>DevOps</v>
      </c>
      <c r="D4057" s="2" t="str">
        <f>IFERROR(__xludf.DUMMYFUNCTION("""COMPUTED_VALUE"""),"Irontrail House")</f>
        <v>Irontrail House</v>
      </c>
      <c r="E4057" s="2">
        <f>IFERROR(__xludf.DUMMYFUNCTION("""COMPUTED_VALUE"""),4.06)</f>
        <v>4.06</v>
      </c>
      <c r="F4057" s="2"/>
      <c r="G4057" s="2"/>
      <c r="H4057" s="2"/>
      <c r="I4057" s="2"/>
    </row>
    <row r="4058">
      <c r="A4058" s="2">
        <f>IFERROR(__xludf.DUMMYFUNCTION("""COMPUTED_VALUE"""),11452.0)</f>
        <v>11452</v>
      </c>
      <c r="B4058" s="2" t="str">
        <f>IFERROR(__xludf.DUMMYFUNCTION("""COMPUTED_VALUE"""),"Sports")</f>
        <v>Sports</v>
      </c>
      <c r="C4058" s="2" t="str">
        <f>IFERROR(__xludf.DUMMYFUNCTION("""COMPUTED_VALUE"""),"DevOps")</f>
        <v>DevOps</v>
      </c>
      <c r="D4058" s="2" t="str">
        <f>IFERROR(__xludf.DUMMYFUNCTION("""COMPUTED_VALUE"""),"Irontrail House")</f>
        <v>Irontrail House</v>
      </c>
      <c r="E4058" s="2">
        <f>IFERROR(__xludf.DUMMYFUNCTION("""COMPUTED_VALUE"""),5.63)</f>
        <v>5.63</v>
      </c>
      <c r="F4058" s="2"/>
      <c r="G4058" s="2"/>
      <c r="H4058" s="2"/>
      <c r="I4058" s="2"/>
    </row>
    <row r="4059">
      <c r="A4059" s="2">
        <f>IFERROR(__xludf.DUMMYFUNCTION("""COMPUTED_VALUE"""),116803.0)</f>
        <v>116803</v>
      </c>
      <c r="B4059" s="2" t="str">
        <f>IFERROR(__xludf.DUMMYFUNCTION("""COMPUTED_VALUE"""),"Sports")</f>
        <v>Sports</v>
      </c>
      <c r="C4059" s="2" t="str">
        <f>IFERROR(__xludf.DUMMYFUNCTION("""COMPUTED_VALUE"""),"DevOps")</f>
        <v>DevOps</v>
      </c>
      <c r="D4059" s="2" t="str">
        <f>IFERROR(__xludf.DUMMYFUNCTION("""COMPUTED_VALUE"""),"Irontrail House")</f>
        <v>Irontrail House</v>
      </c>
      <c r="E4059" s="2">
        <f>IFERROR(__xludf.DUMMYFUNCTION("""COMPUTED_VALUE"""),2.41)</f>
        <v>2.41</v>
      </c>
      <c r="F4059" s="2"/>
      <c r="G4059" s="2"/>
      <c r="H4059" s="2"/>
      <c r="I4059" s="2"/>
    </row>
    <row r="4060">
      <c r="A4060" s="2">
        <f>IFERROR(__xludf.DUMMYFUNCTION("""COMPUTED_VALUE"""),77657.0)</f>
        <v>77657</v>
      </c>
      <c r="B4060" s="2" t="str">
        <f>IFERROR(__xludf.DUMMYFUNCTION("""COMPUTED_VALUE"""),"Sports")</f>
        <v>Sports</v>
      </c>
      <c r="C4060" s="2" t="str">
        <f>IFERROR(__xludf.DUMMYFUNCTION("""COMPUTED_VALUE"""),"DevOps")</f>
        <v>DevOps</v>
      </c>
      <c r="D4060" s="2" t="str">
        <f>IFERROR(__xludf.DUMMYFUNCTION("""COMPUTED_VALUE"""),"Irontrail House")</f>
        <v>Irontrail House</v>
      </c>
      <c r="E4060" s="2">
        <f>IFERROR(__xludf.DUMMYFUNCTION("""COMPUTED_VALUE"""),4.91)</f>
        <v>4.91</v>
      </c>
      <c r="F4060" s="2"/>
      <c r="G4060" s="2"/>
      <c r="H4060" s="2"/>
      <c r="I4060" s="2"/>
    </row>
    <row r="4061">
      <c r="A4061" s="2">
        <f>IFERROR(__xludf.DUMMYFUNCTION("""COMPUTED_VALUE"""),120309.0)</f>
        <v>120309</v>
      </c>
      <c r="B4061" s="2" t="str">
        <f>IFERROR(__xludf.DUMMYFUNCTION("""COMPUTED_VALUE"""),"Sports")</f>
        <v>Sports</v>
      </c>
      <c r="C4061" s="2" t="str">
        <f>IFERROR(__xludf.DUMMYFUNCTION("""COMPUTED_VALUE"""),"DevOps")</f>
        <v>DevOps</v>
      </c>
      <c r="D4061" s="2" t="str">
        <f>IFERROR(__xludf.DUMMYFUNCTION("""COMPUTED_VALUE"""),"Irontrail House")</f>
        <v>Irontrail House</v>
      </c>
      <c r="E4061" s="2">
        <f>IFERROR(__xludf.DUMMYFUNCTION("""COMPUTED_VALUE"""),6.14)</f>
        <v>6.14</v>
      </c>
      <c r="F4061" s="2"/>
      <c r="G4061" s="2"/>
      <c r="H4061" s="2"/>
      <c r="I4061" s="2"/>
    </row>
    <row r="4062">
      <c r="A4062" s="2">
        <f>IFERROR(__xludf.DUMMYFUNCTION("""COMPUTED_VALUE"""),116276.0)</f>
        <v>116276</v>
      </c>
      <c r="B4062" s="2" t="str">
        <f>IFERROR(__xludf.DUMMYFUNCTION("""COMPUTED_VALUE"""),"Sports")</f>
        <v>Sports</v>
      </c>
      <c r="C4062" s="2" t="str">
        <f>IFERROR(__xludf.DUMMYFUNCTION("""COMPUTED_VALUE"""),"DevOps")</f>
        <v>DevOps</v>
      </c>
      <c r="D4062" s="2" t="str">
        <f>IFERROR(__xludf.DUMMYFUNCTION("""COMPUTED_VALUE"""),"Irontrail House")</f>
        <v>Irontrail House</v>
      </c>
      <c r="E4062" s="2">
        <f>IFERROR(__xludf.DUMMYFUNCTION("""COMPUTED_VALUE"""),3.1)</f>
        <v>3.1</v>
      </c>
      <c r="F4062" s="2"/>
      <c r="G4062" s="2"/>
      <c r="H4062" s="2"/>
      <c r="I4062" s="2"/>
    </row>
    <row r="4063">
      <c r="A4063" s="2">
        <f>IFERROR(__xludf.DUMMYFUNCTION("""COMPUTED_VALUE"""),104623.0)</f>
        <v>104623</v>
      </c>
      <c r="B4063" s="2" t="str">
        <f>IFERROR(__xludf.DUMMYFUNCTION("""COMPUTED_VALUE"""),"Sports")</f>
        <v>Sports</v>
      </c>
      <c r="C4063" s="2" t="str">
        <f>IFERROR(__xludf.DUMMYFUNCTION("""COMPUTED_VALUE"""),"DevOps")</f>
        <v>DevOps</v>
      </c>
      <c r="D4063" s="2" t="str">
        <f>IFERROR(__xludf.DUMMYFUNCTION("""COMPUTED_VALUE"""),"Irontrail House")</f>
        <v>Irontrail House</v>
      </c>
      <c r="E4063" s="2">
        <f>IFERROR(__xludf.DUMMYFUNCTION("""COMPUTED_VALUE"""),2.81)</f>
        <v>2.81</v>
      </c>
      <c r="F4063" s="2"/>
      <c r="G4063" s="2"/>
      <c r="H4063" s="2"/>
      <c r="I4063" s="2"/>
    </row>
    <row r="4064">
      <c r="A4064" s="2">
        <f>IFERROR(__xludf.DUMMYFUNCTION("""COMPUTED_VALUE"""),78364.0)</f>
        <v>78364</v>
      </c>
      <c r="B4064" s="2" t="str">
        <f>IFERROR(__xludf.DUMMYFUNCTION("""COMPUTED_VALUE"""),"Sports")</f>
        <v>Sports</v>
      </c>
      <c r="C4064" s="2" t="str">
        <f>IFERROR(__xludf.DUMMYFUNCTION("""COMPUTED_VALUE"""),"DevOps")</f>
        <v>DevOps</v>
      </c>
      <c r="D4064" s="2" t="str">
        <f>IFERROR(__xludf.DUMMYFUNCTION("""COMPUTED_VALUE"""),"Irontrail House")</f>
        <v>Irontrail House</v>
      </c>
      <c r="E4064" s="2">
        <f>IFERROR(__xludf.DUMMYFUNCTION("""COMPUTED_VALUE"""),1.76)</f>
        <v>1.76</v>
      </c>
      <c r="F4064" s="2"/>
      <c r="G4064" s="2"/>
      <c r="H4064" s="2"/>
      <c r="I4064" s="2"/>
    </row>
    <row r="4065">
      <c r="A4065" s="2">
        <f>IFERROR(__xludf.DUMMYFUNCTION("""COMPUTED_VALUE"""),76837.0)</f>
        <v>76837</v>
      </c>
      <c r="B4065" s="2" t="str">
        <f>IFERROR(__xludf.DUMMYFUNCTION("""COMPUTED_VALUE"""),"Sports")</f>
        <v>Sports</v>
      </c>
      <c r="C4065" s="2" t="str">
        <f>IFERROR(__xludf.DUMMYFUNCTION("""COMPUTED_VALUE"""),"DevOps")</f>
        <v>DevOps</v>
      </c>
      <c r="D4065" s="2" t="str">
        <f>IFERROR(__xludf.DUMMYFUNCTION("""COMPUTED_VALUE"""),"Irontrail House")</f>
        <v>Irontrail House</v>
      </c>
      <c r="E4065" s="2">
        <f>IFERROR(__xludf.DUMMYFUNCTION("""COMPUTED_VALUE"""),1.95)</f>
        <v>1.95</v>
      </c>
      <c r="F4065" s="2"/>
      <c r="G4065" s="2"/>
      <c r="H4065" s="2"/>
      <c r="I4065" s="2"/>
    </row>
    <row r="4066">
      <c r="A4066" s="2">
        <f>IFERROR(__xludf.DUMMYFUNCTION("""COMPUTED_VALUE"""),82873.0)</f>
        <v>82873</v>
      </c>
      <c r="B4066" s="2" t="str">
        <f>IFERROR(__xludf.DUMMYFUNCTION("""COMPUTED_VALUE"""),"Sports")</f>
        <v>Sports</v>
      </c>
      <c r="C4066" s="2" t="str">
        <f>IFERROR(__xludf.DUMMYFUNCTION("""COMPUTED_VALUE"""),"DevOps")</f>
        <v>DevOps</v>
      </c>
      <c r="D4066" s="2" t="str">
        <f>IFERROR(__xludf.DUMMYFUNCTION("""COMPUTED_VALUE"""),"Silverbrook House")</f>
        <v>Silverbrook House</v>
      </c>
      <c r="E4066" s="2">
        <f>IFERROR(__xludf.DUMMYFUNCTION("""COMPUTED_VALUE"""),5.17)</f>
        <v>5.17</v>
      </c>
      <c r="F4066" s="2"/>
      <c r="G4066" s="2"/>
      <c r="H4066" s="2"/>
      <c r="I4066" s="2"/>
    </row>
    <row r="4067">
      <c r="A4067" s="2">
        <f>IFERROR(__xludf.DUMMYFUNCTION("""COMPUTED_VALUE"""),110341.0)</f>
        <v>110341</v>
      </c>
      <c r="B4067" s="2" t="str">
        <f>IFERROR(__xludf.DUMMYFUNCTION("""COMPUTED_VALUE"""),"Sports")</f>
        <v>Sports</v>
      </c>
      <c r="C4067" s="2" t="str">
        <f>IFERROR(__xludf.DUMMYFUNCTION("""COMPUTED_VALUE"""),"DevOps")</f>
        <v>DevOps</v>
      </c>
      <c r="D4067" s="2" t="str">
        <f>IFERROR(__xludf.DUMMYFUNCTION("""COMPUTED_VALUE"""),"Silverbrook House")</f>
        <v>Silverbrook House</v>
      </c>
      <c r="E4067" s="2">
        <f>IFERROR(__xludf.DUMMYFUNCTION("""COMPUTED_VALUE"""),6.21)</f>
        <v>6.21</v>
      </c>
      <c r="F4067" s="2"/>
      <c r="G4067" s="2"/>
      <c r="H4067" s="2"/>
      <c r="I4067" s="2"/>
    </row>
    <row r="4068">
      <c r="A4068" s="2">
        <f>IFERROR(__xludf.DUMMYFUNCTION("""COMPUTED_VALUE"""),76874.0)</f>
        <v>76874</v>
      </c>
      <c r="B4068" s="2" t="str">
        <f>IFERROR(__xludf.DUMMYFUNCTION("""COMPUTED_VALUE"""),"Sports")</f>
        <v>Sports</v>
      </c>
      <c r="C4068" s="2" t="str">
        <f>IFERROR(__xludf.DUMMYFUNCTION("""COMPUTED_VALUE"""),"DevOps")</f>
        <v>DevOps</v>
      </c>
      <c r="D4068" s="2" t="str">
        <f>IFERROR(__xludf.DUMMYFUNCTION("""COMPUTED_VALUE"""),"Silverbrook House")</f>
        <v>Silverbrook House</v>
      </c>
      <c r="E4068" s="2">
        <f>IFERROR(__xludf.DUMMYFUNCTION("""COMPUTED_VALUE"""),3.77)</f>
        <v>3.77</v>
      </c>
      <c r="F4068" s="2"/>
      <c r="G4068" s="2"/>
      <c r="H4068" s="2"/>
      <c r="I4068" s="2"/>
    </row>
    <row r="4069">
      <c r="A4069" s="2">
        <f>IFERROR(__xludf.DUMMYFUNCTION("""COMPUTED_VALUE"""),110340.0)</f>
        <v>110340</v>
      </c>
      <c r="B4069" s="2" t="str">
        <f>IFERROR(__xludf.DUMMYFUNCTION("""COMPUTED_VALUE"""),"Sports")</f>
        <v>Sports</v>
      </c>
      <c r="C4069" s="2" t="str">
        <f>IFERROR(__xludf.DUMMYFUNCTION("""COMPUTED_VALUE"""),"DevOps")</f>
        <v>DevOps</v>
      </c>
      <c r="D4069" s="2" t="str">
        <f>IFERROR(__xludf.DUMMYFUNCTION("""COMPUTED_VALUE"""),"Silverbrook House")</f>
        <v>Silverbrook House</v>
      </c>
      <c r="E4069" s="2">
        <f>IFERROR(__xludf.DUMMYFUNCTION("""COMPUTED_VALUE"""),6.47)</f>
        <v>6.47</v>
      </c>
      <c r="F4069" s="2"/>
      <c r="G4069" s="2"/>
      <c r="H4069" s="2"/>
      <c r="I4069" s="2"/>
    </row>
    <row r="4070">
      <c r="A4070" s="2">
        <f>IFERROR(__xludf.DUMMYFUNCTION("""COMPUTED_VALUE"""),44409.0)</f>
        <v>44409</v>
      </c>
      <c r="B4070" s="2" t="str">
        <f>IFERROR(__xludf.DUMMYFUNCTION("""COMPUTED_VALUE"""),"Sports")</f>
        <v>Sports</v>
      </c>
      <c r="C4070" s="2" t="str">
        <f>IFERROR(__xludf.DUMMYFUNCTION("""COMPUTED_VALUE"""),"DevOps")</f>
        <v>DevOps</v>
      </c>
      <c r="D4070" s="2" t="str">
        <f>IFERROR(__xludf.DUMMYFUNCTION("""COMPUTED_VALUE"""),"Silverbrook House")</f>
        <v>Silverbrook House</v>
      </c>
      <c r="E4070" s="2">
        <f>IFERROR(__xludf.DUMMYFUNCTION("""COMPUTED_VALUE"""),5.41)</f>
        <v>5.41</v>
      </c>
      <c r="F4070" s="2"/>
      <c r="G4070" s="2"/>
      <c r="H4070" s="2"/>
      <c r="I4070" s="2"/>
    </row>
    <row r="4071">
      <c r="A4071" s="2">
        <f>IFERROR(__xludf.DUMMYFUNCTION("""COMPUTED_VALUE"""),73831.0)</f>
        <v>73831</v>
      </c>
      <c r="B4071" s="2" t="str">
        <f>IFERROR(__xludf.DUMMYFUNCTION("""COMPUTED_VALUE"""),"Sports")</f>
        <v>Sports</v>
      </c>
      <c r="C4071" s="2" t="str">
        <f>IFERROR(__xludf.DUMMYFUNCTION("""COMPUTED_VALUE"""),"DevOps")</f>
        <v>DevOps</v>
      </c>
      <c r="D4071" s="2" t="str">
        <f>IFERROR(__xludf.DUMMYFUNCTION("""COMPUTED_VALUE"""),"Silverbrook House")</f>
        <v>Silverbrook House</v>
      </c>
      <c r="E4071" s="2">
        <f>IFERROR(__xludf.DUMMYFUNCTION("""COMPUTED_VALUE"""),6.42)</f>
        <v>6.42</v>
      </c>
      <c r="F4071" s="2"/>
      <c r="G4071" s="2"/>
      <c r="H4071" s="2"/>
      <c r="I4071" s="2"/>
    </row>
    <row r="4072">
      <c r="A4072" s="2">
        <f>IFERROR(__xludf.DUMMYFUNCTION("""COMPUTED_VALUE"""),79035.0)</f>
        <v>79035</v>
      </c>
      <c r="B4072" s="2" t="str">
        <f>IFERROR(__xludf.DUMMYFUNCTION("""COMPUTED_VALUE"""),"Sports")</f>
        <v>Sports</v>
      </c>
      <c r="C4072" s="2" t="str">
        <f>IFERROR(__xludf.DUMMYFUNCTION("""COMPUTED_VALUE"""),"DevOps")</f>
        <v>DevOps</v>
      </c>
      <c r="D4072" s="2" t="str">
        <f>IFERROR(__xludf.DUMMYFUNCTION("""COMPUTED_VALUE"""),"Northbrook House")</f>
        <v>Northbrook House</v>
      </c>
      <c r="E4072" s="2">
        <f>IFERROR(__xludf.DUMMYFUNCTION("""COMPUTED_VALUE"""),11.99)</f>
        <v>11.99</v>
      </c>
      <c r="F4072" s="2"/>
      <c r="G4072" s="2"/>
      <c r="H4072" s="2"/>
      <c r="I4072" s="2"/>
    </row>
    <row r="4073">
      <c r="A4073" s="2">
        <f>IFERROR(__xludf.DUMMYFUNCTION("""COMPUTED_VALUE"""),94951.0)</f>
        <v>94951</v>
      </c>
      <c r="B4073" s="2" t="str">
        <f>IFERROR(__xludf.DUMMYFUNCTION("""COMPUTED_VALUE"""),"Sports")</f>
        <v>Sports</v>
      </c>
      <c r="C4073" s="2" t="str">
        <f>IFERROR(__xludf.DUMMYFUNCTION("""COMPUTED_VALUE"""),"DevOps")</f>
        <v>DevOps</v>
      </c>
      <c r="D4073" s="2" t="str">
        <f>IFERROR(__xludf.DUMMYFUNCTION("""COMPUTED_VALUE"""),"Northbrook House")</f>
        <v>Northbrook House</v>
      </c>
      <c r="E4073" s="2">
        <f>IFERROR(__xludf.DUMMYFUNCTION("""COMPUTED_VALUE"""),3.75)</f>
        <v>3.75</v>
      </c>
      <c r="F4073" s="2"/>
      <c r="G4073" s="2"/>
      <c r="H4073" s="2"/>
      <c r="I4073" s="2"/>
    </row>
    <row r="4074">
      <c r="A4074" s="2">
        <f>IFERROR(__xludf.DUMMYFUNCTION("""COMPUTED_VALUE"""),22248.0)</f>
        <v>22248</v>
      </c>
      <c r="B4074" s="2" t="str">
        <f>IFERROR(__xludf.DUMMYFUNCTION("""COMPUTED_VALUE"""),"Self-Help")</f>
        <v>Self-Help</v>
      </c>
      <c r="C4074" s="2" t="str">
        <f>IFERROR(__xludf.DUMMYFUNCTION("""COMPUTED_VALUE"""),"Databases")</f>
        <v>Databases</v>
      </c>
      <c r="D4074" s="2"/>
      <c r="E4074" s="2">
        <f>IFERROR(__xludf.DUMMYFUNCTION("""COMPUTED_VALUE"""),8.45)</f>
        <v>8.45</v>
      </c>
      <c r="F4074" s="2"/>
      <c r="G4074" s="2"/>
      <c r="H4074" s="2"/>
      <c r="I4074" s="2"/>
    </row>
    <row r="4075">
      <c r="A4075" s="2">
        <f>IFERROR(__xludf.DUMMYFUNCTION("""COMPUTED_VALUE"""),16088.0)</f>
        <v>16088</v>
      </c>
      <c r="B4075" s="2" t="str">
        <f>IFERROR(__xludf.DUMMYFUNCTION("""COMPUTED_VALUE"""),"Self-Help")</f>
        <v>Self-Help</v>
      </c>
      <c r="C4075" s="2" t="str">
        <f>IFERROR(__xludf.DUMMYFUNCTION("""COMPUTED_VALUE"""),"Databases")</f>
        <v>Databases</v>
      </c>
      <c r="D4075" s="2"/>
      <c r="E4075" s="2">
        <f>IFERROR(__xludf.DUMMYFUNCTION("""COMPUTED_VALUE"""),9.91)</f>
        <v>9.91</v>
      </c>
      <c r="F4075" s="2"/>
      <c r="G4075" s="2"/>
      <c r="H4075" s="2"/>
      <c r="I4075" s="2"/>
    </row>
    <row r="4076">
      <c r="A4076" s="2">
        <f>IFERROR(__xludf.DUMMYFUNCTION("""COMPUTED_VALUE"""),10571.0)</f>
        <v>10571</v>
      </c>
      <c r="B4076" s="2" t="str">
        <f>IFERROR(__xludf.DUMMYFUNCTION("""COMPUTED_VALUE"""),"Arts")</f>
        <v>Arts</v>
      </c>
      <c r="C4076" s="2" t="str">
        <f>IFERROR(__xludf.DUMMYFUNCTION("""COMPUTED_VALUE"""),"Networking")</f>
        <v>Networking</v>
      </c>
      <c r="D4076" s="2" t="str">
        <f>IFERROR(__xludf.DUMMYFUNCTION("""COMPUTED_VALUE"""),"Harborbrook House")</f>
        <v>Harborbrook House</v>
      </c>
      <c r="E4076" s="2">
        <f>IFERROR(__xludf.DUMMYFUNCTION("""COMPUTED_VALUE"""),6.71)</f>
        <v>6.71</v>
      </c>
      <c r="F4076" s="2"/>
      <c r="G4076" s="2"/>
      <c r="H4076" s="2"/>
      <c r="I4076" s="2"/>
    </row>
    <row r="4077">
      <c r="A4077" s="2">
        <f>IFERROR(__xludf.DUMMYFUNCTION("""COMPUTED_VALUE"""),182012.0)</f>
        <v>182012</v>
      </c>
      <c r="B4077" s="2" t="str">
        <f>IFERROR(__xludf.DUMMYFUNCTION("""COMPUTED_VALUE"""),"Arts")</f>
        <v>Arts</v>
      </c>
      <c r="C4077" s="2" t="str">
        <f>IFERROR(__xludf.DUMMYFUNCTION("""COMPUTED_VALUE"""),"Networking")</f>
        <v>Networking</v>
      </c>
      <c r="D4077" s="2" t="str">
        <f>IFERROR(__xludf.DUMMYFUNCTION("""COMPUTED_VALUE"""),"Harborbrook House")</f>
        <v>Harborbrook House</v>
      </c>
      <c r="E4077" s="2">
        <f>IFERROR(__xludf.DUMMYFUNCTION("""COMPUTED_VALUE"""),5.66)</f>
        <v>5.66</v>
      </c>
      <c r="F4077" s="2"/>
      <c r="G4077" s="2"/>
      <c r="H4077" s="2"/>
      <c r="I4077" s="2"/>
    </row>
    <row r="4078">
      <c r="A4078" s="2">
        <f>IFERROR(__xludf.DUMMYFUNCTION("""COMPUTED_VALUE"""),182013.0)</f>
        <v>182013</v>
      </c>
      <c r="B4078" s="2" t="str">
        <f>IFERROR(__xludf.DUMMYFUNCTION("""COMPUTED_VALUE"""),"Arts")</f>
        <v>Arts</v>
      </c>
      <c r="C4078" s="2" t="str">
        <f>IFERROR(__xludf.DUMMYFUNCTION("""COMPUTED_VALUE"""),"Networking")</f>
        <v>Networking</v>
      </c>
      <c r="D4078" s="2" t="str">
        <f>IFERROR(__xludf.DUMMYFUNCTION("""COMPUTED_VALUE"""),"Harborbrook House")</f>
        <v>Harborbrook House</v>
      </c>
      <c r="E4078" s="2">
        <f>IFERROR(__xludf.DUMMYFUNCTION("""COMPUTED_VALUE"""),10.06)</f>
        <v>10.06</v>
      </c>
      <c r="F4078" s="2"/>
      <c r="G4078" s="2"/>
      <c r="H4078" s="2"/>
      <c r="I4078" s="2"/>
    </row>
    <row r="4079">
      <c r="A4079" s="2">
        <f>IFERROR(__xludf.DUMMYFUNCTION("""COMPUTED_VALUE"""),107400.0)</f>
        <v>107400</v>
      </c>
      <c r="B4079" s="2" t="str">
        <f>IFERROR(__xludf.DUMMYFUNCTION("""COMPUTED_VALUE"""),"Arts")</f>
        <v>Arts</v>
      </c>
      <c r="C4079" s="2" t="str">
        <f>IFERROR(__xludf.DUMMYFUNCTION("""COMPUTED_VALUE"""),"Networking")</f>
        <v>Networking</v>
      </c>
      <c r="D4079" s="2" t="str">
        <f>IFERROR(__xludf.DUMMYFUNCTION("""COMPUTED_VALUE"""),"Harborbrook House")</f>
        <v>Harborbrook House</v>
      </c>
      <c r="E4079" s="2">
        <f>IFERROR(__xludf.DUMMYFUNCTION("""COMPUTED_VALUE"""),4.84)</f>
        <v>4.84</v>
      </c>
      <c r="F4079" s="2"/>
      <c r="G4079" s="2"/>
      <c r="H4079" s="2"/>
      <c r="I4079" s="2"/>
    </row>
    <row r="4080">
      <c r="A4080" s="2">
        <f>IFERROR(__xludf.DUMMYFUNCTION("""COMPUTED_VALUE"""),48623.0)</f>
        <v>48623</v>
      </c>
      <c r="B4080" s="2" t="str">
        <f>IFERROR(__xludf.DUMMYFUNCTION("""COMPUTED_VALUE"""),"Arts")</f>
        <v>Arts</v>
      </c>
      <c r="C4080" s="2" t="str">
        <f>IFERROR(__xludf.DUMMYFUNCTION("""COMPUTED_VALUE"""),"Networking")</f>
        <v>Networking</v>
      </c>
      <c r="D4080" s="2" t="str">
        <f>IFERROR(__xludf.DUMMYFUNCTION("""COMPUTED_VALUE"""),"Harborbrook House")</f>
        <v>Harborbrook House</v>
      </c>
      <c r="E4080" s="2">
        <f>IFERROR(__xludf.DUMMYFUNCTION("""COMPUTED_VALUE"""),13.49)</f>
        <v>13.49</v>
      </c>
      <c r="F4080" s="2"/>
      <c r="G4080" s="2"/>
      <c r="H4080" s="2"/>
      <c r="I4080" s="2"/>
    </row>
    <row r="4081">
      <c r="A4081" s="2">
        <f>IFERROR(__xludf.DUMMYFUNCTION("""COMPUTED_VALUE"""),48616.0)</f>
        <v>48616</v>
      </c>
      <c r="B4081" s="2" t="str">
        <f>IFERROR(__xludf.DUMMYFUNCTION("""COMPUTED_VALUE"""),"Arts")</f>
        <v>Arts</v>
      </c>
      <c r="C4081" s="2" t="str">
        <f>IFERROR(__xludf.DUMMYFUNCTION("""COMPUTED_VALUE"""),"Networking")</f>
        <v>Networking</v>
      </c>
      <c r="D4081" s="2" t="str">
        <f>IFERROR(__xludf.DUMMYFUNCTION("""COMPUTED_VALUE"""),"Harborbrook House")</f>
        <v>Harborbrook House</v>
      </c>
      <c r="E4081" s="2">
        <f>IFERROR(__xludf.DUMMYFUNCTION("""COMPUTED_VALUE"""),6.9)</f>
        <v>6.9</v>
      </c>
      <c r="F4081" s="2"/>
      <c r="G4081" s="2"/>
      <c r="H4081" s="2"/>
      <c r="I4081" s="2"/>
    </row>
    <row r="4082">
      <c r="A4082" s="2">
        <f>IFERROR(__xludf.DUMMYFUNCTION("""COMPUTED_VALUE"""),47515.0)</f>
        <v>47515</v>
      </c>
      <c r="B4082" s="2" t="str">
        <f>IFERROR(__xludf.DUMMYFUNCTION("""COMPUTED_VALUE"""),"Arts")</f>
        <v>Arts</v>
      </c>
      <c r="C4082" s="2" t="str">
        <f>IFERROR(__xludf.DUMMYFUNCTION("""COMPUTED_VALUE"""),"Networking")</f>
        <v>Networking</v>
      </c>
      <c r="D4082" s="2" t="str">
        <f>IFERROR(__xludf.DUMMYFUNCTION("""COMPUTED_VALUE"""),"Harborbrook House")</f>
        <v>Harborbrook House</v>
      </c>
      <c r="E4082" s="2">
        <f>IFERROR(__xludf.DUMMYFUNCTION("""COMPUTED_VALUE"""),10.48)</f>
        <v>10.48</v>
      </c>
      <c r="F4082" s="2"/>
      <c r="G4082" s="2"/>
      <c r="H4082" s="2"/>
      <c r="I4082" s="2"/>
    </row>
    <row r="4083">
      <c r="A4083" s="2">
        <f>IFERROR(__xludf.DUMMYFUNCTION("""COMPUTED_VALUE"""),81915.0)</f>
        <v>81915</v>
      </c>
      <c r="B4083" s="2" t="str">
        <f>IFERROR(__xludf.DUMMYFUNCTION("""COMPUTED_VALUE"""),"Arts")</f>
        <v>Arts</v>
      </c>
      <c r="C4083" s="2" t="str">
        <f>IFERROR(__xludf.DUMMYFUNCTION("""COMPUTED_VALUE"""),"Networking")</f>
        <v>Networking</v>
      </c>
      <c r="D4083" s="2" t="str">
        <f>IFERROR(__xludf.DUMMYFUNCTION("""COMPUTED_VALUE"""),"Harborbrook House")</f>
        <v>Harborbrook House</v>
      </c>
      <c r="E4083" s="2">
        <f>IFERROR(__xludf.DUMMYFUNCTION("""COMPUTED_VALUE"""),3.83)</f>
        <v>3.83</v>
      </c>
      <c r="F4083" s="2"/>
      <c r="G4083" s="2"/>
      <c r="H4083" s="2"/>
      <c r="I4083" s="2"/>
    </row>
    <row r="4084">
      <c r="A4084" s="2">
        <f>IFERROR(__xludf.DUMMYFUNCTION("""COMPUTED_VALUE"""),108920.0)</f>
        <v>108920</v>
      </c>
      <c r="B4084" s="2" t="str">
        <f>IFERROR(__xludf.DUMMYFUNCTION("""COMPUTED_VALUE"""),"Arts")</f>
        <v>Arts</v>
      </c>
      <c r="C4084" s="2" t="str">
        <f>IFERROR(__xludf.DUMMYFUNCTION("""COMPUTED_VALUE"""),"Networking")</f>
        <v>Networking</v>
      </c>
      <c r="D4084" s="2" t="str">
        <f>IFERROR(__xludf.DUMMYFUNCTION("""COMPUTED_VALUE"""),"Harborbrook House")</f>
        <v>Harborbrook House</v>
      </c>
      <c r="E4084" s="2">
        <f>IFERROR(__xludf.DUMMYFUNCTION("""COMPUTED_VALUE"""),9.5)</f>
        <v>9.5</v>
      </c>
      <c r="F4084" s="2"/>
      <c r="G4084" s="2"/>
      <c r="H4084" s="2"/>
      <c r="I4084" s="2"/>
    </row>
    <row r="4085">
      <c r="A4085" s="2">
        <f>IFERROR(__xludf.DUMMYFUNCTION("""COMPUTED_VALUE"""),107406.0)</f>
        <v>107406</v>
      </c>
      <c r="B4085" s="2" t="str">
        <f>IFERROR(__xludf.DUMMYFUNCTION("""COMPUTED_VALUE"""),"Arts")</f>
        <v>Arts</v>
      </c>
      <c r="C4085" s="2" t="str">
        <f>IFERROR(__xludf.DUMMYFUNCTION("""COMPUTED_VALUE"""),"Networking")</f>
        <v>Networking</v>
      </c>
      <c r="D4085" s="2" t="str">
        <f>IFERROR(__xludf.DUMMYFUNCTION("""COMPUTED_VALUE"""),"Harborbrook House")</f>
        <v>Harborbrook House</v>
      </c>
      <c r="E4085" s="2">
        <f>IFERROR(__xludf.DUMMYFUNCTION("""COMPUTED_VALUE"""),5.49)</f>
        <v>5.49</v>
      </c>
      <c r="F4085" s="2"/>
      <c r="G4085" s="2"/>
      <c r="H4085" s="2"/>
      <c r="I4085" s="2"/>
    </row>
    <row r="4086">
      <c r="A4086" s="2">
        <f>IFERROR(__xludf.DUMMYFUNCTION("""COMPUTED_VALUE"""),24074.0)</f>
        <v>24074</v>
      </c>
      <c r="B4086" s="2" t="str">
        <f>IFERROR(__xludf.DUMMYFUNCTION("""COMPUTED_VALUE"""),"Arts")</f>
        <v>Arts</v>
      </c>
      <c r="C4086" s="2" t="str">
        <f>IFERROR(__xludf.DUMMYFUNCTION("""COMPUTED_VALUE"""),"Networking")</f>
        <v>Networking</v>
      </c>
      <c r="D4086" s="2" t="str">
        <f>IFERROR(__xludf.DUMMYFUNCTION("""COMPUTED_VALUE"""),"Harborbrook House")</f>
        <v>Harborbrook House</v>
      </c>
      <c r="E4086" s="2">
        <f>IFERROR(__xludf.DUMMYFUNCTION("""COMPUTED_VALUE"""),11.91)</f>
        <v>11.91</v>
      </c>
      <c r="F4086" s="2"/>
      <c r="G4086" s="2"/>
      <c r="H4086" s="2"/>
      <c r="I4086" s="2"/>
    </row>
    <row r="4087">
      <c r="A4087" s="2">
        <f>IFERROR(__xludf.DUMMYFUNCTION("""COMPUTED_VALUE"""),107388.0)</f>
        <v>107388</v>
      </c>
      <c r="B4087" s="2" t="str">
        <f>IFERROR(__xludf.DUMMYFUNCTION("""COMPUTED_VALUE"""),"Arts")</f>
        <v>Arts</v>
      </c>
      <c r="C4087" s="2" t="str">
        <f>IFERROR(__xludf.DUMMYFUNCTION("""COMPUTED_VALUE"""),"Networking")</f>
        <v>Networking</v>
      </c>
      <c r="D4087" s="2" t="str">
        <f>IFERROR(__xludf.DUMMYFUNCTION("""COMPUTED_VALUE"""),"Harborbrook House")</f>
        <v>Harborbrook House</v>
      </c>
      <c r="E4087" s="2">
        <f>IFERROR(__xludf.DUMMYFUNCTION("""COMPUTED_VALUE"""),5.14)</f>
        <v>5.14</v>
      </c>
      <c r="F4087" s="2"/>
      <c r="G4087" s="2"/>
      <c r="H4087" s="2"/>
      <c r="I4087" s="2"/>
    </row>
    <row r="4088">
      <c r="A4088" s="2">
        <f>IFERROR(__xludf.DUMMYFUNCTION("""COMPUTED_VALUE"""),24075.0)</f>
        <v>24075</v>
      </c>
      <c r="B4088" s="2" t="str">
        <f>IFERROR(__xludf.DUMMYFUNCTION("""COMPUTED_VALUE"""),"Arts")</f>
        <v>Arts</v>
      </c>
      <c r="C4088" s="2" t="str">
        <f>IFERROR(__xludf.DUMMYFUNCTION("""COMPUTED_VALUE"""),"Networking")</f>
        <v>Networking</v>
      </c>
      <c r="D4088" s="2" t="str">
        <f>IFERROR(__xludf.DUMMYFUNCTION("""COMPUTED_VALUE"""),"Harborbrook House")</f>
        <v>Harborbrook House</v>
      </c>
      <c r="E4088" s="2">
        <f>IFERROR(__xludf.DUMMYFUNCTION("""COMPUTED_VALUE"""),12.93)</f>
        <v>12.93</v>
      </c>
      <c r="F4088" s="2"/>
      <c r="G4088" s="2"/>
      <c r="H4088" s="2"/>
      <c r="I4088" s="2"/>
    </row>
    <row r="4089">
      <c r="A4089" s="2">
        <f>IFERROR(__xludf.DUMMYFUNCTION("""COMPUTED_VALUE"""),27639.0)</f>
        <v>27639</v>
      </c>
      <c r="B4089" s="2" t="str">
        <f>IFERROR(__xludf.DUMMYFUNCTION("""COMPUTED_VALUE"""),"Arts")</f>
        <v>Arts</v>
      </c>
      <c r="C4089" s="2" t="str">
        <f>IFERROR(__xludf.DUMMYFUNCTION("""COMPUTED_VALUE"""),"Networking")</f>
        <v>Networking</v>
      </c>
      <c r="D4089" s="2" t="str">
        <f>IFERROR(__xludf.DUMMYFUNCTION("""COMPUTED_VALUE"""),"Harborbrook House")</f>
        <v>Harborbrook House</v>
      </c>
      <c r="E4089" s="2">
        <f>IFERROR(__xludf.DUMMYFUNCTION("""COMPUTED_VALUE"""),16.3)</f>
        <v>16.3</v>
      </c>
      <c r="F4089" s="2"/>
      <c r="G4089" s="2"/>
      <c r="H4089" s="2"/>
      <c r="I4089" s="2"/>
    </row>
    <row r="4090">
      <c r="A4090" s="2">
        <f>IFERROR(__xludf.DUMMYFUNCTION("""COMPUTED_VALUE"""),103632.0)</f>
        <v>103632</v>
      </c>
      <c r="B4090" s="2" t="str">
        <f>IFERROR(__xludf.DUMMYFUNCTION("""COMPUTED_VALUE"""),"Arts")</f>
        <v>Arts</v>
      </c>
      <c r="C4090" s="2" t="str">
        <f>IFERROR(__xludf.DUMMYFUNCTION("""COMPUTED_VALUE"""),"Networking")</f>
        <v>Networking</v>
      </c>
      <c r="D4090" s="2" t="str">
        <f>IFERROR(__xludf.DUMMYFUNCTION("""COMPUTED_VALUE"""),"Harborbrook House")</f>
        <v>Harborbrook House</v>
      </c>
      <c r="E4090" s="2">
        <f>IFERROR(__xludf.DUMMYFUNCTION("""COMPUTED_VALUE"""),5.57)</f>
        <v>5.57</v>
      </c>
      <c r="F4090" s="2"/>
      <c r="G4090" s="2"/>
      <c r="H4090" s="2"/>
      <c r="I4090" s="2"/>
    </row>
    <row r="4091">
      <c r="A4091" s="2">
        <f>IFERROR(__xludf.DUMMYFUNCTION("""COMPUTED_VALUE"""),10569.0)</f>
        <v>10569</v>
      </c>
      <c r="B4091" s="2" t="str">
        <f>IFERROR(__xludf.DUMMYFUNCTION("""COMPUTED_VALUE"""),"Arts")</f>
        <v>Arts</v>
      </c>
      <c r="C4091" s="2" t="str">
        <f>IFERROR(__xludf.DUMMYFUNCTION("""COMPUTED_VALUE"""),"Networking")</f>
        <v>Networking</v>
      </c>
      <c r="D4091" s="2" t="str">
        <f>IFERROR(__xludf.DUMMYFUNCTION("""COMPUTED_VALUE"""),"Harborbrook House")</f>
        <v>Harborbrook House</v>
      </c>
      <c r="E4091" s="2">
        <f>IFERROR(__xludf.DUMMYFUNCTION("""COMPUTED_VALUE"""),6.23)</f>
        <v>6.23</v>
      </c>
      <c r="F4091" s="2"/>
      <c r="G4091" s="2"/>
      <c r="H4091" s="2"/>
      <c r="I4091" s="2"/>
    </row>
    <row r="4092">
      <c r="A4092" s="2">
        <f>IFERROR(__xludf.DUMMYFUNCTION("""COMPUTED_VALUE"""),182007.0)</f>
        <v>182007</v>
      </c>
      <c r="B4092" s="2" t="str">
        <f>IFERROR(__xludf.DUMMYFUNCTION("""COMPUTED_VALUE"""),"Arts")</f>
        <v>Arts</v>
      </c>
      <c r="C4092" s="2" t="str">
        <f>IFERROR(__xludf.DUMMYFUNCTION("""COMPUTED_VALUE"""),"Networking")</f>
        <v>Networking</v>
      </c>
      <c r="D4092" s="2" t="str">
        <f>IFERROR(__xludf.DUMMYFUNCTION("""COMPUTED_VALUE"""),"Harborbrook House")</f>
        <v>Harborbrook House</v>
      </c>
      <c r="E4092" s="2">
        <f>IFERROR(__xludf.DUMMYFUNCTION("""COMPUTED_VALUE"""),5.91)</f>
        <v>5.91</v>
      </c>
      <c r="F4092" s="2"/>
      <c r="G4092" s="2"/>
      <c r="H4092" s="2"/>
      <c r="I4092" s="2"/>
    </row>
    <row r="4093">
      <c r="A4093" s="2">
        <f>IFERROR(__xludf.DUMMYFUNCTION("""COMPUTED_VALUE"""),182009.0)</f>
        <v>182009</v>
      </c>
      <c r="B4093" s="2" t="str">
        <f>IFERROR(__xludf.DUMMYFUNCTION("""COMPUTED_VALUE"""),"Arts")</f>
        <v>Arts</v>
      </c>
      <c r="C4093" s="2" t="str">
        <f>IFERROR(__xludf.DUMMYFUNCTION("""COMPUTED_VALUE"""),"Networking")</f>
        <v>Networking</v>
      </c>
      <c r="D4093" s="2" t="str">
        <f>IFERROR(__xludf.DUMMYFUNCTION("""COMPUTED_VALUE"""),"Harborbrook House")</f>
        <v>Harborbrook House</v>
      </c>
      <c r="E4093" s="2">
        <f>IFERROR(__xludf.DUMMYFUNCTION("""COMPUTED_VALUE"""),10.63)</f>
        <v>10.63</v>
      </c>
      <c r="F4093" s="2"/>
      <c r="G4093" s="2"/>
      <c r="H4093" s="2"/>
      <c r="I4093" s="2"/>
    </row>
    <row r="4094">
      <c r="A4094" s="2">
        <f>IFERROR(__xludf.DUMMYFUNCTION("""COMPUTED_VALUE"""),103630.0)</f>
        <v>103630</v>
      </c>
      <c r="B4094" s="2" t="str">
        <f>IFERROR(__xludf.DUMMYFUNCTION("""COMPUTED_VALUE"""),"Arts")</f>
        <v>Arts</v>
      </c>
      <c r="C4094" s="2" t="str">
        <f>IFERROR(__xludf.DUMMYFUNCTION("""COMPUTED_VALUE"""),"Networking")</f>
        <v>Networking</v>
      </c>
      <c r="D4094" s="2" t="str">
        <f>IFERROR(__xludf.DUMMYFUNCTION("""COMPUTED_VALUE"""),"Harborbrook House")</f>
        <v>Harborbrook House</v>
      </c>
      <c r="E4094" s="2">
        <f>IFERROR(__xludf.DUMMYFUNCTION("""COMPUTED_VALUE"""),5.41)</f>
        <v>5.41</v>
      </c>
      <c r="F4094" s="2"/>
      <c r="G4094" s="2"/>
      <c r="H4094" s="2"/>
      <c r="I4094" s="2"/>
    </row>
    <row r="4095">
      <c r="A4095" s="2">
        <f>IFERROR(__xludf.DUMMYFUNCTION("""COMPUTED_VALUE"""),47514.0)</f>
        <v>47514</v>
      </c>
      <c r="B4095" s="2" t="str">
        <f>IFERROR(__xludf.DUMMYFUNCTION("""COMPUTED_VALUE"""),"Arts")</f>
        <v>Arts</v>
      </c>
      <c r="C4095" s="2" t="str">
        <f>IFERROR(__xludf.DUMMYFUNCTION("""COMPUTED_VALUE"""),"Networking")</f>
        <v>Networking</v>
      </c>
      <c r="D4095" s="2" t="str">
        <f>IFERROR(__xludf.DUMMYFUNCTION("""COMPUTED_VALUE"""),"Harborbrook House")</f>
        <v>Harborbrook House</v>
      </c>
      <c r="E4095" s="2">
        <f>IFERROR(__xludf.DUMMYFUNCTION("""COMPUTED_VALUE"""),5.1)</f>
        <v>5.1</v>
      </c>
      <c r="F4095" s="2"/>
      <c r="G4095" s="2"/>
      <c r="H4095" s="2"/>
      <c r="I4095" s="2"/>
    </row>
    <row r="4096">
      <c r="A4096" s="2">
        <f>IFERROR(__xludf.DUMMYFUNCTION("""COMPUTED_VALUE"""),86370.0)</f>
        <v>86370</v>
      </c>
      <c r="B4096" s="2" t="str">
        <f>IFERROR(__xludf.DUMMYFUNCTION("""COMPUTED_VALUE"""),"Arts")</f>
        <v>Arts</v>
      </c>
      <c r="C4096" s="2" t="str">
        <f>IFERROR(__xludf.DUMMYFUNCTION("""COMPUTED_VALUE"""),"Networking")</f>
        <v>Networking</v>
      </c>
      <c r="D4096" s="2" t="str">
        <f>IFERROR(__xludf.DUMMYFUNCTION("""COMPUTED_VALUE"""),"Cedarbrook House")</f>
        <v>Cedarbrook House</v>
      </c>
      <c r="E4096" s="2">
        <f>IFERROR(__xludf.DUMMYFUNCTION("""COMPUTED_VALUE"""),3.03)</f>
        <v>3.03</v>
      </c>
      <c r="F4096" s="2"/>
      <c r="G4096" s="2"/>
      <c r="H4096" s="2"/>
      <c r="I4096" s="2"/>
    </row>
    <row r="4097">
      <c r="A4097" s="2">
        <f>IFERROR(__xludf.DUMMYFUNCTION("""COMPUTED_VALUE"""),86368.0)</f>
        <v>86368</v>
      </c>
      <c r="B4097" s="2" t="str">
        <f>IFERROR(__xludf.DUMMYFUNCTION("""COMPUTED_VALUE"""),"Arts")</f>
        <v>Arts</v>
      </c>
      <c r="C4097" s="2" t="str">
        <f>IFERROR(__xludf.DUMMYFUNCTION("""COMPUTED_VALUE"""),"Networking")</f>
        <v>Networking</v>
      </c>
      <c r="D4097" s="2" t="str">
        <f>IFERROR(__xludf.DUMMYFUNCTION("""COMPUTED_VALUE"""),"Cedarbrook House")</f>
        <v>Cedarbrook House</v>
      </c>
      <c r="E4097" s="2">
        <f>IFERROR(__xludf.DUMMYFUNCTION("""COMPUTED_VALUE"""),2.91)</f>
        <v>2.91</v>
      </c>
      <c r="F4097" s="2"/>
      <c r="G4097" s="2"/>
      <c r="H4097" s="2"/>
      <c r="I4097" s="2"/>
    </row>
    <row r="4098">
      <c r="A4098" s="2">
        <f>IFERROR(__xludf.DUMMYFUNCTION("""COMPUTED_VALUE"""),103174.0)</f>
        <v>103174</v>
      </c>
      <c r="B4098" s="2" t="str">
        <f>IFERROR(__xludf.DUMMYFUNCTION("""COMPUTED_VALUE"""),"Arts")</f>
        <v>Arts</v>
      </c>
      <c r="C4098" s="2" t="str">
        <f>IFERROR(__xludf.DUMMYFUNCTION("""COMPUTED_VALUE"""),"Networking")</f>
        <v>Networking</v>
      </c>
      <c r="D4098" s="2" t="str">
        <f>IFERROR(__xludf.DUMMYFUNCTION("""COMPUTED_VALUE"""),"Cedarbrook House")</f>
        <v>Cedarbrook House</v>
      </c>
      <c r="E4098" s="2">
        <f>IFERROR(__xludf.DUMMYFUNCTION("""COMPUTED_VALUE"""),3.58)</f>
        <v>3.58</v>
      </c>
      <c r="F4098" s="2"/>
      <c r="G4098" s="2"/>
      <c r="H4098" s="2"/>
      <c r="I4098" s="2"/>
    </row>
    <row r="4099">
      <c r="A4099" s="2">
        <f>IFERROR(__xludf.DUMMYFUNCTION("""COMPUTED_VALUE"""),48632.0)</f>
        <v>48632</v>
      </c>
      <c r="B4099" s="2" t="str">
        <f>IFERROR(__xludf.DUMMYFUNCTION("""COMPUTED_VALUE"""),"Arts")</f>
        <v>Arts</v>
      </c>
      <c r="C4099" s="2" t="str">
        <f>IFERROR(__xludf.DUMMYFUNCTION("""COMPUTED_VALUE"""),"Networking")</f>
        <v>Networking</v>
      </c>
      <c r="D4099" s="2" t="str">
        <f>IFERROR(__xludf.DUMMYFUNCTION("""COMPUTED_VALUE"""),"Brightbrook House")</f>
        <v>Brightbrook House</v>
      </c>
      <c r="E4099" s="2">
        <f>IFERROR(__xludf.DUMMYFUNCTION("""COMPUTED_VALUE"""),2.94)</f>
        <v>2.94</v>
      </c>
      <c r="F4099" s="2"/>
      <c r="G4099" s="2"/>
      <c r="H4099" s="2"/>
      <c r="I4099" s="2"/>
    </row>
    <row r="4100">
      <c r="A4100" s="2">
        <f>IFERROR(__xludf.DUMMYFUNCTION("""COMPUTED_VALUE"""),48630.0)</f>
        <v>48630</v>
      </c>
      <c r="B4100" s="2" t="str">
        <f>IFERROR(__xludf.DUMMYFUNCTION("""COMPUTED_VALUE"""),"Arts")</f>
        <v>Arts</v>
      </c>
      <c r="C4100" s="2" t="str">
        <f>IFERROR(__xludf.DUMMYFUNCTION("""COMPUTED_VALUE"""),"Networking")</f>
        <v>Networking</v>
      </c>
      <c r="D4100" s="2" t="str">
        <f>IFERROR(__xludf.DUMMYFUNCTION("""COMPUTED_VALUE"""),"Brightbrook House")</f>
        <v>Brightbrook House</v>
      </c>
      <c r="E4100" s="2">
        <f>IFERROR(__xludf.DUMMYFUNCTION("""COMPUTED_VALUE"""),5.68)</f>
        <v>5.68</v>
      </c>
      <c r="F4100" s="2"/>
      <c r="G4100" s="2"/>
      <c r="H4100" s="2"/>
      <c r="I4100" s="2"/>
    </row>
    <row r="4101">
      <c r="A4101" s="2">
        <f>IFERROR(__xludf.DUMMYFUNCTION("""COMPUTED_VALUE"""),48624.0)</f>
        <v>48624</v>
      </c>
      <c r="B4101" s="2" t="str">
        <f>IFERROR(__xludf.DUMMYFUNCTION("""COMPUTED_VALUE"""),"Arts")</f>
        <v>Arts</v>
      </c>
      <c r="C4101" s="2" t="str">
        <f>IFERROR(__xludf.DUMMYFUNCTION("""COMPUTED_VALUE"""),"Networking")</f>
        <v>Networking</v>
      </c>
      <c r="D4101" s="2" t="str">
        <f>IFERROR(__xludf.DUMMYFUNCTION("""COMPUTED_VALUE"""),"Brightbrook House")</f>
        <v>Brightbrook House</v>
      </c>
      <c r="E4101" s="2">
        <f>IFERROR(__xludf.DUMMYFUNCTION("""COMPUTED_VALUE"""),5.71)</f>
        <v>5.71</v>
      </c>
      <c r="F4101" s="2"/>
      <c r="G4101" s="2"/>
      <c r="H4101" s="2"/>
      <c r="I4101" s="2"/>
    </row>
    <row r="4102">
      <c r="A4102" s="2">
        <f>IFERROR(__xludf.DUMMYFUNCTION("""COMPUTED_VALUE"""),10573.0)</f>
        <v>10573</v>
      </c>
      <c r="B4102" s="2" t="str">
        <f>IFERROR(__xludf.DUMMYFUNCTION("""COMPUTED_VALUE"""),"Arts")</f>
        <v>Arts</v>
      </c>
      <c r="C4102" s="2" t="str">
        <f>IFERROR(__xludf.DUMMYFUNCTION("""COMPUTED_VALUE"""),"Networking")</f>
        <v>Networking</v>
      </c>
      <c r="D4102" s="2" t="str">
        <f>IFERROR(__xludf.DUMMYFUNCTION("""COMPUTED_VALUE"""),"Brightbrook House")</f>
        <v>Brightbrook House</v>
      </c>
      <c r="E4102" s="2">
        <f>IFERROR(__xludf.DUMMYFUNCTION("""COMPUTED_VALUE"""),3.03)</f>
        <v>3.03</v>
      </c>
      <c r="F4102" s="2"/>
      <c r="G4102" s="2"/>
      <c r="H4102" s="2"/>
      <c r="I4102" s="2"/>
    </row>
    <row r="4103">
      <c r="A4103" s="2">
        <f>IFERROR(__xludf.DUMMYFUNCTION("""COMPUTED_VALUE"""),18115.0)</f>
        <v>18115</v>
      </c>
      <c r="B4103" s="2" t="str">
        <f>IFERROR(__xludf.DUMMYFUNCTION("""COMPUTED_VALUE"""),"Arts")</f>
        <v>Arts</v>
      </c>
      <c r="C4103" s="2" t="str">
        <f>IFERROR(__xludf.DUMMYFUNCTION("""COMPUTED_VALUE"""),"Networking")</f>
        <v>Networking</v>
      </c>
      <c r="D4103" s="2" t="str">
        <f>IFERROR(__xludf.DUMMYFUNCTION("""COMPUTED_VALUE"""),"Brightbrook House")</f>
        <v>Brightbrook House</v>
      </c>
      <c r="E4103" s="2">
        <f>IFERROR(__xludf.DUMMYFUNCTION("""COMPUTED_VALUE"""),3.33)</f>
        <v>3.33</v>
      </c>
      <c r="F4103" s="2"/>
      <c r="G4103" s="2"/>
      <c r="H4103" s="2"/>
      <c r="I4103" s="2"/>
    </row>
    <row r="4104">
      <c r="A4104" s="2">
        <f>IFERROR(__xludf.DUMMYFUNCTION("""COMPUTED_VALUE"""),83057.0)</f>
        <v>83057</v>
      </c>
      <c r="B4104" s="2" t="str">
        <f>IFERROR(__xludf.DUMMYFUNCTION("""COMPUTED_VALUE"""),"Arts")</f>
        <v>Arts</v>
      </c>
      <c r="C4104" s="2" t="str">
        <f>IFERROR(__xludf.DUMMYFUNCTION("""COMPUTED_VALUE"""),"Networking")</f>
        <v>Networking</v>
      </c>
      <c r="D4104" s="2" t="str">
        <f>IFERROR(__xludf.DUMMYFUNCTION("""COMPUTED_VALUE"""),"Brightbrook House")</f>
        <v>Brightbrook House</v>
      </c>
      <c r="E4104" s="2">
        <f>IFERROR(__xludf.DUMMYFUNCTION("""COMPUTED_VALUE"""),1.81)</f>
        <v>1.81</v>
      </c>
      <c r="F4104" s="2"/>
      <c r="G4104" s="2"/>
      <c r="H4104" s="2"/>
      <c r="I4104" s="2"/>
    </row>
    <row r="4105">
      <c r="A4105" s="2">
        <f>IFERROR(__xludf.DUMMYFUNCTION("""COMPUTED_VALUE"""),26727.0)</f>
        <v>26727</v>
      </c>
      <c r="B4105" s="2" t="str">
        <f>IFERROR(__xludf.DUMMYFUNCTION("""COMPUTED_VALUE"""),"Arts")</f>
        <v>Arts</v>
      </c>
      <c r="C4105" s="2" t="str">
        <f>IFERROR(__xludf.DUMMYFUNCTION("""COMPUTED_VALUE"""),"Networking")</f>
        <v>Networking</v>
      </c>
      <c r="D4105" s="2" t="str">
        <f>IFERROR(__xludf.DUMMYFUNCTION("""COMPUTED_VALUE"""),"Brightbrook House")</f>
        <v>Brightbrook House</v>
      </c>
      <c r="E4105" s="2">
        <f>IFERROR(__xludf.DUMMYFUNCTION("""COMPUTED_VALUE"""),2.99)</f>
        <v>2.99</v>
      </c>
      <c r="F4105" s="2"/>
      <c r="G4105" s="2"/>
      <c r="H4105" s="2"/>
      <c r="I4105" s="2"/>
    </row>
    <row r="4106">
      <c r="A4106" s="2">
        <f>IFERROR(__xludf.DUMMYFUNCTION("""COMPUTED_VALUE"""),85779.0)</f>
        <v>85779</v>
      </c>
      <c r="B4106" s="2" t="str">
        <f>IFERROR(__xludf.DUMMYFUNCTION("""COMPUTED_VALUE"""),"Arts")</f>
        <v>Arts</v>
      </c>
      <c r="C4106" s="2" t="str">
        <f>IFERROR(__xludf.DUMMYFUNCTION("""COMPUTED_VALUE"""),"Networking")</f>
        <v>Networking</v>
      </c>
      <c r="D4106" s="2" t="str">
        <f>IFERROR(__xludf.DUMMYFUNCTION("""COMPUTED_VALUE"""),"Brightbrook House")</f>
        <v>Brightbrook House</v>
      </c>
      <c r="E4106" s="2">
        <f>IFERROR(__xludf.DUMMYFUNCTION("""COMPUTED_VALUE"""),5.54)</f>
        <v>5.54</v>
      </c>
      <c r="F4106" s="2"/>
      <c r="G4106" s="2"/>
      <c r="H4106" s="2"/>
      <c r="I4106" s="2"/>
    </row>
    <row r="4107">
      <c r="A4107" s="2">
        <f>IFERROR(__xludf.DUMMYFUNCTION("""COMPUTED_VALUE"""),84396.0)</f>
        <v>84396</v>
      </c>
      <c r="B4107" s="2" t="str">
        <f>IFERROR(__xludf.DUMMYFUNCTION("""COMPUTED_VALUE"""),"Arts")</f>
        <v>Arts</v>
      </c>
      <c r="C4107" s="2" t="str">
        <f>IFERROR(__xludf.DUMMYFUNCTION("""COMPUTED_VALUE"""),"Networking")</f>
        <v>Networking</v>
      </c>
      <c r="D4107" s="2" t="str">
        <f>IFERROR(__xludf.DUMMYFUNCTION("""COMPUTED_VALUE"""),"Brightbrook House")</f>
        <v>Brightbrook House</v>
      </c>
      <c r="E4107" s="2">
        <f>IFERROR(__xludf.DUMMYFUNCTION("""COMPUTED_VALUE"""),2.24)</f>
        <v>2.24</v>
      </c>
      <c r="F4107" s="2"/>
      <c r="G4107" s="2"/>
      <c r="H4107" s="2"/>
      <c r="I4107" s="2"/>
    </row>
    <row r="4108">
      <c r="A4108" s="2">
        <f>IFERROR(__xludf.DUMMYFUNCTION("""COMPUTED_VALUE"""),42676.0)</f>
        <v>42676</v>
      </c>
      <c r="B4108" s="2" t="str">
        <f>IFERROR(__xludf.DUMMYFUNCTION("""COMPUTED_VALUE"""),"Arts")</f>
        <v>Arts</v>
      </c>
      <c r="C4108" s="2" t="str">
        <f>IFERROR(__xludf.DUMMYFUNCTION("""COMPUTED_VALUE"""),"Networking")</f>
        <v>Networking</v>
      </c>
      <c r="D4108" s="2" t="str">
        <f>IFERROR(__xludf.DUMMYFUNCTION("""COMPUTED_VALUE"""),"Oakbrook House")</f>
        <v>Oakbrook House</v>
      </c>
      <c r="E4108" s="2">
        <f>IFERROR(__xludf.DUMMYFUNCTION("""COMPUTED_VALUE"""),4.74)</f>
        <v>4.74</v>
      </c>
      <c r="F4108" s="2"/>
      <c r="G4108" s="2"/>
      <c r="H4108" s="2"/>
      <c r="I4108" s="2"/>
    </row>
    <row r="4109">
      <c r="A4109" s="2">
        <f>IFERROR(__xludf.DUMMYFUNCTION("""COMPUTED_VALUE"""),108380.0)</f>
        <v>108380</v>
      </c>
      <c r="B4109" s="2" t="str">
        <f>IFERROR(__xludf.DUMMYFUNCTION("""COMPUTED_VALUE"""),"Arts")</f>
        <v>Arts</v>
      </c>
      <c r="C4109" s="2" t="str">
        <f>IFERROR(__xludf.DUMMYFUNCTION("""COMPUTED_VALUE"""),"Networking")</f>
        <v>Networking</v>
      </c>
      <c r="D4109" s="2" t="str">
        <f>IFERROR(__xludf.DUMMYFUNCTION("""COMPUTED_VALUE"""),"Oakbrook House")</f>
        <v>Oakbrook House</v>
      </c>
      <c r="E4109" s="2">
        <f>IFERROR(__xludf.DUMMYFUNCTION("""COMPUTED_VALUE"""),8.75)</f>
        <v>8.75</v>
      </c>
      <c r="F4109" s="2"/>
      <c r="G4109" s="2"/>
      <c r="H4109" s="2"/>
      <c r="I4109" s="2"/>
    </row>
    <row r="4110">
      <c r="A4110" s="2">
        <f>IFERROR(__xludf.DUMMYFUNCTION("""COMPUTED_VALUE"""),10565.0)</f>
        <v>10565</v>
      </c>
      <c r="B4110" s="2" t="str">
        <f>IFERROR(__xludf.DUMMYFUNCTION("""COMPUTED_VALUE"""),"Arts")</f>
        <v>Arts</v>
      </c>
      <c r="C4110" s="2" t="str">
        <f>IFERROR(__xludf.DUMMYFUNCTION("""COMPUTED_VALUE"""),"Networking")</f>
        <v>Networking</v>
      </c>
      <c r="D4110" s="2" t="str">
        <f>IFERROR(__xludf.DUMMYFUNCTION("""COMPUTED_VALUE"""),"Oakbrook House")</f>
        <v>Oakbrook House</v>
      </c>
      <c r="E4110" s="2">
        <f>IFERROR(__xludf.DUMMYFUNCTION("""COMPUTED_VALUE"""),6.75)</f>
        <v>6.75</v>
      </c>
      <c r="F4110" s="2"/>
      <c r="G4110" s="2"/>
      <c r="H4110" s="2"/>
      <c r="I4110" s="2"/>
    </row>
    <row r="4111">
      <c r="A4111" s="2">
        <f>IFERROR(__xludf.DUMMYFUNCTION("""COMPUTED_VALUE"""),107631.0)</f>
        <v>107631</v>
      </c>
      <c r="B4111" s="2" t="str">
        <f>IFERROR(__xludf.DUMMYFUNCTION("""COMPUTED_VALUE"""),"Arts")</f>
        <v>Arts</v>
      </c>
      <c r="C4111" s="2" t="str">
        <f>IFERROR(__xludf.DUMMYFUNCTION("""COMPUTED_VALUE"""),"Networking")</f>
        <v>Networking</v>
      </c>
      <c r="D4111" s="2" t="str">
        <f>IFERROR(__xludf.DUMMYFUNCTION("""COMPUTED_VALUE"""),"Oakbrook House")</f>
        <v>Oakbrook House</v>
      </c>
      <c r="E4111" s="2">
        <f>IFERROR(__xludf.DUMMYFUNCTION("""COMPUTED_VALUE"""),5.09)</f>
        <v>5.09</v>
      </c>
      <c r="F4111" s="2"/>
      <c r="G4111" s="2"/>
      <c r="H4111" s="2"/>
      <c r="I4111" s="2"/>
    </row>
    <row r="4112">
      <c r="A4112" s="2">
        <f>IFERROR(__xludf.DUMMYFUNCTION("""COMPUTED_VALUE"""),24061.0)</f>
        <v>24061</v>
      </c>
      <c r="B4112" s="2" t="str">
        <f>IFERROR(__xludf.DUMMYFUNCTION("""COMPUTED_VALUE"""),"Arts")</f>
        <v>Arts</v>
      </c>
      <c r="C4112" s="2" t="str">
        <f>IFERROR(__xludf.DUMMYFUNCTION("""COMPUTED_VALUE"""),"Networking")</f>
        <v>Networking</v>
      </c>
      <c r="D4112" s="2" t="str">
        <f>IFERROR(__xludf.DUMMYFUNCTION("""COMPUTED_VALUE"""),"Oakbrook House")</f>
        <v>Oakbrook House</v>
      </c>
      <c r="E4112" s="2">
        <f>IFERROR(__xludf.DUMMYFUNCTION("""COMPUTED_VALUE"""),13.71)</f>
        <v>13.71</v>
      </c>
      <c r="F4112" s="2"/>
      <c r="G4112" s="2"/>
      <c r="H4112" s="2"/>
      <c r="I4112" s="2"/>
    </row>
    <row r="4113">
      <c r="A4113" s="2">
        <f>IFERROR(__xludf.DUMMYFUNCTION("""COMPUTED_VALUE"""),182051.0)</f>
        <v>182051</v>
      </c>
      <c r="B4113" s="2" t="str">
        <f>IFERROR(__xludf.DUMMYFUNCTION("""COMPUTED_VALUE"""),"Arts")</f>
        <v>Arts</v>
      </c>
      <c r="C4113" s="2" t="str">
        <f>IFERROR(__xludf.DUMMYFUNCTION("""COMPUTED_VALUE"""),"Networking")</f>
        <v>Networking</v>
      </c>
      <c r="D4113" s="2" t="str">
        <f>IFERROR(__xludf.DUMMYFUNCTION("""COMPUTED_VALUE"""),"Oakbrook House")</f>
        <v>Oakbrook House</v>
      </c>
      <c r="E4113" s="2">
        <f>IFERROR(__xludf.DUMMYFUNCTION("""COMPUTED_VALUE"""),9.61)</f>
        <v>9.61</v>
      </c>
      <c r="F4113" s="2"/>
      <c r="G4113" s="2"/>
      <c r="H4113" s="2"/>
      <c r="I4113" s="2"/>
    </row>
    <row r="4114">
      <c r="A4114" s="2">
        <f>IFERROR(__xludf.DUMMYFUNCTION("""COMPUTED_VALUE"""),86360.0)</f>
        <v>86360</v>
      </c>
      <c r="B4114" s="2" t="str">
        <f>IFERROR(__xludf.DUMMYFUNCTION("""COMPUTED_VALUE"""),"Arts")</f>
        <v>Arts</v>
      </c>
      <c r="C4114" s="2" t="str">
        <f>IFERROR(__xludf.DUMMYFUNCTION("""COMPUTED_VALUE"""),"Networking")</f>
        <v>Networking</v>
      </c>
      <c r="D4114" s="2" t="str">
        <f>IFERROR(__xludf.DUMMYFUNCTION("""COMPUTED_VALUE"""),"Riverbrook House")</f>
        <v>Riverbrook House</v>
      </c>
      <c r="E4114" s="2">
        <f>IFERROR(__xludf.DUMMYFUNCTION("""COMPUTED_VALUE"""),5.04)</f>
        <v>5.04</v>
      </c>
      <c r="F4114" s="2"/>
      <c r="G4114" s="2"/>
      <c r="H4114" s="2"/>
      <c r="I4114" s="2"/>
    </row>
    <row r="4115">
      <c r="A4115" s="2">
        <f>IFERROR(__xludf.DUMMYFUNCTION("""COMPUTED_VALUE"""),10566.0)</f>
        <v>10566</v>
      </c>
      <c r="B4115" s="2" t="str">
        <f>IFERROR(__xludf.DUMMYFUNCTION("""COMPUTED_VALUE"""),"Arts")</f>
        <v>Arts</v>
      </c>
      <c r="C4115" s="2" t="str">
        <f>IFERROR(__xludf.DUMMYFUNCTION("""COMPUTED_VALUE"""),"Networking")</f>
        <v>Networking</v>
      </c>
      <c r="D4115" s="2" t="str">
        <f>IFERROR(__xludf.DUMMYFUNCTION("""COMPUTED_VALUE"""),"Riverbrook House")</f>
        <v>Riverbrook House</v>
      </c>
      <c r="E4115" s="2">
        <f>IFERROR(__xludf.DUMMYFUNCTION("""COMPUTED_VALUE"""),5.47)</f>
        <v>5.47</v>
      </c>
      <c r="F4115" s="2"/>
      <c r="G4115" s="2"/>
      <c r="H4115" s="2"/>
      <c r="I4115" s="2"/>
    </row>
    <row r="4116">
      <c r="A4116" s="2">
        <f>IFERROR(__xludf.DUMMYFUNCTION("""COMPUTED_VALUE"""),182014.0)</f>
        <v>182014</v>
      </c>
      <c r="B4116" s="2" t="str">
        <f>IFERROR(__xludf.DUMMYFUNCTION("""COMPUTED_VALUE"""),"Arts")</f>
        <v>Arts</v>
      </c>
      <c r="C4116" s="2" t="str">
        <f>IFERROR(__xludf.DUMMYFUNCTION("""COMPUTED_VALUE"""),"Networking")</f>
        <v>Networking</v>
      </c>
      <c r="D4116" s="2" t="str">
        <f>IFERROR(__xludf.DUMMYFUNCTION("""COMPUTED_VALUE"""),"Ironbrook House")</f>
        <v>Ironbrook House</v>
      </c>
      <c r="E4116" s="2">
        <f>IFERROR(__xludf.DUMMYFUNCTION("""COMPUTED_VALUE"""),3.64)</f>
        <v>3.64</v>
      </c>
      <c r="F4116" s="2"/>
      <c r="G4116" s="2"/>
      <c r="H4116" s="2"/>
      <c r="I4116" s="2"/>
    </row>
    <row r="4117">
      <c r="A4117" s="2">
        <f>IFERROR(__xludf.DUMMYFUNCTION("""COMPUTED_VALUE"""),182010.0)</f>
        <v>182010</v>
      </c>
      <c r="B4117" s="2" t="str">
        <f>IFERROR(__xludf.DUMMYFUNCTION("""COMPUTED_VALUE"""),"Arts")</f>
        <v>Arts</v>
      </c>
      <c r="C4117" s="2" t="str">
        <f>IFERROR(__xludf.DUMMYFUNCTION("""COMPUTED_VALUE"""),"Networking")</f>
        <v>Networking</v>
      </c>
      <c r="D4117" s="2" t="str">
        <f>IFERROR(__xludf.DUMMYFUNCTION("""COMPUTED_VALUE"""),"Ironbrook House")</f>
        <v>Ironbrook House</v>
      </c>
      <c r="E4117" s="2">
        <f>IFERROR(__xludf.DUMMYFUNCTION("""COMPUTED_VALUE"""),1.99)</f>
        <v>1.99</v>
      </c>
      <c r="F4117" s="2"/>
      <c r="G4117" s="2"/>
      <c r="H4117" s="2"/>
      <c r="I4117" s="2"/>
    </row>
    <row r="4118">
      <c r="A4118" s="2">
        <f>IFERROR(__xludf.DUMMYFUNCTION("""COMPUTED_VALUE"""),24076.0)</f>
        <v>24076</v>
      </c>
      <c r="B4118" s="2" t="str">
        <f>IFERROR(__xludf.DUMMYFUNCTION("""COMPUTED_VALUE"""),"Arts")</f>
        <v>Arts</v>
      </c>
      <c r="C4118" s="2" t="str">
        <f>IFERROR(__xludf.DUMMYFUNCTION("""COMPUTED_VALUE"""),"Networking")</f>
        <v>Networking</v>
      </c>
      <c r="D4118" s="2" t="str">
        <f>IFERROR(__xludf.DUMMYFUNCTION("""COMPUTED_VALUE"""),"Ironbrook House")</f>
        <v>Ironbrook House</v>
      </c>
      <c r="E4118" s="2">
        <f>IFERROR(__xludf.DUMMYFUNCTION("""COMPUTED_VALUE"""),5.16)</f>
        <v>5.16</v>
      </c>
      <c r="F4118" s="2"/>
      <c r="G4118" s="2"/>
      <c r="H4118" s="2"/>
      <c r="I4118" s="2"/>
    </row>
    <row r="4119">
      <c r="A4119" s="2">
        <f>IFERROR(__xludf.DUMMYFUNCTION("""COMPUTED_VALUE"""),10572.0)</f>
        <v>10572</v>
      </c>
      <c r="B4119" s="2" t="str">
        <f>IFERROR(__xludf.DUMMYFUNCTION("""COMPUTED_VALUE"""),"Arts")</f>
        <v>Arts</v>
      </c>
      <c r="C4119" s="2" t="str">
        <f>IFERROR(__xludf.DUMMYFUNCTION("""COMPUTED_VALUE"""),"Networking")</f>
        <v>Networking</v>
      </c>
      <c r="D4119" s="2" t="str">
        <f>IFERROR(__xludf.DUMMYFUNCTION("""COMPUTED_VALUE"""),"Ironbrook House")</f>
        <v>Ironbrook House</v>
      </c>
      <c r="E4119" s="2">
        <f>IFERROR(__xludf.DUMMYFUNCTION("""COMPUTED_VALUE"""),2.83)</f>
        <v>2.83</v>
      </c>
      <c r="F4119" s="2"/>
      <c r="G4119" s="2"/>
      <c r="H4119" s="2"/>
      <c r="I4119" s="2"/>
    </row>
    <row r="4120">
      <c r="A4120" s="2">
        <f>IFERROR(__xludf.DUMMYFUNCTION("""COMPUTED_VALUE"""),47527.0)</f>
        <v>47527</v>
      </c>
      <c r="B4120" s="2" t="str">
        <f>IFERROR(__xludf.DUMMYFUNCTION("""COMPUTED_VALUE"""),"Arts")</f>
        <v>Arts</v>
      </c>
      <c r="C4120" s="2" t="str">
        <f>IFERROR(__xludf.DUMMYFUNCTION("""COMPUTED_VALUE"""),"Networking")</f>
        <v>Networking</v>
      </c>
      <c r="D4120" s="2" t="str">
        <f>IFERROR(__xludf.DUMMYFUNCTION("""COMPUTED_VALUE"""),"Silverlight House")</f>
        <v>Silverlight House</v>
      </c>
      <c r="E4120" s="2">
        <f>IFERROR(__xludf.DUMMYFUNCTION("""COMPUTED_VALUE"""),8.58)</f>
        <v>8.58</v>
      </c>
      <c r="F4120" s="2"/>
      <c r="G4120" s="2"/>
      <c r="H4120" s="2"/>
      <c r="I4120" s="2"/>
    </row>
    <row r="4121">
      <c r="A4121" s="2">
        <f>IFERROR(__xludf.DUMMYFUNCTION("""COMPUTED_VALUE"""),10577.0)</f>
        <v>10577</v>
      </c>
      <c r="B4121" s="2" t="str">
        <f>IFERROR(__xludf.DUMMYFUNCTION("""COMPUTED_VALUE"""),"Arts")</f>
        <v>Arts</v>
      </c>
      <c r="C4121" s="2" t="str">
        <f>IFERROR(__xludf.DUMMYFUNCTION("""COMPUTED_VALUE"""),"Networking")</f>
        <v>Networking</v>
      </c>
      <c r="D4121" s="2" t="str">
        <f>IFERROR(__xludf.DUMMYFUNCTION("""COMPUTED_VALUE"""),"Silverlight House")</f>
        <v>Silverlight House</v>
      </c>
      <c r="E4121" s="2">
        <f>IFERROR(__xludf.DUMMYFUNCTION("""COMPUTED_VALUE"""),6.19)</f>
        <v>6.19</v>
      </c>
      <c r="F4121" s="2"/>
      <c r="G4121" s="2"/>
      <c r="H4121" s="2"/>
      <c r="I4121" s="2"/>
    </row>
    <row r="4122">
      <c r="A4122" s="2">
        <f>IFERROR(__xludf.DUMMYFUNCTION("""COMPUTED_VALUE"""),81914.0)</f>
        <v>81914</v>
      </c>
      <c r="B4122" s="2" t="str">
        <f>IFERROR(__xludf.DUMMYFUNCTION("""COMPUTED_VALUE"""),"Arts")</f>
        <v>Arts</v>
      </c>
      <c r="C4122" s="2" t="str">
        <f>IFERROR(__xludf.DUMMYFUNCTION("""COMPUTED_VALUE"""),"Networking")</f>
        <v>Networking</v>
      </c>
      <c r="D4122" s="2" t="str">
        <f>IFERROR(__xludf.DUMMYFUNCTION("""COMPUTED_VALUE"""),"Silverlight House")</f>
        <v>Silverlight House</v>
      </c>
      <c r="E4122" s="2">
        <f>IFERROR(__xludf.DUMMYFUNCTION("""COMPUTED_VALUE"""),3.16)</f>
        <v>3.16</v>
      </c>
      <c r="F4122" s="2"/>
      <c r="G4122" s="2"/>
      <c r="H4122" s="2"/>
      <c r="I4122" s="2"/>
    </row>
    <row r="4123">
      <c r="A4123" s="2">
        <f>IFERROR(__xludf.DUMMYFUNCTION("""COMPUTED_VALUE"""),120186.0)</f>
        <v>120186</v>
      </c>
      <c r="B4123" s="2" t="str">
        <f>IFERROR(__xludf.DUMMYFUNCTION("""COMPUTED_VALUE"""),"Arts")</f>
        <v>Arts</v>
      </c>
      <c r="C4123" s="2" t="str">
        <f>IFERROR(__xludf.DUMMYFUNCTION("""COMPUTED_VALUE"""),"Networking")</f>
        <v>Networking</v>
      </c>
      <c r="D4123" s="2" t="str">
        <f>IFERROR(__xludf.DUMMYFUNCTION("""COMPUTED_VALUE"""),"Silverlight House")</f>
        <v>Silverlight House</v>
      </c>
      <c r="E4123" s="2">
        <f>IFERROR(__xludf.DUMMYFUNCTION("""COMPUTED_VALUE"""),8.41)</f>
        <v>8.41</v>
      </c>
      <c r="F4123" s="2"/>
      <c r="G4123" s="2"/>
      <c r="H4123" s="2"/>
      <c r="I4123" s="2"/>
    </row>
    <row r="4124">
      <c r="A4124" s="2">
        <f>IFERROR(__xludf.DUMMYFUNCTION("""COMPUTED_VALUE"""),182015.0)</f>
        <v>182015</v>
      </c>
      <c r="B4124" s="2" t="str">
        <f>IFERROR(__xludf.DUMMYFUNCTION("""COMPUTED_VALUE"""),"Arts")</f>
        <v>Arts</v>
      </c>
      <c r="C4124" s="2" t="str">
        <f>IFERROR(__xludf.DUMMYFUNCTION("""COMPUTED_VALUE"""),"Networking")</f>
        <v>Networking</v>
      </c>
      <c r="D4124" s="2" t="str">
        <f>IFERROR(__xludf.DUMMYFUNCTION("""COMPUTED_VALUE"""),"Silverlight House")</f>
        <v>Silverlight House</v>
      </c>
      <c r="E4124" s="2">
        <f>IFERROR(__xludf.DUMMYFUNCTION("""COMPUTED_VALUE"""),4.49)</f>
        <v>4.49</v>
      </c>
      <c r="F4124" s="2"/>
      <c r="G4124" s="2"/>
      <c r="H4124" s="2"/>
      <c r="I4124" s="2"/>
    </row>
    <row r="4125">
      <c r="A4125" s="2">
        <f>IFERROR(__xludf.DUMMYFUNCTION("""COMPUTED_VALUE"""),117919.0)</f>
        <v>117919</v>
      </c>
      <c r="B4125" s="2" t="str">
        <f>IFERROR(__xludf.DUMMYFUNCTION("""COMPUTED_VALUE"""),"Arts")</f>
        <v>Arts</v>
      </c>
      <c r="C4125" s="2" t="str">
        <f>IFERROR(__xludf.DUMMYFUNCTION("""COMPUTED_VALUE"""),"Networking")</f>
        <v>Networking</v>
      </c>
      <c r="D4125" s="2" t="str">
        <f>IFERROR(__xludf.DUMMYFUNCTION("""COMPUTED_VALUE"""),"Silverlight House")</f>
        <v>Silverlight House</v>
      </c>
      <c r="E4125" s="2">
        <f>IFERROR(__xludf.DUMMYFUNCTION("""COMPUTED_VALUE"""),4.57)</f>
        <v>4.57</v>
      </c>
      <c r="F4125" s="2"/>
      <c r="G4125" s="2"/>
      <c r="H4125" s="2"/>
      <c r="I4125" s="2"/>
    </row>
    <row r="4126">
      <c r="A4126" s="2">
        <f>IFERROR(__xludf.DUMMYFUNCTION("""COMPUTED_VALUE"""),71228.0)</f>
        <v>71228</v>
      </c>
      <c r="B4126" s="2" t="str">
        <f>IFERROR(__xludf.DUMMYFUNCTION("""COMPUTED_VALUE"""),"Arts")</f>
        <v>Arts</v>
      </c>
      <c r="C4126" s="2" t="str">
        <f>IFERROR(__xludf.DUMMYFUNCTION("""COMPUTED_VALUE"""),"Blockchain")</f>
        <v>Blockchain</v>
      </c>
      <c r="D4126" s="2" t="str">
        <f>IFERROR(__xludf.DUMMYFUNCTION("""COMPUTED_VALUE"""),"Northlight House")</f>
        <v>Northlight House</v>
      </c>
      <c r="E4126" s="2">
        <f>IFERROR(__xludf.DUMMYFUNCTION("""COMPUTED_VALUE"""),1.1)</f>
        <v>1.1</v>
      </c>
      <c r="F4126" s="2"/>
      <c r="G4126" s="2"/>
      <c r="H4126" s="2"/>
      <c r="I4126" s="2"/>
    </row>
    <row r="4127">
      <c r="A4127" s="2">
        <f>IFERROR(__xludf.DUMMYFUNCTION("""COMPUTED_VALUE"""),67264.0)</f>
        <v>67264</v>
      </c>
      <c r="B4127" s="2" t="str">
        <f>IFERROR(__xludf.DUMMYFUNCTION("""COMPUTED_VALUE"""),"Arts")</f>
        <v>Arts</v>
      </c>
      <c r="C4127" s="2" t="str">
        <f>IFERROR(__xludf.DUMMYFUNCTION("""COMPUTED_VALUE"""),"Blockchain")</f>
        <v>Blockchain</v>
      </c>
      <c r="D4127" s="2" t="str">
        <f>IFERROR(__xludf.DUMMYFUNCTION("""COMPUTED_VALUE"""),"Northlight House")</f>
        <v>Northlight House</v>
      </c>
      <c r="E4127" s="2">
        <f>IFERROR(__xludf.DUMMYFUNCTION("""COMPUTED_VALUE"""),0.8)</f>
        <v>0.8</v>
      </c>
      <c r="F4127" s="2"/>
      <c r="G4127" s="2"/>
      <c r="H4127" s="2"/>
      <c r="I4127" s="2"/>
    </row>
    <row r="4128">
      <c r="A4128" s="2">
        <f>IFERROR(__xludf.DUMMYFUNCTION("""COMPUTED_VALUE"""),82984.0)</f>
        <v>82984</v>
      </c>
      <c r="B4128" s="2" t="str">
        <f>IFERROR(__xludf.DUMMYFUNCTION("""COMPUTED_VALUE"""),"Arts")</f>
        <v>Arts</v>
      </c>
      <c r="C4128" s="2" t="str">
        <f>IFERROR(__xludf.DUMMYFUNCTION("""COMPUTED_VALUE"""),"Blockchain")</f>
        <v>Blockchain</v>
      </c>
      <c r="D4128" s="2" t="str">
        <f>IFERROR(__xludf.DUMMYFUNCTION("""COMPUTED_VALUE"""),"Northlight House")</f>
        <v>Northlight House</v>
      </c>
      <c r="E4128" s="2">
        <f>IFERROR(__xludf.DUMMYFUNCTION("""COMPUTED_VALUE"""),1.42)</f>
        <v>1.42</v>
      </c>
      <c r="F4128" s="2"/>
      <c r="G4128" s="2"/>
      <c r="H4128" s="2"/>
      <c r="I4128" s="2"/>
    </row>
    <row r="4129">
      <c r="A4129" s="2">
        <f>IFERROR(__xludf.DUMMYFUNCTION("""COMPUTED_VALUE"""),86420.0)</f>
        <v>86420</v>
      </c>
      <c r="B4129" s="2" t="str">
        <f>IFERROR(__xludf.DUMMYFUNCTION("""COMPUTED_VALUE"""),"Arts")</f>
        <v>Arts</v>
      </c>
      <c r="C4129" s="2" t="str">
        <f>IFERROR(__xludf.DUMMYFUNCTION("""COMPUTED_VALUE"""),"Blockchain")</f>
        <v>Blockchain</v>
      </c>
      <c r="D4129" s="2" t="str">
        <f>IFERROR(__xludf.DUMMYFUNCTION("""COMPUTED_VALUE"""),"Northlight House")</f>
        <v>Northlight House</v>
      </c>
      <c r="E4129" s="2">
        <f>IFERROR(__xludf.DUMMYFUNCTION("""COMPUTED_VALUE"""),1.5)</f>
        <v>1.5</v>
      </c>
      <c r="F4129" s="2"/>
      <c r="G4129" s="2"/>
      <c r="H4129" s="2"/>
      <c r="I4129" s="2"/>
    </row>
    <row r="4130">
      <c r="A4130" s="2">
        <f>IFERROR(__xludf.DUMMYFUNCTION("""COMPUTED_VALUE"""),71227.0)</f>
        <v>71227</v>
      </c>
      <c r="B4130" s="2" t="str">
        <f>IFERROR(__xludf.DUMMYFUNCTION("""COMPUTED_VALUE"""),"Arts")</f>
        <v>Arts</v>
      </c>
      <c r="C4130" s="2" t="str">
        <f>IFERROR(__xludf.DUMMYFUNCTION("""COMPUTED_VALUE"""),"Blockchain")</f>
        <v>Blockchain</v>
      </c>
      <c r="D4130" s="2" t="str">
        <f>IFERROR(__xludf.DUMMYFUNCTION("""COMPUTED_VALUE"""),"Northlight House")</f>
        <v>Northlight House</v>
      </c>
      <c r="E4130" s="2">
        <f>IFERROR(__xludf.DUMMYFUNCTION("""COMPUTED_VALUE"""),1.15)</f>
        <v>1.15</v>
      </c>
      <c r="F4130" s="2"/>
      <c r="G4130" s="2"/>
      <c r="H4130" s="2"/>
      <c r="I4130" s="2"/>
    </row>
    <row r="4131">
      <c r="A4131" s="2">
        <f>IFERROR(__xludf.DUMMYFUNCTION("""COMPUTED_VALUE"""),18055.0)</f>
        <v>18055</v>
      </c>
      <c r="B4131" s="2" t="str">
        <f>IFERROR(__xludf.DUMMYFUNCTION("""COMPUTED_VALUE"""),"Arts")</f>
        <v>Arts</v>
      </c>
      <c r="C4131" s="2" t="str">
        <f>IFERROR(__xludf.DUMMYFUNCTION("""COMPUTED_VALUE"""),"Blockchain")</f>
        <v>Blockchain</v>
      </c>
      <c r="D4131" s="2" t="str">
        <f>IFERROR(__xludf.DUMMYFUNCTION("""COMPUTED_VALUE"""),"Northlight House")</f>
        <v>Northlight House</v>
      </c>
      <c r="E4131" s="2">
        <f>IFERROR(__xludf.DUMMYFUNCTION("""COMPUTED_VALUE"""),0.6)</f>
        <v>0.6</v>
      </c>
      <c r="F4131" s="2"/>
      <c r="G4131" s="2"/>
      <c r="H4131" s="2"/>
      <c r="I4131" s="2"/>
    </row>
    <row r="4132">
      <c r="A4132" s="2">
        <f>IFERROR(__xludf.DUMMYFUNCTION("""COMPUTED_VALUE"""),82989.0)</f>
        <v>82989</v>
      </c>
      <c r="B4132" s="2" t="str">
        <f>IFERROR(__xludf.DUMMYFUNCTION("""COMPUTED_VALUE"""),"Arts")</f>
        <v>Arts</v>
      </c>
      <c r="C4132" s="2" t="str">
        <f>IFERROR(__xludf.DUMMYFUNCTION("""COMPUTED_VALUE"""),"Blockchain")</f>
        <v>Blockchain</v>
      </c>
      <c r="D4132" s="2" t="str">
        <f>IFERROR(__xludf.DUMMYFUNCTION("""COMPUTED_VALUE"""),"Northlight House")</f>
        <v>Northlight House</v>
      </c>
      <c r="E4132" s="2">
        <f>IFERROR(__xludf.DUMMYFUNCTION("""COMPUTED_VALUE"""),0.48)</f>
        <v>0.48</v>
      </c>
      <c r="F4132" s="2"/>
      <c r="G4132" s="2"/>
      <c r="H4132" s="2"/>
      <c r="I4132" s="2"/>
    </row>
    <row r="4133">
      <c r="A4133" s="2">
        <f>IFERROR(__xludf.DUMMYFUNCTION("""COMPUTED_VALUE"""),86438.0)</f>
        <v>86438</v>
      </c>
      <c r="B4133" s="2" t="str">
        <f>IFERROR(__xludf.DUMMYFUNCTION("""COMPUTED_VALUE"""),"Arts")</f>
        <v>Arts</v>
      </c>
      <c r="C4133" s="2" t="str">
        <f>IFERROR(__xludf.DUMMYFUNCTION("""COMPUTED_VALUE"""),"Blockchain")</f>
        <v>Blockchain</v>
      </c>
      <c r="D4133" s="2" t="str">
        <f>IFERROR(__xludf.DUMMYFUNCTION("""COMPUTED_VALUE"""),"Northlight House")</f>
        <v>Northlight House</v>
      </c>
      <c r="E4133" s="2">
        <f>IFERROR(__xludf.DUMMYFUNCTION("""COMPUTED_VALUE"""),1.49)</f>
        <v>1.49</v>
      </c>
      <c r="F4133" s="2"/>
      <c r="G4133" s="2"/>
      <c r="H4133" s="2"/>
      <c r="I4133" s="2"/>
    </row>
    <row r="4134">
      <c r="A4134" s="2">
        <f>IFERROR(__xludf.DUMMYFUNCTION("""COMPUTED_VALUE"""),18061.0)</f>
        <v>18061</v>
      </c>
      <c r="B4134" s="2" t="str">
        <f>IFERROR(__xludf.DUMMYFUNCTION("""COMPUTED_VALUE"""),"Arts")</f>
        <v>Arts</v>
      </c>
      <c r="C4134" s="2" t="str">
        <f>IFERROR(__xludf.DUMMYFUNCTION("""COMPUTED_VALUE"""),"Blockchain")</f>
        <v>Blockchain</v>
      </c>
      <c r="D4134" s="2" t="str">
        <f>IFERROR(__xludf.DUMMYFUNCTION("""COMPUTED_VALUE"""),"Northlight House")</f>
        <v>Northlight House</v>
      </c>
      <c r="E4134" s="2">
        <f>IFERROR(__xludf.DUMMYFUNCTION("""COMPUTED_VALUE"""),0.78)</f>
        <v>0.78</v>
      </c>
      <c r="F4134" s="2"/>
      <c r="G4134" s="2"/>
      <c r="H4134" s="2"/>
      <c r="I4134" s="2"/>
    </row>
    <row r="4135">
      <c r="A4135" s="2">
        <f>IFERROR(__xludf.DUMMYFUNCTION("""COMPUTED_VALUE"""),67265.0)</f>
        <v>67265</v>
      </c>
      <c r="B4135" s="2" t="str">
        <f>IFERROR(__xludf.DUMMYFUNCTION("""COMPUTED_VALUE"""),"Arts")</f>
        <v>Arts</v>
      </c>
      <c r="C4135" s="2" t="str">
        <f>IFERROR(__xludf.DUMMYFUNCTION("""COMPUTED_VALUE"""),"Blockchain")</f>
        <v>Blockchain</v>
      </c>
      <c r="D4135" s="2" t="str">
        <f>IFERROR(__xludf.DUMMYFUNCTION("""COMPUTED_VALUE"""),"Northlight House")</f>
        <v>Northlight House</v>
      </c>
      <c r="E4135" s="2">
        <f>IFERROR(__xludf.DUMMYFUNCTION("""COMPUTED_VALUE"""),0.71)</f>
        <v>0.71</v>
      </c>
      <c r="F4135" s="2"/>
      <c r="G4135" s="2"/>
      <c r="H4135" s="2"/>
      <c r="I4135" s="2"/>
    </row>
    <row r="4136">
      <c r="A4136" s="2">
        <f>IFERROR(__xludf.DUMMYFUNCTION("""COMPUTED_VALUE"""),69552.0)</f>
        <v>69552</v>
      </c>
      <c r="B4136" s="2" t="str">
        <f>IFERROR(__xludf.DUMMYFUNCTION("""COMPUTED_VALUE"""),"Arts")</f>
        <v>Arts</v>
      </c>
      <c r="C4136" s="2" t="str">
        <f>IFERROR(__xludf.DUMMYFUNCTION("""COMPUTED_VALUE"""),"Blockchain")</f>
        <v>Blockchain</v>
      </c>
      <c r="D4136" s="2" t="str">
        <f>IFERROR(__xludf.DUMMYFUNCTION("""COMPUTED_VALUE"""),"Northlight House")</f>
        <v>Northlight House</v>
      </c>
      <c r="E4136" s="2">
        <f>IFERROR(__xludf.DUMMYFUNCTION("""COMPUTED_VALUE"""),1.71)</f>
        <v>1.71</v>
      </c>
      <c r="F4136" s="2"/>
      <c r="G4136" s="2"/>
      <c r="H4136" s="2"/>
      <c r="I4136" s="2"/>
    </row>
    <row r="4137">
      <c r="A4137" s="2">
        <f>IFERROR(__xludf.DUMMYFUNCTION("""COMPUTED_VALUE"""),110955.0)</f>
        <v>110955</v>
      </c>
      <c r="B4137" s="2" t="str">
        <f>IFERROR(__xludf.DUMMYFUNCTION("""COMPUTED_VALUE"""),"Arts")</f>
        <v>Arts</v>
      </c>
      <c r="C4137" s="2" t="str">
        <f>IFERROR(__xludf.DUMMYFUNCTION("""COMPUTED_VALUE"""),"Blockchain")</f>
        <v>Blockchain</v>
      </c>
      <c r="D4137" s="2" t="str">
        <f>IFERROR(__xludf.DUMMYFUNCTION("""COMPUTED_VALUE"""),"Harborlight House")</f>
        <v>Harborlight House</v>
      </c>
      <c r="E4137" s="2">
        <f>IFERROR(__xludf.DUMMYFUNCTION("""COMPUTED_VALUE"""),1.29)</f>
        <v>1.29</v>
      </c>
      <c r="F4137" s="2"/>
      <c r="G4137" s="2"/>
      <c r="H4137" s="2"/>
      <c r="I4137" s="2"/>
    </row>
    <row r="4138">
      <c r="A4138" s="2">
        <f>IFERROR(__xludf.DUMMYFUNCTION("""COMPUTED_VALUE"""),79505.0)</f>
        <v>79505</v>
      </c>
      <c r="B4138" s="2" t="str">
        <f>IFERROR(__xludf.DUMMYFUNCTION("""COMPUTED_VALUE"""),"Arts")</f>
        <v>Arts</v>
      </c>
      <c r="C4138" s="2" t="str">
        <f>IFERROR(__xludf.DUMMYFUNCTION("""COMPUTED_VALUE"""),"Blockchain")</f>
        <v>Blockchain</v>
      </c>
      <c r="D4138" s="2" t="str">
        <f>IFERROR(__xludf.DUMMYFUNCTION("""COMPUTED_VALUE"""),"Harborlight House")</f>
        <v>Harborlight House</v>
      </c>
      <c r="E4138" s="2">
        <f>IFERROR(__xludf.DUMMYFUNCTION("""COMPUTED_VALUE"""),2.05)</f>
        <v>2.05</v>
      </c>
      <c r="F4138" s="2"/>
      <c r="G4138" s="2"/>
      <c r="H4138" s="2"/>
      <c r="I4138" s="2"/>
    </row>
    <row r="4139">
      <c r="A4139" s="2">
        <f>IFERROR(__xludf.DUMMYFUNCTION("""COMPUTED_VALUE"""),110943.0)</f>
        <v>110943</v>
      </c>
      <c r="B4139" s="2" t="str">
        <f>IFERROR(__xludf.DUMMYFUNCTION("""COMPUTED_VALUE"""),"Arts")</f>
        <v>Arts</v>
      </c>
      <c r="C4139" s="2" t="str">
        <f>IFERROR(__xludf.DUMMYFUNCTION("""COMPUTED_VALUE"""),"Blockchain")</f>
        <v>Blockchain</v>
      </c>
      <c r="D4139" s="2" t="str">
        <f>IFERROR(__xludf.DUMMYFUNCTION("""COMPUTED_VALUE"""),"Harborlight House")</f>
        <v>Harborlight House</v>
      </c>
      <c r="E4139" s="2">
        <f>IFERROR(__xludf.DUMMYFUNCTION("""COMPUTED_VALUE"""),3.06)</f>
        <v>3.06</v>
      </c>
      <c r="F4139" s="2"/>
      <c r="G4139" s="2"/>
      <c r="H4139" s="2"/>
      <c r="I4139" s="2"/>
    </row>
    <row r="4140">
      <c r="A4140" s="2">
        <f>IFERROR(__xludf.DUMMYFUNCTION("""COMPUTED_VALUE"""),119048.0)</f>
        <v>119048</v>
      </c>
      <c r="B4140" s="2" t="str">
        <f>IFERROR(__xludf.DUMMYFUNCTION("""COMPUTED_VALUE"""),"Arts")</f>
        <v>Arts</v>
      </c>
      <c r="C4140" s="2" t="str">
        <f>IFERROR(__xludf.DUMMYFUNCTION("""COMPUTED_VALUE"""),"Blockchain")</f>
        <v>Blockchain</v>
      </c>
      <c r="D4140" s="2" t="str">
        <f>IFERROR(__xludf.DUMMYFUNCTION("""COMPUTED_VALUE"""),"Harborlight House")</f>
        <v>Harborlight House</v>
      </c>
      <c r="E4140" s="2">
        <f>IFERROR(__xludf.DUMMYFUNCTION("""COMPUTED_VALUE"""),1.88)</f>
        <v>1.88</v>
      </c>
      <c r="F4140" s="2"/>
      <c r="G4140" s="2"/>
      <c r="H4140" s="2"/>
      <c r="I4140" s="2"/>
    </row>
    <row r="4141">
      <c r="A4141" s="2">
        <f>IFERROR(__xludf.DUMMYFUNCTION("""COMPUTED_VALUE"""),42695.0)</f>
        <v>42695</v>
      </c>
      <c r="B4141" s="2" t="str">
        <f>IFERROR(__xludf.DUMMYFUNCTION("""COMPUTED_VALUE"""),"Arts")</f>
        <v>Arts</v>
      </c>
      <c r="C4141" s="2" t="str">
        <f>IFERROR(__xludf.DUMMYFUNCTION("""COMPUTED_VALUE"""),"Blockchain")</f>
        <v>Blockchain</v>
      </c>
      <c r="D4141" s="2" t="str">
        <f>IFERROR(__xludf.DUMMYFUNCTION("""COMPUTED_VALUE"""),"Harborlight House")</f>
        <v>Harborlight House</v>
      </c>
      <c r="E4141" s="2">
        <f>IFERROR(__xludf.DUMMYFUNCTION("""COMPUTED_VALUE"""),1.71)</f>
        <v>1.71</v>
      </c>
      <c r="F4141" s="2"/>
      <c r="G4141" s="2"/>
      <c r="H4141" s="2"/>
      <c r="I4141" s="2"/>
    </row>
    <row r="4142">
      <c r="A4142" s="2">
        <f>IFERROR(__xludf.DUMMYFUNCTION("""COMPUTED_VALUE"""),88980.0)</f>
        <v>88980</v>
      </c>
      <c r="B4142" s="2" t="str">
        <f>IFERROR(__xludf.DUMMYFUNCTION("""COMPUTED_VALUE"""),"Arts")</f>
        <v>Arts</v>
      </c>
      <c r="C4142" s="2" t="str">
        <f>IFERROR(__xludf.DUMMYFUNCTION("""COMPUTED_VALUE"""),"Blockchain")</f>
        <v>Blockchain</v>
      </c>
      <c r="D4142" s="2" t="str">
        <f>IFERROR(__xludf.DUMMYFUNCTION("""COMPUTED_VALUE"""),"Harborlight House")</f>
        <v>Harborlight House</v>
      </c>
      <c r="E4142" s="2">
        <f>IFERROR(__xludf.DUMMYFUNCTION("""COMPUTED_VALUE"""),1.22)</f>
        <v>1.22</v>
      </c>
      <c r="F4142" s="2"/>
      <c r="G4142" s="2"/>
      <c r="H4142" s="2"/>
      <c r="I4142" s="2"/>
    </row>
    <row r="4143">
      <c r="A4143" s="2">
        <f>IFERROR(__xludf.DUMMYFUNCTION("""COMPUTED_VALUE"""),149507.0)</f>
        <v>149507</v>
      </c>
      <c r="B4143" s="2" t="str">
        <f>IFERROR(__xludf.DUMMYFUNCTION("""COMPUTED_VALUE"""),"Arts")</f>
        <v>Arts</v>
      </c>
      <c r="C4143" s="2" t="str">
        <f>IFERROR(__xludf.DUMMYFUNCTION("""COMPUTED_VALUE"""),"Blockchain")</f>
        <v>Blockchain</v>
      </c>
      <c r="D4143" s="2" t="str">
        <f>IFERROR(__xludf.DUMMYFUNCTION("""COMPUTED_VALUE"""),"Harborlight House")</f>
        <v>Harborlight House</v>
      </c>
      <c r="E4143" s="2">
        <f>IFERROR(__xludf.DUMMYFUNCTION("""COMPUTED_VALUE"""),1.92)</f>
        <v>1.92</v>
      </c>
      <c r="F4143" s="2"/>
      <c r="G4143" s="2"/>
      <c r="H4143" s="2"/>
      <c r="I4143" s="2"/>
    </row>
    <row r="4144">
      <c r="A4144" s="2">
        <f>IFERROR(__xludf.DUMMYFUNCTION("""COMPUTED_VALUE"""),86988.0)</f>
        <v>86988</v>
      </c>
      <c r="B4144" s="2" t="str">
        <f>IFERROR(__xludf.DUMMYFUNCTION("""COMPUTED_VALUE"""),"Arts")</f>
        <v>Arts</v>
      </c>
      <c r="C4144" s="2" t="str">
        <f>IFERROR(__xludf.DUMMYFUNCTION("""COMPUTED_VALUE"""),"Blockchain")</f>
        <v>Blockchain</v>
      </c>
      <c r="D4144" s="2" t="str">
        <f>IFERROR(__xludf.DUMMYFUNCTION("""COMPUTED_VALUE"""),"Harborlight House")</f>
        <v>Harborlight House</v>
      </c>
      <c r="E4144" s="2">
        <f>IFERROR(__xludf.DUMMYFUNCTION("""COMPUTED_VALUE"""),1.26)</f>
        <v>1.26</v>
      </c>
      <c r="F4144" s="2"/>
      <c r="G4144" s="2"/>
      <c r="H4144" s="2"/>
      <c r="I4144" s="2"/>
    </row>
    <row r="4145">
      <c r="A4145" s="2">
        <f>IFERROR(__xludf.DUMMYFUNCTION("""COMPUTED_VALUE"""),73836.0)</f>
        <v>73836</v>
      </c>
      <c r="B4145" s="2" t="str">
        <f>IFERROR(__xludf.DUMMYFUNCTION("""COMPUTED_VALUE"""),"Arts")</f>
        <v>Arts</v>
      </c>
      <c r="C4145" s="2" t="str">
        <f>IFERROR(__xludf.DUMMYFUNCTION("""COMPUTED_VALUE"""),"Blockchain")</f>
        <v>Blockchain</v>
      </c>
      <c r="D4145" s="2" t="str">
        <f>IFERROR(__xludf.DUMMYFUNCTION("""COMPUTED_VALUE"""),"Harborlight House")</f>
        <v>Harborlight House</v>
      </c>
      <c r="E4145" s="2">
        <f>IFERROR(__xludf.DUMMYFUNCTION("""COMPUTED_VALUE"""),1.63)</f>
        <v>1.63</v>
      </c>
      <c r="F4145" s="2"/>
      <c r="G4145" s="2"/>
      <c r="H4145" s="2"/>
      <c r="I4145" s="2"/>
    </row>
    <row r="4146">
      <c r="A4146" s="2">
        <f>IFERROR(__xludf.DUMMYFUNCTION("""COMPUTED_VALUE"""),69322.0)</f>
        <v>69322</v>
      </c>
      <c r="B4146" s="2" t="str">
        <f>IFERROR(__xludf.DUMMYFUNCTION("""COMPUTED_VALUE"""),"Arts")</f>
        <v>Arts</v>
      </c>
      <c r="C4146" s="2" t="str">
        <f>IFERROR(__xludf.DUMMYFUNCTION("""COMPUTED_VALUE"""),"Blockchain")</f>
        <v>Blockchain</v>
      </c>
      <c r="D4146" s="2" t="str">
        <f>IFERROR(__xludf.DUMMYFUNCTION("""COMPUTED_VALUE"""),"Harborlight House")</f>
        <v>Harborlight House</v>
      </c>
      <c r="E4146" s="2">
        <f>IFERROR(__xludf.DUMMYFUNCTION("""COMPUTED_VALUE"""),2.69)</f>
        <v>2.69</v>
      </c>
      <c r="F4146" s="2"/>
      <c r="G4146" s="2"/>
      <c r="H4146" s="2"/>
      <c r="I4146" s="2"/>
    </row>
    <row r="4147">
      <c r="A4147" s="2">
        <f>IFERROR(__xludf.DUMMYFUNCTION("""COMPUTED_VALUE"""),8696.0)</f>
        <v>8696</v>
      </c>
      <c r="B4147" s="2" t="str">
        <f>IFERROR(__xludf.DUMMYFUNCTION("""COMPUTED_VALUE"""),"Arts")</f>
        <v>Arts</v>
      </c>
      <c r="C4147" s="2" t="str">
        <f>IFERROR(__xludf.DUMMYFUNCTION("""COMPUTED_VALUE"""),"Blockchain")</f>
        <v>Blockchain</v>
      </c>
      <c r="D4147" s="2" t="str">
        <f>IFERROR(__xludf.DUMMYFUNCTION("""COMPUTED_VALUE"""),"Harborlight House")</f>
        <v>Harborlight House</v>
      </c>
      <c r="E4147" s="2">
        <f>IFERROR(__xludf.DUMMYFUNCTION("""COMPUTED_VALUE"""),3.05)</f>
        <v>3.05</v>
      </c>
      <c r="F4147" s="2"/>
      <c r="G4147" s="2"/>
      <c r="H4147" s="2"/>
      <c r="I4147" s="2"/>
    </row>
    <row r="4148">
      <c r="A4148" s="2">
        <f>IFERROR(__xludf.DUMMYFUNCTION("""COMPUTED_VALUE"""),119062.0)</f>
        <v>119062</v>
      </c>
      <c r="B4148" s="2" t="str">
        <f>IFERROR(__xludf.DUMMYFUNCTION("""COMPUTED_VALUE"""),"Arts")</f>
        <v>Arts</v>
      </c>
      <c r="C4148" s="2" t="str">
        <f>IFERROR(__xludf.DUMMYFUNCTION("""COMPUTED_VALUE"""),"Blockchain")</f>
        <v>Blockchain</v>
      </c>
      <c r="D4148" s="2" t="str">
        <f>IFERROR(__xludf.DUMMYFUNCTION("""COMPUTED_VALUE"""),"Harborlight House")</f>
        <v>Harborlight House</v>
      </c>
      <c r="E4148" s="2">
        <f>IFERROR(__xludf.DUMMYFUNCTION("""COMPUTED_VALUE"""),1.38)</f>
        <v>1.38</v>
      </c>
      <c r="F4148" s="2"/>
      <c r="G4148" s="2"/>
      <c r="H4148" s="2"/>
      <c r="I4148" s="2"/>
    </row>
    <row r="4149">
      <c r="A4149" s="2">
        <f>IFERROR(__xludf.DUMMYFUNCTION("""COMPUTED_VALUE"""),188931.0)</f>
        <v>188931</v>
      </c>
      <c r="B4149" s="2" t="str">
        <f>IFERROR(__xludf.DUMMYFUNCTION("""COMPUTED_VALUE"""),"Arts")</f>
        <v>Arts</v>
      </c>
      <c r="C4149" s="2" t="str">
        <f>IFERROR(__xludf.DUMMYFUNCTION("""COMPUTED_VALUE"""),"Blockchain")</f>
        <v>Blockchain</v>
      </c>
      <c r="D4149" s="2" t="str">
        <f>IFERROR(__xludf.DUMMYFUNCTION("""COMPUTED_VALUE"""),"Harborlight House")</f>
        <v>Harborlight House</v>
      </c>
      <c r="E4149" s="2">
        <f>IFERROR(__xludf.DUMMYFUNCTION("""COMPUTED_VALUE"""),1.89)</f>
        <v>1.89</v>
      </c>
      <c r="F4149" s="2"/>
      <c r="G4149" s="2"/>
      <c r="H4149" s="2"/>
      <c r="I4149" s="2"/>
    </row>
    <row r="4150">
      <c r="A4150" s="2">
        <f>IFERROR(__xludf.DUMMYFUNCTION("""COMPUTED_VALUE"""),100238.0)</f>
        <v>100238</v>
      </c>
      <c r="B4150" s="2" t="str">
        <f>IFERROR(__xludf.DUMMYFUNCTION("""COMPUTED_VALUE"""),"Arts")</f>
        <v>Arts</v>
      </c>
      <c r="C4150" s="2" t="str">
        <f>IFERROR(__xludf.DUMMYFUNCTION("""COMPUTED_VALUE"""),"Blockchain")</f>
        <v>Blockchain</v>
      </c>
      <c r="D4150" s="2" t="str">
        <f>IFERROR(__xludf.DUMMYFUNCTION("""COMPUTED_VALUE"""),"Harborlight House")</f>
        <v>Harborlight House</v>
      </c>
      <c r="E4150" s="2">
        <f>IFERROR(__xludf.DUMMYFUNCTION("""COMPUTED_VALUE"""),2.41)</f>
        <v>2.41</v>
      </c>
      <c r="F4150" s="2"/>
      <c r="G4150" s="2"/>
      <c r="H4150" s="2"/>
      <c r="I4150" s="2"/>
    </row>
    <row r="4151">
      <c r="A4151" s="2">
        <f>IFERROR(__xludf.DUMMYFUNCTION("""COMPUTED_VALUE"""),47010.0)</f>
        <v>47010</v>
      </c>
      <c r="B4151" s="2" t="str">
        <f>IFERROR(__xludf.DUMMYFUNCTION("""COMPUTED_VALUE"""),"Arts")</f>
        <v>Arts</v>
      </c>
      <c r="C4151" s="2" t="str">
        <f>IFERROR(__xludf.DUMMYFUNCTION("""COMPUTED_VALUE"""),"Blockchain")</f>
        <v>Blockchain</v>
      </c>
      <c r="D4151" s="2" t="str">
        <f>IFERROR(__xludf.DUMMYFUNCTION("""COMPUTED_VALUE"""),"Harborlight House")</f>
        <v>Harborlight House</v>
      </c>
      <c r="E4151" s="2">
        <f>IFERROR(__xludf.DUMMYFUNCTION("""COMPUTED_VALUE"""),1.86)</f>
        <v>1.86</v>
      </c>
      <c r="F4151" s="2"/>
      <c r="G4151" s="2"/>
      <c r="H4151" s="2"/>
      <c r="I4151" s="2"/>
    </row>
    <row r="4152">
      <c r="A4152" s="2">
        <f>IFERROR(__xludf.DUMMYFUNCTION("""COMPUTED_VALUE"""),104605.0)</f>
        <v>104605</v>
      </c>
      <c r="B4152" s="2" t="str">
        <f>IFERROR(__xludf.DUMMYFUNCTION("""COMPUTED_VALUE"""),"Arts")</f>
        <v>Arts</v>
      </c>
      <c r="C4152" s="2" t="str">
        <f>IFERROR(__xludf.DUMMYFUNCTION("""COMPUTED_VALUE"""),"Blockchain")</f>
        <v>Blockchain</v>
      </c>
      <c r="D4152" s="2" t="str">
        <f>IFERROR(__xludf.DUMMYFUNCTION("""COMPUTED_VALUE"""),"Harborlight House")</f>
        <v>Harborlight House</v>
      </c>
      <c r="E4152" s="2">
        <f>IFERROR(__xludf.DUMMYFUNCTION("""COMPUTED_VALUE"""),2.34)</f>
        <v>2.34</v>
      </c>
      <c r="F4152" s="2"/>
      <c r="G4152" s="2"/>
      <c r="H4152" s="2"/>
      <c r="I4152" s="2"/>
    </row>
    <row r="4153">
      <c r="A4153" s="2">
        <f>IFERROR(__xludf.DUMMYFUNCTION("""COMPUTED_VALUE"""),42694.0)</f>
        <v>42694</v>
      </c>
      <c r="B4153" s="2" t="str">
        <f>IFERROR(__xludf.DUMMYFUNCTION("""COMPUTED_VALUE"""),"Arts")</f>
        <v>Arts</v>
      </c>
      <c r="C4153" s="2" t="str">
        <f>IFERROR(__xludf.DUMMYFUNCTION("""COMPUTED_VALUE"""),"Blockchain")</f>
        <v>Blockchain</v>
      </c>
      <c r="D4153" s="2" t="str">
        <f>IFERROR(__xludf.DUMMYFUNCTION("""COMPUTED_VALUE"""),"Harborlight House")</f>
        <v>Harborlight House</v>
      </c>
      <c r="E4153" s="2">
        <f>IFERROR(__xludf.DUMMYFUNCTION("""COMPUTED_VALUE"""),4.0)</f>
        <v>4</v>
      </c>
      <c r="F4153" s="2"/>
      <c r="G4153" s="2"/>
      <c r="H4153" s="2"/>
      <c r="I4153" s="2"/>
    </row>
    <row r="4154">
      <c r="A4154" s="2">
        <f>IFERROR(__xludf.DUMMYFUNCTION("""COMPUTED_VALUE"""),8697.0)</f>
        <v>8697</v>
      </c>
      <c r="B4154" s="2" t="str">
        <f>IFERROR(__xludf.DUMMYFUNCTION("""COMPUTED_VALUE"""),"Arts")</f>
        <v>Arts</v>
      </c>
      <c r="C4154" s="2" t="str">
        <f>IFERROR(__xludf.DUMMYFUNCTION("""COMPUTED_VALUE"""),"Blockchain")</f>
        <v>Blockchain</v>
      </c>
      <c r="D4154" s="2" t="str">
        <f>IFERROR(__xludf.DUMMYFUNCTION("""COMPUTED_VALUE"""),"Harborlight House")</f>
        <v>Harborlight House</v>
      </c>
      <c r="E4154" s="2">
        <f>IFERROR(__xludf.DUMMYFUNCTION("""COMPUTED_VALUE"""),1.51)</f>
        <v>1.51</v>
      </c>
      <c r="F4154" s="2"/>
      <c r="G4154" s="2"/>
      <c r="H4154" s="2"/>
      <c r="I4154" s="2"/>
    </row>
    <row r="4155">
      <c r="A4155" s="2">
        <f>IFERROR(__xludf.DUMMYFUNCTION("""COMPUTED_VALUE"""),110957.0)</f>
        <v>110957</v>
      </c>
      <c r="B4155" s="2" t="str">
        <f>IFERROR(__xludf.DUMMYFUNCTION("""COMPUTED_VALUE"""),"Arts")</f>
        <v>Arts</v>
      </c>
      <c r="C4155" s="2" t="str">
        <f>IFERROR(__xludf.DUMMYFUNCTION("""COMPUTED_VALUE"""),"Blockchain")</f>
        <v>Blockchain</v>
      </c>
      <c r="D4155" s="2" t="str">
        <f>IFERROR(__xludf.DUMMYFUNCTION("""COMPUTED_VALUE"""),"Harborlight House")</f>
        <v>Harborlight House</v>
      </c>
      <c r="E4155" s="2">
        <f>IFERROR(__xludf.DUMMYFUNCTION("""COMPUTED_VALUE"""),1.94)</f>
        <v>1.94</v>
      </c>
      <c r="F4155" s="2"/>
      <c r="G4155" s="2"/>
      <c r="H4155" s="2"/>
      <c r="I4155" s="2"/>
    </row>
    <row r="4156">
      <c r="A4156" s="2">
        <f>IFERROR(__xludf.DUMMYFUNCTION("""COMPUTED_VALUE"""),86989.0)</f>
        <v>86989</v>
      </c>
      <c r="B4156" s="2" t="str">
        <f>IFERROR(__xludf.DUMMYFUNCTION("""COMPUTED_VALUE"""),"Arts")</f>
        <v>Arts</v>
      </c>
      <c r="C4156" s="2" t="str">
        <f>IFERROR(__xludf.DUMMYFUNCTION("""COMPUTED_VALUE"""),"Blockchain")</f>
        <v>Blockchain</v>
      </c>
      <c r="D4156" s="2" t="str">
        <f>IFERROR(__xludf.DUMMYFUNCTION("""COMPUTED_VALUE"""),"Harborlight House")</f>
        <v>Harborlight House</v>
      </c>
      <c r="E4156" s="2">
        <f>IFERROR(__xludf.DUMMYFUNCTION("""COMPUTED_VALUE"""),1.58)</f>
        <v>1.58</v>
      </c>
      <c r="F4156" s="2"/>
      <c r="G4156" s="2"/>
      <c r="H4156" s="2"/>
      <c r="I4156" s="2"/>
    </row>
    <row r="4157">
      <c r="A4157" s="2">
        <f>IFERROR(__xludf.DUMMYFUNCTION("""COMPUTED_VALUE"""),8695.0)</f>
        <v>8695</v>
      </c>
      <c r="B4157" s="2" t="str">
        <f>IFERROR(__xludf.DUMMYFUNCTION("""COMPUTED_VALUE"""),"Arts")</f>
        <v>Arts</v>
      </c>
      <c r="C4157" s="2" t="str">
        <f>IFERROR(__xludf.DUMMYFUNCTION("""COMPUTED_VALUE"""),"Blockchain")</f>
        <v>Blockchain</v>
      </c>
      <c r="D4157" s="2" t="str">
        <f>IFERROR(__xludf.DUMMYFUNCTION("""COMPUTED_VALUE"""),"Harborlight House")</f>
        <v>Harborlight House</v>
      </c>
      <c r="E4157" s="2">
        <f>IFERROR(__xludf.DUMMYFUNCTION("""COMPUTED_VALUE"""),1.65)</f>
        <v>1.65</v>
      </c>
      <c r="F4157" s="2"/>
      <c r="G4157" s="2"/>
      <c r="H4157" s="2"/>
      <c r="I4157" s="2"/>
    </row>
    <row r="4158">
      <c r="A4158" s="2">
        <f>IFERROR(__xludf.DUMMYFUNCTION("""COMPUTED_VALUE"""),122792.0)</f>
        <v>122792</v>
      </c>
      <c r="B4158" s="2" t="str">
        <f>IFERROR(__xludf.DUMMYFUNCTION("""COMPUTED_VALUE"""),"Arts")</f>
        <v>Arts</v>
      </c>
      <c r="C4158" s="2" t="str">
        <f>IFERROR(__xludf.DUMMYFUNCTION("""COMPUTED_VALUE"""),"Blockchain")</f>
        <v>Blockchain</v>
      </c>
      <c r="D4158" s="2" t="str">
        <f>IFERROR(__xludf.DUMMYFUNCTION("""COMPUTED_VALUE"""),"Harborlight House")</f>
        <v>Harborlight House</v>
      </c>
      <c r="E4158" s="2">
        <f>IFERROR(__xludf.DUMMYFUNCTION("""COMPUTED_VALUE"""),1.21)</f>
        <v>1.21</v>
      </c>
      <c r="F4158" s="2"/>
      <c r="G4158" s="2"/>
      <c r="H4158" s="2"/>
      <c r="I4158" s="2"/>
    </row>
    <row r="4159">
      <c r="A4159" s="2">
        <f>IFERROR(__xludf.DUMMYFUNCTION("""COMPUTED_VALUE"""),8698.0)</f>
        <v>8698</v>
      </c>
      <c r="B4159" s="2" t="str">
        <f>IFERROR(__xludf.DUMMYFUNCTION("""COMPUTED_VALUE"""),"Arts")</f>
        <v>Arts</v>
      </c>
      <c r="C4159" s="2" t="str">
        <f>IFERROR(__xludf.DUMMYFUNCTION("""COMPUTED_VALUE"""),"Blockchain")</f>
        <v>Blockchain</v>
      </c>
      <c r="D4159" s="2" t="str">
        <f>IFERROR(__xludf.DUMMYFUNCTION("""COMPUTED_VALUE"""),"Harborlight House")</f>
        <v>Harborlight House</v>
      </c>
      <c r="E4159" s="2">
        <f>IFERROR(__xludf.DUMMYFUNCTION("""COMPUTED_VALUE"""),2.29)</f>
        <v>2.29</v>
      </c>
      <c r="F4159" s="2"/>
      <c r="G4159" s="2"/>
      <c r="H4159" s="2"/>
      <c r="I4159" s="2"/>
    </row>
    <row r="4160">
      <c r="A4160" s="2">
        <f>IFERROR(__xludf.DUMMYFUNCTION("""COMPUTED_VALUE"""),103866.0)</f>
        <v>103866</v>
      </c>
      <c r="B4160" s="2" t="str">
        <f>IFERROR(__xludf.DUMMYFUNCTION("""COMPUTED_VALUE"""),"Arts")</f>
        <v>Arts</v>
      </c>
      <c r="C4160" s="2" t="str">
        <f>IFERROR(__xludf.DUMMYFUNCTION("""COMPUTED_VALUE"""),"Blockchain")</f>
        <v>Blockchain</v>
      </c>
      <c r="D4160" s="2" t="str">
        <f>IFERROR(__xludf.DUMMYFUNCTION("""COMPUTED_VALUE"""),"Harborlight House")</f>
        <v>Harborlight House</v>
      </c>
      <c r="E4160" s="2">
        <f>IFERROR(__xludf.DUMMYFUNCTION("""COMPUTED_VALUE"""),2.05)</f>
        <v>2.05</v>
      </c>
      <c r="F4160" s="2"/>
      <c r="G4160" s="2"/>
      <c r="H4160" s="2"/>
      <c r="I4160" s="2"/>
    </row>
    <row r="4161">
      <c r="A4161" s="2">
        <f>IFERROR(__xludf.DUMMYFUNCTION("""COMPUTED_VALUE"""),103865.0)</f>
        <v>103865</v>
      </c>
      <c r="B4161" s="2" t="str">
        <f>IFERROR(__xludf.DUMMYFUNCTION("""COMPUTED_VALUE"""),"Arts")</f>
        <v>Arts</v>
      </c>
      <c r="C4161" s="2" t="str">
        <f>IFERROR(__xludf.DUMMYFUNCTION("""COMPUTED_VALUE"""),"Blockchain")</f>
        <v>Blockchain</v>
      </c>
      <c r="D4161" s="2" t="str">
        <f>IFERROR(__xludf.DUMMYFUNCTION("""COMPUTED_VALUE"""),"Harborlight House")</f>
        <v>Harborlight House</v>
      </c>
      <c r="E4161" s="2">
        <f>IFERROR(__xludf.DUMMYFUNCTION("""COMPUTED_VALUE"""),2.46)</f>
        <v>2.46</v>
      </c>
      <c r="F4161" s="2"/>
      <c r="G4161" s="2"/>
      <c r="H4161" s="2"/>
      <c r="I4161" s="2"/>
    </row>
    <row r="4162">
      <c r="A4162" s="2">
        <f>IFERROR(__xludf.DUMMYFUNCTION("""COMPUTED_VALUE"""),110945.0)</f>
        <v>110945</v>
      </c>
      <c r="B4162" s="2" t="str">
        <f>IFERROR(__xludf.DUMMYFUNCTION("""COMPUTED_VALUE"""),"Arts")</f>
        <v>Arts</v>
      </c>
      <c r="C4162" s="2" t="str">
        <f>IFERROR(__xludf.DUMMYFUNCTION("""COMPUTED_VALUE"""),"Blockchain")</f>
        <v>Blockchain</v>
      </c>
      <c r="D4162" s="2" t="str">
        <f>IFERROR(__xludf.DUMMYFUNCTION("""COMPUTED_VALUE"""),"Harborlight House")</f>
        <v>Harborlight House</v>
      </c>
      <c r="E4162" s="2">
        <f>IFERROR(__xludf.DUMMYFUNCTION("""COMPUTED_VALUE"""),2.92)</f>
        <v>2.92</v>
      </c>
      <c r="F4162" s="2"/>
      <c r="G4162" s="2"/>
      <c r="H4162" s="2"/>
      <c r="I4162" s="2"/>
    </row>
    <row r="4163">
      <c r="A4163" s="2">
        <f>IFERROR(__xludf.DUMMYFUNCTION("""COMPUTED_VALUE"""),158671.0)</f>
        <v>158671</v>
      </c>
      <c r="B4163" s="2" t="str">
        <f>IFERROR(__xludf.DUMMYFUNCTION("""COMPUTED_VALUE"""),"Arts")</f>
        <v>Arts</v>
      </c>
      <c r="C4163" s="2" t="str">
        <f>IFERROR(__xludf.DUMMYFUNCTION("""COMPUTED_VALUE"""),"Blockchain")</f>
        <v>Blockchain</v>
      </c>
      <c r="D4163" s="2" t="str">
        <f>IFERROR(__xludf.DUMMYFUNCTION("""COMPUTED_VALUE"""),"Harborlight House")</f>
        <v>Harborlight House</v>
      </c>
      <c r="E4163" s="2">
        <f>IFERROR(__xludf.DUMMYFUNCTION("""COMPUTED_VALUE"""),6.16)</f>
        <v>6.16</v>
      </c>
      <c r="F4163" s="2"/>
      <c r="G4163" s="2"/>
      <c r="H4163" s="2"/>
      <c r="I4163" s="2"/>
    </row>
    <row r="4164">
      <c r="A4164" s="2">
        <f>IFERROR(__xludf.DUMMYFUNCTION("""COMPUTED_VALUE"""),118915.0)</f>
        <v>118915</v>
      </c>
      <c r="B4164" s="2" t="str">
        <f>IFERROR(__xludf.DUMMYFUNCTION("""COMPUTED_VALUE"""),"Arts")</f>
        <v>Arts</v>
      </c>
      <c r="C4164" s="2" t="str">
        <f>IFERROR(__xludf.DUMMYFUNCTION("""COMPUTED_VALUE"""),"Blockchain")</f>
        <v>Blockchain</v>
      </c>
      <c r="D4164" s="2" t="str">
        <f>IFERROR(__xludf.DUMMYFUNCTION("""COMPUTED_VALUE"""),"Harborlight House")</f>
        <v>Harborlight House</v>
      </c>
      <c r="E4164" s="2">
        <f>IFERROR(__xludf.DUMMYFUNCTION("""COMPUTED_VALUE"""),2.27)</f>
        <v>2.27</v>
      </c>
      <c r="F4164" s="2"/>
      <c r="G4164" s="2"/>
      <c r="H4164" s="2"/>
      <c r="I4164" s="2"/>
    </row>
    <row r="4165">
      <c r="A4165" s="2">
        <f>IFERROR(__xludf.DUMMYFUNCTION("""COMPUTED_VALUE"""),88990.0)</f>
        <v>88990</v>
      </c>
      <c r="B4165" s="2" t="str">
        <f>IFERROR(__xludf.DUMMYFUNCTION("""COMPUTED_VALUE"""),"Arts")</f>
        <v>Arts</v>
      </c>
      <c r="C4165" s="2" t="str">
        <f>IFERROR(__xludf.DUMMYFUNCTION("""COMPUTED_VALUE"""),"Blockchain")</f>
        <v>Blockchain</v>
      </c>
      <c r="D4165" s="2" t="str">
        <f>IFERROR(__xludf.DUMMYFUNCTION("""COMPUTED_VALUE"""),"Harborlight House")</f>
        <v>Harborlight House</v>
      </c>
      <c r="E4165" s="2">
        <f>IFERROR(__xludf.DUMMYFUNCTION("""COMPUTED_VALUE"""),0.92)</f>
        <v>0.92</v>
      </c>
      <c r="F4165" s="2"/>
      <c r="G4165" s="2"/>
      <c r="H4165" s="2"/>
      <c r="I4165" s="2"/>
    </row>
    <row r="4166">
      <c r="A4166" s="2">
        <f>IFERROR(__xludf.DUMMYFUNCTION("""COMPUTED_VALUE"""),73835.0)</f>
        <v>73835</v>
      </c>
      <c r="B4166" s="2" t="str">
        <f>IFERROR(__xludf.DUMMYFUNCTION("""COMPUTED_VALUE"""),"Arts")</f>
        <v>Arts</v>
      </c>
      <c r="C4166" s="2" t="str">
        <f>IFERROR(__xludf.DUMMYFUNCTION("""COMPUTED_VALUE"""),"Blockchain")</f>
        <v>Blockchain</v>
      </c>
      <c r="D4166" s="2" t="str">
        <f>IFERROR(__xludf.DUMMYFUNCTION("""COMPUTED_VALUE"""),"Harborlight House")</f>
        <v>Harborlight House</v>
      </c>
      <c r="E4166" s="2">
        <f>IFERROR(__xludf.DUMMYFUNCTION("""COMPUTED_VALUE"""),1.61)</f>
        <v>1.61</v>
      </c>
      <c r="F4166" s="2"/>
      <c r="G4166" s="2"/>
      <c r="H4166" s="2"/>
      <c r="I4166" s="2"/>
    </row>
    <row r="4167">
      <c r="A4167" s="2">
        <f>IFERROR(__xludf.DUMMYFUNCTION("""COMPUTED_VALUE"""),8699.0)</f>
        <v>8699</v>
      </c>
      <c r="B4167" s="2" t="str">
        <f>IFERROR(__xludf.DUMMYFUNCTION("""COMPUTED_VALUE"""),"Arts")</f>
        <v>Arts</v>
      </c>
      <c r="C4167" s="2" t="str">
        <f>IFERROR(__xludf.DUMMYFUNCTION("""COMPUTED_VALUE"""),"Blockchain")</f>
        <v>Blockchain</v>
      </c>
      <c r="D4167" s="2" t="str">
        <f>IFERROR(__xludf.DUMMYFUNCTION("""COMPUTED_VALUE"""),"Harborlight House")</f>
        <v>Harborlight House</v>
      </c>
      <c r="E4167" s="2">
        <f>IFERROR(__xludf.DUMMYFUNCTION("""COMPUTED_VALUE"""),2.36)</f>
        <v>2.36</v>
      </c>
      <c r="F4167" s="2"/>
      <c r="G4167" s="2"/>
      <c r="H4167" s="2"/>
      <c r="I4167" s="2"/>
    </row>
    <row r="4168">
      <c r="A4168" s="2">
        <f>IFERROR(__xludf.DUMMYFUNCTION("""COMPUTED_VALUE"""),81494.0)</f>
        <v>81494</v>
      </c>
      <c r="B4168" s="2" t="str">
        <f>IFERROR(__xludf.DUMMYFUNCTION("""COMPUTED_VALUE"""),"Arts")</f>
        <v>Arts</v>
      </c>
      <c r="C4168" s="2" t="str">
        <f>IFERROR(__xludf.DUMMYFUNCTION("""COMPUTED_VALUE"""),"Blockchain")</f>
        <v>Blockchain</v>
      </c>
      <c r="D4168" s="2" t="str">
        <f>IFERROR(__xludf.DUMMYFUNCTION("""COMPUTED_VALUE"""),"Harborlight House")</f>
        <v>Harborlight House</v>
      </c>
      <c r="E4168" s="2">
        <f>IFERROR(__xludf.DUMMYFUNCTION("""COMPUTED_VALUE"""),2.14)</f>
        <v>2.14</v>
      </c>
      <c r="F4168" s="2"/>
      <c r="G4168" s="2"/>
      <c r="H4168" s="2"/>
      <c r="I4168" s="2"/>
    </row>
    <row r="4169">
      <c r="A4169" s="2">
        <f>IFERROR(__xludf.DUMMYFUNCTION("""COMPUTED_VALUE"""),89821.0)</f>
        <v>89821</v>
      </c>
      <c r="B4169" s="2" t="str">
        <f>IFERROR(__xludf.DUMMYFUNCTION("""COMPUTED_VALUE"""),"Arts")</f>
        <v>Arts</v>
      </c>
      <c r="C4169" s="2" t="str">
        <f>IFERROR(__xludf.DUMMYFUNCTION("""COMPUTED_VALUE"""),"Blockchain")</f>
        <v>Blockchain</v>
      </c>
      <c r="D4169" s="2" t="str">
        <f>IFERROR(__xludf.DUMMYFUNCTION("""COMPUTED_VALUE"""),"Harborlight House")</f>
        <v>Harborlight House</v>
      </c>
      <c r="E4169" s="2">
        <f>IFERROR(__xludf.DUMMYFUNCTION("""COMPUTED_VALUE"""),2.38)</f>
        <v>2.38</v>
      </c>
      <c r="F4169" s="2"/>
      <c r="G4169" s="2"/>
      <c r="H4169" s="2"/>
      <c r="I4169" s="2"/>
    </row>
    <row r="4170">
      <c r="A4170" s="2">
        <f>IFERROR(__xludf.DUMMYFUNCTION("""COMPUTED_VALUE"""),83567.0)</f>
        <v>83567</v>
      </c>
      <c r="B4170" s="2" t="str">
        <f>IFERROR(__xludf.DUMMYFUNCTION("""COMPUTED_VALUE"""),"Arts")</f>
        <v>Arts</v>
      </c>
      <c r="C4170" s="2" t="str">
        <f>IFERROR(__xludf.DUMMYFUNCTION("""COMPUTED_VALUE"""),"Blockchain")</f>
        <v>Blockchain</v>
      </c>
      <c r="D4170" s="2" t="str">
        <f>IFERROR(__xludf.DUMMYFUNCTION("""COMPUTED_VALUE"""),"Harborlight House")</f>
        <v>Harborlight House</v>
      </c>
      <c r="E4170" s="2">
        <f>IFERROR(__xludf.DUMMYFUNCTION("""COMPUTED_VALUE"""),2.9)</f>
        <v>2.9</v>
      </c>
      <c r="F4170" s="2"/>
      <c r="G4170" s="2"/>
      <c r="H4170" s="2"/>
      <c r="I4170" s="2"/>
    </row>
    <row r="4171">
      <c r="A4171" s="2">
        <f>IFERROR(__xludf.DUMMYFUNCTION("""COMPUTED_VALUE"""),69323.0)</f>
        <v>69323</v>
      </c>
      <c r="B4171" s="2" t="str">
        <f>IFERROR(__xludf.DUMMYFUNCTION("""COMPUTED_VALUE"""),"Arts")</f>
        <v>Arts</v>
      </c>
      <c r="C4171" s="2" t="str">
        <f>IFERROR(__xludf.DUMMYFUNCTION("""COMPUTED_VALUE"""),"Blockchain")</f>
        <v>Blockchain</v>
      </c>
      <c r="D4171" s="2" t="str">
        <f>IFERROR(__xludf.DUMMYFUNCTION("""COMPUTED_VALUE"""),"Harborlight House")</f>
        <v>Harborlight House</v>
      </c>
      <c r="E4171" s="2">
        <f>IFERROR(__xludf.DUMMYFUNCTION("""COMPUTED_VALUE"""),2.48)</f>
        <v>2.48</v>
      </c>
      <c r="F4171" s="2"/>
      <c r="G4171" s="2"/>
      <c r="H4171" s="2"/>
      <c r="I4171" s="2"/>
    </row>
    <row r="4172">
      <c r="A4172" s="2">
        <f>IFERROR(__xludf.DUMMYFUNCTION("""COMPUTED_VALUE"""),88976.0)</f>
        <v>88976</v>
      </c>
      <c r="B4172" s="2" t="str">
        <f>IFERROR(__xludf.DUMMYFUNCTION("""COMPUTED_VALUE"""),"Arts")</f>
        <v>Arts</v>
      </c>
      <c r="C4172" s="2" t="str">
        <f>IFERROR(__xludf.DUMMYFUNCTION("""COMPUTED_VALUE"""),"Blockchain")</f>
        <v>Blockchain</v>
      </c>
      <c r="D4172" s="2" t="str">
        <f>IFERROR(__xludf.DUMMYFUNCTION("""COMPUTED_VALUE"""),"Harborlight House")</f>
        <v>Harborlight House</v>
      </c>
      <c r="E4172" s="2">
        <f>IFERROR(__xludf.DUMMYFUNCTION("""COMPUTED_VALUE"""),1.11)</f>
        <v>1.11</v>
      </c>
      <c r="F4172" s="2"/>
      <c r="G4172" s="2"/>
      <c r="H4172" s="2"/>
      <c r="I4172" s="2"/>
    </row>
    <row r="4173">
      <c r="A4173" s="2">
        <f>IFERROR(__xludf.DUMMYFUNCTION("""COMPUTED_VALUE"""),199415.0)</f>
        <v>199415</v>
      </c>
      <c r="B4173" s="2" t="str">
        <f>IFERROR(__xludf.DUMMYFUNCTION("""COMPUTED_VALUE"""),"Arts")</f>
        <v>Arts</v>
      </c>
      <c r="C4173" s="2" t="str">
        <f>IFERROR(__xludf.DUMMYFUNCTION("""COMPUTED_VALUE"""),"Blockchain")</f>
        <v>Blockchain</v>
      </c>
      <c r="D4173" s="2" t="str">
        <f>IFERROR(__xludf.DUMMYFUNCTION("""COMPUTED_VALUE"""),"Harborlight House")</f>
        <v>Harborlight House</v>
      </c>
      <c r="E4173" s="2">
        <f>IFERROR(__xludf.DUMMYFUNCTION("""COMPUTED_VALUE"""),2.07)</f>
        <v>2.07</v>
      </c>
      <c r="F4173" s="2"/>
      <c r="G4173" s="2"/>
      <c r="H4173" s="2"/>
      <c r="I4173" s="2"/>
    </row>
    <row r="4174">
      <c r="A4174" s="2">
        <f>IFERROR(__xludf.DUMMYFUNCTION("""COMPUTED_VALUE"""),112792.0)</f>
        <v>112792</v>
      </c>
      <c r="B4174" s="2" t="str">
        <f>IFERROR(__xludf.DUMMYFUNCTION("""COMPUTED_VALUE"""),"Arts")</f>
        <v>Arts</v>
      </c>
      <c r="C4174" s="2" t="str">
        <f>IFERROR(__xludf.DUMMYFUNCTION("""COMPUTED_VALUE"""),"Blockchain")</f>
        <v>Blockchain</v>
      </c>
      <c r="D4174" s="2" t="str">
        <f>IFERROR(__xludf.DUMMYFUNCTION("""COMPUTED_VALUE"""),"Harborlight House")</f>
        <v>Harborlight House</v>
      </c>
      <c r="E4174" s="2">
        <f>IFERROR(__xludf.DUMMYFUNCTION("""COMPUTED_VALUE"""),2.03)</f>
        <v>2.03</v>
      </c>
      <c r="F4174" s="2"/>
      <c r="G4174" s="2"/>
      <c r="H4174" s="2"/>
      <c r="I4174" s="2"/>
    </row>
    <row r="4175">
      <c r="A4175" s="2">
        <f>IFERROR(__xludf.DUMMYFUNCTION("""COMPUTED_VALUE"""),104322.0)</f>
        <v>104322</v>
      </c>
      <c r="B4175" s="2" t="str">
        <f>IFERROR(__xludf.DUMMYFUNCTION("""COMPUTED_VALUE"""),"Arts")</f>
        <v>Arts</v>
      </c>
      <c r="C4175" s="2" t="str">
        <f>IFERROR(__xludf.DUMMYFUNCTION("""COMPUTED_VALUE"""),"Blockchain")</f>
        <v>Blockchain</v>
      </c>
      <c r="D4175" s="2" t="str">
        <f>IFERROR(__xludf.DUMMYFUNCTION("""COMPUTED_VALUE"""),"Harborlight House")</f>
        <v>Harborlight House</v>
      </c>
      <c r="E4175" s="2">
        <f>IFERROR(__xludf.DUMMYFUNCTION("""COMPUTED_VALUE"""),2.24)</f>
        <v>2.24</v>
      </c>
      <c r="F4175" s="2"/>
      <c r="G4175" s="2"/>
      <c r="H4175" s="2"/>
      <c r="I4175" s="2"/>
    </row>
    <row r="4176">
      <c r="A4176" s="2">
        <f>IFERROR(__xludf.DUMMYFUNCTION("""COMPUTED_VALUE"""),69321.0)</f>
        <v>69321</v>
      </c>
      <c r="B4176" s="2" t="str">
        <f>IFERROR(__xludf.DUMMYFUNCTION("""COMPUTED_VALUE"""),"Arts")</f>
        <v>Arts</v>
      </c>
      <c r="C4176" s="2" t="str">
        <f>IFERROR(__xludf.DUMMYFUNCTION("""COMPUTED_VALUE"""),"Blockchain")</f>
        <v>Blockchain</v>
      </c>
      <c r="D4176" s="2" t="str">
        <f>IFERROR(__xludf.DUMMYFUNCTION("""COMPUTED_VALUE"""),"Harborlight House")</f>
        <v>Harborlight House</v>
      </c>
      <c r="E4176" s="2">
        <f>IFERROR(__xludf.DUMMYFUNCTION("""COMPUTED_VALUE"""),1.87)</f>
        <v>1.87</v>
      </c>
      <c r="F4176" s="2"/>
      <c r="G4176" s="2"/>
      <c r="H4176" s="2"/>
      <c r="I4176" s="2"/>
    </row>
    <row r="4177">
      <c r="A4177" s="2">
        <f>IFERROR(__xludf.DUMMYFUNCTION("""COMPUTED_VALUE"""),110948.0)</f>
        <v>110948</v>
      </c>
      <c r="B4177" s="2" t="str">
        <f>IFERROR(__xludf.DUMMYFUNCTION("""COMPUTED_VALUE"""),"Arts")</f>
        <v>Arts</v>
      </c>
      <c r="C4177" s="2" t="str">
        <f>IFERROR(__xludf.DUMMYFUNCTION("""COMPUTED_VALUE"""),"Blockchain")</f>
        <v>Blockchain</v>
      </c>
      <c r="D4177" s="2" t="str">
        <f>IFERROR(__xludf.DUMMYFUNCTION("""COMPUTED_VALUE"""),"Harborlight House")</f>
        <v>Harborlight House</v>
      </c>
      <c r="E4177" s="2">
        <f>IFERROR(__xludf.DUMMYFUNCTION("""COMPUTED_VALUE"""),2.68)</f>
        <v>2.68</v>
      </c>
      <c r="F4177" s="2"/>
      <c r="G4177" s="2"/>
      <c r="H4177" s="2"/>
      <c r="I4177" s="2"/>
    </row>
    <row r="4178">
      <c r="A4178" s="2">
        <f>IFERROR(__xludf.DUMMYFUNCTION("""COMPUTED_VALUE"""),82008.0)</f>
        <v>82008</v>
      </c>
      <c r="B4178" s="2" t="str">
        <f>IFERROR(__xludf.DUMMYFUNCTION("""COMPUTED_VALUE"""),"Arts")</f>
        <v>Arts</v>
      </c>
      <c r="C4178" s="2" t="str">
        <f>IFERROR(__xludf.DUMMYFUNCTION("""COMPUTED_VALUE"""),"Blockchain")</f>
        <v>Blockchain</v>
      </c>
      <c r="D4178" s="2" t="str">
        <f>IFERROR(__xludf.DUMMYFUNCTION("""COMPUTED_VALUE"""),"Harborlight House")</f>
        <v>Harborlight House</v>
      </c>
      <c r="E4178" s="2">
        <f>IFERROR(__xludf.DUMMYFUNCTION("""COMPUTED_VALUE"""),1.73)</f>
        <v>1.73</v>
      </c>
      <c r="F4178" s="2"/>
      <c r="G4178" s="2"/>
      <c r="H4178" s="2"/>
      <c r="I4178" s="2"/>
    </row>
    <row r="4179">
      <c r="A4179" s="2">
        <f>IFERROR(__xludf.DUMMYFUNCTION("""COMPUTED_VALUE"""),86987.0)</f>
        <v>86987</v>
      </c>
      <c r="B4179" s="2" t="str">
        <f>IFERROR(__xludf.DUMMYFUNCTION("""COMPUTED_VALUE"""),"Arts")</f>
        <v>Arts</v>
      </c>
      <c r="C4179" s="2" t="str">
        <f>IFERROR(__xludf.DUMMYFUNCTION("""COMPUTED_VALUE"""),"Blockchain")</f>
        <v>Blockchain</v>
      </c>
      <c r="D4179" s="2" t="str">
        <f>IFERROR(__xludf.DUMMYFUNCTION("""COMPUTED_VALUE"""),"Harborlight House")</f>
        <v>Harborlight House</v>
      </c>
      <c r="E4179" s="2">
        <f>IFERROR(__xludf.DUMMYFUNCTION("""COMPUTED_VALUE"""),1.82)</f>
        <v>1.82</v>
      </c>
      <c r="F4179" s="2"/>
      <c r="G4179" s="2"/>
      <c r="H4179" s="2"/>
      <c r="I4179" s="2"/>
    </row>
    <row r="4180">
      <c r="A4180" s="2">
        <f>IFERROR(__xludf.DUMMYFUNCTION("""COMPUTED_VALUE"""),118912.0)</f>
        <v>118912</v>
      </c>
      <c r="B4180" s="2" t="str">
        <f>IFERROR(__xludf.DUMMYFUNCTION("""COMPUTED_VALUE"""),"Arts")</f>
        <v>Arts</v>
      </c>
      <c r="C4180" s="2" t="str">
        <f>IFERROR(__xludf.DUMMYFUNCTION("""COMPUTED_VALUE"""),"Blockchain")</f>
        <v>Blockchain</v>
      </c>
      <c r="D4180" s="2" t="str">
        <f>IFERROR(__xludf.DUMMYFUNCTION("""COMPUTED_VALUE"""),"Harborlight House")</f>
        <v>Harborlight House</v>
      </c>
      <c r="E4180" s="2">
        <f>IFERROR(__xludf.DUMMYFUNCTION("""COMPUTED_VALUE"""),1.77)</f>
        <v>1.77</v>
      </c>
      <c r="F4180" s="2"/>
      <c r="G4180" s="2"/>
      <c r="H4180" s="2"/>
      <c r="I4180" s="2"/>
    </row>
    <row r="4181">
      <c r="A4181" s="2">
        <f>IFERROR(__xludf.DUMMYFUNCTION("""COMPUTED_VALUE"""),47048.0)</f>
        <v>47048</v>
      </c>
      <c r="B4181" s="2" t="str">
        <f>IFERROR(__xludf.DUMMYFUNCTION("""COMPUTED_VALUE"""),"Arts")</f>
        <v>Arts</v>
      </c>
      <c r="C4181" s="2" t="str">
        <f>IFERROR(__xludf.DUMMYFUNCTION("""COMPUTED_VALUE"""),"Blockchain")</f>
        <v>Blockchain</v>
      </c>
      <c r="D4181" s="2" t="str">
        <f>IFERROR(__xludf.DUMMYFUNCTION("""COMPUTED_VALUE"""),"Harborlight House")</f>
        <v>Harborlight House</v>
      </c>
      <c r="E4181" s="2">
        <f>IFERROR(__xludf.DUMMYFUNCTION("""COMPUTED_VALUE"""),1.75)</f>
        <v>1.75</v>
      </c>
      <c r="F4181" s="2"/>
      <c r="G4181" s="2"/>
      <c r="H4181" s="2"/>
      <c r="I4181" s="2"/>
    </row>
    <row r="4182">
      <c r="A4182" s="2">
        <f>IFERROR(__xludf.DUMMYFUNCTION("""COMPUTED_VALUE"""),103870.0)</f>
        <v>103870</v>
      </c>
      <c r="B4182" s="2" t="str">
        <f>IFERROR(__xludf.DUMMYFUNCTION("""COMPUTED_VALUE"""),"Arts")</f>
        <v>Arts</v>
      </c>
      <c r="C4182" s="2" t="str">
        <f>IFERROR(__xludf.DUMMYFUNCTION("""COMPUTED_VALUE"""),"Blockchain")</f>
        <v>Blockchain</v>
      </c>
      <c r="D4182" s="2" t="str">
        <f>IFERROR(__xludf.DUMMYFUNCTION("""COMPUTED_VALUE"""),"Harborlight House")</f>
        <v>Harborlight House</v>
      </c>
      <c r="E4182" s="2">
        <f>IFERROR(__xludf.DUMMYFUNCTION("""COMPUTED_VALUE"""),1.85)</f>
        <v>1.85</v>
      </c>
      <c r="F4182" s="2"/>
      <c r="G4182" s="2"/>
      <c r="H4182" s="2"/>
      <c r="I4182" s="2"/>
    </row>
    <row r="4183">
      <c r="A4183" s="2">
        <f>IFERROR(__xludf.DUMMYFUNCTION("""COMPUTED_VALUE"""),86985.0)</f>
        <v>86985</v>
      </c>
      <c r="B4183" s="2" t="str">
        <f>IFERROR(__xludf.DUMMYFUNCTION("""COMPUTED_VALUE"""),"Arts")</f>
        <v>Arts</v>
      </c>
      <c r="C4183" s="2" t="str">
        <f>IFERROR(__xludf.DUMMYFUNCTION("""COMPUTED_VALUE"""),"Blockchain")</f>
        <v>Blockchain</v>
      </c>
      <c r="D4183" s="2" t="str">
        <f>IFERROR(__xludf.DUMMYFUNCTION("""COMPUTED_VALUE"""),"Harborlight House")</f>
        <v>Harborlight House</v>
      </c>
      <c r="E4183" s="2">
        <f>IFERROR(__xludf.DUMMYFUNCTION("""COMPUTED_VALUE"""),2.5)</f>
        <v>2.5</v>
      </c>
      <c r="F4183" s="2"/>
      <c r="G4183" s="2"/>
      <c r="H4183" s="2"/>
      <c r="I4183" s="2"/>
    </row>
    <row r="4184">
      <c r="A4184" s="2">
        <f>IFERROR(__xludf.DUMMYFUNCTION("""COMPUTED_VALUE"""),82005.0)</f>
        <v>82005</v>
      </c>
      <c r="B4184" s="2" t="str">
        <f>IFERROR(__xludf.DUMMYFUNCTION("""COMPUTED_VALUE"""),"Arts")</f>
        <v>Arts</v>
      </c>
      <c r="C4184" s="2" t="str">
        <f>IFERROR(__xludf.DUMMYFUNCTION("""COMPUTED_VALUE"""),"Blockchain")</f>
        <v>Blockchain</v>
      </c>
      <c r="D4184" s="2" t="str">
        <f>IFERROR(__xludf.DUMMYFUNCTION("""COMPUTED_VALUE"""),"Harborlight House")</f>
        <v>Harborlight House</v>
      </c>
      <c r="E4184" s="2">
        <f>IFERROR(__xludf.DUMMYFUNCTION("""COMPUTED_VALUE"""),1.31)</f>
        <v>1.31</v>
      </c>
      <c r="F4184" s="2"/>
      <c r="G4184" s="2"/>
      <c r="H4184" s="2"/>
      <c r="I4184" s="2"/>
    </row>
    <row r="4185">
      <c r="A4185" s="2">
        <f>IFERROR(__xludf.DUMMYFUNCTION("""COMPUTED_VALUE"""),119053.0)</f>
        <v>119053</v>
      </c>
      <c r="B4185" s="2" t="str">
        <f>IFERROR(__xludf.DUMMYFUNCTION("""COMPUTED_VALUE"""),"Arts")</f>
        <v>Arts</v>
      </c>
      <c r="C4185" s="2" t="str">
        <f>IFERROR(__xludf.DUMMYFUNCTION("""COMPUTED_VALUE"""),"Blockchain")</f>
        <v>Blockchain</v>
      </c>
      <c r="D4185" s="2" t="str">
        <f>IFERROR(__xludf.DUMMYFUNCTION("""COMPUTED_VALUE"""),"Harborlight House")</f>
        <v>Harborlight House</v>
      </c>
      <c r="E4185" s="2">
        <f>IFERROR(__xludf.DUMMYFUNCTION("""COMPUTED_VALUE"""),2.05)</f>
        <v>2.05</v>
      </c>
      <c r="F4185" s="2"/>
      <c r="G4185" s="2"/>
      <c r="H4185" s="2"/>
      <c r="I4185" s="2"/>
    </row>
    <row r="4186">
      <c r="A4186" s="2">
        <f>IFERROR(__xludf.DUMMYFUNCTION("""COMPUTED_VALUE"""),102015.0)</f>
        <v>102015</v>
      </c>
      <c r="B4186" s="2" t="str">
        <f>IFERROR(__xludf.DUMMYFUNCTION("""COMPUTED_VALUE"""),"Self-Help")</f>
        <v>Self-Help</v>
      </c>
      <c r="C4186" s="2" t="str">
        <f>IFERROR(__xludf.DUMMYFUNCTION("""COMPUTED_VALUE"""),"Game Development")</f>
        <v>Game Development</v>
      </c>
      <c r="D4186" s="2" t="str">
        <f>IFERROR(__xludf.DUMMYFUNCTION("""COMPUTED_VALUE"""),"Cedarlight House")</f>
        <v>Cedarlight House</v>
      </c>
      <c r="E4186" s="2">
        <f>IFERROR(__xludf.DUMMYFUNCTION("""COMPUTED_VALUE"""),34.67)</f>
        <v>34.67</v>
      </c>
      <c r="F4186" s="2"/>
      <c r="G4186" s="2"/>
      <c r="H4186" s="2"/>
      <c r="I4186" s="2"/>
    </row>
    <row r="4187">
      <c r="A4187" s="2">
        <f>IFERROR(__xludf.DUMMYFUNCTION("""COMPUTED_VALUE"""),92823.0)</f>
        <v>92823</v>
      </c>
      <c r="B4187" s="2" t="str">
        <f>IFERROR(__xludf.DUMMYFUNCTION("""COMPUTED_VALUE"""),"Fiction")</f>
        <v>Fiction</v>
      </c>
      <c r="C4187" s="2" t="str">
        <f>IFERROR(__xludf.DUMMYFUNCTION("""COMPUTED_VALUE"""),"UI/UX Design")</f>
        <v>UI/UX Design</v>
      </c>
      <c r="D4187" s="2" t="str">
        <f>IFERROR(__xludf.DUMMYFUNCTION("""COMPUTED_VALUE"""),"Brightlight House")</f>
        <v>Brightlight House</v>
      </c>
      <c r="E4187" s="2">
        <f>IFERROR(__xludf.DUMMYFUNCTION("""COMPUTED_VALUE"""),12.24)</f>
        <v>12.24</v>
      </c>
      <c r="F4187" s="2"/>
      <c r="G4187" s="2"/>
      <c r="H4187" s="2"/>
      <c r="I4187" s="2"/>
    </row>
    <row r="4188">
      <c r="A4188" s="2">
        <f>IFERROR(__xludf.DUMMYFUNCTION("""COMPUTED_VALUE"""),108060.0)</f>
        <v>108060</v>
      </c>
      <c r="B4188" s="2" t="str">
        <f>IFERROR(__xludf.DUMMYFUNCTION("""COMPUTED_VALUE"""),"Fiction")</f>
        <v>Fiction</v>
      </c>
      <c r="C4188" s="2" t="str">
        <f>IFERROR(__xludf.DUMMYFUNCTION("""COMPUTED_VALUE"""),"UI/UX Design")</f>
        <v>UI/UX Design</v>
      </c>
      <c r="D4188" s="2" t="str">
        <f>IFERROR(__xludf.DUMMYFUNCTION("""COMPUTED_VALUE"""),"Brightlight House")</f>
        <v>Brightlight House</v>
      </c>
      <c r="E4188" s="2">
        <f>IFERROR(__xludf.DUMMYFUNCTION("""COMPUTED_VALUE"""),28.45)</f>
        <v>28.45</v>
      </c>
      <c r="F4188" s="2"/>
      <c r="G4188" s="2"/>
      <c r="H4188" s="2"/>
      <c r="I4188" s="2"/>
    </row>
    <row r="4189">
      <c r="A4189" s="2">
        <f>IFERROR(__xludf.DUMMYFUNCTION("""COMPUTED_VALUE"""),4214.0)</f>
        <v>4214</v>
      </c>
      <c r="B4189" s="2" t="str">
        <f>IFERROR(__xludf.DUMMYFUNCTION("""COMPUTED_VALUE"""),"Fiction")</f>
        <v>Fiction</v>
      </c>
      <c r="C4189" s="2" t="str">
        <f>IFERROR(__xludf.DUMMYFUNCTION("""COMPUTED_VALUE"""),"UI/UX Design")</f>
        <v>UI/UX Design</v>
      </c>
      <c r="D4189" s="2" t="str">
        <f>IFERROR(__xludf.DUMMYFUNCTION("""COMPUTED_VALUE"""),"Brightlight House")</f>
        <v>Brightlight House</v>
      </c>
      <c r="E4189" s="2">
        <f>IFERROR(__xludf.DUMMYFUNCTION("""COMPUTED_VALUE"""),4.44)</f>
        <v>4.44</v>
      </c>
      <c r="F4189" s="2"/>
      <c r="G4189" s="2"/>
      <c r="H4189" s="2"/>
      <c r="I4189" s="2"/>
    </row>
    <row r="4190">
      <c r="A4190" s="2">
        <f>IFERROR(__xludf.DUMMYFUNCTION("""COMPUTED_VALUE"""),14715.0)</f>
        <v>14715</v>
      </c>
      <c r="B4190" s="2" t="str">
        <f>IFERROR(__xludf.DUMMYFUNCTION("""COMPUTED_VALUE"""),"Fiction")</f>
        <v>Fiction</v>
      </c>
      <c r="C4190" s="2" t="str">
        <f>IFERROR(__xludf.DUMMYFUNCTION("""COMPUTED_VALUE"""),"UI/UX Design")</f>
        <v>UI/UX Design</v>
      </c>
      <c r="D4190" s="2" t="str">
        <f>IFERROR(__xludf.DUMMYFUNCTION("""COMPUTED_VALUE"""),"Brightlight House")</f>
        <v>Brightlight House</v>
      </c>
      <c r="E4190" s="2">
        <f>IFERROR(__xludf.DUMMYFUNCTION("""COMPUTED_VALUE"""),4.25)</f>
        <v>4.25</v>
      </c>
      <c r="F4190" s="2"/>
      <c r="G4190" s="2"/>
      <c r="H4190" s="2"/>
      <c r="I4190" s="2"/>
    </row>
    <row r="4191">
      <c r="A4191" s="2">
        <f>IFERROR(__xludf.DUMMYFUNCTION("""COMPUTED_VALUE"""),16771.0)</f>
        <v>16771</v>
      </c>
      <c r="B4191" s="2" t="str">
        <f>IFERROR(__xludf.DUMMYFUNCTION("""COMPUTED_VALUE"""),"Fiction")</f>
        <v>Fiction</v>
      </c>
      <c r="C4191" s="2" t="str">
        <f>IFERROR(__xludf.DUMMYFUNCTION("""COMPUTED_VALUE"""),"UI/UX Design")</f>
        <v>UI/UX Design</v>
      </c>
      <c r="D4191" s="2" t="str">
        <f>IFERROR(__xludf.DUMMYFUNCTION("""COMPUTED_VALUE"""),"Oaklight House")</f>
        <v>Oaklight House</v>
      </c>
      <c r="E4191" s="2">
        <f>IFERROR(__xludf.DUMMYFUNCTION("""COMPUTED_VALUE"""),4.59)</f>
        <v>4.59</v>
      </c>
      <c r="F4191" s="2"/>
      <c r="G4191" s="2"/>
      <c r="H4191" s="2"/>
      <c r="I4191" s="2"/>
    </row>
    <row r="4192">
      <c r="A4192" s="2">
        <f>IFERROR(__xludf.DUMMYFUNCTION("""COMPUTED_VALUE"""),97945.0)</f>
        <v>97945</v>
      </c>
      <c r="B4192" s="2" t="str">
        <f>IFERROR(__xludf.DUMMYFUNCTION("""COMPUTED_VALUE"""),"Fiction")</f>
        <v>Fiction</v>
      </c>
      <c r="C4192" s="2" t="str">
        <f>IFERROR(__xludf.DUMMYFUNCTION("""COMPUTED_VALUE"""),"UI/UX Design")</f>
        <v>UI/UX Design</v>
      </c>
      <c r="D4192" s="2" t="str">
        <f>IFERROR(__xludf.DUMMYFUNCTION("""COMPUTED_VALUE"""),"Oaklight House")</f>
        <v>Oaklight House</v>
      </c>
      <c r="E4192" s="2">
        <f>IFERROR(__xludf.DUMMYFUNCTION("""COMPUTED_VALUE"""),1.75)</f>
        <v>1.75</v>
      </c>
      <c r="F4192" s="2"/>
      <c r="G4192" s="2"/>
      <c r="H4192" s="2"/>
      <c r="I4192" s="2"/>
    </row>
    <row r="4193">
      <c r="A4193" s="2">
        <f>IFERROR(__xludf.DUMMYFUNCTION("""COMPUTED_VALUE"""),144740.0)</f>
        <v>144740</v>
      </c>
      <c r="B4193" s="2" t="str">
        <f>IFERROR(__xludf.DUMMYFUNCTION("""COMPUTED_VALUE"""),"Fiction")</f>
        <v>Fiction</v>
      </c>
      <c r="C4193" s="2" t="str">
        <f>IFERROR(__xludf.DUMMYFUNCTION("""COMPUTED_VALUE"""),"UI/UX Design")</f>
        <v>UI/UX Design</v>
      </c>
      <c r="D4193" s="2" t="str">
        <f>IFERROR(__xludf.DUMMYFUNCTION("""COMPUTED_VALUE"""),"Oaklight House")</f>
        <v>Oaklight House</v>
      </c>
      <c r="E4193" s="2">
        <f>IFERROR(__xludf.DUMMYFUNCTION("""COMPUTED_VALUE"""),4.11)</f>
        <v>4.11</v>
      </c>
      <c r="F4193" s="2"/>
      <c r="G4193" s="2"/>
      <c r="H4193" s="2"/>
      <c r="I4193" s="2"/>
    </row>
    <row r="4194">
      <c r="A4194" s="2">
        <f>IFERROR(__xludf.DUMMYFUNCTION("""COMPUTED_VALUE"""),75342.0)</f>
        <v>75342</v>
      </c>
      <c r="B4194" s="2" t="str">
        <f>IFERROR(__xludf.DUMMYFUNCTION("""COMPUTED_VALUE"""),"Fiction")</f>
        <v>Fiction</v>
      </c>
      <c r="C4194" s="2" t="str">
        <f>IFERROR(__xludf.DUMMYFUNCTION("""COMPUTED_VALUE"""),"UI/UX Design")</f>
        <v>UI/UX Design</v>
      </c>
      <c r="D4194" s="2" t="str">
        <f>IFERROR(__xludf.DUMMYFUNCTION("""COMPUTED_VALUE"""),"Riverlight House")</f>
        <v>Riverlight House</v>
      </c>
      <c r="E4194" s="2">
        <f>IFERROR(__xludf.DUMMYFUNCTION("""COMPUTED_VALUE"""),6.06)</f>
        <v>6.06</v>
      </c>
      <c r="F4194" s="2"/>
      <c r="G4194" s="2"/>
      <c r="H4194" s="2"/>
      <c r="I4194" s="2"/>
    </row>
    <row r="4195">
      <c r="A4195" s="2">
        <f>IFERROR(__xludf.DUMMYFUNCTION("""COMPUTED_VALUE"""),88189.0)</f>
        <v>88189</v>
      </c>
      <c r="B4195" s="2" t="str">
        <f>IFERROR(__xludf.DUMMYFUNCTION("""COMPUTED_VALUE"""),"Fiction")</f>
        <v>Fiction</v>
      </c>
      <c r="C4195" s="2" t="str">
        <f>IFERROR(__xludf.DUMMYFUNCTION("""COMPUTED_VALUE"""),"UI/UX Design")</f>
        <v>UI/UX Design</v>
      </c>
      <c r="D4195" s="2" t="str">
        <f>IFERROR(__xludf.DUMMYFUNCTION("""COMPUTED_VALUE"""),"Ironlight House")</f>
        <v>Ironlight House</v>
      </c>
      <c r="E4195" s="2">
        <f>IFERROR(__xludf.DUMMYFUNCTION("""COMPUTED_VALUE"""),1.08)</f>
        <v>1.08</v>
      </c>
      <c r="F4195" s="2"/>
      <c r="G4195" s="2"/>
      <c r="H4195" s="2"/>
      <c r="I4195" s="2"/>
    </row>
    <row r="4196">
      <c r="A4196" s="2">
        <f>IFERROR(__xludf.DUMMYFUNCTION("""COMPUTED_VALUE"""),70677.0)</f>
        <v>70677</v>
      </c>
      <c r="B4196" s="2" t="str">
        <f>IFERROR(__xludf.DUMMYFUNCTION("""COMPUTED_VALUE"""),"Fiction")</f>
        <v>Fiction</v>
      </c>
      <c r="C4196" s="2" t="str">
        <f>IFERROR(__xludf.DUMMYFUNCTION("""COMPUTED_VALUE"""),"UI/UX Design")</f>
        <v>UI/UX Design</v>
      </c>
      <c r="D4196" s="2" t="str">
        <f>IFERROR(__xludf.DUMMYFUNCTION("""COMPUTED_VALUE"""),"Ironlight House")</f>
        <v>Ironlight House</v>
      </c>
      <c r="E4196" s="2">
        <f>IFERROR(__xludf.DUMMYFUNCTION("""COMPUTED_VALUE"""),12.3)</f>
        <v>12.3</v>
      </c>
      <c r="F4196" s="2"/>
      <c r="G4196" s="2"/>
      <c r="H4196" s="2"/>
      <c r="I4196" s="2"/>
    </row>
    <row r="4197">
      <c r="A4197" s="2">
        <f>IFERROR(__xludf.DUMMYFUNCTION("""COMPUTED_VALUE"""),86506.0)</f>
        <v>86506</v>
      </c>
      <c r="B4197" s="2" t="str">
        <f>IFERROR(__xludf.DUMMYFUNCTION("""COMPUTED_VALUE"""),"Fiction")</f>
        <v>Fiction</v>
      </c>
      <c r="C4197" s="2" t="str">
        <f>IFERROR(__xludf.DUMMYFUNCTION("""COMPUTED_VALUE"""),"UI/UX Design")</f>
        <v>UI/UX Design</v>
      </c>
      <c r="D4197" s="2" t="str">
        <f>IFERROR(__xludf.DUMMYFUNCTION("""COMPUTED_VALUE"""),"Ironlight House")</f>
        <v>Ironlight House</v>
      </c>
      <c r="E4197" s="2">
        <f>IFERROR(__xludf.DUMMYFUNCTION("""COMPUTED_VALUE"""),3.45)</f>
        <v>3.45</v>
      </c>
      <c r="F4197" s="2"/>
      <c r="G4197" s="2"/>
      <c r="H4197" s="2"/>
      <c r="I4197" s="2"/>
    </row>
    <row r="4198">
      <c r="A4198" s="2">
        <f>IFERROR(__xludf.DUMMYFUNCTION("""COMPUTED_VALUE"""),17360.0)</f>
        <v>17360</v>
      </c>
      <c r="B4198" s="2" t="str">
        <f>IFERROR(__xludf.DUMMYFUNCTION("""COMPUTED_VALUE"""),"Fiction")</f>
        <v>Fiction</v>
      </c>
      <c r="C4198" s="2" t="str">
        <f>IFERROR(__xludf.DUMMYFUNCTION("""COMPUTED_VALUE"""),"UI/UX Design")</f>
        <v>UI/UX Design</v>
      </c>
      <c r="D4198" s="2" t="str">
        <f>IFERROR(__xludf.DUMMYFUNCTION("""COMPUTED_VALUE"""),"Silverwind House")</f>
        <v>Silverwind House</v>
      </c>
      <c r="E4198" s="2">
        <f>IFERROR(__xludf.DUMMYFUNCTION("""COMPUTED_VALUE"""),8.89)</f>
        <v>8.89</v>
      </c>
      <c r="F4198" s="2"/>
      <c r="G4198" s="2"/>
      <c r="H4198" s="2"/>
      <c r="I4198" s="2"/>
    </row>
    <row r="4199">
      <c r="A4199" s="2">
        <f>IFERROR(__xludf.DUMMYFUNCTION("""COMPUTED_VALUE"""),9819.0)</f>
        <v>9819</v>
      </c>
      <c r="B4199" s="2" t="str">
        <f>IFERROR(__xludf.DUMMYFUNCTION("""COMPUTED_VALUE"""),"Fiction")</f>
        <v>Fiction</v>
      </c>
      <c r="C4199" s="2" t="str">
        <f>IFERROR(__xludf.DUMMYFUNCTION("""COMPUTED_VALUE"""),"UI/UX Design")</f>
        <v>UI/UX Design</v>
      </c>
      <c r="D4199" s="2" t="str">
        <f>IFERROR(__xludf.DUMMYFUNCTION("""COMPUTED_VALUE"""),"Silverwind House")</f>
        <v>Silverwind House</v>
      </c>
      <c r="E4199" s="2">
        <f>IFERROR(__xludf.DUMMYFUNCTION("""COMPUTED_VALUE"""),35.02)</f>
        <v>35.02</v>
      </c>
      <c r="F4199" s="2"/>
      <c r="G4199" s="2"/>
      <c r="H4199" s="2"/>
      <c r="I4199" s="2"/>
    </row>
    <row r="4200">
      <c r="A4200" s="2">
        <f>IFERROR(__xludf.DUMMYFUNCTION("""COMPUTED_VALUE"""),28574.0)</f>
        <v>28574</v>
      </c>
      <c r="B4200" s="2" t="str">
        <f>IFERROR(__xludf.DUMMYFUNCTION("""COMPUTED_VALUE"""),"Fiction")</f>
        <v>Fiction</v>
      </c>
      <c r="C4200" s="2" t="str">
        <f>IFERROR(__xludf.DUMMYFUNCTION("""COMPUTED_VALUE"""),"UI/UX Design")</f>
        <v>UI/UX Design</v>
      </c>
      <c r="D4200" s="2" t="str">
        <f>IFERROR(__xludf.DUMMYFUNCTION("""COMPUTED_VALUE"""),"Northwind House")</f>
        <v>Northwind House</v>
      </c>
      <c r="E4200" s="2">
        <f>IFERROR(__xludf.DUMMYFUNCTION("""COMPUTED_VALUE"""),7.26)</f>
        <v>7.26</v>
      </c>
      <c r="F4200" s="2"/>
      <c r="G4200" s="2"/>
      <c r="H4200" s="2"/>
      <c r="I4200" s="2"/>
    </row>
    <row r="4201">
      <c r="A4201" s="2">
        <f>IFERROR(__xludf.DUMMYFUNCTION("""COMPUTED_VALUE"""),102395.0)</f>
        <v>102395</v>
      </c>
      <c r="B4201" s="2" t="str">
        <f>IFERROR(__xludf.DUMMYFUNCTION("""COMPUTED_VALUE"""),"Fiction")</f>
        <v>Fiction</v>
      </c>
      <c r="C4201" s="2" t="str">
        <f>IFERROR(__xludf.DUMMYFUNCTION("""COMPUTED_VALUE"""),"UI/UX Design")</f>
        <v>UI/UX Design</v>
      </c>
      <c r="D4201" s="2" t="str">
        <f>IFERROR(__xludf.DUMMYFUNCTION("""COMPUTED_VALUE"""),"Northwind House")</f>
        <v>Northwind House</v>
      </c>
      <c r="E4201" s="2">
        <f>IFERROR(__xludf.DUMMYFUNCTION("""COMPUTED_VALUE"""),6.87)</f>
        <v>6.87</v>
      </c>
      <c r="F4201" s="2"/>
      <c r="G4201" s="2"/>
      <c r="H4201" s="2"/>
      <c r="I4201" s="2"/>
    </row>
    <row r="4202">
      <c r="A4202" s="2">
        <f>IFERROR(__xludf.DUMMYFUNCTION("""COMPUTED_VALUE"""),147302.0)</f>
        <v>147302</v>
      </c>
      <c r="B4202" s="2" t="str">
        <f>IFERROR(__xludf.DUMMYFUNCTION("""COMPUTED_VALUE"""),"Fiction")</f>
        <v>Fiction</v>
      </c>
      <c r="C4202" s="2" t="str">
        <f>IFERROR(__xludf.DUMMYFUNCTION("""COMPUTED_VALUE"""),"UI/UX Design")</f>
        <v>UI/UX Design</v>
      </c>
      <c r="D4202" s="2" t="str">
        <f>IFERROR(__xludf.DUMMYFUNCTION("""COMPUTED_VALUE"""),"Northwind House")</f>
        <v>Northwind House</v>
      </c>
      <c r="E4202" s="2">
        <f>IFERROR(__xludf.DUMMYFUNCTION("""COMPUTED_VALUE"""),9.79)</f>
        <v>9.79</v>
      </c>
      <c r="F4202" s="2"/>
      <c r="G4202" s="2"/>
      <c r="H4202" s="2"/>
      <c r="I4202" s="2"/>
    </row>
    <row r="4203">
      <c r="A4203" s="2">
        <f>IFERROR(__xludf.DUMMYFUNCTION("""COMPUTED_VALUE"""),85049.0)</f>
        <v>85049</v>
      </c>
      <c r="B4203" s="2" t="str">
        <f>IFERROR(__xludf.DUMMYFUNCTION("""COMPUTED_VALUE"""),"Fiction")</f>
        <v>Fiction</v>
      </c>
      <c r="C4203" s="2" t="str">
        <f>IFERROR(__xludf.DUMMYFUNCTION("""COMPUTED_VALUE"""),"UI/UX Design")</f>
        <v>UI/UX Design</v>
      </c>
      <c r="D4203" s="2" t="str">
        <f>IFERROR(__xludf.DUMMYFUNCTION("""COMPUTED_VALUE"""),"Harborwind House")</f>
        <v>Harborwind House</v>
      </c>
      <c r="E4203" s="2">
        <f>IFERROR(__xludf.DUMMYFUNCTION("""COMPUTED_VALUE"""),5.22)</f>
        <v>5.22</v>
      </c>
      <c r="F4203" s="2"/>
      <c r="G4203" s="2"/>
      <c r="H4203" s="2"/>
      <c r="I4203" s="2"/>
    </row>
    <row r="4204">
      <c r="A4204" s="2">
        <f>IFERROR(__xludf.DUMMYFUNCTION("""COMPUTED_VALUE"""),1683.0)</f>
        <v>1683</v>
      </c>
      <c r="B4204" s="2" t="str">
        <f>IFERROR(__xludf.DUMMYFUNCTION("""COMPUTED_VALUE"""),"Fiction")</f>
        <v>Fiction</v>
      </c>
      <c r="C4204" s="2" t="str">
        <f>IFERROR(__xludf.DUMMYFUNCTION("""COMPUTED_VALUE"""),"UI/UX Design")</f>
        <v>UI/UX Design</v>
      </c>
      <c r="D4204" s="2" t="str">
        <f>IFERROR(__xludf.DUMMYFUNCTION("""COMPUTED_VALUE"""),"Cedarwind House")</f>
        <v>Cedarwind House</v>
      </c>
      <c r="E4204" s="2">
        <f>IFERROR(__xludf.DUMMYFUNCTION("""COMPUTED_VALUE"""),0.94)</f>
        <v>0.94</v>
      </c>
      <c r="F4204" s="2"/>
      <c r="G4204" s="2"/>
      <c r="H4204" s="2"/>
      <c r="I4204" s="2"/>
    </row>
    <row r="4205">
      <c r="A4205" s="2">
        <f>IFERROR(__xludf.DUMMYFUNCTION("""COMPUTED_VALUE"""),1685.0)</f>
        <v>1685</v>
      </c>
      <c r="B4205" s="2" t="str">
        <f>IFERROR(__xludf.DUMMYFUNCTION("""COMPUTED_VALUE"""),"Fiction")</f>
        <v>Fiction</v>
      </c>
      <c r="C4205" s="2" t="str">
        <f>IFERROR(__xludf.DUMMYFUNCTION("""COMPUTED_VALUE"""),"UI/UX Design")</f>
        <v>UI/UX Design</v>
      </c>
      <c r="D4205" s="2" t="str">
        <f>IFERROR(__xludf.DUMMYFUNCTION("""COMPUTED_VALUE"""),"Cedarwind House")</f>
        <v>Cedarwind House</v>
      </c>
      <c r="E4205" s="2">
        <f>IFERROR(__xludf.DUMMYFUNCTION("""COMPUTED_VALUE"""),0.56)</f>
        <v>0.56</v>
      </c>
      <c r="F4205" s="2"/>
      <c r="G4205" s="2"/>
      <c r="H4205" s="2"/>
      <c r="I4205" s="2"/>
    </row>
    <row r="4206">
      <c r="A4206" s="2">
        <f>IFERROR(__xludf.DUMMYFUNCTION("""COMPUTED_VALUE"""),22193.0)</f>
        <v>22193</v>
      </c>
      <c r="B4206" s="2" t="str">
        <f>IFERROR(__xludf.DUMMYFUNCTION("""COMPUTED_VALUE"""),"Fiction")</f>
        <v>Fiction</v>
      </c>
      <c r="C4206" s="2" t="str">
        <f>IFERROR(__xludf.DUMMYFUNCTION("""COMPUTED_VALUE"""),"UI/UX Design")</f>
        <v>UI/UX Design</v>
      </c>
      <c r="D4206" s="2" t="str">
        <f>IFERROR(__xludf.DUMMYFUNCTION("""COMPUTED_VALUE"""),"Cedarwind House")</f>
        <v>Cedarwind House</v>
      </c>
      <c r="E4206" s="2">
        <f>IFERROR(__xludf.DUMMYFUNCTION("""COMPUTED_VALUE"""),1.29)</f>
        <v>1.29</v>
      </c>
      <c r="F4206" s="2"/>
      <c r="G4206" s="2"/>
      <c r="H4206" s="2"/>
      <c r="I4206" s="2"/>
    </row>
    <row r="4207">
      <c r="A4207" s="2">
        <f>IFERROR(__xludf.DUMMYFUNCTION("""COMPUTED_VALUE"""),9786.0)</f>
        <v>9786</v>
      </c>
      <c r="B4207" s="2" t="str">
        <f>IFERROR(__xludf.DUMMYFUNCTION("""COMPUTED_VALUE"""),"Fiction")</f>
        <v>Fiction</v>
      </c>
      <c r="C4207" s="2" t="str">
        <f>IFERROR(__xludf.DUMMYFUNCTION("""COMPUTED_VALUE"""),"UI/UX Design")</f>
        <v>UI/UX Design</v>
      </c>
      <c r="D4207" s="2" t="str">
        <f>IFERROR(__xludf.DUMMYFUNCTION("""COMPUTED_VALUE"""),"Cedarwind House")</f>
        <v>Cedarwind House</v>
      </c>
      <c r="E4207" s="2">
        <f>IFERROR(__xludf.DUMMYFUNCTION("""COMPUTED_VALUE"""),5.19)</f>
        <v>5.19</v>
      </c>
      <c r="F4207" s="2"/>
      <c r="G4207" s="2"/>
      <c r="H4207" s="2"/>
      <c r="I4207" s="2"/>
    </row>
    <row r="4208">
      <c r="A4208" s="2">
        <f>IFERROR(__xludf.DUMMYFUNCTION("""COMPUTED_VALUE"""),108770.0)</f>
        <v>108770</v>
      </c>
      <c r="B4208" s="2" t="str">
        <f>IFERROR(__xludf.DUMMYFUNCTION("""COMPUTED_VALUE"""),"Fiction")</f>
        <v>Fiction</v>
      </c>
      <c r="C4208" s="2" t="str">
        <f>IFERROR(__xludf.DUMMYFUNCTION("""COMPUTED_VALUE"""),"UI/UX Design")</f>
        <v>UI/UX Design</v>
      </c>
      <c r="D4208" s="2" t="str">
        <f>IFERROR(__xludf.DUMMYFUNCTION("""COMPUTED_VALUE"""),"Brightwind House")</f>
        <v>Brightwind House</v>
      </c>
      <c r="E4208" s="2">
        <f>IFERROR(__xludf.DUMMYFUNCTION("""COMPUTED_VALUE"""),3.28)</f>
        <v>3.28</v>
      </c>
      <c r="F4208" s="2"/>
      <c r="G4208" s="2"/>
      <c r="H4208" s="2"/>
      <c r="I4208" s="2"/>
    </row>
    <row r="4209">
      <c r="A4209" s="2">
        <f>IFERROR(__xludf.DUMMYFUNCTION("""COMPUTED_VALUE"""),109536.0)</f>
        <v>109536</v>
      </c>
      <c r="B4209" s="2" t="str">
        <f>IFERROR(__xludf.DUMMYFUNCTION("""COMPUTED_VALUE"""),"Fiction")</f>
        <v>Fiction</v>
      </c>
      <c r="C4209" s="2" t="str">
        <f>IFERROR(__xludf.DUMMYFUNCTION("""COMPUTED_VALUE"""),"UI/UX Design")</f>
        <v>UI/UX Design</v>
      </c>
      <c r="D4209" s="2" t="str">
        <f>IFERROR(__xludf.DUMMYFUNCTION("""COMPUTED_VALUE"""),"Brightwind House")</f>
        <v>Brightwind House</v>
      </c>
      <c r="E4209" s="2">
        <f>IFERROR(__xludf.DUMMYFUNCTION("""COMPUTED_VALUE"""),2.98)</f>
        <v>2.98</v>
      </c>
      <c r="F4209" s="2"/>
      <c r="G4209" s="2"/>
      <c r="H4209" s="2"/>
      <c r="I4209" s="2"/>
    </row>
    <row r="4210">
      <c r="A4210" s="2">
        <f>IFERROR(__xludf.DUMMYFUNCTION("""COMPUTED_VALUE"""),111743.0)</f>
        <v>111743</v>
      </c>
      <c r="B4210" s="2" t="str">
        <f>IFERROR(__xludf.DUMMYFUNCTION("""COMPUTED_VALUE"""),"Fiction")</f>
        <v>Fiction</v>
      </c>
      <c r="C4210" s="2" t="str">
        <f>IFERROR(__xludf.DUMMYFUNCTION("""COMPUTED_VALUE"""),"UI/UX Design")</f>
        <v>UI/UX Design</v>
      </c>
      <c r="D4210" s="2" t="str">
        <f>IFERROR(__xludf.DUMMYFUNCTION("""COMPUTED_VALUE"""),"Brightwind House")</f>
        <v>Brightwind House</v>
      </c>
      <c r="E4210" s="2">
        <f>IFERROR(__xludf.DUMMYFUNCTION("""COMPUTED_VALUE"""),4.67)</f>
        <v>4.67</v>
      </c>
      <c r="F4210" s="2"/>
      <c r="G4210" s="2"/>
      <c r="H4210" s="2"/>
      <c r="I4210" s="2"/>
    </row>
    <row r="4211">
      <c r="A4211" s="2">
        <f>IFERROR(__xludf.DUMMYFUNCTION("""COMPUTED_VALUE"""),108769.0)</f>
        <v>108769</v>
      </c>
      <c r="B4211" s="2" t="str">
        <f>IFERROR(__xludf.DUMMYFUNCTION("""COMPUTED_VALUE"""),"Fiction")</f>
        <v>Fiction</v>
      </c>
      <c r="C4211" s="2" t="str">
        <f>IFERROR(__xludf.DUMMYFUNCTION("""COMPUTED_VALUE"""),"UI/UX Design")</f>
        <v>UI/UX Design</v>
      </c>
      <c r="D4211" s="2" t="str">
        <f>IFERROR(__xludf.DUMMYFUNCTION("""COMPUTED_VALUE"""),"Brightwind House")</f>
        <v>Brightwind House</v>
      </c>
      <c r="E4211" s="2">
        <f>IFERROR(__xludf.DUMMYFUNCTION("""COMPUTED_VALUE"""),3.23)</f>
        <v>3.23</v>
      </c>
      <c r="F4211" s="2"/>
      <c r="G4211" s="2"/>
      <c r="H4211" s="2"/>
      <c r="I4211" s="2"/>
    </row>
    <row r="4212">
      <c r="A4212" s="2">
        <f>IFERROR(__xludf.DUMMYFUNCTION("""COMPUTED_VALUE"""),111742.0)</f>
        <v>111742</v>
      </c>
      <c r="B4212" s="2" t="str">
        <f>IFERROR(__xludf.DUMMYFUNCTION("""COMPUTED_VALUE"""),"Fiction")</f>
        <v>Fiction</v>
      </c>
      <c r="C4212" s="2" t="str">
        <f>IFERROR(__xludf.DUMMYFUNCTION("""COMPUTED_VALUE"""),"UI/UX Design")</f>
        <v>UI/UX Design</v>
      </c>
      <c r="D4212" s="2" t="str">
        <f>IFERROR(__xludf.DUMMYFUNCTION("""COMPUTED_VALUE"""),"Brightwind House")</f>
        <v>Brightwind House</v>
      </c>
      <c r="E4212" s="2">
        <f>IFERROR(__xludf.DUMMYFUNCTION("""COMPUTED_VALUE"""),4.95)</f>
        <v>4.95</v>
      </c>
      <c r="F4212" s="2"/>
      <c r="G4212" s="2"/>
      <c r="H4212" s="2"/>
      <c r="I4212" s="2"/>
    </row>
    <row r="4213">
      <c r="A4213" s="2">
        <f>IFERROR(__xludf.DUMMYFUNCTION("""COMPUTED_VALUE"""),88989.0)</f>
        <v>88989</v>
      </c>
      <c r="B4213" s="2" t="str">
        <f>IFERROR(__xludf.DUMMYFUNCTION("""COMPUTED_VALUE"""),"Finance")</f>
        <v>Finance</v>
      </c>
      <c r="C4213" s="2" t="str">
        <f>IFERROR(__xludf.DUMMYFUNCTION("""COMPUTED_VALUE"""),"Personal Finance")</f>
        <v>Personal Finance</v>
      </c>
      <c r="D4213" s="2" t="str">
        <f>IFERROR(__xludf.DUMMYFUNCTION("""COMPUTED_VALUE"""),"Oakwind House")</f>
        <v>Oakwind House</v>
      </c>
      <c r="E4213" s="2">
        <f>IFERROR(__xludf.DUMMYFUNCTION("""COMPUTED_VALUE"""),23.13)</f>
        <v>23.13</v>
      </c>
      <c r="F4213" s="2"/>
      <c r="G4213" s="2"/>
      <c r="H4213" s="2"/>
      <c r="I4213" s="2"/>
    </row>
    <row r="4214">
      <c r="A4214" s="2">
        <f>IFERROR(__xludf.DUMMYFUNCTION("""COMPUTED_VALUE"""),88987.0)</f>
        <v>88987</v>
      </c>
      <c r="B4214" s="2" t="str">
        <f>IFERROR(__xludf.DUMMYFUNCTION("""COMPUTED_VALUE"""),"Finance")</f>
        <v>Finance</v>
      </c>
      <c r="C4214" s="2" t="str">
        <f>IFERROR(__xludf.DUMMYFUNCTION("""COMPUTED_VALUE"""),"Personal Finance")</f>
        <v>Personal Finance</v>
      </c>
      <c r="D4214" s="2" t="str">
        <f>IFERROR(__xludf.DUMMYFUNCTION("""COMPUTED_VALUE"""),"Oakwind House")</f>
        <v>Oakwind House</v>
      </c>
      <c r="E4214" s="2">
        <f>IFERROR(__xludf.DUMMYFUNCTION("""COMPUTED_VALUE"""),23.06)</f>
        <v>23.06</v>
      </c>
      <c r="F4214" s="2"/>
      <c r="G4214" s="2"/>
      <c r="H4214" s="2"/>
      <c r="I4214" s="2"/>
    </row>
    <row r="4215">
      <c r="A4215" s="2">
        <f>IFERROR(__xludf.DUMMYFUNCTION("""COMPUTED_VALUE"""),88988.0)</f>
        <v>88988</v>
      </c>
      <c r="B4215" s="2" t="str">
        <f>IFERROR(__xludf.DUMMYFUNCTION("""COMPUTED_VALUE"""),"Finance")</f>
        <v>Finance</v>
      </c>
      <c r="C4215" s="2" t="str">
        <f>IFERROR(__xludf.DUMMYFUNCTION("""COMPUTED_VALUE"""),"Personal Finance")</f>
        <v>Personal Finance</v>
      </c>
      <c r="D4215" s="2" t="str">
        <f>IFERROR(__xludf.DUMMYFUNCTION("""COMPUTED_VALUE"""),"Oakwind House")</f>
        <v>Oakwind House</v>
      </c>
      <c r="E4215" s="2">
        <f>IFERROR(__xludf.DUMMYFUNCTION("""COMPUTED_VALUE"""),23.18)</f>
        <v>23.18</v>
      </c>
      <c r="F4215" s="2"/>
      <c r="G4215" s="2"/>
      <c r="H4215" s="2"/>
      <c r="I4215" s="2"/>
    </row>
    <row r="4216">
      <c r="A4216" s="2">
        <f>IFERROR(__xludf.DUMMYFUNCTION("""COMPUTED_VALUE"""),102816.0)</f>
        <v>102816</v>
      </c>
      <c r="B4216" s="2" t="str">
        <f>IFERROR(__xludf.DUMMYFUNCTION("""COMPUTED_VALUE"""),"Finance")</f>
        <v>Finance</v>
      </c>
      <c r="C4216" s="2" t="str">
        <f>IFERROR(__xludf.DUMMYFUNCTION("""COMPUTED_VALUE"""),"Personal Finance")</f>
        <v>Personal Finance</v>
      </c>
      <c r="D4216" s="2" t="str">
        <f>IFERROR(__xludf.DUMMYFUNCTION("""COMPUTED_VALUE"""),"Riverwind House")</f>
        <v>Riverwind House</v>
      </c>
      <c r="E4216" s="2">
        <f>IFERROR(__xludf.DUMMYFUNCTION("""COMPUTED_VALUE"""),30.75)</f>
        <v>30.75</v>
      </c>
      <c r="F4216" s="2"/>
      <c r="G4216" s="2"/>
      <c r="H4216" s="2"/>
      <c r="I4216" s="2"/>
    </row>
    <row r="4217">
      <c r="A4217" s="2">
        <f>IFERROR(__xludf.DUMMYFUNCTION("""COMPUTED_VALUE"""),49803.0)</f>
        <v>49803</v>
      </c>
      <c r="B4217" s="2" t="str">
        <f>IFERROR(__xludf.DUMMYFUNCTION("""COMPUTED_VALUE"""),"Finance")</f>
        <v>Finance</v>
      </c>
      <c r="C4217" s="2" t="str">
        <f>IFERROR(__xludf.DUMMYFUNCTION("""COMPUTED_VALUE"""),"Personal Finance")</f>
        <v>Personal Finance</v>
      </c>
      <c r="D4217" s="2" t="str">
        <f>IFERROR(__xludf.DUMMYFUNCTION("""COMPUTED_VALUE"""),"Ironwind House")</f>
        <v>Ironwind House</v>
      </c>
      <c r="E4217" s="2">
        <f>IFERROR(__xludf.DUMMYFUNCTION("""COMPUTED_VALUE"""),10.9)</f>
        <v>10.9</v>
      </c>
      <c r="F4217" s="2"/>
      <c r="G4217" s="2"/>
      <c r="H4217" s="2"/>
      <c r="I4217" s="2"/>
    </row>
    <row r="4218">
      <c r="A4218" s="2">
        <f>IFERROR(__xludf.DUMMYFUNCTION("""COMPUTED_VALUE"""),77302.0)</f>
        <v>77302</v>
      </c>
      <c r="B4218" s="2" t="str">
        <f>IFERROR(__xludf.DUMMYFUNCTION("""COMPUTED_VALUE"""),"Finance")</f>
        <v>Finance</v>
      </c>
      <c r="C4218" s="2" t="str">
        <f>IFERROR(__xludf.DUMMYFUNCTION("""COMPUTED_VALUE"""),"Personal Finance")</f>
        <v>Personal Finance</v>
      </c>
      <c r="D4218" s="2" t="str">
        <f>IFERROR(__xludf.DUMMYFUNCTION("""COMPUTED_VALUE"""),"Ironwind House")</f>
        <v>Ironwind House</v>
      </c>
      <c r="E4218" s="2">
        <f>IFERROR(__xludf.DUMMYFUNCTION("""COMPUTED_VALUE"""),48.6)</f>
        <v>48.6</v>
      </c>
      <c r="F4218" s="2"/>
      <c r="G4218" s="2"/>
      <c r="H4218" s="2"/>
      <c r="I4218" s="2"/>
    </row>
    <row r="4219">
      <c r="A4219" s="2">
        <f>IFERROR(__xludf.DUMMYFUNCTION("""COMPUTED_VALUE"""),94000.0)</f>
        <v>94000</v>
      </c>
      <c r="B4219" s="2" t="str">
        <f>IFERROR(__xludf.DUMMYFUNCTION("""COMPUTED_VALUE"""),"Arts")</f>
        <v>Arts</v>
      </c>
      <c r="C4219" s="2" t="str">
        <f>IFERROR(__xludf.DUMMYFUNCTION("""COMPUTED_VALUE"""),"Investing")</f>
        <v>Investing</v>
      </c>
      <c r="D4219" s="2" t="str">
        <f>IFERROR(__xludf.DUMMYFUNCTION("""COMPUTED_VALUE"""),"Silverbridge House")</f>
        <v>Silverbridge House</v>
      </c>
      <c r="E4219" s="2">
        <f>IFERROR(__xludf.DUMMYFUNCTION("""COMPUTED_VALUE"""),4.89)</f>
        <v>4.89</v>
      </c>
      <c r="F4219" s="2"/>
      <c r="G4219" s="2"/>
      <c r="H4219" s="2"/>
      <c r="I4219" s="2"/>
    </row>
    <row r="4220">
      <c r="A4220" s="2">
        <f>IFERROR(__xludf.DUMMYFUNCTION("""COMPUTED_VALUE"""),9616.0)</f>
        <v>9616</v>
      </c>
      <c r="B4220" s="2" t="str">
        <f>IFERROR(__xludf.DUMMYFUNCTION("""COMPUTED_VALUE"""),"Arts")</f>
        <v>Arts</v>
      </c>
      <c r="C4220" s="2" t="str">
        <f>IFERROR(__xludf.DUMMYFUNCTION("""COMPUTED_VALUE"""),"Investing")</f>
        <v>Investing</v>
      </c>
      <c r="D4220" s="2" t="str">
        <f>IFERROR(__xludf.DUMMYFUNCTION("""COMPUTED_VALUE"""),"Silverbridge House")</f>
        <v>Silverbridge House</v>
      </c>
      <c r="E4220" s="2">
        <f>IFERROR(__xludf.DUMMYFUNCTION("""COMPUTED_VALUE"""),1.85)</f>
        <v>1.85</v>
      </c>
      <c r="F4220" s="2"/>
      <c r="G4220" s="2"/>
      <c r="H4220" s="2"/>
      <c r="I4220" s="2"/>
    </row>
    <row r="4221">
      <c r="A4221" s="2">
        <f>IFERROR(__xludf.DUMMYFUNCTION("""COMPUTED_VALUE"""),115135.0)</f>
        <v>115135</v>
      </c>
      <c r="B4221" s="2" t="str">
        <f>IFERROR(__xludf.DUMMYFUNCTION("""COMPUTED_VALUE"""),"Arts")</f>
        <v>Arts</v>
      </c>
      <c r="C4221" s="2" t="str">
        <f>IFERROR(__xludf.DUMMYFUNCTION("""COMPUTED_VALUE"""),"Investing")</f>
        <v>Investing</v>
      </c>
      <c r="D4221" s="2" t="str">
        <f>IFERROR(__xludf.DUMMYFUNCTION("""COMPUTED_VALUE"""),"Silverbridge House")</f>
        <v>Silverbridge House</v>
      </c>
      <c r="E4221" s="2">
        <f>IFERROR(__xludf.DUMMYFUNCTION("""COMPUTED_VALUE"""),2.74)</f>
        <v>2.74</v>
      </c>
      <c r="F4221" s="2"/>
      <c r="G4221" s="2"/>
      <c r="H4221" s="2"/>
      <c r="I4221" s="2"/>
    </row>
    <row r="4222">
      <c r="A4222" s="2">
        <f>IFERROR(__xludf.DUMMYFUNCTION("""COMPUTED_VALUE"""),90727.0)</f>
        <v>90727</v>
      </c>
      <c r="B4222" s="2" t="str">
        <f>IFERROR(__xludf.DUMMYFUNCTION("""COMPUTED_VALUE"""),"Arts")</f>
        <v>Arts</v>
      </c>
      <c r="C4222" s="2" t="str">
        <f>IFERROR(__xludf.DUMMYFUNCTION("""COMPUTED_VALUE"""),"Investing")</f>
        <v>Investing</v>
      </c>
      <c r="D4222" s="2" t="str">
        <f>IFERROR(__xludf.DUMMYFUNCTION("""COMPUTED_VALUE"""),"Silverbridge House")</f>
        <v>Silverbridge House</v>
      </c>
      <c r="E4222" s="2">
        <f>IFERROR(__xludf.DUMMYFUNCTION("""COMPUTED_VALUE"""),8.31)</f>
        <v>8.31</v>
      </c>
      <c r="F4222" s="2"/>
      <c r="G4222" s="2"/>
      <c r="H4222" s="2"/>
      <c r="I4222" s="2"/>
    </row>
    <row r="4223">
      <c r="A4223" s="2">
        <f>IFERROR(__xludf.DUMMYFUNCTION("""COMPUTED_VALUE"""),24060.0)</f>
        <v>24060</v>
      </c>
      <c r="B4223" s="2" t="str">
        <f>IFERROR(__xludf.DUMMYFUNCTION("""COMPUTED_VALUE"""),"Arts")</f>
        <v>Arts</v>
      </c>
      <c r="C4223" s="2" t="str">
        <f>IFERROR(__xludf.DUMMYFUNCTION("""COMPUTED_VALUE"""),"Investing")</f>
        <v>Investing</v>
      </c>
      <c r="D4223" s="2" t="str">
        <f>IFERROR(__xludf.DUMMYFUNCTION("""COMPUTED_VALUE"""),"Silverbridge House")</f>
        <v>Silverbridge House</v>
      </c>
      <c r="E4223" s="2">
        <f>IFERROR(__xludf.DUMMYFUNCTION("""COMPUTED_VALUE"""),4.95)</f>
        <v>4.95</v>
      </c>
      <c r="F4223" s="2"/>
      <c r="G4223" s="2"/>
      <c r="H4223" s="2"/>
      <c r="I4223" s="2"/>
    </row>
    <row r="4224">
      <c r="A4224" s="2">
        <f>IFERROR(__xludf.DUMMYFUNCTION("""COMPUTED_VALUE"""),112086.0)</f>
        <v>112086</v>
      </c>
      <c r="B4224" s="2" t="str">
        <f>IFERROR(__xludf.DUMMYFUNCTION("""COMPUTED_VALUE"""),"Arts")</f>
        <v>Arts</v>
      </c>
      <c r="C4224" s="2" t="str">
        <f>IFERROR(__xludf.DUMMYFUNCTION("""COMPUTED_VALUE"""),"Investing")</f>
        <v>Investing</v>
      </c>
      <c r="D4224" s="2" t="str">
        <f>IFERROR(__xludf.DUMMYFUNCTION("""COMPUTED_VALUE"""),"Silverbridge House")</f>
        <v>Silverbridge House</v>
      </c>
      <c r="E4224" s="2">
        <f>IFERROR(__xludf.DUMMYFUNCTION("""COMPUTED_VALUE"""),2.01)</f>
        <v>2.01</v>
      </c>
      <c r="F4224" s="2"/>
      <c r="G4224" s="2"/>
      <c r="H4224" s="2"/>
      <c r="I4224" s="2"/>
    </row>
    <row r="4225">
      <c r="A4225" s="2">
        <f>IFERROR(__xludf.DUMMYFUNCTION("""COMPUTED_VALUE"""),90723.0)</f>
        <v>90723</v>
      </c>
      <c r="B4225" s="2" t="str">
        <f>IFERROR(__xludf.DUMMYFUNCTION("""COMPUTED_VALUE"""),"Arts")</f>
        <v>Arts</v>
      </c>
      <c r="C4225" s="2" t="str">
        <f>IFERROR(__xludf.DUMMYFUNCTION("""COMPUTED_VALUE"""),"Investing")</f>
        <v>Investing</v>
      </c>
      <c r="D4225" s="2" t="str">
        <f>IFERROR(__xludf.DUMMYFUNCTION("""COMPUTED_VALUE"""),"Silverbridge House")</f>
        <v>Silverbridge House</v>
      </c>
      <c r="E4225" s="2">
        <f>IFERROR(__xludf.DUMMYFUNCTION("""COMPUTED_VALUE"""),8.7)</f>
        <v>8.7</v>
      </c>
      <c r="F4225" s="2"/>
      <c r="G4225" s="2"/>
      <c r="H4225" s="2"/>
      <c r="I4225" s="2"/>
    </row>
    <row r="4226">
      <c r="A4226" s="2">
        <f>IFERROR(__xludf.DUMMYFUNCTION("""COMPUTED_VALUE"""),77601.0)</f>
        <v>77601</v>
      </c>
      <c r="B4226" s="2" t="str">
        <f>IFERROR(__xludf.DUMMYFUNCTION("""COMPUTED_VALUE"""),"Arts")</f>
        <v>Arts</v>
      </c>
      <c r="C4226" s="2" t="str">
        <f>IFERROR(__xludf.DUMMYFUNCTION("""COMPUTED_VALUE"""),"Investing")</f>
        <v>Investing</v>
      </c>
      <c r="D4226" s="2" t="str">
        <f>IFERROR(__xludf.DUMMYFUNCTION("""COMPUTED_VALUE"""),"Silverbridge House")</f>
        <v>Silverbridge House</v>
      </c>
      <c r="E4226" s="2">
        <f>IFERROR(__xludf.DUMMYFUNCTION("""COMPUTED_VALUE"""),2.57)</f>
        <v>2.57</v>
      </c>
      <c r="F4226" s="2"/>
      <c r="G4226" s="2"/>
      <c r="H4226" s="2"/>
      <c r="I4226" s="2"/>
    </row>
    <row r="4227">
      <c r="A4227" s="2">
        <f>IFERROR(__xludf.DUMMYFUNCTION("""COMPUTED_VALUE"""),12005.0)</f>
        <v>12005</v>
      </c>
      <c r="B4227" s="2" t="str">
        <f>IFERROR(__xludf.DUMMYFUNCTION("""COMPUTED_VALUE"""),"Arts")</f>
        <v>Arts</v>
      </c>
      <c r="C4227" s="2" t="str">
        <f>IFERROR(__xludf.DUMMYFUNCTION("""COMPUTED_VALUE"""),"Investing")</f>
        <v>Investing</v>
      </c>
      <c r="D4227" s="2" t="str">
        <f>IFERROR(__xludf.DUMMYFUNCTION("""COMPUTED_VALUE"""),"Northbridge House")</f>
        <v>Northbridge House</v>
      </c>
      <c r="E4227" s="2">
        <f>IFERROR(__xludf.DUMMYFUNCTION("""COMPUTED_VALUE"""),1.83)</f>
        <v>1.83</v>
      </c>
      <c r="F4227" s="2"/>
      <c r="G4227" s="2"/>
      <c r="H4227" s="2"/>
      <c r="I4227" s="2"/>
    </row>
    <row r="4228">
      <c r="A4228" s="2">
        <f>IFERROR(__xludf.DUMMYFUNCTION("""COMPUTED_VALUE"""),41680.0)</f>
        <v>41680</v>
      </c>
      <c r="B4228" s="2" t="str">
        <f>IFERROR(__xludf.DUMMYFUNCTION("""COMPUTED_VALUE"""),"Arts")</f>
        <v>Arts</v>
      </c>
      <c r="C4228" s="2" t="str">
        <f>IFERROR(__xludf.DUMMYFUNCTION("""COMPUTED_VALUE"""),"Investing")</f>
        <v>Investing</v>
      </c>
      <c r="D4228" s="2" t="str">
        <f>IFERROR(__xludf.DUMMYFUNCTION("""COMPUTED_VALUE"""),"Northbridge House")</f>
        <v>Northbridge House</v>
      </c>
      <c r="E4228" s="2">
        <f>IFERROR(__xludf.DUMMYFUNCTION("""COMPUTED_VALUE"""),3.68)</f>
        <v>3.68</v>
      </c>
      <c r="F4228" s="2"/>
      <c r="G4228" s="2"/>
      <c r="H4228" s="2"/>
      <c r="I4228" s="2"/>
    </row>
    <row r="4229">
      <c r="A4229" s="2">
        <f>IFERROR(__xludf.DUMMYFUNCTION("""COMPUTED_VALUE"""),12000.0)</f>
        <v>12000</v>
      </c>
      <c r="B4229" s="2" t="str">
        <f>IFERROR(__xludf.DUMMYFUNCTION("""COMPUTED_VALUE"""),"Arts")</f>
        <v>Arts</v>
      </c>
      <c r="C4229" s="2" t="str">
        <f>IFERROR(__xludf.DUMMYFUNCTION("""COMPUTED_VALUE"""),"Investing")</f>
        <v>Investing</v>
      </c>
      <c r="D4229" s="2" t="str">
        <f>IFERROR(__xludf.DUMMYFUNCTION("""COMPUTED_VALUE"""),"Northbridge House")</f>
        <v>Northbridge House</v>
      </c>
      <c r="E4229" s="2">
        <f>IFERROR(__xludf.DUMMYFUNCTION("""COMPUTED_VALUE"""),1.88)</f>
        <v>1.88</v>
      </c>
      <c r="F4229" s="2"/>
      <c r="G4229" s="2"/>
      <c r="H4229" s="2"/>
      <c r="I4229" s="2"/>
    </row>
    <row r="4230">
      <c r="A4230" s="2">
        <f>IFERROR(__xludf.DUMMYFUNCTION("""COMPUTED_VALUE"""),12022.0)</f>
        <v>12022</v>
      </c>
      <c r="B4230" s="2" t="str">
        <f>IFERROR(__xludf.DUMMYFUNCTION("""COMPUTED_VALUE"""),"Arts")</f>
        <v>Arts</v>
      </c>
      <c r="C4230" s="2" t="str">
        <f>IFERROR(__xludf.DUMMYFUNCTION("""COMPUTED_VALUE"""),"Investing")</f>
        <v>Investing</v>
      </c>
      <c r="D4230" s="2" t="str">
        <f>IFERROR(__xludf.DUMMYFUNCTION("""COMPUTED_VALUE"""),"Northbridge House")</f>
        <v>Northbridge House</v>
      </c>
      <c r="E4230" s="2">
        <f>IFERROR(__xludf.DUMMYFUNCTION("""COMPUTED_VALUE"""),2.23)</f>
        <v>2.23</v>
      </c>
      <c r="F4230" s="2"/>
      <c r="G4230" s="2"/>
      <c r="H4230" s="2"/>
      <c r="I4230" s="2"/>
    </row>
    <row r="4231">
      <c r="A4231" s="2">
        <f>IFERROR(__xludf.DUMMYFUNCTION("""COMPUTED_VALUE"""),113596.0)</f>
        <v>113596</v>
      </c>
      <c r="B4231" s="2" t="str">
        <f>IFERROR(__xludf.DUMMYFUNCTION("""COMPUTED_VALUE"""),"Arts")</f>
        <v>Arts</v>
      </c>
      <c r="C4231" s="2" t="str">
        <f>IFERROR(__xludf.DUMMYFUNCTION("""COMPUTED_VALUE"""),"Investing")</f>
        <v>Investing</v>
      </c>
      <c r="D4231" s="2" t="str">
        <f>IFERROR(__xludf.DUMMYFUNCTION("""COMPUTED_VALUE"""),"Northbridge House")</f>
        <v>Northbridge House</v>
      </c>
      <c r="E4231" s="2">
        <f>IFERROR(__xludf.DUMMYFUNCTION("""COMPUTED_VALUE"""),5.49)</f>
        <v>5.49</v>
      </c>
      <c r="F4231" s="2"/>
      <c r="G4231" s="2"/>
      <c r="H4231" s="2"/>
      <c r="I4231" s="2"/>
    </row>
    <row r="4232">
      <c r="A4232" s="2">
        <f>IFERROR(__xludf.DUMMYFUNCTION("""COMPUTED_VALUE"""),11998.0)</f>
        <v>11998</v>
      </c>
      <c r="B4232" s="2" t="str">
        <f>IFERROR(__xludf.DUMMYFUNCTION("""COMPUTED_VALUE"""),"Arts")</f>
        <v>Arts</v>
      </c>
      <c r="C4232" s="2" t="str">
        <f>IFERROR(__xludf.DUMMYFUNCTION("""COMPUTED_VALUE"""),"Investing")</f>
        <v>Investing</v>
      </c>
      <c r="D4232" s="2" t="str">
        <f>IFERROR(__xludf.DUMMYFUNCTION("""COMPUTED_VALUE"""),"Northbridge House")</f>
        <v>Northbridge House</v>
      </c>
      <c r="E4232" s="2">
        <f>IFERROR(__xludf.DUMMYFUNCTION("""COMPUTED_VALUE"""),1.57)</f>
        <v>1.57</v>
      </c>
      <c r="F4232" s="2"/>
      <c r="G4232" s="2"/>
      <c r="H4232" s="2"/>
      <c r="I4232" s="2"/>
    </row>
    <row r="4233">
      <c r="A4233" s="2">
        <f>IFERROR(__xludf.DUMMYFUNCTION("""COMPUTED_VALUE"""),12063.0)</f>
        <v>12063</v>
      </c>
      <c r="B4233" s="2" t="str">
        <f>IFERROR(__xludf.DUMMYFUNCTION("""COMPUTED_VALUE"""),"Arts")</f>
        <v>Arts</v>
      </c>
      <c r="C4233" s="2" t="str">
        <f>IFERROR(__xludf.DUMMYFUNCTION("""COMPUTED_VALUE"""),"Investing")</f>
        <v>Investing</v>
      </c>
      <c r="D4233" s="2" t="str">
        <f>IFERROR(__xludf.DUMMYFUNCTION("""COMPUTED_VALUE"""),"Northbridge House")</f>
        <v>Northbridge House</v>
      </c>
      <c r="E4233" s="2">
        <f>IFERROR(__xludf.DUMMYFUNCTION("""COMPUTED_VALUE"""),1.84)</f>
        <v>1.84</v>
      </c>
      <c r="F4233" s="2"/>
      <c r="G4233" s="2"/>
      <c r="H4233" s="2"/>
      <c r="I4233" s="2"/>
    </row>
    <row r="4234">
      <c r="A4234" s="2">
        <f>IFERROR(__xludf.DUMMYFUNCTION("""COMPUTED_VALUE"""),96069.0)</f>
        <v>96069</v>
      </c>
      <c r="B4234" s="2" t="str">
        <f>IFERROR(__xludf.DUMMYFUNCTION("""COMPUTED_VALUE"""),"Arts")</f>
        <v>Arts</v>
      </c>
      <c r="C4234" s="2" t="str">
        <f>IFERROR(__xludf.DUMMYFUNCTION("""COMPUTED_VALUE"""),"Investing")</f>
        <v>Investing</v>
      </c>
      <c r="D4234" s="2" t="str">
        <f>IFERROR(__xludf.DUMMYFUNCTION("""COMPUTED_VALUE"""),"Northbridge House")</f>
        <v>Northbridge House</v>
      </c>
      <c r="E4234" s="2">
        <f>IFERROR(__xludf.DUMMYFUNCTION("""COMPUTED_VALUE"""),1.88)</f>
        <v>1.88</v>
      </c>
      <c r="F4234" s="2"/>
      <c r="G4234" s="2"/>
      <c r="H4234" s="2"/>
      <c r="I4234" s="2"/>
    </row>
    <row r="4235">
      <c r="A4235" s="2">
        <f>IFERROR(__xludf.DUMMYFUNCTION("""COMPUTED_VALUE"""),12007.0)</f>
        <v>12007</v>
      </c>
      <c r="B4235" s="2" t="str">
        <f>IFERROR(__xludf.DUMMYFUNCTION("""COMPUTED_VALUE"""),"Arts")</f>
        <v>Arts</v>
      </c>
      <c r="C4235" s="2" t="str">
        <f>IFERROR(__xludf.DUMMYFUNCTION("""COMPUTED_VALUE"""),"Investing")</f>
        <v>Investing</v>
      </c>
      <c r="D4235" s="2" t="str">
        <f>IFERROR(__xludf.DUMMYFUNCTION("""COMPUTED_VALUE"""),"Northbridge House")</f>
        <v>Northbridge House</v>
      </c>
      <c r="E4235" s="2">
        <f>IFERROR(__xludf.DUMMYFUNCTION("""COMPUTED_VALUE"""),1.66)</f>
        <v>1.66</v>
      </c>
      <c r="F4235" s="2"/>
      <c r="G4235" s="2"/>
      <c r="H4235" s="2"/>
      <c r="I4235" s="2"/>
    </row>
    <row r="4236">
      <c r="A4236" s="2">
        <f>IFERROR(__xludf.DUMMYFUNCTION("""COMPUTED_VALUE"""),113592.0)</f>
        <v>113592</v>
      </c>
      <c r="B4236" s="2" t="str">
        <f>IFERROR(__xludf.DUMMYFUNCTION("""COMPUTED_VALUE"""),"Arts")</f>
        <v>Arts</v>
      </c>
      <c r="C4236" s="2" t="str">
        <f>IFERROR(__xludf.DUMMYFUNCTION("""COMPUTED_VALUE"""),"Investing")</f>
        <v>Investing</v>
      </c>
      <c r="D4236" s="2" t="str">
        <f>IFERROR(__xludf.DUMMYFUNCTION("""COMPUTED_VALUE"""),"Northbridge House")</f>
        <v>Northbridge House</v>
      </c>
      <c r="E4236" s="2">
        <f>IFERROR(__xludf.DUMMYFUNCTION("""COMPUTED_VALUE"""),5.53)</f>
        <v>5.53</v>
      </c>
      <c r="F4236" s="2"/>
      <c r="G4236" s="2"/>
      <c r="H4236" s="2"/>
      <c r="I4236" s="2"/>
    </row>
    <row r="4237">
      <c r="A4237" s="2">
        <f>IFERROR(__xludf.DUMMYFUNCTION("""COMPUTED_VALUE"""),147308.0)</f>
        <v>147308</v>
      </c>
      <c r="B4237" s="2" t="str">
        <f>IFERROR(__xludf.DUMMYFUNCTION("""COMPUTED_VALUE"""),"Arts")</f>
        <v>Arts</v>
      </c>
      <c r="C4237" s="2" t="str">
        <f>IFERROR(__xludf.DUMMYFUNCTION("""COMPUTED_VALUE"""),"Investing")</f>
        <v>Investing</v>
      </c>
      <c r="D4237" s="2" t="str">
        <f>IFERROR(__xludf.DUMMYFUNCTION("""COMPUTED_VALUE"""),"Northbridge House")</f>
        <v>Northbridge House</v>
      </c>
      <c r="E4237" s="2">
        <f>IFERROR(__xludf.DUMMYFUNCTION("""COMPUTED_VALUE"""),1.9)</f>
        <v>1.9</v>
      </c>
      <c r="F4237" s="2"/>
      <c r="G4237" s="2"/>
      <c r="H4237" s="2"/>
      <c r="I4237" s="2"/>
    </row>
    <row r="4238">
      <c r="A4238" s="2">
        <f>IFERROR(__xludf.DUMMYFUNCTION("""COMPUTED_VALUE"""),41679.0)</f>
        <v>41679</v>
      </c>
      <c r="B4238" s="2" t="str">
        <f>IFERROR(__xludf.DUMMYFUNCTION("""COMPUTED_VALUE"""),"Arts")</f>
        <v>Arts</v>
      </c>
      <c r="C4238" s="2" t="str">
        <f>IFERROR(__xludf.DUMMYFUNCTION("""COMPUTED_VALUE"""),"Investing")</f>
        <v>Investing</v>
      </c>
      <c r="D4238" s="2" t="str">
        <f>IFERROR(__xludf.DUMMYFUNCTION("""COMPUTED_VALUE"""),"Northbridge House")</f>
        <v>Northbridge House</v>
      </c>
      <c r="E4238" s="2">
        <f>IFERROR(__xludf.DUMMYFUNCTION("""COMPUTED_VALUE"""),3.68)</f>
        <v>3.68</v>
      </c>
      <c r="F4238" s="2"/>
      <c r="G4238" s="2"/>
      <c r="H4238" s="2"/>
      <c r="I4238" s="2"/>
    </row>
    <row r="4239">
      <c r="A4239" s="2">
        <f>IFERROR(__xludf.DUMMYFUNCTION("""COMPUTED_VALUE"""),112077.0)</f>
        <v>112077</v>
      </c>
      <c r="B4239" s="2" t="str">
        <f>IFERROR(__xludf.DUMMYFUNCTION("""COMPUTED_VALUE"""),"Arts")</f>
        <v>Arts</v>
      </c>
      <c r="C4239" s="2" t="str">
        <f>IFERROR(__xludf.DUMMYFUNCTION("""COMPUTED_VALUE"""),"Investing")</f>
        <v>Investing</v>
      </c>
      <c r="D4239" s="2" t="str">
        <f>IFERROR(__xludf.DUMMYFUNCTION("""COMPUTED_VALUE"""),"Harborbridge House")</f>
        <v>Harborbridge House</v>
      </c>
      <c r="E4239" s="2">
        <f>IFERROR(__xludf.DUMMYFUNCTION("""COMPUTED_VALUE"""),2.15)</f>
        <v>2.15</v>
      </c>
      <c r="F4239" s="2"/>
      <c r="G4239" s="2"/>
      <c r="H4239" s="2"/>
      <c r="I4239" s="2"/>
    </row>
    <row r="4240">
      <c r="A4240" s="2">
        <f>IFERROR(__xludf.DUMMYFUNCTION("""COMPUTED_VALUE"""),115133.0)</f>
        <v>115133</v>
      </c>
      <c r="B4240" s="2" t="str">
        <f>IFERROR(__xludf.DUMMYFUNCTION("""COMPUTED_VALUE"""),"Arts")</f>
        <v>Arts</v>
      </c>
      <c r="C4240" s="2" t="str">
        <f>IFERROR(__xludf.DUMMYFUNCTION("""COMPUTED_VALUE"""),"Investing")</f>
        <v>Investing</v>
      </c>
      <c r="D4240" s="2" t="str">
        <f>IFERROR(__xludf.DUMMYFUNCTION("""COMPUTED_VALUE"""),"Harborbridge House")</f>
        <v>Harborbridge House</v>
      </c>
      <c r="E4240" s="2">
        <f>IFERROR(__xludf.DUMMYFUNCTION("""COMPUTED_VALUE"""),2.57)</f>
        <v>2.57</v>
      </c>
      <c r="F4240" s="2"/>
      <c r="G4240" s="2"/>
      <c r="H4240" s="2"/>
      <c r="I4240" s="2"/>
    </row>
    <row r="4241">
      <c r="A4241" s="2">
        <f>IFERROR(__xludf.DUMMYFUNCTION("""COMPUTED_VALUE"""),30465.0)</f>
        <v>30465</v>
      </c>
      <c r="B4241" s="2" t="str">
        <f>IFERROR(__xludf.DUMMYFUNCTION("""COMPUTED_VALUE"""),"Arts")</f>
        <v>Arts</v>
      </c>
      <c r="C4241" s="2" t="str">
        <f>IFERROR(__xludf.DUMMYFUNCTION("""COMPUTED_VALUE"""),"Investing")</f>
        <v>Investing</v>
      </c>
      <c r="D4241" s="2" t="str">
        <f>IFERROR(__xludf.DUMMYFUNCTION("""COMPUTED_VALUE"""),"Harborbridge House")</f>
        <v>Harborbridge House</v>
      </c>
      <c r="E4241" s="2">
        <f>IFERROR(__xludf.DUMMYFUNCTION("""COMPUTED_VALUE"""),2.26)</f>
        <v>2.26</v>
      </c>
      <c r="F4241" s="2"/>
      <c r="G4241" s="2"/>
      <c r="H4241" s="2"/>
      <c r="I4241" s="2"/>
    </row>
    <row r="4242">
      <c r="A4242" s="2">
        <f>IFERROR(__xludf.DUMMYFUNCTION("""COMPUTED_VALUE"""),87405.0)</f>
        <v>87405</v>
      </c>
      <c r="B4242" s="2" t="str">
        <f>IFERROR(__xludf.DUMMYFUNCTION("""COMPUTED_VALUE"""),"Arts")</f>
        <v>Arts</v>
      </c>
      <c r="C4242" s="2" t="str">
        <f>IFERROR(__xludf.DUMMYFUNCTION("""COMPUTED_VALUE"""),"Investing")</f>
        <v>Investing</v>
      </c>
      <c r="D4242" s="2" t="str">
        <f>IFERROR(__xludf.DUMMYFUNCTION("""COMPUTED_VALUE"""),"Harborbridge House")</f>
        <v>Harborbridge House</v>
      </c>
      <c r="E4242" s="2">
        <f>IFERROR(__xludf.DUMMYFUNCTION("""COMPUTED_VALUE"""),0.66)</f>
        <v>0.66</v>
      </c>
      <c r="F4242" s="2"/>
      <c r="G4242" s="2"/>
      <c r="H4242" s="2"/>
      <c r="I4242" s="2"/>
    </row>
    <row r="4243">
      <c r="A4243" s="2">
        <f>IFERROR(__xludf.DUMMYFUNCTION("""COMPUTED_VALUE"""),77602.0)</f>
        <v>77602</v>
      </c>
      <c r="B4243" s="2" t="str">
        <f>IFERROR(__xludf.DUMMYFUNCTION("""COMPUTED_VALUE"""),"Arts")</f>
        <v>Arts</v>
      </c>
      <c r="C4243" s="2" t="str">
        <f>IFERROR(__xludf.DUMMYFUNCTION("""COMPUTED_VALUE"""),"Investing")</f>
        <v>Investing</v>
      </c>
      <c r="D4243" s="2" t="str">
        <f>IFERROR(__xludf.DUMMYFUNCTION("""COMPUTED_VALUE"""),"Harborbridge House")</f>
        <v>Harborbridge House</v>
      </c>
      <c r="E4243" s="2">
        <f>IFERROR(__xludf.DUMMYFUNCTION("""COMPUTED_VALUE"""),1.54)</f>
        <v>1.54</v>
      </c>
      <c r="F4243" s="2"/>
      <c r="G4243" s="2"/>
      <c r="H4243" s="2"/>
      <c r="I4243" s="2"/>
    </row>
    <row r="4244">
      <c r="A4244" s="2">
        <f>IFERROR(__xludf.DUMMYFUNCTION("""COMPUTED_VALUE"""),107058.0)</f>
        <v>107058</v>
      </c>
      <c r="B4244" s="2" t="str">
        <f>IFERROR(__xludf.DUMMYFUNCTION("""COMPUTED_VALUE"""),"Arts")</f>
        <v>Arts</v>
      </c>
      <c r="C4244" s="2" t="str">
        <f>IFERROR(__xludf.DUMMYFUNCTION("""COMPUTED_VALUE"""),"Investing")</f>
        <v>Investing</v>
      </c>
      <c r="D4244" s="2" t="str">
        <f>IFERROR(__xludf.DUMMYFUNCTION("""COMPUTED_VALUE"""),"Harborbridge House")</f>
        <v>Harborbridge House</v>
      </c>
      <c r="E4244" s="2">
        <f>IFERROR(__xludf.DUMMYFUNCTION("""COMPUTED_VALUE"""),4.37)</f>
        <v>4.37</v>
      </c>
      <c r="F4244" s="2"/>
      <c r="G4244" s="2"/>
      <c r="H4244" s="2"/>
      <c r="I4244" s="2"/>
    </row>
    <row r="4245">
      <c r="A4245" s="2">
        <f>IFERROR(__xludf.DUMMYFUNCTION("""COMPUTED_VALUE"""),5807.0)</f>
        <v>5807</v>
      </c>
      <c r="B4245" s="2" t="str">
        <f>IFERROR(__xludf.DUMMYFUNCTION("""COMPUTED_VALUE"""),"Arts")</f>
        <v>Arts</v>
      </c>
      <c r="C4245" s="2" t="str">
        <f>IFERROR(__xludf.DUMMYFUNCTION("""COMPUTED_VALUE"""),"Investing")</f>
        <v>Investing</v>
      </c>
      <c r="D4245" s="2" t="str">
        <f>IFERROR(__xludf.DUMMYFUNCTION("""COMPUTED_VALUE"""),"Harborbridge House")</f>
        <v>Harborbridge House</v>
      </c>
      <c r="E4245" s="2">
        <f>IFERROR(__xludf.DUMMYFUNCTION("""COMPUTED_VALUE"""),3.47)</f>
        <v>3.47</v>
      </c>
      <c r="F4245" s="2"/>
      <c r="G4245" s="2"/>
      <c r="H4245" s="2"/>
      <c r="I4245" s="2"/>
    </row>
    <row r="4246">
      <c r="A4246" s="2">
        <f>IFERROR(__xludf.DUMMYFUNCTION("""COMPUTED_VALUE"""),87061.0)</f>
        <v>87061</v>
      </c>
      <c r="B4246" s="2" t="str">
        <f>IFERROR(__xludf.DUMMYFUNCTION("""COMPUTED_VALUE"""),"Arts")</f>
        <v>Arts</v>
      </c>
      <c r="C4246" s="2" t="str">
        <f>IFERROR(__xludf.DUMMYFUNCTION("""COMPUTED_VALUE"""),"Investing")</f>
        <v>Investing</v>
      </c>
      <c r="D4246" s="2" t="str">
        <f>IFERROR(__xludf.DUMMYFUNCTION("""COMPUTED_VALUE"""),"Harborbridge House")</f>
        <v>Harborbridge House</v>
      </c>
      <c r="E4246" s="2">
        <f>IFERROR(__xludf.DUMMYFUNCTION("""COMPUTED_VALUE"""),8.29)</f>
        <v>8.29</v>
      </c>
      <c r="F4246" s="2"/>
      <c r="G4246" s="2"/>
      <c r="H4246" s="2"/>
      <c r="I4246" s="2"/>
    </row>
    <row r="4247">
      <c r="A4247" s="2">
        <f>IFERROR(__xludf.DUMMYFUNCTION("""COMPUTED_VALUE"""),108039.0)</f>
        <v>108039</v>
      </c>
      <c r="B4247" s="2" t="str">
        <f>IFERROR(__xludf.DUMMYFUNCTION("""COMPUTED_VALUE"""),"Arts")</f>
        <v>Arts</v>
      </c>
      <c r="C4247" s="2" t="str">
        <f>IFERROR(__xludf.DUMMYFUNCTION("""COMPUTED_VALUE"""),"Investing")</f>
        <v>Investing</v>
      </c>
      <c r="D4247" s="2" t="str">
        <f>IFERROR(__xludf.DUMMYFUNCTION("""COMPUTED_VALUE"""),"Harborbridge House")</f>
        <v>Harborbridge House</v>
      </c>
      <c r="E4247" s="2">
        <f>IFERROR(__xludf.DUMMYFUNCTION("""COMPUTED_VALUE"""),1.51)</f>
        <v>1.51</v>
      </c>
      <c r="F4247" s="2"/>
      <c r="G4247" s="2"/>
      <c r="H4247" s="2"/>
      <c r="I4247" s="2"/>
    </row>
    <row r="4248">
      <c r="A4248" s="2">
        <f>IFERROR(__xludf.DUMMYFUNCTION("""COMPUTED_VALUE"""),90837.0)</f>
        <v>90837</v>
      </c>
      <c r="B4248" s="2" t="str">
        <f>IFERROR(__xludf.DUMMYFUNCTION("""COMPUTED_VALUE"""),"Arts")</f>
        <v>Arts</v>
      </c>
      <c r="C4248" s="2" t="str">
        <f>IFERROR(__xludf.DUMMYFUNCTION("""COMPUTED_VALUE"""),"Investing")</f>
        <v>Investing</v>
      </c>
      <c r="D4248" s="2" t="str">
        <f>IFERROR(__xludf.DUMMYFUNCTION("""COMPUTED_VALUE"""),"Harborbridge House")</f>
        <v>Harborbridge House</v>
      </c>
      <c r="E4248" s="2">
        <f>IFERROR(__xludf.DUMMYFUNCTION("""COMPUTED_VALUE"""),0.51)</f>
        <v>0.51</v>
      </c>
      <c r="F4248" s="2"/>
      <c r="G4248" s="2"/>
      <c r="H4248" s="2"/>
      <c r="I4248" s="2"/>
    </row>
    <row r="4249">
      <c r="A4249" s="2">
        <f>IFERROR(__xludf.DUMMYFUNCTION("""COMPUTED_VALUE"""),88461.0)</f>
        <v>88461</v>
      </c>
      <c r="B4249" s="2" t="str">
        <f>IFERROR(__xludf.DUMMYFUNCTION("""COMPUTED_VALUE"""),"Arts")</f>
        <v>Arts</v>
      </c>
      <c r="C4249" s="2" t="str">
        <f>IFERROR(__xludf.DUMMYFUNCTION("""COMPUTED_VALUE"""),"Investing")</f>
        <v>Investing</v>
      </c>
      <c r="D4249" s="2" t="str">
        <f>IFERROR(__xludf.DUMMYFUNCTION("""COMPUTED_VALUE"""),"Harborbridge House")</f>
        <v>Harborbridge House</v>
      </c>
      <c r="E4249" s="2">
        <f>IFERROR(__xludf.DUMMYFUNCTION("""COMPUTED_VALUE"""),0.96)</f>
        <v>0.96</v>
      </c>
      <c r="F4249" s="2"/>
      <c r="G4249" s="2"/>
      <c r="H4249" s="2"/>
      <c r="I4249" s="2"/>
    </row>
    <row r="4250">
      <c r="A4250" s="2">
        <f>IFERROR(__xludf.DUMMYFUNCTION("""COMPUTED_VALUE"""),81504.0)</f>
        <v>81504</v>
      </c>
      <c r="B4250" s="2" t="str">
        <f>IFERROR(__xludf.DUMMYFUNCTION("""COMPUTED_VALUE"""),"Arts")</f>
        <v>Arts</v>
      </c>
      <c r="C4250" s="2" t="str">
        <f>IFERROR(__xludf.DUMMYFUNCTION("""COMPUTED_VALUE"""),"Investing")</f>
        <v>Investing</v>
      </c>
      <c r="D4250" s="2" t="str">
        <f>IFERROR(__xludf.DUMMYFUNCTION("""COMPUTED_VALUE"""),"Harborbridge House")</f>
        <v>Harborbridge House</v>
      </c>
      <c r="E4250" s="2">
        <f>IFERROR(__xludf.DUMMYFUNCTION("""COMPUTED_VALUE"""),0.36)</f>
        <v>0.36</v>
      </c>
      <c r="F4250" s="2"/>
      <c r="G4250" s="2"/>
      <c r="H4250" s="2"/>
      <c r="I4250" s="2"/>
    </row>
    <row r="4251">
      <c r="A4251" s="2">
        <f>IFERROR(__xludf.DUMMYFUNCTION("""COMPUTED_VALUE"""),12027.0)</f>
        <v>12027</v>
      </c>
      <c r="B4251" s="2" t="str">
        <f>IFERROR(__xludf.DUMMYFUNCTION("""COMPUTED_VALUE"""),"Arts")</f>
        <v>Arts</v>
      </c>
      <c r="C4251" s="2" t="str">
        <f>IFERROR(__xludf.DUMMYFUNCTION("""COMPUTED_VALUE"""),"Investing")</f>
        <v>Investing</v>
      </c>
      <c r="D4251" s="2" t="str">
        <f>IFERROR(__xludf.DUMMYFUNCTION("""COMPUTED_VALUE"""),"Harborbridge House")</f>
        <v>Harborbridge House</v>
      </c>
      <c r="E4251" s="2">
        <f>IFERROR(__xludf.DUMMYFUNCTION("""COMPUTED_VALUE"""),23.41)</f>
        <v>23.41</v>
      </c>
      <c r="F4251" s="2"/>
      <c r="G4251" s="2"/>
      <c r="H4251" s="2"/>
      <c r="I4251" s="2"/>
    </row>
    <row r="4252">
      <c r="A4252" s="2">
        <f>IFERROR(__xludf.DUMMYFUNCTION("""COMPUTED_VALUE"""),8883.0)</f>
        <v>8883</v>
      </c>
      <c r="B4252" s="2" t="str">
        <f>IFERROR(__xludf.DUMMYFUNCTION("""COMPUTED_VALUE"""),"Arts")</f>
        <v>Arts</v>
      </c>
      <c r="C4252" s="2" t="str">
        <f>IFERROR(__xludf.DUMMYFUNCTION("""COMPUTED_VALUE"""),"Investing")</f>
        <v>Investing</v>
      </c>
      <c r="D4252" s="2" t="str">
        <f>IFERROR(__xludf.DUMMYFUNCTION("""COMPUTED_VALUE"""),"Harborbridge House")</f>
        <v>Harborbridge House</v>
      </c>
      <c r="E4252" s="2">
        <f>IFERROR(__xludf.DUMMYFUNCTION("""COMPUTED_VALUE"""),1.23)</f>
        <v>1.23</v>
      </c>
      <c r="F4252" s="2"/>
      <c r="G4252" s="2"/>
      <c r="H4252" s="2"/>
      <c r="I4252" s="2"/>
    </row>
    <row r="4253">
      <c r="A4253" s="2">
        <f>IFERROR(__xludf.DUMMYFUNCTION("""COMPUTED_VALUE"""),112082.0)</f>
        <v>112082</v>
      </c>
      <c r="B4253" s="2" t="str">
        <f>IFERROR(__xludf.DUMMYFUNCTION("""COMPUTED_VALUE"""),"Arts")</f>
        <v>Arts</v>
      </c>
      <c r="C4253" s="2" t="str">
        <f>IFERROR(__xludf.DUMMYFUNCTION("""COMPUTED_VALUE"""),"Investing")</f>
        <v>Investing</v>
      </c>
      <c r="D4253" s="2" t="str">
        <f>IFERROR(__xludf.DUMMYFUNCTION("""COMPUTED_VALUE"""),"Harborbridge House")</f>
        <v>Harborbridge House</v>
      </c>
      <c r="E4253" s="2">
        <f>IFERROR(__xludf.DUMMYFUNCTION("""COMPUTED_VALUE"""),0.88)</f>
        <v>0.88</v>
      </c>
      <c r="F4253" s="2"/>
      <c r="G4253" s="2"/>
      <c r="H4253" s="2"/>
      <c r="I4253" s="2"/>
    </row>
    <row r="4254">
      <c r="A4254" s="2">
        <f>IFERROR(__xludf.DUMMYFUNCTION("""COMPUTED_VALUE"""),114961.0)</f>
        <v>114961</v>
      </c>
      <c r="B4254" s="2" t="str">
        <f>IFERROR(__xludf.DUMMYFUNCTION("""COMPUTED_VALUE"""),"Arts")</f>
        <v>Arts</v>
      </c>
      <c r="C4254" s="2" t="str">
        <f>IFERROR(__xludf.DUMMYFUNCTION("""COMPUTED_VALUE"""),"Investing")</f>
        <v>Investing</v>
      </c>
      <c r="D4254" s="2" t="str">
        <f>IFERROR(__xludf.DUMMYFUNCTION("""COMPUTED_VALUE"""),"Harborbridge House")</f>
        <v>Harborbridge House</v>
      </c>
      <c r="E4254" s="2">
        <f>IFERROR(__xludf.DUMMYFUNCTION("""COMPUTED_VALUE"""),5.4)</f>
        <v>5.4</v>
      </c>
      <c r="F4254" s="2"/>
      <c r="G4254" s="2"/>
      <c r="H4254" s="2"/>
      <c r="I4254" s="2"/>
    </row>
    <row r="4255">
      <c r="A4255" s="2">
        <f>IFERROR(__xludf.DUMMYFUNCTION("""COMPUTED_VALUE"""),112078.0)</f>
        <v>112078</v>
      </c>
      <c r="B4255" s="2" t="str">
        <f>IFERROR(__xludf.DUMMYFUNCTION("""COMPUTED_VALUE"""),"Arts")</f>
        <v>Arts</v>
      </c>
      <c r="C4255" s="2" t="str">
        <f>IFERROR(__xludf.DUMMYFUNCTION("""COMPUTED_VALUE"""),"Investing")</f>
        <v>Investing</v>
      </c>
      <c r="D4255" s="2" t="str">
        <f>IFERROR(__xludf.DUMMYFUNCTION("""COMPUTED_VALUE"""),"Harborbridge House")</f>
        <v>Harborbridge House</v>
      </c>
      <c r="E4255" s="2">
        <f>IFERROR(__xludf.DUMMYFUNCTION("""COMPUTED_VALUE"""),0.59)</f>
        <v>0.59</v>
      </c>
      <c r="F4255" s="2"/>
      <c r="G4255" s="2"/>
      <c r="H4255" s="2"/>
      <c r="I4255" s="2"/>
    </row>
    <row r="4256">
      <c r="A4256" s="2">
        <f>IFERROR(__xludf.DUMMYFUNCTION("""COMPUTED_VALUE"""),12025.0)</f>
        <v>12025</v>
      </c>
      <c r="B4256" s="2" t="str">
        <f>IFERROR(__xludf.DUMMYFUNCTION("""COMPUTED_VALUE"""),"Arts")</f>
        <v>Arts</v>
      </c>
      <c r="C4256" s="2" t="str">
        <f>IFERROR(__xludf.DUMMYFUNCTION("""COMPUTED_VALUE"""),"Investing")</f>
        <v>Investing</v>
      </c>
      <c r="D4256" s="2" t="str">
        <f>IFERROR(__xludf.DUMMYFUNCTION("""COMPUTED_VALUE"""),"Harborbridge House")</f>
        <v>Harborbridge House</v>
      </c>
      <c r="E4256" s="2">
        <f>IFERROR(__xludf.DUMMYFUNCTION("""COMPUTED_VALUE"""),0.83)</f>
        <v>0.83</v>
      </c>
      <c r="F4256" s="2"/>
      <c r="G4256" s="2"/>
      <c r="H4256" s="2"/>
      <c r="I4256" s="2"/>
    </row>
    <row r="4257">
      <c r="A4257" s="2">
        <f>IFERROR(__xludf.DUMMYFUNCTION("""COMPUTED_VALUE"""),11992.0)</f>
        <v>11992</v>
      </c>
      <c r="B4257" s="2" t="str">
        <f>IFERROR(__xludf.DUMMYFUNCTION("""COMPUTED_VALUE"""),"Arts")</f>
        <v>Arts</v>
      </c>
      <c r="C4257" s="2" t="str">
        <f>IFERROR(__xludf.DUMMYFUNCTION("""COMPUTED_VALUE"""),"Investing")</f>
        <v>Investing</v>
      </c>
      <c r="D4257" s="2" t="str">
        <f>IFERROR(__xludf.DUMMYFUNCTION("""COMPUTED_VALUE"""),"Harborbridge House")</f>
        <v>Harborbridge House</v>
      </c>
      <c r="E4257" s="2">
        <f>IFERROR(__xludf.DUMMYFUNCTION("""COMPUTED_VALUE"""),0.34)</f>
        <v>0.34</v>
      </c>
      <c r="F4257" s="2"/>
      <c r="G4257" s="2"/>
      <c r="H4257" s="2"/>
      <c r="I4257" s="2"/>
    </row>
    <row r="4258">
      <c r="A4258" s="2">
        <f>IFERROR(__xludf.DUMMYFUNCTION("""COMPUTED_VALUE"""),188850.0)</f>
        <v>188850</v>
      </c>
      <c r="B4258" s="2" t="str">
        <f>IFERROR(__xludf.DUMMYFUNCTION("""COMPUTED_VALUE"""),"Arts")</f>
        <v>Arts</v>
      </c>
      <c r="C4258" s="2" t="str">
        <f>IFERROR(__xludf.DUMMYFUNCTION("""COMPUTED_VALUE"""),"Investing")</f>
        <v>Investing</v>
      </c>
      <c r="D4258" s="2" t="str">
        <f>IFERROR(__xludf.DUMMYFUNCTION("""COMPUTED_VALUE"""),"Harborbridge House")</f>
        <v>Harborbridge House</v>
      </c>
      <c r="E4258" s="2">
        <f>IFERROR(__xludf.DUMMYFUNCTION("""COMPUTED_VALUE"""),0.64)</f>
        <v>0.64</v>
      </c>
      <c r="F4258" s="2"/>
      <c r="G4258" s="2"/>
      <c r="H4258" s="2"/>
      <c r="I4258" s="2"/>
    </row>
    <row r="4259">
      <c r="A4259" s="2">
        <f>IFERROR(__xludf.DUMMYFUNCTION("""COMPUTED_VALUE"""),69296.0)</f>
        <v>69296</v>
      </c>
      <c r="B4259" s="2" t="str">
        <f>IFERROR(__xludf.DUMMYFUNCTION("""COMPUTED_VALUE"""),"Arts")</f>
        <v>Arts</v>
      </c>
      <c r="C4259" s="2" t="str">
        <f>IFERROR(__xludf.DUMMYFUNCTION("""COMPUTED_VALUE"""),"Investing")</f>
        <v>Investing</v>
      </c>
      <c r="D4259" s="2" t="str">
        <f>IFERROR(__xludf.DUMMYFUNCTION("""COMPUTED_VALUE"""),"Harborbridge House")</f>
        <v>Harborbridge House</v>
      </c>
      <c r="E4259" s="2">
        <f>IFERROR(__xludf.DUMMYFUNCTION("""COMPUTED_VALUE"""),1.52)</f>
        <v>1.52</v>
      </c>
      <c r="F4259" s="2"/>
      <c r="G4259" s="2"/>
      <c r="H4259" s="2"/>
      <c r="I4259" s="2"/>
    </row>
    <row r="4260">
      <c r="A4260" s="2">
        <f>IFERROR(__xludf.DUMMYFUNCTION("""COMPUTED_VALUE"""),115141.0)</f>
        <v>115141</v>
      </c>
      <c r="B4260" s="2" t="str">
        <f>IFERROR(__xludf.DUMMYFUNCTION("""COMPUTED_VALUE"""),"Arts")</f>
        <v>Arts</v>
      </c>
      <c r="C4260" s="2" t="str">
        <f>IFERROR(__xludf.DUMMYFUNCTION("""COMPUTED_VALUE"""),"Investing")</f>
        <v>Investing</v>
      </c>
      <c r="D4260" s="2" t="str">
        <f>IFERROR(__xludf.DUMMYFUNCTION("""COMPUTED_VALUE"""),"Cedarbridge House")</f>
        <v>Cedarbridge House</v>
      </c>
      <c r="E4260" s="2">
        <f>IFERROR(__xludf.DUMMYFUNCTION("""COMPUTED_VALUE"""),1.72)</f>
        <v>1.72</v>
      </c>
      <c r="F4260" s="2"/>
      <c r="G4260" s="2"/>
      <c r="H4260" s="2"/>
      <c r="I4260" s="2"/>
    </row>
    <row r="4261">
      <c r="A4261" s="2">
        <f>IFERROR(__xludf.DUMMYFUNCTION("""COMPUTED_VALUE"""),112081.0)</f>
        <v>112081</v>
      </c>
      <c r="B4261" s="2" t="str">
        <f>IFERROR(__xludf.DUMMYFUNCTION("""COMPUTED_VALUE"""),"Arts")</f>
        <v>Arts</v>
      </c>
      <c r="C4261" s="2" t="str">
        <f>IFERROR(__xludf.DUMMYFUNCTION("""COMPUTED_VALUE"""),"Investing")</f>
        <v>Investing</v>
      </c>
      <c r="D4261" s="2" t="str">
        <f>IFERROR(__xludf.DUMMYFUNCTION("""COMPUTED_VALUE"""),"Cedarbridge House")</f>
        <v>Cedarbridge House</v>
      </c>
      <c r="E4261" s="2">
        <f>IFERROR(__xludf.DUMMYFUNCTION("""COMPUTED_VALUE"""),2.38)</f>
        <v>2.38</v>
      </c>
      <c r="F4261" s="2"/>
      <c r="G4261" s="2"/>
      <c r="H4261" s="2"/>
      <c r="I4261" s="2"/>
    </row>
    <row r="4262">
      <c r="A4262" s="2">
        <f>IFERROR(__xludf.DUMMYFUNCTION("""COMPUTED_VALUE"""),77611.0)</f>
        <v>77611</v>
      </c>
      <c r="B4262" s="2" t="str">
        <f>IFERROR(__xludf.DUMMYFUNCTION("""COMPUTED_VALUE"""),"Arts")</f>
        <v>Arts</v>
      </c>
      <c r="C4262" s="2" t="str">
        <f>IFERROR(__xludf.DUMMYFUNCTION("""COMPUTED_VALUE"""),"Investing")</f>
        <v>Investing</v>
      </c>
      <c r="D4262" s="2" t="str">
        <f>IFERROR(__xludf.DUMMYFUNCTION("""COMPUTED_VALUE"""),"Cedarbridge House")</f>
        <v>Cedarbridge House</v>
      </c>
      <c r="E4262" s="2">
        <f>IFERROR(__xludf.DUMMYFUNCTION("""COMPUTED_VALUE"""),1.86)</f>
        <v>1.86</v>
      </c>
      <c r="F4262" s="2"/>
      <c r="G4262" s="2"/>
      <c r="H4262" s="2"/>
      <c r="I4262" s="2"/>
    </row>
    <row r="4263">
      <c r="A4263" s="2">
        <f>IFERROR(__xludf.DUMMYFUNCTION("""COMPUTED_VALUE"""),111722.0)</f>
        <v>111722</v>
      </c>
      <c r="B4263" s="2" t="str">
        <f>IFERROR(__xludf.DUMMYFUNCTION("""COMPUTED_VALUE"""),"Arts")</f>
        <v>Arts</v>
      </c>
      <c r="C4263" s="2" t="str">
        <f>IFERROR(__xludf.DUMMYFUNCTION("""COMPUTED_VALUE"""),"Investing")</f>
        <v>Investing</v>
      </c>
      <c r="D4263" s="2" t="str">
        <f>IFERROR(__xludf.DUMMYFUNCTION("""COMPUTED_VALUE"""),"Cedarbridge House")</f>
        <v>Cedarbridge House</v>
      </c>
      <c r="E4263" s="2">
        <f>IFERROR(__xludf.DUMMYFUNCTION("""COMPUTED_VALUE"""),1.96)</f>
        <v>1.96</v>
      </c>
      <c r="F4263" s="2"/>
      <c r="G4263" s="2"/>
      <c r="H4263" s="2"/>
      <c r="I4263" s="2"/>
    </row>
    <row r="4264">
      <c r="A4264" s="2">
        <f>IFERROR(__xludf.DUMMYFUNCTION("""COMPUTED_VALUE"""),81503.0)</f>
        <v>81503</v>
      </c>
      <c r="B4264" s="2" t="str">
        <f>IFERROR(__xludf.DUMMYFUNCTION("""COMPUTED_VALUE"""),"Arts")</f>
        <v>Arts</v>
      </c>
      <c r="C4264" s="2" t="str">
        <f>IFERROR(__xludf.DUMMYFUNCTION("""COMPUTED_VALUE"""),"Investing")</f>
        <v>Investing</v>
      </c>
      <c r="D4264" s="2" t="str">
        <f>IFERROR(__xludf.DUMMYFUNCTION("""COMPUTED_VALUE"""),"Brightbridge House")</f>
        <v>Brightbridge House</v>
      </c>
      <c r="E4264" s="2">
        <f>IFERROR(__xludf.DUMMYFUNCTION("""COMPUTED_VALUE"""),2.34)</f>
        <v>2.34</v>
      </c>
      <c r="F4264" s="2"/>
      <c r="G4264" s="2"/>
      <c r="H4264" s="2"/>
      <c r="I4264" s="2"/>
    </row>
    <row r="4265">
      <c r="A4265" s="2">
        <f>IFERROR(__xludf.DUMMYFUNCTION("""COMPUTED_VALUE"""),117559.0)</f>
        <v>117559</v>
      </c>
      <c r="B4265" s="2" t="str">
        <f>IFERROR(__xludf.DUMMYFUNCTION("""COMPUTED_VALUE"""),"Arts")</f>
        <v>Arts</v>
      </c>
      <c r="C4265" s="2" t="str">
        <f>IFERROR(__xludf.DUMMYFUNCTION("""COMPUTED_VALUE"""),"Investing")</f>
        <v>Investing</v>
      </c>
      <c r="D4265" s="2" t="str">
        <f>IFERROR(__xludf.DUMMYFUNCTION("""COMPUTED_VALUE"""),"Brightbridge House")</f>
        <v>Brightbridge House</v>
      </c>
      <c r="E4265" s="2">
        <f>IFERROR(__xludf.DUMMYFUNCTION("""COMPUTED_VALUE"""),3.43)</f>
        <v>3.43</v>
      </c>
      <c r="F4265" s="2"/>
      <c r="G4265" s="2"/>
      <c r="H4265" s="2"/>
      <c r="I4265" s="2"/>
    </row>
    <row r="4266">
      <c r="A4266" s="2">
        <f>IFERROR(__xludf.DUMMYFUNCTION("""COMPUTED_VALUE"""),110230.0)</f>
        <v>110230</v>
      </c>
      <c r="B4266" s="2" t="str">
        <f>IFERROR(__xludf.DUMMYFUNCTION("""COMPUTED_VALUE"""),"Finance")</f>
        <v>Finance</v>
      </c>
      <c r="C4266" s="2" t="str">
        <f>IFERROR(__xludf.DUMMYFUNCTION("""COMPUTED_VALUE"""),"Stock Market")</f>
        <v>Stock Market</v>
      </c>
      <c r="D4266" s="2" t="str">
        <f>IFERROR(__xludf.DUMMYFUNCTION("""COMPUTED_VALUE"""),"Oakbridge House")</f>
        <v>Oakbridge House</v>
      </c>
      <c r="E4266" s="2">
        <f>IFERROR(__xludf.DUMMYFUNCTION("""COMPUTED_VALUE"""),43.88)</f>
        <v>43.88</v>
      </c>
      <c r="F4266" s="2"/>
      <c r="G4266" s="2"/>
      <c r="H4266" s="2"/>
      <c r="I4266" s="2"/>
    </row>
    <row r="4267">
      <c r="A4267" s="2">
        <f>IFERROR(__xludf.DUMMYFUNCTION("""COMPUTED_VALUE"""),122854.0)</f>
        <v>122854</v>
      </c>
      <c r="B4267" s="2" t="str">
        <f>IFERROR(__xludf.DUMMYFUNCTION("""COMPUTED_VALUE"""),"Finance")</f>
        <v>Finance</v>
      </c>
      <c r="C4267" s="2" t="str">
        <f>IFERROR(__xludf.DUMMYFUNCTION("""COMPUTED_VALUE"""),"Stock Market")</f>
        <v>Stock Market</v>
      </c>
      <c r="D4267" s="2" t="str">
        <f>IFERROR(__xludf.DUMMYFUNCTION("""COMPUTED_VALUE"""),"Riverbridge House")</f>
        <v>Riverbridge House</v>
      </c>
      <c r="E4267" s="2">
        <f>IFERROR(__xludf.DUMMYFUNCTION("""COMPUTED_VALUE"""),13.46)</f>
        <v>13.46</v>
      </c>
      <c r="F4267" s="2"/>
      <c r="G4267" s="2"/>
      <c r="H4267" s="2"/>
      <c r="I4267" s="2"/>
    </row>
    <row r="4268">
      <c r="A4268" s="2">
        <f>IFERROR(__xludf.DUMMYFUNCTION("""COMPUTED_VALUE"""),95371.0)</f>
        <v>95371</v>
      </c>
      <c r="B4268" s="2" t="str">
        <f>IFERROR(__xludf.DUMMYFUNCTION("""COMPUTED_VALUE"""),"Finance")</f>
        <v>Finance</v>
      </c>
      <c r="C4268" s="2" t="str">
        <f>IFERROR(__xludf.DUMMYFUNCTION("""COMPUTED_VALUE"""),"Stock Market")</f>
        <v>Stock Market</v>
      </c>
      <c r="D4268" s="2" t="str">
        <f>IFERROR(__xludf.DUMMYFUNCTION("""COMPUTED_VALUE"""),"Riverbridge House")</f>
        <v>Riverbridge House</v>
      </c>
      <c r="E4268" s="2">
        <f>IFERROR(__xludf.DUMMYFUNCTION("""COMPUTED_VALUE"""),7.48)</f>
        <v>7.48</v>
      </c>
      <c r="F4268" s="2"/>
      <c r="G4268" s="2"/>
      <c r="H4268" s="2"/>
      <c r="I4268" s="2"/>
    </row>
    <row r="4269">
      <c r="A4269" s="2">
        <f>IFERROR(__xludf.DUMMYFUNCTION("""COMPUTED_VALUE"""),101190.0)</f>
        <v>101190</v>
      </c>
      <c r="B4269" s="2" t="str">
        <f>IFERROR(__xludf.DUMMYFUNCTION("""COMPUTED_VALUE"""),"Finance")</f>
        <v>Finance</v>
      </c>
      <c r="C4269" s="2" t="str">
        <f>IFERROR(__xludf.DUMMYFUNCTION("""COMPUTED_VALUE"""),"Stock Market")</f>
        <v>Stock Market</v>
      </c>
      <c r="D4269" s="2" t="str">
        <f>IFERROR(__xludf.DUMMYFUNCTION("""COMPUTED_VALUE"""),"Riverbridge House")</f>
        <v>Riverbridge House</v>
      </c>
      <c r="E4269" s="2">
        <f>IFERROR(__xludf.DUMMYFUNCTION("""COMPUTED_VALUE"""),3.75)</f>
        <v>3.75</v>
      </c>
      <c r="F4269" s="2"/>
      <c r="G4269" s="2"/>
      <c r="H4269" s="2"/>
      <c r="I4269" s="2"/>
    </row>
    <row r="4270">
      <c r="A4270" s="2">
        <f>IFERROR(__xludf.DUMMYFUNCTION("""COMPUTED_VALUE"""),121532.0)</f>
        <v>121532</v>
      </c>
      <c r="B4270" s="2" t="str">
        <f>IFERROR(__xludf.DUMMYFUNCTION("""COMPUTED_VALUE"""),"Finance")</f>
        <v>Finance</v>
      </c>
      <c r="C4270" s="2" t="str">
        <f>IFERROR(__xludf.DUMMYFUNCTION("""COMPUTED_VALUE"""),"Stock Market")</f>
        <v>Stock Market</v>
      </c>
      <c r="D4270" s="2" t="str">
        <f>IFERROR(__xludf.DUMMYFUNCTION("""COMPUTED_VALUE"""),"Ironbridge House")</f>
        <v>Ironbridge House</v>
      </c>
      <c r="E4270" s="2">
        <f>IFERROR(__xludf.DUMMYFUNCTION("""COMPUTED_VALUE"""),3.6)</f>
        <v>3.6</v>
      </c>
      <c r="F4270" s="2"/>
      <c r="G4270" s="2"/>
      <c r="H4270" s="2"/>
      <c r="I4270" s="2"/>
    </row>
    <row r="4271">
      <c r="A4271" s="2">
        <f>IFERROR(__xludf.DUMMYFUNCTION("""COMPUTED_VALUE"""),6614.0)</f>
        <v>6614</v>
      </c>
      <c r="B4271" s="2" t="str">
        <f>IFERROR(__xludf.DUMMYFUNCTION("""COMPUTED_VALUE"""),"Finance")</f>
        <v>Finance</v>
      </c>
      <c r="C4271" s="2" t="str">
        <f>IFERROR(__xludf.DUMMYFUNCTION("""COMPUTED_VALUE"""),"Stock Market")</f>
        <v>Stock Market</v>
      </c>
      <c r="D4271" s="2" t="str">
        <f>IFERROR(__xludf.DUMMYFUNCTION("""COMPUTED_VALUE"""),"Ironbridge House")</f>
        <v>Ironbridge House</v>
      </c>
      <c r="E4271" s="2">
        <f>IFERROR(__xludf.DUMMYFUNCTION("""COMPUTED_VALUE"""),1.33)</f>
        <v>1.33</v>
      </c>
      <c r="F4271" s="2"/>
      <c r="G4271" s="2"/>
      <c r="H4271" s="2"/>
      <c r="I4271" s="2"/>
    </row>
    <row r="4272">
      <c r="A4272" s="2">
        <f>IFERROR(__xludf.DUMMYFUNCTION("""COMPUTED_VALUE"""),6618.0)</f>
        <v>6618</v>
      </c>
      <c r="B4272" s="2" t="str">
        <f>IFERROR(__xludf.DUMMYFUNCTION("""COMPUTED_VALUE"""),"Finance")</f>
        <v>Finance</v>
      </c>
      <c r="C4272" s="2" t="str">
        <f>IFERROR(__xludf.DUMMYFUNCTION("""COMPUTED_VALUE"""),"Stock Market")</f>
        <v>Stock Market</v>
      </c>
      <c r="D4272" s="2" t="str">
        <f>IFERROR(__xludf.DUMMYFUNCTION("""COMPUTED_VALUE"""),"Silvergrove House")</f>
        <v>Silvergrove House</v>
      </c>
      <c r="E4272" s="2">
        <f>IFERROR(__xludf.DUMMYFUNCTION("""COMPUTED_VALUE"""),2.17)</f>
        <v>2.17</v>
      </c>
      <c r="F4272" s="2"/>
      <c r="G4272" s="2"/>
      <c r="H4272" s="2"/>
      <c r="I4272" s="2"/>
    </row>
    <row r="4273">
      <c r="A4273" s="2">
        <f>IFERROR(__xludf.DUMMYFUNCTION("""COMPUTED_VALUE"""),96096.0)</f>
        <v>96096</v>
      </c>
      <c r="B4273" s="2" t="str">
        <f>IFERROR(__xludf.DUMMYFUNCTION("""COMPUTED_VALUE"""),"Finance")</f>
        <v>Finance</v>
      </c>
      <c r="C4273" s="2" t="str">
        <f>IFERROR(__xludf.DUMMYFUNCTION("""COMPUTED_VALUE"""),"Stock Market")</f>
        <v>Stock Market</v>
      </c>
      <c r="D4273" s="2" t="str">
        <f>IFERROR(__xludf.DUMMYFUNCTION("""COMPUTED_VALUE"""),"Silvergrove House")</f>
        <v>Silvergrove House</v>
      </c>
      <c r="E4273" s="2">
        <f>IFERROR(__xludf.DUMMYFUNCTION("""COMPUTED_VALUE"""),4.4)</f>
        <v>4.4</v>
      </c>
      <c r="F4273" s="2"/>
      <c r="G4273" s="2"/>
      <c r="H4273" s="2"/>
      <c r="I4273" s="2"/>
    </row>
    <row r="4274">
      <c r="A4274" s="2">
        <f>IFERROR(__xludf.DUMMYFUNCTION("""COMPUTED_VALUE"""),105977.0)</f>
        <v>105977</v>
      </c>
      <c r="B4274" s="2" t="str">
        <f>IFERROR(__xludf.DUMMYFUNCTION("""COMPUTED_VALUE"""),"Finance")</f>
        <v>Finance</v>
      </c>
      <c r="C4274" s="2" t="str">
        <f>IFERROR(__xludf.DUMMYFUNCTION("""COMPUTED_VALUE"""),"Stock Market")</f>
        <v>Stock Market</v>
      </c>
      <c r="D4274" s="2" t="str">
        <f>IFERROR(__xludf.DUMMYFUNCTION("""COMPUTED_VALUE"""),"Northgrove House")</f>
        <v>Northgrove House</v>
      </c>
      <c r="E4274" s="2">
        <f>IFERROR(__xludf.DUMMYFUNCTION("""COMPUTED_VALUE"""),5.36)</f>
        <v>5.36</v>
      </c>
      <c r="F4274" s="2"/>
      <c r="G4274" s="2"/>
      <c r="H4274" s="2"/>
      <c r="I4274" s="2"/>
    </row>
    <row r="4275">
      <c r="A4275" s="2">
        <f>IFERROR(__xludf.DUMMYFUNCTION("""COMPUTED_VALUE"""),105901.0)</f>
        <v>105901</v>
      </c>
      <c r="B4275" s="2" t="str">
        <f>IFERROR(__xludf.DUMMYFUNCTION("""COMPUTED_VALUE"""),"Finance")</f>
        <v>Finance</v>
      </c>
      <c r="C4275" s="2" t="str">
        <f>IFERROR(__xludf.DUMMYFUNCTION("""COMPUTED_VALUE"""),"Stock Market")</f>
        <v>Stock Market</v>
      </c>
      <c r="D4275" s="2" t="str">
        <f>IFERROR(__xludf.DUMMYFUNCTION("""COMPUTED_VALUE"""),"Harborgrove House")</f>
        <v>Harborgrove House</v>
      </c>
      <c r="E4275" s="2">
        <f>IFERROR(__xludf.DUMMYFUNCTION("""COMPUTED_VALUE"""),4.21)</f>
        <v>4.21</v>
      </c>
      <c r="F4275" s="2"/>
      <c r="G4275" s="2"/>
      <c r="H4275" s="2"/>
      <c r="I4275" s="2"/>
    </row>
    <row r="4276">
      <c r="A4276" s="2">
        <f>IFERROR(__xludf.DUMMYFUNCTION("""COMPUTED_VALUE"""),180823.0)</f>
        <v>180823</v>
      </c>
      <c r="B4276" s="2" t="str">
        <f>IFERROR(__xludf.DUMMYFUNCTION("""COMPUTED_VALUE"""),"Finance")</f>
        <v>Finance</v>
      </c>
      <c r="C4276" s="2" t="str">
        <f>IFERROR(__xludf.DUMMYFUNCTION("""COMPUTED_VALUE"""),"Stock Market")</f>
        <v>Stock Market</v>
      </c>
      <c r="D4276" s="2" t="str">
        <f>IFERROR(__xludf.DUMMYFUNCTION("""COMPUTED_VALUE"""),"Harborgrove House")</f>
        <v>Harborgrove House</v>
      </c>
      <c r="E4276" s="2">
        <f>IFERROR(__xludf.DUMMYFUNCTION("""COMPUTED_VALUE"""),8.1)</f>
        <v>8.1</v>
      </c>
      <c r="F4276" s="2"/>
      <c r="G4276" s="2"/>
      <c r="H4276" s="2"/>
      <c r="I4276" s="2"/>
    </row>
    <row r="4277">
      <c r="A4277" s="2">
        <f>IFERROR(__xludf.DUMMYFUNCTION("""COMPUTED_VALUE"""),118979.0)</f>
        <v>118979</v>
      </c>
      <c r="B4277" s="2" t="str">
        <f>IFERROR(__xludf.DUMMYFUNCTION("""COMPUTED_VALUE"""),"Finance")</f>
        <v>Finance</v>
      </c>
      <c r="C4277" s="2" t="str">
        <f>IFERROR(__xludf.DUMMYFUNCTION("""COMPUTED_VALUE"""),"Stock Market")</f>
        <v>Stock Market</v>
      </c>
      <c r="D4277" s="2" t="str">
        <f>IFERROR(__xludf.DUMMYFUNCTION("""COMPUTED_VALUE"""),"Harborgrove House")</f>
        <v>Harborgrove House</v>
      </c>
      <c r="E4277" s="2">
        <f>IFERROR(__xludf.DUMMYFUNCTION("""COMPUTED_VALUE"""),4.44)</f>
        <v>4.44</v>
      </c>
      <c r="F4277" s="2"/>
      <c r="G4277" s="2"/>
      <c r="H4277" s="2"/>
      <c r="I4277" s="2"/>
    </row>
    <row r="4278">
      <c r="A4278" s="2">
        <f>IFERROR(__xludf.DUMMYFUNCTION("""COMPUTED_VALUE"""),111502.0)</f>
        <v>111502</v>
      </c>
      <c r="B4278" s="2" t="str">
        <f>IFERROR(__xludf.DUMMYFUNCTION("""COMPUTED_VALUE"""),"Finance")</f>
        <v>Finance</v>
      </c>
      <c r="C4278" s="2" t="str">
        <f>IFERROR(__xludf.DUMMYFUNCTION("""COMPUTED_VALUE"""),"Stock Market")</f>
        <v>Stock Market</v>
      </c>
      <c r="D4278" s="2" t="str">
        <f>IFERROR(__xludf.DUMMYFUNCTION("""COMPUTED_VALUE"""),"Harborgrove House")</f>
        <v>Harborgrove House</v>
      </c>
      <c r="E4278" s="2">
        <f>IFERROR(__xludf.DUMMYFUNCTION("""COMPUTED_VALUE"""),2.58)</f>
        <v>2.58</v>
      </c>
      <c r="F4278" s="2"/>
      <c r="G4278" s="2"/>
      <c r="H4278" s="2"/>
      <c r="I4278" s="2"/>
    </row>
    <row r="4279">
      <c r="A4279" s="2">
        <f>IFERROR(__xludf.DUMMYFUNCTION("""COMPUTED_VALUE"""),180822.0)</f>
        <v>180822</v>
      </c>
      <c r="B4279" s="2" t="str">
        <f>IFERROR(__xludf.DUMMYFUNCTION("""COMPUTED_VALUE"""),"Finance")</f>
        <v>Finance</v>
      </c>
      <c r="C4279" s="2" t="str">
        <f>IFERROR(__xludf.DUMMYFUNCTION("""COMPUTED_VALUE"""),"Stock Market")</f>
        <v>Stock Market</v>
      </c>
      <c r="D4279" s="2" t="str">
        <f>IFERROR(__xludf.DUMMYFUNCTION("""COMPUTED_VALUE"""),"Harborgrove House")</f>
        <v>Harborgrove House</v>
      </c>
      <c r="E4279" s="2">
        <f>IFERROR(__xludf.DUMMYFUNCTION("""COMPUTED_VALUE"""),8.06)</f>
        <v>8.06</v>
      </c>
      <c r="F4279" s="2"/>
      <c r="G4279" s="2"/>
      <c r="H4279" s="2"/>
      <c r="I4279" s="2"/>
    </row>
    <row r="4280">
      <c r="A4280" s="2">
        <f>IFERROR(__xludf.DUMMYFUNCTION("""COMPUTED_VALUE"""),101196.0)</f>
        <v>101196</v>
      </c>
      <c r="B4280" s="2" t="str">
        <f>IFERROR(__xludf.DUMMYFUNCTION("""COMPUTED_VALUE"""),"Finance")</f>
        <v>Finance</v>
      </c>
      <c r="C4280" s="2" t="str">
        <f>IFERROR(__xludf.DUMMYFUNCTION("""COMPUTED_VALUE"""),"Stock Market")</f>
        <v>Stock Market</v>
      </c>
      <c r="D4280" s="2" t="str">
        <f>IFERROR(__xludf.DUMMYFUNCTION("""COMPUTED_VALUE"""),"Harborgrove House")</f>
        <v>Harborgrove House</v>
      </c>
      <c r="E4280" s="2">
        <f>IFERROR(__xludf.DUMMYFUNCTION("""COMPUTED_VALUE"""),3.28)</f>
        <v>3.28</v>
      </c>
      <c r="F4280" s="2"/>
      <c r="G4280" s="2"/>
      <c r="H4280" s="2"/>
      <c r="I4280" s="2"/>
    </row>
    <row r="4281">
      <c r="A4281" s="2">
        <f>IFERROR(__xludf.DUMMYFUNCTION("""COMPUTED_VALUE"""),180824.0)</f>
        <v>180824</v>
      </c>
      <c r="B4281" s="2" t="str">
        <f>IFERROR(__xludf.DUMMYFUNCTION("""COMPUTED_VALUE"""),"Finance")</f>
        <v>Finance</v>
      </c>
      <c r="C4281" s="2" t="str">
        <f>IFERROR(__xludf.DUMMYFUNCTION("""COMPUTED_VALUE"""),"Stock Market")</f>
        <v>Stock Market</v>
      </c>
      <c r="D4281" s="2" t="str">
        <f>IFERROR(__xludf.DUMMYFUNCTION("""COMPUTED_VALUE"""),"Harborgrove House")</f>
        <v>Harborgrove House</v>
      </c>
      <c r="E4281" s="2">
        <f>IFERROR(__xludf.DUMMYFUNCTION("""COMPUTED_VALUE"""),8.07)</f>
        <v>8.07</v>
      </c>
      <c r="F4281" s="2"/>
      <c r="G4281" s="2"/>
      <c r="H4281" s="2"/>
      <c r="I4281" s="2"/>
    </row>
    <row r="4282">
      <c r="A4282" s="2">
        <f>IFERROR(__xludf.DUMMYFUNCTION("""COMPUTED_VALUE"""),105905.0)</f>
        <v>105905</v>
      </c>
      <c r="B4282" s="2" t="str">
        <f>IFERROR(__xludf.DUMMYFUNCTION("""COMPUTED_VALUE"""),"Finance")</f>
        <v>Finance</v>
      </c>
      <c r="C4282" s="2" t="str">
        <f>IFERROR(__xludf.DUMMYFUNCTION("""COMPUTED_VALUE"""),"Stock Market")</f>
        <v>Stock Market</v>
      </c>
      <c r="D4282" s="2" t="str">
        <f>IFERROR(__xludf.DUMMYFUNCTION("""COMPUTED_VALUE"""),"Harborgrove House")</f>
        <v>Harborgrove House</v>
      </c>
      <c r="E4282" s="2">
        <f>IFERROR(__xludf.DUMMYFUNCTION("""COMPUTED_VALUE"""),3.97)</f>
        <v>3.97</v>
      </c>
      <c r="F4282" s="2"/>
      <c r="G4282" s="2"/>
      <c r="H4282" s="2"/>
      <c r="I4282" s="2"/>
    </row>
    <row r="4283">
      <c r="A4283" s="2">
        <f>IFERROR(__xludf.DUMMYFUNCTION("""COMPUTED_VALUE"""),101194.0)</f>
        <v>101194</v>
      </c>
      <c r="B4283" s="2" t="str">
        <f>IFERROR(__xludf.DUMMYFUNCTION("""COMPUTED_VALUE"""),"Finance")</f>
        <v>Finance</v>
      </c>
      <c r="C4283" s="2" t="str">
        <f>IFERROR(__xludf.DUMMYFUNCTION("""COMPUTED_VALUE"""),"Stock Market")</f>
        <v>Stock Market</v>
      </c>
      <c r="D4283" s="2" t="str">
        <f>IFERROR(__xludf.DUMMYFUNCTION("""COMPUTED_VALUE"""),"Cedargrove House")</f>
        <v>Cedargrove House</v>
      </c>
      <c r="E4283" s="2">
        <f>IFERROR(__xludf.DUMMYFUNCTION("""COMPUTED_VALUE"""),29.07)</f>
        <v>29.07</v>
      </c>
      <c r="F4283" s="2"/>
      <c r="G4283" s="2"/>
      <c r="H4283" s="2"/>
      <c r="I4283" s="2"/>
    </row>
    <row r="4284">
      <c r="A4284" s="2">
        <f>IFERROR(__xludf.DUMMYFUNCTION("""COMPUTED_VALUE"""),113719.0)</f>
        <v>113719</v>
      </c>
      <c r="B4284" s="2" t="str">
        <f>IFERROR(__xludf.DUMMYFUNCTION("""COMPUTED_VALUE"""),"Finance")</f>
        <v>Finance</v>
      </c>
      <c r="C4284" s="2" t="str">
        <f>IFERROR(__xludf.DUMMYFUNCTION("""COMPUTED_VALUE"""),"Stock Market")</f>
        <v>Stock Market</v>
      </c>
      <c r="D4284" s="2" t="str">
        <f>IFERROR(__xludf.DUMMYFUNCTION("""COMPUTED_VALUE"""),"Cedargrove House")</f>
        <v>Cedargrove House</v>
      </c>
      <c r="E4284" s="2">
        <f>IFERROR(__xludf.DUMMYFUNCTION("""COMPUTED_VALUE"""),152.75)</f>
        <v>152.75</v>
      </c>
      <c r="F4284" s="2"/>
      <c r="G4284" s="2"/>
      <c r="H4284" s="2"/>
      <c r="I4284" s="2"/>
    </row>
    <row r="4285">
      <c r="A4285" s="2">
        <f>IFERROR(__xludf.DUMMYFUNCTION("""COMPUTED_VALUE"""),111330.0)</f>
        <v>111330</v>
      </c>
      <c r="B4285" s="2" t="str">
        <f>IFERROR(__xludf.DUMMYFUNCTION("""COMPUTED_VALUE"""),"Tech")</f>
        <v>Tech</v>
      </c>
      <c r="C4285" s="2" t="str">
        <f>IFERROR(__xludf.DUMMYFUNCTION("""COMPUTED_VALUE"""),"Cryptocurrency")</f>
        <v>Cryptocurrency</v>
      </c>
      <c r="D4285" s="2" t="str">
        <f>IFERROR(__xludf.DUMMYFUNCTION("""COMPUTED_VALUE"""),"Brightgrove House")</f>
        <v>Brightgrove House</v>
      </c>
      <c r="E4285" s="2">
        <f>IFERROR(__xludf.DUMMYFUNCTION("""COMPUTED_VALUE"""),3.6)</f>
        <v>3.6</v>
      </c>
      <c r="F4285" s="2"/>
      <c r="G4285" s="2"/>
      <c r="H4285" s="2"/>
      <c r="I4285" s="2"/>
    </row>
    <row r="4286">
      <c r="A4286" s="2">
        <f>IFERROR(__xludf.DUMMYFUNCTION("""COMPUTED_VALUE"""),102089.0)</f>
        <v>102089</v>
      </c>
      <c r="B4286" s="2" t="str">
        <f>IFERROR(__xludf.DUMMYFUNCTION("""COMPUTED_VALUE"""),"Tech")</f>
        <v>Tech</v>
      </c>
      <c r="C4286" s="2" t="str">
        <f>IFERROR(__xludf.DUMMYFUNCTION("""COMPUTED_VALUE"""),"Cryptocurrency")</f>
        <v>Cryptocurrency</v>
      </c>
      <c r="D4286" s="2" t="str">
        <f>IFERROR(__xludf.DUMMYFUNCTION("""COMPUTED_VALUE"""),"Brightgrove House")</f>
        <v>Brightgrove House</v>
      </c>
      <c r="E4286" s="2">
        <f>IFERROR(__xludf.DUMMYFUNCTION("""COMPUTED_VALUE"""),2.92)</f>
        <v>2.92</v>
      </c>
      <c r="F4286" s="2"/>
      <c r="G4286" s="2"/>
      <c r="H4286" s="2"/>
      <c r="I4286" s="2"/>
    </row>
    <row r="4287">
      <c r="A4287" s="2">
        <f>IFERROR(__xludf.DUMMYFUNCTION("""COMPUTED_VALUE"""),116867.0)</f>
        <v>116867</v>
      </c>
      <c r="B4287" s="2" t="str">
        <f>IFERROR(__xludf.DUMMYFUNCTION("""COMPUTED_VALUE"""),"Tech")</f>
        <v>Tech</v>
      </c>
      <c r="C4287" s="2" t="str">
        <f>IFERROR(__xludf.DUMMYFUNCTION("""COMPUTED_VALUE"""),"Cryptocurrency")</f>
        <v>Cryptocurrency</v>
      </c>
      <c r="D4287" s="2" t="str">
        <f>IFERROR(__xludf.DUMMYFUNCTION("""COMPUTED_VALUE"""),"Brightgrove House")</f>
        <v>Brightgrove House</v>
      </c>
      <c r="E4287" s="2">
        <f>IFERROR(__xludf.DUMMYFUNCTION("""COMPUTED_VALUE"""),1.38)</f>
        <v>1.38</v>
      </c>
      <c r="F4287" s="2"/>
      <c r="G4287" s="2"/>
      <c r="H4287" s="2"/>
      <c r="I4287" s="2"/>
    </row>
    <row r="4288">
      <c r="A4288" s="2">
        <f>IFERROR(__xludf.DUMMYFUNCTION("""COMPUTED_VALUE"""),150297.0)</f>
        <v>150297</v>
      </c>
      <c r="B4288" s="2" t="str">
        <f>IFERROR(__xludf.DUMMYFUNCTION("""COMPUTED_VALUE"""),"Tech")</f>
        <v>Tech</v>
      </c>
      <c r="C4288" s="2" t="str">
        <f>IFERROR(__xludf.DUMMYFUNCTION("""COMPUTED_VALUE"""),"Cryptocurrency")</f>
        <v>Cryptocurrency</v>
      </c>
      <c r="D4288" s="2" t="str">
        <f>IFERROR(__xludf.DUMMYFUNCTION("""COMPUTED_VALUE"""),"Brightgrove House")</f>
        <v>Brightgrove House</v>
      </c>
      <c r="E4288" s="2">
        <f>IFERROR(__xludf.DUMMYFUNCTION("""COMPUTED_VALUE"""),3.2)</f>
        <v>3.2</v>
      </c>
      <c r="F4288" s="2"/>
      <c r="G4288" s="2"/>
      <c r="H4288" s="2"/>
      <c r="I4288" s="2"/>
    </row>
    <row r="4289">
      <c r="A4289" s="2">
        <f>IFERROR(__xludf.DUMMYFUNCTION("""COMPUTED_VALUE"""),23628.0)</f>
        <v>23628</v>
      </c>
      <c r="B4289" s="2" t="str">
        <f>IFERROR(__xludf.DUMMYFUNCTION("""COMPUTED_VALUE"""),"Tech")</f>
        <v>Tech</v>
      </c>
      <c r="C4289" s="2" t="str">
        <f>IFERROR(__xludf.DUMMYFUNCTION("""COMPUTED_VALUE"""),"Cryptocurrency")</f>
        <v>Cryptocurrency</v>
      </c>
      <c r="D4289" s="2" t="str">
        <f>IFERROR(__xludf.DUMMYFUNCTION("""COMPUTED_VALUE"""),"Brightgrove House")</f>
        <v>Brightgrove House</v>
      </c>
      <c r="E4289" s="2">
        <f>IFERROR(__xludf.DUMMYFUNCTION("""COMPUTED_VALUE"""),1.39)</f>
        <v>1.39</v>
      </c>
      <c r="F4289" s="2"/>
      <c r="G4289" s="2"/>
      <c r="H4289" s="2"/>
      <c r="I4289" s="2"/>
    </row>
    <row r="4290">
      <c r="A4290" s="2">
        <f>IFERROR(__xludf.DUMMYFUNCTION("""COMPUTED_VALUE"""),120369.0)</f>
        <v>120369</v>
      </c>
      <c r="B4290" s="2" t="str">
        <f>IFERROR(__xludf.DUMMYFUNCTION("""COMPUTED_VALUE"""),"Tech")</f>
        <v>Tech</v>
      </c>
      <c r="C4290" s="2" t="str">
        <f>IFERROR(__xludf.DUMMYFUNCTION("""COMPUTED_VALUE"""),"Cryptocurrency")</f>
        <v>Cryptocurrency</v>
      </c>
      <c r="D4290" s="2" t="str">
        <f>IFERROR(__xludf.DUMMYFUNCTION("""COMPUTED_VALUE"""),"Oakgrove House")</f>
        <v>Oakgrove House</v>
      </c>
      <c r="E4290" s="2">
        <f>IFERROR(__xludf.DUMMYFUNCTION("""COMPUTED_VALUE"""),9.94)</f>
        <v>9.94</v>
      </c>
      <c r="F4290" s="2"/>
      <c r="G4290" s="2"/>
      <c r="H4290" s="2"/>
      <c r="I4290" s="2"/>
    </row>
    <row r="4291">
      <c r="A4291" s="2">
        <f>IFERROR(__xludf.DUMMYFUNCTION("""COMPUTED_VALUE"""),114175.0)</f>
        <v>114175</v>
      </c>
      <c r="B4291" s="2" t="str">
        <f>IFERROR(__xludf.DUMMYFUNCTION("""COMPUTED_VALUE"""),"Tech")</f>
        <v>Tech</v>
      </c>
      <c r="C4291" s="2" t="str">
        <f>IFERROR(__xludf.DUMMYFUNCTION("""COMPUTED_VALUE"""),"Cryptocurrency")</f>
        <v>Cryptocurrency</v>
      </c>
      <c r="D4291" s="2" t="str">
        <f>IFERROR(__xludf.DUMMYFUNCTION("""COMPUTED_VALUE"""),"Rivergrove House")</f>
        <v>Rivergrove House</v>
      </c>
      <c r="E4291" s="2">
        <f>IFERROR(__xludf.DUMMYFUNCTION("""COMPUTED_VALUE"""),2.4)</f>
        <v>2.4</v>
      </c>
      <c r="F4291" s="2"/>
      <c r="G4291" s="2"/>
      <c r="H4291" s="2"/>
      <c r="I4291" s="2"/>
    </row>
    <row r="4292">
      <c r="A4292" s="2">
        <f>IFERROR(__xludf.DUMMYFUNCTION("""COMPUTED_VALUE"""),23649.0)</f>
        <v>23649</v>
      </c>
      <c r="B4292" s="2" t="str">
        <f>IFERROR(__xludf.DUMMYFUNCTION("""COMPUTED_VALUE"""),"Tech")</f>
        <v>Tech</v>
      </c>
      <c r="C4292" s="2" t="str">
        <f>IFERROR(__xludf.DUMMYFUNCTION("""COMPUTED_VALUE"""),"Cryptocurrency")</f>
        <v>Cryptocurrency</v>
      </c>
      <c r="D4292" s="2" t="str">
        <f>IFERROR(__xludf.DUMMYFUNCTION("""COMPUTED_VALUE"""),"Rivergrove House")</f>
        <v>Rivergrove House</v>
      </c>
      <c r="E4292" s="2">
        <f>IFERROR(__xludf.DUMMYFUNCTION("""COMPUTED_VALUE"""),1.72)</f>
        <v>1.72</v>
      </c>
      <c r="F4292" s="2"/>
      <c r="G4292" s="2"/>
      <c r="H4292" s="2"/>
      <c r="I4292" s="2"/>
    </row>
    <row r="4293">
      <c r="A4293" s="2">
        <f>IFERROR(__xludf.DUMMYFUNCTION("""COMPUTED_VALUE"""),80419.0)</f>
        <v>80419</v>
      </c>
      <c r="B4293" s="2" t="str">
        <f>IFERROR(__xludf.DUMMYFUNCTION("""COMPUTED_VALUE"""),"Tech")</f>
        <v>Tech</v>
      </c>
      <c r="C4293" s="2" t="str">
        <f>IFERROR(__xludf.DUMMYFUNCTION("""COMPUTED_VALUE"""),"Cryptocurrency")</f>
        <v>Cryptocurrency</v>
      </c>
      <c r="D4293" s="2" t="str">
        <f>IFERROR(__xludf.DUMMYFUNCTION("""COMPUTED_VALUE"""),"Rivergrove House")</f>
        <v>Rivergrove House</v>
      </c>
      <c r="E4293" s="2">
        <f>IFERROR(__xludf.DUMMYFUNCTION("""COMPUTED_VALUE"""),2.09)</f>
        <v>2.09</v>
      </c>
      <c r="F4293" s="2"/>
      <c r="G4293" s="2"/>
      <c r="H4293" s="2"/>
      <c r="I4293" s="2"/>
    </row>
    <row r="4294">
      <c r="A4294" s="2">
        <f>IFERROR(__xludf.DUMMYFUNCTION("""COMPUTED_VALUE"""),114173.0)</f>
        <v>114173</v>
      </c>
      <c r="B4294" s="2" t="str">
        <f>IFERROR(__xludf.DUMMYFUNCTION("""COMPUTED_VALUE"""),"Tech")</f>
        <v>Tech</v>
      </c>
      <c r="C4294" s="2" t="str">
        <f>IFERROR(__xludf.DUMMYFUNCTION("""COMPUTED_VALUE"""),"Cryptocurrency")</f>
        <v>Cryptocurrency</v>
      </c>
      <c r="D4294" s="2" t="str">
        <f>IFERROR(__xludf.DUMMYFUNCTION("""COMPUTED_VALUE"""),"Rivergrove House")</f>
        <v>Rivergrove House</v>
      </c>
      <c r="E4294" s="2">
        <f>IFERROR(__xludf.DUMMYFUNCTION("""COMPUTED_VALUE"""),2.01)</f>
        <v>2.01</v>
      </c>
      <c r="F4294" s="2"/>
      <c r="G4294" s="2"/>
      <c r="H4294" s="2"/>
      <c r="I4294" s="2"/>
    </row>
    <row r="4295">
      <c r="A4295" s="2">
        <f>IFERROR(__xludf.DUMMYFUNCTION("""COMPUTED_VALUE"""),91562.0)</f>
        <v>91562</v>
      </c>
      <c r="B4295" s="2" t="str">
        <f>IFERROR(__xludf.DUMMYFUNCTION("""COMPUTED_VALUE"""),"Tech")</f>
        <v>Tech</v>
      </c>
      <c r="C4295" s="2" t="str">
        <f>IFERROR(__xludf.DUMMYFUNCTION("""COMPUTED_VALUE"""),"Cryptocurrency")</f>
        <v>Cryptocurrency</v>
      </c>
      <c r="D4295" s="2" t="str">
        <f>IFERROR(__xludf.DUMMYFUNCTION("""COMPUTED_VALUE"""),"Rivergrove House")</f>
        <v>Rivergrove House</v>
      </c>
      <c r="E4295" s="2">
        <f>IFERROR(__xludf.DUMMYFUNCTION("""COMPUTED_VALUE"""),2.08)</f>
        <v>2.08</v>
      </c>
      <c r="F4295" s="2"/>
      <c r="G4295" s="2"/>
      <c r="H4295" s="2"/>
      <c r="I4295" s="2"/>
    </row>
    <row r="4296">
      <c r="A4296" s="2">
        <f>IFERROR(__xludf.DUMMYFUNCTION("""COMPUTED_VALUE"""),23662.0)</f>
        <v>23662</v>
      </c>
      <c r="B4296" s="2" t="str">
        <f>IFERROR(__xludf.DUMMYFUNCTION("""COMPUTED_VALUE"""),"Tech")</f>
        <v>Tech</v>
      </c>
      <c r="C4296" s="2" t="str">
        <f>IFERROR(__xludf.DUMMYFUNCTION("""COMPUTED_VALUE"""),"Cryptocurrency")</f>
        <v>Cryptocurrency</v>
      </c>
      <c r="D4296" s="2" t="str">
        <f>IFERROR(__xludf.DUMMYFUNCTION("""COMPUTED_VALUE"""),"Rivergrove House")</f>
        <v>Rivergrove House</v>
      </c>
      <c r="E4296" s="2">
        <f>IFERROR(__xludf.DUMMYFUNCTION("""COMPUTED_VALUE"""),0.99)</f>
        <v>0.99</v>
      </c>
      <c r="F4296" s="2"/>
      <c r="G4296" s="2"/>
      <c r="H4296" s="2"/>
      <c r="I4296" s="2"/>
    </row>
    <row r="4297">
      <c r="A4297" s="2">
        <f>IFERROR(__xludf.DUMMYFUNCTION("""COMPUTED_VALUE"""),76466.0)</f>
        <v>76466</v>
      </c>
      <c r="B4297" s="2" t="str">
        <f>IFERROR(__xludf.DUMMYFUNCTION("""COMPUTED_VALUE"""),"Law")</f>
        <v>Law</v>
      </c>
      <c r="C4297" s="2" t="str">
        <f>IFERROR(__xludf.DUMMYFUNCTION("""COMPUTED_VALUE"""),"Banking")</f>
        <v>Banking</v>
      </c>
      <c r="D4297" s="2" t="str">
        <f>IFERROR(__xludf.DUMMYFUNCTION("""COMPUTED_VALUE"""),"Irongrove House")</f>
        <v>Irongrove House</v>
      </c>
      <c r="E4297" s="2">
        <f>IFERROR(__xludf.DUMMYFUNCTION("""COMPUTED_VALUE"""),2.44)</f>
        <v>2.44</v>
      </c>
      <c r="F4297" s="2"/>
      <c r="G4297" s="2"/>
      <c r="H4297" s="2"/>
      <c r="I4297" s="2"/>
    </row>
    <row r="4298">
      <c r="A4298" s="2">
        <f>IFERROR(__xludf.DUMMYFUNCTION("""COMPUTED_VALUE"""),76465.0)</f>
        <v>76465</v>
      </c>
      <c r="B4298" s="2" t="str">
        <f>IFERROR(__xludf.DUMMYFUNCTION("""COMPUTED_VALUE"""),"Law")</f>
        <v>Law</v>
      </c>
      <c r="C4298" s="2" t="str">
        <f>IFERROR(__xludf.DUMMYFUNCTION("""COMPUTED_VALUE"""),"Banking")</f>
        <v>Banking</v>
      </c>
      <c r="D4298" s="2" t="str">
        <f>IFERROR(__xludf.DUMMYFUNCTION("""COMPUTED_VALUE"""),"Irongrove House")</f>
        <v>Irongrove House</v>
      </c>
      <c r="E4298" s="2">
        <f>IFERROR(__xludf.DUMMYFUNCTION("""COMPUTED_VALUE"""),1.66)</f>
        <v>1.66</v>
      </c>
      <c r="F4298" s="2"/>
      <c r="G4298" s="2"/>
      <c r="H4298" s="2"/>
      <c r="I4298" s="2"/>
    </row>
    <row r="4299">
      <c r="A4299" s="2">
        <f>IFERROR(__xludf.DUMMYFUNCTION("""COMPUTED_VALUE"""),68329.0)</f>
        <v>68329</v>
      </c>
      <c r="B4299" s="2" t="str">
        <f>IFERROR(__xludf.DUMMYFUNCTION("""COMPUTED_VALUE"""),"Law")</f>
        <v>Law</v>
      </c>
      <c r="C4299" s="2" t="str">
        <f>IFERROR(__xludf.DUMMYFUNCTION("""COMPUTED_VALUE"""),"Banking")</f>
        <v>Banking</v>
      </c>
      <c r="D4299" s="2" t="str">
        <f>IFERROR(__xludf.DUMMYFUNCTION("""COMPUTED_VALUE"""),"Irongrove House")</f>
        <v>Irongrove House</v>
      </c>
      <c r="E4299" s="2">
        <f>IFERROR(__xludf.DUMMYFUNCTION("""COMPUTED_VALUE"""),0.64)</f>
        <v>0.64</v>
      </c>
      <c r="F4299" s="2"/>
      <c r="G4299" s="2"/>
      <c r="H4299" s="2"/>
      <c r="I4299" s="2"/>
    </row>
    <row r="4300">
      <c r="A4300" s="2">
        <f>IFERROR(__xludf.DUMMYFUNCTION("""COMPUTED_VALUE"""),114470.0)</f>
        <v>114470</v>
      </c>
      <c r="B4300" s="2" t="str">
        <f>IFERROR(__xludf.DUMMYFUNCTION("""COMPUTED_VALUE"""),"Law")</f>
        <v>Law</v>
      </c>
      <c r="C4300" s="2" t="str">
        <f>IFERROR(__xludf.DUMMYFUNCTION("""COMPUTED_VALUE"""),"Banking")</f>
        <v>Banking</v>
      </c>
      <c r="D4300" s="2" t="str">
        <f>IFERROR(__xludf.DUMMYFUNCTION("""COMPUTED_VALUE"""),"Irongrove House")</f>
        <v>Irongrove House</v>
      </c>
      <c r="E4300" s="2">
        <f>IFERROR(__xludf.DUMMYFUNCTION("""COMPUTED_VALUE"""),3.03)</f>
        <v>3.03</v>
      </c>
      <c r="F4300" s="2"/>
      <c r="G4300" s="2"/>
      <c r="H4300" s="2"/>
      <c r="I4300" s="2"/>
    </row>
    <row r="4301">
      <c r="A4301" s="2">
        <f>IFERROR(__xludf.DUMMYFUNCTION("""COMPUTED_VALUE"""),110568.0)</f>
        <v>110568</v>
      </c>
      <c r="B4301" s="2" t="str">
        <f>IFERROR(__xludf.DUMMYFUNCTION("""COMPUTED_VALUE"""),"Law")</f>
        <v>Law</v>
      </c>
      <c r="C4301" s="2" t="str">
        <f>IFERROR(__xludf.DUMMYFUNCTION("""COMPUTED_VALUE"""),"Banking")</f>
        <v>Banking</v>
      </c>
      <c r="D4301" s="2" t="str">
        <f>IFERROR(__xludf.DUMMYFUNCTION("""COMPUTED_VALUE"""),"Irongrove House")</f>
        <v>Irongrove House</v>
      </c>
      <c r="E4301" s="2">
        <f>IFERROR(__xludf.DUMMYFUNCTION("""COMPUTED_VALUE"""),1.28)</f>
        <v>1.28</v>
      </c>
      <c r="F4301" s="2"/>
      <c r="G4301" s="2"/>
      <c r="H4301" s="2"/>
      <c r="I4301" s="2"/>
    </row>
    <row r="4302">
      <c r="A4302" s="2">
        <f>IFERROR(__xludf.DUMMYFUNCTION("""COMPUTED_VALUE"""),76470.0)</f>
        <v>76470</v>
      </c>
      <c r="B4302" s="2" t="str">
        <f>IFERROR(__xludf.DUMMYFUNCTION("""COMPUTED_VALUE"""),"Law")</f>
        <v>Law</v>
      </c>
      <c r="C4302" s="2" t="str">
        <f>IFERROR(__xludf.DUMMYFUNCTION("""COMPUTED_VALUE"""),"Banking")</f>
        <v>Banking</v>
      </c>
      <c r="D4302" s="2" t="str">
        <f>IFERROR(__xludf.DUMMYFUNCTION("""COMPUTED_VALUE"""),"Irongrove House")</f>
        <v>Irongrove House</v>
      </c>
      <c r="E4302" s="2">
        <f>IFERROR(__xludf.DUMMYFUNCTION("""COMPUTED_VALUE"""),0.68)</f>
        <v>0.68</v>
      </c>
      <c r="F4302" s="2"/>
      <c r="G4302" s="2"/>
      <c r="H4302" s="2"/>
      <c r="I4302" s="2"/>
    </row>
    <row r="4303">
      <c r="A4303" s="2">
        <f>IFERROR(__xludf.DUMMYFUNCTION("""COMPUTED_VALUE"""),5604.0)</f>
        <v>5604</v>
      </c>
      <c r="B4303" s="2" t="str">
        <f>IFERROR(__xludf.DUMMYFUNCTION("""COMPUTED_VALUE"""),"Law")</f>
        <v>Law</v>
      </c>
      <c r="C4303" s="2" t="str">
        <f>IFERROR(__xludf.DUMMYFUNCTION("""COMPUTED_VALUE"""),"Banking")</f>
        <v>Banking</v>
      </c>
      <c r="D4303" s="2" t="str">
        <f>IFERROR(__xludf.DUMMYFUNCTION("""COMPUTED_VALUE"""),"Irongrove House")</f>
        <v>Irongrove House</v>
      </c>
      <c r="E4303" s="2">
        <f>IFERROR(__xludf.DUMMYFUNCTION("""COMPUTED_VALUE"""),1.27)</f>
        <v>1.27</v>
      </c>
      <c r="F4303" s="2"/>
      <c r="G4303" s="2"/>
      <c r="H4303" s="2"/>
      <c r="I4303" s="2"/>
    </row>
    <row r="4304">
      <c r="A4304" s="2">
        <f>IFERROR(__xludf.DUMMYFUNCTION("""COMPUTED_VALUE"""),28613.0)</f>
        <v>28613</v>
      </c>
      <c r="B4304" s="2" t="str">
        <f>IFERROR(__xludf.DUMMYFUNCTION("""COMPUTED_VALUE"""),"Law")</f>
        <v>Law</v>
      </c>
      <c r="C4304" s="2" t="str">
        <f>IFERROR(__xludf.DUMMYFUNCTION("""COMPUTED_VALUE"""),"Banking")</f>
        <v>Banking</v>
      </c>
      <c r="D4304" s="2" t="str">
        <f>IFERROR(__xludf.DUMMYFUNCTION("""COMPUTED_VALUE"""),"Irongrove House")</f>
        <v>Irongrove House</v>
      </c>
      <c r="E4304" s="2">
        <f>IFERROR(__xludf.DUMMYFUNCTION("""COMPUTED_VALUE"""),1.5)</f>
        <v>1.5</v>
      </c>
      <c r="F4304" s="2"/>
      <c r="G4304" s="2"/>
      <c r="H4304" s="2"/>
      <c r="I4304" s="2"/>
    </row>
    <row r="4305">
      <c r="A4305" s="2">
        <f>IFERROR(__xludf.DUMMYFUNCTION("""COMPUTED_VALUE"""),159402.0)</f>
        <v>159402</v>
      </c>
      <c r="B4305" s="2" t="str">
        <f>IFERROR(__xludf.DUMMYFUNCTION("""COMPUTED_VALUE"""),"Law")</f>
        <v>Law</v>
      </c>
      <c r="C4305" s="2" t="str">
        <f>IFERROR(__xludf.DUMMYFUNCTION("""COMPUTED_VALUE"""),"Banking")</f>
        <v>Banking</v>
      </c>
      <c r="D4305" s="2" t="str">
        <f>IFERROR(__xludf.DUMMYFUNCTION("""COMPUTED_VALUE"""),"Irongrove House")</f>
        <v>Irongrove House</v>
      </c>
      <c r="E4305" s="2">
        <f>IFERROR(__xludf.DUMMYFUNCTION("""COMPUTED_VALUE"""),1.25)</f>
        <v>1.25</v>
      </c>
      <c r="F4305" s="2"/>
      <c r="G4305" s="2"/>
      <c r="H4305" s="2"/>
      <c r="I4305" s="2"/>
    </row>
    <row r="4306">
      <c r="A4306" s="2">
        <f>IFERROR(__xludf.DUMMYFUNCTION("""COMPUTED_VALUE"""),68379.0)</f>
        <v>68379</v>
      </c>
      <c r="B4306" s="2" t="str">
        <f>IFERROR(__xludf.DUMMYFUNCTION("""COMPUTED_VALUE"""),"Law")</f>
        <v>Law</v>
      </c>
      <c r="C4306" s="2" t="str">
        <f>IFERROR(__xludf.DUMMYFUNCTION("""COMPUTED_VALUE"""),"Banking")</f>
        <v>Banking</v>
      </c>
      <c r="D4306" s="2" t="str">
        <f>IFERROR(__xludf.DUMMYFUNCTION("""COMPUTED_VALUE"""),"Irongrove House")</f>
        <v>Irongrove House</v>
      </c>
      <c r="E4306" s="2">
        <f>IFERROR(__xludf.DUMMYFUNCTION("""COMPUTED_VALUE"""),1.19)</f>
        <v>1.19</v>
      </c>
      <c r="F4306" s="2"/>
      <c r="G4306" s="2"/>
      <c r="H4306" s="2"/>
      <c r="I4306" s="2"/>
    </row>
    <row r="4307">
      <c r="A4307" s="2">
        <f>IFERROR(__xludf.DUMMYFUNCTION("""COMPUTED_VALUE"""),91069.0)</f>
        <v>91069</v>
      </c>
      <c r="B4307" s="2" t="str">
        <f>IFERROR(__xludf.DUMMYFUNCTION("""COMPUTED_VALUE"""),"Law")</f>
        <v>Law</v>
      </c>
      <c r="C4307" s="2" t="str">
        <f>IFERROR(__xludf.DUMMYFUNCTION("""COMPUTED_VALUE"""),"Banking")</f>
        <v>Banking</v>
      </c>
      <c r="D4307" s="2" t="str">
        <f>IFERROR(__xludf.DUMMYFUNCTION("""COMPUTED_VALUE"""),"Irongrove House")</f>
        <v>Irongrove House</v>
      </c>
      <c r="E4307" s="2">
        <f>IFERROR(__xludf.DUMMYFUNCTION("""COMPUTED_VALUE"""),1.36)</f>
        <v>1.36</v>
      </c>
      <c r="F4307" s="2"/>
      <c r="G4307" s="2"/>
      <c r="H4307" s="2"/>
      <c r="I4307" s="2"/>
    </row>
    <row r="4308">
      <c r="A4308" s="2">
        <f>IFERROR(__xludf.DUMMYFUNCTION("""COMPUTED_VALUE"""),91060.0)</f>
        <v>91060</v>
      </c>
      <c r="B4308" s="2" t="str">
        <f>IFERROR(__xludf.DUMMYFUNCTION("""COMPUTED_VALUE"""),"Law")</f>
        <v>Law</v>
      </c>
      <c r="C4308" s="2" t="str">
        <f>IFERROR(__xludf.DUMMYFUNCTION("""COMPUTED_VALUE"""),"Banking")</f>
        <v>Banking</v>
      </c>
      <c r="D4308" s="2" t="str">
        <f>IFERROR(__xludf.DUMMYFUNCTION("""COMPUTED_VALUE"""),"Irongrove House")</f>
        <v>Irongrove House</v>
      </c>
      <c r="E4308" s="2">
        <f>IFERROR(__xludf.DUMMYFUNCTION("""COMPUTED_VALUE"""),5.96)</f>
        <v>5.96</v>
      </c>
      <c r="F4308" s="2"/>
      <c r="G4308" s="2"/>
      <c r="H4308" s="2"/>
      <c r="I4308" s="2"/>
    </row>
    <row r="4309">
      <c r="A4309" s="2">
        <f>IFERROR(__xludf.DUMMYFUNCTION("""COMPUTED_VALUE"""),182274.0)</f>
        <v>182274</v>
      </c>
      <c r="B4309" s="2" t="str">
        <f>IFERROR(__xludf.DUMMYFUNCTION("""COMPUTED_VALUE"""),"Law")</f>
        <v>Law</v>
      </c>
      <c r="C4309" s="2" t="str">
        <f>IFERROR(__xludf.DUMMYFUNCTION("""COMPUTED_VALUE"""),"Banking")</f>
        <v>Banking</v>
      </c>
      <c r="D4309" s="2" t="str">
        <f>IFERROR(__xludf.DUMMYFUNCTION("""COMPUTED_VALUE"""),"Irongrove House")</f>
        <v>Irongrove House</v>
      </c>
      <c r="E4309" s="2">
        <f>IFERROR(__xludf.DUMMYFUNCTION("""COMPUTED_VALUE"""),0.95)</f>
        <v>0.95</v>
      </c>
      <c r="F4309" s="2"/>
      <c r="G4309" s="2"/>
      <c r="H4309" s="2"/>
      <c r="I4309" s="2"/>
    </row>
    <row r="4310">
      <c r="A4310" s="2">
        <f>IFERROR(__xludf.DUMMYFUNCTION("""COMPUTED_VALUE"""),110566.0)</f>
        <v>110566</v>
      </c>
      <c r="B4310" s="2" t="str">
        <f>IFERROR(__xludf.DUMMYFUNCTION("""COMPUTED_VALUE"""),"Law")</f>
        <v>Law</v>
      </c>
      <c r="C4310" s="2" t="str">
        <f>IFERROR(__xludf.DUMMYFUNCTION("""COMPUTED_VALUE"""),"Banking")</f>
        <v>Banking</v>
      </c>
      <c r="D4310" s="2" t="str">
        <f>IFERROR(__xludf.DUMMYFUNCTION("""COMPUTED_VALUE"""),"Irongrove House")</f>
        <v>Irongrove House</v>
      </c>
      <c r="E4310" s="2">
        <f>IFERROR(__xludf.DUMMYFUNCTION("""COMPUTED_VALUE"""),0.98)</f>
        <v>0.98</v>
      </c>
      <c r="F4310" s="2"/>
      <c r="G4310" s="2"/>
      <c r="H4310" s="2"/>
      <c r="I4310" s="2"/>
    </row>
    <row r="4311">
      <c r="A4311" s="2">
        <f>IFERROR(__xludf.DUMMYFUNCTION("""COMPUTED_VALUE"""),78877.0)</f>
        <v>78877</v>
      </c>
      <c r="B4311" s="2" t="str">
        <f>IFERROR(__xludf.DUMMYFUNCTION("""COMPUTED_VALUE"""),"Law")</f>
        <v>Law</v>
      </c>
      <c r="C4311" s="2" t="str">
        <f>IFERROR(__xludf.DUMMYFUNCTION("""COMPUTED_VALUE"""),"Banking")</f>
        <v>Banking</v>
      </c>
      <c r="D4311" s="2" t="str">
        <f>IFERROR(__xludf.DUMMYFUNCTION("""COMPUTED_VALUE"""),"Irongrove House")</f>
        <v>Irongrove House</v>
      </c>
      <c r="E4311" s="2">
        <f>IFERROR(__xludf.DUMMYFUNCTION("""COMPUTED_VALUE"""),4.72)</f>
        <v>4.72</v>
      </c>
      <c r="F4311" s="2"/>
      <c r="G4311" s="2"/>
      <c r="H4311" s="2"/>
      <c r="I4311" s="2"/>
    </row>
    <row r="4312">
      <c r="A4312" s="2">
        <f>IFERROR(__xludf.DUMMYFUNCTION("""COMPUTED_VALUE"""),5490.0)</f>
        <v>5490</v>
      </c>
      <c r="B4312" s="2" t="str">
        <f>IFERROR(__xludf.DUMMYFUNCTION("""COMPUTED_VALUE"""),"Law")</f>
        <v>Law</v>
      </c>
      <c r="C4312" s="2" t="str">
        <f>IFERROR(__xludf.DUMMYFUNCTION("""COMPUTED_VALUE"""),"Banking")</f>
        <v>Banking</v>
      </c>
      <c r="D4312" s="2" t="str">
        <f>IFERROR(__xludf.DUMMYFUNCTION("""COMPUTED_VALUE"""),"Irongrove House")</f>
        <v>Irongrove House</v>
      </c>
      <c r="E4312" s="2">
        <f>IFERROR(__xludf.DUMMYFUNCTION("""COMPUTED_VALUE"""),1.7)</f>
        <v>1.7</v>
      </c>
      <c r="F4312" s="2"/>
      <c r="G4312" s="2"/>
      <c r="H4312" s="2"/>
      <c r="I4312" s="2"/>
    </row>
    <row r="4313">
      <c r="A4313" s="2">
        <f>IFERROR(__xludf.DUMMYFUNCTION("""COMPUTED_VALUE"""),68382.0)</f>
        <v>68382</v>
      </c>
      <c r="B4313" s="2" t="str">
        <f>IFERROR(__xludf.DUMMYFUNCTION("""COMPUTED_VALUE"""),"Law")</f>
        <v>Law</v>
      </c>
      <c r="C4313" s="2" t="str">
        <f>IFERROR(__xludf.DUMMYFUNCTION("""COMPUTED_VALUE"""),"Banking")</f>
        <v>Banking</v>
      </c>
      <c r="D4313" s="2" t="str">
        <f>IFERROR(__xludf.DUMMYFUNCTION("""COMPUTED_VALUE"""),"Irongrove House")</f>
        <v>Irongrove House</v>
      </c>
      <c r="E4313" s="2">
        <f>IFERROR(__xludf.DUMMYFUNCTION("""COMPUTED_VALUE"""),1.27)</f>
        <v>1.27</v>
      </c>
      <c r="F4313" s="2"/>
      <c r="G4313" s="2"/>
      <c r="H4313" s="2"/>
      <c r="I4313" s="2"/>
    </row>
    <row r="4314">
      <c r="A4314" s="2">
        <f>IFERROR(__xludf.DUMMYFUNCTION("""COMPUTED_VALUE"""),114663.0)</f>
        <v>114663</v>
      </c>
      <c r="B4314" s="2" t="str">
        <f>IFERROR(__xludf.DUMMYFUNCTION("""COMPUTED_VALUE"""),"Law")</f>
        <v>Law</v>
      </c>
      <c r="C4314" s="2" t="str">
        <f>IFERROR(__xludf.DUMMYFUNCTION("""COMPUTED_VALUE"""),"Banking")</f>
        <v>Banking</v>
      </c>
      <c r="D4314" s="2" t="str">
        <f>IFERROR(__xludf.DUMMYFUNCTION("""COMPUTED_VALUE"""),"Irongrove House")</f>
        <v>Irongrove House</v>
      </c>
      <c r="E4314" s="2">
        <f>IFERROR(__xludf.DUMMYFUNCTION("""COMPUTED_VALUE"""),2.38)</f>
        <v>2.38</v>
      </c>
      <c r="F4314" s="2"/>
      <c r="G4314" s="2"/>
      <c r="H4314" s="2"/>
      <c r="I4314" s="2"/>
    </row>
    <row r="4315">
      <c r="A4315" s="2">
        <f>IFERROR(__xludf.DUMMYFUNCTION("""COMPUTED_VALUE"""),76474.0)</f>
        <v>76474</v>
      </c>
      <c r="B4315" s="2" t="str">
        <f>IFERROR(__xludf.DUMMYFUNCTION("""COMPUTED_VALUE"""),"Law")</f>
        <v>Law</v>
      </c>
      <c r="C4315" s="2" t="str">
        <f>IFERROR(__xludf.DUMMYFUNCTION("""COMPUTED_VALUE"""),"Banking")</f>
        <v>Banking</v>
      </c>
      <c r="D4315" s="2" t="str">
        <f>IFERROR(__xludf.DUMMYFUNCTION("""COMPUTED_VALUE"""),"Irongrove House")</f>
        <v>Irongrove House</v>
      </c>
      <c r="E4315" s="2">
        <f>IFERROR(__xludf.DUMMYFUNCTION("""COMPUTED_VALUE"""),1.12)</f>
        <v>1.12</v>
      </c>
      <c r="F4315" s="2"/>
      <c r="G4315" s="2"/>
      <c r="H4315" s="2"/>
      <c r="I4315" s="2"/>
    </row>
    <row r="4316">
      <c r="A4316" s="2">
        <f>IFERROR(__xludf.DUMMYFUNCTION("""COMPUTED_VALUE"""),76455.0)</f>
        <v>76455</v>
      </c>
      <c r="B4316" s="2" t="str">
        <f>IFERROR(__xludf.DUMMYFUNCTION("""COMPUTED_VALUE"""),"Law")</f>
        <v>Law</v>
      </c>
      <c r="C4316" s="2" t="str">
        <f>IFERROR(__xludf.DUMMYFUNCTION("""COMPUTED_VALUE"""),"Banking")</f>
        <v>Banking</v>
      </c>
      <c r="D4316" s="2" t="str">
        <f>IFERROR(__xludf.DUMMYFUNCTION("""COMPUTED_VALUE"""),"Irongrove House")</f>
        <v>Irongrove House</v>
      </c>
      <c r="E4316" s="2">
        <f>IFERROR(__xludf.DUMMYFUNCTION("""COMPUTED_VALUE"""),1.2)</f>
        <v>1.2</v>
      </c>
      <c r="F4316" s="2"/>
      <c r="G4316" s="2"/>
      <c r="H4316" s="2"/>
      <c r="I4316" s="2"/>
    </row>
    <row r="4317">
      <c r="A4317" s="2">
        <f>IFERROR(__xludf.DUMMYFUNCTION("""COMPUTED_VALUE"""),46337.0)</f>
        <v>46337</v>
      </c>
      <c r="B4317" s="2" t="str">
        <f>IFERROR(__xludf.DUMMYFUNCTION("""COMPUTED_VALUE"""),"Law")</f>
        <v>Law</v>
      </c>
      <c r="C4317" s="2" t="str">
        <f>IFERROR(__xludf.DUMMYFUNCTION("""COMPUTED_VALUE"""),"Banking")</f>
        <v>Banking</v>
      </c>
      <c r="D4317" s="2" t="str">
        <f>IFERROR(__xludf.DUMMYFUNCTION("""COMPUTED_VALUE"""),"Irongrove House")</f>
        <v>Irongrove House</v>
      </c>
      <c r="E4317" s="2">
        <f>IFERROR(__xludf.DUMMYFUNCTION("""COMPUTED_VALUE"""),2.09)</f>
        <v>2.09</v>
      </c>
      <c r="F4317" s="2"/>
      <c r="G4317" s="2"/>
      <c r="H4317" s="2"/>
      <c r="I4317" s="2"/>
    </row>
    <row r="4318">
      <c r="A4318" s="2">
        <f>IFERROR(__xludf.DUMMYFUNCTION("""COMPUTED_VALUE"""),78430.0)</f>
        <v>78430</v>
      </c>
      <c r="B4318" s="2" t="str">
        <f>IFERROR(__xludf.DUMMYFUNCTION("""COMPUTED_VALUE"""),"Law")</f>
        <v>Law</v>
      </c>
      <c r="C4318" s="2" t="str">
        <f>IFERROR(__xludf.DUMMYFUNCTION("""COMPUTED_VALUE"""),"Banking")</f>
        <v>Banking</v>
      </c>
      <c r="D4318" s="2" t="str">
        <f>IFERROR(__xludf.DUMMYFUNCTION("""COMPUTED_VALUE"""),"Irongrove House")</f>
        <v>Irongrove House</v>
      </c>
      <c r="E4318" s="2">
        <f>IFERROR(__xludf.DUMMYFUNCTION("""COMPUTED_VALUE"""),2.48)</f>
        <v>2.48</v>
      </c>
      <c r="F4318" s="2"/>
      <c r="G4318" s="2"/>
      <c r="H4318" s="2"/>
      <c r="I4318" s="2"/>
    </row>
    <row r="4319">
      <c r="A4319" s="2">
        <f>IFERROR(__xludf.DUMMYFUNCTION("""COMPUTED_VALUE"""),5605.0)</f>
        <v>5605</v>
      </c>
      <c r="B4319" s="2" t="str">
        <f>IFERROR(__xludf.DUMMYFUNCTION("""COMPUTED_VALUE"""),"Law")</f>
        <v>Law</v>
      </c>
      <c r="C4319" s="2" t="str">
        <f>IFERROR(__xludf.DUMMYFUNCTION("""COMPUTED_VALUE"""),"Banking")</f>
        <v>Banking</v>
      </c>
      <c r="D4319" s="2" t="str">
        <f>IFERROR(__xludf.DUMMYFUNCTION("""COMPUTED_VALUE"""),"Irongrove House")</f>
        <v>Irongrove House</v>
      </c>
      <c r="E4319" s="2">
        <f>IFERROR(__xludf.DUMMYFUNCTION("""COMPUTED_VALUE"""),2.76)</f>
        <v>2.76</v>
      </c>
      <c r="F4319" s="2"/>
      <c r="G4319" s="2"/>
      <c r="H4319" s="2"/>
      <c r="I4319" s="2"/>
    </row>
    <row r="4320">
      <c r="A4320" s="2">
        <f>IFERROR(__xludf.DUMMYFUNCTION("""COMPUTED_VALUE"""),77419.0)</f>
        <v>77419</v>
      </c>
      <c r="B4320" s="2" t="str">
        <f>IFERROR(__xludf.DUMMYFUNCTION("""COMPUTED_VALUE"""),"Law")</f>
        <v>Law</v>
      </c>
      <c r="C4320" s="2" t="str">
        <f>IFERROR(__xludf.DUMMYFUNCTION("""COMPUTED_VALUE"""),"Banking")</f>
        <v>Banking</v>
      </c>
      <c r="D4320" s="2" t="str">
        <f>IFERROR(__xludf.DUMMYFUNCTION("""COMPUTED_VALUE"""),"Irongrove House")</f>
        <v>Irongrove House</v>
      </c>
      <c r="E4320" s="2">
        <f>IFERROR(__xludf.DUMMYFUNCTION("""COMPUTED_VALUE"""),2.13)</f>
        <v>2.13</v>
      </c>
      <c r="F4320" s="2"/>
      <c r="G4320" s="2"/>
      <c r="H4320" s="2"/>
      <c r="I4320" s="2"/>
    </row>
    <row r="4321">
      <c r="A4321" s="2">
        <f>IFERROR(__xludf.DUMMYFUNCTION("""COMPUTED_VALUE"""),121701.0)</f>
        <v>121701</v>
      </c>
      <c r="B4321" s="2" t="str">
        <f>IFERROR(__xludf.DUMMYFUNCTION("""COMPUTED_VALUE"""),"Law")</f>
        <v>Law</v>
      </c>
      <c r="C4321" s="2" t="str">
        <f>IFERROR(__xludf.DUMMYFUNCTION("""COMPUTED_VALUE"""),"Banking")</f>
        <v>Banking</v>
      </c>
      <c r="D4321" s="2" t="str">
        <f>IFERROR(__xludf.DUMMYFUNCTION("""COMPUTED_VALUE"""),"Irongrove House")</f>
        <v>Irongrove House</v>
      </c>
      <c r="E4321" s="2">
        <f>IFERROR(__xludf.DUMMYFUNCTION("""COMPUTED_VALUE"""),2.92)</f>
        <v>2.92</v>
      </c>
      <c r="F4321" s="2"/>
      <c r="G4321" s="2"/>
      <c r="H4321" s="2"/>
      <c r="I4321" s="2"/>
    </row>
    <row r="4322">
      <c r="A4322" s="2">
        <f>IFERROR(__xludf.DUMMYFUNCTION("""COMPUTED_VALUE"""),91072.0)</f>
        <v>91072</v>
      </c>
      <c r="B4322" s="2" t="str">
        <f>IFERROR(__xludf.DUMMYFUNCTION("""COMPUTED_VALUE"""),"Law")</f>
        <v>Law</v>
      </c>
      <c r="C4322" s="2" t="str">
        <f>IFERROR(__xludf.DUMMYFUNCTION("""COMPUTED_VALUE"""),"Banking")</f>
        <v>Banking</v>
      </c>
      <c r="D4322" s="2" t="str">
        <f>IFERROR(__xludf.DUMMYFUNCTION("""COMPUTED_VALUE"""),"Irongrove House")</f>
        <v>Irongrove House</v>
      </c>
      <c r="E4322" s="2">
        <f>IFERROR(__xludf.DUMMYFUNCTION("""COMPUTED_VALUE"""),7.12)</f>
        <v>7.12</v>
      </c>
      <c r="F4322" s="2"/>
      <c r="G4322" s="2"/>
      <c r="H4322" s="2"/>
      <c r="I4322" s="2"/>
    </row>
    <row r="4323">
      <c r="A4323" s="2">
        <f>IFERROR(__xludf.DUMMYFUNCTION("""COMPUTED_VALUE"""),68486.0)</f>
        <v>68486</v>
      </c>
      <c r="B4323" s="2" t="str">
        <f>IFERROR(__xludf.DUMMYFUNCTION("""COMPUTED_VALUE"""),"Law")</f>
        <v>Law</v>
      </c>
      <c r="C4323" s="2" t="str">
        <f>IFERROR(__xludf.DUMMYFUNCTION("""COMPUTED_VALUE"""),"Banking")</f>
        <v>Banking</v>
      </c>
      <c r="D4323" s="2" t="str">
        <f>IFERROR(__xludf.DUMMYFUNCTION("""COMPUTED_VALUE"""),"Irongrove House")</f>
        <v>Irongrove House</v>
      </c>
      <c r="E4323" s="2">
        <f>IFERROR(__xludf.DUMMYFUNCTION("""COMPUTED_VALUE"""),1.86)</f>
        <v>1.86</v>
      </c>
      <c r="F4323" s="2"/>
      <c r="G4323" s="2"/>
      <c r="H4323" s="2"/>
      <c r="I4323" s="2"/>
    </row>
    <row r="4324">
      <c r="A4324" s="2">
        <f>IFERROR(__xludf.DUMMYFUNCTION("""COMPUTED_VALUE"""),110576.0)</f>
        <v>110576</v>
      </c>
      <c r="B4324" s="2" t="str">
        <f>IFERROR(__xludf.DUMMYFUNCTION("""COMPUTED_VALUE"""),"Law")</f>
        <v>Law</v>
      </c>
      <c r="C4324" s="2" t="str">
        <f>IFERROR(__xludf.DUMMYFUNCTION("""COMPUTED_VALUE"""),"Banking")</f>
        <v>Banking</v>
      </c>
      <c r="D4324" s="2" t="str">
        <f>IFERROR(__xludf.DUMMYFUNCTION("""COMPUTED_VALUE"""),"Irongrove House")</f>
        <v>Irongrove House</v>
      </c>
      <c r="E4324" s="2">
        <f>IFERROR(__xludf.DUMMYFUNCTION("""COMPUTED_VALUE"""),1.47)</f>
        <v>1.47</v>
      </c>
      <c r="F4324" s="2"/>
      <c r="G4324" s="2"/>
      <c r="H4324" s="2"/>
      <c r="I4324" s="2"/>
    </row>
    <row r="4325">
      <c r="A4325" s="2">
        <f>IFERROR(__xludf.DUMMYFUNCTION("""COMPUTED_VALUE"""),78503.0)</f>
        <v>78503</v>
      </c>
      <c r="B4325" s="2" t="str">
        <f>IFERROR(__xludf.DUMMYFUNCTION("""COMPUTED_VALUE"""),"Law")</f>
        <v>Law</v>
      </c>
      <c r="C4325" s="2" t="str">
        <f>IFERROR(__xludf.DUMMYFUNCTION("""COMPUTED_VALUE"""),"Banking")</f>
        <v>Banking</v>
      </c>
      <c r="D4325" s="2" t="str">
        <f>IFERROR(__xludf.DUMMYFUNCTION("""COMPUTED_VALUE"""),"Irongrove House")</f>
        <v>Irongrove House</v>
      </c>
      <c r="E4325" s="2">
        <f>IFERROR(__xludf.DUMMYFUNCTION("""COMPUTED_VALUE"""),5.61)</f>
        <v>5.61</v>
      </c>
      <c r="F4325" s="2"/>
      <c r="G4325" s="2"/>
      <c r="H4325" s="2"/>
      <c r="I4325" s="2"/>
    </row>
    <row r="4326">
      <c r="A4326" s="2">
        <f>IFERROR(__xludf.DUMMYFUNCTION("""COMPUTED_VALUE"""),77439.0)</f>
        <v>77439</v>
      </c>
      <c r="B4326" s="2" t="str">
        <f>IFERROR(__xludf.DUMMYFUNCTION("""COMPUTED_VALUE"""),"Law")</f>
        <v>Law</v>
      </c>
      <c r="C4326" s="2" t="str">
        <f>IFERROR(__xludf.DUMMYFUNCTION("""COMPUTED_VALUE"""),"Banking")</f>
        <v>Banking</v>
      </c>
      <c r="D4326" s="2" t="str">
        <f>IFERROR(__xludf.DUMMYFUNCTION("""COMPUTED_VALUE"""),"Irongrove House")</f>
        <v>Irongrove House</v>
      </c>
      <c r="E4326" s="2">
        <f>IFERROR(__xludf.DUMMYFUNCTION("""COMPUTED_VALUE"""),1.48)</f>
        <v>1.48</v>
      </c>
      <c r="F4326" s="2"/>
      <c r="G4326" s="2"/>
      <c r="H4326" s="2"/>
      <c r="I4326" s="2"/>
    </row>
    <row r="4327">
      <c r="A4327" s="2">
        <f>IFERROR(__xludf.DUMMYFUNCTION("""COMPUTED_VALUE"""),5615.0)</f>
        <v>5615</v>
      </c>
      <c r="B4327" s="2" t="str">
        <f>IFERROR(__xludf.DUMMYFUNCTION("""COMPUTED_VALUE"""),"Law")</f>
        <v>Law</v>
      </c>
      <c r="C4327" s="2" t="str">
        <f>IFERROR(__xludf.DUMMYFUNCTION("""COMPUTED_VALUE"""),"Banking")</f>
        <v>Banking</v>
      </c>
      <c r="D4327" s="2" t="str">
        <f>IFERROR(__xludf.DUMMYFUNCTION("""COMPUTED_VALUE"""),"Irongrove House")</f>
        <v>Irongrove House</v>
      </c>
      <c r="E4327" s="2">
        <f>IFERROR(__xludf.DUMMYFUNCTION("""COMPUTED_VALUE"""),0.75)</f>
        <v>0.75</v>
      </c>
      <c r="F4327" s="2"/>
      <c r="G4327" s="2"/>
      <c r="H4327" s="2"/>
      <c r="I4327" s="2"/>
    </row>
    <row r="4328">
      <c r="A4328" s="2">
        <f>IFERROR(__xludf.DUMMYFUNCTION("""COMPUTED_VALUE"""),5602.0)</f>
        <v>5602</v>
      </c>
      <c r="B4328" s="2" t="str">
        <f>IFERROR(__xludf.DUMMYFUNCTION("""COMPUTED_VALUE"""),"Law")</f>
        <v>Law</v>
      </c>
      <c r="C4328" s="2" t="str">
        <f>IFERROR(__xludf.DUMMYFUNCTION("""COMPUTED_VALUE"""),"Banking")</f>
        <v>Banking</v>
      </c>
      <c r="D4328" s="2" t="str">
        <f>IFERROR(__xludf.DUMMYFUNCTION("""COMPUTED_VALUE"""),"Irongrove House")</f>
        <v>Irongrove House</v>
      </c>
      <c r="E4328" s="2">
        <f>IFERROR(__xludf.DUMMYFUNCTION("""COMPUTED_VALUE"""),1.39)</f>
        <v>1.39</v>
      </c>
      <c r="F4328" s="2"/>
      <c r="G4328" s="2"/>
      <c r="H4328" s="2"/>
      <c r="I4328" s="2"/>
    </row>
    <row r="4329">
      <c r="A4329" s="2">
        <f>IFERROR(__xludf.DUMMYFUNCTION("""COMPUTED_VALUE"""),28612.0)</f>
        <v>28612</v>
      </c>
      <c r="B4329" s="2" t="str">
        <f>IFERROR(__xludf.DUMMYFUNCTION("""COMPUTED_VALUE"""),"Law")</f>
        <v>Law</v>
      </c>
      <c r="C4329" s="2" t="str">
        <f>IFERROR(__xludf.DUMMYFUNCTION("""COMPUTED_VALUE"""),"Banking")</f>
        <v>Banking</v>
      </c>
      <c r="D4329" s="2" t="str">
        <f>IFERROR(__xludf.DUMMYFUNCTION("""COMPUTED_VALUE"""),"Irongrove House")</f>
        <v>Irongrove House</v>
      </c>
      <c r="E4329" s="2">
        <f>IFERROR(__xludf.DUMMYFUNCTION("""COMPUTED_VALUE"""),1.14)</f>
        <v>1.14</v>
      </c>
      <c r="F4329" s="2"/>
      <c r="G4329" s="2"/>
      <c r="H4329" s="2"/>
      <c r="I4329" s="2"/>
    </row>
    <row r="4330">
      <c r="A4330" s="2">
        <f>IFERROR(__xludf.DUMMYFUNCTION("""COMPUTED_VALUE"""),72247.0)</f>
        <v>72247</v>
      </c>
      <c r="B4330" s="2" t="str">
        <f>IFERROR(__xludf.DUMMYFUNCTION("""COMPUTED_VALUE"""),"Law")</f>
        <v>Law</v>
      </c>
      <c r="C4330" s="2" t="str">
        <f>IFERROR(__xludf.DUMMYFUNCTION("""COMPUTED_VALUE"""),"Banking")</f>
        <v>Banking</v>
      </c>
      <c r="D4330" s="2" t="str">
        <f>IFERROR(__xludf.DUMMYFUNCTION("""COMPUTED_VALUE"""),"Irongrove House")</f>
        <v>Irongrove House</v>
      </c>
      <c r="E4330" s="2">
        <f>IFERROR(__xludf.DUMMYFUNCTION("""COMPUTED_VALUE"""),6.96)</f>
        <v>6.96</v>
      </c>
      <c r="F4330" s="2"/>
      <c r="G4330" s="2"/>
      <c r="H4330" s="2"/>
      <c r="I4330" s="2"/>
    </row>
    <row r="4331">
      <c r="A4331" s="2">
        <f>IFERROR(__xludf.DUMMYFUNCTION("""COMPUTED_VALUE"""),76469.0)</f>
        <v>76469</v>
      </c>
      <c r="B4331" s="2" t="str">
        <f>IFERROR(__xludf.DUMMYFUNCTION("""COMPUTED_VALUE"""),"Law")</f>
        <v>Law</v>
      </c>
      <c r="C4331" s="2" t="str">
        <f>IFERROR(__xludf.DUMMYFUNCTION("""COMPUTED_VALUE"""),"Banking")</f>
        <v>Banking</v>
      </c>
      <c r="D4331" s="2" t="str">
        <f>IFERROR(__xludf.DUMMYFUNCTION("""COMPUTED_VALUE"""),"Irongrove House")</f>
        <v>Irongrove House</v>
      </c>
      <c r="E4331" s="2">
        <f>IFERROR(__xludf.DUMMYFUNCTION("""COMPUTED_VALUE"""),1.35)</f>
        <v>1.35</v>
      </c>
      <c r="F4331" s="2"/>
      <c r="G4331" s="2"/>
      <c r="H4331" s="2"/>
      <c r="I4331" s="2"/>
    </row>
    <row r="4332">
      <c r="A4332" s="2">
        <f>IFERROR(__xludf.DUMMYFUNCTION("""COMPUTED_VALUE"""),78876.0)</f>
        <v>78876</v>
      </c>
      <c r="B4332" s="2" t="str">
        <f>IFERROR(__xludf.DUMMYFUNCTION("""COMPUTED_VALUE"""),"Law")</f>
        <v>Law</v>
      </c>
      <c r="C4332" s="2" t="str">
        <f>IFERROR(__xludf.DUMMYFUNCTION("""COMPUTED_VALUE"""),"Banking")</f>
        <v>Banking</v>
      </c>
      <c r="D4332" s="2" t="str">
        <f>IFERROR(__xludf.DUMMYFUNCTION("""COMPUTED_VALUE"""),"Irongrove House")</f>
        <v>Irongrove House</v>
      </c>
      <c r="E4332" s="2">
        <f>IFERROR(__xludf.DUMMYFUNCTION("""COMPUTED_VALUE"""),5.52)</f>
        <v>5.52</v>
      </c>
      <c r="F4332" s="2"/>
      <c r="G4332" s="2"/>
      <c r="H4332" s="2"/>
      <c r="I4332" s="2"/>
    </row>
    <row r="4333">
      <c r="A4333" s="2">
        <f>IFERROR(__xludf.DUMMYFUNCTION("""COMPUTED_VALUE"""),91064.0)</f>
        <v>91064</v>
      </c>
      <c r="B4333" s="2" t="str">
        <f>IFERROR(__xludf.DUMMYFUNCTION("""COMPUTED_VALUE"""),"Law")</f>
        <v>Law</v>
      </c>
      <c r="C4333" s="2" t="str">
        <f>IFERROR(__xludf.DUMMYFUNCTION("""COMPUTED_VALUE"""),"Banking")</f>
        <v>Banking</v>
      </c>
      <c r="D4333" s="2" t="str">
        <f>IFERROR(__xludf.DUMMYFUNCTION("""COMPUTED_VALUE"""),"Irongrove House")</f>
        <v>Irongrove House</v>
      </c>
      <c r="E4333" s="2">
        <f>IFERROR(__xludf.DUMMYFUNCTION("""COMPUTED_VALUE"""),1.95)</f>
        <v>1.95</v>
      </c>
      <c r="F4333" s="2"/>
      <c r="G4333" s="2"/>
      <c r="H4333" s="2"/>
      <c r="I4333" s="2"/>
    </row>
    <row r="4334">
      <c r="A4334" s="2">
        <f>IFERROR(__xludf.DUMMYFUNCTION("""COMPUTED_VALUE"""),5603.0)</f>
        <v>5603</v>
      </c>
      <c r="B4334" s="2" t="str">
        <f>IFERROR(__xludf.DUMMYFUNCTION("""COMPUTED_VALUE"""),"Law")</f>
        <v>Law</v>
      </c>
      <c r="C4334" s="2" t="str">
        <f>IFERROR(__xludf.DUMMYFUNCTION("""COMPUTED_VALUE"""),"Banking")</f>
        <v>Banking</v>
      </c>
      <c r="D4334" s="2" t="str">
        <f>IFERROR(__xludf.DUMMYFUNCTION("""COMPUTED_VALUE"""),"Irongrove House")</f>
        <v>Irongrove House</v>
      </c>
      <c r="E4334" s="2">
        <f>IFERROR(__xludf.DUMMYFUNCTION("""COMPUTED_VALUE"""),2.07)</f>
        <v>2.07</v>
      </c>
      <c r="F4334" s="2"/>
      <c r="G4334" s="2"/>
      <c r="H4334" s="2"/>
      <c r="I4334" s="2"/>
    </row>
    <row r="4335">
      <c r="A4335" s="2">
        <f>IFERROR(__xludf.DUMMYFUNCTION("""COMPUTED_VALUE"""),5612.0)</f>
        <v>5612</v>
      </c>
      <c r="B4335" s="2" t="str">
        <f>IFERROR(__xludf.DUMMYFUNCTION("""COMPUTED_VALUE"""),"Law")</f>
        <v>Law</v>
      </c>
      <c r="C4335" s="2" t="str">
        <f>IFERROR(__xludf.DUMMYFUNCTION("""COMPUTED_VALUE"""),"Banking")</f>
        <v>Banking</v>
      </c>
      <c r="D4335" s="2" t="str">
        <f>IFERROR(__xludf.DUMMYFUNCTION("""COMPUTED_VALUE"""),"Irongrove House")</f>
        <v>Irongrove House</v>
      </c>
      <c r="E4335" s="2">
        <f>IFERROR(__xludf.DUMMYFUNCTION("""COMPUTED_VALUE"""),1.39)</f>
        <v>1.39</v>
      </c>
      <c r="F4335" s="2"/>
      <c r="G4335" s="2"/>
      <c r="H4335" s="2"/>
      <c r="I4335" s="2"/>
    </row>
    <row r="4336">
      <c r="A4336" s="2">
        <f>IFERROR(__xludf.DUMMYFUNCTION("""COMPUTED_VALUE"""),43897.0)</f>
        <v>43897</v>
      </c>
      <c r="B4336" s="2" t="str">
        <f>IFERROR(__xludf.DUMMYFUNCTION("""COMPUTED_VALUE"""),"Law")</f>
        <v>Law</v>
      </c>
      <c r="C4336" s="2" t="str">
        <f>IFERROR(__xludf.DUMMYFUNCTION("""COMPUTED_VALUE"""),"Banking")</f>
        <v>Banking</v>
      </c>
      <c r="D4336" s="2" t="str">
        <f>IFERROR(__xludf.DUMMYFUNCTION("""COMPUTED_VALUE"""),"Irongrove House")</f>
        <v>Irongrove House</v>
      </c>
      <c r="E4336" s="2">
        <f>IFERROR(__xludf.DUMMYFUNCTION("""COMPUTED_VALUE"""),2.47)</f>
        <v>2.47</v>
      </c>
      <c r="F4336" s="2"/>
      <c r="G4336" s="2"/>
      <c r="H4336" s="2"/>
      <c r="I4336" s="2"/>
    </row>
    <row r="4337">
      <c r="A4337" s="2">
        <f>IFERROR(__xludf.DUMMYFUNCTION("""COMPUTED_VALUE"""),91058.0)</f>
        <v>91058</v>
      </c>
      <c r="B4337" s="2" t="str">
        <f>IFERROR(__xludf.DUMMYFUNCTION("""COMPUTED_VALUE"""),"Law")</f>
        <v>Law</v>
      </c>
      <c r="C4337" s="2" t="str">
        <f>IFERROR(__xludf.DUMMYFUNCTION("""COMPUTED_VALUE"""),"Banking")</f>
        <v>Banking</v>
      </c>
      <c r="D4337" s="2" t="str">
        <f>IFERROR(__xludf.DUMMYFUNCTION("""COMPUTED_VALUE"""),"Irongrove House")</f>
        <v>Irongrove House</v>
      </c>
      <c r="E4337" s="2">
        <f>IFERROR(__xludf.DUMMYFUNCTION("""COMPUTED_VALUE"""),1.61)</f>
        <v>1.61</v>
      </c>
      <c r="F4337" s="2"/>
      <c r="G4337" s="2"/>
      <c r="H4337" s="2"/>
      <c r="I4337" s="2"/>
    </row>
    <row r="4338">
      <c r="A4338" s="2">
        <f>IFERROR(__xludf.DUMMYFUNCTION("""COMPUTED_VALUE"""),107998.0)</f>
        <v>107998</v>
      </c>
      <c r="B4338" s="2" t="str">
        <f>IFERROR(__xludf.DUMMYFUNCTION("""COMPUTED_VALUE"""),"Law")</f>
        <v>Law</v>
      </c>
      <c r="C4338" s="2" t="str">
        <f>IFERROR(__xludf.DUMMYFUNCTION("""COMPUTED_VALUE"""),"Banking")</f>
        <v>Banking</v>
      </c>
      <c r="D4338" s="2" t="str">
        <f>IFERROR(__xludf.DUMMYFUNCTION("""COMPUTED_VALUE"""),"Irongrove House")</f>
        <v>Irongrove House</v>
      </c>
      <c r="E4338" s="2">
        <f>IFERROR(__xludf.DUMMYFUNCTION("""COMPUTED_VALUE"""),1.64)</f>
        <v>1.64</v>
      </c>
      <c r="F4338" s="2"/>
      <c r="G4338" s="2"/>
      <c r="H4338" s="2"/>
      <c r="I4338" s="2"/>
    </row>
    <row r="4339">
      <c r="A4339" s="2">
        <f>IFERROR(__xludf.DUMMYFUNCTION("""COMPUTED_VALUE"""),112194.0)</f>
        <v>112194</v>
      </c>
      <c r="B4339" s="2" t="str">
        <f>IFERROR(__xludf.DUMMYFUNCTION("""COMPUTED_VALUE"""),"Law")</f>
        <v>Law</v>
      </c>
      <c r="C4339" s="2" t="str">
        <f>IFERROR(__xludf.DUMMYFUNCTION("""COMPUTED_VALUE"""),"Banking")</f>
        <v>Banking</v>
      </c>
      <c r="D4339" s="2" t="str">
        <f>IFERROR(__xludf.DUMMYFUNCTION("""COMPUTED_VALUE"""),"Irongrove House")</f>
        <v>Irongrove House</v>
      </c>
      <c r="E4339" s="2">
        <f>IFERROR(__xludf.DUMMYFUNCTION("""COMPUTED_VALUE"""),1.49)</f>
        <v>1.49</v>
      </c>
      <c r="F4339" s="2"/>
      <c r="G4339" s="2"/>
      <c r="H4339" s="2"/>
      <c r="I4339" s="2"/>
    </row>
    <row r="4340">
      <c r="A4340" s="2">
        <f>IFERROR(__xludf.DUMMYFUNCTION("""COMPUTED_VALUE"""),68232.0)</f>
        <v>68232</v>
      </c>
      <c r="B4340" s="2" t="str">
        <f>IFERROR(__xludf.DUMMYFUNCTION("""COMPUTED_VALUE"""),"Law")</f>
        <v>Law</v>
      </c>
      <c r="C4340" s="2" t="str">
        <f>IFERROR(__xludf.DUMMYFUNCTION("""COMPUTED_VALUE"""),"Banking")</f>
        <v>Banking</v>
      </c>
      <c r="D4340" s="2" t="str">
        <f>IFERROR(__xludf.DUMMYFUNCTION("""COMPUTED_VALUE"""),"Irongrove House")</f>
        <v>Irongrove House</v>
      </c>
      <c r="E4340" s="2">
        <f>IFERROR(__xludf.DUMMYFUNCTION("""COMPUTED_VALUE"""),4.64)</f>
        <v>4.64</v>
      </c>
      <c r="F4340" s="2"/>
      <c r="G4340" s="2"/>
      <c r="H4340" s="2"/>
      <c r="I4340" s="2"/>
    </row>
    <row r="4341">
      <c r="A4341" s="2">
        <f>IFERROR(__xludf.DUMMYFUNCTION("""COMPUTED_VALUE"""),159386.0)</f>
        <v>159386</v>
      </c>
      <c r="B4341" s="2" t="str">
        <f>IFERROR(__xludf.DUMMYFUNCTION("""COMPUTED_VALUE"""),"Law")</f>
        <v>Law</v>
      </c>
      <c r="C4341" s="2" t="str">
        <f>IFERROR(__xludf.DUMMYFUNCTION("""COMPUTED_VALUE"""),"Banking")</f>
        <v>Banking</v>
      </c>
      <c r="D4341" s="2" t="str">
        <f>IFERROR(__xludf.DUMMYFUNCTION("""COMPUTED_VALUE"""),"Irongrove House")</f>
        <v>Irongrove House</v>
      </c>
      <c r="E4341" s="2">
        <f>IFERROR(__xludf.DUMMYFUNCTION("""COMPUTED_VALUE"""),1.39)</f>
        <v>1.39</v>
      </c>
      <c r="F4341" s="2"/>
      <c r="G4341" s="2"/>
      <c r="H4341" s="2"/>
      <c r="I4341" s="2"/>
    </row>
    <row r="4342">
      <c r="A4342" s="2">
        <f>IFERROR(__xludf.DUMMYFUNCTION("""COMPUTED_VALUE"""),76471.0)</f>
        <v>76471</v>
      </c>
      <c r="B4342" s="2" t="str">
        <f>IFERROR(__xludf.DUMMYFUNCTION("""COMPUTED_VALUE"""),"Law")</f>
        <v>Law</v>
      </c>
      <c r="C4342" s="2" t="str">
        <f>IFERROR(__xludf.DUMMYFUNCTION("""COMPUTED_VALUE"""),"Banking")</f>
        <v>Banking</v>
      </c>
      <c r="D4342" s="2" t="str">
        <f>IFERROR(__xludf.DUMMYFUNCTION("""COMPUTED_VALUE"""),"Irongrove House")</f>
        <v>Irongrove House</v>
      </c>
      <c r="E4342" s="2">
        <f>IFERROR(__xludf.DUMMYFUNCTION("""COMPUTED_VALUE"""),1.64)</f>
        <v>1.64</v>
      </c>
      <c r="F4342" s="2"/>
      <c r="G4342" s="2"/>
      <c r="H4342" s="2"/>
      <c r="I4342" s="2"/>
    </row>
    <row r="4343">
      <c r="A4343" s="2">
        <f>IFERROR(__xludf.DUMMYFUNCTION("""COMPUTED_VALUE"""),68357.0)</f>
        <v>68357</v>
      </c>
      <c r="B4343" s="2" t="str">
        <f>IFERROR(__xludf.DUMMYFUNCTION("""COMPUTED_VALUE"""),"Law")</f>
        <v>Law</v>
      </c>
      <c r="C4343" s="2" t="str">
        <f>IFERROR(__xludf.DUMMYFUNCTION("""COMPUTED_VALUE"""),"Banking")</f>
        <v>Banking</v>
      </c>
      <c r="D4343" s="2" t="str">
        <f>IFERROR(__xludf.DUMMYFUNCTION("""COMPUTED_VALUE"""),"Irongrove House")</f>
        <v>Irongrove House</v>
      </c>
      <c r="E4343" s="2">
        <f>IFERROR(__xludf.DUMMYFUNCTION("""COMPUTED_VALUE"""),5.83)</f>
        <v>5.83</v>
      </c>
      <c r="F4343" s="2"/>
      <c r="G4343" s="2"/>
      <c r="H4343" s="2"/>
      <c r="I4343" s="2"/>
    </row>
    <row r="4344">
      <c r="A4344" s="2">
        <f>IFERROR(__xludf.DUMMYFUNCTION("""COMPUTED_VALUE"""),68303.0)</f>
        <v>68303</v>
      </c>
      <c r="B4344" s="2" t="str">
        <f>IFERROR(__xludf.DUMMYFUNCTION("""COMPUTED_VALUE"""),"Law")</f>
        <v>Law</v>
      </c>
      <c r="C4344" s="2" t="str">
        <f>IFERROR(__xludf.DUMMYFUNCTION("""COMPUTED_VALUE"""),"Banking")</f>
        <v>Banking</v>
      </c>
      <c r="D4344" s="2" t="str">
        <f>IFERROR(__xludf.DUMMYFUNCTION("""COMPUTED_VALUE"""),"Irongrove House")</f>
        <v>Irongrove House</v>
      </c>
      <c r="E4344" s="2">
        <f>IFERROR(__xludf.DUMMYFUNCTION("""COMPUTED_VALUE"""),2.76)</f>
        <v>2.76</v>
      </c>
      <c r="F4344" s="2"/>
      <c r="G4344" s="2"/>
      <c r="H4344" s="2"/>
      <c r="I4344" s="2"/>
    </row>
    <row r="4345">
      <c r="A4345" s="2">
        <f>IFERROR(__xludf.DUMMYFUNCTION("""COMPUTED_VALUE"""),68325.0)</f>
        <v>68325</v>
      </c>
      <c r="B4345" s="2" t="str">
        <f>IFERROR(__xludf.DUMMYFUNCTION("""COMPUTED_VALUE"""),"Law")</f>
        <v>Law</v>
      </c>
      <c r="C4345" s="2" t="str">
        <f>IFERROR(__xludf.DUMMYFUNCTION("""COMPUTED_VALUE"""),"Banking")</f>
        <v>Banking</v>
      </c>
      <c r="D4345" s="2" t="str">
        <f>IFERROR(__xludf.DUMMYFUNCTION("""COMPUTED_VALUE"""),"Irongrove House")</f>
        <v>Irongrove House</v>
      </c>
      <c r="E4345" s="2">
        <f>IFERROR(__xludf.DUMMYFUNCTION("""COMPUTED_VALUE"""),0.81)</f>
        <v>0.81</v>
      </c>
      <c r="F4345" s="2"/>
      <c r="G4345" s="2"/>
      <c r="H4345" s="2"/>
      <c r="I4345" s="2"/>
    </row>
    <row r="4346">
      <c r="A4346" s="2">
        <f>IFERROR(__xludf.DUMMYFUNCTION("""COMPUTED_VALUE"""),68515.0)</f>
        <v>68515</v>
      </c>
      <c r="B4346" s="2" t="str">
        <f>IFERROR(__xludf.DUMMYFUNCTION("""COMPUTED_VALUE"""),"Law")</f>
        <v>Law</v>
      </c>
      <c r="C4346" s="2" t="str">
        <f>IFERROR(__xludf.DUMMYFUNCTION("""COMPUTED_VALUE"""),"Banking")</f>
        <v>Banking</v>
      </c>
      <c r="D4346" s="2" t="str">
        <f>IFERROR(__xludf.DUMMYFUNCTION("""COMPUTED_VALUE"""),"Irongrove House")</f>
        <v>Irongrove House</v>
      </c>
      <c r="E4346" s="2">
        <f>IFERROR(__xludf.DUMMYFUNCTION("""COMPUTED_VALUE"""),1.56)</f>
        <v>1.56</v>
      </c>
      <c r="F4346" s="2"/>
      <c r="G4346" s="2"/>
      <c r="H4346" s="2"/>
      <c r="I4346" s="2"/>
    </row>
    <row r="4347">
      <c r="A4347" s="2">
        <f>IFERROR(__xludf.DUMMYFUNCTION("""COMPUTED_VALUE"""),107989.0)</f>
        <v>107989</v>
      </c>
      <c r="B4347" s="2" t="str">
        <f>IFERROR(__xludf.DUMMYFUNCTION("""COMPUTED_VALUE"""),"Law")</f>
        <v>Law</v>
      </c>
      <c r="C4347" s="2" t="str">
        <f>IFERROR(__xludf.DUMMYFUNCTION("""COMPUTED_VALUE"""),"Banking")</f>
        <v>Banking</v>
      </c>
      <c r="D4347" s="2" t="str">
        <f>IFERROR(__xludf.DUMMYFUNCTION("""COMPUTED_VALUE"""),"Irongrove House")</f>
        <v>Irongrove House</v>
      </c>
      <c r="E4347" s="2">
        <f>IFERROR(__xludf.DUMMYFUNCTION("""COMPUTED_VALUE"""),1.68)</f>
        <v>1.68</v>
      </c>
      <c r="F4347" s="2"/>
      <c r="G4347" s="2"/>
      <c r="H4347" s="2"/>
      <c r="I4347" s="2"/>
    </row>
    <row r="4348">
      <c r="A4348" s="2">
        <f>IFERROR(__xludf.DUMMYFUNCTION("""COMPUTED_VALUE"""),76732.0)</f>
        <v>76732</v>
      </c>
      <c r="B4348" s="2" t="str">
        <f>IFERROR(__xludf.DUMMYFUNCTION("""COMPUTED_VALUE"""),"Law")</f>
        <v>Law</v>
      </c>
      <c r="C4348" s="2" t="str">
        <f>IFERROR(__xludf.DUMMYFUNCTION("""COMPUTED_VALUE"""),"Banking")</f>
        <v>Banking</v>
      </c>
      <c r="D4348" s="2" t="str">
        <f>IFERROR(__xludf.DUMMYFUNCTION("""COMPUTED_VALUE"""),"Irongrove House")</f>
        <v>Irongrove House</v>
      </c>
      <c r="E4348" s="2">
        <f>IFERROR(__xludf.DUMMYFUNCTION("""COMPUTED_VALUE"""),5.51)</f>
        <v>5.51</v>
      </c>
      <c r="F4348" s="2"/>
      <c r="G4348" s="2"/>
      <c r="H4348" s="2"/>
      <c r="I4348" s="2"/>
    </row>
    <row r="4349">
      <c r="A4349" s="2">
        <f>IFERROR(__xludf.DUMMYFUNCTION("""COMPUTED_VALUE"""),14711.0)</f>
        <v>14711</v>
      </c>
      <c r="B4349" s="2" t="str">
        <f>IFERROR(__xludf.DUMMYFUNCTION("""COMPUTED_VALUE"""),"Law")</f>
        <v>Law</v>
      </c>
      <c r="C4349" s="2" t="str">
        <f>IFERROR(__xludf.DUMMYFUNCTION("""COMPUTED_VALUE"""),"Banking")</f>
        <v>Banking</v>
      </c>
      <c r="D4349" s="2" t="str">
        <f>IFERROR(__xludf.DUMMYFUNCTION("""COMPUTED_VALUE"""),"Silverpoint House")</f>
        <v>Silverpoint House</v>
      </c>
      <c r="E4349" s="2">
        <f>IFERROR(__xludf.DUMMYFUNCTION("""COMPUTED_VALUE"""),1.28)</f>
        <v>1.28</v>
      </c>
      <c r="F4349" s="2"/>
      <c r="G4349" s="2"/>
      <c r="H4349" s="2"/>
      <c r="I4349" s="2"/>
    </row>
    <row r="4350">
      <c r="A4350" s="2">
        <f>IFERROR(__xludf.DUMMYFUNCTION("""COMPUTED_VALUE"""),14706.0)</f>
        <v>14706</v>
      </c>
      <c r="B4350" s="2" t="str">
        <f>IFERROR(__xludf.DUMMYFUNCTION("""COMPUTED_VALUE"""),"Law")</f>
        <v>Law</v>
      </c>
      <c r="C4350" s="2" t="str">
        <f>IFERROR(__xludf.DUMMYFUNCTION("""COMPUTED_VALUE"""),"Banking")</f>
        <v>Banking</v>
      </c>
      <c r="D4350" s="2" t="str">
        <f>IFERROR(__xludf.DUMMYFUNCTION("""COMPUTED_VALUE"""),"Silverpoint House")</f>
        <v>Silverpoint House</v>
      </c>
      <c r="E4350" s="2">
        <f>IFERROR(__xludf.DUMMYFUNCTION("""COMPUTED_VALUE"""),0.97)</f>
        <v>0.97</v>
      </c>
      <c r="F4350" s="2"/>
      <c r="G4350" s="2"/>
      <c r="H4350" s="2"/>
      <c r="I4350" s="2"/>
    </row>
    <row r="4351">
      <c r="A4351" s="2">
        <f>IFERROR(__xludf.DUMMYFUNCTION("""COMPUTED_VALUE"""),23975.0)</f>
        <v>23975</v>
      </c>
      <c r="B4351" s="2" t="str">
        <f>IFERROR(__xludf.DUMMYFUNCTION("""COMPUTED_VALUE"""),"Law")</f>
        <v>Law</v>
      </c>
      <c r="C4351" s="2" t="str">
        <f>IFERROR(__xludf.DUMMYFUNCTION("""COMPUTED_VALUE"""),"Banking")</f>
        <v>Banking</v>
      </c>
      <c r="D4351" s="2" t="str">
        <f>IFERROR(__xludf.DUMMYFUNCTION("""COMPUTED_VALUE"""),"Silverpoint House")</f>
        <v>Silverpoint House</v>
      </c>
      <c r="E4351" s="2">
        <f>IFERROR(__xludf.DUMMYFUNCTION("""COMPUTED_VALUE"""),2.63)</f>
        <v>2.63</v>
      </c>
      <c r="F4351" s="2"/>
      <c r="G4351" s="2"/>
      <c r="H4351" s="2"/>
      <c r="I4351" s="2"/>
    </row>
    <row r="4352">
      <c r="A4352" s="2">
        <f>IFERROR(__xludf.DUMMYFUNCTION("""COMPUTED_VALUE"""),90665.0)</f>
        <v>90665</v>
      </c>
      <c r="B4352" s="2" t="str">
        <f>IFERROR(__xludf.DUMMYFUNCTION("""COMPUTED_VALUE"""),"Law")</f>
        <v>Law</v>
      </c>
      <c r="C4352" s="2" t="str">
        <f>IFERROR(__xludf.DUMMYFUNCTION("""COMPUTED_VALUE"""),"Banking")</f>
        <v>Banking</v>
      </c>
      <c r="D4352" s="2" t="str">
        <f>IFERROR(__xludf.DUMMYFUNCTION("""COMPUTED_VALUE"""),"Silverpoint House")</f>
        <v>Silverpoint House</v>
      </c>
      <c r="E4352" s="2">
        <f>IFERROR(__xludf.DUMMYFUNCTION("""COMPUTED_VALUE"""),0.97)</f>
        <v>0.97</v>
      </c>
      <c r="F4352" s="2"/>
      <c r="G4352" s="2"/>
      <c r="H4352" s="2"/>
      <c r="I4352" s="2"/>
    </row>
    <row r="4353">
      <c r="A4353" s="2">
        <f>IFERROR(__xludf.DUMMYFUNCTION("""COMPUTED_VALUE"""),69551.0)</f>
        <v>69551</v>
      </c>
      <c r="B4353" s="2" t="str">
        <f>IFERROR(__xludf.DUMMYFUNCTION("""COMPUTED_VALUE"""),"Law")</f>
        <v>Law</v>
      </c>
      <c r="C4353" s="2" t="str">
        <f>IFERROR(__xludf.DUMMYFUNCTION("""COMPUTED_VALUE"""),"Banking")</f>
        <v>Banking</v>
      </c>
      <c r="D4353" s="2" t="str">
        <f>IFERROR(__xludf.DUMMYFUNCTION("""COMPUTED_VALUE"""),"Silverpoint House")</f>
        <v>Silverpoint House</v>
      </c>
      <c r="E4353" s="2">
        <f>IFERROR(__xludf.DUMMYFUNCTION("""COMPUTED_VALUE"""),3.03)</f>
        <v>3.03</v>
      </c>
      <c r="F4353" s="2"/>
      <c r="G4353" s="2"/>
      <c r="H4353" s="2"/>
      <c r="I4353" s="2"/>
    </row>
    <row r="4354">
      <c r="A4354" s="2">
        <f>IFERROR(__xludf.DUMMYFUNCTION("""COMPUTED_VALUE"""),69503.0)</f>
        <v>69503</v>
      </c>
      <c r="B4354" s="2" t="str">
        <f>IFERROR(__xludf.DUMMYFUNCTION("""COMPUTED_VALUE"""),"Law")</f>
        <v>Law</v>
      </c>
      <c r="C4354" s="2" t="str">
        <f>IFERROR(__xludf.DUMMYFUNCTION("""COMPUTED_VALUE"""),"Banking")</f>
        <v>Banking</v>
      </c>
      <c r="D4354" s="2" t="str">
        <f>IFERROR(__xludf.DUMMYFUNCTION("""COMPUTED_VALUE"""),"Silverpoint House")</f>
        <v>Silverpoint House</v>
      </c>
      <c r="E4354" s="2">
        <f>IFERROR(__xludf.DUMMYFUNCTION("""COMPUTED_VALUE"""),2.4)</f>
        <v>2.4</v>
      </c>
      <c r="F4354" s="2"/>
      <c r="G4354" s="2"/>
      <c r="H4354" s="2"/>
      <c r="I4354" s="2"/>
    </row>
    <row r="4355">
      <c r="A4355" s="2">
        <f>IFERROR(__xludf.DUMMYFUNCTION("""COMPUTED_VALUE"""),23473.0)</f>
        <v>23473</v>
      </c>
      <c r="B4355" s="2" t="str">
        <f>IFERROR(__xludf.DUMMYFUNCTION("""COMPUTED_VALUE"""),"Law")</f>
        <v>Law</v>
      </c>
      <c r="C4355" s="2" t="str">
        <f>IFERROR(__xludf.DUMMYFUNCTION("""COMPUTED_VALUE"""),"Banking")</f>
        <v>Banking</v>
      </c>
      <c r="D4355" s="2" t="str">
        <f>IFERROR(__xludf.DUMMYFUNCTION("""COMPUTED_VALUE"""),"Silverpoint House")</f>
        <v>Silverpoint House</v>
      </c>
      <c r="E4355" s="2">
        <f>IFERROR(__xludf.DUMMYFUNCTION("""COMPUTED_VALUE"""),2.03)</f>
        <v>2.03</v>
      </c>
      <c r="F4355" s="2"/>
      <c r="G4355" s="2"/>
      <c r="H4355" s="2"/>
      <c r="I4355" s="2"/>
    </row>
    <row r="4356">
      <c r="A4356" s="2">
        <f>IFERROR(__xludf.DUMMYFUNCTION("""COMPUTED_VALUE"""),69500.0)</f>
        <v>69500</v>
      </c>
      <c r="B4356" s="2" t="str">
        <f>IFERROR(__xludf.DUMMYFUNCTION("""COMPUTED_VALUE"""),"Law")</f>
        <v>Law</v>
      </c>
      <c r="C4356" s="2" t="str">
        <f>IFERROR(__xludf.DUMMYFUNCTION("""COMPUTED_VALUE"""),"Banking")</f>
        <v>Banking</v>
      </c>
      <c r="D4356" s="2" t="str">
        <f>IFERROR(__xludf.DUMMYFUNCTION("""COMPUTED_VALUE"""),"Silverpoint House")</f>
        <v>Silverpoint House</v>
      </c>
      <c r="E4356" s="2">
        <f>IFERROR(__xludf.DUMMYFUNCTION("""COMPUTED_VALUE"""),3.58)</f>
        <v>3.58</v>
      </c>
      <c r="F4356" s="2"/>
      <c r="G4356" s="2"/>
      <c r="H4356" s="2"/>
      <c r="I4356" s="2"/>
    </row>
    <row r="4357">
      <c r="A4357" s="2">
        <f>IFERROR(__xludf.DUMMYFUNCTION("""COMPUTED_VALUE"""),14689.0)</f>
        <v>14689</v>
      </c>
      <c r="B4357" s="2" t="str">
        <f>IFERROR(__xludf.DUMMYFUNCTION("""COMPUTED_VALUE"""),"Law")</f>
        <v>Law</v>
      </c>
      <c r="C4357" s="2" t="str">
        <f>IFERROR(__xludf.DUMMYFUNCTION("""COMPUTED_VALUE"""),"Banking")</f>
        <v>Banking</v>
      </c>
      <c r="D4357" s="2" t="str">
        <f>IFERROR(__xludf.DUMMYFUNCTION("""COMPUTED_VALUE"""),"Silverpoint House")</f>
        <v>Silverpoint House</v>
      </c>
      <c r="E4357" s="2">
        <f>IFERROR(__xludf.DUMMYFUNCTION("""COMPUTED_VALUE"""),3.43)</f>
        <v>3.43</v>
      </c>
      <c r="F4357" s="2"/>
      <c r="G4357" s="2"/>
      <c r="H4357" s="2"/>
      <c r="I4357" s="2"/>
    </row>
    <row r="4358">
      <c r="A4358" s="2">
        <f>IFERROR(__xludf.DUMMYFUNCTION("""COMPUTED_VALUE"""),19409.0)</f>
        <v>19409</v>
      </c>
      <c r="B4358" s="2" t="str">
        <f>IFERROR(__xludf.DUMMYFUNCTION("""COMPUTED_VALUE"""),"Law")</f>
        <v>Law</v>
      </c>
      <c r="C4358" s="2" t="str">
        <f>IFERROR(__xludf.DUMMYFUNCTION("""COMPUTED_VALUE"""),"Banking")</f>
        <v>Banking</v>
      </c>
      <c r="D4358" s="2" t="str">
        <f>IFERROR(__xludf.DUMMYFUNCTION("""COMPUTED_VALUE"""),"Silverpoint House")</f>
        <v>Silverpoint House</v>
      </c>
      <c r="E4358" s="2">
        <f>IFERROR(__xludf.DUMMYFUNCTION("""COMPUTED_VALUE"""),3.8)</f>
        <v>3.8</v>
      </c>
      <c r="F4358" s="2"/>
      <c r="G4358" s="2"/>
      <c r="H4358" s="2"/>
      <c r="I4358" s="2"/>
    </row>
    <row r="4359">
      <c r="A4359" s="2">
        <f>IFERROR(__xludf.DUMMYFUNCTION("""COMPUTED_VALUE"""),69526.0)</f>
        <v>69526</v>
      </c>
      <c r="B4359" s="2" t="str">
        <f>IFERROR(__xludf.DUMMYFUNCTION("""COMPUTED_VALUE"""),"Law")</f>
        <v>Law</v>
      </c>
      <c r="C4359" s="2" t="str">
        <f>IFERROR(__xludf.DUMMYFUNCTION("""COMPUTED_VALUE"""),"Banking")</f>
        <v>Banking</v>
      </c>
      <c r="D4359" s="2" t="str">
        <f>IFERROR(__xludf.DUMMYFUNCTION("""COMPUTED_VALUE"""),"Silverpoint House")</f>
        <v>Silverpoint House</v>
      </c>
      <c r="E4359" s="2">
        <f>IFERROR(__xludf.DUMMYFUNCTION("""COMPUTED_VALUE"""),2.01)</f>
        <v>2.01</v>
      </c>
      <c r="F4359" s="2"/>
      <c r="G4359" s="2"/>
      <c r="H4359" s="2"/>
      <c r="I4359" s="2"/>
    </row>
    <row r="4360">
      <c r="A4360" s="2">
        <f>IFERROR(__xludf.DUMMYFUNCTION("""COMPUTED_VALUE"""),19412.0)</f>
        <v>19412</v>
      </c>
      <c r="B4360" s="2" t="str">
        <f>IFERROR(__xludf.DUMMYFUNCTION("""COMPUTED_VALUE"""),"Law")</f>
        <v>Law</v>
      </c>
      <c r="C4360" s="2" t="str">
        <f>IFERROR(__xludf.DUMMYFUNCTION("""COMPUTED_VALUE"""),"Banking")</f>
        <v>Banking</v>
      </c>
      <c r="D4360" s="2" t="str">
        <f>IFERROR(__xludf.DUMMYFUNCTION("""COMPUTED_VALUE"""),"Silverpoint House")</f>
        <v>Silverpoint House</v>
      </c>
      <c r="E4360" s="2">
        <f>IFERROR(__xludf.DUMMYFUNCTION("""COMPUTED_VALUE"""),2.42)</f>
        <v>2.42</v>
      </c>
      <c r="F4360" s="2"/>
      <c r="G4360" s="2"/>
      <c r="H4360" s="2"/>
      <c r="I4360" s="2"/>
    </row>
    <row r="4361">
      <c r="A4361" s="2">
        <f>IFERROR(__xludf.DUMMYFUNCTION("""COMPUTED_VALUE"""),23471.0)</f>
        <v>23471</v>
      </c>
      <c r="B4361" s="2" t="str">
        <f>IFERROR(__xludf.DUMMYFUNCTION("""COMPUTED_VALUE"""),"Law")</f>
        <v>Law</v>
      </c>
      <c r="C4361" s="2" t="str">
        <f>IFERROR(__xludf.DUMMYFUNCTION("""COMPUTED_VALUE"""),"Banking")</f>
        <v>Banking</v>
      </c>
      <c r="D4361" s="2" t="str">
        <f>IFERROR(__xludf.DUMMYFUNCTION("""COMPUTED_VALUE"""),"Silverpoint House")</f>
        <v>Silverpoint House</v>
      </c>
      <c r="E4361" s="2">
        <f>IFERROR(__xludf.DUMMYFUNCTION("""COMPUTED_VALUE"""),3.32)</f>
        <v>3.32</v>
      </c>
      <c r="F4361" s="2"/>
      <c r="G4361" s="2"/>
      <c r="H4361" s="2"/>
      <c r="I4361" s="2"/>
    </row>
    <row r="4362">
      <c r="A4362" s="2">
        <f>IFERROR(__xludf.DUMMYFUNCTION("""COMPUTED_VALUE"""),14670.0)</f>
        <v>14670</v>
      </c>
      <c r="B4362" s="2" t="str">
        <f>IFERROR(__xludf.DUMMYFUNCTION("""COMPUTED_VALUE"""),"Law")</f>
        <v>Law</v>
      </c>
      <c r="C4362" s="2" t="str">
        <f>IFERROR(__xludf.DUMMYFUNCTION("""COMPUTED_VALUE"""),"Banking")</f>
        <v>Banking</v>
      </c>
      <c r="D4362" s="2" t="str">
        <f>IFERROR(__xludf.DUMMYFUNCTION("""COMPUTED_VALUE"""),"Silverpoint House")</f>
        <v>Silverpoint House</v>
      </c>
      <c r="E4362" s="2">
        <f>IFERROR(__xludf.DUMMYFUNCTION("""COMPUTED_VALUE"""),1.98)</f>
        <v>1.98</v>
      </c>
      <c r="F4362" s="2"/>
      <c r="G4362" s="2"/>
      <c r="H4362" s="2"/>
      <c r="I4362" s="2"/>
    </row>
    <row r="4363">
      <c r="A4363" s="2">
        <f>IFERROR(__xludf.DUMMYFUNCTION("""COMPUTED_VALUE"""),69499.0)</f>
        <v>69499</v>
      </c>
      <c r="B4363" s="2" t="str">
        <f>IFERROR(__xludf.DUMMYFUNCTION("""COMPUTED_VALUE"""),"Law")</f>
        <v>Law</v>
      </c>
      <c r="C4363" s="2" t="str">
        <f>IFERROR(__xludf.DUMMYFUNCTION("""COMPUTED_VALUE"""),"Banking")</f>
        <v>Banking</v>
      </c>
      <c r="D4363" s="2" t="str">
        <f>IFERROR(__xludf.DUMMYFUNCTION("""COMPUTED_VALUE"""),"Silverpoint House")</f>
        <v>Silverpoint House</v>
      </c>
      <c r="E4363" s="2">
        <f>IFERROR(__xludf.DUMMYFUNCTION("""COMPUTED_VALUE"""),2.23)</f>
        <v>2.23</v>
      </c>
      <c r="F4363" s="2"/>
      <c r="G4363" s="2"/>
      <c r="H4363" s="2"/>
      <c r="I4363" s="2"/>
    </row>
    <row r="4364">
      <c r="A4364" s="2">
        <f>IFERROR(__xludf.DUMMYFUNCTION("""COMPUTED_VALUE"""),90686.0)</f>
        <v>90686</v>
      </c>
      <c r="B4364" s="2" t="str">
        <f>IFERROR(__xludf.DUMMYFUNCTION("""COMPUTED_VALUE"""),"Law")</f>
        <v>Law</v>
      </c>
      <c r="C4364" s="2" t="str">
        <f>IFERROR(__xludf.DUMMYFUNCTION("""COMPUTED_VALUE"""),"Banking")</f>
        <v>Banking</v>
      </c>
      <c r="D4364" s="2" t="str">
        <f>IFERROR(__xludf.DUMMYFUNCTION("""COMPUTED_VALUE"""),"Silverpoint House")</f>
        <v>Silverpoint House</v>
      </c>
      <c r="E4364" s="2">
        <f>IFERROR(__xludf.DUMMYFUNCTION("""COMPUTED_VALUE"""),0.51)</f>
        <v>0.51</v>
      </c>
      <c r="F4364" s="2"/>
      <c r="G4364" s="2"/>
      <c r="H4364" s="2"/>
      <c r="I4364" s="2"/>
    </row>
    <row r="4365">
      <c r="A4365" s="2">
        <f>IFERROR(__xludf.DUMMYFUNCTION("""COMPUTED_VALUE"""),111872.0)</f>
        <v>111872</v>
      </c>
      <c r="B4365" s="2" t="str">
        <f>IFERROR(__xludf.DUMMYFUNCTION("""COMPUTED_VALUE"""),"Law")</f>
        <v>Law</v>
      </c>
      <c r="C4365" s="2" t="str">
        <f>IFERROR(__xludf.DUMMYFUNCTION("""COMPUTED_VALUE"""),"Banking")</f>
        <v>Banking</v>
      </c>
      <c r="D4365" s="2" t="str">
        <f>IFERROR(__xludf.DUMMYFUNCTION("""COMPUTED_VALUE"""),"Silverpoint House")</f>
        <v>Silverpoint House</v>
      </c>
      <c r="E4365" s="2">
        <f>IFERROR(__xludf.DUMMYFUNCTION("""COMPUTED_VALUE"""),2.28)</f>
        <v>2.28</v>
      </c>
      <c r="F4365" s="2"/>
      <c r="G4365" s="2"/>
      <c r="H4365" s="2"/>
      <c r="I4365" s="2"/>
    </row>
    <row r="4366">
      <c r="A4366" s="2">
        <f>IFERROR(__xludf.DUMMYFUNCTION("""COMPUTED_VALUE"""),23964.0)</f>
        <v>23964</v>
      </c>
      <c r="B4366" s="2" t="str">
        <f>IFERROR(__xludf.DUMMYFUNCTION("""COMPUTED_VALUE"""),"Law")</f>
        <v>Law</v>
      </c>
      <c r="C4366" s="2" t="str">
        <f>IFERROR(__xludf.DUMMYFUNCTION("""COMPUTED_VALUE"""),"Banking")</f>
        <v>Banking</v>
      </c>
      <c r="D4366" s="2" t="str">
        <f>IFERROR(__xludf.DUMMYFUNCTION("""COMPUTED_VALUE"""),"Silverpoint House")</f>
        <v>Silverpoint House</v>
      </c>
      <c r="E4366" s="2">
        <f>IFERROR(__xludf.DUMMYFUNCTION("""COMPUTED_VALUE"""),3.99)</f>
        <v>3.99</v>
      </c>
      <c r="F4366" s="2"/>
      <c r="G4366" s="2"/>
      <c r="H4366" s="2"/>
      <c r="I4366" s="2"/>
    </row>
    <row r="4367">
      <c r="A4367" s="2">
        <f>IFERROR(__xludf.DUMMYFUNCTION("""COMPUTED_VALUE"""),111837.0)</f>
        <v>111837</v>
      </c>
      <c r="B4367" s="2" t="str">
        <f>IFERROR(__xludf.DUMMYFUNCTION("""COMPUTED_VALUE"""),"Law")</f>
        <v>Law</v>
      </c>
      <c r="C4367" s="2" t="str">
        <f>IFERROR(__xludf.DUMMYFUNCTION("""COMPUTED_VALUE"""),"Banking")</f>
        <v>Banking</v>
      </c>
      <c r="D4367" s="2" t="str">
        <f>IFERROR(__xludf.DUMMYFUNCTION("""COMPUTED_VALUE"""),"Silverpoint House")</f>
        <v>Silverpoint House</v>
      </c>
      <c r="E4367" s="2">
        <f>IFERROR(__xludf.DUMMYFUNCTION("""COMPUTED_VALUE"""),2.61)</f>
        <v>2.61</v>
      </c>
      <c r="F4367" s="2"/>
      <c r="G4367" s="2"/>
      <c r="H4367" s="2"/>
      <c r="I4367" s="2"/>
    </row>
    <row r="4368">
      <c r="A4368" s="2">
        <f>IFERROR(__xludf.DUMMYFUNCTION("""COMPUTED_VALUE"""),19377.0)</f>
        <v>19377</v>
      </c>
      <c r="B4368" s="2" t="str">
        <f>IFERROR(__xludf.DUMMYFUNCTION("""COMPUTED_VALUE"""),"Law")</f>
        <v>Law</v>
      </c>
      <c r="C4368" s="2" t="str">
        <f>IFERROR(__xludf.DUMMYFUNCTION("""COMPUTED_VALUE"""),"Banking")</f>
        <v>Banking</v>
      </c>
      <c r="D4368" s="2" t="str">
        <f>IFERROR(__xludf.DUMMYFUNCTION("""COMPUTED_VALUE"""),"Silverpoint House")</f>
        <v>Silverpoint House</v>
      </c>
      <c r="E4368" s="2">
        <f>IFERROR(__xludf.DUMMYFUNCTION("""COMPUTED_VALUE"""),2.4)</f>
        <v>2.4</v>
      </c>
      <c r="F4368" s="2"/>
      <c r="G4368" s="2"/>
      <c r="H4368" s="2"/>
      <c r="I4368" s="2"/>
    </row>
    <row r="4369">
      <c r="A4369" s="2">
        <f>IFERROR(__xludf.DUMMYFUNCTION("""COMPUTED_VALUE"""),111836.0)</f>
        <v>111836</v>
      </c>
      <c r="B4369" s="2" t="str">
        <f>IFERROR(__xludf.DUMMYFUNCTION("""COMPUTED_VALUE"""),"Law")</f>
        <v>Law</v>
      </c>
      <c r="C4369" s="2" t="str">
        <f>IFERROR(__xludf.DUMMYFUNCTION("""COMPUTED_VALUE"""),"Banking")</f>
        <v>Banking</v>
      </c>
      <c r="D4369" s="2" t="str">
        <f>IFERROR(__xludf.DUMMYFUNCTION("""COMPUTED_VALUE"""),"Silverpoint House")</f>
        <v>Silverpoint House</v>
      </c>
      <c r="E4369" s="2">
        <f>IFERROR(__xludf.DUMMYFUNCTION("""COMPUTED_VALUE"""),1.83)</f>
        <v>1.83</v>
      </c>
      <c r="F4369" s="2"/>
      <c r="G4369" s="2"/>
      <c r="H4369" s="2"/>
      <c r="I4369" s="2"/>
    </row>
    <row r="4370">
      <c r="A4370" s="2">
        <f>IFERROR(__xludf.DUMMYFUNCTION("""COMPUTED_VALUE"""),190103.0)</f>
        <v>190103</v>
      </c>
      <c r="B4370" s="2" t="str">
        <f>IFERROR(__xludf.DUMMYFUNCTION("""COMPUTED_VALUE"""),"Law")</f>
        <v>Law</v>
      </c>
      <c r="C4370" s="2" t="str">
        <f>IFERROR(__xludf.DUMMYFUNCTION("""COMPUTED_VALUE"""),"Banking")</f>
        <v>Banking</v>
      </c>
      <c r="D4370" s="2" t="str">
        <f>IFERROR(__xludf.DUMMYFUNCTION("""COMPUTED_VALUE"""),"Silverpoint House")</f>
        <v>Silverpoint House</v>
      </c>
      <c r="E4370" s="2">
        <f>IFERROR(__xludf.DUMMYFUNCTION("""COMPUTED_VALUE"""),1.47)</f>
        <v>1.47</v>
      </c>
      <c r="F4370" s="2"/>
      <c r="G4370" s="2"/>
      <c r="H4370" s="2"/>
      <c r="I4370" s="2"/>
    </row>
    <row r="4371">
      <c r="A4371" s="2">
        <f>IFERROR(__xludf.DUMMYFUNCTION("""COMPUTED_VALUE"""),19408.0)</f>
        <v>19408</v>
      </c>
      <c r="B4371" s="2" t="str">
        <f>IFERROR(__xludf.DUMMYFUNCTION("""COMPUTED_VALUE"""),"Law")</f>
        <v>Law</v>
      </c>
      <c r="C4371" s="2" t="str">
        <f>IFERROR(__xludf.DUMMYFUNCTION("""COMPUTED_VALUE"""),"Banking")</f>
        <v>Banking</v>
      </c>
      <c r="D4371" s="2" t="str">
        <f>IFERROR(__xludf.DUMMYFUNCTION("""COMPUTED_VALUE"""),"Silverpoint House")</f>
        <v>Silverpoint House</v>
      </c>
      <c r="E4371" s="2">
        <f>IFERROR(__xludf.DUMMYFUNCTION("""COMPUTED_VALUE"""),3.4)</f>
        <v>3.4</v>
      </c>
      <c r="F4371" s="2"/>
      <c r="G4371" s="2"/>
      <c r="H4371" s="2"/>
      <c r="I4371" s="2"/>
    </row>
    <row r="4372">
      <c r="A4372" s="2">
        <f>IFERROR(__xludf.DUMMYFUNCTION("""COMPUTED_VALUE"""),14694.0)</f>
        <v>14694</v>
      </c>
      <c r="B4372" s="2" t="str">
        <f>IFERROR(__xludf.DUMMYFUNCTION("""COMPUTED_VALUE"""),"Law")</f>
        <v>Law</v>
      </c>
      <c r="C4372" s="2" t="str">
        <f>IFERROR(__xludf.DUMMYFUNCTION("""COMPUTED_VALUE"""),"Banking")</f>
        <v>Banking</v>
      </c>
      <c r="D4372" s="2" t="str">
        <f>IFERROR(__xludf.DUMMYFUNCTION("""COMPUTED_VALUE"""),"Silverpoint House")</f>
        <v>Silverpoint House</v>
      </c>
      <c r="E4372" s="2">
        <f>IFERROR(__xludf.DUMMYFUNCTION("""COMPUTED_VALUE"""),0.84)</f>
        <v>0.84</v>
      </c>
      <c r="F4372" s="2"/>
      <c r="G4372" s="2"/>
      <c r="H4372" s="2"/>
      <c r="I4372" s="2"/>
    </row>
    <row r="4373">
      <c r="A4373" s="2">
        <f>IFERROR(__xludf.DUMMYFUNCTION("""COMPUTED_VALUE"""),5686.0)</f>
        <v>5686</v>
      </c>
      <c r="B4373" s="2" t="str">
        <f>IFERROR(__xludf.DUMMYFUNCTION("""COMPUTED_VALUE"""),"Law")</f>
        <v>Law</v>
      </c>
      <c r="C4373" s="2" t="str">
        <f>IFERROR(__xludf.DUMMYFUNCTION("""COMPUTED_VALUE"""),"Banking")</f>
        <v>Banking</v>
      </c>
      <c r="D4373" s="2" t="str">
        <f>IFERROR(__xludf.DUMMYFUNCTION("""COMPUTED_VALUE"""),"Silverpoint House")</f>
        <v>Silverpoint House</v>
      </c>
      <c r="E4373" s="2">
        <f>IFERROR(__xludf.DUMMYFUNCTION("""COMPUTED_VALUE"""),1.8)</f>
        <v>1.8</v>
      </c>
      <c r="F4373" s="2"/>
      <c r="G4373" s="2"/>
      <c r="H4373" s="2"/>
      <c r="I4373" s="2"/>
    </row>
    <row r="4374">
      <c r="A4374" s="2">
        <f>IFERROR(__xludf.DUMMYFUNCTION("""COMPUTED_VALUE"""),111842.0)</f>
        <v>111842</v>
      </c>
      <c r="B4374" s="2" t="str">
        <f>IFERROR(__xludf.DUMMYFUNCTION("""COMPUTED_VALUE"""),"Law")</f>
        <v>Law</v>
      </c>
      <c r="C4374" s="2" t="str">
        <f>IFERROR(__xludf.DUMMYFUNCTION("""COMPUTED_VALUE"""),"Banking")</f>
        <v>Banking</v>
      </c>
      <c r="D4374" s="2" t="str">
        <f>IFERROR(__xludf.DUMMYFUNCTION("""COMPUTED_VALUE"""),"Silverpoint House")</f>
        <v>Silverpoint House</v>
      </c>
      <c r="E4374" s="2">
        <f>IFERROR(__xludf.DUMMYFUNCTION("""COMPUTED_VALUE"""),2.33)</f>
        <v>2.33</v>
      </c>
      <c r="F4374" s="2"/>
      <c r="G4374" s="2"/>
      <c r="H4374" s="2"/>
      <c r="I4374" s="2"/>
    </row>
    <row r="4375">
      <c r="A4375" s="2">
        <f>IFERROR(__xludf.DUMMYFUNCTION("""COMPUTED_VALUE"""),23978.0)</f>
        <v>23978</v>
      </c>
      <c r="B4375" s="2" t="str">
        <f>IFERROR(__xludf.DUMMYFUNCTION("""COMPUTED_VALUE"""),"Law")</f>
        <v>Law</v>
      </c>
      <c r="C4375" s="2" t="str">
        <f>IFERROR(__xludf.DUMMYFUNCTION("""COMPUTED_VALUE"""),"Banking")</f>
        <v>Banking</v>
      </c>
      <c r="D4375" s="2" t="str">
        <f>IFERROR(__xludf.DUMMYFUNCTION("""COMPUTED_VALUE"""),"Silverpoint House")</f>
        <v>Silverpoint House</v>
      </c>
      <c r="E4375" s="2">
        <f>IFERROR(__xludf.DUMMYFUNCTION("""COMPUTED_VALUE"""),2.22)</f>
        <v>2.22</v>
      </c>
      <c r="F4375" s="2"/>
      <c r="G4375" s="2"/>
      <c r="H4375" s="2"/>
      <c r="I4375" s="2"/>
    </row>
    <row r="4376">
      <c r="A4376" s="2">
        <f>IFERROR(__xludf.DUMMYFUNCTION("""COMPUTED_VALUE"""),14682.0)</f>
        <v>14682</v>
      </c>
      <c r="B4376" s="2" t="str">
        <f>IFERROR(__xludf.DUMMYFUNCTION("""COMPUTED_VALUE"""),"Law")</f>
        <v>Law</v>
      </c>
      <c r="C4376" s="2" t="str">
        <f>IFERROR(__xludf.DUMMYFUNCTION("""COMPUTED_VALUE"""),"Banking")</f>
        <v>Banking</v>
      </c>
      <c r="D4376" s="2" t="str">
        <f>IFERROR(__xludf.DUMMYFUNCTION("""COMPUTED_VALUE"""),"Silverpoint House")</f>
        <v>Silverpoint House</v>
      </c>
      <c r="E4376" s="2">
        <f>IFERROR(__xludf.DUMMYFUNCTION("""COMPUTED_VALUE"""),1.09)</f>
        <v>1.09</v>
      </c>
      <c r="F4376" s="2"/>
      <c r="G4376" s="2"/>
      <c r="H4376" s="2"/>
      <c r="I4376" s="2"/>
    </row>
    <row r="4377">
      <c r="A4377" s="2">
        <f>IFERROR(__xludf.DUMMYFUNCTION("""COMPUTED_VALUE"""),111873.0)</f>
        <v>111873</v>
      </c>
      <c r="B4377" s="2" t="str">
        <f>IFERROR(__xludf.DUMMYFUNCTION("""COMPUTED_VALUE"""),"Law")</f>
        <v>Law</v>
      </c>
      <c r="C4377" s="2" t="str">
        <f>IFERROR(__xludf.DUMMYFUNCTION("""COMPUTED_VALUE"""),"Banking")</f>
        <v>Banking</v>
      </c>
      <c r="D4377" s="2" t="str">
        <f>IFERROR(__xludf.DUMMYFUNCTION("""COMPUTED_VALUE"""),"Silverpoint House")</f>
        <v>Silverpoint House</v>
      </c>
      <c r="E4377" s="2">
        <f>IFERROR(__xludf.DUMMYFUNCTION("""COMPUTED_VALUE"""),3.3)</f>
        <v>3.3</v>
      </c>
      <c r="F4377" s="2"/>
      <c r="G4377" s="2"/>
      <c r="H4377" s="2"/>
      <c r="I4377" s="2"/>
    </row>
    <row r="4378">
      <c r="A4378" s="2">
        <f>IFERROR(__xludf.DUMMYFUNCTION("""COMPUTED_VALUE"""),23454.0)</f>
        <v>23454</v>
      </c>
      <c r="B4378" s="2" t="str">
        <f>IFERROR(__xludf.DUMMYFUNCTION("""COMPUTED_VALUE"""),"Law")</f>
        <v>Law</v>
      </c>
      <c r="C4378" s="2" t="str">
        <f>IFERROR(__xludf.DUMMYFUNCTION("""COMPUTED_VALUE"""),"Banking")</f>
        <v>Banking</v>
      </c>
      <c r="D4378" s="2" t="str">
        <f>IFERROR(__xludf.DUMMYFUNCTION("""COMPUTED_VALUE"""),"Silverpoint House")</f>
        <v>Silverpoint House</v>
      </c>
      <c r="E4378" s="2">
        <f>IFERROR(__xludf.DUMMYFUNCTION("""COMPUTED_VALUE"""),2.71)</f>
        <v>2.71</v>
      </c>
      <c r="F4378" s="2"/>
      <c r="G4378" s="2"/>
      <c r="H4378" s="2"/>
      <c r="I4378" s="2"/>
    </row>
    <row r="4379">
      <c r="A4379" s="2">
        <f>IFERROR(__xludf.DUMMYFUNCTION("""COMPUTED_VALUE"""),16760.0)</f>
        <v>16760</v>
      </c>
      <c r="B4379" s="2" t="str">
        <f>IFERROR(__xludf.DUMMYFUNCTION("""COMPUTED_VALUE"""),"Law")</f>
        <v>Law</v>
      </c>
      <c r="C4379" s="2" t="str">
        <f>IFERROR(__xludf.DUMMYFUNCTION("""COMPUTED_VALUE"""),"Banking")</f>
        <v>Banking</v>
      </c>
      <c r="D4379" s="2" t="str">
        <f>IFERROR(__xludf.DUMMYFUNCTION("""COMPUTED_VALUE"""),"Silverpoint House")</f>
        <v>Silverpoint House</v>
      </c>
      <c r="E4379" s="2">
        <f>IFERROR(__xludf.DUMMYFUNCTION("""COMPUTED_VALUE"""),2.99)</f>
        <v>2.99</v>
      </c>
      <c r="F4379" s="2"/>
      <c r="G4379" s="2"/>
      <c r="H4379" s="2"/>
      <c r="I4379" s="2"/>
    </row>
    <row r="4380">
      <c r="A4380" s="2">
        <f>IFERROR(__xludf.DUMMYFUNCTION("""COMPUTED_VALUE"""),14709.0)</f>
        <v>14709</v>
      </c>
      <c r="B4380" s="2" t="str">
        <f>IFERROR(__xludf.DUMMYFUNCTION("""COMPUTED_VALUE"""),"Law")</f>
        <v>Law</v>
      </c>
      <c r="C4380" s="2" t="str">
        <f>IFERROR(__xludf.DUMMYFUNCTION("""COMPUTED_VALUE"""),"Banking")</f>
        <v>Banking</v>
      </c>
      <c r="D4380" s="2" t="str">
        <f>IFERROR(__xludf.DUMMYFUNCTION("""COMPUTED_VALUE"""),"Silverpoint House")</f>
        <v>Silverpoint House</v>
      </c>
      <c r="E4380" s="2">
        <f>IFERROR(__xludf.DUMMYFUNCTION("""COMPUTED_VALUE"""),0.84)</f>
        <v>0.84</v>
      </c>
      <c r="F4380" s="2"/>
      <c r="G4380" s="2"/>
      <c r="H4380" s="2"/>
      <c r="I4380" s="2"/>
    </row>
    <row r="4381">
      <c r="A4381" s="2">
        <f>IFERROR(__xludf.DUMMYFUNCTION("""COMPUTED_VALUE"""),14665.0)</f>
        <v>14665</v>
      </c>
      <c r="B4381" s="2" t="str">
        <f>IFERROR(__xludf.DUMMYFUNCTION("""COMPUTED_VALUE"""),"Law")</f>
        <v>Law</v>
      </c>
      <c r="C4381" s="2" t="str">
        <f>IFERROR(__xludf.DUMMYFUNCTION("""COMPUTED_VALUE"""),"Banking")</f>
        <v>Banking</v>
      </c>
      <c r="D4381" s="2" t="str">
        <f>IFERROR(__xludf.DUMMYFUNCTION("""COMPUTED_VALUE"""),"Silverpoint House")</f>
        <v>Silverpoint House</v>
      </c>
      <c r="E4381" s="2">
        <f>IFERROR(__xludf.DUMMYFUNCTION("""COMPUTED_VALUE"""),0.8)</f>
        <v>0.8</v>
      </c>
      <c r="F4381" s="2"/>
      <c r="G4381" s="2"/>
      <c r="H4381" s="2"/>
      <c r="I4381" s="2"/>
    </row>
    <row r="4382">
      <c r="A4382" s="2">
        <f>IFERROR(__xludf.DUMMYFUNCTION("""COMPUTED_VALUE"""),8869.0)</f>
        <v>8869</v>
      </c>
      <c r="B4382" s="2" t="str">
        <f>IFERROR(__xludf.DUMMYFUNCTION("""COMPUTED_VALUE"""),"Law")</f>
        <v>Law</v>
      </c>
      <c r="C4382" s="2" t="str">
        <f>IFERROR(__xludf.DUMMYFUNCTION("""COMPUTED_VALUE"""),"Corporate Finance")</f>
        <v>Corporate Finance</v>
      </c>
      <c r="D4382" s="2" t="str">
        <f>IFERROR(__xludf.DUMMYFUNCTION("""COMPUTED_VALUE"""),"Northpoint House")</f>
        <v>Northpoint House</v>
      </c>
      <c r="E4382" s="2">
        <f>IFERROR(__xludf.DUMMYFUNCTION("""COMPUTED_VALUE"""),3.98)</f>
        <v>3.98</v>
      </c>
      <c r="F4382" s="2"/>
      <c r="G4382" s="2"/>
      <c r="H4382" s="2"/>
      <c r="I4382" s="2"/>
    </row>
    <row r="4383">
      <c r="A4383" s="2">
        <f>IFERROR(__xludf.DUMMYFUNCTION("""COMPUTED_VALUE"""),68520.0)</f>
        <v>68520</v>
      </c>
      <c r="B4383" s="2" t="str">
        <f>IFERROR(__xludf.DUMMYFUNCTION("""COMPUTED_VALUE"""),"Law")</f>
        <v>Law</v>
      </c>
      <c r="C4383" s="2" t="str">
        <f>IFERROR(__xludf.DUMMYFUNCTION("""COMPUTED_VALUE"""),"Corporate Finance")</f>
        <v>Corporate Finance</v>
      </c>
      <c r="D4383" s="2" t="str">
        <f>IFERROR(__xludf.DUMMYFUNCTION("""COMPUTED_VALUE"""),"Northpoint House")</f>
        <v>Northpoint House</v>
      </c>
      <c r="E4383" s="2">
        <f>IFERROR(__xludf.DUMMYFUNCTION("""COMPUTED_VALUE"""),4.38)</f>
        <v>4.38</v>
      </c>
      <c r="F4383" s="2"/>
      <c r="G4383" s="2"/>
      <c r="H4383" s="2"/>
      <c r="I4383" s="2"/>
    </row>
    <row r="4384">
      <c r="A4384" s="2">
        <f>IFERROR(__xludf.DUMMYFUNCTION("""COMPUTED_VALUE"""),107331.0)</f>
        <v>107331</v>
      </c>
      <c r="B4384" s="2" t="str">
        <f>IFERROR(__xludf.DUMMYFUNCTION("""COMPUTED_VALUE"""),"Law")</f>
        <v>Law</v>
      </c>
      <c r="C4384" s="2" t="str">
        <f>IFERROR(__xludf.DUMMYFUNCTION("""COMPUTED_VALUE"""),"Corporate Finance")</f>
        <v>Corporate Finance</v>
      </c>
      <c r="D4384" s="2" t="str">
        <f>IFERROR(__xludf.DUMMYFUNCTION("""COMPUTED_VALUE"""),"Northpoint House")</f>
        <v>Northpoint House</v>
      </c>
      <c r="E4384" s="2">
        <f>IFERROR(__xludf.DUMMYFUNCTION("""COMPUTED_VALUE"""),2.06)</f>
        <v>2.06</v>
      </c>
      <c r="F4384" s="2"/>
      <c r="G4384" s="2"/>
      <c r="H4384" s="2"/>
      <c r="I4384" s="2"/>
    </row>
    <row r="4385">
      <c r="A4385" s="2">
        <f>IFERROR(__xludf.DUMMYFUNCTION("""COMPUTED_VALUE"""),107325.0)</f>
        <v>107325</v>
      </c>
      <c r="B4385" s="2" t="str">
        <f>IFERROR(__xludf.DUMMYFUNCTION("""COMPUTED_VALUE"""),"Law")</f>
        <v>Law</v>
      </c>
      <c r="C4385" s="2" t="str">
        <f>IFERROR(__xludf.DUMMYFUNCTION("""COMPUTED_VALUE"""),"Corporate Finance")</f>
        <v>Corporate Finance</v>
      </c>
      <c r="D4385" s="2" t="str">
        <f>IFERROR(__xludf.DUMMYFUNCTION("""COMPUTED_VALUE"""),"Northpoint House")</f>
        <v>Northpoint House</v>
      </c>
      <c r="E4385" s="2">
        <f>IFERROR(__xludf.DUMMYFUNCTION("""COMPUTED_VALUE"""),2.73)</f>
        <v>2.73</v>
      </c>
      <c r="F4385" s="2"/>
      <c r="G4385" s="2"/>
      <c r="H4385" s="2"/>
      <c r="I4385" s="2"/>
    </row>
    <row r="4386">
      <c r="A4386" s="2">
        <f>IFERROR(__xludf.DUMMYFUNCTION("""COMPUTED_VALUE"""),8871.0)</f>
        <v>8871</v>
      </c>
      <c r="B4386" s="2" t="str">
        <f>IFERROR(__xludf.DUMMYFUNCTION("""COMPUTED_VALUE"""),"Law")</f>
        <v>Law</v>
      </c>
      <c r="C4386" s="2" t="str">
        <f>IFERROR(__xludf.DUMMYFUNCTION("""COMPUTED_VALUE"""),"Corporate Finance")</f>
        <v>Corporate Finance</v>
      </c>
      <c r="D4386" s="2" t="str">
        <f>IFERROR(__xludf.DUMMYFUNCTION("""COMPUTED_VALUE"""),"Northpoint House")</f>
        <v>Northpoint House</v>
      </c>
      <c r="E4386" s="2">
        <f>IFERROR(__xludf.DUMMYFUNCTION("""COMPUTED_VALUE"""),4.94)</f>
        <v>4.94</v>
      </c>
      <c r="F4386" s="2"/>
      <c r="G4386" s="2"/>
      <c r="H4386" s="2"/>
      <c r="I4386" s="2"/>
    </row>
    <row r="4387">
      <c r="A4387" s="2">
        <f>IFERROR(__xludf.DUMMYFUNCTION("""COMPUTED_VALUE"""),107334.0)</f>
        <v>107334</v>
      </c>
      <c r="B4387" s="2" t="str">
        <f>IFERROR(__xludf.DUMMYFUNCTION("""COMPUTED_VALUE"""),"Law")</f>
        <v>Law</v>
      </c>
      <c r="C4387" s="2" t="str">
        <f>IFERROR(__xludf.DUMMYFUNCTION("""COMPUTED_VALUE"""),"Corporate Finance")</f>
        <v>Corporate Finance</v>
      </c>
      <c r="D4387" s="2" t="str">
        <f>IFERROR(__xludf.DUMMYFUNCTION("""COMPUTED_VALUE"""),"Northpoint House")</f>
        <v>Northpoint House</v>
      </c>
      <c r="E4387" s="2">
        <f>IFERROR(__xludf.DUMMYFUNCTION("""COMPUTED_VALUE"""),1.84)</f>
        <v>1.84</v>
      </c>
      <c r="F4387" s="2"/>
      <c r="G4387" s="2"/>
      <c r="H4387" s="2"/>
      <c r="I4387" s="2"/>
    </row>
    <row r="4388">
      <c r="A4388" s="2">
        <f>IFERROR(__xludf.DUMMYFUNCTION("""COMPUTED_VALUE"""),120302.0)</f>
        <v>120302</v>
      </c>
      <c r="B4388" s="2" t="str">
        <f>IFERROR(__xludf.DUMMYFUNCTION("""COMPUTED_VALUE"""),"Law")</f>
        <v>Law</v>
      </c>
      <c r="C4388" s="2" t="str">
        <f>IFERROR(__xludf.DUMMYFUNCTION("""COMPUTED_VALUE"""),"Corporate Finance")</f>
        <v>Corporate Finance</v>
      </c>
      <c r="D4388" s="2" t="str">
        <f>IFERROR(__xludf.DUMMYFUNCTION("""COMPUTED_VALUE"""),"Harborpoint House")</f>
        <v>Harborpoint House</v>
      </c>
      <c r="E4388" s="2">
        <f>IFERROR(__xludf.DUMMYFUNCTION("""COMPUTED_VALUE"""),2.19)</f>
        <v>2.19</v>
      </c>
      <c r="F4388" s="2"/>
      <c r="G4388" s="2"/>
      <c r="H4388" s="2"/>
      <c r="I4388" s="2"/>
    </row>
    <row r="4389">
      <c r="A4389" s="2">
        <f>IFERROR(__xludf.DUMMYFUNCTION("""COMPUTED_VALUE"""),117661.0)</f>
        <v>117661</v>
      </c>
      <c r="B4389" s="2" t="str">
        <f>IFERROR(__xludf.DUMMYFUNCTION("""COMPUTED_VALUE"""),"Law")</f>
        <v>Law</v>
      </c>
      <c r="C4389" s="2" t="str">
        <f>IFERROR(__xludf.DUMMYFUNCTION("""COMPUTED_VALUE"""),"Corporate Finance")</f>
        <v>Corporate Finance</v>
      </c>
      <c r="D4389" s="2" t="str">
        <f>IFERROR(__xludf.DUMMYFUNCTION("""COMPUTED_VALUE"""),"Harborpoint House")</f>
        <v>Harborpoint House</v>
      </c>
      <c r="E4389" s="2">
        <f>IFERROR(__xludf.DUMMYFUNCTION("""COMPUTED_VALUE"""),2.47)</f>
        <v>2.47</v>
      </c>
      <c r="F4389" s="2"/>
      <c r="G4389" s="2"/>
      <c r="H4389" s="2"/>
      <c r="I4389" s="2"/>
    </row>
    <row r="4390">
      <c r="A4390" s="2">
        <f>IFERROR(__xludf.DUMMYFUNCTION("""COMPUTED_VALUE"""),79006.0)</f>
        <v>79006</v>
      </c>
      <c r="B4390" s="2" t="str">
        <f>IFERROR(__xludf.DUMMYFUNCTION("""COMPUTED_VALUE"""),"Law")</f>
        <v>Law</v>
      </c>
      <c r="C4390" s="2" t="str">
        <f>IFERROR(__xludf.DUMMYFUNCTION("""COMPUTED_VALUE"""),"Corporate Finance")</f>
        <v>Corporate Finance</v>
      </c>
      <c r="D4390" s="2" t="str">
        <f>IFERROR(__xludf.DUMMYFUNCTION("""COMPUTED_VALUE"""),"Harborpoint House")</f>
        <v>Harborpoint House</v>
      </c>
      <c r="E4390" s="2">
        <f>IFERROR(__xludf.DUMMYFUNCTION("""COMPUTED_VALUE"""),2.86)</f>
        <v>2.86</v>
      </c>
      <c r="F4390" s="2"/>
      <c r="G4390" s="2"/>
      <c r="H4390" s="2"/>
      <c r="I4390" s="2"/>
    </row>
    <row r="4391">
      <c r="A4391" s="2">
        <f>IFERROR(__xludf.DUMMYFUNCTION("""COMPUTED_VALUE"""),17133.0)</f>
        <v>17133</v>
      </c>
      <c r="B4391" s="2" t="str">
        <f>IFERROR(__xludf.DUMMYFUNCTION("""COMPUTED_VALUE"""),"Law")</f>
        <v>Law</v>
      </c>
      <c r="C4391" s="2" t="str">
        <f>IFERROR(__xludf.DUMMYFUNCTION("""COMPUTED_VALUE"""),"Corporate Finance")</f>
        <v>Corporate Finance</v>
      </c>
      <c r="D4391" s="2" t="str">
        <f>IFERROR(__xludf.DUMMYFUNCTION("""COMPUTED_VALUE"""),"Harborpoint House")</f>
        <v>Harborpoint House</v>
      </c>
      <c r="E4391" s="2">
        <f>IFERROR(__xludf.DUMMYFUNCTION("""COMPUTED_VALUE"""),0.87)</f>
        <v>0.87</v>
      </c>
      <c r="F4391" s="2"/>
      <c r="G4391" s="2"/>
      <c r="H4391" s="2"/>
      <c r="I4391" s="2"/>
    </row>
    <row r="4392">
      <c r="A4392" s="2">
        <f>IFERROR(__xludf.DUMMYFUNCTION("""COMPUTED_VALUE"""),76818.0)</f>
        <v>76818</v>
      </c>
      <c r="B4392" s="2" t="str">
        <f>IFERROR(__xludf.DUMMYFUNCTION("""COMPUTED_VALUE"""),"Law")</f>
        <v>Law</v>
      </c>
      <c r="C4392" s="2" t="str">
        <f>IFERROR(__xludf.DUMMYFUNCTION("""COMPUTED_VALUE"""),"Corporate Finance")</f>
        <v>Corporate Finance</v>
      </c>
      <c r="D4392" s="2" t="str">
        <f>IFERROR(__xludf.DUMMYFUNCTION("""COMPUTED_VALUE"""),"Harborpoint House")</f>
        <v>Harborpoint House</v>
      </c>
      <c r="E4392" s="2">
        <f>IFERROR(__xludf.DUMMYFUNCTION("""COMPUTED_VALUE"""),1.98)</f>
        <v>1.98</v>
      </c>
      <c r="F4392" s="2"/>
      <c r="G4392" s="2"/>
      <c r="H4392" s="2"/>
      <c r="I4392" s="2"/>
    </row>
    <row r="4393">
      <c r="A4393" s="2">
        <f>IFERROR(__xludf.DUMMYFUNCTION("""COMPUTED_VALUE"""),70236.0)</f>
        <v>70236</v>
      </c>
      <c r="B4393" s="2" t="str">
        <f>IFERROR(__xludf.DUMMYFUNCTION("""COMPUTED_VALUE"""),"Law")</f>
        <v>Law</v>
      </c>
      <c r="C4393" s="2" t="str">
        <f>IFERROR(__xludf.DUMMYFUNCTION("""COMPUTED_VALUE"""),"Corporate Finance")</f>
        <v>Corporate Finance</v>
      </c>
      <c r="D4393" s="2" t="str">
        <f>IFERROR(__xludf.DUMMYFUNCTION("""COMPUTED_VALUE"""),"Harborpoint House")</f>
        <v>Harborpoint House</v>
      </c>
      <c r="E4393" s="2">
        <f>IFERROR(__xludf.DUMMYFUNCTION("""COMPUTED_VALUE"""),1.96)</f>
        <v>1.96</v>
      </c>
      <c r="F4393" s="2"/>
      <c r="G4393" s="2"/>
      <c r="H4393" s="2"/>
      <c r="I4393" s="2"/>
    </row>
    <row r="4394">
      <c r="A4394" s="2">
        <f>IFERROR(__xludf.DUMMYFUNCTION("""COMPUTED_VALUE"""),91342.0)</f>
        <v>91342</v>
      </c>
      <c r="B4394" s="2" t="str">
        <f>IFERROR(__xludf.DUMMYFUNCTION("""COMPUTED_VALUE"""),"Law")</f>
        <v>Law</v>
      </c>
      <c r="C4394" s="2" t="str">
        <f>IFERROR(__xludf.DUMMYFUNCTION("""COMPUTED_VALUE"""),"Corporate Finance")</f>
        <v>Corporate Finance</v>
      </c>
      <c r="D4394" s="2" t="str">
        <f>IFERROR(__xludf.DUMMYFUNCTION("""COMPUTED_VALUE"""),"Harborpoint House")</f>
        <v>Harborpoint House</v>
      </c>
      <c r="E4394" s="2">
        <f>IFERROR(__xludf.DUMMYFUNCTION("""COMPUTED_VALUE"""),1.37)</f>
        <v>1.37</v>
      </c>
      <c r="F4394" s="2"/>
      <c r="G4394" s="2"/>
      <c r="H4394" s="2"/>
      <c r="I4394" s="2"/>
    </row>
    <row r="4395">
      <c r="A4395" s="2">
        <f>IFERROR(__xludf.DUMMYFUNCTION("""COMPUTED_VALUE"""),121782.0)</f>
        <v>121782</v>
      </c>
      <c r="B4395" s="2" t="str">
        <f>IFERROR(__xludf.DUMMYFUNCTION("""COMPUTED_VALUE"""),"Law")</f>
        <v>Law</v>
      </c>
      <c r="C4395" s="2" t="str">
        <f>IFERROR(__xludf.DUMMYFUNCTION("""COMPUTED_VALUE"""),"Corporate Finance")</f>
        <v>Corporate Finance</v>
      </c>
      <c r="D4395" s="2" t="str">
        <f>IFERROR(__xludf.DUMMYFUNCTION("""COMPUTED_VALUE"""),"Harborpoint House")</f>
        <v>Harborpoint House</v>
      </c>
      <c r="E4395" s="2">
        <f>IFERROR(__xludf.DUMMYFUNCTION("""COMPUTED_VALUE"""),2.67)</f>
        <v>2.67</v>
      </c>
      <c r="F4395" s="2"/>
      <c r="G4395" s="2"/>
      <c r="H4395" s="2"/>
      <c r="I4395" s="2"/>
    </row>
    <row r="4396">
      <c r="A4396" s="2">
        <f>IFERROR(__xludf.DUMMYFUNCTION("""COMPUTED_VALUE"""),76822.0)</f>
        <v>76822</v>
      </c>
      <c r="B4396" s="2" t="str">
        <f>IFERROR(__xludf.DUMMYFUNCTION("""COMPUTED_VALUE"""),"Law")</f>
        <v>Law</v>
      </c>
      <c r="C4396" s="2" t="str">
        <f>IFERROR(__xludf.DUMMYFUNCTION("""COMPUTED_VALUE"""),"Corporate Finance")</f>
        <v>Corporate Finance</v>
      </c>
      <c r="D4396" s="2" t="str">
        <f>IFERROR(__xludf.DUMMYFUNCTION("""COMPUTED_VALUE"""),"Harborpoint House")</f>
        <v>Harborpoint House</v>
      </c>
      <c r="E4396" s="2">
        <f>IFERROR(__xludf.DUMMYFUNCTION("""COMPUTED_VALUE"""),1.93)</f>
        <v>1.93</v>
      </c>
      <c r="F4396" s="2"/>
      <c r="G4396" s="2"/>
      <c r="H4396" s="2"/>
      <c r="I4396" s="2"/>
    </row>
    <row r="4397">
      <c r="A4397" s="2">
        <f>IFERROR(__xludf.DUMMYFUNCTION("""COMPUTED_VALUE"""),100278.0)</f>
        <v>100278</v>
      </c>
      <c r="B4397" s="2" t="str">
        <f>IFERROR(__xludf.DUMMYFUNCTION("""COMPUTED_VALUE"""),"Law")</f>
        <v>Law</v>
      </c>
      <c r="C4397" s="2" t="str">
        <f>IFERROR(__xludf.DUMMYFUNCTION("""COMPUTED_VALUE"""),"Corporate Finance")</f>
        <v>Corporate Finance</v>
      </c>
      <c r="D4397" s="2" t="str">
        <f>IFERROR(__xludf.DUMMYFUNCTION("""COMPUTED_VALUE"""),"Harborpoint House")</f>
        <v>Harborpoint House</v>
      </c>
      <c r="E4397" s="2">
        <f>IFERROR(__xludf.DUMMYFUNCTION("""COMPUTED_VALUE"""),0.82)</f>
        <v>0.82</v>
      </c>
      <c r="F4397" s="2"/>
      <c r="G4397" s="2"/>
      <c r="H4397" s="2"/>
      <c r="I4397" s="2"/>
    </row>
    <row r="4398">
      <c r="A4398" s="2">
        <f>IFERROR(__xludf.DUMMYFUNCTION("""COMPUTED_VALUE"""),122795.0)</f>
        <v>122795</v>
      </c>
      <c r="B4398" s="2" t="str">
        <f>IFERROR(__xludf.DUMMYFUNCTION("""COMPUTED_VALUE"""),"Law")</f>
        <v>Law</v>
      </c>
      <c r="C4398" s="2" t="str">
        <f>IFERROR(__xludf.DUMMYFUNCTION("""COMPUTED_VALUE"""),"Corporate Finance")</f>
        <v>Corporate Finance</v>
      </c>
      <c r="D4398" s="2" t="str">
        <f>IFERROR(__xludf.DUMMYFUNCTION("""COMPUTED_VALUE"""),"Harborpoint House")</f>
        <v>Harborpoint House</v>
      </c>
      <c r="E4398" s="2">
        <f>IFERROR(__xludf.DUMMYFUNCTION("""COMPUTED_VALUE"""),1.96)</f>
        <v>1.96</v>
      </c>
      <c r="F4398" s="2"/>
      <c r="G4398" s="2"/>
      <c r="H4398" s="2"/>
      <c r="I4398" s="2"/>
    </row>
    <row r="4399">
      <c r="A4399" s="2">
        <f>IFERROR(__xludf.DUMMYFUNCTION("""COMPUTED_VALUE"""),100282.0)</f>
        <v>100282</v>
      </c>
      <c r="B4399" s="2" t="str">
        <f>IFERROR(__xludf.DUMMYFUNCTION("""COMPUTED_VALUE"""),"Law")</f>
        <v>Law</v>
      </c>
      <c r="C4399" s="2" t="str">
        <f>IFERROR(__xludf.DUMMYFUNCTION("""COMPUTED_VALUE"""),"Corporate Finance")</f>
        <v>Corporate Finance</v>
      </c>
      <c r="D4399" s="2" t="str">
        <f>IFERROR(__xludf.DUMMYFUNCTION("""COMPUTED_VALUE"""),"Harborpoint House")</f>
        <v>Harborpoint House</v>
      </c>
      <c r="E4399" s="2">
        <f>IFERROR(__xludf.DUMMYFUNCTION("""COMPUTED_VALUE"""),0.76)</f>
        <v>0.76</v>
      </c>
      <c r="F4399" s="2"/>
      <c r="G4399" s="2"/>
      <c r="H4399" s="2"/>
      <c r="I4399" s="2"/>
    </row>
    <row r="4400">
      <c r="A4400" s="2">
        <f>IFERROR(__xludf.DUMMYFUNCTION("""COMPUTED_VALUE"""),68867.0)</f>
        <v>68867</v>
      </c>
      <c r="B4400" s="2" t="str">
        <f>IFERROR(__xludf.DUMMYFUNCTION("""COMPUTED_VALUE"""),"Law")</f>
        <v>Law</v>
      </c>
      <c r="C4400" s="2" t="str">
        <f>IFERROR(__xludf.DUMMYFUNCTION("""COMPUTED_VALUE"""),"Corporate Finance")</f>
        <v>Corporate Finance</v>
      </c>
      <c r="D4400" s="2" t="str">
        <f>IFERROR(__xludf.DUMMYFUNCTION("""COMPUTED_VALUE"""),"Harborpoint House")</f>
        <v>Harborpoint House</v>
      </c>
      <c r="E4400" s="2">
        <f>IFERROR(__xludf.DUMMYFUNCTION("""COMPUTED_VALUE"""),1.9)</f>
        <v>1.9</v>
      </c>
      <c r="F4400" s="2"/>
      <c r="G4400" s="2"/>
      <c r="H4400" s="2"/>
      <c r="I4400" s="2"/>
    </row>
    <row r="4401">
      <c r="A4401" s="2">
        <f>IFERROR(__xludf.DUMMYFUNCTION("""COMPUTED_VALUE"""),8862.0)</f>
        <v>8862</v>
      </c>
      <c r="B4401" s="2" t="str">
        <f>IFERROR(__xludf.DUMMYFUNCTION("""COMPUTED_VALUE"""),"Law")</f>
        <v>Law</v>
      </c>
      <c r="C4401" s="2" t="str">
        <f>IFERROR(__xludf.DUMMYFUNCTION("""COMPUTED_VALUE"""),"Corporate Finance")</f>
        <v>Corporate Finance</v>
      </c>
      <c r="D4401" s="2" t="str">
        <f>IFERROR(__xludf.DUMMYFUNCTION("""COMPUTED_VALUE"""),"Harborpoint House")</f>
        <v>Harborpoint House</v>
      </c>
      <c r="E4401" s="2">
        <f>IFERROR(__xludf.DUMMYFUNCTION("""COMPUTED_VALUE"""),3.07)</f>
        <v>3.07</v>
      </c>
      <c r="F4401" s="2"/>
      <c r="G4401" s="2"/>
      <c r="H4401" s="2"/>
      <c r="I4401" s="2"/>
    </row>
    <row r="4402">
      <c r="A4402" s="2">
        <f>IFERROR(__xludf.DUMMYFUNCTION("""COMPUTED_VALUE"""),72131.0)</f>
        <v>72131</v>
      </c>
      <c r="B4402" s="2" t="str">
        <f>IFERROR(__xludf.DUMMYFUNCTION("""COMPUTED_VALUE"""),"Law")</f>
        <v>Law</v>
      </c>
      <c r="C4402" s="2" t="str">
        <f>IFERROR(__xludf.DUMMYFUNCTION("""COMPUTED_VALUE"""),"Corporate Finance")</f>
        <v>Corporate Finance</v>
      </c>
      <c r="D4402" s="2" t="str">
        <f>IFERROR(__xludf.DUMMYFUNCTION("""COMPUTED_VALUE"""),"Harborpoint House")</f>
        <v>Harborpoint House</v>
      </c>
      <c r="E4402" s="2">
        <f>IFERROR(__xludf.DUMMYFUNCTION("""COMPUTED_VALUE"""),0.61)</f>
        <v>0.61</v>
      </c>
      <c r="F4402" s="2"/>
      <c r="G4402" s="2"/>
      <c r="H4402" s="2"/>
      <c r="I4402" s="2"/>
    </row>
    <row r="4403">
      <c r="A4403" s="2">
        <f>IFERROR(__xludf.DUMMYFUNCTION("""COMPUTED_VALUE"""),12047.0)</f>
        <v>12047</v>
      </c>
      <c r="B4403" s="2" t="str">
        <f>IFERROR(__xludf.DUMMYFUNCTION("""COMPUTED_VALUE"""),"Law")</f>
        <v>Law</v>
      </c>
      <c r="C4403" s="2" t="str">
        <f>IFERROR(__xludf.DUMMYFUNCTION("""COMPUTED_VALUE"""),"Corporate Finance")</f>
        <v>Corporate Finance</v>
      </c>
      <c r="D4403" s="2" t="str">
        <f>IFERROR(__xludf.DUMMYFUNCTION("""COMPUTED_VALUE"""),"Harborpoint House")</f>
        <v>Harborpoint House</v>
      </c>
      <c r="E4403" s="2">
        <f>IFERROR(__xludf.DUMMYFUNCTION("""COMPUTED_VALUE"""),0.91)</f>
        <v>0.91</v>
      </c>
      <c r="F4403" s="2"/>
      <c r="G4403" s="2"/>
      <c r="H4403" s="2"/>
      <c r="I4403" s="2"/>
    </row>
    <row r="4404">
      <c r="A4404" s="2">
        <f>IFERROR(__xludf.DUMMYFUNCTION("""COMPUTED_VALUE"""),121790.0)</f>
        <v>121790</v>
      </c>
      <c r="B4404" s="2" t="str">
        <f>IFERROR(__xludf.DUMMYFUNCTION("""COMPUTED_VALUE"""),"Law")</f>
        <v>Law</v>
      </c>
      <c r="C4404" s="2" t="str">
        <f>IFERROR(__xludf.DUMMYFUNCTION("""COMPUTED_VALUE"""),"Corporate Finance")</f>
        <v>Corporate Finance</v>
      </c>
      <c r="D4404" s="2" t="str">
        <f>IFERROR(__xludf.DUMMYFUNCTION("""COMPUTED_VALUE"""),"Harborpoint House")</f>
        <v>Harborpoint House</v>
      </c>
      <c r="E4404" s="2">
        <f>IFERROR(__xludf.DUMMYFUNCTION("""COMPUTED_VALUE"""),2.69)</f>
        <v>2.69</v>
      </c>
      <c r="F4404" s="2"/>
      <c r="G4404" s="2"/>
      <c r="H4404" s="2"/>
      <c r="I4404" s="2"/>
    </row>
    <row r="4405">
      <c r="A4405" s="2">
        <f>IFERROR(__xludf.DUMMYFUNCTION("""COMPUTED_VALUE"""),121787.0)</f>
        <v>121787</v>
      </c>
      <c r="B4405" s="2" t="str">
        <f>IFERROR(__xludf.DUMMYFUNCTION("""COMPUTED_VALUE"""),"Law")</f>
        <v>Law</v>
      </c>
      <c r="C4405" s="2" t="str">
        <f>IFERROR(__xludf.DUMMYFUNCTION("""COMPUTED_VALUE"""),"Corporate Finance")</f>
        <v>Corporate Finance</v>
      </c>
      <c r="D4405" s="2" t="str">
        <f>IFERROR(__xludf.DUMMYFUNCTION("""COMPUTED_VALUE"""),"Harborpoint House")</f>
        <v>Harborpoint House</v>
      </c>
      <c r="E4405" s="2">
        <f>IFERROR(__xludf.DUMMYFUNCTION("""COMPUTED_VALUE"""),2.46)</f>
        <v>2.46</v>
      </c>
      <c r="F4405" s="2"/>
      <c r="G4405" s="2"/>
      <c r="H4405" s="2"/>
      <c r="I4405" s="2"/>
    </row>
    <row r="4406">
      <c r="A4406" s="2">
        <f>IFERROR(__xludf.DUMMYFUNCTION("""COMPUTED_VALUE"""),70239.0)</f>
        <v>70239</v>
      </c>
      <c r="B4406" s="2" t="str">
        <f>IFERROR(__xludf.DUMMYFUNCTION("""COMPUTED_VALUE"""),"Law")</f>
        <v>Law</v>
      </c>
      <c r="C4406" s="2" t="str">
        <f>IFERROR(__xludf.DUMMYFUNCTION("""COMPUTED_VALUE"""),"Corporate Finance")</f>
        <v>Corporate Finance</v>
      </c>
      <c r="D4406" s="2" t="str">
        <f>IFERROR(__xludf.DUMMYFUNCTION("""COMPUTED_VALUE"""),"Harborpoint House")</f>
        <v>Harborpoint House</v>
      </c>
      <c r="E4406" s="2">
        <f>IFERROR(__xludf.DUMMYFUNCTION("""COMPUTED_VALUE"""),2.02)</f>
        <v>2.02</v>
      </c>
      <c r="F4406" s="2"/>
      <c r="G4406" s="2"/>
      <c r="H4406" s="2"/>
      <c r="I4406" s="2"/>
    </row>
    <row r="4407">
      <c r="A4407" s="2">
        <f>IFERROR(__xludf.DUMMYFUNCTION("""COMPUTED_VALUE"""),113942.0)</f>
        <v>113942</v>
      </c>
      <c r="B4407" s="2" t="str">
        <f>IFERROR(__xludf.DUMMYFUNCTION("""COMPUTED_VALUE"""),"Law")</f>
        <v>Law</v>
      </c>
      <c r="C4407" s="2" t="str">
        <f>IFERROR(__xludf.DUMMYFUNCTION("""COMPUTED_VALUE"""),"Corporate Finance")</f>
        <v>Corporate Finance</v>
      </c>
      <c r="D4407" s="2" t="str">
        <f>IFERROR(__xludf.DUMMYFUNCTION("""COMPUTED_VALUE"""),"Harborpoint House")</f>
        <v>Harborpoint House</v>
      </c>
      <c r="E4407" s="2">
        <f>IFERROR(__xludf.DUMMYFUNCTION("""COMPUTED_VALUE"""),1.87)</f>
        <v>1.87</v>
      </c>
      <c r="F4407" s="2"/>
      <c r="G4407" s="2"/>
      <c r="H4407" s="2"/>
      <c r="I4407" s="2"/>
    </row>
    <row r="4408">
      <c r="A4408" s="2">
        <f>IFERROR(__xludf.DUMMYFUNCTION("""COMPUTED_VALUE"""),119134.0)</f>
        <v>119134</v>
      </c>
      <c r="B4408" s="2" t="str">
        <f>IFERROR(__xludf.DUMMYFUNCTION("""COMPUTED_VALUE"""),"Law")</f>
        <v>Law</v>
      </c>
      <c r="C4408" s="2" t="str">
        <f>IFERROR(__xludf.DUMMYFUNCTION("""COMPUTED_VALUE"""),"Corporate Finance")</f>
        <v>Corporate Finance</v>
      </c>
      <c r="D4408" s="2" t="str">
        <f>IFERROR(__xludf.DUMMYFUNCTION("""COMPUTED_VALUE"""),"Harborpoint House")</f>
        <v>Harborpoint House</v>
      </c>
      <c r="E4408" s="2">
        <f>IFERROR(__xludf.DUMMYFUNCTION("""COMPUTED_VALUE"""),2.25)</f>
        <v>2.25</v>
      </c>
      <c r="F4408" s="2"/>
      <c r="G4408" s="2"/>
      <c r="H4408" s="2"/>
      <c r="I4408" s="2"/>
    </row>
    <row r="4409">
      <c r="A4409" s="2">
        <f>IFERROR(__xludf.DUMMYFUNCTION("""COMPUTED_VALUE"""),76813.0)</f>
        <v>76813</v>
      </c>
      <c r="B4409" s="2" t="str">
        <f>IFERROR(__xludf.DUMMYFUNCTION("""COMPUTED_VALUE"""),"Law")</f>
        <v>Law</v>
      </c>
      <c r="C4409" s="2" t="str">
        <f>IFERROR(__xludf.DUMMYFUNCTION("""COMPUTED_VALUE"""),"Corporate Finance")</f>
        <v>Corporate Finance</v>
      </c>
      <c r="D4409" s="2" t="str">
        <f>IFERROR(__xludf.DUMMYFUNCTION("""COMPUTED_VALUE"""),"Harborpoint House")</f>
        <v>Harborpoint House</v>
      </c>
      <c r="E4409" s="2">
        <f>IFERROR(__xludf.DUMMYFUNCTION("""COMPUTED_VALUE"""),2.12)</f>
        <v>2.12</v>
      </c>
      <c r="F4409" s="2"/>
      <c r="G4409" s="2"/>
      <c r="H4409" s="2"/>
      <c r="I4409" s="2"/>
    </row>
    <row r="4410">
      <c r="A4410" s="2">
        <f>IFERROR(__xludf.DUMMYFUNCTION("""COMPUTED_VALUE"""),121793.0)</f>
        <v>121793</v>
      </c>
      <c r="B4410" s="2" t="str">
        <f>IFERROR(__xludf.DUMMYFUNCTION("""COMPUTED_VALUE"""),"Law")</f>
        <v>Law</v>
      </c>
      <c r="C4410" s="2" t="str">
        <f>IFERROR(__xludf.DUMMYFUNCTION("""COMPUTED_VALUE"""),"Corporate Finance")</f>
        <v>Corporate Finance</v>
      </c>
      <c r="D4410" s="2" t="str">
        <f>IFERROR(__xludf.DUMMYFUNCTION("""COMPUTED_VALUE"""),"Harborpoint House")</f>
        <v>Harborpoint House</v>
      </c>
      <c r="E4410" s="2">
        <f>IFERROR(__xludf.DUMMYFUNCTION("""COMPUTED_VALUE"""),2.41)</f>
        <v>2.41</v>
      </c>
      <c r="F4410" s="2"/>
      <c r="G4410" s="2"/>
      <c r="H4410" s="2"/>
      <c r="I4410" s="2"/>
    </row>
    <row r="4411">
      <c r="A4411" s="2">
        <f>IFERROR(__xludf.DUMMYFUNCTION("""COMPUTED_VALUE"""),100283.0)</f>
        <v>100283</v>
      </c>
      <c r="B4411" s="2" t="str">
        <f>IFERROR(__xludf.DUMMYFUNCTION("""COMPUTED_VALUE"""),"Law")</f>
        <v>Law</v>
      </c>
      <c r="C4411" s="2" t="str">
        <f>IFERROR(__xludf.DUMMYFUNCTION("""COMPUTED_VALUE"""),"Corporate Finance")</f>
        <v>Corporate Finance</v>
      </c>
      <c r="D4411" s="2" t="str">
        <f>IFERROR(__xludf.DUMMYFUNCTION("""COMPUTED_VALUE"""),"Harborpoint House")</f>
        <v>Harborpoint House</v>
      </c>
      <c r="E4411" s="2">
        <f>IFERROR(__xludf.DUMMYFUNCTION("""COMPUTED_VALUE"""),0.82)</f>
        <v>0.82</v>
      </c>
      <c r="F4411" s="2"/>
      <c r="G4411" s="2"/>
      <c r="H4411" s="2"/>
      <c r="I4411" s="2"/>
    </row>
    <row r="4412">
      <c r="A4412" s="2">
        <f>IFERROR(__xludf.DUMMYFUNCTION("""COMPUTED_VALUE"""),75028.0)</f>
        <v>75028</v>
      </c>
      <c r="B4412" s="2" t="str">
        <f>IFERROR(__xludf.DUMMYFUNCTION("""COMPUTED_VALUE"""),"Law")</f>
        <v>Law</v>
      </c>
      <c r="C4412" s="2" t="str">
        <f>IFERROR(__xludf.DUMMYFUNCTION("""COMPUTED_VALUE"""),"Corporate Finance")</f>
        <v>Corporate Finance</v>
      </c>
      <c r="D4412" s="2" t="str">
        <f>IFERROR(__xludf.DUMMYFUNCTION("""COMPUTED_VALUE"""),"Harborpoint House")</f>
        <v>Harborpoint House</v>
      </c>
      <c r="E4412" s="2">
        <f>IFERROR(__xludf.DUMMYFUNCTION("""COMPUTED_VALUE"""),2.41)</f>
        <v>2.41</v>
      </c>
      <c r="F4412" s="2"/>
      <c r="G4412" s="2"/>
      <c r="H4412" s="2"/>
      <c r="I4412" s="2"/>
    </row>
    <row r="4413">
      <c r="A4413" s="2">
        <f>IFERROR(__xludf.DUMMYFUNCTION("""COMPUTED_VALUE"""),113946.0)</f>
        <v>113946</v>
      </c>
      <c r="B4413" s="2" t="str">
        <f>IFERROR(__xludf.DUMMYFUNCTION("""COMPUTED_VALUE"""),"Law")</f>
        <v>Law</v>
      </c>
      <c r="C4413" s="2" t="str">
        <f>IFERROR(__xludf.DUMMYFUNCTION("""COMPUTED_VALUE"""),"Corporate Finance")</f>
        <v>Corporate Finance</v>
      </c>
      <c r="D4413" s="2" t="str">
        <f>IFERROR(__xludf.DUMMYFUNCTION("""COMPUTED_VALUE"""),"Harborpoint House")</f>
        <v>Harborpoint House</v>
      </c>
      <c r="E4413" s="2">
        <f>IFERROR(__xludf.DUMMYFUNCTION("""COMPUTED_VALUE"""),1.77)</f>
        <v>1.77</v>
      </c>
      <c r="F4413" s="2"/>
      <c r="G4413" s="2"/>
      <c r="H4413" s="2"/>
      <c r="I4413" s="2"/>
    </row>
    <row r="4414">
      <c r="A4414" s="2">
        <f>IFERROR(__xludf.DUMMYFUNCTION("""COMPUTED_VALUE"""),12050.0)</f>
        <v>12050</v>
      </c>
      <c r="B4414" s="2" t="str">
        <f>IFERROR(__xludf.DUMMYFUNCTION("""COMPUTED_VALUE"""),"Law")</f>
        <v>Law</v>
      </c>
      <c r="C4414" s="2" t="str">
        <f>IFERROR(__xludf.DUMMYFUNCTION("""COMPUTED_VALUE"""),"Corporate Finance")</f>
        <v>Corporate Finance</v>
      </c>
      <c r="D4414" s="2" t="str">
        <f>IFERROR(__xludf.DUMMYFUNCTION("""COMPUTED_VALUE"""),"Harborpoint House")</f>
        <v>Harborpoint House</v>
      </c>
      <c r="E4414" s="2">
        <f>IFERROR(__xludf.DUMMYFUNCTION("""COMPUTED_VALUE"""),0.71)</f>
        <v>0.71</v>
      </c>
      <c r="F4414" s="2"/>
      <c r="G4414" s="2"/>
      <c r="H4414" s="2"/>
      <c r="I4414" s="2"/>
    </row>
    <row r="4415">
      <c r="A4415" s="2">
        <f>IFERROR(__xludf.DUMMYFUNCTION("""COMPUTED_VALUE"""),104312.0)</f>
        <v>104312</v>
      </c>
      <c r="B4415" s="2" t="str">
        <f>IFERROR(__xludf.DUMMYFUNCTION("""COMPUTED_VALUE"""),"Law")</f>
        <v>Law</v>
      </c>
      <c r="C4415" s="2" t="str">
        <f>IFERROR(__xludf.DUMMYFUNCTION("""COMPUTED_VALUE"""),"Corporate Finance")</f>
        <v>Corporate Finance</v>
      </c>
      <c r="D4415" s="2" t="str">
        <f>IFERROR(__xludf.DUMMYFUNCTION("""COMPUTED_VALUE"""),"Harborpoint House")</f>
        <v>Harborpoint House</v>
      </c>
      <c r="E4415" s="2">
        <f>IFERROR(__xludf.DUMMYFUNCTION("""COMPUTED_VALUE"""),1.25)</f>
        <v>1.25</v>
      </c>
      <c r="F4415" s="2"/>
      <c r="G4415" s="2"/>
      <c r="H4415" s="2"/>
      <c r="I4415" s="2"/>
    </row>
    <row r="4416">
      <c r="A4416" s="2">
        <f>IFERROR(__xludf.DUMMYFUNCTION("""COMPUTED_VALUE"""),121780.0)</f>
        <v>121780</v>
      </c>
      <c r="B4416" s="2" t="str">
        <f>IFERROR(__xludf.DUMMYFUNCTION("""COMPUTED_VALUE"""),"Law")</f>
        <v>Law</v>
      </c>
      <c r="C4416" s="2" t="str">
        <f>IFERROR(__xludf.DUMMYFUNCTION("""COMPUTED_VALUE"""),"Corporate Finance")</f>
        <v>Corporate Finance</v>
      </c>
      <c r="D4416" s="2" t="str">
        <f>IFERROR(__xludf.DUMMYFUNCTION("""COMPUTED_VALUE"""),"Harborpoint House")</f>
        <v>Harborpoint House</v>
      </c>
      <c r="E4416" s="2">
        <f>IFERROR(__xludf.DUMMYFUNCTION("""COMPUTED_VALUE"""),2.25)</f>
        <v>2.25</v>
      </c>
      <c r="F4416" s="2"/>
      <c r="G4416" s="2"/>
      <c r="H4416" s="2"/>
      <c r="I4416" s="2"/>
    </row>
    <row r="4417">
      <c r="A4417" s="2">
        <f>IFERROR(__xludf.DUMMYFUNCTION("""COMPUTED_VALUE"""),88638.0)</f>
        <v>88638</v>
      </c>
      <c r="B4417" s="2" t="str">
        <f>IFERROR(__xludf.DUMMYFUNCTION("""COMPUTED_VALUE"""),"Law")</f>
        <v>Law</v>
      </c>
      <c r="C4417" s="2" t="str">
        <f>IFERROR(__xludf.DUMMYFUNCTION("""COMPUTED_VALUE"""),"Corporate Finance")</f>
        <v>Corporate Finance</v>
      </c>
      <c r="D4417" s="2" t="str">
        <f>IFERROR(__xludf.DUMMYFUNCTION("""COMPUTED_VALUE"""),"Harborpoint House")</f>
        <v>Harborpoint House</v>
      </c>
      <c r="E4417" s="2">
        <f>IFERROR(__xludf.DUMMYFUNCTION("""COMPUTED_VALUE"""),2.9)</f>
        <v>2.9</v>
      </c>
      <c r="F4417" s="2"/>
      <c r="G4417" s="2"/>
      <c r="H4417" s="2"/>
      <c r="I4417" s="2"/>
    </row>
    <row r="4418">
      <c r="A4418" s="2">
        <f>IFERROR(__xludf.DUMMYFUNCTION("""COMPUTED_VALUE"""),70238.0)</f>
        <v>70238</v>
      </c>
      <c r="B4418" s="2" t="str">
        <f>IFERROR(__xludf.DUMMYFUNCTION("""COMPUTED_VALUE"""),"Law")</f>
        <v>Law</v>
      </c>
      <c r="C4418" s="2" t="str">
        <f>IFERROR(__xludf.DUMMYFUNCTION("""COMPUTED_VALUE"""),"Corporate Finance")</f>
        <v>Corporate Finance</v>
      </c>
      <c r="D4418" s="2" t="str">
        <f>IFERROR(__xludf.DUMMYFUNCTION("""COMPUTED_VALUE"""),"Harborpoint House")</f>
        <v>Harborpoint House</v>
      </c>
      <c r="E4418" s="2">
        <f>IFERROR(__xludf.DUMMYFUNCTION("""COMPUTED_VALUE"""),1.71)</f>
        <v>1.71</v>
      </c>
      <c r="F4418" s="2"/>
      <c r="G4418" s="2"/>
      <c r="H4418" s="2"/>
      <c r="I4418" s="2"/>
    </row>
    <row r="4419">
      <c r="A4419" s="2">
        <f>IFERROR(__xludf.DUMMYFUNCTION("""COMPUTED_VALUE"""),121839.0)</f>
        <v>121839</v>
      </c>
      <c r="B4419" s="2" t="str">
        <f>IFERROR(__xludf.DUMMYFUNCTION("""COMPUTED_VALUE"""),"Law")</f>
        <v>Law</v>
      </c>
      <c r="C4419" s="2" t="str">
        <f>IFERROR(__xludf.DUMMYFUNCTION("""COMPUTED_VALUE"""),"Corporate Finance")</f>
        <v>Corporate Finance</v>
      </c>
      <c r="D4419" s="2" t="str">
        <f>IFERROR(__xludf.DUMMYFUNCTION("""COMPUTED_VALUE"""),"Harborpoint House")</f>
        <v>Harborpoint House</v>
      </c>
      <c r="E4419" s="2">
        <f>IFERROR(__xludf.DUMMYFUNCTION("""COMPUTED_VALUE"""),1.15)</f>
        <v>1.15</v>
      </c>
      <c r="F4419" s="2"/>
      <c r="G4419" s="2"/>
      <c r="H4419" s="2"/>
      <c r="I4419" s="2"/>
    </row>
    <row r="4420">
      <c r="A4420" s="2">
        <f>IFERROR(__xludf.DUMMYFUNCTION("""COMPUTED_VALUE"""),77621.0)</f>
        <v>77621</v>
      </c>
      <c r="B4420" s="2" t="str">
        <f>IFERROR(__xludf.DUMMYFUNCTION("""COMPUTED_VALUE"""),"Law")</f>
        <v>Law</v>
      </c>
      <c r="C4420" s="2" t="str">
        <f>IFERROR(__xludf.DUMMYFUNCTION("""COMPUTED_VALUE"""),"Corporate Finance")</f>
        <v>Corporate Finance</v>
      </c>
      <c r="D4420" s="2" t="str">
        <f>IFERROR(__xludf.DUMMYFUNCTION("""COMPUTED_VALUE"""),"Harborpoint House")</f>
        <v>Harborpoint House</v>
      </c>
      <c r="E4420" s="2">
        <f>IFERROR(__xludf.DUMMYFUNCTION("""COMPUTED_VALUE"""),0.81)</f>
        <v>0.81</v>
      </c>
      <c r="F4420" s="2"/>
      <c r="G4420" s="2"/>
      <c r="H4420" s="2"/>
      <c r="I4420" s="2"/>
    </row>
    <row r="4421">
      <c r="A4421" s="2">
        <f>IFERROR(__xludf.DUMMYFUNCTION("""COMPUTED_VALUE"""),121783.0)</f>
        <v>121783</v>
      </c>
      <c r="B4421" s="2" t="str">
        <f>IFERROR(__xludf.DUMMYFUNCTION("""COMPUTED_VALUE"""),"Law")</f>
        <v>Law</v>
      </c>
      <c r="C4421" s="2" t="str">
        <f>IFERROR(__xludf.DUMMYFUNCTION("""COMPUTED_VALUE"""),"Corporate Finance")</f>
        <v>Corporate Finance</v>
      </c>
      <c r="D4421" s="2" t="str">
        <f>IFERROR(__xludf.DUMMYFUNCTION("""COMPUTED_VALUE"""),"Harborpoint House")</f>
        <v>Harborpoint House</v>
      </c>
      <c r="E4421" s="2">
        <f>IFERROR(__xludf.DUMMYFUNCTION("""COMPUTED_VALUE"""),2.75)</f>
        <v>2.75</v>
      </c>
      <c r="F4421" s="2"/>
      <c r="G4421" s="2"/>
      <c r="H4421" s="2"/>
      <c r="I4421" s="2"/>
    </row>
    <row r="4422">
      <c r="A4422" s="2">
        <f>IFERROR(__xludf.DUMMYFUNCTION("""COMPUTED_VALUE"""),75033.0)</f>
        <v>75033</v>
      </c>
      <c r="B4422" s="2" t="str">
        <f>IFERROR(__xludf.DUMMYFUNCTION("""COMPUTED_VALUE"""),"Law")</f>
        <v>Law</v>
      </c>
      <c r="C4422" s="2" t="str">
        <f>IFERROR(__xludf.DUMMYFUNCTION("""COMPUTED_VALUE"""),"Corporate Finance")</f>
        <v>Corporate Finance</v>
      </c>
      <c r="D4422" s="2" t="str">
        <f>IFERROR(__xludf.DUMMYFUNCTION("""COMPUTED_VALUE"""),"Harborpoint House")</f>
        <v>Harborpoint House</v>
      </c>
      <c r="E4422" s="2">
        <f>IFERROR(__xludf.DUMMYFUNCTION("""COMPUTED_VALUE"""),2.62)</f>
        <v>2.62</v>
      </c>
      <c r="F4422" s="2"/>
      <c r="G4422" s="2"/>
      <c r="H4422" s="2"/>
      <c r="I4422" s="2"/>
    </row>
    <row r="4423">
      <c r="A4423" s="2">
        <f>IFERROR(__xludf.DUMMYFUNCTION("""COMPUTED_VALUE"""),12053.0)</f>
        <v>12053</v>
      </c>
      <c r="B4423" s="2" t="str">
        <f>IFERROR(__xludf.DUMMYFUNCTION("""COMPUTED_VALUE"""),"Law")</f>
        <v>Law</v>
      </c>
      <c r="C4423" s="2" t="str">
        <f>IFERROR(__xludf.DUMMYFUNCTION("""COMPUTED_VALUE"""),"Corporate Finance")</f>
        <v>Corporate Finance</v>
      </c>
      <c r="D4423" s="2" t="str">
        <f>IFERROR(__xludf.DUMMYFUNCTION("""COMPUTED_VALUE"""),"Harborpoint House")</f>
        <v>Harborpoint House</v>
      </c>
      <c r="E4423" s="2">
        <f>IFERROR(__xludf.DUMMYFUNCTION("""COMPUTED_VALUE"""),0.72)</f>
        <v>0.72</v>
      </c>
      <c r="F4423" s="2"/>
      <c r="G4423" s="2"/>
      <c r="H4423" s="2"/>
      <c r="I4423" s="2"/>
    </row>
    <row r="4424">
      <c r="A4424" s="2">
        <f>IFERROR(__xludf.DUMMYFUNCTION("""COMPUTED_VALUE"""),113954.0)</f>
        <v>113954</v>
      </c>
      <c r="B4424" s="2" t="str">
        <f>IFERROR(__xludf.DUMMYFUNCTION("""COMPUTED_VALUE"""),"Law")</f>
        <v>Law</v>
      </c>
      <c r="C4424" s="2" t="str">
        <f>IFERROR(__xludf.DUMMYFUNCTION("""COMPUTED_VALUE"""),"Corporate Finance")</f>
        <v>Corporate Finance</v>
      </c>
      <c r="D4424" s="2" t="str">
        <f>IFERROR(__xludf.DUMMYFUNCTION("""COMPUTED_VALUE"""),"Harborpoint House")</f>
        <v>Harborpoint House</v>
      </c>
      <c r="E4424" s="2">
        <f>IFERROR(__xludf.DUMMYFUNCTION("""COMPUTED_VALUE"""),2.01)</f>
        <v>2.01</v>
      </c>
      <c r="F4424" s="2"/>
      <c r="G4424" s="2"/>
      <c r="H4424" s="2"/>
      <c r="I4424" s="2"/>
    </row>
    <row r="4425">
      <c r="A4425" s="2">
        <f>IFERROR(__xludf.DUMMYFUNCTION("""COMPUTED_VALUE"""),5782.0)</f>
        <v>5782</v>
      </c>
      <c r="B4425" s="2" t="str">
        <f>IFERROR(__xludf.DUMMYFUNCTION("""COMPUTED_VALUE"""),"Law")</f>
        <v>Law</v>
      </c>
      <c r="C4425" s="2" t="str">
        <f>IFERROR(__xludf.DUMMYFUNCTION("""COMPUTED_VALUE"""),"Corporate Finance")</f>
        <v>Corporate Finance</v>
      </c>
      <c r="D4425" s="2" t="str">
        <f>IFERROR(__xludf.DUMMYFUNCTION("""COMPUTED_VALUE"""),"Harborpoint House")</f>
        <v>Harborpoint House</v>
      </c>
      <c r="E4425" s="2">
        <f>IFERROR(__xludf.DUMMYFUNCTION("""COMPUTED_VALUE"""),0.6)</f>
        <v>0.6</v>
      </c>
      <c r="F4425" s="2"/>
      <c r="G4425" s="2"/>
      <c r="H4425" s="2"/>
      <c r="I4425" s="2"/>
    </row>
    <row r="4426">
      <c r="A4426" s="2">
        <f>IFERROR(__xludf.DUMMYFUNCTION("""COMPUTED_VALUE"""),107915.0)</f>
        <v>107915</v>
      </c>
      <c r="B4426" s="2" t="str">
        <f>IFERROR(__xludf.DUMMYFUNCTION("""COMPUTED_VALUE"""),"Law")</f>
        <v>Law</v>
      </c>
      <c r="C4426" s="2" t="str">
        <f>IFERROR(__xludf.DUMMYFUNCTION("""COMPUTED_VALUE"""),"Corporate Finance")</f>
        <v>Corporate Finance</v>
      </c>
      <c r="D4426" s="2" t="str">
        <f>IFERROR(__xludf.DUMMYFUNCTION("""COMPUTED_VALUE"""),"Harborpoint House")</f>
        <v>Harborpoint House</v>
      </c>
      <c r="E4426" s="2">
        <f>IFERROR(__xludf.DUMMYFUNCTION("""COMPUTED_VALUE"""),1.86)</f>
        <v>1.86</v>
      </c>
      <c r="F4426" s="2"/>
      <c r="G4426" s="2"/>
      <c r="H4426" s="2"/>
      <c r="I4426" s="2"/>
    </row>
    <row r="4427">
      <c r="A4427" s="2">
        <f>IFERROR(__xludf.DUMMYFUNCTION("""COMPUTED_VALUE"""),68866.0)</f>
        <v>68866</v>
      </c>
      <c r="B4427" s="2" t="str">
        <f>IFERROR(__xludf.DUMMYFUNCTION("""COMPUTED_VALUE"""),"Law")</f>
        <v>Law</v>
      </c>
      <c r="C4427" s="2" t="str">
        <f>IFERROR(__xludf.DUMMYFUNCTION("""COMPUTED_VALUE"""),"Corporate Finance")</f>
        <v>Corporate Finance</v>
      </c>
      <c r="D4427" s="2" t="str">
        <f>IFERROR(__xludf.DUMMYFUNCTION("""COMPUTED_VALUE"""),"Harborpoint House")</f>
        <v>Harborpoint House</v>
      </c>
      <c r="E4427" s="2">
        <f>IFERROR(__xludf.DUMMYFUNCTION("""COMPUTED_VALUE"""),1.87)</f>
        <v>1.87</v>
      </c>
      <c r="F4427" s="2"/>
      <c r="G4427" s="2"/>
      <c r="H4427" s="2"/>
      <c r="I4427" s="2"/>
    </row>
    <row r="4428">
      <c r="A4428" s="2">
        <f>IFERROR(__xludf.DUMMYFUNCTION("""COMPUTED_VALUE"""),121837.0)</f>
        <v>121837</v>
      </c>
      <c r="B4428" s="2" t="str">
        <f>IFERROR(__xludf.DUMMYFUNCTION("""COMPUTED_VALUE"""),"Law")</f>
        <v>Law</v>
      </c>
      <c r="C4428" s="2" t="str">
        <f>IFERROR(__xludf.DUMMYFUNCTION("""COMPUTED_VALUE"""),"Corporate Finance")</f>
        <v>Corporate Finance</v>
      </c>
      <c r="D4428" s="2" t="str">
        <f>IFERROR(__xludf.DUMMYFUNCTION("""COMPUTED_VALUE"""),"Harborpoint House")</f>
        <v>Harborpoint House</v>
      </c>
      <c r="E4428" s="2">
        <f>IFERROR(__xludf.DUMMYFUNCTION("""COMPUTED_VALUE"""),2.54)</f>
        <v>2.54</v>
      </c>
      <c r="F4428" s="2"/>
      <c r="G4428" s="2"/>
      <c r="H4428" s="2"/>
      <c r="I4428" s="2"/>
    </row>
    <row r="4429">
      <c r="A4429" s="2">
        <f>IFERROR(__xludf.DUMMYFUNCTION("""COMPUTED_VALUE"""),121840.0)</f>
        <v>121840</v>
      </c>
      <c r="B4429" s="2" t="str">
        <f>IFERROR(__xludf.DUMMYFUNCTION("""COMPUTED_VALUE"""),"Law")</f>
        <v>Law</v>
      </c>
      <c r="C4429" s="2" t="str">
        <f>IFERROR(__xludf.DUMMYFUNCTION("""COMPUTED_VALUE"""),"Corporate Finance")</f>
        <v>Corporate Finance</v>
      </c>
      <c r="D4429" s="2" t="str">
        <f>IFERROR(__xludf.DUMMYFUNCTION("""COMPUTED_VALUE"""),"Harborpoint House")</f>
        <v>Harborpoint House</v>
      </c>
      <c r="E4429" s="2">
        <f>IFERROR(__xludf.DUMMYFUNCTION("""COMPUTED_VALUE"""),1.24)</f>
        <v>1.24</v>
      </c>
      <c r="F4429" s="2"/>
      <c r="G4429" s="2"/>
      <c r="H4429" s="2"/>
      <c r="I4429" s="2"/>
    </row>
    <row r="4430">
      <c r="A4430" s="2">
        <f>IFERROR(__xludf.DUMMYFUNCTION("""COMPUTED_VALUE"""),90979.0)</f>
        <v>90979</v>
      </c>
      <c r="B4430" s="2" t="str">
        <f>IFERROR(__xludf.DUMMYFUNCTION("""COMPUTED_VALUE"""),"Law")</f>
        <v>Law</v>
      </c>
      <c r="C4430" s="2" t="str">
        <f>IFERROR(__xludf.DUMMYFUNCTION("""COMPUTED_VALUE"""),"Corporate Finance")</f>
        <v>Corporate Finance</v>
      </c>
      <c r="D4430" s="2" t="str">
        <f>IFERROR(__xludf.DUMMYFUNCTION("""COMPUTED_VALUE"""),"Harborpoint House")</f>
        <v>Harborpoint House</v>
      </c>
      <c r="E4430" s="2">
        <f>IFERROR(__xludf.DUMMYFUNCTION("""COMPUTED_VALUE"""),3.29)</f>
        <v>3.29</v>
      </c>
      <c r="F4430" s="2"/>
      <c r="G4430" s="2"/>
      <c r="H4430" s="2"/>
      <c r="I4430" s="2"/>
    </row>
    <row r="4431">
      <c r="A4431" s="2">
        <f>IFERROR(__xludf.DUMMYFUNCTION("""COMPUTED_VALUE"""),114350.0)</f>
        <v>114350</v>
      </c>
      <c r="B4431" s="2" t="str">
        <f>IFERROR(__xludf.DUMMYFUNCTION("""COMPUTED_VALUE"""),"Law")</f>
        <v>Law</v>
      </c>
      <c r="C4431" s="2" t="str">
        <f>IFERROR(__xludf.DUMMYFUNCTION("""COMPUTED_VALUE"""),"Corporate Finance")</f>
        <v>Corporate Finance</v>
      </c>
      <c r="D4431" s="2" t="str">
        <f>IFERROR(__xludf.DUMMYFUNCTION("""COMPUTED_VALUE"""),"Harborpoint House")</f>
        <v>Harborpoint House</v>
      </c>
      <c r="E4431" s="2">
        <f>IFERROR(__xludf.DUMMYFUNCTION("""COMPUTED_VALUE"""),2.88)</f>
        <v>2.88</v>
      </c>
      <c r="F4431" s="2"/>
      <c r="G4431" s="2"/>
      <c r="H4431" s="2"/>
      <c r="I4431" s="2"/>
    </row>
    <row r="4432">
      <c r="A4432" s="2">
        <f>IFERROR(__xludf.DUMMYFUNCTION("""COMPUTED_VALUE"""),47539.0)</f>
        <v>47539</v>
      </c>
      <c r="B4432" s="2" t="str">
        <f>IFERROR(__xludf.DUMMYFUNCTION("""COMPUTED_VALUE"""),"Law")</f>
        <v>Law</v>
      </c>
      <c r="C4432" s="2" t="str">
        <f>IFERROR(__xludf.DUMMYFUNCTION("""COMPUTED_VALUE"""),"Corporate Finance")</f>
        <v>Corporate Finance</v>
      </c>
      <c r="D4432" s="2" t="str">
        <f>IFERROR(__xludf.DUMMYFUNCTION("""COMPUTED_VALUE"""),"Harborpoint House")</f>
        <v>Harborpoint House</v>
      </c>
      <c r="E4432" s="2">
        <f>IFERROR(__xludf.DUMMYFUNCTION("""COMPUTED_VALUE"""),1.89)</f>
        <v>1.89</v>
      </c>
      <c r="F4432" s="2"/>
      <c r="G4432" s="2"/>
      <c r="H4432" s="2"/>
      <c r="I4432" s="2"/>
    </row>
    <row r="4433">
      <c r="A4433" s="2">
        <f>IFERROR(__xludf.DUMMYFUNCTION("""COMPUTED_VALUE"""),83948.0)</f>
        <v>83948</v>
      </c>
      <c r="B4433" s="2" t="str">
        <f>IFERROR(__xludf.DUMMYFUNCTION("""COMPUTED_VALUE"""),"Law")</f>
        <v>Law</v>
      </c>
      <c r="C4433" s="2" t="str">
        <f>IFERROR(__xludf.DUMMYFUNCTION("""COMPUTED_VALUE"""),"Corporate Finance")</f>
        <v>Corporate Finance</v>
      </c>
      <c r="D4433" s="2" t="str">
        <f>IFERROR(__xludf.DUMMYFUNCTION("""COMPUTED_VALUE"""),"Harborpoint House")</f>
        <v>Harborpoint House</v>
      </c>
      <c r="E4433" s="2">
        <f>IFERROR(__xludf.DUMMYFUNCTION("""COMPUTED_VALUE"""),1.15)</f>
        <v>1.15</v>
      </c>
      <c r="F4433" s="2"/>
      <c r="G4433" s="2"/>
      <c r="H4433" s="2"/>
      <c r="I4433" s="2"/>
    </row>
    <row r="4434">
      <c r="A4434" s="2">
        <f>IFERROR(__xludf.DUMMYFUNCTION("""COMPUTED_VALUE"""),17139.0)</f>
        <v>17139</v>
      </c>
      <c r="B4434" s="2" t="str">
        <f>IFERROR(__xludf.DUMMYFUNCTION("""COMPUTED_VALUE"""),"Law")</f>
        <v>Law</v>
      </c>
      <c r="C4434" s="2" t="str">
        <f>IFERROR(__xludf.DUMMYFUNCTION("""COMPUTED_VALUE"""),"Corporate Finance")</f>
        <v>Corporate Finance</v>
      </c>
      <c r="D4434" s="2" t="str">
        <f>IFERROR(__xludf.DUMMYFUNCTION("""COMPUTED_VALUE"""),"Harborpoint House")</f>
        <v>Harborpoint House</v>
      </c>
      <c r="E4434" s="2">
        <f>IFERROR(__xludf.DUMMYFUNCTION("""COMPUTED_VALUE"""),0.98)</f>
        <v>0.98</v>
      </c>
      <c r="F4434" s="2"/>
      <c r="G4434" s="2"/>
      <c r="H4434" s="2"/>
      <c r="I4434" s="2"/>
    </row>
    <row r="4435">
      <c r="A4435" s="2">
        <f>IFERROR(__xludf.DUMMYFUNCTION("""COMPUTED_VALUE"""),12051.0)</f>
        <v>12051</v>
      </c>
      <c r="B4435" s="2" t="str">
        <f>IFERROR(__xludf.DUMMYFUNCTION("""COMPUTED_VALUE"""),"Law")</f>
        <v>Law</v>
      </c>
      <c r="C4435" s="2" t="str">
        <f>IFERROR(__xludf.DUMMYFUNCTION("""COMPUTED_VALUE"""),"Corporate Finance")</f>
        <v>Corporate Finance</v>
      </c>
      <c r="D4435" s="2" t="str">
        <f>IFERROR(__xludf.DUMMYFUNCTION("""COMPUTED_VALUE"""),"Harborpoint House")</f>
        <v>Harborpoint House</v>
      </c>
      <c r="E4435" s="2">
        <f>IFERROR(__xludf.DUMMYFUNCTION("""COMPUTED_VALUE"""),0.78)</f>
        <v>0.78</v>
      </c>
      <c r="F4435" s="2"/>
      <c r="G4435" s="2"/>
      <c r="H4435" s="2"/>
      <c r="I4435" s="2"/>
    </row>
    <row r="4436">
      <c r="A4436" s="2">
        <f>IFERROR(__xludf.DUMMYFUNCTION("""COMPUTED_VALUE"""),12052.0)</f>
        <v>12052</v>
      </c>
      <c r="B4436" s="2" t="str">
        <f>IFERROR(__xludf.DUMMYFUNCTION("""COMPUTED_VALUE"""),"Law")</f>
        <v>Law</v>
      </c>
      <c r="C4436" s="2" t="str">
        <f>IFERROR(__xludf.DUMMYFUNCTION("""COMPUTED_VALUE"""),"Corporate Finance")</f>
        <v>Corporate Finance</v>
      </c>
      <c r="D4436" s="2" t="str">
        <f>IFERROR(__xludf.DUMMYFUNCTION("""COMPUTED_VALUE"""),"Harborpoint House")</f>
        <v>Harborpoint House</v>
      </c>
      <c r="E4436" s="2">
        <f>IFERROR(__xludf.DUMMYFUNCTION("""COMPUTED_VALUE"""),0.95)</f>
        <v>0.95</v>
      </c>
      <c r="F4436" s="2"/>
      <c r="G4436" s="2"/>
      <c r="H4436" s="2"/>
      <c r="I4436" s="2"/>
    </row>
    <row r="4437">
      <c r="A4437" s="2">
        <f>IFERROR(__xludf.DUMMYFUNCTION("""COMPUTED_VALUE"""),121838.0)</f>
        <v>121838</v>
      </c>
      <c r="B4437" s="2" t="str">
        <f>IFERROR(__xludf.DUMMYFUNCTION("""COMPUTED_VALUE"""),"Law")</f>
        <v>Law</v>
      </c>
      <c r="C4437" s="2" t="str">
        <f>IFERROR(__xludf.DUMMYFUNCTION("""COMPUTED_VALUE"""),"Corporate Finance")</f>
        <v>Corporate Finance</v>
      </c>
      <c r="D4437" s="2" t="str">
        <f>IFERROR(__xludf.DUMMYFUNCTION("""COMPUTED_VALUE"""),"Harborpoint House")</f>
        <v>Harborpoint House</v>
      </c>
      <c r="E4437" s="2">
        <f>IFERROR(__xludf.DUMMYFUNCTION("""COMPUTED_VALUE"""),2.66)</f>
        <v>2.66</v>
      </c>
      <c r="F4437" s="2"/>
      <c r="G4437" s="2"/>
      <c r="H4437" s="2"/>
      <c r="I4437" s="2"/>
    </row>
    <row r="4438">
      <c r="A4438" s="2">
        <f>IFERROR(__xludf.DUMMYFUNCTION("""COMPUTED_VALUE"""),107917.0)</f>
        <v>107917</v>
      </c>
      <c r="B4438" s="2" t="str">
        <f>IFERROR(__xludf.DUMMYFUNCTION("""COMPUTED_VALUE"""),"Law")</f>
        <v>Law</v>
      </c>
      <c r="C4438" s="2" t="str">
        <f>IFERROR(__xludf.DUMMYFUNCTION("""COMPUTED_VALUE"""),"Corporate Finance")</f>
        <v>Corporate Finance</v>
      </c>
      <c r="D4438" s="2" t="str">
        <f>IFERROR(__xludf.DUMMYFUNCTION("""COMPUTED_VALUE"""),"Harborpoint House")</f>
        <v>Harborpoint House</v>
      </c>
      <c r="E4438" s="2">
        <f>IFERROR(__xludf.DUMMYFUNCTION("""COMPUTED_VALUE"""),1.11)</f>
        <v>1.11</v>
      </c>
      <c r="F4438" s="2"/>
      <c r="G4438" s="2"/>
      <c r="H4438" s="2"/>
      <c r="I4438" s="2"/>
    </row>
    <row r="4439">
      <c r="A4439" s="2">
        <f>IFERROR(__xludf.DUMMYFUNCTION("""COMPUTED_VALUE"""),5779.0)</f>
        <v>5779</v>
      </c>
      <c r="B4439" s="2" t="str">
        <f>IFERROR(__xludf.DUMMYFUNCTION("""COMPUTED_VALUE"""),"Law")</f>
        <v>Law</v>
      </c>
      <c r="C4439" s="2" t="str">
        <f>IFERROR(__xludf.DUMMYFUNCTION("""COMPUTED_VALUE"""),"Corporate Finance")</f>
        <v>Corporate Finance</v>
      </c>
      <c r="D4439" s="2" t="str">
        <f>IFERROR(__xludf.DUMMYFUNCTION("""COMPUTED_VALUE"""),"Harborpoint House")</f>
        <v>Harborpoint House</v>
      </c>
      <c r="E4439" s="2">
        <f>IFERROR(__xludf.DUMMYFUNCTION("""COMPUTED_VALUE"""),0.62)</f>
        <v>0.62</v>
      </c>
      <c r="F4439" s="2"/>
      <c r="G4439" s="2"/>
      <c r="H4439" s="2"/>
      <c r="I4439" s="2"/>
    </row>
    <row r="4440">
      <c r="A4440" s="2">
        <f>IFERROR(__xludf.DUMMYFUNCTION("""COMPUTED_VALUE"""),120303.0)</f>
        <v>120303</v>
      </c>
      <c r="B4440" s="2" t="str">
        <f>IFERROR(__xludf.DUMMYFUNCTION("""COMPUTED_VALUE"""),"Law")</f>
        <v>Law</v>
      </c>
      <c r="C4440" s="2" t="str">
        <f>IFERROR(__xludf.DUMMYFUNCTION("""COMPUTED_VALUE"""),"Corporate Finance")</f>
        <v>Corporate Finance</v>
      </c>
      <c r="D4440" s="2" t="str">
        <f>IFERROR(__xludf.DUMMYFUNCTION("""COMPUTED_VALUE"""),"Harborpoint House")</f>
        <v>Harborpoint House</v>
      </c>
      <c r="E4440" s="2">
        <f>IFERROR(__xludf.DUMMYFUNCTION("""COMPUTED_VALUE"""),2.21)</f>
        <v>2.21</v>
      </c>
      <c r="F4440" s="2"/>
      <c r="G4440" s="2"/>
      <c r="H4440" s="2"/>
      <c r="I4440" s="2"/>
    </row>
    <row r="4441">
      <c r="A4441" s="2">
        <f>IFERROR(__xludf.DUMMYFUNCTION("""COMPUTED_VALUE"""),121784.0)</f>
        <v>121784</v>
      </c>
      <c r="B4441" s="2" t="str">
        <f>IFERROR(__xludf.DUMMYFUNCTION("""COMPUTED_VALUE"""),"Law")</f>
        <v>Law</v>
      </c>
      <c r="C4441" s="2" t="str">
        <f>IFERROR(__xludf.DUMMYFUNCTION("""COMPUTED_VALUE"""),"Corporate Finance")</f>
        <v>Corporate Finance</v>
      </c>
      <c r="D4441" s="2" t="str">
        <f>IFERROR(__xludf.DUMMYFUNCTION("""COMPUTED_VALUE"""),"Harborpoint House")</f>
        <v>Harborpoint House</v>
      </c>
      <c r="E4441" s="2">
        <f>IFERROR(__xludf.DUMMYFUNCTION("""COMPUTED_VALUE"""),2.04)</f>
        <v>2.04</v>
      </c>
      <c r="F4441" s="2"/>
      <c r="G4441" s="2"/>
      <c r="H4441" s="2"/>
      <c r="I4441" s="2"/>
    </row>
    <row r="4442">
      <c r="A4442" s="2">
        <f>IFERROR(__xludf.DUMMYFUNCTION("""COMPUTED_VALUE"""),107913.0)</f>
        <v>107913</v>
      </c>
      <c r="B4442" s="2" t="str">
        <f>IFERROR(__xludf.DUMMYFUNCTION("""COMPUTED_VALUE"""),"Law")</f>
        <v>Law</v>
      </c>
      <c r="C4442" s="2" t="str">
        <f>IFERROR(__xludf.DUMMYFUNCTION("""COMPUTED_VALUE"""),"Corporate Finance")</f>
        <v>Corporate Finance</v>
      </c>
      <c r="D4442" s="2" t="str">
        <f>IFERROR(__xludf.DUMMYFUNCTION("""COMPUTED_VALUE"""),"Harborpoint House")</f>
        <v>Harborpoint House</v>
      </c>
      <c r="E4442" s="2">
        <f>IFERROR(__xludf.DUMMYFUNCTION("""COMPUTED_VALUE"""),1.57)</f>
        <v>1.57</v>
      </c>
      <c r="F4442" s="2"/>
      <c r="G4442" s="2"/>
      <c r="H4442" s="2"/>
      <c r="I4442" s="2"/>
    </row>
    <row r="4443">
      <c r="A4443" s="2">
        <f>IFERROR(__xludf.DUMMYFUNCTION("""COMPUTED_VALUE"""),58759.0)</f>
        <v>58759</v>
      </c>
      <c r="B4443" s="2" t="str">
        <f>IFERROR(__xludf.DUMMYFUNCTION("""COMPUTED_VALUE"""),"Law")</f>
        <v>Law</v>
      </c>
      <c r="C4443" s="2" t="str">
        <f>IFERROR(__xludf.DUMMYFUNCTION("""COMPUTED_VALUE"""),"Corporate Finance")</f>
        <v>Corporate Finance</v>
      </c>
      <c r="D4443" s="2" t="str">
        <f>IFERROR(__xludf.DUMMYFUNCTION("""COMPUTED_VALUE"""),"Harborpoint House")</f>
        <v>Harborpoint House</v>
      </c>
      <c r="E4443" s="2">
        <f>IFERROR(__xludf.DUMMYFUNCTION("""COMPUTED_VALUE"""),0.6)</f>
        <v>0.6</v>
      </c>
      <c r="F4443" s="2"/>
      <c r="G4443" s="2"/>
      <c r="H4443" s="2"/>
      <c r="I4443" s="2"/>
    </row>
    <row r="4444">
      <c r="A4444" s="2">
        <f>IFERROR(__xludf.DUMMYFUNCTION("""COMPUTED_VALUE"""),158697.0)</f>
        <v>158697</v>
      </c>
      <c r="B4444" s="2" t="str">
        <f>IFERROR(__xludf.DUMMYFUNCTION("""COMPUTED_VALUE"""),"Law")</f>
        <v>Law</v>
      </c>
      <c r="C4444" s="2" t="str">
        <f>IFERROR(__xludf.DUMMYFUNCTION("""COMPUTED_VALUE"""),"Corporate Finance")</f>
        <v>Corporate Finance</v>
      </c>
      <c r="D4444" s="2" t="str">
        <f>IFERROR(__xludf.DUMMYFUNCTION("""COMPUTED_VALUE"""),"Harborpoint House")</f>
        <v>Harborpoint House</v>
      </c>
      <c r="E4444" s="2">
        <f>IFERROR(__xludf.DUMMYFUNCTION("""COMPUTED_VALUE"""),2.5)</f>
        <v>2.5</v>
      </c>
      <c r="F4444" s="2"/>
      <c r="G4444" s="2"/>
      <c r="H4444" s="2"/>
      <c r="I4444" s="2"/>
    </row>
    <row r="4445">
      <c r="A4445" s="2">
        <f>IFERROR(__xludf.DUMMYFUNCTION("""COMPUTED_VALUE"""),87160.0)</f>
        <v>87160</v>
      </c>
      <c r="B4445" s="2" t="str">
        <f>IFERROR(__xludf.DUMMYFUNCTION("""COMPUTED_VALUE"""),"Law")</f>
        <v>Law</v>
      </c>
      <c r="C4445" s="2" t="str">
        <f>IFERROR(__xludf.DUMMYFUNCTION("""COMPUTED_VALUE"""),"Corporate Finance")</f>
        <v>Corporate Finance</v>
      </c>
      <c r="D4445" s="2" t="str">
        <f>IFERROR(__xludf.DUMMYFUNCTION("""COMPUTED_VALUE"""),"Cedarpoint House")</f>
        <v>Cedarpoint House</v>
      </c>
      <c r="E4445" s="2">
        <f>IFERROR(__xludf.DUMMYFUNCTION("""COMPUTED_VALUE"""),1.51)</f>
        <v>1.51</v>
      </c>
      <c r="F4445" s="2"/>
      <c r="G4445" s="2"/>
      <c r="H4445" s="2"/>
      <c r="I4445" s="2"/>
    </row>
    <row r="4446">
      <c r="A4446" s="2">
        <f>IFERROR(__xludf.DUMMYFUNCTION("""COMPUTED_VALUE"""),88694.0)</f>
        <v>88694</v>
      </c>
      <c r="B4446" s="2" t="str">
        <f>IFERROR(__xludf.DUMMYFUNCTION("""COMPUTED_VALUE"""),"Law")</f>
        <v>Law</v>
      </c>
      <c r="C4446" s="2" t="str">
        <f>IFERROR(__xludf.DUMMYFUNCTION("""COMPUTED_VALUE"""),"Corporate Finance")</f>
        <v>Corporate Finance</v>
      </c>
      <c r="D4446" s="2" t="str">
        <f>IFERROR(__xludf.DUMMYFUNCTION("""COMPUTED_VALUE"""),"Cedarpoint House")</f>
        <v>Cedarpoint House</v>
      </c>
      <c r="E4446" s="2">
        <f>IFERROR(__xludf.DUMMYFUNCTION("""COMPUTED_VALUE"""),1.91)</f>
        <v>1.91</v>
      </c>
      <c r="F4446" s="2"/>
      <c r="G4446" s="2"/>
      <c r="H4446" s="2"/>
      <c r="I4446" s="2"/>
    </row>
    <row r="4447">
      <c r="A4447" s="2">
        <f>IFERROR(__xludf.DUMMYFUNCTION("""COMPUTED_VALUE"""),120393.0)</f>
        <v>120393</v>
      </c>
      <c r="B4447" s="2" t="str">
        <f>IFERROR(__xludf.DUMMYFUNCTION("""COMPUTED_VALUE"""),"Law")</f>
        <v>Law</v>
      </c>
      <c r="C4447" s="2" t="str">
        <f>IFERROR(__xludf.DUMMYFUNCTION("""COMPUTED_VALUE"""),"Corporate Finance")</f>
        <v>Corporate Finance</v>
      </c>
      <c r="D4447" s="2" t="str">
        <f>IFERROR(__xludf.DUMMYFUNCTION("""COMPUTED_VALUE"""),"Cedarpoint House")</f>
        <v>Cedarpoint House</v>
      </c>
      <c r="E4447" s="2">
        <f>IFERROR(__xludf.DUMMYFUNCTION("""COMPUTED_VALUE"""),1.71)</f>
        <v>1.71</v>
      </c>
      <c r="F4447" s="2"/>
      <c r="G4447" s="2"/>
      <c r="H4447" s="2"/>
      <c r="I4447" s="2"/>
    </row>
    <row r="4448">
      <c r="A4448" s="2">
        <f>IFERROR(__xludf.DUMMYFUNCTION("""COMPUTED_VALUE"""),89581.0)</f>
        <v>89581</v>
      </c>
      <c r="B4448" s="2" t="str">
        <f>IFERROR(__xludf.DUMMYFUNCTION("""COMPUTED_VALUE"""),"Law")</f>
        <v>Law</v>
      </c>
      <c r="C4448" s="2" t="str">
        <f>IFERROR(__xludf.DUMMYFUNCTION("""COMPUTED_VALUE"""),"Corporate Finance")</f>
        <v>Corporate Finance</v>
      </c>
      <c r="D4448" s="2" t="str">
        <f>IFERROR(__xludf.DUMMYFUNCTION("""COMPUTED_VALUE"""),"Cedarpoint House")</f>
        <v>Cedarpoint House</v>
      </c>
      <c r="E4448" s="2">
        <f>IFERROR(__xludf.DUMMYFUNCTION("""COMPUTED_VALUE"""),2.01)</f>
        <v>2.01</v>
      </c>
      <c r="F4448" s="2"/>
      <c r="G4448" s="2"/>
      <c r="H4448" s="2"/>
      <c r="I4448" s="2"/>
    </row>
    <row r="4449">
      <c r="A4449" s="2">
        <f>IFERROR(__xludf.DUMMYFUNCTION("""COMPUTED_VALUE"""),6514.0)</f>
        <v>6514</v>
      </c>
      <c r="B4449" s="2" t="str">
        <f>IFERROR(__xludf.DUMMYFUNCTION("""COMPUTED_VALUE"""),"Law")</f>
        <v>Law</v>
      </c>
      <c r="C4449" s="2" t="str">
        <f>IFERROR(__xludf.DUMMYFUNCTION("""COMPUTED_VALUE"""),"Corporate Finance")</f>
        <v>Corporate Finance</v>
      </c>
      <c r="D4449" s="2" t="str">
        <f>IFERROR(__xludf.DUMMYFUNCTION("""COMPUTED_VALUE"""),"Cedarpoint House")</f>
        <v>Cedarpoint House</v>
      </c>
      <c r="E4449" s="2">
        <f>IFERROR(__xludf.DUMMYFUNCTION("""COMPUTED_VALUE"""),1.66)</f>
        <v>1.66</v>
      </c>
      <c r="F4449" s="2"/>
      <c r="G4449" s="2"/>
      <c r="H4449" s="2"/>
      <c r="I4449" s="2"/>
    </row>
    <row r="4450">
      <c r="A4450" s="2">
        <f>IFERROR(__xludf.DUMMYFUNCTION("""COMPUTED_VALUE"""),105340.0)</f>
        <v>105340</v>
      </c>
      <c r="B4450" s="2" t="str">
        <f>IFERROR(__xludf.DUMMYFUNCTION("""COMPUTED_VALUE"""),"Law")</f>
        <v>Law</v>
      </c>
      <c r="C4450" s="2" t="str">
        <f>IFERROR(__xludf.DUMMYFUNCTION("""COMPUTED_VALUE"""),"Corporate Finance")</f>
        <v>Corporate Finance</v>
      </c>
      <c r="D4450" s="2" t="str">
        <f>IFERROR(__xludf.DUMMYFUNCTION("""COMPUTED_VALUE"""),"Brightpoint House")</f>
        <v>Brightpoint House</v>
      </c>
      <c r="E4450" s="2">
        <f>IFERROR(__xludf.DUMMYFUNCTION("""COMPUTED_VALUE"""),4.09)</f>
        <v>4.09</v>
      </c>
      <c r="F4450" s="2"/>
      <c r="G4450" s="2"/>
      <c r="H4450" s="2"/>
      <c r="I4450" s="2"/>
    </row>
    <row r="4451">
      <c r="A4451" s="2">
        <f>IFERROR(__xludf.DUMMYFUNCTION("""COMPUTED_VALUE"""),120865.0)</f>
        <v>120865</v>
      </c>
      <c r="B4451" s="2" t="str">
        <f>IFERROR(__xludf.DUMMYFUNCTION("""COMPUTED_VALUE"""),"Law")</f>
        <v>Law</v>
      </c>
      <c r="C4451" s="2" t="str">
        <f>IFERROR(__xludf.DUMMYFUNCTION("""COMPUTED_VALUE"""),"Corporate Finance")</f>
        <v>Corporate Finance</v>
      </c>
      <c r="D4451" s="2" t="str">
        <f>IFERROR(__xludf.DUMMYFUNCTION("""COMPUTED_VALUE"""),"Brightpoint House")</f>
        <v>Brightpoint House</v>
      </c>
      <c r="E4451" s="2">
        <f>IFERROR(__xludf.DUMMYFUNCTION("""COMPUTED_VALUE"""),2.58)</f>
        <v>2.58</v>
      </c>
      <c r="F4451" s="2"/>
      <c r="G4451" s="2"/>
      <c r="H4451" s="2"/>
      <c r="I4451" s="2"/>
    </row>
    <row r="4452">
      <c r="A4452" s="2">
        <f>IFERROR(__xludf.DUMMYFUNCTION("""COMPUTED_VALUE"""),110078.0)</f>
        <v>110078</v>
      </c>
      <c r="B4452" s="2" t="str">
        <f>IFERROR(__xludf.DUMMYFUNCTION("""COMPUTED_VALUE"""),"Law")</f>
        <v>Law</v>
      </c>
      <c r="C4452" s="2" t="str">
        <f>IFERROR(__xludf.DUMMYFUNCTION("""COMPUTED_VALUE"""),"Corporate Finance")</f>
        <v>Corporate Finance</v>
      </c>
      <c r="D4452" s="2" t="str">
        <f>IFERROR(__xludf.DUMMYFUNCTION("""COMPUTED_VALUE"""),"Brightpoint House")</f>
        <v>Brightpoint House</v>
      </c>
      <c r="E4452" s="2">
        <f>IFERROR(__xludf.DUMMYFUNCTION("""COMPUTED_VALUE"""),3.85)</f>
        <v>3.85</v>
      </c>
      <c r="F4452" s="2"/>
      <c r="G4452" s="2"/>
      <c r="H4452" s="2"/>
      <c r="I4452" s="2"/>
    </row>
    <row r="4453">
      <c r="A4453" s="2">
        <f>IFERROR(__xludf.DUMMYFUNCTION("""COMPUTED_VALUE"""),122343.0)</f>
        <v>122343</v>
      </c>
      <c r="B4453" s="2" t="str">
        <f>IFERROR(__xludf.DUMMYFUNCTION("""COMPUTED_VALUE"""),"Law")</f>
        <v>Law</v>
      </c>
      <c r="C4453" s="2" t="str">
        <f>IFERROR(__xludf.DUMMYFUNCTION("""COMPUTED_VALUE"""),"Corporate Finance")</f>
        <v>Corporate Finance</v>
      </c>
      <c r="D4453" s="2" t="str">
        <f>IFERROR(__xludf.DUMMYFUNCTION("""COMPUTED_VALUE"""),"Brightpoint House")</f>
        <v>Brightpoint House</v>
      </c>
      <c r="E4453" s="2">
        <f>IFERROR(__xludf.DUMMYFUNCTION("""COMPUTED_VALUE"""),3.96)</f>
        <v>3.96</v>
      </c>
      <c r="F4453" s="2"/>
      <c r="G4453" s="2"/>
      <c r="H4453" s="2"/>
      <c r="I4453" s="2"/>
    </row>
    <row r="4454">
      <c r="A4454" s="2">
        <f>IFERROR(__xludf.DUMMYFUNCTION("""COMPUTED_VALUE"""),12296.0)</f>
        <v>12296</v>
      </c>
      <c r="B4454" s="2" t="str">
        <f>IFERROR(__xludf.DUMMYFUNCTION("""COMPUTED_VALUE"""),"Law")</f>
        <v>Law</v>
      </c>
      <c r="C4454" s="2" t="str">
        <f>IFERROR(__xludf.DUMMYFUNCTION("""COMPUTED_VALUE"""),"Corporate Finance")</f>
        <v>Corporate Finance</v>
      </c>
      <c r="D4454" s="2" t="str">
        <f>IFERROR(__xludf.DUMMYFUNCTION("""COMPUTED_VALUE"""),"Brightpoint House")</f>
        <v>Brightpoint House</v>
      </c>
      <c r="E4454" s="2">
        <f>IFERROR(__xludf.DUMMYFUNCTION("""COMPUTED_VALUE"""),1.7)</f>
        <v>1.7</v>
      </c>
      <c r="F4454" s="2"/>
      <c r="G4454" s="2"/>
      <c r="H4454" s="2"/>
      <c r="I4454" s="2"/>
    </row>
    <row r="4455">
      <c r="A4455" s="2">
        <f>IFERROR(__xludf.DUMMYFUNCTION("""COMPUTED_VALUE"""),96952.0)</f>
        <v>96952</v>
      </c>
      <c r="B4455" s="2" t="str">
        <f>IFERROR(__xludf.DUMMYFUNCTION("""COMPUTED_VALUE"""),"Law")</f>
        <v>Law</v>
      </c>
      <c r="C4455" s="2" t="str">
        <f>IFERROR(__xludf.DUMMYFUNCTION("""COMPUTED_VALUE"""),"Corporate Finance")</f>
        <v>Corporate Finance</v>
      </c>
      <c r="D4455" s="2" t="str">
        <f>IFERROR(__xludf.DUMMYFUNCTION("""COMPUTED_VALUE"""),"Brightpoint House")</f>
        <v>Brightpoint House</v>
      </c>
      <c r="E4455" s="2">
        <f>IFERROR(__xludf.DUMMYFUNCTION("""COMPUTED_VALUE"""),1.59)</f>
        <v>1.59</v>
      </c>
      <c r="F4455" s="2"/>
      <c r="G4455" s="2"/>
      <c r="H4455" s="2"/>
      <c r="I4455" s="2"/>
    </row>
    <row r="4456">
      <c r="A4456" s="2">
        <f>IFERROR(__xludf.DUMMYFUNCTION("""COMPUTED_VALUE"""),82193.0)</f>
        <v>82193</v>
      </c>
      <c r="B4456" s="2" t="str">
        <f>IFERROR(__xludf.DUMMYFUNCTION("""COMPUTED_VALUE"""),"Law")</f>
        <v>Law</v>
      </c>
      <c r="C4456" s="2" t="str">
        <f>IFERROR(__xludf.DUMMYFUNCTION("""COMPUTED_VALUE"""),"Corporate Finance")</f>
        <v>Corporate Finance</v>
      </c>
      <c r="D4456" s="2" t="str">
        <f>IFERROR(__xludf.DUMMYFUNCTION("""COMPUTED_VALUE"""),"Brightpoint House")</f>
        <v>Brightpoint House</v>
      </c>
      <c r="E4456" s="2">
        <f>IFERROR(__xludf.DUMMYFUNCTION("""COMPUTED_VALUE"""),3.77)</f>
        <v>3.77</v>
      </c>
      <c r="F4456" s="2"/>
      <c r="G4456" s="2"/>
      <c r="H4456" s="2"/>
      <c r="I4456" s="2"/>
    </row>
    <row r="4457">
      <c r="A4457" s="2">
        <f>IFERROR(__xludf.DUMMYFUNCTION("""COMPUTED_VALUE"""),89802.0)</f>
        <v>89802</v>
      </c>
      <c r="B4457" s="2" t="str">
        <f>IFERROR(__xludf.DUMMYFUNCTION("""COMPUTED_VALUE"""),"Law")</f>
        <v>Law</v>
      </c>
      <c r="C4457" s="2" t="str">
        <f>IFERROR(__xludf.DUMMYFUNCTION("""COMPUTED_VALUE"""),"Corporate Finance")</f>
        <v>Corporate Finance</v>
      </c>
      <c r="D4457" s="2" t="str">
        <f>IFERROR(__xludf.DUMMYFUNCTION("""COMPUTED_VALUE"""),"Brightpoint House")</f>
        <v>Brightpoint House</v>
      </c>
      <c r="E4457" s="2">
        <f>IFERROR(__xludf.DUMMYFUNCTION("""COMPUTED_VALUE"""),3.27)</f>
        <v>3.27</v>
      </c>
      <c r="F4457" s="2"/>
      <c r="G4457" s="2"/>
      <c r="H4457" s="2"/>
      <c r="I4457" s="2"/>
    </row>
    <row r="4458">
      <c r="A4458" s="2">
        <f>IFERROR(__xludf.DUMMYFUNCTION("""COMPUTED_VALUE"""),87044.0)</f>
        <v>87044</v>
      </c>
      <c r="B4458" s="2" t="str">
        <f>IFERROR(__xludf.DUMMYFUNCTION("""COMPUTED_VALUE"""),"Law")</f>
        <v>Law</v>
      </c>
      <c r="C4458" s="2" t="str">
        <f>IFERROR(__xludf.DUMMYFUNCTION("""COMPUTED_VALUE"""),"Corporate Finance")</f>
        <v>Corporate Finance</v>
      </c>
      <c r="D4458" s="2" t="str">
        <f>IFERROR(__xludf.DUMMYFUNCTION("""COMPUTED_VALUE"""),"Brightpoint House")</f>
        <v>Brightpoint House</v>
      </c>
      <c r="E4458" s="2">
        <f>IFERROR(__xludf.DUMMYFUNCTION("""COMPUTED_VALUE"""),7.54)</f>
        <v>7.54</v>
      </c>
      <c r="F4458" s="2"/>
      <c r="G4458" s="2"/>
      <c r="H4458" s="2"/>
      <c r="I4458" s="2"/>
    </row>
    <row r="4459">
      <c r="A4459" s="2">
        <f>IFERROR(__xludf.DUMMYFUNCTION("""COMPUTED_VALUE"""),87042.0)</f>
        <v>87042</v>
      </c>
      <c r="B4459" s="2" t="str">
        <f>IFERROR(__xludf.DUMMYFUNCTION("""COMPUTED_VALUE"""),"Law")</f>
        <v>Law</v>
      </c>
      <c r="C4459" s="2" t="str">
        <f>IFERROR(__xludf.DUMMYFUNCTION("""COMPUTED_VALUE"""),"Corporate Finance")</f>
        <v>Corporate Finance</v>
      </c>
      <c r="D4459" s="2" t="str">
        <f>IFERROR(__xludf.DUMMYFUNCTION("""COMPUTED_VALUE"""),"Brightpoint House")</f>
        <v>Brightpoint House</v>
      </c>
      <c r="E4459" s="2">
        <f>IFERROR(__xludf.DUMMYFUNCTION("""COMPUTED_VALUE"""),6.34)</f>
        <v>6.34</v>
      </c>
      <c r="F4459" s="2"/>
      <c r="G4459" s="2"/>
      <c r="H4459" s="2"/>
      <c r="I4459" s="2"/>
    </row>
    <row r="4460">
      <c r="A4460" s="2">
        <f>IFERROR(__xludf.DUMMYFUNCTION("""COMPUTED_VALUE"""),116274.0)</f>
        <v>116274</v>
      </c>
      <c r="B4460" s="2" t="str">
        <f>IFERROR(__xludf.DUMMYFUNCTION("""COMPUTED_VALUE"""),"Law")</f>
        <v>Law</v>
      </c>
      <c r="C4460" s="2" t="str">
        <f>IFERROR(__xludf.DUMMYFUNCTION("""COMPUTED_VALUE"""),"Corporate Finance")</f>
        <v>Corporate Finance</v>
      </c>
      <c r="D4460" s="2" t="str">
        <f>IFERROR(__xludf.DUMMYFUNCTION("""COMPUTED_VALUE"""),"Brightpoint House")</f>
        <v>Brightpoint House</v>
      </c>
      <c r="E4460" s="2">
        <f>IFERROR(__xludf.DUMMYFUNCTION("""COMPUTED_VALUE"""),2.6)</f>
        <v>2.6</v>
      </c>
      <c r="F4460" s="2"/>
      <c r="G4460" s="2"/>
      <c r="H4460" s="2"/>
      <c r="I4460" s="2"/>
    </row>
    <row r="4461">
      <c r="A4461" s="2">
        <f>IFERROR(__xludf.DUMMYFUNCTION("""COMPUTED_VALUE"""),122344.0)</f>
        <v>122344</v>
      </c>
      <c r="B4461" s="2" t="str">
        <f>IFERROR(__xludf.DUMMYFUNCTION("""COMPUTED_VALUE"""),"Law")</f>
        <v>Law</v>
      </c>
      <c r="C4461" s="2" t="str">
        <f>IFERROR(__xludf.DUMMYFUNCTION("""COMPUTED_VALUE"""),"Corporate Finance")</f>
        <v>Corporate Finance</v>
      </c>
      <c r="D4461" s="2" t="str">
        <f>IFERROR(__xludf.DUMMYFUNCTION("""COMPUTED_VALUE"""),"Brightpoint House")</f>
        <v>Brightpoint House</v>
      </c>
      <c r="E4461" s="2">
        <f>IFERROR(__xludf.DUMMYFUNCTION("""COMPUTED_VALUE"""),2.76)</f>
        <v>2.76</v>
      </c>
      <c r="F4461" s="2"/>
      <c r="G4461" s="2"/>
      <c r="H4461" s="2"/>
      <c r="I4461" s="2"/>
    </row>
    <row r="4462">
      <c r="A4462" s="2">
        <f>IFERROR(__xludf.DUMMYFUNCTION("""COMPUTED_VALUE"""),122345.0)</f>
        <v>122345</v>
      </c>
      <c r="B4462" s="2" t="str">
        <f>IFERROR(__xludf.DUMMYFUNCTION("""COMPUTED_VALUE"""),"Law")</f>
        <v>Law</v>
      </c>
      <c r="C4462" s="2" t="str">
        <f>IFERROR(__xludf.DUMMYFUNCTION("""COMPUTED_VALUE"""),"Corporate Finance")</f>
        <v>Corporate Finance</v>
      </c>
      <c r="D4462" s="2" t="str">
        <f>IFERROR(__xludf.DUMMYFUNCTION("""COMPUTED_VALUE"""),"Brightpoint House")</f>
        <v>Brightpoint House</v>
      </c>
      <c r="E4462" s="2">
        <f>IFERROR(__xludf.DUMMYFUNCTION("""COMPUTED_VALUE"""),2.08)</f>
        <v>2.08</v>
      </c>
      <c r="F4462" s="2"/>
      <c r="G4462" s="2"/>
      <c r="H4462" s="2"/>
      <c r="I4462" s="2"/>
    </row>
    <row r="4463">
      <c r="A4463" s="2">
        <f>IFERROR(__xludf.DUMMYFUNCTION("""COMPUTED_VALUE"""),120867.0)</f>
        <v>120867</v>
      </c>
      <c r="B4463" s="2" t="str">
        <f>IFERROR(__xludf.DUMMYFUNCTION("""COMPUTED_VALUE"""),"Law")</f>
        <v>Law</v>
      </c>
      <c r="C4463" s="2" t="str">
        <f>IFERROR(__xludf.DUMMYFUNCTION("""COMPUTED_VALUE"""),"Corporate Finance")</f>
        <v>Corporate Finance</v>
      </c>
      <c r="D4463" s="2" t="str">
        <f>IFERROR(__xludf.DUMMYFUNCTION("""COMPUTED_VALUE"""),"Brightpoint House")</f>
        <v>Brightpoint House</v>
      </c>
      <c r="E4463" s="2">
        <f>IFERROR(__xludf.DUMMYFUNCTION("""COMPUTED_VALUE"""),2.67)</f>
        <v>2.67</v>
      </c>
      <c r="F4463" s="2"/>
      <c r="G4463" s="2"/>
      <c r="H4463" s="2"/>
      <c r="I4463" s="2"/>
    </row>
    <row r="4464">
      <c r="A4464" s="2">
        <f>IFERROR(__xludf.DUMMYFUNCTION("""COMPUTED_VALUE"""),28494.0)</f>
        <v>28494</v>
      </c>
      <c r="B4464" s="2" t="str">
        <f>IFERROR(__xludf.DUMMYFUNCTION("""COMPUTED_VALUE"""),"Law")</f>
        <v>Law</v>
      </c>
      <c r="C4464" s="2" t="str">
        <f>IFERROR(__xludf.DUMMYFUNCTION("""COMPUTED_VALUE"""),"Corporate Finance")</f>
        <v>Corporate Finance</v>
      </c>
      <c r="D4464" s="2" t="str">
        <f>IFERROR(__xludf.DUMMYFUNCTION("""COMPUTED_VALUE"""),"Brightpoint House")</f>
        <v>Brightpoint House</v>
      </c>
      <c r="E4464" s="2">
        <f>IFERROR(__xludf.DUMMYFUNCTION("""COMPUTED_VALUE"""),2.5)</f>
        <v>2.5</v>
      </c>
      <c r="F4464" s="2"/>
      <c r="G4464" s="2"/>
      <c r="H4464" s="2"/>
      <c r="I4464" s="2"/>
    </row>
    <row r="4465">
      <c r="A4465" s="2">
        <f>IFERROR(__xludf.DUMMYFUNCTION("""COMPUTED_VALUE"""),8882.0)</f>
        <v>8882</v>
      </c>
      <c r="B4465" s="2" t="str">
        <f>IFERROR(__xludf.DUMMYFUNCTION("""COMPUTED_VALUE"""),"Law")</f>
        <v>Law</v>
      </c>
      <c r="C4465" s="2" t="str">
        <f>IFERROR(__xludf.DUMMYFUNCTION("""COMPUTED_VALUE"""),"Corporate Finance")</f>
        <v>Corporate Finance</v>
      </c>
      <c r="D4465" s="2" t="str">
        <f>IFERROR(__xludf.DUMMYFUNCTION("""COMPUTED_VALUE"""),"Brightpoint House")</f>
        <v>Brightpoint House</v>
      </c>
      <c r="E4465" s="2">
        <f>IFERROR(__xludf.DUMMYFUNCTION("""COMPUTED_VALUE"""),3.08)</f>
        <v>3.08</v>
      </c>
      <c r="F4465" s="2"/>
      <c r="G4465" s="2"/>
      <c r="H4465" s="2"/>
      <c r="I4465" s="2"/>
    </row>
    <row r="4466">
      <c r="A4466" s="2">
        <f>IFERROR(__xludf.DUMMYFUNCTION("""COMPUTED_VALUE"""),116275.0)</f>
        <v>116275</v>
      </c>
      <c r="B4466" s="2" t="str">
        <f>IFERROR(__xludf.DUMMYFUNCTION("""COMPUTED_VALUE"""),"Law")</f>
        <v>Law</v>
      </c>
      <c r="C4466" s="2" t="str">
        <f>IFERROR(__xludf.DUMMYFUNCTION("""COMPUTED_VALUE"""),"Corporate Finance")</f>
        <v>Corporate Finance</v>
      </c>
      <c r="D4466" s="2" t="str">
        <f>IFERROR(__xludf.DUMMYFUNCTION("""COMPUTED_VALUE"""),"Brightpoint House")</f>
        <v>Brightpoint House</v>
      </c>
      <c r="E4466" s="2">
        <f>IFERROR(__xludf.DUMMYFUNCTION("""COMPUTED_VALUE"""),3.39)</f>
        <v>3.39</v>
      </c>
      <c r="F4466" s="2"/>
      <c r="G4466" s="2"/>
      <c r="H4466" s="2"/>
      <c r="I4466" s="2"/>
    </row>
    <row r="4467">
      <c r="A4467" s="2">
        <f>IFERROR(__xludf.DUMMYFUNCTION("""COMPUTED_VALUE"""),121424.0)</f>
        <v>121424</v>
      </c>
      <c r="B4467" s="2" t="str">
        <f>IFERROR(__xludf.DUMMYFUNCTION("""COMPUTED_VALUE"""),"Law")</f>
        <v>Law</v>
      </c>
      <c r="C4467" s="2" t="str">
        <f>IFERROR(__xludf.DUMMYFUNCTION("""COMPUTED_VALUE"""),"Corporate Finance")</f>
        <v>Corporate Finance</v>
      </c>
      <c r="D4467" s="2" t="str">
        <f>IFERROR(__xludf.DUMMYFUNCTION("""COMPUTED_VALUE"""),"Brightpoint House")</f>
        <v>Brightpoint House</v>
      </c>
      <c r="E4467" s="2">
        <f>IFERROR(__xludf.DUMMYFUNCTION("""COMPUTED_VALUE"""),2.12)</f>
        <v>2.12</v>
      </c>
      <c r="F4467" s="2"/>
      <c r="G4467" s="2"/>
      <c r="H4467" s="2"/>
      <c r="I4467" s="2"/>
    </row>
    <row r="4468">
      <c r="A4468" s="2">
        <f>IFERROR(__xludf.DUMMYFUNCTION("""COMPUTED_VALUE"""),75058.0)</f>
        <v>75058</v>
      </c>
      <c r="B4468" s="2" t="str">
        <f>IFERROR(__xludf.DUMMYFUNCTION("""COMPUTED_VALUE"""),"Law")</f>
        <v>Law</v>
      </c>
      <c r="C4468" s="2" t="str">
        <f>IFERROR(__xludf.DUMMYFUNCTION("""COMPUTED_VALUE"""),"Corporate Finance")</f>
        <v>Corporate Finance</v>
      </c>
      <c r="D4468" s="2" t="str">
        <f>IFERROR(__xludf.DUMMYFUNCTION("""COMPUTED_VALUE"""),"Oakpoint House")</f>
        <v>Oakpoint House</v>
      </c>
      <c r="E4468" s="2">
        <f>IFERROR(__xludf.DUMMYFUNCTION("""COMPUTED_VALUE"""),1.83)</f>
        <v>1.83</v>
      </c>
      <c r="F4468" s="2"/>
      <c r="G4468" s="2"/>
      <c r="H4468" s="2"/>
      <c r="I4468" s="2"/>
    </row>
    <row r="4469">
      <c r="A4469" s="2">
        <f>IFERROR(__xludf.DUMMYFUNCTION("""COMPUTED_VALUE"""),75056.0)</f>
        <v>75056</v>
      </c>
      <c r="B4469" s="2" t="str">
        <f>IFERROR(__xludf.DUMMYFUNCTION("""COMPUTED_VALUE"""),"Law")</f>
        <v>Law</v>
      </c>
      <c r="C4469" s="2" t="str">
        <f>IFERROR(__xludf.DUMMYFUNCTION("""COMPUTED_VALUE"""),"Corporate Finance")</f>
        <v>Corporate Finance</v>
      </c>
      <c r="D4469" s="2" t="str">
        <f>IFERROR(__xludf.DUMMYFUNCTION("""COMPUTED_VALUE"""),"Oakpoint House")</f>
        <v>Oakpoint House</v>
      </c>
      <c r="E4469" s="2">
        <f>IFERROR(__xludf.DUMMYFUNCTION("""COMPUTED_VALUE"""),2.56)</f>
        <v>2.56</v>
      </c>
      <c r="F4469" s="2"/>
      <c r="G4469" s="2"/>
      <c r="H4469" s="2"/>
      <c r="I4469" s="2"/>
    </row>
    <row r="4470">
      <c r="A4470" s="2">
        <f>IFERROR(__xludf.DUMMYFUNCTION("""COMPUTED_VALUE"""),42239.0)</f>
        <v>42239</v>
      </c>
      <c r="B4470" s="2" t="str">
        <f>IFERROR(__xludf.DUMMYFUNCTION("""COMPUTED_VALUE"""),"Law")</f>
        <v>Law</v>
      </c>
      <c r="C4470" s="2" t="str">
        <f>IFERROR(__xludf.DUMMYFUNCTION("""COMPUTED_VALUE"""),"Corporate Finance")</f>
        <v>Corporate Finance</v>
      </c>
      <c r="D4470" s="2" t="str">
        <f>IFERROR(__xludf.DUMMYFUNCTION("""COMPUTED_VALUE"""),"Oakpoint House")</f>
        <v>Oakpoint House</v>
      </c>
      <c r="E4470" s="2">
        <f>IFERROR(__xludf.DUMMYFUNCTION("""COMPUTED_VALUE"""),2.3)</f>
        <v>2.3</v>
      </c>
      <c r="F4470" s="2"/>
      <c r="G4470" s="2"/>
      <c r="H4470" s="2"/>
      <c r="I4470" s="2"/>
    </row>
    <row r="4471">
      <c r="A4471" s="2">
        <f>IFERROR(__xludf.DUMMYFUNCTION("""COMPUTED_VALUE"""),42237.0)</f>
        <v>42237</v>
      </c>
      <c r="B4471" s="2" t="str">
        <f>IFERROR(__xludf.DUMMYFUNCTION("""COMPUTED_VALUE"""),"Law")</f>
        <v>Law</v>
      </c>
      <c r="C4471" s="2" t="str">
        <f>IFERROR(__xludf.DUMMYFUNCTION("""COMPUTED_VALUE"""),"Corporate Finance")</f>
        <v>Corporate Finance</v>
      </c>
      <c r="D4471" s="2" t="str">
        <f>IFERROR(__xludf.DUMMYFUNCTION("""COMPUTED_VALUE"""),"Oakpoint House")</f>
        <v>Oakpoint House</v>
      </c>
      <c r="E4471" s="2">
        <f>IFERROR(__xludf.DUMMYFUNCTION("""COMPUTED_VALUE"""),2.22)</f>
        <v>2.22</v>
      </c>
      <c r="F4471" s="2"/>
      <c r="G4471" s="2"/>
      <c r="H4471" s="2"/>
      <c r="I4471" s="2"/>
    </row>
    <row r="4472">
      <c r="A4472" s="2">
        <f>IFERROR(__xludf.DUMMYFUNCTION("""COMPUTED_VALUE"""),69457.0)</f>
        <v>69457</v>
      </c>
      <c r="B4472" s="2" t="str">
        <f>IFERROR(__xludf.DUMMYFUNCTION("""COMPUTED_VALUE"""),"Law")</f>
        <v>Law</v>
      </c>
      <c r="C4472" s="2" t="str">
        <f>IFERROR(__xludf.DUMMYFUNCTION("""COMPUTED_VALUE"""),"Corporate Finance")</f>
        <v>Corporate Finance</v>
      </c>
      <c r="D4472" s="2" t="str">
        <f>IFERROR(__xludf.DUMMYFUNCTION("""COMPUTED_VALUE"""),"Oakpoint House")</f>
        <v>Oakpoint House</v>
      </c>
      <c r="E4472" s="2">
        <f>IFERROR(__xludf.DUMMYFUNCTION("""COMPUTED_VALUE"""),3.62)</f>
        <v>3.62</v>
      </c>
      <c r="F4472" s="2"/>
      <c r="G4472" s="2"/>
      <c r="H4472" s="2"/>
      <c r="I4472" s="2"/>
    </row>
    <row r="4473">
      <c r="A4473" s="2">
        <f>IFERROR(__xludf.DUMMYFUNCTION("""COMPUTED_VALUE"""),69328.0)</f>
        <v>69328</v>
      </c>
      <c r="B4473" s="2" t="str">
        <f>IFERROR(__xludf.DUMMYFUNCTION("""COMPUTED_VALUE"""),"Law")</f>
        <v>Law</v>
      </c>
      <c r="C4473" s="2" t="str">
        <f>IFERROR(__xludf.DUMMYFUNCTION("""COMPUTED_VALUE"""),"Corporate Finance")</f>
        <v>Corporate Finance</v>
      </c>
      <c r="D4473" s="2" t="str">
        <f>IFERROR(__xludf.DUMMYFUNCTION("""COMPUTED_VALUE"""),"Oakpoint House")</f>
        <v>Oakpoint House</v>
      </c>
      <c r="E4473" s="2">
        <f>IFERROR(__xludf.DUMMYFUNCTION("""COMPUTED_VALUE"""),2.46)</f>
        <v>2.46</v>
      </c>
      <c r="F4473" s="2"/>
      <c r="G4473" s="2"/>
      <c r="H4473" s="2"/>
      <c r="I4473" s="2"/>
    </row>
    <row r="4474">
      <c r="A4474" s="2">
        <f>IFERROR(__xludf.DUMMYFUNCTION("""COMPUTED_VALUE"""),69454.0)</f>
        <v>69454</v>
      </c>
      <c r="B4474" s="2" t="str">
        <f>IFERROR(__xludf.DUMMYFUNCTION("""COMPUTED_VALUE"""),"Law")</f>
        <v>Law</v>
      </c>
      <c r="C4474" s="2" t="str">
        <f>IFERROR(__xludf.DUMMYFUNCTION("""COMPUTED_VALUE"""),"Corporate Finance")</f>
        <v>Corporate Finance</v>
      </c>
      <c r="D4474" s="2" t="str">
        <f>IFERROR(__xludf.DUMMYFUNCTION("""COMPUTED_VALUE"""),"Oakpoint House")</f>
        <v>Oakpoint House</v>
      </c>
      <c r="E4474" s="2">
        <f>IFERROR(__xludf.DUMMYFUNCTION("""COMPUTED_VALUE"""),2.64)</f>
        <v>2.64</v>
      </c>
      <c r="F4474" s="2"/>
      <c r="G4474" s="2"/>
      <c r="H4474" s="2"/>
      <c r="I4474" s="2"/>
    </row>
    <row r="4475">
      <c r="A4475" s="2">
        <f>IFERROR(__xludf.DUMMYFUNCTION("""COMPUTED_VALUE"""),69469.0)</f>
        <v>69469</v>
      </c>
      <c r="B4475" s="2" t="str">
        <f>IFERROR(__xludf.DUMMYFUNCTION("""COMPUTED_VALUE"""),"Law")</f>
        <v>Law</v>
      </c>
      <c r="C4475" s="2" t="str">
        <f>IFERROR(__xludf.DUMMYFUNCTION("""COMPUTED_VALUE"""),"Corporate Finance")</f>
        <v>Corporate Finance</v>
      </c>
      <c r="D4475" s="2" t="str">
        <f>IFERROR(__xludf.DUMMYFUNCTION("""COMPUTED_VALUE"""),"Oakpoint House")</f>
        <v>Oakpoint House</v>
      </c>
      <c r="E4475" s="2">
        <f>IFERROR(__xludf.DUMMYFUNCTION("""COMPUTED_VALUE"""),2.7)</f>
        <v>2.7</v>
      </c>
      <c r="F4475" s="2"/>
      <c r="G4475" s="2"/>
      <c r="H4475" s="2"/>
      <c r="I4475" s="2"/>
    </row>
    <row r="4476">
      <c r="A4476" s="2">
        <f>IFERROR(__xludf.DUMMYFUNCTION("""COMPUTED_VALUE"""),193264.0)</f>
        <v>193264</v>
      </c>
      <c r="B4476" s="2" t="str">
        <f>IFERROR(__xludf.DUMMYFUNCTION("""COMPUTED_VALUE"""),"Law")</f>
        <v>Law</v>
      </c>
      <c r="C4476" s="2" t="str">
        <f>IFERROR(__xludf.DUMMYFUNCTION("""COMPUTED_VALUE"""),"Corporate Finance")</f>
        <v>Corporate Finance</v>
      </c>
      <c r="D4476" s="2" t="str">
        <f>IFERROR(__xludf.DUMMYFUNCTION("""COMPUTED_VALUE"""),"Oakpoint House")</f>
        <v>Oakpoint House</v>
      </c>
      <c r="E4476" s="2">
        <f>IFERROR(__xludf.DUMMYFUNCTION("""COMPUTED_VALUE"""),2.89)</f>
        <v>2.89</v>
      </c>
      <c r="F4476" s="2"/>
      <c r="G4476" s="2"/>
      <c r="H4476" s="2"/>
      <c r="I4476" s="2"/>
    </row>
    <row r="4477">
      <c r="A4477" s="2">
        <f>IFERROR(__xludf.DUMMYFUNCTION("""COMPUTED_VALUE"""),115763.0)</f>
        <v>115763</v>
      </c>
      <c r="B4477" s="2" t="str">
        <f>IFERROR(__xludf.DUMMYFUNCTION("""COMPUTED_VALUE"""),"Law")</f>
        <v>Law</v>
      </c>
      <c r="C4477" s="2" t="str">
        <f>IFERROR(__xludf.DUMMYFUNCTION("""COMPUTED_VALUE"""),"Corporate Finance")</f>
        <v>Corporate Finance</v>
      </c>
      <c r="D4477" s="2" t="str">
        <f>IFERROR(__xludf.DUMMYFUNCTION("""COMPUTED_VALUE"""),"Oakpoint House")</f>
        <v>Oakpoint House</v>
      </c>
      <c r="E4477" s="2">
        <f>IFERROR(__xludf.DUMMYFUNCTION("""COMPUTED_VALUE"""),1.32)</f>
        <v>1.32</v>
      </c>
      <c r="F4477" s="2"/>
      <c r="G4477" s="2"/>
      <c r="H4477" s="2"/>
      <c r="I4477" s="2"/>
    </row>
    <row r="4478">
      <c r="A4478" s="2">
        <f>IFERROR(__xludf.DUMMYFUNCTION("""COMPUTED_VALUE"""),69463.0)</f>
        <v>69463</v>
      </c>
      <c r="B4478" s="2" t="str">
        <f>IFERROR(__xludf.DUMMYFUNCTION("""COMPUTED_VALUE"""),"Law")</f>
        <v>Law</v>
      </c>
      <c r="C4478" s="2" t="str">
        <f>IFERROR(__xludf.DUMMYFUNCTION("""COMPUTED_VALUE"""),"Corporate Finance")</f>
        <v>Corporate Finance</v>
      </c>
      <c r="D4478" s="2" t="str">
        <f>IFERROR(__xludf.DUMMYFUNCTION("""COMPUTED_VALUE"""),"Oakpoint House")</f>
        <v>Oakpoint House</v>
      </c>
      <c r="E4478" s="2">
        <f>IFERROR(__xludf.DUMMYFUNCTION("""COMPUTED_VALUE"""),3.38)</f>
        <v>3.38</v>
      </c>
      <c r="F4478" s="2"/>
      <c r="G4478" s="2"/>
      <c r="H4478" s="2"/>
      <c r="I4478" s="2"/>
    </row>
    <row r="4479">
      <c r="A4479" s="2">
        <f>IFERROR(__xludf.DUMMYFUNCTION("""COMPUTED_VALUE"""),84168.0)</f>
        <v>84168</v>
      </c>
      <c r="B4479" s="2" t="str">
        <f>IFERROR(__xludf.DUMMYFUNCTION("""COMPUTED_VALUE"""),"Law")</f>
        <v>Law</v>
      </c>
      <c r="C4479" s="2" t="str">
        <f>IFERROR(__xludf.DUMMYFUNCTION("""COMPUTED_VALUE"""),"Corporate Finance")</f>
        <v>Corporate Finance</v>
      </c>
      <c r="D4479" s="2" t="str">
        <f>IFERROR(__xludf.DUMMYFUNCTION("""COMPUTED_VALUE"""),"Oakpoint House")</f>
        <v>Oakpoint House</v>
      </c>
      <c r="E4479" s="2">
        <f>IFERROR(__xludf.DUMMYFUNCTION("""COMPUTED_VALUE"""),1.37)</f>
        <v>1.37</v>
      </c>
      <c r="F4479" s="2"/>
      <c r="G4479" s="2"/>
      <c r="H4479" s="2"/>
      <c r="I4479" s="2"/>
    </row>
    <row r="4480">
      <c r="A4480" s="2">
        <f>IFERROR(__xludf.DUMMYFUNCTION("""COMPUTED_VALUE"""),75077.0)</f>
        <v>75077</v>
      </c>
      <c r="B4480" s="2" t="str">
        <f>IFERROR(__xludf.DUMMYFUNCTION("""COMPUTED_VALUE"""),"Law")</f>
        <v>Law</v>
      </c>
      <c r="C4480" s="2" t="str">
        <f>IFERROR(__xludf.DUMMYFUNCTION("""COMPUTED_VALUE"""),"Corporate Finance")</f>
        <v>Corporate Finance</v>
      </c>
      <c r="D4480" s="2" t="str">
        <f>IFERROR(__xludf.DUMMYFUNCTION("""COMPUTED_VALUE"""),"Oakpoint House")</f>
        <v>Oakpoint House</v>
      </c>
      <c r="E4480" s="2">
        <f>IFERROR(__xludf.DUMMYFUNCTION("""COMPUTED_VALUE"""),2.13)</f>
        <v>2.13</v>
      </c>
      <c r="F4480" s="2"/>
      <c r="G4480" s="2"/>
      <c r="H4480" s="2"/>
      <c r="I4480" s="2"/>
    </row>
    <row r="4481">
      <c r="A4481" s="2">
        <f>IFERROR(__xludf.DUMMYFUNCTION("""COMPUTED_VALUE"""),42229.0)</f>
        <v>42229</v>
      </c>
      <c r="B4481" s="2" t="str">
        <f>IFERROR(__xludf.DUMMYFUNCTION("""COMPUTED_VALUE"""),"Law")</f>
        <v>Law</v>
      </c>
      <c r="C4481" s="2" t="str">
        <f>IFERROR(__xludf.DUMMYFUNCTION("""COMPUTED_VALUE"""),"Corporate Finance")</f>
        <v>Corporate Finance</v>
      </c>
      <c r="D4481" s="2" t="str">
        <f>IFERROR(__xludf.DUMMYFUNCTION("""COMPUTED_VALUE"""),"Oakpoint House")</f>
        <v>Oakpoint House</v>
      </c>
      <c r="E4481" s="2">
        <f>IFERROR(__xludf.DUMMYFUNCTION("""COMPUTED_VALUE"""),2.35)</f>
        <v>2.35</v>
      </c>
      <c r="F4481" s="2"/>
      <c r="G4481" s="2"/>
      <c r="H4481" s="2"/>
      <c r="I4481" s="2"/>
    </row>
    <row r="4482">
      <c r="A4482" s="2">
        <f>IFERROR(__xludf.DUMMYFUNCTION("""COMPUTED_VALUE"""),89588.0)</f>
        <v>89588</v>
      </c>
      <c r="B4482" s="2" t="str">
        <f>IFERROR(__xludf.DUMMYFUNCTION("""COMPUTED_VALUE"""),"Law")</f>
        <v>Law</v>
      </c>
      <c r="C4482" s="2" t="str">
        <f>IFERROR(__xludf.DUMMYFUNCTION("""COMPUTED_VALUE"""),"Corporate Finance")</f>
        <v>Corporate Finance</v>
      </c>
      <c r="D4482" s="2" t="str">
        <f>IFERROR(__xludf.DUMMYFUNCTION("""COMPUTED_VALUE"""),"Oakpoint House")</f>
        <v>Oakpoint House</v>
      </c>
      <c r="E4482" s="2">
        <f>IFERROR(__xludf.DUMMYFUNCTION("""COMPUTED_VALUE"""),1.84)</f>
        <v>1.84</v>
      </c>
      <c r="F4482" s="2"/>
      <c r="G4482" s="2"/>
      <c r="H4482" s="2"/>
      <c r="I4482" s="2"/>
    </row>
    <row r="4483">
      <c r="A4483" s="2">
        <f>IFERROR(__xludf.DUMMYFUNCTION("""COMPUTED_VALUE"""),99973.0)</f>
        <v>99973</v>
      </c>
      <c r="B4483" s="2" t="str">
        <f>IFERROR(__xludf.DUMMYFUNCTION("""COMPUTED_VALUE"""),"Law")</f>
        <v>Law</v>
      </c>
      <c r="C4483" s="2" t="str">
        <f>IFERROR(__xludf.DUMMYFUNCTION("""COMPUTED_VALUE"""),"Corporate Finance")</f>
        <v>Corporate Finance</v>
      </c>
      <c r="D4483" s="2" t="str">
        <f>IFERROR(__xludf.DUMMYFUNCTION("""COMPUTED_VALUE"""),"Oakpoint House")</f>
        <v>Oakpoint House</v>
      </c>
      <c r="E4483" s="2">
        <f>IFERROR(__xludf.DUMMYFUNCTION("""COMPUTED_VALUE"""),1.61)</f>
        <v>1.61</v>
      </c>
      <c r="F4483" s="2"/>
      <c r="G4483" s="2"/>
      <c r="H4483" s="2"/>
      <c r="I4483" s="2"/>
    </row>
    <row r="4484">
      <c r="A4484" s="2">
        <f>IFERROR(__xludf.DUMMYFUNCTION("""COMPUTED_VALUE"""),70241.0)</f>
        <v>70241</v>
      </c>
      <c r="B4484" s="2" t="str">
        <f>IFERROR(__xludf.DUMMYFUNCTION("""COMPUTED_VALUE"""),"Law")</f>
        <v>Law</v>
      </c>
      <c r="C4484" s="2" t="str">
        <f>IFERROR(__xludf.DUMMYFUNCTION("""COMPUTED_VALUE"""),"Corporate Finance")</f>
        <v>Corporate Finance</v>
      </c>
      <c r="D4484" s="2" t="str">
        <f>IFERROR(__xludf.DUMMYFUNCTION("""COMPUTED_VALUE"""),"Oakpoint House")</f>
        <v>Oakpoint House</v>
      </c>
      <c r="E4484" s="2">
        <f>IFERROR(__xludf.DUMMYFUNCTION("""COMPUTED_VALUE"""),3.68)</f>
        <v>3.68</v>
      </c>
      <c r="F4484" s="2"/>
      <c r="G4484" s="2"/>
      <c r="H4484" s="2"/>
      <c r="I4484" s="2"/>
    </row>
    <row r="4485">
      <c r="A4485" s="2">
        <f>IFERROR(__xludf.DUMMYFUNCTION("""COMPUTED_VALUE"""),129479.0)</f>
        <v>129479</v>
      </c>
      <c r="B4485" s="2" t="str">
        <f>IFERROR(__xludf.DUMMYFUNCTION("""COMPUTED_VALUE"""),"Law")</f>
        <v>Law</v>
      </c>
      <c r="C4485" s="2" t="str">
        <f>IFERROR(__xludf.DUMMYFUNCTION("""COMPUTED_VALUE"""),"Corporate Finance")</f>
        <v>Corporate Finance</v>
      </c>
      <c r="D4485" s="2" t="str">
        <f>IFERROR(__xludf.DUMMYFUNCTION("""COMPUTED_VALUE"""),"Oakpoint House")</f>
        <v>Oakpoint House</v>
      </c>
      <c r="E4485" s="2">
        <f>IFERROR(__xludf.DUMMYFUNCTION("""COMPUTED_VALUE"""),1.81)</f>
        <v>1.81</v>
      </c>
      <c r="F4485" s="2"/>
      <c r="G4485" s="2"/>
      <c r="H4485" s="2"/>
      <c r="I4485" s="2"/>
    </row>
    <row r="4486">
      <c r="A4486" s="2">
        <f>IFERROR(__xludf.DUMMYFUNCTION("""COMPUTED_VALUE"""),107926.0)</f>
        <v>107926</v>
      </c>
      <c r="B4486" s="2" t="str">
        <f>IFERROR(__xludf.DUMMYFUNCTION("""COMPUTED_VALUE"""),"Law")</f>
        <v>Law</v>
      </c>
      <c r="C4486" s="2" t="str">
        <f>IFERROR(__xludf.DUMMYFUNCTION("""COMPUTED_VALUE"""),"Corporate Finance")</f>
        <v>Corporate Finance</v>
      </c>
      <c r="D4486" s="2" t="str">
        <f>IFERROR(__xludf.DUMMYFUNCTION("""COMPUTED_VALUE"""),"Oakpoint House")</f>
        <v>Oakpoint House</v>
      </c>
      <c r="E4486" s="2">
        <f>IFERROR(__xludf.DUMMYFUNCTION("""COMPUTED_VALUE"""),2.29)</f>
        <v>2.29</v>
      </c>
      <c r="F4486" s="2"/>
      <c r="G4486" s="2"/>
      <c r="H4486" s="2"/>
      <c r="I4486" s="2"/>
    </row>
    <row r="4487">
      <c r="A4487" s="2">
        <f>IFERROR(__xludf.DUMMYFUNCTION("""COMPUTED_VALUE"""),42232.0)</f>
        <v>42232</v>
      </c>
      <c r="B4487" s="2" t="str">
        <f>IFERROR(__xludf.DUMMYFUNCTION("""COMPUTED_VALUE"""),"Law")</f>
        <v>Law</v>
      </c>
      <c r="C4487" s="2" t="str">
        <f>IFERROR(__xludf.DUMMYFUNCTION("""COMPUTED_VALUE"""),"Corporate Finance")</f>
        <v>Corporate Finance</v>
      </c>
      <c r="D4487" s="2" t="str">
        <f>IFERROR(__xludf.DUMMYFUNCTION("""COMPUTED_VALUE"""),"Oakpoint House")</f>
        <v>Oakpoint House</v>
      </c>
      <c r="E4487" s="2">
        <f>IFERROR(__xludf.DUMMYFUNCTION("""COMPUTED_VALUE"""),2.12)</f>
        <v>2.12</v>
      </c>
      <c r="F4487" s="2"/>
      <c r="G4487" s="2"/>
      <c r="H4487" s="2"/>
      <c r="I4487" s="2"/>
    </row>
    <row r="4488">
      <c r="A4488" s="2">
        <f>IFERROR(__xludf.DUMMYFUNCTION("""COMPUTED_VALUE"""),122106.0)</f>
        <v>122106</v>
      </c>
      <c r="B4488" s="2" t="str">
        <f>IFERROR(__xludf.DUMMYFUNCTION("""COMPUTED_VALUE"""),"Law")</f>
        <v>Law</v>
      </c>
      <c r="C4488" s="2" t="str">
        <f>IFERROR(__xludf.DUMMYFUNCTION("""COMPUTED_VALUE"""),"Corporate Finance")</f>
        <v>Corporate Finance</v>
      </c>
      <c r="D4488" s="2" t="str">
        <f>IFERROR(__xludf.DUMMYFUNCTION("""COMPUTED_VALUE"""),"Oakpoint House")</f>
        <v>Oakpoint House</v>
      </c>
      <c r="E4488" s="2">
        <f>IFERROR(__xludf.DUMMYFUNCTION("""COMPUTED_VALUE"""),3.14)</f>
        <v>3.14</v>
      </c>
      <c r="F4488" s="2"/>
      <c r="G4488" s="2"/>
      <c r="H4488" s="2"/>
      <c r="I4488" s="2"/>
    </row>
    <row r="4489">
      <c r="A4489" s="2">
        <f>IFERROR(__xludf.DUMMYFUNCTION("""COMPUTED_VALUE"""),69456.0)</f>
        <v>69456</v>
      </c>
      <c r="B4489" s="2" t="str">
        <f>IFERROR(__xludf.DUMMYFUNCTION("""COMPUTED_VALUE"""),"Law")</f>
        <v>Law</v>
      </c>
      <c r="C4489" s="2" t="str">
        <f>IFERROR(__xludf.DUMMYFUNCTION("""COMPUTED_VALUE"""),"Corporate Finance")</f>
        <v>Corporate Finance</v>
      </c>
      <c r="D4489" s="2" t="str">
        <f>IFERROR(__xludf.DUMMYFUNCTION("""COMPUTED_VALUE"""),"Oakpoint House")</f>
        <v>Oakpoint House</v>
      </c>
      <c r="E4489" s="2">
        <f>IFERROR(__xludf.DUMMYFUNCTION("""COMPUTED_VALUE"""),3.07)</f>
        <v>3.07</v>
      </c>
      <c r="F4489" s="2"/>
      <c r="G4489" s="2"/>
      <c r="H4489" s="2"/>
      <c r="I4489" s="2"/>
    </row>
    <row r="4490">
      <c r="A4490" s="2">
        <f>IFERROR(__xludf.DUMMYFUNCTION("""COMPUTED_VALUE"""),118888.0)</f>
        <v>118888</v>
      </c>
      <c r="B4490" s="2" t="str">
        <f>IFERROR(__xludf.DUMMYFUNCTION("""COMPUTED_VALUE"""),"Law")</f>
        <v>Law</v>
      </c>
      <c r="C4490" s="2" t="str">
        <f>IFERROR(__xludf.DUMMYFUNCTION("""COMPUTED_VALUE"""),"Corporate Finance")</f>
        <v>Corporate Finance</v>
      </c>
      <c r="D4490" s="2" t="str">
        <f>IFERROR(__xludf.DUMMYFUNCTION("""COMPUTED_VALUE"""),"Oakpoint House")</f>
        <v>Oakpoint House</v>
      </c>
      <c r="E4490" s="2">
        <f>IFERROR(__xludf.DUMMYFUNCTION("""COMPUTED_VALUE"""),2.51)</f>
        <v>2.51</v>
      </c>
      <c r="F4490" s="2"/>
      <c r="G4490" s="2"/>
      <c r="H4490" s="2"/>
      <c r="I4490" s="2"/>
    </row>
    <row r="4491">
      <c r="A4491" s="2">
        <f>IFERROR(__xludf.DUMMYFUNCTION("""COMPUTED_VALUE"""),69468.0)</f>
        <v>69468</v>
      </c>
      <c r="B4491" s="2" t="str">
        <f>IFERROR(__xludf.DUMMYFUNCTION("""COMPUTED_VALUE"""),"Law")</f>
        <v>Law</v>
      </c>
      <c r="C4491" s="2" t="str">
        <f>IFERROR(__xludf.DUMMYFUNCTION("""COMPUTED_VALUE"""),"Corporate Finance")</f>
        <v>Corporate Finance</v>
      </c>
      <c r="D4491" s="2" t="str">
        <f>IFERROR(__xludf.DUMMYFUNCTION("""COMPUTED_VALUE"""),"Oakpoint House")</f>
        <v>Oakpoint House</v>
      </c>
      <c r="E4491" s="2">
        <f>IFERROR(__xludf.DUMMYFUNCTION("""COMPUTED_VALUE"""),3.98)</f>
        <v>3.98</v>
      </c>
      <c r="F4491" s="2"/>
      <c r="G4491" s="2"/>
      <c r="H4491" s="2"/>
      <c r="I4491" s="2"/>
    </row>
    <row r="4492">
      <c r="A4492" s="2">
        <f>IFERROR(__xludf.DUMMYFUNCTION("""COMPUTED_VALUE"""),117629.0)</f>
        <v>117629</v>
      </c>
      <c r="B4492" s="2" t="str">
        <f>IFERROR(__xludf.DUMMYFUNCTION("""COMPUTED_VALUE"""),"Law")</f>
        <v>Law</v>
      </c>
      <c r="C4492" s="2" t="str">
        <f>IFERROR(__xludf.DUMMYFUNCTION("""COMPUTED_VALUE"""),"Corporate Finance")</f>
        <v>Corporate Finance</v>
      </c>
      <c r="D4492" s="2" t="str">
        <f>IFERROR(__xludf.DUMMYFUNCTION("""COMPUTED_VALUE"""),"Riverpoint House")</f>
        <v>Riverpoint House</v>
      </c>
      <c r="E4492" s="2">
        <f>IFERROR(__xludf.DUMMYFUNCTION("""COMPUTED_VALUE"""),1.21)</f>
        <v>1.21</v>
      </c>
      <c r="F4492" s="2"/>
      <c r="G4492" s="2"/>
      <c r="H4492" s="2"/>
      <c r="I4492" s="2"/>
    </row>
    <row r="4493">
      <c r="A4493" s="2">
        <f>IFERROR(__xludf.DUMMYFUNCTION("""COMPUTED_VALUE"""),121475.0)</f>
        <v>121475</v>
      </c>
      <c r="B4493" s="2" t="str">
        <f>IFERROR(__xludf.DUMMYFUNCTION("""COMPUTED_VALUE"""),"Law")</f>
        <v>Law</v>
      </c>
      <c r="C4493" s="2" t="str">
        <f>IFERROR(__xludf.DUMMYFUNCTION("""COMPUTED_VALUE"""),"Corporate Finance")</f>
        <v>Corporate Finance</v>
      </c>
      <c r="D4493" s="2" t="str">
        <f>IFERROR(__xludf.DUMMYFUNCTION("""COMPUTED_VALUE"""),"Riverpoint House")</f>
        <v>Riverpoint House</v>
      </c>
      <c r="E4493" s="2">
        <f>IFERROR(__xludf.DUMMYFUNCTION("""COMPUTED_VALUE"""),0.48)</f>
        <v>0.48</v>
      </c>
      <c r="F4493" s="2"/>
      <c r="G4493" s="2"/>
      <c r="H4493" s="2"/>
      <c r="I4493" s="2"/>
    </row>
    <row r="4494">
      <c r="A4494" s="2">
        <f>IFERROR(__xludf.DUMMYFUNCTION("""COMPUTED_VALUE"""),80412.0)</f>
        <v>80412</v>
      </c>
      <c r="B4494" s="2" t="str">
        <f>IFERROR(__xludf.DUMMYFUNCTION("""COMPUTED_VALUE"""),"Law")</f>
        <v>Law</v>
      </c>
      <c r="C4494" s="2" t="str">
        <f>IFERROR(__xludf.DUMMYFUNCTION("""COMPUTED_VALUE"""),"Corporate Finance")</f>
        <v>Corporate Finance</v>
      </c>
      <c r="D4494" s="2" t="str">
        <f>IFERROR(__xludf.DUMMYFUNCTION("""COMPUTED_VALUE"""),"Riverpoint House")</f>
        <v>Riverpoint House</v>
      </c>
      <c r="E4494" s="2">
        <f>IFERROR(__xludf.DUMMYFUNCTION("""COMPUTED_VALUE"""),0.64)</f>
        <v>0.64</v>
      </c>
      <c r="F4494" s="2"/>
      <c r="G4494" s="2"/>
      <c r="H4494" s="2"/>
      <c r="I4494" s="2"/>
    </row>
    <row r="4495">
      <c r="A4495" s="2">
        <f>IFERROR(__xludf.DUMMYFUNCTION("""COMPUTED_VALUE"""),122857.0)</f>
        <v>122857</v>
      </c>
      <c r="B4495" s="2" t="str">
        <f>IFERROR(__xludf.DUMMYFUNCTION("""COMPUTED_VALUE"""),"Law")</f>
        <v>Law</v>
      </c>
      <c r="C4495" s="2" t="str">
        <f>IFERROR(__xludf.DUMMYFUNCTION("""COMPUTED_VALUE"""),"Corporate Finance")</f>
        <v>Corporate Finance</v>
      </c>
      <c r="D4495" s="2" t="str">
        <f>IFERROR(__xludf.DUMMYFUNCTION("""COMPUTED_VALUE"""),"Riverpoint House")</f>
        <v>Riverpoint House</v>
      </c>
      <c r="E4495" s="2">
        <f>IFERROR(__xludf.DUMMYFUNCTION("""COMPUTED_VALUE"""),1.44)</f>
        <v>1.44</v>
      </c>
      <c r="F4495" s="2"/>
      <c r="G4495" s="2"/>
      <c r="H4495" s="2"/>
      <c r="I4495" s="2"/>
    </row>
    <row r="4496">
      <c r="A4496" s="2">
        <f>IFERROR(__xludf.DUMMYFUNCTION("""COMPUTED_VALUE"""),115769.0)</f>
        <v>115769</v>
      </c>
      <c r="B4496" s="2" t="str">
        <f>IFERROR(__xludf.DUMMYFUNCTION("""COMPUTED_VALUE"""),"Law")</f>
        <v>Law</v>
      </c>
      <c r="C4496" s="2" t="str">
        <f>IFERROR(__xludf.DUMMYFUNCTION("""COMPUTED_VALUE"""),"Corporate Finance")</f>
        <v>Corporate Finance</v>
      </c>
      <c r="D4496" s="2" t="str">
        <f>IFERROR(__xludf.DUMMYFUNCTION("""COMPUTED_VALUE"""),"Riverpoint House")</f>
        <v>Riverpoint House</v>
      </c>
      <c r="E4496" s="2">
        <f>IFERROR(__xludf.DUMMYFUNCTION("""COMPUTED_VALUE"""),1.14)</f>
        <v>1.14</v>
      </c>
      <c r="F4496" s="2"/>
      <c r="G4496" s="2"/>
      <c r="H4496" s="2"/>
      <c r="I4496" s="2"/>
    </row>
    <row r="4497">
      <c r="A4497" s="2">
        <f>IFERROR(__xludf.DUMMYFUNCTION("""COMPUTED_VALUE"""),115774.0)</f>
        <v>115774</v>
      </c>
      <c r="B4497" s="2" t="str">
        <f>IFERROR(__xludf.DUMMYFUNCTION("""COMPUTED_VALUE"""),"Law")</f>
        <v>Law</v>
      </c>
      <c r="C4497" s="2" t="str">
        <f>IFERROR(__xludf.DUMMYFUNCTION("""COMPUTED_VALUE"""),"Corporate Finance")</f>
        <v>Corporate Finance</v>
      </c>
      <c r="D4497" s="2" t="str">
        <f>IFERROR(__xludf.DUMMYFUNCTION("""COMPUTED_VALUE"""),"Riverpoint House")</f>
        <v>Riverpoint House</v>
      </c>
      <c r="E4497" s="2">
        <f>IFERROR(__xludf.DUMMYFUNCTION("""COMPUTED_VALUE"""),1.24)</f>
        <v>1.24</v>
      </c>
      <c r="F4497" s="2"/>
      <c r="G4497" s="2"/>
      <c r="H4497" s="2"/>
      <c r="I4497" s="2"/>
    </row>
    <row r="4498">
      <c r="A4498" s="2">
        <f>IFERROR(__xludf.DUMMYFUNCTION("""COMPUTED_VALUE"""),118889.0)</f>
        <v>118889</v>
      </c>
      <c r="B4498" s="2" t="str">
        <f>IFERROR(__xludf.DUMMYFUNCTION("""COMPUTED_VALUE"""),"Law")</f>
        <v>Law</v>
      </c>
      <c r="C4498" s="2" t="str">
        <f>IFERROR(__xludf.DUMMYFUNCTION("""COMPUTED_VALUE"""),"Corporate Finance")</f>
        <v>Corporate Finance</v>
      </c>
      <c r="D4498" s="2" t="str">
        <f>IFERROR(__xludf.DUMMYFUNCTION("""COMPUTED_VALUE"""),"Riverpoint House")</f>
        <v>Riverpoint House</v>
      </c>
      <c r="E4498" s="2">
        <f>IFERROR(__xludf.DUMMYFUNCTION("""COMPUTED_VALUE"""),1.91)</f>
        <v>1.91</v>
      </c>
      <c r="F4498" s="2"/>
      <c r="G4498" s="2"/>
      <c r="H4498" s="2"/>
      <c r="I4498" s="2"/>
    </row>
    <row r="4499">
      <c r="A4499" s="2">
        <f>IFERROR(__xludf.DUMMYFUNCTION("""COMPUTED_VALUE"""),115758.0)</f>
        <v>115758</v>
      </c>
      <c r="B4499" s="2" t="str">
        <f>IFERROR(__xludf.DUMMYFUNCTION("""COMPUTED_VALUE"""),"Law")</f>
        <v>Law</v>
      </c>
      <c r="C4499" s="2" t="str">
        <f>IFERROR(__xludf.DUMMYFUNCTION("""COMPUTED_VALUE"""),"Corporate Finance")</f>
        <v>Corporate Finance</v>
      </c>
      <c r="D4499" s="2" t="str">
        <f>IFERROR(__xludf.DUMMYFUNCTION("""COMPUTED_VALUE"""),"Riverpoint House")</f>
        <v>Riverpoint House</v>
      </c>
      <c r="E4499" s="2">
        <f>IFERROR(__xludf.DUMMYFUNCTION("""COMPUTED_VALUE"""),0.95)</f>
        <v>0.95</v>
      </c>
      <c r="F4499" s="2"/>
      <c r="G4499" s="2"/>
      <c r="H4499" s="2"/>
      <c r="I4499" s="2"/>
    </row>
    <row r="4500">
      <c r="A4500" s="2">
        <f>IFERROR(__xludf.DUMMYFUNCTION("""COMPUTED_VALUE"""),115755.0)</f>
        <v>115755</v>
      </c>
      <c r="B4500" s="2" t="str">
        <f>IFERROR(__xludf.DUMMYFUNCTION("""COMPUTED_VALUE"""),"Law")</f>
        <v>Law</v>
      </c>
      <c r="C4500" s="2" t="str">
        <f>IFERROR(__xludf.DUMMYFUNCTION("""COMPUTED_VALUE"""),"Corporate Finance")</f>
        <v>Corporate Finance</v>
      </c>
      <c r="D4500" s="2" t="str">
        <f>IFERROR(__xludf.DUMMYFUNCTION("""COMPUTED_VALUE"""),"Riverpoint House")</f>
        <v>Riverpoint House</v>
      </c>
      <c r="E4500" s="2">
        <f>IFERROR(__xludf.DUMMYFUNCTION("""COMPUTED_VALUE"""),0.57)</f>
        <v>0.57</v>
      </c>
      <c r="F4500" s="2"/>
      <c r="G4500" s="2"/>
      <c r="H4500" s="2"/>
      <c r="I4500" s="2"/>
    </row>
    <row r="4501">
      <c r="A4501" s="2">
        <f>IFERROR(__xludf.DUMMYFUNCTION("""COMPUTED_VALUE"""),114964.0)</f>
        <v>114964</v>
      </c>
      <c r="B4501" s="2" t="str">
        <f>IFERROR(__xludf.DUMMYFUNCTION("""COMPUTED_VALUE"""),"Law")</f>
        <v>Law</v>
      </c>
      <c r="C4501" s="2" t="str">
        <f>IFERROR(__xludf.DUMMYFUNCTION("""COMPUTED_VALUE"""),"Corporate Finance")</f>
        <v>Corporate Finance</v>
      </c>
      <c r="D4501" s="2" t="str">
        <f>IFERROR(__xludf.DUMMYFUNCTION("""COMPUTED_VALUE"""),"Riverpoint House")</f>
        <v>Riverpoint House</v>
      </c>
      <c r="E4501" s="2">
        <f>IFERROR(__xludf.DUMMYFUNCTION("""COMPUTED_VALUE"""),3.16)</f>
        <v>3.16</v>
      </c>
      <c r="F4501" s="2"/>
      <c r="G4501" s="2"/>
      <c r="H4501" s="2"/>
      <c r="I4501" s="2"/>
    </row>
    <row r="4502">
      <c r="A4502" s="2">
        <f>IFERROR(__xludf.DUMMYFUNCTION("""COMPUTED_VALUE"""),87617.0)</f>
        <v>87617</v>
      </c>
      <c r="B4502" s="2" t="str">
        <f>IFERROR(__xludf.DUMMYFUNCTION("""COMPUTED_VALUE"""),"Law")</f>
        <v>Law</v>
      </c>
      <c r="C4502" s="2" t="str">
        <f>IFERROR(__xludf.DUMMYFUNCTION("""COMPUTED_VALUE"""),"Corporate Finance")</f>
        <v>Corporate Finance</v>
      </c>
      <c r="D4502" s="2" t="str">
        <f>IFERROR(__xludf.DUMMYFUNCTION("""COMPUTED_VALUE"""),"Riverpoint House")</f>
        <v>Riverpoint House</v>
      </c>
      <c r="E4502" s="2">
        <f>IFERROR(__xludf.DUMMYFUNCTION("""COMPUTED_VALUE"""),1.83)</f>
        <v>1.83</v>
      </c>
      <c r="F4502" s="2"/>
      <c r="G4502" s="2"/>
      <c r="H4502" s="2"/>
      <c r="I4502" s="2"/>
    </row>
    <row r="4503">
      <c r="A4503" s="2">
        <f>IFERROR(__xludf.DUMMYFUNCTION("""COMPUTED_VALUE"""),118542.0)</f>
        <v>118542</v>
      </c>
      <c r="B4503" s="2" t="str">
        <f>IFERROR(__xludf.DUMMYFUNCTION("""COMPUTED_VALUE"""),"Law")</f>
        <v>Law</v>
      </c>
      <c r="C4503" s="2" t="str">
        <f>IFERROR(__xludf.DUMMYFUNCTION("""COMPUTED_VALUE"""),"Corporate Finance")</f>
        <v>Corporate Finance</v>
      </c>
      <c r="D4503" s="2" t="str">
        <f>IFERROR(__xludf.DUMMYFUNCTION("""COMPUTED_VALUE"""),"Riverpoint House")</f>
        <v>Riverpoint House</v>
      </c>
      <c r="E4503" s="2">
        <f>IFERROR(__xludf.DUMMYFUNCTION("""COMPUTED_VALUE"""),1.75)</f>
        <v>1.75</v>
      </c>
      <c r="F4503" s="2"/>
      <c r="G4503" s="2"/>
      <c r="H4503" s="2"/>
      <c r="I4503" s="2"/>
    </row>
    <row r="4504">
      <c r="A4504" s="2">
        <f>IFERROR(__xludf.DUMMYFUNCTION("""COMPUTED_VALUE"""),122845.0)</f>
        <v>122845</v>
      </c>
      <c r="B4504" s="2" t="str">
        <f>IFERROR(__xludf.DUMMYFUNCTION("""COMPUTED_VALUE"""),"Law")</f>
        <v>Law</v>
      </c>
      <c r="C4504" s="2" t="str">
        <f>IFERROR(__xludf.DUMMYFUNCTION("""COMPUTED_VALUE"""),"Corporate Finance")</f>
        <v>Corporate Finance</v>
      </c>
      <c r="D4504" s="2" t="str">
        <f>IFERROR(__xludf.DUMMYFUNCTION("""COMPUTED_VALUE"""),"Riverpoint House")</f>
        <v>Riverpoint House</v>
      </c>
      <c r="E4504" s="2">
        <f>IFERROR(__xludf.DUMMYFUNCTION("""COMPUTED_VALUE"""),2.63)</f>
        <v>2.63</v>
      </c>
      <c r="F4504" s="2"/>
      <c r="G4504" s="2"/>
      <c r="H4504" s="2"/>
      <c r="I4504" s="2"/>
    </row>
    <row r="4505">
      <c r="A4505" s="2">
        <f>IFERROR(__xludf.DUMMYFUNCTION("""COMPUTED_VALUE"""),114967.0)</f>
        <v>114967</v>
      </c>
      <c r="B4505" s="2" t="str">
        <f>IFERROR(__xludf.DUMMYFUNCTION("""COMPUTED_VALUE"""),"Law")</f>
        <v>Law</v>
      </c>
      <c r="C4505" s="2" t="str">
        <f>IFERROR(__xludf.DUMMYFUNCTION("""COMPUTED_VALUE"""),"Corporate Finance")</f>
        <v>Corporate Finance</v>
      </c>
      <c r="D4505" s="2" t="str">
        <f>IFERROR(__xludf.DUMMYFUNCTION("""COMPUTED_VALUE"""),"Riverpoint House")</f>
        <v>Riverpoint House</v>
      </c>
      <c r="E4505" s="2">
        <f>IFERROR(__xludf.DUMMYFUNCTION("""COMPUTED_VALUE"""),2.47)</f>
        <v>2.47</v>
      </c>
      <c r="F4505" s="2"/>
      <c r="G4505" s="2"/>
      <c r="H4505" s="2"/>
      <c r="I4505" s="2"/>
    </row>
    <row r="4506">
      <c r="A4506" s="2">
        <f>IFERROR(__xludf.DUMMYFUNCTION("""COMPUTED_VALUE"""),121476.0)</f>
        <v>121476</v>
      </c>
      <c r="B4506" s="2" t="str">
        <f>IFERROR(__xludf.DUMMYFUNCTION("""COMPUTED_VALUE"""),"Law")</f>
        <v>Law</v>
      </c>
      <c r="C4506" s="2" t="str">
        <f>IFERROR(__xludf.DUMMYFUNCTION("""COMPUTED_VALUE"""),"Corporate Finance")</f>
        <v>Corporate Finance</v>
      </c>
      <c r="D4506" s="2" t="str">
        <f>IFERROR(__xludf.DUMMYFUNCTION("""COMPUTED_VALUE"""),"Riverpoint House")</f>
        <v>Riverpoint House</v>
      </c>
      <c r="E4506" s="2">
        <f>IFERROR(__xludf.DUMMYFUNCTION("""COMPUTED_VALUE"""),1.02)</f>
        <v>1.02</v>
      </c>
      <c r="F4506" s="2"/>
      <c r="G4506" s="2"/>
      <c r="H4506" s="2"/>
      <c r="I4506" s="2"/>
    </row>
    <row r="4507">
      <c r="A4507" s="2">
        <f>IFERROR(__xludf.DUMMYFUNCTION("""COMPUTED_VALUE"""),120529.0)</f>
        <v>120529</v>
      </c>
      <c r="B4507" s="2" t="str">
        <f>IFERROR(__xludf.DUMMYFUNCTION("""COMPUTED_VALUE"""),"Law")</f>
        <v>Law</v>
      </c>
      <c r="C4507" s="2" t="str">
        <f>IFERROR(__xludf.DUMMYFUNCTION("""COMPUTED_VALUE"""),"Corporate Finance")</f>
        <v>Corporate Finance</v>
      </c>
      <c r="D4507" s="2" t="str">
        <f>IFERROR(__xludf.DUMMYFUNCTION("""COMPUTED_VALUE"""),"Riverpoint House")</f>
        <v>Riverpoint House</v>
      </c>
      <c r="E4507" s="2">
        <f>IFERROR(__xludf.DUMMYFUNCTION("""COMPUTED_VALUE"""),3.46)</f>
        <v>3.46</v>
      </c>
      <c r="F4507" s="2"/>
      <c r="G4507" s="2"/>
      <c r="H4507" s="2"/>
      <c r="I4507" s="2"/>
    </row>
    <row r="4508">
      <c r="A4508" s="2">
        <f>IFERROR(__xludf.DUMMYFUNCTION("""COMPUTED_VALUE"""),120530.0)</f>
        <v>120530</v>
      </c>
      <c r="B4508" s="2" t="str">
        <f>IFERROR(__xludf.DUMMYFUNCTION("""COMPUTED_VALUE"""),"Law")</f>
        <v>Law</v>
      </c>
      <c r="C4508" s="2" t="str">
        <f>IFERROR(__xludf.DUMMYFUNCTION("""COMPUTED_VALUE"""),"Corporate Finance")</f>
        <v>Corporate Finance</v>
      </c>
      <c r="D4508" s="2" t="str">
        <f>IFERROR(__xludf.DUMMYFUNCTION("""COMPUTED_VALUE"""),"Riverpoint House")</f>
        <v>Riverpoint House</v>
      </c>
      <c r="E4508" s="2">
        <f>IFERROR(__xludf.DUMMYFUNCTION("""COMPUTED_VALUE"""),1.5)</f>
        <v>1.5</v>
      </c>
      <c r="F4508" s="2"/>
      <c r="G4508" s="2"/>
      <c r="H4508" s="2"/>
      <c r="I4508" s="2"/>
    </row>
    <row r="4509">
      <c r="A4509" s="2">
        <f>IFERROR(__xludf.DUMMYFUNCTION("""COMPUTED_VALUE"""),117638.0)</f>
        <v>117638</v>
      </c>
      <c r="B4509" s="2" t="str">
        <f>IFERROR(__xludf.DUMMYFUNCTION("""COMPUTED_VALUE"""),"Law")</f>
        <v>Law</v>
      </c>
      <c r="C4509" s="2" t="str">
        <f>IFERROR(__xludf.DUMMYFUNCTION("""COMPUTED_VALUE"""),"Corporate Finance")</f>
        <v>Corporate Finance</v>
      </c>
      <c r="D4509" s="2" t="str">
        <f>IFERROR(__xludf.DUMMYFUNCTION("""COMPUTED_VALUE"""),"Riverpoint House")</f>
        <v>Riverpoint House</v>
      </c>
      <c r="E4509" s="2">
        <f>IFERROR(__xludf.DUMMYFUNCTION("""COMPUTED_VALUE"""),1.89)</f>
        <v>1.89</v>
      </c>
      <c r="F4509" s="2"/>
      <c r="G4509" s="2"/>
      <c r="H4509" s="2"/>
      <c r="I4509" s="2"/>
    </row>
    <row r="4510">
      <c r="A4510" s="2">
        <f>IFERROR(__xludf.DUMMYFUNCTION("""COMPUTED_VALUE"""),108240.0)</f>
        <v>108240</v>
      </c>
      <c r="B4510" s="2" t="str">
        <f>IFERROR(__xludf.DUMMYFUNCTION("""COMPUTED_VALUE"""),"Law")</f>
        <v>Law</v>
      </c>
      <c r="C4510" s="2" t="str">
        <f>IFERROR(__xludf.DUMMYFUNCTION("""COMPUTED_VALUE"""),"Corporate Finance")</f>
        <v>Corporate Finance</v>
      </c>
      <c r="D4510" s="2" t="str">
        <f>IFERROR(__xludf.DUMMYFUNCTION("""COMPUTED_VALUE"""),"Riverpoint House")</f>
        <v>Riverpoint House</v>
      </c>
      <c r="E4510" s="2">
        <f>IFERROR(__xludf.DUMMYFUNCTION("""COMPUTED_VALUE"""),1.33)</f>
        <v>1.33</v>
      </c>
      <c r="F4510" s="2"/>
      <c r="G4510" s="2"/>
      <c r="H4510" s="2"/>
      <c r="I4510" s="2"/>
    </row>
    <row r="4511">
      <c r="A4511" s="2">
        <f>IFERROR(__xludf.DUMMYFUNCTION("""COMPUTED_VALUE"""),88635.0)</f>
        <v>88635</v>
      </c>
      <c r="B4511" s="2" t="str">
        <f>IFERROR(__xludf.DUMMYFUNCTION("""COMPUTED_VALUE"""),"Law")</f>
        <v>Law</v>
      </c>
      <c r="C4511" s="2" t="str">
        <f>IFERROR(__xludf.DUMMYFUNCTION("""COMPUTED_VALUE"""),"Corporate Finance")</f>
        <v>Corporate Finance</v>
      </c>
      <c r="D4511" s="2" t="str">
        <f>IFERROR(__xludf.DUMMYFUNCTION("""COMPUTED_VALUE"""),"Riverpoint House")</f>
        <v>Riverpoint House</v>
      </c>
      <c r="E4511" s="2">
        <f>IFERROR(__xludf.DUMMYFUNCTION("""COMPUTED_VALUE"""),2.98)</f>
        <v>2.98</v>
      </c>
      <c r="F4511" s="2"/>
      <c r="G4511" s="2"/>
      <c r="H4511" s="2"/>
      <c r="I4511" s="2"/>
    </row>
    <row r="4512">
      <c r="A4512" s="2">
        <f>IFERROR(__xludf.DUMMYFUNCTION("""COMPUTED_VALUE"""),69340.0)</f>
        <v>69340</v>
      </c>
      <c r="B4512" s="2" t="str">
        <f>IFERROR(__xludf.DUMMYFUNCTION("""COMPUTED_VALUE"""),"Law")</f>
        <v>Law</v>
      </c>
      <c r="C4512" s="2" t="str">
        <f>IFERROR(__xludf.DUMMYFUNCTION("""COMPUTED_VALUE"""),"Corporate Finance")</f>
        <v>Corporate Finance</v>
      </c>
      <c r="D4512" s="2" t="str">
        <f>IFERROR(__xludf.DUMMYFUNCTION("""COMPUTED_VALUE"""),"Riverpoint House")</f>
        <v>Riverpoint House</v>
      </c>
      <c r="E4512" s="2">
        <f>IFERROR(__xludf.DUMMYFUNCTION("""COMPUTED_VALUE"""),2.38)</f>
        <v>2.38</v>
      </c>
      <c r="F4512" s="2"/>
      <c r="G4512" s="2"/>
      <c r="H4512" s="2"/>
      <c r="I4512" s="2"/>
    </row>
    <row r="4513">
      <c r="A4513" s="2">
        <f>IFERROR(__xludf.DUMMYFUNCTION("""COMPUTED_VALUE"""),199472.0)</f>
        <v>199472</v>
      </c>
      <c r="B4513" s="2" t="str">
        <f>IFERROR(__xludf.DUMMYFUNCTION("""COMPUTED_VALUE"""),"Law")</f>
        <v>Law</v>
      </c>
      <c r="C4513" s="2" t="str">
        <f>IFERROR(__xludf.DUMMYFUNCTION("""COMPUTED_VALUE"""),"Corporate Finance")</f>
        <v>Corporate Finance</v>
      </c>
      <c r="D4513" s="2" t="str">
        <f>IFERROR(__xludf.DUMMYFUNCTION("""COMPUTED_VALUE"""),"Riverpoint House")</f>
        <v>Riverpoint House</v>
      </c>
      <c r="E4513" s="2">
        <f>IFERROR(__xludf.DUMMYFUNCTION("""COMPUTED_VALUE"""),2.38)</f>
        <v>2.38</v>
      </c>
      <c r="F4513" s="2"/>
      <c r="G4513" s="2"/>
      <c r="H4513" s="2"/>
      <c r="I4513" s="2"/>
    </row>
    <row r="4514">
      <c r="A4514" s="2">
        <f>IFERROR(__xludf.DUMMYFUNCTION("""COMPUTED_VALUE"""),117646.0)</f>
        <v>117646</v>
      </c>
      <c r="B4514" s="2" t="str">
        <f>IFERROR(__xludf.DUMMYFUNCTION("""COMPUTED_VALUE"""),"Law")</f>
        <v>Law</v>
      </c>
      <c r="C4514" s="2" t="str">
        <f>IFERROR(__xludf.DUMMYFUNCTION("""COMPUTED_VALUE"""),"Corporate Finance")</f>
        <v>Corporate Finance</v>
      </c>
      <c r="D4514" s="2" t="str">
        <f>IFERROR(__xludf.DUMMYFUNCTION("""COMPUTED_VALUE"""),"Riverpoint House")</f>
        <v>Riverpoint House</v>
      </c>
      <c r="E4514" s="2">
        <f>IFERROR(__xludf.DUMMYFUNCTION("""COMPUTED_VALUE"""),1.24)</f>
        <v>1.24</v>
      </c>
      <c r="F4514" s="2"/>
      <c r="G4514" s="2"/>
      <c r="H4514" s="2"/>
      <c r="I4514" s="2"/>
    </row>
    <row r="4515">
      <c r="A4515" s="2">
        <f>IFERROR(__xludf.DUMMYFUNCTION("""COMPUTED_VALUE"""),84167.0)</f>
        <v>84167</v>
      </c>
      <c r="B4515" s="2" t="str">
        <f>IFERROR(__xludf.DUMMYFUNCTION("""COMPUTED_VALUE"""),"Law")</f>
        <v>Law</v>
      </c>
      <c r="C4515" s="2" t="str">
        <f>IFERROR(__xludf.DUMMYFUNCTION("""COMPUTED_VALUE"""),"Corporate Finance")</f>
        <v>Corporate Finance</v>
      </c>
      <c r="D4515" s="2" t="str">
        <f>IFERROR(__xludf.DUMMYFUNCTION("""COMPUTED_VALUE"""),"Riverpoint House")</f>
        <v>Riverpoint House</v>
      </c>
      <c r="E4515" s="2">
        <f>IFERROR(__xludf.DUMMYFUNCTION("""COMPUTED_VALUE"""),1.63)</f>
        <v>1.63</v>
      </c>
      <c r="F4515" s="2"/>
      <c r="G4515" s="2"/>
      <c r="H4515" s="2"/>
      <c r="I4515" s="2"/>
    </row>
    <row r="4516">
      <c r="A4516" s="2">
        <f>IFERROR(__xludf.DUMMYFUNCTION("""COMPUTED_VALUE"""),81742.0)</f>
        <v>81742</v>
      </c>
      <c r="B4516" s="2" t="str">
        <f>IFERROR(__xludf.DUMMYFUNCTION("""COMPUTED_VALUE"""),"Law")</f>
        <v>Law</v>
      </c>
      <c r="C4516" s="2" t="str">
        <f>IFERROR(__xludf.DUMMYFUNCTION("""COMPUTED_VALUE"""),"Corporate Finance")</f>
        <v>Corporate Finance</v>
      </c>
      <c r="D4516" s="2" t="str">
        <f>IFERROR(__xludf.DUMMYFUNCTION("""COMPUTED_VALUE"""),"Riverpoint House")</f>
        <v>Riverpoint House</v>
      </c>
      <c r="E4516" s="2">
        <f>IFERROR(__xludf.DUMMYFUNCTION("""COMPUTED_VALUE"""),2.35)</f>
        <v>2.35</v>
      </c>
      <c r="F4516" s="2"/>
      <c r="G4516" s="2"/>
      <c r="H4516" s="2"/>
      <c r="I4516" s="2"/>
    </row>
    <row r="4517">
      <c r="A4517" s="2">
        <f>IFERROR(__xludf.DUMMYFUNCTION("""COMPUTED_VALUE"""),115754.0)</f>
        <v>115754</v>
      </c>
      <c r="B4517" s="2" t="str">
        <f>IFERROR(__xludf.DUMMYFUNCTION("""COMPUTED_VALUE"""),"Law")</f>
        <v>Law</v>
      </c>
      <c r="C4517" s="2" t="str">
        <f>IFERROR(__xludf.DUMMYFUNCTION("""COMPUTED_VALUE"""),"Corporate Finance")</f>
        <v>Corporate Finance</v>
      </c>
      <c r="D4517" s="2" t="str">
        <f>IFERROR(__xludf.DUMMYFUNCTION("""COMPUTED_VALUE"""),"Riverpoint House")</f>
        <v>Riverpoint House</v>
      </c>
      <c r="E4517" s="2">
        <f>IFERROR(__xludf.DUMMYFUNCTION("""COMPUTED_VALUE"""),0.94)</f>
        <v>0.94</v>
      </c>
      <c r="F4517" s="2"/>
      <c r="G4517" s="2"/>
      <c r="H4517" s="2"/>
      <c r="I4517" s="2"/>
    </row>
    <row r="4518">
      <c r="A4518" s="2">
        <f>IFERROR(__xludf.DUMMYFUNCTION("""COMPUTED_VALUE"""),69334.0)</f>
        <v>69334</v>
      </c>
      <c r="B4518" s="2" t="str">
        <f>IFERROR(__xludf.DUMMYFUNCTION("""COMPUTED_VALUE"""),"Law")</f>
        <v>Law</v>
      </c>
      <c r="C4518" s="2" t="str">
        <f>IFERROR(__xludf.DUMMYFUNCTION("""COMPUTED_VALUE"""),"Corporate Finance")</f>
        <v>Corporate Finance</v>
      </c>
      <c r="D4518" s="2" t="str">
        <f>IFERROR(__xludf.DUMMYFUNCTION("""COMPUTED_VALUE"""),"Riverpoint House")</f>
        <v>Riverpoint House</v>
      </c>
      <c r="E4518" s="2">
        <f>IFERROR(__xludf.DUMMYFUNCTION("""COMPUTED_VALUE"""),2.94)</f>
        <v>2.94</v>
      </c>
      <c r="F4518" s="2"/>
      <c r="G4518" s="2"/>
      <c r="H4518" s="2"/>
      <c r="I4518" s="2"/>
    </row>
    <row r="4519">
      <c r="A4519" s="2">
        <f>IFERROR(__xludf.DUMMYFUNCTION("""COMPUTED_VALUE"""),117753.0)</f>
        <v>117753</v>
      </c>
      <c r="B4519" s="2" t="str">
        <f>IFERROR(__xludf.DUMMYFUNCTION("""COMPUTED_VALUE"""),"Law")</f>
        <v>Law</v>
      </c>
      <c r="C4519" s="2" t="str">
        <f>IFERROR(__xludf.DUMMYFUNCTION("""COMPUTED_VALUE"""),"Corporate Finance")</f>
        <v>Corporate Finance</v>
      </c>
      <c r="D4519" s="2" t="str">
        <f>IFERROR(__xludf.DUMMYFUNCTION("""COMPUTED_VALUE"""),"Riverpoint House")</f>
        <v>Riverpoint House</v>
      </c>
      <c r="E4519" s="2">
        <f>IFERROR(__xludf.DUMMYFUNCTION("""COMPUTED_VALUE"""),1.37)</f>
        <v>1.37</v>
      </c>
      <c r="F4519" s="2"/>
      <c r="G4519" s="2"/>
      <c r="H4519" s="2"/>
      <c r="I4519" s="2"/>
    </row>
    <row r="4520">
      <c r="A4520" s="2">
        <f>IFERROR(__xludf.DUMMYFUNCTION("""COMPUTED_VALUE"""),129482.0)</f>
        <v>129482</v>
      </c>
      <c r="B4520" s="2" t="str">
        <f>IFERROR(__xludf.DUMMYFUNCTION("""COMPUTED_VALUE"""),"Law")</f>
        <v>Law</v>
      </c>
      <c r="C4520" s="2" t="str">
        <f>IFERROR(__xludf.DUMMYFUNCTION("""COMPUTED_VALUE"""),"Corporate Finance")</f>
        <v>Corporate Finance</v>
      </c>
      <c r="D4520" s="2" t="str">
        <f>IFERROR(__xludf.DUMMYFUNCTION("""COMPUTED_VALUE"""),"Riverpoint House")</f>
        <v>Riverpoint House</v>
      </c>
      <c r="E4520" s="2">
        <f>IFERROR(__xludf.DUMMYFUNCTION("""COMPUTED_VALUE"""),0.56)</f>
        <v>0.56</v>
      </c>
      <c r="F4520" s="2"/>
      <c r="G4520" s="2"/>
      <c r="H4520" s="2"/>
      <c r="I4520" s="2"/>
    </row>
    <row r="4521">
      <c r="A4521" s="2">
        <f>IFERROR(__xludf.DUMMYFUNCTION("""COMPUTED_VALUE"""),117634.0)</f>
        <v>117634</v>
      </c>
      <c r="B4521" s="2" t="str">
        <f>IFERROR(__xludf.DUMMYFUNCTION("""COMPUTED_VALUE"""),"Law")</f>
        <v>Law</v>
      </c>
      <c r="C4521" s="2" t="str">
        <f>IFERROR(__xludf.DUMMYFUNCTION("""COMPUTED_VALUE"""),"Corporate Finance")</f>
        <v>Corporate Finance</v>
      </c>
      <c r="D4521" s="2" t="str">
        <f>IFERROR(__xludf.DUMMYFUNCTION("""COMPUTED_VALUE"""),"Riverpoint House")</f>
        <v>Riverpoint House</v>
      </c>
      <c r="E4521" s="2">
        <f>IFERROR(__xludf.DUMMYFUNCTION("""COMPUTED_VALUE"""),1.05)</f>
        <v>1.05</v>
      </c>
      <c r="F4521" s="2"/>
      <c r="G4521" s="2"/>
      <c r="H4521" s="2"/>
      <c r="I4521" s="2"/>
    </row>
    <row r="4522">
      <c r="A4522" s="2">
        <f>IFERROR(__xludf.DUMMYFUNCTION("""COMPUTED_VALUE"""),111027.0)</f>
        <v>111027</v>
      </c>
      <c r="B4522" s="2" t="str">
        <f>IFERROR(__xludf.DUMMYFUNCTION("""COMPUTED_VALUE"""),"Law")</f>
        <v>Law</v>
      </c>
      <c r="C4522" s="2" t="str">
        <f>IFERROR(__xludf.DUMMYFUNCTION("""COMPUTED_VALUE"""),"Corporate Finance")</f>
        <v>Corporate Finance</v>
      </c>
      <c r="D4522" s="2" t="str">
        <f>IFERROR(__xludf.DUMMYFUNCTION("""COMPUTED_VALUE"""),"Riverpoint House")</f>
        <v>Riverpoint House</v>
      </c>
      <c r="E4522" s="2">
        <f>IFERROR(__xludf.DUMMYFUNCTION("""COMPUTED_VALUE"""),1.87)</f>
        <v>1.87</v>
      </c>
      <c r="F4522" s="2"/>
      <c r="G4522" s="2"/>
      <c r="H4522" s="2"/>
      <c r="I4522" s="2"/>
    </row>
    <row r="4523">
      <c r="A4523" s="2">
        <f>IFERROR(__xludf.DUMMYFUNCTION("""COMPUTED_VALUE"""),115772.0)</f>
        <v>115772</v>
      </c>
      <c r="B4523" s="2" t="str">
        <f>IFERROR(__xludf.DUMMYFUNCTION("""COMPUTED_VALUE"""),"Law")</f>
        <v>Law</v>
      </c>
      <c r="C4523" s="2" t="str">
        <f>IFERROR(__xludf.DUMMYFUNCTION("""COMPUTED_VALUE"""),"Corporate Finance")</f>
        <v>Corporate Finance</v>
      </c>
      <c r="D4523" s="2" t="str">
        <f>IFERROR(__xludf.DUMMYFUNCTION("""COMPUTED_VALUE"""),"Riverpoint House")</f>
        <v>Riverpoint House</v>
      </c>
      <c r="E4523" s="2">
        <f>IFERROR(__xludf.DUMMYFUNCTION("""COMPUTED_VALUE"""),1.63)</f>
        <v>1.63</v>
      </c>
      <c r="F4523" s="2"/>
      <c r="G4523" s="2"/>
      <c r="H4523" s="2"/>
      <c r="I4523" s="2"/>
    </row>
    <row r="4524">
      <c r="A4524" s="2">
        <f>IFERROR(__xludf.DUMMYFUNCTION("""COMPUTED_VALUE"""),115768.0)</f>
        <v>115768</v>
      </c>
      <c r="B4524" s="2" t="str">
        <f>IFERROR(__xludf.DUMMYFUNCTION("""COMPUTED_VALUE"""),"Law")</f>
        <v>Law</v>
      </c>
      <c r="C4524" s="2" t="str">
        <f>IFERROR(__xludf.DUMMYFUNCTION("""COMPUTED_VALUE"""),"Corporate Finance")</f>
        <v>Corporate Finance</v>
      </c>
      <c r="D4524" s="2" t="str">
        <f>IFERROR(__xludf.DUMMYFUNCTION("""COMPUTED_VALUE"""),"Riverpoint House")</f>
        <v>Riverpoint House</v>
      </c>
      <c r="E4524" s="2">
        <f>IFERROR(__xludf.DUMMYFUNCTION("""COMPUTED_VALUE"""),0.97)</f>
        <v>0.97</v>
      </c>
      <c r="F4524" s="2"/>
      <c r="G4524" s="2"/>
      <c r="H4524" s="2"/>
      <c r="I4524" s="2"/>
    </row>
    <row r="4525">
      <c r="A4525" s="2">
        <f>IFERROR(__xludf.DUMMYFUNCTION("""COMPUTED_VALUE"""),69476.0)</f>
        <v>69476</v>
      </c>
      <c r="B4525" s="2" t="str">
        <f>IFERROR(__xludf.DUMMYFUNCTION("""COMPUTED_VALUE"""),"Law")</f>
        <v>Law</v>
      </c>
      <c r="C4525" s="2" t="str">
        <f>IFERROR(__xludf.DUMMYFUNCTION("""COMPUTED_VALUE"""),"Corporate Finance")</f>
        <v>Corporate Finance</v>
      </c>
      <c r="D4525" s="2" t="str">
        <f>IFERROR(__xludf.DUMMYFUNCTION("""COMPUTED_VALUE"""),"Riverpoint House")</f>
        <v>Riverpoint House</v>
      </c>
      <c r="E4525" s="2">
        <f>IFERROR(__xludf.DUMMYFUNCTION("""COMPUTED_VALUE"""),1.51)</f>
        <v>1.51</v>
      </c>
      <c r="F4525" s="2"/>
      <c r="G4525" s="2"/>
      <c r="H4525" s="2"/>
      <c r="I4525" s="2"/>
    </row>
    <row r="4526">
      <c r="A4526" s="2">
        <f>IFERROR(__xludf.DUMMYFUNCTION("""COMPUTED_VALUE"""),122118.0)</f>
        <v>122118</v>
      </c>
      <c r="B4526" s="2" t="str">
        <f>IFERROR(__xludf.DUMMYFUNCTION("""COMPUTED_VALUE"""),"Law")</f>
        <v>Law</v>
      </c>
      <c r="C4526" s="2" t="str">
        <f>IFERROR(__xludf.DUMMYFUNCTION("""COMPUTED_VALUE"""),"Corporate Finance")</f>
        <v>Corporate Finance</v>
      </c>
      <c r="D4526" s="2" t="str">
        <f>IFERROR(__xludf.DUMMYFUNCTION("""COMPUTED_VALUE"""),"Riverpoint House")</f>
        <v>Riverpoint House</v>
      </c>
      <c r="E4526" s="2">
        <f>IFERROR(__xludf.DUMMYFUNCTION("""COMPUTED_VALUE"""),1.52)</f>
        <v>1.52</v>
      </c>
      <c r="F4526" s="2"/>
      <c r="G4526" s="2"/>
      <c r="H4526" s="2"/>
      <c r="I4526" s="2"/>
    </row>
    <row r="4527">
      <c r="A4527" s="2">
        <f>IFERROR(__xludf.DUMMYFUNCTION("""COMPUTED_VALUE"""),87447.0)</f>
        <v>87447</v>
      </c>
      <c r="B4527" s="2" t="str">
        <f>IFERROR(__xludf.DUMMYFUNCTION("""COMPUTED_VALUE"""),"Law")</f>
        <v>Law</v>
      </c>
      <c r="C4527" s="2" t="str">
        <f>IFERROR(__xludf.DUMMYFUNCTION("""COMPUTED_VALUE"""),"Corporate Finance")</f>
        <v>Corporate Finance</v>
      </c>
      <c r="D4527" s="2" t="str">
        <f>IFERROR(__xludf.DUMMYFUNCTION("""COMPUTED_VALUE"""),"Riverpoint House")</f>
        <v>Riverpoint House</v>
      </c>
      <c r="E4527" s="2">
        <f>IFERROR(__xludf.DUMMYFUNCTION("""COMPUTED_VALUE"""),0.57)</f>
        <v>0.57</v>
      </c>
      <c r="F4527" s="2"/>
      <c r="G4527" s="2"/>
      <c r="H4527" s="2"/>
      <c r="I4527" s="2"/>
    </row>
    <row r="4528">
      <c r="A4528" s="2">
        <f>IFERROR(__xludf.DUMMYFUNCTION("""COMPUTED_VALUE"""),129480.0)</f>
        <v>129480</v>
      </c>
      <c r="B4528" s="2" t="str">
        <f>IFERROR(__xludf.DUMMYFUNCTION("""COMPUTED_VALUE"""),"Law")</f>
        <v>Law</v>
      </c>
      <c r="C4528" s="2" t="str">
        <f>IFERROR(__xludf.DUMMYFUNCTION("""COMPUTED_VALUE"""),"Corporate Finance")</f>
        <v>Corporate Finance</v>
      </c>
      <c r="D4528" s="2" t="str">
        <f>IFERROR(__xludf.DUMMYFUNCTION("""COMPUTED_VALUE"""),"Riverpoint House")</f>
        <v>Riverpoint House</v>
      </c>
      <c r="E4528" s="2">
        <f>IFERROR(__xludf.DUMMYFUNCTION("""COMPUTED_VALUE"""),0.71)</f>
        <v>0.71</v>
      </c>
      <c r="F4528" s="2"/>
      <c r="G4528" s="2"/>
      <c r="H4528" s="2"/>
      <c r="I4528" s="2"/>
    </row>
    <row r="4529">
      <c r="A4529" s="2">
        <f>IFERROR(__xludf.DUMMYFUNCTION("""COMPUTED_VALUE"""),84164.0)</f>
        <v>84164</v>
      </c>
      <c r="B4529" s="2" t="str">
        <f>IFERROR(__xludf.DUMMYFUNCTION("""COMPUTED_VALUE"""),"Law")</f>
        <v>Law</v>
      </c>
      <c r="C4529" s="2" t="str">
        <f>IFERROR(__xludf.DUMMYFUNCTION("""COMPUTED_VALUE"""),"Corporate Finance")</f>
        <v>Corporate Finance</v>
      </c>
      <c r="D4529" s="2" t="str">
        <f>IFERROR(__xludf.DUMMYFUNCTION("""COMPUTED_VALUE"""),"Riverpoint House")</f>
        <v>Riverpoint House</v>
      </c>
      <c r="E4529" s="2">
        <f>IFERROR(__xludf.DUMMYFUNCTION("""COMPUTED_VALUE"""),1.61)</f>
        <v>1.61</v>
      </c>
      <c r="F4529" s="2"/>
      <c r="G4529" s="2"/>
      <c r="H4529" s="2"/>
      <c r="I4529" s="2"/>
    </row>
    <row r="4530">
      <c r="A4530" s="2">
        <f>IFERROR(__xludf.DUMMYFUNCTION("""COMPUTED_VALUE"""),69338.0)</f>
        <v>69338</v>
      </c>
      <c r="B4530" s="2" t="str">
        <f>IFERROR(__xludf.DUMMYFUNCTION("""COMPUTED_VALUE"""),"Law")</f>
        <v>Law</v>
      </c>
      <c r="C4530" s="2" t="str">
        <f>IFERROR(__xludf.DUMMYFUNCTION("""COMPUTED_VALUE"""),"Corporate Finance")</f>
        <v>Corporate Finance</v>
      </c>
      <c r="D4530" s="2" t="str">
        <f>IFERROR(__xludf.DUMMYFUNCTION("""COMPUTED_VALUE"""),"Riverpoint House")</f>
        <v>Riverpoint House</v>
      </c>
      <c r="E4530" s="2">
        <f>IFERROR(__xludf.DUMMYFUNCTION("""COMPUTED_VALUE"""),1.84)</f>
        <v>1.84</v>
      </c>
      <c r="F4530" s="2"/>
      <c r="G4530" s="2"/>
      <c r="H4530" s="2"/>
      <c r="I4530" s="2"/>
    </row>
    <row r="4531">
      <c r="A4531" s="2">
        <f>IFERROR(__xludf.DUMMYFUNCTION("""COMPUTED_VALUE"""),120531.0)</f>
        <v>120531</v>
      </c>
      <c r="B4531" s="2" t="str">
        <f>IFERROR(__xludf.DUMMYFUNCTION("""COMPUTED_VALUE"""),"Law")</f>
        <v>Law</v>
      </c>
      <c r="C4531" s="2" t="str">
        <f>IFERROR(__xludf.DUMMYFUNCTION("""COMPUTED_VALUE"""),"Corporate Finance")</f>
        <v>Corporate Finance</v>
      </c>
      <c r="D4531" s="2" t="str">
        <f>IFERROR(__xludf.DUMMYFUNCTION("""COMPUTED_VALUE"""),"Riverpoint House")</f>
        <v>Riverpoint House</v>
      </c>
      <c r="E4531" s="2">
        <f>IFERROR(__xludf.DUMMYFUNCTION("""COMPUTED_VALUE"""),1.18)</f>
        <v>1.18</v>
      </c>
      <c r="F4531" s="2"/>
      <c r="G4531" s="2"/>
      <c r="H4531" s="2"/>
      <c r="I4531" s="2"/>
    </row>
    <row r="4532">
      <c r="A4532" s="2">
        <f>IFERROR(__xludf.DUMMYFUNCTION("""COMPUTED_VALUE"""),120524.0)</f>
        <v>120524</v>
      </c>
      <c r="B4532" s="2" t="str">
        <f>IFERROR(__xludf.DUMMYFUNCTION("""COMPUTED_VALUE"""),"Law")</f>
        <v>Law</v>
      </c>
      <c r="C4532" s="2" t="str">
        <f>IFERROR(__xludf.DUMMYFUNCTION("""COMPUTED_VALUE"""),"Corporate Finance")</f>
        <v>Corporate Finance</v>
      </c>
      <c r="D4532" s="2" t="str">
        <f>IFERROR(__xludf.DUMMYFUNCTION("""COMPUTED_VALUE"""),"Riverpoint House")</f>
        <v>Riverpoint House</v>
      </c>
      <c r="E4532" s="2">
        <f>IFERROR(__xludf.DUMMYFUNCTION("""COMPUTED_VALUE"""),2.25)</f>
        <v>2.25</v>
      </c>
      <c r="F4532" s="2"/>
      <c r="G4532" s="2"/>
      <c r="H4532" s="2"/>
      <c r="I4532" s="2"/>
    </row>
    <row r="4533">
      <c r="A4533" s="2">
        <f>IFERROR(__xludf.DUMMYFUNCTION("""COMPUTED_VALUE"""),117631.0)</f>
        <v>117631</v>
      </c>
      <c r="B4533" s="2" t="str">
        <f>IFERROR(__xludf.DUMMYFUNCTION("""COMPUTED_VALUE"""),"Law")</f>
        <v>Law</v>
      </c>
      <c r="C4533" s="2" t="str">
        <f>IFERROR(__xludf.DUMMYFUNCTION("""COMPUTED_VALUE"""),"Corporate Finance")</f>
        <v>Corporate Finance</v>
      </c>
      <c r="D4533" s="2" t="str">
        <f>IFERROR(__xludf.DUMMYFUNCTION("""COMPUTED_VALUE"""),"Riverpoint House")</f>
        <v>Riverpoint House</v>
      </c>
      <c r="E4533" s="2">
        <f>IFERROR(__xludf.DUMMYFUNCTION("""COMPUTED_VALUE"""),1.76)</f>
        <v>1.76</v>
      </c>
      <c r="F4533" s="2"/>
      <c r="G4533" s="2"/>
      <c r="H4533" s="2"/>
      <c r="I4533" s="2"/>
    </row>
    <row r="4534">
      <c r="A4534" s="2">
        <f>IFERROR(__xludf.DUMMYFUNCTION("""COMPUTED_VALUE"""),115757.0)</f>
        <v>115757</v>
      </c>
      <c r="B4534" s="2" t="str">
        <f>IFERROR(__xludf.DUMMYFUNCTION("""COMPUTED_VALUE"""),"Law")</f>
        <v>Law</v>
      </c>
      <c r="C4534" s="2" t="str">
        <f>IFERROR(__xludf.DUMMYFUNCTION("""COMPUTED_VALUE"""),"Corporate Finance")</f>
        <v>Corporate Finance</v>
      </c>
      <c r="D4534" s="2" t="str">
        <f>IFERROR(__xludf.DUMMYFUNCTION("""COMPUTED_VALUE"""),"Riverpoint House")</f>
        <v>Riverpoint House</v>
      </c>
      <c r="E4534" s="2">
        <f>IFERROR(__xludf.DUMMYFUNCTION("""COMPUTED_VALUE"""),0.84)</f>
        <v>0.84</v>
      </c>
      <c r="F4534" s="2"/>
      <c r="G4534" s="2"/>
      <c r="H4534" s="2"/>
      <c r="I4534" s="2"/>
    </row>
    <row r="4535">
      <c r="A4535" s="2">
        <f>IFERROR(__xludf.DUMMYFUNCTION("""COMPUTED_VALUE"""),42243.0)</f>
        <v>42243</v>
      </c>
      <c r="B4535" s="2" t="str">
        <f>IFERROR(__xludf.DUMMYFUNCTION("""COMPUTED_VALUE"""),"Law")</f>
        <v>Law</v>
      </c>
      <c r="C4535" s="2" t="str">
        <f>IFERROR(__xludf.DUMMYFUNCTION("""COMPUTED_VALUE"""),"Corporate Finance")</f>
        <v>Corporate Finance</v>
      </c>
      <c r="D4535" s="2" t="str">
        <f>IFERROR(__xludf.DUMMYFUNCTION("""COMPUTED_VALUE"""),"Riverpoint House")</f>
        <v>Riverpoint House</v>
      </c>
      <c r="E4535" s="2">
        <f>IFERROR(__xludf.DUMMYFUNCTION("""COMPUTED_VALUE"""),2.35)</f>
        <v>2.35</v>
      </c>
      <c r="F4535" s="2"/>
      <c r="G4535" s="2"/>
      <c r="H4535" s="2"/>
      <c r="I4535" s="2"/>
    </row>
    <row r="4536">
      <c r="A4536" s="2">
        <f>IFERROR(__xludf.DUMMYFUNCTION("""COMPUTED_VALUE"""),115761.0)</f>
        <v>115761</v>
      </c>
      <c r="B4536" s="2" t="str">
        <f>IFERROR(__xludf.DUMMYFUNCTION("""COMPUTED_VALUE"""),"Law")</f>
        <v>Law</v>
      </c>
      <c r="C4536" s="2" t="str">
        <f>IFERROR(__xludf.DUMMYFUNCTION("""COMPUTED_VALUE"""),"Corporate Finance")</f>
        <v>Corporate Finance</v>
      </c>
      <c r="D4536" s="2" t="str">
        <f>IFERROR(__xludf.DUMMYFUNCTION("""COMPUTED_VALUE"""),"Riverpoint House")</f>
        <v>Riverpoint House</v>
      </c>
      <c r="E4536" s="2">
        <f>IFERROR(__xludf.DUMMYFUNCTION("""COMPUTED_VALUE"""),0.95)</f>
        <v>0.95</v>
      </c>
      <c r="F4536" s="2"/>
      <c r="G4536" s="2"/>
      <c r="H4536" s="2"/>
      <c r="I4536" s="2"/>
    </row>
    <row r="4537">
      <c r="A4537" s="2">
        <f>IFERROR(__xludf.DUMMYFUNCTION("""COMPUTED_VALUE"""),113960.0)</f>
        <v>113960</v>
      </c>
      <c r="B4537" s="2" t="str">
        <f>IFERROR(__xludf.DUMMYFUNCTION("""COMPUTED_VALUE"""),"Law")</f>
        <v>Law</v>
      </c>
      <c r="C4537" s="2" t="str">
        <f>IFERROR(__xludf.DUMMYFUNCTION("""COMPUTED_VALUE"""),"Corporate Finance")</f>
        <v>Corporate Finance</v>
      </c>
      <c r="D4537" s="2" t="str">
        <f>IFERROR(__xludf.DUMMYFUNCTION("""COMPUTED_VALUE"""),"Riverpoint House")</f>
        <v>Riverpoint House</v>
      </c>
      <c r="E4537" s="2">
        <f>IFERROR(__xludf.DUMMYFUNCTION("""COMPUTED_VALUE"""),1.57)</f>
        <v>1.57</v>
      </c>
      <c r="F4537" s="2"/>
      <c r="G4537" s="2"/>
      <c r="H4537" s="2"/>
      <c r="I4537" s="2"/>
    </row>
    <row r="4538">
      <c r="A4538" s="2">
        <f>IFERROR(__xludf.DUMMYFUNCTION("""COMPUTED_VALUE"""),42241.0)</f>
        <v>42241</v>
      </c>
      <c r="B4538" s="2" t="str">
        <f>IFERROR(__xludf.DUMMYFUNCTION("""COMPUTED_VALUE"""),"Law")</f>
        <v>Law</v>
      </c>
      <c r="C4538" s="2" t="str">
        <f>IFERROR(__xludf.DUMMYFUNCTION("""COMPUTED_VALUE"""),"Corporate Finance")</f>
        <v>Corporate Finance</v>
      </c>
      <c r="D4538" s="2" t="str">
        <f>IFERROR(__xludf.DUMMYFUNCTION("""COMPUTED_VALUE"""),"Riverpoint House")</f>
        <v>Riverpoint House</v>
      </c>
      <c r="E4538" s="2">
        <f>IFERROR(__xludf.DUMMYFUNCTION("""COMPUTED_VALUE"""),2.11)</f>
        <v>2.11</v>
      </c>
      <c r="F4538" s="2"/>
      <c r="G4538" s="2"/>
      <c r="H4538" s="2"/>
      <c r="I4538" s="2"/>
    </row>
    <row r="4539">
      <c r="A4539" s="2">
        <f>IFERROR(__xludf.DUMMYFUNCTION("""COMPUTED_VALUE"""),115770.0)</f>
        <v>115770</v>
      </c>
      <c r="B4539" s="2" t="str">
        <f>IFERROR(__xludf.DUMMYFUNCTION("""COMPUTED_VALUE"""),"Law")</f>
        <v>Law</v>
      </c>
      <c r="C4539" s="2" t="str">
        <f>IFERROR(__xludf.DUMMYFUNCTION("""COMPUTED_VALUE"""),"Corporate Finance")</f>
        <v>Corporate Finance</v>
      </c>
      <c r="D4539" s="2" t="str">
        <f>IFERROR(__xludf.DUMMYFUNCTION("""COMPUTED_VALUE"""),"Riverpoint House")</f>
        <v>Riverpoint House</v>
      </c>
      <c r="E4539" s="2">
        <f>IFERROR(__xludf.DUMMYFUNCTION("""COMPUTED_VALUE"""),1.84)</f>
        <v>1.84</v>
      </c>
      <c r="F4539" s="2"/>
      <c r="G4539" s="2"/>
      <c r="H4539" s="2"/>
      <c r="I4539" s="2"/>
    </row>
    <row r="4540">
      <c r="A4540" s="2">
        <f>IFERROR(__xludf.DUMMYFUNCTION("""COMPUTED_VALUE"""),118541.0)</f>
        <v>118541</v>
      </c>
      <c r="B4540" s="2" t="str">
        <f>IFERROR(__xludf.DUMMYFUNCTION("""COMPUTED_VALUE"""),"Law")</f>
        <v>Law</v>
      </c>
      <c r="C4540" s="2" t="str">
        <f>IFERROR(__xludf.DUMMYFUNCTION("""COMPUTED_VALUE"""),"Corporate Finance")</f>
        <v>Corporate Finance</v>
      </c>
      <c r="D4540" s="2" t="str">
        <f>IFERROR(__xludf.DUMMYFUNCTION("""COMPUTED_VALUE"""),"Riverpoint House")</f>
        <v>Riverpoint House</v>
      </c>
      <c r="E4540" s="2">
        <f>IFERROR(__xludf.DUMMYFUNCTION("""COMPUTED_VALUE"""),1.53)</f>
        <v>1.53</v>
      </c>
      <c r="F4540" s="2"/>
      <c r="G4540" s="2"/>
      <c r="H4540" s="2"/>
      <c r="I4540" s="2"/>
    </row>
    <row r="4541">
      <c r="A4541" s="2">
        <f>IFERROR(__xludf.DUMMYFUNCTION("""COMPUTED_VALUE"""),115750.0)</f>
        <v>115750</v>
      </c>
      <c r="B4541" s="2" t="str">
        <f>IFERROR(__xludf.DUMMYFUNCTION("""COMPUTED_VALUE"""),"Law")</f>
        <v>Law</v>
      </c>
      <c r="C4541" s="2" t="str">
        <f>IFERROR(__xludf.DUMMYFUNCTION("""COMPUTED_VALUE"""),"Corporate Finance")</f>
        <v>Corporate Finance</v>
      </c>
      <c r="D4541" s="2" t="str">
        <f>IFERROR(__xludf.DUMMYFUNCTION("""COMPUTED_VALUE"""),"Riverpoint House")</f>
        <v>Riverpoint House</v>
      </c>
      <c r="E4541" s="2">
        <f>IFERROR(__xludf.DUMMYFUNCTION("""COMPUTED_VALUE"""),0.52)</f>
        <v>0.52</v>
      </c>
      <c r="F4541" s="2"/>
      <c r="G4541" s="2"/>
      <c r="H4541" s="2"/>
      <c r="I4541" s="2"/>
    </row>
    <row r="4542">
      <c r="A4542" s="2">
        <f>IFERROR(__xludf.DUMMYFUNCTION("""COMPUTED_VALUE"""),99969.0)</f>
        <v>99969</v>
      </c>
      <c r="B4542" s="2" t="str">
        <f>IFERROR(__xludf.DUMMYFUNCTION("""COMPUTED_VALUE"""),"Law")</f>
        <v>Law</v>
      </c>
      <c r="C4542" s="2" t="str">
        <f>IFERROR(__xludf.DUMMYFUNCTION("""COMPUTED_VALUE"""),"Corporate Finance")</f>
        <v>Corporate Finance</v>
      </c>
      <c r="D4542" s="2" t="str">
        <f>IFERROR(__xludf.DUMMYFUNCTION("""COMPUTED_VALUE"""),"Riverpoint House")</f>
        <v>Riverpoint House</v>
      </c>
      <c r="E4542" s="2">
        <f>IFERROR(__xludf.DUMMYFUNCTION("""COMPUTED_VALUE"""),4.18)</f>
        <v>4.18</v>
      </c>
      <c r="F4542" s="2"/>
      <c r="G4542" s="2"/>
      <c r="H4542" s="2"/>
      <c r="I4542" s="2"/>
    </row>
    <row r="4543">
      <c r="A4543" s="2">
        <f>IFERROR(__xludf.DUMMYFUNCTION("""COMPUTED_VALUE"""),129483.0)</f>
        <v>129483</v>
      </c>
      <c r="B4543" s="2" t="str">
        <f>IFERROR(__xludf.DUMMYFUNCTION("""COMPUTED_VALUE"""),"Law")</f>
        <v>Law</v>
      </c>
      <c r="C4543" s="2" t="str">
        <f>IFERROR(__xludf.DUMMYFUNCTION("""COMPUTED_VALUE"""),"Corporate Finance")</f>
        <v>Corporate Finance</v>
      </c>
      <c r="D4543" s="2" t="str">
        <f>IFERROR(__xludf.DUMMYFUNCTION("""COMPUTED_VALUE"""),"Riverpoint House")</f>
        <v>Riverpoint House</v>
      </c>
      <c r="E4543" s="2">
        <f>IFERROR(__xludf.DUMMYFUNCTION("""COMPUTED_VALUE"""),0.63)</f>
        <v>0.63</v>
      </c>
      <c r="F4543" s="2"/>
      <c r="G4543" s="2"/>
      <c r="H4543" s="2"/>
      <c r="I4543" s="2"/>
    </row>
    <row r="4544">
      <c r="A4544" s="2">
        <f>IFERROR(__xludf.DUMMYFUNCTION("""COMPUTED_VALUE"""),42255.0)</f>
        <v>42255</v>
      </c>
      <c r="B4544" s="2" t="str">
        <f>IFERROR(__xludf.DUMMYFUNCTION("""COMPUTED_VALUE"""),"Law")</f>
        <v>Law</v>
      </c>
      <c r="C4544" s="2" t="str">
        <f>IFERROR(__xludf.DUMMYFUNCTION("""COMPUTED_VALUE"""),"Corporate Finance")</f>
        <v>Corporate Finance</v>
      </c>
      <c r="D4544" s="2" t="str">
        <f>IFERROR(__xludf.DUMMYFUNCTION("""COMPUTED_VALUE"""),"Riverpoint House")</f>
        <v>Riverpoint House</v>
      </c>
      <c r="E4544" s="2">
        <f>IFERROR(__xludf.DUMMYFUNCTION("""COMPUTED_VALUE"""),1.44)</f>
        <v>1.44</v>
      </c>
      <c r="F4544" s="2"/>
      <c r="G4544" s="2"/>
      <c r="H4544" s="2"/>
      <c r="I4544" s="2"/>
    </row>
    <row r="4545">
      <c r="A4545" s="2">
        <f>IFERROR(__xludf.DUMMYFUNCTION("""COMPUTED_VALUE"""),100235.0)</f>
        <v>100235</v>
      </c>
      <c r="B4545" s="2" t="str">
        <f>IFERROR(__xludf.DUMMYFUNCTION("""COMPUTED_VALUE"""),"Law")</f>
        <v>Law</v>
      </c>
      <c r="C4545" s="2" t="str">
        <f>IFERROR(__xludf.DUMMYFUNCTION("""COMPUTED_VALUE"""),"Corporate Finance")</f>
        <v>Corporate Finance</v>
      </c>
      <c r="D4545" s="2" t="str">
        <f>IFERROR(__xludf.DUMMYFUNCTION("""COMPUTED_VALUE"""),"Riverpoint House")</f>
        <v>Riverpoint House</v>
      </c>
      <c r="E4545" s="2">
        <f>IFERROR(__xludf.DUMMYFUNCTION("""COMPUTED_VALUE"""),1.39)</f>
        <v>1.39</v>
      </c>
      <c r="F4545" s="2"/>
      <c r="G4545" s="2"/>
      <c r="H4545" s="2"/>
      <c r="I4545" s="2"/>
    </row>
    <row r="4546">
      <c r="A4546" s="2">
        <f>IFERROR(__xludf.DUMMYFUNCTION("""COMPUTED_VALUE"""),129481.0)</f>
        <v>129481</v>
      </c>
      <c r="B4546" s="2" t="str">
        <f>IFERROR(__xludf.DUMMYFUNCTION("""COMPUTED_VALUE"""),"Law")</f>
        <v>Law</v>
      </c>
      <c r="C4546" s="2" t="str">
        <f>IFERROR(__xludf.DUMMYFUNCTION("""COMPUTED_VALUE"""),"Corporate Finance")</f>
        <v>Corporate Finance</v>
      </c>
      <c r="D4546" s="2" t="str">
        <f>IFERROR(__xludf.DUMMYFUNCTION("""COMPUTED_VALUE"""),"Riverpoint House")</f>
        <v>Riverpoint House</v>
      </c>
      <c r="E4546" s="2">
        <f>IFERROR(__xludf.DUMMYFUNCTION("""COMPUTED_VALUE"""),1.09)</f>
        <v>1.09</v>
      </c>
      <c r="F4546" s="2"/>
      <c r="G4546" s="2"/>
      <c r="H4546" s="2"/>
      <c r="I4546" s="2"/>
    </row>
    <row r="4547">
      <c r="A4547" s="2">
        <f>IFERROR(__xludf.DUMMYFUNCTION("""COMPUTED_VALUE"""),87455.0)</f>
        <v>87455</v>
      </c>
      <c r="B4547" s="2" t="str">
        <f>IFERROR(__xludf.DUMMYFUNCTION("""COMPUTED_VALUE"""),"Law")</f>
        <v>Law</v>
      </c>
      <c r="C4547" s="2" t="str">
        <f>IFERROR(__xludf.DUMMYFUNCTION("""COMPUTED_VALUE"""),"Corporate Finance")</f>
        <v>Corporate Finance</v>
      </c>
      <c r="D4547" s="2" t="str">
        <f>IFERROR(__xludf.DUMMYFUNCTION("""COMPUTED_VALUE"""),"Riverpoint House")</f>
        <v>Riverpoint House</v>
      </c>
      <c r="E4547" s="2">
        <f>IFERROR(__xludf.DUMMYFUNCTION("""COMPUTED_VALUE"""),0.73)</f>
        <v>0.73</v>
      </c>
      <c r="F4547" s="2"/>
      <c r="G4547" s="2"/>
      <c r="H4547" s="2"/>
      <c r="I4547" s="2"/>
    </row>
    <row r="4548">
      <c r="A4548" s="2">
        <f>IFERROR(__xludf.DUMMYFUNCTION("""COMPUTED_VALUE"""),120257.0)</f>
        <v>120257</v>
      </c>
      <c r="B4548" s="2" t="str">
        <f>IFERROR(__xludf.DUMMYFUNCTION("""COMPUTED_VALUE"""),"Medical")</f>
        <v>Medical</v>
      </c>
      <c r="C4548" s="2" t="str">
        <f>IFERROR(__xludf.DUMMYFUNCTION("""COMPUTED_VALUE"""),"Financial Analysis")</f>
        <v>Financial Analysis</v>
      </c>
      <c r="D4548" s="2" t="str">
        <f>IFERROR(__xludf.DUMMYFUNCTION("""COMPUTED_VALUE"""),"Ironpoint House")</f>
        <v>Ironpoint House</v>
      </c>
      <c r="E4548" s="2">
        <f>IFERROR(__xludf.DUMMYFUNCTION("""COMPUTED_VALUE"""),1.18)</f>
        <v>1.18</v>
      </c>
      <c r="F4548" s="2"/>
      <c r="G4548" s="2"/>
      <c r="H4548" s="2"/>
      <c r="I4548" s="2"/>
    </row>
    <row r="4549">
      <c r="A4549" s="2">
        <f>IFERROR(__xludf.DUMMYFUNCTION("""COMPUTED_VALUE"""),122221.0)</f>
        <v>122221</v>
      </c>
      <c r="B4549" s="2" t="str">
        <f>IFERROR(__xludf.DUMMYFUNCTION("""COMPUTED_VALUE"""),"Medical")</f>
        <v>Medical</v>
      </c>
      <c r="C4549" s="2" t="str">
        <f>IFERROR(__xludf.DUMMYFUNCTION("""COMPUTED_VALUE"""),"Financial Analysis")</f>
        <v>Financial Analysis</v>
      </c>
      <c r="D4549" s="2" t="str">
        <f>IFERROR(__xludf.DUMMYFUNCTION("""COMPUTED_VALUE"""),"Ironpoint House")</f>
        <v>Ironpoint House</v>
      </c>
      <c r="E4549" s="2">
        <f>IFERROR(__xludf.DUMMYFUNCTION("""COMPUTED_VALUE"""),2.58)</f>
        <v>2.58</v>
      </c>
      <c r="F4549" s="2"/>
      <c r="G4549" s="2"/>
      <c r="H4549" s="2"/>
      <c r="I4549" s="2"/>
    </row>
    <row r="4550">
      <c r="A4550" s="2">
        <f>IFERROR(__xludf.DUMMYFUNCTION("""COMPUTED_VALUE"""),122216.0)</f>
        <v>122216</v>
      </c>
      <c r="B4550" s="2" t="str">
        <f>IFERROR(__xludf.DUMMYFUNCTION("""COMPUTED_VALUE"""),"Medical")</f>
        <v>Medical</v>
      </c>
      <c r="C4550" s="2" t="str">
        <f>IFERROR(__xludf.DUMMYFUNCTION("""COMPUTED_VALUE"""),"Financial Analysis")</f>
        <v>Financial Analysis</v>
      </c>
      <c r="D4550" s="2" t="str">
        <f>IFERROR(__xludf.DUMMYFUNCTION("""COMPUTED_VALUE"""),"Ironpoint House")</f>
        <v>Ironpoint House</v>
      </c>
      <c r="E4550" s="2">
        <f>IFERROR(__xludf.DUMMYFUNCTION("""COMPUTED_VALUE"""),2.15)</f>
        <v>2.15</v>
      </c>
      <c r="F4550" s="2"/>
      <c r="G4550" s="2"/>
      <c r="H4550" s="2"/>
      <c r="I4550" s="2"/>
    </row>
    <row r="4551">
      <c r="A4551" s="2">
        <f>IFERROR(__xludf.DUMMYFUNCTION("""COMPUTED_VALUE"""),140598.0)</f>
        <v>140598</v>
      </c>
      <c r="B4551" s="2" t="str">
        <f>IFERROR(__xludf.DUMMYFUNCTION("""COMPUTED_VALUE"""),"Medical")</f>
        <v>Medical</v>
      </c>
      <c r="C4551" s="2" t="str">
        <f>IFERROR(__xludf.DUMMYFUNCTION("""COMPUTED_VALUE"""),"Financial Analysis")</f>
        <v>Financial Analysis</v>
      </c>
      <c r="D4551" s="2" t="str">
        <f>IFERROR(__xludf.DUMMYFUNCTION("""COMPUTED_VALUE"""),"Ironpoint House")</f>
        <v>Ironpoint House</v>
      </c>
      <c r="E4551" s="2">
        <f>IFERROR(__xludf.DUMMYFUNCTION("""COMPUTED_VALUE"""),1.12)</f>
        <v>1.12</v>
      </c>
      <c r="F4551" s="2"/>
      <c r="G4551" s="2"/>
      <c r="H4551" s="2"/>
      <c r="I4551" s="2"/>
    </row>
    <row r="4552">
      <c r="A4552" s="2">
        <f>IFERROR(__xludf.DUMMYFUNCTION("""COMPUTED_VALUE"""),112123.0)</f>
        <v>112123</v>
      </c>
      <c r="B4552" s="2" t="str">
        <f>IFERROR(__xludf.DUMMYFUNCTION("""COMPUTED_VALUE"""),"Medical")</f>
        <v>Medical</v>
      </c>
      <c r="C4552" s="2" t="str">
        <f>IFERROR(__xludf.DUMMYFUNCTION("""COMPUTED_VALUE"""),"Financial Analysis")</f>
        <v>Financial Analysis</v>
      </c>
      <c r="D4552" s="2" t="str">
        <f>IFERROR(__xludf.DUMMYFUNCTION("""COMPUTED_VALUE"""),"Ironpoint House")</f>
        <v>Ironpoint House</v>
      </c>
      <c r="E4552" s="2">
        <f>IFERROR(__xludf.DUMMYFUNCTION("""COMPUTED_VALUE"""),3.64)</f>
        <v>3.64</v>
      </c>
      <c r="F4552" s="2"/>
      <c r="G4552" s="2"/>
      <c r="H4552" s="2"/>
      <c r="I4552" s="2"/>
    </row>
    <row r="4553">
      <c r="A4553" s="2">
        <f>IFERROR(__xludf.DUMMYFUNCTION("""COMPUTED_VALUE"""),70402.0)</f>
        <v>70402</v>
      </c>
      <c r="B4553" s="2" t="str">
        <f>IFERROR(__xludf.DUMMYFUNCTION("""COMPUTED_VALUE"""),"Medical")</f>
        <v>Medical</v>
      </c>
      <c r="C4553" s="2" t="str">
        <f>IFERROR(__xludf.DUMMYFUNCTION("""COMPUTED_VALUE"""),"Financial Analysis")</f>
        <v>Financial Analysis</v>
      </c>
      <c r="D4553" s="2" t="str">
        <f>IFERROR(__xludf.DUMMYFUNCTION("""COMPUTED_VALUE"""),"Ironpoint House")</f>
        <v>Ironpoint House</v>
      </c>
      <c r="E4553" s="2">
        <f>IFERROR(__xludf.DUMMYFUNCTION("""COMPUTED_VALUE"""),3.33)</f>
        <v>3.33</v>
      </c>
      <c r="F4553" s="2"/>
      <c r="G4553" s="2"/>
      <c r="H4553" s="2"/>
      <c r="I4553" s="2"/>
    </row>
    <row r="4554">
      <c r="A4554" s="2">
        <f>IFERROR(__xludf.DUMMYFUNCTION("""COMPUTED_VALUE"""),119110.0)</f>
        <v>119110</v>
      </c>
      <c r="B4554" s="2" t="str">
        <f>IFERROR(__xludf.DUMMYFUNCTION("""COMPUTED_VALUE"""),"Medical")</f>
        <v>Medical</v>
      </c>
      <c r="C4554" s="2" t="str">
        <f>IFERROR(__xludf.DUMMYFUNCTION("""COMPUTED_VALUE"""),"Financial Analysis")</f>
        <v>Financial Analysis</v>
      </c>
      <c r="D4554" s="2" t="str">
        <f>IFERROR(__xludf.DUMMYFUNCTION("""COMPUTED_VALUE"""),"Ironpoint House")</f>
        <v>Ironpoint House</v>
      </c>
      <c r="E4554" s="2">
        <f>IFERROR(__xludf.DUMMYFUNCTION("""COMPUTED_VALUE"""),2.97)</f>
        <v>2.97</v>
      </c>
      <c r="F4554" s="2"/>
      <c r="G4554" s="2"/>
      <c r="H4554" s="2"/>
      <c r="I4554" s="2"/>
    </row>
    <row r="4555">
      <c r="A4555" s="2">
        <f>IFERROR(__xludf.DUMMYFUNCTION("""COMPUTED_VALUE"""),139295.0)</f>
        <v>139295</v>
      </c>
      <c r="B4555" s="2" t="str">
        <f>IFERROR(__xludf.DUMMYFUNCTION("""COMPUTED_VALUE"""),"Medical")</f>
        <v>Medical</v>
      </c>
      <c r="C4555" s="2" t="str">
        <f>IFERROR(__xludf.DUMMYFUNCTION("""COMPUTED_VALUE"""),"Financial Analysis")</f>
        <v>Financial Analysis</v>
      </c>
      <c r="D4555" s="2" t="str">
        <f>IFERROR(__xludf.DUMMYFUNCTION("""COMPUTED_VALUE"""),"Ironpoint House")</f>
        <v>Ironpoint House</v>
      </c>
      <c r="E4555" s="2">
        <f>IFERROR(__xludf.DUMMYFUNCTION("""COMPUTED_VALUE"""),4.03)</f>
        <v>4.03</v>
      </c>
      <c r="F4555" s="2"/>
      <c r="G4555" s="2"/>
      <c r="H4555" s="2"/>
      <c r="I4555" s="2"/>
    </row>
    <row r="4556">
      <c r="A4556" s="2">
        <f>IFERROR(__xludf.DUMMYFUNCTION("""COMPUTED_VALUE"""),71056.0)</f>
        <v>71056</v>
      </c>
      <c r="B4556" s="2" t="str">
        <f>IFERROR(__xludf.DUMMYFUNCTION("""COMPUTED_VALUE"""),"Medical")</f>
        <v>Medical</v>
      </c>
      <c r="C4556" s="2" t="str">
        <f>IFERROR(__xludf.DUMMYFUNCTION("""COMPUTED_VALUE"""),"Financial Analysis")</f>
        <v>Financial Analysis</v>
      </c>
      <c r="D4556" s="2" t="str">
        <f>IFERROR(__xludf.DUMMYFUNCTION("""COMPUTED_VALUE"""),"Ironpoint House")</f>
        <v>Ironpoint House</v>
      </c>
      <c r="E4556" s="2">
        <f>IFERROR(__xludf.DUMMYFUNCTION("""COMPUTED_VALUE"""),0.77)</f>
        <v>0.77</v>
      </c>
      <c r="F4556" s="2"/>
      <c r="G4556" s="2"/>
      <c r="H4556" s="2"/>
      <c r="I4556" s="2"/>
    </row>
    <row r="4557">
      <c r="A4557" s="2">
        <f>IFERROR(__xludf.DUMMYFUNCTION("""COMPUTED_VALUE"""),122218.0)</f>
        <v>122218</v>
      </c>
      <c r="B4557" s="2" t="str">
        <f>IFERROR(__xludf.DUMMYFUNCTION("""COMPUTED_VALUE"""),"Medical")</f>
        <v>Medical</v>
      </c>
      <c r="C4557" s="2" t="str">
        <f>IFERROR(__xludf.DUMMYFUNCTION("""COMPUTED_VALUE"""),"Financial Analysis")</f>
        <v>Financial Analysis</v>
      </c>
      <c r="D4557" s="2" t="str">
        <f>IFERROR(__xludf.DUMMYFUNCTION("""COMPUTED_VALUE"""),"Ironpoint House")</f>
        <v>Ironpoint House</v>
      </c>
      <c r="E4557" s="2">
        <f>IFERROR(__xludf.DUMMYFUNCTION("""COMPUTED_VALUE"""),2.21)</f>
        <v>2.21</v>
      </c>
      <c r="F4557" s="2"/>
      <c r="G4557" s="2"/>
      <c r="H4557" s="2"/>
      <c r="I4557" s="2"/>
    </row>
    <row r="4558">
      <c r="A4558" s="2">
        <f>IFERROR(__xludf.DUMMYFUNCTION("""COMPUTED_VALUE"""),122217.0)</f>
        <v>122217</v>
      </c>
      <c r="B4558" s="2" t="str">
        <f>IFERROR(__xludf.DUMMYFUNCTION("""COMPUTED_VALUE"""),"Medical")</f>
        <v>Medical</v>
      </c>
      <c r="C4558" s="2" t="str">
        <f>IFERROR(__xludf.DUMMYFUNCTION("""COMPUTED_VALUE"""),"Financial Analysis")</f>
        <v>Financial Analysis</v>
      </c>
      <c r="D4558" s="2" t="str">
        <f>IFERROR(__xludf.DUMMYFUNCTION("""COMPUTED_VALUE"""),"Ironpoint House")</f>
        <v>Ironpoint House</v>
      </c>
      <c r="E4558" s="2">
        <f>IFERROR(__xludf.DUMMYFUNCTION("""COMPUTED_VALUE"""),2.44)</f>
        <v>2.44</v>
      </c>
      <c r="F4558" s="2"/>
      <c r="G4558" s="2"/>
      <c r="H4558" s="2"/>
      <c r="I4558" s="2"/>
    </row>
    <row r="4559">
      <c r="A4559" s="2">
        <f>IFERROR(__xludf.DUMMYFUNCTION("""COMPUTED_VALUE"""),119119.0)</f>
        <v>119119</v>
      </c>
      <c r="B4559" s="2" t="str">
        <f>IFERROR(__xludf.DUMMYFUNCTION("""COMPUTED_VALUE"""),"Medical")</f>
        <v>Medical</v>
      </c>
      <c r="C4559" s="2" t="str">
        <f>IFERROR(__xludf.DUMMYFUNCTION("""COMPUTED_VALUE"""),"Financial Analysis")</f>
        <v>Financial Analysis</v>
      </c>
      <c r="D4559" s="2" t="str">
        <f>IFERROR(__xludf.DUMMYFUNCTION("""COMPUTED_VALUE"""),"Ironpoint House")</f>
        <v>Ironpoint House</v>
      </c>
      <c r="E4559" s="2">
        <f>IFERROR(__xludf.DUMMYFUNCTION("""COMPUTED_VALUE"""),3.67)</f>
        <v>3.67</v>
      </c>
      <c r="F4559" s="2"/>
      <c r="G4559" s="2"/>
      <c r="H4559" s="2"/>
      <c r="I4559" s="2"/>
    </row>
    <row r="4560">
      <c r="A4560" s="2">
        <f>IFERROR(__xludf.DUMMYFUNCTION("""COMPUTED_VALUE"""),46933.0)</f>
        <v>46933</v>
      </c>
      <c r="B4560" s="2" t="str">
        <f>IFERROR(__xludf.DUMMYFUNCTION("""COMPUTED_VALUE"""),"Medical")</f>
        <v>Medical</v>
      </c>
      <c r="C4560" s="2" t="str">
        <f>IFERROR(__xludf.DUMMYFUNCTION("""COMPUTED_VALUE"""),"Financial Analysis")</f>
        <v>Financial Analysis</v>
      </c>
      <c r="D4560" s="2" t="str">
        <f>IFERROR(__xludf.DUMMYFUNCTION("""COMPUTED_VALUE"""),"Ironpoint House")</f>
        <v>Ironpoint House</v>
      </c>
      <c r="E4560" s="2">
        <f>IFERROR(__xludf.DUMMYFUNCTION("""COMPUTED_VALUE"""),1.81)</f>
        <v>1.81</v>
      </c>
      <c r="F4560" s="2"/>
      <c r="G4560" s="2"/>
      <c r="H4560" s="2"/>
      <c r="I4560" s="2"/>
    </row>
    <row r="4561">
      <c r="A4561" s="2">
        <f>IFERROR(__xludf.DUMMYFUNCTION("""COMPUTED_VALUE"""),119118.0)</f>
        <v>119118</v>
      </c>
      <c r="B4561" s="2" t="str">
        <f>IFERROR(__xludf.DUMMYFUNCTION("""COMPUTED_VALUE"""),"Medical")</f>
        <v>Medical</v>
      </c>
      <c r="C4561" s="2" t="str">
        <f>IFERROR(__xludf.DUMMYFUNCTION("""COMPUTED_VALUE"""),"Financial Analysis")</f>
        <v>Financial Analysis</v>
      </c>
      <c r="D4561" s="2" t="str">
        <f>IFERROR(__xludf.DUMMYFUNCTION("""COMPUTED_VALUE"""),"Ironpoint House")</f>
        <v>Ironpoint House</v>
      </c>
      <c r="E4561" s="2">
        <f>IFERROR(__xludf.DUMMYFUNCTION("""COMPUTED_VALUE"""),4.66)</f>
        <v>4.66</v>
      </c>
      <c r="F4561" s="2"/>
      <c r="G4561" s="2"/>
      <c r="H4561" s="2"/>
      <c r="I4561" s="2"/>
    </row>
    <row r="4562">
      <c r="A4562" s="2">
        <f>IFERROR(__xludf.DUMMYFUNCTION("""COMPUTED_VALUE"""),41035.0)</f>
        <v>41035</v>
      </c>
      <c r="B4562" s="2" t="str">
        <f>IFERROR(__xludf.DUMMYFUNCTION("""COMPUTED_VALUE"""),"Medical")</f>
        <v>Medical</v>
      </c>
      <c r="C4562" s="2" t="str">
        <f>IFERROR(__xludf.DUMMYFUNCTION("""COMPUTED_VALUE"""),"Financial Analysis")</f>
        <v>Financial Analysis</v>
      </c>
      <c r="D4562" s="2" t="str">
        <f>IFERROR(__xludf.DUMMYFUNCTION("""COMPUTED_VALUE"""),"Ironpoint House")</f>
        <v>Ironpoint House</v>
      </c>
      <c r="E4562" s="2">
        <f>IFERROR(__xludf.DUMMYFUNCTION("""COMPUTED_VALUE"""),1.77)</f>
        <v>1.77</v>
      </c>
      <c r="F4562" s="2"/>
      <c r="G4562" s="2"/>
      <c r="H4562" s="2"/>
      <c r="I4562" s="2"/>
    </row>
    <row r="4563">
      <c r="A4563" s="2">
        <f>IFERROR(__xludf.DUMMYFUNCTION("""COMPUTED_VALUE"""),139303.0)</f>
        <v>139303</v>
      </c>
      <c r="B4563" s="2" t="str">
        <f>IFERROR(__xludf.DUMMYFUNCTION("""COMPUTED_VALUE"""),"Medical")</f>
        <v>Medical</v>
      </c>
      <c r="C4563" s="2" t="str">
        <f>IFERROR(__xludf.DUMMYFUNCTION("""COMPUTED_VALUE"""),"Financial Analysis")</f>
        <v>Financial Analysis</v>
      </c>
      <c r="D4563" s="2" t="str">
        <f>IFERROR(__xludf.DUMMYFUNCTION("""COMPUTED_VALUE"""),"Ironpoint House")</f>
        <v>Ironpoint House</v>
      </c>
      <c r="E4563" s="2">
        <f>IFERROR(__xludf.DUMMYFUNCTION("""COMPUTED_VALUE"""),4.1)</f>
        <v>4.1</v>
      </c>
      <c r="F4563" s="2"/>
      <c r="G4563" s="2"/>
      <c r="H4563" s="2"/>
      <c r="I4563" s="2"/>
    </row>
    <row r="4564">
      <c r="A4564" s="2">
        <f>IFERROR(__xludf.DUMMYFUNCTION("""COMPUTED_VALUE"""),101784.0)</f>
        <v>101784</v>
      </c>
      <c r="B4564" s="2" t="str">
        <f>IFERROR(__xludf.DUMMYFUNCTION("""COMPUTED_VALUE"""),"Medical")</f>
        <v>Medical</v>
      </c>
      <c r="C4564" s="2" t="str">
        <f>IFERROR(__xludf.DUMMYFUNCTION("""COMPUTED_VALUE"""),"Financial Analysis")</f>
        <v>Financial Analysis</v>
      </c>
      <c r="D4564" s="2" t="str">
        <f>IFERROR(__xludf.DUMMYFUNCTION("""COMPUTED_VALUE"""),"Ironpoint House")</f>
        <v>Ironpoint House</v>
      </c>
      <c r="E4564" s="2">
        <f>IFERROR(__xludf.DUMMYFUNCTION("""COMPUTED_VALUE"""),1.09)</f>
        <v>1.09</v>
      </c>
      <c r="F4564" s="2"/>
      <c r="G4564" s="2"/>
      <c r="H4564" s="2"/>
      <c r="I4564" s="2"/>
    </row>
    <row r="4565">
      <c r="A4565" s="2">
        <f>IFERROR(__xludf.DUMMYFUNCTION("""COMPUTED_VALUE"""),122219.0)</f>
        <v>122219</v>
      </c>
      <c r="B4565" s="2" t="str">
        <f>IFERROR(__xludf.DUMMYFUNCTION("""COMPUTED_VALUE"""),"Medical")</f>
        <v>Medical</v>
      </c>
      <c r="C4565" s="2" t="str">
        <f>IFERROR(__xludf.DUMMYFUNCTION("""COMPUTED_VALUE"""),"Financial Analysis")</f>
        <v>Financial Analysis</v>
      </c>
      <c r="D4565" s="2" t="str">
        <f>IFERROR(__xludf.DUMMYFUNCTION("""COMPUTED_VALUE"""),"Ironpoint House")</f>
        <v>Ironpoint House</v>
      </c>
      <c r="E4565" s="2">
        <f>IFERROR(__xludf.DUMMYFUNCTION("""COMPUTED_VALUE"""),2.42)</f>
        <v>2.42</v>
      </c>
      <c r="F4565" s="2"/>
      <c r="G4565" s="2"/>
      <c r="H4565" s="2"/>
      <c r="I4565" s="2"/>
    </row>
    <row r="4566">
      <c r="A4566" s="2">
        <f>IFERROR(__xludf.DUMMYFUNCTION("""COMPUTED_VALUE"""),122215.0)</f>
        <v>122215</v>
      </c>
      <c r="B4566" s="2" t="str">
        <f>IFERROR(__xludf.DUMMYFUNCTION("""COMPUTED_VALUE"""),"Medical")</f>
        <v>Medical</v>
      </c>
      <c r="C4566" s="2" t="str">
        <f>IFERROR(__xludf.DUMMYFUNCTION("""COMPUTED_VALUE"""),"Financial Analysis")</f>
        <v>Financial Analysis</v>
      </c>
      <c r="D4566" s="2" t="str">
        <f>IFERROR(__xludf.DUMMYFUNCTION("""COMPUTED_VALUE"""),"Ironpoint House")</f>
        <v>Ironpoint House</v>
      </c>
      <c r="E4566" s="2">
        <f>IFERROR(__xludf.DUMMYFUNCTION("""COMPUTED_VALUE"""),2.25)</f>
        <v>2.25</v>
      </c>
      <c r="F4566" s="2"/>
      <c r="G4566" s="2"/>
      <c r="H4566" s="2"/>
      <c r="I4566" s="2"/>
    </row>
    <row r="4567">
      <c r="A4567" s="2">
        <f>IFERROR(__xludf.DUMMYFUNCTION("""COMPUTED_VALUE"""),111154.0)</f>
        <v>111154</v>
      </c>
      <c r="B4567" s="2" t="str">
        <f>IFERROR(__xludf.DUMMYFUNCTION("""COMPUTED_VALUE"""),"Medical")</f>
        <v>Medical</v>
      </c>
      <c r="C4567" s="2" t="str">
        <f>IFERROR(__xludf.DUMMYFUNCTION("""COMPUTED_VALUE"""),"Financial Analysis")</f>
        <v>Financial Analysis</v>
      </c>
      <c r="D4567" s="2" t="str">
        <f>IFERROR(__xludf.DUMMYFUNCTION("""COMPUTED_VALUE"""),"Ironpoint House")</f>
        <v>Ironpoint House</v>
      </c>
      <c r="E4567" s="2">
        <f>IFERROR(__xludf.DUMMYFUNCTION("""COMPUTED_VALUE"""),4.81)</f>
        <v>4.81</v>
      </c>
      <c r="F4567" s="2"/>
      <c r="G4567" s="2"/>
      <c r="H4567" s="2"/>
      <c r="I4567" s="2"/>
    </row>
    <row r="4568">
      <c r="A4568" s="2">
        <f>IFERROR(__xludf.DUMMYFUNCTION("""COMPUTED_VALUE"""),119117.0)</f>
        <v>119117</v>
      </c>
      <c r="B4568" s="2" t="str">
        <f>IFERROR(__xludf.DUMMYFUNCTION("""COMPUTED_VALUE"""),"Medical")</f>
        <v>Medical</v>
      </c>
      <c r="C4568" s="2" t="str">
        <f>IFERROR(__xludf.DUMMYFUNCTION("""COMPUTED_VALUE"""),"Financial Analysis")</f>
        <v>Financial Analysis</v>
      </c>
      <c r="D4568" s="2" t="str">
        <f>IFERROR(__xludf.DUMMYFUNCTION("""COMPUTED_VALUE"""),"Ironpoint House")</f>
        <v>Ironpoint House</v>
      </c>
      <c r="E4568" s="2">
        <f>IFERROR(__xludf.DUMMYFUNCTION("""COMPUTED_VALUE"""),4.79)</f>
        <v>4.79</v>
      </c>
      <c r="F4568" s="2"/>
      <c r="G4568" s="2"/>
      <c r="H4568" s="2"/>
      <c r="I4568" s="2"/>
    </row>
    <row r="4569">
      <c r="A4569" s="2">
        <f>IFERROR(__xludf.DUMMYFUNCTION("""COMPUTED_VALUE"""),20419.0)</f>
        <v>20419</v>
      </c>
      <c r="B4569" s="2" t="str">
        <f>IFERROR(__xludf.DUMMYFUNCTION("""COMPUTED_VALUE"""),"Medical")</f>
        <v>Medical</v>
      </c>
      <c r="C4569" s="2" t="str">
        <f>IFERROR(__xludf.DUMMYFUNCTION("""COMPUTED_VALUE"""),"Financial Analysis")</f>
        <v>Financial Analysis</v>
      </c>
      <c r="D4569" s="2" t="str">
        <f>IFERROR(__xludf.DUMMYFUNCTION("""COMPUTED_VALUE"""),"Ironpoint House")</f>
        <v>Ironpoint House</v>
      </c>
      <c r="E4569" s="2">
        <f>IFERROR(__xludf.DUMMYFUNCTION("""COMPUTED_VALUE"""),2.11)</f>
        <v>2.11</v>
      </c>
      <c r="F4569" s="2"/>
      <c r="G4569" s="2"/>
      <c r="H4569" s="2"/>
      <c r="I4569" s="2"/>
    </row>
    <row r="4570">
      <c r="A4570" s="2">
        <f>IFERROR(__xludf.DUMMYFUNCTION("""COMPUTED_VALUE"""),122220.0)</f>
        <v>122220</v>
      </c>
      <c r="B4570" s="2" t="str">
        <f>IFERROR(__xludf.DUMMYFUNCTION("""COMPUTED_VALUE"""),"Medical")</f>
        <v>Medical</v>
      </c>
      <c r="C4570" s="2" t="str">
        <f>IFERROR(__xludf.DUMMYFUNCTION("""COMPUTED_VALUE"""),"Financial Analysis")</f>
        <v>Financial Analysis</v>
      </c>
      <c r="D4570" s="2" t="str">
        <f>IFERROR(__xludf.DUMMYFUNCTION("""COMPUTED_VALUE"""),"Ironpoint House")</f>
        <v>Ironpoint House</v>
      </c>
      <c r="E4570" s="2">
        <f>IFERROR(__xludf.DUMMYFUNCTION("""COMPUTED_VALUE"""),2.54)</f>
        <v>2.54</v>
      </c>
      <c r="F4570" s="2"/>
      <c r="G4570" s="2"/>
      <c r="H4570" s="2"/>
      <c r="I4570" s="2"/>
    </row>
    <row r="4571">
      <c r="A4571" s="2">
        <f>IFERROR(__xludf.DUMMYFUNCTION("""COMPUTED_VALUE"""),122214.0)</f>
        <v>122214</v>
      </c>
      <c r="B4571" s="2" t="str">
        <f>IFERROR(__xludf.DUMMYFUNCTION("""COMPUTED_VALUE"""),"Medical")</f>
        <v>Medical</v>
      </c>
      <c r="C4571" s="2" t="str">
        <f>IFERROR(__xludf.DUMMYFUNCTION("""COMPUTED_VALUE"""),"Financial Analysis")</f>
        <v>Financial Analysis</v>
      </c>
      <c r="D4571" s="2" t="str">
        <f>IFERROR(__xludf.DUMMYFUNCTION("""COMPUTED_VALUE"""),"Ironpoint House")</f>
        <v>Ironpoint House</v>
      </c>
      <c r="E4571" s="2">
        <f>IFERROR(__xludf.DUMMYFUNCTION("""COMPUTED_VALUE"""),2.43)</f>
        <v>2.43</v>
      </c>
      <c r="F4571" s="2"/>
      <c r="G4571" s="2"/>
      <c r="H4571" s="2"/>
      <c r="I4571" s="2"/>
    </row>
    <row r="4572">
      <c r="A4572" s="2">
        <f>IFERROR(__xludf.DUMMYFUNCTION("""COMPUTED_VALUE"""),46936.0)</f>
        <v>46936</v>
      </c>
      <c r="B4572" s="2" t="str">
        <f>IFERROR(__xludf.DUMMYFUNCTION("""COMPUTED_VALUE"""),"Medical")</f>
        <v>Medical</v>
      </c>
      <c r="C4572" s="2" t="str">
        <f>IFERROR(__xludf.DUMMYFUNCTION("""COMPUTED_VALUE"""),"Financial Analysis")</f>
        <v>Financial Analysis</v>
      </c>
      <c r="D4572" s="2" t="str">
        <f>IFERROR(__xludf.DUMMYFUNCTION("""COMPUTED_VALUE"""),"Ironpoint House")</f>
        <v>Ironpoint House</v>
      </c>
      <c r="E4572" s="2">
        <f>IFERROR(__xludf.DUMMYFUNCTION("""COMPUTED_VALUE"""),1.71)</f>
        <v>1.71</v>
      </c>
      <c r="F4572" s="2"/>
      <c r="G4572" s="2"/>
      <c r="H4572" s="2"/>
      <c r="I4572" s="2"/>
    </row>
    <row r="4573">
      <c r="A4573" s="2">
        <f>IFERROR(__xludf.DUMMYFUNCTION("""COMPUTED_VALUE"""),112122.0)</f>
        <v>112122</v>
      </c>
      <c r="B4573" s="2" t="str">
        <f>IFERROR(__xludf.DUMMYFUNCTION("""COMPUTED_VALUE"""),"Medical")</f>
        <v>Medical</v>
      </c>
      <c r="C4573" s="2" t="str">
        <f>IFERROR(__xludf.DUMMYFUNCTION("""COMPUTED_VALUE"""),"Financial Analysis")</f>
        <v>Financial Analysis</v>
      </c>
      <c r="D4573" s="2" t="str">
        <f>IFERROR(__xludf.DUMMYFUNCTION("""COMPUTED_VALUE"""),"Ironpoint House")</f>
        <v>Ironpoint House</v>
      </c>
      <c r="E4573" s="2">
        <f>IFERROR(__xludf.DUMMYFUNCTION("""COMPUTED_VALUE"""),4.08)</f>
        <v>4.08</v>
      </c>
      <c r="F4573" s="2"/>
      <c r="G4573" s="2"/>
      <c r="H4573" s="2"/>
      <c r="I4573" s="2"/>
    </row>
    <row r="4574">
      <c r="A4574" s="2">
        <f>IFERROR(__xludf.DUMMYFUNCTION("""COMPUTED_VALUE"""),71055.0)</f>
        <v>71055</v>
      </c>
      <c r="B4574" s="2" t="str">
        <f>IFERROR(__xludf.DUMMYFUNCTION("""COMPUTED_VALUE"""),"Medical")</f>
        <v>Medical</v>
      </c>
      <c r="C4574" s="2" t="str">
        <f>IFERROR(__xludf.DUMMYFUNCTION("""COMPUTED_VALUE"""),"Financial Analysis")</f>
        <v>Financial Analysis</v>
      </c>
      <c r="D4574" s="2" t="str">
        <f>IFERROR(__xludf.DUMMYFUNCTION("""COMPUTED_VALUE"""),"Ironpoint House")</f>
        <v>Ironpoint House</v>
      </c>
      <c r="E4574" s="2">
        <f>IFERROR(__xludf.DUMMYFUNCTION("""COMPUTED_VALUE"""),1.19)</f>
        <v>1.19</v>
      </c>
      <c r="F4574" s="2"/>
      <c r="G4574" s="2"/>
      <c r="H4574" s="2"/>
      <c r="I4574" s="2"/>
    </row>
    <row r="4575">
      <c r="A4575" s="2">
        <f>IFERROR(__xludf.DUMMYFUNCTION("""COMPUTED_VALUE"""),41034.0)</f>
        <v>41034</v>
      </c>
      <c r="B4575" s="2" t="str">
        <f>IFERROR(__xludf.DUMMYFUNCTION("""COMPUTED_VALUE"""),"Medical")</f>
        <v>Medical</v>
      </c>
      <c r="C4575" s="2" t="str">
        <f>IFERROR(__xludf.DUMMYFUNCTION("""COMPUTED_VALUE"""),"Financial Analysis")</f>
        <v>Financial Analysis</v>
      </c>
      <c r="D4575" s="2" t="str">
        <f>IFERROR(__xludf.DUMMYFUNCTION("""COMPUTED_VALUE"""),"Ironpoint House")</f>
        <v>Ironpoint House</v>
      </c>
      <c r="E4575" s="2">
        <f>IFERROR(__xludf.DUMMYFUNCTION("""COMPUTED_VALUE"""),1.72)</f>
        <v>1.72</v>
      </c>
      <c r="F4575" s="2"/>
      <c r="G4575" s="2"/>
      <c r="H4575" s="2"/>
      <c r="I4575" s="2"/>
    </row>
    <row r="4576">
      <c r="A4576" s="2">
        <f>IFERROR(__xludf.DUMMYFUNCTION("""COMPUTED_VALUE"""),111153.0)</f>
        <v>111153</v>
      </c>
      <c r="B4576" s="2" t="str">
        <f>IFERROR(__xludf.DUMMYFUNCTION("""COMPUTED_VALUE"""),"Medical")</f>
        <v>Medical</v>
      </c>
      <c r="C4576" s="2" t="str">
        <f>IFERROR(__xludf.DUMMYFUNCTION("""COMPUTED_VALUE"""),"Financial Analysis")</f>
        <v>Financial Analysis</v>
      </c>
      <c r="D4576" s="2" t="str">
        <f>IFERROR(__xludf.DUMMYFUNCTION("""COMPUTED_VALUE"""),"Ironpoint House")</f>
        <v>Ironpoint House</v>
      </c>
      <c r="E4576" s="2">
        <f>IFERROR(__xludf.DUMMYFUNCTION("""COMPUTED_VALUE"""),4.83)</f>
        <v>4.83</v>
      </c>
      <c r="F4576" s="2"/>
      <c r="G4576" s="2"/>
      <c r="H4576" s="2"/>
      <c r="I4576" s="2"/>
    </row>
    <row r="4577">
      <c r="A4577" s="2">
        <f>IFERROR(__xludf.DUMMYFUNCTION("""COMPUTED_VALUE"""),119120.0)</f>
        <v>119120</v>
      </c>
      <c r="B4577" s="2" t="str">
        <f>IFERROR(__xludf.DUMMYFUNCTION("""COMPUTED_VALUE"""),"Medical")</f>
        <v>Medical</v>
      </c>
      <c r="C4577" s="2" t="str">
        <f>IFERROR(__xludf.DUMMYFUNCTION("""COMPUTED_VALUE"""),"Financial Analysis")</f>
        <v>Financial Analysis</v>
      </c>
      <c r="D4577" s="2" t="str">
        <f>IFERROR(__xludf.DUMMYFUNCTION("""COMPUTED_VALUE"""),"Ironpoint House")</f>
        <v>Ironpoint House</v>
      </c>
      <c r="E4577" s="2">
        <f>IFERROR(__xludf.DUMMYFUNCTION("""COMPUTED_VALUE"""),3.73)</f>
        <v>3.73</v>
      </c>
      <c r="F4577" s="2"/>
      <c r="G4577" s="2"/>
      <c r="H4577" s="2"/>
      <c r="I4577" s="2"/>
    </row>
    <row r="4578">
      <c r="A4578" s="2">
        <f>IFERROR(__xludf.DUMMYFUNCTION("""COMPUTED_VALUE"""),139297.0)</f>
        <v>139297</v>
      </c>
      <c r="B4578" s="2" t="str">
        <f>IFERROR(__xludf.DUMMYFUNCTION("""COMPUTED_VALUE"""),"Medical")</f>
        <v>Medical</v>
      </c>
      <c r="C4578" s="2" t="str">
        <f>IFERROR(__xludf.DUMMYFUNCTION("""COMPUTED_VALUE"""),"Financial Analysis")</f>
        <v>Financial Analysis</v>
      </c>
      <c r="D4578" s="2" t="str">
        <f>IFERROR(__xludf.DUMMYFUNCTION("""COMPUTED_VALUE"""),"Silverfield House")</f>
        <v>Silverfield House</v>
      </c>
      <c r="E4578" s="2">
        <f>IFERROR(__xludf.DUMMYFUNCTION("""COMPUTED_VALUE"""),3.98)</f>
        <v>3.98</v>
      </c>
      <c r="F4578" s="2"/>
      <c r="G4578" s="2"/>
      <c r="H4578" s="2"/>
      <c r="I4578" s="2"/>
    </row>
    <row r="4579">
      <c r="A4579" s="2">
        <f>IFERROR(__xludf.DUMMYFUNCTION("""COMPUTED_VALUE"""),48476.0)</f>
        <v>48476</v>
      </c>
      <c r="B4579" s="2" t="str">
        <f>IFERROR(__xludf.DUMMYFUNCTION("""COMPUTED_VALUE"""),"Medical")</f>
        <v>Medical</v>
      </c>
      <c r="C4579" s="2" t="str">
        <f>IFERROR(__xludf.DUMMYFUNCTION("""COMPUTED_VALUE"""),"Financial Analysis")</f>
        <v>Financial Analysis</v>
      </c>
      <c r="D4579" s="2" t="str">
        <f>IFERROR(__xludf.DUMMYFUNCTION("""COMPUTED_VALUE"""),"Silverfield House")</f>
        <v>Silverfield House</v>
      </c>
      <c r="E4579" s="2">
        <f>IFERROR(__xludf.DUMMYFUNCTION("""COMPUTED_VALUE"""),2.98)</f>
        <v>2.98</v>
      </c>
      <c r="F4579" s="2"/>
      <c r="G4579" s="2"/>
      <c r="H4579" s="2"/>
      <c r="I4579" s="2"/>
    </row>
    <row r="4580">
      <c r="A4580" s="2">
        <f>IFERROR(__xludf.DUMMYFUNCTION("""COMPUTED_VALUE"""),103454.0)</f>
        <v>103454</v>
      </c>
      <c r="B4580" s="2" t="str">
        <f>IFERROR(__xludf.DUMMYFUNCTION("""COMPUTED_VALUE"""),"Medical")</f>
        <v>Medical</v>
      </c>
      <c r="C4580" s="2" t="str">
        <f>IFERROR(__xludf.DUMMYFUNCTION("""COMPUTED_VALUE"""),"Financial Analysis")</f>
        <v>Financial Analysis</v>
      </c>
      <c r="D4580" s="2" t="str">
        <f>IFERROR(__xludf.DUMMYFUNCTION("""COMPUTED_VALUE"""),"Silverfield House")</f>
        <v>Silverfield House</v>
      </c>
      <c r="E4580" s="2">
        <f>IFERROR(__xludf.DUMMYFUNCTION("""COMPUTED_VALUE"""),2.78)</f>
        <v>2.78</v>
      </c>
      <c r="F4580" s="2"/>
      <c r="G4580" s="2"/>
      <c r="H4580" s="2"/>
      <c r="I4580" s="2"/>
    </row>
    <row r="4581">
      <c r="A4581" s="2">
        <f>IFERROR(__xludf.DUMMYFUNCTION("""COMPUTED_VALUE"""),103456.0)</f>
        <v>103456</v>
      </c>
      <c r="B4581" s="2" t="str">
        <f>IFERROR(__xludf.DUMMYFUNCTION("""COMPUTED_VALUE"""),"Medical")</f>
        <v>Medical</v>
      </c>
      <c r="C4581" s="2" t="str">
        <f>IFERROR(__xludf.DUMMYFUNCTION("""COMPUTED_VALUE"""),"Financial Analysis")</f>
        <v>Financial Analysis</v>
      </c>
      <c r="D4581" s="2" t="str">
        <f>IFERROR(__xludf.DUMMYFUNCTION("""COMPUTED_VALUE"""),"Silverfield House")</f>
        <v>Silverfield House</v>
      </c>
      <c r="E4581" s="2">
        <f>IFERROR(__xludf.DUMMYFUNCTION("""COMPUTED_VALUE"""),2.7)</f>
        <v>2.7</v>
      </c>
      <c r="F4581" s="2"/>
      <c r="G4581" s="2"/>
      <c r="H4581" s="2"/>
      <c r="I4581" s="2"/>
    </row>
    <row r="4582">
      <c r="A4582" s="2">
        <f>IFERROR(__xludf.DUMMYFUNCTION("""COMPUTED_VALUE"""),139304.0)</f>
        <v>139304</v>
      </c>
      <c r="B4582" s="2" t="str">
        <f>IFERROR(__xludf.DUMMYFUNCTION("""COMPUTED_VALUE"""),"Medical")</f>
        <v>Medical</v>
      </c>
      <c r="C4582" s="2" t="str">
        <f>IFERROR(__xludf.DUMMYFUNCTION("""COMPUTED_VALUE"""),"Financial Analysis")</f>
        <v>Financial Analysis</v>
      </c>
      <c r="D4582" s="2" t="str">
        <f>IFERROR(__xludf.DUMMYFUNCTION("""COMPUTED_VALUE"""),"Silverfield House")</f>
        <v>Silverfield House</v>
      </c>
      <c r="E4582" s="2">
        <f>IFERROR(__xludf.DUMMYFUNCTION("""COMPUTED_VALUE"""),4.03)</f>
        <v>4.03</v>
      </c>
      <c r="F4582" s="2"/>
      <c r="G4582" s="2"/>
      <c r="H4582" s="2"/>
      <c r="I4582" s="2"/>
    </row>
    <row r="4583">
      <c r="A4583" s="2">
        <f>IFERROR(__xludf.DUMMYFUNCTION("""COMPUTED_VALUE"""),158661.0)</f>
        <v>158661</v>
      </c>
      <c r="B4583" s="2" t="str">
        <f>IFERROR(__xludf.DUMMYFUNCTION("""COMPUTED_VALUE"""),"Law")</f>
        <v>Law</v>
      </c>
      <c r="C4583" s="2" t="str">
        <f>IFERROR(__xludf.DUMMYFUNCTION("""COMPUTED_VALUE"""),"Financial Modeling")</f>
        <v>Financial Modeling</v>
      </c>
      <c r="D4583" s="2" t="str">
        <f>IFERROR(__xludf.DUMMYFUNCTION("""COMPUTED_VALUE"""),"Northfield House")</f>
        <v>Northfield House</v>
      </c>
      <c r="E4583" s="2">
        <f>IFERROR(__xludf.DUMMYFUNCTION("""COMPUTED_VALUE"""),8.1)</f>
        <v>8.1</v>
      </c>
      <c r="F4583" s="2"/>
      <c r="G4583" s="2"/>
      <c r="H4583" s="2"/>
      <c r="I4583" s="2"/>
    </row>
    <row r="4584">
      <c r="A4584" s="2">
        <f>IFERROR(__xludf.DUMMYFUNCTION("""COMPUTED_VALUE"""),162441.0)</f>
        <v>162441</v>
      </c>
      <c r="B4584" s="2" t="str">
        <f>IFERROR(__xludf.DUMMYFUNCTION("""COMPUTED_VALUE"""),"Law")</f>
        <v>Law</v>
      </c>
      <c r="C4584" s="2" t="str">
        <f>IFERROR(__xludf.DUMMYFUNCTION("""COMPUTED_VALUE"""),"Financial Modeling")</f>
        <v>Financial Modeling</v>
      </c>
      <c r="D4584" s="2" t="str">
        <f>IFERROR(__xludf.DUMMYFUNCTION("""COMPUTED_VALUE"""),"Northfield House")</f>
        <v>Northfield House</v>
      </c>
      <c r="E4584" s="2">
        <f>IFERROR(__xludf.DUMMYFUNCTION("""COMPUTED_VALUE"""),7.96)</f>
        <v>7.96</v>
      </c>
      <c r="F4584" s="2"/>
      <c r="G4584" s="2"/>
      <c r="H4584" s="2"/>
      <c r="I4584" s="2"/>
    </row>
    <row r="4585">
      <c r="A4585" s="2">
        <f>IFERROR(__xludf.DUMMYFUNCTION("""COMPUTED_VALUE"""),102695.0)</f>
        <v>102695</v>
      </c>
      <c r="B4585" s="2" t="str">
        <f>IFERROR(__xludf.DUMMYFUNCTION("""COMPUTED_VALUE"""),"Law")</f>
        <v>Law</v>
      </c>
      <c r="C4585" s="2" t="str">
        <f>IFERROR(__xludf.DUMMYFUNCTION("""COMPUTED_VALUE"""),"Financial Modeling")</f>
        <v>Financial Modeling</v>
      </c>
      <c r="D4585" s="2" t="str">
        <f>IFERROR(__xludf.DUMMYFUNCTION("""COMPUTED_VALUE"""),"Northfield House")</f>
        <v>Northfield House</v>
      </c>
      <c r="E4585" s="2">
        <f>IFERROR(__xludf.DUMMYFUNCTION("""COMPUTED_VALUE"""),5.13)</f>
        <v>5.13</v>
      </c>
      <c r="F4585" s="2"/>
      <c r="G4585" s="2"/>
      <c r="H4585" s="2"/>
      <c r="I4585" s="2"/>
    </row>
    <row r="4586">
      <c r="A4586" s="2">
        <f>IFERROR(__xludf.DUMMYFUNCTION("""COMPUTED_VALUE"""),78913.0)</f>
        <v>78913</v>
      </c>
      <c r="B4586" s="2" t="str">
        <f>IFERROR(__xludf.DUMMYFUNCTION("""COMPUTED_VALUE"""),"Law")</f>
        <v>Law</v>
      </c>
      <c r="C4586" s="2" t="str">
        <f>IFERROR(__xludf.DUMMYFUNCTION("""COMPUTED_VALUE"""),"Financial Modeling")</f>
        <v>Financial Modeling</v>
      </c>
      <c r="D4586" s="2" t="str">
        <f>IFERROR(__xludf.DUMMYFUNCTION("""COMPUTED_VALUE"""),"Harborfield House")</f>
        <v>Harborfield House</v>
      </c>
      <c r="E4586" s="2">
        <f>IFERROR(__xludf.DUMMYFUNCTION("""COMPUTED_VALUE"""),4.18)</f>
        <v>4.18</v>
      </c>
      <c r="F4586" s="2"/>
      <c r="G4586" s="2"/>
      <c r="H4586" s="2"/>
      <c r="I4586" s="2"/>
    </row>
    <row r="4587">
      <c r="A4587" s="2">
        <f>IFERROR(__xludf.DUMMYFUNCTION("""COMPUTED_VALUE"""),71397.0)</f>
        <v>71397</v>
      </c>
      <c r="B4587" s="2" t="str">
        <f>IFERROR(__xludf.DUMMYFUNCTION("""COMPUTED_VALUE"""),"Law")</f>
        <v>Law</v>
      </c>
      <c r="C4587" s="2" t="str">
        <f>IFERROR(__xludf.DUMMYFUNCTION("""COMPUTED_VALUE"""),"Financial Modeling")</f>
        <v>Financial Modeling</v>
      </c>
      <c r="D4587" s="2" t="str">
        <f>IFERROR(__xludf.DUMMYFUNCTION("""COMPUTED_VALUE"""),"Harborfield House")</f>
        <v>Harborfield House</v>
      </c>
      <c r="E4587" s="2">
        <f>IFERROR(__xludf.DUMMYFUNCTION("""COMPUTED_VALUE"""),3.02)</f>
        <v>3.02</v>
      </c>
      <c r="F4587" s="2"/>
      <c r="G4587" s="2"/>
      <c r="H4587" s="2"/>
      <c r="I4587" s="2"/>
    </row>
    <row r="4588">
      <c r="A4588" s="2">
        <f>IFERROR(__xludf.DUMMYFUNCTION("""COMPUTED_VALUE"""),17596.0)</f>
        <v>17596</v>
      </c>
      <c r="B4588" s="2" t="str">
        <f>IFERROR(__xludf.DUMMYFUNCTION("""COMPUTED_VALUE"""),"Law")</f>
        <v>Law</v>
      </c>
      <c r="C4588" s="2" t="str">
        <f>IFERROR(__xludf.DUMMYFUNCTION("""COMPUTED_VALUE"""),"Financial Modeling")</f>
        <v>Financial Modeling</v>
      </c>
      <c r="D4588" s="2" t="str">
        <f>IFERROR(__xludf.DUMMYFUNCTION("""COMPUTED_VALUE"""),"Harborfield House")</f>
        <v>Harborfield House</v>
      </c>
      <c r="E4588" s="2">
        <f>IFERROR(__xludf.DUMMYFUNCTION("""COMPUTED_VALUE"""),4.32)</f>
        <v>4.32</v>
      </c>
      <c r="F4588" s="2"/>
      <c r="G4588" s="2"/>
      <c r="H4588" s="2"/>
      <c r="I4588" s="2"/>
    </row>
    <row r="4589">
      <c r="A4589" s="2">
        <f>IFERROR(__xludf.DUMMYFUNCTION("""COMPUTED_VALUE"""),71398.0)</f>
        <v>71398</v>
      </c>
      <c r="B4589" s="2" t="str">
        <f>IFERROR(__xludf.DUMMYFUNCTION("""COMPUTED_VALUE"""),"Law")</f>
        <v>Law</v>
      </c>
      <c r="C4589" s="2" t="str">
        <f>IFERROR(__xludf.DUMMYFUNCTION("""COMPUTED_VALUE"""),"Financial Modeling")</f>
        <v>Financial Modeling</v>
      </c>
      <c r="D4589" s="2" t="str">
        <f>IFERROR(__xludf.DUMMYFUNCTION("""COMPUTED_VALUE"""),"Harborfield House")</f>
        <v>Harborfield House</v>
      </c>
      <c r="E4589" s="2">
        <f>IFERROR(__xludf.DUMMYFUNCTION("""COMPUTED_VALUE"""),3.48)</f>
        <v>3.48</v>
      </c>
      <c r="F4589" s="2"/>
      <c r="G4589" s="2"/>
      <c r="H4589" s="2"/>
      <c r="I4589" s="2"/>
    </row>
    <row r="4590">
      <c r="A4590" s="2">
        <f>IFERROR(__xludf.DUMMYFUNCTION("""COMPUTED_VALUE"""),17627.0)</f>
        <v>17627</v>
      </c>
      <c r="B4590" s="2" t="str">
        <f>IFERROR(__xludf.DUMMYFUNCTION("""COMPUTED_VALUE"""),"Law")</f>
        <v>Law</v>
      </c>
      <c r="C4590" s="2" t="str">
        <f>IFERROR(__xludf.DUMMYFUNCTION("""COMPUTED_VALUE"""),"Financial Modeling")</f>
        <v>Financial Modeling</v>
      </c>
      <c r="D4590" s="2" t="str">
        <f>IFERROR(__xludf.DUMMYFUNCTION("""COMPUTED_VALUE"""),"Cedarfield House")</f>
        <v>Cedarfield House</v>
      </c>
      <c r="E4590" s="2">
        <f>IFERROR(__xludf.DUMMYFUNCTION("""COMPUTED_VALUE"""),10.35)</f>
        <v>10.35</v>
      </c>
      <c r="F4590" s="2"/>
      <c r="G4590" s="2"/>
      <c r="H4590" s="2"/>
      <c r="I4590" s="2"/>
    </row>
    <row r="4591">
      <c r="A4591" s="2">
        <f>IFERROR(__xludf.DUMMYFUNCTION("""COMPUTED_VALUE"""),86166.0)</f>
        <v>86166</v>
      </c>
      <c r="B4591" s="2" t="str">
        <f>IFERROR(__xludf.DUMMYFUNCTION("""COMPUTED_VALUE"""),"Law")</f>
        <v>Law</v>
      </c>
      <c r="C4591" s="2" t="str">
        <f>IFERROR(__xludf.DUMMYFUNCTION("""COMPUTED_VALUE"""),"Financial Modeling")</f>
        <v>Financial Modeling</v>
      </c>
      <c r="D4591" s="2" t="str">
        <f>IFERROR(__xludf.DUMMYFUNCTION("""COMPUTED_VALUE"""),"Brightfield House")</f>
        <v>Brightfield House</v>
      </c>
      <c r="E4591" s="2">
        <f>IFERROR(__xludf.DUMMYFUNCTION("""COMPUTED_VALUE"""),7.3)</f>
        <v>7.3</v>
      </c>
      <c r="F4591" s="2"/>
      <c r="G4591" s="2"/>
      <c r="H4591" s="2"/>
      <c r="I4591" s="2"/>
    </row>
    <row r="4592">
      <c r="A4592" s="2">
        <f>IFERROR(__xludf.DUMMYFUNCTION("""COMPUTED_VALUE"""),71409.0)</f>
        <v>71409</v>
      </c>
      <c r="B4592" s="2" t="str">
        <f>IFERROR(__xludf.DUMMYFUNCTION("""COMPUTED_VALUE"""),"Law")</f>
        <v>Law</v>
      </c>
      <c r="C4592" s="2" t="str">
        <f>IFERROR(__xludf.DUMMYFUNCTION("""COMPUTED_VALUE"""),"Financial Modeling")</f>
        <v>Financial Modeling</v>
      </c>
      <c r="D4592" s="2" t="str">
        <f>IFERROR(__xludf.DUMMYFUNCTION("""COMPUTED_VALUE"""),"Brightfield House")</f>
        <v>Brightfield House</v>
      </c>
      <c r="E4592" s="2">
        <f>IFERROR(__xludf.DUMMYFUNCTION("""COMPUTED_VALUE"""),22.39)</f>
        <v>22.39</v>
      </c>
      <c r="F4592" s="2"/>
      <c r="G4592" s="2"/>
      <c r="H4592" s="2"/>
      <c r="I4592" s="2"/>
    </row>
    <row r="4593">
      <c r="A4593" s="2">
        <f>IFERROR(__xludf.DUMMYFUNCTION("""COMPUTED_VALUE"""),12877.0)</f>
        <v>12877</v>
      </c>
      <c r="B4593" s="2" t="str">
        <f>IFERROR(__xludf.DUMMYFUNCTION("""COMPUTED_VALUE"""),"Law")</f>
        <v>Law</v>
      </c>
      <c r="C4593" s="2" t="str">
        <f>IFERROR(__xludf.DUMMYFUNCTION("""COMPUTED_VALUE"""),"Financial Modeling")</f>
        <v>Financial Modeling</v>
      </c>
      <c r="D4593" s="2" t="str">
        <f>IFERROR(__xludf.DUMMYFUNCTION("""COMPUTED_VALUE"""),"Brightfield House")</f>
        <v>Brightfield House</v>
      </c>
      <c r="E4593" s="2">
        <f>IFERROR(__xludf.DUMMYFUNCTION("""COMPUTED_VALUE"""),19.54)</f>
        <v>19.54</v>
      </c>
      <c r="F4593" s="2"/>
      <c r="G4593" s="2"/>
      <c r="H4593" s="2"/>
      <c r="I4593" s="2"/>
    </row>
    <row r="4594">
      <c r="A4594" s="2">
        <f>IFERROR(__xludf.DUMMYFUNCTION("""COMPUTED_VALUE"""),121868.0)</f>
        <v>121868</v>
      </c>
      <c r="B4594" s="2" t="str">
        <f>IFERROR(__xludf.DUMMYFUNCTION("""COMPUTED_VALUE"""),"Law")</f>
        <v>Law</v>
      </c>
      <c r="C4594" s="2" t="str">
        <f>IFERROR(__xludf.DUMMYFUNCTION("""COMPUTED_VALUE"""),"Financial Modeling")</f>
        <v>Financial Modeling</v>
      </c>
      <c r="D4594" s="2" t="str">
        <f>IFERROR(__xludf.DUMMYFUNCTION("""COMPUTED_VALUE"""),"Brightfield House")</f>
        <v>Brightfield House</v>
      </c>
      <c r="E4594" s="2">
        <f>IFERROR(__xludf.DUMMYFUNCTION("""COMPUTED_VALUE"""),3.84)</f>
        <v>3.84</v>
      </c>
      <c r="F4594" s="2"/>
      <c r="G4594" s="2"/>
      <c r="H4594" s="2"/>
      <c r="I4594" s="2"/>
    </row>
    <row r="4595">
      <c r="A4595" s="2">
        <f>IFERROR(__xludf.DUMMYFUNCTION("""COMPUTED_VALUE"""),17626.0)</f>
        <v>17626</v>
      </c>
      <c r="B4595" s="2" t="str">
        <f>IFERROR(__xludf.DUMMYFUNCTION("""COMPUTED_VALUE"""),"Law")</f>
        <v>Law</v>
      </c>
      <c r="C4595" s="2" t="str">
        <f>IFERROR(__xludf.DUMMYFUNCTION("""COMPUTED_VALUE"""),"Financial Modeling")</f>
        <v>Financial Modeling</v>
      </c>
      <c r="D4595" s="2" t="str">
        <f>IFERROR(__xludf.DUMMYFUNCTION("""COMPUTED_VALUE"""),"Brightfield House")</f>
        <v>Brightfield House</v>
      </c>
      <c r="E4595" s="2">
        <f>IFERROR(__xludf.DUMMYFUNCTION("""COMPUTED_VALUE"""),38.75)</f>
        <v>38.75</v>
      </c>
      <c r="F4595" s="2"/>
      <c r="G4595" s="2"/>
      <c r="H4595" s="2"/>
      <c r="I4595" s="2"/>
    </row>
    <row r="4596">
      <c r="A4596" s="2">
        <f>IFERROR(__xludf.DUMMYFUNCTION("""COMPUTED_VALUE"""),71394.0)</f>
        <v>71394</v>
      </c>
      <c r="B4596" s="2" t="str">
        <f>IFERROR(__xludf.DUMMYFUNCTION("""COMPUTED_VALUE"""),"Law")</f>
        <v>Law</v>
      </c>
      <c r="C4596" s="2" t="str">
        <f>IFERROR(__xludf.DUMMYFUNCTION("""COMPUTED_VALUE"""),"Financial Modeling")</f>
        <v>Financial Modeling</v>
      </c>
      <c r="D4596" s="2" t="str">
        <f>IFERROR(__xludf.DUMMYFUNCTION("""COMPUTED_VALUE"""),"Brightfield House")</f>
        <v>Brightfield House</v>
      </c>
      <c r="E4596" s="2">
        <f>IFERROR(__xludf.DUMMYFUNCTION("""COMPUTED_VALUE"""),5.82)</f>
        <v>5.82</v>
      </c>
      <c r="F4596" s="2"/>
      <c r="G4596" s="2"/>
      <c r="H4596" s="2"/>
      <c r="I4596" s="2"/>
    </row>
    <row r="4597">
      <c r="A4597" s="2">
        <f>IFERROR(__xludf.DUMMYFUNCTION("""COMPUTED_VALUE"""),17620.0)</f>
        <v>17620</v>
      </c>
      <c r="B4597" s="2" t="str">
        <f>IFERROR(__xludf.DUMMYFUNCTION("""COMPUTED_VALUE"""),"Law")</f>
        <v>Law</v>
      </c>
      <c r="C4597" s="2" t="str">
        <f>IFERROR(__xludf.DUMMYFUNCTION("""COMPUTED_VALUE"""),"Financial Modeling")</f>
        <v>Financial Modeling</v>
      </c>
      <c r="D4597" s="2" t="str">
        <f>IFERROR(__xludf.DUMMYFUNCTION("""COMPUTED_VALUE"""),"Brightfield House")</f>
        <v>Brightfield House</v>
      </c>
      <c r="E4597" s="2">
        <f>IFERROR(__xludf.DUMMYFUNCTION("""COMPUTED_VALUE"""),6.3)</f>
        <v>6.3</v>
      </c>
      <c r="F4597" s="2"/>
      <c r="G4597" s="2"/>
      <c r="H4597" s="2"/>
      <c r="I4597" s="2"/>
    </row>
    <row r="4598">
      <c r="A4598" s="2">
        <f>IFERROR(__xludf.DUMMYFUNCTION("""COMPUTED_VALUE"""),86186.0)</f>
        <v>86186</v>
      </c>
      <c r="B4598" s="2" t="str">
        <f>IFERROR(__xludf.DUMMYFUNCTION("""COMPUTED_VALUE"""),"Law")</f>
        <v>Law</v>
      </c>
      <c r="C4598" s="2" t="str">
        <f>IFERROR(__xludf.DUMMYFUNCTION("""COMPUTED_VALUE"""),"Financial Modeling")</f>
        <v>Financial Modeling</v>
      </c>
      <c r="D4598" s="2" t="str">
        <f>IFERROR(__xludf.DUMMYFUNCTION("""COMPUTED_VALUE"""),"Brightfield House")</f>
        <v>Brightfield House</v>
      </c>
      <c r="E4598" s="2">
        <f>IFERROR(__xludf.DUMMYFUNCTION("""COMPUTED_VALUE"""),6.74)</f>
        <v>6.74</v>
      </c>
      <c r="F4598" s="2"/>
      <c r="G4598" s="2"/>
      <c r="H4598" s="2"/>
      <c r="I4598" s="2"/>
    </row>
    <row r="4599">
      <c r="A4599" s="2">
        <f>IFERROR(__xludf.DUMMYFUNCTION("""COMPUTED_VALUE"""),71410.0)</f>
        <v>71410</v>
      </c>
      <c r="B4599" s="2" t="str">
        <f>IFERROR(__xludf.DUMMYFUNCTION("""COMPUTED_VALUE"""),"Law")</f>
        <v>Law</v>
      </c>
      <c r="C4599" s="2" t="str">
        <f>IFERROR(__xludf.DUMMYFUNCTION("""COMPUTED_VALUE"""),"Financial Modeling")</f>
        <v>Financial Modeling</v>
      </c>
      <c r="D4599" s="2" t="str">
        <f>IFERROR(__xludf.DUMMYFUNCTION("""COMPUTED_VALUE"""),"Brightfield House")</f>
        <v>Brightfield House</v>
      </c>
      <c r="E4599" s="2">
        <f>IFERROR(__xludf.DUMMYFUNCTION("""COMPUTED_VALUE"""),6.1)</f>
        <v>6.1</v>
      </c>
      <c r="F4599" s="2"/>
      <c r="G4599" s="2"/>
      <c r="H4599" s="2"/>
      <c r="I4599" s="2"/>
    </row>
    <row r="4600">
      <c r="A4600" s="2">
        <f>IFERROR(__xludf.DUMMYFUNCTION("""COMPUTED_VALUE"""),121869.0)</f>
        <v>121869</v>
      </c>
      <c r="B4600" s="2" t="str">
        <f>IFERROR(__xludf.DUMMYFUNCTION("""COMPUTED_VALUE"""),"Law")</f>
        <v>Law</v>
      </c>
      <c r="C4600" s="2" t="str">
        <f>IFERROR(__xludf.DUMMYFUNCTION("""COMPUTED_VALUE"""),"Financial Modeling")</f>
        <v>Financial Modeling</v>
      </c>
      <c r="D4600" s="2" t="str">
        <f>IFERROR(__xludf.DUMMYFUNCTION("""COMPUTED_VALUE"""),"Brightfield House")</f>
        <v>Brightfield House</v>
      </c>
      <c r="E4600" s="2">
        <f>IFERROR(__xludf.DUMMYFUNCTION("""COMPUTED_VALUE"""),12.5)</f>
        <v>12.5</v>
      </c>
      <c r="F4600" s="2"/>
      <c r="G4600" s="2"/>
      <c r="H4600" s="2"/>
      <c r="I4600" s="2"/>
    </row>
    <row r="4601">
      <c r="A4601" s="2">
        <f>IFERROR(__xludf.DUMMYFUNCTION("""COMPUTED_VALUE"""),17624.0)</f>
        <v>17624</v>
      </c>
      <c r="B4601" s="2" t="str">
        <f>IFERROR(__xludf.DUMMYFUNCTION("""COMPUTED_VALUE"""),"Law")</f>
        <v>Law</v>
      </c>
      <c r="C4601" s="2" t="str">
        <f>IFERROR(__xludf.DUMMYFUNCTION("""COMPUTED_VALUE"""),"Financial Modeling")</f>
        <v>Financial Modeling</v>
      </c>
      <c r="D4601" s="2" t="str">
        <f>IFERROR(__xludf.DUMMYFUNCTION("""COMPUTED_VALUE"""),"Brightfield House")</f>
        <v>Brightfield House</v>
      </c>
      <c r="E4601" s="2">
        <f>IFERROR(__xludf.DUMMYFUNCTION("""COMPUTED_VALUE"""),6.48)</f>
        <v>6.48</v>
      </c>
      <c r="F4601" s="2"/>
      <c r="G4601" s="2"/>
      <c r="H4601" s="2"/>
      <c r="I4601" s="2"/>
    </row>
    <row r="4602">
      <c r="A4602" s="2">
        <f>IFERROR(__xludf.DUMMYFUNCTION("""COMPUTED_VALUE"""),119737.0)</f>
        <v>119737</v>
      </c>
      <c r="B4602" s="2" t="str">
        <f>IFERROR(__xludf.DUMMYFUNCTION("""COMPUTED_VALUE"""),"Law")</f>
        <v>Law</v>
      </c>
      <c r="C4602" s="2" t="str">
        <f>IFERROR(__xludf.DUMMYFUNCTION("""COMPUTED_VALUE"""),"Financial Modeling")</f>
        <v>Financial Modeling</v>
      </c>
      <c r="D4602" s="2" t="str">
        <f>IFERROR(__xludf.DUMMYFUNCTION("""COMPUTED_VALUE"""),"Brightfield House")</f>
        <v>Brightfield House</v>
      </c>
      <c r="E4602" s="2">
        <f>IFERROR(__xludf.DUMMYFUNCTION("""COMPUTED_VALUE"""),16.54)</f>
        <v>16.54</v>
      </c>
      <c r="F4602" s="2"/>
      <c r="G4602" s="2"/>
      <c r="H4602" s="2"/>
      <c r="I4602" s="2"/>
    </row>
    <row r="4603">
      <c r="A4603" s="2">
        <f>IFERROR(__xludf.DUMMYFUNCTION("""COMPUTED_VALUE"""),17618.0)</f>
        <v>17618</v>
      </c>
      <c r="B4603" s="2" t="str">
        <f>IFERROR(__xludf.DUMMYFUNCTION("""COMPUTED_VALUE"""),"Law")</f>
        <v>Law</v>
      </c>
      <c r="C4603" s="2" t="str">
        <f>IFERROR(__xludf.DUMMYFUNCTION("""COMPUTED_VALUE"""),"Financial Modeling")</f>
        <v>Financial Modeling</v>
      </c>
      <c r="D4603" s="2" t="str">
        <f>IFERROR(__xludf.DUMMYFUNCTION("""COMPUTED_VALUE"""),"Brightfield House")</f>
        <v>Brightfield House</v>
      </c>
      <c r="E4603" s="2">
        <f>IFERROR(__xludf.DUMMYFUNCTION("""COMPUTED_VALUE"""),4.72)</f>
        <v>4.72</v>
      </c>
      <c r="F4603" s="2"/>
      <c r="G4603" s="2"/>
      <c r="H4603" s="2"/>
      <c r="I4603" s="2"/>
    </row>
    <row r="4604">
      <c r="A4604" s="2">
        <f>IFERROR(__xludf.DUMMYFUNCTION("""COMPUTED_VALUE"""),78741.0)</f>
        <v>78741</v>
      </c>
      <c r="B4604" s="2" t="str">
        <f>IFERROR(__xludf.DUMMYFUNCTION("""COMPUTED_VALUE"""),"Law")</f>
        <v>Law</v>
      </c>
      <c r="C4604" s="2" t="str">
        <f>IFERROR(__xludf.DUMMYFUNCTION("""COMPUTED_VALUE"""),"Financial Modeling")</f>
        <v>Financial Modeling</v>
      </c>
      <c r="D4604" s="2" t="str">
        <f>IFERROR(__xludf.DUMMYFUNCTION("""COMPUTED_VALUE"""),"Brightfield House")</f>
        <v>Brightfield House</v>
      </c>
      <c r="E4604" s="2">
        <f>IFERROR(__xludf.DUMMYFUNCTION("""COMPUTED_VALUE"""),7.55)</f>
        <v>7.55</v>
      </c>
      <c r="F4604" s="2"/>
      <c r="G4604" s="2"/>
      <c r="H4604" s="2"/>
      <c r="I4604" s="2"/>
    </row>
    <row r="4605">
      <c r="A4605" s="2">
        <f>IFERROR(__xludf.DUMMYFUNCTION("""COMPUTED_VALUE"""),86864.0)</f>
        <v>86864</v>
      </c>
      <c r="B4605" s="2" t="str">
        <f>IFERROR(__xludf.DUMMYFUNCTION("""COMPUTED_VALUE"""),"Law")</f>
        <v>Law</v>
      </c>
      <c r="C4605" s="2" t="str">
        <f>IFERROR(__xludf.DUMMYFUNCTION("""COMPUTED_VALUE"""),"Financial Modeling")</f>
        <v>Financial Modeling</v>
      </c>
      <c r="D4605" s="2" t="str">
        <f>IFERROR(__xludf.DUMMYFUNCTION("""COMPUTED_VALUE"""),"Brightfield House")</f>
        <v>Brightfield House</v>
      </c>
      <c r="E4605" s="2">
        <f>IFERROR(__xludf.DUMMYFUNCTION("""COMPUTED_VALUE"""),8.23)</f>
        <v>8.23</v>
      </c>
      <c r="F4605" s="2"/>
      <c r="G4605" s="2"/>
      <c r="H4605" s="2"/>
      <c r="I4605" s="2"/>
    </row>
    <row r="4606">
      <c r="A4606" s="2">
        <f>IFERROR(__xludf.DUMMYFUNCTION("""COMPUTED_VALUE"""),71421.0)</f>
        <v>71421</v>
      </c>
      <c r="B4606" s="2" t="str">
        <f>IFERROR(__xludf.DUMMYFUNCTION("""COMPUTED_VALUE"""),"Law")</f>
        <v>Law</v>
      </c>
      <c r="C4606" s="2" t="str">
        <f>IFERROR(__xludf.DUMMYFUNCTION("""COMPUTED_VALUE"""),"Financial Modeling")</f>
        <v>Financial Modeling</v>
      </c>
      <c r="D4606" s="2" t="str">
        <f>IFERROR(__xludf.DUMMYFUNCTION("""COMPUTED_VALUE"""),"Brightfield House")</f>
        <v>Brightfield House</v>
      </c>
      <c r="E4606" s="2">
        <f>IFERROR(__xludf.DUMMYFUNCTION("""COMPUTED_VALUE"""),7.51)</f>
        <v>7.51</v>
      </c>
      <c r="F4606" s="2"/>
      <c r="G4606" s="2"/>
      <c r="H4606" s="2"/>
      <c r="I4606" s="2"/>
    </row>
    <row r="4607">
      <c r="A4607" s="2">
        <f>IFERROR(__xludf.DUMMYFUNCTION("""COMPUTED_VALUE"""),115776.0)</f>
        <v>115776</v>
      </c>
      <c r="B4607" s="2" t="str">
        <f>IFERROR(__xludf.DUMMYFUNCTION("""COMPUTED_VALUE"""),"Law")</f>
        <v>Law</v>
      </c>
      <c r="C4607" s="2" t="str">
        <f>IFERROR(__xludf.DUMMYFUNCTION("""COMPUTED_VALUE"""),"Financial Modeling")</f>
        <v>Financial Modeling</v>
      </c>
      <c r="D4607" s="2" t="str">
        <f>IFERROR(__xludf.DUMMYFUNCTION("""COMPUTED_VALUE"""),"Brightfield House")</f>
        <v>Brightfield House</v>
      </c>
      <c r="E4607" s="2">
        <f>IFERROR(__xludf.DUMMYFUNCTION("""COMPUTED_VALUE"""),4.51)</f>
        <v>4.51</v>
      </c>
      <c r="F4607" s="2"/>
      <c r="G4607" s="2"/>
      <c r="H4607" s="2"/>
      <c r="I4607" s="2"/>
    </row>
    <row r="4608">
      <c r="A4608" s="2">
        <f>IFERROR(__xludf.DUMMYFUNCTION("""COMPUTED_VALUE"""),71393.0)</f>
        <v>71393</v>
      </c>
      <c r="B4608" s="2" t="str">
        <f>IFERROR(__xludf.DUMMYFUNCTION("""COMPUTED_VALUE"""),"Law")</f>
        <v>Law</v>
      </c>
      <c r="C4608" s="2" t="str">
        <f>IFERROR(__xludf.DUMMYFUNCTION("""COMPUTED_VALUE"""),"Financial Modeling")</f>
        <v>Financial Modeling</v>
      </c>
      <c r="D4608" s="2" t="str">
        <f>IFERROR(__xludf.DUMMYFUNCTION("""COMPUTED_VALUE"""),"Brightfield House")</f>
        <v>Brightfield House</v>
      </c>
      <c r="E4608" s="2">
        <f>IFERROR(__xludf.DUMMYFUNCTION("""COMPUTED_VALUE"""),5.91)</f>
        <v>5.91</v>
      </c>
      <c r="F4608" s="2"/>
      <c r="G4608" s="2"/>
      <c r="H4608" s="2"/>
      <c r="I4608" s="2"/>
    </row>
    <row r="4609">
      <c r="A4609" s="2">
        <f>IFERROR(__xludf.DUMMYFUNCTION("""COMPUTED_VALUE"""),78739.0)</f>
        <v>78739</v>
      </c>
      <c r="B4609" s="2" t="str">
        <f>IFERROR(__xludf.DUMMYFUNCTION("""COMPUTED_VALUE"""),"Law")</f>
        <v>Law</v>
      </c>
      <c r="C4609" s="2" t="str">
        <f>IFERROR(__xludf.DUMMYFUNCTION("""COMPUTED_VALUE"""),"Financial Modeling")</f>
        <v>Financial Modeling</v>
      </c>
      <c r="D4609" s="2" t="str">
        <f>IFERROR(__xludf.DUMMYFUNCTION("""COMPUTED_VALUE"""),"Brightfield House")</f>
        <v>Brightfield House</v>
      </c>
      <c r="E4609" s="2">
        <f>IFERROR(__xludf.DUMMYFUNCTION("""COMPUTED_VALUE"""),7.1)</f>
        <v>7.1</v>
      </c>
      <c r="F4609" s="2"/>
      <c r="G4609" s="2"/>
      <c r="H4609" s="2"/>
      <c r="I4609" s="2"/>
    </row>
    <row r="4610">
      <c r="A4610" s="2">
        <f>IFERROR(__xludf.DUMMYFUNCTION("""COMPUTED_VALUE"""),71408.0)</f>
        <v>71408</v>
      </c>
      <c r="B4610" s="2" t="str">
        <f>IFERROR(__xludf.DUMMYFUNCTION("""COMPUTED_VALUE"""),"Law")</f>
        <v>Law</v>
      </c>
      <c r="C4610" s="2" t="str">
        <f>IFERROR(__xludf.DUMMYFUNCTION("""COMPUTED_VALUE"""),"Financial Modeling")</f>
        <v>Financial Modeling</v>
      </c>
      <c r="D4610" s="2" t="str">
        <f>IFERROR(__xludf.DUMMYFUNCTION("""COMPUTED_VALUE"""),"Brightfield House")</f>
        <v>Brightfield House</v>
      </c>
      <c r="E4610" s="2">
        <f>IFERROR(__xludf.DUMMYFUNCTION("""COMPUTED_VALUE"""),6.78)</f>
        <v>6.78</v>
      </c>
      <c r="F4610" s="2"/>
      <c r="G4610" s="2"/>
      <c r="H4610" s="2"/>
      <c r="I4610" s="2"/>
    </row>
    <row r="4611">
      <c r="A4611" s="2">
        <f>IFERROR(__xludf.DUMMYFUNCTION("""COMPUTED_VALUE"""),109194.0)</f>
        <v>109194</v>
      </c>
      <c r="B4611" s="2" t="str">
        <f>IFERROR(__xludf.DUMMYFUNCTION("""COMPUTED_VALUE"""),"Law")</f>
        <v>Law</v>
      </c>
      <c r="C4611" s="2" t="str">
        <f>IFERROR(__xludf.DUMMYFUNCTION("""COMPUTED_VALUE"""),"Financial Modeling")</f>
        <v>Financial Modeling</v>
      </c>
      <c r="D4611" s="2" t="str">
        <f>IFERROR(__xludf.DUMMYFUNCTION("""COMPUTED_VALUE"""),"Oakfield House")</f>
        <v>Oakfield House</v>
      </c>
      <c r="E4611" s="2">
        <f>IFERROR(__xludf.DUMMYFUNCTION("""COMPUTED_VALUE"""),8.74)</f>
        <v>8.74</v>
      </c>
      <c r="F4611" s="2"/>
      <c r="G4611" s="2"/>
      <c r="H4611" s="2"/>
      <c r="I4611" s="2"/>
    </row>
    <row r="4612">
      <c r="A4612" s="2">
        <f>IFERROR(__xludf.DUMMYFUNCTION("""COMPUTED_VALUE"""),84448.0)</f>
        <v>84448</v>
      </c>
      <c r="B4612" s="2" t="str">
        <f>IFERROR(__xludf.DUMMYFUNCTION("""COMPUTED_VALUE"""),"Law")</f>
        <v>Law</v>
      </c>
      <c r="C4612" s="2" t="str">
        <f>IFERROR(__xludf.DUMMYFUNCTION("""COMPUTED_VALUE"""),"Financial Modeling")</f>
        <v>Financial Modeling</v>
      </c>
      <c r="D4612" s="2" t="str">
        <f>IFERROR(__xludf.DUMMYFUNCTION("""COMPUTED_VALUE"""),"Oakfield House")</f>
        <v>Oakfield House</v>
      </c>
      <c r="E4612" s="2">
        <f>IFERROR(__xludf.DUMMYFUNCTION("""COMPUTED_VALUE"""),20.12)</f>
        <v>20.12</v>
      </c>
      <c r="F4612" s="2"/>
      <c r="G4612" s="2"/>
      <c r="H4612" s="2"/>
      <c r="I4612" s="2"/>
    </row>
    <row r="4613">
      <c r="A4613" s="2">
        <f>IFERROR(__xludf.DUMMYFUNCTION("""COMPUTED_VALUE"""),140575.0)</f>
        <v>140575</v>
      </c>
      <c r="B4613" s="2" t="str">
        <f>IFERROR(__xludf.DUMMYFUNCTION("""COMPUTED_VALUE"""),"Law")</f>
        <v>Law</v>
      </c>
      <c r="C4613" s="2" t="str">
        <f>IFERROR(__xludf.DUMMYFUNCTION("""COMPUTED_VALUE"""),"Financial Modeling")</f>
        <v>Financial Modeling</v>
      </c>
      <c r="D4613" s="2" t="str">
        <f>IFERROR(__xludf.DUMMYFUNCTION("""COMPUTED_VALUE"""),"Oakfield House")</f>
        <v>Oakfield House</v>
      </c>
      <c r="E4613" s="2">
        <f>IFERROR(__xludf.DUMMYFUNCTION("""COMPUTED_VALUE"""),3.73)</f>
        <v>3.73</v>
      </c>
      <c r="F4613" s="2"/>
      <c r="G4613" s="2"/>
      <c r="H4613" s="2"/>
      <c r="I4613" s="2"/>
    </row>
    <row r="4614">
      <c r="A4614" s="2">
        <f>IFERROR(__xludf.DUMMYFUNCTION("""COMPUTED_VALUE"""),71420.0)</f>
        <v>71420</v>
      </c>
      <c r="B4614" s="2" t="str">
        <f>IFERROR(__xludf.DUMMYFUNCTION("""COMPUTED_VALUE"""),"Law")</f>
        <v>Law</v>
      </c>
      <c r="C4614" s="2" t="str">
        <f>IFERROR(__xludf.DUMMYFUNCTION("""COMPUTED_VALUE"""),"Financial Modeling")</f>
        <v>Financial Modeling</v>
      </c>
      <c r="D4614" s="2" t="str">
        <f>IFERROR(__xludf.DUMMYFUNCTION("""COMPUTED_VALUE"""),"Oakfield House")</f>
        <v>Oakfield House</v>
      </c>
      <c r="E4614" s="2">
        <f>IFERROR(__xludf.DUMMYFUNCTION("""COMPUTED_VALUE"""),2.39)</f>
        <v>2.39</v>
      </c>
      <c r="F4614" s="2"/>
      <c r="G4614" s="2"/>
      <c r="H4614" s="2"/>
      <c r="I4614" s="2"/>
    </row>
    <row r="4615">
      <c r="A4615" s="2">
        <f>IFERROR(__xludf.DUMMYFUNCTION("""COMPUTED_VALUE"""),71375.0)</f>
        <v>71375</v>
      </c>
      <c r="B4615" s="2" t="str">
        <f>IFERROR(__xludf.DUMMYFUNCTION("""COMPUTED_VALUE"""),"Law")</f>
        <v>Law</v>
      </c>
      <c r="C4615" s="2" t="str">
        <f>IFERROR(__xludf.DUMMYFUNCTION("""COMPUTED_VALUE"""),"Financial Modeling")</f>
        <v>Financial Modeling</v>
      </c>
      <c r="D4615" s="2" t="str">
        <f>IFERROR(__xludf.DUMMYFUNCTION("""COMPUTED_VALUE"""),"Oakfield House")</f>
        <v>Oakfield House</v>
      </c>
      <c r="E4615" s="2">
        <f>IFERROR(__xludf.DUMMYFUNCTION("""COMPUTED_VALUE"""),2.11)</f>
        <v>2.11</v>
      </c>
      <c r="F4615" s="2"/>
      <c r="G4615" s="2"/>
      <c r="H4615" s="2"/>
      <c r="I4615" s="2"/>
    </row>
    <row r="4616">
      <c r="A4616" s="2">
        <f>IFERROR(__xludf.DUMMYFUNCTION("""COMPUTED_VALUE"""),71376.0)</f>
        <v>71376</v>
      </c>
      <c r="B4616" s="2" t="str">
        <f>IFERROR(__xludf.DUMMYFUNCTION("""COMPUTED_VALUE"""),"Law")</f>
        <v>Law</v>
      </c>
      <c r="C4616" s="2" t="str">
        <f>IFERROR(__xludf.DUMMYFUNCTION("""COMPUTED_VALUE"""),"Financial Modeling")</f>
        <v>Financial Modeling</v>
      </c>
      <c r="D4616" s="2" t="str">
        <f>IFERROR(__xludf.DUMMYFUNCTION("""COMPUTED_VALUE"""),"Oakfield House")</f>
        <v>Oakfield House</v>
      </c>
      <c r="E4616" s="2">
        <f>IFERROR(__xludf.DUMMYFUNCTION("""COMPUTED_VALUE"""),3.94)</f>
        <v>3.94</v>
      </c>
      <c r="F4616" s="2"/>
      <c r="G4616" s="2"/>
      <c r="H4616" s="2"/>
      <c r="I4616" s="2"/>
    </row>
    <row r="4617">
      <c r="A4617" s="2">
        <f>IFERROR(__xludf.DUMMYFUNCTION("""COMPUTED_VALUE"""),110975.0)</f>
        <v>110975</v>
      </c>
      <c r="B4617" s="2" t="str">
        <f>IFERROR(__xludf.DUMMYFUNCTION("""COMPUTED_VALUE"""),"Law")</f>
        <v>Law</v>
      </c>
      <c r="C4617" s="2" t="str">
        <f>IFERROR(__xludf.DUMMYFUNCTION("""COMPUTED_VALUE"""),"Financial Modeling")</f>
        <v>Financial Modeling</v>
      </c>
      <c r="D4617" s="2" t="str">
        <f>IFERROR(__xludf.DUMMYFUNCTION("""COMPUTED_VALUE"""),"Oakfield House")</f>
        <v>Oakfield House</v>
      </c>
      <c r="E4617" s="2">
        <f>IFERROR(__xludf.DUMMYFUNCTION("""COMPUTED_VALUE"""),2.08)</f>
        <v>2.08</v>
      </c>
      <c r="F4617" s="2"/>
      <c r="G4617" s="2"/>
      <c r="H4617" s="2"/>
      <c r="I4617" s="2"/>
    </row>
    <row r="4618">
      <c r="A4618" s="2">
        <f>IFERROR(__xludf.DUMMYFUNCTION("""COMPUTED_VALUE"""),86170.0)</f>
        <v>86170</v>
      </c>
      <c r="B4618" s="2" t="str">
        <f>IFERROR(__xludf.DUMMYFUNCTION("""COMPUTED_VALUE"""),"Law")</f>
        <v>Law</v>
      </c>
      <c r="C4618" s="2" t="str">
        <f>IFERROR(__xludf.DUMMYFUNCTION("""COMPUTED_VALUE"""),"Financial Modeling")</f>
        <v>Financial Modeling</v>
      </c>
      <c r="D4618" s="2" t="str">
        <f>IFERROR(__xludf.DUMMYFUNCTION("""COMPUTED_VALUE"""),"Oakfield House")</f>
        <v>Oakfield House</v>
      </c>
      <c r="E4618" s="2">
        <f>IFERROR(__xludf.DUMMYFUNCTION("""COMPUTED_VALUE"""),7.55)</f>
        <v>7.55</v>
      </c>
      <c r="F4618" s="2"/>
      <c r="G4618" s="2"/>
      <c r="H4618" s="2"/>
      <c r="I4618" s="2"/>
    </row>
    <row r="4619">
      <c r="A4619" s="2">
        <f>IFERROR(__xludf.DUMMYFUNCTION("""COMPUTED_VALUE"""),142787.0)</f>
        <v>142787</v>
      </c>
      <c r="B4619" s="2" t="str">
        <f>IFERROR(__xludf.DUMMYFUNCTION("""COMPUTED_VALUE"""),"Law")</f>
        <v>Law</v>
      </c>
      <c r="C4619" s="2" t="str">
        <f>IFERROR(__xludf.DUMMYFUNCTION("""COMPUTED_VALUE"""),"Financial Modeling")</f>
        <v>Financial Modeling</v>
      </c>
      <c r="D4619" s="2" t="str">
        <f>IFERROR(__xludf.DUMMYFUNCTION("""COMPUTED_VALUE"""),"Oakfield House")</f>
        <v>Oakfield House</v>
      </c>
      <c r="E4619" s="2">
        <f>IFERROR(__xludf.DUMMYFUNCTION("""COMPUTED_VALUE"""),2.95)</f>
        <v>2.95</v>
      </c>
      <c r="F4619" s="2"/>
      <c r="G4619" s="2"/>
      <c r="H4619" s="2"/>
      <c r="I4619" s="2"/>
    </row>
    <row r="4620">
      <c r="A4620" s="2">
        <f>IFERROR(__xludf.DUMMYFUNCTION("""COMPUTED_VALUE"""),109185.0)</f>
        <v>109185</v>
      </c>
      <c r="B4620" s="2" t="str">
        <f>IFERROR(__xludf.DUMMYFUNCTION("""COMPUTED_VALUE"""),"Law")</f>
        <v>Law</v>
      </c>
      <c r="C4620" s="2" t="str">
        <f>IFERROR(__xludf.DUMMYFUNCTION("""COMPUTED_VALUE"""),"Financial Modeling")</f>
        <v>Financial Modeling</v>
      </c>
      <c r="D4620" s="2" t="str">
        <f>IFERROR(__xludf.DUMMYFUNCTION("""COMPUTED_VALUE"""),"Oakfield House")</f>
        <v>Oakfield House</v>
      </c>
      <c r="E4620" s="2">
        <f>IFERROR(__xludf.DUMMYFUNCTION("""COMPUTED_VALUE"""),7.01)</f>
        <v>7.01</v>
      </c>
      <c r="F4620" s="2"/>
      <c r="G4620" s="2"/>
      <c r="H4620" s="2"/>
      <c r="I4620" s="2"/>
    </row>
    <row r="4621">
      <c r="A4621" s="2">
        <f>IFERROR(__xludf.DUMMYFUNCTION("""COMPUTED_VALUE"""),109184.0)</f>
        <v>109184</v>
      </c>
      <c r="B4621" s="2" t="str">
        <f>IFERROR(__xludf.DUMMYFUNCTION("""COMPUTED_VALUE"""),"Law")</f>
        <v>Law</v>
      </c>
      <c r="C4621" s="2" t="str">
        <f>IFERROR(__xludf.DUMMYFUNCTION("""COMPUTED_VALUE"""),"Financial Modeling")</f>
        <v>Financial Modeling</v>
      </c>
      <c r="D4621" s="2" t="str">
        <f>IFERROR(__xludf.DUMMYFUNCTION("""COMPUTED_VALUE"""),"Oakfield House")</f>
        <v>Oakfield House</v>
      </c>
      <c r="E4621" s="2">
        <f>IFERROR(__xludf.DUMMYFUNCTION("""COMPUTED_VALUE"""),5.43)</f>
        <v>5.43</v>
      </c>
      <c r="F4621" s="2"/>
      <c r="G4621" s="2"/>
      <c r="H4621" s="2"/>
      <c r="I4621" s="2"/>
    </row>
    <row r="4622">
      <c r="A4622" s="2">
        <f>IFERROR(__xludf.DUMMYFUNCTION("""COMPUTED_VALUE"""),72575.0)</f>
        <v>72575</v>
      </c>
      <c r="B4622" s="2" t="str">
        <f>IFERROR(__xludf.DUMMYFUNCTION("""COMPUTED_VALUE"""),"Law")</f>
        <v>Law</v>
      </c>
      <c r="C4622" s="2" t="str">
        <f>IFERROR(__xludf.DUMMYFUNCTION("""COMPUTED_VALUE"""),"Financial Modeling")</f>
        <v>Financial Modeling</v>
      </c>
      <c r="D4622" s="2" t="str">
        <f>IFERROR(__xludf.DUMMYFUNCTION("""COMPUTED_VALUE"""),"Oakfield House")</f>
        <v>Oakfield House</v>
      </c>
      <c r="E4622" s="2">
        <f>IFERROR(__xludf.DUMMYFUNCTION("""COMPUTED_VALUE"""),3.98)</f>
        <v>3.98</v>
      </c>
      <c r="F4622" s="2"/>
      <c r="G4622" s="2"/>
      <c r="H4622" s="2"/>
      <c r="I4622" s="2"/>
    </row>
    <row r="4623">
      <c r="A4623" s="2">
        <f>IFERROR(__xludf.DUMMYFUNCTION("""COMPUTED_VALUE"""),78909.0)</f>
        <v>78909</v>
      </c>
      <c r="B4623" s="2" t="str">
        <f>IFERROR(__xludf.DUMMYFUNCTION("""COMPUTED_VALUE"""),"Law")</f>
        <v>Law</v>
      </c>
      <c r="C4623" s="2" t="str">
        <f>IFERROR(__xludf.DUMMYFUNCTION("""COMPUTED_VALUE"""),"Financial Modeling")</f>
        <v>Financial Modeling</v>
      </c>
      <c r="D4623" s="2" t="str">
        <f>IFERROR(__xludf.DUMMYFUNCTION("""COMPUTED_VALUE"""),"Oakfield House")</f>
        <v>Oakfield House</v>
      </c>
      <c r="E4623" s="2">
        <f>IFERROR(__xludf.DUMMYFUNCTION("""COMPUTED_VALUE"""),7.18)</f>
        <v>7.18</v>
      </c>
      <c r="F4623" s="2"/>
      <c r="G4623" s="2"/>
      <c r="H4623" s="2"/>
      <c r="I4623" s="2"/>
    </row>
    <row r="4624">
      <c r="A4624" s="2">
        <f>IFERROR(__xludf.DUMMYFUNCTION("""COMPUTED_VALUE"""),17630.0)</f>
        <v>17630</v>
      </c>
      <c r="B4624" s="2" t="str">
        <f>IFERROR(__xludf.DUMMYFUNCTION("""COMPUTED_VALUE"""),"Law")</f>
        <v>Law</v>
      </c>
      <c r="C4624" s="2" t="str">
        <f>IFERROR(__xludf.DUMMYFUNCTION("""COMPUTED_VALUE"""),"Financial Modeling")</f>
        <v>Financial Modeling</v>
      </c>
      <c r="D4624" s="2" t="str">
        <f>IFERROR(__xludf.DUMMYFUNCTION("""COMPUTED_VALUE"""),"Riverfield House")</f>
        <v>Riverfield House</v>
      </c>
      <c r="E4624" s="2">
        <f>IFERROR(__xludf.DUMMYFUNCTION("""COMPUTED_VALUE"""),10.29)</f>
        <v>10.29</v>
      </c>
      <c r="F4624" s="2"/>
      <c r="G4624" s="2"/>
      <c r="H4624" s="2"/>
      <c r="I4624" s="2"/>
    </row>
    <row r="4625">
      <c r="A4625" s="2">
        <f>IFERROR(__xludf.DUMMYFUNCTION("""COMPUTED_VALUE"""),78924.0)</f>
        <v>78924</v>
      </c>
      <c r="B4625" s="2" t="str">
        <f>IFERROR(__xludf.DUMMYFUNCTION("""COMPUTED_VALUE"""),"Law")</f>
        <v>Law</v>
      </c>
      <c r="C4625" s="2" t="str">
        <f>IFERROR(__xludf.DUMMYFUNCTION("""COMPUTED_VALUE"""),"Financial Modeling")</f>
        <v>Financial Modeling</v>
      </c>
      <c r="D4625" s="2" t="str">
        <f>IFERROR(__xludf.DUMMYFUNCTION("""COMPUTED_VALUE"""),"Riverfield House")</f>
        <v>Riverfield House</v>
      </c>
      <c r="E4625" s="2">
        <f>IFERROR(__xludf.DUMMYFUNCTION("""COMPUTED_VALUE"""),7.43)</f>
        <v>7.43</v>
      </c>
      <c r="F4625" s="2"/>
      <c r="G4625" s="2"/>
      <c r="H4625" s="2"/>
      <c r="I4625" s="2"/>
    </row>
    <row r="4626">
      <c r="A4626" s="2">
        <f>IFERROR(__xludf.DUMMYFUNCTION("""COMPUTED_VALUE"""),82196.0)</f>
        <v>82196</v>
      </c>
      <c r="B4626" s="2" t="str">
        <f>IFERROR(__xludf.DUMMYFUNCTION("""COMPUTED_VALUE"""),"Law")</f>
        <v>Law</v>
      </c>
      <c r="C4626" s="2" t="str">
        <f>IFERROR(__xludf.DUMMYFUNCTION("""COMPUTED_VALUE"""),"Financial Modeling")</f>
        <v>Financial Modeling</v>
      </c>
      <c r="D4626" s="2" t="str">
        <f>IFERROR(__xludf.DUMMYFUNCTION("""COMPUTED_VALUE"""),"Riverfield House")</f>
        <v>Riverfield House</v>
      </c>
      <c r="E4626" s="2">
        <f>IFERROR(__xludf.DUMMYFUNCTION("""COMPUTED_VALUE"""),6.1)</f>
        <v>6.1</v>
      </c>
      <c r="F4626" s="2"/>
      <c r="G4626" s="2"/>
      <c r="H4626" s="2"/>
      <c r="I4626" s="2"/>
    </row>
    <row r="4627">
      <c r="A4627" s="2">
        <f>IFERROR(__xludf.DUMMYFUNCTION("""COMPUTED_VALUE"""),86184.0)</f>
        <v>86184</v>
      </c>
      <c r="B4627" s="2" t="str">
        <f>IFERROR(__xludf.DUMMYFUNCTION("""COMPUTED_VALUE"""),"Law")</f>
        <v>Law</v>
      </c>
      <c r="C4627" s="2" t="str">
        <f>IFERROR(__xludf.DUMMYFUNCTION("""COMPUTED_VALUE"""),"Financial Modeling")</f>
        <v>Financial Modeling</v>
      </c>
      <c r="D4627" s="2" t="str">
        <f>IFERROR(__xludf.DUMMYFUNCTION("""COMPUTED_VALUE"""),"Ironfield House")</f>
        <v>Ironfield House</v>
      </c>
      <c r="E4627" s="2">
        <f>IFERROR(__xludf.DUMMYFUNCTION("""COMPUTED_VALUE"""),9.42)</f>
        <v>9.42</v>
      </c>
      <c r="F4627" s="2"/>
      <c r="G4627" s="2"/>
      <c r="H4627" s="2"/>
      <c r="I4627" s="2"/>
    </row>
    <row r="4628">
      <c r="A4628" s="2">
        <f>IFERROR(__xludf.DUMMYFUNCTION("""COMPUTED_VALUE"""),6219.0)</f>
        <v>6219</v>
      </c>
      <c r="B4628" s="2" t="str">
        <f>IFERROR(__xludf.DUMMYFUNCTION("""COMPUTED_VALUE"""),"Law")</f>
        <v>Law</v>
      </c>
      <c r="C4628" s="2" t="str">
        <f>IFERROR(__xludf.DUMMYFUNCTION("""COMPUTED_VALUE"""),"Financial Modeling")</f>
        <v>Financial Modeling</v>
      </c>
      <c r="D4628" s="2" t="str">
        <f>IFERROR(__xludf.DUMMYFUNCTION("""COMPUTED_VALUE"""),"Ironfield House")</f>
        <v>Ironfield House</v>
      </c>
      <c r="E4628" s="2">
        <f>IFERROR(__xludf.DUMMYFUNCTION("""COMPUTED_VALUE"""),9.43)</f>
        <v>9.43</v>
      </c>
      <c r="F4628" s="2"/>
      <c r="G4628" s="2"/>
      <c r="H4628" s="2"/>
      <c r="I4628" s="2"/>
    </row>
    <row r="4629">
      <c r="A4629" s="2">
        <f>IFERROR(__xludf.DUMMYFUNCTION("""COMPUTED_VALUE"""),116185.0)</f>
        <v>116185</v>
      </c>
      <c r="B4629" s="2" t="str">
        <f>IFERROR(__xludf.DUMMYFUNCTION("""COMPUTED_VALUE"""),"Law")</f>
        <v>Law</v>
      </c>
      <c r="C4629" s="2" t="str">
        <f>IFERROR(__xludf.DUMMYFUNCTION("""COMPUTED_VALUE"""),"Financial Modeling")</f>
        <v>Financial Modeling</v>
      </c>
      <c r="D4629" s="2" t="str">
        <f>IFERROR(__xludf.DUMMYFUNCTION("""COMPUTED_VALUE"""),"Silverlane House")</f>
        <v>Silverlane House</v>
      </c>
      <c r="E4629" s="2">
        <f>IFERROR(__xludf.DUMMYFUNCTION("""COMPUTED_VALUE"""),3.72)</f>
        <v>3.72</v>
      </c>
      <c r="F4629" s="2"/>
      <c r="G4629" s="2"/>
      <c r="H4629" s="2"/>
      <c r="I4629" s="2"/>
    </row>
    <row r="4630">
      <c r="A4630" s="2">
        <f>IFERROR(__xludf.DUMMYFUNCTION("""COMPUTED_VALUE"""),12873.0)</f>
        <v>12873</v>
      </c>
      <c r="B4630" s="2" t="str">
        <f>IFERROR(__xludf.DUMMYFUNCTION("""COMPUTED_VALUE"""),"Law")</f>
        <v>Law</v>
      </c>
      <c r="C4630" s="2" t="str">
        <f>IFERROR(__xludf.DUMMYFUNCTION("""COMPUTED_VALUE"""),"Financial Modeling")</f>
        <v>Financial Modeling</v>
      </c>
      <c r="D4630" s="2" t="str">
        <f>IFERROR(__xludf.DUMMYFUNCTION("""COMPUTED_VALUE"""),"Silverlane House")</f>
        <v>Silverlane House</v>
      </c>
      <c r="E4630" s="2">
        <f>IFERROR(__xludf.DUMMYFUNCTION("""COMPUTED_VALUE"""),13.5)</f>
        <v>13.5</v>
      </c>
      <c r="F4630" s="2"/>
      <c r="G4630" s="2"/>
      <c r="H4630" s="2"/>
      <c r="I4630" s="2"/>
    </row>
    <row r="4631">
      <c r="A4631" s="2">
        <f>IFERROR(__xludf.DUMMYFUNCTION("""COMPUTED_VALUE"""),71413.0)</f>
        <v>71413</v>
      </c>
      <c r="B4631" s="2" t="str">
        <f>IFERROR(__xludf.DUMMYFUNCTION("""COMPUTED_VALUE"""),"Law")</f>
        <v>Law</v>
      </c>
      <c r="C4631" s="2" t="str">
        <f>IFERROR(__xludf.DUMMYFUNCTION("""COMPUTED_VALUE"""),"Financial Modeling")</f>
        <v>Financial Modeling</v>
      </c>
      <c r="D4631" s="2" t="str">
        <f>IFERROR(__xludf.DUMMYFUNCTION("""COMPUTED_VALUE"""),"Silverlane House")</f>
        <v>Silverlane House</v>
      </c>
      <c r="E4631" s="2">
        <f>IFERROR(__xludf.DUMMYFUNCTION("""COMPUTED_VALUE"""),5.57)</f>
        <v>5.57</v>
      </c>
      <c r="F4631" s="2"/>
      <c r="G4631" s="2"/>
      <c r="H4631" s="2"/>
      <c r="I4631" s="2"/>
    </row>
    <row r="4632">
      <c r="A4632" s="2">
        <f>IFERROR(__xludf.DUMMYFUNCTION("""COMPUTED_VALUE"""),128352.0)</f>
        <v>128352</v>
      </c>
      <c r="B4632" s="2" t="str">
        <f>IFERROR(__xludf.DUMMYFUNCTION("""COMPUTED_VALUE"""),"Law")</f>
        <v>Law</v>
      </c>
      <c r="C4632" s="2" t="str">
        <f>IFERROR(__xludf.DUMMYFUNCTION("""COMPUTED_VALUE"""),"Financial Modeling")</f>
        <v>Financial Modeling</v>
      </c>
      <c r="D4632" s="2" t="str">
        <f>IFERROR(__xludf.DUMMYFUNCTION("""COMPUTED_VALUE"""),"Silverlane House")</f>
        <v>Silverlane House</v>
      </c>
      <c r="E4632" s="2">
        <f>IFERROR(__xludf.DUMMYFUNCTION("""COMPUTED_VALUE"""),2.57)</f>
        <v>2.57</v>
      </c>
      <c r="F4632" s="2"/>
      <c r="G4632" s="2"/>
      <c r="H4632" s="2"/>
      <c r="I4632" s="2"/>
    </row>
    <row r="4633">
      <c r="A4633" s="2">
        <f>IFERROR(__xludf.DUMMYFUNCTION("""COMPUTED_VALUE"""),17594.0)</f>
        <v>17594</v>
      </c>
      <c r="B4633" s="2" t="str">
        <f>IFERROR(__xludf.DUMMYFUNCTION("""COMPUTED_VALUE"""),"Law")</f>
        <v>Law</v>
      </c>
      <c r="C4633" s="2" t="str">
        <f>IFERROR(__xludf.DUMMYFUNCTION("""COMPUTED_VALUE"""),"Financial Modeling")</f>
        <v>Financial Modeling</v>
      </c>
      <c r="D4633" s="2" t="str">
        <f>IFERROR(__xludf.DUMMYFUNCTION("""COMPUTED_VALUE"""),"Silverlane House")</f>
        <v>Silverlane House</v>
      </c>
      <c r="E4633" s="2">
        <f>IFERROR(__xludf.DUMMYFUNCTION("""COMPUTED_VALUE"""),5.38)</f>
        <v>5.38</v>
      </c>
      <c r="F4633" s="2"/>
      <c r="G4633" s="2"/>
      <c r="H4633" s="2"/>
      <c r="I4633" s="2"/>
    </row>
    <row r="4634">
      <c r="A4634" s="2">
        <f>IFERROR(__xludf.DUMMYFUNCTION("""COMPUTED_VALUE"""),71404.0)</f>
        <v>71404</v>
      </c>
      <c r="B4634" s="2" t="str">
        <f>IFERROR(__xludf.DUMMYFUNCTION("""COMPUTED_VALUE"""),"Law")</f>
        <v>Law</v>
      </c>
      <c r="C4634" s="2" t="str">
        <f>IFERROR(__xludf.DUMMYFUNCTION("""COMPUTED_VALUE"""),"Financial Modeling")</f>
        <v>Financial Modeling</v>
      </c>
      <c r="D4634" s="2" t="str">
        <f>IFERROR(__xludf.DUMMYFUNCTION("""COMPUTED_VALUE"""),"Silverlane House")</f>
        <v>Silverlane House</v>
      </c>
      <c r="E4634" s="2">
        <f>IFERROR(__xludf.DUMMYFUNCTION("""COMPUTED_VALUE"""),4.83)</f>
        <v>4.83</v>
      </c>
      <c r="F4634" s="2"/>
      <c r="G4634" s="2"/>
      <c r="H4634" s="2"/>
      <c r="I4634" s="2"/>
    </row>
    <row r="4635">
      <c r="A4635" s="2">
        <f>IFERROR(__xludf.DUMMYFUNCTION("""COMPUTED_VALUE"""),129473.0)</f>
        <v>129473</v>
      </c>
      <c r="B4635" s="2" t="str">
        <f>IFERROR(__xludf.DUMMYFUNCTION("""COMPUTED_VALUE"""),"Law")</f>
        <v>Law</v>
      </c>
      <c r="C4635" s="2" t="str">
        <f>IFERROR(__xludf.DUMMYFUNCTION("""COMPUTED_VALUE"""),"Financial Modeling")</f>
        <v>Financial Modeling</v>
      </c>
      <c r="D4635" s="2" t="str">
        <f>IFERROR(__xludf.DUMMYFUNCTION("""COMPUTED_VALUE"""),"Silverlane House")</f>
        <v>Silverlane House</v>
      </c>
      <c r="E4635" s="2">
        <f>IFERROR(__xludf.DUMMYFUNCTION("""COMPUTED_VALUE"""),2.94)</f>
        <v>2.94</v>
      </c>
      <c r="F4635" s="2"/>
      <c r="G4635" s="2"/>
      <c r="H4635" s="2"/>
      <c r="I4635" s="2"/>
    </row>
    <row r="4636">
      <c r="A4636" s="2">
        <f>IFERROR(__xludf.DUMMYFUNCTION("""COMPUTED_VALUE"""),78904.0)</f>
        <v>78904</v>
      </c>
      <c r="B4636" s="2" t="str">
        <f>IFERROR(__xludf.DUMMYFUNCTION("""COMPUTED_VALUE"""),"Law")</f>
        <v>Law</v>
      </c>
      <c r="C4636" s="2" t="str">
        <f>IFERROR(__xludf.DUMMYFUNCTION("""COMPUTED_VALUE"""),"Financial Modeling")</f>
        <v>Financial Modeling</v>
      </c>
      <c r="D4636" s="2" t="str">
        <f>IFERROR(__xludf.DUMMYFUNCTION("""COMPUTED_VALUE"""),"Silverlane House")</f>
        <v>Silverlane House</v>
      </c>
      <c r="E4636" s="2">
        <f>IFERROR(__xludf.DUMMYFUNCTION("""COMPUTED_VALUE"""),6.05)</f>
        <v>6.05</v>
      </c>
      <c r="F4636" s="2"/>
      <c r="G4636" s="2"/>
      <c r="H4636" s="2"/>
      <c r="I4636" s="2"/>
    </row>
    <row r="4637">
      <c r="A4637" s="2">
        <f>IFERROR(__xludf.DUMMYFUNCTION("""COMPUTED_VALUE"""),122311.0)</f>
        <v>122311</v>
      </c>
      <c r="B4637" s="2" t="str">
        <f>IFERROR(__xludf.DUMMYFUNCTION("""COMPUTED_VALUE"""),"Law")</f>
        <v>Law</v>
      </c>
      <c r="C4637" s="2" t="str">
        <f>IFERROR(__xludf.DUMMYFUNCTION("""COMPUTED_VALUE"""),"Financial Modeling")</f>
        <v>Financial Modeling</v>
      </c>
      <c r="D4637" s="2" t="str">
        <f>IFERROR(__xludf.DUMMYFUNCTION("""COMPUTED_VALUE"""),"Northlane House")</f>
        <v>Northlane House</v>
      </c>
      <c r="E4637" s="2">
        <f>IFERROR(__xludf.DUMMYFUNCTION("""COMPUTED_VALUE"""),3.31)</f>
        <v>3.31</v>
      </c>
      <c r="F4637" s="2"/>
      <c r="G4637" s="2"/>
      <c r="H4637" s="2"/>
      <c r="I4637" s="2"/>
    </row>
    <row r="4638">
      <c r="A4638" s="2">
        <f>IFERROR(__xludf.DUMMYFUNCTION("""COMPUTED_VALUE"""),86172.0)</f>
        <v>86172</v>
      </c>
      <c r="B4638" s="2" t="str">
        <f>IFERROR(__xludf.DUMMYFUNCTION("""COMPUTED_VALUE"""),"Law")</f>
        <v>Law</v>
      </c>
      <c r="C4638" s="2" t="str">
        <f>IFERROR(__xludf.DUMMYFUNCTION("""COMPUTED_VALUE"""),"Financial Modeling")</f>
        <v>Financial Modeling</v>
      </c>
      <c r="D4638" s="2" t="str">
        <f>IFERROR(__xludf.DUMMYFUNCTION("""COMPUTED_VALUE"""),"Harborlane House")</f>
        <v>Harborlane House</v>
      </c>
      <c r="E4638" s="2">
        <f>IFERROR(__xludf.DUMMYFUNCTION("""COMPUTED_VALUE"""),4.8)</f>
        <v>4.8</v>
      </c>
      <c r="F4638" s="2"/>
      <c r="G4638" s="2"/>
      <c r="H4638" s="2"/>
      <c r="I4638" s="2"/>
    </row>
    <row r="4639">
      <c r="A4639" s="2">
        <f>IFERROR(__xludf.DUMMYFUNCTION("""COMPUTED_VALUE"""),17592.0)</f>
        <v>17592</v>
      </c>
      <c r="B4639" s="2" t="str">
        <f>IFERROR(__xludf.DUMMYFUNCTION("""COMPUTED_VALUE"""),"Law")</f>
        <v>Law</v>
      </c>
      <c r="C4639" s="2" t="str">
        <f>IFERROR(__xludf.DUMMYFUNCTION("""COMPUTED_VALUE"""),"Financial Modeling")</f>
        <v>Financial Modeling</v>
      </c>
      <c r="D4639" s="2" t="str">
        <f>IFERROR(__xludf.DUMMYFUNCTION("""COMPUTED_VALUE"""),"Harborlane House")</f>
        <v>Harborlane House</v>
      </c>
      <c r="E4639" s="2">
        <f>IFERROR(__xludf.DUMMYFUNCTION("""COMPUTED_VALUE"""),5.69)</f>
        <v>5.69</v>
      </c>
      <c r="F4639" s="2"/>
      <c r="G4639" s="2"/>
      <c r="H4639" s="2"/>
      <c r="I4639" s="2"/>
    </row>
    <row r="4640">
      <c r="A4640" s="2">
        <f>IFERROR(__xludf.DUMMYFUNCTION("""COMPUTED_VALUE"""),89981.0)</f>
        <v>89981</v>
      </c>
      <c r="B4640" s="2" t="str">
        <f>IFERROR(__xludf.DUMMYFUNCTION("""COMPUTED_VALUE"""),"Law")</f>
        <v>Law</v>
      </c>
      <c r="C4640" s="2" t="str">
        <f>IFERROR(__xludf.DUMMYFUNCTION("""COMPUTED_VALUE"""),"Financial Modeling")</f>
        <v>Financial Modeling</v>
      </c>
      <c r="D4640" s="2" t="str">
        <f>IFERROR(__xludf.DUMMYFUNCTION("""COMPUTED_VALUE"""),"Harborlane House")</f>
        <v>Harborlane House</v>
      </c>
      <c r="E4640" s="2">
        <f>IFERROR(__xludf.DUMMYFUNCTION("""COMPUTED_VALUE"""),4.19)</f>
        <v>4.19</v>
      </c>
      <c r="F4640" s="2"/>
      <c r="G4640" s="2"/>
      <c r="H4640" s="2"/>
      <c r="I4640" s="2"/>
    </row>
    <row r="4641">
      <c r="A4641" s="2">
        <f>IFERROR(__xludf.DUMMYFUNCTION("""COMPUTED_VALUE"""),71399.0)</f>
        <v>71399</v>
      </c>
      <c r="B4641" s="2" t="str">
        <f>IFERROR(__xludf.DUMMYFUNCTION("""COMPUTED_VALUE"""),"Law")</f>
        <v>Law</v>
      </c>
      <c r="C4641" s="2" t="str">
        <f>IFERROR(__xludf.DUMMYFUNCTION("""COMPUTED_VALUE"""),"Financial Modeling")</f>
        <v>Financial Modeling</v>
      </c>
      <c r="D4641" s="2" t="str">
        <f>IFERROR(__xludf.DUMMYFUNCTION("""COMPUTED_VALUE"""),"Harborlane House")</f>
        <v>Harborlane House</v>
      </c>
      <c r="E4641" s="2">
        <f>IFERROR(__xludf.DUMMYFUNCTION("""COMPUTED_VALUE"""),4.09)</f>
        <v>4.09</v>
      </c>
      <c r="F4641" s="2"/>
      <c r="G4641" s="2"/>
      <c r="H4641" s="2"/>
      <c r="I4641" s="2"/>
    </row>
    <row r="4642">
      <c r="A4642" s="2">
        <f>IFERROR(__xludf.DUMMYFUNCTION("""COMPUTED_VALUE"""),17587.0)</f>
        <v>17587</v>
      </c>
      <c r="B4642" s="2" t="str">
        <f>IFERROR(__xludf.DUMMYFUNCTION("""COMPUTED_VALUE"""),"Law")</f>
        <v>Law</v>
      </c>
      <c r="C4642" s="2" t="str">
        <f>IFERROR(__xludf.DUMMYFUNCTION("""COMPUTED_VALUE"""),"Financial Modeling")</f>
        <v>Financial Modeling</v>
      </c>
      <c r="D4642" s="2" t="str">
        <f>IFERROR(__xludf.DUMMYFUNCTION("""COMPUTED_VALUE"""),"Harborlane House")</f>
        <v>Harborlane House</v>
      </c>
      <c r="E4642" s="2">
        <f>IFERROR(__xludf.DUMMYFUNCTION("""COMPUTED_VALUE"""),3.75)</f>
        <v>3.75</v>
      </c>
      <c r="F4642" s="2"/>
      <c r="G4642" s="2"/>
      <c r="H4642" s="2"/>
      <c r="I4642" s="2"/>
    </row>
    <row r="4643">
      <c r="A4643" s="2">
        <f>IFERROR(__xludf.DUMMYFUNCTION("""COMPUTED_VALUE"""),17647.0)</f>
        <v>17647</v>
      </c>
      <c r="B4643" s="2" t="str">
        <f>IFERROR(__xludf.DUMMYFUNCTION("""COMPUTED_VALUE"""),"Law")</f>
        <v>Law</v>
      </c>
      <c r="C4643" s="2" t="str">
        <f>IFERROR(__xludf.DUMMYFUNCTION("""COMPUTED_VALUE"""),"Financial Modeling")</f>
        <v>Financial Modeling</v>
      </c>
      <c r="D4643" s="2" t="str">
        <f>IFERROR(__xludf.DUMMYFUNCTION("""COMPUTED_VALUE"""),"Harborlane House")</f>
        <v>Harborlane House</v>
      </c>
      <c r="E4643" s="2">
        <f>IFERROR(__xludf.DUMMYFUNCTION("""COMPUTED_VALUE"""),6.87)</f>
        <v>6.87</v>
      </c>
      <c r="F4643" s="2"/>
      <c r="G4643" s="2"/>
      <c r="H4643" s="2"/>
      <c r="I4643" s="2"/>
    </row>
    <row r="4644">
      <c r="A4644" s="2">
        <f>IFERROR(__xludf.DUMMYFUNCTION("""COMPUTED_VALUE"""),107364.0)</f>
        <v>107364</v>
      </c>
      <c r="B4644" s="2" t="str">
        <f>IFERROR(__xludf.DUMMYFUNCTION("""COMPUTED_VALUE"""),"Law")</f>
        <v>Law</v>
      </c>
      <c r="C4644" s="2" t="str">
        <f>IFERROR(__xludf.DUMMYFUNCTION("""COMPUTED_VALUE"""),"Financial Modeling")</f>
        <v>Financial Modeling</v>
      </c>
      <c r="D4644" s="2" t="str">
        <f>IFERROR(__xludf.DUMMYFUNCTION("""COMPUTED_VALUE"""),"Harborlane House")</f>
        <v>Harborlane House</v>
      </c>
      <c r="E4644" s="2">
        <f>IFERROR(__xludf.DUMMYFUNCTION("""COMPUTED_VALUE"""),7.13)</f>
        <v>7.13</v>
      </c>
      <c r="F4644" s="2"/>
      <c r="G4644" s="2"/>
      <c r="H4644" s="2"/>
      <c r="I4644" s="2"/>
    </row>
    <row r="4645">
      <c r="A4645" s="2">
        <f>IFERROR(__xludf.DUMMYFUNCTION("""COMPUTED_VALUE"""),24118.0)</f>
        <v>24118</v>
      </c>
      <c r="B4645" s="2" t="str">
        <f>IFERROR(__xludf.DUMMYFUNCTION("""COMPUTED_VALUE"""),"Law")</f>
        <v>Law</v>
      </c>
      <c r="C4645" s="2" t="str">
        <f>IFERROR(__xludf.DUMMYFUNCTION("""COMPUTED_VALUE"""),"Financial Modeling")</f>
        <v>Financial Modeling</v>
      </c>
      <c r="D4645" s="2" t="str">
        <f>IFERROR(__xludf.DUMMYFUNCTION("""COMPUTED_VALUE"""),"Cedarlane House")</f>
        <v>Cedarlane House</v>
      </c>
      <c r="E4645" s="2">
        <f>IFERROR(__xludf.DUMMYFUNCTION("""COMPUTED_VALUE"""),5.18)</f>
        <v>5.18</v>
      </c>
      <c r="F4645" s="2"/>
      <c r="G4645" s="2"/>
      <c r="H4645" s="2"/>
      <c r="I4645" s="2"/>
    </row>
    <row r="4646">
      <c r="A4646" s="2">
        <f>IFERROR(__xludf.DUMMYFUNCTION("""COMPUTED_VALUE"""),86181.0)</f>
        <v>86181</v>
      </c>
      <c r="B4646" s="2" t="str">
        <f>IFERROR(__xludf.DUMMYFUNCTION("""COMPUTED_VALUE"""),"Law")</f>
        <v>Law</v>
      </c>
      <c r="C4646" s="2" t="str">
        <f>IFERROR(__xludf.DUMMYFUNCTION("""COMPUTED_VALUE"""),"Financial Modeling")</f>
        <v>Financial Modeling</v>
      </c>
      <c r="D4646" s="2" t="str">
        <f>IFERROR(__xludf.DUMMYFUNCTION("""COMPUTED_VALUE"""),"Brightlane House")</f>
        <v>Brightlane House</v>
      </c>
      <c r="E4646" s="2">
        <f>IFERROR(__xludf.DUMMYFUNCTION("""COMPUTED_VALUE"""),5.82)</f>
        <v>5.82</v>
      </c>
      <c r="F4646" s="2"/>
      <c r="G4646" s="2"/>
      <c r="H4646" s="2"/>
      <c r="I4646" s="2"/>
    </row>
    <row r="4647">
      <c r="A4647" s="2">
        <f>IFERROR(__xludf.DUMMYFUNCTION("""COMPUTED_VALUE"""),129474.0)</f>
        <v>129474</v>
      </c>
      <c r="B4647" s="2" t="str">
        <f>IFERROR(__xludf.DUMMYFUNCTION("""COMPUTED_VALUE"""),"Law")</f>
        <v>Law</v>
      </c>
      <c r="C4647" s="2" t="str">
        <f>IFERROR(__xludf.DUMMYFUNCTION("""COMPUTED_VALUE"""),"Financial Modeling")</f>
        <v>Financial Modeling</v>
      </c>
      <c r="D4647" s="2" t="str">
        <f>IFERROR(__xludf.DUMMYFUNCTION("""COMPUTED_VALUE"""),"Brightlane House")</f>
        <v>Brightlane House</v>
      </c>
      <c r="E4647" s="2">
        <f>IFERROR(__xludf.DUMMYFUNCTION("""COMPUTED_VALUE"""),5.7)</f>
        <v>5.7</v>
      </c>
      <c r="F4647" s="2"/>
      <c r="G4647" s="2"/>
      <c r="H4647" s="2"/>
      <c r="I4647" s="2"/>
    </row>
    <row r="4648">
      <c r="A4648" s="2">
        <f>IFERROR(__xludf.DUMMYFUNCTION("""COMPUTED_VALUE"""),17601.0)</f>
        <v>17601</v>
      </c>
      <c r="B4648" s="2" t="str">
        <f>IFERROR(__xludf.DUMMYFUNCTION("""COMPUTED_VALUE"""),"Law")</f>
        <v>Law</v>
      </c>
      <c r="C4648" s="2" t="str">
        <f>IFERROR(__xludf.DUMMYFUNCTION("""COMPUTED_VALUE"""),"Financial Modeling")</f>
        <v>Financial Modeling</v>
      </c>
      <c r="D4648" s="2" t="str">
        <f>IFERROR(__xludf.DUMMYFUNCTION("""COMPUTED_VALUE"""),"Brightlane House")</f>
        <v>Brightlane House</v>
      </c>
      <c r="E4648" s="2">
        <f>IFERROR(__xludf.DUMMYFUNCTION("""COMPUTED_VALUE"""),4.89)</f>
        <v>4.89</v>
      </c>
      <c r="F4648" s="2"/>
      <c r="G4648" s="2"/>
      <c r="H4648" s="2"/>
      <c r="I4648" s="2"/>
    </row>
    <row r="4649">
      <c r="A4649" s="2">
        <f>IFERROR(__xludf.DUMMYFUNCTION("""COMPUTED_VALUE"""),78938.0)</f>
        <v>78938</v>
      </c>
      <c r="B4649" s="2" t="str">
        <f>IFERROR(__xludf.DUMMYFUNCTION("""COMPUTED_VALUE"""),"Law")</f>
        <v>Law</v>
      </c>
      <c r="C4649" s="2" t="str">
        <f>IFERROR(__xludf.DUMMYFUNCTION("""COMPUTED_VALUE"""),"Financial Modeling")</f>
        <v>Financial Modeling</v>
      </c>
      <c r="D4649" s="2" t="str">
        <f>IFERROR(__xludf.DUMMYFUNCTION("""COMPUTED_VALUE"""),"Brightlane House")</f>
        <v>Brightlane House</v>
      </c>
      <c r="E4649" s="2">
        <f>IFERROR(__xludf.DUMMYFUNCTION("""COMPUTED_VALUE"""),5.43)</f>
        <v>5.43</v>
      </c>
      <c r="F4649" s="2"/>
      <c r="G4649" s="2"/>
      <c r="H4649" s="2"/>
      <c r="I4649" s="2"/>
    </row>
    <row r="4650">
      <c r="A4650" s="2">
        <f>IFERROR(__xludf.DUMMYFUNCTION("""COMPUTED_VALUE"""),17609.0)</f>
        <v>17609</v>
      </c>
      <c r="B4650" s="2" t="str">
        <f>IFERROR(__xludf.DUMMYFUNCTION("""COMPUTED_VALUE"""),"Law")</f>
        <v>Law</v>
      </c>
      <c r="C4650" s="2" t="str">
        <f>IFERROR(__xludf.DUMMYFUNCTION("""COMPUTED_VALUE"""),"Financial Modeling")</f>
        <v>Financial Modeling</v>
      </c>
      <c r="D4650" s="2" t="str">
        <f>IFERROR(__xludf.DUMMYFUNCTION("""COMPUTED_VALUE"""),"Brightlane House")</f>
        <v>Brightlane House</v>
      </c>
      <c r="E4650" s="2">
        <f>IFERROR(__xludf.DUMMYFUNCTION("""COMPUTED_VALUE"""),7.5)</f>
        <v>7.5</v>
      </c>
      <c r="F4650" s="2"/>
      <c r="G4650" s="2"/>
      <c r="H4650" s="2"/>
      <c r="I4650" s="2"/>
    </row>
    <row r="4651">
      <c r="A4651" s="2">
        <f>IFERROR(__xludf.DUMMYFUNCTION("""COMPUTED_VALUE"""),129452.0)</f>
        <v>129452</v>
      </c>
      <c r="B4651" s="2" t="str">
        <f>IFERROR(__xludf.DUMMYFUNCTION("""COMPUTED_VALUE"""),"Law")</f>
        <v>Law</v>
      </c>
      <c r="C4651" s="2" t="str">
        <f>IFERROR(__xludf.DUMMYFUNCTION("""COMPUTED_VALUE"""),"Financial Modeling")</f>
        <v>Financial Modeling</v>
      </c>
      <c r="D4651" s="2" t="str">
        <f>IFERROR(__xludf.DUMMYFUNCTION("""COMPUTED_VALUE"""),"Oaklane House")</f>
        <v>Oaklane House</v>
      </c>
      <c r="E4651" s="2">
        <f>IFERROR(__xludf.DUMMYFUNCTION("""COMPUTED_VALUE"""),2.58)</f>
        <v>2.58</v>
      </c>
      <c r="F4651" s="2"/>
      <c r="G4651" s="2"/>
      <c r="H4651" s="2"/>
      <c r="I4651" s="2"/>
    </row>
    <row r="4652">
      <c r="A4652" s="2">
        <f>IFERROR(__xludf.DUMMYFUNCTION("""COMPUTED_VALUE"""),88587.0)</f>
        <v>88587</v>
      </c>
      <c r="B4652" s="2" t="str">
        <f>IFERROR(__xludf.DUMMYFUNCTION("""COMPUTED_VALUE"""),"Law")</f>
        <v>Law</v>
      </c>
      <c r="C4652" s="2" t="str">
        <f>IFERROR(__xludf.DUMMYFUNCTION("""COMPUTED_VALUE"""),"Financial Modeling")</f>
        <v>Financial Modeling</v>
      </c>
      <c r="D4652" s="2" t="str">
        <f>IFERROR(__xludf.DUMMYFUNCTION("""COMPUTED_VALUE"""),"Oaklane House")</f>
        <v>Oaklane House</v>
      </c>
      <c r="E4652" s="2">
        <f>IFERROR(__xludf.DUMMYFUNCTION("""COMPUTED_VALUE"""),3.72)</f>
        <v>3.72</v>
      </c>
      <c r="F4652" s="2"/>
      <c r="G4652" s="2"/>
      <c r="H4652" s="2"/>
      <c r="I4652" s="2"/>
    </row>
    <row r="4653">
      <c r="A4653" s="2">
        <f>IFERROR(__xludf.DUMMYFUNCTION("""COMPUTED_VALUE"""),17645.0)</f>
        <v>17645</v>
      </c>
      <c r="B4653" s="2" t="str">
        <f>IFERROR(__xludf.DUMMYFUNCTION("""COMPUTED_VALUE"""),"Law")</f>
        <v>Law</v>
      </c>
      <c r="C4653" s="2" t="str">
        <f>IFERROR(__xludf.DUMMYFUNCTION("""COMPUTED_VALUE"""),"Financial Modeling")</f>
        <v>Financial Modeling</v>
      </c>
      <c r="D4653" s="2" t="str">
        <f>IFERROR(__xludf.DUMMYFUNCTION("""COMPUTED_VALUE"""),"Oaklane House")</f>
        <v>Oaklane House</v>
      </c>
      <c r="E4653" s="2">
        <f>IFERROR(__xludf.DUMMYFUNCTION("""COMPUTED_VALUE"""),5.2)</f>
        <v>5.2</v>
      </c>
      <c r="F4653" s="2"/>
      <c r="G4653" s="2"/>
      <c r="H4653" s="2"/>
      <c r="I4653" s="2"/>
    </row>
    <row r="4654">
      <c r="A4654" s="2">
        <f>IFERROR(__xludf.DUMMYFUNCTION("""COMPUTED_VALUE"""),78899.0)</f>
        <v>78899</v>
      </c>
      <c r="B4654" s="2" t="str">
        <f>IFERROR(__xludf.DUMMYFUNCTION("""COMPUTED_VALUE"""),"Law")</f>
        <v>Law</v>
      </c>
      <c r="C4654" s="2" t="str">
        <f>IFERROR(__xludf.DUMMYFUNCTION("""COMPUTED_VALUE"""),"Financial Modeling")</f>
        <v>Financial Modeling</v>
      </c>
      <c r="D4654" s="2" t="str">
        <f>IFERROR(__xludf.DUMMYFUNCTION("""COMPUTED_VALUE"""),"Oaklane House")</f>
        <v>Oaklane House</v>
      </c>
      <c r="E4654" s="2">
        <f>IFERROR(__xludf.DUMMYFUNCTION("""COMPUTED_VALUE"""),4.63)</f>
        <v>4.63</v>
      </c>
      <c r="F4654" s="2"/>
      <c r="G4654" s="2"/>
      <c r="H4654" s="2"/>
      <c r="I4654" s="2"/>
    </row>
    <row r="4655">
      <c r="A4655" s="2">
        <f>IFERROR(__xludf.DUMMYFUNCTION("""COMPUTED_VALUE"""),71402.0)</f>
        <v>71402</v>
      </c>
      <c r="B4655" s="2" t="str">
        <f>IFERROR(__xludf.DUMMYFUNCTION("""COMPUTED_VALUE"""),"Law")</f>
        <v>Law</v>
      </c>
      <c r="C4655" s="2" t="str">
        <f>IFERROR(__xludf.DUMMYFUNCTION("""COMPUTED_VALUE"""),"Financial Modeling")</f>
        <v>Financial Modeling</v>
      </c>
      <c r="D4655" s="2" t="str">
        <f>IFERROR(__xludf.DUMMYFUNCTION("""COMPUTED_VALUE"""),"Oaklane House")</f>
        <v>Oaklane House</v>
      </c>
      <c r="E4655" s="2">
        <f>IFERROR(__xludf.DUMMYFUNCTION("""COMPUTED_VALUE"""),3.57)</f>
        <v>3.57</v>
      </c>
      <c r="F4655" s="2"/>
      <c r="G4655" s="2"/>
      <c r="H4655" s="2"/>
      <c r="I4655" s="2"/>
    </row>
    <row r="4656">
      <c r="A4656" s="2">
        <f>IFERROR(__xludf.DUMMYFUNCTION("""COMPUTED_VALUE"""),12875.0)</f>
        <v>12875</v>
      </c>
      <c r="B4656" s="2" t="str">
        <f>IFERROR(__xludf.DUMMYFUNCTION("""COMPUTED_VALUE"""),"Law")</f>
        <v>Law</v>
      </c>
      <c r="C4656" s="2" t="str">
        <f>IFERROR(__xludf.DUMMYFUNCTION("""COMPUTED_VALUE"""),"Financial Modeling")</f>
        <v>Financial Modeling</v>
      </c>
      <c r="D4656" s="2" t="str">
        <f>IFERROR(__xludf.DUMMYFUNCTION("""COMPUTED_VALUE"""),"Oaklane House")</f>
        <v>Oaklane House</v>
      </c>
      <c r="E4656" s="2">
        <f>IFERROR(__xludf.DUMMYFUNCTION("""COMPUTED_VALUE"""),11.99)</f>
        <v>11.99</v>
      </c>
      <c r="F4656" s="2"/>
      <c r="G4656" s="2"/>
      <c r="H4656" s="2"/>
      <c r="I4656" s="2"/>
    </row>
    <row r="4657">
      <c r="A4657" s="2">
        <f>IFERROR(__xludf.DUMMYFUNCTION("""COMPUTED_VALUE"""),17615.0)</f>
        <v>17615</v>
      </c>
      <c r="B4657" s="2" t="str">
        <f>IFERROR(__xludf.DUMMYFUNCTION("""COMPUTED_VALUE"""),"Law")</f>
        <v>Law</v>
      </c>
      <c r="C4657" s="2" t="str">
        <f>IFERROR(__xludf.DUMMYFUNCTION("""COMPUTED_VALUE"""),"Financial Modeling")</f>
        <v>Financial Modeling</v>
      </c>
      <c r="D4657" s="2" t="str">
        <f>IFERROR(__xludf.DUMMYFUNCTION("""COMPUTED_VALUE"""),"Oaklane House")</f>
        <v>Oaklane House</v>
      </c>
      <c r="E4657" s="2">
        <f>IFERROR(__xludf.DUMMYFUNCTION("""COMPUTED_VALUE"""),4.78)</f>
        <v>4.78</v>
      </c>
      <c r="F4657" s="2"/>
      <c r="G4657" s="2"/>
      <c r="H4657" s="2"/>
      <c r="I4657" s="2"/>
    </row>
    <row r="4658">
      <c r="A4658" s="2">
        <f>IFERROR(__xludf.DUMMYFUNCTION("""COMPUTED_VALUE"""),193116.0)</f>
        <v>193116</v>
      </c>
      <c r="B4658" s="2" t="str">
        <f>IFERROR(__xludf.DUMMYFUNCTION("""COMPUTED_VALUE"""),"Law")</f>
        <v>Law</v>
      </c>
      <c r="C4658" s="2" t="str">
        <f>IFERROR(__xludf.DUMMYFUNCTION("""COMPUTED_VALUE"""),"Financial Modeling")</f>
        <v>Financial Modeling</v>
      </c>
      <c r="D4658" s="2" t="str">
        <f>IFERROR(__xludf.DUMMYFUNCTION("""COMPUTED_VALUE"""),"Oaklane House")</f>
        <v>Oaklane House</v>
      </c>
      <c r="E4658" s="2">
        <f>IFERROR(__xludf.DUMMYFUNCTION("""COMPUTED_VALUE"""),4.28)</f>
        <v>4.28</v>
      </c>
      <c r="F4658" s="2"/>
      <c r="G4658" s="2"/>
      <c r="H4658" s="2"/>
      <c r="I4658" s="2"/>
    </row>
    <row r="4659">
      <c r="A4659" s="2">
        <f>IFERROR(__xludf.DUMMYFUNCTION("""COMPUTED_VALUE"""),72577.0)</f>
        <v>72577</v>
      </c>
      <c r="B4659" s="2" t="str">
        <f>IFERROR(__xludf.DUMMYFUNCTION("""COMPUTED_VALUE"""),"Law")</f>
        <v>Law</v>
      </c>
      <c r="C4659" s="2" t="str">
        <f>IFERROR(__xludf.DUMMYFUNCTION("""COMPUTED_VALUE"""),"Financial Modeling")</f>
        <v>Financial Modeling</v>
      </c>
      <c r="D4659" s="2" t="str">
        <f>IFERROR(__xludf.DUMMYFUNCTION("""COMPUTED_VALUE"""),"Oaklane House")</f>
        <v>Oaklane House</v>
      </c>
      <c r="E4659" s="2">
        <f>IFERROR(__xludf.DUMMYFUNCTION("""COMPUTED_VALUE"""),12.56)</f>
        <v>12.56</v>
      </c>
      <c r="F4659" s="2"/>
      <c r="G4659" s="2"/>
      <c r="H4659" s="2"/>
      <c r="I4659" s="2"/>
    </row>
    <row r="4660">
      <c r="A4660" s="2">
        <f>IFERROR(__xludf.DUMMYFUNCTION("""COMPUTED_VALUE"""),78916.0)</f>
        <v>78916</v>
      </c>
      <c r="B4660" s="2" t="str">
        <f>IFERROR(__xludf.DUMMYFUNCTION("""COMPUTED_VALUE"""),"Law")</f>
        <v>Law</v>
      </c>
      <c r="C4660" s="2" t="str">
        <f>IFERROR(__xludf.DUMMYFUNCTION("""COMPUTED_VALUE"""),"Financial Modeling")</f>
        <v>Financial Modeling</v>
      </c>
      <c r="D4660" s="2" t="str">
        <f>IFERROR(__xludf.DUMMYFUNCTION("""COMPUTED_VALUE"""),"Riverlane House")</f>
        <v>Riverlane House</v>
      </c>
      <c r="E4660" s="2">
        <f>IFERROR(__xludf.DUMMYFUNCTION("""COMPUTED_VALUE"""),9.41)</f>
        <v>9.41</v>
      </c>
      <c r="F4660" s="2"/>
      <c r="G4660" s="2"/>
      <c r="H4660" s="2"/>
      <c r="I4660" s="2"/>
    </row>
    <row r="4661">
      <c r="A4661" s="2">
        <f>IFERROR(__xludf.DUMMYFUNCTION("""COMPUTED_VALUE"""),71419.0)</f>
        <v>71419</v>
      </c>
      <c r="B4661" s="2" t="str">
        <f>IFERROR(__xludf.DUMMYFUNCTION("""COMPUTED_VALUE"""),"Law")</f>
        <v>Law</v>
      </c>
      <c r="C4661" s="2" t="str">
        <f>IFERROR(__xludf.DUMMYFUNCTION("""COMPUTED_VALUE"""),"Financial Modeling")</f>
        <v>Financial Modeling</v>
      </c>
      <c r="D4661" s="2" t="str">
        <f>IFERROR(__xludf.DUMMYFUNCTION("""COMPUTED_VALUE"""),"Riverlane House")</f>
        <v>Riverlane House</v>
      </c>
      <c r="E4661" s="2">
        <f>IFERROR(__xludf.DUMMYFUNCTION("""COMPUTED_VALUE"""),5.63)</f>
        <v>5.63</v>
      </c>
      <c r="F4661" s="2"/>
      <c r="G4661" s="2"/>
      <c r="H4661" s="2"/>
      <c r="I4661" s="2"/>
    </row>
    <row r="4662">
      <c r="A4662" s="2">
        <f>IFERROR(__xludf.DUMMYFUNCTION("""COMPUTED_VALUE"""),188223.0)</f>
        <v>188223</v>
      </c>
      <c r="B4662" s="2" t="str">
        <f>IFERROR(__xludf.DUMMYFUNCTION("""COMPUTED_VALUE"""),"Law")</f>
        <v>Law</v>
      </c>
      <c r="C4662" s="2" t="str">
        <f>IFERROR(__xludf.DUMMYFUNCTION("""COMPUTED_VALUE"""),"Financial Modeling")</f>
        <v>Financial Modeling</v>
      </c>
      <c r="D4662" s="2" t="str">
        <f>IFERROR(__xludf.DUMMYFUNCTION("""COMPUTED_VALUE"""),"Riverlane House")</f>
        <v>Riverlane House</v>
      </c>
      <c r="E4662" s="2">
        <f>IFERROR(__xludf.DUMMYFUNCTION("""COMPUTED_VALUE"""),3.22)</f>
        <v>3.22</v>
      </c>
      <c r="F4662" s="2"/>
      <c r="G4662" s="2"/>
      <c r="H4662" s="2"/>
      <c r="I4662" s="2"/>
    </row>
    <row r="4663">
      <c r="A4663" s="2">
        <f>IFERROR(__xludf.DUMMYFUNCTION("""COMPUTED_VALUE"""),71417.0)</f>
        <v>71417</v>
      </c>
      <c r="B4663" s="2" t="str">
        <f>IFERROR(__xludf.DUMMYFUNCTION("""COMPUTED_VALUE"""),"Law")</f>
        <v>Law</v>
      </c>
      <c r="C4663" s="2" t="str">
        <f>IFERROR(__xludf.DUMMYFUNCTION("""COMPUTED_VALUE"""),"Financial Modeling")</f>
        <v>Financial Modeling</v>
      </c>
      <c r="D4663" s="2" t="str">
        <f>IFERROR(__xludf.DUMMYFUNCTION("""COMPUTED_VALUE"""),"Riverlane House")</f>
        <v>Riverlane House</v>
      </c>
      <c r="E4663" s="2">
        <f>IFERROR(__xludf.DUMMYFUNCTION("""COMPUTED_VALUE"""),5.58)</f>
        <v>5.58</v>
      </c>
      <c r="F4663" s="2"/>
      <c r="G4663" s="2"/>
      <c r="H4663" s="2"/>
      <c r="I4663" s="2"/>
    </row>
    <row r="4664">
      <c r="A4664" s="2">
        <f>IFERROR(__xludf.DUMMYFUNCTION("""COMPUTED_VALUE"""),46895.0)</f>
        <v>46895</v>
      </c>
      <c r="B4664" s="2" t="str">
        <f>IFERROR(__xludf.DUMMYFUNCTION("""COMPUTED_VALUE"""),"Law")</f>
        <v>Law</v>
      </c>
      <c r="C4664" s="2" t="str">
        <f>IFERROR(__xludf.DUMMYFUNCTION("""COMPUTED_VALUE"""),"Financial Modeling")</f>
        <v>Financial Modeling</v>
      </c>
      <c r="D4664" s="2" t="str">
        <f>IFERROR(__xludf.DUMMYFUNCTION("""COMPUTED_VALUE"""),"Riverlane House")</f>
        <v>Riverlane House</v>
      </c>
      <c r="E4664" s="2">
        <f>IFERROR(__xludf.DUMMYFUNCTION("""COMPUTED_VALUE"""),5.86)</f>
        <v>5.86</v>
      </c>
      <c r="F4664" s="2"/>
      <c r="G4664" s="2"/>
      <c r="H4664" s="2"/>
      <c r="I4664" s="2"/>
    </row>
    <row r="4665">
      <c r="A4665" s="2">
        <f>IFERROR(__xludf.DUMMYFUNCTION("""COMPUTED_VALUE"""),86157.0)</f>
        <v>86157</v>
      </c>
      <c r="B4665" s="2" t="str">
        <f>IFERROR(__xludf.DUMMYFUNCTION("""COMPUTED_VALUE"""),"Law")</f>
        <v>Law</v>
      </c>
      <c r="C4665" s="2" t="str">
        <f>IFERROR(__xludf.DUMMYFUNCTION("""COMPUTED_VALUE"""),"Financial Modeling")</f>
        <v>Financial Modeling</v>
      </c>
      <c r="D4665" s="2" t="str">
        <f>IFERROR(__xludf.DUMMYFUNCTION("""COMPUTED_VALUE"""),"Riverlane House")</f>
        <v>Riverlane House</v>
      </c>
      <c r="E4665" s="2">
        <f>IFERROR(__xludf.DUMMYFUNCTION("""COMPUTED_VALUE"""),5.15)</f>
        <v>5.15</v>
      </c>
      <c r="F4665" s="2"/>
      <c r="G4665" s="2"/>
      <c r="H4665" s="2"/>
      <c r="I4665" s="2"/>
    </row>
    <row r="4666">
      <c r="A4666" s="2">
        <f>IFERROR(__xludf.DUMMYFUNCTION("""COMPUTED_VALUE"""),159110.0)</f>
        <v>159110</v>
      </c>
      <c r="B4666" s="2" t="str">
        <f>IFERROR(__xludf.DUMMYFUNCTION("""COMPUTED_VALUE"""),"Law")</f>
        <v>Law</v>
      </c>
      <c r="C4666" s="2" t="str">
        <f>IFERROR(__xludf.DUMMYFUNCTION("""COMPUTED_VALUE"""),"Financial Modeling")</f>
        <v>Financial Modeling</v>
      </c>
      <c r="D4666" s="2" t="str">
        <f>IFERROR(__xludf.DUMMYFUNCTION("""COMPUTED_VALUE"""),"Riverlane House")</f>
        <v>Riverlane House</v>
      </c>
      <c r="E4666" s="2">
        <f>IFERROR(__xludf.DUMMYFUNCTION("""COMPUTED_VALUE"""),3.85)</f>
        <v>3.85</v>
      </c>
      <c r="F4666" s="2"/>
      <c r="G4666" s="2"/>
      <c r="H4666" s="2"/>
      <c r="I4666" s="2"/>
    </row>
    <row r="4667">
      <c r="A4667" s="2">
        <f>IFERROR(__xludf.DUMMYFUNCTION("""COMPUTED_VALUE"""),46913.0)</f>
        <v>46913</v>
      </c>
      <c r="B4667" s="2" t="str">
        <f>IFERROR(__xludf.DUMMYFUNCTION("""COMPUTED_VALUE"""),"Law")</f>
        <v>Law</v>
      </c>
      <c r="C4667" s="2" t="str">
        <f>IFERROR(__xludf.DUMMYFUNCTION("""COMPUTED_VALUE"""),"Financial Modeling")</f>
        <v>Financial Modeling</v>
      </c>
      <c r="D4667" s="2" t="str">
        <f>IFERROR(__xludf.DUMMYFUNCTION("""COMPUTED_VALUE"""),"Riverlane House")</f>
        <v>Riverlane House</v>
      </c>
      <c r="E4667" s="2">
        <f>IFERROR(__xludf.DUMMYFUNCTION("""COMPUTED_VALUE"""),4.71)</f>
        <v>4.71</v>
      </c>
      <c r="F4667" s="2"/>
      <c r="G4667" s="2"/>
      <c r="H4667" s="2"/>
      <c r="I4667" s="2"/>
    </row>
    <row r="4668">
      <c r="A4668" s="2">
        <f>IFERROR(__xludf.DUMMYFUNCTION("""COMPUTED_VALUE"""),71400.0)</f>
        <v>71400</v>
      </c>
      <c r="B4668" s="2" t="str">
        <f>IFERROR(__xludf.DUMMYFUNCTION("""COMPUTED_VALUE"""),"Law")</f>
        <v>Law</v>
      </c>
      <c r="C4668" s="2" t="str">
        <f>IFERROR(__xludf.DUMMYFUNCTION("""COMPUTED_VALUE"""),"Financial Modeling")</f>
        <v>Financial Modeling</v>
      </c>
      <c r="D4668" s="2" t="str">
        <f>IFERROR(__xludf.DUMMYFUNCTION("""COMPUTED_VALUE"""),"Riverlane House")</f>
        <v>Riverlane House</v>
      </c>
      <c r="E4668" s="2">
        <f>IFERROR(__xludf.DUMMYFUNCTION("""COMPUTED_VALUE"""),5.53)</f>
        <v>5.53</v>
      </c>
      <c r="F4668" s="2"/>
      <c r="G4668" s="2"/>
      <c r="H4668" s="2"/>
      <c r="I4668" s="2"/>
    </row>
    <row r="4669">
      <c r="A4669" s="2">
        <f>IFERROR(__xludf.DUMMYFUNCTION("""COMPUTED_VALUE"""),46914.0)</f>
        <v>46914</v>
      </c>
      <c r="B4669" s="2" t="str">
        <f>IFERROR(__xludf.DUMMYFUNCTION("""COMPUTED_VALUE"""),"Law")</f>
        <v>Law</v>
      </c>
      <c r="C4669" s="2" t="str">
        <f>IFERROR(__xludf.DUMMYFUNCTION("""COMPUTED_VALUE"""),"Financial Modeling")</f>
        <v>Financial Modeling</v>
      </c>
      <c r="D4669" s="2" t="str">
        <f>IFERROR(__xludf.DUMMYFUNCTION("""COMPUTED_VALUE"""),"Riverlane House")</f>
        <v>Riverlane House</v>
      </c>
      <c r="E4669" s="2">
        <f>IFERROR(__xludf.DUMMYFUNCTION("""COMPUTED_VALUE"""),5.5)</f>
        <v>5.5</v>
      </c>
      <c r="F4669" s="2"/>
      <c r="G4669" s="2"/>
      <c r="H4669" s="2"/>
      <c r="I4669" s="2"/>
    </row>
    <row r="4670">
      <c r="A4670" s="2">
        <f>IFERROR(__xludf.DUMMYFUNCTION("""COMPUTED_VALUE"""),120300.0)</f>
        <v>120300</v>
      </c>
      <c r="B4670" s="2" t="str">
        <f>IFERROR(__xludf.DUMMYFUNCTION("""COMPUTED_VALUE"""),"Law")</f>
        <v>Law</v>
      </c>
      <c r="C4670" s="2" t="str">
        <f>IFERROR(__xludf.DUMMYFUNCTION("""COMPUTED_VALUE"""),"Financial Modeling")</f>
        <v>Financial Modeling</v>
      </c>
      <c r="D4670" s="2" t="str">
        <f>IFERROR(__xludf.DUMMYFUNCTION("""COMPUTED_VALUE"""),"Riverlane House")</f>
        <v>Riverlane House</v>
      </c>
      <c r="E4670" s="2">
        <f>IFERROR(__xludf.DUMMYFUNCTION("""COMPUTED_VALUE"""),7.03)</f>
        <v>7.03</v>
      </c>
      <c r="F4670" s="2"/>
      <c r="G4670" s="2"/>
      <c r="H4670" s="2"/>
      <c r="I4670" s="2"/>
    </row>
    <row r="4671">
      <c r="A4671" s="2">
        <f>IFERROR(__xludf.DUMMYFUNCTION("""COMPUTED_VALUE"""),71412.0)</f>
        <v>71412</v>
      </c>
      <c r="B4671" s="2" t="str">
        <f>IFERROR(__xludf.DUMMYFUNCTION("""COMPUTED_VALUE"""),"Law")</f>
        <v>Law</v>
      </c>
      <c r="C4671" s="2" t="str">
        <f>IFERROR(__xludf.DUMMYFUNCTION("""COMPUTED_VALUE"""),"Financial Modeling")</f>
        <v>Financial Modeling</v>
      </c>
      <c r="D4671" s="2" t="str">
        <f>IFERROR(__xludf.DUMMYFUNCTION("""COMPUTED_VALUE"""),"Riverlane House")</f>
        <v>Riverlane House</v>
      </c>
      <c r="E4671" s="2">
        <f>IFERROR(__xludf.DUMMYFUNCTION("""COMPUTED_VALUE"""),5.57)</f>
        <v>5.57</v>
      </c>
      <c r="F4671" s="2"/>
      <c r="G4671" s="2"/>
      <c r="H4671" s="2"/>
      <c r="I4671" s="2"/>
    </row>
    <row r="4672">
      <c r="A4672" s="2">
        <f>IFERROR(__xludf.DUMMYFUNCTION("""COMPUTED_VALUE"""),71415.0)</f>
        <v>71415</v>
      </c>
      <c r="B4672" s="2" t="str">
        <f>IFERROR(__xludf.DUMMYFUNCTION("""COMPUTED_VALUE"""),"Law")</f>
        <v>Law</v>
      </c>
      <c r="C4672" s="2" t="str">
        <f>IFERROR(__xludf.DUMMYFUNCTION("""COMPUTED_VALUE"""),"Financial Modeling")</f>
        <v>Financial Modeling</v>
      </c>
      <c r="D4672" s="2" t="str">
        <f>IFERROR(__xludf.DUMMYFUNCTION("""COMPUTED_VALUE"""),"Riverlane House")</f>
        <v>Riverlane House</v>
      </c>
      <c r="E4672" s="2">
        <f>IFERROR(__xludf.DUMMYFUNCTION("""COMPUTED_VALUE"""),3.61)</f>
        <v>3.61</v>
      </c>
      <c r="F4672" s="2"/>
      <c r="G4672" s="2"/>
      <c r="H4672" s="2"/>
      <c r="I4672" s="2"/>
    </row>
    <row r="4673">
      <c r="A4673" s="2">
        <f>IFERROR(__xludf.DUMMYFUNCTION("""COMPUTED_VALUE"""),71414.0)</f>
        <v>71414</v>
      </c>
      <c r="B4673" s="2" t="str">
        <f>IFERROR(__xludf.DUMMYFUNCTION("""COMPUTED_VALUE"""),"Law")</f>
        <v>Law</v>
      </c>
      <c r="C4673" s="2" t="str">
        <f>IFERROR(__xludf.DUMMYFUNCTION("""COMPUTED_VALUE"""),"Financial Modeling")</f>
        <v>Financial Modeling</v>
      </c>
      <c r="D4673" s="2" t="str">
        <f>IFERROR(__xludf.DUMMYFUNCTION("""COMPUTED_VALUE"""),"Riverlane House")</f>
        <v>Riverlane House</v>
      </c>
      <c r="E4673" s="2">
        <f>IFERROR(__xludf.DUMMYFUNCTION("""COMPUTED_VALUE"""),4.05)</f>
        <v>4.05</v>
      </c>
      <c r="F4673" s="2"/>
      <c r="G4673" s="2"/>
      <c r="H4673" s="2"/>
      <c r="I4673" s="2"/>
    </row>
    <row r="4674">
      <c r="A4674" s="2">
        <f>IFERROR(__xludf.DUMMYFUNCTION("""COMPUTED_VALUE"""),10336.0)</f>
        <v>10336</v>
      </c>
      <c r="B4674" s="2" t="str">
        <f>IFERROR(__xludf.DUMMYFUNCTION("""COMPUTED_VALUE"""),"Finance")</f>
        <v>Finance</v>
      </c>
      <c r="C4674" s="2" t="str">
        <f>IFERROR(__xludf.DUMMYFUNCTION("""COMPUTED_VALUE"""),"Risk Management")</f>
        <v>Risk Management</v>
      </c>
      <c r="D4674" s="2" t="str">
        <f>IFERROR(__xludf.DUMMYFUNCTION("""COMPUTED_VALUE"""),"Ironlane House")</f>
        <v>Ironlane House</v>
      </c>
      <c r="E4674" s="2">
        <f>IFERROR(__xludf.DUMMYFUNCTION("""COMPUTED_VALUE"""),4.96)</f>
        <v>4.96</v>
      </c>
      <c r="F4674" s="2"/>
      <c r="G4674" s="2"/>
      <c r="H4674" s="2"/>
      <c r="I4674" s="2"/>
    </row>
    <row r="4675">
      <c r="A4675" s="2">
        <f>IFERROR(__xludf.DUMMYFUNCTION("""COMPUTED_VALUE"""),125173.0)</f>
        <v>125173</v>
      </c>
      <c r="B4675" s="2" t="str">
        <f>IFERROR(__xludf.DUMMYFUNCTION("""COMPUTED_VALUE"""),"Finance")</f>
        <v>Finance</v>
      </c>
      <c r="C4675" s="2" t="str">
        <f>IFERROR(__xludf.DUMMYFUNCTION("""COMPUTED_VALUE"""),"Risk Management")</f>
        <v>Risk Management</v>
      </c>
      <c r="D4675" s="2" t="str">
        <f>IFERROR(__xludf.DUMMYFUNCTION("""COMPUTED_VALUE"""),"Silverway House")</f>
        <v>Silverway House</v>
      </c>
      <c r="E4675" s="2">
        <f>IFERROR(__xludf.DUMMYFUNCTION("""COMPUTED_VALUE"""),2.07)</f>
        <v>2.07</v>
      </c>
      <c r="F4675" s="2"/>
      <c r="G4675" s="2"/>
      <c r="H4675" s="2"/>
      <c r="I4675" s="2"/>
    </row>
    <row r="4676">
      <c r="A4676" s="2">
        <f>IFERROR(__xludf.DUMMYFUNCTION("""COMPUTED_VALUE"""),112994.0)</f>
        <v>112994</v>
      </c>
      <c r="B4676" s="2" t="str">
        <f>IFERROR(__xludf.DUMMYFUNCTION("""COMPUTED_VALUE"""),"Finance")</f>
        <v>Finance</v>
      </c>
      <c r="C4676" s="2" t="str">
        <f>IFERROR(__xludf.DUMMYFUNCTION("""COMPUTED_VALUE"""),"Risk Management")</f>
        <v>Risk Management</v>
      </c>
      <c r="D4676" s="2" t="str">
        <f>IFERROR(__xludf.DUMMYFUNCTION("""COMPUTED_VALUE"""),"Silverway House")</f>
        <v>Silverway House</v>
      </c>
      <c r="E4676" s="2">
        <f>IFERROR(__xludf.DUMMYFUNCTION("""COMPUTED_VALUE"""),7.83)</f>
        <v>7.83</v>
      </c>
      <c r="F4676" s="2"/>
      <c r="G4676" s="2"/>
      <c r="H4676" s="2"/>
      <c r="I4676" s="2"/>
    </row>
    <row r="4677">
      <c r="A4677" s="2">
        <f>IFERROR(__xludf.DUMMYFUNCTION("""COMPUTED_VALUE"""),125182.0)</f>
        <v>125182</v>
      </c>
      <c r="B4677" s="2" t="str">
        <f>IFERROR(__xludf.DUMMYFUNCTION("""COMPUTED_VALUE"""),"Finance")</f>
        <v>Finance</v>
      </c>
      <c r="C4677" s="2" t="str">
        <f>IFERROR(__xludf.DUMMYFUNCTION("""COMPUTED_VALUE"""),"Risk Management")</f>
        <v>Risk Management</v>
      </c>
      <c r="D4677" s="2" t="str">
        <f>IFERROR(__xludf.DUMMYFUNCTION("""COMPUTED_VALUE"""),"Silverway House")</f>
        <v>Silverway House</v>
      </c>
      <c r="E4677" s="2">
        <f>IFERROR(__xludf.DUMMYFUNCTION("""COMPUTED_VALUE"""),1.96)</f>
        <v>1.96</v>
      </c>
      <c r="F4677" s="2"/>
      <c r="G4677" s="2"/>
      <c r="H4677" s="2"/>
      <c r="I4677" s="2"/>
    </row>
    <row r="4678">
      <c r="A4678" s="2">
        <f>IFERROR(__xludf.DUMMYFUNCTION("""COMPUTED_VALUE"""),121112.0)</f>
        <v>121112</v>
      </c>
      <c r="B4678" s="2" t="str">
        <f>IFERROR(__xludf.DUMMYFUNCTION("""COMPUTED_VALUE"""),"Finance")</f>
        <v>Finance</v>
      </c>
      <c r="C4678" s="2" t="str">
        <f>IFERROR(__xludf.DUMMYFUNCTION("""COMPUTED_VALUE"""),"Risk Management")</f>
        <v>Risk Management</v>
      </c>
      <c r="D4678" s="2" t="str">
        <f>IFERROR(__xludf.DUMMYFUNCTION("""COMPUTED_VALUE"""),"Silverway House")</f>
        <v>Silverway House</v>
      </c>
      <c r="E4678" s="2">
        <f>IFERROR(__xludf.DUMMYFUNCTION("""COMPUTED_VALUE"""),9.18)</f>
        <v>9.18</v>
      </c>
      <c r="F4678" s="2"/>
      <c r="G4678" s="2"/>
      <c r="H4678" s="2"/>
      <c r="I4678" s="2"/>
    </row>
    <row r="4679">
      <c r="A4679" s="2">
        <f>IFERROR(__xludf.DUMMYFUNCTION("""COMPUTED_VALUE"""),125172.0)</f>
        <v>125172</v>
      </c>
      <c r="B4679" s="2" t="str">
        <f>IFERROR(__xludf.DUMMYFUNCTION("""COMPUTED_VALUE"""),"Finance")</f>
        <v>Finance</v>
      </c>
      <c r="C4679" s="2" t="str">
        <f>IFERROR(__xludf.DUMMYFUNCTION("""COMPUTED_VALUE"""),"Risk Management")</f>
        <v>Risk Management</v>
      </c>
      <c r="D4679" s="2" t="str">
        <f>IFERROR(__xludf.DUMMYFUNCTION("""COMPUTED_VALUE"""),"Silverway House")</f>
        <v>Silverway House</v>
      </c>
      <c r="E4679" s="2">
        <f>IFERROR(__xludf.DUMMYFUNCTION("""COMPUTED_VALUE"""),2.35)</f>
        <v>2.35</v>
      </c>
      <c r="F4679" s="2"/>
      <c r="G4679" s="2"/>
      <c r="H4679" s="2"/>
      <c r="I4679" s="2"/>
    </row>
    <row r="4680">
      <c r="A4680" s="2">
        <f>IFERROR(__xludf.DUMMYFUNCTION("""COMPUTED_VALUE"""),125196.0)</f>
        <v>125196</v>
      </c>
      <c r="B4680" s="2" t="str">
        <f>IFERROR(__xludf.DUMMYFUNCTION("""COMPUTED_VALUE"""),"Finance")</f>
        <v>Finance</v>
      </c>
      <c r="C4680" s="2" t="str">
        <f>IFERROR(__xludf.DUMMYFUNCTION("""COMPUTED_VALUE"""),"Risk Management")</f>
        <v>Risk Management</v>
      </c>
      <c r="D4680" s="2" t="str">
        <f>IFERROR(__xludf.DUMMYFUNCTION("""COMPUTED_VALUE"""),"Silverway House")</f>
        <v>Silverway House</v>
      </c>
      <c r="E4680" s="2">
        <f>IFERROR(__xludf.DUMMYFUNCTION("""COMPUTED_VALUE"""),2.03)</f>
        <v>2.03</v>
      </c>
      <c r="F4680" s="2"/>
      <c r="G4680" s="2"/>
      <c r="H4680" s="2"/>
      <c r="I4680" s="2"/>
    </row>
    <row r="4681">
      <c r="A4681" s="2">
        <f>IFERROR(__xludf.DUMMYFUNCTION("""COMPUTED_VALUE"""),125192.0)</f>
        <v>125192</v>
      </c>
      <c r="B4681" s="2" t="str">
        <f>IFERROR(__xludf.DUMMYFUNCTION("""COMPUTED_VALUE"""),"Finance")</f>
        <v>Finance</v>
      </c>
      <c r="C4681" s="2" t="str">
        <f>IFERROR(__xludf.DUMMYFUNCTION("""COMPUTED_VALUE"""),"Risk Management")</f>
        <v>Risk Management</v>
      </c>
      <c r="D4681" s="2" t="str">
        <f>IFERROR(__xludf.DUMMYFUNCTION("""COMPUTED_VALUE"""),"Silverway House")</f>
        <v>Silverway House</v>
      </c>
      <c r="E4681" s="2">
        <f>IFERROR(__xludf.DUMMYFUNCTION("""COMPUTED_VALUE"""),2.17)</f>
        <v>2.17</v>
      </c>
      <c r="F4681" s="2"/>
      <c r="G4681" s="2"/>
      <c r="H4681" s="2"/>
      <c r="I4681" s="2"/>
    </row>
    <row r="4682">
      <c r="A4682" s="2">
        <f>IFERROR(__xludf.DUMMYFUNCTION("""COMPUTED_VALUE"""),125194.0)</f>
        <v>125194</v>
      </c>
      <c r="B4682" s="2" t="str">
        <f>IFERROR(__xludf.DUMMYFUNCTION("""COMPUTED_VALUE"""),"Finance")</f>
        <v>Finance</v>
      </c>
      <c r="C4682" s="2" t="str">
        <f>IFERROR(__xludf.DUMMYFUNCTION("""COMPUTED_VALUE"""),"Risk Management")</f>
        <v>Risk Management</v>
      </c>
      <c r="D4682" s="2" t="str">
        <f>IFERROR(__xludf.DUMMYFUNCTION("""COMPUTED_VALUE"""),"Silverway House")</f>
        <v>Silverway House</v>
      </c>
      <c r="E4682" s="2">
        <f>IFERROR(__xludf.DUMMYFUNCTION("""COMPUTED_VALUE"""),2.34)</f>
        <v>2.34</v>
      </c>
      <c r="F4682" s="2"/>
      <c r="G4682" s="2"/>
      <c r="H4682" s="2"/>
      <c r="I4682" s="2"/>
    </row>
    <row r="4683">
      <c r="A4683" s="2">
        <f>IFERROR(__xludf.DUMMYFUNCTION("""COMPUTED_VALUE"""),125198.0)</f>
        <v>125198</v>
      </c>
      <c r="B4683" s="2" t="str">
        <f>IFERROR(__xludf.DUMMYFUNCTION("""COMPUTED_VALUE"""),"Finance")</f>
        <v>Finance</v>
      </c>
      <c r="C4683" s="2" t="str">
        <f>IFERROR(__xludf.DUMMYFUNCTION("""COMPUTED_VALUE"""),"Risk Management")</f>
        <v>Risk Management</v>
      </c>
      <c r="D4683" s="2" t="str">
        <f>IFERROR(__xludf.DUMMYFUNCTION("""COMPUTED_VALUE"""),"Silverway House")</f>
        <v>Silverway House</v>
      </c>
      <c r="E4683" s="2">
        <f>IFERROR(__xludf.DUMMYFUNCTION("""COMPUTED_VALUE"""),1.17)</f>
        <v>1.17</v>
      </c>
      <c r="F4683" s="2"/>
      <c r="G4683" s="2"/>
      <c r="H4683" s="2"/>
      <c r="I4683" s="2"/>
    </row>
    <row r="4684">
      <c r="A4684" s="2">
        <f>IFERROR(__xludf.DUMMYFUNCTION("""COMPUTED_VALUE"""),111220.0)</f>
        <v>111220</v>
      </c>
      <c r="B4684" s="2" t="str">
        <f>IFERROR(__xludf.DUMMYFUNCTION("""COMPUTED_VALUE"""),"Finance")</f>
        <v>Finance</v>
      </c>
      <c r="C4684" s="2" t="str">
        <f>IFERROR(__xludf.DUMMYFUNCTION("""COMPUTED_VALUE"""),"Risk Management")</f>
        <v>Risk Management</v>
      </c>
      <c r="D4684" s="2" t="str">
        <f>IFERROR(__xludf.DUMMYFUNCTION("""COMPUTED_VALUE"""),"Silverway House")</f>
        <v>Silverway House</v>
      </c>
      <c r="E4684" s="2">
        <f>IFERROR(__xludf.DUMMYFUNCTION("""COMPUTED_VALUE"""),12.87)</f>
        <v>12.87</v>
      </c>
      <c r="F4684" s="2"/>
      <c r="G4684" s="2"/>
      <c r="H4684" s="2"/>
      <c r="I4684" s="2"/>
    </row>
    <row r="4685">
      <c r="A4685" s="2">
        <f>IFERROR(__xludf.DUMMYFUNCTION("""COMPUTED_VALUE"""),105969.0)</f>
        <v>105969</v>
      </c>
      <c r="B4685" s="2" t="str">
        <f>IFERROR(__xludf.DUMMYFUNCTION("""COMPUTED_VALUE"""),"Finance")</f>
        <v>Finance</v>
      </c>
      <c r="C4685" s="2" t="str">
        <f>IFERROR(__xludf.DUMMYFUNCTION("""COMPUTED_VALUE"""),"Risk Management")</f>
        <v>Risk Management</v>
      </c>
      <c r="D4685" s="2" t="str">
        <f>IFERROR(__xludf.DUMMYFUNCTION("""COMPUTED_VALUE"""),"Silverway House")</f>
        <v>Silverway House</v>
      </c>
      <c r="E4685" s="2">
        <f>IFERROR(__xludf.DUMMYFUNCTION("""COMPUTED_VALUE"""),10.92)</f>
        <v>10.92</v>
      </c>
      <c r="F4685" s="2"/>
      <c r="G4685" s="2"/>
      <c r="H4685" s="2"/>
      <c r="I4685" s="2"/>
    </row>
    <row r="4686">
      <c r="A4686" s="2">
        <f>IFERROR(__xludf.DUMMYFUNCTION("""COMPUTED_VALUE"""),105981.0)</f>
        <v>105981</v>
      </c>
      <c r="B4686" s="2" t="str">
        <f>IFERROR(__xludf.DUMMYFUNCTION("""COMPUTED_VALUE"""),"Finance")</f>
        <v>Finance</v>
      </c>
      <c r="C4686" s="2" t="str">
        <f>IFERROR(__xludf.DUMMYFUNCTION("""COMPUTED_VALUE"""),"Risk Management")</f>
        <v>Risk Management</v>
      </c>
      <c r="D4686" s="2" t="str">
        <f>IFERROR(__xludf.DUMMYFUNCTION("""COMPUTED_VALUE"""),"Silverway House")</f>
        <v>Silverway House</v>
      </c>
      <c r="E4686" s="2">
        <f>IFERROR(__xludf.DUMMYFUNCTION("""COMPUTED_VALUE"""),7.66)</f>
        <v>7.66</v>
      </c>
      <c r="F4686" s="2"/>
      <c r="G4686" s="2"/>
      <c r="H4686" s="2"/>
      <c r="I4686" s="2"/>
    </row>
    <row r="4687">
      <c r="A4687" s="2">
        <f>IFERROR(__xludf.DUMMYFUNCTION("""COMPUTED_VALUE"""),125185.0)</f>
        <v>125185</v>
      </c>
      <c r="B4687" s="2" t="str">
        <f>IFERROR(__xludf.DUMMYFUNCTION("""COMPUTED_VALUE"""),"Finance")</f>
        <v>Finance</v>
      </c>
      <c r="C4687" s="2" t="str">
        <f>IFERROR(__xludf.DUMMYFUNCTION("""COMPUTED_VALUE"""),"Risk Management")</f>
        <v>Risk Management</v>
      </c>
      <c r="D4687" s="2" t="str">
        <f>IFERROR(__xludf.DUMMYFUNCTION("""COMPUTED_VALUE"""),"Silverway House")</f>
        <v>Silverway House</v>
      </c>
      <c r="E4687" s="2">
        <f>IFERROR(__xludf.DUMMYFUNCTION("""COMPUTED_VALUE"""),2.01)</f>
        <v>2.01</v>
      </c>
      <c r="F4687" s="2"/>
      <c r="G4687" s="2"/>
      <c r="H4687" s="2"/>
      <c r="I4687" s="2"/>
    </row>
    <row r="4688">
      <c r="A4688" s="2">
        <f>IFERROR(__xludf.DUMMYFUNCTION("""COMPUTED_VALUE"""),111605.0)</f>
        <v>111605</v>
      </c>
      <c r="B4688" s="2" t="str">
        <f>IFERROR(__xludf.DUMMYFUNCTION("""COMPUTED_VALUE"""),"History")</f>
        <v>History</v>
      </c>
      <c r="C4688" s="2" t="str">
        <f>IFERROR(__xludf.DUMMYFUNCTION("""COMPUTED_VALUE"""),"Derivatives")</f>
        <v>Derivatives</v>
      </c>
      <c r="D4688" s="2"/>
      <c r="E4688" s="2">
        <f>IFERROR(__xludf.DUMMYFUNCTION("""COMPUTED_VALUE"""),1.34)</f>
        <v>1.34</v>
      </c>
      <c r="F4688" s="2"/>
      <c r="G4688" s="2"/>
      <c r="H4688" s="2"/>
      <c r="I4688" s="2"/>
    </row>
    <row r="4689">
      <c r="A4689" s="2">
        <f>IFERROR(__xludf.DUMMYFUNCTION("""COMPUTED_VALUE"""),111608.0)</f>
        <v>111608</v>
      </c>
      <c r="B4689" s="2" t="str">
        <f>IFERROR(__xludf.DUMMYFUNCTION("""COMPUTED_VALUE"""),"History")</f>
        <v>History</v>
      </c>
      <c r="C4689" s="2" t="str">
        <f>IFERROR(__xludf.DUMMYFUNCTION("""COMPUTED_VALUE"""),"Derivatives")</f>
        <v>Derivatives</v>
      </c>
      <c r="D4689" s="2"/>
      <c r="E4689" s="2">
        <f>IFERROR(__xludf.DUMMYFUNCTION("""COMPUTED_VALUE"""),1.07)</f>
        <v>1.07</v>
      </c>
      <c r="F4689" s="2"/>
      <c r="G4689" s="2"/>
      <c r="H4689" s="2"/>
      <c r="I4689" s="2"/>
    </row>
    <row r="4690">
      <c r="A4690" s="2">
        <f>IFERROR(__xludf.DUMMYFUNCTION("""COMPUTED_VALUE"""),97023.0)</f>
        <v>97023</v>
      </c>
      <c r="B4690" s="2" t="str">
        <f>IFERROR(__xludf.DUMMYFUNCTION("""COMPUTED_VALUE"""),"History")</f>
        <v>History</v>
      </c>
      <c r="C4690" s="2" t="str">
        <f>IFERROR(__xludf.DUMMYFUNCTION("""COMPUTED_VALUE"""),"Derivatives")</f>
        <v>Derivatives</v>
      </c>
      <c r="D4690" s="2"/>
      <c r="E4690" s="2">
        <f>IFERROR(__xludf.DUMMYFUNCTION("""COMPUTED_VALUE"""),1.13)</f>
        <v>1.13</v>
      </c>
      <c r="F4690" s="2"/>
      <c r="G4690" s="2"/>
      <c r="H4690" s="2"/>
      <c r="I4690" s="2"/>
    </row>
    <row r="4691">
      <c r="A4691" s="2">
        <f>IFERROR(__xludf.DUMMYFUNCTION("""COMPUTED_VALUE"""),111607.0)</f>
        <v>111607</v>
      </c>
      <c r="B4691" s="2" t="str">
        <f>IFERROR(__xludf.DUMMYFUNCTION("""COMPUTED_VALUE"""),"History")</f>
        <v>History</v>
      </c>
      <c r="C4691" s="2" t="str">
        <f>IFERROR(__xludf.DUMMYFUNCTION("""COMPUTED_VALUE"""),"Derivatives")</f>
        <v>Derivatives</v>
      </c>
      <c r="D4691" s="2"/>
      <c r="E4691" s="2">
        <f>IFERROR(__xludf.DUMMYFUNCTION("""COMPUTED_VALUE"""),0.89)</f>
        <v>0.89</v>
      </c>
      <c r="F4691" s="2"/>
      <c r="G4691" s="2"/>
      <c r="H4691" s="2"/>
      <c r="I4691" s="2"/>
    </row>
    <row r="4692">
      <c r="A4692" s="2">
        <f>IFERROR(__xludf.DUMMYFUNCTION("""COMPUTED_VALUE"""),71083.0)</f>
        <v>71083</v>
      </c>
      <c r="B4692" s="2" t="str">
        <f>IFERROR(__xludf.DUMMYFUNCTION("""COMPUTED_VALUE"""),"Law")</f>
        <v>Law</v>
      </c>
      <c r="C4692" s="2" t="str">
        <f>IFERROR(__xludf.DUMMYFUNCTION("""COMPUTED_VALUE"""),"Portfolio Management")</f>
        <v>Portfolio Management</v>
      </c>
      <c r="D4692" s="2" t="str">
        <f>IFERROR(__xludf.DUMMYFUNCTION("""COMPUTED_VALUE"""),"Northway House")</f>
        <v>Northway House</v>
      </c>
      <c r="E4692" s="2">
        <f>IFERROR(__xludf.DUMMYFUNCTION("""COMPUTED_VALUE"""),2.25)</f>
        <v>2.25</v>
      </c>
      <c r="F4692" s="2"/>
      <c r="G4692" s="2"/>
      <c r="H4692" s="2"/>
      <c r="I4692" s="2"/>
    </row>
    <row r="4693">
      <c r="A4693" s="2">
        <f>IFERROR(__xludf.DUMMYFUNCTION("""COMPUTED_VALUE"""),118178.0)</f>
        <v>118178</v>
      </c>
      <c r="B4693" s="2" t="str">
        <f>IFERROR(__xludf.DUMMYFUNCTION("""COMPUTED_VALUE"""),"Law")</f>
        <v>Law</v>
      </c>
      <c r="C4693" s="2" t="str">
        <f>IFERROR(__xludf.DUMMYFUNCTION("""COMPUTED_VALUE"""),"Portfolio Management")</f>
        <v>Portfolio Management</v>
      </c>
      <c r="D4693" s="2" t="str">
        <f>IFERROR(__xludf.DUMMYFUNCTION("""COMPUTED_VALUE"""),"Northway House")</f>
        <v>Northway House</v>
      </c>
      <c r="E4693" s="2">
        <f>IFERROR(__xludf.DUMMYFUNCTION("""COMPUTED_VALUE"""),3.76)</f>
        <v>3.76</v>
      </c>
      <c r="F4693" s="2"/>
      <c r="G4693" s="2"/>
      <c r="H4693" s="2"/>
      <c r="I4693" s="2"/>
    </row>
    <row r="4694">
      <c r="A4694" s="2">
        <f>IFERROR(__xludf.DUMMYFUNCTION("""COMPUTED_VALUE"""),81767.0)</f>
        <v>81767</v>
      </c>
      <c r="B4694" s="2" t="str">
        <f>IFERROR(__xludf.DUMMYFUNCTION("""COMPUTED_VALUE"""),"Law")</f>
        <v>Law</v>
      </c>
      <c r="C4694" s="2" t="str">
        <f>IFERROR(__xludf.DUMMYFUNCTION("""COMPUTED_VALUE"""),"Portfolio Management")</f>
        <v>Portfolio Management</v>
      </c>
      <c r="D4694" s="2" t="str">
        <f>IFERROR(__xludf.DUMMYFUNCTION("""COMPUTED_VALUE"""),"Northway House")</f>
        <v>Northway House</v>
      </c>
      <c r="E4694" s="2">
        <f>IFERROR(__xludf.DUMMYFUNCTION("""COMPUTED_VALUE"""),2.55)</f>
        <v>2.55</v>
      </c>
      <c r="F4694" s="2"/>
      <c r="G4694" s="2"/>
      <c r="H4694" s="2"/>
      <c r="I4694" s="2"/>
    </row>
    <row r="4695">
      <c r="A4695" s="2">
        <f>IFERROR(__xludf.DUMMYFUNCTION("""COMPUTED_VALUE"""),118186.0)</f>
        <v>118186</v>
      </c>
      <c r="B4695" s="2" t="str">
        <f>IFERROR(__xludf.DUMMYFUNCTION("""COMPUTED_VALUE"""),"Law")</f>
        <v>Law</v>
      </c>
      <c r="C4695" s="2" t="str">
        <f>IFERROR(__xludf.DUMMYFUNCTION("""COMPUTED_VALUE"""),"Portfolio Management")</f>
        <v>Portfolio Management</v>
      </c>
      <c r="D4695" s="2" t="str">
        <f>IFERROR(__xludf.DUMMYFUNCTION("""COMPUTED_VALUE"""),"Northway House")</f>
        <v>Northway House</v>
      </c>
      <c r="E4695" s="2">
        <f>IFERROR(__xludf.DUMMYFUNCTION("""COMPUTED_VALUE"""),1.21)</f>
        <v>1.21</v>
      </c>
      <c r="F4695" s="2"/>
      <c r="G4695" s="2"/>
      <c r="H4695" s="2"/>
      <c r="I4695" s="2"/>
    </row>
    <row r="4696">
      <c r="A4696" s="2">
        <f>IFERROR(__xludf.DUMMYFUNCTION("""COMPUTED_VALUE"""),43228.0)</f>
        <v>43228</v>
      </c>
      <c r="B4696" s="2" t="str">
        <f>IFERROR(__xludf.DUMMYFUNCTION("""COMPUTED_VALUE"""),"Law")</f>
        <v>Law</v>
      </c>
      <c r="C4696" s="2" t="str">
        <f>IFERROR(__xludf.DUMMYFUNCTION("""COMPUTED_VALUE"""),"Portfolio Management")</f>
        <v>Portfolio Management</v>
      </c>
      <c r="D4696" s="2" t="str">
        <f>IFERROR(__xludf.DUMMYFUNCTION("""COMPUTED_VALUE"""),"Northway House")</f>
        <v>Northway House</v>
      </c>
      <c r="E4696" s="2">
        <f>IFERROR(__xludf.DUMMYFUNCTION("""COMPUTED_VALUE"""),2.91)</f>
        <v>2.91</v>
      </c>
      <c r="F4696" s="2"/>
      <c r="G4696" s="2"/>
      <c r="H4696" s="2"/>
      <c r="I4696" s="2"/>
    </row>
    <row r="4697">
      <c r="A4697" s="2">
        <f>IFERROR(__xludf.DUMMYFUNCTION("""COMPUTED_VALUE"""),199268.0)</f>
        <v>199268</v>
      </c>
      <c r="B4697" s="2" t="str">
        <f>IFERROR(__xludf.DUMMYFUNCTION("""COMPUTED_VALUE"""),"Law")</f>
        <v>Law</v>
      </c>
      <c r="C4697" s="2" t="str">
        <f>IFERROR(__xludf.DUMMYFUNCTION("""COMPUTED_VALUE"""),"Portfolio Management")</f>
        <v>Portfolio Management</v>
      </c>
      <c r="D4697" s="2" t="str">
        <f>IFERROR(__xludf.DUMMYFUNCTION("""COMPUTED_VALUE"""),"Northway House")</f>
        <v>Northway House</v>
      </c>
      <c r="E4697" s="2">
        <f>IFERROR(__xludf.DUMMYFUNCTION("""COMPUTED_VALUE"""),2.7)</f>
        <v>2.7</v>
      </c>
      <c r="F4697" s="2"/>
      <c r="G4697" s="2"/>
      <c r="H4697" s="2"/>
      <c r="I4697" s="2"/>
    </row>
    <row r="4698">
      <c r="A4698" s="2">
        <f>IFERROR(__xludf.DUMMYFUNCTION("""COMPUTED_VALUE"""),118196.0)</f>
        <v>118196</v>
      </c>
      <c r="B4698" s="2" t="str">
        <f>IFERROR(__xludf.DUMMYFUNCTION("""COMPUTED_VALUE"""),"Law")</f>
        <v>Law</v>
      </c>
      <c r="C4698" s="2" t="str">
        <f>IFERROR(__xludf.DUMMYFUNCTION("""COMPUTED_VALUE"""),"Portfolio Management")</f>
        <v>Portfolio Management</v>
      </c>
      <c r="D4698" s="2" t="str">
        <f>IFERROR(__xludf.DUMMYFUNCTION("""COMPUTED_VALUE"""),"Northway House")</f>
        <v>Northway House</v>
      </c>
      <c r="E4698" s="2">
        <f>IFERROR(__xludf.DUMMYFUNCTION("""COMPUTED_VALUE"""),2.48)</f>
        <v>2.48</v>
      </c>
      <c r="F4698" s="2"/>
      <c r="G4698" s="2"/>
      <c r="H4698" s="2"/>
      <c r="I4698" s="2"/>
    </row>
    <row r="4699">
      <c r="A4699" s="2">
        <f>IFERROR(__xludf.DUMMYFUNCTION("""COMPUTED_VALUE"""),71084.0)</f>
        <v>71084</v>
      </c>
      <c r="B4699" s="2" t="str">
        <f>IFERROR(__xludf.DUMMYFUNCTION("""COMPUTED_VALUE"""),"Law")</f>
        <v>Law</v>
      </c>
      <c r="C4699" s="2" t="str">
        <f>IFERROR(__xludf.DUMMYFUNCTION("""COMPUTED_VALUE"""),"Portfolio Management")</f>
        <v>Portfolio Management</v>
      </c>
      <c r="D4699" s="2" t="str">
        <f>IFERROR(__xludf.DUMMYFUNCTION("""COMPUTED_VALUE"""),"Northway House")</f>
        <v>Northway House</v>
      </c>
      <c r="E4699" s="2">
        <f>IFERROR(__xludf.DUMMYFUNCTION("""COMPUTED_VALUE"""),2.16)</f>
        <v>2.16</v>
      </c>
      <c r="F4699" s="2"/>
      <c r="G4699" s="2"/>
      <c r="H4699" s="2"/>
      <c r="I4699" s="2"/>
    </row>
    <row r="4700">
      <c r="A4700" s="2">
        <f>IFERROR(__xludf.DUMMYFUNCTION("""COMPUTED_VALUE"""),120587.0)</f>
        <v>120587</v>
      </c>
      <c r="B4700" s="2" t="str">
        <f>IFERROR(__xludf.DUMMYFUNCTION("""COMPUTED_VALUE"""),"Law")</f>
        <v>Law</v>
      </c>
      <c r="C4700" s="2" t="str">
        <f>IFERROR(__xludf.DUMMYFUNCTION("""COMPUTED_VALUE"""),"Portfolio Management")</f>
        <v>Portfolio Management</v>
      </c>
      <c r="D4700" s="2" t="str">
        <f>IFERROR(__xludf.DUMMYFUNCTION("""COMPUTED_VALUE"""),"Northway House")</f>
        <v>Northway House</v>
      </c>
      <c r="E4700" s="2">
        <f>IFERROR(__xludf.DUMMYFUNCTION("""COMPUTED_VALUE"""),2.03)</f>
        <v>2.03</v>
      </c>
      <c r="F4700" s="2"/>
      <c r="G4700" s="2"/>
      <c r="H4700" s="2"/>
      <c r="I4700" s="2"/>
    </row>
    <row r="4701">
      <c r="A4701" s="2">
        <f>IFERROR(__xludf.DUMMYFUNCTION("""COMPUTED_VALUE"""),80952.0)</f>
        <v>80952</v>
      </c>
      <c r="B4701" s="2" t="str">
        <f>IFERROR(__xludf.DUMMYFUNCTION("""COMPUTED_VALUE"""),"Law")</f>
        <v>Law</v>
      </c>
      <c r="C4701" s="2" t="str">
        <f>IFERROR(__xludf.DUMMYFUNCTION("""COMPUTED_VALUE"""),"Portfolio Management")</f>
        <v>Portfolio Management</v>
      </c>
      <c r="D4701" s="2" t="str">
        <f>IFERROR(__xludf.DUMMYFUNCTION("""COMPUTED_VALUE"""),"Northway House")</f>
        <v>Northway House</v>
      </c>
      <c r="E4701" s="2">
        <f>IFERROR(__xludf.DUMMYFUNCTION("""COMPUTED_VALUE"""),3.84)</f>
        <v>3.84</v>
      </c>
      <c r="F4701" s="2"/>
      <c r="G4701" s="2"/>
      <c r="H4701" s="2"/>
      <c r="I4701" s="2"/>
    </row>
    <row r="4702">
      <c r="A4702" s="2">
        <f>IFERROR(__xludf.DUMMYFUNCTION("""COMPUTED_VALUE"""),120575.0)</f>
        <v>120575</v>
      </c>
      <c r="B4702" s="2" t="str">
        <f>IFERROR(__xludf.DUMMYFUNCTION("""COMPUTED_VALUE"""),"Law")</f>
        <v>Law</v>
      </c>
      <c r="C4702" s="2" t="str">
        <f>IFERROR(__xludf.DUMMYFUNCTION("""COMPUTED_VALUE"""),"Portfolio Management")</f>
        <v>Portfolio Management</v>
      </c>
      <c r="D4702" s="2" t="str">
        <f>IFERROR(__xludf.DUMMYFUNCTION("""COMPUTED_VALUE"""),"Northway House")</f>
        <v>Northway House</v>
      </c>
      <c r="E4702" s="2">
        <f>IFERROR(__xludf.DUMMYFUNCTION("""COMPUTED_VALUE"""),1.94)</f>
        <v>1.94</v>
      </c>
      <c r="F4702" s="2"/>
      <c r="G4702" s="2"/>
      <c r="H4702" s="2"/>
      <c r="I4702" s="2"/>
    </row>
    <row r="4703">
      <c r="A4703" s="2">
        <f>IFERROR(__xludf.DUMMYFUNCTION("""COMPUTED_VALUE"""),43244.0)</f>
        <v>43244</v>
      </c>
      <c r="B4703" s="2" t="str">
        <f>IFERROR(__xludf.DUMMYFUNCTION("""COMPUTED_VALUE"""),"Law")</f>
        <v>Law</v>
      </c>
      <c r="C4703" s="2" t="str">
        <f>IFERROR(__xludf.DUMMYFUNCTION("""COMPUTED_VALUE"""),"Portfolio Management")</f>
        <v>Portfolio Management</v>
      </c>
      <c r="D4703" s="2" t="str">
        <f>IFERROR(__xludf.DUMMYFUNCTION("""COMPUTED_VALUE"""),"Northway House")</f>
        <v>Northway House</v>
      </c>
      <c r="E4703" s="2">
        <f>IFERROR(__xludf.DUMMYFUNCTION("""COMPUTED_VALUE"""),4.66)</f>
        <v>4.66</v>
      </c>
      <c r="F4703" s="2"/>
      <c r="G4703" s="2"/>
      <c r="H4703" s="2"/>
      <c r="I4703" s="2"/>
    </row>
    <row r="4704">
      <c r="A4704" s="2">
        <f>IFERROR(__xludf.DUMMYFUNCTION("""COMPUTED_VALUE"""),116477.0)</f>
        <v>116477</v>
      </c>
      <c r="B4704" s="2" t="str">
        <f>IFERROR(__xludf.DUMMYFUNCTION("""COMPUTED_VALUE"""),"Law")</f>
        <v>Law</v>
      </c>
      <c r="C4704" s="2" t="str">
        <f>IFERROR(__xludf.DUMMYFUNCTION("""COMPUTED_VALUE"""),"Portfolio Management")</f>
        <v>Portfolio Management</v>
      </c>
      <c r="D4704" s="2" t="str">
        <f>IFERROR(__xludf.DUMMYFUNCTION("""COMPUTED_VALUE"""),"Northway House")</f>
        <v>Northway House</v>
      </c>
      <c r="E4704" s="2">
        <f>IFERROR(__xludf.DUMMYFUNCTION("""COMPUTED_VALUE"""),1.41)</f>
        <v>1.41</v>
      </c>
      <c r="F4704" s="2"/>
      <c r="G4704" s="2"/>
      <c r="H4704" s="2"/>
      <c r="I4704" s="2"/>
    </row>
    <row r="4705">
      <c r="A4705" s="2">
        <f>IFERROR(__xludf.DUMMYFUNCTION("""COMPUTED_VALUE"""),110480.0)</f>
        <v>110480</v>
      </c>
      <c r="B4705" s="2" t="str">
        <f>IFERROR(__xludf.DUMMYFUNCTION("""COMPUTED_VALUE"""),"Law")</f>
        <v>Law</v>
      </c>
      <c r="C4705" s="2" t="str">
        <f>IFERROR(__xludf.DUMMYFUNCTION("""COMPUTED_VALUE"""),"Portfolio Management")</f>
        <v>Portfolio Management</v>
      </c>
      <c r="D4705" s="2" t="str">
        <f>IFERROR(__xludf.DUMMYFUNCTION("""COMPUTED_VALUE"""),"Northway House")</f>
        <v>Northway House</v>
      </c>
      <c r="E4705" s="2">
        <f>IFERROR(__xludf.DUMMYFUNCTION("""COMPUTED_VALUE"""),1.95)</f>
        <v>1.95</v>
      </c>
      <c r="F4705" s="2"/>
      <c r="G4705" s="2"/>
      <c r="H4705" s="2"/>
      <c r="I4705" s="2"/>
    </row>
    <row r="4706">
      <c r="A4706" s="2">
        <f>IFERROR(__xludf.DUMMYFUNCTION("""COMPUTED_VALUE"""),87548.0)</f>
        <v>87548</v>
      </c>
      <c r="B4706" s="2" t="str">
        <f>IFERROR(__xludf.DUMMYFUNCTION("""COMPUTED_VALUE"""),"Law")</f>
        <v>Law</v>
      </c>
      <c r="C4706" s="2" t="str">
        <f>IFERROR(__xludf.DUMMYFUNCTION("""COMPUTED_VALUE"""),"Portfolio Management")</f>
        <v>Portfolio Management</v>
      </c>
      <c r="D4706" s="2" t="str">
        <f>IFERROR(__xludf.DUMMYFUNCTION("""COMPUTED_VALUE"""),"Northway House")</f>
        <v>Northway House</v>
      </c>
      <c r="E4706" s="2">
        <f>IFERROR(__xludf.DUMMYFUNCTION("""COMPUTED_VALUE"""),1.79)</f>
        <v>1.79</v>
      </c>
      <c r="F4706" s="2"/>
      <c r="G4706" s="2"/>
      <c r="H4706" s="2"/>
      <c r="I4706" s="2"/>
    </row>
    <row r="4707">
      <c r="A4707" s="2">
        <f>IFERROR(__xludf.DUMMYFUNCTION("""COMPUTED_VALUE"""),77223.0)</f>
        <v>77223</v>
      </c>
      <c r="B4707" s="2" t="str">
        <f>IFERROR(__xludf.DUMMYFUNCTION("""COMPUTED_VALUE"""),"Law")</f>
        <v>Law</v>
      </c>
      <c r="C4707" s="2" t="str">
        <f>IFERROR(__xludf.DUMMYFUNCTION("""COMPUTED_VALUE"""),"Portfolio Management")</f>
        <v>Portfolio Management</v>
      </c>
      <c r="D4707" s="2" t="str">
        <f>IFERROR(__xludf.DUMMYFUNCTION("""COMPUTED_VALUE"""),"Northway House")</f>
        <v>Northway House</v>
      </c>
      <c r="E4707" s="2">
        <f>IFERROR(__xludf.DUMMYFUNCTION("""COMPUTED_VALUE"""),1.27)</f>
        <v>1.27</v>
      </c>
      <c r="F4707" s="2"/>
      <c r="G4707" s="2"/>
      <c r="H4707" s="2"/>
      <c r="I4707" s="2"/>
    </row>
    <row r="4708">
      <c r="A4708" s="2">
        <f>IFERROR(__xludf.DUMMYFUNCTION("""COMPUTED_VALUE"""),43241.0)</f>
        <v>43241</v>
      </c>
      <c r="B4708" s="2" t="str">
        <f>IFERROR(__xludf.DUMMYFUNCTION("""COMPUTED_VALUE"""),"Law")</f>
        <v>Law</v>
      </c>
      <c r="C4708" s="2" t="str">
        <f>IFERROR(__xludf.DUMMYFUNCTION("""COMPUTED_VALUE"""),"Portfolio Management")</f>
        <v>Portfolio Management</v>
      </c>
      <c r="D4708" s="2" t="str">
        <f>IFERROR(__xludf.DUMMYFUNCTION("""COMPUTED_VALUE"""),"Northway House")</f>
        <v>Northway House</v>
      </c>
      <c r="E4708" s="2">
        <f>IFERROR(__xludf.DUMMYFUNCTION("""COMPUTED_VALUE"""),2.01)</f>
        <v>2.01</v>
      </c>
      <c r="F4708" s="2"/>
      <c r="G4708" s="2"/>
      <c r="H4708" s="2"/>
      <c r="I4708" s="2"/>
    </row>
    <row r="4709">
      <c r="A4709" s="2">
        <f>IFERROR(__xludf.DUMMYFUNCTION("""COMPUTED_VALUE"""),71161.0)</f>
        <v>71161</v>
      </c>
      <c r="B4709" s="2" t="str">
        <f>IFERROR(__xludf.DUMMYFUNCTION("""COMPUTED_VALUE"""),"Law")</f>
        <v>Law</v>
      </c>
      <c r="C4709" s="2" t="str">
        <f>IFERROR(__xludf.DUMMYFUNCTION("""COMPUTED_VALUE"""),"Portfolio Management")</f>
        <v>Portfolio Management</v>
      </c>
      <c r="D4709" s="2" t="str">
        <f>IFERROR(__xludf.DUMMYFUNCTION("""COMPUTED_VALUE"""),"Northway House")</f>
        <v>Northway House</v>
      </c>
      <c r="E4709" s="2">
        <f>IFERROR(__xludf.DUMMYFUNCTION("""COMPUTED_VALUE"""),2.09)</f>
        <v>2.09</v>
      </c>
      <c r="F4709" s="2"/>
      <c r="G4709" s="2"/>
      <c r="H4709" s="2"/>
      <c r="I4709" s="2"/>
    </row>
    <row r="4710">
      <c r="A4710" s="2">
        <f>IFERROR(__xludf.DUMMYFUNCTION("""COMPUTED_VALUE"""),77224.0)</f>
        <v>77224</v>
      </c>
      <c r="B4710" s="2" t="str">
        <f>IFERROR(__xludf.DUMMYFUNCTION("""COMPUTED_VALUE"""),"Law")</f>
        <v>Law</v>
      </c>
      <c r="C4710" s="2" t="str">
        <f>IFERROR(__xludf.DUMMYFUNCTION("""COMPUTED_VALUE"""),"Portfolio Management")</f>
        <v>Portfolio Management</v>
      </c>
      <c r="D4710" s="2" t="str">
        <f>IFERROR(__xludf.DUMMYFUNCTION("""COMPUTED_VALUE"""),"Northway House")</f>
        <v>Northway House</v>
      </c>
      <c r="E4710" s="2">
        <f>IFERROR(__xludf.DUMMYFUNCTION("""COMPUTED_VALUE"""),1.87)</f>
        <v>1.87</v>
      </c>
      <c r="F4710" s="2"/>
      <c r="G4710" s="2"/>
      <c r="H4710" s="2"/>
      <c r="I4710" s="2"/>
    </row>
    <row r="4711">
      <c r="A4711" s="2">
        <f>IFERROR(__xludf.DUMMYFUNCTION("""COMPUTED_VALUE"""),113992.0)</f>
        <v>113992</v>
      </c>
      <c r="B4711" s="2" t="str">
        <f>IFERROR(__xludf.DUMMYFUNCTION("""COMPUTED_VALUE"""),"Law")</f>
        <v>Law</v>
      </c>
      <c r="C4711" s="2" t="str">
        <f>IFERROR(__xludf.DUMMYFUNCTION("""COMPUTED_VALUE"""),"Portfolio Management")</f>
        <v>Portfolio Management</v>
      </c>
      <c r="D4711" s="2" t="str">
        <f>IFERROR(__xludf.DUMMYFUNCTION("""COMPUTED_VALUE"""),"Northway House")</f>
        <v>Northway House</v>
      </c>
      <c r="E4711" s="2">
        <f>IFERROR(__xludf.DUMMYFUNCTION("""COMPUTED_VALUE"""),2.12)</f>
        <v>2.12</v>
      </c>
      <c r="F4711" s="2"/>
      <c r="G4711" s="2"/>
      <c r="H4711" s="2"/>
      <c r="I4711" s="2"/>
    </row>
    <row r="4712">
      <c r="A4712" s="2">
        <f>IFERROR(__xludf.DUMMYFUNCTION("""COMPUTED_VALUE"""),112611.0)</f>
        <v>112611</v>
      </c>
      <c r="B4712" s="2" t="str">
        <f>IFERROR(__xludf.DUMMYFUNCTION("""COMPUTED_VALUE"""),"Law")</f>
        <v>Law</v>
      </c>
      <c r="C4712" s="2" t="str">
        <f>IFERROR(__xludf.DUMMYFUNCTION("""COMPUTED_VALUE"""),"Portfolio Management")</f>
        <v>Portfolio Management</v>
      </c>
      <c r="D4712" s="2" t="str">
        <f>IFERROR(__xludf.DUMMYFUNCTION("""COMPUTED_VALUE"""),"Northway House")</f>
        <v>Northway House</v>
      </c>
      <c r="E4712" s="2">
        <f>IFERROR(__xludf.DUMMYFUNCTION("""COMPUTED_VALUE"""),2.4)</f>
        <v>2.4</v>
      </c>
      <c r="F4712" s="2"/>
      <c r="G4712" s="2"/>
      <c r="H4712" s="2"/>
      <c r="I4712" s="2"/>
    </row>
    <row r="4713">
      <c r="A4713" s="2">
        <f>IFERROR(__xludf.DUMMYFUNCTION("""COMPUTED_VALUE"""),116482.0)</f>
        <v>116482</v>
      </c>
      <c r="B4713" s="2" t="str">
        <f>IFERROR(__xludf.DUMMYFUNCTION("""COMPUTED_VALUE"""),"Law")</f>
        <v>Law</v>
      </c>
      <c r="C4713" s="2" t="str">
        <f>IFERROR(__xludf.DUMMYFUNCTION("""COMPUTED_VALUE"""),"Portfolio Management")</f>
        <v>Portfolio Management</v>
      </c>
      <c r="D4713" s="2" t="str">
        <f>IFERROR(__xludf.DUMMYFUNCTION("""COMPUTED_VALUE"""),"Northway House")</f>
        <v>Northway House</v>
      </c>
      <c r="E4713" s="2">
        <f>IFERROR(__xludf.DUMMYFUNCTION("""COMPUTED_VALUE"""),1.71)</f>
        <v>1.71</v>
      </c>
      <c r="F4713" s="2"/>
      <c r="G4713" s="2"/>
      <c r="H4713" s="2"/>
      <c r="I4713" s="2"/>
    </row>
    <row r="4714">
      <c r="A4714" s="2">
        <f>IFERROR(__xludf.DUMMYFUNCTION("""COMPUTED_VALUE"""),77246.0)</f>
        <v>77246</v>
      </c>
      <c r="B4714" s="2" t="str">
        <f>IFERROR(__xludf.DUMMYFUNCTION("""COMPUTED_VALUE"""),"Law")</f>
        <v>Law</v>
      </c>
      <c r="C4714" s="2" t="str">
        <f>IFERROR(__xludf.DUMMYFUNCTION("""COMPUTED_VALUE"""),"Portfolio Management")</f>
        <v>Portfolio Management</v>
      </c>
      <c r="D4714" s="2" t="str">
        <f>IFERROR(__xludf.DUMMYFUNCTION("""COMPUTED_VALUE"""),"Northway House")</f>
        <v>Northway House</v>
      </c>
      <c r="E4714" s="2">
        <f>IFERROR(__xludf.DUMMYFUNCTION("""COMPUTED_VALUE"""),3.85)</f>
        <v>3.85</v>
      </c>
      <c r="F4714" s="2"/>
      <c r="G4714" s="2"/>
      <c r="H4714" s="2"/>
      <c r="I4714" s="2"/>
    </row>
    <row r="4715">
      <c r="A4715" s="2">
        <f>IFERROR(__xludf.DUMMYFUNCTION("""COMPUTED_VALUE"""),122798.0)</f>
        <v>122798</v>
      </c>
      <c r="B4715" s="2" t="str">
        <f>IFERROR(__xludf.DUMMYFUNCTION("""COMPUTED_VALUE"""),"Law")</f>
        <v>Law</v>
      </c>
      <c r="C4715" s="2" t="str">
        <f>IFERROR(__xludf.DUMMYFUNCTION("""COMPUTED_VALUE"""),"Portfolio Management")</f>
        <v>Portfolio Management</v>
      </c>
      <c r="D4715" s="2" t="str">
        <f>IFERROR(__xludf.DUMMYFUNCTION("""COMPUTED_VALUE"""),"Northway House")</f>
        <v>Northway House</v>
      </c>
      <c r="E4715" s="2">
        <f>IFERROR(__xludf.DUMMYFUNCTION("""COMPUTED_VALUE"""),2.55)</f>
        <v>2.55</v>
      </c>
      <c r="F4715" s="2"/>
      <c r="G4715" s="2"/>
      <c r="H4715" s="2"/>
      <c r="I4715" s="2"/>
    </row>
    <row r="4716">
      <c r="A4716" s="2">
        <f>IFERROR(__xludf.DUMMYFUNCTION("""COMPUTED_VALUE"""),120590.0)</f>
        <v>120590</v>
      </c>
      <c r="B4716" s="2" t="str">
        <f>IFERROR(__xludf.DUMMYFUNCTION("""COMPUTED_VALUE"""),"Law")</f>
        <v>Law</v>
      </c>
      <c r="C4716" s="2" t="str">
        <f>IFERROR(__xludf.DUMMYFUNCTION("""COMPUTED_VALUE"""),"Portfolio Management")</f>
        <v>Portfolio Management</v>
      </c>
      <c r="D4716" s="2" t="str">
        <f>IFERROR(__xludf.DUMMYFUNCTION("""COMPUTED_VALUE"""),"Northway House")</f>
        <v>Northway House</v>
      </c>
      <c r="E4716" s="2">
        <f>IFERROR(__xludf.DUMMYFUNCTION("""COMPUTED_VALUE"""),2.39)</f>
        <v>2.39</v>
      </c>
      <c r="F4716" s="2"/>
      <c r="G4716" s="2"/>
      <c r="H4716" s="2"/>
      <c r="I4716" s="2"/>
    </row>
    <row r="4717">
      <c r="A4717" s="2">
        <f>IFERROR(__xludf.DUMMYFUNCTION("""COMPUTED_VALUE"""),71914.0)</f>
        <v>71914</v>
      </c>
      <c r="B4717" s="2" t="str">
        <f>IFERROR(__xludf.DUMMYFUNCTION("""COMPUTED_VALUE"""),"Law")</f>
        <v>Law</v>
      </c>
      <c r="C4717" s="2" t="str">
        <f>IFERROR(__xludf.DUMMYFUNCTION("""COMPUTED_VALUE"""),"Portfolio Management")</f>
        <v>Portfolio Management</v>
      </c>
      <c r="D4717" s="2" t="str">
        <f>IFERROR(__xludf.DUMMYFUNCTION("""COMPUTED_VALUE"""),"Northway House")</f>
        <v>Northway House</v>
      </c>
      <c r="E4717" s="2">
        <f>IFERROR(__xludf.DUMMYFUNCTION("""COMPUTED_VALUE"""),2.5)</f>
        <v>2.5</v>
      </c>
      <c r="F4717" s="2"/>
      <c r="G4717" s="2"/>
      <c r="H4717" s="2"/>
      <c r="I4717" s="2"/>
    </row>
    <row r="4718">
      <c r="A4718" s="2">
        <f>IFERROR(__xludf.DUMMYFUNCTION("""COMPUTED_VALUE"""),118206.0)</f>
        <v>118206</v>
      </c>
      <c r="B4718" s="2" t="str">
        <f>IFERROR(__xludf.DUMMYFUNCTION("""COMPUTED_VALUE"""),"Law")</f>
        <v>Law</v>
      </c>
      <c r="C4718" s="2" t="str">
        <f>IFERROR(__xludf.DUMMYFUNCTION("""COMPUTED_VALUE"""),"Portfolio Management")</f>
        <v>Portfolio Management</v>
      </c>
      <c r="D4718" s="2" t="str">
        <f>IFERROR(__xludf.DUMMYFUNCTION("""COMPUTED_VALUE"""),"Northway House")</f>
        <v>Northway House</v>
      </c>
      <c r="E4718" s="2">
        <f>IFERROR(__xludf.DUMMYFUNCTION("""COMPUTED_VALUE"""),1.39)</f>
        <v>1.39</v>
      </c>
      <c r="F4718" s="2"/>
      <c r="G4718" s="2"/>
      <c r="H4718" s="2"/>
      <c r="I4718" s="2"/>
    </row>
    <row r="4719">
      <c r="A4719" s="2">
        <f>IFERROR(__xludf.DUMMYFUNCTION("""COMPUTED_VALUE"""),118179.0)</f>
        <v>118179</v>
      </c>
      <c r="B4719" s="2" t="str">
        <f>IFERROR(__xludf.DUMMYFUNCTION("""COMPUTED_VALUE"""),"Law")</f>
        <v>Law</v>
      </c>
      <c r="C4719" s="2" t="str">
        <f>IFERROR(__xludf.DUMMYFUNCTION("""COMPUTED_VALUE"""),"Portfolio Management")</f>
        <v>Portfolio Management</v>
      </c>
      <c r="D4719" s="2" t="str">
        <f>IFERROR(__xludf.DUMMYFUNCTION("""COMPUTED_VALUE"""),"Northway House")</f>
        <v>Northway House</v>
      </c>
      <c r="E4719" s="2">
        <f>IFERROR(__xludf.DUMMYFUNCTION("""COMPUTED_VALUE"""),3.14)</f>
        <v>3.14</v>
      </c>
      <c r="F4719" s="2"/>
      <c r="G4719" s="2"/>
      <c r="H4719" s="2"/>
      <c r="I4719" s="2"/>
    </row>
    <row r="4720">
      <c r="A4720" s="2">
        <f>IFERROR(__xludf.DUMMYFUNCTION("""COMPUTED_VALUE"""),43247.0)</f>
        <v>43247</v>
      </c>
      <c r="B4720" s="2" t="str">
        <f>IFERROR(__xludf.DUMMYFUNCTION("""COMPUTED_VALUE"""),"Law")</f>
        <v>Law</v>
      </c>
      <c r="C4720" s="2" t="str">
        <f>IFERROR(__xludf.DUMMYFUNCTION("""COMPUTED_VALUE"""),"Portfolio Management")</f>
        <v>Portfolio Management</v>
      </c>
      <c r="D4720" s="2" t="str">
        <f>IFERROR(__xludf.DUMMYFUNCTION("""COMPUTED_VALUE"""),"Northway House")</f>
        <v>Northway House</v>
      </c>
      <c r="E4720" s="2">
        <f>IFERROR(__xludf.DUMMYFUNCTION("""COMPUTED_VALUE"""),3.18)</f>
        <v>3.18</v>
      </c>
      <c r="F4720" s="2"/>
      <c r="G4720" s="2"/>
      <c r="H4720" s="2"/>
      <c r="I4720" s="2"/>
    </row>
    <row r="4721">
      <c r="A4721" s="2">
        <f>IFERROR(__xludf.DUMMYFUNCTION("""COMPUTED_VALUE"""),71166.0)</f>
        <v>71166</v>
      </c>
      <c r="B4721" s="2" t="str">
        <f>IFERROR(__xludf.DUMMYFUNCTION("""COMPUTED_VALUE"""),"Law")</f>
        <v>Law</v>
      </c>
      <c r="C4721" s="2" t="str">
        <f>IFERROR(__xludf.DUMMYFUNCTION("""COMPUTED_VALUE"""),"Portfolio Management")</f>
        <v>Portfolio Management</v>
      </c>
      <c r="D4721" s="2" t="str">
        <f>IFERROR(__xludf.DUMMYFUNCTION("""COMPUTED_VALUE"""),"Northway House")</f>
        <v>Northway House</v>
      </c>
      <c r="E4721" s="2">
        <f>IFERROR(__xludf.DUMMYFUNCTION("""COMPUTED_VALUE"""),1.99)</f>
        <v>1.99</v>
      </c>
      <c r="F4721" s="2"/>
      <c r="G4721" s="2"/>
      <c r="H4721" s="2"/>
      <c r="I4721" s="2"/>
    </row>
    <row r="4722">
      <c r="A4722" s="2">
        <f>IFERROR(__xludf.DUMMYFUNCTION("""COMPUTED_VALUE"""),43238.0)</f>
        <v>43238</v>
      </c>
      <c r="B4722" s="2" t="str">
        <f>IFERROR(__xludf.DUMMYFUNCTION("""COMPUTED_VALUE"""),"Law")</f>
        <v>Law</v>
      </c>
      <c r="C4722" s="2" t="str">
        <f>IFERROR(__xludf.DUMMYFUNCTION("""COMPUTED_VALUE"""),"Portfolio Management")</f>
        <v>Portfolio Management</v>
      </c>
      <c r="D4722" s="2" t="str">
        <f>IFERROR(__xludf.DUMMYFUNCTION("""COMPUTED_VALUE"""),"Northway House")</f>
        <v>Northway House</v>
      </c>
      <c r="E4722" s="2">
        <f>IFERROR(__xludf.DUMMYFUNCTION("""COMPUTED_VALUE"""),5.83)</f>
        <v>5.83</v>
      </c>
      <c r="F4722" s="2"/>
      <c r="G4722" s="2"/>
      <c r="H4722" s="2"/>
      <c r="I4722" s="2"/>
    </row>
    <row r="4723">
      <c r="A4723" s="2">
        <f>IFERROR(__xludf.DUMMYFUNCTION("""COMPUTED_VALUE"""),114003.0)</f>
        <v>114003</v>
      </c>
      <c r="B4723" s="2" t="str">
        <f>IFERROR(__xludf.DUMMYFUNCTION("""COMPUTED_VALUE"""),"Law")</f>
        <v>Law</v>
      </c>
      <c r="C4723" s="2" t="str">
        <f>IFERROR(__xludf.DUMMYFUNCTION("""COMPUTED_VALUE"""),"Portfolio Management")</f>
        <v>Portfolio Management</v>
      </c>
      <c r="D4723" s="2" t="str">
        <f>IFERROR(__xludf.DUMMYFUNCTION("""COMPUTED_VALUE"""),"Northway House")</f>
        <v>Northway House</v>
      </c>
      <c r="E4723" s="2">
        <f>IFERROR(__xludf.DUMMYFUNCTION("""COMPUTED_VALUE"""),2.88)</f>
        <v>2.88</v>
      </c>
      <c r="F4723" s="2"/>
      <c r="G4723" s="2"/>
      <c r="H4723" s="2"/>
      <c r="I4723" s="2"/>
    </row>
    <row r="4724">
      <c r="A4724" s="2">
        <f>IFERROR(__xludf.DUMMYFUNCTION("""COMPUTED_VALUE"""),87540.0)</f>
        <v>87540</v>
      </c>
      <c r="B4724" s="2" t="str">
        <f>IFERROR(__xludf.DUMMYFUNCTION("""COMPUTED_VALUE"""),"Law")</f>
        <v>Law</v>
      </c>
      <c r="C4724" s="2" t="str">
        <f>IFERROR(__xludf.DUMMYFUNCTION("""COMPUTED_VALUE"""),"Portfolio Management")</f>
        <v>Portfolio Management</v>
      </c>
      <c r="D4724" s="2" t="str">
        <f>IFERROR(__xludf.DUMMYFUNCTION("""COMPUTED_VALUE"""),"Northway House")</f>
        <v>Northway House</v>
      </c>
      <c r="E4724" s="2">
        <f>IFERROR(__xludf.DUMMYFUNCTION("""COMPUTED_VALUE"""),1.98)</f>
        <v>1.98</v>
      </c>
      <c r="F4724" s="2"/>
      <c r="G4724" s="2"/>
      <c r="H4724" s="2"/>
      <c r="I4724" s="2"/>
    </row>
    <row r="4725">
      <c r="A4725" s="2">
        <f>IFERROR(__xludf.DUMMYFUNCTION("""COMPUTED_VALUE"""),77229.0)</f>
        <v>77229</v>
      </c>
      <c r="B4725" s="2" t="str">
        <f>IFERROR(__xludf.DUMMYFUNCTION("""COMPUTED_VALUE"""),"Law")</f>
        <v>Law</v>
      </c>
      <c r="C4725" s="2" t="str">
        <f>IFERROR(__xludf.DUMMYFUNCTION("""COMPUTED_VALUE"""),"Portfolio Management")</f>
        <v>Portfolio Management</v>
      </c>
      <c r="D4725" s="2" t="str">
        <f>IFERROR(__xludf.DUMMYFUNCTION("""COMPUTED_VALUE"""),"Northway House")</f>
        <v>Northway House</v>
      </c>
      <c r="E4725" s="2">
        <f>IFERROR(__xludf.DUMMYFUNCTION("""COMPUTED_VALUE"""),1.32)</f>
        <v>1.32</v>
      </c>
      <c r="F4725" s="2"/>
      <c r="G4725" s="2"/>
      <c r="H4725" s="2"/>
      <c r="I4725" s="2"/>
    </row>
    <row r="4726">
      <c r="A4726" s="2">
        <f>IFERROR(__xludf.DUMMYFUNCTION("""COMPUTED_VALUE"""),113994.0)</f>
        <v>113994</v>
      </c>
      <c r="B4726" s="2" t="str">
        <f>IFERROR(__xludf.DUMMYFUNCTION("""COMPUTED_VALUE"""),"Law")</f>
        <v>Law</v>
      </c>
      <c r="C4726" s="2" t="str">
        <f>IFERROR(__xludf.DUMMYFUNCTION("""COMPUTED_VALUE"""),"Portfolio Management")</f>
        <v>Portfolio Management</v>
      </c>
      <c r="D4726" s="2" t="str">
        <f>IFERROR(__xludf.DUMMYFUNCTION("""COMPUTED_VALUE"""),"Northway House")</f>
        <v>Northway House</v>
      </c>
      <c r="E4726" s="2">
        <f>IFERROR(__xludf.DUMMYFUNCTION("""COMPUTED_VALUE"""),2.55)</f>
        <v>2.55</v>
      </c>
      <c r="F4726" s="2"/>
      <c r="G4726" s="2"/>
      <c r="H4726" s="2"/>
      <c r="I4726" s="2"/>
    </row>
    <row r="4727">
      <c r="A4727" s="2">
        <f>IFERROR(__xludf.DUMMYFUNCTION("""COMPUTED_VALUE"""),106725.0)</f>
        <v>106725</v>
      </c>
      <c r="B4727" s="2" t="str">
        <f>IFERROR(__xludf.DUMMYFUNCTION("""COMPUTED_VALUE"""),"Law")</f>
        <v>Law</v>
      </c>
      <c r="C4727" s="2" t="str">
        <f>IFERROR(__xludf.DUMMYFUNCTION("""COMPUTED_VALUE"""),"Portfolio Management")</f>
        <v>Portfolio Management</v>
      </c>
      <c r="D4727" s="2" t="str">
        <f>IFERROR(__xludf.DUMMYFUNCTION("""COMPUTED_VALUE"""),"Northway House")</f>
        <v>Northway House</v>
      </c>
      <c r="E4727" s="2">
        <f>IFERROR(__xludf.DUMMYFUNCTION("""COMPUTED_VALUE"""),1.81)</f>
        <v>1.81</v>
      </c>
      <c r="F4727" s="2"/>
      <c r="G4727" s="2"/>
      <c r="H4727" s="2"/>
      <c r="I4727" s="2"/>
    </row>
    <row r="4728">
      <c r="A4728" s="2">
        <f>IFERROR(__xludf.DUMMYFUNCTION("""COMPUTED_VALUE"""),43235.0)</f>
        <v>43235</v>
      </c>
      <c r="B4728" s="2" t="str">
        <f>IFERROR(__xludf.DUMMYFUNCTION("""COMPUTED_VALUE"""),"Law")</f>
        <v>Law</v>
      </c>
      <c r="C4728" s="2" t="str">
        <f>IFERROR(__xludf.DUMMYFUNCTION("""COMPUTED_VALUE"""),"Portfolio Management")</f>
        <v>Portfolio Management</v>
      </c>
      <c r="D4728" s="2" t="str">
        <f>IFERROR(__xludf.DUMMYFUNCTION("""COMPUTED_VALUE"""),"Northway House")</f>
        <v>Northway House</v>
      </c>
      <c r="E4728" s="2">
        <f>IFERROR(__xludf.DUMMYFUNCTION("""COMPUTED_VALUE"""),2.75)</f>
        <v>2.75</v>
      </c>
      <c r="F4728" s="2"/>
      <c r="G4728" s="2"/>
      <c r="H4728" s="2"/>
      <c r="I4728" s="2"/>
    </row>
    <row r="4729">
      <c r="A4729" s="2">
        <f>IFERROR(__xludf.DUMMYFUNCTION("""COMPUTED_VALUE"""),118176.0)</f>
        <v>118176</v>
      </c>
      <c r="B4729" s="2" t="str">
        <f>IFERROR(__xludf.DUMMYFUNCTION("""COMPUTED_VALUE"""),"Law")</f>
        <v>Law</v>
      </c>
      <c r="C4729" s="2" t="str">
        <f>IFERROR(__xludf.DUMMYFUNCTION("""COMPUTED_VALUE"""),"Portfolio Management")</f>
        <v>Portfolio Management</v>
      </c>
      <c r="D4729" s="2" t="str">
        <f>IFERROR(__xludf.DUMMYFUNCTION("""COMPUTED_VALUE"""),"Northway House")</f>
        <v>Northway House</v>
      </c>
      <c r="E4729" s="2">
        <f>IFERROR(__xludf.DUMMYFUNCTION("""COMPUTED_VALUE"""),2.3)</f>
        <v>2.3</v>
      </c>
      <c r="F4729" s="2"/>
      <c r="G4729" s="2"/>
      <c r="H4729" s="2"/>
      <c r="I4729" s="2"/>
    </row>
    <row r="4730">
      <c r="A4730" s="2">
        <f>IFERROR(__xludf.DUMMYFUNCTION("""COMPUTED_VALUE"""),114018.0)</f>
        <v>114018</v>
      </c>
      <c r="B4730" s="2" t="str">
        <f>IFERROR(__xludf.DUMMYFUNCTION("""COMPUTED_VALUE"""),"Law")</f>
        <v>Law</v>
      </c>
      <c r="C4730" s="2" t="str">
        <f>IFERROR(__xludf.DUMMYFUNCTION("""COMPUTED_VALUE"""),"Portfolio Management")</f>
        <v>Portfolio Management</v>
      </c>
      <c r="D4730" s="2" t="str">
        <f>IFERROR(__xludf.DUMMYFUNCTION("""COMPUTED_VALUE"""),"Northway House")</f>
        <v>Northway House</v>
      </c>
      <c r="E4730" s="2">
        <f>IFERROR(__xludf.DUMMYFUNCTION("""COMPUTED_VALUE"""),1.68)</f>
        <v>1.68</v>
      </c>
      <c r="F4730" s="2"/>
      <c r="G4730" s="2"/>
      <c r="H4730" s="2"/>
      <c r="I4730" s="2"/>
    </row>
    <row r="4731">
      <c r="A4731" s="2">
        <f>IFERROR(__xludf.DUMMYFUNCTION("""COMPUTED_VALUE"""),116480.0)</f>
        <v>116480</v>
      </c>
      <c r="B4731" s="2" t="str">
        <f>IFERROR(__xludf.DUMMYFUNCTION("""COMPUTED_VALUE"""),"Law")</f>
        <v>Law</v>
      </c>
      <c r="C4731" s="2" t="str">
        <f>IFERROR(__xludf.DUMMYFUNCTION("""COMPUTED_VALUE"""),"Portfolio Management")</f>
        <v>Portfolio Management</v>
      </c>
      <c r="D4731" s="2" t="str">
        <f>IFERROR(__xludf.DUMMYFUNCTION("""COMPUTED_VALUE"""),"Northway House")</f>
        <v>Northway House</v>
      </c>
      <c r="E4731" s="2">
        <f>IFERROR(__xludf.DUMMYFUNCTION("""COMPUTED_VALUE"""),1.56)</f>
        <v>1.56</v>
      </c>
      <c r="F4731" s="2"/>
      <c r="G4731" s="2"/>
      <c r="H4731" s="2"/>
      <c r="I4731" s="2"/>
    </row>
    <row r="4732">
      <c r="A4732" s="2">
        <f>IFERROR(__xludf.DUMMYFUNCTION("""COMPUTED_VALUE"""),120577.0)</f>
        <v>120577</v>
      </c>
      <c r="B4732" s="2" t="str">
        <f>IFERROR(__xludf.DUMMYFUNCTION("""COMPUTED_VALUE"""),"Law")</f>
        <v>Law</v>
      </c>
      <c r="C4732" s="2" t="str">
        <f>IFERROR(__xludf.DUMMYFUNCTION("""COMPUTED_VALUE"""),"Portfolio Management")</f>
        <v>Portfolio Management</v>
      </c>
      <c r="D4732" s="2" t="str">
        <f>IFERROR(__xludf.DUMMYFUNCTION("""COMPUTED_VALUE"""),"Northway House")</f>
        <v>Northway House</v>
      </c>
      <c r="E4732" s="2">
        <f>IFERROR(__xludf.DUMMYFUNCTION("""COMPUTED_VALUE"""),2.23)</f>
        <v>2.23</v>
      </c>
      <c r="F4732" s="2"/>
      <c r="G4732" s="2"/>
      <c r="H4732" s="2"/>
      <c r="I4732" s="2"/>
    </row>
    <row r="4733">
      <c r="A4733" s="2">
        <f>IFERROR(__xludf.DUMMYFUNCTION("""COMPUTED_VALUE"""),118201.0)</f>
        <v>118201</v>
      </c>
      <c r="B4733" s="2" t="str">
        <f>IFERROR(__xludf.DUMMYFUNCTION("""COMPUTED_VALUE"""),"Law")</f>
        <v>Law</v>
      </c>
      <c r="C4733" s="2" t="str">
        <f>IFERROR(__xludf.DUMMYFUNCTION("""COMPUTED_VALUE"""),"Portfolio Management")</f>
        <v>Portfolio Management</v>
      </c>
      <c r="D4733" s="2" t="str">
        <f>IFERROR(__xludf.DUMMYFUNCTION("""COMPUTED_VALUE"""),"Northway House")</f>
        <v>Northway House</v>
      </c>
      <c r="E4733" s="2">
        <f>IFERROR(__xludf.DUMMYFUNCTION("""COMPUTED_VALUE"""),2.71)</f>
        <v>2.71</v>
      </c>
      <c r="F4733" s="2"/>
      <c r="G4733" s="2"/>
      <c r="H4733" s="2"/>
      <c r="I4733" s="2"/>
    </row>
    <row r="4734">
      <c r="A4734" s="2">
        <f>IFERROR(__xludf.DUMMYFUNCTION("""COMPUTED_VALUE"""),77245.0)</f>
        <v>77245</v>
      </c>
      <c r="B4734" s="2" t="str">
        <f>IFERROR(__xludf.DUMMYFUNCTION("""COMPUTED_VALUE"""),"Law")</f>
        <v>Law</v>
      </c>
      <c r="C4734" s="2" t="str">
        <f>IFERROR(__xludf.DUMMYFUNCTION("""COMPUTED_VALUE"""),"Portfolio Management")</f>
        <v>Portfolio Management</v>
      </c>
      <c r="D4734" s="2" t="str">
        <f>IFERROR(__xludf.DUMMYFUNCTION("""COMPUTED_VALUE"""),"Northway House")</f>
        <v>Northway House</v>
      </c>
      <c r="E4734" s="2">
        <f>IFERROR(__xludf.DUMMYFUNCTION("""COMPUTED_VALUE"""),1.47)</f>
        <v>1.47</v>
      </c>
      <c r="F4734" s="2"/>
      <c r="G4734" s="2"/>
      <c r="H4734" s="2"/>
      <c r="I4734" s="2"/>
    </row>
    <row r="4735">
      <c r="A4735" s="2">
        <f>IFERROR(__xludf.DUMMYFUNCTION("""COMPUTED_VALUE"""),118195.0)</f>
        <v>118195</v>
      </c>
      <c r="B4735" s="2" t="str">
        <f>IFERROR(__xludf.DUMMYFUNCTION("""COMPUTED_VALUE"""),"Law")</f>
        <v>Law</v>
      </c>
      <c r="C4735" s="2" t="str">
        <f>IFERROR(__xludf.DUMMYFUNCTION("""COMPUTED_VALUE"""),"Portfolio Management")</f>
        <v>Portfolio Management</v>
      </c>
      <c r="D4735" s="2" t="str">
        <f>IFERROR(__xludf.DUMMYFUNCTION("""COMPUTED_VALUE"""),"Northway House")</f>
        <v>Northway House</v>
      </c>
      <c r="E4735" s="2">
        <f>IFERROR(__xludf.DUMMYFUNCTION("""COMPUTED_VALUE"""),2.16)</f>
        <v>2.16</v>
      </c>
      <c r="F4735" s="2"/>
      <c r="G4735" s="2"/>
      <c r="H4735" s="2"/>
      <c r="I4735" s="2"/>
    </row>
    <row r="4736">
      <c r="A4736" s="2">
        <f>IFERROR(__xludf.DUMMYFUNCTION("""COMPUTED_VALUE"""),118197.0)</f>
        <v>118197</v>
      </c>
      <c r="B4736" s="2" t="str">
        <f>IFERROR(__xludf.DUMMYFUNCTION("""COMPUTED_VALUE"""),"Law")</f>
        <v>Law</v>
      </c>
      <c r="C4736" s="2" t="str">
        <f>IFERROR(__xludf.DUMMYFUNCTION("""COMPUTED_VALUE"""),"Portfolio Management")</f>
        <v>Portfolio Management</v>
      </c>
      <c r="D4736" s="2" t="str">
        <f>IFERROR(__xludf.DUMMYFUNCTION("""COMPUTED_VALUE"""),"Northway House")</f>
        <v>Northway House</v>
      </c>
      <c r="E4736" s="2">
        <f>IFERROR(__xludf.DUMMYFUNCTION("""COMPUTED_VALUE"""),1.92)</f>
        <v>1.92</v>
      </c>
      <c r="F4736" s="2"/>
      <c r="G4736" s="2"/>
      <c r="H4736" s="2"/>
      <c r="I4736" s="2"/>
    </row>
    <row r="4737">
      <c r="A4737" s="2">
        <f>IFERROR(__xludf.DUMMYFUNCTION("""COMPUTED_VALUE"""),187317.0)</f>
        <v>187317</v>
      </c>
      <c r="B4737" s="2" t="str">
        <f>IFERROR(__xludf.DUMMYFUNCTION("""COMPUTED_VALUE"""),"Law")</f>
        <v>Law</v>
      </c>
      <c r="C4737" s="2" t="str">
        <f>IFERROR(__xludf.DUMMYFUNCTION("""COMPUTED_VALUE"""),"Portfolio Management")</f>
        <v>Portfolio Management</v>
      </c>
      <c r="D4737" s="2" t="str">
        <f>IFERROR(__xludf.DUMMYFUNCTION("""COMPUTED_VALUE"""),"Northway House")</f>
        <v>Northway House</v>
      </c>
      <c r="E4737" s="2">
        <f>IFERROR(__xludf.DUMMYFUNCTION("""COMPUTED_VALUE"""),1.98)</f>
        <v>1.98</v>
      </c>
      <c r="F4737" s="2"/>
      <c r="G4737" s="2"/>
      <c r="H4737" s="2"/>
      <c r="I4737" s="2"/>
    </row>
    <row r="4738">
      <c r="A4738" s="2">
        <f>IFERROR(__xludf.DUMMYFUNCTION("""COMPUTED_VALUE"""),199484.0)</f>
        <v>199484</v>
      </c>
      <c r="B4738" s="2" t="str">
        <f>IFERROR(__xludf.DUMMYFUNCTION("""COMPUTED_VALUE"""),"Law")</f>
        <v>Law</v>
      </c>
      <c r="C4738" s="2" t="str">
        <f>IFERROR(__xludf.DUMMYFUNCTION("""COMPUTED_VALUE"""),"Portfolio Management")</f>
        <v>Portfolio Management</v>
      </c>
      <c r="D4738" s="2" t="str">
        <f>IFERROR(__xludf.DUMMYFUNCTION("""COMPUTED_VALUE"""),"Northway House")</f>
        <v>Northway House</v>
      </c>
      <c r="E4738" s="2">
        <f>IFERROR(__xludf.DUMMYFUNCTION("""COMPUTED_VALUE"""),2.88)</f>
        <v>2.88</v>
      </c>
      <c r="F4738" s="2"/>
      <c r="G4738" s="2"/>
      <c r="H4738" s="2"/>
      <c r="I4738" s="2"/>
    </row>
    <row r="4739">
      <c r="A4739" s="2">
        <f>IFERROR(__xludf.DUMMYFUNCTION("""COMPUTED_VALUE"""),113995.0)</f>
        <v>113995</v>
      </c>
      <c r="B4739" s="2" t="str">
        <f>IFERROR(__xludf.DUMMYFUNCTION("""COMPUTED_VALUE"""),"Law")</f>
        <v>Law</v>
      </c>
      <c r="C4739" s="2" t="str">
        <f>IFERROR(__xludf.DUMMYFUNCTION("""COMPUTED_VALUE"""),"Portfolio Management")</f>
        <v>Portfolio Management</v>
      </c>
      <c r="D4739" s="2" t="str">
        <f>IFERROR(__xludf.DUMMYFUNCTION("""COMPUTED_VALUE"""),"Northway House")</f>
        <v>Northway House</v>
      </c>
      <c r="E4739" s="2">
        <f>IFERROR(__xludf.DUMMYFUNCTION("""COMPUTED_VALUE"""),1.74)</f>
        <v>1.74</v>
      </c>
      <c r="F4739" s="2"/>
      <c r="G4739" s="2"/>
      <c r="H4739" s="2"/>
      <c r="I4739" s="2"/>
    </row>
    <row r="4740">
      <c r="A4740" s="2">
        <f>IFERROR(__xludf.DUMMYFUNCTION("""COMPUTED_VALUE"""),113669.0)</f>
        <v>113669</v>
      </c>
      <c r="B4740" s="2" t="str">
        <f>IFERROR(__xludf.DUMMYFUNCTION("""COMPUTED_VALUE"""),"Law")</f>
        <v>Law</v>
      </c>
      <c r="C4740" s="2" t="str">
        <f>IFERROR(__xludf.DUMMYFUNCTION("""COMPUTED_VALUE"""),"Portfolio Management")</f>
        <v>Portfolio Management</v>
      </c>
      <c r="D4740" s="2" t="str">
        <f>IFERROR(__xludf.DUMMYFUNCTION("""COMPUTED_VALUE"""),"Harborway House")</f>
        <v>Harborway House</v>
      </c>
      <c r="E4740" s="2">
        <f>IFERROR(__xludf.DUMMYFUNCTION("""COMPUTED_VALUE"""),3.19)</f>
        <v>3.19</v>
      </c>
      <c r="F4740" s="2"/>
      <c r="G4740" s="2"/>
      <c r="H4740" s="2"/>
      <c r="I4740" s="2"/>
    </row>
    <row r="4741">
      <c r="A4741" s="2">
        <f>IFERROR(__xludf.DUMMYFUNCTION("""COMPUTED_VALUE"""),111584.0)</f>
        <v>111584</v>
      </c>
      <c r="B4741" s="2" t="str">
        <f>IFERROR(__xludf.DUMMYFUNCTION("""COMPUTED_VALUE"""),"Law")</f>
        <v>Law</v>
      </c>
      <c r="C4741" s="2" t="str">
        <f>IFERROR(__xludf.DUMMYFUNCTION("""COMPUTED_VALUE"""),"Portfolio Management")</f>
        <v>Portfolio Management</v>
      </c>
      <c r="D4741" s="2" t="str">
        <f>IFERROR(__xludf.DUMMYFUNCTION("""COMPUTED_VALUE"""),"Harborway House")</f>
        <v>Harborway House</v>
      </c>
      <c r="E4741" s="2">
        <f>IFERROR(__xludf.DUMMYFUNCTION("""COMPUTED_VALUE"""),3.06)</f>
        <v>3.06</v>
      </c>
      <c r="F4741" s="2"/>
      <c r="G4741" s="2"/>
      <c r="H4741" s="2"/>
      <c r="I4741" s="2"/>
    </row>
    <row r="4742">
      <c r="A4742" s="2">
        <f>IFERROR(__xludf.DUMMYFUNCTION("""COMPUTED_VALUE"""),26123.0)</f>
        <v>26123</v>
      </c>
      <c r="B4742" s="2" t="str">
        <f>IFERROR(__xludf.DUMMYFUNCTION("""COMPUTED_VALUE"""),"Law")</f>
        <v>Law</v>
      </c>
      <c r="C4742" s="2" t="str">
        <f>IFERROR(__xludf.DUMMYFUNCTION("""COMPUTED_VALUE"""),"Portfolio Management")</f>
        <v>Portfolio Management</v>
      </c>
      <c r="D4742" s="2" t="str">
        <f>IFERROR(__xludf.DUMMYFUNCTION("""COMPUTED_VALUE"""),"Harborway House")</f>
        <v>Harborway House</v>
      </c>
      <c r="E4742" s="2">
        <f>IFERROR(__xludf.DUMMYFUNCTION("""COMPUTED_VALUE"""),3.76)</f>
        <v>3.76</v>
      </c>
      <c r="F4742" s="2"/>
      <c r="G4742" s="2"/>
      <c r="H4742" s="2"/>
      <c r="I4742" s="2"/>
    </row>
    <row r="4743">
      <c r="A4743" s="2">
        <f>IFERROR(__xludf.DUMMYFUNCTION("""COMPUTED_VALUE"""),113665.0)</f>
        <v>113665</v>
      </c>
      <c r="B4743" s="2" t="str">
        <f>IFERROR(__xludf.DUMMYFUNCTION("""COMPUTED_VALUE"""),"Law")</f>
        <v>Law</v>
      </c>
      <c r="C4743" s="2" t="str">
        <f>IFERROR(__xludf.DUMMYFUNCTION("""COMPUTED_VALUE"""),"Portfolio Management")</f>
        <v>Portfolio Management</v>
      </c>
      <c r="D4743" s="2" t="str">
        <f>IFERROR(__xludf.DUMMYFUNCTION("""COMPUTED_VALUE"""),"Harborway House")</f>
        <v>Harborway House</v>
      </c>
      <c r="E4743" s="2">
        <f>IFERROR(__xludf.DUMMYFUNCTION("""COMPUTED_VALUE"""),2.71)</f>
        <v>2.71</v>
      </c>
      <c r="F4743" s="2"/>
      <c r="G4743" s="2"/>
      <c r="H4743" s="2"/>
      <c r="I4743" s="2"/>
    </row>
    <row r="4744">
      <c r="A4744" s="2">
        <f>IFERROR(__xludf.DUMMYFUNCTION("""COMPUTED_VALUE"""),181241.0)</f>
        <v>181241</v>
      </c>
      <c r="B4744" s="2" t="str">
        <f>IFERROR(__xludf.DUMMYFUNCTION("""COMPUTED_VALUE"""),"Law")</f>
        <v>Law</v>
      </c>
      <c r="C4744" s="2" t="str">
        <f>IFERROR(__xludf.DUMMYFUNCTION("""COMPUTED_VALUE"""),"Portfolio Management")</f>
        <v>Portfolio Management</v>
      </c>
      <c r="D4744" s="2" t="str">
        <f>IFERROR(__xludf.DUMMYFUNCTION("""COMPUTED_VALUE"""),"Harborway House")</f>
        <v>Harborway House</v>
      </c>
      <c r="E4744" s="2">
        <f>IFERROR(__xludf.DUMMYFUNCTION("""COMPUTED_VALUE"""),4.15)</f>
        <v>4.15</v>
      </c>
      <c r="F4744" s="2"/>
      <c r="G4744" s="2"/>
      <c r="H4744" s="2"/>
      <c r="I4744" s="2"/>
    </row>
    <row r="4745">
      <c r="A4745" s="2">
        <f>IFERROR(__xludf.DUMMYFUNCTION("""COMPUTED_VALUE"""),113664.0)</f>
        <v>113664</v>
      </c>
      <c r="B4745" s="2" t="str">
        <f>IFERROR(__xludf.DUMMYFUNCTION("""COMPUTED_VALUE"""),"Law")</f>
        <v>Law</v>
      </c>
      <c r="C4745" s="2" t="str">
        <f>IFERROR(__xludf.DUMMYFUNCTION("""COMPUTED_VALUE"""),"Portfolio Management")</f>
        <v>Portfolio Management</v>
      </c>
      <c r="D4745" s="2" t="str">
        <f>IFERROR(__xludf.DUMMYFUNCTION("""COMPUTED_VALUE"""),"Harborway House")</f>
        <v>Harborway House</v>
      </c>
      <c r="E4745" s="2">
        <f>IFERROR(__xludf.DUMMYFUNCTION("""COMPUTED_VALUE"""),3.3)</f>
        <v>3.3</v>
      </c>
      <c r="F4745" s="2"/>
      <c r="G4745" s="2"/>
      <c r="H4745" s="2"/>
      <c r="I4745" s="2"/>
    </row>
    <row r="4746">
      <c r="A4746" s="2">
        <f>IFERROR(__xludf.DUMMYFUNCTION("""COMPUTED_VALUE"""),113677.0)</f>
        <v>113677</v>
      </c>
      <c r="B4746" s="2" t="str">
        <f>IFERROR(__xludf.DUMMYFUNCTION("""COMPUTED_VALUE"""),"Law")</f>
        <v>Law</v>
      </c>
      <c r="C4746" s="2" t="str">
        <f>IFERROR(__xludf.DUMMYFUNCTION("""COMPUTED_VALUE"""),"Portfolio Management")</f>
        <v>Portfolio Management</v>
      </c>
      <c r="D4746" s="2" t="str">
        <f>IFERROR(__xludf.DUMMYFUNCTION("""COMPUTED_VALUE"""),"Harborway House")</f>
        <v>Harborway House</v>
      </c>
      <c r="E4746" s="2">
        <f>IFERROR(__xludf.DUMMYFUNCTION("""COMPUTED_VALUE"""),2.69)</f>
        <v>2.69</v>
      </c>
      <c r="F4746" s="2"/>
      <c r="G4746" s="2"/>
      <c r="H4746" s="2"/>
      <c r="I4746" s="2"/>
    </row>
    <row r="4747">
      <c r="A4747" s="2">
        <f>IFERROR(__xludf.DUMMYFUNCTION("""COMPUTED_VALUE"""),120343.0)</f>
        <v>120343</v>
      </c>
      <c r="B4747" s="2" t="str">
        <f>IFERROR(__xludf.DUMMYFUNCTION("""COMPUTED_VALUE"""),"Law")</f>
        <v>Law</v>
      </c>
      <c r="C4747" s="2" t="str">
        <f>IFERROR(__xludf.DUMMYFUNCTION("""COMPUTED_VALUE"""),"Portfolio Management")</f>
        <v>Portfolio Management</v>
      </c>
      <c r="D4747" s="2" t="str">
        <f>IFERROR(__xludf.DUMMYFUNCTION("""COMPUTED_VALUE"""),"Harborway House")</f>
        <v>Harborway House</v>
      </c>
      <c r="E4747" s="2">
        <f>IFERROR(__xludf.DUMMYFUNCTION("""COMPUTED_VALUE"""),2.3)</f>
        <v>2.3</v>
      </c>
      <c r="F4747" s="2"/>
      <c r="G4747" s="2"/>
      <c r="H4747" s="2"/>
      <c r="I4747" s="2"/>
    </row>
    <row r="4748">
      <c r="A4748" s="2">
        <f>IFERROR(__xludf.DUMMYFUNCTION("""COMPUTED_VALUE"""),113666.0)</f>
        <v>113666</v>
      </c>
      <c r="B4748" s="2" t="str">
        <f>IFERROR(__xludf.DUMMYFUNCTION("""COMPUTED_VALUE"""),"Law")</f>
        <v>Law</v>
      </c>
      <c r="C4748" s="2" t="str">
        <f>IFERROR(__xludf.DUMMYFUNCTION("""COMPUTED_VALUE"""),"Portfolio Management")</f>
        <v>Portfolio Management</v>
      </c>
      <c r="D4748" s="2" t="str">
        <f>IFERROR(__xludf.DUMMYFUNCTION("""COMPUTED_VALUE"""),"Harborway House")</f>
        <v>Harborway House</v>
      </c>
      <c r="E4748" s="2">
        <f>IFERROR(__xludf.DUMMYFUNCTION("""COMPUTED_VALUE"""),4.72)</f>
        <v>4.72</v>
      </c>
      <c r="F4748" s="2"/>
      <c r="G4748" s="2"/>
      <c r="H4748" s="2"/>
      <c r="I4748" s="2"/>
    </row>
    <row r="4749">
      <c r="A4749" s="2">
        <f>IFERROR(__xludf.DUMMYFUNCTION("""COMPUTED_VALUE"""),113663.0)</f>
        <v>113663</v>
      </c>
      <c r="B4749" s="2" t="str">
        <f>IFERROR(__xludf.DUMMYFUNCTION("""COMPUTED_VALUE"""),"Law")</f>
        <v>Law</v>
      </c>
      <c r="C4749" s="2" t="str">
        <f>IFERROR(__xludf.DUMMYFUNCTION("""COMPUTED_VALUE"""),"Portfolio Management")</f>
        <v>Portfolio Management</v>
      </c>
      <c r="D4749" s="2" t="str">
        <f>IFERROR(__xludf.DUMMYFUNCTION("""COMPUTED_VALUE"""),"Harborway House")</f>
        <v>Harborway House</v>
      </c>
      <c r="E4749" s="2">
        <f>IFERROR(__xludf.DUMMYFUNCTION("""COMPUTED_VALUE"""),3.01)</f>
        <v>3.01</v>
      </c>
      <c r="F4749" s="2"/>
      <c r="G4749" s="2"/>
      <c r="H4749" s="2"/>
      <c r="I4749" s="2"/>
    </row>
    <row r="4750">
      <c r="A4750" s="2">
        <f>IFERROR(__xludf.DUMMYFUNCTION("""COMPUTED_VALUE"""),116983.0)</f>
        <v>116983</v>
      </c>
      <c r="B4750" s="2" t="str">
        <f>IFERROR(__xludf.DUMMYFUNCTION("""COMPUTED_VALUE"""),"Sports")</f>
        <v>Sports</v>
      </c>
      <c r="C4750" s="2" t="str">
        <f>IFERROR(__xludf.DUMMYFUNCTION("""COMPUTED_VALUE"""),"Venture Capital")</f>
        <v>Venture Capital</v>
      </c>
      <c r="D4750" s="2" t="str">
        <f>IFERROR(__xludf.DUMMYFUNCTION("""COMPUTED_VALUE"""),"Cedarway House")</f>
        <v>Cedarway House</v>
      </c>
      <c r="E4750" s="2">
        <f>IFERROR(__xludf.DUMMYFUNCTION("""COMPUTED_VALUE"""),8.92)</f>
        <v>8.92</v>
      </c>
      <c r="F4750" s="2"/>
      <c r="G4750" s="2"/>
      <c r="H4750" s="2"/>
      <c r="I4750" s="2"/>
    </row>
    <row r="4751">
      <c r="A4751" s="2">
        <f>IFERROR(__xludf.DUMMYFUNCTION("""COMPUTED_VALUE"""),94043.0)</f>
        <v>94043</v>
      </c>
      <c r="B4751" s="2" t="str">
        <f>IFERROR(__xludf.DUMMYFUNCTION("""COMPUTED_VALUE"""),"Sports")</f>
        <v>Sports</v>
      </c>
      <c r="C4751" s="2" t="str">
        <f>IFERROR(__xludf.DUMMYFUNCTION("""COMPUTED_VALUE"""),"Venture Capital")</f>
        <v>Venture Capital</v>
      </c>
      <c r="D4751" s="2" t="str">
        <f>IFERROR(__xludf.DUMMYFUNCTION("""COMPUTED_VALUE"""),"Cedarway House")</f>
        <v>Cedarway House</v>
      </c>
      <c r="E4751" s="2">
        <f>IFERROR(__xludf.DUMMYFUNCTION("""COMPUTED_VALUE"""),6.6)</f>
        <v>6.6</v>
      </c>
      <c r="F4751" s="2"/>
      <c r="G4751" s="2"/>
      <c r="H4751" s="2"/>
      <c r="I4751" s="2"/>
    </row>
    <row r="4752">
      <c r="A4752" s="2">
        <f>IFERROR(__xludf.DUMMYFUNCTION("""COMPUTED_VALUE"""),68216.0)</f>
        <v>68216</v>
      </c>
      <c r="B4752" s="2" t="str">
        <f>IFERROR(__xludf.DUMMYFUNCTION("""COMPUTED_VALUE"""),"Sports")</f>
        <v>Sports</v>
      </c>
      <c r="C4752" s="2" t="str">
        <f>IFERROR(__xludf.DUMMYFUNCTION("""COMPUTED_VALUE"""),"Venture Capital")</f>
        <v>Venture Capital</v>
      </c>
      <c r="D4752" s="2" t="str">
        <f>IFERROR(__xludf.DUMMYFUNCTION("""COMPUTED_VALUE"""),"Cedarway House")</f>
        <v>Cedarway House</v>
      </c>
      <c r="E4752" s="2">
        <f>IFERROR(__xludf.DUMMYFUNCTION("""COMPUTED_VALUE"""),8.38)</f>
        <v>8.38</v>
      </c>
      <c r="F4752" s="2"/>
      <c r="G4752" s="2"/>
      <c r="H4752" s="2"/>
      <c r="I4752" s="2"/>
    </row>
    <row r="4753">
      <c r="A4753" s="2">
        <f>IFERROR(__xludf.DUMMYFUNCTION("""COMPUTED_VALUE"""),80131.0)</f>
        <v>80131</v>
      </c>
      <c r="B4753" s="2" t="str">
        <f>IFERROR(__xludf.DUMMYFUNCTION("""COMPUTED_VALUE"""),"Sports")</f>
        <v>Sports</v>
      </c>
      <c r="C4753" s="2" t="str">
        <f>IFERROR(__xludf.DUMMYFUNCTION("""COMPUTED_VALUE"""),"Venture Capital")</f>
        <v>Venture Capital</v>
      </c>
      <c r="D4753" s="2" t="str">
        <f>IFERROR(__xludf.DUMMYFUNCTION("""COMPUTED_VALUE"""),"Cedarway House")</f>
        <v>Cedarway House</v>
      </c>
      <c r="E4753" s="2">
        <f>IFERROR(__xludf.DUMMYFUNCTION("""COMPUTED_VALUE"""),6.73)</f>
        <v>6.73</v>
      </c>
      <c r="F4753" s="2"/>
      <c r="G4753" s="2"/>
      <c r="H4753" s="2"/>
      <c r="I4753" s="2"/>
    </row>
    <row r="4754">
      <c r="A4754" s="2">
        <f>IFERROR(__xludf.DUMMYFUNCTION("""COMPUTED_VALUE"""),80998.0)</f>
        <v>80998</v>
      </c>
      <c r="B4754" s="2" t="str">
        <f>IFERROR(__xludf.DUMMYFUNCTION("""COMPUTED_VALUE"""),"Sports")</f>
        <v>Sports</v>
      </c>
      <c r="C4754" s="2" t="str">
        <f>IFERROR(__xludf.DUMMYFUNCTION("""COMPUTED_VALUE"""),"Venture Capital")</f>
        <v>Venture Capital</v>
      </c>
      <c r="D4754" s="2" t="str">
        <f>IFERROR(__xludf.DUMMYFUNCTION("""COMPUTED_VALUE"""),"Cedarway House")</f>
        <v>Cedarway House</v>
      </c>
      <c r="E4754" s="2">
        <f>IFERROR(__xludf.DUMMYFUNCTION("""COMPUTED_VALUE"""),17.88)</f>
        <v>17.88</v>
      </c>
      <c r="F4754" s="2"/>
      <c r="G4754" s="2"/>
      <c r="H4754" s="2"/>
      <c r="I4754" s="2"/>
    </row>
    <row r="4755">
      <c r="A4755" s="2">
        <f>IFERROR(__xludf.DUMMYFUNCTION("""COMPUTED_VALUE"""),87014.0)</f>
        <v>87014</v>
      </c>
      <c r="B4755" s="2" t="str">
        <f>IFERROR(__xludf.DUMMYFUNCTION("""COMPUTED_VALUE"""),"Sports")</f>
        <v>Sports</v>
      </c>
      <c r="C4755" s="2" t="str">
        <f>IFERROR(__xludf.DUMMYFUNCTION("""COMPUTED_VALUE"""),"Venture Capital")</f>
        <v>Venture Capital</v>
      </c>
      <c r="D4755" s="2" t="str">
        <f>IFERROR(__xludf.DUMMYFUNCTION("""COMPUTED_VALUE"""),"Cedarway House")</f>
        <v>Cedarway House</v>
      </c>
      <c r="E4755" s="2">
        <f>IFERROR(__xludf.DUMMYFUNCTION("""COMPUTED_VALUE"""),12.52)</f>
        <v>12.52</v>
      </c>
      <c r="F4755" s="2"/>
      <c r="G4755" s="2"/>
      <c r="H4755" s="2"/>
      <c r="I4755" s="2"/>
    </row>
    <row r="4756">
      <c r="A4756" s="2">
        <f>IFERROR(__xludf.DUMMYFUNCTION("""COMPUTED_VALUE"""),102900.0)</f>
        <v>102900</v>
      </c>
      <c r="B4756" s="2" t="str">
        <f>IFERROR(__xludf.DUMMYFUNCTION("""COMPUTED_VALUE"""),"Sports")</f>
        <v>Sports</v>
      </c>
      <c r="C4756" s="2" t="str">
        <f>IFERROR(__xludf.DUMMYFUNCTION("""COMPUTED_VALUE"""),"Venture Capital")</f>
        <v>Venture Capital</v>
      </c>
      <c r="D4756" s="2" t="str">
        <f>IFERROR(__xludf.DUMMYFUNCTION("""COMPUTED_VALUE"""),"Cedarway House")</f>
        <v>Cedarway House</v>
      </c>
      <c r="E4756" s="2">
        <f>IFERROR(__xludf.DUMMYFUNCTION("""COMPUTED_VALUE"""),10.09)</f>
        <v>10.09</v>
      </c>
      <c r="F4756" s="2"/>
      <c r="G4756" s="2"/>
      <c r="H4756" s="2"/>
      <c r="I4756" s="2"/>
    </row>
    <row r="4757">
      <c r="A4757" s="2">
        <f>IFERROR(__xludf.DUMMYFUNCTION("""COMPUTED_VALUE"""),80997.0)</f>
        <v>80997</v>
      </c>
      <c r="B4757" s="2" t="str">
        <f>IFERROR(__xludf.DUMMYFUNCTION("""COMPUTED_VALUE"""),"Sports")</f>
        <v>Sports</v>
      </c>
      <c r="C4757" s="2" t="str">
        <f>IFERROR(__xludf.DUMMYFUNCTION("""COMPUTED_VALUE"""),"Venture Capital")</f>
        <v>Venture Capital</v>
      </c>
      <c r="D4757" s="2" t="str">
        <f>IFERROR(__xludf.DUMMYFUNCTION("""COMPUTED_VALUE"""),"Cedarway House")</f>
        <v>Cedarway House</v>
      </c>
      <c r="E4757" s="2">
        <f>IFERROR(__xludf.DUMMYFUNCTION("""COMPUTED_VALUE"""),11.73)</f>
        <v>11.73</v>
      </c>
      <c r="F4757" s="2"/>
      <c r="G4757" s="2"/>
      <c r="H4757" s="2"/>
      <c r="I4757" s="2"/>
    </row>
    <row r="4758">
      <c r="A4758" s="2">
        <f>IFERROR(__xludf.DUMMYFUNCTION("""COMPUTED_VALUE"""),116989.0)</f>
        <v>116989</v>
      </c>
      <c r="B4758" s="2" t="str">
        <f>IFERROR(__xludf.DUMMYFUNCTION("""COMPUTED_VALUE"""),"Sports")</f>
        <v>Sports</v>
      </c>
      <c r="C4758" s="2" t="str">
        <f>IFERROR(__xludf.DUMMYFUNCTION("""COMPUTED_VALUE"""),"Venture Capital")</f>
        <v>Venture Capital</v>
      </c>
      <c r="D4758" s="2" t="str">
        <f>IFERROR(__xludf.DUMMYFUNCTION("""COMPUTED_VALUE"""),"Cedarway House")</f>
        <v>Cedarway House</v>
      </c>
      <c r="E4758" s="2">
        <f>IFERROR(__xludf.DUMMYFUNCTION("""COMPUTED_VALUE"""),13.18)</f>
        <v>13.18</v>
      </c>
      <c r="F4758" s="2"/>
      <c r="G4758" s="2"/>
      <c r="H4758" s="2"/>
      <c r="I4758" s="2"/>
    </row>
    <row r="4759">
      <c r="A4759" s="2">
        <f>IFERROR(__xludf.DUMMYFUNCTION("""COMPUTED_VALUE"""),43826.0)</f>
        <v>43826</v>
      </c>
      <c r="B4759" s="2" t="str">
        <f>IFERROR(__xludf.DUMMYFUNCTION("""COMPUTED_VALUE"""),"Sports")</f>
        <v>Sports</v>
      </c>
      <c r="C4759" s="2" t="str">
        <f>IFERROR(__xludf.DUMMYFUNCTION("""COMPUTED_VALUE"""),"Venture Capital")</f>
        <v>Venture Capital</v>
      </c>
      <c r="D4759" s="2" t="str">
        <f>IFERROR(__xludf.DUMMYFUNCTION("""COMPUTED_VALUE"""),"Cedarway House")</f>
        <v>Cedarway House</v>
      </c>
      <c r="E4759" s="2">
        <f>IFERROR(__xludf.DUMMYFUNCTION("""COMPUTED_VALUE"""),10.09)</f>
        <v>10.09</v>
      </c>
      <c r="F4759" s="2"/>
      <c r="G4759" s="2"/>
      <c r="H4759" s="2"/>
      <c r="I4759" s="2"/>
    </row>
    <row r="4760">
      <c r="A4760" s="2">
        <f>IFERROR(__xludf.DUMMYFUNCTION("""COMPUTED_VALUE"""),8769.0)</f>
        <v>8769</v>
      </c>
      <c r="B4760" s="2" t="str">
        <f>IFERROR(__xludf.DUMMYFUNCTION("""COMPUTED_VALUE"""),"Sports")</f>
        <v>Sports</v>
      </c>
      <c r="C4760" s="2" t="str">
        <f>IFERROR(__xludf.DUMMYFUNCTION("""COMPUTED_VALUE"""),"Venture Capital")</f>
        <v>Venture Capital</v>
      </c>
      <c r="D4760" s="2" t="str">
        <f>IFERROR(__xludf.DUMMYFUNCTION("""COMPUTED_VALUE"""),"Cedarway House")</f>
        <v>Cedarway House</v>
      </c>
      <c r="E4760" s="2">
        <f>IFERROR(__xludf.DUMMYFUNCTION("""COMPUTED_VALUE"""),22.18)</f>
        <v>22.18</v>
      </c>
      <c r="F4760" s="2"/>
      <c r="G4760" s="2"/>
      <c r="H4760" s="2"/>
      <c r="I4760" s="2"/>
    </row>
    <row r="4761">
      <c r="A4761" s="2">
        <f>IFERROR(__xludf.DUMMYFUNCTION("""COMPUTED_VALUE"""),104427.0)</f>
        <v>104427</v>
      </c>
      <c r="B4761" s="2" t="str">
        <f>IFERROR(__xludf.DUMMYFUNCTION("""COMPUTED_VALUE"""),"Sports")</f>
        <v>Sports</v>
      </c>
      <c r="C4761" s="2" t="str">
        <f>IFERROR(__xludf.DUMMYFUNCTION("""COMPUTED_VALUE"""),"Venture Capital")</f>
        <v>Venture Capital</v>
      </c>
      <c r="D4761" s="2" t="str">
        <f>IFERROR(__xludf.DUMMYFUNCTION("""COMPUTED_VALUE"""),"Cedarway House")</f>
        <v>Cedarway House</v>
      </c>
      <c r="E4761" s="2">
        <f>IFERROR(__xludf.DUMMYFUNCTION("""COMPUTED_VALUE"""),5.4)</f>
        <v>5.4</v>
      </c>
      <c r="F4761" s="2"/>
      <c r="G4761" s="2"/>
      <c r="H4761" s="2"/>
      <c r="I4761" s="2"/>
    </row>
    <row r="4762">
      <c r="A4762" s="2">
        <f>IFERROR(__xludf.DUMMYFUNCTION("""COMPUTED_VALUE"""),8770.0)</f>
        <v>8770</v>
      </c>
      <c r="B4762" s="2" t="str">
        <f>IFERROR(__xludf.DUMMYFUNCTION("""COMPUTED_VALUE"""),"Sports")</f>
        <v>Sports</v>
      </c>
      <c r="C4762" s="2" t="str">
        <f>IFERROR(__xludf.DUMMYFUNCTION("""COMPUTED_VALUE"""),"Venture Capital")</f>
        <v>Venture Capital</v>
      </c>
      <c r="D4762" s="2" t="str">
        <f>IFERROR(__xludf.DUMMYFUNCTION("""COMPUTED_VALUE"""),"Cedarway House")</f>
        <v>Cedarway House</v>
      </c>
      <c r="E4762" s="2">
        <f>IFERROR(__xludf.DUMMYFUNCTION("""COMPUTED_VALUE"""),9.11)</f>
        <v>9.11</v>
      </c>
      <c r="F4762" s="2"/>
      <c r="G4762" s="2"/>
      <c r="H4762" s="2"/>
      <c r="I4762" s="2"/>
    </row>
    <row r="4763">
      <c r="A4763" s="2">
        <f>IFERROR(__xludf.DUMMYFUNCTION("""COMPUTED_VALUE"""),94930.0)</f>
        <v>94930</v>
      </c>
      <c r="B4763" s="2" t="str">
        <f>IFERROR(__xludf.DUMMYFUNCTION("""COMPUTED_VALUE"""),"Sports")</f>
        <v>Sports</v>
      </c>
      <c r="C4763" s="2" t="str">
        <f>IFERROR(__xludf.DUMMYFUNCTION("""COMPUTED_VALUE"""),"Venture Capital")</f>
        <v>Venture Capital</v>
      </c>
      <c r="D4763" s="2" t="str">
        <f>IFERROR(__xludf.DUMMYFUNCTION("""COMPUTED_VALUE"""),"Brightway House")</f>
        <v>Brightway House</v>
      </c>
      <c r="E4763" s="2">
        <f>IFERROR(__xludf.DUMMYFUNCTION("""COMPUTED_VALUE"""),11.05)</f>
        <v>11.05</v>
      </c>
      <c r="F4763" s="2"/>
      <c r="G4763" s="2"/>
      <c r="H4763" s="2"/>
      <c r="I4763" s="2"/>
    </row>
    <row r="4764">
      <c r="A4764" s="2">
        <f>IFERROR(__xludf.DUMMYFUNCTION("""COMPUTED_VALUE"""),111576.0)</f>
        <v>111576</v>
      </c>
      <c r="B4764" s="2" t="str">
        <f>IFERROR(__xludf.DUMMYFUNCTION("""COMPUTED_VALUE"""),"Sports")</f>
        <v>Sports</v>
      </c>
      <c r="C4764" s="2" t="str">
        <f>IFERROR(__xludf.DUMMYFUNCTION("""COMPUTED_VALUE"""),"Venture Capital")</f>
        <v>Venture Capital</v>
      </c>
      <c r="D4764" s="2" t="str">
        <f>IFERROR(__xludf.DUMMYFUNCTION("""COMPUTED_VALUE"""),"Brightway House")</f>
        <v>Brightway House</v>
      </c>
      <c r="E4764" s="2">
        <f>IFERROR(__xludf.DUMMYFUNCTION("""COMPUTED_VALUE"""),6.18)</f>
        <v>6.18</v>
      </c>
      <c r="F4764" s="2"/>
      <c r="G4764" s="2"/>
      <c r="H4764" s="2"/>
      <c r="I4764" s="2"/>
    </row>
    <row r="4765">
      <c r="A4765" s="2">
        <f>IFERROR(__xludf.DUMMYFUNCTION("""COMPUTED_VALUE"""),71715.0)</f>
        <v>71715</v>
      </c>
      <c r="B4765" s="2" t="str">
        <f>IFERROR(__xludf.DUMMYFUNCTION("""COMPUTED_VALUE"""),"Sports")</f>
        <v>Sports</v>
      </c>
      <c r="C4765" s="2" t="str">
        <f>IFERROR(__xludf.DUMMYFUNCTION("""COMPUTED_VALUE"""),"Venture Capital")</f>
        <v>Venture Capital</v>
      </c>
      <c r="D4765" s="2" t="str">
        <f>IFERROR(__xludf.DUMMYFUNCTION("""COMPUTED_VALUE"""),"Brightway House")</f>
        <v>Brightway House</v>
      </c>
      <c r="E4765" s="2">
        <f>IFERROR(__xludf.DUMMYFUNCTION("""COMPUTED_VALUE"""),5.57)</f>
        <v>5.57</v>
      </c>
      <c r="F4765" s="2"/>
      <c r="G4765" s="2"/>
      <c r="H4765" s="2"/>
      <c r="I4765" s="2"/>
    </row>
    <row r="4766">
      <c r="A4766" s="2">
        <f>IFERROR(__xludf.DUMMYFUNCTION("""COMPUTED_VALUE"""),71710.0)</f>
        <v>71710</v>
      </c>
      <c r="B4766" s="2" t="str">
        <f>IFERROR(__xludf.DUMMYFUNCTION("""COMPUTED_VALUE"""),"Sports")</f>
        <v>Sports</v>
      </c>
      <c r="C4766" s="2" t="str">
        <f>IFERROR(__xludf.DUMMYFUNCTION("""COMPUTED_VALUE"""),"Venture Capital")</f>
        <v>Venture Capital</v>
      </c>
      <c r="D4766" s="2" t="str">
        <f>IFERROR(__xludf.DUMMYFUNCTION("""COMPUTED_VALUE"""),"Brightway House")</f>
        <v>Brightway House</v>
      </c>
      <c r="E4766" s="2">
        <f>IFERROR(__xludf.DUMMYFUNCTION("""COMPUTED_VALUE"""),2.91)</f>
        <v>2.91</v>
      </c>
      <c r="F4766" s="2"/>
      <c r="G4766" s="2"/>
      <c r="H4766" s="2"/>
      <c r="I4766" s="2"/>
    </row>
    <row r="4767">
      <c r="A4767" s="2">
        <f>IFERROR(__xludf.DUMMYFUNCTION("""COMPUTED_VALUE"""),102790.0)</f>
        <v>102790</v>
      </c>
      <c r="B4767" s="2" t="str">
        <f>IFERROR(__xludf.DUMMYFUNCTION("""COMPUTED_VALUE"""),"Sports")</f>
        <v>Sports</v>
      </c>
      <c r="C4767" s="2" t="str">
        <f>IFERROR(__xludf.DUMMYFUNCTION("""COMPUTED_VALUE"""),"Venture Capital")</f>
        <v>Venture Capital</v>
      </c>
      <c r="D4767" s="2" t="str">
        <f>IFERROR(__xludf.DUMMYFUNCTION("""COMPUTED_VALUE"""),"Oakway House")</f>
        <v>Oakway House</v>
      </c>
      <c r="E4767" s="2">
        <f>IFERROR(__xludf.DUMMYFUNCTION("""COMPUTED_VALUE"""),7.71)</f>
        <v>7.71</v>
      </c>
      <c r="F4767" s="2"/>
      <c r="G4767" s="2"/>
      <c r="H4767" s="2"/>
      <c r="I4767" s="2"/>
    </row>
    <row r="4768">
      <c r="A4768" s="2">
        <f>IFERROR(__xludf.DUMMYFUNCTION("""COMPUTED_VALUE"""),3518.0)</f>
        <v>3518</v>
      </c>
      <c r="B4768" s="2" t="str">
        <f>IFERROR(__xludf.DUMMYFUNCTION("""COMPUTED_VALUE"""),"Sports")</f>
        <v>Sports</v>
      </c>
      <c r="C4768" s="2" t="str">
        <f>IFERROR(__xludf.DUMMYFUNCTION("""COMPUTED_VALUE"""),"Venture Capital")</f>
        <v>Venture Capital</v>
      </c>
      <c r="D4768" s="2" t="str">
        <f>IFERROR(__xludf.DUMMYFUNCTION("""COMPUTED_VALUE"""),"Oakway House")</f>
        <v>Oakway House</v>
      </c>
      <c r="E4768" s="2">
        <f>IFERROR(__xludf.DUMMYFUNCTION("""COMPUTED_VALUE"""),12.8)</f>
        <v>12.8</v>
      </c>
      <c r="F4768" s="2"/>
      <c r="G4768" s="2"/>
      <c r="H4768" s="2"/>
      <c r="I4768" s="2"/>
    </row>
    <row r="4769">
      <c r="A4769" s="2">
        <f>IFERROR(__xludf.DUMMYFUNCTION("""COMPUTED_VALUE"""),18318.0)</f>
        <v>18318</v>
      </c>
      <c r="B4769" s="2" t="str">
        <f>IFERROR(__xludf.DUMMYFUNCTION("""COMPUTED_VALUE"""),"Sports")</f>
        <v>Sports</v>
      </c>
      <c r="C4769" s="2" t="str">
        <f>IFERROR(__xludf.DUMMYFUNCTION("""COMPUTED_VALUE"""),"Venture Capital")</f>
        <v>Venture Capital</v>
      </c>
      <c r="D4769" s="2" t="str">
        <f>IFERROR(__xludf.DUMMYFUNCTION("""COMPUTED_VALUE"""),"Oakway House")</f>
        <v>Oakway House</v>
      </c>
      <c r="E4769" s="2">
        <f>IFERROR(__xludf.DUMMYFUNCTION("""COMPUTED_VALUE"""),6.71)</f>
        <v>6.71</v>
      </c>
      <c r="F4769" s="2"/>
      <c r="G4769" s="2"/>
      <c r="H4769" s="2"/>
      <c r="I4769" s="2"/>
    </row>
    <row r="4770">
      <c r="A4770" s="2">
        <f>IFERROR(__xludf.DUMMYFUNCTION("""COMPUTED_VALUE"""),104220.0)</f>
        <v>104220</v>
      </c>
      <c r="B4770" s="2" t="str">
        <f>IFERROR(__xludf.DUMMYFUNCTION("""COMPUTED_VALUE"""),"Sports")</f>
        <v>Sports</v>
      </c>
      <c r="C4770" s="2" t="str">
        <f>IFERROR(__xludf.DUMMYFUNCTION("""COMPUTED_VALUE"""),"Venture Capital")</f>
        <v>Venture Capital</v>
      </c>
      <c r="D4770" s="2" t="str">
        <f>IFERROR(__xludf.DUMMYFUNCTION("""COMPUTED_VALUE"""),"Riverway House")</f>
        <v>Riverway House</v>
      </c>
      <c r="E4770" s="2">
        <f>IFERROR(__xludf.DUMMYFUNCTION("""COMPUTED_VALUE"""),8.2)</f>
        <v>8.2</v>
      </c>
      <c r="F4770" s="2"/>
      <c r="G4770" s="2"/>
      <c r="H4770" s="2"/>
      <c r="I4770" s="2"/>
    </row>
    <row r="4771">
      <c r="A4771" s="2">
        <f>IFERROR(__xludf.DUMMYFUNCTION("""COMPUTED_VALUE"""),106109.0)</f>
        <v>106109</v>
      </c>
      <c r="B4771" s="2" t="str">
        <f>IFERROR(__xludf.DUMMYFUNCTION("""COMPUTED_VALUE"""),"Sports")</f>
        <v>Sports</v>
      </c>
      <c r="C4771" s="2" t="str">
        <f>IFERROR(__xludf.DUMMYFUNCTION("""COMPUTED_VALUE"""),"Venture Capital")</f>
        <v>Venture Capital</v>
      </c>
      <c r="D4771" s="2" t="str">
        <f>IFERROR(__xludf.DUMMYFUNCTION("""COMPUTED_VALUE"""),"Riverway House")</f>
        <v>Riverway House</v>
      </c>
      <c r="E4771" s="2">
        <f>IFERROR(__xludf.DUMMYFUNCTION("""COMPUTED_VALUE"""),7.22)</f>
        <v>7.22</v>
      </c>
      <c r="F4771" s="2"/>
      <c r="G4771" s="2"/>
      <c r="H4771" s="2"/>
      <c r="I4771" s="2"/>
    </row>
    <row r="4772">
      <c r="A4772" s="2">
        <f>IFERROR(__xludf.DUMMYFUNCTION("""COMPUTED_VALUE"""),72162.0)</f>
        <v>72162</v>
      </c>
      <c r="B4772" s="2" t="str">
        <f>IFERROR(__xludf.DUMMYFUNCTION("""COMPUTED_VALUE"""),"Sports")</f>
        <v>Sports</v>
      </c>
      <c r="C4772" s="2" t="str">
        <f>IFERROR(__xludf.DUMMYFUNCTION("""COMPUTED_VALUE"""),"Venture Capital")</f>
        <v>Venture Capital</v>
      </c>
      <c r="D4772" s="2" t="str">
        <f>IFERROR(__xludf.DUMMYFUNCTION("""COMPUTED_VALUE"""),"Riverway House")</f>
        <v>Riverway House</v>
      </c>
      <c r="E4772" s="2">
        <f>IFERROR(__xludf.DUMMYFUNCTION("""COMPUTED_VALUE"""),17.38)</f>
        <v>17.38</v>
      </c>
      <c r="F4772" s="2"/>
      <c r="G4772" s="2"/>
      <c r="H4772" s="2"/>
      <c r="I4772" s="2"/>
    </row>
    <row r="4773">
      <c r="A4773" s="2">
        <f>IFERROR(__xludf.DUMMYFUNCTION("""COMPUTED_VALUE"""),104410.0)</f>
        <v>104410</v>
      </c>
      <c r="B4773" s="2" t="str">
        <f>IFERROR(__xludf.DUMMYFUNCTION("""COMPUTED_VALUE"""),"Sports")</f>
        <v>Sports</v>
      </c>
      <c r="C4773" s="2" t="str">
        <f>IFERROR(__xludf.DUMMYFUNCTION("""COMPUTED_VALUE"""),"Venture Capital")</f>
        <v>Venture Capital</v>
      </c>
      <c r="D4773" s="2" t="str">
        <f>IFERROR(__xludf.DUMMYFUNCTION("""COMPUTED_VALUE"""),"Riverway House")</f>
        <v>Riverway House</v>
      </c>
      <c r="E4773" s="2">
        <f>IFERROR(__xludf.DUMMYFUNCTION("""COMPUTED_VALUE"""),6.25)</f>
        <v>6.25</v>
      </c>
      <c r="F4773" s="2"/>
      <c r="G4773" s="2"/>
      <c r="H4773" s="2"/>
      <c r="I4773" s="2"/>
    </row>
    <row r="4774">
      <c r="A4774" s="2">
        <f>IFERROR(__xludf.DUMMYFUNCTION("""COMPUTED_VALUE"""),88825.0)</f>
        <v>88825</v>
      </c>
      <c r="B4774" s="2" t="str">
        <f>IFERROR(__xludf.DUMMYFUNCTION("""COMPUTED_VALUE"""),"Sports")</f>
        <v>Sports</v>
      </c>
      <c r="C4774" s="2" t="str">
        <f>IFERROR(__xludf.DUMMYFUNCTION("""COMPUTED_VALUE"""),"Venture Capital")</f>
        <v>Venture Capital</v>
      </c>
      <c r="D4774" s="2" t="str">
        <f>IFERROR(__xludf.DUMMYFUNCTION("""COMPUTED_VALUE"""),"Riverway House")</f>
        <v>Riverway House</v>
      </c>
      <c r="E4774" s="2">
        <f>IFERROR(__xludf.DUMMYFUNCTION("""COMPUTED_VALUE"""),9.93)</f>
        <v>9.93</v>
      </c>
      <c r="F4774" s="2"/>
      <c r="G4774" s="2"/>
      <c r="H4774" s="2"/>
      <c r="I4774" s="2"/>
    </row>
    <row r="4775">
      <c r="A4775" s="2">
        <f>IFERROR(__xludf.DUMMYFUNCTION("""COMPUTED_VALUE"""),13928.0)</f>
        <v>13928</v>
      </c>
      <c r="B4775" s="2" t="str">
        <f>IFERROR(__xludf.DUMMYFUNCTION("""COMPUTED_VALUE"""),"Sports")</f>
        <v>Sports</v>
      </c>
      <c r="C4775" s="2" t="str">
        <f>IFERROR(__xludf.DUMMYFUNCTION("""COMPUTED_VALUE"""),"Venture Capital")</f>
        <v>Venture Capital</v>
      </c>
      <c r="D4775" s="2" t="str">
        <f>IFERROR(__xludf.DUMMYFUNCTION("""COMPUTED_VALUE"""),"Riverway House")</f>
        <v>Riverway House</v>
      </c>
      <c r="E4775" s="2">
        <f>IFERROR(__xludf.DUMMYFUNCTION("""COMPUTED_VALUE"""),15.78)</f>
        <v>15.78</v>
      </c>
      <c r="F4775" s="2"/>
      <c r="G4775" s="2"/>
      <c r="H4775" s="2"/>
      <c r="I4775" s="2"/>
    </row>
    <row r="4776">
      <c r="A4776" s="2">
        <f>IFERROR(__xludf.DUMMYFUNCTION("""COMPUTED_VALUE"""),45368.0)</f>
        <v>45368</v>
      </c>
      <c r="B4776" s="2" t="str">
        <f>IFERROR(__xludf.DUMMYFUNCTION("""COMPUTED_VALUE"""),"Sports")</f>
        <v>Sports</v>
      </c>
      <c r="C4776" s="2" t="str">
        <f>IFERROR(__xludf.DUMMYFUNCTION("""COMPUTED_VALUE"""),"Venture Capital")</f>
        <v>Venture Capital</v>
      </c>
      <c r="D4776" s="2" t="str">
        <f>IFERROR(__xludf.DUMMYFUNCTION("""COMPUTED_VALUE"""),"Riverway House")</f>
        <v>Riverway House</v>
      </c>
      <c r="E4776" s="2">
        <f>IFERROR(__xludf.DUMMYFUNCTION("""COMPUTED_VALUE"""),28.98)</f>
        <v>28.98</v>
      </c>
      <c r="F4776" s="2"/>
      <c r="G4776" s="2"/>
      <c r="H4776" s="2"/>
      <c r="I4776" s="2"/>
    </row>
    <row r="4777">
      <c r="A4777" s="2">
        <f>IFERROR(__xludf.DUMMYFUNCTION("""COMPUTED_VALUE"""),119732.0)</f>
        <v>119732</v>
      </c>
      <c r="B4777" s="2" t="str">
        <f>IFERROR(__xludf.DUMMYFUNCTION("""COMPUTED_VALUE"""),"Sports")</f>
        <v>Sports</v>
      </c>
      <c r="C4777" s="2" t="str">
        <f>IFERROR(__xludf.DUMMYFUNCTION("""COMPUTED_VALUE"""),"Venture Capital")</f>
        <v>Venture Capital</v>
      </c>
      <c r="D4777" s="2" t="str">
        <f>IFERROR(__xludf.DUMMYFUNCTION("""COMPUTED_VALUE"""),"Riverway House")</f>
        <v>Riverway House</v>
      </c>
      <c r="E4777" s="2">
        <f>IFERROR(__xludf.DUMMYFUNCTION("""COMPUTED_VALUE"""),13.62)</f>
        <v>13.62</v>
      </c>
      <c r="F4777" s="2"/>
      <c r="G4777" s="2"/>
      <c r="H4777" s="2"/>
      <c r="I4777" s="2"/>
    </row>
    <row r="4778">
      <c r="A4778" s="2">
        <f>IFERROR(__xludf.DUMMYFUNCTION("""COMPUTED_VALUE"""),90467.0)</f>
        <v>90467</v>
      </c>
      <c r="B4778" s="2" t="str">
        <f>IFERROR(__xludf.DUMMYFUNCTION("""COMPUTED_VALUE"""),"Sports")</f>
        <v>Sports</v>
      </c>
      <c r="C4778" s="2" t="str">
        <f>IFERROR(__xludf.DUMMYFUNCTION("""COMPUTED_VALUE"""),"Venture Capital")</f>
        <v>Venture Capital</v>
      </c>
      <c r="D4778" s="2" t="str">
        <f>IFERROR(__xludf.DUMMYFUNCTION("""COMPUTED_VALUE"""),"Riverway House")</f>
        <v>Riverway House</v>
      </c>
      <c r="E4778" s="2">
        <f>IFERROR(__xludf.DUMMYFUNCTION("""COMPUTED_VALUE"""),4.54)</f>
        <v>4.54</v>
      </c>
      <c r="F4778" s="2"/>
      <c r="G4778" s="2"/>
      <c r="H4778" s="2"/>
      <c r="I4778" s="2"/>
    </row>
    <row r="4779">
      <c r="A4779" s="2">
        <f>IFERROR(__xludf.DUMMYFUNCTION("""COMPUTED_VALUE"""),119874.0)</f>
        <v>119874</v>
      </c>
      <c r="B4779" s="2" t="str">
        <f>IFERROR(__xludf.DUMMYFUNCTION("""COMPUTED_VALUE"""),"Sports")</f>
        <v>Sports</v>
      </c>
      <c r="C4779" s="2" t="str">
        <f>IFERROR(__xludf.DUMMYFUNCTION("""COMPUTED_VALUE"""),"Venture Capital")</f>
        <v>Venture Capital</v>
      </c>
      <c r="D4779" s="2" t="str">
        <f>IFERROR(__xludf.DUMMYFUNCTION("""COMPUTED_VALUE"""),"Riverway House")</f>
        <v>Riverway House</v>
      </c>
      <c r="E4779" s="2">
        <f>IFERROR(__xludf.DUMMYFUNCTION("""COMPUTED_VALUE"""),13.35)</f>
        <v>13.35</v>
      </c>
      <c r="F4779" s="2"/>
      <c r="G4779" s="2"/>
      <c r="H4779" s="2"/>
      <c r="I4779" s="2"/>
    </row>
    <row r="4780">
      <c r="A4780" s="2">
        <f>IFERROR(__xludf.DUMMYFUNCTION("""COMPUTED_VALUE"""),121316.0)</f>
        <v>121316</v>
      </c>
      <c r="B4780" s="2" t="str">
        <f>IFERROR(__xludf.DUMMYFUNCTION("""COMPUTED_VALUE"""),"Sports")</f>
        <v>Sports</v>
      </c>
      <c r="C4780" s="2" t="str">
        <f>IFERROR(__xludf.DUMMYFUNCTION("""COMPUTED_VALUE"""),"Venture Capital")</f>
        <v>Venture Capital</v>
      </c>
      <c r="D4780" s="2" t="str">
        <f>IFERROR(__xludf.DUMMYFUNCTION("""COMPUTED_VALUE"""),"Riverway House")</f>
        <v>Riverway House</v>
      </c>
      <c r="E4780" s="2">
        <f>IFERROR(__xludf.DUMMYFUNCTION("""COMPUTED_VALUE"""),5.81)</f>
        <v>5.81</v>
      </c>
      <c r="F4780" s="2"/>
      <c r="G4780" s="2"/>
      <c r="H4780" s="2"/>
      <c r="I4780" s="2"/>
    </row>
    <row r="4781">
      <c r="A4781" s="2">
        <f>IFERROR(__xludf.DUMMYFUNCTION("""COMPUTED_VALUE"""),77390.0)</f>
        <v>77390</v>
      </c>
      <c r="B4781" s="2" t="str">
        <f>IFERROR(__xludf.DUMMYFUNCTION("""COMPUTED_VALUE"""),"Sports")</f>
        <v>Sports</v>
      </c>
      <c r="C4781" s="2" t="str">
        <f>IFERROR(__xludf.DUMMYFUNCTION("""COMPUTED_VALUE"""),"Venture Capital")</f>
        <v>Venture Capital</v>
      </c>
      <c r="D4781" s="2" t="str">
        <f>IFERROR(__xludf.DUMMYFUNCTION("""COMPUTED_VALUE"""),"Riverway House")</f>
        <v>Riverway House</v>
      </c>
      <c r="E4781" s="2">
        <f>IFERROR(__xludf.DUMMYFUNCTION("""COMPUTED_VALUE"""),9.12)</f>
        <v>9.12</v>
      </c>
      <c r="F4781" s="2"/>
      <c r="G4781" s="2"/>
      <c r="H4781" s="2"/>
      <c r="I4781" s="2"/>
    </row>
    <row r="4782">
      <c r="A4782" s="2">
        <f>IFERROR(__xludf.DUMMYFUNCTION("""COMPUTED_VALUE"""),11444.0)</f>
        <v>11444</v>
      </c>
      <c r="B4782" s="2" t="str">
        <f>IFERROR(__xludf.DUMMYFUNCTION("""COMPUTED_VALUE"""),"Sports")</f>
        <v>Sports</v>
      </c>
      <c r="C4782" s="2" t="str">
        <f>IFERROR(__xludf.DUMMYFUNCTION("""COMPUTED_VALUE"""),"Venture Capital")</f>
        <v>Venture Capital</v>
      </c>
      <c r="D4782" s="2" t="str">
        <f>IFERROR(__xludf.DUMMYFUNCTION("""COMPUTED_VALUE"""),"Ironway House")</f>
        <v>Ironway House</v>
      </c>
      <c r="E4782" s="2">
        <f>IFERROR(__xludf.DUMMYFUNCTION("""COMPUTED_VALUE"""),7.03)</f>
        <v>7.03</v>
      </c>
      <c r="F4782" s="2"/>
      <c r="G4782" s="2"/>
      <c r="H4782" s="2"/>
      <c r="I4782" s="2"/>
    </row>
    <row r="4783">
      <c r="A4783" s="2">
        <f>IFERROR(__xludf.DUMMYFUNCTION("""COMPUTED_VALUE"""),74416.0)</f>
        <v>74416</v>
      </c>
      <c r="B4783" s="2" t="str">
        <f>IFERROR(__xludf.DUMMYFUNCTION("""COMPUTED_VALUE"""),"Sports")</f>
        <v>Sports</v>
      </c>
      <c r="C4783" s="2" t="str">
        <f>IFERROR(__xludf.DUMMYFUNCTION("""COMPUTED_VALUE"""),"Venture Capital")</f>
        <v>Venture Capital</v>
      </c>
      <c r="D4783" s="2" t="str">
        <f>IFERROR(__xludf.DUMMYFUNCTION("""COMPUTED_VALUE"""),"Ironway House")</f>
        <v>Ironway House</v>
      </c>
      <c r="E4783" s="2">
        <f>IFERROR(__xludf.DUMMYFUNCTION("""COMPUTED_VALUE"""),7.61)</f>
        <v>7.61</v>
      </c>
      <c r="F4783" s="2"/>
      <c r="G4783" s="2"/>
      <c r="H4783" s="2"/>
      <c r="I4783" s="2"/>
    </row>
    <row r="4784">
      <c r="A4784" s="2">
        <f>IFERROR(__xludf.DUMMYFUNCTION("""COMPUTED_VALUE"""),75323.0)</f>
        <v>75323</v>
      </c>
      <c r="B4784" s="2" t="str">
        <f>IFERROR(__xludf.DUMMYFUNCTION("""COMPUTED_VALUE"""),"Sports")</f>
        <v>Sports</v>
      </c>
      <c r="C4784" s="2" t="str">
        <f>IFERROR(__xludf.DUMMYFUNCTION("""COMPUTED_VALUE"""),"Venture Capital")</f>
        <v>Venture Capital</v>
      </c>
      <c r="D4784" s="2" t="str">
        <f>IFERROR(__xludf.DUMMYFUNCTION("""COMPUTED_VALUE"""),"Ironway House")</f>
        <v>Ironway House</v>
      </c>
      <c r="E4784" s="2">
        <f>IFERROR(__xludf.DUMMYFUNCTION("""COMPUTED_VALUE"""),6.31)</f>
        <v>6.31</v>
      </c>
      <c r="F4784" s="2"/>
      <c r="G4784" s="2"/>
      <c r="H4784" s="2"/>
      <c r="I4784" s="2"/>
    </row>
    <row r="4785">
      <c r="A4785" s="2">
        <f>IFERROR(__xludf.DUMMYFUNCTION("""COMPUTED_VALUE"""),86619.0)</f>
        <v>86619</v>
      </c>
      <c r="B4785" s="2" t="str">
        <f>IFERROR(__xludf.DUMMYFUNCTION("""COMPUTED_VALUE"""),"Sports")</f>
        <v>Sports</v>
      </c>
      <c r="C4785" s="2" t="str">
        <f>IFERROR(__xludf.DUMMYFUNCTION("""COMPUTED_VALUE"""),"Venture Capital")</f>
        <v>Venture Capital</v>
      </c>
      <c r="D4785" s="2" t="str">
        <f>IFERROR(__xludf.DUMMYFUNCTION("""COMPUTED_VALUE"""),"Ironway House")</f>
        <v>Ironway House</v>
      </c>
      <c r="E4785" s="2">
        <f>IFERROR(__xludf.DUMMYFUNCTION("""COMPUTED_VALUE"""),4.8)</f>
        <v>4.8</v>
      </c>
      <c r="F4785" s="2"/>
      <c r="G4785" s="2"/>
      <c r="H4785" s="2"/>
      <c r="I4785" s="2"/>
    </row>
    <row r="4786">
      <c r="A4786" s="2">
        <f>IFERROR(__xludf.DUMMYFUNCTION("""COMPUTED_VALUE"""),119801.0)</f>
        <v>119801</v>
      </c>
      <c r="B4786" s="2" t="str">
        <f>IFERROR(__xludf.DUMMYFUNCTION("""COMPUTED_VALUE"""),"Sports")</f>
        <v>Sports</v>
      </c>
      <c r="C4786" s="2" t="str">
        <f>IFERROR(__xludf.DUMMYFUNCTION("""COMPUTED_VALUE"""),"Venture Capital")</f>
        <v>Venture Capital</v>
      </c>
      <c r="D4786" s="2" t="str">
        <f>IFERROR(__xludf.DUMMYFUNCTION("""COMPUTED_VALUE"""),"Ironway House")</f>
        <v>Ironway House</v>
      </c>
      <c r="E4786" s="2">
        <f>IFERROR(__xludf.DUMMYFUNCTION("""COMPUTED_VALUE"""),11.8)</f>
        <v>11.8</v>
      </c>
      <c r="F4786" s="2"/>
      <c r="G4786" s="2"/>
      <c r="H4786" s="2"/>
      <c r="I4786" s="2"/>
    </row>
    <row r="4787">
      <c r="A4787" s="2">
        <f>IFERROR(__xludf.DUMMYFUNCTION("""COMPUTED_VALUE"""),126576.0)</f>
        <v>126576</v>
      </c>
      <c r="B4787" s="2" t="str">
        <f>IFERROR(__xludf.DUMMYFUNCTION("""COMPUTED_VALUE"""),"Sports")</f>
        <v>Sports</v>
      </c>
      <c r="C4787" s="2" t="str">
        <f>IFERROR(__xludf.DUMMYFUNCTION("""COMPUTED_VALUE"""),"Venture Capital")</f>
        <v>Venture Capital</v>
      </c>
      <c r="D4787" s="2" t="str">
        <f>IFERROR(__xludf.DUMMYFUNCTION("""COMPUTED_VALUE"""),"Ironway House")</f>
        <v>Ironway House</v>
      </c>
      <c r="E4787" s="2">
        <f>IFERROR(__xludf.DUMMYFUNCTION("""COMPUTED_VALUE"""),5.8)</f>
        <v>5.8</v>
      </c>
      <c r="F4787" s="2"/>
      <c r="G4787" s="2"/>
      <c r="H4787" s="2"/>
      <c r="I4787" s="2"/>
    </row>
    <row r="4788">
      <c r="A4788" s="2">
        <f>IFERROR(__xludf.DUMMYFUNCTION("""COMPUTED_VALUE"""),108841.0)</f>
        <v>108841</v>
      </c>
      <c r="B4788" s="2" t="str">
        <f>IFERROR(__xludf.DUMMYFUNCTION("""COMPUTED_VALUE"""),"Sports")</f>
        <v>Sports</v>
      </c>
      <c r="C4788" s="2" t="str">
        <f>IFERROR(__xludf.DUMMYFUNCTION("""COMPUTED_VALUE"""),"Venture Capital")</f>
        <v>Venture Capital</v>
      </c>
      <c r="D4788" s="2" t="str">
        <f>IFERROR(__xludf.DUMMYFUNCTION("""COMPUTED_VALUE"""),"Ironway House")</f>
        <v>Ironway House</v>
      </c>
      <c r="E4788" s="2">
        <f>IFERROR(__xludf.DUMMYFUNCTION("""COMPUTED_VALUE"""),4.29)</f>
        <v>4.29</v>
      </c>
      <c r="F4788" s="2"/>
      <c r="G4788" s="2"/>
      <c r="H4788" s="2"/>
      <c r="I4788" s="2"/>
    </row>
    <row r="4789">
      <c r="A4789" s="2">
        <f>IFERROR(__xludf.DUMMYFUNCTION("""COMPUTED_VALUE"""),82820.0)</f>
        <v>82820</v>
      </c>
      <c r="B4789" s="2" t="str">
        <f>IFERROR(__xludf.DUMMYFUNCTION("""COMPUTED_VALUE"""),"Sports")</f>
        <v>Sports</v>
      </c>
      <c r="C4789" s="2" t="str">
        <f>IFERROR(__xludf.DUMMYFUNCTION("""COMPUTED_VALUE"""),"Venture Capital")</f>
        <v>Venture Capital</v>
      </c>
      <c r="D4789" s="2" t="str">
        <f>IFERROR(__xludf.DUMMYFUNCTION("""COMPUTED_VALUE"""),"Ironway House")</f>
        <v>Ironway House</v>
      </c>
      <c r="E4789" s="2">
        <f>IFERROR(__xludf.DUMMYFUNCTION("""COMPUTED_VALUE"""),4.7)</f>
        <v>4.7</v>
      </c>
      <c r="F4789" s="2"/>
      <c r="G4789" s="2"/>
      <c r="H4789" s="2"/>
      <c r="I4789" s="2"/>
    </row>
    <row r="4790">
      <c r="A4790" s="2">
        <f>IFERROR(__xludf.DUMMYFUNCTION("""COMPUTED_VALUE"""),116826.0)</f>
        <v>116826</v>
      </c>
      <c r="B4790" s="2" t="str">
        <f>IFERROR(__xludf.DUMMYFUNCTION("""COMPUTED_VALUE"""),"Sports")</f>
        <v>Sports</v>
      </c>
      <c r="C4790" s="2" t="str">
        <f>IFERROR(__xludf.DUMMYFUNCTION("""COMPUTED_VALUE"""),"Venture Capital")</f>
        <v>Venture Capital</v>
      </c>
      <c r="D4790" s="2" t="str">
        <f>IFERROR(__xludf.DUMMYFUNCTION("""COMPUTED_VALUE"""),"Ironway House")</f>
        <v>Ironway House</v>
      </c>
      <c r="E4790" s="2">
        <f>IFERROR(__xludf.DUMMYFUNCTION("""COMPUTED_VALUE"""),5.17)</f>
        <v>5.17</v>
      </c>
      <c r="F4790" s="2"/>
      <c r="G4790" s="2"/>
      <c r="H4790" s="2"/>
      <c r="I4790" s="2"/>
    </row>
    <row r="4791">
      <c r="A4791" s="2">
        <f>IFERROR(__xludf.DUMMYFUNCTION("""COMPUTED_VALUE"""),126965.0)</f>
        <v>126965</v>
      </c>
      <c r="B4791" s="2" t="str">
        <f>IFERROR(__xludf.DUMMYFUNCTION("""COMPUTED_VALUE"""),"Sports")</f>
        <v>Sports</v>
      </c>
      <c r="C4791" s="2" t="str">
        <f>IFERROR(__xludf.DUMMYFUNCTION("""COMPUTED_VALUE"""),"Venture Capital")</f>
        <v>Venture Capital</v>
      </c>
      <c r="D4791" s="2" t="str">
        <f>IFERROR(__xludf.DUMMYFUNCTION("""COMPUTED_VALUE"""),"Ironway House")</f>
        <v>Ironway House</v>
      </c>
      <c r="E4791" s="2">
        <f>IFERROR(__xludf.DUMMYFUNCTION("""COMPUTED_VALUE"""),6.06)</f>
        <v>6.06</v>
      </c>
      <c r="F4791" s="2"/>
      <c r="G4791" s="2"/>
      <c r="H4791" s="2"/>
      <c r="I4791" s="2"/>
    </row>
    <row r="4792">
      <c r="A4792" s="2">
        <f>IFERROR(__xludf.DUMMYFUNCTION("""COMPUTED_VALUE"""),103795.0)</f>
        <v>103795</v>
      </c>
      <c r="B4792" s="2" t="str">
        <f>IFERROR(__xludf.DUMMYFUNCTION("""COMPUTED_VALUE"""),"Sports")</f>
        <v>Sports</v>
      </c>
      <c r="C4792" s="2" t="str">
        <f>IFERROR(__xludf.DUMMYFUNCTION("""COMPUTED_VALUE"""),"Venture Capital")</f>
        <v>Venture Capital</v>
      </c>
      <c r="D4792" s="2" t="str">
        <f>IFERROR(__xludf.DUMMYFUNCTION("""COMPUTED_VALUE"""),"Ironway House")</f>
        <v>Ironway House</v>
      </c>
      <c r="E4792" s="2">
        <f>IFERROR(__xludf.DUMMYFUNCTION("""COMPUTED_VALUE"""),5.62)</f>
        <v>5.62</v>
      </c>
      <c r="F4792" s="2"/>
      <c r="G4792" s="2"/>
      <c r="H4792" s="2"/>
      <c r="I4792" s="2"/>
    </row>
    <row r="4793">
      <c r="A4793" s="2">
        <f>IFERROR(__xludf.DUMMYFUNCTION("""COMPUTED_VALUE"""),116821.0)</f>
        <v>116821</v>
      </c>
      <c r="B4793" s="2" t="str">
        <f>IFERROR(__xludf.DUMMYFUNCTION("""COMPUTED_VALUE"""),"Sports")</f>
        <v>Sports</v>
      </c>
      <c r="C4793" s="2" t="str">
        <f>IFERROR(__xludf.DUMMYFUNCTION("""COMPUTED_VALUE"""),"Venture Capital")</f>
        <v>Venture Capital</v>
      </c>
      <c r="D4793" s="2" t="str">
        <f>IFERROR(__xludf.DUMMYFUNCTION("""COMPUTED_VALUE"""),"Ironway House")</f>
        <v>Ironway House</v>
      </c>
      <c r="E4793" s="2">
        <f>IFERROR(__xludf.DUMMYFUNCTION("""COMPUTED_VALUE"""),4.48)</f>
        <v>4.48</v>
      </c>
      <c r="F4793" s="2"/>
      <c r="G4793" s="2"/>
      <c r="H4793" s="2"/>
      <c r="I4793" s="2"/>
    </row>
    <row r="4794">
      <c r="A4794" s="2">
        <f>IFERROR(__xludf.DUMMYFUNCTION("""COMPUTED_VALUE"""),126577.0)</f>
        <v>126577</v>
      </c>
      <c r="B4794" s="2" t="str">
        <f>IFERROR(__xludf.DUMMYFUNCTION("""COMPUTED_VALUE"""),"Sports")</f>
        <v>Sports</v>
      </c>
      <c r="C4794" s="2" t="str">
        <f>IFERROR(__xludf.DUMMYFUNCTION("""COMPUTED_VALUE"""),"Venture Capital")</f>
        <v>Venture Capital</v>
      </c>
      <c r="D4794" s="2" t="str">
        <f>IFERROR(__xludf.DUMMYFUNCTION("""COMPUTED_VALUE"""),"Ironway House")</f>
        <v>Ironway House</v>
      </c>
      <c r="E4794" s="2">
        <f>IFERROR(__xludf.DUMMYFUNCTION("""COMPUTED_VALUE"""),4.33)</f>
        <v>4.33</v>
      </c>
      <c r="F4794" s="2"/>
      <c r="G4794" s="2"/>
      <c r="H4794" s="2"/>
      <c r="I4794" s="2"/>
    </row>
    <row r="4795">
      <c r="A4795" s="2">
        <f>IFERROR(__xludf.DUMMYFUNCTION("""COMPUTED_VALUE"""),82806.0)</f>
        <v>82806</v>
      </c>
      <c r="B4795" s="2" t="str">
        <f>IFERROR(__xludf.DUMMYFUNCTION("""COMPUTED_VALUE"""),"Sports")</f>
        <v>Sports</v>
      </c>
      <c r="C4795" s="2" t="str">
        <f>IFERROR(__xludf.DUMMYFUNCTION("""COMPUTED_VALUE"""),"Venture Capital")</f>
        <v>Venture Capital</v>
      </c>
      <c r="D4795" s="2" t="str">
        <f>IFERROR(__xludf.DUMMYFUNCTION("""COMPUTED_VALUE"""),"Ironway House")</f>
        <v>Ironway House</v>
      </c>
      <c r="E4795" s="2">
        <f>IFERROR(__xludf.DUMMYFUNCTION("""COMPUTED_VALUE"""),1.54)</f>
        <v>1.54</v>
      </c>
      <c r="F4795" s="2"/>
      <c r="G4795" s="2"/>
      <c r="H4795" s="2"/>
      <c r="I4795" s="2"/>
    </row>
    <row r="4796">
      <c r="A4796" s="2">
        <f>IFERROR(__xludf.DUMMYFUNCTION("""COMPUTED_VALUE"""),68099.0)</f>
        <v>68099</v>
      </c>
      <c r="B4796" s="2" t="str">
        <f>IFERROR(__xludf.DUMMYFUNCTION("""COMPUTED_VALUE"""),"Sports")</f>
        <v>Sports</v>
      </c>
      <c r="C4796" s="2" t="str">
        <f>IFERROR(__xludf.DUMMYFUNCTION("""COMPUTED_VALUE"""),"Venture Capital")</f>
        <v>Venture Capital</v>
      </c>
      <c r="D4796" s="2" t="str">
        <f>IFERROR(__xludf.DUMMYFUNCTION("""COMPUTED_VALUE"""),"Ironway House")</f>
        <v>Ironway House</v>
      </c>
      <c r="E4796" s="2">
        <f>IFERROR(__xludf.DUMMYFUNCTION("""COMPUTED_VALUE"""),3.99)</f>
        <v>3.99</v>
      </c>
      <c r="F4796" s="2"/>
      <c r="G4796" s="2"/>
      <c r="H4796" s="2"/>
      <c r="I4796" s="2"/>
    </row>
    <row r="4797">
      <c r="A4797" s="2">
        <f>IFERROR(__xludf.DUMMYFUNCTION("""COMPUTED_VALUE"""),82827.0)</f>
        <v>82827</v>
      </c>
      <c r="B4797" s="2" t="str">
        <f>IFERROR(__xludf.DUMMYFUNCTION("""COMPUTED_VALUE"""),"Sports")</f>
        <v>Sports</v>
      </c>
      <c r="C4797" s="2" t="str">
        <f>IFERROR(__xludf.DUMMYFUNCTION("""COMPUTED_VALUE"""),"Venture Capital")</f>
        <v>Venture Capital</v>
      </c>
      <c r="D4797" s="2" t="str">
        <f>IFERROR(__xludf.DUMMYFUNCTION("""COMPUTED_VALUE"""),"Ironway House")</f>
        <v>Ironway House</v>
      </c>
      <c r="E4797" s="2">
        <f>IFERROR(__xludf.DUMMYFUNCTION("""COMPUTED_VALUE"""),8.19)</f>
        <v>8.19</v>
      </c>
      <c r="F4797" s="2"/>
      <c r="G4797" s="2"/>
      <c r="H4797" s="2"/>
      <c r="I4797" s="2"/>
    </row>
    <row r="4798">
      <c r="A4798" s="2">
        <f>IFERROR(__xludf.DUMMYFUNCTION("""COMPUTED_VALUE"""),77127.0)</f>
        <v>77127</v>
      </c>
      <c r="B4798" s="2" t="str">
        <f>IFERROR(__xludf.DUMMYFUNCTION("""COMPUTED_VALUE"""),"Sports")</f>
        <v>Sports</v>
      </c>
      <c r="C4798" s="2" t="str">
        <f>IFERROR(__xludf.DUMMYFUNCTION("""COMPUTED_VALUE"""),"Venture Capital")</f>
        <v>Venture Capital</v>
      </c>
      <c r="D4798" s="2" t="str">
        <f>IFERROR(__xludf.DUMMYFUNCTION("""COMPUTED_VALUE"""),"Ironway House")</f>
        <v>Ironway House</v>
      </c>
      <c r="E4798" s="2">
        <f>IFERROR(__xludf.DUMMYFUNCTION("""COMPUTED_VALUE"""),6.23)</f>
        <v>6.23</v>
      </c>
      <c r="F4798" s="2"/>
      <c r="G4798" s="2"/>
      <c r="H4798" s="2"/>
      <c r="I4798" s="2"/>
    </row>
    <row r="4799">
      <c r="A4799" s="2">
        <f>IFERROR(__xludf.DUMMYFUNCTION("""COMPUTED_VALUE"""),69002.0)</f>
        <v>69002</v>
      </c>
      <c r="B4799" s="2" t="str">
        <f>IFERROR(__xludf.DUMMYFUNCTION("""COMPUTED_VALUE"""),"Sports")</f>
        <v>Sports</v>
      </c>
      <c r="C4799" s="2" t="str">
        <f>IFERROR(__xludf.DUMMYFUNCTION("""COMPUTED_VALUE"""),"Venture Capital")</f>
        <v>Venture Capital</v>
      </c>
      <c r="D4799" s="2" t="str">
        <f>IFERROR(__xludf.DUMMYFUNCTION("""COMPUTED_VALUE"""),"Ironway House")</f>
        <v>Ironway House</v>
      </c>
      <c r="E4799" s="2">
        <f>IFERROR(__xludf.DUMMYFUNCTION("""COMPUTED_VALUE"""),15.19)</f>
        <v>15.19</v>
      </c>
      <c r="F4799" s="2"/>
      <c r="G4799" s="2"/>
      <c r="H4799" s="2"/>
      <c r="I4799" s="2"/>
    </row>
    <row r="4800">
      <c r="A4800" s="2">
        <f>IFERROR(__xludf.DUMMYFUNCTION("""COMPUTED_VALUE"""),119847.0)</f>
        <v>119847</v>
      </c>
      <c r="B4800" s="2" t="str">
        <f>IFERROR(__xludf.DUMMYFUNCTION("""COMPUTED_VALUE"""),"Sports")</f>
        <v>Sports</v>
      </c>
      <c r="C4800" s="2" t="str">
        <f>IFERROR(__xludf.DUMMYFUNCTION("""COMPUTED_VALUE"""),"Venture Capital")</f>
        <v>Venture Capital</v>
      </c>
      <c r="D4800" s="2" t="str">
        <f>IFERROR(__xludf.DUMMYFUNCTION("""COMPUTED_VALUE"""),"Ironway House")</f>
        <v>Ironway House</v>
      </c>
      <c r="E4800" s="2">
        <f>IFERROR(__xludf.DUMMYFUNCTION("""COMPUTED_VALUE"""),9.14)</f>
        <v>9.14</v>
      </c>
      <c r="F4800" s="2"/>
      <c r="G4800" s="2"/>
      <c r="H4800" s="2"/>
      <c r="I4800" s="2"/>
    </row>
    <row r="4801">
      <c r="A4801" s="2">
        <f>IFERROR(__xludf.DUMMYFUNCTION("""COMPUTED_VALUE"""),11446.0)</f>
        <v>11446</v>
      </c>
      <c r="B4801" s="2" t="str">
        <f>IFERROR(__xludf.DUMMYFUNCTION("""COMPUTED_VALUE"""),"Sports")</f>
        <v>Sports</v>
      </c>
      <c r="C4801" s="2" t="str">
        <f>IFERROR(__xludf.DUMMYFUNCTION("""COMPUTED_VALUE"""),"Venture Capital")</f>
        <v>Venture Capital</v>
      </c>
      <c r="D4801" s="2" t="str">
        <f>IFERROR(__xludf.DUMMYFUNCTION("""COMPUTED_VALUE"""),"Ironway House")</f>
        <v>Ironway House</v>
      </c>
      <c r="E4801" s="2">
        <f>IFERROR(__xludf.DUMMYFUNCTION("""COMPUTED_VALUE"""),7.05)</f>
        <v>7.05</v>
      </c>
      <c r="F4801" s="2"/>
      <c r="G4801" s="2"/>
      <c r="H4801" s="2"/>
      <c r="I4801" s="2"/>
    </row>
    <row r="4802">
      <c r="A4802" s="2">
        <f>IFERROR(__xludf.DUMMYFUNCTION("""COMPUTED_VALUE"""),30628.0)</f>
        <v>30628</v>
      </c>
      <c r="B4802" s="2" t="str">
        <f>IFERROR(__xludf.DUMMYFUNCTION("""COMPUTED_VALUE"""),"Sports")</f>
        <v>Sports</v>
      </c>
      <c r="C4802" s="2" t="str">
        <f>IFERROR(__xludf.DUMMYFUNCTION("""COMPUTED_VALUE"""),"Venture Capital")</f>
        <v>Venture Capital</v>
      </c>
      <c r="D4802" s="2" t="str">
        <f>IFERROR(__xludf.DUMMYFUNCTION("""COMPUTED_VALUE"""),"Ironway House")</f>
        <v>Ironway House</v>
      </c>
      <c r="E4802" s="2">
        <f>IFERROR(__xludf.DUMMYFUNCTION("""COMPUTED_VALUE"""),6.22)</f>
        <v>6.22</v>
      </c>
      <c r="F4802" s="2"/>
      <c r="G4802" s="2"/>
      <c r="H4802" s="2"/>
      <c r="I4802" s="2"/>
    </row>
    <row r="4803">
      <c r="A4803" s="2">
        <f>IFERROR(__xludf.DUMMYFUNCTION("""COMPUTED_VALUE"""),113003.0)</f>
        <v>113003</v>
      </c>
      <c r="B4803" s="2" t="str">
        <f>IFERROR(__xludf.DUMMYFUNCTION("""COMPUTED_VALUE"""),"Sports")</f>
        <v>Sports</v>
      </c>
      <c r="C4803" s="2" t="str">
        <f>IFERROR(__xludf.DUMMYFUNCTION("""COMPUTED_VALUE"""),"Venture Capital")</f>
        <v>Venture Capital</v>
      </c>
      <c r="D4803" s="2" t="str">
        <f>IFERROR(__xludf.DUMMYFUNCTION("""COMPUTED_VALUE"""),"Ironway House")</f>
        <v>Ironway House</v>
      </c>
      <c r="E4803" s="2">
        <f>IFERROR(__xludf.DUMMYFUNCTION("""COMPUTED_VALUE"""),8.57)</f>
        <v>8.57</v>
      </c>
      <c r="F4803" s="2"/>
      <c r="G4803" s="2"/>
      <c r="H4803" s="2"/>
      <c r="I4803" s="2"/>
    </row>
    <row r="4804">
      <c r="A4804" s="2">
        <f>IFERROR(__xludf.DUMMYFUNCTION("""COMPUTED_VALUE"""),30631.0)</f>
        <v>30631</v>
      </c>
      <c r="B4804" s="2" t="str">
        <f>IFERROR(__xludf.DUMMYFUNCTION("""COMPUTED_VALUE"""),"Sports")</f>
        <v>Sports</v>
      </c>
      <c r="C4804" s="2" t="str">
        <f>IFERROR(__xludf.DUMMYFUNCTION("""COMPUTED_VALUE"""),"Venture Capital")</f>
        <v>Venture Capital</v>
      </c>
      <c r="D4804" s="2" t="str">
        <f>IFERROR(__xludf.DUMMYFUNCTION("""COMPUTED_VALUE"""),"Ironway House")</f>
        <v>Ironway House</v>
      </c>
      <c r="E4804" s="2">
        <f>IFERROR(__xludf.DUMMYFUNCTION("""COMPUTED_VALUE"""),6.48)</f>
        <v>6.48</v>
      </c>
      <c r="F4804" s="2"/>
      <c r="G4804" s="2"/>
      <c r="H4804" s="2"/>
      <c r="I4804" s="2"/>
    </row>
    <row r="4805">
      <c r="A4805" s="2">
        <f>IFERROR(__xludf.DUMMYFUNCTION("""COMPUTED_VALUE"""),188351.0)</f>
        <v>188351</v>
      </c>
      <c r="B4805" s="2" t="str">
        <f>IFERROR(__xludf.DUMMYFUNCTION("""COMPUTED_VALUE"""),"Sports")</f>
        <v>Sports</v>
      </c>
      <c r="C4805" s="2" t="str">
        <f>IFERROR(__xludf.DUMMYFUNCTION("""COMPUTED_VALUE"""),"Venture Capital")</f>
        <v>Venture Capital</v>
      </c>
      <c r="D4805" s="2" t="str">
        <f>IFERROR(__xludf.DUMMYFUNCTION("""COMPUTED_VALUE"""),"Ironway House")</f>
        <v>Ironway House</v>
      </c>
      <c r="E4805" s="2">
        <f>IFERROR(__xludf.DUMMYFUNCTION("""COMPUTED_VALUE"""),4.04)</f>
        <v>4.04</v>
      </c>
      <c r="F4805" s="2"/>
      <c r="G4805" s="2"/>
      <c r="H4805" s="2"/>
      <c r="I4805" s="2"/>
    </row>
    <row r="4806">
      <c r="A4806" s="2">
        <f>IFERROR(__xludf.DUMMYFUNCTION("""COMPUTED_VALUE"""),67025.0)</f>
        <v>67025</v>
      </c>
      <c r="B4806" s="2" t="str">
        <f>IFERROR(__xludf.DUMMYFUNCTION("""COMPUTED_VALUE"""),"Sports")</f>
        <v>Sports</v>
      </c>
      <c r="C4806" s="2" t="str">
        <f>IFERROR(__xludf.DUMMYFUNCTION("""COMPUTED_VALUE"""),"Venture Capital")</f>
        <v>Venture Capital</v>
      </c>
      <c r="D4806" s="2" t="str">
        <f>IFERROR(__xludf.DUMMYFUNCTION("""COMPUTED_VALUE"""),"Silvermark House")</f>
        <v>Silvermark House</v>
      </c>
      <c r="E4806" s="2">
        <f>IFERROR(__xludf.DUMMYFUNCTION("""COMPUTED_VALUE"""),5.87)</f>
        <v>5.87</v>
      </c>
      <c r="F4806" s="2"/>
      <c r="G4806" s="2"/>
      <c r="H4806" s="2"/>
      <c r="I4806" s="2"/>
    </row>
    <row r="4807">
      <c r="A4807" s="2">
        <f>IFERROR(__xludf.DUMMYFUNCTION("""COMPUTED_VALUE"""),119797.0)</f>
        <v>119797</v>
      </c>
      <c r="B4807" s="2" t="str">
        <f>IFERROR(__xludf.DUMMYFUNCTION("""COMPUTED_VALUE"""),"Sports")</f>
        <v>Sports</v>
      </c>
      <c r="C4807" s="2" t="str">
        <f>IFERROR(__xludf.DUMMYFUNCTION("""COMPUTED_VALUE"""),"Venture Capital")</f>
        <v>Venture Capital</v>
      </c>
      <c r="D4807" s="2" t="str">
        <f>IFERROR(__xludf.DUMMYFUNCTION("""COMPUTED_VALUE"""),"Silvermark House")</f>
        <v>Silvermark House</v>
      </c>
      <c r="E4807" s="2">
        <f>IFERROR(__xludf.DUMMYFUNCTION("""COMPUTED_VALUE"""),5.73)</f>
        <v>5.73</v>
      </c>
      <c r="F4807" s="2"/>
      <c r="G4807" s="2"/>
      <c r="H4807" s="2"/>
      <c r="I4807" s="2"/>
    </row>
    <row r="4808">
      <c r="A4808" s="2">
        <f>IFERROR(__xludf.DUMMYFUNCTION("""COMPUTED_VALUE"""),3592.0)</f>
        <v>3592</v>
      </c>
      <c r="B4808" s="2" t="str">
        <f>IFERROR(__xludf.DUMMYFUNCTION("""COMPUTED_VALUE"""),"Sports")</f>
        <v>Sports</v>
      </c>
      <c r="C4808" s="2" t="str">
        <f>IFERROR(__xludf.DUMMYFUNCTION("""COMPUTED_VALUE"""),"Venture Capital")</f>
        <v>Venture Capital</v>
      </c>
      <c r="D4808" s="2" t="str">
        <f>IFERROR(__xludf.DUMMYFUNCTION("""COMPUTED_VALUE"""),"Silvermark House")</f>
        <v>Silvermark House</v>
      </c>
      <c r="E4808" s="2">
        <f>IFERROR(__xludf.DUMMYFUNCTION("""COMPUTED_VALUE"""),11.11)</f>
        <v>11.11</v>
      </c>
      <c r="F4808" s="2"/>
      <c r="G4808" s="2"/>
      <c r="H4808" s="2"/>
      <c r="I4808" s="2"/>
    </row>
    <row r="4809">
      <c r="A4809" s="2">
        <f>IFERROR(__xludf.DUMMYFUNCTION("""COMPUTED_VALUE"""),3586.0)</f>
        <v>3586</v>
      </c>
      <c r="B4809" s="2" t="str">
        <f>IFERROR(__xludf.DUMMYFUNCTION("""COMPUTED_VALUE"""),"Sports")</f>
        <v>Sports</v>
      </c>
      <c r="C4809" s="2" t="str">
        <f>IFERROR(__xludf.DUMMYFUNCTION("""COMPUTED_VALUE"""),"Venture Capital")</f>
        <v>Venture Capital</v>
      </c>
      <c r="D4809" s="2" t="str">
        <f>IFERROR(__xludf.DUMMYFUNCTION("""COMPUTED_VALUE"""),"Silvermark House")</f>
        <v>Silvermark House</v>
      </c>
      <c r="E4809" s="2">
        <f>IFERROR(__xludf.DUMMYFUNCTION("""COMPUTED_VALUE"""),7.63)</f>
        <v>7.63</v>
      </c>
      <c r="F4809" s="2"/>
      <c r="G4809" s="2"/>
      <c r="H4809" s="2"/>
      <c r="I4809" s="2"/>
    </row>
    <row r="4810">
      <c r="A4810" s="2">
        <f>IFERROR(__xludf.DUMMYFUNCTION("""COMPUTED_VALUE"""),3591.0)</f>
        <v>3591</v>
      </c>
      <c r="B4810" s="2" t="str">
        <f>IFERROR(__xludf.DUMMYFUNCTION("""COMPUTED_VALUE"""),"Sports")</f>
        <v>Sports</v>
      </c>
      <c r="C4810" s="2" t="str">
        <f>IFERROR(__xludf.DUMMYFUNCTION("""COMPUTED_VALUE"""),"Venture Capital")</f>
        <v>Venture Capital</v>
      </c>
      <c r="D4810" s="2" t="str">
        <f>IFERROR(__xludf.DUMMYFUNCTION("""COMPUTED_VALUE"""),"Silvermark House")</f>
        <v>Silvermark House</v>
      </c>
      <c r="E4810" s="2">
        <f>IFERROR(__xludf.DUMMYFUNCTION("""COMPUTED_VALUE"""),23.43)</f>
        <v>23.43</v>
      </c>
      <c r="F4810" s="2"/>
      <c r="G4810" s="2"/>
      <c r="H4810" s="2"/>
      <c r="I4810" s="2"/>
    </row>
    <row r="4811">
      <c r="A4811" s="2">
        <f>IFERROR(__xludf.DUMMYFUNCTION("""COMPUTED_VALUE"""),73847.0)</f>
        <v>73847</v>
      </c>
      <c r="B4811" s="2" t="str">
        <f>IFERROR(__xludf.DUMMYFUNCTION("""COMPUTED_VALUE"""),"Sports")</f>
        <v>Sports</v>
      </c>
      <c r="C4811" s="2" t="str">
        <f>IFERROR(__xludf.DUMMYFUNCTION("""COMPUTED_VALUE"""),"Venture Capital")</f>
        <v>Venture Capital</v>
      </c>
      <c r="D4811" s="2" t="str">
        <f>IFERROR(__xludf.DUMMYFUNCTION("""COMPUTED_VALUE"""),"Silvermark House")</f>
        <v>Silvermark House</v>
      </c>
      <c r="E4811" s="2">
        <f>IFERROR(__xludf.DUMMYFUNCTION("""COMPUTED_VALUE"""),6.84)</f>
        <v>6.84</v>
      </c>
      <c r="F4811" s="2"/>
      <c r="G4811" s="2"/>
      <c r="H4811" s="2"/>
      <c r="I4811" s="2"/>
    </row>
    <row r="4812">
      <c r="A4812" s="2">
        <f>IFERROR(__xludf.DUMMYFUNCTION("""COMPUTED_VALUE"""),3590.0)</f>
        <v>3590</v>
      </c>
      <c r="B4812" s="2" t="str">
        <f>IFERROR(__xludf.DUMMYFUNCTION("""COMPUTED_VALUE"""),"Sports")</f>
        <v>Sports</v>
      </c>
      <c r="C4812" s="2" t="str">
        <f>IFERROR(__xludf.DUMMYFUNCTION("""COMPUTED_VALUE"""),"Venture Capital")</f>
        <v>Venture Capital</v>
      </c>
      <c r="D4812" s="2" t="str">
        <f>IFERROR(__xludf.DUMMYFUNCTION("""COMPUTED_VALUE"""),"Silvermark House")</f>
        <v>Silvermark House</v>
      </c>
      <c r="E4812" s="2">
        <f>IFERROR(__xludf.DUMMYFUNCTION("""COMPUTED_VALUE"""),11.29)</f>
        <v>11.29</v>
      </c>
      <c r="F4812" s="2"/>
      <c r="G4812" s="2"/>
      <c r="H4812" s="2"/>
      <c r="I4812" s="2"/>
    </row>
    <row r="4813">
      <c r="A4813" s="2">
        <f>IFERROR(__xludf.DUMMYFUNCTION("""COMPUTED_VALUE"""),116903.0)</f>
        <v>116903</v>
      </c>
      <c r="B4813" s="2" t="str">
        <f>IFERROR(__xludf.DUMMYFUNCTION("""COMPUTED_VALUE"""),"Sports")</f>
        <v>Sports</v>
      </c>
      <c r="C4813" s="2" t="str">
        <f>IFERROR(__xludf.DUMMYFUNCTION("""COMPUTED_VALUE"""),"Venture Capital")</f>
        <v>Venture Capital</v>
      </c>
      <c r="D4813" s="2" t="str">
        <f>IFERROR(__xludf.DUMMYFUNCTION("""COMPUTED_VALUE"""),"Silvermark House")</f>
        <v>Silvermark House</v>
      </c>
      <c r="E4813" s="2">
        <f>IFERROR(__xludf.DUMMYFUNCTION("""COMPUTED_VALUE"""),7.01)</f>
        <v>7.01</v>
      </c>
      <c r="F4813" s="2"/>
      <c r="G4813" s="2"/>
      <c r="H4813" s="2"/>
      <c r="I4813" s="2"/>
    </row>
    <row r="4814">
      <c r="A4814" s="2">
        <f>IFERROR(__xludf.DUMMYFUNCTION("""COMPUTED_VALUE"""),116780.0)</f>
        <v>116780</v>
      </c>
      <c r="B4814" s="2" t="str">
        <f>IFERROR(__xludf.DUMMYFUNCTION("""COMPUTED_VALUE"""),"Sports")</f>
        <v>Sports</v>
      </c>
      <c r="C4814" s="2" t="str">
        <f>IFERROR(__xludf.DUMMYFUNCTION("""COMPUTED_VALUE"""),"Venture Capital")</f>
        <v>Venture Capital</v>
      </c>
      <c r="D4814" s="2" t="str">
        <f>IFERROR(__xludf.DUMMYFUNCTION("""COMPUTED_VALUE"""),"Silvermark House")</f>
        <v>Silvermark House</v>
      </c>
      <c r="E4814" s="2">
        <f>IFERROR(__xludf.DUMMYFUNCTION("""COMPUTED_VALUE"""),13.06)</f>
        <v>13.06</v>
      </c>
      <c r="F4814" s="2"/>
      <c r="G4814" s="2"/>
      <c r="H4814" s="2"/>
      <c r="I4814" s="2"/>
    </row>
    <row r="4815">
      <c r="A4815" s="2">
        <f>IFERROR(__xludf.DUMMYFUNCTION("""COMPUTED_VALUE"""),114912.0)</f>
        <v>114912</v>
      </c>
      <c r="B4815" s="2" t="str">
        <f>IFERROR(__xludf.DUMMYFUNCTION("""COMPUTED_VALUE"""),"Medical")</f>
        <v>Medical</v>
      </c>
      <c r="C4815" s="2" t="str">
        <f>IFERROR(__xludf.DUMMYFUNCTION("""COMPUTED_VALUE"""),"Private Equity")</f>
        <v>Private Equity</v>
      </c>
      <c r="D4815" s="2"/>
      <c r="E4815" s="2">
        <f>IFERROR(__xludf.DUMMYFUNCTION("""COMPUTED_VALUE"""),4.68)</f>
        <v>4.68</v>
      </c>
      <c r="F4815" s="2"/>
      <c r="G4815" s="2"/>
      <c r="H4815" s="2"/>
      <c r="I4815" s="2"/>
    </row>
    <row r="4816">
      <c r="A4816" s="2">
        <f>IFERROR(__xludf.DUMMYFUNCTION("""COMPUTED_VALUE"""),111970.0)</f>
        <v>111970</v>
      </c>
      <c r="B4816" s="2" t="str">
        <f>IFERROR(__xludf.DUMMYFUNCTION("""COMPUTED_VALUE"""),"Finance")</f>
        <v>Finance</v>
      </c>
      <c r="C4816" s="2" t="str">
        <f>IFERROR(__xludf.DUMMYFUNCTION("""COMPUTED_VALUE"""),"Painting")</f>
        <v>Painting</v>
      </c>
      <c r="D4816" s="2" t="str">
        <f>IFERROR(__xludf.DUMMYFUNCTION("""COMPUTED_VALUE"""),"Northmark House")</f>
        <v>Northmark House</v>
      </c>
      <c r="E4816" s="2">
        <f>IFERROR(__xludf.DUMMYFUNCTION("""COMPUTED_VALUE"""),38.63)</f>
        <v>38.63</v>
      </c>
      <c r="F4816" s="2"/>
      <c r="G4816" s="2"/>
      <c r="H4816" s="2"/>
      <c r="I4816" s="2"/>
    </row>
    <row r="4817">
      <c r="A4817" s="2">
        <f>IFERROR(__xludf.DUMMYFUNCTION("""COMPUTED_VALUE"""),126973.0)</f>
        <v>126973</v>
      </c>
      <c r="B4817" s="2" t="str">
        <f>IFERROR(__xludf.DUMMYFUNCTION("""COMPUTED_VALUE"""),"Finance")</f>
        <v>Finance</v>
      </c>
      <c r="C4817" s="2" t="str">
        <f>IFERROR(__xludf.DUMMYFUNCTION("""COMPUTED_VALUE"""),"Painting")</f>
        <v>Painting</v>
      </c>
      <c r="D4817" s="2" t="str">
        <f>IFERROR(__xludf.DUMMYFUNCTION("""COMPUTED_VALUE"""),"Harbormark House")</f>
        <v>Harbormark House</v>
      </c>
      <c r="E4817" s="2">
        <f>IFERROR(__xludf.DUMMYFUNCTION("""COMPUTED_VALUE"""),53.06)</f>
        <v>53.06</v>
      </c>
      <c r="F4817" s="2"/>
      <c r="G4817" s="2"/>
      <c r="H4817" s="2"/>
      <c r="I4817" s="2"/>
    </row>
    <row r="4818">
      <c r="A4818" s="2">
        <f>IFERROR(__xludf.DUMMYFUNCTION("""COMPUTED_VALUE"""),116964.0)</f>
        <v>116964</v>
      </c>
      <c r="B4818" s="2" t="str">
        <f>IFERROR(__xludf.DUMMYFUNCTION("""COMPUTED_VALUE"""),"Sports")</f>
        <v>Sports</v>
      </c>
      <c r="C4818" s="2" t="str">
        <f>IFERROR(__xludf.DUMMYFUNCTION("""COMPUTED_VALUE"""),"Drawing")</f>
        <v>Drawing</v>
      </c>
      <c r="D4818" s="2" t="str">
        <f>IFERROR(__xludf.DUMMYFUNCTION("""COMPUTED_VALUE"""),"Cedarmark House")</f>
        <v>Cedarmark House</v>
      </c>
      <c r="E4818" s="2">
        <f>IFERROR(__xludf.DUMMYFUNCTION("""COMPUTED_VALUE"""),13.57)</f>
        <v>13.57</v>
      </c>
      <c r="F4818" s="2"/>
      <c r="G4818" s="2"/>
      <c r="H4818" s="2"/>
      <c r="I4818" s="2"/>
    </row>
    <row r="4819">
      <c r="A4819" s="2">
        <f>IFERROR(__xludf.DUMMYFUNCTION("""COMPUTED_VALUE"""),122340.0)</f>
        <v>122340</v>
      </c>
      <c r="B4819" s="2" t="str">
        <f>IFERROR(__xludf.DUMMYFUNCTION("""COMPUTED_VALUE"""),"Sports")</f>
        <v>Sports</v>
      </c>
      <c r="C4819" s="2" t="str">
        <f>IFERROR(__xludf.DUMMYFUNCTION("""COMPUTED_VALUE"""),"Drawing")</f>
        <v>Drawing</v>
      </c>
      <c r="D4819" s="2" t="str">
        <f>IFERROR(__xludf.DUMMYFUNCTION("""COMPUTED_VALUE"""),"Cedarmark House")</f>
        <v>Cedarmark House</v>
      </c>
      <c r="E4819" s="2">
        <f>IFERROR(__xludf.DUMMYFUNCTION("""COMPUTED_VALUE"""),2.39)</f>
        <v>2.39</v>
      </c>
      <c r="F4819" s="2"/>
      <c r="G4819" s="2"/>
      <c r="H4819" s="2"/>
      <c r="I4819" s="2"/>
    </row>
    <row r="4820">
      <c r="A4820" s="2">
        <f>IFERROR(__xludf.DUMMYFUNCTION("""COMPUTED_VALUE"""),116963.0)</f>
        <v>116963</v>
      </c>
      <c r="B4820" s="2" t="str">
        <f>IFERROR(__xludf.DUMMYFUNCTION("""COMPUTED_VALUE"""),"Sports")</f>
        <v>Sports</v>
      </c>
      <c r="C4820" s="2" t="str">
        <f>IFERROR(__xludf.DUMMYFUNCTION("""COMPUTED_VALUE"""),"Drawing")</f>
        <v>Drawing</v>
      </c>
      <c r="D4820" s="2" t="str">
        <f>IFERROR(__xludf.DUMMYFUNCTION("""COMPUTED_VALUE"""),"Cedarmark House")</f>
        <v>Cedarmark House</v>
      </c>
      <c r="E4820" s="2">
        <f>IFERROR(__xludf.DUMMYFUNCTION("""COMPUTED_VALUE"""),13.42)</f>
        <v>13.42</v>
      </c>
      <c r="F4820" s="2"/>
      <c r="G4820" s="2"/>
      <c r="H4820" s="2"/>
      <c r="I4820" s="2"/>
    </row>
    <row r="4821">
      <c r="A4821" s="2">
        <f>IFERROR(__xludf.DUMMYFUNCTION("""COMPUTED_VALUE"""),120241.0)</f>
        <v>120241</v>
      </c>
      <c r="B4821" s="2" t="str">
        <f>IFERROR(__xludf.DUMMYFUNCTION("""COMPUTED_VALUE"""),"Sports")</f>
        <v>Sports</v>
      </c>
      <c r="C4821" s="2" t="str">
        <f>IFERROR(__xludf.DUMMYFUNCTION("""COMPUTED_VALUE"""),"Drawing")</f>
        <v>Drawing</v>
      </c>
      <c r="D4821" s="2" t="str">
        <f>IFERROR(__xludf.DUMMYFUNCTION("""COMPUTED_VALUE"""),"Cedarmark House")</f>
        <v>Cedarmark House</v>
      </c>
      <c r="E4821" s="2">
        <f>IFERROR(__xludf.DUMMYFUNCTION("""COMPUTED_VALUE"""),8.31)</f>
        <v>8.31</v>
      </c>
      <c r="F4821" s="2"/>
      <c r="G4821" s="2"/>
      <c r="H4821" s="2"/>
      <c r="I4821" s="2"/>
    </row>
    <row r="4822">
      <c r="A4822" s="2">
        <f>IFERROR(__xludf.DUMMYFUNCTION("""COMPUTED_VALUE"""),120205.0)</f>
        <v>120205</v>
      </c>
      <c r="B4822" s="2" t="str">
        <f>IFERROR(__xludf.DUMMYFUNCTION("""COMPUTED_VALUE"""),"Sports")</f>
        <v>Sports</v>
      </c>
      <c r="C4822" s="2" t="str">
        <f>IFERROR(__xludf.DUMMYFUNCTION("""COMPUTED_VALUE"""),"Drawing")</f>
        <v>Drawing</v>
      </c>
      <c r="D4822" s="2" t="str">
        <f>IFERROR(__xludf.DUMMYFUNCTION("""COMPUTED_VALUE"""),"Cedarmark House")</f>
        <v>Cedarmark House</v>
      </c>
      <c r="E4822" s="2">
        <f>IFERROR(__xludf.DUMMYFUNCTION("""COMPUTED_VALUE"""),5.55)</f>
        <v>5.55</v>
      </c>
      <c r="F4822" s="2"/>
      <c r="G4822" s="2"/>
      <c r="H4822" s="2"/>
      <c r="I4822" s="2"/>
    </row>
    <row r="4823">
      <c r="A4823" s="2">
        <f>IFERROR(__xludf.DUMMYFUNCTION("""COMPUTED_VALUE"""),104162.0)</f>
        <v>104162</v>
      </c>
      <c r="B4823" s="2" t="str">
        <f>IFERROR(__xludf.DUMMYFUNCTION("""COMPUTED_VALUE"""),"Sports")</f>
        <v>Sports</v>
      </c>
      <c r="C4823" s="2" t="str">
        <f>IFERROR(__xludf.DUMMYFUNCTION("""COMPUTED_VALUE"""),"Drawing")</f>
        <v>Drawing</v>
      </c>
      <c r="D4823" s="2" t="str">
        <f>IFERROR(__xludf.DUMMYFUNCTION("""COMPUTED_VALUE"""),"Cedarmark House")</f>
        <v>Cedarmark House</v>
      </c>
      <c r="E4823" s="2">
        <f>IFERROR(__xludf.DUMMYFUNCTION("""COMPUTED_VALUE"""),5.03)</f>
        <v>5.03</v>
      </c>
      <c r="F4823" s="2"/>
      <c r="G4823" s="2"/>
      <c r="H4823" s="2"/>
      <c r="I4823" s="2"/>
    </row>
    <row r="4824">
      <c r="A4824" s="2">
        <f>IFERROR(__xludf.DUMMYFUNCTION("""COMPUTED_VALUE"""),110792.0)</f>
        <v>110792</v>
      </c>
      <c r="B4824" s="2" t="str">
        <f>IFERROR(__xludf.DUMMYFUNCTION("""COMPUTED_VALUE"""),"Sports")</f>
        <v>Sports</v>
      </c>
      <c r="C4824" s="2" t="str">
        <f>IFERROR(__xludf.DUMMYFUNCTION("""COMPUTED_VALUE"""),"Drawing")</f>
        <v>Drawing</v>
      </c>
      <c r="D4824" s="2" t="str">
        <f>IFERROR(__xludf.DUMMYFUNCTION("""COMPUTED_VALUE"""),"Cedarmark House")</f>
        <v>Cedarmark House</v>
      </c>
      <c r="E4824" s="2">
        <f>IFERROR(__xludf.DUMMYFUNCTION("""COMPUTED_VALUE"""),10.54)</f>
        <v>10.54</v>
      </c>
      <c r="F4824" s="2"/>
      <c r="G4824" s="2"/>
      <c r="H4824" s="2"/>
      <c r="I4824" s="2"/>
    </row>
    <row r="4825">
      <c r="A4825" s="2">
        <f>IFERROR(__xludf.DUMMYFUNCTION("""COMPUTED_VALUE"""),104169.0)</f>
        <v>104169</v>
      </c>
      <c r="B4825" s="2" t="str">
        <f>IFERROR(__xludf.DUMMYFUNCTION("""COMPUTED_VALUE"""),"Sports")</f>
        <v>Sports</v>
      </c>
      <c r="C4825" s="2" t="str">
        <f>IFERROR(__xludf.DUMMYFUNCTION("""COMPUTED_VALUE"""),"Drawing")</f>
        <v>Drawing</v>
      </c>
      <c r="D4825" s="2" t="str">
        <f>IFERROR(__xludf.DUMMYFUNCTION("""COMPUTED_VALUE"""),"Brightmark House")</f>
        <v>Brightmark House</v>
      </c>
      <c r="E4825" s="2">
        <f>IFERROR(__xludf.DUMMYFUNCTION("""COMPUTED_VALUE"""),6.3)</f>
        <v>6.3</v>
      </c>
      <c r="F4825" s="2"/>
      <c r="G4825" s="2"/>
      <c r="H4825" s="2"/>
      <c r="I4825" s="2"/>
    </row>
    <row r="4826">
      <c r="A4826" s="2">
        <f>IFERROR(__xludf.DUMMYFUNCTION("""COMPUTED_VALUE"""),111957.0)</f>
        <v>111957</v>
      </c>
      <c r="B4826" s="2" t="str">
        <f>IFERROR(__xludf.DUMMYFUNCTION("""COMPUTED_VALUE"""),"Sports")</f>
        <v>Sports</v>
      </c>
      <c r="C4826" s="2" t="str">
        <f>IFERROR(__xludf.DUMMYFUNCTION("""COMPUTED_VALUE"""),"Drawing")</f>
        <v>Drawing</v>
      </c>
      <c r="D4826" s="2" t="str">
        <f>IFERROR(__xludf.DUMMYFUNCTION("""COMPUTED_VALUE"""),"Oakmark House")</f>
        <v>Oakmark House</v>
      </c>
      <c r="E4826" s="2">
        <f>IFERROR(__xludf.DUMMYFUNCTION("""COMPUTED_VALUE"""),11.58)</f>
        <v>11.58</v>
      </c>
      <c r="F4826" s="2"/>
      <c r="G4826" s="2"/>
      <c r="H4826" s="2"/>
      <c r="I4826" s="2"/>
    </row>
    <row r="4827">
      <c r="A4827" s="2">
        <f>IFERROR(__xludf.DUMMYFUNCTION("""COMPUTED_VALUE"""),89201.0)</f>
        <v>89201</v>
      </c>
      <c r="B4827" s="2" t="str">
        <f>IFERROR(__xludf.DUMMYFUNCTION("""COMPUTED_VALUE"""),"Sports")</f>
        <v>Sports</v>
      </c>
      <c r="C4827" s="2" t="str">
        <f>IFERROR(__xludf.DUMMYFUNCTION("""COMPUTED_VALUE"""),"Drawing")</f>
        <v>Drawing</v>
      </c>
      <c r="D4827" s="2" t="str">
        <f>IFERROR(__xludf.DUMMYFUNCTION("""COMPUTED_VALUE"""),"Oakmark House")</f>
        <v>Oakmark House</v>
      </c>
      <c r="E4827" s="2">
        <f>IFERROR(__xludf.DUMMYFUNCTION("""COMPUTED_VALUE"""),12.21)</f>
        <v>12.21</v>
      </c>
      <c r="F4827" s="2"/>
      <c r="G4827" s="2"/>
      <c r="H4827" s="2"/>
      <c r="I4827" s="2"/>
    </row>
    <row r="4828">
      <c r="A4828" s="2">
        <f>IFERROR(__xludf.DUMMYFUNCTION("""COMPUTED_VALUE"""),87305.0)</f>
        <v>87305</v>
      </c>
      <c r="B4828" s="2" t="str">
        <f>IFERROR(__xludf.DUMMYFUNCTION("""COMPUTED_VALUE"""),"Sports")</f>
        <v>Sports</v>
      </c>
      <c r="C4828" s="2" t="str">
        <f>IFERROR(__xludf.DUMMYFUNCTION("""COMPUTED_VALUE"""),"Drawing")</f>
        <v>Drawing</v>
      </c>
      <c r="D4828" s="2" t="str">
        <f>IFERROR(__xludf.DUMMYFUNCTION("""COMPUTED_VALUE"""),"Oakmark House")</f>
        <v>Oakmark House</v>
      </c>
      <c r="E4828" s="2">
        <f>IFERROR(__xludf.DUMMYFUNCTION("""COMPUTED_VALUE"""),2.77)</f>
        <v>2.77</v>
      </c>
      <c r="F4828" s="2"/>
      <c r="G4828" s="2"/>
      <c r="H4828" s="2"/>
      <c r="I4828" s="2"/>
    </row>
    <row r="4829">
      <c r="A4829" s="2">
        <f>IFERROR(__xludf.DUMMYFUNCTION("""COMPUTED_VALUE"""),3480.0)</f>
        <v>3480</v>
      </c>
      <c r="B4829" s="2" t="str">
        <f>IFERROR(__xludf.DUMMYFUNCTION("""COMPUTED_VALUE"""),"Sports")</f>
        <v>Sports</v>
      </c>
      <c r="C4829" s="2" t="str">
        <f>IFERROR(__xludf.DUMMYFUNCTION("""COMPUTED_VALUE"""),"Drawing")</f>
        <v>Drawing</v>
      </c>
      <c r="D4829" s="2" t="str">
        <f>IFERROR(__xludf.DUMMYFUNCTION("""COMPUTED_VALUE"""),"Oakmark House")</f>
        <v>Oakmark House</v>
      </c>
      <c r="E4829" s="2">
        <f>IFERROR(__xludf.DUMMYFUNCTION("""COMPUTED_VALUE"""),13.21)</f>
        <v>13.21</v>
      </c>
      <c r="F4829" s="2"/>
      <c r="G4829" s="2"/>
      <c r="H4829" s="2"/>
      <c r="I4829" s="2"/>
    </row>
    <row r="4830">
      <c r="A4830" s="2">
        <f>IFERROR(__xludf.DUMMYFUNCTION("""COMPUTED_VALUE"""),116817.0)</f>
        <v>116817</v>
      </c>
      <c r="B4830" s="2" t="str">
        <f>IFERROR(__xludf.DUMMYFUNCTION("""COMPUTED_VALUE"""),"Sports")</f>
        <v>Sports</v>
      </c>
      <c r="C4830" s="2" t="str">
        <f>IFERROR(__xludf.DUMMYFUNCTION("""COMPUTED_VALUE"""),"Drawing")</f>
        <v>Drawing</v>
      </c>
      <c r="D4830" s="2" t="str">
        <f>IFERROR(__xludf.DUMMYFUNCTION("""COMPUTED_VALUE"""),"Oakmark House")</f>
        <v>Oakmark House</v>
      </c>
      <c r="E4830" s="2">
        <f>IFERROR(__xludf.DUMMYFUNCTION("""COMPUTED_VALUE"""),10.71)</f>
        <v>10.71</v>
      </c>
      <c r="F4830" s="2"/>
      <c r="G4830" s="2"/>
      <c r="H4830" s="2"/>
      <c r="I4830" s="2"/>
    </row>
    <row r="4831">
      <c r="A4831" s="2">
        <f>IFERROR(__xludf.DUMMYFUNCTION("""COMPUTED_VALUE"""),47209.0)</f>
        <v>47209</v>
      </c>
      <c r="B4831" s="2" t="str">
        <f>IFERROR(__xludf.DUMMYFUNCTION("""COMPUTED_VALUE"""),"Sports")</f>
        <v>Sports</v>
      </c>
      <c r="C4831" s="2" t="str">
        <f>IFERROR(__xludf.DUMMYFUNCTION("""COMPUTED_VALUE"""),"Drawing")</f>
        <v>Drawing</v>
      </c>
      <c r="D4831" s="2" t="str">
        <f>IFERROR(__xludf.DUMMYFUNCTION("""COMPUTED_VALUE"""),"Oakmark House")</f>
        <v>Oakmark House</v>
      </c>
      <c r="E4831" s="2">
        <f>IFERROR(__xludf.DUMMYFUNCTION("""COMPUTED_VALUE"""),9.73)</f>
        <v>9.73</v>
      </c>
      <c r="F4831" s="2"/>
      <c r="G4831" s="2"/>
      <c r="H4831" s="2"/>
      <c r="I4831" s="2"/>
    </row>
    <row r="4832">
      <c r="A4832" s="2">
        <f>IFERROR(__xludf.DUMMYFUNCTION("""COMPUTED_VALUE"""),68213.0)</f>
        <v>68213</v>
      </c>
      <c r="B4832" s="2" t="str">
        <f>IFERROR(__xludf.DUMMYFUNCTION("""COMPUTED_VALUE"""),"Sports")</f>
        <v>Sports</v>
      </c>
      <c r="C4832" s="2" t="str">
        <f>IFERROR(__xludf.DUMMYFUNCTION("""COMPUTED_VALUE"""),"Drawing")</f>
        <v>Drawing</v>
      </c>
      <c r="D4832" s="2" t="str">
        <f>IFERROR(__xludf.DUMMYFUNCTION("""COMPUTED_VALUE"""),"Rivermark House")</f>
        <v>Rivermark House</v>
      </c>
      <c r="E4832" s="2">
        <f>IFERROR(__xludf.DUMMYFUNCTION("""COMPUTED_VALUE"""),6.14)</f>
        <v>6.14</v>
      </c>
      <c r="F4832" s="2"/>
      <c r="G4832" s="2"/>
      <c r="H4832" s="2"/>
      <c r="I4832" s="2"/>
    </row>
    <row r="4833">
      <c r="A4833" s="2">
        <f>IFERROR(__xludf.DUMMYFUNCTION("""COMPUTED_VALUE"""),100999.0)</f>
        <v>100999</v>
      </c>
      <c r="B4833" s="2" t="str">
        <f>IFERROR(__xludf.DUMMYFUNCTION("""COMPUTED_VALUE"""),"Sports")</f>
        <v>Sports</v>
      </c>
      <c r="C4833" s="2" t="str">
        <f>IFERROR(__xludf.DUMMYFUNCTION("""COMPUTED_VALUE"""),"Drawing")</f>
        <v>Drawing</v>
      </c>
      <c r="D4833" s="2" t="str">
        <f>IFERROR(__xludf.DUMMYFUNCTION("""COMPUTED_VALUE"""),"Rivermark House")</f>
        <v>Rivermark House</v>
      </c>
      <c r="E4833" s="2">
        <f>IFERROR(__xludf.DUMMYFUNCTION("""COMPUTED_VALUE"""),14.38)</f>
        <v>14.38</v>
      </c>
      <c r="F4833" s="2"/>
      <c r="G4833" s="2"/>
      <c r="H4833" s="2"/>
      <c r="I4833" s="2"/>
    </row>
    <row r="4834">
      <c r="A4834" s="2">
        <f>IFERROR(__xludf.DUMMYFUNCTION("""COMPUTED_VALUE"""),119241.0)</f>
        <v>119241</v>
      </c>
      <c r="B4834" s="2" t="str">
        <f>IFERROR(__xludf.DUMMYFUNCTION("""COMPUTED_VALUE"""),"Sports")</f>
        <v>Sports</v>
      </c>
      <c r="C4834" s="2" t="str">
        <f>IFERROR(__xludf.DUMMYFUNCTION("""COMPUTED_VALUE"""),"Drawing")</f>
        <v>Drawing</v>
      </c>
      <c r="D4834" s="2" t="str">
        <f>IFERROR(__xludf.DUMMYFUNCTION("""COMPUTED_VALUE"""),"Rivermark House")</f>
        <v>Rivermark House</v>
      </c>
      <c r="E4834" s="2">
        <f>IFERROR(__xludf.DUMMYFUNCTION("""COMPUTED_VALUE"""),1.89)</f>
        <v>1.89</v>
      </c>
      <c r="F4834" s="2"/>
      <c r="G4834" s="2"/>
      <c r="H4834" s="2"/>
      <c r="I4834" s="2"/>
    </row>
    <row r="4835">
      <c r="A4835" s="2">
        <f>IFERROR(__xludf.DUMMYFUNCTION("""COMPUTED_VALUE"""),133917.0)</f>
        <v>133917</v>
      </c>
      <c r="B4835" s="2" t="str">
        <f>IFERROR(__xludf.DUMMYFUNCTION("""COMPUTED_VALUE"""),"Sports")</f>
        <v>Sports</v>
      </c>
      <c r="C4835" s="2" t="str">
        <f>IFERROR(__xludf.DUMMYFUNCTION("""COMPUTED_VALUE"""),"Drawing")</f>
        <v>Drawing</v>
      </c>
      <c r="D4835" s="2" t="str">
        <f>IFERROR(__xludf.DUMMYFUNCTION("""COMPUTED_VALUE"""),"Rivermark House")</f>
        <v>Rivermark House</v>
      </c>
      <c r="E4835" s="2">
        <f>IFERROR(__xludf.DUMMYFUNCTION("""COMPUTED_VALUE"""),5.87)</f>
        <v>5.87</v>
      </c>
      <c r="F4835" s="2"/>
      <c r="G4835" s="2"/>
      <c r="H4835" s="2"/>
      <c r="I4835" s="2"/>
    </row>
    <row r="4836">
      <c r="A4836" s="2">
        <f>IFERROR(__xludf.DUMMYFUNCTION("""COMPUTED_VALUE"""),128334.0)</f>
        <v>128334</v>
      </c>
      <c r="B4836" s="2" t="str">
        <f>IFERROR(__xludf.DUMMYFUNCTION("""COMPUTED_VALUE"""),"Sports")</f>
        <v>Sports</v>
      </c>
      <c r="C4836" s="2" t="str">
        <f>IFERROR(__xludf.DUMMYFUNCTION("""COMPUTED_VALUE"""),"Drawing")</f>
        <v>Drawing</v>
      </c>
      <c r="D4836" s="2" t="str">
        <f>IFERROR(__xludf.DUMMYFUNCTION("""COMPUTED_VALUE"""),"Rivermark House")</f>
        <v>Rivermark House</v>
      </c>
      <c r="E4836" s="2">
        <f>IFERROR(__xludf.DUMMYFUNCTION("""COMPUTED_VALUE"""),23.49)</f>
        <v>23.49</v>
      </c>
      <c r="F4836" s="2"/>
      <c r="G4836" s="2"/>
      <c r="H4836" s="2"/>
      <c r="I4836" s="2"/>
    </row>
    <row r="4837">
      <c r="A4837" s="2">
        <f>IFERROR(__xludf.DUMMYFUNCTION("""COMPUTED_VALUE"""),113235.0)</f>
        <v>113235</v>
      </c>
      <c r="B4837" s="2" t="str">
        <f>IFERROR(__xludf.DUMMYFUNCTION("""COMPUTED_VALUE"""),"Sports")</f>
        <v>Sports</v>
      </c>
      <c r="C4837" s="2" t="str">
        <f>IFERROR(__xludf.DUMMYFUNCTION("""COMPUTED_VALUE"""),"Drawing")</f>
        <v>Drawing</v>
      </c>
      <c r="D4837" s="2" t="str">
        <f>IFERROR(__xludf.DUMMYFUNCTION("""COMPUTED_VALUE"""),"Rivermark House")</f>
        <v>Rivermark House</v>
      </c>
      <c r="E4837" s="2">
        <f>IFERROR(__xludf.DUMMYFUNCTION("""COMPUTED_VALUE"""),6.71)</f>
        <v>6.71</v>
      </c>
      <c r="F4837" s="2"/>
      <c r="G4837" s="2"/>
      <c r="H4837" s="2"/>
      <c r="I4837" s="2"/>
    </row>
    <row r="4838">
      <c r="A4838" s="2">
        <f>IFERROR(__xludf.DUMMYFUNCTION("""COMPUTED_VALUE"""),113249.0)</f>
        <v>113249</v>
      </c>
      <c r="B4838" s="2" t="str">
        <f>IFERROR(__xludf.DUMMYFUNCTION("""COMPUTED_VALUE"""),"Sports")</f>
        <v>Sports</v>
      </c>
      <c r="C4838" s="2" t="str">
        <f>IFERROR(__xludf.DUMMYFUNCTION("""COMPUTED_VALUE"""),"Drawing")</f>
        <v>Drawing</v>
      </c>
      <c r="D4838" s="2" t="str">
        <f>IFERROR(__xludf.DUMMYFUNCTION("""COMPUTED_VALUE"""),"Ironmark House")</f>
        <v>Ironmark House</v>
      </c>
      <c r="E4838" s="2">
        <f>IFERROR(__xludf.DUMMYFUNCTION("""COMPUTED_VALUE"""),7.15)</f>
        <v>7.15</v>
      </c>
      <c r="F4838" s="2"/>
      <c r="G4838" s="2"/>
      <c r="H4838" s="2"/>
      <c r="I4838" s="2"/>
    </row>
    <row r="4839">
      <c r="A4839" s="2">
        <f>IFERROR(__xludf.DUMMYFUNCTION("""COMPUTED_VALUE"""),89210.0)</f>
        <v>89210</v>
      </c>
      <c r="B4839" s="2" t="str">
        <f>IFERROR(__xludf.DUMMYFUNCTION("""COMPUTED_VALUE"""),"Sports")</f>
        <v>Sports</v>
      </c>
      <c r="C4839" s="2" t="str">
        <f>IFERROR(__xludf.DUMMYFUNCTION("""COMPUTED_VALUE"""),"Drawing")</f>
        <v>Drawing</v>
      </c>
      <c r="D4839" s="2" t="str">
        <f>IFERROR(__xludf.DUMMYFUNCTION("""COMPUTED_VALUE"""),"Ironmark House")</f>
        <v>Ironmark House</v>
      </c>
      <c r="E4839" s="2">
        <f>IFERROR(__xludf.DUMMYFUNCTION("""COMPUTED_VALUE"""),12.55)</f>
        <v>12.55</v>
      </c>
      <c r="F4839" s="2"/>
      <c r="G4839" s="2"/>
      <c r="H4839" s="2"/>
      <c r="I4839" s="2"/>
    </row>
    <row r="4840">
      <c r="A4840" s="2">
        <f>IFERROR(__xludf.DUMMYFUNCTION("""COMPUTED_VALUE"""),104170.0)</f>
        <v>104170</v>
      </c>
      <c r="B4840" s="2" t="str">
        <f>IFERROR(__xludf.DUMMYFUNCTION("""COMPUTED_VALUE"""),"Sports")</f>
        <v>Sports</v>
      </c>
      <c r="C4840" s="2" t="str">
        <f>IFERROR(__xludf.DUMMYFUNCTION("""COMPUTED_VALUE"""),"Drawing")</f>
        <v>Drawing</v>
      </c>
      <c r="D4840" s="2" t="str">
        <f>IFERROR(__xludf.DUMMYFUNCTION("""COMPUTED_VALUE"""),"Silvertree House")</f>
        <v>Silvertree House</v>
      </c>
      <c r="E4840" s="2">
        <f>IFERROR(__xludf.DUMMYFUNCTION("""COMPUTED_VALUE"""),6.07)</f>
        <v>6.07</v>
      </c>
      <c r="F4840" s="2"/>
      <c r="G4840" s="2"/>
      <c r="H4840" s="2"/>
      <c r="I4840" s="2"/>
    </row>
    <row r="4841">
      <c r="A4841" s="2">
        <f>IFERROR(__xludf.DUMMYFUNCTION("""COMPUTED_VALUE"""),18671.0)</f>
        <v>18671</v>
      </c>
      <c r="B4841" s="2" t="str">
        <f>IFERROR(__xludf.DUMMYFUNCTION("""COMPUTED_VALUE"""),"Sports")</f>
        <v>Sports</v>
      </c>
      <c r="C4841" s="2" t="str">
        <f>IFERROR(__xludf.DUMMYFUNCTION("""COMPUTED_VALUE"""),"Drawing")</f>
        <v>Drawing</v>
      </c>
      <c r="D4841" s="2" t="str">
        <f>IFERROR(__xludf.DUMMYFUNCTION("""COMPUTED_VALUE"""),"Silvertree House")</f>
        <v>Silvertree House</v>
      </c>
      <c r="E4841" s="2">
        <f>IFERROR(__xludf.DUMMYFUNCTION("""COMPUTED_VALUE"""),16.67)</f>
        <v>16.67</v>
      </c>
      <c r="F4841" s="2"/>
      <c r="G4841" s="2"/>
      <c r="H4841" s="2"/>
      <c r="I4841" s="2"/>
    </row>
    <row r="4842">
      <c r="A4842" s="2">
        <f>IFERROR(__xludf.DUMMYFUNCTION("""COMPUTED_VALUE"""),83804.0)</f>
        <v>83804</v>
      </c>
      <c r="B4842" s="2" t="str">
        <f>IFERROR(__xludf.DUMMYFUNCTION("""COMPUTED_VALUE"""),"Sports")</f>
        <v>Sports</v>
      </c>
      <c r="C4842" s="2" t="str">
        <f>IFERROR(__xludf.DUMMYFUNCTION("""COMPUTED_VALUE"""),"Drawing")</f>
        <v>Drawing</v>
      </c>
      <c r="D4842" s="2" t="str">
        <f>IFERROR(__xludf.DUMMYFUNCTION("""COMPUTED_VALUE"""),"Silvertree House")</f>
        <v>Silvertree House</v>
      </c>
      <c r="E4842" s="2">
        <f>IFERROR(__xludf.DUMMYFUNCTION("""COMPUTED_VALUE"""),10.55)</f>
        <v>10.55</v>
      </c>
      <c r="F4842" s="2"/>
      <c r="G4842" s="2"/>
      <c r="H4842" s="2"/>
      <c r="I4842" s="2"/>
    </row>
    <row r="4843">
      <c r="A4843" s="2">
        <f>IFERROR(__xludf.DUMMYFUNCTION("""COMPUTED_VALUE"""),104415.0)</f>
        <v>104415</v>
      </c>
      <c r="B4843" s="2" t="str">
        <f>IFERROR(__xludf.DUMMYFUNCTION("""COMPUTED_VALUE"""),"Sports")</f>
        <v>Sports</v>
      </c>
      <c r="C4843" s="2" t="str">
        <f>IFERROR(__xludf.DUMMYFUNCTION("""COMPUTED_VALUE"""),"Drawing")</f>
        <v>Drawing</v>
      </c>
      <c r="D4843" s="2" t="str">
        <f>IFERROR(__xludf.DUMMYFUNCTION("""COMPUTED_VALUE"""),"Silvertree House")</f>
        <v>Silvertree House</v>
      </c>
      <c r="E4843" s="2">
        <f>IFERROR(__xludf.DUMMYFUNCTION("""COMPUTED_VALUE"""),6.41)</f>
        <v>6.41</v>
      </c>
      <c r="F4843" s="2"/>
      <c r="G4843" s="2"/>
      <c r="H4843" s="2"/>
      <c r="I4843" s="2"/>
    </row>
    <row r="4844">
      <c r="A4844" s="2">
        <f>IFERROR(__xludf.DUMMYFUNCTION("""COMPUTED_VALUE"""),78351.0)</f>
        <v>78351</v>
      </c>
      <c r="B4844" s="2" t="str">
        <f>IFERROR(__xludf.DUMMYFUNCTION("""COMPUTED_VALUE"""),"Sports")</f>
        <v>Sports</v>
      </c>
      <c r="C4844" s="2" t="str">
        <f>IFERROR(__xludf.DUMMYFUNCTION("""COMPUTED_VALUE"""),"Drawing")</f>
        <v>Drawing</v>
      </c>
      <c r="D4844" s="2" t="str">
        <f>IFERROR(__xludf.DUMMYFUNCTION("""COMPUTED_VALUE"""),"Silvertree House")</f>
        <v>Silvertree House</v>
      </c>
      <c r="E4844" s="2">
        <f>IFERROR(__xludf.DUMMYFUNCTION("""COMPUTED_VALUE"""),11.31)</f>
        <v>11.31</v>
      </c>
      <c r="F4844" s="2"/>
      <c r="G4844" s="2"/>
      <c r="H4844" s="2"/>
      <c r="I4844" s="2"/>
    </row>
    <row r="4845">
      <c r="A4845" s="2">
        <f>IFERROR(__xludf.DUMMYFUNCTION("""COMPUTED_VALUE"""),112174.0)</f>
        <v>112174</v>
      </c>
      <c r="B4845" s="2" t="str">
        <f>IFERROR(__xludf.DUMMYFUNCTION("""COMPUTED_VALUE"""),"Sports")</f>
        <v>Sports</v>
      </c>
      <c r="C4845" s="2" t="str">
        <f>IFERROR(__xludf.DUMMYFUNCTION("""COMPUTED_VALUE"""),"Drawing")</f>
        <v>Drawing</v>
      </c>
      <c r="D4845" s="2" t="str">
        <f>IFERROR(__xludf.DUMMYFUNCTION("""COMPUTED_VALUE"""),"Silvertree House")</f>
        <v>Silvertree House</v>
      </c>
      <c r="E4845" s="2">
        <f>IFERROR(__xludf.DUMMYFUNCTION("""COMPUTED_VALUE"""),15.17)</f>
        <v>15.17</v>
      </c>
      <c r="F4845" s="2"/>
      <c r="G4845" s="2"/>
      <c r="H4845" s="2"/>
      <c r="I4845" s="2"/>
    </row>
    <row r="4846">
      <c r="A4846" s="2">
        <f>IFERROR(__xludf.DUMMYFUNCTION("""COMPUTED_VALUE"""),120248.0)</f>
        <v>120248</v>
      </c>
      <c r="B4846" s="2" t="str">
        <f>IFERROR(__xludf.DUMMYFUNCTION("""COMPUTED_VALUE"""),"Sports")</f>
        <v>Sports</v>
      </c>
      <c r="C4846" s="2" t="str">
        <f>IFERROR(__xludf.DUMMYFUNCTION("""COMPUTED_VALUE"""),"Drawing")</f>
        <v>Drawing</v>
      </c>
      <c r="D4846" s="2" t="str">
        <f>IFERROR(__xludf.DUMMYFUNCTION("""COMPUTED_VALUE"""),"Silvertree House")</f>
        <v>Silvertree House</v>
      </c>
      <c r="E4846" s="2">
        <f>IFERROR(__xludf.DUMMYFUNCTION("""COMPUTED_VALUE"""),6.76)</f>
        <v>6.76</v>
      </c>
      <c r="F4846" s="2"/>
      <c r="G4846" s="2"/>
      <c r="H4846" s="2"/>
      <c r="I4846" s="2"/>
    </row>
    <row r="4847">
      <c r="A4847" s="2">
        <f>IFERROR(__xludf.DUMMYFUNCTION("""COMPUTED_VALUE"""),18672.0)</f>
        <v>18672</v>
      </c>
      <c r="B4847" s="2" t="str">
        <f>IFERROR(__xludf.DUMMYFUNCTION("""COMPUTED_VALUE"""),"Sports")</f>
        <v>Sports</v>
      </c>
      <c r="C4847" s="2" t="str">
        <f>IFERROR(__xludf.DUMMYFUNCTION("""COMPUTED_VALUE"""),"Drawing")</f>
        <v>Drawing</v>
      </c>
      <c r="D4847" s="2" t="str">
        <f>IFERROR(__xludf.DUMMYFUNCTION("""COMPUTED_VALUE"""),"Silvertree House")</f>
        <v>Silvertree House</v>
      </c>
      <c r="E4847" s="2">
        <f>IFERROR(__xludf.DUMMYFUNCTION("""COMPUTED_VALUE"""),19.93)</f>
        <v>19.93</v>
      </c>
      <c r="F4847" s="2"/>
      <c r="G4847" s="2"/>
      <c r="H4847" s="2"/>
      <c r="I4847" s="2"/>
    </row>
    <row r="4848">
      <c r="A4848" s="2">
        <f>IFERROR(__xludf.DUMMYFUNCTION("""COMPUTED_VALUE"""),13517.0)</f>
        <v>13517</v>
      </c>
      <c r="B4848" s="2" t="str">
        <f>IFERROR(__xludf.DUMMYFUNCTION("""COMPUTED_VALUE"""),"Sports")</f>
        <v>Sports</v>
      </c>
      <c r="C4848" s="2" t="str">
        <f>IFERROR(__xludf.DUMMYFUNCTION("""COMPUTED_VALUE"""),"Drawing")</f>
        <v>Drawing</v>
      </c>
      <c r="D4848" s="2" t="str">
        <f>IFERROR(__xludf.DUMMYFUNCTION("""COMPUTED_VALUE"""),"Silvertree House")</f>
        <v>Silvertree House</v>
      </c>
      <c r="E4848" s="2">
        <f>IFERROR(__xludf.DUMMYFUNCTION("""COMPUTED_VALUE"""),3.68)</f>
        <v>3.68</v>
      </c>
      <c r="F4848" s="2"/>
      <c r="G4848" s="2"/>
      <c r="H4848" s="2"/>
      <c r="I4848" s="2"/>
    </row>
    <row r="4849">
      <c r="A4849" s="2">
        <f>IFERROR(__xludf.DUMMYFUNCTION("""COMPUTED_VALUE"""),119896.0)</f>
        <v>119896</v>
      </c>
      <c r="B4849" s="2" t="str">
        <f>IFERROR(__xludf.DUMMYFUNCTION("""COMPUTED_VALUE"""),"Sports")</f>
        <v>Sports</v>
      </c>
      <c r="C4849" s="2" t="str">
        <f>IFERROR(__xludf.DUMMYFUNCTION("""COMPUTED_VALUE"""),"Drawing")</f>
        <v>Drawing</v>
      </c>
      <c r="D4849" s="2" t="str">
        <f>IFERROR(__xludf.DUMMYFUNCTION("""COMPUTED_VALUE"""),"Silvertree House")</f>
        <v>Silvertree House</v>
      </c>
      <c r="E4849" s="2">
        <f>IFERROR(__xludf.DUMMYFUNCTION("""COMPUTED_VALUE"""),10.23)</f>
        <v>10.23</v>
      </c>
      <c r="F4849" s="2"/>
      <c r="G4849" s="2"/>
      <c r="H4849" s="2"/>
      <c r="I4849" s="2"/>
    </row>
    <row r="4850">
      <c r="A4850" s="2">
        <f>IFERROR(__xludf.DUMMYFUNCTION("""COMPUTED_VALUE"""),120249.0)</f>
        <v>120249</v>
      </c>
      <c r="B4850" s="2" t="str">
        <f>IFERROR(__xludf.DUMMYFUNCTION("""COMPUTED_VALUE"""),"Sports")</f>
        <v>Sports</v>
      </c>
      <c r="C4850" s="2" t="str">
        <f>IFERROR(__xludf.DUMMYFUNCTION("""COMPUTED_VALUE"""),"Drawing")</f>
        <v>Drawing</v>
      </c>
      <c r="D4850" s="2" t="str">
        <f>IFERROR(__xludf.DUMMYFUNCTION("""COMPUTED_VALUE"""),"Silvertree House")</f>
        <v>Silvertree House</v>
      </c>
      <c r="E4850" s="2">
        <f>IFERROR(__xludf.DUMMYFUNCTION("""COMPUTED_VALUE"""),7.7)</f>
        <v>7.7</v>
      </c>
      <c r="F4850" s="2"/>
      <c r="G4850" s="2"/>
      <c r="H4850" s="2"/>
      <c r="I4850" s="2"/>
    </row>
    <row r="4851">
      <c r="A4851" s="2">
        <f>IFERROR(__xludf.DUMMYFUNCTION("""COMPUTED_VALUE"""),78352.0)</f>
        <v>78352</v>
      </c>
      <c r="B4851" s="2" t="str">
        <f>IFERROR(__xludf.DUMMYFUNCTION("""COMPUTED_VALUE"""),"Sports")</f>
        <v>Sports</v>
      </c>
      <c r="C4851" s="2" t="str">
        <f>IFERROR(__xludf.DUMMYFUNCTION("""COMPUTED_VALUE"""),"Drawing")</f>
        <v>Drawing</v>
      </c>
      <c r="D4851" s="2" t="str">
        <f>IFERROR(__xludf.DUMMYFUNCTION("""COMPUTED_VALUE"""),"Silvertree House")</f>
        <v>Silvertree House</v>
      </c>
      <c r="E4851" s="2">
        <f>IFERROR(__xludf.DUMMYFUNCTION("""COMPUTED_VALUE"""),6.33)</f>
        <v>6.33</v>
      </c>
      <c r="F4851" s="2"/>
      <c r="G4851" s="2"/>
      <c r="H4851" s="2"/>
      <c r="I4851" s="2"/>
    </row>
    <row r="4852">
      <c r="A4852" s="2">
        <f>IFERROR(__xludf.DUMMYFUNCTION("""COMPUTED_VALUE"""),45630.0)</f>
        <v>45630</v>
      </c>
      <c r="B4852" s="2" t="str">
        <f>IFERROR(__xludf.DUMMYFUNCTION("""COMPUTED_VALUE"""),"Sports")</f>
        <v>Sports</v>
      </c>
      <c r="C4852" s="2" t="str">
        <f>IFERROR(__xludf.DUMMYFUNCTION("""COMPUTED_VALUE"""),"Drawing")</f>
        <v>Drawing</v>
      </c>
      <c r="D4852" s="2" t="str">
        <f>IFERROR(__xludf.DUMMYFUNCTION("""COMPUTED_VALUE"""),"Northtree House")</f>
        <v>Northtree House</v>
      </c>
      <c r="E4852" s="2">
        <f>IFERROR(__xludf.DUMMYFUNCTION("""COMPUTED_VALUE"""),3.97)</f>
        <v>3.97</v>
      </c>
      <c r="F4852" s="2"/>
      <c r="G4852" s="2"/>
      <c r="H4852" s="2"/>
      <c r="I4852" s="2"/>
    </row>
    <row r="4853">
      <c r="A4853" s="2">
        <f>IFERROR(__xludf.DUMMYFUNCTION("""COMPUTED_VALUE"""),99726.0)</f>
        <v>99726</v>
      </c>
      <c r="B4853" s="2" t="str">
        <f>IFERROR(__xludf.DUMMYFUNCTION("""COMPUTED_VALUE"""),"Sports")</f>
        <v>Sports</v>
      </c>
      <c r="C4853" s="2" t="str">
        <f>IFERROR(__xludf.DUMMYFUNCTION("""COMPUTED_VALUE"""),"Drawing")</f>
        <v>Drawing</v>
      </c>
      <c r="D4853" s="2" t="str">
        <f>IFERROR(__xludf.DUMMYFUNCTION("""COMPUTED_VALUE"""),"Northtree House")</f>
        <v>Northtree House</v>
      </c>
      <c r="E4853" s="2">
        <f>IFERROR(__xludf.DUMMYFUNCTION("""COMPUTED_VALUE"""),7.89)</f>
        <v>7.89</v>
      </c>
      <c r="F4853" s="2"/>
      <c r="G4853" s="2"/>
      <c r="H4853" s="2"/>
      <c r="I4853" s="2"/>
    </row>
    <row r="4854">
      <c r="A4854" s="2">
        <f>IFERROR(__xludf.DUMMYFUNCTION("""COMPUTED_VALUE"""),88619.0)</f>
        <v>88619</v>
      </c>
      <c r="B4854" s="2" t="str">
        <f>IFERROR(__xludf.DUMMYFUNCTION("""COMPUTED_VALUE"""),"Sports")</f>
        <v>Sports</v>
      </c>
      <c r="C4854" s="2" t="str">
        <f>IFERROR(__xludf.DUMMYFUNCTION("""COMPUTED_VALUE"""),"Drawing")</f>
        <v>Drawing</v>
      </c>
      <c r="D4854" s="2" t="str">
        <f>IFERROR(__xludf.DUMMYFUNCTION("""COMPUTED_VALUE"""),"Northtree House")</f>
        <v>Northtree House</v>
      </c>
      <c r="E4854" s="2">
        <f>IFERROR(__xludf.DUMMYFUNCTION("""COMPUTED_VALUE"""),4.59)</f>
        <v>4.59</v>
      </c>
      <c r="F4854" s="2"/>
      <c r="G4854" s="2"/>
      <c r="H4854" s="2"/>
      <c r="I4854" s="2"/>
    </row>
    <row r="4855">
      <c r="A4855" s="2">
        <f>IFERROR(__xludf.DUMMYFUNCTION("""COMPUTED_VALUE"""),73430.0)</f>
        <v>73430</v>
      </c>
      <c r="B4855" s="2" t="str">
        <f>IFERROR(__xludf.DUMMYFUNCTION("""COMPUTED_VALUE"""),"Sports")</f>
        <v>Sports</v>
      </c>
      <c r="C4855" s="2" t="str">
        <f>IFERROR(__xludf.DUMMYFUNCTION("""COMPUTED_VALUE"""),"Drawing")</f>
        <v>Drawing</v>
      </c>
      <c r="D4855" s="2" t="str">
        <f>IFERROR(__xludf.DUMMYFUNCTION("""COMPUTED_VALUE"""),"Northtree House")</f>
        <v>Northtree House</v>
      </c>
      <c r="E4855" s="2">
        <f>IFERROR(__xludf.DUMMYFUNCTION("""COMPUTED_VALUE"""),7.04)</f>
        <v>7.04</v>
      </c>
      <c r="F4855" s="2"/>
      <c r="G4855" s="2"/>
      <c r="H4855" s="2"/>
      <c r="I4855" s="2"/>
    </row>
    <row r="4856">
      <c r="A4856" s="2">
        <f>IFERROR(__xludf.DUMMYFUNCTION("""COMPUTED_VALUE"""),98939.0)</f>
        <v>98939</v>
      </c>
      <c r="B4856" s="2" t="str">
        <f>IFERROR(__xludf.DUMMYFUNCTION("""COMPUTED_VALUE"""),"Sports")</f>
        <v>Sports</v>
      </c>
      <c r="C4856" s="2" t="str">
        <f>IFERROR(__xludf.DUMMYFUNCTION("""COMPUTED_VALUE"""),"Drawing")</f>
        <v>Drawing</v>
      </c>
      <c r="D4856" s="2" t="str">
        <f>IFERROR(__xludf.DUMMYFUNCTION("""COMPUTED_VALUE"""),"Harbortree House")</f>
        <v>Harbortree House</v>
      </c>
      <c r="E4856" s="2">
        <f>IFERROR(__xludf.DUMMYFUNCTION("""COMPUTED_VALUE"""),11.25)</f>
        <v>11.25</v>
      </c>
      <c r="F4856" s="2"/>
      <c r="G4856" s="2"/>
      <c r="H4856" s="2"/>
      <c r="I4856" s="2"/>
    </row>
    <row r="4857">
      <c r="A4857" s="2">
        <f>IFERROR(__xludf.DUMMYFUNCTION("""COMPUTED_VALUE"""),45826.0)</f>
        <v>45826</v>
      </c>
      <c r="B4857" s="2" t="str">
        <f>IFERROR(__xludf.DUMMYFUNCTION("""COMPUTED_VALUE"""),"Sports")</f>
        <v>Sports</v>
      </c>
      <c r="C4857" s="2" t="str">
        <f>IFERROR(__xludf.DUMMYFUNCTION("""COMPUTED_VALUE"""),"Drawing")</f>
        <v>Drawing</v>
      </c>
      <c r="D4857" s="2" t="str">
        <f>IFERROR(__xludf.DUMMYFUNCTION("""COMPUTED_VALUE"""),"Harbortree House")</f>
        <v>Harbortree House</v>
      </c>
      <c r="E4857" s="2">
        <f>IFERROR(__xludf.DUMMYFUNCTION("""COMPUTED_VALUE"""),13.25)</f>
        <v>13.25</v>
      </c>
      <c r="F4857" s="2"/>
      <c r="G4857" s="2"/>
      <c r="H4857" s="2"/>
      <c r="I4857" s="2"/>
    </row>
    <row r="4858">
      <c r="A4858" s="2">
        <f>IFERROR(__xludf.DUMMYFUNCTION("""COMPUTED_VALUE"""),100797.0)</f>
        <v>100797</v>
      </c>
      <c r="B4858" s="2" t="str">
        <f>IFERROR(__xludf.DUMMYFUNCTION("""COMPUTED_VALUE"""),"Sports")</f>
        <v>Sports</v>
      </c>
      <c r="C4858" s="2" t="str">
        <f>IFERROR(__xludf.DUMMYFUNCTION("""COMPUTED_VALUE"""),"Drawing")</f>
        <v>Drawing</v>
      </c>
      <c r="D4858" s="2" t="str">
        <f>IFERROR(__xludf.DUMMYFUNCTION("""COMPUTED_VALUE"""),"Harbortree House")</f>
        <v>Harbortree House</v>
      </c>
      <c r="E4858" s="2">
        <f>IFERROR(__xludf.DUMMYFUNCTION("""COMPUTED_VALUE"""),5.76)</f>
        <v>5.76</v>
      </c>
      <c r="F4858" s="2"/>
      <c r="G4858" s="2"/>
      <c r="H4858" s="2"/>
      <c r="I4858" s="2"/>
    </row>
    <row r="4859">
      <c r="A4859" s="2">
        <f>IFERROR(__xludf.DUMMYFUNCTION("""COMPUTED_VALUE"""),104429.0)</f>
        <v>104429</v>
      </c>
      <c r="B4859" s="2" t="str">
        <f>IFERROR(__xludf.DUMMYFUNCTION("""COMPUTED_VALUE"""),"Sports")</f>
        <v>Sports</v>
      </c>
      <c r="C4859" s="2" t="str">
        <f>IFERROR(__xludf.DUMMYFUNCTION("""COMPUTED_VALUE"""),"Drawing")</f>
        <v>Drawing</v>
      </c>
      <c r="D4859" s="2" t="str">
        <f>IFERROR(__xludf.DUMMYFUNCTION("""COMPUTED_VALUE"""),"Cedartree House")</f>
        <v>Cedartree House</v>
      </c>
      <c r="E4859" s="2">
        <f>IFERROR(__xludf.DUMMYFUNCTION("""COMPUTED_VALUE"""),6.19)</f>
        <v>6.19</v>
      </c>
      <c r="F4859" s="2"/>
      <c r="G4859" s="2"/>
      <c r="H4859" s="2"/>
      <c r="I4859" s="2"/>
    </row>
    <row r="4860">
      <c r="A4860" s="2">
        <f>IFERROR(__xludf.DUMMYFUNCTION("""COMPUTED_VALUE"""),119806.0)</f>
        <v>119806</v>
      </c>
      <c r="B4860" s="2" t="str">
        <f>IFERROR(__xludf.DUMMYFUNCTION("""COMPUTED_VALUE"""),"Sports")</f>
        <v>Sports</v>
      </c>
      <c r="C4860" s="2" t="str">
        <f>IFERROR(__xludf.DUMMYFUNCTION("""COMPUTED_VALUE"""),"Drawing")</f>
        <v>Drawing</v>
      </c>
      <c r="D4860" s="2" t="str">
        <f>IFERROR(__xludf.DUMMYFUNCTION("""COMPUTED_VALUE"""),"Cedartree House")</f>
        <v>Cedartree House</v>
      </c>
      <c r="E4860" s="2">
        <f>IFERROR(__xludf.DUMMYFUNCTION("""COMPUTED_VALUE"""),8.87)</f>
        <v>8.87</v>
      </c>
      <c r="F4860" s="2"/>
      <c r="G4860" s="2"/>
      <c r="H4860" s="2"/>
      <c r="I4860" s="2"/>
    </row>
    <row r="4861">
      <c r="A4861" s="2">
        <f>IFERROR(__xludf.DUMMYFUNCTION("""COMPUTED_VALUE"""),120734.0)</f>
        <v>120734</v>
      </c>
      <c r="B4861" s="2" t="str">
        <f>IFERROR(__xludf.DUMMYFUNCTION("""COMPUTED_VALUE"""),"Sports")</f>
        <v>Sports</v>
      </c>
      <c r="C4861" s="2" t="str">
        <f>IFERROR(__xludf.DUMMYFUNCTION("""COMPUTED_VALUE"""),"Drawing")</f>
        <v>Drawing</v>
      </c>
      <c r="D4861" s="2" t="str">
        <f>IFERROR(__xludf.DUMMYFUNCTION("""COMPUTED_VALUE"""),"Brighttree House")</f>
        <v>Brighttree House</v>
      </c>
      <c r="E4861" s="2">
        <f>IFERROR(__xludf.DUMMYFUNCTION("""COMPUTED_VALUE"""),10.75)</f>
        <v>10.75</v>
      </c>
      <c r="F4861" s="2"/>
      <c r="G4861" s="2"/>
      <c r="H4861" s="2"/>
      <c r="I4861" s="2"/>
    </row>
    <row r="4862">
      <c r="A4862" s="2">
        <f>IFERROR(__xludf.DUMMYFUNCTION("""COMPUTED_VALUE"""),104423.0)</f>
        <v>104423</v>
      </c>
      <c r="B4862" s="2" t="str">
        <f>IFERROR(__xludf.DUMMYFUNCTION("""COMPUTED_VALUE"""),"Sports")</f>
        <v>Sports</v>
      </c>
      <c r="C4862" s="2" t="str">
        <f>IFERROR(__xludf.DUMMYFUNCTION("""COMPUTED_VALUE"""),"Drawing")</f>
        <v>Drawing</v>
      </c>
      <c r="D4862" s="2" t="str">
        <f>IFERROR(__xludf.DUMMYFUNCTION("""COMPUTED_VALUE"""),"Brighttree House")</f>
        <v>Brighttree House</v>
      </c>
      <c r="E4862" s="2">
        <f>IFERROR(__xludf.DUMMYFUNCTION("""COMPUTED_VALUE"""),8.06)</f>
        <v>8.06</v>
      </c>
      <c r="F4862" s="2"/>
      <c r="G4862" s="2"/>
      <c r="H4862" s="2"/>
      <c r="I4862" s="2"/>
    </row>
    <row r="4863">
      <c r="A4863" s="2">
        <f>IFERROR(__xludf.DUMMYFUNCTION("""COMPUTED_VALUE"""),120286.0)</f>
        <v>120286</v>
      </c>
      <c r="B4863" s="2" t="str">
        <f>IFERROR(__xludf.DUMMYFUNCTION("""COMPUTED_VALUE"""),"Sports")</f>
        <v>Sports</v>
      </c>
      <c r="C4863" s="2" t="str">
        <f>IFERROR(__xludf.DUMMYFUNCTION("""COMPUTED_VALUE"""),"Drawing")</f>
        <v>Drawing</v>
      </c>
      <c r="D4863" s="2" t="str">
        <f>IFERROR(__xludf.DUMMYFUNCTION("""COMPUTED_VALUE"""),"Brighttree House")</f>
        <v>Brighttree House</v>
      </c>
      <c r="E4863" s="2">
        <f>IFERROR(__xludf.DUMMYFUNCTION("""COMPUTED_VALUE"""),9.97)</f>
        <v>9.97</v>
      </c>
      <c r="F4863" s="2"/>
      <c r="G4863" s="2"/>
      <c r="H4863" s="2"/>
      <c r="I4863" s="2"/>
    </row>
    <row r="4864">
      <c r="A4864" s="2">
        <f>IFERROR(__xludf.DUMMYFUNCTION("""COMPUTED_VALUE"""),81838.0)</f>
        <v>81838</v>
      </c>
      <c r="B4864" s="2" t="str">
        <f>IFERROR(__xludf.DUMMYFUNCTION("""COMPUTED_VALUE"""),"Sports")</f>
        <v>Sports</v>
      </c>
      <c r="C4864" s="2" t="str">
        <f>IFERROR(__xludf.DUMMYFUNCTION("""COMPUTED_VALUE"""),"Drawing")</f>
        <v>Drawing</v>
      </c>
      <c r="D4864" s="2" t="str">
        <f>IFERROR(__xludf.DUMMYFUNCTION("""COMPUTED_VALUE"""),"Brighttree House")</f>
        <v>Brighttree House</v>
      </c>
      <c r="E4864" s="2">
        <f>IFERROR(__xludf.DUMMYFUNCTION("""COMPUTED_VALUE"""),6.98)</f>
        <v>6.98</v>
      </c>
      <c r="F4864" s="2"/>
      <c r="G4864" s="2"/>
      <c r="H4864" s="2"/>
      <c r="I4864" s="2"/>
    </row>
    <row r="4865">
      <c r="A4865" s="2">
        <f>IFERROR(__xludf.DUMMYFUNCTION("""COMPUTED_VALUE"""),117718.0)</f>
        <v>117718</v>
      </c>
      <c r="B4865" s="2" t="str">
        <f>IFERROR(__xludf.DUMMYFUNCTION("""COMPUTED_VALUE"""),"Sports")</f>
        <v>Sports</v>
      </c>
      <c r="C4865" s="2" t="str">
        <f>IFERROR(__xludf.DUMMYFUNCTION("""COMPUTED_VALUE"""),"Drawing")</f>
        <v>Drawing</v>
      </c>
      <c r="D4865" s="2" t="str">
        <f>IFERROR(__xludf.DUMMYFUNCTION("""COMPUTED_VALUE"""),"Brighttree House")</f>
        <v>Brighttree House</v>
      </c>
      <c r="E4865" s="2">
        <f>IFERROR(__xludf.DUMMYFUNCTION("""COMPUTED_VALUE"""),5.22)</f>
        <v>5.22</v>
      </c>
      <c r="F4865" s="2"/>
      <c r="G4865" s="2"/>
      <c r="H4865" s="2"/>
      <c r="I4865" s="2"/>
    </row>
    <row r="4866">
      <c r="A4866" s="2">
        <f>IFERROR(__xludf.DUMMYFUNCTION("""COMPUTED_VALUE"""),70611.0)</f>
        <v>70611</v>
      </c>
      <c r="B4866" s="2" t="str">
        <f>IFERROR(__xludf.DUMMYFUNCTION("""COMPUTED_VALUE"""),"Sports")</f>
        <v>Sports</v>
      </c>
      <c r="C4866" s="2" t="str">
        <f>IFERROR(__xludf.DUMMYFUNCTION("""COMPUTED_VALUE"""),"Drawing")</f>
        <v>Drawing</v>
      </c>
      <c r="D4866" s="2" t="str">
        <f>IFERROR(__xludf.DUMMYFUNCTION("""COMPUTED_VALUE"""),"Oaktree House")</f>
        <v>Oaktree House</v>
      </c>
      <c r="E4866" s="2">
        <f>IFERROR(__xludf.DUMMYFUNCTION("""COMPUTED_VALUE"""),5.66)</f>
        <v>5.66</v>
      </c>
      <c r="F4866" s="2"/>
      <c r="G4866" s="2"/>
      <c r="H4866" s="2"/>
      <c r="I4866" s="2"/>
    </row>
    <row r="4867">
      <c r="A4867" s="2">
        <f>IFERROR(__xludf.DUMMYFUNCTION("""COMPUTED_VALUE"""),110848.0)</f>
        <v>110848</v>
      </c>
      <c r="B4867" s="2" t="str">
        <f>IFERROR(__xludf.DUMMYFUNCTION("""COMPUTED_VALUE"""),"Sports")</f>
        <v>Sports</v>
      </c>
      <c r="C4867" s="2" t="str">
        <f>IFERROR(__xludf.DUMMYFUNCTION("""COMPUTED_VALUE"""),"Drawing")</f>
        <v>Drawing</v>
      </c>
      <c r="D4867" s="2" t="str">
        <f>IFERROR(__xludf.DUMMYFUNCTION("""COMPUTED_VALUE"""),"Oaktree House")</f>
        <v>Oaktree House</v>
      </c>
      <c r="E4867" s="2">
        <f>IFERROR(__xludf.DUMMYFUNCTION("""COMPUTED_VALUE"""),4.61)</f>
        <v>4.61</v>
      </c>
      <c r="F4867" s="2"/>
      <c r="G4867" s="2"/>
      <c r="H4867" s="2"/>
      <c r="I4867" s="2"/>
    </row>
    <row r="4868">
      <c r="A4868" s="2">
        <f>IFERROR(__xludf.DUMMYFUNCTION("""COMPUTED_VALUE"""),107925.0)</f>
        <v>107925</v>
      </c>
      <c r="B4868" s="2" t="str">
        <f>IFERROR(__xludf.DUMMYFUNCTION("""COMPUTED_VALUE"""),"Sports")</f>
        <v>Sports</v>
      </c>
      <c r="C4868" s="2" t="str">
        <f>IFERROR(__xludf.DUMMYFUNCTION("""COMPUTED_VALUE"""),"Drawing")</f>
        <v>Drawing</v>
      </c>
      <c r="D4868" s="2" t="str">
        <f>IFERROR(__xludf.DUMMYFUNCTION("""COMPUTED_VALUE"""),"Oaktree House")</f>
        <v>Oaktree House</v>
      </c>
      <c r="E4868" s="2">
        <f>IFERROR(__xludf.DUMMYFUNCTION("""COMPUTED_VALUE"""),11.02)</f>
        <v>11.02</v>
      </c>
      <c r="F4868" s="2"/>
      <c r="G4868" s="2"/>
      <c r="H4868" s="2"/>
      <c r="I4868" s="2"/>
    </row>
    <row r="4869">
      <c r="A4869" s="2">
        <f>IFERROR(__xludf.DUMMYFUNCTION("""COMPUTED_VALUE"""),156038.0)</f>
        <v>156038</v>
      </c>
      <c r="B4869" s="2" t="str">
        <f>IFERROR(__xludf.DUMMYFUNCTION("""COMPUTED_VALUE"""),"Sports")</f>
        <v>Sports</v>
      </c>
      <c r="C4869" s="2" t="str">
        <f>IFERROR(__xludf.DUMMYFUNCTION("""COMPUTED_VALUE"""),"Drawing")</f>
        <v>Drawing</v>
      </c>
      <c r="D4869" s="2" t="str">
        <f>IFERROR(__xludf.DUMMYFUNCTION("""COMPUTED_VALUE"""),"Oaktree House")</f>
        <v>Oaktree House</v>
      </c>
      <c r="E4869" s="2">
        <f>IFERROR(__xludf.DUMMYFUNCTION("""COMPUTED_VALUE"""),12.45)</f>
        <v>12.45</v>
      </c>
      <c r="F4869" s="2"/>
      <c r="G4869" s="2"/>
      <c r="H4869" s="2"/>
      <c r="I4869" s="2"/>
    </row>
    <row r="4870">
      <c r="A4870" s="2">
        <f>IFERROR(__xludf.DUMMYFUNCTION("""COMPUTED_VALUE"""),117392.0)</f>
        <v>117392</v>
      </c>
      <c r="B4870" s="2" t="str">
        <f>IFERROR(__xludf.DUMMYFUNCTION("""COMPUTED_VALUE"""),"Sports")</f>
        <v>Sports</v>
      </c>
      <c r="C4870" s="2" t="str">
        <f>IFERROR(__xludf.DUMMYFUNCTION("""COMPUTED_VALUE"""),"Drawing")</f>
        <v>Drawing</v>
      </c>
      <c r="D4870" s="2" t="str">
        <f>IFERROR(__xludf.DUMMYFUNCTION("""COMPUTED_VALUE"""),"Oaktree House")</f>
        <v>Oaktree House</v>
      </c>
      <c r="E4870" s="2">
        <f>IFERROR(__xludf.DUMMYFUNCTION("""COMPUTED_VALUE"""),6.33)</f>
        <v>6.33</v>
      </c>
      <c r="F4870" s="2"/>
      <c r="G4870" s="2"/>
      <c r="H4870" s="2"/>
      <c r="I4870" s="2"/>
    </row>
    <row r="4871">
      <c r="A4871" s="2">
        <f>IFERROR(__xludf.DUMMYFUNCTION("""COMPUTED_VALUE"""),86620.0)</f>
        <v>86620</v>
      </c>
      <c r="B4871" s="2" t="str">
        <f>IFERROR(__xludf.DUMMYFUNCTION("""COMPUTED_VALUE"""),"Sports")</f>
        <v>Sports</v>
      </c>
      <c r="C4871" s="2" t="str">
        <f>IFERROR(__xludf.DUMMYFUNCTION("""COMPUTED_VALUE"""),"Drawing")</f>
        <v>Drawing</v>
      </c>
      <c r="D4871" s="2" t="str">
        <f>IFERROR(__xludf.DUMMYFUNCTION("""COMPUTED_VALUE"""),"Oaktree House")</f>
        <v>Oaktree House</v>
      </c>
      <c r="E4871" s="2">
        <f>IFERROR(__xludf.DUMMYFUNCTION("""COMPUTED_VALUE"""),4.8)</f>
        <v>4.8</v>
      </c>
      <c r="F4871" s="2"/>
      <c r="G4871" s="2"/>
      <c r="H4871" s="2"/>
      <c r="I4871" s="2"/>
    </row>
    <row r="4872">
      <c r="A4872" s="2">
        <f>IFERROR(__xludf.DUMMYFUNCTION("""COMPUTED_VALUE"""),27871.0)</f>
        <v>27871</v>
      </c>
      <c r="B4872" s="2" t="str">
        <f>IFERROR(__xludf.DUMMYFUNCTION("""COMPUTED_VALUE"""),"Sports")</f>
        <v>Sports</v>
      </c>
      <c r="C4872" s="2" t="str">
        <f>IFERROR(__xludf.DUMMYFUNCTION("""COMPUTED_VALUE"""),"Drawing")</f>
        <v>Drawing</v>
      </c>
      <c r="D4872" s="2" t="str">
        <f>IFERROR(__xludf.DUMMYFUNCTION("""COMPUTED_VALUE"""),"Oaktree House")</f>
        <v>Oaktree House</v>
      </c>
      <c r="E4872" s="2">
        <f>IFERROR(__xludf.DUMMYFUNCTION("""COMPUTED_VALUE"""),7.87)</f>
        <v>7.87</v>
      </c>
      <c r="F4872" s="2"/>
      <c r="G4872" s="2"/>
      <c r="H4872" s="2"/>
      <c r="I4872" s="2"/>
    </row>
    <row r="4873">
      <c r="A4873" s="2">
        <f>IFERROR(__xludf.DUMMYFUNCTION("""COMPUTED_VALUE"""),82874.0)</f>
        <v>82874</v>
      </c>
      <c r="B4873" s="2" t="str">
        <f>IFERROR(__xludf.DUMMYFUNCTION("""COMPUTED_VALUE"""),"Sports")</f>
        <v>Sports</v>
      </c>
      <c r="C4873" s="2" t="str">
        <f>IFERROR(__xludf.DUMMYFUNCTION("""COMPUTED_VALUE"""),"Drawing")</f>
        <v>Drawing</v>
      </c>
      <c r="D4873" s="2" t="str">
        <f>IFERROR(__xludf.DUMMYFUNCTION("""COMPUTED_VALUE"""),"Oaktree House")</f>
        <v>Oaktree House</v>
      </c>
      <c r="E4873" s="2">
        <f>IFERROR(__xludf.DUMMYFUNCTION("""COMPUTED_VALUE"""),8.2)</f>
        <v>8.2</v>
      </c>
      <c r="F4873" s="2"/>
      <c r="G4873" s="2"/>
      <c r="H4873" s="2"/>
      <c r="I4873" s="2"/>
    </row>
    <row r="4874">
      <c r="A4874" s="2">
        <f>IFERROR(__xludf.DUMMYFUNCTION("""COMPUTED_VALUE"""),120292.0)</f>
        <v>120292</v>
      </c>
      <c r="B4874" s="2" t="str">
        <f>IFERROR(__xludf.DUMMYFUNCTION("""COMPUTED_VALUE"""),"Sports")</f>
        <v>Sports</v>
      </c>
      <c r="C4874" s="2" t="str">
        <f>IFERROR(__xludf.DUMMYFUNCTION("""COMPUTED_VALUE"""),"Drawing")</f>
        <v>Drawing</v>
      </c>
      <c r="D4874" s="2" t="str">
        <f>IFERROR(__xludf.DUMMYFUNCTION("""COMPUTED_VALUE"""),"Oaktree House")</f>
        <v>Oaktree House</v>
      </c>
      <c r="E4874" s="2">
        <f>IFERROR(__xludf.DUMMYFUNCTION("""COMPUTED_VALUE"""),6.31)</f>
        <v>6.31</v>
      </c>
      <c r="F4874" s="2"/>
      <c r="G4874" s="2"/>
      <c r="H4874" s="2"/>
      <c r="I4874" s="2"/>
    </row>
    <row r="4875">
      <c r="A4875" s="2">
        <f>IFERROR(__xludf.DUMMYFUNCTION("""COMPUTED_VALUE"""),120293.0)</f>
        <v>120293</v>
      </c>
      <c r="B4875" s="2" t="str">
        <f>IFERROR(__xludf.DUMMYFUNCTION("""COMPUTED_VALUE"""),"Sports")</f>
        <v>Sports</v>
      </c>
      <c r="C4875" s="2" t="str">
        <f>IFERROR(__xludf.DUMMYFUNCTION("""COMPUTED_VALUE"""),"Drawing")</f>
        <v>Drawing</v>
      </c>
      <c r="D4875" s="2" t="str">
        <f>IFERROR(__xludf.DUMMYFUNCTION("""COMPUTED_VALUE"""),"Oaktree House")</f>
        <v>Oaktree House</v>
      </c>
      <c r="E4875" s="2">
        <f>IFERROR(__xludf.DUMMYFUNCTION("""COMPUTED_VALUE"""),8.09)</f>
        <v>8.09</v>
      </c>
      <c r="F4875" s="2"/>
      <c r="G4875" s="2"/>
      <c r="H4875" s="2"/>
      <c r="I4875" s="2"/>
    </row>
    <row r="4876">
      <c r="A4876" s="2">
        <f>IFERROR(__xludf.DUMMYFUNCTION("""COMPUTED_VALUE"""),44522.0)</f>
        <v>44522</v>
      </c>
      <c r="B4876" s="2" t="str">
        <f>IFERROR(__xludf.DUMMYFUNCTION("""COMPUTED_VALUE"""),"Sports")</f>
        <v>Sports</v>
      </c>
      <c r="C4876" s="2" t="str">
        <f>IFERROR(__xludf.DUMMYFUNCTION("""COMPUTED_VALUE"""),"Drawing")</f>
        <v>Drawing</v>
      </c>
      <c r="D4876" s="2" t="str">
        <f>IFERROR(__xludf.DUMMYFUNCTION("""COMPUTED_VALUE"""),"Oaktree House")</f>
        <v>Oaktree House</v>
      </c>
      <c r="E4876" s="2">
        <f>IFERROR(__xludf.DUMMYFUNCTION("""COMPUTED_VALUE"""),5.94)</f>
        <v>5.94</v>
      </c>
      <c r="F4876" s="2"/>
      <c r="G4876" s="2"/>
      <c r="H4876" s="2"/>
      <c r="I4876" s="2"/>
    </row>
    <row r="4877">
      <c r="A4877" s="2">
        <f>IFERROR(__xludf.DUMMYFUNCTION("""COMPUTED_VALUE"""),143999.0)</f>
        <v>143999</v>
      </c>
      <c r="B4877" s="2" t="str">
        <f>IFERROR(__xludf.DUMMYFUNCTION("""COMPUTED_VALUE"""),"Sports")</f>
        <v>Sports</v>
      </c>
      <c r="C4877" s="2" t="str">
        <f>IFERROR(__xludf.DUMMYFUNCTION("""COMPUTED_VALUE"""),"Drawing")</f>
        <v>Drawing</v>
      </c>
      <c r="D4877" s="2" t="str">
        <f>IFERROR(__xludf.DUMMYFUNCTION("""COMPUTED_VALUE"""),"Oaktree House")</f>
        <v>Oaktree House</v>
      </c>
      <c r="E4877" s="2">
        <f>IFERROR(__xludf.DUMMYFUNCTION("""COMPUTED_VALUE"""),16.04)</f>
        <v>16.04</v>
      </c>
      <c r="F4877" s="2"/>
      <c r="G4877" s="2"/>
      <c r="H4877" s="2"/>
      <c r="I4877" s="2"/>
    </row>
    <row r="4878">
      <c r="A4878" s="2">
        <f>IFERROR(__xludf.DUMMYFUNCTION("""COMPUTED_VALUE"""),144000.0)</f>
        <v>144000</v>
      </c>
      <c r="B4878" s="2" t="str">
        <f>IFERROR(__xludf.DUMMYFUNCTION("""COMPUTED_VALUE"""),"Sports")</f>
        <v>Sports</v>
      </c>
      <c r="C4878" s="2" t="str">
        <f>IFERROR(__xludf.DUMMYFUNCTION("""COMPUTED_VALUE"""),"Drawing")</f>
        <v>Drawing</v>
      </c>
      <c r="D4878" s="2" t="str">
        <f>IFERROR(__xludf.DUMMYFUNCTION("""COMPUTED_VALUE"""),"Oaktree House")</f>
        <v>Oaktree House</v>
      </c>
      <c r="E4878" s="2">
        <f>IFERROR(__xludf.DUMMYFUNCTION("""COMPUTED_VALUE"""),25.74)</f>
        <v>25.74</v>
      </c>
      <c r="F4878" s="2"/>
      <c r="G4878" s="2"/>
      <c r="H4878" s="2"/>
      <c r="I4878" s="2"/>
    </row>
    <row r="4879">
      <c r="A4879" s="2">
        <f>IFERROR(__xludf.DUMMYFUNCTION("""COMPUTED_VALUE"""),91236.0)</f>
        <v>91236</v>
      </c>
      <c r="B4879" s="2" t="str">
        <f>IFERROR(__xludf.DUMMYFUNCTION("""COMPUTED_VALUE"""),"Sports")</f>
        <v>Sports</v>
      </c>
      <c r="C4879" s="2" t="str">
        <f>IFERROR(__xludf.DUMMYFUNCTION("""COMPUTED_VALUE"""),"Sculpture")</f>
        <v>Sculpture</v>
      </c>
      <c r="D4879" s="2" t="str">
        <f>IFERROR(__xludf.DUMMYFUNCTION("""COMPUTED_VALUE"""),"Rivertree House")</f>
        <v>Rivertree House</v>
      </c>
      <c r="E4879" s="2">
        <f>IFERROR(__xludf.DUMMYFUNCTION("""COMPUTED_VALUE"""),15.71)</f>
        <v>15.71</v>
      </c>
      <c r="F4879" s="2"/>
      <c r="G4879" s="2"/>
      <c r="H4879" s="2"/>
      <c r="I4879" s="2"/>
    </row>
    <row r="4880">
      <c r="A4880" s="2">
        <f>IFERROR(__xludf.DUMMYFUNCTION("""COMPUTED_VALUE"""),78213.0)</f>
        <v>78213</v>
      </c>
      <c r="B4880" s="2" t="str">
        <f>IFERROR(__xludf.DUMMYFUNCTION("""COMPUTED_VALUE"""),"Sports")</f>
        <v>Sports</v>
      </c>
      <c r="C4880" s="2" t="str">
        <f>IFERROR(__xludf.DUMMYFUNCTION("""COMPUTED_VALUE"""),"Sculpture")</f>
        <v>Sculpture</v>
      </c>
      <c r="D4880" s="2" t="str">
        <f>IFERROR(__xludf.DUMMYFUNCTION("""COMPUTED_VALUE"""),"Rivertree House")</f>
        <v>Rivertree House</v>
      </c>
      <c r="E4880" s="2">
        <f>IFERROR(__xludf.DUMMYFUNCTION("""COMPUTED_VALUE"""),10.19)</f>
        <v>10.19</v>
      </c>
      <c r="F4880" s="2"/>
      <c r="G4880" s="2"/>
      <c r="H4880" s="2"/>
      <c r="I4880" s="2"/>
    </row>
    <row r="4881">
      <c r="A4881" s="2">
        <f>IFERROR(__xludf.DUMMYFUNCTION("""COMPUTED_VALUE"""),119254.0)</f>
        <v>119254</v>
      </c>
      <c r="B4881" s="2" t="str">
        <f>IFERROR(__xludf.DUMMYFUNCTION("""COMPUTED_VALUE"""),"Sports")</f>
        <v>Sports</v>
      </c>
      <c r="C4881" s="2" t="str">
        <f>IFERROR(__xludf.DUMMYFUNCTION("""COMPUTED_VALUE"""),"Sculpture")</f>
        <v>Sculpture</v>
      </c>
      <c r="D4881" s="2" t="str">
        <f>IFERROR(__xludf.DUMMYFUNCTION("""COMPUTED_VALUE"""),"Rivertree House")</f>
        <v>Rivertree House</v>
      </c>
      <c r="E4881" s="2">
        <f>IFERROR(__xludf.DUMMYFUNCTION("""COMPUTED_VALUE"""),2.66)</f>
        <v>2.66</v>
      </c>
      <c r="F4881" s="2"/>
      <c r="G4881" s="2"/>
      <c r="H4881" s="2"/>
      <c r="I4881" s="2"/>
    </row>
    <row r="4882">
      <c r="A4882" s="2">
        <f>IFERROR(__xludf.DUMMYFUNCTION("""COMPUTED_VALUE"""),82149.0)</f>
        <v>82149</v>
      </c>
      <c r="B4882" s="2" t="str">
        <f>IFERROR(__xludf.DUMMYFUNCTION("""COMPUTED_VALUE"""),"Sports")</f>
        <v>Sports</v>
      </c>
      <c r="C4882" s="2" t="str">
        <f>IFERROR(__xludf.DUMMYFUNCTION("""COMPUTED_VALUE"""),"Sculpture")</f>
        <v>Sculpture</v>
      </c>
      <c r="D4882" s="2" t="str">
        <f>IFERROR(__xludf.DUMMYFUNCTION("""COMPUTED_VALUE"""),"Rivertree House")</f>
        <v>Rivertree House</v>
      </c>
      <c r="E4882" s="2">
        <f>IFERROR(__xludf.DUMMYFUNCTION("""COMPUTED_VALUE"""),10.2)</f>
        <v>10.2</v>
      </c>
      <c r="F4882" s="2"/>
      <c r="G4882" s="2"/>
      <c r="H4882" s="2"/>
      <c r="I4882" s="2"/>
    </row>
    <row r="4883">
      <c r="A4883" s="2">
        <f>IFERROR(__xludf.DUMMYFUNCTION("""COMPUTED_VALUE"""),30864.0)</f>
        <v>30864</v>
      </c>
      <c r="B4883" s="2" t="str">
        <f>IFERROR(__xludf.DUMMYFUNCTION("""COMPUTED_VALUE"""),"Sports")</f>
        <v>Sports</v>
      </c>
      <c r="C4883" s="2" t="str">
        <f>IFERROR(__xludf.DUMMYFUNCTION("""COMPUTED_VALUE"""),"Sculpture")</f>
        <v>Sculpture</v>
      </c>
      <c r="D4883" s="2" t="str">
        <f>IFERROR(__xludf.DUMMYFUNCTION("""COMPUTED_VALUE"""),"Rivertree House")</f>
        <v>Rivertree House</v>
      </c>
      <c r="E4883" s="2">
        <f>IFERROR(__xludf.DUMMYFUNCTION("""COMPUTED_VALUE"""),4.54)</f>
        <v>4.54</v>
      </c>
      <c r="F4883" s="2"/>
      <c r="G4883" s="2"/>
      <c r="H4883" s="2"/>
      <c r="I4883" s="2"/>
    </row>
    <row r="4884">
      <c r="A4884" s="2">
        <f>IFERROR(__xludf.DUMMYFUNCTION("""COMPUTED_VALUE"""),82148.0)</f>
        <v>82148</v>
      </c>
      <c r="B4884" s="2" t="str">
        <f>IFERROR(__xludf.DUMMYFUNCTION("""COMPUTED_VALUE"""),"Sports")</f>
        <v>Sports</v>
      </c>
      <c r="C4884" s="2" t="str">
        <f>IFERROR(__xludf.DUMMYFUNCTION("""COMPUTED_VALUE"""),"Sculpture")</f>
        <v>Sculpture</v>
      </c>
      <c r="D4884" s="2" t="str">
        <f>IFERROR(__xludf.DUMMYFUNCTION("""COMPUTED_VALUE"""),"Rivertree House")</f>
        <v>Rivertree House</v>
      </c>
      <c r="E4884" s="2">
        <f>IFERROR(__xludf.DUMMYFUNCTION("""COMPUTED_VALUE"""),4.18)</f>
        <v>4.18</v>
      </c>
      <c r="F4884" s="2"/>
      <c r="G4884" s="2"/>
      <c r="H4884" s="2"/>
      <c r="I4884" s="2"/>
    </row>
    <row r="4885">
      <c r="A4885" s="2">
        <f>IFERROR(__xludf.DUMMYFUNCTION("""COMPUTED_VALUE"""),78069.0)</f>
        <v>78069</v>
      </c>
      <c r="B4885" s="2" t="str">
        <f>IFERROR(__xludf.DUMMYFUNCTION("""COMPUTED_VALUE"""),"Sports")</f>
        <v>Sports</v>
      </c>
      <c r="C4885" s="2" t="str">
        <f>IFERROR(__xludf.DUMMYFUNCTION("""COMPUTED_VALUE"""),"Sculpture")</f>
        <v>Sculpture</v>
      </c>
      <c r="D4885" s="2" t="str">
        <f>IFERROR(__xludf.DUMMYFUNCTION("""COMPUTED_VALUE"""),"Rivertree House")</f>
        <v>Rivertree House</v>
      </c>
      <c r="E4885" s="2">
        <f>IFERROR(__xludf.DUMMYFUNCTION("""COMPUTED_VALUE"""),5.85)</f>
        <v>5.85</v>
      </c>
      <c r="F4885" s="2"/>
      <c r="G4885" s="2"/>
      <c r="H4885" s="2"/>
      <c r="I4885" s="2"/>
    </row>
    <row r="4886">
      <c r="A4886" s="2">
        <f>IFERROR(__xludf.DUMMYFUNCTION("""COMPUTED_VALUE"""),68623.0)</f>
        <v>68623</v>
      </c>
      <c r="B4886" s="2" t="str">
        <f>IFERROR(__xludf.DUMMYFUNCTION("""COMPUTED_VALUE"""),"Sports")</f>
        <v>Sports</v>
      </c>
      <c r="C4886" s="2" t="str">
        <f>IFERROR(__xludf.DUMMYFUNCTION("""COMPUTED_VALUE"""),"Sculpture")</f>
        <v>Sculpture</v>
      </c>
      <c r="D4886" s="2" t="str">
        <f>IFERROR(__xludf.DUMMYFUNCTION("""COMPUTED_VALUE"""),"Rivertree House")</f>
        <v>Rivertree House</v>
      </c>
      <c r="E4886" s="2">
        <f>IFERROR(__xludf.DUMMYFUNCTION("""COMPUTED_VALUE"""),11.3)</f>
        <v>11.3</v>
      </c>
      <c r="F4886" s="2"/>
      <c r="G4886" s="2"/>
      <c r="H4886" s="2"/>
      <c r="I4886" s="2"/>
    </row>
    <row r="4887">
      <c r="A4887" s="2">
        <f>IFERROR(__xludf.DUMMYFUNCTION("""COMPUTED_VALUE"""),108904.0)</f>
        <v>108904</v>
      </c>
      <c r="B4887" s="2" t="str">
        <f>IFERROR(__xludf.DUMMYFUNCTION("""COMPUTED_VALUE"""),"Sports")</f>
        <v>Sports</v>
      </c>
      <c r="C4887" s="2" t="str">
        <f>IFERROR(__xludf.DUMMYFUNCTION("""COMPUTED_VALUE"""),"Sculpture")</f>
        <v>Sculpture</v>
      </c>
      <c r="D4887" s="2" t="str">
        <f>IFERROR(__xludf.DUMMYFUNCTION("""COMPUTED_VALUE"""),"Rivertree House")</f>
        <v>Rivertree House</v>
      </c>
      <c r="E4887" s="2">
        <f>IFERROR(__xludf.DUMMYFUNCTION("""COMPUTED_VALUE"""),6.11)</f>
        <v>6.11</v>
      </c>
      <c r="F4887" s="2"/>
      <c r="G4887" s="2"/>
      <c r="H4887" s="2"/>
      <c r="I4887" s="2"/>
    </row>
    <row r="4888">
      <c r="A4888" s="2">
        <f>IFERROR(__xludf.DUMMYFUNCTION("""COMPUTED_VALUE"""),113967.0)</f>
        <v>113967</v>
      </c>
      <c r="B4888" s="2" t="str">
        <f>IFERROR(__xludf.DUMMYFUNCTION("""COMPUTED_VALUE"""),"Sports")</f>
        <v>Sports</v>
      </c>
      <c r="C4888" s="2" t="str">
        <f>IFERROR(__xludf.DUMMYFUNCTION("""COMPUTED_VALUE"""),"Sculpture")</f>
        <v>Sculpture</v>
      </c>
      <c r="D4888" s="2" t="str">
        <f>IFERROR(__xludf.DUMMYFUNCTION("""COMPUTED_VALUE"""),"Rivertree House")</f>
        <v>Rivertree House</v>
      </c>
      <c r="E4888" s="2">
        <f>IFERROR(__xludf.DUMMYFUNCTION("""COMPUTED_VALUE"""),9.19)</f>
        <v>9.19</v>
      </c>
      <c r="F4888" s="2"/>
      <c r="G4888" s="2"/>
      <c r="H4888" s="2"/>
      <c r="I4888" s="2"/>
    </row>
    <row r="4889">
      <c r="A4889" s="2">
        <f>IFERROR(__xludf.DUMMYFUNCTION("""COMPUTED_VALUE"""),10145.0)</f>
        <v>10145</v>
      </c>
      <c r="B4889" s="2" t="str">
        <f>IFERROR(__xludf.DUMMYFUNCTION("""COMPUTED_VALUE"""),"Sports")</f>
        <v>Sports</v>
      </c>
      <c r="C4889" s="2" t="str">
        <f>IFERROR(__xludf.DUMMYFUNCTION("""COMPUTED_VALUE"""),"Sculpture")</f>
        <v>Sculpture</v>
      </c>
      <c r="D4889" s="2" t="str">
        <f>IFERROR(__xludf.DUMMYFUNCTION("""COMPUTED_VALUE"""),"Irontree House")</f>
        <v>Irontree House</v>
      </c>
      <c r="E4889" s="2">
        <f>IFERROR(__xludf.DUMMYFUNCTION("""COMPUTED_VALUE"""),5.51)</f>
        <v>5.51</v>
      </c>
      <c r="F4889" s="2"/>
      <c r="G4889" s="2"/>
      <c r="H4889" s="2"/>
      <c r="I4889" s="2"/>
    </row>
    <row r="4890">
      <c r="A4890" s="2">
        <f>IFERROR(__xludf.DUMMYFUNCTION("""COMPUTED_VALUE"""),116960.0)</f>
        <v>116960</v>
      </c>
      <c r="B4890" s="2" t="str">
        <f>IFERROR(__xludf.DUMMYFUNCTION("""COMPUTED_VALUE"""),"Sports")</f>
        <v>Sports</v>
      </c>
      <c r="C4890" s="2" t="str">
        <f>IFERROR(__xludf.DUMMYFUNCTION("""COMPUTED_VALUE"""),"Sculpture")</f>
        <v>Sculpture</v>
      </c>
      <c r="D4890" s="2" t="str">
        <f>IFERROR(__xludf.DUMMYFUNCTION("""COMPUTED_VALUE"""),"Irontree House")</f>
        <v>Irontree House</v>
      </c>
      <c r="E4890" s="2">
        <f>IFERROR(__xludf.DUMMYFUNCTION("""COMPUTED_VALUE"""),7.67)</f>
        <v>7.67</v>
      </c>
      <c r="F4890" s="2"/>
      <c r="G4890" s="2"/>
      <c r="H4890" s="2"/>
      <c r="I4890" s="2"/>
    </row>
    <row r="4891">
      <c r="A4891" s="2">
        <f>IFERROR(__xludf.DUMMYFUNCTION("""COMPUTED_VALUE"""),103663.0)</f>
        <v>103663</v>
      </c>
      <c r="B4891" s="2" t="str">
        <f>IFERROR(__xludf.DUMMYFUNCTION("""COMPUTED_VALUE"""),"Sports")</f>
        <v>Sports</v>
      </c>
      <c r="C4891" s="2" t="str">
        <f>IFERROR(__xludf.DUMMYFUNCTION("""COMPUTED_VALUE"""),"Sculpture")</f>
        <v>Sculpture</v>
      </c>
      <c r="D4891" s="2" t="str">
        <f>IFERROR(__xludf.DUMMYFUNCTION("""COMPUTED_VALUE"""),"Irontree House")</f>
        <v>Irontree House</v>
      </c>
      <c r="E4891" s="2">
        <f>IFERROR(__xludf.DUMMYFUNCTION("""COMPUTED_VALUE"""),7.62)</f>
        <v>7.62</v>
      </c>
      <c r="F4891" s="2"/>
      <c r="G4891" s="2"/>
      <c r="H4891" s="2"/>
      <c r="I4891" s="2"/>
    </row>
    <row r="4892">
      <c r="A4892" s="2">
        <f>IFERROR(__xludf.DUMMYFUNCTION("""COMPUTED_VALUE"""),45983.0)</f>
        <v>45983</v>
      </c>
      <c r="B4892" s="2" t="str">
        <f>IFERROR(__xludf.DUMMYFUNCTION("""COMPUTED_VALUE"""),"Sports")</f>
        <v>Sports</v>
      </c>
      <c r="C4892" s="2" t="str">
        <f>IFERROR(__xludf.DUMMYFUNCTION("""COMPUTED_VALUE"""),"Sculpture")</f>
        <v>Sculpture</v>
      </c>
      <c r="D4892" s="2" t="str">
        <f>IFERROR(__xludf.DUMMYFUNCTION("""COMPUTED_VALUE"""),"Irontree House")</f>
        <v>Irontree House</v>
      </c>
      <c r="E4892" s="2">
        <f>IFERROR(__xludf.DUMMYFUNCTION("""COMPUTED_VALUE"""),7.29)</f>
        <v>7.29</v>
      </c>
      <c r="F4892" s="2"/>
      <c r="G4892" s="2"/>
      <c r="H4892" s="2"/>
      <c r="I4892" s="2"/>
    </row>
    <row r="4893">
      <c r="A4893" s="2">
        <f>IFERROR(__xludf.DUMMYFUNCTION("""COMPUTED_VALUE"""),103662.0)</f>
        <v>103662</v>
      </c>
      <c r="B4893" s="2" t="str">
        <f>IFERROR(__xludf.DUMMYFUNCTION("""COMPUTED_VALUE"""),"Sports")</f>
        <v>Sports</v>
      </c>
      <c r="C4893" s="2" t="str">
        <f>IFERROR(__xludf.DUMMYFUNCTION("""COMPUTED_VALUE"""),"Sculpture")</f>
        <v>Sculpture</v>
      </c>
      <c r="D4893" s="2" t="str">
        <f>IFERROR(__xludf.DUMMYFUNCTION("""COMPUTED_VALUE"""),"Irontree House")</f>
        <v>Irontree House</v>
      </c>
      <c r="E4893" s="2">
        <f>IFERROR(__xludf.DUMMYFUNCTION("""COMPUTED_VALUE"""),6.27)</f>
        <v>6.27</v>
      </c>
      <c r="F4893" s="2"/>
      <c r="G4893" s="2"/>
      <c r="H4893" s="2"/>
      <c r="I4893" s="2"/>
    </row>
    <row r="4894">
      <c r="A4894" s="2">
        <f>IFERROR(__xludf.DUMMYFUNCTION("""COMPUTED_VALUE"""),78318.0)</f>
        <v>78318</v>
      </c>
      <c r="B4894" s="2" t="str">
        <f>IFERROR(__xludf.DUMMYFUNCTION("""COMPUTED_VALUE"""),"Sports")</f>
        <v>Sports</v>
      </c>
      <c r="C4894" s="2" t="str">
        <f>IFERROR(__xludf.DUMMYFUNCTION("""COMPUTED_VALUE"""),"Sculpture")</f>
        <v>Sculpture</v>
      </c>
      <c r="D4894" s="2" t="str">
        <f>IFERROR(__xludf.DUMMYFUNCTION("""COMPUTED_VALUE"""),"Irontree House")</f>
        <v>Irontree House</v>
      </c>
      <c r="E4894" s="2">
        <f>IFERROR(__xludf.DUMMYFUNCTION("""COMPUTED_VALUE"""),6.59)</f>
        <v>6.59</v>
      </c>
      <c r="F4894" s="2"/>
      <c r="G4894" s="2"/>
      <c r="H4894" s="2"/>
      <c r="I4894" s="2"/>
    </row>
    <row r="4895">
      <c r="A4895" s="2">
        <f>IFERROR(__xludf.DUMMYFUNCTION("""COMPUTED_VALUE"""),120179.0)</f>
        <v>120179</v>
      </c>
      <c r="B4895" s="2" t="str">
        <f>IFERROR(__xludf.DUMMYFUNCTION("""COMPUTED_VALUE"""),"Sports")</f>
        <v>Sports</v>
      </c>
      <c r="C4895" s="2" t="str">
        <f>IFERROR(__xludf.DUMMYFUNCTION("""COMPUTED_VALUE"""),"Sculpture")</f>
        <v>Sculpture</v>
      </c>
      <c r="D4895" s="2" t="str">
        <f>IFERROR(__xludf.DUMMYFUNCTION("""COMPUTED_VALUE"""),"Irontree House")</f>
        <v>Irontree House</v>
      </c>
      <c r="E4895" s="2">
        <f>IFERROR(__xludf.DUMMYFUNCTION("""COMPUTED_VALUE"""),5.84)</f>
        <v>5.84</v>
      </c>
      <c r="F4895" s="2"/>
      <c r="G4895" s="2"/>
      <c r="H4895" s="2"/>
      <c r="I4895" s="2"/>
    </row>
    <row r="4896">
      <c r="A4896" s="2">
        <f>IFERROR(__xludf.DUMMYFUNCTION("""COMPUTED_VALUE"""),10144.0)</f>
        <v>10144</v>
      </c>
      <c r="B4896" s="2" t="str">
        <f>IFERROR(__xludf.DUMMYFUNCTION("""COMPUTED_VALUE"""),"Sports")</f>
        <v>Sports</v>
      </c>
      <c r="C4896" s="2" t="str">
        <f>IFERROR(__xludf.DUMMYFUNCTION("""COMPUTED_VALUE"""),"Sculpture")</f>
        <v>Sculpture</v>
      </c>
      <c r="D4896" s="2" t="str">
        <f>IFERROR(__xludf.DUMMYFUNCTION("""COMPUTED_VALUE"""),"Irontree House")</f>
        <v>Irontree House</v>
      </c>
      <c r="E4896" s="2">
        <f>IFERROR(__xludf.DUMMYFUNCTION("""COMPUTED_VALUE"""),6.61)</f>
        <v>6.61</v>
      </c>
      <c r="F4896" s="2"/>
      <c r="G4896" s="2"/>
      <c r="H4896" s="2"/>
      <c r="I4896" s="2"/>
    </row>
    <row r="4897">
      <c r="A4897" s="2">
        <f>IFERROR(__xludf.DUMMYFUNCTION("""COMPUTED_VALUE"""),78304.0)</f>
        <v>78304</v>
      </c>
      <c r="B4897" s="2" t="str">
        <f>IFERROR(__xludf.DUMMYFUNCTION("""COMPUTED_VALUE"""),"Sports")</f>
        <v>Sports</v>
      </c>
      <c r="C4897" s="2" t="str">
        <f>IFERROR(__xludf.DUMMYFUNCTION("""COMPUTED_VALUE"""),"Sculpture")</f>
        <v>Sculpture</v>
      </c>
      <c r="D4897" s="2" t="str">
        <f>IFERROR(__xludf.DUMMYFUNCTION("""COMPUTED_VALUE"""),"Irontree House")</f>
        <v>Irontree House</v>
      </c>
      <c r="E4897" s="2">
        <f>IFERROR(__xludf.DUMMYFUNCTION("""COMPUTED_VALUE"""),5.9)</f>
        <v>5.9</v>
      </c>
      <c r="F4897" s="2"/>
      <c r="G4897" s="2"/>
      <c r="H4897" s="2"/>
      <c r="I4897" s="2"/>
    </row>
    <row r="4898">
      <c r="A4898" s="2">
        <f>IFERROR(__xludf.DUMMYFUNCTION("""COMPUTED_VALUE"""),86598.0)</f>
        <v>86598</v>
      </c>
      <c r="B4898" s="2" t="str">
        <f>IFERROR(__xludf.DUMMYFUNCTION("""COMPUTED_VALUE"""),"Sports")</f>
        <v>Sports</v>
      </c>
      <c r="C4898" s="2" t="str">
        <f>IFERROR(__xludf.DUMMYFUNCTION("""COMPUTED_VALUE"""),"Sculpture")</f>
        <v>Sculpture</v>
      </c>
      <c r="D4898" s="2" t="str">
        <f>IFERROR(__xludf.DUMMYFUNCTION("""COMPUTED_VALUE"""),"Irontree House")</f>
        <v>Irontree House</v>
      </c>
      <c r="E4898" s="2">
        <f>IFERROR(__xludf.DUMMYFUNCTION("""COMPUTED_VALUE"""),5.74)</f>
        <v>5.74</v>
      </c>
      <c r="F4898" s="2"/>
      <c r="G4898" s="2"/>
      <c r="H4898" s="2"/>
      <c r="I4898" s="2"/>
    </row>
    <row r="4899">
      <c r="A4899" s="2">
        <f>IFERROR(__xludf.DUMMYFUNCTION("""COMPUTED_VALUE"""),103665.0)</f>
        <v>103665</v>
      </c>
      <c r="B4899" s="2" t="str">
        <f>IFERROR(__xludf.DUMMYFUNCTION("""COMPUTED_VALUE"""),"Sports")</f>
        <v>Sports</v>
      </c>
      <c r="C4899" s="2" t="str">
        <f>IFERROR(__xludf.DUMMYFUNCTION("""COMPUTED_VALUE"""),"Sculpture")</f>
        <v>Sculpture</v>
      </c>
      <c r="D4899" s="2" t="str">
        <f>IFERROR(__xludf.DUMMYFUNCTION("""COMPUTED_VALUE"""),"Irontree House")</f>
        <v>Irontree House</v>
      </c>
      <c r="E4899" s="2">
        <f>IFERROR(__xludf.DUMMYFUNCTION("""COMPUTED_VALUE"""),7.88)</f>
        <v>7.88</v>
      </c>
      <c r="F4899" s="2"/>
      <c r="G4899" s="2"/>
      <c r="H4899" s="2"/>
      <c r="I4899" s="2"/>
    </row>
    <row r="4900">
      <c r="A4900" s="2">
        <f>IFERROR(__xludf.DUMMYFUNCTION("""COMPUTED_VALUE"""),77771.0)</f>
        <v>77771</v>
      </c>
      <c r="B4900" s="2" t="str">
        <f>IFERROR(__xludf.DUMMYFUNCTION("""COMPUTED_VALUE"""),"Sports")</f>
        <v>Sports</v>
      </c>
      <c r="C4900" s="2" t="str">
        <f>IFERROR(__xludf.DUMMYFUNCTION("""COMPUTED_VALUE"""),"Sculpture")</f>
        <v>Sculpture</v>
      </c>
      <c r="D4900" s="2" t="str">
        <f>IFERROR(__xludf.DUMMYFUNCTION("""COMPUTED_VALUE"""),"Silverforge House")</f>
        <v>Silverforge House</v>
      </c>
      <c r="E4900" s="2">
        <f>IFERROR(__xludf.DUMMYFUNCTION("""COMPUTED_VALUE"""),2.17)</f>
        <v>2.17</v>
      </c>
      <c r="F4900" s="2"/>
      <c r="G4900" s="2"/>
      <c r="H4900" s="2"/>
      <c r="I4900" s="2"/>
    </row>
    <row r="4901">
      <c r="A4901" s="2">
        <f>IFERROR(__xludf.DUMMYFUNCTION("""COMPUTED_VALUE"""),116798.0)</f>
        <v>116798</v>
      </c>
      <c r="B4901" s="2" t="str">
        <f>IFERROR(__xludf.DUMMYFUNCTION("""COMPUTED_VALUE"""),"Sports")</f>
        <v>Sports</v>
      </c>
      <c r="C4901" s="2" t="str">
        <f>IFERROR(__xludf.DUMMYFUNCTION("""COMPUTED_VALUE"""),"Sculpture")</f>
        <v>Sculpture</v>
      </c>
      <c r="D4901" s="2" t="str">
        <f>IFERROR(__xludf.DUMMYFUNCTION("""COMPUTED_VALUE"""),"Silverforge House")</f>
        <v>Silverforge House</v>
      </c>
      <c r="E4901" s="2">
        <f>IFERROR(__xludf.DUMMYFUNCTION("""COMPUTED_VALUE"""),11.19)</f>
        <v>11.19</v>
      </c>
      <c r="F4901" s="2"/>
      <c r="G4901" s="2"/>
      <c r="H4901" s="2"/>
      <c r="I4901" s="2"/>
    </row>
    <row r="4902">
      <c r="A4902" s="2">
        <f>IFERROR(__xludf.DUMMYFUNCTION("""COMPUTED_VALUE"""),100610.0)</f>
        <v>100610</v>
      </c>
      <c r="B4902" s="2" t="str">
        <f>IFERROR(__xludf.DUMMYFUNCTION("""COMPUTED_VALUE"""),"Sports")</f>
        <v>Sports</v>
      </c>
      <c r="C4902" s="2" t="str">
        <f>IFERROR(__xludf.DUMMYFUNCTION("""COMPUTED_VALUE"""),"Sculpture")</f>
        <v>Sculpture</v>
      </c>
      <c r="D4902" s="2" t="str">
        <f>IFERROR(__xludf.DUMMYFUNCTION("""COMPUTED_VALUE"""),"Silverforge House")</f>
        <v>Silverforge House</v>
      </c>
      <c r="E4902" s="2">
        <f>IFERROR(__xludf.DUMMYFUNCTION("""COMPUTED_VALUE"""),7.42)</f>
        <v>7.42</v>
      </c>
      <c r="F4902" s="2"/>
      <c r="G4902" s="2"/>
      <c r="H4902" s="2"/>
      <c r="I4902" s="2"/>
    </row>
    <row r="4903">
      <c r="A4903" s="2">
        <f>IFERROR(__xludf.DUMMYFUNCTION("""COMPUTED_VALUE"""),77772.0)</f>
        <v>77772</v>
      </c>
      <c r="B4903" s="2" t="str">
        <f>IFERROR(__xludf.DUMMYFUNCTION("""COMPUTED_VALUE"""),"Sports")</f>
        <v>Sports</v>
      </c>
      <c r="C4903" s="2" t="str">
        <f>IFERROR(__xludf.DUMMYFUNCTION("""COMPUTED_VALUE"""),"Sculpture")</f>
        <v>Sculpture</v>
      </c>
      <c r="D4903" s="2" t="str">
        <f>IFERROR(__xludf.DUMMYFUNCTION("""COMPUTED_VALUE"""),"Silverforge House")</f>
        <v>Silverforge House</v>
      </c>
      <c r="E4903" s="2">
        <f>IFERROR(__xludf.DUMMYFUNCTION("""COMPUTED_VALUE"""),10.15)</f>
        <v>10.15</v>
      </c>
      <c r="F4903" s="2"/>
      <c r="G4903" s="2"/>
      <c r="H4903" s="2"/>
      <c r="I4903" s="2"/>
    </row>
    <row r="4904">
      <c r="A4904" s="2">
        <f>IFERROR(__xludf.DUMMYFUNCTION("""COMPUTED_VALUE"""),119914.0)</f>
        <v>119914</v>
      </c>
      <c r="B4904" s="2" t="str">
        <f>IFERROR(__xludf.DUMMYFUNCTION("""COMPUTED_VALUE"""),"Sports")</f>
        <v>Sports</v>
      </c>
      <c r="C4904" s="2" t="str">
        <f>IFERROR(__xludf.DUMMYFUNCTION("""COMPUTED_VALUE"""),"Sculpture")</f>
        <v>Sculpture</v>
      </c>
      <c r="D4904" s="2" t="str">
        <f>IFERROR(__xludf.DUMMYFUNCTION("""COMPUTED_VALUE"""),"Silverforge House")</f>
        <v>Silverforge House</v>
      </c>
      <c r="E4904" s="2">
        <f>IFERROR(__xludf.DUMMYFUNCTION("""COMPUTED_VALUE"""),6.11)</f>
        <v>6.11</v>
      </c>
      <c r="F4904" s="2"/>
      <c r="G4904" s="2"/>
      <c r="H4904" s="2"/>
      <c r="I4904" s="2"/>
    </row>
    <row r="4905">
      <c r="A4905" s="2">
        <f>IFERROR(__xludf.DUMMYFUNCTION("""COMPUTED_VALUE"""),88495.0)</f>
        <v>88495</v>
      </c>
      <c r="B4905" s="2" t="str">
        <f>IFERROR(__xludf.DUMMYFUNCTION("""COMPUTED_VALUE"""),"Sports")</f>
        <v>Sports</v>
      </c>
      <c r="C4905" s="2" t="str">
        <f>IFERROR(__xludf.DUMMYFUNCTION("""COMPUTED_VALUE"""),"Sculpture")</f>
        <v>Sculpture</v>
      </c>
      <c r="D4905" s="2" t="str">
        <f>IFERROR(__xludf.DUMMYFUNCTION("""COMPUTED_VALUE"""),"Northforge House")</f>
        <v>Northforge House</v>
      </c>
      <c r="E4905" s="2">
        <f>IFERROR(__xludf.DUMMYFUNCTION("""COMPUTED_VALUE"""),7.89)</f>
        <v>7.89</v>
      </c>
      <c r="F4905" s="2"/>
      <c r="G4905" s="2"/>
      <c r="H4905" s="2"/>
      <c r="I4905" s="2"/>
    </row>
    <row r="4906">
      <c r="A4906" s="2">
        <f>IFERROR(__xludf.DUMMYFUNCTION("""COMPUTED_VALUE"""),88487.0)</f>
        <v>88487</v>
      </c>
      <c r="B4906" s="2" t="str">
        <f>IFERROR(__xludf.DUMMYFUNCTION("""COMPUTED_VALUE"""),"Sports")</f>
        <v>Sports</v>
      </c>
      <c r="C4906" s="2" t="str">
        <f>IFERROR(__xludf.DUMMYFUNCTION("""COMPUTED_VALUE"""),"Sculpture")</f>
        <v>Sculpture</v>
      </c>
      <c r="D4906" s="2" t="str">
        <f>IFERROR(__xludf.DUMMYFUNCTION("""COMPUTED_VALUE"""),"Northforge House")</f>
        <v>Northforge House</v>
      </c>
      <c r="E4906" s="2">
        <f>IFERROR(__xludf.DUMMYFUNCTION("""COMPUTED_VALUE"""),7.72)</f>
        <v>7.72</v>
      </c>
      <c r="F4906" s="2"/>
      <c r="G4906" s="2"/>
      <c r="H4906" s="2"/>
      <c r="I4906" s="2"/>
    </row>
    <row r="4907">
      <c r="A4907" s="2">
        <f>IFERROR(__xludf.DUMMYFUNCTION("""COMPUTED_VALUE"""),109488.0)</f>
        <v>109488</v>
      </c>
      <c r="B4907" s="2" t="str">
        <f>IFERROR(__xludf.DUMMYFUNCTION("""COMPUTED_VALUE"""),"Sports")</f>
        <v>Sports</v>
      </c>
      <c r="C4907" s="2" t="str">
        <f>IFERROR(__xludf.DUMMYFUNCTION("""COMPUTED_VALUE"""),"Sculpture")</f>
        <v>Sculpture</v>
      </c>
      <c r="D4907" s="2" t="str">
        <f>IFERROR(__xludf.DUMMYFUNCTION("""COMPUTED_VALUE"""),"Northforge House")</f>
        <v>Northforge House</v>
      </c>
      <c r="E4907" s="2">
        <f>IFERROR(__xludf.DUMMYFUNCTION("""COMPUTED_VALUE"""),4.19)</f>
        <v>4.19</v>
      </c>
      <c r="F4907" s="2"/>
      <c r="G4907" s="2"/>
      <c r="H4907" s="2"/>
      <c r="I4907" s="2"/>
    </row>
    <row r="4908">
      <c r="A4908" s="2">
        <f>IFERROR(__xludf.DUMMYFUNCTION("""COMPUTED_VALUE"""),11401.0)</f>
        <v>11401</v>
      </c>
      <c r="B4908" s="2" t="str">
        <f>IFERROR(__xludf.DUMMYFUNCTION("""COMPUTED_VALUE"""),"Sports")</f>
        <v>Sports</v>
      </c>
      <c r="C4908" s="2" t="str">
        <f>IFERROR(__xludf.DUMMYFUNCTION("""COMPUTED_VALUE"""),"Sculpture")</f>
        <v>Sculpture</v>
      </c>
      <c r="D4908" s="2" t="str">
        <f>IFERROR(__xludf.DUMMYFUNCTION("""COMPUTED_VALUE"""),"Harborforge House")</f>
        <v>Harborforge House</v>
      </c>
      <c r="E4908" s="2">
        <f>IFERROR(__xludf.DUMMYFUNCTION("""COMPUTED_VALUE"""),8.51)</f>
        <v>8.51</v>
      </c>
      <c r="F4908" s="2"/>
      <c r="G4908" s="2"/>
      <c r="H4908" s="2"/>
      <c r="I4908" s="2"/>
    </row>
    <row r="4909">
      <c r="A4909" s="2">
        <f>IFERROR(__xludf.DUMMYFUNCTION("""COMPUTED_VALUE"""),45530.0)</f>
        <v>45530</v>
      </c>
      <c r="B4909" s="2" t="str">
        <f>IFERROR(__xludf.DUMMYFUNCTION("""COMPUTED_VALUE"""),"Sports")</f>
        <v>Sports</v>
      </c>
      <c r="C4909" s="2" t="str">
        <f>IFERROR(__xludf.DUMMYFUNCTION("""COMPUTED_VALUE"""),"Sculpture")</f>
        <v>Sculpture</v>
      </c>
      <c r="D4909" s="2" t="str">
        <f>IFERROR(__xludf.DUMMYFUNCTION("""COMPUTED_VALUE"""),"Harborforge House")</f>
        <v>Harborforge House</v>
      </c>
      <c r="E4909" s="2">
        <f>IFERROR(__xludf.DUMMYFUNCTION("""COMPUTED_VALUE"""),5.63)</f>
        <v>5.63</v>
      </c>
      <c r="F4909" s="2"/>
      <c r="G4909" s="2"/>
      <c r="H4909" s="2"/>
      <c r="I4909" s="2"/>
    </row>
    <row r="4910">
      <c r="A4910" s="2">
        <f>IFERROR(__xludf.DUMMYFUNCTION("""COMPUTED_VALUE"""),104426.0)</f>
        <v>104426</v>
      </c>
      <c r="B4910" s="2" t="str">
        <f>IFERROR(__xludf.DUMMYFUNCTION("""COMPUTED_VALUE"""),"Sports")</f>
        <v>Sports</v>
      </c>
      <c r="C4910" s="2" t="str">
        <f>IFERROR(__xludf.DUMMYFUNCTION("""COMPUTED_VALUE"""),"Sculpture")</f>
        <v>Sculpture</v>
      </c>
      <c r="D4910" s="2" t="str">
        <f>IFERROR(__xludf.DUMMYFUNCTION("""COMPUTED_VALUE"""),"Harborforge House")</f>
        <v>Harborforge House</v>
      </c>
      <c r="E4910" s="2">
        <f>IFERROR(__xludf.DUMMYFUNCTION("""COMPUTED_VALUE"""),5.99)</f>
        <v>5.99</v>
      </c>
      <c r="F4910" s="2"/>
      <c r="G4910" s="2"/>
      <c r="H4910" s="2"/>
      <c r="I4910" s="2"/>
    </row>
    <row r="4911">
      <c r="A4911" s="2">
        <f>IFERROR(__xludf.DUMMYFUNCTION("""COMPUTED_VALUE"""),119827.0)</f>
        <v>119827</v>
      </c>
      <c r="B4911" s="2" t="str">
        <f>IFERROR(__xludf.DUMMYFUNCTION("""COMPUTED_VALUE"""),"Sports")</f>
        <v>Sports</v>
      </c>
      <c r="C4911" s="2" t="str">
        <f>IFERROR(__xludf.DUMMYFUNCTION("""COMPUTED_VALUE"""),"Sculpture")</f>
        <v>Sculpture</v>
      </c>
      <c r="D4911" s="2" t="str">
        <f>IFERROR(__xludf.DUMMYFUNCTION("""COMPUTED_VALUE"""),"Harborforge House")</f>
        <v>Harborforge House</v>
      </c>
      <c r="E4911" s="2">
        <f>IFERROR(__xludf.DUMMYFUNCTION("""COMPUTED_VALUE"""),8.81)</f>
        <v>8.81</v>
      </c>
      <c r="F4911" s="2"/>
      <c r="G4911" s="2"/>
      <c r="H4911" s="2"/>
      <c r="I4911" s="2"/>
    </row>
    <row r="4912">
      <c r="A4912" s="2">
        <f>IFERROR(__xludf.DUMMYFUNCTION("""COMPUTED_VALUE"""),104384.0)</f>
        <v>104384</v>
      </c>
      <c r="B4912" s="2" t="str">
        <f>IFERROR(__xludf.DUMMYFUNCTION("""COMPUTED_VALUE"""),"Sports")</f>
        <v>Sports</v>
      </c>
      <c r="C4912" s="2" t="str">
        <f>IFERROR(__xludf.DUMMYFUNCTION("""COMPUTED_VALUE"""),"Sculpture")</f>
        <v>Sculpture</v>
      </c>
      <c r="D4912" s="2" t="str">
        <f>IFERROR(__xludf.DUMMYFUNCTION("""COMPUTED_VALUE"""),"Harborforge House")</f>
        <v>Harborforge House</v>
      </c>
      <c r="E4912" s="2">
        <f>IFERROR(__xludf.DUMMYFUNCTION("""COMPUTED_VALUE"""),8.33)</f>
        <v>8.33</v>
      </c>
      <c r="F4912" s="2"/>
      <c r="G4912" s="2"/>
      <c r="H4912" s="2"/>
      <c r="I4912" s="2"/>
    </row>
    <row r="4913">
      <c r="A4913" s="2">
        <f>IFERROR(__xludf.DUMMYFUNCTION("""COMPUTED_VALUE"""),121966.0)</f>
        <v>121966</v>
      </c>
      <c r="B4913" s="2" t="str">
        <f>IFERROR(__xludf.DUMMYFUNCTION("""COMPUTED_VALUE"""),"Sports")</f>
        <v>Sports</v>
      </c>
      <c r="C4913" s="2" t="str">
        <f>IFERROR(__xludf.DUMMYFUNCTION("""COMPUTED_VALUE"""),"Sculpture")</f>
        <v>Sculpture</v>
      </c>
      <c r="D4913" s="2" t="str">
        <f>IFERROR(__xludf.DUMMYFUNCTION("""COMPUTED_VALUE"""),"Harborforge House")</f>
        <v>Harborforge House</v>
      </c>
      <c r="E4913" s="2">
        <f>IFERROR(__xludf.DUMMYFUNCTION("""COMPUTED_VALUE"""),4.56)</f>
        <v>4.56</v>
      </c>
      <c r="F4913" s="2"/>
      <c r="G4913" s="2"/>
      <c r="H4913" s="2"/>
      <c r="I4913" s="2"/>
    </row>
    <row r="4914">
      <c r="A4914" s="2">
        <f>IFERROR(__xludf.DUMMYFUNCTION("""COMPUTED_VALUE"""),120183.0)</f>
        <v>120183</v>
      </c>
      <c r="B4914" s="2" t="str">
        <f>IFERROR(__xludf.DUMMYFUNCTION("""COMPUTED_VALUE"""),"Sports")</f>
        <v>Sports</v>
      </c>
      <c r="C4914" s="2" t="str">
        <f>IFERROR(__xludf.DUMMYFUNCTION("""COMPUTED_VALUE"""),"Sculpture")</f>
        <v>Sculpture</v>
      </c>
      <c r="D4914" s="2" t="str">
        <f>IFERROR(__xludf.DUMMYFUNCTION("""COMPUTED_VALUE"""),"Cedarforge House")</f>
        <v>Cedarforge House</v>
      </c>
      <c r="E4914" s="2">
        <f>IFERROR(__xludf.DUMMYFUNCTION("""COMPUTED_VALUE"""),8.02)</f>
        <v>8.02</v>
      </c>
      <c r="F4914" s="2"/>
      <c r="G4914" s="2"/>
      <c r="H4914" s="2"/>
      <c r="I4914" s="2"/>
    </row>
    <row r="4915">
      <c r="A4915" s="2">
        <f>IFERROR(__xludf.DUMMYFUNCTION("""COMPUTED_VALUE"""),82832.0)</f>
        <v>82832</v>
      </c>
      <c r="B4915" s="2" t="str">
        <f>IFERROR(__xludf.DUMMYFUNCTION("""COMPUTED_VALUE"""),"Sports")</f>
        <v>Sports</v>
      </c>
      <c r="C4915" s="2" t="str">
        <f>IFERROR(__xludf.DUMMYFUNCTION("""COMPUTED_VALUE"""),"Sculpture")</f>
        <v>Sculpture</v>
      </c>
      <c r="D4915" s="2" t="str">
        <f>IFERROR(__xludf.DUMMYFUNCTION("""COMPUTED_VALUE"""),"Brightforge House")</f>
        <v>Brightforge House</v>
      </c>
      <c r="E4915" s="2">
        <f>IFERROR(__xludf.DUMMYFUNCTION("""COMPUTED_VALUE"""),4.67)</f>
        <v>4.67</v>
      </c>
      <c r="F4915" s="2"/>
      <c r="G4915" s="2"/>
      <c r="H4915" s="2"/>
      <c r="I4915" s="2"/>
    </row>
    <row r="4916">
      <c r="A4916" s="2">
        <f>IFERROR(__xludf.DUMMYFUNCTION("""COMPUTED_VALUE"""),117607.0)</f>
        <v>117607</v>
      </c>
      <c r="B4916" s="2" t="str">
        <f>IFERROR(__xludf.DUMMYFUNCTION("""COMPUTED_VALUE"""),"Sports")</f>
        <v>Sports</v>
      </c>
      <c r="C4916" s="2" t="str">
        <f>IFERROR(__xludf.DUMMYFUNCTION("""COMPUTED_VALUE"""),"Sculpture")</f>
        <v>Sculpture</v>
      </c>
      <c r="D4916" s="2" t="str">
        <f>IFERROR(__xludf.DUMMYFUNCTION("""COMPUTED_VALUE"""),"Brightforge House")</f>
        <v>Brightforge House</v>
      </c>
      <c r="E4916" s="2">
        <f>IFERROR(__xludf.DUMMYFUNCTION("""COMPUTED_VALUE"""),5.12)</f>
        <v>5.12</v>
      </c>
      <c r="F4916" s="2"/>
      <c r="G4916" s="2"/>
      <c r="H4916" s="2"/>
      <c r="I4916" s="2"/>
    </row>
    <row r="4917">
      <c r="A4917" s="2">
        <f>IFERROR(__xludf.DUMMYFUNCTION("""COMPUTED_VALUE"""),116244.0)</f>
        <v>116244</v>
      </c>
      <c r="B4917" s="2" t="str">
        <f>IFERROR(__xludf.DUMMYFUNCTION("""COMPUTED_VALUE"""),"Sports")</f>
        <v>Sports</v>
      </c>
      <c r="C4917" s="2" t="str">
        <f>IFERROR(__xludf.DUMMYFUNCTION("""COMPUTED_VALUE"""),"Sculpture")</f>
        <v>Sculpture</v>
      </c>
      <c r="D4917" s="2" t="str">
        <f>IFERROR(__xludf.DUMMYFUNCTION("""COMPUTED_VALUE"""),"Brightforge House")</f>
        <v>Brightforge House</v>
      </c>
      <c r="E4917" s="2">
        <f>IFERROR(__xludf.DUMMYFUNCTION("""COMPUTED_VALUE"""),20.05)</f>
        <v>20.05</v>
      </c>
      <c r="F4917" s="2"/>
      <c r="G4917" s="2"/>
      <c r="H4917" s="2"/>
      <c r="I4917" s="2"/>
    </row>
    <row r="4918">
      <c r="A4918" s="2">
        <f>IFERROR(__xludf.DUMMYFUNCTION("""COMPUTED_VALUE"""),81045.0)</f>
        <v>81045</v>
      </c>
      <c r="B4918" s="2" t="str">
        <f>IFERROR(__xludf.DUMMYFUNCTION("""COMPUTED_VALUE"""),"Sports")</f>
        <v>Sports</v>
      </c>
      <c r="C4918" s="2" t="str">
        <f>IFERROR(__xludf.DUMMYFUNCTION("""COMPUTED_VALUE"""),"Sculpture")</f>
        <v>Sculpture</v>
      </c>
      <c r="D4918" s="2" t="str">
        <f>IFERROR(__xludf.DUMMYFUNCTION("""COMPUTED_VALUE"""),"Brightforge House")</f>
        <v>Brightforge House</v>
      </c>
      <c r="E4918" s="2">
        <f>IFERROR(__xludf.DUMMYFUNCTION("""COMPUTED_VALUE"""),7.03)</f>
        <v>7.03</v>
      </c>
      <c r="F4918" s="2"/>
      <c r="G4918" s="2"/>
      <c r="H4918" s="2"/>
      <c r="I4918" s="2"/>
    </row>
    <row r="4919">
      <c r="A4919" s="2">
        <f>IFERROR(__xludf.DUMMYFUNCTION("""COMPUTED_VALUE"""),106021.0)</f>
        <v>106021</v>
      </c>
      <c r="B4919" s="2" t="str">
        <f>IFERROR(__xludf.DUMMYFUNCTION("""COMPUTED_VALUE"""),"Sports")</f>
        <v>Sports</v>
      </c>
      <c r="C4919" s="2" t="str">
        <f>IFERROR(__xludf.DUMMYFUNCTION("""COMPUTED_VALUE"""),"Sculpture")</f>
        <v>Sculpture</v>
      </c>
      <c r="D4919" s="2" t="str">
        <f>IFERROR(__xludf.DUMMYFUNCTION("""COMPUTED_VALUE"""),"Brightforge House")</f>
        <v>Brightforge House</v>
      </c>
      <c r="E4919" s="2">
        <f>IFERROR(__xludf.DUMMYFUNCTION("""COMPUTED_VALUE"""),4.71)</f>
        <v>4.71</v>
      </c>
      <c r="F4919" s="2"/>
      <c r="G4919" s="2"/>
      <c r="H4919" s="2"/>
      <c r="I4919" s="2"/>
    </row>
    <row r="4920">
      <c r="A4920" s="2">
        <f>IFERROR(__xludf.DUMMYFUNCTION("""COMPUTED_VALUE"""),86622.0)</f>
        <v>86622</v>
      </c>
      <c r="B4920" s="2" t="str">
        <f>IFERROR(__xludf.DUMMYFUNCTION("""COMPUTED_VALUE"""),"Sports")</f>
        <v>Sports</v>
      </c>
      <c r="C4920" s="2" t="str">
        <f>IFERROR(__xludf.DUMMYFUNCTION("""COMPUTED_VALUE"""),"Sculpture")</f>
        <v>Sculpture</v>
      </c>
      <c r="D4920" s="2" t="str">
        <f>IFERROR(__xludf.DUMMYFUNCTION("""COMPUTED_VALUE"""),"Brightforge House")</f>
        <v>Brightforge House</v>
      </c>
      <c r="E4920" s="2">
        <f>IFERROR(__xludf.DUMMYFUNCTION("""COMPUTED_VALUE"""),4.67)</f>
        <v>4.67</v>
      </c>
      <c r="F4920" s="2"/>
      <c r="G4920" s="2"/>
      <c r="H4920" s="2"/>
      <c r="I4920" s="2"/>
    </row>
    <row r="4921">
      <c r="A4921" s="2">
        <f>IFERROR(__xludf.DUMMYFUNCTION("""COMPUTED_VALUE"""),82834.0)</f>
        <v>82834</v>
      </c>
      <c r="B4921" s="2" t="str">
        <f>IFERROR(__xludf.DUMMYFUNCTION("""COMPUTED_VALUE"""),"Sports")</f>
        <v>Sports</v>
      </c>
      <c r="C4921" s="2" t="str">
        <f>IFERROR(__xludf.DUMMYFUNCTION("""COMPUTED_VALUE"""),"Sculpture")</f>
        <v>Sculpture</v>
      </c>
      <c r="D4921" s="2" t="str">
        <f>IFERROR(__xludf.DUMMYFUNCTION("""COMPUTED_VALUE"""),"Brightforge House")</f>
        <v>Brightforge House</v>
      </c>
      <c r="E4921" s="2">
        <f>IFERROR(__xludf.DUMMYFUNCTION("""COMPUTED_VALUE"""),6.67)</f>
        <v>6.67</v>
      </c>
      <c r="F4921" s="2"/>
      <c r="G4921" s="2"/>
      <c r="H4921" s="2"/>
      <c r="I4921" s="2"/>
    </row>
    <row r="4922">
      <c r="A4922" s="2">
        <f>IFERROR(__xludf.DUMMYFUNCTION("""COMPUTED_VALUE"""),81008.0)</f>
        <v>81008</v>
      </c>
      <c r="B4922" s="2" t="str">
        <f>IFERROR(__xludf.DUMMYFUNCTION("""COMPUTED_VALUE"""),"Sports")</f>
        <v>Sports</v>
      </c>
      <c r="C4922" s="2" t="str">
        <f>IFERROR(__xludf.DUMMYFUNCTION("""COMPUTED_VALUE"""),"Sculpture")</f>
        <v>Sculpture</v>
      </c>
      <c r="D4922" s="2" t="str">
        <f>IFERROR(__xludf.DUMMYFUNCTION("""COMPUTED_VALUE"""),"Brightforge House")</f>
        <v>Brightforge House</v>
      </c>
      <c r="E4922" s="2">
        <f>IFERROR(__xludf.DUMMYFUNCTION("""COMPUTED_VALUE"""),9.3)</f>
        <v>9.3</v>
      </c>
      <c r="F4922" s="2"/>
      <c r="G4922" s="2"/>
      <c r="H4922" s="2"/>
      <c r="I4922" s="2"/>
    </row>
    <row r="4923">
      <c r="A4923" s="2">
        <f>IFERROR(__xludf.DUMMYFUNCTION("""COMPUTED_VALUE"""),83167.0)</f>
        <v>83167</v>
      </c>
      <c r="B4923" s="2" t="str">
        <f>IFERROR(__xludf.DUMMYFUNCTION("""COMPUTED_VALUE"""),"Sports")</f>
        <v>Sports</v>
      </c>
      <c r="C4923" s="2" t="str">
        <f>IFERROR(__xludf.DUMMYFUNCTION("""COMPUTED_VALUE"""),"Sculpture")</f>
        <v>Sculpture</v>
      </c>
      <c r="D4923" s="2" t="str">
        <f>IFERROR(__xludf.DUMMYFUNCTION("""COMPUTED_VALUE"""),"Brightforge House")</f>
        <v>Brightforge House</v>
      </c>
      <c r="E4923" s="2">
        <f>IFERROR(__xludf.DUMMYFUNCTION("""COMPUTED_VALUE"""),11.83)</f>
        <v>11.83</v>
      </c>
      <c r="F4923" s="2"/>
      <c r="G4923" s="2"/>
      <c r="H4923" s="2"/>
      <c r="I4923" s="2"/>
    </row>
    <row r="4924">
      <c r="A4924" s="2">
        <f>IFERROR(__xludf.DUMMYFUNCTION("""COMPUTED_VALUE"""),86584.0)</f>
        <v>86584</v>
      </c>
      <c r="B4924" s="2" t="str">
        <f>IFERROR(__xludf.DUMMYFUNCTION("""COMPUTED_VALUE"""),"Sports")</f>
        <v>Sports</v>
      </c>
      <c r="C4924" s="2" t="str">
        <f>IFERROR(__xludf.DUMMYFUNCTION("""COMPUTED_VALUE"""),"Sculpture")</f>
        <v>Sculpture</v>
      </c>
      <c r="D4924" s="2" t="str">
        <f>IFERROR(__xludf.DUMMYFUNCTION("""COMPUTED_VALUE"""),"Oakforge House")</f>
        <v>Oakforge House</v>
      </c>
      <c r="E4924" s="2">
        <f>IFERROR(__xludf.DUMMYFUNCTION("""COMPUTED_VALUE"""),4.43)</f>
        <v>4.43</v>
      </c>
      <c r="F4924" s="2"/>
      <c r="G4924" s="2"/>
      <c r="H4924" s="2"/>
      <c r="I4924" s="2"/>
    </row>
    <row r="4925">
      <c r="A4925" s="2">
        <f>IFERROR(__xludf.DUMMYFUNCTION("""COMPUTED_VALUE"""),79902.0)</f>
        <v>79902</v>
      </c>
      <c r="B4925" s="2" t="str">
        <f>IFERROR(__xludf.DUMMYFUNCTION("""COMPUTED_VALUE"""),"Medical")</f>
        <v>Medical</v>
      </c>
      <c r="C4925" s="2" t="str">
        <f>IFERROR(__xludf.DUMMYFUNCTION("""COMPUTED_VALUE"""),"Photography")</f>
        <v>Photography</v>
      </c>
      <c r="D4925" s="2"/>
      <c r="E4925" s="2">
        <f>IFERROR(__xludf.DUMMYFUNCTION("""COMPUTED_VALUE"""),1.07)</f>
        <v>1.07</v>
      </c>
      <c r="F4925" s="2"/>
      <c r="G4925" s="2"/>
      <c r="H4925" s="2"/>
      <c r="I4925" s="2"/>
    </row>
    <row r="4926">
      <c r="A4926" s="2">
        <f>IFERROR(__xludf.DUMMYFUNCTION("""COMPUTED_VALUE"""),41328.0)</f>
        <v>41328</v>
      </c>
      <c r="B4926" s="2" t="str">
        <f>IFERROR(__xludf.DUMMYFUNCTION("""COMPUTED_VALUE"""),"Medical")</f>
        <v>Medical</v>
      </c>
      <c r="C4926" s="2" t="str">
        <f>IFERROR(__xludf.DUMMYFUNCTION("""COMPUTED_VALUE"""),"Photography")</f>
        <v>Photography</v>
      </c>
      <c r="D4926" s="2"/>
      <c r="E4926" s="2">
        <f>IFERROR(__xludf.DUMMYFUNCTION("""COMPUTED_VALUE"""),2.18)</f>
        <v>2.18</v>
      </c>
      <c r="F4926" s="2"/>
      <c r="G4926" s="2"/>
      <c r="H4926" s="2"/>
      <c r="I4926" s="2"/>
    </row>
    <row r="4927">
      <c r="A4927" s="2">
        <f>IFERROR(__xludf.DUMMYFUNCTION("""COMPUTED_VALUE"""),79907.0)</f>
        <v>79907</v>
      </c>
      <c r="B4927" s="2" t="str">
        <f>IFERROR(__xludf.DUMMYFUNCTION("""COMPUTED_VALUE"""),"Medical")</f>
        <v>Medical</v>
      </c>
      <c r="C4927" s="2" t="str">
        <f>IFERROR(__xludf.DUMMYFUNCTION("""COMPUTED_VALUE"""),"Photography")</f>
        <v>Photography</v>
      </c>
      <c r="D4927" s="2"/>
      <c r="E4927" s="2">
        <f>IFERROR(__xludf.DUMMYFUNCTION("""COMPUTED_VALUE"""),0.45)</f>
        <v>0.45</v>
      </c>
      <c r="F4927" s="2"/>
      <c r="G4927" s="2"/>
      <c r="H4927" s="2"/>
      <c r="I4927" s="2"/>
    </row>
    <row r="4928">
      <c r="A4928" s="2">
        <f>IFERROR(__xludf.DUMMYFUNCTION("""COMPUTED_VALUE"""),70588.0)</f>
        <v>70588</v>
      </c>
      <c r="B4928" s="2" t="str">
        <f>IFERROR(__xludf.DUMMYFUNCTION("""COMPUTED_VALUE"""),"Medical")</f>
        <v>Medical</v>
      </c>
      <c r="C4928" s="2" t="str">
        <f>IFERROR(__xludf.DUMMYFUNCTION("""COMPUTED_VALUE"""),"Photography")</f>
        <v>Photography</v>
      </c>
      <c r="D4928" s="2"/>
      <c r="E4928" s="2">
        <f>IFERROR(__xludf.DUMMYFUNCTION("""COMPUTED_VALUE"""),0.49)</f>
        <v>0.49</v>
      </c>
      <c r="F4928" s="2"/>
      <c r="G4928" s="2"/>
      <c r="H4928" s="2"/>
      <c r="I4928" s="2"/>
    </row>
    <row r="4929">
      <c r="A4929" s="2">
        <f>IFERROR(__xludf.DUMMYFUNCTION("""COMPUTED_VALUE"""),70587.0)</f>
        <v>70587</v>
      </c>
      <c r="B4929" s="2" t="str">
        <f>IFERROR(__xludf.DUMMYFUNCTION("""COMPUTED_VALUE"""),"Medical")</f>
        <v>Medical</v>
      </c>
      <c r="C4929" s="2" t="str">
        <f>IFERROR(__xludf.DUMMYFUNCTION("""COMPUTED_VALUE"""),"Photography")</f>
        <v>Photography</v>
      </c>
      <c r="D4929" s="2"/>
      <c r="E4929" s="2">
        <f>IFERROR(__xludf.DUMMYFUNCTION("""COMPUTED_VALUE"""),0.53)</f>
        <v>0.53</v>
      </c>
      <c r="F4929" s="2"/>
      <c r="G4929" s="2"/>
      <c r="H4929" s="2"/>
      <c r="I4929" s="2"/>
    </row>
    <row r="4930">
      <c r="A4930" s="2">
        <f>IFERROR(__xludf.DUMMYFUNCTION("""COMPUTED_VALUE"""),109356.0)</f>
        <v>109356</v>
      </c>
      <c r="B4930" s="2" t="str">
        <f>IFERROR(__xludf.DUMMYFUNCTION("""COMPUTED_VALUE"""),"Medical")</f>
        <v>Medical</v>
      </c>
      <c r="C4930" s="2" t="str">
        <f>IFERROR(__xludf.DUMMYFUNCTION("""COMPUTED_VALUE"""),"Photography")</f>
        <v>Photography</v>
      </c>
      <c r="D4930" s="2"/>
      <c r="E4930" s="2">
        <f>IFERROR(__xludf.DUMMYFUNCTION("""COMPUTED_VALUE"""),2.8)</f>
        <v>2.8</v>
      </c>
      <c r="F4930" s="2"/>
      <c r="G4930" s="2"/>
      <c r="H4930" s="2"/>
      <c r="I4930" s="2"/>
    </row>
    <row r="4931">
      <c r="A4931" s="2">
        <f>IFERROR(__xludf.DUMMYFUNCTION("""COMPUTED_VALUE"""),47892.0)</f>
        <v>47892</v>
      </c>
      <c r="B4931" s="2" t="str">
        <f>IFERROR(__xludf.DUMMYFUNCTION("""COMPUTED_VALUE"""),"Medical")</f>
        <v>Medical</v>
      </c>
      <c r="C4931" s="2" t="str">
        <f>IFERROR(__xludf.DUMMYFUNCTION("""COMPUTED_VALUE"""),"Photography")</f>
        <v>Photography</v>
      </c>
      <c r="D4931" s="2"/>
      <c r="E4931" s="2">
        <f>IFERROR(__xludf.DUMMYFUNCTION("""COMPUTED_VALUE"""),2.07)</f>
        <v>2.07</v>
      </c>
      <c r="F4931" s="2"/>
      <c r="G4931" s="2"/>
      <c r="H4931" s="2"/>
      <c r="I4931" s="2"/>
    </row>
    <row r="4932">
      <c r="A4932" s="2">
        <f>IFERROR(__xludf.DUMMYFUNCTION("""COMPUTED_VALUE"""),79901.0)</f>
        <v>79901</v>
      </c>
      <c r="B4932" s="2" t="str">
        <f>IFERROR(__xludf.DUMMYFUNCTION("""COMPUTED_VALUE"""),"Medical")</f>
        <v>Medical</v>
      </c>
      <c r="C4932" s="2" t="str">
        <f>IFERROR(__xludf.DUMMYFUNCTION("""COMPUTED_VALUE"""),"Photography")</f>
        <v>Photography</v>
      </c>
      <c r="D4932" s="2"/>
      <c r="E4932" s="2">
        <f>IFERROR(__xludf.DUMMYFUNCTION("""COMPUTED_VALUE"""),1.18)</f>
        <v>1.18</v>
      </c>
      <c r="F4932" s="2"/>
      <c r="G4932" s="2"/>
      <c r="H4932" s="2"/>
      <c r="I4932" s="2"/>
    </row>
    <row r="4933">
      <c r="A4933" s="2">
        <f>IFERROR(__xludf.DUMMYFUNCTION("""COMPUTED_VALUE"""),70585.0)</f>
        <v>70585</v>
      </c>
      <c r="B4933" s="2" t="str">
        <f>IFERROR(__xludf.DUMMYFUNCTION("""COMPUTED_VALUE"""),"Medical")</f>
        <v>Medical</v>
      </c>
      <c r="C4933" s="2" t="str">
        <f>IFERROR(__xludf.DUMMYFUNCTION("""COMPUTED_VALUE"""),"Photography")</f>
        <v>Photography</v>
      </c>
      <c r="D4933" s="2"/>
      <c r="E4933" s="2">
        <f>IFERROR(__xludf.DUMMYFUNCTION("""COMPUTED_VALUE"""),1.74)</f>
        <v>1.74</v>
      </c>
      <c r="F4933" s="2"/>
      <c r="G4933" s="2"/>
      <c r="H4933" s="2"/>
      <c r="I4933" s="2"/>
    </row>
    <row r="4934">
      <c r="A4934" s="2">
        <f>IFERROR(__xludf.DUMMYFUNCTION("""COMPUTED_VALUE"""),4375.0)</f>
        <v>4375</v>
      </c>
      <c r="B4934" s="2" t="str">
        <f>IFERROR(__xludf.DUMMYFUNCTION("""COMPUTED_VALUE"""),"Medical")</f>
        <v>Medical</v>
      </c>
      <c r="C4934" s="2" t="str">
        <f>IFERROR(__xludf.DUMMYFUNCTION("""COMPUTED_VALUE"""),"Photography")</f>
        <v>Photography</v>
      </c>
      <c r="D4934" s="2" t="str">
        <f>IFERROR(__xludf.DUMMYFUNCTION("""COMPUTED_VALUE"""),"Riverforge House")</f>
        <v>Riverforge House</v>
      </c>
      <c r="E4934" s="2">
        <f>IFERROR(__xludf.DUMMYFUNCTION("""COMPUTED_VALUE"""),1.9)</f>
        <v>1.9</v>
      </c>
      <c r="F4934" s="2"/>
      <c r="G4934" s="2"/>
      <c r="H4934" s="2"/>
      <c r="I4934" s="2"/>
    </row>
    <row r="4935">
      <c r="A4935" s="2">
        <f>IFERROR(__xludf.DUMMYFUNCTION("""COMPUTED_VALUE"""),4380.0)</f>
        <v>4380</v>
      </c>
      <c r="B4935" s="2" t="str">
        <f>IFERROR(__xludf.DUMMYFUNCTION("""COMPUTED_VALUE"""),"Medical")</f>
        <v>Medical</v>
      </c>
      <c r="C4935" s="2" t="str">
        <f>IFERROR(__xludf.DUMMYFUNCTION("""COMPUTED_VALUE"""),"Photography")</f>
        <v>Photography</v>
      </c>
      <c r="D4935" s="2" t="str">
        <f>IFERROR(__xludf.DUMMYFUNCTION("""COMPUTED_VALUE"""),"Riverforge House")</f>
        <v>Riverforge House</v>
      </c>
      <c r="E4935" s="2">
        <f>IFERROR(__xludf.DUMMYFUNCTION("""COMPUTED_VALUE"""),2.13)</f>
        <v>2.13</v>
      </c>
      <c r="F4935" s="2"/>
      <c r="G4935" s="2"/>
      <c r="H4935" s="2"/>
      <c r="I4935" s="2"/>
    </row>
    <row r="4936">
      <c r="A4936" s="2">
        <f>IFERROR(__xludf.DUMMYFUNCTION("""COMPUTED_VALUE"""),84967.0)</f>
        <v>84967</v>
      </c>
      <c r="B4936" s="2" t="str">
        <f>IFERROR(__xludf.DUMMYFUNCTION("""COMPUTED_VALUE"""),"Medical")</f>
        <v>Medical</v>
      </c>
      <c r="C4936" s="2" t="str">
        <f>IFERROR(__xludf.DUMMYFUNCTION("""COMPUTED_VALUE"""),"Photography")</f>
        <v>Photography</v>
      </c>
      <c r="D4936" s="2" t="str">
        <f>IFERROR(__xludf.DUMMYFUNCTION("""COMPUTED_VALUE"""),"Riverforge House")</f>
        <v>Riverforge House</v>
      </c>
      <c r="E4936" s="2">
        <f>IFERROR(__xludf.DUMMYFUNCTION("""COMPUTED_VALUE"""),1.37)</f>
        <v>1.37</v>
      </c>
      <c r="F4936" s="2"/>
      <c r="G4936" s="2"/>
      <c r="H4936" s="2"/>
      <c r="I4936" s="2"/>
    </row>
    <row r="4937">
      <c r="A4937" s="2">
        <f>IFERROR(__xludf.DUMMYFUNCTION("""COMPUTED_VALUE"""),4381.0)</f>
        <v>4381</v>
      </c>
      <c r="B4937" s="2" t="str">
        <f>IFERROR(__xludf.DUMMYFUNCTION("""COMPUTED_VALUE"""),"Medical")</f>
        <v>Medical</v>
      </c>
      <c r="C4937" s="2" t="str">
        <f>IFERROR(__xludf.DUMMYFUNCTION("""COMPUTED_VALUE"""),"Photography")</f>
        <v>Photography</v>
      </c>
      <c r="D4937" s="2" t="str">
        <f>IFERROR(__xludf.DUMMYFUNCTION("""COMPUTED_VALUE"""),"Riverforge House")</f>
        <v>Riverforge House</v>
      </c>
      <c r="E4937" s="2">
        <f>IFERROR(__xludf.DUMMYFUNCTION("""COMPUTED_VALUE"""),2.16)</f>
        <v>2.16</v>
      </c>
      <c r="F4937" s="2"/>
      <c r="G4937" s="2"/>
      <c r="H4937" s="2"/>
      <c r="I4937" s="2"/>
    </row>
    <row r="4938">
      <c r="A4938" s="2">
        <f>IFERROR(__xludf.DUMMYFUNCTION("""COMPUTED_VALUE"""),4379.0)</f>
        <v>4379</v>
      </c>
      <c r="B4938" s="2" t="str">
        <f>IFERROR(__xludf.DUMMYFUNCTION("""COMPUTED_VALUE"""),"Medical")</f>
        <v>Medical</v>
      </c>
      <c r="C4938" s="2" t="str">
        <f>IFERROR(__xludf.DUMMYFUNCTION("""COMPUTED_VALUE"""),"Photography")</f>
        <v>Photography</v>
      </c>
      <c r="D4938" s="2" t="str">
        <f>IFERROR(__xludf.DUMMYFUNCTION("""COMPUTED_VALUE"""),"Riverforge House")</f>
        <v>Riverforge House</v>
      </c>
      <c r="E4938" s="2">
        <f>IFERROR(__xludf.DUMMYFUNCTION("""COMPUTED_VALUE"""),1.72)</f>
        <v>1.72</v>
      </c>
      <c r="F4938" s="2"/>
      <c r="G4938" s="2"/>
      <c r="H4938" s="2"/>
      <c r="I4938" s="2"/>
    </row>
    <row r="4939">
      <c r="A4939" s="2">
        <f>IFERROR(__xludf.DUMMYFUNCTION("""COMPUTED_VALUE"""),4383.0)</f>
        <v>4383</v>
      </c>
      <c r="B4939" s="2" t="str">
        <f>IFERROR(__xludf.DUMMYFUNCTION("""COMPUTED_VALUE"""),"Medical")</f>
        <v>Medical</v>
      </c>
      <c r="C4939" s="2" t="str">
        <f>IFERROR(__xludf.DUMMYFUNCTION("""COMPUTED_VALUE"""),"Photography")</f>
        <v>Photography</v>
      </c>
      <c r="D4939" s="2" t="str">
        <f>IFERROR(__xludf.DUMMYFUNCTION("""COMPUTED_VALUE"""),"Riverforge House")</f>
        <v>Riverforge House</v>
      </c>
      <c r="E4939" s="2">
        <f>IFERROR(__xludf.DUMMYFUNCTION("""COMPUTED_VALUE"""),1.96)</f>
        <v>1.96</v>
      </c>
      <c r="F4939" s="2"/>
      <c r="G4939" s="2"/>
      <c r="H4939" s="2"/>
      <c r="I4939" s="2"/>
    </row>
    <row r="4940">
      <c r="A4940" s="2">
        <f>IFERROR(__xludf.DUMMYFUNCTION("""COMPUTED_VALUE"""),110770.0)</f>
        <v>110770</v>
      </c>
      <c r="B4940" s="2" t="str">
        <f>IFERROR(__xludf.DUMMYFUNCTION("""COMPUTED_VALUE"""),"Medical")</f>
        <v>Medical</v>
      </c>
      <c r="C4940" s="2" t="str">
        <f>IFERROR(__xludf.DUMMYFUNCTION("""COMPUTED_VALUE"""),"Photography")</f>
        <v>Photography</v>
      </c>
      <c r="D4940" s="2" t="str">
        <f>IFERROR(__xludf.DUMMYFUNCTION("""COMPUTED_VALUE"""),"Ironforge House")</f>
        <v>Ironforge House</v>
      </c>
      <c r="E4940" s="2">
        <f>IFERROR(__xludf.DUMMYFUNCTION("""COMPUTED_VALUE"""),0.78)</f>
        <v>0.78</v>
      </c>
      <c r="F4940" s="2"/>
      <c r="G4940" s="2"/>
      <c r="H4940" s="2"/>
      <c r="I4940" s="2"/>
    </row>
    <row r="4941">
      <c r="A4941" s="2">
        <f>IFERROR(__xludf.DUMMYFUNCTION("""COMPUTED_VALUE"""),110764.0)</f>
        <v>110764</v>
      </c>
      <c r="B4941" s="2" t="str">
        <f>IFERROR(__xludf.DUMMYFUNCTION("""COMPUTED_VALUE"""),"Medical")</f>
        <v>Medical</v>
      </c>
      <c r="C4941" s="2" t="str">
        <f>IFERROR(__xludf.DUMMYFUNCTION("""COMPUTED_VALUE"""),"Photography")</f>
        <v>Photography</v>
      </c>
      <c r="D4941" s="2" t="str">
        <f>IFERROR(__xludf.DUMMYFUNCTION("""COMPUTED_VALUE"""),"Ironforge House")</f>
        <v>Ironforge House</v>
      </c>
      <c r="E4941" s="2">
        <f>IFERROR(__xludf.DUMMYFUNCTION("""COMPUTED_VALUE"""),0.59)</f>
        <v>0.59</v>
      </c>
      <c r="F4941" s="2"/>
      <c r="G4941" s="2"/>
      <c r="H4941" s="2"/>
      <c r="I4941" s="2"/>
    </row>
    <row r="4942">
      <c r="A4942" s="2">
        <f>IFERROR(__xludf.DUMMYFUNCTION("""COMPUTED_VALUE"""),109355.0)</f>
        <v>109355</v>
      </c>
      <c r="B4942" s="2" t="str">
        <f>IFERROR(__xludf.DUMMYFUNCTION("""COMPUTED_VALUE"""),"Medical")</f>
        <v>Medical</v>
      </c>
      <c r="C4942" s="2" t="str">
        <f>IFERROR(__xludf.DUMMYFUNCTION("""COMPUTED_VALUE"""),"Photography")</f>
        <v>Photography</v>
      </c>
      <c r="D4942" s="2" t="str">
        <f>IFERROR(__xludf.DUMMYFUNCTION("""COMPUTED_VALUE"""),"Ironforge House")</f>
        <v>Ironforge House</v>
      </c>
      <c r="E4942" s="2">
        <f>IFERROR(__xludf.DUMMYFUNCTION("""COMPUTED_VALUE"""),1.16)</f>
        <v>1.16</v>
      </c>
      <c r="F4942" s="2"/>
      <c r="G4942" s="2"/>
      <c r="H4942" s="2"/>
      <c r="I4942" s="2"/>
    </row>
    <row r="4943">
      <c r="A4943" s="2">
        <f>IFERROR(__xludf.DUMMYFUNCTION("""COMPUTED_VALUE"""),110765.0)</f>
        <v>110765</v>
      </c>
      <c r="B4943" s="2" t="str">
        <f>IFERROR(__xludf.DUMMYFUNCTION("""COMPUTED_VALUE"""),"Medical")</f>
        <v>Medical</v>
      </c>
      <c r="C4943" s="2" t="str">
        <f>IFERROR(__xludf.DUMMYFUNCTION("""COMPUTED_VALUE"""),"Photography")</f>
        <v>Photography</v>
      </c>
      <c r="D4943" s="2" t="str">
        <f>IFERROR(__xludf.DUMMYFUNCTION("""COMPUTED_VALUE"""),"Ironforge House")</f>
        <v>Ironforge House</v>
      </c>
      <c r="E4943" s="2">
        <f>IFERROR(__xludf.DUMMYFUNCTION("""COMPUTED_VALUE"""),0.58)</f>
        <v>0.58</v>
      </c>
      <c r="F4943" s="2"/>
      <c r="G4943" s="2"/>
      <c r="H4943" s="2"/>
      <c r="I4943" s="2"/>
    </row>
    <row r="4944">
      <c r="A4944" s="2">
        <f>IFERROR(__xludf.DUMMYFUNCTION("""COMPUTED_VALUE"""),103510.0)</f>
        <v>103510</v>
      </c>
      <c r="B4944" s="2" t="str">
        <f>IFERROR(__xludf.DUMMYFUNCTION("""COMPUTED_VALUE"""),"Medical")</f>
        <v>Medical</v>
      </c>
      <c r="C4944" s="2" t="str">
        <f>IFERROR(__xludf.DUMMYFUNCTION("""COMPUTED_VALUE"""),"Photography")</f>
        <v>Photography</v>
      </c>
      <c r="D4944" s="2" t="str">
        <f>IFERROR(__xludf.DUMMYFUNCTION("""COMPUTED_VALUE"""),"Ironforge House")</f>
        <v>Ironforge House</v>
      </c>
      <c r="E4944" s="2">
        <f>IFERROR(__xludf.DUMMYFUNCTION("""COMPUTED_VALUE"""),7.27)</f>
        <v>7.27</v>
      </c>
      <c r="F4944" s="2"/>
      <c r="G4944" s="2"/>
      <c r="H4944" s="2"/>
      <c r="I4944" s="2"/>
    </row>
    <row r="4945">
      <c r="A4945" s="2">
        <f>IFERROR(__xludf.DUMMYFUNCTION("""COMPUTED_VALUE"""),114936.0)</f>
        <v>114936</v>
      </c>
      <c r="B4945" s="2" t="str">
        <f>IFERROR(__xludf.DUMMYFUNCTION("""COMPUTED_VALUE"""),"Medical")</f>
        <v>Medical</v>
      </c>
      <c r="C4945" s="2" t="str">
        <f>IFERROR(__xludf.DUMMYFUNCTION("""COMPUTED_VALUE"""),"Photography")</f>
        <v>Photography</v>
      </c>
      <c r="D4945" s="2" t="str">
        <f>IFERROR(__xludf.DUMMYFUNCTION("""COMPUTED_VALUE"""),"Ironforge House")</f>
        <v>Ironforge House</v>
      </c>
      <c r="E4945" s="2">
        <f>IFERROR(__xludf.DUMMYFUNCTION("""COMPUTED_VALUE"""),1.03)</f>
        <v>1.03</v>
      </c>
      <c r="F4945" s="2"/>
      <c r="G4945" s="2"/>
      <c r="H4945" s="2"/>
      <c r="I4945" s="2"/>
    </row>
    <row r="4946">
      <c r="A4946" s="2">
        <f>IFERROR(__xludf.DUMMYFUNCTION("""COMPUTED_VALUE"""),114935.0)</f>
        <v>114935</v>
      </c>
      <c r="B4946" s="2" t="str">
        <f>IFERROR(__xludf.DUMMYFUNCTION("""COMPUTED_VALUE"""),"Medical")</f>
        <v>Medical</v>
      </c>
      <c r="C4946" s="2" t="str">
        <f>IFERROR(__xludf.DUMMYFUNCTION("""COMPUTED_VALUE"""),"Photography")</f>
        <v>Photography</v>
      </c>
      <c r="D4946" s="2" t="str">
        <f>IFERROR(__xludf.DUMMYFUNCTION("""COMPUTED_VALUE"""),"Ironforge House")</f>
        <v>Ironforge House</v>
      </c>
      <c r="E4946" s="2">
        <f>IFERROR(__xludf.DUMMYFUNCTION("""COMPUTED_VALUE"""),0.55)</f>
        <v>0.55</v>
      </c>
      <c r="F4946" s="2"/>
      <c r="G4946" s="2"/>
      <c r="H4946" s="2"/>
      <c r="I4946" s="2"/>
    </row>
    <row r="4947">
      <c r="A4947" s="2">
        <f>IFERROR(__xludf.DUMMYFUNCTION("""COMPUTED_VALUE"""),110768.0)</f>
        <v>110768</v>
      </c>
      <c r="B4947" s="2" t="str">
        <f>IFERROR(__xludf.DUMMYFUNCTION("""COMPUTED_VALUE"""),"Medical")</f>
        <v>Medical</v>
      </c>
      <c r="C4947" s="2" t="str">
        <f>IFERROR(__xludf.DUMMYFUNCTION("""COMPUTED_VALUE"""),"Photography")</f>
        <v>Photography</v>
      </c>
      <c r="D4947" s="2" t="str">
        <f>IFERROR(__xludf.DUMMYFUNCTION("""COMPUTED_VALUE"""),"Ironforge House")</f>
        <v>Ironforge House</v>
      </c>
      <c r="E4947" s="2">
        <f>IFERROR(__xludf.DUMMYFUNCTION("""COMPUTED_VALUE"""),0.59)</f>
        <v>0.59</v>
      </c>
      <c r="F4947" s="2"/>
      <c r="G4947" s="2"/>
      <c r="H4947" s="2"/>
      <c r="I4947" s="2"/>
    </row>
    <row r="4948">
      <c r="A4948" s="2">
        <f>IFERROR(__xludf.DUMMYFUNCTION("""COMPUTED_VALUE"""),120256.0)</f>
        <v>120256</v>
      </c>
      <c r="B4948" s="2" t="str">
        <f>IFERROR(__xludf.DUMMYFUNCTION("""COMPUTED_VALUE"""),"Medical")</f>
        <v>Medical</v>
      </c>
      <c r="C4948" s="2" t="str">
        <f>IFERROR(__xludf.DUMMYFUNCTION("""COMPUTED_VALUE"""),"Photography")</f>
        <v>Photography</v>
      </c>
      <c r="D4948" s="2" t="str">
        <f>IFERROR(__xludf.DUMMYFUNCTION("""COMPUTED_VALUE"""),"Silverpeak Publishing")</f>
        <v>Silverpeak Publishing</v>
      </c>
      <c r="E4948" s="2">
        <f>IFERROR(__xludf.DUMMYFUNCTION("""COMPUTED_VALUE"""),1.24)</f>
        <v>1.24</v>
      </c>
      <c r="F4948" s="2"/>
      <c r="G4948" s="2"/>
      <c r="H4948" s="2"/>
      <c r="I4948" s="2"/>
    </row>
    <row r="4949">
      <c r="A4949" s="2">
        <f>IFERROR(__xludf.DUMMYFUNCTION("""COMPUTED_VALUE"""),101783.0)</f>
        <v>101783</v>
      </c>
      <c r="B4949" s="2" t="str">
        <f>IFERROR(__xludf.DUMMYFUNCTION("""COMPUTED_VALUE"""),"Medical")</f>
        <v>Medical</v>
      </c>
      <c r="C4949" s="2" t="str">
        <f>IFERROR(__xludf.DUMMYFUNCTION("""COMPUTED_VALUE"""),"Photography")</f>
        <v>Photography</v>
      </c>
      <c r="D4949" s="2" t="str">
        <f>IFERROR(__xludf.DUMMYFUNCTION("""COMPUTED_VALUE"""),"Silverpeak Publishing")</f>
        <v>Silverpeak Publishing</v>
      </c>
      <c r="E4949" s="2">
        <f>IFERROR(__xludf.DUMMYFUNCTION("""COMPUTED_VALUE"""),0.81)</f>
        <v>0.81</v>
      </c>
      <c r="F4949" s="2"/>
      <c r="G4949" s="2"/>
      <c r="H4949" s="2"/>
      <c r="I4949" s="2"/>
    </row>
    <row r="4950">
      <c r="A4950" s="2">
        <f>IFERROR(__xludf.DUMMYFUNCTION("""COMPUTED_VALUE"""),75766.0)</f>
        <v>75766</v>
      </c>
      <c r="B4950" s="2" t="str">
        <f>IFERROR(__xludf.DUMMYFUNCTION("""COMPUTED_VALUE"""),"Medical")</f>
        <v>Medical</v>
      </c>
      <c r="C4950" s="2" t="str">
        <f>IFERROR(__xludf.DUMMYFUNCTION("""COMPUTED_VALUE"""),"Photography")</f>
        <v>Photography</v>
      </c>
      <c r="D4950" s="2" t="str">
        <f>IFERROR(__xludf.DUMMYFUNCTION("""COMPUTED_VALUE"""),"Silverpeak Publishing")</f>
        <v>Silverpeak Publishing</v>
      </c>
      <c r="E4950" s="2">
        <f>IFERROR(__xludf.DUMMYFUNCTION("""COMPUTED_VALUE"""),1.01)</f>
        <v>1.01</v>
      </c>
      <c r="F4950" s="2"/>
      <c r="G4950" s="2"/>
      <c r="H4950" s="2"/>
      <c r="I4950" s="2"/>
    </row>
    <row r="4951">
      <c r="A4951" s="2">
        <f>IFERROR(__xludf.DUMMYFUNCTION("""COMPUTED_VALUE"""),69756.0)</f>
        <v>69756</v>
      </c>
      <c r="B4951" s="2" t="str">
        <f>IFERROR(__xludf.DUMMYFUNCTION("""COMPUTED_VALUE"""),"Medical")</f>
        <v>Medical</v>
      </c>
      <c r="C4951" s="2" t="str">
        <f>IFERROR(__xludf.DUMMYFUNCTION("""COMPUTED_VALUE"""),"Photography")</f>
        <v>Photography</v>
      </c>
      <c r="D4951" s="2" t="str">
        <f>IFERROR(__xludf.DUMMYFUNCTION("""COMPUTED_VALUE"""),"Silverpeak Publishing")</f>
        <v>Silverpeak Publishing</v>
      </c>
      <c r="E4951" s="2">
        <f>IFERROR(__xludf.DUMMYFUNCTION("""COMPUTED_VALUE"""),1.14)</f>
        <v>1.14</v>
      </c>
      <c r="F4951" s="2"/>
      <c r="G4951" s="2"/>
      <c r="H4951" s="2"/>
      <c r="I4951" s="2"/>
    </row>
    <row r="4952">
      <c r="A4952" s="2">
        <f>IFERROR(__xludf.DUMMYFUNCTION("""COMPUTED_VALUE"""),112471.0)</f>
        <v>112471</v>
      </c>
      <c r="B4952" s="2" t="str">
        <f>IFERROR(__xludf.DUMMYFUNCTION("""COMPUTED_VALUE"""),"Medical")</f>
        <v>Medical</v>
      </c>
      <c r="C4952" s="2" t="str">
        <f>IFERROR(__xludf.DUMMYFUNCTION("""COMPUTED_VALUE"""),"Photography")</f>
        <v>Photography</v>
      </c>
      <c r="D4952" s="2" t="str">
        <f>IFERROR(__xludf.DUMMYFUNCTION("""COMPUTED_VALUE"""),"Silverpeak Publishing")</f>
        <v>Silverpeak Publishing</v>
      </c>
      <c r="E4952" s="2">
        <f>IFERROR(__xludf.DUMMYFUNCTION("""COMPUTED_VALUE"""),0.94)</f>
        <v>0.94</v>
      </c>
      <c r="F4952" s="2"/>
      <c r="G4952" s="2"/>
      <c r="H4952" s="2"/>
      <c r="I4952" s="2"/>
    </row>
    <row r="4953">
      <c r="A4953" s="2">
        <f>IFERROR(__xludf.DUMMYFUNCTION("""COMPUTED_VALUE"""),99040.0)</f>
        <v>99040</v>
      </c>
      <c r="B4953" s="2" t="str">
        <f>IFERROR(__xludf.DUMMYFUNCTION("""COMPUTED_VALUE"""),"Medical")</f>
        <v>Medical</v>
      </c>
      <c r="C4953" s="2" t="str">
        <f>IFERROR(__xludf.DUMMYFUNCTION("""COMPUTED_VALUE"""),"Photography")</f>
        <v>Photography</v>
      </c>
      <c r="D4953" s="2" t="str">
        <f>IFERROR(__xludf.DUMMYFUNCTION("""COMPUTED_VALUE"""),"Silverpeak Publishing")</f>
        <v>Silverpeak Publishing</v>
      </c>
      <c r="E4953" s="2">
        <f>IFERROR(__xludf.DUMMYFUNCTION("""COMPUTED_VALUE"""),2.67)</f>
        <v>2.67</v>
      </c>
      <c r="F4953" s="2"/>
      <c r="G4953" s="2"/>
      <c r="H4953" s="2"/>
      <c r="I4953" s="2"/>
    </row>
    <row r="4954">
      <c r="A4954" s="2">
        <f>IFERROR(__xludf.DUMMYFUNCTION("""COMPUTED_VALUE"""),112321.0)</f>
        <v>112321</v>
      </c>
      <c r="B4954" s="2" t="str">
        <f>IFERROR(__xludf.DUMMYFUNCTION("""COMPUTED_VALUE"""),"Medical")</f>
        <v>Medical</v>
      </c>
      <c r="C4954" s="2" t="str">
        <f>IFERROR(__xludf.DUMMYFUNCTION("""COMPUTED_VALUE"""),"Photography")</f>
        <v>Photography</v>
      </c>
      <c r="D4954" s="2" t="str">
        <f>IFERROR(__xludf.DUMMYFUNCTION("""COMPUTED_VALUE"""),"Silverpeak Publishing")</f>
        <v>Silverpeak Publishing</v>
      </c>
      <c r="E4954" s="2">
        <f>IFERROR(__xludf.DUMMYFUNCTION("""COMPUTED_VALUE"""),0.81)</f>
        <v>0.81</v>
      </c>
      <c r="F4954" s="2"/>
      <c r="G4954" s="2"/>
      <c r="H4954" s="2"/>
      <c r="I4954" s="2"/>
    </row>
    <row r="4955">
      <c r="A4955" s="2">
        <f>IFERROR(__xludf.DUMMYFUNCTION("""COMPUTED_VALUE"""),139296.0)</f>
        <v>139296</v>
      </c>
      <c r="B4955" s="2" t="str">
        <f>IFERROR(__xludf.DUMMYFUNCTION("""COMPUTED_VALUE"""),"Medical")</f>
        <v>Medical</v>
      </c>
      <c r="C4955" s="2" t="str">
        <f>IFERROR(__xludf.DUMMYFUNCTION("""COMPUTED_VALUE"""),"Photography")</f>
        <v>Photography</v>
      </c>
      <c r="D4955" s="2" t="str">
        <f>IFERROR(__xludf.DUMMYFUNCTION("""COMPUTED_VALUE"""),"Silverpeak Publishing")</f>
        <v>Silverpeak Publishing</v>
      </c>
      <c r="E4955" s="2">
        <f>IFERROR(__xludf.DUMMYFUNCTION("""COMPUTED_VALUE"""),1.03)</f>
        <v>1.03</v>
      </c>
      <c r="F4955" s="2"/>
      <c r="G4955" s="2"/>
      <c r="H4955" s="2"/>
      <c r="I4955" s="2"/>
    </row>
    <row r="4956">
      <c r="A4956" s="2">
        <f>IFERROR(__xludf.DUMMYFUNCTION("""COMPUTED_VALUE"""),112318.0)</f>
        <v>112318</v>
      </c>
      <c r="B4956" s="2" t="str">
        <f>IFERROR(__xludf.DUMMYFUNCTION("""COMPUTED_VALUE"""),"Medical")</f>
        <v>Medical</v>
      </c>
      <c r="C4956" s="2" t="str">
        <f>IFERROR(__xludf.DUMMYFUNCTION("""COMPUTED_VALUE"""),"Photography")</f>
        <v>Photography</v>
      </c>
      <c r="D4956" s="2" t="str">
        <f>IFERROR(__xludf.DUMMYFUNCTION("""COMPUTED_VALUE"""),"Silverpeak Publishing")</f>
        <v>Silverpeak Publishing</v>
      </c>
      <c r="E4956" s="2">
        <f>IFERROR(__xludf.DUMMYFUNCTION("""COMPUTED_VALUE"""),0.75)</f>
        <v>0.75</v>
      </c>
      <c r="F4956" s="2"/>
      <c r="G4956" s="2"/>
      <c r="H4956" s="2"/>
      <c r="I4956" s="2"/>
    </row>
    <row r="4957">
      <c r="A4957" s="2">
        <f>IFERROR(__xludf.DUMMYFUNCTION("""COMPUTED_VALUE"""),86119.0)</f>
        <v>86119</v>
      </c>
      <c r="B4957" s="2" t="str">
        <f>IFERROR(__xludf.DUMMYFUNCTION("""COMPUTED_VALUE"""),"Medical")</f>
        <v>Medical</v>
      </c>
      <c r="C4957" s="2" t="str">
        <f>IFERROR(__xludf.DUMMYFUNCTION("""COMPUTED_VALUE"""),"Photography")</f>
        <v>Photography</v>
      </c>
      <c r="D4957" s="2" t="str">
        <f>IFERROR(__xludf.DUMMYFUNCTION("""COMPUTED_VALUE"""),"Silverpeak Publishing")</f>
        <v>Silverpeak Publishing</v>
      </c>
      <c r="E4957" s="2">
        <f>IFERROR(__xludf.DUMMYFUNCTION("""COMPUTED_VALUE"""),2.5)</f>
        <v>2.5</v>
      </c>
      <c r="F4957" s="2"/>
      <c r="G4957" s="2"/>
      <c r="H4957" s="2"/>
      <c r="I4957" s="2"/>
    </row>
    <row r="4958">
      <c r="A4958" s="2">
        <f>IFERROR(__xludf.DUMMYFUNCTION("""COMPUTED_VALUE"""),79895.0)</f>
        <v>79895</v>
      </c>
      <c r="B4958" s="2" t="str">
        <f>IFERROR(__xludf.DUMMYFUNCTION("""COMPUTED_VALUE"""),"Medical")</f>
        <v>Medical</v>
      </c>
      <c r="C4958" s="2" t="str">
        <f>IFERROR(__xludf.DUMMYFUNCTION("""COMPUTED_VALUE"""),"Photography")</f>
        <v>Photography</v>
      </c>
      <c r="D4958" s="2" t="str">
        <f>IFERROR(__xludf.DUMMYFUNCTION("""COMPUTED_VALUE"""),"Silverpeak Publishing")</f>
        <v>Silverpeak Publishing</v>
      </c>
      <c r="E4958" s="2">
        <f>IFERROR(__xludf.DUMMYFUNCTION("""COMPUTED_VALUE"""),6.68)</f>
        <v>6.68</v>
      </c>
      <c r="F4958" s="2"/>
      <c r="G4958" s="2"/>
      <c r="H4958" s="2"/>
      <c r="I4958" s="2"/>
    </row>
    <row r="4959">
      <c r="A4959" s="2">
        <f>IFERROR(__xludf.DUMMYFUNCTION("""COMPUTED_VALUE"""),133909.0)</f>
        <v>133909</v>
      </c>
      <c r="B4959" s="2" t="str">
        <f>IFERROR(__xludf.DUMMYFUNCTION("""COMPUTED_VALUE"""),"Medical")</f>
        <v>Medical</v>
      </c>
      <c r="C4959" s="2" t="str">
        <f>IFERROR(__xludf.DUMMYFUNCTION("""COMPUTED_VALUE"""),"Photography")</f>
        <v>Photography</v>
      </c>
      <c r="D4959" s="2" t="str">
        <f>IFERROR(__xludf.DUMMYFUNCTION("""COMPUTED_VALUE"""),"Silverpeak Publishing")</f>
        <v>Silverpeak Publishing</v>
      </c>
      <c r="E4959" s="2">
        <f>IFERROR(__xludf.DUMMYFUNCTION("""COMPUTED_VALUE"""),2.59)</f>
        <v>2.59</v>
      </c>
      <c r="F4959" s="2"/>
      <c r="G4959" s="2"/>
      <c r="H4959" s="2"/>
      <c r="I4959" s="2"/>
    </row>
    <row r="4960">
      <c r="A4960" s="2">
        <f>IFERROR(__xludf.DUMMYFUNCTION("""COMPUTED_VALUE"""),128338.0)</f>
        <v>128338</v>
      </c>
      <c r="B4960" s="2" t="str">
        <f>IFERROR(__xludf.DUMMYFUNCTION("""COMPUTED_VALUE"""),"Medical")</f>
        <v>Medical</v>
      </c>
      <c r="C4960" s="2" t="str">
        <f>IFERROR(__xludf.DUMMYFUNCTION("""COMPUTED_VALUE"""),"Photography")</f>
        <v>Photography</v>
      </c>
      <c r="D4960" s="2" t="str">
        <f>IFERROR(__xludf.DUMMYFUNCTION("""COMPUTED_VALUE"""),"Silverpeak Publishing")</f>
        <v>Silverpeak Publishing</v>
      </c>
      <c r="E4960" s="2">
        <f>IFERROR(__xludf.DUMMYFUNCTION("""COMPUTED_VALUE"""),3.85)</f>
        <v>3.85</v>
      </c>
      <c r="F4960" s="2"/>
      <c r="G4960" s="2"/>
      <c r="H4960" s="2"/>
      <c r="I4960" s="2"/>
    </row>
    <row r="4961">
      <c r="A4961" s="2">
        <f>IFERROR(__xludf.DUMMYFUNCTION("""COMPUTED_VALUE"""),42990.0)</f>
        <v>42990</v>
      </c>
      <c r="B4961" s="2" t="str">
        <f>IFERROR(__xludf.DUMMYFUNCTION("""COMPUTED_VALUE"""),"Medical")</f>
        <v>Medical</v>
      </c>
      <c r="C4961" s="2" t="str">
        <f>IFERROR(__xludf.DUMMYFUNCTION("""COMPUTED_VALUE"""),"Photography")</f>
        <v>Photography</v>
      </c>
      <c r="D4961" s="2" t="str">
        <f>IFERROR(__xludf.DUMMYFUNCTION("""COMPUTED_VALUE"""),"Silverpeak Publishing")</f>
        <v>Silverpeak Publishing</v>
      </c>
      <c r="E4961" s="2">
        <f>IFERROR(__xludf.DUMMYFUNCTION("""COMPUTED_VALUE"""),1.1)</f>
        <v>1.1</v>
      </c>
      <c r="F4961" s="2"/>
      <c r="G4961" s="2"/>
      <c r="H4961" s="2"/>
      <c r="I4961" s="2"/>
    </row>
    <row r="4962">
      <c r="A4962" s="2">
        <f>IFERROR(__xludf.DUMMYFUNCTION("""COMPUTED_VALUE"""),128339.0)</f>
        <v>128339</v>
      </c>
      <c r="B4962" s="2" t="str">
        <f>IFERROR(__xludf.DUMMYFUNCTION("""COMPUTED_VALUE"""),"Medical")</f>
        <v>Medical</v>
      </c>
      <c r="C4962" s="2" t="str">
        <f>IFERROR(__xludf.DUMMYFUNCTION("""COMPUTED_VALUE"""),"Photography")</f>
        <v>Photography</v>
      </c>
      <c r="D4962" s="2" t="str">
        <f>IFERROR(__xludf.DUMMYFUNCTION("""COMPUTED_VALUE"""),"Silverpeak Publishing")</f>
        <v>Silverpeak Publishing</v>
      </c>
      <c r="E4962" s="2">
        <f>IFERROR(__xludf.DUMMYFUNCTION("""COMPUTED_VALUE"""),3.8)</f>
        <v>3.8</v>
      </c>
      <c r="F4962" s="2"/>
      <c r="G4962" s="2"/>
      <c r="H4962" s="2"/>
      <c r="I4962" s="2"/>
    </row>
    <row r="4963">
      <c r="A4963" s="2">
        <f>IFERROR(__xludf.DUMMYFUNCTION("""COMPUTED_VALUE"""),42008.0)</f>
        <v>42008</v>
      </c>
      <c r="B4963" s="2" t="str">
        <f>IFERROR(__xludf.DUMMYFUNCTION("""COMPUTED_VALUE"""),"Medical")</f>
        <v>Medical</v>
      </c>
      <c r="C4963" s="2" t="str">
        <f>IFERROR(__xludf.DUMMYFUNCTION("""COMPUTED_VALUE"""),"Photography")</f>
        <v>Photography</v>
      </c>
      <c r="D4963" s="2" t="str">
        <f>IFERROR(__xludf.DUMMYFUNCTION("""COMPUTED_VALUE"""),"Silverpeak Publishing")</f>
        <v>Silverpeak Publishing</v>
      </c>
      <c r="E4963" s="2">
        <f>IFERROR(__xludf.DUMMYFUNCTION("""COMPUTED_VALUE"""),2.42)</f>
        <v>2.42</v>
      </c>
      <c r="F4963" s="2"/>
      <c r="G4963" s="2"/>
      <c r="H4963" s="2"/>
      <c r="I4963" s="2"/>
    </row>
    <row r="4964">
      <c r="A4964" s="2">
        <f>IFERROR(__xludf.DUMMYFUNCTION("""COMPUTED_VALUE"""),112320.0)</f>
        <v>112320</v>
      </c>
      <c r="B4964" s="2" t="str">
        <f>IFERROR(__xludf.DUMMYFUNCTION("""COMPUTED_VALUE"""),"Medical")</f>
        <v>Medical</v>
      </c>
      <c r="C4964" s="2" t="str">
        <f>IFERROR(__xludf.DUMMYFUNCTION("""COMPUTED_VALUE"""),"Photography")</f>
        <v>Photography</v>
      </c>
      <c r="D4964" s="2" t="str">
        <f>IFERROR(__xludf.DUMMYFUNCTION("""COMPUTED_VALUE"""),"Silverpeak Publishing")</f>
        <v>Silverpeak Publishing</v>
      </c>
      <c r="E4964" s="2">
        <f>IFERROR(__xludf.DUMMYFUNCTION("""COMPUTED_VALUE"""),1.0)</f>
        <v>1</v>
      </c>
      <c r="F4964" s="2"/>
      <c r="G4964" s="2"/>
      <c r="H4964" s="2"/>
      <c r="I4964" s="2"/>
    </row>
    <row r="4965">
      <c r="A4965" s="2">
        <f>IFERROR(__xludf.DUMMYFUNCTION("""COMPUTED_VALUE"""),111150.0)</f>
        <v>111150</v>
      </c>
      <c r="B4965" s="2" t="str">
        <f>IFERROR(__xludf.DUMMYFUNCTION("""COMPUTED_VALUE"""),"Medical")</f>
        <v>Medical</v>
      </c>
      <c r="C4965" s="2" t="str">
        <f>IFERROR(__xludf.DUMMYFUNCTION("""COMPUTED_VALUE"""),"Photography")</f>
        <v>Photography</v>
      </c>
      <c r="D4965" s="2" t="str">
        <f>IFERROR(__xludf.DUMMYFUNCTION("""COMPUTED_VALUE"""),"Silverpeak Publishing")</f>
        <v>Silverpeak Publishing</v>
      </c>
      <c r="E4965" s="2">
        <f>IFERROR(__xludf.DUMMYFUNCTION("""COMPUTED_VALUE"""),2.59)</f>
        <v>2.59</v>
      </c>
      <c r="F4965" s="2"/>
      <c r="G4965" s="2"/>
      <c r="H4965" s="2"/>
      <c r="I4965" s="2"/>
    </row>
    <row r="4966">
      <c r="A4966" s="2">
        <f>IFERROR(__xludf.DUMMYFUNCTION("""COMPUTED_VALUE"""),101782.0)</f>
        <v>101782</v>
      </c>
      <c r="B4966" s="2" t="str">
        <f>IFERROR(__xludf.DUMMYFUNCTION("""COMPUTED_VALUE"""),"Medical")</f>
        <v>Medical</v>
      </c>
      <c r="C4966" s="2" t="str">
        <f>IFERROR(__xludf.DUMMYFUNCTION("""COMPUTED_VALUE"""),"Photography")</f>
        <v>Photography</v>
      </c>
      <c r="D4966" s="2" t="str">
        <f>IFERROR(__xludf.DUMMYFUNCTION("""COMPUTED_VALUE"""),"Silverpeak Publishing")</f>
        <v>Silverpeak Publishing</v>
      </c>
      <c r="E4966" s="2">
        <f>IFERROR(__xludf.DUMMYFUNCTION("""COMPUTED_VALUE"""),1.06)</f>
        <v>1.06</v>
      </c>
      <c r="F4966" s="2"/>
      <c r="G4966" s="2"/>
      <c r="H4966" s="2"/>
      <c r="I4966" s="2"/>
    </row>
    <row r="4967">
      <c r="A4967" s="2">
        <f>IFERROR(__xludf.DUMMYFUNCTION("""COMPUTED_VALUE"""),128402.0)</f>
        <v>128402</v>
      </c>
      <c r="B4967" s="2" t="str">
        <f>IFERROR(__xludf.DUMMYFUNCTION("""COMPUTED_VALUE"""),"Medical")</f>
        <v>Medical</v>
      </c>
      <c r="C4967" s="2" t="str">
        <f>IFERROR(__xludf.DUMMYFUNCTION("""COMPUTED_VALUE"""),"Photography")</f>
        <v>Photography</v>
      </c>
      <c r="D4967" s="2" t="str">
        <f>IFERROR(__xludf.DUMMYFUNCTION("""COMPUTED_VALUE"""),"Silverpeak Publishing")</f>
        <v>Silverpeak Publishing</v>
      </c>
      <c r="E4967" s="2">
        <f>IFERROR(__xludf.DUMMYFUNCTION("""COMPUTED_VALUE"""),2.81)</f>
        <v>2.81</v>
      </c>
      <c r="F4967" s="2"/>
      <c r="G4967" s="2"/>
      <c r="H4967" s="2"/>
      <c r="I4967" s="2"/>
    </row>
    <row r="4968">
      <c r="A4968" s="2">
        <f>IFERROR(__xludf.DUMMYFUNCTION("""COMPUTED_VALUE"""),112322.0)</f>
        <v>112322</v>
      </c>
      <c r="B4968" s="2" t="str">
        <f>IFERROR(__xludf.DUMMYFUNCTION("""COMPUTED_VALUE"""),"Medical")</f>
        <v>Medical</v>
      </c>
      <c r="C4968" s="2" t="str">
        <f>IFERROR(__xludf.DUMMYFUNCTION("""COMPUTED_VALUE"""),"Photography")</f>
        <v>Photography</v>
      </c>
      <c r="D4968" s="2" t="str">
        <f>IFERROR(__xludf.DUMMYFUNCTION("""COMPUTED_VALUE"""),"Silverpeak Publishing")</f>
        <v>Silverpeak Publishing</v>
      </c>
      <c r="E4968" s="2">
        <f>IFERROR(__xludf.DUMMYFUNCTION("""COMPUTED_VALUE"""),0.72)</f>
        <v>0.72</v>
      </c>
      <c r="F4968" s="2"/>
      <c r="G4968" s="2"/>
      <c r="H4968" s="2"/>
      <c r="I4968" s="2"/>
    </row>
    <row r="4969">
      <c r="A4969" s="2">
        <f>IFERROR(__xludf.DUMMYFUNCTION("""COMPUTED_VALUE"""),41994.0)</f>
        <v>41994</v>
      </c>
      <c r="B4969" s="2" t="str">
        <f>IFERROR(__xludf.DUMMYFUNCTION("""COMPUTED_VALUE"""),"Medical")</f>
        <v>Medical</v>
      </c>
      <c r="C4969" s="2" t="str">
        <f>IFERROR(__xludf.DUMMYFUNCTION("""COMPUTED_VALUE"""),"Photography")</f>
        <v>Photography</v>
      </c>
      <c r="D4969" s="2" t="str">
        <f>IFERROR(__xludf.DUMMYFUNCTION("""COMPUTED_VALUE"""),"Silverpeak Publishing")</f>
        <v>Silverpeak Publishing</v>
      </c>
      <c r="E4969" s="2">
        <f>IFERROR(__xludf.DUMMYFUNCTION("""COMPUTED_VALUE"""),2.31)</f>
        <v>2.31</v>
      </c>
      <c r="F4969" s="2"/>
      <c r="G4969" s="2"/>
      <c r="H4969" s="2"/>
      <c r="I4969" s="2"/>
    </row>
    <row r="4970">
      <c r="A4970" s="2">
        <f>IFERROR(__xludf.DUMMYFUNCTION("""COMPUTED_VALUE"""),112319.0)</f>
        <v>112319</v>
      </c>
      <c r="B4970" s="2" t="str">
        <f>IFERROR(__xludf.DUMMYFUNCTION("""COMPUTED_VALUE"""),"Medical")</f>
        <v>Medical</v>
      </c>
      <c r="C4970" s="2" t="str">
        <f>IFERROR(__xludf.DUMMYFUNCTION("""COMPUTED_VALUE"""),"Photography")</f>
        <v>Photography</v>
      </c>
      <c r="D4970" s="2" t="str">
        <f>IFERROR(__xludf.DUMMYFUNCTION("""COMPUTED_VALUE"""),"Silverpeak Publishing")</f>
        <v>Silverpeak Publishing</v>
      </c>
      <c r="E4970" s="2">
        <f>IFERROR(__xludf.DUMMYFUNCTION("""COMPUTED_VALUE"""),0.77)</f>
        <v>0.77</v>
      </c>
      <c r="F4970" s="2"/>
      <c r="G4970" s="2"/>
      <c r="H4970" s="2"/>
      <c r="I4970" s="2"/>
    </row>
    <row r="4971">
      <c r="A4971" s="2">
        <f>IFERROR(__xludf.DUMMYFUNCTION("""COMPUTED_VALUE"""),42002.0)</f>
        <v>42002</v>
      </c>
      <c r="B4971" s="2" t="str">
        <f>IFERROR(__xludf.DUMMYFUNCTION("""COMPUTED_VALUE"""),"Medical")</f>
        <v>Medical</v>
      </c>
      <c r="C4971" s="2" t="str">
        <f>IFERROR(__xludf.DUMMYFUNCTION("""COMPUTED_VALUE"""),"Photography")</f>
        <v>Photography</v>
      </c>
      <c r="D4971" s="2" t="str">
        <f>IFERROR(__xludf.DUMMYFUNCTION("""COMPUTED_VALUE"""),"Silverpeak Publishing")</f>
        <v>Silverpeak Publishing</v>
      </c>
      <c r="E4971" s="2">
        <f>IFERROR(__xludf.DUMMYFUNCTION("""COMPUTED_VALUE"""),2.47)</f>
        <v>2.47</v>
      </c>
      <c r="F4971" s="2"/>
      <c r="G4971" s="2"/>
      <c r="H4971" s="2"/>
      <c r="I4971" s="2"/>
    </row>
    <row r="4972">
      <c r="A4972" s="2">
        <f>IFERROR(__xludf.DUMMYFUNCTION("""COMPUTED_VALUE"""),120263.0)</f>
        <v>120263</v>
      </c>
      <c r="B4972" s="2" t="str">
        <f>IFERROR(__xludf.DUMMYFUNCTION("""COMPUTED_VALUE"""),"Medical")</f>
        <v>Medical</v>
      </c>
      <c r="C4972" s="2" t="str">
        <f>IFERROR(__xludf.DUMMYFUNCTION("""COMPUTED_VALUE"""),"Photography")</f>
        <v>Photography</v>
      </c>
      <c r="D4972" s="2" t="str">
        <f>IFERROR(__xludf.DUMMYFUNCTION("""COMPUTED_VALUE"""),"Silverpeak Publishing")</f>
        <v>Silverpeak Publishing</v>
      </c>
      <c r="E4972" s="2">
        <f>IFERROR(__xludf.DUMMYFUNCTION("""COMPUTED_VALUE"""),0.85)</f>
        <v>0.85</v>
      </c>
      <c r="F4972" s="2"/>
      <c r="G4972" s="2"/>
      <c r="H4972" s="2"/>
      <c r="I4972" s="2"/>
    </row>
    <row r="4973">
      <c r="A4973" s="2">
        <f>IFERROR(__xludf.DUMMYFUNCTION("""COMPUTED_VALUE"""),112855.0)</f>
        <v>112855</v>
      </c>
      <c r="B4973" s="2" t="str">
        <f>IFERROR(__xludf.DUMMYFUNCTION("""COMPUTED_VALUE"""),"Medical")</f>
        <v>Medical</v>
      </c>
      <c r="C4973" s="2" t="str">
        <f>IFERROR(__xludf.DUMMYFUNCTION("""COMPUTED_VALUE"""),"Photography")</f>
        <v>Photography</v>
      </c>
      <c r="D4973" s="2" t="str">
        <f>IFERROR(__xludf.DUMMYFUNCTION("""COMPUTED_VALUE"""),"Silverpeak Publishing")</f>
        <v>Silverpeak Publishing</v>
      </c>
      <c r="E4973" s="2">
        <f>IFERROR(__xludf.DUMMYFUNCTION("""COMPUTED_VALUE"""),0.7)</f>
        <v>0.7</v>
      </c>
      <c r="F4973" s="2"/>
      <c r="G4973" s="2"/>
      <c r="H4973" s="2"/>
      <c r="I4973" s="2"/>
    </row>
    <row r="4974">
      <c r="A4974" s="2">
        <f>IFERROR(__xludf.DUMMYFUNCTION("""COMPUTED_VALUE"""),111151.0)</f>
        <v>111151</v>
      </c>
      <c r="B4974" s="2" t="str">
        <f>IFERROR(__xludf.DUMMYFUNCTION("""COMPUTED_VALUE"""),"Medical")</f>
        <v>Medical</v>
      </c>
      <c r="C4974" s="2" t="str">
        <f>IFERROR(__xludf.DUMMYFUNCTION("""COMPUTED_VALUE"""),"Photography")</f>
        <v>Photography</v>
      </c>
      <c r="D4974" s="2" t="str">
        <f>IFERROR(__xludf.DUMMYFUNCTION("""COMPUTED_VALUE"""),"Silverpeak Publishing")</f>
        <v>Silverpeak Publishing</v>
      </c>
      <c r="E4974" s="2">
        <f>IFERROR(__xludf.DUMMYFUNCTION("""COMPUTED_VALUE"""),2.68)</f>
        <v>2.68</v>
      </c>
      <c r="F4974" s="2"/>
      <c r="G4974" s="2"/>
      <c r="H4974" s="2"/>
      <c r="I4974" s="2"/>
    </row>
    <row r="4975">
      <c r="A4975" s="2">
        <f>IFERROR(__xludf.DUMMYFUNCTION("""COMPUTED_VALUE"""),111152.0)</f>
        <v>111152</v>
      </c>
      <c r="B4975" s="2" t="str">
        <f>IFERROR(__xludf.DUMMYFUNCTION("""COMPUTED_VALUE"""),"Medical")</f>
        <v>Medical</v>
      </c>
      <c r="C4975" s="2" t="str">
        <f>IFERROR(__xludf.DUMMYFUNCTION("""COMPUTED_VALUE"""),"Photography")</f>
        <v>Photography</v>
      </c>
      <c r="D4975" s="2" t="str">
        <f>IFERROR(__xludf.DUMMYFUNCTION("""COMPUTED_VALUE"""),"Silverpeak Publishing")</f>
        <v>Silverpeak Publishing</v>
      </c>
      <c r="E4975" s="2">
        <f>IFERROR(__xludf.DUMMYFUNCTION("""COMPUTED_VALUE"""),2.6)</f>
        <v>2.6</v>
      </c>
      <c r="F4975" s="2"/>
      <c r="G4975" s="2"/>
      <c r="H4975" s="2"/>
      <c r="I4975" s="2"/>
    </row>
    <row r="4976">
      <c r="A4976" s="2">
        <f>IFERROR(__xludf.DUMMYFUNCTION("""COMPUTED_VALUE"""),122224.0)</f>
        <v>122224</v>
      </c>
      <c r="B4976" s="2" t="str">
        <f>IFERROR(__xludf.DUMMYFUNCTION("""COMPUTED_VALUE"""),"Medical")</f>
        <v>Medical</v>
      </c>
      <c r="C4976" s="2" t="str">
        <f>IFERROR(__xludf.DUMMYFUNCTION("""COMPUTED_VALUE"""),"Photography")</f>
        <v>Photography</v>
      </c>
      <c r="D4976" s="2" t="str">
        <f>IFERROR(__xludf.DUMMYFUNCTION("""COMPUTED_VALUE"""),"Silverpeak Publishing")</f>
        <v>Silverpeak Publishing</v>
      </c>
      <c r="E4976" s="2">
        <f>IFERROR(__xludf.DUMMYFUNCTION("""COMPUTED_VALUE"""),0.93)</f>
        <v>0.93</v>
      </c>
      <c r="F4976" s="2"/>
      <c r="G4976" s="2"/>
      <c r="H4976" s="2"/>
      <c r="I4976" s="2"/>
    </row>
    <row r="4977">
      <c r="A4977" s="2">
        <f>IFERROR(__xludf.DUMMYFUNCTION("""COMPUTED_VALUE"""),124709.0)</f>
        <v>124709</v>
      </c>
      <c r="B4977" s="2" t="str">
        <f>IFERROR(__xludf.DUMMYFUNCTION("""COMPUTED_VALUE"""),"Medical")</f>
        <v>Medical</v>
      </c>
      <c r="C4977" s="2" t="str">
        <f>IFERROR(__xludf.DUMMYFUNCTION("""COMPUTED_VALUE"""),"Photography")</f>
        <v>Photography</v>
      </c>
      <c r="D4977" s="2" t="str">
        <f>IFERROR(__xludf.DUMMYFUNCTION("""COMPUTED_VALUE"""),"Silverpeak Publishing")</f>
        <v>Silverpeak Publishing</v>
      </c>
      <c r="E4977" s="2">
        <f>IFERROR(__xludf.DUMMYFUNCTION("""COMPUTED_VALUE"""),0.68)</f>
        <v>0.68</v>
      </c>
      <c r="F4977" s="2"/>
      <c r="G4977" s="2"/>
      <c r="H4977" s="2"/>
      <c r="I4977" s="2"/>
    </row>
    <row r="4978">
      <c r="A4978" s="2">
        <f>IFERROR(__xludf.DUMMYFUNCTION("""COMPUTED_VALUE"""),99039.0)</f>
        <v>99039</v>
      </c>
      <c r="B4978" s="2" t="str">
        <f>IFERROR(__xludf.DUMMYFUNCTION("""COMPUTED_VALUE"""),"Medical")</f>
        <v>Medical</v>
      </c>
      <c r="C4978" s="2" t="str">
        <f>IFERROR(__xludf.DUMMYFUNCTION("""COMPUTED_VALUE"""),"Photography")</f>
        <v>Photography</v>
      </c>
      <c r="D4978" s="2" t="str">
        <f>IFERROR(__xludf.DUMMYFUNCTION("""COMPUTED_VALUE"""),"Silverpeak Publishing")</f>
        <v>Silverpeak Publishing</v>
      </c>
      <c r="E4978" s="2">
        <f>IFERROR(__xludf.DUMMYFUNCTION("""COMPUTED_VALUE"""),2.43)</f>
        <v>2.43</v>
      </c>
      <c r="F4978" s="2"/>
      <c r="G4978" s="2"/>
      <c r="H4978" s="2"/>
      <c r="I4978" s="2"/>
    </row>
    <row r="4979">
      <c r="A4979" s="2">
        <f>IFERROR(__xludf.DUMMYFUNCTION("""COMPUTED_VALUE"""),82928.0)</f>
        <v>82928</v>
      </c>
      <c r="B4979" s="2" t="str">
        <f>IFERROR(__xludf.DUMMYFUNCTION("""COMPUTED_VALUE"""),"Medical")</f>
        <v>Medical</v>
      </c>
      <c r="C4979" s="2" t="str">
        <f>IFERROR(__xludf.DUMMYFUNCTION("""COMPUTED_VALUE"""),"Photography")</f>
        <v>Photography</v>
      </c>
      <c r="D4979" s="2" t="str">
        <f>IFERROR(__xludf.DUMMYFUNCTION("""COMPUTED_VALUE"""),"Silverpeak Publishing")</f>
        <v>Silverpeak Publishing</v>
      </c>
      <c r="E4979" s="2">
        <f>IFERROR(__xludf.DUMMYFUNCTION("""COMPUTED_VALUE"""),1.18)</f>
        <v>1.18</v>
      </c>
      <c r="F4979" s="2"/>
      <c r="G4979" s="2"/>
      <c r="H4979" s="2"/>
      <c r="I4979" s="2"/>
    </row>
    <row r="4980">
      <c r="A4980" s="2">
        <f>IFERROR(__xludf.DUMMYFUNCTION("""COMPUTED_VALUE"""),111149.0)</f>
        <v>111149</v>
      </c>
      <c r="B4980" s="2" t="str">
        <f>IFERROR(__xludf.DUMMYFUNCTION("""COMPUTED_VALUE"""),"Medical")</f>
        <v>Medical</v>
      </c>
      <c r="C4980" s="2" t="str">
        <f>IFERROR(__xludf.DUMMYFUNCTION("""COMPUTED_VALUE"""),"Photography")</f>
        <v>Photography</v>
      </c>
      <c r="D4980" s="2" t="str">
        <f>IFERROR(__xludf.DUMMYFUNCTION("""COMPUTED_VALUE"""),"Silverpeak Publishing")</f>
        <v>Silverpeak Publishing</v>
      </c>
      <c r="E4980" s="2">
        <f>IFERROR(__xludf.DUMMYFUNCTION("""COMPUTED_VALUE"""),3.11)</f>
        <v>3.11</v>
      </c>
      <c r="F4980" s="2"/>
      <c r="G4980" s="2"/>
      <c r="H4980" s="2"/>
      <c r="I4980" s="2"/>
    </row>
    <row r="4981">
      <c r="A4981" s="2">
        <f>IFERROR(__xludf.DUMMYFUNCTION("""COMPUTED_VALUE"""),82927.0)</f>
        <v>82927</v>
      </c>
      <c r="B4981" s="2" t="str">
        <f>IFERROR(__xludf.DUMMYFUNCTION("""COMPUTED_VALUE"""),"Medical")</f>
        <v>Medical</v>
      </c>
      <c r="C4981" s="2" t="str">
        <f>IFERROR(__xludf.DUMMYFUNCTION("""COMPUTED_VALUE"""),"Photography")</f>
        <v>Photography</v>
      </c>
      <c r="D4981" s="2" t="str">
        <f>IFERROR(__xludf.DUMMYFUNCTION("""COMPUTED_VALUE"""),"Silverpeak Publishing")</f>
        <v>Silverpeak Publishing</v>
      </c>
      <c r="E4981" s="2">
        <f>IFERROR(__xludf.DUMMYFUNCTION("""COMPUTED_VALUE"""),1.15)</f>
        <v>1.15</v>
      </c>
      <c r="F4981" s="2"/>
      <c r="G4981" s="2"/>
      <c r="H4981" s="2"/>
      <c r="I4981" s="2"/>
    </row>
    <row r="4982">
      <c r="A4982" s="2">
        <f>IFERROR(__xludf.DUMMYFUNCTION("""COMPUTED_VALUE"""),112317.0)</f>
        <v>112317</v>
      </c>
      <c r="B4982" s="2" t="str">
        <f>IFERROR(__xludf.DUMMYFUNCTION("""COMPUTED_VALUE"""),"Medical")</f>
        <v>Medical</v>
      </c>
      <c r="C4982" s="2" t="str">
        <f>IFERROR(__xludf.DUMMYFUNCTION("""COMPUTED_VALUE"""),"Photography")</f>
        <v>Photography</v>
      </c>
      <c r="D4982" s="2" t="str">
        <f>IFERROR(__xludf.DUMMYFUNCTION("""COMPUTED_VALUE"""),"Silverpeak Publishing")</f>
        <v>Silverpeak Publishing</v>
      </c>
      <c r="E4982" s="2">
        <f>IFERROR(__xludf.DUMMYFUNCTION("""COMPUTED_VALUE"""),0.86)</f>
        <v>0.86</v>
      </c>
      <c r="F4982" s="2"/>
      <c r="G4982" s="2"/>
      <c r="H4982" s="2"/>
      <c r="I4982" s="2"/>
    </row>
    <row r="4983">
      <c r="A4983" s="2">
        <f>IFERROR(__xludf.DUMMYFUNCTION("""COMPUTED_VALUE"""),140597.0)</f>
        <v>140597</v>
      </c>
      <c r="B4983" s="2" t="str">
        <f>IFERROR(__xludf.DUMMYFUNCTION("""COMPUTED_VALUE"""),"Medical")</f>
        <v>Medical</v>
      </c>
      <c r="C4983" s="2" t="str">
        <f>IFERROR(__xludf.DUMMYFUNCTION("""COMPUTED_VALUE"""),"Photography")</f>
        <v>Photography</v>
      </c>
      <c r="D4983" s="2" t="str">
        <f>IFERROR(__xludf.DUMMYFUNCTION("""COMPUTED_VALUE"""),"Silverpeak Publishing")</f>
        <v>Silverpeak Publishing</v>
      </c>
      <c r="E4983" s="2">
        <f>IFERROR(__xludf.DUMMYFUNCTION("""COMPUTED_VALUE"""),0.92)</f>
        <v>0.92</v>
      </c>
      <c r="F4983" s="2"/>
      <c r="G4983" s="2"/>
      <c r="H4983" s="2"/>
      <c r="I4983" s="2"/>
    </row>
    <row r="4984">
      <c r="A4984" s="2">
        <f>IFERROR(__xludf.DUMMYFUNCTION("""COMPUTED_VALUE"""),122229.0)</f>
        <v>122229</v>
      </c>
      <c r="B4984" s="2" t="str">
        <f>IFERROR(__xludf.DUMMYFUNCTION("""COMPUTED_VALUE"""),"Medical")</f>
        <v>Medical</v>
      </c>
      <c r="C4984" s="2" t="str">
        <f>IFERROR(__xludf.DUMMYFUNCTION("""COMPUTED_VALUE"""),"Photography")</f>
        <v>Photography</v>
      </c>
      <c r="D4984" s="2" t="str">
        <f>IFERROR(__xludf.DUMMYFUNCTION("""COMPUTED_VALUE"""),"Silverpeak Publishing")</f>
        <v>Silverpeak Publishing</v>
      </c>
      <c r="E4984" s="2">
        <f>IFERROR(__xludf.DUMMYFUNCTION("""COMPUTED_VALUE"""),0.83)</f>
        <v>0.83</v>
      </c>
      <c r="F4984" s="2"/>
      <c r="G4984" s="2"/>
      <c r="H4984" s="2"/>
      <c r="I4984" s="2"/>
    </row>
    <row r="4985">
      <c r="A4985" s="2">
        <f>IFERROR(__xludf.DUMMYFUNCTION("""COMPUTED_VALUE"""),112473.0)</f>
        <v>112473</v>
      </c>
      <c r="B4985" s="2" t="str">
        <f>IFERROR(__xludf.DUMMYFUNCTION("""COMPUTED_VALUE"""),"Medical")</f>
        <v>Medical</v>
      </c>
      <c r="C4985" s="2" t="str">
        <f>IFERROR(__xludf.DUMMYFUNCTION("""COMPUTED_VALUE"""),"Photography")</f>
        <v>Photography</v>
      </c>
      <c r="D4985" s="2" t="str">
        <f>IFERROR(__xludf.DUMMYFUNCTION("""COMPUTED_VALUE"""),"Silverpeak Publishing")</f>
        <v>Silverpeak Publishing</v>
      </c>
      <c r="E4985" s="2">
        <f>IFERROR(__xludf.DUMMYFUNCTION("""COMPUTED_VALUE"""),0.87)</f>
        <v>0.87</v>
      </c>
      <c r="F4985" s="2"/>
      <c r="G4985" s="2"/>
      <c r="H4985" s="2"/>
      <c r="I4985" s="2"/>
    </row>
    <row r="4986">
      <c r="A4986" s="2">
        <f>IFERROR(__xludf.DUMMYFUNCTION("""COMPUTED_VALUE"""),122226.0)</f>
        <v>122226</v>
      </c>
      <c r="B4986" s="2" t="str">
        <f>IFERROR(__xludf.DUMMYFUNCTION("""COMPUTED_VALUE"""),"Medical")</f>
        <v>Medical</v>
      </c>
      <c r="C4986" s="2" t="str">
        <f>IFERROR(__xludf.DUMMYFUNCTION("""COMPUTED_VALUE"""),"Photography")</f>
        <v>Photography</v>
      </c>
      <c r="D4986" s="2" t="str">
        <f>IFERROR(__xludf.DUMMYFUNCTION("""COMPUTED_VALUE"""),"Silverpeak Publishing")</f>
        <v>Silverpeak Publishing</v>
      </c>
      <c r="E4986" s="2">
        <f>IFERROR(__xludf.DUMMYFUNCTION("""COMPUTED_VALUE"""),1.06)</f>
        <v>1.06</v>
      </c>
      <c r="F4986" s="2"/>
      <c r="G4986" s="2"/>
      <c r="H4986" s="2"/>
      <c r="I4986" s="2"/>
    </row>
    <row r="4987">
      <c r="A4987" s="2">
        <f>IFERROR(__xludf.DUMMYFUNCTION("""COMPUTED_VALUE"""),4385.0)</f>
        <v>4385</v>
      </c>
      <c r="B4987" s="2" t="str">
        <f>IFERROR(__xludf.DUMMYFUNCTION("""COMPUTED_VALUE"""),"Medical")</f>
        <v>Medical</v>
      </c>
      <c r="C4987" s="2" t="str">
        <f>IFERROR(__xludf.DUMMYFUNCTION("""COMPUTED_VALUE"""),"Photography")</f>
        <v>Photography</v>
      </c>
      <c r="D4987" s="2" t="str">
        <f>IFERROR(__xludf.DUMMYFUNCTION("""COMPUTED_VALUE"""),"Northpeak Publishing")</f>
        <v>Northpeak Publishing</v>
      </c>
      <c r="E4987" s="2">
        <f>IFERROR(__xludf.DUMMYFUNCTION("""COMPUTED_VALUE"""),1.86)</f>
        <v>1.86</v>
      </c>
      <c r="F4987" s="2"/>
      <c r="G4987" s="2"/>
      <c r="H4987" s="2"/>
      <c r="I4987" s="2"/>
    </row>
    <row r="4988">
      <c r="A4988" s="2">
        <f>IFERROR(__xludf.DUMMYFUNCTION("""COMPUTED_VALUE"""),41029.0)</f>
        <v>41029</v>
      </c>
      <c r="B4988" s="2" t="str">
        <f>IFERROR(__xludf.DUMMYFUNCTION("""COMPUTED_VALUE"""),"Medical")</f>
        <v>Medical</v>
      </c>
      <c r="C4988" s="2" t="str">
        <f>IFERROR(__xludf.DUMMYFUNCTION("""COMPUTED_VALUE"""),"Photography")</f>
        <v>Photography</v>
      </c>
      <c r="D4988" s="2" t="str">
        <f>IFERROR(__xludf.DUMMYFUNCTION("""COMPUTED_VALUE"""),"Northpeak Publishing")</f>
        <v>Northpeak Publishing</v>
      </c>
      <c r="E4988" s="2">
        <f>IFERROR(__xludf.DUMMYFUNCTION("""COMPUTED_VALUE"""),2.06)</f>
        <v>2.06</v>
      </c>
      <c r="F4988" s="2"/>
      <c r="G4988" s="2"/>
      <c r="H4988" s="2"/>
      <c r="I4988" s="2"/>
    </row>
    <row r="4989">
      <c r="A4989" s="2">
        <f>IFERROR(__xludf.DUMMYFUNCTION("""COMPUTED_VALUE"""),4386.0)</f>
        <v>4386</v>
      </c>
      <c r="B4989" s="2" t="str">
        <f>IFERROR(__xludf.DUMMYFUNCTION("""COMPUTED_VALUE"""),"Medical")</f>
        <v>Medical</v>
      </c>
      <c r="C4989" s="2" t="str">
        <f>IFERROR(__xludf.DUMMYFUNCTION("""COMPUTED_VALUE"""),"Photography")</f>
        <v>Photography</v>
      </c>
      <c r="D4989" s="2" t="str">
        <f>IFERROR(__xludf.DUMMYFUNCTION("""COMPUTED_VALUE"""),"Northpeak Publishing")</f>
        <v>Northpeak Publishing</v>
      </c>
      <c r="E4989" s="2">
        <f>IFERROR(__xludf.DUMMYFUNCTION("""COMPUTED_VALUE"""),2.06)</f>
        <v>2.06</v>
      </c>
      <c r="F4989" s="2"/>
      <c r="G4989" s="2"/>
      <c r="H4989" s="2"/>
      <c r="I4989" s="2"/>
    </row>
    <row r="4990">
      <c r="A4990" s="2">
        <f>IFERROR(__xludf.DUMMYFUNCTION("""COMPUTED_VALUE"""),41030.0)</f>
        <v>41030</v>
      </c>
      <c r="B4990" s="2" t="str">
        <f>IFERROR(__xludf.DUMMYFUNCTION("""COMPUTED_VALUE"""),"Medical")</f>
        <v>Medical</v>
      </c>
      <c r="C4990" s="2" t="str">
        <f>IFERROR(__xludf.DUMMYFUNCTION("""COMPUTED_VALUE"""),"Photography")</f>
        <v>Photography</v>
      </c>
      <c r="D4990" s="2" t="str">
        <f>IFERROR(__xludf.DUMMYFUNCTION("""COMPUTED_VALUE"""),"Northpeak Publishing")</f>
        <v>Northpeak Publishing</v>
      </c>
      <c r="E4990" s="2">
        <f>IFERROR(__xludf.DUMMYFUNCTION("""COMPUTED_VALUE"""),1.92)</f>
        <v>1.92</v>
      </c>
      <c r="F4990" s="2"/>
      <c r="G4990" s="2"/>
      <c r="H4990" s="2"/>
      <c r="I4990" s="2"/>
    </row>
    <row r="4991">
      <c r="A4991" s="2">
        <f>IFERROR(__xludf.DUMMYFUNCTION("""COMPUTED_VALUE"""),84950.0)</f>
        <v>84950</v>
      </c>
      <c r="B4991" s="2" t="str">
        <f>IFERROR(__xludf.DUMMYFUNCTION("""COMPUTED_VALUE"""),"Medical")</f>
        <v>Medical</v>
      </c>
      <c r="C4991" s="2" t="str">
        <f>IFERROR(__xludf.DUMMYFUNCTION("""COMPUTED_VALUE"""),"Photography")</f>
        <v>Photography</v>
      </c>
      <c r="D4991" s="2" t="str">
        <f>IFERROR(__xludf.DUMMYFUNCTION("""COMPUTED_VALUE"""),"Northpeak Publishing")</f>
        <v>Northpeak Publishing</v>
      </c>
      <c r="E4991" s="2">
        <f>IFERROR(__xludf.DUMMYFUNCTION("""COMPUTED_VALUE"""),2.16)</f>
        <v>2.16</v>
      </c>
      <c r="F4991" s="2"/>
      <c r="G4991" s="2"/>
      <c r="H4991" s="2"/>
      <c r="I4991" s="2"/>
    </row>
    <row r="4992">
      <c r="A4992" s="2">
        <f>IFERROR(__xludf.DUMMYFUNCTION("""COMPUTED_VALUE"""),45255.0)</f>
        <v>45255</v>
      </c>
      <c r="B4992" s="2" t="str">
        <f>IFERROR(__xludf.DUMMYFUNCTION("""COMPUTED_VALUE"""),"Medical")</f>
        <v>Medical</v>
      </c>
      <c r="C4992" s="2" t="str">
        <f>IFERROR(__xludf.DUMMYFUNCTION("""COMPUTED_VALUE"""),"Photography")</f>
        <v>Photography</v>
      </c>
      <c r="D4992" s="2" t="str">
        <f>IFERROR(__xludf.DUMMYFUNCTION("""COMPUTED_VALUE"""),"Harborpeak Publishing")</f>
        <v>Harborpeak Publishing</v>
      </c>
      <c r="E4992" s="2">
        <f>IFERROR(__xludf.DUMMYFUNCTION("""COMPUTED_VALUE"""),1.25)</f>
        <v>1.25</v>
      </c>
      <c r="F4992" s="2"/>
      <c r="G4992" s="2"/>
      <c r="H4992" s="2"/>
      <c r="I4992" s="2"/>
    </row>
    <row r="4993">
      <c r="A4993" s="2">
        <f>IFERROR(__xludf.DUMMYFUNCTION("""COMPUTED_VALUE"""),108070.0)</f>
        <v>108070</v>
      </c>
      <c r="B4993" s="2" t="str">
        <f>IFERROR(__xludf.DUMMYFUNCTION("""COMPUTED_VALUE"""),"Medical")</f>
        <v>Medical</v>
      </c>
      <c r="C4993" s="2" t="str">
        <f>IFERROR(__xludf.DUMMYFUNCTION("""COMPUTED_VALUE"""),"Photography")</f>
        <v>Photography</v>
      </c>
      <c r="D4993" s="2" t="str">
        <f>IFERROR(__xludf.DUMMYFUNCTION("""COMPUTED_VALUE"""),"Harborpeak Publishing")</f>
        <v>Harborpeak Publishing</v>
      </c>
      <c r="E4993" s="2">
        <f>IFERROR(__xludf.DUMMYFUNCTION("""COMPUTED_VALUE"""),0.91)</f>
        <v>0.91</v>
      </c>
      <c r="F4993" s="2"/>
      <c r="G4993" s="2"/>
      <c r="H4993" s="2"/>
      <c r="I4993" s="2"/>
    </row>
    <row r="4994">
      <c r="A4994" s="2">
        <f>IFERROR(__xludf.DUMMYFUNCTION("""COMPUTED_VALUE"""),108069.0)</f>
        <v>108069</v>
      </c>
      <c r="B4994" s="2" t="str">
        <f>IFERROR(__xludf.DUMMYFUNCTION("""COMPUTED_VALUE"""),"Medical")</f>
        <v>Medical</v>
      </c>
      <c r="C4994" s="2" t="str">
        <f>IFERROR(__xludf.DUMMYFUNCTION("""COMPUTED_VALUE"""),"Photography")</f>
        <v>Photography</v>
      </c>
      <c r="D4994" s="2" t="str">
        <f>IFERROR(__xludf.DUMMYFUNCTION("""COMPUTED_VALUE"""),"Harborpeak Publishing")</f>
        <v>Harborpeak Publishing</v>
      </c>
      <c r="E4994" s="2">
        <f>IFERROR(__xludf.DUMMYFUNCTION("""COMPUTED_VALUE"""),0.99)</f>
        <v>0.99</v>
      </c>
      <c r="F4994" s="2"/>
      <c r="G4994" s="2"/>
      <c r="H4994" s="2"/>
      <c r="I4994" s="2"/>
    </row>
    <row r="4995">
      <c r="A4995" s="2">
        <f>IFERROR(__xludf.DUMMYFUNCTION("""COMPUTED_VALUE"""),9668.0)</f>
        <v>9668</v>
      </c>
      <c r="B4995" s="2" t="str">
        <f>IFERROR(__xludf.DUMMYFUNCTION("""COMPUTED_VALUE"""),"Medical")</f>
        <v>Medical</v>
      </c>
      <c r="C4995" s="2" t="str">
        <f>IFERROR(__xludf.DUMMYFUNCTION("""COMPUTED_VALUE"""),"Photography")</f>
        <v>Photography</v>
      </c>
      <c r="D4995" s="2" t="str">
        <f>IFERROR(__xludf.DUMMYFUNCTION("""COMPUTED_VALUE"""),"Cedarpeak Publishing")</f>
        <v>Cedarpeak Publishing</v>
      </c>
      <c r="E4995" s="2">
        <f>IFERROR(__xludf.DUMMYFUNCTION("""COMPUTED_VALUE"""),1.63)</f>
        <v>1.63</v>
      </c>
      <c r="F4995" s="2"/>
      <c r="G4995" s="2"/>
      <c r="H4995" s="2"/>
      <c r="I4995" s="2"/>
    </row>
    <row r="4996">
      <c r="A4996" s="2">
        <f>IFERROR(__xludf.DUMMYFUNCTION("""COMPUTED_VALUE"""),26322.0)</f>
        <v>26322</v>
      </c>
      <c r="B4996" s="2" t="str">
        <f>IFERROR(__xludf.DUMMYFUNCTION("""COMPUTED_VALUE"""),"Medical")</f>
        <v>Medical</v>
      </c>
      <c r="C4996" s="2" t="str">
        <f>IFERROR(__xludf.DUMMYFUNCTION("""COMPUTED_VALUE"""),"Photography")</f>
        <v>Photography</v>
      </c>
      <c r="D4996" s="2" t="str">
        <f>IFERROR(__xludf.DUMMYFUNCTION("""COMPUTED_VALUE"""),"Cedarpeak Publishing")</f>
        <v>Cedarpeak Publishing</v>
      </c>
      <c r="E4996" s="2">
        <f>IFERROR(__xludf.DUMMYFUNCTION("""COMPUTED_VALUE"""),2.52)</f>
        <v>2.52</v>
      </c>
      <c r="F4996" s="2"/>
      <c r="G4996" s="2"/>
      <c r="H4996" s="2"/>
      <c r="I4996" s="2"/>
    </row>
    <row r="4997">
      <c r="A4997" s="2">
        <f>IFERROR(__xludf.DUMMYFUNCTION("""COMPUTED_VALUE"""),70413.0)</f>
        <v>70413</v>
      </c>
      <c r="B4997" s="2" t="str">
        <f>IFERROR(__xludf.DUMMYFUNCTION("""COMPUTED_VALUE"""),"Medical")</f>
        <v>Medical</v>
      </c>
      <c r="C4997" s="2" t="str">
        <f>IFERROR(__xludf.DUMMYFUNCTION("""COMPUTED_VALUE"""),"Photography")</f>
        <v>Photography</v>
      </c>
      <c r="D4997" s="2" t="str">
        <f>IFERROR(__xludf.DUMMYFUNCTION("""COMPUTED_VALUE"""),"Cedarpeak Publishing")</f>
        <v>Cedarpeak Publishing</v>
      </c>
      <c r="E4997" s="2">
        <f>IFERROR(__xludf.DUMMYFUNCTION("""COMPUTED_VALUE"""),1.52)</f>
        <v>1.52</v>
      </c>
      <c r="F4997" s="2"/>
      <c r="G4997" s="2"/>
      <c r="H4997" s="2"/>
      <c r="I4997" s="2"/>
    </row>
    <row r="4998">
      <c r="A4998" s="2">
        <f>IFERROR(__xludf.DUMMYFUNCTION("""COMPUTED_VALUE"""),4389.0)</f>
        <v>4389</v>
      </c>
      <c r="B4998" s="2" t="str">
        <f>IFERROR(__xludf.DUMMYFUNCTION("""COMPUTED_VALUE"""),"Medical")</f>
        <v>Medical</v>
      </c>
      <c r="C4998" s="2" t="str">
        <f>IFERROR(__xludf.DUMMYFUNCTION("""COMPUTED_VALUE"""),"Photography")</f>
        <v>Photography</v>
      </c>
      <c r="D4998" s="2" t="str">
        <f>IFERROR(__xludf.DUMMYFUNCTION("""COMPUTED_VALUE"""),"Cedarpeak Publishing")</f>
        <v>Cedarpeak Publishing</v>
      </c>
      <c r="E4998" s="2">
        <f>IFERROR(__xludf.DUMMYFUNCTION("""COMPUTED_VALUE"""),1.93)</f>
        <v>1.93</v>
      </c>
      <c r="F4998" s="2"/>
      <c r="G4998" s="2"/>
      <c r="H4998" s="2"/>
      <c r="I4998" s="2"/>
    </row>
    <row r="4999">
      <c r="A4999" s="2">
        <f>IFERROR(__xludf.DUMMYFUNCTION("""COMPUTED_VALUE"""),128340.0)</f>
        <v>128340</v>
      </c>
      <c r="B4999" s="2" t="str">
        <f>IFERROR(__xludf.DUMMYFUNCTION("""COMPUTED_VALUE"""),"Medical")</f>
        <v>Medical</v>
      </c>
      <c r="C4999" s="2" t="str">
        <f>IFERROR(__xludf.DUMMYFUNCTION("""COMPUTED_VALUE"""),"Photography")</f>
        <v>Photography</v>
      </c>
      <c r="D4999" s="2" t="str">
        <f>IFERROR(__xludf.DUMMYFUNCTION("""COMPUTED_VALUE"""),"Cedarpeak Publishing")</f>
        <v>Cedarpeak Publishing</v>
      </c>
      <c r="E4999" s="2">
        <f>IFERROR(__xludf.DUMMYFUNCTION("""COMPUTED_VALUE"""),2.76)</f>
        <v>2.76</v>
      </c>
      <c r="F4999" s="2"/>
      <c r="G4999" s="2"/>
      <c r="H4999" s="2"/>
      <c r="I4999" s="2"/>
    </row>
    <row r="5000">
      <c r="A5000" s="2">
        <f>IFERROR(__xludf.DUMMYFUNCTION("""COMPUTED_VALUE"""),108071.0)</f>
        <v>108071</v>
      </c>
      <c r="B5000" s="2" t="str">
        <f>IFERROR(__xludf.DUMMYFUNCTION("""COMPUTED_VALUE"""),"Medical")</f>
        <v>Medical</v>
      </c>
      <c r="C5000" s="2" t="str">
        <f>IFERROR(__xludf.DUMMYFUNCTION("""COMPUTED_VALUE"""),"Photography")</f>
        <v>Photography</v>
      </c>
      <c r="D5000" s="2" t="str">
        <f>IFERROR(__xludf.DUMMYFUNCTION("""COMPUTED_VALUE"""),"Cedarpeak Publishing")</f>
        <v>Cedarpeak Publishing</v>
      </c>
      <c r="E5000" s="2">
        <f>IFERROR(__xludf.DUMMYFUNCTION("""COMPUTED_VALUE"""),1.14)</f>
        <v>1.14</v>
      </c>
      <c r="F5000" s="2"/>
      <c r="G5000" s="2"/>
      <c r="H5000" s="2"/>
      <c r="I5000" s="2"/>
    </row>
    <row r="5001">
      <c r="A5001" s="2">
        <f>IFERROR(__xludf.DUMMYFUNCTION("""COMPUTED_VALUE"""),108068.0)</f>
        <v>108068</v>
      </c>
      <c r="B5001" s="2" t="str">
        <f>IFERROR(__xludf.DUMMYFUNCTION("""COMPUTED_VALUE"""),"Medical")</f>
        <v>Medical</v>
      </c>
      <c r="C5001" s="2" t="str">
        <f>IFERROR(__xludf.DUMMYFUNCTION("""COMPUTED_VALUE"""),"Photography")</f>
        <v>Photography</v>
      </c>
      <c r="D5001" s="2" t="str">
        <f>IFERROR(__xludf.DUMMYFUNCTION("""COMPUTED_VALUE"""),"Cedarpeak Publishing")</f>
        <v>Cedarpeak Publishing</v>
      </c>
      <c r="E5001" s="2">
        <f>IFERROR(__xludf.DUMMYFUNCTION("""COMPUTED_VALUE"""),0.66)</f>
        <v>0.66</v>
      </c>
      <c r="F5001" s="2"/>
      <c r="G5001" s="2"/>
      <c r="H5001" s="2"/>
      <c r="I5001" s="2"/>
    </row>
    <row r="5002">
      <c r="A5002" s="2">
        <f>IFERROR(__xludf.DUMMYFUNCTION("""COMPUTED_VALUE"""),9662.0)</f>
        <v>9662</v>
      </c>
      <c r="B5002" s="2" t="str">
        <f>IFERROR(__xludf.DUMMYFUNCTION("""COMPUTED_VALUE"""),"Medical")</f>
        <v>Medical</v>
      </c>
      <c r="C5002" s="2" t="str">
        <f>IFERROR(__xludf.DUMMYFUNCTION("""COMPUTED_VALUE"""),"Photography")</f>
        <v>Photography</v>
      </c>
      <c r="D5002" s="2" t="str">
        <f>IFERROR(__xludf.DUMMYFUNCTION("""COMPUTED_VALUE"""),"Cedarpeak Publishing")</f>
        <v>Cedarpeak Publishing</v>
      </c>
      <c r="E5002" s="2">
        <f>IFERROR(__xludf.DUMMYFUNCTION("""COMPUTED_VALUE"""),1.47)</f>
        <v>1.47</v>
      </c>
      <c r="F5002" s="2"/>
      <c r="G5002" s="2"/>
      <c r="H5002" s="2"/>
      <c r="I5002" s="2"/>
    </row>
    <row r="5003">
      <c r="A5003" s="2">
        <f>IFERROR(__xludf.DUMMYFUNCTION("""COMPUTED_VALUE"""),117611.0)</f>
        <v>117611</v>
      </c>
      <c r="B5003" s="2" t="str">
        <f>IFERROR(__xludf.DUMMYFUNCTION("""COMPUTED_VALUE"""),"Medical")</f>
        <v>Medical</v>
      </c>
      <c r="C5003" s="2" t="str">
        <f>IFERROR(__xludf.DUMMYFUNCTION("""COMPUTED_VALUE"""),"Photography")</f>
        <v>Photography</v>
      </c>
      <c r="D5003" s="2" t="str">
        <f>IFERROR(__xludf.DUMMYFUNCTION("""COMPUTED_VALUE"""),"Cedarpeak Publishing")</f>
        <v>Cedarpeak Publishing</v>
      </c>
      <c r="E5003" s="2">
        <f>IFERROR(__xludf.DUMMYFUNCTION("""COMPUTED_VALUE"""),0.98)</f>
        <v>0.98</v>
      </c>
      <c r="F5003" s="2"/>
      <c r="G5003" s="2"/>
      <c r="H5003" s="2"/>
      <c r="I5003" s="2"/>
    </row>
    <row r="5004">
      <c r="A5004" s="2">
        <f>IFERROR(__xludf.DUMMYFUNCTION("""COMPUTED_VALUE"""),111148.0)</f>
        <v>111148</v>
      </c>
      <c r="B5004" s="2" t="str">
        <f>IFERROR(__xludf.DUMMYFUNCTION("""COMPUTED_VALUE"""),"Medical")</f>
        <v>Medical</v>
      </c>
      <c r="C5004" s="2" t="str">
        <f>IFERROR(__xludf.DUMMYFUNCTION("""COMPUTED_VALUE"""),"Photography")</f>
        <v>Photography</v>
      </c>
      <c r="D5004" s="2" t="str">
        <f>IFERROR(__xludf.DUMMYFUNCTION("""COMPUTED_VALUE"""),"Cedarpeak Publishing")</f>
        <v>Cedarpeak Publishing</v>
      </c>
      <c r="E5004" s="2">
        <f>IFERROR(__xludf.DUMMYFUNCTION("""COMPUTED_VALUE"""),1.6)</f>
        <v>1.6</v>
      </c>
      <c r="F5004" s="2"/>
      <c r="G5004" s="2"/>
      <c r="H5004" s="2"/>
      <c r="I5004" s="2"/>
    </row>
    <row r="5005">
      <c r="A5005" s="2">
        <f>IFERROR(__xludf.DUMMYFUNCTION("""COMPUTED_VALUE"""),9680.0)</f>
        <v>9680</v>
      </c>
      <c r="B5005" s="2" t="str">
        <f>IFERROR(__xludf.DUMMYFUNCTION("""COMPUTED_VALUE"""),"Medical")</f>
        <v>Medical</v>
      </c>
      <c r="C5005" s="2" t="str">
        <f>IFERROR(__xludf.DUMMYFUNCTION("""COMPUTED_VALUE"""),"Photography")</f>
        <v>Photography</v>
      </c>
      <c r="D5005" s="2" t="str">
        <f>IFERROR(__xludf.DUMMYFUNCTION("""COMPUTED_VALUE"""),"Cedarpeak Publishing")</f>
        <v>Cedarpeak Publishing</v>
      </c>
      <c r="E5005" s="2">
        <f>IFERROR(__xludf.DUMMYFUNCTION("""COMPUTED_VALUE"""),1.22)</f>
        <v>1.22</v>
      </c>
      <c r="F5005" s="2"/>
      <c r="G5005" s="2"/>
      <c r="H5005" s="2"/>
      <c r="I5005" s="2"/>
    </row>
    <row r="5006">
      <c r="A5006" s="2">
        <f>IFERROR(__xludf.DUMMYFUNCTION("""COMPUTED_VALUE"""),117605.0)</f>
        <v>117605</v>
      </c>
      <c r="B5006" s="2" t="str">
        <f>IFERROR(__xludf.DUMMYFUNCTION("""COMPUTED_VALUE"""),"Medical")</f>
        <v>Medical</v>
      </c>
      <c r="C5006" s="2" t="str">
        <f>IFERROR(__xludf.DUMMYFUNCTION("""COMPUTED_VALUE"""),"Photography")</f>
        <v>Photography</v>
      </c>
      <c r="D5006" s="2" t="str">
        <f>IFERROR(__xludf.DUMMYFUNCTION("""COMPUTED_VALUE"""),"Cedarpeak Publishing")</f>
        <v>Cedarpeak Publishing</v>
      </c>
      <c r="E5006" s="2">
        <f>IFERROR(__xludf.DUMMYFUNCTION("""COMPUTED_VALUE"""),0.98)</f>
        <v>0.98</v>
      </c>
      <c r="F5006" s="2"/>
      <c r="G5006" s="2"/>
      <c r="H5006" s="2"/>
      <c r="I5006" s="2"/>
    </row>
    <row r="5007">
      <c r="A5007" s="2">
        <f>IFERROR(__xludf.DUMMYFUNCTION("""COMPUTED_VALUE"""),108077.0)</f>
        <v>108077</v>
      </c>
      <c r="B5007" s="2" t="str">
        <f>IFERROR(__xludf.DUMMYFUNCTION("""COMPUTED_VALUE"""),"Medical")</f>
        <v>Medical</v>
      </c>
      <c r="C5007" s="2" t="str">
        <f>IFERROR(__xludf.DUMMYFUNCTION("""COMPUTED_VALUE"""),"Photography")</f>
        <v>Photography</v>
      </c>
      <c r="D5007" s="2" t="str">
        <f>IFERROR(__xludf.DUMMYFUNCTION("""COMPUTED_VALUE"""),"Cedarpeak Publishing")</f>
        <v>Cedarpeak Publishing</v>
      </c>
      <c r="E5007" s="2">
        <f>IFERROR(__xludf.DUMMYFUNCTION("""COMPUTED_VALUE"""),0.7)</f>
        <v>0.7</v>
      </c>
      <c r="F5007" s="2"/>
      <c r="G5007" s="2"/>
      <c r="H5007" s="2"/>
      <c r="I5007" s="2"/>
    </row>
    <row r="5008">
      <c r="A5008" s="2">
        <f>IFERROR(__xludf.DUMMYFUNCTION("""COMPUTED_VALUE"""),9681.0)</f>
        <v>9681</v>
      </c>
      <c r="B5008" s="2" t="str">
        <f>IFERROR(__xludf.DUMMYFUNCTION("""COMPUTED_VALUE"""),"Medical")</f>
        <v>Medical</v>
      </c>
      <c r="C5008" s="2" t="str">
        <f>IFERROR(__xludf.DUMMYFUNCTION("""COMPUTED_VALUE"""),"Photography")</f>
        <v>Photography</v>
      </c>
      <c r="D5008" s="2" t="str">
        <f>IFERROR(__xludf.DUMMYFUNCTION("""COMPUTED_VALUE"""),"Cedarpeak Publishing")</f>
        <v>Cedarpeak Publishing</v>
      </c>
      <c r="E5008" s="2">
        <f>IFERROR(__xludf.DUMMYFUNCTION("""COMPUTED_VALUE"""),1.41)</f>
        <v>1.41</v>
      </c>
      <c r="F5008" s="2"/>
      <c r="G5008" s="2"/>
      <c r="H5008" s="2"/>
      <c r="I5008" s="2"/>
    </row>
    <row r="5009">
      <c r="A5009" s="2">
        <f>IFERROR(__xludf.DUMMYFUNCTION("""COMPUTED_VALUE"""),4388.0)</f>
        <v>4388</v>
      </c>
      <c r="B5009" s="2" t="str">
        <f>IFERROR(__xludf.DUMMYFUNCTION("""COMPUTED_VALUE"""),"Medical")</f>
        <v>Medical</v>
      </c>
      <c r="C5009" s="2" t="str">
        <f>IFERROR(__xludf.DUMMYFUNCTION("""COMPUTED_VALUE"""),"Photography")</f>
        <v>Photography</v>
      </c>
      <c r="D5009" s="2" t="str">
        <f>IFERROR(__xludf.DUMMYFUNCTION("""COMPUTED_VALUE"""),"Cedarpeak Publishing")</f>
        <v>Cedarpeak Publishing</v>
      </c>
      <c r="E5009" s="2">
        <f>IFERROR(__xludf.DUMMYFUNCTION("""COMPUTED_VALUE"""),1.93)</f>
        <v>1.93</v>
      </c>
      <c r="F5009" s="2"/>
      <c r="G5009" s="2"/>
      <c r="H5009" s="2"/>
      <c r="I5009" s="2"/>
    </row>
    <row r="5010">
      <c r="A5010" s="2">
        <f>IFERROR(__xludf.DUMMYFUNCTION("""COMPUTED_VALUE"""),99036.0)</f>
        <v>99036</v>
      </c>
      <c r="B5010" s="2" t="str">
        <f>IFERROR(__xludf.DUMMYFUNCTION("""COMPUTED_VALUE"""),"Medical")</f>
        <v>Medical</v>
      </c>
      <c r="C5010" s="2" t="str">
        <f>IFERROR(__xludf.DUMMYFUNCTION("""COMPUTED_VALUE"""),"Photography")</f>
        <v>Photography</v>
      </c>
      <c r="D5010" s="2" t="str">
        <f>IFERROR(__xludf.DUMMYFUNCTION("""COMPUTED_VALUE"""),"Cedarpeak Publishing")</f>
        <v>Cedarpeak Publishing</v>
      </c>
      <c r="E5010" s="2">
        <f>IFERROR(__xludf.DUMMYFUNCTION("""COMPUTED_VALUE"""),2.02)</f>
        <v>2.02</v>
      </c>
      <c r="F5010" s="2"/>
      <c r="G5010" s="2"/>
      <c r="H5010" s="2"/>
      <c r="I5010" s="2"/>
    </row>
    <row r="5011">
      <c r="A5011" s="2">
        <f>IFERROR(__xludf.DUMMYFUNCTION("""COMPUTED_VALUE"""),109344.0)</f>
        <v>109344</v>
      </c>
      <c r="B5011" s="2" t="str">
        <f>IFERROR(__xludf.DUMMYFUNCTION("""COMPUTED_VALUE"""),"Medical")</f>
        <v>Medical</v>
      </c>
      <c r="C5011" s="2" t="str">
        <f>IFERROR(__xludf.DUMMYFUNCTION("""COMPUTED_VALUE"""),"Photography")</f>
        <v>Photography</v>
      </c>
      <c r="D5011" s="2" t="str">
        <f>IFERROR(__xludf.DUMMYFUNCTION("""COMPUTED_VALUE"""),"Cedarpeak Publishing")</f>
        <v>Cedarpeak Publishing</v>
      </c>
      <c r="E5011" s="2">
        <f>IFERROR(__xludf.DUMMYFUNCTION("""COMPUTED_VALUE"""),2.21)</f>
        <v>2.21</v>
      </c>
      <c r="F5011" s="2"/>
      <c r="G5011" s="2"/>
      <c r="H5011" s="2"/>
      <c r="I5011" s="2"/>
    </row>
    <row r="5012">
      <c r="A5012" s="2">
        <f>IFERROR(__xludf.DUMMYFUNCTION("""COMPUTED_VALUE"""),9663.0)</f>
        <v>9663</v>
      </c>
      <c r="B5012" s="2" t="str">
        <f>IFERROR(__xludf.DUMMYFUNCTION("""COMPUTED_VALUE"""),"Medical")</f>
        <v>Medical</v>
      </c>
      <c r="C5012" s="2" t="str">
        <f>IFERROR(__xludf.DUMMYFUNCTION("""COMPUTED_VALUE"""),"Photography")</f>
        <v>Photography</v>
      </c>
      <c r="D5012" s="2" t="str">
        <f>IFERROR(__xludf.DUMMYFUNCTION("""COMPUTED_VALUE"""),"Cedarpeak Publishing")</f>
        <v>Cedarpeak Publishing</v>
      </c>
      <c r="E5012" s="2">
        <f>IFERROR(__xludf.DUMMYFUNCTION("""COMPUTED_VALUE"""),1.65)</f>
        <v>1.65</v>
      </c>
      <c r="F5012" s="2"/>
      <c r="G5012" s="2"/>
      <c r="H5012" s="2"/>
      <c r="I5012" s="2"/>
    </row>
    <row r="5013">
      <c r="A5013" s="2">
        <f>IFERROR(__xludf.DUMMYFUNCTION("""COMPUTED_VALUE"""),119106.0)</f>
        <v>119106</v>
      </c>
      <c r="B5013" s="2" t="str">
        <f>IFERROR(__xludf.DUMMYFUNCTION("""COMPUTED_VALUE"""),"Medical")</f>
        <v>Medical</v>
      </c>
      <c r="C5013" s="2" t="str">
        <f>IFERROR(__xludf.DUMMYFUNCTION("""COMPUTED_VALUE"""),"Photography")</f>
        <v>Photography</v>
      </c>
      <c r="D5013" s="2" t="str">
        <f>IFERROR(__xludf.DUMMYFUNCTION("""COMPUTED_VALUE"""),"Cedarpeak Publishing")</f>
        <v>Cedarpeak Publishing</v>
      </c>
      <c r="E5013" s="2">
        <f>IFERROR(__xludf.DUMMYFUNCTION("""COMPUTED_VALUE"""),2.28)</f>
        <v>2.28</v>
      </c>
      <c r="F5013" s="2"/>
      <c r="G5013" s="2"/>
      <c r="H5013" s="2"/>
      <c r="I5013" s="2"/>
    </row>
    <row r="5014">
      <c r="A5014" s="2">
        <f>IFERROR(__xludf.DUMMYFUNCTION("""COMPUTED_VALUE"""),9664.0)</f>
        <v>9664</v>
      </c>
      <c r="B5014" s="2" t="str">
        <f>IFERROR(__xludf.DUMMYFUNCTION("""COMPUTED_VALUE"""),"Medical")</f>
        <v>Medical</v>
      </c>
      <c r="C5014" s="2" t="str">
        <f>IFERROR(__xludf.DUMMYFUNCTION("""COMPUTED_VALUE"""),"Photography")</f>
        <v>Photography</v>
      </c>
      <c r="D5014" s="2" t="str">
        <f>IFERROR(__xludf.DUMMYFUNCTION("""COMPUTED_VALUE"""),"Cedarpeak Publishing")</f>
        <v>Cedarpeak Publishing</v>
      </c>
      <c r="E5014" s="2">
        <f>IFERROR(__xludf.DUMMYFUNCTION("""COMPUTED_VALUE"""),1.26)</f>
        <v>1.26</v>
      </c>
      <c r="F5014" s="2"/>
      <c r="G5014" s="2"/>
      <c r="H5014" s="2"/>
      <c r="I5014" s="2"/>
    </row>
    <row r="5015">
      <c r="A5015" s="2">
        <f>IFERROR(__xludf.DUMMYFUNCTION("""COMPUTED_VALUE"""),108064.0)</f>
        <v>108064</v>
      </c>
      <c r="B5015" s="2" t="str">
        <f>IFERROR(__xludf.DUMMYFUNCTION("""COMPUTED_VALUE"""),"Medical")</f>
        <v>Medical</v>
      </c>
      <c r="C5015" s="2" t="str">
        <f>IFERROR(__xludf.DUMMYFUNCTION("""COMPUTED_VALUE"""),"Photography")</f>
        <v>Photography</v>
      </c>
      <c r="D5015" s="2" t="str">
        <f>IFERROR(__xludf.DUMMYFUNCTION("""COMPUTED_VALUE"""),"Cedarpeak Publishing")</f>
        <v>Cedarpeak Publishing</v>
      </c>
      <c r="E5015" s="2">
        <f>IFERROR(__xludf.DUMMYFUNCTION("""COMPUTED_VALUE"""),1.42)</f>
        <v>1.42</v>
      </c>
      <c r="F5015" s="2"/>
      <c r="G5015" s="2"/>
      <c r="H5015" s="2"/>
      <c r="I5015" s="2"/>
    </row>
    <row r="5016">
      <c r="A5016" s="2">
        <f>IFERROR(__xludf.DUMMYFUNCTION("""COMPUTED_VALUE"""),70414.0)</f>
        <v>70414</v>
      </c>
      <c r="B5016" s="2" t="str">
        <f>IFERROR(__xludf.DUMMYFUNCTION("""COMPUTED_VALUE"""),"Medical")</f>
        <v>Medical</v>
      </c>
      <c r="C5016" s="2" t="str">
        <f>IFERROR(__xludf.DUMMYFUNCTION("""COMPUTED_VALUE"""),"Photography")</f>
        <v>Photography</v>
      </c>
      <c r="D5016" s="2" t="str">
        <f>IFERROR(__xludf.DUMMYFUNCTION("""COMPUTED_VALUE"""),"Cedarpeak Publishing")</f>
        <v>Cedarpeak Publishing</v>
      </c>
      <c r="E5016" s="2">
        <f>IFERROR(__xludf.DUMMYFUNCTION("""COMPUTED_VALUE"""),1.35)</f>
        <v>1.35</v>
      </c>
      <c r="F5016" s="2"/>
      <c r="G5016" s="2"/>
      <c r="H5016" s="2"/>
      <c r="I5016" s="2"/>
    </row>
    <row r="5017">
      <c r="A5017" s="2">
        <f>IFERROR(__xludf.DUMMYFUNCTION("""COMPUTED_VALUE"""),9673.0)</f>
        <v>9673</v>
      </c>
      <c r="B5017" s="2" t="str">
        <f>IFERROR(__xludf.DUMMYFUNCTION("""COMPUTED_VALUE"""),"Medical")</f>
        <v>Medical</v>
      </c>
      <c r="C5017" s="2" t="str">
        <f>IFERROR(__xludf.DUMMYFUNCTION("""COMPUTED_VALUE"""),"Photography")</f>
        <v>Photography</v>
      </c>
      <c r="D5017" s="2" t="str">
        <f>IFERROR(__xludf.DUMMYFUNCTION("""COMPUTED_VALUE"""),"Cedarpeak Publishing")</f>
        <v>Cedarpeak Publishing</v>
      </c>
      <c r="E5017" s="2">
        <f>IFERROR(__xludf.DUMMYFUNCTION("""COMPUTED_VALUE"""),1.58)</f>
        <v>1.58</v>
      </c>
      <c r="F5017" s="2"/>
      <c r="G5017" s="2"/>
      <c r="H5017" s="2"/>
      <c r="I5017" s="2"/>
    </row>
    <row r="5018">
      <c r="A5018" s="2">
        <f>IFERROR(__xludf.DUMMYFUNCTION("""COMPUTED_VALUE"""),117604.0)</f>
        <v>117604</v>
      </c>
      <c r="B5018" s="2" t="str">
        <f>IFERROR(__xludf.DUMMYFUNCTION("""COMPUTED_VALUE"""),"Medical")</f>
        <v>Medical</v>
      </c>
      <c r="C5018" s="2" t="str">
        <f>IFERROR(__xludf.DUMMYFUNCTION("""COMPUTED_VALUE"""),"Photography")</f>
        <v>Photography</v>
      </c>
      <c r="D5018" s="2" t="str">
        <f>IFERROR(__xludf.DUMMYFUNCTION("""COMPUTED_VALUE"""),"Cedarpeak Publishing")</f>
        <v>Cedarpeak Publishing</v>
      </c>
      <c r="E5018" s="2">
        <f>IFERROR(__xludf.DUMMYFUNCTION("""COMPUTED_VALUE"""),0.95)</f>
        <v>0.95</v>
      </c>
      <c r="F5018" s="2"/>
      <c r="G5018" s="2"/>
      <c r="H5018" s="2"/>
      <c r="I5018" s="2"/>
    </row>
    <row r="5019">
      <c r="A5019" s="2">
        <f>IFERROR(__xludf.DUMMYFUNCTION("""COMPUTED_VALUE"""),45165.0)</f>
        <v>45165</v>
      </c>
      <c r="B5019" s="2" t="str">
        <f>IFERROR(__xludf.DUMMYFUNCTION("""COMPUTED_VALUE"""),"Medical")</f>
        <v>Medical</v>
      </c>
      <c r="C5019" s="2" t="str">
        <f>IFERROR(__xludf.DUMMYFUNCTION("""COMPUTED_VALUE"""),"Photography")</f>
        <v>Photography</v>
      </c>
      <c r="D5019" s="2" t="str">
        <f>IFERROR(__xludf.DUMMYFUNCTION("""COMPUTED_VALUE"""),"Cedarpeak Publishing")</f>
        <v>Cedarpeak Publishing</v>
      </c>
      <c r="E5019" s="2">
        <f>IFERROR(__xludf.DUMMYFUNCTION("""COMPUTED_VALUE"""),1.25)</f>
        <v>1.25</v>
      </c>
      <c r="F5019" s="2"/>
      <c r="G5019" s="2"/>
      <c r="H5019" s="2"/>
      <c r="I5019" s="2"/>
    </row>
    <row r="5020">
      <c r="A5020" s="2">
        <f>IFERROR(__xludf.DUMMYFUNCTION("""COMPUTED_VALUE"""),128341.0)</f>
        <v>128341</v>
      </c>
      <c r="B5020" s="2" t="str">
        <f>IFERROR(__xludf.DUMMYFUNCTION("""COMPUTED_VALUE"""),"Medical")</f>
        <v>Medical</v>
      </c>
      <c r="C5020" s="2" t="str">
        <f>IFERROR(__xludf.DUMMYFUNCTION("""COMPUTED_VALUE"""),"Photography")</f>
        <v>Photography</v>
      </c>
      <c r="D5020" s="2" t="str">
        <f>IFERROR(__xludf.DUMMYFUNCTION("""COMPUTED_VALUE"""),"Cedarpeak Publishing")</f>
        <v>Cedarpeak Publishing</v>
      </c>
      <c r="E5020" s="2">
        <f>IFERROR(__xludf.DUMMYFUNCTION("""COMPUTED_VALUE"""),2.89)</f>
        <v>2.89</v>
      </c>
      <c r="F5020" s="2"/>
      <c r="G5020" s="2"/>
      <c r="H5020" s="2"/>
      <c r="I5020" s="2"/>
    </row>
    <row r="5021">
      <c r="A5021" s="2">
        <f>IFERROR(__xludf.DUMMYFUNCTION("""COMPUTED_VALUE"""),101917.0)</f>
        <v>101917</v>
      </c>
      <c r="B5021" s="2" t="str">
        <f>IFERROR(__xludf.DUMMYFUNCTION("""COMPUTED_VALUE"""),"Medical")</f>
        <v>Medical</v>
      </c>
      <c r="C5021" s="2" t="str">
        <f>IFERROR(__xludf.DUMMYFUNCTION("""COMPUTED_VALUE"""),"Photography")</f>
        <v>Photography</v>
      </c>
      <c r="D5021" s="2" t="str">
        <f>IFERROR(__xludf.DUMMYFUNCTION("""COMPUTED_VALUE"""),"Cedarpeak Publishing")</f>
        <v>Cedarpeak Publishing</v>
      </c>
      <c r="E5021" s="2">
        <f>IFERROR(__xludf.DUMMYFUNCTION("""COMPUTED_VALUE"""),1.71)</f>
        <v>1.71</v>
      </c>
      <c r="F5021" s="2"/>
      <c r="G5021" s="2"/>
      <c r="H5021" s="2"/>
      <c r="I5021" s="2"/>
    </row>
    <row r="5022">
      <c r="A5022" s="2">
        <f>IFERROR(__xludf.DUMMYFUNCTION("""COMPUTED_VALUE"""),79419.0)</f>
        <v>79419</v>
      </c>
      <c r="B5022" s="2" t="str">
        <f>IFERROR(__xludf.DUMMYFUNCTION("""COMPUTED_VALUE"""),"Medical")</f>
        <v>Medical</v>
      </c>
      <c r="C5022" s="2" t="str">
        <f>IFERROR(__xludf.DUMMYFUNCTION("""COMPUTED_VALUE"""),"Photography")</f>
        <v>Photography</v>
      </c>
      <c r="D5022" s="2" t="str">
        <f>IFERROR(__xludf.DUMMYFUNCTION("""COMPUTED_VALUE"""),"Cedarpeak Publishing")</f>
        <v>Cedarpeak Publishing</v>
      </c>
      <c r="E5022" s="2">
        <f>IFERROR(__xludf.DUMMYFUNCTION("""COMPUTED_VALUE"""),1.53)</f>
        <v>1.53</v>
      </c>
      <c r="F5022" s="2"/>
      <c r="G5022" s="2"/>
      <c r="H5022" s="2"/>
      <c r="I5022" s="2"/>
    </row>
    <row r="5023">
      <c r="A5023" s="2">
        <f>IFERROR(__xludf.DUMMYFUNCTION("""COMPUTED_VALUE"""),9675.0)</f>
        <v>9675</v>
      </c>
      <c r="B5023" s="2" t="str">
        <f>IFERROR(__xludf.DUMMYFUNCTION("""COMPUTED_VALUE"""),"Medical")</f>
        <v>Medical</v>
      </c>
      <c r="C5023" s="2" t="str">
        <f>IFERROR(__xludf.DUMMYFUNCTION("""COMPUTED_VALUE"""),"Photography")</f>
        <v>Photography</v>
      </c>
      <c r="D5023" s="2" t="str">
        <f>IFERROR(__xludf.DUMMYFUNCTION("""COMPUTED_VALUE"""),"Cedarpeak Publishing")</f>
        <v>Cedarpeak Publishing</v>
      </c>
      <c r="E5023" s="2">
        <f>IFERROR(__xludf.DUMMYFUNCTION("""COMPUTED_VALUE"""),1.52)</f>
        <v>1.52</v>
      </c>
      <c r="F5023" s="2"/>
      <c r="G5023" s="2"/>
      <c r="H5023" s="2"/>
      <c r="I5023" s="2"/>
    </row>
    <row r="5024">
      <c r="A5024" s="2">
        <f>IFERROR(__xludf.DUMMYFUNCTION("""COMPUTED_VALUE"""),9671.0)</f>
        <v>9671</v>
      </c>
      <c r="B5024" s="2" t="str">
        <f>IFERROR(__xludf.DUMMYFUNCTION("""COMPUTED_VALUE"""),"Medical")</f>
        <v>Medical</v>
      </c>
      <c r="C5024" s="2" t="str">
        <f>IFERROR(__xludf.DUMMYFUNCTION("""COMPUTED_VALUE"""),"Photography")</f>
        <v>Photography</v>
      </c>
      <c r="D5024" s="2" t="str">
        <f>IFERROR(__xludf.DUMMYFUNCTION("""COMPUTED_VALUE"""),"Cedarpeak Publishing")</f>
        <v>Cedarpeak Publishing</v>
      </c>
      <c r="E5024" s="2">
        <f>IFERROR(__xludf.DUMMYFUNCTION("""COMPUTED_VALUE"""),1.6)</f>
        <v>1.6</v>
      </c>
      <c r="F5024" s="2"/>
      <c r="G5024" s="2"/>
      <c r="H5024" s="2"/>
      <c r="I5024" s="2"/>
    </row>
    <row r="5025">
      <c r="A5025" s="2">
        <f>IFERROR(__xludf.DUMMYFUNCTION("""COMPUTED_VALUE"""),20247.0)</f>
        <v>20247</v>
      </c>
      <c r="B5025" s="2" t="str">
        <f>IFERROR(__xludf.DUMMYFUNCTION("""COMPUTED_VALUE"""),"Arts")</f>
        <v>Arts</v>
      </c>
      <c r="C5025" s="2" t="str">
        <f>IFERROR(__xludf.DUMMYFUNCTION("""COMPUTED_VALUE"""),"Graphic Design")</f>
        <v>Graphic Design</v>
      </c>
      <c r="D5025" s="2" t="str">
        <f>IFERROR(__xludf.DUMMYFUNCTION("""COMPUTED_VALUE"""),"Brightpeak Publishing")</f>
        <v>Brightpeak Publishing</v>
      </c>
      <c r="E5025" s="2">
        <f>IFERROR(__xludf.DUMMYFUNCTION("""COMPUTED_VALUE"""),10.66)</f>
        <v>10.66</v>
      </c>
      <c r="F5025" s="2"/>
      <c r="G5025" s="2"/>
      <c r="H5025" s="2"/>
      <c r="I5025" s="2"/>
    </row>
    <row r="5026">
      <c r="A5026" s="2">
        <f>IFERROR(__xludf.DUMMYFUNCTION("""COMPUTED_VALUE"""),109240.0)</f>
        <v>109240</v>
      </c>
      <c r="B5026" s="2" t="str">
        <f>IFERROR(__xludf.DUMMYFUNCTION("""COMPUTED_VALUE"""),"Arts")</f>
        <v>Arts</v>
      </c>
      <c r="C5026" s="2" t="str">
        <f>IFERROR(__xludf.DUMMYFUNCTION("""COMPUTED_VALUE"""),"Graphic Design")</f>
        <v>Graphic Design</v>
      </c>
      <c r="D5026" s="2" t="str">
        <f>IFERROR(__xludf.DUMMYFUNCTION("""COMPUTED_VALUE"""),"Brightpeak Publishing")</f>
        <v>Brightpeak Publishing</v>
      </c>
      <c r="E5026" s="2">
        <f>IFERROR(__xludf.DUMMYFUNCTION("""COMPUTED_VALUE"""),2.89)</f>
        <v>2.89</v>
      </c>
      <c r="F5026" s="2"/>
      <c r="G5026" s="2"/>
      <c r="H5026" s="2"/>
      <c r="I5026" s="2"/>
    </row>
    <row r="5027">
      <c r="A5027" s="2">
        <f>IFERROR(__xludf.DUMMYFUNCTION("""COMPUTED_VALUE"""),104079.0)</f>
        <v>104079</v>
      </c>
      <c r="B5027" s="2" t="str">
        <f>IFERROR(__xludf.DUMMYFUNCTION("""COMPUTED_VALUE"""),"Arts")</f>
        <v>Arts</v>
      </c>
      <c r="C5027" s="2" t="str">
        <f>IFERROR(__xludf.DUMMYFUNCTION("""COMPUTED_VALUE"""),"Graphic Design")</f>
        <v>Graphic Design</v>
      </c>
      <c r="D5027" s="2" t="str">
        <f>IFERROR(__xludf.DUMMYFUNCTION("""COMPUTED_VALUE"""),"Brightpeak Publishing")</f>
        <v>Brightpeak Publishing</v>
      </c>
      <c r="E5027" s="2">
        <f>IFERROR(__xludf.DUMMYFUNCTION("""COMPUTED_VALUE"""),1.87)</f>
        <v>1.87</v>
      </c>
      <c r="F5027" s="2"/>
      <c r="G5027" s="2"/>
      <c r="H5027" s="2"/>
      <c r="I5027" s="2"/>
    </row>
    <row r="5028">
      <c r="A5028" s="2">
        <f>IFERROR(__xludf.DUMMYFUNCTION("""COMPUTED_VALUE"""),126567.0)</f>
        <v>126567</v>
      </c>
      <c r="B5028" s="2" t="str">
        <f>IFERROR(__xludf.DUMMYFUNCTION("""COMPUTED_VALUE"""),"Arts")</f>
        <v>Arts</v>
      </c>
      <c r="C5028" s="2" t="str">
        <f>IFERROR(__xludf.DUMMYFUNCTION("""COMPUTED_VALUE"""),"Graphic Design")</f>
        <v>Graphic Design</v>
      </c>
      <c r="D5028" s="2" t="str">
        <f>IFERROR(__xludf.DUMMYFUNCTION("""COMPUTED_VALUE"""),"Brightpeak Publishing")</f>
        <v>Brightpeak Publishing</v>
      </c>
      <c r="E5028" s="2">
        <f>IFERROR(__xludf.DUMMYFUNCTION("""COMPUTED_VALUE"""),2.29)</f>
        <v>2.29</v>
      </c>
      <c r="F5028" s="2"/>
      <c r="G5028" s="2"/>
      <c r="H5028" s="2"/>
      <c r="I5028" s="2"/>
    </row>
    <row r="5029">
      <c r="A5029" s="2">
        <f>IFERROR(__xludf.DUMMYFUNCTION("""COMPUTED_VALUE"""),45567.0)</f>
        <v>45567</v>
      </c>
      <c r="B5029" s="2" t="str">
        <f>IFERROR(__xludf.DUMMYFUNCTION("""COMPUTED_VALUE"""),"Arts")</f>
        <v>Arts</v>
      </c>
      <c r="C5029" s="2" t="str">
        <f>IFERROR(__xludf.DUMMYFUNCTION("""COMPUTED_VALUE"""),"Graphic Design")</f>
        <v>Graphic Design</v>
      </c>
      <c r="D5029" s="2" t="str">
        <f>IFERROR(__xludf.DUMMYFUNCTION("""COMPUTED_VALUE"""),"Brightpeak Publishing")</f>
        <v>Brightpeak Publishing</v>
      </c>
      <c r="E5029" s="2">
        <f>IFERROR(__xludf.DUMMYFUNCTION("""COMPUTED_VALUE"""),18.48)</f>
        <v>18.48</v>
      </c>
      <c r="F5029" s="2"/>
      <c r="G5029" s="2"/>
      <c r="H5029" s="2"/>
      <c r="I5029" s="2"/>
    </row>
    <row r="5030">
      <c r="A5030" s="2">
        <f>IFERROR(__xludf.DUMMYFUNCTION("""COMPUTED_VALUE"""),109241.0)</f>
        <v>109241</v>
      </c>
      <c r="B5030" s="2" t="str">
        <f>IFERROR(__xludf.DUMMYFUNCTION("""COMPUTED_VALUE"""),"Arts")</f>
        <v>Arts</v>
      </c>
      <c r="C5030" s="2" t="str">
        <f>IFERROR(__xludf.DUMMYFUNCTION("""COMPUTED_VALUE"""),"Graphic Design")</f>
        <v>Graphic Design</v>
      </c>
      <c r="D5030" s="2" t="str">
        <f>IFERROR(__xludf.DUMMYFUNCTION("""COMPUTED_VALUE"""),"Brightpeak Publishing")</f>
        <v>Brightpeak Publishing</v>
      </c>
      <c r="E5030" s="2">
        <f>IFERROR(__xludf.DUMMYFUNCTION("""COMPUTED_VALUE"""),3.04)</f>
        <v>3.04</v>
      </c>
      <c r="F5030" s="2"/>
      <c r="G5030" s="2"/>
      <c r="H5030" s="2"/>
      <c r="I5030" s="2"/>
    </row>
    <row r="5031">
      <c r="A5031" s="2">
        <f>IFERROR(__xludf.DUMMYFUNCTION("""COMPUTED_VALUE"""),126564.0)</f>
        <v>126564</v>
      </c>
      <c r="B5031" s="2" t="str">
        <f>IFERROR(__xludf.DUMMYFUNCTION("""COMPUTED_VALUE"""),"Arts")</f>
        <v>Arts</v>
      </c>
      <c r="C5031" s="2" t="str">
        <f>IFERROR(__xludf.DUMMYFUNCTION("""COMPUTED_VALUE"""),"Graphic Design")</f>
        <v>Graphic Design</v>
      </c>
      <c r="D5031" s="2" t="str">
        <f>IFERROR(__xludf.DUMMYFUNCTION("""COMPUTED_VALUE"""),"Brightpeak Publishing")</f>
        <v>Brightpeak Publishing</v>
      </c>
      <c r="E5031" s="2">
        <f>IFERROR(__xludf.DUMMYFUNCTION("""COMPUTED_VALUE"""),2.33)</f>
        <v>2.33</v>
      </c>
      <c r="F5031" s="2"/>
      <c r="G5031" s="2"/>
      <c r="H5031" s="2"/>
      <c r="I5031" s="2"/>
    </row>
    <row r="5032">
      <c r="A5032" s="2">
        <f>IFERROR(__xludf.DUMMYFUNCTION("""COMPUTED_VALUE"""),20246.0)</f>
        <v>20246</v>
      </c>
      <c r="B5032" s="2" t="str">
        <f>IFERROR(__xludf.DUMMYFUNCTION("""COMPUTED_VALUE"""),"Arts")</f>
        <v>Arts</v>
      </c>
      <c r="C5032" s="2" t="str">
        <f>IFERROR(__xludf.DUMMYFUNCTION("""COMPUTED_VALUE"""),"Graphic Design")</f>
        <v>Graphic Design</v>
      </c>
      <c r="D5032" s="2" t="str">
        <f>IFERROR(__xludf.DUMMYFUNCTION("""COMPUTED_VALUE"""),"Brightpeak Publishing")</f>
        <v>Brightpeak Publishing</v>
      </c>
      <c r="E5032" s="2">
        <f>IFERROR(__xludf.DUMMYFUNCTION("""COMPUTED_VALUE"""),6.02)</f>
        <v>6.02</v>
      </c>
      <c r="F5032" s="2"/>
      <c r="G5032" s="2"/>
      <c r="H5032" s="2"/>
      <c r="I5032" s="2"/>
    </row>
    <row r="5033">
      <c r="A5033" s="2">
        <f>IFERROR(__xludf.DUMMYFUNCTION("""COMPUTED_VALUE"""),99321.0)</f>
        <v>99321</v>
      </c>
      <c r="B5033" s="2" t="str">
        <f>IFERROR(__xludf.DUMMYFUNCTION("""COMPUTED_VALUE"""),"Arts")</f>
        <v>Arts</v>
      </c>
      <c r="C5033" s="2" t="str">
        <f>IFERROR(__xludf.DUMMYFUNCTION("""COMPUTED_VALUE"""),"Graphic Design")</f>
        <v>Graphic Design</v>
      </c>
      <c r="D5033" s="2" t="str">
        <f>IFERROR(__xludf.DUMMYFUNCTION("""COMPUTED_VALUE"""),"Brightpeak Publishing")</f>
        <v>Brightpeak Publishing</v>
      </c>
      <c r="E5033" s="2">
        <f>IFERROR(__xludf.DUMMYFUNCTION("""COMPUTED_VALUE"""),1.76)</f>
        <v>1.76</v>
      </c>
      <c r="F5033" s="2"/>
      <c r="G5033" s="2"/>
      <c r="H5033" s="2"/>
      <c r="I5033" s="2"/>
    </row>
    <row r="5034">
      <c r="A5034" s="2">
        <f>IFERROR(__xludf.DUMMYFUNCTION("""COMPUTED_VALUE"""),99322.0)</f>
        <v>99322</v>
      </c>
      <c r="B5034" s="2" t="str">
        <f>IFERROR(__xludf.DUMMYFUNCTION("""COMPUTED_VALUE"""),"Arts")</f>
        <v>Arts</v>
      </c>
      <c r="C5034" s="2" t="str">
        <f>IFERROR(__xludf.DUMMYFUNCTION("""COMPUTED_VALUE"""),"Graphic Design")</f>
        <v>Graphic Design</v>
      </c>
      <c r="D5034" s="2" t="str">
        <f>IFERROR(__xludf.DUMMYFUNCTION("""COMPUTED_VALUE"""),"Brightpeak Publishing")</f>
        <v>Brightpeak Publishing</v>
      </c>
      <c r="E5034" s="2">
        <f>IFERROR(__xludf.DUMMYFUNCTION("""COMPUTED_VALUE"""),1.76)</f>
        <v>1.76</v>
      </c>
      <c r="F5034" s="2"/>
      <c r="G5034" s="2"/>
      <c r="H5034" s="2"/>
      <c r="I5034" s="2"/>
    </row>
    <row r="5035">
      <c r="A5035" s="2">
        <f>IFERROR(__xludf.DUMMYFUNCTION("""COMPUTED_VALUE"""),126561.0)</f>
        <v>126561</v>
      </c>
      <c r="B5035" s="2" t="str">
        <f>IFERROR(__xludf.DUMMYFUNCTION("""COMPUTED_VALUE"""),"Arts")</f>
        <v>Arts</v>
      </c>
      <c r="C5035" s="2" t="str">
        <f>IFERROR(__xludf.DUMMYFUNCTION("""COMPUTED_VALUE"""),"Graphic Design")</f>
        <v>Graphic Design</v>
      </c>
      <c r="D5035" s="2" t="str">
        <f>IFERROR(__xludf.DUMMYFUNCTION("""COMPUTED_VALUE"""),"Brightpeak Publishing")</f>
        <v>Brightpeak Publishing</v>
      </c>
      <c r="E5035" s="2">
        <f>IFERROR(__xludf.DUMMYFUNCTION("""COMPUTED_VALUE"""),2.21)</f>
        <v>2.21</v>
      </c>
      <c r="F5035" s="2"/>
      <c r="G5035" s="2"/>
      <c r="H5035" s="2"/>
      <c r="I5035" s="2"/>
    </row>
    <row r="5036">
      <c r="A5036" s="2">
        <f>IFERROR(__xludf.DUMMYFUNCTION("""COMPUTED_VALUE"""),113871.0)</f>
        <v>113871</v>
      </c>
      <c r="B5036" s="2" t="str">
        <f>IFERROR(__xludf.DUMMYFUNCTION("""COMPUTED_VALUE"""),"Arts")</f>
        <v>Arts</v>
      </c>
      <c r="C5036" s="2" t="str">
        <f>IFERROR(__xludf.DUMMYFUNCTION("""COMPUTED_VALUE"""),"Graphic Design")</f>
        <v>Graphic Design</v>
      </c>
      <c r="D5036" s="2" t="str">
        <f>IFERROR(__xludf.DUMMYFUNCTION("""COMPUTED_VALUE"""),"Oakpeak Publishing")</f>
        <v>Oakpeak Publishing</v>
      </c>
      <c r="E5036" s="2">
        <f>IFERROR(__xludf.DUMMYFUNCTION("""COMPUTED_VALUE"""),4.2)</f>
        <v>4.2</v>
      </c>
      <c r="F5036" s="2"/>
      <c r="G5036" s="2"/>
      <c r="H5036" s="2"/>
      <c r="I5036" s="2"/>
    </row>
    <row r="5037">
      <c r="A5037" s="2">
        <f>IFERROR(__xludf.DUMMYFUNCTION("""COMPUTED_VALUE"""),68332.0)</f>
        <v>68332</v>
      </c>
      <c r="B5037" s="2" t="str">
        <f>IFERROR(__xludf.DUMMYFUNCTION("""COMPUTED_VALUE"""),"Arts")</f>
        <v>Arts</v>
      </c>
      <c r="C5037" s="2" t="str">
        <f>IFERROR(__xludf.DUMMYFUNCTION("""COMPUTED_VALUE"""),"Graphic Design")</f>
        <v>Graphic Design</v>
      </c>
      <c r="D5037" s="2" t="str">
        <f>IFERROR(__xludf.DUMMYFUNCTION("""COMPUTED_VALUE"""),"Oakpeak Publishing")</f>
        <v>Oakpeak Publishing</v>
      </c>
      <c r="E5037" s="2">
        <f>IFERROR(__xludf.DUMMYFUNCTION("""COMPUTED_VALUE"""),1.6)</f>
        <v>1.6</v>
      </c>
      <c r="F5037" s="2"/>
      <c r="G5037" s="2"/>
      <c r="H5037" s="2"/>
      <c r="I5037" s="2"/>
    </row>
    <row r="5038">
      <c r="A5038" s="2">
        <f>IFERROR(__xludf.DUMMYFUNCTION("""COMPUTED_VALUE"""),102081.0)</f>
        <v>102081</v>
      </c>
      <c r="B5038" s="2" t="str">
        <f>IFERROR(__xludf.DUMMYFUNCTION("""COMPUTED_VALUE"""),"Arts")</f>
        <v>Arts</v>
      </c>
      <c r="C5038" s="2" t="str">
        <f>IFERROR(__xludf.DUMMYFUNCTION("""COMPUTED_VALUE"""),"Graphic Design")</f>
        <v>Graphic Design</v>
      </c>
      <c r="D5038" s="2" t="str">
        <f>IFERROR(__xludf.DUMMYFUNCTION("""COMPUTED_VALUE"""),"Oakpeak Publishing")</f>
        <v>Oakpeak Publishing</v>
      </c>
      <c r="E5038" s="2">
        <f>IFERROR(__xludf.DUMMYFUNCTION("""COMPUTED_VALUE"""),7.51)</f>
        <v>7.51</v>
      </c>
      <c r="F5038" s="2"/>
      <c r="G5038" s="2"/>
      <c r="H5038" s="2"/>
      <c r="I5038" s="2"/>
    </row>
    <row r="5039">
      <c r="A5039" s="2">
        <f>IFERROR(__xludf.DUMMYFUNCTION("""COMPUTED_VALUE"""),84213.0)</f>
        <v>84213</v>
      </c>
      <c r="B5039" s="2" t="str">
        <f>IFERROR(__xludf.DUMMYFUNCTION("""COMPUTED_VALUE"""),"Arts")</f>
        <v>Arts</v>
      </c>
      <c r="C5039" s="2" t="str">
        <f>IFERROR(__xludf.DUMMYFUNCTION("""COMPUTED_VALUE"""),"Graphic Design")</f>
        <v>Graphic Design</v>
      </c>
      <c r="D5039" s="2" t="str">
        <f>IFERROR(__xludf.DUMMYFUNCTION("""COMPUTED_VALUE"""),"Oakpeak Publishing")</f>
        <v>Oakpeak Publishing</v>
      </c>
      <c r="E5039" s="2">
        <f>IFERROR(__xludf.DUMMYFUNCTION("""COMPUTED_VALUE"""),3.56)</f>
        <v>3.56</v>
      </c>
      <c r="F5039" s="2"/>
      <c r="G5039" s="2"/>
      <c r="H5039" s="2"/>
      <c r="I5039" s="2"/>
    </row>
    <row r="5040">
      <c r="A5040" s="2">
        <f>IFERROR(__xludf.DUMMYFUNCTION("""COMPUTED_VALUE"""),68302.0)</f>
        <v>68302</v>
      </c>
      <c r="B5040" s="2" t="str">
        <f>IFERROR(__xludf.DUMMYFUNCTION("""COMPUTED_VALUE"""),"Arts")</f>
        <v>Arts</v>
      </c>
      <c r="C5040" s="2" t="str">
        <f>IFERROR(__xludf.DUMMYFUNCTION("""COMPUTED_VALUE"""),"Graphic Design")</f>
        <v>Graphic Design</v>
      </c>
      <c r="D5040" s="2" t="str">
        <f>IFERROR(__xludf.DUMMYFUNCTION("""COMPUTED_VALUE"""),"Oakpeak Publishing")</f>
        <v>Oakpeak Publishing</v>
      </c>
      <c r="E5040" s="2">
        <f>IFERROR(__xludf.DUMMYFUNCTION("""COMPUTED_VALUE"""),2.04)</f>
        <v>2.04</v>
      </c>
      <c r="F5040" s="2"/>
      <c r="G5040" s="2"/>
      <c r="H5040" s="2"/>
      <c r="I5040" s="2"/>
    </row>
    <row r="5041">
      <c r="A5041" s="2">
        <f>IFERROR(__xludf.DUMMYFUNCTION("""COMPUTED_VALUE"""),88238.0)</f>
        <v>88238</v>
      </c>
      <c r="B5041" s="2" t="str">
        <f>IFERROR(__xludf.DUMMYFUNCTION("""COMPUTED_VALUE"""),"Arts")</f>
        <v>Arts</v>
      </c>
      <c r="C5041" s="2" t="str">
        <f>IFERROR(__xludf.DUMMYFUNCTION("""COMPUTED_VALUE"""),"Graphic Design")</f>
        <v>Graphic Design</v>
      </c>
      <c r="D5041" s="2" t="str">
        <f>IFERROR(__xludf.DUMMYFUNCTION("""COMPUTED_VALUE"""),"Oakpeak Publishing")</f>
        <v>Oakpeak Publishing</v>
      </c>
      <c r="E5041" s="2">
        <f>IFERROR(__xludf.DUMMYFUNCTION("""COMPUTED_VALUE"""),1.77)</f>
        <v>1.77</v>
      </c>
      <c r="F5041" s="2"/>
      <c r="G5041" s="2"/>
      <c r="H5041" s="2"/>
      <c r="I5041" s="2"/>
    </row>
    <row r="5042">
      <c r="A5042" s="2">
        <f>IFERROR(__xludf.DUMMYFUNCTION("""COMPUTED_VALUE"""),84202.0)</f>
        <v>84202</v>
      </c>
      <c r="B5042" s="2" t="str">
        <f>IFERROR(__xludf.DUMMYFUNCTION("""COMPUTED_VALUE"""),"Arts")</f>
        <v>Arts</v>
      </c>
      <c r="C5042" s="2" t="str">
        <f>IFERROR(__xludf.DUMMYFUNCTION("""COMPUTED_VALUE"""),"Graphic Design")</f>
        <v>Graphic Design</v>
      </c>
      <c r="D5042" s="2" t="str">
        <f>IFERROR(__xludf.DUMMYFUNCTION("""COMPUTED_VALUE"""),"Oakpeak Publishing")</f>
        <v>Oakpeak Publishing</v>
      </c>
      <c r="E5042" s="2">
        <f>IFERROR(__xludf.DUMMYFUNCTION("""COMPUTED_VALUE"""),1.93)</f>
        <v>1.93</v>
      </c>
      <c r="F5042" s="2"/>
      <c r="G5042" s="2"/>
      <c r="H5042" s="2"/>
      <c r="I5042" s="2"/>
    </row>
    <row r="5043">
      <c r="A5043" s="2">
        <f>IFERROR(__xludf.DUMMYFUNCTION("""COMPUTED_VALUE"""),84226.0)</f>
        <v>84226</v>
      </c>
      <c r="B5043" s="2" t="str">
        <f>IFERROR(__xludf.DUMMYFUNCTION("""COMPUTED_VALUE"""),"Arts")</f>
        <v>Arts</v>
      </c>
      <c r="C5043" s="2" t="str">
        <f>IFERROR(__xludf.DUMMYFUNCTION("""COMPUTED_VALUE"""),"Graphic Design")</f>
        <v>Graphic Design</v>
      </c>
      <c r="D5043" s="2" t="str">
        <f>IFERROR(__xludf.DUMMYFUNCTION("""COMPUTED_VALUE"""),"Riverpeak Publishing")</f>
        <v>Riverpeak Publishing</v>
      </c>
      <c r="E5043" s="2">
        <f>IFERROR(__xludf.DUMMYFUNCTION("""COMPUTED_VALUE"""),3.3)</f>
        <v>3.3</v>
      </c>
      <c r="F5043" s="2"/>
      <c r="G5043" s="2"/>
      <c r="H5043" s="2"/>
      <c r="I5043" s="2"/>
    </row>
    <row r="5044">
      <c r="A5044" s="2">
        <f>IFERROR(__xludf.DUMMYFUNCTION("""COMPUTED_VALUE"""),104071.0)</f>
        <v>104071</v>
      </c>
      <c r="B5044" s="2" t="str">
        <f>IFERROR(__xludf.DUMMYFUNCTION("""COMPUTED_VALUE"""),"Arts")</f>
        <v>Arts</v>
      </c>
      <c r="C5044" s="2" t="str">
        <f>IFERROR(__xludf.DUMMYFUNCTION("""COMPUTED_VALUE"""),"Graphic Design")</f>
        <v>Graphic Design</v>
      </c>
      <c r="D5044" s="2" t="str">
        <f>IFERROR(__xludf.DUMMYFUNCTION("""COMPUTED_VALUE"""),"Riverpeak Publishing")</f>
        <v>Riverpeak Publishing</v>
      </c>
      <c r="E5044" s="2">
        <f>IFERROR(__xludf.DUMMYFUNCTION("""COMPUTED_VALUE"""),1.72)</f>
        <v>1.72</v>
      </c>
      <c r="F5044" s="2"/>
      <c r="G5044" s="2"/>
      <c r="H5044" s="2"/>
      <c r="I5044" s="2"/>
    </row>
    <row r="5045">
      <c r="A5045" s="2">
        <f>IFERROR(__xludf.DUMMYFUNCTION("""COMPUTED_VALUE"""),104075.0)</f>
        <v>104075</v>
      </c>
      <c r="B5045" s="2" t="str">
        <f>IFERROR(__xludf.DUMMYFUNCTION("""COMPUTED_VALUE"""),"Arts")</f>
        <v>Arts</v>
      </c>
      <c r="C5045" s="2" t="str">
        <f>IFERROR(__xludf.DUMMYFUNCTION("""COMPUTED_VALUE"""),"Graphic Design")</f>
        <v>Graphic Design</v>
      </c>
      <c r="D5045" s="2" t="str">
        <f>IFERROR(__xludf.DUMMYFUNCTION("""COMPUTED_VALUE"""),"Riverpeak Publishing")</f>
        <v>Riverpeak Publishing</v>
      </c>
      <c r="E5045" s="2">
        <f>IFERROR(__xludf.DUMMYFUNCTION("""COMPUTED_VALUE"""),3.37)</f>
        <v>3.37</v>
      </c>
      <c r="F5045" s="2"/>
      <c r="G5045" s="2"/>
      <c r="H5045" s="2"/>
      <c r="I5045" s="2"/>
    </row>
    <row r="5046">
      <c r="A5046" s="2">
        <f>IFERROR(__xludf.DUMMYFUNCTION("""COMPUTED_VALUE"""),91042.0)</f>
        <v>91042</v>
      </c>
      <c r="B5046" s="2" t="str">
        <f>IFERROR(__xludf.DUMMYFUNCTION("""COMPUTED_VALUE"""),"Arts")</f>
        <v>Arts</v>
      </c>
      <c r="C5046" s="2" t="str">
        <f>IFERROR(__xludf.DUMMYFUNCTION("""COMPUTED_VALUE"""),"Graphic Design")</f>
        <v>Graphic Design</v>
      </c>
      <c r="D5046" s="2" t="str">
        <f>IFERROR(__xludf.DUMMYFUNCTION("""COMPUTED_VALUE"""),"Riverpeak Publishing")</f>
        <v>Riverpeak Publishing</v>
      </c>
      <c r="E5046" s="2">
        <f>IFERROR(__xludf.DUMMYFUNCTION("""COMPUTED_VALUE"""),2.14)</f>
        <v>2.14</v>
      </c>
      <c r="F5046" s="2"/>
      <c r="G5046" s="2"/>
      <c r="H5046" s="2"/>
      <c r="I5046" s="2"/>
    </row>
    <row r="5047">
      <c r="A5047" s="2">
        <f>IFERROR(__xludf.DUMMYFUNCTION("""COMPUTED_VALUE"""),108047.0)</f>
        <v>108047</v>
      </c>
      <c r="B5047" s="2" t="str">
        <f>IFERROR(__xludf.DUMMYFUNCTION("""COMPUTED_VALUE"""),"Arts")</f>
        <v>Arts</v>
      </c>
      <c r="C5047" s="2" t="str">
        <f>IFERROR(__xludf.DUMMYFUNCTION("""COMPUTED_VALUE"""),"Graphic Design")</f>
        <v>Graphic Design</v>
      </c>
      <c r="D5047" s="2" t="str">
        <f>IFERROR(__xludf.DUMMYFUNCTION("""COMPUTED_VALUE"""),"Riverpeak Publishing")</f>
        <v>Riverpeak Publishing</v>
      </c>
      <c r="E5047" s="2">
        <f>IFERROR(__xludf.DUMMYFUNCTION("""COMPUTED_VALUE"""),31.91)</f>
        <v>31.91</v>
      </c>
      <c r="F5047" s="2"/>
      <c r="G5047" s="2"/>
      <c r="H5047" s="2"/>
      <c r="I5047" s="2"/>
    </row>
    <row r="5048">
      <c r="A5048" s="2">
        <f>IFERROR(__xludf.DUMMYFUNCTION("""COMPUTED_VALUE"""),90993.0)</f>
        <v>90993</v>
      </c>
      <c r="B5048" s="2" t="str">
        <f>IFERROR(__xludf.DUMMYFUNCTION("""COMPUTED_VALUE"""),"Arts")</f>
        <v>Arts</v>
      </c>
      <c r="C5048" s="2" t="str">
        <f>IFERROR(__xludf.DUMMYFUNCTION("""COMPUTED_VALUE"""),"Graphic Design")</f>
        <v>Graphic Design</v>
      </c>
      <c r="D5048" s="2" t="str">
        <f>IFERROR(__xludf.DUMMYFUNCTION("""COMPUTED_VALUE"""),"Riverpeak Publishing")</f>
        <v>Riverpeak Publishing</v>
      </c>
      <c r="E5048" s="2">
        <f>IFERROR(__xludf.DUMMYFUNCTION("""COMPUTED_VALUE"""),9.7)</f>
        <v>9.7</v>
      </c>
      <c r="F5048" s="2"/>
      <c r="G5048" s="2"/>
      <c r="H5048" s="2"/>
      <c r="I5048" s="2"/>
    </row>
    <row r="5049">
      <c r="A5049" s="2">
        <f>IFERROR(__xludf.DUMMYFUNCTION("""COMPUTED_VALUE"""),19277.0)</f>
        <v>19277</v>
      </c>
      <c r="B5049" s="2" t="str">
        <f>IFERROR(__xludf.DUMMYFUNCTION("""COMPUTED_VALUE"""),"Arts")</f>
        <v>Arts</v>
      </c>
      <c r="C5049" s="2" t="str">
        <f>IFERROR(__xludf.DUMMYFUNCTION("""COMPUTED_VALUE"""),"Graphic Design")</f>
        <v>Graphic Design</v>
      </c>
      <c r="D5049" s="2" t="str">
        <f>IFERROR(__xludf.DUMMYFUNCTION("""COMPUTED_VALUE"""),"Riverpeak Publishing")</f>
        <v>Riverpeak Publishing</v>
      </c>
      <c r="E5049" s="2">
        <f>IFERROR(__xludf.DUMMYFUNCTION("""COMPUTED_VALUE"""),3.02)</f>
        <v>3.02</v>
      </c>
      <c r="F5049" s="2"/>
      <c r="G5049" s="2"/>
      <c r="H5049" s="2"/>
      <c r="I5049" s="2"/>
    </row>
    <row r="5050">
      <c r="A5050" s="2">
        <f>IFERROR(__xludf.DUMMYFUNCTION("""COMPUTED_VALUE"""),84223.0)</f>
        <v>84223</v>
      </c>
      <c r="B5050" s="2" t="str">
        <f>IFERROR(__xludf.DUMMYFUNCTION("""COMPUTED_VALUE"""),"Arts")</f>
        <v>Arts</v>
      </c>
      <c r="C5050" s="2" t="str">
        <f>IFERROR(__xludf.DUMMYFUNCTION("""COMPUTED_VALUE"""),"Graphic Design")</f>
        <v>Graphic Design</v>
      </c>
      <c r="D5050" s="2" t="str">
        <f>IFERROR(__xludf.DUMMYFUNCTION("""COMPUTED_VALUE"""),"Riverpeak Publishing")</f>
        <v>Riverpeak Publishing</v>
      </c>
      <c r="E5050" s="2">
        <f>IFERROR(__xludf.DUMMYFUNCTION("""COMPUTED_VALUE"""),3.51)</f>
        <v>3.51</v>
      </c>
      <c r="F5050" s="2"/>
      <c r="G5050" s="2"/>
      <c r="H5050" s="2"/>
      <c r="I5050" s="2"/>
    </row>
    <row r="5051">
      <c r="A5051" s="2">
        <f>IFERROR(__xludf.DUMMYFUNCTION("""COMPUTED_VALUE"""),84225.0)</f>
        <v>84225</v>
      </c>
      <c r="B5051" s="2" t="str">
        <f>IFERROR(__xludf.DUMMYFUNCTION("""COMPUTED_VALUE"""),"Arts")</f>
        <v>Arts</v>
      </c>
      <c r="C5051" s="2" t="str">
        <f>IFERROR(__xludf.DUMMYFUNCTION("""COMPUTED_VALUE"""),"Graphic Design")</f>
        <v>Graphic Design</v>
      </c>
      <c r="D5051" s="2" t="str">
        <f>IFERROR(__xludf.DUMMYFUNCTION("""COMPUTED_VALUE"""),"Riverpeak Publishing")</f>
        <v>Riverpeak Publishing</v>
      </c>
      <c r="E5051" s="2">
        <f>IFERROR(__xludf.DUMMYFUNCTION("""COMPUTED_VALUE"""),2.74)</f>
        <v>2.74</v>
      </c>
      <c r="F5051" s="2"/>
      <c r="G5051" s="2"/>
      <c r="H5051" s="2"/>
      <c r="I5051" s="2"/>
    </row>
    <row r="5052">
      <c r="A5052" s="2">
        <f>IFERROR(__xludf.DUMMYFUNCTION("""COMPUTED_VALUE"""),113865.0)</f>
        <v>113865</v>
      </c>
      <c r="B5052" s="2" t="str">
        <f>IFERROR(__xludf.DUMMYFUNCTION("""COMPUTED_VALUE"""),"Arts")</f>
        <v>Arts</v>
      </c>
      <c r="C5052" s="2" t="str">
        <f>IFERROR(__xludf.DUMMYFUNCTION("""COMPUTED_VALUE"""),"Graphic Design")</f>
        <v>Graphic Design</v>
      </c>
      <c r="D5052" s="2" t="str">
        <f>IFERROR(__xludf.DUMMYFUNCTION("""COMPUTED_VALUE"""),"Riverpeak Publishing")</f>
        <v>Riverpeak Publishing</v>
      </c>
      <c r="E5052" s="2">
        <f>IFERROR(__xludf.DUMMYFUNCTION("""COMPUTED_VALUE"""),2.65)</f>
        <v>2.65</v>
      </c>
      <c r="F5052" s="2"/>
      <c r="G5052" s="2"/>
      <c r="H5052" s="2"/>
      <c r="I5052" s="2"/>
    </row>
    <row r="5053">
      <c r="A5053" s="2">
        <f>IFERROR(__xludf.DUMMYFUNCTION("""COMPUTED_VALUE"""),94645.0)</f>
        <v>94645</v>
      </c>
      <c r="B5053" s="2" t="str">
        <f>IFERROR(__xludf.DUMMYFUNCTION("""COMPUTED_VALUE"""),"Arts")</f>
        <v>Arts</v>
      </c>
      <c r="C5053" s="2" t="str">
        <f>IFERROR(__xludf.DUMMYFUNCTION("""COMPUTED_VALUE"""),"Graphic Design")</f>
        <v>Graphic Design</v>
      </c>
      <c r="D5053" s="2" t="str">
        <f>IFERROR(__xludf.DUMMYFUNCTION("""COMPUTED_VALUE"""),"Riverpeak Publishing")</f>
        <v>Riverpeak Publishing</v>
      </c>
      <c r="E5053" s="2">
        <f>IFERROR(__xludf.DUMMYFUNCTION("""COMPUTED_VALUE"""),3.74)</f>
        <v>3.74</v>
      </c>
      <c r="F5053" s="2"/>
      <c r="G5053" s="2"/>
      <c r="H5053" s="2"/>
      <c r="I5053" s="2"/>
    </row>
    <row r="5054">
      <c r="A5054" s="2">
        <f>IFERROR(__xludf.DUMMYFUNCTION("""COMPUTED_VALUE"""),104073.0)</f>
        <v>104073</v>
      </c>
      <c r="B5054" s="2" t="str">
        <f>IFERROR(__xludf.DUMMYFUNCTION("""COMPUTED_VALUE"""),"Arts")</f>
        <v>Arts</v>
      </c>
      <c r="C5054" s="2" t="str">
        <f>IFERROR(__xludf.DUMMYFUNCTION("""COMPUTED_VALUE"""),"Graphic Design")</f>
        <v>Graphic Design</v>
      </c>
      <c r="D5054" s="2" t="str">
        <f>IFERROR(__xludf.DUMMYFUNCTION("""COMPUTED_VALUE"""),"Riverpeak Publishing")</f>
        <v>Riverpeak Publishing</v>
      </c>
      <c r="E5054" s="2">
        <f>IFERROR(__xludf.DUMMYFUNCTION("""COMPUTED_VALUE"""),3.04)</f>
        <v>3.04</v>
      </c>
      <c r="F5054" s="2"/>
      <c r="G5054" s="2"/>
      <c r="H5054" s="2"/>
      <c r="I5054" s="2"/>
    </row>
    <row r="5055">
      <c r="A5055" s="2">
        <f>IFERROR(__xludf.DUMMYFUNCTION("""COMPUTED_VALUE"""),113880.0)</f>
        <v>113880</v>
      </c>
      <c r="B5055" s="2" t="str">
        <f>IFERROR(__xludf.DUMMYFUNCTION("""COMPUTED_VALUE"""),"Arts")</f>
        <v>Arts</v>
      </c>
      <c r="C5055" s="2" t="str">
        <f>IFERROR(__xludf.DUMMYFUNCTION("""COMPUTED_VALUE"""),"Graphic Design")</f>
        <v>Graphic Design</v>
      </c>
      <c r="D5055" s="2" t="str">
        <f>IFERROR(__xludf.DUMMYFUNCTION("""COMPUTED_VALUE"""),"Riverpeak Publishing")</f>
        <v>Riverpeak Publishing</v>
      </c>
      <c r="E5055" s="2">
        <f>IFERROR(__xludf.DUMMYFUNCTION("""COMPUTED_VALUE"""),4.77)</f>
        <v>4.77</v>
      </c>
      <c r="F5055" s="2"/>
      <c r="G5055" s="2"/>
      <c r="H5055" s="2"/>
      <c r="I5055" s="2"/>
    </row>
    <row r="5056">
      <c r="A5056" s="2">
        <f>IFERROR(__xludf.DUMMYFUNCTION("""COMPUTED_VALUE"""),91045.0)</f>
        <v>91045</v>
      </c>
      <c r="B5056" s="2" t="str">
        <f>IFERROR(__xludf.DUMMYFUNCTION("""COMPUTED_VALUE"""),"Arts")</f>
        <v>Arts</v>
      </c>
      <c r="C5056" s="2" t="str">
        <f>IFERROR(__xludf.DUMMYFUNCTION("""COMPUTED_VALUE"""),"Graphic Design")</f>
        <v>Graphic Design</v>
      </c>
      <c r="D5056" s="2" t="str">
        <f>IFERROR(__xludf.DUMMYFUNCTION("""COMPUTED_VALUE"""),"Riverpeak Publishing")</f>
        <v>Riverpeak Publishing</v>
      </c>
      <c r="E5056" s="2">
        <f>IFERROR(__xludf.DUMMYFUNCTION("""COMPUTED_VALUE"""),2.72)</f>
        <v>2.72</v>
      </c>
      <c r="F5056" s="2"/>
      <c r="G5056" s="2"/>
      <c r="H5056" s="2"/>
      <c r="I5056" s="2"/>
    </row>
    <row r="5057">
      <c r="A5057" s="2">
        <f>IFERROR(__xludf.DUMMYFUNCTION("""COMPUTED_VALUE"""),84231.0)</f>
        <v>84231</v>
      </c>
      <c r="B5057" s="2" t="str">
        <f>IFERROR(__xludf.DUMMYFUNCTION("""COMPUTED_VALUE"""),"Arts")</f>
        <v>Arts</v>
      </c>
      <c r="C5057" s="2" t="str">
        <f>IFERROR(__xludf.DUMMYFUNCTION("""COMPUTED_VALUE"""),"Graphic Design")</f>
        <v>Graphic Design</v>
      </c>
      <c r="D5057" s="2" t="str">
        <f>IFERROR(__xludf.DUMMYFUNCTION("""COMPUTED_VALUE"""),"Riverpeak Publishing")</f>
        <v>Riverpeak Publishing</v>
      </c>
      <c r="E5057" s="2">
        <f>IFERROR(__xludf.DUMMYFUNCTION("""COMPUTED_VALUE"""),3.1)</f>
        <v>3.1</v>
      </c>
      <c r="F5057" s="2"/>
      <c r="G5057" s="2"/>
      <c r="H5057" s="2"/>
      <c r="I5057" s="2"/>
    </row>
    <row r="5058">
      <c r="A5058" s="2">
        <f>IFERROR(__xludf.DUMMYFUNCTION("""COMPUTED_VALUE"""),68321.0)</f>
        <v>68321</v>
      </c>
      <c r="B5058" s="2" t="str">
        <f>IFERROR(__xludf.DUMMYFUNCTION("""COMPUTED_VALUE"""),"Arts")</f>
        <v>Arts</v>
      </c>
      <c r="C5058" s="2" t="str">
        <f>IFERROR(__xludf.DUMMYFUNCTION("""COMPUTED_VALUE"""),"Graphic Design")</f>
        <v>Graphic Design</v>
      </c>
      <c r="D5058" s="2" t="str">
        <f>IFERROR(__xludf.DUMMYFUNCTION("""COMPUTED_VALUE"""),"Riverpeak Publishing")</f>
        <v>Riverpeak Publishing</v>
      </c>
      <c r="E5058" s="2">
        <f>IFERROR(__xludf.DUMMYFUNCTION("""COMPUTED_VALUE"""),1.84)</f>
        <v>1.84</v>
      </c>
      <c r="F5058" s="2"/>
      <c r="G5058" s="2"/>
      <c r="H5058" s="2"/>
      <c r="I5058" s="2"/>
    </row>
    <row r="5059">
      <c r="A5059" s="2">
        <f>IFERROR(__xludf.DUMMYFUNCTION("""COMPUTED_VALUE"""),84211.0)</f>
        <v>84211</v>
      </c>
      <c r="B5059" s="2" t="str">
        <f>IFERROR(__xludf.DUMMYFUNCTION("""COMPUTED_VALUE"""),"Arts")</f>
        <v>Arts</v>
      </c>
      <c r="C5059" s="2" t="str">
        <f>IFERROR(__xludf.DUMMYFUNCTION("""COMPUTED_VALUE"""),"Graphic Design")</f>
        <v>Graphic Design</v>
      </c>
      <c r="D5059" s="2" t="str">
        <f>IFERROR(__xludf.DUMMYFUNCTION("""COMPUTED_VALUE"""),"Ironpeak Publishing")</f>
        <v>Ironpeak Publishing</v>
      </c>
      <c r="E5059" s="2">
        <f>IFERROR(__xludf.DUMMYFUNCTION("""COMPUTED_VALUE"""),3.44)</f>
        <v>3.44</v>
      </c>
      <c r="F5059" s="2"/>
      <c r="G5059" s="2"/>
      <c r="H5059" s="2"/>
      <c r="I5059" s="2"/>
    </row>
    <row r="5060">
      <c r="A5060" s="2">
        <f>IFERROR(__xludf.DUMMYFUNCTION("""COMPUTED_VALUE"""),158663.0)</f>
        <v>158663</v>
      </c>
      <c r="B5060" s="2" t="str">
        <f>IFERROR(__xludf.DUMMYFUNCTION("""COMPUTED_VALUE"""),"Arts")</f>
        <v>Arts</v>
      </c>
      <c r="C5060" s="2" t="str">
        <f>IFERROR(__xludf.DUMMYFUNCTION("""COMPUTED_VALUE"""),"Graphic Design")</f>
        <v>Graphic Design</v>
      </c>
      <c r="D5060" s="2" t="str">
        <f>IFERROR(__xludf.DUMMYFUNCTION("""COMPUTED_VALUE"""),"Ironpeak Publishing")</f>
        <v>Ironpeak Publishing</v>
      </c>
      <c r="E5060" s="2">
        <f>IFERROR(__xludf.DUMMYFUNCTION("""COMPUTED_VALUE"""),0.95)</f>
        <v>0.95</v>
      </c>
      <c r="F5060" s="2"/>
      <c r="G5060" s="2"/>
      <c r="H5060" s="2"/>
      <c r="I5060" s="2"/>
    </row>
    <row r="5061">
      <c r="A5061" s="2">
        <f>IFERROR(__xludf.DUMMYFUNCTION("""COMPUTED_VALUE"""),113874.0)</f>
        <v>113874</v>
      </c>
      <c r="B5061" s="2" t="str">
        <f>IFERROR(__xludf.DUMMYFUNCTION("""COMPUTED_VALUE"""),"Arts")</f>
        <v>Arts</v>
      </c>
      <c r="C5061" s="2" t="str">
        <f>IFERROR(__xludf.DUMMYFUNCTION("""COMPUTED_VALUE"""),"Graphic Design")</f>
        <v>Graphic Design</v>
      </c>
      <c r="D5061" s="2" t="str">
        <f>IFERROR(__xludf.DUMMYFUNCTION("""COMPUTED_VALUE"""),"Ironpeak Publishing")</f>
        <v>Ironpeak Publishing</v>
      </c>
      <c r="E5061" s="2">
        <f>IFERROR(__xludf.DUMMYFUNCTION("""COMPUTED_VALUE"""),5.26)</f>
        <v>5.26</v>
      </c>
      <c r="F5061" s="2"/>
      <c r="G5061" s="2"/>
      <c r="H5061" s="2"/>
      <c r="I5061" s="2"/>
    </row>
    <row r="5062">
      <c r="A5062" s="2">
        <f>IFERROR(__xludf.DUMMYFUNCTION("""COMPUTED_VALUE"""),84234.0)</f>
        <v>84234</v>
      </c>
      <c r="B5062" s="2" t="str">
        <f>IFERROR(__xludf.DUMMYFUNCTION("""COMPUTED_VALUE"""),"Arts")</f>
        <v>Arts</v>
      </c>
      <c r="C5062" s="2" t="str">
        <f>IFERROR(__xludf.DUMMYFUNCTION("""COMPUTED_VALUE"""),"Graphic Design")</f>
        <v>Graphic Design</v>
      </c>
      <c r="D5062" s="2" t="str">
        <f>IFERROR(__xludf.DUMMYFUNCTION("""COMPUTED_VALUE"""),"Ironpeak Publishing")</f>
        <v>Ironpeak Publishing</v>
      </c>
      <c r="E5062" s="2">
        <f>IFERROR(__xludf.DUMMYFUNCTION("""COMPUTED_VALUE"""),2.76)</f>
        <v>2.76</v>
      </c>
      <c r="F5062" s="2"/>
      <c r="G5062" s="2"/>
      <c r="H5062" s="2"/>
      <c r="I5062" s="2"/>
    </row>
    <row r="5063">
      <c r="A5063" s="2">
        <f>IFERROR(__xludf.DUMMYFUNCTION("""COMPUTED_VALUE"""),76642.0)</f>
        <v>76642</v>
      </c>
      <c r="B5063" s="2" t="str">
        <f>IFERROR(__xludf.DUMMYFUNCTION("""COMPUTED_VALUE"""),"Arts")</f>
        <v>Arts</v>
      </c>
      <c r="C5063" s="2" t="str">
        <f>IFERROR(__xludf.DUMMYFUNCTION("""COMPUTED_VALUE"""),"Graphic Design")</f>
        <v>Graphic Design</v>
      </c>
      <c r="D5063" s="2" t="str">
        <f>IFERROR(__xludf.DUMMYFUNCTION("""COMPUTED_VALUE"""),"Ironpeak Publishing")</f>
        <v>Ironpeak Publishing</v>
      </c>
      <c r="E5063" s="2">
        <f>IFERROR(__xludf.DUMMYFUNCTION("""COMPUTED_VALUE"""),1.92)</f>
        <v>1.92</v>
      </c>
      <c r="F5063" s="2"/>
      <c r="G5063" s="2"/>
      <c r="H5063" s="2"/>
      <c r="I5063" s="2"/>
    </row>
    <row r="5064">
      <c r="A5064" s="2">
        <f>IFERROR(__xludf.DUMMYFUNCTION("""COMPUTED_VALUE"""),126573.0)</f>
        <v>126573</v>
      </c>
      <c r="B5064" s="2" t="str">
        <f>IFERROR(__xludf.DUMMYFUNCTION("""COMPUTED_VALUE"""),"Arts")</f>
        <v>Arts</v>
      </c>
      <c r="C5064" s="2" t="str">
        <f>IFERROR(__xludf.DUMMYFUNCTION("""COMPUTED_VALUE"""),"Graphic Design")</f>
        <v>Graphic Design</v>
      </c>
      <c r="D5064" s="2" t="str">
        <f>IFERROR(__xludf.DUMMYFUNCTION("""COMPUTED_VALUE"""),"Ironpeak Publishing")</f>
        <v>Ironpeak Publishing</v>
      </c>
      <c r="E5064" s="2">
        <f>IFERROR(__xludf.DUMMYFUNCTION("""COMPUTED_VALUE"""),1.56)</f>
        <v>1.56</v>
      </c>
      <c r="F5064" s="2"/>
      <c r="G5064" s="2"/>
      <c r="H5064" s="2"/>
      <c r="I5064" s="2"/>
    </row>
    <row r="5065">
      <c r="A5065" s="2">
        <f>IFERROR(__xludf.DUMMYFUNCTION("""COMPUTED_VALUE"""),113877.0)</f>
        <v>113877</v>
      </c>
      <c r="B5065" s="2" t="str">
        <f>IFERROR(__xludf.DUMMYFUNCTION("""COMPUTED_VALUE"""),"Arts")</f>
        <v>Arts</v>
      </c>
      <c r="C5065" s="2" t="str">
        <f>IFERROR(__xludf.DUMMYFUNCTION("""COMPUTED_VALUE"""),"Graphic Design")</f>
        <v>Graphic Design</v>
      </c>
      <c r="D5065" s="2" t="str">
        <f>IFERROR(__xludf.DUMMYFUNCTION("""COMPUTED_VALUE"""),"Ironpeak Publishing")</f>
        <v>Ironpeak Publishing</v>
      </c>
      <c r="E5065" s="2">
        <f>IFERROR(__xludf.DUMMYFUNCTION("""COMPUTED_VALUE"""),5.82)</f>
        <v>5.82</v>
      </c>
      <c r="F5065" s="2"/>
      <c r="G5065" s="2"/>
      <c r="H5065" s="2"/>
      <c r="I5065" s="2"/>
    </row>
    <row r="5066">
      <c r="A5066" s="2">
        <f>IFERROR(__xludf.DUMMYFUNCTION("""COMPUTED_VALUE"""),84212.0)</f>
        <v>84212</v>
      </c>
      <c r="B5066" s="2" t="str">
        <f>IFERROR(__xludf.DUMMYFUNCTION("""COMPUTED_VALUE"""),"Arts")</f>
        <v>Arts</v>
      </c>
      <c r="C5066" s="2" t="str">
        <f>IFERROR(__xludf.DUMMYFUNCTION("""COMPUTED_VALUE"""),"Graphic Design")</f>
        <v>Graphic Design</v>
      </c>
      <c r="D5066" s="2" t="str">
        <f>IFERROR(__xludf.DUMMYFUNCTION("""COMPUTED_VALUE"""),"Ironpeak Publishing")</f>
        <v>Ironpeak Publishing</v>
      </c>
      <c r="E5066" s="2">
        <f>IFERROR(__xludf.DUMMYFUNCTION("""COMPUTED_VALUE"""),3.42)</f>
        <v>3.42</v>
      </c>
      <c r="F5066" s="2"/>
      <c r="G5066" s="2"/>
      <c r="H5066" s="2"/>
      <c r="I5066" s="2"/>
    </row>
    <row r="5067">
      <c r="A5067" s="2">
        <f>IFERROR(__xludf.DUMMYFUNCTION("""COMPUTED_VALUE"""),84203.0)</f>
        <v>84203</v>
      </c>
      <c r="B5067" s="2" t="str">
        <f>IFERROR(__xludf.DUMMYFUNCTION("""COMPUTED_VALUE"""),"Arts")</f>
        <v>Arts</v>
      </c>
      <c r="C5067" s="2" t="str">
        <f>IFERROR(__xludf.DUMMYFUNCTION("""COMPUTED_VALUE"""),"Graphic Design")</f>
        <v>Graphic Design</v>
      </c>
      <c r="D5067" s="2" t="str">
        <f>IFERROR(__xludf.DUMMYFUNCTION("""COMPUTED_VALUE"""),"Ironpeak Publishing")</f>
        <v>Ironpeak Publishing</v>
      </c>
      <c r="E5067" s="2">
        <f>IFERROR(__xludf.DUMMYFUNCTION("""COMPUTED_VALUE"""),3.09)</f>
        <v>3.09</v>
      </c>
      <c r="F5067" s="2"/>
      <c r="G5067" s="2"/>
      <c r="H5067" s="2"/>
      <c r="I5067" s="2"/>
    </row>
    <row r="5068">
      <c r="A5068" s="2">
        <f>IFERROR(__xludf.DUMMYFUNCTION("""COMPUTED_VALUE"""),91038.0)</f>
        <v>91038</v>
      </c>
      <c r="B5068" s="2" t="str">
        <f>IFERROR(__xludf.DUMMYFUNCTION("""COMPUTED_VALUE"""),"Arts")</f>
        <v>Arts</v>
      </c>
      <c r="C5068" s="2" t="str">
        <f>IFERROR(__xludf.DUMMYFUNCTION("""COMPUTED_VALUE"""),"Graphic Design")</f>
        <v>Graphic Design</v>
      </c>
      <c r="D5068" s="2" t="str">
        <f>IFERROR(__xludf.DUMMYFUNCTION("""COMPUTED_VALUE"""),"Silvercrest Publishing")</f>
        <v>Silvercrest Publishing</v>
      </c>
      <c r="E5068" s="2">
        <f>IFERROR(__xludf.DUMMYFUNCTION("""COMPUTED_VALUE"""),2.56)</f>
        <v>2.56</v>
      </c>
      <c r="F5068" s="2"/>
      <c r="G5068" s="2"/>
      <c r="H5068" s="2"/>
      <c r="I5068" s="2"/>
    </row>
    <row r="5069">
      <c r="A5069" s="2">
        <f>IFERROR(__xludf.DUMMYFUNCTION("""COMPUTED_VALUE"""),19335.0)</f>
        <v>19335</v>
      </c>
      <c r="B5069" s="2" t="str">
        <f>IFERROR(__xludf.DUMMYFUNCTION("""COMPUTED_VALUE"""),"Arts")</f>
        <v>Arts</v>
      </c>
      <c r="C5069" s="2" t="str">
        <f>IFERROR(__xludf.DUMMYFUNCTION("""COMPUTED_VALUE"""),"Graphic Design")</f>
        <v>Graphic Design</v>
      </c>
      <c r="D5069" s="2" t="str">
        <f>IFERROR(__xludf.DUMMYFUNCTION("""COMPUTED_VALUE"""),"Silvercrest Publishing")</f>
        <v>Silvercrest Publishing</v>
      </c>
      <c r="E5069" s="2">
        <f>IFERROR(__xludf.DUMMYFUNCTION("""COMPUTED_VALUE"""),1.74)</f>
        <v>1.74</v>
      </c>
      <c r="F5069" s="2"/>
      <c r="G5069" s="2"/>
      <c r="H5069" s="2"/>
      <c r="I5069" s="2"/>
    </row>
    <row r="5070">
      <c r="A5070" s="2">
        <f>IFERROR(__xludf.DUMMYFUNCTION("""COMPUTED_VALUE"""),103073.0)</f>
        <v>103073</v>
      </c>
      <c r="B5070" s="2" t="str">
        <f>IFERROR(__xludf.DUMMYFUNCTION("""COMPUTED_VALUE"""),"Arts")</f>
        <v>Arts</v>
      </c>
      <c r="C5070" s="2" t="str">
        <f>IFERROR(__xludf.DUMMYFUNCTION("""COMPUTED_VALUE"""),"Graphic Design")</f>
        <v>Graphic Design</v>
      </c>
      <c r="D5070" s="2" t="str">
        <f>IFERROR(__xludf.DUMMYFUNCTION("""COMPUTED_VALUE"""),"Silvercrest Publishing")</f>
        <v>Silvercrest Publishing</v>
      </c>
      <c r="E5070" s="2">
        <f>IFERROR(__xludf.DUMMYFUNCTION("""COMPUTED_VALUE"""),1.89)</f>
        <v>1.89</v>
      </c>
      <c r="F5070" s="2"/>
      <c r="G5070" s="2"/>
      <c r="H5070" s="2"/>
      <c r="I5070" s="2"/>
    </row>
    <row r="5071">
      <c r="A5071" s="2">
        <f>IFERROR(__xludf.DUMMYFUNCTION("""COMPUTED_VALUE"""),122261.0)</f>
        <v>122261</v>
      </c>
      <c r="B5071" s="2" t="str">
        <f>IFERROR(__xludf.DUMMYFUNCTION("""COMPUTED_VALUE"""),"Arts")</f>
        <v>Arts</v>
      </c>
      <c r="C5071" s="2" t="str">
        <f>IFERROR(__xludf.DUMMYFUNCTION("""COMPUTED_VALUE"""),"Graphic Design")</f>
        <v>Graphic Design</v>
      </c>
      <c r="D5071" s="2" t="str">
        <f>IFERROR(__xludf.DUMMYFUNCTION("""COMPUTED_VALUE"""),"Northcrest Publishing")</f>
        <v>Northcrest Publishing</v>
      </c>
      <c r="E5071" s="2">
        <f>IFERROR(__xludf.DUMMYFUNCTION("""COMPUTED_VALUE"""),0.82)</f>
        <v>0.82</v>
      </c>
      <c r="F5071" s="2"/>
      <c r="G5071" s="2"/>
      <c r="H5071" s="2"/>
      <c r="I5071" s="2"/>
    </row>
    <row r="5072">
      <c r="A5072" s="2">
        <f>IFERROR(__xludf.DUMMYFUNCTION("""COMPUTED_VALUE"""),68315.0)</f>
        <v>68315</v>
      </c>
      <c r="B5072" s="2" t="str">
        <f>IFERROR(__xludf.DUMMYFUNCTION("""COMPUTED_VALUE"""),"Arts")</f>
        <v>Arts</v>
      </c>
      <c r="C5072" s="2" t="str">
        <f>IFERROR(__xludf.DUMMYFUNCTION("""COMPUTED_VALUE"""),"Graphic Design")</f>
        <v>Graphic Design</v>
      </c>
      <c r="D5072" s="2" t="str">
        <f>IFERROR(__xludf.DUMMYFUNCTION("""COMPUTED_VALUE"""),"Northcrest Publishing")</f>
        <v>Northcrest Publishing</v>
      </c>
      <c r="E5072" s="2">
        <f>IFERROR(__xludf.DUMMYFUNCTION("""COMPUTED_VALUE"""),1.54)</f>
        <v>1.54</v>
      </c>
      <c r="F5072" s="2"/>
      <c r="G5072" s="2"/>
      <c r="H5072" s="2"/>
      <c r="I5072" s="2"/>
    </row>
    <row r="5073">
      <c r="A5073" s="2">
        <f>IFERROR(__xludf.DUMMYFUNCTION("""COMPUTED_VALUE"""),110229.0)</f>
        <v>110229</v>
      </c>
      <c r="B5073" s="2" t="str">
        <f>IFERROR(__xludf.DUMMYFUNCTION("""COMPUTED_VALUE"""),"Arts")</f>
        <v>Arts</v>
      </c>
      <c r="C5073" s="2" t="str">
        <f>IFERROR(__xludf.DUMMYFUNCTION("""COMPUTED_VALUE"""),"Graphic Design")</f>
        <v>Graphic Design</v>
      </c>
      <c r="D5073" s="2" t="str">
        <f>IFERROR(__xludf.DUMMYFUNCTION("""COMPUTED_VALUE"""),"Northcrest Publishing")</f>
        <v>Northcrest Publishing</v>
      </c>
      <c r="E5073" s="2">
        <f>IFERROR(__xludf.DUMMYFUNCTION("""COMPUTED_VALUE"""),1.07)</f>
        <v>1.07</v>
      </c>
      <c r="F5073" s="2"/>
      <c r="G5073" s="2"/>
      <c r="H5073" s="2"/>
      <c r="I5073" s="2"/>
    </row>
    <row r="5074">
      <c r="A5074" s="2">
        <f>IFERROR(__xludf.DUMMYFUNCTION("""COMPUTED_VALUE"""),5548.0)</f>
        <v>5548</v>
      </c>
      <c r="B5074" s="2" t="str">
        <f>IFERROR(__xludf.DUMMYFUNCTION("""COMPUTED_VALUE"""),"Arts")</f>
        <v>Arts</v>
      </c>
      <c r="C5074" s="2" t="str">
        <f>IFERROR(__xludf.DUMMYFUNCTION("""COMPUTED_VALUE"""),"Graphic Design")</f>
        <v>Graphic Design</v>
      </c>
      <c r="D5074" s="2" t="str">
        <f>IFERROR(__xludf.DUMMYFUNCTION("""COMPUTED_VALUE"""),"Northcrest Publishing")</f>
        <v>Northcrest Publishing</v>
      </c>
      <c r="E5074" s="2">
        <f>IFERROR(__xludf.DUMMYFUNCTION("""COMPUTED_VALUE"""),1.94)</f>
        <v>1.94</v>
      </c>
      <c r="F5074" s="2"/>
      <c r="G5074" s="2"/>
      <c r="H5074" s="2"/>
      <c r="I5074" s="2"/>
    </row>
    <row r="5075">
      <c r="A5075" s="2">
        <f>IFERROR(__xludf.DUMMYFUNCTION("""COMPUTED_VALUE"""),126544.0)</f>
        <v>126544</v>
      </c>
      <c r="B5075" s="2" t="str">
        <f>IFERROR(__xludf.DUMMYFUNCTION("""COMPUTED_VALUE"""),"Arts")</f>
        <v>Arts</v>
      </c>
      <c r="C5075" s="2" t="str">
        <f>IFERROR(__xludf.DUMMYFUNCTION("""COMPUTED_VALUE"""),"Graphic Design")</f>
        <v>Graphic Design</v>
      </c>
      <c r="D5075" s="2" t="str">
        <f>IFERROR(__xludf.DUMMYFUNCTION("""COMPUTED_VALUE"""),"Northcrest Publishing")</f>
        <v>Northcrest Publishing</v>
      </c>
      <c r="E5075" s="2">
        <f>IFERROR(__xludf.DUMMYFUNCTION("""COMPUTED_VALUE"""),4.52)</f>
        <v>4.52</v>
      </c>
      <c r="F5075" s="2"/>
      <c r="G5075" s="2"/>
      <c r="H5075" s="2"/>
      <c r="I5075" s="2"/>
    </row>
    <row r="5076">
      <c r="A5076" s="2">
        <f>IFERROR(__xludf.DUMMYFUNCTION("""COMPUTED_VALUE"""),90792.0)</f>
        <v>90792</v>
      </c>
      <c r="B5076" s="2" t="str">
        <f>IFERROR(__xludf.DUMMYFUNCTION("""COMPUTED_VALUE"""),"Arts")</f>
        <v>Arts</v>
      </c>
      <c r="C5076" s="2" t="str">
        <f>IFERROR(__xludf.DUMMYFUNCTION("""COMPUTED_VALUE"""),"Graphic Design")</f>
        <v>Graphic Design</v>
      </c>
      <c r="D5076" s="2" t="str">
        <f>IFERROR(__xludf.DUMMYFUNCTION("""COMPUTED_VALUE"""),"Northcrest Publishing")</f>
        <v>Northcrest Publishing</v>
      </c>
      <c r="E5076" s="2">
        <f>IFERROR(__xludf.DUMMYFUNCTION("""COMPUTED_VALUE"""),1.95)</f>
        <v>1.95</v>
      </c>
      <c r="F5076" s="2"/>
      <c r="G5076" s="2"/>
      <c r="H5076" s="2"/>
      <c r="I5076" s="2"/>
    </row>
    <row r="5077">
      <c r="A5077" s="2">
        <f>IFERROR(__xludf.DUMMYFUNCTION("""COMPUTED_VALUE"""),126541.0)</f>
        <v>126541</v>
      </c>
      <c r="B5077" s="2" t="str">
        <f>IFERROR(__xludf.DUMMYFUNCTION("""COMPUTED_VALUE"""),"Arts")</f>
        <v>Arts</v>
      </c>
      <c r="C5077" s="2" t="str">
        <f>IFERROR(__xludf.DUMMYFUNCTION("""COMPUTED_VALUE"""),"Graphic Design")</f>
        <v>Graphic Design</v>
      </c>
      <c r="D5077" s="2" t="str">
        <f>IFERROR(__xludf.DUMMYFUNCTION("""COMPUTED_VALUE"""),"Northcrest Publishing")</f>
        <v>Northcrest Publishing</v>
      </c>
      <c r="E5077" s="2">
        <f>IFERROR(__xludf.DUMMYFUNCTION("""COMPUTED_VALUE"""),2.34)</f>
        <v>2.34</v>
      </c>
      <c r="F5077" s="2"/>
      <c r="G5077" s="2"/>
      <c r="H5077" s="2"/>
      <c r="I5077" s="2"/>
    </row>
    <row r="5078">
      <c r="A5078" s="2">
        <f>IFERROR(__xludf.DUMMYFUNCTION("""COMPUTED_VALUE"""),71190.0)</f>
        <v>71190</v>
      </c>
      <c r="B5078" s="2" t="str">
        <f>IFERROR(__xludf.DUMMYFUNCTION("""COMPUTED_VALUE"""),"Arts")</f>
        <v>Arts</v>
      </c>
      <c r="C5078" s="2" t="str">
        <f>IFERROR(__xludf.DUMMYFUNCTION("""COMPUTED_VALUE"""),"Graphic Design")</f>
        <v>Graphic Design</v>
      </c>
      <c r="D5078" s="2" t="str">
        <f>IFERROR(__xludf.DUMMYFUNCTION("""COMPUTED_VALUE"""),"Northcrest Publishing")</f>
        <v>Northcrest Publishing</v>
      </c>
      <c r="E5078" s="2">
        <f>IFERROR(__xludf.DUMMYFUNCTION("""COMPUTED_VALUE"""),1.23)</f>
        <v>1.23</v>
      </c>
      <c r="F5078" s="2"/>
      <c r="G5078" s="2"/>
      <c r="H5078" s="2"/>
      <c r="I5078" s="2"/>
    </row>
    <row r="5079">
      <c r="A5079" s="2">
        <f>IFERROR(__xludf.DUMMYFUNCTION("""COMPUTED_VALUE"""),76425.0)</f>
        <v>76425</v>
      </c>
      <c r="B5079" s="2" t="str">
        <f>IFERROR(__xludf.DUMMYFUNCTION("""COMPUTED_VALUE"""),"Arts")</f>
        <v>Arts</v>
      </c>
      <c r="C5079" s="2" t="str">
        <f>IFERROR(__xludf.DUMMYFUNCTION("""COMPUTED_VALUE"""),"Graphic Design")</f>
        <v>Graphic Design</v>
      </c>
      <c r="D5079" s="2" t="str">
        <f>IFERROR(__xludf.DUMMYFUNCTION("""COMPUTED_VALUE"""),"Northcrest Publishing")</f>
        <v>Northcrest Publishing</v>
      </c>
      <c r="E5079" s="2">
        <f>IFERROR(__xludf.DUMMYFUNCTION("""COMPUTED_VALUE"""),1.5)</f>
        <v>1.5</v>
      </c>
      <c r="F5079" s="2"/>
      <c r="G5079" s="2"/>
      <c r="H5079" s="2"/>
      <c r="I5079" s="2"/>
    </row>
    <row r="5080">
      <c r="A5080" s="2">
        <f>IFERROR(__xludf.DUMMYFUNCTION("""COMPUTED_VALUE"""),76422.0)</f>
        <v>76422</v>
      </c>
      <c r="B5080" s="2" t="str">
        <f>IFERROR(__xludf.DUMMYFUNCTION("""COMPUTED_VALUE"""),"Arts")</f>
        <v>Arts</v>
      </c>
      <c r="C5080" s="2" t="str">
        <f>IFERROR(__xludf.DUMMYFUNCTION("""COMPUTED_VALUE"""),"Graphic Design")</f>
        <v>Graphic Design</v>
      </c>
      <c r="D5080" s="2" t="str">
        <f>IFERROR(__xludf.DUMMYFUNCTION("""COMPUTED_VALUE"""),"Northcrest Publishing")</f>
        <v>Northcrest Publishing</v>
      </c>
      <c r="E5080" s="2">
        <f>IFERROR(__xludf.DUMMYFUNCTION("""COMPUTED_VALUE"""),1.31)</f>
        <v>1.31</v>
      </c>
      <c r="F5080" s="2"/>
      <c r="G5080" s="2"/>
      <c r="H5080" s="2"/>
      <c r="I5080" s="2"/>
    </row>
    <row r="5081">
      <c r="A5081" s="2">
        <f>IFERROR(__xludf.DUMMYFUNCTION("""COMPUTED_VALUE"""),159201.0)</f>
        <v>159201</v>
      </c>
      <c r="B5081" s="2" t="str">
        <f>IFERROR(__xludf.DUMMYFUNCTION("""COMPUTED_VALUE"""),"Arts")</f>
        <v>Arts</v>
      </c>
      <c r="C5081" s="2" t="str">
        <f>IFERROR(__xludf.DUMMYFUNCTION("""COMPUTED_VALUE"""),"Graphic Design")</f>
        <v>Graphic Design</v>
      </c>
      <c r="D5081" s="2" t="str">
        <f>IFERROR(__xludf.DUMMYFUNCTION("""COMPUTED_VALUE"""),"Northcrest Publishing")</f>
        <v>Northcrest Publishing</v>
      </c>
      <c r="E5081" s="2">
        <f>IFERROR(__xludf.DUMMYFUNCTION("""COMPUTED_VALUE"""),1.44)</f>
        <v>1.44</v>
      </c>
      <c r="F5081" s="2"/>
      <c r="G5081" s="2"/>
      <c r="H5081" s="2"/>
      <c r="I5081" s="2"/>
    </row>
    <row r="5082">
      <c r="A5082" s="2">
        <f>IFERROR(__xludf.DUMMYFUNCTION("""COMPUTED_VALUE"""),76421.0)</f>
        <v>76421</v>
      </c>
      <c r="B5082" s="2" t="str">
        <f>IFERROR(__xludf.DUMMYFUNCTION("""COMPUTED_VALUE"""),"Arts")</f>
        <v>Arts</v>
      </c>
      <c r="C5082" s="2" t="str">
        <f>IFERROR(__xludf.DUMMYFUNCTION("""COMPUTED_VALUE"""),"Graphic Design")</f>
        <v>Graphic Design</v>
      </c>
      <c r="D5082" s="2" t="str">
        <f>IFERROR(__xludf.DUMMYFUNCTION("""COMPUTED_VALUE"""),"Northcrest Publishing")</f>
        <v>Northcrest Publishing</v>
      </c>
      <c r="E5082" s="2">
        <f>IFERROR(__xludf.DUMMYFUNCTION("""COMPUTED_VALUE"""),4.59)</f>
        <v>4.59</v>
      </c>
      <c r="F5082" s="2"/>
      <c r="G5082" s="2"/>
      <c r="H5082" s="2"/>
      <c r="I5082" s="2"/>
    </row>
    <row r="5083">
      <c r="A5083" s="2">
        <f>IFERROR(__xludf.DUMMYFUNCTION("""COMPUTED_VALUE"""),76424.0)</f>
        <v>76424</v>
      </c>
      <c r="B5083" s="2" t="str">
        <f>IFERROR(__xludf.DUMMYFUNCTION("""COMPUTED_VALUE"""),"Arts")</f>
        <v>Arts</v>
      </c>
      <c r="C5083" s="2" t="str">
        <f>IFERROR(__xludf.DUMMYFUNCTION("""COMPUTED_VALUE"""),"Graphic Design")</f>
        <v>Graphic Design</v>
      </c>
      <c r="D5083" s="2" t="str">
        <f>IFERROR(__xludf.DUMMYFUNCTION("""COMPUTED_VALUE"""),"Northcrest Publishing")</f>
        <v>Northcrest Publishing</v>
      </c>
      <c r="E5083" s="2">
        <f>IFERROR(__xludf.DUMMYFUNCTION("""COMPUTED_VALUE"""),1.3)</f>
        <v>1.3</v>
      </c>
      <c r="F5083" s="2"/>
      <c r="G5083" s="2"/>
      <c r="H5083" s="2"/>
      <c r="I5083" s="2"/>
    </row>
    <row r="5084">
      <c r="A5084" s="2">
        <f>IFERROR(__xludf.DUMMYFUNCTION("""COMPUTED_VALUE"""),90766.0)</f>
        <v>90766</v>
      </c>
      <c r="B5084" s="2" t="str">
        <f>IFERROR(__xludf.DUMMYFUNCTION("""COMPUTED_VALUE"""),"Arts")</f>
        <v>Arts</v>
      </c>
      <c r="C5084" s="2" t="str">
        <f>IFERROR(__xludf.DUMMYFUNCTION("""COMPUTED_VALUE"""),"Graphic Design")</f>
        <v>Graphic Design</v>
      </c>
      <c r="D5084" s="2" t="str">
        <f>IFERROR(__xludf.DUMMYFUNCTION("""COMPUTED_VALUE"""),"Northcrest Publishing")</f>
        <v>Northcrest Publishing</v>
      </c>
      <c r="E5084" s="2">
        <f>IFERROR(__xludf.DUMMYFUNCTION("""COMPUTED_VALUE"""),8.78)</f>
        <v>8.78</v>
      </c>
      <c r="F5084" s="2"/>
      <c r="G5084" s="2"/>
      <c r="H5084" s="2"/>
      <c r="I5084" s="2"/>
    </row>
    <row r="5085">
      <c r="A5085" s="2">
        <f>IFERROR(__xludf.DUMMYFUNCTION("""COMPUTED_VALUE"""),5538.0)</f>
        <v>5538</v>
      </c>
      <c r="B5085" s="2" t="str">
        <f>IFERROR(__xludf.DUMMYFUNCTION("""COMPUTED_VALUE"""),"Arts")</f>
        <v>Arts</v>
      </c>
      <c r="C5085" s="2" t="str">
        <f>IFERROR(__xludf.DUMMYFUNCTION("""COMPUTED_VALUE"""),"Graphic Design")</f>
        <v>Graphic Design</v>
      </c>
      <c r="D5085" s="2" t="str">
        <f>IFERROR(__xludf.DUMMYFUNCTION("""COMPUTED_VALUE"""),"Northcrest Publishing")</f>
        <v>Northcrest Publishing</v>
      </c>
      <c r="E5085" s="2">
        <f>IFERROR(__xludf.DUMMYFUNCTION("""COMPUTED_VALUE"""),0.88)</f>
        <v>0.88</v>
      </c>
      <c r="F5085" s="2"/>
      <c r="G5085" s="2"/>
      <c r="H5085" s="2"/>
      <c r="I5085" s="2"/>
    </row>
    <row r="5086">
      <c r="A5086" s="2">
        <f>IFERROR(__xludf.DUMMYFUNCTION("""COMPUTED_VALUE"""),68371.0)</f>
        <v>68371</v>
      </c>
      <c r="B5086" s="2" t="str">
        <f>IFERROR(__xludf.DUMMYFUNCTION("""COMPUTED_VALUE"""),"Arts")</f>
        <v>Arts</v>
      </c>
      <c r="C5086" s="2" t="str">
        <f>IFERROR(__xludf.DUMMYFUNCTION("""COMPUTED_VALUE"""),"Graphic Design")</f>
        <v>Graphic Design</v>
      </c>
      <c r="D5086" s="2" t="str">
        <f>IFERROR(__xludf.DUMMYFUNCTION("""COMPUTED_VALUE"""),"Northcrest Publishing")</f>
        <v>Northcrest Publishing</v>
      </c>
      <c r="E5086" s="2">
        <f>IFERROR(__xludf.DUMMYFUNCTION("""COMPUTED_VALUE"""),1.79)</f>
        <v>1.79</v>
      </c>
      <c r="F5086" s="2"/>
      <c r="G5086" s="2"/>
      <c r="H5086" s="2"/>
      <c r="I5086" s="2"/>
    </row>
    <row r="5087">
      <c r="A5087" s="2">
        <f>IFERROR(__xludf.DUMMYFUNCTION("""COMPUTED_VALUE"""),90808.0)</f>
        <v>90808</v>
      </c>
      <c r="B5087" s="2" t="str">
        <f>IFERROR(__xludf.DUMMYFUNCTION("""COMPUTED_VALUE"""),"Arts")</f>
        <v>Arts</v>
      </c>
      <c r="C5087" s="2" t="str">
        <f>IFERROR(__xludf.DUMMYFUNCTION("""COMPUTED_VALUE"""),"Graphic Design")</f>
        <v>Graphic Design</v>
      </c>
      <c r="D5087" s="2" t="str">
        <f>IFERROR(__xludf.DUMMYFUNCTION("""COMPUTED_VALUE"""),"Northcrest Publishing")</f>
        <v>Northcrest Publishing</v>
      </c>
      <c r="E5087" s="2">
        <f>IFERROR(__xludf.DUMMYFUNCTION("""COMPUTED_VALUE"""),10.92)</f>
        <v>10.92</v>
      </c>
      <c r="F5087" s="2"/>
      <c r="G5087" s="2"/>
      <c r="H5087" s="2"/>
      <c r="I5087" s="2"/>
    </row>
    <row r="5088">
      <c r="A5088" s="2">
        <f>IFERROR(__xludf.DUMMYFUNCTION("""COMPUTED_VALUE"""),5543.0)</f>
        <v>5543</v>
      </c>
      <c r="B5088" s="2" t="str">
        <f>IFERROR(__xludf.DUMMYFUNCTION("""COMPUTED_VALUE"""),"Arts")</f>
        <v>Arts</v>
      </c>
      <c r="C5088" s="2" t="str">
        <f>IFERROR(__xludf.DUMMYFUNCTION("""COMPUTED_VALUE"""),"Graphic Design")</f>
        <v>Graphic Design</v>
      </c>
      <c r="D5088" s="2" t="str">
        <f>IFERROR(__xludf.DUMMYFUNCTION("""COMPUTED_VALUE"""),"Northcrest Publishing")</f>
        <v>Northcrest Publishing</v>
      </c>
      <c r="E5088" s="2">
        <f>IFERROR(__xludf.DUMMYFUNCTION("""COMPUTED_VALUE"""),1.98)</f>
        <v>1.98</v>
      </c>
      <c r="F5088" s="2"/>
      <c r="G5088" s="2"/>
      <c r="H5088" s="2"/>
      <c r="I5088" s="2"/>
    </row>
    <row r="5089">
      <c r="A5089" s="2">
        <f>IFERROR(__xludf.DUMMYFUNCTION("""COMPUTED_VALUE"""),76420.0)</f>
        <v>76420</v>
      </c>
      <c r="B5089" s="2" t="str">
        <f>IFERROR(__xludf.DUMMYFUNCTION("""COMPUTED_VALUE"""),"Arts")</f>
        <v>Arts</v>
      </c>
      <c r="C5089" s="2" t="str">
        <f>IFERROR(__xludf.DUMMYFUNCTION("""COMPUTED_VALUE"""),"Graphic Design")</f>
        <v>Graphic Design</v>
      </c>
      <c r="D5089" s="2" t="str">
        <f>IFERROR(__xludf.DUMMYFUNCTION("""COMPUTED_VALUE"""),"Northcrest Publishing")</f>
        <v>Northcrest Publishing</v>
      </c>
      <c r="E5089" s="2">
        <f>IFERROR(__xludf.DUMMYFUNCTION("""COMPUTED_VALUE"""),0.74)</f>
        <v>0.74</v>
      </c>
      <c r="F5089" s="2"/>
      <c r="G5089" s="2"/>
      <c r="H5089" s="2"/>
      <c r="I5089" s="2"/>
    </row>
    <row r="5090">
      <c r="A5090" s="2">
        <f>IFERROR(__xludf.DUMMYFUNCTION("""COMPUTED_VALUE"""),68364.0)</f>
        <v>68364</v>
      </c>
      <c r="B5090" s="2" t="str">
        <f>IFERROR(__xludf.DUMMYFUNCTION("""COMPUTED_VALUE"""),"Arts")</f>
        <v>Arts</v>
      </c>
      <c r="C5090" s="2" t="str">
        <f>IFERROR(__xludf.DUMMYFUNCTION("""COMPUTED_VALUE"""),"Graphic Design")</f>
        <v>Graphic Design</v>
      </c>
      <c r="D5090" s="2" t="str">
        <f>IFERROR(__xludf.DUMMYFUNCTION("""COMPUTED_VALUE"""),"Northcrest Publishing")</f>
        <v>Northcrest Publishing</v>
      </c>
      <c r="E5090" s="2">
        <f>IFERROR(__xludf.DUMMYFUNCTION("""COMPUTED_VALUE"""),1.15)</f>
        <v>1.15</v>
      </c>
      <c r="F5090" s="2"/>
      <c r="G5090" s="2"/>
      <c r="H5090" s="2"/>
      <c r="I5090" s="2"/>
    </row>
    <row r="5091">
      <c r="A5091" s="2">
        <f>IFERROR(__xludf.DUMMYFUNCTION("""COMPUTED_VALUE"""),5541.0)</f>
        <v>5541</v>
      </c>
      <c r="B5091" s="2" t="str">
        <f>IFERROR(__xludf.DUMMYFUNCTION("""COMPUTED_VALUE"""),"Arts")</f>
        <v>Arts</v>
      </c>
      <c r="C5091" s="2" t="str">
        <f>IFERROR(__xludf.DUMMYFUNCTION("""COMPUTED_VALUE"""),"Graphic Design")</f>
        <v>Graphic Design</v>
      </c>
      <c r="D5091" s="2" t="str">
        <f>IFERROR(__xludf.DUMMYFUNCTION("""COMPUTED_VALUE"""),"Northcrest Publishing")</f>
        <v>Northcrest Publishing</v>
      </c>
      <c r="E5091" s="2">
        <f>IFERROR(__xludf.DUMMYFUNCTION("""COMPUTED_VALUE"""),1.18)</f>
        <v>1.18</v>
      </c>
      <c r="F5091" s="2"/>
      <c r="G5091" s="2"/>
      <c r="H5091" s="2"/>
      <c r="I5091" s="2"/>
    </row>
    <row r="5092">
      <c r="A5092" s="2">
        <f>IFERROR(__xludf.DUMMYFUNCTION("""COMPUTED_VALUE"""),5544.0)</f>
        <v>5544</v>
      </c>
      <c r="B5092" s="2" t="str">
        <f>IFERROR(__xludf.DUMMYFUNCTION("""COMPUTED_VALUE"""),"Arts")</f>
        <v>Arts</v>
      </c>
      <c r="C5092" s="2" t="str">
        <f>IFERROR(__xludf.DUMMYFUNCTION("""COMPUTED_VALUE"""),"Graphic Design")</f>
        <v>Graphic Design</v>
      </c>
      <c r="D5092" s="2" t="str">
        <f>IFERROR(__xludf.DUMMYFUNCTION("""COMPUTED_VALUE"""),"Northcrest Publishing")</f>
        <v>Northcrest Publishing</v>
      </c>
      <c r="E5092" s="2">
        <f>IFERROR(__xludf.DUMMYFUNCTION("""COMPUTED_VALUE"""),1.11)</f>
        <v>1.11</v>
      </c>
      <c r="F5092" s="2"/>
      <c r="G5092" s="2"/>
      <c r="H5092" s="2"/>
      <c r="I5092" s="2"/>
    </row>
    <row r="5093">
      <c r="A5093" s="2">
        <f>IFERROR(__xludf.DUMMYFUNCTION("""COMPUTED_VALUE"""),122257.0)</f>
        <v>122257</v>
      </c>
      <c r="B5093" s="2" t="str">
        <f>IFERROR(__xludf.DUMMYFUNCTION("""COMPUTED_VALUE"""),"Arts")</f>
        <v>Arts</v>
      </c>
      <c r="C5093" s="2" t="str">
        <f>IFERROR(__xludf.DUMMYFUNCTION("""COMPUTED_VALUE"""),"Graphic Design")</f>
        <v>Graphic Design</v>
      </c>
      <c r="D5093" s="2" t="str">
        <f>IFERROR(__xludf.DUMMYFUNCTION("""COMPUTED_VALUE"""),"Northcrest Publishing")</f>
        <v>Northcrest Publishing</v>
      </c>
      <c r="E5093" s="2">
        <f>IFERROR(__xludf.DUMMYFUNCTION("""COMPUTED_VALUE"""),0.87)</f>
        <v>0.87</v>
      </c>
      <c r="F5093" s="2"/>
      <c r="G5093" s="2"/>
      <c r="H5093" s="2"/>
      <c r="I5093" s="2"/>
    </row>
    <row r="5094">
      <c r="A5094" s="2">
        <f>IFERROR(__xludf.DUMMYFUNCTION("""COMPUTED_VALUE"""),90740.0)</f>
        <v>90740</v>
      </c>
      <c r="B5094" s="2" t="str">
        <f>IFERROR(__xludf.DUMMYFUNCTION("""COMPUTED_VALUE"""),"Arts")</f>
        <v>Arts</v>
      </c>
      <c r="C5094" s="2" t="str">
        <f>IFERROR(__xludf.DUMMYFUNCTION("""COMPUTED_VALUE"""),"Graphic Design")</f>
        <v>Graphic Design</v>
      </c>
      <c r="D5094" s="2" t="str">
        <f>IFERROR(__xludf.DUMMYFUNCTION("""COMPUTED_VALUE"""),"Northcrest Publishing")</f>
        <v>Northcrest Publishing</v>
      </c>
      <c r="E5094" s="2">
        <f>IFERROR(__xludf.DUMMYFUNCTION("""COMPUTED_VALUE"""),7.07)</f>
        <v>7.07</v>
      </c>
      <c r="F5094" s="2"/>
      <c r="G5094" s="2"/>
      <c r="H5094" s="2"/>
      <c r="I5094" s="2"/>
    </row>
    <row r="5095">
      <c r="A5095" s="2">
        <f>IFERROR(__xludf.DUMMYFUNCTION("""COMPUTED_VALUE"""),48280.0)</f>
        <v>48280</v>
      </c>
      <c r="B5095" s="2" t="str">
        <f>IFERROR(__xludf.DUMMYFUNCTION("""COMPUTED_VALUE"""),"Arts")</f>
        <v>Arts</v>
      </c>
      <c r="C5095" s="2" t="str">
        <f>IFERROR(__xludf.DUMMYFUNCTION("""COMPUTED_VALUE"""),"Graphic Design")</f>
        <v>Graphic Design</v>
      </c>
      <c r="D5095" s="2" t="str">
        <f>IFERROR(__xludf.DUMMYFUNCTION("""COMPUTED_VALUE"""),"Northcrest Publishing")</f>
        <v>Northcrest Publishing</v>
      </c>
      <c r="E5095" s="2">
        <f>IFERROR(__xludf.DUMMYFUNCTION("""COMPUTED_VALUE"""),1.01)</f>
        <v>1.01</v>
      </c>
      <c r="F5095" s="2"/>
      <c r="G5095" s="2"/>
      <c r="H5095" s="2"/>
      <c r="I5095" s="2"/>
    </row>
    <row r="5096">
      <c r="A5096" s="2">
        <f>IFERROR(__xludf.DUMMYFUNCTION("""COMPUTED_VALUE"""),71191.0)</f>
        <v>71191</v>
      </c>
      <c r="B5096" s="2" t="str">
        <f>IFERROR(__xludf.DUMMYFUNCTION("""COMPUTED_VALUE"""),"Arts")</f>
        <v>Arts</v>
      </c>
      <c r="C5096" s="2" t="str">
        <f>IFERROR(__xludf.DUMMYFUNCTION("""COMPUTED_VALUE"""),"Graphic Design")</f>
        <v>Graphic Design</v>
      </c>
      <c r="D5096" s="2" t="str">
        <f>IFERROR(__xludf.DUMMYFUNCTION("""COMPUTED_VALUE"""),"Northcrest Publishing")</f>
        <v>Northcrest Publishing</v>
      </c>
      <c r="E5096" s="2">
        <f>IFERROR(__xludf.DUMMYFUNCTION("""COMPUTED_VALUE"""),2.35)</f>
        <v>2.35</v>
      </c>
      <c r="F5096" s="2"/>
      <c r="G5096" s="2"/>
      <c r="H5096" s="2"/>
      <c r="I5096" s="2"/>
    </row>
    <row r="5097">
      <c r="A5097" s="2">
        <f>IFERROR(__xludf.DUMMYFUNCTION("""COMPUTED_VALUE"""),76418.0)</f>
        <v>76418</v>
      </c>
      <c r="B5097" s="2" t="str">
        <f>IFERROR(__xludf.DUMMYFUNCTION("""COMPUTED_VALUE"""),"Arts")</f>
        <v>Arts</v>
      </c>
      <c r="C5097" s="2" t="str">
        <f>IFERROR(__xludf.DUMMYFUNCTION("""COMPUTED_VALUE"""),"Graphic Design")</f>
        <v>Graphic Design</v>
      </c>
      <c r="D5097" s="2" t="str">
        <f>IFERROR(__xludf.DUMMYFUNCTION("""COMPUTED_VALUE"""),"Northcrest Publishing")</f>
        <v>Northcrest Publishing</v>
      </c>
      <c r="E5097" s="2">
        <f>IFERROR(__xludf.DUMMYFUNCTION("""COMPUTED_VALUE"""),1.12)</f>
        <v>1.12</v>
      </c>
      <c r="F5097" s="2"/>
      <c r="G5097" s="2"/>
      <c r="H5097" s="2"/>
      <c r="I5097" s="2"/>
    </row>
    <row r="5098">
      <c r="A5098" s="2">
        <f>IFERROR(__xludf.DUMMYFUNCTION("""COMPUTED_VALUE"""),87161.0)</f>
        <v>87161</v>
      </c>
      <c r="B5098" s="2" t="str">
        <f>IFERROR(__xludf.DUMMYFUNCTION("""COMPUTED_VALUE"""),"Arts")</f>
        <v>Arts</v>
      </c>
      <c r="C5098" s="2" t="str">
        <f>IFERROR(__xludf.DUMMYFUNCTION("""COMPUTED_VALUE"""),"Graphic Design")</f>
        <v>Graphic Design</v>
      </c>
      <c r="D5098" s="2" t="str">
        <f>IFERROR(__xludf.DUMMYFUNCTION("""COMPUTED_VALUE"""),"Northcrest Publishing")</f>
        <v>Northcrest Publishing</v>
      </c>
      <c r="E5098" s="2">
        <f>IFERROR(__xludf.DUMMYFUNCTION("""COMPUTED_VALUE"""),0.63)</f>
        <v>0.63</v>
      </c>
      <c r="F5098" s="2"/>
      <c r="G5098" s="2"/>
      <c r="H5098" s="2"/>
      <c r="I5098" s="2"/>
    </row>
    <row r="5099">
      <c r="A5099" s="2">
        <f>IFERROR(__xludf.DUMMYFUNCTION("""COMPUTED_VALUE"""),68323.0)</f>
        <v>68323</v>
      </c>
      <c r="B5099" s="2" t="str">
        <f>IFERROR(__xludf.DUMMYFUNCTION("""COMPUTED_VALUE"""),"Arts")</f>
        <v>Arts</v>
      </c>
      <c r="C5099" s="2" t="str">
        <f>IFERROR(__xludf.DUMMYFUNCTION("""COMPUTED_VALUE"""),"Graphic Design")</f>
        <v>Graphic Design</v>
      </c>
      <c r="D5099" s="2" t="str">
        <f>IFERROR(__xludf.DUMMYFUNCTION("""COMPUTED_VALUE"""),"Northcrest Publishing")</f>
        <v>Northcrest Publishing</v>
      </c>
      <c r="E5099" s="2">
        <f>IFERROR(__xludf.DUMMYFUNCTION("""COMPUTED_VALUE"""),1.46)</f>
        <v>1.46</v>
      </c>
      <c r="F5099" s="2"/>
      <c r="G5099" s="2"/>
      <c r="H5099" s="2"/>
      <c r="I5099" s="2"/>
    </row>
    <row r="5100">
      <c r="A5100" s="2">
        <f>IFERROR(__xludf.DUMMYFUNCTION("""COMPUTED_VALUE"""),72847.0)</f>
        <v>72847</v>
      </c>
      <c r="B5100" s="2" t="str">
        <f>IFERROR(__xludf.DUMMYFUNCTION("""COMPUTED_VALUE"""),"Arts")</f>
        <v>Arts</v>
      </c>
      <c r="C5100" s="2" t="str">
        <f>IFERROR(__xludf.DUMMYFUNCTION("""COMPUTED_VALUE"""),"Graphic Design")</f>
        <v>Graphic Design</v>
      </c>
      <c r="D5100" s="2" t="str">
        <f>IFERROR(__xludf.DUMMYFUNCTION("""COMPUTED_VALUE"""),"Northcrest Publishing")</f>
        <v>Northcrest Publishing</v>
      </c>
      <c r="E5100" s="2">
        <f>IFERROR(__xludf.DUMMYFUNCTION("""COMPUTED_VALUE"""),2.12)</f>
        <v>2.12</v>
      </c>
      <c r="F5100" s="2"/>
      <c r="G5100" s="2"/>
      <c r="H5100" s="2"/>
      <c r="I5100" s="2"/>
    </row>
    <row r="5101">
      <c r="A5101" s="2">
        <f>IFERROR(__xludf.DUMMYFUNCTION("""COMPUTED_VALUE"""),90799.0)</f>
        <v>90799</v>
      </c>
      <c r="B5101" s="2" t="str">
        <f>IFERROR(__xludf.DUMMYFUNCTION("""COMPUTED_VALUE"""),"Arts")</f>
        <v>Arts</v>
      </c>
      <c r="C5101" s="2" t="str">
        <f>IFERROR(__xludf.DUMMYFUNCTION("""COMPUTED_VALUE"""),"Graphic Design")</f>
        <v>Graphic Design</v>
      </c>
      <c r="D5101" s="2" t="str">
        <f>IFERROR(__xludf.DUMMYFUNCTION("""COMPUTED_VALUE"""),"Northcrest Publishing")</f>
        <v>Northcrest Publishing</v>
      </c>
      <c r="E5101" s="2">
        <f>IFERROR(__xludf.DUMMYFUNCTION("""COMPUTED_VALUE"""),0.74)</f>
        <v>0.74</v>
      </c>
      <c r="F5101" s="2"/>
      <c r="G5101" s="2"/>
      <c r="H5101" s="2"/>
      <c r="I5101" s="2"/>
    </row>
    <row r="5102">
      <c r="A5102" s="2">
        <f>IFERROR(__xludf.DUMMYFUNCTION("""COMPUTED_VALUE"""),71194.0)</f>
        <v>71194</v>
      </c>
      <c r="B5102" s="2" t="str">
        <f>IFERROR(__xludf.DUMMYFUNCTION("""COMPUTED_VALUE"""),"Arts")</f>
        <v>Arts</v>
      </c>
      <c r="C5102" s="2" t="str">
        <f>IFERROR(__xludf.DUMMYFUNCTION("""COMPUTED_VALUE"""),"Graphic Design")</f>
        <v>Graphic Design</v>
      </c>
      <c r="D5102" s="2" t="str">
        <f>IFERROR(__xludf.DUMMYFUNCTION("""COMPUTED_VALUE"""),"Northcrest Publishing")</f>
        <v>Northcrest Publishing</v>
      </c>
      <c r="E5102" s="2">
        <f>IFERROR(__xludf.DUMMYFUNCTION("""COMPUTED_VALUE"""),1.02)</f>
        <v>1.02</v>
      </c>
      <c r="F5102" s="2"/>
      <c r="G5102" s="2"/>
      <c r="H5102" s="2"/>
      <c r="I5102" s="2"/>
    </row>
    <row r="5103">
      <c r="A5103" s="2">
        <f>IFERROR(__xludf.DUMMYFUNCTION("""COMPUTED_VALUE"""),68378.0)</f>
        <v>68378</v>
      </c>
      <c r="B5103" s="2" t="str">
        <f>IFERROR(__xludf.DUMMYFUNCTION("""COMPUTED_VALUE"""),"Arts")</f>
        <v>Arts</v>
      </c>
      <c r="C5103" s="2" t="str">
        <f>IFERROR(__xludf.DUMMYFUNCTION("""COMPUTED_VALUE"""),"Graphic Design")</f>
        <v>Graphic Design</v>
      </c>
      <c r="D5103" s="2" t="str">
        <f>IFERROR(__xludf.DUMMYFUNCTION("""COMPUTED_VALUE"""),"Northcrest Publishing")</f>
        <v>Northcrest Publishing</v>
      </c>
      <c r="E5103" s="2">
        <f>IFERROR(__xludf.DUMMYFUNCTION("""COMPUTED_VALUE"""),1.29)</f>
        <v>1.29</v>
      </c>
      <c r="F5103" s="2"/>
      <c r="G5103" s="2"/>
      <c r="H5103" s="2"/>
      <c r="I5103" s="2"/>
    </row>
    <row r="5104">
      <c r="A5104" s="2">
        <f>IFERROR(__xludf.DUMMYFUNCTION("""COMPUTED_VALUE"""),76426.0)</f>
        <v>76426</v>
      </c>
      <c r="B5104" s="2" t="str">
        <f>IFERROR(__xludf.DUMMYFUNCTION("""COMPUTED_VALUE"""),"Arts")</f>
        <v>Arts</v>
      </c>
      <c r="C5104" s="2" t="str">
        <f>IFERROR(__xludf.DUMMYFUNCTION("""COMPUTED_VALUE"""),"Graphic Design")</f>
        <v>Graphic Design</v>
      </c>
      <c r="D5104" s="2" t="str">
        <f>IFERROR(__xludf.DUMMYFUNCTION("""COMPUTED_VALUE"""),"Northcrest Publishing")</f>
        <v>Northcrest Publishing</v>
      </c>
      <c r="E5104" s="2">
        <f>IFERROR(__xludf.DUMMYFUNCTION("""COMPUTED_VALUE"""),1.94)</f>
        <v>1.94</v>
      </c>
      <c r="F5104" s="2"/>
      <c r="G5104" s="2"/>
      <c r="H5104" s="2"/>
      <c r="I5104" s="2"/>
    </row>
    <row r="5105">
      <c r="A5105" s="2">
        <f>IFERROR(__xludf.DUMMYFUNCTION("""COMPUTED_VALUE"""),76413.0)</f>
        <v>76413</v>
      </c>
      <c r="B5105" s="2" t="str">
        <f>IFERROR(__xludf.DUMMYFUNCTION("""COMPUTED_VALUE"""),"Arts")</f>
        <v>Arts</v>
      </c>
      <c r="C5105" s="2" t="str">
        <f>IFERROR(__xludf.DUMMYFUNCTION("""COMPUTED_VALUE"""),"Graphic Design")</f>
        <v>Graphic Design</v>
      </c>
      <c r="D5105" s="2" t="str">
        <f>IFERROR(__xludf.DUMMYFUNCTION("""COMPUTED_VALUE"""),"Northcrest Publishing")</f>
        <v>Northcrest Publishing</v>
      </c>
      <c r="E5105" s="2">
        <f>IFERROR(__xludf.DUMMYFUNCTION("""COMPUTED_VALUE"""),1.27)</f>
        <v>1.27</v>
      </c>
      <c r="F5105" s="2"/>
      <c r="G5105" s="2"/>
      <c r="H5105" s="2"/>
      <c r="I5105" s="2"/>
    </row>
    <row r="5106">
      <c r="A5106" s="2">
        <f>IFERROR(__xludf.DUMMYFUNCTION("""COMPUTED_VALUE"""),68306.0)</f>
        <v>68306</v>
      </c>
      <c r="B5106" s="2" t="str">
        <f>IFERROR(__xludf.DUMMYFUNCTION("""COMPUTED_VALUE"""),"Arts")</f>
        <v>Arts</v>
      </c>
      <c r="C5106" s="2" t="str">
        <f>IFERROR(__xludf.DUMMYFUNCTION("""COMPUTED_VALUE"""),"Graphic Design")</f>
        <v>Graphic Design</v>
      </c>
      <c r="D5106" s="2" t="str">
        <f>IFERROR(__xludf.DUMMYFUNCTION("""COMPUTED_VALUE"""),"Northcrest Publishing")</f>
        <v>Northcrest Publishing</v>
      </c>
      <c r="E5106" s="2">
        <f>IFERROR(__xludf.DUMMYFUNCTION("""COMPUTED_VALUE"""),0.74)</f>
        <v>0.74</v>
      </c>
      <c r="F5106" s="2"/>
      <c r="G5106" s="2"/>
      <c r="H5106" s="2"/>
      <c r="I5106" s="2"/>
    </row>
    <row r="5107">
      <c r="A5107" s="2">
        <f>IFERROR(__xludf.DUMMYFUNCTION("""COMPUTED_VALUE"""),48283.0)</f>
        <v>48283</v>
      </c>
      <c r="B5107" s="2" t="str">
        <f>IFERROR(__xludf.DUMMYFUNCTION("""COMPUTED_VALUE"""),"Arts")</f>
        <v>Arts</v>
      </c>
      <c r="C5107" s="2" t="str">
        <f>IFERROR(__xludf.DUMMYFUNCTION("""COMPUTED_VALUE"""),"Graphic Design")</f>
        <v>Graphic Design</v>
      </c>
      <c r="D5107" s="2" t="str">
        <f>IFERROR(__xludf.DUMMYFUNCTION("""COMPUTED_VALUE"""),"Northcrest Publishing")</f>
        <v>Northcrest Publishing</v>
      </c>
      <c r="E5107" s="2">
        <f>IFERROR(__xludf.DUMMYFUNCTION("""COMPUTED_VALUE"""),0.91)</f>
        <v>0.91</v>
      </c>
      <c r="F5107" s="2"/>
      <c r="G5107" s="2"/>
      <c r="H5107" s="2"/>
      <c r="I5107" s="2"/>
    </row>
    <row r="5108">
      <c r="A5108" s="2">
        <f>IFERROR(__xludf.DUMMYFUNCTION("""COMPUTED_VALUE"""),81172.0)</f>
        <v>81172</v>
      </c>
      <c r="B5108" s="2" t="str">
        <f>IFERROR(__xludf.DUMMYFUNCTION("""COMPUTED_VALUE"""),"Arts")</f>
        <v>Arts</v>
      </c>
      <c r="C5108" s="2" t="str">
        <f>IFERROR(__xludf.DUMMYFUNCTION("""COMPUTED_VALUE"""),"Graphic Design")</f>
        <v>Graphic Design</v>
      </c>
      <c r="D5108" s="2" t="str">
        <f>IFERROR(__xludf.DUMMYFUNCTION("""COMPUTED_VALUE"""),"Northcrest Publishing")</f>
        <v>Northcrest Publishing</v>
      </c>
      <c r="E5108" s="2">
        <f>IFERROR(__xludf.DUMMYFUNCTION("""COMPUTED_VALUE"""),1.42)</f>
        <v>1.42</v>
      </c>
      <c r="F5108" s="2"/>
      <c r="G5108" s="2"/>
      <c r="H5108" s="2"/>
      <c r="I5108" s="2"/>
    </row>
    <row r="5109">
      <c r="A5109" s="2">
        <f>IFERROR(__xludf.DUMMYFUNCTION("""COMPUTED_VALUE"""),68328.0)</f>
        <v>68328</v>
      </c>
      <c r="B5109" s="2" t="str">
        <f>IFERROR(__xludf.DUMMYFUNCTION("""COMPUTED_VALUE"""),"Arts")</f>
        <v>Arts</v>
      </c>
      <c r="C5109" s="2" t="str">
        <f>IFERROR(__xludf.DUMMYFUNCTION("""COMPUTED_VALUE"""),"Graphic Design")</f>
        <v>Graphic Design</v>
      </c>
      <c r="D5109" s="2" t="str">
        <f>IFERROR(__xludf.DUMMYFUNCTION("""COMPUTED_VALUE"""),"Northcrest Publishing")</f>
        <v>Northcrest Publishing</v>
      </c>
      <c r="E5109" s="2">
        <f>IFERROR(__xludf.DUMMYFUNCTION("""COMPUTED_VALUE"""),5.05)</f>
        <v>5.05</v>
      </c>
      <c r="F5109" s="2"/>
      <c r="G5109" s="2"/>
      <c r="H5109" s="2"/>
      <c r="I5109" s="2"/>
    </row>
    <row r="5110">
      <c r="A5110" s="2">
        <f>IFERROR(__xludf.DUMMYFUNCTION("""COMPUTED_VALUE"""),158667.0)</f>
        <v>158667</v>
      </c>
      <c r="B5110" s="2" t="str">
        <f>IFERROR(__xludf.DUMMYFUNCTION("""COMPUTED_VALUE"""),"Arts")</f>
        <v>Arts</v>
      </c>
      <c r="C5110" s="2" t="str">
        <f>IFERROR(__xludf.DUMMYFUNCTION("""COMPUTED_VALUE"""),"Graphic Design")</f>
        <v>Graphic Design</v>
      </c>
      <c r="D5110" s="2" t="str">
        <f>IFERROR(__xludf.DUMMYFUNCTION("""COMPUTED_VALUE"""),"Northcrest Publishing")</f>
        <v>Northcrest Publishing</v>
      </c>
      <c r="E5110" s="2">
        <f>IFERROR(__xludf.DUMMYFUNCTION("""COMPUTED_VALUE"""),2.65)</f>
        <v>2.65</v>
      </c>
      <c r="F5110" s="2"/>
      <c r="G5110" s="2"/>
      <c r="H5110" s="2"/>
      <c r="I5110" s="2"/>
    </row>
    <row r="5111">
      <c r="A5111" s="2">
        <f>IFERROR(__xludf.DUMMYFUNCTION("""COMPUTED_VALUE"""),5539.0)</f>
        <v>5539</v>
      </c>
      <c r="B5111" s="2" t="str">
        <f>IFERROR(__xludf.DUMMYFUNCTION("""COMPUTED_VALUE"""),"Arts")</f>
        <v>Arts</v>
      </c>
      <c r="C5111" s="2" t="str">
        <f>IFERROR(__xludf.DUMMYFUNCTION("""COMPUTED_VALUE"""),"Graphic Design")</f>
        <v>Graphic Design</v>
      </c>
      <c r="D5111" s="2" t="str">
        <f>IFERROR(__xludf.DUMMYFUNCTION("""COMPUTED_VALUE"""),"Northcrest Publishing")</f>
        <v>Northcrest Publishing</v>
      </c>
      <c r="E5111" s="2">
        <f>IFERROR(__xludf.DUMMYFUNCTION("""COMPUTED_VALUE"""),1.13)</f>
        <v>1.13</v>
      </c>
      <c r="F5111" s="2"/>
      <c r="G5111" s="2"/>
      <c r="H5111" s="2"/>
      <c r="I5111" s="2"/>
    </row>
    <row r="5112">
      <c r="A5112" s="2">
        <f>IFERROR(__xludf.DUMMYFUNCTION("""COMPUTED_VALUE"""),68413.0)</f>
        <v>68413</v>
      </c>
      <c r="B5112" s="2" t="str">
        <f>IFERROR(__xludf.DUMMYFUNCTION("""COMPUTED_VALUE"""),"Arts")</f>
        <v>Arts</v>
      </c>
      <c r="C5112" s="2" t="str">
        <f>IFERROR(__xludf.DUMMYFUNCTION("""COMPUTED_VALUE"""),"Graphic Design")</f>
        <v>Graphic Design</v>
      </c>
      <c r="D5112" s="2" t="str">
        <f>IFERROR(__xludf.DUMMYFUNCTION("""COMPUTED_VALUE"""),"Northcrest Publishing")</f>
        <v>Northcrest Publishing</v>
      </c>
      <c r="E5112" s="2">
        <f>IFERROR(__xludf.DUMMYFUNCTION("""COMPUTED_VALUE"""),1.4)</f>
        <v>1.4</v>
      </c>
      <c r="F5112" s="2"/>
      <c r="G5112" s="2"/>
      <c r="H5112" s="2"/>
      <c r="I5112" s="2"/>
    </row>
    <row r="5113">
      <c r="A5113" s="2">
        <f>IFERROR(__xludf.DUMMYFUNCTION("""COMPUTED_VALUE"""),68345.0)</f>
        <v>68345</v>
      </c>
      <c r="B5113" s="2" t="str">
        <f>IFERROR(__xludf.DUMMYFUNCTION("""COMPUTED_VALUE"""),"Arts")</f>
        <v>Arts</v>
      </c>
      <c r="C5113" s="2" t="str">
        <f>IFERROR(__xludf.DUMMYFUNCTION("""COMPUTED_VALUE"""),"Graphic Design")</f>
        <v>Graphic Design</v>
      </c>
      <c r="D5113" s="2" t="str">
        <f>IFERROR(__xludf.DUMMYFUNCTION("""COMPUTED_VALUE"""),"Northcrest Publishing")</f>
        <v>Northcrest Publishing</v>
      </c>
      <c r="E5113" s="2">
        <f>IFERROR(__xludf.DUMMYFUNCTION("""COMPUTED_VALUE"""),1.77)</f>
        <v>1.77</v>
      </c>
      <c r="F5113" s="2"/>
      <c r="G5113" s="2"/>
      <c r="H5113" s="2"/>
      <c r="I5113" s="2"/>
    </row>
    <row r="5114">
      <c r="A5114" s="2">
        <f>IFERROR(__xludf.DUMMYFUNCTION("""COMPUTED_VALUE"""),70377.0)</f>
        <v>70377</v>
      </c>
      <c r="B5114" s="2" t="str">
        <f>IFERROR(__xludf.DUMMYFUNCTION("""COMPUTED_VALUE"""),"Arts")</f>
        <v>Arts</v>
      </c>
      <c r="C5114" s="2" t="str">
        <f>IFERROR(__xludf.DUMMYFUNCTION("""COMPUTED_VALUE"""),"Graphic Design")</f>
        <v>Graphic Design</v>
      </c>
      <c r="D5114" s="2" t="str">
        <f>IFERROR(__xludf.DUMMYFUNCTION("""COMPUTED_VALUE"""),"Northcrest Publishing")</f>
        <v>Northcrest Publishing</v>
      </c>
      <c r="E5114" s="2">
        <f>IFERROR(__xludf.DUMMYFUNCTION("""COMPUTED_VALUE"""),1.49)</f>
        <v>1.49</v>
      </c>
      <c r="F5114" s="2"/>
      <c r="G5114" s="2"/>
      <c r="H5114" s="2"/>
      <c r="I5114" s="2"/>
    </row>
    <row r="5115">
      <c r="A5115" s="2">
        <f>IFERROR(__xludf.DUMMYFUNCTION("""COMPUTED_VALUE"""),126547.0)</f>
        <v>126547</v>
      </c>
      <c r="B5115" s="2" t="str">
        <f>IFERROR(__xludf.DUMMYFUNCTION("""COMPUTED_VALUE"""),"Arts")</f>
        <v>Arts</v>
      </c>
      <c r="C5115" s="2" t="str">
        <f>IFERROR(__xludf.DUMMYFUNCTION("""COMPUTED_VALUE"""),"Graphic Design")</f>
        <v>Graphic Design</v>
      </c>
      <c r="D5115" s="2" t="str">
        <f>IFERROR(__xludf.DUMMYFUNCTION("""COMPUTED_VALUE"""),"Northcrest Publishing")</f>
        <v>Northcrest Publishing</v>
      </c>
      <c r="E5115" s="2">
        <f>IFERROR(__xludf.DUMMYFUNCTION("""COMPUTED_VALUE"""),1.64)</f>
        <v>1.64</v>
      </c>
      <c r="F5115" s="2"/>
      <c r="G5115" s="2"/>
      <c r="H5115" s="2"/>
      <c r="I5115" s="2"/>
    </row>
    <row r="5116">
      <c r="A5116" s="2">
        <f>IFERROR(__xludf.DUMMYFUNCTION("""COMPUTED_VALUE"""),117218.0)</f>
        <v>117218</v>
      </c>
      <c r="B5116" s="2" t="str">
        <f>IFERROR(__xludf.DUMMYFUNCTION("""COMPUTED_VALUE"""),"Arts")</f>
        <v>Arts</v>
      </c>
      <c r="C5116" s="2" t="str">
        <f>IFERROR(__xludf.DUMMYFUNCTION("""COMPUTED_VALUE"""),"Graphic Design")</f>
        <v>Graphic Design</v>
      </c>
      <c r="D5116" s="2" t="str">
        <f>IFERROR(__xludf.DUMMYFUNCTION("""COMPUTED_VALUE"""),"Northcrest Publishing")</f>
        <v>Northcrest Publishing</v>
      </c>
      <c r="E5116" s="2">
        <f>IFERROR(__xludf.DUMMYFUNCTION("""COMPUTED_VALUE"""),1.97)</f>
        <v>1.97</v>
      </c>
      <c r="F5116" s="2"/>
      <c r="G5116" s="2"/>
      <c r="H5116" s="2"/>
      <c r="I5116" s="2"/>
    </row>
    <row r="5117">
      <c r="A5117" s="2">
        <f>IFERROR(__xludf.DUMMYFUNCTION("""COMPUTED_VALUE"""),158668.0)</f>
        <v>158668</v>
      </c>
      <c r="B5117" s="2" t="str">
        <f>IFERROR(__xludf.DUMMYFUNCTION("""COMPUTED_VALUE"""),"Arts")</f>
        <v>Arts</v>
      </c>
      <c r="C5117" s="2" t="str">
        <f>IFERROR(__xludf.DUMMYFUNCTION("""COMPUTED_VALUE"""),"Graphic Design")</f>
        <v>Graphic Design</v>
      </c>
      <c r="D5117" s="2" t="str">
        <f>IFERROR(__xludf.DUMMYFUNCTION("""COMPUTED_VALUE"""),"Northcrest Publishing")</f>
        <v>Northcrest Publishing</v>
      </c>
      <c r="E5117" s="2">
        <f>IFERROR(__xludf.DUMMYFUNCTION("""COMPUTED_VALUE"""),2.33)</f>
        <v>2.33</v>
      </c>
      <c r="F5117" s="2"/>
      <c r="G5117" s="2"/>
      <c r="H5117" s="2"/>
      <c r="I5117" s="2"/>
    </row>
    <row r="5118">
      <c r="A5118" s="2">
        <f>IFERROR(__xludf.DUMMYFUNCTION("""COMPUTED_VALUE"""),19314.0)</f>
        <v>19314</v>
      </c>
      <c r="B5118" s="2" t="str">
        <f>IFERROR(__xludf.DUMMYFUNCTION("""COMPUTED_VALUE"""),"Arts")</f>
        <v>Arts</v>
      </c>
      <c r="C5118" s="2" t="str">
        <f>IFERROR(__xludf.DUMMYFUNCTION("""COMPUTED_VALUE"""),"Graphic Design")</f>
        <v>Graphic Design</v>
      </c>
      <c r="D5118" s="2" t="str">
        <f>IFERROR(__xludf.DUMMYFUNCTION("""COMPUTED_VALUE"""),"Harborcrest Publishing")</f>
        <v>Harborcrest Publishing</v>
      </c>
      <c r="E5118" s="2">
        <f>IFERROR(__xludf.DUMMYFUNCTION("""COMPUTED_VALUE"""),3.2)</f>
        <v>3.2</v>
      </c>
      <c r="F5118" s="2"/>
      <c r="G5118" s="2"/>
      <c r="H5118" s="2"/>
      <c r="I5118" s="2"/>
    </row>
    <row r="5119">
      <c r="A5119" s="2">
        <f>IFERROR(__xludf.DUMMYFUNCTION("""COMPUTED_VALUE"""),113867.0)</f>
        <v>113867</v>
      </c>
      <c r="B5119" s="2" t="str">
        <f>IFERROR(__xludf.DUMMYFUNCTION("""COMPUTED_VALUE"""),"Arts")</f>
        <v>Arts</v>
      </c>
      <c r="C5119" s="2" t="str">
        <f>IFERROR(__xludf.DUMMYFUNCTION("""COMPUTED_VALUE"""),"Graphic Design")</f>
        <v>Graphic Design</v>
      </c>
      <c r="D5119" s="2" t="str">
        <f>IFERROR(__xludf.DUMMYFUNCTION("""COMPUTED_VALUE"""),"Harborcrest Publishing")</f>
        <v>Harborcrest Publishing</v>
      </c>
      <c r="E5119" s="2">
        <f>IFERROR(__xludf.DUMMYFUNCTION("""COMPUTED_VALUE"""),2.78)</f>
        <v>2.78</v>
      </c>
      <c r="F5119" s="2"/>
      <c r="G5119" s="2"/>
      <c r="H5119" s="2"/>
      <c r="I5119" s="2"/>
    </row>
    <row r="5120">
      <c r="A5120" s="2">
        <f>IFERROR(__xludf.DUMMYFUNCTION("""COMPUTED_VALUE"""),19294.0)</f>
        <v>19294</v>
      </c>
      <c r="B5120" s="2" t="str">
        <f>IFERROR(__xludf.DUMMYFUNCTION("""COMPUTED_VALUE"""),"Arts")</f>
        <v>Arts</v>
      </c>
      <c r="C5120" s="2" t="str">
        <f>IFERROR(__xludf.DUMMYFUNCTION("""COMPUTED_VALUE"""),"Graphic Design")</f>
        <v>Graphic Design</v>
      </c>
      <c r="D5120" s="2" t="str">
        <f>IFERROR(__xludf.DUMMYFUNCTION("""COMPUTED_VALUE"""),"Harborcrest Publishing")</f>
        <v>Harborcrest Publishing</v>
      </c>
      <c r="E5120" s="2">
        <f>IFERROR(__xludf.DUMMYFUNCTION("""COMPUTED_VALUE"""),2.92)</f>
        <v>2.92</v>
      </c>
      <c r="F5120" s="2"/>
      <c r="G5120" s="2"/>
      <c r="H5120" s="2"/>
      <c r="I5120" s="2"/>
    </row>
    <row r="5121">
      <c r="A5121" s="2">
        <f>IFERROR(__xludf.DUMMYFUNCTION("""COMPUTED_VALUE"""),90961.0)</f>
        <v>90961</v>
      </c>
      <c r="B5121" s="2" t="str">
        <f>IFERROR(__xludf.DUMMYFUNCTION("""COMPUTED_VALUE"""),"Arts")</f>
        <v>Arts</v>
      </c>
      <c r="C5121" s="2" t="str">
        <f>IFERROR(__xludf.DUMMYFUNCTION("""COMPUTED_VALUE"""),"Graphic Design")</f>
        <v>Graphic Design</v>
      </c>
      <c r="D5121" s="2" t="str">
        <f>IFERROR(__xludf.DUMMYFUNCTION("""COMPUTED_VALUE"""),"Harborcrest Publishing")</f>
        <v>Harborcrest Publishing</v>
      </c>
      <c r="E5121" s="2">
        <f>IFERROR(__xludf.DUMMYFUNCTION("""COMPUTED_VALUE"""),13.01)</f>
        <v>13.01</v>
      </c>
      <c r="F5121" s="2"/>
      <c r="G5121" s="2"/>
      <c r="H5121" s="2"/>
      <c r="I5121" s="2"/>
    </row>
    <row r="5122">
      <c r="A5122" s="2">
        <f>IFERROR(__xludf.DUMMYFUNCTION("""COMPUTED_VALUE"""),118480.0)</f>
        <v>118480</v>
      </c>
      <c r="B5122" s="2" t="str">
        <f>IFERROR(__xludf.DUMMYFUNCTION("""COMPUTED_VALUE"""),"Arts")</f>
        <v>Arts</v>
      </c>
      <c r="C5122" s="2" t="str">
        <f>IFERROR(__xludf.DUMMYFUNCTION("""COMPUTED_VALUE"""),"Graphic Design")</f>
        <v>Graphic Design</v>
      </c>
      <c r="D5122" s="2" t="str">
        <f>IFERROR(__xludf.DUMMYFUNCTION("""COMPUTED_VALUE"""),"Harborcrest Publishing")</f>
        <v>Harborcrest Publishing</v>
      </c>
      <c r="E5122" s="2">
        <f>IFERROR(__xludf.DUMMYFUNCTION("""COMPUTED_VALUE"""),2.16)</f>
        <v>2.16</v>
      </c>
      <c r="F5122" s="2"/>
      <c r="G5122" s="2"/>
      <c r="H5122" s="2"/>
      <c r="I5122" s="2"/>
    </row>
    <row r="5123">
      <c r="A5123" s="2">
        <f>IFERROR(__xludf.DUMMYFUNCTION("""COMPUTED_VALUE"""),98337.0)</f>
        <v>98337</v>
      </c>
      <c r="B5123" s="2" t="str">
        <f>IFERROR(__xludf.DUMMYFUNCTION("""COMPUTED_VALUE"""),"Arts")</f>
        <v>Arts</v>
      </c>
      <c r="C5123" s="2" t="str">
        <f>IFERROR(__xludf.DUMMYFUNCTION("""COMPUTED_VALUE"""),"Graphic Design")</f>
        <v>Graphic Design</v>
      </c>
      <c r="D5123" s="2" t="str">
        <f>IFERROR(__xludf.DUMMYFUNCTION("""COMPUTED_VALUE"""),"Harborcrest Publishing")</f>
        <v>Harborcrest Publishing</v>
      </c>
      <c r="E5123" s="2">
        <f>IFERROR(__xludf.DUMMYFUNCTION("""COMPUTED_VALUE"""),2.85)</f>
        <v>2.85</v>
      </c>
      <c r="F5123" s="2"/>
      <c r="G5123" s="2"/>
      <c r="H5123" s="2"/>
      <c r="I5123" s="2"/>
    </row>
    <row r="5124">
      <c r="A5124" s="2">
        <f>IFERROR(__xludf.DUMMYFUNCTION("""COMPUTED_VALUE"""),90955.0)</f>
        <v>90955</v>
      </c>
      <c r="B5124" s="2" t="str">
        <f>IFERROR(__xludf.DUMMYFUNCTION("""COMPUTED_VALUE"""),"Arts")</f>
        <v>Arts</v>
      </c>
      <c r="C5124" s="2" t="str">
        <f>IFERROR(__xludf.DUMMYFUNCTION("""COMPUTED_VALUE"""),"Graphic Design")</f>
        <v>Graphic Design</v>
      </c>
      <c r="D5124" s="2" t="str">
        <f>IFERROR(__xludf.DUMMYFUNCTION("""COMPUTED_VALUE"""),"Harborcrest Publishing")</f>
        <v>Harborcrest Publishing</v>
      </c>
      <c r="E5124" s="2">
        <f>IFERROR(__xludf.DUMMYFUNCTION("""COMPUTED_VALUE"""),2.92)</f>
        <v>2.92</v>
      </c>
      <c r="F5124" s="2"/>
      <c r="G5124" s="2"/>
      <c r="H5124" s="2"/>
      <c r="I5124" s="2"/>
    </row>
    <row r="5125">
      <c r="A5125" s="2">
        <f>IFERROR(__xludf.DUMMYFUNCTION("""COMPUTED_VALUE"""),19303.0)</f>
        <v>19303</v>
      </c>
      <c r="B5125" s="2" t="str">
        <f>IFERROR(__xludf.DUMMYFUNCTION("""COMPUTED_VALUE"""),"Arts")</f>
        <v>Arts</v>
      </c>
      <c r="C5125" s="2" t="str">
        <f>IFERROR(__xludf.DUMMYFUNCTION("""COMPUTED_VALUE"""),"Graphic Design")</f>
        <v>Graphic Design</v>
      </c>
      <c r="D5125" s="2" t="str">
        <f>IFERROR(__xludf.DUMMYFUNCTION("""COMPUTED_VALUE"""),"Harborcrest Publishing")</f>
        <v>Harborcrest Publishing</v>
      </c>
      <c r="E5125" s="2">
        <f>IFERROR(__xludf.DUMMYFUNCTION("""COMPUTED_VALUE"""),2.61)</f>
        <v>2.61</v>
      </c>
      <c r="F5125" s="2"/>
      <c r="G5125" s="2"/>
      <c r="H5125" s="2"/>
      <c r="I5125" s="2"/>
    </row>
    <row r="5126">
      <c r="A5126" s="2">
        <f>IFERROR(__xludf.DUMMYFUNCTION("""COMPUTED_VALUE"""),98338.0)</f>
        <v>98338</v>
      </c>
      <c r="B5126" s="2" t="str">
        <f>IFERROR(__xludf.DUMMYFUNCTION("""COMPUTED_VALUE"""),"Arts")</f>
        <v>Arts</v>
      </c>
      <c r="C5126" s="2" t="str">
        <f>IFERROR(__xludf.DUMMYFUNCTION("""COMPUTED_VALUE"""),"Graphic Design")</f>
        <v>Graphic Design</v>
      </c>
      <c r="D5126" s="2" t="str">
        <f>IFERROR(__xludf.DUMMYFUNCTION("""COMPUTED_VALUE"""),"Harborcrest Publishing")</f>
        <v>Harborcrest Publishing</v>
      </c>
      <c r="E5126" s="2">
        <f>IFERROR(__xludf.DUMMYFUNCTION("""COMPUTED_VALUE"""),3.81)</f>
        <v>3.81</v>
      </c>
      <c r="F5126" s="2"/>
      <c r="G5126" s="2"/>
      <c r="H5126" s="2"/>
      <c r="I5126" s="2"/>
    </row>
    <row r="5127">
      <c r="A5127" s="2">
        <f>IFERROR(__xludf.DUMMYFUNCTION("""COMPUTED_VALUE"""),98339.0)</f>
        <v>98339</v>
      </c>
      <c r="B5127" s="2" t="str">
        <f>IFERROR(__xludf.DUMMYFUNCTION("""COMPUTED_VALUE"""),"Arts")</f>
        <v>Arts</v>
      </c>
      <c r="C5127" s="2" t="str">
        <f>IFERROR(__xludf.DUMMYFUNCTION("""COMPUTED_VALUE"""),"Graphic Design")</f>
        <v>Graphic Design</v>
      </c>
      <c r="D5127" s="2" t="str">
        <f>IFERROR(__xludf.DUMMYFUNCTION("""COMPUTED_VALUE"""),"Harborcrest Publishing")</f>
        <v>Harborcrest Publishing</v>
      </c>
      <c r="E5127" s="2">
        <f>IFERROR(__xludf.DUMMYFUNCTION("""COMPUTED_VALUE"""),3.68)</f>
        <v>3.68</v>
      </c>
      <c r="F5127" s="2"/>
      <c r="G5127" s="2"/>
      <c r="H5127" s="2"/>
      <c r="I5127" s="2"/>
    </row>
    <row r="5128">
      <c r="A5128" s="2">
        <f>IFERROR(__xludf.DUMMYFUNCTION("""COMPUTED_VALUE"""),19296.0)</f>
        <v>19296</v>
      </c>
      <c r="B5128" s="2" t="str">
        <f>IFERROR(__xludf.DUMMYFUNCTION("""COMPUTED_VALUE"""),"Arts")</f>
        <v>Arts</v>
      </c>
      <c r="C5128" s="2" t="str">
        <f>IFERROR(__xludf.DUMMYFUNCTION("""COMPUTED_VALUE"""),"Graphic Design")</f>
        <v>Graphic Design</v>
      </c>
      <c r="D5128" s="2" t="str">
        <f>IFERROR(__xludf.DUMMYFUNCTION("""COMPUTED_VALUE"""),"Harborcrest Publishing")</f>
        <v>Harborcrest Publishing</v>
      </c>
      <c r="E5128" s="2">
        <f>IFERROR(__xludf.DUMMYFUNCTION("""COMPUTED_VALUE"""),4.29)</f>
        <v>4.29</v>
      </c>
      <c r="F5128" s="2"/>
      <c r="G5128" s="2"/>
      <c r="H5128" s="2"/>
      <c r="I5128" s="2"/>
    </row>
    <row r="5129">
      <c r="A5129" s="2">
        <f>IFERROR(__xludf.DUMMYFUNCTION("""COMPUTED_VALUE"""),19306.0)</f>
        <v>19306</v>
      </c>
      <c r="B5129" s="2" t="str">
        <f>IFERROR(__xludf.DUMMYFUNCTION("""COMPUTED_VALUE"""),"Arts")</f>
        <v>Arts</v>
      </c>
      <c r="C5129" s="2" t="str">
        <f>IFERROR(__xludf.DUMMYFUNCTION("""COMPUTED_VALUE"""),"Graphic Design")</f>
        <v>Graphic Design</v>
      </c>
      <c r="D5129" s="2" t="str">
        <f>IFERROR(__xludf.DUMMYFUNCTION("""COMPUTED_VALUE"""),"Harborcrest Publishing")</f>
        <v>Harborcrest Publishing</v>
      </c>
      <c r="E5129" s="2">
        <f>IFERROR(__xludf.DUMMYFUNCTION("""COMPUTED_VALUE"""),2.87)</f>
        <v>2.87</v>
      </c>
      <c r="F5129" s="2"/>
      <c r="G5129" s="2"/>
      <c r="H5129" s="2"/>
      <c r="I5129" s="2"/>
    </row>
    <row r="5130">
      <c r="A5130" s="2">
        <f>IFERROR(__xludf.DUMMYFUNCTION("""COMPUTED_VALUE"""),90969.0)</f>
        <v>90969</v>
      </c>
      <c r="B5130" s="2" t="str">
        <f>IFERROR(__xludf.DUMMYFUNCTION("""COMPUTED_VALUE"""),"Arts")</f>
        <v>Arts</v>
      </c>
      <c r="C5130" s="2" t="str">
        <f>IFERROR(__xludf.DUMMYFUNCTION("""COMPUTED_VALUE"""),"Graphic Design")</f>
        <v>Graphic Design</v>
      </c>
      <c r="D5130" s="2" t="str">
        <f>IFERROR(__xludf.DUMMYFUNCTION("""COMPUTED_VALUE"""),"Harborcrest Publishing")</f>
        <v>Harborcrest Publishing</v>
      </c>
      <c r="E5130" s="2">
        <f>IFERROR(__xludf.DUMMYFUNCTION("""COMPUTED_VALUE"""),2.42)</f>
        <v>2.42</v>
      </c>
      <c r="F5130" s="2"/>
      <c r="G5130" s="2"/>
      <c r="H5130" s="2"/>
      <c r="I5130" s="2"/>
    </row>
    <row r="5131">
      <c r="A5131" s="2">
        <f>IFERROR(__xludf.DUMMYFUNCTION("""COMPUTED_VALUE"""),19299.0)</f>
        <v>19299</v>
      </c>
      <c r="B5131" s="2" t="str">
        <f>IFERROR(__xludf.DUMMYFUNCTION("""COMPUTED_VALUE"""),"Arts")</f>
        <v>Arts</v>
      </c>
      <c r="C5131" s="2" t="str">
        <f>IFERROR(__xludf.DUMMYFUNCTION("""COMPUTED_VALUE"""),"Graphic Design")</f>
        <v>Graphic Design</v>
      </c>
      <c r="D5131" s="2" t="str">
        <f>IFERROR(__xludf.DUMMYFUNCTION("""COMPUTED_VALUE"""),"Harborcrest Publishing")</f>
        <v>Harborcrest Publishing</v>
      </c>
      <c r="E5131" s="2">
        <f>IFERROR(__xludf.DUMMYFUNCTION("""COMPUTED_VALUE"""),3.78)</f>
        <v>3.78</v>
      </c>
      <c r="F5131" s="2"/>
      <c r="G5131" s="2"/>
      <c r="H5131" s="2"/>
      <c r="I5131" s="2"/>
    </row>
    <row r="5132">
      <c r="A5132" s="2">
        <f>IFERROR(__xludf.DUMMYFUNCTION("""COMPUTED_VALUE"""),5764.0)</f>
        <v>5764</v>
      </c>
      <c r="B5132" s="2" t="str">
        <f>IFERROR(__xludf.DUMMYFUNCTION("""COMPUTED_VALUE"""),"Arts")</f>
        <v>Arts</v>
      </c>
      <c r="C5132" s="2" t="str">
        <f>IFERROR(__xludf.DUMMYFUNCTION("""COMPUTED_VALUE"""),"Graphic Design")</f>
        <v>Graphic Design</v>
      </c>
      <c r="D5132" s="2" t="str">
        <f>IFERROR(__xludf.DUMMYFUNCTION("""COMPUTED_VALUE"""),"Harborcrest Publishing")</f>
        <v>Harborcrest Publishing</v>
      </c>
      <c r="E5132" s="2">
        <f>IFERROR(__xludf.DUMMYFUNCTION("""COMPUTED_VALUE"""),2.91)</f>
        <v>2.91</v>
      </c>
      <c r="F5132" s="2"/>
      <c r="G5132" s="2"/>
      <c r="H5132" s="2"/>
      <c r="I5132" s="2"/>
    </row>
    <row r="5133">
      <c r="A5133" s="2">
        <f>IFERROR(__xludf.DUMMYFUNCTION("""COMPUTED_VALUE"""),114667.0)</f>
        <v>114667</v>
      </c>
      <c r="B5133" s="2" t="str">
        <f>IFERROR(__xludf.DUMMYFUNCTION("""COMPUTED_VALUE"""),"Arts")</f>
        <v>Arts</v>
      </c>
      <c r="C5133" s="2" t="str">
        <f>IFERROR(__xludf.DUMMYFUNCTION("""COMPUTED_VALUE"""),"Graphic Design")</f>
        <v>Graphic Design</v>
      </c>
      <c r="D5133" s="2" t="str">
        <f>IFERROR(__xludf.DUMMYFUNCTION("""COMPUTED_VALUE"""),"Harborcrest Publishing")</f>
        <v>Harborcrest Publishing</v>
      </c>
      <c r="E5133" s="2">
        <f>IFERROR(__xludf.DUMMYFUNCTION("""COMPUTED_VALUE"""),4.66)</f>
        <v>4.66</v>
      </c>
      <c r="F5133" s="2"/>
      <c r="G5133" s="2"/>
      <c r="H5133" s="2"/>
      <c r="I5133" s="2"/>
    </row>
    <row r="5134">
      <c r="A5134" s="2">
        <f>IFERROR(__xludf.DUMMYFUNCTION("""COMPUTED_VALUE"""),113870.0)</f>
        <v>113870</v>
      </c>
      <c r="B5134" s="2" t="str">
        <f>IFERROR(__xludf.DUMMYFUNCTION("""COMPUTED_VALUE"""),"Arts")</f>
        <v>Arts</v>
      </c>
      <c r="C5134" s="2" t="str">
        <f>IFERROR(__xludf.DUMMYFUNCTION("""COMPUTED_VALUE"""),"Graphic Design")</f>
        <v>Graphic Design</v>
      </c>
      <c r="D5134" s="2" t="str">
        <f>IFERROR(__xludf.DUMMYFUNCTION("""COMPUTED_VALUE"""),"Harborcrest Publishing")</f>
        <v>Harborcrest Publishing</v>
      </c>
      <c r="E5134" s="2">
        <f>IFERROR(__xludf.DUMMYFUNCTION("""COMPUTED_VALUE"""),2.73)</f>
        <v>2.73</v>
      </c>
      <c r="F5134" s="2"/>
      <c r="G5134" s="2"/>
      <c r="H5134" s="2"/>
      <c r="I5134" s="2"/>
    </row>
    <row r="5135">
      <c r="A5135" s="2">
        <f>IFERROR(__xludf.DUMMYFUNCTION("""COMPUTED_VALUE"""),127918.0)</f>
        <v>127918</v>
      </c>
      <c r="B5135" s="2" t="str">
        <f>IFERROR(__xludf.DUMMYFUNCTION("""COMPUTED_VALUE"""),"Arts")</f>
        <v>Arts</v>
      </c>
      <c r="C5135" s="2" t="str">
        <f>IFERROR(__xludf.DUMMYFUNCTION("""COMPUTED_VALUE"""),"Graphic Design")</f>
        <v>Graphic Design</v>
      </c>
      <c r="D5135" s="2" t="str">
        <f>IFERROR(__xludf.DUMMYFUNCTION("""COMPUTED_VALUE"""),"Harborcrest Publishing")</f>
        <v>Harborcrest Publishing</v>
      </c>
      <c r="E5135" s="2">
        <f>IFERROR(__xludf.DUMMYFUNCTION("""COMPUTED_VALUE"""),2.88)</f>
        <v>2.88</v>
      </c>
      <c r="F5135" s="2"/>
      <c r="G5135" s="2"/>
      <c r="H5135" s="2"/>
      <c r="I5135" s="2"/>
    </row>
    <row r="5136">
      <c r="A5136" s="2">
        <f>IFERROR(__xludf.DUMMYFUNCTION("""COMPUTED_VALUE"""),127917.0)</f>
        <v>127917</v>
      </c>
      <c r="B5136" s="2" t="str">
        <f>IFERROR(__xludf.DUMMYFUNCTION("""COMPUTED_VALUE"""),"Arts")</f>
        <v>Arts</v>
      </c>
      <c r="C5136" s="2" t="str">
        <f>IFERROR(__xludf.DUMMYFUNCTION("""COMPUTED_VALUE"""),"Graphic Design")</f>
        <v>Graphic Design</v>
      </c>
      <c r="D5136" s="2" t="str">
        <f>IFERROR(__xludf.DUMMYFUNCTION("""COMPUTED_VALUE"""),"Harborcrest Publishing")</f>
        <v>Harborcrest Publishing</v>
      </c>
      <c r="E5136" s="2">
        <f>IFERROR(__xludf.DUMMYFUNCTION("""COMPUTED_VALUE"""),3.23)</f>
        <v>3.23</v>
      </c>
      <c r="F5136" s="2"/>
      <c r="G5136" s="2"/>
      <c r="H5136" s="2"/>
      <c r="I5136" s="2"/>
    </row>
    <row r="5137">
      <c r="A5137" s="2">
        <f>IFERROR(__xludf.DUMMYFUNCTION("""COMPUTED_VALUE"""),19297.0)</f>
        <v>19297</v>
      </c>
      <c r="B5137" s="2" t="str">
        <f>IFERROR(__xludf.DUMMYFUNCTION("""COMPUTED_VALUE"""),"Arts")</f>
        <v>Arts</v>
      </c>
      <c r="C5137" s="2" t="str">
        <f>IFERROR(__xludf.DUMMYFUNCTION("""COMPUTED_VALUE"""),"Graphic Design")</f>
        <v>Graphic Design</v>
      </c>
      <c r="D5137" s="2" t="str">
        <f>IFERROR(__xludf.DUMMYFUNCTION("""COMPUTED_VALUE"""),"Harborcrest Publishing")</f>
        <v>Harborcrest Publishing</v>
      </c>
      <c r="E5137" s="2">
        <f>IFERROR(__xludf.DUMMYFUNCTION("""COMPUTED_VALUE"""),4.32)</f>
        <v>4.32</v>
      </c>
      <c r="F5137" s="2"/>
      <c r="G5137" s="2"/>
      <c r="H5137" s="2"/>
      <c r="I5137" s="2"/>
    </row>
    <row r="5138">
      <c r="A5138" s="2">
        <f>IFERROR(__xludf.DUMMYFUNCTION("""COMPUTED_VALUE"""),19316.0)</f>
        <v>19316</v>
      </c>
      <c r="B5138" s="2" t="str">
        <f>IFERROR(__xludf.DUMMYFUNCTION("""COMPUTED_VALUE"""),"Arts")</f>
        <v>Arts</v>
      </c>
      <c r="C5138" s="2" t="str">
        <f>IFERROR(__xludf.DUMMYFUNCTION("""COMPUTED_VALUE"""),"Graphic Design")</f>
        <v>Graphic Design</v>
      </c>
      <c r="D5138" s="2" t="str">
        <f>IFERROR(__xludf.DUMMYFUNCTION("""COMPUTED_VALUE"""),"Harborcrest Publishing")</f>
        <v>Harborcrest Publishing</v>
      </c>
      <c r="E5138" s="2">
        <f>IFERROR(__xludf.DUMMYFUNCTION("""COMPUTED_VALUE"""),3.7)</f>
        <v>3.7</v>
      </c>
      <c r="F5138" s="2"/>
      <c r="G5138" s="2"/>
      <c r="H5138" s="2"/>
      <c r="I5138" s="2"/>
    </row>
    <row r="5139">
      <c r="A5139" s="2">
        <f>IFERROR(__xludf.DUMMYFUNCTION("""COMPUTED_VALUE"""),118481.0)</f>
        <v>118481</v>
      </c>
      <c r="B5139" s="2" t="str">
        <f>IFERROR(__xludf.DUMMYFUNCTION("""COMPUTED_VALUE"""),"Arts")</f>
        <v>Arts</v>
      </c>
      <c r="C5139" s="2" t="str">
        <f>IFERROR(__xludf.DUMMYFUNCTION("""COMPUTED_VALUE"""),"Graphic Design")</f>
        <v>Graphic Design</v>
      </c>
      <c r="D5139" s="2" t="str">
        <f>IFERROR(__xludf.DUMMYFUNCTION("""COMPUTED_VALUE"""),"Harborcrest Publishing")</f>
        <v>Harborcrest Publishing</v>
      </c>
      <c r="E5139" s="2">
        <f>IFERROR(__xludf.DUMMYFUNCTION("""COMPUTED_VALUE"""),3.93)</f>
        <v>3.93</v>
      </c>
      <c r="F5139" s="2"/>
      <c r="G5139" s="2"/>
      <c r="H5139" s="2"/>
      <c r="I5139" s="2"/>
    </row>
    <row r="5140">
      <c r="A5140" s="2">
        <f>IFERROR(__xludf.DUMMYFUNCTION("""COMPUTED_VALUE"""),118366.0)</f>
        <v>118366</v>
      </c>
      <c r="B5140" s="2" t="str">
        <f>IFERROR(__xludf.DUMMYFUNCTION("""COMPUTED_VALUE"""),"Arts")</f>
        <v>Arts</v>
      </c>
      <c r="C5140" s="2" t="str">
        <f>IFERROR(__xludf.DUMMYFUNCTION("""COMPUTED_VALUE"""),"Graphic Design")</f>
        <v>Graphic Design</v>
      </c>
      <c r="D5140" s="2" t="str">
        <f>IFERROR(__xludf.DUMMYFUNCTION("""COMPUTED_VALUE"""),"Harborcrest Publishing")</f>
        <v>Harborcrest Publishing</v>
      </c>
      <c r="E5140" s="2">
        <f>IFERROR(__xludf.DUMMYFUNCTION("""COMPUTED_VALUE"""),3.91)</f>
        <v>3.91</v>
      </c>
      <c r="F5140" s="2"/>
      <c r="G5140" s="2"/>
      <c r="H5140" s="2"/>
      <c r="I5140" s="2"/>
    </row>
    <row r="5141">
      <c r="A5141" s="2">
        <f>IFERROR(__xludf.DUMMYFUNCTION("""COMPUTED_VALUE"""),111183.0)</f>
        <v>111183</v>
      </c>
      <c r="B5141" s="2" t="str">
        <f>IFERROR(__xludf.DUMMYFUNCTION("""COMPUTED_VALUE"""),"Arts")</f>
        <v>Arts</v>
      </c>
      <c r="C5141" s="2" t="str">
        <f>IFERROR(__xludf.DUMMYFUNCTION("""COMPUTED_VALUE"""),"Graphic Design")</f>
        <v>Graphic Design</v>
      </c>
      <c r="D5141" s="2" t="str">
        <f>IFERROR(__xludf.DUMMYFUNCTION("""COMPUTED_VALUE"""),"Cedarcrest Publishing")</f>
        <v>Cedarcrest Publishing</v>
      </c>
      <c r="E5141" s="2">
        <f>IFERROR(__xludf.DUMMYFUNCTION("""COMPUTED_VALUE"""),4.66)</f>
        <v>4.66</v>
      </c>
      <c r="F5141" s="2"/>
      <c r="G5141" s="2"/>
      <c r="H5141" s="2"/>
      <c r="I5141" s="2"/>
    </row>
    <row r="5142">
      <c r="A5142" s="2">
        <f>IFERROR(__xludf.DUMMYFUNCTION("""COMPUTED_VALUE"""),124735.0)</f>
        <v>124735</v>
      </c>
      <c r="B5142" s="2" t="str">
        <f>IFERROR(__xludf.DUMMYFUNCTION("""COMPUTED_VALUE"""),"Arts")</f>
        <v>Arts</v>
      </c>
      <c r="C5142" s="2" t="str">
        <f>IFERROR(__xludf.DUMMYFUNCTION("""COMPUTED_VALUE"""),"Graphic Design")</f>
        <v>Graphic Design</v>
      </c>
      <c r="D5142" s="2" t="str">
        <f>IFERROR(__xludf.DUMMYFUNCTION("""COMPUTED_VALUE"""),"Cedarcrest Publishing")</f>
        <v>Cedarcrest Publishing</v>
      </c>
      <c r="E5142" s="2">
        <f>IFERROR(__xludf.DUMMYFUNCTION("""COMPUTED_VALUE"""),6.1)</f>
        <v>6.1</v>
      </c>
      <c r="F5142" s="2"/>
      <c r="G5142" s="2"/>
      <c r="H5142" s="2"/>
      <c r="I5142" s="2"/>
    </row>
    <row r="5143">
      <c r="A5143" s="2">
        <f>IFERROR(__xludf.DUMMYFUNCTION("""COMPUTED_VALUE"""),78727.0)</f>
        <v>78727</v>
      </c>
      <c r="B5143" s="2" t="str">
        <f>IFERROR(__xludf.DUMMYFUNCTION("""COMPUTED_VALUE"""),"Arts")</f>
        <v>Arts</v>
      </c>
      <c r="C5143" s="2" t="str">
        <f>IFERROR(__xludf.DUMMYFUNCTION("""COMPUTED_VALUE"""),"Graphic Design")</f>
        <v>Graphic Design</v>
      </c>
      <c r="D5143" s="2" t="str">
        <f>IFERROR(__xludf.DUMMYFUNCTION("""COMPUTED_VALUE"""),"Cedarcrest Publishing")</f>
        <v>Cedarcrest Publishing</v>
      </c>
      <c r="E5143" s="2">
        <f>IFERROR(__xludf.DUMMYFUNCTION("""COMPUTED_VALUE"""),6.08)</f>
        <v>6.08</v>
      </c>
      <c r="F5143" s="2"/>
      <c r="G5143" s="2"/>
      <c r="H5143" s="2"/>
      <c r="I5143" s="2"/>
    </row>
    <row r="5144">
      <c r="A5144" s="2">
        <f>IFERROR(__xludf.DUMMYFUNCTION("""COMPUTED_VALUE"""),111182.0)</f>
        <v>111182</v>
      </c>
      <c r="B5144" s="2" t="str">
        <f>IFERROR(__xludf.DUMMYFUNCTION("""COMPUTED_VALUE"""),"Arts")</f>
        <v>Arts</v>
      </c>
      <c r="C5144" s="2" t="str">
        <f>IFERROR(__xludf.DUMMYFUNCTION("""COMPUTED_VALUE"""),"Graphic Design")</f>
        <v>Graphic Design</v>
      </c>
      <c r="D5144" s="2" t="str">
        <f>IFERROR(__xludf.DUMMYFUNCTION("""COMPUTED_VALUE"""),"Cedarcrest Publishing")</f>
        <v>Cedarcrest Publishing</v>
      </c>
      <c r="E5144" s="2">
        <f>IFERROR(__xludf.DUMMYFUNCTION("""COMPUTED_VALUE"""),4.61)</f>
        <v>4.61</v>
      </c>
      <c r="F5144" s="2"/>
      <c r="G5144" s="2"/>
      <c r="H5144" s="2"/>
      <c r="I5144" s="2"/>
    </row>
    <row r="5145">
      <c r="A5145" s="2">
        <f>IFERROR(__xludf.DUMMYFUNCTION("""COMPUTED_VALUE"""),78734.0)</f>
        <v>78734</v>
      </c>
      <c r="B5145" s="2" t="str">
        <f>IFERROR(__xludf.DUMMYFUNCTION("""COMPUTED_VALUE"""),"Arts")</f>
        <v>Arts</v>
      </c>
      <c r="C5145" s="2" t="str">
        <f>IFERROR(__xludf.DUMMYFUNCTION("""COMPUTED_VALUE"""),"Graphic Design")</f>
        <v>Graphic Design</v>
      </c>
      <c r="D5145" s="2" t="str">
        <f>IFERROR(__xludf.DUMMYFUNCTION("""COMPUTED_VALUE"""),"Cedarcrest Publishing")</f>
        <v>Cedarcrest Publishing</v>
      </c>
      <c r="E5145" s="2">
        <f>IFERROR(__xludf.DUMMYFUNCTION("""COMPUTED_VALUE"""),6.21)</f>
        <v>6.21</v>
      </c>
      <c r="F5145" s="2"/>
      <c r="G5145" s="2"/>
      <c r="H5145" s="2"/>
      <c r="I5145" s="2"/>
    </row>
    <row r="5146">
      <c r="A5146" s="2">
        <f>IFERROR(__xludf.DUMMYFUNCTION("""COMPUTED_VALUE"""),78729.0)</f>
        <v>78729</v>
      </c>
      <c r="B5146" s="2" t="str">
        <f>IFERROR(__xludf.DUMMYFUNCTION("""COMPUTED_VALUE"""),"Arts")</f>
        <v>Arts</v>
      </c>
      <c r="C5146" s="2" t="str">
        <f>IFERROR(__xludf.DUMMYFUNCTION("""COMPUTED_VALUE"""),"Graphic Design")</f>
        <v>Graphic Design</v>
      </c>
      <c r="D5146" s="2" t="str">
        <f>IFERROR(__xludf.DUMMYFUNCTION("""COMPUTED_VALUE"""),"Cedarcrest Publishing")</f>
        <v>Cedarcrest Publishing</v>
      </c>
      <c r="E5146" s="2">
        <f>IFERROR(__xludf.DUMMYFUNCTION("""COMPUTED_VALUE"""),6.51)</f>
        <v>6.51</v>
      </c>
      <c r="F5146" s="2"/>
      <c r="G5146" s="2"/>
      <c r="H5146" s="2"/>
      <c r="I5146" s="2"/>
    </row>
    <row r="5147">
      <c r="A5147" s="2">
        <f>IFERROR(__xludf.DUMMYFUNCTION("""COMPUTED_VALUE"""),111662.0)</f>
        <v>111662</v>
      </c>
      <c r="B5147" s="2" t="str">
        <f>IFERROR(__xludf.DUMMYFUNCTION("""COMPUTED_VALUE"""),"Arts")</f>
        <v>Arts</v>
      </c>
      <c r="C5147" s="2" t="str">
        <f>IFERROR(__xludf.DUMMYFUNCTION("""COMPUTED_VALUE"""),"Graphic Design")</f>
        <v>Graphic Design</v>
      </c>
      <c r="D5147" s="2" t="str">
        <f>IFERROR(__xludf.DUMMYFUNCTION("""COMPUTED_VALUE"""),"Cedarcrest Publishing")</f>
        <v>Cedarcrest Publishing</v>
      </c>
      <c r="E5147" s="2">
        <f>IFERROR(__xludf.DUMMYFUNCTION("""COMPUTED_VALUE"""),4.59)</f>
        <v>4.59</v>
      </c>
      <c r="F5147" s="2"/>
      <c r="G5147" s="2"/>
      <c r="H5147" s="2"/>
      <c r="I5147" s="2"/>
    </row>
    <row r="5148">
      <c r="A5148" s="2">
        <f>IFERROR(__xludf.DUMMYFUNCTION("""COMPUTED_VALUE"""),78728.0)</f>
        <v>78728</v>
      </c>
      <c r="B5148" s="2" t="str">
        <f>IFERROR(__xludf.DUMMYFUNCTION("""COMPUTED_VALUE"""),"Arts")</f>
        <v>Arts</v>
      </c>
      <c r="C5148" s="2" t="str">
        <f>IFERROR(__xludf.DUMMYFUNCTION("""COMPUTED_VALUE"""),"Graphic Design")</f>
        <v>Graphic Design</v>
      </c>
      <c r="D5148" s="2" t="str">
        <f>IFERROR(__xludf.DUMMYFUNCTION("""COMPUTED_VALUE"""),"Cedarcrest Publishing")</f>
        <v>Cedarcrest Publishing</v>
      </c>
      <c r="E5148" s="2">
        <f>IFERROR(__xludf.DUMMYFUNCTION("""COMPUTED_VALUE"""),6.45)</f>
        <v>6.45</v>
      </c>
      <c r="F5148" s="2"/>
      <c r="G5148" s="2"/>
      <c r="H5148" s="2"/>
      <c r="I5148" s="2"/>
    </row>
    <row r="5149">
      <c r="A5149" s="2">
        <f>IFERROR(__xludf.DUMMYFUNCTION("""COMPUTED_VALUE"""),119082.0)</f>
        <v>119082</v>
      </c>
      <c r="B5149" s="2" t="str">
        <f>IFERROR(__xludf.DUMMYFUNCTION("""COMPUTED_VALUE"""),"Arts")</f>
        <v>Arts</v>
      </c>
      <c r="C5149" s="2" t="str">
        <f>IFERROR(__xludf.DUMMYFUNCTION("""COMPUTED_VALUE"""),"Graphic Design")</f>
        <v>Graphic Design</v>
      </c>
      <c r="D5149" s="2" t="str">
        <f>IFERROR(__xludf.DUMMYFUNCTION("""COMPUTED_VALUE"""),"Brightcrest Publishing")</f>
        <v>Brightcrest Publishing</v>
      </c>
      <c r="E5149" s="2">
        <f>IFERROR(__xludf.DUMMYFUNCTION("""COMPUTED_VALUE"""),1.03)</f>
        <v>1.03</v>
      </c>
      <c r="F5149" s="2"/>
      <c r="G5149" s="2"/>
      <c r="H5149" s="2"/>
      <c r="I5149" s="2"/>
    </row>
    <row r="5150">
      <c r="A5150" s="2">
        <f>IFERROR(__xludf.DUMMYFUNCTION("""COMPUTED_VALUE"""),5770.0)</f>
        <v>5770</v>
      </c>
      <c r="B5150" s="2" t="str">
        <f>IFERROR(__xludf.DUMMYFUNCTION("""COMPUTED_VALUE"""),"Arts")</f>
        <v>Arts</v>
      </c>
      <c r="C5150" s="2" t="str">
        <f>IFERROR(__xludf.DUMMYFUNCTION("""COMPUTED_VALUE"""),"Graphic Design")</f>
        <v>Graphic Design</v>
      </c>
      <c r="D5150" s="2" t="str">
        <f>IFERROR(__xludf.DUMMYFUNCTION("""COMPUTED_VALUE"""),"Brightcrest Publishing")</f>
        <v>Brightcrest Publishing</v>
      </c>
      <c r="E5150" s="2">
        <f>IFERROR(__xludf.DUMMYFUNCTION("""COMPUTED_VALUE"""),2.25)</f>
        <v>2.25</v>
      </c>
      <c r="F5150" s="2"/>
      <c r="G5150" s="2"/>
      <c r="H5150" s="2"/>
      <c r="I5150" s="2"/>
    </row>
    <row r="5151">
      <c r="A5151" s="2">
        <f>IFERROR(__xludf.DUMMYFUNCTION("""COMPUTED_VALUE"""),103072.0)</f>
        <v>103072</v>
      </c>
      <c r="B5151" s="2" t="str">
        <f>IFERROR(__xludf.DUMMYFUNCTION("""COMPUTED_VALUE"""),"Arts")</f>
        <v>Arts</v>
      </c>
      <c r="C5151" s="2" t="str">
        <f>IFERROR(__xludf.DUMMYFUNCTION("""COMPUTED_VALUE"""),"Graphic Design")</f>
        <v>Graphic Design</v>
      </c>
      <c r="D5151" s="2" t="str">
        <f>IFERROR(__xludf.DUMMYFUNCTION("""COMPUTED_VALUE"""),"Brightcrest Publishing")</f>
        <v>Brightcrest Publishing</v>
      </c>
      <c r="E5151" s="2">
        <f>IFERROR(__xludf.DUMMYFUNCTION("""COMPUTED_VALUE"""),1.78)</f>
        <v>1.78</v>
      </c>
      <c r="F5151" s="2"/>
      <c r="G5151" s="2"/>
      <c r="H5151" s="2"/>
      <c r="I5151" s="2"/>
    </row>
    <row r="5152">
      <c r="A5152" s="2">
        <f>IFERROR(__xludf.DUMMYFUNCTION("""COMPUTED_VALUE"""),19344.0)</f>
        <v>19344</v>
      </c>
      <c r="B5152" s="2" t="str">
        <f>IFERROR(__xludf.DUMMYFUNCTION("""COMPUTED_VALUE"""),"Arts")</f>
        <v>Arts</v>
      </c>
      <c r="C5152" s="2" t="str">
        <f>IFERROR(__xludf.DUMMYFUNCTION("""COMPUTED_VALUE"""),"Graphic Design")</f>
        <v>Graphic Design</v>
      </c>
      <c r="D5152" s="2" t="str">
        <f>IFERROR(__xludf.DUMMYFUNCTION("""COMPUTED_VALUE"""),"Brightcrest Publishing")</f>
        <v>Brightcrest Publishing</v>
      </c>
      <c r="E5152" s="2">
        <f>IFERROR(__xludf.DUMMYFUNCTION("""COMPUTED_VALUE"""),1.71)</f>
        <v>1.71</v>
      </c>
      <c r="F5152" s="2"/>
      <c r="G5152" s="2"/>
      <c r="H5152" s="2"/>
      <c r="I5152" s="2"/>
    </row>
    <row r="5153">
      <c r="A5153" s="2">
        <f>IFERROR(__xludf.DUMMYFUNCTION("""COMPUTED_VALUE"""),84219.0)</f>
        <v>84219</v>
      </c>
      <c r="B5153" s="2" t="str">
        <f>IFERROR(__xludf.DUMMYFUNCTION("""COMPUTED_VALUE"""),"Arts")</f>
        <v>Arts</v>
      </c>
      <c r="C5153" s="2" t="str">
        <f>IFERROR(__xludf.DUMMYFUNCTION("""COMPUTED_VALUE"""),"Graphic Design")</f>
        <v>Graphic Design</v>
      </c>
      <c r="D5153" s="2" t="str">
        <f>IFERROR(__xludf.DUMMYFUNCTION("""COMPUTED_VALUE"""),"Brightcrest Publishing")</f>
        <v>Brightcrest Publishing</v>
      </c>
      <c r="E5153" s="2">
        <f>IFERROR(__xludf.DUMMYFUNCTION("""COMPUTED_VALUE"""),2.79)</f>
        <v>2.79</v>
      </c>
      <c r="F5153" s="2"/>
      <c r="G5153" s="2"/>
      <c r="H5153" s="2"/>
      <c r="I5153" s="2"/>
    </row>
    <row r="5154">
      <c r="A5154" s="2">
        <f>IFERROR(__xludf.DUMMYFUNCTION("""COMPUTED_VALUE"""),19345.0)</f>
        <v>19345</v>
      </c>
      <c r="B5154" s="2" t="str">
        <f>IFERROR(__xludf.DUMMYFUNCTION("""COMPUTED_VALUE"""),"Arts")</f>
        <v>Arts</v>
      </c>
      <c r="C5154" s="2" t="str">
        <f>IFERROR(__xludf.DUMMYFUNCTION("""COMPUTED_VALUE"""),"Graphic Design")</f>
        <v>Graphic Design</v>
      </c>
      <c r="D5154" s="2" t="str">
        <f>IFERROR(__xludf.DUMMYFUNCTION("""COMPUTED_VALUE"""),"Brightcrest Publishing")</f>
        <v>Brightcrest Publishing</v>
      </c>
      <c r="E5154" s="2">
        <f>IFERROR(__xludf.DUMMYFUNCTION("""COMPUTED_VALUE"""),1.47)</f>
        <v>1.47</v>
      </c>
      <c r="F5154" s="2"/>
      <c r="G5154" s="2"/>
      <c r="H5154" s="2"/>
      <c r="I5154" s="2"/>
    </row>
    <row r="5155">
      <c r="A5155" s="2">
        <f>IFERROR(__xludf.DUMMYFUNCTION("""COMPUTED_VALUE"""),90816.0)</f>
        <v>90816</v>
      </c>
      <c r="B5155" s="2" t="str">
        <f>IFERROR(__xludf.DUMMYFUNCTION("""COMPUTED_VALUE"""),"Arts")</f>
        <v>Arts</v>
      </c>
      <c r="C5155" s="2" t="str">
        <f>IFERROR(__xludf.DUMMYFUNCTION("""COMPUTED_VALUE"""),"Graphic Design")</f>
        <v>Graphic Design</v>
      </c>
      <c r="D5155" s="2" t="str">
        <f>IFERROR(__xludf.DUMMYFUNCTION("""COMPUTED_VALUE"""),"Brightcrest Publishing")</f>
        <v>Brightcrest Publishing</v>
      </c>
      <c r="E5155" s="2">
        <f>IFERROR(__xludf.DUMMYFUNCTION("""COMPUTED_VALUE"""),1.41)</f>
        <v>1.41</v>
      </c>
      <c r="F5155" s="2"/>
      <c r="G5155" s="2"/>
      <c r="H5155" s="2"/>
      <c r="I5155" s="2"/>
    </row>
    <row r="5156">
      <c r="A5156" s="2">
        <f>IFERROR(__xludf.DUMMYFUNCTION("""COMPUTED_VALUE"""),23198.0)</f>
        <v>23198</v>
      </c>
      <c r="B5156" s="2" t="str">
        <f>IFERROR(__xludf.DUMMYFUNCTION("""COMPUTED_VALUE"""),"Arts")</f>
        <v>Arts</v>
      </c>
      <c r="C5156" s="2" t="str">
        <f>IFERROR(__xludf.DUMMYFUNCTION("""COMPUTED_VALUE"""),"Graphic Design")</f>
        <v>Graphic Design</v>
      </c>
      <c r="D5156" s="2" t="str">
        <f>IFERROR(__xludf.DUMMYFUNCTION("""COMPUTED_VALUE"""),"Brightcrest Publishing")</f>
        <v>Brightcrest Publishing</v>
      </c>
      <c r="E5156" s="2">
        <f>IFERROR(__xludf.DUMMYFUNCTION("""COMPUTED_VALUE"""),2.6)</f>
        <v>2.6</v>
      </c>
      <c r="F5156" s="2"/>
      <c r="G5156" s="2"/>
      <c r="H5156" s="2"/>
      <c r="I5156" s="2"/>
    </row>
    <row r="5157">
      <c r="A5157" s="2">
        <f>IFERROR(__xludf.DUMMYFUNCTION("""COMPUTED_VALUE"""),87207.0)</f>
        <v>87207</v>
      </c>
      <c r="B5157" s="2" t="str">
        <f>IFERROR(__xludf.DUMMYFUNCTION("""COMPUTED_VALUE"""),"Arts")</f>
        <v>Arts</v>
      </c>
      <c r="C5157" s="2" t="str">
        <f>IFERROR(__xludf.DUMMYFUNCTION("""COMPUTED_VALUE"""),"Graphic Design")</f>
        <v>Graphic Design</v>
      </c>
      <c r="D5157" s="2" t="str">
        <f>IFERROR(__xludf.DUMMYFUNCTION("""COMPUTED_VALUE"""),"Brightcrest Publishing")</f>
        <v>Brightcrest Publishing</v>
      </c>
      <c r="E5157" s="2">
        <f>IFERROR(__xludf.DUMMYFUNCTION("""COMPUTED_VALUE"""),0.8)</f>
        <v>0.8</v>
      </c>
      <c r="F5157" s="2"/>
      <c r="G5157" s="2"/>
      <c r="H5157" s="2"/>
      <c r="I5157" s="2"/>
    </row>
    <row r="5158">
      <c r="A5158" s="2">
        <f>IFERROR(__xludf.DUMMYFUNCTION("""COMPUTED_VALUE"""),5694.0)</f>
        <v>5694</v>
      </c>
      <c r="B5158" s="2" t="str">
        <f>IFERROR(__xludf.DUMMYFUNCTION("""COMPUTED_VALUE"""),"Arts")</f>
        <v>Arts</v>
      </c>
      <c r="C5158" s="2" t="str">
        <f>IFERROR(__xludf.DUMMYFUNCTION("""COMPUTED_VALUE"""),"Graphic Design")</f>
        <v>Graphic Design</v>
      </c>
      <c r="D5158" s="2" t="str">
        <f>IFERROR(__xludf.DUMMYFUNCTION("""COMPUTED_VALUE"""),"Brightcrest Publishing")</f>
        <v>Brightcrest Publishing</v>
      </c>
      <c r="E5158" s="2">
        <f>IFERROR(__xludf.DUMMYFUNCTION("""COMPUTED_VALUE"""),1.38)</f>
        <v>1.38</v>
      </c>
      <c r="F5158" s="2"/>
      <c r="G5158" s="2"/>
      <c r="H5158" s="2"/>
      <c r="I5158" s="2"/>
    </row>
    <row r="5159">
      <c r="A5159" s="2">
        <f>IFERROR(__xludf.DUMMYFUNCTION("""COMPUTED_VALUE"""),119084.0)</f>
        <v>119084</v>
      </c>
      <c r="B5159" s="2" t="str">
        <f>IFERROR(__xludf.DUMMYFUNCTION("""COMPUTED_VALUE"""),"Arts")</f>
        <v>Arts</v>
      </c>
      <c r="C5159" s="2" t="str">
        <f>IFERROR(__xludf.DUMMYFUNCTION("""COMPUTED_VALUE"""),"Graphic Design")</f>
        <v>Graphic Design</v>
      </c>
      <c r="D5159" s="2" t="str">
        <f>IFERROR(__xludf.DUMMYFUNCTION("""COMPUTED_VALUE"""),"Brightcrest Publishing")</f>
        <v>Brightcrest Publishing</v>
      </c>
      <c r="E5159" s="2">
        <f>IFERROR(__xludf.DUMMYFUNCTION("""COMPUTED_VALUE"""),2.74)</f>
        <v>2.74</v>
      </c>
      <c r="F5159" s="2"/>
      <c r="G5159" s="2"/>
      <c r="H5159" s="2"/>
      <c r="I5159" s="2"/>
    </row>
    <row r="5160">
      <c r="A5160" s="2">
        <f>IFERROR(__xludf.DUMMYFUNCTION("""COMPUTED_VALUE"""),127927.0)</f>
        <v>127927</v>
      </c>
      <c r="B5160" s="2" t="str">
        <f>IFERROR(__xludf.DUMMYFUNCTION("""COMPUTED_VALUE"""),"Arts")</f>
        <v>Arts</v>
      </c>
      <c r="C5160" s="2" t="str">
        <f>IFERROR(__xludf.DUMMYFUNCTION("""COMPUTED_VALUE"""),"Graphic Design")</f>
        <v>Graphic Design</v>
      </c>
      <c r="D5160" s="2" t="str">
        <f>IFERROR(__xludf.DUMMYFUNCTION("""COMPUTED_VALUE"""),"Brightcrest Publishing")</f>
        <v>Brightcrest Publishing</v>
      </c>
      <c r="E5160" s="2">
        <f>IFERROR(__xludf.DUMMYFUNCTION("""COMPUTED_VALUE"""),2.16)</f>
        <v>2.16</v>
      </c>
      <c r="F5160" s="2"/>
      <c r="G5160" s="2"/>
      <c r="H5160" s="2"/>
      <c r="I5160" s="2"/>
    </row>
    <row r="5161">
      <c r="A5161" s="2">
        <f>IFERROR(__xludf.DUMMYFUNCTION("""COMPUTED_VALUE"""),111184.0)</f>
        <v>111184</v>
      </c>
      <c r="B5161" s="2" t="str">
        <f>IFERROR(__xludf.DUMMYFUNCTION("""COMPUTED_VALUE"""),"Arts")</f>
        <v>Arts</v>
      </c>
      <c r="C5161" s="2" t="str">
        <f>IFERROR(__xludf.DUMMYFUNCTION("""COMPUTED_VALUE"""),"Graphic Design")</f>
        <v>Graphic Design</v>
      </c>
      <c r="D5161" s="2" t="str">
        <f>IFERROR(__xludf.DUMMYFUNCTION("""COMPUTED_VALUE"""),"Brightcrest Publishing")</f>
        <v>Brightcrest Publishing</v>
      </c>
      <c r="E5161" s="2">
        <f>IFERROR(__xludf.DUMMYFUNCTION("""COMPUTED_VALUE"""),1.56)</f>
        <v>1.56</v>
      </c>
      <c r="F5161" s="2"/>
      <c r="G5161" s="2"/>
      <c r="H5161" s="2"/>
      <c r="I5161" s="2"/>
    </row>
    <row r="5162">
      <c r="A5162" s="2">
        <f>IFERROR(__xludf.DUMMYFUNCTION("""COMPUTED_VALUE"""),19341.0)</f>
        <v>19341</v>
      </c>
      <c r="B5162" s="2" t="str">
        <f>IFERROR(__xludf.DUMMYFUNCTION("""COMPUTED_VALUE"""),"Arts")</f>
        <v>Arts</v>
      </c>
      <c r="C5162" s="2" t="str">
        <f>IFERROR(__xludf.DUMMYFUNCTION("""COMPUTED_VALUE"""),"Graphic Design")</f>
        <v>Graphic Design</v>
      </c>
      <c r="D5162" s="2" t="str">
        <f>IFERROR(__xludf.DUMMYFUNCTION("""COMPUTED_VALUE"""),"Brightcrest Publishing")</f>
        <v>Brightcrest Publishing</v>
      </c>
      <c r="E5162" s="2">
        <f>IFERROR(__xludf.DUMMYFUNCTION("""COMPUTED_VALUE"""),1.94)</f>
        <v>1.94</v>
      </c>
      <c r="F5162" s="2"/>
      <c r="G5162" s="2"/>
      <c r="H5162" s="2"/>
      <c r="I5162" s="2"/>
    </row>
    <row r="5163">
      <c r="A5163" s="2">
        <f>IFERROR(__xludf.DUMMYFUNCTION("""COMPUTED_VALUE"""),118485.0)</f>
        <v>118485</v>
      </c>
      <c r="B5163" s="2" t="str">
        <f>IFERROR(__xludf.DUMMYFUNCTION("""COMPUTED_VALUE"""),"Arts")</f>
        <v>Arts</v>
      </c>
      <c r="C5163" s="2" t="str">
        <f>IFERROR(__xludf.DUMMYFUNCTION("""COMPUTED_VALUE"""),"Graphic Design")</f>
        <v>Graphic Design</v>
      </c>
      <c r="D5163" s="2" t="str">
        <f>IFERROR(__xludf.DUMMYFUNCTION("""COMPUTED_VALUE"""),"Oakcrest Publishing")</f>
        <v>Oakcrest Publishing</v>
      </c>
      <c r="E5163" s="2">
        <f>IFERROR(__xludf.DUMMYFUNCTION("""COMPUTED_VALUE"""),2.18)</f>
        <v>2.18</v>
      </c>
      <c r="F5163" s="2"/>
      <c r="G5163" s="2"/>
      <c r="H5163" s="2"/>
      <c r="I5163" s="2"/>
    </row>
    <row r="5164">
      <c r="A5164" s="2">
        <f>IFERROR(__xludf.DUMMYFUNCTION("""COMPUTED_VALUE"""),110565.0)</f>
        <v>110565</v>
      </c>
      <c r="B5164" s="2" t="str">
        <f>IFERROR(__xludf.DUMMYFUNCTION("""COMPUTED_VALUE"""),"Arts")</f>
        <v>Arts</v>
      </c>
      <c r="C5164" s="2" t="str">
        <f>IFERROR(__xludf.DUMMYFUNCTION("""COMPUTED_VALUE"""),"Graphic Design")</f>
        <v>Graphic Design</v>
      </c>
      <c r="D5164" s="2" t="str">
        <f>IFERROR(__xludf.DUMMYFUNCTION("""COMPUTED_VALUE"""),"Oakcrest Publishing")</f>
        <v>Oakcrest Publishing</v>
      </c>
      <c r="E5164" s="2">
        <f>IFERROR(__xludf.DUMMYFUNCTION("""COMPUTED_VALUE"""),1.23)</f>
        <v>1.23</v>
      </c>
      <c r="F5164" s="2"/>
      <c r="G5164" s="2"/>
      <c r="H5164" s="2"/>
      <c r="I5164" s="2"/>
    </row>
    <row r="5165">
      <c r="A5165" s="2">
        <f>IFERROR(__xludf.DUMMYFUNCTION("""COMPUTED_VALUE"""),118484.0)</f>
        <v>118484</v>
      </c>
      <c r="B5165" s="2" t="str">
        <f>IFERROR(__xludf.DUMMYFUNCTION("""COMPUTED_VALUE"""),"Arts")</f>
        <v>Arts</v>
      </c>
      <c r="C5165" s="2" t="str">
        <f>IFERROR(__xludf.DUMMYFUNCTION("""COMPUTED_VALUE"""),"Graphic Design")</f>
        <v>Graphic Design</v>
      </c>
      <c r="D5165" s="2" t="str">
        <f>IFERROR(__xludf.DUMMYFUNCTION("""COMPUTED_VALUE"""),"Oakcrest Publishing")</f>
        <v>Oakcrest Publishing</v>
      </c>
      <c r="E5165" s="2">
        <f>IFERROR(__xludf.DUMMYFUNCTION("""COMPUTED_VALUE"""),2.93)</f>
        <v>2.93</v>
      </c>
      <c r="F5165" s="2"/>
      <c r="G5165" s="2"/>
      <c r="H5165" s="2"/>
      <c r="I5165" s="2"/>
    </row>
    <row r="5166">
      <c r="A5166" s="2">
        <f>IFERROR(__xludf.DUMMYFUNCTION("""COMPUTED_VALUE"""),107652.0)</f>
        <v>107652</v>
      </c>
      <c r="B5166" s="2" t="str">
        <f>IFERROR(__xludf.DUMMYFUNCTION("""COMPUTED_VALUE"""),"Arts")</f>
        <v>Arts</v>
      </c>
      <c r="C5166" s="2" t="str">
        <f>IFERROR(__xludf.DUMMYFUNCTION("""COMPUTED_VALUE"""),"Graphic Design")</f>
        <v>Graphic Design</v>
      </c>
      <c r="D5166" s="2" t="str">
        <f>IFERROR(__xludf.DUMMYFUNCTION("""COMPUTED_VALUE"""),"Oakcrest Publishing")</f>
        <v>Oakcrest Publishing</v>
      </c>
      <c r="E5166" s="2">
        <f>IFERROR(__xludf.DUMMYFUNCTION("""COMPUTED_VALUE"""),2.7)</f>
        <v>2.7</v>
      </c>
      <c r="F5166" s="2"/>
      <c r="G5166" s="2"/>
      <c r="H5166" s="2"/>
      <c r="I5166" s="2"/>
    </row>
    <row r="5167">
      <c r="A5167" s="2">
        <f>IFERROR(__xludf.DUMMYFUNCTION("""COMPUTED_VALUE"""),107673.0)</f>
        <v>107673</v>
      </c>
      <c r="B5167" s="2" t="str">
        <f>IFERROR(__xludf.DUMMYFUNCTION("""COMPUTED_VALUE"""),"Arts")</f>
        <v>Arts</v>
      </c>
      <c r="C5167" s="2" t="str">
        <f>IFERROR(__xludf.DUMMYFUNCTION("""COMPUTED_VALUE"""),"Graphic Design")</f>
        <v>Graphic Design</v>
      </c>
      <c r="D5167" s="2" t="str">
        <f>IFERROR(__xludf.DUMMYFUNCTION("""COMPUTED_VALUE"""),"Oakcrest Publishing")</f>
        <v>Oakcrest Publishing</v>
      </c>
      <c r="E5167" s="2">
        <f>IFERROR(__xludf.DUMMYFUNCTION("""COMPUTED_VALUE"""),2.7)</f>
        <v>2.7</v>
      </c>
      <c r="F5167" s="2"/>
      <c r="G5167" s="2"/>
      <c r="H5167" s="2"/>
      <c r="I5167" s="2"/>
    </row>
    <row r="5168">
      <c r="A5168" s="2">
        <f>IFERROR(__xludf.DUMMYFUNCTION("""COMPUTED_VALUE"""),107902.0)</f>
        <v>107902</v>
      </c>
      <c r="B5168" s="2" t="str">
        <f>IFERROR(__xludf.DUMMYFUNCTION("""COMPUTED_VALUE"""),"Arts")</f>
        <v>Arts</v>
      </c>
      <c r="C5168" s="2" t="str">
        <f>IFERROR(__xludf.DUMMYFUNCTION("""COMPUTED_VALUE"""),"Graphic Design")</f>
        <v>Graphic Design</v>
      </c>
      <c r="D5168" s="2" t="str">
        <f>IFERROR(__xludf.DUMMYFUNCTION("""COMPUTED_VALUE"""),"Oakcrest Publishing")</f>
        <v>Oakcrest Publishing</v>
      </c>
      <c r="E5168" s="2">
        <f>IFERROR(__xludf.DUMMYFUNCTION("""COMPUTED_VALUE"""),1.44)</f>
        <v>1.44</v>
      </c>
      <c r="F5168" s="2"/>
      <c r="G5168" s="2"/>
      <c r="H5168" s="2"/>
      <c r="I5168" s="2"/>
    </row>
    <row r="5169">
      <c r="A5169" s="2">
        <f>IFERROR(__xludf.DUMMYFUNCTION("""COMPUTED_VALUE"""),19340.0)</f>
        <v>19340</v>
      </c>
      <c r="B5169" s="2" t="str">
        <f>IFERROR(__xludf.DUMMYFUNCTION("""COMPUTED_VALUE"""),"Arts")</f>
        <v>Arts</v>
      </c>
      <c r="C5169" s="2" t="str">
        <f>IFERROR(__xludf.DUMMYFUNCTION("""COMPUTED_VALUE"""),"Graphic Design")</f>
        <v>Graphic Design</v>
      </c>
      <c r="D5169" s="2" t="str">
        <f>IFERROR(__xludf.DUMMYFUNCTION("""COMPUTED_VALUE"""),"Oakcrest Publishing")</f>
        <v>Oakcrest Publishing</v>
      </c>
      <c r="E5169" s="2">
        <f>IFERROR(__xludf.DUMMYFUNCTION("""COMPUTED_VALUE"""),2.11)</f>
        <v>2.11</v>
      </c>
      <c r="F5169" s="2"/>
      <c r="G5169" s="2"/>
      <c r="H5169" s="2"/>
      <c r="I5169" s="2"/>
    </row>
    <row r="5170">
      <c r="A5170" s="2">
        <f>IFERROR(__xludf.DUMMYFUNCTION("""COMPUTED_VALUE"""),69190.0)</f>
        <v>69190</v>
      </c>
      <c r="B5170" s="2" t="str">
        <f>IFERROR(__xludf.DUMMYFUNCTION("""COMPUTED_VALUE"""),"Arts")</f>
        <v>Arts</v>
      </c>
      <c r="C5170" s="2" t="str">
        <f>IFERROR(__xludf.DUMMYFUNCTION("""COMPUTED_VALUE"""),"Graphic Design")</f>
        <v>Graphic Design</v>
      </c>
      <c r="D5170" s="2" t="str">
        <f>IFERROR(__xludf.DUMMYFUNCTION("""COMPUTED_VALUE"""),"Oakcrest Publishing")</f>
        <v>Oakcrest Publishing</v>
      </c>
      <c r="E5170" s="2">
        <f>IFERROR(__xludf.DUMMYFUNCTION("""COMPUTED_VALUE"""),2.31)</f>
        <v>2.31</v>
      </c>
      <c r="F5170" s="2"/>
      <c r="G5170" s="2"/>
      <c r="H5170" s="2"/>
      <c r="I5170" s="2"/>
    </row>
    <row r="5171">
      <c r="A5171" s="2">
        <f>IFERROR(__xludf.DUMMYFUNCTION("""COMPUTED_VALUE"""),48451.0)</f>
        <v>48451</v>
      </c>
      <c r="B5171" s="2" t="str">
        <f>IFERROR(__xludf.DUMMYFUNCTION("""COMPUTED_VALUE"""),"Arts")</f>
        <v>Arts</v>
      </c>
      <c r="C5171" s="2" t="str">
        <f>IFERROR(__xludf.DUMMYFUNCTION("""COMPUTED_VALUE"""),"Graphic Design")</f>
        <v>Graphic Design</v>
      </c>
      <c r="D5171" s="2" t="str">
        <f>IFERROR(__xludf.DUMMYFUNCTION("""COMPUTED_VALUE"""),"Oakcrest Publishing")</f>
        <v>Oakcrest Publishing</v>
      </c>
      <c r="E5171" s="2">
        <f>IFERROR(__xludf.DUMMYFUNCTION("""COMPUTED_VALUE"""),3.34)</f>
        <v>3.34</v>
      </c>
      <c r="F5171" s="2"/>
      <c r="G5171" s="2"/>
      <c r="H5171" s="2"/>
      <c r="I5171" s="2"/>
    </row>
    <row r="5172">
      <c r="A5172" s="2">
        <f>IFERROR(__xludf.DUMMYFUNCTION("""COMPUTED_VALUE"""),19339.0)</f>
        <v>19339</v>
      </c>
      <c r="B5172" s="2" t="str">
        <f>IFERROR(__xludf.DUMMYFUNCTION("""COMPUTED_VALUE"""),"Arts")</f>
        <v>Arts</v>
      </c>
      <c r="C5172" s="2" t="str">
        <f>IFERROR(__xludf.DUMMYFUNCTION("""COMPUTED_VALUE"""),"Graphic Design")</f>
        <v>Graphic Design</v>
      </c>
      <c r="D5172" s="2" t="str">
        <f>IFERROR(__xludf.DUMMYFUNCTION("""COMPUTED_VALUE"""),"Oakcrest Publishing")</f>
        <v>Oakcrest Publishing</v>
      </c>
      <c r="E5172" s="2">
        <f>IFERROR(__xludf.DUMMYFUNCTION("""COMPUTED_VALUE"""),2.19)</f>
        <v>2.19</v>
      </c>
      <c r="F5172" s="2"/>
      <c r="G5172" s="2"/>
      <c r="H5172" s="2"/>
      <c r="I5172" s="2"/>
    </row>
    <row r="5173">
      <c r="A5173" s="2">
        <f>IFERROR(__xludf.DUMMYFUNCTION("""COMPUTED_VALUE"""),69195.0)</f>
        <v>69195</v>
      </c>
      <c r="B5173" s="2" t="str">
        <f>IFERROR(__xludf.DUMMYFUNCTION("""COMPUTED_VALUE"""),"Arts")</f>
        <v>Arts</v>
      </c>
      <c r="C5173" s="2" t="str">
        <f>IFERROR(__xludf.DUMMYFUNCTION("""COMPUTED_VALUE"""),"Graphic Design")</f>
        <v>Graphic Design</v>
      </c>
      <c r="D5173" s="2" t="str">
        <f>IFERROR(__xludf.DUMMYFUNCTION("""COMPUTED_VALUE"""),"Oakcrest Publishing")</f>
        <v>Oakcrest Publishing</v>
      </c>
      <c r="E5173" s="2">
        <f>IFERROR(__xludf.DUMMYFUNCTION("""COMPUTED_VALUE"""),3.05)</f>
        <v>3.05</v>
      </c>
      <c r="F5173" s="2"/>
      <c r="G5173" s="2"/>
      <c r="H5173" s="2"/>
      <c r="I5173" s="2"/>
    </row>
    <row r="5174">
      <c r="A5174" s="2">
        <f>IFERROR(__xludf.DUMMYFUNCTION("""COMPUTED_VALUE"""),77192.0)</f>
        <v>77192</v>
      </c>
      <c r="B5174" s="2" t="str">
        <f>IFERROR(__xludf.DUMMYFUNCTION("""COMPUTED_VALUE"""),"Arts")</f>
        <v>Arts</v>
      </c>
      <c r="C5174" s="2" t="str">
        <f>IFERROR(__xludf.DUMMYFUNCTION("""COMPUTED_VALUE"""),"Graphic Design")</f>
        <v>Graphic Design</v>
      </c>
      <c r="D5174" s="2" t="str">
        <f>IFERROR(__xludf.DUMMYFUNCTION("""COMPUTED_VALUE"""),"Oakcrest Publishing")</f>
        <v>Oakcrest Publishing</v>
      </c>
      <c r="E5174" s="2">
        <f>IFERROR(__xludf.DUMMYFUNCTION("""COMPUTED_VALUE"""),1.12)</f>
        <v>1.12</v>
      </c>
      <c r="F5174" s="2"/>
      <c r="G5174" s="2"/>
      <c r="H5174" s="2"/>
      <c r="I5174" s="2"/>
    </row>
    <row r="5175">
      <c r="A5175" s="2">
        <f>IFERROR(__xludf.DUMMYFUNCTION("""COMPUTED_VALUE"""),95922.0)</f>
        <v>95922</v>
      </c>
      <c r="B5175" s="2" t="str">
        <f>IFERROR(__xludf.DUMMYFUNCTION("""COMPUTED_VALUE"""),"Arts")</f>
        <v>Arts</v>
      </c>
      <c r="C5175" s="2" t="str">
        <f>IFERROR(__xludf.DUMMYFUNCTION("""COMPUTED_VALUE"""),"Graphic Design")</f>
        <v>Graphic Design</v>
      </c>
      <c r="D5175" s="2" t="str">
        <f>IFERROR(__xludf.DUMMYFUNCTION("""COMPUTED_VALUE"""),"Oakcrest Publishing")</f>
        <v>Oakcrest Publishing</v>
      </c>
      <c r="E5175" s="2">
        <f>IFERROR(__xludf.DUMMYFUNCTION("""COMPUTED_VALUE"""),2.77)</f>
        <v>2.77</v>
      </c>
      <c r="F5175" s="2"/>
      <c r="G5175" s="2"/>
      <c r="H5175" s="2"/>
      <c r="I5175" s="2"/>
    </row>
    <row r="5176">
      <c r="A5176" s="2">
        <f>IFERROR(__xludf.DUMMYFUNCTION("""COMPUTED_VALUE"""),116779.0)</f>
        <v>116779</v>
      </c>
      <c r="B5176" s="2" t="str">
        <f>IFERROR(__xludf.DUMMYFUNCTION("""COMPUTED_VALUE"""),"Arts")</f>
        <v>Arts</v>
      </c>
      <c r="C5176" s="2" t="str">
        <f>IFERROR(__xludf.DUMMYFUNCTION("""COMPUTED_VALUE"""),"Graphic Design")</f>
        <v>Graphic Design</v>
      </c>
      <c r="D5176" s="2" t="str">
        <f>IFERROR(__xludf.DUMMYFUNCTION("""COMPUTED_VALUE"""),"Oakcrest Publishing")</f>
        <v>Oakcrest Publishing</v>
      </c>
      <c r="E5176" s="2">
        <f>IFERROR(__xludf.DUMMYFUNCTION("""COMPUTED_VALUE"""),3.07)</f>
        <v>3.07</v>
      </c>
      <c r="F5176" s="2"/>
      <c r="G5176" s="2"/>
      <c r="H5176" s="2"/>
      <c r="I5176" s="2"/>
    </row>
    <row r="5177">
      <c r="A5177" s="2">
        <f>IFERROR(__xludf.DUMMYFUNCTION("""COMPUTED_VALUE"""),69238.0)</f>
        <v>69238</v>
      </c>
      <c r="B5177" s="2" t="str">
        <f>IFERROR(__xludf.DUMMYFUNCTION("""COMPUTED_VALUE"""),"Arts")</f>
        <v>Arts</v>
      </c>
      <c r="C5177" s="2" t="str">
        <f>IFERROR(__xludf.DUMMYFUNCTION("""COMPUTED_VALUE"""),"Graphic Design")</f>
        <v>Graphic Design</v>
      </c>
      <c r="D5177" s="2" t="str">
        <f>IFERROR(__xludf.DUMMYFUNCTION("""COMPUTED_VALUE"""),"Oakcrest Publishing")</f>
        <v>Oakcrest Publishing</v>
      </c>
      <c r="E5177" s="2">
        <f>IFERROR(__xludf.DUMMYFUNCTION("""COMPUTED_VALUE"""),3.87)</f>
        <v>3.87</v>
      </c>
      <c r="F5177" s="2"/>
      <c r="G5177" s="2"/>
      <c r="H5177" s="2"/>
      <c r="I5177" s="2"/>
    </row>
    <row r="5178">
      <c r="A5178" s="2">
        <f>IFERROR(__xludf.DUMMYFUNCTION("""COMPUTED_VALUE"""),19337.0)</f>
        <v>19337</v>
      </c>
      <c r="B5178" s="2" t="str">
        <f>IFERROR(__xludf.DUMMYFUNCTION("""COMPUTED_VALUE"""),"Arts")</f>
        <v>Arts</v>
      </c>
      <c r="C5178" s="2" t="str">
        <f>IFERROR(__xludf.DUMMYFUNCTION("""COMPUTED_VALUE"""),"Graphic Design")</f>
        <v>Graphic Design</v>
      </c>
      <c r="D5178" s="2" t="str">
        <f>IFERROR(__xludf.DUMMYFUNCTION("""COMPUTED_VALUE"""),"Oakcrest Publishing")</f>
        <v>Oakcrest Publishing</v>
      </c>
      <c r="E5178" s="2">
        <f>IFERROR(__xludf.DUMMYFUNCTION("""COMPUTED_VALUE"""),1.42)</f>
        <v>1.42</v>
      </c>
      <c r="F5178" s="2"/>
      <c r="G5178" s="2"/>
      <c r="H5178" s="2"/>
      <c r="I5178" s="2"/>
    </row>
    <row r="5179">
      <c r="A5179" s="2">
        <f>IFERROR(__xludf.DUMMYFUNCTION("""COMPUTED_VALUE"""),19326.0)</f>
        <v>19326</v>
      </c>
      <c r="B5179" s="2" t="str">
        <f>IFERROR(__xludf.DUMMYFUNCTION("""COMPUTED_VALUE"""),"Arts")</f>
        <v>Arts</v>
      </c>
      <c r="C5179" s="2" t="str">
        <f>IFERROR(__xludf.DUMMYFUNCTION("""COMPUTED_VALUE"""),"Graphic Design")</f>
        <v>Graphic Design</v>
      </c>
      <c r="D5179" s="2" t="str">
        <f>IFERROR(__xludf.DUMMYFUNCTION("""COMPUTED_VALUE"""),"Oakcrest Publishing")</f>
        <v>Oakcrest Publishing</v>
      </c>
      <c r="E5179" s="2">
        <f>IFERROR(__xludf.DUMMYFUNCTION("""COMPUTED_VALUE"""),3.18)</f>
        <v>3.18</v>
      </c>
      <c r="F5179" s="2"/>
      <c r="G5179" s="2"/>
      <c r="H5179" s="2"/>
      <c r="I5179" s="2"/>
    </row>
    <row r="5180">
      <c r="A5180" s="2">
        <f>IFERROR(__xludf.DUMMYFUNCTION("""COMPUTED_VALUE"""),69251.0)</f>
        <v>69251</v>
      </c>
      <c r="B5180" s="2" t="str">
        <f>IFERROR(__xludf.DUMMYFUNCTION("""COMPUTED_VALUE"""),"Arts")</f>
        <v>Arts</v>
      </c>
      <c r="C5180" s="2" t="str">
        <f>IFERROR(__xludf.DUMMYFUNCTION("""COMPUTED_VALUE"""),"Graphic Design")</f>
        <v>Graphic Design</v>
      </c>
      <c r="D5180" s="2" t="str">
        <f>IFERROR(__xludf.DUMMYFUNCTION("""COMPUTED_VALUE"""),"Oakcrest Publishing")</f>
        <v>Oakcrest Publishing</v>
      </c>
      <c r="E5180" s="2">
        <f>IFERROR(__xludf.DUMMYFUNCTION("""COMPUTED_VALUE"""),3.65)</f>
        <v>3.65</v>
      </c>
      <c r="F5180" s="2"/>
      <c r="G5180" s="2"/>
      <c r="H5180" s="2"/>
      <c r="I5180" s="2"/>
    </row>
    <row r="5181">
      <c r="A5181" s="2">
        <f>IFERROR(__xludf.DUMMYFUNCTION("""COMPUTED_VALUE"""),81871.0)</f>
        <v>81871</v>
      </c>
      <c r="B5181" s="2" t="str">
        <f>IFERROR(__xludf.DUMMYFUNCTION("""COMPUTED_VALUE"""),"Arts")</f>
        <v>Arts</v>
      </c>
      <c r="C5181" s="2" t="str">
        <f>IFERROR(__xludf.DUMMYFUNCTION("""COMPUTED_VALUE"""),"Graphic Design")</f>
        <v>Graphic Design</v>
      </c>
      <c r="D5181" s="2" t="str">
        <f>IFERROR(__xludf.DUMMYFUNCTION("""COMPUTED_VALUE"""),"Oakcrest Publishing")</f>
        <v>Oakcrest Publishing</v>
      </c>
      <c r="E5181" s="2">
        <f>IFERROR(__xludf.DUMMYFUNCTION("""COMPUTED_VALUE"""),3.81)</f>
        <v>3.81</v>
      </c>
      <c r="F5181" s="2"/>
      <c r="G5181" s="2"/>
      <c r="H5181" s="2"/>
      <c r="I5181" s="2"/>
    </row>
    <row r="5182">
      <c r="A5182" s="2">
        <f>IFERROR(__xludf.DUMMYFUNCTION("""COMPUTED_VALUE"""),19321.0)</f>
        <v>19321</v>
      </c>
      <c r="B5182" s="2" t="str">
        <f>IFERROR(__xludf.DUMMYFUNCTION("""COMPUTED_VALUE"""),"Arts")</f>
        <v>Arts</v>
      </c>
      <c r="C5182" s="2" t="str">
        <f>IFERROR(__xludf.DUMMYFUNCTION("""COMPUTED_VALUE"""),"Graphic Design")</f>
        <v>Graphic Design</v>
      </c>
      <c r="D5182" s="2" t="str">
        <f>IFERROR(__xludf.DUMMYFUNCTION("""COMPUTED_VALUE"""),"Oakcrest Publishing")</f>
        <v>Oakcrest Publishing</v>
      </c>
      <c r="E5182" s="2">
        <f>IFERROR(__xludf.DUMMYFUNCTION("""COMPUTED_VALUE"""),3.19)</f>
        <v>3.19</v>
      </c>
      <c r="F5182" s="2"/>
      <c r="G5182" s="2"/>
      <c r="H5182" s="2"/>
      <c r="I5182" s="2"/>
    </row>
    <row r="5183">
      <c r="A5183" s="2">
        <f>IFERROR(__xludf.DUMMYFUNCTION("""COMPUTED_VALUE"""),117618.0)</f>
        <v>117618</v>
      </c>
      <c r="B5183" s="2" t="str">
        <f>IFERROR(__xludf.DUMMYFUNCTION("""COMPUTED_VALUE"""),"Medical")</f>
        <v>Medical</v>
      </c>
      <c r="C5183" s="2" t="str">
        <f>IFERROR(__xludf.DUMMYFUNCTION("""COMPUTED_VALUE"""),"Illustration")</f>
        <v>Illustration</v>
      </c>
      <c r="D5183" s="2"/>
      <c r="E5183" s="2">
        <f>IFERROR(__xludf.DUMMYFUNCTION("""COMPUTED_VALUE"""),2.79)</f>
        <v>2.79</v>
      </c>
      <c r="F5183" s="2"/>
      <c r="G5183" s="2"/>
      <c r="H5183" s="2"/>
      <c r="I5183" s="2"/>
    </row>
    <row r="5184">
      <c r="A5184" s="2">
        <f>IFERROR(__xludf.DUMMYFUNCTION("""COMPUTED_VALUE"""),117623.0)</f>
        <v>117623</v>
      </c>
      <c r="B5184" s="2" t="str">
        <f>IFERROR(__xludf.DUMMYFUNCTION("""COMPUTED_VALUE"""),"Medical")</f>
        <v>Medical</v>
      </c>
      <c r="C5184" s="2" t="str">
        <f>IFERROR(__xludf.DUMMYFUNCTION("""COMPUTED_VALUE"""),"Illustration")</f>
        <v>Illustration</v>
      </c>
      <c r="D5184" s="2"/>
      <c r="E5184" s="2">
        <f>IFERROR(__xludf.DUMMYFUNCTION("""COMPUTED_VALUE"""),2.76)</f>
        <v>2.76</v>
      </c>
      <c r="F5184" s="2"/>
      <c r="G5184" s="2"/>
      <c r="H5184" s="2"/>
      <c r="I5184" s="2"/>
    </row>
    <row r="5185">
      <c r="A5185" s="2">
        <f>IFERROR(__xludf.DUMMYFUNCTION("""COMPUTED_VALUE"""),117614.0)</f>
        <v>117614</v>
      </c>
      <c r="B5185" s="2" t="str">
        <f>IFERROR(__xludf.DUMMYFUNCTION("""COMPUTED_VALUE"""),"Medical")</f>
        <v>Medical</v>
      </c>
      <c r="C5185" s="2" t="str">
        <f>IFERROR(__xludf.DUMMYFUNCTION("""COMPUTED_VALUE"""),"Illustration")</f>
        <v>Illustration</v>
      </c>
      <c r="D5185" s="2"/>
      <c r="E5185" s="2">
        <f>IFERROR(__xludf.DUMMYFUNCTION("""COMPUTED_VALUE"""),2.54)</f>
        <v>2.54</v>
      </c>
      <c r="F5185" s="2"/>
      <c r="G5185" s="2"/>
      <c r="H5185" s="2"/>
      <c r="I5185" s="2"/>
    </row>
    <row r="5186">
      <c r="A5186" s="2">
        <f>IFERROR(__xludf.DUMMYFUNCTION("""COMPUTED_VALUE"""),14393.0)</f>
        <v>14393</v>
      </c>
      <c r="B5186" s="2" t="str">
        <f>IFERROR(__xludf.DUMMYFUNCTION("""COMPUTED_VALUE"""),"Medical")</f>
        <v>Medical</v>
      </c>
      <c r="C5186" s="2" t="str">
        <f>IFERROR(__xludf.DUMMYFUNCTION("""COMPUTED_VALUE"""),"Illustration")</f>
        <v>Illustration</v>
      </c>
      <c r="D5186" s="2" t="str">
        <f>IFERROR(__xludf.DUMMYFUNCTION("""COMPUTED_VALUE"""),"Rivercrest Publishing")</f>
        <v>Rivercrest Publishing</v>
      </c>
      <c r="E5186" s="2">
        <f>IFERROR(__xludf.DUMMYFUNCTION("""COMPUTED_VALUE"""),2.02)</f>
        <v>2.02</v>
      </c>
      <c r="F5186" s="2"/>
      <c r="G5186" s="2"/>
      <c r="H5186" s="2"/>
      <c r="I5186" s="2"/>
    </row>
    <row r="5187">
      <c r="A5187" s="2">
        <f>IFERROR(__xludf.DUMMYFUNCTION("""COMPUTED_VALUE"""),70419.0)</f>
        <v>70419</v>
      </c>
      <c r="B5187" s="2" t="str">
        <f>IFERROR(__xludf.DUMMYFUNCTION("""COMPUTED_VALUE"""),"Medical")</f>
        <v>Medical</v>
      </c>
      <c r="C5187" s="2" t="str">
        <f>IFERROR(__xludf.DUMMYFUNCTION("""COMPUTED_VALUE"""),"Illustration")</f>
        <v>Illustration</v>
      </c>
      <c r="D5187" s="2" t="str">
        <f>IFERROR(__xludf.DUMMYFUNCTION("""COMPUTED_VALUE"""),"Rivercrest Publishing")</f>
        <v>Rivercrest Publishing</v>
      </c>
      <c r="E5187" s="2">
        <f>IFERROR(__xludf.DUMMYFUNCTION("""COMPUTED_VALUE"""),2.52)</f>
        <v>2.52</v>
      </c>
      <c r="F5187" s="2"/>
      <c r="G5187" s="2"/>
      <c r="H5187" s="2"/>
      <c r="I5187" s="2"/>
    </row>
    <row r="5188">
      <c r="A5188" s="2">
        <f>IFERROR(__xludf.DUMMYFUNCTION("""COMPUTED_VALUE"""),111147.0)</f>
        <v>111147</v>
      </c>
      <c r="B5188" s="2" t="str">
        <f>IFERROR(__xludf.DUMMYFUNCTION("""COMPUTED_VALUE"""),"Medical")</f>
        <v>Medical</v>
      </c>
      <c r="C5188" s="2" t="str">
        <f>IFERROR(__xludf.DUMMYFUNCTION("""COMPUTED_VALUE"""),"Illustration")</f>
        <v>Illustration</v>
      </c>
      <c r="D5188" s="2" t="str">
        <f>IFERROR(__xludf.DUMMYFUNCTION("""COMPUTED_VALUE"""),"Rivercrest Publishing")</f>
        <v>Rivercrest Publishing</v>
      </c>
      <c r="E5188" s="2">
        <f>IFERROR(__xludf.DUMMYFUNCTION("""COMPUTED_VALUE"""),1.43)</f>
        <v>1.43</v>
      </c>
      <c r="F5188" s="2"/>
      <c r="G5188" s="2"/>
      <c r="H5188" s="2"/>
      <c r="I5188" s="2"/>
    </row>
    <row r="5189">
      <c r="A5189" s="2">
        <f>IFERROR(__xludf.DUMMYFUNCTION("""COMPUTED_VALUE"""),4325.0)</f>
        <v>4325</v>
      </c>
      <c r="B5189" s="2" t="str">
        <f>IFERROR(__xludf.DUMMYFUNCTION("""COMPUTED_VALUE"""),"Medical")</f>
        <v>Medical</v>
      </c>
      <c r="C5189" s="2" t="str">
        <f>IFERROR(__xludf.DUMMYFUNCTION("""COMPUTED_VALUE"""),"Illustration")</f>
        <v>Illustration</v>
      </c>
      <c r="D5189" s="2" t="str">
        <f>IFERROR(__xludf.DUMMYFUNCTION("""COMPUTED_VALUE"""),"Rivercrest Publishing")</f>
        <v>Rivercrest Publishing</v>
      </c>
      <c r="E5189" s="2">
        <f>IFERROR(__xludf.DUMMYFUNCTION("""COMPUTED_VALUE"""),1.99)</f>
        <v>1.99</v>
      </c>
      <c r="F5189" s="2"/>
      <c r="G5189" s="2"/>
      <c r="H5189" s="2"/>
      <c r="I5189" s="2"/>
    </row>
    <row r="5190">
      <c r="A5190" s="2">
        <f>IFERROR(__xludf.DUMMYFUNCTION("""COMPUTED_VALUE"""),4321.0)</f>
        <v>4321</v>
      </c>
      <c r="B5190" s="2" t="str">
        <f>IFERROR(__xludf.DUMMYFUNCTION("""COMPUTED_VALUE"""),"Medical")</f>
        <v>Medical</v>
      </c>
      <c r="C5190" s="2" t="str">
        <f>IFERROR(__xludf.DUMMYFUNCTION("""COMPUTED_VALUE"""),"Illustration")</f>
        <v>Illustration</v>
      </c>
      <c r="D5190" s="2" t="str">
        <f>IFERROR(__xludf.DUMMYFUNCTION("""COMPUTED_VALUE"""),"Rivercrest Publishing")</f>
        <v>Rivercrest Publishing</v>
      </c>
      <c r="E5190" s="2">
        <f>IFERROR(__xludf.DUMMYFUNCTION("""COMPUTED_VALUE"""),2.09)</f>
        <v>2.09</v>
      </c>
      <c r="F5190" s="2"/>
      <c r="G5190" s="2"/>
      <c r="H5190" s="2"/>
      <c r="I5190" s="2"/>
    </row>
    <row r="5191">
      <c r="A5191" s="2">
        <f>IFERROR(__xludf.DUMMYFUNCTION("""COMPUTED_VALUE"""),70418.0)</f>
        <v>70418</v>
      </c>
      <c r="B5191" s="2" t="str">
        <f>IFERROR(__xludf.DUMMYFUNCTION("""COMPUTED_VALUE"""),"Medical")</f>
        <v>Medical</v>
      </c>
      <c r="C5191" s="2" t="str">
        <f>IFERROR(__xludf.DUMMYFUNCTION("""COMPUTED_VALUE"""),"Illustration")</f>
        <v>Illustration</v>
      </c>
      <c r="D5191" s="2" t="str">
        <f>IFERROR(__xludf.DUMMYFUNCTION("""COMPUTED_VALUE"""),"Rivercrest Publishing")</f>
        <v>Rivercrest Publishing</v>
      </c>
      <c r="E5191" s="2">
        <f>IFERROR(__xludf.DUMMYFUNCTION("""COMPUTED_VALUE"""),2.24)</f>
        <v>2.24</v>
      </c>
      <c r="F5191" s="2"/>
      <c r="G5191" s="2"/>
      <c r="H5191" s="2"/>
      <c r="I5191" s="2"/>
    </row>
    <row r="5192">
      <c r="A5192" s="2">
        <f>IFERROR(__xludf.DUMMYFUNCTION("""COMPUTED_VALUE"""),80648.0)</f>
        <v>80648</v>
      </c>
      <c r="B5192" s="2" t="str">
        <f>IFERROR(__xludf.DUMMYFUNCTION("""COMPUTED_VALUE"""),"Medical")</f>
        <v>Medical</v>
      </c>
      <c r="C5192" s="2" t="str">
        <f>IFERROR(__xludf.DUMMYFUNCTION("""COMPUTED_VALUE"""),"Illustration")</f>
        <v>Illustration</v>
      </c>
      <c r="D5192" s="2" t="str">
        <f>IFERROR(__xludf.DUMMYFUNCTION("""COMPUTED_VALUE"""),"Rivercrest Publishing")</f>
        <v>Rivercrest Publishing</v>
      </c>
      <c r="E5192" s="2">
        <f>IFERROR(__xludf.DUMMYFUNCTION("""COMPUTED_VALUE"""),2.44)</f>
        <v>2.44</v>
      </c>
      <c r="F5192" s="2"/>
      <c r="G5192" s="2"/>
      <c r="H5192" s="2"/>
      <c r="I5192" s="2"/>
    </row>
    <row r="5193">
      <c r="A5193" s="2">
        <f>IFERROR(__xludf.DUMMYFUNCTION("""COMPUTED_VALUE"""),70417.0)</f>
        <v>70417</v>
      </c>
      <c r="B5193" s="2" t="str">
        <f>IFERROR(__xludf.DUMMYFUNCTION("""COMPUTED_VALUE"""),"Medical")</f>
        <v>Medical</v>
      </c>
      <c r="C5193" s="2" t="str">
        <f>IFERROR(__xludf.DUMMYFUNCTION("""COMPUTED_VALUE"""),"Illustration")</f>
        <v>Illustration</v>
      </c>
      <c r="D5193" s="2" t="str">
        <f>IFERROR(__xludf.DUMMYFUNCTION("""COMPUTED_VALUE"""),"Rivercrest Publishing")</f>
        <v>Rivercrest Publishing</v>
      </c>
      <c r="E5193" s="2">
        <f>IFERROR(__xludf.DUMMYFUNCTION("""COMPUTED_VALUE"""),2.14)</f>
        <v>2.14</v>
      </c>
      <c r="F5193" s="2"/>
      <c r="G5193" s="2"/>
      <c r="H5193" s="2"/>
      <c r="I5193" s="2"/>
    </row>
    <row r="5194">
      <c r="A5194" s="2">
        <f>IFERROR(__xludf.DUMMYFUNCTION("""COMPUTED_VALUE"""),79420.0)</f>
        <v>79420</v>
      </c>
      <c r="B5194" s="2" t="str">
        <f>IFERROR(__xludf.DUMMYFUNCTION("""COMPUTED_VALUE"""),"Medical")</f>
        <v>Medical</v>
      </c>
      <c r="C5194" s="2" t="str">
        <f>IFERROR(__xludf.DUMMYFUNCTION("""COMPUTED_VALUE"""),"Illustration")</f>
        <v>Illustration</v>
      </c>
      <c r="D5194" s="2" t="str">
        <f>IFERROR(__xludf.DUMMYFUNCTION("""COMPUTED_VALUE"""),"Rivercrest Publishing")</f>
        <v>Rivercrest Publishing</v>
      </c>
      <c r="E5194" s="2">
        <f>IFERROR(__xludf.DUMMYFUNCTION("""COMPUTED_VALUE"""),2.45)</f>
        <v>2.45</v>
      </c>
      <c r="F5194" s="2"/>
      <c r="G5194" s="2"/>
      <c r="H5194" s="2"/>
      <c r="I5194" s="2"/>
    </row>
    <row r="5195">
      <c r="A5195" s="2">
        <f>IFERROR(__xludf.DUMMYFUNCTION("""COMPUTED_VALUE"""),4327.0)</f>
        <v>4327</v>
      </c>
      <c r="B5195" s="2" t="str">
        <f>IFERROR(__xludf.DUMMYFUNCTION("""COMPUTED_VALUE"""),"Medical")</f>
        <v>Medical</v>
      </c>
      <c r="C5195" s="2" t="str">
        <f>IFERROR(__xludf.DUMMYFUNCTION("""COMPUTED_VALUE"""),"Illustration")</f>
        <v>Illustration</v>
      </c>
      <c r="D5195" s="2" t="str">
        <f>IFERROR(__xludf.DUMMYFUNCTION("""COMPUTED_VALUE"""),"Rivercrest Publishing")</f>
        <v>Rivercrest Publishing</v>
      </c>
      <c r="E5195" s="2">
        <f>IFERROR(__xludf.DUMMYFUNCTION("""COMPUTED_VALUE"""),2.01)</f>
        <v>2.01</v>
      </c>
      <c r="F5195" s="2"/>
      <c r="G5195" s="2"/>
      <c r="H5195" s="2"/>
      <c r="I5195" s="2"/>
    </row>
    <row r="5196">
      <c r="A5196" s="2">
        <f>IFERROR(__xludf.DUMMYFUNCTION("""COMPUTED_VALUE"""),89505.0)</f>
        <v>89505</v>
      </c>
      <c r="B5196" s="2" t="str">
        <f>IFERROR(__xludf.DUMMYFUNCTION("""COMPUTED_VALUE"""),"Medical")</f>
        <v>Medical</v>
      </c>
      <c r="C5196" s="2" t="str">
        <f>IFERROR(__xludf.DUMMYFUNCTION("""COMPUTED_VALUE"""),"Illustration")</f>
        <v>Illustration</v>
      </c>
      <c r="D5196" s="2" t="str">
        <f>IFERROR(__xludf.DUMMYFUNCTION("""COMPUTED_VALUE"""),"Rivercrest Publishing")</f>
        <v>Rivercrest Publishing</v>
      </c>
      <c r="E5196" s="2">
        <f>IFERROR(__xludf.DUMMYFUNCTION("""COMPUTED_VALUE"""),2.42)</f>
        <v>2.42</v>
      </c>
      <c r="F5196" s="2"/>
      <c r="G5196" s="2"/>
      <c r="H5196" s="2"/>
      <c r="I5196" s="2"/>
    </row>
    <row r="5197">
      <c r="A5197" s="2">
        <f>IFERROR(__xludf.DUMMYFUNCTION("""COMPUTED_VALUE"""),128344.0)</f>
        <v>128344</v>
      </c>
      <c r="B5197" s="2" t="str">
        <f>IFERROR(__xludf.DUMMYFUNCTION("""COMPUTED_VALUE"""),"Medical")</f>
        <v>Medical</v>
      </c>
      <c r="C5197" s="2" t="str">
        <f>IFERROR(__xludf.DUMMYFUNCTION("""COMPUTED_VALUE"""),"Illustration")</f>
        <v>Illustration</v>
      </c>
      <c r="D5197" s="2" t="str">
        <f>IFERROR(__xludf.DUMMYFUNCTION("""COMPUTED_VALUE"""),"Rivercrest Publishing")</f>
        <v>Rivercrest Publishing</v>
      </c>
      <c r="E5197" s="2">
        <f>IFERROR(__xludf.DUMMYFUNCTION("""COMPUTED_VALUE"""),2.02)</f>
        <v>2.02</v>
      </c>
      <c r="F5197" s="2"/>
      <c r="G5197" s="2"/>
      <c r="H5197" s="2"/>
      <c r="I5197" s="2"/>
    </row>
    <row r="5198">
      <c r="A5198" s="2">
        <f>IFERROR(__xludf.DUMMYFUNCTION("""COMPUTED_VALUE"""),79421.0)</f>
        <v>79421</v>
      </c>
      <c r="B5198" s="2" t="str">
        <f>IFERROR(__xludf.DUMMYFUNCTION("""COMPUTED_VALUE"""),"Medical")</f>
        <v>Medical</v>
      </c>
      <c r="C5198" s="2" t="str">
        <f>IFERROR(__xludf.DUMMYFUNCTION("""COMPUTED_VALUE"""),"Illustration")</f>
        <v>Illustration</v>
      </c>
      <c r="D5198" s="2" t="str">
        <f>IFERROR(__xludf.DUMMYFUNCTION("""COMPUTED_VALUE"""),"Rivercrest Publishing")</f>
        <v>Rivercrest Publishing</v>
      </c>
      <c r="E5198" s="2">
        <f>IFERROR(__xludf.DUMMYFUNCTION("""COMPUTED_VALUE"""),1.24)</f>
        <v>1.24</v>
      </c>
      <c r="F5198" s="2"/>
      <c r="G5198" s="2"/>
      <c r="H5198" s="2"/>
      <c r="I5198" s="2"/>
    </row>
    <row r="5199">
      <c r="A5199" s="2">
        <f>IFERROR(__xludf.DUMMYFUNCTION("""COMPUTED_VALUE"""),128336.0)</f>
        <v>128336</v>
      </c>
      <c r="B5199" s="2" t="str">
        <f>IFERROR(__xludf.DUMMYFUNCTION("""COMPUTED_VALUE"""),"Medical")</f>
        <v>Medical</v>
      </c>
      <c r="C5199" s="2" t="str">
        <f>IFERROR(__xludf.DUMMYFUNCTION("""COMPUTED_VALUE"""),"Illustration")</f>
        <v>Illustration</v>
      </c>
      <c r="D5199" s="2" t="str">
        <f>IFERROR(__xludf.DUMMYFUNCTION("""COMPUTED_VALUE"""),"Rivercrest Publishing")</f>
        <v>Rivercrest Publishing</v>
      </c>
      <c r="E5199" s="2">
        <f>IFERROR(__xludf.DUMMYFUNCTION("""COMPUTED_VALUE"""),2.18)</f>
        <v>2.18</v>
      </c>
      <c r="F5199" s="2"/>
      <c r="G5199" s="2"/>
      <c r="H5199" s="2"/>
      <c r="I5199" s="2"/>
    </row>
    <row r="5200">
      <c r="A5200" s="2">
        <f>IFERROR(__xludf.DUMMYFUNCTION("""COMPUTED_VALUE"""),5081.0)</f>
        <v>5081</v>
      </c>
      <c r="B5200" s="2" t="str">
        <f>IFERROR(__xludf.DUMMYFUNCTION("""COMPUTED_VALUE"""),"Medical")</f>
        <v>Medical</v>
      </c>
      <c r="C5200" s="2" t="str">
        <f>IFERROR(__xludf.DUMMYFUNCTION("""COMPUTED_VALUE"""),"Illustration")</f>
        <v>Illustration</v>
      </c>
      <c r="D5200" s="2" t="str">
        <f>IFERROR(__xludf.DUMMYFUNCTION("""COMPUTED_VALUE"""),"Rivercrest Publishing")</f>
        <v>Rivercrest Publishing</v>
      </c>
      <c r="E5200" s="2">
        <f>IFERROR(__xludf.DUMMYFUNCTION("""COMPUTED_VALUE"""),2.11)</f>
        <v>2.11</v>
      </c>
      <c r="F5200" s="2"/>
      <c r="G5200" s="2"/>
      <c r="H5200" s="2"/>
      <c r="I5200" s="2"/>
    </row>
    <row r="5201">
      <c r="A5201" s="2">
        <f>IFERROR(__xludf.DUMMYFUNCTION("""COMPUTED_VALUE"""),79423.0)</f>
        <v>79423</v>
      </c>
      <c r="B5201" s="2" t="str">
        <f>IFERROR(__xludf.DUMMYFUNCTION("""COMPUTED_VALUE"""),"Medical")</f>
        <v>Medical</v>
      </c>
      <c r="C5201" s="2" t="str">
        <f>IFERROR(__xludf.DUMMYFUNCTION("""COMPUTED_VALUE"""),"Illustration")</f>
        <v>Illustration</v>
      </c>
      <c r="D5201" s="2" t="str">
        <f>IFERROR(__xludf.DUMMYFUNCTION("""COMPUTED_VALUE"""),"Rivercrest Publishing")</f>
        <v>Rivercrest Publishing</v>
      </c>
      <c r="E5201" s="2">
        <f>IFERROR(__xludf.DUMMYFUNCTION("""COMPUTED_VALUE"""),1.7)</f>
        <v>1.7</v>
      </c>
      <c r="F5201" s="2"/>
      <c r="G5201" s="2"/>
      <c r="H5201" s="2"/>
      <c r="I5201" s="2"/>
    </row>
    <row r="5202">
      <c r="A5202" s="2">
        <f>IFERROR(__xludf.DUMMYFUNCTION("""COMPUTED_VALUE"""),116481.0)</f>
        <v>116481</v>
      </c>
      <c r="B5202" s="2" t="str">
        <f>IFERROR(__xludf.DUMMYFUNCTION("""COMPUTED_VALUE"""),"Medical")</f>
        <v>Medical</v>
      </c>
      <c r="C5202" s="2" t="str">
        <f>IFERROR(__xludf.DUMMYFUNCTION("""COMPUTED_VALUE"""),"Illustration")</f>
        <v>Illustration</v>
      </c>
      <c r="D5202" s="2" t="str">
        <f>IFERROR(__xludf.DUMMYFUNCTION("""COMPUTED_VALUE"""),"Ironcrest Publishing")</f>
        <v>Ironcrest Publishing</v>
      </c>
      <c r="E5202" s="2">
        <f>IFERROR(__xludf.DUMMYFUNCTION("""COMPUTED_VALUE"""),2.33)</f>
        <v>2.33</v>
      </c>
      <c r="F5202" s="2"/>
      <c r="G5202" s="2"/>
      <c r="H5202" s="2"/>
      <c r="I5202" s="2"/>
    </row>
    <row r="5203">
      <c r="A5203" s="2">
        <f>IFERROR(__xludf.DUMMYFUNCTION("""COMPUTED_VALUE"""),118278.0)</f>
        <v>118278</v>
      </c>
      <c r="B5203" s="2" t="str">
        <f>IFERROR(__xludf.DUMMYFUNCTION("""COMPUTED_VALUE"""),"Medical")</f>
        <v>Medical</v>
      </c>
      <c r="C5203" s="2" t="str">
        <f>IFERROR(__xludf.DUMMYFUNCTION("""COMPUTED_VALUE"""),"Illustration")</f>
        <v>Illustration</v>
      </c>
      <c r="D5203" s="2" t="str">
        <f>IFERROR(__xludf.DUMMYFUNCTION("""COMPUTED_VALUE"""),"Ironcrest Publishing")</f>
        <v>Ironcrest Publishing</v>
      </c>
      <c r="E5203" s="2">
        <f>IFERROR(__xludf.DUMMYFUNCTION("""COMPUTED_VALUE"""),1.37)</f>
        <v>1.37</v>
      </c>
      <c r="F5203" s="2"/>
      <c r="G5203" s="2"/>
      <c r="H5203" s="2"/>
      <c r="I5203" s="2"/>
    </row>
    <row r="5204">
      <c r="A5204" s="2">
        <f>IFERROR(__xludf.DUMMYFUNCTION("""COMPUTED_VALUE"""),116440.0)</f>
        <v>116440</v>
      </c>
      <c r="B5204" s="2" t="str">
        <f>IFERROR(__xludf.DUMMYFUNCTION("""COMPUTED_VALUE"""),"Medical")</f>
        <v>Medical</v>
      </c>
      <c r="C5204" s="2" t="str">
        <f>IFERROR(__xludf.DUMMYFUNCTION("""COMPUTED_VALUE"""),"Illustration")</f>
        <v>Illustration</v>
      </c>
      <c r="D5204" s="2" t="str">
        <f>IFERROR(__xludf.DUMMYFUNCTION("""COMPUTED_VALUE"""),"Ironcrest Publishing")</f>
        <v>Ironcrest Publishing</v>
      </c>
      <c r="E5204" s="2">
        <f>IFERROR(__xludf.DUMMYFUNCTION("""COMPUTED_VALUE"""),2.65)</f>
        <v>2.65</v>
      </c>
      <c r="F5204" s="2"/>
      <c r="G5204" s="2"/>
      <c r="H5204" s="2"/>
      <c r="I5204" s="2"/>
    </row>
    <row r="5205">
      <c r="A5205" s="2">
        <f>IFERROR(__xludf.DUMMYFUNCTION("""COMPUTED_VALUE"""),116478.0)</f>
        <v>116478</v>
      </c>
      <c r="B5205" s="2" t="str">
        <f>IFERROR(__xludf.DUMMYFUNCTION("""COMPUTED_VALUE"""),"Medical")</f>
        <v>Medical</v>
      </c>
      <c r="C5205" s="2" t="str">
        <f>IFERROR(__xludf.DUMMYFUNCTION("""COMPUTED_VALUE"""),"Illustration")</f>
        <v>Illustration</v>
      </c>
      <c r="D5205" s="2" t="str">
        <f>IFERROR(__xludf.DUMMYFUNCTION("""COMPUTED_VALUE"""),"Ironcrest Publishing")</f>
        <v>Ironcrest Publishing</v>
      </c>
      <c r="E5205" s="2">
        <f>IFERROR(__xludf.DUMMYFUNCTION("""COMPUTED_VALUE"""),2.36)</f>
        <v>2.36</v>
      </c>
      <c r="F5205" s="2"/>
      <c r="G5205" s="2"/>
      <c r="H5205" s="2"/>
      <c r="I5205" s="2"/>
    </row>
    <row r="5206">
      <c r="A5206" s="2">
        <f>IFERROR(__xludf.DUMMYFUNCTION("""COMPUTED_VALUE"""),139305.0)</f>
        <v>139305</v>
      </c>
      <c r="B5206" s="2" t="str">
        <f>IFERROR(__xludf.DUMMYFUNCTION("""COMPUTED_VALUE"""),"Medical")</f>
        <v>Medical</v>
      </c>
      <c r="C5206" s="2" t="str">
        <f>IFERROR(__xludf.DUMMYFUNCTION("""COMPUTED_VALUE"""),"Illustration")</f>
        <v>Illustration</v>
      </c>
      <c r="D5206" s="2" t="str">
        <f>IFERROR(__xludf.DUMMYFUNCTION("""COMPUTED_VALUE"""),"Ironcrest Publishing")</f>
        <v>Ironcrest Publishing</v>
      </c>
      <c r="E5206" s="2">
        <f>IFERROR(__xludf.DUMMYFUNCTION("""COMPUTED_VALUE"""),1.87)</f>
        <v>1.87</v>
      </c>
      <c r="F5206" s="2"/>
      <c r="G5206" s="2"/>
      <c r="H5206" s="2"/>
      <c r="I5206" s="2"/>
    </row>
    <row r="5207">
      <c r="A5207" s="2">
        <f>IFERROR(__xludf.DUMMYFUNCTION("""COMPUTED_VALUE"""),118280.0)</f>
        <v>118280</v>
      </c>
      <c r="B5207" s="2" t="str">
        <f>IFERROR(__xludf.DUMMYFUNCTION("""COMPUTED_VALUE"""),"Medical")</f>
        <v>Medical</v>
      </c>
      <c r="C5207" s="2" t="str">
        <f>IFERROR(__xludf.DUMMYFUNCTION("""COMPUTED_VALUE"""),"Illustration")</f>
        <v>Illustration</v>
      </c>
      <c r="D5207" s="2" t="str">
        <f>IFERROR(__xludf.DUMMYFUNCTION("""COMPUTED_VALUE"""),"Ironcrest Publishing")</f>
        <v>Ironcrest Publishing</v>
      </c>
      <c r="E5207" s="2">
        <f>IFERROR(__xludf.DUMMYFUNCTION("""COMPUTED_VALUE"""),1.48)</f>
        <v>1.48</v>
      </c>
      <c r="F5207" s="2"/>
      <c r="G5207" s="2"/>
      <c r="H5207" s="2"/>
      <c r="I5207" s="2"/>
    </row>
    <row r="5208">
      <c r="A5208" s="2">
        <f>IFERROR(__xludf.DUMMYFUNCTION("""COMPUTED_VALUE"""),116506.0)</f>
        <v>116506</v>
      </c>
      <c r="B5208" s="2" t="str">
        <f>IFERROR(__xludf.DUMMYFUNCTION("""COMPUTED_VALUE"""),"Medical")</f>
        <v>Medical</v>
      </c>
      <c r="C5208" s="2" t="str">
        <f>IFERROR(__xludf.DUMMYFUNCTION("""COMPUTED_VALUE"""),"Illustration")</f>
        <v>Illustration</v>
      </c>
      <c r="D5208" s="2" t="str">
        <f>IFERROR(__xludf.DUMMYFUNCTION("""COMPUTED_VALUE"""),"Ironcrest Publishing")</f>
        <v>Ironcrest Publishing</v>
      </c>
      <c r="E5208" s="2">
        <f>IFERROR(__xludf.DUMMYFUNCTION("""COMPUTED_VALUE"""),2.09)</f>
        <v>2.09</v>
      </c>
      <c r="F5208" s="2"/>
      <c r="G5208" s="2"/>
      <c r="H5208" s="2"/>
      <c r="I5208" s="2"/>
    </row>
    <row r="5209">
      <c r="A5209" s="2">
        <f>IFERROR(__xludf.DUMMYFUNCTION("""COMPUTED_VALUE"""),116504.0)</f>
        <v>116504</v>
      </c>
      <c r="B5209" s="2" t="str">
        <f>IFERROR(__xludf.DUMMYFUNCTION("""COMPUTED_VALUE"""),"Medical")</f>
        <v>Medical</v>
      </c>
      <c r="C5209" s="2" t="str">
        <f>IFERROR(__xludf.DUMMYFUNCTION("""COMPUTED_VALUE"""),"Illustration")</f>
        <v>Illustration</v>
      </c>
      <c r="D5209" s="2" t="str">
        <f>IFERROR(__xludf.DUMMYFUNCTION("""COMPUTED_VALUE"""),"Ironcrest Publishing")</f>
        <v>Ironcrest Publishing</v>
      </c>
      <c r="E5209" s="2">
        <f>IFERROR(__xludf.DUMMYFUNCTION("""COMPUTED_VALUE"""),2.39)</f>
        <v>2.39</v>
      </c>
      <c r="F5209" s="2"/>
      <c r="G5209" s="2"/>
      <c r="H5209" s="2"/>
      <c r="I5209" s="2"/>
    </row>
    <row r="5210">
      <c r="A5210" s="2">
        <f>IFERROR(__xludf.DUMMYFUNCTION("""COMPUTED_VALUE"""),116435.0)</f>
        <v>116435</v>
      </c>
      <c r="B5210" s="2" t="str">
        <f>IFERROR(__xludf.DUMMYFUNCTION("""COMPUTED_VALUE"""),"Medical")</f>
        <v>Medical</v>
      </c>
      <c r="C5210" s="2" t="str">
        <f>IFERROR(__xludf.DUMMYFUNCTION("""COMPUTED_VALUE"""),"Illustration")</f>
        <v>Illustration</v>
      </c>
      <c r="D5210" s="2" t="str">
        <f>IFERROR(__xludf.DUMMYFUNCTION("""COMPUTED_VALUE"""),"Ironcrest Publishing")</f>
        <v>Ironcrest Publishing</v>
      </c>
      <c r="E5210" s="2">
        <f>IFERROR(__xludf.DUMMYFUNCTION("""COMPUTED_VALUE"""),2.88)</f>
        <v>2.88</v>
      </c>
      <c r="F5210" s="2"/>
      <c r="G5210" s="2"/>
      <c r="H5210" s="2"/>
      <c r="I5210" s="2"/>
    </row>
    <row r="5211">
      <c r="A5211" s="2">
        <f>IFERROR(__xludf.DUMMYFUNCTION("""COMPUTED_VALUE"""),70575.0)</f>
        <v>70575</v>
      </c>
      <c r="B5211" s="2" t="str">
        <f>IFERROR(__xludf.DUMMYFUNCTION("""COMPUTED_VALUE"""),"Medical")</f>
        <v>Medical</v>
      </c>
      <c r="C5211" s="2" t="str">
        <f>IFERROR(__xludf.DUMMYFUNCTION("""COMPUTED_VALUE"""),"Illustration")</f>
        <v>Illustration</v>
      </c>
      <c r="D5211" s="2" t="str">
        <f>IFERROR(__xludf.DUMMYFUNCTION("""COMPUTED_VALUE"""),"Ironcrest Publishing")</f>
        <v>Ironcrest Publishing</v>
      </c>
      <c r="E5211" s="2">
        <f>IFERROR(__xludf.DUMMYFUNCTION("""COMPUTED_VALUE"""),1.59)</f>
        <v>1.59</v>
      </c>
      <c r="F5211" s="2"/>
      <c r="G5211" s="2"/>
      <c r="H5211" s="2"/>
      <c r="I5211" s="2"/>
    </row>
    <row r="5212">
      <c r="A5212" s="2">
        <f>IFERROR(__xludf.DUMMYFUNCTION("""COMPUTED_VALUE"""),128343.0)</f>
        <v>128343</v>
      </c>
      <c r="B5212" s="2" t="str">
        <f>IFERROR(__xludf.DUMMYFUNCTION("""COMPUTED_VALUE"""),"Medical")</f>
        <v>Medical</v>
      </c>
      <c r="C5212" s="2" t="str">
        <f>IFERROR(__xludf.DUMMYFUNCTION("""COMPUTED_VALUE"""),"Illustration")</f>
        <v>Illustration</v>
      </c>
      <c r="D5212" s="2" t="str">
        <f>IFERROR(__xludf.DUMMYFUNCTION("""COMPUTED_VALUE"""),"Silverbrook Publishing House")</f>
        <v>Silverbrook Publishing House</v>
      </c>
      <c r="E5212" s="2">
        <f>IFERROR(__xludf.DUMMYFUNCTION("""COMPUTED_VALUE"""),3.68)</f>
        <v>3.68</v>
      </c>
      <c r="F5212" s="2"/>
      <c r="G5212" s="2"/>
      <c r="H5212" s="2"/>
      <c r="I5212" s="2"/>
    </row>
    <row r="5213">
      <c r="A5213" s="2">
        <f>IFERROR(__xludf.DUMMYFUNCTION("""COMPUTED_VALUE"""),112099.0)</f>
        <v>112099</v>
      </c>
      <c r="B5213" s="2" t="str">
        <f>IFERROR(__xludf.DUMMYFUNCTION("""COMPUTED_VALUE"""),"Medical")</f>
        <v>Medical</v>
      </c>
      <c r="C5213" s="2" t="str">
        <f>IFERROR(__xludf.DUMMYFUNCTION("""COMPUTED_VALUE"""),"Illustration")</f>
        <v>Illustration</v>
      </c>
      <c r="D5213" s="2" t="str">
        <f>IFERROR(__xludf.DUMMYFUNCTION("""COMPUTED_VALUE"""),"Silverbrook Publishing House")</f>
        <v>Silverbrook Publishing House</v>
      </c>
      <c r="E5213" s="2">
        <f>IFERROR(__xludf.DUMMYFUNCTION("""COMPUTED_VALUE"""),2.37)</f>
        <v>2.37</v>
      </c>
      <c r="F5213" s="2"/>
      <c r="G5213" s="2"/>
      <c r="H5213" s="2"/>
      <c r="I5213" s="2"/>
    </row>
    <row r="5214">
      <c r="A5214" s="2">
        <f>IFERROR(__xludf.DUMMYFUNCTION("""COMPUTED_VALUE"""),128337.0)</f>
        <v>128337</v>
      </c>
      <c r="B5214" s="2" t="str">
        <f>IFERROR(__xludf.DUMMYFUNCTION("""COMPUTED_VALUE"""),"Medical")</f>
        <v>Medical</v>
      </c>
      <c r="C5214" s="2" t="str">
        <f>IFERROR(__xludf.DUMMYFUNCTION("""COMPUTED_VALUE"""),"Illustration")</f>
        <v>Illustration</v>
      </c>
      <c r="D5214" s="2" t="str">
        <f>IFERROR(__xludf.DUMMYFUNCTION("""COMPUTED_VALUE"""),"Silverbrook Publishing House")</f>
        <v>Silverbrook Publishing House</v>
      </c>
      <c r="E5214" s="2">
        <f>IFERROR(__xludf.DUMMYFUNCTION("""COMPUTED_VALUE"""),3.88)</f>
        <v>3.88</v>
      </c>
      <c r="F5214" s="2"/>
      <c r="G5214" s="2"/>
      <c r="H5214" s="2"/>
      <c r="I5214" s="2"/>
    </row>
    <row r="5215">
      <c r="A5215" s="2">
        <f>IFERROR(__xludf.DUMMYFUNCTION("""COMPUTED_VALUE"""),4339.0)</f>
        <v>4339</v>
      </c>
      <c r="B5215" s="2" t="str">
        <f>IFERROR(__xludf.DUMMYFUNCTION("""COMPUTED_VALUE"""),"Medical")</f>
        <v>Medical</v>
      </c>
      <c r="C5215" s="2" t="str">
        <f>IFERROR(__xludf.DUMMYFUNCTION("""COMPUTED_VALUE"""),"Illustration")</f>
        <v>Illustration</v>
      </c>
      <c r="D5215" s="2" t="str">
        <f>IFERROR(__xludf.DUMMYFUNCTION("""COMPUTED_VALUE"""),"Silverbrook Publishing House")</f>
        <v>Silverbrook Publishing House</v>
      </c>
      <c r="E5215" s="2">
        <f>IFERROR(__xludf.DUMMYFUNCTION("""COMPUTED_VALUE"""),3.08)</f>
        <v>3.08</v>
      </c>
      <c r="F5215" s="2"/>
      <c r="G5215" s="2"/>
      <c r="H5215" s="2"/>
      <c r="I5215" s="2"/>
    </row>
    <row r="5216">
      <c r="A5216" s="2">
        <f>IFERROR(__xludf.DUMMYFUNCTION("""COMPUTED_VALUE"""),14399.0)</f>
        <v>14399</v>
      </c>
      <c r="B5216" s="2" t="str">
        <f>IFERROR(__xludf.DUMMYFUNCTION("""COMPUTED_VALUE"""),"Medical")</f>
        <v>Medical</v>
      </c>
      <c r="C5216" s="2" t="str">
        <f>IFERROR(__xludf.DUMMYFUNCTION("""COMPUTED_VALUE"""),"Illustration")</f>
        <v>Illustration</v>
      </c>
      <c r="D5216" s="2" t="str">
        <f>IFERROR(__xludf.DUMMYFUNCTION("""COMPUTED_VALUE"""),"Silverbrook Publishing House")</f>
        <v>Silverbrook Publishing House</v>
      </c>
      <c r="E5216" s="2">
        <f>IFERROR(__xludf.DUMMYFUNCTION("""COMPUTED_VALUE"""),2.09)</f>
        <v>2.09</v>
      </c>
      <c r="F5216" s="2"/>
      <c r="G5216" s="2"/>
      <c r="H5216" s="2"/>
      <c r="I5216" s="2"/>
    </row>
    <row r="5217">
      <c r="A5217" s="2">
        <f>IFERROR(__xludf.DUMMYFUNCTION("""COMPUTED_VALUE"""),4340.0)</f>
        <v>4340</v>
      </c>
      <c r="B5217" s="2" t="str">
        <f>IFERROR(__xludf.DUMMYFUNCTION("""COMPUTED_VALUE"""),"Medical")</f>
        <v>Medical</v>
      </c>
      <c r="C5217" s="2" t="str">
        <f>IFERROR(__xludf.DUMMYFUNCTION("""COMPUTED_VALUE"""),"Illustration")</f>
        <v>Illustration</v>
      </c>
      <c r="D5217" s="2" t="str">
        <f>IFERROR(__xludf.DUMMYFUNCTION("""COMPUTED_VALUE"""),"Silverbrook Publishing House")</f>
        <v>Silverbrook Publishing House</v>
      </c>
      <c r="E5217" s="2">
        <f>IFERROR(__xludf.DUMMYFUNCTION("""COMPUTED_VALUE"""),3.03)</f>
        <v>3.03</v>
      </c>
      <c r="F5217" s="2"/>
      <c r="G5217" s="2"/>
      <c r="H5217" s="2"/>
      <c r="I5217" s="2"/>
    </row>
    <row r="5218">
      <c r="A5218" s="2">
        <f>IFERROR(__xludf.DUMMYFUNCTION("""COMPUTED_VALUE"""),45250.0)</f>
        <v>45250</v>
      </c>
      <c r="B5218" s="2" t="str">
        <f>IFERROR(__xludf.DUMMYFUNCTION("""COMPUTED_VALUE"""),"Medical")</f>
        <v>Medical</v>
      </c>
      <c r="C5218" s="2" t="str">
        <f>IFERROR(__xludf.DUMMYFUNCTION("""COMPUTED_VALUE"""),"Illustration")</f>
        <v>Illustration</v>
      </c>
      <c r="D5218" s="2" t="str">
        <f>IFERROR(__xludf.DUMMYFUNCTION("""COMPUTED_VALUE"""),"Silverbrook Publishing House")</f>
        <v>Silverbrook Publishing House</v>
      </c>
      <c r="E5218" s="2">
        <f>IFERROR(__xludf.DUMMYFUNCTION("""COMPUTED_VALUE"""),1.2)</f>
        <v>1.2</v>
      </c>
      <c r="F5218" s="2"/>
      <c r="G5218" s="2"/>
      <c r="H5218" s="2"/>
      <c r="I5218" s="2"/>
    </row>
    <row r="5219">
      <c r="A5219" s="2">
        <f>IFERROR(__xludf.DUMMYFUNCTION("""COMPUTED_VALUE"""),9651.0)</f>
        <v>9651</v>
      </c>
      <c r="B5219" s="2" t="str">
        <f>IFERROR(__xludf.DUMMYFUNCTION("""COMPUTED_VALUE"""),"Medical")</f>
        <v>Medical</v>
      </c>
      <c r="C5219" s="2" t="str">
        <f>IFERROR(__xludf.DUMMYFUNCTION("""COMPUTED_VALUE"""),"Illustration")</f>
        <v>Illustration</v>
      </c>
      <c r="D5219" s="2" t="str">
        <f>IFERROR(__xludf.DUMMYFUNCTION("""COMPUTED_VALUE"""),"Silverbrook Publishing House")</f>
        <v>Silverbrook Publishing House</v>
      </c>
      <c r="E5219" s="2">
        <f>IFERROR(__xludf.DUMMYFUNCTION("""COMPUTED_VALUE"""),2.34)</f>
        <v>2.34</v>
      </c>
      <c r="F5219" s="2"/>
      <c r="G5219" s="2"/>
      <c r="H5219" s="2"/>
      <c r="I5219" s="2"/>
    </row>
    <row r="5220">
      <c r="A5220" s="2">
        <f>IFERROR(__xludf.DUMMYFUNCTION("""COMPUTED_VALUE"""),4329.0)</f>
        <v>4329</v>
      </c>
      <c r="B5220" s="2" t="str">
        <f>IFERROR(__xludf.DUMMYFUNCTION("""COMPUTED_VALUE"""),"Medical")</f>
        <v>Medical</v>
      </c>
      <c r="C5220" s="2" t="str">
        <f>IFERROR(__xludf.DUMMYFUNCTION("""COMPUTED_VALUE"""),"Illustration")</f>
        <v>Illustration</v>
      </c>
      <c r="D5220" s="2" t="str">
        <f>IFERROR(__xludf.DUMMYFUNCTION("""COMPUTED_VALUE"""),"Silverbrook Publishing House")</f>
        <v>Silverbrook Publishing House</v>
      </c>
      <c r="E5220" s="2">
        <f>IFERROR(__xludf.DUMMYFUNCTION("""COMPUTED_VALUE"""),2.04)</f>
        <v>2.04</v>
      </c>
      <c r="F5220" s="2"/>
      <c r="G5220" s="2"/>
      <c r="H5220" s="2"/>
      <c r="I5220" s="2"/>
    </row>
    <row r="5221">
      <c r="A5221" s="2">
        <f>IFERROR(__xludf.DUMMYFUNCTION("""COMPUTED_VALUE"""),4338.0)</f>
        <v>4338</v>
      </c>
      <c r="B5221" s="2" t="str">
        <f>IFERROR(__xludf.DUMMYFUNCTION("""COMPUTED_VALUE"""),"Medical")</f>
        <v>Medical</v>
      </c>
      <c r="C5221" s="2" t="str">
        <f>IFERROR(__xludf.DUMMYFUNCTION("""COMPUTED_VALUE"""),"Illustration")</f>
        <v>Illustration</v>
      </c>
      <c r="D5221" s="2" t="str">
        <f>IFERROR(__xludf.DUMMYFUNCTION("""COMPUTED_VALUE"""),"Silverbrook Publishing House")</f>
        <v>Silverbrook Publishing House</v>
      </c>
      <c r="E5221" s="2">
        <f>IFERROR(__xludf.DUMMYFUNCTION("""COMPUTED_VALUE"""),2.77)</f>
        <v>2.77</v>
      </c>
      <c r="F5221" s="2"/>
      <c r="G5221" s="2"/>
      <c r="H5221" s="2"/>
      <c r="I5221" s="2"/>
    </row>
    <row r="5222">
      <c r="A5222" s="2">
        <f>IFERROR(__xludf.DUMMYFUNCTION("""COMPUTED_VALUE"""),112100.0)</f>
        <v>112100</v>
      </c>
      <c r="B5222" s="2" t="str">
        <f>IFERROR(__xludf.DUMMYFUNCTION("""COMPUTED_VALUE"""),"Medical")</f>
        <v>Medical</v>
      </c>
      <c r="C5222" s="2" t="str">
        <f>IFERROR(__xludf.DUMMYFUNCTION("""COMPUTED_VALUE"""),"Illustration")</f>
        <v>Illustration</v>
      </c>
      <c r="D5222" s="2" t="str">
        <f>IFERROR(__xludf.DUMMYFUNCTION("""COMPUTED_VALUE"""),"Silverbrook Publishing House")</f>
        <v>Silverbrook Publishing House</v>
      </c>
      <c r="E5222" s="2">
        <f>IFERROR(__xludf.DUMMYFUNCTION("""COMPUTED_VALUE"""),2.14)</f>
        <v>2.14</v>
      </c>
      <c r="F5222" s="2"/>
      <c r="G5222" s="2"/>
      <c r="H5222" s="2"/>
      <c r="I5222" s="2"/>
    </row>
    <row r="5223">
      <c r="A5223" s="2">
        <f>IFERROR(__xludf.DUMMYFUNCTION("""COMPUTED_VALUE"""),9650.0)</f>
        <v>9650</v>
      </c>
      <c r="B5223" s="2" t="str">
        <f>IFERROR(__xludf.DUMMYFUNCTION("""COMPUTED_VALUE"""),"Medical")</f>
        <v>Medical</v>
      </c>
      <c r="C5223" s="2" t="str">
        <f>IFERROR(__xludf.DUMMYFUNCTION("""COMPUTED_VALUE"""),"Illustration")</f>
        <v>Illustration</v>
      </c>
      <c r="D5223" s="2" t="str">
        <f>IFERROR(__xludf.DUMMYFUNCTION("""COMPUTED_VALUE"""),"Silverbrook Publishing House")</f>
        <v>Silverbrook Publishing House</v>
      </c>
      <c r="E5223" s="2">
        <f>IFERROR(__xludf.DUMMYFUNCTION("""COMPUTED_VALUE"""),2.16)</f>
        <v>2.16</v>
      </c>
      <c r="F5223" s="2"/>
      <c r="G5223" s="2"/>
      <c r="H5223" s="2"/>
      <c r="I5223" s="2"/>
    </row>
    <row r="5224">
      <c r="A5224" s="2">
        <f>IFERROR(__xludf.DUMMYFUNCTION("""COMPUTED_VALUE"""),9649.0)</f>
        <v>9649</v>
      </c>
      <c r="B5224" s="2" t="str">
        <f>IFERROR(__xludf.DUMMYFUNCTION("""COMPUTED_VALUE"""),"Medical")</f>
        <v>Medical</v>
      </c>
      <c r="C5224" s="2" t="str">
        <f>IFERROR(__xludf.DUMMYFUNCTION("""COMPUTED_VALUE"""),"Illustration")</f>
        <v>Illustration</v>
      </c>
      <c r="D5224" s="2" t="str">
        <f>IFERROR(__xludf.DUMMYFUNCTION("""COMPUTED_VALUE"""),"Silverbrook Publishing House")</f>
        <v>Silverbrook Publishing House</v>
      </c>
      <c r="E5224" s="2">
        <f>IFERROR(__xludf.DUMMYFUNCTION("""COMPUTED_VALUE"""),2.75)</f>
        <v>2.75</v>
      </c>
      <c r="F5224" s="2"/>
      <c r="G5224" s="2"/>
      <c r="H5224" s="2"/>
      <c r="I5224" s="2"/>
    </row>
    <row r="5225">
      <c r="A5225" s="2">
        <f>IFERROR(__xludf.DUMMYFUNCTION("""COMPUTED_VALUE"""),9652.0)</f>
        <v>9652</v>
      </c>
      <c r="B5225" s="2" t="str">
        <f>IFERROR(__xludf.DUMMYFUNCTION("""COMPUTED_VALUE"""),"Medical")</f>
        <v>Medical</v>
      </c>
      <c r="C5225" s="2" t="str">
        <f>IFERROR(__xludf.DUMMYFUNCTION("""COMPUTED_VALUE"""),"Illustration")</f>
        <v>Illustration</v>
      </c>
      <c r="D5225" s="2" t="str">
        <f>IFERROR(__xludf.DUMMYFUNCTION("""COMPUTED_VALUE"""),"Silverbrook Publishing House")</f>
        <v>Silverbrook Publishing House</v>
      </c>
      <c r="E5225" s="2">
        <f>IFERROR(__xludf.DUMMYFUNCTION("""COMPUTED_VALUE"""),2.37)</f>
        <v>2.37</v>
      </c>
      <c r="F5225" s="2"/>
      <c r="G5225" s="2"/>
      <c r="H5225" s="2"/>
      <c r="I5225" s="2"/>
    </row>
    <row r="5226">
      <c r="A5226" s="2">
        <f>IFERROR(__xludf.DUMMYFUNCTION("""COMPUTED_VALUE"""),79426.0)</f>
        <v>79426</v>
      </c>
      <c r="B5226" s="2" t="str">
        <f>IFERROR(__xludf.DUMMYFUNCTION("""COMPUTED_VALUE"""),"Medical")</f>
        <v>Medical</v>
      </c>
      <c r="C5226" s="2" t="str">
        <f>IFERROR(__xludf.DUMMYFUNCTION("""COMPUTED_VALUE"""),"Illustration")</f>
        <v>Illustration</v>
      </c>
      <c r="D5226" s="2" t="str">
        <f>IFERROR(__xludf.DUMMYFUNCTION("""COMPUTED_VALUE"""),"Silverbrook Publishing House")</f>
        <v>Silverbrook Publishing House</v>
      </c>
      <c r="E5226" s="2">
        <f>IFERROR(__xludf.DUMMYFUNCTION("""COMPUTED_VALUE"""),2.84)</f>
        <v>2.84</v>
      </c>
      <c r="F5226" s="2"/>
      <c r="G5226" s="2"/>
      <c r="H5226" s="2"/>
      <c r="I5226" s="2"/>
    </row>
    <row r="5227">
      <c r="A5227" s="2">
        <f>IFERROR(__xludf.DUMMYFUNCTION("""COMPUTED_VALUE"""),79425.0)</f>
        <v>79425</v>
      </c>
      <c r="B5227" s="2" t="str">
        <f>IFERROR(__xludf.DUMMYFUNCTION("""COMPUTED_VALUE"""),"Medical")</f>
        <v>Medical</v>
      </c>
      <c r="C5227" s="2" t="str">
        <f>IFERROR(__xludf.DUMMYFUNCTION("""COMPUTED_VALUE"""),"Illustration")</f>
        <v>Illustration</v>
      </c>
      <c r="D5227" s="2" t="str">
        <f>IFERROR(__xludf.DUMMYFUNCTION("""COMPUTED_VALUE"""),"Silverbrook Publishing House")</f>
        <v>Silverbrook Publishing House</v>
      </c>
      <c r="E5227" s="2">
        <f>IFERROR(__xludf.DUMMYFUNCTION("""COMPUTED_VALUE"""),2.49)</f>
        <v>2.49</v>
      </c>
      <c r="F5227" s="2"/>
      <c r="G5227" s="2"/>
      <c r="H5227" s="2"/>
      <c r="I5227" s="2"/>
    </row>
    <row r="5228">
      <c r="A5228" s="2">
        <f>IFERROR(__xludf.DUMMYFUNCTION("""COMPUTED_VALUE"""),4335.0)</f>
        <v>4335</v>
      </c>
      <c r="B5228" s="2" t="str">
        <f>IFERROR(__xludf.DUMMYFUNCTION("""COMPUTED_VALUE"""),"Medical")</f>
        <v>Medical</v>
      </c>
      <c r="C5228" s="2" t="str">
        <f>IFERROR(__xludf.DUMMYFUNCTION("""COMPUTED_VALUE"""),"Illustration")</f>
        <v>Illustration</v>
      </c>
      <c r="D5228" s="2" t="str">
        <f>IFERROR(__xludf.DUMMYFUNCTION("""COMPUTED_VALUE"""),"Silverbrook Publishing House")</f>
        <v>Silverbrook Publishing House</v>
      </c>
      <c r="E5228" s="2">
        <f>IFERROR(__xludf.DUMMYFUNCTION("""COMPUTED_VALUE"""),2.92)</f>
        <v>2.92</v>
      </c>
      <c r="F5228" s="2"/>
      <c r="G5228" s="2"/>
      <c r="H5228" s="2"/>
      <c r="I5228" s="2"/>
    </row>
    <row r="5229">
      <c r="A5229" s="2">
        <f>IFERROR(__xludf.DUMMYFUNCTION("""COMPUTED_VALUE"""),70420.0)</f>
        <v>70420</v>
      </c>
      <c r="B5229" s="2" t="str">
        <f>IFERROR(__xludf.DUMMYFUNCTION("""COMPUTED_VALUE"""),"Medical")</f>
        <v>Medical</v>
      </c>
      <c r="C5229" s="2" t="str">
        <f>IFERROR(__xludf.DUMMYFUNCTION("""COMPUTED_VALUE"""),"Illustration")</f>
        <v>Illustration</v>
      </c>
      <c r="D5229" s="2" t="str">
        <f>IFERROR(__xludf.DUMMYFUNCTION("""COMPUTED_VALUE"""),"Silverbrook Publishing House")</f>
        <v>Silverbrook Publishing House</v>
      </c>
      <c r="E5229" s="2">
        <f>IFERROR(__xludf.DUMMYFUNCTION("""COMPUTED_VALUE"""),2.35)</f>
        <v>2.35</v>
      </c>
      <c r="F5229" s="2"/>
      <c r="G5229" s="2"/>
      <c r="H5229" s="2"/>
      <c r="I5229" s="2"/>
    </row>
    <row r="5230">
      <c r="A5230" s="2">
        <f>IFERROR(__xludf.DUMMYFUNCTION("""COMPUTED_VALUE"""),9655.0)</f>
        <v>9655</v>
      </c>
      <c r="B5230" s="2" t="str">
        <f>IFERROR(__xludf.DUMMYFUNCTION("""COMPUTED_VALUE"""),"Medical")</f>
        <v>Medical</v>
      </c>
      <c r="C5230" s="2" t="str">
        <f>IFERROR(__xludf.DUMMYFUNCTION("""COMPUTED_VALUE"""),"Illustration")</f>
        <v>Illustration</v>
      </c>
      <c r="D5230" s="2" t="str">
        <f>IFERROR(__xludf.DUMMYFUNCTION("""COMPUTED_VALUE"""),"Silverbrook Publishing House")</f>
        <v>Silverbrook Publishing House</v>
      </c>
      <c r="E5230" s="2">
        <f>IFERROR(__xludf.DUMMYFUNCTION("""COMPUTED_VALUE"""),2.27)</f>
        <v>2.27</v>
      </c>
      <c r="F5230" s="2"/>
      <c r="G5230" s="2"/>
      <c r="H5230" s="2"/>
      <c r="I5230" s="2"/>
    </row>
    <row r="5231">
      <c r="A5231" s="2">
        <f>IFERROR(__xludf.DUMMYFUNCTION("""COMPUTED_VALUE"""),68510.0)</f>
        <v>68510</v>
      </c>
      <c r="B5231" s="2" t="str">
        <f>IFERROR(__xludf.DUMMYFUNCTION("""COMPUTED_VALUE"""),"Medical")</f>
        <v>Medical</v>
      </c>
      <c r="C5231" s="2" t="str">
        <f>IFERROR(__xludf.DUMMYFUNCTION("""COMPUTED_VALUE"""),"Illustration")</f>
        <v>Illustration</v>
      </c>
      <c r="D5231" s="2" t="str">
        <f>IFERROR(__xludf.DUMMYFUNCTION("""COMPUTED_VALUE"""),"Northbrook Publishing House")</f>
        <v>Northbrook Publishing House</v>
      </c>
      <c r="E5231" s="2">
        <f>IFERROR(__xludf.DUMMYFUNCTION("""COMPUTED_VALUE"""),1.41)</f>
        <v>1.41</v>
      </c>
      <c r="F5231" s="2"/>
      <c r="G5231" s="2"/>
      <c r="H5231" s="2"/>
      <c r="I5231" s="2"/>
    </row>
    <row r="5232">
      <c r="A5232" s="2">
        <f>IFERROR(__xludf.DUMMYFUNCTION("""COMPUTED_VALUE"""),11068.0)</f>
        <v>11068</v>
      </c>
      <c r="B5232" s="2" t="str">
        <f>IFERROR(__xludf.DUMMYFUNCTION("""COMPUTED_VALUE"""),"Medical")</f>
        <v>Medical</v>
      </c>
      <c r="C5232" s="2" t="str">
        <f>IFERROR(__xludf.DUMMYFUNCTION("""COMPUTED_VALUE"""),"Illustration")</f>
        <v>Illustration</v>
      </c>
      <c r="D5232" s="2" t="str">
        <f>IFERROR(__xludf.DUMMYFUNCTION("""COMPUTED_VALUE"""),"Northbrook Publishing House")</f>
        <v>Northbrook Publishing House</v>
      </c>
      <c r="E5232" s="2">
        <f>IFERROR(__xludf.DUMMYFUNCTION("""COMPUTED_VALUE"""),1.88)</f>
        <v>1.88</v>
      </c>
      <c r="F5232" s="2"/>
      <c r="G5232" s="2"/>
      <c r="H5232" s="2"/>
      <c r="I5232" s="2"/>
    </row>
    <row r="5233">
      <c r="A5233" s="2">
        <f>IFERROR(__xludf.DUMMYFUNCTION("""COMPUTED_VALUE"""),79888.0)</f>
        <v>79888</v>
      </c>
      <c r="B5233" s="2" t="str">
        <f>IFERROR(__xludf.DUMMYFUNCTION("""COMPUTED_VALUE"""),"Medical")</f>
        <v>Medical</v>
      </c>
      <c r="C5233" s="2" t="str">
        <f>IFERROR(__xludf.DUMMYFUNCTION("""COMPUTED_VALUE"""),"Illustration")</f>
        <v>Illustration</v>
      </c>
      <c r="D5233" s="2" t="str">
        <f>IFERROR(__xludf.DUMMYFUNCTION("""COMPUTED_VALUE"""),"Northbrook Publishing House")</f>
        <v>Northbrook Publishing House</v>
      </c>
      <c r="E5233" s="2">
        <f>IFERROR(__xludf.DUMMYFUNCTION("""COMPUTED_VALUE"""),1.77)</f>
        <v>1.77</v>
      </c>
      <c r="F5233" s="2"/>
      <c r="G5233" s="2"/>
      <c r="H5233" s="2"/>
      <c r="I5233" s="2"/>
    </row>
    <row r="5234">
      <c r="A5234" s="2">
        <f>IFERROR(__xludf.DUMMYFUNCTION("""COMPUTED_VALUE"""),108982.0)</f>
        <v>108982</v>
      </c>
      <c r="B5234" s="2" t="str">
        <f>IFERROR(__xludf.DUMMYFUNCTION("""COMPUTED_VALUE"""),"Medical")</f>
        <v>Medical</v>
      </c>
      <c r="C5234" s="2" t="str">
        <f>IFERROR(__xludf.DUMMYFUNCTION("""COMPUTED_VALUE"""),"Illustration")</f>
        <v>Illustration</v>
      </c>
      <c r="D5234" s="2" t="str">
        <f>IFERROR(__xludf.DUMMYFUNCTION("""COMPUTED_VALUE"""),"Northbrook Publishing House")</f>
        <v>Northbrook Publishing House</v>
      </c>
      <c r="E5234" s="2">
        <f>IFERROR(__xludf.DUMMYFUNCTION("""COMPUTED_VALUE"""),2.57)</f>
        <v>2.57</v>
      </c>
      <c r="F5234" s="2"/>
      <c r="G5234" s="2"/>
      <c r="H5234" s="2"/>
      <c r="I5234" s="2"/>
    </row>
    <row r="5235">
      <c r="A5235" s="2">
        <f>IFERROR(__xludf.DUMMYFUNCTION("""COMPUTED_VALUE"""),88020.0)</f>
        <v>88020</v>
      </c>
      <c r="B5235" s="2" t="str">
        <f>IFERROR(__xludf.DUMMYFUNCTION("""COMPUTED_VALUE"""),"Medical")</f>
        <v>Medical</v>
      </c>
      <c r="C5235" s="2" t="str">
        <f>IFERROR(__xludf.DUMMYFUNCTION("""COMPUTED_VALUE"""),"Illustration")</f>
        <v>Illustration</v>
      </c>
      <c r="D5235" s="2" t="str">
        <f>IFERROR(__xludf.DUMMYFUNCTION("""COMPUTED_VALUE"""),"Northbrook Publishing House")</f>
        <v>Northbrook Publishing House</v>
      </c>
      <c r="E5235" s="2">
        <f>IFERROR(__xludf.DUMMYFUNCTION("""COMPUTED_VALUE"""),2.45)</f>
        <v>2.45</v>
      </c>
      <c r="F5235" s="2"/>
      <c r="G5235" s="2"/>
      <c r="H5235" s="2"/>
      <c r="I5235" s="2"/>
    </row>
    <row r="5236">
      <c r="A5236" s="2">
        <f>IFERROR(__xludf.DUMMYFUNCTION("""COMPUTED_VALUE"""),44824.0)</f>
        <v>44824</v>
      </c>
      <c r="B5236" s="2" t="str">
        <f>IFERROR(__xludf.DUMMYFUNCTION("""COMPUTED_VALUE"""),"Medical")</f>
        <v>Medical</v>
      </c>
      <c r="C5236" s="2" t="str">
        <f>IFERROR(__xludf.DUMMYFUNCTION("""COMPUTED_VALUE"""),"Illustration")</f>
        <v>Illustration</v>
      </c>
      <c r="D5236" s="2" t="str">
        <f>IFERROR(__xludf.DUMMYFUNCTION("""COMPUTED_VALUE"""),"Northbrook Publishing House")</f>
        <v>Northbrook Publishing House</v>
      </c>
      <c r="E5236" s="2">
        <f>IFERROR(__xludf.DUMMYFUNCTION("""COMPUTED_VALUE"""),1.69)</f>
        <v>1.69</v>
      </c>
      <c r="F5236" s="2"/>
      <c r="G5236" s="2"/>
      <c r="H5236" s="2"/>
      <c r="I5236" s="2"/>
    </row>
    <row r="5237">
      <c r="A5237" s="2">
        <f>IFERROR(__xludf.DUMMYFUNCTION("""COMPUTED_VALUE"""),46900.0)</f>
        <v>46900</v>
      </c>
      <c r="B5237" s="2" t="str">
        <f>IFERROR(__xludf.DUMMYFUNCTION("""COMPUTED_VALUE"""),"Medical")</f>
        <v>Medical</v>
      </c>
      <c r="C5237" s="2" t="str">
        <f>IFERROR(__xludf.DUMMYFUNCTION("""COMPUTED_VALUE"""),"Illustration")</f>
        <v>Illustration</v>
      </c>
      <c r="D5237" s="2" t="str">
        <f>IFERROR(__xludf.DUMMYFUNCTION("""COMPUTED_VALUE"""),"Northbrook Publishing House")</f>
        <v>Northbrook Publishing House</v>
      </c>
      <c r="E5237" s="2">
        <f>IFERROR(__xludf.DUMMYFUNCTION("""COMPUTED_VALUE"""),1.65)</f>
        <v>1.65</v>
      </c>
      <c r="F5237" s="2"/>
      <c r="G5237" s="2"/>
      <c r="H5237" s="2"/>
      <c r="I5237" s="2"/>
    </row>
    <row r="5238">
      <c r="A5238" s="2">
        <f>IFERROR(__xludf.DUMMYFUNCTION("""COMPUTED_VALUE"""),41981.0)</f>
        <v>41981</v>
      </c>
      <c r="B5238" s="2" t="str">
        <f>IFERROR(__xludf.DUMMYFUNCTION("""COMPUTED_VALUE"""),"Medical")</f>
        <v>Medical</v>
      </c>
      <c r="C5238" s="2" t="str">
        <f>IFERROR(__xludf.DUMMYFUNCTION("""COMPUTED_VALUE"""),"Illustration")</f>
        <v>Illustration</v>
      </c>
      <c r="D5238" s="2" t="str">
        <f>IFERROR(__xludf.DUMMYFUNCTION("""COMPUTED_VALUE"""),"Northbrook Publishing House")</f>
        <v>Northbrook Publishing House</v>
      </c>
      <c r="E5238" s="2">
        <f>IFERROR(__xludf.DUMMYFUNCTION("""COMPUTED_VALUE"""),2.36)</f>
        <v>2.36</v>
      </c>
      <c r="F5238" s="2"/>
      <c r="G5238" s="2"/>
      <c r="H5238" s="2"/>
      <c r="I5238" s="2"/>
    </row>
    <row r="5239">
      <c r="A5239" s="2">
        <f>IFERROR(__xludf.DUMMYFUNCTION("""COMPUTED_VALUE"""),44825.0)</f>
        <v>44825</v>
      </c>
      <c r="B5239" s="2" t="str">
        <f>IFERROR(__xludf.DUMMYFUNCTION("""COMPUTED_VALUE"""),"Medical")</f>
        <v>Medical</v>
      </c>
      <c r="C5239" s="2" t="str">
        <f>IFERROR(__xludf.DUMMYFUNCTION("""COMPUTED_VALUE"""),"Illustration")</f>
        <v>Illustration</v>
      </c>
      <c r="D5239" s="2" t="str">
        <f>IFERROR(__xludf.DUMMYFUNCTION("""COMPUTED_VALUE"""),"Northbrook Publishing House")</f>
        <v>Northbrook Publishing House</v>
      </c>
      <c r="E5239" s="2">
        <f>IFERROR(__xludf.DUMMYFUNCTION("""COMPUTED_VALUE"""),1.83)</f>
        <v>1.83</v>
      </c>
      <c r="F5239" s="2"/>
      <c r="G5239" s="2"/>
      <c r="H5239" s="2"/>
      <c r="I5239" s="2"/>
    </row>
    <row r="5240">
      <c r="A5240" s="2">
        <f>IFERROR(__xludf.DUMMYFUNCTION("""COMPUTED_VALUE"""),6875.0)</f>
        <v>6875</v>
      </c>
      <c r="B5240" s="2" t="str">
        <f>IFERROR(__xludf.DUMMYFUNCTION("""COMPUTED_VALUE"""),"Medical")</f>
        <v>Medical</v>
      </c>
      <c r="C5240" s="2" t="str">
        <f>IFERROR(__xludf.DUMMYFUNCTION("""COMPUTED_VALUE"""),"Illustration")</f>
        <v>Illustration</v>
      </c>
      <c r="D5240" s="2" t="str">
        <f>IFERROR(__xludf.DUMMYFUNCTION("""COMPUTED_VALUE"""),"Northbrook Publishing House")</f>
        <v>Northbrook Publishing House</v>
      </c>
      <c r="E5240" s="2">
        <f>IFERROR(__xludf.DUMMYFUNCTION("""COMPUTED_VALUE"""),2.22)</f>
        <v>2.22</v>
      </c>
      <c r="F5240" s="2"/>
      <c r="G5240" s="2"/>
      <c r="H5240" s="2"/>
      <c r="I5240" s="2"/>
    </row>
    <row r="5241">
      <c r="A5241" s="2">
        <f>IFERROR(__xludf.DUMMYFUNCTION("""COMPUTED_VALUE"""),108981.0)</f>
        <v>108981</v>
      </c>
      <c r="B5241" s="2" t="str">
        <f>IFERROR(__xludf.DUMMYFUNCTION("""COMPUTED_VALUE"""),"Medical")</f>
        <v>Medical</v>
      </c>
      <c r="C5241" s="2" t="str">
        <f>IFERROR(__xludf.DUMMYFUNCTION("""COMPUTED_VALUE"""),"Illustration")</f>
        <v>Illustration</v>
      </c>
      <c r="D5241" s="2" t="str">
        <f>IFERROR(__xludf.DUMMYFUNCTION("""COMPUTED_VALUE"""),"Northbrook Publishing House")</f>
        <v>Northbrook Publishing House</v>
      </c>
      <c r="E5241" s="2">
        <f>IFERROR(__xludf.DUMMYFUNCTION("""COMPUTED_VALUE"""),2.55)</f>
        <v>2.55</v>
      </c>
      <c r="F5241" s="2"/>
      <c r="G5241" s="2"/>
      <c r="H5241" s="2"/>
      <c r="I5241" s="2"/>
    </row>
    <row r="5242">
      <c r="A5242" s="2">
        <f>IFERROR(__xludf.DUMMYFUNCTION("""COMPUTED_VALUE"""),110931.0)</f>
        <v>110931</v>
      </c>
      <c r="B5242" s="2" t="str">
        <f>IFERROR(__xludf.DUMMYFUNCTION("""COMPUTED_VALUE"""),"Medical")</f>
        <v>Medical</v>
      </c>
      <c r="C5242" s="2" t="str">
        <f>IFERROR(__xludf.DUMMYFUNCTION("""COMPUTED_VALUE"""),"Illustration")</f>
        <v>Illustration</v>
      </c>
      <c r="D5242" s="2" t="str">
        <f>IFERROR(__xludf.DUMMYFUNCTION("""COMPUTED_VALUE"""),"Northbrook Publishing House")</f>
        <v>Northbrook Publishing House</v>
      </c>
      <c r="E5242" s="2">
        <f>IFERROR(__xludf.DUMMYFUNCTION("""COMPUTED_VALUE"""),2.1)</f>
        <v>2.1</v>
      </c>
      <c r="F5242" s="2"/>
      <c r="G5242" s="2"/>
      <c r="H5242" s="2"/>
      <c r="I5242" s="2"/>
    </row>
    <row r="5243">
      <c r="A5243" s="2">
        <f>IFERROR(__xludf.DUMMYFUNCTION("""COMPUTED_VALUE"""),99037.0)</f>
        <v>99037</v>
      </c>
      <c r="B5243" s="2" t="str">
        <f>IFERROR(__xludf.DUMMYFUNCTION("""COMPUTED_VALUE"""),"Medical")</f>
        <v>Medical</v>
      </c>
      <c r="C5243" s="2" t="str">
        <f>IFERROR(__xludf.DUMMYFUNCTION("""COMPUTED_VALUE"""),"Illustration")</f>
        <v>Illustration</v>
      </c>
      <c r="D5243" s="2" t="str">
        <f>IFERROR(__xludf.DUMMYFUNCTION("""COMPUTED_VALUE"""),"Northbrook Publishing House")</f>
        <v>Northbrook Publishing House</v>
      </c>
      <c r="E5243" s="2">
        <f>IFERROR(__xludf.DUMMYFUNCTION("""COMPUTED_VALUE"""),1.81)</f>
        <v>1.81</v>
      </c>
      <c r="F5243" s="2"/>
      <c r="G5243" s="2"/>
      <c r="H5243" s="2"/>
      <c r="I5243" s="2"/>
    </row>
    <row r="5244">
      <c r="A5244" s="2">
        <f>IFERROR(__xludf.DUMMYFUNCTION("""COMPUTED_VALUE"""),99096.0)</f>
        <v>99096</v>
      </c>
      <c r="B5244" s="2" t="str">
        <f>IFERROR(__xludf.DUMMYFUNCTION("""COMPUTED_VALUE"""),"Medical")</f>
        <v>Medical</v>
      </c>
      <c r="C5244" s="2" t="str">
        <f>IFERROR(__xludf.DUMMYFUNCTION("""COMPUTED_VALUE"""),"Illustration")</f>
        <v>Illustration</v>
      </c>
      <c r="D5244" s="2" t="str">
        <f>IFERROR(__xludf.DUMMYFUNCTION("""COMPUTED_VALUE"""),"Northbrook Publishing House")</f>
        <v>Northbrook Publishing House</v>
      </c>
      <c r="E5244" s="2">
        <f>IFERROR(__xludf.DUMMYFUNCTION("""COMPUTED_VALUE"""),2.0)</f>
        <v>2</v>
      </c>
      <c r="F5244" s="2"/>
      <c r="G5244" s="2"/>
      <c r="H5244" s="2"/>
      <c r="I5244" s="2"/>
    </row>
    <row r="5245">
      <c r="A5245" s="2">
        <f>IFERROR(__xludf.DUMMYFUNCTION("""COMPUTED_VALUE"""),41986.0)</f>
        <v>41986</v>
      </c>
      <c r="B5245" s="2" t="str">
        <f>IFERROR(__xludf.DUMMYFUNCTION("""COMPUTED_VALUE"""),"Medical")</f>
        <v>Medical</v>
      </c>
      <c r="C5245" s="2" t="str">
        <f>IFERROR(__xludf.DUMMYFUNCTION("""COMPUTED_VALUE"""),"Illustration")</f>
        <v>Illustration</v>
      </c>
      <c r="D5245" s="2" t="str">
        <f>IFERROR(__xludf.DUMMYFUNCTION("""COMPUTED_VALUE"""),"Northbrook Publishing House")</f>
        <v>Northbrook Publishing House</v>
      </c>
      <c r="E5245" s="2">
        <f>IFERROR(__xludf.DUMMYFUNCTION("""COMPUTED_VALUE"""),2.35)</f>
        <v>2.35</v>
      </c>
      <c r="F5245" s="2"/>
      <c r="G5245" s="2"/>
      <c r="H5245" s="2"/>
      <c r="I5245" s="2"/>
    </row>
    <row r="5246">
      <c r="A5246" s="2">
        <f>IFERROR(__xludf.DUMMYFUNCTION("""COMPUTED_VALUE"""),79430.0)</f>
        <v>79430</v>
      </c>
      <c r="B5246" s="2" t="str">
        <f>IFERROR(__xludf.DUMMYFUNCTION("""COMPUTED_VALUE"""),"Medical")</f>
        <v>Medical</v>
      </c>
      <c r="C5246" s="2" t="str">
        <f>IFERROR(__xludf.DUMMYFUNCTION("""COMPUTED_VALUE"""),"Illustration")</f>
        <v>Illustration</v>
      </c>
      <c r="D5246" s="2" t="str">
        <f>IFERROR(__xludf.DUMMYFUNCTION("""COMPUTED_VALUE"""),"Northbrook Publishing House")</f>
        <v>Northbrook Publishing House</v>
      </c>
      <c r="E5246" s="2">
        <f>IFERROR(__xludf.DUMMYFUNCTION("""COMPUTED_VALUE"""),1.34)</f>
        <v>1.34</v>
      </c>
      <c r="F5246" s="2"/>
      <c r="G5246" s="2"/>
      <c r="H5246" s="2"/>
      <c r="I5246" s="2"/>
    </row>
    <row r="5247">
      <c r="A5247" s="2">
        <f>IFERROR(__xludf.DUMMYFUNCTION("""COMPUTED_VALUE"""),41921.0)</f>
        <v>41921</v>
      </c>
      <c r="B5247" s="2" t="str">
        <f>IFERROR(__xludf.DUMMYFUNCTION("""COMPUTED_VALUE"""),"Medical")</f>
        <v>Medical</v>
      </c>
      <c r="C5247" s="2" t="str">
        <f>IFERROR(__xludf.DUMMYFUNCTION("""COMPUTED_VALUE"""),"Illustration")</f>
        <v>Illustration</v>
      </c>
      <c r="D5247" s="2" t="str">
        <f>IFERROR(__xludf.DUMMYFUNCTION("""COMPUTED_VALUE"""),"Harborbrook Publishing House")</f>
        <v>Harborbrook Publishing House</v>
      </c>
      <c r="E5247" s="2">
        <f>IFERROR(__xludf.DUMMYFUNCTION("""COMPUTED_VALUE"""),2.25)</f>
        <v>2.25</v>
      </c>
      <c r="F5247" s="2"/>
      <c r="G5247" s="2"/>
      <c r="H5247" s="2"/>
      <c r="I5247" s="2"/>
    </row>
    <row r="5248">
      <c r="A5248" s="2">
        <f>IFERROR(__xludf.DUMMYFUNCTION("""COMPUTED_VALUE"""),41910.0)</f>
        <v>41910</v>
      </c>
      <c r="B5248" s="2" t="str">
        <f>IFERROR(__xludf.DUMMYFUNCTION("""COMPUTED_VALUE"""),"Medical")</f>
        <v>Medical</v>
      </c>
      <c r="C5248" s="2" t="str">
        <f>IFERROR(__xludf.DUMMYFUNCTION("""COMPUTED_VALUE"""),"Illustration")</f>
        <v>Illustration</v>
      </c>
      <c r="D5248" s="2" t="str">
        <f>IFERROR(__xludf.DUMMYFUNCTION("""COMPUTED_VALUE"""),"Harborbrook Publishing House")</f>
        <v>Harborbrook Publishing House</v>
      </c>
      <c r="E5248" s="2">
        <f>IFERROR(__xludf.DUMMYFUNCTION("""COMPUTED_VALUE"""),2.27)</f>
        <v>2.27</v>
      </c>
      <c r="F5248" s="2"/>
      <c r="G5248" s="2"/>
      <c r="H5248" s="2"/>
      <c r="I5248" s="2"/>
    </row>
    <row r="5249">
      <c r="A5249" s="2">
        <f>IFERROR(__xludf.DUMMYFUNCTION("""COMPUTED_VALUE"""),11069.0)</f>
        <v>11069</v>
      </c>
      <c r="B5249" s="2" t="str">
        <f>IFERROR(__xludf.DUMMYFUNCTION("""COMPUTED_VALUE"""),"Medical")</f>
        <v>Medical</v>
      </c>
      <c r="C5249" s="2" t="str">
        <f>IFERROR(__xludf.DUMMYFUNCTION("""COMPUTED_VALUE"""),"Illustration")</f>
        <v>Illustration</v>
      </c>
      <c r="D5249" s="2" t="str">
        <f>IFERROR(__xludf.DUMMYFUNCTION("""COMPUTED_VALUE"""),"Harborbrook Publishing House")</f>
        <v>Harborbrook Publishing House</v>
      </c>
      <c r="E5249" s="2">
        <f>IFERROR(__xludf.DUMMYFUNCTION("""COMPUTED_VALUE"""),1.8)</f>
        <v>1.8</v>
      </c>
      <c r="F5249" s="2"/>
      <c r="G5249" s="2"/>
      <c r="H5249" s="2"/>
      <c r="I5249" s="2"/>
    </row>
    <row r="5250">
      <c r="A5250" s="2">
        <f>IFERROR(__xludf.DUMMYFUNCTION("""COMPUTED_VALUE"""),41924.0)</f>
        <v>41924</v>
      </c>
      <c r="B5250" s="2" t="str">
        <f>IFERROR(__xludf.DUMMYFUNCTION("""COMPUTED_VALUE"""),"Medical")</f>
        <v>Medical</v>
      </c>
      <c r="C5250" s="2" t="str">
        <f>IFERROR(__xludf.DUMMYFUNCTION("""COMPUTED_VALUE"""),"Illustration")</f>
        <v>Illustration</v>
      </c>
      <c r="D5250" s="2" t="str">
        <f>IFERROR(__xludf.DUMMYFUNCTION("""COMPUTED_VALUE"""),"Harborbrook Publishing House")</f>
        <v>Harborbrook Publishing House</v>
      </c>
      <c r="E5250" s="2">
        <f>IFERROR(__xludf.DUMMYFUNCTION("""COMPUTED_VALUE"""),2.8)</f>
        <v>2.8</v>
      </c>
      <c r="F5250" s="2"/>
      <c r="G5250" s="2"/>
      <c r="H5250" s="2"/>
      <c r="I5250" s="2"/>
    </row>
    <row r="5251">
      <c r="A5251" s="2">
        <f>IFERROR(__xludf.DUMMYFUNCTION("""COMPUTED_VALUE"""),133913.0)</f>
        <v>133913</v>
      </c>
      <c r="B5251" s="2" t="str">
        <f>IFERROR(__xludf.DUMMYFUNCTION("""COMPUTED_VALUE"""),"Medical")</f>
        <v>Medical</v>
      </c>
      <c r="C5251" s="2" t="str">
        <f>IFERROR(__xludf.DUMMYFUNCTION("""COMPUTED_VALUE"""),"Illustration")</f>
        <v>Illustration</v>
      </c>
      <c r="D5251" s="2" t="str">
        <f>IFERROR(__xludf.DUMMYFUNCTION("""COMPUTED_VALUE"""),"Harborbrook Publishing House")</f>
        <v>Harborbrook Publishing House</v>
      </c>
      <c r="E5251" s="2">
        <f>IFERROR(__xludf.DUMMYFUNCTION("""COMPUTED_VALUE"""),2.61)</f>
        <v>2.61</v>
      </c>
      <c r="F5251" s="2"/>
      <c r="G5251" s="2"/>
      <c r="H5251" s="2"/>
      <c r="I5251" s="2"/>
    </row>
    <row r="5252">
      <c r="A5252" s="2">
        <f>IFERROR(__xludf.DUMMYFUNCTION("""COMPUTED_VALUE"""),70422.0)</f>
        <v>70422</v>
      </c>
      <c r="B5252" s="2" t="str">
        <f>IFERROR(__xludf.DUMMYFUNCTION("""COMPUTED_VALUE"""),"Medical")</f>
        <v>Medical</v>
      </c>
      <c r="C5252" s="2" t="str">
        <f>IFERROR(__xludf.DUMMYFUNCTION("""COMPUTED_VALUE"""),"Illustration")</f>
        <v>Illustration</v>
      </c>
      <c r="D5252" s="2" t="str">
        <f>IFERROR(__xludf.DUMMYFUNCTION("""COMPUTED_VALUE"""),"Harborbrook Publishing House")</f>
        <v>Harborbrook Publishing House</v>
      </c>
      <c r="E5252" s="2">
        <f>IFERROR(__xludf.DUMMYFUNCTION("""COMPUTED_VALUE"""),2.15)</f>
        <v>2.15</v>
      </c>
      <c r="F5252" s="2"/>
      <c r="G5252" s="2"/>
      <c r="H5252" s="2"/>
      <c r="I5252" s="2"/>
    </row>
    <row r="5253">
      <c r="A5253" s="2">
        <f>IFERROR(__xludf.DUMMYFUNCTION("""COMPUTED_VALUE"""),17812.0)</f>
        <v>17812</v>
      </c>
      <c r="B5253" s="2" t="str">
        <f>IFERROR(__xludf.DUMMYFUNCTION("""COMPUTED_VALUE"""),"Medical")</f>
        <v>Medical</v>
      </c>
      <c r="C5253" s="2" t="str">
        <f>IFERROR(__xludf.DUMMYFUNCTION("""COMPUTED_VALUE"""),"Illustration")</f>
        <v>Illustration</v>
      </c>
      <c r="D5253" s="2" t="str">
        <f>IFERROR(__xludf.DUMMYFUNCTION("""COMPUTED_VALUE"""),"Cedarbrook Publishing House")</f>
        <v>Cedarbrook Publishing House</v>
      </c>
      <c r="E5253" s="2">
        <f>IFERROR(__xludf.DUMMYFUNCTION("""COMPUTED_VALUE"""),2.15)</f>
        <v>2.15</v>
      </c>
      <c r="F5253" s="2"/>
      <c r="G5253" s="2"/>
      <c r="H5253" s="2"/>
      <c r="I5253" s="2"/>
    </row>
    <row r="5254">
      <c r="A5254" s="2">
        <f>IFERROR(__xludf.DUMMYFUNCTION("""COMPUTED_VALUE"""),70429.0)</f>
        <v>70429</v>
      </c>
      <c r="B5254" s="2" t="str">
        <f>IFERROR(__xludf.DUMMYFUNCTION("""COMPUTED_VALUE"""),"Medical")</f>
        <v>Medical</v>
      </c>
      <c r="C5254" s="2" t="str">
        <f>IFERROR(__xludf.DUMMYFUNCTION("""COMPUTED_VALUE"""),"Illustration")</f>
        <v>Illustration</v>
      </c>
      <c r="D5254" s="2" t="str">
        <f>IFERROR(__xludf.DUMMYFUNCTION("""COMPUTED_VALUE"""),"Cedarbrook Publishing House")</f>
        <v>Cedarbrook Publishing House</v>
      </c>
      <c r="E5254" s="2">
        <f>IFERROR(__xludf.DUMMYFUNCTION("""COMPUTED_VALUE"""),1.83)</f>
        <v>1.83</v>
      </c>
      <c r="F5254" s="2"/>
      <c r="G5254" s="2"/>
      <c r="H5254" s="2"/>
      <c r="I5254" s="2"/>
    </row>
    <row r="5255">
      <c r="A5255" s="2">
        <f>IFERROR(__xludf.DUMMYFUNCTION("""COMPUTED_VALUE"""),70428.0)</f>
        <v>70428</v>
      </c>
      <c r="B5255" s="2" t="str">
        <f>IFERROR(__xludf.DUMMYFUNCTION("""COMPUTED_VALUE"""),"Medical")</f>
        <v>Medical</v>
      </c>
      <c r="C5255" s="2" t="str">
        <f>IFERROR(__xludf.DUMMYFUNCTION("""COMPUTED_VALUE"""),"Illustration")</f>
        <v>Illustration</v>
      </c>
      <c r="D5255" s="2" t="str">
        <f>IFERROR(__xludf.DUMMYFUNCTION("""COMPUTED_VALUE"""),"Cedarbrook Publishing House")</f>
        <v>Cedarbrook Publishing House</v>
      </c>
      <c r="E5255" s="2">
        <f>IFERROR(__xludf.DUMMYFUNCTION("""COMPUTED_VALUE"""),1.84)</f>
        <v>1.84</v>
      </c>
      <c r="F5255" s="2"/>
      <c r="G5255" s="2"/>
      <c r="H5255" s="2"/>
      <c r="I5255" s="2"/>
    </row>
    <row r="5256">
      <c r="A5256" s="2">
        <f>IFERROR(__xludf.DUMMYFUNCTION("""COMPUTED_VALUE"""),99038.0)</f>
        <v>99038</v>
      </c>
      <c r="B5256" s="2" t="str">
        <f>IFERROR(__xludf.DUMMYFUNCTION("""COMPUTED_VALUE"""),"Medical")</f>
        <v>Medical</v>
      </c>
      <c r="C5256" s="2" t="str">
        <f>IFERROR(__xludf.DUMMYFUNCTION("""COMPUTED_VALUE"""),"Illustration")</f>
        <v>Illustration</v>
      </c>
      <c r="D5256" s="2" t="str">
        <f>IFERROR(__xludf.DUMMYFUNCTION("""COMPUTED_VALUE"""),"Cedarbrook Publishing House")</f>
        <v>Cedarbrook Publishing House</v>
      </c>
      <c r="E5256" s="2">
        <f>IFERROR(__xludf.DUMMYFUNCTION("""COMPUTED_VALUE"""),1.82)</f>
        <v>1.82</v>
      </c>
      <c r="F5256" s="2"/>
      <c r="G5256" s="2"/>
      <c r="H5256" s="2"/>
      <c r="I5256" s="2"/>
    </row>
    <row r="5257">
      <c r="A5257" s="2">
        <f>IFERROR(__xludf.DUMMYFUNCTION("""COMPUTED_VALUE"""),11071.0)</f>
        <v>11071</v>
      </c>
      <c r="B5257" s="2" t="str">
        <f>IFERROR(__xludf.DUMMYFUNCTION("""COMPUTED_VALUE"""),"Medical")</f>
        <v>Medical</v>
      </c>
      <c r="C5257" s="2" t="str">
        <f>IFERROR(__xludf.DUMMYFUNCTION("""COMPUTED_VALUE"""),"Illustration")</f>
        <v>Illustration</v>
      </c>
      <c r="D5257" s="2" t="str">
        <f>IFERROR(__xludf.DUMMYFUNCTION("""COMPUTED_VALUE"""),"Cedarbrook Publishing House")</f>
        <v>Cedarbrook Publishing House</v>
      </c>
      <c r="E5257" s="2">
        <f>IFERROR(__xludf.DUMMYFUNCTION("""COMPUTED_VALUE"""),1.78)</f>
        <v>1.78</v>
      </c>
      <c r="F5257" s="2"/>
      <c r="G5257" s="2"/>
      <c r="H5257" s="2"/>
      <c r="I5257" s="2"/>
    </row>
    <row r="5258">
      <c r="A5258" s="2">
        <f>IFERROR(__xludf.DUMMYFUNCTION("""COMPUTED_VALUE"""),17066.0)</f>
        <v>17066</v>
      </c>
      <c r="B5258" s="2" t="str">
        <f>IFERROR(__xludf.DUMMYFUNCTION("""COMPUTED_VALUE"""),"Medical")</f>
        <v>Medical</v>
      </c>
      <c r="C5258" s="2" t="str">
        <f>IFERROR(__xludf.DUMMYFUNCTION("""COMPUTED_VALUE"""),"Illustration")</f>
        <v>Illustration</v>
      </c>
      <c r="D5258" s="2" t="str">
        <f>IFERROR(__xludf.DUMMYFUNCTION("""COMPUTED_VALUE"""),"Cedarbrook Publishing House")</f>
        <v>Cedarbrook Publishing House</v>
      </c>
      <c r="E5258" s="2">
        <f>IFERROR(__xludf.DUMMYFUNCTION("""COMPUTED_VALUE"""),1.86)</f>
        <v>1.86</v>
      </c>
      <c r="F5258" s="2"/>
      <c r="G5258" s="2"/>
      <c r="H5258" s="2"/>
      <c r="I5258" s="2"/>
    </row>
    <row r="5259">
      <c r="A5259" s="2">
        <f>IFERROR(__xludf.DUMMYFUNCTION("""COMPUTED_VALUE"""),117649.0)</f>
        <v>117649</v>
      </c>
      <c r="B5259" s="2" t="str">
        <f>IFERROR(__xludf.DUMMYFUNCTION("""COMPUTED_VALUE"""),"Medical")</f>
        <v>Medical</v>
      </c>
      <c r="C5259" s="2" t="str">
        <f>IFERROR(__xludf.DUMMYFUNCTION("""COMPUTED_VALUE"""),"Illustration")</f>
        <v>Illustration</v>
      </c>
      <c r="D5259" s="2" t="str">
        <f>IFERROR(__xludf.DUMMYFUNCTION("""COMPUTED_VALUE"""),"Cedarbrook Publishing House")</f>
        <v>Cedarbrook Publishing House</v>
      </c>
      <c r="E5259" s="2">
        <f>IFERROR(__xludf.DUMMYFUNCTION("""COMPUTED_VALUE"""),2.2)</f>
        <v>2.2</v>
      </c>
      <c r="F5259" s="2"/>
      <c r="G5259" s="2"/>
      <c r="H5259" s="2"/>
      <c r="I5259" s="2"/>
    </row>
    <row r="5260">
      <c r="A5260" s="2">
        <f>IFERROR(__xludf.DUMMYFUNCTION("""COMPUTED_VALUE"""),70426.0)</f>
        <v>70426</v>
      </c>
      <c r="B5260" s="2" t="str">
        <f>IFERROR(__xludf.DUMMYFUNCTION("""COMPUTED_VALUE"""),"Medical")</f>
        <v>Medical</v>
      </c>
      <c r="C5260" s="2" t="str">
        <f>IFERROR(__xludf.DUMMYFUNCTION("""COMPUTED_VALUE"""),"Illustration")</f>
        <v>Illustration</v>
      </c>
      <c r="D5260" s="2" t="str">
        <f>IFERROR(__xludf.DUMMYFUNCTION("""COMPUTED_VALUE"""),"Cedarbrook Publishing House")</f>
        <v>Cedarbrook Publishing House</v>
      </c>
      <c r="E5260" s="2">
        <f>IFERROR(__xludf.DUMMYFUNCTION("""COMPUTED_VALUE"""),1.91)</f>
        <v>1.91</v>
      </c>
      <c r="F5260" s="2"/>
      <c r="G5260" s="2"/>
      <c r="H5260" s="2"/>
      <c r="I5260" s="2"/>
    </row>
    <row r="5261">
      <c r="A5261" s="2">
        <f>IFERROR(__xludf.DUMMYFUNCTION("""COMPUTED_VALUE"""),75750.0)</f>
        <v>75750</v>
      </c>
      <c r="B5261" s="2" t="str">
        <f>IFERROR(__xludf.DUMMYFUNCTION("""COMPUTED_VALUE"""),"Medical")</f>
        <v>Medical</v>
      </c>
      <c r="C5261" s="2" t="str">
        <f>IFERROR(__xludf.DUMMYFUNCTION("""COMPUTED_VALUE"""),"Illustration")</f>
        <v>Illustration</v>
      </c>
      <c r="D5261" s="2" t="str">
        <f>IFERROR(__xludf.DUMMYFUNCTION("""COMPUTED_VALUE"""),"Cedarbrook Publishing House")</f>
        <v>Cedarbrook Publishing House</v>
      </c>
      <c r="E5261" s="2">
        <f>IFERROR(__xludf.DUMMYFUNCTION("""COMPUTED_VALUE"""),2.28)</f>
        <v>2.28</v>
      </c>
      <c r="F5261" s="2"/>
      <c r="G5261" s="2"/>
      <c r="H5261" s="2"/>
      <c r="I5261" s="2"/>
    </row>
    <row r="5262">
      <c r="A5262" s="2">
        <f>IFERROR(__xludf.DUMMYFUNCTION("""COMPUTED_VALUE"""),117644.0)</f>
        <v>117644</v>
      </c>
      <c r="B5262" s="2" t="str">
        <f>IFERROR(__xludf.DUMMYFUNCTION("""COMPUTED_VALUE"""),"Medical")</f>
        <v>Medical</v>
      </c>
      <c r="C5262" s="2" t="str">
        <f>IFERROR(__xludf.DUMMYFUNCTION("""COMPUTED_VALUE"""),"Illustration")</f>
        <v>Illustration</v>
      </c>
      <c r="D5262" s="2" t="str">
        <f>IFERROR(__xludf.DUMMYFUNCTION("""COMPUTED_VALUE"""),"Cedarbrook Publishing House")</f>
        <v>Cedarbrook Publishing House</v>
      </c>
      <c r="E5262" s="2">
        <f>IFERROR(__xludf.DUMMYFUNCTION("""COMPUTED_VALUE"""),2.68)</f>
        <v>2.68</v>
      </c>
      <c r="F5262" s="2"/>
      <c r="G5262" s="2"/>
      <c r="H5262" s="2"/>
      <c r="I5262" s="2"/>
    </row>
    <row r="5263">
      <c r="A5263" s="2">
        <f>IFERROR(__xludf.DUMMYFUNCTION("""COMPUTED_VALUE"""),68512.0)</f>
        <v>68512</v>
      </c>
      <c r="B5263" s="2" t="str">
        <f>IFERROR(__xludf.DUMMYFUNCTION("""COMPUTED_VALUE"""),"Medical")</f>
        <v>Medical</v>
      </c>
      <c r="C5263" s="2" t="str">
        <f>IFERROR(__xludf.DUMMYFUNCTION("""COMPUTED_VALUE"""),"Illustration")</f>
        <v>Illustration</v>
      </c>
      <c r="D5263" s="2" t="str">
        <f>IFERROR(__xludf.DUMMYFUNCTION("""COMPUTED_VALUE"""),"Cedarbrook Publishing House")</f>
        <v>Cedarbrook Publishing House</v>
      </c>
      <c r="E5263" s="2">
        <f>IFERROR(__xludf.DUMMYFUNCTION("""COMPUTED_VALUE"""),1.63)</f>
        <v>1.63</v>
      </c>
      <c r="F5263" s="2"/>
      <c r="G5263" s="2"/>
      <c r="H5263" s="2"/>
      <c r="I5263" s="2"/>
    </row>
    <row r="5264">
      <c r="A5264" s="2">
        <f>IFERROR(__xludf.DUMMYFUNCTION("""COMPUTED_VALUE"""),12792.0)</f>
        <v>12792</v>
      </c>
      <c r="B5264" s="2" t="str">
        <f>IFERROR(__xludf.DUMMYFUNCTION("""COMPUTED_VALUE"""),"Medical")</f>
        <v>Medical</v>
      </c>
      <c r="C5264" s="2" t="str">
        <f>IFERROR(__xludf.DUMMYFUNCTION("""COMPUTED_VALUE"""),"Illustration")</f>
        <v>Illustration</v>
      </c>
      <c r="D5264" s="2" t="str">
        <f>IFERROR(__xludf.DUMMYFUNCTION("""COMPUTED_VALUE"""),"Brightbrook Publishing House")</f>
        <v>Brightbrook Publishing House</v>
      </c>
      <c r="E5264" s="2">
        <f>IFERROR(__xludf.DUMMYFUNCTION("""COMPUTED_VALUE"""),2.42)</f>
        <v>2.42</v>
      </c>
      <c r="F5264" s="2"/>
      <c r="G5264" s="2"/>
      <c r="H5264" s="2"/>
      <c r="I5264" s="2"/>
    </row>
    <row r="5265">
      <c r="A5265" s="2">
        <f>IFERROR(__xludf.DUMMYFUNCTION("""COMPUTED_VALUE"""),46684.0)</f>
        <v>46684</v>
      </c>
      <c r="B5265" s="2" t="str">
        <f>IFERROR(__xludf.DUMMYFUNCTION("""COMPUTED_VALUE"""),"Medical")</f>
        <v>Medical</v>
      </c>
      <c r="C5265" s="2" t="str">
        <f>IFERROR(__xludf.DUMMYFUNCTION("""COMPUTED_VALUE"""),"Illustration")</f>
        <v>Illustration</v>
      </c>
      <c r="D5265" s="2" t="str">
        <f>IFERROR(__xludf.DUMMYFUNCTION("""COMPUTED_VALUE"""),"Brightbrook Publishing House")</f>
        <v>Brightbrook Publishing House</v>
      </c>
      <c r="E5265" s="2">
        <f>IFERROR(__xludf.DUMMYFUNCTION("""COMPUTED_VALUE"""),2.43)</f>
        <v>2.43</v>
      </c>
      <c r="F5265" s="2"/>
      <c r="G5265" s="2"/>
      <c r="H5265" s="2"/>
      <c r="I5265" s="2"/>
    </row>
    <row r="5266">
      <c r="A5266" s="2">
        <f>IFERROR(__xludf.DUMMYFUNCTION("""COMPUTED_VALUE"""),12795.0)</f>
        <v>12795</v>
      </c>
      <c r="B5266" s="2" t="str">
        <f>IFERROR(__xludf.DUMMYFUNCTION("""COMPUTED_VALUE"""),"Medical")</f>
        <v>Medical</v>
      </c>
      <c r="C5266" s="2" t="str">
        <f>IFERROR(__xludf.DUMMYFUNCTION("""COMPUTED_VALUE"""),"Illustration")</f>
        <v>Illustration</v>
      </c>
      <c r="D5266" s="2" t="str">
        <f>IFERROR(__xludf.DUMMYFUNCTION("""COMPUTED_VALUE"""),"Brightbrook Publishing House")</f>
        <v>Brightbrook Publishing House</v>
      </c>
      <c r="E5266" s="2">
        <f>IFERROR(__xludf.DUMMYFUNCTION("""COMPUTED_VALUE"""),2.51)</f>
        <v>2.51</v>
      </c>
      <c r="F5266" s="2"/>
      <c r="G5266" s="2"/>
      <c r="H5266" s="2"/>
      <c r="I5266" s="2"/>
    </row>
    <row r="5267">
      <c r="A5267" s="2">
        <f>IFERROR(__xludf.DUMMYFUNCTION("""COMPUTED_VALUE"""),46686.0)</f>
        <v>46686</v>
      </c>
      <c r="B5267" s="2" t="str">
        <f>IFERROR(__xludf.DUMMYFUNCTION("""COMPUTED_VALUE"""),"Medical")</f>
        <v>Medical</v>
      </c>
      <c r="C5267" s="2" t="str">
        <f>IFERROR(__xludf.DUMMYFUNCTION("""COMPUTED_VALUE"""),"Illustration")</f>
        <v>Illustration</v>
      </c>
      <c r="D5267" s="2" t="str">
        <f>IFERROR(__xludf.DUMMYFUNCTION("""COMPUTED_VALUE"""),"Brightbrook Publishing House")</f>
        <v>Brightbrook Publishing House</v>
      </c>
      <c r="E5267" s="2">
        <f>IFERROR(__xludf.DUMMYFUNCTION("""COMPUTED_VALUE"""),2.45)</f>
        <v>2.45</v>
      </c>
      <c r="F5267" s="2"/>
      <c r="G5267" s="2"/>
      <c r="H5267" s="2"/>
      <c r="I5267" s="2"/>
    </row>
    <row r="5268">
      <c r="A5268" s="2">
        <f>IFERROR(__xludf.DUMMYFUNCTION("""COMPUTED_VALUE"""),12804.0)</f>
        <v>12804</v>
      </c>
      <c r="B5268" s="2" t="str">
        <f>IFERROR(__xludf.DUMMYFUNCTION("""COMPUTED_VALUE"""),"Medical")</f>
        <v>Medical</v>
      </c>
      <c r="C5268" s="2" t="str">
        <f>IFERROR(__xludf.DUMMYFUNCTION("""COMPUTED_VALUE"""),"Illustration")</f>
        <v>Illustration</v>
      </c>
      <c r="D5268" s="2" t="str">
        <f>IFERROR(__xludf.DUMMYFUNCTION("""COMPUTED_VALUE"""),"Brightbrook Publishing House")</f>
        <v>Brightbrook Publishing House</v>
      </c>
      <c r="E5268" s="2">
        <f>IFERROR(__xludf.DUMMYFUNCTION("""COMPUTED_VALUE"""),1.84)</f>
        <v>1.84</v>
      </c>
      <c r="F5268" s="2"/>
      <c r="G5268" s="2"/>
      <c r="H5268" s="2"/>
      <c r="I5268" s="2"/>
    </row>
    <row r="5269">
      <c r="A5269" s="2">
        <f>IFERROR(__xludf.DUMMYFUNCTION("""COMPUTED_VALUE"""),12799.0)</f>
        <v>12799</v>
      </c>
      <c r="B5269" s="2" t="str">
        <f>IFERROR(__xludf.DUMMYFUNCTION("""COMPUTED_VALUE"""),"Medical")</f>
        <v>Medical</v>
      </c>
      <c r="C5269" s="2" t="str">
        <f>IFERROR(__xludf.DUMMYFUNCTION("""COMPUTED_VALUE"""),"Illustration")</f>
        <v>Illustration</v>
      </c>
      <c r="D5269" s="2" t="str">
        <f>IFERROR(__xludf.DUMMYFUNCTION("""COMPUTED_VALUE"""),"Brightbrook Publishing House")</f>
        <v>Brightbrook Publishing House</v>
      </c>
      <c r="E5269" s="2">
        <f>IFERROR(__xludf.DUMMYFUNCTION("""COMPUTED_VALUE"""),1.93)</f>
        <v>1.93</v>
      </c>
      <c r="F5269" s="2"/>
      <c r="G5269" s="2"/>
      <c r="H5269" s="2"/>
      <c r="I5269" s="2"/>
    </row>
    <row r="5270">
      <c r="A5270" s="2">
        <f>IFERROR(__xludf.DUMMYFUNCTION("""COMPUTED_VALUE"""),100914.0)</f>
        <v>100914</v>
      </c>
      <c r="B5270" s="2" t="str">
        <f>IFERROR(__xludf.DUMMYFUNCTION("""COMPUTED_VALUE"""),"Medical")</f>
        <v>Medical</v>
      </c>
      <c r="C5270" s="2" t="str">
        <f>IFERROR(__xludf.DUMMYFUNCTION("""COMPUTED_VALUE"""),"Illustration")</f>
        <v>Illustration</v>
      </c>
      <c r="D5270" s="2" t="str">
        <f>IFERROR(__xludf.DUMMYFUNCTION("""COMPUTED_VALUE"""),"Brightbrook Publishing House")</f>
        <v>Brightbrook Publishing House</v>
      </c>
      <c r="E5270" s="2">
        <f>IFERROR(__xludf.DUMMYFUNCTION("""COMPUTED_VALUE"""),2.08)</f>
        <v>2.08</v>
      </c>
      <c r="F5270" s="2"/>
      <c r="G5270" s="2"/>
      <c r="H5270" s="2"/>
      <c r="I5270" s="2"/>
    </row>
    <row r="5271">
      <c r="A5271" s="2">
        <f>IFERROR(__xludf.DUMMYFUNCTION("""COMPUTED_VALUE"""),12802.0)</f>
        <v>12802</v>
      </c>
      <c r="B5271" s="2" t="str">
        <f>IFERROR(__xludf.DUMMYFUNCTION("""COMPUTED_VALUE"""),"Medical")</f>
        <v>Medical</v>
      </c>
      <c r="C5271" s="2" t="str">
        <f>IFERROR(__xludf.DUMMYFUNCTION("""COMPUTED_VALUE"""),"Illustration")</f>
        <v>Illustration</v>
      </c>
      <c r="D5271" s="2" t="str">
        <f>IFERROR(__xludf.DUMMYFUNCTION("""COMPUTED_VALUE"""),"Brightbrook Publishing House")</f>
        <v>Brightbrook Publishing House</v>
      </c>
      <c r="E5271" s="2">
        <f>IFERROR(__xludf.DUMMYFUNCTION("""COMPUTED_VALUE"""),2.14)</f>
        <v>2.14</v>
      </c>
      <c r="F5271" s="2"/>
      <c r="G5271" s="2"/>
      <c r="H5271" s="2"/>
      <c r="I5271" s="2"/>
    </row>
    <row r="5272">
      <c r="A5272" s="2">
        <f>IFERROR(__xludf.DUMMYFUNCTION("""COMPUTED_VALUE"""),100907.0)</f>
        <v>100907</v>
      </c>
      <c r="B5272" s="2" t="str">
        <f>IFERROR(__xludf.DUMMYFUNCTION("""COMPUTED_VALUE"""),"Medical")</f>
        <v>Medical</v>
      </c>
      <c r="C5272" s="2" t="str">
        <f>IFERROR(__xludf.DUMMYFUNCTION("""COMPUTED_VALUE"""),"Illustration")</f>
        <v>Illustration</v>
      </c>
      <c r="D5272" s="2" t="str">
        <f>IFERROR(__xludf.DUMMYFUNCTION("""COMPUTED_VALUE"""),"Brightbrook Publishing House")</f>
        <v>Brightbrook Publishing House</v>
      </c>
      <c r="E5272" s="2">
        <f>IFERROR(__xludf.DUMMYFUNCTION("""COMPUTED_VALUE"""),2.25)</f>
        <v>2.25</v>
      </c>
      <c r="F5272" s="2"/>
      <c r="G5272" s="2"/>
      <c r="H5272" s="2"/>
      <c r="I5272" s="2"/>
    </row>
    <row r="5273">
      <c r="A5273" s="2">
        <f>IFERROR(__xludf.DUMMYFUNCTION("""COMPUTED_VALUE"""),12794.0)</f>
        <v>12794</v>
      </c>
      <c r="B5273" s="2" t="str">
        <f>IFERROR(__xludf.DUMMYFUNCTION("""COMPUTED_VALUE"""),"Medical")</f>
        <v>Medical</v>
      </c>
      <c r="C5273" s="2" t="str">
        <f>IFERROR(__xludf.DUMMYFUNCTION("""COMPUTED_VALUE"""),"Illustration")</f>
        <v>Illustration</v>
      </c>
      <c r="D5273" s="2" t="str">
        <f>IFERROR(__xludf.DUMMYFUNCTION("""COMPUTED_VALUE"""),"Brightbrook Publishing House")</f>
        <v>Brightbrook Publishing House</v>
      </c>
      <c r="E5273" s="2">
        <f>IFERROR(__xludf.DUMMYFUNCTION("""COMPUTED_VALUE"""),1.88)</f>
        <v>1.88</v>
      </c>
      <c r="F5273" s="2"/>
      <c r="G5273" s="2"/>
      <c r="H5273" s="2"/>
      <c r="I5273" s="2"/>
    </row>
    <row r="5274">
      <c r="A5274" s="2">
        <f>IFERROR(__xludf.DUMMYFUNCTION("""COMPUTED_VALUE"""),4261.0)</f>
        <v>4261</v>
      </c>
      <c r="B5274" s="2" t="str">
        <f>IFERROR(__xludf.DUMMYFUNCTION("""COMPUTED_VALUE"""),"Medical")</f>
        <v>Medical</v>
      </c>
      <c r="C5274" s="2" t="str">
        <f>IFERROR(__xludf.DUMMYFUNCTION("""COMPUTED_VALUE"""),"Digital Art")</f>
        <v>Digital Art</v>
      </c>
      <c r="D5274" s="2" t="str">
        <f>IFERROR(__xludf.DUMMYFUNCTION("""COMPUTED_VALUE"""),"Oakbrook Publishing House")</f>
        <v>Oakbrook Publishing House</v>
      </c>
      <c r="E5274" s="2">
        <f>IFERROR(__xludf.DUMMYFUNCTION("""COMPUTED_VALUE"""),2.39)</f>
        <v>2.39</v>
      </c>
      <c r="F5274" s="2"/>
      <c r="G5274" s="2"/>
      <c r="H5274" s="2"/>
      <c r="I5274" s="2"/>
    </row>
    <row r="5275">
      <c r="A5275" s="2">
        <f>IFERROR(__xludf.DUMMYFUNCTION("""COMPUTED_VALUE"""),9656.0)</f>
        <v>9656</v>
      </c>
      <c r="B5275" s="2" t="str">
        <f>IFERROR(__xludf.DUMMYFUNCTION("""COMPUTED_VALUE"""),"Medical")</f>
        <v>Medical</v>
      </c>
      <c r="C5275" s="2" t="str">
        <f>IFERROR(__xludf.DUMMYFUNCTION("""COMPUTED_VALUE"""),"Digital Art")</f>
        <v>Digital Art</v>
      </c>
      <c r="D5275" s="2" t="str">
        <f>IFERROR(__xludf.DUMMYFUNCTION("""COMPUTED_VALUE"""),"Oakbrook Publishing House")</f>
        <v>Oakbrook Publishing House</v>
      </c>
      <c r="E5275" s="2">
        <f>IFERROR(__xludf.DUMMYFUNCTION("""COMPUTED_VALUE"""),1.97)</f>
        <v>1.97</v>
      </c>
      <c r="F5275" s="2"/>
      <c r="G5275" s="2"/>
      <c r="H5275" s="2"/>
      <c r="I5275" s="2"/>
    </row>
    <row r="5276">
      <c r="A5276" s="2">
        <f>IFERROR(__xludf.DUMMYFUNCTION("""COMPUTED_VALUE"""),9657.0)</f>
        <v>9657</v>
      </c>
      <c r="B5276" s="2" t="str">
        <f>IFERROR(__xludf.DUMMYFUNCTION("""COMPUTED_VALUE"""),"Medical")</f>
        <v>Medical</v>
      </c>
      <c r="C5276" s="2" t="str">
        <f>IFERROR(__xludf.DUMMYFUNCTION("""COMPUTED_VALUE"""),"Digital Art")</f>
        <v>Digital Art</v>
      </c>
      <c r="D5276" s="2" t="str">
        <f>IFERROR(__xludf.DUMMYFUNCTION("""COMPUTED_VALUE"""),"Oakbrook Publishing House")</f>
        <v>Oakbrook Publishing House</v>
      </c>
      <c r="E5276" s="2">
        <f>IFERROR(__xludf.DUMMYFUNCTION("""COMPUTED_VALUE"""),1.86)</f>
        <v>1.86</v>
      </c>
      <c r="F5276" s="2"/>
      <c r="G5276" s="2"/>
      <c r="H5276" s="2"/>
      <c r="I5276" s="2"/>
    </row>
    <row r="5277">
      <c r="A5277" s="2">
        <f>IFERROR(__xludf.DUMMYFUNCTION("""COMPUTED_VALUE"""),9660.0)</f>
        <v>9660</v>
      </c>
      <c r="B5277" s="2" t="str">
        <f>IFERROR(__xludf.DUMMYFUNCTION("""COMPUTED_VALUE"""),"Medical")</f>
        <v>Medical</v>
      </c>
      <c r="C5277" s="2" t="str">
        <f>IFERROR(__xludf.DUMMYFUNCTION("""COMPUTED_VALUE"""),"Digital Art")</f>
        <v>Digital Art</v>
      </c>
      <c r="D5277" s="2" t="str">
        <f>IFERROR(__xludf.DUMMYFUNCTION("""COMPUTED_VALUE"""),"Oakbrook Publishing House")</f>
        <v>Oakbrook Publishing House</v>
      </c>
      <c r="E5277" s="2">
        <f>IFERROR(__xludf.DUMMYFUNCTION("""COMPUTED_VALUE"""),2.09)</f>
        <v>2.09</v>
      </c>
      <c r="F5277" s="2"/>
      <c r="G5277" s="2"/>
      <c r="H5277" s="2"/>
      <c r="I5277" s="2"/>
    </row>
    <row r="5278">
      <c r="A5278" s="2">
        <f>IFERROR(__xludf.DUMMYFUNCTION("""COMPUTED_VALUE"""),9648.0)</f>
        <v>9648</v>
      </c>
      <c r="B5278" s="2" t="str">
        <f>IFERROR(__xludf.DUMMYFUNCTION("""COMPUTED_VALUE"""),"Medical")</f>
        <v>Medical</v>
      </c>
      <c r="C5278" s="2" t="str">
        <f>IFERROR(__xludf.DUMMYFUNCTION("""COMPUTED_VALUE"""),"Digital Art")</f>
        <v>Digital Art</v>
      </c>
      <c r="D5278" s="2" t="str">
        <f>IFERROR(__xludf.DUMMYFUNCTION("""COMPUTED_VALUE"""),"Riverbrook Publishing House")</f>
        <v>Riverbrook Publishing House</v>
      </c>
      <c r="E5278" s="2">
        <f>IFERROR(__xludf.DUMMYFUNCTION("""COMPUTED_VALUE"""),1.87)</f>
        <v>1.87</v>
      </c>
      <c r="F5278" s="2"/>
      <c r="G5278" s="2"/>
      <c r="H5278" s="2"/>
      <c r="I5278" s="2"/>
    </row>
    <row r="5279">
      <c r="A5279" s="2">
        <f>IFERROR(__xludf.DUMMYFUNCTION("""COMPUTED_VALUE"""),79424.0)</f>
        <v>79424</v>
      </c>
      <c r="B5279" s="2" t="str">
        <f>IFERROR(__xludf.DUMMYFUNCTION("""COMPUTED_VALUE"""),"Medical")</f>
        <v>Medical</v>
      </c>
      <c r="C5279" s="2" t="str">
        <f>IFERROR(__xludf.DUMMYFUNCTION("""COMPUTED_VALUE"""),"Digital Art")</f>
        <v>Digital Art</v>
      </c>
      <c r="D5279" s="2" t="str">
        <f>IFERROR(__xludf.DUMMYFUNCTION("""COMPUTED_VALUE"""),"Riverbrook Publishing House")</f>
        <v>Riverbrook Publishing House</v>
      </c>
      <c r="E5279" s="2">
        <f>IFERROR(__xludf.DUMMYFUNCTION("""COMPUTED_VALUE"""),2.07)</f>
        <v>2.07</v>
      </c>
      <c r="F5279" s="2"/>
      <c r="G5279" s="2"/>
      <c r="H5279" s="2"/>
      <c r="I5279" s="2"/>
    </row>
    <row r="5280">
      <c r="A5280" s="2">
        <f>IFERROR(__xludf.DUMMYFUNCTION("""COMPUTED_VALUE"""),4267.0)</f>
        <v>4267</v>
      </c>
      <c r="B5280" s="2" t="str">
        <f>IFERROR(__xludf.DUMMYFUNCTION("""COMPUTED_VALUE"""),"Medical")</f>
        <v>Medical</v>
      </c>
      <c r="C5280" s="2" t="str">
        <f>IFERROR(__xludf.DUMMYFUNCTION("""COMPUTED_VALUE"""),"Digital Art")</f>
        <v>Digital Art</v>
      </c>
      <c r="D5280" s="2" t="str">
        <f>IFERROR(__xludf.DUMMYFUNCTION("""COMPUTED_VALUE"""),"Riverbrook Publishing House")</f>
        <v>Riverbrook Publishing House</v>
      </c>
      <c r="E5280" s="2">
        <f>IFERROR(__xludf.DUMMYFUNCTION("""COMPUTED_VALUE"""),2.45)</f>
        <v>2.45</v>
      </c>
      <c r="F5280" s="2"/>
      <c r="G5280" s="2"/>
      <c r="H5280" s="2"/>
      <c r="I5280" s="2"/>
    </row>
    <row r="5281">
      <c r="A5281" s="2">
        <f>IFERROR(__xludf.DUMMYFUNCTION("""COMPUTED_VALUE"""),9647.0)</f>
        <v>9647</v>
      </c>
      <c r="B5281" s="2" t="str">
        <f>IFERROR(__xludf.DUMMYFUNCTION("""COMPUTED_VALUE"""),"Medical")</f>
        <v>Medical</v>
      </c>
      <c r="C5281" s="2" t="str">
        <f>IFERROR(__xludf.DUMMYFUNCTION("""COMPUTED_VALUE"""),"Digital Art")</f>
        <v>Digital Art</v>
      </c>
      <c r="D5281" s="2" t="str">
        <f>IFERROR(__xludf.DUMMYFUNCTION("""COMPUTED_VALUE"""),"Riverbrook Publishing House")</f>
        <v>Riverbrook Publishing House</v>
      </c>
      <c r="E5281" s="2">
        <f>IFERROR(__xludf.DUMMYFUNCTION("""COMPUTED_VALUE"""),2.31)</f>
        <v>2.31</v>
      </c>
      <c r="F5281" s="2"/>
      <c r="G5281" s="2"/>
      <c r="H5281" s="2"/>
      <c r="I5281" s="2"/>
    </row>
    <row r="5282">
      <c r="A5282" s="2">
        <f>IFERROR(__xludf.DUMMYFUNCTION("""COMPUTED_VALUE"""),110772.0)</f>
        <v>110772</v>
      </c>
      <c r="B5282" s="2" t="str">
        <f>IFERROR(__xludf.DUMMYFUNCTION("""COMPUTED_VALUE"""),"Medical")</f>
        <v>Medical</v>
      </c>
      <c r="C5282" s="2" t="str">
        <f>IFERROR(__xludf.DUMMYFUNCTION("""COMPUTED_VALUE"""),"Digital Art")</f>
        <v>Digital Art</v>
      </c>
      <c r="D5282" s="2" t="str">
        <f>IFERROR(__xludf.DUMMYFUNCTION("""COMPUTED_VALUE"""),"Riverbrook Publishing House")</f>
        <v>Riverbrook Publishing House</v>
      </c>
      <c r="E5282" s="2">
        <f>IFERROR(__xludf.DUMMYFUNCTION("""COMPUTED_VALUE"""),1.23)</f>
        <v>1.23</v>
      </c>
      <c r="F5282" s="2"/>
      <c r="G5282" s="2"/>
      <c r="H5282" s="2"/>
      <c r="I5282" s="2"/>
    </row>
    <row r="5283">
      <c r="A5283" s="2">
        <f>IFERROR(__xludf.DUMMYFUNCTION("""COMPUTED_VALUE"""),4255.0)</f>
        <v>4255</v>
      </c>
      <c r="B5283" s="2" t="str">
        <f>IFERROR(__xludf.DUMMYFUNCTION("""COMPUTED_VALUE"""),"Medical")</f>
        <v>Medical</v>
      </c>
      <c r="C5283" s="2" t="str">
        <f>IFERROR(__xludf.DUMMYFUNCTION("""COMPUTED_VALUE"""),"Digital Art")</f>
        <v>Digital Art</v>
      </c>
      <c r="D5283" s="2" t="str">
        <f>IFERROR(__xludf.DUMMYFUNCTION("""COMPUTED_VALUE"""),"Riverbrook Publishing House")</f>
        <v>Riverbrook Publishing House</v>
      </c>
      <c r="E5283" s="2">
        <f>IFERROR(__xludf.DUMMYFUNCTION("""COMPUTED_VALUE"""),2.14)</f>
        <v>2.14</v>
      </c>
      <c r="F5283" s="2"/>
      <c r="G5283" s="2"/>
      <c r="H5283" s="2"/>
      <c r="I5283" s="2"/>
    </row>
    <row r="5284">
      <c r="A5284" s="2">
        <f>IFERROR(__xludf.DUMMYFUNCTION("""COMPUTED_VALUE"""),4270.0)</f>
        <v>4270</v>
      </c>
      <c r="B5284" s="2" t="str">
        <f>IFERROR(__xludf.DUMMYFUNCTION("""COMPUTED_VALUE"""),"Medical")</f>
        <v>Medical</v>
      </c>
      <c r="C5284" s="2" t="str">
        <f>IFERROR(__xludf.DUMMYFUNCTION("""COMPUTED_VALUE"""),"Digital Art")</f>
        <v>Digital Art</v>
      </c>
      <c r="D5284" s="2" t="str">
        <f>IFERROR(__xludf.DUMMYFUNCTION("""COMPUTED_VALUE"""),"Riverbrook Publishing House")</f>
        <v>Riverbrook Publishing House</v>
      </c>
      <c r="E5284" s="2">
        <f>IFERROR(__xludf.DUMMYFUNCTION("""COMPUTED_VALUE"""),3.06)</f>
        <v>3.06</v>
      </c>
      <c r="F5284" s="2"/>
      <c r="G5284" s="2"/>
      <c r="H5284" s="2"/>
      <c r="I5284" s="2"/>
    </row>
    <row r="5285">
      <c r="A5285" s="2">
        <f>IFERROR(__xludf.DUMMYFUNCTION("""COMPUTED_VALUE"""),4264.0)</f>
        <v>4264</v>
      </c>
      <c r="B5285" s="2" t="str">
        <f>IFERROR(__xludf.DUMMYFUNCTION("""COMPUTED_VALUE"""),"Medical")</f>
        <v>Medical</v>
      </c>
      <c r="C5285" s="2" t="str">
        <f>IFERROR(__xludf.DUMMYFUNCTION("""COMPUTED_VALUE"""),"Digital Art")</f>
        <v>Digital Art</v>
      </c>
      <c r="D5285" s="2" t="str">
        <f>IFERROR(__xludf.DUMMYFUNCTION("""COMPUTED_VALUE"""),"Riverbrook Publishing House")</f>
        <v>Riverbrook Publishing House</v>
      </c>
      <c r="E5285" s="2">
        <f>IFERROR(__xludf.DUMMYFUNCTION("""COMPUTED_VALUE"""),2.14)</f>
        <v>2.14</v>
      </c>
      <c r="F5285" s="2"/>
      <c r="G5285" s="2"/>
      <c r="H5285" s="2"/>
      <c r="I5285" s="2"/>
    </row>
    <row r="5286">
      <c r="A5286" s="2">
        <f>IFERROR(__xludf.DUMMYFUNCTION("""COMPUTED_VALUE"""),4271.0)</f>
        <v>4271</v>
      </c>
      <c r="B5286" s="2" t="str">
        <f>IFERROR(__xludf.DUMMYFUNCTION("""COMPUTED_VALUE"""),"Medical")</f>
        <v>Medical</v>
      </c>
      <c r="C5286" s="2" t="str">
        <f>IFERROR(__xludf.DUMMYFUNCTION("""COMPUTED_VALUE"""),"Digital Art")</f>
        <v>Digital Art</v>
      </c>
      <c r="D5286" s="2" t="str">
        <f>IFERROR(__xludf.DUMMYFUNCTION("""COMPUTED_VALUE"""),"Riverbrook Publishing House")</f>
        <v>Riverbrook Publishing House</v>
      </c>
      <c r="E5286" s="2">
        <f>IFERROR(__xludf.DUMMYFUNCTION("""COMPUTED_VALUE"""),3.43)</f>
        <v>3.43</v>
      </c>
      <c r="F5286" s="2"/>
      <c r="G5286" s="2"/>
      <c r="H5286" s="2"/>
      <c r="I5286" s="2"/>
    </row>
    <row r="5287">
      <c r="A5287" s="2">
        <f>IFERROR(__xludf.DUMMYFUNCTION("""COMPUTED_VALUE"""),79428.0)</f>
        <v>79428</v>
      </c>
      <c r="B5287" s="2" t="str">
        <f>IFERROR(__xludf.DUMMYFUNCTION("""COMPUTED_VALUE"""),"Medical")</f>
        <v>Medical</v>
      </c>
      <c r="C5287" s="2" t="str">
        <f>IFERROR(__xludf.DUMMYFUNCTION("""COMPUTED_VALUE"""),"Digital Art")</f>
        <v>Digital Art</v>
      </c>
      <c r="D5287" s="2" t="str">
        <f>IFERROR(__xludf.DUMMYFUNCTION("""COMPUTED_VALUE"""),"Riverbrook Publishing House")</f>
        <v>Riverbrook Publishing House</v>
      </c>
      <c r="E5287" s="2">
        <f>IFERROR(__xludf.DUMMYFUNCTION("""COMPUTED_VALUE"""),2.05)</f>
        <v>2.05</v>
      </c>
      <c r="F5287" s="2"/>
      <c r="G5287" s="2"/>
      <c r="H5287" s="2"/>
      <c r="I5287" s="2"/>
    </row>
    <row r="5288">
      <c r="A5288" s="2">
        <f>IFERROR(__xludf.DUMMYFUNCTION("""COMPUTED_VALUE"""),68509.0)</f>
        <v>68509</v>
      </c>
      <c r="B5288" s="2" t="str">
        <f>IFERROR(__xludf.DUMMYFUNCTION("""COMPUTED_VALUE"""),"Medical")</f>
        <v>Medical</v>
      </c>
      <c r="C5288" s="2" t="str">
        <f>IFERROR(__xludf.DUMMYFUNCTION("""COMPUTED_VALUE"""),"Digital Art")</f>
        <v>Digital Art</v>
      </c>
      <c r="D5288" s="2" t="str">
        <f>IFERROR(__xludf.DUMMYFUNCTION("""COMPUTED_VALUE"""),"Ironbrook Publishing House")</f>
        <v>Ironbrook Publishing House</v>
      </c>
      <c r="E5288" s="2">
        <f>IFERROR(__xludf.DUMMYFUNCTION("""COMPUTED_VALUE"""),1.99)</f>
        <v>1.99</v>
      </c>
      <c r="F5288" s="2"/>
      <c r="G5288" s="2"/>
      <c r="H5288" s="2"/>
      <c r="I5288" s="2"/>
    </row>
    <row r="5289">
      <c r="A5289" s="2">
        <f>IFERROR(__xludf.DUMMYFUNCTION("""COMPUTED_VALUE"""),112104.0)</f>
        <v>112104</v>
      </c>
      <c r="B5289" s="2" t="str">
        <f>IFERROR(__xludf.DUMMYFUNCTION("""COMPUTED_VALUE"""),"Medical")</f>
        <v>Medical</v>
      </c>
      <c r="C5289" s="2" t="str">
        <f>IFERROR(__xludf.DUMMYFUNCTION("""COMPUTED_VALUE"""),"Digital Art")</f>
        <v>Digital Art</v>
      </c>
      <c r="D5289" s="2" t="str">
        <f>IFERROR(__xludf.DUMMYFUNCTION("""COMPUTED_VALUE"""),"Ironbrook Publishing House")</f>
        <v>Ironbrook Publishing House</v>
      </c>
      <c r="E5289" s="2">
        <f>IFERROR(__xludf.DUMMYFUNCTION("""COMPUTED_VALUE"""),1.84)</f>
        <v>1.84</v>
      </c>
      <c r="F5289" s="2"/>
      <c r="G5289" s="2"/>
      <c r="H5289" s="2"/>
      <c r="I5289" s="2"/>
    </row>
    <row r="5290">
      <c r="A5290" s="2">
        <f>IFERROR(__xludf.DUMMYFUNCTION("""COMPUTED_VALUE"""),79885.0)</f>
        <v>79885</v>
      </c>
      <c r="B5290" s="2" t="str">
        <f>IFERROR(__xludf.DUMMYFUNCTION("""COMPUTED_VALUE"""),"Medical")</f>
        <v>Medical</v>
      </c>
      <c r="C5290" s="2" t="str">
        <f>IFERROR(__xludf.DUMMYFUNCTION("""COMPUTED_VALUE"""),"Digital Art")</f>
        <v>Digital Art</v>
      </c>
      <c r="D5290" s="2" t="str">
        <f>IFERROR(__xludf.DUMMYFUNCTION("""COMPUTED_VALUE"""),"Ironbrook Publishing House")</f>
        <v>Ironbrook Publishing House</v>
      </c>
      <c r="E5290" s="2">
        <f>IFERROR(__xludf.DUMMYFUNCTION("""COMPUTED_VALUE"""),1.99)</f>
        <v>1.99</v>
      </c>
      <c r="F5290" s="2"/>
      <c r="G5290" s="2"/>
      <c r="H5290" s="2"/>
      <c r="I5290" s="2"/>
    </row>
    <row r="5291">
      <c r="A5291" s="2">
        <f>IFERROR(__xludf.DUMMYFUNCTION("""COMPUTED_VALUE"""),6876.0)</f>
        <v>6876</v>
      </c>
      <c r="B5291" s="2" t="str">
        <f>IFERROR(__xludf.DUMMYFUNCTION("""COMPUTED_VALUE"""),"Medical")</f>
        <v>Medical</v>
      </c>
      <c r="C5291" s="2" t="str">
        <f>IFERROR(__xludf.DUMMYFUNCTION("""COMPUTED_VALUE"""),"Digital Art")</f>
        <v>Digital Art</v>
      </c>
      <c r="D5291" s="2" t="str">
        <f>IFERROR(__xludf.DUMMYFUNCTION("""COMPUTED_VALUE"""),"Ironbrook Publishing House")</f>
        <v>Ironbrook Publishing House</v>
      </c>
      <c r="E5291" s="2">
        <f>IFERROR(__xludf.DUMMYFUNCTION("""COMPUTED_VALUE"""),2.4)</f>
        <v>2.4</v>
      </c>
      <c r="F5291" s="2"/>
      <c r="G5291" s="2"/>
      <c r="H5291" s="2"/>
      <c r="I5291" s="2"/>
    </row>
    <row r="5292">
      <c r="A5292" s="2">
        <f>IFERROR(__xludf.DUMMYFUNCTION("""COMPUTED_VALUE"""),79427.0)</f>
        <v>79427</v>
      </c>
      <c r="B5292" s="2" t="str">
        <f>IFERROR(__xludf.DUMMYFUNCTION("""COMPUTED_VALUE"""),"Medical")</f>
        <v>Medical</v>
      </c>
      <c r="C5292" s="2" t="str">
        <f>IFERROR(__xludf.DUMMYFUNCTION("""COMPUTED_VALUE"""),"Digital Art")</f>
        <v>Digital Art</v>
      </c>
      <c r="D5292" s="2" t="str">
        <f>IFERROR(__xludf.DUMMYFUNCTION("""COMPUTED_VALUE"""),"Ironbrook Publishing House")</f>
        <v>Ironbrook Publishing House</v>
      </c>
      <c r="E5292" s="2">
        <f>IFERROR(__xludf.DUMMYFUNCTION("""COMPUTED_VALUE"""),1.37)</f>
        <v>1.37</v>
      </c>
      <c r="F5292" s="2"/>
      <c r="G5292" s="2"/>
      <c r="H5292" s="2"/>
      <c r="I5292" s="2"/>
    </row>
    <row r="5293">
      <c r="A5293" s="2">
        <f>IFERROR(__xludf.DUMMYFUNCTION("""COMPUTED_VALUE"""),44828.0)</f>
        <v>44828</v>
      </c>
      <c r="B5293" s="2" t="str">
        <f>IFERROR(__xludf.DUMMYFUNCTION("""COMPUTED_VALUE"""),"Medical")</f>
        <v>Medical</v>
      </c>
      <c r="C5293" s="2" t="str">
        <f>IFERROR(__xludf.DUMMYFUNCTION("""COMPUTED_VALUE"""),"Digital Art")</f>
        <v>Digital Art</v>
      </c>
      <c r="D5293" s="2" t="str">
        <f>IFERROR(__xludf.DUMMYFUNCTION("""COMPUTED_VALUE"""),"Ironbrook Publishing House")</f>
        <v>Ironbrook Publishing House</v>
      </c>
      <c r="E5293" s="2">
        <f>IFERROR(__xludf.DUMMYFUNCTION("""COMPUTED_VALUE"""),1.67)</f>
        <v>1.67</v>
      </c>
      <c r="F5293" s="2"/>
      <c r="G5293" s="2"/>
      <c r="H5293" s="2"/>
      <c r="I5293" s="2"/>
    </row>
    <row r="5294">
      <c r="A5294" s="2">
        <f>IFERROR(__xludf.DUMMYFUNCTION("""COMPUTED_VALUE"""),122213.0)</f>
        <v>122213</v>
      </c>
      <c r="B5294" s="2" t="str">
        <f>IFERROR(__xludf.DUMMYFUNCTION("""COMPUTED_VALUE"""),"Medical")</f>
        <v>Medical</v>
      </c>
      <c r="C5294" s="2" t="str">
        <f>IFERROR(__xludf.DUMMYFUNCTION("""COMPUTED_VALUE"""),"Digital Art")</f>
        <v>Digital Art</v>
      </c>
      <c r="D5294" s="2" t="str">
        <f>IFERROR(__xludf.DUMMYFUNCTION("""COMPUTED_VALUE"""),"Ironbrook Publishing House")</f>
        <v>Ironbrook Publishing House</v>
      </c>
      <c r="E5294" s="2">
        <f>IFERROR(__xludf.DUMMYFUNCTION("""COMPUTED_VALUE"""),1.55)</f>
        <v>1.55</v>
      </c>
      <c r="F5294" s="2"/>
      <c r="G5294" s="2"/>
      <c r="H5294" s="2"/>
      <c r="I5294" s="2"/>
    </row>
    <row r="5295">
      <c r="A5295" s="2">
        <f>IFERROR(__xludf.DUMMYFUNCTION("""COMPUTED_VALUE"""),46903.0)</f>
        <v>46903</v>
      </c>
      <c r="B5295" s="2" t="str">
        <f>IFERROR(__xludf.DUMMYFUNCTION("""COMPUTED_VALUE"""),"Medical")</f>
        <v>Medical</v>
      </c>
      <c r="C5295" s="2" t="str">
        <f>IFERROR(__xludf.DUMMYFUNCTION("""COMPUTED_VALUE"""),"Digital Art")</f>
        <v>Digital Art</v>
      </c>
      <c r="D5295" s="2" t="str">
        <f>IFERROR(__xludf.DUMMYFUNCTION("""COMPUTED_VALUE"""),"Ironbrook Publishing House")</f>
        <v>Ironbrook Publishing House</v>
      </c>
      <c r="E5295" s="2">
        <f>IFERROR(__xludf.DUMMYFUNCTION("""COMPUTED_VALUE"""),1.57)</f>
        <v>1.57</v>
      </c>
      <c r="F5295" s="2"/>
      <c r="G5295" s="2"/>
      <c r="H5295" s="2"/>
      <c r="I5295" s="2"/>
    </row>
    <row r="5296">
      <c r="A5296" s="2">
        <f>IFERROR(__xludf.DUMMYFUNCTION("""COMPUTED_VALUE"""),80359.0)</f>
        <v>80359</v>
      </c>
      <c r="B5296" s="2" t="str">
        <f>IFERROR(__xludf.DUMMYFUNCTION("""COMPUTED_VALUE"""),"Medical")</f>
        <v>Medical</v>
      </c>
      <c r="C5296" s="2" t="str">
        <f>IFERROR(__xludf.DUMMYFUNCTION("""COMPUTED_VALUE"""),"Digital Art")</f>
        <v>Digital Art</v>
      </c>
      <c r="D5296" s="2" t="str">
        <f>IFERROR(__xludf.DUMMYFUNCTION("""COMPUTED_VALUE"""),"Ironbrook Publishing House")</f>
        <v>Ironbrook Publishing House</v>
      </c>
      <c r="E5296" s="2">
        <f>IFERROR(__xludf.DUMMYFUNCTION("""COMPUTED_VALUE"""),2.28)</f>
        <v>2.28</v>
      </c>
      <c r="F5296" s="2"/>
      <c r="G5296" s="2"/>
      <c r="H5296" s="2"/>
      <c r="I5296" s="2"/>
    </row>
    <row r="5297">
      <c r="A5297" s="2">
        <f>IFERROR(__xludf.DUMMYFUNCTION("""COMPUTED_VALUE"""),44827.0)</f>
        <v>44827</v>
      </c>
      <c r="B5297" s="2" t="str">
        <f>IFERROR(__xludf.DUMMYFUNCTION("""COMPUTED_VALUE"""),"Medical")</f>
        <v>Medical</v>
      </c>
      <c r="C5297" s="2" t="str">
        <f>IFERROR(__xludf.DUMMYFUNCTION("""COMPUTED_VALUE"""),"Digital Art")</f>
        <v>Digital Art</v>
      </c>
      <c r="D5297" s="2" t="str">
        <f>IFERROR(__xludf.DUMMYFUNCTION("""COMPUTED_VALUE"""),"Ironbrook Publishing House")</f>
        <v>Ironbrook Publishing House</v>
      </c>
      <c r="E5297" s="2">
        <f>IFERROR(__xludf.DUMMYFUNCTION("""COMPUTED_VALUE"""),1.22)</f>
        <v>1.22</v>
      </c>
      <c r="F5297" s="2"/>
      <c r="G5297" s="2"/>
      <c r="H5297" s="2"/>
      <c r="I5297" s="2"/>
    </row>
    <row r="5298">
      <c r="A5298" s="2">
        <f>IFERROR(__xludf.DUMMYFUNCTION("""COMPUTED_VALUE"""),79882.0)</f>
        <v>79882</v>
      </c>
      <c r="B5298" s="2" t="str">
        <f>IFERROR(__xludf.DUMMYFUNCTION("""COMPUTED_VALUE"""),"Medical")</f>
        <v>Medical</v>
      </c>
      <c r="C5298" s="2" t="str">
        <f>IFERROR(__xludf.DUMMYFUNCTION("""COMPUTED_VALUE"""),"Digital Art")</f>
        <v>Digital Art</v>
      </c>
      <c r="D5298" s="2" t="str">
        <f>IFERROR(__xludf.DUMMYFUNCTION("""COMPUTED_VALUE"""),"Ironbrook Publishing House")</f>
        <v>Ironbrook Publishing House</v>
      </c>
      <c r="E5298" s="2">
        <f>IFERROR(__xludf.DUMMYFUNCTION("""COMPUTED_VALUE"""),1.86)</f>
        <v>1.86</v>
      </c>
      <c r="F5298" s="2"/>
      <c r="G5298" s="2"/>
      <c r="H5298" s="2"/>
      <c r="I5298" s="2"/>
    </row>
    <row r="5299">
      <c r="A5299" s="2">
        <f>IFERROR(__xludf.DUMMYFUNCTION("""COMPUTED_VALUE"""),11065.0)</f>
        <v>11065</v>
      </c>
      <c r="B5299" s="2" t="str">
        <f>IFERROR(__xludf.DUMMYFUNCTION("""COMPUTED_VALUE"""),"Medical")</f>
        <v>Medical</v>
      </c>
      <c r="C5299" s="2" t="str">
        <f>IFERROR(__xludf.DUMMYFUNCTION("""COMPUTED_VALUE"""),"Digital Art")</f>
        <v>Digital Art</v>
      </c>
      <c r="D5299" s="2" t="str">
        <f>IFERROR(__xludf.DUMMYFUNCTION("""COMPUTED_VALUE"""),"Ironbrook Publishing House")</f>
        <v>Ironbrook Publishing House</v>
      </c>
      <c r="E5299" s="2">
        <f>IFERROR(__xludf.DUMMYFUNCTION("""COMPUTED_VALUE"""),1.56)</f>
        <v>1.56</v>
      </c>
      <c r="F5299" s="2"/>
      <c r="G5299" s="2"/>
      <c r="H5299" s="2"/>
      <c r="I5299" s="2"/>
    </row>
    <row r="5300">
      <c r="A5300" s="2">
        <f>IFERROR(__xludf.DUMMYFUNCTION("""COMPUTED_VALUE"""),41991.0)</f>
        <v>41991</v>
      </c>
      <c r="B5300" s="2" t="str">
        <f>IFERROR(__xludf.DUMMYFUNCTION("""COMPUTED_VALUE"""),"Medical")</f>
        <v>Medical</v>
      </c>
      <c r="C5300" s="2" t="str">
        <f>IFERROR(__xludf.DUMMYFUNCTION("""COMPUTED_VALUE"""),"Digital Art")</f>
        <v>Digital Art</v>
      </c>
      <c r="D5300" s="2" t="str">
        <f>IFERROR(__xludf.DUMMYFUNCTION("""COMPUTED_VALUE"""),"Ironbrook Publishing House")</f>
        <v>Ironbrook Publishing House</v>
      </c>
      <c r="E5300" s="2">
        <f>IFERROR(__xludf.DUMMYFUNCTION("""COMPUTED_VALUE"""),2.21)</f>
        <v>2.21</v>
      </c>
      <c r="F5300" s="2"/>
      <c r="G5300" s="2"/>
      <c r="H5300" s="2"/>
      <c r="I5300" s="2"/>
    </row>
    <row r="5301">
      <c r="A5301" s="2">
        <f>IFERROR(__xludf.DUMMYFUNCTION("""COMPUTED_VALUE"""),6877.0)</f>
        <v>6877</v>
      </c>
      <c r="B5301" s="2" t="str">
        <f>IFERROR(__xludf.DUMMYFUNCTION("""COMPUTED_VALUE"""),"Medical")</f>
        <v>Medical</v>
      </c>
      <c r="C5301" s="2" t="str">
        <f>IFERROR(__xludf.DUMMYFUNCTION("""COMPUTED_VALUE"""),"Digital Art")</f>
        <v>Digital Art</v>
      </c>
      <c r="D5301" s="2" t="str">
        <f>IFERROR(__xludf.DUMMYFUNCTION("""COMPUTED_VALUE"""),"Ironbrook Publishing House")</f>
        <v>Ironbrook Publishing House</v>
      </c>
      <c r="E5301" s="2">
        <f>IFERROR(__xludf.DUMMYFUNCTION("""COMPUTED_VALUE"""),2.16)</f>
        <v>2.16</v>
      </c>
      <c r="F5301" s="2"/>
      <c r="G5301" s="2"/>
      <c r="H5301" s="2"/>
      <c r="I5301" s="2"/>
    </row>
    <row r="5302">
      <c r="A5302" s="2">
        <f>IFERROR(__xludf.DUMMYFUNCTION("""COMPUTED_VALUE"""),4290.0)</f>
        <v>4290</v>
      </c>
      <c r="B5302" s="2" t="str">
        <f>IFERROR(__xludf.DUMMYFUNCTION("""COMPUTED_VALUE"""),"Medical")</f>
        <v>Medical</v>
      </c>
      <c r="C5302" s="2" t="str">
        <f>IFERROR(__xludf.DUMMYFUNCTION("""COMPUTED_VALUE"""),"Digital Art")</f>
        <v>Digital Art</v>
      </c>
      <c r="D5302" s="2" t="str">
        <f>IFERROR(__xludf.DUMMYFUNCTION("""COMPUTED_VALUE"""),"Ironbrook Publishing House")</f>
        <v>Ironbrook Publishing House</v>
      </c>
      <c r="E5302" s="2">
        <f>IFERROR(__xludf.DUMMYFUNCTION("""COMPUTED_VALUE"""),2.89)</f>
        <v>2.89</v>
      </c>
      <c r="F5302" s="2"/>
      <c r="G5302" s="2"/>
      <c r="H5302" s="2"/>
      <c r="I5302" s="2"/>
    </row>
    <row r="5303">
      <c r="A5303" s="2">
        <f>IFERROR(__xludf.DUMMYFUNCTION("""COMPUTED_VALUE"""),4905.0)</f>
        <v>4905</v>
      </c>
      <c r="B5303" s="2" t="str">
        <f>IFERROR(__xludf.DUMMYFUNCTION("""COMPUTED_VALUE"""),"Medical")</f>
        <v>Medical</v>
      </c>
      <c r="C5303" s="2" t="str">
        <f>IFERROR(__xludf.DUMMYFUNCTION("""COMPUTED_VALUE"""),"Digital Art")</f>
        <v>Digital Art</v>
      </c>
      <c r="D5303" s="2" t="str">
        <f>IFERROR(__xludf.DUMMYFUNCTION("""COMPUTED_VALUE"""),"Ironbrook Publishing House")</f>
        <v>Ironbrook Publishing House</v>
      </c>
      <c r="E5303" s="2">
        <f>IFERROR(__xludf.DUMMYFUNCTION("""COMPUTED_VALUE"""),1.53)</f>
        <v>1.53</v>
      </c>
      <c r="F5303" s="2"/>
      <c r="G5303" s="2"/>
      <c r="H5303" s="2"/>
      <c r="I5303" s="2"/>
    </row>
    <row r="5304">
      <c r="A5304" s="2">
        <f>IFERROR(__xludf.DUMMYFUNCTION("""COMPUTED_VALUE"""),41979.0)</f>
        <v>41979</v>
      </c>
      <c r="B5304" s="2" t="str">
        <f>IFERROR(__xludf.DUMMYFUNCTION("""COMPUTED_VALUE"""),"Medical")</f>
        <v>Medical</v>
      </c>
      <c r="C5304" s="2" t="str">
        <f>IFERROR(__xludf.DUMMYFUNCTION("""COMPUTED_VALUE"""),"Digital Art")</f>
        <v>Digital Art</v>
      </c>
      <c r="D5304" s="2" t="str">
        <f>IFERROR(__xludf.DUMMYFUNCTION("""COMPUTED_VALUE"""),"Silvergate Publishing House")</f>
        <v>Silvergate Publishing House</v>
      </c>
      <c r="E5304" s="2">
        <f>IFERROR(__xludf.DUMMYFUNCTION("""COMPUTED_VALUE"""),2.19)</f>
        <v>2.19</v>
      </c>
      <c r="F5304" s="2"/>
      <c r="G5304" s="2"/>
      <c r="H5304" s="2"/>
      <c r="I5304" s="2"/>
    </row>
    <row r="5305">
      <c r="A5305" s="2">
        <f>IFERROR(__xludf.DUMMYFUNCTION("""COMPUTED_VALUE"""),41925.0)</f>
        <v>41925</v>
      </c>
      <c r="B5305" s="2" t="str">
        <f>IFERROR(__xludf.DUMMYFUNCTION("""COMPUTED_VALUE"""),"Medical")</f>
        <v>Medical</v>
      </c>
      <c r="C5305" s="2" t="str">
        <f>IFERROR(__xludf.DUMMYFUNCTION("""COMPUTED_VALUE"""),"Digital Art")</f>
        <v>Digital Art</v>
      </c>
      <c r="D5305" s="2" t="str">
        <f>IFERROR(__xludf.DUMMYFUNCTION("""COMPUTED_VALUE"""),"Silvergate Publishing House")</f>
        <v>Silvergate Publishing House</v>
      </c>
      <c r="E5305" s="2">
        <f>IFERROR(__xludf.DUMMYFUNCTION("""COMPUTED_VALUE"""),2.42)</f>
        <v>2.42</v>
      </c>
      <c r="F5305" s="2"/>
      <c r="G5305" s="2"/>
      <c r="H5305" s="2"/>
      <c r="I5305" s="2"/>
    </row>
    <row r="5306">
      <c r="A5306" s="2">
        <f>IFERROR(__xludf.DUMMYFUNCTION("""COMPUTED_VALUE"""),17067.0)</f>
        <v>17067</v>
      </c>
      <c r="B5306" s="2" t="str">
        <f>IFERROR(__xludf.DUMMYFUNCTION("""COMPUTED_VALUE"""),"Medical")</f>
        <v>Medical</v>
      </c>
      <c r="C5306" s="2" t="str">
        <f>IFERROR(__xludf.DUMMYFUNCTION("""COMPUTED_VALUE"""),"Digital Art")</f>
        <v>Digital Art</v>
      </c>
      <c r="D5306" s="2" t="str">
        <f>IFERROR(__xludf.DUMMYFUNCTION("""COMPUTED_VALUE"""),"Northgate Publishing House")</f>
        <v>Northgate Publishing House</v>
      </c>
      <c r="E5306" s="2">
        <f>IFERROR(__xludf.DUMMYFUNCTION("""COMPUTED_VALUE"""),1.49)</f>
        <v>1.49</v>
      </c>
      <c r="F5306" s="2"/>
      <c r="G5306" s="2"/>
      <c r="H5306" s="2"/>
      <c r="I5306" s="2"/>
    </row>
    <row r="5307">
      <c r="A5307" s="2">
        <f>IFERROR(__xludf.DUMMYFUNCTION("""COMPUTED_VALUE"""),70425.0)</f>
        <v>70425</v>
      </c>
      <c r="B5307" s="2" t="str">
        <f>IFERROR(__xludf.DUMMYFUNCTION("""COMPUTED_VALUE"""),"Medical")</f>
        <v>Medical</v>
      </c>
      <c r="C5307" s="2" t="str">
        <f>IFERROR(__xludf.DUMMYFUNCTION("""COMPUTED_VALUE"""),"Digital Art")</f>
        <v>Digital Art</v>
      </c>
      <c r="D5307" s="2" t="str">
        <f>IFERROR(__xludf.DUMMYFUNCTION("""COMPUTED_VALUE"""),"Northgate Publishing House")</f>
        <v>Northgate Publishing House</v>
      </c>
      <c r="E5307" s="2">
        <f>IFERROR(__xludf.DUMMYFUNCTION("""COMPUTED_VALUE"""),1.46)</f>
        <v>1.46</v>
      </c>
      <c r="F5307" s="2"/>
      <c r="G5307" s="2"/>
      <c r="H5307" s="2"/>
      <c r="I5307" s="2"/>
    </row>
    <row r="5308">
      <c r="A5308" s="2">
        <f>IFERROR(__xludf.DUMMYFUNCTION("""COMPUTED_VALUE"""),17065.0)</f>
        <v>17065</v>
      </c>
      <c r="B5308" s="2" t="str">
        <f>IFERROR(__xludf.DUMMYFUNCTION("""COMPUTED_VALUE"""),"Medical")</f>
        <v>Medical</v>
      </c>
      <c r="C5308" s="2" t="str">
        <f>IFERROR(__xludf.DUMMYFUNCTION("""COMPUTED_VALUE"""),"Digital Art")</f>
        <v>Digital Art</v>
      </c>
      <c r="D5308" s="2" t="str">
        <f>IFERROR(__xludf.DUMMYFUNCTION("""COMPUTED_VALUE"""),"Northgate Publishing House")</f>
        <v>Northgate Publishing House</v>
      </c>
      <c r="E5308" s="2">
        <f>IFERROR(__xludf.DUMMYFUNCTION("""COMPUTED_VALUE"""),1.36)</f>
        <v>1.36</v>
      </c>
      <c r="F5308" s="2"/>
      <c r="G5308" s="2"/>
      <c r="H5308" s="2"/>
      <c r="I5308" s="2"/>
    </row>
    <row r="5309">
      <c r="A5309" s="2">
        <f>IFERROR(__xludf.DUMMYFUNCTION("""COMPUTED_VALUE"""),103514.0)</f>
        <v>103514</v>
      </c>
      <c r="B5309" s="2" t="str">
        <f>IFERROR(__xludf.DUMMYFUNCTION("""COMPUTED_VALUE"""),"Medical")</f>
        <v>Medical</v>
      </c>
      <c r="C5309" s="2" t="str">
        <f>IFERROR(__xludf.DUMMYFUNCTION("""COMPUTED_VALUE"""),"Digital Art")</f>
        <v>Digital Art</v>
      </c>
      <c r="D5309" s="2" t="str">
        <f>IFERROR(__xludf.DUMMYFUNCTION("""COMPUTED_VALUE"""),"Northgate Publishing House")</f>
        <v>Northgate Publishing House</v>
      </c>
      <c r="E5309" s="2">
        <f>IFERROR(__xludf.DUMMYFUNCTION("""COMPUTED_VALUE"""),1.88)</f>
        <v>1.88</v>
      </c>
      <c r="F5309" s="2"/>
      <c r="G5309" s="2"/>
      <c r="H5309" s="2"/>
      <c r="I5309" s="2"/>
    </row>
    <row r="5310">
      <c r="A5310" s="2">
        <f>IFERROR(__xludf.DUMMYFUNCTION("""COMPUTED_VALUE"""),4298.0)</f>
        <v>4298</v>
      </c>
      <c r="B5310" s="2" t="str">
        <f>IFERROR(__xludf.DUMMYFUNCTION("""COMPUTED_VALUE"""),"Medical")</f>
        <v>Medical</v>
      </c>
      <c r="C5310" s="2" t="str">
        <f>IFERROR(__xludf.DUMMYFUNCTION("""COMPUTED_VALUE"""),"Digital Art")</f>
        <v>Digital Art</v>
      </c>
      <c r="D5310" s="2" t="str">
        <f>IFERROR(__xludf.DUMMYFUNCTION("""COMPUTED_VALUE"""),"Northgate Publishing House")</f>
        <v>Northgate Publishing House</v>
      </c>
      <c r="E5310" s="2">
        <f>IFERROR(__xludf.DUMMYFUNCTION("""COMPUTED_VALUE"""),1.96)</f>
        <v>1.96</v>
      </c>
      <c r="F5310" s="2"/>
      <c r="G5310" s="2"/>
      <c r="H5310" s="2"/>
      <c r="I5310" s="2"/>
    </row>
    <row r="5311">
      <c r="A5311" s="2">
        <f>IFERROR(__xludf.DUMMYFUNCTION("""COMPUTED_VALUE"""),4301.0)</f>
        <v>4301</v>
      </c>
      <c r="B5311" s="2" t="str">
        <f>IFERROR(__xludf.DUMMYFUNCTION("""COMPUTED_VALUE"""),"Medical")</f>
        <v>Medical</v>
      </c>
      <c r="C5311" s="2" t="str">
        <f>IFERROR(__xludf.DUMMYFUNCTION("""COMPUTED_VALUE"""),"Digital Art")</f>
        <v>Digital Art</v>
      </c>
      <c r="D5311" s="2" t="str">
        <f>IFERROR(__xludf.DUMMYFUNCTION("""COMPUTED_VALUE"""),"Northgate Publishing House")</f>
        <v>Northgate Publishing House</v>
      </c>
      <c r="E5311" s="2">
        <f>IFERROR(__xludf.DUMMYFUNCTION("""COMPUTED_VALUE"""),1.7)</f>
        <v>1.7</v>
      </c>
      <c r="F5311" s="2"/>
      <c r="G5311" s="2"/>
      <c r="H5311" s="2"/>
      <c r="I5311" s="2"/>
    </row>
    <row r="5312">
      <c r="A5312" s="2">
        <f>IFERROR(__xludf.DUMMYFUNCTION("""COMPUTED_VALUE"""),75752.0)</f>
        <v>75752</v>
      </c>
      <c r="B5312" s="2" t="str">
        <f>IFERROR(__xludf.DUMMYFUNCTION("""COMPUTED_VALUE"""),"Medical")</f>
        <v>Medical</v>
      </c>
      <c r="C5312" s="2" t="str">
        <f>IFERROR(__xludf.DUMMYFUNCTION("""COMPUTED_VALUE"""),"Digital Art")</f>
        <v>Digital Art</v>
      </c>
      <c r="D5312" s="2" t="str">
        <f>IFERROR(__xludf.DUMMYFUNCTION("""COMPUTED_VALUE"""),"Northgate Publishing House")</f>
        <v>Northgate Publishing House</v>
      </c>
      <c r="E5312" s="2">
        <f>IFERROR(__xludf.DUMMYFUNCTION("""COMPUTED_VALUE"""),1.93)</f>
        <v>1.93</v>
      </c>
      <c r="F5312" s="2"/>
      <c r="G5312" s="2"/>
      <c r="H5312" s="2"/>
      <c r="I5312" s="2"/>
    </row>
    <row r="5313">
      <c r="A5313" s="2">
        <f>IFERROR(__xludf.DUMMYFUNCTION("""COMPUTED_VALUE"""),21520.0)</f>
        <v>21520</v>
      </c>
      <c r="B5313" s="2" t="str">
        <f>IFERROR(__xludf.DUMMYFUNCTION("""COMPUTED_VALUE"""),"Law")</f>
        <v>Law</v>
      </c>
      <c r="C5313" s="2" t="str">
        <f>IFERROR(__xludf.DUMMYFUNCTION("""COMPUTED_VALUE"""),"Art History")</f>
        <v>Art History</v>
      </c>
      <c r="D5313" s="2" t="str">
        <f>IFERROR(__xludf.DUMMYFUNCTION("""COMPUTED_VALUE"""),"Harborgate Publishing House")</f>
        <v>Harborgate Publishing House</v>
      </c>
      <c r="E5313" s="2">
        <f>IFERROR(__xludf.DUMMYFUNCTION("""COMPUTED_VALUE"""),1.75)</f>
        <v>1.75</v>
      </c>
      <c r="F5313" s="2"/>
      <c r="G5313" s="2"/>
      <c r="H5313" s="2"/>
      <c r="I5313" s="2"/>
    </row>
    <row r="5314">
      <c r="A5314" s="2">
        <f>IFERROR(__xludf.DUMMYFUNCTION("""COMPUTED_VALUE"""),82206.0)</f>
        <v>82206</v>
      </c>
      <c r="B5314" s="2" t="str">
        <f>IFERROR(__xludf.DUMMYFUNCTION("""COMPUTED_VALUE"""),"Law")</f>
        <v>Law</v>
      </c>
      <c r="C5314" s="2" t="str">
        <f>IFERROR(__xludf.DUMMYFUNCTION("""COMPUTED_VALUE"""),"Art History")</f>
        <v>Art History</v>
      </c>
      <c r="D5314" s="2" t="str">
        <f>IFERROR(__xludf.DUMMYFUNCTION("""COMPUTED_VALUE"""),"Harborgate Publishing House")</f>
        <v>Harborgate Publishing House</v>
      </c>
      <c r="E5314" s="2">
        <f>IFERROR(__xludf.DUMMYFUNCTION("""COMPUTED_VALUE"""),0.95)</f>
        <v>0.95</v>
      </c>
      <c r="F5314" s="2"/>
      <c r="G5314" s="2"/>
      <c r="H5314" s="2"/>
      <c r="I5314" s="2"/>
    </row>
    <row r="5315">
      <c r="A5315" s="2">
        <f>IFERROR(__xludf.DUMMYFUNCTION("""COMPUTED_VALUE"""),5599.0)</f>
        <v>5599</v>
      </c>
      <c r="B5315" s="2" t="str">
        <f>IFERROR(__xludf.DUMMYFUNCTION("""COMPUTED_VALUE"""),"Law")</f>
        <v>Law</v>
      </c>
      <c r="C5315" s="2" t="str">
        <f>IFERROR(__xludf.DUMMYFUNCTION("""COMPUTED_VALUE"""),"Art History")</f>
        <v>Art History</v>
      </c>
      <c r="D5315" s="2" t="str">
        <f>IFERROR(__xludf.DUMMYFUNCTION("""COMPUTED_VALUE"""),"Harborgate Publishing House")</f>
        <v>Harborgate Publishing House</v>
      </c>
      <c r="E5315" s="2">
        <f>IFERROR(__xludf.DUMMYFUNCTION("""COMPUTED_VALUE"""),1.1)</f>
        <v>1.1</v>
      </c>
      <c r="F5315" s="2"/>
      <c r="G5315" s="2"/>
      <c r="H5315" s="2"/>
      <c r="I5315" s="2"/>
    </row>
    <row r="5316">
      <c r="A5316" s="2">
        <f>IFERROR(__xludf.DUMMYFUNCTION("""COMPUTED_VALUE"""),87231.0)</f>
        <v>87231</v>
      </c>
      <c r="B5316" s="2" t="str">
        <f>IFERROR(__xludf.DUMMYFUNCTION("""COMPUTED_VALUE"""),"Law")</f>
        <v>Law</v>
      </c>
      <c r="C5316" s="2" t="str">
        <f>IFERROR(__xludf.DUMMYFUNCTION("""COMPUTED_VALUE"""),"Art History")</f>
        <v>Art History</v>
      </c>
      <c r="D5316" s="2" t="str">
        <f>IFERROR(__xludf.DUMMYFUNCTION("""COMPUTED_VALUE"""),"Harborgate Publishing House")</f>
        <v>Harborgate Publishing House</v>
      </c>
      <c r="E5316" s="2">
        <f>IFERROR(__xludf.DUMMYFUNCTION("""COMPUTED_VALUE"""),1.0)</f>
        <v>1</v>
      </c>
      <c r="F5316" s="2"/>
      <c r="G5316" s="2"/>
      <c r="H5316" s="2"/>
      <c r="I5316" s="2"/>
    </row>
    <row r="5317">
      <c r="A5317" s="2">
        <f>IFERROR(__xludf.DUMMYFUNCTION("""COMPUTED_VALUE"""),5861.0)</f>
        <v>5861</v>
      </c>
      <c r="B5317" s="2" t="str">
        <f>IFERROR(__xludf.DUMMYFUNCTION("""COMPUTED_VALUE"""),"Law")</f>
        <v>Law</v>
      </c>
      <c r="C5317" s="2" t="str">
        <f>IFERROR(__xludf.DUMMYFUNCTION("""COMPUTED_VALUE"""),"Art History")</f>
        <v>Art History</v>
      </c>
      <c r="D5317" s="2" t="str">
        <f>IFERROR(__xludf.DUMMYFUNCTION("""COMPUTED_VALUE"""),"Harborgate Publishing House")</f>
        <v>Harborgate Publishing House</v>
      </c>
      <c r="E5317" s="2">
        <f>IFERROR(__xludf.DUMMYFUNCTION("""COMPUTED_VALUE"""),1.43)</f>
        <v>1.43</v>
      </c>
      <c r="F5317" s="2"/>
      <c r="G5317" s="2"/>
      <c r="H5317" s="2"/>
      <c r="I5317" s="2"/>
    </row>
    <row r="5318">
      <c r="A5318" s="2">
        <f>IFERROR(__xludf.DUMMYFUNCTION("""COMPUTED_VALUE"""),90909.0)</f>
        <v>90909</v>
      </c>
      <c r="B5318" s="2" t="str">
        <f>IFERROR(__xludf.DUMMYFUNCTION("""COMPUTED_VALUE"""),"Law")</f>
        <v>Law</v>
      </c>
      <c r="C5318" s="2" t="str">
        <f>IFERROR(__xludf.DUMMYFUNCTION("""COMPUTED_VALUE"""),"Art History")</f>
        <v>Art History</v>
      </c>
      <c r="D5318" s="2" t="str">
        <f>IFERROR(__xludf.DUMMYFUNCTION("""COMPUTED_VALUE"""),"Harborgate Publishing House")</f>
        <v>Harborgate Publishing House</v>
      </c>
      <c r="E5318" s="2">
        <f>IFERROR(__xludf.DUMMYFUNCTION("""COMPUTED_VALUE"""),1.34)</f>
        <v>1.34</v>
      </c>
      <c r="F5318" s="2"/>
      <c r="G5318" s="2"/>
      <c r="H5318" s="2"/>
      <c r="I5318" s="2"/>
    </row>
    <row r="5319">
      <c r="A5319" s="2">
        <f>IFERROR(__xludf.DUMMYFUNCTION("""COMPUTED_VALUE"""),21523.0)</f>
        <v>21523</v>
      </c>
      <c r="B5319" s="2" t="str">
        <f>IFERROR(__xludf.DUMMYFUNCTION("""COMPUTED_VALUE"""),"Law")</f>
        <v>Law</v>
      </c>
      <c r="C5319" s="2" t="str">
        <f>IFERROR(__xludf.DUMMYFUNCTION("""COMPUTED_VALUE"""),"Art History")</f>
        <v>Art History</v>
      </c>
      <c r="D5319" s="2" t="str">
        <f>IFERROR(__xludf.DUMMYFUNCTION("""COMPUTED_VALUE"""),"Harborgate Publishing House")</f>
        <v>Harborgate Publishing House</v>
      </c>
      <c r="E5319" s="2">
        <f>IFERROR(__xludf.DUMMYFUNCTION("""COMPUTED_VALUE"""),2.04)</f>
        <v>2.04</v>
      </c>
      <c r="F5319" s="2"/>
      <c r="G5319" s="2"/>
      <c r="H5319" s="2"/>
      <c r="I5319" s="2"/>
    </row>
    <row r="5320">
      <c r="A5320" s="2">
        <f>IFERROR(__xludf.DUMMYFUNCTION("""COMPUTED_VALUE"""),5485.0)</f>
        <v>5485</v>
      </c>
      <c r="B5320" s="2" t="str">
        <f>IFERROR(__xludf.DUMMYFUNCTION("""COMPUTED_VALUE"""),"Law")</f>
        <v>Law</v>
      </c>
      <c r="C5320" s="2" t="str">
        <f>IFERROR(__xludf.DUMMYFUNCTION("""COMPUTED_VALUE"""),"Art History")</f>
        <v>Art History</v>
      </c>
      <c r="D5320" s="2" t="str">
        <f>IFERROR(__xludf.DUMMYFUNCTION("""COMPUTED_VALUE"""),"Cedargate Publishing House")</f>
        <v>Cedargate Publishing House</v>
      </c>
      <c r="E5320" s="2">
        <f>IFERROR(__xludf.DUMMYFUNCTION("""COMPUTED_VALUE"""),4.63)</f>
        <v>4.63</v>
      </c>
      <c r="F5320" s="2"/>
      <c r="G5320" s="2"/>
      <c r="H5320" s="2"/>
      <c r="I5320" s="2"/>
    </row>
    <row r="5321">
      <c r="A5321" s="2">
        <f>IFERROR(__xludf.DUMMYFUNCTION("""COMPUTED_VALUE"""),77294.0)</f>
        <v>77294</v>
      </c>
      <c r="B5321" s="2" t="str">
        <f>IFERROR(__xludf.DUMMYFUNCTION("""COMPUTED_VALUE"""),"Law")</f>
        <v>Law</v>
      </c>
      <c r="C5321" s="2" t="str">
        <f>IFERROR(__xludf.DUMMYFUNCTION("""COMPUTED_VALUE"""),"Art History")</f>
        <v>Art History</v>
      </c>
      <c r="D5321" s="2" t="str">
        <f>IFERROR(__xludf.DUMMYFUNCTION("""COMPUTED_VALUE"""),"Cedargate Publishing House")</f>
        <v>Cedargate Publishing House</v>
      </c>
      <c r="E5321" s="2">
        <f>IFERROR(__xludf.DUMMYFUNCTION("""COMPUTED_VALUE"""),2.63)</f>
        <v>2.63</v>
      </c>
      <c r="F5321" s="2"/>
      <c r="G5321" s="2"/>
      <c r="H5321" s="2"/>
      <c r="I5321" s="2"/>
    </row>
    <row r="5322">
      <c r="A5322" s="2">
        <f>IFERROR(__xludf.DUMMYFUNCTION("""COMPUTED_VALUE"""),5486.0)</f>
        <v>5486</v>
      </c>
      <c r="B5322" s="2" t="str">
        <f>IFERROR(__xludf.DUMMYFUNCTION("""COMPUTED_VALUE"""),"Law")</f>
        <v>Law</v>
      </c>
      <c r="C5322" s="2" t="str">
        <f>IFERROR(__xludf.DUMMYFUNCTION("""COMPUTED_VALUE"""),"Art History")</f>
        <v>Art History</v>
      </c>
      <c r="D5322" s="2" t="str">
        <f>IFERROR(__xludf.DUMMYFUNCTION("""COMPUTED_VALUE"""),"Cedargate Publishing House")</f>
        <v>Cedargate Publishing House</v>
      </c>
      <c r="E5322" s="2">
        <f>IFERROR(__xludf.DUMMYFUNCTION("""COMPUTED_VALUE"""),3.67)</f>
        <v>3.67</v>
      </c>
      <c r="F5322" s="2"/>
      <c r="G5322" s="2"/>
      <c r="H5322" s="2"/>
      <c r="I5322" s="2"/>
    </row>
    <row r="5323">
      <c r="A5323" s="2">
        <f>IFERROR(__xludf.DUMMYFUNCTION("""COMPUTED_VALUE"""),77293.0)</f>
        <v>77293</v>
      </c>
      <c r="B5323" s="2" t="str">
        <f>IFERROR(__xludf.DUMMYFUNCTION("""COMPUTED_VALUE"""),"Law")</f>
        <v>Law</v>
      </c>
      <c r="C5323" s="2" t="str">
        <f>IFERROR(__xludf.DUMMYFUNCTION("""COMPUTED_VALUE"""),"Art History")</f>
        <v>Art History</v>
      </c>
      <c r="D5323" s="2" t="str">
        <f>IFERROR(__xludf.DUMMYFUNCTION("""COMPUTED_VALUE"""),"Cedargate Publishing House")</f>
        <v>Cedargate Publishing House</v>
      </c>
      <c r="E5323" s="2">
        <f>IFERROR(__xludf.DUMMYFUNCTION("""COMPUTED_VALUE"""),2.06)</f>
        <v>2.06</v>
      </c>
      <c r="F5323" s="2"/>
      <c r="G5323" s="2"/>
      <c r="H5323" s="2"/>
      <c r="I5323" s="2"/>
    </row>
    <row r="5324">
      <c r="A5324" s="2">
        <f>IFERROR(__xludf.DUMMYFUNCTION("""COMPUTED_VALUE"""),112230.0)</f>
        <v>112230</v>
      </c>
      <c r="B5324" s="2" t="str">
        <f>IFERROR(__xludf.DUMMYFUNCTION("""COMPUTED_VALUE"""),"Law")</f>
        <v>Law</v>
      </c>
      <c r="C5324" s="2" t="str">
        <f>IFERROR(__xludf.DUMMYFUNCTION("""COMPUTED_VALUE"""),"Art History")</f>
        <v>Art History</v>
      </c>
      <c r="D5324" s="2" t="str">
        <f>IFERROR(__xludf.DUMMYFUNCTION("""COMPUTED_VALUE"""),"Cedargate Publishing House")</f>
        <v>Cedargate Publishing House</v>
      </c>
      <c r="E5324" s="2">
        <f>IFERROR(__xludf.DUMMYFUNCTION("""COMPUTED_VALUE"""),1.32)</f>
        <v>1.32</v>
      </c>
      <c r="F5324" s="2"/>
      <c r="G5324" s="2"/>
      <c r="H5324" s="2"/>
      <c r="I5324" s="2"/>
    </row>
    <row r="5325">
      <c r="A5325" s="2">
        <f>IFERROR(__xludf.DUMMYFUNCTION("""COMPUTED_VALUE"""),83607.0)</f>
        <v>83607</v>
      </c>
      <c r="B5325" s="2" t="str">
        <f>IFERROR(__xludf.DUMMYFUNCTION("""COMPUTED_VALUE"""),"Law")</f>
        <v>Law</v>
      </c>
      <c r="C5325" s="2" t="str">
        <f>IFERROR(__xludf.DUMMYFUNCTION("""COMPUTED_VALUE"""),"Art History")</f>
        <v>Art History</v>
      </c>
      <c r="D5325" s="2" t="str">
        <f>IFERROR(__xludf.DUMMYFUNCTION("""COMPUTED_VALUE"""),"Cedargate Publishing House")</f>
        <v>Cedargate Publishing House</v>
      </c>
      <c r="E5325" s="2">
        <f>IFERROR(__xludf.DUMMYFUNCTION("""COMPUTED_VALUE"""),27.4)</f>
        <v>27.4</v>
      </c>
      <c r="F5325" s="2"/>
      <c r="G5325" s="2"/>
      <c r="H5325" s="2"/>
      <c r="I5325" s="2"/>
    </row>
    <row r="5326">
      <c r="A5326" s="2">
        <f>IFERROR(__xludf.DUMMYFUNCTION("""COMPUTED_VALUE"""),117216.0)</f>
        <v>117216</v>
      </c>
      <c r="B5326" s="2" t="str">
        <f>IFERROR(__xludf.DUMMYFUNCTION("""COMPUTED_VALUE"""),"Law")</f>
        <v>Law</v>
      </c>
      <c r="C5326" s="2" t="str">
        <f>IFERROR(__xludf.DUMMYFUNCTION("""COMPUTED_VALUE"""),"Art History")</f>
        <v>Art History</v>
      </c>
      <c r="D5326" s="2" t="str">
        <f>IFERROR(__xludf.DUMMYFUNCTION("""COMPUTED_VALUE"""),"Cedargate Publishing House")</f>
        <v>Cedargate Publishing House</v>
      </c>
      <c r="E5326" s="2">
        <f>IFERROR(__xludf.DUMMYFUNCTION("""COMPUTED_VALUE"""),10.05)</f>
        <v>10.05</v>
      </c>
      <c r="F5326" s="2"/>
      <c r="G5326" s="2"/>
      <c r="H5326" s="2"/>
      <c r="I5326" s="2"/>
    </row>
    <row r="5327">
      <c r="A5327" s="2">
        <f>IFERROR(__xludf.DUMMYFUNCTION("""COMPUTED_VALUE"""),5487.0)</f>
        <v>5487</v>
      </c>
      <c r="B5327" s="2" t="str">
        <f>IFERROR(__xludf.DUMMYFUNCTION("""COMPUTED_VALUE"""),"Law")</f>
        <v>Law</v>
      </c>
      <c r="C5327" s="2" t="str">
        <f>IFERROR(__xludf.DUMMYFUNCTION("""COMPUTED_VALUE"""),"Art History")</f>
        <v>Art History</v>
      </c>
      <c r="D5327" s="2" t="str">
        <f>IFERROR(__xludf.DUMMYFUNCTION("""COMPUTED_VALUE"""),"Cedargate Publishing House")</f>
        <v>Cedargate Publishing House</v>
      </c>
      <c r="E5327" s="2">
        <f>IFERROR(__xludf.DUMMYFUNCTION("""COMPUTED_VALUE"""),3.31)</f>
        <v>3.31</v>
      </c>
      <c r="F5327" s="2"/>
      <c r="G5327" s="2"/>
      <c r="H5327" s="2"/>
      <c r="I5327" s="2"/>
    </row>
    <row r="5328">
      <c r="A5328" s="2">
        <f>IFERROR(__xludf.DUMMYFUNCTION("""COMPUTED_VALUE"""),77295.0)</f>
        <v>77295</v>
      </c>
      <c r="B5328" s="2" t="str">
        <f>IFERROR(__xludf.DUMMYFUNCTION("""COMPUTED_VALUE"""),"Law")</f>
        <v>Law</v>
      </c>
      <c r="C5328" s="2" t="str">
        <f>IFERROR(__xludf.DUMMYFUNCTION("""COMPUTED_VALUE"""),"Art History")</f>
        <v>Art History</v>
      </c>
      <c r="D5328" s="2" t="str">
        <f>IFERROR(__xludf.DUMMYFUNCTION("""COMPUTED_VALUE"""),"Cedargate Publishing House")</f>
        <v>Cedargate Publishing House</v>
      </c>
      <c r="E5328" s="2">
        <f>IFERROR(__xludf.DUMMYFUNCTION("""COMPUTED_VALUE"""),2.53)</f>
        <v>2.53</v>
      </c>
      <c r="F5328" s="2"/>
      <c r="G5328" s="2"/>
      <c r="H5328" s="2"/>
      <c r="I5328" s="2"/>
    </row>
    <row r="5329">
      <c r="A5329" s="2">
        <f>IFERROR(__xludf.DUMMYFUNCTION("""COMPUTED_VALUE"""),89774.0)</f>
        <v>89774</v>
      </c>
      <c r="B5329" s="2" t="str">
        <f>IFERROR(__xludf.DUMMYFUNCTION("""COMPUTED_VALUE"""),"Law")</f>
        <v>Law</v>
      </c>
      <c r="C5329" s="2" t="str">
        <f>IFERROR(__xludf.DUMMYFUNCTION("""COMPUTED_VALUE"""),"Art History")</f>
        <v>Art History</v>
      </c>
      <c r="D5329" s="2" t="str">
        <f>IFERROR(__xludf.DUMMYFUNCTION("""COMPUTED_VALUE"""),"Cedargate Publishing House")</f>
        <v>Cedargate Publishing House</v>
      </c>
      <c r="E5329" s="2">
        <f>IFERROR(__xludf.DUMMYFUNCTION("""COMPUTED_VALUE"""),3.52)</f>
        <v>3.52</v>
      </c>
      <c r="F5329" s="2"/>
      <c r="G5329" s="2"/>
      <c r="H5329" s="2"/>
      <c r="I5329" s="2"/>
    </row>
    <row r="5330">
      <c r="A5330" s="2">
        <f>IFERROR(__xludf.DUMMYFUNCTION("""COMPUTED_VALUE"""),5483.0)</f>
        <v>5483</v>
      </c>
      <c r="B5330" s="2" t="str">
        <f>IFERROR(__xludf.DUMMYFUNCTION("""COMPUTED_VALUE"""),"Law")</f>
        <v>Law</v>
      </c>
      <c r="C5330" s="2" t="str">
        <f>IFERROR(__xludf.DUMMYFUNCTION("""COMPUTED_VALUE"""),"Art History")</f>
        <v>Art History</v>
      </c>
      <c r="D5330" s="2" t="str">
        <f>IFERROR(__xludf.DUMMYFUNCTION("""COMPUTED_VALUE"""),"Cedargate Publishing House")</f>
        <v>Cedargate Publishing House</v>
      </c>
      <c r="E5330" s="2">
        <f>IFERROR(__xludf.DUMMYFUNCTION("""COMPUTED_VALUE"""),2.72)</f>
        <v>2.72</v>
      </c>
      <c r="F5330" s="2"/>
      <c r="G5330" s="2"/>
      <c r="H5330" s="2"/>
      <c r="I5330" s="2"/>
    </row>
    <row r="5331">
      <c r="A5331" s="2">
        <f>IFERROR(__xludf.DUMMYFUNCTION("""COMPUTED_VALUE"""),120541.0)</f>
        <v>120541</v>
      </c>
      <c r="B5331" s="2" t="str">
        <f>IFERROR(__xludf.DUMMYFUNCTION("""COMPUTED_VALUE"""),"Law")</f>
        <v>Law</v>
      </c>
      <c r="C5331" s="2" t="str">
        <f>IFERROR(__xludf.DUMMYFUNCTION("""COMPUTED_VALUE"""),"Art History")</f>
        <v>Art History</v>
      </c>
      <c r="D5331" s="2" t="str">
        <f>IFERROR(__xludf.DUMMYFUNCTION("""COMPUTED_VALUE"""),"Cedargate Publishing House")</f>
        <v>Cedargate Publishing House</v>
      </c>
      <c r="E5331" s="2">
        <f>IFERROR(__xludf.DUMMYFUNCTION("""COMPUTED_VALUE"""),4.14)</f>
        <v>4.14</v>
      </c>
      <c r="F5331" s="2"/>
      <c r="G5331" s="2"/>
      <c r="H5331" s="2"/>
      <c r="I5331" s="2"/>
    </row>
    <row r="5332">
      <c r="A5332" s="2">
        <f>IFERROR(__xludf.DUMMYFUNCTION("""COMPUTED_VALUE"""),100249.0)</f>
        <v>100249</v>
      </c>
      <c r="B5332" s="2" t="str">
        <f>IFERROR(__xludf.DUMMYFUNCTION("""COMPUTED_VALUE"""),"Law")</f>
        <v>Law</v>
      </c>
      <c r="C5332" s="2" t="str">
        <f>IFERROR(__xludf.DUMMYFUNCTION("""COMPUTED_VALUE"""),"Art History")</f>
        <v>Art History</v>
      </c>
      <c r="D5332" s="2" t="str">
        <f>IFERROR(__xludf.DUMMYFUNCTION("""COMPUTED_VALUE"""),"Cedargate Publishing House")</f>
        <v>Cedargate Publishing House</v>
      </c>
      <c r="E5332" s="2">
        <f>IFERROR(__xludf.DUMMYFUNCTION("""COMPUTED_VALUE"""),4.09)</f>
        <v>4.09</v>
      </c>
      <c r="F5332" s="2"/>
      <c r="G5332" s="2"/>
      <c r="H5332" s="2"/>
      <c r="I5332" s="2"/>
    </row>
    <row r="5333">
      <c r="A5333" s="2">
        <f>IFERROR(__xludf.DUMMYFUNCTION("""COMPUTED_VALUE"""),119242.0)</f>
        <v>119242</v>
      </c>
      <c r="B5333" s="2" t="str">
        <f>IFERROR(__xludf.DUMMYFUNCTION("""COMPUTED_VALUE"""),"Law")</f>
        <v>Law</v>
      </c>
      <c r="C5333" s="2" t="str">
        <f>IFERROR(__xludf.DUMMYFUNCTION("""COMPUTED_VALUE"""),"Art History")</f>
        <v>Art History</v>
      </c>
      <c r="D5333" s="2" t="str">
        <f>IFERROR(__xludf.DUMMYFUNCTION("""COMPUTED_VALUE"""),"Cedargate Publishing House")</f>
        <v>Cedargate Publishing House</v>
      </c>
      <c r="E5333" s="2">
        <f>IFERROR(__xludf.DUMMYFUNCTION("""COMPUTED_VALUE"""),1.63)</f>
        <v>1.63</v>
      </c>
      <c r="F5333" s="2"/>
      <c r="G5333" s="2"/>
      <c r="H5333" s="2"/>
      <c r="I5333" s="2"/>
    </row>
    <row r="5334">
      <c r="A5334" s="2">
        <f>IFERROR(__xludf.DUMMYFUNCTION("""COMPUTED_VALUE"""),90868.0)</f>
        <v>90868</v>
      </c>
      <c r="B5334" s="2" t="str">
        <f>IFERROR(__xludf.DUMMYFUNCTION("""COMPUTED_VALUE"""),"Law")</f>
        <v>Law</v>
      </c>
      <c r="C5334" s="2" t="str">
        <f>IFERROR(__xludf.DUMMYFUNCTION("""COMPUTED_VALUE"""),"Art History")</f>
        <v>Art History</v>
      </c>
      <c r="D5334" s="2" t="str">
        <f>IFERROR(__xludf.DUMMYFUNCTION("""COMPUTED_VALUE"""),"Brightgate Publishing House")</f>
        <v>Brightgate Publishing House</v>
      </c>
      <c r="E5334" s="2">
        <f>IFERROR(__xludf.DUMMYFUNCTION("""COMPUTED_VALUE"""),6.51)</f>
        <v>6.51</v>
      </c>
      <c r="F5334" s="2"/>
      <c r="G5334" s="2"/>
      <c r="H5334" s="2"/>
      <c r="I5334" s="2"/>
    </row>
    <row r="5335">
      <c r="A5335" s="2">
        <f>IFERROR(__xludf.DUMMYFUNCTION("""COMPUTED_VALUE"""),90854.0)</f>
        <v>90854</v>
      </c>
      <c r="B5335" s="2" t="str">
        <f>IFERROR(__xludf.DUMMYFUNCTION("""COMPUTED_VALUE"""),"Law")</f>
        <v>Law</v>
      </c>
      <c r="C5335" s="2" t="str">
        <f>IFERROR(__xludf.DUMMYFUNCTION("""COMPUTED_VALUE"""),"Art History")</f>
        <v>Art History</v>
      </c>
      <c r="D5335" s="2" t="str">
        <f>IFERROR(__xludf.DUMMYFUNCTION("""COMPUTED_VALUE"""),"Brightgate Publishing House")</f>
        <v>Brightgate Publishing House</v>
      </c>
      <c r="E5335" s="2">
        <f>IFERROR(__xludf.DUMMYFUNCTION("""COMPUTED_VALUE"""),2.5)</f>
        <v>2.5</v>
      </c>
      <c r="F5335" s="2"/>
      <c r="G5335" s="2"/>
      <c r="H5335" s="2"/>
      <c r="I5335" s="2"/>
    </row>
    <row r="5336">
      <c r="A5336" s="2">
        <f>IFERROR(__xludf.DUMMYFUNCTION("""COMPUTED_VALUE"""),76568.0)</f>
        <v>76568</v>
      </c>
      <c r="B5336" s="2" t="str">
        <f>IFERROR(__xludf.DUMMYFUNCTION("""COMPUTED_VALUE"""),"Law")</f>
        <v>Law</v>
      </c>
      <c r="C5336" s="2" t="str">
        <f>IFERROR(__xludf.DUMMYFUNCTION("""COMPUTED_VALUE"""),"Art History")</f>
        <v>Art History</v>
      </c>
      <c r="D5336" s="2" t="str">
        <f>IFERROR(__xludf.DUMMYFUNCTION("""COMPUTED_VALUE"""),"Brightgate Publishing House")</f>
        <v>Brightgate Publishing House</v>
      </c>
      <c r="E5336" s="2">
        <f>IFERROR(__xludf.DUMMYFUNCTION("""COMPUTED_VALUE"""),1.78)</f>
        <v>1.78</v>
      </c>
      <c r="F5336" s="2"/>
      <c r="G5336" s="2"/>
      <c r="H5336" s="2"/>
      <c r="I5336" s="2"/>
    </row>
    <row r="5337">
      <c r="A5337" s="2">
        <f>IFERROR(__xludf.DUMMYFUNCTION("""COMPUTED_VALUE"""),76589.0)</f>
        <v>76589</v>
      </c>
      <c r="B5337" s="2" t="str">
        <f>IFERROR(__xludf.DUMMYFUNCTION("""COMPUTED_VALUE"""),"Law")</f>
        <v>Law</v>
      </c>
      <c r="C5337" s="2" t="str">
        <f>IFERROR(__xludf.DUMMYFUNCTION("""COMPUTED_VALUE"""),"Art History")</f>
        <v>Art History</v>
      </c>
      <c r="D5337" s="2" t="str">
        <f>IFERROR(__xludf.DUMMYFUNCTION("""COMPUTED_VALUE"""),"Brightgate Publishing House")</f>
        <v>Brightgate Publishing House</v>
      </c>
      <c r="E5337" s="2">
        <f>IFERROR(__xludf.DUMMYFUNCTION("""COMPUTED_VALUE"""),1.88)</f>
        <v>1.88</v>
      </c>
      <c r="F5337" s="2"/>
      <c r="G5337" s="2"/>
      <c r="H5337" s="2"/>
      <c r="I5337" s="2"/>
    </row>
    <row r="5338">
      <c r="A5338" s="2">
        <f>IFERROR(__xludf.DUMMYFUNCTION("""COMPUTED_VALUE"""),76581.0)</f>
        <v>76581</v>
      </c>
      <c r="B5338" s="2" t="str">
        <f>IFERROR(__xludf.DUMMYFUNCTION("""COMPUTED_VALUE"""),"Law")</f>
        <v>Law</v>
      </c>
      <c r="C5338" s="2" t="str">
        <f>IFERROR(__xludf.DUMMYFUNCTION("""COMPUTED_VALUE"""),"Art History")</f>
        <v>Art History</v>
      </c>
      <c r="D5338" s="2" t="str">
        <f>IFERROR(__xludf.DUMMYFUNCTION("""COMPUTED_VALUE"""),"Brightgate Publishing House")</f>
        <v>Brightgate Publishing House</v>
      </c>
      <c r="E5338" s="2">
        <f>IFERROR(__xludf.DUMMYFUNCTION("""COMPUTED_VALUE"""),1.21)</f>
        <v>1.21</v>
      </c>
      <c r="F5338" s="2"/>
      <c r="G5338" s="2"/>
      <c r="H5338" s="2"/>
      <c r="I5338" s="2"/>
    </row>
    <row r="5339">
      <c r="A5339" s="2">
        <f>IFERROR(__xludf.DUMMYFUNCTION("""COMPUTED_VALUE"""),77250.0)</f>
        <v>77250</v>
      </c>
      <c r="B5339" s="2" t="str">
        <f>IFERROR(__xludf.DUMMYFUNCTION("""COMPUTED_VALUE"""),"Law")</f>
        <v>Law</v>
      </c>
      <c r="C5339" s="2" t="str">
        <f>IFERROR(__xludf.DUMMYFUNCTION("""COMPUTED_VALUE"""),"Art History")</f>
        <v>Art History</v>
      </c>
      <c r="D5339" s="2" t="str">
        <f>IFERROR(__xludf.DUMMYFUNCTION("""COMPUTED_VALUE"""),"Brightgate Publishing House")</f>
        <v>Brightgate Publishing House</v>
      </c>
      <c r="E5339" s="2">
        <f>IFERROR(__xludf.DUMMYFUNCTION("""COMPUTED_VALUE"""),1.15)</f>
        <v>1.15</v>
      </c>
      <c r="F5339" s="2"/>
      <c r="G5339" s="2"/>
      <c r="H5339" s="2"/>
      <c r="I5339" s="2"/>
    </row>
    <row r="5340">
      <c r="A5340" s="2">
        <f>IFERROR(__xludf.DUMMYFUNCTION("""COMPUTED_VALUE"""),87222.0)</f>
        <v>87222</v>
      </c>
      <c r="B5340" s="2" t="str">
        <f>IFERROR(__xludf.DUMMYFUNCTION("""COMPUTED_VALUE"""),"Law")</f>
        <v>Law</v>
      </c>
      <c r="C5340" s="2" t="str">
        <f>IFERROR(__xludf.DUMMYFUNCTION("""COMPUTED_VALUE"""),"Art History")</f>
        <v>Art History</v>
      </c>
      <c r="D5340" s="2" t="str">
        <f>IFERROR(__xludf.DUMMYFUNCTION("""COMPUTED_VALUE"""),"Brightgate Publishing House")</f>
        <v>Brightgate Publishing House</v>
      </c>
      <c r="E5340" s="2">
        <f>IFERROR(__xludf.DUMMYFUNCTION("""COMPUTED_VALUE"""),12.12)</f>
        <v>12.12</v>
      </c>
      <c r="F5340" s="2"/>
      <c r="G5340" s="2"/>
      <c r="H5340" s="2"/>
      <c r="I5340" s="2"/>
    </row>
    <row r="5341">
      <c r="A5341" s="2">
        <f>IFERROR(__xludf.DUMMYFUNCTION("""COMPUTED_VALUE"""),122120.0)</f>
        <v>122120</v>
      </c>
      <c r="B5341" s="2" t="str">
        <f>IFERROR(__xludf.DUMMYFUNCTION("""COMPUTED_VALUE"""),"Law")</f>
        <v>Law</v>
      </c>
      <c r="C5341" s="2" t="str">
        <f>IFERROR(__xludf.DUMMYFUNCTION("""COMPUTED_VALUE"""),"Art History")</f>
        <v>Art History</v>
      </c>
      <c r="D5341" s="2" t="str">
        <f>IFERROR(__xludf.DUMMYFUNCTION("""COMPUTED_VALUE"""),"Brightgate Publishing House")</f>
        <v>Brightgate Publishing House</v>
      </c>
      <c r="E5341" s="2">
        <f>IFERROR(__xludf.DUMMYFUNCTION("""COMPUTED_VALUE"""),2.18)</f>
        <v>2.18</v>
      </c>
      <c r="F5341" s="2"/>
      <c r="G5341" s="2"/>
      <c r="H5341" s="2"/>
      <c r="I5341" s="2"/>
    </row>
    <row r="5342">
      <c r="A5342" s="2">
        <f>IFERROR(__xludf.DUMMYFUNCTION("""COMPUTED_VALUE"""),122121.0)</f>
        <v>122121</v>
      </c>
      <c r="B5342" s="2" t="str">
        <f>IFERROR(__xludf.DUMMYFUNCTION("""COMPUTED_VALUE"""),"Law")</f>
        <v>Law</v>
      </c>
      <c r="C5342" s="2" t="str">
        <f>IFERROR(__xludf.DUMMYFUNCTION("""COMPUTED_VALUE"""),"Art History")</f>
        <v>Art History</v>
      </c>
      <c r="D5342" s="2" t="str">
        <f>IFERROR(__xludf.DUMMYFUNCTION("""COMPUTED_VALUE"""),"Brightgate Publishing House")</f>
        <v>Brightgate Publishing House</v>
      </c>
      <c r="E5342" s="2">
        <f>IFERROR(__xludf.DUMMYFUNCTION("""COMPUTED_VALUE"""),2.98)</f>
        <v>2.98</v>
      </c>
      <c r="F5342" s="2"/>
      <c r="G5342" s="2"/>
      <c r="H5342" s="2"/>
      <c r="I5342" s="2"/>
    </row>
    <row r="5343">
      <c r="A5343" s="2">
        <f>IFERROR(__xludf.DUMMYFUNCTION("""COMPUTED_VALUE"""),90880.0)</f>
        <v>90880</v>
      </c>
      <c r="B5343" s="2" t="str">
        <f>IFERROR(__xludf.DUMMYFUNCTION("""COMPUTED_VALUE"""),"Law")</f>
        <v>Law</v>
      </c>
      <c r="C5343" s="2" t="str">
        <f>IFERROR(__xludf.DUMMYFUNCTION("""COMPUTED_VALUE"""),"Art History")</f>
        <v>Art History</v>
      </c>
      <c r="D5343" s="2" t="str">
        <f>IFERROR(__xludf.DUMMYFUNCTION("""COMPUTED_VALUE"""),"Brightgate Publishing House")</f>
        <v>Brightgate Publishing House</v>
      </c>
      <c r="E5343" s="2">
        <f>IFERROR(__xludf.DUMMYFUNCTION("""COMPUTED_VALUE"""),2.42)</f>
        <v>2.42</v>
      </c>
      <c r="F5343" s="2"/>
      <c r="G5343" s="2"/>
      <c r="H5343" s="2"/>
      <c r="I5343" s="2"/>
    </row>
    <row r="5344">
      <c r="A5344" s="2">
        <f>IFERROR(__xludf.DUMMYFUNCTION("""COMPUTED_VALUE"""),122088.0)</f>
        <v>122088</v>
      </c>
      <c r="B5344" s="2" t="str">
        <f>IFERROR(__xludf.DUMMYFUNCTION("""COMPUTED_VALUE"""),"Law")</f>
        <v>Law</v>
      </c>
      <c r="C5344" s="2" t="str">
        <f>IFERROR(__xludf.DUMMYFUNCTION("""COMPUTED_VALUE"""),"Art History")</f>
        <v>Art History</v>
      </c>
      <c r="D5344" s="2" t="str">
        <f>IFERROR(__xludf.DUMMYFUNCTION("""COMPUTED_VALUE"""),"Brightgate Publishing House")</f>
        <v>Brightgate Publishing House</v>
      </c>
      <c r="E5344" s="2">
        <f>IFERROR(__xludf.DUMMYFUNCTION("""COMPUTED_VALUE"""),1.14)</f>
        <v>1.14</v>
      </c>
      <c r="F5344" s="2"/>
      <c r="G5344" s="2"/>
      <c r="H5344" s="2"/>
      <c r="I5344" s="2"/>
    </row>
    <row r="5345">
      <c r="A5345" s="2">
        <f>IFERROR(__xludf.DUMMYFUNCTION("""COMPUTED_VALUE"""),90886.0)</f>
        <v>90886</v>
      </c>
      <c r="B5345" s="2" t="str">
        <f>IFERROR(__xludf.DUMMYFUNCTION("""COMPUTED_VALUE"""),"Law")</f>
        <v>Law</v>
      </c>
      <c r="C5345" s="2" t="str">
        <f>IFERROR(__xludf.DUMMYFUNCTION("""COMPUTED_VALUE"""),"Art History")</f>
        <v>Art History</v>
      </c>
      <c r="D5345" s="2" t="str">
        <f>IFERROR(__xludf.DUMMYFUNCTION("""COMPUTED_VALUE"""),"Brightgate Publishing House")</f>
        <v>Brightgate Publishing House</v>
      </c>
      <c r="E5345" s="2">
        <f>IFERROR(__xludf.DUMMYFUNCTION("""COMPUTED_VALUE"""),1.36)</f>
        <v>1.36</v>
      </c>
      <c r="F5345" s="2"/>
      <c r="G5345" s="2"/>
      <c r="H5345" s="2"/>
      <c r="I5345" s="2"/>
    </row>
    <row r="5346">
      <c r="A5346" s="2">
        <f>IFERROR(__xludf.DUMMYFUNCTION("""COMPUTED_VALUE"""),90755.0)</f>
        <v>90755</v>
      </c>
      <c r="B5346" s="2" t="str">
        <f>IFERROR(__xludf.DUMMYFUNCTION("""COMPUTED_VALUE"""),"Law")</f>
        <v>Law</v>
      </c>
      <c r="C5346" s="2" t="str">
        <f>IFERROR(__xludf.DUMMYFUNCTION("""COMPUTED_VALUE"""),"Art History")</f>
        <v>Art History</v>
      </c>
      <c r="D5346" s="2" t="str">
        <f>IFERROR(__xludf.DUMMYFUNCTION("""COMPUTED_VALUE"""),"Brightgate Publishing House")</f>
        <v>Brightgate Publishing House</v>
      </c>
      <c r="E5346" s="2">
        <f>IFERROR(__xludf.DUMMYFUNCTION("""COMPUTED_VALUE"""),2.03)</f>
        <v>2.03</v>
      </c>
      <c r="F5346" s="2"/>
      <c r="G5346" s="2"/>
      <c r="H5346" s="2"/>
      <c r="I5346" s="2"/>
    </row>
    <row r="5347">
      <c r="A5347" s="2">
        <f>IFERROR(__xludf.DUMMYFUNCTION("""COMPUTED_VALUE"""),111045.0)</f>
        <v>111045</v>
      </c>
      <c r="B5347" s="2" t="str">
        <f>IFERROR(__xludf.DUMMYFUNCTION("""COMPUTED_VALUE"""),"Law")</f>
        <v>Law</v>
      </c>
      <c r="C5347" s="2" t="str">
        <f>IFERROR(__xludf.DUMMYFUNCTION("""COMPUTED_VALUE"""),"Art History")</f>
        <v>Art History</v>
      </c>
      <c r="D5347" s="2" t="str">
        <f>IFERROR(__xludf.DUMMYFUNCTION("""COMPUTED_VALUE"""),"Brightgate Publishing House")</f>
        <v>Brightgate Publishing House</v>
      </c>
      <c r="E5347" s="2">
        <f>IFERROR(__xludf.DUMMYFUNCTION("""COMPUTED_VALUE"""),1.84)</f>
        <v>1.84</v>
      </c>
      <c r="F5347" s="2"/>
      <c r="G5347" s="2"/>
      <c r="H5347" s="2"/>
      <c r="I5347" s="2"/>
    </row>
    <row r="5348">
      <c r="A5348" s="2">
        <f>IFERROR(__xludf.DUMMYFUNCTION("""COMPUTED_VALUE"""),76582.0)</f>
        <v>76582</v>
      </c>
      <c r="B5348" s="2" t="str">
        <f>IFERROR(__xludf.DUMMYFUNCTION("""COMPUTED_VALUE"""),"Law")</f>
        <v>Law</v>
      </c>
      <c r="C5348" s="2" t="str">
        <f>IFERROR(__xludf.DUMMYFUNCTION("""COMPUTED_VALUE"""),"Art History")</f>
        <v>Art History</v>
      </c>
      <c r="D5348" s="2" t="str">
        <f>IFERROR(__xludf.DUMMYFUNCTION("""COMPUTED_VALUE"""),"Brightgate Publishing House")</f>
        <v>Brightgate Publishing House</v>
      </c>
      <c r="E5348" s="2">
        <f>IFERROR(__xludf.DUMMYFUNCTION("""COMPUTED_VALUE"""),1.96)</f>
        <v>1.96</v>
      </c>
      <c r="F5348" s="2"/>
      <c r="G5348" s="2"/>
      <c r="H5348" s="2"/>
      <c r="I5348" s="2"/>
    </row>
    <row r="5349">
      <c r="A5349" s="2">
        <f>IFERROR(__xludf.DUMMYFUNCTION("""COMPUTED_VALUE"""),76570.0)</f>
        <v>76570</v>
      </c>
      <c r="B5349" s="2" t="str">
        <f>IFERROR(__xludf.DUMMYFUNCTION("""COMPUTED_VALUE"""),"Law")</f>
        <v>Law</v>
      </c>
      <c r="C5349" s="2" t="str">
        <f>IFERROR(__xludf.DUMMYFUNCTION("""COMPUTED_VALUE"""),"Art History")</f>
        <v>Art History</v>
      </c>
      <c r="D5349" s="2" t="str">
        <f>IFERROR(__xludf.DUMMYFUNCTION("""COMPUTED_VALUE"""),"Brightgate Publishing House")</f>
        <v>Brightgate Publishing House</v>
      </c>
      <c r="E5349" s="2">
        <f>IFERROR(__xludf.DUMMYFUNCTION("""COMPUTED_VALUE"""),1.19)</f>
        <v>1.19</v>
      </c>
      <c r="F5349" s="2"/>
      <c r="G5349" s="2"/>
      <c r="H5349" s="2"/>
      <c r="I5349" s="2"/>
    </row>
    <row r="5350">
      <c r="A5350" s="2">
        <f>IFERROR(__xludf.DUMMYFUNCTION("""COMPUTED_VALUE"""),87099.0)</f>
        <v>87099</v>
      </c>
      <c r="B5350" s="2" t="str">
        <f>IFERROR(__xludf.DUMMYFUNCTION("""COMPUTED_VALUE"""),"Law")</f>
        <v>Law</v>
      </c>
      <c r="C5350" s="2" t="str">
        <f>IFERROR(__xludf.DUMMYFUNCTION("""COMPUTED_VALUE"""),"Art History")</f>
        <v>Art History</v>
      </c>
      <c r="D5350" s="2" t="str">
        <f>IFERROR(__xludf.DUMMYFUNCTION("""COMPUTED_VALUE"""),"Brightgate Publishing House")</f>
        <v>Brightgate Publishing House</v>
      </c>
      <c r="E5350" s="2">
        <f>IFERROR(__xludf.DUMMYFUNCTION("""COMPUTED_VALUE"""),1.31)</f>
        <v>1.31</v>
      </c>
      <c r="F5350" s="2"/>
      <c r="G5350" s="2"/>
      <c r="H5350" s="2"/>
      <c r="I5350" s="2"/>
    </row>
    <row r="5351">
      <c r="A5351" s="2">
        <f>IFERROR(__xludf.DUMMYFUNCTION("""COMPUTED_VALUE"""),76569.0)</f>
        <v>76569</v>
      </c>
      <c r="B5351" s="2" t="str">
        <f>IFERROR(__xludf.DUMMYFUNCTION("""COMPUTED_VALUE"""),"Law")</f>
        <v>Law</v>
      </c>
      <c r="C5351" s="2" t="str">
        <f>IFERROR(__xludf.DUMMYFUNCTION("""COMPUTED_VALUE"""),"Art History")</f>
        <v>Art History</v>
      </c>
      <c r="D5351" s="2" t="str">
        <f>IFERROR(__xludf.DUMMYFUNCTION("""COMPUTED_VALUE"""),"Brightgate Publishing House")</f>
        <v>Brightgate Publishing House</v>
      </c>
      <c r="E5351" s="2">
        <f>IFERROR(__xludf.DUMMYFUNCTION("""COMPUTED_VALUE"""),1.65)</f>
        <v>1.65</v>
      </c>
      <c r="F5351" s="2"/>
      <c r="G5351" s="2"/>
      <c r="H5351" s="2"/>
      <c r="I5351" s="2"/>
    </row>
    <row r="5352">
      <c r="A5352" s="2">
        <f>IFERROR(__xludf.DUMMYFUNCTION("""COMPUTED_VALUE"""),5586.0)</f>
        <v>5586</v>
      </c>
      <c r="B5352" s="2" t="str">
        <f>IFERROR(__xludf.DUMMYFUNCTION("""COMPUTED_VALUE"""),"Law")</f>
        <v>Law</v>
      </c>
      <c r="C5352" s="2" t="str">
        <f>IFERROR(__xludf.DUMMYFUNCTION("""COMPUTED_VALUE"""),"Art History")</f>
        <v>Art History</v>
      </c>
      <c r="D5352" s="2" t="str">
        <f>IFERROR(__xludf.DUMMYFUNCTION("""COMPUTED_VALUE"""),"Brightgate Publishing House")</f>
        <v>Brightgate Publishing House</v>
      </c>
      <c r="E5352" s="2">
        <f>IFERROR(__xludf.DUMMYFUNCTION("""COMPUTED_VALUE"""),1.42)</f>
        <v>1.42</v>
      </c>
      <c r="F5352" s="2"/>
      <c r="G5352" s="2"/>
      <c r="H5352" s="2"/>
      <c r="I5352" s="2"/>
    </row>
    <row r="5353">
      <c r="A5353" s="2">
        <f>IFERROR(__xludf.DUMMYFUNCTION("""COMPUTED_VALUE"""),5600.0)</f>
        <v>5600</v>
      </c>
      <c r="B5353" s="2" t="str">
        <f>IFERROR(__xludf.DUMMYFUNCTION("""COMPUTED_VALUE"""),"Law")</f>
        <v>Law</v>
      </c>
      <c r="C5353" s="2" t="str">
        <f>IFERROR(__xludf.DUMMYFUNCTION("""COMPUTED_VALUE"""),"Art History")</f>
        <v>Art History</v>
      </c>
      <c r="D5353" s="2" t="str">
        <f>IFERROR(__xludf.DUMMYFUNCTION("""COMPUTED_VALUE"""),"Brightgate Publishing House")</f>
        <v>Brightgate Publishing House</v>
      </c>
      <c r="E5353" s="2">
        <f>IFERROR(__xludf.DUMMYFUNCTION("""COMPUTED_VALUE"""),1.28)</f>
        <v>1.28</v>
      </c>
      <c r="F5353" s="2"/>
      <c r="G5353" s="2"/>
      <c r="H5353" s="2"/>
      <c r="I5353" s="2"/>
    </row>
    <row r="5354">
      <c r="A5354" s="2">
        <f>IFERROR(__xludf.DUMMYFUNCTION("""COMPUTED_VALUE"""),120390.0)</f>
        <v>120390</v>
      </c>
      <c r="B5354" s="2" t="str">
        <f>IFERROR(__xludf.DUMMYFUNCTION("""COMPUTED_VALUE"""),"Law")</f>
        <v>Law</v>
      </c>
      <c r="C5354" s="2" t="str">
        <f>IFERROR(__xludf.DUMMYFUNCTION("""COMPUTED_VALUE"""),"Art History")</f>
        <v>Art History</v>
      </c>
      <c r="D5354" s="2" t="str">
        <f>IFERROR(__xludf.DUMMYFUNCTION("""COMPUTED_VALUE"""),"Brightgate Publishing House")</f>
        <v>Brightgate Publishing House</v>
      </c>
      <c r="E5354" s="2">
        <f>IFERROR(__xludf.DUMMYFUNCTION("""COMPUTED_VALUE"""),2.3)</f>
        <v>2.3</v>
      </c>
      <c r="F5354" s="2"/>
      <c r="G5354" s="2"/>
      <c r="H5354" s="2"/>
      <c r="I5354" s="2"/>
    </row>
    <row r="5355">
      <c r="A5355" s="2">
        <f>IFERROR(__xludf.DUMMYFUNCTION("""COMPUTED_VALUE"""),76389.0)</f>
        <v>76389</v>
      </c>
      <c r="B5355" s="2" t="str">
        <f>IFERROR(__xludf.DUMMYFUNCTION("""COMPUTED_VALUE"""),"Law")</f>
        <v>Law</v>
      </c>
      <c r="C5355" s="2" t="str">
        <f>IFERROR(__xludf.DUMMYFUNCTION("""COMPUTED_VALUE"""),"Art History")</f>
        <v>Art History</v>
      </c>
      <c r="D5355" s="2" t="str">
        <f>IFERROR(__xludf.DUMMYFUNCTION("""COMPUTED_VALUE"""),"Brightgate Publishing House")</f>
        <v>Brightgate Publishing House</v>
      </c>
      <c r="E5355" s="2">
        <f>IFERROR(__xludf.DUMMYFUNCTION("""COMPUTED_VALUE"""),2.51)</f>
        <v>2.51</v>
      </c>
      <c r="F5355" s="2"/>
      <c r="G5355" s="2"/>
      <c r="H5355" s="2"/>
      <c r="I5355" s="2"/>
    </row>
    <row r="5356">
      <c r="A5356" s="2">
        <f>IFERROR(__xludf.DUMMYFUNCTION("""COMPUTED_VALUE"""),5601.0)</f>
        <v>5601</v>
      </c>
      <c r="B5356" s="2" t="str">
        <f>IFERROR(__xludf.DUMMYFUNCTION("""COMPUTED_VALUE"""),"Law")</f>
        <v>Law</v>
      </c>
      <c r="C5356" s="2" t="str">
        <f>IFERROR(__xludf.DUMMYFUNCTION("""COMPUTED_VALUE"""),"Art History")</f>
        <v>Art History</v>
      </c>
      <c r="D5356" s="2" t="str">
        <f>IFERROR(__xludf.DUMMYFUNCTION("""COMPUTED_VALUE"""),"Brightgate Publishing House")</f>
        <v>Brightgate Publishing House</v>
      </c>
      <c r="E5356" s="2">
        <f>IFERROR(__xludf.DUMMYFUNCTION("""COMPUTED_VALUE"""),1.93)</f>
        <v>1.93</v>
      </c>
      <c r="F5356" s="2"/>
      <c r="G5356" s="2"/>
      <c r="H5356" s="2"/>
      <c r="I5356" s="2"/>
    </row>
    <row r="5357">
      <c r="A5357" s="2">
        <f>IFERROR(__xludf.DUMMYFUNCTION("""COMPUTED_VALUE"""),202579.0)</f>
        <v>202579</v>
      </c>
      <c r="B5357" s="2" t="str">
        <f>IFERROR(__xludf.DUMMYFUNCTION("""COMPUTED_VALUE"""),"Law")</f>
        <v>Law</v>
      </c>
      <c r="C5357" s="2" t="str">
        <f>IFERROR(__xludf.DUMMYFUNCTION("""COMPUTED_VALUE"""),"Art History")</f>
        <v>Art History</v>
      </c>
      <c r="D5357" s="2" t="str">
        <f>IFERROR(__xludf.DUMMYFUNCTION("""COMPUTED_VALUE"""),"Brightgate Publishing House")</f>
        <v>Brightgate Publishing House</v>
      </c>
      <c r="E5357" s="2">
        <f>IFERROR(__xludf.DUMMYFUNCTION("""COMPUTED_VALUE"""),2.26)</f>
        <v>2.26</v>
      </c>
      <c r="F5357" s="2"/>
      <c r="G5357" s="2"/>
      <c r="H5357" s="2"/>
      <c r="I5357" s="2"/>
    </row>
    <row r="5358">
      <c r="A5358" s="2">
        <f>IFERROR(__xludf.DUMMYFUNCTION("""COMPUTED_VALUE"""),5584.0)</f>
        <v>5584</v>
      </c>
      <c r="B5358" s="2" t="str">
        <f>IFERROR(__xludf.DUMMYFUNCTION("""COMPUTED_VALUE"""),"Law")</f>
        <v>Law</v>
      </c>
      <c r="C5358" s="2" t="str">
        <f>IFERROR(__xludf.DUMMYFUNCTION("""COMPUTED_VALUE"""),"Art History")</f>
        <v>Art History</v>
      </c>
      <c r="D5358" s="2" t="str">
        <f>IFERROR(__xludf.DUMMYFUNCTION("""COMPUTED_VALUE"""),"Brightgate Publishing House")</f>
        <v>Brightgate Publishing House</v>
      </c>
      <c r="E5358" s="2">
        <f>IFERROR(__xludf.DUMMYFUNCTION("""COMPUTED_VALUE"""),3.25)</f>
        <v>3.25</v>
      </c>
      <c r="F5358" s="2"/>
      <c r="G5358" s="2"/>
      <c r="H5358" s="2"/>
      <c r="I5358" s="2"/>
    </row>
    <row r="5359">
      <c r="A5359" s="2">
        <f>IFERROR(__xludf.DUMMYFUNCTION("""COMPUTED_VALUE"""),90888.0)</f>
        <v>90888</v>
      </c>
      <c r="B5359" s="2" t="str">
        <f>IFERROR(__xludf.DUMMYFUNCTION("""COMPUTED_VALUE"""),"Law")</f>
        <v>Law</v>
      </c>
      <c r="C5359" s="2" t="str">
        <f>IFERROR(__xludf.DUMMYFUNCTION("""COMPUTED_VALUE"""),"Art History")</f>
        <v>Art History</v>
      </c>
      <c r="D5359" s="2" t="str">
        <f>IFERROR(__xludf.DUMMYFUNCTION("""COMPUTED_VALUE"""),"Brightgate Publishing House")</f>
        <v>Brightgate Publishing House</v>
      </c>
      <c r="E5359" s="2">
        <f>IFERROR(__xludf.DUMMYFUNCTION("""COMPUTED_VALUE"""),6.06)</f>
        <v>6.06</v>
      </c>
      <c r="F5359" s="2"/>
      <c r="G5359" s="2"/>
      <c r="H5359" s="2"/>
      <c r="I5359" s="2"/>
    </row>
    <row r="5360">
      <c r="A5360" s="2">
        <f>IFERROR(__xludf.DUMMYFUNCTION("""COMPUTED_VALUE"""),76584.0)</f>
        <v>76584</v>
      </c>
      <c r="B5360" s="2" t="str">
        <f>IFERROR(__xludf.DUMMYFUNCTION("""COMPUTED_VALUE"""),"Law")</f>
        <v>Law</v>
      </c>
      <c r="C5360" s="2" t="str">
        <f>IFERROR(__xludf.DUMMYFUNCTION("""COMPUTED_VALUE"""),"Art History")</f>
        <v>Art History</v>
      </c>
      <c r="D5360" s="2" t="str">
        <f>IFERROR(__xludf.DUMMYFUNCTION("""COMPUTED_VALUE"""),"Brightgate Publishing House")</f>
        <v>Brightgate Publishing House</v>
      </c>
      <c r="E5360" s="2">
        <f>IFERROR(__xludf.DUMMYFUNCTION("""COMPUTED_VALUE"""),1.22)</f>
        <v>1.22</v>
      </c>
      <c r="F5360" s="2"/>
      <c r="G5360" s="2"/>
      <c r="H5360" s="2"/>
      <c r="I5360" s="2"/>
    </row>
    <row r="5361">
      <c r="A5361" s="2">
        <f>IFERROR(__xludf.DUMMYFUNCTION("""COMPUTED_VALUE"""),87171.0)</f>
        <v>87171</v>
      </c>
      <c r="B5361" s="2" t="str">
        <f>IFERROR(__xludf.DUMMYFUNCTION("""COMPUTED_VALUE"""),"Law")</f>
        <v>Law</v>
      </c>
      <c r="C5361" s="2" t="str">
        <f>IFERROR(__xludf.DUMMYFUNCTION("""COMPUTED_VALUE"""),"Art History")</f>
        <v>Art History</v>
      </c>
      <c r="D5361" s="2" t="str">
        <f>IFERROR(__xludf.DUMMYFUNCTION("""COMPUTED_VALUE"""),"Brightgate Publishing House")</f>
        <v>Brightgate Publishing House</v>
      </c>
      <c r="E5361" s="2">
        <f>IFERROR(__xludf.DUMMYFUNCTION("""COMPUTED_VALUE"""),2.37)</f>
        <v>2.37</v>
      </c>
      <c r="F5361" s="2"/>
      <c r="G5361" s="2"/>
      <c r="H5361" s="2"/>
      <c r="I5361" s="2"/>
    </row>
    <row r="5362">
      <c r="A5362" s="2">
        <f>IFERROR(__xludf.DUMMYFUNCTION("""COMPUTED_VALUE"""),110569.0)</f>
        <v>110569</v>
      </c>
      <c r="B5362" s="2" t="str">
        <f>IFERROR(__xludf.DUMMYFUNCTION("""COMPUTED_VALUE"""),"Law")</f>
        <v>Law</v>
      </c>
      <c r="C5362" s="2" t="str">
        <f>IFERROR(__xludf.DUMMYFUNCTION("""COMPUTED_VALUE"""),"Art History")</f>
        <v>Art History</v>
      </c>
      <c r="D5362" s="2" t="str">
        <f>IFERROR(__xludf.DUMMYFUNCTION("""COMPUTED_VALUE"""),"Brightgate Publishing House")</f>
        <v>Brightgate Publishing House</v>
      </c>
      <c r="E5362" s="2">
        <f>IFERROR(__xludf.DUMMYFUNCTION("""COMPUTED_VALUE"""),1.1)</f>
        <v>1.1</v>
      </c>
      <c r="F5362" s="2"/>
      <c r="G5362" s="2"/>
      <c r="H5362" s="2"/>
      <c r="I5362" s="2"/>
    </row>
    <row r="5363">
      <c r="A5363" s="2">
        <f>IFERROR(__xludf.DUMMYFUNCTION("""COMPUTED_VALUE"""),5588.0)</f>
        <v>5588</v>
      </c>
      <c r="B5363" s="2" t="str">
        <f>IFERROR(__xludf.DUMMYFUNCTION("""COMPUTED_VALUE"""),"Law")</f>
        <v>Law</v>
      </c>
      <c r="C5363" s="2" t="str">
        <f>IFERROR(__xludf.DUMMYFUNCTION("""COMPUTED_VALUE"""),"Art History")</f>
        <v>Art History</v>
      </c>
      <c r="D5363" s="2" t="str">
        <f>IFERROR(__xludf.DUMMYFUNCTION("""COMPUTED_VALUE"""),"Brightgate Publishing House")</f>
        <v>Brightgate Publishing House</v>
      </c>
      <c r="E5363" s="2">
        <f>IFERROR(__xludf.DUMMYFUNCTION("""COMPUTED_VALUE"""),3.27)</f>
        <v>3.27</v>
      </c>
      <c r="F5363" s="2"/>
      <c r="G5363" s="2"/>
      <c r="H5363" s="2"/>
      <c r="I5363" s="2"/>
    </row>
    <row r="5364">
      <c r="A5364" s="2">
        <f>IFERROR(__xludf.DUMMYFUNCTION("""COMPUTED_VALUE"""),117165.0)</f>
        <v>117165</v>
      </c>
      <c r="B5364" s="2" t="str">
        <f>IFERROR(__xludf.DUMMYFUNCTION("""COMPUTED_VALUE"""),"Law")</f>
        <v>Law</v>
      </c>
      <c r="C5364" s="2" t="str">
        <f>IFERROR(__xludf.DUMMYFUNCTION("""COMPUTED_VALUE"""),"Art History")</f>
        <v>Art History</v>
      </c>
      <c r="D5364" s="2" t="str">
        <f>IFERROR(__xludf.DUMMYFUNCTION("""COMPUTED_VALUE"""),"Brightgate Publishing House")</f>
        <v>Brightgate Publishing House</v>
      </c>
      <c r="E5364" s="2">
        <f>IFERROR(__xludf.DUMMYFUNCTION("""COMPUTED_VALUE"""),1.08)</f>
        <v>1.08</v>
      </c>
      <c r="F5364" s="2"/>
      <c r="G5364" s="2"/>
      <c r="H5364" s="2"/>
      <c r="I5364" s="2"/>
    </row>
    <row r="5365">
      <c r="A5365" s="2">
        <f>IFERROR(__xludf.DUMMYFUNCTION("""COMPUTED_VALUE"""),5587.0)</f>
        <v>5587</v>
      </c>
      <c r="B5365" s="2" t="str">
        <f>IFERROR(__xludf.DUMMYFUNCTION("""COMPUTED_VALUE"""),"Law")</f>
        <v>Law</v>
      </c>
      <c r="C5365" s="2" t="str">
        <f>IFERROR(__xludf.DUMMYFUNCTION("""COMPUTED_VALUE"""),"Art History")</f>
        <v>Art History</v>
      </c>
      <c r="D5365" s="2" t="str">
        <f>IFERROR(__xludf.DUMMYFUNCTION("""COMPUTED_VALUE"""),"Brightgate Publishing House")</f>
        <v>Brightgate Publishing House</v>
      </c>
      <c r="E5365" s="2">
        <f>IFERROR(__xludf.DUMMYFUNCTION("""COMPUTED_VALUE"""),1.85)</f>
        <v>1.85</v>
      </c>
      <c r="F5365" s="2"/>
      <c r="G5365" s="2"/>
      <c r="H5365" s="2"/>
      <c r="I5365" s="2"/>
    </row>
    <row r="5366">
      <c r="A5366" s="2">
        <f>IFERROR(__xludf.DUMMYFUNCTION("""COMPUTED_VALUE"""),68359.0)</f>
        <v>68359</v>
      </c>
      <c r="B5366" s="2" t="str">
        <f>IFERROR(__xludf.DUMMYFUNCTION("""COMPUTED_VALUE"""),"Law")</f>
        <v>Law</v>
      </c>
      <c r="C5366" s="2" t="str">
        <f>IFERROR(__xludf.DUMMYFUNCTION("""COMPUTED_VALUE"""),"Art History")</f>
        <v>Art History</v>
      </c>
      <c r="D5366" s="2" t="str">
        <f>IFERROR(__xludf.DUMMYFUNCTION("""COMPUTED_VALUE"""),"Brightgate Publishing House")</f>
        <v>Brightgate Publishing House</v>
      </c>
      <c r="E5366" s="2">
        <f>IFERROR(__xludf.DUMMYFUNCTION("""COMPUTED_VALUE"""),2.38)</f>
        <v>2.38</v>
      </c>
      <c r="F5366" s="2"/>
      <c r="G5366" s="2"/>
      <c r="H5366" s="2"/>
      <c r="I5366" s="2"/>
    </row>
    <row r="5367">
      <c r="A5367" s="2">
        <f>IFERROR(__xludf.DUMMYFUNCTION("""COMPUTED_VALUE"""),5590.0)</f>
        <v>5590</v>
      </c>
      <c r="B5367" s="2" t="str">
        <f>IFERROR(__xludf.DUMMYFUNCTION("""COMPUTED_VALUE"""),"Law")</f>
        <v>Law</v>
      </c>
      <c r="C5367" s="2" t="str">
        <f>IFERROR(__xludf.DUMMYFUNCTION("""COMPUTED_VALUE"""),"Art History")</f>
        <v>Art History</v>
      </c>
      <c r="D5367" s="2" t="str">
        <f>IFERROR(__xludf.DUMMYFUNCTION("""COMPUTED_VALUE"""),"Brightgate Publishing House")</f>
        <v>Brightgate Publishing House</v>
      </c>
      <c r="E5367" s="2">
        <f>IFERROR(__xludf.DUMMYFUNCTION("""COMPUTED_VALUE"""),2.55)</f>
        <v>2.55</v>
      </c>
      <c r="F5367" s="2"/>
      <c r="G5367" s="2"/>
      <c r="H5367" s="2"/>
      <c r="I5367" s="2"/>
    </row>
    <row r="5368">
      <c r="A5368" s="2">
        <f>IFERROR(__xludf.DUMMYFUNCTION("""COMPUTED_VALUE"""),76475.0)</f>
        <v>76475</v>
      </c>
      <c r="B5368" s="2" t="str">
        <f>IFERROR(__xludf.DUMMYFUNCTION("""COMPUTED_VALUE"""),"Law")</f>
        <v>Law</v>
      </c>
      <c r="C5368" s="2" t="str">
        <f>IFERROR(__xludf.DUMMYFUNCTION("""COMPUTED_VALUE"""),"Art History")</f>
        <v>Art History</v>
      </c>
      <c r="D5368" s="2" t="str">
        <f>IFERROR(__xludf.DUMMYFUNCTION("""COMPUTED_VALUE"""),"Brightgate Publishing House")</f>
        <v>Brightgate Publishing House</v>
      </c>
      <c r="E5368" s="2">
        <f>IFERROR(__xludf.DUMMYFUNCTION("""COMPUTED_VALUE"""),1.73)</f>
        <v>1.73</v>
      </c>
      <c r="F5368" s="2"/>
      <c r="G5368" s="2"/>
      <c r="H5368" s="2"/>
      <c r="I5368" s="2"/>
    </row>
    <row r="5369">
      <c r="A5369" s="2">
        <f>IFERROR(__xludf.DUMMYFUNCTION("""COMPUTED_VALUE"""),147309.0)</f>
        <v>147309</v>
      </c>
      <c r="B5369" s="2" t="str">
        <f>IFERROR(__xludf.DUMMYFUNCTION("""COMPUTED_VALUE"""),"Law")</f>
        <v>Law</v>
      </c>
      <c r="C5369" s="2" t="str">
        <f>IFERROR(__xludf.DUMMYFUNCTION("""COMPUTED_VALUE"""),"Art History")</f>
        <v>Art History</v>
      </c>
      <c r="D5369" s="2" t="str">
        <f>IFERROR(__xludf.DUMMYFUNCTION("""COMPUTED_VALUE"""),"Brightgate Publishing House")</f>
        <v>Brightgate Publishing House</v>
      </c>
      <c r="E5369" s="2">
        <f>IFERROR(__xludf.DUMMYFUNCTION("""COMPUTED_VALUE"""),1.79)</f>
        <v>1.79</v>
      </c>
      <c r="F5369" s="2"/>
      <c r="G5369" s="2"/>
      <c r="H5369" s="2"/>
      <c r="I5369" s="2"/>
    </row>
    <row r="5370">
      <c r="A5370" s="2">
        <f>IFERROR(__xludf.DUMMYFUNCTION("""COMPUTED_VALUE"""),120533.0)</f>
        <v>120533</v>
      </c>
      <c r="B5370" s="2" t="str">
        <f>IFERROR(__xludf.DUMMYFUNCTION("""COMPUTED_VALUE"""),"Law")</f>
        <v>Law</v>
      </c>
      <c r="C5370" s="2" t="str">
        <f>IFERROR(__xludf.DUMMYFUNCTION("""COMPUTED_VALUE"""),"Art History")</f>
        <v>Art History</v>
      </c>
      <c r="D5370" s="2" t="str">
        <f>IFERROR(__xludf.DUMMYFUNCTION("""COMPUTED_VALUE"""),"Brightgate Publishing House")</f>
        <v>Brightgate Publishing House</v>
      </c>
      <c r="E5370" s="2">
        <f>IFERROR(__xludf.DUMMYFUNCTION("""COMPUTED_VALUE"""),2.82)</f>
        <v>2.82</v>
      </c>
      <c r="F5370" s="2"/>
      <c r="G5370" s="2"/>
      <c r="H5370" s="2"/>
      <c r="I5370" s="2"/>
    </row>
    <row r="5371">
      <c r="A5371" s="2">
        <f>IFERROR(__xludf.DUMMYFUNCTION("""COMPUTED_VALUE"""),5591.0)</f>
        <v>5591</v>
      </c>
      <c r="B5371" s="2" t="str">
        <f>IFERROR(__xludf.DUMMYFUNCTION("""COMPUTED_VALUE"""),"Law")</f>
        <v>Law</v>
      </c>
      <c r="C5371" s="2" t="str">
        <f>IFERROR(__xludf.DUMMYFUNCTION("""COMPUTED_VALUE"""),"Art History")</f>
        <v>Art History</v>
      </c>
      <c r="D5371" s="2" t="str">
        <f>IFERROR(__xludf.DUMMYFUNCTION("""COMPUTED_VALUE"""),"Brightgate Publishing House")</f>
        <v>Brightgate Publishing House</v>
      </c>
      <c r="E5371" s="2">
        <f>IFERROR(__xludf.DUMMYFUNCTION("""COMPUTED_VALUE"""),1.97)</f>
        <v>1.97</v>
      </c>
      <c r="F5371" s="2"/>
      <c r="G5371" s="2"/>
      <c r="H5371" s="2"/>
      <c r="I5371" s="2"/>
    </row>
    <row r="5372">
      <c r="A5372" s="2">
        <f>IFERROR(__xludf.DUMMYFUNCTION("""COMPUTED_VALUE"""),77248.0)</f>
        <v>77248</v>
      </c>
      <c r="B5372" s="2" t="str">
        <f>IFERROR(__xludf.DUMMYFUNCTION("""COMPUTED_VALUE"""),"Law")</f>
        <v>Law</v>
      </c>
      <c r="C5372" s="2" t="str">
        <f>IFERROR(__xludf.DUMMYFUNCTION("""COMPUTED_VALUE"""),"Art History")</f>
        <v>Art History</v>
      </c>
      <c r="D5372" s="2" t="str">
        <f>IFERROR(__xludf.DUMMYFUNCTION("""COMPUTED_VALUE"""),"Brightgate Publishing House")</f>
        <v>Brightgate Publishing House</v>
      </c>
      <c r="E5372" s="2">
        <f>IFERROR(__xludf.DUMMYFUNCTION("""COMPUTED_VALUE"""),1.46)</f>
        <v>1.46</v>
      </c>
      <c r="F5372" s="2"/>
      <c r="G5372" s="2"/>
      <c r="H5372" s="2"/>
      <c r="I5372" s="2"/>
    </row>
    <row r="5373">
      <c r="A5373" s="2">
        <f>IFERROR(__xludf.DUMMYFUNCTION("""COMPUTED_VALUE"""),90819.0)</f>
        <v>90819</v>
      </c>
      <c r="B5373" s="2" t="str">
        <f>IFERROR(__xludf.DUMMYFUNCTION("""COMPUTED_VALUE"""),"Law")</f>
        <v>Law</v>
      </c>
      <c r="C5373" s="2" t="str">
        <f>IFERROR(__xludf.DUMMYFUNCTION("""COMPUTED_VALUE"""),"Art History")</f>
        <v>Art History</v>
      </c>
      <c r="D5373" s="2" t="str">
        <f>IFERROR(__xludf.DUMMYFUNCTION("""COMPUTED_VALUE"""),"Brightgate Publishing House")</f>
        <v>Brightgate Publishing House</v>
      </c>
      <c r="E5373" s="2">
        <f>IFERROR(__xludf.DUMMYFUNCTION("""COMPUTED_VALUE"""),7.76)</f>
        <v>7.76</v>
      </c>
      <c r="F5373" s="2"/>
      <c r="G5373" s="2"/>
      <c r="H5373" s="2"/>
      <c r="I5373" s="2"/>
    </row>
    <row r="5374">
      <c r="A5374" s="2">
        <f>IFERROR(__xludf.DUMMYFUNCTION("""COMPUTED_VALUE"""),90820.0)</f>
        <v>90820</v>
      </c>
      <c r="B5374" s="2" t="str">
        <f>IFERROR(__xludf.DUMMYFUNCTION("""COMPUTED_VALUE"""),"Law")</f>
        <v>Law</v>
      </c>
      <c r="C5374" s="2" t="str">
        <f>IFERROR(__xludf.DUMMYFUNCTION("""COMPUTED_VALUE"""),"Art History")</f>
        <v>Art History</v>
      </c>
      <c r="D5374" s="2" t="str">
        <f>IFERROR(__xludf.DUMMYFUNCTION("""COMPUTED_VALUE"""),"Brightgate Publishing House")</f>
        <v>Brightgate Publishing House</v>
      </c>
      <c r="E5374" s="2">
        <f>IFERROR(__xludf.DUMMYFUNCTION("""COMPUTED_VALUE"""),1.37)</f>
        <v>1.37</v>
      </c>
      <c r="F5374" s="2"/>
      <c r="G5374" s="2"/>
      <c r="H5374" s="2"/>
      <c r="I5374" s="2"/>
    </row>
    <row r="5375">
      <c r="A5375" s="2">
        <f>IFERROR(__xludf.DUMMYFUNCTION("""COMPUTED_VALUE"""),90839.0)</f>
        <v>90839</v>
      </c>
      <c r="B5375" s="2" t="str">
        <f>IFERROR(__xludf.DUMMYFUNCTION("""COMPUTED_VALUE"""),"Law")</f>
        <v>Law</v>
      </c>
      <c r="C5375" s="2" t="str">
        <f>IFERROR(__xludf.DUMMYFUNCTION("""COMPUTED_VALUE"""),"Art History")</f>
        <v>Art History</v>
      </c>
      <c r="D5375" s="2" t="str">
        <f>IFERROR(__xludf.DUMMYFUNCTION("""COMPUTED_VALUE"""),"Brightgate Publishing House")</f>
        <v>Brightgate Publishing House</v>
      </c>
      <c r="E5375" s="2">
        <f>IFERROR(__xludf.DUMMYFUNCTION("""COMPUTED_VALUE"""),2.63)</f>
        <v>2.63</v>
      </c>
      <c r="F5375" s="2"/>
      <c r="G5375" s="2"/>
      <c r="H5375" s="2"/>
      <c r="I5375" s="2"/>
    </row>
    <row r="5376">
      <c r="A5376" s="2">
        <f>IFERROR(__xludf.DUMMYFUNCTION("""COMPUTED_VALUE"""),90858.0)</f>
        <v>90858</v>
      </c>
      <c r="B5376" s="2" t="str">
        <f>IFERROR(__xludf.DUMMYFUNCTION("""COMPUTED_VALUE"""),"Law")</f>
        <v>Law</v>
      </c>
      <c r="C5376" s="2" t="str">
        <f>IFERROR(__xludf.DUMMYFUNCTION("""COMPUTED_VALUE"""),"Art History")</f>
        <v>Art History</v>
      </c>
      <c r="D5376" s="2" t="str">
        <f>IFERROR(__xludf.DUMMYFUNCTION("""COMPUTED_VALUE"""),"Brightgate Publishing House")</f>
        <v>Brightgate Publishing House</v>
      </c>
      <c r="E5376" s="2">
        <f>IFERROR(__xludf.DUMMYFUNCTION("""COMPUTED_VALUE"""),11.18)</f>
        <v>11.18</v>
      </c>
      <c r="F5376" s="2"/>
      <c r="G5376" s="2"/>
      <c r="H5376" s="2"/>
      <c r="I5376" s="2"/>
    </row>
    <row r="5377">
      <c r="A5377" s="2">
        <f>IFERROR(__xludf.DUMMYFUNCTION("""COMPUTED_VALUE"""),76588.0)</f>
        <v>76588</v>
      </c>
      <c r="B5377" s="2" t="str">
        <f>IFERROR(__xludf.DUMMYFUNCTION("""COMPUTED_VALUE"""),"Law")</f>
        <v>Law</v>
      </c>
      <c r="C5377" s="2" t="str">
        <f>IFERROR(__xludf.DUMMYFUNCTION("""COMPUTED_VALUE"""),"Art History")</f>
        <v>Art History</v>
      </c>
      <c r="D5377" s="2" t="str">
        <f>IFERROR(__xludf.DUMMYFUNCTION("""COMPUTED_VALUE"""),"Brightgate Publishing House")</f>
        <v>Brightgate Publishing House</v>
      </c>
      <c r="E5377" s="2">
        <f>IFERROR(__xludf.DUMMYFUNCTION("""COMPUTED_VALUE"""),3.44)</f>
        <v>3.44</v>
      </c>
      <c r="F5377" s="2"/>
      <c r="G5377" s="2"/>
      <c r="H5377" s="2"/>
      <c r="I5377" s="2"/>
    </row>
    <row r="5378">
      <c r="A5378" s="2">
        <f>IFERROR(__xludf.DUMMYFUNCTION("""COMPUTED_VALUE"""),90671.0)</f>
        <v>90671</v>
      </c>
      <c r="B5378" s="2" t="str">
        <f>IFERROR(__xludf.DUMMYFUNCTION("""COMPUTED_VALUE"""),"Law")</f>
        <v>Law</v>
      </c>
      <c r="C5378" s="2" t="str">
        <f>IFERROR(__xludf.DUMMYFUNCTION("""COMPUTED_VALUE"""),"Art History")</f>
        <v>Art History</v>
      </c>
      <c r="D5378" s="2" t="str">
        <f>IFERROR(__xludf.DUMMYFUNCTION("""COMPUTED_VALUE"""),"Oakgate Publishing House")</f>
        <v>Oakgate Publishing House</v>
      </c>
      <c r="E5378" s="2">
        <f>IFERROR(__xludf.DUMMYFUNCTION("""COMPUTED_VALUE"""),1.4)</f>
        <v>1.4</v>
      </c>
      <c r="F5378" s="2"/>
      <c r="G5378" s="2"/>
      <c r="H5378" s="2"/>
      <c r="I5378" s="2"/>
    </row>
    <row r="5379">
      <c r="A5379" s="2">
        <f>IFERROR(__xludf.DUMMYFUNCTION("""COMPUTED_VALUE"""),77194.0)</f>
        <v>77194</v>
      </c>
      <c r="B5379" s="2" t="str">
        <f>IFERROR(__xludf.DUMMYFUNCTION("""COMPUTED_VALUE"""),"Law")</f>
        <v>Law</v>
      </c>
      <c r="C5379" s="2" t="str">
        <f>IFERROR(__xludf.DUMMYFUNCTION("""COMPUTED_VALUE"""),"Art History")</f>
        <v>Art History</v>
      </c>
      <c r="D5379" s="2" t="str">
        <f>IFERROR(__xludf.DUMMYFUNCTION("""COMPUTED_VALUE"""),"Oakgate Publishing House")</f>
        <v>Oakgate Publishing House</v>
      </c>
      <c r="E5379" s="2">
        <f>IFERROR(__xludf.DUMMYFUNCTION("""COMPUTED_VALUE"""),1.53)</f>
        <v>1.53</v>
      </c>
      <c r="F5379" s="2"/>
      <c r="G5379" s="2"/>
      <c r="H5379" s="2"/>
      <c r="I5379" s="2"/>
    </row>
    <row r="5380">
      <c r="A5380" s="2">
        <f>IFERROR(__xludf.DUMMYFUNCTION("""COMPUTED_VALUE"""),5504.0)</f>
        <v>5504</v>
      </c>
      <c r="B5380" s="2" t="str">
        <f>IFERROR(__xludf.DUMMYFUNCTION("""COMPUTED_VALUE"""),"Law")</f>
        <v>Law</v>
      </c>
      <c r="C5380" s="2" t="str">
        <f>IFERROR(__xludf.DUMMYFUNCTION("""COMPUTED_VALUE"""),"Art History")</f>
        <v>Art History</v>
      </c>
      <c r="D5380" s="2" t="str">
        <f>IFERROR(__xludf.DUMMYFUNCTION("""COMPUTED_VALUE"""),"Oakgate Publishing House")</f>
        <v>Oakgate Publishing House</v>
      </c>
      <c r="E5380" s="2">
        <f>IFERROR(__xludf.DUMMYFUNCTION("""COMPUTED_VALUE"""),1.13)</f>
        <v>1.13</v>
      </c>
      <c r="F5380" s="2"/>
      <c r="G5380" s="2"/>
      <c r="H5380" s="2"/>
      <c r="I5380" s="2"/>
    </row>
    <row r="5381">
      <c r="A5381" s="2">
        <f>IFERROR(__xludf.DUMMYFUNCTION("""COMPUTED_VALUE"""),90662.0)</f>
        <v>90662</v>
      </c>
      <c r="B5381" s="2" t="str">
        <f>IFERROR(__xludf.DUMMYFUNCTION("""COMPUTED_VALUE"""),"Law")</f>
        <v>Law</v>
      </c>
      <c r="C5381" s="2" t="str">
        <f>IFERROR(__xludf.DUMMYFUNCTION("""COMPUTED_VALUE"""),"Art History")</f>
        <v>Art History</v>
      </c>
      <c r="D5381" s="2" t="str">
        <f>IFERROR(__xludf.DUMMYFUNCTION("""COMPUTED_VALUE"""),"Oakgate Publishing House")</f>
        <v>Oakgate Publishing House</v>
      </c>
      <c r="E5381" s="2">
        <f>IFERROR(__xludf.DUMMYFUNCTION("""COMPUTED_VALUE"""),1.34)</f>
        <v>1.34</v>
      </c>
      <c r="F5381" s="2"/>
      <c r="G5381" s="2"/>
      <c r="H5381" s="2"/>
      <c r="I5381" s="2"/>
    </row>
    <row r="5382">
      <c r="A5382" s="2">
        <f>IFERROR(__xludf.DUMMYFUNCTION("""COMPUTED_VALUE"""),87288.0)</f>
        <v>87288</v>
      </c>
      <c r="B5382" s="2" t="str">
        <f>IFERROR(__xludf.DUMMYFUNCTION("""COMPUTED_VALUE"""),"Law")</f>
        <v>Law</v>
      </c>
      <c r="C5382" s="2" t="str">
        <f>IFERROR(__xludf.DUMMYFUNCTION("""COMPUTED_VALUE"""),"Art History")</f>
        <v>Art History</v>
      </c>
      <c r="D5382" s="2" t="str">
        <f>IFERROR(__xludf.DUMMYFUNCTION("""COMPUTED_VALUE"""),"Oakgate Publishing House")</f>
        <v>Oakgate Publishing House</v>
      </c>
      <c r="E5382" s="2">
        <f>IFERROR(__xludf.DUMMYFUNCTION("""COMPUTED_VALUE"""),1.07)</f>
        <v>1.07</v>
      </c>
      <c r="F5382" s="2"/>
      <c r="G5382" s="2"/>
      <c r="H5382" s="2"/>
      <c r="I5382" s="2"/>
    </row>
    <row r="5383">
      <c r="A5383" s="2">
        <f>IFERROR(__xludf.DUMMYFUNCTION("""COMPUTED_VALUE"""),5494.0)</f>
        <v>5494</v>
      </c>
      <c r="B5383" s="2" t="str">
        <f>IFERROR(__xludf.DUMMYFUNCTION("""COMPUTED_VALUE"""),"Law")</f>
        <v>Law</v>
      </c>
      <c r="C5383" s="2" t="str">
        <f>IFERROR(__xludf.DUMMYFUNCTION("""COMPUTED_VALUE"""),"Art History")</f>
        <v>Art History</v>
      </c>
      <c r="D5383" s="2" t="str">
        <f>IFERROR(__xludf.DUMMYFUNCTION("""COMPUTED_VALUE"""),"Oakgate Publishing House")</f>
        <v>Oakgate Publishing House</v>
      </c>
      <c r="E5383" s="2">
        <f>IFERROR(__xludf.DUMMYFUNCTION("""COMPUTED_VALUE"""),2.2)</f>
        <v>2.2</v>
      </c>
      <c r="F5383" s="2"/>
      <c r="G5383" s="2"/>
      <c r="H5383" s="2"/>
      <c r="I5383" s="2"/>
    </row>
    <row r="5384">
      <c r="A5384" s="2">
        <f>IFERROR(__xludf.DUMMYFUNCTION("""COMPUTED_VALUE"""),76637.0)</f>
        <v>76637</v>
      </c>
      <c r="B5384" s="2" t="str">
        <f>IFERROR(__xludf.DUMMYFUNCTION("""COMPUTED_VALUE"""),"Law")</f>
        <v>Law</v>
      </c>
      <c r="C5384" s="2" t="str">
        <f>IFERROR(__xludf.DUMMYFUNCTION("""COMPUTED_VALUE"""),"Art History")</f>
        <v>Art History</v>
      </c>
      <c r="D5384" s="2" t="str">
        <f>IFERROR(__xludf.DUMMYFUNCTION("""COMPUTED_VALUE"""),"Oakgate Publishing House")</f>
        <v>Oakgate Publishing House</v>
      </c>
      <c r="E5384" s="2">
        <f>IFERROR(__xludf.DUMMYFUNCTION("""COMPUTED_VALUE"""),1.26)</f>
        <v>1.26</v>
      </c>
      <c r="F5384" s="2"/>
      <c r="G5384" s="2"/>
      <c r="H5384" s="2"/>
      <c r="I5384" s="2"/>
    </row>
    <row r="5385">
      <c r="A5385" s="2">
        <f>IFERROR(__xludf.DUMMYFUNCTION("""COMPUTED_VALUE"""),76601.0)</f>
        <v>76601</v>
      </c>
      <c r="B5385" s="2" t="str">
        <f>IFERROR(__xludf.DUMMYFUNCTION("""COMPUTED_VALUE"""),"Law")</f>
        <v>Law</v>
      </c>
      <c r="C5385" s="2" t="str">
        <f>IFERROR(__xludf.DUMMYFUNCTION("""COMPUTED_VALUE"""),"Art History")</f>
        <v>Art History</v>
      </c>
      <c r="D5385" s="2" t="str">
        <f>IFERROR(__xludf.DUMMYFUNCTION("""COMPUTED_VALUE"""),"Oakgate Publishing House")</f>
        <v>Oakgate Publishing House</v>
      </c>
      <c r="E5385" s="2">
        <f>IFERROR(__xludf.DUMMYFUNCTION("""COMPUTED_VALUE"""),1.23)</f>
        <v>1.23</v>
      </c>
      <c r="F5385" s="2"/>
      <c r="G5385" s="2"/>
      <c r="H5385" s="2"/>
      <c r="I5385" s="2"/>
    </row>
    <row r="5386">
      <c r="A5386" s="2">
        <f>IFERROR(__xludf.DUMMYFUNCTION("""COMPUTED_VALUE"""),87202.0)</f>
        <v>87202</v>
      </c>
      <c r="B5386" s="2" t="str">
        <f>IFERROR(__xludf.DUMMYFUNCTION("""COMPUTED_VALUE"""),"Law")</f>
        <v>Law</v>
      </c>
      <c r="C5386" s="2" t="str">
        <f>IFERROR(__xludf.DUMMYFUNCTION("""COMPUTED_VALUE"""),"Art History")</f>
        <v>Art History</v>
      </c>
      <c r="D5386" s="2" t="str">
        <f>IFERROR(__xludf.DUMMYFUNCTION("""COMPUTED_VALUE"""),"Oakgate Publishing House")</f>
        <v>Oakgate Publishing House</v>
      </c>
      <c r="E5386" s="2">
        <f>IFERROR(__xludf.DUMMYFUNCTION("""COMPUTED_VALUE"""),0.69)</f>
        <v>0.69</v>
      </c>
      <c r="F5386" s="2"/>
      <c r="G5386" s="2"/>
      <c r="H5386" s="2"/>
      <c r="I5386" s="2"/>
    </row>
    <row r="5387">
      <c r="A5387" s="2">
        <f>IFERROR(__xludf.DUMMYFUNCTION("""COMPUTED_VALUE"""),122244.0)</f>
        <v>122244</v>
      </c>
      <c r="B5387" s="2" t="str">
        <f>IFERROR(__xludf.DUMMYFUNCTION("""COMPUTED_VALUE"""),"Law")</f>
        <v>Law</v>
      </c>
      <c r="C5387" s="2" t="str">
        <f>IFERROR(__xludf.DUMMYFUNCTION("""COMPUTED_VALUE"""),"Art History")</f>
        <v>Art History</v>
      </c>
      <c r="D5387" s="2" t="str">
        <f>IFERROR(__xludf.DUMMYFUNCTION("""COMPUTED_VALUE"""),"Oakgate Publishing House")</f>
        <v>Oakgate Publishing House</v>
      </c>
      <c r="E5387" s="2">
        <f>IFERROR(__xludf.DUMMYFUNCTION("""COMPUTED_VALUE"""),2.88)</f>
        <v>2.88</v>
      </c>
      <c r="F5387" s="2"/>
      <c r="G5387" s="2"/>
      <c r="H5387" s="2"/>
      <c r="I5387" s="2"/>
    </row>
    <row r="5388">
      <c r="A5388" s="2">
        <f>IFERROR(__xludf.DUMMYFUNCTION("""COMPUTED_VALUE"""),122075.0)</f>
        <v>122075</v>
      </c>
      <c r="B5388" s="2" t="str">
        <f>IFERROR(__xludf.DUMMYFUNCTION("""COMPUTED_VALUE"""),"Law")</f>
        <v>Law</v>
      </c>
      <c r="C5388" s="2" t="str">
        <f>IFERROR(__xludf.DUMMYFUNCTION("""COMPUTED_VALUE"""),"Art History")</f>
        <v>Art History</v>
      </c>
      <c r="D5388" s="2" t="str">
        <f>IFERROR(__xludf.DUMMYFUNCTION("""COMPUTED_VALUE"""),"Oakgate Publishing House")</f>
        <v>Oakgate Publishing House</v>
      </c>
      <c r="E5388" s="2">
        <f>IFERROR(__xludf.DUMMYFUNCTION("""COMPUTED_VALUE"""),1.24)</f>
        <v>1.24</v>
      </c>
      <c r="F5388" s="2"/>
      <c r="G5388" s="2"/>
      <c r="H5388" s="2"/>
      <c r="I5388" s="2"/>
    </row>
    <row r="5389">
      <c r="A5389" s="2">
        <f>IFERROR(__xludf.DUMMYFUNCTION("""COMPUTED_VALUE"""),90735.0)</f>
        <v>90735</v>
      </c>
      <c r="B5389" s="2" t="str">
        <f>IFERROR(__xludf.DUMMYFUNCTION("""COMPUTED_VALUE"""),"Law")</f>
        <v>Law</v>
      </c>
      <c r="C5389" s="2" t="str">
        <f>IFERROR(__xludf.DUMMYFUNCTION("""COMPUTED_VALUE"""),"Art History")</f>
        <v>Art History</v>
      </c>
      <c r="D5389" s="2" t="str">
        <f>IFERROR(__xludf.DUMMYFUNCTION("""COMPUTED_VALUE"""),"Oakgate Publishing House")</f>
        <v>Oakgate Publishing House</v>
      </c>
      <c r="E5389" s="2">
        <f>IFERROR(__xludf.DUMMYFUNCTION("""COMPUTED_VALUE"""),7.95)</f>
        <v>7.95</v>
      </c>
      <c r="F5389" s="2"/>
      <c r="G5389" s="2"/>
      <c r="H5389" s="2"/>
      <c r="I5389" s="2"/>
    </row>
    <row r="5390">
      <c r="A5390" s="2">
        <f>IFERROR(__xludf.DUMMYFUNCTION("""COMPUTED_VALUE"""),20951.0)</f>
        <v>20951</v>
      </c>
      <c r="B5390" s="2" t="str">
        <f>IFERROR(__xludf.DUMMYFUNCTION("""COMPUTED_VALUE"""),"Law")</f>
        <v>Law</v>
      </c>
      <c r="C5390" s="2" t="str">
        <f>IFERROR(__xludf.DUMMYFUNCTION("""COMPUTED_VALUE"""),"Art History")</f>
        <v>Art History</v>
      </c>
      <c r="D5390" s="2" t="str">
        <f>IFERROR(__xludf.DUMMYFUNCTION("""COMPUTED_VALUE"""),"Oakgate Publishing House")</f>
        <v>Oakgate Publishing House</v>
      </c>
      <c r="E5390" s="2">
        <f>IFERROR(__xludf.DUMMYFUNCTION("""COMPUTED_VALUE"""),1.99)</f>
        <v>1.99</v>
      </c>
      <c r="F5390" s="2"/>
      <c r="G5390" s="2"/>
      <c r="H5390" s="2"/>
      <c r="I5390" s="2"/>
    </row>
    <row r="5391">
      <c r="A5391" s="2">
        <f>IFERROR(__xludf.DUMMYFUNCTION("""COMPUTED_VALUE"""),5502.0)</f>
        <v>5502</v>
      </c>
      <c r="B5391" s="2" t="str">
        <f>IFERROR(__xludf.DUMMYFUNCTION("""COMPUTED_VALUE"""),"Law")</f>
        <v>Law</v>
      </c>
      <c r="C5391" s="2" t="str">
        <f>IFERROR(__xludf.DUMMYFUNCTION("""COMPUTED_VALUE"""),"Art History")</f>
        <v>Art History</v>
      </c>
      <c r="D5391" s="2" t="str">
        <f>IFERROR(__xludf.DUMMYFUNCTION("""COMPUTED_VALUE"""),"Oakgate Publishing House")</f>
        <v>Oakgate Publishing House</v>
      </c>
      <c r="E5391" s="2">
        <f>IFERROR(__xludf.DUMMYFUNCTION("""COMPUTED_VALUE"""),3.09)</f>
        <v>3.09</v>
      </c>
      <c r="F5391" s="2"/>
      <c r="G5391" s="2"/>
      <c r="H5391" s="2"/>
      <c r="I5391" s="2"/>
    </row>
    <row r="5392">
      <c r="A5392" s="2">
        <f>IFERROR(__xludf.DUMMYFUNCTION("""COMPUTED_VALUE"""),90669.0)</f>
        <v>90669</v>
      </c>
      <c r="B5392" s="2" t="str">
        <f>IFERROR(__xludf.DUMMYFUNCTION("""COMPUTED_VALUE"""),"Law")</f>
        <v>Law</v>
      </c>
      <c r="C5392" s="2" t="str">
        <f>IFERROR(__xludf.DUMMYFUNCTION("""COMPUTED_VALUE"""),"Art History")</f>
        <v>Art History</v>
      </c>
      <c r="D5392" s="2" t="str">
        <f>IFERROR(__xludf.DUMMYFUNCTION("""COMPUTED_VALUE"""),"Oakgate Publishing House")</f>
        <v>Oakgate Publishing House</v>
      </c>
      <c r="E5392" s="2">
        <f>IFERROR(__xludf.DUMMYFUNCTION("""COMPUTED_VALUE"""),2.52)</f>
        <v>2.52</v>
      </c>
      <c r="F5392" s="2"/>
      <c r="G5392" s="2"/>
      <c r="H5392" s="2"/>
      <c r="I5392" s="2"/>
    </row>
    <row r="5393">
      <c r="A5393" s="2">
        <f>IFERROR(__xludf.DUMMYFUNCTION("""COMPUTED_VALUE"""),90673.0)</f>
        <v>90673</v>
      </c>
      <c r="B5393" s="2" t="str">
        <f>IFERROR(__xludf.DUMMYFUNCTION("""COMPUTED_VALUE"""),"Law")</f>
        <v>Law</v>
      </c>
      <c r="C5393" s="2" t="str">
        <f>IFERROR(__xludf.DUMMYFUNCTION("""COMPUTED_VALUE"""),"Art History")</f>
        <v>Art History</v>
      </c>
      <c r="D5393" s="2" t="str">
        <f>IFERROR(__xludf.DUMMYFUNCTION("""COMPUTED_VALUE"""),"Oakgate Publishing House")</f>
        <v>Oakgate Publishing House</v>
      </c>
      <c r="E5393" s="2">
        <f>IFERROR(__xludf.DUMMYFUNCTION("""COMPUTED_VALUE"""),5.81)</f>
        <v>5.81</v>
      </c>
      <c r="F5393" s="2"/>
      <c r="G5393" s="2"/>
      <c r="H5393" s="2"/>
      <c r="I5393" s="2"/>
    </row>
    <row r="5394">
      <c r="A5394" s="2">
        <f>IFERROR(__xludf.DUMMYFUNCTION("""COMPUTED_VALUE"""),68403.0)</f>
        <v>68403</v>
      </c>
      <c r="B5394" s="2" t="str">
        <f>IFERROR(__xludf.DUMMYFUNCTION("""COMPUTED_VALUE"""),"Law")</f>
        <v>Law</v>
      </c>
      <c r="C5394" s="2" t="str">
        <f>IFERROR(__xludf.DUMMYFUNCTION("""COMPUTED_VALUE"""),"Art History")</f>
        <v>Art History</v>
      </c>
      <c r="D5394" s="2" t="str">
        <f>IFERROR(__xludf.DUMMYFUNCTION("""COMPUTED_VALUE"""),"Oakgate Publishing House")</f>
        <v>Oakgate Publishing House</v>
      </c>
      <c r="E5394" s="2">
        <f>IFERROR(__xludf.DUMMYFUNCTION("""COMPUTED_VALUE"""),1.53)</f>
        <v>1.53</v>
      </c>
      <c r="F5394" s="2"/>
      <c r="G5394" s="2"/>
      <c r="H5394" s="2"/>
      <c r="I5394" s="2"/>
    </row>
    <row r="5395">
      <c r="A5395" s="2">
        <f>IFERROR(__xludf.DUMMYFUNCTION("""COMPUTED_VALUE"""),76636.0)</f>
        <v>76636</v>
      </c>
      <c r="B5395" s="2" t="str">
        <f>IFERROR(__xludf.DUMMYFUNCTION("""COMPUTED_VALUE"""),"Law")</f>
        <v>Law</v>
      </c>
      <c r="C5395" s="2" t="str">
        <f>IFERROR(__xludf.DUMMYFUNCTION("""COMPUTED_VALUE"""),"Art History")</f>
        <v>Art History</v>
      </c>
      <c r="D5395" s="2" t="str">
        <f>IFERROR(__xludf.DUMMYFUNCTION("""COMPUTED_VALUE"""),"Oakgate Publishing House")</f>
        <v>Oakgate Publishing House</v>
      </c>
      <c r="E5395" s="2">
        <f>IFERROR(__xludf.DUMMYFUNCTION("""COMPUTED_VALUE"""),1.96)</f>
        <v>1.96</v>
      </c>
      <c r="F5395" s="2"/>
      <c r="G5395" s="2"/>
      <c r="H5395" s="2"/>
      <c r="I5395" s="2"/>
    </row>
    <row r="5396">
      <c r="A5396" s="2">
        <f>IFERROR(__xludf.DUMMYFUNCTION("""COMPUTED_VALUE"""),77397.0)</f>
        <v>77397</v>
      </c>
      <c r="B5396" s="2" t="str">
        <f>IFERROR(__xludf.DUMMYFUNCTION("""COMPUTED_VALUE"""),"Law")</f>
        <v>Law</v>
      </c>
      <c r="C5396" s="2" t="str">
        <f>IFERROR(__xludf.DUMMYFUNCTION("""COMPUTED_VALUE"""),"Art History")</f>
        <v>Art History</v>
      </c>
      <c r="D5396" s="2" t="str">
        <f>IFERROR(__xludf.DUMMYFUNCTION("""COMPUTED_VALUE"""),"Oakgate Publishing House")</f>
        <v>Oakgate Publishing House</v>
      </c>
      <c r="E5396" s="2">
        <f>IFERROR(__xludf.DUMMYFUNCTION("""COMPUTED_VALUE"""),1.34)</f>
        <v>1.34</v>
      </c>
      <c r="F5396" s="2"/>
      <c r="G5396" s="2"/>
      <c r="H5396" s="2"/>
      <c r="I5396" s="2"/>
    </row>
    <row r="5397">
      <c r="A5397" s="2">
        <f>IFERROR(__xludf.DUMMYFUNCTION("""COMPUTED_VALUE"""),76195.0)</f>
        <v>76195</v>
      </c>
      <c r="B5397" s="2" t="str">
        <f>IFERROR(__xludf.DUMMYFUNCTION("""COMPUTED_VALUE"""),"Law")</f>
        <v>Law</v>
      </c>
      <c r="C5397" s="2" t="str">
        <f>IFERROR(__xludf.DUMMYFUNCTION("""COMPUTED_VALUE"""),"Art History")</f>
        <v>Art History</v>
      </c>
      <c r="D5397" s="2" t="str">
        <f>IFERROR(__xludf.DUMMYFUNCTION("""COMPUTED_VALUE"""),"Oakgate Publishing House")</f>
        <v>Oakgate Publishing House</v>
      </c>
      <c r="E5397" s="2">
        <f>IFERROR(__xludf.DUMMYFUNCTION("""COMPUTED_VALUE"""),0.9)</f>
        <v>0.9</v>
      </c>
      <c r="F5397" s="2"/>
      <c r="G5397" s="2"/>
      <c r="H5397" s="2"/>
      <c r="I5397" s="2"/>
    </row>
    <row r="5398">
      <c r="A5398" s="2">
        <f>IFERROR(__xludf.DUMMYFUNCTION("""COMPUTED_VALUE"""),90710.0)</f>
        <v>90710</v>
      </c>
      <c r="B5398" s="2" t="str">
        <f>IFERROR(__xludf.DUMMYFUNCTION("""COMPUTED_VALUE"""),"Law")</f>
        <v>Law</v>
      </c>
      <c r="C5398" s="2" t="str">
        <f>IFERROR(__xludf.DUMMYFUNCTION("""COMPUTED_VALUE"""),"Art History")</f>
        <v>Art History</v>
      </c>
      <c r="D5398" s="2" t="str">
        <f>IFERROR(__xludf.DUMMYFUNCTION("""COMPUTED_VALUE"""),"Oakgate Publishing House")</f>
        <v>Oakgate Publishing House</v>
      </c>
      <c r="E5398" s="2">
        <f>IFERROR(__xludf.DUMMYFUNCTION("""COMPUTED_VALUE"""),0.75)</f>
        <v>0.75</v>
      </c>
      <c r="F5398" s="2"/>
      <c r="G5398" s="2"/>
      <c r="H5398" s="2"/>
      <c r="I5398" s="2"/>
    </row>
    <row r="5399">
      <c r="A5399" s="2">
        <f>IFERROR(__xludf.DUMMYFUNCTION("""COMPUTED_VALUE"""),117148.0)</f>
        <v>117148</v>
      </c>
      <c r="B5399" s="2" t="str">
        <f>IFERROR(__xludf.DUMMYFUNCTION("""COMPUTED_VALUE"""),"Law")</f>
        <v>Law</v>
      </c>
      <c r="C5399" s="2" t="str">
        <f>IFERROR(__xludf.DUMMYFUNCTION("""COMPUTED_VALUE"""),"Art History")</f>
        <v>Art History</v>
      </c>
      <c r="D5399" s="2" t="str">
        <f>IFERROR(__xludf.DUMMYFUNCTION("""COMPUTED_VALUE"""),"Oakgate Publishing House")</f>
        <v>Oakgate Publishing House</v>
      </c>
      <c r="E5399" s="2">
        <f>IFERROR(__xludf.DUMMYFUNCTION("""COMPUTED_VALUE"""),1.07)</f>
        <v>1.07</v>
      </c>
      <c r="F5399" s="2"/>
      <c r="G5399" s="2"/>
      <c r="H5399" s="2"/>
      <c r="I5399" s="2"/>
    </row>
    <row r="5400">
      <c r="A5400" s="2">
        <f>IFERROR(__xludf.DUMMYFUNCTION("""COMPUTED_VALUE"""),5493.0)</f>
        <v>5493</v>
      </c>
      <c r="B5400" s="2" t="str">
        <f>IFERROR(__xludf.DUMMYFUNCTION("""COMPUTED_VALUE"""),"Law")</f>
        <v>Law</v>
      </c>
      <c r="C5400" s="2" t="str">
        <f>IFERROR(__xludf.DUMMYFUNCTION("""COMPUTED_VALUE"""),"Art History")</f>
        <v>Art History</v>
      </c>
      <c r="D5400" s="2" t="str">
        <f>IFERROR(__xludf.DUMMYFUNCTION("""COMPUTED_VALUE"""),"Oakgate Publishing House")</f>
        <v>Oakgate Publishing House</v>
      </c>
      <c r="E5400" s="2">
        <f>IFERROR(__xludf.DUMMYFUNCTION("""COMPUTED_VALUE"""),1.96)</f>
        <v>1.96</v>
      </c>
      <c r="F5400" s="2"/>
      <c r="G5400" s="2"/>
      <c r="H5400" s="2"/>
      <c r="I5400" s="2"/>
    </row>
    <row r="5401">
      <c r="A5401" s="2">
        <f>IFERROR(__xludf.DUMMYFUNCTION("""COMPUTED_VALUE"""),76671.0)</f>
        <v>76671</v>
      </c>
      <c r="B5401" s="2" t="str">
        <f>IFERROR(__xludf.DUMMYFUNCTION("""COMPUTED_VALUE"""),"Law")</f>
        <v>Law</v>
      </c>
      <c r="C5401" s="2" t="str">
        <f>IFERROR(__xludf.DUMMYFUNCTION("""COMPUTED_VALUE"""),"Art History")</f>
        <v>Art History</v>
      </c>
      <c r="D5401" s="2" t="str">
        <f>IFERROR(__xludf.DUMMYFUNCTION("""COMPUTED_VALUE"""),"Oakgate Publishing House")</f>
        <v>Oakgate Publishing House</v>
      </c>
      <c r="E5401" s="2">
        <f>IFERROR(__xludf.DUMMYFUNCTION("""COMPUTED_VALUE"""),0.8)</f>
        <v>0.8</v>
      </c>
      <c r="F5401" s="2"/>
      <c r="G5401" s="2"/>
      <c r="H5401" s="2"/>
      <c r="I5401" s="2"/>
    </row>
    <row r="5402">
      <c r="A5402" s="2">
        <f>IFERROR(__xludf.DUMMYFUNCTION("""COMPUTED_VALUE"""),90678.0)</f>
        <v>90678</v>
      </c>
      <c r="B5402" s="2" t="str">
        <f>IFERROR(__xludf.DUMMYFUNCTION("""COMPUTED_VALUE"""),"Law")</f>
        <v>Law</v>
      </c>
      <c r="C5402" s="2" t="str">
        <f>IFERROR(__xludf.DUMMYFUNCTION("""COMPUTED_VALUE"""),"Art History")</f>
        <v>Art History</v>
      </c>
      <c r="D5402" s="2" t="str">
        <f>IFERROR(__xludf.DUMMYFUNCTION("""COMPUTED_VALUE"""),"Oakgate Publishing House")</f>
        <v>Oakgate Publishing House</v>
      </c>
      <c r="E5402" s="2">
        <f>IFERROR(__xludf.DUMMYFUNCTION("""COMPUTED_VALUE"""),1.5)</f>
        <v>1.5</v>
      </c>
      <c r="F5402" s="2"/>
      <c r="G5402" s="2"/>
      <c r="H5402" s="2"/>
      <c r="I5402" s="2"/>
    </row>
    <row r="5403">
      <c r="A5403" s="2">
        <f>IFERROR(__xludf.DUMMYFUNCTION("""COMPUTED_VALUE"""),76207.0)</f>
        <v>76207</v>
      </c>
      <c r="B5403" s="2" t="str">
        <f>IFERROR(__xludf.DUMMYFUNCTION("""COMPUTED_VALUE"""),"Law")</f>
        <v>Law</v>
      </c>
      <c r="C5403" s="2" t="str">
        <f>IFERROR(__xludf.DUMMYFUNCTION("""COMPUTED_VALUE"""),"Art History")</f>
        <v>Art History</v>
      </c>
      <c r="D5403" s="2" t="str">
        <f>IFERROR(__xludf.DUMMYFUNCTION("""COMPUTED_VALUE"""),"Oakgate Publishing House")</f>
        <v>Oakgate Publishing House</v>
      </c>
      <c r="E5403" s="2">
        <f>IFERROR(__xludf.DUMMYFUNCTION("""COMPUTED_VALUE"""),0.92)</f>
        <v>0.92</v>
      </c>
      <c r="F5403" s="2"/>
      <c r="G5403" s="2"/>
      <c r="H5403" s="2"/>
      <c r="I5403" s="2"/>
    </row>
    <row r="5404">
      <c r="A5404" s="2">
        <f>IFERROR(__xludf.DUMMYFUNCTION("""COMPUTED_VALUE"""),5500.0)</f>
        <v>5500</v>
      </c>
      <c r="B5404" s="2" t="str">
        <f>IFERROR(__xludf.DUMMYFUNCTION("""COMPUTED_VALUE"""),"Law")</f>
        <v>Law</v>
      </c>
      <c r="C5404" s="2" t="str">
        <f>IFERROR(__xludf.DUMMYFUNCTION("""COMPUTED_VALUE"""),"Art History")</f>
        <v>Art History</v>
      </c>
      <c r="D5404" s="2" t="str">
        <f>IFERROR(__xludf.DUMMYFUNCTION("""COMPUTED_VALUE"""),"Oakgate Publishing House")</f>
        <v>Oakgate Publishing House</v>
      </c>
      <c r="E5404" s="2">
        <f>IFERROR(__xludf.DUMMYFUNCTION("""COMPUTED_VALUE"""),1.44)</f>
        <v>1.44</v>
      </c>
      <c r="F5404" s="2"/>
      <c r="G5404" s="2"/>
      <c r="H5404" s="2"/>
      <c r="I5404" s="2"/>
    </row>
    <row r="5405">
      <c r="A5405" s="2">
        <f>IFERROR(__xludf.DUMMYFUNCTION("""COMPUTED_VALUE"""),122081.0)</f>
        <v>122081</v>
      </c>
      <c r="B5405" s="2" t="str">
        <f>IFERROR(__xludf.DUMMYFUNCTION("""COMPUTED_VALUE"""),"Law")</f>
        <v>Law</v>
      </c>
      <c r="C5405" s="2" t="str">
        <f>IFERROR(__xludf.DUMMYFUNCTION("""COMPUTED_VALUE"""),"Art History")</f>
        <v>Art History</v>
      </c>
      <c r="D5405" s="2" t="str">
        <f>IFERROR(__xludf.DUMMYFUNCTION("""COMPUTED_VALUE"""),"Oakgate Publishing House")</f>
        <v>Oakgate Publishing House</v>
      </c>
      <c r="E5405" s="2">
        <f>IFERROR(__xludf.DUMMYFUNCTION("""COMPUTED_VALUE"""),0.8)</f>
        <v>0.8</v>
      </c>
      <c r="F5405" s="2"/>
      <c r="G5405" s="2"/>
      <c r="H5405" s="2"/>
      <c r="I5405" s="2"/>
    </row>
    <row r="5406">
      <c r="A5406" s="2">
        <f>IFERROR(__xludf.DUMMYFUNCTION("""COMPUTED_VALUE"""),77396.0)</f>
        <v>77396</v>
      </c>
      <c r="B5406" s="2" t="str">
        <f>IFERROR(__xludf.DUMMYFUNCTION("""COMPUTED_VALUE"""),"Law")</f>
        <v>Law</v>
      </c>
      <c r="C5406" s="2" t="str">
        <f>IFERROR(__xludf.DUMMYFUNCTION("""COMPUTED_VALUE"""),"Art History")</f>
        <v>Art History</v>
      </c>
      <c r="D5406" s="2" t="str">
        <f>IFERROR(__xludf.DUMMYFUNCTION("""COMPUTED_VALUE"""),"Oakgate Publishing House")</f>
        <v>Oakgate Publishing House</v>
      </c>
      <c r="E5406" s="2">
        <f>IFERROR(__xludf.DUMMYFUNCTION("""COMPUTED_VALUE"""),2.76)</f>
        <v>2.76</v>
      </c>
      <c r="F5406" s="2"/>
      <c r="G5406" s="2"/>
      <c r="H5406" s="2"/>
      <c r="I5406" s="2"/>
    </row>
    <row r="5407">
      <c r="A5407" s="2">
        <f>IFERROR(__xludf.DUMMYFUNCTION("""COMPUTED_VALUE"""),77398.0)</f>
        <v>77398</v>
      </c>
      <c r="B5407" s="2" t="str">
        <f>IFERROR(__xludf.DUMMYFUNCTION("""COMPUTED_VALUE"""),"Law")</f>
        <v>Law</v>
      </c>
      <c r="C5407" s="2" t="str">
        <f>IFERROR(__xludf.DUMMYFUNCTION("""COMPUTED_VALUE"""),"Art History")</f>
        <v>Art History</v>
      </c>
      <c r="D5407" s="2" t="str">
        <f>IFERROR(__xludf.DUMMYFUNCTION("""COMPUTED_VALUE"""),"Oakgate Publishing House")</f>
        <v>Oakgate Publishing House</v>
      </c>
      <c r="E5407" s="2">
        <f>IFERROR(__xludf.DUMMYFUNCTION("""COMPUTED_VALUE"""),2.45)</f>
        <v>2.45</v>
      </c>
      <c r="F5407" s="2"/>
      <c r="G5407" s="2"/>
      <c r="H5407" s="2"/>
      <c r="I5407" s="2"/>
    </row>
    <row r="5408">
      <c r="A5408" s="2">
        <f>IFERROR(__xludf.DUMMYFUNCTION("""COMPUTED_VALUE"""),90716.0)</f>
        <v>90716</v>
      </c>
      <c r="B5408" s="2" t="str">
        <f>IFERROR(__xludf.DUMMYFUNCTION("""COMPUTED_VALUE"""),"Law")</f>
        <v>Law</v>
      </c>
      <c r="C5408" s="2" t="str">
        <f>IFERROR(__xludf.DUMMYFUNCTION("""COMPUTED_VALUE"""),"Art History")</f>
        <v>Art History</v>
      </c>
      <c r="D5408" s="2" t="str">
        <f>IFERROR(__xludf.DUMMYFUNCTION("""COMPUTED_VALUE"""),"Oakgate Publishing House")</f>
        <v>Oakgate Publishing House</v>
      </c>
      <c r="E5408" s="2">
        <f>IFERROR(__xludf.DUMMYFUNCTION("""COMPUTED_VALUE"""),1.47)</f>
        <v>1.47</v>
      </c>
      <c r="F5408" s="2"/>
      <c r="G5408" s="2"/>
      <c r="H5408" s="2"/>
      <c r="I5408" s="2"/>
    </row>
    <row r="5409">
      <c r="A5409" s="2">
        <f>IFERROR(__xludf.DUMMYFUNCTION("""COMPUTED_VALUE"""),122846.0)</f>
        <v>122846</v>
      </c>
      <c r="B5409" s="2" t="str">
        <f>IFERROR(__xludf.DUMMYFUNCTION("""COMPUTED_VALUE"""),"Law")</f>
        <v>Law</v>
      </c>
      <c r="C5409" s="2" t="str">
        <f>IFERROR(__xludf.DUMMYFUNCTION("""COMPUTED_VALUE"""),"Art History")</f>
        <v>Art History</v>
      </c>
      <c r="D5409" s="2" t="str">
        <f>IFERROR(__xludf.DUMMYFUNCTION("""COMPUTED_VALUE"""),"Rivergate Publishing House")</f>
        <v>Rivergate Publishing House</v>
      </c>
      <c r="E5409" s="2">
        <f>IFERROR(__xludf.DUMMYFUNCTION("""COMPUTED_VALUE"""),2.64)</f>
        <v>2.64</v>
      </c>
      <c r="F5409" s="2"/>
      <c r="G5409" s="2"/>
      <c r="H5409" s="2"/>
      <c r="I5409" s="2"/>
    </row>
    <row r="5410">
      <c r="A5410" s="2">
        <f>IFERROR(__xludf.DUMMYFUNCTION("""COMPUTED_VALUE"""),77410.0)</f>
        <v>77410</v>
      </c>
      <c r="B5410" s="2" t="str">
        <f>IFERROR(__xludf.DUMMYFUNCTION("""COMPUTED_VALUE"""),"Law")</f>
        <v>Law</v>
      </c>
      <c r="C5410" s="2" t="str">
        <f>IFERROR(__xludf.DUMMYFUNCTION("""COMPUTED_VALUE"""),"Art History")</f>
        <v>Art History</v>
      </c>
      <c r="D5410" s="2" t="str">
        <f>IFERROR(__xludf.DUMMYFUNCTION("""COMPUTED_VALUE"""),"Rivergate Publishing House")</f>
        <v>Rivergate Publishing House</v>
      </c>
      <c r="E5410" s="2">
        <f>IFERROR(__xludf.DUMMYFUNCTION("""COMPUTED_VALUE"""),0.82)</f>
        <v>0.82</v>
      </c>
      <c r="F5410" s="2"/>
      <c r="G5410" s="2"/>
      <c r="H5410" s="2"/>
      <c r="I5410" s="2"/>
    </row>
    <row r="5411">
      <c r="A5411" s="2">
        <f>IFERROR(__xludf.DUMMYFUNCTION("""COMPUTED_VALUE"""),87083.0)</f>
        <v>87083</v>
      </c>
      <c r="B5411" s="2" t="str">
        <f>IFERROR(__xludf.DUMMYFUNCTION("""COMPUTED_VALUE"""),"Law")</f>
        <v>Law</v>
      </c>
      <c r="C5411" s="2" t="str">
        <f>IFERROR(__xludf.DUMMYFUNCTION("""COMPUTED_VALUE"""),"Art History")</f>
        <v>Art History</v>
      </c>
      <c r="D5411" s="2" t="str">
        <f>IFERROR(__xludf.DUMMYFUNCTION("""COMPUTED_VALUE"""),"Rivergate Publishing House")</f>
        <v>Rivergate Publishing House</v>
      </c>
      <c r="E5411" s="2">
        <f>IFERROR(__xludf.DUMMYFUNCTION("""COMPUTED_VALUE"""),2.38)</f>
        <v>2.38</v>
      </c>
      <c r="F5411" s="2"/>
      <c r="G5411" s="2"/>
      <c r="H5411" s="2"/>
      <c r="I5411" s="2"/>
    </row>
    <row r="5412">
      <c r="A5412" s="2">
        <f>IFERROR(__xludf.DUMMYFUNCTION("""COMPUTED_VALUE"""),73630.0)</f>
        <v>73630</v>
      </c>
      <c r="B5412" s="2" t="str">
        <f>IFERROR(__xludf.DUMMYFUNCTION("""COMPUTED_VALUE"""),"Law")</f>
        <v>Law</v>
      </c>
      <c r="C5412" s="2" t="str">
        <f>IFERROR(__xludf.DUMMYFUNCTION("""COMPUTED_VALUE"""),"Art History")</f>
        <v>Art History</v>
      </c>
      <c r="D5412" s="2" t="str">
        <f>IFERROR(__xludf.DUMMYFUNCTION("""COMPUTED_VALUE"""),"Rivergate Publishing House")</f>
        <v>Rivergate Publishing House</v>
      </c>
      <c r="E5412" s="2">
        <f>IFERROR(__xludf.DUMMYFUNCTION("""COMPUTED_VALUE"""),2.89)</f>
        <v>2.89</v>
      </c>
      <c r="F5412" s="2"/>
      <c r="G5412" s="2"/>
      <c r="H5412" s="2"/>
      <c r="I5412" s="2"/>
    </row>
    <row r="5413">
      <c r="A5413" s="2">
        <f>IFERROR(__xludf.DUMMYFUNCTION("""COMPUTED_VALUE"""),90659.0)</f>
        <v>90659</v>
      </c>
      <c r="B5413" s="2" t="str">
        <f>IFERROR(__xludf.DUMMYFUNCTION("""COMPUTED_VALUE"""),"Law")</f>
        <v>Law</v>
      </c>
      <c r="C5413" s="2" t="str">
        <f>IFERROR(__xludf.DUMMYFUNCTION("""COMPUTED_VALUE"""),"Art History")</f>
        <v>Art History</v>
      </c>
      <c r="D5413" s="2" t="str">
        <f>IFERROR(__xludf.DUMMYFUNCTION("""COMPUTED_VALUE"""),"Rivergate Publishing House")</f>
        <v>Rivergate Publishing House</v>
      </c>
      <c r="E5413" s="2">
        <f>IFERROR(__xludf.DUMMYFUNCTION("""COMPUTED_VALUE"""),1.23)</f>
        <v>1.23</v>
      </c>
      <c r="F5413" s="2"/>
      <c r="G5413" s="2"/>
      <c r="H5413" s="2"/>
      <c r="I5413" s="2"/>
    </row>
    <row r="5414">
      <c r="A5414" s="2">
        <f>IFERROR(__xludf.DUMMYFUNCTION("""COMPUTED_VALUE"""),122079.0)</f>
        <v>122079</v>
      </c>
      <c r="B5414" s="2" t="str">
        <f>IFERROR(__xludf.DUMMYFUNCTION("""COMPUTED_VALUE"""),"Law")</f>
        <v>Law</v>
      </c>
      <c r="C5414" s="2" t="str">
        <f>IFERROR(__xludf.DUMMYFUNCTION("""COMPUTED_VALUE"""),"Art History")</f>
        <v>Art History</v>
      </c>
      <c r="D5414" s="2" t="str">
        <f>IFERROR(__xludf.DUMMYFUNCTION("""COMPUTED_VALUE"""),"Rivergate Publishing House")</f>
        <v>Rivergate Publishing House</v>
      </c>
      <c r="E5414" s="2">
        <f>IFERROR(__xludf.DUMMYFUNCTION("""COMPUTED_VALUE"""),1.01)</f>
        <v>1.01</v>
      </c>
      <c r="F5414" s="2"/>
      <c r="G5414" s="2"/>
      <c r="H5414" s="2"/>
      <c r="I5414" s="2"/>
    </row>
    <row r="5415">
      <c r="A5415" s="2">
        <f>IFERROR(__xludf.DUMMYFUNCTION("""COMPUTED_VALUE"""),5551.0)</f>
        <v>5551</v>
      </c>
      <c r="B5415" s="2" t="str">
        <f>IFERROR(__xludf.DUMMYFUNCTION("""COMPUTED_VALUE"""),"Law")</f>
        <v>Law</v>
      </c>
      <c r="C5415" s="2" t="str">
        <f>IFERROR(__xludf.DUMMYFUNCTION("""COMPUTED_VALUE"""),"Art History")</f>
        <v>Art History</v>
      </c>
      <c r="D5415" s="2" t="str">
        <f>IFERROR(__xludf.DUMMYFUNCTION("""COMPUTED_VALUE"""),"Rivergate Publishing House")</f>
        <v>Rivergate Publishing House</v>
      </c>
      <c r="E5415" s="2">
        <f>IFERROR(__xludf.DUMMYFUNCTION("""COMPUTED_VALUE"""),3.7)</f>
        <v>3.7</v>
      </c>
      <c r="F5415" s="2"/>
      <c r="G5415" s="2"/>
      <c r="H5415" s="2"/>
      <c r="I5415" s="2"/>
    </row>
    <row r="5416">
      <c r="A5416" s="2">
        <f>IFERROR(__xludf.DUMMYFUNCTION("""COMPUTED_VALUE"""),90624.0)</f>
        <v>90624</v>
      </c>
      <c r="B5416" s="2" t="str">
        <f>IFERROR(__xludf.DUMMYFUNCTION("""COMPUTED_VALUE"""),"Law")</f>
        <v>Law</v>
      </c>
      <c r="C5416" s="2" t="str">
        <f>IFERROR(__xludf.DUMMYFUNCTION("""COMPUTED_VALUE"""),"Art History")</f>
        <v>Art History</v>
      </c>
      <c r="D5416" s="2" t="str">
        <f>IFERROR(__xludf.DUMMYFUNCTION("""COMPUTED_VALUE"""),"Rivergate Publishing House")</f>
        <v>Rivergate Publishing House</v>
      </c>
      <c r="E5416" s="2">
        <f>IFERROR(__xludf.DUMMYFUNCTION("""COMPUTED_VALUE"""),2.64)</f>
        <v>2.64</v>
      </c>
      <c r="F5416" s="2"/>
      <c r="G5416" s="2"/>
      <c r="H5416" s="2"/>
      <c r="I5416" s="2"/>
    </row>
    <row r="5417">
      <c r="A5417" s="2">
        <f>IFERROR(__xludf.DUMMYFUNCTION("""COMPUTED_VALUE"""),29100.0)</f>
        <v>29100</v>
      </c>
      <c r="B5417" s="2" t="str">
        <f>IFERROR(__xludf.DUMMYFUNCTION("""COMPUTED_VALUE"""),"Law")</f>
        <v>Law</v>
      </c>
      <c r="C5417" s="2" t="str">
        <f>IFERROR(__xludf.DUMMYFUNCTION("""COMPUTED_VALUE"""),"Art History")</f>
        <v>Art History</v>
      </c>
      <c r="D5417" s="2" t="str">
        <f>IFERROR(__xludf.DUMMYFUNCTION("""COMPUTED_VALUE"""),"Rivergate Publishing House")</f>
        <v>Rivergate Publishing House</v>
      </c>
      <c r="E5417" s="2">
        <f>IFERROR(__xludf.DUMMYFUNCTION("""COMPUTED_VALUE"""),1.69)</f>
        <v>1.69</v>
      </c>
      <c r="F5417" s="2"/>
      <c r="G5417" s="2"/>
      <c r="H5417" s="2"/>
      <c r="I5417" s="2"/>
    </row>
    <row r="5418">
      <c r="A5418" s="2">
        <f>IFERROR(__xludf.DUMMYFUNCTION("""COMPUTED_VALUE"""),46330.0)</f>
        <v>46330</v>
      </c>
      <c r="B5418" s="2" t="str">
        <f>IFERROR(__xludf.DUMMYFUNCTION("""COMPUTED_VALUE"""),"Law")</f>
        <v>Law</v>
      </c>
      <c r="C5418" s="2" t="str">
        <f>IFERROR(__xludf.DUMMYFUNCTION("""COMPUTED_VALUE"""),"Art History")</f>
        <v>Art History</v>
      </c>
      <c r="D5418" s="2" t="str">
        <f>IFERROR(__xludf.DUMMYFUNCTION("""COMPUTED_VALUE"""),"Rivergate Publishing House")</f>
        <v>Rivergate Publishing House</v>
      </c>
      <c r="E5418" s="2">
        <f>IFERROR(__xludf.DUMMYFUNCTION("""COMPUTED_VALUE"""),1.02)</f>
        <v>1.02</v>
      </c>
      <c r="F5418" s="2"/>
      <c r="G5418" s="2"/>
      <c r="H5418" s="2"/>
      <c r="I5418" s="2"/>
    </row>
    <row r="5419">
      <c r="A5419" s="2">
        <f>IFERROR(__xludf.DUMMYFUNCTION("""COMPUTED_VALUE"""),117659.0)</f>
        <v>117659</v>
      </c>
      <c r="B5419" s="2" t="str">
        <f>IFERROR(__xludf.DUMMYFUNCTION("""COMPUTED_VALUE"""),"Law")</f>
        <v>Law</v>
      </c>
      <c r="C5419" s="2" t="str">
        <f>IFERROR(__xludf.DUMMYFUNCTION("""COMPUTED_VALUE"""),"Art History")</f>
        <v>Art History</v>
      </c>
      <c r="D5419" s="2" t="str">
        <f>IFERROR(__xludf.DUMMYFUNCTION("""COMPUTED_VALUE"""),"Rivergate Publishing House")</f>
        <v>Rivergate Publishing House</v>
      </c>
      <c r="E5419" s="2">
        <f>IFERROR(__xludf.DUMMYFUNCTION("""COMPUTED_VALUE"""),1.82)</f>
        <v>1.82</v>
      </c>
      <c r="F5419" s="2"/>
      <c r="G5419" s="2"/>
      <c r="H5419" s="2"/>
      <c r="I5419" s="2"/>
    </row>
    <row r="5420">
      <c r="A5420" s="2">
        <f>IFERROR(__xludf.DUMMYFUNCTION("""COMPUTED_VALUE"""),48149.0)</f>
        <v>48149</v>
      </c>
      <c r="B5420" s="2" t="str">
        <f>IFERROR(__xludf.DUMMYFUNCTION("""COMPUTED_VALUE"""),"Law")</f>
        <v>Law</v>
      </c>
      <c r="C5420" s="2" t="str">
        <f>IFERROR(__xludf.DUMMYFUNCTION("""COMPUTED_VALUE"""),"Art History")</f>
        <v>Art History</v>
      </c>
      <c r="D5420" s="2" t="str">
        <f>IFERROR(__xludf.DUMMYFUNCTION("""COMPUTED_VALUE"""),"Rivergate Publishing House")</f>
        <v>Rivergate Publishing House</v>
      </c>
      <c r="E5420" s="2">
        <f>IFERROR(__xludf.DUMMYFUNCTION("""COMPUTED_VALUE"""),2.06)</f>
        <v>2.06</v>
      </c>
      <c r="F5420" s="2"/>
      <c r="G5420" s="2"/>
      <c r="H5420" s="2"/>
      <c r="I5420" s="2"/>
    </row>
    <row r="5421">
      <c r="A5421" s="2">
        <f>IFERROR(__xludf.DUMMYFUNCTION("""COMPUTED_VALUE"""),113739.0)</f>
        <v>113739</v>
      </c>
      <c r="B5421" s="2" t="str">
        <f>IFERROR(__xludf.DUMMYFUNCTION("""COMPUTED_VALUE"""),"Law")</f>
        <v>Law</v>
      </c>
      <c r="C5421" s="2" t="str">
        <f>IFERROR(__xludf.DUMMYFUNCTION("""COMPUTED_VALUE"""),"Art History")</f>
        <v>Art History</v>
      </c>
      <c r="D5421" s="2" t="str">
        <f>IFERROR(__xludf.DUMMYFUNCTION("""COMPUTED_VALUE"""),"Rivergate Publishing House")</f>
        <v>Rivergate Publishing House</v>
      </c>
      <c r="E5421" s="2">
        <f>IFERROR(__xludf.DUMMYFUNCTION("""COMPUTED_VALUE"""),2.52)</f>
        <v>2.52</v>
      </c>
      <c r="F5421" s="2"/>
      <c r="G5421" s="2"/>
      <c r="H5421" s="2"/>
      <c r="I5421" s="2"/>
    </row>
    <row r="5422">
      <c r="A5422" s="2">
        <f>IFERROR(__xludf.DUMMYFUNCTION("""COMPUTED_VALUE"""),147316.0)</f>
        <v>147316</v>
      </c>
      <c r="B5422" s="2" t="str">
        <f>IFERROR(__xludf.DUMMYFUNCTION("""COMPUTED_VALUE"""),"Law")</f>
        <v>Law</v>
      </c>
      <c r="C5422" s="2" t="str">
        <f>IFERROR(__xludf.DUMMYFUNCTION("""COMPUTED_VALUE"""),"Art History")</f>
        <v>Art History</v>
      </c>
      <c r="D5422" s="2" t="str">
        <f>IFERROR(__xludf.DUMMYFUNCTION("""COMPUTED_VALUE"""),"Rivergate Publishing House")</f>
        <v>Rivergate Publishing House</v>
      </c>
      <c r="E5422" s="2">
        <f>IFERROR(__xludf.DUMMYFUNCTION("""COMPUTED_VALUE"""),2.21)</f>
        <v>2.21</v>
      </c>
      <c r="F5422" s="2"/>
      <c r="G5422" s="2"/>
      <c r="H5422" s="2"/>
      <c r="I5422" s="2"/>
    </row>
    <row r="5423">
      <c r="A5423" s="2">
        <f>IFERROR(__xludf.DUMMYFUNCTION("""COMPUTED_VALUE"""),76297.0)</f>
        <v>76297</v>
      </c>
      <c r="B5423" s="2" t="str">
        <f>IFERROR(__xludf.DUMMYFUNCTION("""COMPUTED_VALUE"""),"Law")</f>
        <v>Law</v>
      </c>
      <c r="C5423" s="2" t="str">
        <f>IFERROR(__xludf.DUMMYFUNCTION("""COMPUTED_VALUE"""),"Art History")</f>
        <v>Art History</v>
      </c>
      <c r="D5423" s="2" t="str">
        <f>IFERROR(__xludf.DUMMYFUNCTION("""COMPUTED_VALUE"""),"Rivergate Publishing House")</f>
        <v>Rivergate Publishing House</v>
      </c>
      <c r="E5423" s="2">
        <f>IFERROR(__xludf.DUMMYFUNCTION("""COMPUTED_VALUE"""),2.02)</f>
        <v>2.02</v>
      </c>
      <c r="F5423" s="2"/>
      <c r="G5423" s="2"/>
      <c r="H5423" s="2"/>
      <c r="I5423" s="2"/>
    </row>
    <row r="5424">
      <c r="A5424" s="2">
        <f>IFERROR(__xludf.DUMMYFUNCTION("""COMPUTED_VALUE"""),102698.0)</f>
        <v>102698</v>
      </c>
      <c r="B5424" s="2" t="str">
        <f>IFERROR(__xludf.DUMMYFUNCTION("""COMPUTED_VALUE"""),"Law")</f>
        <v>Law</v>
      </c>
      <c r="C5424" s="2" t="str">
        <f>IFERROR(__xludf.DUMMYFUNCTION("""COMPUTED_VALUE"""),"Art History")</f>
        <v>Art History</v>
      </c>
      <c r="D5424" s="2" t="str">
        <f>IFERROR(__xludf.DUMMYFUNCTION("""COMPUTED_VALUE"""),"Rivergate Publishing House")</f>
        <v>Rivergate Publishing House</v>
      </c>
      <c r="E5424" s="2">
        <f>IFERROR(__xludf.DUMMYFUNCTION("""COMPUTED_VALUE"""),2.29)</f>
        <v>2.29</v>
      </c>
      <c r="F5424" s="2"/>
      <c r="G5424" s="2"/>
      <c r="H5424" s="2"/>
      <c r="I5424" s="2"/>
    </row>
    <row r="5425">
      <c r="A5425" s="2">
        <f>IFERROR(__xludf.DUMMYFUNCTION("""COMPUTED_VALUE"""),102699.0)</f>
        <v>102699</v>
      </c>
      <c r="B5425" s="2" t="str">
        <f>IFERROR(__xludf.DUMMYFUNCTION("""COMPUTED_VALUE"""),"Law")</f>
        <v>Law</v>
      </c>
      <c r="C5425" s="2" t="str">
        <f>IFERROR(__xludf.DUMMYFUNCTION("""COMPUTED_VALUE"""),"Art History")</f>
        <v>Art History</v>
      </c>
      <c r="D5425" s="2" t="str">
        <f>IFERROR(__xludf.DUMMYFUNCTION("""COMPUTED_VALUE"""),"Rivergate Publishing House")</f>
        <v>Rivergate Publishing House</v>
      </c>
      <c r="E5425" s="2">
        <f>IFERROR(__xludf.DUMMYFUNCTION("""COMPUTED_VALUE"""),2.34)</f>
        <v>2.34</v>
      </c>
      <c r="F5425" s="2"/>
      <c r="G5425" s="2"/>
      <c r="H5425" s="2"/>
      <c r="I5425" s="2"/>
    </row>
    <row r="5426">
      <c r="A5426" s="2">
        <f>IFERROR(__xludf.DUMMYFUNCTION("""COMPUTED_VALUE"""),5556.0)</f>
        <v>5556</v>
      </c>
      <c r="B5426" s="2" t="str">
        <f>IFERROR(__xludf.DUMMYFUNCTION("""COMPUTED_VALUE"""),"Law")</f>
        <v>Law</v>
      </c>
      <c r="C5426" s="2" t="str">
        <f>IFERROR(__xludf.DUMMYFUNCTION("""COMPUTED_VALUE"""),"Art History")</f>
        <v>Art History</v>
      </c>
      <c r="D5426" s="2" t="str">
        <f>IFERROR(__xludf.DUMMYFUNCTION("""COMPUTED_VALUE"""),"Rivergate Publishing House")</f>
        <v>Rivergate Publishing House</v>
      </c>
      <c r="E5426" s="2">
        <f>IFERROR(__xludf.DUMMYFUNCTION("""COMPUTED_VALUE"""),0.93)</f>
        <v>0.93</v>
      </c>
      <c r="F5426" s="2"/>
      <c r="G5426" s="2"/>
      <c r="H5426" s="2"/>
      <c r="I5426" s="2"/>
    </row>
    <row r="5427">
      <c r="A5427" s="2">
        <f>IFERROR(__xludf.DUMMYFUNCTION("""COMPUTED_VALUE"""),73629.0)</f>
        <v>73629</v>
      </c>
      <c r="B5427" s="2" t="str">
        <f>IFERROR(__xludf.DUMMYFUNCTION("""COMPUTED_VALUE"""),"Law")</f>
        <v>Law</v>
      </c>
      <c r="C5427" s="2" t="str">
        <f>IFERROR(__xludf.DUMMYFUNCTION("""COMPUTED_VALUE"""),"Art History")</f>
        <v>Art History</v>
      </c>
      <c r="D5427" s="2" t="str">
        <f>IFERROR(__xludf.DUMMYFUNCTION("""COMPUTED_VALUE"""),"Rivergate Publishing House")</f>
        <v>Rivergate Publishing House</v>
      </c>
      <c r="E5427" s="2">
        <f>IFERROR(__xludf.DUMMYFUNCTION("""COMPUTED_VALUE"""),2.67)</f>
        <v>2.67</v>
      </c>
      <c r="F5427" s="2"/>
      <c r="G5427" s="2"/>
      <c r="H5427" s="2"/>
      <c r="I5427" s="2"/>
    </row>
    <row r="5428">
      <c r="A5428" s="2">
        <f>IFERROR(__xludf.DUMMYFUNCTION("""COMPUTED_VALUE"""),77253.0)</f>
        <v>77253</v>
      </c>
      <c r="B5428" s="2" t="str">
        <f>IFERROR(__xludf.DUMMYFUNCTION("""COMPUTED_VALUE"""),"Law")</f>
        <v>Law</v>
      </c>
      <c r="C5428" s="2" t="str">
        <f>IFERROR(__xludf.DUMMYFUNCTION("""COMPUTED_VALUE"""),"Art History")</f>
        <v>Art History</v>
      </c>
      <c r="D5428" s="2" t="str">
        <f>IFERROR(__xludf.DUMMYFUNCTION("""COMPUTED_VALUE"""),"Rivergate Publishing House")</f>
        <v>Rivergate Publishing House</v>
      </c>
      <c r="E5428" s="2">
        <f>IFERROR(__xludf.DUMMYFUNCTION("""COMPUTED_VALUE"""),0.86)</f>
        <v>0.86</v>
      </c>
      <c r="F5428" s="2"/>
      <c r="G5428" s="2"/>
      <c r="H5428" s="2"/>
      <c r="I5428" s="2"/>
    </row>
    <row r="5429">
      <c r="A5429" s="2">
        <f>IFERROR(__xludf.DUMMYFUNCTION("""COMPUTED_VALUE"""),5552.0)</f>
        <v>5552</v>
      </c>
      <c r="B5429" s="2" t="str">
        <f>IFERROR(__xludf.DUMMYFUNCTION("""COMPUTED_VALUE"""),"Law")</f>
        <v>Law</v>
      </c>
      <c r="C5429" s="2" t="str">
        <f>IFERROR(__xludf.DUMMYFUNCTION("""COMPUTED_VALUE"""),"Art History")</f>
        <v>Art History</v>
      </c>
      <c r="D5429" s="2" t="str">
        <f>IFERROR(__xludf.DUMMYFUNCTION("""COMPUTED_VALUE"""),"Rivergate Publishing House")</f>
        <v>Rivergate Publishing House</v>
      </c>
      <c r="E5429" s="2">
        <f>IFERROR(__xludf.DUMMYFUNCTION("""COMPUTED_VALUE"""),1.42)</f>
        <v>1.42</v>
      </c>
      <c r="F5429" s="2"/>
      <c r="G5429" s="2"/>
      <c r="H5429" s="2"/>
      <c r="I5429" s="2"/>
    </row>
    <row r="5430">
      <c r="A5430" s="2">
        <f>IFERROR(__xludf.DUMMYFUNCTION("""COMPUTED_VALUE"""),73805.0)</f>
        <v>73805</v>
      </c>
      <c r="B5430" s="2" t="str">
        <f>IFERROR(__xludf.DUMMYFUNCTION("""COMPUTED_VALUE"""),"Law")</f>
        <v>Law</v>
      </c>
      <c r="C5430" s="2" t="str">
        <f>IFERROR(__xludf.DUMMYFUNCTION("""COMPUTED_VALUE"""),"Art History")</f>
        <v>Art History</v>
      </c>
      <c r="D5430" s="2" t="str">
        <f>IFERROR(__xludf.DUMMYFUNCTION("""COMPUTED_VALUE"""),"Rivergate Publishing House")</f>
        <v>Rivergate Publishing House</v>
      </c>
      <c r="E5430" s="2">
        <f>IFERROR(__xludf.DUMMYFUNCTION("""COMPUTED_VALUE"""),2.75)</f>
        <v>2.75</v>
      </c>
      <c r="F5430" s="2"/>
      <c r="G5430" s="2"/>
      <c r="H5430" s="2"/>
      <c r="I5430" s="2"/>
    </row>
    <row r="5431">
      <c r="A5431" s="2">
        <f>IFERROR(__xludf.DUMMYFUNCTION("""COMPUTED_VALUE"""),48403.0)</f>
        <v>48403</v>
      </c>
      <c r="B5431" s="2" t="str">
        <f>IFERROR(__xludf.DUMMYFUNCTION("""COMPUTED_VALUE"""),"Law")</f>
        <v>Law</v>
      </c>
      <c r="C5431" s="2" t="str">
        <f>IFERROR(__xludf.DUMMYFUNCTION("""COMPUTED_VALUE"""),"Art History")</f>
        <v>Art History</v>
      </c>
      <c r="D5431" s="2" t="str">
        <f>IFERROR(__xludf.DUMMYFUNCTION("""COMPUTED_VALUE"""),"Rivergate Publishing House")</f>
        <v>Rivergate Publishing House</v>
      </c>
      <c r="E5431" s="2">
        <f>IFERROR(__xludf.DUMMYFUNCTION("""COMPUTED_VALUE"""),2.49)</f>
        <v>2.49</v>
      </c>
      <c r="F5431" s="2"/>
      <c r="G5431" s="2"/>
      <c r="H5431" s="2"/>
      <c r="I5431" s="2"/>
    </row>
    <row r="5432">
      <c r="A5432" s="2">
        <f>IFERROR(__xludf.DUMMYFUNCTION("""COMPUTED_VALUE"""),90626.0)</f>
        <v>90626</v>
      </c>
      <c r="B5432" s="2" t="str">
        <f>IFERROR(__xludf.DUMMYFUNCTION("""COMPUTED_VALUE"""),"Law")</f>
        <v>Law</v>
      </c>
      <c r="C5432" s="2" t="str">
        <f>IFERROR(__xludf.DUMMYFUNCTION("""COMPUTED_VALUE"""),"Art History")</f>
        <v>Art History</v>
      </c>
      <c r="D5432" s="2" t="str">
        <f>IFERROR(__xludf.DUMMYFUNCTION("""COMPUTED_VALUE"""),"Rivergate Publishing House")</f>
        <v>Rivergate Publishing House</v>
      </c>
      <c r="E5432" s="2">
        <f>IFERROR(__xludf.DUMMYFUNCTION("""COMPUTED_VALUE"""),6.98)</f>
        <v>6.98</v>
      </c>
      <c r="F5432" s="2"/>
      <c r="G5432" s="2"/>
      <c r="H5432" s="2"/>
      <c r="I5432" s="2"/>
    </row>
    <row r="5433">
      <c r="A5433" s="2">
        <f>IFERROR(__xludf.DUMMYFUNCTION("""COMPUTED_VALUE"""),147324.0)</f>
        <v>147324</v>
      </c>
      <c r="B5433" s="2" t="str">
        <f>IFERROR(__xludf.DUMMYFUNCTION("""COMPUTED_VALUE"""),"Law")</f>
        <v>Law</v>
      </c>
      <c r="C5433" s="2" t="str">
        <f>IFERROR(__xludf.DUMMYFUNCTION("""COMPUTED_VALUE"""),"Art History")</f>
        <v>Art History</v>
      </c>
      <c r="D5433" s="2" t="str">
        <f>IFERROR(__xludf.DUMMYFUNCTION("""COMPUTED_VALUE"""),"Rivergate Publishing House")</f>
        <v>Rivergate Publishing House</v>
      </c>
      <c r="E5433" s="2">
        <f>IFERROR(__xludf.DUMMYFUNCTION("""COMPUTED_VALUE"""),2.92)</f>
        <v>2.92</v>
      </c>
      <c r="F5433" s="2"/>
      <c r="G5433" s="2"/>
      <c r="H5433" s="2"/>
      <c r="I5433" s="2"/>
    </row>
    <row r="5434">
      <c r="A5434" s="2">
        <f>IFERROR(__xludf.DUMMYFUNCTION("""COMPUTED_VALUE"""),77411.0)</f>
        <v>77411</v>
      </c>
      <c r="B5434" s="2" t="str">
        <f>IFERROR(__xludf.DUMMYFUNCTION("""COMPUTED_VALUE"""),"Law")</f>
        <v>Law</v>
      </c>
      <c r="C5434" s="2" t="str">
        <f>IFERROR(__xludf.DUMMYFUNCTION("""COMPUTED_VALUE"""),"Art History")</f>
        <v>Art History</v>
      </c>
      <c r="D5434" s="2" t="str">
        <f>IFERROR(__xludf.DUMMYFUNCTION("""COMPUTED_VALUE"""),"Rivergate Publishing House")</f>
        <v>Rivergate Publishing House</v>
      </c>
      <c r="E5434" s="2">
        <f>IFERROR(__xludf.DUMMYFUNCTION("""COMPUTED_VALUE"""),0.7)</f>
        <v>0.7</v>
      </c>
      <c r="F5434" s="2"/>
      <c r="G5434" s="2"/>
      <c r="H5434" s="2"/>
      <c r="I5434" s="2"/>
    </row>
    <row r="5435">
      <c r="A5435" s="2">
        <f>IFERROR(__xludf.DUMMYFUNCTION("""COMPUTED_VALUE"""),87085.0)</f>
        <v>87085</v>
      </c>
      <c r="B5435" s="2" t="str">
        <f>IFERROR(__xludf.DUMMYFUNCTION("""COMPUTED_VALUE"""),"Law")</f>
        <v>Law</v>
      </c>
      <c r="C5435" s="2" t="str">
        <f>IFERROR(__xludf.DUMMYFUNCTION("""COMPUTED_VALUE"""),"Art History")</f>
        <v>Art History</v>
      </c>
      <c r="D5435" s="2" t="str">
        <f>IFERROR(__xludf.DUMMYFUNCTION("""COMPUTED_VALUE"""),"Rivergate Publishing House")</f>
        <v>Rivergate Publishing House</v>
      </c>
      <c r="E5435" s="2">
        <f>IFERROR(__xludf.DUMMYFUNCTION("""COMPUTED_VALUE"""),0.84)</f>
        <v>0.84</v>
      </c>
      <c r="F5435" s="2"/>
      <c r="G5435" s="2"/>
      <c r="H5435" s="2"/>
      <c r="I5435" s="2"/>
    </row>
    <row r="5436">
      <c r="A5436" s="2">
        <f>IFERROR(__xludf.DUMMYFUNCTION("""COMPUTED_VALUE"""),76212.0)</f>
        <v>76212</v>
      </c>
      <c r="B5436" s="2" t="str">
        <f>IFERROR(__xludf.DUMMYFUNCTION("""COMPUTED_VALUE"""),"Law")</f>
        <v>Law</v>
      </c>
      <c r="C5436" s="2" t="str">
        <f>IFERROR(__xludf.DUMMYFUNCTION("""COMPUTED_VALUE"""),"Art History")</f>
        <v>Art History</v>
      </c>
      <c r="D5436" s="2" t="str">
        <f>IFERROR(__xludf.DUMMYFUNCTION("""COMPUTED_VALUE"""),"Rivergate Publishing House")</f>
        <v>Rivergate Publishing House</v>
      </c>
      <c r="E5436" s="2">
        <f>IFERROR(__xludf.DUMMYFUNCTION("""COMPUTED_VALUE"""),1.81)</f>
        <v>1.81</v>
      </c>
      <c r="F5436" s="2"/>
      <c r="G5436" s="2"/>
      <c r="H5436" s="2"/>
      <c r="I5436" s="2"/>
    </row>
    <row r="5437">
      <c r="A5437" s="2">
        <f>IFERROR(__xludf.DUMMYFUNCTION("""COMPUTED_VALUE"""),117655.0)</f>
        <v>117655</v>
      </c>
      <c r="B5437" s="2" t="str">
        <f>IFERROR(__xludf.DUMMYFUNCTION("""COMPUTED_VALUE"""),"Law")</f>
        <v>Law</v>
      </c>
      <c r="C5437" s="2" t="str">
        <f>IFERROR(__xludf.DUMMYFUNCTION("""COMPUTED_VALUE"""),"Art History")</f>
        <v>Art History</v>
      </c>
      <c r="D5437" s="2" t="str">
        <f>IFERROR(__xludf.DUMMYFUNCTION("""COMPUTED_VALUE"""),"Rivergate Publishing House")</f>
        <v>Rivergate Publishing House</v>
      </c>
      <c r="E5437" s="2">
        <f>IFERROR(__xludf.DUMMYFUNCTION("""COMPUTED_VALUE"""),1.85)</f>
        <v>1.85</v>
      </c>
      <c r="F5437" s="2"/>
      <c r="G5437" s="2"/>
      <c r="H5437" s="2"/>
      <c r="I5437" s="2"/>
    </row>
    <row r="5438">
      <c r="A5438" s="2">
        <f>IFERROR(__xludf.DUMMYFUNCTION("""COMPUTED_VALUE"""),83596.0)</f>
        <v>83596</v>
      </c>
      <c r="B5438" s="2" t="str">
        <f>IFERROR(__xludf.DUMMYFUNCTION("""COMPUTED_VALUE"""),"Law")</f>
        <v>Law</v>
      </c>
      <c r="C5438" s="2" t="str">
        <f>IFERROR(__xludf.DUMMYFUNCTION("""COMPUTED_VALUE"""),"Art History")</f>
        <v>Art History</v>
      </c>
      <c r="D5438" s="2" t="str">
        <f>IFERROR(__xludf.DUMMYFUNCTION("""COMPUTED_VALUE"""),"Rivergate Publishing House")</f>
        <v>Rivergate Publishing House</v>
      </c>
      <c r="E5438" s="2">
        <f>IFERROR(__xludf.DUMMYFUNCTION("""COMPUTED_VALUE"""),2.57)</f>
        <v>2.57</v>
      </c>
      <c r="F5438" s="2"/>
      <c r="G5438" s="2"/>
      <c r="H5438" s="2"/>
      <c r="I5438" s="2"/>
    </row>
    <row r="5439">
      <c r="A5439" s="2">
        <f>IFERROR(__xludf.DUMMYFUNCTION("""COMPUTED_VALUE"""),5561.0)</f>
        <v>5561</v>
      </c>
      <c r="B5439" s="2" t="str">
        <f>IFERROR(__xludf.DUMMYFUNCTION("""COMPUTED_VALUE"""),"Law")</f>
        <v>Law</v>
      </c>
      <c r="C5439" s="2" t="str">
        <f>IFERROR(__xludf.DUMMYFUNCTION("""COMPUTED_VALUE"""),"Art History")</f>
        <v>Art History</v>
      </c>
      <c r="D5439" s="2" t="str">
        <f>IFERROR(__xludf.DUMMYFUNCTION("""COMPUTED_VALUE"""),"Rivergate Publishing House")</f>
        <v>Rivergate Publishing House</v>
      </c>
      <c r="E5439" s="2">
        <f>IFERROR(__xludf.DUMMYFUNCTION("""COMPUTED_VALUE"""),3.42)</f>
        <v>3.42</v>
      </c>
      <c r="F5439" s="2"/>
      <c r="G5439" s="2"/>
      <c r="H5439" s="2"/>
      <c r="I5439" s="2"/>
    </row>
    <row r="5440">
      <c r="A5440" s="2">
        <f>IFERROR(__xludf.DUMMYFUNCTION("""COMPUTED_VALUE"""),87304.0)</f>
        <v>87304</v>
      </c>
      <c r="B5440" s="2" t="str">
        <f>IFERROR(__xludf.DUMMYFUNCTION("""COMPUTED_VALUE"""),"Law")</f>
        <v>Law</v>
      </c>
      <c r="C5440" s="2" t="str">
        <f>IFERROR(__xludf.DUMMYFUNCTION("""COMPUTED_VALUE"""),"Art History")</f>
        <v>Art History</v>
      </c>
      <c r="D5440" s="2" t="str">
        <f>IFERROR(__xludf.DUMMYFUNCTION("""COMPUTED_VALUE"""),"Rivergate Publishing House")</f>
        <v>Rivergate Publishing House</v>
      </c>
      <c r="E5440" s="2">
        <f>IFERROR(__xludf.DUMMYFUNCTION("""COMPUTED_VALUE"""),1.42)</f>
        <v>1.42</v>
      </c>
      <c r="F5440" s="2"/>
      <c r="G5440" s="2"/>
      <c r="H5440" s="2"/>
      <c r="I5440" s="2"/>
    </row>
    <row r="5441">
      <c r="A5441" s="2">
        <f>IFERROR(__xludf.DUMMYFUNCTION("""COMPUTED_VALUE"""),113735.0)</f>
        <v>113735</v>
      </c>
      <c r="B5441" s="2" t="str">
        <f>IFERROR(__xludf.DUMMYFUNCTION("""COMPUTED_VALUE"""),"Law")</f>
        <v>Law</v>
      </c>
      <c r="C5441" s="2" t="str">
        <f>IFERROR(__xludf.DUMMYFUNCTION("""COMPUTED_VALUE"""),"Art History")</f>
        <v>Art History</v>
      </c>
      <c r="D5441" s="2" t="str">
        <f>IFERROR(__xludf.DUMMYFUNCTION("""COMPUTED_VALUE"""),"Rivergate Publishing House")</f>
        <v>Rivergate Publishing House</v>
      </c>
      <c r="E5441" s="2">
        <f>IFERROR(__xludf.DUMMYFUNCTION("""COMPUTED_VALUE"""),2.7)</f>
        <v>2.7</v>
      </c>
      <c r="F5441" s="2"/>
      <c r="G5441" s="2"/>
      <c r="H5441" s="2"/>
      <c r="I5441" s="2"/>
    </row>
    <row r="5442">
      <c r="A5442" s="2">
        <f>IFERROR(__xludf.DUMMYFUNCTION("""COMPUTED_VALUE"""),90661.0)</f>
        <v>90661</v>
      </c>
      <c r="B5442" s="2" t="str">
        <f>IFERROR(__xludf.DUMMYFUNCTION("""COMPUTED_VALUE"""),"Law")</f>
        <v>Law</v>
      </c>
      <c r="C5442" s="2" t="str">
        <f>IFERROR(__xludf.DUMMYFUNCTION("""COMPUTED_VALUE"""),"Art History")</f>
        <v>Art History</v>
      </c>
      <c r="D5442" s="2" t="str">
        <f>IFERROR(__xludf.DUMMYFUNCTION("""COMPUTED_VALUE"""),"Rivergate Publishing House")</f>
        <v>Rivergate Publishing House</v>
      </c>
      <c r="E5442" s="2">
        <f>IFERROR(__xludf.DUMMYFUNCTION("""COMPUTED_VALUE"""),4.48)</f>
        <v>4.48</v>
      </c>
      <c r="F5442" s="2"/>
      <c r="G5442" s="2"/>
      <c r="H5442" s="2"/>
      <c r="I5442" s="2"/>
    </row>
    <row r="5443">
      <c r="A5443" s="2">
        <f>IFERROR(__xludf.DUMMYFUNCTION("""COMPUTED_VALUE"""),76281.0)</f>
        <v>76281</v>
      </c>
      <c r="B5443" s="2" t="str">
        <f>IFERROR(__xludf.DUMMYFUNCTION("""COMPUTED_VALUE"""),"Law")</f>
        <v>Law</v>
      </c>
      <c r="C5443" s="2" t="str">
        <f>IFERROR(__xludf.DUMMYFUNCTION("""COMPUTED_VALUE"""),"Art History")</f>
        <v>Art History</v>
      </c>
      <c r="D5443" s="2" t="str">
        <f>IFERROR(__xludf.DUMMYFUNCTION("""COMPUTED_VALUE"""),"Rivergate Publishing House")</f>
        <v>Rivergate Publishing House</v>
      </c>
      <c r="E5443" s="2">
        <f>IFERROR(__xludf.DUMMYFUNCTION("""COMPUTED_VALUE"""),1.86)</f>
        <v>1.86</v>
      </c>
      <c r="F5443" s="2"/>
      <c r="G5443" s="2"/>
      <c r="H5443" s="2"/>
      <c r="I5443" s="2"/>
    </row>
    <row r="5444">
      <c r="A5444" s="2">
        <f>IFERROR(__xludf.DUMMYFUNCTION("""COMPUTED_VALUE"""),90622.0)</f>
        <v>90622</v>
      </c>
      <c r="B5444" s="2" t="str">
        <f>IFERROR(__xludf.DUMMYFUNCTION("""COMPUTED_VALUE"""),"Law")</f>
        <v>Law</v>
      </c>
      <c r="C5444" s="2" t="str">
        <f>IFERROR(__xludf.DUMMYFUNCTION("""COMPUTED_VALUE"""),"Art History")</f>
        <v>Art History</v>
      </c>
      <c r="D5444" s="2" t="str">
        <f>IFERROR(__xludf.DUMMYFUNCTION("""COMPUTED_VALUE"""),"Rivergate Publishing House")</f>
        <v>Rivergate Publishing House</v>
      </c>
      <c r="E5444" s="2">
        <f>IFERROR(__xludf.DUMMYFUNCTION("""COMPUTED_VALUE"""),7.81)</f>
        <v>7.81</v>
      </c>
      <c r="F5444" s="2"/>
      <c r="G5444" s="2"/>
      <c r="H5444" s="2"/>
      <c r="I5444" s="2"/>
    </row>
    <row r="5445">
      <c r="A5445" s="2">
        <f>IFERROR(__xludf.DUMMYFUNCTION("""COMPUTED_VALUE"""),90637.0)</f>
        <v>90637</v>
      </c>
      <c r="B5445" s="2" t="str">
        <f>IFERROR(__xludf.DUMMYFUNCTION("""COMPUTED_VALUE"""),"Law")</f>
        <v>Law</v>
      </c>
      <c r="C5445" s="2" t="str">
        <f>IFERROR(__xludf.DUMMYFUNCTION("""COMPUTED_VALUE"""),"Art History")</f>
        <v>Art History</v>
      </c>
      <c r="D5445" s="2" t="str">
        <f>IFERROR(__xludf.DUMMYFUNCTION("""COMPUTED_VALUE"""),"Rivergate Publishing House")</f>
        <v>Rivergate Publishing House</v>
      </c>
      <c r="E5445" s="2">
        <f>IFERROR(__xludf.DUMMYFUNCTION("""COMPUTED_VALUE"""),1.27)</f>
        <v>1.27</v>
      </c>
      <c r="F5445" s="2"/>
      <c r="G5445" s="2"/>
      <c r="H5445" s="2"/>
      <c r="I5445" s="2"/>
    </row>
    <row r="5446">
      <c r="A5446" s="2">
        <f>IFERROR(__xludf.DUMMYFUNCTION("""COMPUTED_VALUE"""),76208.0)</f>
        <v>76208</v>
      </c>
      <c r="B5446" s="2" t="str">
        <f>IFERROR(__xludf.DUMMYFUNCTION("""COMPUTED_VALUE"""),"Law")</f>
        <v>Law</v>
      </c>
      <c r="C5446" s="2" t="str">
        <f>IFERROR(__xludf.DUMMYFUNCTION("""COMPUTED_VALUE"""),"Art History")</f>
        <v>Art History</v>
      </c>
      <c r="D5446" s="2" t="str">
        <f>IFERROR(__xludf.DUMMYFUNCTION("""COMPUTED_VALUE"""),"Rivergate Publishing House")</f>
        <v>Rivergate Publishing House</v>
      </c>
      <c r="E5446" s="2">
        <f>IFERROR(__xludf.DUMMYFUNCTION("""COMPUTED_VALUE"""),1.85)</f>
        <v>1.85</v>
      </c>
      <c r="F5446" s="2"/>
      <c r="G5446" s="2"/>
      <c r="H5446" s="2"/>
      <c r="I5446" s="2"/>
    </row>
    <row r="5447">
      <c r="A5447" s="2">
        <f>IFERROR(__xludf.DUMMYFUNCTION("""COMPUTED_VALUE"""),91355.0)</f>
        <v>91355</v>
      </c>
      <c r="B5447" s="2" t="str">
        <f>IFERROR(__xludf.DUMMYFUNCTION("""COMPUTED_VALUE"""),"Law")</f>
        <v>Law</v>
      </c>
      <c r="C5447" s="2" t="str">
        <f>IFERROR(__xludf.DUMMYFUNCTION("""COMPUTED_VALUE"""),"Art History")</f>
        <v>Art History</v>
      </c>
      <c r="D5447" s="2" t="str">
        <f>IFERROR(__xludf.DUMMYFUNCTION("""COMPUTED_VALUE"""),"Rivergate Publishing House")</f>
        <v>Rivergate Publishing House</v>
      </c>
      <c r="E5447" s="2">
        <f>IFERROR(__xludf.DUMMYFUNCTION("""COMPUTED_VALUE"""),0.85)</f>
        <v>0.85</v>
      </c>
      <c r="F5447" s="2"/>
      <c r="G5447" s="2"/>
      <c r="H5447" s="2"/>
      <c r="I5447" s="2"/>
    </row>
    <row r="5448">
      <c r="A5448" s="2">
        <f>IFERROR(__xludf.DUMMYFUNCTION("""COMPUTED_VALUE"""),122068.0)</f>
        <v>122068</v>
      </c>
      <c r="B5448" s="2" t="str">
        <f>IFERROR(__xludf.DUMMYFUNCTION("""COMPUTED_VALUE"""),"Law")</f>
        <v>Law</v>
      </c>
      <c r="C5448" s="2" t="str">
        <f>IFERROR(__xludf.DUMMYFUNCTION("""COMPUTED_VALUE"""),"Art History")</f>
        <v>Art History</v>
      </c>
      <c r="D5448" s="2" t="str">
        <f>IFERROR(__xludf.DUMMYFUNCTION("""COMPUTED_VALUE"""),"Rivergate Publishing House")</f>
        <v>Rivergate Publishing House</v>
      </c>
      <c r="E5448" s="2">
        <f>IFERROR(__xludf.DUMMYFUNCTION("""COMPUTED_VALUE"""),0.98)</f>
        <v>0.98</v>
      </c>
      <c r="F5448" s="2"/>
      <c r="G5448" s="2"/>
      <c r="H5448" s="2"/>
      <c r="I5448" s="2"/>
    </row>
    <row r="5449">
      <c r="A5449" s="2">
        <f>IFERROR(__xludf.DUMMYFUNCTION("""COMPUTED_VALUE"""),48404.0)</f>
        <v>48404</v>
      </c>
      <c r="B5449" s="2" t="str">
        <f>IFERROR(__xludf.DUMMYFUNCTION("""COMPUTED_VALUE"""),"Law")</f>
        <v>Law</v>
      </c>
      <c r="C5449" s="2" t="str">
        <f>IFERROR(__xludf.DUMMYFUNCTION("""COMPUTED_VALUE"""),"Art History")</f>
        <v>Art History</v>
      </c>
      <c r="D5449" s="2" t="str">
        <f>IFERROR(__xludf.DUMMYFUNCTION("""COMPUTED_VALUE"""),"Rivergate Publishing House")</f>
        <v>Rivergate Publishing House</v>
      </c>
      <c r="E5449" s="2">
        <f>IFERROR(__xludf.DUMMYFUNCTION("""COMPUTED_VALUE"""),2.04)</f>
        <v>2.04</v>
      </c>
      <c r="F5449" s="2"/>
      <c r="G5449" s="2"/>
      <c r="H5449" s="2"/>
      <c r="I5449" s="2"/>
    </row>
    <row r="5450">
      <c r="A5450" s="2">
        <f>IFERROR(__xludf.DUMMYFUNCTION("""COMPUTED_VALUE"""),5553.0)</f>
        <v>5553</v>
      </c>
      <c r="B5450" s="2" t="str">
        <f>IFERROR(__xludf.DUMMYFUNCTION("""COMPUTED_VALUE"""),"Law")</f>
        <v>Law</v>
      </c>
      <c r="C5450" s="2" t="str">
        <f>IFERROR(__xludf.DUMMYFUNCTION("""COMPUTED_VALUE"""),"Art History")</f>
        <v>Art History</v>
      </c>
      <c r="D5450" s="2" t="str">
        <f>IFERROR(__xludf.DUMMYFUNCTION("""COMPUTED_VALUE"""),"Rivergate Publishing House")</f>
        <v>Rivergate Publishing House</v>
      </c>
      <c r="E5450" s="2">
        <f>IFERROR(__xludf.DUMMYFUNCTION("""COMPUTED_VALUE"""),2.49)</f>
        <v>2.49</v>
      </c>
      <c r="F5450" s="2"/>
      <c r="G5450" s="2"/>
      <c r="H5450" s="2"/>
      <c r="I5450" s="2"/>
    </row>
    <row r="5451">
      <c r="A5451" s="2">
        <f>IFERROR(__xludf.DUMMYFUNCTION("""COMPUTED_VALUE"""),76282.0)</f>
        <v>76282</v>
      </c>
      <c r="B5451" s="2" t="str">
        <f>IFERROR(__xludf.DUMMYFUNCTION("""COMPUTED_VALUE"""),"Law")</f>
        <v>Law</v>
      </c>
      <c r="C5451" s="2" t="str">
        <f>IFERROR(__xludf.DUMMYFUNCTION("""COMPUTED_VALUE"""),"Art History")</f>
        <v>Art History</v>
      </c>
      <c r="D5451" s="2" t="str">
        <f>IFERROR(__xludf.DUMMYFUNCTION("""COMPUTED_VALUE"""),"Rivergate Publishing House")</f>
        <v>Rivergate Publishing House</v>
      </c>
      <c r="E5451" s="2">
        <f>IFERROR(__xludf.DUMMYFUNCTION("""COMPUTED_VALUE"""),1.31)</f>
        <v>1.31</v>
      </c>
      <c r="F5451" s="2"/>
      <c r="G5451" s="2"/>
      <c r="H5451" s="2"/>
      <c r="I5451" s="2"/>
    </row>
    <row r="5452">
      <c r="A5452" s="2">
        <f>IFERROR(__xludf.DUMMYFUNCTION("""COMPUTED_VALUE"""),5554.0)</f>
        <v>5554</v>
      </c>
      <c r="B5452" s="2" t="str">
        <f>IFERROR(__xludf.DUMMYFUNCTION("""COMPUTED_VALUE"""),"Law")</f>
        <v>Law</v>
      </c>
      <c r="C5452" s="2" t="str">
        <f>IFERROR(__xludf.DUMMYFUNCTION("""COMPUTED_VALUE"""),"Art History")</f>
        <v>Art History</v>
      </c>
      <c r="D5452" s="2" t="str">
        <f>IFERROR(__xludf.DUMMYFUNCTION("""COMPUTED_VALUE"""),"Rivergate Publishing House")</f>
        <v>Rivergate Publishing House</v>
      </c>
      <c r="E5452" s="2">
        <f>IFERROR(__xludf.DUMMYFUNCTION("""COMPUTED_VALUE"""),2.2)</f>
        <v>2.2</v>
      </c>
      <c r="F5452" s="2"/>
      <c r="G5452" s="2"/>
      <c r="H5452" s="2"/>
      <c r="I5452" s="2"/>
    </row>
    <row r="5453">
      <c r="A5453" s="2">
        <f>IFERROR(__xludf.DUMMYFUNCTION("""COMPUTED_VALUE"""),77408.0)</f>
        <v>77408</v>
      </c>
      <c r="B5453" s="2" t="str">
        <f>IFERROR(__xludf.DUMMYFUNCTION("""COMPUTED_VALUE"""),"Law")</f>
        <v>Law</v>
      </c>
      <c r="C5453" s="2" t="str">
        <f>IFERROR(__xludf.DUMMYFUNCTION("""COMPUTED_VALUE"""),"Art History")</f>
        <v>Art History</v>
      </c>
      <c r="D5453" s="2" t="str">
        <f>IFERROR(__xludf.DUMMYFUNCTION("""COMPUTED_VALUE"""),"Rivergate Publishing House")</f>
        <v>Rivergate Publishing House</v>
      </c>
      <c r="E5453" s="2">
        <f>IFERROR(__xludf.DUMMYFUNCTION("""COMPUTED_VALUE"""),0.78)</f>
        <v>0.78</v>
      </c>
      <c r="F5453" s="2"/>
      <c r="G5453" s="2"/>
      <c r="H5453" s="2"/>
      <c r="I5453" s="2"/>
    </row>
    <row r="5454">
      <c r="A5454" s="2">
        <f>IFERROR(__xludf.DUMMYFUNCTION("""COMPUTED_VALUE"""),147312.0)</f>
        <v>147312</v>
      </c>
      <c r="B5454" s="2" t="str">
        <f>IFERROR(__xludf.DUMMYFUNCTION("""COMPUTED_VALUE"""),"Law")</f>
        <v>Law</v>
      </c>
      <c r="C5454" s="2" t="str">
        <f>IFERROR(__xludf.DUMMYFUNCTION("""COMPUTED_VALUE"""),"Art History")</f>
        <v>Art History</v>
      </c>
      <c r="D5454" s="2" t="str">
        <f>IFERROR(__xludf.DUMMYFUNCTION("""COMPUTED_VALUE"""),"Rivergate Publishing House")</f>
        <v>Rivergate Publishing House</v>
      </c>
      <c r="E5454" s="2">
        <f>IFERROR(__xludf.DUMMYFUNCTION("""COMPUTED_VALUE"""),2.26)</f>
        <v>2.26</v>
      </c>
      <c r="F5454" s="2"/>
      <c r="G5454" s="2"/>
      <c r="H5454" s="2"/>
      <c r="I5454" s="2"/>
    </row>
    <row r="5455">
      <c r="A5455" s="2">
        <f>IFERROR(__xludf.DUMMYFUNCTION("""COMPUTED_VALUE"""),113741.0)</f>
        <v>113741</v>
      </c>
      <c r="B5455" s="2" t="str">
        <f>IFERROR(__xludf.DUMMYFUNCTION("""COMPUTED_VALUE"""),"Law")</f>
        <v>Law</v>
      </c>
      <c r="C5455" s="2" t="str">
        <f>IFERROR(__xludf.DUMMYFUNCTION("""COMPUTED_VALUE"""),"Art History")</f>
        <v>Art History</v>
      </c>
      <c r="D5455" s="2" t="str">
        <f>IFERROR(__xludf.DUMMYFUNCTION("""COMPUTED_VALUE"""),"Rivergate Publishing House")</f>
        <v>Rivergate Publishing House</v>
      </c>
      <c r="E5455" s="2">
        <f>IFERROR(__xludf.DUMMYFUNCTION("""COMPUTED_VALUE"""),2.57)</f>
        <v>2.57</v>
      </c>
      <c r="F5455" s="2"/>
      <c r="G5455" s="2"/>
      <c r="H5455" s="2"/>
      <c r="I5455" s="2"/>
    </row>
    <row r="5456">
      <c r="A5456" s="2">
        <f>IFERROR(__xludf.DUMMYFUNCTION("""COMPUTED_VALUE"""),76290.0)</f>
        <v>76290</v>
      </c>
      <c r="B5456" s="2" t="str">
        <f>IFERROR(__xludf.DUMMYFUNCTION("""COMPUTED_VALUE"""),"Law")</f>
        <v>Law</v>
      </c>
      <c r="C5456" s="2" t="str">
        <f>IFERROR(__xludf.DUMMYFUNCTION("""COMPUTED_VALUE"""),"Art History")</f>
        <v>Art History</v>
      </c>
      <c r="D5456" s="2" t="str">
        <f>IFERROR(__xludf.DUMMYFUNCTION("""COMPUTED_VALUE"""),"Rivergate Publishing House")</f>
        <v>Rivergate Publishing House</v>
      </c>
      <c r="E5456" s="2">
        <f>IFERROR(__xludf.DUMMYFUNCTION("""COMPUTED_VALUE"""),0.96)</f>
        <v>0.96</v>
      </c>
      <c r="F5456" s="2"/>
      <c r="G5456" s="2"/>
      <c r="H5456" s="2"/>
      <c r="I5456" s="2"/>
    </row>
    <row r="5457">
      <c r="A5457" s="2">
        <f>IFERROR(__xludf.DUMMYFUNCTION("""COMPUTED_VALUE"""),5559.0)</f>
        <v>5559</v>
      </c>
      <c r="B5457" s="2" t="str">
        <f>IFERROR(__xludf.DUMMYFUNCTION("""COMPUTED_VALUE"""),"Law")</f>
        <v>Law</v>
      </c>
      <c r="C5457" s="2" t="str">
        <f>IFERROR(__xludf.DUMMYFUNCTION("""COMPUTED_VALUE"""),"Art History")</f>
        <v>Art History</v>
      </c>
      <c r="D5457" s="2" t="str">
        <f>IFERROR(__xludf.DUMMYFUNCTION("""COMPUTED_VALUE"""),"Rivergate Publishing House")</f>
        <v>Rivergate Publishing House</v>
      </c>
      <c r="E5457" s="2">
        <f>IFERROR(__xludf.DUMMYFUNCTION("""COMPUTED_VALUE"""),1.06)</f>
        <v>1.06</v>
      </c>
      <c r="F5457" s="2"/>
      <c r="G5457" s="2"/>
      <c r="H5457" s="2"/>
      <c r="I5457" s="2"/>
    </row>
    <row r="5458">
      <c r="A5458" s="2">
        <f>IFERROR(__xludf.DUMMYFUNCTION("""COMPUTED_VALUE"""),68351.0)</f>
        <v>68351</v>
      </c>
      <c r="B5458" s="2" t="str">
        <f>IFERROR(__xludf.DUMMYFUNCTION("""COMPUTED_VALUE"""),"Law")</f>
        <v>Law</v>
      </c>
      <c r="C5458" s="2" t="str">
        <f>IFERROR(__xludf.DUMMYFUNCTION("""COMPUTED_VALUE"""),"Art History")</f>
        <v>Art History</v>
      </c>
      <c r="D5458" s="2" t="str">
        <f>IFERROR(__xludf.DUMMYFUNCTION("""COMPUTED_VALUE"""),"Rivergate Publishing House")</f>
        <v>Rivergate Publishing House</v>
      </c>
      <c r="E5458" s="2">
        <f>IFERROR(__xludf.DUMMYFUNCTION("""COMPUTED_VALUE"""),1.27)</f>
        <v>1.27</v>
      </c>
      <c r="F5458" s="2"/>
      <c r="G5458" s="2"/>
      <c r="H5458" s="2"/>
      <c r="I5458" s="2"/>
    </row>
    <row r="5459">
      <c r="A5459" s="2">
        <f>IFERROR(__xludf.DUMMYFUNCTION("""COMPUTED_VALUE"""),113736.0)</f>
        <v>113736</v>
      </c>
      <c r="B5459" s="2" t="str">
        <f>IFERROR(__xludf.DUMMYFUNCTION("""COMPUTED_VALUE"""),"Law")</f>
        <v>Law</v>
      </c>
      <c r="C5459" s="2" t="str">
        <f>IFERROR(__xludf.DUMMYFUNCTION("""COMPUTED_VALUE"""),"Art History")</f>
        <v>Art History</v>
      </c>
      <c r="D5459" s="2" t="str">
        <f>IFERROR(__xludf.DUMMYFUNCTION("""COMPUTED_VALUE"""),"Rivergate Publishing House")</f>
        <v>Rivergate Publishing House</v>
      </c>
      <c r="E5459" s="2">
        <f>IFERROR(__xludf.DUMMYFUNCTION("""COMPUTED_VALUE"""),2.58)</f>
        <v>2.58</v>
      </c>
      <c r="F5459" s="2"/>
      <c r="G5459" s="2"/>
      <c r="H5459" s="2"/>
      <c r="I5459" s="2"/>
    </row>
    <row r="5460">
      <c r="A5460" s="2">
        <f>IFERROR(__xludf.DUMMYFUNCTION("""COMPUTED_VALUE"""),113738.0)</f>
        <v>113738</v>
      </c>
      <c r="B5460" s="2" t="str">
        <f>IFERROR(__xludf.DUMMYFUNCTION("""COMPUTED_VALUE"""),"Law")</f>
        <v>Law</v>
      </c>
      <c r="C5460" s="2" t="str">
        <f>IFERROR(__xludf.DUMMYFUNCTION("""COMPUTED_VALUE"""),"Art History")</f>
        <v>Art History</v>
      </c>
      <c r="D5460" s="2" t="str">
        <f>IFERROR(__xludf.DUMMYFUNCTION("""COMPUTED_VALUE"""),"Rivergate Publishing House")</f>
        <v>Rivergate Publishing House</v>
      </c>
      <c r="E5460" s="2">
        <f>IFERROR(__xludf.DUMMYFUNCTION("""COMPUTED_VALUE"""),2.42)</f>
        <v>2.42</v>
      </c>
      <c r="F5460" s="2"/>
      <c r="G5460" s="2"/>
      <c r="H5460" s="2"/>
      <c r="I5460" s="2"/>
    </row>
    <row r="5461">
      <c r="A5461" s="2">
        <f>IFERROR(__xludf.DUMMYFUNCTION("""COMPUTED_VALUE"""),113737.0)</f>
        <v>113737</v>
      </c>
      <c r="B5461" s="2" t="str">
        <f>IFERROR(__xludf.DUMMYFUNCTION("""COMPUTED_VALUE"""),"Law")</f>
        <v>Law</v>
      </c>
      <c r="C5461" s="2" t="str">
        <f>IFERROR(__xludf.DUMMYFUNCTION("""COMPUTED_VALUE"""),"Art History")</f>
        <v>Art History</v>
      </c>
      <c r="D5461" s="2" t="str">
        <f>IFERROR(__xludf.DUMMYFUNCTION("""COMPUTED_VALUE"""),"Rivergate Publishing House")</f>
        <v>Rivergate Publishing House</v>
      </c>
      <c r="E5461" s="2">
        <f>IFERROR(__xludf.DUMMYFUNCTION("""COMPUTED_VALUE"""),2.61)</f>
        <v>2.61</v>
      </c>
      <c r="F5461" s="2"/>
      <c r="G5461" s="2"/>
      <c r="H5461" s="2"/>
      <c r="I5461" s="2"/>
    </row>
    <row r="5462">
      <c r="A5462" s="2">
        <f>IFERROR(__xludf.DUMMYFUNCTION("""COMPUTED_VALUE"""),73767.0)</f>
        <v>73767</v>
      </c>
      <c r="B5462" s="2" t="str">
        <f>IFERROR(__xludf.DUMMYFUNCTION("""COMPUTED_VALUE"""),"Law")</f>
        <v>Law</v>
      </c>
      <c r="C5462" s="2" t="str">
        <f>IFERROR(__xludf.DUMMYFUNCTION("""COMPUTED_VALUE"""),"Art History")</f>
        <v>Art History</v>
      </c>
      <c r="D5462" s="2" t="str">
        <f>IFERROR(__xludf.DUMMYFUNCTION("""COMPUTED_VALUE"""),"Rivergate Publishing House")</f>
        <v>Rivergate Publishing House</v>
      </c>
      <c r="E5462" s="2">
        <f>IFERROR(__xludf.DUMMYFUNCTION("""COMPUTED_VALUE"""),1.6)</f>
        <v>1.6</v>
      </c>
      <c r="F5462" s="2"/>
      <c r="G5462" s="2"/>
      <c r="H5462" s="2"/>
      <c r="I5462" s="2"/>
    </row>
    <row r="5463">
      <c r="A5463" s="2">
        <f>IFERROR(__xludf.DUMMYFUNCTION("""COMPUTED_VALUE"""),89559.0)</f>
        <v>89559</v>
      </c>
      <c r="B5463" s="2" t="str">
        <f>IFERROR(__xludf.DUMMYFUNCTION("""COMPUTED_VALUE"""),"Law")</f>
        <v>Law</v>
      </c>
      <c r="C5463" s="2" t="str">
        <f>IFERROR(__xludf.DUMMYFUNCTION("""COMPUTED_VALUE"""),"Art History")</f>
        <v>Art History</v>
      </c>
      <c r="D5463" s="2" t="str">
        <f>IFERROR(__xludf.DUMMYFUNCTION("""COMPUTED_VALUE"""),"Irongate Publishing House")</f>
        <v>Irongate Publishing House</v>
      </c>
      <c r="E5463" s="2">
        <f>IFERROR(__xludf.DUMMYFUNCTION("""COMPUTED_VALUE"""),2.7)</f>
        <v>2.7</v>
      </c>
      <c r="F5463" s="2"/>
      <c r="G5463" s="2"/>
      <c r="H5463" s="2"/>
      <c r="I5463" s="2"/>
    </row>
    <row r="5464">
      <c r="A5464" s="2">
        <f>IFERROR(__xludf.DUMMYFUNCTION("""COMPUTED_VALUE"""),102720.0)</f>
        <v>102720</v>
      </c>
      <c r="B5464" s="2" t="str">
        <f>IFERROR(__xludf.DUMMYFUNCTION("""COMPUTED_VALUE"""),"Law")</f>
        <v>Law</v>
      </c>
      <c r="C5464" s="2" t="str">
        <f>IFERROR(__xludf.DUMMYFUNCTION("""COMPUTED_VALUE"""),"Art History")</f>
        <v>Art History</v>
      </c>
      <c r="D5464" s="2" t="str">
        <f>IFERROR(__xludf.DUMMYFUNCTION("""COMPUTED_VALUE"""),"Irongate Publishing House")</f>
        <v>Irongate Publishing House</v>
      </c>
      <c r="E5464" s="2">
        <f>IFERROR(__xludf.DUMMYFUNCTION("""COMPUTED_VALUE"""),2.37)</f>
        <v>2.37</v>
      </c>
      <c r="F5464" s="2"/>
      <c r="G5464" s="2"/>
      <c r="H5464" s="2"/>
      <c r="I5464" s="2"/>
    </row>
    <row r="5465">
      <c r="A5465" s="2">
        <f>IFERROR(__xludf.DUMMYFUNCTION("""COMPUTED_VALUE"""),114668.0)</f>
        <v>114668</v>
      </c>
      <c r="B5465" s="2" t="str">
        <f>IFERROR(__xludf.DUMMYFUNCTION("""COMPUTED_VALUE"""),"Law")</f>
        <v>Law</v>
      </c>
      <c r="C5465" s="2" t="str">
        <f>IFERROR(__xludf.DUMMYFUNCTION("""COMPUTED_VALUE"""),"Art History")</f>
        <v>Art History</v>
      </c>
      <c r="D5465" s="2" t="str">
        <f>IFERROR(__xludf.DUMMYFUNCTION("""COMPUTED_VALUE"""),"Irongate Publishing House")</f>
        <v>Irongate Publishing House</v>
      </c>
      <c r="E5465" s="2">
        <f>IFERROR(__xludf.DUMMYFUNCTION("""COMPUTED_VALUE"""),1.73)</f>
        <v>1.73</v>
      </c>
      <c r="F5465" s="2"/>
      <c r="G5465" s="2"/>
      <c r="H5465" s="2"/>
      <c r="I5465" s="2"/>
    </row>
    <row r="5466">
      <c r="A5466" s="2">
        <f>IFERROR(__xludf.DUMMYFUNCTION("""COMPUTED_VALUE"""),159208.0)</f>
        <v>159208</v>
      </c>
      <c r="B5466" s="2" t="str">
        <f>IFERROR(__xludf.DUMMYFUNCTION("""COMPUTED_VALUE"""),"Law")</f>
        <v>Law</v>
      </c>
      <c r="C5466" s="2" t="str">
        <f>IFERROR(__xludf.DUMMYFUNCTION("""COMPUTED_VALUE"""),"Art History")</f>
        <v>Art History</v>
      </c>
      <c r="D5466" s="2" t="str">
        <f>IFERROR(__xludf.DUMMYFUNCTION("""COMPUTED_VALUE"""),"Irongate Publishing House")</f>
        <v>Irongate Publishing House</v>
      </c>
      <c r="E5466" s="2">
        <f>IFERROR(__xludf.DUMMYFUNCTION("""COMPUTED_VALUE"""),1.37)</f>
        <v>1.37</v>
      </c>
      <c r="F5466" s="2"/>
      <c r="G5466" s="2"/>
      <c r="H5466" s="2"/>
      <c r="I5466" s="2"/>
    </row>
    <row r="5467">
      <c r="A5467" s="2">
        <f>IFERROR(__xludf.DUMMYFUNCTION("""COMPUTED_VALUE"""),108476.0)</f>
        <v>108476</v>
      </c>
      <c r="B5467" s="2" t="str">
        <f>IFERROR(__xludf.DUMMYFUNCTION("""COMPUTED_VALUE"""),"Law")</f>
        <v>Law</v>
      </c>
      <c r="C5467" s="2" t="str">
        <f>IFERROR(__xludf.DUMMYFUNCTION("""COMPUTED_VALUE"""),"Art History")</f>
        <v>Art History</v>
      </c>
      <c r="D5467" s="2" t="str">
        <f>IFERROR(__xludf.DUMMYFUNCTION("""COMPUTED_VALUE"""),"Irongate Publishing House")</f>
        <v>Irongate Publishing House</v>
      </c>
      <c r="E5467" s="2">
        <f>IFERROR(__xludf.DUMMYFUNCTION("""COMPUTED_VALUE"""),2.03)</f>
        <v>2.03</v>
      </c>
      <c r="F5467" s="2"/>
      <c r="G5467" s="2"/>
      <c r="H5467" s="2"/>
      <c r="I5467" s="2"/>
    </row>
    <row r="5468">
      <c r="A5468" s="2">
        <f>IFERROR(__xludf.DUMMYFUNCTION("""COMPUTED_VALUE"""),76603.0)</f>
        <v>76603</v>
      </c>
      <c r="B5468" s="2" t="str">
        <f>IFERROR(__xludf.DUMMYFUNCTION("""COMPUTED_VALUE"""),"Law")</f>
        <v>Law</v>
      </c>
      <c r="C5468" s="2" t="str">
        <f>IFERROR(__xludf.DUMMYFUNCTION("""COMPUTED_VALUE"""),"Art History")</f>
        <v>Art History</v>
      </c>
      <c r="D5468" s="2" t="str">
        <f>IFERROR(__xludf.DUMMYFUNCTION("""COMPUTED_VALUE"""),"Irongate Publishing House")</f>
        <v>Irongate Publishing House</v>
      </c>
      <c r="E5468" s="2">
        <f>IFERROR(__xludf.DUMMYFUNCTION("""COMPUTED_VALUE"""),1.67)</f>
        <v>1.67</v>
      </c>
      <c r="F5468" s="2"/>
      <c r="G5468" s="2"/>
      <c r="H5468" s="2"/>
      <c r="I5468" s="2"/>
    </row>
    <row r="5469">
      <c r="A5469" s="2">
        <f>IFERROR(__xludf.DUMMYFUNCTION("""COMPUTED_VALUE"""),117672.0)</f>
        <v>117672</v>
      </c>
      <c r="B5469" s="2" t="str">
        <f>IFERROR(__xludf.DUMMYFUNCTION("""COMPUTED_VALUE"""),"Law")</f>
        <v>Law</v>
      </c>
      <c r="C5469" s="2" t="str">
        <f>IFERROR(__xludf.DUMMYFUNCTION("""COMPUTED_VALUE"""),"Art History")</f>
        <v>Art History</v>
      </c>
      <c r="D5469" s="2" t="str">
        <f>IFERROR(__xludf.DUMMYFUNCTION("""COMPUTED_VALUE"""),"Irongate Publishing House")</f>
        <v>Irongate Publishing House</v>
      </c>
      <c r="E5469" s="2">
        <f>IFERROR(__xludf.DUMMYFUNCTION("""COMPUTED_VALUE"""),1.84)</f>
        <v>1.84</v>
      </c>
      <c r="F5469" s="2"/>
      <c r="G5469" s="2"/>
      <c r="H5469" s="2"/>
      <c r="I5469" s="2"/>
    </row>
    <row r="5470">
      <c r="A5470" s="2">
        <f>IFERROR(__xludf.DUMMYFUNCTION("""COMPUTED_VALUE"""),73968.0)</f>
        <v>73968</v>
      </c>
      <c r="B5470" s="2" t="str">
        <f>IFERROR(__xludf.DUMMYFUNCTION("""COMPUTED_VALUE"""),"Law")</f>
        <v>Law</v>
      </c>
      <c r="C5470" s="2" t="str">
        <f>IFERROR(__xludf.DUMMYFUNCTION("""COMPUTED_VALUE"""),"Art History")</f>
        <v>Art History</v>
      </c>
      <c r="D5470" s="2" t="str">
        <f>IFERROR(__xludf.DUMMYFUNCTION("""COMPUTED_VALUE"""),"Irongate Publishing House")</f>
        <v>Irongate Publishing House</v>
      </c>
      <c r="E5470" s="2">
        <f>IFERROR(__xludf.DUMMYFUNCTION("""COMPUTED_VALUE"""),2.35)</f>
        <v>2.35</v>
      </c>
      <c r="F5470" s="2"/>
      <c r="G5470" s="2"/>
      <c r="H5470" s="2"/>
      <c r="I5470" s="2"/>
    </row>
    <row r="5471">
      <c r="A5471" s="2">
        <f>IFERROR(__xludf.DUMMYFUNCTION("""COMPUTED_VALUE"""),73967.0)</f>
        <v>73967</v>
      </c>
      <c r="B5471" s="2" t="str">
        <f>IFERROR(__xludf.DUMMYFUNCTION("""COMPUTED_VALUE"""),"Law")</f>
        <v>Law</v>
      </c>
      <c r="C5471" s="2" t="str">
        <f>IFERROR(__xludf.DUMMYFUNCTION("""COMPUTED_VALUE"""),"Art History")</f>
        <v>Art History</v>
      </c>
      <c r="D5471" s="2" t="str">
        <f>IFERROR(__xludf.DUMMYFUNCTION("""COMPUTED_VALUE"""),"Irongate Publishing House")</f>
        <v>Irongate Publishing House</v>
      </c>
      <c r="E5471" s="2">
        <f>IFERROR(__xludf.DUMMYFUNCTION("""COMPUTED_VALUE"""),2.16)</f>
        <v>2.16</v>
      </c>
      <c r="F5471" s="2"/>
      <c r="G5471" s="2"/>
      <c r="H5471" s="2"/>
      <c r="I5471" s="2"/>
    </row>
    <row r="5472">
      <c r="A5472" s="2">
        <f>IFERROR(__xludf.DUMMYFUNCTION("""COMPUTED_VALUE"""),159209.0)</f>
        <v>159209</v>
      </c>
      <c r="B5472" s="2" t="str">
        <f>IFERROR(__xludf.DUMMYFUNCTION("""COMPUTED_VALUE"""),"Law")</f>
        <v>Law</v>
      </c>
      <c r="C5472" s="2" t="str">
        <f>IFERROR(__xludf.DUMMYFUNCTION("""COMPUTED_VALUE"""),"Art History")</f>
        <v>Art History</v>
      </c>
      <c r="D5472" s="2" t="str">
        <f>IFERROR(__xludf.DUMMYFUNCTION("""COMPUTED_VALUE"""),"Irongate Publishing House")</f>
        <v>Irongate Publishing House</v>
      </c>
      <c r="E5472" s="2">
        <f>IFERROR(__xludf.DUMMYFUNCTION("""COMPUTED_VALUE"""),1.09)</f>
        <v>1.09</v>
      </c>
      <c r="F5472" s="2"/>
      <c r="G5472" s="2"/>
      <c r="H5472" s="2"/>
      <c r="I5472" s="2"/>
    </row>
    <row r="5473">
      <c r="A5473" s="2">
        <f>IFERROR(__xludf.DUMMYFUNCTION("""COMPUTED_VALUE"""),90675.0)</f>
        <v>90675</v>
      </c>
      <c r="B5473" s="2" t="str">
        <f>IFERROR(__xludf.DUMMYFUNCTION("""COMPUTED_VALUE"""),"Law")</f>
        <v>Law</v>
      </c>
      <c r="C5473" s="2" t="str">
        <f>IFERROR(__xludf.DUMMYFUNCTION("""COMPUTED_VALUE"""),"Art History")</f>
        <v>Art History</v>
      </c>
      <c r="D5473" s="2" t="str">
        <f>IFERROR(__xludf.DUMMYFUNCTION("""COMPUTED_VALUE"""),"Irongate Publishing House")</f>
        <v>Irongate Publishing House</v>
      </c>
      <c r="E5473" s="2">
        <f>IFERROR(__xludf.DUMMYFUNCTION("""COMPUTED_VALUE"""),1.75)</f>
        <v>1.75</v>
      </c>
      <c r="F5473" s="2"/>
      <c r="G5473" s="2"/>
      <c r="H5473" s="2"/>
      <c r="I5473" s="2"/>
    </row>
    <row r="5474">
      <c r="A5474" s="2">
        <f>IFERROR(__xludf.DUMMYFUNCTION("""COMPUTED_VALUE"""),117671.0)</f>
        <v>117671</v>
      </c>
      <c r="B5474" s="2" t="str">
        <f>IFERROR(__xludf.DUMMYFUNCTION("""COMPUTED_VALUE"""),"Law")</f>
        <v>Law</v>
      </c>
      <c r="C5474" s="2" t="str">
        <f>IFERROR(__xludf.DUMMYFUNCTION("""COMPUTED_VALUE"""),"Art History")</f>
        <v>Art History</v>
      </c>
      <c r="D5474" s="2" t="str">
        <f>IFERROR(__xludf.DUMMYFUNCTION("""COMPUTED_VALUE"""),"Irongate Publishing House")</f>
        <v>Irongate Publishing House</v>
      </c>
      <c r="E5474" s="2">
        <f>IFERROR(__xludf.DUMMYFUNCTION("""COMPUTED_VALUE"""),1.83)</f>
        <v>1.83</v>
      </c>
      <c r="F5474" s="2"/>
      <c r="G5474" s="2"/>
      <c r="H5474" s="2"/>
      <c r="I5474" s="2"/>
    </row>
    <row r="5475">
      <c r="A5475" s="2">
        <f>IFERROR(__xludf.DUMMYFUNCTION("""COMPUTED_VALUE"""),100015.0)</f>
        <v>100015</v>
      </c>
      <c r="B5475" s="2" t="str">
        <f>IFERROR(__xludf.DUMMYFUNCTION("""COMPUTED_VALUE"""),"Law")</f>
        <v>Law</v>
      </c>
      <c r="C5475" s="2" t="str">
        <f>IFERROR(__xludf.DUMMYFUNCTION("""COMPUTED_VALUE"""),"Art History")</f>
        <v>Art History</v>
      </c>
      <c r="D5475" s="2" t="str">
        <f>IFERROR(__xludf.DUMMYFUNCTION("""COMPUTED_VALUE"""),"Irongate Publishing House")</f>
        <v>Irongate Publishing House</v>
      </c>
      <c r="E5475" s="2">
        <f>IFERROR(__xludf.DUMMYFUNCTION("""COMPUTED_VALUE"""),2.46)</f>
        <v>2.46</v>
      </c>
      <c r="F5475" s="2"/>
      <c r="G5475" s="2"/>
      <c r="H5475" s="2"/>
      <c r="I5475" s="2"/>
    </row>
    <row r="5476">
      <c r="A5476" s="2">
        <f>IFERROR(__xludf.DUMMYFUNCTION("""COMPUTED_VALUE"""),90680.0)</f>
        <v>90680</v>
      </c>
      <c r="B5476" s="2" t="str">
        <f>IFERROR(__xludf.DUMMYFUNCTION("""COMPUTED_VALUE"""),"Law")</f>
        <v>Law</v>
      </c>
      <c r="C5476" s="2" t="str">
        <f>IFERROR(__xludf.DUMMYFUNCTION("""COMPUTED_VALUE"""),"Art History")</f>
        <v>Art History</v>
      </c>
      <c r="D5476" s="2" t="str">
        <f>IFERROR(__xludf.DUMMYFUNCTION("""COMPUTED_VALUE"""),"Irongate Publishing House")</f>
        <v>Irongate Publishing House</v>
      </c>
      <c r="E5476" s="2">
        <f>IFERROR(__xludf.DUMMYFUNCTION("""COMPUTED_VALUE"""),2.07)</f>
        <v>2.07</v>
      </c>
      <c r="F5476" s="2"/>
      <c r="G5476" s="2"/>
      <c r="H5476" s="2"/>
      <c r="I5476" s="2"/>
    </row>
    <row r="5477">
      <c r="A5477" s="2">
        <f>IFERROR(__xludf.DUMMYFUNCTION("""COMPUTED_VALUE"""),88351.0)</f>
        <v>88351</v>
      </c>
      <c r="B5477" s="2" t="str">
        <f>IFERROR(__xludf.DUMMYFUNCTION("""COMPUTED_VALUE"""),"Law")</f>
        <v>Law</v>
      </c>
      <c r="C5477" s="2" t="str">
        <f>IFERROR(__xludf.DUMMYFUNCTION("""COMPUTED_VALUE"""),"Art History")</f>
        <v>Art History</v>
      </c>
      <c r="D5477" s="2" t="str">
        <f>IFERROR(__xludf.DUMMYFUNCTION("""COMPUTED_VALUE"""),"Irongate Publishing House")</f>
        <v>Irongate Publishing House</v>
      </c>
      <c r="E5477" s="2">
        <f>IFERROR(__xludf.DUMMYFUNCTION("""COMPUTED_VALUE"""),2.17)</f>
        <v>2.17</v>
      </c>
      <c r="F5477" s="2"/>
      <c r="G5477" s="2"/>
      <c r="H5477" s="2"/>
      <c r="I5477" s="2"/>
    </row>
    <row r="5478">
      <c r="A5478" s="2">
        <f>IFERROR(__xludf.DUMMYFUNCTION("""COMPUTED_VALUE"""),108475.0)</f>
        <v>108475</v>
      </c>
      <c r="B5478" s="2" t="str">
        <f>IFERROR(__xludf.DUMMYFUNCTION("""COMPUTED_VALUE"""),"Law")</f>
        <v>Law</v>
      </c>
      <c r="C5478" s="2" t="str">
        <f>IFERROR(__xludf.DUMMYFUNCTION("""COMPUTED_VALUE"""),"Art History")</f>
        <v>Art History</v>
      </c>
      <c r="D5478" s="2" t="str">
        <f>IFERROR(__xludf.DUMMYFUNCTION("""COMPUTED_VALUE"""),"Irongate Publishing House")</f>
        <v>Irongate Publishing House</v>
      </c>
      <c r="E5478" s="2">
        <f>IFERROR(__xludf.DUMMYFUNCTION("""COMPUTED_VALUE"""),1.98)</f>
        <v>1.98</v>
      </c>
      <c r="F5478" s="2"/>
      <c r="G5478" s="2"/>
      <c r="H5478" s="2"/>
      <c r="I5478" s="2"/>
    </row>
    <row r="5479">
      <c r="A5479" s="2">
        <f>IFERROR(__xludf.DUMMYFUNCTION("""COMPUTED_VALUE"""),90676.0)</f>
        <v>90676</v>
      </c>
      <c r="B5479" s="2" t="str">
        <f>IFERROR(__xludf.DUMMYFUNCTION("""COMPUTED_VALUE"""),"Law")</f>
        <v>Law</v>
      </c>
      <c r="C5479" s="2" t="str">
        <f>IFERROR(__xludf.DUMMYFUNCTION("""COMPUTED_VALUE"""),"Art History")</f>
        <v>Art History</v>
      </c>
      <c r="D5479" s="2" t="str">
        <f>IFERROR(__xludf.DUMMYFUNCTION("""COMPUTED_VALUE"""),"Irongate Publishing House")</f>
        <v>Irongate Publishing House</v>
      </c>
      <c r="E5479" s="2">
        <f>IFERROR(__xludf.DUMMYFUNCTION("""COMPUTED_VALUE"""),2.13)</f>
        <v>2.13</v>
      </c>
      <c r="F5479" s="2"/>
      <c r="G5479" s="2"/>
      <c r="H5479" s="2"/>
      <c r="I5479" s="2"/>
    </row>
    <row r="5480">
      <c r="A5480" s="2">
        <f>IFERROR(__xludf.DUMMYFUNCTION("""COMPUTED_VALUE"""),43118.0)</f>
        <v>43118</v>
      </c>
      <c r="B5480" s="2" t="str">
        <f>IFERROR(__xludf.DUMMYFUNCTION("""COMPUTED_VALUE"""),"Medical")</f>
        <v>Medical</v>
      </c>
      <c r="C5480" s="2" t="str">
        <f>IFERROR(__xludf.DUMMYFUNCTION("""COMPUTED_VALUE"""),"Architecture")</f>
        <v>Architecture</v>
      </c>
      <c r="D5480" s="2" t="str">
        <f>IFERROR(__xludf.DUMMYFUNCTION("""COMPUTED_VALUE"""),"Silverwind Publishing House")</f>
        <v>Silverwind Publishing House</v>
      </c>
      <c r="E5480" s="2">
        <f>IFERROR(__xludf.DUMMYFUNCTION("""COMPUTED_VALUE"""),0.97)</f>
        <v>0.97</v>
      </c>
      <c r="F5480" s="2"/>
      <c r="G5480" s="2"/>
      <c r="H5480" s="2"/>
      <c r="I5480" s="2"/>
    </row>
    <row r="5481">
      <c r="A5481" s="2">
        <f>IFERROR(__xludf.DUMMYFUNCTION("""COMPUTED_VALUE"""),112472.0)</f>
        <v>112472</v>
      </c>
      <c r="B5481" s="2" t="str">
        <f>IFERROR(__xludf.DUMMYFUNCTION("""COMPUTED_VALUE"""),"Medical")</f>
        <v>Medical</v>
      </c>
      <c r="C5481" s="2" t="str">
        <f>IFERROR(__xludf.DUMMYFUNCTION("""COMPUTED_VALUE"""),"Architecture")</f>
        <v>Architecture</v>
      </c>
      <c r="D5481" s="2" t="str">
        <f>IFERROR(__xludf.DUMMYFUNCTION("""COMPUTED_VALUE"""),"Silverwind Publishing House")</f>
        <v>Silverwind Publishing House</v>
      </c>
      <c r="E5481" s="2">
        <f>IFERROR(__xludf.DUMMYFUNCTION("""COMPUTED_VALUE"""),0.94)</f>
        <v>0.94</v>
      </c>
      <c r="F5481" s="2"/>
      <c r="G5481" s="2"/>
      <c r="H5481" s="2"/>
      <c r="I5481" s="2"/>
    </row>
    <row r="5482">
      <c r="A5482" s="2">
        <f>IFERROR(__xludf.DUMMYFUNCTION("""COMPUTED_VALUE"""),108083.0)</f>
        <v>108083</v>
      </c>
      <c r="B5482" s="2" t="str">
        <f>IFERROR(__xludf.DUMMYFUNCTION("""COMPUTED_VALUE"""),"Medical")</f>
        <v>Medical</v>
      </c>
      <c r="C5482" s="2" t="str">
        <f>IFERROR(__xludf.DUMMYFUNCTION("""COMPUTED_VALUE"""),"Architecture")</f>
        <v>Architecture</v>
      </c>
      <c r="D5482" s="2" t="str">
        <f>IFERROR(__xludf.DUMMYFUNCTION("""COMPUTED_VALUE"""),"Northwind Publishing House")</f>
        <v>Northwind Publishing House</v>
      </c>
      <c r="E5482" s="2">
        <f>IFERROR(__xludf.DUMMYFUNCTION("""COMPUTED_VALUE"""),1.58)</f>
        <v>1.58</v>
      </c>
      <c r="F5482" s="2"/>
      <c r="G5482" s="2"/>
      <c r="H5482" s="2"/>
      <c r="I5482" s="2"/>
    </row>
    <row r="5483">
      <c r="A5483" s="2">
        <f>IFERROR(__xludf.DUMMYFUNCTION("""COMPUTED_VALUE"""),133907.0)</f>
        <v>133907</v>
      </c>
      <c r="B5483" s="2" t="str">
        <f>IFERROR(__xludf.DUMMYFUNCTION("""COMPUTED_VALUE"""),"Medical")</f>
        <v>Medical</v>
      </c>
      <c r="C5483" s="2" t="str">
        <f>IFERROR(__xludf.DUMMYFUNCTION("""COMPUTED_VALUE"""),"Architecture")</f>
        <v>Architecture</v>
      </c>
      <c r="D5483" s="2" t="str">
        <f>IFERROR(__xludf.DUMMYFUNCTION("""COMPUTED_VALUE"""),"Northwind Publishing House")</f>
        <v>Northwind Publishing House</v>
      </c>
      <c r="E5483" s="2">
        <f>IFERROR(__xludf.DUMMYFUNCTION("""COMPUTED_VALUE"""),2.08)</f>
        <v>2.08</v>
      </c>
      <c r="F5483" s="2"/>
      <c r="G5483" s="2"/>
      <c r="H5483" s="2"/>
      <c r="I5483" s="2"/>
    </row>
    <row r="5484">
      <c r="A5484" s="2">
        <f>IFERROR(__xludf.DUMMYFUNCTION("""COMPUTED_VALUE"""),45176.0)</f>
        <v>45176</v>
      </c>
      <c r="B5484" s="2" t="str">
        <f>IFERROR(__xludf.DUMMYFUNCTION("""COMPUTED_VALUE"""),"Medical")</f>
        <v>Medical</v>
      </c>
      <c r="C5484" s="2" t="str">
        <f>IFERROR(__xludf.DUMMYFUNCTION("""COMPUTED_VALUE"""),"Architecture")</f>
        <v>Architecture</v>
      </c>
      <c r="D5484" s="2" t="str">
        <f>IFERROR(__xludf.DUMMYFUNCTION("""COMPUTED_VALUE"""),"Northwind Publishing House")</f>
        <v>Northwind Publishing House</v>
      </c>
      <c r="E5484" s="2">
        <f>IFERROR(__xludf.DUMMYFUNCTION("""COMPUTED_VALUE"""),0.81)</f>
        <v>0.81</v>
      </c>
      <c r="F5484" s="2"/>
      <c r="G5484" s="2"/>
      <c r="H5484" s="2"/>
      <c r="I5484" s="2"/>
    </row>
    <row r="5485">
      <c r="A5485" s="2">
        <f>IFERROR(__xludf.DUMMYFUNCTION("""COMPUTED_VALUE"""),5480.0)</f>
        <v>5480</v>
      </c>
      <c r="B5485" s="2" t="str">
        <f>IFERROR(__xludf.DUMMYFUNCTION("""COMPUTED_VALUE"""),"Medical")</f>
        <v>Medical</v>
      </c>
      <c r="C5485" s="2" t="str">
        <f>IFERROR(__xludf.DUMMYFUNCTION("""COMPUTED_VALUE"""),"Architecture")</f>
        <v>Architecture</v>
      </c>
      <c r="D5485" s="2" t="str">
        <f>IFERROR(__xludf.DUMMYFUNCTION("""COMPUTED_VALUE"""),"Northwind Publishing House")</f>
        <v>Northwind Publishing House</v>
      </c>
      <c r="E5485" s="2">
        <f>IFERROR(__xludf.DUMMYFUNCTION("""COMPUTED_VALUE"""),1.77)</f>
        <v>1.77</v>
      </c>
      <c r="F5485" s="2"/>
      <c r="G5485" s="2"/>
      <c r="H5485" s="2"/>
      <c r="I5485" s="2"/>
    </row>
    <row r="5486">
      <c r="A5486" s="2">
        <f>IFERROR(__xludf.DUMMYFUNCTION("""COMPUTED_VALUE"""),119086.0)</f>
        <v>119086</v>
      </c>
      <c r="B5486" s="2" t="str">
        <f>IFERROR(__xludf.DUMMYFUNCTION("""COMPUTED_VALUE"""),"Medical")</f>
        <v>Medical</v>
      </c>
      <c r="C5486" s="2" t="str">
        <f>IFERROR(__xludf.DUMMYFUNCTION("""COMPUTED_VALUE"""),"Architecture")</f>
        <v>Architecture</v>
      </c>
      <c r="D5486" s="2" t="str">
        <f>IFERROR(__xludf.DUMMYFUNCTION("""COMPUTED_VALUE"""),"Northwind Publishing House")</f>
        <v>Northwind Publishing House</v>
      </c>
      <c r="E5486" s="2">
        <f>IFERROR(__xludf.DUMMYFUNCTION("""COMPUTED_VALUE"""),1.61)</f>
        <v>1.61</v>
      </c>
      <c r="F5486" s="2"/>
      <c r="G5486" s="2"/>
      <c r="H5486" s="2"/>
      <c r="I5486" s="2"/>
    </row>
    <row r="5487">
      <c r="A5487" s="2">
        <f>IFERROR(__xludf.DUMMYFUNCTION("""COMPUTED_VALUE"""),108084.0)</f>
        <v>108084</v>
      </c>
      <c r="B5487" s="2" t="str">
        <f>IFERROR(__xludf.DUMMYFUNCTION("""COMPUTED_VALUE"""),"Medical")</f>
        <v>Medical</v>
      </c>
      <c r="C5487" s="2" t="str">
        <f>IFERROR(__xludf.DUMMYFUNCTION("""COMPUTED_VALUE"""),"Architecture")</f>
        <v>Architecture</v>
      </c>
      <c r="D5487" s="2" t="str">
        <f>IFERROR(__xludf.DUMMYFUNCTION("""COMPUTED_VALUE"""),"Northwind Publishing House")</f>
        <v>Northwind Publishing House</v>
      </c>
      <c r="E5487" s="2">
        <f>IFERROR(__xludf.DUMMYFUNCTION("""COMPUTED_VALUE"""),0.89)</f>
        <v>0.89</v>
      </c>
      <c r="F5487" s="2"/>
      <c r="G5487" s="2"/>
      <c r="H5487" s="2"/>
      <c r="I5487" s="2"/>
    </row>
    <row r="5488">
      <c r="A5488" s="2">
        <f>IFERROR(__xludf.DUMMYFUNCTION("""COMPUTED_VALUE"""),45192.0)</f>
        <v>45192</v>
      </c>
      <c r="B5488" s="2" t="str">
        <f>IFERROR(__xludf.DUMMYFUNCTION("""COMPUTED_VALUE"""),"Medical")</f>
        <v>Medical</v>
      </c>
      <c r="C5488" s="2" t="str">
        <f>IFERROR(__xludf.DUMMYFUNCTION("""COMPUTED_VALUE"""),"Architecture")</f>
        <v>Architecture</v>
      </c>
      <c r="D5488" s="2" t="str">
        <f>IFERROR(__xludf.DUMMYFUNCTION("""COMPUTED_VALUE"""),"Northwind Publishing House")</f>
        <v>Northwind Publishing House</v>
      </c>
      <c r="E5488" s="2">
        <f>IFERROR(__xludf.DUMMYFUNCTION("""COMPUTED_VALUE"""),0.75)</f>
        <v>0.75</v>
      </c>
      <c r="F5488" s="2"/>
      <c r="G5488" s="2"/>
      <c r="H5488" s="2"/>
      <c r="I5488" s="2"/>
    </row>
    <row r="5489">
      <c r="A5489" s="2">
        <f>IFERROR(__xludf.DUMMYFUNCTION("""COMPUTED_VALUE"""),26320.0)</f>
        <v>26320</v>
      </c>
      <c r="B5489" s="2" t="str">
        <f>IFERROR(__xludf.DUMMYFUNCTION("""COMPUTED_VALUE"""),"Medical")</f>
        <v>Medical</v>
      </c>
      <c r="C5489" s="2" t="str">
        <f>IFERROR(__xludf.DUMMYFUNCTION("""COMPUTED_VALUE"""),"Architecture")</f>
        <v>Architecture</v>
      </c>
      <c r="D5489" s="2" t="str">
        <f>IFERROR(__xludf.DUMMYFUNCTION("""COMPUTED_VALUE"""),"Northwind Publishing House")</f>
        <v>Northwind Publishing House</v>
      </c>
      <c r="E5489" s="2">
        <f>IFERROR(__xludf.DUMMYFUNCTION("""COMPUTED_VALUE"""),2.69)</f>
        <v>2.69</v>
      </c>
      <c r="F5489" s="2"/>
      <c r="G5489" s="2"/>
      <c r="H5489" s="2"/>
      <c r="I5489" s="2"/>
    </row>
    <row r="5490">
      <c r="A5490" s="2">
        <f>IFERROR(__xludf.DUMMYFUNCTION("""COMPUTED_VALUE"""),133910.0)</f>
        <v>133910</v>
      </c>
      <c r="B5490" s="2" t="str">
        <f>IFERROR(__xludf.DUMMYFUNCTION("""COMPUTED_VALUE"""),"Medical")</f>
        <v>Medical</v>
      </c>
      <c r="C5490" s="2" t="str">
        <f>IFERROR(__xludf.DUMMYFUNCTION("""COMPUTED_VALUE"""),"Architecture")</f>
        <v>Architecture</v>
      </c>
      <c r="D5490" s="2" t="str">
        <f>IFERROR(__xludf.DUMMYFUNCTION("""COMPUTED_VALUE"""),"Northwind Publishing House")</f>
        <v>Northwind Publishing House</v>
      </c>
      <c r="E5490" s="2">
        <f>IFERROR(__xludf.DUMMYFUNCTION("""COMPUTED_VALUE"""),2.35)</f>
        <v>2.35</v>
      </c>
      <c r="F5490" s="2"/>
      <c r="G5490" s="2"/>
      <c r="H5490" s="2"/>
      <c r="I5490" s="2"/>
    </row>
    <row r="5491">
      <c r="A5491" s="2">
        <f>IFERROR(__xludf.DUMMYFUNCTION("""COMPUTED_VALUE"""),133908.0)</f>
        <v>133908</v>
      </c>
      <c r="B5491" s="2" t="str">
        <f>IFERROR(__xludf.DUMMYFUNCTION("""COMPUTED_VALUE"""),"Medical")</f>
        <v>Medical</v>
      </c>
      <c r="C5491" s="2" t="str">
        <f>IFERROR(__xludf.DUMMYFUNCTION("""COMPUTED_VALUE"""),"Architecture")</f>
        <v>Architecture</v>
      </c>
      <c r="D5491" s="2" t="str">
        <f>IFERROR(__xludf.DUMMYFUNCTION("""COMPUTED_VALUE"""),"Northwind Publishing House")</f>
        <v>Northwind Publishing House</v>
      </c>
      <c r="E5491" s="2">
        <f>IFERROR(__xludf.DUMMYFUNCTION("""COMPUTED_VALUE"""),2.5)</f>
        <v>2.5</v>
      </c>
      <c r="F5491" s="2"/>
      <c r="G5491" s="2"/>
      <c r="H5491" s="2"/>
      <c r="I5491" s="2"/>
    </row>
    <row r="5492">
      <c r="A5492" s="2">
        <f>IFERROR(__xludf.DUMMYFUNCTION("""COMPUTED_VALUE"""),9646.0)</f>
        <v>9646</v>
      </c>
      <c r="B5492" s="2" t="str">
        <f>IFERROR(__xludf.DUMMYFUNCTION("""COMPUTED_VALUE"""),"Medical")</f>
        <v>Medical</v>
      </c>
      <c r="C5492" s="2" t="str">
        <f>IFERROR(__xludf.DUMMYFUNCTION("""COMPUTED_VALUE"""),"Architecture")</f>
        <v>Architecture</v>
      </c>
      <c r="D5492" s="2" t="str">
        <f>IFERROR(__xludf.DUMMYFUNCTION("""COMPUTED_VALUE"""),"Northwind Publishing House")</f>
        <v>Northwind Publishing House</v>
      </c>
      <c r="E5492" s="2">
        <f>IFERROR(__xludf.DUMMYFUNCTION("""COMPUTED_VALUE"""),1.29)</f>
        <v>1.29</v>
      </c>
      <c r="F5492" s="2"/>
      <c r="G5492" s="2"/>
      <c r="H5492" s="2"/>
      <c r="I5492" s="2"/>
    </row>
    <row r="5493">
      <c r="A5493" s="2">
        <f>IFERROR(__xludf.DUMMYFUNCTION("""COMPUTED_VALUE"""),108091.0)</f>
        <v>108091</v>
      </c>
      <c r="B5493" s="2" t="str">
        <f>IFERROR(__xludf.DUMMYFUNCTION("""COMPUTED_VALUE"""),"Medical")</f>
        <v>Medical</v>
      </c>
      <c r="C5493" s="2" t="str">
        <f>IFERROR(__xludf.DUMMYFUNCTION("""COMPUTED_VALUE"""),"Architecture")</f>
        <v>Architecture</v>
      </c>
      <c r="D5493" s="2" t="str">
        <f>IFERROR(__xludf.DUMMYFUNCTION("""COMPUTED_VALUE"""),"Northwind Publishing House")</f>
        <v>Northwind Publishing House</v>
      </c>
      <c r="E5493" s="2">
        <f>IFERROR(__xludf.DUMMYFUNCTION("""COMPUTED_VALUE"""),0.79)</f>
        <v>0.79</v>
      </c>
      <c r="F5493" s="2"/>
      <c r="G5493" s="2"/>
      <c r="H5493" s="2"/>
      <c r="I5493" s="2"/>
    </row>
    <row r="5494">
      <c r="A5494" s="2">
        <f>IFERROR(__xludf.DUMMYFUNCTION("""COMPUTED_VALUE"""),108114.0)</f>
        <v>108114</v>
      </c>
      <c r="B5494" s="2" t="str">
        <f>IFERROR(__xludf.DUMMYFUNCTION("""COMPUTED_VALUE"""),"Medical")</f>
        <v>Medical</v>
      </c>
      <c r="C5494" s="2" t="str">
        <f>IFERROR(__xludf.DUMMYFUNCTION("""COMPUTED_VALUE"""),"Architecture")</f>
        <v>Architecture</v>
      </c>
      <c r="D5494" s="2" t="str">
        <f>IFERROR(__xludf.DUMMYFUNCTION("""COMPUTED_VALUE"""),"Northwind Publishing House")</f>
        <v>Northwind Publishing House</v>
      </c>
      <c r="E5494" s="2">
        <f>IFERROR(__xludf.DUMMYFUNCTION("""COMPUTED_VALUE"""),1.37)</f>
        <v>1.37</v>
      </c>
      <c r="F5494" s="2"/>
      <c r="G5494" s="2"/>
      <c r="H5494" s="2"/>
      <c r="I5494" s="2"/>
    </row>
    <row r="5495">
      <c r="A5495" s="2">
        <f>IFERROR(__xludf.DUMMYFUNCTION("""COMPUTED_VALUE"""),9639.0)</f>
        <v>9639</v>
      </c>
      <c r="B5495" s="2" t="str">
        <f>IFERROR(__xludf.DUMMYFUNCTION("""COMPUTED_VALUE"""),"Medical")</f>
        <v>Medical</v>
      </c>
      <c r="C5495" s="2" t="str">
        <f>IFERROR(__xludf.DUMMYFUNCTION("""COMPUTED_VALUE"""),"Architecture")</f>
        <v>Architecture</v>
      </c>
      <c r="D5495" s="2" t="str">
        <f>IFERROR(__xludf.DUMMYFUNCTION("""COMPUTED_VALUE"""),"Northwind Publishing House")</f>
        <v>Northwind Publishing House</v>
      </c>
      <c r="E5495" s="2">
        <f>IFERROR(__xludf.DUMMYFUNCTION("""COMPUTED_VALUE"""),1.44)</f>
        <v>1.44</v>
      </c>
      <c r="F5495" s="2"/>
      <c r="G5495" s="2"/>
      <c r="H5495" s="2"/>
      <c r="I5495" s="2"/>
    </row>
    <row r="5496">
      <c r="A5496" s="2">
        <f>IFERROR(__xludf.DUMMYFUNCTION("""COMPUTED_VALUE"""),108108.0)</f>
        <v>108108</v>
      </c>
      <c r="B5496" s="2" t="str">
        <f>IFERROR(__xludf.DUMMYFUNCTION("""COMPUTED_VALUE"""),"Medical")</f>
        <v>Medical</v>
      </c>
      <c r="C5496" s="2" t="str">
        <f>IFERROR(__xludf.DUMMYFUNCTION("""COMPUTED_VALUE"""),"Architecture")</f>
        <v>Architecture</v>
      </c>
      <c r="D5496" s="2" t="str">
        <f>IFERROR(__xludf.DUMMYFUNCTION("""COMPUTED_VALUE"""),"Northwind Publishing House")</f>
        <v>Northwind Publishing House</v>
      </c>
      <c r="E5496" s="2">
        <f>IFERROR(__xludf.DUMMYFUNCTION("""COMPUTED_VALUE"""),0.96)</f>
        <v>0.96</v>
      </c>
      <c r="F5496" s="2"/>
      <c r="G5496" s="2"/>
      <c r="H5496" s="2"/>
      <c r="I5496" s="2"/>
    </row>
    <row r="5497">
      <c r="A5497" s="2">
        <f>IFERROR(__xludf.DUMMYFUNCTION("""COMPUTED_VALUE"""),108081.0)</f>
        <v>108081</v>
      </c>
      <c r="B5497" s="2" t="str">
        <f>IFERROR(__xludf.DUMMYFUNCTION("""COMPUTED_VALUE"""),"Medical")</f>
        <v>Medical</v>
      </c>
      <c r="C5497" s="2" t="str">
        <f>IFERROR(__xludf.DUMMYFUNCTION("""COMPUTED_VALUE"""),"Architecture")</f>
        <v>Architecture</v>
      </c>
      <c r="D5497" s="2" t="str">
        <f>IFERROR(__xludf.DUMMYFUNCTION("""COMPUTED_VALUE"""),"Northwind Publishing House")</f>
        <v>Northwind Publishing House</v>
      </c>
      <c r="E5497" s="2">
        <f>IFERROR(__xludf.DUMMYFUNCTION("""COMPUTED_VALUE"""),1.53)</f>
        <v>1.53</v>
      </c>
      <c r="F5497" s="2"/>
      <c r="G5497" s="2"/>
      <c r="H5497" s="2"/>
      <c r="I5497" s="2"/>
    </row>
    <row r="5498">
      <c r="A5498" s="2">
        <f>IFERROR(__xludf.DUMMYFUNCTION("""COMPUTED_VALUE"""),4243.0)</f>
        <v>4243</v>
      </c>
      <c r="B5498" s="2" t="str">
        <f>IFERROR(__xludf.DUMMYFUNCTION("""COMPUTED_VALUE"""),"Medical")</f>
        <v>Medical</v>
      </c>
      <c r="C5498" s="2" t="str">
        <f>IFERROR(__xludf.DUMMYFUNCTION("""COMPUTED_VALUE"""),"Architecture")</f>
        <v>Architecture</v>
      </c>
      <c r="D5498" s="2" t="str">
        <f>IFERROR(__xludf.DUMMYFUNCTION("""COMPUTED_VALUE"""),"Northwind Publishing House")</f>
        <v>Northwind Publishing House</v>
      </c>
      <c r="E5498" s="2">
        <f>IFERROR(__xludf.DUMMYFUNCTION("""COMPUTED_VALUE"""),1.84)</f>
        <v>1.84</v>
      </c>
      <c r="F5498" s="2"/>
      <c r="G5498" s="2"/>
      <c r="H5498" s="2"/>
      <c r="I5498" s="2"/>
    </row>
    <row r="5499">
      <c r="A5499" s="2">
        <f>IFERROR(__xludf.DUMMYFUNCTION("""COMPUTED_VALUE"""),108090.0)</f>
        <v>108090</v>
      </c>
      <c r="B5499" s="2" t="str">
        <f>IFERROR(__xludf.DUMMYFUNCTION("""COMPUTED_VALUE"""),"Medical")</f>
        <v>Medical</v>
      </c>
      <c r="C5499" s="2" t="str">
        <f>IFERROR(__xludf.DUMMYFUNCTION("""COMPUTED_VALUE"""),"Architecture")</f>
        <v>Architecture</v>
      </c>
      <c r="D5499" s="2" t="str">
        <f>IFERROR(__xludf.DUMMYFUNCTION("""COMPUTED_VALUE"""),"Northwind Publishing House")</f>
        <v>Northwind Publishing House</v>
      </c>
      <c r="E5499" s="2">
        <f>IFERROR(__xludf.DUMMYFUNCTION("""COMPUTED_VALUE"""),0.75)</f>
        <v>0.75</v>
      </c>
      <c r="F5499" s="2"/>
      <c r="G5499" s="2"/>
      <c r="H5499" s="2"/>
      <c r="I5499" s="2"/>
    </row>
    <row r="5500">
      <c r="A5500" s="2">
        <f>IFERROR(__xludf.DUMMYFUNCTION("""COMPUTED_VALUE"""),133912.0)</f>
        <v>133912</v>
      </c>
      <c r="B5500" s="2" t="str">
        <f>IFERROR(__xludf.DUMMYFUNCTION("""COMPUTED_VALUE"""),"Medical")</f>
        <v>Medical</v>
      </c>
      <c r="C5500" s="2" t="str">
        <f>IFERROR(__xludf.DUMMYFUNCTION("""COMPUTED_VALUE"""),"Architecture")</f>
        <v>Architecture</v>
      </c>
      <c r="D5500" s="2" t="str">
        <f>IFERROR(__xludf.DUMMYFUNCTION("""COMPUTED_VALUE"""),"Northwind Publishing House")</f>
        <v>Northwind Publishing House</v>
      </c>
      <c r="E5500" s="2">
        <f>IFERROR(__xludf.DUMMYFUNCTION("""COMPUTED_VALUE"""),2.3)</f>
        <v>2.3</v>
      </c>
      <c r="F5500" s="2"/>
      <c r="G5500" s="2"/>
      <c r="H5500" s="2"/>
      <c r="I5500" s="2"/>
    </row>
    <row r="5501">
      <c r="A5501" s="2">
        <f>IFERROR(__xludf.DUMMYFUNCTION("""COMPUTED_VALUE"""),108087.0)</f>
        <v>108087</v>
      </c>
      <c r="B5501" s="2" t="str">
        <f>IFERROR(__xludf.DUMMYFUNCTION("""COMPUTED_VALUE"""),"Medical")</f>
        <v>Medical</v>
      </c>
      <c r="C5501" s="2" t="str">
        <f>IFERROR(__xludf.DUMMYFUNCTION("""COMPUTED_VALUE"""),"Architecture")</f>
        <v>Architecture</v>
      </c>
      <c r="D5501" s="2" t="str">
        <f>IFERROR(__xludf.DUMMYFUNCTION("""COMPUTED_VALUE"""),"Northwind Publishing House")</f>
        <v>Northwind Publishing House</v>
      </c>
      <c r="E5501" s="2">
        <f>IFERROR(__xludf.DUMMYFUNCTION("""COMPUTED_VALUE"""),0.87)</f>
        <v>0.87</v>
      </c>
      <c r="F5501" s="2"/>
      <c r="G5501" s="2"/>
      <c r="H5501" s="2"/>
      <c r="I5501" s="2"/>
    </row>
    <row r="5502">
      <c r="A5502" s="2">
        <f>IFERROR(__xludf.DUMMYFUNCTION("""COMPUTED_VALUE"""),78866.0)</f>
        <v>78866</v>
      </c>
      <c r="B5502" s="2" t="str">
        <f>IFERROR(__xludf.DUMMYFUNCTION("""COMPUTED_VALUE"""),"Medical")</f>
        <v>Medical</v>
      </c>
      <c r="C5502" s="2" t="str">
        <f>IFERROR(__xludf.DUMMYFUNCTION("""COMPUTED_VALUE"""),"Architecture")</f>
        <v>Architecture</v>
      </c>
      <c r="D5502" s="2" t="str">
        <f>IFERROR(__xludf.DUMMYFUNCTION("""COMPUTED_VALUE"""),"Northwind Publishing House")</f>
        <v>Northwind Publishing House</v>
      </c>
      <c r="E5502" s="2">
        <f>IFERROR(__xludf.DUMMYFUNCTION("""COMPUTED_VALUE"""),1.53)</f>
        <v>1.53</v>
      </c>
      <c r="F5502" s="2"/>
      <c r="G5502" s="2"/>
      <c r="H5502" s="2"/>
      <c r="I5502" s="2"/>
    </row>
    <row r="5503">
      <c r="A5503" s="2">
        <f>IFERROR(__xludf.DUMMYFUNCTION("""COMPUTED_VALUE"""),70415.0)</f>
        <v>70415</v>
      </c>
      <c r="B5503" s="2" t="str">
        <f>IFERROR(__xludf.DUMMYFUNCTION("""COMPUTED_VALUE"""),"Medical")</f>
        <v>Medical</v>
      </c>
      <c r="C5503" s="2" t="str">
        <f>IFERROR(__xludf.DUMMYFUNCTION("""COMPUTED_VALUE"""),"Architecture")</f>
        <v>Architecture</v>
      </c>
      <c r="D5503" s="2" t="str">
        <f>IFERROR(__xludf.DUMMYFUNCTION("""COMPUTED_VALUE"""),"Northwind Publishing House")</f>
        <v>Northwind Publishing House</v>
      </c>
      <c r="E5503" s="2">
        <f>IFERROR(__xludf.DUMMYFUNCTION("""COMPUTED_VALUE"""),1.57)</f>
        <v>1.57</v>
      </c>
      <c r="F5503" s="2"/>
      <c r="G5503" s="2"/>
      <c r="H5503" s="2"/>
      <c r="I5503" s="2"/>
    </row>
    <row r="5504">
      <c r="A5504" s="2">
        <f>IFERROR(__xludf.DUMMYFUNCTION("""COMPUTED_VALUE"""),9644.0)</f>
        <v>9644</v>
      </c>
      <c r="B5504" s="2" t="str">
        <f>IFERROR(__xludf.DUMMYFUNCTION("""COMPUTED_VALUE"""),"Medical")</f>
        <v>Medical</v>
      </c>
      <c r="C5504" s="2" t="str">
        <f>IFERROR(__xludf.DUMMYFUNCTION("""COMPUTED_VALUE"""),"Architecture")</f>
        <v>Architecture</v>
      </c>
      <c r="D5504" s="2" t="str">
        <f>IFERROR(__xludf.DUMMYFUNCTION("""COMPUTED_VALUE"""),"Northwind Publishing House")</f>
        <v>Northwind Publishing House</v>
      </c>
      <c r="E5504" s="2">
        <f>IFERROR(__xludf.DUMMYFUNCTION("""COMPUTED_VALUE"""),1.25)</f>
        <v>1.25</v>
      </c>
      <c r="F5504" s="2"/>
      <c r="G5504" s="2"/>
      <c r="H5504" s="2"/>
      <c r="I5504" s="2"/>
    </row>
    <row r="5505">
      <c r="A5505" s="2">
        <f>IFERROR(__xludf.DUMMYFUNCTION("""COMPUTED_VALUE"""),4247.0)</f>
        <v>4247</v>
      </c>
      <c r="B5505" s="2" t="str">
        <f>IFERROR(__xludf.DUMMYFUNCTION("""COMPUTED_VALUE"""),"Medical")</f>
        <v>Medical</v>
      </c>
      <c r="C5505" s="2" t="str">
        <f>IFERROR(__xludf.DUMMYFUNCTION("""COMPUTED_VALUE"""),"Architecture")</f>
        <v>Architecture</v>
      </c>
      <c r="D5505" s="2" t="str">
        <f>IFERROR(__xludf.DUMMYFUNCTION("""COMPUTED_VALUE"""),"Northwind Publishing House")</f>
        <v>Northwind Publishing House</v>
      </c>
      <c r="E5505" s="2">
        <f>IFERROR(__xludf.DUMMYFUNCTION("""COMPUTED_VALUE"""),1.83)</f>
        <v>1.83</v>
      </c>
      <c r="F5505" s="2"/>
      <c r="G5505" s="2"/>
      <c r="H5505" s="2"/>
      <c r="I5505" s="2"/>
    </row>
    <row r="5506">
      <c r="A5506" s="2">
        <f>IFERROR(__xludf.DUMMYFUNCTION("""COMPUTED_VALUE"""),119087.0)</f>
        <v>119087</v>
      </c>
      <c r="B5506" s="2" t="str">
        <f>IFERROR(__xludf.DUMMYFUNCTION("""COMPUTED_VALUE"""),"Medical")</f>
        <v>Medical</v>
      </c>
      <c r="C5506" s="2" t="str">
        <f>IFERROR(__xludf.DUMMYFUNCTION("""COMPUTED_VALUE"""),"Architecture")</f>
        <v>Architecture</v>
      </c>
      <c r="D5506" s="2" t="str">
        <f>IFERROR(__xludf.DUMMYFUNCTION("""COMPUTED_VALUE"""),"Northwind Publishing House")</f>
        <v>Northwind Publishing House</v>
      </c>
      <c r="E5506" s="2">
        <f>IFERROR(__xludf.DUMMYFUNCTION("""COMPUTED_VALUE"""),1.7)</f>
        <v>1.7</v>
      </c>
      <c r="F5506" s="2"/>
      <c r="G5506" s="2"/>
      <c r="H5506" s="2"/>
      <c r="I5506" s="2"/>
    </row>
    <row r="5507">
      <c r="A5507" s="2">
        <f>IFERROR(__xludf.DUMMYFUNCTION("""COMPUTED_VALUE"""),9635.0)</f>
        <v>9635</v>
      </c>
      <c r="B5507" s="2" t="str">
        <f>IFERROR(__xludf.DUMMYFUNCTION("""COMPUTED_VALUE"""),"Medical")</f>
        <v>Medical</v>
      </c>
      <c r="C5507" s="2" t="str">
        <f>IFERROR(__xludf.DUMMYFUNCTION("""COMPUTED_VALUE"""),"Architecture")</f>
        <v>Architecture</v>
      </c>
      <c r="D5507" s="2" t="str">
        <f>IFERROR(__xludf.DUMMYFUNCTION("""COMPUTED_VALUE"""),"Northwind Publishing House")</f>
        <v>Northwind Publishing House</v>
      </c>
      <c r="E5507" s="2">
        <f>IFERROR(__xludf.DUMMYFUNCTION("""COMPUTED_VALUE"""),1.42)</f>
        <v>1.42</v>
      </c>
      <c r="F5507" s="2"/>
      <c r="G5507" s="2"/>
      <c r="H5507" s="2"/>
      <c r="I5507" s="2"/>
    </row>
    <row r="5508">
      <c r="A5508" s="2">
        <f>IFERROR(__xludf.DUMMYFUNCTION("""COMPUTED_VALUE"""),108082.0)</f>
        <v>108082</v>
      </c>
      <c r="B5508" s="2" t="str">
        <f>IFERROR(__xludf.DUMMYFUNCTION("""COMPUTED_VALUE"""),"Medical")</f>
        <v>Medical</v>
      </c>
      <c r="C5508" s="2" t="str">
        <f>IFERROR(__xludf.DUMMYFUNCTION("""COMPUTED_VALUE"""),"Architecture")</f>
        <v>Architecture</v>
      </c>
      <c r="D5508" s="2" t="str">
        <f>IFERROR(__xludf.DUMMYFUNCTION("""COMPUTED_VALUE"""),"Northwind Publishing House")</f>
        <v>Northwind Publishing House</v>
      </c>
      <c r="E5508" s="2">
        <f>IFERROR(__xludf.DUMMYFUNCTION("""COMPUTED_VALUE"""),1.14)</f>
        <v>1.14</v>
      </c>
      <c r="F5508" s="2"/>
      <c r="G5508" s="2"/>
      <c r="H5508" s="2"/>
      <c r="I5508" s="2"/>
    </row>
    <row r="5509">
      <c r="A5509" s="2">
        <f>IFERROR(__xludf.DUMMYFUNCTION("""COMPUTED_VALUE"""),9643.0)</f>
        <v>9643</v>
      </c>
      <c r="B5509" s="2" t="str">
        <f>IFERROR(__xludf.DUMMYFUNCTION("""COMPUTED_VALUE"""),"Medical")</f>
        <v>Medical</v>
      </c>
      <c r="C5509" s="2" t="str">
        <f>IFERROR(__xludf.DUMMYFUNCTION("""COMPUTED_VALUE"""),"Architecture")</f>
        <v>Architecture</v>
      </c>
      <c r="D5509" s="2" t="str">
        <f>IFERROR(__xludf.DUMMYFUNCTION("""COMPUTED_VALUE"""),"Northwind Publishing House")</f>
        <v>Northwind Publishing House</v>
      </c>
      <c r="E5509" s="2">
        <f>IFERROR(__xludf.DUMMYFUNCTION("""COMPUTED_VALUE"""),1.25)</f>
        <v>1.25</v>
      </c>
      <c r="F5509" s="2"/>
      <c r="G5509" s="2"/>
      <c r="H5509" s="2"/>
      <c r="I5509" s="2"/>
    </row>
    <row r="5510">
      <c r="A5510" s="2">
        <f>IFERROR(__xludf.DUMMYFUNCTION("""COMPUTED_VALUE"""),117601.0)</f>
        <v>117601</v>
      </c>
      <c r="B5510" s="2" t="str">
        <f>IFERROR(__xludf.DUMMYFUNCTION("""COMPUTED_VALUE"""),"Medical")</f>
        <v>Medical</v>
      </c>
      <c r="C5510" s="2" t="str">
        <f>IFERROR(__xludf.DUMMYFUNCTION("""COMPUTED_VALUE"""),"Architecture")</f>
        <v>Architecture</v>
      </c>
      <c r="D5510" s="2" t="str">
        <f>IFERROR(__xludf.DUMMYFUNCTION("""COMPUTED_VALUE"""),"Northwind Publishing House")</f>
        <v>Northwind Publishing House</v>
      </c>
      <c r="E5510" s="2">
        <f>IFERROR(__xludf.DUMMYFUNCTION("""COMPUTED_VALUE"""),0.85)</f>
        <v>0.85</v>
      </c>
      <c r="F5510" s="2"/>
      <c r="G5510" s="2"/>
      <c r="H5510" s="2"/>
      <c r="I5510" s="2"/>
    </row>
    <row r="5511">
      <c r="A5511" s="2">
        <f>IFERROR(__xludf.DUMMYFUNCTION("""COMPUTED_VALUE"""),108085.0)</f>
        <v>108085</v>
      </c>
      <c r="B5511" s="2" t="str">
        <f>IFERROR(__xludf.DUMMYFUNCTION("""COMPUTED_VALUE"""),"Medical")</f>
        <v>Medical</v>
      </c>
      <c r="C5511" s="2" t="str">
        <f>IFERROR(__xludf.DUMMYFUNCTION("""COMPUTED_VALUE"""),"Architecture")</f>
        <v>Architecture</v>
      </c>
      <c r="D5511" s="2" t="str">
        <f>IFERROR(__xludf.DUMMYFUNCTION("""COMPUTED_VALUE"""),"Northwind Publishing House")</f>
        <v>Northwind Publishing House</v>
      </c>
      <c r="E5511" s="2">
        <f>IFERROR(__xludf.DUMMYFUNCTION("""COMPUTED_VALUE"""),1.15)</f>
        <v>1.15</v>
      </c>
      <c r="F5511" s="2"/>
      <c r="G5511" s="2"/>
      <c r="H5511" s="2"/>
      <c r="I5511" s="2"/>
    </row>
    <row r="5512">
      <c r="A5512" s="2">
        <f>IFERROR(__xludf.DUMMYFUNCTION("""COMPUTED_VALUE"""),133914.0)</f>
        <v>133914</v>
      </c>
      <c r="B5512" s="2" t="str">
        <f>IFERROR(__xludf.DUMMYFUNCTION("""COMPUTED_VALUE"""),"Medical")</f>
        <v>Medical</v>
      </c>
      <c r="C5512" s="2" t="str">
        <f>IFERROR(__xludf.DUMMYFUNCTION("""COMPUTED_VALUE"""),"Architecture")</f>
        <v>Architecture</v>
      </c>
      <c r="D5512" s="2" t="str">
        <f>IFERROR(__xludf.DUMMYFUNCTION("""COMPUTED_VALUE"""),"Northwind Publishing House")</f>
        <v>Northwind Publishing House</v>
      </c>
      <c r="E5512" s="2">
        <f>IFERROR(__xludf.DUMMYFUNCTION("""COMPUTED_VALUE"""),2.35)</f>
        <v>2.35</v>
      </c>
      <c r="F5512" s="2"/>
      <c r="G5512" s="2"/>
      <c r="H5512" s="2"/>
      <c r="I5512" s="2"/>
    </row>
    <row r="5513">
      <c r="A5513" s="2">
        <f>IFERROR(__xludf.DUMMYFUNCTION("""COMPUTED_VALUE"""),103503.0)</f>
        <v>103503</v>
      </c>
      <c r="B5513" s="2" t="str">
        <f>IFERROR(__xludf.DUMMYFUNCTION("""COMPUTED_VALUE"""),"Fiction")</f>
        <v>Fiction</v>
      </c>
      <c r="C5513" s="2" t="str">
        <f>IFERROR(__xludf.DUMMYFUNCTION("""COMPUTED_VALUE"""),"Fashion Design")</f>
        <v>Fashion Design</v>
      </c>
      <c r="D5513" s="2" t="str">
        <f>IFERROR(__xludf.DUMMYFUNCTION("""COMPUTED_VALUE"""),"Harborwind Publishing House")</f>
        <v>Harborwind Publishing House</v>
      </c>
      <c r="E5513" s="2">
        <f>IFERROR(__xludf.DUMMYFUNCTION("""COMPUTED_VALUE"""),17.16)</f>
        <v>17.16</v>
      </c>
      <c r="F5513" s="2"/>
      <c r="G5513" s="2"/>
      <c r="H5513" s="2"/>
      <c r="I5513" s="2"/>
    </row>
    <row r="5514">
      <c r="A5514" s="2">
        <f>IFERROR(__xludf.DUMMYFUNCTION("""COMPUTED_VALUE"""),128363.0)</f>
        <v>128363</v>
      </c>
      <c r="B5514" s="2" t="str">
        <f>IFERROR(__xludf.DUMMYFUNCTION("""COMPUTED_VALUE"""),"Fiction")</f>
        <v>Fiction</v>
      </c>
      <c r="C5514" s="2" t="str">
        <f>IFERROR(__xludf.DUMMYFUNCTION("""COMPUTED_VALUE"""),"Fashion Design")</f>
        <v>Fashion Design</v>
      </c>
      <c r="D5514" s="2" t="str">
        <f>IFERROR(__xludf.DUMMYFUNCTION("""COMPUTED_VALUE"""),"Harborwind Publishing House")</f>
        <v>Harborwind Publishing House</v>
      </c>
      <c r="E5514" s="2">
        <f>IFERROR(__xludf.DUMMYFUNCTION("""COMPUTED_VALUE"""),7.57)</f>
        <v>7.57</v>
      </c>
      <c r="F5514" s="2"/>
      <c r="G5514" s="2"/>
      <c r="H5514" s="2"/>
      <c r="I5514" s="2"/>
    </row>
    <row r="5515">
      <c r="A5515" s="2">
        <f>IFERROR(__xludf.DUMMYFUNCTION("""COMPUTED_VALUE"""),13863.0)</f>
        <v>13863</v>
      </c>
      <c r="B5515" s="2" t="str">
        <f>IFERROR(__xludf.DUMMYFUNCTION("""COMPUTED_VALUE"""),"Law")</f>
        <v>Law</v>
      </c>
      <c r="C5515" s="2" t="str">
        <f>IFERROR(__xludf.DUMMYFUNCTION("""COMPUTED_VALUE"""),"Interior Design")</f>
        <v>Interior Design</v>
      </c>
      <c r="D5515" s="2" t="str">
        <f>IFERROR(__xludf.DUMMYFUNCTION("""COMPUTED_VALUE"""),"Cedarwind Publishing House")</f>
        <v>Cedarwind Publishing House</v>
      </c>
      <c r="E5515" s="2">
        <f>IFERROR(__xludf.DUMMYFUNCTION("""COMPUTED_VALUE"""),2.81)</f>
        <v>2.81</v>
      </c>
      <c r="F5515" s="2"/>
      <c r="G5515" s="2"/>
      <c r="H5515" s="2"/>
      <c r="I5515" s="2"/>
    </row>
    <row r="5516">
      <c r="A5516" s="2">
        <f>IFERROR(__xludf.DUMMYFUNCTION("""COMPUTED_VALUE"""),74454.0)</f>
        <v>74454</v>
      </c>
      <c r="B5516" s="2" t="str">
        <f>IFERROR(__xludf.DUMMYFUNCTION("""COMPUTED_VALUE"""),"Law")</f>
        <v>Law</v>
      </c>
      <c r="C5516" s="2" t="str">
        <f>IFERROR(__xludf.DUMMYFUNCTION("""COMPUTED_VALUE"""),"Interior Design")</f>
        <v>Interior Design</v>
      </c>
      <c r="D5516" s="2" t="str">
        <f>IFERROR(__xludf.DUMMYFUNCTION("""COMPUTED_VALUE"""),"Cedarwind Publishing House")</f>
        <v>Cedarwind Publishing House</v>
      </c>
      <c r="E5516" s="2">
        <f>IFERROR(__xludf.DUMMYFUNCTION("""COMPUTED_VALUE"""),2.37)</f>
        <v>2.37</v>
      </c>
      <c r="F5516" s="2"/>
      <c r="G5516" s="2"/>
      <c r="H5516" s="2"/>
      <c r="I5516" s="2"/>
    </row>
    <row r="5517">
      <c r="A5517" s="2">
        <f>IFERROR(__xludf.DUMMYFUNCTION("""COMPUTED_VALUE"""),12500.0)</f>
        <v>12500</v>
      </c>
      <c r="B5517" s="2" t="str">
        <f>IFERROR(__xludf.DUMMYFUNCTION("""COMPUTED_VALUE"""),"Law")</f>
        <v>Law</v>
      </c>
      <c r="C5517" s="2" t="str">
        <f>IFERROR(__xludf.DUMMYFUNCTION("""COMPUTED_VALUE"""),"Interior Design")</f>
        <v>Interior Design</v>
      </c>
      <c r="D5517" s="2" t="str">
        <f>IFERROR(__xludf.DUMMYFUNCTION("""COMPUTED_VALUE"""),"Cedarwind Publishing House")</f>
        <v>Cedarwind Publishing House</v>
      </c>
      <c r="E5517" s="2">
        <f>IFERROR(__xludf.DUMMYFUNCTION("""COMPUTED_VALUE"""),1.7)</f>
        <v>1.7</v>
      </c>
      <c r="F5517" s="2"/>
      <c r="G5517" s="2"/>
      <c r="H5517" s="2"/>
      <c r="I5517" s="2"/>
    </row>
    <row r="5518">
      <c r="A5518" s="2">
        <f>IFERROR(__xludf.DUMMYFUNCTION("""COMPUTED_VALUE"""),116555.0)</f>
        <v>116555</v>
      </c>
      <c r="B5518" s="2" t="str">
        <f>IFERROR(__xludf.DUMMYFUNCTION("""COMPUTED_VALUE"""),"Law")</f>
        <v>Law</v>
      </c>
      <c r="C5518" s="2" t="str">
        <f>IFERROR(__xludf.DUMMYFUNCTION("""COMPUTED_VALUE"""),"Interior Design")</f>
        <v>Interior Design</v>
      </c>
      <c r="D5518" s="2" t="str">
        <f>IFERROR(__xludf.DUMMYFUNCTION("""COMPUTED_VALUE"""),"Cedarwind Publishing House")</f>
        <v>Cedarwind Publishing House</v>
      </c>
      <c r="E5518" s="2">
        <f>IFERROR(__xludf.DUMMYFUNCTION("""COMPUTED_VALUE"""),3.2)</f>
        <v>3.2</v>
      </c>
      <c r="F5518" s="2"/>
      <c r="G5518" s="2"/>
      <c r="H5518" s="2"/>
      <c r="I5518" s="2"/>
    </row>
    <row r="5519">
      <c r="A5519" s="2">
        <f>IFERROR(__xludf.DUMMYFUNCTION("""COMPUTED_VALUE"""),77622.0)</f>
        <v>77622</v>
      </c>
      <c r="B5519" s="2" t="str">
        <f>IFERROR(__xludf.DUMMYFUNCTION("""COMPUTED_VALUE"""),"Law")</f>
        <v>Law</v>
      </c>
      <c r="C5519" s="2" t="str">
        <f>IFERROR(__xludf.DUMMYFUNCTION("""COMPUTED_VALUE"""),"Interior Design")</f>
        <v>Interior Design</v>
      </c>
      <c r="D5519" s="2" t="str">
        <f>IFERROR(__xludf.DUMMYFUNCTION("""COMPUTED_VALUE"""),"Cedarwind Publishing House")</f>
        <v>Cedarwind Publishing House</v>
      </c>
      <c r="E5519" s="2">
        <f>IFERROR(__xludf.DUMMYFUNCTION("""COMPUTED_VALUE"""),2.12)</f>
        <v>2.12</v>
      </c>
      <c r="F5519" s="2"/>
      <c r="G5519" s="2"/>
      <c r="H5519" s="2"/>
      <c r="I5519" s="2"/>
    </row>
    <row r="5520">
      <c r="A5520" s="2">
        <f>IFERROR(__xludf.DUMMYFUNCTION("""COMPUTED_VALUE"""),68294.0)</f>
        <v>68294</v>
      </c>
      <c r="B5520" s="2" t="str">
        <f>IFERROR(__xludf.DUMMYFUNCTION("""COMPUTED_VALUE"""),"Law")</f>
        <v>Law</v>
      </c>
      <c r="C5520" s="2" t="str">
        <f>IFERROR(__xludf.DUMMYFUNCTION("""COMPUTED_VALUE"""),"Interior Design")</f>
        <v>Interior Design</v>
      </c>
      <c r="D5520" s="2" t="str">
        <f>IFERROR(__xludf.DUMMYFUNCTION("""COMPUTED_VALUE"""),"Cedarwind Publishing House")</f>
        <v>Cedarwind Publishing House</v>
      </c>
      <c r="E5520" s="2">
        <f>IFERROR(__xludf.DUMMYFUNCTION("""COMPUTED_VALUE"""),1.17)</f>
        <v>1.17</v>
      </c>
      <c r="F5520" s="2"/>
      <c r="G5520" s="2"/>
      <c r="H5520" s="2"/>
      <c r="I5520" s="2"/>
    </row>
    <row r="5521">
      <c r="A5521" s="2">
        <f>IFERROR(__xludf.DUMMYFUNCTION("""COMPUTED_VALUE"""),12497.0)</f>
        <v>12497</v>
      </c>
      <c r="B5521" s="2" t="str">
        <f>IFERROR(__xludf.DUMMYFUNCTION("""COMPUTED_VALUE"""),"Law")</f>
        <v>Law</v>
      </c>
      <c r="C5521" s="2" t="str">
        <f>IFERROR(__xludf.DUMMYFUNCTION("""COMPUTED_VALUE"""),"Interior Design")</f>
        <v>Interior Design</v>
      </c>
      <c r="D5521" s="2" t="str">
        <f>IFERROR(__xludf.DUMMYFUNCTION("""COMPUTED_VALUE"""),"Cedarwind Publishing House")</f>
        <v>Cedarwind Publishing House</v>
      </c>
      <c r="E5521" s="2">
        <f>IFERROR(__xludf.DUMMYFUNCTION("""COMPUTED_VALUE"""),1.83)</f>
        <v>1.83</v>
      </c>
      <c r="F5521" s="2"/>
      <c r="G5521" s="2"/>
      <c r="H5521" s="2"/>
      <c r="I5521" s="2"/>
    </row>
    <row r="5522">
      <c r="A5522" s="2">
        <f>IFERROR(__xludf.DUMMYFUNCTION("""COMPUTED_VALUE"""),74453.0)</f>
        <v>74453</v>
      </c>
      <c r="B5522" s="2" t="str">
        <f>IFERROR(__xludf.DUMMYFUNCTION("""COMPUTED_VALUE"""),"Law")</f>
        <v>Law</v>
      </c>
      <c r="C5522" s="2" t="str">
        <f>IFERROR(__xludf.DUMMYFUNCTION("""COMPUTED_VALUE"""),"Interior Design")</f>
        <v>Interior Design</v>
      </c>
      <c r="D5522" s="2" t="str">
        <f>IFERROR(__xludf.DUMMYFUNCTION("""COMPUTED_VALUE"""),"Cedarwind Publishing House")</f>
        <v>Cedarwind Publishing House</v>
      </c>
      <c r="E5522" s="2">
        <f>IFERROR(__xludf.DUMMYFUNCTION("""COMPUTED_VALUE"""),3.79)</f>
        <v>3.79</v>
      </c>
      <c r="F5522" s="2"/>
      <c r="G5522" s="2"/>
      <c r="H5522" s="2"/>
      <c r="I5522" s="2"/>
    </row>
    <row r="5523">
      <c r="A5523" s="2">
        <f>IFERROR(__xludf.DUMMYFUNCTION("""COMPUTED_VALUE"""),112246.0)</f>
        <v>112246</v>
      </c>
      <c r="B5523" s="2" t="str">
        <f>IFERROR(__xludf.DUMMYFUNCTION("""COMPUTED_VALUE"""),"Law")</f>
        <v>Law</v>
      </c>
      <c r="C5523" s="2" t="str">
        <f>IFERROR(__xludf.DUMMYFUNCTION("""COMPUTED_VALUE"""),"Interior Design")</f>
        <v>Interior Design</v>
      </c>
      <c r="D5523" s="2" t="str">
        <f>IFERROR(__xludf.DUMMYFUNCTION("""COMPUTED_VALUE"""),"Cedarwind Publishing House")</f>
        <v>Cedarwind Publishing House</v>
      </c>
      <c r="E5523" s="2">
        <f>IFERROR(__xludf.DUMMYFUNCTION("""COMPUTED_VALUE"""),0.71)</f>
        <v>0.71</v>
      </c>
      <c r="F5523" s="2"/>
      <c r="G5523" s="2"/>
      <c r="H5523" s="2"/>
      <c r="I5523" s="2"/>
    </row>
    <row r="5524">
      <c r="A5524" s="2">
        <f>IFERROR(__xludf.DUMMYFUNCTION("""COMPUTED_VALUE"""),110776.0)</f>
        <v>110776</v>
      </c>
      <c r="B5524" s="2" t="str">
        <f>IFERROR(__xludf.DUMMYFUNCTION("""COMPUTED_VALUE"""),"Law")</f>
        <v>Law</v>
      </c>
      <c r="C5524" s="2" t="str">
        <f>IFERROR(__xludf.DUMMYFUNCTION("""COMPUTED_VALUE"""),"Interior Design")</f>
        <v>Interior Design</v>
      </c>
      <c r="D5524" s="2" t="str">
        <f>IFERROR(__xludf.DUMMYFUNCTION("""COMPUTED_VALUE"""),"Cedarwind Publishing House")</f>
        <v>Cedarwind Publishing House</v>
      </c>
      <c r="E5524" s="2">
        <f>IFERROR(__xludf.DUMMYFUNCTION("""COMPUTED_VALUE"""),1.71)</f>
        <v>1.71</v>
      </c>
      <c r="F5524" s="2"/>
      <c r="G5524" s="2"/>
      <c r="H5524" s="2"/>
      <c r="I5524" s="2"/>
    </row>
    <row r="5525">
      <c r="A5525" s="2">
        <f>IFERROR(__xludf.DUMMYFUNCTION("""COMPUTED_VALUE"""),92846.0)</f>
        <v>92846</v>
      </c>
      <c r="B5525" s="2" t="str">
        <f>IFERROR(__xludf.DUMMYFUNCTION("""COMPUTED_VALUE"""),"Law")</f>
        <v>Law</v>
      </c>
      <c r="C5525" s="2" t="str">
        <f>IFERROR(__xludf.DUMMYFUNCTION("""COMPUTED_VALUE"""),"Interior Design")</f>
        <v>Interior Design</v>
      </c>
      <c r="D5525" s="2" t="str">
        <f>IFERROR(__xludf.DUMMYFUNCTION("""COMPUTED_VALUE"""),"Cedarwind Publishing House")</f>
        <v>Cedarwind Publishing House</v>
      </c>
      <c r="E5525" s="2">
        <f>IFERROR(__xludf.DUMMYFUNCTION("""COMPUTED_VALUE"""),2.63)</f>
        <v>2.63</v>
      </c>
      <c r="F5525" s="2"/>
      <c r="G5525" s="2"/>
      <c r="H5525" s="2"/>
      <c r="I5525" s="2"/>
    </row>
    <row r="5526">
      <c r="A5526" s="2">
        <f>IFERROR(__xludf.DUMMYFUNCTION("""COMPUTED_VALUE"""),119257.0)</f>
        <v>119257</v>
      </c>
      <c r="B5526" s="2" t="str">
        <f>IFERROR(__xludf.DUMMYFUNCTION("""COMPUTED_VALUE"""),"Law")</f>
        <v>Law</v>
      </c>
      <c r="C5526" s="2" t="str">
        <f>IFERROR(__xludf.DUMMYFUNCTION("""COMPUTED_VALUE"""),"Interior Design")</f>
        <v>Interior Design</v>
      </c>
      <c r="D5526" s="2" t="str">
        <f>IFERROR(__xludf.DUMMYFUNCTION("""COMPUTED_VALUE"""),"Cedarwind Publishing House")</f>
        <v>Cedarwind Publishing House</v>
      </c>
      <c r="E5526" s="2">
        <f>IFERROR(__xludf.DUMMYFUNCTION("""COMPUTED_VALUE"""),1.16)</f>
        <v>1.16</v>
      </c>
      <c r="F5526" s="2"/>
      <c r="G5526" s="2"/>
      <c r="H5526" s="2"/>
      <c r="I5526" s="2"/>
    </row>
    <row r="5527">
      <c r="A5527" s="2">
        <f>IFERROR(__xludf.DUMMYFUNCTION("""COMPUTED_VALUE"""),68313.0)</f>
        <v>68313</v>
      </c>
      <c r="B5527" s="2" t="str">
        <f>IFERROR(__xludf.DUMMYFUNCTION("""COMPUTED_VALUE"""),"Law")</f>
        <v>Law</v>
      </c>
      <c r="C5527" s="2" t="str">
        <f>IFERROR(__xludf.DUMMYFUNCTION("""COMPUTED_VALUE"""),"Interior Design")</f>
        <v>Interior Design</v>
      </c>
      <c r="D5527" s="2" t="str">
        <f>IFERROR(__xludf.DUMMYFUNCTION("""COMPUTED_VALUE"""),"Cedarwind Publishing House")</f>
        <v>Cedarwind Publishing House</v>
      </c>
      <c r="E5527" s="2">
        <f>IFERROR(__xludf.DUMMYFUNCTION("""COMPUTED_VALUE"""),2.66)</f>
        <v>2.66</v>
      </c>
      <c r="F5527" s="2"/>
      <c r="G5527" s="2"/>
      <c r="H5527" s="2"/>
      <c r="I5527" s="2"/>
    </row>
    <row r="5528">
      <c r="A5528" s="2">
        <f>IFERROR(__xludf.DUMMYFUNCTION("""COMPUTED_VALUE"""),12503.0)</f>
        <v>12503</v>
      </c>
      <c r="B5528" s="2" t="str">
        <f>IFERROR(__xludf.DUMMYFUNCTION("""COMPUTED_VALUE"""),"Law")</f>
        <v>Law</v>
      </c>
      <c r="C5528" s="2" t="str">
        <f>IFERROR(__xludf.DUMMYFUNCTION("""COMPUTED_VALUE"""),"Interior Design")</f>
        <v>Interior Design</v>
      </c>
      <c r="D5528" s="2" t="str">
        <f>IFERROR(__xludf.DUMMYFUNCTION("""COMPUTED_VALUE"""),"Cedarwind Publishing House")</f>
        <v>Cedarwind Publishing House</v>
      </c>
      <c r="E5528" s="2">
        <f>IFERROR(__xludf.DUMMYFUNCTION("""COMPUTED_VALUE"""),2.33)</f>
        <v>2.33</v>
      </c>
      <c r="F5528" s="2"/>
      <c r="G5528" s="2"/>
      <c r="H5528" s="2"/>
      <c r="I5528" s="2"/>
    </row>
    <row r="5529">
      <c r="A5529" s="2">
        <f>IFERROR(__xludf.DUMMYFUNCTION("""COMPUTED_VALUE"""),77624.0)</f>
        <v>77624</v>
      </c>
      <c r="B5529" s="2" t="str">
        <f>IFERROR(__xludf.DUMMYFUNCTION("""COMPUTED_VALUE"""),"Law")</f>
        <v>Law</v>
      </c>
      <c r="C5529" s="2" t="str">
        <f>IFERROR(__xludf.DUMMYFUNCTION("""COMPUTED_VALUE"""),"Interior Design")</f>
        <v>Interior Design</v>
      </c>
      <c r="D5529" s="2" t="str">
        <f>IFERROR(__xludf.DUMMYFUNCTION("""COMPUTED_VALUE"""),"Cedarwind Publishing House")</f>
        <v>Cedarwind Publishing House</v>
      </c>
      <c r="E5529" s="2">
        <f>IFERROR(__xludf.DUMMYFUNCTION("""COMPUTED_VALUE"""),1.54)</f>
        <v>1.54</v>
      </c>
      <c r="F5529" s="2"/>
      <c r="G5529" s="2"/>
      <c r="H5529" s="2"/>
      <c r="I5529" s="2"/>
    </row>
    <row r="5530">
      <c r="A5530" s="2">
        <f>IFERROR(__xludf.DUMMYFUNCTION("""COMPUTED_VALUE"""),77432.0)</f>
        <v>77432</v>
      </c>
      <c r="B5530" s="2" t="str">
        <f>IFERROR(__xludf.DUMMYFUNCTION("""COMPUTED_VALUE"""),"Law")</f>
        <v>Law</v>
      </c>
      <c r="C5530" s="2" t="str">
        <f>IFERROR(__xludf.DUMMYFUNCTION("""COMPUTED_VALUE"""),"Interior Design")</f>
        <v>Interior Design</v>
      </c>
      <c r="D5530" s="2" t="str">
        <f>IFERROR(__xludf.DUMMYFUNCTION("""COMPUTED_VALUE"""),"Brightwind Publishing House")</f>
        <v>Brightwind Publishing House</v>
      </c>
      <c r="E5530" s="2">
        <f>IFERROR(__xludf.DUMMYFUNCTION("""COMPUTED_VALUE"""),1.4)</f>
        <v>1.4</v>
      </c>
      <c r="F5530" s="2"/>
      <c r="G5530" s="2"/>
      <c r="H5530" s="2"/>
      <c r="I5530" s="2"/>
    </row>
    <row r="5531">
      <c r="A5531" s="2">
        <f>IFERROR(__xludf.DUMMYFUNCTION("""COMPUTED_VALUE"""),77429.0)</f>
        <v>77429</v>
      </c>
      <c r="B5531" s="2" t="str">
        <f>IFERROR(__xludf.DUMMYFUNCTION("""COMPUTED_VALUE"""),"Law")</f>
        <v>Law</v>
      </c>
      <c r="C5531" s="2" t="str">
        <f>IFERROR(__xludf.DUMMYFUNCTION("""COMPUTED_VALUE"""),"Interior Design")</f>
        <v>Interior Design</v>
      </c>
      <c r="D5531" s="2" t="str">
        <f>IFERROR(__xludf.DUMMYFUNCTION("""COMPUTED_VALUE"""),"Brightwind Publishing House")</f>
        <v>Brightwind Publishing House</v>
      </c>
      <c r="E5531" s="2">
        <f>IFERROR(__xludf.DUMMYFUNCTION("""COMPUTED_VALUE"""),1.61)</f>
        <v>1.61</v>
      </c>
      <c r="F5531" s="2"/>
      <c r="G5531" s="2"/>
      <c r="H5531" s="2"/>
      <c r="I5531" s="2"/>
    </row>
    <row r="5532">
      <c r="A5532" s="2">
        <f>IFERROR(__xludf.DUMMYFUNCTION("""COMPUTED_VALUE"""),93995.0)</f>
        <v>93995</v>
      </c>
      <c r="B5532" s="2" t="str">
        <f>IFERROR(__xludf.DUMMYFUNCTION("""COMPUTED_VALUE"""),"Law")</f>
        <v>Law</v>
      </c>
      <c r="C5532" s="2" t="str">
        <f>IFERROR(__xludf.DUMMYFUNCTION("""COMPUTED_VALUE"""),"Interior Design")</f>
        <v>Interior Design</v>
      </c>
      <c r="D5532" s="2" t="str">
        <f>IFERROR(__xludf.DUMMYFUNCTION("""COMPUTED_VALUE"""),"Brightwind Publishing House")</f>
        <v>Brightwind Publishing House</v>
      </c>
      <c r="E5532" s="2">
        <f>IFERROR(__xludf.DUMMYFUNCTION("""COMPUTED_VALUE"""),2.08)</f>
        <v>2.08</v>
      </c>
      <c r="F5532" s="2"/>
      <c r="G5532" s="2"/>
      <c r="H5532" s="2"/>
      <c r="I5532" s="2"/>
    </row>
    <row r="5533">
      <c r="A5533" s="2">
        <f>IFERROR(__xludf.DUMMYFUNCTION("""COMPUTED_VALUE"""),103185.0)</f>
        <v>103185</v>
      </c>
      <c r="B5533" s="2" t="str">
        <f>IFERROR(__xludf.DUMMYFUNCTION("""COMPUTED_VALUE"""),"Law")</f>
        <v>Law</v>
      </c>
      <c r="C5533" s="2" t="str">
        <f>IFERROR(__xludf.DUMMYFUNCTION("""COMPUTED_VALUE"""),"Interior Design")</f>
        <v>Interior Design</v>
      </c>
      <c r="D5533" s="2" t="str">
        <f>IFERROR(__xludf.DUMMYFUNCTION("""COMPUTED_VALUE"""),"Brightwind Publishing House")</f>
        <v>Brightwind Publishing House</v>
      </c>
      <c r="E5533" s="2">
        <f>IFERROR(__xludf.DUMMYFUNCTION("""COMPUTED_VALUE"""),2.7)</f>
        <v>2.7</v>
      </c>
      <c r="F5533" s="2"/>
      <c r="G5533" s="2"/>
      <c r="H5533" s="2"/>
      <c r="I5533" s="2"/>
    </row>
    <row r="5534">
      <c r="A5534" s="2">
        <f>IFERROR(__xludf.DUMMYFUNCTION("""COMPUTED_VALUE"""),13868.0)</f>
        <v>13868</v>
      </c>
      <c r="B5534" s="2" t="str">
        <f>IFERROR(__xludf.DUMMYFUNCTION("""COMPUTED_VALUE"""),"Law")</f>
        <v>Law</v>
      </c>
      <c r="C5534" s="2" t="str">
        <f>IFERROR(__xludf.DUMMYFUNCTION("""COMPUTED_VALUE"""),"Interior Design")</f>
        <v>Interior Design</v>
      </c>
      <c r="D5534" s="2" t="str">
        <f>IFERROR(__xludf.DUMMYFUNCTION("""COMPUTED_VALUE"""),"Brightwind Publishing House")</f>
        <v>Brightwind Publishing House</v>
      </c>
      <c r="E5534" s="2">
        <f>IFERROR(__xludf.DUMMYFUNCTION("""COMPUTED_VALUE"""),4.51)</f>
        <v>4.51</v>
      </c>
      <c r="F5534" s="2"/>
      <c r="G5534" s="2"/>
      <c r="H5534" s="2"/>
      <c r="I5534" s="2"/>
    </row>
    <row r="5535">
      <c r="A5535" s="2">
        <f>IFERROR(__xludf.DUMMYFUNCTION("""COMPUTED_VALUE"""),9504.0)</f>
        <v>9504</v>
      </c>
      <c r="B5535" s="2" t="str">
        <f>IFERROR(__xludf.DUMMYFUNCTION("""COMPUTED_VALUE"""),"Law")</f>
        <v>Law</v>
      </c>
      <c r="C5535" s="2" t="str">
        <f>IFERROR(__xludf.DUMMYFUNCTION("""COMPUTED_VALUE"""),"Interior Design")</f>
        <v>Interior Design</v>
      </c>
      <c r="D5535" s="2" t="str">
        <f>IFERROR(__xludf.DUMMYFUNCTION("""COMPUTED_VALUE"""),"Brightwind Publishing House")</f>
        <v>Brightwind Publishing House</v>
      </c>
      <c r="E5535" s="2">
        <f>IFERROR(__xludf.DUMMYFUNCTION("""COMPUTED_VALUE"""),1.8)</f>
        <v>1.8</v>
      </c>
      <c r="F5535" s="2"/>
      <c r="G5535" s="2"/>
      <c r="H5535" s="2"/>
      <c r="I5535" s="2"/>
    </row>
    <row r="5536">
      <c r="A5536" s="2">
        <f>IFERROR(__xludf.DUMMYFUNCTION("""COMPUTED_VALUE"""),77446.0)</f>
        <v>77446</v>
      </c>
      <c r="B5536" s="2" t="str">
        <f>IFERROR(__xludf.DUMMYFUNCTION("""COMPUTED_VALUE"""),"Law")</f>
        <v>Law</v>
      </c>
      <c r="C5536" s="2" t="str">
        <f>IFERROR(__xludf.DUMMYFUNCTION("""COMPUTED_VALUE"""),"Interior Design")</f>
        <v>Interior Design</v>
      </c>
      <c r="D5536" s="2" t="str">
        <f>IFERROR(__xludf.DUMMYFUNCTION("""COMPUTED_VALUE"""),"Brightwind Publishing House")</f>
        <v>Brightwind Publishing House</v>
      </c>
      <c r="E5536" s="2">
        <f>IFERROR(__xludf.DUMMYFUNCTION("""COMPUTED_VALUE"""),2.31)</f>
        <v>2.31</v>
      </c>
      <c r="F5536" s="2"/>
      <c r="G5536" s="2"/>
      <c r="H5536" s="2"/>
      <c r="I5536" s="2"/>
    </row>
    <row r="5537">
      <c r="A5537" s="2">
        <f>IFERROR(__xludf.DUMMYFUNCTION("""COMPUTED_VALUE"""),77498.0)</f>
        <v>77498</v>
      </c>
      <c r="B5537" s="2" t="str">
        <f>IFERROR(__xludf.DUMMYFUNCTION("""COMPUTED_VALUE"""),"Law")</f>
        <v>Law</v>
      </c>
      <c r="C5537" s="2" t="str">
        <f>IFERROR(__xludf.DUMMYFUNCTION("""COMPUTED_VALUE"""),"Interior Design")</f>
        <v>Interior Design</v>
      </c>
      <c r="D5537" s="2" t="str">
        <f>IFERROR(__xludf.DUMMYFUNCTION("""COMPUTED_VALUE"""),"Brightwind Publishing House")</f>
        <v>Brightwind Publishing House</v>
      </c>
      <c r="E5537" s="2">
        <f>IFERROR(__xludf.DUMMYFUNCTION("""COMPUTED_VALUE"""),1.72)</f>
        <v>1.72</v>
      </c>
      <c r="F5537" s="2"/>
      <c r="G5537" s="2"/>
      <c r="H5537" s="2"/>
      <c r="I5537" s="2"/>
    </row>
    <row r="5538">
      <c r="A5538" s="2">
        <f>IFERROR(__xludf.DUMMYFUNCTION("""COMPUTED_VALUE"""),77488.0)</f>
        <v>77488</v>
      </c>
      <c r="B5538" s="2" t="str">
        <f>IFERROR(__xludf.DUMMYFUNCTION("""COMPUTED_VALUE"""),"Law")</f>
        <v>Law</v>
      </c>
      <c r="C5538" s="2" t="str">
        <f>IFERROR(__xludf.DUMMYFUNCTION("""COMPUTED_VALUE"""),"Interior Design")</f>
        <v>Interior Design</v>
      </c>
      <c r="D5538" s="2" t="str">
        <f>IFERROR(__xludf.DUMMYFUNCTION("""COMPUTED_VALUE"""),"Brightwind Publishing House")</f>
        <v>Brightwind Publishing House</v>
      </c>
      <c r="E5538" s="2">
        <f>IFERROR(__xludf.DUMMYFUNCTION("""COMPUTED_VALUE"""),2.27)</f>
        <v>2.27</v>
      </c>
      <c r="F5538" s="2"/>
      <c r="G5538" s="2"/>
      <c r="H5538" s="2"/>
      <c r="I5538" s="2"/>
    </row>
    <row r="5539">
      <c r="A5539" s="2">
        <f>IFERROR(__xludf.DUMMYFUNCTION("""COMPUTED_VALUE"""),82203.0)</f>
        <v>82203</v>
      </c>
      <c r="B5539" s="2" t="str">
        <f>IFERROR(__xludf.DUMMYFUNCTION("""COMPUTED_VALUE"""),"Law")</f>
        <v>Law</v>
      </c>
      <c r="C5539" s="2" t="str">
        <f>IFERROR(__xludf.DUMMYFUNCTION("""COMPUTED_VALUE"""),"Interior Design")</f>
        <v>Interior Design</v>
      </c>
      <c r="D5539" s="2" t="str">
        <f>IFERROR(__xludf.DUMMYFUNCTION("""COMPUTED_VALUE"""),"Brightwind Publishing House")</f>
        <v>Brightwind Publishing House</v>
      </c>
      <c r="E5539" s="2">
        <f>IFERROR(__xludf.DUMMYFUNCTION("""COMPUTED_VALUE"""),7.33)</f>
        <v>7.33</v>
      </c>
      <c r="F5539" s="2"/>
      <c r="G5539" s="2"/>
      <c r="H5539" s="2"/>
      <c r="I5539" s="2"/>
    </row>
    <row r="5540">
      <c r="A5540" s="2">
        <f>IFERROR(__xludf.DUMMYFUNCTION("""COMPUTED_VALUE"""),82754.0)</f>
        <v>82754</v>
      </c>
      <c r="B5540" s="2" t="str">
        <f>IFERROR(__xludf.DUMMYFUNCTION("""COMPUTED_VALUE"""),"Law")</f>
        <v>Law</v>
      </c>
      <c r="C5540" s="2" t="str">
        <f>IFERROR(__xludf.DUMMYFUNCTION("""COMPUTED_VALUE"""),"Interior Design")</f>
        <v>Interior Design</v>
      </c>
      <c r="D5540" s="2" t="str">
        <f>IFERROR(__xludf.DUMMYFUNCTION("""COMPUTED_VALUE"""),"Brightwind Publishing House")</f>
        <v>Brightwind Publishing House</v>
      </c>
      <c r="E5540" s="2">
        <f>IFERROR(__xludf.DUMMYFUNCTION("""COMPUTED_VALUE"""),5.98)</f>
        <v>5.98</v>
      </c>
      <c r="F5540" s="2"/>
      <c r="G5540" s="2"/>
      <c r="H5540" s="2"/>
      <c r="I5540" s="2"/>
    </row>
    <row r="5541">
      <c r="A5541" s="2">
        <f>IFERROR(__xludf.DUMMYFUNCTION("""COMPUTED_VALUE"""),110837.0)</f>
        <v>110837</v>
      </c>
      <c r="B5541" s="2" t="str">
        <f>IFERROR(__xludf.DUMMYFUNCTION("""COMPUTED_VALUE"""),"Law")</f>
        <v>Law</v>
      </c>
      <c r="C5541" s="2" t="str">
        <f>IFERROR(__xludf.DUMMYFUNCTION("""COMPUTED_VALUE"""),"Interior Design")</f>
        <v>Interior Design</v>
      </c>
      <c r="D5541" s="2" t="str">
        <f>IFERROR(__xludf.DUMMYFUNCTION("""COMPUTED_VALUE"""),"Brightwind Publishing House")</f>
        <v>Brightwind Publishing House</v>
      </c>
      <c r="E5541" s="2">
        <f>IFERROR(__xludf.DUMMYFUNCTION("""COMPUTED_VALUE"""),2.65)</f>
        <v>2.65</v>
      </c>
      <c r="F5541" s="2"/>
      <c r="G5541" s="2"/>
      <c r="H5541" s="2"/>
      <c r="I5541" s="2"/>
    </row>
    <row r="5542">
      <c r="A5542" s="2">
        <f>IFERROR(__xludf.DUMMYFUNCTION("""COMPUTED_VALUE"""),9591.0)</f>
        <v>9591</v>
      </c>
      <c r="B5542" s="2" t="str">
        <f>IFERROR(__xludf.DUMMYFUNCTION("""COMPUTED_VALUE"""),"Law")</f>
        <v>Law</v>
      </c>
      <c r="C5542" s="2" t="str">
        <f>IFERROR(__xludf.DUMMYFUNCTION("""COMPUTED_VALUE"""),"Interior Design")</f>
        <v>Interior Design</v>
      </c>
      <c r="D5542" s="2" t="str">
        <f>IFERROR(__xludf.DUMMYFUNCTION("""COMPUTED_VALUE"""),"Brightwind Publishing House")</f>
        <v>Brightwind Publishing House</v>
      </c>
      <c r="E5542" s="2">
        <f>IFERROR(__xludf.DUMMYFUNCTION("""COMPUTED_VALUE"""),1.31)</f>
        <v>1.31</v>
      </c>
      <c r="F5542" s="2"/>
      <c r="G5542" s="2"/>
      <c r="H5542" s="2"/>
      <c r="I5542" s="2"/>
    </row>
    <row r="5543">
      <c r="A5543" s="2">
        <f>IFERROR(__xludf.DUMMYFUNCTION("""COMPUTED_VALUE"""),94040.0)</f>
        <v>94040</v>
      </c>
      <c r="B5543" s="2" t="str">
        <f>IFERROR(__xludf.DUMMYFUNCTION("""COMPUTED_VALUE"""),"Law")</f>
        <v>Law</v>
      </c>
      <c r="C5543" s="2" t="str">
        <f>IFERROR(__xludf.DUMMYFUNCTION("""COMPUTED_VALUE"""),"Interior Design")</f>
        <v>Interior Design</v>
      </c>
      <c r="D5543" s="2" t="str">
        <f>IFERROR(__xludf.DUMMYFUNCTION("""COMPUTED_VALUE"""),"Brightwind Publishing House")</f>
        <v>Brightwind Publishing House</v>
      </c>
      <c r="E5543" s="2">
        <f>IFERROR(__xludf.DUMMYFUNCTION("""COMPUTED_VALUE"""),3.4)</f>
        <v>3.4</v>
      </c>
      <c r="F5543" s="2"/>
      <c r="G5543" s="2"/>
      <c r="H5543" s="2"/>
      <c r="I5543" s="2"/>
    </row>
    <row r="5544">
      <c r="A5544" s="2">
        <f>IFERROR(__xludf.DUMMYFUNCTION("""COMPUTED_VALUE"""),9513.0)</f>
        <v>9513</v>
      </c>
      <c r="B5544" s="2" t="str">
        <f>IFERROR(__xludf.DUMMYFUNCTION("""COMPUTED_VALUE"""),"Law")</f>
        <v>Law</v>
      </c>
      <c r="C5544" s="2" t="str">
        <f>IFERROR(__xludf.DUMMYFUNCTION("""COMPUTED_VALUE"""),"Interior Design")</f>
        <v>Interior Design</v>
      </c>
      <c r="D5544" s="2" t="str">
        <f>IFERROR(__xludf.DUMMYFUNCTION("""COMPUTED_VALUE"""),"Brightwind Publishing House")</f>
        <v>Brightwind Publishing House</v>
      </c>
      <c r="E5544" s="2">
        <f>IFERROR(__xludf.DUMMYFUNCTION("""COMPUTED_VALUE"""),1.99)</f>
        <v>1.99</v>
      </c>
      <c r="F5544" s="2"/>
      <c r="G5544" s="2"/>
      <c r="H5544" s="2"/>
      <c r="I5544" s="2"/>
    </row>
    <row r="5545">
      <c r="A5545" s="2">
        <f>IFERROR(__xludf.DUMMYFUNCTION("""COMPUTED_VALUE"""),121543.0)</f>
        <v>121543</v>
      </c>
      <c r="B5545" s="2" t="str">
        <f>IFERROR(__xludf.DUMMYFUNCTION("""COMPUTED_VALUE"""),"Law")</f>
        <v>Law</v>
      </c>
      <c r="C5545" s="2" t="str">
        <f>IFERROR(__xludf.DUMMYFUNCTION("""COMPUTED_VALUE"""),"Interior Design")</f>
        <v>Interior Design</v>
      </c>
      <c r="D5545" s="2" t="str">
        <f>IFERROR(__xludf.DUMMYFUNCTION("""COMPUTED_VALUE"""),"Brightwind Publishing House")</f>
        <v>Brightwind Publishing House</v>
      </c>
      <c r="E5545" s="2">
        <f>IFERROR(__xludf.DUMMYFUNCTION("""COMPUTED_VALUE"""),0.8)</f>
        <v>0.8</v>
      </c>
      <c r="F5545" s="2"/>
      <c r="G5545" s="2"/>
      <c r="H5545" s="2"/>
      <c r="I5545" s="2"/>
    </row>
    <row r="5546">
      <c r="A5546" s="2">
        <f>IFERROR(__xludf.DUMMYFUNCTION("""COMPUTED_VALUE"""),164638.0)</f>
        <v>164638</v>
      </c>
      <c r="B5546" s="2" t="str">
        <f>IFERROR(__xludf.DUMMYFUNCTION("""COMPUTED_VALUE"""),"Law")</f>
        <v>Law</v>
      </c>
      <c r="C5546" s="2" t="str">
        <f>IFERROR(__xludf.DUMMYFUNCTION("""COMPUTED_VALUE"""),"Interior Design")</f>
        <v>Interior Design</v>
      </c>
      <c r="D5546" s="2" t="str">
        <f>IFERROR(__xludf.DUMMYFUNCTION("""COMPUTED_VALUE"""),"Brightwind Publishing House")</f>
        <v>Brightwind Publishing House</v>
      </c>
      <c r="E5546" s="2">
        <f>IFERROR(__xludf.DUMMYFUNCTION("""COMPUTED_VALUE"""),1.95)</f>
        <v>1.95</v>
      </c>
      <c r="F5546" s="2"/>
      <c r="G5546" s="2"/>
      <c r="H5546" s="2"/>
      <c r="I5546" s="2"/>
    </row>
    <row r="5547">
      <c r="A5547" s="2">
        <f>IFERROR(__xludf.DUMMYFUNCTION("""COMPUTED_VALUE"""),9554.0)</f>
        <v>9554</v>
      </c>
      <c r="B5547" s="2" t="str">
        <f>IFERROR(__xludf.DUMMYFUNCTION("""COMPUTED_VALUE"""),"Law")</f>
        <v>Law</v>
      </c>
      <c r="C5547" s="2" t="str">
        <f>IFERROR(__xludf.DUMMYFUNCTION("""COMPUTED_VALUE"""),"Interior Design")</f>
        <v>Interior Design</v>
      </c>
      <c r="D5547" s="2" t="str">
        <f>IFERROR(__xludf.DUMMYFUNCTION("""COMPUTED_VALUE"""),"Brightwind Publishing House")</f>
        <v>Brightwind Publishing House</v>
      </c>
      <c r="E5547" s="2">
        <f>IFERROR(__xludf.DUMMYFUNCTION("""COMPUTED_VALUE"""),3.13)</f>
        <v>3.13</v>
      </c>
      <c r="F5547" s="2"/>
      <c r="G5547" s="2"/>
      <c r="H5547" s="2"/>
      <c r="I5547" s="2"/>
    </row>
    <row r="5548">
      <c r="A5548" s="2">
        <f>IFERROR(__xludf.DUMMYFUNCTION("""COMPUTED_VALUE"""),117798.0)</f>
        <v>117798</v>
      </c>
      <c r="B5548" s="2" t="str">
        <f>IFERROR(__xludf.DUMMYFUNCTION("""COMPUTED_VALUE"""),"Law")</f>
        <v>Law</v>
      </c>
      <c r="C5548" s="2" t="str">
        <f>IFERROR(__xludf.DUMMYFUNCTION("""COMPUTED_VALUE"""),"Interior Design")</f>
        <v>Interior Design</v>
      </c>
      <c r="D5548" s="2" t="str">
        <f>IFERROR(__xludf.DUMMYFUNCTION("""COMPUTED_VALUE"""),"Brightwind Publishing House")</f>
        <v>Brightwind Publishing House</v>
      </c>
      <c r="E5548" s="2">
        <f>IFERROR(__xludf.DUMMYFUNCTION("""COMPUTED_VALUE"""),1.68)</f>
        <v>1.68</v>
      </c>
      <c r="F5548" s="2"/>
      <c r="G5548" s="2"/>
      <c r="H5548" s="2"/>
      <c r="I5548" s="2"/>
    </row>
    <row r="5549">
      <c r="A5549" s="2">
        <f>IFERROR(__xludf.DUMMYFUNCTION("""COMPUTED_VALUE"""),77480.0)</f>
        <v>77480</v>
      </c>
      <c r="B5549" s="2" t="str">
        <f>IFERROR(__xludf.DUMMYFUNCTION("""COMPUTED_VALUE"""),"Law")</f>
        <v>Law</v>
      </c>
      <c r="C5549" s="2" t="str">
        <f>IFERROR(__xludf.DUMMYFUNCTION("""COMPUTED_VALUE"""),"Interior Design")</f>
        <v>Interior Design</v>
      </c>
      <c r="D5549" s="2" t="str">
        <f>IFERROR(__xludf.DUMMYFUNCTION("""COMPUTED_VALUE"""),"Brightwind Publishing House")</f>
        <v>Brightwind Publishing House</v>
      </c>
      <c r="E5549" s="2">
        <f>IFERROR(__xludf.DUMMYFUNCTION("""COMPUTED_VALUE"""),1.77)</f>
        <v>1.77</v>
      </c>
      <c r="F5549" s="2"/>
      <c r="G5549" s="2"/>
      <c r="H5549" s="2"/>
      <c r="I5549" s="2"/>
    </row>
    <row r="5550">
      <c r="A5550" s="2">
        <f>IFERROR(__xludf.DUMMYFUNCTION("""COMPUTED_VALUE"""),9547.0)</f>
        <v>9547</v>
      </c>
      <c r="B5550" s="2" t="str">
        <f>IFERROR(__xludf.DUMMYFUNCTION("""COMPUTED_VALUE"""),"Law")</f>
        <v>Law</v>
      </c>
      <c r="C5550" s="2" t="str">
        <f>IFERROR(__xludf.DUMMYFUNCTION("""COMPUTED_VALUE"""),"Interior Design")</f>
        <v>Interior Design</v>
      </c>
      <c r="D5550" s="2" t="str">
        <f>IFERROR(__xludf.DUMMYFUNCTION("""COMPUTED_VALUE"""),"Brightwind Publishing House")</f>
        <v>Brightwind Publishing House</v>
      </c>
      <c r="E5550" s="2">
        <f>IFERROR(__xludf.DUMMYFUNCTION("""COMPUTED_VALUE"""),2.26)</f>
        <v>2.26</v>
      </c>
      <c r="F5550" s="2"/>
      <c r="G5550" s="2"/>
      <c r="H5550" s="2"/>
      <c r="I5550" s="2"/>
    </row>
    <row r="5551">
      <c r="A5551" s="2">
        <f>IFERROR(__xludf.DUMMYFUNCTION("""COMPUTED_VALUE"""),9551.0)</f>
        <v>9551</v>
      </c>
      <c r="B5551" s="2" t="str">
        <f>IFERROR(__xludf.DUMMYFUNCTION("""COMPUTED_VALUE"""),"Law")</f>
        <v>Law</v>
      </c>
      <c r="C5551" s="2" t="str">
        <f>IFERROR(__xludf.DUMMYFUNCTION("""COMPUTED_VALUE"""),"Interior Design")</f>
        <v>Interior Design</v>
      </c>
      <c r="D5551" s="2" t="str">
        <f>IFERROR(__xludf.DUMMYFUNCTION("""COMPUTED_VALUE"""),"Brightwind Publishing House")</f>
        <v>Brightwind Publishing House</v>
      </c>
      <c r="E5551" s="2">
        <f>IFERROR(__xludf.DUMMYFUNCTION("""COMPUTED_VALUE"""),1.49)</f>
        <v>1.49</v>
      </c>
      <c r="F5551" s="2"/>
      <c r="G5551" s="2"/>
      <c r="H5551" s="2"/>
      <c r="I5551" s="2"/>
    </row>
    <row r="5552">
      <c r="A5552" s="2">
        <f>IFERROR(__xludf.DUMMYFUNCTION("""COMPUTED_VALUE"""),9514.0)</f>
        <v>9514</v>
      </c>
      <c r="B5552" s="2" t="str">
        <f>IFERROR(__xludf.DUMMYFUNCTION("""COMPUTED_VALUE"""),"Law")</f>
        <v>Law</v>
      </c>
      <c r="C5552" s="2" t="str">
        <f>IFERROR(__xludf.DUMMYFUNCTION("""COMPUTED_VALUE"""),"Interior Design")</f>
        <v>Interior Design</v>
      </c>
      <c r="D5552" s="2" t="str">
        <f>IFERROR(__xludf.DUMMYFUNCTION("""COMPUTED_VALUE"""),"Brightwind Publishing House")</f>
        <v>Brightwind Publishing House</v>
      </c>
      <c r="E5552" s="2">
        <f>IFERROR(__xludf.DUMMYFUNCTION("""COMPUTED_VALUE"""),3.45)</f>
        <v>3.45</v>
      </c>
      <c r="F5552" s="2"/>
      <c r="G5552" s="2"/>
      <c r="H5552" s="2"/>
      <c r="I5552" s="2"/>
    </row>
    <row r="5553">
      <c r="A5553" s="2">
        <f>IFERROR(__xludf.DUMMYFUNCTION("""COMPUTED_VALUE"""),147310.0)</f>
        <v>147310</v>
      </c>
      <c r="B5553" s="2" t="str">
        <f>IFERROR(__xludf.DUMMYFUNCTION("""COMPUTED_VALUE"""),"Law")</f>
        <v>Law</v>
      </c>
      <c r="C5553" s="2" t="str">
        <f>IFERROR(__xludf.DUMMYFUNCTION("""COMPUTED_VALUE"""),"Interior Design")</f>
        <v>Interior Design</v>
      </c>
      <c r="D5553" s="2" t="str">
        <f>IFERROR(__xludf.DUMMYFUNCTION("""COMPUTED_VALUE"""),"Brightwind Publishing House")</f>
        <v>Brightwind Publishing House</v>
      </c>
      <c r="E5553" s="2">
        <f>IFERROR(__xludf.DUMMYFUNCTION("""COMPUTED_VALUE"""),10.37)</f>
        <v>10.37</v>
      </c>
      <c r="F5553" s="2"/>
      <c r="G5553" s="2"/>
      <c r="H5553" s="2"/>
      <c r="I5553" s="2"/>
    </row>
    <row r="5554">
      <c r="A5554" s="2">
        <f>IFERROR(__xludf.DUMMYFUNCTION("""COMPUTED_VALUE"""),13865.0)</f>
        <v>13865</v>
      </c>
      <c r="B5554" s="2" t="str">
        <f>IFERROR(__xludf.DUMMYFUNCTION("""COMPUTED_VALUE"""),"Law")</f>
        <v>Law</v>
      </c>
      <c r="C5554" s="2" t="str">
        <f>IFERROR(__xludf.DUMMYFUNCTION("""COMPUTED_VALUE"""),"Interior Design")</f>
        <v>Interior Design</v>
      </c>
      <c r="D5554" s="2" t="str">
        <f>IFERROR(__xludf.DUMMYFUNCTION("""COMPUTED_VALUE"""),"Brightwind Publishing House")</f>
        <v>Brightwind Publishing House</v>
      </c>
      <c r="E5554" s="2">
        <f>IFERROR(__xludf.DUMMYFUNCTION("""COMPUTED_VALUE"""),4.63)</f>
        <v>4.63</v>
      </c>
      <c r="F5554" s="2"/>
      <c r="G5554" s="2"/>
      <c r="H5554" s="2"/>
      <c r="I5554" s="2"/>
    </row>
    <row r="5555">
      <c r="A5555" s="2">
        <f>IFERROR(__xludf.DUMMYFUNCTION("""COMPUTED_VALUE"""),9521.0)</f>
        <v>9521</v>
      </c>
      <c r="B5555" s="2" t="str">
        <f>IFERROR(__xludf.DUMMYFUNCTION("""COMPUTED_VALUE"""),"Law")</f>
        <v>Law</v>
      </c>
      <c r="C5555" s="2" t="str">
        <f>IFERROR(__xludf.DUMMYFUNCTION("""COMPUTED_VALUE"""),"Interior Design")</f>
        <v>Interior Design</v>
      </c>
      <c r="D5555" s="2" t="str">
        <f>IFERROR(__xludf.DUMMYFUNCTION("""COMPUTED_VALUE"""),"Brightwind Publishing House")</f>
        <v>Brightwind Publishing House</v>
      </c>
      <c r="E5555" s="2">
        <f>IFERROR(__xludf.DUMMYFUNCTION("""COMPUTED_VALUE"""),3.22)</f>
        <v>3.22</v>
      </c>
      <c r="F5555" s="2"/>
      <c r="G5555" s="2"/>
      <c r="H5555" s="2"/>
      <c r="I5555" s="2"/>
    </row>
    <row r="5556">
      <c r="A5556" s="2">
        <f>IFERROR(__xludf.DUMMYFUNCTION("""COMPUTED_VALUE"""),9522.0)</f>
        <v>9522</v>
      </c>
      <c r="B5556" s="2" t="str">
        <f>IFERROR(__xludf.DUMMYFUNCTION("""COMPUTED_VALUE"""),"Law")</f>
        <v>Law</v>
      </c>
      <c r="C5556" s="2" t="str">
        <f>IFERROR(__xludf.DUMMYFUNCTION("""COMPUTED_VALUE"""),"Interior Design")</f>
        <v>Interior Design</v>
      </c>
      <c r="D5556" s="2" t="str">
        <f>IFERROR(__xludf.DUMMYFUNCTION("""COMPUTED_VALUE"""),"Brightwind Publishing House")</f>
        <v>Brightwind Publishing House</v>
      </c>
      <c r="E5556" s="2">
        <f>IFERROR(__xludf.DUMMYFUNCTION("""COMPUTED_VALUE"""),2.78)</f>
        <v>2.78</v>
      </c>
      <c r="F5556" s="2"/>
      <c r="G5556" s="2"/>
      <c r="H5556" s="2"/>
      <c r="I5556" s="2"/>
    </row>
    <row r="5557">
      <c r="A5557" s="2">
        <f>IFERROR(__xludf.DUMMYFUNCTION("""COMPUTED_VALUE"""),94048.0)</f>
        <v>94048</v>
      </c>
      <c r="B5557" s="2" t="str">
        <f>IFERROR(__xludf.DUMMYFUNCTION("""COMPUTED_VALUE"""),"Law")</f>
        <v>Law</v>
      </c>
      <c r="C5557" s="2" t="str">
        <f>IFERROR(__xludf.DUMMYFUNCTION("""COMPUTED_VALUE"""),"Interior Design")</f>
        <v>Interior Design</v>
      </c>
      <c r="D5557" s="2" t="str">
        <f>IFERROR(__xludf.DUMMYFUNCTION("""COMPUTED_VALUE"""),"Brightwind Publishing House")</f>
        <v>Brightwind Publishing House</v>
      </c>
      <c r="E5557" s="2">
        <f>IFERROR(__xludf.DUMMYFUNCTION("""COMPUTED_VALUE"""),2.57)</f>
        <v>2.57</v>
      </c>
      <c r="F5557" s="2"/>
      <c r="G5557" s="2"/>
      <c r="H5557" s="2"/>
      <c r="I5557" s="2"/>
    </row>
    <row r="5558">
      <c r="A5558" s="2">
        <f>IFERROR(__xludf.DUMMYFUNCTION("""COMPUTED_VALUE"""),121549.0)</f>
        <v>121549</v>
      </c>
      <c r="B5558" s="2" t="str">
        <f>IFERROR(__xludf.DUMMYFUNCTION("""COMPUTED_VALUE"""),"Law")</f>
        <v>Law</v>
      </c>
      <c r="C5558" s="2" t="str">
        <f>IFERROR(__xludf.DUMMYFUNCTION("""COMPUTED_VALUE"""),"Interior Design")</f>
        <v>Interior Design</v>
      </c>
      <c r="D5558" s="2" t="str">
        <f>IFERROR(__xludf.DUMMYFUNCTION("""COMPUTED_VALUE"""),"Brightwind Publishing House")</f>
        <v>Brightwind Publishing House</v>
      </c>
      <c r="E5558" s="2">
        <f>IFERROR(__xludf.DUMMYFUNCTION("""COMPUTED_VALUE"""),1.95)</f>
        <v>1.95</v>
      </c>
      <c r="F5558" s="2"/>
      <c r="G5558" s="2"/>
      <c r="H5558" s="2"/>
      <c r="I5558" s="2"/>
    </row>
    <row r="5559">
      <c r="A5559" s="2">
        <f>IFERROR(__xludf.DUMMYFUNCTION("""COMPUTED_VALUE"""),9593.0)</f>
        <v>9593</v>
      </c>
      <c r="B5559" s="2" t="str">
        <f>IFERROR(__xludf.DUMMYFUNCTION("""COMPUTED_VALUE"""),"Law")</f>
        <v>Law</v>
      </c>
      <c r="C5559" s="2" t="str">
        <f>IFERROR(__xludf.DUMMYFUNCTION("""COMPUTED_VALUE"""),"Interior Design")</f>
        <v>Interior Design</v>
      </c>
      <c r="D5559" s="2" t="str">
        <f>IFERROR(__xludf.DUMMYFUNCTION("""COMPUTED_VALUE"""),"Brightwind Publishing House")</f>
        <v>Brightwind Publishing House</v>
      </c>
      <c r="E5559" s="2">
        <f>IFERROR(__xludf.DUMMYFUNCTION("""COMPUTED_VALUE"""),1.96)</f>
        <v>1.96</v>
      </c>
      <c r="F5559" s="2"/>
      <c r="G5559" s="2"/>
      <c r="H5559" s="2"/>
      <c r="I5559" s="2"/>
    </row>
    <row r="5560">
      <c r="A5560" s="2">
        <f>IFERROR(__xludf.DUMMYFUNCTION("""COMPUTED_VALUE"""),119247.0)</f>
        <v>119247</v>
      </c>
      <c r="B5560" s="2" t="str">
        <f>IFERROR(__xludf.DUMMYFUNCTION("""COMPUTED_VALUE"""),"Law")</f>
        <v>Law</v>
      </c>
      <c r="C5560" s="2" t="str">
        <f>IFERROR(__xludf.DUMMYFUNCTION("""COMPUTED_VALUE"""),"Interior Design")</f>
        <v>Interior Design</v>
      </c>
      <c r="D5560" s="2" t="str">
        <f>IFERROR(__xludf.DUMMYFUNCTION("""COMPUTED_VALUE"""),"Brightwind Publishing House")</f>
        <v>Brightwind Publishing House</v>
      </c>
      <c r="E5560" s="2">
        <f>IFERROR(__xludf.DUMMYFUNCTION("""COMPUTED_VALUE"""),2.08)</f>
        <v>2.08</v>
      </c>
      <c r="F5560" s="2"/>
      <c r="G5560" s="2"/>
      <c r="H5560" s="2"/>
      <c r="I5560" s="2"/>
    </row>
    <row r="5561">
      <c r="A5561" s="2">
        <f>IFERROR(__xludf.DUMMYFUNCTION("""COMPUTED_VALUE"""),9516.0)</f>
        <v>9516</v>
      </c>
      <c r="B5561" s="2" t="str">
        <f>IFERROR(__xludf.DUMMYFUNCTION("""COMPUTED_VALUE"""),"Law")</f>
        <v>Law</v>
      </c>
      <c r="C5561" s="2" t="str">
        <f>IFERROR(__xludf.DUMMYFUNCTION("""COMPUTED_VALUE"""),"Interior Design")</f>
        <v>Interior Design</v>
      </c>
      <c r="D5561" s="2" t="str">
        <f>IFERROR(__xludf.DUMMYFUNCTION("""COMPUTED_VALUE"""),"Brightwind Publishing House")</f>
        <v>Brightwind Publishing House</v>
      </c>
      <c r="E5561" s="2">
        <f>IFERROR(__xludf.DUMMYFUNCTION("""COMPUTED_VALUE"""),2.0)</f>
        <v>2</v>
      </c>
      <c r="F5561" s="2"/>
      <c r="G5561" s="2"/>
      <c r="H5561" s="2"/>
      <c r="I5561" s="2"/>
    </row>
    <row r="5562">
      <c r="A5562" s="2">
        <f>IFERROR(__xludf.DUMMYFUNCTION("""COMPUTED_VALUE"""),193265.0)</f>
        <v>193265</v>
      </c>
      <c r="B5562" s="2" t="str">
        <f>IFERROR(__xludf.DUMMYFUNCTION("""COMPUTED_VALUE"""),"Law")</f>
        <v>Law</v>
      </c>
      <c r="C5562" s="2" t="str">
        <f>IFERROR(__xludf.DUMMYFUNCTION("""COMPUTED_VALUE"""),"Interior Design")</f>
        <v>Interior Design</v>
      </c>
      <c r="D5562" s="2" t="str">
        <f>IFERROR(__xludf.DUMMYFUNCTION("""COMPUTED_VALUE"""),"Brightwind Publishing House")</f>
        <v>Brightwind Publishing House</v>
      </c>
      <c r="E5562" s="2">
        <f>IFERROR(__xludf.DUMMYFUNCTION("""COMPUTED_VALUE"""),1.74)</f>
        <v>1.74</v>
      </c>
      <c r="F5562" s="2"/>
      <c r="G5562" s="2"/>
      <c r="H5562" s="2"/>
      <c r="I5562" s="2"/>
    </row>
    <row r="5563">
      <c r="A5563" s="2">
        <f>IFERROR(__xludf.DUMMYFUNCTION("""COMPUTED_VALUE"""),13869.0)</f>
        <v>13869</v>
      </c>
      <c r="B5563" s="2" t="str">
        <f>IFERROR(__xludf.DUMMYFUNCTION("""COMPUTED_VALUE"""),"Law")</f>
        <v>Law</v>
      </c>
      <c r="C5563" s="2" t="str">
        <f>IFERROR(__xludf.DUMMYFUNCTION("""COMPUTED_VALUE"""),"Interior Design")</f>
        <v>Interior Design</v>
      </c>
      <c r="D5563" s="2" t="str">
        <f>IFERROR(__xludf.DUMMYFUNCTION("""COMPUTED_VALUE"""),"Brightwind Publishing House")</f>
        <v>Brightwind Publishing House</v>
      </c>
      <c r="E5563" s="2">
        <f>IFERROR(__xludf.DUMMYFUNCTION("""COMPUTED_VALUE"""),4.45)</f>
        <v>4.45</v>
      </c>
      <c r="F5563" s="2"/>
      <c r="G5563" s="2"/>
      <c r="H5563" s="2"/>
      <c r="I5563" s="2"/>
    </row>
    <row r="5564">
      <c r="A5564" s="2">
        <f>IFERROR(__xludf.DUMMYFUNCTION("""COMPUTED_VALUE"""),13877.0)</f>
        <v>13877</v>
      </c>
      <c r="B5564" s="2" t="str">
        <f>IFERROR(__xludf.DUMMYFUNCTION("""COMPUTED_VALUE"""),"Law")</f>
        <v>Law</v>
      </c>
      <c r="C5564" s="2" t="str">
        <f>IFERROR(__xludf.DUMMYFUNCTION("""COMPUTED_VALUE"""),"Interior Design")</f>
        <v>Interior Design</v>
      </c>
      <c r="D5564" s="2" t="str">
        <f>IFERROR(__xludf.DUMMYFUNCTION("""COMPUTED_VALUE"""),"Brightwind Publishing House")</f>
        <v>Brightwind Publishing House</v>
      </c>
      <c r="E5564" s="2">
        <f>IFERROR(__xludf.DUMMYFUNCTION("""COMPUTED_VALUE"""),4.88)</f>
        <v>4.88</v>
      </c>
      <c r="F5564" s="2"/>
      <c r="G5564" s="2"/>
      <c r="H5564" s="2"/>
      <c r="I5564" s="2"/>
    </row>
    <row r="5565">
      <c r="A5565" s="2">
        <f>IFERROR(__xludf.DUMMYFUNCTION("""COMPUTED_VALUE"""),9493.0)</f>
        <v>9493</v>
      </c>
      <c r="B5565" s="2" t="str">
        <f>IFERROR(__xludf.DUMMYFUNCTION("""COMPUTED_VALUE"""),"Law")</f>
        <v>Law</v>
      </c>
      <c r="C5565" s="2" t="str">
        <f>IFERROR(__xludf.DUMMYFUNCTION("""COMPUTED_VALUE"""),"Interior Design")</f>
        <v>Interior Design</v>
      </c>
      <c r="D5565" s="2" t="str">
        <f>IFERROR(__xludf.DUMMYFUNCTION("""COMPUTED_VALUE"""),"Brightwind Publishing House")</f>
        <v>Brightwind Publishing House</v>
      </c>
      <c r="E5565" s="2">
        <f>IFERROR(__xludf.DUMMYFUNCTION("""COMPUTED_VALUE"""),3.0)</f>
        <v>3</v>
      </c>
      <c r="F5565" s="2"/>
      <c r="G5565" s="2"/>
      <c r="H5565" s="2"/>
      <c r="I5565" s="2"/>
    </row>
    <row r="5566">
      <c r="A5566" s="2">
        <f>IFERROR(__xludf.DUMMYFUNCTION("""COMPUTED_VALUE"""),9502.0)</f>
        <v>9502</v>
      </c>
      <c r="B5566" s="2" t="str">
        <f>IFERROR(__xludf.DUMMYFUNCTION("""COMPUTED_VALUE"""),"Law")</f>
        <v>Law</v>
      </c>
      <c r="C5566" s="2" t="str">
        <f>IFERROR(__xludf.DUMMYFUNCTION("""COMPUTED_VALUE"""),"Interior Design")</f>
        <v>Interior Design</v>
      </c>
      <c r="D5566" s="2" t="str">
        <f>IFERROR(__xludf.DUMMYFUNCTION("""COMPUTED_VALUE"""),"Brightwind Publishing House")</f>
        <v>Brightwind Publishing House</v>
      </c>
      <c r="E5566" s="2">
        <f>IFERROR(__xludf.DUMMYFUNCTION("""COMPUTED_VALUE"""),1.16)</f>
        <v>1.16</v>
      </c>
      <c r="F5566" s="2"/>
      <c r="G5566" s="2"/>
      <c r="H5566" s="2"/>
      <c r="I5566" s="2"/>
    </row>
    <row r="5567">
      <c r="A5567" s="2">
        <f>IFERROR(__xludf.DUMMYFUNCTION("""COMPUTED_VALUE"""),147301.0)</f>
        <v>147301</v>
      </c>
      <c r="B5567" s="2" t="str">
        <f>IFERROR(__xludf.DUMMYFUNCTION("""COMPUTED_VALUE"""),"Law")</f>
        <v>Law</v>
      </c>
      <c r="C5567" s="2" t="str">
        <f>IFERROR(__xludf.DUMMYFUNCTION("""COMPUTED_VALUE"""),"Interior Design")</f>
        <v>Interior Design</v>
      </c>
      <c r="D5567" s="2" t="str">
        <f>IFERROR(__xludf.DUMMYFUNCTION("""COMPUTED_VALUE"""),"Brightwind Publishing House")</f>
        <v>Brightwind Publishing House</v>
      </c>
      <c r="E5567" s="2">
        <f>IFERROR(__xludf.DUMMYFUNCTION("""COMPUTED_VALUE"""),1.12)</f>
        <v>1.12</v>
      </c>
      <c r="F5567" s="2"/>
      <c r="G5567" s="2"/>
      <c r="H5567" s="2"/>
      <c r="I5567" s="2"/>
    </row>
    <row r="5568">
      <c r="A5568" s="2">
        <f>IFERROR(__xludf.DUMMYFUNCTION("""COMPUTED_VALUE"""),30569.0)</f>
        <v>30569</v>
      </c>
      <c r="B5568" s="2" t="str">
        <f>IFERROR(__xludf.DUMMYFUNCTION("""COMPUTED_VALUE"""),"Law")</f>
        <v>Law</v>
      </c>
      <c r="C5568" s="2" t="str">
        <f>IFERROR(__xludf.DUMMYFUNCTION("""COMPUTED_VALUE"""),"Interior Design")</f>
        <v>Interior Design</v>
      </c>
      <c r="D5568" s="2" t="str">
        <f>IFERROR(__xludf.DUMMYFUNCTION("""COMPUTED_VALUE"""),"Brightwind Publishing House")</f>
        <v>Brightwind Publishing House</v>
      </c>
      <c r="E5568" s="2">
        <f>IFERROR(__xludf.DUMMYFUNCTION("""COMPUTED_VALUE"""),6.83)</f>
        <v>6.83</v>
      </c>
      <c r="F5568" s="2"/>
      <c r="G5568" s="2"/>
      <c r="H5568" s="2"/>
      <c r="I5568" s="2"/>
    </row>
    <row r="5569">
      <c r="A5569" s="2">
        <f>IFERROR(__xludf.DUMMYFUNCTION("""COMPUTED_VALUE"""),112190.0)</f>
        <v>112190</v>
      </c>
      <c r="B5569" s="2" t="str">
        <f>IFERROR(__xludf.DUMMYFUNCTION("""COMPUTED_VALUE"""),"Law")</f>
        <v>Law</v>
      </c>
      <c r="C5569" s="2" t="str">
        <f>IFERROR(__xludf.DUMMYFUNCTION("""COMPUTED_VALUE"""),"Interior Design")</f>
        <v>Interior Design</v>
      </c>
      <c r="D5569" s="2" t="str">
        <f>IFERROR(__xludf.DUMMYFUNCTION("""COMPUTED_VALUE"""),"Brightwind Publishing House")</f>
        <v>Brightwind Publishing House</v>
      </c>
      <c r="E5569" s="2">
        <f>IFERROR(__xludf.DUMMYFUNCTION("""COMPUTED_VALUE"""),1.64)</f>
        <v>1.64</v>
      </c>
      <c r="F5569" s="2"/>
      <c r="G5569" s="2"/>
      <c r="H5569" s="2"/>
      <c r="I5569" s="2"/>
    </row>
    <row r="5570">
      <c r="A5570" s="2">
        <f>IFERROR(__xludf.DUMMYFUNCTION("""COMPUTED_VALUE"""),110833.0)</f>
        <v>110833</v>
      </c>
      <c r="B5570" s="2" t="str">
        <f>IFERROR(__xludf.DUMMYFUNCTION("""COMPUTED_VALUE"""),"Law")</f>
        <v>Law</v>
      </c>
      <c r="C5570" s="2" t="str">
        <f>IFERROR(__xludf.DUMMYFUNCTION("""COMPUTED_VALUE"""),"Interior Design")</f>
        <v>Interior Design</v>
      </c>
      <c r="D5570" s="2" t="str">
        <f>IFERROR(__xludf.DUMMYFUNCTION("""COMPUTED_VALUE"""),"Brightwind Publishing House")</f>
        <v>Brightwind Publishing House</v>
      </c>
      <c r="E5570" s="2">
        <f>IFERROR(__xludf.DUMMYFUNCTION("""COMPUTED_VALUE"""),4.69)</f>
        <v>4.69</v>
      </c>
      <c r="F5570" s="2"/>
      <c r="G5570" s="2"/>
      <c r="H5570" s="2"/>
      <c r="I5570" s="2"/>
    </row>
    <row r="5571">
      <c r="A5571" s="2">
        <f>IFERROR(__xludf.DUMMYFUNCTION("""COMPUTED_VALUE"""),9505.0)</f>
        <v>9505</v>
      </c>
      <c r="B5571" s="2" t="str">
        <f>IFERROR(__xludf.DUMMYFUNCTION("""COMPUTED_VALUE"""),"Law")</f>
        <v>Law</v>
      </c>
      <c r="C5571" s="2" t="str">
        <f>IFERROR(__xludf.DUMMYFUNCTION("""COMPUTED_VALUE"""),"Interior Design")</f>
        <v>Interior Design</v>
      </c>
      <c r="D5571" s="2" t="str">
        <f>IFERROR(__xludf.DUMMYFUNCTION("""COMPUTED_VALUE"""),"Brightwind Publishing House")</f>
        <v>Brightwind Publishing House</v>
      </c>
      <c r="E5571" s="2">
        <f>IFERROR(__xludf.DUMMYFUNCTION("""COMPUTED_VALUE"""),1.65)</f>
        <v>1.65</v>
      </c>
      <c r="F5571" s="2"/>
      <c r="G5571" s="2"/>
      <c r="H5571" s="2"/>
      <c r="I5571" s="2"/>
    </row>
    <row r="5572">
      <c r="A5572" s="2">
        <f>IFERROR(__xludf.DUMMYFUNCTION("""COMPUTED_VALUE"""),119248.0)</f>
        <v>119248</v>
      </c>
      <c r="B5572" s="2" t="str">
        <f>IFERROR(__xludf.DUMMYFUNCTION("""COMPUTED_VALUE"""),"Law")</f>
        <v>Law</v>
      </c>
      <c r="C5572" s="2" t="str">
        <f>IFERROR(__xludf.DUMMYFUNCTION("""COMPUTED_VALUE"""),"Interior Design")</f>
        <v>Interior Design</v>
      </c>
      <c r="D5572" s="2" t="str">
        <f>IFERROR(__xludf.DUMMYFUNCTION("""COMPUTED_VALUE"""),"Brightwind Publishing House")</f>
        <v>Brightwind Publishing House</v>
      </c>
      <c r="E5572" s="2">
        <f>IFERROR(__xludf.DUMMYFUNCTION("""COMPUTED_VALUE"""),2.3)</f>
        <v>2.3</v>
      </c>
      <c r="F5572" s="2"/>
      <c r="G5572" s="2"/>
      <c r="H5572" s="2"/>
      <c r="I5572" s="2"/>
    </row>
    <row r="5573">
      <c r="A5573" s="2">
        <f>IFERROR(__xludf.DUMMYFUNCTION("""COMPUTED_VALUE"""),147306.0)</f>
        <v>147306</v>
      </c>
      <c r="B5573" s="2" t="str">
        <f>IFERROR(__xludf.DUMMYFUNCTION("""COMPUTED_VALUE"""),"Law")</f>
        <v>Law</v>
      </c>
      <c r="C5573" s="2" t="str">
        <f>IFERROR(__xludf.DUMMYFUNCTION("""COMPUTED_VALUE"""),"Interior Design")</f>
        <v>Interior Design</v>
      </c>
      <c r="D5573" s="2" t="str">
        <f>IFERROR(__xludf.DUMMYFUNCTION("""COMPUTED_VALUE"""),"Brightwind Publishing House")</f>
        <v>Brightwind Publishing House</v>
      </c>
      <c r="E5573" s="2">
        <f>IFERROR(__xludf.DUMMYFUNCTION("""COMPUTED_VALUE"""),7.12)</f>
        <v>7.12</v>
      </c>
      <c r="F5573" s="2"/>
      <c r="G5573" s="2"/>
      <c r="H5573" s="2"/>
      <c r="I5573" s="2"/>
    </row>
    <row r="5574">
      <c r="A5574" s="2">
        <f>IFERROR(__xludf.DUMMYFUNCTION("""COMPUTED_VALUE"""),77425.0)</f>
        <v>77425</v>
      </c>
      <c r="B5574" s="2" t="str">
        <f>IFERROR(__xludf.DUMMYFUNCTION("""COMPUTED_VALUE"""),"Law")</f>
        <v>Law</v>
      </c>
      <c r="C5574" s="2" t="str">
        <f>IFERROR(__xludf.DUMMYFUNCTION("""COMPUTED_VALUE"""),"Interior Design")</f>
        <v>Interior Design</v>
      </c>
      <c r="D5574" s="2" t="str">
        <f>IFERROR(__xludf.DUMMYFUNCTION("""COMPUTED_VALUE"""),"Brightwind Publishing House")</f>
        <v>Brightwind Publishing House</v>
      </c>
      <c r="E5574" s="2">
        <f>IFERROR(__xludf.DUMMYFUNCTION("""COMPUTED_VALUE"""),1.51)</f>
        <v>1.51</v>
      </c>
      <c r="F5574" s="2"/>
      <c r="G5574" s="2"/>
      <c r="H5574" s="2"/>
      <c r="I5574" s="2"/>
    </row>
    <row r="5575">
      <c r="A5575" s="2">
        <f>IFERROR(__xludf.DUMMYFUNCTION("""COMPUTED_VALUE"""),9497.0)</f>
        <v>9497</v>
      </c>
      <c r="B5575" s="2" t="str">
        <f>IFERROR(__xludf.DUMMYFUNCTION("""COMPUTED_VALUE"""),"Law")</f>
        <v>Law</v>
      </c>
      <c r="C5575" s="2" t="str">
        <f>IFERROR(__xludf.DUMMYFUNCTION("""COMPUTED_VALUE"""),"Interior Design")</f>
        <v>Interior Design</v>
      </c>
      <c r="D5575" s="2" t="str">
        <f>IFERROR(__xludf.DUMMYFUNCTION("""COMPUTED_VALUE"""),"Brightwind Publishing House")</f>
        <v>Brightwind Publishing House</v>
      </c>
      <c r="E5575" s="2">
        <f>IFERROR(__xludf.DUMMYFUNCTION("""COMPUTED_VALUE"""),1.63)</f>
        <v>1.63</v>
      </c>
      <c r="F5575" s="2"/>
      <c r="G5575" s="2"/>
      <c r="H5575" s="2"/>
      <c r="I5575" s="2"/>
    </row>
    <row r="5576">
      <c r="A5576" s="2">
        <f>IFERROR(__xludf.DUMMYFUNCTION("""COMPUTED_VALUE"""),9601.0)</f>
        <v>9601</v>
      </c>
      <c r="B5576" s="2" t="str">
        <f>IFERROR(__xludf.DUMMYFUNCTION("""COMPUTED_VALUE"""),"Law")</f>
        <v>Law</v>
      </c>
      <c r="C5576" s="2" t="str">
        <f>IFERROR(__xludf.DUMMYFUNCTION("""COMPUTED_VALUE"""),"Interior Design")</f>
        <v>Interior Design</v>
      </c>
      <c r="D5576" s="2" t="str">
        <f>IFERROR(__xludf.DUMMYFUNCTION("""COMPUTED_VALUE"""),"Brightwind Publishing House")</f>
        <v>Brightwind Publishing House</v>
      </c>
      <c r="E5576" s="2">
        <f>IFERROR(__xludf.DUMMYFUNCTION("""COMPUTED_VALUE"""),2.19)</f>
        <v>2.19</v>
      </c>
      <c r="F5576" s="2"/>
      <c r="G5576" s="2"/>
      <c r="H5576" s="2"/>
      <c r="I5576" s="2"/>
    </row>
    <row r="5577">
      <c r="A5577" s="2">
        <f>IFERROR(__xludf.DUMMYFUNCTION("""COMPUTED_VALUE"""),117799.0)</f>
        <v>117799</v>
      </c>
      <c r="B5577" s="2" t="str">
        <f>IFERROR(__xludf.DUMMYFUNCTION("""COMPUTED_VALUE"""),"Law")</f>
        <v>Law</v>
      </c>
      <c r="C5577" s="2" t="str">
        <f>IFERROR(__xludf.DUMMYFUNCTION("""COMPUTED_VALUE"""),"Interior Design")</f>
        <v>Interior Design</v>
      </c>
      <c r="D5577" s="2" t="str">
        <f>IFERROR(__xludf.DUMMYFUNCTION("""COMPUTED_VALUE"""),"Brightwind Publishing House")</f>
        <v>Brightwind Publishing House</v>
      </c>
      <c r="E5577" s="2">
        <f>IFERROR(__xludf.DUMMYFUNCTION("""COMPUTED_VALUE"""),1.53)</f>
        <v>1.53</v>
      </c>
      <c r="F5577" s="2"/>
      <c r="G5577" s="2"/>
      <c r="H5577" s="2"/>
      <c r="I5577" s="2"/>
    </row>
    <row r="5578">
      <c r="A5578" s="2">
        <f>IFERROR(__xludf.DUMMYFUNCTION("""COMPUTED_VALUE"""),82770.0)</f>
        <v>82770</v>
      </c>
      <c r="B5578" s="2" t="str">
        <f>IFERROR(__xludf.DUMMYFUNCTION("""COMPUTED_VALUE"""),"Law")</f>
        <v>Law</v>
      </c>
      <c r="C5578" s="2" t="str">
        <f>IFERROR(__xludf.DUMMYFUNCTION("""COMPUTED_VALUE"""),"Interior Design")</f>
        <v>Interior Design</v>
      </c>
      <c r="D5578" s="2" t="str">
        <f>IFERROR(__xludf.DUMMYFUNCTION("""COMPUTED_VALUE"""),"Brightwind Publishing House")</f>
        <v>Brightwind Publishing House</v>
      </c>
      <c r="E5578" s="2">
        <f>IFERROR(__xludf.DUMMYFUNCTION("""COMPUTED_VALUE"""),4.43)</f>
        <v>4.43</v>
      </c>
      <c r="F5578" s="2"/>
      <c r="G5578" s="2"/>
      <c r="H5578" s="2"/>
      <c r="I5578" s="2"/>
    </row>
    <row r="5579">
      <c r="A5579" s="2">
        <f>IFERROR(__xludf.DUMMYFUNCTION("""COMPUTED_VALUE"""),119249.0)</f>
        <v>119249</v>
      </c>
      <c r="B5579" s="2" t="str">
        <f>IFERROR(__xludf.DUMMYFUNCTION("""COMPUTED_VALUE"""),"Law")</f>
        <v>Law</v>
      </c>
      <c r="C5579" s="2" t="str">
        <f>IFERROR(__xludf.DUMMYFUNCTION("""COMPUTED_VALUE"""),"Interior Design")</f>
        <v>Interior Design</v>
      </c>
      <c r="D5579" s="2" t="str">
        <f>IFERROR(__xludf.DUMMYFUNCTION("""COMPUTED_VALUE"""),"Brightwind Publishing House")</f>
        <v>Brightwind Publishing House</v>
      </c>
      <c r="E5579" s="2">
        <f>IFERROR(__xludf.DUMMYFUNCTION("""COMPUTED_VALUE"""),1.75)</f>
        <v>1.75</v>
      </c>
      <c r="F5579" s="2"/>
      <c r="G5579" s="2"/>
      <c r="H5579" s="2"/>
      <c r="I5579" s="2"/>
    </row>
    <row r="5580">
      <c r="A5580" s="2">
        <f>IFERROR(__xludf.DUMMYFUNCTION("""COMPUTED_VALUE"""),86191.0)</f>
        <v>86191</v>
      </c>
      <c r="B5580" s="2" t="str">
        <f>IFERROR(__xludf.DUMMYFUNCTION("""COMPUTED_VALUE"""),"Law")</f>
        <v>Law</v>
      </c>
      <c r="C5580" s="2" t="str">
        <f>IFERROR(__xludf.DUMMYFUNCTION("""COMPUTED_VALUE"""),"Interior Design")</f>
        <v>Interior Design</v>
      </c>
      <c r="D5580" s="2" t="str">
        <f>IFERROR(__xludf.DUMMYFUNCTION("""COMPUTED_VALUE"""),"Brightwind Publishing House")</f>
        <v>Brightwind Publishing House</v>
      </c>
      <c r="E5580" s="2">
        <f>IFERROR(__xludf.DUMMYFUNCTION("""COMPUTED_VALUE"""),2.0)</f>
        <v>2</v>
      </c>
      <c r="F5580" s="2"/>
      <c r="G5580" s="2"/>
      <c r="H5580" s="2"/>
      <c r="I5580" s="2"/>
    </row>
    <row r="5581">
      <c r="A5581" s="2">
        <f>IFERROR(__xludf.DUMMYFUNCTION("""COMPUTED_VALUE"""),9503.0)</f>
        <v>9503</v>
      </c>
      <c r="B5581" s="2" t="str">
        <f>IFERROR(__xludf.DUMMYFUNCTION("""COMPUTED_VALUE"""),"Law")</f>
        <v>Law</v>
      </c>
      <c r="C5581" s="2" t="str">
        <f>IFERROR(__xludf.DUMMYFUNCTION("""COMPUTED_VALUE"""),"Interior Design")</f>
        <v>Interior Design</v>
      </c>
      <c r="D5581" s="2" t="str">
        <f>IFERROR(__xludf.DUMMYFUNCTION("""COMPUTED_VALUE"""),"Brightwind Publishing House")</f>
        <v>Brightwind Publishing House</v>
      </c>
      <c r="E5581" s="2">
        <f>IFERROR(__xludf.DUMMYFUNCTION("""COMPUTED_VALUE"""),1.51)</f>
        <v>1.51</v>
      </c>
      <c r="F5581" s="2"/>
      <c r="G5581" s="2"/>
      <c r="H5581" s="2"/>
      <c r="I5581" s="2"/>
    </row>
    <row r="5582">
      <c r="A5582" s="2">
        <f>IFERROR(__xludf.DUMMYFUNCTION("""COMPUTED_VALUE"""),94007.0)</f>
        <v>94007</v>
      </c>
      <c r="B5582" s="2" t="str">
        <f>IFERROR(__xludf.DUMMYFUNCTION("""COMPUTED_VALUE"""),"Law")</f>
        <v>Law</v>
      </c>
      <c r="C5582" s="2" t="str">
        <f>IFERROR(__xludf.DUMMYFUNCTION("""COMPUTED_VALUE"""),"Interior Design")</f>
        <v>Interior Design</v>
      </c>
      <c r="D5582" s="2" t="str">
        <f>IFERROR(__xludf.DUMMYFUNCTION("""COMPUTED_VALUE"""),"Brightwind Publishing House")</f>
        <v>Brightwind Publishing House</v>
      </c>
      <c r="E5582" s="2">
        <f>IFERROR(__xludf.DUMMYFUNCTION("""COMPUTED_VALUE"""),1.36)</f>
        <v>1.36</v>
      </c>
      <c r="F5582" s="2"/>
      <c r="G5582" s="2"/>
      <c r="H5582" s="2"/>
      <c r="I5582" s="2"/>
    </row>
    <row r="5583">
      <c r="A5583" s="2">
        <f>IFERROR(__xludf.DUMMYFUNCTION("""COMPUTED_VALUE"""),82761.0)</f>
        <v>82761</v>
      </c>
      <c r="B5583" s="2" t="str">
        <f>IFERROR(__xludf.DUMMYFUNCTION("""COMPUTED_VALUE"""),"Law")</f>
        <v>Law</v>
      </c>
      <c r="C5583" s="2" t="str">
        <f>IFERROR(__xludf.DUMMYFUNCTION("""COMPUTED_VALUE"""),"Interior Design")</f>
        <v>Interior Design</v>
      </c>
      <c r="D5583" s="2" t="str">
        <f>IFERROR(__xludf.DUMMYFUNCTION("""COMPUTED_VALUE"""),"Brightwind Publishing House")</f>
        <v>Brightwind Publishing House</v>
      </c>
      <c r="E5583" s="2">
        <f>IFERROR(__xludf.DUMMYFUNCTION("""COMPUTED_VALUE"""),3.77)</f>
        <v>3.77</v>
      </c>
      <c r="F5583" s="2"/>
      <c r="G5583" s="2"/>
      <c r="H5583" s="2"/>
      <c r="I5583" s="2"/>
    </row>
    <row r="5584">
      <c r="A5584" s="2">
        <f>IFERROR(__xludf.DUMMYFUNCTION("""COMPUTED_VALUE"""),9599.0)</f>
        <v>9599</v>
      </c>
      <c r="B5584" s="2" t="str">
        <f>IFERROR(__xludf.DUMMYFUNCTION("""COMPUTED_VALUE"""),"Law")</f>
        <v>Law</v>
      </c>
      <c r="C5584" s="2" t="str">
        <f>IFERROR(__xludf.DUMMYFUNCTION("""COMPUTED_VALUE"""),"Interior Design")</f>
        <v>Interior Design</v>
      </c>
      <c r="D5584" s="2" t="str">
        <f>IFERROR(__xludf.DUMMYFUNCTION("""COMPUTED_VALUE"""),"Brightwind Publishing House")</f>
        <v>Brightwind Publishing House</v>
      </c>
      <c r="E5584" s="2">
        <f>IFERROR(__xludf.DUMMYFUNCTION("""COMPUTED_VALUE"""),2.65)</f>
        <v>2.65</v>
      </c>
      <c r="F5584" s="2"/>
      <c r="G5584" s="2"/>
      <c r="H5584" s="2"/>
      <c r="I5584" s="2"/>
    </row>
    <row r="5585">
      <c r="A5585" s="2">
        <f>IFERROR(__xludf.DUMMYFUNCTION("""COMPUTED_VALUE"""),9496.0)</f>
        <v>9496</v>
      </c>
      <c r="B5585" s="2" t="str">
        <f>IFERROR(__xludf.DUMMYFUNCTION("""COMPUTED_VALUE"""),"Law")</f>
        <v>Law</v>
      </c>
      <c r="C5585" s="2" t="str">
        <f>IFERROR(__xludf.DUMMYFUNCTION("""COMPUTED_VALUE"""),"Interior Design")</f>
        <v>Interior Design</v>
      </c>
      <c r="D5585" s="2" t="str">
        <f>IFERROR(__xludf.DUMMYFUNCTION("""COMPUTED_VALUE"""),"Brightwind Publishing House")</f>
        <v>Brightwind Publishing House</v>
      </c>
      <c r="E5585" s="2">
        <f>IFERROR(__xludf.DUMMYFUNCTION("""COMPUTED_VALUE"""),3.81)</f>
        <v>3.81</v>
      </c>
      <c r="F5585" s="2"/>
      <c r="G5585" s="2"/>
      <c r="H5585" s="2"/>
      <c r="I5585" s="2"/>
    </row>
    <row r="5586">
      <c r="A5586" s="2">
        <f>IFERROR(__xludf.DUMMYFUNCTION("""COMPUTED_VALUE"""),195072.0)</f>
        <v>195072</v>
      </c>
      <c r="B5586" s="2" t="str">
        <f>IFERROR(__xludf.DUMMYFUNCTION("""COMPUTED_VALUE"""),"Law")</f>
        <v>Law</v>
      </c>
      <c r="C5586" s="2" t="str">
        <f>IFERROR(__xludf.DUMMYFUNCTION("""COMPUTED_VALUE"""),"Interior Design")</f>
        <v>Interior Design</v>
      </c>
      <c r="D5586" s="2" t="str">
        <f>IFERROR(__xludf.DUMMYFUNCTION("""COMPUTED_VALUE"""),"Brightwind Publishing House")</f>
        <v>Brightwind Publishing House</v>
      </c>
      <c r="E5586" s="2">
        <f>IFERROR(__xludf.DUMMYFUNCTION("""COMPUTED_VALUE"""),2.0)</f>
        <v>2</v>
      </c>
      <c r="F5586" s="2"/>
      <c r="G5586" s="2"/>
      <c r="H5586" s="2"/>
      <c r="I5586" s="2"/>
    </row>
    <row r="5587">
      <c r="A5587" s="2">
        <f>IFERROR(__xludf.DUMMYFUNCTION("""COMPUTED_VALUE"""),119252.0)</f>
        <v>119252</v>
      </c>
      <c r="B5587" s="2" t="str">
        <f>IFERROR(__xludf.DUMMYFUNCTION("""COMPUTED_VALUE"""),"Law")</f>
        <v>Law</v>
      </c>
      <c r="C5587" s="2" t="str">
        <f>IFERROR(__xludf.DUMMYFUNCTION("""COMPUTED_VALUE"""),"Interior Design")</f>
        <v>Interior Design</v>
      </c>
      <c r="D5587" s="2" t="str">
        <f>IFERROR(__xludf.DUMMYFUNCTION("""COMPUTED_VALUE"""),"Brightwind Publishing House")</f>
        <v>Brightwind Publishing House</v>
      </c>
      <c r="E5587" s="2">
        <f>IFERROR(__xludf.DUMMYFUNCTION("""COMPUTED_VALUE"""),2.08)</f>
        <v>2.08</v>
      </c>
      <c r="F5587" s="2"/>
      <c r="G5587" s="2"/>
      <c r="H5587" s="2"/>
      <c r="I5587" s="2"/>
    </row>
    <row r="5588">
      <c r="A5588" s="2">
        <f>IFERROR(__xludf.DUMMYFUNCTION("""COMPUTED_VALUE"""),9501.0)</f>
        <v>9501</v>
      </c>
      <c r="B5588" s="2" t="str">
        <f>IFERROR(__xludf.DUMMYFUNCTION("""COMPUTED_VALUE"""),"Law")</f>
        <v>Law</v>
      </c>
      <c r="C5588" s="2" t="str">
        <f>IFERROR(__xludf.DUMMYFUNCTION("""COMPUTED_VALUE"""),"Interior Design")</f>
        <v>Interior Design</v>
      </c>
      <c r="D5588" s="2" t="str">
        <f>IFERROR(__xludf.DUMMYFUNCTION("""COMPUTED_VALUE"""),"Brightwind Publishing House")</f>
        <v>Brightwind Publishing House</v>
      </c>
      <c r="E5588" s="2">
        <f>IFERROR(__xludf.DUMMYFUNCTION("""COMPUTED_VALUE"""),1.07)</f>
        <v>1.07</v>
      </c>
      <c r="F5588" s="2"/>
      <c r="G5588" s="2"/>
      <c r="H5588" s="2"/>
      <c r="I5588" s="2"/>
    </row>
    <row r="5589">
      <c r="A5589" s="2">
        <f>IFERROR(__xludf.DUMMYFUNCTION("""COMPUTED_VALUE"""),9491.0)</f>
        <v>9491</v>
      </c>
      <c r="B5589" s="2" t="str">
        <f>IFERROR(__xludf.DUMMYFUNCTION("""COMPUTED_VALUE"""),"Law")</f>
        <v>Law</v>
      </c>
      <c r="C5589" s="2" t="str">
        <f>IFERROR(__xludf.DUMMYFUNCTION("""COMPUTED_VALUE"""),"Interior Design")</f>
        <v>Interior Design</v>
      </c>
      <c r="D5589" s="2" t="str">
        <f>IFERROR(__xludf.DUMMYFUNCTION("""COMPUTED_VALUE"""),"Brightwind Publishing House")</f>
        <v>Brightwind Publishing House</v>
      </c>
      <c r="E5589" s="2">
        <f>IFERROR(__xludf.DUMMYFUNCTION("""COMPUTED_VALUE"""),1.52)</f>
        <v>1.52</v>
      </c>
      <c r="F5589" s="2"/>
      <c r="G5589" s="2"/>
      <c r="H5589" s="2"/>
      <c r="I5589" s="2"/>
    </row>
    <row r="5590">
      <c r="A5590" s="2">
        <f>IFERROR(__xludf.DUMMYFUNCTION("""COMPUTED_VALUE"""),194058.0)</f>
        <v>194058</v>
      </c>
      <c r="B5590" s="2" t="str">
        <f>IFERROR(__xludf.DUMMYFUNCTION("""COMPUTED_VALUE"""),"Law")</f>
        <v>Law</v>
      </c>
      <c r="C5590" s="2" t="str">
        <f>IFERROR(__xludf.DUMMYFUNCTION("""COMPUTED_VALUE"""),"Interior Design")</f>
        <v>Interior Design</v>
      </c>
      <c r="D5590" s="2" t="str">
        <f>IFERROR(__xludf.DUMMYFUNCTION("""COMPUTED_VALUE"""),"Brightwind Publishing House")</f>
        <v>Brightwind Publishing House</v>
      </c>
      <c r="E5590" s="2">
        <f>IFERROR(__xludf.DUMMYFUNCTION("""COMPUTED_VALUE"""),2.25)</f>
        <v>2.25</v>
      </c>
      <c r="F5590" s="2"/>
      <c r="G5590" s="2"/>
      <c r="H5590" s="2"/>
      <c r="I5590" s="2"/>
    </row>
    <row r="5591">
      <c r="A5591" s="2">
        <f>IFERROR(__xludf.DUMMYFUNCTION("""COMPUTED_VALUE"""),111319.0)</f>
        <v>111319</v>
      </c>
      <c r="B5591" s="2" t="str">
        <f>IFERROR(__xludf.DUMMYFUNCTION("""COMPUTED_VALUE"""),"Law")</f>
        <v>Law</v>
      </c>
      <c r="C5591" s="2" t="str">
        <f>IFERROR(__xludf.DUMMYFUNCTION("""COMPUTED_VALUE"""),"Interior Design")</f>
        <v>Interior Design</v>
      </c>
      <c r="D5591" s="2" t="str">
        <f>IFERROR(__xludf.DUMMYFUNCTION("""COMPUTED_VALUE"""),"Oakwind Publishing House")</f>
        <v>Oakwind Publishing House</v>
      </c>
      <c r="E5591" s="2">
        <f>IFERROR(__xludf.DUMMYFUNCTION("""COMPUTED_VALUE"""),2.27)</f>
        <v>2.27</v>
      </c>
      <c r="F5591" s="2"/>
      <c r="G5591" s="2"/>
      <c r="H5591" s="2"/>
      <c r="I5591" s="2"/>
    </row>
    <row r="5592">
      <c r="A5592" s="2">
        <f>IFERROR(__xludf.DUMMYFUNCTION("""COMPUTED_VALUE"""),86655.0)</f>
        <v>86655</v>
      </c>
      <c r="B5592" s="2" t="str">
        <f>IFERROR(__xludf.DUMMYFUNCTION("""COMPUTED_VALUE"""),"Law")</f>
        <v>Law</v>
      </c>
      <c r="C5592" s="2" t="str">
        <f>IFERROR(__xludf.DUMMYFUNCTION("""COMPUTED_VALUE"""),"Interior Design")</f>
        <v>Interior Design</v>
      </c>
      <c r="D5592" s="2" t="str">
        <f>IFERROR(__xludf.DUMMYFUNCTION("""COMPUTED_VALUE"""),"Oakwind Publishing House")</f>
        <v>Oakwind Publishing House</v>
      </c>
      <c r="E5592" s="2">
        <f>IFERROR(__xludf.DUMMYFUNCTION("""COMPUTED_VALUE"""),8.95)</f>
        <v>8.95</v>
      </c>
      <c r="F5592" s="2"/>
      <c r="G5592" s="2"/>
      <c r="H5592" s="2"/>
      <c r="I5592" s="2"/>
    </row>
    <row r="5593">
      <c r="A5593" s="2">
        <f>IFERROR(__xludf.DUMMYFUNCTION("""COMPUTED_VALUE"""),147300.0)</f>
        <v>147300</v>
      </c>
      <c r="B5593" s="2" t="str">
        <f>IFERROR(__xludf.DUMMYFUNCTION("""COMPUTED_VALUE"""),"Law")</f>
        <v>Law</v>
      </c>
      <c r="C5593" s="2" t="str">
        <f>IFERROR(__xludf.DUMMYFUNCTION("""COMPUTED_VALUE"""),"Interior Design")</f>
        <v>Interior Design</v>
      </c>
      <c r="D5593" s="2" t="str">
        <f>IFERROR(__xludf.DUMMYFUNCTION("""COMPUTED_VALUE"""),"Oakwind Publishing House")</f>
        <v>Oakwind Publishing House</v>
      </c>
      <c r="E5593" s="2">
        <f>IFERROR(__xludf.DUMMYFUNCTION("""COMPUTED_VALUE"""),2.4)</f>
        <v>2.4</v>
      </c>
      <c r="F5593" s="2"/>
      <c r="G5593" s="2"/>
      <c r="H5593" s="2"/>
      <c r="I5593" s="2"/>
    </row>
    <row r="5594">
      <c r="A5594" s="2">
        <f>IFERROR(__xludf.DUMMYFUNCTION("""COMPUTED_VALUE"""),13861.0)</f>
        <v>13861</v>
      </c>
      <c r="B5594" s="2" t="str">
        <f>IFERROR(__xludf.DUMMYFUNCTION("""COMPUTED_VALUE"""),"Law")</f>
        <v>Law</v>
      </c>
      <c r="C5594" s="2" t="str">
        <f>IFERROR(__xludf.DUMMYFUNCTION("""COMPUTED_VALUE"""),"Interior Design")</f>
        <v>Interior Design</v>
      </c>
      <c r="D5594" s="2" t="str">
        <f>IFERROR(__xludf.DUMMYFUNCTION("""COMPUTED_VALUE"""),"Oakwind Publishing House")</f>
        <v>Oakwind Publishing House</v>
      </c>
      <c r="E5594" s="2">
        <f>IFERROR(__xludf.DUMMYFUNCTION("""COMPUTED_VALUE"""),3.37)</f>
        <v>3.37</v>
      </c>
      <c r="F5594" s="2"/>
      <c r="G5594" s="2"/>
      <c r="H5594" s="2"/>
      <c r="I5594" s="2"/>
    </row>
    <row r="5595">
      <c r="A5595" s="2">
        <f>IFERROR(__xludf.DUMMYFUNCTION("""COMPUTED_VALUE"""),81510.0)</f>
        <v>81510</v>
      </c>
      <c r="B5595" s="2" t="str">
        <f>IFERROR(__xludf.DUMMYFUNCTION("""COMPUTED_VALUE"""),"Law")</f>
        <v>Law</v>
      </c>
      <c r="C5595" s="2" t="str">
        <f>IFERROR(__xludf.DUMMYFUNCTION("""COMPUTED_VALUE"""),"Interior Design")</f>
        <v>Interior Design</v>
      </c>
      <c r="D5595" s="2" t="str">
        <f>IFERROR(__xludf.DUMMYFUNCTION("""COMPUTED_VALUE"""),"Oakwind Publishing House")</f>
        <v>Oakwind Publishing House</v>
      </c>
      <c r="E5595" s="2">
        <f>IFERROR(__xludf.DUMMYFUNCTION("""COMPUTED_VALUE"""),6.69)</f>
        <v>6.69</v>
      </c>
      <c r="F5595" s="2"/>
      <c r="G5595" s="2"/>
      <c r="H5595" s="2"/>
      <c r="I5595" s="2"/>
    </row>
    <row r="5596">
      <c r="A5596" s="2">
        <f>IFERROR(__xludf.DUMMYFUNCTION("""COMPUTED_VALUE"""),9560.0)</f>
        <v>9560</v>
      </c>
      <c r="B5596" s="2" t="str">
        <f>IFERROR(__xludf.DUMMYFUNCTION("""COMPUTED_VALUE"""),"Law")</f>
        <v>Law</v>
      </c>
      <c r="C5596" s="2" t="str">
        <f>IFERROR(__xludf.DUMMYFUNCTION("""COMPUTED_VALUE"""),"Interior Design")</f>
        <v>Interior Design</v>
      </c>
      <c r="D5596" s="2" t="str">
        <f>IFERROR(__xludf.DUMMYFUNCTION("""COMPUTED_VALUE"""),"Oakwind Publishing House")</f>
        <v>Oakwind Publishing House</v>
      </c>
      <c r="E5596" s="2">
        <f>IFERROR(__xludf.DUMMYFUNCTION("""COMPUTED_VALUE"""),2.4)</f>
        <v>2.4</v>
      </c>
      <c r="F5596" s="2"/>
      <c r="G5596" s="2"/>
      <c r="H5596" s="2"/>
      <c r="I5596" s="2"/>
    </row>
    <row r="5597">
      <c r="A5597" s="2">
        <f>IFERROR(__xludf.DUMMYFUNCTION("""COMPUTED_VALUE"""),72161.0)</f>
        <v>72161</v>
      </c>
      <c r="B5597" s="2" t="str">
        <f>IFERROR(__xludf.DUMMYFUNCTION("""COMPUTED_VALUE"""),"Law")</f>
        <v>Law</v>
      </c>
      <c r="C5597" s="2" t="str">
        <f>IFERROR(__xludf.DUMMYFUNCTION("""COMPUTED_VALUE"""),"Interior Design")</f>
        <v>Interior Design</v>
      </c>
      <c r="D5597" s="2" t="str">
        <f>IFERROR(__xludf.DUMMYFUNCTION("""COMPUTED_VALUE"""),"Oakwind Publishing House")</f>
        <v>Oakwind Publishing House</v>
      </c>
      <c r="E5597" s="2">
        <f>IFERROR(__xludf.DUMMYFUNCTION("""COMPUTED_VALUE"""),4.99)</f>
        <v>4.99</v>
      </c>
      <c r="F5597" s="2"/>
      <c r="G5597" s="2"/>
      <c r="H5597" s="2"/>
      <c r="I5597" s="2"/>
    </row>
    <row r="5598">
      <c r="A5598" s="2">
        <f>IFERROR(__xludf.DUMMYFUNCTION("""COMPUTED_VALUE"""),9561.0)</f>
        <v>9561</v>
      </c>
      <c r="B5598" s="2" t="str">
        <f>IFERROR(__xludf.DUMMYFUNCTION("""COMPUTED_VALUE"""),"Law")</f>
        <v>Law</v>
      </c>
      <c r="C5598" s="2" t="str">
        <f>IFERROR(__xludf.DUMMYFUNCTION("""COMPUTED_VALUE"""),"Interior Design")</f>
        <v>Interior Design</v>
      </c>
      <c r="D5598" s="2" t="str">
        <f>IFERROR(__xludf.DUMMYFUNCTION("""COMPUTED_VALUE"""),"Oakwind Publishing House")</f>
        <v>Oakwind Publishing House</v>
      </c>
      <c r="E5598" s="2">
        <f>IFERROR(__xludf.DUMMYFUNCTION("""COMPUTED_VALUE"""),6.85)</f>
        <v>6.85</v>
      </c>
      <c r="F5598" s="2"/>
      <c r="G5598" s="2"/>
      <c r="H5598" s="2"/>
      <c r="I5598" s="2"/>
    </row>
    <row r="5599">
      <c r="A5599" s="2">
        <f>IFERROR(__xludf.DUMMYFUNCTION("""COMPUTED_VALUE"""),9562.0)</f>
        <v>9562</v>
      </c>
      <c r="B5599" s="2" t="str">
        <f>IFERROR(__xludf.DUMMYFUNCTION("""COMPUTED_VALUE"""),"Law")</f>
        <v>Law</v>
      </c>
      <c r="C5599" s="2" t="str">
        <f>IFERROR(__xludf.DUMMYFUNCTION("""COMPUTED_VALUE"""),"Interior Design")</f>
        <v>Interior Design</v>
      </c>
      <c r="D5599" s="2" t="str">
        <f>IFERROR(__xludf.DUMMYFUNCTION("""COMPUTED_VALUE"""),"Oakwind Publishing House")</f>
        <v>Oakwind Publishing House</v>
      </c>
      <c r="E5599" s="2">
        <f>IFERROR(__xludf.DUMMYFUNCTION("""COMPUTED_VALUE"""),7.13)</f>
        <v>7.13</v>
      </c>
      <c r="F5599" s="2"/>
      <c r="G5599" s="2"/>
      <c r="H5599" s="2"/>
      <c r="I5599" s="2"/>
    </row>
    <row r="5600">
      <c r="A5600" s="2">
        <f>IFERROR(__xludf.DUMMYFUNCTION("""COMPUTED_VALUE"""),119250.0)</f>
        <v>119250</v>
      </c>
      <c r="B5600" s="2" t="str">
        <f>IFERROR(__xludf.DUMMYFUNCTION("""COMPUTED_VALUE"""),"Law")</f>
        <v>Law</v>
      </c>
      <c r="C5600" s="2" t="str">
        <f>IFERROR(__xludf.DUMMYFUNCTION("""COMPUTED_VALUE"""),"Interior Design")</f>
        <v>Interior Design</v>
      </c>
      <c r="D5600" s="2" t="str">
        <f>IFERROR(__xludf.DUMMYFUNCTION("""COMPUTED_VALUE"""),"Oakwind Publishing House")</f>
        <v>Oakwind Publishing House</v>
      </c>
      <c r="E5600" s="2">
        <f>IFERROR(__xludf.DUMMYFUNCTION("""COMPUTED_VALUE"""),3.11)</f>
        <v>3.11</v>
      </c>
      <c r="F5600" s="2"/>
      <c r="G5600" s="2"/>
      <c r="H5600" s="2"/>
      <c r="I5600" s="2"/>
    </row>
    <row r="5601">
      <c r="A5601" s="2">
        <f>IFERROR(__xludf.DUMMYFUNCTION("""COMPUTED_VALUE"""),122297.0)</f>
        <v>122297</v>
      </c>
      <c r="B5601" s="2" t="str">
        <f>IFERROR(__xludf.DUMMYFUNCTION("""COMPUTED_VALUE"""),"Law")</f>
        <v>Law</v>
      </c>
      <c r="C5601" s="2" t="str">
        <f>IFERROR(__xludf.DUMMYFUNCTION("""COMPUTED_VALUE"""),"Interior Design")</f>
        <v>Interior Design</v>
      </c>
      <c r="D5601" s="2" t="str">
        <f>IFERROR(__xludf.DUMMYFUNCTION("""COMPUTED_VALUE"""),"Riverwind Publishing House")</f>
        <v>Riverwind Publishing House</v>
      </c>
      <c r="E5601" s="2">
        <f>IFERROR(__xludf.DUMMYFUNCTION("""COMPUTED_VALUE"""),2.67)</f>
        <v>2.67</v>
      </c>
      <c r="F5601" s="2"/>
      <c r="G5601" s="2"/>
      <c r="H5601" s="2"/>
      <c r="I5601" s="2"/>
    </row>
    <row r="5602">
      <c r="A5602" s="2">
        <f>IFERROR(__xludf.DUMMYFUNCTION("""COMPUTED_VALUE"""),164879.0)</f>
        <v>164879</v>
      </c>
      <c r="B5602" s="2" t="str">
        <f>IFERROR(__xludf.DUMMYFUNCTION("""COMPUTED_VALUE"""),"Law")</f>
        <v>Law</v>
      </c>
      <c r="C5602" s="2" t="str">
        <f>IFERROR(__xludf.DUMMYFUNCTION("""COMPUTED_VALUE"""),"Interior Design")</f>
        <v>Interior Design</v>
      </c>
      <c r="D5602" s="2" t="str">
        <f>IFERROR(__xludf.DUMMYFUNCTION("""COMPUTED_VALUE"""),"Riverwind Publishing House")</f>
        <v>Riverwind Publishing House</v>
      </c>
      <c r="E5602" s="2">
        <f>IFERROR(__xludf.DUMMYFUNCTION("""COMPUTED_VALUE"""),1.86)</f>
        <v>1.86</v>
      </c>
      <c r="F5602" s="2"/>
      <c r="G5602" s="2"/>
      <c r="H5602" s="2"/>
      <c r="I5602" s="2"/>
    </row>
    <row r="5603">
      <c r="A5603" s="2">
        <f>IFERROR(__xludf.DUMMYFUNCTION("""COMPUTED_VALUE"""),48697.0)</f>
        <v>48697</v>
      </c>
      <c r="B5603" s="2" t="str">
        <f>IFERROR(__xludf.DUMMYFUNCTION("""COMPUTED_VALUE"""),"Law")</f>
        <v>Law</v>
      </c>
      <c r="C5603" s="2" t="str">
        <f>IFERROR(__xludf.DUMMYFUNCTION("""COMPUTED_VALUE"""),"Interior Design")</f>
        <v>Interior Design</v>
      </c>
      <c r="D5603" s="2" t="str">
        <f>IFERROR(__xludf.DUMMYFUNCTION("""COMPUTED_VALUE"""),"Riverwind Publishing House")</f>
        <v>Riverwind Publishing House</v>
      </c>
      <c r="E5603" s="2">
        <f>IFERROR(__xludf.DUMMYFUNCTION("""COMPUTED_VALUE"""),3.01)</f>
        <v>3.01</v>
      </c>
      <c r="F5603" s="2"/>
      <c r="G5603" s="2"/>
      <c r="H5603" s="2"/>
      <c r="I5603" s="2"/>
    </row>
    <row r="5604">
      <c r="A5604" s="2">
        <f>IFERROR(__xludf.DUMMYFUNCTION("""COMPUTED_VALUE"""),122299.0)</f>
        <v>122299</v>
      </c>
      <c r="B5604" s="2" t="str">
        <f>IFERROR(__xludf.DUMMYFUNCTION("""COMPUTED_VALUE"""),"Law")</f>
        <v>Law</v>
      </c>
      <c r="C5604" s="2" t="str">
        <f>IFERROR(__xludf.DUMMYFUNCTION("""COMPUTED_VALUE"""),"Interior Design")</f>
        <v>Interior Design</v>
      </c>
      <c r="D5604" s="2" t="str">
        <f>IFERROR(__xludf.DUMMYFUNCTION("""COMPUTED_VALUE"""),"Riverwind Publishing House")</f>
        <v>Riverwind Publishing House</v>
      </c>
      <c r="E5604" s="2">
        <f>IFERROR(__xludf.DUMMYFUNCTION("""COMPUTED_VALUE"""),2.83)</f>
        <v>2.83</v>
      </c>
      <c r="F5604" s="2"/>
      <c r="G5604" s="2"/>
      <c r="H5604" s="2"/>
      <c r="I5604" s="2"/>
    </row>
    <row r="5605">
      <c r="A5605" s="2">
        <f>IFERROR(__xludf.DUMMYFUNCTION("""COMPUTED_VALUE"""),82997.0)</f>
        <v>82997</v>
      </c>
      <c r="B5605" s="2" t="str">
        <f>IFERROR(__xludf.DUMMYFUNCTION("""COMPUTED_VALUE"""),"Law")</f>
        <v>Law</v>
      </c>
      <c r="C5605" s="2" t="str">
        <f>IFERROR(__xludf.DUMMYFUNCTION("""COMPUTED_VALUE"""),"Interior Design")</f>
        <v>Interior Design</v>
      </c>
      <c r="D5605" s="2" t="str">
        <f>IFERROR(__xludf.DUMMYFUNCTION("""COMPUTED_VALUE"""),"Riverwind Publishing House")</f>
        <v>Riverwind Publishing House</v>
      </c>
      <c r="E5605" s="2">
        <f>IFERROR(__xludf.DUMMYFUNCTION("""COMPUTED_VALUE"""),2.13)</f>
        <v>2.13</v>
      </c>
      <c r="F5605" s="2"/>
      <c r="G5605" s="2"/>
      <c r="H5605" s="2"/>
      <c r="I5605" s="2"/>
    </row>
    <row r="5606">
      <c r="A5606" s="2">
        <f>IFERROR(__xludf.DUMMYFUNCTION("""COMPUTED_VALUE"""),108350.0)</f>
        <v>108350</v>
      </c>
      <c r="B5606" s="2" t="str">
        <f>IFERROR(__xludf.DUMMYFUNCTION("""COMPUTED_VALUE"""),"Law")</f>
        <v>Law</v>
      </c>
      <c r="C5606" s="2" t="str">
        <f>IFERROR(__xludf.DUMMYFUNCTION("""COMPUTED_VALUE"""),"Interior Design")</f>
        <v>Interior Design</v>
      </c>
      <c r="D5606" s="2" t="str">
        <f>IFERROR(__xludf.DUMMYFUNCTION("""COMPUTED_VALUE"""),"Riverwind Publishing House")</f>
        <v>Riverwind Publishing House</v>
      </c>
      <c r="E5606" s="2">
        <f>IFERROR(__xludf.DUMMYFUNCTION("""COMPUTED_VALUE"""),3.5)</f>
        <v>3.5</v>
      </c>
      <c r="F5606" s="2"/>
      <c r="G5606" s="2"/>
      <c r="H5606" s="2"/>
      <c r="I5606" s="2"/>
    </row>
    <row r="5607">
      <c r="A5607" s="2">
        <f>IFERROR(__xludf.DUMMYFUNCTION("""COMPUTED_VALUE"""),48699.0)</f>
        <v>48699</v>
      </c>
      <c r="B5607" s="2" t="str">
        <f>IFERROR(__xludf.DUMMYFUNCTION("""COMPUTED_VALUE"""),"Law")</f>
        <v>Law</v>
      </c>
      <c r="C5607" s="2" t="str">
        <f>IFERROR(__xludf.DUMMYFUNCTION("""COMPUTED_VALUE"""),"Interior Design")</f>
        <v>Interior Design</v>
      </c>
      <c r="D5607" s="2" t="str">
        <f>IFERROR(__xludf.DUMMYFUNCTION("""COMPUTED_VALUE"""),"Riverwind Publishing House")</f>
        <v>Riverwind Publishing House</v>
      </c>
      <c r="E5607" s="2">
        <f>IFERROR(__xludf.DUMMYFUNCTION("""COMPUTED_VALUE"""),3.73)</f>
        <v>3.73</v>
      </c>
      <c r="F5607" s="2"/>
      <c r="G5607" s="2"/>
      <c r="H5607" s="2"/>
      <c r="I5607" s="2"/>
    </row>
    <row r="5608">
      <c r="A5608" s="2">
        <f>IFERROR(__xludf.DUMMYFUNCTION("""COMPUTED_VALUE"""),108364.0)</f>
        <v>108364</v>
      </c>
      <c r="B5608" s="2" t="str">
        <f>IFERROR(__xludf.DUMMYFUNCTION("""COMPUTED_VALUE"""),"Law")</f>
        <v>Law</v>
      </c>
      <c r="C5608" s="2" t="str">
        <f>IFERROR(__xludf.DUMMYFUNCTION("""COMPUTED_VALUE"""),"Interior Design")</f>
        <v>Interior Design</v>
      </c>
      <c r="D5608" s="2" t="str">
        <f>IFERROR(__xludf.DUMMYFUNCTION("""COMPUTED_VALUE"""),"Riverwind Publishing House")</f>
        <v>Riverwind Publishing House</v>
      </c>
      <c r="E5608" s="2">
        <f>IFERROR(__xludf.DUMMYFUNCTION("""COMPUTED_VALUE"""),3.74)</f>
        <v>3.74</v>
      </c>
      <c r="F5608" s="2"/>
      <c r="G5608" s="2"/>
      <c r="H5608" s="2"/>
      <c r="I5608" s="2"/>
    </row>
    <row r="5609">
      <c r="A5609" s="2">
        <f>IFERROR(__xludf.DUMMYFUNCTION("""COMPUTED_VALUE"""),5799.0)</f>
        <v>5799</v>
      </c>
      <c r="B5609" s="2" t="str">
        <f>IFERROR(__xludf.DUMMYFUNCTION("""COMPUTED_VALUE"""),"Law")</f>
        <v>Law</v>
      </c>
      <c r="C5609" s="2" t="str">
        <f>IFERROR(__xludf.DUMMYFUNCTION("""COMPUTED_VALUE"""),"Interior Design")</f>
        <v>Interior Design</v>
      </c>
      <c r="D5609" s="2" t="str">
        <f>IFERROR(__xludf.DUMMYFUNCTION("""COMPUTED_VALUE"""),"Riverwind Publishing House")</f>
        <v>Riverwind Publishing House</v>
      </c>
      <c r="E5609" s="2">
        <f>IFERROR(__xludf.DUMMYFUNCTION("""COMPUTED_VALUE"""),2.57)</f>
        <v>2.57</v>
      </c>
      <c r="F5609" s="2"/>
      <c r="G5609" s="2"/>
      <c r="H5609" s="2"/>
      <c r="I5609" s="2"/>
    </row>
    <row r="5610">
      <c r="A5610" s="2">
        <f>IFERROR(__xludf.DUMMYFUNCTION("""COMPUTED_VALUE"""),81501.0)</f>
        <v>81501</v>
      </c>
      <c r="B5610" s="2" t="str">
        <f>IFERROR(__xludf.DUMMYFUNCTION("""COMPUTED_VALUE"""),"Law")</f>
        <v>Law</v>
      </c>
      <c r="C5610" s="2" t="str">
        <f>IFERROR(__xludf.DUMMYFUNCTION("""COMPUTED_VALUE"""),"Interior Design")</f>
        <v>Interior Design</v>
      </c>
      <c r="D5610" s="2" t="str">
        <f>IFERROR(__xludf.DUMMYFUNCTION("""COMPUTED_VALUE"""),"Ironwind Publishing House")</f>
        <v>Ironwind Publishing House</v>
      </c>
      <c r="E5610" s="2">
        <f>IFERROR(__xludf.DUMMYFUNCTION("""COMPUTED_VALUE"""),4.98)</f>
        <v>4.98</v>
      </c>
      <c r="F5610" s="2"/>
      <c r="G5610" s="2"/>
      <c r="H5610" s="2"/>
      <c r="I5610" s="2"/>
    </row>
    <row r="5611">
      <c r="A5611" s="2">
        <f>IFERROR(__xludf.DUMMYFUNCTION("""COMPUTED_VALUE"""),47648.0)</f>
        <v>47648</v>
      </c>
      <c r="B5611" s="2" t="str">
        <f>IFERROR(__xludf.DUMMYFUNCTION("""COMPUTED_VALUE"""),"Law")</f>
        <v>Law</v>
      </c>
      <c r="C5611" s="2" t="str">
        <f>IFERROR(__xludf.DUMMYFUNCTION("""COMPUTED_VALUE"""),"Interior Design")</f>
        <v>Interior Design</v>
      </c>
      <c r="D5611" s="2" t="str">
        <f>IFERROR(__xludf.DUMMYFUNCTION("""COMPUTED_VALUE"""),"Ironwind Publishing House")</f>
        <v>Ironwind Publishing House</v>
      </c>
      <c r="E5611" s="2">
        <f>IFERROR(__xludf.DUMMYFUNCTION("""COMPUTED_VALUE"""),0.9)</f>
        <v>0.9</v>
      </c>
      <c r="F5611" s="2"/>
      <c r="G5611" s="2"/>
      <c r="H5611" s="2"/>
      <c r="I5611" s="2"/>
    </row>
    <row r="5612">
      <c r="A5612" s="2">
        <f>IFERROR(__xludf.DUMMYFUNCTION("""COMPUTED_VALUE"""),105328.0)</f>
        <v>105328</v>
      </c>
      <c r="B5612" s="2" t="str">
        <f>IFERROR(__xludf.DUMMYFUNCTION("""COMPUTED_VALUE"""),"Law")</f>
        <v>Law</v>
      </c>
      <c r="C5612" s="2" t="str">
        <f>IFERROR(__xludf.DUMMYFUNCTION("""COMPUTED_VALUE"""),"Interior Design")</f>
        <v>Interior Design</v>
      </c>
      <c r="D5612" s="2" t="str">
        <f>IFERROR(__xludf.DUMMYFUNCTION("""COMPUTED_VALUE"""),"Ironwind Publishing House")</f>
        <v>Ironwind Publishing House</v>
      </c>
      <c r="E5612" s="2">
        <f>IFERROR(__xludf.DUMMYFUNCTION("""COMPUTED_VALUE"""),0.81)</f>
        <v>0.81</v>
      </c>
      <c r="F5612" s="2"/>
      <c r="G5612" s="2"/>
      <c r="H5612" s="2"/>
      <c r="I5612" s="2"/>
    </row>
    <row r="5613">
      <c r="A5613" s="2">
        <f>IFERROR(__xludf.DUMMYFUNCTION("""COMPUTED_VALUE"""),47654.0)</f>
        <v>47654</v>
      </c>
      <c r="B5613" s="2" t="str">
        <f>IFERROR(__xludf.DUMMYFUNCTION("""COMPUTED_VALUE"""),"Law")</f>
        <v>Law</v>
      </c>
      <c r="C5613" s="2" t="str">
        <f>IFERROR(__xludf.DUMMYFUNCTION("""COMPUTED_VALUE"""),"Interior Design")</f>
        <v>Interior Design</v>
      </c>
      <c r="D5613" s="2" t="str">
        <f>IFERROR(__xludf.DUMMYFUNCTION("""COMPUTED_VALUE"""),"Ironwind Publishing House")</f>
        <v>Ironwind Publishing House</v>
      </c>
      <c r="E5613" s="2">
        <f>IFERROR(__xludf.DUMMYFUNCTION("""COMPUTED_VALUE"""),1.27)</f>
        <v>1.27</v>
      </c>
      <c r="F5613" s="2"/>
      <c r="G5613" s="2"/>
      <c r="H5613" s="2"/>
      <c r="I5613" s="2"/>
    </row>
    <row r="5614">
      <c r="A5614" s="2">
        <f>IFERROR(__xludf.DUMMYFUNCTION("""COMPUTED_VALUE"""),82371.0)</f>
        <v>82371</v>
      </c>
      <c r="B5614" s="2" t="str">
        <f>IFERROR(__xludf.DUMMYFUNCTION("""COMPUTED_VALUE"""),"Law")</f>
        <v>Law</v>
      </c>
      <c r="C5614" s="2" t="str">
        <f>IFERROR(__xludf.DUMMYFUNCTION("""COMPUTED_VALUE"""),"Interior Design")</f>
        <v>Interior Design</v>
      </c>
      <c r="D5614" s="2" t="str">
        <f>IFERROR(__xludf.DUMMYFUNCTION("""COMPUTED_VALUE"""),"Ironwind Publishing House")</f>
        <v>Ironwind Publishing House</v>
      </c>
      <c r="E5614" s="2">
        <f>IFERROR(__xludf.DUMMYFUNCTION("""COMPUTED_VALUE"""),1.19)</f>
        <v>1.19</v>
      </c>
      <c r="F5614" s="2"/>
      <c r="G5614" s="2"/>
      <c r="H5614" s="2"/>
      <c r="I5614" s="2"/>
    </row>
    <row r="5615">
      <c r="A5615" s="2">
        <f>IFERROR(__xludf.DUMMYFUNCTION("""COMPUTED_VALUE"""),81500.0)</f>
        <v>81500</v>
      </c>
      <c r="B5615" s="2" t="str">
        <f>IFERROR(__xludf.DUMMYFUNCTION("""COMPUTED_VALUE"""),"Law")</f>
        <v>Law</v>
      </c>
      <c r="C5615" s="2" t="str">
        <f>IFERROR(__xludf.DUMMYFUNCTION("""COMPUTED_VALUE"""),"Interior Design")</f>
        <v>Interior Design</v>
      </c>
      <c r="D5615" s="2" t="str">
        <f>IFERROR(__xludf.DUMMYFUNCTION("""COMPUTED_VALUE"""),"Ironwind Publishing House")</f>
        <v>Ironwind Publishing House</v>
      </c>
      <c r="E5615" s="2">
        <f>IFERROR(__xludf.DUMMYFUNCTION("""COMPUTED_VALUE"""),2.16)</f>
        <v>2.16</v>
      </c>
      <c r="F5615" s="2"/>
      <c r="G5615" s="2"/>
      <c r="H5615" s="2"/>
      <c r="I5615" s="2"/>
    </row>
    <row r="5616">
      <c r="A5616" s="2">
        <f>IFERROR(__xludf.DUMMYFUNCTION("""COMPUTED_VALUE"""),48501.0)</f>
        <v>48501</v>
      </c>
      <c r="B5616" s="2" t="str">
        <f>IFERROR(__xludf.DUMMYFUNCTION("""COMPUTED_VALUE"""),"Law")</f>
        <v>Law</v>
      </c>
      <c r="C5616" s="2" t="str">
        <f>IFERROR(__xludf.DUMMYFUNCTION("""COMPUTED_VALUE"""),"Interior Design")</f>
        <v>Interior Design</v>
      </c>
      <c r="D5616" s="2" t="str">
        <f>IFERROR(__xludf.DUMMYFUNCTION("""COMPUTED_VALUE"""),"Ironwind Publishing House")</f>
        <v>Ironwind Publishing House</v>
      </c>
      <c r="E5616" s="2">
        <f>IFERROR(__xludf.DUMMYFUNCTION("""COMPUTED_VALUE"""),1.51)</f>
        <v>1.51</v>
      </c>
      <c r="F5616" s="2"/>
      <c r="G5616" s="2"/>
      <c r="H5616" s="2"/>
      <c r="I5616" s="2"/>
    </row>
    <row r="5617">
      <c r="A5617" s="2">
        <f>IFERROR(__xludf.DUMMYFUNCTION("""COMPUTED_VALUE"""),81498.0)</f>
        <v>81498</v>
      </c>
      <c r="B5617" s="2" t="str">
        <f>IFERROR(__xludf.DUMMYFUNCTION("""COMPUTED_VALUE"""),"Law")</f>
        <v>Law</v>
      </c>
      <c r="C5617" s="2" t="str">
        <f>IFERROR(__xludf.DUMMYFUNCTION("""COMPUTED_VALUE"""),"Interior Design")</f>
        <v>Interior Design</v>
      </c>
      <c r="D5617" s="2" t="str">
        <f>IFERROR(__xludf.DUMMYFUNCTION("""COMPUTED_VALUE"""),"Ironwind Publishing House")</f>
        <v>Ironwind Publishing House</v>
      </c>
      <c r="E5617" s="2">
        <f>IFERROR(__xludf.DUMMYFUNCTION("""COMPUTED_VALUE"""),1.05)</f>
        <v>1.05</v>
      </c>
      <c r="F5617" s="2"/>
      <c r="G5617" s="2"/>
      <c r="H5617" s="2"/>
      <c r="I5617" s="2"/>
    </row>
    <row r="5618">
      <c r="A5618" s="2">
        <f>IFERROR(__xludf.DUMMYFUNCTION("""COMPUTED_VALUE"""),48498.0)</f>
        <v>48498</v>
      </c>
      <c r="B5618" s="2" t="str">
        <f>IFERROR(__xludf.DUMMYFUNCTION("""COMPUTED_VALUE"""),"Law")</f>
        <v>Law</v>
      </c>
      <c r="C5618" s="2" t="str">
        <f>IFERROR(__xludf.DUMMYFUNCTION("""COMPUTED_VALUE"""),"Interior Design")</f>
        <v>Interior Design</v>
      </c>
      <c r="D5618" s="2" t="str">
        <f>IFERROR(__xludf.DUMMYFUNCTION("""COMPUTED_VALUE"""),"Ironwind Publishing House")</f>
        <v>Ironwind Publishing House</v>
      </c>
      <c r="E5618" s="2">
        <f>IFERROR(__xludf.DUMMYFUNCTION("""COMPUTED_VALUE"""),1.32)</f>
        <v>1.32</v>
      </c>
      <c r="F5618" s="2"/>
      <c r="G5618" s="2"/>
      <c r="H5618" s="2"/>
      <c r="I5618" s="2"/>
    </row>
    <row r="5619">
      <c r="A5619" s="2">
        <f>IFERROR(__xludf.DUMMYFUNCTION("""COMPUTED_VALUE"""),88628.0)</f>
        <v>88628</v>
      </c>
      <c r="B5619" s="2" t="str">
        <f>IFERROR(__xludf.DUMMYFUNCTION("""COMPUTED_VALUE"""),"Law")</f>
        <v>Law</v>
      </c>
      <c r="C5619" s="2" t="str">
        <f>IFERROR(__xludf.DUMMYFUNCTION("""COMPUTED_VALUE"""),"Interior Design")</f>
        <v>Interior Design</v>
      </c>
      <c r="D5619" s="2" t="str">
        <f>IFERROR(__xludf.DUMMYFUNCTION("""COMPUTED_VALUE"""),"Ironwind Publishing House")</f>
        <v>Ironwind Publishing House</v>
      </c>
      <c r="E5619" s="2">
        <f>IFERROR(__xludf.DUMMYFUNCTION("""COMPUTED_VALUE"""),1.28)</f>
        <v>1.28</v>
      </c>
      <c r="F5619" s="2"/>
      <c r="G5619" s="2"/>
      <c r="H5619" s="2"/>
      <c r="I5619" s="2"/>
    </row>
    <row r="5620">
      <c r="A5620" s="2">
        <f>IFERROR(__xludf.DUMMYFUNCTION("""COMPUTED_VALUE"""),180340.0)</f>
        <v>180340</v>
      </c>
      <c r="B5620" s="2" t="str">
        <f>IFERROR(__xludf.DUMMYFUNCTION("""COMPUTED_VALUE"""),"Law")</f>
        <v>Law</v>
      </c>
      <c r="C5620" s="2" t="str">
        <f>IFERROR(__xludf.DUMMYFUNCTION("""COMPUTED_VALUE"""),"Interior Design")</f>
        <v>Interior Design</v>
      </c>
      <c r="D5620" s="2" t="str">
        <f>IFERROR(__xludf.DUMMYFUNCTION("""COMPUTED_VALUE"""),"Ironwind Publishing House")</f>
        <v>Ironwind Publishing House</v>
      </c>
      <c r="E5620" s="2">
        <f>IFERROR(__xludf.DUMMYFUNCTION("""COMPUTED_VALUE"""),2.25)</f>
        <v>2.25</v>
      </c>
      <c r="F5620" s="2"/>
      <c r="G5620" s="2"/>
      <c r="H5620" s="2"/>
      <c r="I5620" s="2"/>
    </row>
    <row r="5621">
      <c r="A5621" s="2">
        <f>IFERROR(__xludf.DUMMYFUNCTION("""COMPUTED_VALUE"""),48503.0)</f>
        <v>48503</v>
      </c>
      <c r="B5621" s="2" t="str">
        <f>IFERROR(__xludf.DUMMYFUNCTION("""COMPUTED_VALUE"""),"Law")</f>
        <v>Law</v>
      </c>
      <c r="C5621" s="2" t="str">
        <f>IFERROR(__xludf.DUMMYFUNCTION("""COMPUTED_VALUE"""),"Interior Design")</f>
        <v>Interior Design</v>
      </c>
      <c r="D5621" s="2" t="str">
        <f>IFERROR(__xludf.DUMMYFUNCTION("""COMPUTED_VALUE"""),"Ironwind Publishing House")</f>
        <v>Ironwind Publishing House</v>
      </c>
      <c r="E5621" s="2">
        <f>IFERROR(__xludf.DUMMYFUNCTION("""COMPUTED_VALUE"""),1.03)</f>
        <v>1.03</v>
      </c>
      <c r="F5621" s="2"/>
      <c r="G5621" s="2"/>
      <c r="H5621" s="2"/>
      <c r="I5621" s="2"/>
    </row>
    <row r="5622">
      <c r="A5622" s="2">
        <f>IFERROR(__xludf.DUMMYFUNCTION("""COMPUTED_VALUE"""),74819.0)</f>
        <v>74819</v>
      </c>
      <c r="B5622" s="2" t="str">
        <f>IFERROR(__xludf.DUMMYFUNCTION("""COMPUTED_VALUE"""),"Law")</f>
        <v>Law</v>
      </c>
      <c r="C5622" s="2" t="str">
        <f>IFERROR(__xludf.DUMMYFUNCTION("""COMPUTED_VALUE"""),"Interior Design")</f>
        <v>Interior Design</v>
      </c>
      <c r="D5622" s="2" t="str">
        <f>IFERROR(__xludf.DUMMYFUNCTION("""COMPUTED_VALUE"""),"Ironwind Publishing House")</f>
        <v>Ironwind Publishing House</v>
      </c>
      <c r="E5622" s="2">
        <f>IFERROR(__xludf.DUMMYFUNCTION("""COMPUTED_VALUE"""),3.24)</f>
        <v>3.24</v>
      </c>
      <c r="F5622" s="2"/>
      <c r="G5622" s="2"/>
      <c r="H5622" s="2"/>
      <c r="I5622" s="2"/>
    </row>
    <row r="5623">
      <c r="A5623" s="2">
        <f>IFERROR(__xludf.DUMMYFUNCTION("""COMPUTED_VALUE"""),48502.0)</f>
        <v>48502</v>
      </c>
      <c r="B5623" s="2" t="str">
        <f>IFERROR(__xludf.DUMMYFUNCTION("""COMPUTED_VALUE"""),"Law")</f>
        <v>Law</v>
      </c>
      <c r="C5623" s="2" t="str">
        <f>IFERROR(__xludf.DUMMYFUNCTION("""COMPUTED_VALUE"""),"Interior Design")</f>
        <v>Interior Design</v>
      </c>
      <c r="D5623" s="2" t="str">
        <f>IFERROR(__xludf.DUMMYFUNCTION("""COMPUTED_VALUE"""),"Ironwind Publishing House")</f>
        <v>Ironwind Publishing House</v>
      </c>
      <c r="E5623" s="2">
        <f>IFERROR(__xludf.DUMMYFUNCTION("""COMPUTED_VALUE"""),1.32)</f>
        <v>1.32</v>
      </c>
      <c r="F5623" s="2"/>
      <c r="G5623" s="2"/>
      <c r="H5623" s="2"/>
      <c r="I5623" s="2"/>
    </row>
    <row r="5624">
      <c r="A5624" s="2">
        <f>IFERROR(__xludf.DUMMYFUNCTION("""COMPUTED_VALUE"""),96001.0)</f>
        <v>96001</v>
      </c>
      <c r="B5624" s="2" t="str">
        <f>IFERROR(__xludf.DUMMYFUNCTION("""COMPUTED_VALUE"""),"Law")</f>
        <v>Law</v>
      </c>
      <c r="C5624" s="2" t="str">
        <f>IFERROR(__xludf.DUMMYFUNCTION("""COMPUTED_VALUE"""),"Interior Design")</f>
        <v>Interior Design</v>
      </c>
      <c r="D5624" s="2" t="str">
        <f>IFERROR(__xludf.DUMMYFUNCTION("""COMPUTED_VALUE"""),"Ironwind Publishing House")</f>
        <v>Ironwind Publishing House</v>
      </c>
      <c r="E5624" s="2">
        <f>IFERROR(__xludf.DUMMYFUNCTION("""COMPUTED_VALUE"""),1.36)</f>
        <v>1.36</v>
      </c>
      <c r="F5624" s="2"/>
      <c r="G5624" s="2"/>
      <c r="H5624" s="2"/>
      <c r="I5624" s="2"/>
    </row>
    <row r="5625">
      <c r="A5625" s="2">
        <f>IFERROR(__xludf.DUMMYFUNCTION("""COMPUTED_VALUE"""),103095.0)</f>
        <v>103095</v>
      </c>
      <c r="B5625" s="2" t="str">
        <f>IFERROR(__xludf.DUMMYFUNCTION("""COMPUTED_VALUE"""),"Law")</f>
        <v>Law</v>
      </c>
      <c r="C5625" s="2" t="str">
        <f>IFERROR(__xludf.DUMMYFUNCTION("""COMPUTED_VALUE"""),"Interior Design")</f>
        <v>Interior Design</v>
      </c>
      <c r="D5625" s="2" t="str">
        <f>IFERROR(__xludf.DUMMYFUNCTION("""COMPUTED_VALUE"""),"Ironwind Publishing House")</f>
        <v>Ironwind Publishing House</v>
      </c>
      <c r="E5625" s="2">
        <f>IFERROR(__xludf.DUMMYFUNCTION("""COMPUTED_VALUE"""),3.45)</f>
        <v>3.45</v>
      </c>
      <c r="F5625" s="2"/>
      <c r="G5625" s="2"/>
      <c r="H5625" s="2"/>
      <c r="I5625" s="2"/>
    </row>
    <row r="5626">
      <c r="A5626" s="2">
        <f>IFERROR(__xludf.DUMMYFUNCTION("""COMPUTED_VALUE"""),88627.0)</f>
        <v>88627</v>
      </c>
      <c r="B5626" s="2" t="str">
        <f>IFERROR(__xludf.DUMMYFUNCTION("""COMPUTED_VALUE"""),"Law")</f>
        <v>Law</v>
      </c>
      <c r="C5626" s="2" t="str">
        <f>IFERROR(__xludf.DUMMYFUNCTION("""COMPUTED_VALUE"""),"Interior Design")</f>
        <v>Interior Design</v>
      </c>
      <c r="D5626" s="2" t="str">
        <f>IFERROR(__xludf.DUMMYFUNCTION("""COMPUTED_VALUE"""),"Ironwind Publishing House")</f>
        <v>Ironwind Publishing House</v>
      </c>
      <c r="E5626" s="2">
        <f>IFERROR(__xludf.DUMMYFUNCTION("""COMPUTED_VALUE"""),1.1)</f>
        <v>1.1</v>
      </c>
      <c r="F5626" s="2"/>
      <c r="G5626" s="2"/>
      <c r="H5626" s="2"/>
      <c r="I5626" s="2"/>
    </row>
    <row r="5627">
      <c r="A5627" s="2">
        <f>IFERROR(__xludf.DUMMYFUNCTION("""COMPUTED_VALUE"""),105329.0)</f>
        <v>105329</v>
      </c>
      <c r="B5627" s="2" t="str">
        <f>IFERROR(__xludf.DUMMYFUNCTION("""COMPUTED_VALUE"""),"Law")</f>
        <v>Law</v>
      </c>
      <c r="C5627" s="2" t="str">
        <f>IFERROR(__xludf.DUMMYFUNCTION("""COMPUTED_VALUE"""),"Interior Design")</f>
        <v>Interior Design</v>
      </c>
      <c r="D5627" s="2" t="str">
        <f>IFERROR(__xludf.DUMMYFUNCTION("""COMPUTED_VALUE"""),"Ironwind Publishing House")</f>
        <v>Ironwind Publishing House</v>
      </c>
      <c r="E5627" s="2">
        <f>IFERROR(__xludf.DUMMYFUNCTION("""COMPUTED_VALUE"""),1.0)</f>
        <v>1</v>
      </c>
      <c r="F5627" s="2"/>
      <c r="G5627" s="2"/>
      <c r="H5627" s="2"/>
      <c r="I5627" s="2"/>
    </row>
    <row r="5628">
      <c r="A5628" s="2">
        <f>IFERROR(__xludf.DUMMYFUNCTION("""COMPUTED_VALUE"""),105330.0)</f>
        <v>105330</v>
      </c>
      <c r="B5628" s="2" t="str">
        <f>IFERROR(__xludf.DUMMYFUNCTION("""COMPUTED_VALUE"""),"Law")</f>
        <v>Law</v>
      </c>
      <c r="C5628" s="2" t="str">
        <f>IFERROR(__xludf.DUMMYFUNCTION("""COMPUTED_VALUE"""),"Interior Design")</f>
        <v>Interior Design</v>
      </c>
      <c r="D5628" s="2" t="str">
        <f>IFERROR(__xludf.DUMMYFUNCTION("""COMPUTED_VALUE"""),"Ironwind Publishing House")</f>
        <v>Ironwind Publishing House</v>
      </c>
      <c r="E5628" s="2">
        <f>IFERROR(__xludf.DUMMYFUNCTION("""COMPUTED_VALUE"""),0.62)</f>
        <v>0.62</v>
      </c>
      <c r="F5628" s="2"/>
      <c r="G5628" s="2"/>
      <c r="H5628" s="2"/>
      <c r="I5628" s="2"/>
    </row>
    <row r="5629">
      <c r="A5629" s="2">
        <f>IFERROR(__xludf.DUMMYFUNCTION("""COMPUTED_VALUE"""),80252.0)</f>
        <v>80252</v>
      </c>
      <c r="B5629" s="2" t="str">
        <f>IFERROR(__xludf.DUMMYFUNCTION("""COMPUTED_VALUE"""),"Law")</f>
        <v>Law</v>
      </c>
      <c r="C5629" s="2" t="str">
        <f>IFERROR(__xludf.DUMMYFUNCTION("""COMPUTED_VALUE"""),"Interior Design")</f>
        <v>Interior Design</v>
      </c>
      <c r="D5629" s="2" t="str">
        <f>IFERROR(__xludf.DUMMYFUNCTION("""COMPUTED_VALUE"""),"Ironwind Publishing House")</f>
        <v>Ironwind Publishing House</v>
      </c>
      <c r="E5629" s="2">
        <f>IFERROR(__xludf.DUMMYFUNCTION("""COMPUTED_VALUE"""),1.33)</f>
        <v>1.33</v>
      </c>
      <c r="F5629" s="2"/>
      <c r="G5629" s="2"/>
      <c r="H5629" s="2"/>
      <c r="I5629" s="2"/>
    </row>
    <row r="5630">
      <c r="A5630" s="2">
        <f>IFERROR(__xludf.DUMMYFUNCTION("""COMPUTED_VALUE"""),77468.0)</f>
        <v>77468</v>
      </c>
      <c r="B5630" s="2" t="str">
        <f>IFERROR(__xludf.DUMMYFUNCTION("""COMPUTED_VALUE"""),"Law")</f>
        <v>Law</v>
      </c>
      <c r="C5630" s="2" t="str">
        <f>IFERROR(__xludf.DUMMYFUNCTION("""COMPUTED_VALUE"""),"Interior Design")</f>
        <v>Interior Design</v>
      </c>
      <c r="D5630" s="2" t="str">
        <f>IFERROR(__xludf.DUMMYFUNCTION("""COMPUTED_VALUE"""),"Silverlight Publishing House")</f>
        <v>Silverlight Publishing House</v>
      </c>
      <c r="E5630" s="2">
        <f>IFERROR(__xludf.DUMMYFUNCTION("""COMPUTED_VALUE"""),1.49)</f>
        <v>1.49</v>
      </c>
      <c r="F5630" s="2"/>
      <c r="G5630" s="2"/>
      <c r="H5630" s="2"/>
      <c r="I5630" s="2"/>
    </row>
    <row r="5631">
      <c r="A5631" s="2">
        <f>IFERROR(__xludf.DUMMYFUNCTION("""COMPUTED_VALUE"""),24203.0)</f>
        <v>24203</v>
      </c>
      <c r="B5631" s="2" t="str">
        <f>IFERROR(__xludf.DUMMYFUNCTION("""COMPUTED_VALUE"""),"Law")</f>
        <v>Law</v>
      </c>
      <c r="C5631" s="2" t="str">
        <f>IFERROR(__xludf.DUMMYFUNCTION("""COMPUTED_VALUE"""),"Interior Design")</f>
        <v>Interior Design</v>
      </c>
      <c r="D5631" s="2" t="str">
        <f>IFERROR(__xludf.DUMMYFUNCTION("""COMPUTED_VALUE"""),"Silverlight Publishing House")</f>
        <v>Silverlight Publishing House</v>
      </c>
      <c r="E5631" s="2">
        <f>IFERROR(__xludf.DUMMYFUNCTION("""COMPUTED_VALUE"""),2.16)</f>
        <v>2.16</v>
      </c>
      <c r="F5631" s="2"/>
      <c r="G5631" s="2"/>
      <c r="H5631" s="2"/>
      <c r="I5631" s="2"/>
    </row>
    <row r="5632">
      <c r="A5632" s="2">
        <f>IFERROR(__xludf.DUMMYFUNCTION("""COMPUTED_VALUE"""),139291.0)</f>
        <v>139291</v>
      </c>
      <c r="B5632" s="2" t="str">
        <f>IFERROR(__xludf.DUMMYFUNCTION("""COMPUTED_VALUE"""),"Law")</f>
        <v>Law</v>
      </c>
      <c r="C5632" s="2" t="str">
        <f>IFERROR(__xludf.DUMMYFUNCTION("""COMPUTED_VALUE"""),"Interior Design")</f>
        <v>Interior Design</v>
      </c>
      <c r="D5632" s="2" t="str">
        <f>IFERROR(__xludf.DUMMYFUNCTION("""COMPUTED_VALUE"""),"Silverlight Publishing House")</f>
        <v>Silverlight Publishing House</v>
      </c>
      <c r="E5632" s="2">
        <f>IFERROR(__xludf.DUMMYFUNCTION("""COMPUTED_VALUE"""),4.03)</f>
        <v>4.03</v>
      </c>
      <c r="F5632" s="2"/>
      <c r="G5632" s="2"/>
      <c r="H5632" s="2"/>
      <c r="I5632" s="2"/>
    </row>
    <row r="5633">
      <c r="A5633" s="2">
        <f>IFERROR(__xludf.DUMMYFUNCTION("""COMPUTED_VALUE"""),77426.0)</f>
        <v>77426</v>
      </c>
      <c r="B5633" s="2" t="str">
        <f>IFERROR(__xludf.DUMMYFUNCTION("""COMPUTED_VALUE"""),"Law")</f>
        <v>Law</v>
      </c>
      <c r="C5633" s="2" t="str">
        <f>IFERROR(__xludf.DUMMYFUNCTION("""COMPUTED_VALUE"""),"Interior Design")</f>
        <v>Interior Design</v>
      </c>
      <c r="D5633" s="2" t="str">
        <f>IFERROR(__xludf.DUMMYFUNCTION("""COMPUTED_VALUE"""),"Silverlight Publishing House")</f>
        <v>Silverlight Publishing House</v>
      </c>
      <c r="E5633" s="2">
        <f>IFERROR(__xludf.DUMMYFUNCTION("""COMPUTED_VALUE"""),1.58)</f>
        <v>1.58</v>
      </c>
      <c r="F5633" s="2"/>
      <c r="G5633" s="2"/>
      <c r="H5633" s="2"/>
      <c r="I5633" s="2"/>
    </row>
    <row r="5634">
      <c r="A5634" s="2">
        <f>IFERROR(__xludf.DUMMYFUNCTION("""COMPUTED_VALUE"""),94039.0)</f>
        <v>94039</v>
      </c>
      <c r="B5634" s="2" t="str">
        <f>IFERROR(__xludf.DUMMYFUNCTION("""COMPUTED_VALUE"""),"Law")</f>
        <v>Law</v>
      </c>
      <c r="C5634" s="2" t="str">
        <f>IFERROR(__xludf.DUMMYFUNCTION("""COMPUTED_VALUE"""),"Interior Design")</f>
        <v>Interior Design</v>
      </c>
      <c r="D5634" s="2" t="str">
        <f>IFERROR(__xludf.DUMMYFUNCTION("""COMPUTED_VALUE"""),"Silverlight Publishing House")</f>
        <v>Silverlight Publishing House</v>
      </c>
      <c r="E5634" s="2">
        <f>IFERROR(__xludf.DUMMYFUNCTION("""COMPUTED_VALUE"""),1.96)</f>
        <v>1.96</v>
      </c>
      <c r="F5634" s="2"/>
      <c r="G5634" s="2"/>
      <c r="H5634" s="2"/>
      <c r="I5634" s="2"/>
    </row>
    <row r="5635">
      <c r="A5635" s="2">
        <f>IFERROR(__xludf.DUMMYFUNCTION("""COMPUTED_VALUE"""),9508.0)</f>
        <v>9508</v>
      </c>
      <c r="B5635" s="2" t="str">
        <f>IFERROR(__xludf.DUMMYFUNCTION("""COMPUTED_VALUE"""),"Law")</f>
        <v>Law</v>
      </c>
      <c r="C5635" s="2" t="str">
        <f>IFERROR(__xludf.DUMMYFUNCTION("""COMPUTED_VALUE"""),"Interior Design")</f>
        <v>Interior Design</v>
      </c>
      <c r="D5635" s="2" t="str">
        <f>IFERROR(__xludf.DUMMYFUNCTION("""COMPUTED_VALUE"""),"Silverlight Publishing House")</f>
        <v>Silverlight Publishing House</v>
      </c>
      <c r="E5635" s="2">
        <f>IFERROR(__xludf.DUMMYFUNCTION("""COMPUTED_VALUE"""),1.01)</f>
        <v>1.01</v>
      </c>
      <c r="F5635" s="2"/>
      <c r="G5635" s="2"/>
      <c r="H5635" s="2"/>
      <c r="I5635" s="2"/>
    </row>
    <row r="5636">
      <c r="A5636" s="2">
        <f>IFERROR(__xludf.DUMMYFUNCTION("""COMPUTED_VALUE"""),121595.0)</f>
        <v>121595</v>
      </c>
      <c r="B5636" s="2" t="str">
        <f>IFERROR(__xludf.DUMMYFUNCTION("""COMPUTED_VALUE"""),"Law")</f>
        <v>Law</v>
      </c>
      <c r="C5636" s="2" t="str">
        <f>IFERROR(__xludf.DUMMYFUNCTION("""COMPUTED_VALUE"""),"Interior Design")</f>
        <v>Interior Design</v>
      </c>
      <c r="D5636" s="2" t="str">
        <f>IFERROR(__xludf.DUMMYFUNCTION("""COMPUTED_VALUE"""),"Silverlight Publishing House")</f>
        <v>Silverlight Publishing House</v>
      </c>
      <c r="E5636" s="2">
        <f>IFERROR(__xludf.DUMMYFUNCTION("""COMPUTED_VALUE"""),0.8)</f>
        <v>0.8</v>
      </c>
      <c r="F5636" s="2"/>
      <c r="G5636" s="2"/>
      <c r="H5636" s="2"/>
      <c r="I5636" s="2"/>
    </row>
    <row r="5637">
      <c r="A5637" s="2">
        <f>IFERROR(__xludf.DUMMYFUNCTION("""COMPUTED_VALUE"""),124762.0)</f>
        <v>124762</v>
      </c>
      <c r="B5637" s="2" t="str">
        <f>IFERROR(__xludf.DUMMYFUNCTION("""COMPUTED_VALUE"""),"Law")</f>
        <v>Law</v>
      </c>
      <c r="C5637" s="2" t="str">
        <f>IFERROR(__xludf.DUMMYFUNCTION("""COMPUTED_VALUE"""),"Interior Design")</f>
        <v>Interior Design</v>
      </c>
      <c r="D5637" s="2" t="str">
        <f>IFERROR(__xludf.DUMMYFUNCTION("""COMPUTED_VALUE"""),"Silverlight Publishing House")</f>
        <v>Silverlight Publishing House</v>
      </c>
      <c r="E5637" s="2">
        <f>IFERROR(__xludf.DUMMYFUNCTION("""COMPUTED_VALUE"""),4.79)</f>
        <v>4.79</v>
      </c>
      <c r="F5637" s="2"/>
      <c r="G5637" s="2"/>
      <c r="H5637" s="2"/>
      <c r="I5637" s="2"/>
    </row>
    <row r="5638">
      <c r="A5638" s="2">
        <f>IFERROR(__xludf.DUMMYFUNCTION("""COMPUTED_VALUE"""),77462.0)</f>
        <v>77462</v>
      </c>
      <c r="B5638" s="2" t="str">
        <f>IFERROR(__xludf.DUMMYFUNCTION("""COMPUTED_VALUE"""),"Law")</f>
        <v>Law</v>
      </c>
      <c r="C5638" s="2" t="str">
        <f>IFERROR(__xludf.DUMMYFUNCTION("""COMPUTED_VALUE"""),"Interior Design")</f>
        <v>Interior Design</v>
      </c>
      <c r="D5638" s="2" t="str">
        <f>IFERROR(__xludf.DUMMYFUNCTION("""COMPUTED_VALUE"""),"Silverlight Publishing House")</f>
        <v>Silverlight Publishing House</v>
      </c>
      <c r="E5638" s="2">
        <f>IFERROR(__xludf.DUMMYFUNCTION("""COMPUTED_VALUE"""),1.06)</f>
        <v>1.06</v>
      </c>
      <c r="F5638" s="2"/>
      <c r="G5638" s="2"/>
      <c r="H5638" s="2"/>
      <c r="I5638" s="2"/>
    </row>
    <row r="5639">
      <c r="A5639" s="2">
        <f>IFERROR(__xludf.DUMMYFUNCTION("""COMPUTED_VALUE"""),49158.0)</f>
        <v>49158</v>
      </c>
      <c r="B5639" s="2" t="str">
        <f>IFERROR(__xludf.DUMMYFUNCTION("""COMPUTED_VALUE"""),"Law")</f>
        <v>Law</v>
      </c>
      <c r="C5639" s="2" t="str">
        <f>IFERROR(__xludf.DUMMYFUNCTION("""COMPUTED_VALUE"""),"Interior Design")</f>
        <v>Interior Design</v>
      </c>
      <c r="D5639" s="2" t="str">
        <f>IFERROR(__xludf.DUMMYFUNCTION("""COMPUTED_VALUE"""),"Silverlight Publishing House")</f>
        <v>Silverlight Publishing House</v>
      </c>
      <c r="E5639" s="2">
        <f>IFERROR(__xludf.DUMMYFUNCTION("""COMPUTED_VALUE"""),2.19)</f>
        <v>2.19</v>
      </c>
      <c r="F5639" s="2"/>
      <c r="G5639" s="2"/>
      <c r="H5639" s="2"/>
      <c r="I5639" s="2"/>
    </row>
    <row r="5640">
      <c r="A5640" s="2">
        <f>IFERROR(__xludf.DUMMYFUNCTION("""COMPUTED_VALUE"""),93982.0)</f>
        <v>93982</v>
      </c>
      <c r="B5640" s="2" t="str">
        <f>IFERROR(__xludf.DUMMYFUNCTION("""COMPUTED_VALUE"""),"Law")</f>
        <v>Law</v>
      </c>
      <c r="C5640" s="2" t="str">
        <f>IFERROR(__xludf.DUMMYFUNCTION("""COMPUTED_VALUE"""),"Interior Design")</f>
        <v>Interior Design</v>
      </c>
      <c r="D5640" s="2" t="str">
        <f>IFERROR(__xludf.DUMMYFUNCTION("""COMPUTED_VALUE"""),"Silverlight Publishing House")</f>
        <v>Silverlight Publishing House</v>
      </c>
      <c r="E5640" s="2">
        <f>IFERROR(__xludf.DUMMYFUNCTION("""COMPUTED_VALUE"""),1.29)</f>
        <v>1.29</v>
      </c>
      <c r="F5640" s="2"/>
      <c r="G5640" s="2"/>
      <c r="H5640" s="2"/>
      <c r="I5640" s="2"/>
    </row>
    <row r="5641">
      <c r="A5641" s="2">
        <f>IFERROR(__xludf.DUMMYFUNCTION("""COMPUTED_VALUE"""),9546.0)</f>
        <v>9546</v>
      </c>
      <c r="B5641" s="2" t="str">
        <f>IFERROR(__xludf.DUMMYFUNCTION("""COMPUTED_VALUE"""),"Law")</f>
        <v>Law</v>
      </c>
      <c r="C5641" s="2" t="str">
        <f>IFERROR(__xludf.DUMMYFUNCTION("""COMPUTED_VALUE"""),"Interior Design")</f>
        <v>Interior Design</v>
      </c>
      <c r="D5641" s="2" t="str">
        <f>IFERROR(__xludf.DUMMYFUNCTION("""COMPUTED_VALUE"""),"Silverlight Publishing House")</f>
        <v>Silverlight Publishing House</v>
      </c>
      <c r="E5641" s="2">
        <f>IFERROR(__xludf.DUMMYFUNCTION("""COMPUTED_VALUE"""),1.97)</f>
        <v>1.97</v>
      </c>
      <c r="F5641" s="2"/>
      <c r="G5641" s="2"/>
      <c r="H5641" s="2"/>
      <c r="I5641" s="2"/>
    </row>
    <row r="5642">
      <c r="A5642" s="2">
        <f>IFERROR(__xludf.DUMMYFUNCTION("""COMPUTED_VALUE"""),9482.0)</f>
        <v>9482</v>
      </c>
      <c r="B5642" s="2" t="str">
        <f>IFERROR(__xludf.DUMMYFUNCTION("""COMPUTED_VALUE"""),"Law")</f>
        <v>Law</v>
      </c>
      <c r="C5642" s="2" t="str">
        <f>IFERROR(__xludf.DUMMYFUNCTION("""COMPUTED_VALUE"""),"Interior Design")</f>
        <v>Interior Design</v>
      </c>
      <c r="D5642" s="2" t="str">
        <f>IFERROR(__xludf.DUMMYFUNCTION("""COMPUTED_VALUE"""),"Silverlight Publishing House")</f>
        <v>Silverlight Publishing House</v>
      </c>
      <c r="E5642" s="2">
        <f>IFERROR(__xludf.DUMMYFUNCTION("""COMPUTED_VALUE"""),2.09)</f>
        <v>2.09</v>
      </c>
      <c r="F5642" s="2"/>
      <c r="G5642" s="2"/>
      <c r="H5642" s="2"/>
      <c r="I5642" s="2"/>
    </row>
    <row r="5643">
      <c r="A5643" s="2">
        <f>IFERROR(__xludf.DUMMYFUNCTION("""COMPUTED_VALUE"""),139290.0)</f>
        <v>139290</v>
      </c>
      <c r="B5643" s="2" t="str">
        <f>IFERROR(__xludf.DUMMYFUNCTION("""COMPUTED_VALUE"""),"Law")</f>
        <v>Law</v>
      </c>
      <c r="C5643" s="2" t="str">
        <f>IFERROR(__xludf.DUMMYFUNCTION("""COMPUTED_VALUE"""),"Interior Design")</f>
        <v>Interior Design</v>
      </c>
      <c r="D5643" s="2" t="str">
        <f>IFERROR(__xludf.DUMMYFUNCTION("""COMPUTED_VALUE"""),"Silverlight Publishing House")</f>
        <v>Silverlight Publishing House</v>
      </c>
      <c r="E5643" s="2">
        <f>IFERROR(__xludf.DUMMYFUNCTION("""COMPUTED_VALUE"""),1.37)</f>
        <v>1.37</v>
      </c>
      <c r="F5643" s="2"/>
      <c r="G5643" s="2"/>
      <c r="H5643" s="2"/>
      <c r="I5643" s="2"/>
    </row>
    <row r="5644">
      <c r="A5644" s="2">
        <f>IFERROR(__xludf.DUMMYFUNCTION("""COMPUTED_VALUE"""),121596.0)</f>
        <v>121596</v>
      </c>
      <c r="B5644" s="2" t="str">
        <f>IFERROR(__xludf.DUMMYFUNCTION("""COMPUTED_VALUE"""),"Law")</f>
        <v>Law</v>
      </c>
      <c r="C5644" s="2" t="str">
        <f>IFERROR(__xludf.DUMMYFUNCTION("""COMPUTED_VALUE"""),"Interior Design")</f>
        <v>Interior Design</v>
      </c>
      <c r="D5644" s="2" t="str">
        <f>IFERROR(__xludf.DUMMYFUNCTION("""COMPUTED_VALUE"""),"Silverlight Publishing House")</f>
        <v>Silverlight Publishing House</v>
      </c>
      <c r="E5644" s="2">
        <f>IFERROR(__xludf.DUMMYFUNCTION("""COMPUTED_VALUE"""),0.83)</f>
        <v>0.83</v>
      </c>
      <c r="F5644" s="2"/>
      <c r="G5644" s="2"/>
      <c r="H5644" s="2"/>
      <c r="I5644" s="2"/>
    </row>
    <row r="5645">
      <c r="A5645" s="2">
        <f>IFERROR(__xludf.DUMMYFUNCTION("""COMPUTED_VALUE"""),14441.0)</f>
        <v>14441</v>
      </c>
      <c r="B5645" s="2" t="str">
        <f>IFERROR(__xludf.DUMMYFUNCTION("""COMPUTED_VALUE"""),"Law")</f>
        <v>Law</v>
      </c>
      <c r="C5645" s="2" t="str">
        <f>IFERROR(__xludf.DUMMYFUNCTION("""COMPUTED_VALUE"""),"Interior Design")</f>
        <v>Interior Design</v>
      </c>
      <c r="D5645" s="2" t="str">
        <f>IFERROR(__xludf.DUMMYFUNCTION("""COMPUTED_VALUE"""),"Silverlight Publishing House")</f>
        <v>Silverlight Publishing House</v>
      </c>
      <c r="E5645" s="2">
        <f>IFERROR(__xludf.DUMMYFUNCTION("""COMPUTED_VALUE"""),2.56)</f>
        <v>2.56</v>
      </c>
      <c r="F5645" s="2"/>
      <c r="G5645" s="2"/>
      <c r="H5645" s="2"/>
      <c r="I5645" s="2"/>
    </row>
    <row r="5646">
      <c r="A5646" s="2">
        <f>IFERROR(__xludf.DUMMYFUNCTION("""COMPUTED_VALUE"""),9489.0)</f>
        <v>9489</v>
      </c>
      <c r="B5646" s="2" t="str">
        <f>IFERROR(__xludf.DUMMYFUNCTION("""COMPUTED_VALUE"""),"Law")</f>
        <v>Law</v>
      </c>
      <c r="C5646" s="2" t="str">
        <f>IFERROR(__xludf.DUMMYFUNCTION("""COMPUTED_VALUE"""),"Interior Design")</f>
        <v>Interior Design</v>
      </c>
      <c r="D5646" s="2" t="str">
        <f>IFERROR(__xludf.DUMMYFUNCTION("""COMPUTED_VALUE"""),"Silverlight Publishing House")</f>
        <v>Silverlight Publishing House</v>
      </c>
      <c r="E5646" s="2">
        <f>IFERROR(__xludf.DUMMYFUNCTION("""COMPUTED_VALUE"""),1.03)</f>
        <v>1.03</v>
      </c>
      <c r="F5646" s="2"/>
      <c r="G5646" s="2"/>
      <c r="H5646" s="2"/>
      <c r="I5646" s="2"/>
    </row>
    <row r="5647">
      <c r="A5647" s="2">
        <f>IFERROR(__xludf.DUMMYFUNCTION("""COMPUTED_VALUE"""),103189.0)</f>
        <v>103189</v>
      </c>
      <c r="B5647" s="2" t="str">
        <f>IFERROR(__xludf.DUMMYFUNCTION("""COMPUTED_VALUE"""),"Law")</f>
        <v>Law</v>
      </c>
      <c r="C5647" s="2" t="str">
        <f>IFERROR(__xludf.DUMMYFUNCTION("""COMPUTED_VALUE"""),"Interior Design")</f>
        <v>Interior Design</v>
      </c>
      <c r="D5647" s="2" t="str">
        <f>IFERROR(__xludf.DUMMYFUNCTION("""COMPUTED_VALUE"""),"Silverlight Publishing House")</f>
        <v>Silverlight Publishing House</v>
      </c>
      <c r="E5647" s="2">
        <f>IFERROR(__xludf.DUMMYFUNCTION("""COMPUTED_VALUE"""),3.11)</f>
        <v>3.11</v>
      </c>
      <c r="F5647" s="2"/>
      <c r="G5647" s="2"/>
      <c r="H5647" s="2"/>
      <c r="I5647" s="2"/>
    </row>
    <row r="5648">
      <c r="A5648" s="2">
        <f>IFERROR(__xludf.DUMMYFUNCTION("""COMPUTED_VALUE"""),9567.0)</f>
        <v>9567</v>
      </c>
      <c r="B5648" s="2" t="str">
        <f>IFERROR(__xludf.DUMMYFUNCTION("""COMPUTED_VALUE"""),"Law")</f>
        <v>Law</v>
      </c>
      <c r="C5648" s="2" t="str">
        <f>IFERROR(__xludf.DUMMYFUNCTION("""COMPUTED_VALUE"""),"Interior Design")</f>
        <v>Interior Design</v>
      </c>
      <c r="D5648" s="2" t="str">
        <f>IFERROR(__xludf.DUMMYFUNCTION("""COMPUTED_VALUE"""),"Silverlight Publishing House")</f>
        <v>Silverlight Publishing House</v>
      </c>
      <c r="E5648" s="2">
        <f>IFERROR(__xludf.DUMMYFUNCTION("""COMPUTED_VALUE"""),1.27)</f>
        <v>1.27</v>
      </c>
      <c r="F5648" s="2"/>
      <c r="G5648" s="2"/>
      <c r="H5648" s="2"/>
      <c r="I5648" s="2"/>
    </row>
    <row r="5649">
      <c r="A5649" s="2">
        <f>IFERROR(__xludf.DUMMYFUNCTION("""COMPUTED_VALUE"""),9543.0)</f>
        <v>9543</v>
      </c>
      <c r="B5649" s="2" t="str">
        <f>IFERROR(__xludf.DUMMYFUNCTION("""COMPUTED_VALUE"""),"Law")</f>
        <v>Law</v>
      </c>
      <c r="C5649" s="2" t="str">
        <f>IFERROR(__xludf.DUMMYFUNCTION("""COMPUTED_VALUE"""),"Interior Design")</f>
        <v>Interior Design</v>
      </c>
      <c r="D5649" s="2" t="str">
        <f>IFERROR(__xludf.DUMMYFUNCTION("""COMPUTED_VALUE"""),"Silverlight Publishing House")</f>
        <v>Silverlight Publishing House</v>
      </c>
      <c r="E5649" s="2">
        <f>IFERROR(__xludf.DUMMYFUNCTION("""COMPUTED_VALUE"""),1.45)</f>
        <v>1.45</v>
      </c>
      <c r="F5649" s="2"/>
      <c r="G5649" s="2"/>
      <c r="H5649" s="2"/>
      <c r="I5649" s="2"/>
    </row>
    <row r="5650">
      <c r="A5650" s="2">
        <f>IFERROR(__xludf.DUMMYFUNCTION("""COMPUTED_VALUE"""),77471.0)</f>
        <v>77471</v>
      </c>
      <c r="B5650" s="2" t="str">
        <f>IFERROR(__xludf.DUMMYFUNCTION("""COMPUTED_VALUE"""),"Law")</f>
        <v>Law</v>
      </c>
      <c r="C5650" s="2" t="str">
        <f>IFERROR(__xludf.DUMMYFUNCTION("""COMPUTED_VALUE"""),"Interior Design")</f>
        <v>Interior Design</v>
      </c>
      <c r="D5650" s="2" t="str">
        <f>IFERROR(__xludf.DUMMYFUNCTION("""COMPUTED_VALUE"""),"Silverlight Publishing House")</f>
        <v>Silverlight Publishing House</v>
      </c>
      <c r="E5650" s="2">
        <f>IFERROR(__xludf.DUMMYFUNCTION("""COMPUTED_VALUE"""),1.7)</f>
        <v>1.7</v>
      </c>
      <c r="F5650" s="2"/>
      <c r="G5650" s="2"/>
      <c r="H5650" s="2"/>
      <c r="I5650" s="2"/>
    </row>
    <row r="5651">
      <c r="A5651" s="2">
        <f>IFERROR(__xludf.DUMMYFUNCTION("""COMPUTED_VALUE"""),164631.0)</f>
        <v>164631</v>
      </c>
      <c r="B5651" s="2" t="str">
        <f>IFERROR(__xludf.DUMMYFUNCTION("""COMPUTED_VALUE"""),"Law")</f>
        <v>Law</v>
      </c>
      <c r="C5651" s="2" t="str">
        <f>IFERROR(__xludf.DUMMYFUNCTION("""COMPUTED_VALUE"""),"Interior Design")</f>
        <v>Interior Design</v>
      </c>
      <c r="D5651" s="2" t="str">
        <f>IFERROR(__xludf.DUMMYFUNCTION("""COMPUTED_VALUE"""),"Silverlight Publishing House")</f>
        <v>Silverlight Publishing House</v>
      </c>
      <c r="E5651" s="2">
        <f>IFERROR(__xludf.DUMMYFUNCTION("""COMPUTED_VALUE"""),0.94)</f>
        <v>0.94</v>
      </c>
      <c r="F5651" s="2"/>
      <c r="G5651" s="2"/>
      <c r="H5651" s="2"/>
      <c r="I5651" s="2"/>
    </row>
    <row r="5652">
      <c r="A5652" s="2">
        <f>IFERROR(__xludf.DUMMYFUNCTION("""COMPUTED_VALUE"""),9606.0)</f>
        <v>9606</v>
      </c>
      <c r="B5652" s="2" t="str">
        <f>IFERROR(__xludf.DUMMYFUNCTION("""COMPUTED_VALUE"""),"Law")</f>
        <v>Law</v>
      </c>
      <c r="C5652" s="2" t="str">
        <f>IFERROR(__xludf.DUMMYFUNCTION("""COMPUTED_VALUE"""),"Interior Design")</f>
        <v>Interior Design</v>
      </c>
      <c r="D5652" s="2" t="str">
        <f>IFERROR(__xludf.DUMMYFUNCTION("""COMPUTED_VALUE"""),"Silverlight Publishing House")</f>
        <v>Silverlight Publishing House</v>
      </c>
      <c r="E5652" s="2">
        <f>IFERROR(__xludf.DUMMYFUNCTION("""COMPUTED_VALUE"""),2.28)</f>
        <v>2.28</v>
      </c>
      <c r="F5652" s="2"/>
      <c r="G5652" s="2"/>
      <c r="H5652" s="2"/>
      <c r="I5652" s="2"/>
    </row>
    <row r="5653">
      <c r="A5653" s="2">
        <f>IFERROR(__xludf.DUMMYFUNCTION("""COMPUTED_VALUE"""),77473.0)</f>
        <v>77473</v>
      </c>
      <c r="B5653" s="2" t="str">
        <f>IFERROR(__xludf.DUMMYFUNCTION("""COMPUTED_VALUE"""),"Law")</f>
        <v>Law</v>
      </c>
      <c r="C5653" s="2" t="str">
        <f>IFERROR(__xludf.DUMMYFUNCTION("""COMPUTED_VALUE"""),"Interior Design")</f>
        <v>Interior Design</v>
      </c>
      <c r="D5653" s="2" t="str">
        <f>IFERROR(__xludf.DUMMYFUNCTION("""COMPUTED_VALUE"""),"Silverlight Publishing House")</f>
        <v>Silverlight Publishing House</v>
      </c>
      <c r="E5653" s="2">
        <f>IFERROR(__xludf.DUMMYFUNCTION("""COMPUTED_VALUE"""),1.52)</f>
        <v>1.52</v>
      </c>
      <c r="F5653" s="2"/>
      <c r="G5653" s="2"/>
      <c r="H5653" s="2"/>
      <c r="I5653" s="2"/>
    </row>
    <row r="5654">
      <c r="A5654" s="2">
        <f>IFERROR(__xludf.DUMMYFUNCTION("""COMPUTED_VALUE"""),9484.0)</f>
        <v>9484</v>
      </c>
      <c r="B5654" s="2" t="str">
        <f>IFERROR(__xludf.DUMMYFUNCTION("""COMPUTED_VALUE"""),"Law")</f>
        <v>Law</v>
      </c>
      <c r="C5654" s="2" t="str">
        <f>IFERROR(__xludf.DUMMYFUNCTION("""COMPUTED_VALUE"""),"Interior Design")</f>
        <v>Interior Design</v>
      </c>
      <c r="D5654" s="2" t="str">
        <f>IFERROR(__xludf.DUMMYFUNCTION("""COMPUTED_VALUE"""),"Silverlight Publishing House")</f>
        <v>Silverlight Publishing House</v>
      </c>
      <c r="E5654" s="2">
        <f>IFERROR(__xludf.DUMMYFUNCTION("""COMPUTED_VALUE"""),2.02)</f>
        <v>2.02</v>
      </c>
      <c r="F5654" s="2"/>
      <c r="G5654" s="2"/>
      <c r="H5654" s="2"/>
      <c r="I5654" s="2"/>
    </row>
    <row r="5655">
      <c r="A5655" s="2">
        <f>IFERROR(__xludf.DUMMYFUNCTION("""COMPUTED_VALUE"""),14439.0)</f>
        <v>14439</v>
      </c>
      <c r="B5655" s="2" t="str">
        <f>IFERROR(__xludf.DUMMYFUNCTION("""COMPUTED_VALUE"""),"Law")</f>
        <v>Law</v>
      </c>
      <c r="C5655" s="2" t="str">
        <f>IFERROR(__xludf.DUMMYFUNCTION("""COMPUTED_VALUE"""),"Interior Design")</f>
        <v>Interior Design</v>
      </c>
      <c r="D5655" s="2" t="str">
        <f>IFERROR(__xludf.DUMMYFUNCTION("""COMPUTED_VALUE"""),"Silverlight Publishing House")</f>
        <v>Silverlight Publishing House</v>
      </c>
      <c r="E5655" s="2">
        <f>IFERROR(__xludf.DUMMYFUNCTION("""COMPUTED_VALUE"""),2.23)</f>
        <v>2.23</v>
      </c>
      <c r="F5655" s="2"/>
      <c r="G5655" s="2"/>
      <c r="H5655" s="2"/>
      <c r="I5655" s="2"/>
    </row>
    <row r="5656">
      <c r="A5656" s="2">
        <f>IFERROR(__xludf.DUMMYFUNCTION("""COMPUTED_VALUE"""),124761.0)</f>
        <v>124761</v>
      </c>
      <c r="B5656" s="2" t="str">
        <f>IFERROR(__xludf.DUMMYFUNCTION("""COMPUTED_VALUE"""),"Law")</f>
        <v>Law</v>
      </c>
      <c r="C5656" s="2" t="str">
        <f>IFERROR(__xludf.DUMMYFUNCTION("""COMPUTED_VALUE"""),"Interior Design")</f>
        <v>Interior Design</v>
      </c>
      <c r="D5656" s="2" t="str">
        <f>IFERROR(__xludf.DUMMYFUNCTION("""COMPUTED_VALUE"""),"Silverlight Publishing House")</f>
        <v>Silverlight Publishing House</v>
      </c>
      <c r="E5656" s="2">
        <f>IFERROR(__xludf.DUMMYFUNCTION("""COMPUTED_VALUE"""),4.48)</f>
        <v>4.48</v>
      </c>
      <c r="F5656" s="2"/>
      <c r="G5656" s="2"/>
      <c r="H5656" s="2"/>
      <c r="I5656" s="2"/>
    </row>
    <row r="5657">
      <c r="A5657" s="2">
        <f>IFERROR(__xludf.DUMMYFUNCTION("""COMPUTED_VALUE"""),14440.0)</f>
        <v>14440</v>
      </c>
      <c r="B5657" s="2" t="str">
        <f>IFERROR(__xludf.DUMMYFUNCTION("""COMPUTED_VALUE"""),"Law")</f>
        <v>Law</v>
      </c>
      <c r="C5657" s="2" t="str">
        <f>IFERROR(__xludf.DUMMYFUNCTION("""COMPUTED_VALUE"""),"Interior Design")</f>
        <v>Interior Design</v>
      </c>
      <c r="D5657" s="2" t="str">
        <f>IFERROR(__xludf.DUMMYFUNCTION("""COMPUTED_VALUE"""),"Silverlight Publishing House")</f>
        <v>Silverlight Publishing House</v>
      </c>
      <c r="E5657" s="2">
        <f>IFERROR(__xludf.DUMMYFUNCTION("""COMPUTED_VALUE"""),2.17)</f>
        <v>2.17</v>
      </c>
      <c r="F5657" s="2"/>
      <c r="G5657" s="2"/>
      <c r="H5657" s="2"/>
      <c r="I5657" s="2"/>
    </row>
    <row r="5658">
      <c r="A5658" s="2">
        <f>IFERROR(__xludf.DUMMYFUNCTION("""COMPUTED_VALUE"""),9544.0)</f>
        <v>9544</v>
      </c>
      <c r="B5658" s="2" t="str">
        <f>IFERROR(__xludf.DUMMYFUNCTION("""COMPUTED_VALUE"""),"Law")</f>
        <v>Law</v>
      </c>
      <c r="C5658" s="2" t="str">
        <f>IFERROR(__xludf.DUMMYFUNCTION("""COMPUTED_VALUE"""),"Interior Design")</f>
        <v>Interior Design</v>
      </c>
      <c r="D5658" s="2" t="str">
        <f>IFERROR(__xludf.DUMMYFUNCTION("""COMPUTED_VALUE"""),"Silverlight Publishing House")</f>
        <v>Silverlight Publishing House</v>
      </c>
      <c r="E5658" s="2">
        <f>IFERROR(__xludf.DUMMYFUNCTION("""COMPUTED_VALUE"""),1.16)</f>
        <v>1.16</v>
      </c>
      <c r="F5658" s="2"/>
      <c r="G5658" s="2"/>
      <c r="H5658" s="2"/>
      <c r="I5658" s="2"/>
    </row>
    <row r="5659">
      <c r="A5659" s="2">
        <f>IFERROR(__xludf.DUMMYFUNCTION("""COMPUTED_VALUE"""),46482.0)</f>
        <v>46482</v>
      </c>
      <c r="B5659" s="2" t="str">
        <f>IFERROR(__xludf.DUMMYFUNCTION("""COMPUTED_VALUE"""),"Law")</f>
        <v>Law</v>
      </c>
      <c r="C5659" s="2" t="str">
        <f>IFERROR(__xludf.DUMMYFUNCTION("""COMPUTED_VALUE"""),"Interior Design")</f>
        <v>Interior Design</v>
      </c>
      <c r="D5659" s="2" t="str">
        <f>IFERROR(__xludf.DUMMYFUNCTION("""COMPUTED_VALUE"""),"Northlight Publishing House")</f>
        <v>Northlight Publishing House</v>
      </c>
      <c r="E5659" s="2">
        <f>IFERROR(__xludf.DUMMYFUNCTION("""COMPUTED_VALUE"""),2.41)</f>
        <v>2.41</v>
      </c>
      <c r="F5659" s="2"/>
      <c r="G5659" s="2"/>
      <c r="H5659" s="2"/>
      <c r="I5659" s="2"/>
    </row>
    <row r="5660">
      <c r="A5660" s="2">
        <f>IFERROR(__xludf.DUMMYFUNCTION("""COMPUTED_VALUE"""),46773.0)</f>
        <v>46773</v>
      </c>
      <c r="B5660" s="2" t="str">
        <f>IFERROR(__xludf.DUMMYFUNCTION("""COMPUTED_VALUE"""),"Law")</f>
        <v>Law</v>
      </c>
      <c r="C5660" s="2" t="str">
        <f>IFERROR(__xludf.DUMMYFUNCTION("""COMPUTED_VALUE"""),"Interior Design")</f>
        <v>Interior Design</v>
      </c>
      <c r="D5660" s="2" t="str">
        <f>IFERROR(__xludf.DUMMYFUNCTION("""COMPUTED_VALUE"""),"Northlight Publishing House")</f>
        <v>Northlight Publishing House</v>
      </c>
      <c r="E5660" s="2">
        <f>IFERROR(__xludf.DUMMYFUNCTION("""COMPUTED_VALUE"""),1.81)</f>
        <v>1.81</v>
      </c>
      <c r="F5660" s="2"/>
      <c r="G5660" s="2"/>
      <c r="H5660" s="2"/>
      <c r="I5660" s="2"/>
    </row>
    <row r="5661">
      <c r="A5661" s="2">
        <f>IFERROR(__xludf.DUMMYFUNCTION("""COMPUTED_VALUE"""),81502.0)</f>
        <v>81502</v>
      </c>
      <c r="B5661" s="2" t="str">
        <f>IFERROR(__xludf.DUMMYFUNCTION("""COMPUTED_VALUE"""),"Law")</f>
        <v>Law</v>
      </c>
      <c r="C5661" s="2" t="str">
        <f>IFERROR(__xludf.DUMMYFUNCTION("""COMPUTED_VALUE"""),"Interior Design")</f>
        <v>Interior Design</v>
      </c>
      <c r="D5661" s="2" t="str">
        <f>IFERROR(__xludf.DUMMYFUNCTION("""COMPUTED_VALUE"""),"Northlight Publishing House")</f>
        <v>Northlight Publishing House</v>
      </c>
      <c r="E5661" s="2">
        <f>IFERROR(__xludf.DUMMYFUNCTION("""COMPUTED_VALUE"""),3.76)</f>
        <v>3.76</v>
      </c>
      <c r="F5661" s="2"/>
      <c r="G5661" s="2"/>
      <c r="H5661" s="2"/>
      <c r="I5661" s="2"/>
    </row>
    <row r="5662">
      <c r="A5662" s="2">
        <f>IFERROR(__xludf.DUMMYFUNCTION("""COMPUTED_VALUE"""),76035.0)</f>
        <v>76035</v>
      </c>
      <c r="B5662" s="2" t="str">
        <f>IFERROR(__xludf.DUMMYFUNCTION("""COMPUTED_VALUE"""),"Law")</f>
        <v>Law</v>
      </c>
      <c r="C5662" s="2" t="str">
        <f>IFERROR(__xludf.DUMMYFUNCTION("""COMPUTED_VALUE"""),"Interior Design")</f>
        <v>Interior Design</v>
      </c>
      <c r="D5662" s="2" t="str">
        <f>IFERROR(__xludf.DUMMYFUNCTION("""COMPUTED_VALUE"""),"Northlight Publishing House")</f>
        <v>Northlight Publishing House</v>
      </c>
      <c r="E5662" s="2">
        <f>IFERROR(__xludf.DUMMYFUNCTION("""COMPUTED_VALUE"""),2.03)</f>
        <v>2.03</v>
      </c>
      <c r="F5662" s="2"/>
      <c r="G5662" s="2"/>
      <c r="H5662" s="2"/>
      <c r="I5662" s="2"/>
    </row>
    <row r="5663">
      <c r="A5663" s="2">
        <f>IFERROR(__xludf.DUMMYFUNCTION("""COMPUTED_VALUE"""),46774.0)</f>
        <v>46774</v>
      </c>
      <c r="B5663" s="2" t="str">
        <f>IFERROR(__xludf.DUMMYFUNCTION("""COMPUTED_VALUE"""),"Law")</f>
        <v>Law</v>
      </c>
      <c r="C5663" s="2" t="str">
        <f>IFERROR(__xludf.DUMMYFUNCTION("""COMPUTED_VALUE"""),"Interior Design")</f>
        <v>Interior Design</v>
      </c>
      <c r="D5663" s="2" t="str">
        <f>IFERROR(__xludf.DUMMYFUNCTION("""COMPUTED_VALUE"""),"Northlight Publishing House")</f>
        <v>Northlight Publishing House</v>
      </c>
      <c r="E5663" s="2">
        <f>IFERROR(__xludf.DUMMYFUNCTION("""COMPUTED_VALUE"""),1.58)</f>
        <v>1.58</v>
      </c>
      <c r="F5663" s="2"/>
      <c r="G5663" s="2"/>
      <c r="H5663" s="2"/>
      <c r="I5663" s="2"/>
    </row>
    <row r="5664">
      <c r="A5664" s="2">
        <f>IFERROR(__xludf.DUMMYFUNCTION("""COMPUTED_VALUE"""),121029.0)</f>
        <v>121029</v>
      </c>
      <c r="B5664" s="2" t="str">
        <f>IFERROR(__xludf.DUMMYFUNCTION("""COMPUTED_VALUE"""),"Sports")</f>
        <v>Sports</v>
      </c>
      <c r="C5664" s="2" t="str">
        <f>IFERROR(__xludf.DUMMYFUNCTION("""COMPUTED_VALUE"""),"Film Studies")</f>
        <v>Film Studies</v>
      </c>
      <c r="D5664" s="2" t="str">
        <f>IFERROR(__xludf.DUMMYFUNCTION("""COMPUTED_VALUE"""),"Harborlight Publishing House")</f>
        <v>Harborlight Publishing House</v>
      </c>
      <c r="E5664" s="2">
        <f>IFERROR(__xludf.DUMMYFUNCTION("""COMPUTED_VALUE"""),46.67)</f>
        <v>46.67</v>
      </c>
      <c r="F5664" s="2"/>
      <c r="G5664" s="2"/>
      <c r="H5664" s="2"/>
      <c r="I5664" s="2"/>
    </row>
    <row r="5665">
      <c r="A5665" s="2">
        <f>IFERROR(__xludf.DUMMYFUNCTION("""COMPUTED_VALUE"""),128199.0)</f>
        <v>128199</v>
      </c>
      <c r="B5665" s="2" t="str">
        <f>IFERROR(__xludf.DUMMYFUNCTION("""COMPUTED_VALUE"""),"Sports")</f>
        <v>Sports</v>
      </c>
      <c r="C5665" s="2" t="str">
        <f>IFERROR(__xludf.DUMMYFUNCTION("""COMPUTED_VALUE"""),"Film Studies")</f>
        <v>Film Studies</v>
      </c>
      <c r="D5665" s="2" t="str">
        <f>IFERROR(__xludf.DUMMYFUNCTION("""COMPUTED_VALUE"""),"Harborlight Publishing House")</f>
        <v>Harborlight Publishing House</v>
      </c>
      <c r="E5665" s="2">
        <f>IFERROR(__xludf.DUMMYFUNCTION("""COMPUTED_VALUE"""),47.34)</f>
        <v>47.34</v>
      </c>
      <c r="F5665" s="2"/>
      <c r="G5665" s="2"/>
      <c r="H5665" s="2"/>
      <c r="I5665" s="2"/>
    </row>
    <row r="5666">
      <c r="A5666" s="2">
        <f>IFERROR(__xludf.DUMMYFUNCTION("""COMPUTED_VALUE"""),82408.0)</f>
        <v>82408</v>
      </c>
      <c r="B5666" s="2" t="str">
        <f>IFERROR(__xludf.DUMMYFUNCTION("""COMPUTED_VALUE"""),"Medical")</f>
        <v>Medical</v>
      </c>
      <c r="C5666" s="2" t="str">
        <f>IFERROR(__xludf.DUMMYFUNCTION("""COMPUTED_VALUE"""),"Theatre")</f>
        <v>Theatre</v>
      </c>
      <c r="D5666" s="2" t="str">
        <f>IFERROR(__xludf.DUMMYFUNCTION("""COMPUTED_VALUE"""),"Cedarlight Publishing House")</f>
        <v>Cedarlight Publishing House</v>
      </c>
      <c r="E5666" s="2">
        <f>IFERROR(__xludf.DUMMYFUNCTION("""COMPUTED_VALUE"""),2.99)</f>
        <v>2.99</v>
      </c>
      <c r="F5666" s="2"/>
      <c r="G5666" s="2"/>
      <c r="H5666" s="2"/>
      <c r="I5666" s="2"/>
    </row>
    <row r="5667">
      <c r="A5667" s="2">
        <f>IFERROR(__xludf.DUMMYFUNCTION("""COMPUTED_VALUE"""),139298.0)</f>
        <v>139298</v>
      </c>
      <c r="B5667" s="2" t="str">
        <f>IFERROR(__xludf.DUMMYFUNCTION("""COMPUTED_VALUE"""),"Medical")</f>
        <v>Medical</v>
      </c>
      <c r="C5667" s="2" t="str">
        <f>IFERROR(__xludf.DUMMYFUNCTION("""COMPUTED_VALUE"""),"Theatre")</f>
        <v>Theatre</v>
      </c>
      <c r="D5667" s="2" t="str">
        <f>IFERROR(__xludf.DUMMYFUNCTION("""COMPUTED_VALUE"""),"Brightlight Publishing House")</f>
        <v>Brightlight Publishing House</v>
      </c>
      <c r="E5667" s="2">
        <f>IFERROR(__xludf.DUMMYFUNCTION("""COMPUTED_VALUE"""),2.08)</f>
        <v>2.08</v>
      </c>
      <c r="F5667" s="2"/>
      <c r="G5667" s="2"/>
      <c r="H5667" s="2"/>
      <c r="I5667" s="2"/>
    </row>
    <row r="5668">
      <c r="A5668" s="2">
        <f>IFERROR(__xludf.DUMMYFUNCTION("""COMPUTED_VALUE"""),91397.0)</f>
        <v>91397</v>
      </c>
      <c r="B5668" s="2" t="str">
        <f>IFERROR(__xludf.DUMMYFUNCTION("""COMPUTED_VALUE"""),"Medical")</f>
        <v>Medical</v>
      </c>
      <c r="C5668" s="2" t="str">
        <f>IFERROR(__xludf.DUMMYFUNCTION("""COMPUTED_VALUE"""),"Theatre")</f>
        <v>Theatre</v>
      </c>
      <c r="D5668" s="2" t="str">
        <f>IFERROR(__xludf.DUMMYFUNCTION("""COMPUTED_VALUE"""),"Brightlight Publishing House")</f>
        <v>Brightlight Publishing House</v>
      </c>
      <c r="E5668" s="2">
        <f>IFERROR(__xludf.DUMMYFUNCTION("""COMPUTED_VALUE"""),2.34)</f>
        <v>2.34</v>
      </c>
      <c r="F5668" s="2"/>
      <c r="G5668" s="2"/>
      <c r="H5668" s="2"/>
      <c r="I5668" s="2"/>
    </row>
    <row r="5669">
      <c r="A5669" s="2">
        <f>IFERROR(__xludf.DUMMYFUNCTION("""COMPUTED_VALUE"""),91396.0)</f>
        <v>91396</v>
      </c>
      <c r="B5669" s="2" t="str">
        <f>IFERROR(__xludf.DUMMYFUNCTION("""COMPUTED_VALUE"""),"Medical")</f>
        <v>Medical</v>
      </c>
      <c r="C5669" s="2" t="str">
        <f>IFERROR(__xludf.DUMMYFUNCTION("""COMPUTED_VALUE"""),"Theatre")</f>
        <v>Theatre</v>
      </c>
      <c r="D5669" s="2" t="str">
        <f>IFERROR(__xludf.DUMMYFUNCTION("""COMPUTED_VALUE"""),"Brightlight Publishing House")</f>
        <v>Brightlight Publishing House</v>
      </c>
      <c r="E5669" s="2">
        <f>IFERROR(__xludf.DUMMYFUNCTION("""COMPUTED_VALUE"""),1.99)</f>
        <v>1.99</v>
      </c>
      <c r="F5669" s="2"/>
      <c r="G5669" s="2"/>
      <c r="H5669" s="2"/>
      <c r="I5669" s="2"/>
    </row>
    <row r="5670">
      <c r="A5670" s="2">
        <f>IFERROR(__xludf.DUMMYFUNCTION("""COMPUTED_VALUE"""),139302.0)</f>
        <v>139302</v>
      </c>
      <c r="B5670" s="2" t="str">
        <f>IFERROR(__xludf.DUMMYFUNCTION("""COMPUTED_VALUE"""),"Medical")</f>
        <v>Medical</v>
      </c>
      <c r="C5670" s="2" t="str">
        <f>IFERROR(__xludf.DUMMYFUNCTION("""COMPUTED_VALUE"""),"Theatre")</f>
        <v>Theatre</v>
      </c>
      <c r="D5670" s="2" t="str">
        <f>IFERROR(__xludf.DUMMYFUNCTION("""COMPUTED_VALUE"""),"Brightlight Publishing House")</f>
        <v>Brightlight Publishing House</v>
      </c>
      <c r="E5670" s="2">
        <f>IFERROR(__xludf.DUMMYFUNCTION("""COMPUTED_VALUE"""),2.29)</f>
        <v>2.29</v>
      </c>
      <c r="F5670" s="2"/>
      <c r="G5670" s="2"/>
      <c r="H5670" s="2"/>
      <c r="I5670" s="2"/>
    </row>
    <row r="5671">
      <c r="A5671" s="2">
        <f>IFERROR(__xludf.DUMMYFUNCTION("""COMPUTED_VALUE"""),118283.0)</f>
        <v>118283</v>
      </c>
      <c r="B5671" s="2" t="str">
        <f>IFERROR(__xludf.DUMMYFUNCTION("""COMPUTED_VALUE"""),"Medical")</f>
        <v>Medical</v>
      </c>
      <c r="C5671" s="2" t="str">
        <f>IFERROR(__xludf.DUMMYFUNCTION("""COMPUTED_VALUE"""),"Theatre")</f>
        <v>Theatre</v>
      </c>
      <c r="D5671" s="2" t="str">
        <f>IFERROR(__xludf.DUMMYFUNCTION("""COMPUTED_VALUE"""),"Brightlight Publishing House")</f>
        <v>Brightlight Publishing House</v>
      </c>
      <c r="E5671" s="2">
        <f>IFERROR(__xludf.DUMMYFUNCTION("""COMPUTED_VALUE"""),1.54)</f>
        <v>1.54</v>
      </c>
      <c r="F5671" s="2"/>
      <c r="G5671" s="2"/>
      <c r="H5671" s="2"/>
      <c r="I5671" s="2"/>
    </row>
    <row r="5672">
      <c r="A5672" s="2">
        <f>IFERROR(__xludf.DUMMYFUNCTION("""COMPUTED_VALUE"""),118286.0)</f>
        <v>118286</v>
      </c>
      <c r="B5672" s="2" t="str">
        <f>IFERROR(__xludf.DUMMYFUNCTION("""COMPUTED_VALUE"""),"Medical")</f>
        <v>Medical</v>
      </c>
      <c r="C5672" s="2" t="str">
        <f>IFERROR(__xludf.DUMMYFUNCTION("""COMPUTED_VALUE"""),"Theatre")</f>
        <v>Theatre</v>
      </c>
      <c r="D5672" s="2" t="str">
        <f>IFERROR(__xludf.DUMMYFUNCTION("""COMPUTED_VALUE"""),"Brightlight Publishing House")</f>
        <v>Brightlight Publishing House</v>
      </c>
      <c r="E5672" s="2">
        <f>IFERROR(__xludf.DUMMYFUNCTION("""COMPUTED_VALUE"""),1.59)</f>
        <v>1.59</v>
      </c>
      <c r="F5672" s="2"/>
      <c r="G5672" s="2"/>
      <c r="H5672" s="2"/>
      <c r="I5672" s="2"/>
    </row>
    <row r="5673">
      <c r="A5673" s="2">
        <f>IFERROR(__xludf.DUMMYFUNCTION("""COMPUTED_VALUE"""),3375.0)</f>
        <v>3375</v>
      </c>
      <c r="B5673" s="2" t="str">
        <f>IFERROR(__xludf.DUMMYFUNCTION("""COMPUTED_VALUE"""),"Medical")</f>
        <v>Medical</v>
      </c>
      <c r="C5673" s="2" t="str">
        <f>IFERROR(__xludf.DUMMYFUNCTION("""COMPUTED_VALUE"""),"Theatre")</f>
        <v>Theatre</v>
      </c>
      <c r="D5673" s="2" t="str">
        <f>IFERROR(__xludf.DUMMYFUNCTION("""COMPUTED_VALUE"""),"Brightlight Publishing House")</f>
        <v>Brightlight Publishing House</v>
      </c>
      <c r="E5673" s="2">
        <f>IFERROR(__xludf.DUMMYFUNCTION("""COMPUTED_VALUE"""),2.29)</f>
        <v>2.29</v>
      </c>
      <c r="F5673" s="2"/>
      <c r="G5673" s="2"/>
      <c r="H5673" s="2"/>
      <c r="I5673" s="2"/>
    </row>
    <row r="5674">
      <c r="A5674" s="2">
        <f>IFERROR(__xludf.DUMMYFUNCTION("""COMPUTED_VALUE"""),118285.0)</f>
        <v>118285</v>
      </c>
      <c r="B5674" s="2" t="str">
        <f>IFERROR(__xludf.DUMMYFUNCTION("""COMPUTED_VALUE"""),"Medical")</f>
        <v>Medical</v>
      </c>
      <c r="C5674" s="2" t="str">
        <f>IFERROR(__xludf.DUMMYFUNCTION("""COMPUTED_VALUE"""),"Theatre")</f>
        <v>Theatre</v>
      </c>
      <c r="D5674" s="2" t="str">
        <f>IFERROR(__xludf.DUMMYFUNCTION("""COMPUTED_VALUE"""),"Brightlight Publishing House")</f>
        <v>Brightlight Publishing House</v>
      </c>
      <c r="E5674" s="2">
        <f>IFERROR(__xludf.DUMMYFUNCTION("""COMPUTED_VALUE"""),1.37)</f>
        <v>1.37</v>
      </c>
      <c r="F5674" s="2"/>
      <c r="G5674" s="2"/>
      <c r="H5674" s="2"/>
      <c r="I5674" s="2"/>
    </row>
    <row r="5675">
      <c r="A5675" s="2">
        <f>IFERROR(__xludf.DUMMYFUNCTION("""COMPUTED_VALUE"""),118284.0)</f>
        <v>118284</v>
      </c>
      <c r="B5675" s="2" t="str">
        <f>IFERROR(__xludf.DUMMYFUNCTION("""COMPUTED_VALUE"""),"Medical")</f>
        <v>Medical</v>
      </c>
      <c r="C5675" s="2" t="str">
        <f>IFERROR(__xludf.DUMMYFUNCTION("""COMPUTED_VALUE"""),"Theatre")</f>
        <v>Theatre</v>
      </c>
      <c r="D5675" s="2" t="str">
        <f>IFERROR(__xludf.DUMMYFUNCTION("""COMPUTED_VALUE"""),"Brightlight Publishing House")</f>
        <v>Brightlight Publishing House</v>
      </c>
      <c r="E5675" s="2">
        <f>IFERROR(__xludf.DUMMYFUNCTION("""COMPUTED_VALUE"""),1.37)</f>
        <v>1.37</v>
      </c>
      <c r="F5675" s="2"/>
      <c r="G5675" s="2"/>
      <c r="H5675" s="2"/>
      <c r="I5675" s="2"/>
    </row>
    <row r="5676">
      <c r="A5676" s="2">
        <f>IFERROR(__xludf.DUMMYFUNCTION("""COMPUTED_VALUE"""),116522.0)</f>
        <v>116522</v>
      </c>
      <c r="B5676" s="2" t="str">
        <f>IFERROR(__xludf.DUMMYFUNCTION("""COMPUTED_VALUE"""),"Medical")</f>
        <v>Medical</v>
      </c>
      <c r="C5676" s="2" t="str">
        <f>IFERROR(__xludf.DUMMYFUNCTION("""COMPUTED_VALUE"""),"Theatre")</f>
        <v>Theatre</v>
      </c>
      <c r="D5676" s="2" t="str">
        <f>IFERROR(__xludf.DUMMYFUNCTION("""COMPUTED_VALUE"""),"Oaklight Publishing House")</f>
        <v>Oaklight Publishing House</v>
      </c>
      <c r="E5676" s="2">
        <f>IFERROR(__xludf.DUMMYFUNCTION("""COMPUTED_VALUE"""),0.88)</f>
        <v>0.88</v>
      </c>
      <c r="F5676" s="2"/>
      <c r="G5676" s="2"/>
      <c r="H5676" s="2"/>
      <c r="I5676" s="2"/>
    </row>
    <row r="5677">
      <c r="A5677" s="2">
        <f>IFERROR(__xludf.DUMMYFUNCTION("""COMPUTED_VALUE"""),139307.0)</f>
        <v>139307</v>
      </c>
      <c r="B5677" s="2" t="str">
        <f>IFERROR(__xludf.DUMMYFUNCTION("""COMPUTED_VALUE"""),"Medical")</f>
        <v>Medical</v>
      </c>
      <c r="C5677" s="2" t="str">
        <f>IFERROR(__xludf.DUMMYFUNCTION("""COMPUTED_VALUE"""),"Theatre")</f>
        <v>Theatre</v>
      </c>
      <c r="D5677" s="2" t="str">
        <f>IFERROR(__xludf.DUMMYFUNCTION("""COMPUTED_VALUE"""),"Oaklight Publishing House")</f>
        <v>Oaklight Publishing House</v>
      </c>
      <c r="E5677" s="2">
        <f>IFERROR(__xludf.DUMMYFUNCTION("""COMPUTED_VALUE"""),1.77)</f>
        <v>1.77</v>
      </c>
      <c r="F5677" s="2"/>
      <c r="G5677" s="2"/>
      <c r="H5677" s="2"/>
      <c r="I5677" s="2"/>
    </row>
    <row r="5678">
      <c r="A5678" s="2">
        <f>IFERROR(__xludf.DUMMYFUNCTION("""COMPUTED_VALUE"""),120253.0)</f>
        <v>120253</v>
      </c>
      <c r="B5678" s="2" t="str">
        <f>IFERROR(__xludf.DUMMYFUNCTION("""COMPUTED_VALUE"""),"Medical")</f>
        <v>Medical</v>
      </c>
      <c r="C5678" s="2" t="str">
        <f>IFERROR(__xludf.DUMMYFUNCTION("""COMPUTED_VALUE"""),"Theatre")</f>
        <v>Theatre</v>
      </c>
      <c r="D5678" s="2" t="str">
        <f>IFERROR(__xludf.DUMMYFUNCTION("""COMPUTED_VALUE"""),"Oaklight Publishing House")</f>
        <v>Oaklight Publishing House</v>
      </c>
      <c r="E5678" s="2">
        <f>IFERROR(__xludf.DUMMYFUNCTION("""COMPUTED_VALUE"""),2.48)</f>
        <v>2.48</v>
      </c>
      <c r="F5678" s="2"/>
      <c r="G5678" s="2"/>
      <c r="H5678" s="2"/>
      <c r="I5678" s="2"/>
    </row>
    <row r="5679">
      <c r="A5679" s="2">
        <f>IFERROR(__xludf.DUMMYFUNCTION("""COMPUTED_VALUE"""),120252.0)</f>
        <v>120252</v>
      </c>
      <c r="B5679" s="2" t="str">
        <f>IFERROR(__xludf.DUMMYFUNCTION("""COMPUTED_VALUE"""),"Medical")</f>
        <v>Medical</v>
      </c>
      <c r="C5679" s="2" t="str">
        <f>IFERROR(__xludf.DUMMYFUNCTION("""COMPUTED_VALUE"""),"Theatre")</f>
        <v>Theatre</v>
      </c>
      <c r="D5679" s="2" t="str">
        <f>IFERROR(__xludf.DUMMYFUNCTION("""COMPUTED_VALUE"""),"Oaklight Publishing House")</f>
        <v>Oaklight Publishing House</v>
      </c>
      <c r="E5679" s="2">
        <f>IFERROR(__xludf.DUMMYFUNCTION("""COMPUTED_VALUE"""),2.34)</f>
        <v>2.34</v>
      </c>
      <c r="F5679" s="2"/>
      <c r="G5679" s="2"/>
      <c r="H5679" s="2"/>
      <c r="I5679" s="2"/>
    </row>
    <row r="5680">
      <c r="A5680" s="2">
        <f>IFERROR(__xludf.DUMMYFUNCTION("""COMPUTED_VALUE"""),120251.0)</f>
        <v>120251</v>
      </c>
      <c r="B5680" s="2" t="str">
        <f>IFERROR(__xludf.DUMMYFUNCTION("""COMPUTED_VALUE"""),"Medical")</f>
        <v>Medical</v>
      </c>
      <c r="C5680" s="2" t="str">
        <f>IFERROR(__xludf.DUMMYFUNCTION("""COMPUTED_VALUE"""),"Theatre")</f>
        <v>Theatre</v>
      </c>
      <c r="D5680" s="2" t="str">
        <f>IFERROR(__xludf.DUMMYFUNCTION("""COMPUTED_VALUE"""),"Oaklight Publishing House")</f>
        <v>Oaklight Publishing House</v>
      </c>
      <c r="E5680" s="2">
        <f>IFERROR(__xludf.DUMMYFUNCTION("""COMPUTED_VALUE"""),2.57)</f>
        <v>2.57</v>
      </c>
      <c r="F5680" s="2"/>
      <c r="G5680" s="2"/>
      <c r="H5680" s="2"/>
      <c r="I5680" s="2"/>
    </row>
    <row r="5681">
      <c r="A5681" s="2">
        <f>IFERROR(__xludf.DUMMYFUNCTION("""COMPUTED_VALUE"""),139306.0)</f>
        <v>139306</v>
      </c>
      <c r="B5681" s="2" t="str">
        <f>IFERROR(__xludf.DUMMYFUNCTION("""COMPUTED_VALUE"""),"Medical")</f>
        <v>Medical</v>
      </c>
      <c r="C5681" s="2" t="str">
        <f>IFERROR(__xludf.DUMMYFUNCTION("""COMPUTED_VALUE"""),"Theatre")</f>
        <v>Theatre</v>
      </c>
      <c r="D5681" s="2" t="str">
        <f>IFERROR(__xludf.DUMMYFUNCTION("""COMPUTED_VALUE"""),"Oaklight Publishing House")</f>
        <v>Oaklight Publishing House</v>
      </c>
      <c r="E5681" s="2">
        <f>IFERROR(__xludf.DUMMYFUNCTION("""COMPUTED_VALUE"""),1.85)</f>
        <v>1.85</v>
      </c>
      <c r="F5681" s="2"/>
      <c r="G5681" s="2"/>
      <c r="H5681" s="2"/>
      <c r="I5681" s="2"/>
    </row>
    <row r="5682">
      <c r="A5682" s="2">
        <f>IFERROR(__xludf.DUMMYFUNCTION("""COMPUTED_VALUE"""),120255.0)</f>
        <v>120255</v>
      </c>
      <c r="B5682" s="2" t="str">
        <f>IFERROR(__xludf.DUMMYFUNCTION("""COMPUTED_VALUE"""),"Medical")</f>
        <v>Medical</v>
      </c>
      <c r="C5682" s="2" t="str">
        <f>IFERROR(__xludf.DUMMYFUNCTION("""COMPUTED_VALUE"""),"Theatre")</f>
        <v>Theatre</v>
      </c>
      <c r="D5682" s="2" t="str">
        <f>IFERROR(__xludf.DUMMYFUNCTION("""COMPUTED_VALUE"""),"Oaklight Publishing House")</f>
        <v>Oaklight Publishing House</v>
      </c>
      <c r="E5682" s="2">
        <f>IFERROR(__xludf.DUMMYFUNCTION("""COMPUTED_VALUE"""),2.01)</f>
        <v>2.01</v>
      </c>
      <c r="F5682" s="2"/>
      <c r="G5682" s="2"/>
      <c r="H5682" s="2"/>
      <c r="I5682" s="2"/>
    </row>
    <row r="5683">
      <c r="A5683" s="2">
        <f>IFERROR(__xludf.DUMMYFUNCTION("""COMPUTED_VALUE"""),120980.0)</f>
        <v>120980</v>
      </c>
      <c r="B5683" s="2" t="str">
        <f>IFERROR(__xludf.DUMMYFUNCTION("""COMPUTED_VALUE"""),"Medical")</f>
        <v>Medical</v>
      </c>
      <c r="C5683" s="2" t="str">
        <f>IFERROR(__xludf.DUMMYFUNCTION("""COMPUTED_VALUE"""),"Theatre")</f>
        <v>Theatre</v>
      </c>
      <c r="D5683" s="2" t="str">
        <f>IFERROR(__xludf.DUMMYFUNCTION("""COMPUTED_VALUE"""),"Oaklight Publishing House")</f>
        <v>Oaklight Publishing House</v>
      </c>
      <c r="E5683" s="2">
        <f>IFERROR(__xludf.DUMMYFUNCTION("""COMPUTED_VALUE"""),0.48)</f>
        <v>0.48</v>
      </c>
      <c r="F5683" s="2"/>
      <c r="G5683" s="2"/>
      <c r="H5683" s="2"/>
      <c r="I5683" s="2"/>
    </row>
    <row r="5684">
      <c r="A5684" s="2">
        <f>IFERROR(__xludf.DUMMYFUNCTION("""COMPUTED_VALUE"""),139299.0)</f>
        <v>139299</v>
      </c>
      <c r="B5684" s="2" t="str">
        <f>IFERROR(__xludf.DUMMYFUNCTION("""COMPUTED_VALUE"""),"Medical")</f>
        <v>Medical</v>
      </c>
      <c r="C5684" s="2" t="str">
        <f>IFERROR(__xludf.DUMMYFUNCTION("""COMPUTED_VALUE"""),"Theatre")</f>
        <v>Theatre</v>
      </c>
      <c r="D5684" s="2" t="str">
        <f>IFERROR(__xludf.DUMMYFUNCTION("""COMPUTED_VALUE"""),"Oaklight Publishing House")</f>
        <v>Oaklight Publishing House</v>
      </c>
      <c r="E5684" s="2">
        <f>IFERROR(__xludf.DUMMYFUNCTION("""COMPUTED_VALUE"""),2.13)</f>
        <v>2.13</v>
      </c>
      <c r="F5684" s="2"/>
      <c r="G5684" s="2"/>
      <c r="H5684" s="2"/>
      <c r="I5684" s="2"/>
    </row>
    <row r="5685">
      <c r="A5685" s="2">
        <f>IFERROR(__xludf.DUMMYFUNCTION("""COMPUTED_VALUE"""),73635.0)</f>
        <v>73635</v>
      </c>
      <c r="B5685" s="2" t="str">
        <f>IFERROR(__xludf.DUMMYFUNCTION("""COMPUTED_VALUE"""),"Medical")</f>
        <v>Medical</v>
      </c>
      <c r="C5685" s="2" t="str">
        <f>IFERROR(__xludf.DUMMYFUNCTION("""COMPUTED_VALUE"""),"Theatre")</f>
        <v>Theatre</v>
      </c>
      <c r="D5685" s="2" t="str">
        <f>IFERROR(__xludf.DUMMYFUNCTION("""COMPUTED_VALUE"""),"Oaklight Publishing House")</f>
        <v>Oaklight Publishing House</v>
      </c>
      <c r="E5685" s="2">
        <f>IFERROR(__xludf.DUMMYFUNCTION("""COMPUTED_VALUE"""),1.52)</f>
        <v>1.52</v>
      </c>
      <c r="F5685" s="2"/>
      <c r="G5685" s="2"/>
      <c r="H5685" s="2"/>
      <c r="I5685" s="2"/>
    </row>
    <row r="5686">
      <c r="A5686" s="2">
        <f>IFERROR(__xludf.DUMMYFUNCTION("""COMPUTED_VALUE"""),116537.0)</f>
        <v>116537</v>
      </c>
      <c r="B5686" s="2" t="str">
        <f>IFERROR(__xludf.DUMMYFUNCTION("""COMPUTED_VALUE"""),"Medical")</f>
        <v>Medical</v>
      </c>
      <c r="C5686" s="2" t="str">
        <f>IFERROR(__xludf.DUMMYFUNCTION("""COMPUTED_VALUE"""),"Theatre")</f>
        <v>Theatre</v>
      </c>
      <c r="D5686" s="2" t="str">
        <f>IFERROR(__xludf.DUMMYFUNCTION("""COMPUTED_VALUE"""),"Oaklight Publishing House")</f>
        <v>Oaklight Publishing House</v>
      </c>
      <c r="E5686" s="2">
        <f>IFERROR(__xludf.DUMMYFUNCTION("""COMPUTED_VALUE"""),0.72)</f>
        <v>0.72</v>
      </c>
      <c r="F5686" s="2"/>
      <c r="G5686" s="2"/>
      <c r="H5686" s="2"/>
      <c r="I5686" s="2"/>
    </row>
    <row r="5687">
      <c r="A5687" s="2">
        <f>IFERROR(__xludf.DUMMYFUNCTION("""COMPUTED_VALUE"""),46716.0)</f>
        <v>46716</v>
      </c>
      <c r="B5687" s="2" t="str">
        <f>IFERROR(__xludf.DUMMYFUNCTION("""COMPUTED_VALUE"""),"Medical")</f>
        <v>Medical</v>
      </c>
      <c r="C5687" s="2" t="str">
        <f>IFERROR(__xludf.DUMMYFUNCTION("""COMPUTED_VALUE"""),"Theatre")</f>
        <v>Theatre</v>
      </c>
      <c r="D5687" s="2" t="str">
        <f>IFERROR(__xludf.DUMMYFUNCTION("""COMPUTED_VALUE"""),"Oaklight Publishing House")</f>
        <v>Oaklight Publishing House</v>
      </c>
      <c r="E5687" s="2">
        <f>IFERROR(__xludf.DUMMYFUNCTION("""COMPUTED_VALUE"""),1.41)</f>
        <v>1.41</v>
      </c>
      <c r="F5687" s="2"/>
      <c r="G5687" s="2"/>
      <c r="H5687" s="2"/>
      <c r="I5687" s="2"/>
    </row>
    <row r="5688">
      <c r="A5688" s="2">
        <f>IFERROR(__xludf.DUMMYFUNCTION("""COMPUTED_VALUE"""),109161.0)</f>
        <v>109161</v>
      </c>
      <c r="B5688" s="2" t="str">
        <f>IFERROR(__xludf.DUMMYFUNCTION("""COMPUTED_VALUE"""),"Medical")</f>
        <v>Medical</v>
      </c>
      <c r="C5688" s="2" t="str">
        <f>IFERROR(__xludf.DUMMYFUNCTION("""COMPUTED_VALUE"""),"Theatre")</f>
        <v>Theatre</v>
      </c>
      <c r="D5688" s="2" t="str">
        <f>IFERROR(__xludf.DUMMYFUNCTION("""COMPUTED_VALUE"""),"Oaklight Publishing House")</f>
        <v>Oaklight Publishing House</v>
      </c>
      <c r="E5688" s="2">
        <f>IFERROR(__xludf.DUMMYFUNCTION("""COMPUTED_VALUE"""),1.92)</f>
        <v>1.92</v>
      </c>
      <c r="F5688" s="2"/>
      <c r="G5688" s="2"/>
      <c r="H5688" s="2"/>
      <c r="I5688" s="2"/>
    </row>
    <row r="5689">
      <c r="A5689" s="2">
        <f>IFERROR(__xludf.DUMMYFUNCTION("""COMPUTED_VALUE"""),110760.0)</f>
        <v>110760</v>
      </c>
      <c r="B5689" s="2" t="str">
        <f>IFERROR(__xludf.DUMMYFUNCTION("""COMPUTED_VALUE"""),"Medical")</f>
        <v>Medical</v>
      </c>
      <c r="C5689" s="2" t="str">
        <f>IFERROR(__xludf.DUMMYFUNCTION("""COMPUTED_VALUE"""),"Theatre")</f>
        <v>Theatre</v>
      </c>
      <c r="D5689" s="2" t="str">
        <f>IFERROR(__xludf.DUMMYFUNCTION("""COMPUTED_VALUE"""),"Oaklight Publishing House")</f>
        <v>Oaklight Publishing House</v>
      </c>
      <c r="E5689" s="2">
        <f>IFERROR(__xludf.DUMMYFUNCTION("""COMPUTED_VALUE"""),1.37)</f>
        <v>1.37</v>
      </c>
      <c r="F5689" s="2"/>
      <c r="G5689" s="2"/>
      <c r="H5689" s="2"/>
      <c r="I5689" s="2"/>
    </row>
    <row r="5690">
      <c r="A5690" s="2">
        <f>IFERROR(__xludf.DUMMYFUNCTION("""COMPUTED_VALUE"""),112095.0)</f>
        <v>112095</v>
      </c>
      <c r="B5690" s="2" t="str">
        <f>IFERROR(__xludf.DUMMYFUNCTION("""COMPUTED_VALUE"""),"Medical")</f>
        <v>Medical</v>
      </c>
      <c r="C5690" s="2" t="str">
        <f>IFERROR(__xludf.DUMMYFUNCTION("""COMPUTED_VALUE"""),"Theatre")</f>
        <v>Theatre</v>
      </c>
      <c r="D5690" s="2" t="str">
        <f>IFERROR(__xludf.DUMMYFUNCTION("""COMPUTED_VALUE"""),"Oaklight Publishing House")</f>
        <v>Oaklight Publishing House</v>
      </c>
      <c r="E5690" s="2">
        <f>IFERROR(__xludf.DUMMYFUNCTION("""COMPUTED_VALUE"""),2.33)</f>
        <v>2.33</v>
      </c>
      <c r="F5690" s="2"/>
      <c r="G5690" s="2"/>
      <c r="H5690" s="2"/>
      <c r="I5690" s="2"/>
    </row>
    <row r="5691">
      <c r="A5691" s="2">
        <f>IFERROR(__xludf.DUMMYFUNCTION("""COMPUTED_VALUE"""),120261.0)</f>
        <v>120261</v>
      </c>
      <c r="B5691" s="2" t="str">
        <f>IFERROR(__xludf.DUMMYFUNCTION("""COMPUTED_VALUE"""),"Medical")</f>
        <v>Medical</v>
      </c>
      <c r="C5691" s="2" t="str">
        <f>IFERROR(__xludf.DUMMYFUNCTION("""COMPUTED_VALUE"""),"Theatre")</f>
        <v>Theatre</v>
      </c>
      <c r="D5691" s="2" t="str">
        <f>IFERROR(__xludf.DUMMYFUNCTION("""COMPUTED_VALUE"""),"Oaklight Publishing House")</f>
        <v>Oaklight Publishing House</v>
      </c>
      <c r="E5691" s="2">
        <f>IFERROR(__xludf.DUMMYFUNCTION("""COMPUTED_VALUE"""),2.37)</f>
        <v>2.37</v>
      </c>
      <c r="F5691" s="2"/>
      <c r="G5691" s="2"/>
      <c r="H5691" s="2"/>
      <c r="I5691" s="2"/>
    </row>
    <row r="5692">
      <c r="A5692" s="2">
        <f>IFERROR(__xludf.DUMMYFUNCTION("""COMPUTED_VALUE"""),142302.0)</f>
        <v>142302</v>
      </c>
      <c r="B5692" s="2" t="str">
        <f>IFERROR(__xludf.DUMMYFUNCTION("""COMPUTED_VALUE"""),"Medical")</f>
        <v>Medical</v>
      </c>
      <c r="C5692" s="2" t="str">
        <f>IFERROR(__xludf.DUMMYFUNCTION("""COMPUTED_VALUE"""),"Theatre")</f>
        <v>Theatre</v>
      </c>
      <c r="D5692" s="2" t="str">
        <f>IFERROR(__xludf.DUMMYFUNCTION("""COMPUTED_VALUE"""),"Oaklight Publishing House")</f>
        <v>Oaklight Publishing House</v>
      </c>
      <c r="E5692" s="2">
        <f>IFERROR(__xludf.DUMMYFUNCTION("""COMPUTED_VALUE"""),0.9)</f>
        <v>0.9</v>
      </c>
      <c r="F5692" s="2"/>
      <c r="G5692" s="2"/>
      <c r="H5692" s="2"/>
      <c r="I5692" s="2"/>
    </row>
    <row r="5693">
      <c r="A5693" s="2">
        <f>IFERROR(__xludf.DUMMYFUNCTION("""COMPUTED_VALUE"""),46715.0)</f>
        <v>46715</v>
      </c>
      <c r="B5693" s="2" t="str">
        <f>IFERROR(__xludf.DUMMYFUNCTION("""COMPUTED_VALUE"""),"Medical")</f>
        <v>Medical</v>
      </c>
      <c r="C5693" s="2" t="str">
        <f>IFERROR(__xludf.DUMMYFUNCTION("""COMPUTED_VALUE"""),"Theatre")</f>
        <v>Theatre</v>
      </c>
      <c r="D5693" s="2" t="str">
        <f>IFERROR(__xludf.DUMMYFUNCTION("""COMPUTED_VALUE"""),"Oaklight Publishing House")</f>
        <v>Oaklight Publishing House</v>
      </c>
      <c r="E5693" s="2">
        <f>IFERROR(__xludf.DUMMYFUNCTION("""COMPUTED_VALUE"""),1.18)</f>
        <v>1.18</v>
      </c>
      <c r="F5693" s="2"/>
      <c r="G5693" s="2"/>
      <c r="H5693" s="2"/>
      <c r="I5693" s="2"/>
    </row>
    <row r="5694">
      <c r="A5694" s="2">
        <f>IFERROR(__xludf.DUMMYFUNCTION("""COMPUTED_VALUE"""),102190.0)</f>
        <v>102190</v>
      </c>
      <c r="B5694" s="2" t="str">
        <f>IFERROR(__xludf.DUMMYFUNCTION("""COMPUTED_VALUE"""),"Medical")</f>
        <v>Medical</v>
      </c>
      <c r="C5694" s="2" t="str">
        <f>IFERROR(__xludf.DUMMYFUNCTION("""COMPUTED_VALUE"""),"Theatre")</f>
        <v>Theatre</v>
      </c>
      <c r="D5694" s="2" t="str">
        <f>IFERROR(__xludf.DUMMYFUNCTION("""COMPUTED_VALUE"""),"Oaklight Publishing House")</f>
        <v>Oaklight Publishing House</v>
      </c>
      <c r="E5694" s="2">
        <f>IFERROR(__xludf.DUMMYFUNCTION("""COMPUTED_VALUE"""),2.06)</f>
        <v>2.06</v>
      </c>
      <c r="F5694" s="2"/>
      <c r="G5694" s="2"/>
      <c r="H5694" s="2"/>
      <c r="I5694" s="2"/>
    </row>
    <row r="5695">
      <c r="A5695" s="2">
        <f>IFERROR(__xludf.DUMMYFUNCTION("""COMPUTED_VALUE"""),112098.0)</f>
        <v>112098</v>
      </c>
      <c r="B5695" s="2" t="str">
        <f>IFERROR(__xludf.DUMMYFUNCTION("""COMPUTED_VALUE"""),"Medical")</f>
        <v>Medical</v>
      </c>
      <c r="C5695" s="2" t="str">
        <f>IFERROR(__xludf.DUMMYFUNCTION("""COMPUTED_VALUE"""),"Theatre")</f>
        <v>Theatre</v>
      </c>
      <c r="D5695" s="2" t="str">
        <f>IFERROR(__xludf.DUMMYFUNCTION("""COMPUTED_VALUE"""),"Oaklight Publishing House")</f>
        <v>Oaklight Publishing House</v>
      </c>
      <c r="E5695" s="2">
        <f>IFERROR(__xludf.DUMMYFUNCTION("""COMPUTED_VALUE"""),2.11)</f>
        <v>2.11</v>
      </c>
      <c r="F5695" s="2"/>
      <c r="G5695" s="2"/>
      <c r="H5695" s="2"/>
      <c r="I5695" s="2"/>
    </row>
    <row r="5696">
      <c r="A5696" s="2">
        <f>IFERROR(__xludf.DUMMYFUNCTION("""COMPUTED_VALUE"""),110761.0)</f>
        <v>110761</v>
      </c>
      <c r="B5696" s="2" t="str">
        <f>IFERROR(__xludf.DUMMYFUNCTION("""COMPUTED_VALUE"""),"Medical")</f>
        <v>Medical</v>
      </c>
      <c r="C5696" s="2" t="str">
        <f>IFERROR(__xludf.DUMMYFUNCTION("""COMPUTED_VALUE"""),"Theatre")</f>
        <v>Theatre</v>
      </c>
      <c r="D5696" s="2" t="str">
        <f>IFERROR(__xludf.DUMMYFUNCTION("""COMPUTED_VALUE"""),"Oaklight Publishing House")</f>
        <v>Oaklight Publishing House</v>
      </c>
      <c r="E5696" s="2">
        <f>IFERROR(__xludf.DUMMYFUNCTION("""COMPUTED_VALUE"""),1.77)</f>
        <v>1.77</v>
      </c>
      <c r="F5696" s="2"/>
      <c r="G5696" s="2"/>
      <c r="H5696" s="2"/>
      <c r="I5696" s="2"/>
    </row>
    <row r="5697">
      <c r="A5697" s="2">
        <f>IFERROR(__xludf.DUMMYFUNCTION("""COMPUTED_VALUE"""),116529.0)</f>
        <v>116529</v>
      </c>
      <c r="B5697" s="2" t="str">
        <f>IFERROR(__xludf.DUMMYFUNCTION("""COMPUTED_VALUE"""),"Medical")</f>
        <v>Medical</v>
      </c>
      <c r="C5697" s="2" t="str">
        <f>IFERROR(__xludf.DUMMYFUNCTION("""COMPUTED_VALUE"""),"Theatre")</f>
        <v>Theatre</v>
      </c>
      <c r="D5697" s="2" t="str">
        <f>IFERROR(__xludf.DUMMYFUNCTION("""COMPUTED_VALUE"""),"Oaklight Publishing House")</f>
        <v>Oaklight Publishing House</v>
      </c>
      <c r="E5697" s="2">
        <f>IFERROR(__xludf.DUMMYFUNCTION("""COMPUTED_VALUE"""),0.98)</f>
        <v>0.98</v>
      </c>
      <c r="F5697" s="2"/>
      <c r="G5697" s="2"/>
      <c r="H5697" s="2"/>
      <c r="I5697" s="2"/>
    </row>
    <row r="5698">
      <c r="A5698" s="2">
        <f>IFERROR(__xludf.DUMMYFUNCTION("""COMPUTED_VALUE"""),119245.0)</f>
        <v>119245</v>
      </c>
      <c r="B5698" s="2" t="str">
        <f>IFERROR(__xludf.DUMMYFUNCTION("""COMPUTED_VALUE"""),"Sports")</f>
        <v>Sports</v>
      </c>
      <c r="C5698" s="2" t="str">
        <f>IFERROR(__xludf.DUMMYFUNCTION("""COMPUTED_VALUE"""),"Music")</f>
        <v>Music</v>
      </c>
      <c r="D5698" s="2"/>
      <c r="E5698" s="2">
        <f>IFERROR(__xludf.DUMMYFUNCTION("""COMPUTED_VALUE"""),5.44)</f>
        <v>5.44</v>
      </c>
      <c r="F5698" s="2"/>
      <c r="G5698" s="2"/>
      <c r="H5698" s="2"/>
      <c r="I5698" s="2"/>
    </row>
    <row r="5699">
      <c r="A5699" s="2">
        <f>IFERROR(__xludf.DUMMYFUNCTION("""COMPUTED_VALUE"""),119454.0)</f>
        <v>119454</v>
      </c>
      <c r="B5699" s="2" t="str">
        <f>IFERROR(__xludf.DUMMYFUNCTION("""COMPUTED_VALUE"""),"Sports")</f>
        <v>Sports</v>
      </c>
      <c r="C5699" s="2" t="str">
        <f>IFERROR(__xludf.DUMMYFUNCTION("""COMPUTED_VALUE"""),"Music")</f>
        <v>Music</v>
      </c>
      <c r="D5699" s="2"/>
      <c r="E5699" s="2">
        <f>IFERROR(__xludf.DUMMYFUNCTION("""COMPUTED_VALUE"""),2.82)</f>
        <v>2.82</v>
      </c>
      <c r="F5699" s="2"/>
      <c r="G5699" s="2"/>
      <c r="H5699" s="2"/>
      <c r="I5699" s="2"/>
    </row>
    <row r="5700">
      <c r="A5700" s="2">
        <f>IFERROR(__xludf.DUMMYFUNCTION("""COMPUTED_VALUE"""),118131.0)</f>
        <v>118131</v>
      </c>
      <c r="B5700" s="2" t="str">
        <f>IFERROR(__xludf.DUMMYFUNCTION("""COMPUTED_VALUE"""),"Sports")</f>
        <v>Sports</v>
      </c>
      <c r="C5700" s="2" t="str">
        <f>IFERROR(__xludf.DUMMYFUNCTION("""COMPUTED_VALUE"""),"Music")</f>
        <v>Music</v>
      </c>
      <c r="D5700" s="2"/>
      <c r="E5700" s="2">
        <f>IFERROR(__xludf.DUMMYFUNCTION("""COMPUTED_VALUE"""),3.86)</f>
        <v>3.86</v>
      </c>
      <c r="F5700" s="2"/>
      <c r="G5700" s="2"/>
      <c r="H5700" s="2"/>
      <c r="I5700" s="2"/>
    </row>
    <row r="5701">
      <c r="A5701" s="2">
        <f>IFERROR(__xludf.DUMMYFUNCTION("""COMPUTED_VALUE"""),128395.0)</f>
        <v>128395</v>
      </c>
      <c r="B5701" s="2" t="str">
        <f>IFERROR(__xludf.DUMMYFUNCTION("""COMPUTED_VALUE"""),"Sports")</f>
        <v>Sports</v>
      </c>
      <c r="C5701" s="2" t="str">
        <f>IFERROR(__xludf.DUMMYFUNCTION("""COMPUTED_VALUE"""),"Music")</f>
        <v>Music</v>
      </c>
      <c r="D5701" s="2"/>
      <c r="E5701" s="2">
        <f>IFERROR(__xludf.DUMMYFUNCTION("""COMPUTED_VALUE"""),4.02)</f>
        <v>4.02</v>
      </c>
      <c r="F5701" s="2"/>
      <c r="G5701" s="2"/>
      <c r="H5701" s="2"/>
      <c r="I5701" s="2"/>
    </row>
    <row r="5702">
      <c r="A5702" s="2">
        <f>IFERROR(__xludf.DUMMYFUNCTION("""COMPUTED_VALUE"""),117482.0)</f>
        <v>117482</v>
      </c>
      <c r="B5702" s="2" t="str">
        <f>IFERROR(__xludf.DUMMYFUNCTION("""COMPUTED_VALUE"""),"Sports")</f>
        <v>Sports</v>
      </c>
      <c r="C5702" s="2" t="str">
        <f>IFERROR(__xludf.DUMMYFUNCTION("""COMPUTED_VALUE"""),"Music")</f>
        <v>Music</v>
      </c>
      <c r="D5702" s="2"/>
      <c r="E5702" s="2">
        <f>IFERROR(__xludf.DUMMYFUNCTION("""COMPUTED_VALUE"""),1.9)</f>
        <v>1.9</v>
      </c>
      <c r="F5702" s="2"/>
      <c r="G5702" s="2"/>
      <c r="H5702" s="2"/>
      <c r="I5702" s="2"/>
    </row>
    <row r="5703">
      <c r="A5703" s="2">
        <f>IFERROR(__xludf.DUMMYFUNCTION("""COMPUTED_VALUE"""),118130.0)</f>
        <v>118130</v>
      </c>
      <c r="B5703" s="2" t="str">
        <f>IFERROR(__xludf.DUMMYFUNCTION("""COMPUTED_VALUE"""),"Sports")</f>
        <v>Sports</v>
      </c>
      <c r="C5703" s="2" t="str">
        <f>IFERROR(__xludf.DUMMYFUNCTION("""COMPUTED_VALUE"""),"Music")</f>
        <v>Music</v>
      </c>
      <c r="D5703" s="2"/>
      <c r="E5703" s="2">
        <f>IFERROR(__xludf.DUMMYFUNCTION("""COMPUTED_VALUE"""),4.02)</f>
        <v>4.02</v>
      </c>
      <c r="F5703" s="2"/>
      <c r="G5703" s="2"/>
      <c r="H5703" s="2"/>
      <c r="I5703" s="2"/>
    </row>
    <row r="5704">
      <c r="A5704" s="2">
        <f>IFERROR(__xludf.DUMMYFUNCTION("""COMPUTED_VALUE"""),109209.0)</f>
        <v>109209</v>
      </c>
      <c r="B5704" s="2" t="str">
        <f>IFERROR(__xludf.DUMMYFUNCTION("""COMPUTED_VALUE"""),"Sports")</f>
        <v>Sports</v>
      </c>
      <c r="C5704" s="2" t="str">
        <f>IFERROR(__xludf.DUMMYFUNCTION("""COMPUTED_VALUE"""),"Music")</f>
        <v>Music</v>
      </c>
      <c r="D5704" s="2"/>
      <c r="E5704" s="2">
        <f>IFERROR(__xludf.DUMMYFUNCTION("""COMPUTED_VALUE"""),1.97)</f>
        <v>1.97</v>
      </c>
      <c r="F5704" s="2"/>
      <c r="G5704" s="2"/>
      <c r="H5704" s="2"/>
      <c r="I5704" s="2"/>
    </row>
    <row r="5705">
      <c r="A5705" s="2">
        <f>IFERROR(__xludf.DUMMYFUNCTION("""COMPUTED_VALUE"""),74428.0)</f>
        <v>74428</v>
      </c>
      <c r="B5705" s="2" t="str">
        <f>IFERROR(__xludf.DUMMYFUNCTION("""COMPUTED_VALUE"""),"Sports")</f>
        <v>Sports</v>
      </c>
      <c r="C5705" s="2" t="str">
        <f>IFERROR(__xludf.DUMMYFUNCTION("""COMPUTED_VALUE"""),"Anatomy")</f>
        <v>Anatomy</v>
      </c>
      <c r="D5705" s="2" t="str">
        <f>IFERROR(__xludf.DUMMYFUNCTION("""COMPUTED_VALUE"""),"Riverlight Publishing House")</f>
        <v>Riverlight Publishing House</v>
      </c>
      <c r="E5705" s="2">
        <f>IFERROR(__xludf.DUMMYFUNCTION("""COMPUTED_VALUE"""),10.73)</f>
        <v>10.73</v>
      </c>
      <c r="F5705" s="2"/>
      <c r="G5705" s="2"/>
      <c r="H5705" s="2"/>
      <c r="I5705" s="2"/>
    </row>
    <row r="5706">
      <c r="A5706" s="2">
        <f>IFERROR(__xludf.DUMMYFUNCTION("""COMPUTED_VALUE"""),13941.0)</f>
        <v>13941</v>
      </c>
      <c r="B5706" s="2" t="str">
        <f>IFERROR(__xludf.DUMMYFUNCTION("""COMPUTED_VALUE"""),"Sports")</f>
        <v>Sports</v>
      </c>
      <c r="C5706" s="2" t="str">
        <f>IFERROR(__xludf.DUMMYFUNCTION("""COMPUTED_VALUE"""),"Anatomy")</f>
        <v>Anatomy</v>
      </c>
      <c r="D5706" s="2" t="str">
        <f>IFERROR(__xludf.DUMMYFUNCTION("""COMPUTED_VALUE"""),"Riverlight Publishing House")</f>
        <v>Riverlight Publishing House</v>
      </c>
      <c r="E5706" s="2">
        <f>IFERROR(__xludf.DUMMYFUNCTION("""COMPUTED_VALUE"""),5.51)</f>
        <v>5.51</v>
      </c>
      <c r="F5706" s="2"/>
      <c r="G5706" s="2"/>
      <c r="H5706" s="2"/>
      <c r="I5706" s="2"/>
    </row>
    <row r="5707">
      <c r="A5707" s="2">
        <f>IFERROR(__xludf.DUMMYFUNCTION("""COMPUTED_VALUE"""),44316.0)</f>
        <v>44316</v>
      </c>
      <c r="B5707" s="2" t="str">
        <f>IFERROR(__xludf.DUMMYFUNCTION("""COMPUTED_VALUE"""),"Medical")</f>
        <v>Medical</v>
      </c>
      <c r="C5707" s="2" t="str">
        <f>IFERROR(__xludf.DUMMYFUNCTION("""COMPUTED_VALUE"""),"Physiology")</f>
        <v>Physiology</v>
      </c>
      <c r="D5707" s="2" t="str">
        <f>IFERROR(__xludf.DUMMYFUNCTION("""COMPUTED_VALUE"""),"Ironlight Publishing House")</f>
        <v>Ironlight Publishing House</v>
      </c>
      <c r="E5707" s="2">
        <f>IFERROR(__xludf.DUMMYFUNCTION("""COMPUTED_VALUE"""),25.87)</f>
        <v>25.87</v>
      </c>
      <c r="F5707" s="2"/>
      <c r="G5707" s="2"/>
      <c r="H5707" s="2"/>
      <c r="I5707" s="2"/>
    </row>
    <row r="5708">
      <c r="A5708" s="2">
        <f>IFERROR(__xludf.DUMMYFUNCTION("""COMPUTED_VALUE"""),122748.0)</f>
        <v>122748</v>
      </c>
      <c r="B5708" s="2" t="str">
        <f>IFERROR(__xludf.DUMMYFUNCTION("""COMPUTED_VALUE"""),"Medical")</f>
        <v>Medical</v>
      </c>
      <c r="C5708" s="2" t="str">
        <f>IFERROR(__xludf.DUMMYFUNCTION("""COMPUTED_VALUE"""),"Physiology")</f>
        <v>Physiology</v>
      </c>
      <c r="D5708" s="2" t="str">
        <f>IFERROR(__xludf.DUMMYFUNCTION("""COMPUTED_VALUE"""),"Ironlight Publishing House")</f>
        <v>Ironlight Publishing House</v>
      </c>
      <c r="E5708" s="2">
        <f>IFERROR(__xludf.DUMMYFUNCTION("""COMPUTED_VALUE"""),14.82)</f>
        <v>14.82</v>
      </c>
      <c r="F5708" s="2"/>
      <c r="G5708" s="2"/>
      <c r="H5708" s="2"/>
      <c r="I5708" s="2"/>
    </row>
    <row r="5709">
      <c r="A5709" s="2">
        <f>IFERROR(__xludf.DUMMYFUNCTION("""COMPUTED_VALUE"""),118936.0)</f>
        <v>118936</v>
      </c>
      <c r="B5709" s="2" t="str">
        <f>IFERROR(__xludf.DUMMYFUNCTION("""COMPUTED_VALUE"""),"Medical")</f>
        <v>Medical</v>
      </c>
      <c r="C5709" s="2" t="str">
        <f>IFERROR(__xludf.DUMMYFUNCTION("""COMPUTED_VALUE"""),"Physiology")</f>
        <v>Physiology</v>
      </c>
      <c r="D5709" s="2" t="str">
        <f>IFERROR(__xludf.DUMMYFUNCTION("""COMPUTED_VALUE"""),"Silverstone Publishing House")</f>
        <v>Silverstone Publishing House</v>
      </c>
      <c r="E5709" s="2">
        <f>IFERROR(__xludf.DUMMYFUNCTION("""COMPUTED_VALUE"""),17.56)</f>
        <v>17.56</v>
      </c>
      <c r="F5709" s="2"/>
      <c r="G5709" s="2"/>
      <c r="H5709" s="2"/>
      <c r="I5709" s="2"/>
    </row>
    <row r="5710">
      <c r="A5710" s="2">
        <f>IFERROR(__xludf.DUMMYFUNCTION("""COMPUTED_VALUE"""),122746.0)</f>
        <v>122746</v>
      </c>
      <c r="B5710" s="2" t="str">
        <f>IFERROR(__xludf.DUMMYFUNCTION("""COMPUTED_VALUE"""),"Medical")</f>
        <v>Medical</v>
      </c>
      <c r="C5710" s="2" t="str">
        <f>IFERROR(__xludf.DUMMYFUNCTION("""COMPUTED_VALUE"""),"Physiology")</f>
        <v>Physiology</v>
      </c>
      <c r="D5710" s="2" t="str">
        <f>IFERROR(__xludf.DUMMYFUNCTION("""COMPUTED_VALUE"""),"Silverstone Publishing House")</f>
        <v>Silverstone Publishing House</v>
      </c>
      <c r="E5710" s="2">
        <f>IFERROR(__xludf.DUMMYFUNCTION("""COMPUTED_VALUE"""),14.89)</f>
        <v>14.89</v>
      </c>
      <c r="F5710" s="2"/>
      <c r="G5710" s="2"/>
      <c r="H5710" s="2"/>
      <c r="I5710" s="2"/>
    </row>
    <row r="5711">
      <c r="A5711" s="2">
        <f>IFERROR(__xludf.DUMMYFUNCTION("""COMPUTED_VALUE"""),76567.0)</f>
        <v>76567</v>
      </c>
      <c r="B5711" s="2" t="str">
        <f>IFERROR(__xludf.DUMMYFUNCTION("""COMPUTED_VALUE"""),"Medical")</f>
        <v>Medical</v>
      </c>
      <c r="C5711" s="2" t="str">
        <f>IFERROR(__xludf.DUMMYFUNCTION("""COMPUTED_VALUE"""),"Physiology")</f>
        <v>Physiology</v>
      </c>
      <c r="D5711" s="2" t="str">
        <f>IFERROR(__xludf.DUMMYFUNCTION("""COMPUTED_VALUE"""),"Northstone Publishing House")</f>
        <v>Northstone Publishing House</v>
      </c>
      <c r="E5711" s="2">
        <f>IFERROR(__xludf.DUMMYFUNCTION("""COMPUTED_VALUE"""),25.43)</f>
        <v>25.43</v>
      </c>
      <c r="F5711" s="2"/>
      <c r="G5711" s="2"/>
      <c r="H5711" s="2"/>
      <c r="I5711" s="2"/>
    </row>
    <row r="5712">
      <c r="A5712" s="2">
        <f>IFERROR(__xludf.DUMMYFUNCTION("""COMPUTED_VALUE"""),122747.0)</f>
        <v>122747</v>
      </c>
      <c r="B5712" s="2" t="str">
        <f>IFERROR(__xludf.DUMMYFUNCTION("""COMPUTED_VALUE"""),"Medical")</f>
        <v>Medical</v>
      </c>
      <c r="C5712" s="2" t="str">
        <f>IFERROR(__xludf.DUMMYFUNCTION("""COMPUTED_VALUE"""),"Physiology")</f>
        <v>Physiology</v>
      </c>
      <c r="D5712" s="2" t="str">
        <f>IFERROR(__xludf.DUMMYFUNCTION("""COMPUTED_VALUE"""),"Northstone Publishing House")</f>
        <v>Northstone Publishing House</v>
      </c>
      <c r="E5712" s="2">
        <f>IFERROR(__xludf.DUMMYFUNCTION("""COMPUTED_VALUE"""),15.12)</f>
        <v>15.12</v>
      </c>
      <c r="F5712" s="2"/>
      <c r="G5712" s="2"/>
      <c r="H5712" s="2"/>
      <c r="I5712" s="2"/>
    </row>
    <row r="5713">
      <c r="A5713" s="2">
        <f>IFERROR(__xludf.DUMMYFUNCTION("""COMPUTED_VALUE"""),48484.0)</f>
        <v>48484</v>
      </c>
      <c r="B5713" s="2" t="str">
        <f>IFERROR(__xludf.DUMMYFUNCTION("""COMPUTED_VALUE"""),"Fiction")</f>
        <v>Fiction</v>
      </c>
      <c r="C5713" s="2" t="str">
        <f>IFERROR(__xludf.DUMMYFUNCTION("""COMPUTED_VALUE"""),"Pathology")</f>
        <v>Pathology</v>
      </c>
      <c r="D5713" s="2" t="str">
        <f>IFERROR(__xludf.DUMMYFUNCTION("""COMPUTED_VALUE"""),"Harborstone Publishing House")</f>
        <v>Harborstone Publishing House</v>
      </c>
      <c r="E5713" s="2">
        <f>IFERROR(__xludf.DUMMYFUNCTION("""COMPUTED_VALUE"""),23.1)</f>
        <v>23.1</v>
      </c>
      <c r="F5713" s="2"/>
      <c r="G5713" s="2"/>
      <c r="H5713" s="2"/>
      <c r="I5713" s="2"/>
    </row>
    <row r="5714">
      <c r="A5714" s="2">
        <f>IFERROR(__xludf.DUMMYFUNCTION("""COMPUTED_VALUE"""),10856.0)</f>
        <v>10856</v>
      </c>
      <c r="B5714" s="2" t="str">
        <f>IFERROR(__xludf.DUMMYFUNCTION("""COMPUTED_VALUE"""),"Fiction")</f>
        <v>Fiction</v>
      </c>
      <c r="C5714" s="2" t="str">
        <f>IFERROR(__xludf.DUMMYFUNCTION("""COMPUTED_VALUE"""),"Pathology")</f>
        <v>Pathology</v>
      </c>
      <c r="D5714" s="2" t="str">
        <f>IFERROR(__xludf.DUMMYFUNCTION("""COMPUTED_VALUE"""),"Harborstone Publishing House")</f>
        <v>Harborstone Publishing House</v>
      </c>
      <c r="E5714" s="2">
        <f>IFERROR(__xludf.DUMMYFUNCTION("""COMPUTED_VALUE"""),26.78)</f>
        <v>26.78</v>
      </c>
      <c r="F5714" s="2"/>
      <c r="G5714" s="2"/>
      <c r="H5714" s="2"/>
      <c r="I5714" s="2"/>
    </row>
    <row r="5715">
      <c r="A5715" s="2">
        <f>IFERROR(__xludf.DUMMYFUNCTION("""COMPUTED_VALUE"""),48486.0)</f>
        <v>48486</v>
      </c>
      <c r="B5715" s="2" t="str">
        <f>IFERROR(__xludf.DUMMYFUNCTION("""COMPUTED_VALUE"""),"Fiction")</f>
        <v>Fiction</v>
      </c>
      <c r="C5715" s="2" t="str">
        <f>IFERROR(__xludf.DUMMYFUNCTION("""COMPUTED_VALUE"""),"Pathology")</f>
        <v>Pathology</v>
      </c>
      <c r="D5715" s="2" t="str">
        <f>IFERROR(__xludf.DUMMYFUNCTION("""COMPUTED_VALUE"""),"Harborstone Publishing House")</f>
        <v>Harborstone Publishing House</v>
      </c>
      <c r="E5715" s="2">
        <f>IFERROR(__xludf.DUMMYFUNCTION("""COMPUTED_VALUE"""),13.96)</f>
        <v>13.96</v>
      </c>
      <c r="F5715" s="2"/>
      <c r="G5715" s="2"/>
      <c r="H5715" s="2"/>
      <c r="I5715" s="2"/>
    </row>
    <row r="5716">
      <c r="A5716" s="2">
        <f>IFERROR(__xludf.DUMMYFUNCTION("""COMPUTED_VALUE"""),108707.0)</f>
        <v>108707</v>
      </c>
      <c r="B5716" s="2" t="str">
        <f>IFERROR(__xludf.DUMMYFUNCTION("""COMPUTED_VALUE"""),"Fiction")</f>
        <v>Fiction</v>
      </c>
      <c r="C5716" s="2" t="str">
        <f>IFERROR(__xludf.DUMMYFUNCTION("""COMPUTED_VALUE"""),"Pathology")</f>
        <v>Pathology</v>
      </c>
      <c r="D5716" s="2" t="str">
        <f>IFERROR(__xludf.DUMMYFUNCTION("""COMPUTED_VALUE"""),"Cedarstone Publishing House")</f>
        <v>Cedarstone Publishing House</v>
      </c>
      <c r="E5716" s="2">
        <f>IFERROR(__xludf.DUMMYFUNCTION("""COMPUTED_VALUE"""),19.43)</f>
        <v>19.43</v>
      </c>
      <c r="F5716" s="2"/>
      <c r="G5716" s="2"/>
      <c r="H5716" s="2"/>
      <c r="I5716" s="2"/>
    </row>
    <row r="5717">
      <c r="A5717" s="2">
        <f>IFERROR(__xludf.DUMMYFUNCTION("""COMPUTED_VALUE"""),109565.0)</f>
        <v>109565</v>
      </c>
      <c r="B5717" s="2" t="str">
        <f>IFERROR(__xludf.DUMMYFUNCTION("""COMPUTED_VALUE"""),"Fiction")</f>
        <v>Fiction</v>
      </c>
      <c r="C5717" s="2" t="str">
        <f>IFERROR(__xludf.DUMMYFUNCTION("""COMPUTED_VALUE"""),"Pathology")</f>
        <v>Pathology</v>
      </c>
      <c r="D5717" s="2" t="str">
        <f>IFERROR(__xludf.DUMMYFUNCTION("""COMPUTED_VALUE"""),"Cedarstone Publishing House")</f>
        <v>Cedarstone Publishing House</v>
      </c>
      <c r="E5717" s="2">
        <f>IFERROR(__xludf.DUMMYFUNCTION("""COMPUTED_VALUE"""),2.8)</f>
        <v>2.8</v>
      </c>
      <c r="F5717" s="2"/>
      <c r="G5717" s="2"/>
      <c r="H5717" s="2"/>
      <c r="I5717" s="2"/>
    </row>
    <row r="5718">
      <c r="A5718" s="2">
        <f>IFERROR(__xludf.DUMMYFUNCTION("""COMPUTED_VALUE"""),99181.0)</f>
        <v>99181</v>
      </c>
      <c r="B5718" s="2" t="str">
        <f>IFERROR(__xludf.DUMMYFUNCTION("""COMPUTED_VALUE"""),"Fiction")</f>
        <v>Fiction</v>
      </c>
      <c r="C5718" s="2" t="str">
        <f>IFERROR(__xludf.DUMMYFUNCTION("""COMPUTED_VALUE"""),"Pathology")</f>
        <v>Pathology</v>
      </c>
      <c r="D5718" s="2" t="str">
        <f>IFERROR(__xludf.DUMMYFUNCTION("""COMPUTED_VALUE"""),"Cedarstone Publishing House")</f>
        <v>Cedarstone Publishing House</v>
      </c>
      <c r="E5718" s="2">
        <f>IFERROR(__xludf.DUMMYFUNCTION("""COMPUTED_VALUE"""),11.51)</f>
        <v>11.51</v>
      </c>
      <c r="F5718" s="2"/>
      <c r="G5718" s="2"/>
      <c r="H5718" s="2"/>
      <c r="I5718" s="2"/>
    </row>
    <row r="5719">
      <c r="A5719" s="2">
        <f>IFERROR(__xludf.DUMMYFUNCTION("""COMPUTED_VALUE"""),109060.0)</f>
        <v>109060</v>
      </c>
      <c r="B5719" s="2" t="str">
        <f>IFERROR(__xludf.DUMMYFUNCTION("""COMPUTED_VALUE"""),"Fiction")</f>
        <v>Fiction</v>
      </c>
      <c r="C5719" s="2" t="str">
        <f>IFERROR(__xludf.DUMMYFUNCTION("""COMPUTED_VALUE"""),"Pathology")</f>
        <v>Pathology</v>
      </c>
      <c r="D5719" s="2" t="str">
        <f>IFERROR(__xludf.DUMMYFUNCTION("""COMPUTED_VALUE"""),"Cedarstone Publishing House")</f>
        <v>Cedarstone Publishing House</v>
      </c>
      <c r="E5719" s="2">
        <f>IFERROR(__xludf.DUMMYFUNCTION("""COMPUTED_VALUE"""),3.4)</f>
        <v>3.4</v>
      </c>
      <c r="F5719" s="2"/>
      <c r="G5719" s="2"/>
      <c r="H5719" s="2"/>
      <c r="I5719" s="2"/>
    </row>
    <row r="5720">
      <c r="A5720" s="2">
        <f>IFERROR(__xludf.DUMMYFUNCTION("""COMPUTED_VALUE"""),109628.0)</f>
        <v>109628</v>
      </c>
      <c r="B5720" s="2" t="str">
        <f>IFERROR(__xludf.DUMMYFUNCTION("""COMPUTED_VALUE"""),"Fiction")</f>
        <v>Fiction</v>
      </c>
      <c r="C5720" s="2" t="str">
        <f>IFERROR(__xludf.DUMMYFUNCTION("""COMPUTED_VALUE"""),"Pathology")</f>
        <v>Pathology</v>
      </c>
      <c r="D5720" s="2" t="str">
        <f>IFERROR(__xludf.DUMMYFUNCTION("""COMPUTED_VALUE"""),"Cedarstone Publishing House")</f>
        <v>Cedarstone Publishing House</v>
      </c>
      <c r="E5720" s="2">
        <f>IFERROR(__xludf.DUMMYFUNCTION("""COMPUTED_VALUE"""),4.1)</f>
        <v>4.1</v>
      </c>
      <c r="F5720" s="2"/>
      <c r="G5720" s="2"/>
      <c r="H5720" s="2"/>
      <c r="I5720" s="2"/>
    </row>
    <row r="5721">
      <c r="A5721" s="2">
        <f>IFERROR(__xludf.DUMMYFUNCTION("""COMPUTED_VALUE"""),128346.0)</f>
        <v>128346</v>
      </c>
      <c r="B5721" s="2" t="str">
        <f>IFERROR(__xludf.DUMMYFUNCTION("""COMPUTED_VALUE"""),"Fiction")</f>
        <v>Fiction</v>
      </c>
      <c r="C5721" s="2" t="str">
        <f>IFERROR(__xludf.DUMMYFUNCTION("""COMPUTED_VALUE"""),"Pathology")</f>
        <v>Pathology</v>
      </c>
      <c r="D5721" s="2" t="str">
        <f>IFERROR(__xludf.DUMMYFUNCTION("""COMPUTED_VALUE"""),"Cedarstone Publishing House")</f>
        <v>Cedarstone Publishing House</v>
      </c>
      <c r="E5721" s="2">
        <f>IFERROR(__xludf.DUMMYFUNCTION("""COMPUTED_VALUE"""),5.15)</f>
        <v>5.15</v>
      </c>
      <c r="F5721" s="2"/>
      <c r="G5721" s="2"/>
      <c r="H5721" s="2"/>
      <c r="I5721" s="2"/>
    </row>
    <row r="5722">
      <c r="A5722" s="2">
        <f>IFERROR(__xludf.DUMMYFUNCTION("""COMPUTED_VALUE"""),90319.0)</f>
        <v>90319</v>
      </c>
      <c r="B5722" s="2" t="str">
        <f>IFERROR(__xludf.DUMMYFUNCTION("""COMPUTED_VALUE"""),"Fiction")</f>
        <v>Fiction</v>
      </c>
      <c r="C5722" s="2" t="str">
        <f>IFERROR(__xludf.DUMMYFUNCTION("""COMPUTED_VALUE"""),"Pathology")</f>
        <v>Pathology</v>
      </c>
      <c r="D5722" s="2" t="str">
        <f>IFERROR(__xludf.DUMMYFUNCTION("""COMPUTED_VALUE"""),"Cedarstone Publishing House")</f>
        <v>Cedarstone Publishing House</v>
      </c>
      <c r="E5722" s="2">
        <f>IFERROR(__xludf.DUMMYFUNCTION("""COMPUTED_VALUE"""),15.15)</f>
        <v>15.15</v>
      </c>
      <c r="F5722" s="2"/>
      <c r="G5722" s="2"/>
      <c r="H5722" s="2"/>
      <c r="I5722" s="2"/>
    </row>
    <row r="5723">
      <c r="A5723" s="2">
        <f>IFERROR(__xludf.DUMMYFUNCTION("""COMPUTED_VALUE"""),96287.0)</f>
        <v>96287</v>
      </c>
      <c r="B5723" s="2" t="str">
        <f>IFERROR(__xludf.DUMMYFUNCTION("""COMPUTED_VALUE"""),"Fiction")</f>
        <v>Fiction</v>
      </c>
      <c r="C5723" s="2" t="str">
        <f>IFERROR(__xludf.DUMMYFUNCTION("""COMPUTED_VALUE"""),"Pathology")</f>
        <v>Pathology</v>
      </c>
      <c r="D5723" s="2" t="str">
        <f>IFERROR(__xludf.DUMMYFUNCTION("""COMPUTED_VALUE"""),"Cedarstone Publishing House")</f>
        <v>Cedarstone Publishing House</v>
      </c>
      <c r="E5723" s="2">
        <f>IFERROR(__xludf.DUMMYFUNCTION("""COMPUTED_VALUE"""),9.34)</f>
        <v>9.34</v>
      </c>
      <c r="F5723" s="2"/>
      <c r="G5723" s="2"/>
      <c r="H5723" s="2"/>
      <c r="I5723" s="2"/>
    </row>
    <row r="5724">
      <c r="A5724" s="2">
        <f>IFERROR(__xludf.DUMMYFUNCTION("""COMPUTED_VALUE"""),96238.0)</f>
        <v>96238</v>
      </c>
      <c r="B5724" s="2" t="str">
        <f>IFERROR(__xludf.DUMMYFUNCTION("""COMPUTED_VALUE"""),"Fiction")</f>
        <v>Fiction</v>
      </c>
      <c r="C5724" s="2" t="str">
        <f>IFERROR(__xludf.DUMMYFUNCTION("""COMPUTED_VALUE"""),"Pathology")</f>
        <v>Pathology</v>
      </c>
      <c r="D5724" s="2" t="str">
        <f>IFERROR(__xludf.DUMMYFUNCTION("""COMPUTED_VALUE"""),"Cedarstone Publishing House")</f>
        <v>Cedarstone Publishing House</v>
      </c>
      <c r="E5724" s="2">
        <f>IFERROR(__xludf.DUMMYFUNCTION("""COMPUTED_VALUE"""),5.68)</f>
        <v>5.68</v>
      </c>
      <c r="F5724" s="2"/>
      <c r="G5724" s="2"/>
      <c r="H5724" s="2"/>
      <c r="I5724" s="2"/>
    </row>
    <row r="5725">
      <c r="A5725" s="2">
        <f>IFERROR(__xludf.DUMMYFUNCTION("""COMPUTED_VALUE"""),116553.0)</f>
        <v>116553</v>
      </c>
      <c r="B5725" s="2" t="str">
        <f>IFERROR(__xludf.DUMMYFUNCTION("""COMPUTED_VALUE"""),"Fiction")</f>
        <v>Fiction</v>
      </c>
      <c r="C5725" s="2" t="str">
        <f>IFERROR(__xludf.DUMMYFUNCTION("""COMPUTED_VALUE"""),"Pathology")</f>
        <v>Pathology</v>
      </c>
      <c r="D5725" s="2" t="str">
        <f>IFERROR(__xludf.DUMMYFUNCTION("""COMPUTED_VALUE"""),"Cedarstone Publishing House")</f>
        <v>Cedarstone Publishing House</v>
      </c>
      <c r="E5725" s="2">
        <f>IFERROR(__xludf.DUMMYFUNCTION("""COMPUTED_VALUE"""),3.77)</f>
        <v>3.77</v>
      </c>
      <c r="F5725" s="2"/>
      <c r="G5725" s="2"/>
      <c r="H5725" s="2"/>
      <c r="I5725" s="2"/>
    </row>
    <row r="5726">
      <c r="A5726" s="2">
        <f>IFERROR(__xludf.DUMMYFUNCTION("""COMPUTED_VALUE"""),116539.0)</f>
        <v>116539</v>
      </c>
      <c r="B5726" s="2" t="str">
        <f>IFERROR(__xludf.DUMMYFUNCTION("""COMPUTED_VALUE"""),"Fiction")</f>
        <v>Fiction</v>
      </c>
      <c r="C5726" s="2" t="str">
        <f>IFERROR(__xludf.DUMMYFUNCTION("""COMPUTED_VALUE"""),"Pathology")</f>
        <v>Pathology</v>
      </c>
      <c r="D5726" s="2" t="str">
        <f>IFERROR(__xludf.DUMMYFUNCTION("""COMPUTED_VALUE"""),"Cedarstone Publishing House")</f>
        <v>Cedarstone Publishing House</v>
      </c>
      <c r="E5726" s="2">
        <f>IFERROR(__xludf.DUMMYFUNCTION("""COMPUTED_VALUE"""),2.98)</f>
        <v>2.98</v>
      </c>
      <c r="F5726" s="2"/>
      <c r="G5726" s="2"/>
      <c r="H5726" s="2"/>
      <c r="I5726" s="2"/>
    </row>
    <row r="5727">
      <c r="A5727" s="2">
        <f>IFERROR(__xludf.DUMMYFUNCTION("""COMPUTED_VALUE"""),156015.0)</f>
        <v>156015</v>
      </c>
      <c r="B5727" s="2" t="str">
        <f>IFERROR(__xludf.DUMMYFUNCTION("""COMPUTED_VALUE"""),"Sports")</f>
        <v>Sports</v>
      </c>
      <c r="C5727" s="2" t="str">
        <f>IFERROR(__xludf.DUMMYFUNCTION("""COMPUTED_VALUE"""),"Pharmacology")</f>
        <v>Pharmacology</v>
      </c>
      <c r="D5727" s="2"/>
      <c r="E5727" s="2">
        <f>IFERROR(__xludf.DUMMYFUNCTION("""COMPUTED_VALUE"""),5.59)</f>
        <v>5.59</v>
      </c>
      <c r="F5727" s="2"/>
      <c r="G5727" s="2"/>
      <c r="H5727" s="2"/>
      <c r="I5727" s="2"/>
    </row>
    <row r="5728">
      <c r="A5728" s="2">
        <f>IFERROR(__xludf.DUMMYFUNCTION("""COMPUTED_VALUE"""),77049.0)</f>
        <v>77049</v>
      </c>
      <c r="B5728" s="2" t="str">
        <f>IFERROR(__xludf.DUMMYFUNCTION("""COMPUTED_VALUE"""),"Sports")</f>
        <v>Sports</v>
      </c>
      <c r="C5728" s="2" t="str">
        <f>IFERROR(__xludf.DUMMYFUNCTION("""COMPUTED_VALUE"""),"Pharmacology")</f>
        <v>Pharmacology</v>
      </c>
      <c r="D5728" s="2" t="str">
        <f>IFERROR(__xludf.DUMMYFUNCTION("""COMPUTED_VALUE"""),"Brightstone Publishing House")</f>
        <v>Brightstone Publishing House</v>
      </c>
      <c r="E5728" s="2">
        <f>IFERROR(__xludf.DUMMYFUNCTION("""COMPUTED_VALUE"""),6.5)</f>
        <v>6.5</v>
      </c>
      <c r="F5728" s="2"/>
      <c r="G5728" s="2"/>
      <c r="H5728" s="2"/>
      <c r="I5728" s="2"/>
    </row>
    <row r="5729">
      <c r="A5729" s="2">
        <f>IFERROR(__xludf.DUMMYFUNCTION("""COMPUTED_VALUE"""),92906.0)</f>
        <v>92906</v>
      </c>
      <c r="B5729" s="2" t="str">
        <f>IFERROR(__xludf.DUMMYFUNCTION("""COMPUTED_VALUE"""),"Sports")</f>
        <v>Sports</v>
      </c>
      <c r="C5729" s="2" t="str">
        <f>IFERROR(__xludf.DUMMYFUNCTION("""COMPUTED_VALUE"""),"Pharmacology")</f>
        <v>Pharmacology</v>
      </c>
      <c r="D5729" s="2" t="str">
        <f>IFERROR(__xludf.DUMMYFUNCTION("""COMPUTED_VALUE"""),"Brightstone Publishing House")</f>
        <v>Brightstone Publishing House</v>
      </c>
      <c r="E5729" s="2">
        <f>IFERROR(__xludf.DUMMYFUNCTION("""COMPUTED_VALUE"""),4.57)</f>
        <v>4.57</v>
      </c>
      <c r="F5729" s="2"/>
      <c r="G5729" s="2"/>
      <c r="H5729" s="2"/>
      <c r="I5729" s="2"/>
    </row>
    <row r="5730">
      <c r="A5730" s="2">
        <f>IFERROR(__xludf.DUMMYFUNCTION("""COMPUTED_VALUE"""),6425.0)</f>
        <v>6425</v>
      </c>
      <c r="B5730" s="2" t="str">
        <f>IFERROR(__xludf.DUMMYFUNCTION("""COMPUTED_VALUE"""),"Sports")</f>
        <v>Sports</v>
      </c>
      <c r="C5730" s="2" t="str">
        <f>IFERROR(__xludf.DUMMYFUNCTION("""COMPUTED_VALUE"""),"Pharmacology")</f>
        <v>Pharmacology</v>
      </c>
      <c r="D5730" s="2" t="str">
        <f>IFERROR(__xludf.DUMMYFUNCTION("""COMPUTED_VALUE"""),"Brightstone Publishing House")</f>
        <v>Brightstone Publishing House</v>
      </c>
      <c r="E5730" s="2">
        <f>IFERROR(__xludf.DUMMYFUNCTION("""COMPUTED_VALUE"""),10.37)</f>
        <v>10.37</v>
      </c>
      <c r="F5730" s="2"/>
      <c r="G5730" s="2"/>
      <c r="H5730" s="2"/>
      <c r="I5730" s="2"/>
    </row>
    <row r="5731">
      <c r="A5731" s="2">
        <f>IFERROR(__xludf.DUMMYFUNCTION("""COMPUTED_VALUE"""),77653.0)</f>
        <v>77653</v>
      </c>
      <c r="B5731" s="2" t="str">
        <f>IFERROR(__xludf.DUMMYFUNCTION("""COMPUTED_VALUE"""),"Sports")</f>
        <v>Sports</v>
      </c>
      <c r="C5731" s="2" t="str">
        <f>IFERROR(__xludf.DUMMYFUNCTION("""COMPUTED_VALUE"""),"Pharmacology")</f>
        <v>Pharmacology</v>
      </c>
      <c r="D5731" s="2" t="str">
        <f>IFERROR(__xludf.DUMMYFUNCTION("""COMPUTED_VALUE"""),"Oakstone Publishing House")</f>
        <v>Oakstone Publishing House</v>
      </c>
      <c r="E5731" s="2">
        <f>IFERROR(__xludf.DUMMYFUNCTION("""COMPUTED_VALUE"""),6.78)</f>
        <v>6.78</v>
      </c>
      <c r="F5731" s="2"/>
      <c r="G5731" s="2"/>
      <c r="H5731" s="2"/>
      <c r="I5731" s="2"/>
    </row>
    <row r="5732">
      <c r="A5732" s="2">
        <f>IFERROR(__xludf.DUMMYFUNCTION("""COMPUTED_VALUE"""),156029.0)</f>
        <v>156029</v>
      </c>
      <c r="B5732" s="2" t="str">
        <f>IFERROR(__xludf.DUMMYFUNCTION("""COMPUTED_VALUE"""),"Sports")</f>
        <v>Sports</v>
      </c>
      <c r="C5732" s="2" t="str">
        <f>IFERROR(__xludf.DUMMYFUNCTION("""COMPUTED_VALUE"""),"Pharmacology")</f>
        <v>Pharmacology</v>
      </c>
      <c r="D5732" s="2" t="str">
        <f>IFERROR(__xludf.DUMMYFUNCTION("""COMPUTED_VALUE"""),"Oakstone Publishing House")</f>
        <v>Oakstone Publishing House</v>
      </c>
      <c r="E5732" s="2">
        <f>IFERROR(__xludf.DUMMYFUNCTION("""COMPUTED_VALUE"""),9.5)</f>
        <v>9.5</v>
      </c>
      <c r="F5732" s="2"/>
      <c r="G5732" s="2"/>
      <c r="H5732" s="2"/>
      <c r="I5732" s="2"/>
    </row>
    <row r="5733">
      <c r="A5733" s="2">
        <f>IFERROR(__xludf.DUMMYFUNCTION("""COMPUTED_VALUE"""),182726.0)</f>
        <v>182726</v>
      </c>
      <c r="B5733" s="2" t="str">
        <f>IFERROR(__xludf.DUMMYFUNCTION("""COMPUTED_VALUE"""),"Self-Help")</f>
        <v>Self-Help</v>
      </c>
      <c r="C5733" s="2" t="str">
        <f>IFERROR(__xludf.DUMMYFUNCTION("""COMPUTED_VALUE"""),"Surgery")</f>
        <v>Surgery</v>
      </c>
      <c r="D5733" s="2" t="str">
        <f>IFERROR(__xludf.DUMMYFUNCTION("""COMPUTED_VALUE"""),"Riverstone Publishing House")</f>
        <v>Riverstone Publishing House</v>
      </c>
      <c r="E5733" s="2">
        <f>IFERROR(__xludf.DUMMYFUNCTION("""COMPUTED_VALUE"""),10.22)</f>
        <v>10.22</v>
      </c>
      <c r="F5733" s="2"/>
      <c r="G5733" s="2"/>
      <c r="H5733" s="2"/>
      <c r="I5733" s="2"/>
    </row>
    <row r="5734">
      <c r="A5734" s="2">
        <f>IFERROR(__xludf.DUMMYFUNCTION("""COMPUTED_VALUE"""),3536.0)</f>
        <v>3536</v>
      </c>
      <c r="B5734" s="2" t="str">
        <f>IFERROR(__xludf.DUMMYFUNCTION("""COMPUTED_VALUE"""),"Sports")</f>
        <v>Sports</v>
      </c>
      <c r="C5734" s="2" t="str">
        <f>IFERROR(__xludf.DUMMYFUNCTION("""COMPUTED_VALUE"""),"Pediatrics")</f>
        <v>Pediatrics</v>
      </c>
      <c r="D5734" s="2" t="str">
        <f>IFERROR(__xludf.DUMMYFUNCTION("""COMPUTED_VALUE"""),"Ironstone Publishing House")</f>
        <v>Ironstone Publishing House</v>
      </c>
      <c r="E5734" s="2">
        <f>IFERROR(__xludf.DUMMYFUNCTION("""COMPUTED_VALUE"""),3.79)</f>
        <v>3.79</v>
      </c>
      <c r="F5734" s="2"/>
      <c r="G5734" s="2"/>
      <c r="H5734" s="2"/>
      <c r="I5734" s="2"/>
    </row>
    <row r="5735">
      <c r="A5735" s="2">
        <f>IFERROR(__xludf.DUMMYFUNCTION("""COMPUTED_VALUE"""),3541.0)</f>
        <v>3541</v>
      </c>
      <c r="B5735" s="2" t="str">
        <f>IFERROR(__xludf.DUMMYFUNCTION("""COMPUTED_VALUE"""),"Sports")</f>
        <v>Sports</v>
      </c>
      <c r="C5735" s="2" t="str">
        <f>IFERROR(__xludf.DUMMYFUNCTION("""COMPUTED_VALUE"""),"Pediatrics")</f>
        <v>Pediatrics</v>
      </c>
      <c r="D5735" s="2" t="str">
        <f>IFERROR(__xludf.DUMMYFUNCTION("""COMPUTED_VALUE"""),"Ironstone Publishing House")</f>
        <v>Ironstone Publishing House</v>
      </c>
      <c r="E5735" s="2">
        <f>IFERROR(__xludf.DUMMYFUNCTION("""COMPUTED_VALUE"""),1.64)</f>
        <v>1.64</v>
      </c>
      <c r="F5735" s="2"/>
      <c r="G5735" s="2"/>
      <c r="H5735" s="2"/>
      <c r="I5735" s="2"/>
    </row>
    <row r="5736">
      <c r="A5736" s="2">
        <f>IFERROR(__xludf.DUMMYFUNCTION("""COMPUTED_VALUE"""),147335.0)</f>
        <v>147335</v>
      </c>
      <c r="B5736" s="2" t="str">
        <f>IFERROR(__xludf.DUMMYFUNCTION("""COMPUTED_VALUE"""),"Medical")</f>
        <v>Medical</v>
      </c>
      <c r="C5736" s="2" t="str">
        <f>IFERROR(__xludf.DUMMYFUNCTION("""COMPUTED_VALUE"""),"Neurology")</f>
        <v>Neurology</v>
      </c>
      <c r="D5736" s="2"/>
      <c r="E5736" s="2">
        <f>IFERROR(__xludf.DUMMYFUNCTION("""COMPUTED_VALUE"""),3.05)</f>
        <v>3.05</v>
      </c>
      <c r="F5736" s="2"/>
      <c r="G5736" s="2"/>
      <c r="H5736" s="2"/>
      <c r="I5736" s="2"/>
    </row>
    <row r="5737">
      <c r="A5737" s="2">
        <f>IFERROR(__xludf.DUMMYFUNCTION("""COMPUTED_VALUE"""),46896.0)</f>
        <v>46896</v>
      </c>
      <c r="B5737" s="2" t="str">
        <f>IFERROR(__xludf.DUMMYFUNCTION("""COMPUTED_VALUE"""),"Medical")</f>
        <v>Medical</v>
      </c>
      <c r="C5737" s="2" t="str">
        <f>IFERROR(__xludf.DUMMYFUNCTION("""COMPUTED_VALUE"""),"Neurology")</f>
        <v>Neurology</v>
      </c>
      <c r="D5737" s="2"/>
      <c r="E5737" s="2">
        <f>IFERROR(__xludf.DUMMYFUNCTION("""COMPUTED_VALUE"""),3.88)</f>
        <v>3.88</v>
      </c>
      <c r="F5737" s="2"/>
      <c r="G5737" s="2"/>
      <c r="H5737" s="2"/>
      <c r="I5737" s="2"/>
    </row>
    <row r="5738">
      <c r="A5738" s="2">
        <f>IFERROR(__xludf.DUMMYFUNCTION("""COMPUTED_VALUE"""),46897.0)</f>
        <v>46897</v>
      </c>
      <c r="B5738" s="2" t="str">
        <f>IFERROR(__xludf.DUMMYFUNCTION("""COMPUTED_VALUE"""),"Medical")</f>
        <v>Medical</v>
      </c>
      <c r="C5738" s="2" t="str">
        <f>IFERROR(__xludf.DUMMYFUNCTION("""COMPUTED_VALUE"""),"Neurology")</f>
        <v>Neurology</v>
      </c>
      <c r="D5738" s="2"/>
      <c r="E5738" s="2">
        <f>IFERROR(__xludf.DUMMYFUNCTION("""COMPUTED_VALUE"""),4.15)</f>
        <v>4.15</v>
      </c>
      <c r="F5738" s="2"/>
      <c r="G5738" s="2"/>
      <c r="H5738" s="2"/>
      <c r="I5738" s="2"/>
    </row>
    <row r="5739">
      <c r="A5739" s="2">
        <f>IFERROR(__xludf.DUMMYFUNCTION("""COMPUTED_VALUE"""),71729.0)</f>
        <v>71729</v>
      </c>
      <c r="B5739" s="2" t="str">
        <f>IFERROR(__xludf.DUMMYFUNCTION("""COMPUTED_VALUE"""),"Tech")</f>
        <v>Tech</v>
      </c>
      <c r="C5739" s="2" t="str">
        <f>IFERROR(__xludf.DUMMYFUNCTION("""COMPUTED_VALUE"""),"Psychiatry")</f>
        <v>Psychiatry</v>
      </c>
      <c r="D5739" s="2" t="str">
        <f>IFERROR(__xludf.DUMMYFUNCTION("""COMPUTED_VALUE"""),"Silverbridge Publishing House")</f>
        <v>Silverbridge Publishing House</v>
      </c>
      <c r="E5739" s="2">
        <f>IFERROR(__xludf.DUMMYFUNCTION("""COMPUTED_VALUE"""),1.44)</f>
        <v>1.44</v>
      </c>
      <c r="F5739" s="2"/>
      <c r="G5739" s="2"/>
      <c r="H5739" s="2"/>
      <c r="I5739" s="2"/>
    </row>
    <row r="5740">
      <c r="A5740" s="2">
        <f>IFERROR(__xludf.DUMMYFUNCTION("""COMPUTED_VALUE"""),45471.0)</f>
        <v>45471</v>
      </c>
      <c r="B5740" s="2" t="str">
        <f>IFERROR(__xludf.DUMMYFUNCTION("""COMPUTED_VALUE"""),"Tech")</f>
        <v>Tech</v>
      </c>
      <c r="C5740" s="2" t="str">
        <f>IFERROR(__xludf.DUMMYFUNCTION("""COMPUTED_VALUE"""),"Psychiatry")</f>
        <v>Psychiatry</v>
      </c>
      <c r="D5740" s="2" t="str">
        <f>IFERROR(__xludf.DUMMYFUNCTION("""COMPUTED_VALUE"""),"Silverbridge Publishing House")</f>
        <v>Silverbridge Publishing House</v>
      </c>
      <c r="E5740" s="2">
        <f>IFERROR(__xludf.DUMMYFUNCTION("""COMPUTED_VALUE"""),4.54)</f>
        <v>4.54</v>
      </c>
      <c r="F5740" s="2"/>
      <c r="G5740" s="2"/>
      <c r="H5740" s="2"/>
      <c r="I5740" s="2"/>
    </row>
    <row r="5741">
      <c r="A5741" s="2">
        <f>IFERROR(__xludf.DUMMYFUNCTION("""COMPUTED_VALUE"""),80622.0)</f>
        <v>80622</v>
      </c>
      <c r="B5741" s="2" t="str">
        <f>IFERROR(__xludf.DUMMYFUNCTION("""COMPUTED_VALUE"""),"Tech")</f>
        <v>Tech</v>
      </c>
      <c r="C5741" s="2" t="str">
        <f>IFERROR(__xludf.DUMMYFUNCTION("""COMPUTED_VALUE"""),"Psychiatry")</f>
        <v>Psychiatry</v>
      </c>
      <c r="D5741" s="2" t="str">
        <f>IFERROR(__xludf.DUMMYFUNCTION("""COMPUTED_VALUE"""),"Silverbridge Publishing House")</f>
        <v>Silverbridge Publishing House</v>
      </c>
      <c r="E5741" s="2">
        <f>IFERROR(__xludf.DUMMYFUNCTION("""COMPUTED_VALUE"""),3.22)</f>
        <v>3.22</v>
      </c>
      <c r="F5741" s="2"/>
      <c r="G5741" s="2"/>
      <c r="H5741" s="2"/>
      <c r="I5741" s="2"/>
    </row>
    <row r="5742">
      <c r="A5742" s="2">
        <f>IFERROR(__xludf.DUMMYFUNCTION("""COMPUTED_VALUE"""),111204.0)</f>
        <v>111204</v>
      </c>
      <c r="B5742" s="2" t="str">
        <f>IFERROR(__xludf.DUMMYFUNCTION("""COMPUTED_VALUE"""),"Tech")</f>
        <v>Tech</v>
      </c>
      <c r="C5742" s="2" t="str">
        <f>IFERROR(__xludf.DUMMYFUNCTION("""COMPUTED_VALUE"""),"Psychiatry")</f>
        <v>Psychiatry</v>
      </c>
      <c r="D5742" s="2" t="str">
        <f>IFERROR(__xludf.DUMMYFUNCTION("""COMPUTED_VALUE"""),"Silverbridge Publishing House")</f>
        <v>Silverbridge Publishing House</v>
      </c>
      <c r="E5742" s="2">
        <f>IFERROR(__xludf.DUMMYFUNCTION("""COMPUTED_VALUE"""),3.23)</f>
        <v>3.23</v>
      </c>
      <c r="F5742" s="2"/>
      <c r="G5742" s="2"/>
      <c r="H5742" s="2"/>
      <c r="I5742" s="2"/>
    </row>
    <row r="5743">
      <c r="A5743" s="2">
        <f>IFERROR(__xludf.DUMMYFUNCTION("""COMPUTED_VALUE"""),27843.0)</f>
        <v>27843</v>
      </c>
      <c r="B5743" s="2" t="str">
        <f>IFERROR(__xludf.DUMMYFUNCTION("""COMPUTED_VALUE"""),"Tech")</f>
        <v>Tech</v>
      </c>
      <c r="C5743" s="2" t="str">
        <f>IFERROR(__xludf.DUMMYFUNCTION("""COMPUTED_VALUE"""),"Psychiatry")</f>
        <v>Psychiatry</v>
      </c>
      <c r="D5743" s="2" t="str">
        <f>IFERROR(__xludf.DUMMYFUNCTION("""COMPUTED_VALUE"""),"Silverbridge Publishing House")</f>
        <v>Silverbridge Publishing House</v>
      </c>
      <c r="E5743" s="2">
        <f>IFERROR(__xludf.DUMMYFUNCTION("""COMPUTED_VALUE"""),3.37)</f>
        <v>3.37</v>
      </c>
      <c r="F5743" s="2"/>
      <c r="G5743" s="2"/>
      <c r="H5743" s="2"/>
      <c r="I5743" s="2"/>
    </row>
    <row r="5744">
      <c r="A5744" s="2">
        <f>IFERROR(__xludf.DUMMYFUNCTION("""COMPUTED_VALUE"""),111656.0)</f>
        <v>111656</v>
      </c>
      <c r="B5744" s="2" t="str">
        <f>IFERROR(__xludf.DUMMYFUNCTION("""COMPUTED_VALUE"""),"Tech")</f>
        <v>Tech</v>
      </c>
      <c r="C5744" s="2" t="str">
        <f>IFERROR(__xludf.DUMMYFUNCTION("""COMPUTED_VALUE"""),"Psychiatry")</f>
        <v>Psychiatry</v>
      </c>
      <c r="D5744" s="2" t="str">
        <f>IFERROR(__xludf.DUMMYFUNCTION("""COMPUTED_VALUE"""),"Silverbridge Publishing House")</f>
        <v>Silverbridge Publishing House</v>
      </c>
      <c r="E5744" s="2">
        <f>IFERROR(__xludf.DUMMYFUNCTION("""COMPUTED_VALUE"""),5.33)</f>
        <v>5.33</v>
      </c>
      <c r="F5744" s="2"/>
      <c r="G5744" s="2"/>
      <c r="H5744" s="2"/>
      <c r="I5744" s="2"/>
    </row>
    <row r="5745">
      <c r="A5745" s="2">
        <f>IFERROR(__xludf.DUMMYFUNCTION("""COMPUTED_VALUE"""),70043.0)</f>
        <v>70043</v>
      </c>
      <c r="B5745" s="2" t="str">
        <f>IFERROR(__xludf.DUMMYFUNCTION("""COMPUTED_VALUE"""),"Tech")</f>
        <v>Tech</v>
      </c>
      <c r="C5745" s="2" t="str">
        <f>IFERROR(__xludf.DUMMYFUNCTION("""COMPUTED_VALUE"""),"Psychiatry")</f>
        <v>Psychiatry</v>
      </c>
      <c r="D5745" s="2" t="str">
        <f>IFERROR(__xludf.DUMMYFUNCTION("""COMPUTED_VALUE"""),"Silverbridge Publishing House")</f>
        <v>Silverbridge Publishing House</v>
      </c>
      <c r="E5745" s="2">
        <f>IFERROR(__xludf.DUMMYFUNCTION("""COMPUTED_VALUE"""),5.46)</f>
        <v>5.46</v>
      </c>
      <c r="F5745" s="2"/>
      <c r="G5745" s="2"/>
      <c r="H5745" s="2"/>
      <c r="I5745" s="2"/>
    </row>
    <row r="5746">
      <c r="A5746" s="2">
        <f>IFERROR(__xludf.DUMMYFUNCTION("""COMPUTED_VALUE"""),127017.0)</f>
        <v>127017</v>
      </c>
      <c r="B5746" s="2" t="str">
        <f>IFERROR(__xludf.DUMMYFUNCTION("""COMPUTED_VALUE"""),"Tech")</f>
        <v>Tech</v>
      </c>
      <c r="C5746" s="2" t="str">
        <f>IFERROR(__xludf.DUMMYFUNCTION("""COMPUTED_VALUE"""),"Psychiatry")</f>
        <v>Psychiatry</v>
      </c>
      <c r="D5746" s="2" t="str">
        <f>IFERROR(__xludf.DUMMYFUNCTION("""COMPUTED_VALUE"""),"Silverbridge Publishing House")</f>
        <v>Silverbridge Publishing House</v>
      </c>
      <c r="E5746" s="2">
        <f>IFERROR(__xludf.DUMMYFUNCTION("""COMPUTED_VALUE"""),1.92)</f>
        <v>1.92</v>
      </c>
      <c r="F5746" s="2"/>
      <c r="G5746" s="2"/>
      <c r="H5746" s="2"/>
      <c r="I5746" s="2"/>
    </row>
    <row r="5747">
      <c r="A5747" s="2">
        <f>IFERROR(__xludf.DUMMYFUNCTION("""COMPUTED_VALUE"""),92320.0)</f>
        <v>92320</v>
      </c>
      <c r="B5747" s="2" t="str">
        <f>IFERROR(__xludf.DUMMYFUNCTION("""COMPUTED_VALUE"""),"Tech")</f>
        <v>Tech</v>
      </c>
      <c r="C5747" s="2" t="str">
        <f>IFERROR(__xludf.DUMMYFUNCTION("""COMPUTED_VALUE"""),"Psychiatry")</f>
        <v>Psychiatry</v>
      </c>
      <c r="D5747" s="2" t="str">
        <f>IFERROR(__xludf.DUMMYFUNCTION("""COMPUTED_VALUE"""),"Silverbridge Publishing House")</f>
        <v>Silverbridge Publishing House</v>
      </c>
      <c r="E5747" s="2">
        <f>IFERROR(__xludf.DUMMYFUNCTION("""COMPUTED_VALUE"""),18.74)</f>
        <v>18.74</v>
      </c>
      <c r="F5747" s="2"/>
      <c r="G5747" s="2"/>
      <c r="H5747" s="2"/>
      <c r="I5747" s="2"/>
    </row>
    <row r="5748">
      <c r="A5748" s="2">
        <f>IFERROR(__xludf.DUMMYFUNCTION("""COMPUTED_VALUE"""),109985.0)</f>
        <v>109985</v>
      </c>
      <c r="B5748" s="2" t="str">
        <f>IFERROR(__xludf.DUMMYFUNCTION("""COMPUTED_VALUE"""),"Tech")</f>
        <v>Tech</v>
      </c>
      <c r="C5748" s="2" t="str">
        <f>IFERROR(__xludf.DUMMYFUNCTION("""COMPUTED_VALUE"""),"Psychiatry")</f>
        <v>Psychiatry</v>
      </c>
      <c r="D5748" s="2" t="str">
        <f>IFERROR(__xludf.DUMMYFUNCTION("""COMPUTED_VALUE"""),"Silverbridge Publishing House")</f>
        <v>Silverbridge Publishing House</v>
      </c>
      <c r="E5748" s="2">
        <f>IFERROR(__xludf.DUMMYFUNCTION("""COMPUTED_VALUE"""),1.79)</f>
        <v>1.79</v>
      </c>
      <c r="F5748" s="2"/>
      <c r="G5748" s="2"/>
      <c r="H5748" s="2"/>
      <c r="I5748" s="2"/>
    </row>
    <row r="5749">
      <c r="A5749" s="2">
        <f>IFERROR(__xludf.DUMMYFUNCTION("""COMPUTED_VALUE"""),110415.0)</f>
        <v>110415</v>
      </c>
      <c r="B5749" s="2" t="str">
        <f>IFERROR(__xludf.DUMMYFUNCTION("""COMPUTED_VALUE"""),"Tech")</f>
        <v>Tech</v>
      </c>
      <c r="C5749" s="2" t="str">
        <f>IFERROR(__xludf.DUMMYFUNCTION("""COMPUTED_VALUE"""),"Psychiatry")</f>
        <v>Psychiatry</v>
      </c>
      <c r="D5749" s="2" t="str">
        <f>IFERROR(__xludf.DUMMYFUNCTION("""COMPUTED_VALUE"""),"Silverbridge Publishing House")</f>
        <v>Silverbridge Publishing House</v>
      </c>
      <c r="E5749" s="2">
        <f>IFERROR(__xludf.DUMMYFUNCTION("""COMPUTED_VALUE"""),5.27)</f>
        <v>5.27</v>
      </c>
      <c r="F5749" s="2"/>
      <c r="G5749" s="2"/>
      <c r="H5749" s="2"/>
      <c r="I5749" s="2"/>
    </row>
    <row r="5750">
      <c r="A5750" s="2">
        <f>IFERROR(__xludf.DUMMYFUNCTION("""COMPUTED_VALUE"""),101325.0)</f>
        <v>101325</v>
      </c>
      <c r="B5750" s="2" t="str">
        <f>IFERROR(__xludf.DUMMYFUNCTION("""COMPUTED_VALUE"""),"Tech")</f>
        <v>Tech</v>
      </c>
      <c r="C5750" s="2" t="str">
        <f>IFERROR(__xludf.DUMMYFUNCTION("""COMPUTED_VALUE"""),"Psychiatry")</f>
        <v>Psychiatry</v>
      </c>
      <c r="D5750" s="2" t="str">
        <f>IFERROR(__xludf.DUMMYFUNCTION("""COMPUTED_VALUE"""),"Silverbridge Publishing House")</f>
        <v>Silverbridge Publishing House</v>
      </c>
      <c r="E5750" s="2">
        <f>IFERROR(__xludf.DUMMYFUNCTION("""COMPUTED_VALUE"""),1.99)</f>
        <v>1.99</v>
      </c>
      <c r="F5750" s="2"/>
      <c r="G5750" s="2"/>
      <c r="H5750" s="2"/>
      <c r="I5750" s="2"/>
    </row>
    <row r="5751">
      <c r="A5751" s="2">
        <f>IFERROR(__xludf.DUMMYFUNCTION("""COMPUTED_VALUE"""),133904.0)</f>
        <v>133904</v>
      </c>
      <c r="B5751" s="2" t="str">
        <f>IFERROR(__xludf.DUMMYFUNCTION("""COMPUTED_VALUE"""),"Tech")</f>
        <v>Tech</v>
      </c>
      <c r="C5751" s="2" t="str">
        <f>IFERROR(__xludf.DUMMYFUNCTION("""COMPUTED_VALUE"""),"Psychiatry")</f>
        <v>Psychiatry</v>
      </c>
      <c r="D5751" s="2" t="str">
        <f>IFERROR(__xludf.DUMMYFUNCTION("""COMPUTED_VALUE"""),"Silverbridge Publishing House")</f>
        <v>Silverbridge Publishing House</v>
      </c>
      <c r="E5751" s="2">
        <f>IFERROR(__xludf.DUMMYFUNCTION("""COMPUTED_VALUE"""),3.97)</f>
        <v>3.97</v>
      </c>
      <c r="F5751" s="2"/>
      <c r="G5751" s="2"/>
      <c r="H5751" s="2"/>
      <c r="I5751" s="2"/>
    </row>
    <row r="5752">
      <c r="A5752" s="2">
        <f>IFERROR(__xludf.DUMMYFUNCTION("""COMPUTED_VALUE"""),91357.0)</f>
        <v>91357</v>
      </c>
      <c r="B5752" s="2" t="str">
        <f>IFERROR(__xludf.DUMMYFUNCTION("""COMPUTED_VALUE"""),"Tech")</f>
        <v>Tech</v>
      </c>
      <c r="C5752" s="2" t="str">
        <f>IFERROR(__xludf.DUMMYFUNCTION("""COMPUTED_VALUE"""),"Psychiatry")</f>
        <v>Psychiatry</v>
      </c>
      <c r="D5752" s="2" t="str">
        <f>IFERROR(__xludf.DUMMYFUNCTION("""COMPUTED_VALUE"""),"Silverbridge Publishing House")</f>
        <v>Silverbridge Publishing House</v>
      </c>
      <c r="E5752" s="2">
        <f>IFERROR(__xludf.DUMMYFUNCTION("""COMPUTED_VALUE"""),3.18)</f>
        <v>3.18</v>
      </c>
      <c r="F5752" s="2"/>
      <c r="G5752" s="2"/>
      <c r="H5752" s="2"/>
      <c r="I5752" s="2"/>
    </row>
    <row r="5753">
      <c r="A5753" s="2">
        <f>IFERROR(__xludf.DUMMYFUNCTION("""COMPUTED_VALUE"""),92330.0)</f>
        <v>92330</v>
      </c>
      <c r="B5753" s="2" t="str">
        <f>IFERROR(__xludf.DUMMYFUNCTION("""COMPUTED_VALUE"""),"Tech")</f>
        <v>Tech</v>
      </c>
      <c r="C5753" s="2" t="str">
        <f>IFERROR(__xludf.DUMMYFUNCTION("""COMPUTED_VALUE"""),"Psychiatry")</f>
        <v>Psychiatry</v>
      </c>
      <c r="D5753" s="2" t="str">
        <f>IFERROR(__xludf.DUMMYFUNCTION("""COMPUTED_VALUE"""),"Silverbridge Publishing House")</f>
        <v>Silverbridge Publishing House</v>
      </c>
      <c r="E5753" s="2">
        <f>IFERROR(__xludf.DUMMYFUNCTION("""COMPUTED_VALUE"""),5.89)</f>
        <v>5.89</v>
      </c>
      <c r="F5753" s="2"/>
      <c r="G5753" s="2"/>
      <c r="H5753" s="2"/>
      <c r="I5753" s="2"/>
    </row>
    <row r="5754">
      <c r="A5754" s="2">
        <f>IFERROR(__xludf.DUMMYFUNCTION("""COMPUTED_VALUE"""),128409.0)</f>
        <v>128409</v>
      </c>
      <c r="B5754" s="2" t="str">
        <f>IFERROR(__xludf.DUMMYFUNCTION("""COMPUTED_VALUE"""),"Tech")</f>
        <v>Tech</v>
      </c>
      <c r="C5754" s="2" t="str">
        <f>IFERROR(__xludf.DUMMYFUNCTION("""COMPUTED_VALUE"""),"Psychiatry")</f>
        <v>Psychiatry</v>
      </c>
      <c r="D5754" s="2" t="str">
        <f>IFERROR(__xludf.DUMMYFUNCTION("""COMPUTED_VALUE"""),"Silverbridge Publishing House")</f>
        <v>Silverbridge Publishing House</v>
      </c>
      <c r="E5754" s="2">
        <f>IFERROR(__xludf.DUMMYFUNCTION("""COMPUTED_VALUE"""),1.46)</f>
        <v>1.46</v>
      </c>
      <c r="F5754" s="2"/>
      <c r="G5754" s="2"/>
      <c r="H5754" s="2"/>
      <c r="I5754" s="2"/>
    </row>
    <row r="5755">
      <c r="A5755" s="2">
        <f>IFERROR(__xludf.DUMMYFUNCTION("""COMPUTED_VALUE"""),124704.0)</f>
        <v>124704</v>
      </c>
      <c r="B5755" s="2" t="str">
        <f>IFERROR(__xludf.DUMMYFUNCTION("""COMPUTED_VALUE"""),"Tech")</f>
        <v>Tech</v>
      </c>
      <c r="C5755" s="2" t="str">
        <f>IFERROR(__xludf.DUMMYFUNCTION("""COMPUTED_VALUE"""),"Psychiatry")</f>
        <v>Psychiatry</v>
      </c>
      <c r="D5755" s="2" t="str">
        <f>IFERROR(__xludf.DUMMYFUNCTION("""COMPUTED_VALUE"""),"Silverbridge Publishing House")</f>
        <v>Silverbridge Publishing House</v>
      </c>
      <c r="E5755" s="2">
        <f>IFERROR(__xludf.DUMMYFUNCTION("""COMPUTED_VALUE"""),4.71)</f>
        <v>4.71</v>
      </c>
      <c r="F5755" s="2"/>
      <c r="G5755" s="2"/>
      <c r="H5755" s="2"/>
      <c r="I5755" s="2"/>
    </row>
    <row r="5756">
      <c r="A5756" s="2">
        <f>IFERROR(__xludf.DUMMYFUNCTION("""COMPUTED_VALUE"""),122252.0)</f>
        <v>122252</v>
      </c>
      <c r="B5756" s="2" t="str">
        <f>IFERROR(__xludf.DUMMYFUNCTION("""COMPUTED_VALUE"""),"Tech")</f>
        <v>Tech</v>
      </c>
      <c r="C5756" s="2" t="str">
        <f>IFERROR(__xludf.DUMMYFUNCTION("""COMPUTED_VALUE"""),"Psychiatry")</f>
        <v>Psychiatry</v>
      </c>
      <c r="D5756" s="2" t="str">
        <f>IFERROR(__xludf.DUMMYFUNCTION("""COMPUTED_VALUE"""),"Silverbridge Publishing House")</f>
        <v>Silverbridge Publishing House</v>
      </c>
      <c r="E5756" s="2">
        <f>IFERROR(__xludf.DUMMYFUNCTION("""COMPUTED_VALUE"""),4.89)</f>
        <v>4.89</v>
      </c>
      <c r="F5756" s="2"/>
      <c r="G5756" s="2"/>
      <c r="H5756" s="2"/>
      <c r="I5756" s="2"/>
    </row>
    <row r="5757">
      <c r="A5757" s="2">
        <f>IFERROR(__xludf.DUMMYFUNCTION("""COMPUTED_VALUE"""),85159.0)</f>
        <v>85159</v>
      </c>
      <c r="B5757" s="2" t="str">
        <f>IFERROR(__xludf.DUMMYFUNCTION("""COMPUTED_VALUE"""),"Tech")</f>
        <v>Tech</v>
      </c>
      <c r="C5757" s="2" t="str">
        <f>IFERROR(__xludf.DUMMYFUNCTION("""COMPUTED_VALUE"""),"Psychiatry")</f>
        <v>Psychiatry</v>
      </c>
      <c r="D5757" s="2" t="str">
        <f>IFERROR(__xludf.DUMMYFUNCTION("""COMPUTED_VALUE"""),"Silverbridge Publishing House")</f>
        <v>Silverbridge Publishing House</v>
      </c>
      <c r="E5757" s="2">
        <f>IFERROR(__xludf.DUMMYFUNCTION("""COMPUTED_VALUE"""),1.71)</f>
        <v>1.71</v>
      </c>
      <c r="F5757" s="2"/>
      <c r="G5757" s="2"/>
      <c r="H5757" s="2"/>
      <c r="I5757" s="2"/>
    </row>
    <row r="5758">
      <c r="A5758" s="2">
        <f>IFERROR(__xludf.DUMMYFUNCTION("""COMPUTED_VALUE"""),103604.0)</f>
        <v>103604</v>
      </c>
      <c r="B5758" s="2" t="str">
        <f>IFERROR(__xludf.DUMMYFUNCTION("""COMPUTED_VALUE"""),"Tech")</f>
        <v>Tech</v>
      </c>
      <c r="C5758" s="2" t="str">
        <f>IFERROR(__xludf.DUMMYFUNCTION("""COMPUTED_VALUE"""),"Psychiatry")</f>
        <v>Psychiatry</v>
      </c>
      <c r="D5758" s="2" t="str">
        <f>IFERROR(__xludf.DUMMYFUNCTION("""COMPUTED_VALUE"""),"Silverbridge Publishing House")</f>
        <v>Silverbridge Publishing House</v>
      </c>
      <c r="E5758" s="2">
        <f>IFERROR(__xludf.DUMMYFUNCTION("""COMPUTED_VALUE"""),1.65)</f>
        <v>1.65</v>
      </c>
      <c r="F5758" s="2"/>
      <c r="G5758" s="2"/>
      <c r="H5758" s="2"/>
      <c r="I5758" s="2"/>
    </row>
    <row r="5759">
      <c r="A5759" s="2">
        <f>IFERROR(__xludf.DUMMYFUNCTION("""COMPUTED_VALUE"""),27845.0)</f>
        <v>27845</v>
      </c>
      <c r="B5759" s="2" t="str">
        <f>IFERROR(__xludf.DUMMYFUNCTION("""COMPUTED_VALUE"""),"Tech")</f>
        <v>Tech</v>
      </c>
      <c r="C5759" s="2" t="str">
        <f>IFERROR(__xludf.DUMMYFUNCTION("""COMPUTED_VALUE"""),"Psychiatry")</f>
        <v>Psychiatry</v>
      </c>
      <c r="D5759" s="2" t="str">
        <f>IFERROR(__xludf.DUMMYFUNCTION("""COMPUTED_VALUE"""),"Silverbridge Publishing House")</f>
        <v>Silverbridge Publishing House</v>
      </c>
      <c r="E5759" s="2">
        <f>IFERROR(__xludf.DUMMYFUNCTION("""COMPUTED_VALUE"""),5.56)</f>
        <v>5.56</v>
      </c>
      <c r="F5759" s="2"/>
      <c r="G5759" s="2"/>
      <c r="H5759" s="2"/>
      <c r="I5759" s="2"/>
    </row>
    <row r="5760">
      <c r="A5760" s="2">
        <f>IFERROR(__xludf.DUMMYFUNCTION("""COMPUTED_VALUE"""),11666.0)</f>
        <v>11666</v>
      </c>
      <c r="B5760" s="2" t="str">
        <f>IFERROR(__xludf.DUMMYFUNCTION("""COMPUTED_VALUE"""),"Tech")</f>
        <v>Tech</v>
      </c>
      <c r="C5760" s="2" t="str">
        <f>IFERROR(__xludf.DUMMYFUNCTION("""COMPUTED_VALUE"""),"Psychiatry")</f>
        <v>Psychiatry</v>
      </c>
      <c r="D5760" s="2" t="str">
        <f>IFERROR(__xludf.DUMMYFUNCTION("""COMPUTED_VALUE"""),"Silverbridge Publishing House")</f>
        <v>Silverbridge Publishing House</v>
      </c>
      <c r="E5760" s="2">
        <f>IFERROR(__xludf.DUMMYFUNCTION("""COMPUTED_VALUE"""),4.31)</f>
        <v>4.31</v>
      </c>
      <c r="F5760" s="2"/>
      <c r="G5760" s="2"/>
      <c r="H5760" s="2"/>
      <c r="I5760" s="2"/>
    </row>
    <row r="5761">
      <c r="A5761" s="2">
        <f>IFERROR(__xludf.DUMMYFUNCTION("""COMPUTED_VALUE"""),127016.0)</f>
        <v>127016</v>
      </c>
      <c r="B5761" s="2" t="str">
        <f>IFERROR(__xludf.DUMMYFUNCTION("""COMPUTED_VALUE"""),"Tech")</f>
        <v>Tech</v>
      </c>
      <c r="C5761" s="2" t="str">
        <f>IFERROR(__xludf.DUMMYFUNCTION("""COMPUTED_VALUE"""),"Psychiatry")</f>
        <v>Psychiatry</v>
      </c>
      <c r="D5761" s="2" t="str">
        <f>IFERROR(__xludf.DUMMYFUNCTION("""COMPUTED_VALUE"""),"Silverbridge Publishing House")</f>
        <v>Silverbridge Publishing House</v>
      </c>
      <c r="E5761" s="2">
        <f>IFERROR(__xludf.DUMMYFUNCTION("""COMPUTED_VALUE"""),3.36)</f>
        <v>3.36</v>
      </c>
      <c r="F5761" s="2"/>
      <c r="G5761" s="2"/>
      <c r="H5761" s="2"/>
      <c r="I5761" s="2"/>
    </row>
    <row r="5762">
      <c r="A5762" s="2">
        <f>IFERROR(__xludf.DUMMYFUNCTION("""COMPUTED_VALUE"""),2046.0)</f>
        <v>2046</v>
      </c>
      <c r="B5762" s="2" t="str">
        <f>IFERROR(__xludf.DUMMYFUNCTION("""COMPUTED_VALUE"""),"Tech")</f>
        <v>Tech</v>
      </c>
      <c r="C5762" s="2" t="str">
        <f>IFERROR(__xludf.DUMMYFUNCTION("""COMPUTED_VALUE"""),"Psychiatry")</f>
        <v>Psychiatry</v>
      </c>
      <c r="D5762" s="2" t="str">
        <f>IFERROR(__xludf.DUMMYFUNCTION("""COMPUTED_VALUE"""),"Silverbridge Publishing House")</f>
        <v>Silverbridge Publishing House</v>
      </c>
      <c r="E5762" s="2">
        <f>IFERROR(__xludf.DUMMYFUNCTION("""COMPUTED_VALUE"""),3.99)</f>
        <v>3.99</v>
      </c>
      <c r="F5762" s="2"/>
      <c r="G5762" s="2"/>
      <c r="H5762" s="2"/>
      <c r="I5762" s="2"/>
    </row>
    <row r="5763">
      <c r="A5763" s="2">
        <f>IFERROR(__xludf.DUMMYFUNCTION("""COMPUTED_VALUE"""),66998.0)</f>
        <v>66998</v>
      </c>
      <c r="B5763" s="2" t="str">
        <f>IFERROR(__xludf.DUMMYFUNCTION("""COMPUTED_VALUE"""),"Tech")</f>
        <v>Tech</v>
      </c>
      <c r="C5763" s="2" t="str">
        <f>IFERROR(__xludf.DUMMYFUNCTION("""COMPUTED_VALUE"""),"Psychiatry")</f>
        <v>Psychiatry</v>
      </c>
      <c r="D5763" s="2" t="str">
        <f>IFERROR(__xludf.DUMMYFUNCTION("""COMPUTED_VALUE"""),"Silverbridge Publishing House")</f>
        <v>Silverbridge Publishing House</v>
      </c>
      <c r="E5763" s="2">
        <f>IFERROR(__xludf.DUMMYFUNCTION("""COMPUTED_VALUE"""),4.98)</f>
        <v>4.98</v>
      </c>
      <c r="F5763" s="2"/>
      <c r="G5763" s="2"/>
      <c r="H5763" s="2"/>
      <c r="I5763" s="2"/>
    </row>
    <row r="5764">
      <c r="A5764" s="2">
        <f>IFERROR(__xludf.DUMMYFUNCTION("""COMPUTED_VALUE"""),103626.0)</f>
        <v>103626</v>
      </c>
      <c r="B5764" s="2" t="str">
        <f>IFERROR(__xludf.DUMMYFUNCTION("""COMPUTED_VALUE"""),"Tech")</f>
        <v>Tech</v>
      </c>
      <c r="C5764" s="2" t="str">
        <f>IFERROR(__xludf.DUMMYFUNCTION("""COMPUTED_VALUE"""),"Psychiatry")</f>
        <v>Psychiatry</v>
      </c>
      <c r="D5764" s="2" t="str">
        <f>IFERROR(__xludf.DUMMYFUNCTION("""COMPUTED_VALUE"""),"Silverbridge Publishing House")</f>
        <v>Silverbridge Publishing House</v>
      </c>
      <c r="E5764" s="2">
        <f>IFERROR(__xludf.DUMMYFUNCTION("""COMPUTED_VALUE"""),2.4)</f>
        <v>2.4</v>
      </c>
      <c r="F5764" s="2"/>
      <c r="G5764" s="2"/>
      <c r="H5764" s="2"/>
      <c r="I5764" s="2"/>
    </row>
    <row r="5765">
      <c r="A5765" s="2">
        <f>IFERROR(__xludf.DUMMYFUNCTION("""COMPUTED_VALUE"""),103603.0)</f>
        <v>103603</v>
      </c>
      <c r="B5765" s="2" t="str">
        <f>IFERROR(__xludf.DUMMYFUNCTION("""COMPUTED_VALUE"""),"Tech")</f>
        <v>Tech</v>
      </c>
      <c r="C5765" s="2" t="str">
        <f>IFERROR(__xludf.DUMMYFUNCTION("""COMPUTED_VALUE"""),"Psychiatry")</f>
        <v>Psychiatry</v>
      </c>
      <c r="D5765" s="2" t="str">
        <f>IFERROR(__xludf.DUMMYFUNCTION("""COMPUTED_VALUE"""),"Silverbridge Publishing House")</f>
        <v>Silverbridge Publishing House</v>
      </c>
      <c r="E5765" s="2">
        <f>IFERROR(__xludf.DUMMYFUNCTION("""COMPUTED_VALUE"""),1.85)</f>
        <v>1.85</v>
      </c>
      <c r="F5765" s="2"/>
      <c r="G5765" s="2"/>
      <c r="H5765" s="2"/>
      <c r="I5765" s="2"/>
    </row>
    <row r="5766">
      <c r="A5766" s="2">
        <f>IFERROR(__xludf.DUMMYFUNCTION("""COMPUTED_VALUE"""),85156.0)</f>
        <v>85156</v>
      </c>
      <c r="B5766" s="2" t="str">
        <f>IFERROR(__xludf.DUMMYFUNCTION("""COMPUTED_VALUE"""),"Tech")</f>
        <v>Tech</v>
      </c>
      <c r="C5766" s="2" t="str">
        <f>IFERROR(__xludf.DUMMYFUNCTION("""COMPUTED_VALUE"""),"Psychiatry")</f>
        <v>Psychiatry</v>
      </c>
      <c r="D5766" s="2" t="str">
        <f>IFERROR(__xludf.DUMMYFUNCTION("""COMPUTED_VALUE"""),"Silverbridge Publishing House")</f>
        <v>Silverbridge Publishing House</v>
      </c>
      <c r="E5766" s="2">
        <f>IFERROR(__xludf.DUMMYFUNCTION("""COMPUTED_VALUE"""),2.15)</f>
        <v>2.15</v>
      </c>
      <c r="F5766" s="2"/>
      <c r="G5766" s="2"/>
      <c r="H5766" s="2"/>
      <c r="I5766" s="2"/>
    </row>
    <row r="5767">
      <c r="A5767" s="2">
        <f>IFERROR(__xludf.DUMMYFUNCTION("""COMPUTED_VALUE"""),8118.0)</f>
        <v>8118</v>
      </c>
      <c r="B5767" s="2" t="str">
        <f>IFERROR(__xludf.DUMMYFUNCTION("""COMPUTED_VALUE"""),"Tech")</f>
        <v>Tech</v>
      </c>
      <c r="C5767" s="2" t="str">
        <f>IFERROR(__xludf.DUMMYFUNCTION("""COMPUTED_VALUE"""),"Psychiatry")</f>
        <v>Psychiatry</v>
      </c>
      <c r="D5767" s="2" t="str">
        <f>IFERROR(__xludf.DUMMYFUNCTION("""COMPUTED_VALUE"""),"Silverbridge Publishing House")</f>
        <v>Silverbridge Publishing House</v>
      </c>
      <c r="E5767" s="2">
        <f>IFERROR(__xludf.DUMMYFUNCTION("""COMPUTED_VALUE"""),5.46)</f>
        <v>5.46</v>
      </c>
      <c r="F5767" s="2"/>
      <c r="G5767" s="2"/>
      <c r="H5767" s="2"/>
      <c r="I5767" s="2"/>
    </row>
    <row r="5768">
      <c r="A5768" s="2">
        <f>IFERROR(__xludf.DUMMYFUNCTION("""COMPUTED_VALUE"""),109984.0)</f>
        <v>109984</v>
      </c>
      <c r="B5768" s="2" t="str">
        <f>IFERROR(__xludf.DUMMYFUNCTION("""COMPUTED_VALUE"""),"Tech")</f>
        <v>Tech</v>
      </c>
      <c r="C5768" s="2" t="str">
        <f>IFERROR(__xludf.DUMMYFUNCTION("""COMPUTED_VALUE"""),"Psychiatry")</f>
        <v>Psychiatry</v>
      </c>
      <c r="D5768" s="2" t="str">
        <f>IFERROR(__xludf.DUMMYFUNCTION("""COMPUTED_VALUE"""),"Silverbridge Publishing House")</f>
        <v>Silverbridge Publishing House</v>
      </c>
      <c r="E5768" s="2">
        <f>IFERROR(__xludf.DUMMYFUNCTION("""COMPUTED_VALUE"""),1.72)</f>
        <v>1.72</v>
      </c>
      <c r="F5768" s="2"/>
      <c r="G5768" s="2"/>
      <c r="H5768" s="2"/>
      <c r="I5768" s="2"/>
    </row>
    <row r="5769">
      <c r="A5769" s="2">
        <f>IFERROR(__xludf.DUMMYFUNCTION("""COMPUTED_VALUE"""),92134.0)</f>
        <v>92134</v>
      </c>
      <c r="B5769" s="2" t="str">
        <f>IFERROR(__xludf.DUMMYFUNCTION("""COMPUTED_VALUE"""),"Tech")</f>
        <v>Tech</v>
      </c>
      <c r="C5769" s="2" t="str">
        <f>IFERROR(__xludf.DUMMYFUNCTION("""COMPUTED_VALUE"""),"Psychiatry")</f>
        <v>Psychiatry</v>
      </c>
      <c r="D5769" s="2" t="str">
        <f>IFERROR(__xludf.DUMMYFUNCTION("""COMPUTED_VALUE"""),"Silverbridge Publishing House")</f>
        <v>Silverbridge Publishing House</v>
      </c>
      <c r="E5769" s="2">
        <f>IFERROR(__xludf.DUMMYFUNCTION("""COMPUTED_VALUE"""),9.19)</f>
        <v>9.19</v>
      </c>
      <c r="F5769" s="2"/>
      <c r="G5769" s="2"/>
      <c r="H5769" s="2"/>
      <c r="I5769" s="2"/>
    </row>
    <row r="5770">
      <c r="A5770" s="2">
        <f>IFERROR(__xludf.DUMMYFUNCTION("""COMPUTED_VALUE"""),129420.0)</f>
        <v>129420</v>
      </c>
      <c r="B5770" s="2" t="str">
        <f>IFERROR(__xludf.DUMMYFUNCTION("""COMPUTED_VALUE"""),"Tech")</f>
        <v>Tech</v>
      </c>
      <c r="C5770" s="2" t="str">
        <f>IFERROR(__xludf.DUMMYFUNCTION("""COMPUTED_VALUE"""),"Psychiatry")</f>
        <v>Psychiatry</v>
      </c>
      <c r="D5770" s="2" t="str">
        <f>IFERROR(__xludf.DUMMYFUNCTION("""COMPUTED_VALUE"""),"Silverbridge Publishing House")</f>
        <v>Silverbridge Publishing House</v>
      </c>
      <c r="E5770" s="2">
        <f>IFERROR(__xludf.DUMMYFUNCTION("""COMPUTED_VALUE"""),8.52)</f>
        <v>8.52</v>
      </c>
      <c r="F5770" s="2"/>
      <c r="G5770" s="2"/>
      <c r="H5770" s="2"/>
      <c r="I5770" s="2"/>
    </row>
    <row r="5771">
      <c r="A5771" s="2">
        <f>IFERROR(__xludf.DUMMYFUNCTION("""COMPUTED_VALUE"""),111010.0)</f>
        <v>111010</v>
      </c>
      <c r="B5771" s="2" t="str">
        <f>IFERROR(__xludf.DUMMYFUNCTION("""COMPUTED_VALUE"""),"Tech")</f>
        <v>Tech</v>
      </c>
      <c r="C5771" s="2" t="str">
        <f>IFERROR(__xludf.DUMMYFUNCTION("""COMPUTED_VALUE"""),"Psychiatry")</f>
        <v>Psychiatry</v>
      </c>
      <c r="D5771" s="2" t="str">
        <f>IFERROR(__xludf.DUMMYFUNCTION("""COMPUTED_VALUE"""),"Silverbridge Publishing House")</f>
        <v>Silverbridge Publishing House</v>
      </c>
      <c r="E5771" s="2">
        <f>IFERROR(__xludf.DUMMYFUNCTION("""COMPUTED_VALUE"""),8.86)</f>
        <v>8.86</v>
      </c>
      <c r="F5771" s="2"/>
      <c r="G5771" s="2"/>
      <c r="H5771" s="2"/>
      <c r="I5771" s="2"/>
    </row>
    <row r="5772">
      <c r="A5772" s="2">
        <f>IFERROR(__xludf.DUMMYFUNCTION("""COMPUTED_VALUE"""),46771.0)</f>
        <v>46771</v>
      </c>
      <c r="B5772" s="2" t="str">
        <f>IFERROR(__xludf.DUMMYFUNCTION("""COMPUTED_VALUE"""),"Tech")</f>
        <v>Tech</v>
      </c>
      <c r="C5772" s="2" t="str">
        <f>IFERROR(__xludf.DUMMYFUNCTION("""COMPUTED_VALUE"""),"Psychiatry")</f>
        <v>Psychiatry</v>
      </c>
      <c r="D5772" s="2" t="str">
        <f>IFERROR(__xludf.DUMMYFUNCTION("""COMPUTED_VALUE"""),"Silverbridge Publishing House")</f>
        <v>Silverbridge Publishing House</v>
      </c>
      <c r="E5772" s="2">
        <f>IFERROR(__xludf.DUMMYFUNCTION("""COMPUTED_VALUE"""),5.33)</f>
        <v>5.33</v>
      </c>
      <c r="F5772" s="2"/>
      <c r="G5772" s="2"/>
      <c r="H5772" s="2"/>
      <c r="I5772" s="2"/>
    </row>
    <row r="5773">
      <c r="A5773" s="2">
        <f>IFERROR(__xludf.DUMMYFUNCTION("""COMPUTED_VALUE"""),88396.0)</f>
        <v>88396</v>
      </c>
      <c r="B5773" s="2" t="str">
        <f>IFERROR(__xludf.DUMMYFUNCTION("""COMPUTED_VALUE"""),"Tech")</f>
        <v>Tech</v>
      </c>
      <c r="C5773" s="2" t="str">
        <f>IFERROR(__xludf.DUMMYFUNCTION("""COMPUTED_VALUE"""),"Psychiatry")</f>
        <v>Psychiatry</v>
      </c>
      <c r="D5773" s="2" t="str">
        <f>IFERROR(__xludf.DUMMYFUNCTION("""COMPUTED_VALUE"""),"Silverbridge Publishing House")</f>
        <v>Silverbridge Publishing House</v>
      </c>
      <c r="E5773" s="2">
        <f>IFERROR(__xludf.DUMMYFUNCTION("""COMPUTED_VALUE"""),1.79)</f>
        <v>1.79</v>
      </c>
      <c r="F5773" s="2"/>
      <c r="G5773" s="2"/>
      <c r="H5773" s="2"/>
      <c r="I5773" s="2"/>
    </row>
    <row r="5774">
      <c r="A5774" s="2">
        <f>IFERROR(__xludf.DUMMYFUNCTION("""COMPUTED_VALUE"""),88188.0)</f>
        <v>88188</v>
      </c>
      <c r="B5774" s="2" t="str">
        <f>IFERROR(__xludf.DUMMYFUNCTION("""COMPUTED_VALUE"""),"Tech")</f>
        <v>Tech</v>
      </c>
      <c r="C5774" s="2" t="str">
        <f>IFERROR(__xludf.DUMMYFUNCTION("""COMPUTED_VALUE"""),"Psychiatry")</f>
        <v>Psychiatry</v>
      </c>
      <c r="D5774" s="2" t="str">
        <f>IFERROR(__xludf.DUMMYFUNCTION("""COMPUTED_VALUE"""),"Silverbridge Publishing House")</f>
        <v>Silverbridge Publishing House</v>
      </c>
      <c r="E5774" s="2">
        <f>IFERROR(__xludf.DUMMYFUNCTION("""COMPUTED_VALUE"""),9.31)</f>
        <v>9.31</v>
      </c>
      <c r="F5774" s="2"/>
      <c r="G5774" s="2"/>
      <c r="H5774" s="2"/>
      <c r="I5774" s="2"/>
    </row>
    <row r="5775">
      <c r="A5775" s="2">
        <f>IFERROR(__xludf.DUMMYFUNCTION("""COMPUTED_VALUE"""),129373.0)</f>
        <v>129373</v>
      </c>
      <c r="B5775" s="2" t="str">
        <f>IFERROR(__xludf.DUMMYFUNCTION("""COMPUTED_VALUE"""),"Tech")</f>
        <v>Tech</v>
      </c>
      <c r="C5775" s="2" t="str">
        <f>IFERROR(__xludf.DUMMYFUNCTION("""COMPUTED_VALUE"""),"Psychiatry")</f>
        <v>Psychiatry</v>
      </c>
      <c r="D5775" s="2" t="str">
        <f>IFERROR(__xludf.DUMMYFUNCTION("""COMPUTED_VALUE"""),"Silverbridge Publishing House")</f>
        <v>Silverbridge Publishing House</v>
      </c>
      <c r="E5775" s="2">
        <f>IFERROR(__xludf.DUMMYFUNCTION("""COMPUTED_VALUE"""),3.11)</f>
        <v>3.11</v>
      </c>
      <c r="F5775" s="2"/>
      <c r="G5775" s="2"/>
      <c r="H5775" s="2"/>
      <c r="I5775" s="2"/>
    </row>
    <row r="5776">
      <c r="A5776" s="2">
        <f>IFERROR(__xludf.DUMMYFUNCTION("""COMPUTED_VALUE"""),103625.0)</f>
        <v>103625</v>
      </c>
      <c r="B5776" s="2" t="str">
        <f>IFERROR(__xludf.DUMMYFUNCTION("""COMPUTED_VALUE"""),"Tech")</f>
        <v>Tech</v>
      </c>
      <c r="C5776" s="2" t="str">
        <f>IFERROR(__xludf.DUMMYFUNCTION("""COMPUTED_VALUE"""),"Psychiatry")</f>
        <v>Psychiatry</v>
      </c>
      <c r="D5776" s="2" t="str">
        <f>IFERROR(__xludf.DUMMYFUNCTION("""COMPUTED_VALUE"""),"Silverbridge Publishing House")</f>
        <v>Silverbridge Publishing House</v>
      </c>
      <c r="E5776" s="2">
        <f>IFERROR(__xludf.DUMMYFUNCTION("""COMPUTED_VALUE"""),1.88)</f>
        <v>1.88</v>
      </c>
      <c r="F5776" s="2"/>
      <c r="G5776" s="2"/>
      <c r="H5776" s="2"/>
      <c r="I5776" s="2"/>
    </row>
    <row r="5777">
      <c r="A5777" s="2">
        <f>IFERROR(__xludf.DUMMYFUNCTION("""COMPUTED_VALUE"""),109332.0)</f>
        <v>109332</v>
      </c>
      <c r="B5777" s="2" t="str">
        <f>IFERROR(__xludf.DUMMYFUNCTION("""COMPUTED_VALUE"""),"Tech")</f>
        <v>Tech</v>
      </c>
      <c r="C5777" s="2" t="str">
        <f>IFERROR(__xludf.DUMMYFUNCTION("""COMPUTED_VALUE"""),"Psychiatry")</f>
        <v>Psychiatry</v>
      </c>
      <c r="D5777" s="2" t="str">
        <f>IFERROR(__xludf.DUMMYFUNCTION("""COMPUTED_VALUE"""),"Silverbridge Publishing House")</f>
        <v>Silverbridge Publishing House</v>
      </c>
      <c r="E5777" s="2">
        <f>IFERROR(__xludf.DUMMYFUNCTION("""COMPUTED_VALUE"""),6.32)</f>
        <v>6.32</v>
      </c>
      <c r="F5777" s="2"/>
      <c r="G5777" s="2"/>
      <c r="H5777" s="2"/>
      <c r="I5777" s="2"/>
    </row>
    <row r="5778">
      <c r="A5778" s="2">
        <f>IFERROR(__xludf.DUMMYFUNCTION("""COMPUTED_VALUE"""),92327.0)</f>
        <v>92327</v>
      </c>
      <c r="B5778" s="2" t="str">
        <f>IFERROR(__xludf.DUMMYFUNCTION("""COMPUTED_VALUE"""),"Tech")</f>
        <v>Tech</v>
      </c>
      <c r="C5778" s="2" t="str">
        <f>IFERROR(__xludf.DUMMYFUNCTION("""COMPUTED_VALUE"""),"Psychiatry")</f>
        <v>Psychiatry</v>
      </c>
      <c r="D5778" s="2" t="str">
        <f>IFERROR(__xludf.DUMMYFUNCTION("""COMPUTED_VALUE"""),"Silverbridge Publishing House")</f>
        <v>Silverbridge Publishing House</v>
      </c>
      <c r="E5778" s="2">
        <f>IFERROR(__xludf.DUMMYFUNCTION("""COMPUTED_VALUE"""),4.82)</f>
        <v>4.82</v>
      </c>
      <c r="F5778" s="2"/>
      <c r="G5778" s="2"/>
      <c r="H5778" s="2"/>
      <c r="I5778" s="2"/>
    </row>
    <row r="5779">
      <c r="A5779" s="2">
        <f>IFERROR(__xludf.DUMMYFUNCTION("""COMPUTED_VALUE"""),80699.0)</f>
        <v>80699</v>
      </c>
      <c r="B5779" s="2" t="str">
        <f>IFERROR(__xludf.DUMMYFUNCTION("""COMPUTED_VALUE"""),"Tech")</f>
        <v>Tech</v>
      </c>
      <c r="C5779" s="2" t="str">
        <f>IFERROR(__xludf.DUMMYFUNCTION("""COMPUTED_VALUE"""),"Psychiatry")</f>
        <v>Psychiatry</v>
      </c>
      <c r="D5779" s="2" t="str">
        <f>IFERROR(__xludf.DUMMYFUNCTION("""COMPUTED_VALUE"""),"Silverbridge Publishing House")</f>
        <v>Silverbridge Publishing House</v>
      </c>
      <c r="E5779" s="2">
        <f>IFERROR(__xludf.DUMMYFUNCTION("""COMPUTED_VALUE"""),10.59)</f>
        <v>10.59</v>
      </c>
      <c r="F5779" s="2"/>
      <c r="G5779" s="2"/>
      <c r="H5779" s="2"/>
      <c r="I5779" s="2"/>
    </row>
    <row r="5780">
      <c r="A5780" s="2">
        <f>IFERROR(__xludf.DUMMYFUNCTION("""COMPUTED_VALUE"""),101043.0)</f>
        <v>101043</v>
      </c>
      <c r="B5780" s="2" t="str">
        <f>IFERROR(__xludf.DUMMYFUNCTION("""COMPUTED_VALUE"""),"Tech")</f>
        <v>Tech</v>
      </c>
      <c r="C5780" s="2" t="str">
        <f>IFERROR(__xludf.DUMMYFUNCTION("""COMPUTED_VALUE"""),"Psychiatry")</f>
        <v>Psychiatry</v>
      </c>
      <c r="D5780" s="2" t="str">
        <f>IFERROR(__xludf.DUMMYFUNCTION("""COMPUTED_VALUE"""),"Silverbridge Publishing House")</f>
        <v>Silverbridge Publishing House</v>
      </c>
      <c r="E5780" s="2">
        <f>IFERROR(__xludf.DUMMYFUNCTION("""COMPUTED_VALUE"""),5.47)</f>
        <v>5.47</v>
      </c>
      <c r="F5780" s="2"/>
      <c r="G5780" s="2"/>
      <c r="H5780" s="2"/>
      <c r="I5780" s="2"/>
    </row>
    <row r="5781">
      <c r="A5781" s="2">
        <f>IFERROR(__xludf.DUMMYFUNCTION("""COMPUTED_VALUE"""),46760.0)</f>
        <v>46760</v>
      </c>
      <c r="B5781" s="2" t="str">
        <f>IFERROR(__xludf.DUMMYFUNCTION("""COMPUTED_VALUE"""),"Tech")</f>
        <v>Tech</v>
      </c>
      <c r="C5781" s="2" t="str">
        <f>IFERROR(__xludf.DUMMYFUNCTION("""COMPUTED_VALUE"""),"Psychiatry")</f>
        <v>Psychiatry</v>
      </c>
      <c r="D5781" s="2" t="str">
        <f>IFERROR(__xludf.DUMMYFUNCTION("""COMPUTED_VALUE"""),"Silverbridge Publishing House")</f>
        <v>Silverbridge Publishing House</v>
      </c>
      <c r="E5781" s="2">
        <f>IFERROR(__xludf.DUMMYFUNCTION("""COMPUTED_VALUE"""),2.0)</f>
        <v>2</v>
      </c>
      <c r="F5781" s="2"/>
      <c r="G5781" s="2"/>
      <c r="H5781" s="2"/>
      <c r="I5781" s="2"/>
    </row>
    <row r="5782">
      <c r="A5782" s="2">
        <f>IFERROR(__xludf.DUMMYFUNCTION("""COMPUTED_VALUE"""),109966.0)</f>
        <v>109966</v>
      </c>
      <c r="B5782" s="2" t="str">
        <f>IFERROR(__xludf.DUMMYFUNCTION("""COMPUTED_VALUE"""),"Tech")</f>
        <v>Tech</v>
      </c>
      <c r="C5782" s="2" t="str">
        <f>IFERROR(__xludf.DUMMYFUNCTION("""COMPUTED_VALUE"""),"Psychiatry")</f>
        <v>Psychiatry</v>
      </c>
      <c r="D5782" s="2" t="str">
        <f>IFERROR(__xludf.DUMMYFUNCTION("""COMPUTED_VALUE"""),"Silverbridge Publishing House")</f>
        <v>Silverbridge Publishing House</v>
      </c>
      <c r="E5782" s="2">
        <f>IFERROR(__xludf.DUMMYFUNCTION("""COMPUTED_VALUE"""),5.17)</f>
        <v>5.17</v>
      </c>
      <c r="F5782" s="2"/>
      <c r="G5782" s="2"/>
      <c r="H5782" s="2"/>
      <c r="I5782" s="2"/>
    </row>
    <row r="5783">
      <c r="A5783" s="2">
        <f>IFERROR(__xludf.DUMMYFUNCTION("""COMPUTED_VALUE"""),128408.0)</f>
        <v>128408</v>
      </c>
      <c r="B5783" s="2" t="str">
        <f>IFERROR(__xludf.DUMMYFUNCTION("""COMPUTED_VALUE"""),"Tech")</f>
        <v>Tech</v>
      </c>
      <c r="C5783" s="2" t="str">
        <f>IFERROR(__xludf.DUMMYFUNCTION("""COMPUTED_VALUE"""),"Psychiatry")</f>
        <v>Psychiatry</v>
      </c>
      <c r="D5783" s="2" t="str">
        <f>IFERROR(__xludf.DUMMYFUNCTION("""COMPUTED_VALUE"""),"Silverbridge Publishing House")</f>
        <v>Silverbridge Publishing House</v>
      </c>
      <c r="E5783" s="2">
        <f>IFERROR(__xludf.DUMMYFUNCTION("""COMPUTED_VALUE"""),2.37)</f>
        <v>2.37</v>
      </c>
      <c r="F5783" s="2"/>
      <c r="G5783" s="2"/>
      <c r="H5783" s="2"/>
      <c r="I5783" s="2"/>
    </row>
    <row r="5784">
      <c r="A5784" s="2">
        <f>IFERROR(__xludf.DUMMYFUNCTION("""COMPUTED_VALUE"""),81128.0)</f>
        <v>81128</v>
      </c>
      <c r="B5784" s="2" t="str">
        <f>IFERROR(__xludf.DUMMYFUNCTION("""COMPUTED_VALUE"""),"Tech")</f>
        <v>Tech</v>
      </c>
      <c r="C5784" s="2" t="str">
        <f>IFERROR(__xludf.DUMMYFUNCTION("""COMPUTED_VALUE"""),"Psychiatry")</f>
        <v>Psychiatry</v>
      </c>
      <c r="D5784" s="2" t="str">
        <f>IFERROR(__xludf.DUMMYFUNCTION("""COMPUTED_VALUE"""),"Silverbridge Publishing House")</f>
        <v>Silverbridge Publishing House</v>
      </c>
      <c r="E5784" s="2">
        <f>IFERROR(__xludf.DUMMYFUNCTION("""COMPUTED_VALUE"""),2.35)</f>
        <v>2.35</v>
      </c>
      <c r="F5784" s="2"/>
      <c r="G5784" s="2"/>
      <c r="H5784" s="2"/>
      <c r="I5784" s="2"/>
    </row>
    <row r="5785">
      <c r="A5785" s="2">
        <f>IFERROR(__xludf.DUMMYFUNCTION("""COMPUTED_VALUE"""),45571.0)</f>
        <v>45571</v>
      </c>
      <c r="B5785" s="2" t="str">
        <f>IFERROR(__xludf.DUMMYFUNCTION("""COMPUTED_VALUE"""),"Tech")</f>
        <v>Tech</v>
      </c>
      <c r="C5785" s="2" t="str">
        <f>IFERROR(__xludf.DUMMYFUNCTION("""COMPUTED_VALUE"""),"Psychiatry")</f>
        <v>Psychiatry</v>
      </c>
      <c r="D5785" s="2" t="str">
        <f>IFERROR(__xludf.DUMMYFUNCTION("""COMPUTED_VALUE"""),"Silverbridge Publishing House")</f>
        <v>Silverbridge Publishing House</v>
      </c>
      <c r="E5785" s="2">
        <f>IFERROR(__xludf.DUMMYFUNCTION("""COMPUTED_VALUE"""),2.32)</f>
        <v>2.32</v>
      </c>
      <c r="F5785" s="2"/>
      <c r="G5785" s="2"/>
      <c r="H5785" s="2"/>
      <c r="I5785" s="2"/>
    </row>
    <row r="5786">
      <c r="A5786" s="2">
        <f>IFERROR(__xludf.DUMMYFUNCTION("""COMPUTED_VALUE"""),44612.0)</f>
        <v>44612</v>
      </c>
      <c r="B5786" s="2" t="str">
        <f>IFERROR(__xludf.DUMMYFUNCTION("""COMPUTED_VALUE"""),"Tech")</f>
        <v>Tech</v>
      </c>
      <c r="C5786" s="2" t="str">
        <f>IFERROR(__xludf.DUMMYFUNCTION("""COMPUTED_VALUE"""),"Psychiatry")</f>
        <v>Psychiatry</v>
      </c>
      <c r="D5786" s="2" t="str">
        <f>IFERROR(__xludf.DUMMYFUNCTION("""COMPUTED_VALUE"""),"Silverbridge Publishing House")</f>
        <v>Silverbridge Publishing House</v>
      </c>
      <c r="E5786" s="2">
        <f>IFERROR(__xludf.DUMMYFUNCTION("""COMPUTED_VALUE"""),3.11)</f>
        <v>3.11</v>
      </c>
      <c r="F5786" s="2"/>
      <c r="G5786" s="2"/>
      <c r="H5786" s="2"/>
      <c r="I5786" s="2"/>
    </row>
    <row r="5787">
      <c r="A5787" s="2">
        <f>IFERROR(__xludf.DUMMYFUNCTION("""COMPUTED_VALUE"""),124684.0)</f>
        <v>124684</v>
      </c>
      <c r="B5787" s="2" t="str">
        <f>IFERROR(__xludf.DUMMYFUNCTION("""COMPUTED_VALUE"""),"Tech")</f>
        <v>Tech</v>
      </c>
      <c r="C5787" s="2" t="str">
        <f>IFERROR(__xludf.DUMMYFUNCTION("""COMPUTED_VALUE"""),"Psychiatry")</f>
        <v>Psychiatry</v>
      </c>
      <c r="D5787" s="2" t="str">
        <f>IFERROR(__xludf.DUMMYFUNCTION("""COMPUTED_VALUE"""),"Silverbridge Publishing House")</f>
        <v>Silverbridge Publishing House</v>
      </c>
      <c r="E5787" s="2">
        <f>IFERROR(__xludf.DUMMYFUNCTION("""COMPUTED_VALUE"""),4.51)</f>
        <v>4.51</v>
      </c>
      <c r="F5787" s="2"/>
      <c r="G5787" s="2"/>
      <c r="H5787" s="2"/>
      <c r="I5787" s="2"/>
    </row>
    <row r="5788">
      <c r="A5788" s="2">
        <f>IFERROR(__xludf.DUMMYFUNCTION("""COMPUTED_VALUE"""),112365.0)</f>
        <v>112365</v>
      </c>
      <c r="B5788" s="2" t="str">
        <f>IFERROR(__xludf.DUMMYFUNCTION("""COMPUTED_VALUE"""),"Tech")</f>
        <v>Tech</v>
      </c>
      <c r="C5788" s="2" t="str">
        <f>IFERROR(__xludf.DUMMYFUNCTION("""COMPUTED_VALUE"""),"Psychiatry")</f>
        <v>Psychiatry</v>
      </c>
      <c r="D5788" s="2" t="str">
        <f>IFERROR(__xludf.DUMMYFUNCTION("""COMPUTED_VALUE"""),"Northbridge Publishing House")</f>
        <v>Northbridge Publishing House</v>
      </c>
      <c r="E5788" s="2">
        <f>IFERROR(__xludf.DUMMYFUNCTION("""COMPUTED_VALUE"""),1.69)</f>
        <v>1.69</v>
      </c>
      <c r="F5788" s="2"/>
      <c r="G5788" s="2"/>
      <c r="H5788" s="2"/>
      <c r="I5788" s="2"/>
    </row>
    <row r="5789">
      <c r="A5789" s="2">
        <f>IFERROR(__xludf.DUMMYFUNCTION("""COMPUTED_VALUE"""),41038.0)</f>
        <v>41038</v>
      </c>
      <c r="B5789" s="2" t="str">
        <f>IFERROR(__xludf.DUMMYFUNCTION("""COMPUTED_VALUE"""),"Tech")</f>
        <v>Tech</v>
      </c>
      <c r="C5789" s="2" t="str">
        <f>IFERROR(__xludf.DUMMYFUNCTION("""COMPUTED_VALUE"""),"Psychiatry")</f>
        <v>Psychiatry</v>
      </c>
      <c r="D5789" s="2" t="str">
        <f>IFERROR(__xludf.DUMMYFUNCTION("""COMPUTED_VALUE"""),"Northbridge Publishing House")</f>
        <v>Northbridge Publishing House</v>
      </c>
      <c r="E5789" s="2">
        <f>IFERROR(__xludf.DUMMYFUNCTION("""COMPUTED_VALUE"""),2.92)</f>
        <v>2.92</v>
      </c>
      <c r="F5789" s="2"/>
      <c r="G5789" s="2"/>
      <c r="H5789" s="2"/>
      <c r="I5789" s="2"/>
    </row>
    <row r="5790">
      <c r="A5790" s="2">
        <f>IFERROR(__xludf.DUMMYFUNCTION("""COMPUTED_VALUE"""),87761.0)</f>
        <v>87761</v>
      </c>
      <c r="B5790" s="2" t="str">
        <f>IFERROR(__xludf.DUMMYFUNCTION("""COMPUTED_VALUE"""),"Tech")</f>
        <v>Tech</v>
      </c>
      <c r="C5790" s="2" t="str">
        <f>IFERROR(__xludf.DUMMYFUNCTION("""COMPUTED_VALUE"""),"Psychiatry")</f>
        <v>Psychiatry</v>
      </c>
      <c r="D5790" s="2" t="str">
        <f>IFERROR(__xludf.DUMMYFUNCTION("""COMPUTED_VALUE"""),"Northbridge Publishing House")</f>
        <v>Northbridge Publishing House</v>
      </c>
      <c r="E5790" s="2">
        <f>IFERROR(__xludf.DUMMYFUNCTION("""COMPUTED_VALUE"""),2.23)</f>
        <v>2.23</v>
      </c>
      <c r="F5790" s="2"/>
      <c r="G5790" s="2"/>
      <c r="H5790" s="2"/>
      <c r="I5790" s="2"/>
    </row>
    <row r="5791">
      <c r="A5791" s="2">
        <f>IFERROR(__xludf.DUMMYFUNCTION("""COMPUTED_VALUE"""),106590.0)</f>
        <v>106590</v>
      </c>
      <c r="B5791" s="2" t="str">
        <f>IFERROR(__xludf.DUMMYFUNCTION("""COMPUTED_VALUE"""),"Tech")</f>
        <v>Tech</v>
      </c>
      <c r="C5791" s="2" t="str">
        <f>IFERROR(__xludf.DUMMYFUNCTION("""COMPUTED_VALUE"""),"Psychiatry")</f>
        <v>Psychiatry</v>
      </c>
      <c r="D5791" s="2" t="str">
        <f>IFERROR(__xludf.DUMMYFUNCTION("""COMPUTED_VALUE"""),"Northbridge Publishing House")</f>
        <v>Northbridge Publishing House</v>
      </c>
      <c r="E5791" s="2">
        <f>IFERROR(__xludf.DUMMYFUNCTION("""COMPUTED_VALUE"""),11.67)</f>
        <v>11.67</v>
      </c>
      <c r="F5791" s="2"/>
      <c r="G5791" s="2"/>
      <c r="H5791" s="2"/>
      <c r="I5791" s="2"/>
    </row>
    <row r="5792">
      <c r="A5792" s="2">
        <f>IFERROR(__xludf.DUMMYFUNCTION("""COMPUTED_VALUE"""),85734.0)</f>
        <v>85734</v>
      </c>
      <c r="B5792" s="2" t="str">
        <f>IFERROR(__xludf.DUMMYFUNCTION("""COMPUTED_VALUE"""),"Tech")</f>
        <v>Tech</v>
      </c>
      <c r="C5792" s="2" t="str">
        <f>IFERROR(__xludf.DUMMYFUNCTION("""COMPUTED_VALUE"""),"Psychiatry")</f>
        <v>Psychiatry</v>
      </c>
      <c r="D5792" s="2" t="str">
        <f>IFERROR(__xludf.DUMMYFUNCTION("""COMPUTED_VALUE"""),"Northbridge Publishing House")</f>
        <v>Northbridge Publishing House</v>
      </c>
      <c r="E5792" s="2">
        <f>IFERROR(__xludf.DUMMYFUNCTION("""COMPUTED_VALUE"""),3.49)</f>
        <v>3.49</v>
      </c>
      <c r="F5792" s="2"/>
      <c r="G5792" s="2"/>
      <c r="H5792" s="2"/>
      <c r="I5792" s="2"/>
    </row>
    <row r="5793">
      <c r="A5793" s="2">
        <f>IFERROR(__xludf.DUMMYFUNCTION("""COMPUTED_VALUE"""),122511.0)</f>
        <v>122511</v>
      </c>
      <c r="B5793" s="2" t="str">
        <f>IFERROR(__xludf.DUMMYFUNCTION("""COMPUTED_VALUE"""),"Tech")</f>
        <v>Tech</v>
      </c>
      <c r="C5793" s="2" t="str">
        <f>IFERROR(__xludf.DUMMYFUNCTION("""COMPUTED_VALUE"""),"Psychiatry")</f>
        <v>Psychiatry</v>
      </c>
      <c r="D5793" s="2" t="str">
        <f>IFERROR(__xludf.DUMMYFUNCTION("""COMPUTED_VALUE"""),"Northbridge Publishing House")</f>
        <v>Northbridge Publishing House</v>
      </c>
      <c r="E5793" s="2">
        <f>IFERROR(__xludf.DUMMYFUNCTION("""COMPUTED_VALUE"""),19.76)</f>
        <v>19.76</v>
      </c>
      <c r="F5793" s="2"/>
      <c r="G5793" s="2"/>
      <c r="H5793" s="2"/>
      <c r="I5793" s="2"/>
    </row>
    <row r="5794">
      <c r="A5794" s="2">
        <f>IFERROR(__xludf.DUMMYFUNCTION("""COMPUTED_VALUE"""),2335.0)</f>
        <v>2335</v>
      </c>
      <c r="B5794" s="2" t="str">
        <f>IFERROR(__xludf.DUMMYFUNCTION("""COMPUTED_VALUE"""),"Tech")</f>
        <v>Tech</v>
      </c>
      <c r="C5794" s="2" t="str">
        <f>IFERROR(__xludf.DUMMYFUNCTION("""COMPUTED_VALUE"""),"Psychiatry")</f>
        <v>Psychiatry</v>
      </c>
      <c r="D5794" s="2" t="str">
        <f>IFERROR(__xludf.DUMMYFUNCTION("""COMPUTED_VALUE"""),"Northbridge Publishing House")</f>
        <v>Northbridge Publishing House</v>
      </c>
      <c r="E5794" s="2">
        <f>IFERROR(__xludf.DUMMYFUNCTION("""COMPUTED_VALUE"""),5.66)</f>
        <v>5.66</v>
      </c>
      <c r="F5794" s="2"/>
      <c r="G5794" s="2"/>
      <c r="H5794" s="2"/>
      <c r="I5794" s="2"/>
    </row>
    <row r="5795">
      <c r="A5795" s="2">
        <f>IFERROR(__xludf.DUMMYFUNCTION("""COMPUTED_VALUE"""),2339.0)</f>
        <v>2339</v>
      </c>
      <c r="B5795" s="2" t="str">
        <f>IFERROR(__xludf.DUMMYFUNCTION("""COMPUTED_VALUE"""),"Tech")</f>
        <v>Tech</v>
      </c>
      <c r="C5795" s="2" t="str">
        <f>IFERROR(__xludf.DUMMYFUNCTION("""COMPUTED_VALUE"""),"Psychiatry")</f>
        <v>Psychiatry</v>
      </c>
      <c r="D5795" s="2" t="str">
        <f>IFERROR(__xludf.DUMMYFUNCTION("""COMPUTED_VALUE"""),"Northbridge Publishing House")</f>
        <v>Northbridge Publishing House</v>
      </c>
      <c r="E5795" s="2">
        <f>IFERROR(__xludf.DUMMYFUNCTION("""COMPUTED_VALUE"""),3.53)</f>
        <v>3.53</v>
      </c>
      <c r="F5795" s="2"/>
      <c r="G5795" s="2"/>
      <c r="H5795" s="2"/>
      <c r="I5795" s="2"/>
    </row>
    <row r="5796">
      <c r="A5796" s="2">
        <f>IFERROR(__xludf.DUMMYFUNCTION("""COMPUTED_VALUE"""),108468.0)</f>
        <v>108468</v>
      </c>
      <c r="B5796" s="2" t="str">
        <f>IFERROR(__xludf.DUMMYFUNCTION("""COMPUTED_VALUE"""),"Tech")</f>
        <v>Tech</v>
      </c>
      <c r="C5796" s="2" t="str">
        <f>IFERROR(__xludf.DUMMYFUNCTION("""COMPUTED_VALUE"""),"Psychiatry")</f>
        <v>Psychiatry</v>
      </c>
      <c r="D5796" s="2" t="str">
        <f>IFERROR(__xludf.DUMMYFUNCTION("""COMPUTED_VALUE"""),"Northbridge Publishing House")</f>
        <v>Northbridge Publishing House</v>
      </c>
      <c r="E5796" s="2">
        <f>IFERROR(__xludf.DUMMYFUNCTION("""COMPUTED_VALUE"""),8.68)</f>
        <v>8.68</v>
      </c>
      <c r="F5796" s="2"/>
      <c r="G5796" s="2"/>
      <c r="H5796" s="2"/>
      <c r="I5796" s="2"/>
    </row>
    <row r="5797">
      <c r="A5797" s="2">
        <f>IFERROR(__xludf.DUMMYFUNCTION("""COMPUTED_VALUE"""),3439.0)</f>
        <v>3439</v>
      </c>
      <c r="B5797" s="2" t="str">
        <f>IFERROR(__xludf.DUMMYFUNCTION("""COMPUTED_VALUE"""),"Tech")</f>
        <v>Tech</v>
      </c>
      <c r="C5797" s="2" t="str">
        <f>IFERROR(__xludf.DUMMYFUNCTION("""COMPUTED_VALUE"""),"Psychiatry")</f>
        <v>Psychiatry</v>
      </c>
      <c r="D5797" s="2" t="str">
        <f>IFERROR(__xludf.DUMMYFUNCTION("""COMPUTED_VALUE"""),"Northbridge Publishing House")</f>
        <v>Northbridge Publishing House</v>
      </c>
      <c r="E5797" s="2">
        <f>IFERROR(__xludf.DUMMYFUNCTION("""COMPUTED_VALUE"""),5.62)</f>
        <v>5.62</v>
      </c>
      <c r="F5797" s="2"/>
      <c r="G5797" s="2"/>
      <c r="H5797" s="2"/>
      <c r="I5797" s="2"/>
    </row>
    <row r="5798">
      <c r="A5798" s="2">
        <f>IFERROR(__xludf.DUMMYFUNCTION("""COMPUTED_VALUE"""),2044.0)</f>
        <v>2044</v>
      </c>
      <c r="B5798" s="2" t="str">
        <f>IFERROR(__xludf.DUMMYFUNCTION("""COMPUTED_VALUE"""),"Tech")</f>
        <v>Tech</v>
      </c>
      <c r="C5798" s="2" t="str">
        <f>IFERROR(__xludf.DUMMYFUNCTION("""COMPUTED_VALUE"""),"Psychiatry")</f>
        <v>Psychiatry</v>
      </c>
      <c r="D5798" s="2" t="str">
        <f>IFERROR(__xludf.DUMMYFUNCTION("""COMPUTED_VALUE"""),"Harborbridge Publishing House")</f>
        <v>Harborbridge Publishing House</v>
      </c>
      <c r="E5798" s="2">
        <f>IFERROR(__xludf.DUMMYFUNCTION("""COMPUTED_VALUE"""),6.11)</f>
        <v>6.11</v>
      </c>
      <c r="F5798" s="2"/>
      <c r="G5798" s="2"/>
      <c r="H5798" s="2"/>
      <c r="I5798" s="2"/>
    </row>
    <row r="5799">
      <c r="A5799" s="2">
        <f>IFERROR(__xludf.DUMMYFUNCTION("""COMPUTED_VALUE"""),188354.0)</f>
        <v>188354</v>
      </c>
      <c r="B5799" s="2" t="str">
        <f>IFERROR(__xludf.DUMMYFUNCTION("""COMPUTED_VALUE"""),"Tech")</f>
        <v>Tech</v>
      </c>
      <c r="C5799" s="2" t="str">
        <f>IFERROR(__xludf.DUMMYFUNCTION("""COMPUTED_VALUE"""),"Psychiatry")</f>
        <v>Psychiatry</v>
      </c>
      <c r="D5799" s="2" t="str">
        <f>IFERROR(__xludf.DUMMYFUNCTION("""COMPUTED_VALUE"""),"Harborbridge Publishing House")</f>
        <v>Harborbridge Publishing House</v>
      </c>
      <c r="E5799" s="2">
        <f>IFERROR(__xludf.DUMMYFUNCTION("""COMPUTED_VALUE"""),5.39)</f>
        <v>5.39</v>
      </c>
      <c r="F5799" s="2"/>
      <c r="G5799" s="2"/>
      <c r="H5799" s="2"/>
      <c r="I5799" s="2"/>
    </row>
    <row r="5800">
      <c r="A5800" s="2">
        <f>IFERROR(__xludf.DUMMYFUNCTION("""COMPUTED_VALUE"""),27848.0)</f>
        <v>27848</v>
      </c>
      <c r="B5800" s="2" t="str">
        <f>IFERROR(__xludf.DUMMYFUNCTION("""COMPUTED_VALUE"""),"Tech")</f>
        <v>Tech</v>
      </c>
      <c r="C5800" s="2" t="str">
        <f>IFERROR(__xludf.DUMMYFUNCTION("""COMPUTED_VALUE"""),"Psychiatry")</f>
        <v>Psychiatry</v>
      </c>
      <c r="D5800" s="2" t="str">
        <f>IFERROR(__xludf.DUMMYFUNCTION("""COMPUTED_VALUE"""),"Harborbridge Publishing House")</f>
        <v>Harborbridge Publishing House</v>
      </c>
      <c r="E5800" s="2">
        <f>IFERROR(__xludf.DUMMYFUNCTION("""COMPUTED_VALUE"""),6.21)</f>
        <v>6.21</v>
      </c>
      <c r="F5800" s="2"/>
      <c r="G5800" s="2"/>
      <c r="H5800" s="2"/>
      <c r="I5800" s="2"/>
    </row>
    <row r="5801">
      <c r="A5801" s="2">
        <f>IFERROR(__xludf.DUMMYFUNCTION("""COMPUTED_VALUE"""),45642.0)</f>
        <v>45642</v>
      </c>
      <c r="B5801" s="2" t="str">
        <f>IFERROR(__xludf.DUMMYFUNCTION("""COMPUTED_VALUE"""),"Tech")</f>
        <v>Tech</v>
      </c>
      <c r="C5801" s="2" t="str">
        <f>IFERROR(__xludf.DUMMYFUNCTION("""COMPUTED_VALUE"""),"Psychiatry")</f>
        <v>Psychiatry</v>
      </c>
      <c r="D5801" s="2" t="str">
        <f>IFERROR(__xludf.DUMMYFUNCTION("""COMPUTED_VALUE"""),"Harborbridge Publishing House")</f>
        <v>Harborbridge Publishing House</v>
      </c>
      <c r="E5801" s="2">
        <f>IFERROR(__xludf.DUMMYFUNCTION("""COMPUTED_VALUE"""),2.76)</f>
        <v>2.76</v>
      </c>
      <c r="F5801" s="2"/>
      <c r="G5801" s="2"/>
      <c r="H5801" s="2"/>
      <c r="I5801" s="2"/>
    </row>
    <row r="5802">
      <c r="A5802" s="2">
        <f>IFERROR(__xludf.DUMMYFUNCTION("""COMPUTED_VALUE"""),79815.0)</f>
        <v>79815</v>
      </c>
      <c r="B5802" s="2" t="str">
        <f>IFERROR(__xludf.DUMMYFUNCTION("""COMPUTED_VALUE"""),"Tech")</f>
        <v>Tech</v>
      </c>
      <c r="C5802" s="2" t="str">
        <f>IFERROR(__xludf.DUMMYFUNCTION("""COMPUTED_VALUE"""),"Psychiatry")</f>
        <v>Psychiatry</v>
      </c>
      <c r="D5802" s="2" t="str">
        <f>IFERROR(__xludf.DUMMYFUNCTION("""COMPUTED_VALUE"""),"Harborbridge Publishing House")</f>
        <v>Harborbridge Publishing House</v>
      </c>
      <c r="E5802" s="2">
        <f>IFERROR(__xludf.DUMMYFUNCTION("""COMPUTED_VALUE"""),6.04)</f>
        <v>6.04</v>
      </c>
      <c r="F5802" s="2"/>
      <c r="G5802" s="2"/>
      <c r="H5802" s="2"/>
      <c r="I5802" s="2"/>
    </row>
    <row r="5803">
      <c r="A5803" s="2">
        <f>IFERROR(__xludf.DUMMYFUNCTION("""COMPUTED_VALUE"""),87643.0)</f>
        <v>87643</v>
      </c>
      <c r="B5803" s="2" t="str">
        <f>IFERROR(__xludf.DUMMYFUNCTION("""COMPUTED_VALUE"""),"Tech")</f>
        <v>Tech</v>
      </c>
      <c r="C5803" s="2" t="str">
        <f>IFERROR(__xludf.DUMMYFUNCTION("""COMPUTED_VALUE"""),"Psychiatry")</f>
        <v>Psychiatry</v>
      </c>
      <c r="D5803" s="2" t="str">
        <f>IFERROR(__xludf.DUMMYFUNCTION("""COMPUTED_VALUE"""),"Harborbridge Publishing House")</f>
        <v>Harborbridge Publishing House</v>
      </c>
      <c r="E5803" s="2">
        <f>IFERROR(__xludf.DUMMYFUNCTION("""COMPUTED_VALUE"""),6.5)</f>
        <v>6.5</v>
      </c>
      <c r="F5803" s="2"/>
      <c r="G5803" s="2"/>
      <c r="H5803" s="2"/>
      <c r="I5803" s="2"/>
    </row>
    <row r="5804">
      <c r="A5804" s="2">
        <f>IFERROR(__xludf.DUMMYFUNCTION("""COMPUTED_VALUE"""),30501.0)</f>
        <v>30501</v>
      </c>
      <c r="B5804" s="2" t="str">
        <f>IFERROR(__xludf.DUMMYFUNCTION("""COMPUTED_VALUE"""),"Tech")</f>
        <v>Tech</v>
      </c>
      <c r="C5804" s="2" t="str">
        <f>IFERROR(__xludf.DUMMYFUNCTION("""COMPUTED_VALUE"""),"Psychiatry")</f>
        <v>Psychiatry</v>
      </c>
      <c r="D5804" s="2" t="str">
        <f>IFERROR(__xludf.DUMMYFUNCTION("""COMPUTED_VALUE"""),"Harborbridge Publishing House")</f>
        <v>Harborbridge Publishing House</v>
      </c>
      <c r="E5804" s="2">
        <f>IFERROR(__xludf.DUMMYFUNCTION("""COMPUTED_VALUE"""),6.27)</f>
        <v>6.27</v>
      </c>
      <c r="F5804" s="2"/>
      <c r="G5804" s="2"/>
      <c r="H5804" s="2"/>
      <c r="I5804" s="2"/>
    </row>
    <row r="5805">
      <c r="A5805" s="2">
        <f>IFERROR(__xludf.DUMMYFUNCTION("""COMPUTED_VALUE"""),118198.0)</f>
        <v>118198</v>
      </c>
      <c r="B5805" s="2" t="str">
        <f>IFERROR(__xludf.DUMMYFUNCTION("""COMPUTED_VALUE"""),"Tech")</f>
        <v>Tech</v>
      </c>
      <c r="C5805" s="2" t="str">
        <f>IFERROR(__xludf.DUMMYFUNCTION("""COMPUTED_VALUE"""),"Psychiatry")</f>
        <v>Psychiatry</v>
      </c>
      <c r="D5805" s="2" t="str">
        <f>IFERROR(__xludf.DUMMYFUNCTION("""COMPUTED_VALUE"""),"Harborbridge Publishing House")</f>
        <v>Harborbridge Publishing House</v>
      </c>
      <c r="E5805" s="2">
        <f>IFERROR(__xludf.DUMMYFUNCTION("""COMPUTED_VALUE"""),5.36)</f>
        <v>5.36</v>
      </c>
      <c r="F5805" s="2"/>
      <c r="G5805" s="2"/>
      <c r="H5805" s="2"/>
      <c r="I5805" s="2"/>
    </row>
    <row r="5806">
      <c r="A5806" s="2">
        <f>IFERROR(__xludf.DUMMYFUNCTION("""COMPUTED_VALUE"""),4891.0)</f>
        <v>4891</v>
      </c>
      <c r="B5806" s="2" t="str">
        <f>IFERROR(__xludf.DUMMYFUNCTION("""COMPUTED_VALUE"""),"Tech")</f>
        <v>Tech</v>
      </c>
      <c r="C5806" s="2" t="str">
        <f>IFERROR(__xludf.DUMMYFUNCTION("""COMPUTED_VALUE"""),"Psychiatry")</f>
        <v>Psychiatry</v>
      </c>
      <c r="D5806" s="2" t="str">
        <f>IFERROR(__xludf.DUMMYFUNCTION("""COMPUTED_VALUE"""),"Harborbridge Publishing House")</f>
        <v>Harborbridge Publishing House</v>
      </c>
      <c r="E5806" s="2">
        <f>IFERROR(__xludf.DUMMYFUNCTION("""COMPUTED_VALUE"""),5.2)</f>
        <v>5.2</v>
      </c>
      <c r="F5806" s="2"/>
      <c r="G5806" s="2"/>
      <c r="H5806" s="2"/>
      <c r="I5806" s="2"/>
    </row>
    <row r="5807">
      <c r="A5807" s="2">
        <f>IFERROR(__xludf.DUMMYFUNCTION("""COMPUTED_VALUE"""),23050.0)</f>
        <v>23050</v>
      </c>
      <c r="B5807" s="2" t="str">
        <f>IFERROR(__xludf.DUMMYFUNCTION("""COMPUTED_VALUE"""),"Tech")</f>
        <v>Tech</v>
      </c>
      <c r="C5807" s="2" t="str">
        <f>IFERROR(__xludf.DUMMYFUNCTION("""COMPUTED_VALUE"""),"Psychiatry")</f>
        <v>Psychiatry</v>
      </c>
      <c r="D5807" s="2" t="str">
        <f>IFERROR(__xludf.DUMMYFUNCTION("""COMPUTED_VALUE"""),"Harborbridge Publishing House")</f>
        <v>Harborbridge Publishing House</v>
      </c>
      <c r="E5807" s="2">
        <f>IFERROR(__xludf.DUMMYFUNCTION("""COMPUTED_VALUE"""),8.38)</f>
        <v>8.38</v>
      </c>
      <c r="F5807" s="2"/>
      <c r="G5807" s="2"/>
      <c r="H5807" s="2"/>
      <c r="I5807" s="2"/>
    </row>
    <row r="5808">
      <c r="A5808" s="2">
        <f>IFERROR(__xludf.DUMMYFUNCTION("""COMPUTED_VALUE"""),94612.0)</f>
        <v>94612</v>
      </c>
      <c r="B5808" s="2" t="str">
        <f>IFERROR(__xludf.DUMMYFUNCTION("""COMPUTED_VALUE"""),"Tech")</f>
        <v>Tech</v>
      </c>
      <c r="C5808" s="2" t="str">
        <f>IFERROR(__xludf.DUMMYFUNCTION("""COMPUTED_VALUE"""),"Psychiatry")</f>
        <v>Psychiatry</v>
      </c>
      <c r="D5808" s="2" t="str">
        <f>IFERROR(__xludf.DUMMYFUNCTION("""COMPUTED_VALUE"""),"Harborbridge Publishing House")</f>
        <v>Harborbridge Publishing House</v>
      </c>
      <c r="E5808" s="2">
        <f>IFERROR(__xludf.DUMMYFUNCTION("""COMPUTED_VALUE"""),5.73)</f>
        <v>5.73</v>
      </c>
      <c r="F5808" s="2"/>
      <c r="G5808" s="2"/>
      <c r="H5808" s="2"/>
      <c r="I5808" s="2"/>
    </row>
    <row r="5809">
      <c r="A5809" s="2">
        <f>IFERROR(__xludf.DUMMYFUNCTION("""COMPUTED_VALUE"""),109983.0)</f>
        <v>109983</v>
      </c>
      <c r="B5809" s="2" t="str">
        <f>IFERROR(__xludf.DUMMYFUNCTION("""COMPUTED_VALUE"""),"Tech")</f>
        <v>Tech</v>
      </c>
      <c r="C5809" s="2" t="str">
        <f>IFERROR(__xludf.DUMMYFUNCTION("""COMPUTED_VALUE"""),"Psychiatry")</f>
        <v>Psychiatry</v>
      </c>
      <c r="D5809" s="2" t="str">
        <f>IFERROR(__xludf.DUMMYFUNCTION("""COMPUTED_VALUE"""),"Harborbridge Publishing House")</f>
        <v>Harborbridge Publishing House</v>
      </c>
      <c r="E5809" s="2">
        <f>IFERROR(__xludf.DUMMYFUNCTION("""COMPUTED_VALUE"""),4.7)</f>
        <v>4.7</v>
      </c>
      <c r="F5809" s="2"/>
      <c r="G5809" s="2"/>
      <c r="H5809" s="2"/>
      <c r="I5809" s="2"/>
    </row>
    <row r="5810">
      <c r="A5810" s="2">
        <f>IFERROR(__xludf.DUMMYFUNCTION("""COMPUTED_VALUE"""),110854.0)</f>
        <v>110854</v>
      </c>
      <c r="B5810" s="2" t="str">
        <f>IFERROR(__xludf.DUMMYFUNCTION("""COMPUTED_VALUE"""),"Tech")</f>
        <v>Tech</v>
      </c>
      <c r="C5810" s="2" t="str">
        <f>IFERROR(__xludf.DUMMYFUNCTION("""COMPUTED_VALUE"""),"Psychiatry")</f>
        <v>Psychiatry</v>
      </c>
      <c r="D5810" s="2" t="str">
        <f>IFERROR(__xludf.DUMMYFUNCTION("""COMPUTED_VALUE"""),"Harborbridge Publishing House")</f>
        <v>Harborbridge Publishing House</v>
      </c>
      <c r="E5810" s="2">
        <f>IFERROR(__xludf.DUMMYFUNCTION("""COMPUTED_VALUE"""),6.18)</f>
        <v>6.18</v>
      </c>
      <c r="F5810" s="2"/>
      <c r="G5810" s="2"/>
      <c r="H5810" s="2"/>
      <c r="I5810" s="2"/>
    </row>
    <row r="5811">
      <c r="A5811" s="2">
        <f>IFERROR(__xludf.DUMMYFUNCTION("""COMPUTED_VALUE"""),110414.0)</f>
        <v>110414</v>
      </c>
      <c r="B5811" s="2" t="str">
        <f>IFERROR(__xludf.DUMMYFUNCTION("""COMPUTED_VALUE"""),"Tech")</f>
        <v>Tech</v>
      </c>
      <c r="C5811" s="2" t="str">
        <f>IFERROR(__xludf.DUMMYFUNCTION("""COMPUTED_VALUE"""),"Psychiatry")</f>
        <v>Psychiatry</v>
      </c>
      <c r="D5811" s="2" t="str">
        <f>IFERROR(__xludf.DUMMYFUNCTION("""COMPUTED_VALUE"""),"Harborbridge Publishing House")</f>
        <v>Harborbridge Publishing House</v>
      </c>
      <c r="E5811" s="2">
        <f>IFERROR(__xludf.DUMMYFUNCTION("""COMPUTED_VALUE"""),3.88)</f>
        <v>3.88</v>
      </c>
      <c r="F5811" s="2"/>
      <c r="G5811" s="2"/>
      <c r="H5811" s="2"/>
      <c r="I5811" s="2"/>
    </row>
    <row r="5812">
      <c r="A5812" s="2">
        <f>IFERROR(__xludf.DUMMYFUNCTION("""COMPUTED_VALUE"""),103631.0)</f>
        <v>103631</v>
      </c>
      <c r="B5812" s="2" t="str">
        <f>IFERROR(__xludf.DUMMYFUNCTION("""COMPUTED_VALUE"""),"Tech")</f>
        <v>Tech</v>
      </c>
      <c r="C5812" s="2" t="str">
        <f>IFERROR(__xludf.DUMMYFUNCTION("""COMPUTED_VALUE"""),"Psychiatry")</f>
        <v>Psychiatry</v>
      </c>
      <c r="D5812" s="2" t="str">
        <f>IFERROR(__xludf.DUMMYFUNCTION("""COMPUTED_VALUE"""),"Harborbridge Publishing House")</f>
        <v>Harborbridge Publishing House</v>
      </c>
      <c r="E5812" s="2">
        <f>IFERROR(__xludf.DUMMYFUNCTION("""COMPUTED_VALUE"""),3.93)</f>
        <v>3.93</v>
      </c>
      <c r="F5812" s="2"/>
      <c r="G5812" s="2"/>
      <c r="H5812" s="2"/>
      <c r="I5812" s="2"/>
    </row>
    <row r="5813">
      <c r="A5813" s="2">
        <f>IFERROR(__xludf.DUMMYFUNCTION("""COMPUTED_VALUE"""),111009.0)</f>
        <v>111009</v>
      </c>
      <c r="B5813" s="2" t="str">
        <f>IFERROR(__xludf.DUMMYFUNCTION("""COMPUTED_VALUE"""),"Tech")</f>
        <v>Tech</v>
      </c>
      <c r="C5813" s="2" t="str">
        <f>IFERROR(__xludf.DUMMYFUNCTION("""COMPUTED_VALUE"""),"Psychiatry")</f>
        <v>Psychiatry</v>
      </c>
      <c r="D5813" s="2" t="str">
        <f>IFERROR(__xludf.DUMMYFUNCTION("""COMPUTED_VALUE"""),"Harborbridge Publishing House")</f>
        <v>Harborbridge Publishing House</v>
      </c>
      <c r="E5813" s="2">
        <f>IFERROR(__xludf.DUMMYFUNCTION("""COMPUTED_VALUE"""),5.86)</f>
        <v>5.86</v>
      </c>
      <c r="F5813" s="2"/>
      <c r="G5813" s="2"/>
      <c r="H5813" s="2"/>
      <c r="I5813" s="2"/>
    </row>
    <row r="5814">
      <c r="A5814" s="2">
        <f>IFERROR(__xludf.DUMMYFUNCTION("""COMPUTED_VALUE"""),109213.0)</f>
        <v>109213</v>
      </c>
      <c r="B5814" s="2" t="str">
        <f>IFERROR(__xludf.DUMMYFUNCTION("""COMPUTED_VALUE"""),"Tech")</f>
        <v>Tech</v>
      </c>
      <c r="C5814" s="2" t="str">
        <f>IFERROR(__xludf.DUMMYFUNCTION("""COMPUTED_VALUE"""),"Psychiatry")</f>
        <v>Psychiatry</v>
      </c>
      <c r="D5814" s="2" t="str">
        <f>IFERROR(__xludf.DUMMYFUNCTION("""COMPUTED_VALUE"""),"Harborbridge Publishing House")</f>
        <v>Harborbridge Publishing House</v>
      </c>
      <c r="E5814" s="2">
        <f>IFERROR(__xludf.DUMMYFUNCTION("""COMPUTED_VALUE"""),3.73)</f>
        <v>3.73</v>
      </c>
      <c r="F5814" s="2"/>
      <c r="G5814" s="2"/>
      <c r="H5814" s="2"/>
      <c r="I5814" s="2"/>
    </row>
    <row r="5815">
      <c r="A5815" s="2">
        <f>IFERROR(__xludf.DUMMYFUNCTION("""COMPUTED_VALUE"""),103847.0)</f>
        <v>103847</v>
      </c>
      <c r="B5815" s="2" t="str">
        <f>IFERROR(__xludf.DUMMYFUNCTION("""COMPUTED_VALUE"""),"Tech")</f>
        <v>Tech</v>
      </c>
      <c r="C5815" s="2" t="str">
        <f>IFERROR(__xludf.DUMMYFUNCTION("""COMPUTED_VALUE"""),"Psychiatry")</f>
        <v>Psychiatry</v>
      </c>
      <c r="D5815" s="2" t="str">
        <f>IFERROR(__xludf.DUMMYFUNCTION("""COMPUTED_VALUE"""),"Harborbridge Publishing House")</f>
        <v>Harborbridge Publishing House</v>
      </c>
      <c r="E5815" s="2">
        <f>IFERROR(__xludf.DUMMYFUNCTION("""COMPUTED_VALUE"""),9.23)</f>
        <v>9.23</v>
      </c>
      <c r="F5815" s="2"/>
      <c r="G5815" s="2"/>
      <c r="H5815" s="2"/>
      <c r="I5815" s="2"/>
    </row>
    <row r="5816">
      <c r="A5816" s="2">
        <f>IFERROR(__xludf.DUMMYFUNCTION("""COMPUTED_VALUE"""),96156.0)</f>
        <v>96156</v>
      </c>
      <c r="B5816" s="2" t="str">
        <f>IFERROR(__xludf.DUMMYFUNCTION("""COMPUTED_VALUE"""),"Tech")</f>
        <v>Tech</v>
      </c>
      <c r="C5816" s="2" t="str">
        <f>IFERROR(__xludf.DUMMYFUNCTION("""COMPUTED_VALUE"""),"Psychiatry")</f>
        <v>Psychiatry</v>
      </c>
      <c r="D5816" s="2" t="str">
        <f>IFERROR(__xludf.DUMMYFUNCTION("""COMPUTED_VALUE"""),"Harborbridge Publishing House")</f>
        <v>Harborbridge Publishing House</v>
      </c>
      <c r="E5816" s="2">
        <f>IFERROR(__xludf.DUMMYFUNCTION("""COMPUTED_VALUE"""),6.72)</f>
        <v>6.72</v>
      </c>
      <c r="F5816" s="2"/>
      <c r="G5816" s="2"/>
      <c r="H5816" s="2"/>
      <c r="I5816" s="2"/>
    </row>
    <row r="5817">
      <c r="A5817" s="2">
        <f>IFERROR(__xludf.DUMMYFUNCTION("""COMPUTED_VALUE"""),4887.0)</f>
        <v>4887</v>
      </c>
      <c r="B5817" s="2" t="str">
        <f>IFERROR(__xludf.DUMMYFUNCTION("""COMPUTED_VALUE"""),"Tech")</f>
        <v>Tech</v>
      </c>
      <c r="C5817" s="2" t="str">
        <f>IFERROR(__xludf.DUMMYFUNCTION("""COMPUTED_VALUE"""),"Psychiatry")</f>
        <v>Psychiatry</v>
      </c>
      <c r="D5817" s="2" t="str">
        <f>IFERROR(__xludf.DUMMYFUNCTION("""COMPUTED_VALUE"""),"Harborbridge Publishing House")</f>
        <v>Harborbridge Publishing House</v>
      </c>
      <c r="E5817" s="2">
        <f>IFERROR(__xludf.DUMMYFUNCTION("""COMPUTED_VALUE"""),4.01)</f>
        <v>4.01</v>
      </c>
      <c r="F5817" s="2"/>
      <c r="G5817" s="2"/>
      <c r="H5817" s="2"/>
      <c r="I5817" s="2"/>
    </row>
    <row r="5818">
      <c r="A5818" s="2">
        <f>IFERROR(__xludf.DUMMYFUNCTION("""COMPUTED_VALUE"""),92146.0)</f>
        <v>92146</v>
      </c>
      <c r="B5818" s="2" t="str">
        <f>IFERROR(__xludf.DUMMYFUNCTION("""COMPUTED_VALUE"""),"Tech")</f>
        <v>Tech</v>
      </c>
      <c r="C5818" s="2" t="str">
        <f>IFERROR(__xludf.DUMMYFUNCTION("""COMPUTED_VALUE"""),"Psychiatry")</f>
        <v>Psychiatry</v>
      </c>
      <c r="D5818" s="2" t="str">
        <f>IFERROR(__xludf.DUMMYFUNCTION("""COMPUTED_VALUE"""),"Harborbridge Publishing House")</f>
        <v>Harborbridge Publishing House</v>
      </c>
      <c r="E5818" s="2">
        <f>IFERROR(__xludf.DUMMYFUNCTION("""COMPUTED_VALUE"""),9.38)</f>
        <v>9.38</v>
      </c>
      <c r="F5818" s="2"/>
      <c r="G5818" s="2"/>
      <c r="H5818" s="2"/>
      <c r="I5818" s="2"/>
    </row>
    <row r="5819">
      <c r="A5819" s="2">
        <f>IFERROR(__xludf.DUMMYFUNCTION("""COMPUTED_VALUE"""),122248.0)</f>
        <v>122248</v>
      </c>
      <c r="B5819" s="2" t="str">
        <f>IFERROR(__xludf.DUMMYFUNCTION("""COMPUTED_VALUE"""),"Tech")</f>
        <v>Tech</v>
      </c>
      <c r="C5819" s="2" t="str">
        <f>IFERROR(__xludf.DUMMYFUNCTION("""COMPUTED_VALUE"""),"Psychiatry")</f>
        <v>Psychiatry</v>
      </c>
      <c r="D5819" s="2" t="str">
        <f>IFERROR(__xludf.DUMMYFUNCTION("""COMPUTED_VALUE"""),"Harborbridge Publishing House")</f>
        <v>Harborbridge Publishing House</v>
      </c>
      <c r="E5819" s="2">
        <f>IFERROR(__xludf.DUMMYFUNCTION("""COMPUTED_VALUE"""),4.21)</f>
        <v>4.21</v>
      </c>
      <c r="F5819" s="2"/>
      <c r="G5819" s="2"/>
      <c r="H5819" s="2"/>
      <c r="I5819" s="2"/>
    </row>
    <row r="5820">
      <c r="A5820" s="2">
        <f>IFERROR(__xludf.DUMMYFUNCTION("""COMPUTED_VALUE"""),122251.0)</f>
        <v>122251</v>
      </c>
      <c r="B5820" s="2" t="str">
        <f>IFERROR(__xludf.DUMMYFUNCTION("""COMPUTED_VALUE"""),"Tech")</f>
        <v>Tech</v>
      </c>
      <c r="C5820" s="2" t="str">
        <f>IFERROR(__xludf.DUMMYFUNCTION("""COMPUTED_VALUE"""),"Psychiatry")</f>
        <v>Psychiatry</v>
      </c>
      <c r="D5820" s="2" t="str">
        <f>IFERROR(__xludf.DUMMYFUNCTION("""COMPUTED_VALUE"""),"Harborbridge Publishing House")</f>
        <v>Harborbridge Publishing House</v>
      </c>
      <c r="E5820" s="2">
        <f>IFERROR(__xludf.DUMMYFUNCTION("""COMPUTED_VALUE"""),6.53)</f>
        <v>6.53</v>
      </c>
      <c r="F5820" s="2"/>
      <c r="G5820" s="2"/>
      <c r="H5820" s="2"/>
      <c r="I5820" s="2"/>
    </row>
    <row r="5821">
      <c r="A5821" s="2">
        <f>IFERROR(__xludf.DUMMYFUNCTION("""COMPUTED_VALUE"""),103638.0)</f>
        <v>103638</v>
      </c>
      <c r="B5821" s="2" t="str">
        <f>IFERROR(__xludf.DUMMYFUNCTION("""COMPUTED_VALUE"""),"Tech")</f>
        <v>Tech</v>
      </c>
      <c r="C5821" s="2" t="str">
        <f>IFERROR(__xludf.DUMMYFUNCTION("""COMPUTED_VALUE"""),"Psychiatry")</f>
        <v>Psychiatry</v>
      </c>
      <c r="D5821" s="2" t="str">
        <f>IFERROR(__xludf.DUMMYFUNCTION("""COMPUTED_VALUE"""),"Harborbridge Publishing House")</f>
        <v>Harborbridge Publishing House</v>
      </c>
      <c r="E5821" s="2">
        <f>IFERROR(__xludf.DUMMYFUNCTION("""COMPUTED_VALUE"""),3.95)</f>
        <v>3.95</v>
      </c>
      <c r="F5821" s="2"/>
      <c r="G5821" s="2"/>
      <c r="H5821" s="2"/>
      <c r="I5821" s="2"/>
    </row>
    <row r="5822">
      <c r="A5822" s="2">
        <f>IFERROR(__xludf.DUMMYFUNCTION("""COMPUTED_VALUE"""),111655.0)</f>
        <v>111655</v>
      </c>
      <c r="B5822" s="2" t="str">
        <f>IFERROR(__xludf.DUMMYFUNCTION("""COMPUTED_VALUE"""),"Tech")</f>
        <v>Tech</v>
      </c>
      <c r="C5822" s="2" t="str">
        <f>IFERROR(__xludf.DUMMYFUNCTION("""COMPUTED_VALUE"""),"Psychiatry")</f>
        <v>Psychiatry</v>
      </c>
      <c r="D5822" s="2" t="str">
        <f>IFERROR(__xludf.DUMMYFUNCTION("""COMPUTED_VALUE"""),"Harborbridge Publishing House")</f>
        <v>Harborbridge Publishing House</v>
      </c>
      <c r="E5822" s="2">
        <f>IFERROR(__xludf.DUMMYFUNCTION("""COMPUTED_VALUE"""),4.15)</f>
        <v>4.15</v>
      </c>
      <c r="F5822" s="2"/>
      <c r="G5822" s="2"/>
      <c r="H5822" s="2"/>
      <c r="I5822" s="2"/>
    </row>
    <row r="5823">
      <c r="A5823" s="2">
        <f>IFERROR(__xludf.DUMMYFUNCTION("""COMPUTED_VALUE"""),84201.0)</f>
        <v>84201</v>
      </c>
      <c r="B5823" s="2" t="str">
        <f>IFERROR(__xludf.DUMMYFUNCTION("""COMPUTED_VALUE"""),"Tech")</f>
        <v>Tech</v>
      </c>
      <c r="C5823" s="2" t="str">
        <f>IFERROR(__xludf.DUMMYFUNCTION("""COMPUTED_VALUE"""),"Psychiatry")</f>
        <v>Psychiatry</v>
      </c>
      <c r="D5823" s="2" t="str">
        <f>IFERROR(__xludf.DUMMYFUNCTION("""COMPUTED_VALUE"""),"Harborbridge Publishing House")</f>
        <v>Harborbridge Publishing House</v>
      </c>
      <c r="E5823" s="2">
        <f>IFERROR(__xludf.DUMMYFUNCTION("""COMPUTED_VALUE"""),5.31)</f>
        <v>5.31</v>
      </c>
      <c r="F5823" s="2"/>
      <c r="G5823" s="2"/>
      <c r="H5823" s="2"/>
      <c r="I5823" s="2"/>
    </row>
    <row r="5824">
      <c r="A5824" s="2">
        <f>IFERROR(__xludf.DUMMYFUNCTION("""COMPUTED_VALUE"""),80697.0)</f>
        <v>80697</v>
      </c>
      <c r="B5824" s="2" t="str">
        <f>IFERROR(__xludf.DUMMYFUNCTION("""COMPUTED_VALUE"""),"Tech")</f>
        <v>Tech</v>
      </c>
      <c r="C5824" s="2" t="str">
        <f>IFERROR(__xludf.DUMMYFUNCTION("""COMPUTED_VALUE"""),"Psychiatry")</f>
        <v>Psychiatry</v>
      </c>
      <c r="D5824" s="2" t="str">
        <f>IFERROR(__xludf.DUMMYFUNCTION("""COMPUTED_VALUE"""),"Harborbridge Publishing House")</f>
        <v>Harborbridge Publishing House</v>
      </c>
      <c r="E5824" s="2">
        <f>IFERROR(__xludf.DUMMYFUNCTION("""COMPUTED_VALUE"""),6.51)</f>
        <v>6.51</v>
      </c>
      <c r="F5824" s="2"/>
      <c r="G5824" s="2"/>
      <c r="H5824" s="2"/>
      <c r="I5824" s="2"/>
    </row>
    <row r="5825">
      <c r="A5825" s="2">
        <f>IFERROR(__xludf.DUMMYFUNCTION("""COMPUTED_VALUE"""),117394.0)</f>
        <v>117394</v>
      </c>
      <c r="B5825" s="2" t="str">
        <f>IFERROR(__xludf.DUMMYFUNCTION("""COMPUTED_VALUE"""),"Tech")</f>
        <v>Tech</v>
      </c>
      <c r="C5825" s="2" t="str">
        <f>IFERROR(__xludf.DUMMYFUNCTION("""COMPUTED_VALUE"""),"Psychiatry")</f>
        <v>Psychiatry</v>
      </c>
      <c r="D5825" s="2" t="str">
        <f>IFERROR(__xludf.DUMMYFUNCTION("""COMPUTED_VALUE"""),"Harborbridge Publishing House")</f>
        <v>Harborbridge Publishing House</v>
      </c>
      <c r="E5825" s="2">
        <f>IFERROR(__xludf.DUMMYFUNCTION("""COMPUTED_VALUE"""),5.11)</f>
        <v>5.11</v>
      </c>
      <c r="F5825" s="2"/>
      <c r="G5825" s="2"/>
      <c r="H5825" s="2"/>
      <c r="I5825" s="2"/>
    </row>
    <row r="5826">
      <c r="A5826" s="2">
        <f>IFERROR(__xludf.DUMMYFUNCTION("""COMPUTED_VALUE"""),103636.0)</f>
        <v>103636</v>
      </c>
      <c r="B5826" s="2" t="str">
        <f>IFERROR(__xludf.DUMMYFUNCTION("""COMPUTED_VALUE"""),"Tech")</f>
        <v>Tech</v>
      </c>
      <c r="C5826" s="2" t="str">
        <f>IFERROR(__xludf.DUMMYFUNCTION("""COMPUTED_VALUE"""),"Psychiatry")</f>
        <v>Psychiatry</v>
      </c>
      <c r="D5826" s="2" t="str">
        <f>IFERROR(__xludf.DUMMYFUNCTION("""COMPUTED_VALUE"""),"Harborbridge Publishing House")</f>
        <v>Harborbridge Publishing House</v>
      </c>
      <c r="E5826" s="2">
        <f>IFERROR(__xludf.DUMMYFUNCTION("""COMPUTED_VALUE"""),4.01)</f>
        <v>4.01</v>
      </c>
      <c r="F5826" s="2"/>
      <c r="G5826" s="2"/>
      <c r="H5826" s="2"/>
      <c r="I5826" s="2"/>
    </row>
    <row r="5827">
      <c r="A5827" s="2">
        <f>IFERROR(__xludf.DUMMYFUNCTION("""COMPUTED_VALUE"""),67001.0)</f>
        <v>67001</v>
      </c>
      <c r="B5827" s="2" t="str">
        <f>IFERROR(__xludf.DUMMYFUNCTION("""COMPUTED_VALUE"""),"Tech")</f>
        <v>Tech</v>
      </c>
      <c r="C5827" s="2" t="str">
        <f>IFERROR(__xludf.DUMMYFUNCTION("""COMPUTED_VALUE"""),"Psychiatry")</f>
        <v>Psychiatry</v>
      </c>
      <c r="D5827" s="2" t="str">
        <f>IFERROR(__xludf.DUMMYFUNCTION("""COMPUTED_VALUE"""),"Harborbridge Publishing House")</f>
        <v>Harborbridge Publishing House</v>
      </c>
      <c r="E5827" s="2">
        <f>IFERROR(__xludf.DUMMYFUNCTION("""COMPUTED_VALUE"""),6.01)</f>
        <v>6.01</v>
      </c>
      <c r="F5827" s="2"/>
      <c r="G5827" s="2"/>
      <c r="H5827" s="2"/>
      <c r="I5827" s="2"/>
    </row>
    <row r="5828">
      <c r="A5828" s="2">
        <f>IFERROR(__xludf.DUMMYFUNCTION("""COMPUTED_VALUE"""),2148.0)</f>
        <v>2148</v>
      </c>
      <c r="B5828" s="2" t="str">
        <f>IFERROR(__xludf.DUMMYFUNCTION("""COMPUTED_VALUE"""),"Tech")</f>
        <v>Tech</v>
      </c>
      <c r="C5828" s="2" t="str">
        <f>IFERROR(__xludf.DUMMYFUNCTION("""COMPUTED_VALUE"""),"Psychiatry")</f>
        <v>Psychiatry</v>
      </c>
      <c r="D5828" s="2" t="str">
        <f>IFERROR(__xludf.DUMMYFUNCTION("""COMPUTED_VALUE"""),"Harborbridge Publishing House")</f>
        <v>Harborbridge Publishing House</v>
      </c>
      <c r="E5828" s="2">
        <f>IFERROR(__xludf.DUMMYFUNCTION("""COMPUTED_VALUE"""),3.84)</f>
        <v>3.84</v>
      </c>
      <c r="F5828" s="2"/>
      <c r="G5828" s="2"/>
      <c r="H5828" s="2"/>
      <c r="I5828" s="2"/>
    </row>
    <row r="5829">
      <c r="A5829" s="2">
        <f>IFERROR(__xludf.DUMMYFUNCTION("""COMPUTED_VALUE"""),111672.0)</f>
        <v>111672</v>
      </c>
      <c r="B5829" s="2" t="str">
        <f>IFERROR(__xludf.DUMMYFUNCTION("""COMPUTED_VALUE"""),"Tech")</f>
        <v>Tech</v>
      </c>
      <c r="C5829" s="2" t="str">
        <f>IFERROR(__xludf.DUMMYFUNCTION("""COMPUTED_VALUE"""),"Psychiatry")</f>
        <v>Psychiatry</v>
      </c>
      <c r="D5829" s="2" t="str">
        <f>IFERROR(__xludf.DUMMYFUNCTION("""COMPUTED_VALUE"""),"Harborbridge Publishing House")</f>
        <v>Harborbridge Publishing House</v>
      </c>
      <c r="E5829" s="2">
        <f>IFERROR(__xludf.DUMMYFUNCTION("""COMPUTED_VALUE"""),4.24)</f>
        <v>4.24</v>
      </c>
      <c r="F5829" s="2"/>
      <c r="G5829" s="2"/>
      <c r="H5829" s="2"/>
      <c r="I5829" s="2"/>
    </row>
    <row r="5830">
      <c r="A5830" s="2">
        <f>IFERROR(__xludf.DUMMYFUNCTION("""COMPUTED_VALUE"""),80696.0)</f>
        <v>80696</v>
      </c>
      <c r="B5830" s="2" t="str">
        <f>IFERROR(__xludf.DUMMYFUNCTION("""COMPUTED_VALUE"""),"Tech")</f>
        <v>Tech</v>
      </c>
      <c r="C5830" s="2" t="str">
        <f>IFERROR(__xludf.DUMMYFUNCTION("""COMPUTED_VALUE"""),"Psychiatry")</f>
        <v>Psychiatry</v>
      </c>
      <c r="D5830" s="2" t="str">
        <f>IFERROR(__xludf.DUMMYFUNCTION("""COMPUTED_VALUE"""),"Harborbridge Publishing House")</f>
        <v>Harborbridge Publishing House</v>
      </c>
      <c r="E5830" s="2">
        <f>IFERROR(__xludf.DUMMYFUNCTION("""COMPUTED_VALUE"""),9.15)</f>
        <v>9.15</v>
      </c>
      <c r="F5830" s="2"/>
      <c r="G5830" s="2"/>
      <c r="H5830" s="2"/>
      <c r="I5830" s="2"/>
    </row>
    <row r="5831">
      <c r="A5831" s="2">
        <f>IFERROR(__xludf.DUMMYFUNCTION("""COMPUTED_VALUE"""),96853.0)</f>
        <v>96853</v>
      </c>
      <c r="B5831" s="2" t="str">
        <f>IFERROR(__xludf.DUMMYFUNCTION("""COMPUTED_VALUE"""),"Tech")</f>
        <v>Tech</v>
      </c>
      <c r="C5831" s="2" t="str">
        <f>IFERROR(__xludf.DUMMYFUNCTION("""COMPUTED_VALUE"""),"Psychiatry")</f>
        <v>Psychiatry</v>
      </c>
      <c r="D5831" s="2" t="str">
        <f>IFERROR(__xludf.DUMMYFUNCTION("""COMPUTED_VALUE"""),"Harborbridge Publishing House")</f>
        <v>Harborbridge Publishing House</v>
      </c>
      <c r="E5831" s="2">
        <f>IFERROR(__xludf.DUMMYFUNCTION("""COMPUTED_VALUE"""),6.1)</f>
        <v>6.1</v>
      </c>
      <c r="F5831" s="2"/>
      <c r="G5831" s="2"/>
      <c r="H5831" s="2"/>
      <c r="I5831" s="2"/>
    </row>
    <row r="5832">
      <c r="A5832" s="2">
        <f>IFERROR(__xludf.DUMMYFUNCTION("""COMPUTED_VALUE"""),117388.0)</f>
        <v>117388</v>
      </c>
      <c r="B5832" s="2" t="str">
        <f>IFERROR(__xludf.DUMMYFUNCTION("""COMPUTED_VALUE"""),"Tech")</f>
        <v>Tech</v>
      </c>
      <c r="C5832" s="2" t="str">
        <f>IFERROR(__xludf.DUMMYFUNCTION("""COMPUTED_VALUE"""),"Psychiatry")</f>
        <v>Psychiatry</v>
      </c>
      <c r="D5832" s="2" t="str">
        <f>IFERROR(__xludf.DUMMYFUNCTION("""COMPUTED_VALUE"""),"Harborbridge Publishing House")</f>
        <v>Harborbridge Publishing House</v>
      </c>
      <c r="E5832" s="2">
        <f>IFERROR(__xludf.DUMMYFUNCTION("""COMPUTED_VALUE"""),3.63)</f>
        <v>3.63</v>
      </c>
      <c r="F5832" s="2"/>
      <c r="G5832" s="2"/>
      <c r="H5832" s="2"/>
      <c r="I5832" s="2"/>
    </row>
    <row r="5833">
      <c r="A5833" s="2">
        <f>IFERROR(__xludf.DUMMYFUNCTION("""COMPUTED_VALUE"""),109971.0)</f>
        <v>109971</v>
      </c>
      <c r="B5833" s="2" t="str">
        <f>IFERROR(__xludf.DUMMYFUNCTION("""COMPUTED_VALUE"""),"Tech")</f>
        <v>Tech</v>
      </c>
      <c r="C5833" s="2" t="str">
        <f>IFERROR(__xludf.DUMMYFUNCTION("""COMPUTED_VALUE"""),"Psychiatry")</f>
        <v>Psychiatry</v>
      </c>
      <c r="D5833" s="2" t="str">
        <f>IFERROR(__xludf.DUMMYFUNCTION("""COMPUTED_VALUE"""),"Harborbridge Publishing House")</f>
        <v>Harborbridge Publishing House</v>
      </c>
      <c r="E5833" s="2">
        <f>IFERROR(__xludf.DUMMYFUNCTION("""COMPUTED_VALUE"""),4.39)</f>
        <v>4.39</v>
      </c>
      <c r="F5833" s="2"/>
      <c r="G5833" s="2"/>
      <c r="H5833" s="2"/>
      <c r="I5833" s="2"/>
    </row>
    <row r="5834">
      <c r="A5834" s="2">
        <f>IFERROR(__xludf.DUMMYFUNCTION("""COMPUTED_VALUE"""),122247.0)</f>
        <v>122247</v>
      </c>
      <c r="B5834" s="2" t="str">
        <f>IFERROR(__xludf.DUMMYFUNCTION("""COMPUTED_VALUE"""),"Tech")</f>
        <v>Tech</v>
      </c>
      <c r="C5834" s="2" t="str">
        <f>IFERROR(__xludf.DUMMYFUNCTION("""COMPUTED_VALUE"""),"Psychiatry")</f>
        <v>Psychiatry</v>
      </c>
      <c r="D5834" s="2" t="str">
        <f>IFERROR(__xludf.DUMMYFUNCTION("""COMPUTED_VALUE"""),"Harborbridge Publishing House")</f>
        <v>Harborbridge Publishing House</v>
      </c>
      <c r="E5834" s="2">
        <f>IFERROR(__xludf.DUMMYFUNCTION("""COMPUTED_VALUE"""),5.97)</f>
        <v>5.97</v>
      </c>
      <c r="F5834" s="2"/>
      <c r="G5834" s="2"/>
      <c r="H5834" s="2"/>
      <c r="I5834" s="2"/>
    </row>
    <row r="5835">
      <c r="A5835" s="2">
        <f>IFERROR(__xludf.DUMMYFUNCTION("""COMPUTED_VALUE"""),103635.0)</f>
        <v>103635</v>
      </c>
      <c r="B5835" s="2" t="str">
        <f>IFERROR(__xludf.DUMMYFUNCTION("""COMPUTED_VALUE"""),"Tech")</f>
        <v>Tech</v>
      </c>
      <c r="C5835" s="2" t="str">
        <f>IFERROR(__xludf.DUMMYFUNCTION("""COMPUTED_VALUE"""),"Psychiatry")</f>
        <v>Psychiatry</v>
      </c>
      <c r="D5835" s="2" t="str">
        <f>IFERROR(__xludf.DUMMYFUNCTION("""COMPUTED_VALUE"""),"Harborbridge Publishing House")</f>
        <v>Harborbridge Publishing House</v>
      </c>
      <c r="E5835" s="2">
        <f>IFERROR(__xludf.DUMMYFUNCTION("""COMPUTED_VALUE"""),4.22)</f>
        <v>4.22</v>
      </c>
      <c r="F5835" s="2"/>
      <c r="G5835" s="2"/>
      <c r="H5835" s="2"/>
      <c r="I5835" s="2"/>
    </row>
    <row r="5836">
      <c r="A5836" s="2">
        <f>IFERROR(__xludf.DUMMYFUNCTION("""COMPUTED_VALUE"""),122295.0)</f>
        <v>122295</v>
      </c>
      <c r="B5836" s="2" t="str">
        <f>IFERROR(__xludf.DUMMYFUNCTION("""COMPUTED_VALUE"""),"Tech")</f>
        <v>Tech</v>
      </c>
      <c r="C5836" s="2" t="str">
        <f>IFERROR(__xludf.DUMMYFUNCTION("""COMPUTED_VALUE"""),"Psychiatry")</f>
        <v>Psychiatry</v>
      </c>
      <c r="D5836" s="2" t="str">
        <f>IFERROR(__xludf.DUMMYFUNCTION("""COMPUTED_VALUE"""),"Harborbridge Publishing House")</f>
        <v>Harborbridge Publishing House</v>
      </c>
      <c r="E5836" s="2">
        <f>IFERROR(__xludf.DUMMYFUNCTION("""COMPUTED_VALUE"""),0.69)</f>
        <v>0.69</v>
      </c>
      <c r="F5836" s="2"/>
      <c r="G5836" s="2"/>
      <c r="H5836" s="2"/>
      <c r="I5836" s="2"/>
    </row>
    <row r="5837">
      <c r="A5837" s="2">
        <f>IFERROR(__xludf.DUMMYFUNCTION("""COMPUTED_VALUE"""),118351.0)</f>
        <v>118351</v>
      </c>
      <c r="B5837" s="2" t="str">
        <f>IFERROR(__xludf.DUMMYFUNCTION("""COMPUTED_VALUE"""),"Tech")</f>
        <v>Tech</v>
      </c>
      <c r="C5837" s="2" t="str">
        <f>IFERROR(__xludf.DUMMYFUNCTION("""COMPUTED_VALUE"""),"Psychiatry")</f>
        <v>Psychiatry</v>
      </c>
      <c r="D5837" s="2" t="str">
        <f>IFERROR(__xludf.DUMMYFUNCTION("""COMPUTED_VALUE"""),"Cedarbridge Publishing House")</f>
        <v>Cedarbridge Publishing House</v>
      </c>
      <c r="E5837" s="2">
        <f>IFERROR(__xludf.DUMMYFUNCTION("""COMPUTED_VALUE"""),3.25)</f>
        <v>3.25</v>
      </c>
      <c r="F5837" s="2"/>
      <c r="G5837" s="2"/>
      <c r="H5837" s="2"/>
      <c r="I5837" s="2"/>
    </row>
    <row r="5838">
      <c r="A5838" s="2">
        <f>IFERROR(__xludf.DUMMYFUNCTION("""COMPUTED_VALUE"""),91624.0)</f>
        <v>91624</v>
      </c>
      <c r="B5838" s="2" t="str">
        <f>IFERROR(__xludf.DUMMYFUNCTION("""COMPUTED_VALUE"""),"Tech")</f>
        <v>Tech</v>
      </c>
      <c r="C5838" s="2" t="str">
        <f>IFERROR(__xludf.DUMMYFUNCTION("""COMPUTED_VALUE"""),"Psychiatry")</f>
        <v>Psychiatry</v>
      </c>
      <c r="D5838" s="2" t="str">
        <f>IFERROR(__xludf.DUMMYFUNCTION("""COMPUTED_VALUE"""),"Cedarbridge Publishing House")</f>
        <v>Cedarbridge Publishing House</v>
      </c>
      <c r="E5838" s="2">
        <f>IFERROR(__xludf.DUMMYFUNCTION("""COMPUTED_VALUE"""),4.39)</f>
        <v>4.39</v>
      </c>
      <c r="F5838" s="2"/>
      <c r="G5838" s="2"/>
      <c r="H5838" s="2"/>
      <c r="I5838" s="2"/>
    </row>
    <row r="5839">
      <c r="A5839" s="2">
        <f>IFERROR(__xludf.DUMMYFUNCTION("""COMPUTED_VALUE"""),27765.0)</f>
        <v>27765</v>
      </c>
      <c r="B5839" s="2" t="str">
        <f>IFERROR(__xludf.DUMMYFUNCTION("""COMPUTED_VALUE"""),"Tech")</f>
        <v>Tech</v>
      </c>
      <c r="C5839" s="2" t="str">
        <f>IFERROR(__xludf.DUMMYFUNCTION("""COMPUTED_VALUE"""),"Psychiatry")</f>
        <v>Psychiatry</v>
      </c>
      <c r="D5839" s="2" t="str">
        <f>IFERROR(__xludf.DUMMYFUNCTION("""COMPUTED_VALUE"""),"Cedarbridge Publishing House")</f>
        <v>Cedarbridge Publishing House</v>
      </c>
      <c r="E5839" s="2">
        <f>IFERROR(__xludf.DUMMYFUNCTION("""COMPUTED_VALUE"""),5.42)</f>
        <v>5.42</v>
      </c>
      <c r="F5839" s="2"/>
      <c r="G5839" s="2"/>
      <c r="H5839" s="2"/>
      <c r="I5839" s="2"/>
    </row>
    <row r="5840">
      <c r="A5840" s="2">
        <f>IFERROR(__xludf.DUMMYFUNCTION("""COMPUTED_VALUE"""),26313.0)</f>
        <v>26313</v>
      </c>
      <c r="B5840" s="2" t="str">
        <f>IFERROR(__xludf.DUMMYFUNCTION("""COMPUTED_VALUE"""),"Tech")</f>
        <v>Tech</v>
      </c>
      <c r="C5840" s="2" t="str">
        <f>IFERROR(__xludf.DUMMYFUNCTION("""COMPUTED_VALUE"""),"Psychiatry")</f>
        <v>Psychiatry</v>
      </c>
      <c r="D5840" s="2" t="str">
        <f>IFERROR(__xludf.DUMMYFUNCTION("""COMPUTED_VALUE"""),"Cedarbridge Publishing House")</f>
        <v>Cedarbridge Publishing House</v>
      </c>
      <c r="E5840" s="2">
        <f>IFERROR(__xludf.DUMMYFUNCTION("""COMPUTED_VALUE"""),4.44)</f>
        <v>4.44</v>
      </c>
      <c r="F5840" s="2"/>
      <c r="G5840" s="2"/>
      <c r="H5840" s="2"/>
      <c r="I5840" s="2"/>
    </row>
    <row r="5841">
      <c r="A5841" s="2">
        <f>IFERROR(__xludf.DUMMYFUNCTION("""COMPUTED_VALUE"""),26314.0)</f>
        <v>26314</v>
      </c>
      <c r="B5841" s="2" t="str">
        <f>IFERROR(__xludf.DUMMYFUNCTION("""COMPUTED_VALUE"""),"Tech")</f>
        <v>Tech</v>
      </c>
      <c r="C5841" s="2" t="str">
        <f>IFERROR(__xludf.DUMMYFUNCTION("""COMPUTED_VALUE"""),"Psychiatry")</f>
        <v>Psychiatry</v>
      </c>
      <c r="D5841" s="2" t="str">
        <f>IFERROR(__xludf.DUMMYFUNCTION("""COMPUTED_VALUE"""),"Cedarbridge Publishing House")</f>
        <v>Cedarbridge Publishing House</v>
      </c>
      <c r="E5841" s="2">
        <f>IFERROR(__xludf.DUMMYFUNCTION("""COMPUTED_VALUE"""),4.12)</f>
        <v>4.12</v>
      </c>
      <c r="F5841" s="2"/>
      <c r="G5841" s="2"/>
      <c r="H5841" s="2"/>
      <c r="I5841" s="2"/>
    </row>
    <row r="5842">
      <c r="A5842" s="2">
        <f>IFERROR(__xludf.DUMMYFUNCTION("""COMPUTED_VALUE"""),91626.0)</f>
        <v>91626</v>
      </c>
      <c r="B5842" s="2" t="str">
        <f>IFERROR(__xludf.DUMMYFUNCTION("""COMPUTED_VALUE"""),"Tech")</f>
        <v>Tech</v>
      </c>
      <c r="C5842" s="2" t="str">
        <f>IFERROR(__xludf.DUMMYFUNCTION("""COMPUTED_VALUE"""),"Psychiatry")</f>
        <v>Psychiatry</v>
      </c>
      <c r="D5842" s="2" t="str">
        <f>IFERROR(__xludf.DUMMYFUNCTION("""COMPUTED_VALUE"""),"Cedarbridge Publishing House")</f>
        <v>Cedarbridge Publishing House</v>
      </c>
      <c r="E5842" s="2">
        <f>IFERROR(__xludf.DUMMYFUNCTION("""COMPUTED_VALUE"""),4.4)</f>
        <v>4.4</v>
      </c>
      <c r="F5842" s="2"/>
      <c r="G5842" s="2"/>
      <c r="H5842" s="2"/>
      <c r="I5842" s="2"/>
    </row>
    <row r="5843">
      <c r="A5843" s="2">
        <f>IFERROR(__xludf.DUMMYFUNCTION("""COMPUTED_VALUE"""),112264.0)</f>
        <v>112264</v>
      </c>
      <c r="B5843" s="2" t="str">
        <f>IFERROR(__xludf.DUMMYFUNCTION("""COMPUTED_VALUE"""),"Tech")</f>
        <v>Tech</v>
      </c>
      <c r="C5843" s="2" t="str">
        <f>IFERROR(__xludf.DUMMYFUNCTION("""COMPUTED_VALUE"""),"Psychiatry")</f>
        <v>Psychiatry</v>
      </c>
      <c r="D5843" s="2" t="str">
        <f>IFERROR(__xludf.DUMMYFUNCTION("""COMPUTED_VALUE"""),"Cedarbridge Publishing House")</f>
        <v>Cedarbridge Publishing House</v>
      </c>
      <c r="E5843" s="2">
        <f>IFERROR(__xludf.DUMMYFUNCTION("""COMPUTED_VALUE"""),5.12)</f>
        <v>5.12</v>
      </c>
      <c r="F5843" s="2"/>
      <c r="G5843" s="2"/>
      <c r="H5843" s="2"/>
      <c r="I5843" s="2"/>
    </row>
    <row r="5844">
      <c r="A5844" s="2">
        <f>IFERROR(__xludf.DUMMYFUNCTION("""COMPUTED_VALUE"""),27764.0)</f>
        <v>27764</v>
      </c>
      <c r="B5844" s="2" t="str">
        <f>IFERROR(__xludf.DUMMYFUNCTION("""COMPUTED_VALUE"""),"Tech")</f>
        <v>Tech</v>
      </c>
      <c r="C5844" s="2" t="str">
        <f>IFERROR(__xludf.DUMMYFUNCTION("""COMPUTED_VALUE"""),"Psychiatry")</f>
        <v>Psychiatry</v>
      </c>
      <c r="D5844" s="2" t="str">
        <f>IFERROR(__xludf.DUMMYFUNCTION("""COMPUTED_VALUE"""),"Cedarbridge Publishing House")</f>
        <v>Cedarbridge Publishing House</v>
      </c>
      <c r="E5844" s="2">
        <f>IFERROR(__xludf.DUMMYFUNCTION("""COMPUTED_VALUE"""),5.24)</f>
        <v>5.24</v>
      </c>
      <c r="F5844" s="2"/>
      <c r="G5844" s="2"/>
      <c r="H5844" s="2"/>
      <c r="I5844" s="2"/>
    </row>
    <row r="5845">
      <c r="A5845" s="2">
        <f>IFERROR(__xludf.DUMMYFUNCTION("""COMPUTED_VALUE"""),92653.0)</f>
        <v>92653</v>
      </c>
      <c r="B5845" s="2" t="str">
        <f>IFERROR(__xludf.DUMMYFUNCTION("""COMPUTED_VALUE"""),"Tech")</f>
        <v>Tech</v>
      </c>
      <c r="C5845" s="2" t="str">
        <f>IFERROR(__xludf.DUMMYFUNCTION("""COMPUTED_VALUE"""),"Psychiatry")</f>
        <v>Psychiatry</v>
      </c>
      <c r="D5845" s="2" t="str">
        <f>IFERROR(__xludf.DUMMYFUNCTION("""COMPUTED_VALUE"""),"Cedarbridge Publishing House")</f>
        <v>Cedarbridge Publishing House</v>
      </c>
      <c r="E5845" s="2">
        <f>IFERROR(__xludf.DUMMYFUNCTION("""COMPUTED_VALUE"""),7.0)</f>
        <v>7</v>
      </c>
      <c r="F5845" s="2"/>
      <c r="G5845" s="2"/>
      <c r="H5845" s="2"/>
      <c r="I5845" s="2"/>
    </row>
    <row r="5846">
      <c r="A5846" s="2">
        <f>IFERROR(__xludf.DUMMYFUNCTION("""COMPUTED_VALUE"""),117990.0)</f>
        <v>117990</v>
      </c>
      <c r="B5846" s="2" t="str">
        <f>IFERROR(__xludf.DUMMYFUNCTION("""COMPUTED_VALUE"""),"Tech")</f>
        <v>Tech</v>
      </c>
      <c r="C5846" s="2" t="str">
        <f>IFERROR(__xludf.DUMMYFUNCTION("""COMPUTED_VALUE"""),"Psychiatry")</f>
        <v>Psychiatry</v>
      </c>
      <c r="D5846" s="2" t="str">
        <f>IFERROR(__xludf.DUMMYFUNCTION("""COMPUTED_VALUE"""),"Cedarbridge Publishing House")</f>
        <v>Cedarbridge Publishing House</v>
      </c>
      <c r="E5846" s="2">
        <f>IFERROR(__xludf.DUMMYFUNCTION("""COMPUTED_VALUE"""),8.99)</f>
        <v>8.99</v>
      </c>
      <c r="F5846" s="2"/>
      <c r="G5846" s="2"/>
      <c r="H5846" s="2"/>
      <c r="I5846" s="2"/>
    </row>
    <row r="5847">
      <c r="A5847" s="2">
        <f>IFERROR(__xludf.DUMMYFUNCTION("""COMPUTED_VALUE"""),92651.0)</f>
        <v>92651</v>
      </c>
      <c r="B5847" s="2" t="str">
        <f>IFERROR(__xludf.DUMMYFUNCTION("""COMPUTED_VALUE"""),"Tech")</f>
        <v>Tech</v>
      </c>
      <c r="C5847" s="2" t="str">
        <f>IFERROR(__xludf.DUMMYFUNCTION("""COMPUTED_VALUE"""),"Psychiatry")</f>
        <v>Psychiatry</v>
      </c>
      <c r="D5847" s="2" t="str">
        <f>IFERROR(__xludf.DUMMYFUNCTION("""COMPUTED_VALUE"""),"Cedarbridge Publishing House")</f>
        <v>Cedarbridge Publishing House</v>
      </c>
      <c r="E5847" s="2">
        <f>IFERROR(__xludf.DUMMYFUNCTION("""COMPUTED_VALUE"""),3.86)</f>
        <v>3.86</v>
      </c>
      <c r="F5847" s="2"/>
      <c r="G5847" s="2"/>
      <c r="H5847" s="2"/>
      <c r="I5847" s="2"/>
    </row>
    <row r="5848">
      <c r="A5848" s="2">
        <f>IFERROR(__xludf.DUMMYFUNCTION("""COMPUTED_VALUE"""),104143.0)</f>
        <v>104143</v>
      </c>
      <c r="B5848" s="2" t="str">
        <f>IFERROR(__xludf.DUMMYFUNCTION("""COMPUTED_VALUE"""),"Tech")</f>
        <v>Tech</v>
      </c>
      <c r="C5848" s="2" t="str">
        <f>IFERROR(__xludf.DUMMYFUNCTION("""COMPUTED_VALUE"""),"Psychiatry")</f>
        <v>Psychiatry</v>
      </c>
      <c r="D5848" s="2" t="str">
        <f>IFERROR(__xludf.DUMMYFUNCTION("""COMPUTED_VALUE"""),"Cedarbridge Publishing House")</f>
        <v>Cedarbridge Publishing House</v>
      </c>
      <c r="E5848" s="2">
        <f>IFERROR(__xludf.DUMMYFUNCTION("""COMPUTED_VALUE"""),5.12)</f>
        <v>5.12</v>
      </c>
      <c r="F5848" s="2"/>
      <c r="G5848" s="2"/>
      <c r="H5848" s="2"/>
      <c r="I5848" s="2"/>
    </row>
    <row r="5849">
      <c r="A5849" s="2">
        <f>IFERROR(__xludf.DUMMYFUNCTION("""COMPUTED_VALUE"""),48641.0)</f>
        <v>48641</v>
      </c>
      <c r="B5849" s="2" t="str">
        <f>IFERROR(__xludf.DUMMYFUNCTION("""COMPUTED_VALUE"""),"Arts")</f>
        <v>Arts</v>
      </c>
      <c r="C5849" s="2" t="str">
        <f>IFERROR(__xludf.DUMMYFUNCTION("""COMPUTED_VALUE"""),"Public Health")</f>
        <v>Public Health</v>
      </c>
      <c r="D5849" s="2" t="str">
        <f>IFERROR(__xludf.DUMMYFUNCTION("""COMPUTED_VALUE"""),"Brightbridge Publishing House")</f>
        <v>Brightbridge Publishing House</v>
      </c>
      <c r="E5849" s="2">
        <f>IFERROR(__xludf.DUMMYFUNCTION("""COMPUTED_VALUE"""),1.11)</f>
        <v>1.11</v>
      </c>
      <c r="F5849" s="2"/>
      <c r="G5849" s="2"/>
      <c r="H5849" s="2"/>
      <c r="I5849" s="2"/>
    </row>
    <row r="5850">
      <c r="A5850" s="2">
        <f>IFERROR(__xludf.DUMMYFUNCTION("""COMPUTED_VALUE"""),47543.0)</f>
        <v>47543</v>
      </c>
      <c r="B5850" s="2" t="str">
        <f>IFERROR(__xludf.DUMMYFUNCTION("""COMPUTED_VALUE"""),"Arts")</f>
        <v>Arts</v>
      </c>
      <c r="C5850" s="2" t="str">
        <f>IFERROR(__xludf.DUMMYFUNCTION("""COMPUTED_VALUE"""),"Public Health")</f>
        <v>Public Health</v>
      </c>
      <c r="D5850" s="2" t="str">
        <f>IFERROR(__xludf.DUMMYFUNCTION("""COMPUTED_VALUE"""),"Brightbridge Publishing House")</f>
        <v>Brightbridge Publishing House</v>
      </c>
      <c r="E5850" s="2">
        <f>IFERROR(__xludf.DUMMYFUNCTION("""COMPUTED_VALUE"""),2.39)</f>
        <v>2.39</v>
      </c>
      <c r="F5850" s="2"/>
      <c r="G5850" s="2"/>
      <c r="H5850" s="2"/>
      <c r="I5850" s="2"/>
    </row>
    <row r="5851">
      <c r="A5851" s="2">
        <f>IFERROR(__xludf.DUMMYFUNCTION("""COMPUTED_VALUE"""),117045.0)</f>
        <v>117045</v>
      </c>
      <c r="B5851" s="2" t="str">
        <f>IFERROR(__xludf.DUMMYFUNCTION("""COMPUTED_VALUE"""),"Arts")</f>
        <v>Arts</v>
      </c>
      <c r="C5851" s="2" t="str">
        <f>IFERROR(__xludf.DUMMYFUNCTION("""COMPUTED_VALUE"""),"Public Health")</f>
        <v>Public Health</v>
      </c>
      <c r="D5851" s="2" t="str">
        <f>IFERROR(__xludf.DUMMYFUNCTION("""COMPUTED_VALUE"""),"Brightbridge Publishing House")</f>
        <v>Brightbridge Publishing House</v>
      </c>
      <c r="E5851" s="2">
        <f>IFERROR(__xludf.DUMMYFUNCTION("""COMPUTED_VALUE"""),2.83)</f>
        <v>2.83</v>
      </c>
      <c r="F5851" s="2"/>
      <c r="G5851" s="2"/>
      <c r="H5851" s="2"/>
      <c r="I5851" s="2"/>
    </row>
    <row r="5852">
      <c r="A5852" s="2">
        <f>IFERROR(__xludf.DUMMYFUNCTION("""COMPUTED_VALUE"""),109276.0)</f>
        <v>109276</v>
      </c>
      <c r="B5852" s="2" t="str">
        <f>IFERROR(__xludf.DUMMYFUNCTION("""COMPUTED_VALUE"""),"Arts")</f>
        <v>Arts</v>
      </c>
      <c r="C5852" s="2" t="str">
        <f>IFERROR(__xludf.DUMMYFUNCTION("""COMPUTED_VALUE"""),"Public Health")</f>
        <v>Public Health</v>
      </c>
      <c r="D5852" s="2" t="str">
        <f>IFERROR(__xludf.DUMMYFUNCTION("""COMPUTED_VALUE"""),"Brightbridge Publishing House")</f>
        <v>Brightbridge Publishing House</v>
      </c>
      <c r="E5852" s="2">
        <f>IFERROR(__xludf.DUMMYFUNCTION("""COMPUTED_VALUE"""),2.6)</f>
        <v>2.6</v>
      </c>
      <c r="F5852" s="2"/>
      <c r="G5852" s="2"/>
      <c r="H5852" s="2"/>
      <c r="I5852" s="2"/>
    </row>
    <row r="5853">
      <c r="A5853" s="2">
        <f>IFERROR(__xludf.DUMMYFUNCTION("""COMPUTED_VALUE"""),117040.0)</f>
        <v>117040</v>
      </c>
      <c r="B5853" s="2" t="str">
        <f>IFERROR(__xludf.DUMMYFUNCTION("""COMPUTED_VALUE"""),"Arts")</f>
        <v>Arts</v>
      </c>
      <c r="C5853" s="2" t="str">
        <f>IFERROR(__xludf.DUMMYFUNCTION("""COMPUTED_VALUE"""),"Public Health")</f>
        <v>Public Health</v>
      </c>
      <c r="D5853" s="2" t="str">
        <f>IFERROR(__xludf.DUMMYFUNCTION("""COMPUTED_VALUE"""),"Brightbridge Publishing House")</f>
        <v>Brightbridge Publishing House</v>
      </c>
      <c r="E5853" s="2">
        <f>IFERROR(__xludf.DUMMYFUNCTION("""COMPUTED_VALUE"""),2.93)</f>
        <v>2.93</v>
      </c>
      <c r="F5853" s="2"/>
      <c r="G5853" s="2"/>
      <c r="H5853" s="2"/>
      <c r="I5853" s="2"/>
    </row>
    <row r="5854">
      <c r="A5854" s="2">
        <f>IFERROR(__xludf.DUMMYFUNCTION("""COMPUTED_VALUE"""),108485.0)</f>
        <v>108485</v>
      </c>
      <c r="B5854" s="2" t="str">
        <f>IFERROR(__xludf.DUMMYFUNCTION("""COMPUTED_VALUE"""),"Arts")</f>
        <v>Arts</v>
      </c>
      <c r="C5854" s="2" t="str">
        <f>IFERROR(__xludf.DUMMYFUNCTION("""COMPUTED_VALUE"""),"Public Health")</f>
        <v>Public Health</v>
      </c>
      <c r="D5854" s="2" t="str">
        <f>IFERROR(__xludf.DUMMYFUNCTION("""COMPUTED_VALUE"""),"Brightbridge Publishing House")</f>
        <v>Brightbridge Publishing House</v>
      </c>
      <c r="E5854" s="2">
        <f>IFERROR(__xludf.DUMMYFUNCTION("""COMPUTED_VALUE"""),2.68)</f>
        <v>2.68</v>
      </c>
      <c r="F5854" s="2"/>
      <c r="G5854" s="2"/>
      <c r="H5854" s="2"/>
      <c r="I5854" s="2"/>
    </row>
    <row r="5855">
      <c r="A5855" s="2">
        <f>IFERROR(__xludf.DUMMYFUNCTION("""COMPUTED_VALUE"""),80095.0)</f>
        <v>80095</v>
      </c>
      <c r="B5855" s="2" t="str">
        <f>IFERROR(__xludf.DUMMYFUNCTION("""COMPUTED_VALUE"""),"Arts")</f>
        <v>Arts</v>
      </c>
      <c r="C5855" s="2" t="str">
        <f>IFERROR(__xludf.DUMMYFUNCTION("""COMPUTED_VALUE"""),"Public Health")</f>
        <v>Public Health</v>
      </c>
      <c r="D5855" s="2" t="str">
        <f>IFERROR(__xludf.DUMMYFUNCTION("""COMPUTED_VALUE"""),"Brightbridge Publishing House")</f>
        <v>Brightbridge Publishing House</v>
      </c>
      <c r="E5855" s="2">
        <f>IFERROR(__xludf.DUMMYFUNCTION("""COMPUTED_VALUE"""),1.81)</f>
        <v>1.81</v>
      </c>
      <c r="F5855" s="2"/>
      <c r="G5855" s="2"/>
      <c r="H5855" s="2"/>
      <c r="I5855" s="2"/>
    </row>
    <row r="5856">
      <c r="A5856" s="2">
        <f>IFERROR(__xludf.DUMMYFUNCTION("""COMPUTED_VALUE"""),117044.0)</f>
        <v>117044</v>
      </c>
      <c r="B5856" s="2" t="str">
        <f>IFERROR(__xludf.DUMMYFUNCTION("""COMPUTED_VALUE"""),"Arts")</f>
        <v>Arts</v>
      </c>
      <c r="C5856" s="2" t="str">
        <f>IFERROR(__xludf.DUMMYFUNCTION("""COMPUTED_VALUE"""),"Public Health")</f>
        <v>Public Health</v>
      </c>
      <c r="D5856" s="2" t="str">
        <f>IFERROR(__xludf.DUMMYFUNCTION("""COMPUTED_VALUE"""),"Brightbridge Publishing House")</f>
        <v>Brightbridge Publishing House</v>
      </c>
      <c r="E5856" s="2">
        <f>IFERROR(__xludf.DUMMYFUNCTION("""COMPUTED_VALUE"""),2.85)</f>
        <v>2.85</v>
      </c>
      <c r="F5856" s="2"/>
      <c r="G5856" s="2"/>
      <c r="H5856" s="2"/>
      <c r="I5856" s="2"/>
    </row>
    <row r="5857">
      <c r="A5857" s="2">
        <f>IFERROR(__xludf.DUMMYFUNCTION("""COMPUTED_VALUE"""),69279.0)</f>
        <v>69279</v>
      </c>
      <c r="B5857" s="2" t="str">
        <f>IFERROR(__xludf.DUMMYFUNCTION("""COMPUTED_VALUE"""),"Arts")</f>
        <v>Arts</v>
      </c>
      <c r="C5857" s="2" t="str">
        <f>IFERROR(__xludf.DUMMYFUNCTION("""COMPUTED_VALUE"""),"Public Health")</f>
        <v>Public Health</v>
      </c>
      <c r="D5857" s="2" t="str">
        <f>IFERROR(__xludf.DUMMYFUNCTION("""COMPUTED_VALUE"""),"Brightbridge Publishing House")</f>
        <v>Brightbridge Publishing House</v>
      </c>
      <c r="E5857" s="2">
        <f>IFERROR(__xludf.DUMMYFUNCTION("""COMPUTED_VALUE"""),3.66)</f>
        <v>3.66</v>
      </c>
      <c r="F5857" s="2"/>
      <c r="G5857" s="2"/>
      <c r="H5857" s="2"/>
      <c r="I5857" s="2"/>
    </row>
    <row r="5858">
      <c r="A5858" s="2">
        <f>IFERROR(__xludf.DUMMYFUNCTION("""COMPUTED_VALUE"""),48642.0)</f>
        <v>48642</v>
      </c>
      <c r="B5858" s="2" t="str">
        <f>IFERROR(__xludf.DUMMYFUNCTION("""COMPUTED_VALUE"""),"Arts")</f>
        <v>Arts</v>
      </c>
      <c r="C5858" s="2" t="str">
        <f>IFERROR(__xludf.DUMMYFUNCTION("""COMPUTED_VALUE"""),"Public Health")</f>
        <v>Public Health</v>
      </c>
      <c r="D5858" s="2" t="str">
        <f>IFERROR(__xludf.DUMMYFUNCTION("""COMPUTED_VALUE"""),"Brightbridge Publishing House")</f>
        <v>Brightbridge Publishing House</v>
      </c>
      <c r="E5858" s="2">
        <f>IFERROR(__xludf.DUMMYFUNCTION("""COMPUTED_VALUE"""),13.68)</f>
        <v>13.68</v>
      </c>
      <c r="F5858" s="2"/>
      <c r="G5858" s="2"/>
      <c r="H5858" s="2"/>
      <c r="I5858" s="2"/>
    </row>
    <row r="5859">
      <c r="A5859" s="2">
        <f>IFERROR(__xludf.DUMMYFUNCTION("""COMPUTED_VALUE"""),117569.0)</f>
        <v>117569</v>
      </c>
      <c r="B5859" s="2" t="str">
        <f>IFERROR(__xludf.DUMMYFUNCTION("""COMPUTED_VALUE"""),"Arts")</f>
        <v>Arts</v>
      </c>
      <c r="C5859" s="2" t="str">
        <f>IFERROR(__xludf.DUMMYFUNCTION("""COMPUTED_VALUE"""),"Public Health")</f>
        <v>Public Health</v>
      </c>
      <c r="D5859" s="2" t="str">
        <f>IFERROR(__xludf.DUMMYFUNCTION("""COMPUTED_VALUE"""),"Oakbridge Publishing House")</f>
        <v>Oakbridge Publishing House</v>
      </c>
      <c r="E5859" s="2">
        <f>IFERROR(__xludf.DUMMYFUNCTION("""COMPUTED_VALUE"""),1.04)</f>
        <v>1.04</v>
      </c>
      <c r="F5859" s="2"/>
      <c r="G5859" s="2"/>
      <c r="H5859" s="2"/>
      <c r="I5859" s="2"/>
    </row>
    <row r="5860">
      <c r="A5860" s="2">
        <f>IFERROR(__xludf.DUMMYFUNCTION("""COMPUTED_VALUE"""),83590.0)</f>
        <v>83590</v>
      </c>
      <c r="B5860" s="2" t="str">
        <f>IFERROR(__xludf.DUMMYFUNCTION("""COMPUTED_VALUE"""),"Arts")</f>
        <v>Arts</v>
      </c>
      <c r="C5860" s="2" t="str">
        <f>IFERROR(__xludf.DUMMYFUNCTION("""COMPUTED_VALUE"""),"Public Health")</f>
        <v>Public Health</v>
      </c>
      <c r="D5860" s="2" t="str">
        <f>IFERROR(__xludf.DUMMYFUNCTION("""COMPUTED_VALUE"""),"Oakbridge Publishing House")</f>
        <v>Oakbridge Publishing House</v>
      </c>
      <c r="E5860" s="2">
        <f>IFERROR(__xludf.DUMMYFUNCTION("""COMPUTED_VALUE"""),2.6)</f>
        <v>2.6</v>
      </c>
      <c r="F5860" s="2"/>
      <c r="G5860" s="2"/>
      <c r="H5860" s="2"/>
      <c r="I5860" s="2"/>
    </row>
    <row r="5861">
      <c r="A5861" s="2">
        <f>IFERROR(__xludf.DUMMYFUNCTION("""COMPUTED_VALUE"""),117566.0)</f>
        <v>117566</v>
      </c>
      <c r="B5861" s="2" t="str">
        <f>IFERROR(__xludf.DUMMYFUNCTION("""COMPUTED_VALUE"""),"Arts")</f>
        <v>Arts</v>
      </c>
      <c r="C5861" s="2" t="str">
        <f>IFERROR(__xludf.DUMMYFUNCTION("""COMPUTED_VALUE"""),"Public Health")</f>
        <v>Public Health</v>
      </c>
      <c r="D5861" s="2" t="str">
        <f>IFERROR(__xludf.DUMMYFUNCTION("""COMPUTED_VALUE"""),"Oakbridge Publishing House")</f>
        <v>Oakbridge Publishing House</v>
      </c>
      <c r="E5861" s="2">
        <f>IFERROR(__xludf.DUMMYFUNCTION("""COMPUTED_VALUE"""),1.12)</f>
        <v>1.12</v>
      </c>
      <c r="F5861" s="2"/>
      <c r="G5861" s="2"/>
      <c r="H5861" s="2"/>
      <c r="I5861" s="2"/>
    </row>
    <row r="5862">
      <c r="A5862" s="2">
        <f>IFERROR(__xludf.DUMMYFUNCTION("""COMPUTED_VALUE"""),116391.0)</f>
        <v>116391</v>
      </c>
      <c r="B5862" s="2" t="str">
        <f>IFERROR(__xludf.DUMMYFUNCTION("""COMPUTED_VALUE"""),"Arts")</f>
        <v>Arts</v>
      </c>
      <c r="C5862" s="2" t="str">
        <f>IFERROR(__xludf.DUMMYFUNCTION("""COMPUTED_VALUE"""),"Public Health")</f>
        <v>Public Health</v>
      </c>
      <c r="D5862" s="2" t="str">
        <f>IFERROR(__xludf.DUMMYFUNCTION("""COMPUTED_VALUE"""),"Oakbridge Publishing House")</f>
        <v>Oakbridge Publishing House</v>
      </c>
      <c r="E5862" s="2">
        <f>IFERROR(__xludf.DUMMYFUNCTION("""COMPUTED_VALUE"""),2.42)</f>
        <v>2.42</v>
      </c>
      <c r="F5862" s="2"/>
      <c r="G5862" s="2"/>
      <c r="H5862" s="2"/>
      <c r="I5862" s="2"/>
    </row>
    <row r="5863">
      <c r="A5863" s="2">
        <f>IFERROR(__xludf.DUMMYFUNCTION("""COMPUTED_VALUE"""),47388.0)</f>
        <v>47388</v>
      </c>
      <c r="B5863" s="2" t="str">
        <f>IFERROR(__xludf.DUMMYFUNCTION("""COMPUTED_VALUE"""),"Arts")</f>
        <v>Arts</v>
      </c>
      <c r="C5863" s="2" t="str">
        <f>IFERROR(__xludf.DUMMYFUNCTION("""COMPUTED_VALUE"""),"Public Health")</f>
        <v>Public Health</v>
      </c>
      <c r="D5863" s="2" t="str">
        <f>IFERROR(__xludf.DUMMYFUNCTION("""COMPUTED_VALUE"""),"Oakbridge Publishing House")</f>
        <v>Oakbridge Publishing House</v>
      </c>
      <c r="E5863" s="2">
        <f>IFERROR(__xludf.DUMMYFUNCTION("""COMPUTED_VALUE"""),2.07)</f>
        <v>2.07</v>
      </c>
      <c r="F5863" s="2"/>
      <c r="G5863" s="2"/>
      <c r="H5863" s="2"/>
      <c r="I5863" s="2"/>
    </row>
    <row r="5864">
      <c r="A5864" s="2">
        <f>IFERROR(__xludf.DUMMYFUNCTION("""COMPUTED_VALUE"""),117567.0)</f>
        <v>117567</v>
      </c>
      <c r="B5864" s="2" t="str">
        <f>IFERROR(__xludf.DUMMYFUNCTION("""COMPUTED_VALUE"""),"Arts")</f>
        <v>Arts</v>
      </c>
      <c r="C5864" s="2" t="str">
        <f>IFERROR(__xludf.DUMMYFUNCTION("""COMPUTED_VALUE"""),"Public Health")</f>
        <v>Public Health</v>
      </c>
      <c r="D5864" s="2" t="str">
        <f>IFERROR(__xludf.DUMMYFUNCTION("""COMPUTED_VALUE"""),"Oakbridge Publishing House")</f>
        <v>Oakbridge Publishing House</v>
      </c>
      <c r="E5864" s="2">
        <f>IFERROR(__xludf.DUMMYFUNCTION("""COMPUTED_VALUE"""),1.16)</f>
        <v>1.16</v>
      </c>
      <c r="F5864" s="2"/>
      <c r="G5864" s="2"/>
      <c r="H5864" s="2"/>
      <c r="I5864" s="2"/>
    </row>
    <row r="5865">
      <c r="A5865" s="2">
        <f>IFERROR(__xludf.DUMMYFUNCTION("""COMPUTED_VALUE"""),104319.0)</f>
        <v>104319</v>
      </c>
      <c r="B5865" s="2" t="str">
        <f>IFERROR(__xludf.DUMMYFUNCTION("""COMPUTED_VALUE"""),"Arts")</f>
        <v>Arts</v>
      </c>
      <c r="C5865" s="2" t="str">
        <f>IFERROR(__xludf.DUMMYFUNCTION("""COMPUTED_VALUE"""),"Public Health")</f>
        <v>Public Health</v>
      </c>
      <c r="D5865" s="2" t="str">
        <f>IFERROR(__xludf.DUMMYFUNCTION("""COMPUTED_VALUE"""),"Oakbridge Publishing House")</f>
        <v>Oakbridge Publishing House</v>
      </c>
      <c r="E5865" s="2">
        <f>IFERROR(__xludf.DUMMYFUNCTION("""COMPUTED_VALUE"""),1.82)</f>
        <v>1.82</v>
      </c>
      <c r="F5865" s="2"/>
      <c r="G5865" s="2"/>
      <c r="H5865" s="2"/>
      <c r="I5865" s="2"/>
    </row>
    <row r="5866">
      <c r="A5866" s="2">
        <f>IFERROR(__xludf.DUMMYFUNCTION("""COMPUTED_VALUE"""),120399.0)</f>
        <v>120399</v>
      </c>
      <c r="B5866" s="2" t="str">
        <f>IFERROR(__xludf.DUMMYFUNCTION("""COMPUTED_VALUE"""),"Arts")</f>
        <v>Arts</v>
      </c>
      <c r="C5866" s="2" t="str">
        <f>IFERROR(__xludf.DUMMYFUNCTION("""COMPUTED_VALUE"""),"Public Health")</f>
        <v>Public Health</v>
      </c>
      <c r="D5866" s="2" t="str">
        <f>IFERROR(__xludf.DUMMYFUNCTION("""COMPUTED_VALUE"""),"Oakbridge Publishing House")</f>
        <v>Oakbridge Publishing House</v>
      </c>
      <c r="E5866" s="2">
        <f>IFERROR(__xludf.DUMMYFUNCTION("""COMPUTED_VALUE"""),1.74)</f>
        <v>1.74</v>
      </c>
      <c r="F5866" s="2"/>
      <c r="G5866" s="2"/>
      <c r="H5866" s="2"/>
      <c r="I5866" s="2"/>
    </row>
    <row r="5867">
      <c r="A5867" s="2">
        <f>IFERROR(__xludf.DUMMYFUNCTION("""COMPUTED_VALUE"""),47389.0)</f>
        <v>47389</v>
      </c>
      <c r="B5867" s="2" t="str">
        <f>IFERROR(__xludf.DUMMYFUNCTION("""COMPUTED_VALUE"""),"Arts")</f>
        <v>Arts</v>
      </c>
      <c r="C5867" s="2" t="str">
        <f>IFERROR(__xludf.DUMMYFUNCTION("""COMPUTED_VALUE"""),"Public Health")</f>
        <v>Public Health</v>
      </c>
      <c r="D5867" s="2" t="str">
        <f>IFERROR(__xludf.DUMMYFUNCTION("""COMPUTED_VALUE"""),"Oakbridge Publishing House")</f>
        <v>Oakbridge Publishing House</v>
      </c>
      <c r="E5867" s="2">
        <f>IFERROR(__xludf.DUMMYFUNCTION("""COMPUTED_VALUE"""),2.08)</f>
        <v>2.08</v>
      </c>
      <c r="F5867" s="2"/>
      <c r="G5867" s="2"/>
      <c r="H5867" s="2"/>
      <c r="I5867" s="2"/>
    </row>
    <row r="5868">
      <c r="A5868" s="2">
        <f>IFERROR(__xludf.DUMMYFUNCTION("""COMPUTED_VALUE"""),47384.0)</f>
        <v>47384</v>
      </c>
      <c r="B5868" s="2" t="str">
        <f>IFERROR(__xludf.DUMMYFUNCTION("""COMPUTED_VALUE"""),"Arts")</f>
        <v>Arts</v>
      </c>
      <c r="C5868" s="2" t="str">
        <f>IFERROR(__xludf.DUMMYFUNCTION("""COMPUTED_VALUE"""),"Public Health")</f>
        <v>Public Health</v>
      </c>
      <c r="D5868" s="2" t="str">
        <f>IFERROR(__xludf.DUMMYFUNCTION("""COMPUTED_VALUE"""),"Oakbridge Publishing House")</f>
        <v>Oakbridge Publishing House</v>
      </c>
      <c r="E5868" s="2">
        <f>IFERROR(__xludf.DUMMYFUNCTION("""COMPUTED_VALUE"""),2.17)</f>
        <v>2.17</v>
      </c>
      <c r="F5868" s="2"/>
      <c r="G5868" s="2"/>
      <c r="H5868" s="2"/>
      <c r="I5868" s="2"/>
    </row>
    <row r="5869">
      <c r="A5869" s="2">
        <f>IFERROR(__xludf.DUMMYFUNCTION("""COMPUTED_VALUE"""),117568.0)</f>
        <v>117568</v>
      </c>
      <c r="B5869" s="2" t="str">
        <f>IFERROR(__xludf.DUMMYFUNCTION("""COMPUTED_VALUE"""),"Arts")</f>
        <v>Arts</v>
      </c>
      <c r="C5869" s="2" t="str">
        <f>IFERROR(__xludf.DUMMYFUNCTION("""COMPUTED_VALUE"""),"Public Health")</f>
        <v>Public Health</v>
      </c>
      <c r="D5869" s="2" t="str">
        <f>IFERROR(__xludf.DUMMYFUNCTION("""COMPUTED_VALUE"""),"Oakbridge Publishing House")</f>
        <v>Oakbridge Publishing House</v>
      </c>
      <c r="E5869" s="2">
        <f>IFERROR(__xludf.DUMMYFUNCTION("""COMPUTED_VALUE"""),1.2)</f>
        <v>1.2</v>
      </c>
      <c r="F5869" s="2"/>
      <c r="G5869" s="2"/>
      <c r="H5869" s="2"/>
      <c r="I5869" s="2"/>
    </row>
    <row r="5870">
      <c r="A5870" s="2">
        <f>IFERROR(__xludf.DUMMYFUNCTION("""COMPUTED_VALUE"""),80233.0)</f>
        <v>80233</v>
      </c>
      <c r="B5870" s="2" t="str">
        <f>IFERROR(__xludf.DUMMYFUNCTION("""COMPUTED_VALUE"""),"Arts")</f>
        <v>Arts</v>
      </c>
      <c r="C5870" s="2" t="str">
        <f>IFERROR(__xludf.DUMMYFUNCTION("""COMPUTED_VALUE"""),"Public Health")</f>
        <v>Public Health</v>
      </c>
      <c r="D5870" s="2" t="str">
        <f>IFERROR(__xludf.DUMMYFUNCTION("""COMPUTED_VALUE"""),"Oakbridge Publishing House")</f>
        <v>Oakbridge Publishing House</v>
      </c>
      <c r="E5870" s="2">
        <f>IFERROR(__xludf.DUMMYFUNCTION("""COMPUTED_VALUE"""),1.91)</f>
        <v>1.91</v>
      </c>
      <c r="F5870" s="2"/>
      <c r="G5870" s="2"/>
      <c r="H5870" s="2"/>
      <c r="I5870" s="2"/>
    </row>
    <row r="5871">
      <c r="A5871" s="2">
        <f>IFERROR(__xludf.DUMMYFUNCTION("""COMPUTED_VALUE"""),120396.0)</f>
        <v>120396</v>
      </c>
      <c r="B5871" s="2" t="str">
        <f>IFERROR(__xludf.DUMMYFUNCTION("""COMPUTED_VALUE"""),"Arts")</f>
        <v>Arts</v>
      </c>
      <c r="C5871" s="2" t="str">
        <f>IFERROR(__xludf.DUMMYFUNCTION("""COMPUTED_VALUE"""),"Public Health")</f>
        <v>Public Health</v>
      </c>
      <c r="D5871" s="2" t="str">
        <f>IFERROR(__xludf.DUMMYFUNCTION("""COMPUTED_VALUE"""),"Oakbridge Publishing House")</f>
        <v>Oakbridge Publishing House</v>
      </c>
      <c r="E5871" s="2">
        <f>IFERROR(__xludf.DUMMYFUNCTION("""COMPUTED_VALUE"""),1.7)</f>
        <v>1.7</v>
      </c>
      <c r="F5871" s="2"/>
      <c r="G5871" s="2"/>
      <c r="H5871" s="2"/>
      <c r="I5871" s="2"/>
    </row>
    <row r="5872">
      <c r="A5872" s="2">
        <f>IFERROR(__xludf.DUMMYFUNCTION("""COMPUTED_VALUE"""),47386.0)</f>
        <v>47386</v>
      </c>
      <c r="B5872" s="2" t="str">
        <f>IFERROR(__xludf.DUMMYFUNCTION("""COMPUTED_VALUE"""),"Arts")</f>
        <v>Arts</v>
      </c>
      <c r="C5872" s="2" t="str">
        <f>IFERROR(__xludf.DUMMYFUNCTION("""COMPUTED_VALUE"""),"Public Health")</f>
        <v>Public Health</v>
      </c>
      <c r="D5872" s="2" t="str">
        <f>IFERROR(__xludf.DUMMYFUNCTION("""COMPUTED_VALUE"""),"Oakbridge Publishing House")</f>
        <v>Oakbridge Publishing House</v>
      </c>
      <c r="E5872" s="2">
        <f>IFERROR(__xludf.DUMMYFUNCTION("""COMPUTED_VALUE"""),2.07)</f>
        <v>2.07</v>
      </c>
      <c r="F5872" s="2"/>
      <c r="G5872" s="2"/>
      <c r="H5872" s="2"/>
      <c r="I5872" s="2"/>
    </row>
    <row r="5873">
      <c r="A5873" s="2">
        <f>IFERROR(__xludf.DUMMYFUNCTION("""COMPUTED_VALUE"""),110294.0)</f>
        <v>110294</v>
      </c>
      <c r="B5873" s="2" t="str">
        <f>IFERROR(__xludf.DUMMYFUNCTION("""COMPUTED_VALUE"""),"Arts")</f>
        <v>Arts</v>
      </c>
      <c r="C5873" s="2" t="str">
        <f>IFERROR(__xludf.DUMMYFUNCTION("""COMPUTED_VALUE"""),"Public Health")</f>
        <v>Public Health</v>
      </c>
      <c r="D5873" s="2" t="str">
        <f>IFERROR(__xludf.DUMMYFUNCTION("""COMPUTED_VALUE"""),"Oakbridge Publishing House")</f>
        <v>Oakbridge Publishing House</v>
      </c>
      <c r="E5873" s="2">
        <f>IFERROR(__xludf.DUMMYFUNCTION("""COMPUTED_VALUE"""),1.12)</f>
        <v>1.12</v>
      </c>
      <c r="F5873" s="2"/>
      <c r="G5873" s="2"/>
      <c r="H5873" s="2"/>
      <c r="I5873" s="2"/>
    </row>
    <row r="5874">
      <c r="A5874" s="2">
        <f>IFERROR(__xludf.DUMMYFUNCTION("""COMPUTED_VALUE"""),47374.0)</f>
        <v>47374</v>
      </c>
      <c r="B5874" s="2" t="str">
        <f>IFERROR(__xludf.DUMMYFUNCTION("""COMPUTED_VALUE"""),"Arts")</f>
        <v>Arts</v>
      </c>
      <c r="C5874" s="2" t="str">
        <f>IFERROR(__xludf.DUMMYFUNCTION("""COMPUTED_VALUE"""),"Public Health")</f>
        <v>Public Health</v>
      </c>
      <c r="D5874" s="2" t="str">
        <f>IFERROR(__xludf.DUMMYFUNCTION("""COMPUTED_VALUE"""),"Oakbridge Publishing House")</f>
        <v>Oakbridge Publishing House</v>
      </c>
      <c r="E5874" s="2">
        <f>IFERROR(__xludf.DUMMYFUNCTION("""COMPUTED_VALUE"""),2.05)</f>
        <v>2.05</v>
      </c>
      <c r="F5874" s="2"/>
      <c r="G5874" s="2"/>
      <c r="H5874" s="2"/>
      <c r="I5874" s="2"/>
    </row>
    <row r="5875">
      <c r="A5875" s="2">
        <f>IFERROR(__xludf.DUMMYFUNCTION("""COMPUTED_VALUE"""),115586.0)</f>
        <v>115586</v>
      </c>
      <c r="B5875" s="2" t="str">
        <f>IFERROR(__xludf.DUMMYFUNCTION("""COMPUTED_VALUE"""),"Arts")</f>
        <v>Arts</v>
      </c>
      <c r="C5875" s="2" t="str">
        <f>IFERROR(__xludf.DUMMYFUNCTION("""COMPUTED_VALUE"""),"Public Health")</f>
        <v>Public Health</v>
      </c>
      <c r="D5875" s="2" t="str">
        <f>IFERROR(__xludf.DUMMYFUNCTION("""COMPUTED_VALUE"""),"Oakbridge Publishing House")</f>
        <v>Oakbridge Publishing House</v>
      </c>
      <c r="E5875" s="2">
        <f>IFERROR(__xludf.DUMMYFUNCTION("""COMPUTED_VALUE"""),2.54)</f>
        <v>2.54</v>
      </c>
      <c r="F5875" s="2"/>
      <c r="G5875" s="2"/>
      <c r="H5875" s="2"/>
      <c r="I5875" s="2"/>
    </row>
    <row r="5876">
      <c r="A5876" s="2">
        <f>IFERROR(__xludf.DUMMYFUNCTION("""COMPUTED_VALUE"""),112736.0)</f>
        <v>112736</v>
      </c>
      <c r="B5876" s="2" t="str">
        <f>IFERROR(__xludf.DUMMYFUNCTION("""COMPUTED_VALUE"""),"Arts")</f>
        <v>Arts</v>
      </c>
      <c r="C5876" s="2" t="str">
        <f>IFERROR(__xludf.DUMMYFUNCTION("""COMPUTED_VALUE"""),"Public Health")</f>
        <v>Public Health</v>
      </c>
      <c r="D5876" s="2" t="str">
        <f>IFERROR(__xludf.DUMMYFUNCTION("""COMPUTED_VALUE"""),"Oakbridge Publishing House")</f>
        <v>Oakbridge Publishing House</v>
      </c>
      <c r="E5876" s="2">
        <f>IFERROR(__xludf.DUMMYFUNCTION("""COMPUTED_VALUE"""),1.17)</f>
        <v>1.17</v>
      </c>
      <c r="F5876" s="2"/>
      <c r="G5876" s="2"/>
      <c r="H5876" s="2"/>
      <c r="I5876" s="2"/>
    </row>
    <row r="5877">
      <c r="A5877" s="2">
        <f>IFERROR(__xludf.DUMMYFUNCTION("""COMPUTED_VALUE"""),80234.0)</f>
        <v>80234</v>
      </c>
      <c r="B5877" s="2" t="str">
        <f>IFERROR(__xludf.DUMMYFUNCTION("""COMPUTED_VALUE"""),"Arts")</f>
        <v>Arts</v>
      </c>
      <c r="C5877" s="2" t="str">
        <f>IFERROR(__xludf.DUMMYFUNCTION("""COMPUTED_VALUE"""),"Public Health")</f>
        <v>Public Health</v>
      </c>
      <c r="D5877" s="2" t="str">
        <f>IFERROR(__xludf.DUMMYFUNCTION("""COMPUTED_VALUE"""),"Oakbridge Publishing House")</f>
        <v>Oakbridge Publishing House</v>
      </c>
      <c r="E5877" s="2">
        <f>IFERROR(__xludf.DUMMYFUNCTION("""COMPUTED_VALUE"""),1.73)</f>
        <v>1.73</v>
      </c>
      <c r="F5877" s="2"/>
      <c r="G5877" s="2"/>
      <c r="H5877" s="2"/>
      <c r="I5877" s="2"/>
    </row>
    <row r="5878">
      <c r="A5878" s="2">
        <f>IFERROR(__xludf.DUMMYFUNCTION("""COMPUTED_VALUE"""),92426.0)</f>
        <v>92426</v>
      </c>
      <c r="B5878" s="2" t="str">
        <f>IFERROR(__xludf.DUMMYFUNCTION("""COMPUTED_VALUE"""),"Arts")</f>
        <v>Arts</v>
      </c>
      <c r="C5878" s="2" t="str">
        <f>IFERROR(__xludf.DUMMYFUNCTION("""COMPUTED_VALUE"""),"Public Health")</f>
        <v>Public Health</v>
      </c>
      <c r="D5878" s="2" t="str">
        <f>IFERROR(__xludf.DUMMYFUNCTION("""COMPUTED_VALUE"""),"Oakbridge Publishing House")</f>
        <v>Oakbridge Publishing House</v>
      </c>
      <c r="E5878" s="2">
        <f>IFERROR(__xludf.DUMMYFUNCTION("""COMPUTED_VALUE"""),0.8)</f>
        <v>0.8</v>
      </c>
      <c r="F5878" s="2"/>
      <c r="G5878" s="2"/>
      <c r="H5878" s="2"/>
      <c r="I5878" s="2"/>
    </row>
    <row r="5879">
      <c r="A5879" s="2">
        <f>IFERROR(__xludf.DUMMYFUNCTION("""COMPUTED_VALUE"""),92429.0)</f>
        <v>92429</v>
      </c>
      <c r="B5879" s="2" t="str">
        <f>IFERROR(__xludf.DUMMYFUNCTION("""COMPUTED_VALUE"""),"Arts")</f>
        <v>Arts</v>
      </c>
      <c r="C5879" s="2" t="str">
        <f>IFERROR(__xludf.DUMMYFUNCTION("""COMPUTED_VALUE"""),"Public Health")</f>
        <v>Public Health</v>
      </c>
      <c r="D5879" s="2" t="str">
        <f>IFERROR(__xludf.DUMMYFUNCTION("""COMPUTED_VALUE"""),"Oakbridge Publishing House")</f>
        <v>Oakbridge Publishing House</v>
      </c>
      <c r="E5879" s="2">
        <f>IFERROR(__xludf.DUMMYFUNCTION("""COMPUTED_VALUE"""),0.99)</f>
        <v>0.99</v>
      </c>
      <c r="F5879" s="2"/>
      <c r="G5879" s="2"/>
      <c r="H5879" s="2"/>
      <c r="I5879" s="2"/>
    </row>
    <row r="5880">
      <c r="A5880" s="2">
        <f>IFERROR(__xludf.DUMMYFUNCTION("""COMPUTED_VALUE"""),117572.0)</f>
        <v>117572</v>
      </c>
      <c r="B5880" s="2" t="str">
        <f>IFERROR(__xludf.DUMMYFUNCTION("""COMPUTED_VALUE"""),"Arts")</f>
        <v>Arts</v>
      </c>
      <c r="C5880" s="2" t="str">
        <f>IFERROR(__xludf.DUMMYFUNCTION("""COMPUTED_VALUE"""),"Public Health")</f>
        <v>Public Health</v>
      </c>
      <c r="D5880" s="2" t="str">
        <f>IFERROR(__xludf.DUMMYFUNCTION("""COMPUTED_VALUE"""),"Oakbridge Publishing House")</f>
        <v>Oakbridge Publishing House</v>
      </c>
      <c r="E5880" s="2">
        <f>IFERROR(__xludf.DUMMYFUNCTION("""COMPUTED_VALUE"""),1.74)</f>
        <v>1.74</v>
      </c>
      <c r="F5880" s="2"/>
      <c r="G5880" s="2"/>
      <c r="H5880" s="2"/>
      <c r="I5880" s="2"/>
    </row>
    <row r="5881">
      <c r="A5881" s="2">
        <f>IFERROR(__xludf.DUMMYFUNCTION("""COMPUTED_VALUE"""),110982.0)</f>
        <v>110982</v>
      </c>
      <c r="B5881" s="2" t="str">
        <f>IFERROR(__xludf.DUMMYFUNCTION("""COMPUTED_VALUE"""),"Arts")</f>
        <v>Arts</v>
      </c>
      <c r="C5881" s="2" t="str">
        <f>IFERROR(__xludf.DUMMYFUNCTION("""COMPUTED_VALUE"""),"Public Health")</f>
        <v>Public Health</v>
      </c>
      <c r="D5881" s="2" t="str">
        <f>IFERROR(__xludf.DUMMYFUNCTION("""COMPUTED_VALUE"""),"Oakbridge Publishing House")</f>
        <v>Oakbridge Publishing House</v>
      </c>
      <c r="E5881" s="2">
        <f>IFERROR(__xludf.DUMMYFUNCTION("""COMPUTED_VALUE"""),1.13)</f>
        <v>1.13</v>
      </c>
      <c r="F5881" s="2"/>
      <c r="G5881" s="2"/>
      <c r="H5881" s="2"/>
      <c r="I5881" s="2"/>
    </row>
    <row r="5882">
      <c r="A5882" s="2">
        <f>IFERROR(__xludf.DUMMYFUNCTION("""COMPUTED_VALUE"""),92442.0)</f>
        <v>92442</v>
      </c>
      <c r="B5882" s="2" t="str">
        <f>IFERROR(__xludf.DUMMYFUNCTION("""COMPUTED_VALUE"""),"Arts")</f>
        <v>Arts</v>
      </c>
      <c r="C5882" s="2" t="str">
        <f>IFERROR(__xludf.DUMMYFUNCTION("""COMPUTED_VALUE"""),"Public Health")</f>
        <v>Public Health</v>
      </c>
      <c r="D5882" s="2" t="str">
        <f>IFERROR(__xludf.DUMMYFUNCTION("""COMPUTED_VALUE"""),"Oakbridge Publishing House")</f>
        <v>Oakbridge Publishing House</v>
      </c>
      <c r="E5882" s="2">
        <f>IFERROR(__xludf.DUMMYFUNCTION("""COMPUTED_VALUE"""),1.3)</f>
        <v>1.3</v>
      </c>
      <c r="F5882" s="2"/>
      <c r="G5882" s="2"/>
      <c r="H5882" s="2"/>
      <c r="I5882" s="2"/>
    </row>
    <row r="5883">
      <c r="A5883" s="2">
        <f>IFERROR(__xludf.DUMMYFUNCTION("""COMPUTED_VALUE"""),83591.0)</f>
        <v>83591</v>
      </c>
      <c r="B5883" s="2" t="str">
        <f>IFERROR(__xludf.DUMMYFUNCTION("""COMPUTED_VALUE"""),"Arts")</f>
        <v>Arts</v>
      </c>
      <c r="C5883" s="2" t="str">
        <f>IFERROR(__xludf.DUMMYFUNCTION("""COMPUTED_VALUE"""),"Public Health")</f>
        <v>Public Health</v>
      </c>
      <c r="D5883" s="2" t="str">
        <f>IFERROR(__xludf.DUMMYFUNCTION("""COMPUTED_VALUE"""),"Oakbridge Publishing House")</f>
        <v>Oakbridge Publishing House</v>
      </c>
      <c r="E5883" s="2">
        <f>IFERROR(__xludf.DUMMYFUNCTION("""COMPUTED_VALUE"""),2.18)</f>
        <v>2.18</v>
      </c>
      <c r="F5883" s="2"/>
      <c r="G5883" s="2"/>
      <c r="H5883" s="2"/>
      <c r="I5883" s="2"/>
    </row>
    <row r="5884">
      <c r="A5884" s="2">
        <f>IFERROR(__xludf.DUMMYFUNCTION("""COMPUTED_VALUE"""),104318.0)</f>
        <v>104318</v>
      </c>
      <c r="B5884" s="2" t="str">
        <f>IFERROR(__xludf.DUMMYFUNCTION("""COMPUTED_VALUE"""),"Arts")</f>
        <v>Arts</v>
      </c>
      <c r="C5884" s="2" t="str">
        <f>IFERROR(__xludf.DUMMYFUNCTION("""COMPUTED_VALUE"""),"Public Health")</f>
        <v>Public Health</v>
      </c>
      <c r="D5884" s="2" t="str">
        <f>IFERROR(__xludf.DUMMYFUNCTION("""COMPUTED_VALUE"""),"Oakbridge Publishing House")</f>
        <v>Oakbridge Publishing House</v>
      </c>
      <c r="E5884" s="2">
        <f>IFERROR(__xludf.DUMMYFUNCTION("""COMPUTED_VALUE"""),1.84)</f>
        <v>1.84</v>
      </c>
      <c r="F5884" s="2"/>
      <c r="G5884" s="2"/>
      <c r="H5884" s="2"/>
      <c r="I5884" s="2"/>
    </row>
    <row r="5885">
      <c r="A5885" s="2">
        <f>IFERROR(__xludf.DUMMYFUNCTION("""COMPUTED_VALUE"""),112740.0)</f>
        <v>112740</v>
      </c>
      <c r="B5885" s="2" t="str">
        <f>IFERROR(__xludf.DUMMYFUNCTION("""COMPUTED_VALUE"""),"Arts")</f>
        <v>Arts</v>
      </c>
      <c r="C5885" s="2" t="str">
        <f>IFERROR(__xludf.DUMMYFUNCTION("""COMPUTED_VALUE"""),"Public Health")</f>
        <v>Public Health</v>
      </c>
      <c r="D5885" s="2" t="str">
        <f>IFERROR(__xludf.DUMMYFUNCTION("""COMPUTED_VALUE"""),"Oakbridge Publishing House")</f>
        <v>Oakbridge Publishing House</v>
      </c>
      <c r="E5885" s="2">
        <f>IFERROR(__xludf.DUMMYFUNCTION("""COMPUTED_VALUE"""),5.78)</f>
        <v>5.78</v>
      </c>
      <c r="F5885" s="2"/>
      <c r="G5885" s="2"/>
      <c r="H5885" s="2"/>
      <c r="I5885" s="2"/>
    </row>
    <row r="5886">
      <c r="A5886" s="2">
        <f>IFERROR(__xludf.DUMMYFUNCTION("""COMPUTED_VALUE"""),117570.0)</f>
        <v>117570</v>
      </c>
      <c r="B5886" s="2" t="str">
        <f>IFERROR(__xludf.DUMMYFUNCTION("""COMPUTED_VALUE"""),"Arts")</f>
        <v>Arts</v>
      </c>
      <c r="C5886" s="2" t="str">
        <f>IFERROR(__xludf.DUMMYFUNCTION("""COMPUTED_VALUE"""),"Public Health")</f>
        <v>Public Health</v>
      </c>
      <c r="D5886" s="2" t="str">
        <f>IFERROR(__xludf.DUMMYFUNCTION("""COMPUTED_VALUE"""),"Oakbridge Publishing House")</f>
        <v>Oakbridge Publishing House</v>
      </c>
      <c r="E5886" s="2">
        <f>IFERROR(__xludf.DUMMYFUNCTION("""COMPUTED_VALUE"""),1.29)</f>
        <v>1.29</v>
      </c>
      <c r="F5886" s="2"/>
      <c r="G5886" s="2"/>
      <c r="H5886" s="2"/>
      <c r="I5886" s="2"/>
    </row>
    <row r="5887">
      <c r="A5887" s="2">
        <f>IFERROR(__xludf.DUMMYFUNCTION("""COMPUTED_VALUE"""),115584.0)</f>
        <v>115584</v>
      </c>
      <c r="B5887" s="2" t="str">
        <f>IFERROR(__xludf.DUMMYFUNCTION("""COMPUTED_VALUE"""),"Arts")</f>
        <v>Arts</v>
      </c>
      <c r="C5887" s="2" t="str">
        <f>IFERROR(__xludf.DUMMYFUNCTION("""COMPUTED_VALUE"""),"Public Health")</f>
        <v>Public Health</v>
      </c>
      <c r="D5887" s="2" t="str">
        <f>IFERROR(__xludf.DUMMYFUNCTION("""COMPUTED_VALUE"""),"Oakbridge Publishing House")</f>
        <v>Oakbridge Publishing House</v>
      </c>
      <c r="E5887" s="2">
        <f>IFERROR(__xludf.DUMMYFUNCTION("""COMPUTED_VALUE"""),2.57)</f>
        <v>2.57</v>
      </c>
      <c r="F5887" s="2"/>
      <c r="G5887" s="2"/>
      <c r="H5887" s="2"/>
      <c r="I5887" s="2"/>
    </row>
    <row r="5888">
      <c r="A5888" s="2">
        <f>IFERROR(__xludf.DUMMYFUNCTION("""COMPUTED_VALUE"""),47629.0)</f>
        <v>47629</v>
      </c>
      <c r="B5888" s="2" t="str">
        <f>IFERROR(__xludf.DUMMYFUNCTION("""COMPUTED_VALUE"""),"Arts")</f>
        <v>Arts</v>
      </c>
      <c r="C5888" s="2" t="str">
        <f>IFERROR(__xludf.DUMMYFUNCTION("""COMPUTED_VALUE"""),"Public Health")</f>
        <v>Public Health</v>
      </c>
      <c r="D5888" s="2" t="str">
        <f>IFERROR(__xludf.DUMMYFUNCTION("""COMPUTED_VALUE"""),"Oakbridge Publishing House")</f>
        <v>Oakbridge Publishing House</v>
      </c>
      <c r="E5888" s="2">
        <f>IFERROR(__xludf.DUMMYFUNCTION("""COMPUTED_VALUE"""),1.03)</f>
        <v>1.03</v>
      </c>
      <c r="F5888" s="2"/>
      <c r="G5888" s="2"/>
      <c r="H5888" s="2"/>
      <c r="I5888" s="2"/>
    </row>
    <row r="5889">
      <c r="A5889" s="2">
        <f>IFERROR(__xludf.DUMMYFUNCTION("""COMPUTED_VALUE"""),116389.0)</f>
        <v>116389</v>
      </c>
      <c r="B5889" s="2" t="str">
        <f>IFERROR(__xludf.DUMMYFUNCTION("""COMPUTED_VALUE"""),"Arts")</f>
        <v>Arts</v>
      </c>
      <c r="C5889" s="2" t="str">
        <f>IFERROR(__xludf.DUMMYFUNCTION("""COMPUTED_VALUE"""),"Public Health")</f>
        <v>Public Health</v>
      </c>
      <c r="D5889" s="2" t="str">
        <f>IFERROR(__xludf.DUMMYFUNCTION("""COMPUTED_VALUE"""),"Oakbridge Publishing House")</f>
        <v>Oakbridge Publishing House</v>
      </c>
      <c r="E5889" s="2">
        <f>IFERROR(__xludf.DUMMYFUNCTION("""COMPUTED_VALUE"""),2.57)</f>
        <v>2.57</v>
      </c>
      <c r="F5889" s="2"/>
      <c r="G5889" s="2"/>
      <c r="H5889" s="2"/>
      <c r="I5889" s="2"/>
    </row>
    <row r="5890">
      <c r="A5890" s="2">
        <f>IFERROR(__xludf.DUMMYFUNCTION("""COMPUTED_VALUE"""),117573.0)</f>
        <v>117573</v>
      </c>
      <c r="B5890" s="2" t="str">
        <f>IFERROR(__xludf.DUMMYFUNCTION("""COMPUTED_VALUE"""),"Arts")</f>
        <v>Arts</v>
      </c>
      <c r="C5890" s="2" t="str">
        <f>IFERROR(__xludf.DUMMYFUNCTION("""COMPUTED_VALUE"""),"Public Health")</f>
        <v>Public Health</v>
      </c>
      <c r="D5890" s="2" t="str">
        <f>IFERROR(__xludf.DUMMYFUNCTION("""COMPUTED_VALUE"""),"Oakbridge Publishing House")</f>
        <v>Oakbridge Publishing House</v>
      </c>
      <c r="E5890" s="2">
        <f>IFERROR(__xludf.DUMMYFUNCTION("""COMPUTED_VALUE"""),1.56)</f>
        <v>1.56</v>
      </c>
      <c r="F5890" s="2"/>
      <c r="G5890" s="2"/>
      <c r="H5890" s="2"/>
      <c r="I5890" s="2"/>
    </row>
    <row r="5891">
      <c r="A5891" s="2">
        <f>IFERROR(__xludf.DUMMYFUNCTION("""COMPUTED_VALUE"""),47638.0)</f>
        <v>47638</v>
      </c>
      <c r="B5891" s="2" t="str">
        <f>IFERROR(__xludf.DUMMYFUNCTION("""COMPUTED_VALUE"""),"Arts")</f>
        <v>Arts</v>
      </c>
      <c r="C5891" s="2" t="str">
        <f>IFERROR(__xludf.DUMMYFUNCTION("""COMPUTED_VALUE"""),"Public Health")</f>
        <v>Public Health</v>
      </c>
      <c r="D5891" s="2" t="str">
        <f>IFERROR(__xludf.DUMMYFUNCTION("""COMPUTED_VALUE"""),"Oakbridge Publishing House")</f>
        <v>Oakbridge Publishing House</v>
      </c>
      <c r="E5891" s="2">
        <f>IFERROR(__xludf.DUMMYFUNCTION("""COMPUTED_VALUE"""),0.97)</f>
        <v>0.97</v>
      </c>
      <c r="F5891" s="2"/>
      <c r="G5891" s="2"/>
      <c r="H5891" s="2"/>
      <c r="I5891" s="2"/>
    </row>
    <row r="5892">
      <c r="A5892" s="2">
        <f>IFERROR(__xludf.DUMMYFUNCTION("""COMPUTED_VALUE"""),110219.0)</f>
        <v>110219</v>
      </c>
      <c r="B5892" s="2" t="str">
        <f>IFERROR(__xludf.DUMMYFUNCTION("""COMPUTED_VALUE"""),"Medical")</f>
        <v>Medical</v>
      </c>
      <c r="C5892" s="2" t="str">
        <f>IFERROR(__xludf.DUMMYFUNCTION("""COMPUTED_VALUE"""),"Medical Research")</f>
        <v>Medical Research</v>
      </c>
      <c r="D5892" s="2" t="str">
        <f>IFERROR(__xludf.DUMMYFUNCTION("""COMPUTED_VALUE"""),"Riverbridge Publishing House")</f>
        <v>Riverbridge Publishing House</v>
      </c>
      <c r="E5892" s="2">
        <f>IFERROR(__xludf.DUMMYFUNCTION("""COMPUTED_VALUE"""),20.99)</f>
        <v>20.99</v>
      </c>
      <c r="F5892" s="2"/>
      <c r="G5892" s="2"/>
      <c r="H5892" s="2"/>
      <c r="I5892" s="2"/>
    </row>
    <row r="5893">
      <c r="A5893" s="2">
        <f>IFERROR(__xludf.DUMMYFUNCTION("""COMPUTED_VALUE"""),116851.0)</f>
        <v>116851</v>
      </c>
      <c r="B5893" s="2" t="str">
        <f>IFERROR(__xludf.DUMMYFUNCTION("""COMPUTED_VALUE"""),"Medical")</f>
        <v>Medical</v>
      </c>
      <c r="C5893" s="2" t="str">
        <f>IFERROR(__xludf.DUMMYFUNCTION("""COMPUTED_VALUE"""),"Medical Research")</f>
        <v>Medical Research</v>
      </c>
      <c r="D5893" s="2" t="str">
        <f>IFERROR(__xludf.DUMMYFUNCTION("""COMPUTED_VALUE"""),"Riverbridge Publishing House")</f>
        <v>Riverbridge Publishing House</v>
      </c>
      <c r="E5893" s="2">
        <f>IFERROR(__xludf.DUMMYFUNCTION("""COMPUTED_VALUE"""),18.88)</f>
        <v>18.88</v>
      </c>
      <c r="F5893" s="2"/>
      <c r="G5893" s="2"/>
      <c r="H5893" s="2"/>
      <c r="I5893" s="2"/>
    </row>
    <row r="5894">
      <c r="A5894" s="2">
        <f>IFERROR(__xludf.DUMMYFUNCTION("""COMPUTED_VALUE"""),122737.0)</f>
        <v>122737</v>
      </c>
      <c r="B5894" s="2" t="str">
        <f>IFERROR(__xludf.DUMMYFUNCTION("""COMPUTED_VALUE"""),"Medical")</f>
        <v>Medical</v>
      </c>
      <c r="C5894" s="2" t="str">
        <f>IFERROR(__xludf.DUMMYFUNCTION("""COMPUTED_VALUE"""),"Medical Research")</f>
        <v>Medical Research</v>
      </c>
      <c r="D5894" s="2" t="str">
        <f>IFERROR(__xludf.DUMMYFUNCTION("""COMPUTED_VALUE"""),"Riverbridge Publishing House")</f>
        <v>Riverbridge Publishing House</v>
      </c>
      <c r="E5894" s="2">
        <f>IFERROR(__xludf.DUMMYFUNCTION("""COMPUTED_VALUE"""),13.7)</f>
        <v>13.7</v>
      </c>
      <c r="F5894" s="2"/>
      <c r="G5894" s="2"/>
      <c r="H5894" s="2"/>
      <c r="I5894" s="2"/>
    </row>
    <row r="5895">
      <c r="A5895" s="2">
        <f>IFERROR(__xludf.DUMMYFUNCTION("""COMPUTED_VALUE"""),110226.0)</f>
        <v>110226</v>
      </c>
      <c r="B5895" s="2" t="str">
        <f>IFERROR(__xludf.DUMMYFUNCTION("""COMPUTED_VALUE"""),"Medical")</f>
        <v>Medical</v>
      </c>
      <c r="C5895" s="2" t="str">
        <f>IFERROR(__xludf.DUMMYFUNCTION("""COMPUTED_VALUE"""),"Medical Research")</f>
        <v>Medical Research</v>
      </c>
      <c r="D5895" s="2" t="str">
        <f>IFERROR(__xludf.DUMMYFUNCTION("""COMPUTED_VALUE"""),"Ironbridge Publishing House")</f>
        <v>Ironbridge Publishing House</v>
      </c>
      <c r="E5895" s="2">
        <f>IFERROR(__xludf.DUMMYFUNCTION("""COMPUTED_VALUE"""),20.84)</f>
        <v>20.84</v>
      </c>
      <c r="F5895" s="2"/>
      <c r="G5895" s="2"/>
      <c r="H5895" s="2"/>
      <c r="I5895" s="2"/>
    </row>
    <row r="5896">
      <c r="A5896" s="2">
        <f>IFERROR(__xludf.DUMMYFUNCTION("""COMPUTED_VALUE"""),115773.0)</f>
        <v>115773</v>
      </c>
      <c r="B5896" s="2" t="str">
        <f>IFERROR(__xludf.DUMMYFUNCTION("""COMPUTED_VALUE"""),"Medical")</f>
        <v>Medical</v>
      </c>
      <c r="C5896" s="2" t="str">
        <f>IFERROR(__xludf.DUMMYFUNCTION("""COMPUTED_VALUE"""),"Medical Research")</f>
        <v>Medical Research</v>
      </c>
      <c r="D5896" s="2" t="str">
        <f>IFERROR(__xludf.DUMMYFUNCTION("""COMPUTED_VALUE"""),"Ironbridge Publishing House")</f>
        <v>Ironbridge Publishing House</v>
      </c>
      <c r="E5896" s="2">
        <f>IFERROR(__xludf.DUMMYFUNCTION("""COMPUTED_VALUE"""),20.78)</f>
        <v>20.78</v>
      </c>
      <c r="F5896" s="2"/>
      <c r="G5896" s="2"/>
      <c r="H5896" s="2"/>
      <c r="I5896" s="2"/>
    </row>
    <row r="5897">
      <c r="A5897" s="2">
        <f>IFERROR(__xludf.DUMMYFUNCTION("""COMPUTED_VALUE"""),109580.0)</f>
        <v>109580</v>
      </c>
      <c r="B5897" s="2" t="str">
        <f>IFERROR(__xludf.DUMMYFUNCTION("""COMPUTED_VALUE"""),"Medical")</f>
        <v>Medical</v>
      </c>
      <c r="C5897" s="2" t="str">
        <f>IFERROR(__xludf.DUMMYFUNCTION("""COMPUTED_VALUE"""),"Medical Research")</f>
        <v>Medical Research</v>
      </c>
      <c r="D5897" s="2" t="str">
        <f>IFERROR(__xludf.DUMMYFUNCTION("""COMPUTED_VALUE"""),"Ironbridge Publishing House")</f>
        <v>Ironbridge Publishing House</v>
      </c>
      <c r="E5897" s="2">
        <f>IFERROR(__xludf.DUMMYFUNCTION("""COMPUTED_VALUE"""),19.95)</f>
        <v>19.95</v>
      </c>
      <c r="F5897" s="2"/>
      <c r="G5897" s="2"/>
      <c r="H5897" s="2"/>
      <c r="I5897" s="2"/>
    </row>
    <row r="5898">
      <c r="A5898" s="2">
        <f>IFERROR(__xludf.DUMMYFUNCTION("""COMPUTED_VALUE"""),114255.0)</f>
        <v>114255</v>
      </c>
      <c r="B5898" s="2" t="str">
        <f>IFERROR(__xludf.DUMMYFUNCTION("""COMPUTED_VALUE"""),"Medical")</f>
        <v>Medical</v>
      </c>
      <c r="C5898" s="2" t="str">
        <f>IFERROR(__xludf.DUMMYFUNCTION("""COMPUTED_VALUE"""),"Medical Research")</f>
        <v>Medical Research</v>
      </c>
      <c r="D5898" s="2" t="str">
        <f>IFERROR(__xludf.DUMMYFUNCTION("""COMPUTED_VALUE"""),"Claytime Books")</f>
        <v>Claytime Books</v>
      </c>
      <c r="E5898" s="2">
        <f>IFERROR(__xludf.DUMMYFUNCTION("""COMPUTED_VALUE"""),20.62)</f>
        <v>20.62</v>
      </c>
      <c r="F5898" s="2"/>
      <c r="G5898" s="2"/>
      <c r="H5898" s="2"/>
      <c r="I5898" s="2"/>
    </row>
    <row r="5899">
      <c r="A5899" s="2">
        <f>IFERROR(__xludf.DUMMYFUNCTION("""COMPUTED_VALUE"""),122745.0)</f>
        <v>122745</v>
      </c>
      <c r="B5899" s="2" t="str">
        <f>IFERROR(__xludf.DUMMYFUNCTION("""COMPUTED_VALUE"""),"Medical")</f>
        <v>Medical</v>
      </c>
      <c r="C5899" s="2" t="str">
        <f>IFERROR(__xludf.DUMMYFUNCTION("""COMPUTED_VALUE"""),"Medical Research")</f>
        <v>Medical Research</v>
      </c>
      <c r="D5899" s="2" t="str">
        <f>IFERROR(__xludf.DUMMYFUNCTION("""COMPUTED_VALUE"""),"Claytime Books")</f>
        <v>Claytime Books</v>
      </c>
      <c r="E5899" s="2">
        <f>IFERROR(__xludf.DUMMYFUNCTION("""COMPUTED_VALUE"""),13.75)</f>
        <v>13.75</v>
      </c>
      <c r="F5899" s="2"/>
      <c r="G5899" s="2"/>
      <c r="H5899" s="2"/>
      <c r="I5899" s="2"/>
    </row>
    <row r="5900">
      <c r="A5900" s="2">
        <f>IFERROR(__xludf.DUMMYFUNCTION("""COMPUTED_VALUE"""),116873.0)</f>
        <v>116873</v>
      </c>
      <c r="B5900" s="2" t="str">
        <f>IFERROR(__xludf.DUMMYFUNCTION("""COMPUTED_VALUE"""),"Medical")</f>
        <v>Medical</v>
      </c>
      <c r="C5900" s="2" t="str">
        <f>IFERROR(__xludf.DUMMYFUNCTION("""COMPUTED_VALUE"""),"Medical Research")</f>
        <v>Medical Research</v>
      </c>
      <c r="D5900" s="2" t="str">
        <f>IFERROR(__xludf.DUMMYFUNCTION("""COMPUTED_VALUE"""),"Claytime Books")</f>
        <v>Claytime Books</v>
      </c>
      <c r="E5900" s="2">
        <f>IFERROR(__xludf.DUMMYFUNCTION("""COMPUTED_VALUE"""),18.57)</f>
        <v>18.57</v>
      </c>
      <c r="F5900" s="2"/>
      <c r="G5900" s="2"/>
      <c r="H5900" s="2"/>
      <c r="I5900" s="2"/>
    </row>
    <row r="5901">
      <c r="A5901" s="2">
        <f>IFERROR(__xludf.DUMMYFUNCTION("""COMPUTED_VALUE"""),110228.0)</f>
        <v>110228</v>
      </c>
      <c r="B5901" s="2" t="str">
        <f>IFERROR(__xludf.DUMMYFUNCTION("""COMPUTED_VALUE"""),"Medical")</f>
        <v>Medical</v>
      </c>
      <c r="C5901" s="2" t="str">
        <f>IFERROR(__xludf.DUMMYFUNCTION("""COMPUTED_VALUE"""),"Medical Research")</f>
        <v>Medical Research</v>
      </c>
      <c r="D5901" s="2" t="str">
        <f>IFERROR(__xludf.DUMMYFUNCTION("""COMPUTED_VALUE"""),"Claytime Books")</f>
        <v>Claytime Books</v>
      </c>
      <c r="E5901" s="2">
        <f>IFERROR(__xludf.DUMMYFUNCTION("""COMPUTED_VALUE"""),20.73)</f>
        <v>20.73</v>
      </c>
      <c r="F5901" s="2"/>
      <c r="G5901" s="2"/>
      <c r="H5901" s="2"/>
      <c r="I5901" s="2"/>
    </row>
    <row r="5902">
      <c r="A5902" s="2"/>
      <c r="B5902" s="2"/>
      <c r="C5902" s="2"/>
      <c r="D5902" s="2"/>
      <c r="E5902" s="2">
        <f>IFERROR(__xludf.DUMMYFUNCTION("""COMPUTED_VALUE"""),0.0)</f>
        <v>0</v>
      </c>
      <c r="F5902" s="2"/>
      <c r="G5902" s="2"/>
      <c r="H5902" s="2"/>
      <c r="I5902" s="2"/>
    </row>
    <row r="5903">
      <c r="A5903" s="2"/>
      <c r="B5903" s="2"/>
      <c r="C5903" s="2"/>
      <c r="D5903" s="2"/>
      <c r="E5903" s="2">
        <f>IFERROR(__xludf.DUMMYFUNCTION("""COMPUTED_VALUE"""),0.0)</f>
        <v>0</v>
      </c>
      <c r="F5903" s="2"/>
      <c r="G5903" s="2"/>
      <c r="H5903" s="2"/>
      <c r="I5903" s="2"/>
    </row>
    <row r="5904">
      <c r="A5904" s="2"/>
      <c r="B5904" s="2"/>
      <c r="C5904" s="2"/>
      <c r="D5904" s="2"/>
      <c r="E5904" s="2">
        <f>IFERROR(__xludf.DUMMYFUNCTION("""COMPUTED_VALUE"""),0.0)</f>
        <v>0</v>
      </c>
      <c r="F5904" s="2"/>
      <c r="G5904" s="2"/>
      <c r="H5904" s="2"/>
      <c r="I5904" s="2"/>
    </row>
    <row r="5905">
      <c r="A5905" s="2"/>
      <c r="B5905" s="2"/>
      <c r="C5905" s="2"/>
      <c r="D5905" s="2"/>
      <c r="E5905" s="2">
        <f>IFERROR(__xludf.DUMMYFUNCTION("""COMPUTED_VALUE"""),0.0)</f>
        <v>0</v>
      </c>
      <c r="F5905" s="2"/>
      <c r="G5905" s="2"/>
      <c r="H5905" s="2"/>
      <c r="I5905" s="2"/>
    </row>
    <row r="5906">
      <c r="A5906" s="2"/>
      <c r="B5906" s="2"/>
      <c r="C5906" s="2"/>
      <c r="D5906" s="2"/>
      <c r="E5906" s="2">
        <f>IFERROR(__xludf.DUMMYFUNCTION("""COMPUTED_VALUE"""),0.0)</f>
        <v>0</v>
      </c>
      <c r="F5906" s="2"/>
      <c r="G5906" s="2"/>
      <c r="H5906" s="2"/>
      <c r="I5906" s="2"/>
    </row>
    <row r="5907">
      <c r="A5907" s="2"/>
      <c r="B5907" s="2"/>
      <c r="C5907" s="2"/>
      <c r="D5907" s="2"/>
      <c r="E5907" s="2">
        <f>IFERROR(__xludf.DUMMYFUNCTION("""COMPUTED_VALUE"""),0.0)</f>
        <v>0</v>
      </c>
      <c r="F5907" s="2"/>
      <c r="G5907" s="2"/>
      <c r="H5907" s="2"/>
      <c r="I5907" s="2"/>
    </row>
    <row r="5908">
      <c r="A5908" s="2"/>
      <c r="B5908" s="2"/>
      <c r="C5908" s="2"/>
      <c r="D5908" s="2"/>
      <c r="E5908" s="2">
        <f>IFERROR(__xludf.DUMMYFUNCTION("""COMPUTED_VALUE"""),0.0)</f>
        <v>0</v>
      </c>
      <c r="F5908" s="2"/>
      <c r="G5908" s="2"/>
      <c r="H5908" s="2"/>
      <c r="I5908" s="2"/>
    </row>
    <row r="5909">
      <c r="A5909" s="2"/>
      <c r="B5909" s="2"/>
      <c r="C5909" s="2"/>
      <c r="D5909" s="2"/>
      <c r="E5909" s="2">
        <f>IFERROR(__xludf.DUMMYFUNCTION("""COMPUTED_VALUE"""),0.0)</f>
        <v>0</v>
      </c>
      <c r="F5909" s="2"/>
      <c r="G5909" s="2"/>
      <c r="H5909" s="2"/>
      <c r="I5909" s="2"/>
    </row>
    <row r="5910">
      <c r="A5910" s="2"/>
      <c r="B5910" s="2"/>
      <c r="C5910" s="2"/>
      <c r="D5910" s="2"/>
      <c r="E5910" s="2">
        <f>IFERROR(__xludf.DUMMYFUNCTION("""COMPUTED_VALUE"""),0.0)</f>
        <v>0</v>
      </c>
      <c r="F5910" s="2"/>
      <c r="G5910" s="2"/>
      <c r="H5910" s="2"/>
      <c r="I5910" s="2"/>
    </row>
    <row r="5911">
      <c r="A5911" s="2"/>
      <c r="B5911" s="2"/>
      <c r="C5911" s="2"/>
      <c r="D5911" s="2"/>
      <c r="E5911" s="2">
        <f>IFERROR(__xludf.DUMMYFUNCTION("""COMPUTED_VALUE"""),0.0)</f>
        <v>0</v>
      </c>
      <c r="F5911" s="2"/>
      <c r="G5911" s="2"/>
      <c r="H5911" s="2"/>
      <c r="I5911" s="2"/>
    </row>
    <row r="5912">
      <c r="A5912" s="2"/>
      <c r="B5912" s="2"/>
      <c r="C5912" s="2"/>
      <c r="D5912" s="2"/>
      <c r="E5912" s="2">
        <f>IFERROR(__xludf.DUMMYFUNCTION("""COMPUTED_VALUE"""),0.0)</f>
        <v>0</v>
      </c>
      <c r="F5912" s="2"/>
      <c r="G5912" s="2"/>
      <c r="H5912" s="2"/>
      <c r="I5912" s="2"/>
    </row>
    <row r="5913">
      <c r="A5913" s="2"/>
      <c r="B5913" s="2"/>
      <c r="C5913" s="2"/>
      <c r="D5913" s="2"/>
      <c r="E5913" s="2">
        <f>IFERROR(__xludf.DUMMYFUNCTION("""COMPUTED_VALUE"""),0.0)</f>
        <v>0</v>
      </c>
      <c r="F5913" s="2"/>
      <c r="G5913" s="2"/>
      <c r="H5913" s="2"/>
      <c r="I5913" s="2"/>
    </row>
    <row r="5914">
      <c r="A5914" s="2"/>
      <c r="B5914" s="2"/>
      <c r="C5914" s="2"/>
      <c r="D5914" s="2"/>
      <c r="E5914" s="2">
        <f>IFERROR(__xludf.DUMMYFUNCTION("""COMPUTED_VALUE"""),0.0)</f>
        <v>0</v>
      </c>
      <c r="F5914" s="2"/>
      <c r="G5914" s="2"/>
      <c r="H5914" s="2"/>
      <c r="I5914" s="2"/>
    </row>
    <row r="5915">
      <c r="A5915" s="2"/>
      <c r="B5915" s="2"/>
      <c r="C5915" s="2"/>
      <c r="D5915" s="2"/>
      <c r="E5915" s="2">
        <f>IFERROR(__xludf.DUMMYFUNCTION("""COMPUTED_VALUE"""),0.0)</f>
        <v>0</v>
      </c>
      <c r="F5915" s="2"/>
      <c r="G5915" s="2"/>
      <c r="H5915" s="2"/>
      <c r="I5915" s="2"/>
    </row>
    <row r="5916">
      <c r="A5916" s="2"/>
      <c r="B5916" s="2"/>
      <c r="C5916" s="2"/>
      <c r="D5916" s="2"/>
      <c r="E5916" s="2">
        <f>IFERROR(__xludf.DUMMYFUNCTION("""COMPUTED_VALUE"""),0.0)</f>
        <v>0</v>
      </c>
      <c r="F5916" s="2"/>
      <c r="G5916" s="2"/>
      <c r="H5916" s="2"/>
      <c r="I5916" s="2"/>
    </row>
    <row r="5917">
      <c r="A5917" s="2"/>
      <c r="B5917" s="2"/>
      <c r="C5917" s="2"/>
      <c r="D5917" s="2"/>
      <c r="E5917" s="2">
        <f>IFERROR(__xludf.DUMMYFUNCTION("""COMPUTED_VALUE"""),0.0)</f>
        <v>0</v>
      </c>
      <c r="F5917" s="2"/>
      <c r="G5917" s="2"/>
      <c r="H5917" s="2"/>
      <c r="I5917" s="2"/>
    </row>
    <row r="5918">
      <c r="A5918" s="2"/>
      <c r="B5918" s="2"/>
      <c r="C5918" s="2"/>
      <c r="D5918" s="2"/>
      <c r="E5918" s="2">
        <f>IFERROR(__xludf.DUMMYFUNCTION("""COMPUTED_VALUE"""),0.0)</f>
        <v>0</v>
      </c>
      <c r="F5918" s="2"/>
      <c r="G5918" s="2"/>
      <c r="H5918" s="2"/>
      <c r="I5918" s="2"/>
    </row>
    <row r="5919">
      <c r="A5919" s="2"/>
      <c r="B5919" s="2"/>
      <c r="C5919" s="2"/>
      <c r="D5919" s="2"/>
      <c r="E5919" s="2">
        <f>IFERROR(__xludf.DUMMYFUNCTION("""COMPUTED_VALUE"""),0.0)</f>
        <v>0</v>
      </c>
      <c r="F5919" s="2"/>
      <c r="G5919" s="2"/>
      <c r="H5919" s="2"/>
      <c r="I5919" s="2"/>
    </row>
    <row r="5920">
      <c r="A5920" s="2"/>
      <c r="B5920" s="2"/>
      <c r="C5920" s="2"/>
      <c r="D5920" s="2"/>
      <c r="E5920" s="2">
        <f>IFERROR(__xludf.DUMMYFUNCTION("""COMPUTED_VALUE"""),0.0)</f>
        <v>0</v>
      </c>
      <c r="F5920" s="2"/>
      <c r="G5920" s="2"/>
      <c r="H5920" s="2"/>
      <c r="I5920" s="2"/>
    </row>
    <row r="5921">
      <c r="A5921" s="2"/>
      <c r="B5921" s="2"/>
      <c r="C5921" s="2"/>
      <c r="D5921" s="2"/>
      <c r="E5921" s="2">
        <f>IFERROR(__xludf.DUMMYFUNCTION("""COMPUTED_VALUE"""),0.0)</f>
        <v>0</v>
      </c>
      <c r="F5921" s="2"/>
      <c r="G5921" s="2"/>
      <c r="H5921" s="2"/>
      <c r="I5921" s="2"/>
    </row>
    <row r="5922">
      <c r="A5922" s="2"/>
      <c r="B5922" s="2"/>
      <c r="C5922" s="2"/>
      <c r="D5922" s="2"/>
      <c r="E5922" s="2">
        <f>IFERROR(__xludf.DUMMYFUNCTION("""COMPUTED_VALUE"""),0.0)</f>
        <v>0</v>
      </c>
      <c r="F5922" s="2"/>
      <c r="G5922" s="2"/>
      <c r="H5922" s="2"/>
      <c r="I5922" s="2"/>
    </row>
    <row r="5923">
      <c r="A5923" s="2"/>
      <c r="B5923" s="2"/>
      <c r="C5923" s="2"/>
      <c r="D5923" s="2"/>
      <c r="E5923" s="2">
        <f>IFERROR(__xludf.DUMMYFUNCTION("""COMPUTED_VALUE"""),0.0)</f>
        <v>0</v>
      </c>
      <c r="F5923" s="2"/>
      <c r="G5923" s="2"/>
      <c r="H5923" s="2"/>
      <c r="I5923" s="2"/>
    </row>
    <row r="5924">
      <c r="A5924" s="2"/>
      <c r="B5924" s="2"/>
      <c r="C5924" s="2"/>
      <c r="D5924" s="2"/>
      <c r="E5924" s="2">
        <f>IFERROR(__xludf.DUMMYFUNCTION("""COMPUTED_VALUE"""),0.0)</f>
        <v>0</v>
      </c>
      <c r="F5924" s="2"/>
      <c r="G5924" s="2"/>
      <c r="H5924" s="2"/>
      <c r="I5924" s="2"/>
    </row>
    <row r="5925">
      <c r="A5925" s="2"/>
      <c r="B5925" s="2"/>
      <c r="C5925" s="2"/>
      <c r="D5925" s="2"/>
      <c r="E5925" s="2">
        <f>IFERROR(__xludf.DUMMYFUNCTION("""COMPUTED_VALUE"""),0.0)</f>
        <v>0</v>
      </c>
      <c r="F5925" s="2"/>
      <c r="G5925" s="2"/>
      <c r="H5925" s="2"/>
      <c r="I5925" s="2"/>
    </row>
    <row r="5926">
      <c r="A5926" s="2"/>
      <c r="B5926" s="2"/>
      <c r="C5926" s="2"/>
      <c r="D5926" s="2"/>
      <c r="E5926" s="2">
        <f>IFERROR(__xludf.DUMMYFUNCTION("""COMPUTED_VALUE"""),0.0)</f>
        <v>0</v>
      </c>
      <c r="F5926" s="2"/>
      <c r="G5926" s="2"/>
      <c r="H5926" s="2"/>
      <c r="I5926" s="2"/>
    </row>
    <row r="5927">
      <c r="A5927" s="2"/>
      <c r="B5927" s="2"/>
      <c r="C5927" s="2"/>
      <c r="D5927" s="2"/>
      <c r="E5927" s="2">
        <f>IFERROR(__xludf.DUMMYFUNCTION("""COMPUTED_VALUE"""),0.0)</f>
        <v>0</v>
      </c>
      <c r="F5927" s="2"/>
      <c r="G5927" s="2"/>
      <c r="H5927" s="2"/>
      <c r="I5927" s="2"/>
    </row>
    <row r="5928">
      <c r="A5928" s="2"/>
      <c r="B5928" s="2"/>
      <c r="C5928" s="2"/>
      <c r="D5928" s="2"/>
      <c r="E5928" s="2">
        <f>IFERROR(__xludf.DUMMYFUNCTION("""COMPUTED_VALUE"""),0.0)</f>
        <v>0</v>
      </c>
      <c r="F5928" s="2"/>
      <c r="G5928" s="2"/>
      <c r="H5928" s="2"/>
      <c r="I5928" s="2"/>
    </row>
    <row r="5929">
      <c r="A5929" s="2"/>
      <c r="B5929" s="2"/>
      <c r="C5929" s="2"/>
      <c r="D5929" s="2"/>
      <c r="E5929" s="2">
        <f>IFERROR(__xludf.DUMMYFUNCTION("""COMPUTED_VALUE"""),0.0)</f>
        <v>0</v>
      </c>
      <c r="F5929" s="2"/>
      <c r="G5929" s="2"/>
      <c r="H5929" s="2"/>
      <c r="I5929" s="2"/>
    </row>
    <row r="5930">
      <c r="A5930" s="2"/>
      <c r="B5930" s="2"/>
      <c r="C5930" s="2"/>
      <c r="D5930" s="2"/>
      <c r="E5930" s="2">
        <f>IFERROR(__xludf.DUMMYFUNCTION("""COMPUTED_VALUE"""),0.0)</f>
        <v>0</v>
      </c>
      <c r="F5930" s="2"/>
      <c r="G5930" s="2"/>
      <c r="H5930" s="2"/>
      <c r="I5930" s="2"/>
    </row>
    <row r="5931">
      <c r="A5931" s="2"/>
      <c r="B5931" s="2"/>
      <c r="C5931" s="2"/>
      <c r="D5931" s="2"/>
      <c r="E5931" s="2">
        <f>IFERROR(__xludf.DUMMYFUNCTION("""COMPUTED_VALUE"""),0.0)</f>
        <v>0</v>
      </c>
      <c r="F5931" s="2"/>
      <c r="G5931" s="2"/>
      <c r="H5931" s="2"/>
      <c r="I5931" s="2"/>
    </row>
    <row r="5932">
      <c r="A5932" s="2"/>
      <c r="B5932" s="2"/>
      <c r="C5932" s="2"/>
      <c r="D5932" s="2"/>
      <c r="E5932" s="2">
        <f>IFERROR(__xludf.DUMMYFUNCTION("""COMPUTED_VALUE"""),0.0)</f>
        <v>0</v>
      </c>
      <c r="F5932" s="2"/>
      <c r="G5932" s="2"/>
      <c r="H5932" s="2"/>
      <c r="I5932" s="2"/>
    </row>
    <row r="5933">
      <c r="A5933" s="2"/>
      <c r="B5933" s="2"/>
      <c r="C5933" s="2"/>
      <c r="D5933" s="2"/>
      <c r="E5933" s="2">
        <f>IFERROR(__xludf.DUMMYFUNCTION("""COMPUTED_VALUE"""),0.0)</f>
        <v>0</v>
      </c>
      <c r="F5933" s="2"/>
      <c r="G5933" s="2"/>
      <c r="H5933" s="2"/>
      <c r="I5933" s="2"/>
    </row>
    <row r="5934">
      <c r="A5934" s="2"/>
      <c r="B5934" s="2"/>
      <c r="C5934" s="2"/>
      <c r="D5934" s="2"/>
      <c r="E5934" s="2">
        <f>IFERROR(__xludf.DUMMYFUNCTION("""COMPUTED_VALUE"""),0.0)</f>
        <v>0</v>
      </c>
      <c r="F5934" s="2"/>
      <c r="G5934" s="2"/>
      <c r="H5934" s="2"/>
      <c r="I5934" s="2"/>
    </row>
    <row r="5935">
      <c r="A5935" s="2"/>
      <c r="B5935" s="2"/>
      <c r="C5935" s="2"/>
      <c r="D5935" s="2"/>
      <c r="E5935" s="2">
        <f>IFERROR(__xludf.DUMMYFUNCTION("""COMPUTED_VALUE"""),0.0)</f>
        <v>0</v>
      </c>
      <c r="F5935" s="2"/>
      <c r="G5935" s="2"/>
      <c r="H5935" s="2"/>
      <c r="I5935" s="2"/>
    </row>
    <row r="5936">
      <c r="A5936" s="2"/>
      <c r="B5936" s="2"/>
      <c r="C5936" s="2"/>
      <c r="D5936" s="2"/>
      <c r="E5936" s="2">
        <f>IFERROR(__xludf.DUMMYFUNCTION("""COMPUTED_VALUE"""),0.0)</f>
        <v>0</v>
      </c>
      <c r="F5936" s="2"/>
      <c r="G5936" s="2"/>
      <c r="H5936" s="2"/>
      <c r="I5936" s="2"/>
    </row>
    <row r="5937">
      <c r="A5937" s="2"/>
      <c r="B5937" s="2"/>
      <c r="C5937" s="2"/>
      <c r="D5937" s="2"/>
      <c r="E5937" s="2">
        <f>IFERROR(__xludf.DUMMYFUNCTION("""COMPUTED_VALUE"""),0.0)</f>
        <v>0</v>
      </c>
      <c r="F5937" s="2"/>
      <c r="G5937" s="2"/>
      <c r="H5937" s="2"/>
      <c r="I5937" s="2"/>
    </row>
    <row r="5938">
      <c r="A5938" s="2"/>
      <c r="B5938" s="2"/>
      <c r="C5938" s="2"/>
      <c r="D5938" s="2"/>
      <c r="E5938" s="2">
        <f>IFERROR(__xludf.DUMMYFUNCTION("""COMPUTED_VALUE"""),0.0)</f>
        <v>0</v>
      </c>
      <c r="F5938" s="2"/>
      <c r="G5938" s="2"/>
      <c r="H5938" s="2"/>
      <c r="I5938" s="2"/>
    </row>
    <row r="5939">
      <c r="A5939" s="2"/>
      <c r="B5939" s="2"/>
      <c r="C5939" s="2"/>
      <c r="D5939" s="2"/>
      <c r="E5939" s="2">
        <f>IFERROR(__xludf.DUMMYFUNCTION("""COMPUTED_VALUE"""),0.0)</f>
        <v>0</v>
      </c>
      <c r="F5939" s="2"/>
      <c r="G5939" s="2"/>
      <c r="H5939" s="2"/>
      <c r="I5939" s="2"/>
    </row>
    <row r="5940">
      <c r="A5940" s="2"/>
      <c r="B5940" s="2"/>
      <c r="C5940" s="2"/>
      <c r="D5940" s="2"/>
      <c r="E5940" s="2">
        <f>IFERROR(__xludf.DUMMYFUNCTION("""COMPUTED_VALUE"""),0.0)</f>
        <v>0</v>
      </c>
      <c r="F5940" s="2"/>
      <c r="G5940" s="2"/>
      <c r="H5940" s="2"/>
      <c r="I5940" s="2"/>
    </row>
    <row r="5941">
      <c r="A5941" s="2"/>
      <c r="B5941" s="2"/>
      <c r="C5941" s="2"/>
      <c r="D5941" s="2"/>
      <c r="E5941" s="2">
        <f>IFERROR(__xludf.DUMMYFUNCTION("""COMPUTED_VALUE"""),0.0)</f>
        <v>0</v>
      </c>
      <c r="F5941" s="2"/>
      <c r="G5941" s="2"/>
      <c r="H5941" s="2"/>
      <c r="I5941" s="2"/>
    </row>
    <row r="5942">
      <c r="A5942" s="2"/>
      <c r="B5942" s="2"/>
      <c r="C5942" s="2"/>
      <c r="D5942" s="2"/>
      <c r="E5942" s="2">
        <f>IFERROR(__xludf.DUMMYFUNCTION("""COMPUTED_VALUE"""),0.0)</f>
        <v>0</v>
      </c>
      <c r="F5942" s="2"/>
      <c r="G5942" s="2"/>
      <c r="H5942" s="2"/>
      <c r="I5942" s="2"/>
    </row>
    <row r="5943">
      <c r="A5943" s="2"/>
      <c r="B5943" s="2"/>
      <c r="C5943" s="2"/>
      <c r="D5943" s="2"/>
      <c r="E5943" s="2">
        <f>IFERROR(__xludf.DUMMYFUNCTION("""COMPUTED_VALUE"""),0.0)</f>
        <v>0</v>
      </c>
      <c r="F5943" s="2"/>
      <c r="G5943" s="2"/>
      <c r="H5943" s="2"/>
      <c r="I5943" s="2"/>
    </row>
    <row r="5944">
      <c r="A5944" s="2"/>
      <c r="B5944" s="2"/>
      <c r="C5944" s="2"/>
      <c r="D5944" s="2"/>
      <c r="E5944" s="2">
        <f>IFERROR(__xludf.DUMMYFUNCTION("""COMPUTED_VALUE"""),0.0)</f>
        <v>0</v>
      </c>
      <c r="F5944" s="2"/>
      <c r="G5944" s="2"/>
      <c r="H5944" s="2"/>
      <c r="I5944" s="2"/>
    </row>
    <row r="5945">
      <c r="A5945" s="2"/>
      <c r="B5945" s="2"/>
      <c r="C5945" s="2"/>
      <c r="D5945" s="2"/>
      <c r="E5945" s="2">
        <f>IFERROR(__xludf.DUMMYFUNCTION("""COMPUTED_VALUE"""),0.0)</f>
        <v>0</v>
      </c>
      <c r="F5945" s="2"/>
      <c r="G5945" s="2"/>
      <c r="H5945" s="2"/>
      <c r="I5945" s="2"/>
    </row>
    <row r="5946">
      <c r="A5946" s="2"/>
      <c r="B5946" s="2"/>
      <c r="C5946" s="2"/>
      <c r="D5946" s="2"/>
      <c r="E5946" s="2">
        <f>IFERROR(__xludf.DUMMYFUNCTION("""COMPUTED_VALUE"""),0.0)</f>
        <v>0</v>
      </c>
      <c r="F5946" s="2"/>
      <c r="G5946" s="2"/>
      <c r="H5946" s="2"/>
      <c r="I5946" s="2"/>
    </row>
    <row r="5947">
      <c r="A5947" s="2"/>
      <c r="B5947" s="2"/>
      <c r="C5947" s="2"/>
      <c r="D5947" s="2"/>
      <c r="E5947" s="2">
        <f>IFERROR(__xludf.DUMMYFUNCTION("""COMPUTED_VALUE"""),0.0)</f>
        <v>0</v>
      </c>
      <c r="F5947" s="2"/>
      <c r="G5947" s="2"/>
      <c r="H5947" s="2"/>
      <c r="I5947" s="2"/>
    </row>
    <row r="5948">
      <c r="A5948" s="2"/>
      <c r="B5948" s="2"/>
      <c r="C5948" s="2"/>
      <c r="D5948" s="2"/>
      <c r="E5948" s="2">
        <f>IFERROR(__xludf.DUMMYFUNCTION("""COMPUTED_VALUE"""),0.0)</f>
        <v>0</v>
      </c>
      <c r="F5948" s="2"/>
      <c r="G5948" s="2"/>
      <c r="H5948" s="2"/>
      <c r="I5948" s="2"/>
    </row>
    <row r="5949">
      <c r="A5949" s="2"/>
      <c r="B5949" s="2"/>
      <c r="C5949" s="2"/>
      <c r="D5949" s="2"/>
      <c r="E5949" s="2">
        <f>IFERROR(__xludf.DUMMYFUNCTION("""COMPUTED_VALUE"""),0.0)</f>
        <v>0</v>
      </c>
      <c r="F5949" s="2"/>
      <c r="G5949" s="2"/>
      <c r="H5949" s="2"/>
      <c r="I5949" s="2"/>
    </row>
    <row r="5950">
      <c r="A5950" s="2"/>
      <c r="B5950" s="2"/>
      <c r="C5950" s="2"/>
      <c r="D5950" s="2"/>
      <c r="E5950" s="2">
        <f>IFERROR(__xludf.DUMMYFUNCTION("""COMPUTED_VALUE"""),0.0)</f>
        <v>0</v>
      </c>
      <c r="F5950" s="2"/>
      <c r="G5950" s="2"/>
      <c r="H5950" s="2"/>
      <c r="I5950" s="2"/>
    </row>
    <row r="5951">
      <c r="A5951" s="2"/>
      <c r="B5951" s="2"/>
      <c r="C5951" s="2"/>
      <c r="D5951" s="2"/>
      <c r="E5951" s="2">
        <f>IFERROR(__xludf.DUMMYFUNCTION("""COMPUTED_VALUE"""),0.0)</f>
        <v>0</v>
      </c>
      <c r="F5951" s="2"/>
      <c r="G5951" s="2"/>
      <c r="H5951" s="2"/>
      <c r="I5951" s="2"/>
    </row>
    <row r="5952">
      <c r="A5952" s="2"/>
      <c r="B5952" s="2"/>
      <c r="C5952" s="2"/>
      <c r="D5952" s="2"/>
      <c r="E5952" s="2">
        <f>IFERROR(__xludf.DUMMYFUNCTION("""COMPUTED_VALUE"""),0.0)</f>
        <v>0</v>
      </c>
      <c r="F5952" s="2"/>
      <c r="G5952" s="2"/>
      <c r="H5952" s="2"/>
      <c r="I5952" s="2"/>
    </row>
    <row r="5953">
      <c r="A5953" s="2"/>
      <c r="B5953" s="2"/>
      <c r="C5953" s="2"/>
      <c r="D5953" s="2"/>
      <c r="E5953" s="2">
        <f>IFERROR(__xludf.DUMMYFUNCTION("""COMPUTED_VALUE"""),0.0)</f>
        <v>0</v>
      </c>
      <c r="F5953" s="2"/>
      <c r="G5953" s="2"/>
      <c r="H5953" s="2"/>
      <c r="I5953" s="2"/>
    </row>
    <row r="5954">
      <c r="A5954" s="2"/>
      <c r="B5954" s="2"/>
      <c r="C5954" s="2"/>
      <c r="D5954" s="2"/>
      <c r="E5954" s="2">
        <f>IFERROR(__xludf.DUMMYFUNCTION("""COMPUTED_VALUE"""),0.0)</f>
        <v>0</v>
      </c>
      <c r="F5954" s="2"/>
      <c r="G5954" s="2"/>
      <c r="H5954" s="2"/>
      <c r="I5954" s="2"/>
    </row>
    <row r="5955">
      <c r="A5955" s="2"/>
      <c r="B5955" s="2"/>
      <c r="C5955" s="2"/>
      <c r="D5955" s="2"/>
      <c r="E5955" s="2">
        <f>IFERROR(__xludf.DUMMYFUNCTION("""COMPUTED_VALUE"""),0.0)</f>
        <v>0</v>
      </c>
      <c r="F5955" s="2"/>
      <c r="G5955" s="2"/>
      <c r="H5955" s="2"/>
      <c r="I5955" s="2"/>
    </row>
    <row r="5956">
      <c r="A5956" s="2"/>
      <c r="B5956" s="2"/>
      <c r="C5956" s="2"/>
      <c r="D5956" s="2"/>
      <c r="E5956" s="2">
        <f>IFERROR(__xludf.DUMMYFUNCTION("""COMPUTED_VALUE"""),0.0)</f>
        <v>0</v>
      </c>
      <c r="F5956" s="2"/>
      <c r="G5956" s="2"/>
      <c r="H5956" s="2"/>
      <c r="I5956" s="2"/>
    </row>
    <row r="5957">
      <c r="A5957" s="2"/>
      <c r="B5957" s="2"/>
      <c r="C5957" s="2"/>
      <c r="D5957" s="2"/>
      <c r="E5957" s="2">
        <f>IFERROR(__xludf.DUMMYFUNCTION("""COMPUTED_VALUE"""),0.0)</f>
        <v>0</v>
      </c>
      <c r="F5957" s="2"/>
      <c r="G5957" s="2"/>
      <c r="H5957" s="2"/>
      <c r="I5957" s="2"/>
    </row>
    <row r="5958">
      <c r="A5958" s="2"/>
      <c r="B5958" s="2"/>
      <c r="C5958" s="2"/>
      <c r="D5958" s="2"/>
      <c r="E5958" s="2">
        <f>IFERROR(__xludf.DUMMYFUNCTION("""COMPUTED_VALUE"""),0.0)</f>
        <v>0</v>
      </c>
      <c r="F5958" s="2"/>
      <c r="G5958" s="2"/>
      <c r="H5958" s="2"/>
      <c r="I5958" s="2"/>
    </row>
    <row r="5959">
      <c r="A5959" s="2"/>
      <c r="B5959" s="2"/>
      <c r="C5959" s="2"/>
      <c r="D5959" s="2"/>
      <c r="E5959" s="2">
        <f>IFERROR(__xludf.DUMMYFUNCTION("""COMPUTED_VALUE"""),0.0)</f>
        <v>0</v>
      </c>
      <c r="F5959" s="2"/>
      <c r="G5959" s="2"/>
      <c r="H5959" s="2"/>
      <c r="I5959" s="2"/>
    </row>
    <row r="5960">
      <c r="A5960" s="2"/>
      <c r="B5960" s="2"/>
      <c r="C5960" s="2"/>
      <c r="D5960" s="2"/>
      <c r="E5960" s="2">
        <f>IFERROR(__xludf.DUMMYFUNCTION("""COMPUTED_VALUE"""),0.0)</f>
        <v>0</v>
      </c>
      <c r="F5960" s="2"/>
      <c r="G5960" s="2"/>
      <c r="H5960" s="2"/>
      <c r="I5960" s="2"/>
    </row>
    <row r="5961">
      <c r="A5961" s="2"/>
      <c r="B5961" s="2"/>
      <c r="C5961" s="2"/>
      <c r="D5961" s="2"/>
      <c r="E5961" s="2">
        <f>IFERROR(__xludf.DUMMYFUNCTION("""COMPUTED_VALUE"""),0.0)</f>
        <v>0</v>
      </c>
      <c r="F5961" s="2"/>
      <c r="G5961" s="2"/>
      <c r="H5961" s="2"/>
      <c r="I5961" s="2"/>
    </row>
    <row r="5962">
      <c r="A5962" s="2"/>
      <c r="B5962" s="2"/>
      <c r="C5962" s="2"/>
      <c r="D5962" s="2"/>
      <c r="E5962" s="2">
        <f>IFERROR(__xludf.DUMMYFUNCTION("""COMPUTED_VALUE"""),0.0)</f>
        <v>0</v>
      </c>
      <c r="F5962" s="2"/>
      <c r="G5962" s="2"/>
      <c r="H5962" s="2"/>
      <c r="I5962" s="2"/>
    </row>
    <row r="5963">
      <c r="A5963" s="2"/>
      <c r="B5963" s="2"/>
      <c r="C5963" s="2"/>
      <c r="D5963" s="2"/>
      <c r="E5963" s="2">
        <f>IFERROR(__xludf.DUMMYFUNCTION("""COMPUTED_VALUE"""),0.0)</f>
        <v>0</v>
      </c>
      <c r="F5963" s="2"/>
      <c r="G5963" s="2"/>
      <c r="H5963" s="2"/>
      <c r="I5963" s="2"/>
    </row>
    <row r="5964">
      <c r="A5964" s="2"/>
      <c r="B5964" s="2"/>
      <c r="C5964" s="2"/>
      <c r="D5964" s="2"/>
      <c r="E5964" s="2">
        <f>IFERROR(__xludf.DUMMYFUNCTION("""COMPUTED_VALUE"""),0.0)</f>
        <v>0</v>
      </c>
      <c r="F5964" s="2"/>
      <c r="G5964" s="2"/>
      <c r="H5964" s="2"/>
      <c r="I5964" s="2"/>
    </row>
    <row r="5965">
      <c r="A5965" s="2"/>
      <c r="B5965" s="2"/>
      <c r="C5965" s="2"/>
      <c r="D5965" s="2"/>
      <c r="E5965" s="2">
        <f>IFERROR(__xludf.DUMMYFUNCTION("""COMPUTED_VALUE"""),0.0)</f>
        <v>0</v>
      </c>
      <c r="F5965" s="2"/>
      <c r="G5965" s="2"/>
      <c r="H5965" s="2"/>
      <c r="I5965" s="2"/>
    </row>
    <row r="5966">
      <c r="A5966" s="2"/>
      <c r="B5966" s="2"/>
      <c r="C5966" s="2"/>
      <c r="D5966" s="2"/>
      <c r="E5966" s="2">
        <f>IFERROR(__xludf.DUMMYFUNCTION("""COMPUTED_VALUE"""),0.0)</f>
        <v>0</v>
      </c>
      <c r="F5966" s="2"/>
      <c r="G5966" s="2"/>
      <c r="H5966" s="2"/>
      <c r="I5966" s="2"/>
    </row>
    <row r="5967">
      <c r="A5967" s="2"/>
      <c r="B5967" s="2"/>
      <c r="C5967" s="2"/>
      <c r="D5967" s="2"/>
      <c r="E5967" s="2">
        <f>IFERROR(__xludf.DUMMYFUNCTION("""COMPUTED_VALUE"""),0.0)</f>
        <v>0</v>
      </c>
      <c r="F5967" s="2"/>
      <c r="G5967" s="2"/>
      <c r="H5967" s="2"/>
      <c r="I5967" s="2"/>
    </row>
    <row r="5968">
      <c r="A5968" s="2"/>
      <c r="B5968" s="2"/>
      <c r="C5968" s="2"/>
      <c r="D5968" s="2"/>
      <c r="E5968" s="2">
        <f>IFERROR(__xludf.DUMMYFUNCTION("""COMPUTED_VALUE"""),0.0)</f>
        <v>0</v>
      </c>
      <c r="F5968" s="2"/>
      <c r="G5968" s="2"/>
      <c r="H5968" s="2"/>
      <c r="I5968" s="2"/>
    </row>
    <row r="5969">
      <c r="A5969" s="2"/>
      <c r="B5969" s="2"/>
      <c r="C5969" s="2"/>
      <c r="D5969" s="2"/>
      <c r="E5969" s="2">
        <f>IFERROR(__xludf.DUMMYFUNCTION("""COMPUTED_VALUE"""),0.0)</f>
        <v>0</v>
      </c>
      <c r="F5969" s="2"/>
      <c r="G5969" s="2"/>
      <c r="H5969" s="2"/>
      <c r="I5969" s="2"/>
    </row>
    <row r="5970">
      <c r="A5970" s="2"/>
      <c r="B5970" s="2"/>
      <c r="C5970" s="2"/>
      <c r="D5970" s="2"/>
      <c r="E5970" s="2">
        <f>IFERROR(__xludf.DUMMYFUNCTION("""COMPUTED_VALUE"""),0.0)</f>
        <v>0</v>
      </c>
      <c r="F5970" s="2"/>
      <c r="G5970" s="2"/>
      <c r="H5970" s="2"/>
      <c r="I5970" s="2"/>
    </row>
    <row r="5971">
      <c r="A5971" s="2"/>
      <c r="B5971" s="2"/>
      <c r="C5971" s="2"/>
      <c r="D5971" s="2"/>
      <c r="E5971" s="2">
        <f>IFERROR(__xludf.DUMMYFUNCTION("""COMPUTED_VALUE"""),0.0)</f>
        <v>0</v>
      </c>
      <c r="F5971" s="2"/>
      <c r="G5971" s="2"/>
      <c r="H5971" s="2"/>
      <c r="I5971" s="2"/>
    </row>
    <row r="5972">
      <c r="A5972" s="2"/>
      <c r="B5972" s="2"/>
      <c r="C5972" s="2"/>
      <c r="D5972" s="2"/>
      <c r="E5972" s="2">
        <f>IFERROR(__xludf.DUMMYFUNCTION("""COMPUTED_VALUE"""),0.0)</f>
        <v>0</v>
      </c>
      <c r="F5972" s="2"/>
      <c r="G5972" s="2"/>
      <c r="H5972" s="2"/>
      <c r="I5972" s="2"/>
    </row>
    <row r="5973">
      <c r="A5973" s="2"/>
      <c r="B5973" s="2"/>
      <c r="C5973" s="2"/>
      <c r="D5973" s="2"/>
      <c r="E5973" s="2">
        <f>IFERROR(__xludf.DUMMYFUNCTION("""COMPUTED_VALUE"""),0.0)</f>
        <v>0</v>
      </c>
      <c r="F5973" s="2"/>
      <c r="G5973" s="2"/>
      <c r="H5973" s="2"/>
      <c r="I5973" s="2"/>
    </row>
    <row r="5974">
      <c r="A5974" s="2"/>
      <c r="B5974" s="2"/>
      <c r="C5974" s="2"/>
      <c r="D5974" s="2"/>
      <c r="E5974" s="2">
        <f>IFERROR(__xludf.DUMMYFUNCTION("""COMPUTED_VALUE"""),0.0)</f>
        <v>0</v>
      </c>
      <c r="F5974" s="2"/>
      <c r="G5974" s="2"/>
      <c r="H5974" s="2"/>
      <c r="I5974" s="2"/>
    </row>
    <row r="5975">
      <c r="A5975" s="2"/>
      <c r="B5975" s="2"/>
      <c r="C5975" s="2"/>
      <c r="D5975" s="2"/>
      <c r="E5975" s="2">
        <f>IFERROR(__xludf.DUMMYFUNCTION("""COMPUTED_VALUE"""),0.0)</f>
        <v>0</v>
      </c>
      <c r="F5975" s="2"/>
      <c r="G5975" s="2"/>
      <c r="H5975" s="2"/>
      <c r="I5975" s="2"/>
    </row>
    <row r="5976">
      <c r="A5976" s="2"/>
      <c r="B5976" s="2"/>
      <c r="C5976" s="2"/>
      <c r="D5976" s="2"/>
      <c r="E5976" s="2">
        <f>IFERROR(__xludf.DUMMYFUNCTION("""COMPUTED_VALUE"""),0.0)</f>
        <v>0</v>
      </c>
      <c r="F5976" s="2"/>
      <c r="G5976" s="2"/>
      <c r="H5976" s="2"/>
      <c r="I5976" s="2"/>
    </row>
    <row r="5977">
      <c r="A5977" s="2"/>
      <c r="B5977" s="2"/>
      <c r="C5977" s="2"/>
      <c r="D5977" s="2"/>
      <c r="E5977" s="2">
        <f>IFERROR(__xludf.DUMMYFUNCTION("""COMPUTED_VALUE"""),0.0)</f>
        <v>0</v>
      </c>
      <c r="F5977" s="2"/>
      <c r="G5977" s="2"/>
      <c r="H5977" s="2"/>
      <c r="I5977" s="2"/>
    </row>
    <row r="5978">
      <c r="A5978" s="2"/>
      <c r="B5978" s="2"/>
      <c r="C5978" s="2"/>
      <c r="D5978" s="2"/>
      <c r="E5978" s="2">
        <f>IFERROR(__xludf.DUMMYFUNCTION("""COMPUTED_VALUE"""),0.0)</f>
        <v>0</v>
      </c>
      <c r="F5978" s="2"/>
      <c r="G5978" s="2"/>
      <c r="H5978" s="2"/>
      <c r="I5978" s="2"/>
    </row>
    <row r="5979">
      <c r="A5979" s="2"/>
      <c r="B5979" s="2"/>
      <c r="C5979" s="2"/>
      <c r="D5979" s="2"/>
      <c r="E5979" s="2">
        <f>IFERROR(__xludf.DUMMYFUNCTION("""COMPUTED_VALUE"""),0.0)</f>
        <v>0</v>
      </c>
      <c r="F5979" s="2"/>
      <c r="G5979" s="2"/>
      <c r="H5979" s="2"/>
      <c r="I5979" s="2"/>
    </row>
    <row r="5980">
      <c r="A5980" s="2"/>
      <c r="B5980" s="2"/>
      <c r="C5980" s="2"/>
      <c r="D5980" s="2"/>
      <c r="E5980" s="2">
        <f>IFERROR(__xludf.DUMMYFUNCTION("""COMPUTED_VALUE"""),0.0)</f>
        <v>0</v>
      </c>
      <c r="F5980" s="2"/>
      <c r="G5980" s="2"/>
      <c r="H5980" s="2"/>
      <c r="I5980" s="2"/>
    </row>
    <row r="5981">
      <c r="A5981" s="2"/>
      <c r="B5981" s="2"/>
      <c r="C5981" s="2"/>
      <c r="D5981" s="2"/>
      <c r="E5981" s="2">
        <f>IFERROR(__xludf.DUMMYFUNCTION("""COMPUTED_VALUE"""),0.0)</f>
        <v>0</v>
      </c>
      <c r="F5981" s="2"/>
      <c r="G5981" s="2"/>
      <c r="H5981" s="2"/>
      <c r="I5981" s="2"/>
    </row>
    <row r="5982">
      <c r="A5982" s="2"/>
      <c r="B5982" s="2"/>
      <c r="C5982" s="2"/>
      <c r="D5982" s="2"/>
      <c r="E5982" s="2">
        <f>IFERROR(__xludf.DUMMYFUNCTION("""COMPUTED_VALUE"""),0.0)</f>
        <v>0</v>
      </c>
      <c r="F5982" s="2"/>
      <c r="G5982" s="2"/>
      <c r="H5982" s="2"/>
      <c r="I5982" s="2"/>
    </row>
    <row r="5983">
      <c r="A5983" s="2"/>
      <c r="B5983" s="2"/>
      <c r="C5983" s="2"/>
      <c r="D5983" s="2"/>
      <c r="E5983" s="2">
        <f>IFERROR(__xludf.DUMMYFUNCTION("""COMPUTED_VALUE"""),0.0)</f>
        <v>0</v>
      </c>
      <c r="F5983" s="2"/>
      <c r="G5983" s="2"/>
      <c r="H5983" s="2"/>
      <c r="I5983" s="2"/>
    </row>
    <row r="5984">
      <c r="A5984" s="2"/>
      <c r="B5984" s="2"/>
      <c r="C5984" s="2"/>
      <c r="D5984" s="2"/>
      <c r="E5984" s="2">
        <f>IFERROR(__xludf.DUMMYFUNCTION("""COMPUTED_VALUE"""),0.0)</f>
        <v>0</v>
      </c>
      <c r="F5984" s="2"/>
      <c r="G5984" s="2"/>
      <c r="H5984" s="2"/>
      <c r="I5984" s="2"/>
    </row>
    <row r="5985">
      <c r="A5985" s="2"/>
      <c r="B5985" s="2"/>
      <c r="C5985" s="2"/>
      <c r="D5985" s="2"/>
      <c r="E5985" s="2">
        <f>IFERROR(__xludf.DUMMYFUNCTION("""COMPUTED_VALUE"""),0.0)</f>
        <v>0</v>
      </c>
      <c r="F5985" s="2"/>
      <c r="G5985" s="2"/>
      <c r="H5985" s="2"/>
      <c r="I5985" s="2"/>
    </row>
    <row r="5986">
      <c r="A5986" s="2"/>
      <c r="B5986" s="2"/>
      <c r="C5986" s="2"/>
      <c r="D5986" s="2"/>
      <c r="E5986" s="2">
        <f>IFERROR(__xludf.DUMMYFUNCTION("""COMPUTED_VALUE"""),0.0)</f>
        <v>0</v>
      </c>
      <c r="F5986" s="2"/>
      <c r="G5986" s="2"/>
      <c r="H5986" s="2"/>
      <c r="I5986" s="2"/>
    </row>
    <row r="5987">
      <c r="A5987" s="2"/>
      <c r="B5987" s="2"/>
      <c r="C5987" s="2"/>
      <c r="D5987" s="2"/>
      <c r="E5987" s="2">
        <f>IFERROR(__xludf.DUMMYFUNCTION("""COMPUTED_VALUE"""),0.0)</f>
        <v>0</v>
      </c>
      <c r="F5987" s="2"/>
      <c r="G5987" s="2"/>
      <c r="H5987" s="2"/>
      <c r="I5987" s="2"/>
    </row>
    <row r="5988">
      <c r="A5988" s="2"/>
      <c r="B5988" s="2"/>
      <c r="C5988" s="2"/>
      <c r="D5988" s="2"/>
      <c r="E5988" s="2">
        <f>IFERROR(__xludf.DUMMYFUNCTION("""COMPUTED_VALUE"""),0.0)</f>
        <v>0</v>
      </c>
      <c r="F5988" s="2"/>
      <c r="G5988" s="2"/>
      <c r="H5988" s="2"/>
      <c r="I5988" s="2"/>
    </row>
    <row r="5989">
      <c r="A5989" s="2"/>
      <c r="B5989" s="2"/>
      <c r="C5989" s="2"/>
      <c r="D5989" s="2"/>
      <c r="E5989" s="2">
        <f>IFERROR(__xludf.DUMMYFUNCTION("""COMPUTED_VALUE"""),0.0)</f>
        <v>0</v>
      </c>
      <c r="F5989" s="2"/>
      <c r="G5989" s="2"/>
      <c r="H5989" s="2"/>
      <c r="I5989" s="2"/>
    </row>
    <row r="5990">
      <c r="A5990" s="2"/>
      <c r="B5990" s="2"/>
      <c r="C5990" s="2"/>
      <c r="D5990" s="2"/>
      <c r="E5990" s="2">
        <f>IFERROR(__xludf.DUMMYFUNCTION("""COMPUTED_VALUE"""),0.0)</f>
        <v>0</v>
      </c>
      <c r="F5990" s="2"/>
      <c r="G5990" s="2"/>
      <c r="H5990" s="2"/>
      <c r="I5990" s="2"/>
    </row>
    <row r="5991">
      <c r="A5991" s="2"/>
      <c r="B5991" s="2"/>
      <c r="C5991" s="2"/>
      <c r="D5991" s="2"/>
      <c r="E5991" s="2">
        <f>IFERROR(__xludf.DUMMYFUNCTION("""COMPUTED_VALUE"""),0.0)</f>
        <v>0</v>
      </c>
      <c r="F5991" s="2"/>
      <c r="G5991" s="2"/>
      <c r="H5991" s="2"/>
      <c r="I5991" s="2"/>
    </row>
    <row r="5992">
      <c r="A5992" s="2"/>
      <c r="B5992" s="2"/>
      <c r="C5992" s="2"/>
      <c r="D5992" s="2"/>
      <c r="E5992" s="2">
        <f>IFERROR(__xludf.DUMMYFUNCTION("""COMPUTED_VALUE"""),0.0)</f>
        <v>0</v>
      </c>
      <c r="F5992" s="2"/>
      <c r="G5992" s="2"/>
      <c r="H5992" s="2"/>
      <c r="I5992" s="2"/>
    </row>
    <row r="5993">
      <c r="A5993" s="2"/>
      <c r="B5993" s="2"/>
      <c r="C5993" s="2"/>
      <c r="D5993" s="2"/>
      <c r="E5993" s="2">
        <f>IFERROR(__xludf.DUMMYFUNCTION("""COMPUTED_VALUE"""),0.0)</f>
        <v>0</v>
      </c>
      <c r="F5993" s="2"/>
      <c r="G5993" s="2"/>
      <c r="H5993" s="2"/>
      <c r="I5993" s="2"/>
    </row>
    <row r="5994">
      <c r="A5994" s="2"/>
      <c r="B5994" s="2"/>
      <c r="C5994" s="2"/>
      <c r="D5994" s="2"/>
      <c r="E5994" s="2">
        <f>IFERROR(__xludf.DUMMYFUNCTION("""COMPUTED_VALUE"""),0.0)</f>
        <v>0</v>
      </c>
      <c r="F5994" s="2"/>
      <c r="G5994" s="2"/>
      <c r="H5994" s="2"/>
      <c r="I5994" s="2"/>
    </row>
    <row r="5995">
      <c r="A5995" s="2"/>
      <c r="B5995" s="2"/>
      <c r="C5995" s="2"/>
      <c r="D5995" s="2"/>
      <c r="E5995" s="2">
        <f>IFERROR(__xludf.DUMMYFUNCTION("""COMPUTED_VALUE"""),0.0)</f>
        <v>0</v>
      </c>
      <c r="F5995" s="2"/>
      <c r="G5995" s="2"/>
      <c r="H5995" s="2"/>
      <c r="I5995" s="2"/>
    </row>
    <row r="5996">
      <c r="A5996" s="2"/>
      <c r="B5996" s="2"/>
      <c r="C5996" s="2"/>
      <c r="D5996" s="2"/>
      <c r="E5996" s="2">
        <f>IFERROR(__xludf.DUMMYFUNCTION("""COMPUTED_VALUE"""),0.0)</f>
        <v>0</v>
      </c>
      <c r="F5996" s="2"/>
      <c r="G5996" s="2"/>
      <c r="H5996" s="2"/>
      <c r="I5996" s="2"/>
    </row>
    <row r="5997">
      <c r="A5997" s="2"/>
      <c r="B5997" s="2"/>
      <c r="C5997" s="2"/>
      <c r="D5997" s="2"/>
      <c r="E5997" s="2">
        <f>IFERROR(__xludf.DUMMYFUNCTION("""COMPUTED_VALUE"""),0.0)</f>
        <v>0</v>
      </c>
      <c r="F5997" s="2"/>
      <c r="G5997" s="2"/>
      <c r="H5997" s="2"/>
      <c r="I5997" s="2"/>
    </row>
    <row r="5998">
      <c r="A5998" s="2"/>
      <c r="B5998" s="2"/>
      <c r="C5998" s="2"/>
      <c r="D5998" s="2"/>
      <c r="E5998" s="2">
        <f>IFERROR(__xludf.DUMMYFUNCTION("""COMPUTED_VALUE"""),0.0)</f>
        <v>0</v>
      </c>
      <c r="F5998" s="2"/>
      <c r="G5998" s="2"/>
      <c r="H5998" s="2"/>
      <c r="I5998" s="2"/>
    </row>
    <row r="5999">
      <c r="A5999" s="2"/>
      <c r="B5999" s="2"/>
      <c r="C5999" s="2"/>
      <c r="D5999" s="2"/>
      <c r="E5999" s="2">
        <f>IFERROR(__xludf.DUMMYFUNCTION("""COMPUTED_VALUE"""),0.0)</f>
        <v>0</v>
      </c>
      <c r="F5999" s="2"/>
      <c r="G5999" s="2"/>
      <c r="H5999" s="2"/>
      <c r="I5999" s="2"/>
    </row>
    <row r="6000">
      <c r="A6000" s="2"/>
      <c r="B6000" s="2"/>
      <c r="C6000" s="2"/>
      <c r="D6000" s="2"/>
      <c r="E6000" s="2">
        <f>IFERROR(__xludf.DUMMYFUNCTION("""COMPUTED_VALUE"""),0.0)</f>
        <v>0</v>
      </c>
      <c r="F6000" s="2"/>
      <c r="G6000" s="2"/>
      <c r="H6000" s="2"/>
      <c r="I6000" s="2"/>
    </row>
    <row r="6001">
      <c r="A6001" s="2"/>
      <c r="B6001" s="2"/>
      <c r="C6001" s="2"/>
      <c r="D6001" s="2"/>
      <c r="E6001" s="2">
        <f>IFERROR(__xludf.DUMMYFUNCTION("""COMPUTED_VALUE"""),0.0)</f>
        <v>0</v>
      </c>
      <c r="F6001" s="2"/>
      <c r="G6001" s="2"/>
      <c r="H6001" s="2"/>
      <c r="I6001" s="2"/>
    </row>
    <row r="6002">
      <c r="A6002" s="2"/>
      <c r="B6002" s="2"/>
      <c r="C6002" s="2"/>
      <c r="D6002" s="2"/>
      <c r="E6002" s="2">
        <f>IFERROR(__xludf.DUMMYFUNCTION("""COMPUTED_VALUE"""),0.0)</f>
        <v>0</v>
      </c>
      <c r="F6002" s="2"/>
      <c r="G6002" s="2"/>
      <c r="H6002" s="2"/>
      <c r="I6002" s="2"/>
    </row>
    <row r="6003">
      <c r="A6003" s="2"/>
      <c r="B6003" s="2"/>
      <c r="C6003" s="2"/>
      <c r="D6003" s="2"/>
      <c r="E6003" s="2">
        <f>IFERROR(__xludf.DUMMYFUNCTION("""COMPUTED_VALUE"""),0.0)</f>
        <v>0</v>
      </c>
      <c r="F6003" s="2"/>
      <c r="G6003" s="2"/>
      <c r="H6003" s="2"/>
      <c r="I6003" s="2"/>
    </row>
    <row r="6004">
      <c r="A6004" s="2"/>
      <c r="B6004" s="2"/>
      <c r="C6004" s="2"/>
      <c r="D6004" s="2"/>
      <c r="E6004" s="2">
        <f>IFERROR(__xludf.DUMMYFUNCTION("""COMPUTED_VALUE"""),0.0)</f>
        <v>0</v>
      </c>
      <c r="F6004" s="2"/>
      <c r="G6004" s="2"/>
      <c r="H6004" s="2"/>
      <c r="I6004" s="2"/>
    </row>
    <row r="6005">
      <c r="A6005" s="2"/>
      <c r="B6005" s="2"/>
      <c r="C6005" s="2"/>
      <c r="D6005" s="2"/>
      <c r="E6005" s="2">
        <f>IFERROR(__xludf.DUMMYFUNCTION("""COMPUTED_VALUE"""),0.0)</f>
        <v>0</v>
      </c>
      <c r="F6005" s="2"/>
      <c r="G6005" s="2"/>
      <c r="H6005" s="2"/>
      <c r="I6005" s="2"/>
    </row>
    <row r="6006">
      <c r="A6006" s="2"/>
      <c r="B6006" s="2"/>
      <c r="C6006" s="2"/>
      <c r="D6006" s="2"/>
      <c r="E6006" s="2">
        <f>IFERROR(__xludf.DUMMYFUNCTION("""COMPUTED_VALUE"""),0.0)</f>
        <v>0</v>
      </c>
      <c r="F6006" s="2"/>
      <c r="G6006" s="2"/>
      <c r="H6006" s="2"/>
      <c r="I6006" s="2"/>
    </row>
    <row r="6007">
      <c r="A6007" s="2"/>
      <c r="B6007" s="2"/>
      <c r="C6007" s="2"/>
      <c r="D6007" s="2"/>
      <c r="E6007" s="2">
        <f>IFERROR(__xludf.DUMMYFUNCTION("""COMPUTED_VALUE"""),0.0)</f>
        <v>0</v>
      </c>
      <c r="F6007" s="2"/>
      <c r="G6007" s="2"/>
      <c r="H6007" s="2"/>
      <c r="I6007" s="2"/>
    </row>
    <row r="6008">
      <c r="A6008" s="2"/>
      <c r="B6008" s="2"/>
      <c r="C6008" s="2"/>
      <c r="D6008" s="2"/>
      <c r="E6008" s="2">
        <f>IFERROR(__xludf.DUMMYFUNCTION("""COMPUTED_VALUE"""),0.0)</f>
        <v>0</v>
      </c>
      <c r="F6008" s="2"/>
      <c r="G6008" s="2"/>
      <c r="H6008" s="2"/>
      <c r="I6008" s="2"/>
    </row>
    <row r="6009">
      <c r="A6009" s="2"/>
      <c r="B6009" s="2"/>
      <c r="C6009" s="2"/>
      <c r="D6009" s="2"/>
      <c r="E6009" s="2">
        <f>IFERROR(__xludf.DUMMYFUNCTION("""COMPUTED_VALUE"""),0.0)</f>
        <v>0</v>
      </c>
      <c r="F6009" s="2"/>
      <c r="G6009" s="2"/>
      <c r="H6009" s="2"/>
      <c r="I6009" s="2"/>
    </row>
    <row r="6010">
      <c r="A6010" s="2"/>
      <c r="B6010" s="2"/>
      <c r="C6010" s="2"/>
      <c r="D6010" s="2"/>
      <c r="E6010" s="2">
        <f>IFERROR(__xludf.DUMMYFUNCTION("""COMPUTED_VALUE"""),0.0)</f>
        <v>0</v>
      </c>
      <c r="F6010" s="2"/>
      <c r="G6010" s="2"/>
      <c r="H6010" s="2"/>
      <c r="I6010" s="2"/>
    </row>
    <row r="6011">
      <c r="A6011" s="2"/>
      <c r="B6011" s="2"/>
      <c r="C6011" s="2"/>
      <c r="D6011" s="2"/>
      <c r="E6011" s="2">
        <f>IFERROR(__xludf.DUMMYFUNCTION("""COMPUTED_VALUE"""),0.0)</f>
        <v>0</v>
      </c>
      <c r="F6011" s="2"/>
      <c r="G6011" s="2"/>
      <c r="H6011" s="2"/>
      <c r="I6011" s="2"/>
    </row>
    <row r="6012">
      <c r="A6012" s="2"/>
      <c r="B6012" s="2"/>
      <c r="C6012" s="2"/>
      <c r="D6012" s="2"/>
      <c r="E6012" s="2">
        <f>IFERROR(__xludf.DUMMYFUNCTION("""COMPUTED_VALUE"""),0.0)</f>
        <v>0</v>
      </c>
      <c r="F6012" s="2"/>
      <c r="G6012" s="2"/>
      <c r="H6012" s="2"/>
      <c r="I6012" s="2"/>
    </row>
    <row r="6013">
      <c r="A6013" s="2"/>
      <c r="B6013" s="2"/>
      <c r="C6013" s="2"/>
      <c r="D6013" s="2"/>
      <c r="E6013" s="2">
        <f>IFERROR(__xludf.DUMMYFUNCTION("""COMPUTED_VALUE"""),0.0)</f>
        <v>0</v>
      </c>
      <c r="F6013" s="2"/>
      <c r="G6013" s="2"/>
      <c r="H6013" s="2"/>
      <c r="I6013" s="2"/>
    </row>
    <row r="6014">
      <c r="A6014" s="2"/>
      <c r="B6014" s="2"/>
      <c r="C6014" s="2"/>
      <c r="D6014" s="2"/>
      <c r="E6014" s="2">
        <f>IFERROR(__xludf.DUMMYFUNCTION("""COMPUTED_VALUE"""),0.0)</f>
        <v>0</v>
      </c>
      <c r="F6014" s="2"/>
      <c r="G6014" s="2"/>
      <c r="H6014" s="2"/>
      <c r="I6014" s="2"/>
    </row>
    <row r="6015">
      <c r="A6015" s="2"/>
      <c r="B6015" s="2"/>
      <c r="C6015" s="2"/>
      <c r="D6015" s="2"/>
      <c r="E6015" s="2">
        <f>IFERROR(__xludf.DUMMYFUNCTION("""COMPUTED_VALUE"""),0.0)</f>
        <v>0</v>
      </c>
      <c r="F6015" s="2"/>
      <c r="G6015" s="2"/>
      <c r="H6015" s="2"/>
      <c r="I6015" s="2"/>
    </row>
    <row r="6016">
      <c r="A6016" s="2"/>
      <c r="B6016" s="2"/>
      <c r="C6016" s="2"/>
      <c r="D6016" s="2"/>
      <c r="E6016" s="2">
        <f>IFERROR(__xludf.DUMMYFUNCTION("""COMPUTED_VALUE"""),0.0)</f>
        <v>0</v>
      </c>
      <c r="F6016" s="2"/>
      <c r="G6016" s="2"/>
      <c r="H6016" s="2"/>
      <c r="I6016" s="2"/>
    </row>
    <row r="6017">
      <c r="A6017" s="2"/>
      <c r="B6017" s="2"/>
      <c r="C6017" s="2"/>
      <c r="D6017" s="2"/>
      <c r="E6017" s="2">
        <f>IFERROR(__xludf.DUMMYFUNCTION("""COMPUTED_VALUE"""),0.0)</f>
        <v>0</v>
      </c>
      <c r="F6017" s="2"/>
      <c r="G6017" s="2"/>
      <c r="H6017" s="2"/>
      <c r="I6017" s="2"/>
    </row>
    <row r="6018">
      <c r="A6018" s="2"/>
      <c r="B6018" s="2"/>
      <c r="C6018" s="2"/>
      <c r="D6018" s="2"/>
      <c r="E6018" s="2">
        <f>IFERROR(__xludf.DUMMYFUNCTION("""COMPUTED_VALUE"""),0.0)</f>
        <v>0</v>
      </c>
      <c r="F6018" s="2"/>
      <c r="G6018" s="2"/>
      <c r="H6018" s="2"/>
      <c r="I6018" s="2"/>
    </row>
    <row r="6019">
      <c r="A6019" s="2"/>
      <c r="B6019" s="2"/>
      <c r="C6019" s="2"/>
      <c r="D6019" s="2"/>
      <c r="E6019" s="2">
        <f>IFERROR(__xludf.DUMMYFUNCTION("""COMPUTED_VALUE"""),0.0)</f>
        <v>0</v>
      </c>
      <c r="F6019" s="2"/>
      <c r="G6019" s="2"/>
      <c r="H6019" s="2"/>
      <c r="I6019" s="2"/>
    </row>
    <row r="6020">
      <c r="A6020" s="2"/>
      <c r="B6020" s="2"/>
      <c r="C6020" s="2"/>
      <c r="D6020" s="2"/>
      <c r="E6020" s="2">
        <f>IFERROR(__xludf.DUMMYFUNCTION("""COMPUTED_VALUE"""),0.0)</f>
        <v>0</v>
      </c>
      <c r="F6020" s="2"/>
      <c r="G6020" s="2"/>
      <c r="H6020" s="2"/>
      <c r="I6020" s="2"/>
    </row>
    <row r="6021">
      <c r="A6021" s="2"/>
      <c r="B6021" s="2"/>
      <c r="C6021" s="2"/>
      <c r="D6021" s="2"/>
      <c r="E6021" s="2">
        <f>IFERROR(__xludf.DUMMYFUNCTION("""COMPUTED_VALUE"""),0.0)</f>
        <v>0</v>
      </c>
      <c r="F6021" s="2"/>
      <c r="G6021" s="2"/>
      <c r="H6021" s="2"/>
      <c r="I6021" s="2"/>
    </row>
    <row r="6022">
      <c r="A6022" s="2"/>
      <c r="B6022" s="2"/>
      <c r="C6022" s="2"/>
      <c r="D6022" s="2"/>
      <c r="E6022" s="2">
        <f>IFERROR(__xludf.DUMMYFUNCTION("""COMPUTED_VALUE"""),0.0)</f>
        <v>0</v>
      </c>
      <c r="F6022" s="2"/>
      <c r="G6022" s="2"/>
      <c r="H6022" s="2"/>
      <c r="I6022" s="2"/>
    </row>
    <row r="6023">
      <c r="A6023" s="2"/>
      <c r="B6023" s="2"/>
      <c r="C6023" s="2"/>
      <c r="D6023" s="2"/>
      <c r="E6023" s="2">
        <f>IFERROR(__xludf.DUMMYFUNCTION("""COMPUTED_VALUE"""),0.0)</f>
        <v>0</v>
      </c>
      <c r="F6023" s="2"/>
      <c r="G6023" s="2"/>
      <c r="H6023" s="2"/>
      <c r="I6023" s="2"/>
    </row>
    <row r="6024">
      <c r="A6024" s="2"/>
      <c r="B6024" s="2"/>
      <c r="C6024" s="2"/>
      <c r="D6024" s="2"/>
      <c r="E6024" s="2">
        <f>IFERROR(__xludf.DUMMYFUNCTION("""COMPUTED_VALUE"""),0.0)</f>
        <v>0</v>
      </c>
      <c r="F6024" s="2"/>
      <c r="G6024" s="2"/>
      <c r="H6024" s="2"/>
      <c r="I6024" s="2"/>
    </row>
    <row r="6025">
      <c r="A6025" s="2"/>
      <c r="B6025" s="2"/>
      <c r="C6025" s="2"/>
      <c r="D6025" s="2"/>
      <c r="E6025" s="2">
        <f>IFERROR(__xludf.DUMMYFUNCTION("""COMPUTED_VALUE"""),0.0)</f>
        <v>0</v>
      </c>
      <c r="F6025" s="2"/>
      <c r="G6025" s="2"/>
      <c r="H6025" s="2"/>
      <c r="I6025" s="2"/>
    </row>
    <row r="6026">
      <c r="A6026" s="2"/>
      <c r="B6026" s="2"/>
      <c r="C6026" s="2"/>
      <c r="D6026" s="2"/>
      <c r="E6026" s="2">
        <f>IFERROR(__xludf.DUMMYFUNCTION("""COMPUTED_VALUE"""),0.0)</f>
        <v>0</v>
      </c>
      <c r="F6026" s="2"/>
      <c r="G6026" s="2"/>
      <c r="H6026" s="2"/>
      <c r="I6026" s="2"/>
    </row>
    <row r="6027">
      <c r="A6027" s="2"/>
      <c r="B6027" s="2"/>
      <c r="C6027" s="2"/>
      <c r="D6027" s="2"/>
      <c r="E6027" s="2">
        <f>IFERROR(__xludf.DUMMYFUNCTION("""COMPUTED_VALUE"""),0.0)</f>
        <v>0</v>
      </c>
      <c r="F6027" s="2"/>
      <c r="G6027" s="2"/>
      <c r="H6027" s="2"/>
      <c r="I6027" s="2"/>
    </row>
    <row r="6028">
      <c r="A6028" s="2"/>
      <c r="B6028" s="2"/>
      <c r="C6028" s="2"/>
      <c r="D6028" s="2"/>
      <c r="E6028" s="2">
        <f>IFERROR(__xludf.DUMMYFUNCTION("""COMPUTED_VALUE"""),0.0)</f>
        <v>0</v>
      </c>
      <c r="F6028" s="2"/>
      <c r="G6028" s="2"/>
      <c r="H6028" s="2"/>
      <c r="I6028" s="2"/>
    </row>
    <row r="6029">
      <c r="A6029" s="2"/>
      <c r="B6029" s="2"/>
      <c r="C6029" s="2"/>
      <c r="D6029" s="2"/>
      <c r="E6029" s="2">
        <f>IFERROR(__xludf.DUMMYFUNCTION("""COMPUTED_VALUE"""),0.0)</f>
        <v>0</v>
      </c>
      <c r="F6029" s="2"/>
      <c r="G6029" s="2"/>
      <c r="H6029" s="2"/>
      <c r="I6029" s="2"/>
    </row>
    <row r="6030">
      <c r="A6030" s="2"/>
      <c r="B6030" s="2"/>
      <c r="C6030" s="2"/>
      <c r="D6030" s="2"/>
      <c r="E6030" s="2">
        <f>IFERROR(__xludf.DUMMYFUNCTION("""COMPUTED_VALUE"""),0.0)</f>
        <v>0</v>
      </c>
      <c r="F6030" s="2"/>
      <c r="G6030" s="2"/>
      <c r="H6030" s="2"/>
      <c r="I6030" s="2"/>
    </row>
    <row r="6031">
      <c r="A6031" s="2"/>
      <c r="B6031" s="2"/>
      <c r="C6031" s="2"/>
      <c r="D6031" s="2"/>
      <c r="E6031" s="2">
        <f>IFERROR(__xludf.DUMMYFUNCTION("""COMPUTED_VALUE"""),0.0)</f>
        <v>0</v>
      </c>
      <c r="F6031" s="2"/>
      <c r="G6031" s="2"/>
      <c r="H6031" s="2"/>
      <c r="I6031" s="2"/>
    </row>
    <row r="6032">
      <c r="A6032" s="2"/>
      <c r="B6032" s="2"/>
      <c r="C6032" s="2"/>
      <c r="D6032" s="2"/>
      <c r="E6032" s="2">
        <f>IFERROR(__xludf.DUMMYFUNCTION("""COMPUTED_VALUE"""),0.0)</f>
        <v>0</v>
      </c>
      <c r="F6032" s="2"/>
      <c r="G6032" s="2"/>
      <c r="H6032" s="2"/>
      <c r="I6032" s="2"/>
    </row>
    <row r="6033">
      <c r="A6033" s="2"/>
      <c r="B6033" s="2"/>
      <c r="C6033" s="2"/>
      <c r="D6033" s="2"/>
      <c r="E6033" s="2">
        <f>IFERROR(__xludf.DUMMYFUNCTION("""COMPUTED_VALUE"""),0.0)</f>
        <v>0</v>
      </c>
      <c r="F6033" s="2"/>
      <c r="G6033" s="2"/>
      <c r="H6033" s="2"/>
      <c r="I6033" s="2"/>
    </row>
    <row r="6034">
      <c r="A6034" s="2"/>
      <c r="B6034" s="2"/>
      <c r="C6034" s="2"/>
      <c r="D6034" s="2"/>
      <c r="E6034" s="2">
        <f>IFERROR(__xludf.DUMMYFUNCTION("""COMPUTED_VALUE"""),0.0)</f>
        <v>0</v>
      </c>
      <c r="F6034" s="2"/>
      <c r="G6034" s="2"/>
      <c r="H6034" s="2"/>
      <c r="I6034" s="2"/>
    </row>
    <row r="6035">
      <c r="A6035" s="2"/>
      <c r="B6035" s="2"/>
      <c r="C6035" s="2"/>
      <c r="D6035" s="2"/>
      <c r="E6035" s="2">
        <f>IFERROR(__xludf.DUMMYFUNCTION("""COMPUTED_VALUE"""),0.0)</f>
        <v>0</v>
      </c>
      <c r="F6035" s="2"/>
      <c r="G6035" s="2"/>
      <c r="H6035" s="2"/>
      <c r="I6035" s="2"/>
    </row>
    <row r="6036">
      <c r="A6036" s="2"/>
      <c r="B6036" s="2"/>
      <c r="C6036" s="2"/>
      <c r="D6036" s="2"/>
      <c r="E6036" s="2">
        <f>IFERROR(__xludf.DUMMYFUNCTION("""COMPUTED_VALUE"""),0.0)</f>
        <v>0</v>
      </c>
      <c r="F6036" s="2"/>
      <c r="G6036" s="2"/>
      <c r="H6036" s="2"/>
      <c r="I6036" s="2"/>
    </row>
    <row r="6037">
      <c r="A6037" s="2"/>
      <c r="B6037" s="2"/>
      <c r="C6037" s="2"/>
      <c r="D6037" s="2"/>
      <c r="E6037" s="2">
        <f>IFERROR(__xludf.DUMMYFUNCTION("""COMPUTED_VALUE"""),0.0)</f>
        <v>0</v>
      </c>
      <c r="F6037" s="2"/>
      <c r="G6037" s="2"/>
      <c r="H6037" s="2"/>
      <c r="I6037" s="2"/>
    </row>
    <row r="6038">
      <c r="A6038" s="2"/>
      <c r="B6038" s="2"/>
      <c r="C6038" s="2"/>
      <c r="D6038" s="2"/>
      <c r="E6038" s="2">
        <f>IFERROR(__xludf.DUMMYFUNCTION("""COMPUTED_VALUE"""),0.0)</f>
        <v>0</v>
      </c>
      <c r="F6038" s="2"/>
      <c r="G6038" s="2"/>
      <c r="H6038" s="2"/>
      <c r="I6038" s="2"/>
    </row>
    <row r="6039">
      <c r="A6039" s="2"/>
      <c r="B6039" s="2"/>
      <c r="C6039" s="2"/>
      <c r="D6039" s="2"/>
      <c r="E6039" s="2">
        <f>IFERROR(__xludf.DUMMYFUNCTION("""COMPUTED_VALUE"""),0.0)</f>
        <v>0</v>
      </c>
      <c r="F6039" s="2"/>
      <c r="G6039" s="2"/>
      <c r="H6039" s="2"/>
      <c r="I6039" s="2"/>
    </row>
    <row r="6040">
      <c r="A6040" s="2"/>
      <c r="B6040" s="2"/>
      <c r="C6040" s="2"/>
      <c r="D6040" s="2"/>
      <c r="E6040" s="2">
        <f>IFERROR(__xludf.DUMMYFUNCTION("""COMPUTED_VALUE"""),0.0)</f>
        <v>0</v>
      </c>
      <c r="F6040" s="2"/>
      <c r="G6040" s="2"/>
      <c r="H6040" s="2"/>
      <c r="I6040" s="2"/>
    </row>
    <row r="6041">
      <c r="A6041" s="2"/>
      <c r="B6041" s="2"/>
      <c r="C6041" s="2"/>
      <c r="D6041" s="2"/>
      <c r="E6041" s="2">
        <f>IFERROR(__xludf.DUMMYFUNCTION("""COMPUTED_VALUE"""),0.0)</f>
        <v>0</v>
      </c>
      <c r="F6041" s="2"/>
      <c r="G6041" s="2"/>
      <c r="H6041" s="2"/>
      <c r="I6041" s="2"/>
    </row>
    <row r="6042">
      <c r="A6042" s="2"/>
      <c r="B6042" s="2"/>
      <c r="C6042" s="2"/>
      <c r="D6042" s="2"/>
      <c r="E6042" s="2">
        <f>IFERROR(__xludf.DUMMYFUNCTION("""COMPUTED_VALUE"""),0.0)</f>
        <v>0</v>
      </c>
      <c r="F6042" s="2"/>
      <c r="G6042" s="2"/>
      <c r="H6042" s="2"/>
      <c r="I6042" s="2"/>
    </row>
    <row r="6043">
      <c r="A6043" s="2"/>
      <c r="B6043" s="2"/>
      <c r="C6043" s="2"/>
      <c r="D6043" s="2"/>
      <c r="E6043" s="2">
        <f>IFERROR(__xludf.DUMMYFUNCTION("""COMPUTED_VALUE"""),0.0)</f>
        <v>0</v>
      </c>
      <c r="F6043" s="2"/>
      <c r="G6043" s="2"/>
      <c r="H6043" s="2"/>
      <c r="I6043" s="2"/>
    </row>
    <row r="6044">
      <c r="A6044" s="2"/>
      <c r="B6044" s="2"/>
      <c r="C6044" s="2"/>
      <c r="D6044" s="2"/>
      <c r="E6044" s="2">
        <f>IFERROR(__xludf.DUMMYFUNCTION("""COMPUTED_VALUE"""),0.0)</f>
        <v>0</v>
      </c>
      <c r="F6044" s="2"/>
      <c r="G6044" s="2"/>
      <c r="H6044" s="2"/>
      <c r="I6044" s="2"/>
    </row>
    <row r="6045">
      <c r="A6045" s="2"/>
      <c r="B6045" s="2"/>
      <c r="C6045" s="2"/>
      <c r="D6045" s="2"/>
      <c r="E6045" s="2">
        <f>IFERROR(__xludf.DUMMYFUNCTION("""COMPUTED_VALUE"""),0.0)</f>
        <v>0</v>
      </c>
      <c r="F6045" s="2"/>
      <c r="G6045" s="2"/>
      <c r="H6045" s="2"/>
      <c r="I6045" s="2"/>
    </row>
    <row r="6046">
      <c r="A6046" s="2"/>
      <c r="B6046" s="2"/>
      <c r="C6046" s="2"/>
      <c r="D6046" s="2"/>
      <c r="E6046" s="2">
        <f>IFERROR(__xludf.DUMMYFUNCTION("""COMPUTED_VALUE"""),0.0)</f>
        <v>0</v>
      </c>
      <c r="F6046" s="2"/>
      <c r="G6046" s="2"/>
      <c r="H6046" s="2"/>
      <c r="I6046" s="2"/>
    </row>
    <row r="6047">
      <c r="A6047" s="2"/>
      <c r="B6047" s="2"/>
      <c r="C6047" s="2"/>
      <c r="D6047" s="2"/>
      <c r="E6047" s="2">
        <f>IFERROR(__xludf.DUMMYFUNCTION("""COMPUTED_VALUE"""),0.0)</f>
        <v>0</v>
      </c>
      <c r="F6047" s="2"/>
      <c r="G6047" s="2"/>
      <c r="H6047" s="2"/>
      <c r="I6047" s="2"/>
    </row>
    <row r="6048">
      <c r="A6048" s="2"/>
      <c r="B6048" s="2"/>
      <c r="C6048" s="2"/>
      <c r="D6048" s="2"/>
      <c r="E6048" s="2">
        <f>IFERROR(__xludf.DUMMYFUNCTION("""COMPUTED_VALUE"""),0.0)</f>
        <v>0</v>
      </c>
      <c r="F6048" s="2"/>
      <c r="G6048" s="2"/>
      <c r="H6048" s="2"/>
      <c r="I6048" s="2"/>
    </row>
    <row r="6049">
      <c r="A6049" s="2"/>
      <c r="B6049" s="2"/>
      <c r="C6049" s="2"/>
      <c r="D6049" s="2"/>
      <c r="E6049" s="2">
        <f>IFERROR(__xludf.DUMMYFUNCTION("""COMPUTED_VALUE"""),0.0)</f>
        <v>0</v>
      </c>
      <c r="F6049" s="2"/>
      <c r="G6049" s="2"/>
      <c r="H6049" s="2"/>
      <c r="I6049" s="2"/>
    </row>
    <row r="6050">
      <c r="A6050" s="2"/>
      <c r="B6050" s="2"/>
      <c r="C6050" s="2"/>
      <c r="D6050" s="2"/>
      <c r="E6050" s="2">
        <f>IFERROR(__xludf.DUMMYFUNCTION("""COMPUTED_VALUE"""),0.0)</f>
        <v>0</v>
      </c>
      <c r="F6050" s="2"/>
      <c r="G6050" s="2"/>
      <c r="H6050" s="2"/>
      <c r="I6050" s="2"/>
    </row>
    <row r="6051">
      <c r="A6051" s="2"/>
      <c r="B6051" s="2"/>
      <c r="C6051" s="2"/>
      <c r="D6051" s="2"/>
      <c r="E6051" s="2">
        <f>IFERROR(__xludf.DUMMYFUNCTION("""COMPUTED_VALUE"""),0.0)</f>
        <v>0</v>
      </c>
      <c r="F6051" s="2"/>
      <c r="G6051" s="2"/>
      <c r="H6051" s="2"/>
      <c r="I6051" s="2"/>
    </row>
    <row r="6052">
      <c r="A6052" s="2"/>
      <c r="B6052" s="2"/>
      <c r="C6052" s="2"/>
      <c r="D6052" s="2"/>
      <c r="E6052" s="2">
        <f>IFERROR(__xludf.DUMMYFUNCTION("""COMPUTED_VALUE"""),0.0)</f>
        <v>0</v>
      </c>
      <c r="F6052" s="2"/>
      <c r="G6052" s="2"/>
      <c r="H6052" s="2"/>
      <c r="I6052" s="2"/>
    </row>
    <row r="6053">
      <c r="A6053" s="2"/>
      <c r="B6053" s="2"/>
      <c r="C6053" s="2"/>
      <c r="D6053" s="2"/>
      <c r="E6053" s="2">
        <f>IFERROR(__xludf.DUMMYFUNCTION("""COMPUTED_VALUE"""),0.0)</f>
        <v>0</v>
      </c>
      <c r="F6053" s="2"/>
      <c r="G6053" s="2"/>
      <c r="H6053" s="2"/>
      <c r="I6053" s="2"/>
    </row>
    <row r="6054">
      <c r="A6054" s="2"/>
      <c r="B6054" s="2"/>
      <c r="C6054" s="2"/>
      <c r="D6054" s="2"/>
      <c r="E6054" s="2">
        <f>IFERROR(__xludf.DUMMYFUNCTION("""COMPUTED_VALUE"""),0.0)</f>
        <v>0</v>
      </c>
      <c r="F6054" s="2"/>
      <c r="G6054" s="2"/>
      <c r="H6054" s="2"/>
      <c r="I6054" s="2"/>
    </row>
    <row r="6055">
      <c r="A6055" s="2"/>
      <c r="B6055" s="2"/>
      <c r="C6055" s="2"/>
      <c r="D6055" s="2"/>
      <c r="E6055" s="2">
        <f>IFERROR(__xludf.DUMMYFUNCTION("""COMPUTED_VALUE"""),0.0)</f>
        <v>0</v>
      </c>
      <c r="F6055" s="2"/>
      <c r="G6055" s="2"/>
      <c r="H6055" s="2"/>
      <c r="I6055" s="2"/>
    </row>
    <row r="6056">
      <c r="A6056" s="2"/>
      <c r="B6056" s="2"/>
      <c r="C6056" s="2"/>
      <c r="D6056" s="2"/>
      <c r="E6056" s="2">
        <f>IFERROR(__xludf.DUMMYFUNCTION("""COMPUTED_VALUE"""),0.0)</f>
        <v>0</v>
      </c>
      <c r="F6056" s="2"/>
      <c r="G6056" s="2"/>
      <c r="H6056" s="2"/>
      <c r="I6056" s="2"/>
    </row>
    <row r="6057">
      <c r="A6057" s="2"/>
      <c r="B6057" s="2"/>
      <c r="C6057" s="2"/>
      <c r="D6057" s="2"/>
      <c r="E6057" s="2">
        <f>IFERROR(__xludf.DUMMYFUNCTION("""COMPUTED_VALUE"""),0.0)</f>
        <v>0</v>
      </c>
      <c r="F6057" s="2"/>
      <c r="G6057" s="2"/>
      <c r="H6057" s="2"/>
      <c r="I6057" s="2"/>
    </row>
    <row r="6058">
      <c r="A6058" s="2"/>
      <c r="B6058" s="2"/>
      <c r="C6058" s="2"/>
      <c r="D6058" s="2"/>
      <c r="E6058" s="2">
        <f>IFERROR(__xludf.DUMMYFUNCTION("""COMPUTED_VALUE"""),0.0)</f>
        <v>0</v>
      </c>
      <c r="F6058" s="2"/>
      <c r="G6058" s="2"/>
      <c r="H6058" s="2"/>
      <c r="I6058" s="2"/>
    </row>
    <row r="6059">
      <c r="A6059" s="2"/>
      <c r="B6059" s="2"/>
      <c r="C6059" s="2"/>
      <c r="D6059" s="2"/>
      <c r="E6059" s="2">
        <f>IFERROR(__xludf.DUMMYFUNCTION("""COMPUTED_VALUE"""),0.0)</f>
        <v>0</v>
      </c>
      <c r="F6059" s="2"/>
      <c r="G6059" s="2"/>
      <c r="H6059" s="2"/>
      <c r="I6059" s="2"/>
    </row>
    <row r="6060">
      <c r="A6060" s="2"/>
      <c r="B6060" s="2"/>
      <c r="C6060" s="2"/>
      <c r="D6060" s="2"/>
      <c r="E6060" s="2">
        <f>IFERROR(__xludf.DUMMYFUNCTION("""COMPUTED_VALUE"""),0.0)</f>
        <v>0</v>
      </c>
      <c r="F6060" s="2"/>
      <c r="G6060" s="2"/>
      <c r="H6060" s="2"/>
      <c r="I6060" s="2"/>
    </row>
    <row r="6061">
      <c r="A6061" s="2"/>
      <c r="B6061" s="2"/>
      <c r="C6061" s="2"/>
      <c r="D6061" s="2"/>
      <c r="E6061" s="2">
        <f>IFERROR(__xludf.DUMMYFUNCTION("""COMPUTED_VALUE"""),0.0)</f>
        <v>0</v>
      </c>
      <c r="F6061" s="2"/>
      <c r="G6061" s="2"/>
      <c r="H6061" s="2"/>
      <c r="I6061" s="2"/>
    </row>
    <row r="6062">
      <c r="A6062" s="2"/>
      <c r="B6062" s="2"/>
      <c r="C6062" s="2"/>
      <c r="D6062" s="2"/>
      <c r="E6062" s="2">
        <f>IFERROR(__xludf.DUMMYFUNCTION("""COMPUTED_VALUE"""),0.0)</f>
        <v>0</v>
      </c>
      <c r="F6062" s="2"/>
      <c r="G6062" s="2"/>
      <c r="H6062" s="2"/>
      <c r="I6062" s="2"/>
    </row>
    <row r="6063">
      <c r="A6063" s="2"/>
      <c r="B6063" s="2"/>
      <c r="C6063" s="2"/>
      <c r="D6063" s="2"/>
      <c r="E6063" s="2">
        <f>IFERROR(__xludf.DUMMYFUNCTION("""COMPUTED_VALUE"""),0.0)</f>
        <v>0</v>
      </c>
      <c r="F6063" s="2"/>
      <c r="G6063" s="2"/>
      <c r="H6063" s="2"/>
      <c r="I6063" s="2"/>
    </row>
    <row r="6064">
      <c r="A6064" s="2"/>
      <c r="B6064" s="2"/>
      <c r="C6064" s="2"/>
      <c r="D6064" s="2"/>
      <c r="E6064" s="2">
        <f>IFERROR(__xludf.DUMMYFUNCTION("""COMPUTED_VALUE"""),0.0)</f>
        <v>0</v>
      </c>
      <c r="F6064" s="2"/>
      <c r="G6064" s="2"/>
      <c r="H6064" s="2"/>
      <c r="I6064" s="2"/>
    </row>
    <row r="6065">
      <c r="A6065" s="2"/>
      <c r="B6065" s="2"/>
      <c r="C6065" s="2"/>
      <c r="D6065" s="2"/>
      <c r="E6065" s="2">
        <f>IFERROR(__xludf.DUMMYFUNCTION("""COMPUTED_VALUE"""),0.0)</f>
        <v>0</v>
      </c>
      <c r="F6065" s="2"/>
      <c r="G6065" s="2"/>
      <c r="H6065" s="2"/>
      <c r="I6065" s="2"/>
    </row>
    <row r="6066">
      <c r="A6066" s="2"/>
      <c r="B6066" s="2"/>
      <c r="C6066" s="2"/>
      <c r="D6066" s="2"/>
      <c r="E6066" s="2">
        <f>IFERROR(__xludf.DUMMYFUNCTION("""COMPUTED_VALUE"""),0.0)</f>
        <v>0</v>
      </c>
      <c r="F6066" s="2"/>
      <c r="G6066" s="2"/>
      <c r="H6066" s="2"/>
      <c r="I6066" s="2"/>
    </row>
    <row r="6067">
      <c r="A6067" s="2"/>
      <c r="B6067" s="2"/>
      <c r="C6067" s="2"/>
      <c r="D6067" s="2"/>
      <c r="E6067" s="2">
        <f>IFERROR(__xludf.DUMMYFUNCTION("""COMPUTED_VALUE"""),0.0)</f>
        <v>0</v>
      </c>
      <c r="F6067" s="2"/>
      <c r="G6067" s="2"/>
      <c r="H6067" s="2"/>
      <c r="I6067" s="2"/>
    </row>
    <row r="6068">
      <c r="A6068" s="2"/>
      <c r="B6068" s="2"/>
      <c r="C6068" s="2"/>
      <c r="D6068" s="2"/>
      <c r="E6068" s="2">
        <f>IFERROR(__xludf.DUMMYFUNCTION("""COMPUTED_VALUE"""),0.0)</f>
        <v>0</v>
      </c>
      <c r="F6068" s="2"/>
      <c r="G6068" s="2"/>
      <c r="H6068" s="2"/>
      <c r="I6068" s="2"/>
    </row>
    <row r="6069">
      <c r="A6069" s="2"/>
      <c r="B6069" s="2"/>
      <c r="C6069" s="2"/>
      <c r="D6069" s="2"/>
      <c r="E6069" s="2">
        <f>IFERROR(__xludf.DUMMYFUNCTION("""COMPUTED_VALUE"""),0.0)</f>
        <v>0</v>
      </c>
      <c r="F6069" s="2"/>
      <c r="G6069" s="2"/>
      <c r="H6069" s="2"/>
      <c r="I6069" s="2"/>
    </row>
    <row r="6070">
      <c r="A6070" s="2"/>
      <c r="B6070" s="2"/>
      <c r="C6070" s="2"/>
      <c r="D6070" s="2"/>
      <c r="E6070" s="2">
        <f>IFERROR(__xludf.DUMMYFUNCTION("""COMPUTED_VALUE"""),0.0)</f>
        <v>0</v>
      </c>
      <c r="F6070" s="2"/>
      <c r="G6070" s="2"/>
      <c r="H6070" s="2"/>
      <c r="I6070" s="2"/>
    </row>
    <row r="6071">
      <c r="A6071" s="2"/>
      <c r="B6071" s="2"/>
      <c r="C6071" s="2"/>
      <c r="D6071" s="2"/>
      <c r="E6071" s="2">
        <f>IFERROR(__xludf.DUMMYFUNCTION("""COMPUTED_VALUE"""),0.0)</f>
        <v>0</v>
      </c>
      <c r="F6071" s="2"/>
      <c r="G6071" s="2"/>
      <c r="H6071" s="2"/>
      <c r="I6071" s="2"/>
    </row>
    <row r="6072">
      <c r="A6072" s="2"/>
      <c r="B6072" s="2"/>
      <c r="C6072" s="2"/>
      <c r="D6072" s="2"/>
      <c r="E6072" s="2">
        <f>IFERROR(__xludf.DUMMYFUNCTION("""COMPUTED_VALUE"""),0.0)</f>
        <v>0</v>
      </c>
      <c r="F6072" s="2"/>
      <c r="G6072" s="2"/>
      <c r="H6072" s="2"/>
      <c r="I6072" s="2"/>
    </row>
    <row r="6073">
      <c r="A6073" s="2"/>
      <c r="B6073" s="2"/>
      <c r="C6073" s="2"/>
      <c r="D6073" s="2"/>
      <c r="E6073" s="2">
        <f>IFERROR(__xludf.DUMMYFUNCTION("""COMPUTED_VALUE"""),0.0)</f>
        <v>0</v>
      </c>
      <c r="F6073" s="2"/>
      <c r="G6073" s="2"/>
      <c r="H6073" s="2"/>
      <c r="I6073" s="2"/>
    </row>
    <row r="6074">
      <c r="A6074" s="2"/>
      <c r="B6074" s="2"/>
      <c r="C6074" s="2"/>
      <c r="D6074" s="2"/>
      <c r="E6074" s="2">
        <f>IFERROR(__xludf.DUMMYFUNCTION("""COMPUTED_VALUE"""),0.0)</f>
        <v>0</v>
      </c>
      <c r="F6074" s="2"/>
      <c r="G6074" s="2"/>
      <c r="H6074" s="2"/>
      <c r="I6074" s="2"/>
    </row>
    <row r="6075">
      <c r="A6075" s="2"/>
      <c r="B6075" s="2"/>
      <c r="C6075" s="2"/>
      <c r="D6075" s="2"/>
      <c r="E6075" s="2">
        <f>IFERROR(__xludf.DUMMYFUNCTION("""COMPUTED_VALUE"""),0.0)</f>
        <v>0</v>
      </c>
      <c r="F6075" s="2"/>
      <c r="G6075" s="2"/>
      <c r="H6075" s="2"/>
      <c r="I6075" s="2"/>
    </row>
    <row r="6076">
      <c r="A6076" s="2"/>
      <c r="B6076" s="2"/>
      <c r="C6076" s="2"/>
      <c r="D6076" s="2"/>
      <c r="E6076" s="2">
        <f>IFERROR(__xludf.DUMMYFUNCTION("""COMPUTED_VALUE"""),0.0)</f>
        <v>0</v>
      </c>
      <c r="F6076" s="2"/>
      <c r="G6076" s="2"/>
      <c r="H6076" s="2"/>
      <c r="I6076" s="2"/>
    </row>
    <row r="6077">
      <c r="A6077" s="2"/>
      <c r="B6077" s="2"/>
      <c r="C6077" s="2"/>
      <c r="D6077" s="2"/>
      <c r="E6077" s="2">
        <f>IFERROR(__xludf.DUMMYFUNCTION("""COMPUTED_VALUE"""),0.0)</f>
        <v>0</v>
      </c>
      <c r="F6077" s="2"/>
      <c r="G6077" s="2"/>
      <c r="H6077" s="2"/>
      <c r="I6077" s="2"/>
    </row>
    <row r="6078">
      <c r="A6078" s="2"/>
      <c r="B6078" s="2"/>
      <c r="C6078" s="2"/>
      <c r="D6078" s="2"/>
      <c r="E6078" s="2">
        <f>IFERROR(__xludf.DUMMYFUNCTION("""COMPUTED_VALUE"""),0.0)</f>
        <v>0</v>
      </c>
      <c r="F6078" s="2"/>
      <c r="G6078" s="2"/>
      <c r="H6078" s="2"/>
      <c r="I6078" s="2"/>
    </row>
    <row r="6079">
      <c r="A6079" s="2"/>
      <c r="B6079" s="2"/>
      <c r="C6079" s="2"/>
      <c r="D6079" s="2"/>
      <c r="E6079" s="2">
        <f>IFERROR(__xludf.DUMMYFUNCTION("""COMPUTED_VALUE"""),0.0)</f>
        <v>0</v>
      </c>
      <c r="F6079" s="2"/>
      <c r="G6079" s="2"/>
      <c r="H6079" s="2"/>
      <c r="I6079" s="2"/>
    </row>
    <row r="6080">
      <c r="A6080" s="2"/>
      <c r="B6080" s="2"/>
      <c r="C6080" s="2"/>
      <c r="D6080" s="2"/>
      <c r="E6080" s="2">
        <f>IFERROR(__xludf.DUMMYFUNCTION("""COMPUTED_VALUE"""),0.0)</f>
        <v>0</v>
      </c>
      <c r="F6080" s="2"/>
      <c r="G6080" s="2"/>
      <c r="H6080" s="2"/>
      <c r="I6080" s="2"/>
    </row>
    <row r="6081">
      <c r="A6081" s="2"/>
      <c r="B6081" s="2"/>
      <c r="C6081" s="2"/>
      <c r="D6081" s="2"/>
      <c r="E6081" s="2">
        <f>IFERROR(__xludf.DUMMYFUNCTION("""COMPUTED_VALUE"""),0.0)</f>
        <v>0</v>
      </c>
      <c r="F6081" s="2"/>
      <c r="G6081" s="2"/>
      <c r="H6081" s="2"/>
      <c r="I6081" s="2"/>
    </row>
    <row r="6082">
      <c r="A6082" s="2"/>
      <c r="B6082" s="2"/>
      <c r="C6082" s="2"/>
      <c r="D6082" s="2"/>
      <c r="E6082" s="2">
        <f>IFERROR(__xludf.DUMMYFUNCTION("""COMPUTED_VALUE"""),0.0)</f>
        <v>0</v>
      </c>
      <c r="F6082" s="2"/>
      <c r="G6082" s="2"/>
      <c r="H6082" s="2"/>
      <c r="I6082" s="2"/>
    </row>
    <row r="6083">
      <c r="A6083" s="2"/>
      <c r="B6083" s="2"/>
      <c r="C6083" s="2"/>
      <c r="D6083" s="2"/>
      <c r="E6083" s="2">
        <f>IFERROR(__xludf.DUMMYFUNCTION("""COMPUTED_VALUE"""),0.0)</f>
        <v>0</v>
      </c>
      <c r="F6083" s="2"/>
      <c r="G6083" s="2"/>
      <c r="H6083" s="2"/>
      <c r="I6083" s="2"/>
    </row>
    <row r="6084">
      <c r="A6084" s="2"/>
      <c r="B6084" s="2"/>
      <c r="C6084" s="2"/>
      <c r="D6084" s="2"/>
      <c r="E6084" s="2">
        <f>IFERROR(__xludf.DUMMYFUNCTION("""COMPUTED_VALUE"""),0.0)</f>
        <v>0</v>
      </c>
      <c r="F6084" s="2"/>
      <c r="G6084" s="2"/>
      <c r="H6084" s="2"/>
      <c r="I6084" s="2"/>
    </row>
    <row r="6085">
      <c r="A6085" s="2"/>
      <c r="B6085" s="2"/>
      <c r="C6085" s="2"/>
      <c r="D6085" s="2"/>
      <c r="E6085" s="2">
        <f>IFERROR(__xludf.DUMMYFUNCTION("""COMPUTED_VALUE"""),0.0)</f>
        <v>0</v>
      </c>
      <c r="F6085" s="2"/>
      <c r="G6085" s="2"/>
      <c r="H6085" s="2"/>
      <c r="I6085" s="2"/>
    </row>
    <row r="6086">
      <c r="A6086" s="2"/>
      <c r="B6086" s="2"/>
      <c r="C6086" s="2"/>
      <c r="D6086" s="2"/>
      <c r="E6086" s="2">
        <f>IFERROR(__xludf.DUMMYFUNCTION("""COMPUTED_VALUE"""),0.0)</f>
        <v>0</v>
      </c>
      <c r="F6086" s="2"/>
      <c r="G6086" s="2"/>
      <c r="H6086" s="2"/>
      <c r="I6086" s="2"/>
    </row>
    <row r="6087">
      <c r="A6087" s="2"/>
      <c r="B6087" s="2"/>
      <c r="C6087" s="2"/>
      <c r="D6087" s="2"/>
      <c r="E6087" s="2">
        <f>IFERROR(__xludf.DUMMYFUNCTION("""COMPUTED_VALUE"""),0.0)</f>
        <v>0</v>
      </c>
      <c r="F6087" s="2"/>
      <c r="G6087" s="2"/>
      <c r="H6087" s="2"/>
      <c r="I6087" s="2"/>
    </row>
    <row r="6088">
      <c r="A6088" s="2"/>
      <c r="B6088" s="2"/>
      <c r="C6088" s="2"/>
      <c r="D6088" s="2"/>
      <c r="E6088" s="2">
        <f>IFERROR(__xludf.DUMMYFUNCTION("""COMPUTED_VALUE"""),0.0)</f>
        <v>0</v>
      </c>
      <c r="F6088" s="2"/>
      <c r="G6088" s="2"/>
      <c r="H6088" s="2"/>
      <c r="I6088" s="2"/>
    </row>
    <row r="6089">
      <c r="A6089" s="2"/>
      <c r="B6089" s="2"/>
      <c r="C6089" s="2"/>
      <c r="D6089" s="2"/>
      <c r="E6089" s="2">
        <f>IFERROR(__xludf.DUMMYFUNCTION("""COMPUTED_VALUE"""),0.0)</f>
        <v>0</v>
      </c>
      <c r="F6089" s="2"/>
      <c r="G6089" s="2"/>
      <c r="H6089" s="2"/>
      <c r="I6089" s="2"/>
    </row>
    <row r="6090">
      <c r="A6090" s="2"/>
      <c r="B6090" s="2"/>
      <c r="C6090" s="2"/>
      <c r="D6090" s="2"/>
      <c r="E6090" s="2">
        <f>IFERROR(__xludf.DUMMYFUNCTION("""COMPUTED_VALUE"""),0.0)</f>
        <v>0</v>
      </c>
      <c r="F6090" s="2"/>
      <c r="G6090" s="2"/>
      <c r="H6090" s="2"/>
      <c r="I6090" s="2"/>
    </row>
    <row r="6091">
      <c r="A6091" s="2"/>
      <c r="B6091" s="2"/>
      <c r="C6091" s="2"/>
      <c r="D6091" s="2"/>
      <c r="E6091" s="2">
        <f>IFERROR(__xludf.DUMMYFUNCTION("""COMPUTED_VALUE"""),0.0)</f>
        <v>0</v>
      </c>
      <c r="F6091" s="2"/>
      <c r="G6091" s="2"/>
      <c r="H6091" s="2"/>
      <c r="I6091" s="2"/>
    </row>
    <row r="6092">
      <c r="A6092" s="2"/>
      <c r="B6092" s="2"/>
      <c r="C6092" s="2"/>
      <c r="D6092" s="2"/>
      <c r="E6092" s="2">
        <f>IFERROR(__xludf.DUMMYFUNCTION("""COMPUTED_VALUE"""),0.0)</f>
        <v>0</v>
      </c>
      <c r="F6092" s="2"/>
      <c r="G6092" s="2"/>
      <c r="H6092" s="2"/>
      <c r="I6092" s="2"/>
    </row>
    <row r="6093">
      <c r="A6093" s="2"/>
      <c r="B6093" s="2"/>
      <c r="C6093" s="2"/>
      <c r="D6093" s="2"/>
      <c r="E6093" s="2">
        <f>IFERROR(__xludf.DUMMYFUNCTION("""COMPUTED_VALUE"""),0.0)</f>
        <v>0</v>
      </c>
      <c r="F6093" s="2"/>
      <c r="G6093" s="2"/>
      <c r="H6093" s="2"/>
      <c r="I6093" s="2"/>
    </row>
    <row r="6094">
      <c r="A6094" s="2"/>
      <c r="B6094" s="2"/>
      <c r="C6094" s="2"/>
      <c r="D6094" s="2"/>
      <c r="E6094" s="2">
        <f>IFERROR(__xludf.DUMMYFUNCTION("""COMPUTED_VALUE"""),0.0)</f>
        <v>0</v>
      </c>
      <c r="F6094" s="2"/>
      <c r="G6094" s="2"/>
      <c r="H6094" s="2"/>
      <c r="I6094" s="2"/>
    </row>
    <row r="6095">
      <c r="A6095" s="2"/>
      <c r="B6095" s="2"/>
      <c r="C6095" s="2"/>
      <c r="D6095" s="2"/>
      <c r="E6095" s="2">
        <f>IFERROR(__xludf.DUMMYFUNCTION("""COMPUTED_VALUE"""),0.0)</f>
        <v>0</v>
      </c>
      <c r="F6095" s="2"/>
      <c r="G6095" s="2"/>
      <c r="H6095" s="2"/>
      <c r="I6095" s="2"/>
    </row>
    <row r="6096">
      <c r="A6096" s="2"/>
      <c r="B6096" s="2"/>
      <c r="C6096" s="2"/>
      <c r="D6096" s="2"/>
      <c r="E6096" s="2">
        <f>IFERROR(__xludf.DUMMYFUNCTION("""COMPUTED_VALUE"""),0.0)</f>
        <v>0</v>
      </c>
      <c r="F6096" s="2"/>
      <c r="G6096" s="2"/>
      <c r="H6096" s="2"/>
      <c r="I6096" s="2"/>
    </row>
    <row r="6097">
      <c r="A6097" s="2"/>
      <c r="B6097" s="2"/>
      <c r="C6097" s="2"/>
      <c r="D6097" s="2"/>
      <c r="E6097" s="2">
        <f>IFERROR(__xludf.DUMMYFUNCTION("""COMPUTED_VALUE"""),0.0)</f>
        <v>0</v>
      </c>
      <c r="F6097" s="2"/>
      <c r="G6097" s="2"/>
      <c r="H6097" s="2"/>
      <c r="I6097" s="2"/>
    </row>
    <row r="6098">
      <c r="A6098" s="2"/>
      <c r="B6098" s="2"/>
      <c r="C6098" s="2"/>
      <c r="D6098" s="2"/>
      <c r="E6098" s="2">
        <f>IFERROR(__xludf.DUMMYFUNCTION("""COMPUTED_VALUE"""),0.0)</f>
        <v>0</v>
      </c>
      <c r="F6098" s="2"/>
      <c r="G6098" s="2"/>
      <c r="H6098" s="2"/>
      <c r="I6098" s="2"/>
    </row>
    <row r="6099">
      <c r="A6099" s="2"/>
      <c r="B6099" s="2"/>
      <c r="C6099" s="2"/>
      <c r="D6099" s="2"/>
      <c r="E6099" s="2">
        <f>IFERROR(__xludf.DUMMYFUNCTION("""COMPUTED_VALUE"""),0.0)</f>
        <v>0</v>
      </c>
      <c r="F6099" s="2"/>
      <c r="G6099" s="2"/>
      <c r="H6099" s="2"/>
      <c r="I6099" s="2"/>
    </row>
    <row r="6100">
      <c r="A6100" s="2"/>
      <c r="B6100" s="2"/>
      <c r="C6100" s="2"/>
      <c r="D6100" s="2"/>
      <c r="E6100" s="2">
        <f>IFERROR(__xludf.DUMMYFUNCTION("""COMPUTED_VALUE"""),0.0)</f>
        <v>0</v>
      </c>
      <c r="F6100" s="2"/>
      <c r="G6100" s="2"/>
      <c r="H6100" s="2"/>
      <c r="I6100" s="2"/>
    </row>
    <row r="6101">
      <c r="A6101" s="2"/>
      <c r="B6101" s="2"/>
      <c r="C6101" s="2"/>
      <c r="D6101" s="2"/>
      <c r="E6101" s="2">
        <f>IFERROR(__xludf.DUMMYFUNCTION("""COMPUTED_VALUE"""),0.0)</f>
        <v>0</v>
      </c>
      <c r="F6101" s="2"/>
      <c r="G6101" s="2"/>
      <c r="H6101" s="2"/>
      <c r="I6101"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
    <col customWidth="1" min="3" max="3" width="17.88"/>
    <col customWidth="1" min="4" max="4" width="10.38"/>
    <col customWidth="1" min="6" max="6" width="14.13"/>
    <col customWidth="1" min="7" max="7" width="24.13"/>
    <col customWidth="1" min="8" max="8" width="9.88"/>
    <col customWidth="1" min="9" max="9" width="32.38"/>
    <col customWidth="1" min="10" max="10" width="12.25"/>
    <col customWidth="1" min="11" max="11" width="12.5"/>
    <col customWidth="1" min="12" max="12" width="23.13"/>
  </cols>
  <sheetData>
    <row r="1">
      <c r="A1" s="13" t="str">
        <f>IFERROR(__xludf.DUMMYFUNCTION("IMPORTRANGE(""https://docs.google.com/spreadsheets/d/1yOpZnyZ5ouw2C51zn4VNSNmNNrizgIE5YAyno7ltBiE/edit"",""stock!A:d"")"),"product_id")</f>
        <v>product_id</v>
      </c>
      <c r="B1" s="13" t="str">
        <f>IFERROR(__xludf.DUMMYFUNCTION("""COMPUTED_VALUE"""),"new")</f>
        <v>new</v>
      </c>
      <c r="C1" s="13" t="str">
        <f>IFERROR(__xludf.DUMMYFUNCTION("""COMPUTED_VALUE"""),"forecast_stock")</f>
        <v>forecast_stock</v>
      </c>
      <c r="D1" s="13" t="str">
        <f>IFERROR(__xludf.DUMMYFUNCTION("""COMPUTED_VALUE"""),"stock")</f>
        <v>stock</v>
      </c>
      <c r="E1" s="13" t="s">
        <v>0</v>
      </c>
      <c r="F1" s="13" t="s">
        <v>1</v>
      </c>
      <c r="G1" s="13" t="s">
        <v>2</v>
      </c>
      <c r="H1" s="13" t="s">
        <v>3</v>
      </c>
      <c r="I1" s="14" t="s">
        <v>4</v>
      </c>
      <c r="J1" s="14" t="s">
        <v>5</v>
      </c>
      <c r="K1" s="15" t="s">
        <v>6</v>
      </c>
      <c r="L1" s="16" t="s">
        <v>7</v>
      </c>
      <c r="M1" s="13" t="s">
        <v>7</v>
      </c>
      <c r="N1" s="13" t="s">
        <v>7</v>
      </c>
      <c r="O1" s="13" t="s">
        <v>7</v>
      </c>
      <c r="P1" s="13" t="s">
        <v>7</v>
      </c>
      <c r="Q1" s="13" t="s">
        <v>7</v>
      </c>
      <c r="R1" s="13" t="s">
        <v>7</v>
      </c>
      <c r="S1" s="13" t="s">
        <v>7</v>
      </c>
      <c r="T1" s="13" t="s">
        <v>7</v>
      </c>
      <c r="U1" s="13" t="s">
        <v>7</v>
      </c>
      <c r="V1" s="13" t="s">
        <v>7</v>
      </c>
      <c r="W1" s="13" t="s">
        <v>7</v>
      </c>
      <c r="X1" s="13" t="s">
        <v>7</v>
      </c>
      <c r="Y1" s="13" t="s">
        <v>7</v>
      </c>
      <c r="Z1" s="13" t="s">
        <v>7</v>
      </c>
      <c r="AA1" s="13" t="s">
        <v>7</v>
      </c>
      <c r="AB1" s="13" t="s">
        <v>7</v>
      </c>
      <c r="AC1" s="13" t="s">
        <v>7</v>
      </c>
    </row>
    <row r="2" hidden="1">
      <c r="A2" s="2">
        <f>IFERROR(__xludf.DUMMYFUNCTION("""COMPUTED_VALUE"""),112463.0)</f>
        <v>112463</v>
      </c>
      <c r="B2" s="2">
        <f>IFERROR(__xludf.DUMMYFUNCTION("""COMPUTED_VALUE"""),0.0)</f>
        <v>0</v>
      </c>
      <c r="C2" s="2">
        <f>IFERROR(__xludf.DUMMYFUNCTION("""COMPUTED_VALUE"""),320.0)</f>
        <v>320</v>
      </c>
      <c r="D2" s="3">
        <f>IFERROR(__xludf.DUMMYFUNCTION("""COMPUTED_VALUE"""),320.0)</f>
        <v>320</v>
      </c>
      <c r="E2" s="1" t="str">
        <f t="array" ref="E2">_xlfn.XLOOKUP(A2,Product!A:A,Product!B:B,"Bulunamadı")</f>
        <v>Fiction</v>
      </c>
      <c r="F2" s="1" t="str">
        <f t="array" ref="F2">_xlfn.XLOOKUP(A2,Product!A:A,Product!C:C,"Bulunamadı")</f>
        <v>Literary Fiction</v>
      </c>
      <c r="G2" s="2" t="str">
        <f t="array" ref="G2">_xlfn.XLOOKUP(A3,Product!A:A,Product!D:D,"Bulunamadı")</f>
        <v>Blue Oak Publishing</v>
      </c>
      <c r="H2" s="2">
        <f t="array" ref="H2">_xlfn.XLOOKUP(A4,Product!A:A,Product!E:E,"Bulunamadı")</f>
        <v>2.16</v>
      </c>
      <c r="I2" s="2" t="str">
        <f t="shared" ref="I2:I5901" si="1">A2&amp;" - "&amp;E2&amp;" - "&amp;F2</f>
        <v>112463 - Fiction - Literary Fiction</v>
      </c>
      <c r="J2" s="2">
        <f t="shared" ref="J2:J5899" si="2">D2*H2</f>
        <v>691.2</v>
      </c>
      <c r="K2" s="17">
        <f t="shared" ref="K2:K5901" si="3">IF(D2&gt;0,1,0)</f>
        <v>1</v>
      </c>
      <c r="L2" s="18"/>
    </row>
    <row r="3" hidden="1">
      <c r="A3" s="2">
        <f>IFERROR(__xludf.DUMMYFUNCTION("""COMPUTED_VALUE"""),112481.0)</f>
        <v>112481</v>
      </c>
      <c r="B3" s="2">
        <f>IFERROR(__xludf.DUMMYFUNCTION("""COMPUTED_VALUE"""),0.0)</f>
        <v>0</v>
      </c>
      <c r="C3" s="2">
        <f>IFERROR(__xludf.DUMMYFUNCTION("""COMPUTED_VALUE"""),0.0)</f>
        <v>0</v>
      </c>
      <c r="D3" s="3">
        <f>IFERROR(__xludf.DUMMYFUNCTION("""COMPUTED_VALUE"""),0.0)</f>
        <v>0</v>
      </c>
      <c r="E3" s="1" t="str">
        <f t="array" ref="E3">_xlfn.XLOOKUP(A3,Product!A:A,Product!B:B,"Bulunamadı")</f>
        <v>Fiction</v>
      </c>
      <c r="F3" s="1" t="str">
        <f t="array" ref="F3">_xlfn.XLOOKUP(A3,Product!A:A,Product!C:C,"Bulunamadı")</f>
        <v>Literary Fiction</v>
      </c>
      <c r="G3" s="2" t="str">
        <f t="array" ref="G3">_xlfn.XLOOKUP(A4,Product!A:A,Product!D:D,"Bulunamadı")</f>
        <v>Blue Oak Publishing</v>
      </c>
      <c r="H3" s="2">
        <f t="array" ref="H3">_xlfn.XLOOKUP(A5,Product!A:A,Product!E:E,"Bulunamadı")</f>
        <v>0.93</v>
      </c>
      <c r="I3" s="2" t="str">
        <f t="shared" si="1"/>
        <v>112481 - Fiction - Literary Fiction</v>
      </c>
      <c r="J3" s="2">
        <f t="shared" si="2"/>
        <v>0</v>
      </c>
      <c r="K3" s="17">
        <f t="shared" si="3"/>
        <v>0</v>
      </c>
      <c r="L3" s="18"/>
    </row>
    <row r="4" hidden="1">
      <c r="A4" s="2">
        <f>IFERROR(__xludf.DUMMYFUNCTION("""COMPUTED_VALUE"""),13346.0)</f>
        <v>13346</v>
      </c>
      <c r="B4" s="2">
        <f>IFERROR(__xludf.DUMMYFUNCTION("""COMPUTED_VALUE"""),1.0)</f>
        <v>1</v>
      </c>
      <c r="C4" s="2">
        <f>IFERROR(__xludf.DUMMYFUNCTION("""COMPUTED_VALUE"""),100.0)</f>
        <v>100</v>
      </c>
      <c r="D4" s="3">
        <f>IFERROR(__xludf.DUMMYFUNCTION("""COMPUTED_VALUE"""),100.0)</f>
        <v>100</v>
      </c>
      <c r="E4" s="1" t="str">
        <f t="array" ref="E4">_xlfn.XLOOKUP(A4,Product!A:A,Product!B:B,"Bulunamadı")</f>
        <v>Fiction</v>
      </c>
      <c r="F4" s="1" t="str">
        <f t="array" ref="F4">_xlfn.XLOOKUP(A4,Product!A:A,Product!C:C,"Bulunamadı")</f>
        <v>Literary Fiction</v>
      </c>
      <c r="G4" s="2" t="str">
        <f t="array" ref="G4">_xlfn.XLOOKUP(A5,Product!A:A,Product!D:D,"Bulunamadı")</f>
        <v>Blue Oak Publishing</v>
      </c>
      <c r="H4" s="2">
        <f t="array" ref="H4">_xlfn.XLOOKUP(A6,Product!A:A,Product!E:E,"Bulunamadı")</f>
        <v>1.07</v>
      </c>
      <c r="I4" s="2" t="str">
        <f t="shared" si="1"/>
        <v>13346 - Fiction - Literary Fiction</v>
      </c>
      <c r="J4" s="2">
        <f t="shared" si="2"/>
        <v>107</v>
      </c>
      <c r="K4" s="17">
        <f t="shared" si="3"/>
        <v>1</v>
      </c>
      <c r="L4" s="18"/>
    </row>
    <row r="5" hidden="1">
      <c r="A5" s="2">
        <f>IFERROR(__xludf.DUMMYFUNCTION("""COMPUTED_VALUE"""),112454.0)</f>
        <v>112454</v>
      </c>
      <c r="B5" s="2">
        <f>IFERROR(__xludf.DUMMYFUNCTION("""COMPUTED_VALUE"""),0.0)</f>
        <v>0</v>
      </c>
      <c r="C5" s="2">
        <f>IFERROR(__xludf.DUMMYFUNCTION("""COMPUTED_VALUE"""),277.0)</f>
        <v>277</v>
      </c>
      <c r="D5" s="3">
        <f>IFERROR(__xludf.DUMMYFUNCTION("""COMPUTED_VALUE"""),268.0)</f>
        <v>268</v>
      </c>
      <c r="E5" s="1" t="str">
        <f t="array" ref="E5">_xlfn.XLOOKUP(A5,Product!A:A,Product!B:B,"Bulunamadı")</f>
        <v>Fiction</v>
      </c>
      <c r="F5" s="1" t="str">
        <f t="array" ref="F5">_xlfn.XLOOKUP(A5,Product!A:A,Product!C:C,"Bulunamadı")</f>
        <v>Literary Fiction</v>
      </c>
      <c r="G5" s="2" t="str">
        <f t="array" ref="G5">_xlfn.XLOOKUP(A6,Product!A:A,Product!D:D,"Bulunamadı")</f>
        <v>Blue Oak Publishing</v>
      </c>
      <c r="H5" s="2">
        <f t="array" ref="H5">_xlfn.XLOOKUP(A7,Product!A:A,Product!E:E,"Bulunamadı")</f>
        <v>8.9</v>
      </c>
      <c r="I5" s="2" t="str">
        <f t="shared" si="1"/>
        <v>112454 - Fiction - Literary Fiction</v>
      </c>
      <c r="J5" s="2">
        <f t="shared" si="2"/>
        <v>2385.2</v>
      </c>
      <c r="K5" s="17">
        <f t="shared" si="3"/>
        <v>1</v>
      </c>
      <c r="L5" s="18"/>
    </row>
    <row r="6" hidden="1">
      <c r="A6" s="2">
        <f>IFERROR(__xludf.DUMMYFUNCTION("""COMPUTED_VALUE"""),112461.0)</f>
        <v>112461</v>
      </c>
      <c r="B6" s="2">
        <f>IFERROR(__xludf.DUMMYFUNCTION("""COMPUTED_VALUE"""),0.0)</f>
        <v>0</v>
      </c>
      <c r="C6" s="2">
        <f>IFERROR(__xludf.DUMMYFUNCTION("""COMPUTED_VALUE"""),971.0)</f>
        <v>971</v>
      </c>
      <c r="D6" s="3">
        <f>IFERROR(__xludf.DUMMYFUNCTION("""COMPUTED_VALUE"""),472.0)</f>
        <v>472</v>
      </c>
      <c r="E6" s="1" t="str">
        <f t="array" ref="E6">_xlfn.XLOOKUP(A6,Product!A:A,Product!B:B,"Bulunamadı")</f>
        <v>Fiction</v>
      </c>
      <c r="F6" s="1" t="str">
        <f t="array" ref="F6">_xlfn.XLOOKUP(A6,Product!A:A,Product!C:C,"Bulunamadı")</f>
        <v>Literary Fiction</v>
      </c>
      <c r="G6" s="2" t="str">
        <f t="array" ref="G6">_xlfn.XLOOKUP(A7,Product!A:A,Product!D:D,"Bulunamadı")</f>
        <v>Silver Leaf Press</v>
      </c>
      <c r="H6" s="2">
        <f t="array" ref="H6">_xlfn.XLOOKUP(A8,Product!A:A,Product!E:E,"Bulunamadı")</f>
        <v>8.84</v>
      </c>
      <c r="I6" s="2" t="str">
        <f t="shared" si="1"/>
        <v>112461 - Fiction - Literary Fiction</v>
      </c>
      <c r="J6" s="2">
        <f t="shared" si="2"/>
        <v>4172.48</v>
      </c>
      <c r="K6" s="17">
        <f t="shared" si="3"/>
        <v>1</v>
      </c>
      <c r="L6" s="18"/>
    </row>
    <row r="7" hidden="1">
      <c r="A7" s="2">
        <f>IFERROR(__xludf.DUMMYFUNCTION("""COMPUTED_VALUE"""),106532.0)</f>
        <v>106532</v>
      </c>
      <c r="B7" s="2">
        <f>IFERROR(__xludf.DUMMYFUNCTION("""COMPUTED_VALUE"""),0.0)</f>
        <v>0</v>
      </c>
      <c r="C7" s="2">
        <f>IFERROR(__xludf.DUMMYFUNCTION("""COMPUTED_VALUE"""),63.0)</f>
        <v>63</v>
      </c>
      <c r="D7" s="3">
        <f>IFERROR(__xludf.DUMMYFUNCTION("""COMPUTED_VALUE"""),63.0)</f>
        <v>63</v>
      </c>
      <c r="E7" s="1" t="str">
        <f t="array" ref="E7">_xlfn.XLOOKUP(A7,Product!A:A,Product!B:B,"Bulunamadı")</f>
        <v>Fiction</v>
      </c>
      <c r="F7" s="1" t="str">
        <f t="array" ref="F7">_xlfn.XLOOKUP(A7,Product!A:A,Product!C:C,"Bulunamadı")</f>
        <v>Literary Fiction</v>
      </c>
      <c r="G7" s="2" t="str">
        <f t="array" ref="G7">_xlfn.XLOOKUP(A8,Product!A:A,Product!D:D,"Bulunamadı")</f>
        <v>Silver Leaf Press</v>
      </c>
      <c r="H7" s="2">
        <f t="array" ref="H7">_xlfn.XLOOKUP(A9,Product!A:A,Product!E:E,"Bulunamadı")</f>
        <v>4.89</v>
      </c>
      <c r="I7" s="2" t="str">
        <f t="shared" si="1"/>
        <v>106532 - Fiction - Literary Fiction</v>
      </c>
      <c r="J7" s="2">
        <f t="shared" si="2"/>
        <v>308.07</v>
      </c>
      <c r="K7" s="17">
        <f t="shared" si="3"/>
        <v>1</v>
      </c>
      <c r="L7" s="18"/>
    </row>
    <row r="8" hidden="1">
      <c r="A8" s="2">
        <f>IFERROR(__xludf.DUMMYFUNCTION("""COMPUTED_VALUE"""),121135.0)</f>
        <v>121135</v>
      </c>
      <c r="B8" s="2">
        <f>IFERROR(__xludf.DUMMYFUNCTION("""COMPUTED_VALUE"""),1.0)</f>
        <v>1</v>
      </c>
      <c r="C8" s="2">
        <f>IFERROR(__xludf.DUMMYFUNCTION("""COMPUTED_VALUE"""),40.0)</f>
        <v>40</v>
      </c>
      <c r="D8" s="3">
        <f>IFERROR(__xludf.DUMMYFUNCTION("""COMPUTED_VALUE"""),33.0)</f>
        <v>33</v>
      </c>
      <c r="E8" s="1" t="str">
        <f t="array" ref="E8">_xlfn.XLOOKUP(A8,Product!A:A,Product!B:B,"Bulunamadı")</f>
        <v>Fiction</v>
      </c>
      <c r="F8" s="1" t="str">
        <f t="array" ref="F8">_xlfn.XLOOKUP(A8,Product!A:A,Product!C:C,"Bulunamadı")</f>
        <v>Literary Fiction</v>
      </c>
      <c r="G8" s="2" t="str">
        <f t="array" ref="G8">_xlfn.XLOOKUP(A9,Product!A:A,Product!D:D,"Bulunamadı")</f>
        <v>Northbridge Books</v>
      </c>
      <c r="H8" s="2">
        <f t="array" ref="H8">_xlfn.XLOOKUP(A10,Product!A:A,Product!E:E,"Bulunamadı")</f>
        <v>1.94</v>
      </c>
      <c r="I8" s="2" t="str">
        <f t="shared" si="1"/>
        <v>121135 - Fiction - Literary Fiction</v>
      </c>
      <c r="J8" s="2">
        <f t="shared" si="2"/>
        <v>64.02</v>
      </c>
      <c r="K8" s="17">
        <f t="shared" si="3"/>
        <v>1</v>
      </c>
      <c r="L8" s="18"/>
    </row>
    <row r="9" hidden="1">
      <c r="A9" s="2">
        <f>IFERROR(__xludf.DUMMYFUNCTION("""COMPUTED_VALUE"""),128362.0)</f>
        <v>128362</v>
      </c>
      <c r="B9" s="2">
        <f>IFERROR(__xludf.DUMMYFUNCTION("""COMPUTED_VALUE"""),1.0)</f>
        <v>1</v>
      </c>
      <c r="C9" s="2">
        <f>IFERROR(__xludf.DUMMYFUNCTION("""COMPUTED_VALUE"""),269.0)</f>
        <v>269</v>
      </c>
      <c r="D9" s="3">
        <f>IFERROR(__xludf.DUMMYFUNCTION("""COMPUTED_VALUE"""),104.0)</f>
        <v>104</v>
      </c>
      <c r="E9" s="1" t="str">
        <f t="array" ref="E9">_xlfn.XLOOKUP(A9,Product!A:A,Product!B:B,"Bulunamadı")</f>
        <v>History</v>
      </c>
      <c r="F9" s="1" t="str">
        <f t="array" ref="F9">_xlfn.XLOOKUP(A9,Product!A:A,Product!C:C,"Bulunamadı")</f>
        <v>Mystery</v>
      </c>
      <c r="G9" s="2" t="str">
        <f t="array" ref="G9">_xlfn.XLOOKUP(A10,Product!A:A,Product!D:D,"Bulunamadı")</f>
        <v>Riverstone Publishing</v>
      </c>
      <c r="H9" s="2">
        <f t="array" ref="H9">_xlfn.XLOOKUP(A11,Product!A:A,Product!E:E,"Bulunamadı")</f>
        <v>1.77</v>
      </c>
      <c r="I9" s="2" t="str">
        <f t="shared" si="1"/>
        <v>128362 - History - Mystery</v>
      </c>
      <c r="J9" s="2">
        <f t="shared" si="2"/>
        <v>184.08</v>
      </c>
      <c r="K9" s="17">
        <f t="shared" si="3"/>
        <v>1</v>
      </c>
      <c r="L9" s="18"/>
    </row>
    <row r="10" hidden="1">
      <c r="A10" s="2">
        <f>IFERROR(__xludf.DUMMYFUNCTION("""COMPUTED_VALUE"""),71200.0)</f>
        <v>71200</v>
      </c>
      <c r="B10" s="2">
        <f>IFERROR(__xludf.DUMMYFUNCTION("""COMPUTED_VALUE"""),0.0)</f>
        <v>0</v>
      </c>
      <c r="C10" s="2">
        <f>IFERROR(__xludf.DUMMYFUNCTION("""COMPUTED_VALUE"""),164.0)</f>
        <v>164</v>
      </c>
      <c r="D10" s="3">
        <f>IFERROR(__xludf.DUMMYFUNCTION("""COMPUTED_VALUE"""),152.0)</f>
        <v>152</v>
      </c>
      <c r="E10" s="1" t="str">
        <f t="array" ref="E10">_xlfn.XLOOKUP(A10,Product!A:A,Product!B:B,"Bulunamadı")</f>
        <v>History</v>
      </c>
      <c r="F10" s="1" t="str">
        <f t="array" ref="F10">_xlfn.XLOOKUP(A10,Product!A:A,Product!C:C,"Bulunamadı")</f>
        <v>Mystery</v>
      </c>
      <c r="G10" s="2" t="str">
        <f t="array" ref="G10">_xlfn.XLOOKUP(A11,Product!A:A,Product!D:D,"Bulunamadı")</f>
        <v>Riverstone Publishing</v>
      </c>
      <c r="H10" s="2">
        <f t="array" ref="H10">_xlfn.XLOOKUP(A12,Product!A:A,Product!E:E,"Bulunamadı")</f>
        <v>2.88</v>
      </c>
      <c r="I10" s="2" t="str">
        <f t="shared" si="1"/>
        <v>71200 - History - Mystery</v>
      </c>
      <c r="J10" s="2">
        <f t="shared" si="2"/>
        <v>437.76</v>
      </c>
      <c r="K10" s="17">
        <f t="shared" si="3"/>
        <v>1</v>
      </c>
      <c r="L10" s="18"/>
    </row>
    <row r="11" hidden="1">
      <c r="A11" s="2">
        <f>IFERROR(__xludf.DUMMYFUNCTION("""COMPUTED_VALUE"""),19812.0)</f>
        <v>19812</v>
      </c>
      <c r="B11" s="2">
        <f>IFERROR(__xludf.DUMMYFUNCTION("""COMPUTED_VALUE"""),0.0)</f>
        <v>0</v>
      </c>
      <c r="C11" s="2">
        <f>IFERROR(__xludf.DUMMYFUNCTION("""COMPUTED_VALUE"""),489.0)</f>
        <v>489</v>
      </c>
      <c r="D11" s="3">
        <f>IFERROR(__xludf.DUMMYFUNCTION("""COMPUTED_VALUE"""),393.0)</f>
        <v>393</v>
      </c>
      <c r="E11" s="1" t="str">
        <f t="array" ref="E11">_xlfn.XLOOKUP(A11,Product!A:A,Product!B:B,"Bulunamadı")</f>
        <v>History</v>
      </c>
      <c r="F11" s="1" t="str">
        <f t="array" ref="F11">_xlfn.XLOOKUP(A11,Product!A:A,Product!C:C,"Bulunamadı")</f>
        <v>Mystery</v>
      </c>
      <c r="G11" s="2" t="str">
        <f t="array" ref="G11">_xlfn.XLOOKUP(A12,Product!A:A,Product!D:D,"Bulunamadı")</f>
        <v>Golden Quill Press</v>
      </c>
      <c r="H11" s="2">
        <f t="array" ref="H11">_xlfn.XLOOKUP(A13,Product!A:A,Product!E:E,"Bulunamadı")</f>
        <v>1.83</v>
      </c>
      <c r="I11" s="2" t="str">
        <f t="shared" si="1"/>
        <v>19812 - History - Mystery</v>
      </c>
      <c r="J11" s="2">
        <f t="shared" si="2"/>
        <v>719.19</v>
      </c>
      <c r="K11" s="17">
        <f t="shared" si="3"/>
        <v>1</v>
      </c>
      <c r="L11" s="18"/>
    </row>
    <row r="12" hidden="1">
      <c r="A12" s="2">
        <f>IFERROR(__xludf.DUMMYFUNCTION("""COMPUTED_VALUE"""),122259.0)</f>
        <v>122259</v>
      </c>
      <c r="B12" s="2">
        <f>IFERROR(__xludf.DUMMYFUNCTION("""COMPUTED_VALUE"""),1.0)</f>
        <v>1</v>
      </c>
      <c r="C12" s="2">
        <f>IFERROR(__xludf.DUMMYFUNCTION("""COMPUTED_VALUE"""),104.0)</f>
        <v>104</v>
      </c>
      <c r="D12" s="3">
        <f>IFERROR(__xludf.DUMMYFUNCTION("""COMPUTED_VALUE"""),104.0)</f>
        <v>104</v>
      </c>
      <c r="E12" s="1" t="str">
        <f t="array" ref="E12">_xlfn.XLOOKUP(A12,Product!A:A,Product!B:B,"Bulunamadı")</f>
        <v>History</v>
      </c>
      <c r="F12" s="1" t="str">
        <f t="array" ref="F12">_xlfn.XLOOKUP(A12,Product!A:A,Product!C:C,"Bulunamadı")</f>
        <v>Mystery</v>
      </c>
      <c r="G12" s="2" t="str">
        <f t="array" ref="G12">_xlfn.XLOOKUP(A13,Product!A:A,Product!D:D,"Bulunamadı")</f>
        <v>Golden Quill Press</v>
      </c>
      <c r="H12" s="2">
        <f t="array" ref="H12">_xlfn.XLOOKUP(A14,Product!A:A,Product!E:E,"Bulunamadı")</f>
        <v>4.04</v>
      </c>
      <c r="I12" s="2" t="str">
        <f t="shared" si="1"/>
        <v>122259 - History - Mystery</v>
      </c>
      <c r="J12" s="2">
        <f t="shared" si="2"/>
        <v>420.16</v>
      </c>
      <c r="K12" s="17">
        <f t="shared" si="3"/>
        <v>1</v>
      </c>
      <c r="L12" s="18"/>
    </row>
    <row r="13" hidden="1">
      <c r="A13" s="2">
        <f>IFERROR(__xludf.DUMMYFUNCTION("""COMPUTED_VALUE"""),199526.0)</f>
        <v>199526</v>
      </c>
      <c r="B13" s="2">
        <f>IFERROR(__xludf.DUMMYFUNCTION("""COMPUTED_VALUE"""),0.0)</f>
        <v>0</v>
      </c>
      <c r="C13" s="2">
        <f>IFERROR(__xludf.DUMMYFUNCTION("""COMPUTED_VALUE"""),63.0)</f>
        <v>63</v>
      </c>
      <c r="D13" s="3">
        <f>IFERROR(__xludf.DUMMYFUNCTION("""COMPUTED_VALUE"""),60.0)</f>
        <v>60</v>
      </c>
      <c r="E13" s="1" t="str">
        <f t="array" ref="E13">_xlfn.XLOOKUP(A13,Product!A:A,Product!B:B,"Bulunamadı")</f>
        <v>History</v>
      </c>
      <c r="F13" s="1" t="str">
        <f t="array" ref="F13">_xlfn.XLOOKUP(A13,Product!A:A,Product!C:C,"Bulunamadı")</f>
        <v>Mystery</v>
      </c>
      <c r="G13" s="2" t="str">
        <f t="array" ref="G13">_xlfn.XLOOKUP(A14,Product!A:A,Product!D:D,"Bulunamadı")</f>
        <v>Golden Quill Press</v>
      </c>
      <c r="H13" s="2">
        <f t="array" ref="H13">_xlfn.XLOOKUP(A15,Product!A:A,Product!E:E,"Bulunamadı")</f>
        <v>1.5</v>
      </c>
      <c r="I13" s="2" t="str">
        <f t="shared" si="1"/>
        <v>199526 - History - Mystery</v>
      </c>
      <c r="J13" s="2">
        <f t="shared" si="2"/>
        <v>90</v>
      </c>
      <c r="K13" s="17">
        <f t="shared" si="3"/>
        <v>1</v>
      </c>
      <c r="L13" s="18"/>
    </row>
    <row r="14" hidden="1">
      <c r="A14" s="2">
        <f>IFERROR(__xludf.DUMMYFUNCTION("""COMPUTED_VALUE"""),140581.0)</f>
        <v>140581</v>
      </c>
      <c r="B14" s="2">
        <f>IFERROR(__xludf.DUMMYFUNCTION("""COMPUTED_VALUE"""),0.0)</f>
        <v>0</v>
      </c>
      <c r="C14" s="2">
        <f>IFERROR(__xludf.DUMMYFUNCTION("""COMPUTED_VALUE"""),14.0)</f>
        <v>14</v>
      </c>
      <c r="D14" s="3">
        <f>IFERROR(__xludf.DUMMYFUNCTION("""COMPUTED_VALUE"""),9.0)</f>
        <v>9</v>
      </c>
      <c r="E14" s="1" t="str">
        <f t="array" ref="E14">_xlfn.XLOOKUP(A14,Product!A:A,Product!B:B,"Bulunamadı")</f>
        <v>History</v>
      </c>
      <c r="F14" s="1" t="str">
        <f t="array" ref="F14">_xlfn.XLOOKUP(A14,Product!A:A,Product!C:C,"Bulunamadı")</f>
        <v>Mystery</v>
      </c>
      <c r="G14" s="2" t="str">
        <f t="array" ref="G14">_xlfn.XLOOKUP(A15,Product!A:A,Product!D:D,"Bulunamadı")</f>
        <v>Golden Quill Press</v>
      </c>
      <c r="H14" s="2">
        <f t="array" ref="H14">_xlfn.XLOOKUP(A16,Product!A:A,Product!E:E,"Bulunamadı")</f>
        <v>2.65</v>
      </c>
      <c r="I14" s="2" t="str">
        <f t="shared" si="1"/>
        <v>140581 - History - Mystery</v>
      </c>
      <c r="J14" s="2">
        <f t="shared" si="2"/>
        <v>23.85</v>
      </c>
      <c r="K14" s="17">
        <f t="shared" si="3"/>
        <v>1</v>
      </c>
      <c r="L14" s="18"/>
    </row>
    <row r="15" hidden="1">
      <c r="A15" s="2">
        <f>IFERROR(__xludf.DUMMYFUNCTION("""COMPUTED_VALUE"""),118383.0)</f>
        <v>118383</v>
      </c>
      <c r="B15" s="2">
        <f>IFERROR(__xludf.DUMMYFUNCTION("""COMPUTED_VALUE"""),0.0)</f>
        <v>0</v>
      </c>
      <c r="C15" s="2">
        <f>IFERROR(__xludf.DUMMYFUNCTION("""COMPUTED_VALUE"""),256.0)</f>
        <v>256</v>
      </c>
      <c r="D15" s="3">
        <f>IFERROR(__xludf.DUMMYFUNCTION("""COMPUTED_VALUE"""),256.0)</f>
        <v>256</v>
      </c>
      <c r="E15" s="1" t="str">
        <f t="array" ref="E15">_xlfn.XLOOKUP(A15,Product!A:A,Product!B:B,"Bulunamadı")</f>
        <v>History</v>
      </c>
      <c r="F15" s="1" t="str">
        <f t="array" ref="F15">_xlfn.XLOOKUP(A15,Product!A:A,Product!C:C,"Bulunamadı")</f>
        <v>Mystery</v>
      </c>
      <c r="G15" s="2" t="str">
        <f t="array" ref="G15">_xlfn.XLOOKUP(A16,Product!A:A,Product!D:D,"Bulunamadı")</f>
        <v>Golden Quill Press</v>
      </c>
      <c r="H15" s="2">
        <f t="array" ref="H15">_xlfn.XLOOKUP(A17,Product!A:A,Product!E:E,"Bulunamadı")</f>
        <v>2.04</v>
      </c>
      <c r="I15" s="2" t="str">
        <f t="shared" si="1"/>
        <v>118383 - History - Mystery</v>
      </c>
      <c r="J15" s="2">
        <f t="shared" si="2"/>
        <v>522.24</v>
      </c>
      <c r="K15" s="17">
        <f t="shared" si="3"/>
        <v>1</v>
      </c>
      <c r="L15" s="18"/>
    </row>
    <row r="16" hidden="1">
      <c r="A16" s="2">
        <f>IFERROR(__xludf.DUMMYFUNCTION("""COMPUTED_VALUE"""),122262.0)</f>
        <v>122262</v>
      </c>
      <c r="B16" s="2">
        <f>IFERROR(__xludf.DUMMYFUNCTION("""COMPUTED_VALUE"""),0.0)</f>
        <v>0</v>
      </c>
      <c r="C16" s="2">
        <f>IFERROR(__xludf.DUMMYFUNCTION("""COMPUTED_VALUE"""),326.0)</f>
        <v>326</v>
      </c>
      <c r="D16" s="3">
        <f>IFERROR(__xludf.DUMMYFUNCTION("""COMPUTED_VALUE"""),326.0)</f>
        <v>326</v>
      </c>
      <c r="E16" s="1" t="str">
        <f t="array" ref="E16">_xlfn.XLOOKUP(A16,Product!A:A,Product!B:B,"Bulunamadı")</f>
        <v>History</v>
      </c>
      <c r="F16" s="1" t="str">
        <f t="array" ref="F16">_xlfn.XLOOKUP(A16,Product!A:A,Product!C:C,"Bulunamadı")</f>
        <v>Mystery</v>
      </c>
      <c r="G16" s="2" t="str">
        <f t="array" ref="G16">_xlfn.XLOOKUP(A17,Product!A:A,Product!D:D,"Bulunamadı")</f>
        <v>Golden Quill Press</v>
      </c>
      <c r="H16" s="2">
        <f t="array" ref="H16">_xlfn.XLOOKUP(A18,Product!A:A,Product!E:E,"Bulunamadı")</f>
        <v>2.88</v>
      </c>
      <c r="I16" s="2" t="str">
        <f t="shared" si="1"/>
        <v>122262 - History - Mystery</v>
      </c>
      <c r="J16" s="2">
        <f t="shared" si="2"/>
        <v>938.88</v>
      </c>
      <c r="K16" s="17">
        <f t="shared" si="3"/>
        <v>1</v>
      </c>
      <c r="L16" s="18"/>
    </row>
    <row r="17" hidden="1">
      <c r="A17" s="2">
        <f>IFERROR(__xludf.DUMMYFUNCTION("""COMPUTED_VALUE"""),141879.0)</f>
        <v>141879</v>
      </c>
      <c r="B17" s="2">
        <f>IFERROR(__xludf.DUMMYFUNCTION("""COMPUTED_VALUE"""),0.0)</f>
        <v>0</v>
      </c>
      <c r="C17" s="2">
        <f>IFERROR(__xludf.DUMMYFUNCTION("""COMPUTED_VALUE"""),11.0)</f>
        <v>11</v>
      </c>
      <c r="D17" s="3">
        <f>IFERROR(__xludf.DUMMYFUNCTION("""COMPUTED_VALUE"""),11.0)</f>
        <v>11</v>
      </c>
      <c r="E17" s="1" t="str">
        <f t="array" ref="E17">_xlfn.XLOOKUP(A17,Product!A:A,Product!B:B,"Bulunamadı")</f>
        <v>History</v>
      </c>
      <c r="F17" s="1" t="str">
        <f t="array" ref="F17">_xlfn.XLOOKUP(A17,Product!A:A,Product!C:C,"Bulunamadı")</f>
        <v>Mystery</v>
      </c>
      <c r="G17" s="2" t="str">
        <f t="array" ref="G17">_xlfn.XLOOKUP(A18,Product!A:A,Product!D:D,"Bulunamadı")</f>
        <v>Harbor Light Books</v>
      </c>
      <c r="H17" s="2">
        <f t="array" ref="H17">_xlfn.XLOOKUP(A19,Product!A:A,Product!E:E,"Bulunamadı")</f>
        <v>3.23</v>
      </c>
      <c r="I17" s="2" t="str">
        <f t="shared" si="1"/>
        <v>141879 - History - Mystery</v>
      </c>
      <c r="J17" s="2">
        <f t="shared" si="2"/>
        <v>35.53</v>
      </c>
      <c r="K17" s="17">
        <f t="shared" si="3"/>
        <v>1</v>
      </c>
      <c r="L17" s="18"/>
    </row>
    <row r="18" hidden="1">
      <c r="A18" s="2">
        <f>IFERROR(__xludf.DUMMYFUNCTION("""COMPUTED_VALUE"""),19826.0)</f>
        <v>19826</v>
      </c>
      <c r="B18" s="2">
        <f>IFERROR(__xludf.DUMMYFUNCTION("""COMPUTED_VALUE"""),0.0)</f>
        <v>0</v>
      </c>
      <c r="C18" s="2">
        <f>IFERROR(__xludf.DUMMYFUNCTION("""COMPUTED_VALUE"""),210.0)</f>
        <v>210</v>
      </c>
      <c r="D18" s="3">
        <f>IFERROR(__xludf.DUMMYFUNCTION("""COMPUTED_VALUE"""),103.0)</f>
        <v>103</v>
      </c>
      <c r="E18" s="1" t="str">
        <f t="array" ref="E18">_xlfn.XLOOKUP(A18,Product!A:A,Product!B:B,"Bulunamadı")</f>
        <v>History</v>
      </c>
      <c r="F18" s="1" t="str">
        <f t="array" ref="F18">_xlfn.XLOOKUP(A18,Product!A:A,Product!C:C,"Bulunamadı")</f>
        <v>Thriller</v>
      </c>
      <c r="G18" s="2" t="str">
        <f t="array" ref="G18">_xlfn.XLOOKUP(A19,Product!A:A,Product!D:D,"Bulunamadı")</f>
        <v>Harbor Light Books</v>
      </c>
      <c r="H18" s="2">
        <f t="array" ref="H18">_xlfn.XLOOKUP(A20,Product!A:A,Product!E:E,"Bulunamadı")</f>
        <v>4.72</v>
      </c>
      <c r="I18" s="2" t="str">
        <f t="shared" si="1"/>
        <v>19826 - History - Thriller</v>
      </c>
      <c r="J18" s="2">
        <f t="shared" si="2"/>
        <v>486.16</v>
      </c>
      <c r="K18" s="17">
        <f t="shared" si="3"/>
        <v>1</v>
      </c>
      <c r="L18" s="18"/>
    </row>
    <row r="19" hidden="1">
      <c r="A19" s="2">
        <f>IFERROR(__xludf.DUMMYFUNCTION("""COMPUTED_VALUE"""),93039.0)</f>
        <v>93039</v>
      </c>
      <c r="B19" s="2">
        <f>IFERROR(__xludf.DUMMYFUNCTION("""COMPUTED_VALUE"""),0.0)</f>
        <v>0</v>
      </c>
      <c r="C19" s="2">
        <f>IFERROR(__xludf.DUMMYFUNCTION("""COMPUTED_VALUE"""),68.0)</f>
        <v>68</v>
      </c>
      <c r="D19" s="3">
        <f>IFERROR(__xludf.DUMMYFUNCTION("""COMPUTED_VALUE"""),68.0)</f>
        <v>68</v>
      </c>
      <c r="E19" s="1" t="str">
        <f t="array" ref="E19">_xlfn.XLOOKUP(A19,Product!A:A,Product!B:B,"Bulunamadı")</f>
        <v>History</v>
      </c>
      <c r="F19" s="1" t="str">
        <f t="array" ref="F19">_xlfn.XLOOKUP(A19,Product!A:A,Product!C:C,"Bulunamadı")</f>
        <v>Thriller</v>
      </c>
      <c r="G19" s="2" t="str">
        <f t="array" ref="G19">_xlfn.XLOOKUP(A20,Product!A:A,Product!D:D,"Bulunamadı")</f>
        <v>Harbor Light Books</v>
      </c>
      <c r="H19" s="2">
        <f t="array" ref="H19">_xlfn.XLOOKUP(A21,Product!A:A,Product!E:E,"Bulunamadı")</f>
        <v>6.05</v>
      </c>
      <c r="I19" s="2" t="str">
        <f t="shared" si="1"/>
        <v>93039 - History - Thriller</v>
      </c>
      <c r="J19" s="2">
        <f t="shared" si="2"/>
        <v>411.4</v>
      </c>
      <c r="K19" s="17">
        <f t="shared" si="3"/>
        <v>1</v>
      </c>
      <c r="L19" s="18"/>
    </row>
    <row r="20" hidden="1">
      <c r="A20" s="2">
        <f>IFERROR(__xludf.DUMMYFUNCTION("""COMPUTED_VALUE"""),128213.0)</f>
        <v>128213</v>
      </c>
      <c r="B20" s="2">
        <f>IFERROR(__xludf.DUMMYFUNCTION("""COMPUTED_VALUE"""),0.0)</f>
        <v>0</v>
      </c>
      <c r="C20" s="2">
        <f>IFERROR(__xludf.DUMMYFUNCTION("""COMPUTED_VALUE"""),318.0)</f>
        <v>318</v>
      </c>
      <c r="D20" s="3">
        <f>IFERROR(__xludf.DUMMYFUNCTION("""COMPUTED_VALUE"""),162.0)</f>
        <v>162</v>
      </c>
      <c r="E20" s="1" t="str">
        <f t="array" ref="E20">_xlfn.XLOOKUP(A20,Product!A:A,Product!B:B,"Bulunamadı")</f>
        <v>History</v>
      </c>
      <c r="F20" s="1" t="str">
        <f t="array" ref="F20">_xlfn.XLOOKUP(A20,Product!A:A,Product!C:C,"Bulunamadı")</f>
        <v>Thriller</v>
      </c>
      <c r="G20" s="2" t="str">
        <f t="array" ref="G20">_xlfn.XLOOKUP(A21,Product!A:A,Product!D:D,"Bulunamadı")</f>
        <v>Harbor Light Books</v>
      </c>
      <c r="H20" s="2">
        <f t="array" ref="H20">_xlfn.XLOOKUP(A22,Product!A:A,Product!E:E,"Bulunamadı")</f>
        <v>3.86</v>
      </c>
      <c r="I20" s="2" t="str">
        <f t="shared" si="1"/>
        <v>128213 - History - Thriller</v>
      </c>
      <c r="J20" s="2">
        <f t="shared" si="2"/>
        <v>625.32</v>
      </c>
      <c r="K20" s="17">
        <f t="shared" si="3"/>
        <v>1</v>
      </c>
      <c r="L20" s="18"/>
    </row>
    <row r="21" hidden="1">
      <c r="A21" s="2">
        <f>IFERROR(__xludf.DUMMYFUNCTION("""COMPUTED_VALUE"""),83797.0)</f>
        <v>83797</v>
      </c>
      <c r="B21" s="2">
        <f>IFERROR(__xludf.DUMMYFUNCTION("""COMPUTED_VALUE"""),0.0)</f>
        <v>0</v>
      </c>
      <c r="C21" s="2">
        <f>IFERROR(__xludf.DUMMYFUNCTION("""COMPUTED_VALUE"""),43.0)</f>
        <v>43</v>
      </c>
      <c r="D21" s="3">
        <f>IFERROR(__xludf.DUMMYFUNCTION("""COMPUTED_VALUE"""),43.0)</f>
        <v>43</v>
      </c>
      <c r="E21" s="1" t="str">
        <f t="array" ref="E21">_xlfn.XLOOKUP(A21,Product!A:A,Product!B:B,"Bulunamadı")</f>
        <v>History</v>
      </c>
      <c r="F21" s="1" t="str">
        <f t="array" ref="F21">_xlfn.XLOOKUP(A21,Product!A:A,Product!C:C,"Bulunamadı")</f>
        <v>Thriller</v>
      </c>
      <c r="G21" s="2" t="str">
        <f t="array" ref="G21">_xlfn.XLOOKUP(A22,Product!A:A,Product!D:D,"Bulunamadı")</f>
        <v>Harbor Light Books</v>
      </c>
      <c r="H21" s="2">
        <f t="array" ref="H21">_xlfn.XLOOKUP(A23,Product!A:A,Product!E:E,"Bulunamadı")</f>
        <v>2.31</v>
      </c>
      <c r="I21" s="2" t="str">
        <f t="shared" si="1"/>
        <v>83797 - History - Thriller</v>
      </c>
      <c r="J21" s="2">
        <f t="shared" si="2"/>
        <v>99.33</v>
      </c>
      <c r="K21" s="17">
        <f t="shared" si="3"/>
        <v>1</v>
      </c>
      <c r="L21" s="18"/>
    </row>
    <row r="22" hidden="1">
      <c r="A22" s="2">
        <f>IFERROR(__xludf.DUMMYFUNCTION("""COMPUTED_VALUE"""),19831.0)</f>
        <v>19831</v>
      </c>
      <c r="B22" s="2">
        <f>IFERROR(__xludf.DUMMYFUNCTION("""COMPUTED_VALUE"""),0.0)</f>
        <v>0</v>
      </c>
      <c r="C22" s="2">
        <f>IFERROR(__xludf.DUMMYFUNCTION("""COMPUTED_VALUE"""),185.0)</f>
        <v>185</v>
      </c>
      <c r="D22" s="3">
        <f>IFERROR(__xludf.DUMMYFUNCTION("""COMPUTED_VALUE"""),134.0)</f>
        <v>134</v>
      </c>
      <c r="E22" s="1" t="str">
        <f t="array" ref="E22">_xlfn.XLOOKUP(A22,Product!A:A,Product!B:B,"Bulunamadı")</f>
        <v>History</v>
      </c>
      <c r="F22" s="1" t="str">
        <f t="array" ref="F22">_xlfn.XLOOKUP(A22,Product!A:A,Product!C:C,"Bulunamadı")</f>
        <v>Thriller</v>
      </c>
      <c r="G22" s="2" t="str">
        <f t="array" ref="G22">_xlfn.XLOOKUP(A23,Product!A:A,Product!D:D,"Bulunamadı")</f>
        <v>Harbor Light Books</v>
      </c>
      <c r="H22" s="2">
        <f t="array" ref="H22">_xlfn.XLOOKUP(A24,Product!A:A,Product!E:E,"Bulunamadı")</f>
        <v>7.35</v>
      </c>
      <c r="I22" s="2" t="str">
        <f t="shared" si="1"/>
        <v>19831 - History - Thriller</v>
      </c>
      <c r="J22" s="2">
        <f t="shared" si="2"/>
        <v>984.9</v>
      </c>
      <c r="K22" s="17">
        <f t="shared" si="3"/>
        <v>1</v>
      </c>
      <c r="L22" s="18"/>
    </row>
    <row r="23" hidden="1">
      <c r="A23" s="2">
        <f>IFERROR(__xludf.DUMMYFUNCTION("""COMPUTED_VALUE"""),93025.0)</f>
        <v>93025</v>
      </c>
      <c r="B23" s="2">
        <f>IFERROR(__xludf.DUMMYFUNCTION("""COMPUTED_VALUE"""),0.0)</f>
        <v>0</v>
      </c>
      <c r="C23" s="2">
        <f>IFERROR(__xludf.DUMMYFUNCTION("""COMPUTED_VALUE"""),305.0)</f>
        <v>305</v>
      </c>
      <c r="D23" s="3">
        <f>IFERROR(__xludf.DUMMYFUNCTION("""COMPUTED_VALUE"""),305.0)</f>
        <v>305</v>
      </c>
      <c r="E23" s="1" t="str">
        <f t="array" ref="E23">_xlfn.XLOOKUP(A23,Product!A:A,Product!B:B,"Bulunamadı")</f>
        <v>History</v>
      </c>
      <c r="F23" s="1" t="str">
        <f t="array" ref="F23">_xlfn.XLOOKUP(A23,Product!A:A,Product!C:C,"Bulunamadı")</f>
        <v>Thriller</v>
      </c>
      <c r="G23" s="2" t="str">
        <f t="array" ref="G23">_xlfn.XLOOKUP(A24,Product!A:A,Product!D:D,"Bulunamadı")</f>
        <v>Harbor Light Books</v>
      </c>
      <c r="H23" s="2">
        <f t="array" ref="H23">_xlfn.XLOOKUP(A25,Product!A:A,Product!E:E,"Bulunamadı")</f>
        <v>7.02</v>
      </c>
      <c r="I23" s="2" t="str">
        <f t="shared" si="1"/>
        <v>93025 - History - Thriller</v>
      </c>
      <c r="J23" s="2">
        <f t="shared" si="2"/>
        <v>2141.1</v>
      </c>
      <c r="K23" s="17">
        <f t="shared" si="3"/>
        <v>1</v>
      </c>
      <c r="L23" s="18"/>
    </row>
    <row r="24" hidden="1">
      <c r="A24" s="2">
        <f>IFERROR(__xludf.DUMMYFUNCTION("""COMPUTED_VALUE"""),81624.0)</f>
        <v>81624</v>
      </c>
      <c r="B24" s="2">
        <f>IFERROR(__xludf.DUMMYFUNCTION("""COMPUTED_VALUE"""),1.0)</f>
        <v>1</v>
      </c>
      <c r="C24" s="2">
        <f>IFERROR(__xludf.DUMMYFUNCTION("""COMPUTED_VALUE"""),84.0)</f>
        <v>84</v>
      </c>
      <c r="D24" s="3">
        <f>IFERROR(__xludf.DUMMYFUNCTION("""COMPUTED_VALUE"""),84.0)</f>
        <v>84</v>
      </c>
      <c r="E24" s="1" t="str">
        <f t="array" ref="E24">_xlfn.XLOOKUP(A24,Product!A:A,Product!B:B,"Bulunamadı")</f>
        <v>History</v>
      </c>
      <c r="F24" s="1" t="str">
        <f t="array" ref="F24">_xlfn.XLOOKUP(A24,Product!A:A,Product!C:C,"Bulunamadı")</f>
        <v>Thriller</v>
      </c>
      <c r="G24" s="2" t="str">
        <f t="array" ref="G24">_xlfn.XLOOKUP(A25,Product!A:A,Product!D:D,"Bulunamadı")</f>
        <v>Harbor Light Books</v>
      </c>
      <c r="H24" s="2">
        <f t="array" ref="H24">_xlfn.XLOOKUP(A26,Product!A:A,Product!E:E,"Bulunamadı")</f>
        <v>2.69</v>
      </c>
      <c r="I24" s="2" t="str">
        <f t="shared" si="1"/>
        <v>81624 - History - Thriller</v>
      </c>
      <c r="J24" s="2">
        <f t="shared" si="2"/>
        <v>225.96</v>
      </c>
      <c r="K24" s="17">
        <f t="shared" si="3"/>
        <v>1</v>
      </c>
      <c r="L24" s="18"/>
    </row>
    <row r="25" hidden="1">
      <c r="A25" s="2">
        <f>IFERROR(__xludf.DUMMYFUNCTION("""COMPUTED_VALUE"""),92913.0)</f>
        <v>92913</v>
      </c>
      <c r="B25" s="2">
        <f>IFERROR(__xludf.DUMMYFUNCTION("""COMPUTED_VALUE"""),0.0)</f>
        <v>0</v>
      </c>
      <c r="C25" s="2">
        <f>IFERROR(__xludf.DUMMYFUNCTION("""COMPUTED_VALUE"""),96.0)</f>
        <v>96</v>
      </c>
      <c r="D25" s="3">
        <f>IFERROR(__xludf.DUMMYFUNCTION("""COMPUTED_VALUE"""),96.0)</f>
        <v>96</v>
      </c>
      <c r="E25" s="1" t="str">
        <f t="array" ref="E25">_xlfn.XLOOKUP(A25,Product!A:A,Product!B:B,"Bulunamadı")</f>
        <v>History</v>
      </c>
      <c r="F25" s="1" t="str">
        <f t="array" ref="F25">_xlfn.XLOOKUP(A25,Product!A:A,Product!C:C,"Bulunamadı")</f>
        <v>Thriller</v>
      </c>
      <c r="G25" s="2" t="str">
        <f t="array" ref="G25">_xlfn.XLOOKUP(A26,Product!A:A,Product!D:D,"Bulunamadı")</f>
        <v>Harbor Light Books</v>
      </c>
      <c r="H25" s="2">
        <f t="array" ref="H25">_xlfn.XLOOKUP(A27,Product!A:A,Product!E:E,"Bulunamadı")</f>
        <v>1.89</v>
      </c>
      <c r="I25" s="2" t="str">
        <f t="shared" si="1"/>
        <v>92913 - History - Thriller</v>
      </c>
      <c r="J25" s="2">
        <f t="shared" si="2"/>
        <v>181.44</v>
      </c>
      <c r="K25" s="17">
        <f t="shared" si="3"/>
        <v>1</v>
      </c>
      <c r="L25" s="18"/>
    </row>
    <row r="26" hidden="1">
      <c r="A26" s="2">
        <f>IFERROR(__xludf.DUMMYFUNCTION("""COMPUTED_VALUE"""),126983.0)</f>
        <v>126983</v>
      </c>
      <c r="B26" s="2">
        <f>IFERROR(__xludf.DUMMYFUNCTION("""COMPUTED_VALUE"""),0.0)</f>
        <v>0</v>
      </c>
      <c r="C26" s="2">
        <f>IFERROR(__xludf.DUMMYFUNCTION("""COMPUTED_VALUE"""),176.0)</f>
        <v>176</v>
      </c>
      <c r="D26" s="3">
        <f>IFERROR(__xludf.DUMMYFUNCTION("""COMPUTED_VALUE"""),71.0)</f>
        <v>71</v>
      </c>
      <c r="E26" s="1" t="str">
        <f t="array" ref="E26">_xlfn.XLOOKUP(A26,Product!A:A,Product!B:B,"Bulunamadı")</f>
        <v>History</v>
      </c>
      <c r="F26" s="1" t="str">
        <f t="array" ref="F26">_xlfn.XLOOKUP(A26,Product!A:A,Product!C:C,"Bulunamadı")</f>
        <v>Thriller</v>
      </c>
      <c r="G26" s="2" t="str">
        <f t="array" ref="G26">_xlfn.XLOOKUP(A27,Product!A:A,Product!D:D,"Bulunamadı")</f>
        <v>Harbor Light Books</v>
      </c>
      <c r="H26" s="2">
        <f t="array" ref="H26">_xlfn.XLOOKUP(A28,Product!A:A,Product!E:E,"Bulunamadı")</f>
        <v>2.39</v>
      </c>
      <c r="I26" s="2" t="str">
        <f t="shared" si="1"/>
        <v>126983 - History - Thriller</v>
      </c>
      <c r="J26" s="2">
        <f t="shared" si="2"/>
        <v>169.69</v>
      </c>
      <c r="K26" s="17">
        <f t="shared" si="3"/>
        <v>1</v>
      </c>
      <c r="L26" s="18"/>
    </row>
    <row r="27" hidden="1">
      <c r="A27" s="2">
        <f>IFERROR(__xludf.DUMMYFUNCTION("""COMPUTED_VALUE"""),118226.0)</f>
        <v>118226</v>
      </c>
      <c r="B27" s="2">
        <f>IFERROR(__xludf.DUMMYFUNCTION("""COMPUTED_VALUE"""),0.0)</f>
        <v>0</v>
      </c>
      <c r="C27" s="2">
        <f>IFERROR(__xludf.DUMMYFUNCTION("""COMPUTED_VALUE"""),130.0)</f>
        <v>130</v>
      </c>
      <c r="D27" s="3">
        <f>IFERROR(__xludf.DUMMYFUNCTION("""COMPUTED_VALUE"""),130.0)</f>
        <v>130</v>
      </c>
      <c r="E27" s="1" t="str">
        <f t="array" ref="E27">_xlfn.XLOOKUP(A27,Product!A:A,Product!B:B,"Bulunamadı")</f>
        <v>History</v>
      </c>
      <c r="F27" s="1" t="str">
        <f t="array" ref="F27">_xlfn.XLOOKUP(A27,Product!A:A,Product!C:C,"Bulunamadı")</f>
        <v>Thriller</v>
      </c>
      <c r="G27" s="2" t="str">
        <f t="array" ref="G27">_xlfn.XLOOKUP(A28,Product!A:A,Product!D:D,"Bulunamadı")</f>
        <v>Harbor Light Books</v>
      </c>
      <c r="H27" s="2">
        <f t="array" ref="H27">_xlfn.XLOOKUP(A29,Product!A:A,Product!E:E,"Bulunamadı")</f>
        <v>2.93</v>
      </c>
      <c r="I27" s="2" t="str">
        <f t="shared" si="1"/>
        <v>118226 - History - Thriller</v>
      </c>
      <c r="J27" s="2">
        <f t="shared" si="2"/>
        <v>380.9</v>
      </c>
      <c r="K27" s="17">
        <f t="shared" si="3"/>
        <v>1</v>
      </c>
      <c r="L27" s="18"/>
    </row>
    <row r="28" hidden="1">
      <c r="A28" s="2">
        <f>IFERROR(__xludf.DUMMYFUNCTION("""COMPUTED_VALUE"""),48618.0)</f>
        <v>48618</v>
      </c>
      <c r="B28" s="2">
        <f>IFERROR(__xludf.DUMMYFUNCTION("""COMPUTED_VALUE"""),1.0)</f>
        <v>1</v>
      </c>
      <c r="C28" s="2">
        <f>IFERROR(__xludf.DUMMYFUNCTION("""COMPUTED_VALUE"""),84.0)</f>
        <v>84</v>
      </c>
      <c r="D28" s="3">
        <f>IFERROR(__xludf.DUMMYFUNCTION("""COMPUTED_VALUE"""),84.0)</f>
        <v>84</v>
      </c>
      <c r="E28" s="1" t="str">
        <f t="array" ref="E28">_xlfn.XLOOKUP(A28,Product!A:A,Product!B:B,"Bulunamadı")</f>
        <v>History</v>
      </c>
      <c r="F28" s="1" t="str">
        <f t="array" ref="F28">_xlfn.XLOOKUP(A28,Product!A:A,Product!C:C,"Bulunamadı")</f>
        <v>Thriller</v>
      </c>
      <c r="G28" s="2" t="str">
        <f t="array" ref="G28">_xlfn.XLOOKUP(A29,Product!A:A,Product!D:D,"Bulunamadı")</f>
        <v>Harbor Light Books</v>
      </c>
      <c r="H28" s="2">
        <f t="array" ref="H28">_xlfn.XLOOKUP(A30,Product!A:A,Product!E:E,"Bulunamadı")</f>
        <v>2.02</v>
      </c>
      <c r="I28" s="2" t="str">
        <f t="shared" si="1"/>
        <v>48618 - History - Thriller</v>
      </c>
      <c r="J28" s="2">
        <f t="shared" si="2"/>
        <v>169.68</v>
      </c>
      <c r="K28" s="17">
        <f t="shared" si="3"/>
        <v>1</v>
      </c>
      <c r="L28" s="18"/>
    </row>
    <row r="29" hidden="1">
      <c r="A29" s="2">
        <f>IFERROR(__xludf.DUMMYFUNCTION("""COMPUTED_VALUE"""),93037.0)</f>
        <v>93037</v>
      </c>
      <c r="B29" s="2">
        <f>IFERROR(__xludf.DUMMYFUNCTION("""COMPUTED_VALUE"""),0.0)</f>
        <v>0</v>
      </c>
      <c r="C29" s="2">
        <f>IFERROR(__xludf.DUMMYFUNCTION("""COMPUTED_VALUE"""),604.0)</f>
        <v>604</v>
      </c>
      <c r="D29" s="3">
        <f>IFERROR(__xludf.DUMMYFUNCTION("""COMPUTED_VALUE"""),604.0)</f>
        <v>604</v>
      </c>
      <c r="E29" s="1" t="str">
        <f t="array" ref="E29">_xlfn.XLOOKUP(A29,Product!A:A,Product!B:B,"Bulunamadı")</f>
        <v>History</v>
      </c>
      <c r="F29" s="1" t="str">
        <f t="array" ref="F29">_xlfn.XLOOKUP(A29,Product!A:A,Product!C:C,"Bulunamadı")</f>
        <v>Thriller</v>
      </c>
      <c r="G29" s="2" t="str">
        <f t="array" ref="G29">_xlfn.XLOOKUP(A30,Product!A:A,Product!D:D,"Bulunamadı")</f>
        <v>Harbor Light Books</v>
      </c>
      <c r="H29" s="2">
        <f t="array" ref="H29">_xlfn.XLOOKUP(A31,Product!A:A,Product!E:E,"Bulunamadı")</f>
        <v>2.66</v>
      </c>
      <c r="I29" s="2" t="str">
        <f t="shared" si="1"/>
        <v>93037 - History - Thriller</v>
      </c>
      <c r="J29" s="2">
        <f t="shared" si="2"/>
        <v>1606.64</v>
      </c>
      <c r="K29" s="17">
        <f t="shared" si="3"/>
        <v>1</v>
      </c>
      <c r="L29" s="18"/>
    </row>
    <row r="30" hidden="1">
      <c r="A30" s="2">
        <f>IFERROR(__xludf.DUMMYFUNCTION("""COMPUTED_VALUE"""),126984.0)</f>
        <v>126984</v>
      </c>
      <c r="B30" s="2">
        <f>IFERROR(__xludf.DUMMYFUNCTION("""COMPUTED_VALUE"""),0.0)</f>
        <v>0</v>
      </c>
      <c r="C30" s="2">
        <f>IFERROR(__xludf.DUMMYFUNCTION("""COMPUTED_VALUE"""),26.0)</f>
        <v>26</v>
      </c>
      <c r="D30" s="3">
        <f>IFERROR(__xludf.DUMMYFUNCTION("""COMPUTED_VALUE"""),6.0)</f>
        <v>6</v>
      </c>
      <c r="E30" s="1" t="str">
        <f t="array" ref="E30">_xlfn.XLOOKUP(A30,Product!A:A,Product!B:B,"Bulunamadı")</f>
        <v>History</v>
      </c>
      <c r="F30" s="1" t="str">
        <f t="array" ref="F30">_xlfn.XLOOKUP(A30,Product!A:A,Product!C:C,"Bulunamadı")</f>
        <v>Thriller</v>
      </c>
      <c r="G30" s="2" t="str">
        <f t="array" ref="G30">_xlfn.XLOOKUP(A31,Product!A:A,Product!D:D,"Bulunamadı")</f>
        <v>Harbor Light Books</v>
      </c>
      <c r="H30" s="2">
        <f t="array" ref="H30">_xlfn.XLOOKUP(A32,Product!A:A,Product!E:E,"Bulunamadı")</f>
        <v>4.35</v>
      </c>
      <c r="I30" s="2" t="str">
        <f t="shared" si="1"/>
        <v>126984 - History - Thriller</v>
      </c>
      <c r="J30" s="2">
        <f t="shared" si="2"/>
        <v>26.1</v>
      </c>
      <c r="K30" s="17">
        <f t="shared" si="3"/>
        <v>1</v>
      </c>
      <c r="L30" s="18"/>
    </row>
    <row r="31" hidden="1">
      <c r="A31" s="2">
        <f>IFERROR(__xludf.DUMMYFUNCTION("""COMPUTED_VALUE"""),47393.0)</f>
        <v>47393</v>
      </c>
      <c r="B31" s="2">
        <f>IFERROR(__xludf.DUMMYFUNCTION("""COMPUTED_VALUE"""),0.0)</f>
        <v>0</v>
      </c>
      <c r="C31" s="2">
        <f>IFERROR(__xludf.DUMMYFUNCTION("""COMPUTED_VALUE"""),982.0)</f>
        <v>982</v>
      </c>
      <c r="D31" s="3">
        <f>IFERROR(__xludf.DUMMYFUNCTION("""COMPUTED_VALUE"""),609.0)</f>
        <v>609</v>
      </c>
      <c r="E31" s="1" t="str">
        <f t="array" ref="E31">_xlfn.XLOOKUP(A31,Product!A:A,Product!B:B,"Bulunamadı")</f>
        <v>History</v>
      </c>
      <c r="F31" s="1" t="str">
        <f t="array" ref="F31">_xlfn.XLOOKUP(A31,Product!A:A,Product!C:C,"Bulunamadı")</f>
        <v>Thriller</v>
      </c>
      <c r="G31" s="2" t="str">
        <f t="array" ref="G31">_xlfn.XLOOKUP(A32,Product!A:A,Product!D:D,"Bulunamadı")</f>
        <v>Harbor Light Books</v>
      </c>
      <c r="H31" s="2">
        <f t="array" ref="H31">_xlfn.XLOOKUP(A33,Product!A:A,Product!E:E,"Bulunamadı")</f>
        <v>3.33</v>
      </c>
      <c r="I31" s="2" t="str">
        <f t="shared" si="1"/>
        <v>47393 - History - Thriller</v>
      </c>
      <c r="J31" s="2">
        <f t="shared" si="2"/>
        <v>2027.97</v>
      </c>
      <c r="K31" s="17">
        <f t="shared" si="3"/>
        <v>1</v>
      </c>
      <c r="L31" s="18"/>
    </row>
    <row r="32" hidden="1">
      <c r="A32" s="2">
        <f>IFERROR(__xludf.DUMMYFUNCTION("""COMPUTED_VALUE"""),128214.0)</f>
        <v>128214</v>
      </c>
      <c r="B32" s="2">
        <f>IFERROR(__xludf.DUMMYFUNCTION("""COMPUTED_VALUE"""),0.0)</f>
        <v>0</v>
      </c>
      <c r="C32" s="2">
        <f>IFERROR(__xludf.DUMMYFUNCTION("""COMPUTED_VALUE"""),79.0)</f>
        <v>79</v>
      </c>
      <c r="D32" s="3">
        <f>IFERROR(__xludf.DUMMYFUNCTION("""COMPUTED_VALUE"""),79.0)</f>
        <v>79</v>
      </c>
      <c r="E32" s="1" t="str">
        <f t="array" ref="E32">_xlfn.XLOOKUP(A32,Product!A:A,Product!B:B,"Bulunamadı")</f>
        <v>History</v>
      </c>
      <c r="F32" s="1" t="str">
        <f t="array" ref="F32">_xlfn.XLOOKUP(A32,Product!A:A,Product!C:C,"Bulunamadı")</f>
        <v>Thriller</v>
      </c>
      <c r="G32" s="2" t="str">
        <f t="array" ref="G32">_xlfn.XLOOKUP(A33,Product!A:A,Product!D:D,"Bulunamadı")</f>
        <v>Harbor Light Books</v>
      </c>
      <c r="H32" s="2">
        <f t="array" ref="H32">_xlfn.XLOOKUP(A34,Product!A:A,Product!E:E,"Bulunamadı")</f>
        <v>4.12</v>
      </c>
      <c r="I32" s="2" t="str">
        <f t="shared" si="1"/>
        <v>128214 - History - Thriller</v>
      </c>
      <c r="J32" s="2">
        <f t="shared" si="2"/>
        <v>325.48</v>
      </c>
      <c r="K32" s="17">
        <f t="shared" si="3"/>
        <v>1</v>
      </c>
      <c r="L32" s="18"/>
    </row>
    <row r="33" hidden="1">
      <c r="A33" s="2">
        <f>IFERROR(__xludf.DUMMYFUNCTION("""COMPUTED_VALUE"""),83802.0)</f>
        <v>83802</v>
      </c>
      <c r="B33" s="2">
        <f>IFERROR(__xludf.DUMMYFUNCTION("""COMPUTED_VALUE"""),0.0)</f>
        <v>0</v>
      </c>
      <c r="C33" s="2">
        <f>IFERROR(__xludf.DUMMYFUNCTION("""COMPUTED_VALUE"""),31.0)</f>
        <v>31</v>
      </c>
      <c r="D33" s="3">
        <f>IFERROR(__xludf.DUMMYFUNCTION("""COMPUTED_VALUE"""),23.0)</f>
        <v>23</v>
      </c>
      <c r="E33" s="1" t="str">
        <f t="array" ref="E33">_xlfn.XLOOKUP(A33,Product!A:A,Product!B:B,"Bulunamadı")</f>
        <v>History</v>
      </c>
      <c r="F33" s="1" t="str">
        <f t="array" ref="F33">_xlfn.XLOOKUP(A33,Product!A:A,Product!C:C,"Bulunamadı")</f>
        <v>Thriller</v>
      </c>
      <c r="G33" s="2" t="str">
        <f t="array" ref="G33">_xlfn.XLOOKUP(A34,Product!A:A,Product!D:D,"Bulunamadı")</f>
        <v>Harbor Light Books</v>
      </c>
      <c r="H33" s="2">
        <f t="array" ref="H33">_xlfn.XLOOKUP(A35,Product!A:A,Product!E:E,"Bulunamadı")</f>
        <v>12.34</v>
      </c>
      <c r="I33" s="2" t="str">
        <f t="shared" si="1"/>
        <v>83802 - History - Thriller</v>
      </c>
      <c r="J33" s="2">
        <f t="shared" si="2"/>
        <v>283.82</v>
      </c>
      <c r="K33" s="17">
        <f t="shared" si="3"/>
        <v>1</v>
      </c>
      <c r="L33" s="18"/>
    </row>
    <row r="34" hidden="1">
      <c r="A34" s="2">
        <f>IFERROR(__xludf.DUMMYFUNCTION("""COMPUTED_VALUE"""),48625.0)</f>
        <v>48625</v>
      </c>
      <c r="B34" s="2">
        <f>IFERROR(__xludf.DUMMYFUNCTION("""COMPUTED_VALUE"""),1.0)</f>
        <v>1</v>
      </c>
      <c r="C34" s="2">
        <f>IFERROR(__xludf.DUMMYFUNCTION("""COMPUTED_VALUE"""),96.0)</f>
        <v>96</v>
      </c>
      <c r="D34" s="3">
        <f>IFERROR(__xludf.DUMMYFUNCTION("""COMPUTED_VALUE"""),96.0)</f>
        <v>96</v>
      </c>
      <c r="E34" s="1" t="str">
        <f t="array" ref="E34">_xlfn.XLOOKUP(A34,Product!A:A,Product!B:B,"Bulunamadı")</f>
        <v>History</v>
      </c>
      <c r="F34" s="1" t="str">
        <f t="array" ref="F34">_xlfn.XLOOKUP(A34,Product!A:A,Product!C:C,"Bulunamadı")</f>
        <v>Thriller</v>
      </c>
      <c r="G34" s="2" t="str">
        <f t="array" ref="G34">_xlfn.XLOOKUP(A35,Product!A:A,Product!D:D,"Bulunamadı")</f>
        <v>Harbor Light Books</v>
      </c>
      <c r="H34" s="2">
        <f t="array" ref="H34">_xlfn.XLOOKUP(A36,Product!A:A,Product!E:E,"Bulunamadı")</f>
        <v>4.2</v>
      </c>
      <c r="I34" s="2" t="str">
        <f t="shared" si="1"/>
        <v>48625 - History - Thriller</v>
      </c>
      <c r="J34" s="2">
        <f t="shared" si="2"/>
        <v>403.2</v>
      </c>
      <c r="K34" s="17">
        <f t="shared" si="3"/>
        <v>1</v>
      </c>
      <c r="L34" s="18"/>
    </row>
    <row r="35" hidden="1">
      <c r="A35" s="2">
        <f>IFERROR(__xludf.DUMMYFUNCTION("""COMPUTED_VALUE"""),83602.0)</f>
        <v>83602</v>
      </c>
      <c r="B35" s="2">
        <f>IFERROR(__xludf.DUMMYFUNCTION("""COMPUTED_VALUE"""),0.0)</f>
        <v>0</v>
      </c>
      <c r="C35" s="2">
        <f>IFERROR(__xludf.DUMMYFUNCTION("""COMPUTED_VALUE"""),79.0)</f>
        <v>79</v>
      </c>
      <c r="D35" s="3">
        <f>IFERROR(__xludf.DUMMYFUNCTION("""COMPUTED_VALUE"""),79.0)</f>
        <v>79</v>
      </c>
      <c r="E35" s="1" t="str">
        <f t="array" ref="E35">_xlfn.XLOOKUP(A35,Product!A:A,Product!B:B,"Bulunamadı")</f>
        <v>History</v>
      </c>
      <c r="F35" s="1" t="str">
        <f t="array" ref="F35">_xlfn.XLOOKUP(A35,Product!A:A,Product!C:C,"Bulunamadı")</f>
        <v>Thriller</v>
      </c>
      <c r="G35" s="2" t="str">
        <f t="array" ref="G35">_xlfn.XLOOKUP(A36,Product!A:A,Product!D:D,"Bulunamadı")</f>
        <v>Ironwood Publishing</v>
      </c>
      <c r="H35" s="2">
        <f t="array" ref="H35">_xlfn.XLOOKUP(A37,Product!A:A,Product!E:E,"Bulunamadı")</f>
        <v>4.05</v>
      </c>
      <c r="I35" s="2" t="str">
        <f t="shared" si="1"/>
        <v>83602 - History - Thriller</v>
      </c>
      <c r="J35" s="2">
        <f t="shared" si="2"/>
        <v>319.95</v>
      </c>
      <c r="K35" s="17">
        <f t="shared" si="3"/>
        <v>1</v>
      </c>
      <c r="L35" s="18"/>
    </row>
    <row r="36" hidden="1">
      <c r="A36" s="2">
        <f>IFERROR(__xludf.DUMMYFUNCTION("""COMPUTED_VALUE"""),98867.0)</f>
        <v>98867</v>
      </c>
      <c r="B36" s="2">
        <f>IFERROR(__xludf.DUMMYFUNCTION("""COMPUTED_VALUE"""),0.0)</f>
        <v>0</v>
      </c>
      <c r="C36" s="2">
        <f>IFERROR(__xludf.DUMMYFUNCTION("""COMPUTED_VALUE"""),186.0)</f>
        <v>186</v>
      </c>
      <c r="D36" s="3">
        <f>IFERROR(__xludf.DUMMYFUNCTION("""COMPUTED_VALUE"""),186.0)</f>
        <v>186</v>
      </c>
      <c r="E36" s="1" t="str">
        <f t="array" ref="E36">_xlfn.XLOOKUP(A36,Product!A:A,Product!B:B,"Bulunamadı")</f>
        <v>History</v>
      </c>
      <c r="F36" s="1" t="str">
        <f t="array" ref="F36">_xlfn.XLOOKUP(A36,Product!A:A,Product!C:C,"Bulunamadı")</f>
        <v>Thriller</v>
      </c>
      <c r="G36" s="2" t="str">
        <f t="array" ref="G36">_xlfn.XLOOKUP(A37,Product!A:A,Product!D:D,"Bulunamadı")</f>
        <v>Ironwood Publishing</v>
      </c>
      <c r="H36" s="2">
        <f t="array" ref="H36">_xlfn.XLOOKUP(A38,Product!A:A,Product!E:E,"Bulunamadı")</f>
        <v>12.24</v>
      </c>
      <c r="I36" s="2" t="str">
        <f t="shared" si="1"/>
        <v>98867 - History - Thriller</v>
      </c>
      <c r="J36" s="2">
        <f t="shared" si="2"/>
        <v>2276.64</v>
      </c>
      <c r="K36" s="17">
        <f t="shared" si="3"/>
        <v>1</v>
      </c>
      <c r="L36" s="18"/>
    </row>
    <row r="37" hidden="1">
      <c r="A37" s="2">
        <f>IFERROR(__xludf.DUMMYFUNCTION("""COMPUTED_VALUE"""),127042.0)</f>
        <v>127042</v>
      </c>
      <c r="B37" s="2">
        <f>IFERROR(__xludf.DUMMYFUNCTION("""COMPUTED_VALUE"""),0.0)</f>
        <v>0</v>
      </c>
      <c r="C37" s="2">
        <f>IFERROR(__xludf.DUMMYFUNCTION("""COMPUTED_VALUE"""),418.0)</f>
        <v>418</v>
      </c>
      <c r="D37" s="3">
        <f>IFERROR(__xludf.DUMMYFUNCTION("""COMPUTED_VALUE"""),418.0)</f>
        <v>418</v>
      </c>
      <c r="E37" s="1" t="str">
        <f t="array" ref="E37">_xlfn.XLOOKUP(A37,Product!A:A,Product!B:B,"Bulunamadı")</f>
        <v>History</v>
      </c>
      <c r="F37" s="1" t="str">
        <f t="array" ref="F37">_xlfn.XLOOKUP(A37,Product!A:A,Product!C:C,"Bulunamadı")</f>
        <v>Thriller</v>
      </c>
      <c r="G37" s="2" t="str">
        <f t="array" ref="G37">_xlfn.XLOOKUP(A38,Product!A:A,Product!D:D,"Bulunamadı")</f>
        <v>Maple Grove Press</v>
      </c>
      <c r="H37" s="2">
        <f t="array" ref="H37">_xlfn.XLOOKUP(A39,Product!A:A,Product!E:E,"Bulunamadı")</f>
        <v>8.54</v>
      </c>
      <c r="I37" s="2" t="str">
        <f t="shared" si="1"/>
        <v>127042 - History - Thriller</v>
      </c>
      <c r="J37" s="2">
        <f t="shared" si="2"/>
        <v>3569.72</v>
      </c>
      <c r="K37" s="17">
        <f t="shared" si="3"/>
        <v>1</v>
      </c>
      <c r="L37" s="18"/>
    </row>
    <row r="38" hidden="1">
      <c r="A38" s="2">
        <f>IFERROR(__xludf.DUMMYFUNCTION("""COMPUTED_VALUE"""),127241.0)</f>
        <v>127241</v>
      </c>
      <c r="B38" s="2">
        <f>IFERROR(__xludf.DUMMYFUNCTION("""COMPUTED_VALUE"""),0.0)</f>
        <v>0</v>
      </c>
      <c r="C38" s="2">
        <f>IFERROR(__xludf.DUMMYFUNCTION("""COMPUTED_VALUE"""),98.0)</f>
        <v>98</v>
      </c>
      <c r="D38" s="3">
        <f>IFERROR(__xludf.DUMMYFUNCTION("""COMPUTED_VALUE"""),98.0)</f>
        <v>98</v>
      </c>
      <c r="E38" s="1" t="str">
        <f t="array" ref="E38">_xlfn.XLOOKUP(A38,Product!A:A,Product!B:B,"Bulunamadı")</f>
        <v>History</v>
      </c>
      <c r="F38" s="1" t="str">
        <f t="array" ref="F38">_xlfn.XLOOKUP(A38,Product!A:A,Product!C:C,"Bulunamadı")</f>
        <v>Thriller</v>
      </c>
      <c r="G38" s="2" t="str">
        <f t="array" ref="G38">_xlfn.XLOOKUP(A39,Product!A:A,Product!D:D,"Bulunamadı")</f>
        <v>Maple Grove Press</v>
      </c>
      <c r="H38" s="2">
        <f t="array" ref="H38">_xlfn.XLOOKUP(A40,Product!A:A,Product!E:E,"Bulunamadı")</f>
        <v>12.08</v>
      </c>
      <c r="I38" s="2" t="str">
        <f t="shared" si="1"/>
        <v>127241 - History - Thriller</v>
      </c>
      <c r="J38" s="2">
        <f t="shared" si="2"/>
        <v>1183.84</v>
      </c>
      <c r="K38" s="17">
        <f t="shared" si="3"/>
        <v>1</v>
      </c>
      <c r="L38" s="18"/>
    </row>
    <row r="39" hidden="1">
      <c r="A39" s="2">
        <f>IFERROR(__xludf.DUMMYFUNCTION("""COMPUTED_VALUE"""),118220.0)</f>
        <v>118220</v>
      </c>
      <c r="B39" s="2">
        <f>IFERROR(__xludf.DUMMYFUNCTION("""COMPUTED_VALUE"""),0.0)</f>
        <v>0</v>
      </c>
      <c r="C39" s="2">
        <f>IFERROR(__xludf.DUMMYFUNCTION("""COMPUTED_VALUE"""),34.0)</f>
        <v>34</v>
      </c>
      <c r="D39" s="3">
        <f>IFERROR(__xludf.DUMMYFUNCTION("""COMPUTED_VALUE"""),34.0)</f>
        <v>34</v>
      </c>
      <c r="E39" s="1" t="str">
        <f t="array" ref="E39">_xlfn.XLOOKUP(A39,Product!A:A,Product!B:B,"Bulunamadı")</f>
        <v>History</v>
      </c>
      <c r="F39" s="1" t="str">
        <f t="array" ref="F39">_xlfn.XLOOKUP(A39,Product!A:A,Product!C:C,"Bulunamadı")</f>
        <v>Thriller</v>
      </c>
      <c r="G39" s="2" t="str">
        <f t="array" ref="G39">_xlfn.XLOOKUP(A40,Product!A:A,Product!D:D,"Bulunamadı")</f>
        <v>Maple Grove Press</v>
      </c>
      <c r="H39" s="2">
        <f t="array" ref="H39">_xlfn.XLOOKUP(A41,Product!A:A,Product!E:E,"Bulunamadı")</f>
        <v>11.06</v>
      </c>
      <c r="I39" s="2" t="str">
        <f t="shared" si="1"/>
        <v>118220 - History - Thriller</v>
      </c>
      <c r="J39" s="2">
        <f t="shared" si="2"/>
        <v>376.04</v>
      </c>
      <c r="K39" s="17">
        <f t="shared" si="3"/>
        <v>1</v>
      </c>
      <c r="L39" s="18"/>
    </row>
    <row r="40" hidden="1">
      <c r="A40" s="2">
        <f>IFERROR(__xludf.DUMMYFUNCTION("""COMPUTED_VALUE"""),128216.0)</f>
        <v>128216</v>
      </c>
      <c r="B40" s="2">
        <f>IFERROR(__xludf.DUMMYFUNCTION("""COMPUTED_VALUE"""),0.0)</f>
        <v>0</v>
      </c>
      <c r="C40" s="2">
        <f>IFERROR(__xludf.DUMMYFUNCTION("""COMPUTED_VALUE"""),141.0)</f>
        <v>141</v>
      </c>
      <c r="D40" s="3">
        <f>IFERROR(__xludf.DUMMYFUNCTION("""COMPUTED_VALUE"""),141.0)</f>
        <v>141</v>
      </c>
      <c r="E40" s="1" t="str">
        <f t="array" ref="E40">_xlfn.XLOOKUP(A40,Product!A:A,Product!B:B,"Bulunamadı")</f>
        <v>History</v>
      </c>
      <c r="F40" s="1" t="str">
        <f t="array" ref="F40">_xlfn.XLOOKUP(A40,Product!A:A,Product!C:C,"Bulunamadı")</f>
        <v>Thriller</v>
      </c>
      <c r="G40" s="2" t="str">
        <f t="array" ref="G40">_xlfn.XLOOKUP(A41,Product!A:A,Product!D:D,"Bulunamadı")</f>
        <v>Maple Grove Press</v>
      </c>
      <c r="H40" s="2">
        <f t="array" ref="H40">_xlfn.XLOOKUP(A42,Product!A:A,Product!E:E,"Bulunamadı")</f>
        <v>6.52</v>
      </c>
      <c r="I40" s="2" t="str">
        <f t="shared" si="1"/>
        <v>128216 - History - Thriller</v>
      </c>
      <c r="J40" s="2">
        <f t="shared" si="2"/>
        <v>919.32</v>
      </c>
      <c r="K40" s="17">
        <f t="shared" si="3"/>
        <v>1</v>
      </c>
      <c r="L40" s="18"/>
    </row>
    <row r="41" hidden="1">
      <c r="A41" s="2">
        <f>IFERROR(__xludf.DUMMYFUNCTION("""COMPUTED_VALUE"""),93049.0)</f>
        <v>93049</v>
      </c>
      <c r="B41" s="2">
        <f>IFERROR(__xludf.DUMMYFUNCTION("""COMPUTED_VALUE"""),0.0)</f>
        <v>0</v>
      </c>
      <c r="C41" s="2">
        <f>IFERROR(__xludf.DUMMYFUNCTION("""COMPUTED_VALUE"""),34.0)</f>
        <v>34</v>
      </c>
      <c r="D41" s="3">
        <f>IFERROR(__xludf.DUMMYFUNCTION("""COMPUTED_VALUE"""),34.0)</f>
        <v>34</v>
      </c>
      <c r="E41" s="1" t="str">
        <f t="array" ref="E41">_xlfn.XLOOKUP(A41,Product!A:A,Product!B:B,"Bulunamadı")</f>
        <v>History</v>
      </c>
      <c r="F41" s="1" t="str">
        <f t="array" ref="F41">_xlfn.XLOOKUP(A41,Product!A:A,Product!C:C,"Bulunamadı")</f>
        <v>Thriller</v>
      </c>
      <c r="G41" s="2" t="str">
        <f t="array" ref="G41">_xlfn.XLOOKUP(A42,Product!A:A,Product!D:D,"Bulunamadı")</f>
        <v>Maple Grove Press</v>
      </c>
      <c r="H41" s="2">
        <f t="array" ref="H41">_xlfn.XLOOKUP(A43,Product!A:A,Product!E:E,"Bulunamadı")</f>
        <v>7.19</v>
      </c>
      <c r="I41" s="2" t="str">
        <f t="shared" si="1"/>
        <v>93049 - History - Thriller</v>
      </c>
      <c r="J41" s="2">
        <f t="shared" si="2"/>
        <v>244.46</v>
      </c>
      <c r="K41" s="17">
        <f t="shared" si="3"/>
        <v>1</v>
      </c>
      <c r="L41" s="18"/>
    </row>
    <row r="42" hidden="1">
      <c r="A42" s="2">
        <f>IFERROR(__xludf.DUMMYFUNCTION("""COMPUTED_VALUE"""),118216.0)</f>
        <v>118216</v>
      </c>
      <c r="B42" s="2">
        <f>IFERROR(__xludf.DUMMYFUNCTION("""COMPUTED_VALUE"""),0.0)</f>
        <v>0</v>
      </c>
      <c r="C42" s="2">
        <f>IFERROR(__xludf.DUMMYFUNCTION("""COMPUTED_VALUE"""),0.0)</f>
        <v>0</v>
      </c>
      <c r="D42" s="3">
        <f>IFERROR(__xludf.DUMMYFUNCTION("""COMPUTED_VALUE"""),0.0)</f>
        <v>0</v>
      </c>
      <c r="E42" s="1" t="str">
        <f t="array" ref="E42">_xlfn.XLOOKUP(A42,Product!A:A,Product!B:B,"Bulunamadı")</f>
        <v>History</v>
      </c>
      <c r="F42" s="1" t="str">
        <f t="array" ref="F42">_xlfn.XLOOKUP(A42,Product!A:A,Product!C:C,"Bulunamadı")</f>
        <v>Thriller</v>
      </c>
      <c r="G42" s="2" t="str">
        <f t="array" ref="G42">_xlfn.XLOOKUP(A43,Product!A:A,Product!D:D,"Bulunamadı")</f>
        <v>Maple Grove Press</v>
      </c>
      <c r="H42" s="2">
        <f t="array" ref="H42">_xlfn.XLOOKUP(A44,Product!A:A,Product!E:E,"Bulunamadı")</f>
        <v>6.25</v>
      </c>
      <c r="I42" s="2" t="str">
        <f t="shared" si="1"/>
        <v>118216 - History - Thriller</v>
      </c>
      <c r="J42" s="2">
        <f t="shared" si="2"/>
        <v>0</v>
      </c>
      <c r="K42" s="17">
        <f t="shared" si="3"/>
        <v>0</v>
      </c>
      <c r="L42" s="18"/>
    </row>
    <row r="43" hidden="1">
      <c r="A43" s="2">
        <f>IFERROR(__xludf.DUMMYFUNCTION("""COMPUTED_VALUE"""),118221.0)</f>
        <v>118221</v>
      </c>
      <c r="B43" s="2">
        <f>IFERROR(__xludf.DUMMYFUNCTION("""COMPUTED_VALUE"""),1.0)</f>
        <v>1</v>
      </c>
      <c r="C43" s="2">
        <f>IFERROR(__xludf.DUMMYFUNCTION("""COMPUTED_VALUE"""),99.0)</f>
        <v>99</v>
      </c>
      <c r="D43" s="3">
        <f>IFERROR(__xludf.DUMMYFUNCTION("""COMPUTED_VALUE"""),99.0)</f>
        <v>99</v>
      </c>
      <c r="E43" s="1" t="str">
        <f t="array" ref="E43">_xlfn.XLOOKUP(A43,Product!A:A,Product!B:B,"Bulunamadı")</f>
        <v>History</v>
      </c>
      <c r="F43" s="1" t="str">
        <f t="array" ref="F43">_xlfn.XLOOKUP(A43,Product!A:A,Product!C:C,"Bulunamadı")</f>
        <v>Thriller</v>
      </c>
      <c r="G43" s="2" t="str">
        <f t="array" ref="G43">_xlfn.XLOOKUP(A44,Product!A:A,Product!D:D,"Bulunamadı")</f>
        <v>Maple Grove Press</v>
      </c>
      <c r="H43" s="2">
        <f t="array" ref="H43">_xlfn.XLOOKUP(A45,Product!A:A,Product!E:E,"Bulunamadı")</f>
        <v>10.64</v>
      </c>
      <c r="I43" s="2" t="str">
        <f t="shared" si="1"/>
        <v>118221 - History - Thriller</v>
      </c>
      <c r="J43" s="2">
        <f t="shared" si="2"/>
        <v>1053.36</v>
      </c>
      <c r="K43" s="17">
        <f t="shared" si="3"/>
        <v>1</v>
      </c>
      <c r="L43" s="18"/>
    </row>
    <row r="44" hidden="1">
      <c r="A44" s="2">
        <f>IFERROR(__xludf.DUMMYFUNCTION("""COMPUTED_VALUE"""),92900.0)</f>
        <v>92900</v>
      </c>
      <c r="B44" s="2">
        <f>IFERROR(__xludf.DUMMYFUNCTION("""COMPUTED_VALUE"""),0.0)</f>
        <v>0</v>
      </c>
      <c r="C44" s="2">
        <f>IFERROR(__xludf.DUMMYFUNCTION("""COMPUTED_VALUE"""),167.0)</f>
        <v>167</v>
      </c>
      <c r="D44" s="3">
        <f>IFERROR(__xludf.DUMMYFUNCTION("""COMPUTED_VALUE"""),131.0)</f>
        <v>131</v>
      </c>
      <c r="E44" s="1" t="str">
        <f t="array" ref="E44">_xlfn.XLOOKUP(A44,Product!A:A,Product!B:B,"Bulunamadı")</f>
        <v>History</v>
      </c>
      <c r="F44" s="1" t="str">
        <f t="array" ref="F44">_xlfn.XLOOKUP(A44,Product!A:A,Product!C:C,"Bulunamadı")</f>
        <v>Thriller</v>
      </c>
      <c r="G44" s="2" t="str">
        <f t="array" ref="G44">_xlfn.XLOOKUP(A45,Product!A:A,Product!D:D,"Bulunamadı")</f>
        <v>Maple Grove Press</v>
      </c>
      <c r="H44" s="2">
        <f t="array" ref="H44">_xlfn.XLOOKUP(A46,Product!A:A,Product!E:E,"Bulunamadı")</f>
        <v>7.29</v>
      </c>
      <c r="I44" s="2" t="str">
        <f t="shared" si="1"/>
        <v>92900 - History - Thriller</v>
      </c>
      <c r="J44" s="2">
        <f t="shared" si="2"/>
        <v>954.99</v>
      </c>
      <c r="K44" s="17">
        <f t="shared" si="3"/>
        <v>1</v>
      </c>
      <c r="L44" s="18"/>
    </row>
    <row r="45" hidden="1">
      <c r="A45" s="2">
        <f>IFERROR(__xludf.DUMMYFUNCTION("""COMPUTED_VALUE"""),118215.0)</f>
        <v>118215</v>
      </c>
      <c r="B45" s="2">
        <f>IFERROR(__xludf.DUMMYFUNCTION("""COMPUTED_VALUE"""),1.0)</f>
        <v>1</v>
      </c>
      <c r="C45" s="2">
        <f>IFERROR(__xludf.DUMMYFUNCTION("""COMPUTED_VALUE"""),100.0)</f>
        <v>100</v>
      </c>
      <c r="D45" s="3">
        <f>IFERROR(__xludf.DUMMYFUNCTION("""COMPUTED_VALUE"""),46.0)</f>
        <v>46</v>
      </c>
      <c r="E45" s="1" t="str">
        <f t="array" ref="E45">_xlfn.XLOOKUP(A45,Product!A:A,Product!B:B,"Bulunamadı")</f>
        <v>History</v>
      </c>
      <c r="F45" s="1" t="str">
        <f t="array" ref="F45">_xlfn.XLOOKUP(A45,Product!A:A,Product!C:C,"Bulunamadı")</f>
        <v>Thriller</v>
      </c>
      <c r="G45" s="2" t="str">
        <f t="array" ref="G45">_xlfn.XLOOKUP(A46,Product!A:A,Product!D:D,"Bulunamadı")</f>
        <v>Maple Grove Press</v>
      </c>
      <c r="H45" s="2">
        <f t="array" ref="H45">_xlfn.XLOOKUP(A47,Product!A:A,Product!E:E,"Bulunamadı")</f>
        <v>11.11</v>
      </c>
      <c r="I45" s="2" t="str">
        <f t="shared" si="1"/>
        <v>118215 - History - Thriller</v>
      </c>
      <c r="J45" s="2">
        <f t="shared" si="2"/>
        <v>511.06</v>
      </c>
      <c r="K45" s="17">
        <f t="shared" si="3"/>
        <v>1</v>
      </c>
      <c r="L45" s="18"/>
    </row>
    <row r="46" hidden="1">
      <c r="A46" s="2">
        <f>IFERROR(__xludf.DUMMYFUNCTION("""COMPUTED_VALUE"""),19832.0)</f>
        <v>19832</v>
      </c>
      <c r="B46" s="2">
        <f>IFERROR(__xludf.DUMMYFUNCTION("""COMPUTED_VALUE"""),1.0)</f>
        <v>1</v>
      </c>
      <c r="C46" s="2">
        <f>IFERROR(__xludf.DUMMYFUNCTION("""COMPUTED_VALUE"""),594.0)</f>
        <v>594</v>
      </c>
      <c r="D46" s="3">
        <f>IFERROR(__xludf.DUMMYFUNCTION("""COMPUTED_VALUE"""),558.0)</f>
        <v>558</v>
      </c>
      <c r="E46" s="1" t="str">
        <f t="array" ref="E46">_xlfn.XLOOKUP(A46,Product!A:A,Product!B:B,"Bulunamadı")</f>
        <v>History</v>
      </c>
      <c r="F46" s="1" t="str">
        <f t="array" ref="F46">_xlfn.XLOOKUP(A46,Product!A:A,Product!C:C,"Bulunamadı")</f>
        <v>Thriller</v>
      </c>
      <c r="G46" s="2" t="str">
        <f t="array" ref="G46">_xlfn.XLOOKUP(A47,Product!A:A,Product!D:D,"Bulunamadı")</f>
        <v>Maple Grove Press</v>
      </c>
      <c r="H46" s="2">
        <f t="array" ref="H46">_xlfn.XLOOKUP(A48,Product!A:A,Product!E:E,"Bulunamadı")</f>
        <v>11.53</v>
      </c>
      <c r="I46" s="2" t="str">
        <f t="shared" si="1"/>
        <v>19832 - History - Thriller</v>
      </c>
      <c r="J46" s="2">
        <f t="shared" si="2"/>
        <v>6433.74</v>
      </c>
      <c r="K46" s="17">
        <f t="shared" si="3"/>
        <v>1</v>
      </c>
      <c r="L46" s="18"/>
    </row>
    <row r="47" hidden="1">
      <c r="A47" s="2">
        <f>IFERROR(__xludf.DUMMYFUNCTION("""COMPUTED_VALUE"""),93071.0)</f>
        <v>93071</v>
      </c>
      <c r="B47" s="2">
        <f>IFERROR(__xludf.DUMMYFUNCTION("""COMPUTED_VALUE"""),1.0)</f>
        <v>1</v>
      </c>
      <c r="C47" s="2">
        <f>IFERROR(__xludf.DUMMYFUNCTION("""COMPUTED_VALUE"""),199.0)</f>
        <v>199</v>
      </c>
      <c r="D47" s="3">
        <f>IFERROR(__xludf.DUMMYFUNCTION("""COMPUTED_VALUE"""),19.0)</f>
        <v>19</v>
      </c>
      <c r="E47" s="1" t="str">
        <f t="array" ref="E47">_xlfn.XLOOKUP(A47,Product!A:A,Product!B:B,"Bulunamadı")</f>
        <v>History</v>
      </c>
      <c r="F47" s="1" t="str">
        <f t="array" ref="F47">_xlfn.XLOOKUP(A47,Product!A:A,Product!C:C,"Bulunamadı")</f>
        <v>Thriller</v>
      </c>
      <c r="G47" s="2" t="str">
        <f t="array" ref="G47">_xlfn.XLOOKUP(A48,Product!A:A,Product!D:D,"Bulunamadı")</f>
        <v>Maple Grove Press</v>
      </c>
      <c r="H47" s="2">
        <f t="array" ref="H47">_xlfn.XLOOKUP(A49,Product!A:A,Product!E:E,"Bulunamadı")</f>
        <v>8.85</v>
      </c>
      <c r="I47" s="2" t="str">
        <f t="shared" si="1"/>
        <v>93071 - History - Thriller</v>
      </c>
      <c r="J47" s="2">
        <f t="shared" si="2"/>
        <v>168.15</v>
      </c>
      <c r="K47" s="17">
        <f t="shared" si="3"/>
        <v>1</v>
      </c>
      <c r="L47" s="18"/>
    </row>
    <row r="48" hidden="1">
      <c r="A48" s="2">
        <f>IFERROR(__xludf.DUMMYFUNCTION("""COMPUTED_VALUE"""),122395.0)</f>
        <v>122395</v>
      </c>
      <c r="B48" s="2">
        <f>IFERROR(__xludf.DUMMYFUNCTION("""COMPUTED_VALUE"""),1.0)</f>
        <v>1</v>
      </c>
      <c r="C48" s="2">
        <f>IFERROR(__xludf.DUMMYFUNCTION("""COMPUTED_VALUE"""),76.0)</f>
        <v>76</v>
      </c>
      <c r="D48" s="3">
        <f>IFERROR(__xludf.DUMMYFUNCTION("""COMPUTED_VALUE"""),2.0)</f>
        <v>2</v>
      </c>
      <c r="E48" s="1" t="str">
        <f t="array" ref="E48">_xlfn.XLOOKUP(A48,Product!A:A,Product!B:B,"Bulunamadı")</f>
        <v>History</v>
      </c>
      <c r="F48" s="1" t="str">
        <f t="array" ref="F48">_xlfn.XLOOKUP(A48,Product!A:A,Product!C:C,"Bulunamadı")</f>
        <v>Thriller</v>
      </c>
      <c r="G48" s="2" t="str">
        <f t="array" ref="G48">_xlfn.XLOOKUP(A49,Product!A:A,Product!D:D,"Bulunamadı")</f>
        <v>Maple Grove Press</v>
      </c>
      <c r="H48" s="2">
        <f t="array" ref="H48">_xlfn.XLOOKUP(A50,Product!A:A,Product!E:E,"Bulunamadı")</f>
        <v>6.99</v>
      </c>
      <c r="I48" s="2" t="str">
        <f t="shared" si="1"/>
        <v>122395 - History - Thriller</v>
      </c>
      <c r="J48" s="2">
        <f t="shared" si="2"/>
        <v>13.98</v>
      </c>
      <c r="K48" s="17">
        <f t="shared" si="3"/>
        <v>1</v>
      </c>
      <c r="L48" s="18"/>
    </row>
    <row r="49" hidden="1">
      <c r="A49" s="2">
        <f>IFERROR(__xludf.DUMMYFUNCTION("""COMPUTED_VALUE"""),116946.0)</f>
        <v>116946</v>
      </c>
      <c r="B49" s="2">
        <f>IFERROR(__xludf.DUMMYFUNCTION("""COMPUTED_VALUE"""),1.0)</f>
        <v>1</v>
      </c>
      <c r="C49" s="2">
        <f>IFERROR(__xludf.DUMMYFUNCTION("""COMPUTED_VALUE"""),144.0)</f>
        <v>144</v>
      </c>
      <c r="D49" s="3">
        <f>IFERROR(__xludf.DUMMYFUNCTION("""COMPUTED_VALUE"""),85.0)</f>
        <v>85</v>
      </c>
      <c r="E49" s="1" t="str">
        <f t="array" ref="E49">_xlfn.XLOOKUP(A49,Product!A:A,Product!B:B,"Bulunamadı")</f>
        <v>History</v>
      </c>
      <c r="F49" s="1" t="str">
        <f t="array" ref="F49">_xlfn.XLOOKUP(A49,Product!A:A,Product!C:C,"Bulunamadı")</f>
        <v>Thriller</v>
      </c>
      <c r="G49" s="2" t="str">
        <f t="array" ref="G49">_xlfn.XLOOKUP(A50,Product!A:A,Product!D:D,"Bulunamadı")</f>
        <v>Maple Grove Press</v>
      </c>
      <c r="H49" s="2">
        <f t="array" ref="H49">_xlfn.XLOOKUP(A51,Product!A:A,Product!E:E,"Bulunamadı")</f>
        <v>8.8</v>
      </c>
      <c r="I49" s="2" t="str">
        <f t="shared" si="1"/>
        <v>116946 - History - Thriller</v>
      </c>
      <c r="J49" s="2">
        <f t="shared" si="2"/>
        <v>748</v>
      </c>
      <c r="K49" s="17">
        <f t="shared" si="3"/>
        <v>1</v>
      </c>
      <c r="L49" s="18"/>
    </row>
    <row r="50" hidden="1">
      <c r="A50" s="2">
        <f>IFERROR(__xludf.DUMMYFUNCTION("""COMPUTED_VALUE"""),97538.0)</f>
        <v>97538</v>
      </c>
      <c r="B50" s="2">
        <f>IFERROR(__xludf.DUMMYFUNCTION("""COMPUTED_VALUE"""),1.0)</f>
        <v>1</v>
      </c>
      <c r="C50" s="2">
        <f>IFERROR(__xludf.DUMMYFUNCTION("""COMPUTED_VALUE"""),135.0)</f>
        <v>135</v>
      </c>
      <c r="D50" s="3">
        <f>IFERROR(__xludf.DUMMYFUNCTION("""COMPUTED_VALUE"""),82.0)</f>
        <v>82</v>
      </c>
      <c r="E50" s="1" t="str">
        <f t="array" ref="E50">_xlfn.XLOOKUP(A50,Product!A:A,Product!B:B,"Bulunamadı")</f>
        <v>History</v>
      </c>
      <c r="F50" s="1" t="str">
        <f t="array" ref="F50">_xlfn.XLOOKUP(A50,Product!A:A,Product!C:C,"Bulunamadı")</f>
        <v>Thriller</v>
      </c>
      <c r="G50" s="2" t="str">
        <f t="array" ref="G50">_xlfn.XLOOKUP(A51,Product!A:A,Product!D:D,"Bulunamadı")</f>
        <v>Maple Grove Press</v>
      </c>
      <c r="H50" s="2">
        <f t="array" ref="H50">_xlfn.XLOOKUP(A52,Product!A:A,Product!E:E,"Bulunamadı")</f>
        <v>8.45</v>
      </c>
      <c r="I50" s="2" t="str">
        <f t="shared" si="1"/>
        <v>97538 - History - Thriller</v>
      </c>
      <c r="J50" s="2">
        <f t="shared" si="2"/>
        <v>692.9</v>
      </c>
      <c r="K50" s="17">
        <f t="shared" si="3"/>
        <v>1</v>
      </c>
      <c r="L50" s="18"/>
    </row>
    <row r="51" hidden="1">
      <c r="A51" s="2">
        <f>IFERROR(__xludf.DUMMYFUNCTION("""COMPUTED_VALUE"""),127238.0)</f>
        <v>127238</v>
      </c>
      <c r="B51" s="2">
        <f>IFERROR(__xludf.DUMMYFUNCTION("""COMPUTED_VALUE"""),1.0)</f>
        <v>1</v>
      </c>
      <c r="C51" s="2">
        <f>IFERROR(__xludf.DUMMYFUNCTION("""COMPUTED_VALUE"""),147.0)</f>
        <v>147</v>
      </c>
      <c r="D51" s="3">
        <f>IFERROR(__xludf.DUMMYFUNCTION("""COMPUTED_VALUE"""),88.0)</f>
        <v>88</v>
      </c>
      <c r="E51" s="1" t="str">
        <f t="array" ref="E51">_xlfn.XLOOKUP(A51,Product!A:A,Product!B:B,"Bulunamadı")</f>
        <v>History</v>
      </c>
      <c r="F51" s="1" t="str">
        <f t="array" ref="F51">_xlfn.XLOOKUP(A51,Product!A:A,Product!C:C,"Bulunamadı")</f>
        <v>Thriller</v>
      </c>
      <c r="G51" s="2" t="str">
        <f t="array" ref="G51">_xlfn.XLOOKUP(A52,Product!A:A,Product!D:D,"Bulunamadı")</f>
        <v>Maple Grove Press</v>
      </c>
      <c r="H51" s="2">
        <f t="array" ref="H51">_xlfn.XLOOKUP(A53,Product!A:A,Product!E:E,"Bulunamadı")</f>
        <v>8.46</v>
      </c>
      <c r="I51" s="2" t="str">
        <f t="shared" si="1"/>
        <v>127238 - History - Thriller</v>
      </c>
      <c r="J51" s="2">
        <f t="shared" si="2"/>
        <v>744.48</v>
      </c>
      <c r="K51" s="17">
        <f t="shared" si="3"/>
        <v>1</v>
      </c>
      <c r="L51" s="18"/>
    </row>
    <row r="52" hidden="1">
      <c r="A52" s="2">
        <f>IFERROR(__xludf.DUMMYFUNCTION("""COMPUTED_VALUE"""),81646.0)</f>
        <v>81646</v>
      </c>
      <c r="B52" s="2">
        <f>IFERROR(__xludf.DUMMYFUNCTION("""COMPUTED_VALUE"""),1.0)</f>
        <v>1</v>
      </c>
      <c r="C52" s="2">
        <f>IFERROR(__xludf.DUMMYFUNCTION("""COMPUTED_VALUE"""),399.0)</f>
        <v>399</v>
      </c>
      <c r="D52" s="3">
        <f>IFERROR(__xludf.DUMMYFUNCTION("""COMPUTED_VALUE"""),159.0)</f>
        <v>159</v>
      </c>
      <c r="E52" s="1" t="str">
        <f t="array" ref="E52">_xlfn.XLOOKUP(A52,Product!A:A,Product!B:B,"Bulunamadı")</f>
        <v>History</v>
      </c>
      <c r="F52" s="1" t="str">
        <f t="array" ref="F52">_xlfn.XLOOKUP(A52,Product!A:A,Product!C:C,"Bulunamadı")</f>
        <v>Thriller</v>
      </c>
      <c r="G52" s="2" t="str">
        <f t="array" ref="G52">_xlfn.XLOOKUP(A53,Product!A:A,Product!D:D,"Bulunamadı")</f>
        <v>Maple Grove Press</v>
      </c>
      <c r="H52" s="2">
        <f t="array" ref="H52">_xlfn.XLOOKUP(A54,Product!A:A,Product!E:E,"Bulunamadı")</f>
        <v>11.73</v>
      </c>
      <c r="I52" s="2" t="str">
        <f t="shared" si="1"/>
        <v>81646 - History - Thriller</v>
      </c>
      <c r="J52" s="2">
        <f t="shared" si="2"/>
        <v>1865.07</v>
      </c>
      <c r="K52" s="17">
        <f t="shared" si="3"/>
        <v>1</v>
      </c>
      <c r="L52" s="18"/>
    </row>
    <row r="53" hidden="1">
      <c r="A53" s="2">
        <f>IFERROR(__xludf.DUMMYFUNCTION("""COMPUTED_VALUE"""),81643.0)</f>
        <v>81643</v>
      </c>
      <c r="B53" s="2">
        <f>IFERROR(__xludf.DUMMYFUNCTION("""COMPUTED_VALUE"""),1.0)</f>
        <v>1</v>
      </c>
      <c r="C53" s="2">
        <f>IFERROR(__xludf.DUMMYFUNCTION("""COMPUTED_VALUE"""),927.0)</f>
        <v>927</v>
      </c>
      <c r="D53" s="3">
        <f>IFERROR(__xludf.DUMMYFUNCTION("""COMPUTED_VALUE"""),301.0)</f>
        <v>301</v>
      </c>
      <c r="E53" s="1" t="str">
        <f t="array" ref="E53">_xlfn.XLOOKUP(A53,Product!A:A,Product!B:B,"Bulunamadı")</f>
        <v>History</v>
      </c>
      <c r="F53" s="1" t="str">
        <f t="array" ref="F53">_xlfn.XLOOKUP(A53,Product!A:A,Product!C:C,"Bulunamadı")</f>
        <v>Thriller</v>
      </c>
      <c r="G53" s="2" t="str">
        <f t="array" ref="G53">_xlfn.XLOOKUP(A54,Product!A:A,Product!D:D,"Bulunamadı")</f>
        <v>Maple Grove Press</v>
      </c>
      <c r="H53" s="2">
        <f t="array" ref="H53">_xlfn.XLOOKUP(A55,Product!A:A,Product!E:E,"Bulunamadı")</f>
        <v>6.76</v>
      </c>
      <c r="I53" s="2" t="str">
        <f t="shared" si="1"/>
        <v>81643 - History - Thriller</v>
      </c>
      <c r="J53" s="2">
        <f t="shared" si="2"/>
        <v>2034.76</v>
      </c>
      <c r="K53" s="17">
        <f t="shared" si="3"/>
        <v>1</v>
      </c>
      <c r="L53" s="18"/>
    </row>
    <row r="54" hidden="1">
      <c r="A54" s="2">
        <f>IFERROR(__xludf.DUMMYFUNCTION("""COMPUTED_VALUE"""),128215.0)</f>
        <v>128215</v>
      </c>
      <c r="B54" s="2">
        <f>IFERROR(__xludf.DUMMYFUNCTION("""COMPUTED_VALUE"""),1.0)</f>
        <v>1</v>
      </c>
      <c r="C54" s="2">
        <f>IFERROR(__xludf.DUMMYFUNCTION("""COMPUTED_VALUE"""),389.0)</f>
        <v>389</v>
      </c>
      <c r="D54" s="3">
        <f>IFERROR(__xludf.DUMMYFUNCTION("""COMPUTED_VALUE"""),243.0)</f>
        <v>243</v>
      </c>
      <c r="E54" s="1" t="str">
        <f t="array" ref="E54">_xlfn.XLOOKUP(A54,Product!A:A,Product!B:B,"Bulunamadı")</f>
        <v>History</v>
      </c>
      <c r="F54" s="1" t="str">
        <f t="array" ref="F54">_xlfn.XLOOKUP(A54,Product!A:A,Product!C:C,"Bulunamadı")</f>
        <v>Thriller</v>
      </c>
      <c r="G54" s="2" t="str">
        <f t="array" ref="G54">_xlfn.XLOOKUP(A55,Product!A:A,Product!D:D,"Bulunamadı")</f>
        <v>Maple Grove Press</v>
      </c>
      <c r="H54" s="2">
        <f t="array" ref="H54">_xlfn.XLOOKUP(A56,Product!A:A,Product!E:E,"Bulunamadı")</f>
        <v>8.75</v>
      </c>
      <c r="I54" s="2" t="str">
        <f t="shared" si="1"/>
        <v>128215 - History - Thriller</v>
      </c>
      <c r="J54" s="2">
        <f t="shared" si="2"/>
        <v>2126.25</v>
      </c>
      <c r="K54" s="17">
        <f t="shared" si="3"/>
        <v>1</v>
      </c>
      <c r="L54" s="18"/>
    </row>
    <row r="55" hidden="1">
      <c r="A55" s="2">
        <f>IFERROR(__xludf.DUMMYFUNCTION("""COMPUTED_VALUE"""),108022.0)</f>
        <v>108022</v>
      </c>
      <c r="B55" s="2">
        <f>IFERROR(__xludf.DUMMYFUNCTION("""COMPUTED_VALUE"""),1.0)</f>
        <v>1</v>
      </c>
      <c r="C55" s="2">
        <f>IFERROR(__xludf.DUMMYFUNCTION("""COMPUTED_VALUE"""),455.0)</f>
        <v>455</v>
      </c>
      <c r="D55" s="3">
        <f>IFERROR(__xludf.DUMMYFUNCTION("""COMPUTED_VALUE"""),285.0)</f>
        <v>285</v>
      </c>
      <c r="E55" s="1" t="str">
        <f t="array" ref="E55">_xlfn.XLOOKUP(A55,Product!A:A,Product!B:B,"Bulunamadı")</f>
        <v>History</v>
      </c>
      <c r="F55" s="1" t="str">
        <f t="array" ref="F55">_xlfn.XLOOKUP(A55,Product!A:A,Product!C:C,"Bulunamadı")</f>
        <v>Thriller</v>
      </c>
      <c r="G55" s="2" t="str">
        <f t="array" ref="G55">_xlfn.XLOOKUP(A56,Product!A:A,Product!D:D,"Bulunamadı")</f>
        <v>Maple Grove Press</v>
      </c>
      <c r="H55" s="2">
        <f t="array" ref="H55">_xlfn.XLOOKUP(A57,Product!A:A,Product!E:E,"Bulunamadı")</f>
        <v>12.18</v>
      </c>
      <c r="I55" s="2" t="str">
        <f t="shared" si="1"/>
        <v>108022 - History - Thriller</v>
      </c>
      <c r="J55" s="2">
        <f t="shared" si="2"/>
        <v>3471.3</v>
      </c>
      <c r="K55" s="17">
        <f t="shared" si="3"/>
        <v>1</v>
      </c>
      <c r="L55" s="18"/>
    </row>
    <row r="56" hidden="1">
      <c r="A56" s="2">
        <f>IFERROR(__xludf.DUMMYFUNCTION("""COMPUTED_VALUE"""),81647.0)</f>
        <v>81647</v>
      </c>
      <c r="B56" s="2">
        <f>IFERROR(__xludf.DUMMYFUNCTION("""COMPUTED_VALUE"""),0.0)</f>
        <v>0</v>
      </c>
      <c r="C56" s="2">
        <f>IFERROR(__xludf.DUMMYFUNCTION("""COMPUTED_VALUE"""),547.0)</f>
        <v>547</v>
      </c>
      <c r="D56" s="3">
        <f>IFERROR(__xludf.DUMMYFUNCTION("""COMPUTED_VALUE"""),227.0)</f>
        <v>227</v>
      </c>
      <c r="E56" s="1" t="str">
        <f t="array" ref="E56">_xlfn.XLOOKUP(A56,Product!A:A,Product!B:B,"Bulunamadı")</f>
        <v>History</v>
      </c>
      <c r="F56" s="1" t="str">
        <f t="array" ref="F56">_xlfn.XLOOKUP(A56,Product!A:A,Product!C:C,"Bulunamadı")</f>
        <v>Thriller</v>
      </c>
      <c r="G56" s="2" t="str">
        <f t="array" ref="G56">_xlfn.XLOOKUP(A57,Product!A:A,Product!D:D,"Bulunamadı")</f>
        <v>Maple Grove Press</v>
      </c>
      <c r="H56" s="2">
        <f t="array" ref="H56">_xlfn.XLOOKUP(A58,Product!A:A,Product!E:E,"Bulunamadı")</f>
        <v>8.81</v>
      </c>
      <c r="I56" s="2" t="str">
        <f t="shared" si="1"/>
        <v>81647 - History - Thriller</v>
      </c>
      <c r="J56" s="2">
        <f t="shared" si="2"/>
        <v>1999.87</v>
      </c>
      <c r="K56" s="17">
        <f t="shared" si="3"/>
        <v>1</v>
      </c>
      <c r="L56" s="18"/>
    </row>
    <row r="57" hidden="1">
      <c r="A57" s="2">
        <f>IFERROR(__xludf.DUMMYFUNCTION("""COMPUTED_VALUE"""),83603.0)</f>
        <v>83603</v>
      </c>
      <c r="B57" s="2">
        <f>IFERROR(__xludf.DUMMYFUNCTION("""COMPUTED_VALUE"""),1.0)</f>
        <v>1</v>
      </c>
      <c r="C57" s="2">
        <f>IFERROR(__xludf.DUMMYFUNCTION("""COMPUTED_VALUE"""),870.0)</f>
        <v>870</v>
      </c>
      <c r="D57" s="3">
        <f>IFERROR(__xludf.DUMMYFUNCTION("""COMPUTED_VALUE"""),105.0)</f>
        <v>105</v>
      </c>
      <c r="E57" s="1" t="str">
        <f t="array" ref="E57">_xlfn.XLOOKUP(A57,Product!A:A,Product!B:B,"Bulunamadı")</f>
        <v>History</v>
      </c>
      <c r="F57" s="1" t="str">
        <f t="array" ref="F57">_xlfn.XLOOKUP(A57,Product!A:A,Product!C:C,"Bulunamadı")</f>
        <v>Thriller</v>
      </c>
      <c r="G57" s="2" t="str">
        <f t="array" ref="G57">_xlfn.XLOOKUP(A58,Product!A:A,Product!D:D,"Bulunamadı")</f>
        <v>Maple Grove Press</v>
      </c>
      <c r="H57" s="2">
        <f t="array" ref="H57">_xlfn.XLOOKUP(A59,Product!A:A,Product!E:E,"Bulunamadı")</f>
        <v>3.05</v>
      </c>
      <c r="I57" s="2" t="str">
        <f t="shared" si="1"/>
        <v>83603 - History - Thriller</v>
      </c>
      <c r="J57" s="2">
        <f t="shared" si="2"/>
        <v>320.25</v>
      </c>
      <c r="K57" s="17">
        <f t="shared" si="3"/>
        <v>1</v>
      </c>
      <c r="L57" s="18"/>
    </row>
    <row r="58" hidden="1">
      <c r="A58" s="2">
        <f>IFERROR(__xludf.DUMMYFUNCTION("""COMPUTED_VALUE"""),118219.0)</f>
        <v>118219</v>
      </c>
      <c r="B58" s="2">
        <f>IFERROR(__xludf.DUMMYFUNCTION("""COMPUTED_VALUE"""),1.0)</f>
        <v>1</v>
      </c>
      <c r="C58" s="2">
        <f>IFERROR(__xludf.DUMMYFUNCTION("""COMPUTED_VALUE"""),397.0)</f>
        <v>397</v>
      </c>
      <c r="D58" s="3">
        <f>IFERROR(__xludf.DUMMYFUNCTION("""COMPUTED_VALUE"""),207.0)</f>
        <v>207</v>
      </c>
      <c r="E58" s="1" t="str">
        <f t="array" ref="E58">_xlfn.XLOOKUP(A58,Product!A:A,Product!B:B,"Bulunamadı")</f>
        <v>History</v>
      </c>
      <c r="F58" s="1" t="str">
        <f t="array" ref="F58">_xlfn.XLOOKUP(A58,Product!A:A,Product!C:C,"Bulunamadı")</f>
        <v>Thriller</v>
      </c>
      <c r="G58" s="2" t="str">
        <f t="array" ref="G58">_xlfn.XLOOKUP(A59,Product!A:A,Product!D:D,"Bulunamadı")</f>
        <v>Cedar Hill Books</v>
      </c>
      <c r="H58" s="2">
        <f t="array" ref="H58">_xlfn.XLOOKUP(A60,Product!A:A,Product!E:E,"Bulunamadı")</f>
        <v>5.24</v>
      </c>
      <c r="I58" s="2" t="str">
        <f t="shared" si="1"/>
        <v>118219 - History - Thriller</v>
      </c>
      <c r="J58" s="2">
        <f t="shared" si="2"/>
        <v>1084.68</v>
      </c>
      <c r="K58" s="17">
        <f t="shared" si="3"/>
        <v>1</v>
      </c>
      <c r="L58" s="18"/>
    </row>
    <row r="59" hidden="1">
      <c r="A59" s="2">
        <f>IFERROR(__xludf.DUMMYFUNCTION("""COMPUTED_VALUE"""),120952.0)</f>
        <v>120952</v>
      </c>
      <c r="B59" s="2">
        <f>IFERROR(__xludf.DUMMYFUNCTION("""COMPUTED_VALUE"""),1.0)</f>
        <v>1</v>
      </c>
      <c r="C59" s="2">
        <f>IFERROR(__xludf.DUMMYFUNCTION("""COMPUTED_VALUE"""),134.0)</f>
        <v>134</v>
      </c>
      <c r="D59" s="3">
        <f>IFERROR(__xludf.DUMMYFUNCTION("""COMPUTED_VALUE"""),78.0)</f>
        <v>78</v>
      </c>
      <c r="E59" s="1" t="str">
        <f t="array" ref="E59">_xlfn.XLOOKUP(A59,Product!A:A,Product!B:B,"Bulunamadı")</f>
        <v>History</v>
      </c>
      <c r="F59" s="1" t="str">
        <f t="array" ref="F59">_xlfn.XLOOKUP(A59,Product!A:A,Product!C:C,"Bulunamadı")</f>
        <v>Thriller</v>
      </c>
      <c r="G59" s="2" t="str">
        <f t="array" ref="G59">_xlfn.XLOOKUP(A60,Product!A:A,Product!D:D,"Bulunamadı")</f>
        <v>Cedar Hill Books</v>
      </c>
      <c r="H59" s="2">
        <f t="array" ref="H59">_xlfn.XLOOKUP(A61,Product!A:A,Product!E:E,"Bulunamadı")</f>
        <v>3.53</v>
      </c>
      <c r="I59" s="2" t="str">
        <f t="shared" si="1"/>
        <v>120952 - History - Thriller</v>
      </c>
      <c r="J59" s="2">
        <f t="shared" si="2"/>
        <v>275.34</v>
      </c>
      <c r="K59" s="17">
        <f t="shared" si="3"/>
        <v>1</v>
      </c>
      <c r="L59" s="18"/>
    </row>
    <row r="60" hidden="1">
      <c r="A60" s="2">
        <f>IFERROR(__xludf.DUMMYFUNCTION("""COMPUTED_VALUE"""),81658.0)</f>
        <v>81658</v>
      </c>
      <c r="B60" s="2">
        <f>IFERROR(__xludf.DUMMYFUNCTION("""COMPUTED_VALUE"""),1.0)</f>
        <v>1</v>
      </c>
      <c r="C60" s="2">
        <f>IFERROR(__xludf.DUMMYFUNCTION("""COMPUTED_VALUE"""),685.0)</f>
        <v>685</v>
      </c>
      <c r="D60" s="3">
        <f>IFERROR(__xludf.DUMMYFUNCTION("""COMPUTED_VALUE"""),42.0)</f>
        <v>42</v>
      </c>
      <c r="E60" s="1" t="str">
        <f t="array" ref="E60">_xlfn.XLOOKUP(A60,Product!A:A,Product!B:B,"Bulunamadı")</f>
        <v>History</v>
      </c>
      <c r="F60" s="1" t="str">
        <f t="array" ref="F60">_xlfn.XLOOKUP(A60,Product!A:A,Product!C:C,"Bulunamadı")</f>
        <v>Thriller</v>
      </c>
      <c r="G60" s="2" t="str">
        <f t="array" ref="G60">_xlfn.XLOOKUP(A61,Product!A:A,Product!D:D,"Bulunamadı")</f>
        <v>Cedar Hill Books</v>
      </c>
      <c r="H60" s="2">
        <f t="array" ref="H60">_xlfn.XLOOKUP(A62,Product!A:A,Product!E:E,"Bulunamadı")</f>
        <v>3.72</v>
      </c>
      <c r="I60" s="2" t="str">
        <f t="shared" si="1"/>
        <v>81658 - History - Thriller</v>
      </c>
      <c r="J60" s="2">
        <f t="shared" si="2"/>
        <v>156.24</v>
      </c>
      <c r="K60" s="17">
        <f t="shared" si="3"/>
        <v>1</v>
      </c>
      <c r="L60" s="18"/>
    </row>
    <row r="61" hidden="1">
      <c r="A61" s="2">
        <f>IFERROR(__xludf.DUMMYFUNCTION("""COMPUTED_VALUE"""),93047.0)</f>
        <v>93047</v>
      </c>
      <c r="B61" s="2">
        <f>IFERROR(__xludf.DUMMYFUNCTION("""COMPUTED_VALUE"""),0.0)</f>
        <v>0</v>
      </c>
      <c r="C61" s="2">
        <f>IFERROR(__xludf.DUMMYFUNCTION("""COMPUTED_VALUE"""),525.0)</f>
        <v>525</v>
      </c>
      <c r="D61" s="3">
        <f>IFERROR(__xludf.DUMMYFUNCTION("""COMPUTED_VALUE"""),306.0)</f>
        <v>306</v>
      </c>
      <c r="E61" s="1" t="str">
        <f t="array" ref="E61">_xlfn.XLOOKUP(A61,Product!A:A,Product!B:B,"Bulunamadı")</f>
        <v>History</v>
      </c>
      <c r="F61" s="1" t="str">
        <f t="array" ref="F61">_xlfn.XLOOKUP(A61,Product!A:A,Product!C:C,"Bulunamadı")</f>
        <v>Thriller</v>
      </c>
      <c r="G61" s="2" t="str">
        <f t="array" ref="G61">_xlfn.XLOOKUP(A62,Product!A:A,Product!D:D,"Bulunamadı")</f>
        <v>Cedar Hill Books</v>
      </c>
      <c r="H61" s="2">
        <f t="array" ref="H61">_xlfn.XLOOKUP(A63,Product!A:A,Product!E:E,"Bulunamadı")</f>
        <v>6.35</v>
      </c>
      <c r="I61" s="2" t="str">
        <f t="shared" si="1"/>
        <v>93047 - History - Thriller</v>
      </c>
      <c r="J61" s="2">
        <f t="shared" si="2"/>
        <v>1943.1</v>
      </c>
      <c r="K61" s="17">
        <f t="shared" si="3"/>
        <v>1</v>
      </c>
      <c r="L61" s="18"/>
    </row>
    <row r="62" hidden="1">
      <c r="A62" s="2">
        <f>IFERROR(__xludf.DUMMYFUNCTION("""COMPUTED_VALUE"""),83807.0)</f>
        <v>83807</v>
      </c>
      <c r="B62" s="2">
        <f>IFERROR(__xludf.DUMMYFUNCTION("""COMPUTED_VALUE"""),1.0)</f>
        <v>1</v>
      </c>
      <c r="C62" s="2">
        <f>IFERROR(__xludf.DUMMYFUNCTION("""COMPUTED_VALUE"""),596.0)</f>
        <v>596</v>
      </c>
      <c r="D62" s="3">
        <f>IFERROR(__xludf.DUMMYFUNCTION("""COMPUTED_VALUE"""),321.0)</f>
        <v>321</v>
      </c>
      <c r="E62" s="1" t="str">
        <f t="array" ref="E62">_xlfn.XLOOKUP(A62,Product!A:A,Product!B:B,"Bulunamadı")</f>
        <v>History</v>
      </c>
      <c r="F62" s="1" t="str">
        <f t="array" ref="F62">_xlfn.XLOOKUP(A62,Product!A:A,Product!C:C,"Bulunamadı")</f>
        <v>Thriller</v>
      </c>
      <c r="G62" s="2" t="str">
        <f t="array" ref="G62">_xlfn.XLOOKUP(A63,Product!A:A,Product!D:D,"Bulunamadı")</f>
        <v>Cedar Hill Books</v>
      </c>
      <c r="H62" s="2">
        <f t="array" ref="H62">_xlfn.XLOOKUP(A64,Product!A:A,Product!E:E,"Bulunamadı")</f>
        <v>4.3</v>
      </c>
      <c r="I62" s="2" t="str">
        <f t="shared" si="1"/>
        <v>83807 - History - Thriller</v>
      </c>
      <c r="J62" s="2">
        <f t="shared" si="2"/>
        <v>1380.3</v>
      </c>
      <c r="K62" s="17">
        <f t="shared" si="3"/>
        <v>1</v>
      </c>
      <c r="L62" s="18"/>
    </row>
    <row r="63" hidden="1">
      <c r="A63" s="2">
        <f>IFERROR(__xludf.DUMMYFUNCTION("""COMPUTED_VALUE"""),92915.0)</f>
        <v>92915</v>
      </c>
      <c r="B63" s="2">
        <f>IFERROR(__xludf.DUMMYFUNCTION("""COMPUTED_VALUE"""),0.0)</f>
        <v>0</v>
      </c>
      <c r="C63" s="2">
        <f>IFERROR(__xludf.DUMMYFUNCTION("""COMPUTED_VALUE"""),861.0)</f>
        <v>861</v>
      </c>
      <c r="D63" s="3">
        <f>IFERROR(__xludf.DUMMYFUNCTION("""COMPUTED_VALUE"""),576.0)</f>
        <v>576</v>
      </c>
      <c r="E63" s="1" t="str">
        <f t="array" ref="E63">_xlfn.XLOOKUP(A63,Product!A:A,Product!B:B,"Bulunamadı")</f>
        <v>History</v>
      </c>
      <c r="F63" s="1" t="str">
        <f t="array" ref="F63">_xlfn.XLOOKUP(A63,Product!A:A,Product!C:C,"Bulunamadı")</f>
        <v>Thriller</v>
      </c>
      <c r="G63" s="2" t="str">
        <f t="array" ref="G63">_xlfn.XLOOKUP(A64,Product!A:A,Product!D:D,"Bulunamadı")</f>
        <v>Cedar Hill Books</v>
      </c>
      <c r="H63" s="2">
        <f t="array" ref="H63">_xlfn.XLOOKUP(A65,Product!A:A,Product!E:E,"Bulunamadı")</f>
        <v>3.55</v>
      </c>
      <c r="I63" s="2" t="str">
        <f t="shared" si="1"/>
        <v>92915 - History - Thriller</v>
      </c>
      <c r="J63" s="2">
        <f t="shared" si="2"/>
        <v>2044.8</v>
      </c>
      <c r="K63" s="17">
        <f t="shared" si="3"/>
        <v>1</v>
      </c>
      <c r="L63" s="18"/>
    </row>
    <row r="64" hidden="1">
      <c r="A64" s="2">
        <f>IFERROR(__xludf.DUMMYFUNCTION("""COMPUTED_VALUE"""),81653.0)</f>
        <v>81653</v>
      </c>
      <c r="B64" s="2">
        <f>IFERROR(__xludf.DUMMYFUNCTION("""COMPUTED_VALUE"""),0.0)</f>
        <v>0</v>
      </c>
      <c r="C64" s="2">
        <f>IFERROR(__xludf.DUMMYFUNCTION("""COMPUTED_VALUE"""),64.0)</f>
        <v>64</v>
      </c>
      <c r="D64" s="3">
        <f>IFERROR(__xludf.DUMMYFUNCTION("""COMPUTED_VALUE"""),31.0)</f>
        <v>31</v>
      </c>
      <c r="E64" s="1" t="str">
        <f t="array" ref="E64">_xlfn.XLOOKUP(A64,Product!A:A,Product!B:B,"Bulunamadı")</f>
        <v>History</v>
      </c>
      <c r="F64" s="1" t="str">
        <f t="array" ref="F64">_xlfn.XLOOKUP(A64,Product!A:A,Product!C:C,"Bulunamadı")</f>
        <v>Thriller</v>
      </c>
      <c r="G64" s="2" t="str">
        <f t="array" ref="G64">_xlfn.XLOOKUP(A65,Product!A:A,Product!D:D,"Bulunamadı")</f>
        <v>Cedar Hill Books</v>
      </c>
      <c r="H64" s="2">
        <f t="array" ref="H64">_xlfn.XLOOKUP(A66,Product!A:A,Product!E:E,"Bulunamadı")</f>
        <v>2.33</v>
      </c>
      <c r="I64" s="2" t="str">
        <f t="shared" si="1"/>
        <v>81653 - History - Thriller</v>
      </c>
      <c r="J64" s="2">
        <f t="shared" si="2"/>
        <v>72.23</v>
      </c>
      <c r="K64" s="17">
        <f t="shared" si="3"/>
        <v>1</v>
      </c>
      <c r="L64" s="18"/>
    </row>
    <row r="65" hidden="1">
      <c r="A65" s="2">
        <f>IFERROR(__xludf.DUMMYFUNCTION("""COMPUTED_VALUE"""),81618.0)</f>
        <v>81618</v>
      </c>
      <c r="B65" s="2">
        <f>IFERROR(__xludf.DUMMYFUNCTION("""COMPUTED_VALUE"""),1.0)</f>
        <v>1</v>
      </c>
      <c r="C65" s="2">
        <f>IFERROR(__xludf.DUMMYFUNCTION("""COMPUTED_VALUE"""),124.0)</f>
        <v>124</v>
      </c>
      <c r="D65" s="3">
        <f>IFERROR(__xludf.DUMMYFUNCTION("""COMPUTED_VALUE"""),37.0)</f>
        <v>37</v>
      </c>
      <c r="E65" s="1" t="str">
        <f t="array" ref="E65">_xlfn.XLOOKUP(A65,Product!A:A,Product!B:B,"Bulunamadı")</f>
        <v>History</v>
      </c>
      <c r="F65" s="1" t="str">
        <f t="array" ref="F65">_xlfn.XLOOKUP(A65,Product!A:A,Product!C:C,"Bulunamadı")</f>
        <v>Thriller</v>
      </c>
      <c r="G65" s="2" t="str">
        <f t="array" ref="G65">_xlfn.XLOOKUP(A66,Product!A:A,Product!D:D,"Bulunamadı")</f>
        <v>Willow Creek Publishing</v>
      </c>
      <c r="H65" s="2">
        <f t="array" ref="H65">_xlfn.XLOOKUP(A67,Product!A:A,Product!E:E,"Bulunamadı")</f>
        <v>3</v>
      </c>
      <c r="I65" s="2" t="str">
        <f t="shared" si="1"/>
        <v>81618 - History - Thriller</v>
      </c>
      <c r="J65" s="2">
        <f t="shared" si="2"/>
        <v>111</v>
      </c>
      <c r="K65" s="17">
        <f t="shared" si="3"/>
        <v>1</v>
      </c>
      <c r="L65" s="18"/>
    </row>
    <row r="66" hidden="1">
      <c r="A66" s="2">
        <f>IFERROR(__xludf.DUMMYFUNCTION("""COMPUTED_VALUE"""),118241.0)</f>
        <v>118241</v>
      </c>
      <c r="B66" s="2">
        <f>IFERROR(__xludf.DUMMYFUNCTION("""COMPUTED_VALUE"""),1.0)</f>
        <v>1</v>
      </c>
      <c r="C66" s="2">
        <f>IFERROR(__xludf.DUMMYFUNCTION("""COMPUTED_VALUE"""),897.0)</f>
        <v>897</v>
      </c>
      <c r="D66" s="3">
        <f>IFERROR(__xludf.DUMMYFUNCTION("""COMPUTED_VALUE"""),1.0)</f>
        <v>1</v>
      </c>
      <c r="E66" s="1" t="str">
        <f t="array" ref="E66">_xlfn.XLOOKUP(A66,Product!A:A,Product!B:B,"Bulunamadı")</f>
        <v>History</v>
      </c>
      <c r="F66" s="1" t="str">
        <f t="array" ref="F66">_xlfn.XLOOKUP(A66,Product!A:A,Product!C:C,"Bulunamadı")</f>
        <v>Thriller</v>
      </c>
      <c r="G66" s="2" t="str">
        <f t="array" ref="G66">_xlfn.XLOOKUP(A67,Product!A:A,Product!D:D,"Bulunamadı")</f>
        <v>Willow Creek Publishing</v>
      </c>
      <c r="H66" s="2">
        <f t="array" ref="H66">_xlfn.XLOOKUP(A68,Product!A:A,Product!E:E,"Bulunamadı")</f>
        <v>3.02</v>
      </c>
      <c r="I66" s="2" t="str">
        <f t="shared" si="1"/>
        <v>118241 - History - Thriller</v>
      </c>
      <c r="J66" s="2">
        <f t="shared" si="2"/>
        <v>3.02</v>
      </c>
      <c r="K66" s="17">
        <f t="shared" si="3"/>
        <v>1</v>
      </c>
      <c r="L66" s="18"/>
    </row>
    <row r="67" hidden="1">
      <c r="A67" s="2">
        <f>IFERROR(__xludf.DUMMYFUNCTION("""COMPUTED_VALUE"""),48634.0)</f>
        <v>48634</v>
      </c>
      <c r="B67" s="2">
        <f>IFERROR(__xludf.DUMMYFUNCTION("""COMPUTED_VALUE"""),1.0)</f>
        <v>1</v>
      </c>
      <c r="C67" s="2">
        <f>IFERROR(__xludf.DUMMYFUNCTION("""COMPUTED_VALUE"""),832.0)</f>
        <v>832</v>
      </c>
      <c r="D67" s="3">
        <f>IFERROR(__xludf.DUMMYFUNCTION("""COMPUTED_VALUE"""),180.0)</f>
        <v>180</v>
      </c>
      <c r="E67" s="1" t="str">
        <f t="array" ref="E67">_xlfn.XLOOKUP(A67,Product!A:A,Product!B:B,"Bulunamadı")</f>
        <v>History</v>
      </c>
      <c r="F67" s="1" t="str">
        <f t="array" ref="F67">_xlfn.XLOOKUP(A67,Product!A:A,Product!C:C,"Bulunamadı")</f>
        <v>Thriller</v>
      </c>
      <c r="G67" s="2" t="str">
        <f t="array" ref="G67">_xlfn.XLOOKUP(A68,Product!A:A,Product!D:D,"Bulunamadı")</f>
        <v>Willow Creek Publishing</v>
      </c>
      <c r="H67" s="2">
        <f t="array" ref="H67">_xlfn.XLOOKUP(A69,Product!A:A,Product!E:E,"Bulunamadı")</f>
        <v>2.63</v>
      </c>
      <c r="I67" s="2" t="str">
        <f t="shared" si="1"/>
        <v>48634 - History - Thriller</v>
      </c>
      <c r="J67" s="2">
        <f t="shared" si="2"/>
        <v>473.4</v>
      </c>
      <c r="K67" s="17">
        <f t="shared" si="3"/>
        <v>1</v>
      </c>
      <c r="L67" s="18"/>
    </row>
    <row r="68" hidden="1">
      <c r="A68" s="2">
        <f>IFERROR(__xludf.DUMMYFUNCTION("""COMPUTED_VALUE"""),48636.0)</f>
        <v>48636</v>
      </c>
      <c r="B68" s="2">
        <f>IFERROR(__xludf.DUMMYFUNCTION("""COMPUTED_VALUE"""),1.0)</f>
        <v>1</v>
      </c>
      <c r="C68" s="2">
        <f>IFERROR(__xludf.DUMMYFUNCTION("""COMPUTED_VALUE"""),37.0)</f>
        <v>37</v>
      </c>
      <c r="D68" s="3">
        <f>IFERROR(__xludf.DUMMYFUNCTION("""COMPUTED_VALUE"""),10.0)</f>
        <v>10</v>
      </c>
      <c r="E68" s="1" t="str">
        <f t="array" ref="E68">_xlfn.XLOOKUP(A68,Product!A:A,Product!B:B,"Bulunamadı")</f>
        <v>History</v>
      </c>
      <c r="F68" s="1" t="str">
        <f t="array" ref="F68">_xlfn.XLOOKUP(A68,Product!A:A,Product!C:C,"Bulunamadı")</f>
        <v>Thriller</v>
      </c>
      <c r="G68" s="2" t="str">
        <f t="array" ref="G68">_xlfn.XLOOKUP(A69,Product!A:A,Product!D:D,"Bulunamadı")</f>
        <v>Willow Creek Publishing</v>
      </c>
      <c r="H68" s="2">
        <f t="array" ref="H68">_xlfn.XLOOKUP(A70,Product!A:A,Product!E:E,"Bulunamadı")</f>
        <v>2.13</v>
      </c>
      <c r="I68" s="2" t="str">
        <f t="shared" si="1"/>
        <v>48636 - History - Thriller</v>
      </c>
      <c r="J68" s="2">
        <f t="shared" si="2"/>
        <v>21.3</v>
      </c>
      <c r="K68" s="17">
        <f t="shared" si="3"/>
        <v>1</v>
      </c>
      <c r="L68" s="18"/>
    </row>
    <row r="69" hidden="1">
      <c r="A69" s="2">
        <f>IFERROR(__xludf.DUMMYFUNCTION("""COMPUTED_VALUE"""),48629.0)</f>
        <v>48629</v>
      </c>
      <c r="B69" s="2">
        <f>IFERROR(__xludf.DUMMYFUNCTION("""COMPUTED_VALUE"""),1.0)</f>
        <v>1</v>
      </c>
      <c r="C69" s="2">
        <f>IFERROR(__xludf.DUMMYFUNCTION("""COMPUTED_VALUE"""),935.0)</f>
        <v>935</v>
      </c>
      <c r="D69" s="3">
        <f>IFERROR(__xludf.DUMMYFUNCTION("""COMPUTED_VALUE"""),635.0)</f>
        <v>635</v>
      </c>
      <c r="E69" s="1" t="str">
        <f t="array" ref="E69">_xlfn.XLOOKUP(A69,Product!A:A,Product!B:B,"Bulunamadı")</f>
        <v>History</v>
      </c>
      <c r="F69" s="1" t="str">
        <f t="array" ref="F69">_xlfn.XLOOKUP(A69,Product!A:A,Product!C:C,"Bulunamadı")</f>
        <v>Thriller</v>
      </c>
      <c r="G69" s="2" t="str">
        <f t="array" ref="G69">_xlfn.XLOOKUP(A70,Product!A:A,Product!D:D,"Bulunamadı")</f>
        <v>Willow Creek Publishing</v>
      </c>
      <c r="H69" s="2">
        <f t="array" ref="H69">_xlfn.XLOOKUP(A71,Product!A:A,Product!E:E,"Bulunamadı")</f>
        <v>4.21</v>
      </c>
      <c r="I69" s="2" t="str">
        <f t="shared" si="1"/>
        <v>48629 - History - Thriller</v>
      </c>
      <c r="J69" s="2">
        <f t="shared" si="2"/>
        <v>2673.35</v>
      </c>
      <c r="K69" s="17">
        <f t="shared" si="3"/>
        <v>1</v>
      </c>
      <c r="L69" s="18"/>
    </row>
    <row r="70" hidden="1">
      <c r="A70" s="2">
        <f>IFERROR(__xludf.DUMMYFUNCTION("""COMPUTED_VALUE"""),47400.0)</f>
        <v>47400</v>
      </c>
      <c r="B70" s="2">
        <f>IFERROR(__xludf.DUMMYFUNCTION("""COMPUTED_VALUE"""),1.0)</f>
        <v>1</v>
      </c>
      <c r="C70" s="2">
        <f>IFERROR(__xludf.DUMMYFUNCTION("""COMPUTED_VALUE"""),868.0)</f>
        <v>868</v>
      </c>
      <c r="D70" s="3">
        <f>IFERROR(__xludf.DUMMYFUNCTION("""COMPUTED_VALUE"""),396.0)</f>
        <v>396</v>
      </c>
      <c r="E70" s="1" t="str">
        <f t="array" ref="E70">_xlfn.XLOOKUP(A70,Product!A:A,Product!B:B,"Bulunamadı")</f>
        <v>History</v>
      </c>
      <c r="F70" s="1" t="str">
        <f t="array" ref="F70">_xlfn.XLOOKUP(A70,Product!A:A,Product!C:C,"Bulunamadı")</f>
        <v>Thriller</v>
      </c>
      <c r="G70" s="2" t="str">
        <f t="array" ref="G70">_xlfn.XLOOKUP(A71,Product!A:A,Product!D:D,"Bulunamadı")</f>
        <v>Willow Creek Publishing</v>
      </c>
      <c r="H70" s="2">
        <f t="array" ref="H70">_xlfn.XLOOKUP(A72,Product!A:A,Product!E:E,"Bulunamadı")</f>
        <v>3.5</v>
      </c>
      <c r="I70" s="2" t="str">
        <f t="shared" si="1"/>
        <v>47400 - History - Thriller</v>
      </c>
      <c r="J70" s="2">
        <f t="shared" si="2"/>
        <v>1386</v>
      </c>
      <c r="K70" s="17">
        <f t="shared" si="3"/>
        <v>1</v>
      </c>
      <c r="L70" s="18"/>
    </row>
    <row r="71" hidden="1">
      <c r="A71" s="2">
        <f>IFERROR(__xludf.DUMMYFUNCTION("""COMPUTED_VALUE"""),111237.0)</f>
        <v>111237</v>
      </c>
      <c r="B71" s="2">
        <f>IFERROR(__xludf.DUMMYFUNCTION("""COMPUTED_VALUE"""),0.0)</f>
        <v>0</v>
      </c>
      <c r="C71" s="2">
        <f>IFERROR(__xludf.DUMMYFUNCTION("""COMPUTED_VALUE"""),445.0)</f>
        <v>445</v>
      </c>
      <c r="D71" s="3">
        <f>IFERROR(__xludf.DUMMYFUNCTION("""COMPUTED_VALUE"""),128.0)</f>
        <v>128</v>
      </c>
      <c r="E71" s="1" t="str">
        <f t="array" ref="E71">_xlfn.XLOOKUP(A71,Product!A:A,Product!B:B,"Bulunamadı")</f>
        <v>History</v>
      </c>
      <c r="F71" s="1" t="str">
        <f t="array" ref="F71">_xlfn.XLOOKUP(A71,Product!A:A,Product!C:C,"Bulunamadı")</f>
        <v>Thriller</v>
      </c>
      <c r="G71" s="2" t="str">
        <f t="array" ref="G71">_xlfn.XLOOKUP(A72,Product!A:A,Product!D:D,"Bulunamadı")</f>
        <v>Bright Horizon Press</v>
      </c>
      <c r="H71" s="2">
        <f t="array" ref="H71">_xlfn.XLOOKUP(A73,Product!A:A,Product!E:E,"Bulunamadı")</f>
        <v>4.41</v>
      </c>
      <c r="I71" s="2" t="str">
        <f t="shared" si="1"/>
        <v>111237 - History - Thriller</v>
      </c>
      <c r="J71" s="2">
        <f t="shared" si="2"/>
        <v>564.48</v>
      </c>
      <c r="K71" s="17">
        <f t="shared" si="3"/>
        <v>1</v>
      </c>
      <c r="L71" s="18"/>
    </row>
    <row r="72" hidden="1">
      <c r="A72" s="2">
        <f>IFERROR(__xludf.DUMMYFUNCTION("""COMPUTED_VALUE"""),18042.0)</f>
        <v>18042</v>
      </c>
      <c r="B72" s="2">
        <f>IFERROR(__xludf.DUMMYFUNCTION("""COMPUTED_VALUE"""),0.0)</f>
        <v>0</v>
      </c>
      <c r="C72" s="2">
        <f>IFERROR(__xludf.DUMMYFUNCTION("""COMPUTED_VALUE"""),232.0)</f>
        <v>232</v>
      </c>
      <c r="D72" s="3">
        <f>IFERROR(__xludf.DUMMYFUNCTION("""COMPUTED_VALUE"""),214.0)</f>
        <v>214</v>
      </c>
      <c r="E72" s="1" t="str">
        <f t="array" ref="E72">_xlfn.XLOOKUP(A72,Product!A:A,Product!B:B,"Bulunamadı")</f>
        <v>History</v>
      </c>
      <c r="F72" s="1" t="str">
        <f t="array" ref="F72">_xlfn.XLOOKUP(A72,Product!A:A,Product!C:C,"Bulunamadı")</f>
        <v>Thriller</v>
      </c>
      <c r="G72" s="2" t="str">
        <f t="array" ref="G72">_xlfn.XLOOKUP(A73,Product!A:A,Product!D:D,"Bulunamadı")</f>
        <v>Bright Horizon Press</v>
      </c>
      <c r="H72" s="2">
        <f t="array" ref="H72">_xlfn.XLOOKUP(A74,Product!A:A,Product!E:E,"Bulunamadı")</f>
        <v>2.29</v>
      </c>
      <c r="I72" s="2" t="str">
        <f t="shared" si="1"/>
        <v>18042 - History - Thriller</v>
      </c>
      <c r="J72" s="2">
        <f t="shared" si="2"/>
        <v>490.06</v>
      </c>
      <c r="K72" s="17">
        <f t="shared" si="3"/>
        <v>1</v>
      </c>
      <c r="L72" s="18"/>
    </row>
    <row r="73" hidden="1">
      <c r="A73" s="2">
        <f>IFERROR(__xludf.DUMMYFUNCTION("""COMPUTED_VALUE"""),114978.0)</f>
        <v>114978</v>
      </c>
      <c r="B73" s="2">
        <f>IFERROR(__xludf.DUMMYFUNCTION("""COMPUTED_VALUE"""),0.0)</f>
        <v>0</v>
      </c>
      <c r="C73" s="2">
        <f>IFERROR(__xludf.DUMMYFUNCTION("""COMPUTED_VALUE"""),315.0)</f>
        <v>315</v>
      </c>
      <c r="D73" s="3">
        <f>IFERROR(__xludf.DUMMYFUNCTION("""COMPUTED_VALUE"""),278.0)</f>
        <v>278</v>
      </c>
      <c r="E73" s="1" t="str">
        <f t="array" ref="E73">_xlfn.XLOOKUP(A73,Product!A:A,Product!B:B,"Bulunamadı")</f>
        <v>History</v>
      </c>
      <c r="F73" s="1" t="str">
        <f t="array" ref="F73">_xlfn.XLOOKUP(A73,Product!A:A,Product!C:C,"Bulunamadı")</f>
        <v>Thriller</v>
      </c>
      <c r="G73" s="2" t="str">
        <f t="array" ref="G73">_xlfn.XLOOKUP(A74,Product!A:A,Product!D:D,"Bulunamadı")</f>
        <v>Bright Horizon Press</v>
      </c>
      <c r="H73" s="2">
        <f t="array" ref="H73">_xlfn.XLOOKUP(A75,Product!A:A,Product!E:E,"Bulunamadı")</f>
        <v>4.19</v>
      </c>
      <c r="I73" s="2" t="str">
        <f t="shared" si="1"/>
        <v>114978 - History - Thriller</v>
      </c>
      <c r="J73" s="2">
        <f t="shared" si="2"/>
        <v>1164.82</v>
      </c>
      <c r="K73" s="17">
        <f t="shared" si="3"/>
        <v>1</v>
      </c>
      <c r="L73" s="18"/>
    </row>
    <row r="74" hidden="1">
      <c r="A74" s="2">
        <f>IFERROR(__xludf.DUMMYFUNCTION("""COMPUTED_VALUE"""),82980.0)</f>
        <v>82980</v>
      </c>
      <c r="B74" s="2">
        <f>IFERROR(__xludf.DUMMYFUNCTION("""COMPUTED_VALUE"""),1.0)</f>
        <v>1</v>
      </c>
      <c r="C74" s="2">
        <f>IFERROR(__xludf.DUMMYFUNCTION("""COMPUTED_VALUE"""),356.0)</f>
        <v>356</v>
      </c>
      <c r="D74" s="3">
        <f>IFERROR(__xludf.DUMMYFUNCTION("""COMPUTED_VALUE"""),164.0)</f>
        <v>164</v>
      </c>
      <c r="E74" s="1" t="str">
        <f t="array" ref="E74">_xlfn.XLOOKUP(A74,Product!A:A,Product!B:B,"Bulunamadı")</f>
        <v>History</v>
      </c>
      <c r="F74" s="1" t="str">
        <f t="array" ref="F74">_xlfn.XLOOKUP(A74,Product!A:A,Product!C:C,"Bulunamadı")</f>
        <v>Thriller</v>
      </c>
      <c r="G74" s="2" t="str">
        <f t="array" ref="G74">_xlfn.XLOOKUP(A75,Product!A:A,Product!D:D,"Bulunamadı")</f>
        <v>Bright Horizon Press</v>
      </c>
      <c r="H74" s="2">
        <f t="array" ref="H74">_xlfn.XLOOKUP(A76,Product!A:A,Product!E:E,"Bulunamadı")</f>
        <v>3.99</v>
      </c>
      <c r="I74" s="2" t="str">
        <f t="shared" si="1"/>
        <v>82980 - History - Thriller</v>
      </c>
      <c r="J74" s="2">
        <f t="shared" si="2"/>
        <v>654.36</v>
      </c>
      <c r="K74" s="17">
        <f t="shared" si="3"/>
        <v>1</v>
      </c>
      <c r="L74" s="18"/>
    </row>
    <row r="75" hidden="1">
      <c r="A75" s="2">
        <f>IFERROR(__xludf.DUMMYFUNCTION("""COMPUTED_VALUE"""),83093.0)</f>
        <v>83093</v>
      </c>
      <c r="B75" s="2">
        <f>IFERROR(__xludf.DUMMYFUNCTION("""COMPUTED_VALUE"""),0.0)</f>
        <v>0</v>
      </c>
      <c r="C75" s="2">
        <f>IFERROR(__xludf.DUMMYFUNCTION("""COMPUTED_VALUE"""),442.0)</f>
        <v>442</v>
      </c>
      <c r="D75" s="3">
        <f>IFERROR(__xludf.DUMMYFUNCTION("""COMPUTED_VALUE"""),385.0)</f>
        <v>385</v>
      </c>
      <c r="E75" s="1" t="str">
        <f t="array" ref="E75">_xlfn.XLOOKUP(A75,Product!A:A,Product!B:B,"Bulunamadı")</f>
        <v>History</v>
      </c>
      <c r="F75" s="1" t="str">
        <f t="array" ref="F75">_xlfn.XLOOKUP(A75,Product!A:A,Product!C:C,"Bulunamadı")</f>
        <v>Thriller</v>
      </c>
      <c r="G75" s="2" t="str">
        <f t="array" ref="G75">_xlfn.XLOOKUP(A76,Product!A:A,Product!D:D,"Bulunamadı")</f>
        <v>Bright Horizon Press</v>
      </c>
      <c r="H75" s="2">
        <f t="array" ref="H75">_xlfn.XLOOKUP(A77,Product!A:A,Product!E:E,"Bulunamadı")</f>
        <v>3.99</v>
      </c>
      <c r="I75" s="2" t="str">
        <f t="shared" si="1"/>
        <v>83093 - History - Thriller</v>
      </c>
      <c r="J75" s="2">
        <f t="shared" si="2"/>
        <v>1536.15</v>
      </c>
      <c r="K75" s="17">
        <f t="shared" si="3"/>
        <v>1</v>
      </c>
      <c r="L75" s="18"/>
    </row>
    <row r="76" hidden="1">
      <c r="A76" s="2">
        <f>IFERROR(__xludf.DUMMYFUNCTION("""COMPUTED_VALUE"""),18134.0)</f>
        <v>18134</v>
      </c>
      <c r="B76" s="2">
        <f>IFERROR(__xludf.DUMMYFUNCTION("""COMPUTED_VALUE"""),0.0)</f>
        <v>0</v>
      </c>
      <c r="C76" s="2">
        <f>IFERROR(__xludf.DUMMYFUNCTION("""COMPUTED_VALUE"""),492.0)</f>
        <v>492</v>
      </c>
      <c r="D76" s="3">
        <f>IFERROR(__xludf.DUMMYFUNCTION("""COMPUTED_VALUE"""),381.0)</f>
        <v>381</v>
      </c>
      <c r="E76" s="1" t="str">
        <f t="array" ref="E76">_xlfn.XLOOKUP(A76,Product!A:A,Product!B:B,"Bulunamadı")</f>
        <v>History</v>
      </c>
      <c r="F76" s="1" t="str">
        <f t="array" ref="F76">_xlfn.XLOOKUP(A76,Product!A:A,Product!C:C,"Bulunamadı")</f>
        <v>Thriller</v>
      </c>
      <c r="G76" s="2" t="str">
        <f t="array" ref="G76">_xlfn.XLOOKUP(A77,Product!A:A,Product!D:D,"Bulunamadı")</f>
        <v>Bright Horizon Press</v>
      </c>
      <c r="H76" s="2">
        <f t="array" ref="H76">_xlfn.XLOOKUP(A78,Product!A:A,Product!E:E,"Bulunamadı")</f>
        <v>5.27</v>
      </c>
      <c r="I76" s="2" t="str">
        <f t="shared" si="1"/>
        <v>18134 - History - Thriller</v>
      </c>
      <c r="J76" s="2">
        <f t="shared" si="2"/>
        <v>2007.87</v>
      </c>
      <c r="K76" s="17">
        <f t="shared" si="3"/>
        <v>1</v>
      </c>
      <c r="L76" s="18"/>
    </row>
    <row r="77" hidden="1">
      <c r="A77" s="2">
        <f>IFERROR(__xludf.DUMMYFUNCTION("""COMPUTED_VALUE"""),107857.0)</f>
        <v>107857</v>
      </c>
      <c r="B77" s="2">
        <f>IFERROR(__xludf.DUMMYFUNCTION("""COMPUTED_VALUE"""),0.0)</f>
        <v>0</v>
      </c>
      <c r="C77" s="2">
        <f>IFERROR(__xludf.DUMMYFUNCTION("""COMPUTED_VALUE"""),645.0)</f>
        <v>645</v>
      </c>
      <c r="D77" s="3">
        <f>IFERROR(__xludf.DUMMYFUNCTION("""COMPUTED_VALUE"""),327.0)</f>
        <v>327</v>
      </c>
      <c r="E77" s="1" t="str">
        <f t="array" ref="E77">_xlfn.XLOOKUP(A77,Product!A:A,Product!B:B,"Bulunamadı")</f>
        <v>History</v>
      </c>
      <c r="F77" s="1" t="str">
        <f t="array" ref="F77">_xlfn.XLOOKUP(A77,Product!A:A,Product!C:C,"Bulunamadı")</f>
        <v>Thriller</v>
      </c>
      <c r="G77" s="2" t="str">
        <f t="array" ref="G77">_xlfn.XLOOKUP(A78,Product!A:A,Product!D:D,"Bulunamadı")</f>
        <v>Bright Horizon Press</v>
      </c>
      <c r="H77" s="2">
        <f t="array" ref="H77">_xlfn.XLOOKUP(A79,Product!A:A,Product!E:E,"Bulunamadı")</f>
        <v>5.32</v>
      </c>
      <c r="I77" s="2" t="str">
        <f t="shared" si="1"/>
        <v>107857 - History - Thriller</v>
      </c>
      <c r="J77" s="2">
        <f t="shared" si="2"/>
        <v>1739.64</v>
      </c>
      <c r="K77" s="17">
        <f t="shared" si="3"/>
        <v>1</v>
      </c>
      <c r="L77" s="18"/>
    </row>
    <row r="78" hidden="1">
      <c r="A78" s="2">
        <f>IFERROR(__xludf.DUMMYFUNCTION("""COMPUTED_VALUE"""),18136.0)</f>
        <v>18136</v>
      </c>
      <c r="B78" s="2">
        <f>IFERROR(__xludf.DUMMYFUNCTION("""COMPUTED_VALUE"""),1.0)</f>
        <v>1</v>
      </c>
      <c r="C78" s="2">
        <f>IFERROR(__xludf.DUMMYFUNCTION("""COMPUTED_VALUE"""),863.0)</f>
        <v>863</v>
      </c>
      <c r="D78" s="3">
        <f>IFERROR(__xludf.DUMMYFUNCTION("""COMPUTED_VALUE"""),821.0)</f>
        <v>821</v>
      </c>
      <c r="E78" s="1" t="str">
        <f t="array" ref="E78">_xlfn.XLOOKUP(A78,Product!A:A,Product!B:B,"Bulunamadı")</f>
        <v>History</v>
      </c>
      <c r="F78" s="1" t="str">
        <f t="array" ref="F78">_xlfn.XLOOKUP(A78,Product!A:A,Product!C:C,"Bulunamadı")</f>
        <v>Thriller</v>
      </c>
      <c r="G78" s="2" t="str">
        <f t="array" ref="G78">_xlfn.XLOOKUP(A79,Product!A:A,Product!D:D,"Bulunamadı")</f>
        <v>Bright Horizon Press</v>
      </c>
      <c r="H78" s="2">
        <f t="array" ref="H78">_xlfn.XLOOKUP(A80,Product!A:A,Product!E:E,"Bulunamadı")</f>
        <v>4.74</v>
      </c>
      <c r="I78" s="2" t="str">
        <f t="shared" si="1"/>
        <v>18136 - History - Thriller</v>
      </c>
      <c r="J78" s="2">
        <f t="shared" si="2"/>
        <v>3891.54</v>
      </c>
      <c r="K78" s="17">
        <f t="shared" si="3"/>
        <v>1</v>
      </c>
      <c r="L78" s="18"/>
    </row>
    <row r="79" hidden="1">
      <c r="A79" s="2">
        <f>IFERROR(__xludf.DUMMYFUNCTION("""COMPUTED_VALUE"""),69138.0)</f>
        <v>69138</v>
      </c>
      <c r="B79" s="2">
        <f>IFERROR(__xludf.DUMMYFUNCTION("""COMPUTED_VALUE"""),1.0)</f>
        <v>1</v>
      </c>
      <c r="C79" s="2">
        <f>IFERROR(__xludf.DUMMYFUNCTION("""COMPUTED_VALUE"""),43.0)</f>
        <v>43</v>
      </c>
      <c r="D79" s="3">
        <f>IFERROR(__xludf.DUMMYFUNCTION("""COMPUTED_VALUE"""),27.0)</f>
        <v>27</v>
      </c>
      <c r="E79" s="1" t="str">
        <f t="array" ref="E79">_xlfn.XLOOKUP(A79,Product!A:A,Product!B:B,"Bulunamadı")</f>
        <v>History</v>
      </c>
      <c r="F79" s="1" t="str">
        <f t="array" ref="F79">_xlfn.XLOOKUP(A79,Product!A:A,Product!C:C,"Bulunamadı")</f>
        <v>Thriller</v>
      </c>
      <c r="G79" s="2" t="str">
        <f t="array" ref="G79">_xlfn.XLOOKUP(A80,Product!A:A,Product!D:D,"Bulunamadı")</f>
        <v>Bright Horizon Press</v>
      </c>
      <c r="H79" s="2">
        <f t="array" ref="H79">_xlfn.XLOOKUP(A81,Product!A:A,Product!E:E,"Bulunamadı")</f>
        <v>5.05</v>
      </c>
      <c r="I79" s="2" t="str">
        <f t="shared" si="1"/>
        <v>69138 - History - Thriller</v>
      </c>
      <c r="J79" s="2">
        <f t="shared" si="2"/>
        <v>136.35</v>
      </c>
      <c r="K79" s="17">
        <f t="shared" si="3"/>
        <v>1</v>
      </c>
      <c r="L79" s="18"/>
    </row>
    <row r="80" hidden="1">
      <c r="A80" s="2">
        <f>IFERROR(__xludf.DUMMYFUNCTION("""COMPUTED_VALUE"""),74828.0)</f>
        <v>74828</v>
      </c>
      <c r="B80" s="2">
        <f>IFERROR(__xludf.DUMMYFUNCTION("""COMPUTED_VALUE"""),0.0)</f>
        <v>0</v>
      </c>
      <c r="C80" s="2">
        <f>IFERROR(__xludf.DUMMYFUNCTION("""COMPUTED_VALUE"""),654.0)</f>
        <v>654</v>
      </c>
      <c r="D80" s="3">
        <f>IFERROR(__xludf.DUMMYFUNCTION("""COMPUTED_VALUE"""),613.0)</f>
        <v>613</v>
      </c>
      <c r="E80" s="1" t="str">
        <f t="array" ref="E80">_xlfn.XLOOKUP(A80,Product!A:A,Product!B:B,"Bulunamadı")</f>
        <v>History</v>
      </c>
      <c r="F80" s="1" t="str">
        <f t="array" ref="F80">_xlfn.XLOOKUP(A80,Product!A:A,Product!C:C,"Bulunamadı")</f>
        <v>Thriller</v>
      </c>
      <c r="G80" s="2" t="str">
        <f t="array" ref="G80">_xlfn.XLOOKUP(A81,Product!A:A,Product!D:D,"Bulunamadı")</f>
        <v>Bright Horizon Press</v>
      </c>
      <c r="H80" s="2">
        <f t="array" ref="H80">_xlfn.XLOOKUP(A82,Product!A:A,Product!E:E,"Bulunamadı")</f>
        <v>2.95</v>
      </c>
      <c r="I80" s="2" t="str">
        <f t="shared" si="1"/>
        <v>74828 - History - Thriller</v>
      </c>
      <c r="J80" s="2">
        <f t="shared" si="2"/>
        <v>1808.35</v>
      </c>
      <c r="K80" s="17">
        <f t="shared" si="3"/>
        <v>1</v>
      </c>
      <c r="L80" s="18"/>
    </row>
    <row r="81" hidden="1">
      <c r="A81" s="2">
        <f>IFERROR(__xludf.DUMMYFUNCTION("""COMPUTED_VALUE"""),74884.0)</f>
        <v>74884</v>
      </c>
      <c r="B81" s="2">
        <f>IFERROR(__xludf.DUMMYFUNCTION("""COMPUTED_VALUE"""),1.0)</f>
        <v>1</v>
      </c>
      <c r="C81" s="2">
        <f>IFERROR(__xludf.DUMMYFUNCTION("""COMPUTED_VALUE"""),2.0)</f>
        <v>2</v>
      </c>
      <c r="D81" s="3">
        <f>IFERROR(__xludf.DUMMYFUNCTION("""COMPUTED_VALUE"""),2.0)</f>
        <v>2</v>
      </c>
      <c r="E81" s="1" t="str">
        <f t="array" ref="E81">_xlfn.XLOOKUP(A81,Product!A:A,Product!B:B,"Bulunamadı")</f>
        <v>History</v>
      </c>
      <c r="F81" s="1" t="str">
        <f t="array" ref="F81">_xlfn.XLOOKUP(A81,Product!A:A,Product!C:C,"Bulunamadı")</f>
        <v>Thriller</v>
      </c>
      <c r="G81" s="2" t="str">
        <f t="array" ref="G81">_xlfn.XLOOKUP(A82,Product!A:A,Product!D:D,"Bulunamadı")</f>
        <v>Bright Horizon Press</v>
      </c>
      <c r="H81" s="2">
        <f t="array" ref="H81">_xlfn.XLOOKUP(A83,Product!A:A,Product!E:E,"Bulunamadı")</f>
        <v>1.92</v>
      </c>
      <c r="I81" s="2" t="str">
        <f t="shared" si="1"/>
        <v>74884 - History - Thriller</v>
      </c>
      <c r="J81" s="2">
        <f t="shared" si="2"/>
        <v>3.84</v>
      </c>
      <c r="K81" s="17">
        <f t="shared" si="3"/>
        <v>1</v>
      </c>
      <c r="L81" s="18"/>
    </row>
    <row r="82" hidden="1">
      <c r="A82" s="2">
        <f>IFERROR(__xludf.DUMMYFUNCTION("""COMPUTED_VALUE"""),127232.0)</f>
        <v>127232</v>
      </c>
      <c r="B82" s="2">
        <f>IFERROR(__xludf.DUMMYFUNCTION("""COMPUTED_VALUE"""),1.0)</f>
        <v>1</v>
      </c>
      <c r="C82" s="2">
        <f>IFERROR(__xludf.DUMMYFUNCTION("""COMPUTED_VALUE"""),705.0)</f>
        <v>705</v>
      </c>
      <c r="D82" s="3">
        <f>IFERROR(__xludf.DUMMYFUNCTION("""COMPUTED_VALUE"""),648.0)</f>
        <v>648</v>
      </c>
      <c r="E82" s="1" t="str">
        <f t="array" ref="E82">_xlfn.XLOOKUP(A82,Product!A:A,Product!B:B,"Bulunamadı")</f>
        <v>History</v>
      </c>
      <c r="F82" s="1" t="str">
        <f t="array" ref="F82">_xlfn.XLOOKUP(A82,Product!A:A,Product!C:C,"Bulunamadı")</f>
        <v>Thriller</v>
      </c>
      <c r="G82" s="2" t="str">
        <f t="array" ref="G82">_xlfn.XLOOKUP(A83,Product!A:A,Product!D:D,"Bulunamadı")</f>
        <v>Bright Horizon Press</v>
      </c>
      <c r="H82" s="2">
        <f t="array" ref="H82">_xlfn.XLOOKUP(A84,Product!A:A,Product!E:E,"Bulunamadı")</f>
        <v>6.07</v>
      </c>
      <c r="I82" s="2" t="str">
        <f t="shared" si="1"/>
        <v>127232 - History - Thriller</v>
      </c>
      <c r="J82" s="2">
        <f t="shared" si="2"/>
        <v>3933.36</v>
      </c>
      <c r="K82" s="17">
        <f t="shared" si="3"/>
        <v>1</v>
      </c>
      <c r="L82" s="18"/>
    </row>
    <row r="83" hidden="1">
      <c r="A83" s="2">
        <f>IFERROR(__xludf.DUMMYFUNCTION("""COMPUTED_VALUE"""),82979.0)</f>
        <v>82979</v>
      </c>
      <c r="B83" s="2">
        <f>IFERROR(__xludf.DUMMYFUNCTION("""COMPUTED_VALUE"""),1.0)</f>
        <v>1</v>
      </c>
      <c r="C83" s="2">
        <f>IFERROR(__xludf.DUMMYFUNCTION("""COMPUTED_VALUE"""),774.0)</f>
        <v>774</v>
      </c>
      <c r="D83" s="3">
        <f>IFERROR(__xludf.DUMMYFUNCTION("""COMPUTED_VALUE"""),723.0)</f>
        <v>723</v>
      </c>
      <c r="E83" s="1" t="str">
        <f t="array" ref="E83">_xlfn.XLOOKUP(A83,Product!A:A,Product!B:B,"Bulunamadı")</f>
        <v>History</v>
      </c>
      <c r="F83" s="1" t="str">
        <f t="array" ref="F83">_xlfn.XLOOKUP(A83,Product!A:A,Product!C:C,"Bulunamadı")</f>
        <v>Thriller</v>
      </c>
      <c r="G83" s="2" t="str">
        <f t="array" ref="G83">_xlfn.XLOOKUP(A84,Product!A:A,Product!D:D,"Bulunamadı")</f>
        <v>Bright Horizon Press</v>
      </c>
      <c r="H83" s="2">
        <f t="array" ref="H83">_xlfn.XLOOKUP(A85,Product!A:A,Product!E:E,"Bulunamadı")</f>
        <v>3.58</v>
      </c>
      <c r="I83" s="2" t="str">
        <f t="shared" si="1"/>
        <v>82979 - History - Thriller</v>
      </c>
      <c r="J83" s="2">
        <f t="shared" si="2"/>
        <v>2588.34</v>
      </c>
      <c r="K83" s="17">
        <f t="shared" si="3"/>
        <v>1</v>
      </c>
      <c r="L83" s="18"/>
    </row>
    <row r="84" hidden="1">
      <c r="A84" s="2">
        <f>IFERROR(__xludf.DUMMYFUNCTION("""COMPUTED_VALUE"""),18138.0)</f>
        <v>18138</v>
      </c>
      <c r="B84" s="2">
        <f>IFERROR(__xludf.DUMMYFUNCTION("""COMPUTED_VALUE"""),0.0)</f>
        <v>0</v>
      </c>
      <c r="C84" s="2">
        <f>IFERROR(__xludf.DUMMYFUNCTION("""COMPUTED_VALUE"""),571.0)</f>
        <v>571</v>
      </c>
      <c r="D84" s="3">
        <f>IFERROR(__xludf.DUMMYFUNCTION("""COMPUTED_VALUE"""),353.0)</f>
        <v>353</v>
      </c>
      <c r="E84" s="1" t="str">
        <f t="array" ref="E84">_xlfn.XLOOKUP(A84,Product!A:A,Product!B:B,"Bulunamadı")</f>
        <v>History</v>
      </c>
      <c r="F84" s="1" t="str">
        <f t="array" ref="F84">_xlfn.XLOOKUP(A84,Product!A:A,Product!C:C,"Bulunamadı")</f>
        <v>Thriller</v>
      </c>
      <c r="G84" s="2" t="str">
        <f t="array" ref="G84">_xlfn.XLOOKUP(A85,Product!A:A,Product!D:D,"Bulunamadı")</f>
        <v>Evergreen House</v>
      </c>
      <c r="H84" s="2">
        <f t="array" ref="H84">_xlfn.XLOOKUP(A86,Product!A:A,Product!E:E,"Bulunamadı")</f>
        <v>3.72</v>
      </c>
      <c r="I84" s="2" t="str">
        <f t="shared" si="1"/>
        <v>18138 - History - Thriller</v>
      </c>
      <c r="J84" s="2">
        <f t="shared" si="2"/>
        <v>1313.16</v>
      </c>
      <c r="K84" s="17">
        <f t="shared" si="3"/>
        <v>1</v>
      </c>
      <c r="L84" s="18"/>
    </row>
    <row r="85" hidden="1">
      <c r="A85" s="2">
        <f>IFERROR(__xludf.DUMMYFUNCTION("""COMPUTED_VALUE"""),127003.0)</f>
        <v>127003</v>
      </c>
      <c r="B85" s="2">
        <f>IFERROR(__xludf.DUMMYFUNCTION("""COMPUTED_VALUE"""),0.0)</f>
        <v>0</v>
      </c>
      <c r="C85" s="2">
        <f>IFERROR(__xludf.DUMMYFUNCTION("""COMPUTED_VALUE"""),735.0)</f>
        <v>735</v>
      </c>
      <c r="D85" s="3">
        <f>IFERROR(__xludf.DUMMYFUNCTION("""COMPUTED_VALUE"""),384.0)</f>
        <v>384</v>
      </c>
      <c r="E85" s="1" t="str">
        <f t="array" ref="E85">_xlfn.XLOOKUP(A85,Product!A:A,Product!B:B,"Bulunamadı")</f>
        <v>History</v>
      </c>
      <c r="F85" s="1" t="str">
        <f t="array" ref="F85">_xlfn.XLOOKUP(A85,Product!A:A,Product!C:C,"Bulunamadı")</f>
        <v>Thriller</v>
      </c>
      <c r="G85" s="2" t="str">
        <f t="array" ref="G85">_xlfn.XLOOKUP(A86,Product!A:A,Product!D:D,"Bulunamadı")</f>
        <v/>
      </c>
      <c r="H85" s="2">
        <f t="array" ref="H85">_xlfn.XLOOKUP(A87,Product!A:A,Product!E:E,"Bulunamadı")</f>
        <v>5.07</v>
      </c>
      <c r="I85" s="2" t="str">
        <f t="shared" si="1"/>
        <v>127003 - History - Thriller</v>
      </c>
      <c r="J85" s="2">
        <f t="shared" si="2"/>
        <v>1946.88</v>
      </c>
      <c r="K85" s="17">
        <f t="shared" si="3"/>
        <v>1</v>
      </c>
      <c r="L85" s="18"/>
    </row>
    <row r="86" hidden="1">
      <c r="A86" s="2">
        <f>IFERROR(__xludf.DUMMYFUNCTION("""COMPUTED_VALUE"""),6036.0)</f>
        <v>6036</v>
      </c>
      <c r="B86" s="2">
        <f>IFERROR(__xludf.DUMMYFUNCTION("""COMPUTED_VALUE"""),1.0)</f>
        <v>1</v>
      </c>
      <c r="C86" s="2">
        <f>IFERROR(__xludf.DUMMYFUNCTION("""COMPUTED_VALUE"""),429.0)</f>
        <v>429</v>
      </c>
      <c r="D86" s="3">
        <f>IFERROR(__xludf.DUMMYFUNCTION("""COMPUTED_VALUE"""),420.0)</f>
        <v>420</v>
      </c>
      <c r="E86" s="1" t="str">
        <f t="array" ref="E86">_xlfn.XLOOKUP(A86,Product!A:A,Product!B:B,"Bulunamadı")</f>
        <v>History</v>
      </c>
      <c r="F86" s="1" t="str">
        <f t="array" ref="F86">_xlfn.XLOOKUP(A86,Product!A:A,Product!C:C,"Bulunamadı")</f>
        <v>Crime</v>
      </c>
      <c r="G86" s="2" t="str">
        <f t="array" ref="G86">_xlfn.XLOOKUP(A87,Product!A:A,Product!D:D,"Bulunamadı")</f>
        <v/>
      </c>
      <c r="H86" s="2">
        <f t="array" ref="H86">_xlfn.XLOOKUP(A88,Product!A:A,Product!E:E,"Bulunamadı")</f>
        <v>4.47</v>
      </c>
      <c r="I86" s="2" t="str">
        <f t="shared" si="1"/>
        <v>6036 - History - Crime</v>
      </c>
      <c r="J86" s="2">
        <f t="shared" si="2"/>
        <v>1877.4</v>
      </c>
      <c r="K86" s="17">
        <f t="shared" si="3"/>
        <v>1</v>
      </c>
      <c r="L86" s="18"/>
    </row>
    <row r="87" hidden="1">
      <c r="A87" s="2">
        <f>IFERROR(__xludf.DUMMYFUNCTION("""COMPUTED_VALUE"""),6046.0)</f>
        <v>6046</v>
      </c>
      <c r="B87" s="2">
        <f>IFERROR(__xludf.DUMMYFUNCTION("""COMPUTED_VALUE"""),0.0)</f>
        <v>0</v>
      </c>
      <c r="C87" s="2">
        <f>IFERROR(__xludf.DUMMYFUNCTION("""COMPUTED_VALUE"""),732.0)</f>
        <v>732</v>
      </c>
      <c r="D87" s="3">
        <f>IFERROR(__xludf.DUMMYFUNCTION("""COMPUTED_VALUE"""),319.0)</f>
        <v>319</v>
      </c>
      <c r="E87" s="1" t="str">
        <f t="array" ref="E87">_xlfn.XLOOKUP(A87,Product!A:A,Product!B:B,"Bulunamadı")</f>
        <v>History</v>
      </c>
      <c r="F87" s="1" t="str">
        <f t="array" ref="F87">_xlfn.XLOOKUP(A87,Product!A:A,Product!C:C,"Bulunamadı")</f>
        <v>Crime</v>
      </c>
      <c r="G87" s="2" t="str">
        <f t="array" ref="G87">_xlfn.XLOOKUP(A88,Product!A:A,Product!D:D,"Bulunamadı")</f>
        <v/>
      </c>
      <c r="H87" s="2">
        <f t="array" ref="H87">_xlfn.XLOOKUP(A89,Product!A:A,Product!E:E,"Bulunamadı")</f>
        <v>3.36</v>
      </c>
      <c r="I87" s="2" t="str">
        <f t="shared" si="1"/>
        <v>6046 - History - Crime</v>
      </c>
      <c r="J87" s="2">
        <f t="shared" si="2"/>
        <v>1071.84</v>
      </c>
      <c r="K87" s="17">
        <f t="shared" si="3"/>
        <v>1</v>
      </c>
      <c r="L87" s="18"/>
    </row>
    <row r="88" hidden="1">
      <c r="A88" s="2">
        <f>IFERROR(__xludf.DUMMYFUNCTION("""COMPUTED_VALUE"""),6037.0)</f>
        <v>6037</v>
      </c>
      <c r="B88" s="2">
        <f>IFERROR(__xludf.DUMMYFUNCTION("""COMPUTED_VALUE"""),0.0)</f>
        <v>0</v>
      </c>
      <c r="C88" s="2">
        <f>IFERROR(__xludf.DUMMYFUNCTION("""COMPUTED_VALUE"""),271.0)</f>
        <v>271</v>
      </c>
      <c r="D88" s="3">
        <f>IFERROR(__xludf.DUMMYFUNCTION("""COMPUTED_VALUE"""),227.0)</f>
        <v>227</v>
      </c>
      <c r="E88" s="1" t="str">
        <f t="array" ref="E88">_xlfn.XLOOKUP(A88,Product!A:A,Product!B:B,"Bulunamadı")</f>
        <v>History</v>
      </c>
      <c r="F88" s="1" t="str">
        <f t="array" ref="F88">_xlfn.XLOOKUP(A88,Product!A:A,Product!C:C,"Bulunamadı")</f>
        <v>Crime</v>
      </c>
      <c r="G88" s="2" t="str">
        <f t="array" ref="G88">_xlfn.XLOOKUP(A89,Product!A:A,Product!D:D,"Bulunamadı")</f>
        <v/>
      </c>
      <c r="H88" s="2">
        <f t="array" ref="H88">_xlfn.XLOOKUP(A90,Product!A:A,Product!E:E,"Bulunamadı")</f>
        <v>3.16</v>
      </c>
      <c r="I88" s="2" t="str">
        <f t="shared" si="1"/>
        <v>6037 - History - Crime</v>
      </c>
      <c r="J88" s="2">
        <f t="shared" si="2"/>
        <v>717.32</v>
      </c>
      <c r="K88" s="17">
        <f t="shared" si="3"/>
        <v>1</v>
      </c>
      <c r="L88" s="18"/>
    </row>
    <row r="89" hidden="1">
      <c r="A89" s="2">
        <f>IFERROR(__xludf.DUMMYFUNCTION("""COMPUTED_VALUE"""),6026.0)</f>
        <v>6026</v>
      </c>
      <c r="B89" s="2">
        <f>IFERROR(__xludf.DUMMYFUNCTION("""COMPUTED_VALUE"""),1.0)</f>
        <v>1</v>
      </c>
      <c r="C89" s="2">
        <f>IFERROR(__xludf.DUMMYFUNCTION("""COMPUTED_VALUE"""),111.0)</f>
        <v>111</v>
      </c>
      <c r="D89" s="3">
        <f>IFERROR(__xludf.DUMMYFUNCTION("""COMPUTED_VALUE"""),23.0)</f>
        <v>23</v>
      </c>
      <c r="E89" s="1" t="str">
        <f t="array" ref="E89">_xlfn.XLOOKUP(A89,Product!A:A,Product!B:B,"Bulunamadı")</f>
        <v>History</v>
      </c>
      <c r="F89" s="1" t="str">
        <f t="array" ref="F89">_xlfn.XLOOKUP(A89,Product!A:A,Product!C:C,"Bulunamadı")</f>
        <v>Crime</v>
      </c>
      <c r="G89" s="2" t="str">
        <f t="array" ref="G89">_xlfn.XLOOKUP(A90,Product!A:A,Product!D:D,"Bulunamadı")</f>
        <v/>
      </c>
      <c r="H89" s="2">
        <f t="array" ref="H89">_xlfn.XLOOKUP(A91,Product!A:A,Product!E:E,"Bulunamadı")</f>
        <v>4.55</v>
      </c>
      <c r="I89" s="2" t="str">
        <f t="shared" si="1"/>
        <v>6026 - History - Crime</v>
      </c>
      <c r="J89" s="2">
        <f t="shared" si="2"/>
        <v>104.65</v>
      </c>
      <c r="K89" s="17">
        <f t="shared" si="3"/>
        <v>1</v>
      </c>
      <c r="L89" s="18"/>
    </row>
    <row r="90" hidden="1">
      <c r="A90" s="2">
        <f>IFERROR(__xludf.DUMMYFUNCTION("""COMPUTED_VALUE"""),47431.0)</f>
        <v>47431</v>
      </c>
      <c r="B90" s="2">
        <f>IFERROR(__xludf.DUMMYFUNCTION("""COMPUTED_VALUE"""),0.0)</f>
        <v>0</v>
      </c>
      <c r="C90" s="2">
        <f>IFERROR(__xludf.DUMMYFUNCTION("""COMPUTED_VALUE"""),81.0)</f>
        <v>81</v>
      </c>
      <c r="D90" s="3">
        <f>IFERROR(__xludf.DUMMYFUNCTION("""COMPUTED_VALUE"""),6.0)</f>
        <v>6</v>
      </c>
      <c r="E90" s="1" t="str">
        <f t="array" ref="E90">_xlfn.XLOOKUP(A90,Product!A:A,Product!B:B,"Bulunamadı")</f>
        <v>History</v>
      </c>
      <c r="F90" s="1" t="str">
        <f t="array" ref="F90">_xlfn.XLOOKUP(A90,Product!A:A,Product!C:C,"Bulunamadı")</f>
        <v>Crime</v>
      </c>
      <c r="G90" s="2" t="str">
        <f t="array" ref="G90">_xlfn.XLOOKUP(A91,Product!A:A,Product!D:D,"Bulunamadı")</f>
        <v/>
      </c>
      <c r="H90" s="2">
        <f t="array" ref="H90">_xlfn.XLOOKUP(A92,Product!A:A,Product!E:E,"Bulunamadı")</f>
        <v>5.48</v>
      </c>
      <c r="I90" s="2" t="str">
        <f t="shared" si="1"/>
        <v>47431 - History - Crime</v>
      </c>
      <c r="J90" s="2">
        <f t="shared" si="2"/>
        <v>32.88</v>
      </c>
      <c r="K90" s="17">
        <f t="shared" si="3"/>
        <v>1</v>
      </c>
      <c r="L90" s="18"/>
    </row>
    <row r="91" hidden="1">
      <c r="A91" s="2">
        <f>IFERROR(__xludf.DUMMYFUNCTION("""COMPUTED_VALUE"""),82914.0)</f>
        <v>82914</v>
      </c>
      <c r="B91" s="2">
        <f>IFERROR(__xludf.DUMMYFUNCTION("""COMPUTED_VALUE"""),1.0)</f>
        <v>1</v>
      </c>
      <c r="C91" s="2">
        <f>IFERROR(__xludf.DUMMYFUNCTION("""COMPUTED_VALUE"""),486.0)</f>
        <v>486</v>
      </c>
      <c r="D91" s="3">
        <f>IFERROR(__xludf.DUMMYFUNCTION("""COMPUTED_VALUE"""),345.0)</f>
        <v>345</v>
      </c>
      <c r="E91" s="1" t="str">
        <f t="array" ref="E91">_xlfn.XLOOKUP(A91,Product!A:A,Product!B:B,"Bulunamadı")</f>
        <v>History</v>
      </c>
      <c r="F91" s="1" t="str">
        <f t="array" ref="F91">_xlfn.XLOOKUP(A91,Product!A:A,Product!C:C,"Bulunamadı")</f>
        <v>Crime</v>
      </c>
      <c r="G91" s="2" t="str">
        <f t="array" ref="G91">_xlfn.XLOOKUP(A92,Product!A:A,Product!D:D,"Bulunamadı")</f>
        <v/>
      </c>
      <c r="H91" s="2">
        <f t="array" ref="H91">_xlfn.XLOOKUP(A93,Product!A:A,Product!E:E,"Bulunamadı")</f>
        <v>4.12</v>
      </c>
      <c r="I91" s="2" t="str">
        <f t="shared" si="1"/>
        <v>82914 - History - Crime</v>
      </c>
      <c r="J91" s="2">
        <f t="shared" si="2"/>
        <v>1421.4</v>
      </c>
      <c r="K91" s="17">
        <f t="shared" si="3"/>
        <v>1</v>
      </c>
      <c r="L91" s="18"/>
    </row>
    <row r="92" hidden="1">
      <c r="A92" s="2">
        <f>IFERROR(__xludf.DUMMYFUNCTION("""COMPUTED_VALUE"""),6044.0)</f>
        <v>6044</v>
      </c>
      <c r="B92" s="2">
        <f>IFERROR(__xludf.DUMMYFUNCTION("""COMPUTED_VALUE"""),1.0)</f>
        <v>1</v>
      </c>
      <c r="C92" s="2">
        <f>IFERROR(__xludf.DUMMYFUNCTION("""COMPUTED_VALUE"""),197.0)</f>
        <v>197</v>
      </c>
      <c r="D92" s="3">
        <f>IFERROR(__xludf.DUMMYFUNCTION("""COMPUTED_VALUE"""),167.0)</f>
        <v>167</v>
      </c>
      <c r="E92" s="1" t="str">
        <f t="array" ref="E92">_xlfn.XLOOKUP(A92,Product!A:A,Product!B:B,"Bulunamadı")</f>
        <v>History</v>
      </c>
      <c r="F92" s="1" t="str">
        <f t="array" ref="F92">_xlfn.XLOOKUP(A92,Product!A:A,Product!C:C,"Bulunamadı")</f>
        <v>Crime</v>
      </c>
      <c r="G92" s="2" t="str">
        <f t="array" ref="G92">_xlfn.XLOOKUP(A93,Product!A:A,Product!D:D,"Bulunamadı")</f>
        <v/>
      </c>
      <c r="H92" s="2">
        <f t="array" ref="H92">_xlfn.XLOOKUP(A94,Product!A:A,Product!E:E,"Bulunamadı")</f>
        <v>4.66</v>
      </c>
      <c r="I92" s="2" t="str">
        <f t="shared" si="1"/>
        <v>6044 - History - Crime</v>
      </c>
      <c r="J92" s="2">
        <f t="shared" si="2"/>
        <v>778.22</v>
      </c>
      <c r="K92" s="17">
        <f t="shared" si="3"/>
        <v>1</v>
      </c>
      <c r="L92" s="18"/>
    </row>
    <row r="93" hidden="1">
      <c r="A93" s="2">
        <f>IFERROR(__xludf.DUMMYFUNCTION("""COMPUTED_VALUE"""),82913.0)</f>
        <v>82913</v>
      </c>
      <c r="B93" s="2">
        <f>IFERROR(__xludf.DUMMYFUNCTION("""COMPUTED_VALUE"""),1.0)</f>
        <v>1</v>
      </c>
      <c r="C93" s="2">
        <f>IFERROR(__xludf.DUMMYFUNCTION("""COMPUTED_VALUE"""),196.0)</f>
        <v>196</v>
      </c>
      <c r="D93" s="3">
        <f>IFERROR(__xludf.DUMMYFUNCTION("""COMPUTED_VALUE"""),116.0)</f>
        <v>116</v>
      </c>
      <c r="E93" s="1" t="str">
        <f t="array" ref="E93">_xlfn.XLOOKUP(A93,Product!A:A,Product!B:B,"Bulunamadı")</f>
        <v>History</v>
      </c>
      <c r="F93" s="1" t="str">
        <f t="array" ref="F93">_xlfn.XLOOKUP(A93,Product!A:A,Product!C:C,"Bulunamadı")</f>
        <v>Crime</v>
      </c>
      <c r="G93" s="2" t="str">
        <f t="array" ref="G93">_xlfn.XLOOKUP(A94,Product!A:A,Product!D:D,"Bulunamadı")</f>
        <v/>
      </c>
      <c r="H93" s="2">
        <f t="array" ref="H93">_xlfn.XLOOKUP(A95,Product!A:A,Product!E:E,"Bulunamadı")</f>
        <v>5.21</v>
      </c>
      <c r="I93" s="2" t="str">
        <f t="shared" si="1"/>
        <v>82913 - History - Crime</v>
      </c>
      <c r="J93" s="2">
        <f t="shared" si="2"/>
        <v>604.36</v>
      </c>
      <c r="K93" s="17">
        <f t="shared" si="3"/>
        <v>1</v>
      </c>
      <c r="L93" s="18"/>
    </row>
    <row r="94" hidden="1">
      <c r="A94" s="2">
        <f>IFERROR(__xludf.DUMMYFUNCTION("""COMPUTED_VALUE"""),82922.0)</f>
        <v>82922</v>
      </c>
      <c r="B94" s="2">
        <f>IFERROR(__xludf.DUMMYFUNCTION("""COMPUTED_VALUE"""),1.0)</f>
        <v>1</v>
      </c>
      <c r="C94" s="2">
        <f>IFERROR(__xludf.DUMMYFUNCTION("""COMPUTED_VALUE"""),783.0)</f>
        <v>783</v>
      </c>
      <c r="D94" s="3">
        <f>IFERROR(__xludf.DUMMYFUNCTION("""COMPUTED_VALUE"""),107.0)</f>
        <v>107</v>
      </c>
      <c r="E94" s="1" t="str">
        <f t="array" ref="E94">_xlfn.XLOOKUP(A94,Product!A:A,Product!B:B,"Bulunamadı")</f>
        <v>History</v>
      </c>
      <c r="F94" s="1" t="str">
        <f t="array" ref="F94">_xlfn.XLOOKUP(A94,Product!A:A,Product!C:C,"Bulunamadı")</f>
        <v>Crime</v>
      </c>
      <c r="G94" s="2" t="str">
        <f t="array" ref="G94">_xlfn.XLOOKUP(A95,Product!A:A,Product!D:D,"Bulunamadı")</f>
        <v/>
      </c>
      <c r="H94" s="2">
        <f t="array" ref="H94">_xlfn.XLOOKUP(A96,Product!A:A,Product!E:E,"Bulunamadı")</f>
        <v>3.3</v>
      </c>
      <c r="I94" s="2" t="str">
        <f t="shared" si="1"/>
        <v>82922 - History - Crime</v>
      </c>
      <c r="J94" s="2">
        <f t="shared" si="2"/>
        <v>353.1</v>
      </c>
      <c r="K94" s="17">
        <f t="shared" si="3"/>
        <v>1</v>
      </c>
      <c r="L94" s="18"/>
    </row>
    <row r="95" hidden="1">
      <c r="A95" s="2">
        <f>IFERROR(__xludf.DUMMYFUNCTION("""COMPUTED_VALUE"""),6045.0)</f>
        <v>6045</v>
      </c>
      <c r="B95" s="2">
        <f>IFERROR(__xludf.DUMMYFUNCTION("""COMPUTED_VALUE"""),1.0)</f>
        <v>1</v>
      </c>
      <c r="C95" s="2">
        <f>IFERROR(__xludf.DUMMYFUNCTION("""COMPUTED_VALUE"""),0.0)</f>
        <v>0</v>
      </c>
      <c r="D95" s="3">
        <f>IFERROR(__xludf.DUMMYFUNCTION("""COMPUTED_VALUE"""),0.0)</f>
        <v>0</v>
      </c>
      <c r="E95" s="1" t="str">
        <f t="array" ref="E95">_xlfn.XLOOKUP(A95,Product!A:A,Product!B:B,"Bulunamadı")</f>
        <v>History</v>
      </c>
      <c r="F95" s="1" t="str">
        <f t="array" ref="F95">_xlfn.XLOOKUP(A95,Product!A:A,Product!C:C,"Bulunamadı")</f>
        <v>Crime</v>
      </c>
      <c r="G95" s="2" t="str">
        <f t="array" ref="G95">_xlfn.XLOOKUP(A96,Product!A:A,Product!D:D,"Bulunamadı")</f>
        <v/>
      </c>
      <c r="H95" s="2">
        <f t="array" ref="H95">_xlfn.XLOOKUP(A97,Product!A:A,Product!E:E,"Bulunamadı")</f>
        <v>2.49</v>
      </c>
      <c r="I95" s="2" t="str">
        <f t="shared" si="1"/>
        <v>6045 - History - Crime</v>
      </c>
      <c r="J95" s="2">
        <f t="shared" si="2"/>
        <v>0</v>
      </c>
      <c r="K95" s="17">
        <f t="shared" si="3"/>
        <v>0</v>
      </c>
      <c r="L95" s="18"/>
    </row>
    <row r="96" hidden="1">
      <c r="A96" s="2">
        <f>IFERROR(__xludf.DUMMYFUNCTION("""COMPUTED_VALUE"""),6027.0)</f>
        <v>6027</v>
      </c>
      <c r="B96" s="2">
        <f>IFERROR(__xludf.DUMMYFUNCTION("""COMPUTED_VALUE"""),0.0)</f>
        <v>0</v>
      </c>
      <c r="C96" s="2">
        <f>IFERROR(__xludf.DUMMYFUNCTION("""COMPUTED_VALUE"""),282.0)</f>
        <v>282</v>
      </c>
      <c r="D96" s="3">
        <f>IFERROR(__xludf.DUMMYFUNCTION("""COMPUTED_VALUE"""),174.0)</f>
        <v>174</v>
      </c>
      <c r="E96" s="1" t="str">
        <f t="array" ref="E96">_xlfn.XLOOKUP(A96,Product!A:A,Product!B:B,"Bulunamadı")</f>
        <v>History</v>
      </c>
      <c r="F96" s="1" t="str">
        <f t="array" ref="F96">_xlfn.XLOOKUP(A96,Product!A:A,Product!C:C,"Bulunamadı")</f>
        <v>Crime</v>
      </c>
      <c r="G96" s="2" t="str">
        <f t="array" ref="G96">_xlfn.XLOOKUP(A97,Product!A:A,Product!D:D,"Bulunamadı")</f>
        <v>Redwood Publishing</v>
      </c>
      <c r="H96" s="2">
        <f t="array" ref="H96">_xlfn.XLOOKUP(A98,Product!A:A,Product!E:E,"Bulunamadı")</f>
        <v>12.97</v>
      </c>
      <c r="I96" s="2" t="str">
        <f t="shared" si="1"/>
        <v>6027 - History - Crime</v>
      </c>
      <c r="J96" s="2">
        <f t="shared" si="2"/>
        <v>2256.78</v>
      </c>
      <c r="K96" s="17">
        <f t="shared" si="3"/>
        <v>1</v>
      </c>
      <c r="L96" s="18"/>
    </row>
    <row r="97" hidden="1">
      <c r="A97" s="2">
        <f>IFERROR(__xludf.DUMMYFUNCTION("""COMPUTED_VALUE"""),97088.0)</f>
        <v>97088</v>
      </c>
      <c r="B97" s="2">
        <f>IFERROR(__xludf.DUMMYFUNCTION("""COMPUTED_VALUE"""),1.0)</f>
        <v>1</v>
      </c>
      <c r="C97" s="2">
        <f>IFERROR(__xludf.DUMMYFUNCTION("""COMPUTED_VALUE"""),356.0)</f>
        <v>356</v>
      </c>
      <c r="D97" s="3">
        <f>IFERROR(__xludf.DUMMYFUNCTION("""COMPUTED_VALUE"""),290.0)</f>
        <v>290</v>
      </c>
      <c r="E97" s="1" t="str">
        <f t="array" ref="E97">_xlfn.XLOOKUP(A97,Product!A:A,Product!B:B,"Bulunamadı")</f>
        <v>History</v>
      </c>
      <c r="F97" s="1" t="str">
        <f t="array" ref="F97">_xlfn.XLOOKUP(A97,Product!A:A,Product!C:C,"Bulunamadı")</f>
        <v>Fantasy</v>
      </c>
      <c r="G97" s="2" t="str">
        <f t="array" ref="G97">_xlfn.XLOOKUP(A98,Product!A:A,Product!D:D,"Bulunamadı")</f>
        <v>Crown Gate Press</v>
      </c>
      <c r="H97" s="2">
        <f t="array" ref="H97">_xlfn.XLOOKUP(A99,Product!A:A,Product!E:E,"Bulunamadı")</f>
        <v>18.29</v>
      </c>
      <c r="I97" s="2" t="str">
        <f t="shared" si="1"/>
        <v>97088 - History - Fantasy</v>
      </c>
      <c r="J97" s="2">
        <f t="shared" si="2"/>
        <v>5304.1</v>
      </c>
      <c r="K97" s="17">
        <f t="shared" si="3"/>
        <v>1</v>
      </c>
      <c r="L97" s="18"/>
    </row>
    <row r="98" hidden="1">
      <c r="A98" s="2">
        <f>IFERROR(__xludf.DUMMYFUNCTION("""COMPUTED_VALUE"""),122235.0)</f>
        <v>122235</v>
      </c>
      <c r="B98" s="2">
        <f>IFERROR(__xludf.DUMMYFUNCTION("""COMPUTED_VALUE"""),1.0)</f>
        <v>1</v>
      </c>
      <c r="C98" s="2">
        <f>IFERROR(__xludf.DUMMYFUNCTION("""COMPUTED_VALUE"""),941.0)</f>
        <v>941</v>
      </c>
      <c r="D98" s="3">
        <f>IFERROR(__xludf.DUMMYFUNCTION("""COMPUTED_VALUE"""),126.0)</f>
        <v>126</v>
      </c>
      <c r="E98" s="1" t="str">
        <f t="array" ref="E98">_xlfn.XLOOKUP(A98,Product!A:A,Product!B:B,"Bulunamadı")</f>
        <v>History</v>
      </c>
      <c r="F98" s="1" t="str">
        <f t="array" ref="F98">_xlfn.XLOOKUP(A98,Product!A:A,Product!C:C,"Bulunamadı")</f>
        <v>Fantasy</v>
      </c>
      <c r="G98" s="2" t="str">
        <f t="array" ref="G98">_xlfn.XLOOKUP(A99,Product!A:A,Product!D:D,"Bulunamadı")</f>
        <v>Crown Gate Press</v>
      </c>
      <c r="H98" s="2">
        <f t="array" ref="H98">_xlfn.XLOOKUP(A100,Product!A:A,Product!E:E,"Bulunamadı")</f>
        <v>13.46</v>
      </c>
      <c r="I98" s="2" t="str">
        <f t="shared" si="1"/>
        <v>122235 - History - Fantasy</v>
      </c>
      <c r="J98" s="2">
        <f t="shared" si="2"/>
        <v>1695.96</v>
      </c>
      <c r="K98" s="17">
        <f t="shared" si="3"/>
        <v>1</v>
      </c>
      <c r="L98" s="18"/>
    </row>
    <row r="99" hidden="1">
      <c r="A99" s="2">
        <f>IFERROR(__xludf.DUMMYFUNCTION("""COMPUTED_VALUE"""),119887.0)</f>
        <v>119887</v>
      </c>
      <c r="B99" s="2">
        <f>IFERROR(__xludf.DUMMYFUNCTION("""COMPUTED_VALUE"""),1.0)</f>
        <v>1</v>
      </c>
      <c r="C99" s="2">
        <f>IFERROR(__xludf.DUMMYFUNCTION("""COMPUTED_VALUE"""),732.0)</f>
        <v>732</v>
      </c>
      <c r="D99" s="3">
        <f>IFERROR(__xludf.DUMMYFUNCTION("""COMPUTED_VALUE"""),498.0)</f>
        <v>498</v>
      </c>
      <c r="E99" s="1" t="str">
        <f t="array" ref="E99">_xlfn.XLOOKUP(A99,Product!A:A,Product!B:B,"Bulunamadı")</f>
        <v>History</v>
      </c>
      <c r="F99" s="1" t="str">
        <f t="array" ref="F99">_xlfn.XLOOKUP(A99,Product!A:A,Product!C:C,"Bulunamadı")</f>
        <v>Fantasy</v>
      </c>
      <c r="G99" s="2" t="str">
        <f t="array" ref="G99">_xlfn.XLOOKUP(A100,Product!A:A,Product!D:D,"Bulunamadı")</f>
        <v>Aurora Book House</v>
      </c>
      <c r="H99" s="2">
        <f t="array" ref="H99">_xlfn.XLOOKUP(A101,Product!A:A,Product!E:E,"Bulunamadı")</f>
        <v>14.78</v>
      </c>
      <c r="I99" s="2" t="str">
        <f t="shared" si="1"/>
        <v>119887 - History - Fantasy</v>
      </c>
      <c r="J99" s="2">
        <f t="shared" si="2"/>
        <v>7360.44</v>
      </c>
      <c r="K99" s="17">
        <f t="shared" si="3"/>
        <v>1</v>
      </c>
      <c r="L99" s="18"/>
    </row>
    <row r="100" hidden="1">
      <c r="A100" s="2">
        <f>IFERROR(__xludf.DUMMYFUNCTION("""COMPUTED_VALUE"""),97980.0)</f>
        <v>97980</v>
      </c>
      <c r="B100" s="2">
        <f>IFERROR(__xludf.DUMMYFUNCTION("""COMPUTED_VALUE"""),0.0)</f>
        <v>0</v>
      </c>
      <c r="C100" s="2">
        <f>IFERROR(__xludf.DUMMYFUNCTION("""COMPUTED_VALUE"""),366.0)</f>
        <v>366</v>
      </c>
      <c r="D100" s="3">
        <f>IFERROR(__xludf.DUMMYFUNCTION("""COMPUTED_VALUE"""),344.0)</f>
        <v>344</v>
      </c>
      <c r="E100" s="1" t="str">
        <f t="array" ref="E100">_xlfn.XLOOKUP(A100,Product!A:A,Product!B:B,"Bulunamadı")</f>
        <v>History</v>
      </c>
      <c r="F100" s="1" t="str">
        <f t="array" ref="F100">_xlfn.XLOOKUP(A100,Product!A:A,Product!C:C,"Bulunamadı")</f>
        <v>Fantasy</v>
      </c>
      <c r="G100" s="2" t="str">
        <f t="array" ref="G100">_xlfn.XLOOKUP(A101,Product!A:A,Product!D:D,"Bulunamadı")</f>
        <v>Aurora Book House</v>
      </c>
      <c r="H100" s="2">
        <f t="array" ref="H100">_xlfn.XLOOKUP(A102,Product!A:A,Product!E:E,"Bulunamadı")</f>
        <v>14.14</v>
      </c>
      <c r="I100" s="2" t="str">
        <f t="shared" si="1"/>
        <v>97980 - History - Fantasy</v>
      </c>
      <c r="J100" s="2">
        <f t="shared" si="2"/>
        <v>4864.16</v>
      </c>
      <c r="K100" s="17">
        <f t="shared" si="3"/>
        <v>1</v>
      </c>
      <c r="L100" s="18"/>
    </row>
    <row r="101" hidden="1">
      <c r="A101" s="2">
        <f>IFERROR(__xludf.DUMMYFUNCTION("""COMPUTED_VALUE"""),119876.0)</f>
        <v>119876</v>
      </c>
      <c r="B101" s="2">
        <f>IFERROR(__xludf.DUMMYFUNCTION("""COMPUTED_VALUE"""),0.0)</f>
        <v>0</v>
      </c>
      <c r="C101" s="2">
        <f>IFERROR(__xludf.DUMMYFUNCTION("""COMPUTED_VALUE"""),735.0)</f>
        <v>735</v>
      </c>
      <c r="D101" s="3">
        <f>IFERROR(__xludf.DUMMYFUNCTION("""COMPUTED_VALUE"""),437.0)</f>
        <v>437</v>
      </c>
      <c r="E101" s="1" t="str">
        <f t="array" ref="E101">_xlfn.XLOOKUP(A101,Product!A:A,Product!B:B,"Bulunamadı")</f>
        <v>History</v>
      </c>
      <c r="F101" s="1" t="str">
        <f t="array" ref="F101">_xlfn.XLOOKUP(A101,Product!A:A,Product!C:C,"Bulunamadı")</f>
        <v>Fantasy</v>
      </c>
      <c r="G101" s="2" t="str">
        <f t="array" ref="G101">_xlfn.XLOOKUP(A102,Product!A:A,Product!D:D,"Bulunamadı")</f>
        <v>Aurora Book House</v>
      </c>
      <c r="H101" s="2">
        <f t="array" ref="H101">_xlfn.XLOOKUP(A103,Product!A:A,Product!E:E,"Bulunamadı")</f>
        <v>1.2</v>
      </c>
      <c r="I101" s="2" t="str">
        <f t="shared" si="1"/>
        <v>119876 - History - Fantasy</v>
      </c>
      <c r="J101" s="2">
        <f t="shared" si="2"/>
        <v>524.4</v>
      </c>
      <c r="K101" s="17">
        <f t="shared" si="3"/>
        <v>1</v>
      </c>
      <c r="L101" s="18"/>
    </row>
    <row r="102" hidden="1">
      <c r="A102" s="2">
        <f>IFERROR(__xludf.DUMMYFUNCTION("""COMPUTED_VALUE"""),119881.0)</f>
        <v>119881</v>
      </c>
      <c r="B102" s="2">
        <f>IFERROR(__xludf.DUMMYFUNCTION("""COMPUTED_VALUE"""),0.0)</f>
        <v>0</v>
      </c>
      <c r="C102" s="2">
        <f>IFERROR(__xludf.DUMMYFUNCTION("""COMPUTED_VALUE"""),758.0)</f>
        <v>758</v>
      </c>
      <c r="D102" s="3">
        <f>IFERROR(__xludf.DUMMYFUNCTION("""COMPUTED_VALUE"""),95.0)</f>
        <v>95</v>
      </c>
      <c r="E102" s="1" t="str">
        <f t="array" ref="E102">_xlfn.XLOOKUP(A102,Product!A:A,Product!B:B,"Bulunamadı")</f>
        <v>History</v>
      </c>
      <c r="F102" s="1" t="str">
        <f t="array" ref="F102">_xlfn.XLOOKUP(A102,Product!A:A,Product!C:C,"Bulunamadı")</f>
        <v>Fantasy</v>
      </c>
      <c r="G102" s="2" t="str">
        <f t="array" ref="G102">_xlfn.XLOOKUP(A103,Product!A:A,Product!D:D,"Bulunamadı")</f>
        <v>Summit Ridge Press</v>
      </c>
      <c r="H102" s="2">
        <f t="array" ref="H102">_xlfn.XLOOKUP(A104,Product!A:A,Product!E:E,"Bulunamadı")</f>
        <v>2.86</v>
      </c>
      <c r="I102" s="2" t="str">
        <f t="shared" si="1"/>
        <v>119881 - History - Fantasy</v>
      </c>
      <c r="J102" s="2">
        <f t="shared" si="2"/>
        <v>271.7</v>
      </c>
      <c r="K102" s="17">
        <f t="shared" si="3"/>
        <v>1</v>
      </c>
      <c r="L102" s="18"/>
    </row>
    <row r="103" hidden="1">
      <c r="A103" s="2">
        <f>IFERROR(__xludf.DUMMYFUNCTION("""COMPUTED_VALUE"""),26127.0)</f>
        <v>26127</v>
      </c>
      <c r="B103" s="2">
        <f>IFERROR(__xludf.DUMMYFUNCTION("""COMPUTED_VALUE"""),0.0)</f>
        <v>0</v>
      </c>
      <c r="C103" s="2">
        <f>IFERROR(__xludf.DUMMYFUNCTION("""COMPUTED_VALUE"""),956.0)</f>
        <v>956</v>
      </c>
      <c r="D103" s="3">
        <f>IFERROR(__xludf.DUMMYFUNCTION("""COMPUTED_VALUE"""),225.0)</f>
        <v>225</v>
      </c>
      <c r="E103" s="1" t="str">
        <f t="array" ref="E103">_xlfn.XLOOKUP(A103,Product!A:A,Product!B:B,"Bulunamadı")</f>
        <v>History</v>
      </c>
      <c r="F103" s="1" t="str">
        <f t="array" ref="F103">_xlfn.XLOOKUP(A103,Product!A:A,Product!C:C,"Bulunamadı")</f>
        <v>Epic Fantasy</v>
      </c>
      <c r="G103" s="2" t="str">
        <f t="array" ref="G103">_xlfn.XLOOKUP(A104,Product!A:A,Product!D:D,"Bulunamadı")</f>
        <v>Summit Ridge Press</v>
      </c>
      <c r="H103" s="2">
        <f t="array" ref="H103">_xlfn.XLOOKUP(A105,Product!A:A,Product!E:E,"Bulunamadı")</f>
        <v>1.44</v>
      </c>
      <c r="I103" s="2" t="str">
        <f t="shared" si="1"/>
        <v>26127 - History - Epic Fantasy</v>
      </c>
      <c r="J103" s="2">
        <f t="shared" si="2"/>
        <v>324</v>
      </c>
      <c r="K103" s="17">
        <f t="shared" si="3"/>
        <v>1</v>
      </c>
      <c r="L103" s="18"/>
    </row>
    <row r="104" hidden="1">
      <c r="A104" s="2">
        <f>IFERROR(__xludf.DUMMYFUNCTION("""COMPUTED_VALUE"""),87365.0)</f>
        <v>87365</v>
      </c>
      <c r="B104" s="2">
        <f>IFERROR(__xludf.DUMMYFUNCTION("""COMPUTED_VALUE"""),1.0)</f>
        <v>1</v>
      </c>
      <c r="C104" s="2">
        <f>IFERROR(__xludf.DUMMYFUNCTION("""COMPUTED_VALUE"""),701.0)</f>
        <v>701</v>
      </c>
      <c r="D104" s="3">
        <f>IFERROR(__xludf.DUMMYFUNCTION("""COMPUTED_VALUE"""),414.0)</f>
        <v>414</v>
      </c>
      <c r="E104" s="1" t="str">
        <f t="array" ref="E104">_xlfn.XLOOKUP(A104,Product!A:A,Product!B:B,"Bulunamadı")</f>
        <v>History</v>
      </c>
      <c r="F104" s="1" t="str">
        <f t="array" ref="F104">_xlfn.XLOOKUP(A104,Product!A:A,Product!C:C,"Bulunamadı")</f>
        <v>Epic Fantasy</v>
      </c>
      <c r="G104" s="2" t="str">
        <f t="array" ref="G104">_xlfn.XLOOKUP(A105,Product!A:A,Product!D:D,"Bulunamadı")</f>
        <v>Summit Ridge Press</v>
      </c>
      <c r="H104" s="2">
        <f t="array" ref="H104">_xlfn.XLOOKUP(A106,Product!A:A,Product!E:E,"Bulunamadı")</f>
        <v>1.56</v>
      </c>
      <c r="I104" s="2" t="str">
        <f t="shared" si="1"/>
        <v>87365 - History - Epic Fantasy</v>
      </c>
      <c r="J104" s="2">
        <f t="shared" si="2"/>
        <v>645.84</v>
      </c>
      <c r="K104" s="17">
        <f t="shared" si="3"/>
        <v>1</v>
      </c>
      <c r="L104" s="18"/>
    </row>
    <row r="105" hidden="1">
      <c r="A105" s="2">
        <f>IFERROR(__xludf.DUMMYFUNCTION("""COMPUTED_VALUE"""),87381.0)</f>
        <v>87381</v>
      </c>
      <c r="B105" s="2">
        <f>IFERROR(__xludf.DUMMYFUNCTION("""COMPUTED_VALUE"""),0.0)</f>
        <v>0</v>
      </c>
      <c r="C105" s="2">
        <f>IFERROR(__xludf.DUMMYFUNCTION("""COMPUTED_VALUE"""),91.0)</f>
        <v>91</v>
      </c>
      <c r="D105" s="3">
        <f>IFERROR(__xludf.DUMMYFUNCTION("""COMPUTED_VALUE"""),45.0)</f>
        <v>45</v>
      </c>
      <c r="E105" s="1" t="str">
        <f t="array" ref="E105">_xlfn.XLOOKUP(A105,Product!A:A,Product!B:B,"Bulunamadı")</f>
        <v>History</v>
      </c>
      <c r="F105" s="1" t="str">
        <f t="array" ref="F105">_xlfn.XLOOKUP(A105,Product!A:A,Product!C:C,"Bulunamadı")</f>
        <v>Epic Fantasy</v>
      </c>
      <c r="G105" s="2" t="str">
        <f t="array" ref="G105">_xlfn.XLOOKUP(A106,Product!A:A,Product!D:D,"Bulunamadı")</f>
        <v>Summit Ridge Press</v>
      </c>
      <c r="H105" s="2">
        <f t="array" ref="H105">_xlfn.XLOOKUP(A107,Product!A:A,Product!E:E,"Bulunamadı")</f>
        <v>1.05</v>
      </c>
      <c r="I105" s="2" t="str">
        <f t="shared" si="1"/>
        <v>87381 - History - Epic Fantasy</v>
      </c>
      <c r="J105" s="2">
        <f t="shared" si="2"/>
        <v>47.25</v>
      </c>
      <c r="K105" s="17">
        <f t="shared" si="3"/>
        <v>1</v>
      </c>
      <c r="L105" s="18"/>
    </row>
    <row r="106" hidden="1">
      <c r="A106" s="2">
        <f>IFERROR(__xludf.DUMMYFUNCTION("""COMPUTED_VALUE"""),122828.0)</f>
        <v>122828</v>
      </c>
      <c r="B106" s="2">
        <f>IFERROR(__xludf.DUMMYFUNCTION("""COMPUTED_VALUE"""),1.0)</f>
        <v>1</v>
      </c>
      <c r="C106" s="2">
        <f>IFERROR(__xludf.DUMMYFUNCTION("""COMPUTED_VALUE"""),101.0)</f>
        <v>101</v>
      </c>
      <c r="D106" s="3">
        <f>IFERROR(__xludf.DUMMYFUNCTION("""COMPUTED_VALUE"""),58.0)</f>
        <v>58</v>
      </c>
      <c r="E106" s="1" t="str">
        <f t="array" ref="E106">_xlfn.XLOOKUP(A106,Product!A:A,Product!B:B,"Bulunamadı")</f>
        <v>History</v>
      </c>
      <c r="F106" s="1" t="str">
        <f t="array" ref="F106">_xlfn.XLOOKUP(A106,Product!A:A,Product!C:C,"Bulunamadı")</f>
        <v>Epic Fantasy</v>
      </c>
      <c r="G106" s="2" t="str">
        <f t="array" ref="G106">_xlfn.XLOOKUP(A107,Product!A:A,Product!D:D,"Bulunamadı")</f>
        <v>Summit Ridge Press</v>
      </c>
      <c r="H106" s="2">
        <f t="array" ref="H106">_xlfn.XLOOKUP(A108,Product!A:A,Product!E:E,"Bulunamadı")</f>
        <v>1.4</v>
      </c>
      <c r="I106" s="2" t="str">
        <f t="shared" si="1"/>
        <v>122828 - History - Epic Fantasy</v>
      </c>
      <c r="J106" s="2">
        <f t="shared" si="2"/>
        <v>81.2</v>
      </c>
      <c r="K106" s="17">
        <f t="shared" si="3"/>
        <v>1</v>
      </c>
      <c r="L106" s="18"/>
    </row>
    <row r="107" hidden="1">
      <c r="A107" s="2">
        <f>IFERROR(__xludf.DUMMYFUNCTION("""COMPUTED_VALUE"""),73841.0)</f>
        <v>73841</v>
      </c>
      <c r="B107" s="2">
        <f>IFERROR(__xludf.DUMMYFUNCTION("""COMPUTED_VALUE"""),1.0)</f>
        <v>1</v>
      </c>
      <c r="C107" s="2">
        <f>IFERROR(__xludf.DUMMYFUNCTION("""COMPUTED_VALUE"""),357.0)</f>
        <v>357</v>
      </c>
      <c r="D107" s="3">
        <f>IFERROR(__xludf.DUMMYFUNCTION("""COMPUTED_VALUE"""),42.0)</f>
        <v>42</v>
      </c>
      <c r="E107" s="1" t="str">
        <f t="array" ref="E107">_xlfn.XLOOKUP(A107,Product!A:A,Product!B:B,"Bulunamadı")</f>
        <v>History</v>
      </c>
      <c r="F107" s="1" t="str">
        <f t="array" ref="F107">_xlfn.XLOOKUP(A107,Product!A:A,Product!C:C,"Bulunamadı")</f>
        <v>Epic Fantasy</v>
      </c>
      <c r="G107" s="2" t="str">
        <f t="array" ref="G107">_xlfn.XLOOKUP(A108,Product!A:A,Product!D:D,"Bulunamadı")</f>
        <v>Pioneer Books</v>
      </c>
      <c r="H107" s="2">
        <f t="array" ref="H107">_xlfn.XLOOKUP(A109,Product!A:A,Product!E:E,"Bulunamadı")</f>
        <v>3.46</v>
      </c>
      <c r="I107" s="2" t="str">
        <f t="shared" si="1"/>
        <v>73841 - History - Epic Fantasy</v>
      </c>
      <c r="J107" s="2">
        <f t="shared" si="2"/>
        <v>145.32</v>
      </c>
      <c r="K107" s="17">
        <f t="shared" si="3"/>
        <v>1</v>
      </c>
      <c r="L107" s="18"/>
    </row>
    <row r="108" hidden="1">
      <c r="A108" s="2">
        <f>IFERROR(__xludf.DUMMYFUNCTION("""COMPUTED_VALUE"""),73838.0)</f>
        <v>73838</v>
      </c>
      <c r="B108" s="2">
        <f>IFERROR(__xludf.DUMMYFUNCTION("""COMPUTED_VALUE"""),1.0)</f>
        <v>1</v>
      </c>
      <c r="C108" s="2">
        <f>IFERROR(__xludf.DUMMYFUNCTION("""COMPUTED_VALUE"""),371.0)</f>
        <v>371</v>
      </c>
      <c r="D108" s="3">
        <f>IFERROR(__xludf.DUMMYFUNCTION("""COMPUTED_VALUE"""),9.0)</f>
        <v>9</v>
      </c>
      <c r="E108" s="1" t="str">
        <f t="array" ref="E108">_xlfn.XLOOKUP(A108,Product!A:A,Product!B:B,"Bulunamadı")</f>
        <v>History</v>
      </c>
      <c r="F108" s="1" t="str">
        <f t="array" ref="F108">_xlfn.XLOOKUP(A108,Product!A:A,Product!C:C,"Bulunamadı")</f>
        <v>Epic Fantasy</v>
      </c>
      <c r="G108" s="2" t="str">
        <f t="array" ref="G108">_xlfn.XLOOKUP(A109,Product!A:A,Product!D:D,"Bulunamadı")</f>
        <v>Liberty Hill Publishing</v>
      </c>
      <c r="H108" s="2">
        <f t="array" ref="H108">_xlfn.XLOOKUP(A110,Product!A:A,Product!E:E,"Bulunamadı")</f>
        <v>3.3</v>
      </c>
      <c r="I108" s="2" t="str">
        <f t="shared" si="1"/>
        <v>73838 - History - Epic Fantasy</v>
      </c>
      <c r="J108" s="2">
        <f t="shared" si="2"/>
        <v>29.7</v>
      </c>
      <c r="K108" s="17">
        <f t="shared" si="3"/>
        <v>1</v>
      </c>
      <c r="L108" s="18"/>
    </row>
    <row r="109" hidden="1">
      <c r="A109" s="2">
        <f>IFERROR(__xludf.DUMMYFUNCTION("""COMPUTED_VALUE"""),87372.0)</f>
        <v>87372</v>
      </c>
      <c r="B109" s="2">
        <f>IFERROR(__xludf.DUMMYFUNCTION("""COMPUTED_VALUE"""),0.0)</f>
        <v>0</v>
      </c>
      <c r="C109" s="2">
        <f>IFERROR(__xludf.DUMMYFUNCTION("""COMPUTED_VALUE"""),540.0)</f>
        <v>540</v>
      </c>
      <c r="D109" s="3">
        <f>IFERROR(__xludf.DUMMYFUNCTION("""COMPUTED_VALUE"""),494.0)</f>
        <v>494</v>
      </c>
      <c r="E109" s="1" t="str">
        <f t="array" ref="E109">_xlfn.XLOOKUP(A109,Product!A:A,Product!B:B,"Bulunamadı")</f>
        <v>History</v>
      </c>
      <c r="F109" s="1" t="str">
        <f t="array" ref="F109">_xlfn.XLOOKUP(A109,Product!A:A,Product!C:C,"Bulunamadı")</f>
        <v>Epic Fantasy</v>
      </c>
      <c r="G109" s="2" t="str">
        <f t="array" ref="G109">_xlfn.XLOOKUP(A110,Product!A:A,Product!D:D,"Bulunamadı")</f>
        <v>Liberty Hill Publishing</v>
      </c>
      <c r="H109" s="2">
        <f t="array" ref="H109">_xlfn.XLOOKUP(A111,Product!A:A,Product!E:E,"Bulunamadı")</f>
        <v>7.2</v>
      </c>
      <c r="I109" s="2" t="str">
        <f t="shared" si="1"/>
        <v>87372 - History - Epic Fantasy</v>
      </c>
      <c r="J109" s="2">
        <f t="shared" si="2"/>
        <v>3556.8</v>
      </c>
      <c r="K109" s="17">
        <f t="shared" si="3"/>
        <v>1</v>
      </c>
      <c r="L109" s="18"/>
    </row>
    <row r="110" hidden="1">
      <c r="A110" s="2">
        <f>IFERROR(__xludf.DUMMYFUNCTION("""COMPUTED_VALUE"""),87383.0)</f>
        <v>87383</v>
      </c>
      <c r="B110" s="2">
        <f>IFERROR(__xludf.DUMMYFUNCTION("""COMPUTED_VALUE"""),1.0)</f>
        <v>1</v>
      </c>
      <c r="C110" s="2">
        <f>IFERROR(__xludf.DUMMYFUNCTION("""COMPUTED_VALUE"""),723.0)</f>
        <v>723</v>
      </c>
      <c r="D110" s="3">
        <f>IFERROR(__xludf.DUMMYFUNCTION("""COMPUTED_VALUE"""),60.0)</f>
        <v>60</v>
      </c>
      <c r="E110" s="1" t="str">
        <f t="array" ref="E110">_xlfn.XLOOKUP(A110,Product!A:A,Product!B:B,"Bulunamadı")</f>
        <v>History</v>
      </c>
      <c r="F110" s="1" t="str">
        <f t="array" ref="F110">_xlfn.XLOOKUP(A110,Product!A:A,Product!C:C,"Bulunamadı")</f>
        <v>Epic Fantasy</v>
      </c>
      <c r="G110" s="2" t="str">
        <f t="array" ref="G110">_xlfn.XLOOKUP(A111,Product!A:A,Product!D:D,"Bulunamadı")</f>
        <v>Morning Star Press</v>
      </c>
      <c r="H110" s="2">
        <f t="array" ref="H110">_xlfn.XLOOKUP(A112,Product!A:A,Product!E:E,"Bulunamadı")</f>
        <v>1.21</v>
      </c>
      <c r="I110" s="2" t="str">
        <f t="shared" si="1"/>
        <v>87383 - History - Epic Fantasy</v>
      </c>
      <c r="J110" s="2">
        <f t="shared" si="2"/>
        <v>72.6</v>
      </c>
      <c r="K110" s="17">
        <f t="shared" si="3"/>
        <v>1</v>
      </c>
      <c r="L110" s="18"/>
    </row>
    <row r="111" hidden="1">
      <c r="A111" s="2">
        <f>IFERROR(__xludf.DUMMYFUNCTION("""COMPUTED_VALUE"""),49068.0)</f>
        <v>49068</v>
      </c>
      <c r="B111" s="2">
        <f>IFERROR(__xludf.DUMMYFUNCTION("""COMPUTED_VALUE"""),1.0)</f>
        <v>1</v>
      </c>
      <c r="C111" s="2">
        <f>IFERROR(__xludf.DUMMYFUNCTION("""COMPUTED_VALUE"""),940.0)</f>
        <v>940</v>
      </c>
      <c r="D111" s="3">
        <f>IFERROR(__xludf.DUMMYFUNCTION("""COMPUTED_VALUE"""),26.0)</f>
        <v>26</v>
      </c>
      <c r="E111" s="1" t="str">
        <f t="array" ref="E111">_xlfn.XLOOKUP(A111,Product!A:A,Product!B:B,"Bulunamadı")</f>
        <v>History</v>
      </c>
      <c r="F111" s="1" t="str">
        <f t="array" ref="F111">_xlfn.XLOOKUP(A111,Product!A:A,Product!C:C,"Bulunamadı")</f>
        <v>Epic Fantasy</v>
      </c>
      <c r="G111" s="2" t="str">
        <f t="array" ref="G111">_xlfn.XLOOKUP(A112,Product!A:A,Product!D:D,"Bulunamadı")</f>
        <v>Westbridge Books</v>
      </c>
      <c r="H111" s="2">
        <f t="array" ref="H111">_xlfn.XLOOKUP(A113,Product!A:A,Product!E:E,"Bulunamadı")</f>
        <v>2.86</v>
      </c>
      <c r="I111" s="2" t="str">
        <f t="shared" si="1"/>
        <v>49068 - History - Epic Fantasy</v>
      </c>
      <c r="J111" s="2">
        <f t="shared" si="2"/>
        <v>74.36</v>
      </c>
      <c r="K111" s="17">
        <f t="shared" si="3"/>
        <v>1</v>
      </c>
      <c r="L111" s="18"/>
    </row>
    <row r="112" hidden="1">
      <c r="A112" s="2">
        <f>IFERROR(__xludf.DUMMYFUNCTION("""COMPUTED_VALUE"""),26130.0)</f>
        <v>26130</v>
      </c>
      <c r="B112" s="2">
        <f>IFERROR(__xludf.DUMMYFUNCTION("""COMPUTED_VALUE"""),1.0)</f>
        <v>1</v>
      </c>
      <c r="C112" s="2">
        <f>IFERROR(__xludf.DUMMYFUNCTION("""COMPUTED_VALUE"""),220.0)</f>
        <v>220</v>
      </c>
      <c r="D112" s="3">
        <f>IFERROR(__xludf.DUMMYFUNCTION("""COMPUTED_VALUE"""),152.0)</f>
        <v>152</v>
      </c>
      <c r="E112" s="1" t="str">
        <f t="array" ref="E112">_xlfn.XLOOKUP(A112,Product!A:A,Product!B:B,"Bulunamadı")</f>
        <v>History</v>
      </c>
      <c r="F112" s="1" t="str">
        <f t="array" ref="F112">_xlfn.XLOOKUP(A112,Product!A:A,Product!C:C,"Bulunamadı")</f>
        <v>Epic Fantasy</v>
      </c>
      <c r="G112" s="2" t="str">
        <f t="array" ref="G112">_xlfn.XLOOKUP(A113,Product!A:A,Product!D:D,"Bulunamadı")</f>
        <v>Oakridge Publishing</v>
      </c>
      <c r="H112" s="2">
        <f t="array" ref="H112">_xlfn.XLOOKUP(A114,Product!A:A,Product!E:E,"Bulunamadı")</f>
        <v>1.6</v>
      </c>
      <c r="I112" s="2" t="str">
        <f t="shared" si="1"/>
        <v>26130 - History - Epic Fantasy</v>
      </c>
      <c r="J112" s="2">
        <f t="shared" si="2"/>
        <v>243.2</v>
      </c>
      <c r="K112" s="17">
        <f t="shared" si="3"/>
        <v>1</v>
      </c>
      <c r="L112" s="18"/>
    </row>
    <row r="113" hidden="1">
      <c r="A113" s="2">
        <f>IFERROR(__xludf.DUMMYFUNCTION("""COMPUTED_VALUE"""),111493.0)</f>
        <v>111493</v>
      </c>
      <c r="B113" s="2">
        <f>IFERROR(__xludf.DUMMYFUNCTION("""COMPUTED_VALUE"""),0.0)</f>
        <v>0</v>
      </c>
      <c r="C113" s="2">
        <f>IFERROR(__xludf.DUMMYFUNCTION("""COMPUTED_VALUE"""),211.0)</f>
        <v>211</v>
      </c>
      <c r="D113" s="3">
        <f>IFERROR(__xludf.DUMMYFUNCTION("""COMPUTED_VALUE"""),142.0)</f>
        <v>142</v>
      </c>
      <c r="E113" s="1" t="str">
        <f t="array" ref="E113">_xlfn.XLOOKUP(A113,Product!A:A,Product!B:B,"Bulunamadı")</f>
        <v>History</v>
      </c>
      <c r="F113" s="1" t="str">
        <f t="array" ref="F113">_xlfn.XLOOKUP(A113,Product!A:A,Product!C:C,"Bulunamadı")</f>
        <v>Epic Fantasy</v>
      </c>
      <c r="G113" s="2" t="str">
        <f t="array" ref="G113">_xlfn.XLOOKUP(A114,Product!A:A,Product!D:D,"Bulunamadı")</f>
        <v>Oakridge Publishing</v>
      </c>
      <c r="H113" s="2">
        <f t="array" ref="H113">_xlfn.XLOOKUP(A115,Product!A:A,Product!E:E,"Bulunamadı")</f>
        <v>1.54</v>
      </c>
      <c r="I113" s="2" t="str">
        <f t="shared" si="1"/>
        <v>111493 - History - Epic Fantasy</v>
      </c>
      <c r="J113" s="2">
        <f t="shared" si="2"/>
        <v>218.68</v>
      </c>
      <c r="K113" s="17">
        <f t="shared" si="3"/>
        <v>1</v>
      </c>
      <c r="L113" s="18"/>
    </row>
    <row r="114" hidden="1">
      <c r="A114" s="2">
        <f>IFERROR(__xludf.DUMMYFUNCTION("""COMPUTED_VALUE"""),98395.0)</f>
        <v>98395</v>
      </c>
      <c r="B114" s="2">
        <f>IFERROR(__xludf.DUMMYFUNCTION("""COMPUTED_VALUE"""),1.0)</f>
        <v>1</v>
      </c>
      <c r="C114" s="2">
        <f>IFERROR(__xludf.DUMMYFUNCTION("""COMPUTED_VALUE"""),598.0)</f>
        <v>598</v>
      </c>
      <c r="D114" s="3">
        <f>IFERROR(__xludf.DUMMYFUNCTION("""COMPUTED_VALUE"""),47.0)</f>
        <v>47</v>
      </c>
      <c r="E114" s="1" t="str">
        <f t="array" ref="E114">_xlfn.XLOOKUP(A114,Product!A:A,Product!B:B,"Bulunamadı")</f>
        <v>History</v>
      </c>
      <c r="F114" s="1" t="str">
        <f t="array" ref="F114">_xlfn.XLOOKUP(A114,Product!A:A,Product!C:C,"Bulunamadı")</f>
        <v>Epic Fantasy</v>
      </c>
      <c r="G114" s="2" t="str">
        <f t="array" ref="G114">_xlfn.XLOOKUP(A115,Product!A:A,Product!D:D,"Bulunamadı")</f>
        <v>Oakridge Publishing</v>
      </c>
      <c r="H114" s="2">
        <f t="array" ref="H114">_xlfn.XLOOKUP(A116,Product!A:A,Product!E:E,"Bulunamadı")</f>
        <v>1.61</v>
      </c>
      <c r="I114" s="2" t="str">
        <f t="shared" si="1"/>
        <v>98395 - History - Epic Fantasy</v>
      </c>
      <c r="J114" s="2">
        <f t="shared" si="2"/>
        <v>75.67</v>
      </c>
      <c r="K114" s="17">
        <f t="shared" si="3"/>
        <v>1</v>
      </c>
      <c r="L114" s="18"/>
    </row>
    <row r="115" hidden="1">
      <c r="A115" s="2">
        <f>IFERROR(__xludf.DUMMYFUNCTION("""COMPUTED_VALUE"""),98396.0)</f>
        <v>98396</v>
      </c>
      <c r="B115" s="2">
        <f>IFERROR(__xludf.DUMMYFUNCTION("""COMPUTED_VALUE"""),1.0)</f>
        <v>1</v>
      </c>
      <c r="C115" s="2">
        <f>IFERROR(__xludf.DUMMYFUNCTION("""COMPUTED_VALUE"""),576.0)</f>
        <v>576</v>
      </c>
      <c r="D115" s="3">
        <f>IFERROR(__xludf.DUMMYFUNCTION("""COMPUTED_VALUE"""),80.0)</f>
        <v>80</v>
      </c>
      <c r="E115" s="1" t="str">
        <f t="array" ref="E115">_xlfn.XLOOKUP(A115,Product!A:A,Product!B:B,"Bulunamadı")</f>
        <v>History</v>
      </c>
      <c r="F115" s="1" t="str">
        <f t="array" ref="F115">_xlfn.XLOOKUP(A115,Product!A:A,Product!C:C,"Bulunamadı")</f>
        <v>Epic Fantasy</v>
      </c>
      <c r="G115" s="2" t="str">
        <f t="array" ref="G115">_xlfn.XLOOKUP(A116,Product!A:A,Product!D:D,"Bulunamadı")</f>
        <v>Oakridge Publishing</v>
      </c>
      <c r="H115" s="2">
        <f t="array" ref="H115">_xlfn.XLOOKUP(A117,Product!A:A,Product!E:E,"Bulunamadı")</f>
        <v>1.61</v>
      </c>
      <c r="I115" s="2" t="str">
        <f t="shared" si="1"/>
        <v>98396 - History - Epic Fantasy</v>
      </c>
      <c r="J115" s="2">
        <f t="shared" si="2"/>
        <v>128.8</v>
      </c>
      <c r="K115" s="17">
        <f t="shared" si="3"/>
        <v>1</v>
      </c>
      <c r="L115" s="18"/>
    </row>
    <row r="116" hidden="1">
      <c r="A116" s="2">
        <f>IFERROR(__xludf.DUMMYFUNCTION("""COMPUTED_VALUE"""),98394.0)</f>
        <v>98394</v>
      </c>
      <c r="B116" s="2">
        <f>IFERROR(__xludf.DUMMYFUNCTION("""COMPUTED_VALUE"""),1.0)</f>
        <v>1</v>
      </c>
      <c r="C116" s="2">
        <f>IFERROR(__xludf.DUMMYFUNCTION("""COMPUTED_VALUE"""),408.0)</f>
        <v>408</v>
      </c>
      <c r="D116" s="3">
        <f>IFERROR(__xludf.DUMMYFUNCTION("""COMPUTED_VALUE"""),400.0)</f>
        <v>400</v>
      </c>
      <c r="E116" s="1" t="str">
        <f t="array" ref="E116">_xlfn.XLOOKUP(A116,Product!A:A,Product!B:B,"Bulunamadı")</f>
        <v>History</v>
      </c>
      <c r="F116" s="1" t="str">
        <f t="array" ref="F116">_xlfn.XLOOKUP(A116,Product!A:A,Product!C:C,"Bulunamadı")</f>
        <v>Epic Fantasy</v>
      </c>
      <c r="G116" s="2" t="str">
        <f t="array" ref="G116">_xlfn.XLOOKUP(A117,Product!A:A,Product!D:D,"Bulunamadı")</f>
        <v>Oakridge Publishing</v>
      </c>
      <c r="H116" s="2">
        <f t="array" ref="H116">_xlfn.XLOOKUP(A118,Product!A:A,Product!E:E,"Bulunamadı")</f>
        <v>1.4</v>
      </c>
      <c r="I116" s="2" t="str">
        <f t="shared" si="1"/>
        <v>98394 - History - Epic Fantasy</v>
      </c>
      <c r="J116" s="2">
        <f t="shared" si="2"/>
        <v>560</v>
      </c>
      <c r="K116" s="17">
        <f t="shared" si="3"/>
        <v>1</v>
      </c>
      <c r="L116" s="18"/>
    </row>
    <row r="117" hidden="1">
      <c r="A117" s="2">
        <f>IFERROR(__xludf.DUMMYFUNCTION("""COMPUTED_VALUE"""),98397.0)</f>
        <v>98397</v>
      </c>
      <c r="B117" s="2">
        <f>IFERROR(__xludf.DUMMYFUNCTION("""COMPUTED_VALUE"""),1.0)</f>
        <v>1</v>
      </c>
      <c r="C117" s="2">
        <f>IFERROR(__xludf.DUMMYFUNCTION("""COMPUTED_VALUE"""),257.0)</f>
        <v>257</v>
      </c>
      <c r="D117" s="3">
        <f>IFERROR(__xludf.DUMMYFUNCTION("""COMPUTED_VALUE"""),81.0)</f>
        <v>81</v>
      </c>
      <c r="E117" s="1" t="str">
        <f t="array" ref="E117">_xlfn.XLOOKUP(A117,Product!A:A,Product!B:B,"Bulunamadı")</f>
        <v>History</v>
      </c>
      <c r="F117" s="1" t="str">
        <f t="array" ref="F117">_xlfn.XLOOKUP(A117,Product!A:A,Product!C:C,"Bulunamadı")</f>
        <v>Epic Fantasy</v>
      </c>
      <c r="G117" s="2" t="str">
        <f t="array" ref="G117">_xlfn.XLOOKUP(A118,Product!A:A,Product!D:D,"Bulunamadı")</f>
        <v>Oakridge Publishing</v>
      </c>
      <c r="H117" s="2">
        <f t="array" ref="H117">_xlfn.XLOOKUP(A119,Product!A:A,Product!E:E,"Bulunamadı")</f>
        <v>1.38</v>
      </c>
      <c r="I117" s="2" t="str">
        <f t="shared" si="1"/>
        <v>98397 - History - Epic Fantasy</v>
      </c>
      <c r="J117" s="2">
        <f t="shared" si="2"/>
        <v>111.78</v>
      </c>
      <c r="K117" s="17">
        <f t="shared" si="3"/>
        <v>1</v>
      </c>
      <c r="L117" s="18"/>
    </row>
    <row r="118" hidden="1">
      <c r="A118" s="2">
        <f>IFERROR(__xludf.DUMMYFUNCTION("""COMPUTED_VALUE"""),111489.0)</f>
        <v>111489</v>
      </c>
      <c r="B118" s="2">
        <f>IFERROR(__xludf.DUMMYFUNCTION("""COMPUTED_VALUE"""),1.0)</f>
        <v>1</v>
      </c>
      <c r="C118" s="2">
        <f>IFERROR(__xludf.DUMMYFUNCTION("""COMPUTED_VALUE"""),44.0)</f>
        <v>44</v>
      </c>
      <c r="D118" s="3">
        <f>IFERROR(__xludf.DUMMYFUNCTION("""COMPUTED_VALUE"""),37.0)</f>
        <v>37</v>
      </c>
      <c r="E118" s="1" t="str">
        <f t="array" ref="E118">_xlfn.XLOOKUP(A118,Product!A:A,Product!B:B,"Bulunamadı")</f>
        <v>History</v>
      </c>
      <c r="F118" s="1" t="str">
        <f t="array" ref="F118">_xlfn.XLOOKUP(A118,Product!A:A,Product!C:C,"Bulunamadı")</f>
        <v>Epic Fantasy</v>
      </c>
      <c r="G118" s="2" t="str">
        <f t="array" ref="G118">_xlfn.XLOOKUP(A119,Product!A:A,Product!D:D,"Bulunamadı")</f>
        <v>Oakridge Publishing</v>
      </c>
      <c r="H118" s="2">
        <f t="array" ref="H118">_xlfn.XLOOKUP(A120,Product!A:A,Product!E:E,"Bulunamadı")</f>
        <v>13.99</v>
      </c>
      <c r="I118" s="2" t="str">
        <f t="shared" si="1"/>
        <v>111489 - History - Epic Fantasy</v>
      </c>
      <c r="J118" s="2">
        <f t="shared" si="2"/>
        <v>517.63</v>
      </c>
      <c r="K118" s="17">
        <f t="shared" si="3"/>
        <v>1</v>
      </c>
      <c r="L118" s="18"/>
    </row>
    <row r="119" hidden="1">
      <c r="A119" s="2">
        <f>IFERROR(__xludf.DUMMYFUNCTION("""COMPUTED_VALUE"""),98393.0)</f>
        <v>98393</v>
      </c>
      <c r="B119" s="2">
        <f>IFERROR(__xludf.DUMMYFUNCTION("""COMPUTED_VALUE"""),0.0)</f>
        <v>0</v>
      </c>
      <c r="C119" s="2">
        <f>IFERROR(__xludf.DUMMYFUNCTION("""COMPUTED_VALUE"""),690.0)</f>
        <v>690</v>
      </c>
      <c r="D119" s="3">
        <f>IFERROR(__xludf.DUMMYFUNCTION("""COMPUTED_VALUE"""),117.0)</f>
        <v>117</v>
      </c>
      <c r="E119" s="1" t="str">
        <f t="array" ref="E119">_xlfn.XLOOKUP(A119,Product!A:A,Product!B:B,"Bulunamadı")</f>
        <v>History</v>
      </c>
      <c r="F119" s="1" t="str">
        <f t="array" ref="F119">_xlfn.XLOOKUP(A119,Product!A:A,Product!C:C,"Bulunamadı")</f>
        <v>Epic Fantasy</v>
      </c>
      <c r="G119" s="2" t="str">
        <f t="array" ref="G119">_xlfn.XLOOKUP(A120,Product!A:A,Product!D:D,"Bulunamadı")</f>
        <v>North Star Books</v>
      </c>
      <c r="H119" s="2">
        <f t="array" ref="H119">_xlfn.XLOOKUP(A121,Product!A:A,Product!E:E,"Bulunamadı")</f>
        <v>5.01</v>
      </c>
      <c r="I119" s="2" t="str">
        <f t="shared" si="1"/>
        <v>98393 - History - Epic Fantasy</v>
      </c>
      <c r="J119" s="2">
        <f t="shared" si="2"/>
        <v>586.17</v>
      </c>
      <c r="K119" s="17">
        <f t="shared" si="3"/>
        <v>1</v>
      </c>
      <c r="L119" s="18"/>
    </row>
    <row r="120" hidden="1">
      <c r="A120" s="2">
        <f>IFERROR(__xludf.DUMMYFUNCTION("""COMPUTED_VALUE"""),10933.0)</f>
        <v>10933</v>
      </c>
      <c r="B120" s="2">
        <f>IFERROR(__xludf.DUMMYFUNCTION("""COMPUTED_VALUE"""),0.0)</f>
        <v>0</v>
      </c>
      <c r="C120" s="2">
        <f>IFERROR(__xludf.DUMMYFUNCTION("""COMPUTED_VALUE"""),641.0)</f>
        <v>641</v>
      </c>
      <c r="D120" s="3">
        <f>IFERROR(__xludf.DUMMYFUNCTION("""COMPUTED_VALUE"""),145.0)</f>
        <v>145</v>
      </c>
      <c r="E120" s="1" t="str">
        <f t="array" ref="E120">_xlfn.XLOOKUP(A120,Product!A:A,Product!B:B,"Bulunamadı")</f>
        <v>Self-Help</v>
      </c>
      <c r="F120" s="1" t="str">
        <f t="array" ref="F120">_xlfn.XLOOKUP(A120,Product!A:A,Product!C:C,"Bulunamadı")</f>
        <v>Urban Fantasy</v>
      </c>
      <c r="G120" s="2" t="str">
        <f t="array" ref="G120">_xlfn.XLOOKUP(A121,Product!A:A,Product!D:D,"Bulunamadı")</f>
        <v>White River Press</v>
      </c>
      <c r="H120" s="2">
        <f t="array" ref="H120">_xlfn.XLOOKUP(A122,Product!A:A,Product!E:E,"Bulunamadı")</f>
        <v>4.79</v>
      </c>
      <c r="I120" s="2" t="str">
        <f t="shared" si="1"/>
        <v>10933 - Self-Help - Urban Fantasy</v>
      </c>
      <c r="J120" s="2">
        <f t="shared" si="2"/>
        <v>694.55</v>
      </c>
      <c r="K120" s="17">
        <f t="shared" si="3"/>
        <v>1</v>
      </c>
      <c r="L120" s="18"/>
    </row>
    <row r="121" hidden="1">
      <c r="A121" s="2">
        <f>IFERROR(__xludf.DUMMYFUNCTION("""COMPUTED_VALUE"""),111994.0)</f>
        <v>111994</v>
      </c>
      <c r="B121" s="2">
        <f>IFERROR(__xludf.DUMMYFUNCTION("""COMPUTED_VALUE"""),0.0)</f>
        <v>0</v>
      </c>
      <c r="C121" s="2">
        <f>IFERROR(__xludf.DUMMYFUNCTION("""COMPUTED_VALUE"""),868.0)</f>
        <v>868</v>
      </c>
      <c r="D121" s="3">
        <f>IFERROR(__xludf.DUMMYFUNCTION("""COMPUTED_VALUE"""),726.0)</f>
        <v>726</v>
      </c>
      <c r="E121" s="1" t="str">
        <f t="array" ref="E121">_xlfn.XLOOKUP(A121,Product!A:A,Product!B:B,"Bulunamadı")</f>
        <v>Self-Help</v>
      </c>
      <c r="F121" s="1" t="str">
        <f t="array" ref="F121">_xlfn.XLOOKUP(A121,Product!A:A,Product!C:C,"Bulunamadı")</f>
        <v>Urban Fantasy</v>
      </c>
      <c r="G121" s="2" t="str">
        <f t="array" ref="G121">_xlfn.XLOOKUP(A122,Product!A:A,Product!D:D,"Bulunamadı")</f>
        <v>White River Press</v>
      </c>
      <c r="H121" s="2">
        <f t="array" ref="H121">_xlfn.XLOOKUP(A123,Product!A:A,Product!E:E,"Bulunamadı")</f>
        <v>4.64</v>
      </c>
      <c r="I121" s="2" t="str">
        <f t="shared" si="1"/>
        <v>111994 - Self-Help - Urban Fantasy</v>
      </c>
      <c r="J121" s="2">
        <f t="shared" si="2"/>
        <v>3368.64</v>
      </c>
      <c r="K121" s="17">
        <f t="shared" si="3"/>
        <v>1</v>
      </c>
      <c r="L121" s="18"/>
    </row>
    <row r="122" hidden="1">
      <c r="A122" s="2">
        <f>IFERROR(__xludf.DUMMYFUNCTION("""COMPUTED_VALUE"""),101637.0)</f>
        <v>101637</v>
      </c>
      <c r="B122" s="2">
        <f>IFERROR(__xludf.DUMMYFUNCTION("""COMPUTED_VALUE"""),1.0)</f>
        <v>1</v>
      </c>
      <c r="C122" s="2">
        <f>IFERROR(__xludf.DUMMYFUNCTION("""COMPUTED_VALUE"""),260.0)</f>
        <v>260</v>
      </c>
      <c r="D122" s="3">
        <f>IFERROR(__xludf.DUMMYFUNCTION("""COMPUTED_VALUE"""),104.0)</f>
        <v>104</v>
      </c>
      <c r="E122" s="1" t="str">
        <f t="array" ref="E122">_xlfn.XLOOKUP(A122,Product!A:A,Product!B:B,"Bulunamadı")</f>
        <v>Self-Help</v>
      </c>
      <c r="F122" s="1" t="str">
        <f t="array" ref="F122">_xlfn.XLOOKUP(A122,Product!A:A,Product!C:C,"Bulunamadı")</f>
        <v>Urban Fantasy</v>
      </c>
      <c r="G122" s="2" t="str">
        <f t="array" ref="G122">_xlfn.XLOOKUP(A123,Product!A:A,Product!D:D,"Bulunamadı")</f>
        <v>White River Press</v>
      </c>
      <c r="H122" s="2">
        <f t="array" ref="H122">_xlfn.XLOOKUP(A124,Product!A:A,Product!E:E,"Bulunamadı")</f>
        <v>12.79</v>
      </c>
      <c r="I122" s="2" t="str">
        <f t="shared" si="1"/>
        <v>101637 - Self-Help - Urban Fantasy</v>
      </c>
      <c r="J122" s="2">
        <f t="shared" si="2"/>
        <v>1330.16</v>
      </c>
      <c r="K122" s="17">
        <f t="shared" si="3"/>
        <v>1</v>
      </c>
      <c r="L122" s="18"/>
    </row>
    <row r="123" hidden="1">
      <c r="A123" s="2">
        <f>IFERROR(__xludf.DUMMYFUNCTION("""COMPUTED_VALUE"""),111996.0)</f>
        <v>111996</v>
      </c>
      <c r="B123" s="2">
        <f>IFERROR(__xludf.DUMMYFUNCTION("""COMPUTED_VALUE"""),0.0)</f>
        <v>0</v>
      </c>
      <c r="C123" s="2">
        <f>IFERROR(__xludf.DUMMYFUNCTION("""COMPUTED_VALUE"""),499.0)</f>
        <v>499</v>
      </c>
      <c r="D123" s="3">
        <f>IFERROR(__xludf.DUMMYFUNCTION("""COMPUTED_VALUE"""),311.0)</f>
        <v>311</v>
      </c>
      <c r="E123" s="1" t="str">
        <f t="array" ref="E123">_xlfn.XLOOKUP(A123,Product!A:A,Product!B:B,"Bulunamadı")</f>
        <v>Self-Help</v>
      </c>
      <c r="F123" s="1" t="str">
        <f t="array" ref="F123">_xlfn.XLOOKUP(A123,Product!A:A,Product!C:C,"Bulunamadı")</f>
        <v>Urban Fantasy</v>
      </c>
      <c r="G123" s="2" t="str">
        <f t="array" ref="G123">_xlfn.XLOOKUP(A124,Product!A:A,Product!D:D,"Bulunamadı")</f>
        <v>Sunset Harbor Publishing</v>
      </c>
      <c r="H123" s="2">
        <f t="array" ref="H123">_xlfn.XLOOKUP(A125,Product!A:A,Product!E:E,"Bulunamadı")</f>
        <v>9.72</v>
      </c>
      <c r="I123" s="2" t="str">
        <f t="shared" si="1"/>
        <v>111996 - Self-Help - Urban Fantasy</v>
      </c>
      <c r="J123" s="2">
        <f t="shared" si="2"/>
        <v>3022.92</v>
      </c>
      <c r="K123" s="17">
        <f t="shared" si="3"/>
        <v>1</v>
      </c>
      <c r="L123" s="18"/>
    </row>
    <row r="124" hidden="1">
      <c r="A124" s="2">
        <f>IFERROR(__xludf.DUMMYFUNCTION("""COMPUTED_VALUE"""),120886.0)</f>
        <v>120886</v>
      </c>
      <c r="B124" s="2">
        <f>IFERROR(__xludf.DUMMYFUNCTION("""COMPUTED_VALUE"""),0.0)</f>
        <v>0</v>
      </c>
      <c r="C124" s="2">
        <f>IFERROR(__xludf.DUMMYFUNCTION("""COMPUTED_VALUE"""),629.0)</f>
        <v>629</v>
      </c>
      <c r="D124" s="3">
        <f>IFERROR(__xludf.DUMMYFUNCTION("""COMPUTED_VALUE"""),554.0)</f>
        <v>554</v>
      </c>
      <c r="E124" s="1" t="str">
        <f t="array" ref="E124">_xlfn.XLOOKUP(A124,Product!A:A,Product!B:B,"Bulunamadı")</f>
        <v>Fiction</v>
      </c>
      <c r="F124" s="1" t="str">
        <f t="array" ref="F124">_xlfn.XLOOKUP(A124,Product!A:A,Product!C:C,"Bulunamadı")</f>
        <v>Science Fiction</v>
      </c>
      <c r="G124" s="2" t="str">
        <f t="array" ref="G124">_xlfn.XLOOKUP(A125,Product!A:A,Product!D:D,"Bulunamadı")</f>
        <v>Green Valley Books</v>
      </c>
      <c r="H124" s="2">
        <f t="array" ref="H124">_xlfn.XLOOKUP(A126,Product!A:A,Product!E:E,"Bulunamadı")</f>
        <v>15.19</v>
      </c>
      <c r="I124" s="2" t="str">
        <f t="shared" si="1"/>
        <v>120886 - Fiction - Science Fiction</v>
      </c>
      <c r="J124" s="2">
        <f t="shared" si="2"/>
        <v>8415.26</v>
      </c>
      <c r="K124" s="17">
        <f t="shared" si="3"/>
        <v>1</v>
      </c>
      <c r="L124" s="18"/>
    </row>
    <row r="125" hidden="1">
      <c r="A125" s="2">
        <f>IFERROR(__xludf.DUMMYFUNCTION("""COMPUTED_VALUE"""),85058.0)</f>
        <v>85058</v>
      </c>
      <c r="B125" s="2">
        <f>IFERROR(__xludf.DUMMYFUNCTION("""COMPUTED_VALUE"""),0.0)</f>
        <v>0</v>
      </c>
      <c r="C125" s="2">
        <f>IFERROR(__xludf.DUMMYFUNCTION("""COMPUTED_VALUE"""),395.0)</f>
        <v>395</v>
      </c>
      <c r="D125" s="3">
        <f>IFERROR(__xludf.DUMMYFUNCTION("""COMPUTED_VALUE"""),374.0)</f>
        <v>374</v>
      </c>
      <c r="E125" s="1" t="str">
        <f t="array" ref="E125">_xlfn.XLOOKUP(A125,Product!A:A,Product!B:B,"Bulunamadı")</f>
        <v>Fiction</v>
      </c>
      <c r="F125" s="1" t="str">
        <f t="array" ref="F125">_xlfn.XLOOKUP(A125,Product!A:A,Product!C:C,"Bulunamadı")</f>
        <v>Science Fiction</v>
      </c>
      <c r="G125" s="2" t="str">
        <f t="array" ref="G125">_xlfn.XLOOKUP(A126,Product!A:A,Product!D:D,"Bulunamadı")</f>
        <v>Heritage Lane Press</v>
      </c>
      <c r="H125" s="2">
        <f t="array" ref="H125">_xlfn.XLOOKUP(A127,Product!A:A,Product!E:E,"Bulunamadı")</f>
        <v>11.94</v>
      </c>
      <c r="I125" s="2" t="str">
        <f t="shared" si="1"/>
        <v>85058 - Fiction - Science Fiction</v>
      </c>
      <c r="J125" s="2">
        <f t="shared" si="2"/>
        <v>4465.56</v>
      </c>
      <c r="K125" s="17">
        <f t="shared" si="3"/>
        <v>1</v>
      </c>
      <c r="L125" s="18"/>
    </row>
    <row r="126" hidden="1">
      <c r="A126" s="2">
        <f>IFERROR(__xludf.DUMMYFUNCTION("""COMPUTED_VALUE"""),27380.0)</f>
        <v>27380</v>
      </c>
      <c r="B126" s="2">
        <f>IFERROR(__xludf.DUMMYFUNCTION("""COMPUTED_VALUE"""),1.0)</f>
        <v>1</v>
      </c>
      <c r="C126" s="2">
        <f>IFERROR(__xludf.DUMMYFUNCTION("""COMPUTED_VALUE"""),142.0)</f>
        <v>142</v>
      </c>
      <c r="D126" s="3">
        <f>IFERROR(__xludf.DUMMYFUNCTION("""COMPUTED_VALUE"""),49.0)</f>
        <v>49</v>
      </c>
      <c r="E126" s="1" t="str">
        <f t="array" ref="E126">_xlfn.XLOOKUP(A126,Product!A:A,Product!B:B,"Bulunamadı")</f>
        <v>Fiction</v>
      </c>
      <c r="F126" s="1" t="str">
        <f t="array" ref="F126">_xlfn.XLOOKUP(A126,Product!A:A,Product!C:C,"Bulunamadı")</f>
        <v>Dystopian</v>
      </c>
      <c r="G126" s="2" t="str">
        <f t="array" ref="G126">_xlfn.XLOOKUP(A127,Product!A:A,Product!D:D,"Bulunamadı")</f>
        <v>Heritage Lane Press</v>
      </c>
      <c r="H126" s="2">
        <f t="array" ref="H126">_xlfn.XLOOKUP(A128,Product!A:A,Product!E:E,"Bulunamadı")</f>
        <v>14.68</v>
      </c>
      <c r="I126" s="2" t="str">
        <f t="shared" si="1"/>
        <v>27380 - Fiction - Dystopian</v>
      </c>
      <c r="J126" s="2">
        <f t="shared" si="2"/>
        <v>719.32</v>
      </c>
      <c r="K126" s="17">
        <f t="shared" si="3"/>
        <v>1</v>
      </c>
      <c r="L126" s="18"/>
    </row>
    <row r="127" hidden="1">
      <c r="A127" s="2">
        <f>IFERROR(__xludf.DUMMYFUNCTION("""COMPUTED_VALUE"""),117204.0)</f>
        <v>117204</v>
      </c>
      <c r="B127" s="2">
        <f>IFERROR(__xludf.DUMMYFUNCTION("""COMPUTED_VALUE"""),0.0)</f>
        <v>0</v>
      </c>
      <c r="C127" s="2">
        <f>IFERROR(__xludf.DUMMYFUNCTION("""COMPUTED_VALUE"""),41.0)</f>
        <v>41</v>
      </c>
      <c r="D127" s="3">
        <f>IFERROR(__xludf.DUMMYFUNCTION("""COMPUTED_VALUE"""),5.0)</f>
        <v>5</v>
      </c>
      <c r="E127" s="1" t="str">
        <f t="array" ref="E127">_xlfn.XLOOKUP(A127,Product!A:A,Product!B:B,"Bulunamadı")</f>
        <v>Fiction</v>
      </c>
      <c r="F127" s="1" t="str">
        <f t="array" ref="F127">_xlfn.XLOOKUP(A127,Product!A:A,Product!C:C,"Bulunamadı")</f>
        <v>Dystopian</v>
      </c>
      <c r="G127" s="2" t="str">
        <f t="array" ref="G127">_xlfn.XLOOKUP(A128,Product!A:A,Product!D:D,"Bulunamadı")</f>
        <v>Heritage Lane Press</v>
      </c>
      <c r="H127" s="2">
        <f t="array" ref="H127">_xlfn.XLOOKUP(A129,Product!A:A,Product!E:E,"Bulunamadı")</f>
        <v>21.78</v>
      </c>
      <c r="I127" s="2" t="str">
        <f t="shared" si="1"/>
        <v>117204 - Fiction - Dystopian</v>
      </c>
      <c r="J127" s="2">
        <f t="shared" si="2"/>
        <v>108.9</v>
      </c>
      <c r="K127" s="17">
        <f t="shared" si="3"/>
        <v>1</v>
      </c>
      <c r="L127" s="18"/>
    </row>
    <row r="128" hidden="1">
      <c r="A128" s="2">
        <f>IFERROR(__xludf.DUMMYFUNCTION("""COMPUTED_VALUE"""),45484.0)</f>
        <v>45484</v>
      </c>
      <c r="B128" s="2">
        <f>IFERROR(__xludf.DUMMYFUNCTION("""COMPUTED_VALUE"""),1.0)</f>
        <v>1</v>
      </c>
      <c r="C128" s="2">
        <f>IFERROR(__xludf.DUMMYFUNCTION("""COMPUTED_VALUE"""),847.0)</f>
        <v>847</v>
      </c>
      <c r="D128" s="3">
        <f>IFERROR(__xludf.DUMMYFUNCTION("""COMPUTED_VALUE"""),174.0)</f>
        <v>174</v>
      </c>
      <c r="E128" s="1" t="str">
        <f t="array" ref="E128">_xlfn.XLOOKUP(A128,Product!A:A,Product!B:B,"Bulunamadı")</f>
        <v>Fiction</v>
      </c>
      <c r="F128" s="1" t="str">
        <f t="array" ref="F128">_xlfn.XLOOKUP(A128,Product!A:A,Product!C:C,"Bulunamadı")</f>
        <v>Dystopian</v>
      </c>
      <c r="G128" s="2" t="str">
        <f t="array" ref="G128">_xlfn.XLOOKUP(A129,Product!A:A,Product!D:D,"Bulunamadı")</f>
        <v>Heritage Lane Press</v>
      </c>
      <c r="H128" s="2">
        <f t="array" ref="H128">_xlfn.XLOOKUP(A130,Product!A:A,Product!E:E,"Bulunamadı")</f>
        <v>19.88</v>
      </c>
      <c r="I128" s="2" t="str">
        <f t="shared" si="1"/>
        <v>45484 - Fiction - Dystopian</v>
      </c>
      <c r="J128" s="2">
        <f t="shared" si="2"/>
        <v>3459.12</v>
      </c>
      <c r="K128" s="17">
        <f t="shared" si="3"/>
        <v>1</v>
      </c>
      <c r="L128" s="18"/>
    </row>
    <row r="129" hidden="1">
      <c r="A129" s="2">
        <f>IFERROR(__xludf.DUMMYFUNCTION("""COMPUTED_VALUE"""),27382.0)</f>
        <v>27382</v>
      </c>
      <c r="B129" s="2">
        <f>IFERROR(__xludf.DUMMYFUNCTION("""COMPUTED_VALUE"""),0.0)</f>
        <v>0</v>
      </c>
      <c r="C129" s="2">
        <f>IFERROR(__xludf.DUMMYFUNCTION("""COMPUTED_VALUE"""),951.0)</f>
        <v>951</v>
      </c>
      <c r="D129" s="3">
        <f>IFERROR(__xludf.DUMMYFUNCTION("""COMPUTED_VALUE"""),256.0)</f>
        <v>256</v>
      </c>
      <c r="E129" s="1" t="str">
        <f t="array" ref="E129">_xlfn.XLOOKUP(A129,Product!A:A,Product!B:B,"Bulunamadı")</f>
        <v>Fiction</v>
      </c>
      <c r="F129" s="1" t="str">
        <f t="array" ref="F129">_xlfn.XLOOKUP(A129,Product!A:A,Product!C:C,"Bulunamadı")</f>
        <v>Dystopian</v>
      </c>
      <c r="G129" s="2" t="str">
        <f t="array" ref="G129">_xlfn.XLOOKUP(A130,Product!A:A,Product!D:D,"Bulunamadı")</f>
        <v>Heritage Lane Press</v>
      </c>
      <c r="H129" s="2">
        <f t="array" ref="H129">_xlfn.XLOOKUP(A131,Product!A:A,Product!E:E,"Bulunamadı")</f>
        <v>28.77</v>
      </c>
      <c r="I129" s="2" t="str">
        <f t="shared" si="1"/>
        <v>27382 - Fiction - Dystopian</v>
      </c>
      <c r="J129" s="2">
        <f t="shared" si="2"/>
        <v>7365.12</v>
      </c>
      <c r="K129" s="17">
        <f t="shared" si="3"/>
        <v>1</v>
      </c>
      <c r="L129" s="18"/>
    </row>
    <row r="130" hidden="1">
      <c r="A130" s="2">
        <f>IFERROR(__xludf.DUMMYFUNCTION("""COMPUTED_VALUE"""),45491.0)</f>
        <v>45491</v>
      </c>
      <c r="B130" s="2">
        <f>IFERROR(__xludf.DUMMYFUNCTION("""COMPUTED_VALUE"""),0.0)</f>
        <v>0</v>
      </c>
      <c r="C130" s="2">
        <f>IFERROR(__xludf.DUMMYFUNCTION("""COMPUTED_VALUE"""),252.0)</f>
        <v>252</v>
      </c>
      <c r="D130" s="3">
        <f>IFERROR(__xludf.DUMMYFUNCTION("""COMPUTED_VALUE"""),230.0)</f>
        <v>230</v>
      </c>
      <c r="E130" s="1" t="str">
        <f t="array" ref="E130">_xlfn.XLOOKUP(A130,Product!A:A,Product!B:B,"Bulunamadı")</f>
        <v>Fiction</v>
      </c>
      <c r="F130" s="1" t="str">
        <f t="array" ref="F130">_xlfn.XLOOKUP(A130,Product!A:A,Product!C:C,"Bulunamadı")</f>
        <v>Dystopian</v>
      </c>
      <c r="G130" s="2" t="str">
        <f t="array" ref="G130">_xlfn.XLOOKUP(A131,Product!A:A,Product!D:D,"Bulunamadı")</f>
        <v>Heritage Lane Press</v>
      </c>
      <c r="H130" s="2">
        <f t="array" ref="H130">_xlfn.XLOOKUP(A132,Product!A:A,Product!E:E,"Bulunamadı")</f>
        <v>21.97</v>
      </c>
      <c r="I130" s="2" t="str">
        <f t="shared" si="1"/>
        <v>45491 - Fiction - Dystopian</v>
      </c>
      <c r="J130" s="2">
        <f t="shared" si="2"/>
        <v>5053.1</v>
      </c>
      <c r="K130" s="17">
        <f t="shared" si="3"/>
        <v>1</v>
      </c>
      <c r="L130" s="18"/>
    </row>
    <row r="131" hidden="1">
      <c r="A131" s="2">
        <f>IFERROR(__xludf.DUMMYFUNCTION("""COMPUTED_VALUE"""),11631.0)</f>
        <v>11631</v>
      </c>
      <c r="B131" s="2">
        <f>IFERROR(__xludf.DUMMYFUNCTION("""COMPUTED_VALUE"""),0.0)</f>
        <v>0</v>
      </c>
      <c r="C131" s="2">
        <f>IFERROR(__xludf.DUMMYFUNCTION("""COMPUTED_VALUE"""),800.0)</f>
        <v>800</v>
      </c>
      <c r="D131" s="3">
        <f>IFERROR(__xludf.DUMMYFUNCTION("""COMPUTED_VALUE"""),499.0)</f>
        <v>499</v>
      </c>
      <c r="E131" s="1" t="str">
        <f t="array" ref="E131">_xlfn.XLOOKUP(A131,Product!A:A,Product!B:B,"Bulunamadı")</f>
        <v>Fiction</v>
      </c>
      <c r="F131" s="1" t="str">
        <f t="array" ref="F131">_xlfn.XLOOKUP(A131,Product!A:A,Product!C:C,"Bulunamadı")</f>
        <v>Dystopian</v>
      </c>
      <c r="G131" s="2" t="str">
        <f t="array" ref="G131">_xlfn.XLOOKUP(A132,Product!A:A,Product!D:D,"Bulunamadı")</f>
        <v>Heritage Lane Press</v>
      </c>
      <c r="H131" s="2">
        <f t="array" ref="H131">_xlfn.XLOOKUP(A133,Product!A:A,Product!E:E,"Bulunamadı")</f>
        <v>6.41</v>
      </c>
      <c r="I131" s="2" t="str">
        <f t="shared" si="1"/>
        <v>11631 - Fiction - Dystopian</v>
      </c>
      <c r="J131" s="2">
        <f t="shared" si="2"/>
        <v>3198.59</v>
      </c>
      <c r="K131" s="17">
        <f t="shared" si="3"/>
        <v>1</v>
      </c>
      <c r="L131" s="18"/>
    </row>
    <row r="132" hidden="1">
      <c r="A132" s="2">
        <f>IFERROR(__xludf.DUMMYFUNCTION("""COMPUTED_VALUE"""),11630.0)</f>
        <v>11630</v>
      </c>
      <c r="B132" s="2">
        <f>IFERROR(__xludf.DUMMYFUNCTION("""COMPUTED_VALUE"""),1.0)</f>
        <v>1</v>
      </c>
      <c r="C132" s="2">
        <f>IFERROR(__xludf.DUMMYFUNCTION("""COMPUTED_VALUE"""),461.0)</f>
        <v>461</v>
      </c>
      <c r="D132" s="3">
        <f>IFERROR(__xludf.DUMMYFUNCTION("""COMPUTED_VALUE"""),212.0)</f>
        <v>212</v>
      </c>
      <c r="E132" s="1" t="str">
        <f t="array" ref="E132">_xlfn.XLOOKUP(A132,Product!A:A,Product!B:B,"Bulunamadı")</f>
        <v>Fiction</v>
      </c>
      <c r="F132" s="1" t="str">
        <f t="array" ref="F132">_xlfn.XLOOKUP(A132,Product!A:A,Product!C:C,"Bulunamadı")</f>
        <v>Dystopian</v>
      </c>
      <c r="G132" s="2" t="str">
        <f t="array" ref="G132">_xlfn.XLOOKUP(A133,Product!A:A,Product!D:D,"Bulunamadı")</f>
        <v>Fox Hollow Publishing</v>
      </c>
      <c r="H132" s="2">
        <f t="array" ref="H132">_xlfn.XLOOKUP(A134,Product!A:A,Product!E:E,"Bulunamadı")</f>
        <v>6.98</v>
      </c>
      <c r="I132" s="2" t="str">
        <f t="shared" si="1"/>
        <v>11630 - Fiction - Dystopian</v>
      </c>
      <c r="J132" s="2">
        <f t="shared" si="2"/>
        <v>1479.76</v>
      </c>
      <c r="K132" s="17">
        <f t="shared" si="3"/>
        <v>1</v>
      </c>
      <c r="L132" s="18"/>
    </row>
    <row r="133" hidden="1">
      <c r="A133" s="2">
        <f>IFERROR(__xludf.DUMMYFUNCTION("""COMPUTED_VALUE"""),11634.0)</f>
        <v>11634</v>
      </c>
      <c r="B133" s="2">
        <f>IFERROR(__xludf.DUMMYFUNCTION("""COMPUTED_VALUE"""),0.0)</f>
        <v>0</v>
      </c>
      <c r="C133" s="2">
        <f>IFERROR(__xludf.DUMMYFUNCTION("""COMPUTED_VALUE"""),697.0)</f>
        <v>697</v>
      </c>
      <c r="D133" s="3">
        <f>IFERROR(__xludf.DUMMYFUNCTION("""COMPUTED_VALUE"""),205.0)</f>
        <v>205</v>
      </c>
      <c r="E133" s="1" t="str">
        <f t="array" ref="E133">_xlfn.XLOOKUP(A133,Product!A:A,Product!B:B,"Bulunamadı")</f>
        <v>Fiction</v>
      </c>
      <c r="F133" s="1" t="str">
        <f t="array" ref="F133">_xlfn.XLOOKUP(A133,Product!A:A,Product!C:C,"Bulunamadı")</f>
        <v>Dystopian</v>
      </c>
      <c r="G133" s="2" t="str">
        <f t="array" ref="G133">_xlfn.XLOOKUP(A134,Product!A:A,Product!D:D,"Bulunamadı")</f>
        <v>Fox Hollow Publishing</v>
      </c>
      <c r="H133" s="2">
        <f t="array" ref="H133">_xlfn.XLOOKUP(A135,Product!A:A,Product!E:E,"Bulunamadı")</f>
        <v>13.25</v>
      </c>
      <c r="I133" s="2" t="str">
        <f t="shared" si="1"/>
        <v>11634 - Fiction - Dystopian</v>
      </c>
      <c r="J133" s="2">
        <f t="shared" si="2"/>
        <v>2716.25</v>
      </c>
      <c r="K133" s="17">
        <f t="shared" si="3"/>
        <v>1</v>
      </c>
      <c r="L133" s="18"/>
    </row>
    <row r="134" hidden="1">
      <c r="A134" s="2">
        <f>IFERROR(__xludf.DUMMYFUNCTION("""COMPUTED_VALUE"""),11635.0)</f>
        <v>11635</v>
      </c>
      <c r="B134" s="2">
        <f>IFERROR(__xludf.DUMMYFUNCTION("""COMPUTED_VALUE"""),0.0)</f>
        <v>0</v>
      </c>
      <c r="C134" s="2">
        <f>IFERROR(__xludf.DUMMYFUNCTION("""COMPUTED_VALUE"""),335.0)</f>
        <v>335</v>
      </c>
      <c r="D134" s="3">
        <f>IFERROR(__xludf.DUMMYFUNCTION("""COMPUTED_VALUE"""),207.0)</f>
        <v>207</v>
      </c>
      <c r="E134" s="1" t="str">
        <f t="array" ref="E134">_xlfn.XLOOKUP(A134,Product!A:A,Product!B:B,"Bulunamadı")</f>
        <v>Fiction</v>
      </c>
      <c r="F134" s="1" t="str">
        <f t="array" ref="F134">_xlfn.XLOOKUP(A134,Product!A:A,Product!C:C,"Bulunamadı")</f>
        <v>Dystopian</v>
      </c>
      <c r="G134" s="2" t="str">
        <f t="array" ref="G134">_xlfn.XLOOKUP(A135,Product!A:A,Product!D:D,"Bulunamadı")</f>
        <v>Clearwater Books</v>
      </c>
      <c r="H134" s="2">
        <f t="array" ref="H134">_xlfn.XLOOKUP(A136,Product!A:A,Product!E:E,"Bulunamadı")</f>
        <v>46.56</v>
      </c>
      <c r="I134" s="2" t="str">
        <f t="shared" si="1"/>
        <v>11635 - Fiction - Dystopian</v>
      </c>
      <c r="J134" s="2">
        <f t="shared" si="2"/>
        <v>9637.92</v>
      </c>
      <c r="K134" s="17">
        <f t="shared" si="3"/>
        <v>1</v>
      </c>
      <c r="L134" s="18"/>
    </row>
    <row r="135" hidden="1">
      <c r="A135" s="2">
        <f>IFERROR(__xludf.DUMMYFUNCTION("""COMPUTED_VALUE"""),114776.0)</f>
        <v>114776</v>
      </c>
      <c r="B135" s="2">
        <f>IFERROR(__xludf.DUMMYFUNCTION("""COMPUTED_VALUE"""),0.0)</f>
        <v>0</v>
      </c>
      <c r="C135" s="2">
        <f>IFERROR(__xludf.DUMMYFUNCTION("""COMPUTED_VALUE"""),124.0)</f>
        <v>124</v>
      </c>
      <c r="D135" s="3">
        <f>IFERROR(__xludf.DUMMYFUNCTION("""COMPUTED_VALUE"""),108.0)</f>
        <v>108</v>
      </c>
      <c r="E135" s="1" t="str">
        <f t="array" ref="E135">_xlfn.XLOOKUP(A135,Product!A:A,Product!B:B,"Bulunamadı")</f>
        <v>Fiction</v>
      </c>
      <c r="F135" s="1" t="str">
        <f t="array" ref="F135">_xlfn.XLOOKUP(A135,Product!A:A,Product!C:C,"Bulunamadı")</f>
        <v>Dystopian</v>
      </c>
      <c r="G135" s="2" t="str">
        <f t="array" ref="G135">_xlfn.XLOOKUP(A136,Product!A:A,Product!D:D,"Bulunamadı")</f>
        <v>Lighthouse Press</v>
      </c>
      <c r="H135" s="2">
        <f t="array" ref="H135">_xlfn.XLOOKUP(A137,Product!A:A,Product!E:E,"Bulunamadı")</f>
        <v>21.92</v>
      </c>
      <c r="I135" s="2" t="str">
        <f t="shared" si="1"/>
        <v>114776 - Fiction - Dystopian</v>
      </c>
      <c r="J135" s="2">
        <f t="shared" si="2"/>
        <v>2367.36</v>
      </c>
      <c r="K135" s="17">
        <f t="shared" si="3"/>
        <v>1</v>
      </c>
      <c r="L135" s="18"/>
    </row>
    <row r="136" hidden="1">
      <c r="A136" s="2">
        <f>IFERROR(__xludf.DUMMYFUNCTION("""COMPUTED_VALUE"""),76762.0)</f>
        <v>76762</v>
      </c>
      <c r="B136" s="2">
        <f>IFERROR(__xludf.DUMMYFUNCTION("""COMPUTED_VALUE"""),1.0)</f>
        <v>1</v>
      </c>
      <c r="C136" s="2">
        <f>IFERROR(__xludf.DUMMYFUNCTION("""COMPUTED_VALUE"""),568.0)</f>
        <v>568</v>
      </c>
      <c r="D136" s="3">
        <f>IFERROR(__xludf.DUMMYFUNCTION("""COMPUTED_VALUE"""),229.0)</f>
        <v>229</v>
      </c>
      <c r="E136" s="1" t="str">
        <f t="array" ref="E136">_xlfn.XLOOKUP(A136,Product!A:A,Product!B:B,"Bulunamadı")</f>
        <v>Fiction</v>
      </c>
      <c r="F136" s="1" t="str">
        <f t="array" ref="F136">_xlfn.XLOOKUP(A136,Product!A:A,Product!C:C,"Bulunamadı")</f>
        <v>Dystopian</v>
      </c>
      <c r="G136" s="2" t="str">
        <f t="array" ref="G136">_xlfn.XLOOKUP(A137,Product!A:A,Product!D:D,"Bulunamadı")</f>
        <v>Timberline Publishing</v>
      </c>
      <c r="H136" s="2">
        <f t="array" ref="H136">_xlfn.XLOOKUP(A138,Product!A:A,Product!E:E,"Bulunamadı")</f>
        <v>15.81</v>
      </c>
      <c r="I136" s="2" t="str">
        <f t="shared" si="1"/>
        <v>76762 - Fiction - Dystopian</v>
      </c>
      <c r="J136" s="2">
        <f t="shared" si="2"/>
        <v>3620.49</v>
      </c>
      <c r="K136" s="17">
        <f t="shared" si="3"/>
        <v>1</v>
      </c>
      <c r="L136" s="18"/>
    </row>
    <row r="137" hidden="1">
      <c r="A137" s="2">
        <f>IFERROR(__xludf.DUMMYFUNCTION("""COMPUTED_VALUE"""),181194.0)</f>
        <v>181194</v>
      </c>
      <c r="B137" s="2">
        <f>IFERROR(__xludf.DUMMYFUNCTION("""COMPUTED_VALUE"""),0.0)</f>
        <v>0</v>
      </c>
      <c r="C137" s="2">
        <f>IFERROR(__xludf.DUMMYFUNCTION("""COMPUTED_VALUE"""),747.0)</f>
        <v>747</v>
      </c>
      <c r="D137" s="3">
        <f>IFERROR(__xludf.DUMMYFUNCTION("""COMPUTED_VALUE"""),317.0)</f>
        <v>317</v>
      </c>
      <c r="E137" s="1" t="str">
        <f t="array" ref="E137">_xlfn.XLOOKUP(A137,Product!A:A,Product!B:B,"Bulunamadı")</f>
        <v>Self-Help</v>
      </c>
      <c r="F137" s="1" t="str">
        <f t="array" ref="F137">_xlfn.XLOOKUP(A137,Product!A:A,Product!C:C,"Bulunamadı")</f>
        <v>Adventure</v>
      </c>
      <c r="G137" s="2" t="str">
        <f t="array" ref="G137">_xlfn.XLOOKUP(A138,Product!A:A,Product!D:D,"Bulunamadı")</f>
        <v>Silver Harbor Books</v>
      </c>
      <c r="H137" s="2">
        <f t="array" ref="H137">_xlfn.XLOOKUP(A139,Product!A:A,Product!E:E,"Bulunamadı")</f>
        <v>15.97</v>
      </c>
      <c r="I137" s="2" t="str">
        <f t="shared" si="1"/>
        <v>181194 - Self-Help - Adventure</v>
      </c>
      <c r="J137" s="2">
        <f t="shared" si="2"/>
        <v>5062.49</v>
      </c>
      <c r="K137" s="17">
        <f t="shared" si="3"/>
        <v>1</v>
      </c>
      <c r="L137" s="18"/>
    </row>
    <row r="138" hidden="1">
      <c r="A138" s="2">
        <f>IFERROR(__xludf.DUMMYFUNCTION("""COMPUTED_VALUE"""),164637.0)</f>
        <v>164637</v>
      </c>
      <c r="B138" s="2">
        <f>IFERROR(__xludf.DUMMYFUNCTION("""COMPUTED_VALUE"""),0.0)</f>
        <v>0</v>
      </c>
      <c r="C138" s="2">
        <f>IFERROR(__xludf.DUMMYFUNCTION("""COMPUTED_VALUE"""),580.0)</f>
        <v>580</v>
      </c>
      <c r="D138" s="3">
        <f>IFERROR(__xludf.DUMMYFUNCTION("""COMPUTED_VALUE"""),19.0)</f>
        <v>19</v>
      </c>
      <c r="E138" s="1" t="str">
        <f t="array" ref="E138">_xlfn.XLOOKUP(A138,Product!A:A,Product!B:B,"Bulunamadı")</f>
        <v>Self-Help</v>
      </c>
      <c r="F138" s="1" t="str">
        <f t="array" ref="F138">_xlfn.XLOOKUP(A138,Product!A:A,Product!C:C,"Bulunamadı")</f>
        <v>Adventure</v>
      </c>
      <c r="G138" s="2" t="str">
        <f t="array" ref="G138">_xlfn.XLOOKUP(A139,Product!A:A,Product!D:D,"Bulunamadı")</f>
        <v>Silver Harbor Books</v>
      </c>
      <c r="H138" s="2">
        <f t="array" ref="H138">_xlfn.XLOOKUP(A140,Product!A:A,Product!E:E,"Bulunamadı")</f>
        <v>16.07</v>
      </c>
      <c r="I138" s="2" t="str">
        <f t="shared" si="1"/>
        <v>164637 - Self-Help - Adventure</v>
      </c>
      <c r="J138" s="2">
        <f t="shared" si="2"/>
        <v>305.33</v>
      </c>
      <c r="K138" s="17">
        <f t="shared" si="3"/>
        <v>1</v>
      </c>
      <c r="L138" s="18"/>
    </row>
    <row r="139" hidden="1">
      <c r="A139" s="2">
        <f>IFERROR(__xludf.DUMMYFUNCTION("""COMPUTED_VALUE"""),164636.0)</f>
        <v>164636</v>
      </c>
      <c r="B139" s="2">
        <f>IFERROR(__xludf.DUMMYFUNCTION("""COMPUTED_VALUE"""),0.0)</f>
        <v>0</v>
      </c>
      <c r="C139" s="2">
        <f>IFERROR(__xludf.DUMMYFUNCTION("""COMPUTED_VALUE"""),719.0)</f>
        <v>719</v>
      </c>
      <c r="D139" s="3">
        <f>IFERROR(__xludf.DUMMYFUNCTION("""COMPUTED_VALUE"""),128.0)</f>
        <v>128</v>
      </c>
      <c r="E139" s="1" t="str">
        <f t="array" ref="E139">_xlfn.XLOOKUP(A139,Product!A:A,Product!B:B,"Bulunamadı")</f>
        <v>Self-Help</v>
      </c>
      <c r="F139" s="1" t="str">
        <f t="array" ref="F139">_xlfn.XLOOKUP(A139,Product!A:A,Product!C:C,"Bulunamadı")</f>
        <v>Adventure</v>
      </c>
      <c r="G139" s="2" t="str">
        <f t="array" ref="G139">_xlfn.XLOOKUP(A140,Product!A:A,Product!D:D,"Bulunamadı")</f>
        <v>Silver Harbor Books</v>
      </c>
      <c r="H139" s="2">
        <f t="array" ref="H139">_xlfn.XLOOKUP(A141,Product!A:A,Product!E:E,"Bulunamadı")</f>
        <v>12.76</v>
      </c>
      <c r="I139" s="2" t="str">
        <f t="shared" si="1"/>
        <v>164636 - Self-Help - Adventure</v>
      </c>
      <c r="J139" s="2">
        <f t="shared" si="2"/>
        <v>1633.28</v>
      </c>
      <c r="K139" s="17">
        <f t="shared" si="3"/>
        <v>1</v>
      </c>
      <c r="L139" s="18"/>
    </row>
    <row r="140" hidden="1">
      <c r="A140" s="2">
        <f>IFERROR(__xludf.DUMMYFUNCTION("""COMPUTED_VALUE"""),164639.0)</f>
        <v>164639</v>
      </c>
      <c r="B140" s="2">
        <f>IFERROR(__xludf.DUMMYFUNCTION("""COMPUTED_VALUE"""),0.0)</f>
        <v>0</v>
      </c>
      <c r="C140" s="2">
        <f>IFERROR(__xludf.DUMMYFUNCTION("""COMPUTED_VALUE"""),101.0)</f>
        <v>101</v>
      </c>
      <c r="D140" s="3">
        <f>IFERROR(__xludf.DUMMYFUNCTION("""COMPUTED_VALUE"""),51.0)</f>
        <v>51</v>
      </c>
      <c r="E140" s="1" t="str">
        <f t="array" ref="E140">_xlfn.XLOOKUP(A140,Product!A:A,Product!B:B,"Bulunamadı")</f>
        <v>Self-Help</v>
      </c>
      <c r="F140" s="1" t="str">
        <f t="array" ref="F140">_xlfn.XLOOKUP(A140,Product!A:A,Product!C:C,"Bulunamadı")</f>
        <v>Adventure</v>
      </c>
      <c r="G140" s="2" t="str">
        <f t="array" ref="G140">_xlfn.XLOOKUP(A141,Product!A:A,Product!D:D,"Bulunamadı")</f>
        <v>Silver Harbor Books</v>
      </c>
      <c r="H140" s="2">
        <f t="array" ref="H140">_xlfn.XLOOKUP(A142,Product!A:A,Product!E:E,"Bulunamadı")</f>
        <v>15.18</v>
      </c>
      <c r="I140" s="2" t="str">
        <f t="shared" si="1"/>
        <v>164639 - Self-Help - Adventure</v>
      </c>
      <c r="J140" s="2">
        <f t="shared" si="2"/>
        <v>774.18</v>
      </c>
      <c r="K140" s="17">
        <f t="shared" si="3"/>
        <v>1</v>
      </c>
      <c r="L140" s="18"/>
    </row>
    <row r="141" hidden="1">
      <c r="A141" s="2">
        <f>IFERROR(__xludf.DUMMYFUNCTION("""COMPUTED_VALUE"""),85251.0)</f>
        <v>85251</v>
      </c>
      <c r="B141" s="2">
        <f>IFERROR(__xludf.DUMMYFUNCTION("""COMPUTED_VALUE"""),1.0)</f>
        <v>1</v>
      </c>
      <c r="C141" s="2">
        <f>IFERROR(__xludf.DUMMYFUNCTION("""COMPUTED_VALUE"""),15.0)</f>
        <v>15</v>
      </c>
      <c r="D141" s="3">
        <f>IFERROR(__xludf.DUMMYFUNCTION("""COMPUTED_VALUE"""),8.0)</f>
        <v>8</v>
      </c>
      <c r="E141" s="1" t="str">
        <f t="array" ref="E141">_xlfn.XLOOKUP(A141,Product!A:A,Product!B:B,"Bulunamadı")</f>
        <v>Self-Help</v>
      </c>
      <c r="F141" s="1" t="str">
        <f t="array" ref="F141">_xlfn.XLOOKUP(A141,Product!A:A,Product!C:C,"Bulunamadı")</f>
        <v>Adventure</v>
      </c>
      <c r="G141" s="2" t="str">
        <f t="array" ref="G141">_xlfn.XLOOKUP(A142,Product!A:A,Product!D:D,"Bulunamadı")</f>
        <v>Silver Harbor Books</v>
      </c>
      <c r="H141" s="2">
        <f t="array" ref="H141">_xlfn.XLOOKUP(A143,Product!A:A,Product!E:E,"Bulunamadı")</f>
        <v>10.67</v>
      </c>
      <c r="I141" s="2" t="str">
        <f t="shared" si="1"/>
        <v>85251 - Self-Help - Adventure</v>
      </c>
      <c r="J141" s="2">
        <f t="shared" si="2"/>
        <v>85.36</v>
      </c>
      <c r="K141" s="17">
        <f t="shared" si="3"/>
        <v>1</v>
      </c>
      <c r="L141" s="18"/>
    </row>
    <row r="142" hidden="1">
      <c r="A142" s="2">
        <f>IFERROR(__xludf.DUMMYFUNCTION("""COMPUTED_VALUE"""),113532.0)</f>
        <v>113532</v>
      </c>
      <c r="B142" s="2">
        <f>IFERROR(__xludf.DUMMYFUNCTION("""COMPUTED_VALUE"""),1.0)</f>
        <v>1</v>
      </c>
      <c r="C142" s="2">
        <f>IFERROR(__xludf.DUMMYFUNCTION("""COMPUTED_VALUE"""),816.0)</f>
        <v>816</v>
      </c>
      <c r="D142" s="3">
        <f>IFERROR(__xludf.DUMMYFUNCTION("""COMPUTED_VALUE"""),150.0)</f>
        <v>150</v>
      </c>
      <c r="E142" s="1" t="str">
        <f t="array" ref="E142">_xlfn.XLOOKUP(A142,Product!A:A,Product!B:B,"Bulunamadı")</f>
        <v>Self-Help</v>
      </c>
      <c r="F142" s="1" t="str">
        <f t="array" ref="F142">_xlfn.XLOOKUP(A142,Product!A:A,Product!C:C,"Bulunamadı")</f>
        <v>Adventure</v>
      </c>
      <c r="G142" s="2" t="str">
        <f t="array" ref="G142">_xlfn.XLOOKUP(A143,Product!A:A,Product!D:D,"Bulunamadı")</f>
        <v>Silver Harbor Books</v>
      </c>
      <c r="H142" s="2">
        <f t="array" ref="H142">_xlfn.XLOOKUP(A144,Product!A:A,Product!E:E,"Bulunamadı")</f>
        <v>16.14</v>
      </c>
      <c r="I142" s="2" t="str">
        <f t="shared" si="1"/>
        <v>113532 - Self-Help - Adventure</v>
      </c>
      <c r="J142" s="2">
        <f t="shared" si="2"/>
        <v>2421</v>
      </c>
      <c r="K142" s="17">
        <f t="shared" si="3"/>
        <v>1</v>
      </c>
      <c r="L142" s="18"/>
    </row>
    <row r="143" hidden="1">
      <c r="A143" s="2">
        <f>IFERROR(__xludf.DUMMYFUNCTION("""COMPUTED_VALUE"""),82501.0)</f>
        <v>82501</v>
      </c>
      <c r="B143" s="2">
        <f>IFERROR(__xludf.DUMMYFUNCTION("""COMPUTED_VALUE"""),0.0)</f>
        <v>0</v>
      </c>
      <c r="C143" s="2">
        <f>IFERROR(__xludf.DUMMYFUNCTION("""COMPUTED_VALUE"""),101.0)</f>
        <v>101</v>
      </c>
      <c r="D143" s="3">
        <f>IFERROR(__xludf.DUMMYFUNCTION("""COMPUTED_VALUE"""),14.0)</f>
        <v>14</v>
      </c>
      <c r="E143" s="1" t="str">
        <f t="array" ref="E143">_xlfn.XLOOKUP(A143,Product!A:A,Product!B:B,"Bulunamadı")</f>
        <v>Self-Help</v>
      </c>
      <c r="F143" s="1" t="str">
        <f t="array" ref="F143">_xlfn.XLOOKUP(A143,Product!A:A,Product!C:C,"Bulunamadı")</f>
        <v>Adventure</v>
      </c>
      <c r="G143" s="2" t="str">
        <f t="array" ref="G143">_xlfn.XLOOKUP(A144,Product!A:A,Product!D:D,"Bulunamadı")</f>
        <v>Silver Harbor Books</v>
      </c>
      <c r="H143" s="2">
        <f t="array" ref="H143">_xlfn.XLOOKUP(A145,Product!A:A,Product!E:E,"Bulunamadı")</f>
        <v>8.74</v>
      </c>
      <c r="I143" s="2" t="str">
        <f t="shared" si="1"/>
        <v>82501 - Self-Help - Adventure</v>
      </c>
      <c r="J143" s="2">
        <f t="shared" si="2"/>
        <v>122.36</v>
      </c>
      <c r="K143" s="17">
        <f t="shared" si="3"/>
        <v>1</v>
      </c>
      <c r="L143" s="18"/>
    </row>
    <row r="144" hidden="1">
      <c r="A144" s="2">
        <f>IFERROR(__xludf.DUMMYFUNCTION("""COMPUTED_VALUE"""),121287.0)</f>
        <v>121287</v>
      </c>
      <c r="B144" s="2">
        <f>IFERROR(__xludf.DUMMYFUNCTION("""COMPUTED_VALUE"""),0.0)</f>
        <v>0</v>
      </c>
      <c r="C144" s="2">
        <f>IFERROR(__xludf.DUMMYFUNCTION("""COMPUTED_VALUE"""),14.0)</f>
        <v>14</v>
      </c>
      <c r="D144" s="3">
        <f>IFERROR(__xludf.DUMMYFUNCTION("""COMPUTED_VALUE"""),12.0)</f>
        <v>12</v>
      </c>
      <c r="E144" s="1" t="str">
        <f t="array" ref="E144">_xlfn.XLOOKUP(A144,Product!A:A,Product!B:B,"Bulunamadı")</f>
        <v>Self-Help</v>
      </c>
      <c r="F144" s="1" t="str">
        <f t="array" ref="F144">_xlfn.XLOOKUP(A144,Product!A:A,Product!C:C,"Bulunamadı")</f>
        <v>Adventure</v>
      </c>
      <c r="G144" s="2" t="str">
        <f t="array" ref="G144">_xlfn.XLOOKUP(A145,Product!A:A,Product!D:D,"Bulunamadı")</f>
        <v>Silver Harbor Books</v>
      </c>
      <c r="H144" s="2">
        <f t="array" ref="H144">_xlfn.XLOOKUP(A146,Product!A:A,Product!E:E,"Bulunamadı")</f>
        <v>12.35</v>
      </c>
      <c r="I144" s="2" t="str">
        <f t="shared" si="1"/>
        <v>121287 - Self-Help - Adventure</v>
      </c>
      <c r="J144" s="2">
        <f t="shared" si="2"/>
        <v>148.2</v>
      </c>
      <c r="K144" s="17">
        <f t="shared" si="3"/>
        <v>1</v>
      </c>
      <c r="L144" s="18"/>
    </row>
    <row r="145" hidden="1">
      <c r="A145" s="2">
        <f>IFERROR(__xludf.DUMMYFUNCTION("""COMPUTED_VALUE"""),113559.0)</f>
        <v>113559</v>
      </c>
      <c r="B145" s="2">
        <f>IFERROR(__xludf.DUMMYFUNCTION("""COMPUTED_VALUE"""),0.0)</f>
        <v>0</v>
      </c>
      <c r="C145" s="2">
        <f>IFERROR(__xludf.DUMMYFUNCTION("""COMPUTED_VALUE"""),358.0)</f>
        <v>358</v>
      </c>
      <c r="D145" s="3">
        <f>IFERROR(__xludf.DUMMYFUNCTION("""COMPUTED_VALUE"""),328.0)</f>
        <v>328</v>
      </c>
      <c r="E145" s="1" t="str">
        <f t="array" ref="E145">_xlfn.XLOOKUP(A145,Product!A:A,Product!B:B,"Bulunamadı")</f>
        <v>Self-Help</v>
      </c>
      <c r="F145" s="1" t="str">
        <f t="array" ref="F145">_xlfn.XLOOKUP(A145,Product!A:A,Product!C:C,"Bulunamadı")</f>
        <v>Adventure</v>
      </c>
      <c r="G145" s="2" t="str">
        <f t="array" ref="G145">_xlfn.XLOOKUP(A146,Product!A:A,Product!D:D,"Bulunamadı")</f>
        <v>Silver Harbor Books</v>
      </c>
      <c r="H145" s="2">
        <f t="array" ref="H145">_xlfn.XLOOKUP(A147,Product!A:A,Product!E:E,"Bulunamadı")</f>
        <v>12.37</v>
      </c>
      <c r="I145" s="2" t="str">
        <f t="shared" si="1"/>
        <v>113559 - Self-Help - Adventure</v>
      </c>
      <c r="J145" s="2">
        <f t="shared" si="2"/>
        <v>4057.36</v>
      </c>
      <c r="K145" s="17">
        <f t="shared" si="3"/>
        <v>1</v>
      </c>
      <c r="L145" s="18"/>
    </row>
    <row r="146" hidden="1">
      <c r="A146" s="2">
        <f>IFERROR(__xludf.DUMMYFUNCTION("""COMPUTED_VALUE"""),85252.0)</f>
        <v>85252</v>
      </c>
      <c r="B146" s="2">
        <f>IFERROR(__xludf.DUMMYFUNCTION("""COMPUTED_VALUE"""),1.0)</f>
        <v>1</v>
      </c>
      <c r="C146" s="2">
        <f>IFERROR(__xludf.DUMMYFUNCTION("""COMPUTED_VALUE"""),910.0)</f>
        <v>910</v>
      </c>
      <c r="D146" s="3">
        <f>IFERROR(__xludf.DUMMYFUNCTION("""COMPUTED_VALUE"""),739.0)</f>
        <v>739</v>
      </c>
      <c r="E146" s="1" t="str">
        <f t="array" ref="E146">_xlfn.XLOOKUP(A146,Product!A:A,Product!B:B,"Bulunamadı")</f>
        <v>Self-Help</v>
      </c>
      <c r="F146" s="1" t="str">
        <f t="array" ref="F146">_xlfn.XLOOKUP(A146,Product!A:A,Product!C:C,"Bulunamadı")</f>
        <v>Adventure</v>
      </c>
      <c r="G146" s="2" t="str">
        <f t="array" ref="G146">_xlfn.XLOOKUP(A147,Product!A:A,Product!D:D,"Bulunamadı")</f>
        <v>Silver Harbor Books</v>
      </c>
      <c r="H146" s="2">
        <f t="array" ref="H146">_xlfn.XLOOKUP(A148,Product!A:A,Product!E:E,"Bulunamadı")</f>
        <v>11.15</v>
      </c>
      <c r="I146" s="2" t="str">
        <f t="shared" si="1"/>
        <v>85252 - Self-Help - Adventure</v>
      </c>
      <c r="J146" s="2">
        <f t="shared" si="2"/>
        <v>8239.85</v>
      </c>
      <c r="K146" s="17">
        <f t="shared" si="3"/>
        <v>1</v>
      </c>
      <c r="L146" s="18"/>
    </row>
    <row r="147" hidden="1">
      <c r="A147" s="2">
        <f>IFERROR(__xludf.DUMMYFUNCTION("""COMPUTED_VALUE"""),82507.0)</f>
        <v>82507</v>
      </c>
      <c r="B147" s="2">
        <f>IFERROR(__xludf.DUMMYFUNCTION("""COMPUTED_VALUE"""),0.0)</f>
        <v>0</v>
      </c>
      <c r="C147" s="2">
        <f>IFERROR(__xludf.DUMMYFUNCTION("""COMPUTED_VALUE"""),867.0)</f>
        <v>867</v>
      </c>
      <c r="D147" s="3">
        <f>IFERROR(__xludf.DUMMYFUNCTION("""COMPUTED_VALUE"""),576.0)</f>
        <v>576</v>
      </c>
      <c r="E147" s="1" t="str">
        <f t="array" ref="E147">_xlfn.XLOOKUP(A147,Product!A:A,Product!B:B,"Bulunamadı")</f>
        <v>Self-Help</v>
      </c>
      <c r="F147" s="1" t="str">
        <f t="array" ref="F147">_xlfn.XLOOKUP(A147,Product!A:A,Product!C:C,"Bulunamadı")</f>
        <v>Adventure</v>
      </c>
      <c r="G147" s="2" t="str">
        <f t="array" ref="G147">_xlfn.XLOOKUP(A148,Product!A:A,Product!D:D,"Bulunamadı")</f>
        <v>Silver Harbor Books</v>
      </c>
      <c r="H147" s="2">
        <f t="array" ref="H147">_xlfn.XLOOKUP(A149,Product!A:A,Product!E:E,"Bulunamadı")</f>
        <v>14.24</v>
      </c>
      <c r="I147" s="2" t="str">
        <f t="shared" si="1"/>
        <v>82507 - Self-Help - Adventure</v>
      </c>
      <c r="J147" s="2">
        <f t="shared" si="2"/>
        <v>8202.24</v>
      </c>
      <c r="K147" s="17">
        <f t="shared" si="3"/>
        <v>1</v>
      </c>
      <c r="L147" s="18"/>
    </row>
    <row r="148" hidden="1">
      <c r="A148" s="2">
        <f>IFERROR(__xludf.DUMMYFUNCTION("""COMPUTED_VALUE"""),109625.0)</f>
        <v>109625</v>
      </c>
      <c r="B148" s="2">
        <f>IFERROR(__xludf.DUMMYFUNCTION("""COMPUTED_VALUE"""),1.0)</f>
        <v>1</v>
      </c>
      <c r="C148" s="2">
        <f>IFERROR(__xludf.DUMMYFUNCTION("""COMPUTED_VALUE"""),16.0)</f>
        <v>16</v>
      </c>
      <c r="D148" s="3">
        <f>IFERROR(__xludf.DUMMYFUNCTION("""COMPUTED_VALUE"""),6.0)</f>
        <v>6</v>
      </c>
      <c r="E148" s="1" t="str">
        <f t="array" ref="E148">_xlfn.XLOOKUP(A148,Product!A:A,Product!B:B,"Bulunamadı")</f>
        <v>Self-Help</v>
      </c>
      <c r="F148" s="1" t="str">
        <f t="array" ref="F148">_xlfn.XLOOKUP(A148,Product!A:A,Product!C:C,"Bulunamadı")</f>
        <v>Adventure</v>
      </c>
      <c r="G148" s="2" t="str">
        <f t="array" ref="G148">_xlfn.XLOOKUP(A149,Product!A:A,Product!D:D,"Bulunamadı")</f>
        <v>Windfall Press</v>
      </c>
      <c r="H148" s="2">
        <f t="array" ref="H148">_xlfn.XLOOKUP(A150,Product!A:A,Product!E:E,"Bulunamadı")</f>
        <v>8.01</v>
      </c>
      <c r="I148" s="2" t="str">
        <f t="shared" si="1"/>
        <v>109625 - Self-Help - Adventure</v>
      </c>
      <c r="J148" s="2">
        <f t="shared" si="2"/>
        <v>48.06</v>
      </c>
      <c r="K148" s="17">
        <f t="shared" si="3"/>
        <v>1</v>
      </c>
      <c r="L148" s="18"/>
    </row>
    <row r="149" hidden="1">
      <c r="A149" s="2">
        <f>IFERROR(__xludf.DUMMYFUNCTION("""COMPUTED_VALUE"""),110864.0)</f>
        <v>110864</v>
      </c>
      <c r="B149" s="2">
        <f>IFERROR(__xludf.DUMMYFUNCTION("""COMPUTED_VALUE"""),0.0)</f>
        <v>0</v>
      </c>
      <c r="C149" s="2">
        <f>IFERROR(__xludf.DUMMYFUNCTION("""COMPUTED_VALUE"""),242.0)</f>
        <v>242</v>
      </c>
      <c r="D149" s="3">
        <f>IFERROR(__xludf.DUMMYFUNCTION("""COMPUTED_VALUE"""),88.0)</f>
        <v>88</v>
      </c>
      <c r="E149" s="1" t="str">
        <f t="array" ref="E149">_xlfn.XLOOKUP(A149,Product!A:A,Product!B:B,"Bulunamadı")</f>
        <v>Self-Help</v>
      </c>
      <c r="F149" s="1" t="str">
        <f t="array" ref="F149">_xlfn.XLOOKUP(A149,Product!A:A,Product!C:C,"Bulunamadı")</f>
        <v>Adventure</v>
      </c>
      <c r="G149" s="2" t="str">
        <f t="array" ref="G149">_xlfn.XLOOKUP(A150,Product!A:A,Product!D:D,"Bulunamadı")</f>
        <v>Windfall Press</v>
      </c>
      <c r="H149" s="2">
        <f t="array" ref="H149">_xlfn.XLOOKUP(A151,Product!A:A,Product!E:E,"Bulunamadı")</f>
        <v>9.35</v>
      </c>
      <c r="I149" s="2" t="str">
        <f t="shared" si="1"/>
        <v>110864 - Self-Help - Adventure</v>
      </c>
      <c r="J149" s="2">
        <f t="shared" si="2"/>
        <v>822.8</v>
      </c>
      <c r="K149" s="17">
        <f t="shared" si="3"/>
        <v>1</v>
      </c>
      <c r="L149" s="18"/>
    </row>
    <row r="150" hidden="1">
      <c r="A150" s="2">
        <f>IFERROR(__xludf.DUMMYFUNCTION("""COMPUTED_VALUE"""),138916.0)</f>
        <v>138916</v>
      </c>
      <c r="B150" s="2">
        <f>IFERROR(__xludf.DUMMYFUNCTION("""COMPUTED_VALUE"""),0.0)</f>
        <v>0</v>
      </c>
      <c r="C150" s="2">
        <f>IFERROR(__xludf.DUMMYFUNCTION("""COMPUTED_VALUE"""),582.0)</f>
        <v>582</v>
      </c>
      <c r="D150" s="3">
        <f>IFERROR(__xludf.DUMMYFUNCTION("""COMPUTED_VALUE"""),462.0)</f>
        <v>462</v>
      </c>
      <c r="E150" s="1" t="str">
        <f t="array" ref="E150">_xlfn.XLOOKUP(A150,Product!A:A,Product!B:B,"Bulunamadı")</f>
        <v>Self-Help</v>
      </c>
      <c r="F150" s="1" t="str">
        <f t="array" ref="F150">_xlfn.XLOOKUP(A150,Product!A:A,Product!C:C,"Bulunamadı")</f>
        <v>Adventure</v>
      </c>
      <c r="G150" s="2" t="str">
        <f t="array" ref="G150">_xlfn.XLOOKUP(A151,Product!A:A,Product!D:D,"Bulunamadı")</f>
        <v>Windfall Press</v>
      </c>
      <c r="H150" s="2">
        <f t="array" ref="H150">_xlfn.XLOOKUP(A152,Product!A:A,Product!E:E,"Bulunamadı")</f>
        <v>9.6</v>
      </c>
      <c r="I150" s="2" t="str">
        <f t="shared" si="1"/>
        <v>138916 - Self-Help - Adventure</v>
      </c>
      <c r="J150" s="2">
        <f t="shared" si="2"/>
        <v>4435.2</v>
      </c>
      <c r="K150" s="17">
        <f t="shared" si="3"/>
        <v>1</v>
      </c>
      <c r="L150" s="18"/>
    </row>
    <row r="151" hidden="1">
      <c r="A151" s="2">
        <f>IFERROR(__xludf.DUMMYFUNCTION("""COMPUTED_VALUE"""),121076.0)</f>
        <v>121076</v>
      </c>
      <c r="B151" s="2">
        <f>IFERROR(__xludf.DUMMYFUNCTION("""COMPUTED_VALUE"""),1.0)</f>
        <v>1</v>
      </c>
      <c r="C151" s="2">
        <f>IFERROR(__xludf.DUMMYFUNCTION("""COMPUTED_VALUE"""),300.0)</f>
        <v>300</v>
      </c>
      <c r="D151" s="3">
        <f>IFERROR(__xludf.DUMMYFUNCTION("""COMPUTED_VALUE"""),77.0)</f>
        <v>77</v>
      </c>
      <c r="E151" s="1" t="str">
        <f t="array" ref="E151">_xlfn.XLOOKUP(A151,Product!A:A,Product!B:B,"Bulunamadı")</f>
        <v>Self-Help</v>
      </c>
      <c r="F151" s="1" t="str">
        <f t="array" ref="F151">_xlfn.XLOOKUP(A151,Product!A:A,Product!C:C,"Bulunamadı")</f>
        <v>Adventure</v>
      </c>
      <c r="G151" s="2" t="str">
        <f t="array" ref="G151">_xlfn.XLOOKUP(A152,Product!A:A,Product!D:D,"Bulunamadı")</f>
        <v>Windfall Press</v>
      </c>
      <c r="H151" s="2">
        <f t="array" ref="H151">_xlfn.XLOOKUP(A153,Product!A:A,Product!E:E,"Bulunamadı")</f>
        <v>8.08</v>
      </c>
      <c r="I151" s="2" t="str">
        <f t="shared" si="1"/>
        <v>121076 - Self-Help - Adventure</v>
      </c>
      <c r="J151" s="2">
        <f t="shared" si="2"/>
        <v>622.16</v>
      </c>
      <c r="K151" s="17">
        <f t="shared" si="3"/>
        <v>1</v>
      </c>
      <c r="L151" s="18"/>
    </row>
    <row r="152" hidden="1">
      <c r="A152" s="2">
        <f>IFERROR(__xludf.DUMMYFUNCTION("""COMPUTED_VALUE"""),121077.0)</f>
        <v>121077</v>
      </c>
      <c r="B152" s="2">
        <f>IFERROR(__xludf.DUMMYFUNCTION("""COMPUTED_VALUE"""),1.0)</f>
        <v>1</v>
      </c>
      <c r="C152" s="2">
        <f>IFERROR(__xludf.DUMMYFUNCTION("""COMPUTED_VALUE"""),131.0)</f>
        <v>131</v>
      </c>
      <c r="D152" s="3">
        <f>IFERROR(__xludf.DUMMYFUNCTION("""COMPUTED_VALUE"""),74.0)</f>
        <v>74</v>
      </c>
      <c r="E152" s="1" t="str">
        <f t="array" ref="E152">_xlfn.XLOOKUP(A152,Product!A:A,Product!B:B,"Bulunamadı")</f>
        <v>Self-Help</v>
      </c>
      <c r="F152" s="1" t="str">
        <f t="array" ref="F152">_xlfn.XLOOKUP(A152,Product!A:A,Product!C:C,"Bulunamadı")</f>
        <v>Adventure</v>
      </c>
      <c r="G152" s="2" t="str">
        <f t="array" ref="G152">_xlfn.XLOOKUP(A153,Product!A:A,Product!D:D,"Bulunamadı")</f>
        <v>Windfall Press</v>
      </c>
      <c r="H152" s="2">
        <f t="array" ref="H152">_xlfn.XLOOKUP(A154,Product!A:A,Product!E:E,"Bulunamadı")</f>
        <v>9.28</v>
      </c>
      <c r="I152" s="2" t="str">
        <f t="shared" si="1"/>
        <v>121077 - Self-Help - Adventure</v>
      </c>
      <c r="J152" s="2">
        <f t="shared" si="2"/>
        <v>686.72</v>
      </c>
      <c r="K152" s="17">
        <f t="shared" si="3"/>
        <v>1</v>
      </c>
      <c r="L152" s="18"/>
    </row>
    <row r="153" hidden="1">
      <c r="A153" s="2">
        <f>IFERROR(__xludf.DUMMYFUNCTION("""COMPUTED_VALUE"""),116631.0)</f>
        <v>116631</v>
      </c>
      <c r="B153" s="2">
        <f>IFERROR(__xludf.DUMMYFUNCTION("""COMPUTED_VALUE"""),0.0)</f>
        <v>0</v>
      </c>
      <c r="C153" s="2">
        <f>IFERROR(__xludf.DUMMYFUNCTION("""COMPUTED_VALUE"""),431.0)</f>
        <v>431</v>
      </c>
      <c r="D153" s="3">
        <f>IFERROR(__xludf.DUMMYFUNCTION("""COMPUTED_VALUE"""),66.0)</f>
        <v>66</v>
      </c>
      <c r="E153" s="1" t="str">
        <f t="array" ref="E153">_xlfn.XLOOKUP(A153,Product!A:A,Product!B:B,"Bulunamadı")</f>
        <v>Self-Help</v>
      </c>
      <c r="F153" s="1" t="str">
        <f t="array" ref="F153">_xlfn.XLOOKUP(A153,Product!A:A,Product!C:C,"Bulunamadı")</f>
        <v>Adventure</v>
      </c>
      <c r="G153" s="2" t="str">
        <f t="array" ref="G153">_xlfn.XLOOKUP(A154,Product!A:A,Product!D:D,"Bulunamadı")</f>
        <v>Windfall Press</v>
      </c>
      <c r="H153" s="2">
        <f t="array" ref="H153">_xlfn.XLOOKUP(A155,Product!A:A,Product!E:E,"Bulunamadı")</f>
        <v>10.29</v>
      </c>
      <c r="I153" s="2" t="str">
        <f t="shared" si="1"/>
        <v>116631 - Self-Help - Adventure</v>
      </c>
      <c r="J153" s="2">
        <f t="shared" si="2"/>
        <v>679.14</v>
      </c>
      <c r="K153" s="17">
        <f t="shared" si="3"/>
        <v>1</v>
      </c>
      <c r="L153" s="18"/>
    </row>
    <row r="154" hidden="1">
      <c r="A154" s="2">
        <f>IFERROR(__xludf.DUMMYFUNCTION("""COMPUTED_VALUE"""),147263.0)</f>
        <v>147263</v>
      </c>
      <c r="B154" s="2">
        <f>IFERROR(__xludf.DUMMYFUNCTION("""COMPUTED_VALUE"""),0.0)</f>
        <v>0</v>
      </c>
      <c r="C154" s="2">
        <f>IFERROR(__xludf.DUMMYFUNCTION("""COMPUTED_VALUE"""),44.0)</f>
        <v>44</v>
      </c>
      <c r="D154" s="3">
        <f>IFERROR(__xludf.DUMMYFUNCTION("""COMPUTED_VALUE"""),16.0)</f>
        <v>16</v>
      </c>
      <c r="E154" s="1" t="str">
        <f t="array" ref="E154">_xlfn.XLOOKUP(A154,Product!A:A,Product!B:B,"Bulunamadı")</f>
        <v>Self-Help</v>
      </c>
      <c r="F154" s="1" t="str">
        <f t="array" ref="F154">_xlfn.XLOOKUP(A154,Product!A:A,Product!C:C,"Bulunamadı")</f>
        <v>Adventure</v>
      </c>
      <c r="G154" s="2" t="str">
        <f t="array" ref="G154">_xlfn.XLOOKUP(A155,Product!A:A,Product!D:D,"Bulunamadı")</f>
        <v>Red Lantern Publishing</v>
      </c>
      <c r="H154" s="2">
        <f t="array" ref="H154">_xlfn.XLOOKUP(A156,Product!A:A,Product!E:E,"Bulunamadı")</f>
        <v>13.47</v>
      </c>
      <c r="I154" s="2" t="str">
        <f t="shared" si="1"/>
        <v>147263 - Self-Help - Adventure</v>
      </c>
      <c r="J154" s="2">
        <f t="shared" si="2"/>
        <v>215.52</v>
      </c>
      <c r="K154" s="17">
        <f t="shared" si="3"/>
        <v>1</v>
      </c>
      <c r="L154" s="18"/>
    </row>
    <row r="155" hidden="1">
      <c r="A155" s="2">
        <f>IFERROR(__xludf.DUMMYFUNCTION("""COMPUTED_VALUE"""),108763.0)</f>
        <v>108763</v>
      </c>
      <c r="B155" s="2">
        <f>IFERROR(__xludf.DUMMYFUNCTION("""COMPUTED_VALUE"""),0.0)</f>
        <v>0</v>
      </c>
      <c r="C155" s="2">
        <f>IFERROR(__xludf.DUMMYFUNCTION("""COMPUTED_VALUE"""),642.0)</f>
        <v>642</v>
      </c>
      <c r="D155" s="3">
        <f>IFERROR(__xludf.DUMMYFUNCTION("""COMPUTED_VALUE"""),42.0)</f>
        <v>42</v>
      </c>
      <c r="E155" s="1" t="str">
        <f t="array" ref="E155">_xlfn.XLOOKUP(A155,Product!A:A,Product!B:B,"Bulunamadı")</f>
        <v>Self-Help</v>
      </c>
      <c r="F155" s="1" t="str">
        <f t="array" ref="F155">_xlfn.XLOOKUP(A155,Product!A:A,Product!C:C,"Bulunamadı")</f>
        <v>Adventure</v>
      </c>
      <c r="G155" s="2" t="str">
        <f t="array" ref="G155">_xlfn.XLOOKUP(A156,Product!A:A,Product!D:D,"Bulunamadı")</f>
        <v>Red Lantern Publishing</v>
      </c>
      <c r="H155" s="2">
        <f t="array" ref="H155">_xlfn.XLOOKUP(A157,Product!A:A,Product!E:E,"Bulunamadı")</f>
        <v>6.09</v>
      </c>
      <c r="I155" s="2" t="str">
        <f t="shared" si="1"/>
        <v>108763 - Self-Help - Adventure</v>
      </c>
      <c r="J155" s="2">
        <f t="shared" si="2"/>
        <v>255.78</v>
      </c>
      <c r="K155" s="17">
        <f t="shared" si="3"/>
        <v>1</v>
      </c>
      <c r="L155" s="18"/>
    </row>
    <row r="156" hidden="1">
      <c r="A156" s="2">
        <f>IFERROR(__xludf.DUMMYFUNCTION("""COMPUTED_VALUE"""),116593.0)</f>
        <v>116593</v>
      </c>
      <c r="B156" s="2">
        <f>IFERROR(__xludf.DUMMYFUNCTION("""COMPUTED_VALUE"""),1.0)</f>
        <v>1</v>
      </c>
      <c r="C156" s="2">
        <f>IFERROR(__xludf.DUMMYFUNCTION("""COMPUTED_VALUE"""),274.0)</f>
        <v>274</v>
      </c>
      <c r="D156" s="3">
        <f>IFERROR(__xludf.DUMMYFUNCTION("""COMPUTED_VALUE"""),264.0)</f>
        <v>264</v>
      </c>
      <c r="E156" s="1" t="str">
        <f t="array" ref="E156">_xlfn.XLOOKUP(A156,Product!A:A,Product!B:B,"Bulunamadı")</f>
        <v>Self-Help</v>
      </c>
      <c r="F156" s="1" t="str">
        <f t="array" ref="F156">_xlfn.XLOOKUP(A156,Product!A:A,Product!C:C,"Bulunamadı")</f>
        <v>Adventure</v>
      </c>
      <c r="G156" s="2" t="str">
        <f t="array" ref="G156">_xlfn.XLOOKUP(A157,Product!A:A,Product!D:D,"Bulunamadı")</f>
        <v>Red Lantern Publishing</v>
      </c>
      <c r="H156" s="2">
        <f t="array" ref="H156">_xlfn.XLOOKUP(A158,Product!A:A,Product!E:E,"Bulunamadı")</f>
        <v>9.63</v>
      </c>
      <c r="I156" s="2" t="str">
        <f t="shared" si="1"/>
        <v>116593 - Self-Help - Adventure</v>
      </c>
      <c r="J156" s="2">
        <f t="shared" si="2"/>
        <v>2542.32</v>
      </c>
      <c r="K156" s="17">
        <f t="shared" si="3"/>
        <v>1</v>
      </c>
      <c r="L156" s="18"/>
    </row>
    <row r="157" hidden="1">
      <c r="A157" s="2">
        <f>IFERROR(__xludf.DUMMYFUNCTION("""COMPUTED_VALUE"""),116613.0)</f>
        <v>116613</v>
      </c>
      <c r="B157" s="2">
        <f>IFERROR(__xludf.DUMMYFUNCTION("""COMPUTED_VALUE"""),0.0)</f>
        <v>0</v>
      </c>
      <c r="C157" s="2">
        <f>IFERROR(__xludf.DUMMYFUNCTION("""COMPUTED_VALUE"""),717.0)</f>
        <v>717</v>
      </c>
      <c r="D157" s="3">
        <f>IFERROR(__xludf.DUMMYFUNCTION("""COMPUTED_VALUE"""),420.0)</f>
        <v>420</v>
      </c>
      <c r="E157" s="1" t="str">
        <f t="array" ref="E157">_xlfn.XLOOKUP(A157,Product!A:A,Product!B:B,"Bulunamadı")</f>
        <v>Self-Help</v>
      </c>
      <c r="F157" s="1" t="str">
        <f t="array" ref="F157">_xlfn.XLOOKUP(A157,Product!A:A,Product!C:C,"Bulunamadı")</f>
        <v>Adventure</v>
      </c>
      <c r="G157" s="2" t="str">
        <f t="array" ref="G157">_xlfn.XLOOKUP(A158,Product!A:A,Product!D:D,"Bulunamadı")</f>
        <v>Red Lantern Publishing</v>
      </c>
      <c r="H157" s="2">
        <f t="array" ref="H157">_xlfn.XLOOKUP(A159,Product!A:A,Product!E:E,"Bulunamadı")</f>
        <v>10.53</v>
      </c>
      <c r="I157" s="2" t="str">
        <f t="shared" si="1"/>
        <v>116613 - Self-Help - Adventure</v>
      </c>
      <c r="J157" s="2">
        <f t="shared" si="2"/>
        <v>4422.6</v>
      </c>
      <c r="K157" s="17">
        <f t="shared" si="3"/>
        <v>1</v>
      </c>
      <c r="L157" s="18"/>
    </row>
    <row r="158" hidden="1">
      <c r="A158" s="2">
        <f>IFERROR(__xludf.DUMMYFUNCTION("""COMPUTED_VALUE"""),102476.0)</f>
        <v>102476</v>
      </c>
      <c r="B158" s="2">
        <f>IFERROR(__xludf.DUMMYFUNCTION("""COMPUTED_VALUE"""),0.0)</f>
        <v>0</v>
      </c>
      <c r="C158" s="2">
        <f>IFERROR(__xludf.DUMMYFUNCTION("""COMPUTED_VALUE"""),274.0)</f>
        <v>274</v>
      </c>
      <c r="D158" s="3">
        <f>IFERROR(__xludf.DUMMYFUNCTION("""COMPUTED_VALUE"""),206.0)</f>
        <v>206</v>
      </c>
      <c r="E158" s="1" t="str">
        <f t="array" ref="E158">_xlfn.XLOOKUP(A158,Product!A:A,Product!B:B,"Bulunamadı")</f>
        <v>Self-Help</v>
      </c>
      <c r="F158" s="1" t="str">
        <f t="array" ref="F158">_xlfn.XLOOKUP(A158,Product!A:A,Product!C:C,"Bulunamadı")</f>
        <v>Adventure</v>
      </c>
      <c r="G158" s="2" t="str">
        <f t="array" ref="G158">_xlfn.XLOOKUP(A159,Product!A:A,Product!D:D,"Bulunamadı")</f>
        <v>Red Lantern Publishing</v>
      </c>
      <c r="H158" s="2">
        <f t="array" ref="H158">_xlfn.XLOOKUP(A160,Product!A:A,Product!E:E,"Bulunamadı")</f>
        <v>8.31</v>
      </c>
      <c r="I158" s="2" t="str">
        <f t="shared" si="1"/>
        <v>102476 - Self-Help - Adventure</v>
      </c>
      <c r="J158" s="2">
        <f t="shared" si="2"/>
        <v>1711.86</v>
      </c>
      <c r="K158" s="17">
        <f t="shared" si="3"/>
        <v>1</v>
      </c>
      <c r="L158" s="18"/>
    </row>
    <row r="159" hidden="1">
      <c r="A159" s="2">
        <f>IFERROR(__xludf.DUMMYFUNCTION("""COMPUTED_VALUE"""),190030.0)</f>
        <v>190030</v>
      </c>
      <c r="B159" s="2">
        <f>IFERROR(__xludf.DUMMYFUNCTION("""COMPUTED_VALUE"""),0.0)</f>
        <v>0</v>
      </c>
      <c r="C159" s="2">
        <f>IFERROR(__xludf.DUMMYFUNCTION("""COMPUTED_VALUE"""),102.0)</f>
        <v>102</v>
      </c>
      <c r="D159" s="3">
        <f>IFERROR(__xludf.DUMMYFUNCTION("""COMPUTED_VALUE"""),6.0)</f>
        <v>6</v>
      </c>
      <c r="E159" s="1" t="str">
        <f t="array" ref="E159">_xlfn.XLOOKUP(A159,Product!A:A,Product!B:B,"Bulunamadı")</f>
        <v>Self-Help</v>
      </c>
      <c r="F159" s="1" t="str">
        <f t="array" ref="F159">_xlfn.XLOOKUP(A159,Product!A:A,Product!C:C,"Bulunamadı")</f>
        <v>Adventure</v>
      </c>
      <c r="G159" s="2" t="str">
        <f t="array" ref="G159">_xlfn.XLOOKUP(A160,Product!A:A,Product!D:D,"Bulunamadı")</f>
        <v>Red Lantern Publishing</v>
      </c>
      <c r="H159" s="2">
        <f t="array" ref="H159">_xlfn.XLOOKUP(A161,Product!A:A,Product!E:E,"Bulunamadı")</f>
        <v>13.55</v>
      </c>
      <c r="I159" s="2" t="str">
        <f t="shared" si="1"/>
        <v>190030 - Self-Help - Adventure</v>
      </c>
      <c r="J159" s="2">
        <f t="shared" si="2"/>
        <v>81.3</v>
      </c>
      <c r="K159" s="17">
        <f t="shared" si="3"/>
        <v>1</v>
      </c>
      <c r="L159" s="18"/>
    </row>
    <row r="160" hidden="1">
      <c r="A160" s="2">
        <f>IFERROR(__xludf.DUMMYFUNCTION("""COMPUTED_VALUE"""),113845.0)</f>
        <v>113845</v>
      </c>
      <c r="B160" s="2">
        <f>IFERROR(__xludf.DUMMYFUNCTION("""COMPUTED_VALUE"""),1.0)</f>
        <v>1</v>
      </c>
      <c r="C160" s="2">
        <f>IFERROR(__xludf.DUMMYFUNCTION("""COMPUTED_VALUE"""),476.0)</f>
        <v>476</v>
      </c>
      <c r="D160" s="3">
        <f>IFERROR(__xludf.DUMMYFUNCTION("""COMPUTED_VALUE"""),102.0)</f>
        <v>102</v>
      </c>
      <c r="E160" s="1" t="str">
        <f t="array" ref="E160">_xlfn.XLOOKUP(A160,Product!A:A,Product!B:B,"Bulunamadı")</f>
        <v>Self-Help</v>
      </c>
      <c r="F160" s="1" t="str">
        <f t="array" ref="F160">_xlfn.XLOOKUP(A160,Product!A:A,Product!C:C,"Bulunamadı")</f>
        <v>Adventure</v>
      </c>
      <c r="G160" s="2" t="str">
        <f t="array" ref="G160">_xlfn.XLOOKUP(A161,Product!A:A,Product!D:D,"Bulunamadı")</f>
        <v>Iron Gate Books</v>
      </c>
      <c r="H160" s="2">
        <f t="array" ref="H160">_xlfn.XLOOKUP(A162,Product!A:A,Product!E:E,"Bulunamadı")</f>
        <v>6.43</v>
      </c>
      <c r="I160" s="2" t="str">
        <f t="shared" si="1"/>
        <v>113845 - Self-Help - Adventure</v>
      </c>
      <c r="J160" s="2">
        <f t="shared" si="2"/>
        <v>655.86</v>
      </c>
      <c r="K160" s="17">
        <f t="shared" si="3"/>
        <v>1</v>
      </c>
      <c r="L160" s="18"/>
    </row>
    <row r="161" hidden="1">
      <c r="A161" s="2">
        <f>IFERROR(__xludf.DUMMYFUNCTION("""COMPUTED_VALUE"""),77824.0)</f>
        <v>77824</v>
      </c>
      <c r="B161" s="2">
        <f>IFERROR(__xludf.DUMMYFUNCTION("""COMPUTED_VALUE"""),0.0)</f>
        <v>0</v>
      </c>
      <c r="C161" s="2">
        <f>IFERROR(__xludf.DUMMYFUNCTION("""COMPUTED_VALUE"""),769.0)</f>
        <v>769</v>
      </c>
      <c r="D161" s="3">
        <f>IFERROR(__xludf.DUMMYFUNCTION("""COMPUTED_VALUE"""),761.0)</f>
        <v>761</v>
      </c>
      <c r="E161" s="1" t="str">
        <f t="array" ref="E161">_xlfn.XLOOKUP(A161,Product!A:A,Product!B:B,"Bulunamadı")</f>
        <v>Fiction</v>
      </c>
      <c r="F161" s="1" t="str">
        <f t="array" ref="F161">_xlfn.XLOOKUP(A161,Product!A:A,Product!C:C,"Bulunamadı")</f>
        <v>Historical Fiction</v>
      </c>
      <c r="G161" s="2" t="str">
        <f t="array" ref="G161">_xlfn.XLOOKUP(A162,Product!A:A,Product!D:D,"Bulunamadı")</f>
        <v>Iron Gate Books</v>
      </c>
      <c r="H161" s="2">
        <f t="array" ref="H161">_xlfn.XLOOKUP(A163,Product!A:A,Product!E:E,"Bulunamadı")</f>
        <v>4.92</v>
      </c>
      <c r="I161" s="2" t="str">
        <f t="shared" si="1"/>
        <v>77824 - Fiction - Historical Fiction</v>
      </c>
      <c r="J161" s="2">
        <f t="shared" si="2"/>
        <v>3744.12</v>
      </c>
      <c r="K161" s="17">
        <f t="shared" si="3"/>
        <v>1</v>
      </c>
      <c r="L161" s="18"/>
    </row>
    <row r="162" hidden="1">
      <c r="A162" s="2">
        <f>IFERROR(__xludf.DUMMYFUNCTION("""COMPUTED_VALUE"""),85888.0)</f>
        <v>85888</v>
      </c>
      <c r="B162" s="2">
        <f>IFERROR(__xludf.DUMMYFUNCTION("""COMPUTED_VALUE"""),1.0)</f>
        <v>1</v>
      </c>
      <c r="C162" s="2">
        <f>IFERROR(__xludf.DUMMYFUNCTION("""COMPUTED_VALUE"""),315.0)</f>
        <v>315</v>
      </c>
      <c r="D162" s="3">
        <f>IFERROR(__xludf.DUMMYFUNCTION("""COMPUTED_VALUE"""),305.0)</f>
        <v>305</v>
      </c>
      <c r="E162" s="1" t="str">
        <f t="array" ref="E162">_xlfn.XLOOKUP(A162,Product!A:A,Product!B:B,"Bulunamadı")</f>
        <v>Fiction</v>
      </c>
      <c r="F162" s="1" t="str">
        <f t="array" ref="F162">_xlfn.XLOOKUP(A162,Product!A:A,Product!C:C,"Bulunamadı")</f>
        <v>Historical Fiction</v>
      </c>
      <c r="G162" s="2" t="str">
        <f t="array" ref="G162">_xlfn.XLOOKUP(A163,Product!A:A,Product!D:D,"Bulunamadı")</f>
        <v>Iron Gate Books</v>
      </c>
      <c r="H162" s="2">
        <f t="array" ref="H162">_xlfn.XLOOKUP(A164,Product!A:A,Product!E:E,"Bulunamadı")</f>
        <v>32.73</v>
      </c>
      <c r="I162" s="2" t="str">
        <f t="shared" si="1"/>
        <v>85888 - Fiction - Historical Fiction</v>
      </c>
      <c r="J162" s="2">
        <f t="shared" si="2"/>
        <v>9982.65</v>
      </c>
      <c r="K162" s="17">
        <f t="shared" si="3"/>
        <v>1</v>
      </c>
      <c r="L162" s="18"/>
    </row>
    <row r="163" hidden="1">
      <c r="A163" s="2">
        <f>IFERROR(__xludf.DUMMYFUNCTION("""COMPUTED_VALUE"""),85890.0)</f>
        <v>85890</v>
      </c>
      <c r="B163" s="2">
        <f>IFERROR(__xludf.DUMMYFUNCTION("""COMPUTED_VALUE"""),1.0)</f>
        <v>1</v>
      </c>
      <c r="C163" s="2">
        <f>IFERROR(__xludf.DUMMYFUNCTION("""COMPUTED_VALUE"""),610.0)</f>
        <v>610</v>
      </c>
      <c r="D163" s="3">
        <f>IFERROR(__xludf.DUMMYFUNCTION("""COMPUTED_VALUE"""),520.0)</f>
        <v>520</v>
      </c>
      <c r="E163" s="1" t="str">
        <f t="array" ref="E163">_xlfn.XLOOKUP(A163,Product!A:A,Product!B:B,"Bulunamadı")</f>
        <v>Fiction</v>
      </c>
      <c r="F163" s="1" t="str">
        <f t="array" ref="F163">_xlfn.XLOOKUP(A163,Product!A:A,Product!C:C,"Bulunamadı")</f>
        <v>Historical Fiction</v>
      </c>
      <c r="G163" s="2" t="str">
        <f t="array" ref="G163">_xlfn.XLOOKUP(A164,Product!A:A,Product!D:D,"Bulunamadı")</f>
        <v>Iron Gate Books</v>
      </c>
      <c r="H163" s="2">
        <f t="array" ref="H163">_xlfn.XLOOKUP(A165,Product!A:A,Product!E:E,"Bulunamadı")</f>
        <v>4.9</v>
      </c>
      <c r="I163" s="2" t="str">
        <f t="shared" si="1"/>
        <v>85890 - Fiction - Historical Fiction</v>
      </c>
      <c r="J163" s="2">
        <f t="shared" si="2"/>
        <v>2548</v>
      </c>
      <c r="K163" s="17">
        <f t="shared" si="3"/>
        <v>1</v>
      </c>
      <c r="L163" s="18"/>
    </row>
    <row r="164" hidden="1">
      <c r="A164" s="2">
        <f>IFERROR(__xludf.DUMMYFUNCTION("""COMPUTED_VALUE"""),83727.0)</f>
        <v>83727</v>
      </c>
      <c r="B164" s="2">
        <f>IFERROR(__xludf.DUMMYFUNCTION("""COMPUTED_VALUE"""),1.0)</f>
        <v>1</v>
      </c>
      <c r="C164" s="2">
        <f>IFERROR(__xludf.DUMMYFUNCTION("""COMPUTED_VALUE"""),213.0)</f>
        <v>213</v>
      </c>
      <c r="D164" s="3">
        <f>IFERROR(__xludf.DUMMYFUNCTION("""COMPUTED_VALUE"""),34.0)</f>
        <v>34</v>
      </c>
      <c r="E164" s="1" t="str">
        <f t="array" ref="E164">_xlfn.XLOOKUP(A164,Product!A:A,Product!B:B,"Bulunamadı")</f>
        <v>Fiction</v>
      </c>
      <c r="F164" s="1" t="str">
        <f t="array" ref="F164">_xlfn.XLOOKUP(A164,Product!A:A,Product!C:C,"Bulunamadı")</f>
        <v>Historical Fiction</v>
      </c>
      <c r="G164" s="2" t="str">
        <f t="array" ref="G164">_xlfn.XLOOKUP(A165,Product!A:A,Product!D:D,"Bulunamadı")</f>
        <v>Iron Gate Books</v>
      </c>
      <c r="H164" s="2">
        <f t="array" ref="H164">_xlfn.XLOOKUP(A166,Product!A:A,Product!E:E,"Bulunamadı")</f>
        <v>12.15</v>
      </c>
      <c r="I164" s="2" t="str">
        <f t="shared" si="1"/>
        <v>83727 - Fiction - Historical Fiction</v>
      </c>
      <c r="J164" s="2">
        <f t="shared" si="2"/>
        <v>413.1</v>
      </c>
      <c r="K164" s="17">
        <f t="shared" si="3"/>
        <v>1</v>
      </c>
      <c r="L164" s="18"/>
    </row>
    <row r="165" hidden="1">
      <c r="A165" s="2">
        <f>IFERROR(__xludf.DUMMYFUNCTION("""COMPUTED_VALUE"""),85887.0)</f>
        <v>85887</v>
      </c>
      <c r="B165" s="2">
        <f>IFERROR(__xludf.DUMMYFUNCTION("""COMPUTED_VALUE"""),0.0)</f>
        <v>0</v>
      </c>
      <c r="C165" s="2">
        <f>IFERROR(__xludf.DUMMYFUNCTION("""COMPUTED_VALUE"""),473.0)</f>
        <v>473</v>
      </c>
      <c r="D165" s="3">
        <f>IFERROR(__xludf.DUMMYFUNCTION("""COMPUTED_VALUE"""),333.0)</f>
        <v>333</v>
      </c>
      <c r="E165" s="1" t="str">
        <f t="array" ref="E165">_xlfn.XLOOKUP(A165,Product!A:A,Product!B:B,"Bulunamadı")</f>
        <v>Fiction</v>
      </c>
      <c r="F165" s="1" t="str">
        <f t="array" ref="F165">_xlfn.XLOOKUP(A165,Product!A:A,Product!C:C,"Bulunamadı")</f>
        <v>Historical Fiction</v>
      </c>
      <c r="G165" s="2" t="str">
        <f t="array" ref="G165">_xlfn.XLOOKUP(A166,Product!A:A,Product!D:D,"Bulunamadı")</f>
        <v>Iron Gate Books</v>
      </c>
      <c r="H165" s="2">
        <f t="array" ref="H165">_xlfn.XLOOKUP(A167,Product!A:A,Product!E:E,"Bulunamadı")</f>
        <v>5.19</v>
      </c>
      <c r="I165" s="2" t="str">
        <f t="shared" si="1"/>
        <v>85887 - Fiction - Historical Fiction</v>
      </c>
      <c r="J165" s="2">
        <f t="shared" si="2"/>
        <v>1728.27</v>
      </c>
      <c r="K165" s="17">
        <f t="shared" si="3"/>
        <v>1</v>
      </c>
      <c r="L165" s="18"/>
    </row>
    <row r="166" hidden="1">
      <c r="A166" s="2">
        <f>IFERROR(__xludf.DUMMYFUNCTION("""COMPUTED_VALUE"""),77823.0)</f>
        <v>77823</v>
      </c>
      <c r="B166" s="2">
        <f>IFERROR(__xludf.DUMMYFUNCTION("""COMPUTED_VALUE"""),1.0)</f>
        <v>1</v>
      </c>
      <c r="C166" s="2">
        <f>IFERROR(__xludf.DUMMYFUNCTION("""COMPUTED_VALUE"""),710.0)</f>
        <v>710</v>
      </c>
      <c r="D166" s="3">
        <f>IFERROR(__xludf.DUMMYFUNCTION("""COMPUTED_VALUE"""),217.0)</f>
        <v>217</v>
      </c>
      <c r="E166" s="1" t="str">
        <f t="array" ref="E166">_xlfn.XLOOKUP(A166,Product!A:A,Product!B:B,"Bulunamadı")</f>
        <v>Fiction</v>
      </c>
      <c r="F166" s="1" t="str">
        <f t="array" ref="F166">_xlfn.XLOOKUP(A166,Product!A:A,Product!C:C,"Bulunamadı")</f>
        <v>Historical Fiction</v>
      </c>
      <c r="G166" s="2" t="str">
        <f t="array" ref="G166">_xlfn.XLOOKUP(A167,Product!A:A,Product!D:D,"Bulunamadı")</f>
        <v>Blue Harbor Press</v>
      </c>
      <c r="H166" s="2">
        <f t="array" ref="H166">_xlfn.XLOOKUP(A168,Product!A:A,Product!E:E,"Bulunamadı")</f>
        <v>13.87</v>
      </c>
      <c r="I166" s="2" t="str">
        <f t="shared" si="1"/>
        <v>77823 - Fiction - Historical Fiction</v>
      </c>
      <c r="J166" s="2">
        <f t="shared" si="2"/>
        <v>3009.79</v>
      </c>
      <c r="K166" s="17">
        <f t="shared" si="3"/>
        <v>1</v>
      </c>
      <c r="L166" s="18"/>
    </row>
    <row r="167" hidden="1">
      <c r="A167" s="2">
        <f>IFERROR(__xludf.DUMMYFUNCTION("""COMPUTED_VALUE"""),86753.0)</f>
        <v>86753</v>
      </c>
      <c r="B167" s="2">
        <f>IFERROR(__xludf.DUMMYFUNCTION("""COMPUTED_VALUE"""),1.0)</f>
        <v>1</v>
      </c>
      <c r="C167" s="2">
        <f>IFERROR(__xludf.DUMMYFUNCTION("""COMPUTED_VALUE"""),815.0)</f>
        <v>815</v>
      </c>
      <c r="D167" s="3">
        <f>IFERROR(__xludf.DUMMYFUNCTION("""COMPUTED_VALUE"""),514.0)</f>
        <v>514</v>
      </c>
      <c r="E167" s="1" t="str">
        <f t="array" ref="E167">_xlfn.XLOOKUP(A167,Product!A:A,Product!B:B,"Bulunamadı")</f>
        <v>Fiction</v>
      </c>
      <c r="F167" s="1" t="str">
        <f t="array" ref="F167">_xlfn.XLOOKUP(A167,Product!A:A,Product!C:C,"Bulunamadı")</f>
        <v>Historical Fiction</v>
      </c>
      <c r="G167" s="2" t="str">
        <f t="array" ref="G167">_xlfn.XLOOKUP(A168,Product!A:A,Product!D:D,"Bulunamadı")</f>
        <v>Blue Harbor Press</v>
      </c>
      <c r="H167" s="2">
        <f t="array" ref="H167">_xlfn.XLOOKUP(A169,Product!A:A,Product!E:E,"Bulunamadı")</f>
        <v>12.67</v>
      </c>
      <c r="I167" s="2" t="str">
        <f t="shared" si="1"/>
        <v>86753 - Fiction - Historical Fiction</v>
      </c>
      <c r="J167" s="2">
        <f t="shared" si="2"/>
        <v>6512.38</v>
      </c>
      <c r="K167" s="17">
        <f t="shared" si="3"/>
        <v>1</v>
      </c>
      <c r="L167" s="18"/>
    </row>
    <row r="168" hidden="1">
      <c r="A168" s="2">
        <f>IFERROR(__xludf.DUMMYFUNCTION("""COMPUTED_VALUE"""),145102.0)</f>
        <v>145102</v>
      </c>
      <c r="B168" s="2">
        <f>IFERROR(__xludf.DUMMYFUNCTION("""COMPUTED_VALUE"""),0.0)</f>
        <v>0</v>
      </c>
      <c r="C168" s="2">
        <f>IFERROR(__xludf.DUMMYFUNCTION("""COMPUTED_VALUE"""),643.0)</f>
        <v>643</v>
      </c>
      <c r="D168" s="3">
        <f>IFERROR(__xludf.DUMMYFUNCTION("""COMPUTED_VALUE"""),475.0)</f>
        <v>475</v>
      </c>
      <c r="E168" s="1" t="str">
        <f t="array" ref="E168">_xlfn.XLOOKUP(A168,Product!A:A,Product!B:B,"Bulunamadı")</f>
        <v>Fiction</v>
      </c>
      <c r="F168" s="1" t="str">
        <f t="array" ref="F168">_xlfn.XLOOKUP(A168,Product!A:A,Product!C:C,"Bulunamadı")</f>
        <v>Historical Fiction</v>
      </c>
      <c r="G168" s="2" t="str">
        <f t="array" ref="G168">_xlfn.XLOOKUP(A169,Product!A:A,Product!D:D,"Bulunamadı")</f>
        <v>Crescent Moon Publishing</v>
      </c>
      <c r="H168" s="2">
        <f t="array" ref="H168">_xlfn.XLOOKUP(A170,Product!A:A,Product!E:E,"Bulunamadı")</f>
        <v>9.03</v>
      </c>
      <c r="I168" s="2" t="str">
        <f t="shared" si="1"/>
        <v>145102 - Fiction - Historical Fiction</v>
      </c>
      <c r="J168" s="2">
        <f t="shared" si="2"/>
        <v>4289.25</v>
      </c>
      <c r="K168" s="17">
        <f t="shared" si="3"/>
        <v>1</v>
      </c>
      <c r="L168" s="18"/>
    </row>
    <row r="169" hidden="1">
      <c r="A169" s="2">
        <f>IFERROR(__xludf.DUMMYFUNCTION("""COMPUTED_VALUE"""),78717.0)</f>
        <v>78717</v>
      </c>
      <c r="B169" s="2">
        <f>IFERROR(__xludf.DUMMYFUNCTION("""COMPUTED_VALUE"""),1.0)</f>
        <v>1</v>
      </c>
      <c r="C169" s="2">
        <f>IFERROR(__xludf.DUMMYFUNCTION("""COMPUTED_VALUE"""),411.0)</f>
        <v>411</v>
      </c>
      <c r="D169" s="3">
        <f>IFERROR(__xludf.DUMMYFUNCTION("""COMPUTED_VALUE"""),361.0)</f>
        <v>361</v>
      </c>
      <c r="E169" s="1" t="str">
        <f t="array" ref="E169">_xlfn.XLOOKUP(A169,Product!A:A,Product!B:B,"Bulunamadı")</f>
        <v>Sports</v>
      </c>
      <c r="F169" s="1" t="str">
        <f t="array" ref="F169">_xlfn.XLOOKUP(A169,Product!A:A,Product!C:C,"Bulunamadı")</f>
        <v>Romance</v>
      </c>
      <c r="G169" s="2" t="str">
        <f t="array" ref="G169">_xlfn.XLOOKUP(A170,Product!A:A,Product!D:D,"Bulunamadı")</f>
        <v>Crescent Moon Publishing</v>
      </c>
      <c r="H169" s="2">
        <f t="array" ref="H169">_xlfn.XLOOKUP(A171,Product!A:A,Product!E:E,"Bulunamadı")</f>
        <v>1.94</v>
      </c>
      <c r="I169" s="2" t="str">
        <f t="shared" si="1"/>
        <v>78717 - Sports - Romance</v>
      </c>
      <c r="J169" s="2">
        <f t="shared" si="2"/>
        <v>700.34</v>
      </c>
      <c r="K169" s="17">
        <f t="shared" si="3"/>
        <v>1</v>
      </c>
      <c r="L169" s="18"/>
    </row>
    <row r="170" hidden="1">
      <c r="A170" s="2">
        <f>IFERROR(__xludf.DUMMYFUNCTION("""COMPUTED_VALUE"""),82777.0)</f>
        <v>82777</v>
      </c>
      <c r="B170" s="2">
        <f>IFERROR(__xludf.DUMMYFUNCTION("""COMPUTED_VALUE"""),1.0)</f>
        <v>1</v>
      </c>
      <c r="C170" s="2">
        <f>IFERROR(__xludf.DUMMYFUNCTION("""COMPUTED_VALUE"""),703.0)</f>
        <v>703</v>
      </c>
      <c r="D170" s="3">
        <f>IFERROR(__xludf.DUMMYFUNCTION("""COMPUTED_VALUE"""),674.0)</f>
        <v>674</v>
      </c>
      <c r="E170" s="1" t="str">
        <f t="array" ref="E170">_xlfn.XLOOKUP(A170,Product!A:A,Product!B:B,"Bulunamadı")</f>
        <v>Sports</v>
      </c>
      <c r="F170" s="1" t="str">
        <f t="array" ref="F170">_xlfn.XLOOKUP(A170,Product!A:A,Product!C:C,"Bulunamadı")</f>
        <v>Romance</v>
      </c>
      <c r="G170" s="2" t="str">
        <f t="array" ref="G170">_xlfn.XLOOKUP(A171,Product!A:A,Product!D:D,"Bulunamadı")</f>
        <v>Copper Hill Books</v>
      </c>
      <c r="H170" s="2">
        <f t="array" ref="H170">_xlfn.XLOOKUP(A172,Product!A:A,Product!E:E,"Bulunamadı")</f>
        <v>7.29</v>
      </c>
      <c r="I170" s="2" t="str">
        <f t="shared" si="1"/>
        <v>82777 - Sports - Romance</v>
      </c>
      <c r="J170" s="2">
        <f t="shared" si="2"/>
        <v>4913.46</v>
      </c>
      <c r="K170" s="17">
        <f t="shared" si="3"/>
        <v>1</v>
      </c>
      <c r="L170" s="18"/>
    </row>
    <row r="171" hidden="1">
      <c r="A171" s="2">
        <f>IFERROR(__xludf.DUMMYFUNCTION("""COMPUTED_VALUE"""),120341.0)</f>
        <v>120341</v>
      </c>
      <c r="B171" s="2">
        <f>IFERROR(__xludf.DUMMYFUNCTION("""COMPUTED_VALUE"""),1.0)</f>
        <v>1</v>
      </c>
      <c r="C171" s="2">
        <f>IFERROR(__xludf.DUMMYFUNCTION("""COMPUTED_VALUE"""),409.0)</f>
        <v>409</v>
      </c>
      <c r="D171" s="3">
        <f>IFERROR(__xludf.DUMMYFUNCTION("""COMPUTED_VALUE"""),121.0)</f>
        <v>121</v>
      </c>
      <c r="E171" s="1" t="str">
        <f t="array" ref="E171">_xlfn.XLOOKUP(A171,Product!A:A,Product!B:B,"Bulunamadı")</f>
        <v>Sports</v>
      </c>
      <c r="F171" s="1" t="str">
        <f t="array" ref="F171">_xlfn.XLOOKUP(A171,Product!A:A,Product!C:C,"Bulunamadı")</f>
        <v>Romance</v>
      </c>
      <c r="G171" s="2" t="str">
        <f t="array" ref="G171">_xlfn.XLOOKUP(A172,Product!A:A,Product!D:D,"Bulunamadı")</f>
        <v>Copper Hill Books</v>
      </c>
      <c r="H171" s="2">
        <f t="array" ref="H171">_xlfn.XLOOKUP(A173,Product!A:A,Product!E:E,"Bulunamadı")</f>
        <v>7.96</v>
      </c>
      <c r="I171" s="2" t="str">
        <f t="shared" si="1"/>
        <v>120341 - Sports - Romance</v>
      </c>
      <c r="J171" s="2">
        <f t="shared" si="2"/>
        <v>963.16</v>
      </c>
      <c r="K171" s="17">
        <f t="shared" si="3"/>
        <v>1</v>
      </c>
      <c r="L171" s="18"/>
    </row>
    <row r="172" hidden="1">
      <c r="A172" s="2">
        <f>IFERROR(__xludf.DUMMYFUNCTION("""COMPUTED_VALUE"""),110344.0)</f>
        <v>110344</v>
      </c>
      <c r="B172" s="2">
        <f>IFERROR(__xludf.DUMMYFUNCTION("""COMPUTED_VALUE"""),0.0)</f>
        <v>0</v>
      </c>
      <c r="C172" s="2">
        <f>IFERROR(__xludf.DUMMYFUNCTION("""COMPUTED_VALUE"""),52.0)</f>
        <v>52</v>
      </c>
      <c r="D172" s="3">
        <f>IFERROR(__xludf.DUMMYFUNCTION("""COMPUTED_VALUE"""),2.0)</f>
        <v>2</v>
      </c>
      <c r="E172" s="1" t="str">
        <f t="array" ref="E172">_xlfn.XLOOKUP(A172,Product!A:A,Product!B:B,"Bulunamadı")</f>
        <v>Sports</v>
      </c>
      <c r="F172" s="1" t="str">
        <f t="array" ref="F172">_xlfn.XLOOKUP(A172,Product!A:A,Product!C:C,"Bulunamadı")</f>
        <v>Romance</v>
      </c>
      <c r="G172" s="2" t="str">
        <f t="array" ref="G172">_xlfn.XLOOKUP(A173,Product!A:A,Product!D:D,"Bulunamadı")</f>
        <v>Copper Hill Books</v>
      </c>
      <c r="H172" s="2">
        <f t="array" ref="H172">_xlfn.XLOOKUP(A174,Product!A:A,Product!E:E,"Bulunamadı")</f>
        <v>13.32</v>
      </c>
      <c r="I172" s="2" t="str">
        <f t="shared" si="1"/>
        <v>110344 - Sports - Romance</v>
      </c>
      <c r="J172" s="2">
        <f t="shared" si="2"/>
        <v>26.64</v>
      </c>
      <c r="K172" s="17">
        <f t="shared" si="3"/>
        <v>1</v>
      </c>
      <c r="L172" s="18"/>
    </row>
    <row r="173" hidden="1">
      <c r="A173" s="2">
        <f>IFERROR(__xludf.DUMMYFUNCTION("""COMPUTED_VALUE"""),120233.0)</f>
        <v>120233</v>
      </c>
      <c r="B173" s="2">
        <f>IFERROR(__xludf.DUMMYFUNCTION("""COMPUTED_VALUE"""),0.0)</f>
        <v>0</v>
      </c>
      <c r="C173" s="2">
        <f>IFERROR(__xludf.DUMMYFUNCTION("""COMPUTED_VALUE"""),504.0)</f>
        <v>504</v>
      </c>
      <c r="D173" s="3">
        <f>IFERROR(__xludf.DUMMYFUNCTION("""COMPUTED_VALUE"""),161.0)</f>
        <v>161</v>
      </c>
      <c r="E173" s="1" t="str">
        <f t="array" ref="E173">_xlfn.XLOOKUP(A173,Product!A:A,Product!B:B,"Bulunamadı")</f>
        <v>Sports</v>
      </c>
      <c r="F173" s="1" t="str">
        <f t="array" ref="F173">_xlfn.XLOOKUP(A173,Product!A:A,Product!C:C,"Bulunamadı")</f>
        <v>Romance</v>
      </c>
      <c r="G173" s="2" t="str">
        <f t="array" ref="G173">_xlfn.XLOOKUP(A174,Product!A:A,Product!D:D,"Bulunamadı")</f>
        <v>Copper Hill Books</v>
      </c>
      <c r="H173" s="2">
        <f t="array" ref="H173">_xlfn.XLOOKUP(A175,Product!A:A,Product!E:E,"Bulunamadı")</f>
        <v>4.84</v>
      </c>
      <c r="I173" s="2" t="str">
        <f t="shared" si="1"/>
        <v>120233 - Sports - Romance</v>
      </c>
      <c r="J173" s="2">
        <f t="shared" si="2"/>
        <v>779.24</v>
      </c>
      <c r="K173" s="17">
        <f t="shared" si="3"/>
        <v>1</v>
      </c>
      <c r="L173" s="18"/>
    </row>
    <row r="174" hidden="1">
      <c r="A174" s="2">
        <f>IFERROR(__xludf.DUMMYFUNCTION("""COMPUTED_VALUE"""),117579.0)</f>
        <v>117579</v>
      </c>
      <c r="B174" s="2">
        <f>IFERROR(__xludf.DUMMYFUNCTION("""COMPUTED_VALUE"""),0.0)</f>
        <v>0</v>
      </c>
      <c r="C174" s="2">
        <f>IFERROR(__xludf.DUMMYFUNCTION("""COMPUTED_VALUE"""),979.0)</f>
        <v>979</v>
      </c>
      <c r="D174" s="3">
        <f>IFERROR(__xludf.DUMMYFUNCTION("""COMPUTED_VALUE"""),879.0)</f>
        <v>879</v>
      </c>
      <c r="E174" s="1" t="str">
        <f t="array" ref="E174">_xlfn.XLOOKUP(A174,Product!A:A,Product!B:B,"Bulunamadı")</f>
        <v>Sports</v>
      </c>
      <c r="F174" s="1" t="str">
        <f t="array" ref="F174">_xlfn.XLOOKUP(A174,Product!A:A,Product!C:C,"Bulunamadı")</f>
        <v>Romance</v>
      </c>
      <c r="G174" s="2" t="str">
        <f t="array" ref="G174">_xlfn.XLOOKUP(A175,Product!A:A,Product!D:D,"Bulunamadı")</f>
        <v>Copper Hill Books</v>
      </c>
      <c r="H174" s="2">
        <f t="array" ref="H174">_xlfn.XLOOKUP(A176,Product!A:A,Product!E:E,"Bulunamadı")</f>
        <v>15.18</v>
      </c>
      <c r="I174" s="2" t="str">
        <f t="shared" si="1"/>
        <v>117579 - Sports - Romance</v>
      </c>
      <c r="J174" s="2">
        <f t="shared" si="2"/>
        <v>13343.22</v>
      </c>
      <c r="K174" s="17">
        <f t="shared" si="3"/>
        <v>1</v>
      </c>
      <c r="L174" s="18"/>
    </row>
    <row r="175" hidden="1">
      <c r="A175" s="2">
        <f>IFERROR(__xludf.DUMMYFUNCTION("""COMPUTED_VALUE"""),21066.0)</f>
        <v>21066</v>
      </c>
      <c r="B175" s="2">
        <f>IFERROR(__xludf.DUMMYFUNCTION("""COMPUTED_VALUE"""),1.0)</f>
        <v>1</v>
      </c>
      <c r="C175" s="2">
        <f>IFERROR(__xludf.DUMMYFUNCTION("""COMPUTED_VALUE"""),605.0)</f>
        <v>605</v>
      </c>
      <c r="D175" s="3">
        <f>IFERROR(__xludf.DUMMYFUNCTION("""COMPUTED_VALUE"""),16.0)</f>
        <v>16</v>
      </c>
      <c r="E175" s="1" t="str">
        <f t="array" ref="E175">_xlfn.XLOOKUP(A175,Product!A:A,Product!B:B,"Bulunamadı")</f>
        <v>Sports</v>
      </c>
      <c r="F175" s="1" t="str">
        <f t="array" ref="F175">_xlfn.XLOOKUP(A175,Product!A:A,Product!C:C,"Bulunamadı")</f>
        <v>Romance</v>
      </c>
      <c r="G175" s="2" t="str">
        <f t="array" ref="G175">_xlfn.XLOOKUP(A176,Product!A:A,Product!D:D,"Bulunamadı")</f>
        <v>Copper Hill Books</v>
      </c>
      <c r="H175" s="2">
        <f t="array" ref="H175">_xlfn.XLOOKUP(A177,Product!A:A,Product!E:E,"Bulunamadı")</f>
        <v>6.88</v>
      </c>
      <c r="I175" s="2" t="str">
        <f t="shared" si="1"/>
        <v>21066 - Sports - Romance</v>
      </c>
      <c r="J175" s="2">
        <f t="shared" si="2"/>
        <v>110.08</v>
      </c>
      <c r="K175" s="17">
        <f t="shared" si="3"/>
        <v>1</v>
      </c>
      <c r="L175" s="18"/>
    </row>
    <row r="176" hidden="1">
      <c r="A176" s="2">
        <f>IFERROR(__xludf.DUMMYFUNCTION("""COMPUTED_VALUE"""),117583.0)</f>
        <v>117583</v>
      </c>
      <c r="B176" s="2">
        <f>IFERROR(__xludf.DUMMYFUNCTION("""COMPUTED_VALUE"""),0.0)</f>
        <v>0</v>
      </c>
      <c r="C176" s="2">
        <f>IFERROR(__xludf.DUMMYFUNCTION("""COMPUTED_VALUE"""),237.0)</f>
        <v>237</v>
      </c>
      <c r="D176" s="3">
        <f>IFERROR(__xludf.DUMMYFUNCTION("""COMPUTED_VALUE"""),159.0)</f>
        <v>159</v>
      </c>
      <c r="E176" s="1" t="str">
        <f t="array" ref="E176">_xlfn.XLOOKUP(A176,Product!A:A,Product!B:B,"Bulunamadı")</f>
        <v>Sports</v>
      </c>
      <c r="F176" s="1" t="str">
        <f t="array" ref="F176">_xlfn.XLOOKUP(A176,Product!A:A,Product!C:C,"Bulunamadı")</f>
        <v>Romance</v>
      </c>
      <c r="G176" s="2" t="str">
        <f t="array" ref="G176">_xlfn.XLOOKUP(A177,Product!A:A,Product!D:D,"Bulunamadı")</f>
        <v>Grand Oak Press</v>
      </c>
      <c r="H176" s="2">
        <f t="array" ref="H176">_xlfn.XLOOKUP(A178,Product!A:A,Product!E:E,"Bulunamadı")</f>
        <v>6.2</v>
      </c>
      <c r="I176" s="2" t="str">
        <f t="shared" si="1"/>
        <v>117583 - Sports - Romance</v>
      </c>
      <c r="J176" s="2">
        <f t="shared" si="2"/>
        <v>985.8</v>
      </c>
      <c r="K176" s="17">
        <f t="shared" si="3"/>
        <v>1</v>
      </c>
      <c r="L176" s="18"/>
    </row>
    <row r="177" hidden="1">
      <c r="A177" s="2">
        <f>IFERROR(__xludf.DUMMYFUNCTION("""COMPUTED_VALUE"""),71107.0)</f>
        <v>71107</v>
      </c>
      <c r="B177" s="2">
        <f>IFERROR(__xludf.DUMMYFUNCTION("""COMPUTED_VALUE"""),1.0)</f>
        <v>1</v>
      </c>
      <c r="C177" s="2">
        <f>IFERROR(__xludf.DUMMYFUNCTION("""COMPUTED_VALUE"""),343.0)</f>
        <v>343</v>
      </c>
      <c r="D177" s="3">
        <f>IFERROR(__xludf.DUMMYFUNCTION("""COMPUTED_VALUE"""),172.0)</f>
        <v>172</v>
      </c>
      <c r="E177" s="1" t="str">
        <f t="array" ref="E177">_xlfn.XLOOKUP(A177,Product!A:A,Product!B:B,"Bulunamadı")</f>
        <v>Sports</v>
      </c>
      <c r="F177" s="1" t="str">
        <f t="array" ref="F177">_xlfn.XLOOKUP(A177,Product!A:A,Product!C:C,"Bulunamadı")</f>
        <v>Romance</v>
      </c>
      <c r="G177" s="2" t="str">
        <f t="array" ref="G177">_xlfn.XLOOKUP(A178,Product!A:A,Product!D:D,"Bulunamadı")</f>
        <v>Grand Oak Press</v>
      </c>
      <c r="H177" s="2">
        <f t="array" ref="H177">_xlfn.XLOOKUP(A179,Product!A:A,Product!E:E,"Bulunamadı")</f>
        <v>5.8</v>
      </c>
      <c r="I177" s="2" t="str">
        <f t="shared" si="1"/>
        <v>71107 - Sports - Romance</v>
      </c>
      <c r="J177" s="2">
        <f t="shared" si="2"/>
        <v>997.6</v>
      </c>
      <c r="K177" s="17">
        <f t="shared" si="3"/>
        <v>1</v>
      </c>
      <c r="L177" s="18"/>
    </row>
    <row r="178" hidden="1">
      <c r="A178" s="2">
        <f>IFERROR(__xludf.DUMMYFUNCTION("""COMPUTED_VALUE"""),104168.0)</f>
        <v>104168</v>
      </c>
      <c r="B178" s="2">
        <f>IFERROR(__xludf.DUMMYFUNCTION("""COMPUTED_VALUE"""),0.0)</f>
        <v>0</v>
      </c>
      <c r="C178" s="2">
        <f>IFERROR(__xludf.DUMMYFUNCTION("""COMPUTED_VALUE"""),66.0)</f>
        <v>66</v>
      </c>
      <c r="D178" s="3">
        <f>IFERROR(__xludf.DUMMYFUNCTION("""COMPUTED_VALUE"""),51.0)</f>
        <v>51</v>
      </c>
      <c r="E178" s="1" t="str">
        <f t="array" ref="E178">_xlfn.XLOOKUP(A178,Product!A:A,Product!B:B,"Bulunamadı")</f>
        <v>Sports</v>
      </c>
      <c r="F178" s="1" t="str">
        <f t="array" ref="F178">_xlfn.XLOOKUP(A178,Product!A:A,Product!C:C,"Bulunamadı")</f>
        <v>Romance</v>
      </c>
      <c r="G178" s="2" t="str">
        <f t="array" ref="G178">_xlfn.XLOOKUP(A179,Product!A:A,Product!D:D,"Bulunamadı")</f>
        <v>Grand Oak Press</v>
      </c>
      <c r="H178" s="2">
        <f t="array" ref="H178">_xlfn.XLOOKUP(A180,Product!A:A,Product!E:E,"Bulunamadı")</f>
        <v>5.78</v>
      </c>
      <c r="I178" s="2" t="str">
        <f t="shared" si="1"/>
        <v>104168 - Sports - Romance</v>
      </c>
      <c r="J178" s="2">
        <f t="shared" si="2"/>
        <v>294.78</v>
      </c>
      <c r="K178" s="17">
        <f t="shared" si="3"/>
        <v>1</v>
      </c>
      <c r="L178" s="18"/>
    </row>
    <row r="179" hidden="1">
      <c r="A179" s="2">
        <f>IFERROR(__xludf.DUMMYFUNCTION("""COMPUTED_VALUE"""),88913.0)</f>
        <v>88913</v>
      </c>
      <c r="B179" s="2">
        <f>IFERROR(__xludf.DUMMYFUNCTION("""COMPUTED_VALUE"""),0.0)</f>
        <v>0</v>
      </c>
      <c r="C179" s="2">
        <f>IFERROR(__xludf.DUMMYFUNCTION("""COMPUTED_VALUE"""),411.0)</f>
        <v>411</v>
      </c>
      <c r="D179" s="3">
        <f>IFERROR(__xludf.DUMMYFUNCTION("""COMPUTED_VALUE"""),175.0)</f>
        <v>175</v>
      </c>
      <c r="E179" s="1" t="str">
        <f t="array" ref="E179">_xlfn.XLOOKUP(A179,Product!A:A,Product!B:B,"Bulunamadı")</f>
        <v>Sports</v>
      </c>
      <c r="F179" s="1" t="str">
        <f t="array" ref="F179">_xlfn.XLOOKUP(A179,Product!A:A,Product!C:C,"Bulunamadı")</f>
        <v>Romance</v>
      </c>
      <c r="G179" s="2" t="str">
        <f t="array" ref="G179">_xlfn.XLOOKUP(A180,Product!A:A,Product!D:D,"Bulunamadı")</f>
        <v>Grand Oak Press</v>
      </c>
      <c r="H179" s="2">
        <f t="array" ref="H179">_xlfn.XLOOKUP(A181,Product!A:A,Product!E:E,"Bulunamadı")</f>
        <v>3.23</v>
      </c>
      <c r="I179" s="2" t="str">
        <f t="shared" si="1"/>
        <v>88913 - Sports - Romance</v>
      </c>
      <c r="J179" s="2">
        <f t="shared" si="2"/>
        <v>565.25</v>
      </c>
      <c r="K179" s="17">
        <f t="shared" si="3"/>
        <v>1</v>
      </c>
      <c r="L179" s="18"/>
    </row>
    <row r="180" hidden="1">
      <c r="A180" s="2">
        <f>IFERROR(__xludf.DUMMYFUNCTION("""COMPUTED_VALUE"""),108160.0)</f>
        <v>108160</v>
      </c>
      <c r="B180" s="2">
        <f>IFERROR(__xludf.DUMMYFUNCTION("""COMPUTED_VALUE"""),0.0)</f>
        <v>0</v>
      </c>
      <c r="C180" s="2">
        <f>IFERROR(__xludf.DUMMYFUNCTION("""COMPUTED_VALUE"""),11.0)</f>
        <v>11</v>
      </c>
      <c r="D180" s="3">
        <f>IFERROR(__xludf.DUMMYFUNCTION("""COMPUTED_VALUE"""),9.0)</f>
        <v>9</v>
      </c>
      <c r="E180" s="1" t="str">
        <f t="array" ref="E180">_xlfn.XLOOKUP(A180,Product!A:A,Product!B:B,"Bulunamadı")</f>
        <v>Sports</v>
      </c>
      <c r="F180" s="1" t="str">
        <f t="array" ref="F180">_xlfn.XLOOKUP(A180,Product!A:A,Product!C:C,"Bulunamadı")</f>
        <v>Romance</v>
      </c>
      <c r="G180" s="2" t="str">
        <f t="array" ref="G180">_xlfn.XLOOKUP(A181,Product!A:A,Product!D:D,"Bulunamadı")</f>
        <v>Grand Oak Press</v>
      </c>
      <c r="H180" s="2">
        <f t="array" ref="H180">_xlfn.XLOOKUP(A182,Product!A:A,Product!E:E,"Bulunamadı")</f>
        <v>14.08</v>
      </c>
      <c r="I180" s="2" t="str">
        <f t="shared" si="1"/>
        <v>108160 - Sports - Romance</v>
      </c>
      <c r="J180" s="2">
        <f t="shared" si="2"/>
        <v>126.72</v>
      </c>
      <c r="K180" s="17">
        <f t="shared" si="3"/>
        <v>1</v>
      </c>
      <c r="L180" s="18"/>
    </row>
    <row r="181" hidden="1">
      <c r="A181" s="2">
        <f>IFERROR(__xludf.DUMMYFUNCTION("""COMPUTED_VALUE"""),128377.0)</f>
        <v>128377</v>
      </c>
      <c r="B181" s="2">
        <f>IFERROR(__xludf.DUMMYFUNCTION("""COMPUTED_VALUE"""),1.0)</f>
        <v>1</v>
      </c>
      <c r="C181" s="2">
        <f>IFERROR(__xludf.DUMMYFUNCTION("""COMPUTED_VALUE"""),403.0)</f>
        <v>403</v>
      </c>
      <c r="D181" s="3">
        <f>IFERROR(__xludf.DUMMYFUNCTION("""COMPUTED_VALUE"""),207.0)</f>
        <v>207</v>
      </c>
      <c r="E181" s="1" t="str">
        <f t="array" ref="E181">_xlfn.XLOOKUP(A181,Product!A:A,Product!B:B,"Bulunamadı")</f>
        <v>Sports</v>
      </c>
      <c r="F181" s="1" t="str">
        <f t="array" ref="F181">_xlfn.XLOOKUP(A181,Product!A:A,Product!C:C,"Bulunamadı")</f>
        <v>Romance</v>
      </c>
      <c r="G181" s="2" t="str">
        <f t="array" ref="G181">_xlfn.XLOOKUP(A182,Product!A:A,Product!D:D,"Bulunamadı")</f>
        <v>Grand Oak Press</v>
      </c>
      <c r="H181" s="2">
        <f t="array" ref="H181">_xlfn.XLOOKUP(A183,Product!A:A,Product!E:E,"Bulunamadı")</f>
        <v>8.17</v>
      </c>
      <c r="I181" s="2" t="str">
        <f t="shared" si="1"/>
        <v>128377 - Sports - Romance</v>
      </c>
      <c r="J181" s="2">
        <f t="shared" si="2"/>
        <v>1691.19</v>
      </c>
      <c r="K181" s="17">
        <f t="shared" si="3"/>
        <v>1</v>
      </c>
      <c r="L181" s="18"/>
    </row>
    <row r="182" hidden="1">
      <c r="A182" s="2">
        <f>IFERROR(__xludf.DUMMYFUNCTION("""COMPUTED_VALUE"""),108533.0)</f>
        <v>108533</v>
      </c>
      <c r="B182" s="2">
        <f>IFERROR(__xludf.DUMMYFUNCTION("""COMPUTED_VALUE"""),1.0)</f>
        <v>1</v>
      </c>
      <c r="C182" s="2">
        <f>IFERROR(__xludf.DUMMYFUNCTION("""COMPUTED_VALUE"""),99.0)</f>
        <v>99</v>
      </c>
      <c r="D182" s="3">
        <f>IFERROR(__xludf.DUMMYFUNCTION("""COMPUTED_VALUE"""),16.0)</f>
        <v>16</v>
      </c>
      <c r="E182" s="1" t="str">
        <f t="array" ref="E182">_xlfn.XLOOKUP(A182,Product!A:A,Product!B:B,"Bulunamadı")</f>
        <v>Sports</v>
      </c>
      <c r="F182" s="1" t="str">
        <f t="array" ref="F182">_xlfn.XLOOKUP(A182,Product!A:A,Product!C:C,"Bulunamadı")</f>
        <v>Romance</v>
      </c>
      <c r="G182" s="2" t="str">
        <f t="array" ref="G182">_xlfn.XLOOKUP(A183,Product!A:A,Product!D:D,"Bulunamadı")</f>
        <v>Grand Oak Press</v>
      </c>
      <c r="H182" s="2">
        <f t="array" ref="H182">_xlfn.XLOOKUP(A184,Product!A:A,Product!E:E,"Bulunamadı")</f>
        <v>5.13</v>
      </c>
      <c r="I182" s="2" t="str">
        <f t="shared" si="1"/>
        <v>108533 - Sports - Romance</v>
      </c>
      <c r="J182" s="2">
        <f t="shared" si="2"/>
        <v>82.08</v>
      </c>
      <c r="K182" s="17">
        <f t="shared" si="3"/>
        <v>1</v>
      </c>
      <c r="L182" s="18"/>
    </row>
    <row r="183" hidden="1">
      <c r="A183" s="2">
        <f>IFERROR(__xludf.DUMMYFUNCTION("""COMPUTED_VALUE"""),116392.0)</f>
        <v>116392</v>
      </c>
      <c r="B183" s="2">
        <f>IFERROR(__xludf.DUMMYFUNCTION("""COMPUTED_VALUE"""),0.0)</f>
        <v>0</v>
      </c>
      <c r="C183" s="2">
        <f>IFERROR(__xludf.DUMMYFUNCTION("""COMPUTED_VALUE"""),282.0)</f>
        <v>282</v>
      </c>
      <c r="D183" s="3">
        <f>IFERROR(__xludf.DUMMYFUNCTION("""COMPUTED_VALUE"""),9.0)</f>
        <v>9</v>
      </c>
      <c r="E183" s="1" t="str">
        <f t="array" ref="E183">_xlfn.XLOOKUP(A183,Product!A:A,Product!B:B,"Bulunamadı")</f>
        <v>Sports</v>
      </c>
      <c r="F183" s="1" t="str">
        <f t="array" ref="F183">_xlfn.XLOOKUP(A183,Product!A:A,Product!C:C,"Bulunamadı")</f>
        <v>Romance</v>
      </c>
      <c r="G183" s="2" t="str">
        <f t="array" ref="G183">_xlfn.XLOOKUP(A184,Product!A:A,Product!D:D,"Bulunamadı")</f>
        <v>Grand Oak Press</v>
      </c>
      <c r="H183" s="2">
        <f t="array" ref="H183">_xlfn.XLOOKUP(A185,Product!A:A,Product!E:E,"Bulunamadı")</f>
        <v>6.71</v>
      </c>
      <c r="I183" s="2" t="str">
        <f t="shared" si="1"/>
        <v>116392 - Sports - Romance</v>
      </c>
      <c r="J183" s="2">
        <f t="shared" si="2"/>
        <v>60.39</v>
      </c>
      <c r="K183" s="17">
        <f t="shared" si="3"/>
        <v>1</v>
      </c>
      <c r="L183" s="18"/>
    </row>
    <row r="184" hidden="1">
      <c r="A184" s="2">
        <f>IFERROR(__xludf.DUMMYFUNCTION("""COMPUTED_VALUE"""),110328.0)</f>
        <v>110328</v>
      </c>
      <c r="B184" s="2">
        <f>IFERROR(__xludf.DUMMYFUNCTION("""COMPUTED_VALUE"""),0.0)</f>
        <v>0</v>
      </c>
      <c r="C184" s="2">
        <f>IFERROR(__xludf.DUMMYFUNCTION("""COMPUTED_VALUE"""),958.0)</f>
        <v>958</v>
      </c>
      <c r="D184" s="3">
        <f>IFERROR(__xludf.DUMMYFUNCTION("""COMPUTED_VALUE"""),494.0)</f>
        <v>494</v>
      </c>
      <c r="E184" s="1" t="str">
        <f t="array" ref="E184">_xlfn.XLOOKUP(A184,Product!A:A,Product!B:B,"Bulunamadı")</f>
        <v>Sports</v>
      </c>
      <c r="F184" s="1" t="str">
        <f t="array" ref="F184">_xlfn.XLOOKUP(A184,Product!A:A,Product!C:C,"Bulunamadı")</f>
        <v>Romance</v>
      </c>
      <c r="G184" s="2" t="str">
        <f t="array" ref="G184">_xlfn.XLOOKUP(A185,Product!A:A,Product!D:D,"Bulunamadı")</f>
        <v>Grand Oak Press</v>
      </c>
      <c r="H184" s="2">
        <f t="array" ref="H184">_xlfn.XLOOKUP(A186,Product!A:A,Product!E:E,"Bulunamadı")</f>
        <v>13.47</v>
      </c>
      <c r="I184" s="2" t="str">
        <f t="shared" si="1"/>
        <v>110328 - Sports - Romance</v>
      </c>
      <c r="J184" s="2">
        <f t="shared" si="2"/>
        <v>6654.18</v>
      </c>
      <c r="K184" s="17">
        <f t="shared" si="3"/>
        <v>1</v>
      </c>
      <c r="L184" s="18"/>
    </row>
    <row r="185" hidden="1">
      <c r="A185" s="2">
        <f>IFERROR(__xludf.DUMMYFUNCTION("""COMPUTED_VALUE"""),101445.0)</f>
        <v>101445</v>
      </c>
      <c r="B185" s="2">
        <f>IFERROR(__xludf.DUMMYFUNCTION("""COMPUTED_VALUE"""),0.0)</f>
        <v>0</v>
      </c>
      <c r="C185" s="2">
        <f>IFERROR(__xludf.DUMMYFUNCTION("""COMPUTED_VALUE"""),459.0)</f>
        <v>459</v>
      </c>
      <c r="D185" s="3">
        <f>IFERROR(__xludf.DUMMYFUNCTION("""COMPUTED_VALUE"""),385.0)</f>
        <v>385</v>
      </c>
      <c r="E185" s="1" t="str">
        <f t="array" ref="E185">_xlfn.XLOOKUP(A185,Product!A:A,Product!B:B,"Bulunamadı")</f>
        <v>Sports</v>
      </c>
      <c r="F185" s="1" t="str">
        <f t="array" ref="F185">_xlfn.XLOOKUP(A185,Product!A:A,Product!C:C,"Bulunamadı")</f>
        <v>Romance</v>
      </c>
      <c r="G185" s="2" t="str">
        <f t="array" ref="G185">_xlfn.XLOOKUP(A186,Product!A:A,Product!D:D,"Bulunamadı")</f>
        <v>Atlas Ridge Publishing</v>
      </c>
      <c r="H185" s="2">
        <f t="array" ref="H185">_xlfn.XLOOKUP(A187,Product!A:A,Product!E:E,"Bulunamadı")</f>
        <v>2.49</v>
      </c>
      <c r="I185" s="2" t="str">
        <f t="shared" si="1"/>
        <v>101445 - Sports - Romance</v>
      </c>
      <c r="J185" s="2">
        <f t="shared" si="2"/>
        <v>958.65</v>
      </c>
      <c r="K185" s="17">
        <f t="shared" si="3"/>
        <v>1</v>
      </c>
      <c r="L185" s="18"/>
    </row>
    <row r="186" hidden="1">
      <c r="A186" s="2">
        <f>IFERROR(__xludf.DUMMYFUNCTION("""COMPUTED_VALUE"""),117599.0)</f>
        <v>117599</v>
      </c>
      <c r="B186" s="2">
        <f>IFERROR(__xludf.DUMMYFUNCTION("""COMPUTED_VALUE"""),1.0)</f>
        <v>1</v>
      </c>
      <c r="C186" s="2">
        <f>IFERROR(__xludf.DUMMYFUNCTION("""COMPUTED_VALUE"""),690.0)</f>
        <v>690</v>
      </c>
      <c r="D186" s="3">
        <f>IFERROR(__xludf.DUMMYFUNCTION("""COMPUTED_VALUE"""),554.0)</f>
        <v>554</v>
      </c>
      <c r="E186" s="1" t="str">
        <f t="array" ref="E186">_xlfn.XLOOKUP(A186,Product!A:A,Product!B:B,"Bulunamadı")</f>
        <v>Sports</v>
      </c>
      <c r="F186" s="1" t="str">
        <f t="array" ref="F186">_xlfn.XLOOKUP(A186,Product!A:A,Product!C:C,"Bulunamadı")</f>
        <v>Romance</v>
      </c>
      <c r="G186" s="2" t="str">
        <f t="array" ref="G186">_xlfn.XLOOKUP(A187,Product!A:A,Product!D:D,"Bulunamadı")</f>
        <v>Beacon House Books</v>
      </c>
      <c r="H186" s="2">
        <f t="array" ref="H186">_xlfn.XLOOKUP(A188,Product!A:A,Product!E:E,"Bulunamadı")</f>
        <v>5.9</v>
      </c>
      <c r="I186" s="2" t="str">
        <f t="shared" si="1"/>
        <v>117599 - Sports - Romance</v>
      </c>
      <c r="J186" s="2">
        <f t="shared" si="2"/>
        <v>3268.6</v>
      </c>
      <c r="K186" s="17">
        <f t="shared" si="3"/>
        <v>1</v>
      </c>
      <c r="L186" s="18"/>
    </row>
    <row r="187" hidden="1">
      <c r="A187" s="2">
        <f>IFERROR(__xludf.DUMMYFUNCTION("""COMPUTED_VALUE"""),5508.0)</f>
        <v>5508</v>
      </c>
      <c r="B187" s="2">
        <f>IFERROR(__xludf.DUMMYFUNCTION("""COMPUTED_VALUE"""),0.0)</f>
        <v>0</v>
      </c>
      <c r="C187" s="2">
        <f>IFERROR(__xludf.DUMMYFUNCTION("""COMPUTED_VALUE"""),559.0)</f>
        <v>559</v>
      </c>
      <c r="D187" s="3">
        <f>IFERROR(__xludf.DUMMYFUNCTION("""COMPUTED_VALUE"""),555.0)</f>
        <v>555</v>
      </c>
      <c r="E187" s="1" t="str">
        <f t="array" ref="E187">_xlfn.XLOOKUP(A187,Product!A:A,Product!B:B,"Bulunamadı")</f>
        <v>Law</v>
      </c>
      <c r="F187" s="1" t="str">
        <f t="array" ref="F187">_xlfn.XLOOKUP(A187,Product!A:A,Product!C:C,"Bulunamadı")</f>
        <v>Romantic Comedy</v>
      </c>
      <c r="G187" s="2" t="str">
        <f t="array" ref="G187">_xlfn.XLOOKUP(A188,Product!A:A,Product!D:D,"Bulunamadı")</f>
        <v>Beacon House Books</v>
      </c>
      <c r="H187" s="2">
        <f t="array" ref="H187">_xlfn.XLOOKUP(A189,Product!A:A,Product!E:E,"Bulunamadı")</f>
        <v>2.46</v>
      </c>
      <c r="I187" s="2" t="str">
        <f t="shared" si="1"/>
        <v>5508 - Law - Romantic Comedy</v>
      </c>
      <c r="J187" s="2">
        <f t="shared" si="2"/>
        <v>1365.3</v>
      </c>
      <c r="K187" s="17">
        <f t="shared" si="3"/>
        <v>1</v>
      </c>
      <c r="L187" s="18"/>
    </row>
    <row r="188" hidden="1">
      <c r="A188" s="2">
        <f>IFERROR(__xludf.DUMMYFUNCTION("""COMPUTED_VALUE"""),91241.0)</f>
        <v>91241</v>
      </c>
      <c r="B188" s="2">
        <f>IFERROR(__xludf.DUMMYFUNCTION("""COMPUTED_VALUE"""),1.0)</f>
        <v>1</v>
      </c>
      <c r="C188" s="2">
        <f>IFERROR(__xludf.DUMMYFUNCTION("""COMPUTED_VALUE"""),61.0)</f>
        <v>61</v>
      </c>
      <c r="D188" s="3">
        <f>IFERROR(__xludf.DUMMYFUNCTION("""COMPUTED_VALUE"""),49.0)</f>
        <v>49</v>
      </c>
      <c r="E188" s="1" t="str">
        <f t="array" ref="E188">_xlfn.XLOOKUP(A188,Product!A:A,Product!B:B,"Bulunamadı")</f>
        <v>Law</v>
      </c>
      <c r="F188" s="1" t="str">
        <f t="array" ref="F188">_xlfn.XLOOKUP(A188,Product!A:A,Product!C:C,"Bulunamadı")</f>
        <v>Romantic Comedy</v>
      </c>
      <c r="G188" s="2" t="str">
        <f t="array" ref="G188">_xlfn.XLOOKUP(A189,Product!A:A,Product!D:D,"Bulunamadı")</f>
        <v>Beacon House Books</v>
      </c>
      <c r="H188" s="2">
        <f t="array" ref="H188">_xlfn.XLOOKUP(A190,Product!A:A,Product!E:E,"Bulunamadı")</f>
        <v>1.15</v>
      </c>
      <c r="I188" s="2" t="str">
        <f t="shared" si="1"/>
        <v>91241 - Law - Romantic Comedy</v>
      </c>
      <c r="J188" s="2">
        <f t="shared" si="2"/>
        <v>56.35</v>
      </c>
      <c r="K188" s="17">
        <f t="shared" si="3"/>
        <v>1</v>
      </c>
      <c r="L188" s="18"/>
    </row>
    <row r="189" hidden="1">
      <c r="A189" s="2">
        <f>IFERROR(__xludf.DUMMYFUNCTION("""COMPUTED_VALUE"""),5507.0)</f>
        <v>5507</v>
      </c>
      <c r="B189" s="2">
        <f>IFERROR(__xludf.DUMMYFUNCTION("""COMPUTED_VALUE"""),1.0)</f>
        <v>1</v>
      </c>
      <c r="C189" s="2">
        <f>IFERROR(__xludf.DUMMYFUNCTION("""COMPUTED_VALUE"""),201.0)</f>
        <v>201</v>
      </c>
      <c r="D189" s="3">
        <f>IFERROR(__xludf.DUMMYFUNCTION("""COMPUTED_VALUE"""),190.0)</f>
        <v>190</v>
      </c>
      <c r="E189" s="1" t="str">
        <f t="array" ref="E189">_xlfn.XLOOKUP(A189,Product!A:A,Product!B:B,"Bulunamadı")</f>
        <v>Law</v>
      </c>
      <c r="F189" s="1" t="str">
        <f t="array" ref="F189">_xlfn.XLOOKUP(A189,Product!A:A,Product!C:C,"Bulunamadı")</f>
        <v>Romantic Comedy</v>
      </c>
      <c r="G189" s="2" t="str">
        <f t="array" ref="G189">_xlfn.XLOOKUP(A190,Product!A:A,Product!D:D,"Bulunamadı")</f>
        <v>Beacon House Books</v>
      </c>
      <c r="H189" s="2">
        <f t="array" ref="H189">_xlfn.XLOOKUP(A191,Product!A:A,Product!E:E,"Bulunamadı")</f>
        <v>3.09</v>
      </c>
      <c r="I189" s="2" t="str">
        <f t="shared" si="1"/>
        <v>5507 - Law - Romantic Comedy</v>
      </c>
      <c r="J189" s="2">
        <f t="shared" si="2"/>
        <v>587.1</v>
      </c>
      <c r="K189" s="17">
        <f t="shared" si="3"/>
        <v>1</v>
      </c>
      <c r="L189" s="18"/>
    </row>
    <row r="190" hidden="1">
      <c r="A190" s="2">
        <f>IFERROR(__xludf.DUMMYFUNCTION("""COMPUTED_VALUE"""),110575.0)</f>
        <v>110575</v>
      </c>
      <c r="B190" s="2">
        <f>IFERROR(__xludf.DUMMYFUNCTION("""COMPUTED_VALUE"""),1.0)</f>
        <v>1</v>
      </c>
      <c r="C190" s="2">
        <f>IFERROR(__xludf.DUMMYFUNCTION("""COMPUTED_VALUE"""),851.0)</f>
        <v>851</v>
      </c>
      <c r="D190" s="3">
        <f>IFERROR(__xludf.DUMMYFUNCTION("""COMPUTED_VALUE"""),35.0)</f>
        <v>35</v>
      </c>
      <c r="E190" s="1" t="str">
        <f t="array" ref="E190">_xlfn.XLOOKUP(A190,Product!A:A,Product!B:B,"Bulunamadı")</f>
        <v>Law</v>
      </c>
      <c r="F190" s="1" t="str">
        <f t="array" ref="F190">_xlfn.XLOOKUP(A190,Product!A:A,Product!C:C,"Bulunamadı")</f>
        <v>Romantic Comedy</v>
      </c>
      <c r="G190" s="2" t="str">
        <f t="array" ref="G190">_xlfn.XLOOKUP(A191,Product!A:A,Product!D:D,"Bulunamadı")</f>
        <v>Beacon House Books</v>
      </c>
      <c r="H190" s="2">
        <f t="array" ref="H190">_xlfn.XLOOKUP(A192,Product!A:A,Product!E:E,"Bulunamadı")</f>
        <v>2.06</v>
      </c>
      <c r="I190" s="2" t="str">
        <f t="shared" si="1"/>
        <v>110575 - Law - Romantic Comedy</v>
      </c>
      <c r="J190" s="2">
        <f t="shared" si="2"/>
        <v>72.1</v>
      </c>
      <c r="K190" s="17">
        <f t="shared" si="3"/>
        <v>1</v>
      </c>
      <c r="L190" s="18"/>
    </row>
    <row r="191" hidden="1">
      <c r="A191" s="2">
        <f>IFERROR(__xludf.DUMMYFUNCTION("""COMPUTED_VALUE"""),6156.0)</f>
        <v>6156</v>
      </c>
      <c r="B191" s="2">
        <f>IFERROR(__xludf.DUMMYFUNCTION("""COMPUTED_VALUE"""),0.0)</f>
        <v>0</v>
      </c>
      <c r="C191" s="2">
        <f>IFERROR(__xludf.DUMMYFUNCTION("""COMPUTED_VALUE"""),95.0)</f>
        <v>95</v>
      </c>
      <c r="D191" s="3">
        <f>IFERROR(__xludf.DUMMYFUNCTION("""COMPUTED_VALUE"""),74.0)</f>
        <v>74</v>
      </c>
      <c r="E191" s="1" t="str">
        <f t="array" ref="E191">_xlfn.XLOOKUP(A191,Product!A:A,Product!B:B,"Bulunamadı")</f>
        <v>Law</v>
      </c>
      <c r="F191" s="1" t="str">
        <f t="array" ref="F191">_xlfn.XLOOKUP(A191,Product!A:A,Product!C:C,"Bulunamadı")</f>
        <v>Romantic Comedy</v>
      </c>
      <c r="G191" s="2" t="str">
        <f t="array" ref="G191">_xlfn.XLOOKUP(A192,Product!A:A,Product!D:D,"Bulunamadı")</f>
        <v>Beacon House Books</v>
      </c>
      <c r="H191" s="2">
        <f t="array" ref="H191">_xlfn.XLOOKUP(A193,Product!A:A,Product!E:E,"Bulunamadı")</f>
        <v>2</v>
      </c>
      <c r="I191" s="2" t="str">
        <f t="shared" si="1"/>
        <v>6156 - Law - Romantic Comedy</v>
      </c>
      <c r="J191" s="2">
        <f t="shared" si="2"/>
        <v>148</v>
      </c>
      <c r="K191" s="17">
        <f t="shared" si="3"/>
        <v>1</v>
      </c>
      <c r="L191" s="18"/>
    </row>
    <row r="192" hidden="1">
      <c r="A192" s="2">
        <f>IFERROR(__xludf.DUMMYFUNCTION("""COMPUTED_VALUE"""),91239.0)</f>
        <v>91239</v>
      </c>
      <c r="B192" s="2">
        <f>IFERROR(__xludf.DUMMYFUNCTION("""COMPUTED_VALUE"""),0.0)</f>
        <v>0</v>
      </c>
      <c r="C192" s="2">
        <f>IFERROR(__xludf.DUMMYFUNCTION("""COMPUTED_VALUE"""),842.0)</f>
        <v>842</v>
      </c>
      <c r="D192" s="3">
        <f>IFERROR(__xludf.DUMMYFUNCTION("""COMPUTED_VALUE"""),14.0)</f>
        <v>14</v>
      </c>
      <c r="E192" s="1" t="str">
        <f t="array" ref="E192">_xlfn.XLOOKUP(A192,Product!A:A,Product!B:B,"Bulunamadı")</f>
        <v>Law</v>
      </c>
      <c r="F192" s="1" t="str">
        <f t="array" ref="F192">_xlfn.XLOOKUP(A192,Product!A:A,Product!C:C,"Bulunamadı")</f>
        <v>Romantic Comedy</v>
      </c>
      <c r="G192" s="2" t="str">
        <f t="array" ref="G192">_xlfn.XLOOKUP(A193,Product!A:A,Product!D:D,"Bulunamadı")</f>
        <v>Beacon House Books</v>
      </c>
      <c r="H192" s="2">
        <f t="array" ref="H192">_xlfn.XLOOKUP(A194,Product!A:A,Product!E:E,"Bulunamadı")</f>
        <v>2.35</v>
      </c>
      <c r="I192" s="2" t="str">
        <f t="shared" si="1"/>
        <v>91239 - Law - Romantic Comedy</v>
      </c>
      <c r="J192" s="2">
        <f t="shared" si="2"/>
        <v>32.9</v>
      </c>
      <c r="K192" s="17">
        <f t="shared" si="3"/>
        <v>1</v>
      </c>
      <c r="L192" s="18"/>
    </row>
    <row r="193" hidden="1">
      <c r="A193" s="2">
        <f>IFERROR(__xludf.DUMMYFUNCTION("""COMPUTED_VALUE"""),77361.0)</f>
        <v>77361</v>
      </c>
      <c r="B193" s="2">
        <f>IFERROR(__xludf.DUMMYFUNCTION("""COMPUTED_VALUE"""),0.0)</f>
        <v>0</v>
      </c>
      <c r="C193" s="2">
        <f>IFERROR(__xludf.DUMMYFUNCTION("""COMPUTED_VALUE"""),517.0)</f>
        <v>517</v>
      </c>
      <c r="D193" s="3">
        <f>IFERROR(__xludf.DUMMYFUNCTION("""COMPUTED_VALUE"""),23.0)</f>
        <v>23</v>
      </c>
      <c r="E193" s="1" t="str">
        <f t="array" ref="E193">_xlfn.XLOOKUP(A193,Product!A:A,Product!B:B,"Bulunamadı")</f>
        <v>Law</v>
      </c>
      <c r="F193" s="1" t="str">
        <f t="array" ref="F193">_xlfn.XLOOKUP(A193,Product!A:A,Product!C:C,"Bulunamadı")</f>
        <v>Romantic Comedy</v>
      </c>
      <c r="G193" s="2" t="str">
        <f t="array" ref="G193">_xlfn.XLOOKUP(A194,Product!A:A,Product!D:D,"Bulunamadı")</f>
        <v>Beacon House Books</v>
      </c>
      <c r="H193" s="2">
        <f t="array" ref="H193">_xlfn.XLOOKUP(A195,Product!A:A,Product!E:E,"Bulunamadı")</f>
        <v>2.01</v>
      </c>
      <c r="I193" s="2" t="str">
        <f t="shared" si="1"/>
        <v>77361 - Law - Romantic Comedy</v>
      </c>
      <c r="J193" s="2">
        <f t="shared" si="2"/>
        <v>46.23</v>
      </c>
      <c r="K193" s="17">
        <f t="shared" si="3"/>
        <v>1</v>
      </c>
      <c r="L193" s="18"/>
    </row>
    <row r="194" hidden="1">
      <c r="A194" s="2">
        <f>IFERROR(__xludf.DUMMYFUNCTION("""COMPUTED_VALUE"""),77363.0)</f>
        <v>77363</v>
      </c>
      <c r="B194" s="2">
        <f>IFERROR(__xludf.DUMMYFUNCTION("""COMPUTED_VALUE"""),0.0)</f>
        <v>0</v>
      </c>
      <c r="C194" s="2">
        <f>IFERROR(__xludf.DUMMYFUNCTION("""COMPUTED_VALUE"""),202.0)</f>
        <v>202</v>
      </c>
      <c r="D194" s="3">
        <f>IFERROR(__xludf.DUMMYFUNCTION("""COMPUTED_VALUE"""),156.0)</f>
        <v>156</v>
      </c>
      <c r="E194" s="1" t="str">
        <f t="array" ref="E194">_xlfn.XLOOKUP(A194,Product!A:A,Product!B:B,"Bulunamadı")</f>
        <v>Law</v>
      </c>
      <c r="F194" s="1" t="str">
        <f t="array" ref="F194">_xlfn.XLOOKUP(A194,Product!A:A,Product!C:C,"Bulunamadı")</f>
        <v>Romantic Comedy</v>
      </c>
      <c r="G194" s="2" t="str">
        <f t="array" ref="G194">_xlfn.XLOOKUP(A195,Product!A:A,Product!D:D,"Bulunamadı")</f>
        <v>Golden Harbor Press</v>
      </c>
      <c r="H194" s="2">
        <f t="array" ref="H194">_xlfn.XLOOKUP(A196,Product!A:A,Product!E:E,"Bulunamadı")</f>
        <v>2.64</v>
      </c>
      <c r="I194" s="2" t="str">
        <f t="shared" si="1"/>
        <v>77363 - Law - Romantic Comedy</v>
      </c>
      <c r="J194" s="2">
        <f t="shared" si="2"/>
        <v>411.84</v>
      </c>
      <c r="K194" s="17">
        <f t="shared" si="3"/>
        <v>1</v>
      </c>
      <c r="L194" s="18"/>
    </row>
    <row r="195" hidden="1">
      <c r="A195" s="2">
        <f>IFERROR(__xludf.DUMMYFUNCTION("""COMPUTED_VALUE"""),124679.0)</f>
        <v>124679</v>
      </c>
      <c r="B195" s="2">
        <f>IFERROR(__xludf.DUMMYFUNCTION("""COMPUTED_VALUE"""),0.0)</f>
        <v>0</v>
      </c>
      <c r="C195" s="2">
        <f>IFERROR(__xludf.DUMMYFUNCTION("""COMPUTED_VALUE"""),697.0)</f>
        <v>697</v>
      </c>
      <c r="D195" s="3">
        <f>IFERROR(__xludf.DUMMYFUNCTION("""COMPUTED_VALUE"""),54.0)</f>
        <v>54</v>
      </c>
      <c r="E195" s="1" t="str">
        <f t="array" ref="E195">_xlfn.XLOOKUP(A195,Product!A:A,Product!B:B,"Bulunamadı")</f>
        <v>Law</v>
      </c>
      <c r="F195" s="1" t="str">
        <f t="array" ref="F195">_xlfn.XLOOKUP(A195,Product!A:A,Product!C:C,"Bulunamadı")</f>
        <v>Romantic Comedy</v>
      </c>
      <c r="G195" s="2" t="str">
        <f t="array" ref="G195">_xlfn.XLOOKUP(A196,Product!A:A,Product!D:D,"Bulunamadı")</f>
        <v>Golden Harbor Press</v>
      </c>
      <c r="H195" s="2">
        <f t="array" ref="H195">_xlfn.XLOOKUP(A197,Product!A:A,Product!E:E,"Bulunamadı")</f>
        <v>6.05</v>
      </c>
      <c r="I195" s="2" t="str">
        <f t="shared" si="1"/>
        <v>124679 - Law - Romantic Comedy</v>
      </c>
      <c r="J195" s="2">
        <f t="shared" si="2"/>
        <v>326.7</v>
      </c>
      <c r="K195" s="17">
        <f t="shared" si="3"/>
        <v>1</v>
      </c>
      <c r="L195" s="18"/>
    </row>
    <row r="196" hidden="1">
      <c r="A196" s="2">
        <f>IFERROR(__xludf.DUMMYFUNCTION("""COMPUTED_VALUE"""),89558.0)</f>
        <v>89558</v>
      </c>
      <c r="B196" s="2">
        <f>IFERROR(__xludf.DUMMYFUNCTION("""COMPUTED_VALUE"""),1.0)</f>
        <v>1</v>
      </c>
      <c r="C196" s="2">
        <f>IFERROR(__xludf.DUMMYFUNCTION("""COMPUTED_VALUE"""),43.0)</f>
        <v>43</v>
      </c>
      <c r="D196" s="3">
        <f>IFERROR(__xludf.DUMMYFUNCTION("""COMPUTED_VALUE"""),6.0)</f>
        <v>6</v>
      </c>
      <c r="E196" s="1" t="str">
        <f t="array" ref="E196">_xlfn.XLOOKUP(A196,Product!A:A,Product!B:B,"Bulunamadı")</f>
        <v>Law</v>
      </c>
      <c r="F196" s="1" t="str">
        <f t="array" ref="F196">_xlfn.XLOOKUP(A196,Product!A:A,Product!C:C,"Bulunamadı")</f>
        <v>Romantic Comedy</v>
      </c>
      <c r="G196" s="2" t="str">
        <f t="array" ref="G196">_xlfn.XLOOKUP(A197,Product!A:A,Product!D:D,"Bulunamadı")</f>
        <v>Frontier Publishing</v>
      </c>
      <c r="H196" s="2">
        <f t="array" ref="H196">_xlfn.XLOOKUP(A198,Product!A:A,Product!E:E,"Bulunamadı")</f>
        <v>3.01</v>
      </c>
      <c r="I196" s="2" t="str">
        <f t="shared" si="1"/>
        <v>89558 - Law - Romantic Comedy</v>
      </c>
      <c r="J196" s="2">
        <f t="shared" si="2"/>
        <v>18.06</v>
      </c>
      <c r="K196" s="17">
        <f t="shared" si="3"/>
        <v>1</v>
      </c>
      <c r="L196" s="18"/>
    </row>
    <row r="197" hidden="1">
      <c r="A197" s="2">
        <f>IFERROR(__xludf.DUMMYFUNCTION("""COMPUTED_VALUE"""),91235.0)</f>
        <v>91235</v>
      </c>
      <c r="B197" s="2">
        <f>IFERROR(__xludf.DUMMYFUNCTION("""COMPUTED_VALUE"""),1.0)</f>
        <v>1</v>
      </c>
      <c r="C197" s="2">
        <f>IFERROR(__xludf.DUMMYFUNCTION("""COMPUTED_VALUE"""),794.0)</f>
        <v>794</v>
      </c>
      <c r="D197" s="3">
        <f>IFERROR(__xludf.DUMMYFUNCTION("""COMPUTED_VALUE"""),549.0)</f>
        <v>549</v>
      </c>
      <c r="E197" s="1" t="str">
        <f t="array" ref="E197">_xlfn.XLOOKUP(A197,Product!A:A,Product!B:B,"Bulunamadı")</f>
        <v>Law</v>
      </c>
      <c r="F197" s="1" t="str">
        <f t="array" ref="F197">_xlfn.XLOOKUP(A197,Product!A:A,Product!C:C,"Bulunamadı")</f>
        <v>Romantic Comedy</v>
      </c>
      <c r="G197" s="2" t="str">
        <f t="array" ref="G197">_xlfn.XLOOKUP(A198,Product!A:A,Product!D:D,"Bulunamadı")</f>
        <v>Frontier Publishing</v>
      </c>
      <c r="H197" s="2">
        <f t="array" ref="H197">_xlfn.XLOOKUP(A199,Product!A:A,Product!E:E,"Bulunamadı")</f>
        <v>3.05</v>
      </c>
      <c r="I197" s="2" t="str">
        <f t="shared" si="1"/>
        <v>91235 - Law - Romantic Comedy</v>
      </c>
      <c r="J197" s="2">
        <f t="shared" si="2"/>
        <v>1674.45</v>
      </c>
      <c r="K197" s="17">
        <f t="shared" si="3"/>
        <v>1</v>
      </c>
      <c r="L197" s="18"/>
    </row>
    <row r="198" hidden="1">
      <c r="A198" s="2">
        <f>IFERROR(__xludf.DUMMYFUNCTION("""COMPUTED_VALUE"""),5519.0)</f>
        <v>5519</v>
      </c>
      <c r="B198" s="2">
        <f>IFERROR(__xludf.DUMMYFUNCTION("""COMPUTED_VALUE"""),1.0)</f>
        <v>1</v>
      </c>
      <c r="C198" s="2">
        <f>IFERROR(__xludf.DUMMYFUNCTION("""COMPUTED_VALUE"""),137.0)</f>
        <v>137</v>
      </c>
      <c r="D198" s="3">
        <f>IFERROR(__xludf.DUMMYFUNCTION("""COMPUTED_VALUE"""),45.0)</f>
        <v>45</v>
      </c>
      <c r="E198" s="1" t="str">
        <f t="array" ref="E198">_xlfn.XLOOKUP(A198,Product!A:A,Product!B:B,"Bulunamadı")</f>
        <v>Law</v>
      </c>
      <c r="F198" s="1" t="str">
        <f t="array" ref="F198">_xlfn.XLOOKUP(A198,Product!A:A,Product!C:C,"Bulunamadı")</f>
        <v>Romantic Comedy</v>
      </c>
      <c r="G198" s="2" t="str">
        <f t="array" ref="G198">_xlfn.XLOOKUP(A199,Product!A:A,Product!D:D,"Bulunamadı")</f>
        <v>Frontier Publishing</v>
      </c>
      <c r="H198" s="2">
        <f t="array" ref="H198">_xlfn.XLOOKUP(A200,Product!A:A,Product!E:E,"Bulunamadı")</f>
        <v>1.98</v>
      </c>
      <c r="I198" s="2" t="str">
        <f t="shared" si="1"/>
        <v>5519 - Law - Romantic Comedy</v>
      </c>
      <c r="J198" s="2">
        <f t="shared" si="2"/>
        <v>89.1</v>
      </c>
      <c r="K198" s="17">
        <f t="shared" si="3"/>
        <v>1</v>
      </c>
      <c r="L198" s="18"/>
    </row>
    <row r="199" hidden="1">
      <c r="A199" s="2">
        <f>IFERROR(__xludf.DUMMYFUNCTION("""COMPUTED_VALUE"""),87278.0)</f>
        <v>87278</v>
      </c>
      <c r="B199" s="2">
        <f>IFERROR(__xludf.DUMMYFUNCTION("""COMPUTED_VALUE"""),1.0)</f>
        <v>1</v>
      </c>
      <c r="C199" s="2">
        <f>IFERROR(__xludf.DUMMYFUNCTION("""COMPUTED_VALUE"""),239.0)</f>
        <v>239</v>
      </c>
      <c r="D199" s="3">
        <f>IFERROR(__xludf.DUMMYFUNCTION("""COMPUTED_VALUE"""),126.0)</f>
        <v>126</v>
      </c>
      <c r="E199" s="1" t="str">
        <f t="array" ref="E199">_xlfn.XLOOKUP(A199,Product!A:A,Product!B:B,"Bulunamadı")</f>
        <v>Law</v>
      </c>
      <c r="F199" s="1" t="str">
        <f t="array" ref="F199">_xlfn.XLOOKUP(A199,Product!A:A,Product!C:C,"Bulunamadı")</f>
        <v>Romantic Comedy</v>
      </c>
      <c r="G199" s="2" t="str">
        <f t="array" ref="G199">_xlfn.XLOOKUP(A200,Product!A:A,Product!D:D,"Bulunamadı")</f>
        <v>Frontier Publishing</v>
      </c>
      <c r="H199" s="2">
        <f t="array" ref="H199">_xlfn.XLOOKUP(A201,Product!A:A,Product!E:E,"Bulunamadı")</f>
        <v>3.25</v>
      </c>
      <c r="I199" s="2" t="str">
        <f t="shared" si="1"/>
        <v>87278 - Law - Romantic Comedy</v>
      </c>
      <c r="J199" s="2">
        <f t="shared" si="2"/>
        <v>409.5</v>
      </c>
      <c r="K199" s="17">
        <f t="shared" si="3"/>
        <v>1</v>
      </c>
      <c r="L199" s="18"/>
    </row>
    <row r="200" hidden="1">
      <c r="A200" s="2">
        <f>IFERROR(__xludf.DUMMYFUNCTION("""COMPUTED_VALUE"""),77326.0)</f>
        <v>77326</v>
      </c>
      <c r="B200" s="2">
        <f>IFERROR(__xludf.DUMMYFUNCTION("""COMPUTED_VALUE"""),0.0)</f>
        <v>0</v>
      </c>
      <c r="C200" s="2">
        <f>IFERROR(__xludf.DUMMYFUNCTION("""COMPUTED_VALUE"""),588.0)</f>
        <v>588</v>
      </c>
      <c r="D200" s="3">
        <f>IFERROR(__xludf.DUMMYFUNCTION("""COMPUTED_VALUE"""),368.0)</f>
        <v>368</v>
      </c>
      <c r="E200" s="1" t="str">
        <f t="array" ref="E200">_xlfn.XLOOKUP(A200,Product!A:A,Product!B:B,"Bulunamadı")</f>
        <v>Law</v>
      </c>
      <c r="F200" s="1" t="str">
        <f t="array" ref="F200">_xlfn.XLOOKUP(A200,Product!A:A,Product!C:C,"Bulunamadı")</f>
        <v>Romantic Comedy</v>
      </c>
      <c r="G200" s="2" t="str">
        <f t="array" ref="G200">_xlfn.XLOOKUP(A201,Product!A:A,Product!D:D,"Bulunamadı")</f>
        <v>Frontier Publishing</v>
      </c>
      <c r="H200" s="2">
        <f t="array" ref="H200">_xlfn.XLOOKUP(A202,Product!A:A,Product!E:E,"Bulunamadı")</f>
        <v>2.84</v>
      </c>
      <c r="I200" s="2" t="str">
        <f t="shared" si="1"/>
        <v>77326 - Law - Romantic Comedy</v>
      </c>
      <c r="J200" s="2">
        <f t="shared" si="2"/>
        <v>1045.12</v>
      </c>
      <c r="K200" s="17">
        <f t="shared" si="3"/>
        <v>1</v>
      </c>
      <c r="L200" s="18"/>
    </row>
    <row r="201" hidden="1">
      <c r="A201" s="2">
        <f>IFERROR(__xludf.DUMMYFUNCTION("""COMPUTED_VALUE"""),6158.0)</f>
        <v>6158</v>
      </c>
      <c r="B201" s="2">
        <f>IFERROR(__xludf.DUMMYFUNCTION("""COMPUTED_VALUE"""),0.0)</f>
        <v>0</v>
      </c>
      <c r="C201" s="2">
        <f>IFERROR(__xludf.DUMMYFUNCTION("""COMPUTED_VALUE"""),955.0)</f>
        <v>955</v>
      </c>
      <c r="D201" s="3">
        <f>IFERROR(__xludf.DUMMYFUNCTION("""COMPUTED_VALUE"""),740.0)</f>
        <v>740</v>
      </c>
      <c r="E201" s="1" t="str">
        <f t="array" ref="E201">_xlfn.XLOOKUP(A201,Product!A:A,Product!B:B,"Bulunamadı")</f>
        <v>Law</v>
      </c>
      <c r="F201" s="1" t="str">
        <f t="array" ref="F201">_xlfn.XLOOKUP(A201,Product!A:A,Product!C:C,"Bulunamadı")</f>
        <v>Romantic Comedy</v>
      </c>
      <c r="G201" s="2" t="str">
        <f t="array" ref="G201">_xlfn.XLOOKUP(A202,Product!A:A,Product!D:D,"Bulunamadı")</f>
        <v>Frontier Publishing</v>
      </c>
      <c r="H201" s="2">
        <f t="array" ref="H201">_xlfn.XLOOKUP(A203,Product!A:A,Product!E:E,"Bulunamadı")</f>
        <v>0.45</v>
      </c>
      <c r="I201" s="2" t="str">
        <f t="shared" si="1"/>
        <v>6158 - Law - Romantic Comedy</v>
      </c>
      <c r="J201" s="2">
        <f t="shared" si="2"/>
        <v>333</v>
      </c>
      <c r="K201" s="17">
        <f t="shared" si="3"/>
        <v>1</v>
      </c>
      <c r="L201" s="18"/>
    </row>
    <row r="202" hidden="1">
      <c r="A202" s="2">
        <f>IFERROR(__xludf.DUMMYFUNCTION("""COMPUTED_VALUE"""),77338.0)</f>
        <v>77338</v>
      </c>
      <c r="B202" s="2">
        <f>IFERROR(__xludf.DUMMYFUNCTION("""COMPUTED_VALUE"""),0.0)</f>
        <v>0</v>
      </c>
      <c r="C202" s="2">
        <f>IFERROR(__xludf.DUMMYFUNCTION("""COMPUTED_VALUE"""),127.0)</f>
        <v>127</v>
      </c>
      <c r="D202" s="3">
        <f>IFERROR(__xludf.DUMMYFUNCTION("""COMPUTED_VALUE"""),0.0)</f>
        <v>0</v>
      </c>
      <c r="E202" s="1" t="str">
        <f t="array" ref="E202">_xlfn.XLOOKUP(A202,Product!A:A,Product!B:B,"Bulunamadı")</f>
        <v>Law</v>
      </c>
      <c r="F202" s="1" t="str">
        <f t="array" ref="F202">_xlfn.XLOOKUP(A202,Product!A:A,Product!C:C,"Bulunamadı")</f>
        <v>Romantic Comedy</v>
      </c>
      <c r="G202" s="2" t="str">
        <f t="array" ref="G202">_xlfn.XLOOKUP(A203,Product!A:A,Product!D:D,"Bulunamadı")</f>
        <v>Frontier Publishing</v>
      </c>
      <c r="H202" s="2">
        <f t="array" ref="H202">_xlfn.XLOOKUP(A204,Product!A:A,Product!E:E,"Bulunamadı")</f>
        <v>3.21</v>
      </c>
      <c r="I202" s="2" t="str">
        <f t="shared" si="1"/>
        <v>77338 - Law - Romantic Comedy</v>
      </c>
      <c r="J202" s="2">
        <f t="shared" si="2"/>
        <v>0</v>
      </c>
      <c r="K202" s="17">
        <f t="shared" si="3"/>
        <v>0</v>
      </c>
      <c r="L202" s="18"/>
    </row>
    <row r="203" hidden="1">
      <c r="A203" s="2">
        <f>IFERROR(__xludf.DUMMYFUNCTION("""COMPUTED_VALUE"""),159220.0)</f>
        <v>159220</v>
      </c>
      <c r="B203" s="2">
        <f>IFERROR(__xludf.DUMMYFUNCTION("""COMPUTED_VALUE"""),0.0)</f>
        <v>0</v>
      </c>
      <c r="C203" s="2">
        <f>IFERROR(__xludf.DUMMYFUNCTION("""COMPUTED_VALUE"""),893.0)</f>
        <v>893</v>
      </c>
      <c r="D203" s="3">
        <f>IFERROR(__xludf.DUMMYFUNCTION("""COMPUTED_VALUE"""),237.0)</f>
        <v>237</v>
      </c>
      <c r="E203" s="1" t="str">
        <f t="array" ref="E203">_xlfn.XLOOKUP(A203,Product!A:A,Product!B:B,"Bulunamadı")</f>
        <v>Law</v>
      </c>
      <c r="F203" s="1" t="str">
        <f t="array" ref="F203">_xlfn.XLOOKUP(A203,Product!A:A,Product!C:C,"Bulunamadı")</f>
        <v>Romantic Comedy</v>
      </c>
      <c r="G203" s="2" t="str">
        <f t="array" ref="G203">_xlfn.XLOOKUP(A204,Product!A:A,Product!D:D,"Bulunamadı")</f>
        <v>Frontier Publishing</v>
      </c>
      <c r="H203" s="2">
        <f t="array" ref="H203">_xlfn.XLOOKUP(A205,Product!A:A,Product!E:E,"Bulunamadı")</f>
        <v>6.07</v>
      </c>
      <c r="I203" s="2" t="str">
        <f t="shared" si="1"/>
        <v>159220 - Law - Romantic Comedy</v>
      </c>
      <c r="J203" s="2">
        <f t="shared" si="2"/>
        <v>1438.59</v>
      </c>
      <c r="K203" s="17">
        <f t="shared" si="3"/>
        <v>1</v>
      </c>
      <c r="L203" s="18"/>
    </row>
    <row r="204" hidden="1">
      <c r="A204" s="2">
        <f>IFERROR(__xludf.DUMMYFUNCTION("""COMPUTED_VALUE"""),5521.0)</f>
        <v>5521</v>
      </c>
      <c r="B204" s="2">
        <f>IFERROR(__xludf.DUMMYFUNCTION("""COMPUTED_VALUE"""),1.0)</f>
        <v>1</v>
      </c>
      <c r="C204" s="2">
        <f>IFERROR(__xludf.DUMMYFUNCTION("""COMPUTED_VALUE"""),178.0)</f>
        <v>178</v>
      </c>
      <c r="D204" s="3">
        <f>IFERROR(__xludf.DUMMYFUNCTION("""COMPUTED_VALUE"""),41.0)</f>
        <v>41</v>
      </c>
      <c r="E204" s="1" t="str">
        <f t="array" ref="E204">_xlfn.XLOOKUP(A204,Product!A:A,Product!B:B,"Bulunamadı")</f>
        <v>Law</v>
      </c>
      <c r="F204" s="1" t="str">
        <f t="array" ref="F204">_xlfn.XLOOKUP(A204,Product!A:A,Product!C:C,"Bulunamadı")</f>
        <v>Romantic Comedy</v>
      </c>
      <c r="G204" s="2" t="str">
        <f t="array" ref="G204">_xlfn.XLOOKUP(A205,Product!A:A,Product!D:D,"Bulunamadı")</f>
        <v>Frontier Publishing</v>
      </c>
      <c r="H204" s="2">
        <f t="array" ref="H204">_xlfn.XLOOKUP(A206,Product!A:A,Product!E:E,"Bulunamadı")</f>
        <v>1.73</v>
      </c>
      <c r="I204" s="2" t="str">
        <f t="shared" si="1"/>
        <v>5521 - Law - Romantic Comedy</v>
      </c>
      <c r="J204" s="2">
        <f t="shared" si="2"/>
        <v>70.93</v>
      </c>
      <c r="K204" s="17">
        <f t="shared" si="3"/>
        <v>1</v>
      </c>
      <c r="L204" s="18"/>
    </row>
    <row r="205" hidden="1">
      <c r="A205" s="2">
        <f>IFERROR(__xludf.DUMMYFUNCTION("""COMPUTED_VALUE"""),91225.0)</f>
        <v>91225</v>
      </c>
      <c r="B205" s="2">
        <f>IFERROR(__xludf.DUMMYFUNCTION("""COMPUTED_VALUE"""),1.0)</f>
        <v>1</v>
      </c>
      <c r="C205" s="2">
        <f>IFERROR(__xludf.DUMMYFUNCTION("""COMPUTED_VALUE"""),295.0)</f>
        <v>295</v>
      </c>
      <c r="D205" s="3">
        <f>IFERROR(__xludf.DUMMYFUNCTION("""COMPUTED_VALUE"""),278.0)</f>
        <v>278</v>
      </c>
      <c r="E205" s="1" t="str">
        <f t="array" ref="E205">_xlfn.XLOOKUP(A205,Product!A:A,Product!B:B,"Bulunamadı")</f>
        <v>Law</v>
      </c>
      <c r="F205" s="1" t="str">
        <f t="array" ref="F205">_xlfn.XLOOKUP(A205,Product!A:A,Product!C:C,"Bulunamadı")</f>
        <v>Romantic Comedy</v>
      </c>
      <c r="G205" s="2" t="str">
        <f t="array" ref="G205">_xlfn.XLOOKUP(A206,Product!A:A,Product!D:D,"Bulunamadı")</f>
        <v>Frontier Publishing</v>
      </c>
      <c r="H205" s="2">
        <f t="array" ref="H205">_xlfn.XLOOKUP(A207,Product!A:A,Product!E:E,"Bulunamadı")</f>
        <v>1.29</v>
      </c>
      <c r="I205" s="2" t="str">
        <f t="shared" si="1"/>
        <v>91225 - Law - Romantic Comedy</v>
      </c>
      <c r="J205" s="2">
        <f t="shared" si="2"/>
        <v>358.62</v>
      </c>
      <c r="K205" s="17">
        <f t="shared" si="3"/>
        <v>1</v>
      </c>
      <c r="L205" s="18"/>
    </row>
    <row r="206" hidden="1">
      <c r="A206" s="2">
        <f>IFERROR(__xludf.DUMMYFUNCTION("""COMPUTED_VALUE"""),5520.0)</f>
        <v>5520</v>
      </c>
      <c r="B206" s="2">
        <f>IFERROR(__xludf.DUMMYFUNCTION("""COMPUTED_VALUE"""),1.0)</f>
        <v>1</v>
      </c>
      <c r="C206" s="2">
        <f>IFERROR(__xludf.DUMMYFUNCTION("""COMPUTED_VALUE"""),857.0)</f>
        <v>857</v>
      </c>
      <c r="D206" s="3">
        <f>IFERROR(__xludf.DUMMYFUNCTION("""COMPUTED_VALUE"""),530.0)</f>
        <v>530</v>
      </c>
      <c r="E206" s="1" t="str">
        <f t="array" ref="E206">_xlfn.XLOOKUP(A206,Product!A:A,Product!B:B,"Bulunamadı")</f>
        <v>Law</v>
      </c>
      <c r="F206" s="1" t="str">
        <f t="array" ref="F206">_xlfn.XLOOKUP(A206,Product!A:A,Product!C:C,"Bulunamadı")</f>
        <v>Romantic Comedy</v>
      </c>
      <c r="G206" s="2" t="str">
        <f t="array" ref="G206">_xlfn.XLOOKUP(A207,Product!A:A,Product!D:D,"Bulunamadı")</f>
        <v>Frontier Publishing</v>
      </c>
      <c r="H206" s="2">
        <f t="array" ref="H206">_xlfn.XLOOKUP(A208,Product!A:A,Product!E:E,"Bulunamadı")</f>
        <v>4.23</v>
      </c>
      <c r="I206" s="2" t="str">
        <f t="shared" si="1"/>
        <v>5520 - Law - Romantic Comedy</v>
      </c>
      <c r="J206" s="2">
        <f t="shared" si="2"/>
        <v>2241.9</v>
      </c>
      <c r="K206" s="17">
        <f t="shared" si="3"/>
        <v>1</v>
      </c>
      <c r="L206" s="18"/>
    </row>
    <row r="207" hidden="1">
      <c r="A207" s="2">
        <f>IFERROR(__xludf.DUMMYFUNCTION("""COMPUTED_VALUE"""),87285.0)</f>
        <v>87285</v>
      </c>
      <c r="B207" s="2">
        <f>IFERROR(__xludf.DUMMYFUNCTION("""COMPUTED_VALUE"""),0.0)</f>
        <v>0</v>
      </c>
      <c r="C207" s="2">
        <f>IFERROR(__xludf.DUMMYFUNCTION("""COMPUTED_VALUE"""),714.0)</f>
        <v>714</v>
      </c>
      <c r="D207" s="3">
        <f>IFERROR(__xludf.DUMMYFUNCTION("""COMPUTED_VALUE"""),219.0)</f>
        <v>219</v>
      </c>
      <c r="E207" s="1" t="str">
        <f t="array" ref="E207">_xlfn.XLOOKUP(A207,Product!A:A,Product!B:B,"Bulunamadı")</f>
        <v>Law</v>
      </c>
      <c r="F207" s="1" t="str">
        <f t="array" ref="F207">_xlfn.XLOOKUP(A207,Product!A:A,Product!C:C,"Bulunamadı")</f>
        <v>Romantic Comedy</v>
      </c>
      <c r="G207" s="2" t="str">
        <f t="array" ref="G207">_xlfn.XLOOKUP(A208,Product!A:A,Product!D:D,"Bulunamadı")</f>
        <v>New Dawn Books</v>
      </c>
      <c r="H207" s="2">
        <f t="array" ref="H207">_xlfn.XLOOKUP(A209,Product!A:A,Product!E:E,"Bulunamadı")</f>
        <v>1.9</v>
      </c>
      <c r="I207" s="2" t="str">
        <f t="shared" si="1"/>
        <v>87285 - Law - Romantic Comedy</v>
      </c>
      <c r="J207" s="2">
        <f t="shared" si="2"/>
        <v>416.1</v>
      </c>
      <c r="K207" s="17">
        <f t="shared" si="3"/>
        <v>1</v>
      </c>
      <c r="L207" s="18"/>
    </row>
    <row r="208" hidden="1">
      <c r="A208" s="2">
        <f>IFERROR(__xludf.DUMMYFUNCTION("""COMPUTED_VALUE"""),72862.0)</f>
        <v>72862</v>
      </c>
      <c r="B208" s="2">
        <f>IFERROR(__xludf.DUMMYFUNCTION("""COMPUTED_VALUE"""),1.0)</f>
        <v>1</v>
      </c>
      <c r="C208" s="2">
        <f>IFERROR(__xludf.DUMMYFUNCTION("""COMPUTED_VALUE"""),287.0)</f>
        <v>287</v>
      </c>
      <c r="D208" s="3">
        <f>IFERROR(__xludf.DUMMYFUNCTION("""COMPUTED_VALUE"""),222.0)</f>
        <v>222</v>
      </c>
      <c r="E208" s="1" t="str">
        <f t="array" ref="E208">_xlfn.XLOOKUP(A208,Product!A:A,Product!B:B,"Bulunamadı")</f>
        <v>Law</v>
      </c>
      <c r="F208" s="1" t="str">
        <f t="array" ref="F208">_xlfn.XLOOKUP(A208,Product!A:A,Product!C:C,"Bulunamadı")</f>
        <v>Romantic Comedy</v>
      </c>
      <c r="G208" s="2" t="str">
        <f t="array" ref="G208">_xlfn.XLOOKUP(A209,Product!A:A,Product!D:D,"Bulunamadı")</f>
        <v>New Dawn Books</v>
      </c>
      <c r="H208" s="2">
        <f t="array" ref="H208">_xlfn.XLOOKUP(A210,Product!A:A,Product!E:E,"Bulunamadı")</f>
        <v>2.48</v>
      </c>
      <c r="I208" s="2" t="str">
        <f t="shared" si="1"/>
        <v>72862 - Law - Romantic Comedy</v>
      </c>
      <c r="J208" s="2">
        <f t="shared" si="2"/>
        <v>550.56</v>
      </c>
      <c r="K208" s="17">
        <f t="shared" si="3"/>
        <v>1</v>
      </c>
      <c r="L208" s="18"/>
    </row>
    <row r="209" hidden="1">
      <c r="A209" s="2">
        <f>IFERROR(__xludf.DUMMYFUNCTION("""COMPUTED_VALUE"""),109474.0)</f>
        <v>109474</v>
      </c>
      <c r="B209" s="2">
        <f>IFERROR(__xludf.DUMMYFUNCTION("""COMPUTED_VALUE"""),1.0)</f>
        <v>1</v>
      </c>
      <c r="C209" s="2">
        <f>IFERROR(__xludf.DUMMYFUNCTION("""COMPUTED_VALUE"""),545.0)</f>
        <v>545</v>
      </c>
      <c r="D209" s="3">
        <f>IFERROR(__xludf.DUMMYFUNCTION("""COMPUTED_VALUE"""),367.0)</f>
        <v>367</v>
      </c>
      <c r="E209" s="1" t="str">
        <f t="array" ref="E209">_xlfn.XLOOKUP(A209,Product!A:A,Product!B:B,"Bulunamadı")</f>
        <v>Law</v>
      </c>
      <c r="F209" s="1" t="str">
        <f t="array" ref="F209">_xlfn.XLOOKUP(A209,Product!A:A,Product!C:C,"Bulunamadı")</f>
        <v>Romantic Comedy</v>
      </c>
      <c r="G209" s="2" t="str">
        <f t="array" ref="G209">_xlfn.XLOOKUP(A210,Product!A:A,Product!D:D,"Bulunamadı")</f>
        <v>New Dawn Books</v>
      </c>
      <c r="H209" s="2">
        <f t="array" ref="H209">_xlfn.XLOOKUP(A211,Product!A:A,Product!E:E,"Bulunamadı")</f>
        <v>2.16</v>
      </c>
      <c r="I209" s="2" t="str">
        <f t="shared" si="1"/>
        <v>109474 - Law - Romantic Comedy</v>
      </c>
      <c r="J209" s="2">
        <f t="shared" si="2"/>
        <v>792.72</v>
      </c>
      <c r="K209" s="17">
        <f t="shared" si="3"/>
        <v>1</v>
      </c>
      <c r="L209" s="18"/>
    </row>
    <row r="210" hidden="1">
      <c r="A210" s="2">
        <f>IFERROR(__xludf.DUMMYFUNCTION("""COMPUTED_VALUE"""),45834.0)</f>
        <v>45834</v>
      </c>
      <c r="B210" s="2">
        <f>IFERROR(__xludf.DUMMYFUNCTION("""COMPUTED_VALUE"""),1.0)</f>
        <v>1</v>
      </c>
      <c r="C210" s="2">
        <f>IFERROR(__xludf.DUMMYFUNCTION("""COMPUTED_VALUE"""),70.0)</f>
        <v>70</v>
      </c>
      <c r="D210" s="3">
        <f>IFERROR(__xludf.DUMMYFUNCTION("""COMPUTED_VALUE"""),49.0)</f>
        <v>49</v>
      </c>
      <c r="E210" s="1" t="str">
        <f t="array" ref="E210">_xlfn.XLOOKUP(A210,Product!A:A,Product!B:B,"Bulunamadı")</f>
        <v>Law</v>
      </c>
      <c r="F210" s="1" t="str">
        <f t="array" ref="F210">_xlfn.XLOOKUP(A210,Product!A:A,Product!C:C,"Bulunamadı")</f>
        <v>Romantic Comedy</v>
      </c>
      <c r="G210" s="2" t="str">
        <f t="array" ref="G210">_xlfn.XLOOKUP(A211,Product!A:A,Product!D:D,"Bulunamadı")</f>
        <v>Everlight Press</v>
      </c>
      <c r="H210" s="2">
        <f t="array" ref="H210">_xlfn.XLOOKUP(A212,Product!A:A,Product!E:E,"Bulunamadı")</f>
        <v>1.97</v>
      </c>
      <c r="I210" s="2" t="str">
        <f t="shared" si="1"/>
        <v>45834 - Law - Romantic Comedy</v>
      </c>
      <c r="J210" s="2">
        <f t="shared" si="2"/>
        <v>96.53</v>
      </c>
      <c r="K210" s="17">
        <f t="shared" si="3"/>
        <v>1</v>
      </c>
      <c r="L210" s="18"/>
    </row>
    <row r="211" hidden="1">
      <c r="A211" s="2">
        <f>IFERROR(__xludf.DUMMYFUNCTION("""COMPUTED_VALUE"""),45885.0)</f>
        <v>45885</v>
      </c>
      <c r="B211" s="2">
        <f>IFERROR(__xludf.DUMMYFUNCTION("""COMPUTED_VALUE"""),0.0)</f>
        <v>0</v>
      </c>
      <c r="C211" s="2">
        <f>IFERROR(__xludf.DUMMYFUNCTION("""COMPUTED_VALUE"""),799.0)</f>
        <v>799</v>
      </c>
      <c r="D211" s="3">
        <f>IFERROR(__xludf.DUMMYFUNCTION("""COMPUTED_VALUE"""),405.0)</f>
        <v>405</v>
      </c>
      <c r="E211" s="1" t="str">
        <f t="array" ref="E211">_xlfn.XLOOKUP(A211,Product!A:A,Product!B:B,"Bulunamadı")</f>
        <v>Law</v>
      </c>
      <c r="F211" s="1" t="str">
        <f t="array" ref="F211">_xlfn.XLOOKUP(A211,Product!A:A,Product!C:C,"Bulunamadı")</f>
        <v>Romantic Comedy</v>
      </c>
      <c r="G211" s="2" t="str">
        <f t="array" ref="G211">_xlfn.XLOOKUP(A212,Product!A:A,Product!D:D,"Bulunamadı")</f>
        <v>Everlight Press</v>
      </c>
      <c r="H211" s="2">
        <f t="array" ref="H211">_xlfn.XLOOKUP(A213,Product!A:A,Product!E:E,"Bulunamadı")</f>
        <v>1.87</v>
      </c>
      <c r="I211" s="2" t="str">
        <f t="shared" si="1"/>
        <v>45885 - Law - Romantic Comedy</v>
      </c>
      <c r="J211" s="2">
        <f t="shared" si="2"/>
        <v>757.35</v>
      </c>
      <c r="K211" s="17">
        <f t="shared" si="3"/>
        <v>1</v>
      </c>
      <c r="L211" s="18"/>
    </row>
    <row r="212" hidden="1">
      <c r="A212" s="2">
        <f>IFERROR(__xludf.DUMMYFUNCTION("""COMPUTED_VALUE"""),77360.0)</f>
        <v>77360</v>
      </c>
      <c r="B212" s="2">
        <f>IFERROR(__xludf.DUMMYFUNCTION("""COMPUTED_VALUE"""),1.0)</f>
        <v>1</v>
      </c>
      <c r="C212" s="2">
        <f>IFERROR(__xludf.DUMMYFUNCTION("""COMPUTED_VALUE"""),632.0)</f>
        <v>632</v>
      </c>
      <c r="D212" s="3">
        <f>IFERROR(__xludf.DUMMYFUNCTION("""COMPUTED_VALUE"""),560.0)</f>
        <v>560</v>
      </c>
      <c r="E212" s="1" t="str">
        <f t="array" ref="E212">_xlfn.XLOOKUP(A212,Product!A:A,Product!B:B,"Bulunamadı")</f>
        <v>Law</v>
      </c>
      <c r="F212" s="1" t="str">
        <f t="array" ref="F212">_xlfn.XLOOKUP(A212,Product!A:A,Product!C:C,"Bulunamadı")</f>
        <v>Romantic Comedy</v>
      </c>
      <c r="G212" s="2" t="str">
        <f t="array" ref="G212">_xlfn.XLOOKUP(A213,Product!A:A,Product!D:D,"Bulunamadı")</f>
        <v>Everlight Press</v>
      </c>
      <c r="H212" s="2">
        <f t="array" ref="H212">_xlfn.XLOOKUP(A214,Product!A:A,Product!E:E,"Bulunamadı")</f>
        <v>2.06</v>
      </c>
      <c r="I212" s="2" t="str">
        <f t="shared" si="1"/>
        <v>77360 - Law - Romantic Comedy</v>
      </c>
      <c r="J212" s="2">
        <f t="shared" si="2"/>
        <v>1153.6</v>
      </c>
      <c r="K212" s="17">
        <f t="shared" si="3"/>
        <v>1</v>
      </c>
      <c r="L212" s="18"/>
    </row>
    <row r="213" hidden="1">
      <c r="A213" s="2">
        <f>IFERROR(__xludf.DUMMYFUNCTION("""COMPUTED_VALUE"""),89787.0)</f>
        <v>89787</v>
      </c>
      <c r="B213" s="2">
        <f>IFERROR(__xludf.DUMMYFUNCTION("""COMPUTED_VALUE"""),1.0)</f>
        <v>1</v>
      </c>
      <c r="C213" s="2">
        <f>IFERROR(__xludf.DUMMYFUNCTION("""COMPUTED_VALUE"""),826.0)</f>
        <v>826</v>
      </c>
      <c r="D213" s="3">
        <f>IFERROR(__xludf.DUMMYFUNCTION("""COMPUTED_VALUE"""),94.0)</f>
        <v>94</v>
      </c>
      <c r="E213" s="1" t="str">
        <f t="array" ref="E213">_xlfn.XLOOKUP(A213,Product!A:A,Product!B:B,"Bulunamadı")</f>
        <v>Law</v>
      </c>
      <c r="F213" s="1" t="str">
        <f t="array" ref="F213">_xlfn.XLOOKUP(A213,Product!A:A,Product!C:C,"Bulunamadı")</f>
        <v>Romantic Comedy</v>
      </c>
      <c r="G213" s="2" t="str">
        <f t="array" ref="G213">_xlfn.XLOOKUP(A214,Product!A:A,Product!D:D,"Bulunamadı")</f>
        <v>Everlight Press</v>
      </c>
      <c r="H213" s="2">
        <f t="array" ref="H213">_xlfn.XLOOKUP(A215,Product!A:A,Product!E:E,"Bulunamadı")</f>
        <v>2.1</v>
      </c>
      <c r="I213" s="2" t="str">
        <f t="shared" si="1"/>
        <v>89787 - Law - Romantic Comedy</v>
      </c>
      <c r="J213" s="2">
        <f t="shared" si="2"/>
        <v>197.4</v>
      </c>
      <c r="K213" s="17">
        <f t="shared" si="3"/>
        <v>1</v>
      </c>
      <c r="L213" s="18"/>
    </row>
    <row r="214" hidden="1">
      <c r="A214" s="2">
        <f>IFERROR(__xludf.DUMMYFUNCTION("""COMPUTED_VALUE"""),5531.0)</f>
        <v>5531</v>
      </c>
      <c r="B214" s="2">
        <f>IFERROR(__xludf.DUMMYFUNCTION("""COMPUTED_VALUE"""),0.0)</f>
        <v>0</v>
      </c>
      <c r="C214" s="2">
        <f>IFERROR(__xludf.DUMMYFUNCTION("""COMPUTED_VALUE"""),630.0)</f>
        <v>630</v>
      </c>
      <c r="D214" s="3">
        <f>IFERROR(__xludf.DUMMYFUNCTION("""COMPUTED_VALUE"""),236.0)</f>
        <v>236</v>
      </c>
      <c r="E214" s="1" t="str">
        <f t="array" ref="E214">_xlfn.XLOOKUP(A214,Product!A:A,Product!B:B,"Bulunamadı")</f>
        <v>Law</v>
      </c>
      <c r="F214" s="1" t="str">
        <f t="array" ref="F214">_xlfn.XLOOKUP(A214,Product!A:A,Product!C:C,"Bulunamadı")</f>
        <v>Romantic Comedy</v>
      </c>
      <c r="G214" s="2" t="str">
        <f t="array" ref="G214">_xlfn.XLOOKUP(A215,Product!A:A,Product!D:D,"Bulunamadı")</f>
        <v>Everlight Press</v>
      </c>
      <c r="H214" s="2">
        <f t="array" ref="H214">_xlfn.XLOOKUP(A216,Product!A:A,Product!E:E,"Bulunamadı")</f>
        <v>2.16</v>
      </c>
      <c r="I214" s="2" t="str">
        <f t="shared" si="1"/>
        <v>5531 - Law - Romantic Comedy</v>
      </c>
      <c r="J214" s="2">
        <f t="shared" si="2"/>
        <v>509.76</v>
      </c>
      <c r="K214" s="17">
        <f t="shared" si="3"/>
        <v>1</v>
      </c>
      <c r="L214" s="18"/>
    </row>
    <row r="215" hidden="1">
      <c r="A215" s="2">
        <f>IFERROR(__xludf.DUMMYFUNCTION("""COMPUTED_VALUE"""),72826.0)</f>
        <v>72826</v>
      </c>
      <c r="B215" s="2">
        <f>IFERROR(__xludf.DUMMYFUNCTION("""COMPUTED_VALUE"""),0.0)</f>
        <v>0</v>
      </c>
      <c r="C215" s="2">
        <f>IFERROR(__xludf.DUMMYFUNCTION("""COMPUTED_VALUE"""),597.0)</f>
        <v>597</v>
      </c>
      <c r="D215" s="3">
        <f>IFERROR(__xludf.DUMMYFUNCTION("""COMPUTED_VALUE"""),502.0)</f>
        <v>502</v>
      </c>
      <c r="E215" s="1" t="str">
        <f t="array" ref="E215">_xlfn.XLOOKUP(A215,Product!A:A,Product!B:B,"Bulunamadı")</f>
        <v>Law</v>
      </c>
      <c r="F215" s="1" t="str">
        <f t="array" ref="F215">_xlfn.XLOOKUP(A215,Product!A:A,Product!C:C,"Bulunamadı")</f>
        <v>Romantic Comedy</v>
      </c>
      <c r="G215" s="2" t="str">
        <f t="array" ref="G215">_xlfn.XLOOKUP(A216,Product!A:A,Product!D:D,"Bulunamadı")</f>
        <v>Everlight Press</v>
      </c>
      <c r="H215" s="2">
        <f t="array" ref="H215">_xlfn.XLOOKUP(A217,Product!A:A,Product!E:E,"Bulunamadı")</f>
        <v>2.11</v>
      </c>
      <c r="I215" s="2" t="str">
        <f t="shared" si="1"/>
        <v>72826 - Law - Romantic Comedy</v>
      </c>
      <c r="J215" s="2">
        <f t="shared" si="2"/>
        <v>1059.22</v>
      </c>
      <c r="K215" s="17">
        <f t="shared" si="3"/>
        <v>1</v>
      </c>
      <c r="L215" s="18"/>
    </row>
    <row r="216" hidden="1">
      <c r="A216" s="2">
        <f>IFERROR(__xludf.DUMMYFUNCTION("""COMPUTED_VALUE"""),91180.0)</f>
        <v>91180</v>
      </c>
      <c r="B216" s="2">
        <f>IFERROR(__xludf.DUMMYFUNCTION("""COMPUTED_VALUE"""),0.0)</f>
        <v>0</v>
      </c>
      <c r="C216" s="2">
        <f>IFERROR(__xludf.DUMMYFUNCTION("""COMPUTED_VALUE"""),455.0)</f>
        <v>455</v>
      </c>
      <c r="D216" s="3">
        <f>IFERROR(__xludf.DUMMYFUNCTION("""COMPUTED_VALUE"""),315.0)</f>
        <v>315</v>
      </c>
      <c r="E216" s="1" t="str">
        <f t="array" ref="E216">_xlfn.XLOOKUP(A216,Product!A:A,Product!B:B,"Bulunamadı")</f>
        <v>Law</v>
      </c>
      <c r="F216" s="1" t="str">
        <f t="array" ref="F216">_xlfn.XLOOKUP(A216,Product!A:A,Product!C:C,"Bulunamadı")</f>
        <v>Romantic Comedy</v>
      </c>
      <c r="G216" s="2" t="str">
        <f t="array" ref="G216">_xlfn.XLOOKUP(A217,Product!A:A,Product!D:D,"Bulunamadı")</f>
        <v>Everlight Press</v>
      </c>
      <c r="H216" s="2">
        <f t="array" ref="H216">_xlfn.XLOOKUP(A218,Product!A:A,Product!E:E,"Bulunamadı")</f>
        <v>1.34</v>
      </c>
      <c r="I216" s="2" t="str">
        <f t="shared" si="1"/>
        <v>91180 - Law - Romantic Comedy</v>
      </c>
      <c r="J216" s="2">
        <f t="shared" si="2"/>
        <v>422.1</v>
      </c>
      <c r="K216" s="17">
        <f t="shared" si="3"/>
        <v>1</v>
      </c>
      <c r="L216" s="18"/>
    </row>
    <row r="217" hidden="1">
      <c r="A217" s="2">
        <f>IFERROR(__xludf.DUMMYFUNCTION("""COMPUTED_VALUE"""),58757.0)</f>
        <v>58757</v>
      </c>
      <c r="B217" s="2">
        <f>IFERROR(__xludf.DUMMYFUNCTION("""COMPUTED_VALUE"""),0.0)</f>
        <v>0</v>
      </c>
      <c r="C217" s="2">
        <f>IFERROR(__xludf.DUMMYFUNCTION("""COMPUTED_VALUE"""),157.0)</f>
        <v>157</v>
      </c>
      <c r="D217" s="3">
        <f>IFERROR(__xludf.DUMMYFUNCTION("""COMPUTED_VALUE"""),35.0)</f>
        <v>35</v>
      </c>
      <c r="E217" s="1" t="str">
        <f t="array" ref="E217">_xlfn.XLOOKUP(A217,Product!A:A,Product!B:B,"Bulunamadı")</f>
        <v>Law</v>
      </c>
      <c r="F217" s="1" t="str">
        <f t="array" ref="F217">_xlfn.XLOOKUP(A217,Product!A:A,Product!C:C,"Bulunamadı")</f>
        <v>Romantic Comedy</v>
      </c>
      <c r="G217" s="2" t="str">
        <f t="array" ref="G217">_xlfn.XLOOKUP(A218,Product!A:A,Product!D:D,"Bulunamadı")</f>
        <v>Everlight Press</v>
      </c>
      <c r="H217" s="2">
        <f t="array" ref="H217">_xlfn.XLOOKUP(A219,Product!A:A,Product!E:E,"Bulunamadı")</f>
        <v>9.47</v>
      </c>
      <c r="I217" s="2" t="str">
        <f t="shared" si="1"/>
        <v>58757 - Law - Romantic Comedy</v>
      </c>
      <c r="J217" s="2">
        <f t="shared" si="2"/>
        <v>331.45</v>
      </c>
      <c r="K217" s="17">
        <f t="shared" si="3"/>
        <v>1</v>
      </c>
      <c r="L217" s="18"/>
    </row>
    <row r="218" hidden="1">
      <c r="A218" s="2">
        <f>IFERROR(__xludf.DUMMYFUNCTION("""COMPUTED_VALUE"""),87287.0)</f>
        <v>87287</v>
      </c>
      <c r="B218" s="2">
        <f>IFERROR(__xludf.DUMMYFUNCTION("""COMPUTED_VALUE"""),0.0)</f>
        <v>0</v>
      </c>
      <c r="C218" s="2">
        <f>IFERROR(__xludf.DUMMYFUNCTION("""COMPUTED_VALUE"""),845.0)</f>
        <v>845</v>
      </c>
      <c r="D218" s="3">
        <f>IFERROR(__xludf.DUMMYFUNCTION("""COMPUTED_VALUE"""),801.0)</f>
        <v>801</v>
      </c>
      <c r="E218" s="1" t="str">
        <f t="array" ref="E218">_xlfn.XLOOKUP(A218,Product!A:A,Product!B:B,"Bulunamadı")</f>
        <v>Law</v>
      </c>
      <c r="F218" s="1" t="str">
        <f t="array" ref="F218">_xlfn.XLOOKUP(A218,Product!A:A,Product!C:C,"Bulunamadı")</f>
        <v>Romantic Comedy</v>
      </c>
      <c r="G218" s="2" t="str">
        <f t="array" ref="G218">_xlfn.XLOOKUP(A219,Product!A:A,Product!D:D,"Bulunamadı")</f>
        <v>Broadway Hill Publishing</v>
      </c>
      <c r="H218" s="2">
        <f t="array" ref="H218">_xlfn.XLOOKUP(A220,Product!A:A,Product!E:E,"Bulunamadı")</f>
        <v>3.26</v>
      </c>
      <c r="I218" s="2" t="str">
        <f t="shared" si="1"/>
        <v>87287 - Law - Romantic Comedy</v>
      </c>
      <c r="J218" s="2">
        <f t="shared" si="2"/>
        <v>2611.26</v>
      </c>
      <c r="K218" s="17">
        <f t="shared" si="3"/>
        <v>1</v>
      </c>
      <c r="L218" s="18"/>
    </row>
    <row r="219" hidden="1">
      <c r="A219" s="2">
        <f>IFERROR(__xludf.DUMMYFUNCTION("""COMPUTED_VALUE"""),91147.0)</f>
        <v>91147</v>
      </c>
      <c r="B219" s="2">
        <f>IFERROR(__xludf.DUMMYFUNCTION("""COMPUTED_VALUE"""),0.0)</f>
        <v>0</v>
      </c>
      <c r="C219" s="2">
        <f>IFERROR(__xludf.DUMMYFUNCTION("""COMPUTED_VALUE"""),973.0)</f>
        <v>973</v>
      </c>
      <c r="D219" s="3">
        <f>IFERROR(__xludf.DUMMYFUNCTION("""COMPUTED_VALUE"""),67.0)</f>
        <v>67</v>
      </c>
      <c r="E219" s="1" t="str">
        <f t="array" ref="E219">_xlfn.XLOOKUP(A219,Product!A:A,Product!B:B,"Bulunamadı")</f>
        <v>Law</v>
      </c>
      <c r="F219" s="1" t="str">
        <f t="array" ref="F219">_xlfn.XLOOKUP(A219,Product!A:A,Product!C:C,"Bulunamadı")</f>
        <v>Romantic Comedy</v>
      </c>
      <c r="G219" s="2" t="str">
        <f t="array" ref="G219">_xlfn.XLOOKUP(A220,Product!A:A,Product!D:D,"Bulunamadı")</f>
        <v>Broadway Hill Publishing</v>
      </c>
      <c r="H219" s="2">
        <f t="array" ref="H219">_xlfn.XLOOKUP(A221,Product!A:A,Product!E:E,"Bulunamadı")</f>
        <v>3.25</v>
      </c>
      <c r="I219" s="2" t="str">
        <f t="shared" si="1"/>
        <v>91147 - Law - Romantic Comedy</v>
      </c>
      <c r="J219" s="2">
        <f t="shared" si="2"/>
        <v>217.75</v>
      </c>
      <c r="K219" s="17">
        <f t="shared" si="3"/>
        <v>1</v>
      </c>
      <c r="L219" s="18"/>
    </row>
    <row r="220" hidden="1">
      <c r="A220" s="2">
        <f>IFERROR(__xludf.DUMMYFUNCTION("""COMPUTED_VALUE"""),5526.0)</f>
        <v>5526</v>
      </c>
      <c r="B220" s="2">
        <f>IFERROR(__xludf.DUMMYFUNCTION("""COMPUTED_VALUE"""),0.0)</f>
        <v>0</v>
      </c>
      <c r="C220" s="2">
        <f>IFERROR(__xludf.DUMMYFUNCTION("""COMPUTED_VALUE"""),321.0)</f>
        <v>321</v>
      </c>
      <c r="D220" s="3">
        <f>IFERROR(__xludf.DUMMYFUNCTION("""COMPUTED_VALUE"""),293.0)</f>
        <v>293</v>
      </c>
      <c r="E220" s="1" t="str">
        <f t="array" ref="E220">_xlfn.XLOOKUP(A220,Product!A:A,Product!B:B,"Bulunamadı")</f>
        <v>Law</v>
      </c>
      <c r="F220" s="1" t="str">
        <f t="array" ref="F220">_xlfn.XLOOKUP(A220,Product!A:A,Product!C:C,"Bulunamadı")</f>
        <v>Romantic Comedy</v>
      </c>
      <c r="G220" s="2" t="str">
        <f t="array" ref="G220">_xlfn.XLOOKUP(A221,Product!A:A,Product!D:D,"Bulunamadı")</f>
        <v>Broadway Hill Publishing</v>
      </c>
      <c r="H220" s="2">
        <f t="array" ref="H220">_xlfn.XLOOKUP(A222,Product!A:A,Product!E:E,"Bulunamadı")</f>
        <v>1.97</v>
      </c>
      <c r="I220" s="2" t="str">
        <f t="shared" si="1"/>
        <v>5526 - Law - Romantic Comedy</v>
      </c>
      <c r="J220" s="2">
        <f t="shared" si="2"/>
        <v>577.21</v>
      </c>
      <c r="K220" s="17">
        <f t="shared" si="3"/>
        <v>1</v>
      </c>
      <c r="L220" s="18"/>
    </row>
    <row r="221" hidden="1">
      <c r="A221" s="2">
        <f>IFERROR(__xludf.DUMMYFUNCTION("""COMPUTED_VALUE"""),77310.0)</f>
        <v>77310</v>
      </c>
      <c r="B221" s="2">
        <f>IFERROR(__xludf.DUMMYFUNCTION("""COMPUTED_VALUE"""),1.0)</f>
        <v>1</v>
      </c>
      <c r="C221" s="2">
        <f>IFERROR(__xludf.DUMMYFUNCTION("""COMPUTED_VALUE"""),197.0)</f>
        <v>197</v>
      </c>
      <c r="D221" s="3">
        <f>IFERROR(__xludf.DUMMYFUNCTION("""COMPUTED_VALUE"""),197.0)</f>
        <v>197</v>
      </c>
      <c r="E221" s="1" t="str">
        <f t="array" ref="E221">_xlfn.XLOOKUP(A221,Product!A:A,Product!B:B,"Bulunamadı")</f>
        <v>Law</v>
      </c>
      <c r="F221" s="1" t="str">
        <f t="array" ref="F221">_xlfn.XLOOKUP(A221,Product!A:A,Product!C:C,"Bulunamadı")</f>
        <v>Romantic Comedy</v>
      </c>
      <c r="G221" s="2" t="str">
        <f t="array" ref="G221">_xlfn.XLOOKUP(A222,Product!A:A,Product!D:D,"Bulunamadı")</f>
        <v>Broadway Hill Publishing</v>
      </c>
      <c r="H221" s="2">
        <f t="array" ref="H221">_xlfn.XLOOKUP(A223,Product!A:A,Product!E:E,"Bulunamadı")</f>
        <v>3.23</v>
      </c>
      <c r="I221" s="2" t="str">
        <f t="shared" si="1"/>
        <v>77310 - Law - Romantic Comedy</v>
      </c>
      <c r="J221" s="2">
        <f t="shared" si="2"/>
        <v>636.31</v>
      </c>
      <c r="K221" s="17">
        <f t="shared" si="3"/>
        <v>1</v>
      </c>
      <c r="L221" s="18"/>
    </row>
    <row r="222" hidden="1">
      <c r="A222" s="2">
        <f>IFERROR(__xludf.DUMMYFUNCTION("""COMPUTED_VALUE"""),5525.0)</f>
        <v>5525</v>
      </c>
      <c r="B222" s="2">
        <f>IFERROR(__xludf.DUMMYFUNCTION("""COMPUTED_VALUE"""),1.0)</f>
        <v>1</v>
      </c>
      <c r="C222" s="2">
        <f>IFERROR(__xludf.DUMMYFUNCTION("""COMPUTED_VALUE"""),171.0)</f>
        <v>171</v>
      </c>
      <c r="D222" s="3">
        <f>IFERROR(__xludf.DUMMYFUNCTION("""COMPUTED_VALUE"""),105.0)</f>
        <v>105</v>
      </c>
      <c r="E222" s="1" t="str">
        <f t="array" ref="E222">_xlfn.XLOOKUP(A222,Product!A:A,Product!B:B,"Bulunamadı")</f>
        <v>Law</v>
      </c>
      <c r="F222" s="1" t="str">
        <f t="array" ref="F222">_xlfn.XLOOKUP(A222,Product!A:A,Product!C:C,"Bulunamadı")</f>
        <v>Romantic Comedy</v>
      </c>
      <c r="G222" s="2" t="str">
        <f t="array" ref="G222">_xlfn.XLOOKUP(A223,Product!A:A,Product!D:D,"Bulunamadı")</f>
        <v>Broadway Hill Publishing</v>
      </c>
      <c r="H222" s="2">
        <f t="array" ref="H222">_xlfn.XLOOKUP(A224,Product!A:A,Product!E:E,"Bulunamadı")</f>
        <v>7.39</v>
      </c>
      <c r="I222" s="2" t="str">
        <f t="shared" si="1"/>
        <v>5525 - Law - Romantic Comedy</v>
      </c>
      <c r="J222" s="2">
        <f t="shared" si="2"/>
        <v>775.95</v>
      </c>
      <c r="K222" s="17">
        <f t="shared" si="3"/>
        <v>1</v>
      </c>
      <c r="L222" s="18"/>
    </row>
    <row r="223" hidden="1">
      <c r="A223" s="2">
        <f>IFERROR(__xludf.DUMMYFUNCTION("""COMPUTED_VALUE"""),5524.0)</f>
        <v>5524</v>
      </c>
      <c r="B223" s="2">
        <f>IFERROR(__xludf.DUMMYFUNCTION("""COMPUTED_VALUE"""),1.0)</f>
        <v>1</v>
      </c>
      <c r="C223" s="2">
        <f>IFERROR(__xludf.DUMMYFUNCTION("""COMPUTED_VALUE"""),618.0)</f>
        <v>618</v>
      </c>
      <c r="D223" s="3">
        <f>IFERROR(__xludf.DUMMYFUNCTION("""COMPUTED_VALUE"""),89.0)</f>
        <v>89</v>
      </c>
      <c r="E223" s="1" t="str">
        <f t="array" ref="E223">_xlfn.XLOOKUP(A223,Product!A:A,Product!B:B,"Bulunamadı")</f>
        <v>Law</v>
      </c>
      <c r="F223" s="1" t="str">
        <f t="array" ref="F223">_xlfn.XLOOKUP(A223,Product!A:A,Product!C:C,"Bulunamadı")</f>
        <v>Romantic Comedy</v>
      </c>
      <c r="G223" s="2" t="str">
        <f t="array" ref="G223">_xlfn.XLOOKUP(A224,Product!A:A,Product!D:D,"Bulunamadı")</f>
        <v>Broadway Hill Publishing</v>
      </c>
      <c r="H223" s="2">
        <f t="array" ref="H223">_xlfn.XLOOKUP(A225,Product!A:A,Product!E:E,"Bulunamadı")</f>
        <v>1.8</v>
      </c>
      <c r="I223" s="2" t="str">
        <f t="shared" si="1"/>
        <v>5524 - Law - Romantic Comedy</v>
      </c>
      <c r="J223" s="2">
        <f t="shared" si="2"/>
        <v>160.2</v>
      </c>
      <c r="K223" s="17">
        <f t="shared" si="3"/>
        <v>1</v>
      </c>
      <c r="L223" s="18"/>
    </row>
    <row r="224" hidden="1">
      <c r="A224" s="2">
        <f>IFERROR(__xludf.DUMMYFUNCTION("""COMPUTED_VALUE"""),72849.0)</f>
        <v>72849</v>
      </c>
      <c r="B224" s="2">
        <f>IFERROR(__xludf.DUMMYFUNCTION("""COMPUTED_VALUE"""),1.0)</f>
        <v>1</v>
      </c>
      <c r="C224" s="2">
        <f>IFERROR(__xludf.DUMMYFUNCTION("""COMPUTED_VALUE"""),45.0)</f>
        <v>45</v>
      </c>
      <c r="D224" s="3">
        <f>IFERROR(__xludf.DUMMYFUNCTION("""COMPUTED_VALUE"""),42.0)</f>
        <v>42</v>
      </c>
      <c r="E224" s="1" t="str">
        <f t="array" ref="E224">_xlfn.XLOOKUP(A224,Product!A:A,Product!B:B,"Bulunamadı")</f>
        <v>Law</v>
      </c>
      <c r="F224" s="1" t="str">
        <f t="array" ref="F224">_xlfn.XLOOKUP(A224,Product!A:A,Product!C:C,"Bulunamadı")</f>
        <v>Romantic Comedy</v>
      </c>
      <c r="G224" s="2" t="str">
        <f t="array" ref="G224">_xlfn.XLOOKUP(A225,Product!A:A,Product!D:D,"Bulunamadı")</f>
        <v>Broadway Hill Publishing</v>
      </c>
      <c r="H224" s="2">
        <f t="array" ref="H224">_xlfn.XLOOKUP(A226,Product!A:A,Product!E:E,"Bulunamadı")</f>
        <v>1.95</v>
      </c>
      <c r="I224" s="2" t="str">
        <f t="shared" si="1"/>
        <v>72849 - Law - Romantic Comedy</v>
      </c>
      <c r="J224" s="2">
        <f t="shared" si="2"/>
        <v>81.9</v>
      </c>
      <c r="K224" s="17">
        <f t="shared" si="3"/>
        <v>1</v>
      </c>
      <c r="L224" s="18"/>
    </row>
    <row r="225" hidden="1">
      <c r="A225" s="2">
        <f>IFERROR(__xludf.DUMMYFUNCTION("""COMPUTED_VALUE"""),77385.0)</f>
        <v>77385</v>
      </c>
      <c r="B225" s="2">
        <f>IFERROR(__xludf.DUMMYFUNCTION("""COMPUTED_VALUE"""),1.0)</f>
        <v>1</v>
      </c>
      <c r="C225" s="2">
        <f>IFERROR(__xludf.DUMMYFUNCTION("""COMPUTED_VALUE"""),334.0)</f>
        <v>334</v>
      </c>
      <c r="D225" s="3">
        <f>IFERROR(__xludf.DUMMYFUNCTION("""COMPUTED_VALUE"""),77.0)</f>
        <v>77</v>
      </c>
      <c r="E225" s="1" t="str">
        <f t="array" ref="E225">_xlfn.XLOOKUP(A225,Product!A:A,Product!B:B,"Bulunamadı")</f>
        <v>Law</v>
      </c>
      <c r="F225" s="1" t="str">
        <f t="array" ref="F225">_xlfn.XLOOKUP(A225,Product!A:A,Product!C:C,"Bulunamadı")</f>
        <v>Romantic Comedy</v>
      </c>
      <c r="G225" s="2" t="str">
        <f t="array" ref="G225">_xlfn.XLOOKUP(A226,Product!A:A,Product!D:D,"Bulunamadı")</f>
        <v>Broadway Hill Publishing</v>
      </c>
      <c r="H225" s="2">
        <f t="array" ref="H225">_xlfn.XLOOKUP(A227,Product!A:A,Product!E:E,"Bulunamadı")</f>
        <v>2.62</v>
      </c>
      <c r="I225" s="2" t="str">
        <f t="shared" si="1"/>
        <v>77385 - Law - Romantic Comedy</v>
      </c>
      <c r="J225" s="2">
        <f t="shared" si="2"/>
        <v>201.74</v>
      </c>
      <c r="K225" s="17">
        <f t="shared" si="3"/>
        <v>1</v>
      </c>
      <c r="L225" s="18"/>
    </row>
    <row r="226" hidden="1">
      <c r="A226" s="2">
        <f>IFERROR(__xludf.DUMMYFUNCTION("""COMPUTED_VALUE"""),5529.0)</f>
        <v>5529</v>
      </c>
      <c r="B226" s="2">
        <f>IFERROR(__xludf.DUMMYFUNCTION("""COMPUTED_VALUE"""),0.0)</f>
        <v>0</v>
      </c>
      <c r="C226" s="2">
        <f>IFERROR(__xludf.DUMMYFUNCTION("""COMPUTED_VALUE"""),799.0)</f>
        <v>799</v>
      </c>
      <c r="D226" s="3">
        <f>IFERROR(__xludf.DUMMYFUNCTION("""COMPUTED_VALUE"""),295.0)</f>
        <v>295</v>
      </c>
      <c r="E226" s="1" t="str">
        <f t="array" ref="E226">_xlfn.XLOOKUP(A226,Product!A:A,Product!B:B,"Bulunamadı")</f>
        <v>Law</v>
      </c>
      <c r="F226" s="1" t="str">
        <f t="array" ref="F226">_xlfn.XLOOKUP(A226,Product!A:A,Product!C:C,"Bulunamadı")</f>
        <v>Romantic Comedy</v>
      </c>
      <c r="G226" s="2" t="str">
        <f t="array" ref="G226">_xlfn.XLOOKUP(A227,Product!A:A,Product!D:D,"Bulunamadı")</f>
        <v>Broadway Hill Publishing</v>
      </c>
      <c r="H226" s="2">
        <f t="array" ref="H226">_xlfn.XLOOKUP(A228,Product!A:A,Product!E:E,"Bulunamadı")</f>
        <v>2.08</v>
      </c>
      <c r="I226" s="2" t="str">
        <f t="shared" si="1"/>
        <v>5529 - Law - Romantic Comedy</v>
      </c>
      <c r="J226" s="2">
        <f t="shared" si="2"/>
        <v>613.6</v>
      </c>
      <c r="K226" s="17">
        <f t="shared" si="3"/>
        <v>1</v>
      </c>
      <c r="L226" s="18"/>
    </row>
    <row r="227" hidden="1">
      <c r="A227" s="2">
        <f>IFERROR(__xludf.DUMMYFUNCTION("""COMPUTED_VALUE"""),45879.0)</f>
        <v>45879</v>
      </c>
      <c r="B227" s="2">
        <f>IFERROR(__xludf.DUMMYFUNCTION("""COMPUTED_VALUE"""),0.0)</f>
        <v>0</v>
      </c>
      <c r="C227" s="2">
        <f>IFERROR(__xludf.DUMMYFUNCTION("""COMPUTED_VALUE"""),599.0)</f>
        <v>599</v>
      </c>
      <c r="D227" s="3">
        <f>IFERROR(__xludf.DUMMYFUNCTION("""COMPUTED_VALUE"""),133.0)</f>
        <v>133</v>
      </c>
      <c r="E227" s="1" t="str">
        <f t="array" ref="E227">_xlfn.XLOOKUP(A227,Product!A:A,Product!B:B,"Bulunamadı")</f>
        <v>Law</v>
      </c>
      <c r="F227" s="1" t="str">
        <f t="array" ref="F227">_xlfn.XLOOKUP(A227,Product!A:A,Product!C:C,"Bulunamadı")</f>
        <v>Romantic Comedy</v>
      </c>
      <c r="G227" s="2" t="str">
        <f t="array" ref="G227">_xlfn.XLOOKUP(A228,Product!A:A,Product!D:D,"Bulunamadı")</f>
        <v>Broadway Hill Publishing</v>
      </c>
      <c r="H227" s="2">
        <f t="array" ref="H227">_xlfn.XLOOKUP(A229,Product!A:A,Product!E:E,"Bulunamadı")</f>
        <v>1.55</v>
      </c>
      <c r="I227" s="2" t="str">
        <f t="shared" si="1"/>
        <v>45879 - Law - Romantic Comedy</v>
      </c>
      <c r="J227" s="2">
        <f t="shared" si="2"/>
        <v>206.15</v>
      </c>
      <c r="K227" s="17">
        <f t="shared" si="3"/>
        <v>1</v>
      </c>
      <c r="L227" s="18"/>
    </row>
    <row r="228" hidden="1">
      <c r="A228" s="2">
        <f>IFERROR(__xludf.DUMMYFUNCTION("""COMPUTED_VALUE"""),58753.0)</f>
        <v>58753</v>
      </c>
      <c r="B228" s="2">
        <f>IFERROR(__xludf.DUMMYFUNCTION("""COMPUTED_VALUE"""),1.0)</f>
        <v>1</v>
      </c>
      <c r="C228" s="2">
        <f>IFERROR(__xludf.DUMMYFUNCTION("""COMPUTED_VALUE"""),786.0)</f>
        <v>786</v>
      </c>
      <c r="D228" s="3">
        <f>IFERROR(__xludf.DUMMYFUNCTION("""COMPUTED_VALUE"""),343.0)</f>
        <v>343</v>
      </c>
      <c r="E228" s="1" t="str">
        <f t="array" ref="E228">_xlfn.XLOOKUP(A228,Product!A:A,Product!B:B,"Bulunamadı")</f>
        <v>Law</v>
      </c>
      <c r="F228" s="1" t="str">
        <f t="array" ref="F228">_xlfn.XLOOKUP(A228,Product!A:A,Product!C:C,"Bulunamadı")</f>
        <v>Romantic Comedy</v>
      </c>
      <c r="G228" s="2" t="str">
        <f t="array" ref="G228">_xlfn.XLOOKUP(A229,Product!A:A,Product!D:D,"Bulunamadı")</f>
        <v>Broadway Hill Publishing</v>
      </c>
      <c r="H228" s="2">
        <f t="array" ref="H228">_xlfn.XLOOKUP(A230,Product!A:A,Product!E:E,"Bulunamadı")</f>
        <v>1.18</v>
      </c>
      <c r="I228" s="2" t="str">
        <f t="shared" si="1"/>
        <v>58753 - Law - Romantic Comedy</v>
      </c>
      <c r="J228" s="2">
        <f t="shared" si="2"/>
        <v>404.74</v>
      </c>
      <c r="K228" s="17">
        <f t="shared" si="3"/>
        <v>1</v>
      </c>
      <c r="L228" s="18"/>
    </row>
    <row r="229" hidden="1">
      <c r="A229" s="2">
        <f>IFERROR(__xludf.DUMMYFUNCTION("""COMPUTED_VALUE"""),77318.0)</f>
        <v>77318</v>
      </c>
      <c r="B229" s="2">
        <f>IFERROR(__xludf.DUMMYFUNCTION("""COMPUTED_VALUE"""),0.0)</f>
        <v>0</v>
      </c>
      <c r="C229" s="2">
        <f>IFERROR(__xludf.DUMMYFUNCTION("""COMPUTED_VALUE"""),784.0)</f>
        <v>784</v>
      </c>
      <c r="D229" s="3">
        <f>IFERROR(__xludf.DUMMYFUNCTION("""COMPUTED_VALUE"""),741.0)</f>
        <v>741</v>
      </c>
      <c r="E229" s="1" t="str">
        <f t="array" ref="E229">_xlfn.XLOOKUP(A229,Product!A:A,Product!B:B,"Bulunamadı")</f>
        <v>Law</v>
      </c>
      <c r="F229" s="1" t="str">
        <f t="array" ref="F229">_xlfn.XLOOKUP(A229,Product!A:A,Product!C:C,"Bulunamadı")</f>
        <v>Romantic Comedy</v>
      </c>
      <c r="G229" s="2" t="str">
        <f t="array" ref="G229">_xlfn.XLOOKUP(A230,Product!A:A,Product!D:D,"Bulunamadı")</f>
        <v>Broadway Hill Publishing</v>
      </c>
      <c r="H229" s="2">
        <f t="array" ref="H229">_xlfn.XLOOKUP(A231,Product!A:A,Product!E:E,"Bulunamadı")</f>
        <v>7.75</v>
      </c>
      <c r="I229" s="2" t="str">
        <f t="shared" si="1"/>
        <v>77318 - Law - Romantic Comedy</v>
      </c>
      <c r="J229" s="2">
        <f t="shared" si="2"/>
        <v>5742.75</v>
      </c>
      <c r="K229" s="17">
        <f t="shared" si="3"/>
        <v>1</v>
      </c>
      <c r="L229" s="18"/>
    </row>
    <row r="230" hidden="1">
      <c r="A230" s="2">
        <f>IFERROR(__xludf.DUMMYFUNCTION("""COMPUTED_VALUE"""),122091.0)</f>
        <v>122091</v>
      </c>
      <c r="B230" s="2">
        <f>IFERROR(__xludf.DUMMYFUNCTION("""COMPUTED_VALUE"""),1.0)</f>
        <v>1</v>
      </c>
      <c r="C230" s="2">
        <f>IFERROR(__xludf.DUMMYFUNCTION("""COMPUTED_VALUE"""),773.0)</f>
        <v>773</v>
      </c>
      <c r="D230" s="3">
        <f>IFERROR(__xludf.DUMMYFUNCTION("""COMPUTED_VALUE"""),386.0)</f>
        <v>386</v>
      </c>
      <c r="E230" s="1" t="str">
        <f t="array" ref="E230">_xlfn.XLOOKUP(A230,Product!A:A,Product!B:B,"Bulunamadı")</f>
        <v>Law</v>
      </c>
      <c r="F230" s="1" t="str">
        <f t="array" ref="F230">_xlfn.XLOOKUP(A230,Product!A:A,Product!C:C,"Bulunamadı")</f>
        <v>Romantic Comedy</v>
      </c>
      <c r="G230" s="2" t="str">
        <f t="array" ref="G230">_xlfn.XLOOKUP(A231,Product!A:A,Product!D:D,"Bulunamadı")</f>
        <v>Broadway Hill Publishing</v>
      </c>
      <c r="H230" s="2">
        <f t="array" ref="H230">_xlfn.XLOOKUP(A232,Product!A:A,Product!E:E,"Bulunamadı")</f>
        <v>2.4</v>
      </c>
      <c r="I230" s="2" t="str">
        <f t="shared" si="1"/>
        <v>122091 - Law - Romantic Comedy</v>
      </c>
      <c r="J230" s="2">
        <f t="shared" si="2"/>
        <v>926.4</v>
      </c>
      <c r="K230" s="17">
        <f t="shared" si="3"/>
        <v>1</v>
      </c>
      <c r="L230" s="18"/>
    </row>
    <row r="231" hidden="1">
      <c r="A231" s="2">
        <f>IFERROR(__xludf.DUMMYFUNCTION("""COMPUTED_VALUE"""),91144.0)</f>
        <v>91144</v>
      </c>
      <c r="B231" s="2">
        <f>IFERROR(__xludf.DUMMYFUNCTION("""COMPUTED_VALUE"""),1.0)</f>
        <v>1</v>
      </c>
      <c r="C231" s="2">
        <f>IFERROR(__xludf.DUMMYFUNCTION("""COMPUTED_VALUE"""),985.0)</f>
        <v>985</v>
      </c>
      <c r="D231" s="3">
        <f>IFERROR(__xludf.DUMMYFUNCTION("""COMPUTED_VALUE"""),812.0)</f>
        <v>812</v>
      </c>
      <c r="E231" s="1" t="str">
        <f t="array" ref="E231">_xlfn.XLOOKUP(A231,Product!A:A,Product!B:B,"Bulunamadı")</f>
        <v>Law</v>
      </c>
      <c r="F231" s="1" t="str">
        <f t="array" ref="F231">_xlfn.XLOOKUP(A231,Product!A:A,Product!C:C,"Bulunamadı")</f>
        <v>Romantic Comedy</v>
      </c>
      <c r="G231" s="2" t="str">
        <f t="array" ref="G231">_xlfn.XLOOKUP(A232,Product!A:A,Product!D:D,"Bulunamadı")</f>
        <v>Broadway Hill Publishing</v>
      </c>
      <c r="H231" s="2">
        <f t="array" ref="H231">_xlfn.XLOOKUP(A233,Product!A:A,Product!E:E,"Bulunamadı")</f>
        <v>1.71</v>
      </c>
      <c r="I231" s="2" t="str">
        <f t="shared" si="1"/>
        <v>91144 - Law - Romantic Comedy</v>
      </c>
      <c r="J231" s="2">
        <f t="shared" si="2"/>
        <v>1388.52</v>
      </c>
      <c r="K231" s="17">
        <f t="shared" si="3"/>
        <v>1</v>
      </c>
      <c r="L231" s="18"/>
    </row>
    <row r="232" hidden="1">
      <c r="A232" s="2">
        <f>IFERROR(__xludf.DUMMYFUNCTION("""COMPUTED_VALUE"""),79000.0)</f>
        <v>79000</v>
      </c>
      <c r="B232" s="2">
        <f>IFERROR(__xludf.DUMMYFUNCTION("""COMPUTED_VALUE"""),1.0)</f>
        <v>1</v>
      </c>
      <c r="C232" s="2">
        <f>IFERROR(__xludf.DUMMYFUNCTION("""COMPUTED_VALUE"""),155.0)</f>
        <v>155</v>
      </c>
      <c r="D232" s="3">
        <f>IFERROR(__xludf.DUMMYFUNCTION("""COMPUTED_VALUE"""),94.0)</f>
        <v>94</v>
      </c>
      <c r="E232" s="1" t="str">
        <f t="array" ref="E232">_xlfn.XLOOKUP(A232,Product!A:A,Product!B:B,"Bulunamadı")</f>
        <v>Law</v>
      </c>
      <c r="F232" s="1" t="str">
        <f t="array" ref="F232">_xlfn.XLOOKUP(A232,Product!A:A,Product!C:C,"Bulunamadı")</f>
        <v>Romantic Comedy</v>
      </c>
      <c r="G232" s="2" t="str">
        <f t="array" ref="G232">_xlfn.XLOOKUP(A233,Product!A:A,Product!D:D,"Bulunamadı")</f>
        <v>Broadway Hill Publishing</v>
      </c>
      <c r="H232" s="2">
        <f t="array" ref="H232">_xlfn.XLOOKUP(A234,Product!A:A,Product!E:E,"Bulunamadı")</f>
        <v>6.81</v>
      </c>
      <c r="I232" s="2" t="str">
        <f t="shared" si="1"/>
        <v>79000 - Law - Romantic Comedy</v>
      </c>
      <c r="J232" s="2">
        <f t="shared" si="2"/>
        <v>640.14</v>
      </c>
      <c r="K232" s="17">
        <f t="shared" si="3"/>
        <v>1</v>
      </c>
      <c r="L232" s="18"/>
    </row>
    <row r="233" hidden="1">
      <c r="A233" s="2">
        <f>IFERROR(__xludf.DUMMYFUNCTION("""COMPUTED_VALUE"""),77389.0)</f>
        <v>77389</v>
      </c>
      <c r="B233" s="2">
        <f>IFERROR(__xludf.DUMMYFUNCTION("""COMPUTED_VALUE"""),1.0)</f>
        <v>1</v>
      </c>
      <c r="C233" s="2">
        <f>IFERROR(__xludf.DUMMYFUNCTION("""COMPUTED_VALUE"""),206.0)</f>
        <v>206</v>
      </c>
      <c r="D233" s="3">
        <f>IFERROR(__xludf.DUMMYFUNCTION("""COMPUTED_VALUE"""),100.0)</f>
        <v>100</v>
      </c>
      <c r="E233" s="1" t="str">
        <f t="array" ref="E233">_xlfn.XLOOKUP(A233,Product!A:A,Product!B:B,"Bulunamadı")</f>
        <v>Law</v>
      </c>
      <c r="F233" s="1" t="str">
        <f t="array" ref="F233">_xlfn.XLOOKUP(A233,Product!A:A,Product!C:C,"Bulunamadı")</f>
        <v>Romantic Comedy</v>
      </c>
      <c r="G233" s="2" t="str">
        <f t="array" ref="G233">_xlfn.XLOOKUP(A234,Product!A:A,Product!D:D,"Bulunamadı")</f>
        <v>Broadway Hill Publishing</v>
      </c>
      <c r="H233" s="2">
        <f t="array" ref="H233">_xlfn.XLOOKUP(A235,Product!A:A,Product!E:E,"Bulunamadı")</f>
        <v>4.53</v>
      </c>
      <c r="I233" s="2" t="str">
        <f t="shared" si="1"/>
        <v>77389 - Law - Romantic Comedy</v>
      </c>
      <c r="J233" s="2">
        <f t="shared" si="2"/>
        <v>453</v>
      </c>
      <c r="K233" s="17">
        <f t="shared" si="3"/>
        <v>1</v>
      </c>
      <c r="L233" s="18"/>
    </row>
    <row r="234" hidden="1">
      <c r="A234" s="2">
        <f>IFERROR(__xludf.DUMMYFUNCTION("""COMPUTED_VALUE"""),72857.0)</f>
        <v>72857</v>
      </c>
      <c r="B234" s="2">
        <f>IFERROR(__xludf.DUMMYFUNCTION("""COMPUTED_VALUE"""),1.0)</f>
        <v>1</v>
      </c>
      <c r="C234" s="2">
        <f>IFERROR(__xludf.DUMMYFUNCTION("""COMPUTED_VALUE"""),354.0)</f>
        <v>354</v>
      </c>
      <c r="D234" s="3">
        <f>IFERROR(__xludf.DUMMYFUNCTION("""COMPUTED_VALUE"""),142.0)</f>
        <v>142</v>
      </c>
      <c r="E234" s="1" t="str">
        <f t="array" ref="E234">_xlfn.XLOOKUP(A234,Product!A:A,Product!B:B,"Bulunamadı")</f>
        <v>Law</v>
      </c>
      <c r="F234" s="1" t="str">
        <f t="array" ref="F234">_xlfn.XLOOKUP(A234,Product!A:A,Product!C:C,"Bulunamadı")</f>
        <v>Romantic Comedy</v>
      </c>
      <c r="G234" s="2" t="str">
        <f t="array" ref="G234">_xlfn.XLOOKUP(A235,Product!A:A,Product!D:D,"Bulunamadı")</f>
        <v>Broadway Hill Publishing</v>
      </c>
      <c r="H234" s="2">
        <f t="array" ref="H234">_xlfn.XLOOKUP(A236,Product!A:A,Product!E:E,"Bulunamadı")</f>
        <v>1.53</v>
      </c>
      <c r="I234" s="2" t="str">
        <f t="shared" si="1"/>
        <v>72857 - Law - Romantic Comedy</v>
      </c>
      <c r="J234" s="2">
        <f t="shared" si="2"/>
        <v>217.26</v>
      </c>
      <c r="K234" s="17">
        <f t="shared" si="3"/>
        <v>1</v>
      </c>
      <c r="L234" s="18"/>
    </row>
    <row r="235" hidden="1">
      <c r="A235" s="2">
        <f>IFERROR(__xludf.DUMMYFUNCTION("""COMPUTED_VALUE"""),72859.0)</f>
        <v>72859</v>
      </c>
      <c r="B235" s="2">
        <f>IFERROR(__xludf.DUMMYFUNCTION("""COMPUTED_VALUE"""),0.0)</f>
        <v>0</v>
      </c>
      <c r="C235" s="2">
        <f>IFERROR(__xludf.DUMMYFUNCTION("""COMPUTED_VALUE"""),337.0)</f>
        <v>337</v>
      </c>
      <c r="D235" s="3">
        <f>IFERROR(__xludf.DUMMYFUNCTION("""COMPUTED_VALUE"""),187.0)</f>
        <v>187</v>
      </c>
      <c r="E235" s="1" t="str">
        <f t="array" ref="E235">_xlfn.XLOOKUP(A235,Product!A:A,Product!B:B,"Bulunamadı")</f>
        <v>Law</v>
      </c>
      <c r="F235" s="1" t="str">
        <f t="array" ref="F235">_xlfn.XLOOKUP(A235,Product!A:A,Product!C:C,"Bulunamadı")</f>
        <v>Romantic Comedy</v>
      </c>
      <c r="G235" s="2" t="str">
        <f t="array" ref="G235">_xlfn.XLOOKUP(A236,Product!A:A,Product!D:D,"Bulunamadı")</f>
        <v>Broadway Hill Publishing</v>
      </c>
      <c r="H235" s="2">
        <f t="array" ref="H235">_xlfn.XLOOKUP(A237,Product!A:A,Product!E:E,"Bulunamadı")</f>
        <v>1.59</v>
      </c>
      <c r="I235" s="2" t="str">
        <f t="shared" si="1"/>
        <v>72859 - Law - Romantic Comedy</v>
      </c>
      <c r="J235" s="2">
        <f t="shared" si="2"/>
        <v>297.33</v>
      </c>
      <c r="K235" s="17">
        <f t="shared" si="3"/>
        <v>1</v>
      </c>
      <c r="L235" s="18"/>
    </row>
    <row r="236" hidden="1">
      <c r="A236" s="2">
        <f>IFERROR(__xludf.DUMMYFUNCTION("""COMPUTED_VALUE"""),91264.0)</f>
        <v>91264</v>
      </c>
      <c r="B236" s="2">
        <f>IFERROR(__xludf.DUMMYFUNCTION("""COMPUTED_VALUE"""),0.0)</f>
        <v>0</v>
      </c>
      <c r="C236" s="2">
        <f>IFERROR(__xludf.DUMMYFUNCTION("""COMPUTED_VALUE"""),527.0)</f>
        <v>527</v>
      </c>
      <c r="D236" s="3">
        <f>IFERROR(__xludf.DUMMYFUNCTION("""COMPUTED_VALUE"""),409.0)</f>
        <v>409</v>
      </c>
      <c r="E236" s="1" t="str">
        <f t="array" ref="E236">_xlfn.XLOOKUP(A236,Product!A:A,Product!B:B,"Bulunamadı")</f>
        <v>Law</v>
      </c>
      <c r="F236" s="1" t="str">
        <f t="array" ref="F236">_xlfn.XLOOKUP(A236,Product!A:A,Product!C:C,"Bulunamadı")</f>
        <v>Romantic Comedy</v>
      </c>
      <c r="G236" s="2" t="str">
        <f t="array" ref="G236">_xlfn.XLOOKUP(A237,Product!A:A,Product!D:D,"Bulunamadı")</f>
        <v>Broadway Hill Publishing</v>
      </c>
      <c r="H236" s="2">
        <f t="array" ref="H236">_xlfn.XLOOKUP(A238,Product!A:A,Product!E:E,"Bulunamadı")</f>
        <v>1.26</v>
      </c>
      <c r="I236" s="2" t="str">
        <f t="shared" si="1"/>
        <v>91264 - Law - Romantic Comedy</v>
      </c>
      <c r="J236" s="2">
        <f t="shared" si="2"/>
        <v>515.34</v>
      </c>
      <c r="K236" s="17">
        <f t="shared" si="3"/>
        <v>1</v>
      </c>
      <c r="L236" s="18"/>
    </row>
    <row r="237" hidden="1">
      <c r="A237" s="2">
        <f>IFERROR(__xludf.DUMMYFUNCTION("""COMPUTED_VALUE"""),77316.0)</f>
        <v>77316</v>
      </c>
      <c r="B237" s="2">
        <f>IFERROR(__xludf.DUMMYFUNCTION("""COMPUTED_VALUE"""),0.0)</f>
        <v>0</v>
      </c>
      <c r="C237" s="2">
        <f>IFERROR(__xludf.DUMMYFUNCTION("""COMPUTED_VALUE"""),50.0)</f>
        <v>50</v>
      </c>
      <c r="D237" s="3">
        <f>IFERROR(__xludf.DUMMYFUNCTION("""COMPUTED_VALUE"""),14.0)</f>
        <v>14</v>
      </c>
      <c r="E237" s="1" t="str">
        <f t="array" ref="E237">_xlfn.XLOOKUP(A237,Product!A:A,Product!B:B,"Bulunamadı")</f>
        <v>Law</v>
      </c>
      <c r="F237" s="1" t="str">
        <f t="array" ref="F237">_xlfn.XLOOKUP(A237,Product!A:A,Product!C:C,"Bulunamadı")</f>
        <v>Romantic Comedy</v>
      </c>
      <c r="G237" s="2" t="str">
        <f t="array" ref="G237">_xlfn.XLOOKUP(A238,Product!A:A,Product!D:D,"Bulunamadı")</f>
        <v>Broadway Hill Publishing</v>
      </c>
      <c r="H237" s="2">
        <f t="array" ref="H237">_xlfn.XLOOKUP(A239,Product!A:A,Product!E:E,"Bulunamadı")</f>
        <v>35.48</v>
      </c>
      <c r="I237" s="2" t="str">
        <f t="shared" si="1"/>
        <v>77316 - Law - Romantic Comedy</v>
      </c>
      <c r="J237" s="2">
        <f t="shared" si="2"/>
        <v>496.72</v>
      </c>
      <c r="K237" s="17">
        <f t="shared" si="3"/>
        <v>1</v>
      </c>
      <c r="L237" s="18"/>
    </row>
    <row r="238" hidden="1">
      <c r="A238" s="2">
        <f>IFERROR(__xludf.DUMMYFUNCTION("""COMPUTED_VALUE"""),110573.0)</f>
        <v>110573</v>
      </c>
      <c r="B238" s="2">
        <f>IFERROR(__xludf.DUMMYFUNCTION("""COMPUTED_VALUE"""),0.0)</f>
        <v>0</v>
      </c>
      <c r="C238" s="2">
        <f>IFERROR(__xludf.DUMMYFUNCTION("""COMPUTED_VALUE"""),54.0)</f>
        <v>54</v>
      </c>
      <c r="D238" s="3">
        <f>IFERROR(__xludf.DUMMYFUNCTION("""COMPUTED_VALUE"""),38.0)</f>
        <v>38</v>
      </c>
      <c r="E238" s="1" t="str">
        <f t="array" ref="E238">_xlfn.XLOOKUP(A238,Product!A:A,Product!B:B,"Bulunamadı")</f>
        <v>Law</v>
      </c>
      <c r="F238" s="1" t="str">
        <f t="array" ref="F238">_xlfn.XLOOKUP(A238,Product!A:A,Product!C:C,"Bulunamadı")</f>
        <v>Romantic Comedy</v>
      </c>
      <c r="G238" s="2" t="str">
        <f t="array" ref="G238">_xlfn.XLOOKUP(A239,Product!A:A,Product!D:D,"Bulunamadı")</f>
        <v>Broadway Hill Publishing</v>
      </c>
      <c r="H238" s="2">
        <f t="array" ref="H238">_xlfn.XLOOKUP(A240,Product!A:A,Product!E:E,"Bulunamadı")</f>
        <v>4.18</v>
      </c>
      <c r="I238" s="2" t="str">
        <f t="shared" si="1"/>
        <v>110573 - Law - Romantic Comedy</v>
      </c>
      <c r="J238" s="2">
        <f t="shared" si="2"/>
        <v>158.84</v>
      </c>
      <c r="K238" s="17">
        <f t="shared" si="3"/>
        <v>1</v>
      </c>
      <c r="L238" s="18"/>
    </row>
    <row r="239" hidden="1">
      <c r="A239" s="2">
        <f>IFERROR(__xludf.DUMMYFUNCTION("""COMPUTED_VALUE"""),82236.0)</f>
        <v>82236</v>
      </c>
      <c r="B239" s="2">
        <f>IFERROR(__xludf.DUMMYFUNCTION("""COMPUTED_VALUE"""),1.0)</f>
        <v>1</v>
      </c>
      <c r="C239" s="2">
        <f>IFERROR(__xludf.DUMMYFUNCTION("""COMPUTED_VALUE"""),212.0)</f>
        <v>212</v>
      </c>
      <c r="D239" s="3">
        <f>IFERROR(__xludf.DUMMYFUNCTION("""COMPUTED_VALUE"""),142.0)</f>
        <v>142</v>
      </c>
      <c r="E239" s="1" t="str">
        <f t="array" ref="E239">_xlfn.XLOOKUP(A239,Product!A:A,Product!B:B,"Bulunamadı")</f>
        <v>Law</v>
      </c>
      <c r="F239" s="1" t="str">
        <f t="array" ref="F239">_xlfn.XLOOKUP(A239,Product!A:A,Product!C:C,"Bulunamadı")</f>
        <v>Romantic Comedy</v>
      </c>
      <c r="G239" s="2" t="str">
        <f t="array" ref="G239">_xlfn.XLOOKUP(A240,Product!A:A,Product!D:D,"Bulunamadı")</f>
        <v>Broadway Hill Publishing</v>
      </c>
      <c r="H239" s="2">
        <f t="array" ref="H239">_xlfn.XLOOKUP(A241,Product!A:A,Product!E:E,"Bulunamadı")</f>
        <v>1.65</v>
      </c>
      <c r="I239" s="2" t="str">
        <f t="shared" si="1"/>
        <v>82236 - Law - Romantic Comedy</v>
      </c>
      <c r="J239" s="2">
        <f t="shared" si="2"/>
        <v>234.3</v>
      </c>
      <c r="K239" s="17">
        <f t="shared" si="3"/>
        <v>1</v>
      </c>
      <c r="L239" s="18"/>
    </row>
    <row r="240" hidden="1">
      <c r="A240" s="2">
        <f>IFERROR(__xludf.DUMMYFUNCTION("""COMPUTED_VALUE"""),72855.0)</f>
        <v>72855</v>
      </c>
      <c r="B240" s="2">
        <f>IFERROR(__xludf.DUMMYFUNCTION("""COMPUTED_VALUE"""),1.0)</f>
        <v>1</v>
      </c>
      <c r="C240" s="2">
        <f>IFERROR(__xludf.DUMMYFUNCTION("""COMPUTED_VALUE"""),625.0)</f>
        <v>625</v>
      </c>
      <c r="D240" s="3">
        <f>IFERROR(__xludf.DUMMYFUNCTION("""COMPUTED_VALUE"""),331.0)</f>
        <v>331</v>
      </c>
      <c r="E240" s="1" t="str">
        <f t="array" ref="E240">_xlfn.XLOOKUP(A240,Product!A:A,Product!B:B,"Bulunamadı")</f>
        <v>Law</v>
      </c>
      <c r="F240" s="1" t="str">
        <f t="array" ref="F240">_xlfn.XLOOKUP(A240,Product!A:A,Product!C:C,"Bulunamadı")</f>
        <v>Romantic Comedy</v>
      </c>
      <c r="G240" s="2" t="str">
        <f t="array" ref="G240">_xlfn.XLOOKUP(A241,Product!A:A,Product!D:D,"Bulunamadı")</f>
        <v>Broadway Hill Publishing</v>
      </c>
      <c r="H240" s="2">
        <f t="array" ref="H240">_xlfn.XLOOKUP(A242,Product!A:A,Product!E:E,"Bulunamadı")</f>
        <v>2.03</v>
      </c>
      <c r="I240" s="2" t="str">
        <f t="shared" si="1"/>
        <v>72855 - Law - Romantic Comedy</v>
      </c>
      <c r="J240" s="2">
        <f t="shared" si="2"/>
        <v>671.93</v>
      </c>
      <c r="K240" s="17">
        <f t="shared" si="3"/>
        <v>1</v>
      </c>
      <c r="L240" s="18"/>
    </row>
    <row r="241" hidden="1">
      <c r="A241" s="2">
        <f>IFERROR(__xludf.DUMMYFUNCTION("""COMPUTED_VALUE"""),77392.0)</f>
        <v>77392</v>
      </c>
      <c r="B241" s="2">
        <f>IFERROR(__xludf.DUMMYFUNCTION("""COMPUTED_VALUE"""),0.0)</f>
        <v>0</v>
      </c>
      <c r="C241" s="2">
        <f>IFERROR(__xludf.DUMMYFUNCTION("""COMPUTED_VALUE"""),163.0)</f>
        <v>163</v>
      </c>
      <c r="D241" s="3">
        <f>IFERROR(__xludf.DUMMYFUNCTION("""COMPUTED_VALUE"""),95.0)</f>
        <v>95</v>
      </c>
      <c r="E241" s="1" t="str">
        <f t="array" ref="E241">_xlfn.XLOOKUP(A241,Product!A:A,Product!B:B,"Bulunamadı")</f>
        <v>Law</v>
      </c>
      <c r="F241" s="1" t="str">
        <f t="array" ref="F241">_xlfn.XLOOKUP(A241,Product!A:A,Product!C:C,"Bulunamadı")</f>
        <v>Romantic Comedy</v>
      </c>
      <c r="G241" s="2" t="str">
        <f t="array" ref="G241">_xlfn.XLOOKUP(A242,Product!A:A,Product!D:D,"Bulunamadı")</f>
        <v>Broadway Hill Publishing</v>
      </c>
      <c r="H241" s="2">
        <f t="array" ref="H241">_xlfn.XLOOKUP(A243,Product!A:A,Product!E:E,"Bulunamadı")</f>
        <v>2.36</v>
      </c>
      <c r="I241" s="2" t="str">
        <f t="shared" si="1"/>
        <v>77392 - Law - Romantic Comedy</v>
      </c>
      <c r="J241" s="2">
        <f t="shared" si="2"/>
        <v>224.2</v>
      </c>
      <c r="K241" s="17">
        <f t="shared" si="3"/>
        <v>1</v>
      </c>
      <c r="L241" s="18"/>
    </row>
    <row r="242" hidden="1">
      <c r="A242" s="2">
        <f>IFERROR(__xludf.DUMMYFUNCTION("""COMPUTED_VALUE"""),45867.0)</f>
        <v>45867</v>
      </c>
      <c r="B242" s="2">
        <f>IFERROR(__xludf.DUMMYFUNCTION("""COMPUTED_VALUE"""),1.0)</f>
        <v>1</v>
      </c>
      <c r="C242" s="2">
        <f>IFERROR(__xludf.DUMMYFUNCTION("""COMPUTED_VALUE"""),664.0)</f>
        <v>664</v>
      </c>
      <c r="D242" s="3">
        <f>IFERROR(__xludf.DUMMYFUNCTION("""COMPUTED_VALUE"""),454.0)</f>
        <v>454</v>
      </c>
      <c r="E242" s="1" t="str">
        <f t="array" ref="E242">_xlfn.XLOOKUP(A242,Product!A:A,Product!B:B,"Bulunamadı")</f>
        <v>Law</v>
      </c>
      <c r="F242" s="1" t="str">
        <f t="array" ref="F242">_xlfn.XLOOKUP(A242,Product!A:A,Product!C:C,"Bulunamadı")</f>
        <v>Romantic Comedy</v>
      </c>
      <c r="G242" s="2" t="str">
        <f t="array" ref="G242">_xlfn.XLOOKUP(A243,Product!A:A,Product!D:D,"Bulunamadı")</f>
        <v>Broadway Hill Publishing</v>
      </c>
      <c r="H242" s="2">
        <f t="array" ref="H242">_xlfn.XLOOKUP(A244,Product!A:A,Product!E:E,"Bulunamadı")</f>
        <v>8.73</v>
      </c>
      <c r="I242" s="2" t="str">
        <f t="shared" si="1"/>
        <v>45867 - Law - Romantic Comedy</v>
      </c>
      <c r="J242" s="2">
        <f t="shared" si="2"/>
        <v>3963.42</v>
      </c>
      <c r="K242" s="17">
        <f t="shared" si="3"/>
        <v>1</v>
      </c>
      <c r="L242" s="18"/>
    </row>
    <row r="243" hidden="1">
      <c r="A243" s="2">
        <f>IFERROR(__xludf.DUMMYFUNCTION("""COMPUTED_VALUE"""),45846.0)</f>
        <v>45846</v>
      </c>
      <c r="B243" s="2">
        <f>IFERROR(__xludf.DUMMYFUNCTION("""COMPUTED_VALUE"""),1.0)</f>
        <v>1</v>
      </c>
      <c r="C243" s="2">
        <f>IFERROR(__xludf.DUMMYFUNCTION("""COMPUTED_VALUE"""),67.0)</f>
        <v>67</v>
      </c>
      <c r="D243" s="3">
        <f>IFERROR(__xludf.DUMMYFUNCTION("""COMPUTED_VALUE"""),4.0)</f>
        <v>4</v>
      </c>
      <c r="E243" s="1" t="str">
        <f t="array" ref="E243">_xlfn.XLOOKUP(A243,Product!A:A,Product!B:B,"Bulunamadı")</f>
        <v>Law</v>
      </c>
      <c r="F243" s="1" t="str">
        <f t="array" ref="F243">_xlfn.XLOOKUP(A243,Product!A:A,Product!C:C,"Bulunamadı")</f>
        <v>Romantic Comedy</v>
      </c>
      <c r="G243" s="2" t="str">
        <f t="array" ref="G243">_xlfn.XLOOKUP(A244,Product!A:A,Product!D:D,"Bulunamadı")</f>
        <v>Broadway Hill Publishing</v>
      </c>
      <c r="H243" s="2">
        <f t="array" ref="H243">_xlfn.XLOOKUP(A245,Product!A:A,Product!E:E,"Bulunamadı")</f>
        <v>1.88</v>
      </c>
      <c r="I243" s="2" t="str">
        <f t="shared" si="1"/>
        <v>45846 - Law - Romantic Comedy</v>
      </c>
      <c r="J243" s="2">
        <f t="shared" si="2"/>
        <v>7.52</v>
      </c>
      <c r="K243" s="17">
        <f t="shared" si="3"/>
        <v>1</v>
      </c>
      <c r="L243" s="18"/>
    </row>
    <row r="244" hidden="1">
      <c r="A244" s="2">
        <f>IFERROR(__xludf.DUMMYFUNCTION("""COMPUTED_VALUE"""),91265.0)</f>
        <v>91265</v>
      </c>
      <c r="B244" s="2">
        <f>IFERROR(__xludf.DUMMYFUNCTION("""COMPUTED_VALUE"""),0.0)</f>
        <v>0</v>
      </c>
      <c r="C244" s="2">
        <f>IFERROR(__xludf.DUMMYFUNCTION("""COMPUTED_VALUE"""),925.0)</f>
        <v>925</v>
      </c>
      <c r="D244" s="3">
        <f>IFERROR(__xludf.DUMMYFUNCTION("""COMPUTED_VALUE"""),7.0)</f>
        <v>7</v>
      </c>
      <c r="E244" s="1" t="str">
        <f t="array" ref="E244">_xlfn.XLOOKUP(A244,Product!A:A,Product!B:B,"Bulunamadı")</f>
        <v>Law</v>
      </c>
      <c r="F244" s="1" t="str">
        <f t="array" ref="F244">_xlfn.XLOOKUP(A244,Product!A:A,Product!C:C,"Bulunamadı")</f>
        <v>Romantic Comedy</v>
      </c>
      <c r="G244" s="2" t="str">
        <f t="array" ref="G244">_xlfn.XLOOKUP(A245,Product!A:A,Product!D:D,"Bulunamadı")</f>
        <v>Broadway Hill Publishing</v>
      </c>
      <c r="H244" s="2">
        <f t="array" ref="H244">_xlfn.XLOOKUP(A246,Product!A:A,Product!E:E,"Bulunamadı")</f>
        <v>32.34</v>
      </c>
      <c r="I244" s="2" t="str">
        <f t="shared" si="1"/>
        <v>91265 - Law - Romantic Comedy</v>
      </c>
      <c r="J244" s="2">
        <f t="shared" si="2"/>
        <v>226.38</v>
      </c>
      <c r="K244" s="17">
        <f t="shared" si="3"/>
        <v>1</v>
      </c>
      <c r="L244" s="18"/>
    </row>
    <row r="245" hidden="1">
      <c r="A245" s="2">
        <f>IFERROR(__xludf.DUMMYFUNCTION("""COMPUTED_VALUE"""),5527.0)</f>
        <v>5527</v>
      </c>
      <c r="B245" s="2">
        <f>IFERROR(__xludf.DUMMYFUNCTION("""COMPUTED_VALUE"""),0.0)</f>
        <v>0</v>
      </c>
      <c r="C245" s="2">
        <f>IFERROR(__xludf.DUMMYFUNCTION("""COMPUTED_VALUE"""),326.0)</f>
        <v>326</v>
      </c>
      <c r="D245" s="3">
        <f>IFERROR(__xludf.DUMMYFUNCTION("""COMPUTED_VALUE"""),158.0)</f>
        <v>158</v>
      </c>
      <c r="E245" s="1" t="str">
        <f t="array" ref="E245">_xlfn.XLOOKUP(A245,Product!A:A,Product!B:B,"Bulunamadı")</f>
        <v>Law</v>
      </c>
      <c r="F245" s="1" t="str">
        <f t="array" ref="F245">_xlfn.XLOOKUP(A245,Product!A:A,Product!C:C,"Bulunamadı")</f>
        <v>Romantic Comedy</v>
      </c>
      <c r="G245" s="2" t="str">
        <f t="array" ref="G245">_xlfn.XLOOKUP(A246,Product!A:A,Product!D:D,"Bulunamadı")</f>
        <v>Broadway Hill Publishing</v>
      </c>
      <c r="H245" s="2">
        <f t="array" ref="H245">_xlfn.XLOOKUP(A247,Product!A:A,Product!E:E,"Bulunamadı")</f>
        <v>1.89</v>
      </c>
      <c r="I245" s="2" t="str">
        <f t="shared" si="1"/>
        <v>5527 - Law - Romantic Comedy</v>
      </c>
      <c r="J245" s="2">
        <f t="shared" si="2"/>
        <v>298.62</v>
      </c>
      <c r="K245" s="17">
        <f t="shared" si="3"/>
        <v>1</v>
      </c>
      <c r="L245" s="18"/>
    </row>
    <row r="246" hidden="1">
      <c r="A246" s="2">
        <f>IFERROR(__xludf.DUMMYFUNCTION("""COMPUTED_VALUE"""),82249.0)</f>
        <v>82249</v>
      </c>
      <c r="B246" s="2">
        <f>IFERROR(__xludf.DUMMYFUNCTION("""COMPUTED_VALUE"""),1.0)</f>
        <v>1</v>
      </c>
      <c r="C246" s="2">
        <f>IFERROR(__xludf.DUMMYFUNCTION("""COMPUTED_VALUE"""),119.0)</f>
        <v>119</v>
      </c>
      <c r="D246" s="3">
        <f>IFERROR(__xludf.DUMMYFUNCTION("""COMPUTED_VALUE"""),47.0)</f>
        <v>47</v>
      </c>
      <c r="E246" s="1" t="str">
        <f t="array" ref="E246">_xlfn.XLOOKUP(A246,Product!A:A,Product!B:B,"Bulunamadı")</f>
        <v>Law</v>
      </c>
      <c r="F246" s="1" t="str">
        <f t="array" ref="F246">_xlfn.XLOOKUP(A246,Product!A:A,Product!C:C,"Bulunamadı")</f>
        <v>Romantic Comedy</v>
      </c>
      <c r="G246" s="2" t="str">
        <f t="array" ref="G246">_xlfn.XLOOKUP(A247,Product!A:A,Product!D:D,"Bulunamadı")</f>
        <v>Horizon Peak Books</v>
      </c>
      <c r="H246" s="2">
        <f t="array" ref="H246">_xlfn.XLOOKUP(A248,Product!A:A,Product!E:E,"Bulunamadı")</f>
        <v>1.77</v>
      </c>
      <c r="I246" s="2" t="str">
        <f t="shared" si="1"/>
        <v>82249 - Law - Romantic Comedy</v>
      </c>
      <c r="J246" s="2">
        <f t="shared" si="2"/>
        <v>83.19</v>
      </c>
      <c r="K246" s="17">
        <f t="shared" si="3"/>
        <v>1</v>
      </c>
      <c r="L246" s="18"/>
    </row>
    <row r="247" hidden="1">
      <c r="A247" s="2">
        <f>IFERROR(__xludf.DUMMYFUNCTION("""COMPUTED_VALUE"""),87273.0)</f>
        <v>87273</v>
      </c>
      <c r="B247" s="2">
        <f>IFERROR(__xludf.DUMMYFUNCTION("""COMPUTED_VALUE"""),0.0)</f>
        <v>0</v>
      </c>
      <c r="C247" s="2">
        <f>IFERROR(__xludf.DUMMYFUNCTION("""COMPUTED_VALUE"""),207.0)</f>
        <v>207</v>
      </c>
      <c r="D247" s="3">
        <f>IFERROR(__xludf.DUMMYFUNCTION("""COMPUTED_VALUE"""),71.0)</f>
        <v>71</v>
      </c>
      <c r="E247" s="1" t="str">
        <f t="array" ref="E247">_xlfn.XLOOKUP(A247,Product!A:A,Product!B:B,"Bulunamadı")</f>
        <v>Law</v>
      </c>
      <c r="F247" s="1" t="str">
        <f t="array" ref="F247">_xlfn.XLOOKUP(A247,Product!A:A,Product!C:C,"Bulunamadı")</f>
        <v>Romantic Comedy</v>
      </c>
      <c r="G247" s="2" t="str">
        <f t="array" ref="G247">_xlfn.XLOOKUP(A248,Product!A:A,Product!D:D,"Bulunamadı")</f>
        <v>Horizon Peak Books</v>
      </c>
      <c r="H247" s="2">
        <f t="array" ref="H247">_xlfn.XLOOKUP(A249,Product!A:A,Product!E:E,"Bulunamadı")</f>
        <v>1.65</v>
      </c>
      <c r="I247" s="2" t="str">
        <f t="shared" si="1"/>
        <v>87273 - Law - Romantic Comedy</v>
      </c>
      <c r="J247" s="2">
        <f t="shared" si="2"/>
        <v>117.15</v>
      </c>
      <c r="K247" s="17">
        <f t="shared" si="3"/>
        <v>1</v>
      </c>
      <c r="L247" s="18"/>
    </row>
    <row r="248" hidden="1">
      <c r="A248" s="2">
        <f>IFERROR(__xludf.DUMMYFUNCTION("""COMPUTED_VALUE"""),5537.0)</f>
        <v>5537</v>
      </c>
      <c r="B248" s="2">
        <f>IFERROR(__xludf.DUMMYFUNCTION("""COMPUTED_VALUE"""),0.0)</f>
        <v>0</v>
      </c>
      <c r="C248" s="2">
        <f>IFERROR(__xludf.DUMMYFUNCTION("""COMPUTED_VALUE"""),429.0)</f>
        <v>429</v>
      </c>
      <c r="D248" s="3">
        <f>IFERROR(__xludf.DUMMYFUNCTION("""COMPUTED_VALUE"""),37.0)</f>
        <v>37</v>
      </c>
      <c r="E248" s="1" t="str">
        <f t="array" ref="E248">_xlfn.XLOOKUP(A248,Product!A:A,Product!B:B,"Bulunamadı")</f>
        <v>Law</v>
      </c>
      <c r="F248" s="1" t="str">
        <f t="array" ref="F248">_xlfn.XLOOKUP(A248,Product!A:A,Product!C:C,"Bulunamadı")</f>
        <v>Romantic Comedy</v>
      </c>
      <c r="G248" s="2" t="str">
        <f t="array" ref="G248">_xlfn.XLOOKUP(A249,Product!A:A,Product!D:D,"Bulunamadı")</f>
        <v>Horizon Peak Books</v>
      </c>
      <c r="H248" s="2">
        <f t="array" ref="H248">_xlfn.XLOOKUP(A250,Product!A:A,Product!E:E,"Bulunamadı")</f>
        <v>2.11</v>
      </c>
      <c r="I248" s="2" t="str">
        <f t="shared" si="1"/>
        <v>5537 - Law - Romantic Comedy</v>
      </c>
      <c r="J248" s="2">
        <f t="shared" si="2"/>
        <v>78.07</v>
      </c>
      <c r="K248" s="17">
        <f t="shared" si="3"/>
        <v>1</v>
      </c>
      <c r="L248" s="18"/>
    </row>
    <row r="249" hidden="1">
      <c r="A249" s="2">
        <f>IFERROR(__xludf.DUMMYFUNCTION("""COMPUTED_VALUE"""),87281.0)</f>
        <v>87281</v>
      </c>
      <c r="B249" s="2">
        <f>IFERROR(__xludf.DUMMYFUNCTION("""COMPUTED_VALUE"""),0.0)</f>
        <v>0</v>
      </c>
      <c r="C249" s="2">
        <f>IFERROR(__xludf.DUMMYFUNCTION("""COMPUTED_VALUE"""),202.0)</f>
        <v>202</v>
      </c>
      <c r="D249" s="3">
        <f>IFERROR(__xludf.DUMMYFUNCTION("""COMPUTED_VALUE"""),152.0)</f>
        <v>152</v>
      </c>
      <c r="E249" s="1" t="str">
        <f t="array" ref="E249">_xlfn.XLOOKUP(A249,Product!A:A,Product!B:B,"Bulunamadı")</f>
        <v>Law</v>
      </c>
      <c r="F249" s="1" t="str">
        <f t="array" ref="F249">_xlfn.XLOOKUP(A249,Product!A:A,Product!C:C,"Bulunamadı")</f>
        <v>Romantic Comedy</v>
      </c>
      <c r="G249" s="2" t="str">
        <f t="array" ref="G249">_xlfn.XLOOKUP(A250,Product!A:A,Product!D:D,"Bulunamadı")</f>
        <v>Horizon Peak Books</v>
      </c>
      <c r="H249" s="2">
        <f t="array" ref="H249">_xlfn.XLOOKUP(A251,Product!A:A,Product!E:E,"Bulunamadı")</f>
        <v>2.01</v>
      </c>
      <c r="I249" s="2" t="str">
        <f t="shared" si="1"/>
        <v>87281 - Law - Romantic Comedy</v>
      </c>
      <c r="J249" s="2">
        <f t="shared" si="2"/>
        <v>305.52</v>
      </c>
      <c r="K249" s="17">
        <f t="shared" si="3"/>
        <v>1</v>
      </c>
      <c r="L249" s="18"/>
    </row>
    <row r="250" hidden="1">
      <c r="A250" s="2">
        <f>IFERROR(__xludf.DUMMYFUNCTION("""COMPUTED_VALUE"""),5522.0)</f>
        <v>5522</v>
      </c>
      <c r="B250" s="2">
        <f>IFERROR(__xludf.DUMMYFUNCTION("""COMPUTED_VALUE"""),0.0)</f>
        <v>0</v>
      </c>
      <c r="C250" s="2">
        <f>IFERROR(__xludf.DUMMYFUNCTION("""COMPUTED_VALUE"""),275.0)</f>
        <v>275</v>
      </c>
      <c r="D250" s="3">
        <f>IFERROR(__xludf.DUMMYFUNCTION("""COMPUTED_VALUE"""),26.0)</f>
        <v>26</v>
      </c>
      <c r="E250" s="1" t="str">
        <f t="array" ref="E250">_xlfn.XLOOKUP(A250,Product!A:A,Product!B:B,"Bulunamadı")</f>
        <v>Law</v>
      </c>
      <c r="F250" s="1" t="str">
        <f t="array" ref="F250">_xlfn.XLOOKUP(A250,Product!A:A,Product!C:C,"Bulunamadı")</f>
        <v>Romantic Comedy</v>
      </c>
      <c r="G250" s="2" t="str">
        <f t="array" ref="G250">_xlfn.XLOOKUP(A251,Product!A:A,Product!D:D,"Bulunamadı")</f>
        <v>Horizon Peak Books</v>
      </c>
      <c r="H250" s="2">
        <f t="array" ref="H250">_xlfn.XLOOKUP(A252,Product!A:A,Product!E:E,"Bulunamadı")</f>
        <v>1.29</v>
      </c>
      <c r="I250" s="2" t="str">
        <f t="shared" si="1"/>
        <v>5522 - Law - Romantic Comedy</v>
      </c>
      <c r="J250" s="2">
        <f t="shared" si="2"/>
        <v>33.54</v>
      </c>
      <c r="K250" s="17">
        <f t="shared" si="3"/>
        <v>1</v>
      </c>
      <c r="L250" s="18"/>
    </row>
    <row r="251" hidden="1">
      <c r="A251" s="2">
        <f>IFERROR(__xludf.DUMMYFUNCTION("""COMPUTED_VALUE"""),76595.0)</f>
        <v>76595</v>
      </c>
      <c r="B251" s="2">
        <f>IFERROR(__xludf.DUMMYFUNCTION("""COMPUTED_VALUE"""),0.0)</f>
        <v>0</v>
      </c>
      <c r="C251" s="2">
        <f>IFERROR(__xludf.DUMMYFUNCTION("""COMPUTED_VALUE"""),437.0)</f>
        <v>437</v>
      </c>
      <c r="D251" s="3">
        <f>IFERROR(__xludf.DUMMYFUNCTION("""COMPUTED_VALUE"""),177.0)</f>
        <v>177</v>
      </c>
      <c r="E251" s="1" t="str">
        <f t="array" ref="E251">_xlfn.XLOOKUP(A251,Product!A:A,Product!B:B,"Bulunamadı")</f>
        <v>Law</v>
      </c>
      <c r="F251" s="1" t="str">
        <f t="array" ref="F251">_xlfn.XLOOKUP(A251,Product!A:A,Product!C:C,"Bulunamadı")</f>
        <v>Romantic Comedy</v>
      </c>
      <c r="G251" s="2" t="str">
        <f t="array" ref="G251">_xlfn.XLOOKUP(A252,Product!A:A,Product!D:D,"Bulunamadı")</f>
        <v>Horizon Peak Books</v>
      </c>
      <c r="H251" s="2">
        <f t="array" ref="H251">_xlfn.XLOOKUP(A253,Product!A:A,Product!E:E,"Bulunamadı")</f>
        <v>1.22</v>
      </c>
      <c r="I251" s="2" t="str">
        <f t="shared" si="1"/>
        <v>76595 - Law - Romantic Comedy</v>
      </c>
      <c r="J251" s="2">
        <f t="shared" si="2"/>
        <v>215.94</v>
      </c>
      <c r="K251" s="17">
        <f t="shared" si="3"/>
        <v>1</v>
      </c>
      <c r="L251" s="18"/>
    </row>
    <row r="252" hidden="1">
      <c r="A252" s="2">
        <f>IFERROR(__xludf.DUMMYFUNCTION("""COMPUTED_VALUE"""),147305.0)</f>
        <v>147305</v>
      </c>
      <c r="B252" s="2">
        <f>IFERROR(__xludf.DUMMYFUNCTION("""COMPUTED_VALUE"""),0.0)</f>
        <v>0</v>
      </c>
      <c r="C252" s="2">
        <f>IFERROR(__xludf.DUMMYFUNCTION("""COMPUTED_VALUE"""),919.0)</f>
        <v>919</v>
      </c>
      <c r="D252" s="3">
        <f>IFERROR(__xludf.DUMMYFUNCTION("""COMPUTED_VALUE"""),651.0)</f>
        <v>651</v>
      </c>
      <c r="E252" s="1" t="str">
        <f t="array" ref="E252">_xlfn.XLOOKUP(A252,Product!A:A,Product!B:B,"Bulunamadı")</f>
        <v>Law</v>
      </c>
      <c r="F252" s="1" t="str">
        <f t="array" ref="F252">_xlfn.XLOOKUP(A252,Product!A:A,Product!C:C,"Bulunamadı")</f>
        <v>Romantic Comedy</v>
      </c>
      <c r="G252" s="2" t="str">
        <f t="array" ref="G252">_xlfn.XLOOKUP(A253,Product!A:A,Product!D:D,"Bulunamadı")</f>
        <v>Horizon Peak Books</v>
      </c>
      <c r="H252" s="2">
        <f t="array" ref="H252">_xlfn.XLOOKUP(A254,Product!A:A,Product!E:E,"Bulunamadı")</f>
        <v>3.69</v>
      </c>
      <c r="I252" s="2" t="str">
        <f t="shared" si="1"/>
        <v>147305 - Law - Romantic Comedy</v>
      </c>
      <c r="J252" s="2">
        <f t="shared" si="2"/>
        <v>2402.19</v>
      </c>
      <c r="K252" s="17">
        <f t="shared" si="3"/>
        <v>1</v>
      </c>
      <c r="L252" s="18"/>
    </row>
    <row r="253" hidden="1">
      <c r="A253" s="2">
        <f>IFERROR(__xludf.DUMMYFUNCTION("""COMPUTED_VALUE"""),158660.0)</f>
        <v>158660</v>
      </c>
      <c r="B253" s="2">
        <f>IFERROR(__xludf.DUMMYFUNCTION("""COMPUTED_VALUE"""),1.0)</f>
        <v>1</v>
      </c>
      <c r="C253" s="2">
        <f>IFERROR(__xludf.DUMMYFUNCTION("""COMPUTED_VALUE"""),961.0)</f>
        <v>961</v>
      </c>
      <c r="D253" s="3">
        <f>IFERROR(__xludf.DUMMYFUNCTION("""COMPUTED_VALUE"""),554.0)</f>
        <v>554</v>
      </c>
      <c r="E253" s="1" t="str">
        <f t="array" ref="E253">_xlfn.XLOOKUP(A253,Product!A:A,Product!B:B,"Bulunamadı")</f>
        <v>Law</v>
      </c>
      <c r="F253" s="1" t="str">
        <f t="array" ref="F253">_xlfn.XLOOKUP(A253,Product!A:A,Product!C:C,"Bulunamadı")</f>
        <v>Romantic Comedy</v>
      </c>
      <c r="G253" s="2" t="str">
        <f t="array" ref="G253">_xlfn.XLOOKUP(A254,Product!A:A,Product!D:D,"Bulunamadı")</f>
        <v>Horizon Peak Books</v>
      </c>
      <c r="H253" s="2">
        <f t="array" ref="H253">_xlfn.XLOOKUP(A255,Product!A:A,Product!E:E,"Bulunamadı")</f>
        <v>1.66</v>
      </c>
      <c r="I253" s="2" t="str">
        <f t="shared" si="1"/>
        <v>158660 - Law - Romantic Comedy</v>
      </c>
      <c r="J253" s="2">
        <f t="shared" si="2"/>
        <v>919.64</v>
      </c>
      <c r="K253" s="17">
        <f t="shared" si="3"/>
        <v>1</v>
      </c>
      <c r="L253" s="18"/>
    </row>
    <row r="254" hidden="1">
      <c r="A254" s="2">
        <f>IFERROR(__xludf.DUMMYFUNCTION("""COMPUTED_VALUE"""),77371.0)</f>
        <v>77371</v>
      </c>
      <c r="B254" s="2">
        <f>IFERROR(__xludf.DUMMYFUNCTION("""COMPUTED_VALUE"""),1.0)</f>
        <v>1</v>
      </c>
      <c r="C254" s="2">
        <f>IFERROR(__xludf.DUMMYFUNCTION("""COMPUTED_VALUE"""),326.0)</f>
        <v>326</v>
      </c>
      <c r="D254" s="3">
        <f>IFERROR(__xludf.DUMMYFUNCTION("""COMPUTED_VALUE"""),123.0)</f>
        <v>123</v>
      </c>
      <c r="E254" s="1" t="str">
        <f t="array" ref="E254">_xlfn.XLOOKUP(A254,Product!A:A,Product!B:B,"Bulunamadı")</f>
        <v>Law</v>
      </c>
      <c r="F254" s="1" t="str">
        <f t="array" ref="F254">_xlfn.XLOOKUP(A254,Product!A:A,Product!C:C,"Bulunamadı")</f>
        <v>Romantic Comedy</v>
      </c>
      <c r="G254" s="2" t="str">
        <f t="array" ref="G254">_xlfn.XLOOKUP(A255,Product!A:A,Product!D:D,"Bulunamadı")</f>
        <v>Horizon Peak Books</v>
      </c>
      <c r="H254" s="2">
        <f t="array" ref="H254">_xlfn.XLOOKUP(A256,Product!A:A,Product!E:E,"Bulunamadı")</f>
        <v>2.18</v>
      </c>
      <c r="I254" s="2" t="str">
        <f t="shared" si="1"/>
        <v>77371 - Law - Romantic Comedy</v>
      </c>
      <c r="J254" s="2">
        <f t="shared" si="2"/>
        <v>268.14</v>
      </c>
      <c r="K254" s="17">
        <f t="shared" si="3"/>
        <v>1</v>
      </c>
      <c r="L254" s="18"/>
    </row>
    <row r="255" hidden="1">
      <c r="A255" s="2">
        <f>IFERROR(__xludf.DUMMYFUNCTION("""COMPUTED_VALUE"""),77366.0)</f>
        <v>77366</v>
      </c>
      <c r="B255" s="2">
        <f>IFERROR(__xludf.DUMMYFUNCTION("""COMPUTED_VALUE"""),1.0)</f>
        <v>1</v>
      </c>
      <c r="C255" s="2">
        <f>IFERROR(__xludf.DUMMYFUNCTION("""COMPUTED_VALUE"""),40.0)</f>
        <v>40</v>
      </c>
      <c r="D255" s="3">
        <f>IFERROR(__xludf.DUMMYFUNCTION("""COMPUTED_VALUE"""),5.0)</f>
        <v>5</v>
      </c>
      <c r="E255" s="1" t="str">
        <f t="array" ref="E255">_xlfn.XLOOKUP(A255,Product!A:A,Product!B:B,"Bulunamadı")</f>
        <v>Law</v>
      </c>
      <c r="F255" s="1" t="str">
        <f t="array" ref="F255">_xlfn.XLOOKUP(A255,Product!A:A,Product!C:C,"Bulunamadı")</f>
        <v>Romantic Comedy</v>
      </c>
      <c r="G255" s="2" t="str">
        <f t="array" ref="G255">_xlfn.XLOOKUP(A256,Product!A:A,Product!D:D,"Bulunamadı")</f>
        <v>Horizon Peak Books</v>
      </c>
      <c r="H255" s="2">
        <f t="array" ref="H255">_xlfn.XLOOKUP(A257,Product!A:A,Product!E:E,"Bulunamadı")</f>
        <v>2.21</v>
      </c>
      <c r="I255" s="2" t="str">
        <f t="shared" si="1"/>
        <v>77366 - Law - Romantic Comedy</v>
      </c>
      <c r="J255" s="2">
        <f t="shared" si="2"/>
        <v>11.05</v>
      </c>
      <c r="K255" s="17">
        <f t="shared" si="3"/>
        <v>1</v>
      </c>
      <c r="L255" s="18"/>
    </row>
    <row r="256" hidden="1">
      <c r="A256" s="2">
        <f>IFERROR(__xludf.DUMMYFUNCTION("""COMPUTED_VALUE"""),87282.0)</f>
        <v>87282</v>
      </c>
      <c r="B256" s="2">
        <f>IFERROR(__xludf.DUMMYFUNCTION("""COMPUTED_VALUE"""),0.0)</f>
        <v>0</v>
      </c>
      <c r="C256" s="2">
        <f>IFERROR(__xludf.DUMMYFUNCTION("""COMPUTED_VALUE"""),668.0)</f>
        <v>668</v>
      </c>
      <c r="D256" s="3">
        <f>IFERROR(__xludf.DUMMYFUNCTION("""COMPUTED_VALUE"""),595.0)</f>
        <v>595</v>
      </c>
      <c r="E256" s="1" t="str">
        <f t="array" ref="E256">_xlfn.XLOOKUP(A256,Product!A:A,Product!B:B,"Bulunamadı")</f>
        <v>Law</v>
      </c>
      <c r="F256" s="1" t="str">
        <f t="array" ref="F256">_xlfn.XLOOKUP(A256,Product!A:A,Product!C:C,"Bulunamadı")</f>
        <v>Romantic Comedy</v>
      </c>
      <c r="G256" s="2" t="str">
        <f t="array" ref="G256">_xlfn.XLOOKUP(A257,Product!A:A,Product!D:D,"Bulunamadı")</f>
        <v>Horizon Peak Books</v>
      </c>
      <c r="H256" s="2">
        <f t="array" ref="H256">_xlfn.XLOOKUP(A258,Product!A:A,Product!E:E,"Bulunamadı")</f>
        <v>4.52</v>
      </c>
      <c r="I256" s="2" t="str">
        <f t="shared" si="1"/>
        <v>87282 - Law - Romantic Comedy</v>
      </c>
      <c r="J256" s="2">
        <f t="shared" si="2"/>
        <v>2689.4</v>
      </c>
      <c r="K256" s="17">
        <f t="shared" si="3"/>
        <v>1</v>
      </c>
      <c r="L256" s="18"/>
    </row>
    <row r="257" hidden="1">
      <c r="A257" s="2">
        <f>IFERROR(__xludf.DUMMYFUNCTION("""COMPUTED_VALUE"""),80402.0)</f>
        <v>80402</v>
      </c>
      <c r="B257" s="2">
        <f>IFERROR(__xludf.DUMMYFUNCTION("""COMPUTED_VALUE"""),1.0)</f>
        <v>1</v>
      </c>
      <c r="C257" s="2">
        <f>IFERROR(__xludf.DUMMYFUNCTION("""COMPUTED_VALUE"""),840.0)</f>
        <v>840</v>
      </c>
      <c r="D257" s="3">
        <f>IFERROR(__xludf.DUMMYFUNCTION("""COMPUTED_VALUE"""),236.0)</f>
        <v>236</v>
      </c>
      <c r="E257" s="1" t="str">
        <f t="array" ref="E257">_xlfn.XLOOKUP(A257,Product!A:A,Product!B:B,"Bulunamadı")</f>
        <v>Law</v>
      </c>
      <c r="F257" s="1" t="str">
        <f t="array" ref="F257">_xlfn.XLOOKUP(A257,Product!A:A,Product!C:C,"Bulunamadı")</f>
        <v>Romantic Comedy</v>
      </c>
      <c r="G257" s="2" t="str">
        <f t="array" ref="G257">_xlfn.XLOOKUP(A258,Product!A:A,Product!D:D,"Bulunamadı")</f>
        <v>Crystal River Press</v>
      </c>
      <c r="H257" s="2">
        <f t="array" ref="H257">_xlfn.XLOOKUP(A259,Product!A:A,Product!E:E,"Bulunamadı")</f>
        <v>5.57</v>
      </c>
      <c r="I257" s="2" t="str">
        <f t="shared" si="1"/>
        <v>80402 - Law - Romantic Comedy</v>
      </c>
      <c r="J257" s="2">
        <f t="shared" si="2"/>
        <v>1314.52</v>
      </c>
      <c r="K257" s="17">
        <f t="shared" si="3"/>
        <v>1</v>
      </c>
      <c r="L257" s="18"/>
    </row>
    <row r="258" hidden="1">
      <c r="A258" s="2">
        <f>IFERROR(__xludf.DUMMYFUNCTION("""COMPUTED_VALUE"""),120504.0)</f>
        <v>120504</v>
      </c>
      <c r="B258" s="2">
        <f>IFERROR(__xludf.DUMMYFUNCTION("""COMPUTED_VALUE"""),1.0)</f>
        <v>1</v>
      </c>
      <c r="C258" s="2">
        <f>IFERROR(__xludf.DUMMYFUNCTION("""COMPUTED_VALUE"""),191.0)</f>
        <v>191</v>
      </c>
      <c r="D258" s="3">
        <f>IFERROR(__xludf.DUMMYFUNCTION("""COMPUTED_VALUE"""),68.0)</f>
        <v>68</v>
      </c>
      <c r="E258" s="1" t="str">
        <f t="array" ref="E258">_xlfn.XLOOKUP(A258,Product!A:A,Product!B:B,"Bulunamadı")</f>
        <v>History</v>
      </c>
      <c r="F258" s="1" t="str">
        <f t="array" ref="F258">_xlfn.XLOOKUP(A258,Product!A:A,Product!C:C,"Bulunamadı")</f>
        <v>Horror</v>
      </c>
      <c r="G258" s="2" t="str">
        <f t="array" ref="G258">_xlfn.XLOOKUP(A259,Product!A:A,Product!D:D,"Bulunamadı")</f>
        <v>Crystal River Press</v>
      </c>
      <c r="H258" s="2">
        <f t="array" ref="H258">_xlfn.XLOOKUP(A260,Product!A:A,Product!E:E,"Bulunamadı")</f>
        <v>1.83</v>
      </c>
      <c r="I258" s="2" t="str">
        <f t="shared" si="1"/>
        <v>120504 - History - Horror</v>
      </c>
      <c r="J258" s="2">
        <f t="shared" si="2"/>
        <v>124.44</v>
      </c>
      <c r="K258" s="17">
        <f t="shared" si="3"/>
        <v>1</v>
      </c>
      <c r="L258" s="18"/>
    </row>
    <row r="259" hidden="1">
      <c r="A259" s="2">
        <f>IFERROR(__xludf.DUMMYFUNCTION("""COMPUTED_VALUE"""),72833.0)</f>
        <v>72833</v>
      </c>
      <c r="B259" s="2">
        <f>IFERROR(__xludf.DUMMYFUNCTION("""COMPUTED_VALUE"""),1.0)</f>
        <v>1</v>
      </c>
      <c r="C259" s="2">
        <f>IFERROR(__xludf.DUMMYFUNCTION("""COMPUTED_VALUE"""),28.0)</f>
        <v>28</v>
      </c>
      <c r="D259" s="3">
        <f>IFERROR(__xludf.DUMMYFUNCTION("""COMPUTED_VALUE"""),28.0)</f>
        <v>28</v>
      </c>
      <c r="E259" s="1" t="str">
        <f t="array" ref="E259">_xlfn.XLOOKUP(A259,Product!A:A,Product!B:B,"Bulunamadı")</f>
        <v>History</v>
      </c>
      <c r="F259" s="1" t="str">
        <f t="array" ref="F259">_xlfn.XLOOKUP(A259,Product!A:A,Product!C:C,"Bulunamadı")</f>
        <v>Horror</v>
      </c>
      <c r="G259" s="2" t="str">
        <f t="array" ref="G259">_xlfn.XLOOKUP(A260,Product!A:A,Product!D:D,"Bulunamadı")</f>
        <v>Crystal River Press</v>
      </c>
      <c r="H259" s="2">
        <f t="array" ref="H259">_xlfn.XLOOKUP(A261,Product!A:A,Product!E:E,"Bulunamadı")</f>
        <v>5.31</v>
      </c>
      <c r="I259" s="2" t="str">
        <f t="shared" si="1"/>
        <v>72833 - History - Horror</v>
      </c>
      <c r="J259" s="2">
        <f t="shared" si="2"/>
        <v>148.68</v>
      </c>
      <c r="K259" s="17">
        <f t="shared" si="3"/>
        <v>1</v>
      </c>
      <c r="L259" s="18"/>
    </row>
    <row r="260" hidden="1">
      <c r="A260" s="2">
        <f>IFERROR(__xludf.DUMMYFUNCTION("""COMPUTED_VALUE"""),72831.0)</f>
        <v>72831</v>
      </c>
      <c r="B260" s="2">
        <f>IFERROR(__xludf.DUMMYFUNCTION("""COMPUTED_VALUE"""),1.0)</f>
        <v>1</v>
      </c>
      <c r="C260" s="2">
        <f>IFERROR(__xludf.DUMMYFUNCTION("""COMPUTED_VALUE"""),203.0)</f>
        <v>203</v>
      </c>
      <c r="D260" s="3">
        <f>IFERROR(__xludf.DUMMYFUNCTION("""COMPUTED_VALUE"""),102.0)</f>
        <v>102</v>
      </c>
      <c r="E260" s="1" t="str">
        <f t="array" ref="E260">_xlfn.XLOOKUP(A260,Product!A:A,Product!B:B,"Bulunamadı")</f>
        <v>History</v>
      </c>
      <c r="F260" s="1" t="str">
        <f t="array" ref="F260">_xlfn.XLOOKUP(A260,Product!A:A,Product!C:C,"Bulunamadı")</f>
        <v>Horror</v>
      </c>
      <c r="G260" s="2" t="str">
        <f t="array" ref="G260">_xlfn.XLOOKUP(A261,Product!A:A,Product!D:D,"Bulunamadı")</f>
        <v>Crystal River Press</v>
      </c>
      <c r="H260" s="2">
        <f t="array" ref="H260">_xlfn.XLOOKUP(A262,Product!A:A,Product!E:E,"Bulunamadı")</f>
        <v>4.7</v>
      </c>
      <c r="I260" s="2" t="str">
        <f t="shared" si="1"/>
        <v>72831 - History - Horror</v>
      </c>
      <c r="J260" s="2">
        <f t="shared" si="2"/>
        <v>479.4</v>
      </c>
      <c r="K260" s="17">
        <f t="shared" si="3"/>
        <v>1</v>
      </c>
      <c r="L260" s="18"/>
    </row>
    <row r="261" hidden="1">
      <c r="A261" s="2">
        <f>IFERROR(__xludf.DUMMYFUNCTION("""COMPUTED_VALUE"""),112547.0)</f>
        <v>112547</v>
      </c>
      <c r="B261" s="2">
        <f>IFERROR(__xludf.DUMMYFUNCTION("""COMPUTED_VALUE"""),0.0)</f>
        <v>0</v>
      </c>
      <c r="C261" s="2">
        <f>IFERROR(__xludf.DUMMYFUNCTION("""COMPUTED_VALUE"""),742.0)</f>
        <v>742</v>
      </c>
      <c r="D261" s="3">
        <f>IFERROR(__xludf.DUMMYFUNCTION("""COMPUTED_VALUE"""),78.0)</f>
        <v>78</v>
      </c>
      <c r="E261" s="1" t="str">
        <f t="array" ref="E261">_xlfn.XLOOKUP(A261,Product!A:A,Product!B:B,"Bulunamadı")</f>
        <v>History</v>
      </c>
      <c r="F261" s="1" t="str">
        <f t="array" ref="F261">_xlfn.XLOOKUP(A261,Product!A:A,Product!C:C,"Bulunamadı")</f>
        <v>Horror</v>
      </c>
      <c r="G261" s="2" t="str">
        <f t="array" ref="G261">_xlfn.XLOOKUP(A262,Product!A:A,Product!D:D,"Bulunamadı")</f>
        <v>Summit House Publishing</v>
      </c>
      <c r="H261" s="2">
        <f t="array" ref="H261">_xlfn.XLOOKUP(A263,Product!A:A,Product!E:E,"Bulunamadı")</f>
        <v>7.98</v>
      </c>
      <c r="I261" s="2" t="str">
        <f t="shared" si="1"/>
        <v>112547 - History - Horror</v>
      </c>
      <c r="J261" s="2">
        <f t="shared" si="2"/>
        <v>622.44</v>
      </c>
      <c r="K261" s="17">
        <f t="shared" si="3"/>
        <v>1</v>
      </c>
      <c r="L261" s="18"/>
    </row>
    <row r="262" hidden="1">
      <c r="A262" s="2">
        <f>IFERROR(__xludf.DUMMYFUNCTION("""COMPUTED_VALUE"""),149598.0)</f>
        <v>149598</v>
      </c>
      <c r="B262" s="2">
        <f>IFERROR(__xludf.DUMMYFUNCTION("""COMPUTED_VALUE"""),1.0)</f>
        <v>1</v>
      </c>
      <c r="C262" s="2">
        <f>IFERROR(__xludf.DUMMYFUNCTION("""COMPUTED_VALUE"""),236.0)</f>
        <v>236</v>
      </c>
      <c r="D262" s="3">
        <f>IFERROR(__xludf.DUMMYFUNCTION("""COMPUTED_VALUE"""),95.0)</f>
        <v>95</v>
      </c>
      <c r="E262" s="1" t="str">
        <f t="array" ref="E262">_xlfn.XLOOKUP(A262,Product!A:A,Product!B:B,"Bulunamadı")</f>
        <v>History</v>
      </c>
      <c r="F262" s="1" t="str">
        <f t="array" ref="F262">_xlfn.XLOOKUP(A262,Product!A:A,Product!C:C,"Bulunamadı")</f>
        <v>Horror</v>
      </c>
      <c r="G262" s="2" t="str">
        <f t="array" ref="G262">_xlfn.XLOOKUP(A263,Product!A:A,Product!D:D,"Bulunamadı")</f>
        <v>Great Plains Books</v>
      </c>
      <c r="H262" s="2">
        <f t="array" ref="H262">_xlfn.XLOOKUP(A264,Product!A:A,Product!E:E,"Bulunamadı")</f>
        <v>9.12</v>
      </c>
      <c r="I262" s="2" t="str">
        <f t="shared" si="1"/>
        <v>149598 - History - Horror</v>
      </c>
      <c r="J262" s="2">
        <f t="shared" si="2"/>
        <v>866.4</v>
      </c>
      <c r="K262" s="17">
        <f t="shared" si="3"/>
        <v>1</v>
      </c>
      <c r="L262" s="18"/>
    </row>
    <row r="263" hidden="1">
      <c r="A263" s="2">
        <f>IFERROR(__xludf.DUMMYFUNCTION("""COMPUTED_VALUE"""),98129.0)</f>
        <v>98129</v>
      </c>
      <c r="B263" s="2">
        <f>IFERROR(__xludf.DUMMYFUNCTION("""COMPUTED_VALUE"""),0.0)</f>
        <v>0</v>
      </c>
      <c r="C263" s="2">
        <f>IFERROR(__xludf.DUMMYFUNCTION("""COMPUTED_VALUE"""),613.0)</f>
        <v>613</v>
      </c>
      <c r="D263" s="3">
        <f>IFERROR(__xludf.DUMMYFUNCTION("""COMPUTED_VALUE"""),605.0)</f>
        <v>605</v>
      </c>
      <c r="E263" s="1" t="str">
        <f t="array" ref="E263">_xlfn.XLOOKUP(A263,Product!A:A,Product!B:B,"Bulunamadı")</f>
        <v>History</v>
      </c>
      <c r="F263" s="1" t="str">
        <f t="array" ref="F263">_xlfn.XLOOKUP(A263,Product!A:A,Product!C:C,"Bulunamadı")</f>
        <v>Horror</v>
      </c>
      <c r="G263" s="2" t="str">
        <f t="array" ref="G263">_xlfn.XLOOKUP(A264,Product!A:A,Product!D:D,"Bulunamadı")</f>
        <v>Great Plains Books</v>
      </c>
      <c r="H263" s="2">
        <f t="array" ref="H263">_xlfn.XLOOKUP(A265,Product!A:A,Product!E:E,"Bulunamadı")</f>
        <v>2.47</v>
      </c>
      <c r="I263" s="2" t="str">
        <f t="shared" si="1"/>
        <v>98129 - History - Horror</v>
      </c>
      <c r="J263" s="2">
        <f t="shared" si="2"/>
        <v>1494.35</v>
      </c>
      <c r="K263" s="17">
        <f t="shared" si="3"/>
        <v>1</v>
      </c>
      <c r="L263" s="18"/>
    </row>
    <row r="264" hidden="1">
      <c r="A264" s="2">
        <f>IFERROR(__xludf.DUMMYFUNCTION("""COMPUTED_VALUE"""),72825.0)</f>
        <v>72825</v>
      </c>
      <c r="B264" s="2">
        <f>IFERROR(__xludf.DUMMYFUNCTION("""COMPUTED_VALUE"""),0.0)</f>
        <v>0</v>
      </c>
      <c r="C264" s="2">
        <f>IFERROR(__xludf.DUMMYFUNCTION("""COMPUTED_VALUE"""),160.0)</f>
        <v>160</v>
      </c>
      <c r="D264" s="3">
        <f>IFERROR(__xludf.DUMMYFUNCTION("""COMPUTED_VALUE"""),131.0)</f>
        <v>131</v>
      </c>
      <c r="E264" s="1" t="str">
        <f t="array" ref="E264">_xlfn.XLOOKUP(A264,Product!A:A,Product!B:B,"Bulunamadı")</f>
        <v>History</v>
      </c>
      <c r="F264" s="1" t="str">
        <f t="array" ref="F264">_xlfn.XLOOKUP(A264,Product!A:A,Product!C:C,"Bulunamadı")</f>
        <v>Horror</v>
      </c>
      <c r="G264" s="2" t="str">
        <f t="array" ref="G264">_xlfn.XLOOKUP(A265,Product!A:A,Product!D:D,"Bulunamadı")</f>
        <v>Great Plains Books</v>
      </c>
      <c r="H264" s="2">
        <f t="array" ref="H264">_xlfn.XLOOKUP(A266,Product!A:A,Product!E:E,"Bulunamadı")</f>
        <v>4.36</v>
      </c>
      <c r="I264" s="2" t="str">
        <f t="shared" si="1"/>
        <v>72825 - History - Horror</v>
      </c>
      <c r="J264" s="2">
        <f t="shared" si="2"/>
        <v>571.16</v>
      </c>
      <c r="K264" s="17">
        <f t="shared" si="3"/>
        <v>1</v>
      </c>
      <c r="L264" s="18"/>
    </row>
    <row r="265" hidden="1">
      <c r="A265" s="2">
        <f>IFERROR(__xludf.DUMMYFUNCTION("""COMPUTED_VALUE"""),72820.0)</f>
        <v>72820</v>
      </c>
      <c r="B265" s="2">
        <f>IFERROR(__xludf.DUMMYFUNCTION("""COMPUTED_VALUE"""),1.0)</f>
        <v>1</v>
      </c>
      <c r="C265" s="2">
        <f>IFERROR(__xludf.DUMMYFUNCTION("""COMPUTED_VALUE"""),109.0)</f>
        <v>109</v>
      </c>
      <c r="D265" s="3">
        <f>IFERROR(__xludf.DUMMYFUNCTION("""COMPUTED_VALUE"""),100.0)</f>
        <v>100</v>
      </c>
      <c r="E265" s="1" t="str">
        <f t="array" ref="E265">_xlfn.XLOOKUP(A265,Product!A:A,Product!B:B,"Bulunamadı")</f>
        <v>History</v>
      </c>
      <c r="F265" s="1" t="str">
        <f t="array" ref="F265">_xlfn.XLOOKUP(A265,Product!A:A,Product!C:C,"Bulunamadı")</f>
        <v>Horror</v>
      </c>
      <c r="G265" s="2" t="str">
        <f t="array" ref="G265">_xlfn.XLOOKUP(A266,Product!A:A,Product!D:D,"Bulunamadı")</f>
        <v>Great Plains Books</v>
      </c>
      <c r="H265" s="2">
        <f t="array" ref="H265">_xlfn.XLOOKUP(A267,Product!A:A,Product!E:E,"Bulunamadı")</f>
        <v>8.92</v>
      </c>
      <c r="I265" s="2" t="str">
        <f t="shared" si="1"/>
        <v>72820 - History - Horror</v>
      </c>
      <c r="J265" s="2">
        <f t="shared" si="2"/>
        <v>892</v>
      </c>
      <c r="K265" s="17">
        <f t="shared" si="3"/>
        <v>1</v>
      </c>
      <c r="L265" s="18"/>
    </row>
    <row r="266" hidden="1">
      <c r="A266" s="2">
        <f>IFERROR(__xludf.DUMMYFUNCTION("""COMPUTED_VALUE"""),81939.0)</f>
        <v>81939</v>
      </c>
      <c r="B266" s="2">
        <f>IFERROR(__xludf.DUMMYFUNCTION("""COMPUTED_VALUE"""),0.0)</f>
        <v>0</v>
      </c>
      <c r="C266" s="2">
        <f>IFERROR(__xludf.DUMMYFUNCTION("""COMPUTED_VALUE"""),149.0)</f>
        <v>149</v>
      </c>
      <c r="D266" s="3">
        <f>IFERROR(__xludf.DUMMYFUNCTION("""COMPUTED_VALUE"""),37.0)</f>
        <v>37</v>
      </c>
      <c r="E266" s="1" t="str">
        <f t="array" ref="E266">_xlfn.XLOOKUP(A266,Product!A:A,Product!B:B,"Bulunamadı")</f>
        <v>History</v>
      </c>
      <c r="F266" s="1" t="str">
        <f t="array" ref="F266">_xlfn.XLOOKUP(A266,Product!A:A,Product!C:C,"Bulunamadı")</f>
        <v>Horror</v>
      </c>
      <c r="G266" s="2" t="str">
        <f t="array" ref="G266">_xlfn.XLOOKUP(A267,Product!A:A,Product!D:D,"Bulunamadı")</f>
        <v>Great Plains Books</v>
      </c>
      <c r="H266" s="2">
        <f t="array" ref="H266">_xlfn.XLOOKUP(A268,Product!A:A,Product!E:E,"Bulunamadı")</f>
        <v>5.81</v>
      </c>
      <c r="I266" s="2" t="str">
        <f t="shared" si="1"/>
        <v>81939 - History - Horror</v>
      </c>
      <c r="J266" s="2">
        <f t="shared" si="2"/>
        <v>214.97</v>
      </c>
      <c r="K266" s="17">
        <f t="shared" si="3"/>
        <v>1</v>
      </c>
      <c r="L266" s="18"/>
    </row>
    <row r="267" hidden="1">
      <c r="A267" s="2">
        <f>IFERROR(__xludf.DUMMYFUNCTION("""COMPUTED_VALUE"""),114382.0)</f>
        <v>114382</v>
      </c>
      <c r="B267" s="2">
        <f>IFERROR(__xludf.DUMMYFUNCTION("""COMPUTED_VALUE"""),1.0)</f>
        <v>1</v>
      </c>
      <c r="C267" s="2">
        <f>IFERROR(__xludf.DUMMYFUNCTION("""COMPUTED_VALUE"""),280.0)</f>
        <v>280</v>
      </c>
      <c r="D267" s="3">
        <f>IFERROR(__xludf.DUMMYFUNCTION("""COMPUTED_VALUE"""),185.0)</f>
        <v>185</v>
      </c>
      <c r="E267" s="1" t="str">
        <f t="array" ref="E267">_xlfn.XLOOKUP(A267,Product!A:A,Product!B:B,"Bulunamadı")</f>
        <v>History</v>
      </c>
      <c r="F267" s="1" t="str">
        <f t="array" ref="F267">_xlfn.XLOOKUP(A267,Product!A:A,Product!C:C,"Bulunamadı")</f>
        <v>Horror</v>
      </c>
      <c r="G267" s="2" t="str">
        <f t="array" ref="G267">_xlfn.XLOOKUP(A268,Product!A:A,Product!D:D,"Bulunamadı")</f>
        <v>Great Plains Books</v>
      </c>
      <c r="H267" s="2">
        <f t="array" ref="H267">_xlfn.XLOOKUP(A269,Product!A:A,Product!E:E,"Bulunamadı")</f>
        <v>9.12</v>
      </c>
      <c r="I267" s="2" t="str">
        <f t="shared" si="1"/>
        <v>114382 - History - Horror</v>
      </c>
      <c r="J267" s="2">
        <f t="shared" si="2"/>
        <v>1687.2</v>
      </c>
      <c r="K267" s="17">
        <f t="shared" si="3"/>
        <v>1</v>
      </c>
      <c r="L267" s="18"/>
    </row>
    <row r="268" hidden="1">
      <c r="A268" s="2">
        <f>IFERROR(__xludf.DUMMYFUNCTION("""COMPUTED_VALUE"""),111427.0)</f>
        <v>111427</v>
      </c>
      <c r="B268" s="2">
        <f>IFERROR(__xludf.DUMMYFUNCTION("""COMPUTED_VALUE"""),0.0)</f>
        <v>0</v>
      </c>
      <c r="C268" s="2">
        <f>IFERROR(__xludf.DUMMYFUNCTION("""COMPUTED_VALUE"""),665.0)</f>
        <v>665</v>
      </c>
      <c r="D268" s="3">
        <f>IFERROR(__xludf.DUMMYFUNCTION("""COMPUTED_VALUE"""),254.0)</f>
        <v>254</v>
      </c>
      <c r="E268" s="1" t="str">
        <f t="array" ref="E268">_xlfn.XLOOKUP(A268,Product!A:A,Product!B:B,"Bulunamadı")</f>
        <v>History</v>
      </c>
      <c r="F268" s="1" t="str">
        <f t="array" ref="F268">_xlfn.XLOOKUP(A268,Product!A:A,Product!C:C,"Bulunamadı")</f>
        <v>Horror</v>
      </c>
      <c r="G268" s="2" t="str">
        <f t="array" ref="G268">_xlfn.XLOOKUP(A269,Product!A:A,Product!D:D,"Bulunamadı")</f>
        <v>Great Plains Books</v>
      </c>
      <c r="H268" s="2">
        <f t="array" ref="H268">_xlfn.XLOOKUP(A270,Product!A:A,Product!E:E,"Bulunamadı")</f>
        <v>5.67</v>
      </c>
      <c r="I268" s="2" t="str">
        <f t="shared" si="1"/>
        <v>111427 - History - Horror</v>
      </c>
      <c r="J268" s="2">
        <f t="shared" si="2"/>
        <v>1440.18</v>
      </c>
      <c r="K268" s="17">
        <f t="shared" si="3"/>
        <v>1</v>
      </c>
      <c r="L268" s="18"/>
    </row>
    <row r="269" hidden="1">
      <c r="A269" s="2">
        <f>IFERROR(__xludf.DUMMYFUNCTION("""COMPUTED_VALUE"""),81937.0)</f>
        <v>81937</v>
      </c>
      <c r="B269" s="2">
        <f>IFERROR(__xludf.DUMMYFUNCTION("""COMPUTED_VALUE"""),0.0)</f>
        <v>0</v>
      </c>
      <c r="C269" s="2">
        <f>IFERROR(__xludf.DUMMYFUNCTION("""COMPUTED_VALUE"""),962.0)</f>
        <v>962</v>
      </c>
      <c r="D269" s="3">
        <f>IFERROR(__xludf.DUMMYFUNCTION("""COMPUTED_VALUE"""),511.0)</f>
        <v>511</v>
      </c>
      <c r="E269" s="1" t="str">
        <f t="array" ref="E269">_xlfn.XLOOKUP(A269,Product!A:A,Product!B:B,"Bulunamadı")</f>
        <v>History</v>
      </c>
      <c r="F269" s="1" t="str">
        <f t="array" ref="F269">_xlfn.XLOOKUP(A269,Product!A:A,Product!C:C,"Bulunamadı")</f>
        <v>Horror</v>
      </c>
      <c r="G269" s="2" t="str">
        <f t="array" ref="G269">_xlfn.XLOOKUP(A270,Product!A:A,Product!D:D,"Bulunamadı")</f>
        <v>Great Plains Books</v>
      </c>
      <c r="H269" s="2">
        <f t="array" ref="H269">_xlfn.XLOOKUP(A271,Product!A:A,Product!E:E,"Bulunamadı")</f>
        <v>2.12</v>
      </c>
      <c r="I269" s="2" t="str">
        <f t="shared" si="1"/>
        <v>81937 - History - Horror</v>
      </c>
      <c r="J269" s="2">
        <f t="shared" si="2"/>
        <v>1083.32</v>
      </c>
      <c r="K269" s="17">
        <f t="shared" si="3"/>
        <v>1</v>
      </c>
      <c r="L269" s="18"/>
    </row>
    <row r="270" hidden="1">
      <c r="A270" s="2">
        <f>IFERROR(__xludf.DUMMYFUNCTION("""COMPUTED_VALUE"""),72824.0)</f>
        <v>72824</v>
      </c>
      <c r="B270" s="2">
        <f>IFERROR(__xludf.DUMMYFUNCTION("""COMPUTED_VALUE"""),1.0)</f>
        <v>1</v>
      </c>
      <c r="C270" s="2">
        <f>IFERROR(__xludf.DUMMYFUNCTION("""COMPUTED_VALUE"""),124.0)</f>
        <v>124</v>
      </c>
      <c r="D270" s="3">
        <f>IFERROR(__xludf.DUMMYFUNCTION("""COMPUTED_VALUE"""),107.0)</f>
        <v>107</v>
      </c>
      <c r="E270" s="1" t="str">
        <f t="array" ref="E270">_xlfn.XLOOKUP(A270,Product!A:A,Product!B:B,"Bulunamadı")</f>
        <v>History</v>
      </c>
      <c r="F270" s="1" t="str">
        <f t="array" ref="F270">_xlfn.XLOOKUP(A270,Product!A:A,Product!C:C,"Bulunamadı")</f>
        <v>Horror</v>
      </c>
      <c r="G270" s="2" t="str">
        <f t="array" ref="G270">_xlfn.XLOOKUP(A271,Product!A:A,Product!D:D,"Bulunamadı")</f>
        <v>Great Plains Books</v>
      </c>
      <c r="H270" s="2">
        <f t="array" ref="H270">_xlfn.XLOOKUP(A272,Product!A:A,Product!E:E,"Bulunamadı")</f>
        <v>4.6</v>
      </c>
      <c r="I270" s="2" t="str">
        <f t="shared" si="1"/>
        <v>72824 - History - Horror</v>
      </c>
      <c r="J270" s="2">
        <f t="shared" si="2"/>
        <v>492.2</v>
      </c>
      <c r="K270" s="17">
        <f t="shared" si="3"/>
        <v>1</v>
      </c>
      <c r="L270" s="18"/>
    </row>
    <row r="271" hidden="1">
      <c r="A271" s="2">
        <f>IFERROR(__xludf.DUMMYFUNCTION("""COMPUTED_VALUE"""),112188.0)</f>
        <v>112188</v>
      </c>
      <c r="B271" s="2">
        <f>IFERROR(__xludf.DUMMYFUNCTION("""COMPUTED_VALUE"""),0.0)</f>
        <v>0</v>
      </c>
      <c r="C271" s="2">
        <f>IFERROR(__xludf.DUMMYFUNCTION("""COMPUTED_VALUE"""),44.0)</f>
        <v>44</v>
      </c>
      <c r="D271" s="3">
        <f>IFERROR(__xludf.DUMMYFUNCTION("""COMPUTED_VALUE"""),29.0)</f>
        <v>29</v>
      </c>
      <c r="E271" s="1" t="str">
        <f t="array" ref="E271">_xlfn.XLOOKUP(A271,Product!A:A,Product!B:B,"Bulunamadı")</f>
        <v>History</v>
      </c>
      <c r="F271" s="1" t="str">
        <f t="array" ref="F271">_xlfn.XLOOKUP(A271,Product!A:A,Product!C:C,"Bulunamadı")</f>
        <v>Horror</v>
      </c>
      <c r="G271" s="2" t="str">
        <f t="array" ref="G271">_xlfn.XLOOKUP(A272,Product!A:A,Product!D:D,"Bulunamadı")</f>
        <v>Great Plains Books</v>
      </c>
      <c r="H271" s="2">
        <f t="array" ref="H271">_xlfn.XLOOKUP(A273,Product!A:A,Product!E:E,"Bulunamadı")</f>
        <v>2.11</v>
      </c>
      <c r="I271" s="2" t="str">
        <f t="shared" si="1"/>
        <v>112188 - History - Horror</v>
      </c>
      <c r="J271" s="2">
        <f t="shared" si="2"/>
        <v>61.19</v>
      </c>
      <c r="K271" s="17">
        <f t="shared" si="3"/>
        <v>1</v>
      </c>
      <c r="L271" s="18"/>
    </row>
    <row r="272" hidden="1">
      <c r="A272" s="2">
        <f>IFERROR(__xludf.DUMMYFUNCTION("""COMPUTED_VALUE"""),98186.0)</f>
        <v>98186</v>
      </c>
      <c r="B272" s="2">
        <f>IFERROR(__xludf.DUMMYFUNCTION("""COMPUTED_VALUE"""),1.0)</f>
        <v>1</v>
      </c>
      <c r="C272" s="2">
        <f>IFERROR(__xludf.DUMMYFUNCTION("""COMPUTED_VALUE"""),845.0)</f>
        <v>845</v>
      </c>
      <c r="D272" s="3">
        <f>IFERROR(__xludf.DUMMYFUNCTION("""COMPUTED_VALUE"""),298.0)</f>
        <v>298</v>
      </c>
      <c r="E272" s="1" t="str">
        <f t="array" ref="E272">_xlfn.XLOOKUP(A272,Product!A:A,Product!B:B,"Bulunamadı")</f>
        <v>History</v>
      </c>
      <c r="F272" s="1" t="str">
        <f t="array" ref="F272">_xlfn.XLOOKUP(A272,Product!A:A,Product!C:C,"Bulunamadı")</f>
        <v>Horror</v>
      </c>
      <c r="G272" s="2" t="str">
        <f t="array" ref="G272">_xlfn.XLOOKUP(A273,Product!A:A,Product!D:D,"Bulunamadı")</f>
        <v>Great Plains Books</v>
      </c>
      <c r="H272" s="2">
        <f t="array" ref="H272">_xlfn.XLOOKUP(A274,Product!A:A,Product!E:E,"Bulunamadı")</f>
        <v>9.34</v>
      </c>
      <c r="I272" s="2" t="str">
        <f t="shared" si="1"/>
        <v>98186 - History - Horror</v>
      </c>
      <c r="J272" s="2">
        <f t="shared" si="2"/>
        <v>2783.32</v>
      </c>
      <c r="K272" s="17">
        <f t="shared" si="3"/>
        <v>1</v>
      </c>
      <c r="L272" s="18"/>
    </row>
    <row r="273" hidden="1">
      <c r="A273" s="2">
        <f>IFERROR(__xludf.DUMMYFUNCTION("""COMPUTED_VALUE"""),72822.0)</f>
        <v>72822</v>
      </c>
      <c r="B273" s="2">
        <f>IFERROR(__xludf.DUMMYFUNCTION("""COMPUTED_VALUE"""),0.0)</f>
        <v>0</v>
      </c>
      <c r="C273" s="2">
        <f>IFERROR(__xludf.DUMMYFUNCTION("""COMPUTED_VALUE"""),831.0)</f>
        <v>831</v>
      </c>
      <c r="D273" s="3">
        <f>IFERROR(__xludf.DUMMYFUNCTION("""COMPUTED_VALUE"""),135.0)</f>
        <v>135</v>
      </c>
      <c r="E273" s="1" t="str">
        <f t="array" ref="E273">_xlfn.XLOOKUP(A273,Product!A:A,Product!B:B,"Bulunamadı")</f>
        <v>History</v>
      </c>
      <c r="F273" s="1" t="str">
        <f t="array" ref="F273">_xlfn.XLOOKUP(A273,Product!A:A,Product!C:C,"Bulunamadı")</f>
        <v>Horror</v>
      </c>
      <c r="G273" s="2" t="str">
        <f t="array" ref="G273">_xlfn.XLOOKUP(A274,Product!A:A,Product!D:D,"Bulunamadı")</f>
        <v>Old Town Press</v>
      </c>
      <c r="H273" s="2">
        <f t="array" ref="H273">_xlfn.XLOOKUP(A275,Product!A:A,Product!E:E,"Bulunamadı")</f>
        <v>0.75</v>
      </c>
      <c r="I273" s="2" t="str">
        <f t="shared" si="1"/>
        <v>72822 - History - Horror</v>
      </c>
      <c r="J273" s="2">
        <f t="shared" si="2"/>
        <v>101.25</v>
      </c>
      <c r="K273" s="17">
        <f t="shared" si="3"/>
        <v>1</v>
      </c>
      <c r="L273" s="18"/>
    </row>
    <row r="274" hidden="1">
      <c r="A274" s="2">
        <f>IFERROR(__xludf.DUMMYFUNCTION("""COMPUTED_VALUE"""),122601.0)</f>
        <v>122601</v>
      </c>
      <c r="B274" s="2">
        <f>IFERROR(__xludf.DUMMYFUNCTION("""COMPUTED_VALUE"""),0.0)</f>
        <v>0</v>
      </c>
      <c r="C274" s="2">
        <f>IFERROR(__xludf.DUMMYFUNCTION("""COMPUTED_VALUE"""),373.0)</f>
        <v>373</v>
      </c>
      <c r="D274" s="3">
        <f>IFERROR(__xludf.DUMMYFUNCTION("""COMPUTED_VALUE"""),324.0)</f>
        <v>324</v>
      </c>
      <c r="E274" s="1" t="str">
        <f t="array" ref="E274">_xlfn.XLOOKUP(A274,Product!A:A,Product!B:B,"Bulunamadı")</f>
        <v>Tech</v>
      </c>
      <c r="F274" s="1" t="str">
        <f t="array" ref="F274">_xlfn.XLOOKUP(A274,Product!A:A,Product!C:C,"Bulunamadı")</f>
        <v>Paranormal</v>
      </c>
      <c r="G274" s="2" t="str">
        <f t="array" ref="G274">_xlfn.XLOOKUP(A275,Product!A:A,Product!D:D,"Bulunamadı")</f>
        <v>Old Town Press</v>
      </c>
      <c r="H274" s="2">
        <f t="array" ref="H274">_xlfn.XLOOKUP(A276,Product!A:A,Product!E:E,"Bulunamadı")</f>
        <v>0.66</v>
      </c>
      <c r="I274" s="2" t="str">
        <f t="shared" si="1"/>
        <v>122601 - Tech - Paranormal</v>
      </c>
      <c r="J274" s="2">
        <f t="shared" si="2"/>
        <v>213.84</v>
      </c>
      <c r="K274" s="17">
        <f t="shared" si="3"/>
        <v>1</v>
      </c>
      <c r="L274" s="18"/>
    </row>
    <row r="275" hidden="1">
      <c r="A275" s="2">
        <f>IFERROR(__xludf.DUMMYFUNCTION("""COMPUTED_VALUE"""),106779.0)</f>
        <v>106779</v>
      </c>
      <c r="B275" s="2">
        <f>IFERROR(__xludf.DUMMYFUNCTION("""COMPUTED_VALUE"""),1.0)</f>
        <v>1</v>
      </c>
      <c r="C275" s="2">
        <f>IFERROR(__xludf.DUMMYFUNCTION("""COMPUTED_VALUE"""),506.0)</f>
        <v>506</v>
      </c>
      <c r="D275" s="3">
        <f>IFERROR(__xludf.DUMMYFUNCTION("""COMPUTED_VALUE"""),254.0)</f>
        <v>254</v>
      </c>
      <c r="E275" s="1" t="str">
        <f t="array" ref="E275">_xlfn.XLOOKUP(A275,Product!A:A,Product!B:B,"Bulunamadı")</f>
        <v>Tech</v>
      </c>
      <c r="F275" s="1" t="str">
        <f t="array" ref="F275">_xlfn.XLOOKUP(A275,Product!A:A,Product!C:C,"Bulunamadı")</f>
        <v>Paranormal</v>
      </c>
      <c r="G275" s="2" t="str">
        <f t="array" ref="G275">_xlfn.XLOOKUP(A276,Product!A:A,Product!D:D,"Bulunamadı")</f>
        <v>Old Town Press</v>
      </c>
      <c r="H275" s="2">
        <f t="array" ref="H275">_xlfn.XLOOKUP(A277,Product!A:A,Product!E:E,"Bulunamadı")</f>
        <v>9.44</v>
      </c>
      <c r="I275" s="2" t="str">
        <f t="shared" si="1"/>
        <v>106779 - Tech - Paranormal</v>
      </c>
      <c r="J275" s="2">
        <f t="shared" si="2"/>
        <v>2397.76</v>
      </c>
      <c r="K275" s="17">
        <f t="shared" si="3"/>
        <v>1</v>
      </c>
      <c r="L275" s="18"/>
    </row>
    <row r="276" hidden="1">
      <c r="A276" s="2">
        <f>IFERROR(__xludf.DUMMYFUNCTION("""COMPUTED_VALUE"""),106785.0)</f>
        <v>106785</v>
      </c>
      <c r="B276" s="2">
        <f>IFERROR(__xludf.DUMMYFUNCTION("""COMPUTED_VALUE"""),0.0)</f>
        <v>0</v>
      </c>
      <c r="C276" s="2">
        <f>IFERROR(__xludf.DUMMYFUNCTION("""COMPUTED_VALUE"""),960.0)</f>
        <v>960</v>
      </c>
      <c r="D276" s="3">
        <f>IFERROR(__xludf.DUMMYFUNCTION("""COMPUTED_VALUE"""),892.0)</f>
        <v>892</v>
      </c>
      <c r="E276" s="1" t="str">
        <f t="array" ref="E276">_xlfn.XLOOKUP(A276,Product!A:A,Product!B:B,"Bulunamadı")</f>
        <v>Tech</v>
      </c>
      <c r="F276" s="1" t="str">
        <f t="array" ref="F276">_xlfn.XLOOKUP(A276,Product!A:A,Product!C:C,"Bulunamadı")</f>
        <v>Paranormal</v>
      </c>
      <c r="G276" s="2" t="str">
        <f t="array" ref="G276">_xlfn.XLOOKUP(A277,Product!A:A,Product!D:D,"Bulunamadı")</f>
        <v>Old Town Press</v>
      </c>
      <c r="H276" s="2">
        <f t="array" ref="H276">_xlfn.XLOOKUP(A278,Product!A:A,Product!E:E,"Bulunamadı")</f>
        <v>1.15</v>
      </c>
      <c r="I276" s="2" t="str">
        <f t="shared" si="1"/>
        <v>106785 - Tech - Paranormal</v>
      </c>
      <c r="J276" s="2">
        <f t="shared" si="2"/>
        <v>1025.8</v>
      </c>
      <c r="K276" s="17">
        <f t="shared" si="3"/>
        <v>1</v>
      </c>
      <c r="L276" s="18"/>
    </row>
    <row r="277" hidden="1">
      <c r="A277" s="2">
        <f>IFERROR(__xludf.DUMMYFUNCTION("""COMPUTED_VALUE"""),122602.0)</f>
        <v>122602</v>
      </c>
      <c r="B277" s="2">
        <f>IFERROR(__xludf.DUMMYFUNCTION("""COMPUTED_VALUE"""),0.0)</f>
        <v>0</v>
      </c>
      <c r="C277" s="2">
        <f>IFERROR(__xludf.DUMMYFUNCTION("""COMPUTED_VALUE"""),610.0)</f>
        <v>610</v>
      </c>
      <c r="D277" s="3">
        <f>IFERROR(__xludf.DUMMYFUNCTION("""COMPUTED_VALUE"""),419.0)</f>
        <v>419</v>
      </c>
      <c r="E277" s="1" t="str">
        <f t="array" ref="E277">_xlfn.XLOOKUP(A277,Product!A:A,Product!B:B,"Bulunamadı")</f>
        <v>Tech</v>
      </c>
      <c r="F277" s="1" t="str">
        <f t="array" ref="F277">_xlfn.XLOOKUP(A277,Product!A:A,Product!C:C,"Bulunamadı")</f>
        <v>Paranormal</v>
      </c>
      <c r="G277" s="2" t="str">
        <f t="array" ref="G277">_xlfn.XLOOKUP(A278,Product!A:A,Product!D:D,"Bulunamadı")</f>
        <v>Old Town Press</v>
      </c>
      <c r="H277" s="2">
        <f t="array" ref="H277">_xlfn.XLOOKUP(A279,Product!A:A,Product!E:E,"Bulunamadı")</f>
        <v>1.24</v>
      </c>
      <c r="I277" s="2" t="str">
        <f t="shared" si="1"/>
        <v>122602 - Tech - Paranormal</v>
      </c>
      <c r="J277" s="2">
        <f t="shared" si="2"/>
        <v>519.56</v>
      </c>
      <c r="K277" s="17">
        <f t="shared" si="3"/>
        <v>1</v>
      </c>
      <c r="L277" s="18"/>
    </row>
    <row r="278" hidden="1">
      <c r="A278" s="2">
        <f>IFERROR(__xludf.DUMMYFUNCTION("""COMPUTED_VALUE"""),45574.0)</f>
        <v>45574</v>
      </c>
      <c r="B278" s="2">
        <f>IFERROR(__xludf.DUMMYFUNCTION("""COMPUTED_VALUE"""),0.0)</f>
        <v>0</v>
      </c>
      <c r="C278" s="2">
        <f>IFERROR(__xludf.DUMMYFUNCTION("""COMPUTED_VALUE"""),277.0)</f>
        <v>277</v>
      </c>
      <c r="D278" s="3">
        <f>IFERROR(__xludf.DUMMYFUNCTION("""COMPUTED_VALUE"""),148.0)</f>
        <v>148</v>
      </c>
      <c r="E278" s="1" t="str">
        <f t="array" ref="E278">_xlfn.XLOOKUP(A278,Product!A:A,Product!B:B,"Bulunamadı")</f>
        <v>Tech</v>
      </c>
      <c r="F278" s="1" t="str">
        <f t="array" ref="F278">_xlfn.XLOOKUP(A278,Product!A:A,Product!C:C,"Bulunamadı")</f>
        <v>Paranormal</v>
      </c>
      <c r="G278" s="2" t="str">
        <f t="array" ref="G278">_xlfn.XLOOKUP(A279,Product!A:A,Product!D:D,"Bulunamadı")</f>
        <v>Old Town Press</v>
      </c>
      <c r="H278" s="2">
        <f t="array" ref="H278">_xlfn.XLOOKUP(A280,Product!A:A,Product!E:E,"Bulunamadı")</f>
        <v>1.03</v>
      </c>
      <c r="I278" s="2" t="str">
        <f t="shared" si="1"/>
        <v>45574 - Tech - Paranormal</v>
      </c>
      <c r="J278" s="2">
        <f t="shared" si="2"/>
        <v>152.44</v>
      </c>
      <c r="K278" s="17">
        <f t="shared" si="3"/>
        <v>1</v>
      </c>
      <c r="L278" s="18"/>
    </row>
    <row r="279" hidden="1">
      <c r="A279" s="2">
        <f>IFERROR(__xludf.DUMMYFUNCTION("""COMPUTED_VALUE"""),80808.0)</f>
        <v>80808</v>
      </c>
      <c r="B279" s="2">
        <f>IFERROR(__xludf.DUMMYFUNCTION("""COMPUTED_VALUE"""),1.0)</f>
        <v>1</v>
      </c>
      <c r="C279" s="2">
        <f>IFERROR(__xludf.DUMMYFUNCTION("""COMPUTED_VALUE"""),55.0)</f>
        <v>55</v>
      </c>
      <c r="D279" s="3">
        <f>IFERROR(__xludf.DUMMYFUNCTION("""COMPUTED_VALUE"""),7.0)</f>
        <v>7</v>
      </c>
      <c r="E279" s="1" t="str">
        <f t="array" ref="E279">_xlfn.XLOOKUP(A279,Product!A:A,Product!B:B,"Bulunamadı")</f>
        <v>Tech</v>
      </c>
      <c r="F279" s="1" t="str">
        <f t="array" ref="F279">_xlfn.XLOOKUP(A279,Product!A:A,Product!C:C,"Bulunamadı")</f>
        <v>Paranormal</v>
      </c>
      <c r="G279" s="2" t="str">
        <f t="array" ref="G279">_xlfn.XLOOKUP(A280,Product!A:A,Product!D:D,"Bulunamadı")</f>
        <v>Old Town Press</v>
      </c>
      <c r="H279" s="2">
        <f t="array" ref="H279">_xlfn.XLOOKUP(A281,Product!A:A,Product!E:E,"Bulunamadı")</f>
        <v>1.68</v>
      </c>
      <c r="I279" s="2" t="str">
        <f t="shared" si="1"/>
        <v>80808 - Tech - Paranormal</v>
      </c>
      <c r="J279" s="2">
        <f t="shared" si="2"/>
        <v>11.76</v>
      </c>
      <c r="K279" s="17">
        <f t="shared" si="3"/>
        <v>1</v>
      </c>
      <c r="L279" s="18"/>
    </row>
    <row r="280" hidden="1">
      <c r="A280" s="2">
        <f>IFERROR(__xludf.DUMMYFUNCTION("""COMPUTED_VALUE"""),80802.0)</f>
        <v>80802</v>
      </c>
      <c r="B280" s="2">
        <f>IFERROR(__xludf.DUMMYFUNCTION("""COMPUTED_VALUE"""),0.0)</f>
        <v>0</v>
      </c>
      <c r="C280" s="2">
        <f>IFERROR(__xludf.DUMMYFUNCTION("""COMPUTED_VALUE"""),303.0)</f>
        <v>303</v>
      </c>
      <c r="D280" s="3">
        <f>IFERROR(__xludf.DUMMYFUNCTION("""COMPUTED_VALUE"""),247.0)</f>
        <v>247</v>
      </c>
      <c r="E280" s="1" t="str">
        <f t="array" ref="E280">_xlfn.XLOOKUP(A280,Product!A:A,Product!B:B,"Bulunamadı")</f>
        <v>Tech</v>
      </c>
      <c r="F280" s="1" t="str">
        <f t="array" ref="F280">_xlfn.XLOOKUP(A280,Product!A:A,Product!C:C,"Bulunamadı")</f>
        <v>Paranormal</v>
      </c>
      <c r="G280" s="2" t="str">
        <f t="array" ref="G280">_xlfn.XLOOKUP(A281,Product!A:A,Product!D:D,"Bulunamadı")</f>
        <v>Lakeside Publishing</v>
      </c>
      <c r="H280" s="2">
        <f t="array" ref="H280">_xlfn.XLOOKUP(A282,Product!A:A,Product!E:E,"Bulunamadı")</f>
        <v>1.36</v>
      </c>
      <c r="I280" s="2" t="str">
        <f t="shared" si="1"/>
        <v>80802 - Tech - Paranormal</v>
      </c>
      <c r="J280" s="2">
        <f t="shared" si="2"/>
        <v>335.92</v>
      </c>
      <c r="K280" s="17">
        <f t="shared" si="3"/>
        <v>1</v>
      </c>
      <c r="L280" s="18"/>
    </row>
    <row r="281" hidden="1">
      <c r="A281" s="2">
        <f>IFERROR(__xludf.DUMMYFUNCTION("""COMPUTED_VALUE"""),110385.0)</f>
        <v>110385</v>
      </c>
      <c r="B281" s="2">
        <f>IFERROR(__xludf.DUMMYFUNCTION("""COMPUTED_VALUE"""),1.0)</f>
        <v>1</v>
      </c>
      <c r="C281" s="2">
        <f>IFERROR(__xludf.DUMMYFUNCTION("""COMPUTED_VALUE"""),551.0)</f>
        <v>551</v>
      </c>
      <c r="D281" s="3">
        <f>IFERROR(__xludf.DUMMYFUNCTION("""COMPUTED_VALUE"""),322.0)</f>
        <v>322</v>
      </c>
      <c r="E281" s="1" t="str">
        <f t="array" ref="E281">_xlfn.XLOOKUP(A281,Product!A:A,Product!B:B,"Bulunamadı")</f>
        <v>Tech</v>
      </c>
      <c r="F281" s="1" t="str">
        <f t="array" ref="F281">_xlfn.XLOOKUP(A281,Product!A:A,Product!C:C,"Bulunamadı")</f>
        <v>Paranormal</v>
      </c>
      <c r="G281" s="2" t="str">
        <f t="array" ref="G281">_xlfn.XLOOKUP(A282,Product!A:A,Product!D:D,"Bulunamadı")</f>
        <v>Lakeside Publishing</v>
      </c>
      <c r="H281" s="2">
        <f t="array" ref="H281">_xlfn.XLOOKUP(A283,Product!A:A,Product!E:E,"Bulunamadı")</f>
        <v>5.42</v>
      </c>
      <c r="I281" s="2" t="str">
        <f t="shared" si="1"/>
        <v>110385 - Tech - Paranormal</v>
      </c>
      <c r="J281" s="2">
        <f t="shared" si="2"/>
        <v>1745.24</v>
      </c>
      <c r="K281" s="17">
        <f t="shared" si="3"/>
        <v>1</v>
      </c>
      <c r="L281" s="18"/>
    </row>
    <row r="282" hidden="1">
      <c r="A282" s="2">
        <f>IFERROR(__xludf.DUMMYFUNCTION("""COMPUTED_VALUE"""),80633.0)</f>
        <v>80633</v>
      </c>
      <c r="B282" s="2">
        <f>IFERROR(__xludf.DUMMYFUNCTION("""COMPUTED_VALUE"""),0.0)</f>
        <v>0</v>
      </c>
      <c r="C282" s="2">
        <f>IFERROR(__xludf.DUMMYFUNCTION("""COMPUTED_VALUE"""),718.0)</f>
        <v>718</v>
      </c>
      <c r="D282" s="3">
        <f>IFERROR(__xludf.DUMMYFUNCTION("""COMPUTED_VALUE"""),381.0)</f>
        <v>381</v>
      </c>
      <c r="E282" s="1" t="str">
        <f t="array" ref="E282">_xlfn.XLOOKUP(A282,Product!A:A,Product!B:B,"Bulunamadı")</f>
        <v>Tech</v>
      </c>
      <c r="F282" s="1" t="str">
        <f t="array" ref="F282">_xlfn.XLOOKUP(A282,Product!A:A,Product!C:C,"Bulunamadı")</f>
        <v>Paranormal</v>
      </c>
      <c r="G282" s="2" t="str">
        <f t="array" ref="G282">_xlfn.XLOOKUP(A283,Product!A:A,Product!D:D,"Bulunamadı")</f>
        <v>Lakeside Publishing</v>
      </c>
      <c r="H282" s="2">
        <f t="array" ref="H282">_xlfn.XLOOKUP(A284,Product!A:A,Product!E:E,"Bulunamadı")</f>
        <v>4.85</v>
      </c>
      <c r="I282" s="2" t="str">
        <f t="shared" si="1"/>
        <v>80633 - Tech - Paranormal</v>
      </c>
      <c r="J282" s="2">
        <f t="shared" si="2"/>
        <v>1847.85</v>
      </c>
      <c r="K282" s="17">
        <f t="shared" si="3"/>
        <v>1</v>
      </c>
      <c r="L282" s="18"/>
    </row>
    <row r="283" hidden="1">
      <c r="A283" s="2">
        <f>IFERROR(__xludf.DUMMYFUNCTION("""COMPUTED_VALUE"""),120700.0)</f>
        <v>120700</v>
      </c>
      <c r="B283" s="2">
        <f>IFERROR(__xludf.DUMMYFUNCTION("""COMPUTED_VALUE"""),1.0)</f>
        <v>1</v>
      </c>
      <c r="C283" s="2">
        <f>IFERROR(__xludf.DUMMYFUNCTION("""COMPUTED_VALUE"""),653.0)</f>
        <v>653</v>
      </c>
      <c r="D283" s="3">
        <f>IFERROR(__xludf.DUMMYFUNCTION("""COMPUTED_VALUE"""),352.0)</f>
        <v>352</v>
      </c>
      <c r="E283" s="1" t="str">
        <f t="array" ref="E283">_xlfn.XLOOKUP(A283,Product!A:A,Product!B:B,"Bulunamadı")</f>
        <v>Tech</v>
      </c>
      <c r="F283" s="1" t="str">
        <f t="array" ref="F283">_xlfn.XLOOKUP(A283,Product!A:A,Product!C:C,"Bulunamadı")</f>
        <v>Paranormal</v>
      </c>
      <c r="G283" s="2" t="str">
        <f t="array" ref="G283">_xlfn.XLOOKUP(A284,Product!A:A,Product!D:D,"Bulunamadı")</f>
        <v>Lakeside Publishing</v>
      </c>
      <c r="H283" s="2">
        <f t="array" ref="H283">_xlfn.XLOOKUP(A285,Product!A:A,Product!E:E,"Bulunamadı")</f>
        <v>5.98</v>
      </c>
      <c r="I283" s="2" t="str">
        <f t="shared" si="1"/>
        <v>120700 - Tech - Paranormal</v>
      </c>
      <c r="J283" s="2">
        <f t="shared" si="2"/>
        <v>2104.96</v>
      </c>
      <c r="K283" s="17">
        <f t="shared" si="3"/>
        <v>1</v>
      </c>
      <c r="L283" s="18"/>
    </row>
    <row r="284" hidden="1">
      <c r="A284" s="2">
        <f>IFERROR(__xludf.DUMMYFUNCTION("""COMPUTED_VALUE"""),112853.0)</f>
        <v>112853</v>
      </c>
      <c r="B284" s="2">
        <f>IFERROR(__xludf.DUMMYFUNCTION("""COMPUTED_VALUE"""),1.0)</f>
        <v>1</v>
      </c>
      <c r="C284" s="2">
        <f>IFERROR(__xludf.DUMMYFUNCTION("""COMPUTED_VALUE"""),294.0)</f>
        <v>294</v>
      </c>
      <c r="D284" s="3">
        <f>IFERROR(__xludf.DUMMYFUNCTION("""COMPUTED_VALUE"""),265.0)</f>
        <v>265</v>
      </c>
      <c r="E284" s="1" t="str">
        <f t="array" ref="E284">_xlfn.XLOOKUP(A284,Product!A:A,Product!B:B,"Bulunamadı")</f>
        <v>Tech</v>
      </c>
      <c r="F284" s="1" t="str">
        <f t="array" ref="F284">_xlfn.XLOOKUP(A284,Product!A:A,Product!C:C,"Bulunamadı")</f>
        <v>Paranormal</v>
      </c>
      <c r="G284" s="2" t="str">
        <f t="array" ref="G284">_xlfn.XLOOKUP(A285,Product!A:A,Product!D:D,"Bulunamadı")</f>
        <v>Lakeside Publishing</v>
      </c>
      <c r="H284" s="2">
        <f t="array" ref="H284">_xlfn.XLOOKUP(A286,Product!A:A,Product!E:E,"Bulunamadı")</f>
        <v>6.8</v>
      </c>
      <c r="I284" s="2" t="str">
        <f t="shared" si="1"/>
        <v>112853 - Tech - Paranormal</v>
      </c>
      <c r="J284" s="2">
        <f t="shared" si="2"/>
        <v>1802</v>
      </c>
      <c r="K284" s="17">
        <f t="shared" si="3"/>
        <v>1</v>
      </c>
      <c r="L284" s="18"/>
    </row>
    <row r="285" hidden="1">
      <c r="A285" s="2">
        <f>IFERROR(__xludf.DUMMYFUNCTION("""COMPUTED_VALUE"""),120699.0)</f>
        <v>120699</v>
      </c>
      <c r="B285" s="2">
        <f>IFERROR(__xludf.DUMMYFUNCTION("""COMPUTED_VALUE"""),0.0)</f>
        <v>0</v>
      </c>
      <c r="C285" s="2">
        <f>IFERROR(__xludf.DUMMYFUNCTION("""COMPUTED_VALUE"""),251.0)</f>
        <v>251</v>
      </c>
      <c r="D285" s="3">
        <f>IFERROR(__xludf.DUMMYFUNCTION("""COMPUTED_VALUE"""),240.0)</f>
        <v>240</v>
      </c>
      <c r="E285" s="1" t="str">
        <f t="array" ref="E285">_xlfn.XLOOKUP(A285,Product!A:A,Product!B:B,"Bulunamadı")</f>
        <v>Tech</v>
      </c>
      <c r="F285" s="1" t="str">
        <f t="array" ref="F285">_xlfn.XLOOKUP(A285,Product!A:A,Product!C:C,"Bulunamadı")</f>
        <v>Paranormal</v>
      </c>
      <c r="G285" s="2" t="str">
        <f t="array" ref="G285">_xlfn.XLOOKUP(A286,Product!A:A,Product!D:D,"Bulunamadı")</f>
        <v>Lakeside Publishing</v>
      </c>
      <c r="H285" s="2">
        <f t="array" ref="H285">_xlfn.XLOOKUP(A287,Product!A:A,Product!E:E,"Bulunamadı")</f>
        <v>3.58</v>
      </c>
      <c r="I285" s="2" t="str">
        <f t="shared" si="1"/>
        <v>120699 - Tech - Paranormal</v>
      </c>
      <c r="J285" s="2">
        <f t="shared" si="2"/>
        <v>859.2</v>
      </c>
      <c r="K285" s="17">
        <f t="shared" si="3"/>
        <v>1</v>
      </c>
      <c r="L285" s="18"/>
    </row>
    <row r="286" hidden="1">
      <c r="A286" s="2">
        <f>IFERROR(__xludf.DUMMYFUNCTION("""COMPUTED_VALUE"""),20195.0)</f>
        <v>20195</v>
      </c>
      <c r="B286" s="2">
        <f>IFERROR(__xludf.DUMMYFUNCTION("""COMPUTED_VALUE"""),1.0)</f>
        <v>1</v>
      </c>
      <c r="C286" s="2">
        <f>IFERROR(__xludf.DUMMYFUNCTION("""COMPUTED_VALUE"""),425.0)</f>
        <v>425</v>
      </c>
      <c r="D286" s="3">
        <f>IFERROR(__xludf.DUMMYFUNCTION("""COMPUTED_VALUE"""),354.0)</f>
        <v>354</v>
      </c>
      <c r="E286" s="1" t="str">
        <f t="array" ref="E286">_xlfn.XLOOKUP(A286,Product!A:A,Product!B:B,"Bulunamadı")</f>
        <v>Tech</v>
      </c>
      <c r="F286" s="1" t="str">
        <f t="array" ref="F286">_xlfn.XLOOKUP(A286,Product!A:A,Product!C:C,"Bulunamadı")</f>
        <v>Paranormal</v>
      </c>
      <c r="G286" s="2" t="str">
        <f t="array" ref="G286">_xlfn.XLOOKUP(A287,Product!A:A,Product!D:D,"Bulunamadı")</f>
        <v>Lakeside Publishing</v>
      </c>
      <c r="H286" s="2">
        <f t="array" ref="H286">_xlfn.XLOOKUP(A288,Product!A:A,Product!E:E,"Bulunamadı")</f>
        <v>5.47</v>
      </c>
      <c r="I286" s="2" t="str">
        <f t="shared" si="1"/>
        <v>20195 - Tech - Paranormal</v>
      </c>
      <c r="J286" s="2">
        <f t="shared" si="2"/>
        <v>1936.38</v>
      </c>
      <c r="K286" s="17">
        <f t="shared" si="3"/>
        <v>1</v>
      </c>
      <c r="L286" s="18"/>
    </row>
    <row r="287" hidden="1">
      <c r="A287" s="2">
        <f>IFERROR(__xludf.DUMMYFUNCTION("""COMPUTED_VALUE"""),11422.0)</f>
        <v>11422</v>
      </c>
      <c r="B287" s="2">
        <f>IFERROR(__xludf.DUMMYFUNCTION("""COMPUTED_VALUE"""),1.0)</f>
        <v>1</v>
      </c>
      <c r="C287" s="2">
        <f>IFERROR(__xludf.DUMMYFUNCTION("""COMPUTED_VALUE"""),822.0)</f>
        <v>822</v>
      </c>
      <c r="D287" s="3">
        <f>IFERROR(__xludf.DUMMYFUNCTION("""COMPUTED_VALUE"""),58.0)</f>
        <v>58</v>
      </c>
      <c r="E287" s="1" t="str">
        <f t="array" ref="E287">_xlfn.XLOOKUP(A287,Product!A:A,Product!B:B,"Bulunamadı")</f>
        <v>Tech</v>
      </c>
      <c r="F287" s="1" t="str">
        <f t="array" ref="F287">_xlfn.XLOOKUP(A287,Product!A:A,Product!C:C,"Bulunamadı")</f>
        <v>Paranormal</v>
      </c>
      <c r="G287" s="2" t="str">
        <f t="array" ref="G287">_xlfn.XLOOKUP(A288,Product!A:A,Product!D:D,"Bulunamadı")</f>
        <v>Lakeside Publishing</v>
      </c>
      <c r="H287" s="2">
        <f t="array" ref="H287">_xlfn.XLOOKUP(A289,Product!A:A,Product!E:E,"Bulunamadı")</f>
        <v>5.43</v>
      </c>
      <c r="I287" s="2" t="str">
        <f t="shared" si="1"/>
        <v>11422 - Tech - Paranormal</v>
      </c>
      <c r="J287" s="2">
        <f t="shared" si="2"/>
        <v>314.94</v>
      </c>
      <c r="K287" s="17">
        <f t="shared" si="3"/>
        <v>1</v>
      </c>
      <c r="L287" s="18"/>
    </row>
    <row r="288" hidden="1">
      <c r="A288" s="2">
        <f>IFERROR(__xludf.DUMMYFUNCTION("""COMPUTED_VALUE"""),4492.0)</f>
        <v>4492</v>
      </c>
      <c r="B288" s="2">
        <f>IFERROR(__xludf.DUMMYFUNCTION("""COMPUTED_VALUE"""),0.0)</f>
        <v>0</v>
      </c>
      <c r="C288" s="2">
        <f>IFERROR(__xludf.DUMMYFUNCTION("""COMPUTED_VALUE"""),816.0)</f>
        <v>816</v>
      </c>
      <c r="D288" s="3">
        <f>IFERROR(__xludf.DUMMYFUNCTION("""COMPUTED_VALUE"""),571.0)</f>
        <v>571</v>
      </c>
      <c r="E288" s="1" t="str">
        <f t="array" ref="E288">_xlfn.XLOOKUP(A288,Product!A:A,Product!B:B,"Bulunamadı")</f>
        <v>Tech</v>
      </c>
      <c r="F288" s="1" t="str">
        <f t="array" ref="F288">_xlfn.XLOOKUP(A288,Product!A:A,Product!C:C,"Bulunamadı")</f>
        <v>Paranormal</v>
      </c>
      <c r="G288" s="2" t="str">
        <f t="array" ref="G288">_xlfn.XLOOKUP(A289,Product!A:A,Product!D:D,"Bulunamadı")</f>
        <v>Lakeside Publishing</v>
      </c>
      <c r="H288" s="2">
        <f t="array" ref="H288">_xlfn.XLOOKUP(A290,Product!A:A,Product!E:E,"Bulunamadı")</f>
        <v>2.26</v>
      </c>
      <c r="I288" s="2" t="str">
        <f t="shared" si="1"/>
        <v>4492 - Tech - Paranormal</v>
      </c>
      <c r="J288" s="2">
        <f t="shared" si="2"/>
        <v>1290.46</v>
      </c>
      <c r="K288" s="17">
        <f t="shared" si="3"/>
        <v>1</v>
      </c>
      <c r="L288" s="18"/>
    </row>
    <row r="289" hidden="1">
      <c r="A289" s="2">
        <f>IFERROR(__xludf.DUMMYFUNCTION("""COMPUTED_VALUE"""),4560.0)</f>
        <v>4560</v>
      </c>
      <c r="B289" s="2">
        <f>IFERROR(__xludf.DUMMYFUNCTION("""COMPUTED_VALUE"""),0.0)</f>
        <v>0</v>
      </c>
      <c r="C289" s="2">
        <f>IFERROR(__xludf.DUMMYFUNCTION("""COMPUTED_VALUE"""),541.0)</f>
        <v>541</v>
      </c>
      <c r="D289" s="3">
        <f>IFERROR(__xludf.DUMMYFUNCTION("""COMPUTED_VALUE"""),192.0)</f>
        <v>192</v>
      </c>
      <c r="E289" s="1" t="str">
        <f t="array" ref="E289">_xlfn.XLOOKUP(A289,Product!A:A,Product!B:B,"Bulunamadı")</f>
        <v>Tech</v>
      </c>
      <c r="F289" s="1" t="str">
        <f t="array" ref="F289">_xlfn.XLOOKUP(A289,Product!A:A,Product!C:C,"Bulunamadı")</f>
        <v>Paranormal</v>
      </c>
      <c r="G289" s="2" t="str">
        <f t="array" ref="G289">_xlfn.XLOOKUP(A290,Product!A:A,Product!D:D,"Bulunamadı")</f>
        <v>Lakeside Publishing</v>
      </c>
      <c r="H289" s="2">
        <f t="array" ref="H289">_xlfn.XLOOKUP(A291,Product!A:A,Product!E:E,"Bulunamadı")</f>
        <v>3.67</v>
      </c>
      <c r="I289" s="2" t="str">
        <f t="shared" si="1"/>
        <v>4560 - Tech - Paranormal</v>
      </c>
      <c r="J289" s="2">
        <f t="shared" si="2"/>
        <v>704.64</v>
      </c>
      <c r="K289" s="17">
        <f t="shared" si="3"/>
        <v>1</v>
      </c>
      <c r="L289" s="18"/>
    </row>
    <row r="290" hidden="1">
      <c r="A290" s="2">
        <f>IFERROR(__xludf.DUMMYFUNCTION("""COMPUTED_VALUE"""),110383.0)</f>
        <v>110383</v>
      </c>
      <c r="B290" s="2">
        <f>IFERROR(__xludf.DUMMYFUNCTION("""COMPUTED_VALUE"""),1.0)</f>
        <v>1</v>
      </c>
      <c r="C290" s="2">
        <f>IFERROR(__xludf.DUMMYFUNCTION("""COMPUTED_VALUE"""),518.0)</f>
        <v>518</v>
      </c>
      <c r="D290" s="3">
        <f>IFERROR(__xludf.DUMMYFUNCTION("""COMPUTED_VALUE"""),57.0)</f>
        <v>57</v>
      </c>
      <c r="E290" s="1" t="str">
        <f t="array" ref="E290">_xlfn.XLOOKUP(A290,Product!A:A,Product!B:B,"Bulunamadı")</f>
        <v>Tech</v>
      </c>
      <c r="F290" s="1" t="str">
        <f t="array" ref="F290">_xlfn.XLOOKUP(A290,Product!A:A,Product!C:C,"Bulunamadı")</f>
        <v>Paranormal</v>
      </c>
      <c r="G290" s="2" t="str">
        <f t="array" ref="G290">_xlfn.XLOOKUP(A291,Product!A:A,Product!D:D,"Bulunamadı")</f>
        <v>Lakeside Publishing</v>
      </c>
      <c r="H290" s="2">
        <f t="array" ref="H290">_xlfn.XLOOKUP(A292,Product!A:A,Product!E:E,"Bulunamadı")</f>
        <v>3.45</v>
      </c>
      <c r="I290" s="2" t="str">
        <f t="shared" si="1"/>
        <v>110383 - Tech - Paranormal</v>
      </c>
      <c r="J290" s="2">
        <f t="shared" si="2"/>
        <v>196.65</v>
      </c>
      <c r="K290" s="17">
        <f t="shared" si="3"/>
        <v>1</v>
      </c>
      <c r="L290" s="18"/>
    </row>
    <row r="291" hidden="1">
      <c r="A291" s="2">
        <f>IFERROR(__xludf.DUMMYFUNCTION("""COMPUTED_VALUE"""),112850.0)</f>
        <v>112850</v>
      </c>
      <c r="B291" s="2">
        <f>IFERROR(__xludf.DUMMYFUNCTION("""COMPUTED_VALUE"""),1.0)</f>
        <v>1</v>
      </c>
      <c r="C291" s="2">
        <f>IFERROR(__xludf.DUMMYFUNCTION("""COMPUTED_VALUE"""),410.0)</f>
        <v>410</v>
      </c>
      <c r="D291" s="3">
        <f>IFERROR(__xludf.DUMMYFUNCTION("""COMPUTED_VALUE"""),235.0)</f>
        <v>235</v>
      </c>
      <c r="E291" s="1" t="str">
        <f t="array" ref="E291">_xlfn.XLOOKUP(A291,Product!A:A,Product!B:B,"Bulunamadı")</f>
        <v>Tech</v>
      </c>
      <c r="F291" s="1" t="str">
        <f t="array" ref="F291">_xlfn.XLOOKUP(A291,Product!A:A,Product!C:C,"Bulunamadı")</f>
        <v>Paranormal</v>
      </c>
      <c r="G291" s="2" t="str">
        <f t="array" ref="G291">_xlfn.XLOOKUP(A292,Product!A:A,Product!D:D,"Bulunamadı")</f>
        <v>Lakeside Publishing</v>
      </c>
      <c r="H291" s="2">
        <f t="array" ref="H291">_xlfn.XLOOKUP(A293,Product!A:A,Product!E:E,"Bulunamadı")</f>
        <v>6.12</v>
      </c>
      <c r="I291" s="2" t="str">
        <f t="shared" si="1"/>
        <v>112850 - Tech - Paranormal</v>
      </c>
      <c r="J291" s="2">
        <f t="shared" si="2"/>
        <v>1438.2</v>
      </c>
      <c r="K291" s="17">
        <f t="shared" si="3"/>
        <v>1</v>
      </c>
      <c r="L291" s="18"/>
    </row>
    <row r="292" hidden="1">
      <c r="A292" s="2">
        <f>IFERROR(__xludf.DUMMYFUNCTION("""COMPUTED_VALUE"""),120702.0)</f>
        <v>120702</v>
      </c>
      <c r="B292" s="2">
        <f>IFERROR(__xludf.DUMMYFUNCTION("""COMPUTED_VALUE"""),1.0)</f>
        <v>1</v>
      </c>
      <c r="C292" s="2">
        <f>IFERROR(__xludf.DUMMYFUNCTION("""COMPUTED_VALUE"""),161.0)</f>
        <v>161</v>
      </c>
      <c r="D292" s="3">
        <f>IFERROR(__xludf.DUMMYFUNCTION("""COMPUTED_VALUE"""),137.0)</f>
        <v>137</v>
      </c>
      <c r="E292" s="1" t="str">
        <f t="array" ref="E292">_xlfn.XLOOKUP(A292,Product!A:A,Product!B:B,"Bulunamadı")</f>
        <v>Tech</v>
      </c>
      <c r="F292" s="1" t="str">
        <f t="array" ref="F292">_xlfn.XLOOKUP(A292,Product!A:A,Product!C:C,"Bulunamadı")</f>
        <v>Paranormal</v>
      </c>
      <c r="G292" s="2" t="str">
        <f t="array" ref="G292">_xlfn.XLOOKUP(A293,Product!A:A,Product!D:D,"Bulunamadı")</f>
        <v>Lakeside Publishing</v>
      </c>
      <c r="H292" s="2">
        <f t="array" ref="H292">_xlfn.XLOOKUP(A294,Product!A:A,Product!E:E,"Bulunamadı")</f>
        <v>5.07</v>
      </c>
      <c r="I292" s="2" t="str">
        <f t="shared" si="1"/>
        <v>120702 - Tech - Paranormal</v>
      </c>
      <c r="J292" s="2">
        <f t="shared" si="2"/>
        <v>694.59</v>
      </c>
      <c r="K292" s="17">
        <f t="shared" si="3"/>
        <v>1</v>
      </c>
      <c r="L292" s="18"/>
    </row>
    <row r="293" hidden="1">
      <c r="A293" s="2">
        <f>IFERROR(__xludf.DUMMYFUNCTION("""COMPUTED_VALUE"""),91860.0)</f>
        <v>91860</v>
      </c>
      <c r="B293" s="2">
        <f>IFERROR(__xludf.DUMMYFUNCTION("""COMPUTED_VALUE"""),0.0)</f>
        <v>0</v>
      </c>
      <c r="C293" s="2">
        <f>IFERROR(__xludf.DUMMYFUNCTION("""COMPUTED_VALUE"""),875.0)</f>
        <v>875</v>
      </c>
      <c r="D293" s="3">
        <f>IFERROR(__xludf.DUMMYFUNCTION("""COMPUTED_VALUE"""),129.0)</f>
        <v>129</v>
      </c>
      <c r="E293" s="1" t="str">
        <f t="array" ref="E293">_xlfn.XLOOKUP(A293,Product!A:A,Product!B:B,"Bulunamadı")</f>
        <v>Tech</v>
      </c>
      <c r="F293" s="1" t="str">
        <f t="array" ref="F293">_xlfn.XLOOKUP(A293,Product!A:A,Product!C:C,"Bulunamadı")</f>
        <v>Paranormal</v>
      </c>
      <c r="G293" s="2" t="str">
        <f t="array" ref="G293">_xlfn.XLOOKUP(A294,Product!A:A,Product!D:D,"Bulunamadı")</f>
        <v>Lakeside Publishing</v>
      </c>
      <c r="H293" s="2">
        <f t="array" ref="H293">_xlfn.XLOOKUP(A295,Product!A:A,Product!E:E,"Bulunamadı")</f>
        <v>6.33</v>
      </c>
      <c r="I293" s="2" t="str">
        <f t="shared" si="1"/>
        <v>91860 - Tech - Paranormal</v>
      </c>
      <c r="J293" s="2">
        <f t="shared" si="2"/>
        <v>816.57</v>
      </c>
      <c r="K293" s="17">
        <f t="shared" si="3"/>
        <v>1</v>
      </c>
      <c r="L293" s="18"/>
    </row>
    <row r="294" hidden="1">
      <c r="A294" s="2">
        <f>IFERROR(__xludf.DUMMYFUNCTION("""COMPUTED_VALUE"""),9716.0)</f>
        <v>9716</v>
      </c>
      <c r="B294" s="2">
        <f>IFERROR(__xludf.DUMMYFUNCTION("""COMPUTED_VALUE"""),0.0)</f>
        <v>0</v>
      </c>
      <c r="C294" s="2">
        <f>IFERROR(__xludf.DUMMYFUNCTION("""COMPUTED_VALUE"""),256.0)</f>
        <v>256</v>
      </c>
      <c r="D294" s="3">
        <f>IFERROR(__xludf.DUMMYFUNCTION("""COMPUTED_VALUE"""),209.0)</f>
        <v>209</v>
      </c>
      <c r="E294" s="1" t="str">
        <f t="array" ref="E294">_xlfn.XLOOKUP(A294,Product!A:A,Product!B:B,"Bulunamadı")</f>
        <v>Tech</v>
      </c>
      <c r="F294" s="1" t="str">
        <f t="array" ref="F294">_xlfn.XLOOKUP(A294,Product!A:A,Product!C:C,"Bulunamadı")</f>
        <v>Paranormal</v>
      </c>
      <c r="G294" s="2" t="str">
        <f t="array" ref="G294">_xlfn.XLOOKUP(A295,Product!A:A,Product!D:D,"Bulunamadı")</f>
        <v>Lakeside Publishing</v>
      </c>
      <c r="H294" s="2">
        <f t="array" ref="H294">_xlfn.XLOOKUP(A296,Product!A:A,Product!E:E,"Bulunamadı")</f>
        <v>4.03</v>
      </c>
      <c r="I294" s="2" t="str">
        <f t="shared" si="1"/>
        <v>9716 - Tech - Paranormal</v>
      </c>
      <c r="J294" s="2">
        <f t="shared" si="2"/>
        <v>842.27</v>
      </c>
      <c r="K294" s="17">
        <f t="shared" si="3"/>
        <v>1</v>
      </c>
      <c r="L294" s="18"/>
    </row>
    <row r="295" hidden="1">
      <c r="A295" s="2">
        <f>IFERROR(__xludf.DUMMYFUNCTION("""COMPUTED_VALUE"""),77135.0)</f>
        <v>77135</v>
      </c>
      <c r="B295" s="2">
        <f>IFERROR(__xludf.DUMMYFUNCTION("""COMPUTED_VALUE"""),0.0)</f>
        <v>0</v>
      </c>
      <c r="C295" s="2">
        <f>IFERROR(__xludf.DUMMYFUNCTION("""COMPUTED_VALUE"""),108.0)</f>
        <v>108</v>
      </c>
      <c r="D295" s="3">
        <f>IFERROR(__xludf.DUMMYFUNCTION("""COMPUTED_VALUE"""),100.0)</f>
        <v>100</v>
      </c>
      <c r="E295" s="1" t="str">
        <f t="array" ref="E295">_xlfn.XLOOKUP(A295,Product!A:A,Product!B:B,"Bulunamadı")</f>
        <v>Tech</v>
      </c>
      <c r="F295" s="1" t="str">
        <f t="array" ref="F295">_xlfn.XLOOKUP(A295,Product!A:A,Product!C:C,"Bulunamadı")</f>
        <v>Paranormal</v>
      </c>
      <c r="G295" s="2" t="str">
        <f t="array" ref="G295">_xlfn.XLOOKUP(A296,Product!A:A,Product!D:D,"Bulunamadı")</f>
        <v>Lakeside Publishing</v>
      </c>
      <c r="H295" s="2">
        <f t="array" ref="H295">_xlfn.XLOOKUP(A297,Product!A:A,Product!E:E,"Bulunamadı")</f>
        <v>6.19</v>
      </c>
      <c r="I295" s="2" t="str">
        <f t="shared" si="1"/>
        <v>77135 - Tech - Paranormal</v>
      </c>
      <c r="J295" s="2">
        <f t="shared" si="2"/>
        <v>619</v>
      </c>
      <c r="K295" s="17">
        <f t="shared" si="3"/>
        <v>1</v>
      </c>
      <c r="L295" s="18"/>
    </row>
    <row r="296" hidden="1">
      <c r="A296" s="2">
        <f>IFERROR(__xludf.DUMMYFUNCTION("""COMPUTED_VALUE"""),91857.0)</f>
        <v>91857</v>
      </c>
      <c r="B296" s="2">
        <f>IFERROR(__xludf.DUMMYFUNCTION("""COMPUTED_VALUE"""),1.0)</f>
        <v>1</v>
      </c>
      <c r="C296" s="2">
        <f>IFERROR(__xludf.DUMMYFUNCTION("""COMPUTED_VALUE"""),67.0)</f>
        <v>67</v>
      </c>
      <c r="D296" s="3">
        <f>IFERROR(__xludf.DUMMYFUNCTION("""COMPUTED_VALUE"""),22.0)</f>
        <v>22</v>
      </c>
      <c r="E296" s="1" t="str">
        <f t="array" ref="E296">_xlfn.XLOOKUP(A296,Product!A:A,Product!B:B,"Bulunamadı")</f>
        <v>Tech</v>
      </c>
      <c r="F296" s="1" t="str">
        <f t="array" ref="F296">_xlfn.XLOOKUP(A296,Product!A:A,Product!C:C,"Bulunamadı")</f>
        <v>Paranormal</v>
      </c>
      <c r="G296" s="2" t="str">
        <f t="array" ref="G296">_xlfn.XLOOKUP(A297,Product!A:A,Product!D:D,"Bulunamadı")</f>
        <v>Lakeside Publishing</v>
      </c>
      <c r="H296" s="2">
        <f t="array" ref="H296">_xlfn.XLOOKUP(A298,Product!A:A,Product!E:E,"Bulunamadı")</f>
        <v>5.19</v>
      </c>
      <c r="I296" s="2" t="str">
        <f t="shared" si="1"/>
        <v>91857 - Tech - Paranormal</v>
      </c>
      <c r="J296" s="2">
        <f t="shared" si="2"/>
        <v>114.18</v>
      </c>
      <c r="K296" s="17">
        <f t="shared" si="3"/>
        <v>1</v>
      </c>
      <c r="L296" s="18"/>
    </row>
    <row r="297" hidden="1">
      <c r="A297" s="2">
        <f>IFERROR(__xludf.DUMMYFUNCTION("""COMPUTED_VALUE"""),76429.0)</f>
        <v>76429</v>
      </c>
      <c r="B297" s="2">
        <f>IFERROR(__xludf.DUMMYFUNCTION("""COMPUTED_VALUE"""),0.0)</f>
        <v>0</v>
      </c>
      <c r="C297" s="2">
        <f>IFERROR(__xludf.DUMMYFUNCTION("""COMPUTED_VALUE"""),518.0)</f>
        <v>518</v>
      </c>
      <c r="D297" s="3">
        <f>IFERROR(__xludf.DUMMYFUNCTION("""COMPUTED_VALUE"""),381.0)</f>
        <v>381</v>
      </c>
      <c r="E297" s="1" t="str">
        <f t="array" ref="E297">_xlfn.XLOOKUP(A297,Product!A:A,Product!B:B,"Bulunamadı")</f>
        <v>Tech</v>
      </c>
      <c r="F297" s="1" t="str">
        <f t="array" ref="F297">_xlfn.XLOOKUP(A297,Product!A:A,Product!C:C,"Bulunamadı")</f>
        <v>Paranormal</v>
      </c>
      <c r="G297" s="2" t="str">
        <f t="array" ref="G297">_xlfn.XLOOKUP(A298,Product!A:A,Product!D:D,"Bulunamadı")</f>
        <v>Forest Gate Books</v>
      </c>
      <c r="H297" s="2">
        <f t="array" ref="H297">_xlfn.XLOOKUP(A299,Product!A:A,Product!E:E,"Bulunamadı")</f>
        <v>4.53</v>
      </c>
      <c r="I297" s="2" t="str">
        <f t="shared" si="1"/>
        <v>76429 - Tech - Paranormal</v>
      </c>
      <c r="J297" s="2">
        <f t="shared" si="2"/>
        <v>1725.93</v>
      </c>
      <c r="K297" s="17">
        <f t="shared" si="3"/>
        <v>1</v>
      </c>
      <c r="L297" s="18"/>
    </row>
    <row r="298" hidden="1">
      <c r="A298" s="2">
        <f>IFERROR(__xludf.DUMMYFUNCTION("""COMPUTED_VALUE"""),122507.0)</f>
        <v>122507</v>
      </c>
      <c r="B298" s="2">
        <f>IFERROR(__xludf.DUMMYFUNCTION("""COMPUTED_VALUE"""),0.0)</f>
        <v>0</v>
      </c>
      <c r="C298" s="2">
        <f>IFERROR(__xludf.DUMMYFUNCTION("""COMPUTED_VALUE"""),758.0)</f>
        <v>758</v>
      </c>
      <c r="D298" s="3">
        <f>IFERROR(__xludf.DUMMYFUNCTION("""COMPUTED_VALUE"""),31.0)</f>
        <v>31</v>
      </c>
      <c r="E298" s="1" t="str">
        <f t="array" ref="E298">_xlfn.XLOOKUP(A298,Product!A:A,Product!B:B,"Bulunamadı")</f>
        <v>Tech</v>
      </c>
      <c r="F298" s="1" t="str">
        <f t="array" ref="F298">_xlfn.XLOOKUP(A298,Product!A:A,Product!C:C,"Bulunamadı")</f>
        <v>Paranormal</v>
      </c>
      <c r="G298" s="2" t="str">
        <f t="array" ref="G298">_xlfn.XLOOKUP(A299,Product!A:A,Product!D:D,"Bulunamadı")</f>
        <v>Forest Gate Books</v>
      </c>
      <c r="H298" s="2">
        <f t="array" ref="H298">_xlfn.XLOOKUP(A300,Product!A:A,Product!E:E,"Bulunamadı")</f>
        <v>7.77</v>
      </c>
      <c r="I298" s="2" t="str">
        <f t="shared" si="1"/>
        <v>122507 - Tech - Paranormal</v>
      </c>
      <c r="J298" s="2">
        <f t="shared" si="2"/>
        <v>240.87</v>
      </c>
      <c r="K298" s="17">
        <f t="shared" si="3"/>
        <v>1</v>
      </c>
      <c r="L298" s="18"/>
    </row>
    <row r="299" hidden="1">
      <c r="A299" s="2">
        <f>IFERROR(__xludf.DUMMYFUNCTION("""COMPUTED_VALUE"""),77844.0)</f>
        <v>77844</v>
      </c>
      <c r="B299" s="2">
        <f>IFERROR(__xludf.DUMMYFUNCTION("""COMPUTED_VALUE"""),0.0)</f>
        <v>0</v>
      </c>
      <c r="C299" s="2">
        <f>IFERROR(__xludf.DUMMYFUNCTION("""COMPUTED_VALUE"""),347.0)</f>
        <v>347</v>
      </c>
      <c r="D299" s="3">
        <f>IFERROR(__xludf.DUMMYFUNCTION("""COMPUTED_VALUE"""),255.0)</f>
        <v>255</v>
      </c>
      <c r="E299" s="1" t="str">
        <f t="array" ref="E299">_xlfn.XLOOKUP(A299,Product!A:A,Product!B:B,"Bulunamadı")</f>
        <v>Tech</v>
      </c>
      <c r="F299" s="1" t="str">
        <f t="array" ref="F299">_xlfn.XLOOKUP(A299,Product!A:A,Product!C:C,"Bulunamadı")</f>
        <v>Paranormal</v>
      </c>
      <c r="G299" s="2" t="str">
        <f t="array" ref="G299">_xlfn.XLOOKUP(A300,Product!A:A,Product!D:D,"Bulunamadı")</f>
        <v>Forest Gate Books</v>
      </c>
      <c r="H299" s="2">
        <f t="array" ref="H299">_xlfn.XLOOKUP(A301,Product!A:A,Product!E:E,"Bulunamadı")</f>
        <v>5.56</v>
      </c>
      <c r="I299" s="2" t="str">
        <f t="shared" si="1"/>
        <v>77844 - Tech - Paranormal</v>
      </c>
      <c r="J299" s="2">
        <f t="shared" si="2"/>
        <v>1417.8</v>
      </c>
      <c r="K299" s="17">
        <f t="shared" si="3"/>
        <v>1</v>
      </c>
      <c r="L299" s="18"/>
    </row>
    <row r="300" hidden="1">
      <c r="A300" s="2">
        <f>IFERROR(__xludf.DUMMYFUNCTION("""COMPUTED_VALUE"""),100041.0)</f>
        <v>100041</v>
      </c>
      <c r="B300" s="2">
        <f>IFERROR(__xludf.DUMMYFUNCTION("""COMPUTED_VALUE"""),0.0)</f>
        <v>0</v>
      </c>
      <c r="C300" s="2">
        <f>IFERROR(__xludf.DUMMYFUNCTION("""COMPUTED_VALUE"""),778.0)</f>
        <v>778</v>
      </c>
      <c r="D300" s="3">
        <f>IFERROR(__xludf.DUMMYFUNCTION("""COMPUTED_VALUE"""),526.0)</f>
        <v>526</v>
      </c>
      <c r="E300" s="1" t="str">
        <f t="array" ref="E300">_xlfn.XLOOKUP(A300,Product!A:A,Product!B:B,"Bulunamadı")</f>
        <v>Tech</v>
      </c>
      <c r="F300" s="1" t="str">
        <f t="array" ref="F300">_xlfn.XLOOKUP(A300,Product!A:A,Product!C:C,"Bulunamadı")</f>
        <v>Paranormal</v>
      </c>
      <c r="G300" s="2" t="str">
        <f t="array" ref="G300">_xlfn.XLOOKUP(A301,Product!A:A,Product!D:D,"Bulunamadı")</f>
        <v>Forest Gate Books</v>
      </c>
      <c r="H300" s="2">
        <f t="array" ref="H300">_xlfn.XLOOKUP(A302,Product!A:A,Product!E:E,"Bulunamadı")</f>
        <v>3.17</v>
      </c>
      <c r="I300" s="2" t="str">
        <f t="shared" si="1"/>
        <v>100041 - Tech - Paranormal</v>
      </c>
      <c r="J300" s="2">
        <f t="shared" si="2"/>
        <v>1667.42</v>
      </c>
      <c r="K300" s="17">
        <f t="shared" si="3"/>
        <v>1</v>
      </c>
      <c r="L300" s="18"/>
    </row>
    <row r="301" hidden="1">
      <c r="A301" s="2">
        <f>IFERROR(__xludf.DUMMYFUNCTION("""COMPUTED_VALUE"""),111591.0)</f>
        <v>111591</v>
      </c>
      <c r="B301" s="2">
        <f>IFERROR(__xludf.DUMMYFUNCTION("""COMPUTED_VALUE"""),0.0)</f>
        <v>0</v>
      </c>
      <c r="C301" s="2">
        <f>IFERROR(__xludf.DUMMYFUNCTION("""COMPUTED_VALUE"""),982.0)</f>
        <v>982</v>
      </c>
      <c r="D301" s="3">
        <f>IFERROR(__xludf.DUMMYFUNCTION("""COMPUTED_VALUE"""),241.0)</f>
        <v>241</v>
      </c>
      <c r="E301" s="1" t="str">
        <f t="array" ref="E301">_xlfn.XLOOKUP(A301,Product!A:A,Product!B:B,"Bulunamadı")</f>
        <v>Tech</v>
      </c>
      <c r="F301" s="1" t="str">
        <f t="array" ref="F301">_xlfn.XLOOKUP(A301,Product!A:A,Product!C:C,"Bulunamadı")</f>
        <v>Paranormal</v>
      </c>
      <c r="G301" s="2" t="str">
        <f t="array" ref="G301">_xlfn.XLOOKUP(A302,Product!A:A,Product!D:D,"Bulunamadı")</f>
        <v>Forest Gate Books</v>
      </c>
      <c r="H301" s="2">
        <f t="array" ref="H301">_xlfn.XLOOKUP(A303,Product!A:A,Product!E:E,"Bulunamadı")</f>
        <v>2.66</v>
      </c>
      <c r="I301" s="2" t="str">
        <f t="shared" si="1"/>
        <v>111591 - Tech - Paranormal</v>
      </c>
      <c r="J301" s="2">
        <f t="shared" si="2"/>
        <v>641.06</v>
      </c>
      <c r="K301" s="17">
        <f t="shared" si="3"/>
        <v>1</v>
      </c>
      <c r="L301" s="18"/>
    </row>
    <row r="302" hidden="1">
      <c r="A302" s="2">
        <f>IFERROR(__xludf.DUMMYFUNCTION("""COMPUTED_VALUE"""),128329.0)</f>
        <v>128329</v>
      </c>
      <c r="B302" s="2">
        <f>IFERROR(__xludf.DUMMYFUNCTION("""COMPUTED_VALUE"""),1.0)</f>
        <v>1</v>
      </c>
      <c r="C302" s="2">
        <f>IFERROR(__xludf.DUMMYFUNCTION("""COMPUTED_VALUE"""),158.0)</f>
        <v>158</v>
      </c>
      <c r="D302" s="3">
        <f>IFERROR(__xludf.DUMMYFUNCTION("""COMPUTED_VALUE"""),152.0)</f>
        <v>152</v>
      </c>
      <c r="E302" s="1" t="str">
        <f t="array" ref="E302">_xlfn.XLOOKUP(A302,Product!A:A,Product!B:B,"Bulunamadı")</f>
        <v>Tech</v>
      </c>
      <c r="F302" s="1" t="str">
        <f t="array" ref="F302">_xlfn.XLOOKUP(A302,Product!A:A,Product!C:C,"Bulunamadı")</f>
        <v>Paranormal</v>
      </c>
      <c r="G302" s="2" t="str">
        <f t="array" ref="G302">_xlfn.XLOOKUP(A303,Product!A:A,Product!D:D,"Bulunamadı")</f>
        <v>Forest Gate Books</v>
      </c>
      <c r="H302" s="2">
        <f t="array" ref="H302">_xlfn.XLOOKUP(A304,Product!A:A,Product!E:E,"Bulunamadı")</f>
        <v>2.85</v>
      </c>
      <c r="I302" s="2" t="str">
        <f t="shared" si="1"/>
        <v>128329 - Tech - Paranormal</v>
      </c>
      <c r="J302" s="2">
        <f t="shared" si="2"/>
        <v>433.2</v>
      </c>
      <c r="K302" s="17">
        <f t="shared" si="3"/>
        <v>1</v>
      </c>
      <c r="L302" s="18"/>
    </row>
    <row r="303" hidden="1">
      <c r="A303" s="2">
        <f>IFERROR(__xludf.DUMMYFUNCTION("""COMPUTED_VALUE"""),147268.0)</f>
        <v>147268</v>
      </c>
      <c r="B303" s="2">
        <f>IFERROR(__xludf.DUMMYFUNCTION("""COMPUTED_VALUE"""),0.0)</f>
        <v>0</v>
      </c>
      <c r="C303" s="2">
        <f>IFERROR(__xludf.DUMMYFUNCTION("""COMPUTED_VALUE"""),574.0)</f>
        <v>574</v>
      </c>
      <c r="D303" s="3">
        <f>IFERROR(__xludf.DUMMYFUNCTION("""COMPUTED_VALUE"""),363.0)</f>
        <v>363</v>
      </c>
      <c r="E303" s="1" t="str">
        <f t="array" ref="E303">_xlfn.XLOOKUP(A303,Product!A:A,Product!B:B,"Bulunamadı")</f>
        <v>Tech</v>
      </c>
      <c r="F303" s="1" t="str">
        <f t="array" ref="F303">_xlfn.XLOOKUP(A303,Product!A:A,Product!C:C,"Bulunamadı")</f>
        <v>Paranormal</v>
      </c>
      <c r="G303" s="2" t="str">
        <f t="array" ref="G303">_xlfn.XLOOKUP(A304,Product!A:A,Product!D:D,"Bulunamadı")</f>
        <v>Forest Gate Books</v>
      </c>
      <c r="H303" s="2">
        <f t="array" ref="H303">_xlfn.XLOOKUP(A305,Product!A:A,Product!E:E,"Bulunamadı")</f>
        <v>10.34</v>
      </c>
      <c r="I303" s="2" t="str">
        <f t="shared" si="1"/>
        <v>147268 - Tech - Paranormal</v>
      </c>
      <c r="J303" s="2">
        <f t="shared" si="2"/>
        <v>3753.42</v>
      </c>
      <c r="K303" s="17">
        <f t="shared" si="3"/>
        <v>1</v>
      </c>
      <c r="L303" s="18"/>
    </row>
    <row r="304" hidden="1">
      <c r="A304" s="2">
        <f>IFERROR(__xludf.DUMMYFUNCTION("""COMPUTED_VALUE"""),48511.0)</f>
        <v>48511</v>
      </c>
      <c r="B304" s="2">
        <f>IFERROR(__xludf.DUMMYFUNCTION("""COMPUTED_VALUE"""),1.0)</f>
        <v>1</v>
      </c>
      <c r="C304" s="2">
        <f>IFERROR(__xludf.DUMMYFUNCTION("""COMPUTED_VALUE"""),881.0)</f>
        <v>881</v>
      </c>
      <c r="D304" s="3">
        <f>IFERROR(__xludf.DUMMYFUNCTION("""COMPUTED_VALUE"""),328.0)</f>
        <v>328</v>
      </c>
      <c r="E304" s="1" t="str">
        <f t="array" ref="E304">_xlfn.XLOOKUP(A304,Product!A:A,Product!B:B,"Bulunamadı")</f>
        <v>Tech</v>
      </c>
      <c r="F304" s="1" t="str">
        <f t="array" ref="F304">_xlfn.XLOOKUP(A304,Product!A:A,Product!C:C,"Bulunamadı")</f>
        <v>Paranormal</v>
      </c>
      <c r="G304" s="2" t="str">
        <f t="array" ref="G304">_xlfn.XLOOKUP(A305,Product!A:A,Product!D:D,"Bulunamadı")</f>
        <v>Forest Gate Books</v>
      </c>
      <c r="H304" s="2">
        <f t="array" ref="H304">_xlfn.XLOOKUP(A306,Product!A:A,Product!E:E,"Bulunamadı")</f>
        <v>2.71</v>
      </c>
      <c r="I304" s="2" t="str">
        <f t="shared" si="1"/>
        <v>48511 - Tech - Paranormal</v>
      </c>
      <c r="J304" s="2">
        <f t="shared" si="2"/>
        <v>888.88</v>
      </c>
      <c r="K304" s="17">
        <f t="shared" si="3"/>
        <v>1</v>
      </c>
      <c r="L304" s="18"/>
    </row>
    <row r="305" hidden="1">
      <c r="A305" s="2">
        <f>IFERROR(__xludf.DUMMYFUNCTION("""COMPUTED_VALUE"""),100040.0)</f>
        <v>100040</v>
      </c>
      <c r="B305" s="2">
        <f>IFERROR(__xludf.DUMMYFUNCTION("""COMPUTED_VALUE"""),0.0)</f>
        <v>0</v>
      </c>
      <c r="C305" s="2">
        <f>IFERROR(__xludf.DUMMYFUNCTION("""COMPUTED_VALUE"""),722.0)</f>
        <v>722</v>
      </c>
      <c r="D305" s="3">
        <f>IFERROR(__xludf.DUMMYFUNCTION("""COMPUTED_VALUE"""),165.0)</f>
        <v>165</v>
      </c>
      <c r="E305" s="1" t="str">
        <f t="array" ref="E305">_xlfn.XLOOKUP(A305,Product!A:A,Product!B:B,"Bulunamadı")</f>
        <v>Tech</v>
      </c>
      <c r="F305" s="1" t="str">
        <f t="array" ref="F305">_xlfn.XLOOKUP(A305,Product!A:A,Product!C:C,"Bulunamadı")</f>
        <v>Paranormal</v>
      </c>
      <c r="G305" s="2" t="str">
        <f t="array" ref="G305">_xlfn.XLOOKUP(A306,Product!A:A,Product!D:D,"Bulunamadı")</f>
        <v>Forest Gate Books</v>
      </c>
      <c r="H305" s="2">
        <f t="array" ref="H305">_xlfn.XLOOKUP(A307,Product!A:A,Product!E:E,"Bulunamadı")</f>
        <v>4.04</v>
      </c>
      <c r="I305" s="2" t="str">
        <f t="shared" si="1"/>
        <v>100040 - Tech - Paranormal</v>
      </c>
      <c r="J305" s="2">
        <f t="shared" si="2"/>
        <v>666.6</v>
      </c>
      <c r="K305" s="17">
        <f t="shared" si="3"/>
        <v>1</v>
      </c>
      <c r="L305" s="18"/>
    </row>
    <row r="306" hidden="1">
      <c r="A306" s="2">
        <f>IFERROR(__xludf.DUMMYFUNCTION("""COMPUTED_VALUE"""),79366.0)</f>
        <v>79366</v>
      </c>
      <c r="B306" s="2">
        <f>IFERROR(__xludf.DUMMYFUNCTION("""COMPUTED_VALUE"""),0.0)</f>
        <v>0</v>
      </c>
      <c r="C306" s="2">
        <f>IFERROR(__xludf.DUMMYFUNCTION("""COMPUTED_VALUE"""),698.0)</f>
        <v>698</v>
      </c>
      <c r="D306" s="3">
        <f>IFERROR(__xludf.DUMMYFUNCTION("""COMPUTED_VALUE"""),175.0)</f>
        <v>175</v>
      </c>
      <c r="E306" s="1" t="str">
        <f t="array" ref="E306">_xlfn.XLOOKUP(A306,Product!A:A,Product!B:B,"Bulunamadı")</f>
        <v>Tech</v>
      </c>
      <c r="F306" s="1" t="str">
        <f t="array" ref="F306">_xlfn.XLOOKUP(A306,Product!A:A,Product!C:C,"Bulunamadı")</f>
        <v>Paranormal</v>
      </c>
      <c r="G306" s="2" t="str">
        <f t="array" ref="G306">_xlfn.XLOOKUP(A307,Product!A:A,Product!D:D,"Bulunamadı")</f>
        <v>Forest Gate Books</v>
      </c>
      <c r="H306" s="2">
        <f t="array" ref="H306">_xlfn.XLOOKUP(A308,Product!A:A,Product!E:E,"Bulunamadı")</f>
        <v>8.51</v>
      </c>
      <c r="I306" s="2" t="str">
        <f t="shared" si="1"/>
        <v>79366 - Tech - Paranormal</v>
      </c>
      <c r="J306" s="2">
        <f t="shared" si="2"/>
        <v>1489.25</v>
      </c>
      <c r="K306" s="17">
        <f t="shared" si="3"/>
        <v>1</v>
      </c>
      <c r="L306" s="18"/>
    </row>
    <row r="307" hidden="1">
      <c r="A307" s="2">
        <f>IFERROR(__xludf.DUMMYFUNCTION("""COMPUTED_VALUE"""),160754.0)</f>
        <v>160754</v>
      </c>
      <c r="B307" s="2">
        <f>IFERROR(__xludf.DUMMYFUNCTION("""COMPUTED_VALUE"""),1.0)</f>
        <v>1</v>
      </c>
      <c r="C307" s="2">
        <f>IFERROR(__xludf.DUMMYFUNCTION("""COMPUTED_VALUE"""),797.0)</f>
        <v>797</v>
      </c>
      <c r="D307" s="3">
        <f>IFERROR(__xludf.DUMMYFUNCTION("""COMPUTED_VALUE"""),744.0)</f>
        <v>744</v>
      </c>
      <c r="E307" s="1" t="str">
        <f t="array" ref="E307">_xlfn.XLOOKUP(A307,Product!A:A,Product!B:B,"Bulunamadı")</f>
        <v>Tech</v>
      </c>
      <c r="F307" s="1" t="str">
        <f t="array" ref="F307">_xlfn.XLOOKUP(A307,Product!A:A,Product!C:C,"Bulunamadı")</f>
        <v>Paranormal</v>
      </c>
      <c r="G307" s="2" t="str">
        <f t="array" ref="G307">_xlfn.XLOOKUP(A308,Product!A:A,Product!D:D,"Bulunamadı")</f>
        <v>Forest Gate Books</v>
      </c>
      <c r="H307" s="2">
        <f t="array" ref="H307">_xlfn.XLOOKUP(A309,Product!A:A,Product!E:E,"Bulunamadı")</f>
        <v>8.54</v>
      </c>
      <c r="I307" s="2" t="str">
        <f t="shared" si="1"/>
        <v>160754 - Tech - Paranormal</v>
      </c>
      <c r="J307" s="2">
        <f t="shared" si="2"/>
        <v>6353.76</v>
      </c>
      <c r="K307" s="17">
        <f t="shared" si="3"/>
        <v>1</v>
      </c>
      <c r="L307" s="18"/>
    </row>
    <row r="308" hidden="1">
      <c r="A308" s="2">
        <f>IFERROR(__xludf.DUMMYFUNCTION("""COMPUTED_VALUE"""),100038.0)</f>
        <v>100038</v>
      </c>
      <c r="B308" s="2">
        <f>IFERROR(__xludf.DUMMYFUNCTION("""COMPUTED_VALUE"""),0.0)</f>
        <v>0</v>
      </c>
      <c r="C308" s="2">
        <f>IFERROR(__xludf.DUMMYFUNCTION("""COMPUTED_VALUE"""),772.0)</f>
        <v>772</v>
      </c>
      <c r="D308" s="3">
        <f>IFERROR(__xludf.DUMMYFUNCTION("""COMPUTED_VALUE"""),265.0)</f>
        <v>265</v>
      </c>
      <c r="E308" s="1" t="str">
        <f t="array" ref="E308">_xlfn.XLOOKUP(A308,Product!A:A,Product!B:B,"Bulunamadı")</f>
        <v>Tech</v>
      </c>
      <c r="F308" s="1" t="str">
        <f t="array" ref="F308">_xlfn.XLOOKUP(A308,Product!A:A,Product!C:C,"Bulunamadı")</f>
        <v>Paranormal</v>
      </c>
      <c r="G308" s="2" t="str">
        <f t="array" ref="G308">_xlfn.XLOOKUP(A309,Product!A:A,Product!D:D,"Bulunamadı")</f>
        <v>Forest Gate Books</v>
      </c>
      <c r="H308" s="2">
        <f t="array" ref="H308">_xlfn.XLOOKUP(A310,Product!A:A,Product!E:E,"Bulunamadı")</f>
        <v>1.34</v>
      </c>
      <c r="I308" s="2" t="str">
        <f t="shared" si="1"/>
        <v>100038 - Tech - Paranormal</v>
      </c>
      <c r="J308" s="2">
        <f t="shared" si="2"/>
        <v>355.1</v>
      </c>
      <c r="K308" s="17">
        <f t="shared" si="3"/>
        <v>1</v>
      </c>
      <c r="L308" s="18"/>
    </row>
    <row r="309" hidden="1">
      <c r="A309" s="2">
        <f>IFERROR(__xludf.DUMMYFUNCTION("""COMPUTED_VALUE"""),100035.0)</f>
        <v>100035</v>
      </c>
      <c r="B309" s="2">
        <f>IFERROR(__xludf.DUMMYFUNCTION("""COMPUTED_VALUE"""),1.0)</f>
        <v>1</v>
      </c>
      <c r="C309" s="2">
        <f>IFERROR(__xludf.DUMMYFUNCTION("""COMPUTED_VALUE"""),851.0)</f>
        <v>851</v>
      </c>
      <c r="D309" s="3">
        <f>IFERROR(__xludf.DUMMYFUNCTION("""COMPUTED_VALUE"""),435.0)</f>
        <v>435</v>
      </c>
      <c r="E309" s="1" t="str">
        <f t="array" ref="E309">_xlfn.XLOOKUP(A309,Product!A:A,Product!B:B,"Bulunamadı")</f>
        <v>Tech</v>
      </c>
      <c r="F309" s="1" t="str">
        <f t="array" ref="F309">_xlfn.XLOOKUP(A309,Product!A:A,Product!C:C,"Bulunamadı")</f>
        <v>Paranormal</v>
      </c>
      <c r="G309" s="2" t="str">
        <f t="array" ref="G309">_xlfn.XLOOKUP(A310,Product!A:A,Product!D:D,"Bulunamadı")</f>
        <v>Forest Gate Books</v>
      </c>
      <c r="H309" s="2">
        <f t="array" ref="H309">_xlfn.XLOOKUP(A311,Product!A:A,Product!E:E,"Bulunamadı")</f>
        <v>4.33</v>
      </c>
      <c r="I309" s="2" t="str">
        <f t="shared" si="1"/>
        <v>100035 - Tech - Paranormal</v>
      </c>
      <c r="J309" s="2">
        <f t="shared" si="2"/>
        <v>1883.55</v>
      </c>
      <c r="K309" s="17">
        <f t="shared" si="3"/>
        <v>1</v>
      </c>
      <c r="L309" s="18"/>
    </row>
    <row r="310" hidden="1">
      <c r="A310" s="2">
        <f>IFERROR(__xludf.DUMMYFUNCTION("""COMPUTED_VALUE"""),29654.0)</f>
        <v>29654</v>
      </c>
      <c r="B310" s="2">
        <f>IFERROR(__xludf.DUMMYFUNCTION("""COMPUTED_VALUE"""),0.0)</f>
        <v>0</v>
      </c>
      <c r="C310" s="2">
        <f>IFERROR(__xludf.DUMMYFUNCTION("""COMPUTED_VALUE"""),53.0)</f>
        <v>53</v>
      </c>
      <c r="D310" s="3">
        <f>IFERROR(__xludf.DUMMYFUNCTION("""COMPUTED_VALUE"""),24.0)</f>
        <v>24</v>
      </c>
      <c r="E310" s="1" t="str">
        <f t="array" ref="E310">_xlfn.XLOOKUP(A310,Product!A:A,Product!B:B,"Bulunamadı")</f>
        <v>Tech</v>
      </c>
      <c r="F310" s="1" t="str">
        <f t="array" ref="F310">_xlfn.XLOOKUP(A310,Product!A:A,Product!C:C,"Bulunamadı")</f>
        <v>Paranormal</v>
      </c>
      <c r="G310" s="2" t="str">
        <f t="array" ref="G310">_xlfn.XLOOKUP(A311,Product!A:A,Product!D:D,"Bulunamadı")</f>
        <v>Forest Gate Books</v>
      </c>
      <c r="H310" s="2">
        <f t="array" ref="H310">_xlfn.XLOOKUP(A312,Product!A:A,Product!E:E,"Bulunamadı")</f>
        <v>3.43</v>
      </c>
      <c r="I310" s="2" t="str">
        <f t="shared" si="1"/>
        <v>29654 - Tech - Paranormal</v>
      </c>
      <c r="J310" s="2">
        <f t="shared" si="2"/>
        <v>82.32</v>
      </c>
      <c r="K310" s="17">
        <f t="shared" si="3"/>
        <v>1</v>
      </c>
      <c r="L310" s="18"/>
    </row>
    <row r="311" hidden="1">
      <c r="A311" s="2">
        <f>IFERROR(__xludf.DUMMYFUNCTION("""COMPUTED_VALUE"""),107804.0)</f>
        <v>107804</v>
      </c>
      <c r="B311" s="2">
        <f>IFERROR(__xludf.DUMMYFUNCTION("""COMPUTED_VALUE"""),1.0)</f>
        <v>1</v>
      </c>
      <c r="C311" s="2">
        <f>IFERROR(__xludf.DUMMYFUNCTION("""COMPUTED_VALUE"""),338.0)</f>
        <v>338</v>
      </c>
      <c r="D311" s="3">
        <f>IFERROR(__xludf.DUMMYFUNCTION("""COMPUTED_VALUE"""),181.0)</f>
        <v>181</v>
      </c>
      <c r="E311" s="1" t="str">
        <f t="array" ref="E311">_xlfn.XLOOKUP(A311,Product!A:A,Product!B:B,"Bulunamadı")</f>
        <v>Tech</v>
      </c>
      <c r="F311" s="1" t="str">
        <f t="array" ref="F311">_xlfn.XLOOKUP(A311,Product!A:A,Product!C:C,"Bulunamadı")</f>
        <v>Paranormal</v>
      </c>
      <c r="G311" s="2" t="str">
        <f t="array" ref="G311">_xlfn.XLOOKUP(A312,Product!A:A,Product!D:D,"Bulunamadı")</f>
        <v>Forest Gate Books</v>
      </c>
      <c r="H311" s="2">
        <f t="array" ref="H311">_xlfn.XLOOKUP(A313,Product!A:A,Product!E:E,"Bulunamadı")</f>
        <v>3.13</v>
      </c>
      <c r="I311" s="2" t="str">
        <f t="shared" si="1"/>
        <v>107804 - Tech - Paranormal</v>
      </c>
      <c r="J311" s="2">
        <f t="shared" si="2"/>
        <v>566.53</v>
      </c>
      <c r="K311" s="17">
        <f t="shared" si="3"/>
        <v>1</v>
      </c>
      <c r="L311" s="18"/>
    </row>
    <row r="312" hidden="1">
      <c r="A312" s="2">
        <f>IFERROR(__xludf.DUMMYFUNCTION("""COMPUTED_VALUE"""),75809.0)</f>
        <v>75809</v>
      </c>
      <c r="B312" s="2">
        <f>IFERROR(__xludf.DUMMYFUNCTION("""COMPUTED_VALUE"""),1.0)</f>
        <v>1</v>
      </c>
      <c r="C312" s="2">
        <f>IFERROR(__xludf.DUMMYFUNCTION("""COMPUTED_VALUE"""),988.0)</f>
        <v>988</v>
      </c>
      <c r="D312" s="3">
        <f>IFERROR(__xludf.DUMMYFUNCTION("""COMPUTED_VALUE"""),42.0)</f>
        <v>42</v>
      </c>
      <c r="E312" s="1" t="str">
        <f t="array" ref="E312">_xlfn.XLOOKUP(A312,Product!A:A,Product!B:B,"Bulunamadı")</f>
        <v>Tech</v>
      </c>
      <c r="F312" s="1" t="str">
        <f t="array" ref="F312">_xlfn.XLOOKUP(A312,Product!A:A,Product!C:C,"Bulunamadı")</f>
        <v>Paranormal</v>
      </c>
      <c r="G312" s="2" t="str">
        <f t="array" ref="G312">_xlfn.XLOOKUP(A313,Product!A:A,Product!D:D,"Bulunamadı")</f>
        <v>Forest Gate Books</v>
      </c>
      <c r="H312" s="2">
        <f t="array" ref="H312">_xlfn.XLOOKUP(A314,Product!A:A,Product!E:E,"Bulunamadı")</f>
        <v>3.85</v>
      </c>
      <c r="I312" s="2" t="str">
        <f t="shared" si="1"/>
        <v>75809 - Tech - Paranormal</v>
      </c>
      <c r="J312" s="2">
        <f t="shared" si="2"/>
        <v>161.7</v>
      </c>
      <c r="K312" s="17">
        <f t="shared" si="3"/>
        <v>1</v>
      </c>
      <c r="L312" s="18"/>
    </row>
    <row r="313" hidden="1">
      <c r="A313" s="2">
        <f>IFERROR(__xludf.DUMMYFUNCTION("""COMPUTED_VALUE"""),128325.0)</f>
        <v>128325</v>
      </c>
      <c r="B313" s="2">
        <f>IFERROR(__xludf.DUMMYFUNCTION("""COMPUTED_VALUE"""),1.0)</f>
        <v>1</v>
      </c>
      <c r="C313" s="2">
        <f>IFERROR(__xludf.DUMMYFUNCTION("""COMPUTED_VALUE"""),869.0)</f>
        <v>869</v>
      </c>
      <c r="D313" s="3">
        <f>IFERROR(__xludf.DUMMYFUNCTION("""COMPUTED_VALUE"""),485.0)</f>
        <v>485</v>
      </c>
      <c r="E313" s="1" t="str">
        <f t="array" ref="E313">_xlfn.XLOOKUP(A313,Product!A:A,Product!B:B,"Bulunamadı")</f>
        <v>Tech</v>
      </c>
      <c r="F313" s="1" t="str">
        <f t="array" ref="F313">_xlfn.XLOOKUP(A313,Product!A:A,Product!C:C,"Bulunamadı")</f>
        <v>Paranormal</v>
      </c>
      <c r="G313" s="2" t="str">
        <f t="array" ref="G313">_xlfn.XLOOKUP(A314,Product!A:A,Product!D:D,"Bulunamadı")</f>
        <v>Forest Gate Books</v>
      </c>
      <c r="H313" s="2">
        <f t="array" ref="H313">_xlfn.XLOOKUP(A315,Product!A:A,Product!E:E,"Bulunamadı")</f>
        <v>4.57</v>
      </c>
      <c r="I313" s="2" t="str">
        <f t="shared" si="1"/>
        <v>128325 - Tech - Paranormal</v>
      </c>
      <c r="J313" s="2">
        <f t="shared" si="2"/>
        <v>2216.45</v>
      </c>
      <c r="K313" s="17">
        <f t="shared" si="3"/>
        <v>1</v>
      </c>
      <c r="L313" s="18"/>
    </row>
    <row r="314" hidden="1">
      <c r="A314" s="2">
        <f>IFERROR(__xludf.DUMMYFUNCTION("""COMPUTED_VALUE"""),110072.0)</f>
        <v>110072</v>
      </c>
      <c r="B314" s="2">
        <f>IFERROR(__xludf.DUMMYFUNCTION("""COMPUTED_VALUE"""),1.0)</f>
        <v>1</v>
      </c>
      <c r="C314" s="2">
        <f>IFERROR(__xludf.DUMMYFUNCTION("""COMPUTED_VALUE"""),120.0)</f>
        <v>120</v>
      </c>
      <c r="D314" s="3">
        <f>IFERROR(__xludf.DUMMYFUNCTION("""COMPUTED_VALUE"""),83.0)</f>
        <v>83</v>
      </c>
      <c r="E314" s="1" t="str">
        <f t="array" ref="E314">_xlfn.XLOOKUP(A314,Product!A:A,Product!B:B,"Bulunamadı")</f>
        <v>Tech</v>
      </c>
      <c r="F314" s="1" t="str">
        <f t="array" ref="F314">_xlfn.XLOOKUP(A314,Product!A:A,Product!C:C,"Bulunamadı")</f>
        <v>Paranormal</v>
      </c>
      <c r="G314" s="2" t="str">
        <f t="array" ref="G314">_xlfn.XLOOKUP(A315,Product!A:A,Product!D:D,"Bulunamadı")</f>
        <v>Forest Gate Books</v>
      </c>
      <c r="H314" s="2">
        <f t="array" ref="H314">_xlfn.XLOOKUP(A316,Product!A:A,Product!E:E,"Bulunamadı")</f>
        <v>3.04</v>
      </c>
      <c r="I314" s="2" t="str">
        <f t="shared" si="1"/>
        <v>110072 - Tech - Paranormal</v>
      </c>
      <c r="J314" s="2">
        <f t="shared" si="2"/>
        <v>252.32</v>
      </c>
      <c r="K314" s="17">
        <f t="shared" si="3"/>
        <v>1</v>
      </c>
      <c r="L314" s="18"/>
    </row>
    <row r="315" hidden="1">
      <c r="A315" s="2">
        <f>IFERROR(__xludf.DUMMYFUNCTION("""COMPUTED_VALUE"""),93814.0)</f>
        <v>93814</v>
      </c>
      <c r="B315" s="2">
        <f>IFERROR(__xludf.DUMMYFUNCTION("""COMPUTED_VALUE"""),1.0)</f>
        <v>1</v>
      </c>
      <c r="C315" s="2">
        <f>IFERROR(__xludf.DUMMYFUNCTION("""COMPUTED_VALUE"""),712.0)</f>
        <v>712</v>
      </c>
      <c r="D315" s="3">
        <f>IFERROR(__xludf.DUMMYFUNCTION("""COMPUTED_VALUE"""),494.0)</f>
        <v>494</v>
      </c>
      <c r="E315" s="1" t="str">
        <f t="array" ref="E315">_xlfn.XLOOKUP(A315,Product!A:A,Product!B:B,"Bulunamadı")</f>
        <v>Tech</v>
      </c>
      <c r="F315" s="1" t="str">
        <f t="array" ref="F315">_xlfn.XLOOKUP(A315,Product!A:A,Product!C:C,"Bulunamadı")</f>
        <v>Paranormal</v>
      </c>
      <c r="G315" s="2" t="str">
        <f t="array" ref="G315">_xlfn.XLOOKUP(A316,Product!A:A,Product!D:D,"Bulunamadı")</f>
        <v>Forest Gate Books</v>
      </c>
      <c r="H315" s="2">
        <f t="array" ref="H315">_xlfn.XLOOKUP(A317,Product!A:A,Product!E:E,"Bulunamadı")</f>
        <v>3.01</v>
      </c>
      <c r="I315" s="2" t="str">
        <f t="shared" si="1"/>
        <v>93814 - Tech - Paranormal</v>
      </c>
      <c r="J315" s="2">
        <f t="shared" si="2"/>
        <v>1486.94</v>
      </c>
      <c r="K315" s="17">
        <f t="shared" si="3"/>
        <v>1</v>
      </c>
      <c r="L315" s="18"/>
    </row>
    <row r="316" hidden="1">
      <c r="A316" s="2">
        <f>IFERROR(__xludf.DUMMYFUNCTION("""COMPUTED_VALUE"""),128326.0)</f>
        <v>128326</v>
      </c>
      <c r="B316" s="2">
        <f>IFERROR(__xludf.DUMMYFUNCTION("""COMPUTED_VALUE"""),0.0)</f>
        <v>0</v>
      </c>
      <c r="C316" s="2">
        <f>IFERROR(__xludf.DUMMYFUNCTION("""COMPUTED_VALUE"""),918.0)</f>
        <v>918</v>
      </c>
      <c r="D316" s="3">
        <f>IFERROR(__xludf.DUMMYFUNCTION("""COMPUTED_VALUE"""),94.0)</f>
        <v>94</v>
      </c>
      <c r="E316" s="1" t="str">
        <f t="array" ref="E316">_xlfn.XLOOKUP(A316,Product!A:A,Product!B:B,"Bulunamadı")</f>
        <v>Tech</v>
      </c>
      <c r="F316" s="1" t="str">
        <f t="array" ref="F316">_xlfn.XLOOKUP(A316,Product!A:A,Product!C:C,"Bulunamadı")</f>
        <v>Paranormal</v>
      </c>
      <c r="G316" s="2" t="str">
        <f t="array" ref="G316">_xlfn.XLOOKUP(A317,Product!A:A,Product!D:D,"Bulunamadı")</f>
        <v>Forest Gate Books</v>
      </c>
      <c r="H316" s="2">
        <f t="array" ref="H316">_xlfn.XLOOKUP(A318,Product!A:A,Product!E:E,"Bulunamadı")</f>
        <v>3.67</v>
      </c>
      <c r="I316" s="2" t="str">
        <f t="shared" si="1"/>
        <v>128326 - Tech - Paranormal</v>
      </c>
      <c r="J316" s="2">
        <f t="shared" si="2"/>
        <v>344.98</v>
      </c>
      <c r="K316" s="17">
        <f t="shared" si="3"/>
        <v>1</v>
      </c>
      <c r="L316" s="18"/>
    </row>
    <row r="317" hidden="1">
      <c r="A317" s="2">
        <f>IFERROR(__xludf.DUMMYFUNCTION("""COMPUTED_VALUE"""),48510.0)</f>
        <v>48510</v>
      </c>
      <c r="B317" s="2">
        <f>IFERROR(__xludf.DUMMYFUNCTION("""COMPUTED_VALUE"""),0.0)</f>
        <v>0</v>
      </c>
      <c r="C317" s="2">
        <f>IFERROR(__xludf.DUMMYFUNCTION("""COMPUTED_VALUE"""),934.0)</f>
        <v>934</v>
      </c>
      <c r="D317" s="3">
        <f>IFERROR(__xludf.DUMMYFUNCTION("""COMPUTED_VALUE"""),614.0)</f>
        <v>614</v>
      </c>
      <c r="E317" s="1" t="str">
        <f t="array" ref="E317">_xlfn.XLOOKUP(A317,Product!A:A,Product!B:B,"Bulunamadı")</f>
        <v>Tech</v>
      </c>
      <c r="F317" s="1" t="str">
        <f t="array" ref="F317">_xlfn.XLOOKUP(A317,Product!A:A,Product!C:C,"Bulunamadı")</f>
        <v>Paranormal</v>
      </c>
      <c r="G317" s="2" t="str">
        <f t="array" ref="G317">_xlfn.XLOOKUP(A318,Product!A:A,Product!D:D,"Bulunamadı")</f>
        <v>Forest Gate Books</v>
      </c>
      <c r="H317" s="2">
        <f t="array" ref="H317">_xlfn.XLOOKUP(A319,Product!A:A,Product!E:E,"Bulunamadı")</f>
        <v>3.82</v>
      </c>
      <c r="I317" s="2" t="str">
        <f t="shared" si="1"/>
        <v>48510 - Tech - Paranormal</v>
      </c>
      <c r="J317" s="2">
        <f t="shared" si="2"/>
        <v>2345.48</v>
      </c>
      <c r="K317" s="17">
        <f t="shared" si="3"/>
        <v>1</v>
      </c>
      <c r="L317" s="18"/>
    </row>
    <row r="318" hidden="1">
      <c r="A318" s="2">
        <f>IFERROR(__xludf.DUMMYFUNCTION("""COMPUTED_VALUE"""),82463.0)</f>
        <v>82463</v>
      </c>
      <c r="B318" s="2">
        <f>IFERROR(__xludf.DUMMYFUNCTION("""COMPUTED_VALUE"""),1.0)</f>
        <v>1</v>
      </c>
      <c r="C318" s="2">
        <f>IFERROR(__xludf.DUMMYFUNCTION("""COMPUTED_VALUE"""),503.0)</f>
        <v>503</v>
      </c>
      <c r="D318" s="3">
        <f>IFERROR(__xludf.DUMMYFUNCTION("""COMPUTED_VALUE"""),200.0)</f>
        <v>200</v>
      </c>
      <c r="E318" s="1" t="str">
        <f t="array" ref="E318">_xlfn.XLOOKUP(A318,Product!A:A,Product!B:B,"Bulunamadı")</f>
        <v>Tech</v>
      </c>
      <c r="F318" s="1" t="str">
        <f t="array" ref="F318">_xlfn.XLOOKUP(A318,Product!A:A,Product!C:C,"Bulunamadı")</f>
        <v>Paranormal</v>
      </c>
      <c r="G318" s="2" t="str">
        <f t="array" ref="G318">_xlfn.XLOOKUP(A319,Product!A:A,Product!D:D,"Bulunamadı")</f>
        <v>Forest Gate Books</v>
      </c>
      <c r="H318" s="2">
        <f t="array" ref="H318">_xlfn.XLOOKUP(A320,Product!A:A,Product!E:E,"Bulunamadı")</f>
        <v>2.5</v>
      </c>
      <c r="I318" s="2" t="str">
        <f t="shared" si="1"/>
        <v>82463 - Tech - Paranormal</v>
      </c>
      <c r="J318" s="2">
        <f t="shared" si="2"/>
        <v>500</v>
      </c>
      <c r="K318" s="17">
        <f t="shared" si="3"/>
        <v>1</v>
      </c>
      <c r="L318" s="18"/>
    </row>
    <row r="319" hidden="1">
      <c r="A319" s="2">
        <f>IFERROR(__xludf.DUMMYFUNCTION("""COMPUTED_VALUE"""),82462.0)</f>
        <v>82462</v>
      </c>
      <c r="B319" s="2">
        <f>IFERROR(__xludf.DUMMYFUNCTION("""COMPUTED_VALUE"""),1.0)</f>
        <v>1</v>
      </c>
      <c r="C319" s="2">
        <f>IFERROR(__xludf.DUMMYFUNCTION("""COMPUTED_VALUE"""),128.0)</f>
        <v>128</v>
      </c>
      <c r="D319" s="3">
        <f>IFERROR(__xludf.DUMMYFUNCTION("""COMPUTED_VALUE"""),60.0)</f>
        <v>60</v>
      </c>
      <c r="E319" s="1" t="str">
        <f t="array" ref="E319">_xlfn.XLOOKUP(A319,Product!A:A,Product!B:B,"Bulunamadı")</f>
        <v>Tech</v>
      </c>
      <c r="F319" s="1" t="str">
        <f t="array" ref="F319">_xlfn.XLOOKUP(A319,Product!A:A,Product!C:C,"Bulunamadı")</f>
        <v>Paranormal</v>
      </c>
      <c r="G319" s="2" t="str">
        <f t="array" ref="G319">_xlfn.XLOOKUP(A320,Product!A:A,Product!D:D,"Bulunamadı")</f>
        <v>Forest Gate Books</v>
      </c>
      <c r="H319" s="2">
        <f t="array" ref="H319">_xlfn.XLOOKUP(A321,Product!A:A,Product!E:E,"Bulunamadı")</f>
        <v>3.9</v>
      </c>
      <c r="I319" s="2" t="str">
        <f t="shared" si="1"/>
        <v>82462 - Tech - Paranormal</v>
      </c>
      <c r="J319" s="2">
        <f t="shared" si="2"/>
        <v>234</v>
      </c>
      <c r="K319" s="17">
        <f t="shared" si="3"/>
        <v>1</v>
      </c>
      <c r="L319" s="18"/>
    </row>
    <row r="320" hidden="1">
      <c r="A320" s="2">
        <f>IFERROR(__xludf.DUMMYFUNCTION("""COMPUTED_VALUE"""),110635.0)</f>
        <v>110635</v>
      </c>
      <c r="B320" s="2">
        <f>IFERROR(__xludf.DUMMYFUNCTION("""COMPUTED_VALUE"""),0.0)</f>
        <v>0</v>
      </c>
      <c r="C320" s="2">
        <f>IFERROR(__xludf.DUMMYFUNCTION("""COMPUTED_VALUE"""),651.0)</f>
        <v>651</v>
      </c>
      <c r="D320" s="3">
        <f>IFERROR(__xludf.DUMMYFUNCTION("""COMPUTED_VALUE"""),54.0)</f>
        <v>54</v>
      </c>
      <c r="E320" s="1" t="str">
        <f t="array" ref="E320">_xlfn.XLOOKUP(A320,Product!A:A,Product!B:B,"Bulunamadı")</f>
        <v>Tech</v>
      </c>
      <c r="F320" s="1" t="str">
        <f t="array" ref="F320">_xlfn.XLOOKUP(A320,Product!A:A,Product!C:C,"Bulunamadı")</f>
        <v>Paranormal</v>
      </c>
      <c r="G320" s="2" t="str">
        <f t="array" ref="G320">_xlfn.XLOOKUP(A321,Product!A:A,Product!D:D,"Bulunamadı")</f>
        <v>Forest Gate Books</v>
      </c>
      <c r="H320" s="2">
        <f t="array" ref="H320">_xlfn.XLOOKUP(A322,Product!A:A,Product!E:E,"Bulunamadı")</f>
        <v>4.47</v>
      </c>
      <c r="I320" s="2" t="str">
        <f t="shared" si="1"/>
        <v>110635 - Tech - Paranormal</v>
      </c>
      <c r="J320" s="2">
        <f t="shared" si="2"/>
        <v>241.38</v>
      </c>
      <c r="K320" s="17">
        <f t="shared" si="3"/>
        <v>1</v>
      </c>
      <c r="L320" s="18"/>
    </row>
    <row r="321" hidden="1">
      <c r="A321" s="2">
        <f>IFERROR(__xludf.DUMMYFUNCTION("""COMPUTED_VALUE"""),82464.0)</f>
        <v>82464</v>
      </c>
      <c r="B321" s="2">
        <f>IFERROR(__xludf.DUMMYFUNCTION("""COMPUTED_VALUE"""),1.0)</f>
        <v>1</v>
      </c>
      <c r="C321" s="2">
        <f>IFERROR(__xludf.DUMMYFUNCTION("""COMPUTED_VALUE"""),207.0)</f>
        <v>207</v>
      </c>
      <c r="D321" s="3">
        <f>IFERROR(__xludf.DUMMYFUNCTION("""COMPUTED_VALUE"""),157.0)</f>
        <v>157</v>
      </c>
      <c r="E321" s="1" t="str">
        <f t="array" ref="E321">_xlfn.XLOOKUP(A321,Product!A:A,Product!B:B,"Bulunamadı")</f>
        <v>Tech</v>
      </c>
      <c r="F321" s="1" t="str">
        <f t="array" ref="F321">_xlfn.XLOOKUP(A321,Product!A:A,Product!C:C,"Bulunamadı")</f>
        <v>Paranormal</v>
      </c>
      <c r="G321" s="2" t="str">
        <f t="array" ref="G321">_xlfn.XLOOKUP(A322,Product!A:A,Product!D:D,"Bulunamadı")</f>
        <v>Forest Gate Books</v>
      </c>
      <c r="H321" s="2">
        <f t="array" ref="H321">_xlfn.XLOOKUP(A323,Product!A:A,Product!E:E,"Bulunamadı")</f>
        <v>4.86</v>
      </c>
      <c r="I321" s="2" t="str">
        <f t="shared" si="1"/>
        <v>82464 - Tech - Paranormal</v>
      </c>
      <c r="J321" s="2">
        <f t="shared" si="2"/>
        <v>763.02</v>
      </c>
      <c r="K321" s="17">
        <f t="shared" si="3"/>
        <v>1</v>
      </c>
      <c r="L321" s="18"/>
    </row>
    <row r="322" hidden="1">
      <c r="A322" s="2">
        <f>IFERROR(__xludf.DUMMYFUNCTION("""COMPUTED_VALUE"""),129133.0)</f>
        <v>129133</v>
      </c>
      <c r="B322" s="2">
        <f>IFERROR(__xludf.DUMMYFUNCTION("""COMPUTED_VALUE"""),0.0)</f>
        <v>0</v>
      </c>
      <c r="C322" s="2">
        <f>IFERROR(__xludf.DUMMYFUNCTION("""COMPUTED_VALUE"""),844.0)</f>
        <v>844</v>
      </c>
      <c r="D322" s="3">
        <f>IFERROR(__xludf.DUMMYFUNCTION("""COMPUTED_VALUE"""),236.0)</f>
        <v>236</v>
      </c>
      <c r="E322" s="1" t="str">
        <f t="array" ref="E322">_xlfn.XLOOKUP(A322,Product!A:A,Product!B:B,"Bulunamadı")</f>
        <v>Tech</v>
      </c>
      <c r="F322" s="1" t="str">
        <f t="array" ref="F322">_xlfn.XLOOKUP(A322,Product!A:A,Product!C:C,"Bulunamadı")</f>
        <v>Paranormal</v>
      </c>
      <c r="G322" s="2" t="str">
        <f t="array" ref="G322">_xlfn.XLOOKUP(A323,Product!A:A,Product!D:D,"Bulunamadı")</f>
        <v>Forest Gate Books</v>
      </c>
      <c r="H322" s="2">
        <f t="array" ref="H322">_xlfn.XLOOKUP(A324,Product!A:A,Product!E:E,"Bulunamadı")</f>
        <v>3.61</v>
      </c>
      <c r="I322" s="2" t="str">
        <f t="shared" si="1"/>
        <v>129133 - Tech - Paranormal</v>
      </c>
      <c r="J322" s="2">
        <f t="shared" si="2"/>
        <v>851.96</v>
      </c>
      <c r="K322" s="17">
        <f t="shared" si="3"/>
        <v>1</v>
      </c>
      <c r="L322" s="18"/>
    </row>
    <row r="323" hidden="1">
      <c r="A323" s="2">
        <f>IFERROR(__xludf.DUMMYFUNCTION("""COMPUTED_VALUE"""),195081.0)</f>
        <v>195081</v>
      </c>
      <c r="B323" s="2">
        <f>IFERROR(__xludf.DUMMYFUNCTION("""COMPUTED_VALUE"""),1.0)</f>
        <v>1</v>
      </c>
      <c r="C323" s="2">
        <f>IFERROR(__xludf.DUMMYFUNCTION("""COMPUTED_VALUE"""),510.0)</f>
        <v>510</v>
      </c>
      <c r="D323" s="3">
        <f>IFERROR(__xludf.DUMMYFUNCTION("""COMPUTED_VALUE"""),458.0)</f>
        <v>458</v>
      </c>
      <c r="E323" s="1" t="str">
        <f t="array" ref="E323">_xlfn.XLOOKUP(A323,Product!A:A,Product!B:B,"Bulunamadı")</f>
        <v>Tech</v>
      </c>
      <c r="F323" s="1" t="str">
        <f t="array" ref="F323">_xlfn.XLOOKUP(A323,Product!A:A,Product!C:C,"Bulunamadı")</f>
        <v>Paranormal</v>
      </c>
      <c r="G323" s="2" t="str">
        <f t="array" ref="G323">_xlfn.XLOOKUP(A324,Product!A:A,Product!D:D,"Bulunamadı")</f>
        <v>Forest Gate Books</v>
      </c>
      <c r="H323" s="2">
        <f t="array" ref="H323">_xlfn.XLOOKUP(A325,Product!A:A,Product!E:E,"Bulunamadı")</f>
        <v>5.61</v>
      </c>
      <c r="I323" s="2" t="str">
        <f t="shared" si="1"/>
        <v>195081 - Tech - Paranormal</v>
      </c>
      <c r="J323" s="2">
        <f t="shared" si="2"/>
        <v>2569.38</v>
      </c>
      <c r="K323" s="17">
        <f t="shared" si="3"/>
        <v>1</v>
      </c>
      <c r="L323" s="18"/>
    </row>
    <row r="324" hidden="1">
      <c r="A324" s="2">
        <f>IFERROR(__xludf.DUMMYFUNCTION("""COMPUTED_VALUE"""),92669.0)</f>
        <v>92669</v>
      </c>
      <c r="B324" s="2">
        <f>IFERROR(__xludf.DUMMYFUNCTION("""COMPUTED_VALUE"""),0.0)</f>
        <v>0</v>
      </c>
      <c r="C324" s="2">
        <f>IFERROR(__xludf.DUMMYFUNCTION("""COMPUTED_VALUE"""),12.0)</f>
        <v>12</v>
      </c>
      <c r="D324" s="3">
        <f>IFERROR(__xludf.DUMMYFUNCTION("""COMPUTED_VALUE"""),12.0)</f>
        <v>12</v>
      </c>
      <c r="E324" s="1" t="str">
        <f t="array" ref="E324">_xlfn.XLOOKUP(A324,Product!A:A,Product!B:B,"Bulunamadı")</f>
        <v>Tech</v>
      </c>
      <c r="F324" s="1" t="str">
        <f t="array" ref="F324">_xlfn.XLOOKUP(A324,Product!A:A,Product!C:C,"Bulunamadı")</f>
        <v>Paranormal</v>
      </c>
      <c r="G324" s="2" t="str">
        <f t="array" ref="G324">_xlfn.XLOOKUP(A325,Product!A:A,Product!D:D,"Bulunamadı")</f>
        <v>Forest Gate Books</v>
      </c>
      <c r="H324" s="2">
        <f t="array" ref="H324">_xlfn.XLOOKUP(A326,Product!A:A,Product!E:E,"Bulunamadı")</f>
        <v>3.53</v>
      </c>
      <c r="I324" s="2" t="str">
        <f t="shared" si="1"/>
        <v>92669 - Tech - Paranormal</v>
      </c>
      <c r="J324" s="2">
        <f t="shared" si="2"/>
        <v>42.36</v>
      </c>
      <c r="K324" s="17">
        <f t="shared" si="3"/>
        <v>1</v>
      </c>
      <c r="L324" s="18"/>
    </row>
    <row r="325" hidden="1">
      <c r="A325" s="2">
        <f>IFERROR(__xludf.DUMMYFUNCTION("""COMPUTED_VALUE"""),122089.0)</f>
        <v>122089</v>
      </c>
      <c r="B325" s="2">
        <f>IFERROR(__xludf.DUMMYFUNCTION("""COMPUTED_VALUE"""),1.0)</f>
        <v>1</v>
      </c>
      <c r="C325" s="2">
        <f>IFERROR(__xludf.DUMMYFUNCTION("""COMPUTED_VALUE"""),779.0)</f>
        <v>779</v>
      </c>
      <c r="D325" s="3">
        <f>IFERROR(__xludf.DUMMYFUNCTION("""COMPUTED_VALUE"""),6.0)</f>
        <v>6</v>
      </c>
      <c r="E325" s="1" t="str">
        <f t="array" ref="E325">_xlfn.XLOOKUP(A325,Product!A:A,Product!B:B,"Bulunamadı")</f>
        <v>Tech</v>
      </c>
      <c r="F325" s="1" t="str">
        <f t="array" ref="F325">_xlfn.XLOOKUP(A325,Product!A:A,Product!C:C,"Bulunamadı")</f>
        <v>Paranormal</v>
      </c>
      <c r="G325" s="2" t="str">
        <f t="array" ref="G325">_xlfn.XLOOKUP(A326,Product!A:A,Product!D:D,"Bulunamadı")</f>
        <v>Forest Gate Books</v>
      </c>
      <c r="H325" s="2">
        <f t="array" ref="H325">_xlfn.XLOOKUP(A327,Product!A:A,Product!E:E,"Bulunamadı")</f>
        <v>4.25</v>
      </c>
      <c r="I325" s="2" t="str">
        <f t="shared" si="1"/>
        <v>122089 - Tech - Paranormal</v>
      </c>
      <c r="J325" s="2">
        <f t="shared" si="2"/>
        <v>25.5</v>
      </c>
      <c r="K325" s="17">
        <f t="shared" si="3"/>
        <v>1</v>
      </c>
      <c r="L325" s="18"/>
    </row>
    <row r="326" hidden="1">
      <c r="A326" s="2">
        <f>IFERROR(__xludf.DUMMYFUNCTION("""COMPUTED_VALUE"""),95927.0)</f>
        <v>95927</v>
      </c>
      <c r="B326" s="2">
        <f>IFERROR(__xludf.DUMMYFUNCTION("""COMPUTED_VALUE"""),1.0)</f>
        <v>1</v>
      </c>
      <c r="C326" s="2">
        <f>IFERROR(__xludf.DUMMYFUNCTION("""COMPUTED_VALUE"""),464.0)</f>
        <v>464</v>
      </c>
      <c r="D326" s="3">
        <f>IFERROR(__xludf.DUMMYFUNCTION("""COMPUTED_VALUE"""),158.0)</f>
        <v>158</v>
      </c>
      <c r="E326" s="1" t="str">
        <f t="array" ref="E326">_xlfn.XLOOKUP(A326,Product!A:A,Product!B:B,"Bulunamadı")</f>
        <v>Tech</v>
      </c>
      <c r="F326" s="1" t="str">
        <f t="array" ref="F326">_xlfn.XLOOKUP(A326,Product!A:A,Product!C:C,"Bulunamadı")</f>
        <v>Paranormal</v>
      </c>
      <c r="G326" s="2" t="str">
        <f t="array" ref="G326">_xlfn.XLOOKUP(A327,Product!A:A,Product!D:D,"Bulunamadı")</f>
        <v>Forest Gate Books</v>
      </c>
      <c r="H326" s="2">
        <f t="array" ref="H326">_xlfn.XLOOKUP(A328,Product!A:A,Product!E:E,"Bulunamadı")</f>
        <v>2.82</v>
      </c>
      <c r="I326" s="2" t="str">
        <f t="shared" si="1"/>
        <v>95927 - Tech - Paranormal</v>
      </c>
      <c r="J326" s="2">
        <f t="shared" si="2"/>
        <v>445.56</v>
      </c>
      <c r="K326" s="17">
        <f t="shared" si="3"/>
        <v>1</v>
      </c>
      <c r="L326" s="18"/>
    </row>
    <row r="327" hidden="1">
      <c r="A327" s="2">
        <f>IFERROR(__xludf.DUMMYFUNCTION("""COMPUTED_VALUE"""),160756.0)</f>
        <v>160756</v>
      </c>
      <c r="B327" s="2">
        <f>IFERROR(__xludf.DUMMYFUNCTION("""COMPUTED_VALUE"""),1.0)</f>
        <v>1</v>
      </c>
      <c r="C327" s="2">
        <f>IFERROR(__xludf.DUMMYFUNCTION("""COMPUTED_VALUE"""),763.0)</f>
        <v>763</v>
      </c>
      <c r="D327" s="3">
        <f>IFERROR(__xludf.DUMMYFUNCTION("""COMPUTED_VALUE"""),308.0)</f>
        <v>308</v>
      </c>
      <c r="E327" s="1" t="str">
        <f t="array" ref="E327">_xlfn.XLOOKUP(A327,Product!A:A,Product!B:B,"Bulunamadı")</f>
        <v>Tech</v>
      </c>
      <c r="F327" s="1" t="str">
        <f t="array" ref="F327">_xlfn.XLOOKUP(A327,Product!A:A,Product!C:C,"Bulunamadı")</f>
        <v>Paranormal</v>
      </c>
      <c r="G327" s="2" t="str">
        <f t="array" ref="G327">_xlfn.XLOOKUP(A328,Product!A:A,Product!D:D,"Bulunamadı")</f>
        <v>Forest Gate Books</v>
      </c>
      <c r="H327" s="2">
        <f t="array" ref="H327">_xlfn.XLOOKUP(A329,Product!A:A,Product!E:E,"Bulunamadı")</f>
        <v>2.36</v>
      </c>
      <c r="I327" s="2" t="str">
        <f t="shared" si="1"/>
        <v>160756 - Tech - Paranormal</v>
      </c>
      <c r="J327" s="2">
        <f t="shared" si="2"/>
        <v>726.88</v>
      </c>
      <c r="K327" s="17">
        <f t="shared" si="3"/>
        <v>1</v>
      </c>
      <c r="L327" s="18"/>
    </row>
    <row r="328" hidden="1">
      <c r="A328" s="2">
        <f>IFERROR(__xludf.DUMMYFUNCTION("""COMPUTED_VALUE"""),147267.0)</f>
        <v>147267</v>
      </c>
      <c r="B328" s="2">
        <f>IFERROR(__xludf.DUMMYFUNCTION("""COMPUTED_VALUE"""),1.0)</f>
        <v>1</v>
      </c>
      <c r="C328" s="2">
        <f>IFERROR(__xludf.DUMMYFUNCTION("""COMPUTED_VALUE"""),564.0)</f>
        <v>564</v>
      </c>
      <c r="D328" s="3">
        <f>IFERROR(__xludf.DUMMYFUNCTION("""COMPUTED_VALUE"""),417.0)</f>
        <v>417</v>
      </c>
      <c r="E328" s="1" t="str">
        <f t="array" ref="E328">_xlfn.XLOOKUP(A328,Product!A:A,Product!B:B,"Bulunamadı")</f>
        <v>Tech</v>
      </c>
      <c r="F328" s="1" t="str">
        <f t="array" ref="F328">_xlfn.XLOOKUP(A328,Product!A:A,Product!C:C,"Bulunamadı")</f>
        <v>Paranormal</v>
      </c>
      <c r="G328" s="2" t="str">
        <f t="array" ref="G328">_xlfn.XLOOKUP(A329,Product!A:A,Product!D:D,"Bulunamadı")</f>
        <v>Forest Gate Books</v>
      </c>
      <c r="H328" s="2">
        <f t="array" ref="H328">_xlfn.XLOOKUP(A330,Product!A:A,Product!E:E,"Bulunamadı")</f>
        <v>2.77</v>
      </c>
      <c r="I328" s="2" t="str">
        <f t="shared" si="1"/>
        <v>147267 - Tech - Paranormal</v>
      </c>
      <c r="J328" s="2">
        <f t="shared" si="2"/>
        <v>1155.09</v>
      </c>
      <c r="K328" s="17">
        <f t="shared" si="3"/>
        <v>1</v>
      </c>
      <c r="L328" s="18"/>
    </row>
    <row r="329" hidden="1">
      <c r="A329" s="2">
        <f>IFERROR(__xludf.DUMMYFUNCTION("""COMPUTED_VALUE"""),160747.0)</f>
        <v>160747</v>
      </c>
      <c r="B329" s="2">
        <f>IFERROR(__xludf.DUMMYFUNCTION("""COMPUTED_VALUE"""),0.0)</f>
        <v>0</v>
      </c>
      <c r="C329" s="2">
        <f>IFERROR(__xludf.DUMMYFUNCTION("""COMPUTED_VALUE"""),915.0)</f>
        <v>915</v>
      </c>
      <c r="D329" s="3">
        <f>IFERROR(__xludf.DUMMYFUNCTION("""COMPUTED_VALUE"""),889.0)</f>
        <v>889</v>
      </c>
      <c r="E329" s="1" t="str">
        <f t="array" ref="E329">_xlfn.XLOOKUP(A329,Product!A:A,Product!B:B,"Bulunamadı")</f>
        <v>Tech</v>
      </c>
      <c r="F329" s="1" t="str">
        <f t="array" ref="F329">_xlfn.XLOOKUP(A329,Product!A:A,Product!C:C,"Bulunamadı")</f>
        <v>Paranormal</v>
      </c>
      <c r="G329" s="2" t="str">
        <f t="array" ref="G329">_xlfn.XLOOKUP(A330,Product!A:A,Product!D:D,"Bulunamadı")</f>
        <v>Forest Gate Books</v>
      </c>
      <c r="H329" s="2">
        <f t="array" ref="H329">_xlfn.XLOOKUP(A331,Product!A:A,Product!E:E,"Bulunamadı")</f>
        <v>2.92</v>
      </c>
      <c r="I329" s="2" t="str">
        <f t="shared" si="1"/>
        <v>160747 - Tech - Paranormal</v>
      </c>
      <c r="J329" s="2">
        <f t="shared" si="2"/>
        <v>2595.88</v>
      </c>
      <c r="K329" s="17">
        <f t="shared" si="3"/>
        <v>1</v>
      </c>
      <c r="L329" s="18"/>
    </row>
    <row r="330" hidden="1">
      <c r="A330" s="2">
        <f>IFERROR(__xludf.DUMMYFUNCTION("""COMPUTED_VALUE"""),79365.0)</f>
        <v>79365</v>
      </c>
      <c r="B330" s="2">
        <f>IFERROR(__xludf.DUMMYFUNCTION("""COMPUTED_VALUE"""),1.0)</f>
        <v>1</v>
      </c>
      <c r="C330" s="2">
        <f>IFERROR(__xludf.DUMMYFUNCTION("""COMPUTED_VALUE"""),161.0)</f>
        <v>161</v>
      </c>
      <c r="D330" s="3">
        <f>IFERROR(__xludf.DUMMYFUNCTION("""COMPUTED_VALUE"""),82.0)</f>
        <v>82</v>
      </c>
      <c r="E330" s="1" t="str">
        <f t="array" ref="E330">_xlfn.XLOOKUP(A330,Product!A:A,Product!B:B,"Bulunamadı")</f>
        <v>Tech</v>
      </c>
      <c r="F330" s="1" t="str">
        <f t="array" ref="F330">_xlfn.XLOOKUP(A330,Product!A:A,Product!C:C,"Bulunamadı")</f>
        <v>Paranormal</v>
      </c>
      <c r="G330" s="2" t="str">
        <f t="array" ref="G330">_xlfn.XLOOKUP(A331,Product!A:A,Product!D:D,"Bulunamadı")</f>
        <v>Forest Gate Books</v>
      </c>
      <c r="H330" s="2">
        <f t="array" ref="H330">_xlfn.XLOOKUP(A332,Product!A:A,Product!E:E,"Bulunamadı")</f>
        <v>4.29</v>
      </c>
      <c r="I330" s="2" t="str">
        <f t="shared" si="1"/>
        <v>79365 - Tech - Paranormal</v>
      </c>
      <c r="J330" s="2">
        <f t="shared" si="2"/>
        <v>351.78</v>
      </c>
      <c r="K330" s="17">
        <f t="shared" si="3"/>
        <v>1</v>
      </c>
      <c r="L330" s="18"/>
    </row>
    <row r="331" hidden="1">
      <c r="A331" s="2">
        <f>IFERROR(__xludf.DUMMYFUNCTION("""COMPUTED_VALUE"""),110633.0)</f>
        <v>110633</v>
      </c>
      <c r="B331" s="2">
        <f>IFERROR(__xludf.DUMMYFUNCTION("""COMPUTED_VALUE"""),1.0)</f>
        <v>1</v>
      </c>
      <c r="C331" s="2">
        <f>IFERROR(__xludf.DUMMYFUNCTION("""COMPUTED_VALUE"""),325.0)</f>
        <v>325</v>
      </c>
      <c r="D331" s="3">
        <f>IFERROR(__xludf.DUMMYFUNCTION("""COMPUTED_VALUE"""),139.0)</f>
        <v>139</v>
      </c>
      <c r="E331" s="1" t="str">
        <f t="array" ref="E331">_xlfn.XLOOKUP(A331,Product!A:A,Product!B:B,"Bulunamadı")</f>
        <v>Tech</v>
      </c>
      <c r="F331" s="1" t="str">
        <f t="array" ref="F331">_xlfn.XLOOKUP(A331,Product!A:A,Product!C:C,"Bulunamadı")</f>
        <v>Paranormal</v>
      </c>
      <c r="G331" s="2" t="str">
        <f t="array" ref="G331">_xlfn.XLOOKUP(A332,Product!A:A,Product!D:D,"Bulunamadı")</f>
        <v>Forest Gate Books</v>
      </c>
      <c r="H331" s="2">
        <f t="array" ref="H331">_xlfn.XLOOKUP(A333,Product!A:A,Product!E:E,"Bulunamadı")</f>
        <v>3.71</v>
      </c>
      <c r="I331" s="2" t="str">
        <f t="shared" si="1"/>
        <v>110633 - Tech - Paranormal</v>
      </c>
      <c r="J331" s="2">
        <f t="shared" si="2"/>
        <v>515.69</v>
      </c>
      <c r="K331" s="17">
        <f t="shared" si="3"/>
        <v>1</v>
      </c>
      <c r="L331" s="18"/>
    </row>
    <row r="332" hidden="1">
      <c r="A332" s="2">
        <f>IFERROR(__xludf.DUMMYFUNCTION("""COMPUTED_VALUE"""),160750.0)</f>
        <v>160750</v>
      </c>
      <c r="B332" s="2">
        <f>IFERROR(__xludf.DUMMYFUNCTION("""COMPUTED_VALUE"""),0.0)</f>
        <v>0</v>
      </c>
      <c r="C332" s="2">
        <f>IFERROR(__xludf.DUMMYFUNCTION("""COMPUTED_VALUE"""),585.0)</f>
        <v>585</v>
      </c>
      <c r="D332" s="3">
        <f>IFERROR(__xludf.DUMMYFUNCTION("""COMPUTED_VALUE"""),280.0)</f>
        <v>280</v>
      </c>
      <c r="E332" s="1" t="str">
        <f t="array" ref="E332">_xlfn.XLOOKUP(A332,Product!A:A,Product!B:B,"Bulunamadı")</f>
        <v>Tech</v>
      </c>
      <c r="F332" s="1" t="str">
        <f t="array" ref="F332">_xlfn.XLOOKUP(A332,Product!A:A,Product!C:C,"Bulunamadı")</f>
        <v>Paranormal</v>
      </c>
      <c r="G332" s="2" t="str">
        <f t="array" ref="G332">_xlfn.XLOOKUP(A333,Product!A:A,Product!D:D,"Bulunamadı")</f>
        <v>Forest Gate Books</v>
      </c>
      <c r="H332" s="2">
        <f t="array" ref="H332">_xlfn.XLOOKUP(A334,Product!A:A,Product!E:E,"Bulunamadı")</f>
        <v>4.97</v>
      </c>
      <c r="I332" s="2" t="str">
        <f t="shared" si="1"/>
        <v>160750 - Tech - Paranormal</v>
      </c>
      <c r="J332" s="2">
        <f t="shared" si="2"/>
        <v>1391.6</v>
      </c>
      <c r="K332" s="17">
        <f t="shared" si="3"/>
        <v>1</v>
      </c>
      <c r="L332" s="18"/>
    </row>
    <row r="333" hidden="1">
      <c r="A333" s="2">
        <f>IFERROR(__xludf.DUMMYFUNCTION("""COMPUTED_VALUE"""),128332.0)</f>
        <v>128332</v>
      </c>
      <c r="B333" s="2">
        <f>IFERROR(__xludf.DUMMYFUNCTION("""COMPUTED_VALUE"""),1.0)</f>
        <v>1</v>
      </c>
      <c r="C333" s="2">
        <f>IFERROR(__xludf.DUMMYFUNCTION("""COMPUTED_VALUE"""),191.0)</f>
        <v>191</v>
      </c>
      <c r="D333" s="3">
        <f>IFERROR(__xludf.DUMMYFUNCTION("""COMPUTED_VALUE"""),173.0)</f>
        <v>173</v>
      </c>
      <c r="E333" s="1" t="str">
        <f t="array" ref="E333">_xlfn.XLOOKUP(A333,Product!A:A,Product!B:B,"Bulunamadı")</f>
        <v>Tech</v>
      </c>
      <c r="F333" s="1" t="str">
        <f t="array" ref="F333">_xlfn.XLOOKUP(A333,Product!A:A,Product!C:C,"Bulunamadı")</f>
        <v>Paranormal</v>
      </c>
      <c r="G333" s="2" t="str">
        <f t="array" ref="G333">_xlfn.XLOOKUP(A334,Product!A:A,Product!D:D,"Bulunamadı")</f>
        <v>Forest Gate Books</v>
      </c>
      <c r="H333" s="2">
        <f t="array" ref="H333">_xlfn.XLOOKUP(A335,Product!A:A,Product!E:E,"Bulunamadı")</f>
        <v>7.56</v>
      </c>
      <c r="I333" s="2" t="str">
        <f t="shared" si="1"/>
        <v>128332 - Tech - Paranormal</v>
      </c>
      <c r="J333" s="2">
        <f t="shared" si="2"/>
        <v>1307.88</v>
      </c>
      <c r="K333" s="17">
        <f t="shared" si="3"/>
        <v>1</v>
      </c>
      <c r="L333" s="18"/>
    </row>
    <row r="334" hidden="1">
      <c r="A334" s="2">
        <f>IFERROR(__xludf.DUMMYFUNCTION("""COMPUTED_VALUE"""),200354.0)</f>
        <v>200354</v>
      </c>
      <c r="B334" s="2">
        <f>IFERROR(__xludf.DUMMYFUNCTION("""COMPUTED_VALUE"""),1.0)</f>
        <v>1</v>
      </c>
      <c r="C334" s="2">
        <f>IFERROR(__xludf.DUMMYFUNCTION("""COMPUTED_VALUE"""),354.0)</f>
        <v>354</v>
      </c>
      <c r="D334" s="3">
        <f>IFERROR(__xludf.DUMMYFUNCTION("""COMPUTED_VALUE"""),317.0)</f>
        <v>317</v>
      </c>
      <c r="E334" s="1" t="str">
        <f t="array" ref="E334">_xlfn.XLOOKUP(A334,Product!A:A,Product!B:B,"Bulunamadı")</f>
        <v>Tech</v>
      </c>
      <c r="F334" s="1" t="str">
        <f t="array" ref="F334">_xlfn.XLOOKUP(A334,Product!A:A,Product!C:C,"Bulunamadı")</f>
        <v>Paranormal</v>
      </c>
      <c r="G334" s="2" t="str">
        <f t="array" ref="G334">_xlfn.XLOOKUP(A335,Product!A:A,Product!D:D,"Bulunamadı")</f>
        <v>Forest Gate Books</v>
      </c>
      <c r="H334" s="2">
        <f t="array" ref="H334">_xlfn.XLOOKUP(A336,Product!A:A,Product!E:E,"Bulunamadı")</f>
        <v>4.1</v>
      </c>
      <c r="I334" s="2" t="str">
        <f t="shared" si="1"/>
        <v>200354 - Tech - Paranormal</v>
      </c>
      <c r="J334" s="2">
        <f t="shared" si="2"/>
        <v>1299.7</v>
      </c>
      <c r="K334" s="17">
        <f t="shared" si="3"/>
        <v>1</v>
      </c>
      <c r="L334" s="18"/>
    </row>
    <row r="335" hidden="1">
      <c r="A335" s="2">
        <f>IFERROR(__xludf.DUMMYFUNCTION("""COMPUTED_VALUE"""),100042.0)</f>
        <v>100042</v>
      </c>
      <c r="B335" s="2">
        <f>IFERROR(__xludf.DUMMYFUNCTION("""COMPUTED_VALUE"""),0.0)</f>
        <v>0</v>
      </c>
      <c r="C335" s="2">
        <f>IFERROR(__xludf.DUMMYFUNCTION("""COMPUTED_VALUE"""),437.0)</f>
        <v>437</v>
      </c>
      <c r="D335" s="3">
        <f>IFERROR(__xludf.DUMMYFUNCTION("""COMPUTED_VALUE"""),57.0)</f>
        <v>57</v>
      </c>
      <c r="E335" s="1" t="str">
        <f t="array" ref="E335">_xlfn.XLOOKUP(A335,Product!A:A,Product!B:B,"Bulunamadı")</f>
        <v>Tech</v>
      </c>
      <c r="F335" s="1" t="str">
        <f t="array" ref="F335">_xlfn.XLOOKUP(A335,Product!A:A,Product!C:C,"Bulunamadı")</f>
        <v>Paranormal</v>
      </c>
      <c r="G335" s="2" t="str">
        <f t="array" ref="G335">_xlfn.XLOOKUP(A336,Product!A:A,Product!D:D,"Bulunamadı")</f>
        <v>Forest Gate Books</v>
      </c>
      <c r="H335" s="2">
        <f t="array" ref="H335">_xlfn.XLOOKUP(A337,Product!A:A,Product!E:E,"Bulunamadı")</f>
        <v>4.29</v>
      </c>
      <c r="I335" s="2" t="str">
        <f t="shared" si="1"/>
        <v>100042 - Tech - Paranormal</v>
      </c>
      <c r="J335" s="2">
        <f t="shared" si="2"/>
        <v>244.53</v>
      </c>
      <c r="K335" s="17">
        <f t="shared" si="3"/>
        <v>1</v>
      </c>
      <c r="L335" s="18"/>
    </row>
    <row r="336" hidden="1">
      <c r="A336" s="2">
        <f>IFERROR(__xludf.DUMMYFUNCTION("""COMPUTED_VALUE"""),122446.0)</f>
        <v>122446</v>
      </c>
      <c r="B336" s="2">
        <f>IFERROR(__xludf.DUMMYFUNCTION("""COMPUTED_VALUE"""),1.0)</f>
        <v>1</v>
      </c>
      <c r="C336" s="2">
        <f>IFERROR(__xludf.DUMMYFUNCTION("""COMPUTED_VALUE"""),529.0)</f>
        <v>529</v>
      </c>
      <c r="D336" s="3">
        <f>IFERROR(__xludf.DUMMYFUNCTION("""COMPUTED_VALUE"""),177.0)</f>
        <v>177</v>
      </c>
      <c r="E336" s="1" t="str">
        <f t="array" ref="E336">_xlfn.XLOOKUP(A336,Product!A:A,Product!B:B,"Bulunamadı")</f>
        <v>Tech</v>
      </c>
      <c r="F336" s="1" t="str">
        <f t="array" ref="F336">_xlfn.XLOOKUP(A336,Product!A:A,Product!C:C,"Bulunamadı")</f>
        <v>Paranormal</v>
      </c>
      <c r="G336" s="2" t="str">
        <f t="array" ref="G336">_xlfn.XLOOKUP(A337,Product!A:A,Product!D:D,"Bulunamadı")</f>
        <v>Forest Gate Books</v>
      </c>
      <c r="H336" s="2">
        <f t="array" ref="H336">_xlfn.XLOOKUP(A338,Product!A:A,Product!E:E,"Bulunamadı")</f>
        <v>3.99</v>
      </c>
      <c r="I336" s="2" t="str">
        <f t="shared" si="1"/>
        <v>122446 - Tech - Paranormal</v>
      </c>
      <c r="J336" s="2">
        <f t="shared" si="2"/>
        <v>706.23</v>
      </c>
      <c r="K336" s="17">
        <f t="shared" si="3"/>
        <v>1</v>
      </c>
      <c r="L336" s="18"/>
    </row>
    <row r="337" hidden="1">
      <c r="A337" s="2">
        <f>IFERROR(__xludf.DUMMYFUNCTION("""COMPUTED_VALUE"""),160761.0)</f>
        <v>160761</v>
      </c>
      <c r="B337" s="2">
        <f>IFERROR(__xludf.DUMMYFUNCTION("""COMPUTED_VALUE"""),1.0)</f>
        <v>1</v>
      </c>
      <c r="C337" s="2">
        <f>IFERROR(__xludf.DUMMYFUNCTION("""COMPUTED_VALUE"""),484.0)</f>
        <v>484</v>
      </c>
      <c r="D337" s="3">
        <f>IFERROR(__xludf.DUMMYFUNCTION("""COMPUTED_VALUE"""),393.0)</f>
        <v>393</v>
      </c>
      <c r="E337" s="1" t="str">
        <f t="array" ref="E337">_xlfn.XLOOKUP(A337,Product!A:A,Product!B:B,"Bulunamadı")</f>
        <v>Tech</v>
      </c>
      <c r="F337" s="1" t="str">
        <f t="array" ref="F337">_xlfn.XLOOKUP(A337,Product!A:A,Product!C:C,"Bulunamadı")</f>
        <v>Paranormal</v>
      </c>
      <c r="G337" s="2" t="str">
        <f t="array" ref="G337">_xlfn.XLOOKUP(A338,Product!A:A,Product!D:D,"Bulunamadı")</f>
        <v>Forest Gate Books</v>
      </c>
      <c r="H337" s="2">
        <f t="array" ref="H337">_xlfn.XLOOKUP(A339,Product!A:A,Product!E:E,"Bulunamadı")</f>
        <v>2.37</v>
      </c>
      <c r="I337" s="2" t="str">
        <f t="shared" si="1"/>
        <v>160761 - Tech - Paranormal</v>
      </c>
      <c r="J337" s="2">
        <f t="shared" si="2"/>
        <v>931.41</v>
      </c>
      <c r="K337" s="17">
        <f t="shared" si="3"/>
        <v>1</v>
      </c>
      <c r="L337" s="18"/>
    </row>
    <row r="338" hidden="1">
      <c r="A338" s="2">
        <f>IFERROR(__xludf.DUMMYFUNCTION("""COMPUTED_VALUE"""),89503.0)</f>
        <v>89503</v>
      </c>
      <c r="B338" s="2">
        <f>IFERROR(__xludf.DUMMYFUNCTION("""COMPUTED_VALUE"""),0.0)</f>
        <v>0</v>
      </c>
      <c r="C338" s="2">
        <f>IFERROR(__xludf.DUMMYFUNCTION("""COMPUTED_VALUE"""),844.0)</f>
        <v>844</v>
      </c>
      <c r="D338" s="3">
        <f>IFERROR(__xludf.DUMMYFUNCTION("""COMPUTED_VALUE"""),680.0)</f>
        <v>680</v>
      </c>
      <c r="E338" s="1" t="str">
        <f t="array" ref="E338">_xlfn.XLOOKUP(A338,Product!A:A,Product!B:B,"Bulunamadı")</f>
        <v>Tech</v>
      </c>
      <c r="F338" s="1" t="str">
        <f t="array" ref="F338">_xlfn.XLOOKUP(A338,Product!A:A,Product!C:C,"Bulunamadı")</f>
        <v>Paranormal</v>
      </c>
      <c r="G338" s="2" t="str">
        <f t="array" ref="G338">_xlfn.XLOOKUP(A339,Product!A:A,Product!D:D,"Bulunamadı")</f>
        <v>Forest Gate Books</v>
      </c>
      <c r="H338" s="2">
        <f t="array" ref="H338">_xlfn.XLOOKUP(A340,Product!A:A,Product!E:E,"Bulunamadı")</f>
        <v>5.84</v>
      </c>
      <c r="I338" s="2" t="str">
        <f t="shared" si="1"/>
        <v>89503 - Tech - Paranormal</v>
      </c>
      <c r="J338" s="2">
        <f t="shared" si="2"/>
        <v>3971.2</v>
      </c>
      <c r="K338" s="17">
        <f t="shared" si="3"/>
        <v>1</v>
      </c>
      <c r="L338" s="18"/>
    </row>
    <row r="339" hidden="1">
      <c r="A339" s="2">
        <f>IFERROR(__xludf.DUMMYFUNCTION("""COMPUTED_VALUE"""),160744.0)</f>
        <v>160744</v>
      </c>
      <c r="B339" s="2">
        <f>IFERROR(__xludf.DUMMYFUNCTION("""COMPUTED_VALUE"""),1.0)</f>
        <v>1</v>
      </c>
      <c r="C339" s="2">
        <f>IFERROR(__xludf.DUMMYFUNCTION("""COMPUTED_VALUE"""),397.0)</f>
        <v>397</v>
      </c>
      <c r="D339" s="3">
        <f>IFERROR(__xludf.DUMMYFUNCTION("""COMPUTED_VALUE"""),321.0)</f>
        <v>321</v>
      </c>
      <c r="E339" s="1" t="str">
        <f t="array" ref="E339">_xlfn.XLOOKUP(A339,Product!A:A,Product!B:B,"Bulunamadı")</f>
        <v>Tech</v>
      </c>
      <c r="F339" s="1" t="str">
        <f t="array" ref="F339">_xlfn.XLOOKUP(A339,Product!A:A,Product!C:C,"Bulunamadı")</f>
        <v>Paranormal</v>
      </c>
      <c r="G339" s="2" t="str">
        <f t="array" ref="G339">_xlfn.XLOOKUP(A340,Product!A:A,Product!D:D,"Bulunamadı")</f>
        <v>Forest Gate Books</v>
      </c>
      <c r="H339" s="2">
        <f t="array" ref="H339">_xlfn.XLOOKUP(A341,Product!A:A,Product!E:E,"Bulunamadı")</f>
        <v>3.55</v>
      </c>
      <c r="I339" s="2" t="str">
        <f t="shared" si="1"/>
        <v>160744 - Tech - Paranormal</v>
      </c>
      <c r="J339" s="2">
        <f t="shared" si="2"/>
        <v>1139.55</v>
      </c>
      <c r="K339" s="17">
        <f t="shared" si="3"/>
        <v>1</v>
      </c>
      <c r="L339" s="18"/>
    </row>
    <row r="340" hidden="1">
      <c r="A340" s="2">
        <f>IFERROR(__xludf.DUMMYFUNCTION("""COMPUTED_VALUE"""),111590.0)</f>
        <v>111590</v>
      </c>
      <c r="B340" s="2">
        <f>IFERROR(__xludf.DUMMYFUNCTION("""COMPUTED_VALUE"""),1.0)</f>
        <v>1</v>
      </c>
      <c r="C340" s="2">
        <f>IFERROR(__xludf.DUMMYFUNCTION("""COMPUTED_VALUE"""),35.0)</f>
        <v>35</v>
      </c>
      <c r="D340" s="3">
        <f>IFERROR(__xludf.DUMMYFUNCTION("""COMPUTED_VALUE"""),14.0)</f>
        <v>14</v>
      </c>
      <c r="E340" s="1" t="str">
        <f t="array" ref="E340">_xlfn.XLOOKUP(A340,Product!A:A,Product!B:B,"Bulunamadı")</f>
        <v>Tech</v>
      </c>
      <c r="F340" s="1" t="str">
        <f t="array" ref="F340">_xlfn.XLOOKUP(A340,Product!A:A,Product!C:C,"Bulunamadı")</f>
        <v>Paranormal</v>
      </c>
      <c r="G340" s="2" t="str">
        <f t="array" ref="G340">_xlfn.XLOOKUP(A341,Product!A:A,Product!D:D,"Bulunamadı")</f>
        <v>Forest Gate Books</v>
      </c>
      <c r="H340" s="2">
        <f t="array" ref="H340">_xlfn.XLOOKUP(A342,Product!A:A,Product!E:E,"Bulunamadı")</f>
        <v>4.1</v>
      </c>
      <c r="I340" s="2" t="str">
        <f t="shared" si="1"/>
        <v>111590 - Tech - Paranormal</v>
      </c>
      <c r="J340" s="2">
        <f t="shared" si="2"/>
        <v>57.4</v>
      </c>
      <c r="K340" s="17">
        <f t="shared" si="3"/>
        <v>1</v>
      </c>
      <c r="L340" s="18"/>
    </row>
    <row r="341" hidden="1">
      <c r="A341" s="2">
        <f>IFERROR(__xludf.DUMMYFUNCTION("""COMPUTED_VALUE"""),110070.0)</f>
        <v>110070</v>
      </c>
      <c r="B341" s="2">
        <f>IFERROR(__xludf.DUMMYFUNCTION("""COMPUTED_VALUE"""),0.0)</f>
        <v>0</v>
      </c>
      <c r="C341" s="2">
        <f>IFERROR(__xludf.DUMMYFUNCTION("""COMPUTED_VALUE"""),529.0)</f>
        <v>529</v>
      </c>
      <c r="D341" s="3">
        <f>IFERROR(__xludf.DUMMYFUNCTION("""COMPUTED_VALUE"""),399.0)</f>
        <v>399</v>
      </c>
      <c r="E341" s="1" t="str">
        <f t="array" ref="E341">_xlfn.XLOOKUP(A341,Product!A:A,Product!B:B,"Bulunamadı")</f>
        <v>Tech</v>
      </c>
      <c r="F341" s="1" t="str">
        <f t="array" ref="F341">_xlfn.XLOOKUP(A341,Product!A:A,Product!C:C,"Bulunamadı")</f>
        <v>Paranormal</v>
      </c>
      <c r="G341" s="2" t="str">
        <f t="array" ref="G341">_xlfn.XLOOKUP(A342,Product!A:A,Product!D:D,"Bulunamadı")</f>
        <v>Forest Gate Books</v>
      </c>
      <c r="H341" s="2">
        <f t="array" ref="H341">_xlfn.XLOOKUP(A343,Product!A:A,Product!E:E,"Bulunamadı")</f>
        <v>2.31</v>
      </c>
      <c r="I341" s="2" t="str">
        <f t="shared" si="1"/>
        <v>110070 - Tech - Paranormal</v>
      </c>
      <c r="J341" s="2">
        <f t="shared" si="2"/>
        <v>921.69</v>
      </c>
      <c r="K341" s="17">
        <f t="shared" si="3"/>
        <v>1</v>
      </c>
      <c r="L341" s="18"/>
    </row>
    <row r="342" hidden="1">
      <c r="A342" s="2">
        <f>IFERROR(__xludf.DUMMYFUNCTION("""COMPUTED_VALUE"""),101005.0)</f>
        <v>101005</v>
      </c>
      <c r="B342" s="2">
        <f>IFERROR(__xludf.DUMMYFUNCTION("""COMPUTED_VALUE"""),1.0)</f>
        <v>1</v>
      </c>
      <c r="C342" s="2">
        <f>IFERROR(__xludf.DUMMYFUNCTION("""COMPUTED_VALUE"""),812.0)</f>
        <v>812</v>
      </c>
      <c r="D342" s="3">
        <f>IFERROR(__xludf.DUMMYFUNCTION("""COMPUTED_VALUE"""),332.0)</f>
        <v>332</v>
      </c>
      <c r="E342" s="1" t="str">
        <f t="array" ref="E342">_xlfn.XLOOKUP(A342,Product!A:A,Product!B:B,"Bulunamadı")</f>
        <v>Tech</v>
      </c>
      <c r="F342" s="1" t="str">
        <f t="array" ref="F342">_xlfn.XLOOKUP(A342,Product!A:A,Product!C:C,"Bulunamadı")</f>
        <v>Paranormal</v>
      </c>
      <c r="G342" s="2" t="str">
        <f t="array" ref="G342">_xlfn.XLOOKUP(A343,Product!A:A,Product!D:D,"Bulunamadı")</f>
        <v>Forest Gate Books</v>
      </c>
      <c r="H342" s="2">
        <f t="array" ref="H342">_xlfn.XLOOKUP(A344,Product!A:A,Product!E:E,"Bulunamadı")</f>
        <v>4.76</v>
      </c>
      <c r="I342" s="2" t="str">
        <f t="shared" si="1"/>
        <v>101005 - Tech - Paranormal</v>
      </c>
      <c r="J342" s="2">
        <f t="shared" si="2"/>
        <v>1580.32</v>
      </c>
      <c r="K342" s="17">
        <f t="shared" si="3"/>
        <v>1</v>
      </c>
      <c r="L342" s="18"/>
    </row>
    <row r="343" hidden="1">
      <c r="A343" s="2">
        <f>IFERROR(__xludf.DUMMYFUNCTION("""COMPUTED_VALUE"""),160745.0)</f>
        <v>160745</v>
      </c>
      <c r="B343" s="2">
        <f>IFERROR(__xludf.DUMMYFUNCTION("""COMPUTED_VALUE"""),0.0)</f>
        <v>0</v>
      </c>
      <c r="C343" s="2">
        <f>IFERROR(__xludf.DUMMYFUNCTION("""COMPUTED_VALUE"""),158.0)</f>
        <v>158</v>
      </c>
      <c r="D343" s="3">
        <f>IFERROR(__xludf.DUMMYFUNCTION("""COMPUTED_VALUE"""),113.0)</f>
        <v>113</v>
      </c>
      <c r="E343" s="1" t="str">
        <f t="array" ref="E343">_xlfn.XLOOKUP(A343,Product!A:A,Product!B:B,"Bulunamadı")</f>
        <v>Tech</v>
      </c>
      <c r="F343" s="1" t="str">
        <f t="array" ref="F343">_xlfn.XLOOKUP(A343,Product!A:A,Product!C:C,"Bulunamadı")</f>
        <v>Paranormal</v>
      </c>
      <c r="G343" s="2" t="str">
        <f t="array" ref="G343">_xlfn.XLOOKUP(A344,Product!A:A,Product!D:D,"Bulunamadı")</f>
        <v>Forest Gate Books</v>
      </c>
      <c r="H343" s="2">
        <f t="array" ref="H343">_xlfn.XLOOKUP(A345,Product!A:A,Product!E:E,"Bulunamadı")</f>
        <v>3.5</v>
      </c>
      <c r="I343" s="2" t="str">
        <f t="shared" si="1"/>
        <v>160745 - Tech - Paranormal</v>
      </c>
      <c r="J343" s="2">
        <f t="shared" si="2"/>
        <v>395.5</v>
      </c>
      <c r="K343" s="17">
        <f t="shared" si="3"/>
        <v>1</v>
      </c>
      <c r="L343" s="18"/>
    </row>
    <row r="344" hidden="1">
      <c r="A344" s="2">
        <f>IFERROR(__xludf.DUMMYFUNCTION("""COMPUTED_VALUE"""),23073.0)</f>
        <v>23073</v>
      </c>
      <c r="B344" s="2">
        <f>IFERROR(__xludf.DUMMYFUNCTION("""COMPUTED_VALUE"""),1.0)</f>
        <v>1</v>
      </c>
      <c r="C344" s="2">
        <f>IFERROR(__xludf.DUMMYFUNCTION("""COMPUTED_VALUE"""),335.0)</f>
        <v>335</v>
      </c>
      <c r="D344" s="3">
        <f>IFERROR(__xludf.DUMMYFUNCTION("""COMPUTED_VALUE"""),84.0)</f>
        <v>84</v>
      </c>
      <c r="E344" s="1" t="str">
        <f t="array" ref="E344">_xlfn.XLOOKUP(A344,Product!A:A,Product!B:B,"Bulunamadı")</f>
        <v>Tech</v>
      </c>
      <c r="F344" s="1" t="str">
        <f t="array" ref="F344">_xlfn.XLOOKUP(A344,Product!A:A,Product!C:C,"Bulunamadı")</f>
        <v>Paranormal</v>
      </c>
      <c r="G344" s="2" t="str">
        <f t="array" ref="G344">_xlfn.XLOOKUP(A345,Product!A:A,Product!D:D,"Bulunamadı")</f>
        <v>Forest Gate Books</v>
      </c>
      <c r="H344" s="2">
        <f t="array" ref="H344">_xlfn.XLOOKUP(A346,Product!A:A,Product!E:E,"Bulunamadı")</f>
        <v>4.66</v>
      </c>
      <c r="I344" s="2" t="str">
        <f t="shared" si="1"/>
        <v>23073 - Tech - Paranormal</v>
      </c>
      <c r="J344" s="2">
        <f t="shared" si="2"/>
        <v>391.44</v>
      </c>
      <c r="K344" s="17">
        <f t="shared" si="3"/>
        <v>1</v>
      </c>
      <c r="L344" s="18"/>
    </row>
    <row r="345" hidden="1">
      <c r="A345" s="2">
        <f>IFERROR(__xludf.DUMMYFUNCTION("""COMPUTED_VALUE"""),70064.0)</f>
        <v>70064</v>
      </c>
      <c r="B345" s="2">
        <f>IFERROR(__xludf.DUMMYFUNCTION("""COMPUTED_VALUE"""),0.0)</f>
        <v>0</v>
      </c>
      <c r="C345" s="2">
        <f>IFERROR(__xludf.DUMMYFUNCTION("""COMPUTED_VALUE"""),782.0)</f>
        <v>782</v>
      </c>
      <c r="D345" s="3">
        <f>IFERROR(__xludf.DUMMYFUNCTION("""COMPUTED_VALUE"""),251.0)</f>
        <v>251</v>
      </c>
      <c r="E345" s="1" t="str">
        <f t="array" ref="E345">_xlfn.XLOOKUP(A345,Product!A:A,Product!B:B,"Bulunamadı")</f>
        <v>Tech</v>
      </c>
      <c r="F345" s="1" t="str">
        <f t="array" ref="F345">_xlfn.XLOOKUP(A345,Product!A:A,Product!C:C,"Bulunamadı")</f>
        <v>Paranormal</v>
      </c>
      <c r="G345" s="2" t="str">
        <f t="array" ref="G345">_xlfn.XLOOKUP(A346,Product!A:A,Product!D:D,"Bulunamadı")</f>
        <v>Forest Gate Books</v>
      </c>
      <c r="H345" s="2">
        <f t="array" ref="H345">_xlfn.XLOOKUP(A347,Product!A:A,Product!E:E,"Bulunamadı")</f>
        <v>3.5</v>
      </c>
      <c r="I345" s="2" t="str">
        <f t="shared" si="1"/>
        <v>70064 - Tech - Paranormal</v>
      </c>
      <c r="J345" s="2">
        <f t="shared" si="2"/>
        <v>878.5</v>
      </c>
      <c r="K345" s="17">
        <f t="shared" si="3"/>
        <v>1</v>
      </c>
      <c r="L345" s="18"/>
    </row>
    <row r="346" hidden="1">
      <c r="A346" s="2">
        <f>IFERROR(__xludf.DUMMYFUNCTION("""COMPUTED_VALUE"""),129135.0)</f>
        <v>129135</v>
      </c>
      <c r="B346" s="2">
        <f>IFERROR(__xludf.DUMMYFUNCTION("""COMPUTED_VALUE"""),1.0)</f>
        <v>1</v>
      </c>
      <c r="C346" s="2">
        <f>IFERROR(__xludf.DUMMYFUNCTION("""COMPUTED_VALUE"""),941.0)</f>
        <v>941</v>
      </c>
      <c r="D346" s="3">
        <f>IFERROR(__xludf.DUMMYFUNCTION("""COMPUTED_VALUE"""),527.0)</f>
        <v>527</v>
      </c>
      <c r="E346" s="1" t="str">
        <f t="array" ref="E346">_xlfn.XLOOKUP(A346,Product!A:A,Product!B:B,"Bulunamadı")</f>
        <v>Tech</v>
      </c>
      <c r="F346" s="1" t="str">
        <f t="array" ref="F346">_xlfn.XLOOKUP(A346,Product!A:A,Product!C:C,"Bulunamadı")</f>
        <v>Paranormal</v>
      </c>
      <c r="G346" s="2" t="str">
        <f t="array" ref="G346">_xlfn.XLOOKUP(A347,Product!A:A,Product!D:D,"Bulunamadı")</f>
        <v>Forest Gate Books</v>
      </c>
      <c r="H346" s="2">
        <f t="array" ref="H346">_xlfn.XLOOKUP(A348,Product!A:A,Product!E:E,"Bulunamadı")</f>
        <v>3.34</v>
      </c>
      <c r="I346" s="2" t="str">
        <f t="shared" si="1"/>
        <v>129135 - Tech - Paranormal</v>
      </c>
      <c r="J346" s="2">
        <f t="shared" si="2"/>
        <v>1760.18</v>
      </c>
      <c r="K346" s="17">
        <f t="shared" si="3"/>
        <v>1</v>
      </c>
      <c r="L346" s="18"/>
    </row>
    <row r="347" hidden="1">
      <c r="A347" s="2">
        <f>IFERROR(__xludf.DUMMYFUNCTION("""COMPUTED_VALUE"""),104440.0)</f>
        <v>104440</v>
      </c>
      <c r="B347" s="2">
        <f>IFERROR(__xludf.DUMMYFUNCTION("""COMPUTED_VALUE"""),0.0)</f>
        <v>0</v>
      </c>
      <c r="C347" s="2">
        <f>IFERROR(__xludf.DUMMYFUNCTION("""COMPUTED_VALUE"""),912.0)</f>
        <v>912</v>
      </c>
      <c r="D347" s="3">
        <f>IFERROR(__xludf.DUMMYFUNCTION("""COMPUTED_VALUE"""),225.0)</f>
        <v>225</v>
      </c>
      <c r="E347" s="1" t="str">
        <f t="array" ref="E347">_xlfn.XLOOKUP(A347,Product!A:A,Product!B:B,"Bulunamadı")</f>
        <v>Tech</v>
      </c>
      <c r="F347" s="1" t="str">
        <f t="array" ref="F347">_xlfn.XLOOKUP(A347,Product!A:A,Product!C:C,"Bulunamadı")</f>
        <v>Paranormal</v>
      </c>
      <c r="G347" s="2" t="str">
        <f t="array" ref="G347">_xlfn.XLOOKUP(A348,Product!A:A,Product!D:D,"Bulunamadı")</f>
        <v>Forest Gate Books</v>
      </c>
      <c r="H347" s="2">
        <f t="array" ref="H347">_xlfn.XLOOKUP(A349,Product!A:A,Product!E:E,"Bulunamadı")</f>
        <v>2.29</v>
      </c>
      <c r="I347" s="2" t="str">
        <f t="shared" si="1"/>
        <v>104440 - Tech - Paranormal</v>
      </c>
      <c r="J347" s="2">
        <f t="shared" si="2"/>
        <v>515.25</v>
      </c>
      <c r="K347" s="17">
        <f t="shared" si="3"/>
        <v>1</v>
      </c>
      <c r="L347" s="18"/>
    </row>
    <row r="348" hidden="1">
      <c r="A348" s="2">
        <f>IFERROR(__xludf.DUMMYFUNCTION("""COMPUTED_VALUE"""),70063.0)</f>
        <v>70063</v>
      </c>
      <c r="B348" s="2">
        <f>IFERROR(__xludf.DUMMYFUNCTION("""COMPUTED_VALUE"""),1.0)</f>
        <v>1</v>
      </c>
      <c r="C348" s="2">
        <f>IFERROR(__xludf.DUMMYFUNCTION("""COMPUTED_VALUE"""),346.0)</f>
        <v>346</v>
      </c>
      <c r="D348" s="3">
        <f>IFERROR(__xludf.DUMMYFUNCTION("""COMPUTED_VALUE"""),246.0)</f>
        <v>246</v>
      </c>
      <c r="E348" s="1" t="str">
        <f t="array" ref="E348">_xlfn.XLOOKUP(A348,Product!A:A,Product!B:B,"Bulunamadı")</f>
        <v>Tech</v>
      </c>
      <c r="F348" s="1" t="str">
        <f t="array" ref="F348">_xlfn.XLOOKUP(A348,Product!A:A,Product!C:C,"Bulunamadı")</f>
        <v>Paranormal</v>
      </c>
      <c r="G348" s="2" t="str">
        <f t="array" ref="G348">_xlfn.XLOOKUP(A349,Product!A:A,Product!D:D,"Bulunamadı")</f>
        <v>Forest Gate Books</v>
      </c>
      <c r="H348" s="2">
        <f t="array" ref="H348">_xlfn.XLOOKUP(A350,Product!A:A,Product!E:E,"Bulunamadı")</f>
        <v>6.89</v>
      </c>
      <c r="I348" s="2" t="str">
        <f t="shared" si="1"/>
        <v>70063 - Tech - Paranormal</v>
      </c>
      <c r="J348" s="2">
        <f t="shared" si="2"/>
        <v>1694.94</v>
      </c>
      <c r="K348" s="17">
        <f t="shared" si="3"/>
        <v>1</v>
      </c>
      <c r="L348" s="18"/>
    </row>
    <row r="349" hidden="1">
      <c r="A349" s="2">
        <f>IFERROR(__xludf.DUMMYFUNCTION("""COMPUTED_VALUE"""),160748.0)</f>
        <v>160748</v>
      </c>
      <c r="B349" s="2">
        <f>IFERROR(__xludf.DUMMYFUNCTION("""COMPUTED_VALUE"""),1.0)</f>
        <v>1</v>
      </c>
      <c r="C349" s="2">
        <f>IFERROR(__xludf.DUMMYFUNCTION("""COMPUTED_VALUE"""),568.0)</f>
        <v>568</v>
      </c>
      <c r="D349" s="3">
        <f>IFERROR(__xludf.DUMMYFUNCTION("""COMPUTED_VALUE"""),292.0)</f>
        <v>292</v>
      </c>
      <c r="E349" s="1" t="str">
        <f t="array" ref="E349">_xlfn.XLOOKUP(A349,Product!A:A,Product!B:B,"Bulunamadı")</f>
        <v>Tech</v>
      </c>
      <c r="F349" s="1" t="str">
        <f t="array" ref="F349">_xlfn.XLOOKUP(A349,Product!A:A,Product!C:C,"Bulunamadı")</f>
        <v>Paranormal</v>
      </c>
      <c r="G349" s="2" t="str">
        <f t="array" ref="G349">_xlfn.XLOOKUP(A350,Product!A:A,Product!D:D,"Bulunamadı")</f>
        <v>Forest Gate Books</v>
      </c>
      <c r="H349" s="2">
        <f t="array" ref="H349">_xlfn.XLOOKUP(A351,Product!A:A,Product!E:E,"Bulunamadı")</f>
        <v>6.9</v>
      </c>
      <c r="I349" s="2" t="str">
        <f t="shared" si="1"/>
        <v>160748 - Tech - Paranormal</v>
      </c>
      <c r="J349" s="2">
        <f t="shared" si="2"/>
        <v>2014.8</v>
      </c>
      <c r="K349" s="17">
        <f t="shared" si="3"/>
        <v>1</v>
      </c>
      <c r="L349" s="18"/>
    </row>
    <row r="350" hidden="1">
      <c r="A350" s="2">
        <f>IFERROR(__xludf.DUMMYFUNCTION("""COMPUTED_VALUE"""),181242.0)</f>
        <v>181242</v>
      </c>
      <c r="B350" s="2">
        <f>IFERROR(__xludf.DUMMYFUNCTION("""COMPUTED_VALUE"""),0.0)</f>
        <v>0</v>
      </c>
      <c r="C350" s="2">
        <f>IFERROR(__xludf.DUMMYFUNCTION("""COMPUTED_VALUE"""),710.0)</f>
        <v>710</v>
      </c>
      <c r="D350" s="3">
        <f>IFERROR(__xludf.DUMMYFUNCTION("""COMPUTED_VALUE"""),703.0)</f>
        <v>703</v>
      </c>
      <c r="E350" s="1" t="str">
        <f t="array" ref="E350">_xlfn.XLOOKUP(A350,Product!A:A,Product!B:B,"Bulunamadı")</f>
        <v>Tech</v>
      </c>
      <c r="F350" s="1" t="str">
        <f t="array" ref="F350">_xlfn.XLOOKUP(A350,Product!A:A,Product!C:C,"Bulunamadı")</f>
        <v>Paranormal</v>
      </c>
      <c r="G350" s="2" t="str">
        <f t="array" ref="G350">_xlfn.XLOOKUP(A351,Product!A:A,Product!D:D,"Bulunamadı")</f>
        <v>Forest Gate Books</v>
      </c>
      <c r="H350" s="2">
        <f t="array" ref="H350">_xlfn.XLOOKUP(A352,Product!A:A,Product!E:E,"Bulunamadı")</f>
        <v>4.61</v>
      </c>
      <c r="I350" s="2" t="str">
        <f t="shared" si="1"/>
        <v>181242 - Tech - Paranormal</v>
      </c>
      <c r="J350" s="2">
        <f t="shared" si="2"/>
        <v>3240.83</v>
      </c>
      <c r="K350" s="17">
        <f t="shared" si="3"/>
        <v>1</v>
      </c>
      <c r="L350" s="18"/>
    </row>
    <row r="351" hidden="1">
      <c r="A351" s="2">
        <f>IFERROR(__xludf.DUMMYFUNCTION("""COMPUTED_VALUE"""),200323.0)</f>
        <v>200323</v>
      </c>
      <c r="B351" s="2">
        <f>IFERROR(__xludf.DUMMYFUNCTION("""COMPUTED_VALUE"""),1.0)</f>
        <v>1</v>
      </c>
      <c r="C351" s="2">
        <f>IFERROR(__xludf.DUMMYFUNCTION("""COMPUTED_VALUE"""),464.0)</f>
        <v>464</v>
      </c>
      <c r="D351" s="3">
        <f>IFERROR(__xludf.DUMMYFUNCTION("""COMPUTED_VALUE"""),353.0)</f>
        <v>353</v>
      </c>
      <c r="E351" s="1" t="str">
        <f t="array" ref="E351">_xlfn.XLOOKUP(A351,Product!A:A,Product!B:B,"Bulunamadı")</f>
        <v>Tech</v>
      </c>
      <c r="F351" s="1" t="str">
        <f t="array" ref="F351">_xlfn.XLOOKUP(A351,Product!A:A,Product!C:C,"Bulunamadı")</f>
        <v>Paranormal</v>
      </c>
      <c r="G351" s="2" t="str">
        <f t="array" ref="G351">_xlfn.XLOOKUP(A352,Product!A:A,Product!D:D,"Bulunamadı")</f>
        <v>Forest Gate Books</v>
      </c>
      <c r="H351" s="2">
        <f t="array" ref="H351">_xlfn.XLOOKUP(A353,Product!A:A,Product!E:E,"Bulunamadı")</f>
        <v>2.74</v>
      </c>
      <c r="I351" s="2" t="str">
        <f t="shared" si="1"/>
        <v>200323 - Tech - Paranormal</v>
      </c>
      <c r="J351" s="2">
        <f t="shared" si="2"/>
        <v>967.22</v>
      </c>
      <c r="K351" s="17">
        <f t="shared" si="3"/>
        <v>1</v>
      </c>
      <c r="L351" s="18"/>
    </row>
    <row r="352" hidden="1">
      <c r="A352" s="2">
        <f>IFERROR(__xludf.DUMMYFUNCTION("""COMPUTED_VALUE"""),129132.0)</f>
        <v>129132</v>
      </c>
      <c r="B352" s="2">
        <f>IFERROR(__xludf.DUMMYFUNCTION("""COMPUTED_VALUE"""),1.0)</f>
        <v>1</v>
      </c>
      <c r="C352" s="2">
        <f>IFERROR(__xludf.DUMMYFUNCTION("""COMPUTED_VALUE"""),796.0)</f>
        <v>796</v>
      </c>
      <c r="D352" s="3">
        <f>IFERROR(__xludf.DUMMYFUNCTION("""COMPUTED_VALUE"""),260.0)</f>
        <v>260</v>
      </c>
      <c r="E352" s="1" t="str">
        <f t="array" ref="E352">_xlfn.XLOOKUP(A352,Product!A:A,Product!B:B,"Bulunamadı")</f>
        <v>Tech</v>
      </c>
      <c r="F352" s="1" t="str">
        <f t="array" ref="F352">_xlfn.XLOOKUP(A352,Product!A:A,Product!C:C,"Bulunamadı")</f>
        <v>Paranormal</v>
      </c>
      <c r="G352" s="2" t="str">
        <f t="array" ref="G352">_xlfn.XLOOKUP(A353,Product!A:A,Product!D:D,"Bulunamadı")</f>
        <v>Forest Gate Books</v>
      </c>
      <c r="H352" s="2">
        <f t="array" ref="H352">_xlfn.XLOOKUP(A354,Product!A:A,Product!E:E,"Bulunamadı")</f>
        <v>4.25</v>
      </c>
      <c r="I352" s="2" t="str">
        <f t="shared" si="1"/>
        <v>129132 - Tech - Paranormal</v>
      </c>
      <c r="J352" s="2">
        <f t="shared" si="2"/>
        <v>1105</v>
      </c>
      <c r="K352" s="17">
        <f t="shared" si="3"/>
        <v>1</v>
      </c>
      <c r="L352" s="18"/>
    </row>
    <row r="353" hidden="1">
      <c r="A353" s="2">
        <f>IFERROR(__xludf.DUMMYFUNCTION("""COMPUTED_VALUE"""),160743.0)</f>
        <v>160743</v>
      </c>
      <c r="B353" s="2">
        <f>IFERROR(__xludf.DUMMYFUNCTION("""COMPUTED_VALUE"""),1.0)</f>
        <v>1</v>
      </c>
      <c r="C353" s="2">
        <f>IFERROR(__xludf.DUMMYFUNCTION("""COMPUTED_VALUE"""),780.0)</f>
        <v>780</v>
      </c>
      <c r="D353" s="3">
        <f>IFERROR(__xludf.DUMMYFUNCTION("""COMPUTED_VALUE"""),700.0)</f>
        <v>700</v>
      </c>
      <c r="E353" s="1" t="str">
        <f t="array" ref="E353">_xlfn.XLOOKUP(A353,Product!A:A,Product!B:B,"Bulunamadı")</f>
        <v>Tech</v>
      </c>
      <c r="F353" s="1" t="str">
        <f t="array" ref="F353">_xlfn.XLOOKUP(A353,Product!A:A,Product!C:C,"Bulunamadı")</f>
        <v>Paranormal</v>
      </c>
      <c r="G353" s="2" t="str">
        <f t="array" ref="G353">_xlfn.XLOOKUP(A354,Product!A:A,Product!D:D,"Bulunamadı")</f>
        <v>Forest Gate Books</v>
      </c>
      <c r="H353" s="2">
        <f t="array" ref="H353">_xlfn.XLOOKUP(A355,Product!A:A,Product!E:E,"Bulunamadı")</f>
        <v>3.62</v>
      </c>
      <c r="I353" s="2" t="str">
        <f t="shared" si="1"/>
        <v>160743 - Tech - Paranormal</v>
      </c>
      <c r="J353" s="2">
        <f t="shared" si="2"/>
        <v>2534</v>
      </c>
      <c r="K353" s="17">
        <f t="shared" si="3"/>
        <v>1</v>
      </c>
      <c r="L353" s="18"/>
    </row>
    <row r="354" hidden="1">
      <c r="A354" s="2">
        <f>IFERROR(__xludf.DUMMYFUNCTION("""COMPUTED_VALUE"""),89610.0)</f>
        <v>89610</v>
      </c>
      <c r="B354" s="2">
        <f>IFERROR(__xludf.DUMMYFUNCTION("""COMPUTED_VALUE"""),0.0)</f>
        <v>0</v>
      </c>
      <c r="C354" s="2">
        <f>IFERROR(__xludf.DUMMYFUNCTION("""COMPUTED_VALUE"""),564.0)</f>
        <v>564</v>
      </c>
      <c r="D354" s="3">
        <f>IFERROR(__xludf.DUMMYFUNCTION("""COMPUTED_VALUE"""),286.0)</f>
        <v>286</v>
      </c>
      <c r="E354" s="1" t="str">
        <f t="array" ref="E354">_xlfn.XLOOKUP(A354,Product!A:A,Product!B:B,"Bulunamadı")</f>
        <v>Tech</v>
      </c>
      <c r="F354" s="1" t="str">
        <f t="array" ref="F354">_xlfn.XLOOKUP(A354,Product!A:A,Product!C:C,"Bulunamadı")</f>
        <v>Paranormal</v>
      </c>
      <c r="G354" s="2" t="str">
        <f t="array" ref="G354">_xlfn.XLOOKUP(A355,Product!A:A,Product!D:D,"Bulunamadı")</f>
        <v>Forest Gate Books</v>
      </c>
      <c r="H354" s="2">
        <f t="array" ref="H354">_xlfn.XLOOKUP(A356,Product!A:A,Product!E:E,"Bulunamadı")</f>
        <v>4.24</v>
      </c>
      <c r="I354" s="2" t="str">
        <f t="shared" si="1"/>
        <v>89610 - Tech - Paranormal</v>
      </c>
      <c r="J354" s="2">
        <f t="shared" si="2"/>
        <v>1212.64</v>
      </c>
      <c r="K354" s="17">
        <f t="shared" si="3"/>
        <v>1</v>
      </c>
      <c r="L354" s="18"/>
    </row>
    <row r="355" hidden="1">
      <c r="A355" s="2">
        <f>IFERROR(__xludf.DUMMYFUNCTION("""COMPUTED_VALUE"""),112113.0)</f>
        <v>112113</v>
      </c>
      <c r="B355" s="2">
        <f>IFERROR(__xludf.DUMMYFUNCTION("""COMPUTED_VALUE"""),0.0)</f>
        <v>0</v>
      </c>
      <c r="C355" s="2">
        <f>IFERROR(__xludf.DUMMYFUNCTION("""COMPUTED_VALUE"""),574.0)</f>
        <v>574</v>
      </c>
      <c r="D355" s="3">
        <f>IFERROR(__xludf.DUMMYFUNCTION("""COMPUTED_VALUE"""),417.0)</f>
        <v>417</v>
      </c>
      <c r="E355" s="1" t="str">
        <f t="array" ref="E355">_xlfn.XLOOKUP(A355,Product!A:A,Product!B:B,"Bulunamadı")</f>
        <v>Tech</v>
      </c>
      <c r="F355" s="1" t="str">
        <f t="array" ref="F355">_xlfn.XLOOKUP(A355,Product!A:A,Product!C:C,"Bulunamadı")</f>
        <v>Paranormal</v>
      </c>
      <c r="G355" s="2" t="str">
        <f t="array" ref="G355">_xlfn.XLOOKUP(A356,Product!A:A,Product!D:D,"Bulunamadı")</f>
        <v>Forest Gate Books</v>
      </c>
      <c r="H355" s="2">
        <f t="array" ref="H355">_xlfn.XLOOKUP(A357,Product!A:A,Product!E:E,"Bulunamadı")</f>
        <v>3.61</v>
      </c>
      <c r="I355" s="2" t="str">
        <f t="shared" si="1"/>
        <v>112113 - Tech - Paranormal</v>
      </c>
      <c r="J355" s="2">
        <f t="shared" si="2"/>
        <v>1505.37</v>
      </c>
      <c r="K355" s="17">
        <f t="shared" si="3"/>
        <v>1</v>
      </c>
      <c r="L355" s="18"/>
    </row>
    <row r="356" hidden="1">
      <c r="A356" s="2">
        <f>IFERROR(__xludf.DUMMYFUNCTION("""COMPUTED_VALUE"""),107801.0)</f>
        <v>107801</v>
      </c>
      <c r="B356" s="2">
        <f>IFERROR(__xludf.DUMMYFUNCTION("""COMPUTED_VALUE"""),0.0)</f>
        <v>0</v>
      </c>
      <c r="C356" s="2">
        <f>IFERROR(__xludf.DUMMYFUNCTION("""COMPUTED_VALUE"""),898.0)</f>
        <v>898</v>
      </c>
      <c r="D356" s="3">
        <f>IFERROR(__xludf.DUMMYFUNCTION("""COMPUTED_VALUE"""),596.0)</f>
        <v>596</v>
      </c>
      <c r="E356" s="1" t="str">
        <f t="array" ref="E356">_xlfn.XLOOKUP(A356,Product!A:A,Product!B:B,"Bulunamadı")</f>
        <v>Tech</v>
      </c>
      <c r="F356" s="1" t="str">
        <f t="array" ref="F356">_xlfn.XLOOKUP(A356,Product!A:A,Product!C:C,"Bulunamadı")</f>
        <v>Paranormal</v>
      </c>
      <c r="G356" s="2" t="str">
        <f t="array" ref="G356">_xlfn.XLOOKUP(A357,Product!A:A,Product!D:D,"Bulunamadı")</f>
        <v>Forest Gate Books</v>
      </c>
      <c r="H356" s="2">
        <f t="array" ref="H356">_xlfn.XLOOKUP(A358,Product!A:A,Product!E:E,"Bulunamadı")</f>
        <v>0.94</v>
      </c>
      <c r="I356" s="2" t="str">
        <f t="shared" si="1"/>
        <v>107801 - Tech - Paranormal</v>
      </c>
      <c r="J356" s="2">
        <f t="shared" si="2"/>
        <v>560.24</v>
      </c>
      <c r="K356" s="17">
        <f t="shared" si="3"/>
        <v>1</v>
      </c>
      <c r="L356" s="18"/>
    </row>
    <row r="357" hidden="1">
      <c r="A357" s="2">
        <f>IFERROR(__xludf.DUMMYFUNCTION("""COMPUTED_VALUE"""),70065.0)</f>
        <v>70065</v>
      </c>
      <c r="B357" s="2">
        <f>IFERROR(__xludf.DUMMYFUNCTION("""COMPUTED_VALUE"""),0.0)</f>
        <v>0</v>
      </c>
      <c r="C357" s="2">
        <f>IFERROR(__xludf.DUMMYFUNCTION("""COMPUTED_VALUE"""),609.0)</f>
        <v>609</v>
      </c>
      <c r="D357" s="3">
        <f>IFERROR(__xludf.DUMMYFUNCTION("""COMPUTED_VALUE"""),281.0)</f>
        <v>281</v>
      </c>
      <c r="E357" s="1" t="str">
        <f t="array" ref="E357">_xlfn.XLOOKUP(A357,Product!A:A,Product!B:B,"Bulunamadı")</f>
        <v>Tech</v>
      </c>
      <c r="F357" s="1" t="str">
        <f t="array" ref="F357">_xlfn.XLOOKUP(A357,Product!A:A,Product!C:C,"Bulunamadı")</f>
        <v>Paranormal</v>
      </c>
      <c r="G357" s="2" t="str">
        <f t="array" ref="G357">_xlfn.XLOOKUP(A358,Product!A:A,Product!D:D,"Bulunamadı")</f>
        <v>Sunrise Hill Press</v>
      </c>
      <c r="H357" s="2">
        <f t="array" ref="H357">_xlfn.XLOOKUP(A359,Product!A:A,Product!E:E,"Bulunamadı")</f>
        <v>0.99</v>
      </c>
      <c r="I357" s="2" t="str">
        <f t="shared" si="1"/>
        <v>70065 - Tech - Paranormal</v>
      </c>
      <c r="J357" s="2">
        <f t="shared" si="2"/>
        <v>278.19</v>
      </c>
      <c r="K357" s="17">
        <f t="shared" si="3"/>
        <v>1</v>
      </c>
      <c r="L357" s="18"/>
    </row>
    <row r="358" hidden="1">
      <c r="A358" s="2">
        <f>IFERROR(__xludf.DUMMYFUNCTION("""COMPUTED_VALUE"""),539.0)</f>
        <v>539</v>
      </c>
      <c r="B358" s="2">
        <f>IFERROR(__xludf.DUMMYFUNCTION("""COMPUTED_VALUE"""),0.0)</f>
        <v>0</v>
      </c>
      <c r="C358" s="2">
        <f>IFERROR(__xludf.DUMMYFUNCTION("""COMPUTED_VALUE"""),561.0)</f>
        <v>561</v>
      </c>
      <c r="D358" s="3">
        <f>IFERROR(__xludf.DUMMYFUNCTION("""COMPUTED_VALUE"""),157.0)</f>
        <v>157</v>
      </c>
      <c r="E358" s="1" t="str">
        <f t="array" ref="E358">_xlfn.XLOOKUP(A358,Product!A:A,Product!B:B,"Bulunamadı")</f>
        <v>Tech</v>
      </c>
      <c r="F358" s="1" t="str">
        <f t="array" ref="F358">_xlfn.XLOOKUP(A358,Product!A:A,Product!C:C,"Bulunamadı")</f>
        <v>Paranormal</v>
      </c>
      <c r="G358" s="2" t="str">
        <f t="array" ref="G358">_xlfn.XLOOKUP(A359,Product!A:A,Product!D:D,"Bulunamadı")</f>
        <v>Sunrise Hill Press</v>
      </c>
      <c r="H358" s="2">
        <f t="array" ref="H358">_xlfn.XLOOKUP(A360,Product!A:A,Product!E:E,"Bulunamadı")</f>
        <v>1.59</v>
      </c>
      <c r="I358" s="2" t="str">
        <f t="shared" si="1"/>
        <v>539 - Tech - Paranormal</v>
      </c>
      <c r="J358" s="2">
        <f t="shared" si="2"/>
        <v>249.63</v>
      </c>
      <c r="K358" s="17">
        <f t="shared" si="3"/>
        <v>1</v>
      </c>
      <c r="L358" s="18"/>
    </row>
    <row r="359" hidden="1">
      <c r="A359" s="2">
        <f>IFERROR(__xludf.DUMMYFUNCTION("""COMPUTED_VALUE"""),7857.0)</f>
        <v>7857</v>
      </c>
      <c r="B359" s="2">
        <f>IFERROR(__xludf.DUMMYFUNCTION("""COMPUTED_VALUE"""),1.0)</f>
        <v>1</v>
      </c>
      <c r="C359" s="2">
        <f>IFERROR(__xludf.DUMMYFUNCTION("""COMPUTED_VALUE"""),553.0)</f>
        <v>553</v>
      </c>
      <c r="D359" s="3">
        <f>IFERROR(__xludf.DUMMYFUNCTION("""COMPUTED_VALUE"""),451.0)</f>
        <v>451</v>
      </c>
      <c r="E359" s="1" t="str">
        <f t="array" ref="E359">_xlfn.XLOOKUP(A359,Product!A:A,Product!B:B,"Bulunamadı")</f>
        <v>Tech</v>
      </c>
      <c r="F359" s="1" t="str">
        <f t="array" ref="F359">_xlfn.XLOOKUP(A359,Product!A:A,Product!C:C,"Bulunamadı")</f>
        <v>Paranormal</v>
      </c>
      <c r="G359" s="2" t="str">
        <f t="array" ref="G359">_xlfn.XLOOKUP(A360,Product!A:A,Product!D:D,"Bulunamadı")</f>
        <v>Sunrise Hill Press</v>
      </c>
      <c r="H359" s="2">
        <f t="array" ref="H359">_xlfn.XLOOKUP(A361,Product!A:A,Product!E:E,"Bulunamadı")</f>
        <v>4.25</v>
      </c>
      <c r="I359" s="2" t="str">
        <f t="shared" si="1"/>
        <v>7857 - Tech - Paranormal</v>
      </c>
      <c r="J359" s="2">
        <f t="shared" si="2"/>
        <v>1916.75</v>
      </c>
      <c r="K359" s="17">
        <f t="shared" si="3"/>
        <v>1</v>
      </c>
      <c r="L359" s="18"/>
    </row>
    <row r="360" hidden="1">
      <c r="A360" s="2">
        <f>IFERROR(__xludf.DUMMYFUNCTION("""COMPUTED_VALUE"""),111726.0)</f>
        <v>111726</v>
      </c>
      <c r="B360" s="2">
        <f>IFERROR(__xludf.DUMMYFUNCTION("""COMPUTED_VALUE"""),0.0)</f>
        <v>0</v>
      </c>
      <c r="C360" s="2">
        <f>IFERROR(__xludf.DUMMYFUNCTION("""COMPUTED_VALUE"""),767.0)</f>
        <v>767</v>
      </c>
      <c r="D360" s="3">
        <f>IFERROR(__xludf.DUMMYFUNCTION("""COMPUTED_VALUE"""),0.0)</f>
        <v>0</v>
      </c>
      <c r="E360" s="1" t="str">
        <f t="array" ref="E360">_xlfn.XLOOKUP(A360,Product!A:A,Product!B:B,"Bulunamadı")</f>
        <v>Tech</v>
      </c>
      <c r="F360" s="1" t="str">
        <f t="array" ref="F360">_xlfn.XLOOKUP(A360,Product!A:A,Product!C:C,"Bulunamadı")</f>
        <v>Paranormal</v>
      </c>
      <c r="G360" s="2" t="str">
        <f t="array" ref="G360">_xlfn.XLOOKUP(A361,Product!A:A,Product!D:D,"Bulunamadı")</f>
        <v>Sunrise Hill Press</v>
      </c>
      <c r="H360" s="2">
        <f t="array" ref="H360">_xlfn.XLOOKUP(A362,Product!A:A,Product!E:E,"Bulunamadı")</f>
        <v>1.99</v>
      </c>
      <c r="I360" s="2" t="str">
        <f t="shared" si="1"/>
        <v>111726 - Tech - Paranormal</v>
      </c>
      <c r="J360" s="2">
        <f t="shared" si="2"/>
        <v>0</v>
      </c>
      <c r="K360" s="17">
        <f t="shared" si="3"/>
        <v>0</v>
      </c>
      <c r="L360" s="18"/>
    </row>
    <row r="361" hidden="1">
      <c r="A361" s="2">
        <f>IFERROR(__xludf.DUMMYFUNCTION("""COMPUTED_VALUE"""),120992.0)</f>
        <v>120992</v>
      </c>
      <c r="B361" s="2">
        <f>IFERROR(__xludf.DUMMYFUNCTION("""COMPUTED_VALUE"""),1.0)</f>
        <v>1</v>
      </c>
      <c r="C361" s="2">
        <f>IFERROR(__xludf.DUMMYFUNCTION("""COMPUTED_VALUE"""),560.0)</f>
        <v>560</v>
      </c>
      <c r="D361" s="3">
        <f>IFERROR(__xludf.DUMMYFUNCTION("""COMPUTED_VALUE"""),423.0)</f>
        <v>423</v>
      </c>
      <c r="E361" s="1" t="str">
        <f t="array" ref="E361">_xlfn.XLOOKUP(A361,Product!A:A,Product!B:B,"Bulunamadı")</f>
        <v>Tech</v>
      </c>
      <c r="F361" s="1" t="str">
        <f t="array" ref="F361">_xlfn.XLOOKUP(A361,Product!A:A,Product!C:C,"Bulunamadı")</f>
        <v>Paranormal</v>
      </c>
      <c r="G361" s="2" t="str">
        <f t="array" ref="G361">_xlfn.XLOOKUP(A362,Product!A:A,Product!D:D,"Bulunamadı")</f>
        <v>Sunrise Hill Press</v>
      </c>
      <c r="H361" s="2">
        <f t="array" ref="H361">_xlfn.XLOOKUP(A363,Product!A:A,Product!E:E,"Bulunamadı")</f>
        <v>2.36</v>
      </c>
      <c r="I361" s="2" t="str">
        <f t="shared" si="1"/>
        <v>120992 - Tech - Paranormal</v>
      </c>
      <c r="J361" s="2">
        <f t="shared" si="2"/>
        <v>998.28</v>
      </c>
      <c r="K361" s="17">
        <f t="shared" si="3"/>
        <v>1</v>
      </c>
      <c r="L361" s="18"/>
    </row>
    <row r="362" hidden="1">
      <c r="A362" s="2">
        <f>IFERROR(__xludf.DUMMYFUNCTION("""COMPUTED_VALUE"""),158482.0)</f>
        <v>158482</v>
      </c>
      <c r="B362" s="2">
        <f>IFERROR(__xludf.DUMMYFUNCTION("""COMPUTED_VALUE"""),0.0)</f>
        <v>0</v>
      </c>
      <c r="C362" s="2">
        <f>IFERROR(__xludf.DUMMYFUNCTION("""COMPUTED_VALUE"""),591.0)</f>
        <v>591</v>
      </c>
      <c r="D362" s="3">
        <f>IFERROR(__xludf.DUMMYFUNCTION("""COMPUTED_VALUE"""),361.0)</f>
        <v>361</v>
      </c>
      <c r="E362" s="1" t="str">
        <f t="array" ref="E362">_xlfn.XLOOKUP(A362,Product!A:A,Product!B:B,"Bulunamadı")</f>
        <v>Tech</v>
      </c>
      <c r="F362" s="1" t="str">
        <f t="array" ref="F362">_xlfn.XLOOKUP(A362,Product!A:A,Product!C:C,"Bulunamadı")</f>
        <v>Paranormal</v>
      </c>
      <c r="G362" s="2" t="str">
        <f t="array" ref="G362">_xlfn.XLOOKUP(A363,Product!A:A,Product!D:D,"Bulunamadı")</f>
        <v>Sunrise Hill Press</v>
      </c>
      <c r="H362" s="2">
        <f t="array" ref="H362">_xlfn.XLOOKUP(A364,Product!A:A,Product!E:E,"Bulunamadı")</f>
        <v>1.4</v>
      </c>
      <c r="I362" s="2" t="str">
        <f t="shared" si="1"/>
        <v>158482 - Tech - Paranormal</v>
      </c>
      <c r="J362" s="2">
        <f t="shared" si="2"/>
        <v>505.4</v>
      </c>
      <c r="K362" s="17">
        <f t="shared" si="3"/>
        <v>1</v>
      </c>
      <c r="L362" s="18"/>
    </row>
    <row r="363" hidden="1">
      <c r="A363" s="2">
        <f>IFERROR(__xludf.DUMMYFUNCTION("""COMPUTED_VALUE"""),193132.0)</f>
        <v>193132</v>
      </c>
      <c r="B363" s="2">
        <f>IFERROR(__xludf.DUMMYFUNCTION("""COMPUTED_VALUE"""),0.0)</f>
        <v>0</v>
      </c>
      <c r="C363" s="2">
        <f>IFERROR(__xludf.DUMMYFUNCTION("""COMPUTED_VALUE"""),454.0)</f>
        <v>454</v>
      </c>
      <c r="D363" s="3">
        <f>IFERROR(__xludf.DUMMYFUNCTION("""COMPUTED_VALUE"""),15.0)</f>
        <v>15</v>
      </c>
      <c r="E363" s="1" t="str">
        <f t="array" ref="E363">_xlfn.XLOOKUP(A363,Product!A:A,Product!B:B,"Bulunamadı")</f>
        <v>Tech</v>
      </c>
      <c r="F363" s="1" t="str">
        <f t="array" ref="F363">_xlfn.XLOOKUP(A363,Product!A:A,Product!C:C,"Bulunamadı")</f>
        <v>Paranormal</v>
      </c>
      <c r="G363" s="2" t="str">
        <f t="array" ref="G363">_xlfn.XLOOKUP(A364,Product!A:A,Product!D:D,"Bulunamadı")</f>
        <v>Sunrise Hill Press</v>
      </c>
      <c r="H363" s="2">
        <f t="array" ref="H363">_xlfn.XLOOKUP(A365,Product!A:A,Product!E:E,"Bulunamadı")</f>
        <v>2.38</v>
      </c>
      <c r="I363" s="2" t="str">
        <f t="shared" si="1"/>
        <v>193132 - Tech - Paranormal</v>
      </c>
      <c r="J363" s="2">
        <f t="shared" si="2"/>
        <v>35.7</v>
      </c>
      <c r="K363" s="17">
        <f t="shared" si="3"/>
        <v>1</v>
      </c>
      <c r="L363" s="18"/>
    </row>
    <row r="364" hidden="1">
      <c r="A364" s="2">
        <f>IFERROR(__xludf.DUMMYFUNCTION("""COMPUTED_VALUE"""),118901.0)</f>
        <v>118901</v>
      </c>
      <c r="B364" s="2">
        <f>IFERROR(__xludf.DUMMYFUNCTION("""COMPUTED_VALUE"""),0.0)</f>
        <v>0</v>
      </c>
      <c r="C364" s="2">
        <f>IFERROR(__xludf.DUMMYFUNCTION("""COMPUTED_VALUE"""),715.0)</f>
        <v>715</v>
      </c>
      <c r="D364" s="3">
        <f>IFERROR(__xludf.DUMMYFUNCTION("""COMPUTED_VALUE"""),208.0)</f>
        <v>208</v>
      </c>
      <c r="E364" s="1" t="str">
        <f t="array" ref="E364">_xlfn.XLOOKUP(A364,Product!A:A,Product!B:B,"Bulunamadı")</f>
        <v>Tech</v>
      </c>
      <c r="F364" s="1" t="str">
        <f t="array" ref="F364">_xlfn.XLOOKUP(A364,Product!A:A,Product!C:C,"Bulunamadı")</f>
        <v>Paranormal</v>
      </c>
      <c r="G364" s="2" t="str">
        <f t="array" ref="G364">_xlfn.XLOOKUP(A365,Product!A:A,Product!D:D,"Bulunamadı")</f>
        <v>Sunrise Hill Press</v>
      </c>
      <c r="H364" s="2">
        <f t="array" ref="H364">_xlfn.XLOOKUP(A366,Product!A:A,Product!E:E,"Bulunamadı")</f>
        <v>4.38</v>
      </c>
      <c r="I364" s="2" t="str">
        <f t="shared" si="1"/>
        <v>118901 - Tech - Paranormal</v>
      </c>
      <c r="J364" s="2">
        <f t="shared" si="2"/>
        <v>911.04</v>
      </c>
      <c r="K364" s="17">
        <f t="shared" si="3"/>
        <v>1</v>
      </c>
      <c r="L364" s="18"/>
    </row>
    <row r="365" hidden="1">
      <c r="A365" s="2">
        <f>IFERROR(__xludf.DUMMYFUNCTION("""COMPUTED_VALUE"""),193131.0)</f>
        <v>193131</v>
      </c>
      <c r="B365" s="2">
        <f>IFERROR(__xludf.DUMMYFUNCTION("""COMPUTED_VALUE"""),1.0)</f>
        <v>1</v>
      </c>
      <c r="C365" s="2">
        <f>IFERROR(__xludf.DUMMYFUNCTION("""COMPUTED_VALUE"""),715.0)</f>
        <v>715</v>
      </c>
      <c r="D365" s="3">
        <f>IFERROR(__xludf.DUMMYFUNCTION("""COMPUTED_VALUE"""),386.0)</f>
        <v>386</v>
      </c>
      <c r="E365" s="1" t="str">
        <f t="array" ref="E365">_xlfn.XLOOKUP(A365,Product!A:A,Product!B:B,"Bulunamadı")</f>
        <v>Tech</v>
      </c>
      <c r="F365" s="1" t="str">
        <f t="array" ref="F365">_xlfn.XLOOKUP(A365,Product!A:A,Product!C:C,"Bulunamadı")</f>
        <v>Paranormal</v>
      </c>
      <c r="G365" s="2" t="str">
        <f t="array" ref="G365">_xlfn.XLOOKUP(A366,Product!A:A,Product!D:D,"Bulunamadı")</f>
        <v>Sunrise Hill Press</v>
      </c>
      <c r="H365" s="2">
        <f t="array" ref="H365">_xlfn.XLOOKUP(A367,Product!A:A,Product!E:E,"Bulunamadı")</f>
        <v>2.7</v>
      </c>
      <c r="I365" s="2" t="str">
        <f t="shared" si="1"/>
        <v>193131 - Tech - Paranormal</v>
      </c>
      <c r="J365" s="2">
        <f t="shared" si="2"/>
        <v>1042.2</v>
      </c>
      <c r="K365" s="17">
        <f t="shared" si="3"/>
        <v>1</v>
      </c>
      <c r="L365" s="18"/>
    </row>
    <row r="366" hidden="1">
      <c r="A366" s="2">
        <f>IFERROR(__xludf.DUMMYFUNCTION("""COMPUTED_VALUE"""),115709.0)</f>
        <v>115709</v>
      </c>
      <c r="B366" s="2">
        <f>IFERROR(__xludf.DUMMYFUNCTION("""COMPUTED_VALUE"""),0.0)</f>
        <v>0</v>
      </c>
      <c r="C366" s="2">
        <f>IFERROR(__xludf.DUMMYFUNCTION("""COMPUTED_VALUE"""),114.0)</f>
        <v>114</v>
      </c>
      <c r="D366" s="3">
        <f>IFERROR(__xludf.DUMMYFUNCTION("""COMPUTED_VALUE"""),91.0)</f>
        <v>91</v>
      </c>
      <c r="E366" s="1" t="str">
        <f t="array" ref="E366">_xlfn.XLOOKUP(A366,Product!A:A,Product!B:B,"Bulunamadı")</f>
        <v>Tech</v>
      </c>
      <c r="F366" s="1" t="str">
        <f t="array" ref="F366">_xlfn.XLOOKUP(A366,Product!A:A,Product!C:C,"Bulunamadı")</f>
        <v>Paranormal</v>
      </c>
      <c r="G366" s="2" t="str">
        <f t="array" ref="G366">_xlfn.XLOOKUP(A367,Product!A:A,Product!D:D,"Bulunamadı")</f>
        <v>Sunrise Hill Press</v>
      </c>
      <c r="H366" s="2">
        <f t="array" ref="H366">_xlfn.XLOOKUP(A368,Product!A:A,Product!E:E,"Bulunamadı")</f>
        <v>0.88</v>
      </c>
      <c r="I366" s="2" t="str">
        <f t="shared" si="1"/>
        <v>115709 - Tech - Paranormal</v>
      </c>
      <c r="J366" s="2">
        <f t="shared" si="2"/>
        <v>80.08</v>
      </c>
      <c r="K366" s="17">
        <f t="shared" si="3"/>
        <v>1</v>
      </c>
      <c r="L366" s="18"/>
    </row>
    <row r="367" hidden="1">
      <c r="A367" s="2">
        <f>IFERROR(__xludf.DUMMYFUNCTION("""COMPUTED_VALUE"""),121619.0)</f>
        <v>121619</v>
      </c>
      <c r="B367" s="2">
        <f>IFERROR(__xludf.DUMMYFUNCTION("""COMPUTED_VALUE"""),0.0)</f>
        <v>0</v>
      </c>
      <c r="C367" s="2">
        <f>IFERROR(__xludf.DUMMYFUNCTION("""COMPUTED_VALUE"""),171.0)</f>
        <v>171</v>
      </c>
      <c r="D367" s="3">
        <f>IFERROR(__xludf.DUMMYFUNCTION("""COMPUTED_VALUE"""),55.0)</f>
        <v>55</v>
      </c>
      <c r="E367" s="1" t="str">
        <f t="array" ref="E367">_xlfn.XLOOKUP(A367,Product!A:A,Product!B:B,"Bulunamadı")</f>
        <v>Tech</v>
      </c>
      <c r="F367" s="1" t="str">
        <f t="array" ref="F367">_xlfn.XLOOKUP(A367,Product!A:A,Product!C:C,"Bulunamadı")</f>
        <v>Paranormal</v>
      </c>
      <c r="G367" s="2" t="str">
        <f t="array" ref="G367">_xlfn.XLOOKUP(A368,Product!A:A,Product!D:D,"Bulunamadı")</f>
        <v>Sunrise Hill Press</v>
      </c>
      <c r="H367" s="2">
        <f t="array" ref="H367">_xlfn.XLOOKUP(A369,Product!A:A,Product!E:E,"Bulunamadı")</f>
        <v>2.45</v>
      </c>
      <c r="I367" s="2" t="str">
        <f t="shared" si="1"/>
        <v>121619 - Tech - Paranormal</v>
      </c>
      <c r="J367" s="2">
        <f t="shared" si="2"/>
        <v>134.75</v>
      </c>
      <c r="K367" s="17">
        <f t="shared" si="3"/>
        <v>1</v>
      </c>
      <c r="L367" s="18"/>
    </row>
    <row r="368" hidden="1">
      <c r="A368" s="2">
        <f>IFERROR(__xludf.DUMMYFUNCTION("""COMPUTED_VALUE"""),103647.0)</f>
        <v>103647</v>
      </c>
      <c r="B368" s="2">
        <f>IFERROR(__xludf.DUMMYFUNCTION("""COMPUTED_VALUE"""),1.0)</f>
        <v>1</v>
      </c>
      <c r="C368" s="2">
        <f>IFERROR(__xludf.DUMMYFUNCTION("""COMPUTED_VALUE"""),216.0)</f>
        <v>216</v>
      </c>
      <c r="D368" s="3">
        <f>IFERROR(__xludf.DUMMYFUNCTION("""COMPUTED_VALUE"""),164.0)</f>
        <v>164</v>
      </c>
      <c r="E368" s="1" t="str">
        <f t="array" ref="E368">_xlfn.XLOOKUP(A368,Product!A:A,Product!B:B,"Bulunamadı")</f>
        <v>Tech</v>
      </c>
      <c r="F368" s="1" t="str">
        <f t="array" ref="F368">_xlfn.XLOOKUP(A368,Product!A:A,Product!C:C,"Bulunamadı")</f>
        <v>Paranormal</v>
      </c>
      <c r="G368" s="2" t="str">
        <f t="array" ref="G368">_xlfn.XLOOKUP(A369,Product!A:A,Product!D:D,"Bulunamadı")</f>
        <v>Sunrise Hill Press</v>
      </c>
      <c r="H368" s="2">
        <f t="array" ref="H368">_xlfn.XLOOKUP(A370,Product!A:A,Product!E:E,"Bulunamadı")</f>
        <v>2.46</v>
      </c>
      <c r="I368" s="2" t="str">
        <f t="shared" si="1"/>
        <v>103647 - Tech - Paranormal</v>
      </c>
      <c r="J368" s="2">
        <f t="shared" si="2"/>
        <v>403.44</v>
      </c>
      <c r="K368" s="17">
        <f t="shared" si="3"/>
        <v>1</v>
      </c>
      <c r="L368" s="18"/>
    </row>
    <row r="369" hidden="1">
      <c r="A369" s="2">
        <f>IFERROR(__xludf.DUMMYFUNCTION("""COMPUTED_VALUE"""),121616.0)</f>
        <v>121616</v>
      </c>
      <c r="B369" s="2">
        <f>IFERROR(__xludf.DUMMYFUNCTION("""COMPUTED_VALUE"""),1.0)</f>
        <v>1</v>
      </c>
      <c r="C369" s="2">
        <f>IFERROR(__xludf.DUMMYFUNCTION("""COMPUTED_VALUE"""),793.0)</f>
        <v>793</v>
      </c>
      <c r="D369" s="3">
        <f>IFERROR(__xludf.DUMMYFUNCTION("""COMPUTED_VALUE"""),610.0)</f>
        <v>610</v>
      </c>
      <c r="E369" s="1" t="str">
        <f t="array" ref="E369">_xlfn.XLOOKUP(A369,Product!A:A,Product!B:B,"Bulunamadı")</f>
        <v>Tech</v>
      </c>
      <c r="F369" s="1" t="str">
        <f t="array" ref="F369">_xlfn.XLOOKUP(A369,Product!A:A,Product!C:C,"Bulunamadı")</f>
        <v>Paranormal</v>
      </c>
      <c r="G369" s="2" t="str">
        <f t="array" ref="G369">_xlfn.XLOOKUP(A370,Product!A:A,Product!D:D,"Bulunamadı")</f>
        <v>Sunrise Hill Press</v>
      </c>
      <c r="H369" s="2">
        <f t="array" ref="H369">_xlfn.XLOOKUP(A371,Product!A:A,Product!E:E,"Bulunamadı")</f>
        <v>1.48</v>
      </c>
      <c r="I369" s="2" t="str">
        <f t="shared" si="1"/>
        <v>121616 - Tech - Paranormal</v>
      </c>
      <c r="J369" s="2">
        <f t="shared" si="2"/>
        <v>902.8</v>
      </c>
      <c r="K369" s="17">
        <f t="shared" si="3"/>
        <v>1</v>
      </c>
      <c r="L369" s="18"/>
    </row>
    <row r="370" hidden="1">
      <c r="A370" s="2">
        <f>IFERROR(__xludf.DUMMYFUNCTION("""COMPUTED_VALUE"""),121618.0)</f>
        <v>121618</v>
      </c>
      <c r="B370" s="2">
        <f>IFERROR(__xludf.DUMMYFUNCTION("""COMPUTED_VALUE"""),1.0)</f>
        <v>1</v>
      </c>
      <c r="C370" s="2">
        <f>IFERROR(__xludf.DUMMYFUNCTION("""COMPUTED_VALUE"""),542.0)</f>
        <v>542</v>
      </c>
      <c r="D370" s="3">
        <f>IFERROR(__xludf.DUMMYFUNCTION("""COMPUTED_VALUE"""),454.0)</f>
        <v>454</v>
      </c>
      <c r="E370" s="1" t="str">
        <f t="array" ref="E370">_xlfn.XLOOKUP(A370,Product!A:A,Product!B:B,"Bulunamadı")</f>
        <v>Tech</v>
      </c>
      <c r="F370" s="1" t="str">
        <f t="array" ref="F370">_xlfn.XLOOKUP(A370,Product!A:A,Product!C:C,"Bulunamadı")</f>
        <v>Paranormal</v>
      </c>
      <c r="G370" s="2" t="str">
        <f t="array" ref="G370">_xlfn.XLOOKUP(A371,Product!A:A,Product!D:D,"Bulunamadı")</f>
        <v>Sunrise Hill Press</v>
      </c>
      <c r="H370" s="2">
        <f t="array" ref="H370">_xlfn.XLOOKUP(A372,Product!A:A,Product!E:E,"Bulunamadı")</f>
        <v>4.43</v>
      </c>
      <c r="I370" s="2" t="str">
        <f t="shared" si="1"/>
        <v>121618 - Tech - Paranormal</v>
      </c>
      <c r="J370" s="2">
        <f t="shared" si="2"/>
        <v>2011.22</v>
      </c>
      <c r="K370" s="17">
        <f t="shared" si="3"/>
        <v>1</v>
      </c>
      <c r="L370" s="18"/>
    </row>
    <row r="371" hidden="1">
      <c r="A371" s="2">
        <f>IFERROR(__xludf.DUMMYFUNCTION("""COMPUTED_VALUE"""),129360.0)</f>
        <v>129360</v>
      </c>
      <c r="B371" s="2">
        <f>IFERROR(__xludf.DUMMYFUNCTION("""COMPUTED_VALUE"""),1.0)</f>
        <v>1</v>
      </c>
      <c r="C371" s="2">
        <f>IFERROR(__xludf.DUMMYFUNCTION("""COMPUTED_VALUE"""),41.0)</f>
        <v>41</v>
      </c>
      <c r="D371" s="3">
        <f>IFERROR(__xludf.DUMMYFUNCTION("""COMPUTED_VALUE"""),36.0)</f>
        <v>36</v>
      </c>
      <c r="E371" s="1" t="str">
        <f t="array" ref="E371">_xlfn.XLOOKUP(A371,Product!A:A,Product!B:B,"Bulunamadı")</f>
        <v>Tech</v>
      </c>
      <c r="F371" s="1" t="str">
        <f t="array" ref="F371">_xlfn.XLOOKUP(A371,Product!A:A,Product!C:C,"Bulunamadı")</f>
        <v>Paranormal</v>
      </c>
      <c r="G371" s="2" t="str">
        <f t="array" ref="G371">_xlfn.XLOOKUP(A372,Product!A:A,Product!D:D,"Bulunamadı")</f>
        <v>Sunrise Hill Press</v>
      </c>
      <c r="H371" s="2">
        <f t="array" ref="H371">_xlfn.XLOOKUP(A373,Product!A:A,Product!E:E,"Bulunamadı")</f>
        <v>2.45</v>
      </c>
      <c r="I371" s="2" t="str">
        <f t="shared" si="1"/>
        <v>129360 - Tech - Paranormal</v>
      </c>
      <c r="J371" s="2">
        <f t="shared" si="2"/>
        <v>88.2</v>
      </c>
      <c r="K371" s="17">
        <f t="shared" si="3"/>
        <v>1</v>
      </c>
      <c r="L371" s="18"/>
    </row>
    <row r="372" hidden="1">
      <c r="A372" s="2">
        <f>IFERROR(__xludf.DUMMYFUNCTION("""COMPUTED_VALUE"""),115708.0)</f>
        <v>115708</v>
      </c>
      <c r="B372" s="2">
        <f>IFERROR(__xludf.DUMMYFUNCTION("""COMPUTED_VALUE"""),0.0)</f>
        <v>0</v>
      </c>
      <c r="C372" s="2">
        <f>IFERROR(__xludf.DUMMYFUNCTION("""COMPUTED_VALUE"""),416.0)</f>
        <v>416</v>
      </c>
      <c r="D372" s="3">
        <f>IFERROR(__xludf.DUMMYFUNCTION("""COMPUTED_VALUE"""),203.0)</f>
        <v>203</v>
      </c>
      <c r="E372" s="1" t="str">
        <f t="array" ref="E372">_xlfn.XLOOKUP(A372,Product!A:A,Product!B:B,"Bulunamadı")</f>
        <v>Tech</v>
      </c>
      <c r="F372" s="1" t="str">
        <f t="array" ref="F372">_xlfn.XLOOKUP(A372,Product!A:A,Product!C:C,"Bulunamadı")</f>
        <v>Paranormal</v>
      </c>
      <c r="G372" s="2" t="str">
        <f t="array" ref="G372">_xlfn.XLOOKUP(A373,Product!A:A,Product!D:D,"Bulunamadı")</f>
        <v>Sunrise Hill Press</v>
      </c>
      <c r="H372" s="2">
        <f t="array" ref="H372">_xlfn.XLOOKUP(A374,Product!A:A,Product!E:E,"Bulunamadı")</f>
        <v>0.68</v>
      </c>
      <c r="I372" s="2" t="str">
        <f t="shared" si="1"/>
        <v>115708 - Tech - Paranormal</v>
      </c>
      <c r="J372" s="2">
        <f t="shared" si="2"/>
        <v>138.04</v>
      </c>
      <c r="K372" s="17">
        <f t="shared" si="3"/>
        <v>1</v>
      </c>
      <c r="L372" s="18"/>
    </row>
    <row r="373" hidden="1">
      <c r="A373" s="2">
        <f>IFERROR(__xludf.DUMMYFUNCTION("""COMPUTED_VALUE"""),121617.0)</f>
        <v>121617</v>
      </c>
      <c r="B373" s="2">
        <f>IFERROR(__xludf.DUMMYFUNCTION("""COMPUTED_VALUE"""),0.0)</f>
        <v>0</v>
      </c>
      <c r="C373" s="2">
        <f>IFERROR(__xludf.DUMMYFUNCTION("""COMPUTED_VALUE"""),477.0)</f>
        <v>477</v>
      </c>
      <c r="D373" s="3">
        <f>IFERROR(__xludf.DUMMYFUNCTION("""COMPUTED_VALUE"""),338.0)</f>
        <v>338</v>
      </c>
      <c r="E373" s="1" t="str">
        <f t="array" ref="E373">_xlfn.XLOOKUP(A373,Product!A:A,Product!B:B,"Bulunamadı")</f>
        <v>Tech</v>
      </c>
      <c r="F373" s="1" t="str">
        <f t="array" ref="F373">_xlfn.XLOOKUP(A373,Product!A:A,Product!C:C,"Bulunamadı")</f>
        <v>Paranormal</v>
      </c>
      <c r="G373" s="2" t="str">
        <f t="array" ref="G373">_xlfn.XLOOKUP(A374,Product!A:A,Product!D:D,"Bulunamadı")</f>
        <v>Sunrise Hill Press</v>
      </c>
      <c r="H373" s="2">
        <f t="array" ref="H373">_xlfn.XLOOKUP(A375,Product!A:A,Product!E:E,"Bulunamadı")</f>
        <v>0.72</v>
      </c>
      <c r="I373" s="2" t="str">
        <f t="shared" si="1"/>
        <v>121617 - Tech - Paranormal</v>
      </c>
      <c r="J373" s="2">
        <f t="shared" si="2"/>
        <v>243.36</v>
      </c>
      <c r="K373" s="17">
        <f t="shared" si="3"/>
        <v>1</v>
      </c>
      <c r="L373" s="18"/>
    </row>
    <row r="374" hidden="1">
      <c r="A374" s="2">
        <f>IFERROR(__xludf.DUMMYFUNCTION("""COMPUTED_VALUE"""),109540.0)</f>
        <v>109540</v>
      </c>
      <c r="B374" s="2">
        <f>IFERROR(__xludf.DUMMYFUNCTION("""COMPUTED_VALUE"""),0.0)</f>
        <v>0</v>
      </c>
      <c r="C374" s="2">
        <f>IFERROR(__xludf.DUMMYFUNCTION("""COMPUTED_VALUE"""),436.0)</f>
        <v>436</v>
      </c>
      <c r="D374" s="3">
        <f>IFERROR(__xludf.DUMMYFUNCTION("""COMPUTED_VALUE"""),342.0)</f>
        <v>342</v>
      </c>
      <c r="E374" s="1" t="str">
        <f t="array" ref="E374">_xlfn.XLOOKUP(A374,Product!A:A,Product!B:B,"Bulunamadı")</f>
        <v>Tech</v>
      </c>
      <c r="F374" s="1" t="str">
        <f t="array" ref="F374">_xlfn.XLOOKUP(A374,Product!A:A,Product!C:C,"Bulunamadı")</f>
        <v>Paranormal</v>
      </c>
      <c r="G374" s="2" t="str">
        <f t="array" ref="G374">_xlfn.XLOOKUP(A375,Product!A:A,Product!D:D,"Bulunamadı")</f>
        <v>Sunrise Hill Press</v>
      </c>
      <c r="H374" s="2">
        <f t="array" ref="H374">_xlfn.XLOOKUP(A376,Product!A:A,Product!E:E,"Bulunamadı")</f>
        <v>4.36</v>
      </c>
      <c r="I374" s="2" t="str">
        <f t="shared" si="1"/>
        <v>109540 - Tech - Paranormal</v>
      </c>
      <c r="J374" s="2">
        <f t="shared" si="2"/>
        <v>1491.12</v>
      </c>
      <c r="K374" s="17">
        <f t="shared" si="3"/>
        <v>1</v>
      </c>
      <c r="L374" s="18"/>
    </row>
    <row r="375" hidden="1">
      <c r="A375" s="2">
        <f>IFERROR(__xludf.DUMMYFUNCTION("""COMPUTED_VALUE"""),101323.0)</f>
        <v>101323</v>
      </c>
      <c r="B375" s="2">
        <f>IFERROR(__xludf.DUMMYFUNCTION("""COMPUTED_VALUE"""),0.0)</f>
        <v>0</v>
      </c>
      <c r="C375" s="2">
        <f>IFERROR(__xludf.DUMMYFUNCTION("""COMPUTED_VALUE"""),997.0)</f>
        <v>997</v>
      </c>
      <c r="D375" s="3">
        <f>IFERROR(__xludf.DUMMYFUNCTION("""COMPUTED_VALUE"""),985.0)</f>
        <v>985</v>
      </c>
      <c r="E375" s="1" t="str">
        <f t="array" ref="E375">_xlfn.XLOOKUP(A375,Product!A:A,Product!B:B,"Bulunamadı")</f>
        <v>Tech</v>
      </c>
      <c r="F375" s="1" t="str">
        <f t="array" ref="F375">_xlfn.XLOOKUP(A375,Product!A:A,Product!C:C,"Bulunamadı")</f>
        <v>Paranormal</v>
      </c>
      <c r="G375" s="2" t="str">
        <f t="array" ref="G375">_xlfn.XLOOKUP(A376,Product!A:A,Product!D:D,"Bulunamadı")</f>
        <v>Sunrise Hill Press</v>
      </c>
      <c r="H375" s="2">
        <f t="array" ref="H375">_xlfn.XLOOKUP(A377,Product!A:A,Product!E:E,"Bulunamadı")</f>
        <v>4.22</v>
      </c>
      <c r="I375" s="2" t="str">
        <f t="shared" si="1"/>
        <v>101323 - Tech - Paranormal</v>
      </c>
      <c r="J375" s="2">
        <f t="shared" si="2"/>
        <v>4156.7</v>
      </c>
      <c r="K375" s="17">
        <f t="shared" si="3"/>
        <v>1</v>
      </c>
      <c r="L375" s="18"/>
    </row>
    <row r="376" hidden="1">
      <c r="A376" s="2">
        <f>IFERROR(__xludf.DUMMYFUNCTION("""COMPUTED_VALUE"""),120991.0)</f>
        <v>120991</v>
      </c>
      <c r="B376" s="2">
        <f>IFERROR(__xludf.DUMMYFUNCTION("""COMPUTED_VALUE"""),0.0)</f>
        <v>0</v>
      </c>
      <c r="C376" s="2">
        <f>IFERROR(__xludf.DUMMYFUNCTION("""COMPUTED_VALUE"""),650.0)</f>
        <v>650</v>
      </c>
      <c r="D376" s="3">
        <f>IFERROR(__xludf.DUMMYFUNCTION("""COMPUTED_VALUE"""),434.0)</f>
        <v>434</v>
      </c>
      <c r="E376" s="1" t="str">
        <f t="array" ref="E376">_xlfn.XLOOKUP(A376,Product!A:A,Product!B:B,"Bulunamadı")</f>
        <v>Tech</v>
      </c>
      <c r="F376" s="1" t="str">
        <f t="array" ref="F376">_xlfn.XLOOKUP(A376,Product!A:A,Product!C:C,"Bulunamadı")</f>
        <v>Paranormal</v>
      </c>
      <c r="G376" s="2" t="str">
        <f t="array" ref="G376">_xlfn.XLOOKUP(A377,Product!A:A,Product!D:D,"Bulunamadı")</f>
        <v>Sunrise Hill Press</v>
      </c>
      <c r="H376" s="2">
        <f t="array" ref="H376">_xlfn.XLOOKUP(A378,Product!A:A,Product!E:E,"Bulunamadı")</f>
        <v>2.11</v>
      </c>
      <c r="I376" s="2" t="str">
        <f t="shared" si="1"/>
        <v>120991 - Tech - Paranormal</v>
      </c>
      <c r="J376" s="2">
        <f t="shared" si="2"/>
        <v>915.74</v>
      </c>
      <c r="K376" s="17">
        <f t="shared" si="3"/>
        <v>1</v>
      </c>
      <c r="L376" s="18"/>
    </row>
    <row r="377" hidden="1">
      <c r="A377" s="2">
        <f>IFERROR(__xludf.DUMMYFUNCTION("""COMPUTED_VALUE"""),115698.0)</f>
        <v>115698</v>
      </c>
      <c r="B377" s="2">
        <f>IFERROR(__xludf.DUMMYFUNCTION("""COMPUTED_VALUE"""),1.0)</f>
        <v>1</v>
      </c>
      <c r="C377" s="2">
        <f>IFERROR(__xludf.DUMMYFUNCTION("""COMPUTED_VALUE"""),644.0)</f>
        <v>644</v>
      </c>
      <c r="D377" s="3">
        <f>IFERROR(__xludf.DUMMYFUNCTION("""COMPUTED_VALUE"""),486.0)</f>
        <v>486</v>
      </c>
      <c r="E377" s="1" t="str">
        <f t="array" ref="E377">_xlfn.XLOOKUP(A377,Product!A:A,Product!B:B,"Bulunamadı")</f>
        <v>Tech</v>
      </c>
      <c r="F377" s="1" t="str">
        <f t="array" ref="F377">_xlfn.XLOOKUP(A377,Product!A:A,Product!C:C,"Bulunamadı")</f>
        <v>Paranormal</v>
      </c>
      <c r="G377" s="2" t="str">
        <f t="array" ref="G377">_xlfn.XLOOKUP(A378,Product!A:A,Product!D:D,"Bulunamadı")</f>
        <v>Open Road Publishing</v>
      </c>
      <c r="H377" s="2">
        <f t="array" ref="H377">_xlfn.XLOOKUP(A379,Product!A:A,Product!E:E,"Bulunamadı")</f>
        <v>2.77</v>
      </c>
      <c r="I377" s="2" t="str">
        <f t="shared" si="1"/>
        <v>115698 - Tech - Paranormal</v>
      </c>
      <c r="J377" s="2">
        <f t="shared" si="2"/>
        <v>1346.22</v>
      </c>
      <c r="K377" s="17">
        <f t="shared" si="3"/>
        <v>1</v>
      </c>
      <c r="L377" s="18"/>
    </row>
    <row r="378" hidden="1">
      <c r="A378" s="2">
        <f>IFERROR(__xludf.DUMMYFUNCTION("""COMPUTED_VALUE"""),72511.0)</f>
        <v>72511</v>
      </c>
      <c r="B378" s="2">
        <f>IFERROR(__xludf.DUMMYFUNCTION("""COMPUTED_VALUE"""),1.0)</f>
        <v>1</v>
      </c>
      <c r="C378" s="2">
        <f>IFERROR(__xludf.DUMMYFUNCTION("""COMPUTED_VALUE"""),-1.0)</f>
        <v>-1</v>
      </c>
      <c r="D378" s="3">
        <f>IFERROR(__xludf.DUMMYFUNCTION("""COMPUTED_VALUE"""),0.0)</f>
        <v>0</v>
      </c>
      <c r="E378" s="1" t="str">
        <f t="array" ref="E378">_xlfn.XLOOKUP(A378,Product!A:A,Product!B:B,"Bulunamadı")</f>
        <v>Tech</v>
      </c>
      <c r="F378" s="1" t="str">
        <f t="array" ref="F378">_xlfn.XLOOKUP(A378,Product!A:A,Product!C:C,"Bulunamadı")</f>
        <v>Paranormal</v>
      </c>
      <c r="G378" s="2" t="str">
        <f t="array" ref="G378">_xlfn.XLOOKUP(A379,Product!A:A,Product!D:D,"Bulunamadı")</f>
        <v>Open Road Publishing</v>
      </c>
      <c r="H378" s="2">
        <f t="array" ref="H378">_xlfn.XLOOKUP(A380,Product!A:A,Product!E:E,"Bulunamadı")</f>
        <v>4.04</v>
      </c>
      <c r="I378" s="2" t="str">
        <f t="shared" si="1"/>
        <v>72511 - Tech - Paranormal</v>
      </c>
      <c r="J378" s="2">
        <f t="shared" si="2"/>
        <v>0</v>
      </c>
      <c r="K378" s="17">
        <f t="shared" si="3"/>
        <v>0</v>
      </c>
      <c r="L378" s="18"/>
    </row>
    <row r="379" hidden="1">
      <c r="A379" s="2">
        <f>IFERROR(__xludf.DUMMYFUNCTION("""COMPUTED_VALUE"""),72512.0)</f>
        <v>72512</v>
      </c>
      <c r="B379" s="2">
        <f>IFERROR(__xludf.DUMMYFUNCTION("""COMPUTED_VALUE"""),1.0)</f>
        <v>1</v>
      </c>
      <c r="C379" s="2">
        <f>IFERROR(__xludf.DUMMYFUNCTION("""COMPUTED_VALUE"""),626.0)</f>
        <v>626</v>
      </c>
      <c r="D379" s="3">
        <f>IFERROR(__xludf.DUMMYFUNCTION("""COMPUTED_VALUE"""),301.0)</f>
        <v>301</v>
      </c>
      <c r="E379" s="1" t="str">
        <f t="array" ref="E379">_xlfn.XLOOKUP(A379,Product!A:A,Product!B:B,"Bulunamadı")</f>
        <v>Tech</v>
      </c>
      <c r="F379" s="1" t="str">
        <f t="array" ref="F379">_xlfn.XLOOKUP(A379,Product!A:A,Product!C:C,"Bulunamadı")</f>
        <v>Paranormal</v>
      </c>
      <c r="G379" s="2" t="str">
        <f t="array" ref="G379">_xlfn.XLOOKUP(A380,Product!A:A,Product!D:D,"Bulunamadı")</f>
        <v>Open Road Publishing</v>
      </c>
      <c r="H379" s="2">
        <f t="array" ref="H379">_xlfn.XLOOKUP(A381,Product!A:A,Product!E:E,"Bulunamadı")</f>
        <v>2.15</v>
      </c>
      <c r="I379" s="2" t="str">
        <f t="shared" si="1"/>
        <v>72512 - Tech - Paranormal</v>
      </c>
      <c r="J379" s="2">
        <f t="shared" si="2"/>
        <v>647.15</v>
      </c>
      <c r="K379" s="17">
        <f t="shared" si="3"/>
        <v>1</v>
      </c>
      <c r="L379" s="18"/>
    </row>
    <row r="380" hidden="1">
      <c r="A380" s="2">
        <f>IFERROR(__xludf.DUMMYFUNCTION("""COMPUTED_VALUE"""),120108.0)</f>
        <v>120108</v>
      </c>
      <c r="B380" s="2">
        <f>IFERROR(__xludf.DUMMYFUNCTION("""COMPUTED_VALUE"""),0.0)</f>
        <v>0</v>
      </c>
      <c r="C380" s="2">
        <f>IFERROR(__xludf.DUMMYFUNCTION("""COMPUTED_VALUE"""),871.0)</f>
        <v>871</v>
      </c>
      <c r="D380" s="3">
        <f>IFERROR(__xludf.DUMMYFUNCTION("""COMPUTED_VALUE"""),20.0)</f>
        <v>20</v>
      </c>
      <c r="E380" s="1" t="str">
        <f t="array" ref="E380">_xlfn.XLOOKUP(A380,Product!A:A,Product!B:B,"Bulunamadı")</f>
        <v>Tech</v>
      </c>
      <c r="F380" s="1" t="str">
        <f t="array" ref="F380">_xlfn.XLOOKUP(A380,Product!A:A,Product!C:C,"Bulunamadı")</f>
        <v>Paranormal</v>
      </c>
      <c r="G380" s="2" t="str">
        <f t="array" ref="G380">_xlfn.XLOOKUP(A381,Product!A:A,Product!D:D,"Bulunamadı")</f>
        <v>Skyline Books</v>
      </c>
      <c r="H380" s="2">
        <f t="array" ref="H380">_xlfn.XLOOKUP(A382,Product!A:A,Product!E:E,"Bulunamadı")</f>
        <v>1.91</v>
      </c>
      <c r="I380" s="2" t="str">
        <f t="shared" si="1"/>
        <v>120108 - Tech - Paranormal</v>
      </c>
      <c r="J380" s="2">
        <f t="shared" si="2"/>
        <v>38.2</v>
      </c>
      <c r="K380" s="17">
        <f t="shared" si="3"/>
        <v>1</v>
      </c>
      <c r="L380" s="18"/>
    </row>
    <row r="381" hidden="1">
      <c r="A381" s="2">
        <f>IFERROR(__xludf.DUMMYFUNCTION("""COMPUTED_VALUE"""),1636.0)</f>
        <v>1636</v>
      </c>
      <c r="B381" s="2">
        <f>IFERROR(__xludf.DUMMYFUNCTION("""COMPUTED_VALUE"""),1.0)</f>
        <v>1</v>
      </c>
      <c r="C381" s="2">
        <f>IFERROR(__xludf.DUMMYFUNCTION("""COMPUTED_VALUE"""),425.0)</f>
        <v>425</v>
      </c>
      <c r="D381" s="3">
        <f>IFERROR(__xludf.DUMMYFUNCTION("""COMPUTED_VALUE"""),0.0)</f>
        <v>0</v>
      </c>
      <c r="E381" s="1" t="str">
        <f t="array" ref="E381">_xlfn.XLOOKUP(A381,Product!A:A,Product!B:B,"Bulunamadı")</f>
        <v>Tech</v>
      </c>
      <c r="F381" s="1" t="str">
        <f t="array" ref="F381">_xlfn.XLOOKUP(A381,Product!A:A,Product!C:C,"Bulunamadı")</f>
        <v>Paranormal</v>
      </c>
      <c r="G381" s="2" t="str">
        <f t="array" ref="G381">_xlfn.XLOOKUP(A382,Product!A:A,Product!D:D,"Bulunamadı")</f>
        <v>Skyline Books</v>
      </c>
      <c r="H381" s="2">
        <f t="array" ref="H381">_xlfn.XLOOKUP(A383,Product!A:A,Product!E:E,"Bulunamadı")</f>
        <v>1.77</v>
      </c>
      <c r="I381" s="2" t="str">
        <f t="shared" si="1"/>
        <v>1636 - Tech - Paranormal</v>
      </c>
      <c r="J381" s="2">
        <f t="shared" si="2"/>
        <v>0</v>
      </c>
      <c r="K381" s="17">
        <f t="shared" si="3"/>
        <v>0</v>
      </c>
      <c r="L381" s="18"/>
    </row>
    <row r="382" hidden="1">
      <c r="A382" s="2">
        <f>IFERROR(__xludf.DUMMYFUNCTION("""COMPUTED_VALUE"""),106767.0)</f>
        <v>106767</v>
      </c>
      <c r="B382" s="2">
        <f>IFERROR(__xludf.DUMMYFUNCTION("""COMPUTED_VALUE"""),0.0)</f>
        <v>0</v>
      </c>
      <c r="C382" s="2">
        <f>IFERROR(__xludf.DUMMYFUNCTION("""COMPUTED_VALUE"""),159.0)</f>
        <v>159</v>
      </c>
      <c r="D382" s="3">
        <f>IFERROR(__xludf.DUMMYFUNCTION("""COMPUTED_VALUE"""),134.0)</f>
        <v>134</v>
      </c>
      <c r="E382" s="1" t="str">
        <f t="array" ref="E382">_xlfn.XLOOKUP(A382,Product!A:A,Product!B:B,"Bulunamadı")</f>
        <v>Tech</v>
      </c>
      <c r="F382" s="1" t="str">
        <f t="array" ref="F382">_xlfn.XLOOKUP(A382,Product!A:A,Product!C:C,"Bulunamadı")</f>
        <v>Paranormal</v>
      </c>
      <c r="G382" s="2" t="str">
        <f t="array" ref="G382">_xlfn.XLOOKUP(A383,Product!A:A,Product!D:D,"Bulunamadı")</f>
        <v>Skyline Books</v>
      </c>
      <c r="H382" s="2">
        <f t="array" ref="H382">_xlfn.XLOOKUP(A384,Product!A:A,Product!E:E,"Bulunamadı")</f>
        <v>3.68</v>
      </c>
      <c r="I382" s="2" t="str">
        <f t="shared" si="1"/>
        <v>106767 - Tech - Paranormal</v>
      </c>
      <c r="J382" s="2">
        <f t="shared" si="2"/>
        <v>493.12</v>
      </c>
      <c r="K382" s="17">
        <f t="shared" si="3"/>
        <v>1</v>
      </c>
      <c r="L382" s="18"/>
    </row>
    <row r="383" hidden="1">
      <c r="A383" s="2">
        <f>IFERROR(__xludf.DUMMYFUNCTION("""COMPUTED_VALUE"""),117246.0)</f>
        <v>117246</v>
      </c>
      <c r="B383" s="2">
        <f>IFERROR(__xludf.DUMMYFUNCTION("""COMPUTED_VALUE"""),1.0)</f>
        <v>1</v>
      </c>
      <c r="C383" s="2">
        <f>IFERROR(__xludf.DUMMYFUNCTION("""COMPUTED_VALUE"""),15.0)</f>
        <v>15</v>
      </c>
      <c r="D383" s="3">
        <f>IFERROR(__xludf.DUMMYFUNCTION("""COMPUTED_VALUE"""),8.0)</f>
        <v>8</v>
      </c>
      <c r="E383" s="1" t="str">
        <f t="array" ref="E383">_xlfn.XLOOKUP(A383,Product!A:A,Product!B:B,"Bulunamadı")</f>
        <v>Tech</v>
      </c>
      <c r="F383" s="1" t="str">
        <f t="array" ref="F383">_xlfn.XLOOKUP(A383,Product!A:A,Product!C:C,"Bulunamadı")</f>
        <v>Paranormal</v>
      </c>
      <c r="G383" s="2" t="str">
        <f t="array" ref="G383">_xlfn.XLOOKUP(A384,Product!A:A,Product!D:D,"Bulunamadı")</f>
        <v>Skyline Books</v>
      </c>
      <c r="H383" s="2">
        <f t="array" ref="H383">_xlfn.XLOOKUP(A385,Product!A:A,Product!E:E,"Bulunamadı")</f>
        <v>1.27</v>
      </c>
      <c r="I383" s="2" t="str">
        <f t="shared" si="1"/>
        <v>117246 - Tech - Paranormal</v>
      </c>
      <c r="J383" s="2">
        <f t="shared" si="2"/>
        <v>10.16</v>
      </c>
      <c r="K383" s="17">
        <f t="shared" si="3"/>
        <v>1</v>
      </c>
      <c r="L383" s="18"/>
    </row>
    <row r="384" hidden="1">
      <c r="A384" s="2">
        <f>IFERROR(__xludf.DUMMYFUNCTION("""COMPUTED_VALUE"""),106758.0)</f>
        <v>106758</v>
      </c>
      <c r="B384" s="2">
        <f>IFERROR(__xludf.DUMMYFUNCTION("""COMPUTED_VALUE"""),1.0)</f>
        <v>1</v>
      </c>
      <c r="C384" s="2">
        <f>IFERROR(__xludf.DUMMYFUNCTION("""COMPUTED_VALUE"""),558.0)</f>
        <v>558</v>
      </c>
      <c r="D384" s="3">
        <f>IFERROR(__xludf.DUMMYFUNCTION("""COMPUTED_VALUE"""),19.0)</f>
        <v>19</v>
      </c>
      <c r="E384" s="1" t="str">
        <f t="array" ref="E384">_xlfn.XLOOKUP(A384,Product!A:A,Product!B:B,"Bulunamadı")</f>
        <v>Tech</v>
      </c>
      <c r="F384" s="1" t="str">
        <f t="array" ref="F384">_xlfn.XLOOKUP(A384,Product!A:A,Product!C:C,"Bulunamadı")</f>
        <v>Paranormal</v>
      </c>
      <c r="G384" s="2" t="str">
        <f t="array" ref="G384">_xlfn.XLOOKUP(A385,Product!A:A,Product!D:D,"Bulunamadı")</f>
        <v>Red Bridge Press</v>
      </c>
      <c r="H384" s="2">
        <f t="array" ref="H384">_xlfn.XLOOKUP(A386,Product!A:A,Product!E:E,"Bulunamadı")</f>
        <v>2.18</v>
      </c>
      <c r="I384" s="2" t="str">
        <f t="shared" si="1"/>
        <v>106758 - Tech - Paranormal</v>
      </c>
      <c r="J384" s="2">
        <f t="shared" si="2"/>
        <v>41.42</v>
      </c>
      <c r="K384" s="17">
        <f t="shared" si="3"/>
        <v>1</v>
      </c>
      <c r="L384" s="18"/>
    </row>
    <row r="385" hidden="1">
      <c r="A385" s="2">
        <f>IFERROR(__xludf.DUMMYFUNCTION("""COMPUTED_VALUE"""),118150.0)</f>
        <v>118150</v>
      </c>
      <c r="B385" s="2">
        <f>IFERROR(__xludf.DUMMYFUNCTION("""COMPUTED_VALUE"""),1.0)</f>
        <v>1</v>
      </c>
      <c r="C385" s="2">
        <f>IFERROR(__xludf.DUMMYFUNCTION("""COMPUTED_VALUE"""),226.0)</f>
        <v>226</v>
      </c>
      <c r="D385" s="3">
        <f>IFERROR(__xludf.DUMMYFUNCTION("""COMPUTED_VALUE"""),121.0)</f>
        <v>121</v>
      </c>
      <c r="E385" s="1" t="str">
        <f t="array" ref="E385">_xlfn.XLOOKUP(A385,Product!A:A,Product!B:B,"Bulunamadı")</f>
        <v>Tech</v>
      </c>
      <c r="F385" s="1" t="str">
        <f t="array" ref="F385">_xlfn.XLOOKUP(A385,Product!A:A,Product!C:C,"Bulunamadı")</f>
        <v>Paranormal</v>
      </c>
      <c r="G385" s="2" t="str">
        <f t="array" ref="G385">_xlfn.XLOOKUP(A386,Product!A:A,Product!D:D,"Bulunamadı")</f>
        <v>Red Bridge Press</v>
      </c>
      <c r="H385" s="2">
        <f t="array" ref="H385">_xlfn.XLOOKUP(A387,Product!A:A,Product!E:E,"Bulunamadı")</f>
        <v>2.37</v>
      </c>
      <c r="I385" s="2" t="str">
        <f t="shared" si="1"/>
        <v>118150 - Tech - Paranormal</v>
      </c>
      <c r="J385" s="2">
        <f t="shared" si="2"/>
        <v>286.77</v>
      </c>
      <c r="K385" s="17">
        <f t="shared" si="3"/>
        <v>1</v>
      </c>
      <c r="L385" s="18"/>
    </row>
    <row r="386" hidden="1">
      <c r="A386" s="2">
        <f>IFERROR(__xludf.DUMMYFUNCTION("""COMPUTED_VALUE"""),108896.0)</f>
        <v>108896</v>
      </c>
      <c r="B386" s="2">
        <f>IFERROR(__xludf.DUMMYFUNCTION("""COMPUTED_VALUE"""),1.0)</f>
        <v>1</v>
      </c>
      <c r="C386" s="2">
        <f>IFERROR(__xludf.DUMMYFUNCTION("""COMPUTED_VALUE"""),511.0)</f>
        <v>511</v>
      </c>
      <c r="D386" s="3">
        <f>IFERROR(__xludf.DUMMYFUNCTION("""COMPUTED_VALUE"""),209.0)</f>
        <v>209</v>
      </c>
      <c r="E386" s="1" t="str">
        <f t="array" ref="E386">_xlfn.XLOOKUP(A386,Product!A:A,Product!B:B,"Bulunamadı")</f>
        <v>Tech</v>
      </c>
      <c r="F386" s="1" t="str">
        <f t="array" ref="F386">_xlfn.XLOOKUP(A386,Product!A:A,Product!C:C,"Bulunamadı")</f>
        <v>Paranormal</v>
      </c>
      <c r="G386" s="2" t="str">
        <f t="array" ref="G386">_xlfn.XLOOKUP(A387,Product!A:A,Product!D:D,"Bulunamadı")</f>
        <v>Red Bridge Press</v>
      </c>
      <c r="H386" s="2">
        <f t="array" ref="H386">_xlfn.XLOOKUP(A388,Product!A:A,Product!E:E,"Bulunamadı")</f>
        <v>2.9</v>
      </c>
      <c r="I386" s="2" t="str">
        <f t="shared" si="1"/>
        <v>108896 - Tech - Paranormal</v>
      </c>
      <c r="J386" s="2">
        <f t="shared" si="2"/>
        <v>606.1</v>
      </c>
      <c r="K386" s="17">
        <f t="shared" si="3"/>
        <v>1</v>
      </c>
      <c r="L386" s="18"/>
    </row>
    <row r="387" hidden="1">
      <c r="A387" s="2">
        <f>IFERROR(__xludf.DUMMYFUNCTION("""COMPUTED_VALUE"""),92566.0)</f>
        <v>92566</v>
      </c>
      <c r="B387" s="2">
        <f>IFERROR(__xludf.DUMMYFUNCTION("""COMPUTED_VALUE"""),1.0)</f>
        <v>1</v>
      </c>
      <c r="C387" s="2">
        <f>IFERROR(__xludf.DUMMYFUNCTION("""COMPUTED_VALUE"""),470.0)</f>
        <v>470</v>
      </c>
      <c r="D387" s="3">
        <f>IFERROR(__xludf.DUMMYFUNCTION("""COMPUTED_VALUE"""),148.0)</f>
        <v>148</v>
      </c>
      <c r="E387" s="1" t="str">
        <f t="array" ref="E387">_xlfn.XLOOKUP(A387,Product!A:A,Product!B:B,"Bulunamadı")</f>
        <v>Tech</v>
      </c>
      <c r="F387" s="1" t="str">
        <f t="array" ref="F387">_xlfn.XLOOKUP(A387,Product!A:A,Product!C:C,"Bulunamadı")</f>
        <v>Paranormal</v>
      </c>
      <c r="G387" s="2" t="str">
        <f t="array" ref="G387">_xlfn.XLOOKUP(A388,Product!A:A,Product!D:D,"Bulunamadı")</f>
        <v>Red Bridge Press</v>
      </c>
      <c r="H387" s="2">
        <f t="array" ref="H387">_xlfn.XLOOKUP(A389,Product!A:A,Product!E:E,"Bulunamadı")</f>
        <v>3.29</v>
      </c>
      <c r="I387" s="2" t="str">
        <f t="shared" si="1"/>
        <v>92566 - Tech - Paranormal</v>
      </c>
      <c r="J387" s="2">
        <f t="shared" si="2"/>
        <v>486.92</v>
      </c>
      <c r="K387" s="17">
        <f t="shared" si="3"/>
        <v>1</v>
      </c>
      <c r="L387" s="18"/>
    </row>
    <row r="388" hidden="1">
      <c r="A388" s="2">
        <f>IFERROR(__xludf.DUMMYFUNCTION("""COMPUTED_VALUE"""),182195.0)</f>
        <v>182195</v>
      </c>
      <c r="B388" s="2">
        <f>IFERROR(__xludf.DUMMYFUNCTION("""COMPUTED_VALUE"""),1.0)</f>
        <v>1</v>
      </c>
      <c r="C388" s="2">
        <f>IFERROR(__xludf.DUMMYFUNCTION("""COMPUTED_VALUE"""),907.0)</f>
        <v>907</v>
      </c>
      <c r="D388" s="3">
        <f>IFERROR(__xludf.DUMMYFUNCTION("""COMPUTED_VALUE"""),178.0)</f>
        <v>178</v>
      </c>
      <c r="E388" s="1" t="str">
        <f t="array" ref="E388">_xlfn.XLOOKUP(A388,Product!A:A,Product!B:B,"Bulunamadı")</f>
        <v>Tech</v>
      </c>
      <c r="F388" s="1" t="str">
        <f t="array" ref="F388">_xlfn.XLOOKUP(A388,Product!A:A,Product!C:C,"Bulunamadı")</f>
        <v>Paranormal</v>
      </c>
      <c r="G388" s="2" t="str">
        <f t="array" ref="G388">_xlfn.XLOOKUP(A389,Product!A:A,Product!D:D,"Bulunamadı")</f>
        <v>Red Bridge Press</v>
      </c>
      <c r="H388" s="2">
        <f t="array" ref="H388">_xlfn.XLOOKUP(A390,Product!A:A,Product!E:E,"Bulunamadı")</f>
        <v>3.85</v>
      </c>
      <c r="I388" s="2" t="str">
        <f t="shared" si="1"/>
        <v>182195 - Tech - Paranormal</v>
      </c>
      <c r="J388" s="2">
        <f t="shared" si="2"/>
        <v>685.3</v>
      </c>
      <c r="K388" s="17">
        <f t="shared" si="3"/>
        <v>1</v>
      </c>
      <c r="L388" s="18"/>
    </row>
    <row r="389" hidden="1">
      <c r="A389" s="2">
        <f>IFERROR(__xludf.DUMMYFUNCTION("""COMPUTED_VALUE"""),101560.0)</f>
        <v>101560</v>
      </c>
      <c r="B389" s="2">
        <f>IFERROR(__xludf.DUMMYFUNCTION("""COMPUTED_VALUE"""),0.0)</f>
        <v>0</v>
      </c>
      <c r="C389" s="2">
        <f>IFERROR(__xludf.DUMMYFUNCTION("""COMPUTED_VALUE"""),951.0)</f>
        <v>951</v>
      </c>
      <c r="D389" s="3">
        <f>IFERROR(__xludf.DUMMYFUNCTION("""COMPUTED_VALUE"""),243.0)</f>
        <v>243</v>
      </c>
      <c r="E389" s="1" t="str">
        <f t="array" ref="E389">_xlfn.XLOOKUP(A389,Product!A:A,Product!B:B,"Bulunamadı")</f>
        <v>Tech</v>
      </c>
      <c r="F389" s="1" t="str">
        <f t="array" ref="F389">_xlfn.XLOOKUP(A389,Product!A:A,Product!C:C,"Bulunamadı")</f>
        <v>Paranormal</v>
      </c>
      <c r="G389" s="2" t="str">
        <f t="array" ref="G389">_xlfn.XLOOKUP(A390,Product!A:A,Product!D:D,"Bulunamadı")</f>
        <v>Red Bridge Press</v>
      </c>
      <c r="H389" s="2">
        <f t="array" ref="H389">_xlfn.XLOOKUP(A391,Product!A:A,Product!E:E,"Bulunamadı")</f>
        <v>4.22</v>
      </c>
      <c r="I389" s="2" t="str">
        <f t="shared" si="1"/>
        <v>101560 - Tech - Paranormal</v>
      </c>
      <c r="J389" s="2">
        <f t="shared" si="2"/>
        <v>1025.46</v>
      </c>
      <c r="K389" s="17">
        <f t="shared" si="3"/>
        <v>1</v>
      </c>
      <c r="L389" s="18"/>
    </row>
    <row r="390" hidden="1">
      <c r="A390" s="2">
        <f>IFERROR(__xludf.DUMMYFUNCTION("""COMPUTED_VALUE"""),96067.0)</f>
        <v>96067</v>
      </c>
      <c r="B390" s="2">
        <f>IFERROR(__xludf.DUMMYFUNCTION("""COMPUTED_VALUE"""),1.0)</f>
        <v>1</v>
      </c>
      <c r="C390" s="2">
        <f>IFERROR(__xludf.DUMMYFUNCTION("""COMPUTED_VALUE"""),714.0)</f>
        <v>714</v>
      </c>
      <c r="D390" s="3">
        <f>IFERROR(__xludf.DUMMYFUNCTION("""COMPUTED_VALUE"""),558.0)</f>
        <v>558</v>
      </c>
      <c r="E390" s="1" t="str">
        <f t="array" ref="E390">_xlfn.XLOOKUP(A390,Product!A:A,Product!B:B,"Bulunamadı")</f>
        <v>Tech</v>
      </c>
      <c r="F390" s="1" t="str">
        <f t="array" ref="F390">_xlfn.XLOOKUP(A390,Product!A:A,Product!C:C,"Bulunamadı")</f>
        <v>Paranormal</v>
      </c>
      <c r="G390" s="2" t="str">
        <f t="array" ref="G390">_xlfn.XLOOKUP(A391,Product!A:A,Product!D:D,"Bulunamadı")</f>
        <v>Red Bridge Press</v>
      </c>
      <c r="H390" s="2">
        <f t="array" ref="H390">_xlfn.XLOOKUP(A392,Product!A:A,Product!E:E,"Bulunamadı")</f>
        <v>1.85</v>
      </c>
      <c r="I390" s="2" t="str">
        <f t="shared" si="1"/>
        <v>96067 - Tech - Paranormal</v>
      </c>
      <c r="J390" s="2">
        <f t="shared" si="2"/>
        <v>1032.3</v>
      </c>
      <c r="K390" s="17">
        <f t="shared" si="3"/>
        <v>1</v>
      </c>
      <c r="L390" s="18"/>
    </row>
    <row r="391" hidden="1">
      <c r="A391" s="2">
        <f>IFERROR(__xludf.DUMMYFUNCTION("""COMPUTED_VALUE"""),47325.0)</f>
        <v>47325</v>
      </c>
      <c r="B391" s="2">
        <f>IFERROR(__xludf.DUMMYFUNCTION("""COMPUTED_VALUE"""),0.0)</f>
        <v>0</v>
      </c>
      <c r="C391" s="2">
        <f>IFERROR(__xludf.DUMMYFUNCTION("""COMPUTED_VALUE"""),162.0)</f>
        <v>162</v>
      </c>
      <c r="D391" s="3">
        <f>IFERROR(__xludf.DUMMYFUNCTION("""COMPUTED_VALUE"""),11.0)</f>
        <v>11</v>
      </c>
      <c r="E391" s="1" t="str">
        <f t="array" ref="E391">_xlfn.XLOOKUP(A391,Product!A:A,Product!B:B,"Bulunamadı")</f>
        <v>Tech</v>
      </c>
      <c r="F391" s="1" t="str">
        <f t="array" ref="F391">_xlfn.XLOOKUP(A391,Product!A:A,Product!C:C,"Bulunamadı")</f>
        <v>Paranormal</v>
      </c>
      <c r="G391" s="2" t="str">
        <f t="array" ref="G391">_xlfn.XLOOKUP(A392,Product!A:A,Product!D:D,"Bulunamadı")</f>
        <v>Red Bridge Press</v>
      </c>
      <c r="H391" s="2">
        <f t="array" ref="H391">_xlfn.XLOOKUP(A393,Product!A:A,Product!E:E,"Bulunamadı")</f>
        <v>1.27</v>
      </c>
      <c r="I391" s="2" t="str">
        <f t="shared" si="1"/>
        <v>47325 - Tech - Paranormal</v>
      </c>
      <c r="J391" s="2">
        <f t="shared" si="2"/>
        <v>13.97</v>
      </c>
      <c r="K391" s="17">
        <f t="shared" si="3"/>
        <v>1</v>
      </c>
      <c r="L391" s="18"/>
    </row>
    <row r="392" hidden="1">
      <c r="A392" s="2">
        <f>IFERROR(__xludf.DUMMYFUNCTION("""COMPUTED_VALUE"""),109386.0)</f>
        <v>109386</v>
      </c>
      <c r="B392" s="2">
        <f>IFERROR(__xludf.DUMMYFUNCTION("""COMPUTED_VALUE"""),0.0)</f>
        <v>0</v>
      </c>
      <c r="C392" s="2">
        <f>IFERROR(__xludf.DUMMYFUNCTION("""COMPUTED_VALUE"""),205.0)</f>
        <v>205</v>
      </c>
      <c r="D392" s="3">
        <f>IFERROR(__xludf.DUMMYFUNCTION("""COMPUTED_VALUE"""),111.0)</f>
        <v>111</v>
      </c>
      <c r="E392" s="1" t="str">
        <f t="array" ref="E392">_xlfn.XLOOKUP(A392,Product!A:A,Product!B:B,"Bulunamadı")</f>
        <v>Tech</v>
      </c>
      <c r="F392" s="1" t="str">
        <f t="array" ref="F392">_xlfn.XLOOKUP(A392,Product!A:A,Product!C:C,"Bulunamadı")</f>
        <v>Paranormal</v>
      </c>
      <c r="G392" s="2" t="str">
        <f t="array" ref="G392">_xlfn.XLOOKUP(A393,Product!A:A,Product!D:D,"Bulunamadı")</f>
        <v>Red Bridge Press</v>
      </c>
      <c r="H392" s="2">
        <f t="array" ref="H392">_xlfn.XLOOKUP(A394,Product!A:A,Product!E:E,"Bulunamadı")</f>
        <v>2.1</v>
      </c>
      <c r="I392" s="2" t="str">
        <f t="shared" si="1"/>
        <v>109386 - Tech - Paranormal</v>
      </c>
      <c r="J392" s="2">
        <f t="shared" si="2"/>
        <v>233.1</v>
      </c>
      <c r="K392" s="17">
        <f t="shared" si="3"/>
        <v>1</v>
      </c>
      <c r="L392" s="18"/>
    </row>
    <row r="393" hidden="1">
      <c r="A393" s="2">
        <f>IFERROR(__xludf.DUMMYFUNCTION("""COMPUTED_VALUE"""),118972.0)</f>
        <v>118972</v>
      </c>
      <c r="B393" s="2">
        <f>IFERROR(__xludf.DUMMYFUNCTION("""COMPUTED_VALUE"""),1.0)</f>
        <v>1</v>
      </c>
      <c r="C393" s="2">
        <f>IFERROR(__xludf.DUMMYFUNCTION("""COMPUTED_VALUE"""),727.0)</f>
        <v>727</v>
      </c>
      <c r="D393" s="3">
        <f>IFERROR(__xludf.DUMMYFUNCTION("""COMPUTED_VALUE"""),272.0)</f>
        <v>272</v>
      </c>
      <c r="E393" s="1" t="str">
        <f t="array" ref="E393">_xlfn.XLOOKUP(A393,Product!A:A,Product!B:B,"Bulunamadı")</f>
        <v>Tech</v>
      </c>
      <c r="F393" s="1" t="str">
        <f t="array" ref="F393">_xlfn.XLOOKUP(A393,Product!A:A,Product!C:C,"Bulunamadı")</f>
        <v>Paranormal</v>
      </c>
      <c r="G393" s="2" t="str">
        <f t="array" ref="G393">_xlfn.XLOOKUP(A394,Product!A:A,Product!D:D,"Bulunamadı")</f>
        <v>Red Bridge Press</v>
      </c>
      <c r="H393" s="2">
        <f t="array" ref="H393">_xlfn.XLOOKUP(A395,Product!A:A,Product!E:E,"Bulunamadı")</f>
        <v>1.3</v>
      </c>
      <c r="I393" s="2" t="str">
        <f t="shared" si="1"/>
        <v>118972 - Tech - Paranormal</v>
      </c>
      <c r="J393" s="2">
        <f t="shared" si="2"/>
        <v>353.6</v>
      </c>
      <c r="K393" s="17">
        <f t="shared" si="3"/>
        <v>1</v>
      </c>
      <c r="L393" s="18"/>
    </row>
    <row r="394" hidden="1">
      <c r="A394" s="2">
        <f>IFERROR(__xludf.DUMMYFUNCTION("""COMPUTED_VALUE"""),100412.0)</f>
        <v>100412</v>
      </c>
      <c r="B394" s="2">
        <f>IFERROR(__xludf.DUMMYFUNCTION("""COMPUTED_VALUE"""),0.0)</f>
        <v>0</v>
      </c>
      <c r="C394" s="2">
        <f>IFERROR(__xludf.DUMMYFUNCTION("""COMPUTED_VALUE"""),245.0)</f>
        <v>245</v>
      </c>
      <c r="D394" s="3">
        <f>IFERROR(__xludf.DUMMYFUNCTION("""COMPUTED_VALUE"""),210.0)</f>
        <v>210</v>
      </c>
      <c r="E394" s="1" t="str">
        <f t="array" ref="E394">_xlfn.XLOOKUP(A394,Product!A:A,Product!B:B,"Bulunamadı")</f>
        <v>Tech</v>
      </c>
      <c r="F394" s="1" t="str">
        <f t="array" ref="F394">_xlfn.XLOOKUP(A394,Product!A:A,Product!C:C,"Bulunamadı")</f>
        <v>Paranormal</v>
      </c>
      <c r="G394" s="2" t="str">
        <f t="array" ref="G394">_xlfn.XLOOKUP(A395,Product!A:A,Product!D:D,"Bulunamadı")</f>
        <v>Red Bridge Press</v>
      </c>
      <c r="H394" s="2">
        <f t="array" ref="H394">_xlfn.XLOOKUP(A396,Product!A:A,Product!E:E,"Bulunamadı")</f>
        <v>1.43</v>
      </c>
      <c r="I394" s="2" t="str">
        <f t="shared" si="1"/>
        <v>100412 - Tech - Paranormal</v>
      </c>
      <c r="J394" s="2">
        <f t="shared" si="2"/>
        <v>300.3</v>
      </c>
      <c r="K394" s="17">
        <f t="shared" si="3"/>
        <v>1</v>
      </c>
      <c r="L394" s="18"/>
    </row>
    <row r="395" hidden="1">
      <c r="A395" s="2">
        <f>IFERROR(__xludf.DUMMYFUNCTION("""COMPUTED_VALUE"""),73259.0)</f>
        <v>73259</v>
      </c>
      <c r="B395" s="2">
        <f>IFERROR(__xludf.DUMMYFUNCTION("""COMPUTED_VALUE"""),1.0)</f>
        <v>1</v>
      </c>
      <c r="C395" s="2">
        <f>IFERROR(__xludf.DUMMYFUNCTION("""COMPUTED_VALUE"""),83.0)</f>
        <v>83</v>
      </c>
      <c r="D395" s="3">
        <f>IFERROR(__xludf.DUMMYFUNCTION("""COMPUTED_VALUE"""),69.0)</f>
        <v>69</v>
      </c>
      <c r="E395" s="1" t="str">
        <f t="array" ref="E395">_xlfn.XLOOKUP(A395,Product!A:A,Product!B:B,"Bulunamadı")</f>
        <v>Tech</v>
      </c>
      <c r="F395" s="1" t="str">
        <f t="array" ref="F395">_xlfn.XLOOKUP(A395,Product!A:A,Product!C:C,"Bulunamadı")</f>
        <v>Paranormal</v>
      </c>
      <c r="G395" s="2" t="str">
        <f t="array" ref="G395">_xlfn.XLOOKUP(A396,Product!A:A,Product!D:D,"Bulunamadı")</f>
        <v>Red Bridge Press</v>
      </c>
      <c r="H395" s="2">
        <f t="array" ref="H395">_xlfn.XLOOKUP(A397,Product!A:A,Product!E:E,"Bulunamadı")</f>
        <v>2.51</v>
      </c>
      <c r="I395" s="2" t="str">
        <f t="shared" si="1"/>
        <v>73259 - Tech - Paranormal</v>
      </c>
      <c r="J395" s="2">
        <f t="shared" si="2"/>
        <v>173.19</v>
      </c>
      <c r="K395" s="17">
        <f t="shared" si="3"/>
        <v>1</v>
      </c>
      <c r="L395" s="18"/>
    </row>
    <row r="396" hidden="1">
      <c r="A396" s="2">
        <f>IFERROR(__xludf.DUMMYFUNCTION("""COMPUTED_VALUE"""),116888.0)</f>
        <v>116888</v>
      </c>
      <c r="B396" s="2">
        <f>IFERROR(__xludf.DUMMYFUNCTION("""COMPUTED_VALUE"""),0.0)</f>
        <v>0</v>
      </c>
      <c r="C396" s="2">
        <f>IFERROR(__xludf.DUMMYFUNCTION("""COMPUTED_VALUE"""),440.0)</f>
        <v>440</v>
      </c>
      <c r="D396" s="3">
        <f>IFERROR(__xludf.DUMMYFUNCTION("""COMPUTED_VALUE"""),21.0)</f>
        <v>21</v>
      </c>
      <c r="E396" s="1" t="str">
        <f t="array" ref="E396">_xlfn.XLOOKUP(A396,Product!A:A,Product!B:B,"Bulunamadı")</f>
        <v>Tech</v>
      </c>
      <c r="F396" s="1" t="str">
        <f t="array" ref="F396">_xlfn.XLOOKUP(A396,Product!A:A,Product!C:C,"Bulunamadı")</f>
        <v>Paranormal</v>
      </c>
      <c r="G396" s="2" t="str">
        <f t="array" ref="G396">_xlfn.XLOOKUP(A397,Product!A:A,Product!D:D,"Bulunamadı")</f>
        <v>Red Bridge Press</v>
      </c>
      <c r="H396" s="2">
        <f t="array" ref="H396">_xlfn.XLOOKUP(A398,Product!A:A,Product!E:E,"Bulunamadı")</f>
        <v>1.78</v>
      </c>
      <c r="I396" s="2" t="str">
        <f t="shared" si="1"/>
        <v>116888 - Tech - Paranormal</v>
      </c>
      <c r="J396" s="2">
        <f t="shared" si="2"/>
        <v>37.38</v>
      </c>
      <c r="K396" s="17">
        <f t="shared" si="3"/>
        <v>1</v>
      </c>
      <c r="L396" s="18"/>
    </row>
    <row r="397" hidden="1">
      <c r="A397" s="2">
        <f>IFERROR(__xludf.DUMMYFUNCTION("""COMPUTED_VALUE"""),102086.0)</f>
        <v>102086</v>
      </c>
      <c r="B397" s="2">
        <f>IFERROR(__xludf.DUMMYFUNCTION("""COMPUTED_VALUE"""),1.0)</f>
        <v>1</v>
      </c>
      <c r="C397" s="2">
        <f>IFERROR(__xludf.DUMMYFUNCTION("""COMPUTED_VALUE"""),643.0)</f>
        <v>643</v>
      </c>
      <c r="D397" s="3">
        <f>IFERROR(__xludf.DUMMYFUNCTION("""COMPUTED_VALUE"""),453.0)</f>
        <v>453</v>
      </c>
      <c r="E397" s="1" t="str">
        <f t="array" ref="E397">_xlfn.XLOOKUP(A397,Product!A:A,Product!B:B,"Bulunamadı")</f>
        <v>Tech</v>
      </c>
      <c r="F397" s="1" t="str">
        <f t="array" ref="F397">_xlfn.XLOOKUP(A397,Product!A:A,Product!C:C,"Bulunamadı")</f>
        <v>Paranormal</v>
      </c>
      <c r="G397" s="2" t="str">
        <f t="array" ref="G397">_xlfn.XLOOKUP(A398,Product!A:A,Product!D:D,"Bulunamadı")</f>
        <v>Red Bridge Press</v>
      </c>
      <c r="H397" s="2">
        <f t="array" ref="H397">_xlfn.XLOOKUP(A399,Product!A:A,Product!E:E,"Bulunamadı")</f>
        <v>4.96</v>
      </c>
      <c r="I397" s="2" t="str">
        <f t="shared" si="1"/>
        <v>102086 - Tech - Paranormal</v>
      </c>
      <c r="J397" s="2">
        <f t="shared" si="2"/>
        <v>2246.88</v>
      </c>
      <c r="K397" s="17">
        <f t="shared" si="3"/>
        <v>1</v>
      </c>
      <c r="L397" s="18"/>
    </row>
    <row r="398" hidden="1">
      <c r="A398" s="2">
        <f>IFERROR(__xludf.DUMMYFUNCTION("""COMPUTED_VALUE"""),108892.0)</f>
        <v>108892</v>
      </c>
      <c r="B398" s="2">
        <f>IFERROR(__xludf.DUMMYFUNCTION("""COMPUTED_VALUE"""),1.0)</f>
        <v>1</v>
      </c>
      <c r="C398" s="2">
        <f>IFERROR(__xludf.DUMMYFUNCTION("""COMPUTED_VALUE"""),80.0)</f>
        <v>80</v>
      </c>
      <c r="D398" s="3">
        <f>IFERROR(__xludf.DUMMYFUNCTION("""COMPUTED_VALUE"""),41.0)</f>
        <v>41</v>
      </c>
      <c r="E398" s="1" t="str">
        <f t="array" ref="E398">_xlfn.XLOOKUP(A398,Product!A:A,Product!B:B,"Bulunamadı")</f>
        <v>Tech</v>
      </c>
      <c r="F398" s="1" t="str">
        <f t="array" ref="F398">_xlfn.XLOOKUP(A398,Product!A:A,Product!C:C,"Bulunamadı")</f>
        <v>Paranormal</v>
      </c>
      <c r="G398" s="2" t="str">
        <f t="array" ref="G398">_xlfn.XLOOKUP(A399,Product!A:A,Product!D:D,"Bulunamadı")</f>
        <v>Red Bridge Press</v>
      </c>
      <c r="H398" s="2">
        <f t="array" ref="H398">_xlfn.XLOOKUP(A400,Product!A:A,Product!E:E,"Bulunamadı")</f>
        <v>1.21</v>
      </c>
      <c r="I398" s="2" t="str">
        <f t="shared" si="1"/>
        <v>108892 - Tech - Paranormal</v>
      </c>
      <c r="J398" s="2">
        <f t="shared" si="2"/>
        <v>49.61</v>
      </c>
      <c r="K398" s="17">
        <f t="shared" si="3"/>
        <v>1</v>
      </c>
      <c r="L398" s="18"/>
    </row>
    <row r="399" hidden="1">
      <c r="A399" s="2">
        <f>IFERROR(__xludf.DUMMYFUNCTION("""COMPUTED_VALUE"""),110935.0)</f>
        <v>110935</v>
      </c>
      <c r="B399" s="2">
        <f>IFERROR(__xludf.DUMMYFUNCTION("""COMPUTED_VALUE"""),1.0)</f>
        <v>1</v>
      </c>
      <c r="C399" s="2">
        <f>IFERROR(__xludf.DUMMYFUNCTION("""COMPUTED_VALUE"""),837.0)</f>
        <v>837</v>
      </c>
      <c r="D399" s="3">
        <f>IFERROR(__xludf.DUMMYFUNCTION("""COMPUTED_VALUE"""),660.0)</f>
        <v>660</v>
      </c>
      <c r="E399" s="1" t="str">
        <f t="array" ref="E399">_xlfn.XLOOKUP(A399,Product!A:A,Product!B:B,"Bulunamadı")</f>
        <v>Tech</v>
      </c>
      <c r="F399" s="1" t="str">
        <f t="array" ref="F399">_xlfn.XLOOKUP(A399,Product!A:A,Product!C:C,"Bulunamadı")</f>
        <v>Paranormal</v>
      </c>
      <c r="G399" s="2" t="str">
        <f t="array" ref="G399">_xlfn.XLOOKUP(A400,Product!A:A,Product!D:D,"Bulunamadı")</f>
        <v>Red Bridge Press</v>
      </c>
      <c r="H399" s="2">
        <f t="array" ref="H399">_xlfn.XLOOKUP(A401,Product!A:A,Product!E:E,"Bulunamadı")</f>
        <v>6.12</v>
      </c>
      <c r="I399" s="2" t="str">
        <f t="shared" si="1"/>
        <v>110935 - Tech - Paranormal</v>
      </c>
      <c r="J399" s="2">
        <f t="shared" si="2"/>
        <v>4039.2</v>
      </c>
      <c r="K399" s="17">
        <f t="shared" si="3"/>
        <v>1</v>
      </c>
      <c r="L399" s="18"/>
    </row>
    <row r="400" hidden="1">
      <c r="A400" s="2">
        <f>IFERROR(__xludf.DUMMYFUNCTION("""COMPUTED_VALUE"""),103599.0)</f>
        <v>103599</v>
      </c>
      <c r="B400" s="2">
        <f>IFERROR(__xludf.DUMMYFUNCTION("""COMPUTED_VALUE"""),1.0)</f>
        <v>1</v>
      </c>
      <c r="C400" s="2">
        <f>IFERROR(__xludf.DUMMYFUNCTION("""COMPUTED_VALUE"""),53.0)</f>
        <v>53</v>
      </c>
      <c r="D400" s="3">
        <f>IFERROR(__xludf.DUMMYFUNCTION("""COMPUTED_VALUE"""),18.0)</f>
        <v>18</v>
      </c>
      <c r="E400" s="1" t="str">
        <f t="array" ref="E400">_xlfn.XLOOKUP(A400,Product!A:A,Product!B:B,"Bulunamadı")</f>
        <v>Tech</v>
      </c>
      <c r="F400" s="1" t="str">
        <f t="array" ref="F400">_xlfn.XLOOKUP(A400,Product!A:A,Product!C:C,"Bulunamadı")</f>
        <v>Paranormal</v>
      </c>
      <c r="G400" s="2" t="str">
        <f t="array" ref="G400">_xlfn.XLOOKUP(A401,Product!A:A,Product!D:D,"Bulunamadı")</f>
        <v>Red Bridge Press</v>
      </c>
      <c r="H400" s="2">
        <f t="array" ref="H400">_xlfn.XLOOKUP(A402,Product!A:A,Product!E:E,"Bulunamadı")</f>
        <v>3.02</v>
      </c>
      <c r="I400" s="2" t="str">
        <f t="shared" si="1"/>
        <v>103599 - Tech - Paranormal</v>
      </c>
      <c r="J400" s="2">
        <f t="shared" si="2"/>
        <v>54.36</v>
      </c>
      <c r="K400" s="17">
        <f t="shared" si="3"/>
        <v>1</v>
      </c>
      <c r="L400" s="18"/>
    </row>
    <row r="401" hidden="1">
      <c r="A401" s="2">
        <f>IFERROR(__xludf.DUMMYFUNCTION("""COMPUTED_VALUE"""),108811.0)</f>
        <v>108811</v>
      </c>
      <c r="B401" s="2">
        <f>IFERROR(__xludf.DUMMYFUNCTION("""COMPUTED_VALUE"""),1.0)</f>
        <v>1</v>
      </c>
      <c r="C401" s="2">
        <f>IFERROR(__xludf.DUMMYFUNCTION("""COMPUTED_VALUE"""),868.0)</f>
        <v>868</v>
      </c>
      <c r="D401" s="3">
        <f>IFERROR(__xludf.DUMMYFUNCTION("""COMPUTED_VALUE"""),542.0)</f>
        <v>542</v>
      </c>
      <c r="E401" s="1" t="str">
        <f t="array" ref="E401">_xlfn.XLOOKUP(A401,Product!A:A,Product!B:B,"Bulunamadı")</f>
        <v>Tech</v>
      </c>
      <c r="F401" s="1" t="str">
        <f t="array" ref="F401">_xlfn.XLOOKUP(A401,Product!A:A,Product!C:C,"Bulunamadı")</f>
        <v>Paranormal</v>
      </c>
      <c r="G401" s="2" t="str">
        <f t="array" ref="G401">_xlfn.XLOOKUP(A402,Product!A:A,Product!D:D,"Bulunamadı")</f>
        <v>Red Bridge Press</v>
      </c>
      <c r="H401" s="2">
        <f t="array" ref="H401">_xlfn.XLOOKUP(A403,Product!A:A,Product!E:E,"Bulunamadı")</f>
        <v>4.07</v>
      </c>
      <c r="I401" s="2" t="str">
        <f t="shared" si="1"/>
        <v>108811 - Tech - Paranormal</v>
      </c>
      <c r="J401" s="2">
        <f t="shared" si="2"/>
        <v>2205.94</v>
      </c>
      <c r="K401" s="17">
        <f t="shared" si="3"/>
        <v>1</v>
      </c>
      <c r="L401" s="18"/>
    </row>
    <row r="402" hidden="1">
      <c r="A402" s="2">
        <f>IFERROR(__xludf.DUMMYFUNCTION("""COMPUTED_VALUE"""),2202.0)</f>
        <v>2202</v>
      </c>
      <c r="B402" s="2">
        <f>IFERROR(__xludf.DUMMYFUNCTION("""COMPUTED_VALUE"""),1.0)</f>
        <v>1</v>
      </c>
      <c r="C402" s="2">
        <f>IFERROR(__xludf.DUMMYFUNCTION("""COMPUTED_VALUE"""),158.0)</f>
        <v>158</v>
      </c>
      <c r="D402" s="3">
        <f>IFERROR(__xludf.DUMMYFUNCTION("""COMPUTED_VALUE"""),94.0)</f>
        <v>94</v>
      </c>
      <c r="E402" s="1" t="str">
        <f t="array" ref="E402">_xlfn.XLOOKUP(A402,Product!A:A,Product!B:B,"Bulunamadı")</f>
        <v>Tech</v>
      </c>
      <c r="F402" s="1" t="str">
        <f t="array" ref="F402">_xlfn.XLOOKUP(A402,Product!A:A,Product!C:C,"Bulunamadı")</f>
        <v>Paranormal</v>
      </c>
      <c r="G402" s="2" t="str">
        <f t="array" ref="G402">_xlfn.XLOOKUP(A403,Product!A:A,Product!D:D,"Bulunamadı")</f>
        <v>Red Bridge Press</v>
      </c>
      <c r="H402" s="2">
        <f t="array" ref="H402">_xlfn.XLOOKUP(A404,Product!A:A,Product!E:E,"Bulunamadı")</f>
        <v>1.57</v>
      </c>
      <c r="I402" s="2" t="str">
        <f t="shared" si="1"/>
        <v>2202 - Tech - Paranormal</v>
      </c>
      <c r="J402" s="2">
        <f t="shared" si="2"/>
        <v>147.58</v>
      </c>
      <c r="K402" s="17">
        <f t="shared" si="3"/>
        <v>1</v>
      </c>
      <c r="L402" s="18"/>
    </row>
    <row r="403" hidden="1">
      <c r="A403" s="2">
        <f>IFERROR(__xludf.DUMMYFUNCTION("""COMPUTED_VALUE"""),122789.0)</f>
        <v>122789</v>
      </c>
      <c r="B403" s="2">
        <f>IFERROR(__xludf.DUMMYFUNCTION("""COMPUTED_VALUE"""),1.0)</f>
        <v>1</v>
      </c>
      <c r="C403" s="2">
        <f>IFERROR(__xludf.DUMMYFUNCTION("""COMPUTED_VALUE"""),749.0)</f>
        <v>749</v>
      </c>
      <c r="D403" s="3">
        <f>IFERROR(__xludf.DUMMYFUNCTION("""COMPUTED_VALUE"""),260.0)</f>
        <v>260</v>
      </c>
      <c r="E403" s="1" t="str">
        <f t="array" ref="E403">_xlfn.XLOOKUP(A403,Product!A:A,Product!B:B,"Bulunamadı")</f>
        <v>Tech</v>
      </c>
      <c r="F403" s="1" t="str">
        <f t="array" ref="F403">_xlfn.XLOOKUP(A403,Product!A:A,Product!C:C,"Bulunamadı")</f>
        <v>Paranormal</v>
      </c>
      <c r="G403" s="2" t="str">
        <f t="array" ref="G403">_xlfn.XLOOKUP(A404,Product!A:A,Product!D:D,"Bulunamadı")</f>
        <v>Red Bridge Press</v>
      </c>
      <c r="H403" s="2">
        <f t="array" ref="H403">_xlfn.XLOOKUP(A405,Product!A:A,Product!E:E,"Bulunamadı")</f>
        <v>4.1</v>
      </c>
      <c r="I403" s="2" t="str">
        <f t="shared" si="1"/>
        <v>122789 - Tech - Paranormal</v>
      </c>
      <c r="J403" s="2">
        <f t="shared" si="2"/>
        <v>1066</v>
      </c>
      <c r="K403" s="17">
        <f t="shared" si="3"/>
        <v>1</v>
      </c>
      <c r="L403" s="18"/>
    </row>
    <row r="404" hidden="1">
      <c r="A404" s="2">
        <f>IFERROR(__xludf.DUMMYFUNCTION("""COMPUTED_VALUE"""),101563.0)</f>
        <v>101563</v>
      </c>
      <c r="B404" s="2">
        <f>IFERROR(__xludf.DUMMYFUNCTION("""COMPUTED_VALUE"""),0.0)</f>
        <v>0</v>
      </c>
      <c r="C404" s="2">
        <f>IFERROR(__xludf.DUMMYFUNCTION("""COMPUTED_VALUE"""),64.0)</f>
        <v>64</v>
      </c>
      <c r="D404" s="3">
        <f>IFERROR(__xludf.DUMMYFUNCTION("""COMPUTED_VALUE"""),20.0)</f>
        <v>20</v>
      </c>
      <c r="E404" s="1" t="str">
        <f t="array" ref="E404">_xlfn.XLOOKUP(A404,Product!A:A,Product!B:B,"Bulunamadı")</f>
        <v>Tech</v>
      </c>
      <c r="F404" s="1" t="str">
        <f t="array" ref="F404">_xlfn.XLOOKUP(A404,Product!A:A,Product!C:C,"Bulunamadı")</f>
        <v>Paranormal</v>
      </c>
      <c r="G404" s="2" t="str">
        <f t="array" ref="G404">_xlfn.XLOOKUP(A405,Product!A:A,Product!D:D,"Bulunamadı")</f>
        <v>Red Bridge Press</v>
      </c>
      <c r="H404" s="2">
        <f t="array" ref="H404">_xlfn.XLOOKUP(A406,Product!A:A,Product!E:E,"Bulunamadı")</f>
        <v>2.1</v>
      </c>
      <c r="I404" s="2" t="str">
        <f t="shared" si="1"/>
        <v>101563 - Tech - Paranormal</v>
      </c>
      <c r="J404" s="2">
        <f t="shared" si="2"/>
        <v>42</v>
      </c>
      <c r="K404" s="17">
        <f t="shared" si="3"/>
        <v>1</v>
      </c>
      <c r="L404" s="18"/>
    </row>
    <row r="405" hidden="1">
      <c r="A405" s="2">
        <f>IFERROR(__xludf.DUMMYFUNCTION("""COMPUTED_VALUE"""),110934.0)</f>
        <v>110934</v>
      </c>
      <c r="B405" s="2">
        <f>IFERROR(__xludf.DUMMYFUNCTION("""COMPUTED_VALUE"""),0.0)</f>
        <v>0</v>
      </c>
      <c r="C405" s="2">
        <f>IFERROR(__xludf.DUMMYFUNCTION("""COMPUTED_VALUE"""),190.0)</f>
        <v>190</v>
      </c>
      <c r="D405" s="3">
        <f>IFERROR(__xludf.DUMMYFUNCTION("""COMPUTED_VALUE"""),175.0)</f>
        <v>175</v>
      </c>
      <c r="E405" s="1" t="str">
        <f t="array" ref="E405">_xlfn.XLOOKUP(A405,Product!A:A,Product!B:B,"Bulunamadı")</f>
        <v>Tech</v>
      </c>
      <c r="F405" s="1" t="str">
        <f t="array" ref="F405">_xlfn.XLOOKUP(A405,Product!A:A,Product!C:C,"Bulunamadı")</f>
        <v>Paranormal</v>
      </c>
      <c r="G405" s="2" t="str">
        <f t="array" ref="G405">_xlfn.XLOOKUP(A406,Product!A:A,Product!D:D,"Bulunamadı")</f>
        <v>Red Bridge Press</v>
      </c>
      <c r="H405" s="2">
        <f t="array" ref="H405">_xlfn.XLOOKUP(A407,Product!A:A,Product!E:E,"Bulunamadı")</f>
        <v>2.31</v>
      </c>
      <c r="I405" s="2" t="str">
        <f t="shared" si="1"/>
        <v>110934 - Tech - Paranormal</v>
      </c>
      <c r="J405" s="2">
        <f t="shared" si="2"/>
        <v>404.25</v>
      </c>
      <c r="K405" s="17">
        <f t="shared" si="3"/>
        <v>1</v>
      </c>
      <c r="L405" s="18"/>
    </row>
    <row r="406" hidden="1">
      <c r="A406" s="2">
        <f>IFERROR(__xludf.DUMMYFUNCTION("""COMPUTED_VALUE"""),110147.0)</f>
        <v>110147</v>
      </c>
      <c r="B406" s="2">
        <f>IFERROR(__xludf.DUMMYFUNCTION("""COMPUTED_VALUE"""),1.0)</f>
        <v>1</v>
      </c>
      <c r="C406" s="2">
        <f>IFERROR(__xludf.DUMMYFUNCTION("""COMPUTED_VALUE"""),43.0)</f>
        <v>43</v>
      </c>
      <c r="D406" s="3">
        <f>IFERROR(__xludf.DUMMYFUNCTION("""COMPUTED_VALUE"""),37.0)</f>
        <v>37</v>
      </c>
      <c r="E406" s="1" t="str">
        <f t="array" ref="E406">_xlfn.XLOOKUP(A406,Product!A:A,Product!B:B,"Bulunamadı")</f>
        <v>Tech</v>
      </c>
      <c r="F406" s="1" t="str">
        <f t="array" ref="F406">_xlfn.XLOOKUP(A406,Product!A:A,Product!C:C,"Bulunamadı")</f>
        <v>Paranormal</v>
      </c>
      <c r="G406" s="2" t="str">
        <f t="array" ref="G406">_xlfn.XLOOKUP(A407,Product!A:A,Product!D:D,"Bulunamadı")</f>
        <v>Red Bridge Press</v>
      </c>
      <c r="H406" s="2">
        <f t="array" ref="H406">_xlfn.XLOOKUP(A408,Product!A:A,Product!E:E,"Bulunamadı")</f>
        <v>3.06</v>
      </c>
      <c r="I406" s="2" t="str">
        <f t="shared" si="1"/>
        <v>110147 - Tech - Paranormal</v>
      </c>
      <c r="J406" s="2">
        <f t="shared" si="2"/>
        <v>113.22</v>
      </c>
      <c r="K406" s="17">
        <f t="shared" si="3"/>
        <v>1</v>
      </c>
      <c r="L406" s="18"/>
    </row>
    <row r="407" hidden="1">
      <c r="A407" s="2">
        <f>IFERROR(__xludf.DUMMYFUNCTION("""COMPUTED_VALUE"""),104135.0)</f>
        <v>104135</v>
      </c>
      <c r="B407" s="2">
        <f>IFERROR(__xludf.DUMMYFUNCTION("""COMPUTED_VALUE"""),1.0)</f>
        <v>1</v>
      </c>
      <c r="C407" s="2">
        <f>IFERROR(__xludf.DUMMYFUNCTION("""COMPUTED_VALUE"""),4.0)</f>
        <v>4</v>
      </c>
      <c r="D407" s="3">
        <f>IFERROR(__xludf.DUMMYFUNCTION("""COMPUTED_VALUE"""),2.0)</f>
        <v>2</v>
      </c>
      <c r="E407" s="1" t="str">
        <f t="array" ref="E407">_xlfn.XLOOKUP(A407,Product!A:A,Product!B:B,"Bulunamadı")</f>
        <v>Tech</v>
      </c>
      <c r="F407" s="1" t="str">
        <f t="array" ref="F407">_xlfn.XLOOKUP(A407,Product!A:A,Product!C:C,"Bulunamadı")</f>
        <v>Paranormal</v>
      </c>
      <c r="G407" s="2" t="str">
        <f t="array" ref="G407">_xlfn.XLOOKUP(A408,Product!A:A,Product!D:D,"Bulunamadı")</f>
        <v>Red Bridge Press</v>
      </c>
      <c r="H407" s="2">
        <f t="array" ref="H407">_xlfn.XLOOKUP(A409,Product!A:A,Product!E:E,"Bulunamadı")</f>
        <v>5.3</v>
      </c>
      <c r="I407" s="2" t="str">
        <f t="shared" si="1"/>
        <v>104135 - Tech - Paranormal</v>
      </c>
      <c r="J407" s="2">
        <f t="shared" si="2"/>
        <v>10.6</v>
      </c>
      <c r="K407" s="17">
        <f t="shared" si="3"/>
        <v>1</v>
      </c>
      <c r="L407" s="18"/>
    </row>
    <row r="408" hidden="1">
      <c r="A408" s="2">
        <f>IFERROR(__xludf.DUMMYFUNCTION("""COMPUTED_VALUE"""),101559.0)</f>
        <v>101559</v>
      </c>
      <c r="B408" s="2">
        <f>IFERROR(__xludf.DUMMYFUNCTION("""COMPUTED_VALUE"""),1.0)</f>
        <v>1</v>
      </c>
      <c r="C408" s="2">
        <f>IFERROR(__xludf.DUMMYFUNCTION("""COMPUTED_VALUE"""),545.0)</f>
        <v>545</v>
      </c>
      <c r="D408" s="3">
        <f>IFERROR(__xludf.DUMMYFUNCTION("""COMPUTED_VALUE"""),539.0)</f>
        <v>539</v>
      </c>
      <c r="E408" s="1" t="str">
        <f t="array" ref="E408">_xlfn.XLOOKUP(A408,Product!A:A,Product!B:B,"Bulunamadı")</f>
        <v>Tech</v>
      </c>
      <c r="F408" s="1" t="str">
        <f t="array" ref="F408">_xlfn.XLOOKUP(A408,Product!A:A,Product!C:C,"Bulunamadı")</f>
        <v>Paranormal</v>
      </c>
      <c r="G408" s="2" t="str">
        <f t="array" ref="G408">_xlfn.XLOOKUP(A409,Product!A:A,Product!D:D,"Bulunamadı")</f>
        <v>Red Bridge Press</v>
      </c>
      <c r="H408" s="2">
        <f t="array" ref="H408">_xlfn.XLOOKUP(A410,Product!A:A,Product!E:E,"Bulunamadı")</f>
        <v>1.67</v>
      </c>
      <c r="I408" s="2" t="str">
        <f t="shared" si="1"/>
        <v>101559 - Tech - Paranormal</v>
      </c>
      <c r="J408" s="2">
        <f t="shared" si="2"/>
        <v>900.13</v>
      </c>
      <c r="K408" s="17">
        <f t="shared" si="3"/>
        <v>1</v>
      </c>
      <c r="L408" s="18"/>
    </row>
    <row r="409" hidden="1">
      <c r="A409" s="2">
        <f>IFERROR(__xludf.DUMMYFUNCTION("""COMPUTED_VALUE"""),129340.0)</f>
        <v>129340</v>
      </c>
      <c r="B409" s="2">
        <f>IFERROR(__xludf.DUMMYFUNCTION("""COMPUTED_VALUE"""),1.0)</f>
        <v>1</v>
      </c>
      <c r="C409" s="2">
        <f>IFERROR(__xludf.DUMMYFUNCTION("""COMPUTED_VALUE"""),661.0)</f>
        <v>661</v>
      </c>
      <c r="D409" s="3">
        <f>IFERROR(__xludf.DUMMYFUNCTION("""COMPUTED_VALUE"""),415.0)</f>
        <v>415</v>
      </c>
      <c r="E409" s="1" t="str">
        <f t="array" ref="E409">_xlfn.XLOOKUP(A409,Product!A:A,Product!B:B,"Bulunamadı")</f>
        <v>Tech</v>
      </c>
      <c r="F409" s="1" t="str">
        <f t="array" ref="F409">_xlfn.XLOOKUP(A409,Product!A:A,Product!C:C,"Bulunamadı")</f>
        <v>Paranormal</v>
      </c>
      <c r="G409" s="2" t="str">
        <f t="array" ref="G409">_xlfn.XLOOKUP(A410,Product!A:A,Product!D:D,"Bulunamadı")</f>
        <v>Red Bridge Press</v>
      </c>
      <c r="H409" s="2">
        <f t="array" ref="H409">_xlfn.XLOOKUP(A411,Product!A:A,Product!E:E,"Bulunamadı")</f>
        <v>2.75</v>
      </c>
      <c r="I409" s="2" t="str">
        <f t="shared" si="1"/>
        <v>129340 - Tech - Paranormal</v>
      </c>
      <c r="J409" s="2">
        <f t="shared" si="2"/>
        <v>1141.25</v>
      </c>
      <c r="K409" s="17">
        <f t="shared" si="3"/>
        <v>1</v>
      </c>
      <c r="L409" s="18"/>
    </row>
    <row r="410" hidden="1">
      <c r="A410" s="2">
        <f>IFERROR(__xludf.DUMMYFUNCTION("""COMPUTED_VALUE"""),103609.0)</f>
        <v>103609</v>
      </c>
      <c r="B410" s="2">
        <f>IFERROR(__xludf.DUMMYFUNCTION("""COMPUTED_VALUE"""),0.0)</f>
        <v>0</v>
      </c>
      <c r="C410" s="2">
        <f>IFERROR(__xludf.DUMMYFUNCTION("""COMPUTED_VALUE"""),189.0)</f>
        <v>189</v>
      </c>
      <c r="D410" s="3">
        <f>IFERROR(__xludf.DUMMYFUNCTION("""COMPUTED_VALUE"""),121.0)</f>
        <v>121</v>
      </c>
      <c r="E410" s="1" t="str">
        <f t="array" ref="E410">_xlfn.XLOOKUP(A410,Product!A:A,Product!B:B,"Bulunamadı")</f>
        <v>Tech</v>
      </c>
      <c r="F410" s="1" t="str">
        <f t="array" ref="F410">_xlfn.XLOOKUP(A410,Product!A:A,Product!C:C,"Bulunamadı")</f>
        <v>Paranormal</v>
      </c>
      <c r="G410" s="2" t="str">
        <f t="array" ref="G410">_xlfn.XLOOKUP(A411,Product!A:A,Product!D:D,"Bulunamadı")</f>
        <v>Red Bridge Press</v>
      </c>
      <c r="H410" s="2">
        <f t="array" ref="H410">_xlfn.XLOOKUP(A412,Product!A:A,Product!E:E,"Bulunamadı")</f>
        <v>4.35</v>
      </c>
      <c r="I410" s="2" t="str">
        <f t="shared" si="1"/>
        <v>103609 - Tech - Paranormal</v>
      </c>
      <c r="J410" s="2">
        <f t="shared" si="2"/>
        <v>526.35</v>
      </c>
      <c r="K410" s="17">
        <f t="shared" si="3"/>
        <v>1</v>
      </c>
      <c r="L410" s="18"/>
    </row>
    <row r="411" hidden="1">
      <c r="A411" s="2">
        <f>IFERROR(__xludf.DUMMYFUNCTION("""COMPUTED_VALUE"""),122499.0)</f>
        <v>122499</v>
      </c>
      <c r="B411" s="2">
        <f>IFERROR(__xludf.DUMMYFUNCTION("""COMPUTED_VALUE"""),0.0)</f>
        <v>0</v>
      </c>
      <c r="C411" s="2">
        <f>IFERROR(__xludf.DUMMYFUNCTION("""COMPUTED_VALUE"""),461.0)</f>
        <v>461</v>
      </c>
      <c r="D411" s="3">
        <f>IFERROR(__xludf.DUMMYFUNCTION("""COMPUTED_VALUE"""),262.0)</f>
        <v>262</v>
      </c>
      <c r="E411" s="1" t="str">
        <f t="array" ref="E411">_xlfn.XLOOKUP(A411,Product!A:A,Product!B:B,"Bulunamadı")</f>
        <v>Tech</v>
      </c>
      <c r="F411" s="1" t="str">
        <f t="array" ref="F411">_xlfn.XLOOKUP(A411,Product!A:A,Product!C:C,"Bulunamadı")</f>
        <v>Paranormal</v>
      </c>
      <c r="G411" s="2" t="str">
        <f t="array" ref="G411">_xlfn.XLOOKUP(A412,Product!A:A,Product!D:D,"Bulunamadı")</f>
        <v>Red Bridge Press</v>
      </c>
      <c r="H411" s="2">
        <f t="array" ref="H411">_xlfn.XLOOKUP(A413,Product!A:A,Product!E:E,"Bulunamadı")</f>
        <v>3.02</v>
      </c>
      <c r="I411" s="2" t="str">
        <f t="shared" si="1"/>
        <v>122499 - Tech - Paranormal</v>
      </c>
      <c r="J411" s="2">
        <f t="shared" si="2"/>
        <v>791.24</v>
      </c>
      <c r="K411" s="17">
        <f t="shared" si="3"/>
        <v>1</v>
      </c>
      <c r="L411" s="18"/>
    </row>
    <row r="412" hidden="1">
      <c r="A412" s="2">
        <f>IFERROR(__xludf.DUMMYFUNCTION("""COMPUTED_VALUE"""),117311.0)</f>
        <v>117311</v>
      </c>
      <c r="B412" s="2">
        <f>IFERROR(__xludf.DUMMYFUNCTION("""COMPUTED_VALUE"""),1.0)</f>
        <v>1</v>
      </c>
      <c r="C412" s="2">
        <f>IFERROR(__xludf.DUMMYFUNCTION("""COMPUTED_VALUE"""),879.0)</f>
        <v>879</v>
      </c>
      <c r="D412" s="3">
        <f>IFERROR(__xludf.DUMMYFUNCTION("""COMPUTED_VALUE"""),538.0)</f>
        <v>538</v>
      </c>
      <c r="E412" s="1" t="str">
        <f t="array" ref="E412">_xlfn.XLOOKUP(A412,Product!A:A,Product!B:B,"Bulunamadı")</f>
        <v>Tech</v>
      </c>
      <c r="F412" s="1" t="str">
        <f t="array" ref="F412">_xlfn.XLOOKUP(A412,Product!A:A,Product!C:C,"Bulunamadı")</f>
        <v>Paranormal</v>
      </c>
      <c r="G412" s="2" t="str">
        <f t="array" ref="G412">_xlfn.XLOOKUP(A413,Product!A:A,Product!D:D,"Bulunamadı")</f>
        <v>Red Bridge Press</v>
      </c>
      <c r="H412" s="2">
        <f t="array" ref="H412">_xlfn.XLOOKUP(A414,Product!A:A,Product!E:E,"Bulunamadı")</f>
        <v>2.67</v>
      </c>
      <c r="I412" s="2" t="str">
        <f t="shared" si="1"/>
        <v>117311 - Tech - Paranormal</v>
      </c>
      <c r="J412" s="2">
        <f t="shared" si="2"/>
        <v>1436.46</v>
      </c>
      <c r="K412" s="17">
        <f t="shared" si="3"/>
        <v>1</v>
      </c>
      <c r="L412" s="18"/>
    </row>
    <row r="413" hidden="1">
      <c r="A413" s="2">
        <f>IFERROR(__xludf.DUMMYFUNCTION("""COMPUTED_VALUE"""),116670.0)</f>
        <v>116670</v>
      </c>
      <c r="B413" s="2">
        <f>IFERROR(__xludf.DUMMYFUNCTION("""COMPUTED_VALUE"""),1.0)</f>
        <v>1</v>
      </c>
      <c r="C413" s="2">
        <f>IFERROR(__xludf.DUMMYFUNCTION("""COMPUTED_VALUE"""),118.0)</f>
        <v>118</v>
      </c>
      <c r="D413" s="3">
        <f>IFERROR(__xludf.DUMMYFUNCTION("""COMPUTED_VALUE"""),93.0)</f>
        <v>93</v>
      </c>
      <c r="E413" s="1" t="str">
        <f t="array" ref="E413">_xlfn.XLOOKUP(A413,Product!A:A,Product!B:B,"Bulunamadı")</f>
        <v>Tech</v>
      </c>
      <c r="F413" s="1" t="str">
        <f t="array" ref="F413">_xlfn.XLOOKUP(A413,Product!A:A,Product!C:C,"Bulunamadı")</f>
        <v>Paranormal</v>
      </c>
      <c r="G413" s="2" t="str">
        <f t="array" ref="G413">_xlfn.XLOOKUP(A414,Product!A:A,Product!D:D,"Bulunamadı")</f>
        <v>Red Bridge Press</v>
      </c>
      <c r="H413" s="2">
        <f t="array" ref="H413">_xlfn.XLOOKUP(A415,Product!A:A,Product!E:E,"Bulunamadı")</f>
        <v>2.02</v>
      </c>
      <c r="I413" s="2" t="str">
        <f t="shared" si="1"/>
        <v>116670 - Tech - Paranormal</v>
      </c>
      <c r="J413" s="2">
        <f t="shared" si="2"/>
        <v>187.86</v>
      </c>
      <c r="K413" s="17">
        <f t="shared" si="3"/>
        <v>1</v>
      </c>
      <c r="L413" s="18"/>
    </row>
    <row r="414" hidden="1">
      <c r="A414" s="2">
        <f>IFERROR(__xludf.DUMMYFUNCTION("""COMPUTED_VALUE"""),2204.0)</f>
        <v>2204</v>
      </c>
      <c r="B414" s="2">
        <f>IFERROR(__xludf.DUMMYFUNCTION("""COMPUTED_VALUE"""),1.0)</f>
        <v>1</v>
      </c>
      <c r="C414" s="2">
        <f>IFERROR(__xludf.DUMMYFUNCTION("""COMPUTED_VALUE"""),429.0)</f>
        <v>429</v>
      </c>
      <c r="D414" s="3">
        <f>IFERROR(__xludf.DUMMYFUNCTION("""COMPUTED_VALUE"""),246.0)</f>
        <v>246</v>
      </c>
      <c r="E414" s="1" t="str">
        <f t="array" ref="E414">_xlfn.XLOOKUP(A414,Product!A:A,Product!B:B,"Bulunamadı")</f>
        <v>Tech</v>
      </c>
      <c r="F414" s="1" t="str">
        <f t="array" ref="F414">_xlfn.XLOOKUP(A414,Product!A:A,Product!C:C,"Bulunamadı")</f>
        <v>Paranormal</v>
      </c>
      <c r="G414" s="2" t="str">
        <f t="array" ref="G414">_xlfn.XLOOKUP(A415,Product!A:A,Product!D:D,"Bulunamadı")</f>
        <v>Red Bridge Press</v>
      </c>
      <c r="H414" s="2">
        <f t="array" ref="H414">_xlfn.XLOOKUP(A416,Product!A:A,Product!E:E,"Bulunamadı")</f>
        <v>1.38</v>
      </c>
      <c r="I414" s="2" t="str">
        <f t="shared" si="1"/>
        <v>2204 - Tech - Paranormal</v>
      </c>
      <c r="J414" s="2">
        <f t="shared" si="2"/>
        <v>339.48</v>
      </c>
      <c r="K414" s="17">
        <f t="shared" si="3"/>
        <v>1</v>
      </c>
      <c r="L414" s="18"/>
    </row>
    <row r="415" hidden="1">
      <c r="A415" s="2">
        <f>IFERROR(__xludf.DUMMYFUNCTION("""COMPUTED_VALUE"""),104128.0)</f>
        <v>104128</v>
      </c>
      <c r="B415" s="2">
        <f>IFERROR(__xludf.DUMMYFUNCTION("""COMPUTED_VALUE"""),1.0)</f>
        <v>1</v>
      </c>
      <c r="C415" s="2">
        <f>IFERROR(__xludf.DUMMYFUNCTION("""COMPUTED_VALUE"""),851.0)</f>
        <v>851</v>
      </c>
      <c r="D415" s="3">
        <f>IFERROR(__xludf.DUMMYFUNCTION("""COMPUTED_VALUE"""),738.0)</f>
        <v>738</v>
      </c>
      <c r="E415" s="1" t="str">
        <f t="array" ref="E415">_xlfn.XLOOKUP(A415,Product!A:A,Product!B:B,"Bulunamadı")</f>
        <v>Tech</v>
      </c>
      <c r="F415" s="1" t="str">
        <f t="array" ref="F415">_xlfn.XLOOKUP(A415,Product!A:A,Product!C:C,"Bulunamadı")</f>
        <v>Paranormal</v>
      </c>
      <c r="G415" s="2" t="str">
        <f t="array" ref="G415">_xlfn.XLOOKUP(A416,Product!A:A,Product!D:D,"Bulunamadı")</f>
        <v>Red Bridge Press</v>
      </c>
      <c r="H415" s="2">
        <f t="array" ref="H415">_xlfn.XLOOKUP(A417,Product!A:A,Product!E:E,"Bulunamadı")</f>
        <v>1.59</v>
      </c>
      <c r="I415" s="2" t="str">
        <f t="shared" si="1"/>
        <v>104128 - Tech - Paranormal</v>
      </c>
      <c r="J415" s="2">
        <f t="shared" si="2"/>
        <v>1173.42</v>
      </c>
      <c r="K415" s="17">
        <f t="shared" si="3"/>
        <v>1</v>
      </c>
      <c r="L415" s="18"/>
    </row>
    <row r="416" hidden="1">
      <c r="A416" s="2">
        <f>IFERROR(__xludf.DUMMYFUNCTION("""COMPUTED_VALUE"""),103600.0)</f>
        <v>103600</v>
      </c>
      <c r="B416" s="2">
        <f>IFERROR(__xludf.DUMMYFUNCTION("""COMPUTED_VALUE"""),1.0)</f>
        <v>1</v>
      </c>
      <c r="C416" s="2">
        <f>IFERROR(__xludf.DUMMYFUNCTION("""COMPUTED_VALUE"""),685.0)</f>
        <v>685</v>
      </c>
      <c r="D416" s="3">
        <f>IFERROR(__xludf.DUMMYFUNCTION("""COMPUTED_VALUE"""),109.0)</f>
        <v>109</v>
      </c>
      <c r="E416" s="1" t="str">
        <f t="array" ref="E416">_xlfn.XLOOKUP(A416,Product!A:A,Product!B:B,"Bulunamadı")</f>
        <v>Tech</v>
      </c>
      <c r="F416" s="1" t="str">
        <f t="array" ref="F416">_xlfn.XLOOKUP(A416,Product!A:A,Product!C:C,"Bulunamadı")</f>
        <v>Paranormal</v>
      </c>
      <c r="G416" s="2" t="str">
        <f t="array" ref="G416">_xlfn.XLOOKUP(A417,Product!A:A,Product!D:D,"Bulunamadı")</f>
        <v>Red Bridge Press</v>
      </c>
      <c r="H416" s="2">
        <f t="array" ref="H416">_xlfn.XLOOKUP(A418,Product!A:A,Product!E:E,"Bulunamadı")</f>
        <v>3.56</v>
      </c>
      <c r="I416" s="2" t="str">
        <f t="shared" si="1"/>
        <v>103600 - Tech - Paranormal</v>
      </c>
      <c r="J416" s="2">
        <f t="shared" si="2"/>
        <v>388.04</v>
      </c>
      <c r="K416" s="17">
        <f t="shared" si="3"/>
        <v>1</v>
      </c>
      <c r="L416" s="18"/>
    </row>
    <row r="417" hidden="1">
      <c r="A417" s="2">
        <f>IFERROR(__xludf.DUMMYFUNCTION("""COMPUTED_VALUE"""),108802.0)</f>
        <v>108802</v>
      </c>
      <c r="B417" s="2">
        <f>IFERROR(__xludf.DUMMYFUNCTION("""COMPUTED_VALUE"""),1.0)</f>
        <v>1</v>
      </c>
      <c r="C417" s="2">
        <f>IFERROR(__xludf.DUMMYFUNCTION("""COMPUTED_VALUE"""),77.0)</f>
        <v>77</v>
      </c>
      <c r="D417" s="3">
        <f>IFERROR(__xludf.DUMMYFUNCTION("""COMPUTED_VALUE"""),18.0)</f>
        <v>18</v>
      </c>
      <c r="E417" s="1" t="str">
        <f t="array" ref="E417">_xlfn.XLOOKUP(A417,Product!A:A,Product!B:B,"Bulunamadı")</f>
        <v>Tech</v>
      </c>
      <c r="F417" s="1" t="str">
        <f t="array" ref="F417">_xlfn.XLOOKUP(A417,Product!A:A,Product!C:C,"Bulunamadı")</f>
        <v>Paranormal</v>
      </c>
      <c r="G417" s="2" t="str">
        <f t="array" ref="G417">_xlfn.XLOOKUP(A418,Product!A:A,Product!D:D,"Bulunamadı")</f>
        <v>Red Bridge Press</v>
      </c>
      <c r="H417" s="2">
        <f t="array" ref="H417">_xlfn.XLOOKUP(A419,Product!A:A,Product!E:E,"Bulunamadı")</f>
        <v>2.58</v>
      </c>
      <c r="I417" s="2" t="str">
        <f t="shared" si="1"/>
        <v>108802 - Tech - Paranormal</v>
      </c>
      <c r="J417" s="2">
        <f t="shared" si="2"/>
        <v>46.44</v>
      </c>
      <c r="K417" s="17">
        <f t="shared" si="3"/>
        <v>1</v>
      </c>
      <c r="L417" s="18"/>
    </row>
    <row r="418" hidden="1">
      <c r="A418" s="2">
        <f>IFERROR(__xludf.DUMMYFUNCTION("""COMPUTED_VALUE"""),201034.0)</f>
        <v>201034</v>
      </c>
      <c r="B418" s="2">
        <f>IFERROR(__xludf.DUMMYFUNCTION("""COMPUTED_VALUE"""),1.0)</f>
        <v>1</v>
      </c>
      <c r="C418" s="2">
        <f>IFERROR(__xludf.DUMMYFUNCTION("""COMPUTED_VALUE"""),127.0)</f>
        <v>127</v>
      </c>
      <c r="D418" s="3">
        <f>IFERROR(__xludf.DUMMYFUNCTION("""COMPUTED_VALUE"""),105.0)</f>
        <v>105</v>
      </c>
      <c r="E418" s="1" t="str">
        <f t="array" ref="E418">_xlfn.XLOOKUP(A418,Product!A:A,Product!B:B,"Bulunamadı")</f>
        <v>Tech</v>
      </c>
      <c r="F418" s="1" t="str">
        <f t="array" ref="F418">_xlfn.XLOOKUP(A418,Product!A:A,Product!C:C,"Bulunamadı")</f>
        <v>Paranormal</v>
      </c>
      <c r="G418" s="2" t="str">
        <f t="array" ref="G418">_xlfn.XLOOKUP(A419,Product!A:A,Product!D:D,"Bulunamadı")</f>
        <v>Red Bridge Press</v>
      </c>
      <c r="H418" s="2">
        <f t="array" ref="H418">_xlfn.XLOOKUP(A420,Product!A:A,Product!E:E,"Bulunamadı")</f>
        <v>3.23</v>
      </c>
      <c r="I418" s="2" t="str">
        <f t="shared" si="1"/>
        <v>201034 - Tech - Paranormal</v>
      </c>
      <c r="J418" s="2">
        <f t="shared" si="2"/>
        <v>339.15</v>
      </c>
      <c r="K418" s="17">
        <f t="shared" si="3"/>
        <v>1</v>
      </c>
      <c r="L418" s="18"/>
    </row>
    <row r="419" hidden="1">
      <c r="A419" s="2">
        <f>IFERROR(__xludf.DUMMYFUNCTION("""COMPUTED_VALUE"""),6522.0)</f>
        <v>6522</v>
      </c>
      <c r="B419" s="2">
        <f>IFERROR(__xludf.DUMMYFUNCTION("""COMPUTED_VALUE"""),0.0)</f>
        <v>0</v>
      </c>
      <c r="C419" s="2">
        <f>IFERROR(__xludf.DUMMYFUNCTION("""COMPUTED_VALUE"""),84.0)</f>
        <v>84</v>
      </c>
      <c r="D419" s="3">
        <f>IFERROR(__xludf.DUMMYFUNCTION("""COMPUTED_VALUE"""),15.0)</f>
        <v>15</v>
      </c>
      <c r="E419" s="1" t="str">
        <f t="array" ref="E419">_xlfn.XLOOKUP(A419,Product!A:A,Product!B:B,"Bulunamadı")</f>
        <v>Tech</v>
      </c>
      <c r="F419" s="1" t="str">
        <f t="array" ref="F419">_xlfn.XLOOKUP(A419,Product!A:A,Product!C:C,"Bulunamadı")</f>
        <v>Paranormal</v>
      </c>
      <c r="G419" s="2" t="str">
        <f t="array" ref="G419">_xlfn.XLOOKUP(A420,Product!A:A,Product!D:D,"Bulunamadı")</f>
        <v>Red Bridge Press</v>
      </c>
      <c r="H419" s="2">
        <f t="array" ref="H419">_xlfn.XLOOKUP(A421,Product!A:A,Product!E:E,"Bulunamadı")</f>
        <v>3.05</v>
      </c>
      <c r="I419" s="2" t="str">
        <f t="shared" si="1"/>
        <v>6522 - Tech - Paranormal</v>
      </c>
      <c r="J419" s="2">
        <f t="shared" si="2"/>
        <v>45.75</v>
      </c>
      <c r="K419" s="17">
        <f t="shared" si="3"/>
        <v>1</v>
      </c>
      <c r="L419" s="18"/>
    </row>
    <row r="420" hidden="1">
      <c r="A420" s="2">
        <f>IFERROR(__xludf.DUMMYFUNCTION("""COMPUTED_VALUE"""),77644.0)</f>
        <v>77644</v>
      </c>
      <c r="B420" s="2">
        <f>IFERROR(__xludf.DUMMYFUNCTION("""COMPUTED_VALUE"""),0.0)</f>
        <v>0</v>
      </c>
      <c r="C420" s="2">
        <f>IFERROR(__xludf.DUMMYFUNCTION("""COMPUTED_VALUE"""),739.0)</f>
        <v>739</v>
      </c>
      <c r="D420" s="3">
        <f>IFERROR(__xludf.DUMMYFUNCTION("""COMPUTED_VALUE"""),185.0)</f>
        <v>185</v>
      </c>
      <c r="E420" s="1" t="str">
        <f t="array" ref="E420">_xlfn.XLOOKUP(A420,Product!A:A,Product!B:B,"Bulunamadı")</f>
        <v>Tech</v>
      </c>
      <c r="F420" s="1" t="str">
        <f t="array" ref="F420">_xlfn.XLOOKUP(A420,Product!A:A,Product!C:C,"Bulunamadı")</f>
        <v>Paranormal</v>
      </c>
      <c r="G420" s="2" t="str">
        <f t="array" ref="G420">_xlfn.XLOOKUP(A421,Product!A:A,Product!D:D,"Bulunamadı")</f>
        <v>Red Bridge Press</v>
      </c>
      <c r="H420" s="2">
        <f t="array" ref="H420">_xlfn.XLOOKUP(A422,Product!A:A,Product!E:E,"Bulunamadı")</f>
        <v>4.81</v>
      </c>
      <c r="I420" s="2" t="str">
        <f t="shared" si="1"/>
        <v>77644 - Tech - Paranormal</v>
      </c>
      <c r="J420" s="2">
        <f t="shared" si="2"/>
        <v>889.85</v>
      </c>
      <c r="K420" s="17">
        <f t="shared" si="3"/>
        <v>1</v>
      </c>
      <c r="L420" s="18"/>
    </row>
    <row r="421" hidden="1">
      <c r="A421" s="2">
        <f>IFERROR(__xludf.DUMMYFUNCTION("""COMPUTED_VALUE"""),3225.0)</f>
        <v>3225</v>
      </c>
      <c r="B421" s="2">
        <f>IFERROR(__xludf.DUMMYFUNCTION("""COMPUTED_VALUE"""),1.0)</f>
        <v>1</v>
      </c>
      <c r="C421" s="2">
        <f>IFERROR(__xludf.DUMMYFUNCTION("""COMPUTED_VALUE"""),571.0)</f>
        <v>571</v>
      </c>
      <c r="D421" s="3">
        <f>IFERROR(__xludf.DUMMYFUNCTION("""COMPUTED_VALUE"""),279.0)</f>
        <v>279</v>
      </c>
      <c r="E421" s="1" t="str">
        <f t="array" ref="E421">_xlfn.XLOOKUP(A421,Product!A:A,Product!B:B,"Bulunamadı")</f>
        <v>Tech</v>
      </c>
      <c r="F421" s="1" t="str">
        <f t="array" ref="F421">_xlfn.XLOOKUP(A421,Product!A:A,Product!C:C,"Bulunamadı")</f>
        <v>Paranormal</v>
      </c>
      <c r="G421" s="2" t="str">
        <f t="array" ref="G421">_xlfn.XLOOKUP(A422,Product!A:A,Product!D:D,"Bulunamadı")</f>
        <v>Red Bridge Press</v>
      </c>
      <c r="H421" s="2">
        <f t="array" ref="H421">_xlfn.XLOOKUP(A423,Product!A:A,Product!E:E,"Bulunamadı")</f>
        <v>2.69</v>
      </c>
      <c r="I421" s="2" t="str">
        <f t="shared" si="1"/>
        <v>3225 - Tech - Paranormal</v>
      </c>
      <c r="J421" s="2">
        <f t="shared" si="2"/>
        <v>750.51</v>
      </c>
      <c r="K421" s="17">
        <f t="shared" si="3"/>
        <v>1</v>
      </c>
      <c r="L421" s="18"/>
    </row>
    <row r="422" hidden="1">
      <c r="A422" s="2">
        <f>IFERROR(__xludf.DUMMYFUNCTION("""COMPUTED_VALUE"""),158447.0)</f>
        <v>158447</v>
      </c>
      <c r="B422" s="2">
        <f>IFERROR(__xludf.DUMMYFUNCTION("""COMPUTED_VALUE"""),0.0)</f>
        <v>0</v>
      </c>
      <c r="C422" s="2">
        <f>IFERROR(__xludf.DUMMYFUNCTION("""COMPUTED_VALUE"""),187.0)</f>
        <v>187</v>
      </c>
      <c r="D422" s="3">
        <f>IFERROR(__xludf.DUMMYFUNCTION("""COMPUTED_VALUE"""),43.0)</f>
        <v>43</v>
      </c>
      <c r="E422" s="1" t="str">
        <f t="array" ref="E422">_xlfn.XLOOKUP(A422,Product!A:A,Product!B:B,"Bulunamadı")</f>
        <v>Tech</v>
      </c>
      <c r="F422" s="1" t="str">
        <f t="array" ref="F422">_xlfn.XLOOKUP(A422,Product!A:A,Product!C:C,"Bulunamadı")</f>
        <v>Paranormal</v>
      </c>
      <c r="G422" s="2" t="str">
        <f t="array" ref="G422">_xlfn.XLOOKUP(A423,Product!A:A,Product!D:D,"Bulunamadı")</f>
        <v>Red Bridge Press</v>
      </c>
      <c r="H422" s="2">
        <f t="array" ref="H422">_xlfn.XLOOKUP(A424,Product!A:A,Product!E:E,"Bulunamadı")</f>
        <v>1.14</v>
      </c>
      <c r="I422" s="2" t="str">
        <f t="shared" si="1"/>
        <v>158447 - Tech - Paranormal</v>
      </c>
      <c r="J422" s="2">
        <f t="shared" si="2"/>
        <v>49.02</v>
      </c>
      <c r="K422" s="17">
        <f t="shared" si="3"/>
        <v>1</v>
      </c>
      <c r="L422" s="18"/>
    </row>
    <row r="423" hidden="1">
      <c r="A423" s="2">
        <f>IFERROR(__xludf.DUMMYFUNCTION("""COMPUTED_VALUE"""),9737.0)</f>
        <v>9737</v>
      </c>
      <c r="B423" s="2">
        <f>IFERROR(__xludf.DUMMYFUNCTION("""COMPUTED_VALUE"""),0.0)</f>
        <v>0</v>
      </c>
      <c r="C423" s="2">
        <f>IFERROR(__xludf.DUMMYFUNCTION("""COMPUTED_VALUE"""),834.0)</f>
        <v>834</v>
      </c>
      <c r="D423" s="3">
        <f>IFERROR(__xludf.DUMMYFUNCTION("""COMPUTED_VALUE"""),707.0)</f>
        <v>707</v>
      </c>
      <c r="E423" s="1" t="str">
        <f t="array" ref="E423">_xlfn.XLOOKUP(A423,Product!A:A,Product!B:B,"Bulunamadı")</f>
        <v>Tech</v>
      </c>
      <c r="F423" s="1" t="str">
        <f t="array" ref="F423">_xlfn.XLOOKUP(A423,Product!A:A,Product!C:C,"Bulunamadı")</f>
        <v>Paranormal</v>
      </c>
      <c r="G423" s="2" t="str">
        <f t="array" ref="G423">_xlfn.XLOOKUP(A424,Product!A:A,Product!D:D,"Bulunamadı")</f>
        <v>Red Bridge Press</v>
      </c>
      <c r="H423" s="2">
        <f t="array" ref="H423">_xlfn.XLOOKUP(A425,Product!A:A,Product!E:E,"Bulunamadı")</f>
        <v>1.15</v>
      </c>
      <c r="I423" s="2" t="str">
        <f t="shared" si="1"/>
        <v>9737 - Tech - Paranormal</v>
      </c>
      <c r="J423" s="2">
        <f t="shared" si="2"/>
        <v>813.05</v>
      </c>
      <c r="K423" s="17">
        <f t="shared" si="3"/>
        <v>1</v>
      </c>
      <c r="L423" s="18"/>
    </row>
    <row r="424" hidden="1">
      <c r="A424" s="2">
        <f>IFERROR(__xludf.DUMMYFUNCTION("""COMPUTED_VALUE"""),73260.0)</f>
        <v>73260</v>
      </c>
      <c r="B424" s="2">
        <f>IFERROR(__xludf.DUMMYFUNCTION("""COMPUTED_VALUE"""),1.0)</f>
        <v>1</v>
      </c>
      <c r="C424" s="2">
        <f>IFERROR(__xludf.DUMMYFUNCTION("""COMPUTED_VALUE"""),292.0)</f>
        <v>292</v>
      </c>
      <c r="D424" s="3">
        <f>IFERROR(__xludf.DUMMYFUNCTION("""COMPUTED_VALUE"""),169.0)</f>
        <v>169</v>
      </c>
      <c r="E424" s="1" t="str">
        <f t="array" ref="E424">_xlfn.XLOOKUP(A424,Product!A:A,Product!B:B,"Bulunamadı")</f>
        <v>Tech</v>
      </c>
      <c r="F424" s="1" t="str">
        <f t="array" ref="F424">_xlfn.XLOOKUP(A424,Product!A:A,Product!C:C,"Bulunamadı")</f>
        <v>Paranormal</v>
      </c>
      <c r="G424" s="2" t="str">
        <f t="array" ref="G424">_xlfn.XLOOKUP(A425,Product!A:A,Product!D:D,"Bulunamadı")</f>
        <v>Red Bridge Press</v>
      </c>
      <c r="H424" s="2">
        <f t="array" ref="H424">_xlfn.XLOOKUP(A426,Product!A:A,Product!E:E,"Bulunamadı")</f>
        <v>4.56</v>
      </c>
      <c r="I424" s="2" t="str">
        <f t="shared" si="1"/>
        <v>73260 - Tech - Paranormal</v>
      </c>
      <c r="J424" s="2">
        <f t="shared" si="2"/>
        <v>770.64</v>
      </c>
      <c r="K424" s="17">
        <f t="shared" si="3"/>
        <v>1</v>
      </c>
      <c r="L424" s="18"/>
    </row>
    <row r="425" hidden="1">
      <c r="A425" s="2">
        <f>IFERROR(__xludf.DUMMYFUNCTION("""COMPUTED_VALUE"""),158467.0)</f>
        <v>158467</v>
      </c>
      <c r="B425" s="2">
        <f>IFERROR(__xludf.DUMMYFUNCTION("""COMPUTED_VALUE"""),1.0)</f>
        <v>1</v>
      </c>
      <c r="C425" s="2">
        <f>IFERROR(__xludf.DUMMYFUNCTION("""COMPUTED_VALUE"""),407.0)</f>
        <v>407</v>
      </c>
      <c r="D425" s="3">
        <f>IFERROR(__xludf.DUMMYFUNCTION("""COMPUTED_VALUE"""),227.0)</f>
        <v>227</v>
      </c>
      <c r="E425" s="1" t="str">
        <f t="array" ref="E425">_xlfn.XLOOKUP(A425,Product!A:A,Product!B:B,"Bulunamadı")</f>
        <v>Tech</v>
      </c>
      <c r="F425" s="1" t="str">
        <f t="array" ref="F425">_xlfn.XLOOKUP(A425,Product!A:A,Product!C:C,"Bulunamadı")</f>
        <v>Paranormal</v>
      </c>
      <c r="G425" s="2" t="str">
        <f t="array" ref="G425">_xlfn.XLOOKUP(A426,Product!A:A,Product!D:D,"Bulunamadı")</f>
        <v>Red Bridge Press</v>
      </c>
      <c r="H425" s="2">
        <f t="array" ref="H425">_xlfn.XLOOKUP(A427,Product!A:A,Product!E:E,"Bulunamadı")</f>
        <v>1.82</v>
      </c>
      <c r="I425" s="2" t="str">
        <f t="shared" si="1"/>
        <v>158467 - Tech - Paranormal</v>
      </c>
      <c r="J425" s="2">
        <f t="shared" si="2"/>
        <v>413.14</v>
      </c>
      <c r="K425" s="17">
        <f t="shared" si="3"/>
        <v>1</v>
      </c>
      <c r="L425" s="18"/>
    </row>
    <row r="426" hidden="1">
      <c r="A426" s="2">
        <f>IFERROR(__xludf.DUMMYFUNCTION("""COMPUTED_VALUE"""),117319.0)</f>
        <v>117319</v>
      </c>
      <c r="B426" s="2">
        <f>IFERROR(__xludf.DUMMYFUNCTION("""COMPUTED_VALUE"""),0.0)</f>
        <v>0</v>
      </c>
      <c r="C426" s="2">
        <f>IFERROR(__xludf.DUMMYFUNCTION("""COMPUTED_VALUE"""),568.0)</f>
        <v>568</v>
      </c>
      <c r="D426" s="3">
        <f>IFERROR(__xludf.DUMMYFUNCTION("""COMPUTED_VALUE"""),478.0)</f>
        <v>478</v>
      </c>
      <c r="E426" s="1" t="str">
        <f t="array" ref="E426">_xlfn.XLOOKUP(A426,Product!A:A,Product!B:B,"Bulunamadı")</f>
        <v>Tech</v>
      </c>
      <c r="F426" s="1" t="str">
        <f t="array" ref="F426">_xlfn.XLOOKUP(A426,Product!A:A,Product!C:C,"Bulunamadı")</f>
        <v>Paranormal</v>
      </c>
      <c r="G426" s="2" t="str">
        <f t="array" ref="G426">_xlfn.XLOOKUP(A427,Product!A:A,Product!D:D,"Bulunamadı")</f>
        <v>Red Bridge Press</v>
      </c>
      <c r="H426" s="2">
        <f t="array" ref="H426">_xlfn.XLOOKUP(A428,Product!A:A,Product!E:E,"Bulunamadı")</f>
        <v>4.14</v>
      </c>
      <c r="I426" s="2" t="str">
        <f t="shared" si="1"/>
        <v>117319 - Tech - Paranormal</v>
      </c>
      <c r="J426" s="2">
        <f t="shared" si="2"/>
        <v>1978.92</v>
      </c>
      <c r="K426" s="17">
        <f t="shared" si="3"/>
        <v>1</v>
      </c>
      <c r="L426" s="18"/>
    </row>
    <row r="427" hidden="1">
      <c r="A427" s="2">
        <f>IFERROR(__xludf.DUMMYFUNCTION("""COMPUTED_VALUE"""),108893.0)</f>
        <v>108893</v>
      </c>
      <c r="B427" s="2">
        <f>IFERROR(__xludf.DUMMYFUNCTION("""COMPUTED_VALUE"""),1.0)</f>
        <v>1</v>
      </c>
      <c r="C427" s="2">
        <f>IFERROR(__xludf.DUMMYFUNCTION("""COMPUTED_VALUE"""),198.0)</f>
        <v>198</v>
      </c>
      <c r="D427" s="3">
        <f>IFERROR(__xludf.DUMMYFUNCTION("""COMPUTED_VALUE"""),135.0)</f>
        <v>135</v>
      </c>
      <c r="E427" s="1" t="str">
        <f t="array" ref="E427">_xlfn.XLOOKUP(A427,Product!A:A,Product!B:B,"Bulunamadı")</f>
        <v>Tech</v>
      </c>
      <c r="F427" s="1" t="str">
        <f t="array" ref="F427">_xlfn.XLOOKUP(A427,Product!A:A,Product!C:C,"Bulunamadı")</f>
        <v>Paranormal</v>
      </c>
      <c r="G427" s="2" t="str">
        <f t="array" ref="G427">_xlfn.XLOOKUP(A428,Product!A:A,Product!D:D,"Bulunamadı")</f>
        <v>Red Bridge Press</v>
      </c>
      <c r="H427" s="2">
        <f t="array" ref="H427">_xlfn.XLOOKUP(A429,Product!A:A,Product!E:E,"Bulunamadı")</f>
        <v>2.76</v>
      </c>
      <c r="I427" s="2" t="str">
        <f t="shared" si="1"/>
        <v>108893 - Tech - Paranormal</v>
      </c>
      <c r="J427" s="2">
        <f t="shared" si="2"/>
        <v>372.6</v>
      </c>
      <c r="K427" s="17">
        <f t="shared" si="3"/>
        <v>1</v>
      </c>
      <c r="L427" s="18"/>
    </row>
    <row r="428" hidden="1">
      <c r="A428" s="2">
        <f>IFERROR(__xludf.DUMMYFUNCTION("""COMPUTED_VALUE"""),111734.0)</f>
        <v>111734</v>
      </c>
      <c r="B428" s="2">
        <f>IFERROR(__xludf.DUMMYFUNCTION("""COMPUTED_VALUE"""),0.0)</f>
        <v>0</v>
      </c>
      <c r="C428" s="2">
        <f>IFERROR(__xludf.DUMMYFUNCTION("""COMPUTED_VALUE"""),510.0)</f>
        <v>510</v>
      </c>
      <c r="D428" s="3">
        <f>IFERROR(__xludf.DUMMYFUNCTION("""COMPUTED_VALUE"""),59.0)</f>
        <v>59</v>
      </c>
      <c r="E428" s="1" t="str">
        <f t="array" ref="E428">_xlfn.XLOOKUP(A428,Product!A:A,Product!B:B,"Bulunamadı")</f>
        <v>Tech</v>
      </c>
      <c r="F428" s="1" t="str">
        <f t="array" ref="F428">_xlfn.XLOOKUP(A428,Product!A:A,Product!C:C,"Bulunamadı")</f>
        <v>Paranormal</v>
      </c>
      <c r="G428" s="2" t="str">
        <f t="array" ref="G428">_xlfn.XLOOKUP(A429,Product!A:A,Product!D:D,"Bulunamadı")</f>
        <v>Red Bridge Press</v>
      </c>
      <c r="H428" s="2">
        <f t="array" ref="H428">_xlfn.XLOOKUP(A430,Product!A:A,Product!E:E,"Bulunamadı")</f>
        <v>2.46</v>
      </c>
      <c r="I428" s="2" t="str">
        <f t="shared" si="1"/>
        <v>111734 - Tech - Paranormal</v>
      </c>
      <c r="J428" s="2">
        <f t="shared" si="2"/>
        <v>145.14</v>
      </c>
      <c r="K428" s="17">
        <f t="shared" si="3"/>
        <v>1</v>
      </c>
      <c r="L428" s="18"/>
    </row>
    <row r="429" hidden="1">
      <c r="A429" s="2">
        <f>IFERROR(__xludf.DUMMYFUNCTION("""COMPUTED_VALUE"""),96066.0)</f>
        <v>96066</v>
      </c>
      <c r="B429" s="2">
        <f>IFERROR(__xludf.DUMMYFUNCTION("""COMPUTED_VALUE"""),1.0)</f>
        <v>1</v>
      </c>
      <c r="C429" s="2">
        <f>IFERROR(__xludf.DUMMYFUNCTION("""COMPUTED_VALUE"""),257.0)</f>
        <v>257</v>
      </c>
      <c r="D429" s="3">
        <f>IFERROR(__xludf.DUMMYFUNCTION("""COMPUTED_VALUE"""),167.0)</f>
        <v>167</v>
      </c>
      <c r="E429" s="1" t="str">
        <f t="array" ref="E429">_xlfn.XLOOKUP(A429,Product!A:A,Product!B:B,"Bulunamadı")</f>
        <v>Tech</v>
      </c>
      <c r="F429" s="1" t="str">
        <f t="array" ref="F429">_xlfn.XLOOKUP(A429,Product!A:A,Product!C:C,"Bulunamadı")</f>
        <v>Paranormal</v>
      </c>
      <c r="G429" s="2" t="str">
        <f t="array" ref="G429">_xlfn.XLOOKUP(A430,Product!A:A,Product!D:D,"Bulunamadı")</f>
        <v>Red Bridge Press</v>
      </c>
      <c r="H429" s="2">
        <f t="array" ref="H429">_xlfn.XLOOKUP(A431,Product!A:A,Product!E:E,"Bulunamadı")</f>
        <v>3.64</v>
      </c>
      <c r="I429" s="2" t="str">
        <f t="shared" si="1"/>
        <v>96066 - Tech - Paranormal</v>
      </c>
      <c r="J429" s="2">
        <f t="shared" si="2"/>
        <v>607.88</v>
      </c>
      <c r="K429" s="17">
        <f t="shared" si="3"/>
        <v>1</v>
      </c>
      <c r="L429" s="18"/>
    </row>
    <row r="430" hidden="1">
      <c r="A430" s="2">
        <f>IFERROR(__xludf.DUMMYFUNCTION("""COMPUTED_VALUE"""),3222.0)</f>
        <v>3222</v>
      </c>
      <c r="B430" s="2">
        <f>IFERROR(__xludf.DUMMYFUNCTION("""COMPUTED_VALUE"""),0.0)</f>
        <v>0</v>
      </c>
      <c r="C430" s="2">
        <f>IFERROR(__xludf.DUMMYFUNCTION("""COMPUTED_VALUE"""),625.0)</f>
        <v>625</v>
      </c>
      <c r="D430" s="3">
        <f>IFERROR(__xludf.DUMMYFUNCTION("""COMPUTED_VALUE"""),173.0)</f>
        <v>173</v>
      </c>
      <c r="E430" s="1" t="str">
        <f t="array" ref="E430">_xlfn.XLOOKUP(A430,Product!A:A,Product!B:B,"Bulunamadı")</f>
        <v>Tech</v>
      </c>
      <c r="F430" s="1" t="str">
        <f t="array" ref="F430">_xlfn.XLOOKUP(A430,Product!A:A,Product!C:C,"Bulunamadı")</f>
        <v>Paranormal</v>
      </c>
      <c r="G430" s="2" t="str">
        <f t="array" ref="G430">_xlfn.XLOOKUP(A431,Product!A:A,Product!D:D,"Bulunamadı")</f>
        <v>Red Bridge Press</v>
      </c>
      <c r="H430" s="2">
        <f t="array" ref="H430">_xlfn.XLOOKUP(A432,Product!A:A,Product!E:E,"Bulunamadı")</f>
        <v>2.02</v>
      </c>
      <c r="I430" s="2" t="str">
        <f t="shared" si="1"/>
        <v>3222 - Tech - Paranormal</v>
      </c>
      <c r="J430" s="2">
        <f t="shared" si="2"/>
        <v>349.46</v>
      </c>
      <c r="K430" s="17">
        <f t="shared" si="3"/>
        <v>1</v>
      </c>
      <c r="L430" s="18"/>
    </row>
    <row r="431" hidden="1">
      <c r="A431" s="2">
        <f>IFERROR(__xludf.DUMMYFUNCTION("""COMPUTED_VALUE"""),117312.0)</f>
        <v>117312</v>
      </c>
      <c r="B431" s="2">
        <f>IFERROR(__xludf.DUMMYFUNCTION("""COMPUTED_VALUE"""),0.0)</f>
        <v>0</v>
      </c>
      <c r="C431" s="2">
        <f>IFERROR(__xludf.DUMMYFUNCTION("""COMPUTED_VALUE"""),116.0)</f>
        <v>116</v>
      </c>
      <c r="D431" s="3">
        <f>IFERROR(__xludf.DUMMYFUNCTION("""COMPUTED_VALUE"""),65.0)</f>
        <v>65</v>
      </c>
      <c r="E431" s="1" t="str">
        <f t="array" ref="E431">_xlfn.XLOOKUP(A431,Product!A:A,Product!B:B,"Bulunamadı")</f>
        <v>Tech</v>
      </c>
      <c r="F431" s="1" t="str">
        <f t="array" ref="F431">_xlfn.XLOOKUP(A431,Product!A:A,Product!C:C,"Bulunamadı")</f>
        <v>Paranormal</v>
      </c>
      <c r="G431" s="2" t="str">
        <f t="array" ref="G431">_xlfn.XLOOKUP(A432,Product!A:A,Product!D:D,"Bulunamadı")</f>
        <v>Red Bridge Press</v>
      </c>
      <c r="H431" s="2">
        <f t="array" ref="H431">_xlfn.XLOOKUP(A433,Product!A:A,Product!E:E,"Bulunamadı")</f>
        <v>3.38</v>
      </c>
      <c r="I431" s="2" t="str">
        <f t="shared" si="1"/>
        <v>117312 - Tech - Paranormal</v>
      </c>
      <c r="J431" s="2">
        <f t="shared" si="2"/>
        <v>219.7</v>
      </c>
      <c r="K431" s="17">
        <f t="shared" si="3"/>
        <v>1</v>
      </c>
      <c r="L431" s="18"/>
    </row>
    <row r="432" hidden="1">
      <c r="A432" s="2">
        <f>IFERROR(__xludf.DUMMYFUNCTION("""COMPUTED_VALUE"""),104791.0)</f>
        <v>104791</v>
      </c>
      <c r="B432" s="2">
        <f>IFERROR(__xludf.DUMMYFUNCTION("""COMPUTED_VALUE"""),0.0)</f>
        <v>0</v>
      </c>
      <c r="C432" s="2">
        <f>IFERROR(__xludf.DUMMYFUNCTION("""COMPUTED_VALUE"""),139.0)</f>
        <v>139</v>
      </c>
      <c r="D432" s="3">
        <f>IFERROR(__xludf.DUMMYFUNCTION("""COMPUTED_VALUE"""),85.0)</f>
        <v>85</v>
      </c>
      <c r="E432" s="1" t="str">
        <f t="array" ref="E432">_xlfn.XLOOKUP(A432,Product!A:A,Product!B:B,"Bulunamadı")</f>
        <v>Tech</v>
      </c>
      <c r="F432" s="1" t="str">
        <f t="array" ref="F432">_xlfn.XLOOKUP(A432,Product!A:A,Product!C:C,"Bulunamadı")</f>
        <v>Paranormal</v>
      </c>
      <c r="G432" s="2" t="str">
        <f t="array" ref="G432">_xlfn.XLOOKUP(A433,Product!A:A,Product!D:D,"Bulunamadı")</f>
        <v>Red Bridge Press</v>
      </c>
      <c r="H432" s="2">
        <f t="array" ref="H432">_xlfn.XLOOKUP(A434,Product!A:A,Product!E:E,"Bulunamadı")</f>
        <v>5.02</v>
      </c>
      <c r="I432" s="2" t="str">
        <f t="shared" si="1"/>
        <v>104791 - Tech - Paranormal</v>
      </c>
      <c r="J432" s="2">
        <f t="shared" si="2"/>
        <v>426.7</v>
      </c>
      <c r="K432" s="17">
        <f t="shared" si="3"/>
        <v>1</v>
      </c>
      <c r="L432" s="18"/>
    </row>
    <row r="433" hidden="1">
      <c r="A433" s="2">
        <f>IFERROR(__xludf.DUMMYFUNCTION("""COMPUTED_VALUE"""),10051.0)</f>
        <v>10051</v>
      </c>
      <c r="B433" s="2">
        <f>IFERROR(__xludf.DUMMYFUNCTION("""COMPUTED_VALUE"""),0.0)</f>
        <v>0</v>
      </c>
      <c r="C433" s="2">
        <f>IFERROR(__xludf.DUMMYFUNCTION("""COMPUTED_VALUE"""),501.0)</f>
        <v>501</v>
      </c>
      <c r="D433" s="3">
        <f>IFERROR(__xludf.DUMMYFUNCTION("""COMPUTED_VALUE"""),338.0)</f>
        <v>338</v>
      </c>
      <c r="E433" s="1" t="str">
        <f t="array" ref="E433">_xlfn.XLOOKUP(A433,Product!A:A,Product!B:B,"Bulunamadı")</f>
        <v>Tech</v>
      </c>
      <c r="F433" s="1" t="str">
        <f t="array" ref="F433">_xlfn.XLOOKUP(A433,Product!A:A,Product!C:C,"Bulunamadı")</f>
        <v>Paranormal</v>
      </c>
      <c r="G433" s="2" t="str">
        <f t="array" ref="G433">_xlfn.XLOOKUP(A434,Product!A:A,Product!D:D,"Bulunamadı")</f>
        <v>Red Bridge Press</v>
      </c>
      <c r="H433" s="2">
        <f t="array" ref="H433">_xlfn.XLOOKUP(A435,Product!A:A,Product!E:E,"Bulunamadı")</f>
        <v>1.52</v>
      </c>
      <c r="I433" s="2" t="str">
        <f t="shared" si="1"/>
        <v>10051 - Tech - Paranormal</v>
      </c>
      <c r="J433" s="2">
        <f t="shared" si="2"/>
        <v>513.76</v>
      </c>
      <c r="K433" s="17">
        <f t="shared" si="3"/>
        <v>1</v>
      </c>
      <c r="L433" s="18"/>
    </row>
    <row r="434" hidden="1">
      <c r="A434" s="2">
        <f>IFERROR(__xludf.DUMMYFUNCTION("""COMPUTED_VALUE"""),29318.0)</f>
        <v>29318</v>
      </c>
      <c r="B434" s="2">
        <f>IFERROR(__xludf.DUMMYFUNCTION("""COMPUTED_VALUE"""),1.0)</f>
        <v>1</v>
      </c>
      <c r="C434" s="2">
        <f>IFERROR(__xludf.DUMMYFUNCTION("""COMPUTED_VALUE"""),57.0)</f>
        <v>57</v>
      </c>
      <c r="D434" s="3">
        <f>IFERROR(__xludf.DUMMYFUNCTION("""COMPUTED_VALUE"""),5.0)</f>
        <v>5</v>
      </c>
      <c r="E434" s="1" t="str">
        <f t="array" ref="E434">_xlfn.XLOOKUP(A434,Product!A:A,Product!B:B,"Bulunamadı")</f>
        <v>Tech</v>
      </c>
      <c r="F434" s="1" t="str">
        <f t="array" ref="F434">_xlfn.XLOOKUP(A434,Product!A:A,Product!C:C,"Bulunamadı")</f>
        <v>Paranormal</v>
      </c>
      <c r="G434" s="2" t="str">
        <f t="array" ref="G434">_xlfn.XLOOKUP(A435,Product!A:A,Product!D:D,"Bulunamadı")</f>
        <v>Red Bridge Press</v>
      </c>
      <c r="H434" s="2">
        <f t="array" ref="H434">_xlfn.XLOOKUP(A436,Product!A:A,Product!E:E,"Bulunamadı")</f>
        <v>3.27</v>
      </c>
      <c r="I434" s="2" t="str">
        <f t="shared" si="1"/>
        <v>29318 - Tech - Paranormal</v>
      </c>
      <c r="J434" s="2">
        <f t="shared" si="2"/>
        <v>16.35</v>
      </c>
      <c r="K434" s="17">
        <f t="shared" si="3"/>
        <v>1</v>
      </c>
      <c r="L434" s="18"/>
    </row>
    <row r="435" hidden="1">
      <c r="A435" s="2">
        <f>IFERROR(__xludf.DUMMYFUNCTION("""COMPUTED_VALUE"""),116885.0)</f>
        <v>116885</v>
      </c>
      <c r="B435" s="2">
        <f>IFERROR(__xludf.DUMMYFUNCTION("""COMPUTED_VALUE"""),1.0)</f>
        <v>1</v>
      </c>
      <c r="C435" s="2">
        <f>IFERROR(__xludf.DUMMYFUNCTION("""COMPUTED_VALUE"""),872.0)</f>
        <v>872</v>
      </c>
      <c r="D435" s="3">
        <f>IFERROR(__xludf.DUMMYFUNCTION("""COMPUTED_VALUE"""),283.0)</f>
        <v>283</v>
      </c>
      <c r="E435" s="1" t="str">
        <f t="array" ref="E435">_xlfn.XLOOKUP(A435,Product!A:A,Product!B:B,"Bulunamadı")</f>
        <v>Tech</v>
      </c>
      <c r="F435" s="1" t="str">
        <f t="array" ref="F435">_xlfn.XLOOKUP(A435,Product!A:A,Product!C:C,"Bulunamadı")</f>
        <v>Paranormal</v>
      </c>
      <c r="G435" s="2" t="str">
        <f t="array" ref="G435">_xlfn.XLOOKUP(A436,Product!A:A,Product!D:D,"Bulunamadı")</f>
        <v>Red Bridge Press</v>
      </c>
      <c r="H435" s="2">
        <f t="array" ref="H435">_xlfn.XLOOKUP(A437,Product!A:A,Product!E:E,"Bulunamadı")</f>
        <v>3.31</v>
      </c>
      <c r="I435" s="2" t="str">
        <f t="shared" si="1"/>
        <v>116885 - Tech - Paranormal</v>
      </c>
      <c r="J435" s="2">
        <f t="shared" si="2"/>
        <v>936.73</v>
      </c>
      <c r="K435" s="17">
        <f t="shared" si="3"/>
        <v>1</v>
      </c>
      <c r="L435" s="18"/>
    </row>
    <row r="436" hidden="1">
      <c r="A436" s="2">
        <f>IFERROR(__xludf.DUMMYFUNCTION("""COMPUTED_VALUE"""),121614.0)</f>
        <v>121614</v>
      </c>
      <c r="B436" s="2">
        <f>IFERROR(__xludf.DUMMYFUNCTION("""COMPUTED_VALUE"""),0.0)</f>
        <v>0</v>
      </c>
      <c r="C436" s="2">
        <f>IFERROR(__xludf.DUMMYFUNCTION("""COMPUTED_VALUE"""),911.0)</f>
        <v>911</v>
      </c>
      <c r="D436" s="3">
        <f>IFERROR(__xludf.DUMMYFUNCTION("""COMPUTED_VALUE"""),236.0)</f>
        <v>236</v>
      </c>
      <c r="E436" s="1" t="str">
        <f t="array" ref="E436">_xlfn.XLOOKUP(A436,Product!A:A,Product!B:B,"Bulunamadı")</f>
        <v>Tech</v>
      </c>
      <c r="F436" s="1" t="str">
        <f t="array" ref="F436">_xlfn.XLOOKUP(A436,Product!A:A,Product!C:C,"Bulunamadı")</f>
        <v>Paranormal</v>
      </c>
      <c r="G436" s="2" t="str">
        <f t="array" ref="G436">_xlfn.XLOOKUP(A437,Product!A:A,Product!D:D,"Bulunamadı")</f>
        <v>Red Bridge Press</v>
      </c>
      <c r="H436" s="2">
        <f t="array" ref="H436">_xlfn.XLOOKUP(A438,Product!A:A,Product!E:E,"Bulunamadı")</f>
        <v>1.67</v>
      </c>
      <c r="I436" s="2" t="str">
        <f t="shared" si="1"/>
        <v>121614 - Tech - Paranormal</v>
      </c>
      <c r="J436" s="2">
        <f t="shared" si="2"/>
        <v>394.12</v>
      </c>
      <c r="K436" s="17">
        <f t="shared" si="3"/>
        <v>1</v>
      </c>
      <c r="L436" s="18"/>
    </row>
    <row r="437" hidden="1">
      <c r="A437" s="2">
        <f>IFERROR(__xludf.DUMMYFUNCTION("""COMPUTED_VALUE"""),10048.0)</f>
        <v>10048</v>
      </c>
      <c r="B437" s="2">
        <f>IFERROR(__xludf.DUMMYFUNCTION("""COMPUTED_VALUE"""),0.0)</f>
        <v>0</v>
      </c>
      <c r="C437" s="2">
        <f>IFERROR(__xludf.DUMMYFUNCTION("""COMPUTED_VALUE"""),355.0)</f>
        <v>355</v>
      </c>
      <c r="D437" s="3">
        <f>IFERROR(__xludf.DUMMYFUNCTION("""COMPUTED_VALUE"""),70.0)</f>
        <v>70</v>
      </c>
      <c r="E437" s="1" t="str">
        <f t="array" ref="E437">_xlfn.XLOOKUP(A437,Product!A:A,Product!B:B,"Bulunamadı")</f>
        <v>Tech</v>
      </c>
      <c r="F437" s="1" t="str">
        <f t="array" ref="F437">_xlfn.XLOOKUP(A437,Product!A:A,Product!C:C,"Bulunamadı")</f>
        <v>Paranormal</v>
      </c>
      <c r="G437" s="2" t="str">
        <f t="array" ref="G437">_xlfn.XLOOKUP(A438,Product!A:A,Product!D:D,"Bulunamadı")</f>
        <v>Red Bridge Press</v>
      </c>
      <c r="H437" s="2">
        <f t="array" ref="H437">_xlfn.XLOOKUP(A439,Product!A:A,Product!E:E,"Bulunamadı")</f>
        <v>6.25</v>
      </c>
      <c r="I437" s="2" t="str">
        <f t="shared" si="1"/>
        <v>10048 - Tech - Paranormal</v>
      </c>
      <c r="J437" s="2">
        <f t="shared" si="2"/>
        <v>437.5</v>
      </c>
      <c r="K437" s="17">
        <f t="shared" si="3"/>
        <v>1</v>
      </c>
      <c r="L437" s="18"/>
    </row>
    <row r="438" hidden="1">
      <c r="A438" s="2">
        <f>IFERROR(__xludf.DUMMYFUNCTION("""COMPUTED_VALUE"""),109534.0)</f>
        <v>109534</v>
      </c>
      <c r="B438" s="2">
        <f>IFERROR(__xludf.DUMMYFUNCTION("""COMPUTED_VALUE"""),0.0)</f>
        <v>0</v>
      </c>
      <c r="C438" s="2">
        <f>IFERROR(__xludf.DUMMYFUNCTION("""COMPUTED_VALUE"""),428.0)</f>
        <v>428</v>
      </c>
      <c r="D438" s="3">
        <f>IFERROR(__xludf.DUMMYFUNCTION("""COMPUTED_VALUE"""),319.0)</f>
        <v>319</v>
      </c>
      <c r="E438" s="1" t="str">
        <f t="array" ref="E438">_xlfn.XLOOKUP(A438,Product!A:A,Product!B:B,"Bulunamadı")</f>
        <v>Tech</v>
      </c>
      <c r="F438" s="1" t="str">
        <f t="array" ref="F438">_xlfn.XLOOKUP(A438,Product!A:A,Product!C:C,"Bulunamadı")</f>
        <v>Paranormal</v>
      </c>
      <c r="G438" s="2" t="str">
        <f t="array" ref="G438">_xlfn.XLOOKUP(A439,Product!A:A,Product!D:D,"Bulunamadı")</f>
        <v>Red Bridge Press</v>
      </c>
      <c r="H438" s="2">
        <f t="array" ref="H438">_xlfn.XLOOKUP(A440,Product!A:A,Product!E:E,"Bulunamadı")</f>
        <v>2.87</v>
      </c>
      <c r="I438" s="2" t="str">
        <f t="shared" si="1"/>
        <v>109534 - Tech - Paranormal</v>
      </c>
      <c r="J438" s="2">
        <f t="shared" si="2"/>
        <v>915.53</v>
      </c>
      <c r="K438" s="17">
        <f t="shared" si="3"/>
        <v>1</v>
      </c>
      <c r="L438" s="18"/>
    </row>
    <row r="439" hidden="1">
      <c r="A439" s="2">
        <f>IFERROR(__xludf.DUMMYFUNCTION("""COMPUTED_VALUE"""),111802.0)</f>
        <v>111802</v>
      </c>
      <c r="B439" s="2">
        <f>IFERROR(__xludf.DUMMYFUNCTION("""COMPUTED_VALUE"""),0.0)</f>
        <v>0</v>
      </c>
      <c r="C439" s="2">
        <f>IFERROR(__xludf.DUMMYFUNCTION("""COMPUTED_VALUE"""),108.0)</f>
        <v>108</v>
      </c>
      <c r="D439" s="3">
        <f>IFERROR(__xludf.DUMMYFUNCTION("""COMPUTED_VALUE"""),75.0)</f>
        <v>75</v>
      </c>
      <c r="E439" s="1" t="str">
        <f t="array" ref="E439">_xlfn.XLOOKUP(A439,Product!A:A,Product!B:B,"Bulunamadı")</f>
        <v>Tech</v>
      </c>
      <c r="F439" s="1" t="str">
        <f t="array" ref="F439">_xlfn.XLOOKUP(A439,Product!A:A,Product!C:C,"Bulunamadı")</f>
        <v>Paranormal</v>
      </c>
      <c r="G439" s="2" t="str">
        <f t="array" ref="G439">_xlfn.XLOOKUP(A440,Product!A:A,Product!D:D,"Bulunamadı")</f>
        <v>Red Bridge Press</v>
      </c>
      <c r="H439" s="2">
        <f t="array" ref="H439">_xlfn.XLOOKUP(A441,Product!A:A,Product!E:E,"Bulunamadı")</f>
        <v>2.51</v>
      </c>
      <c r="I439" s="2" t="str">
        <f t="shared" si="1"/>
        <v>111802 - Tech - Paranormal</v>
      </c>
      <c r="J439" s="2">
        <f t="shared" si="2"/>
        <v>188.25</v>
      </c>
      <c r="K439" s="17">
        <f t="shared" si="3"/>
        <v>1</v>
      </c>
      <c r="L439" s="18"/>
    </row>
    <row r="440" hidden="1">
      <c r="A440" s="2">
        <f>IFERROR(__xludf.DUMMYFUNCTION("""COMPUTED_VALUE"""),108801.0)</f>
        <v>108801</v>
      </c>
      <c r="B440" s="2">
        <f>IFERROR(__xludf.DUMMYFUNCTION("""COMPUTED_VALUE"""),0.0)</f>
        <v>0</v>
      </c>
      <c r="C440" s="2">
        <f>IFERROR(__xludf.DUMMYFUNCTION("""COMPUTED_VALUE"""),15.0)</f>
        <v>15</v>
      </c>
      <c r="D440" s="3">
        <f>IFERROR(__xludf.DUMMYFUNCTION("""COMPUTED_VALUE"""),5.0)</f>
        <v>5</v>
      </c>
      <c r="E440" s="1" t="str">
        <f t="array" ref="E440">_xlfn.XLOOKUP(A440,Product!A:A,Product!B:B,"Bulunamadı")</f>
        <v>Tech</v>
      </c>
      <c r="F440" s="1" t="str">
        <f t="array" ref="F440">_xlfn.XLOOKUP(A440,Product!A:A,Product!C:C,"Bulunamadı")</f>
        <v>Paranormal</v>
      </c>
      <c r="G440" s="2" t="str">
        <f t="array" ref="G440">_xlfn.XLOOKUP(A441,Product!A:A,Product!D:D,"Bulunamadı")</f>
        <v>Red Bridge Press</v>
      </c>
      <c r="H440" s="2">
        <f t="array" ref="H440">_xlfn.XLOOKUP(A442,Product!A:A,Product!E:E,"Bulunamadı")</f>
        <v>1.39</v>
      </c>
      <c r="I440" s="2" t="str">
        <f t="shared" si="1"/>
        <v>108801 - Tech - Paranormal</v>
      </c>
      <c r="J440" s="2">
        <f t="shared" si="2"/>
        <v>6.95</v>
      </c>
      <c r="K440" s="17">
        <f t="shared" si="3"/>
        <v>1</v>
      </c>
      <c r="L440" s="18"/>
    </row>
    <row r="441" hidden="1">
      <c r="A441" s="2">
        <f>IFERROR(__xludf.DUMMYFUNCTION("""COMPUTED_VALUE"""),9735.0)</f>
        <v>9735</v>
      </c>
      <c r="B441" s="2">
        <f>IFERROR(__xludf.DUMMYFUNCTION("""COMPUTED_VALUE"""),0.0)</f>
        <v>0</v>
      </c>
      <c r="C441" s="2">
        <f>IFERROR(__xludf.DUMMYFUNCTION("""COMPUTED_VALUE"""),832.0)</f>
        <v>832</v>
      </c>
      <c r="D441" s="3">
        <f>IFERROR(__xludf.DUMMYFUNCTION("""COMPUTED_VALUE"""),422.0)</f>
        <v>422</v>
      </c>
      <c r="E441" s="1" t="str">
        <f t="array" ref="E441">_xlfn.XLOOKUP(A441,Product!A:A,Product!B:B,"Bulunamadı")</f>
        <v>Tech</v>
      </c>
      <c r="F441" s="1" t="str">
        <f t="array" ref="F441">_xlfn.XLOOKUP(A441,Product!A:A,Product!C:C,"Bulunamadı")</f>
        <v>Paranormal</v>
      </c>
      <c r="G441" s="2" t="str">
        <f t="array" ref="G441">_xlfn.XLOOKUP(A442,Product!A:A,Product!D:D,"Bulunamadı")</f>
        <v>Red Bridge Press</v>
      </c>
      <c r="H441" s="2">
        <f t="array" ref="H441">_xlfn.XLOOKUP(A443,Product!A:A,Product!E:E,"Bulunamadı")</f>
        <v>1.97</v>
      </c>
      <c r="I441" s="2" t="str">
        <f t="shared" si="1"/>
        <v>9735 - Tech - Paranormal</v>
      </c>
      <c r="J441" s="2">
        <f t="shared" si="2"/>
        <v>831.34</v>
      </c>
      <c r="K441" s="17">
        <f t="shared" si="3"/>
        <v>1</v>
      </c>
      <c r="L441" s="18"/>
    </row>
    <row r="442" hidden="1">
      <c r="A442" s="2">
        <f>IFERROR(__xludf.DUMMYFUNCTION("""COMPUTED_VALUE"""),109531.0)</f>
        <v>109531</v>
      </c>
      <c r="B442" s="2">
        <f>IFERROR(__xludf.DUMMYFUNCTION("""COMPUTED_VALUE"""),1.0)</f>
        <v>1</v>
      </c>
      <c r="C442" s="2">
        <f>IFERROR(__xludf.DUMMYFUNCTION("""COMPUTED_VALUE"""),678.0)</f>
        <v>678</v>
      </c>
      <c r="D442" s="3">
        <f>IFERROR(__xludf.DUMMYFUNCTION("""COMPUTED_VALUE"""),667.0)</f>
        <v>667</v>
      </c>
      <c r="E442" s="1" t="str">
        <f t="array" ref="E442">_xlfn.XLOOKUP(A442,Product!A:A,Product!B:B,"Bulunamadı")</f>
        <v>Tech</v>
      </c>
      <c r="F442" s="1" t="str">
        <f t="array" ref="F442">_xlfn.XLOOKUP(A442,Product!A:A,Product!C:C,"Bulunamadı")</f>
        <v>Paranormal</v>
      </c>
      <c r="G442" s="2" t="str">
        <f t="array" ref="G442">_xlfn.XLOOKUP(A443,Product!A:A,Product!D:D,"Bulunamadı")</f>
        <v>Red Bridge Press</v>
      </c>
      <c r="H442" s="2">
        <f t="array" ref="H442">_xlfn.XLOOKUP(A444,Product!A:A,Product!E:E,"Bulunamadı")</f>
        <v>1.92</v>
      </c>
      <c r="I442" s="2" t="str">
        <f t="shared" si="1"/>
        <v>109531 - Tech - Paranormal</v>
      </c>
      <c r="J442" s="2">
        <f t="shared" si="2"/>
        <v>1280.64</v>
      </c>
      <c r="K442" s="17">
        <f t="shared" si="3"/>
        <v>1</v>
      </c>
      <c r="L442" s="18"/>
    </row>
    <row r="443" hidden="1">
      <c r="A443" s="2">
        <f>IFERROR(__xludf.DUMMYFUNCTION("""COMPUTED_VALUE"""),44533.0)</f>
        <v>44533</v>
      </c>
      <c r="B443" s="2">
        <f>IFERROR(__xludf.DUMMYFUNCTION("""COMPUTED_VALUE"""),1.0)</f>
        <v>1</v>
      </c>
      <c r="C443" s="2">
        <f>IFERROR(__xludf.DUMMYFUNCTION("""COMPUTED_VALUE"""),671.0)</f>
        <v>671</v>
      </c>
      <c r="D443" s="3">
        <f>IFERROR(__xludf.DUMMYFUNCTION("""COMPUTED_VALUE"""),544.0)</f>
        <v>544</v>
      </c>
      <c r="E443" s="1" t="str">
        <f t="array" ref="E443">_xlfn.XLOOKUP(A443,Product!A:A,Product!B:B,"Bulunamadı")</f>
        <v>Tech</v>
      </c>
      <c r="F443" s="1" t="str">
        <f t="array" ref="F443">_xlfn.XLOOKUP(A443,Product!A:A,Product!C:C,"Bulunamadı")</f>
        <v>Paranormal</v>
      </c>
      <c r="G443" s="2" t="str">
        <f t="array" ref="G443">_xlfn.XLOOKUP(A444,Product!A:A,Product!D:D,"Bulunamadı")</f>
        <v>Red Bridge Press</v>
      </c>
      <c r="H443" s="2">
        <f t="array" ref="H443">_xlfn.XLOOKUP(A445,Product!A:A,Product!E:E,"Bulunamadı")</f>
        <v>2.21</v>
      </c>
      <c r="I443" s="2" t="str">
        <f t="shared" si="1"/>
        <v>44533 - Tech - Paranormal</v>
      </c>
      <c r="J443" s="2">
        <f t="shared" si="2"/>
        <v>1202.24</v>
      </c>
      <c r="K443" s="17">
        <f t="shared" si="3"/>
        <v>1</v>
      </c>
      <c r="L443" s="18"/>
    </row>
    <row r="444" hidden="1">
      <c r="A444" s="2">
        <f>IFERROR(__xludf.DUMMYFUNCTION("""COMPUTED_VALUE"""),158465.0)</f>
        <v>158465</v>
      </c>
      <c r="B444" s="2">
        <f>IFERROR(__xludf.DUMMYFUNCTION("""COMPUTED_VALUE"""),1.0)</f>
        <v>1</v>
      </c>
      <c r="C444" s="2">
        <f>IFERROR(__xludf.DUMMYFUNCTION("""COMPUTED_VALUE"""),470.0)</f>
        <v>470</v>
      </c>
      <c r="D444" s="3">
        <f>IFERROR(__xludf.DUMMYFUNCTION("""COMPUTED_VALUE"""),444.0)</f>
        <v>444</v>
      </c>
      <c r="E444" s="1" t="str">
        <f t="array" ref="E444">_xlfn.XLOOKUP(A444,Product!A:A,Product!B:B,"Bulunamadı")</f>
        <v>Tech</v>
      </c>
      <c r="F444" s="1" t="str">
        <f t="array" ref="F444">_xlfn.XLOOKUP(A444,Product!A:A,Product!C:C,"Bulunamadı")</f>
        <v>Paranormal</v>
      </c>
      <c r="G444" s="2" t="str">
        <f t="array" ref="G444">_xlfn.XLOOKUP(A445,Product!A:A,Product!D:D,"Bulunamadı")</f>
        <v>Red Bridge Press</v>
      </c>
      <c r="H444" s="2">
        <f t="array" ref="H444">_xlfn.XLOOKUP(A446,Product!A:A,Product!E:E,"Bulunamadı")</f>
        <v>7.06</v>
      </c>
      <c r="I444" s="2" t="str">
        <f t="shared" si="1"/>
        <v>158465 - Tech - Paranormal</v>
      </c>
      <c r="J444" s="2">
        <f t="shared" si="2"/>
        <v>3134.64</v>
      </c>
      <c r="K444" s="17">
        <f t="shared" si="3"/>
        <v>1</v>
      </c>
      <c r="L444" s="18"/>
    </row>
    <row r="445" hidden="1">
      <c r="A445" s="2">
        <f>IFERROR(__xludf.DUMMYFUNCTION("""COMPUTED_VALUE"""),79107.0)</f>
        <v>79107</v>
      </c>
      <c r="B445" s="2">
        <f>IFERROR(__xludf.DUMMYFUNCTION("""COMPUTED_VALUE"""),0.0)</f>
        <v>0</v>
      </c>
      <c r="C445" s="2">
        <f>IFERROR(__xludf.DUMMYFUNCTION("""COMPUTED_VALUE"""),713.0)</f>
        <v>713</v>
      </c>
      <c r="D445" s="3">
        <f>IFERROR(__xludf.DUMMYFUNCTION("""COMPUTED_VALUE"""),409.0)</f>
        <v>409</v>
      </c>
      <c r="E445" s="1" t="str">
        <f t="array" ref="E445">_xlfn.XLOOKUP(A445,Product!A:A,Product!B:B,"Bulunamadı")</f>
        <v>Tech</v>
      </c>
      <c r="F445" s="1" t="str">
        <f t="array" ref="F445">_xlfn.XLOOKUP(A445,Product!A:A,Product!C:C,"Bulunamadı")</f>
        <v>Paranormal</v>
      </c>
      <c r="G445" s="2" t="str">
        <f t="array" ref="G445">_xlfn.XLOOKUP(A446,Product!A:A,Product!D:D,"Bulunamadı")</f>
        <v>Red Bridge Press</v>
      </c>
      <c r="H445" s="2">
        <f t="array" ref="H445">_xlfn.XLOOKUP(A447,Product!A:A,Product!E:E,"Bulunamadı")</f>
        <v>2.6</v>
      </c>
      <c r="I445" s="2" t="str">
        <f t="shared" si="1"/>
        <v>79107 - Tech - Paranormal</v>
      </c>
      <c r="J445" s="2">
        <f t="shared" si="2"/>
        <v>1063.4</v>
      </c>
      <c r="K445" s="17">
        <f t="shared" si="3"/>
        <v>1</v>
      </c>
      <c r="L445" s="18"/>
    </row>
    <row r="446" hidden="1">
      <c r="A446" s="2">
        <f>IFERROR(__xludf.DUMMYFUNCTION("""COMPUTED_VALUE"""),78631.0)</f>
        <v>78631</v>
      </c>
      <c r="B446" s="2">
        <f>IFERROR(__xludf.DUMMYFUNCTION("""COMPUTED_VALUE"""),1.0)</f>
        <v>1</v>
      </c>
      <c r="C446" s="2">
        <f>IFERROR(__xludf.DUMMYFUNCTION("""COMPUTED_VALUE"""),842.0)</f>
        <v>842</v>
      </c>
      <c r="D446" s="3">
        <f>IFERROR(__xludf.DUMMYFUNCTION("""COMPUTED_VALUE"""),452.0)</f>
        <v>452</v>
      </c>
      <c r="E446" s="1" t="str">
        <f t="array" ref="E446">_xlfn.XLOOKUP(A446,Product!A:A,Product!B:B,"Bulunamadı")</f>
        <v>Tech</v>
      </c>
      <c r="F446" s="1" t="str">
        <f t="array" ref="F446">_xlfn.XLOOKUP(A446,Product!A:A,Product!C:C,"Bulunamadı")</f>
        <v>Paranormal</v>
      </c>
      <c r="G446" s="2" t="str">
        <f t="array" ref="G446">_xlfn.XLOOKUP(A447,Product!A:A,Product!D:D,"Bulunamadı")</f>
        <v>Red Bridge Press</v>
      </c>
      <c r="H446" s="2">
        <f t="array" ref="H446">_xlfn.XLOOKUP(A448,Product!A:A,Product!E:E,"Bulunamadı")</f>
        <v>2.77</v>
      </c>
      <c r="I446" s="2" t="str">
        <f t="shared" si="1"/>
        <v>78631 - Tech - Paranormal</v>
      </c>
      <c r="J446" s="2">
        <f t="shared" si="2"/>
        <v>1252.04</v>
      </c>
      <c r="K446" s="17">
        <f t="shared" si="3"/>
        <v>1</v>
      </c>
      <c r="L446" s="18"/>
    </row>
    <row r="447" hidden="1">
      <c r="A447" s="2">
        <f>IFERROR(__xludf.DUMMYFUNCTION("""COMPUTED_VALUE"""),120469.0)</f>
        <v>120469</v>
      </c>
      <c r="B447" s="2">
        <f>IFERROR(__xludf.DUMMYFUNCTION("""COMPUTED_VALUE"""),1.0)</f>
        <v>1</v>
      </c>
      <c r="C447" s="2">
        <f>IFERROR(__xludf.DUMMYFUNCTION("""COMPUTED_VALUE"""),396.0)</f>
        <v>396</v>
      </c>
      <c r="D447" s="3">
        <f>IFERROR(__xludf.DUMMYFUNCTION("""COMPUTED_VALUE"""),24.0)</f>
        <v>24</v>
      </c>
      <c r="E447" s="1" t="str">
        <f t="array" ref="E447">_xlfn.XLOOKUP(A447,Product!A:A,Product!B:B,"Bulunamadı")</f>
        <v>Tech</v>
      </c>
      <c r="F447" s="1" t="str">
        <f t="array" ref="F447">_xlfn.XLOOKUP(A447,Product!A:A,Product!C:C,"Bulunamadı")</f>
        <v>Paranormal</v>
      </c>
      <c r="G447" s="2" t="str">
        <f t="array" ref="G447">_xlfn.XLOOKUP(A448,Product!A:A,Product!D:D,"Bulunamadı")</f>
        <v>Red Bridge Press</v>
      </c>
      <c r="H447" s="2">
        <f t="array" ref="H447">_xlfn.XLOOKUP(A449,Product!A:A,Product!E:E,"Bulunamadı")</f>
        <v>2.23</v>
      </c>
      <c r="I447" s="2" t="str">
        <f t="shared" si="1"/>
        <v>120469 - Tech - Paranormal</v>
      </c>
      <c r="J447" s="2">
        <f t="shared" si="2"/>
        <v>53.52</v>
      </c>
      <c r="K447" s="17">
        <f t="shared" si="3"/>
        <v>1</v>
      </c>
      <c r="L447" s="18"/>
    </row>
    <row r="448" hidden="1">
      <c r="A448" s="2">
        <f>IFERROR(__xludf.DUMMYFUNCTION("""COMPUTED_VALUE"""),6523.0)</f>
        <v>6523</v>
      </c>
      <c r="B448" s="2">
        <f>IFERROR(__xludf.DUMMYFUNCTION("""COMPUTED_VALUE"""),0.0)</f>
        <v>0</v>
      </c>
      <c r="C448" s="2">
        <f>IFERROR(__xludf.DUMMYFUNCTION("""COMPUTED_VALUE"""),141.0)</f>
        <v>141</v>
      </c>
      <c r="D448" s="3">
        <f>IFERROR(__xludf.DUMMYFUNCTION("""COMPUTED_VALUE"""),38.0)</f>
        <v>38</v>
      </c>
      <c r="E448" s="1" t="str">
        <f t="array" ref="E448">_xlfn.XLOOKUP(A448,Product!A:A,Product!B:B,"Bulunamadı")</f>
        <v>Tech</v>
      </c>
      <c r="F448" s="1" t="str">
        <f t="array" ref="F448">_xlfn.XLOOKUP(A448,Product!A:A,Product!C:C,"Bulunamadı")</f>
        <v>Paranormal</v>
      </c>
      <c r="G448" s="2" t="str">
        <f t="array" ref="G448">_xlfn.XLOOKUP(A449,Product!A:A,Product!D:D,"Bulunamadı")</f>
        <v>Red Bridge Press</v>
      </c>
      <c r="H448" s="2">
        <f t="array" ref="H448">_xlfn.XLOOKUP(A450,Product!A:A,Product!E:E,"Bulunamadı")</f>
        <v>2.04</v>
      </c>
      <c r="I448" s="2" t="str">
        <f t="shared" si="1"/>
        <v>6523 - Tech - Paranormal</v>
      </c>
      <c r="J448" s="2">
        <f t="shared" si="2"/>
        <v>77.52</v>
      </c>
      <c r="K448" s="17">
        <f t="shared" si="3"/>
        <v>1</v>
      </c>
      <c r="L448" s="18"/>
    </row>
    <row r="449" hidden="1">
      <c r="A449" s="2">
        <f>IFERROR(__xludf.DUMMYFUNCTION("""COMPUTED_VALUE"""),41819.0)</f>
        <v>41819</v>
      </c>
      <c r="B449" s="2">
        <f>IFERROR(__xludf.DUMMYFUNCTION("""COMPUTED_VALUE"""),1.0)</f>
        <v>1</v>
      </c>
      <c r="C449" s="2">
        <f>IFERROR(__xludf.DUMMYFUNCTION("""COMPUTED_VALUE"""),668.0)</f>
        <v>668</v>
      </c>
      <c r="D449" s="3">
        <f>IFERROR(__xludf.DUMMYFUNCTION("""COMPUTED_VALUE"""),78.0)</f>
        <v>78</v>
      </c>
      <c r="E449" s="1" t="str">
        <f t="array" ref="E449">_xlfn.XLOOKUP(A449,Product!A:A,Product!B:B,"Bulunamadı")</f>
        <v>Tech</v>
      </c>
      <c r="F449" s="1" t="str">
        <f t="array" ref="F449">_xlfn.XLOOKUP(A449,Product!A:A,Product!C:C,"Bulunamadı")</f>
        <v>Paranormal</v>
      </c>
      <c r="G449" s="2" t="str">
        <f t="array" ref="G449">_xlfn.XLOOKUP(A450,Product!A:A,Product!D:D,"Bulunamadı")</f>
        <v>Red Bridge Press</v>
      </c>
      <c r="H449" s="2">
        <f t="array" ref="H449">_xlfn.XLOOKUP(A451,Product!A:A,Product!E:E,"Bulunamadı")</f>
        <v>2.28</v>
      </c>
      <c r="I449" s="2" t="str">
        <f t="shared" si="1"/>
        <v>41819 - Tech - Paranormal</v>
      </c>
      <c r="J449" s="2">
        <f t="shared" si="2"/>
        <v>177.84</v>
      </c>
      <c r="K449" s="17">
        <f t="shared" si="3"/>
        <v>1</v>
      </c>
      <c r="L449" s="18"/>
    </row>
    <row r="450" hidden="1">
      <c r="A450" s="2">
        <f>IFERROR(__xludf.DUMMYFUNCTION("""COMPUTED_VALUE"""),108889.0)</f>
        <v>108889</v>
      </c>
      <c r="B450" s="2">
        <f>IFERROR(__xludf.DUMMYFUNCTION("""COMPUTED_VALUE"""),1.0)</f>
        <v>1</v>
      </c>
      <c r="C450" s="2">
        <f>IFERROR(__xludf.DUMMYFUNCTION("""COMPUTED_VALUE"""),57.0)</f>
        <v>57</v>
      </c>
      <c r="D450" s="3">
        <f>IFERROR(__xludf.DUMMYFUNCTION("""COMPUTED_VALUE"""),15.0)</f>
        <v>15</v>
      </c>
      <c r="E450" s="1" t="str">
        <f t="array" ref="E450">_xlfn.XLOOKUP(A450,Product!A:A,Product!B:B,"Bulunamadı")</f>
        <v>Tech</v>
      </c>
      <c r="F450" s="1" t="str">
        <f t="array" ref="F450">_xlfn.XLOOKUP(A450,Product!A:A,Product!C:C,"Bulunamadı")</f>
        <v>Paranormal</v>
      </c>
      <c r="G450" s="2" t="str">
        <f t="array" ref="G450">_xlfn.XLOOKUP(A451,Product!A:A,Product!D:D,"Bulunamadı")</f>
        <v>Red Bridge Press</v>
      </c>
      <c r="H450" s="2">
        <f t="array" ref="H450">_xlfn.XLOOKUP(A452,Product!A:A,Product!E:E,"Bulunamadı")</f>
        <v>3.73</v>
      </c>
      <c r="I450" s="2" t="str">
        <f t="shared" si="1"/>
        <v>108889 - Tech - Paranormal</v>
      </c>
      <c r="J450" s="2">
        <f t="shared" si="2"/>
        <v>55.95</v>
      </c>
      <c r="K450" s="17">
        <f t="shared" si="3"/>
        <v>1</v>
      </c>
      <c r="L450" s="18"/>
    </row>
    <row r="451" hidden="1">
      <c r="A451" s="2">
        <f>IFERROR(__xludf.DUMMYFUNCTION("""COMPUTED_VALUE"""),92564.0)</f>
        <v>92564</v>
      </c>
      <c r="B451" s="2">
        <f>IFERROR(__xludf.DUMMYFUNCTION("""COMPUTED_VALUE"""),0.0)</f>
        <v>0</v>
      </c>
      <c r="C451" s="2">
        <f>IFERROR(__xludf.DUMMYFUNCTION("""COMPUTED_VALUE"""),179.0)</f>
        <v>179</v>
      </c>
      <c r="D451" s="3">
        <f>IFERROR(__xludf.DUMMYFUNCTION("""COMPUTED_VALUE"""),33.0)</f>
        <v>33</v>
      </c>
      <c r="E451" s="1" t="str">
        <f t="array" ref="E451">_xlfn.XLOOKUP(A451,Product!A:A,Product!B:B,"Bulunamadı")</f>
        <v>Tech</v>
      </c>
      <c r="F451" s="1" t="str">
        <f t="array" ref="F451">_xlfn.XLOOKUP(A451,Product!A:A,Product!C:C,"Bulunamadı")</f>
        <v>Paranormal</v>
      </c>
      <c r="G451" s="2" t="str">
        <f t="array" ref="G451">_xlfn.XLOOKUP(A452,Product!A:A,Product!D:D,"Bulunamadı")</f>
        <v>Red Bridge Press</v>
      </c>
      <c r="H451" s="2">
        <f t="array" ref="H451">_xlfn.XLOOKUP(A453,Product!A:A,Product!E:E,"Bulunamadı")</f>
        <v>4.33</v>
      </c>
      <c r="I451" s="2" t="str">
        <f t="shared" si="1"/>
        <v>92564 - Tech - Paranormal</v>
      </c>
      <c r="J451" s="2">
        <f t="shared" si="2"/>
        <v>142.89</v>
      </c>
      <c r="K451" s="17">
        <f t="shared" si="3"/>
        <v>1</v>
      </c>
      <c r="L451" s="18"/>
    </row>
    <row r="452" hidden="1">
      <c r="A452" s="2">
        <f>IFERROR(__xludf.DUMMYFUNCTION("""COMPUTED_VALUE"""),158456.0)</f>
        <v>158456</v>
      </c>
      <c r="B452" s="2">
        <f>IFERROR(__xludf.DUMMYFUNCTION("""COMPUTED_VALUE"""),0.0)</f>
        <v>0</v>
      </c>
      <c r="C452" s="2">
        <f>IFERROR(__xludf.DUMMYFUNCTION("""COMPUTED_VALUE"""),327.0)</f>
        <v>327</v>
      </c>
      <c r="D452" s="3">
        <f>IFERROR(__xludf.DUMMYFUNCTION("""COMPUTED_VALUE"""),240.0)</f>
        <v>240</v>
      </c>
      <c r="E452" s="1" t="str">
        <f t="array" ref="E452">_xlfn.XLOOKUP(A452,Product!A:A,Product!B:B,"Bulunamadı")</f>
        <v>Tech</v>
      </c>
      <c r="F452" s="1" t="str">
        <f t="array" ref="F452">_xlfn.XLOOKUP(A452,Product!A:A,Product!C:C,"Bulunamadı")</f>
        <v>Paranormal</v>
      </c>
      <c r="G452" s="2" t="str">
        <f t="array" ref="G452">_xlfn.XLOOKUP(A453,Product!A:A,Product!D:D,"Bulunamadı")</f>
        <v>Red Bridge Press</v>
      </c>
      <c r="H452" s="2">
        <f t="array" ref="H452">_xlfn.XLOOKUP(A454,Product!A:A,Product!E:E,"Bulunamadı")</f>
        <v>3.15</v>
      </c>
      <c r="I452" s="2" t="str">
        <f t="shared" si="1"/>
        <v>158456 - Tech - Paranormal</v>
      </c>
      <c r="J452" s="2">
        <f t="shared" si="2"/>
        <v>756</v>
      </c>
      <c r="K452" s="17">
        <f t="shared" si="3"/>
        <v>1</v>
      </c>
      <c r="L452" s="18"/>
    </row>
    <row r="453" hidden="1">
      <c r="A453" s="2">
        <f>IFERROR(__xludf.DUMMYFUNCTION("""COMPUTED_VALUE"""),111735.0)</f>
        <v>111735</v>
      </c>
      <c r="B453" s="2">
        <f>IFERROR(__xludf.DUMMYFUNCTION("""COMPUTED_VALUE"""),1.0)</f>
        <v>1</v>
      </c>
      <c r="C453" s="2">
        <f>IFERROR(__xludf.DUMMYFUNCTION("""COMPUTED_VALUE"""),855.0)</f>
        <v>855</v>
      </c>
      <c r="D453" s="3">
        <f>IFERROR(__xludf.DUMMYFUNCTION("""COMPUTED_VALUE"""),208.0)</f>
        <v>208</v>
      </c>
      <c r="E453" s="1" t="str">
        <f t="array" ref="E453">_xlfn.XLOOKUP(A453,Product!A:A,Product!B:B,"Bulunamadı")</f>
        <v>Tech</v>
      </c>
      <c r="F453" s="1" t="str">
        <f t="array" ref="F453">_xlfn.XLOOKUP(A453,Product!A:A,Product!C:C,"Bulunamadı")</f>
        <v>Paranormal</v>
      </c>
      <c r="G453" s="2" t="str">
        <f t="array" ref="G453">_xlfn.XLOOKUP(A454,Product!A:A,Product!D:D,"Bulunamadı")</f>
        <v>Red Bridge Press</v>
      </c>
      <c r="H453" s="2">
        <f t="array" ref="H453">_xlfn.XLOOKUP(A455,Product!A:A,Product!E:E,"Bulunamadı")</f>
        <v>1.52</v>
      </c>
      <c r="I453" s="2" t="str">
        <f t="shared" si="1"/>
        <v>111735 - Tech - Paranormal</v>
      </c>
      <c r="J453" s="2">
        <f t="shared" si="2"/>
        <v>316.16</v>
      </c>
      <c r="K453" s="17">
        <f t="shared" si="3"/>
        <v>1</v>
      </c>
      <c r="L453" s="18"/>
    </row>
    <row r="454" hidden="1">
      <c r="A454" s="2">
        <f>IFERROR(__xludf.DUMMYFUNCTION("""COMPUTED_VALUE"""),109537.0)</f>
        <v>109537</v>
      </c>
      <c r="B454" s="2">
        <f>IFERROR(__xludf.DUMMYFUNCTION("""COMPUTED_VALUE"""),0.0)</f>
        <v>0</v>
      </c>
      <c r="C454" s="2">
        <f>IFERROR(__xludf.DUMMYFUNCTION("""COMPUTED_VALUE"""),165.0)</f>
        <v>165</v>
      </c>
      <c r="D454" s="3">
        <f>IFERROR(__xludf.DUMMYFUNCTION("""COMPUTED_VALUE"""),146.0)</f>
        <v>146</v>
      </c>
      <c r="E454" s="1" t="str">
        <f t="array" ref="E454">_xlfn.XLOOKUP(A454,Product!A:A,Product!B:B,"Bulunamadı")</f>
        <v>Tech</v>
      </c>
      <c r="F454" s="1" t="str">
        <f t="array" ref="F454">_xlfn.XLOOKUP(A454,Product!A:A,Product!C:C,"Bulunamadı")</f>
        <v>Paranormal</v>
      </c>
      <c r="G454" s="2" t="str">
        <f t="array" ref="G454">_xlfn.XLOOKUP(A455,Product!A:A,Product!D:D,"Bulunamadı")</f>
        <v>Red Bridge Press</v>
      </c>
      <c r="H454" s="2">
        <f t="array" ref="H454">_xlfn.XLOOKUP(A456,Product!A:A,Product!E:E,"Bulunamadı")</f>
        <v>3.84</v>
      </c>
      <c r="I454" s="2" t="str">
        <f t="shared" si="1"/>
        <v>109537 - Tech - Paranormal</v>
      </c>
      <c r="J454" s="2">
        <f t="shared" si="2"/>
        <v>560.64</v>
      </c>
      <c r="K454" s="17">
        <f t="shared" si="3"/>
        <v>1</v>
      </c>
      <c r="L454" s="18"/>
    </row>
    <row r="455" hidden="1">
      <c r="A455" s="2">
        <f>IFERROR(__xludf.DUMMYFUNCTION("""COMPUTED_VALUE"""),109381.0)</f>
        <v>109381</v>
      </c>
      <c r="B455" s="2">
        <f>IFERROR(__xludf.DUMMYFUNCTION("""COMPUTED_VALUE"""),0.0)</f>
        <v>0</v>
      </c>
      <c r="C455" s="2">
        <f>IFERROR(__xludf.DUMMYFUNCTION("""COMPUTED_VALUE"""),413.0)</f>
        <v>413</v>
      </c>
      <c r="D455" s="3">
        <f>IFERROR(__xludf.DUMMYFUNCTION("""COMPUTED_VALUE"""),17.0)</f>
        <v>17</v>
      </c>
      <c r="E455" s="1" t="str">
        <f t="array" ref="E455">_xlfn.XLOOKUP(A455,Product!A:A,Product!B:B,"Bulunamadı")</f>
        <v>Tech</v>
      </c>
      <c r="F455" s="1" t="str">
        <f t="array" ref="F455">_xlfn.XLOOKUP(A455,Product!A:A,Product!C:C,"Bulunamadı")</f>
        <v>Paranormal</v>
      </c>
      <c r="G455" s="2" t="str">
        <f t="array" ref="G455">_xlfn.XLOOKUP(A456,Product!A:A,Product!D:D,"Bulunamadı")</f>
        <v>Red Bridge Press</v>
      </c>
      <c r="H455" s="2">
        <f t="array" ref="H455">_xlfn.XLOOKUP(A457,Product!A:A,Product!E:E,"Bulunamadı")</f>
        <v>4.72</v>
      </c>
      <c r="I455" s="2" t="str">
        <f t="shared" si="1"/>
        <v>109381 - Tech - Paranormal</v>
      </c>
      <c r="J455" s="2">
        <f t="shared" si="2"/>
        <v>80.24</v>
      </c>
      <c r="K455" s="17">
        <f t="shared" si="3"/>
        <v>1</v>
      </c>
      <c r="L455" s="18"/>
    </row>
    <row r="456" hidden="1">
      <c r="A456" s="2">
        <f>IFERROR(__xludf.DUMMYFUNCTION("""COMPUTED_VALUE"""),120944.0)</f>
        <v>120944</v>
      </c>
      <c r="B456" s="2">
        <f>IFERROR(__xludf.DUMMYFUNCTION("""COMPUTED_VALUE"""),0.0)</f>
        <v>0</v>
      </c>
      <c r="C456" s="2">
        <f>IFERROR(__xludf.DUMMYFUNCTION("""COMPUTED_VALUE"""),120.0)</f>
        <v>120</v>
      </c>
      <c r="D456" s="3">
        <f>IFERROR(__xludf.DUMMYFUNCTION("""COMPUTED_VALUE"""),87.0)</f>
        <v>87</v>
      </c>
      <c r="E456" s="1" t="str">
        <f t="array" ref="E456">_xlfn.XLOOKUP(A456,Product!A:A,Product!B:B,"Bulunamadı")</f>
        <v>Tech</v>
      </c>
      <c r="F456" s="1" t="str">
        <f t="array" ref="F456">_xlfn.XLOOKUP(A456,Product!A:A,Product!C:C,"Bulunamadı")</f>
        <v>Paranormal</v>
      </c>
      <c r="G456" s="2" t="str">
        <f t="array" ref="G456">_xlfn.XLOOKUP(A457,Product!A:A,Product!D:D,"Bulunamadı")</f>
        <v>Red Bridge Press</v>
      </c>
      <c r="H456" s="2">
        <f t="array" ref="H456">_xlfn.XLOOKUP(A458,Product!A:A,Product!E:E,"Bulunamadı")</f>
        <v>4.15</v>
      </c>
      <c r="I456" s="2" t="str">
        <f t="shared" si="1"/>
        <v>120944 - Tech - Paranormal</v>
      </c>
      <c r="J456" s="2">
        <f t="shared" si="2"/>
        <v>361.05</v>
      </c>
      <c r="K456" s="17">
        <f t="shared" si="3"/>
        <v>1</v>
      </c>
      <c r="L456" s="18"/>
    </row>
    <row r="457" hidden="1">
      <c r="A457" s="2">
        <f>IFERROR(__xludf.DUMMYFUNCTION("""COMPUTED_VALUE"""),29320.0)</f>
        <v>29320</v>
      </c>
      <c r="B457" s="2">
        <f>IFERROR(__xludf.DUMMYFUNCTION("""COMPUTED_VALUE"""),1.0)</f>
        <v>1</v>
      </c>
      <c r="C457" s="2">
        <f>IFERROR(__xludf.DUMMYFUNCTION("""COMPUTED_VALUE"""),165.0)</f>
        <v>165</v>
      </c>
      <c r="D457" s="3">
        <f>IFERROR(__xludf.DUMMYFUNCTION("""COMPUTED_VALUE"""),2.0)</f>
        <v>2</v>
      </c>
      <c r="E457" s="1" t="str">
        <f t="array" ref="E457">_xlfn.XLOOKUP(A457,Product!A:A,Product!B:B,"Bulunamadı")</f>
        <v>Tech</v>
      </c>
      <c r="F457" s="1" t="str">
        <f t="array" ref="F457">_xlfn.XLOOKUP(A457,Product!A:A,Product!C:C,"Bulunamadı")</f>
        <v>Paranormal</v>
      </c>
      <c r="G457" s="2" t="str">
        <f t="array" ref="G457">_xlfn.XLOOKUP(A458,Product!A:A,Product!D:D,"Bulunamadı")</f>
        <v>Red Bridge Press</v>
      </c>
      <c r="H457" s="2">
        <f t="array" ref="H457">_xlfn.XLOOKUP(A459,Product!A:A,Product!E:E,"Bulunamadı")</f>
        <v>1.74</v>
      </c>
      <c r="I457" s="2" t="str">
        <f t="shared" si="1"/>
        <v>29320 - Tech - Paranormal</v>
      </c>
      <c r="J457" s="2">
        <f t="shared" si="2"/>
        <v>3.48</v>
      </c>
      <c r="K457" s="17">
        <f t="shared" si="3"/>
        <v>1</v>
      </c>
      <c r="L457" s="18"/>
    </row>
    <row r="458" hidden="1">
      <c r="A458" s="2">
        <f>IFERROR(__xludf.DUMMYFUNCTION("""COMPUTED_VALUE"""),118222.0)</f>
        <v>118222</v>
      </c>
      <c r="B458" s="2">
        <f>IFERROR(__xludf.DUMMYFUNCTION("""COMPUTED_VALUE"""),1.0)</f>
        <v>1</v>
      </c>
      <c r="C458" s="2">
        <f>IFERROR(__xludf.DUMMYFUNCTION("""COMPUTED_VALUE"""),153.0)</f>
        <v>153</v>
      </c>
      <c r="D458" s="3">
        <f>IFERROR(__xludf.DUMMYFUNCTION("""COMPUTED_VALUE"""),7.0)</f>
        <v>7</v>
      </c>
      <c r="E458" s="1" t="str">
        <f t="array" ref="E458">_xlfn.XLOOKUP(A458,Product!A:A,Product!B:B,"Bulunamadı")</f>
        <v>Tech</v>
      </c>
      <c r="F458" s="1" t="str">
        <f t="array" ref="F458">_xlfn.XLOOKUP(A458,Product!A:A,Product!C:C,"Bulunamadı")</f>
        <v>Paranormal</v>
      </c>
      <c r="G458" s="2" t="str">
        <f t="array" ref="G458">_xlfn.XLOOKUP(A459,Product!A:A,Product!D:D,"Bulunamadı")</f>
        <v>Red Bridge Press</v>
      </c>
      <c r="H458" s="2">
        <f t="array" ref="H458">_xlfn.XLOOKUP(A460,Product!A:A,Product!E:E,"Bulunamadı")</f>
        <v>1.65</v>
      </c>
      <c r="I458" s="2" t="str">
        <f t="shared" si="1"/>
        <v>118222 - Tech - Paranormal</v>
      </c>
      <c r="J458" s="2">
        <f t="shared" si="2"/>
        <v>11.55</v>
      </c>
      <c r="K458" s="17">
        <f t="shared" si="3"/>
        <v>1</v>
      </c>
      <c r="L458" s="18"/>
    </row>
    <row r="459" hidden="1">
      <c r="A459" s="2">
        <f>IFERROR(__xludf.DUMMYFUNCTION("""COMPUTED_VALUE"""),108897.0)</f>
        <v>108897</v>
      </c>
      <c r="B459" s="2">
        <f>IFERROR(__xludf.DUMMYFUNCTION("""COMPUTED_VALUE"""),1.0)</f>
        <v>1</v>
      </c>
      <c r="C459" s="2">
        <f>IFERROR(__xludf.DUMMYFUNCTION("""COMPUTED_VALUE"""),667.0)</f>
        <v>667</v>
      </c>
      <c r="D459" s="3">
        <f>IFERROR(__xludf.DUMMYFUNCTION("""COMPUTED_VALUE"""),636.0)</f>
        <v>636</v>
      </c>
      <c r="E459" s="1" t="str">
        <f t="array" ref="E459">_xlfn.XLOOKUP(A459,Product!A:A,Product!B:B,"Bulunamadı")</f>
        <v>Tech</v>
      </c>
      <c r="F459" s="1" t="str">
        <f t="array" ref="F459">_xlfn.XLOOKUP(A459,Product!A:A,Product!C:C,"Bulunamadı")</f>
        <v>Paranormal</v>
      </c>
      <c r="G459" s="2" t="str">
        <f t="array" ref="G459">_xlfn.XLOOKUP(A460,Product!A:A,Product!D:D,"Bulunamadı")</f>
        <v>Red Bridge Press</v>
      </c>
      <c r="H459" s="2">
        <f t="array" ref="H459">_xlfn.XLOOKUP(A461,Product!A:A,Product!E:E,"Bulunamadı")</f>
        <v>4.74</v>
      </c>
      <c r="I459" s="2" t="str">
        <f t="shared" si="1"/>
        <v>108897 - Tech - Paranormal</v>
      </c>
      <c r="J459" s="2">
        <f t="shared" si="2"/>
        <v>3014.64</v>
      </c>
      <c r="K459" s="17">
        <f t="shared" si="3"/>
        <v>1</v>
      </c>
      <c r="L459" s="18"/>
    </row>
    <row r="460" hidden="1">
      <c r="A460" s="2">
        <f>IFERROR(__xludf.DUMMYFUNCTION("""COMPUTED_VALUE"""),101565.0)</f>
        <v>101565</v>
      </c>
      <c r="B460" s="2">
        <f>IFERROR(__xludf.DUMMYFUNCTION("""COMPUTED_VALUE"""),1.0)</f>
        <v>1</v>
      </c>
      <c r="C460" s="2">
        <f>IFERROR(__xludf.DUMMYFUNCTION("""COMPUTED_VALUE"""),215.0)</f>
        <v>215</v>
      </c>
      <c r="D460" s="3">
        <f>IFERROR(__xludf.DUMMYFUNCTION("""COMPUTED_VALUE"""),116.0)</f>
        <v>116</v>
      </c>
      <c r="E460" s="1" t="str">
        <f t="array" ref="E460">_xlfn.XLOOKUP(A460,Product!A:A,Product!B:B,"Bulunamadı")</f>
        <v>Tech</v>
      </c>
      <c r="F460" s="1" t="str">
        <f t="array" ref="F460">_xlfn.XLOOKUP(A460,Product!A:A,Product!C:C,"Bulunamadı")</f>
        <v>Paranormal</v>
      </c>
      <c r="G460" s="2" t="str">
        <f t="array" ref="G460">_xlfn.XLOOKUP(A461,Product!A:A,Product!D:D,"Bulunamadı")</f>
        <v>Red Bridge Press</v>
      </c>
      <c r="H460" s="2">
        <f t="array" ref="H460">_xlfn.XLOOKUP(A462,Product!A:A,Product!E:E,"Bulunamadı")</f>
        <v>2.97</v>
      </c>
      <c r="I460" s="2" t="str">
        <f t="shared" si="1"/>
        <v>101565 - Tech - Paranormal</v>
      </c>
      <c r="J460" s="2">
        <f t="shared" si="2"/>
        <v>344.52</v>
      </c>
      <c r="K460" s="17">
        <f t="shared" si="3"/>
        <v>1</v>
      </c>
      <c r="L460" s="18"/>
    </row>
    <row r="461" hidden="1">
      <c r="A461" s="2">
        <f>IFERROR(__xludf.DUMMYFUNCTION("""COMPUTED_VALUE"""),29319.0)</f>
        <v>29319</v>
      </c>
      <c r="B461" s="2">
        <f>IFERROR(__xludf.DUMMYFUNCTION("""COMPUTED_VALUE"""),1.0)</f>
        <v>1</v>
      </c>
      <c r="C461" s="2">
        <f>IFERROR(__xludf.DUMMYFUNCTION("""COMPUTED_VALUE"""),544.0)</f>
        <v>544</v>
      </c>
      <c r="D461" s="3">
        <f>IFERROR(__xludf.DUMMYFUNCTION("""COMPUTED_VALUE"""),419.0)</f>
        <v>419</v>
      </c>
      <c r="E461" s="1" t="str">
        <f t="array" ref="E461">_xlfn.XLOOKUP(A461,Product!A:A,Product!B:B,"Bulunamadı")</f>
        <v>Tech</v>
      </c>
      <c r="F461" s="1" t="str">
        <f t="array" ref="F461">_xlfn.XLOOKUP(A461,Product!A:A,Product!C:C,"Bulunamadı")</f>
        <v>Paranormal</v>
      </c>
      <c r="G461" s="2" t="str">
        <f t="array" ref="G461">_xlfn.XLOOKUP(A462,Product!A:A,Product!D:D,"Bulunamadı")</f>
        <v>Red Bridge Press</v>
      </c>
      <c r="H461" s="2">
        <f t="array" ref="H461">_xlfn.XLOOKUP(A463,Product!A:A,Product!E:E,"Bulunamadı")</f>
        <v>5.2</v>
      </c>
      <c r="I461" s="2" t="str">
        <f t="shared" si="1"/>
        <v>29319 - Tech - Paranormal</v>
      </c>
      <c r="J461" s="2">
        <f t="shared" si="2"/>
        <v>2178.8</v>
      </c>
      <c r="K461" s="17">
        <f t="shared" si="3"/>
        <v>1</v>
      </c>
      <c r="L461" s="18"/>
    </row>
    <row r="462" hidden="1">
      <c r="A462" s="2">
        <f>IFERROR(__xludf.DUMMYFUNCTION("""COMPUTED_VALUE"""),96444.0)</f>
        <v>96444</v>
      </c>
      <c r="B462" s="2">
        <f>IFERROR(__xludf.DUMMYFUNCTION("""COMPUTED_VALUE"""),0.0)</f>
        <v>0</v>
      </c>
      <c r="C462" s="2">
        <f>IFERROR(__xludf.DUMMYFUNCTION("""COMPUTED_VALUE"""),634.0)</f>
        <v>634</v>
      </c>
      <c r="D462" s="3">
        <f>IFERROR(__xludf.DUMMYFUNCTION("""COMPUTED_VALUE"""),438.0)</f>
        <v>438</v>
      </c>
      <c r="E462" s="1" t="str">
        <f t="array" ref="E462">_xlfn.XLOOKUP(A462,Product!A:A,Product!B:B,"Bulunamadı")</f>
        <v>Tech</v>
      </c>
      <c r="F462" s="1" t="str">
        <f t="array" ref="F462">_xlfn.XLOOKUP(A462,Product!A:A,Product!C:C,"Bulunamadı")</f>
        <v>Paranormal</v>
      </c>
      <c r="G462" s="2" t="str">
        <f t="array" ref="G462">_xlfn.XLOOKUP(A463,Product!A:A,Product!D:D,"Bulunamadı")</f>
        <v>Red Bridge Press</v>
      </c>
      <c r="H462" s="2">
        <f t="array" ref="H462">_xlfn.XLOOKUP(A464,Product!A:A,Product!E:E,"Bulunamadı")</f>
        <v>1.37</v>
      </c>
      <c r="I462" s="2" t="str">
        <f t="shared" si="1"/>
        <v>96444 - Tech - Paranormal</v>
      </c>
      <c r="J462" s="2">
        <f t="shared" si="2"/>
        <v>600.06</v>
      </c>
      <c r="K462" s="17">
        <f t="shared" si="3"/>
        <v>1</v>
      </c>
      <c r="L462" s="18"/>
    </row>
    <row r="463" hidden="1">
      <c r="A463" s="2">
        <f>IFERROR(__xludf.DUMMYFUNCTION("""COMPUTED_VALUE"""),101557.0)</f>
        <v>101557</v>
      </c>
      <c r="B463" s="2">
        <f>IFERROR(__xludf.DUMMYFUNCTION("""COMPUTED_VALUE"""),1.0)</f>
        <v>1</v>
      </c>
      <c r="C463" s="2">
        <f>IFERROR(__xludf.DUMMYFUNCTION("""COMPUTED_VALUE"""),302.0)</f>
        <v>302</v>
      </c>
      <c r="D463" s="3">
        <f>IFERROR(__xludf.DUMMYFUNCTION("""COMPUTED_VALUE"""),116.0)</f>
        <v>116</v>
      </c>
      <c r="E463" s="1" t="str">
        <f t="array" ref="E463">_xlfn.XLOOKUP(A463,Product!A:A,Product!B:B,"Bulunamadı")</f>
        <v>Tech</v>
      </c>
      <c r="F463" s="1" t="str">
        <f t="array" ref="F463">_xlfn.XLOOKUP(A463,Product!A:A,Product!C:C,"Bulunamadı")</f>
        <v>Paranormal</v>
      </c>
      <c r="G463" s="2" t="str">
        <f t="array" ref="G463">_xlfn.XLOOKUP(A464,Product!A:A,Product!D:D,"Bulunamadı")</f>
        <v>Red Bridge Press</v>
      </c>
      <c r="H463" s="2">
        <f t="array" ref="H463">_xlfn.XLOOKUP(A465,Product!A:A,Product!E:E,"Bulunamadı")</f>
        <v>4.38</v>
      </c>
      <c r="I463" s="2" t="str">
        <f t="shared" si="1"/>
        <v>101557 - Tech - Paranormal</v>
      </c>
      <c r="J463" s="2">
        <f t="shared" si="2"/>
        <v>508.08</v>
      </c>
      <c r="K463" s="17">
        <f t="shared" si="3"/>
        <v>1</v>
      </c>
      <c r="L463" s="18"/>
    </row>
    <row r="464" hidden="1">
      <c r="A464" s="2">
        <f>IFERROR(__xludf.DUMMYFUNCTION("""COMPUTED_VALUE"""),103610.0)</f>
        <v>103610</v>
      </c>
      <c r="B464" s="2">
        <f>IFERROR(__xludf.DUMMYFUNCTION("""COMPUTED_VALUE"""),1.0)</f>
        <v>1</v>
      </c>
      <c r="C464" s="2">
        <f>IFERROR(__xludf.DUMMYFUNCTION("""COMPUTED_VALUE"""),943.0)</f>
        <v>943</v>
      </c>
      <c r="D464" s="3">
        <f>IFERROR(__xludf.DUMMYFUNCTION("""COMPUTED_VALUE"""),773.0)</f>
        <v>773</v>
      </c>
      <c r="E464" s="1" t="str">
        <f t="array" ref="E464">_xlfn.XLOOKUP(A464,Product!A:A,Product!B:B,"Bulunamadı")</f>
        <v>Tech</v>
      </c>
      <c r="F464" s="1" t="str">
        <f t="array" ref="F464">_xlfn.XLOOKUP(A464,Product!A:A,Product!C:C,"Bulunamadı")</f>
        <v>Paranormal</v>
      </c>
      <c r="G464" s="2" t="str">
        <f t="array" ref="G464">_xlfn.XLOOKUP(A465,Product!A:A,Product!D:D,"Bulunamadı")</f>
        <v>Red Bridge Press</v>
      </c>
      <c r="H464" s="2">
        <f t="array" ref="H464">_xlfn.XLOOKUP(A466,Product!A:A,Product!E:E,"Bulunamadı")</f>
        <v>2.57</v>
      </c>
      <c r="I464" s="2" t="str">
        <f t="shared" si="1"/>
        <v>103610 - Tech - Paranormal</v>
      </c>
      <c r="J464" s="2">
        <f t="shared" si="2"/>
        <v>1986.61</v>
      </c>
      <c r="K464" s="17">
        <f t="shared" si="3"/>
        <v>1</v>
      </c>
      <c r="L464" s="18"/>
    </row>
    <row r="465" hidden="1">
      <c r="A465" s="2">
        <f>IFERROR(__xludf.DUMMYFUNCTION("""COMPUTED_VALUE"""),181195.0)</f>
        <v>181195</v>
      </c>
      <c r="B465" s="2">
        <f>IFERROR(__xludf.DUMMYFUNCTION("""COMPUTED_VALUE"""),1.0)</f>
        <v>1</v>
      </c>
      <c r="C465" s="2">
        <f>IFERROR(__xludf.DUMMYFUNCTION("""COMPUTED_VALUE"""),110.0)</f>
        <v>110</v>
      </c>
      <c r="D465" s="3">
        <f>IFERROR(__xludf.DUMMYFUNCTION("""COMPUTED_VALUE"""),36.0)</f>
        <v>36</v>
      </c>
      <c r="E465" s="1" t="str">
        <f t="array" ref="E465">_xlfn.XLOOKUP(A465,Product!A:A,Product!B:B,"Bulunamadı")</f>
        <v>Tech</v>
      </c>
      <c r="F465" s="1" t="str">
        <f t="array" ref="F465">_xlfn.XLOOKUP(A465,Product!A:A,Product!C:C,"Bulunamadı")</f>
        <v>Paranormal</v>
      </c>
      <c r="G465" s="2" t="str">
        <f t="array" ref="G465">_xlfn.XLOOKUP(A466,Product!A:A,Product!D:D,"Bulunamadı")</f>
        <v>Red Bridge Press</v>
      </c>
      <c r="H465" s="2">
        <f t="array" ref="H465">_xlfn.XLOOKUP(A467,Product!A:A,Product!E:E,"Bulunamadı")</f>
        <v>2.15</v>
      </c>
      <c r="I465" s="2" t="str">
        <f t="shared" si="1"/>
        <v>181195 - Tech - Paranormal</v>
      </c>
      <c r="J465" s="2">
        <f t="shared" si="2"/>
        <v>77.4</v>
      </c>
      <c r="K465" s="17">
        <f t="shared" si="3"/>
        <v>1</v>
      </c>
      <c r="L465" s="18"/>
    </row>
    <row r="466" hidden="1">
      <c r="A466" s="2">
        <f>IFERROR(__xludf.DUMMYFUNCTION("""COMPUTED_VALUE"""),12639.0)</f>
        <v>12639</v>
      </c>
      <c r="B466" s="2">
        <f>IFERROR(__xludf.DUMMYFUNCTION("""COMPUTED_VALUE"""),1.0)</f>
        <v>1</v>
      </c>
      <c r="C466" s="2">
        <f>IFERROR(__xludf.DUMMYFUNCTION("""COMPUTED_VALUE"""),35.0)</f>
        <v>35</v>
      </c>
      <c r="D466" s="3">
        <f>IFERROR(__xludf.DUMMYFUNCTION("""COMPUTED_VALUE"""),11.0)</f>
        <v>11</v>
      </c>
      <c r="E466" s="1" t="str">
        <f t="array" ref="E466">_xlfn.XLOOKUP(A466,Product!A:A,Product!B:B,"Bulunamadı")</f>
        <v>Tech</v>
      </c>
      <c r="F466" s="1" t="str">
        <f t="array" ref="F466">_xlfn.XLOOKUP(A466,Product!A:A,Product!C:C,"Bulunamadı")</f>
        <v>Paranormal</v>
      </c>
      <c r="G466" s="2" t="str">
        <f t="array" ref="G466">_xlfn.XLOOKUP(A467,Product!A:A,Product!D:D,"Bulunamadı")</f>
        <v>Red Bridge Press</v>
      </c>
      <c r="H466" s="2">
        <f t="array" ref="H466">_xlfn.XLOOKUP(A468,Product!A:A,Product!E:E,"Bulunamadı")</f>
        <v>0.94</v>
      </c>
      <c r="I466" s="2" t="str">
        <f t="shared" si="1"/>
        <v>12639 - Tech - Paranormal</v>
      </c>
      <c r="J466" s="2">
        <f t="shared" si="2"/>
        <v>10.34</v>
      </c>
      <c r="K466" s="17">
        <f t="shared" si="3"/>
        <v>1</v>
      </c>
      <c r="L466" s="18"/>
    </row>
    <row r="467" hidden="1">
      <c r="A467" s="2">
        <f>IFERROR(__xludf.DUMMYFUNCTION("""COMPUTED_VALUE"""),158464.0)</f>
        <v>158464</v>
      </c>
      <c r="B467" s="2">
        <f>IFERROR(__xludf.DUMMYFUNCTION("""COMPUTED_VALUE"""),0.0)</f>
        <v>0</v>
      </c>
      <c r="C467" s="2">
        <f>IFERROR(__xludf.DUMMYFUNCTION("""COMPUTED_VALUE"""),361.0)</f>
        <v>361</v>
      </c>
      <c r="D467" s="3">
        <f>IFERROR(__xludf.DUMMYFUNCTION("""COMPUTED_VALUE"""),172.0)</f>
        <v>172</v>
      </c>
      <c r="E467" s="1" t="str">
        <f t="array" ref="E467">_xlfn.XLOOKUP(A467,Product!A:A,Product!B:B,"Bulunamadı")</f>
        <v>Tech</v>
      </c>
      <c r="F467" s="1" t="str">
        <f t="array" ref="F467">_xlfn.XLOOKUP(A467,Product!A:A,Product!C:C,"Bulunamadı")</f>
        <v>Paranormal</v>
      </c>
      <c r="G467" s="2" t="str">
        <f t="array" ref="G467">_xlfn.XLOOKUP(A468,Product!A:A,Product!D:D,"Bulunamadı")</f>
        <v>Red Bridge Press</v>
      </c>
      <c r="H467" s="2">
        <f t="array" ref="H467">_xlfn.XLOOKUP(A469,Product!A:A,Product!E:E,"Bulunamadı")</f>
        <v>1.82</v>
      </c>
      <c r="I467" s="2" t="str">
        <f t="shared" si="1"/>
        <v>158464 - Tech - Paranormal</v>
      </c>
      <c r="J467" s="2">
        <f t="shared" si="2"/>
        <v>313.04</v>
      </c>
      <c r="K467" s="17">
        <f t="shared" si="3"/>
        <v>1</v>
      </c>
      <c r="L467" s="18"/>
    </row>
    <row r="468" hidden="1">
      <c r="A468" s="2">
        <f>IFERROR(__xludf.DUMMYFUNCTION("""COMPUTED_VALUE"""),116525.0)</f>
        <v>116525</v>
      </c>
      <c r="B468" s="2">
        <f>IFERROR(__xludf.DUMMYFUNCTION("""COMPUTED_VALUE"""),1.0)</f>
        <v>1</v>
      </c>
      <c r="C468" s="2">
        <f>IFERROR(__xludf.DUMMYFUNCTION("""COMPUTED_VALUE"""),181.0)</f>
        <v>181</v>
      </c>
      <c r="D468" s="3">
        <f>IFERROR(__xludf.DUMMYFUNCTION("""COMPUTED_VALUE"""),144.0)</f>
        <v>144</v>
      </c>
      <c r="E468" s="1" t="str">
        <f t="array" ref="E468">_xlfn.XLOOKUP(A468,Product!A:A,Product!B:B,"Bulunamadı")</f>
        <v>Tech</v>
      </c>
      <c r="F468" s="1" t="str">
        <f t="array" ref="F468">_xlfn.XLOOKUP(A468,Product!A:A,Product!C:C,"Bulunamadı")</f>
        <v>Paranormal</v>
      </c>
      <c r="G468" s="2" t="str">
        <f t="array" ref="G468">_xlfn.XLOOKUP(A469,Product!A:A,Product!D:D,"Bulunamadı")</f>
        <v>Red Bridge Press</v>
      </c>
      <c r="H468" s="2">
        <f t="array" ref="H468">_xlfn.XLOOKUP(A470,Product!A:A,Product!E:E,"Bulunamadı")</f>
        <v>1.67</v>
      </c>
      <c r="I468" s="2" t="str">
        <f t="shared" si="1"/>
        <v>116525 - Tech - Paranormal</v>
      </c>
      <c r="J468" s="2">
        <f t="shared" si="2"/>
        <v>240.48</v>
      </c>
      <c r="K468" s="17">
        <f t="shared" si="3"/>
        <v>1</v>
      </c>
      <c r="L468" s="18"/>
    </row>
    <row r="469" hidden="1">
      <c r="A469" s="2">
        <f>IFERROR(__xludf.DUMMYFUNCTION("""COMPUTED_VALUE"""),116295.0)</f>
        <v>116295</v>
      </c>
      <c r="B469" s="2">
        <f>IFERROR(__xludf.DUMMYFUNCTION("""COMPUTED_VALUE"""),0.0)</f>
        <v>0</v>
      </c>
      <c r="C469" s="2">
        <f>IFERROR(__xludf.DUMMYFUNCTION("""COMPUTED_VALUE"""),760.0)</f>
        <v>760</v>
      </c>
      <c r="D469" s="3">
        <f>IFERROR(__xludf.DUMMYFUNCTION("""COMPUTED_VALUE"""),658.0)</f>
        <v>658</v>
      </c>
      <c r="E469" s="1" t="str">
        <f t="array" ref="E469">_xlfn.XLOOKUP(A469,Product!A:A,Product!B:B,"Bulunamadı")</f>
        <v>Tech</v>
      </c>
      <c r="F469" s="1" t="str">
        <f t="array" ref="F469">_xlfn.XLOOKUP(A469,Product!A:A,Product!C:C,"Bulunamadı")</f>
        <v>Paranormal</v>
      </c>
      <c r="G469" s="2" t="str">
        <f t="array" ref="G469">_xlfn.XLOOKUP(A470,Product!A:A,Product!D:D,"Bulunamadı")</f>
        <v>Red Bridge Press</v>
      </c>
      <c r="H469" s="2">
        <f t="array" ref="H469">_xlfn.XLOOKUP(A471,Product!A:A,Product!E:E,"Bulunamadı")</f>
        <v>5.73</v>
      </c>
      <c r="I469" s="2" t="str">
        <f t="shared" si="1"/>
        <v>116295 - Tech - Paranormal</v>
      </c>
      <c r="J469" s="2">
        <f t="shared" si="2"/>
        <v>3770.34</v>
      </c>
      <c r="K469" s="17">
        <f t="shared" si="3"/>
        <v>1</v>
      </c>
      <c r="L469" s="18"/>
    </row>
    <row r="470" hidden="1">
      <c r="A470" s="2">
        <f>IFERROR(__xludf.DUMMYFUNCTION("""COMPUTED_VALUE"""),116297.0)</f>
        <v>116297</v>
      </c>
      <c r="B470" s="2">
        <f>IFERROR(__xludf.DUMMYFUNCTION("""COMPUTED_VALUE"""),1.0)</f>
        <v>1</v>
      </c>
      <c r="C470" s="2">
        <f>IFERROR(__xludf.DUMMYFUNCTION("""COMPUTED_VALUE"""),587.0)</f>
        <v>587</v>
      </c>
      <c r="D470" s="3">
        <f>IFERROR(__xludf.DUMMYFUNCTION("""COMPUTED_VALUE"""),477.0)</f>
        <v>477</v>
      </c>
      <c r="E470" s="1" t="str">
        <f t="array" ref="E470">_xlfn.XLOOKUP(A470,Product!A:A,Product!B:B,"Bulunamadı")</f>
        <v>Tech</v>
      </c>
      <c r="F470" s="1" t="str">
        <f t="array" ref="F470">_xlfn.XLOOKUP(A470,Product!A:A,Product!C:C,"Bulunamadı")</f>
        <v>Paranormal</v>
      </c>
      <c r="G470" s="2" t="str">
        <f t="array" ref="G470">_xlfn.XLOOKUP(A471,Product!A:A,Product!D:D,"Bulunamadı")</f>
        <v>Red Bridge Press</v>
      </c>
      <c r="H470" s="2">
        <f t="array" ref="H470">_xlfn.XLOOKUP(A472,Product!A:A,Product!E:E,"Bulunamadı")</f>
        <v>2.05</v>
      </c>
      <c r="I470" s="2" t="str">
        <f t="shared" si="1"/>
        <v>116297 - Tech - Paranormal</v>
      </c>
      <c r="J470" s="2">
        <f t="shared" si="2"/>
        <v>977.85</v>
      </c>
      <c r="K470" s="17">
        <f t="shared" si="3"/>
        <v>1</v>
      </c>
      <c r="L470" s="18"/>
    </row>
    <row r="471" hidden="1">
      <c r="A471" s="2">
        <f>IFERROR(__xludf.DUMMYFUNCTION("""COMPUTED_VALUE"""),11421.0)</f>
        <v>11421</v>
      </c>
      <c r="B471" s="2">
        <f>IFERROR(__xludf.DUMMYFUNCTION("""COMPUTED_VALUE"""),1.0)</f>
        <v>1</v>
      </c>
      <c r="C471" s="2">
        <f>IFERROR(__xludf.DUMMYFUNCTION("""COMPUTED_VALUE"""),642.0)</f>
        <v>642</v>
      </c>
      <c r="D471" s="3">
        <f>IFERROR(__xludf.DUMMYFUNCTION("""COMPUTED_VALUE"""),56.0)</f>
        <v>56</v>
      </c>
      <c r="E471" s="1" t="str">
        <f t="array" ref="E471">_xlfn.XLOOKUP(A471,Product!A:A,Product!B:B,"Bulunamadı")</f>
        <v>Tech</v>
      </c>
      <c r="F471" s="1" t="str">
        <f t="array" ref="F471">_xlfn.XLOOKUP(A471,Product!A:A,Product!C:C,"Bulunamadı")</f>
        <v>Paranormal</v>
      </c>
      <c r="G471" s="2" t="str">
        <f t="array" ref="G471">_xlfn.XLOOKUP(A472,Product!A:A,Product!D:D,"Bulunamadı")</f>
        <v>Red Bridge Press</v>
      </c>
      <c r="H471" s="2">
        <f t="array" ref="H471">_xlfn.XLOOKUP(A473,Product!A:A,Product!E:E,"Bulunamadı")</f>
        <v>2.34</v>
      </c>
      <c r="I471" s="2" t="str">
        <f t="shared" si="1"/>
        <v>11421 - Tech - Paranormal</v>
      </c>
      <c r="J471" s="2">
        <f t="shared" si="2"/>
        <v>131.04</v>
      </c>
      <c r="K471" s="17">
        <f t="shared" si="3"/>
        <v>1</v>
      </c>
      <c r="L471" s="18"/>
    </row>
    <row r="472" hidden="1">
      <c r="A472" s="2">
        <f>IFERROR(__xludf.DUMMYFUNCTION("""COMPUTED_VALUE"""),101549.0)</f>
        <v>101549</v>
      </c>
      <c r="B472" s="2">
        <f>IFERROR(__xludf.DUMMYFUNCTION("""COMPUTED_VALUE"""),0.0)</f>
        <v>0</v>
      </c>
      <c r="C472" s="2">
        <f>IFERROR(__xludf.DUMMYFUNCTION("""COMPUTED_VALUE"""),727.0)</f>
        <v>727</v>
      </c>
      <c r="D472" s="3">
        <f>IFERROR(__xludf.DUMMYFUNCTION("""COMPUTED_VALUE"""),398.0)</f>
        <v>398</v>
      </c>
      <c r="E472" s="1" t="str">
        <f t="array" ref="E472">_xlfn.XLOOKUP(A472,Product!A:A,Product!B:B,"Bulunamadı")</f>
        <v>Tech</v>
      </c>
      <c r="F472" s="1" t="str">
        <f t="array" ref="F472">_xlfn.XLOOKUP(A472,Product!A:A,Product!C:C,"Bulunamadı")</f>
        <v>Paranormal</v>
      </c>
      <c r="G472" s="2" t="str">
        <f t="array" ref="G472">_xlfn.XLOOKUP(A473,Product!A:A,Product!D:D,"Bulunamadı")</f>
        <v>Red Bridge Press</v>
      </c>
      <c r="H472" s="2">
        <f t="array" ref="H472">_xlfn.XLOOKUP(A474,Product!A:A,Product!E:E,"Bulunamadı")</f>
        <v>4.48</v>
      </c>
      <c r="I472" s="2" t="str">
        <f t="shared" si="1"/>
        <v>101549 - Tech - Paranormal</v>
      </c>
      <c r="J472" s="2">
        <f t="shared" si="2"/>
        <v>1783.04</v>
      </c>
      <c r="K472" s="17">
        <f t="shared" si="3"/>
        <v>1</v>
      </c>
      <c r="L472" s="18"/>
    </row>
    <row r="473" hidden="1">
      <c r="A473" s="2">
        <f>IFERROR(__xludf.DUMMYFUNCTION("""COMPUTED_VALUE"""),109543.0)</f>
        <v>109543</v>
      </c>
      <c r="B473" s="2">
        <f>IFERROR(__xludf.DUMMYFUNCTION("""COMPUTED_VALUE"""),1.0)</f>
        <v>1</v>
      </c>
      <c r="C473" s="2">
        <f>IFERROR(__xludf.DUMMYFUNCTION("""COMPUTED_VALUE"""),658.0)</f>
        <v>658</v>
      </c>
      <c r="D473" s="3">
        <f>IFERROR(__xludf.DUMMYFUNCTION("""COMPUTED_VALUE"""),613.0)</f>
        <v>613</v>
      </c>
      <c r="E473" s="1" t="str">
        <f t="array" ref="E473">_xlfn.XLOOKUP(A473,Product!A:A,Product!B:B,"Bulunamadı")</f>
        <v>Tech</v>
      </c>
      <c r="F473" s="1" t="str">
        <f t="array" ref="F473">_xlfn.XLOOKUP(A473,Product!A:A,Product!C:C,"Bulunamadı")</f>
        <v>Paranormal</v>
      </c>
      <c r="G473" s="2" t="str">
        <f t="array" ref="G473">_xlfn.XLOOKUP(A474,Product!A:A,Product!D:D,"Bulunamadı")</f>
        <v>Red Bridge Press</v>
      </c>
      <c r="H473" s="2">
        <f t="array" ref="H473">_xlfn.XLOOKUP(A475,Product!A:A,Product!E:E,"Bulunamadı")</f>
        <v>2.64</v>
      </c>
      <c r="I473" s="2" t="str">
        <f t="shared" si="1"/>
        <v>109543 - Tech - Paranormal</v>
      </c>
      <c r="J473" s="2">
        <f t="shared" si="2"/>
        <v>1618.32</v>
      </c>
      <c r="K473" s="17">
        <f t="shared" si="3"/>
        <v>1</v>
      </c>
      <c r="L473" s="18"/>
    </row>
    <row r="474" hidden="1">
      <c r="A474" s="2">
        <f>IFERROR(__xludf.DUMMYFUNCTION("""COMPUTED_VALUE"""),79318.0)</f>
        <v>79318</v>
      </c>
      <c r="B474" s="2">
        <f>IFERROR(__xludf.DUMMYFUNCTION("""COMPUTED_VALUE"""),1.0)</f>
        <v>1</v>
      </c>
      <c r="C474" s="2">
        <f>IFERROR(__xludf.DUMMYFUNCTION("""COMPUTED_VALUE"""),463.0)</f>
        <v>463</v>
      </c>
      <c r="D474" s="3">
        <f>IFERROR(__xludf.DUMMYFUNCTION("""COMPUTED_VALUE"""),429.0)</f>
        <v>429</v>
      </c>
      <c r="E474" s="1" t="str">
        <f t="array" ref="E474">_xlfn.XLOOKUP(A474,Product!A:A,Product!B:B,"Bulunamadı")</f>
        <v>Tech</v>
      </c>
      <c r="F474" s="1" t="str">
        <f t="array" ref="F474">_xlfn.XLOOKUP(A474,Product!A:A,Product!C:C,"Bulunamadı")</f>
        <v>Paranormal</v>
      </c>
      <c r="G474" s="2" t="str">
        <f t="array" ref="G474">_xlfn.XLOOKUP(A475,Product!A:A,Product!D:D,"Bulunamadı")</f>
        <v>Red Bridge Press</v>
      </c>
      <c r="H474" s="2">
        <f t="array" ref="H474">_xlfn.XLOOKUP(A476,Product!A:A,Product!E:E,"Bulunamadı")</f>
        <v>6.28</v>
      </c>
      <c r="I474" s="2" t="str">
        <f t="shared" si="1"/>
        <v>79318 - Tech - Paranormal</v>
      </c>
      <c r="J474" s="2">
        <f t="shared" si="2"/>
        <v>2694.12</v>
      </c>
      <c r="K474" s="17">
        <f t="shared" si="3"/>
        <v>1</v>
      </c>
      <c r="L474" s="18"/>
    </row>
    <row r="475" hidden="1">
      <c r="A475" s="2">
        <f>IFERROR(__xludf.DUMMYFUNCTION("""COMPUTED_VALUE"""),2203.0)</f>
        <v>2203</v>
      </c>
      <c r="B475" s="2">
        <f>IFERROR(__xludf.DUMMYFUNCTION("""COMPUTED_VALUE"""),1.0)</f>
        <v>1</v>
      </c>
      <c r="C475" s="2">
        <f>IFERROR(__xludf.DUMMYFUNCTION("""COMPUTED_VALUE"""),893.0)</f>
        <v>893</v>
      </c>
      <c r="D475" s="3">
        <f>IFERROR(__xludf.DUMMYFUNCTION("""COMPUTED_VALUE"""),120.0)</f>
        <v>120</v>
      </c>
      <c r="E475" s="1" t="str">
        <f t="array" ref="E475">_xlfn.XLOOKUP(A475,Product!A:A,Product!B:B,"Bulunamadı")</f>
        <v>Tech</v>
      </c>
      <c r="F475" s="1" t="str">
        <f t="array" ref="F475">_xlfn.XLOOKUP(A475,Product!A:A,Product!C:C,"Bulunamadı")</f>
        <v>Paranormal</v>
      </c>
      <c r="G475" s="2" t="str">
        <f t="array" ref="G475">_xlfn.XLOOKUP(A476,Product!A:A,Product!D:D,"Bulunamadı")</f>
        <v>Red Bridge Press</v>
      </c>
      <c r="H475" s="2">
        <f t="array" ref="H475">_xlfn.XLOOKUP(A477,Product!A:A,Product!E:E,"Bulunamadı")</f>
        <v>1.4</v>
      </c>
      <c r="I475" s="2" t="str">
        <f t="shared" si="1"/>
        <v>2203 - Tech - Paranormal</v>
      </c>
      <c r="J475" s="2">
        <f t="shared" si="2"/>
        <v>168</v>
      </c>
      <c r="K475" s="17">
        <f t="shared" si="3"/>
        <v>1</v>
      </c>
      <c r="L475" s="18"/>
    </row>
    <row r="476" hidden="1">
      <c r="A476" s="2">
        <f>IFERROR(__xludf.DUMMYFUNCTION("""COMPUTED_VALUE"""),111727.0)</f>
        <v>111727</v>
      </c>
      <c r="B476" s="2">
        <f>IFERROR(__xludf.DUMMYFUNCTION("""COMPUTED_VALUE"""),0.0)</f>
        <v>0</v>
      </c>
      <c r="C476" s="2">
        <f>IFERROR(__xludf.DUMMYFUNCTION("""COMPUTED_VALUE"""),931.0)</f>
        <v>931</v>
      </c>
      <c r="D476" s="3">
        <f>IFERROR(__xludf.DUMMYFUNCTION("""COMPUTED_VALUE"""),238.0)</f>
        <v>238</v>
      </c>
      <c r="E476" s="1" t="str">
        <f t="array" ref="E476">_xlfn.XLOOKUP(A476,Product!A:A,Product!B:B,"Bulunamadı")</f>
        <v>Tech</v>
      </c>
      <c r="F476" s="1" t="str">
        <f t="array" ref="F476">_xlfn.XLOOKUP(A476,Product!A:A,Product!C:C,"Bulunamadı")</f>
        <v>Paranormal</v>
      </c>
      <c r="G476" s="2" t="str">
        <f t="array" ref="G476">_xlfn.XLOOKUP(A477,Product!A:A,Product!D:D,"Bulunamadı")</f>
        <v>Red Bridge Press</v>
      </c>
      <c r="H476" s="2">
        <f t="array" ref="H476">_xlfn.XLOOKUP(A478,Product!A:A,Product!E:E,"Bulunamadı")</f>
        <v>2.81</v>
      </c>
      <c r="I476" s="2" t="str">
        <f t="shared" si="1"/>
        <v>111727 - Tech - Paranormal</v>
      </c>
      <c r="J476" s="2">
        <f t="shared" si="2"/>
        <v>668.78</v>
      </c>
      <c r="K476" s="17">
        <f t="shared" si="3"/>
        <v>1</v>
      </c>
      <c r="L476" s="18"/>
    </row>
    <row r="477" hidden="1">
      <c r="A477" s="2">
        <f>IFERROR(__xludf.DUMMYFUNCTION("""COMPUTED_VALUE"""),118151.0)</f>
        <v>118151</v>
      </c>
      <c r="B477" s="2">
        <f>IFERROR(__xludf.DUMMYFUNCTION("""COMPUTED_VALUE"""),0.0)</f>
        <v>0</v>
      </c>
      <c r="C477" s="2">
        <f>IFERROR(__xludf.DUMMYFUNCTION("""COMPUTED_VALUE"""),654.0)</f>
        <v>654</v>
      </c>
      <c r="D477" s="3">
        <f>IFERROR(__xludf.DUMMYFUNCTION("""COMPUTED_VALUE"""),84.0)</f>
        <v>84</v>
      </c>
      <c r="E477" s="1" t="str">
        <f t="array" ref="E477">_xlfn.XLOOKUP(A477,Product!A:A,Product!B:B,"Bulunamadı")</f>
        <v>Tech</v>
      </c>
      <c r="F477" s="1" t="str">
        <f t="array" ref="F477">_xlfn.XLOOKUP(A477,Product!A:A,Product!C:C,"Bulunamadı")</f>
        <v>Paranormal</v>
      </c>
      <c r="G477" s="2" t="str">
        <f t="array" ref="G477">_xlfn.XLOOKUP(A478,Product!A:A,Product!D:D,"Bulunamadı")</f>
        <v>Red Bridge Press</v>
      </c>
      <c r="H477" s="2">
        <f t="array" ref="H477">_xlfn.XLOOKUP(A479,Product!A:A,Product!E:E,"Bulunamadı")</f>
        <v>2.29</v>
      </c>
      <c r="I477" s="2" t="str">
        <f t="shared" si="1"/>
        <v>118151 - Tech - Paranormal</v>
      </c>
      <c r="J477" s="2">
        <f t="shared" si="2"/>
        <v>192.36</v>
      </c>
      <c r="K477" s="17">
        <f t="shared" si="3"/>
        <v>1</v>
      </c>
      <c r="L477" s="18"/>
    </row>
    <row r="478" hidden="1">
      <c r="A478" s="2">
        <f>IFERROR(__xludf.DUMMYFUNCTION("""COMPUTED_VALUE"""),108888.0)</f>
        <v>108888</v>
      </c>
      <c r="B478" s="2">
        <f>IFERROR(__xludf.DUMMYFUNCTION("""COMPUTED_VALUE"""),0.0)</f>
        <v>0</v>
      </c>
      <c r="C478" s="2">
        <f>IFERROR(__xludf.DUMMYFUNCTION("""COMPUTED_VALUE"""),833.0)</f>
        <v>833</v>
      </c>
      <c r="D478" s="3">
        <f>IFERROR(__xludf.DUMMYFUNCTION("""COMPUTED_VALUE"""),305.0)</f>
        <v>305</v>
      </c>
      <c r="E478" s="1" t="str">
        <f t="array" ref="E478">_xlfn.XLOOKUP(A478,Product!A:A,Product!B:B,"Bulunamadı")</f>
        <v>Tech</v>
      </c>
      <c r="F478" s="1" t="str">
        <f t="array" ref="F478">_xlfn.XLOOKUP(A478,Product!A:A,Product!C:C,"Bulunamadı")</f>
        <v>Paranormal</v>
      </c>
      <c r="G478" s="2" t="str">
        <f t="array" ref="G478">_xlfn.XLOOKUP(A479,Product!A:A,Product!D:D,"Bulunamadı")</f>
        <v>Red Bridge Press</v>
      </c>
      <c r="H478" s="2">
        <f t="array" ref="H478">_xlfn.XLOOKUP(A480,Product!A:A,Product!E:E,"Bulunamadı")</f>
        <v>2.25</v>
      </c>
      <c r="I478" s="2" t="str">
        <f t="shared" si="1"/>
        <v>108888 - Tech - Paranormal</v>
      </c>
      <c r="J478" s="2">
        <f t="shared" si="2"/>
        <v>686.25</v>
      </c>
      <c r="K478" s="17">
        <f t="shared" si="3"/>
        <v>1</v>
      </c>
      <c r="L478" s="18"/>
    </row>
    <row r="479" hidden="1">
      <c r="A479" s="2">
        <f>IFERROR(__xludf.DUMMYFUNCTION("""COMPUTED_VALUE"""),120465.0)</f>
        <v>120465</v>
      </c>
      <c r="B479" s="2">
        <f>IFERROR(__xludf.DUMMYFUNCTION("""COMPUTED_VALUE"""),0.0)</f>
        <v>0</v>
      </c>
      <c r="C479" s="2">
        <f>IFERROR(__xludf.DUMMYFUNCTION("""COMPUTED_VALUE"""),510.0)</f>
        <v>510</v>
      </c>
      <c r="D479" s="3">
        <f>IFERROR(__xludf.DUMMYFUNCTION("""COMPUTED_VALUE"""),227.0)</f>
        <v>227</v>
      </c>
      <c r="E479" s="1" t="str">
        <f t="array" ref="E479">_xlfn.XLOOKUP(A479,Product!A:A,Product!B:B,"Bulunamadı")</f>
        <v>Tech</v>
      </c>
      <c r="F479" s="1" t="str">
        <f t="array" ref="F479">_xlfn.XLOOKUP(A479,Product!A:A,Product!C:C,"Bulunamadı")</f>
        <v>Paranormal</v>
      </c>
      <c r="G479" s="2" t="str">
        <f t="array" ref="G479">_xlfn.XLOOKUP(A480,Product!A:A,Product!D:D,"Bulunamadı")</f>
        <v>Red Bridge Press</v>
      </c>
      <c r="H479" s="2">
        <f t="array" ref="H479">_xlfn.XLOOKUP(A481,Product!A:A,Product!E:E,"Bulunamadı")</f>
        <v>5.25</v>
      </c>
      <c r="I479" s="2" t="str">
        <f t="shared" si="1"/>
        <v>120465 - Tech - Paranormal</v>
      </c>
      <c r="J479" s="2">
        <f t="shared" si="2"/>
        <v>1191.75</v>
      </c>
      <c r="K479" s="17">
        <f t="shared" si="3"/>
        <v>1</v>
      </c>
      <c r="L479" s="18"/>
    </row>
    <row r="480" hidden="1">
      <c r="A480" s="2">
        <f>IFERROR(__xludf.DUMMYFUNCTION("""COMPUTED_VALUE"""),92561.0)</f>
        <v>92561</v>
      </c>
      <c r="B480" s="2">
        <f>IFERROR(__xludf.DUMMYFUNCTION("""COMPUTED_VALUE"""),1.0)</f>
        <v>1</v>
      </c>
      <c r="C480" s="2">
        <f>IFERROR(__xludf.DUMMYFUNCTION("""COMPUTED_VALUE"""),428.0)</f>
        <v>428</v>
      </c>
      <c r="D480" s="3">
        <f>IFERROR(__xludf.DUMMYFUNCTION("""COMPUTED_VALUE"""),45.0)</f>
        <v>45</v>
      </c>
      <c r="E480" s="1" t="str">
        <f t="array" ref="E480">_xlfn.XLOOKUP(A480,Product!A:A,Product!B:B,"Bulunamadı")</f>
        <v>Tech</v>
      </c>
      <c r="F480" s="1" t="str">
        <f t="array" ref="F480">_xlfn.XLOOKUP(A480,Product!A:A,Product!C:C,"Bulunamadı")</f>
        <v>Paranormal</v>
      </c>
      <c r="G480" s="2" t="str">
        <f t="array" ref="G480">_xlfn.XLOOKUP(A481,Product!A:A,Product!D:D,"Bulunamadı")</f>
        <v>Red Bridge Press</v>
      </c>
      <c r="H480" s="2">
        <f t="array" ref="H480">_xlfn.XLOOKUP(A482,Product!A:A,Product!E:E,"Bulunamadı")</f>
        <v>1.87</v>
      </c>
      <c r="I480" s="2" t="str">
        <f t="shared" si="1"/>
        <v>92561 - Tech - Paranormal</v>
      </c>
      <c r="J480" s="2">
        <f t="shared" si="2"/>
        <v>84.15</v>
      </c>
      <c r="K480" s="17">
        <f t="shared" si="3"/>
        <v>1</v>
      </c>
      <c r="L480" s="18"/>
    </row>
    <row r="481" hidden="1">
      <c r="A481" s="2">
        <f>IFERROR(__xludf.DUMMYFUNCTION("""COMPUTED_VALUE"""),150294.0)</f>
        <v>150294</v>
      </c>
      <c r="B481" s="2">
        <f>IFERROR(__xludf.DUMMYFUNCTION("""COMPUTED_VALUE"""),1.0)</f>
        <v>1</v>
      </c>
      <c r="C481" s="2">
        <f>IFERROR(__xludf.DUMMYFUNCTION("""COMPUTED_VALUE"""),185.0)</f>
        <v>185</v>
      </c>
      <c r="D481" s="3">
        <f>IFERROR(__xludf.DUMMYFUNCTION("""COMPUTED_VALUE"""),146.0)</f>
        <v>146</v>
      </c>
      <c r="E481" s="1" t="str">
        <f t="array" ref="E481">_xlfn.XLOOKUP(A481,Product!A:A,Product!B:B,"Bulunamadı")</f>
        <v>Tech</v>
      </c>
      <c r="F481" s="1" t="str">
        <f t="array" ref="F481">_xlfn.XLOOKUP(A481,Product!A:A,Product!C:C,"Bulunamadı")</f>
        <v>Paranormal</v>
      </c>
      <c r="G481" s="2" t="str">
        <f t="array" ref="G481">_xlfn.XLOOKUP(A482,Product!A:A,Product!D:D,"Bulunamadı")</f>
        <v>Red Bridge Press</v>
      </c>
      <c r="H481" s="2">
        <f t="array" ref="H481">_xlfn.XLOOKUP(A483,Product!A:A,Product!E:E,"Bulunamadı")</f>
        <v>3.32</v>
      </c>
      <c r="I481" s="2" t="str">
        <f t="shared" si="1"/>
        <v>150294 - Tech - Paranormal</v>
      </c>
      <c r="J481" s="2">
        <f t="shared" si="2"/>
        <v>484.72</v>
      </c>
      <c r="K481" s="17">
        <f t="shared" si="3"/>
        <v>1</v>
      </c>
      <c r="L481" s="18"/>
    </row>
    <row r="482" hidden="1">
      <c r="A482" s="2">
        <f>IFERROR(__xludf.DUMMYFUNCTION("""COMPUTED_VALUE"""),108895.0)</f>
        <v>108895</v>
      </c>
      <c r="B482" s="2">
        <f>IFERROR(__xludf.DUMMYFUNCTION("""COMPUTED_VALUE"""),0.0)</f>
        <v>0</v>
      </c>
      <c r="C482" s="2">
        <f>IFERROR(__xludf.DUMMYFUNCTION("""COMPUTED_VALUE"""),538.0)</f>
        <v>538</v>
      </c>
      <c r="D482" s="3">
        <f>IFERROR(__xludf.DUMMYFUNCTION("""COMPUTED_VALUE"""),366.0)</f>
        <v>366</v>
      </c>
      <c r="E482" s="1" t="str">
        <f t="array" ref="E482">_xlfn.XLOOKUP(A482,Product!A:A,Product!B:B,"Bulunamadı")</f>
        <v>Tech</v>
      </c>
      <c r="F482" s="1" t="str">
        <f t="array" ref="F482">_xlfn.XLOOKUP(A482,Product!A:A,Product!C:C,"Bulunamadı")</f>
        <v>Paranormal</v>
      </c>
      <c r="G482" s="2" t="str">
        <f t="array" ref="G482">_xlfn.XLOOKUP(A483,Product!A:A,Product!D:D,"Bulunamadı")</f>
        <v>Red Bridge Press</v>
      </c>
      <c r="H482" s="2">
        <f t="array" ref="H482">_xlfn.XLOOKUP(A484,Product!A:A,Product!E:E,"Bulunamadı")</f>
        <v>2.4</v>
      </c>
      <c r="I482" s="2" t="str">
        <f t="shared" si="1"/>
        <v>108895 - Tech - Paranormal</v>
      </c>
      <c r="J482" s="2">
        <f t="shared" si="2"/>
        <v>878.4</v>
      </c>
      <c r="K482" s="17">
        <f t="shared" si="3"/>
        <v>1</v>
      </c>
      <c r="L482" s="18"/>
    </row>
    <row r="483" hidden="1">
      <c r="A483" s="2">
        <f>IFERROR(__xludf.DUMMYFUNCTION("""COMPUTED_VALUE"""),41666.0)</f>
        <v>41666</v>
      </c>
      <c r="B483" s="2">
        <f>IFERROR(__xludf.DUMMYFUNCTION("""COMPUTED_VALUE"""),0.0)</f>
        <v>0</v>
      </c>
      <c r="C483" s="2">
        <f>IFERROR(__xludf.DUMMYFUNCTION("""COMPUTED_VALUE"""),363.0)</f>
        <v>363</v>
      </c>
      <c r="D483" s="3">
        <f>IFERROR(__xludf.DUMMYFUNCTION("""COMPUTED_VALUE"""),288.0)</f>
        <v>288</v>
      </c>
      <c r="E483" s="1" t="str">
        <f t="array" ref="E483">_xlfn.XLOOKUP(A483,Product!A:A,Product!B:B,"Bulunamadı")</f>
        <v>Tech</v>
      </c>
      <c r="F483" s="1" t="str">
        <f t="array" ref="F483">_xlfn.XLOOKUP(A483,Product!A:A,Product!C:C,"Bulunamadı")</f>
        <v>Paranormal</v>
      </c>
      <c r="G483" s="2" t="str">
        <f t="array" ref="G483">_xlfn.XLOOKUP(A484,Product!A:A,Product!D:D,"Bulunamadı")</f>
        <v>Red Bridge Press</v>
      </c>
      <c r="H483" s="2">
        <f t="array" ref="H483">_xlfn.XLOOKUP(A485,Product!A:A,Product!E:E,"Bulunamadı")</f>
        <v>3.7</v>
      </c>
      <c r="I483" s="2" t="str">
        <f t="shared" si="1"/>
        <v>41666 - Tech - Paranormal</v>
      </c>
      <c r="J483" s="2">
        <f t="shared" si="2"/>
        <v>1065.6</v>
      </c>
      <c r="K483" s="17">
        <f t="shared" si="3"/>
        <v>1</v>
      </c>
      <c r="L483" s="18"/>
    </row>
    <row r="484" hidden="1">
      <c r="A484" s="2">
        <f>IFERROR(__xludf.DUMMYFUNCTION("""COMPUTED_VALUE"""),41816.0)</f>
        <v>41816</v>
      </c>
      <c r="B484" s="2">
        <f>IFERROR(__xludf.DUMMYFUNCTION("""COMPUTED_VALUE"""),1.0)</f>
        <v>1</v>
      </c>
      <c r="C484" s="2">
        <f>IFERROR(__xludf.DUMMYFUNCTION("""COMPUTED_VALUE"""),143.0)</f>
        <v>143</v>
      </c>
      <c r="D484" s="3">
        <f>IFERROR(__xludf.DUMMYFUNCTION("""COMPUTED_VALUE"""),140.0)</f>
        <v>140</v>
      </c>
      <c r="E484" s="1" t="str">
        <f t="array" ref="E484">_xlfn.XLOOKUP(A484,Product!A:A,Product!B:B,"Bulunamadı")</f>
        <v>Tech</v>
      </c>
      <c r="F484" s="1" t="str">
        <f t="array" ref="F484">_xlfn.XLOOKUP(A484,Product!A:A,Product!C:C,"Bulunamadı")</f>
        <v>Paranormal</v>
      </c>
      <c r="G484" s="2" t="str">
        <f t="array" ref="G484">_xlfn.XLOOKUP(A485,Product!A:A,Product!D:D,"Bulunamadı")</f>
        <v>Red Bridge Press</v>
      </c>
      <c r="H484" s="2">
        <f t="array" ref="H484">_xlfn.XLOOKUP(A486,Product!A:A,Product!E:E,"Bulunamadı")</f>
        <v>1.1</v>
      </c>
      <c r="I484" s="2" t="str">
        <f t="shared" si="1"/>
        <v>41816 - Tech - Paranormal</v>
      </c>
      <c r="J484" s="2">
        <f t="shared" si="2"/>
        <v>154</v>
      </c>
      <c r="K484" s="17">
        <f t="shared" si="3"/>
        <v>1</v>
      </c>
      <c r="L484" s="18"/>
    </row>
    <row r="485" hidden="1">
      <c r="A485" s="2">
        <f>IFERROR(__xludf.DUMMYFUNCTION("""COMPUTED_VALUE"""),99779.0)</f>
        <v>99779</v>
      </c>
      <c r="B485" s="2">
        <f>IFERROR(__xludf.DUMMYFUNCTION("""COMPUTED_VALUE"""),1.0)</f>
        <v>1</v>
      </c>
      <c r="C485" s="2">
        <f>IFERROR(__xludf.DUMMYFUNCTION("""COMPUTED_VALUE"""),950.0)</f>
        <v>950</v>
      </c>
      <c r="D485" s="3">
        <f>IFERROR(__xludf.DUMMYFUNCTION("""COMPUTED_VALUE"""),437.0)</f>
        <v>437</v>
      </c>
      <c r="E485" s="1" t="str">
        <f t="array" ref="E485">_xlfn.XLOOKUP(A485,Product!A:A,Product!B:B,"Bulunamadı")</f>
        <v>Tech</v>
      </c>
      <c r="F485" s="1" t="str">
        <f t="array" ref="F485">_xlfn.XLOOKUP(A485,Product!A:A,Product!C:C,"Bulunamadı")</f>
        <v>Paranormal</v>
      </c>
      <c r="G485" s="2" t="str">
        <f t="array" ref="G485">_xlfn.XLOOKUP(A486,Product!A:A,Product!D:D,"Bulunamadı")</f>
        <v>Red Bridge Press</v>
      </c>
      <c r="H485" s="2">
        <f t="array" ref="H485">_xlfn.XLOOKUP(A487,Product!A:A,Product!E:E,"Bulunamadı")</f>
        <v>2.9</v>
      </c>
      <c r="I485" s="2" t="str">
        <f t="shared" si="1"/>
        <v>99779 - Tech - Paranormal</v>
      </c>
      <c r="J485" s="2">
        <f t="shared" si="2"/>
        <v>1267.3</v>
      </c>
      <c r="K485" s="17">
        <f t="shared" si="3"/>
        <v>1</v>
      </c>
      <c r="L485" s="18"/>
    </row>
    <row r="486" hidden="1">
      <c r="A486" s="2">
        <f>IFERROR(__xludf.DUMMYFUNCTION("""COMPUTED_VALUE"""),111716.0)</f>
        <v>111716</v>
      </c>
      <c r="B486" s="2">
        <f>IFERROR(__xludf.DUMMYFUNCTION("""COMPUTED_VALUE"""),0.0)</f>
        <v>0</v>
      </c>
      <c r="C486" s="2">
        <f>IFERROR(__xludf.DUMMYFUNCTION("""COMPUTED_VALUE"""),940.0)</f>
        <v>940</v>
      </c>
      <c r="D486" s="3">
        <f>IFERROR(__xludf.DUMMYFUNCTION("""COMPUTED_VALUE"""),696.0)</f>
        <v>696</v>
      </c>
      <c r="E486" s="1" t="str">
        <f t="array" ref="E486">_xlfn.XLOOKUP(A486,Product!A:A,Product!B:B,"Bulunamadı")</f>
        <v>Tech</v>
      </c>
      <c r="F486" s="1" t="str">
        <f t="array" ref="F486">_xlfn.XLOOKUP(A486,Product!A:A,Product!C:C,"Bulunamadı")</f>
        <v>Paranormal</v>
      </c>
      <c r="G486" s="2" t="str">
        <f t="array" ref="G486">_xlfn.XLOOKUP(A487,Product!A:A,Product!D:D,"Bulunamadı")</f>
        <v>Red Bridge Press</v>
      </c>
      <c r="H486" s="2">
        <f t="array" ref="H486">_xlfn.XLOOKUP(A488,Product!A:A,Product!E:E,"Bulunamadı")</f>
        <v>2.02</v>
      </c>
      <c r="I486" s="2" t="str">
        <f t="shared" si="1"/>
        <v>111716 - Tech - Paranormal</v>
      </c>
      <c r="J486" s="2">
        <f t="shared" si="2"/>
        <v>1405.92</v>
      </c>
      <c r="K486" s="17">
        <f t="shared" si="3"/>
        <v>1</v>
      </c>
      <c r="L486" s="18"/>
    </row>
    <row r="487" hidden="1">
      <c r="A487" s="2">
        <f>IFERROR(__xludf.DUMMYFUNCTION("""COMPUTED_VALUE"""),96443.0)</f>
        <v>96443</v>
      </c>
      <c r="B487" s="2">
        <f>IFERROR(__xludf.DUMMYFUNCTION("""COMPUTED_VALUE"""),1.0)</f>
        <v>1</v>
      </c>
      <c r="C487" s="2">
        <f>IFERROR(__xludf.DUMMYFUNCTION("""COMPUTED_VALUE"""),134.0)</f>
        <v>134</v>
      </c>
      <c r="D487" s="3">
        <f>IFERROR(__xludf.DUMMYFUNCTION("""COMPUTED_VALUE"""),63.0)</f>
        <v>63</v>
      </c>
      <c r="E487" s="1" t="str">
        <f t="array" ref="E487">_xlfn.XLOOKUP(A487,Product!A:A,Product!B:B,"Bulunamadı")</f>
        <v>Tech</v>
      </c>
      <c r="F487" s="1" t="str">
        <f t="array" ref="F487">_xlfn.XLOOKUP(A487,Product!A:A,Product!C:C,"Bulunamadı")</f>
        <v>Paranormal</v>
      </c>
      <c r="G487" s="2" t="str">
        <f t="array" ref="G487">_xlfn.XLOOKUP(A488,Product!A:A,Product!D:D,"Bulunamadı")</f>
        <v>Red Bridge Press</v>
      </c>
      <c r="H487" s="2">
        <f t="array" ref="H487">_xlfn.XLOOKUP(A489,Product!A:A,Product!E:E,"Bulunamadı")</f>
        <v>3.49</v>
      </c>
      <c r="I487" s="2" t="str">
        <f t="shared" si="1"/>
        <v>96443 - Tech - Paranormal</v>
      </c>
      <c r="J487" s="2">
        <f t="shared" si="2"/>
        <v>219.87</v>
      </c>
      <c r="K487" s="17">
        <f t="shared" si="3"/>
        <v>1</v>
      </c>
      <c r="L487" s="18"/>
    </row>
    <row r="488" hidden="1">
      <c r="A488" s="2">
        <f>IFERROR(__xludf.DUMMYFUNCTION("""COMPUTED_VALUE"""),193187.0)</f>
        <v>193187</v>
      </c>
      <c r="B488" s="2">
        <f>IFERROR(__xludf.DUMMYFUNCTION("""COMPUTED_VALUE"""),1.0)</f>
        <v>1</v>
      </c>
      <c r="C488" s="2">
        <f>IFERROR(__xludf.DUMMYFUNCTION("""COMPUTED_VALUE"""),442.0)</f>
        <v>442</v>
      </c>
      <c r="D488" s="3">
        <f>IFERROR(__xludf.DUMMYFUNCTION("""COMPUTED_VALUE"""),359.0)</f>
        <v>359</v>
      </c>
      <c r="E488" s="1" t="str">
        <f t="array" ref="E488">_xlfn.XLOOKUP(A488,Product!A:A,Product!B:B,"Bulunamadı")</f>
        <v>Tech</v>
      </c>
      <c r="F488" s="1" t="str">
        <f t="array" ref="F488">_xlfn.XLOOKUP(A488,Product!A:A,Product!C:C,"Bulunamadı")</f>
        <v>Paranormal</v>
      </c>
      <c r="G488" s="2" t="str">
        <f t="array" ref="G488">_xlfn.XLOOKUP(A489,Product!A:A,Product!D:D,"Bulunamadı")</f>
        <v>Red Bridge Press</v>
      </c>
      <c r="H488" s="2">
        <f t="array" ref="H488">_xlfn.XLOOKUP(A490,Product!A:A,Product!E:E,"Bulunamadı")</f>
        <v>3.72</v>
      </c>
      <c r="I488" s="2" t="str">
        <f t="shared" si="1"/>
        <v>193187 - Tech - Paranormal</v>
      </c>
      <c r="J488" s="2">
        <f t="shared" si="2"/>
        <v>1335.48</v>
      </c>
      <c r="K488" s="17">
        <f t="shared" si="3"/>
        <v>1</v>
      </c>
      <c r="L488" s="18"/>
    </row>
    <row r="489" hidden="1">
      <c r="A489" s="2">
        <f>IFERROR(__xludf.DUMMYFUNCTION("""COMPUTED_VALUE"""),96068.0)</f>
        <v>96068</v>
      </c>
      <c r="B489" s="2">
        <f>IFERROR(__xludf.DUMMYFUNCTION("""COMPUTED_VALUE"""),0.0)</f>
        <v>0</v>
      </c>
      <c r="C489" s="2">
        <f>IFERROR(__xludf.DUMMYFUNCTION("""COMPUTED_VALUE"""),74.0)</f>
        <v>74</v>
      </c>
      <c r="D489" s="3">
        <f>IFERROR(__xludf.DUMMYFUNCTION("""COMPUTED_VALUE"""),14.0)</f>
        <v>14</v>
      </c>
      <c r="E489" s="1" t="str">
        <f t="array" ref="E489">_xlfn.XLOOKUP(A489,Product!A:A,Product!B:B,"Bulunamadı")</f>
        <v>Tech</v>
      </c>
      <c r="F489" s="1" t="str">
        <f t="array" ref="F489">_xlfn.XLOOKUP(A489,Product!A:A,Product!C:C,"Bulunamadı")</f>
        <v>Paranormal</v>
      </c>
      <c r="G489" s="2" t="str">
        <f t="array" ref="G489">_xlfn.XLOOKUP(A490,Product!A:A,Product!D:D,"Bulunamadı")</f>
        <v>Red Bridge Press</v>
      </c>
      <c r="H489" s="2">
        <f t="array" ref="H489">_xlfn.XLOOKUP(A491,Product!A:A,Product!E:E,"Bulunamadı")</f>
        <v>2.34</v>
      </c>
      <c r="I489" s="2" t="str">
        <f t="shared" si="1"/>
        <v>96068 - Tech - Paranormal</v>
      </c>
      <c r="J489" s="2">
        <f t="shared" si="2"/>
        <v>32.76</v>
      </c>
      <c r="K489" s="17">
        <f t="shared" si="3"/>
        <v>1</v>
      </c>
      <c r="L489" s="18"/>
    </row>
    <row r="490" hidden="1">
      <c r="A490" s="2">
        <f>IFERROR(__xludf.DUMMYFUNCTION("""COMPUTED_VALUE"""),3227.0)</f>
        <v>3227</v>
      </c>
      <c r="B490" s="2">
        <f>IFERROR(__xludf.DUMMYFUNCTION("""COMPUTED_VALUE"""),1.0)</f>
        <v>1</v>
      </c>
      <c r="C490" s="2">
        <f>IFERROR(__xludf.DUMMYFUNCTION("""COMPUTED_VALUE"""),697.0)</f>
        <v>697</v>
      </c>
      <c r="D490" s="3">
        <f>IFERROR(__xludf.DUMMYFUNCTION("""COMPUTED_VALUE"""),610.0)</f>
        <v>610</v>
      </c>
      <c r="E490" s="1" t="str">
        <f t="array" ref="E490">_xlfn.XLOOKUP(A490,Product!A:A,Product!B:B,"Bulunamadı")</f>
        <v>Tech</v>
      </c>
      <c r="F490" s="1" t="str">
        <f t="array" ref="F490">_xlfn.XLOOKUP(A490,Product!A:A,Product!C:C,"Bulunamadı")</f>
        <v>Paranormal</v>
      </c>
      <c r="G490" s="2" t="str">
        <f t="array" ref="G490">_xlfn.XLOOKUP(A491,Product!A:A,Product!D:D,"Bulunamadı")</f>
        <v>Red Bridge Press</v>
      </c>
      <c r="H490" s="2">
        <f t="array" ref="H490">_xlfn.XLOOKUP(A492,Product!A:A,Product!E:E,"Bulunamadı")</f>
        <v>3.49</v>
      </c>
      <c r="I490" s="2" t="str">
        <f t="shared" si="1"/>
        <v>3227 - Tech - Paranormal</v>
      </c>
      <c r="J490" s="2">
        <f t="shared" si="2"/>
        <v>2128.9</v>
      </c>
      <c r="K490" s="17">
        <f t="shared" si="3"/>
        <v>1</v>
      </c>
      <c r="L490" s="18"/>
    </row>
    <row r="491" hidden="1">
      <c r="A491" s="2">
        <f>IFERROR(__xludf.DUMMYFUNCTION("""COMPUTED_VALUE"""),193183.0)</f>
        <v>193183</v>
      </c>
      <c r="B491" s="2">
        <f>IFERROR(__xludf.DUMMYFUNCTION("""COMPUTED_VALUE"""),0.0)</f>
        <v>0</v>
      </c>
      <c r="C491" s="2">
        <f>IFERROR(__xludf.DUMMYFUNCTION("""COMPUTED_VALUE"""),618.0)</f>
        <v>618</v>
      </c>
      <c r="D491" s="3">
        <f>IFERROR(__xludf.DUMMYFUNCTION("""COMPUTED_VALUE"""),353.0)</f>
        <v>353</v>
      </c>
      <c r="E491" s="1" t="str">
        <f t="array" ref="E491">_xlfn.XLOOKUP(A491,Product!A:A,Product!B:B,"Bulunamadı")</f>
        <v>Tech</v>
      </c>
      <c r="F491" s="1" t="str">
        <f t="array" ref="F491">_xlfn.XLOOKUP(A491,Product!A:A,Product!C:C,"Bulunamadı")</f>
        <v>Paranormal</v>
      </c>
      <c r="G491" s="2" t="str">
        <f t="array" ref="G491">_xlfn.XLOOKUP(A492,Product!A:A,Product!D:D,"Bulunamadı")</f>
        <v>Red Bridge Press</v>
      </c>
      <c r="H491" s="2">
        <f t="array" ref="H491">_xlfn.XLOOKUP(A493,Product!A:A,Product!E:E,"Bulunamadı")</f>
        <v>9.12</v>
      </c>
      <c r="I491" s="2" t="str">
        <f t="shared" si="1"/>
        <v>193183 - Tech - Paranormal</v>
      </c>
      <c r="J491" s="2">
        <f t="shared" si="2"/>
        <v>3219.36</v>
      </c>
      <c r="K491" s="17">
        <f t="shared" si="3"/>
        <v>1</v>
      </c>
      <c r="L491" s="18"/>
    </row>
    <row r="492" hidden="1">
      <c r="A492" s="2">
        <f>IFERROR(__xludf.DUMMYFUNCTION("""COMPUTED_VALUE"""),120945.0)</f>
        <v>120945</v>
      </c>
      <c r="B492" s="2">
        <f>IFERROR(__xludf.DUMMYFUNCTION("""COMPUTED_VALUE"""),0.0)</f>
        <v>0</v>
      </c>
      <c r="C492" s="2">
        <f>IFERROR(__xludf.DUMMYFUNCTION("""COMPUTED_VALUE"""),646.0)</f>
        <v>646</v>
      </c>
      <c r="D492" s="3">
        <f>IFERROR(__xludf.DUMMYFUNCTION("""COMPUTED_VALUE"""),335.0)</f>
        <v>335</v>
      </c>
      <c r="E492" s="1" t="str">
        <f t="array" ref="E492">_xlfn.XLOOKUP(A492,Product!A:A,Product!B:B,"Bulunamadı")</f>
        <v>Tech</v>
      </c>
      <c r="F492" s="1" t="str">
        <f t="array" ref="F492">_xlfn.XLOOKUP(A492,Product!A:A,Product!C:C,"Bulunamadı")</f>
        <v>Paranormal</v>
      </c>
      <c r="G492" s="2" t="str">
        <f t="array" ref="G492">_xlfn.XLOOKUP(A493,Product!A:A,Product!D:D,"Bulunamadı")</f>
        <v>Highland Peak Publishing</v>
      </c>
      <c r="H492" s="2">
        <f t="array" ref="H492">_xlfn.XLOOKUP(A494,Product!A:A,Product!E:E,"Bulunamadı")</f>
        <v>9.53</v>
      </c>
      <c r="I492" s="2" t="str">
        <f t="shared" si="1"/>
        <v>120945 - Tech - Paranormal</v>
      </c>
      <c r="J492" s="2">
        <f t="shared" si="2"/>
        <v>3192.55</v>
      </c>
      <c r="K492" s="17">
        <f t="shared" si="3"/>
        <v>1</v>
      </c>
      <c r="L492" s="18"/>
    </row>
    <row r="493" hidden="1">
      <c r="A493" s="2">
        <f>IFERROR(__xludf.DUMMYFUNCTION("""COMPUTED_VALUE"""),110940.0)</f>
        <v>110940</v>
      </c>
      <c r="B493" s="2">
        <f>IFERROR(__xludf.DUMMYFUNCTION("""COMPUTED_VALUE"""),0.0)</f>
        <v>0</v>
      </c>
      <c r="C493" s="2">
        <f>IFERROR(__xludf.DUMMYFUNCTION("""COMPUTED_VALUE"""),2.0)</f>
        <v>2</v>
      </c>
      <c r="D493" s="3">
        <f>IFERROR(__xludf.DUMMYFUNCTION("""COMPUTED_VALUE"""),1.0)</f>
        <v>1</v>
      </c>
      <c r="E493" s="1" t="str">
        <f t="array" ref="E493">_xlfn.XLOOKUP(A493,Product!A:A,Product!B:B,"Bulunamadı")</f>
        <v>Tech</v>
      </c>
      <c r="F493" s="1" t="str">
        <f t="array" ref="F493">_xlfn.XLOOKUP(A493,Product!A:A,Product!C:C,"Bulunamadı")</f>
        <v>Paranormal</v>
      </c>
      <c r="G493" s="2" t="str">
        <f t="array" ref="G493">_xlfn.XLOOKUP(A494,Product!A:A,Product!D:D,"Bulunamadı")</f>
        <v>Highland Peak Publishing</v>
      </c>
      <c r="H493" s="2">
        <f t="array" ref="H493">_xlfn.XLOOKUP(A495,Product!A:A,Product!E:E,"Bulunamadı")</f>
        <v>11.77</v>
      </c>
      <c r="I493" s="2" t="str">
        <f t="shared" si="1"/>
        <v>110940 - Tech - Paranormal</v>
      </c>
      <c r="J493" s="2">
        <f t="shared" si="2"/>
        <v>11.77</v>
      </c>
      <c r="K493" s="17">
        <f t="shared" si="3"/>
        <v>1</v>
      </c>
      <c r="L493" s="18"/>
    </row>
    <row r="494" hidden="1">
      <c r="A494" s="2">
        <f>IFERROR(__xludf.DUMMYFUNCTION("""COMPUTED_VALUE"""),110942.0)</f>
        <v>110942</v>
      </c>
      <c r="B494" s="2">
        <f>IFERROR(__xludf.DUMMYFUNCTION("""COMPUTED_VALUE"""),0.0)</f>
        <v>0</v>
      </c>
      <c r="C494" s="2">
        <f>IFERROR(__xludf.DUMMYFUNCTION("""COMPUTED_VALUE"""),308.0)</f>
        <v>308</v>
      </c>
      <c r="D494" s="3">
        <f>IFERROR(__xludf.DUMMYFUNCTION("""COMPUTED_VALUE"""),276.0)</f>
        <v>276</v>
      </c>
      <c r="E494" s="1" t="str">
        <f t="array" ref="E494">_xlfn.XLOOKUP(A494,Product!A:A,Product!B:B,"Bulunamadı")</f>
        <v>Tech</v>
      </c>
      <c r="F494" s="1" t="str">
        <f t="array" ref="F494">_xlfn.XLOOKUP(A494,Product!A:A,Product!C:C,"Bulunamadı")</f>
        <v>Paranormal</v>
      </c>
      <c r="G494" s="2" t="str">
        <f t="array" ref="G494">_xlfn.XLOOKUP(A495,Product!A:A,Product!D:D,"Bulunamadı")</f>
        <v>Highland Peak Publishing</v>
      </c>
      <c r="H494" s="2">
        <f t="array" ref="H494">_xlfn.XLOOKUP(A496,Product!A:A,Product!E:E,"Bulunamadı")</f>
        <v>11.6</v>
      </c>
      <c r="I494" s="2" t="str">
        <f t="shared" si="1"/>
        <v>110942 - Tech - Paranormal</v>
      </c>
      <c r="J494" s="2">
        <f t="shared" si="2"/>
        <v>3201.6</v>
      </c>
      <c r="K494" s="17">
        <f t="shared" si="3"/>
        <v>1</v>
      </c>
      <c r="L494" s="18"/>
    </row>
    <row r="495" hidden="1">
      <c r="A495" s="2">
        <f>IFERROR(__xludf.DUMMYFUNCTION("""COMPUTED_VALUE"""),142301.0)</f>
        <v>142301</v>
      </c>
      <c r="B495" s="2">
        <f>IFERROR(__xludf.DUMMYFUNCTION("""COMPUTED_VALUE"""),1.0)</f>
        <v>1</v>
      </c>
      <c r="C495" s="2">
        <f>IFERROR(__xludf.DUMMYFUNCTION("""COMPUTED_VALUE"""),876.0)</f>
        <v>876</v>
      </c>
      <c r="D495" s="3">
        <f>IFERROR(__xludf.DUMMYFUNCTION("""COMPUTED_VALUE"""),200.0)</f>
        <v>200</v>
      </c>
      <c r="E495" s="1" t="str">
        <f t="array" ref="E495">_xlfn.XLOOKUP(A495,Product!A:A,Product!B:B,"Bulunamadı")</f>
        <v>Tech</v>
      </c>
      <c r="F495" s="1" t="str">
        <f t="array" ref="F495">_xlfn.XLOOKUP(A495,Product!A:A,Product!C:C,"Bulunamadı")</f>
        <v>Paranormal</v>
      </c>
      <c r="G495" s="2" t="str">
        <f t="array" ref="G495">_xlfn.XLOOKUP(A496,Product!A:A,Product!D:D,"Bulunamadı")</f>
        <v>Silver Ridge Books</v>
      </c>
      <c r="H495" s="2">
        <f t="array" ref="H495">_xlfn.XLOOKUP(A497,Product!A:A,Product!E:E,"Bulunamadı")</f>
        <v>3.72</v>
      </c>
      <c r="I495" s="2" t="str">
        <f t="shared" si="1"/>
        <v>142301 - Tech - Paranormal</v>
      </c>
      <c r="J495" s="2">
        <f t="shared" si="2"/>
        <v>744</v>
      </c>
      <c r="K495" s="17">
        <f t="shared" si="3"/>
        <v>1</v>
      </c>
      <c r="L495" s="18"/>
    </row>
    <row r="496" hidden="1">
      <c r="A496" s="2">
        <f>IFERROR(__xludf.DUMMYFUNCTION("""COMPUTED_VALUE"""),109760.0)</f>
        <v>109760</v>
      </c>
      <c r="B496" s="2">
        <f>IFERROR(__xludf.DUMMYFUNCTION("""COMPUTED_VALUE"""),0.0)</f>
        <v>0</v>
      </c>
      <c r="C496" s="2">
        <f>IFERROR(__xludf.DUMMYFUNCTION("""COMPUTED_VALUE"""),271.0)</f>
        <v>271</v>
      </c>
      <c r="D496" s="3">
        <f>IFERROR(__xludf.DUMMYFUNCTION("""COMPUTED_VALUE"""),30.0)</f>
        <v>30</v>
      </c>
      <c r="E496" s="1" t="str">
        <f t="array" ref="E496">_xlfn.XLOOKUP(A496,Product!A:A,Product!B:B,"Bulunamadı")</f>
        <v>Tech</v>
      </c>
      <c r="F496" s="1" t="str">
        <f t="array" ref="F496">_xlfn.XLOOKUP(A496,Product!A:A,Product!C:C,"Bulunamadı")</f>
        <v>Paranormal</v>
      </c>
      <c r="G496" s="2" t="str">
        <f t="array" ref="G496">_xlfn.XLOOKUP(A497,Product!A:A,Product!D:D,"Bulunamadı")</f>
        <v>Silver Ridge Books</v>
      </c>
      <c r="H496" s="2">
        <f t="array" ref="H496">_xlfn.XLOOKUP(A498,Product!A:A,Product!E:E,"Bulunamadı")</f>
        <v>12.19</v>
      </c>
      <c r="I496" s="2" t="str">
        <f t="shared" si="1"/>
        <v>109760 - Tech - Paranormal</v>
      </c>
      <c r="J496" s="2">
        <f t="shared" si="2"/>
        <v>365.7</v>
      </c>
      <c r="K496" s="17">
        <f t="shared" si="3"/>
        <v>1</v>
      </c>
      <c r="L496" s="18"/>
    </row>
    <row r="497" hidden="1">
      <c r="A497" s="2">
        <f>IFERROR(__xludf.DUMMYFUNCTION("""COMPUTED_VALUE"""),100392.0)</f>
        <v>100392</v>
      </c>
      <c r="B497" s="2">
        <f>IFERROR(__xludf.DUMMYFUNCTION("""COMPUTED_VALUE"""),0.0)</f>
        <v>0</v>
      </c>
      <c r="C497" s="2">
        <f>IFERROR(__xludf.DUMMYFUNCTION("""COMPUTED_VALUE"""),290.0)</f>
        <v>290</v>
      </c>
      <c r="D497" s="3">
        <f>IFERROR(__xludf.DUMMYFUNCTION("""COMPUTED_VALUE"""),209.0)</f>
        <v>209</v>
      </c>
      <c r="E497" s="1" t="str">
        <f t="array" ref="E497">_xlfn.XLOOKUP(A497,Product!A:A,Product!B:B,"Bulunamadı")</f>
        <v>Tech</v>
      </c>
      <c r="F497" s="1" t="str">
        <f t="array" ref="F497">_xlfn.XLOOKUP(A497,Product!A:A,Product!C:C,"Bulunamadı")</f>
        <v>Paranormal</v>
      </c>
      <c r="G497" s="2" t="str">
        <f t="array" ref="G497">_xlfn.XLOOKUP(A498,Product!A:A,Product!D:D,"Bulunamadı")</f>
        <v>Silver Ridge Books</v>
      </c>
      <c r="H497" s="2">
        <f t="array" ref="H497">_xlfn.XLOOKUP(A499,Product!A:A,Product!E:E,"Bulunamadı")</f>
        <v>2.48</v>
      </c>
      <c r="I497" s="2" t="str">
        <f t="shared" si="1"/>
        <v>100392 - Tech - Paranormal</v>
      </c>
      <c r="J497" s="2">
        <f t="shared" si="2"/>
        <v>518.32</v>
      </c>
      <c r="K497" s="17">
        <f t="shared" si="3"/>
        <v>1</v>
      </c>
      <c r="L497" s="18"/>
    </row>
    <row r="498" hidden="1">
      <c r="A498" s="2">
        <f>IFERROR(__xludf.DUMMYFUNCTION("""COMPUTED_VALUE"""),109763.0)</f>
        <v>109763</v>
      </c>
      <c r="B498" s="2">
        <f>IFERROR(__xludf.DUMMYFUNCTION("""COMPUTED_VALUE"""),1.0)</f>
        <v>1</v>
      </c>
      <c r="C498" s="2">
        <f>IFERROR(__xludf.DUMMYFUNCTION("""COMPUTED_VALUE"""),428.0)</f>
        <v>428</v>
      </c>
      <c r="D498" s="3">
        <f>IFERROR(__xludf.DUMMYFUNCTION("""COMPUTED_VALUE"""),184.0)</f>
        <v>184</v>
      </c>
      <c r="E498" s="1" t="str">
        <f t="array" ref="E498">_xlfn.XLOOKUP(A498,Product!A:A,Product!B:B,"Bulunamadı")</f>
        <v>Tech</v>
      </c>
      <c r="F498" s="1" t="str">
        <f t="array" ref="F498">_xlfn.XLOOKUP(A498,Product!A:A,Product!C:C,"Bulunamadı")</f>
        <v>Paranormal</v>
      </c>
      <c r="G498" s="2" t="str">
        <f t="array" ref="G498">_xlfn.XLOOKUP(A499,Product!A:A,Product!D:D,"Bulunamadı")</f>
        <v>Silver Ridge Books</v>
      </c>
      <c r="H498" s="2">
        <f t="array" ref="H498">_xlfn.XLOOKUP(A500,Product!A:A,Product!E:E,"Bulunamadı")</f>
        <v>1.85</v>
      </c>
      <c r="I498" s="2" t="str">
        <f t="shared" si="1"/>
        <v>109763 - Tech - Paranormal</v>
      </c>
      <c r="J498" s="2">
        <f t="shared" si="2"/>
        <v>340.4</v>
      </c>
      <c r="K498" s="17">
        <f t="shared" si="3"/>
        <v>1</v>
      </c>
      <c r="L498" s="18"/>
    </row>
    <row r="499" hidden="1">
      <c r="A499" s="2">
        <f>IFERROR(__xludf.DUMMYFUNCTION("""COMPUTED_VALUE"""),7271.0)</f>
        <v>7271</v>
      </c>
      <c r="B499" s="2">
        <f>IFERROR(__xludf.DUMMYFUNCTION("""COMPUTED_VALUE"""),1.0)</f>
        <v>1</v>
      </c>
      <c r="C499" s="2">
        <f>IFERROR(__xludf.DUMMYFUNCTION("""COMPUTED_VALUE"""),437.0)</f>
        <v>437</v>
      </c>
      <c r="D499" s="3">
        <f>IFERROR(__xludf.DUMMYFUNCTION("""COMPUTED_VALUE"""),424.0)</f>
        <v>424</v>
      </c>
      <c r="E499" s="1" t="str">
        <f t="array" ref="E499">_xlfn.XLOOKUP(A499,Product!A:A,Product!B:B,"Bulunamadı")</f>
        <v>Tech</v>
      </c>
      <c r="F499" s="1" t="str">
        <f t="array" ref="F499">_xlfn.XLOOKUP(A499,Product!A:A,Product!C:C,"Bulunamadı")</f>
        <v>Paranormal</v>
      </c>
      <c r="G499" s="2" t="str">
        <f t="array" ref="G499">_xlfn.XLOOKUP(A500,Product!A:A,Product!D:D,"Bulunamadı")</f>
        <v>Silver Ridge Books</v>
      </c>
      <c r="H499" s="2">
        <f t="array" ref="H499">_xlfn.XLOOKUP(A501,Product!A:A,Product!E:E,"Bulunamadı")</f>
        <v>2.61</v>
      </c>
      <c r="I499" s="2" t="str">
        <f t="shared" si="1"/>
        <v>7271 - Tech - Paranormal</v>
      </c>
      <c r="J499" s="2">
        <f t="shared" si="2"/>
        <v>1106.64</v>
      </c>
      <c r="K499" s="17">
        <f t="shared" si="3"/>
        <v>1</v>
      </c>
      <c r="L499" s="18"/>
    </row>
    <row r="500" hidden="1">
      <c r="A500" s="2">
        <f>IFERROR(__xludf.DUMMYFUNCTION("""COMPUTED_VALUE"""),7267.0)</f>
        <v>7267</v>
      </c>
      <c r="B500" s="2">
        <f>IFERROR(__xludf.DUMMYFUNCTION("""COMPUTED_VALUE"""),1.0)</f>
        <v>1</v>
      </c>
      <c r="C500" s="2">
        <f>IFERROR(__xludf.DUMMYFUNCTION("""COMPUTED_VALUE"""),946.0)</f>
        <v>946</v>
      </c>
      <c r="D500" s="3">
        <f>IFERROR(__xludf.DUMMYFUNCTION("""COMPUTED_VALUE"""),425.0)</f>
        <v>425</v>
      </c>
      <c r="E500" s="1" t="str">
        <f t="array" ref="E500">_xlfn.XLOOKUP(A500,Product!A:A,Product!B:B,"Bulunamadı")</f>
        <v>Tech</v>
      </c>
      <c r="F500" s="1" t="str">
        <f t="array" ref="F500">_xlfn.XLOOKUP(A500,Product!A:A,Product!C:C,"Bulunamadı")</f>
        <v>Paranormal</v>
      </c>
      <c r="G500" s="2" t="str">
        <f t="array" ref="G500">_xlfn.XLOOKUP(A501,Product!A:A,Product!D:D,"Bulunamadı")</f>
        <v>Silver Ridge Books</v>
      </c>
      <c r="H500" s="2">
        <f t="array" ref="H500">_xlfn.XLOOKUP(A502,Product!A:A,Product!E:E,"Bulunamadı")</f>
        <v>2.33</v>
      </c>
      <c r="I500" s="2" t="str">
        <f t="shared" si="1"/>
        <v>7267 - Tech - Paranormal</v>
      </c>
      <c r="J500" s="2">
        <f t="shared" si="2"/>
        <v>990.25</v>
      </c>
      <c r="K500" s="17">
        <f t="shared" si="3"/>
        <v>1</v>
      </c>
      <c r="L500" s="18"/>
    </row>
    <row r="501" hidden="1">
      <c r="A501" s="2">
        <f>IFERROR(__xludf.DUMMYFUNCTION("""COMPUTED_VALUE"""),128412.0)</f>
        <v>128412</v>
      </c>
      <c r="B501" s="2">
        <f>IFERROR(__xludf.DUMMYFUNCTION("""COMPUTED_VALUE"""),1.0)</f>
        <v>1</v>
      </c>
      <c r="C501" s="2">
        <f>IFERROR(__xludf.DUMMYFUNCTION("""COMPUTED_VALUE"""),224.0)</f>
        <v>224</v>
      </c>
      <c r="D501" s="3">
        <f>IFERROR(__xludf.DUMMYFUNCTION("""COMPUTED_VALUE"""),59.0)</f>
        <v>59</v>
      </c>
      <c r="E501" s="1" t="str">
        <f t="array" ref="E501">_xlfn.XLOOKUP(A501,Product!A:A,Product!B:B,"Bulunamadı")</f>
        <v>Tech</v>
      </c>
      <c r="F501" s="1" t="str">
        <f t="array" ref="F501">_xlfn.XLOOKUP(A501,Product!A:A,Product!C:C,"Bulunamadı")</f>
        <v>Paranormal</v>
      </c>
      <c r="G501" s="2" t="str">
        <f t="array" ref="G501">_xlfn.XLOOKUP(A502,Product!A:A,Product!D:D,"Bulunamadı")</f>
        <v>Silver Ridge Books</v>
      </c>
      <c r="H501" s="2">
        <f t="array" ref="H501">_xlfn.XLOOKUP(A503,Product!A:A,Product!E:E,"Bulunamadı")</f>
        <v>2.17</v>
      </c>
      <c r="I501" s="2" t="str">
        <f t="shared" si="1"/>
        <v>128412 - Tech - Paranormal</v>
      </c>
      <c r="J501" s="2">
        <f t="shared" si="2"/>
        <v>128.03</v>
      </c>
      <c r="K501" s="17">
        <f t="shared" si="3"/>
        <v>1</v>
      </c>
      <c r="L501" s="18"/>
    </row>
    <row r="502" hidden="1">
      <c r="A502" s="2">
        <f>IFERROR(__xludf.DUMMYFUNCTION("""COMPUTED_VALUE"""),7268.0)</f>
        <v>7268</v>
      </c>
      <c r="B502" s="2">
        <f>IFERROR(__xludf.DUMMYFUNCTION("""COMPUTED_VALUE"""),1.0)</f>
        <v>1</v>
      </c>
      <c r="C502" s="2">
        <f>IFERROR(__xludf.DUMMYFUNCTION("""COMPUTED_VALUE"""),207.0)</f>
        <v>207</v>
      </c>
      <c r="D502" s="3">
        <f>IFERROR(__xludf.DUMMYFUNCTION("""COMPUTED_VALUE"""),6.0)</f>
        <v>6</v>
      </c>
      <c r="E502" s="1" t="str">
        <f t="array" ref="E502">_xlfn.XLOOKUP(A502,Product!A:A,Product!B:B,"Bulunamadı")</f>
        <v>Tech</v>
      </c>
      <c r="F502" s="1" t="str">
        <f t="array" ref="F502">_xlfn.XLOOKUP(A502,Product!A:A,Product!C:C,"Bulunamadı")</f>
        <v>Paranormal</v>
      </c>
      <c r="G502" s="2" t="str">
        <f t="array" ref="G502">_xlfn.XLOOKUP(A503,Product!A:A,Product!D:D,"Bulunamadı")</f>
        <v>Silver Ridge Books</v>
      </c>
      <c r="H502" s="2">
        <f t="array" ref="H502">_xlfn.XLOOKUP(A504,Product!A:A,Product!E:E,"Bulunamadı")</f>
        <v>2.03</v>
      </c>
      <c r="I502" s="2" t="str">
        <f t="shared" si="1"/>
        <v>7268 - Tech - Paranormal</v>
      </c>
      <c r="J502" s="2">
        <f t="shared" si="2"/>
        <v>12.18</v>
      </c>
      <c r="K502" s="17">
        <f t="shared" si="3"/>
        <v>1</v>
      </c>
      <c r="L502" s="18"/>
    </row>
    <row r="503" hidden="1">
      <c r="A503" s="2">
        <f>IFERROR(__xludf.DUMMYFUNCTION("""COMPUTED_VALUE"""),124701.0)</f>
        <v>124701</v>
      </c>
      <c r="B503" s="2">
        <f>IFERROR(__xludf.DUMMYFUNCTION("""COMPUTED_VALUE"""),1.0)</f>
        <v>1</v>
      </c>
      <c r="C503" s="2">
        <f>IFERROR(__xludf.DUMMYFUNCTION("""COMPUTED_VALUE"""),925.0)</f>
        <v>925</v>
      </c>
      <c r="D503" s="3">
        <f>IFERROR(__xludf.DUMMYFUNCTION("""COMPUTED_VALUE"""),849.0)</f>
        <v>849</v>
      </c>
      <c r="E503" s="1" t="str">
        <f t="array" ref="E503">_xlfn.XLOOKUP(A503,Product!A:A,Product!B:B,"Bulunamadı")</f>
        <v>Tech</v>
      </c>
      <c r="F503" s="1" t="str">
        <f t="array" ref="F503">_xlfn.XLOOKUP(A503,Product!A:A,Product!C:C,"Bulunamadı")</f>
        <v>Paranormal</v>
      </c>
      <c r="G503" s="2" t="str">
        <f t="array" ref="G503">_xlfn.XLOOKUP(A504,Product!A:A,Product!D:D,"Bulunamadı")</f>
        <v>Silver Ridge Books</v>
      </c>
      <c r="H503" s="2">
        <f t="array" ref="H503">_xlfn.XLOOKUP(A505,Product!A:A,Product!E:E,"Bulunamadı")</f>
        <v>1.17</v>
      </c>
      <c r="I503" s="2" t="str">
        <f t="shared" si="1"/>
        <v>124701 - Tech - Paranormal</v>
      </c>
      <c r="J503" s="2">
        <f t="shared" si="2"/>
        <v>993.33</v>
      </c>
      <c r="K503" s="17">
        <f t="shared" si="3"/>
        <v>1</v>
      </c>
      <c r="L503" s="18"/>
    </row>
    <row r="504" hidden="1">
      <c r="A504" s="2">
        <f>IFERROR(__xludf.DUMMYFUNCTION("""COMPUTED_VALUE"""),110007.0)</f>
        <v>110007</v>
      </c>
      <c r="B504" s="2">
        <f>IFERROR(__xludf.DUMMYFUNCTION("""COMPUTED_VALUE"""),1.0)</f>
        <v>1</v>
      </c>
      <c r="C504" s="2">
        <f>IFERROR(__xludf.DUMMYFUNCTION("""COMPUTED_VALUE"""),739.0)</f>
        <v>739</v>
      </c>
      <c r="D504" s="3">
        <f>IFERROR(__xludf.DUMMYFUNCTION("""COMPUTED_VALUE"""),359.0)</f>
        <v>359</v>
      </c>
      <c r="E504" s="1" t="str">
        <f t="array" ref="E504">_xlfn.XLOOKUP(A504,Product!A:A,Product!B:B,"Bulunamadı")</f>
        <v>Tech</v>
      </c>
      <c r="F504" s="1" t="str">
        <f t="array" ref="F504">_xlfn.XLOOKUP(A504,Product!A:A,Product!C:C,"Bulunamadı")</f>
        <v>Paranormal</v>
      </c>
      <c r="G504" s="2" t="str">
        <f t="array" ref="G504">_xlfn.XLOOKUP(A505,Product!A:A,Product!D:D,"Bulunamadı")</f>
        <v>Silver Ridge Books</v>
      </c>
      <c r="H504" s="2">
        <f t="array" ref="H504">_xlfn.XLOOKUP(A506,Product!A:A,Product!E:E,"Bulunamadı")</f>
        <v>2.16</v>
      </c>
      <c r="I504" s="2" t="str">
        <f t="shared" si="1"/>
        <v>110007 - Tech - Paranormal</v>
      </c>
      <c r="J504" s="2">
        <f t="shared" si="2"/>
        <v>775.44</v>
      </c>
      <c r="K504" s="17">
        <f t="shared" si="3"/>
        <v>1</v>
      </c>
      <c r="L504" s="18"/>
    </row>
    <row r="505" hidden="1">
      <c r="A505" s="2">
        <f>IFERROR(__xludf.DUMMYFUNCTION("""COMPUTED_VALUE"""),7266.0)</f>
        <v>7266</v>
      </c>
      <c r="B505" s="2">
        <f>IFERROR(__xludf.DUMMYFUNCTION("""COMPUTED_VALUE"""),0.0)</f>
        <v>0</v>
      </c>
      <c r="C505" s="2">
        <f>IFERROR(__xludf.DUMMYFUNCTION("""COMPUTED_VALUE"""),781.0)</f>
        <v>781</v>
      </c>
      <c r="D505" s="3">
        <f>IFERROR(__xludf.DUMMYFUNCTION("""COMPUTED_VALUE"""),629.0)</f>
        <v>629</v>
      </c>
      <c r="E505" s="1" t="str">
        <f t="array" ref="E505">_xlfn.XLOOKUP(A505,Product!A:A,Product!B:B,"Bulunamadı")</f>
        <v>Tech</v>
      </c>
      <c r="F505" s="1" t="str">
        <f t="array" ref="F505">_xlfn.XLOOKUP(A505,Product!A:A,Product!C:C,"Bulunamadı")</f>
        <v>Paranormal</v>
      </c>
      <c r="G505" s="2" t="str">
        <f t="array" ref="G505">_xlfn.XLOOKUP(A506,Product!A:A,Product!D:D,"Bulunamadı")</f>
        <v>Silver Ridge Books</v>
      </c>
      <c r="H505" s="2">
        <f t="array" ref="H505">_xlfn.XLOOKUP(A507,Product!A:A,Product!E:E,"Bulunamadı")</f>
        <v>3.82</v>
      </c>
      <c r="I505" s="2" t="str">
        <f t="shared" si="1"/>
        <v>7266 - Tech - Paranormal</v>
      </c>
      <c r="J505" s="2">
        <f t="shared" si="2"/>
        <v>2402.78</v>
      </c>
      <c r="K505" s="17">
        <f t="shared" si="3"/>
        <v>1</v>
      </c>
      <c r="L505" s="18"/>
    </row>
    <row r="506" hidden="1">
      <c r="A506" s="2">
        <f>IFERROR(__xludf.DUMMYFUNCTION("""COMPUTED_VALUE"""),7269.0)</f>
        <v>7269</v>
      </c>
      <c r="B506" s="2">
        <f>IFERROR(__xludf.DUMMYFUNCTION("""COMPUTED_VALUE"""),1.0)</f>
        <v>1</v>
      </c>
      <c r="C506" s="2">
        <f>IFERROR(__xludf.DUMMYFUNCTION("""COMPUTED_VALUE"""),811.0)</f>
        <v>811</v>
      </c>
      <c r="D506" s="3">
        <f>IFERROR(__xludf.DUMMYFUNCTION("""COMPUTED_VALUE"""),298.0)</f>
        <v>298</v>
      </c>
      <c r="E506" s="1" t="str">
        <f t="array" ref="E506">_xlfn.XLOOKUP(A506,Product!A:A,Product!B:B,"Bulunamadı")</f>
        <v>Tech</v>
      </c>
      <c r="F506" s="1" t="str">
        <f t="array" ref="F506">_xlfn.XLOOKUP(A506,Product!A:A,Product!C:C,"Bulunamadı")</f>
        <v>Paranormal</v>
      </c>
      <c r="G506" s="2" t="str">
        <f t="array" ref="G506">_xlfn.XLOOKUP(A507,Product!A:A,Product!D:D,"Bulunamadı")</f>
        <v>Silver Ridge Books</v>
      </c>
      <c r="H506" s="2">
        <f t="array" ref="H506">_xlfn.XLOOKUP(A508,Product!A:A,Product!E:E,"Bulunamadı")</f>
        <v>2.2</v>
      </c>
      <c r="I506" s="2" t="str">
        <f t="shared" si="1"/>
        <v>7269 - Tech - Paranormal</v>
      </c>
      <c r="J506" s="2">
        <f t="shared" si="2"/>
        <v>655.6</v>
      </c>
      <c r="K506" s="17">
        <f t="shared" si="3"/>
        <v>1</v>
      </c>
      <c r="L506" s="18"/>
    </row>
    <row r="507" hidden="1">
      <c r="A507" s="2">
        <f>IFERROR(__xludf.DUMMYFUNCTION("""COMPUTED_VALUE"""),100393.0)</f>
        <v>100393</v>
      </c>
      <c r="B507" s="2">
        <f>IFERROR(__xludf.DUMMYFUNCTION("""COMPUTED_VALUE"""),0.0)</f>
        <v>0</v>
      </c>
      <c r="C507" s="2">
        <f>IFERROR(__xludf.DUMMYFUNCTION("""COMPUTED_VALUE"""),952.0)</f>
        <v>952</v>
      </c>
      <c r="D507" s="3">
        <f>IFERROR(__xludf.DUMMYFUNCTION("""COMPUTED_VALUE"""),781.0)</f>
        <v>781</v>
      </c>
      <c r="E507" s="1" t="str">
        <f t="array" ref="E507">_xlfn.XLOOKUP(A507,Product!A:A,Product!B:B,"Bulunamadı")</f>
        <v>Tech</v>
      </c>
      <c r="F507" s="1" t="str">
        <f t="array" ref="F507">_xlfn.XLOOKUP(A507,Product!A:A,Product!C:C,"Bulunamadı")</f>
        <v>Paranormal</v>
      </c>
      <c r="G507" s="2" t="str">
        <f t="array" ref="G507">_xlfn.XLOOKUP(A508,Product!A:A,Product!D:D,"Bulunamadı")</f>
        <v>Silver Ridge Books</v>
      </c>
      <c r="H507" s="2">
        <f t="array" ref="H507">_xlfn.XLOOKUP(A509,Product!A:A,Product!E:E,"Bulunamadı")</f>
        <v>4.27</v>
      </c>
      <c r="I507" s="2" t="str">
        <f t="shared" si="1"/>
        <v>100393 - Tech - Paranormal</v>
      </c>
      <c r="J507" s="2">
        <f t="shared" si="2"/>
        <v>3334.87</v>
      </c>
      <c r="K507" s="17">
        <f t="shared" si="3"/>
        <v>1</v>
      </c>
      <c r="L507" s="18"/>
    </row>
    <row r="508" hidden="1">
      <c r="A508" s="2">
        <f>IFERROR(__xludf.DUMMYFUNCTION("""COMPUTED_VALUE"""),110009.0)</f>
        <v>110009</v>
      </c>
      <c r="B508" s="2">
        <f>IFERROR(__xludf.DUMMYFUNCTION("""COMPUTED_VALUE"""),1.0)</f>
        <v>1</v>
      </c>
      <c r="C508" s="2">
        <f>IFERROR(__xludf.DUMMYFUNCTION("""COMPUTED_VALUE"""),2.0)</f>
        <v>2</v>
      </c>
      <c r="D508" s="3">
        <f>IFERROR(__xludf.DUMMYFUNCTION("""COMPUTED_VALUE"""),1.0)</f>
        <v>1</v>
      </c>
      <c r="E508" s="1" t="str">
        <f t="array" ref="E508">_xlfn.XLOOKUP(A508,Product!A:A,Product!B:B,"Bulunamadı")</f>
        <v>Tech</v>
      </c>
      <c r="F508" s="1" t="str">
        <f t="array" ref="F508">_xlfn.XLOOKUP(A508,Product!A:A,Product!C:C,"Bulunamadı")</f>
        <v>Paranormal</v>
      </c>
      <c r="G508" s="2" t="str">
        <f t="array" ref="G508">_xlfn.XLOOKUP(A509,Product!A:A,Product!D:D,"Bulunamadı")</f>
        <v>Silver Ridge Books</v>
      </c>
      <c r="H508" s="2">
        <f t="array" ref="H508">_xlfn.XLOOKUP(A510,Product!A:A,Product!E:E,"Bulunamadı")</f>
        <v>2.9</v>
      </c>
      <c r="I508" s="2" t="str">
        <f t="shared" si="1"/>
        <v>110009 - Tech - Paranormal</v>
      </c>
      <c r="J508" s="2">
        <f t="shared" si="2"/>
        <v>2.9</v>
      </c>
      <c r="K508" s="17">
        <f t="shared" si="3"/>
        <v>1</v>
      </c>
      <c r="L508" s="18"/>
    </row>
    <row r="509" hidden="1">
      <c r="A509" s="2">
        <f>IFERROR(__xludf.DUMMYFUNCTION("""COMPUTED_VALUE"""),100394.0)</f>
        <v>100394</v>
      </c>
      <c r="B509" s="2">
        <f>IFERROR(__xludf.DUMMYFUNCTION("""COMPUTED_VALUE"""),0.0)</f>
        <v>0</v>
      </c>
      <c r="C509" s="2">
        <f>IFERROR(__xludf.DUMMYFUNCTION("""COMPUTED_VALUE"""),193.0)</f>
        <v>193</v>
      </c>
      <c r="D509" s="3">
        <f>IFERROR(__xludf.DUMMYFUNCTION("""COMPUTED_VALUE"""),123.0)</f>
        <v>123</v>
      </c>
      <c r="E509" s="1" t="str">
        <f t="array" ref="E509">_xlfn.XLOOKUP(A509,Product!A:A,Product!B:B,"Bulunamadı")</f>
        <v>Tech</v>
      </c>
      <c r="F509" s="1" t="str">
        <f t="array" ref="F509">_xlfn.XLOOKUP(A509,Product!A:A,Product!C:C,"Bulunamadı")</f>
        <v>Paranormal</v>
      </c>
      <c r="G509" s="2" t="str">
        <f t="array" ref="G509">_xlfn.XLOOKUP(A510,Product!A:A,Product!D:D,"Bulunamadı")</f>
        <v>Silver Ridge Books</v>
      </c>
      <c r="H509" s="2">
        <f t="array" ref="H509">_xlfn.XLOOKUP(A511,Product!A:A,Product!E:E,"Bulunamadı")</f>
        <v>15.91</v>
      </c>
      <c r="I509" s="2" t="str">
        <f t="shared" si="1"/>
        <v>100394 - Tech - Paranormal</v>
      </c>
      <c r="J509" s="2">
        <f t="shared" si="2"/>
        <v>1956.93</v>
      </c>
      <c r="K509" s="17">
        <f t="shared" si="3"/>
        <v>1</v>
      </c>
      <c r="L509" s="18"/>
    </row>
    <row r="510" hidden="1">
      <c r="A510" s="2">
        <f>IFERROR(__xludf.DUMMYFUNCTION("""COMPUTED_VALUE"""),118248.0)</f>
        <v>118248</v>
      </c>
      <c r="B510" s="2">
        <f>IFERROR(__xludf.DUMMYFUNCTION("""COMPUTED_VALUE"""),0.0)</f>
        <v>0</v>
      </c>
      <c r="C510" s="2">
        <f>IFERROR(__xludf.DUMMYFUNCTION("""COMPUTED_VALUE"""),202.0)</f>
        <v>202</v>
      </c>
      <c r="D510" s="3">
        <f>IFERROR(__xludf.DUMMYFUNCTION("""COMPUTED_VALUE"""),167.0)</f>
        <v>167</v>
      </c>
      <c r="E510" s="1" t="str">
        <f t="array" ref="E510">_xlfn.XLOOKUP(A510,Product!A:A,Product!B:B,"Bulunamadı")</f>
        <v>Tech</v>
      </c>
      <c r="F510" s="1" t="str">
        <f t="array" ref="F510">_xlfn.XLOOKUP(A510,Product!A:A,Product!C:C,"Bulunamadı")</f>
        <v>Paranormal</v>
      </c>
      <c r="G510" s="2" t="str">
        <f t="array" ref="G510">_xlfn.XLOOKUP(A511,Product!A:A,Product!D:D,"Bulunamadı")</f>
        <v>Mountain Path Press</v>
      </c>
      <c r="H510" s="2">
        <f t="array" ref="H510">_xlfn.XLOOKUP(A512,Product!A:A,Product!E:E,"Bulunamadı")</f>
        <v>15.95</v>
      </c>
      <c r="I510" s="2" t="str">
        <f t="shared" si="1"/>
        <v>118248 - Tech - Paranormal</v>
      </c>
      <c r="J510" s="2">
        <f t="shared" si="2"/>
        <v>2663.65</v>
      </c>
      <c r="K510" s="17">
        <f t="shared" si="3"/>
        <v>1</v>
      </c>
      <c r="L510" s="18"/>
    </row>
    <row r="511" hidden="1">
      <c r="A511" s="2">
        <f>IFERROR(__xludf.DUMMYFUNCTION("""COMPUTED_VALUE"""),118467.0)</f>
        <v>118467</v>
      </c>
      <c r="B511" s="2">
        <f>IFERROR(__xludf.DUMMYFUNCTION("""COMPUTED_VALUE"""),1.0)</f>
        <v>1</v>
      </c>
      <c r="C511" s="2">
        <f>IFERROR(__xludf.DUMMYFUNCTION("""COMPUTED_VALUE"""),282.0)</f>
        <v>282</v>
      </c>
      <c r="D511" s="3">
        <f>IFERROR(__xludf.DUMMYFUNCTION("""COMPUTED_VALUE"""),161.0)</f>
        <v>161</v>
      </c>
      <c r="E511" s="1" t="str">
        <f t="array" ref="E511">_xlfn.XLOOKUP(A511,Product!A:A,Product!B:B,"Bulunamadı")</f>
        <v>Tech</v>
      </c>
      <c r="F511" s="1" t="str">
        <f t="array" ref="F511">_xlfn.XLOOKUP(A511,Product!A:A,Product!C:C,"Bulunamadı")</f>
        <v>Paranormal</v>
      </c>
      <c r="G511" s="2" t="str">
        <f t="array" ref="G511">_xlfn.XLOOKUP(A512,Product!A:A,Product!D:D,"Bulunamadı")</f>
        <v>Mountain Path Press</v>
      </c>
      <c r="H511" s="2">
        <f t="array" ref="H511">_xlfn.XLOOKUP(A513,Product!A:A,Product!E:E,"Bulunamadı")</f>
        <v>15.63</v>
      </c>
      <c r="I511" s="2" t="str">
        <f t="shared" si="1"/>
        <v>118467 - Tech - Paranormal</v>
      </c>
      <c r="J511" s="2">
        <f t="shared" si="2"/>
        <v>2516.43</v>
      </c>
      <c r="K511" s="17">
        <f t="shared" si="3"/>
        <v>1</v>
      </c>
      <c r="L511" s="18"/>
    </row>
    <row r="512" hidden="1">
      <c r="A512" s="2">
        <f>IFERROR(__xludf.DUMMYFUNCTION("""COMPUTED_VALUE"""),118465.0)</f>
        <v>118465</v>
      </c>
      <c r="B512" s="2">
        <f>IFERROR(__xludf.DUMMYFUNCTION("""COMPUTED_VALUE"""),0.0)</f>
        <v>0</v>
      </c>
      <c r="C512" s="2">
        <f>IFERROR(__xludf.DUMMYFUNCTION("""COMPUTED_VALUE"""),793.0)</f>
        <v>793</v>
      </c>
      <c r="D512" s="3">
        <f>IFERROR(__xludf.DUMMYFUNCTION("""COMPUTED_VALUE"""),250.0)</f>
        <v>250</v>
      </c>
      <c r="E512" s="1" t="str">
        <f t="array" ref="E512">_xlfn.XLOOKUP(A512,Product!A:A,Product!B:B,"Bulunamadı")</f>
        <v>Tech</v>
      </c>
      <c r="F512" s="1" t="str">
        <f t="array" ref="F512">_xlfn.XLOOKUP(A512,Product!A:A,Product!C:C,"Bulunamadı")</f>
        <v>Paranormal</v>
      </c>
      <c r="G512" s="2" t="str">
        <f t="array" ref="G512">_xlfn.XLOOKUP(A513,Product!A:A,Product!D:D,"Bulunamadı")</f>
        <v>Mountain Path Press</v>
      </c>
      <c r="H512" s="2">
        <f t="array" ref="H512">_xlfn.XLOOKUP(A514,Product!A:A,Product!E:E,"Bulunamadı")</f>
        <v>15.67</v>
      </c>
      <c r="I512" s="2" t="str">
        <f t="shared" si="1"/>
        <v>118465 - Tech - Paranormal</v>
      </c>
      <c r="J512" s="2">
        <f t="shared" si="2"/>
        <v>3917.5</v>
      </c>
      <c r="K512" s="17">
        <f t="shared" si="3"/>
        <v>1</v>
      </c>
      <c r="L512" s="18"/>
    </row>
    <row r="513" hidden="1">
      <c r="A513" s="2">
        <f>IFERROR(__xludf.DUMMYFUNCTION("""COMPUTED_VALUE"""),118450.0)</f>
        <v>118450</v>
      </c>
      <c r="B513" s="2">
        <f>IFERROR(__xludf.DUMMYFUNCTION("""COMPUTED_VALUE"""),0.0)</f>
        <v>0</v>
      </c>
      <c r="C513" s="2">
        <f>IFERROR(__xludf.DUMMYFUNCTION("""COMPUTED_VALUE"""),385.0)</f>
        <v>385</v>
      </c>
      <c r="D513" s="3">
        <f>IFERROR(__xludf.DUMMYFUNCTION("""COMPUTED_VALUE"""),232.0)</f>
        <v>232</v>
      </c>
      <c r="E513" s="1" t="str">
        <f t="array" ref="E513">_xlfn.XLOOKUP(A513,Product!A:A,Product!B:B,"Bulunamadı")</f>
        <v>Tech</v>
      </c>
      <c r="F513" s="1" t="str">
        <f t="array" ref="F513">_xlfn.XLOOKUP(A513,Product!A:A,Product!C:C,"Bulunamadı")</f>
        <v>Paranormal</v>
      </c>
      <c r="G513" s="2" t="str">
        <f t="array" ref="G513">_xlfn.XLOOKUP(A514,Product!A:A,Product!D:D,"Bulunamadı")</f>
        <v>Mountain Path Press</v>
      </c>
      <c r="H513" s="2">
        <f t="array" ref="H513">_xlfn.XLOOKUP(A515,Product!A:A,Product!E:E,"Bulunamadı")</f>
        <v>16.7</v>
      </c>
      <c r="I513" s="2" t="str">
        <f t="shared" si="1"/>
        <v>118450 - Tech - Paranormal</v>
      </c>
      <c r="J513" s="2">
        <f t="shared" si="2"/>
        <v>3874.4</v>
      </c>
      <c r="K513" s="17">
        <f t="shared" si="3"/>
        <v>1</v>
      </c>
      <c r="L513" s="18"/>
    </row>
    <row r="514" hidden="1">
      <c r="A514" s="2">
        <f>IFERROR(__xludf.DUMMYFUNCTION("""COMPUTED_VALUE"""),118457.0)</f>
        <v>118457</v>
      </c>
      <c r="B514" s="2">
        <f>IFERROR(__xludf.DUMMYFUNCTION("""COMPUTED_VALUE"""),1.0)</f>
        <v>1</v>
      </c>
      <c r="C514" s="2">
        <f>IFERROR(__xludf.DUMMYFUNCTION("""COMPUTED_VALUE"""),35.0)</f>
        <v>35</v>
      </c>
      <c r="D514" s="3">
        <f>IFERROR(__xludf.DUMMYFUNCTION("""COMPUTED_VALUE"""),15.0)</f>
        <v>15</v>
      </c>
      <c r="E514" s="1" t="str">
        <f t="array" ref="E514">_xlfn.XLOOKUP(A514,Product!A:A,Product!B:B,"Bulunamadı")</f>
        <v>Tech</v>
      </c>
      <c r="F514" s="1" t="str">
        <f t="array" ref="F514">_xlfn.XLOOKUP(A514,Product!A:A,Product!C:C,"Bulunamadı")</f>
        <v>Paranormal</v>
      </c>
      <c r="G514" s="2" t="str">
        <f t="array" ref="G514">_xlfn.XLOOKUP(A515,Product!A:A,Product!D:D,"Bulunamadı")</f>
        <v>Mountain Path Press</v>
      </c>
      <c r="H514" s="2">
        <f t="array" ref="H514">_xlfn.XLOOKUP(A516,Product!A:A,Product!E:E,"Bulunamadı")</f>
        <v>16.87</v>
      </c>
      <c r="I514" s="2" t="str">
        <f t="shared" si="1"/>
        <v>118457 - Tech - Paranormal</v>
      </c>
      <c r="J514" s="2">
        <f t="shared" si="2"/>
        <v>253.05</v>
      </c>
      <c r="K514" s="17">
        <f t="shared" si="3"/>
        <v>1</v>
      </c>
      <c r="L514" s="18"/>
    </row>
    <row r="515" hidden="1">
      <c r="A515" s="2">
        <f>IFERROR(__xludf.DUMMYFUNCTION("""COMPUTED_VALUE"""),118463.0)</f>
        <v>118463</v>
      </c>
      <c r="B515" s="2">
        <f>IFERROR(__xludf.DUMMYFUNCTION("""COMPUTED_VALUE"""),1.0)</f>
        <v>1</v>
      </c>
      <c r="C515" s="2">
        <f>IFERROR(__xludf.DUMMYFUNCTION("""COMPUTED_VALUE"""),253.0)</f>
        <v>253</v>
      </c>
      <c r="D515" s="3">
        <f>IFERROR(__xludf.DUMMYFUNCTION("""COMPUTED_VALUE"""),166.0)</f>
        <v>166</v>
      </c>
      <c r="E515" s="1" t="str">
        <f t="array" ref="E515">_xlfn.XLOOKUP(A515,Product!A:A,Product!B:B,"Bulunamadı")</f>
        <v>Tech</v>
      </c>
      <c r="F515" s="1" t="str">
        <f t="array" ref="F515">_xlfn.XLOOKUP(A515,Product!A:A,Product!C:C,"Bulunamadı")</f>
        <v>Paranormal</v>
      </c>
      <c r="G515" s="2" t="str">
        <f t="array" ref="G515">_xlfn.XLOOKUP(A516,Product!A:A,Product!D:D,"Bulunamadı")</f>
        <v>Mountain Path Press</v>
      </c>
      <c r="H515" s="2">
        <f t="array" ref="H515">_xlfn.XLOOKUP(A517,Product!A:A,Product!E:E,"Bulunamadı")</f>
        <v>20.38</v>
      </c>
      <c r="I515" s="2" t="str">
        <f t="shared" si="1"/>
        <v>118463 - Tech - Paranormal</v>
      </c>
      <c r="J515" s="2">
        <f t="shared" si="2"/>
        <v>3383.08</v>
      </c>
      <c r="K515" s="17">
        <f t="shared" si="3"/>
        <v>1</v>
      </c>
      <c r="L515" s="18"/>
    </row>
    <row r="516" hidden="1">
      <c r="A516" s="2">
        <f>IFERROR(__xludf.DUMMYFUNCTION("""COMPUTED_VALUE"""),118460.0)</f>
        <v>118460</v>
      </c>
      <c r="B516" s="2">
        <f>IFERROR(__xludf.DUMMYFUNCTION("""COMPUTED_VALUE"""),0.0)</f>
        <v>0</v>
      </c>
      <c r="C516" s="2">
        <f>IFERROR(__xludf.DUMMYFUNCTION("""COMPUTED_VALUE"""),242.0)</f>
        <v>242</v>
      </c>
      <c r="D516" s="3">
        <f>IFERROR(__xludf.DUMMYFUNCTION("""COMPUTED_VALUE"""),47.0)</f>
        <v>47</v>
      </c>
      <c r="E516" s="1" t="str">
        <f t="array" ref="E516">_xlfn.XLOOKUP(A516,Product!A:A,Product!B:B,"Bulunamadı")</f>
        <v>Tech</v>
      </c>
      <c r="F516" s="1" t="str">
        <f t="array" ref="F516">_xlfn.XLOOKUP(A516,Product!A:A,Product!C:C,"Bulunamadı")</f>
        <v>Paranormal</v>
      </c>
      <c r="G516" s="2" t="str">
        <f t="array" ref="G516">_xlfn.XLOOKUP(A517,Product!A:A,Product!D:D,"Bulunamadı")</f>
        <v>Mountain Path Press</v>
      </c>
      <c r="H516" s="2">
        <f t="array" ref="H516">_xlfn.XLOOKUP(A518,Product!A:A,Product!E:E,"Bulunamadı")</f>
        <v>22.9</v>
      </c>
      <c r="I516" s="2" t="str">
        <f t="shared" si="1"/>
        <v>118460 - Tech - Paranormal</v>
      </c>
      <c r="J516" s="2">
        <f t="shared" si="2"/>
        <v>1076.3</v>
      </c>
      <c r="K516" s="17">
        <f t="shared" si="3"/>
        <v>1</v>
      </c>
      <c r="L516" s="18"/>
    </row>
    <row r="517" hidden="1">
      <c r="A517" s="2">
        <f>IFERROR(__xludf.DUMMYFUNCTION("""COMPUTED_VALUE"""),121035.0)</f>
        <v>121035</v>
      </c>
      <c r="B517" s="2">
        <f>IFERROR(__xludf.DUMMYFUNCTION("""COMPUTED_VALUE"""),1.0)</f>
        <v>1</v>
      </c>
      <c r="C517" s="2">
        <f>IFERROR(__xludf.DUMMYFUNCTION("""COMPUTED_VALUE"""),684.0)</f>
        <v>684</v>
      </c>
      <c r="D517" s="3">
        <f>IFERROR(__xludf.DUMMYFUNCTION("""COMPUTED_VALUE"""),48.0)</f>
        <v>48</v>
      </c>
      <c r="E517" s="1" t="str">
        <f t="array" ref="E517">_xlfn.XLOOKUP(A517,Product!A:A,Product!B:B,"Bulunamadı")</f>
        <v>Tech</v>
      </c>
      <c r="F517" s="1" t="str">
        <f t="array" ref="F517">_xlfn.XLOOKUP(A517,Product!A:A,Product!C:C,"Bulunamadı")</f>
        <v>Paranormal</v>
      </c>
      <c r="G517" s="2" t="str">
        <f t="array" ref="G517">_xlfn.XLOOKUP(A518,Product!A:A,Product!D:D,"Bulunamadı")</f>
        <v>Mountain Path Press</v>
      </c>
      <c r="H517" s="2">
        <f t="array" ref="H517">_xlfn.XLOOKUP(A519,Product!A:A,Product!E:E,"Bulunamadı")</f>
        <v>16.98</v>
      </c>
      <c r="I517" s="2" t="str">
        <f t="shared" si="1"/>
        <v>121035 - Tech - Paranormal</v>
      </c>
      <c r="J517" s="2">
        <f t="shared" si="2"/>
        <v>815.04</v>
      </c>
      <c r="K517" s="17">
        <f t="shared" si="3"/>
        <v>1</v>
      </c>
      <c r="L517" s="18"/>
    </row>
    <row r="518" hidden="1">
      <c r="A518" s="2">
        <f>IFERROR(__xludf.DUMMYFUNCTION("""COMPUTED_VALUE"""),122623.0)</f>
        <v>122623</v>
      </c>
      <c r="B518" s="2">
        <f>IFERROR(__xludf.DUMMYFUNCTION("""COMPUTED_VALUE"""),0.0)</f>
        <v>0</v>
      </c>
      <c r="C518" s="2">
        <f>IFERROR(__xludf.DUMMYFUNCTION("""COMPUTED_VALUE"""),378.0)</f>
        <v>378</v>
      </c>
      <c r="D518" s="3">
        <f>IFERROR(__xludf.DUMMYFUNCTION("""COMPUTED_VALUE"""),272.0)</f>
        <v>272</v>
      </c>
      <c r="E518" s="1" t="str">
        <f t="array" ref="E518">_xlfn.XLOOKUP(A518,Product!A:A,Product!B:B,"Bulunamadı")</f>
        <v>Tech</v>
      </c>
      <c r="F518" s="1" t="str">
        <f t="array" ref="F518">_xlfn.XLOOKUP(A518,Product!A:A,Product!C:C,"Bulunamadı")</f>
        <v>Paranormal</v>
      </c>
      <c r="G518" s="2" t="str">
        <f t="array" ref="G518">_xlfn.XLOOKUP(A519,Product!A:A,Product!D:D,"Bulunamadı")</f>
        <v>Mountain Path Press</v>
      </c>
      <c r="H518" s="2">
        <f t="array" ref="H518">_xlfn.XLOOKUP(A520,Product!A:A,Product!E:E,"Bulunamadı")</f>
        <v>18.7</v>
      </c>
      <c r="I518" s="2" t="str">
        <f t="shared" si="1"/>
        <v>122623 - Tech - Paranormal</v>
      </c>
      <c r="J518" s="2">
        <f t="shared" si="2"/>
        <v>5086.4</v>
      </c>
      <c r="K518" s="17">
        <f t="shared" si="3"/>
        <v>1</v>
      </c>
      <c r="L518" s="18"/>
    </row>
    <row r="519" hidden="1">
      <c r="A519" s="2">
        <f>IFERROR(__xludf.DUMMYFUNCTION("""COMPUTED_VALUE"""),118469.0)</f>
        <v>118469</v>
      </c>
      <c r="B519" s="2">
        <f>IFERROR(__xludf.DUMMYFUNCTION("""COMPUTED_VALUE"""),0.0)</f>
        <v>0</v>
      </c>
      <c r="C519" s="2">
        <f>IFERROR(__xludf.DUMMYFUNCTION("""COMPUTED_VALUE"""),183.0)</f>
        <v>183</v>
      </c>
      <c r="D519" s="3">
        <f>IFERROR(__xludf.DUMMYFUNCTION("""COMPUTED_VALUE"""),150.0)</f>
        <v>150</v>
      </c>
      <c r="E519" s="1" t="str">
        <f t="array" ref="E519">_xlfn.XLOOKUP(A519,Product!A:A,Product!B:B,"Bulunamadı")</f>
        <v>Tech</v>
      </c>
      <c r="F519" s="1" t="str">
        <f t="array" ref="F519">_xlfn.XLOOKUP(A519,Product!A:A,Product!C:C,"Bulunamadı")</f>
        <v>Paranormal</v>
      </c>
      <c r="G519" s="2" t="str">
        <f t="array" ref="G519">_xlfn.XLOOKUP(A520,Product!A:A,Product!D:D,"Bulunamadı")</f>
        <v>Mountain Path Press</v>
      </c>
      <c r="H519" s="2">
        <f t="array" ref="H519">_xlfn.XLOOKUP(A521,Product!A:A,Product!E:E,"Bulunamadı")</f>
        <v>2.24</v>
      </c>
      <c r="I519" s="2" t="str">
        <f t="shared" si="1"/>
        <v>118469 - Tech - Paranormal</v>
      </c>
      <c r="J519" s="2">
        <f t="shared" si="2"/>
        <v>336</v>
      </c>
      <c r="K519" s="17">
        <f t="shared" si="3"/>
        <v>1</v>
      </c>
      <c r="L519" s="18"/>
    </row>
    <row r="520" hidden="1">
      <c r="A520" s="2">
        <f>IFERROR(__xludf.DUMMYFUNCTION("""COMPUTED_VALUE"""),184629.0)</f>
        <v>184629</v>
      </c>
      <c r="B520" s="2">
        <f>IFERROR(__xludf.DUMMYFUNCTION("""COMPUTED_VALUE"""),1.0)</f>
        <v>1</v>
      </c>
      <c r="C520" s="2">
        <f>IFERROR(__xludf.DUMMYFUNCTION("""COMPUTED_VALUE"""),796.0)</f>
        <v>796</v>
      </c>
      <c r="D520" s="3">
        <f>IFERROR(__xludf.DUMMYFUNCTION("""COMPUTED_VALUE"""),5.0)</f>
        <v>5</v>
      </c>
      <c r="E520" s="1" t="str">
        <f t="array" ref="E520">_xlfn.XLOOKUP(A520,Product!A:A,Product!B:B,"Bulunamadı")</f>
        <v>Tech</v>
      </c>
      <c r="F520" s="1" t="str">
        <f t="array" ref="F520">_xlfn.XLOOKUP(A520,Product!A:A,Product!C:C,"Bulunamadı")</f>
        <v>Paranormal</v>
      </c>
      <c r="G520" s="2" t="str">
        <f t="array" ref="G520">_xlfn.XLOOKUP(A521,Product!A:A,Product!D:D,"Bulunamadı")</f>
        <v>Starfall Publishing</v>
      </c>
      <c r="H520" s="2">
        <f t="array" ref="H520">_xlfn.XLOOKUP(A522,Product!A:A,Product!E:E,"Bulunamadı")</f>
        <v>1.13</v>
      </c>
      <c r="I520" s="2" t="str">
        <f t="shared" si="1"/>
        <v>184629 - Tech - Paranormal</v>
      </c>
      <c r="J520" s="2">
        <f t="shared" si="2"/>
        <v>5.65</v>
      </c>
      <c r="K520" s="17">
        <f t="shared" si="3"/>
        <v>1</v>
      </c>
      <c r="L520" s="18"/>
    </row>
    <row r="521" hidden="1">
      <c r="A521" s="2">
        <f>IFERROR(__xludf.DUMMYFUNCTION("""COMPUTED_VALUE"""),44469.0)</f>
        <v>44469</v>
      </c>
      <c r="B521" s="2">
        <f>IFERROR(__xludf.DUMMYFUNCTION("""COMPUTED_VALUE"""),0.0)</f>
        <v>0</v>
      </c>
      <c r="C521" s="2">
        <f>IFERROR(__xludf.DUMMYFUNCTION("""COMPUTED_VALUE"""),194.0)</f>
        <v>194</v>
      </c>
      <c r="D521" s="3">
        <f>IFERROR(__xludf.DUMMYFUNCTION("""COMPUTED_VALUE"""),75.0)</f>
        <v>75</v>
      </c>
      <c r="E521" s="1" t="str">
        <f t="array" ref="E521">_xlfn.XLOOKUP(A521,Product!A:A,Product!B:B,"Bulunamadı")</f>
        <v>Tech</v>
      </c>
      <c r="F521" s="1" t="str">
        <f t="array" ref="F521">_xlfn.XLOOKUP(A521,Product!A:A,Product!C:C,"Bulunamadı")</f>
        <v>Paranormal</v>
      </c>
      <c r="G521" s="2" t="str">
        <f t="array" ref="G521">_xlfn.XLOOKUP(A522,Product!A:A,Product!D:D,"Bulunamadı")</f>
        <v>Starfall Publishing</v>
      </c>
      <c r="H521" s="2">
        <f t="array" ref="H521">_xlfn.XLOOKUP(A523,Product!A:A,Product!E:E,"Bulunamadı")</f>
        <v>1.77</v>
      </c>
      <c r="I521" s="2" t="str">
        <f t="shared" si="1"/>
        <v>44469 - Tech - Paranormal</v>
      </c>
      <c r="J521" s="2">
        <f t="shared" si="2"/>
        <v>132.75</v>
      </c>
      <c r="K521" s="17">
        <f t="shared" si="3"/>
        <v>1</v>
      </c>
      <c r="L521" s="18"/>
    </row>
    <row r="522" hidden="1">
      <c r="A522" s="2">
        <f>IFERROR(__xludf.DUMMYFUNCTION("""COMPUTED_VALUE"""),98421.0)</f>
        <v>98421</v>
      </c>
      <c r="B522" s="2">
        <f>IFERROR(__xludf.DUMMYFUNCTION("""COMPUTED_VALUE"""),1.0)</f>
        <v>1</v>
      </c>
      <c r="C522" s="2">
        <f>IFERROR(__xludf.DUMMYFUNCTION("""COMPUTED_VALUE"""),355.0)</f>
        <v>355</v>
      </c>
      <c r="D522" s="3">
        <f>IFERROR(__xludf.DUMMYFUNCTION("""COMPUTED_VALUE"""),339.0)</f>
        <v>339</v>
      </c>
      <c r="E522" s="1" t="str">
        <f t="array" ref="E522">_xlfn.XLOOKUP(A522,Product!A:A,Product!B:B,"Bulunamadı")</f>
        <v>Tech</v>
      </c>
      <c r="F522" s="1" t="str">
        <f t="array" ref="F522">_xlfn.XLOOKUP(A522,Product!A:A,Product!C:C,"Bulunamadı")</f>
        <v>Paranormal</v>
      </c>
      <c r="G522" s="2" t="str">
        <f t="array" ref="G522">_xlfn.XLOOKUP(A523,Product!A:A,Product!D:D,"Bulunamadı")</f>
        <v>Starfall Publishing</v>
      </c>
      <c r="H522" s="2">
        <f t="array" ref="H522">_xlfn.XLOOKUP(A524,Product!A:A,Product!E:E,"Bulunamadı")</f>
        <v>1.62</v>
      </c>
      <c r="I522" s="2" t="str">
        <f t="shared" si="1"/>
        <v>98421 - Tech - Paranormal</v>
      </c>
      <c r="J522" s="2">
        <f t="shared" si="2"/>
        <v>549.18</v>
      </c>
      <c r="K522" s="17">
        <f t="shared" si="3"/>
        <v>1</v>
      </c>
      <c r="L522" s="18"/>
    </row>
    <row r="523" hidden="1">
      <c r="A523" s="2">
        <f>IFERROR(__xludf.DUMMYFUNCTION("""COMPUTED_VALUE"""),149512.0)</f>
        <v>149512</v>
      </c>
      <c r="B523" s="2">
        <f>IFERROR(__xludf.DUMMYFUNCTION("""COMPUTED_VALUE"""),0.0)</f>
        <v>0</v>
      </c>
      <c r="C523" s="2">
        <f>IFERROR(__xludf.DUMMYFUNCTION("""COMPUTED_VALUE"""),730.0)</f>
        <v>730</v>
      </c>
      <c r="D523" s="3">
        <f>IFERROR(__xludf.DUMMYFUNCTION("""COMPUTED_VALUE"""),303.0)</f>
        <v>303</v>
      </c>
      <c r="E523" s="1" t="str">
        <f t="array" ref="E523">_xlfn.XLOOKUP(A523,Product!A:A,Product!B:B,"Bulunamadı")</f>
        <v>Tech</v>
      </c>
      <c r="F523" s="1" t="str">
        <f t="array" ref="F523">_xlfn.XLOOKUP(A523,Product!A:A,Product!C:C,"Bulunamadı")</f>
        <v>Paranormal</v>
      </c>
      <c r="G523" s="2" t="str">
        <f t="array" ref="G523">_xlfn.XLOOKUP(A524,Product!A:A,Product!D:D,"Bulunamadı")</f>
        <v>Starfall Publishing</v>
      </c>
      <c r="H523" s="2">
        <f t="array" ref="H523">_xlfn.XLOOKUP(A525,Product!A:A,Product!E:E,"Bulunamadı")</f>
        <v>1.98</v>
      </c>
      <c r="I523" s="2" t="str">
        <f t="shared" si="1"/>
        <v>149512 - Tech - Paranormal</v>
      </c>
      <c r="J523" s="2">
        <f t="shared" si="2"/>
        <v>599.94</v>
      </c>
      <c r="K523" s="17">
        <f t="shared" si="3"/>
        <v>1</v>
      </c>
      <c r="L523" s="18"/>
    </row>
    <row r="524" hidden="1">
      <c r="A524" s="2">
        <f>IFERROR(__xludf.DUMMYFUNCTION("""COMPUTED_VALUE"""),101489.0)</f>
        <v>101489</v>
      </c>
      <c r="B524" s="2">
        <f>IFERROR(__xludf.DUMMYFUNCTION("""COMPUTED_VALUE"""),0.0)</f>
        <v>0</v>
      </c>
      <c r="C524" s="2">
        <f>IFERROR(__xludf.DUMMYFUNCTION("""COMPUTED_VALUE"""),672.0)</f>
        <v>672</v>
      </c>
      <c r="D524" s="3">
        <f>IFERROR(__xludf.DUMMYFUNCTION("""COMPUTED_VALUE"""),134.0)</f>
        <v>134</v>
      </c>
      <c r="E524" s="1" t="str">
        <f t="array" ref="E524">_xlfn.XLOOKUP(A524,Product!A:A,Product!B:B,"Bulunamadı")</f>
        <v>Tech</v>
      </c>
      <c r="F524" s="1" t="str">
        <f t="array" ref="F524">_xlfn.XLOOKUP(A524,Product!A:A,Product!C:C,"Bulunamadı")</f>
        <v>Paranormal</v>
      </c>
      <c r="G524" s="2" t="str">
        <f t="array" ref="G524">_xlfn.XLOOKUP(A525,Product!A:A,Product!D:D,"Bulunamadı")</f>
        <v>Starfall Publishing</v>
      </c>
      <c r="H524" s="2">
        <f t="array" ref="H524">_xlfn.XLOOKUP(A526,Product!A:A,Product!E:E,"Bulunamadı")</f>
        <v>1.53</v>
      </c>
      <c r="I524" s="2" t="str">
        <f t="shared" si="1"/>
        <v>101489 - Tech - Paranormal</v>
      </c>
      <c r="J524" s="2">
        <f t="shared" si="2"/>
        <v>205.02</v>
      </c>
      <c r="K524" s="17">
        <f t="shared" si="3"/>
        <v>1</v>
      </c>
      <c r="L524" s="18"/>
    </row>
    <row r="525" hidden="1">
      <c r="A525" s="2">
        <f>IFERROR(__xludf.DUMMYFUNCTION("""COMPUTED_VALUE"""),7263.0)</f>
        <v>7263</v>
      </c>
      <c r="B525" s="2">
        <f>IFERROR(__xludf.DUMMYFUNCTION("""COMPUTED_VALUE"""),0.0)</f>
        <v>0</v>
      </c>
      <c r="C525" s="2">
        <f>IFERROR(__xludf.DUMMYFUNCTION("""COMPUTED_VALUE"""),534.0)</f>
        <v>534</v>
      </c>
      <c r="D525" s="3">
        <f>IFERROR(__xludf.DUMMYFUNCTION("""COMPUTED_VALUE"""),152.0)</f>
        <v>152</v>
      </c>
      <c r="E525" s="1" t="str">
        <f t="array" ref="E525">_xlfn.XLOOKUP(A525,Product!A:A,Product!B:B,"Bulunamadı")</f>
        <v>Tech</v>
      </c>
      <c r="F525" s="1" t="str">
        <f t="array" ref="F525">_xlfn.XLOOKUP(A525,Product!A:A,Product!C:C,"Bulunamadı")</f>
        <v>Paranormal</v>
      </c>
      <c r="G525" s="2" t="str">
        <f t="array" ref="G525">_xlfn.XLOOKUP(A526,Product!A:A,Product!D:D,"Bulunamadı")</f>
        <v>Starfall Publishing</v>
      </c>
      <c r="H525" s="2">
        <f t="array" ref="H525">_xlfn.XLOOKUP(A527,Product!A:A,Product!E:E,"Bulunamadı")</f>
        <v>1.53</v>
      </c>
      <c r="I525" s="2" t="str">
        <f t="shared" si="1"/>
        <v>7263 - Tech - Paranormal</v>
      </c>
      <c r="J525" s="2">
        <f t="shared" si="2"/>
        <v>232.56</v>
      </c>
      <c r="K525" s="17">
        <f t="shared" si="3"/>
        <v>1</v>
      </c>
      <c r="L525" s="18"/>
    </row>
    <row r="526" hidden="1">
      <c r="A526" s="2">
        <f>IFERROR(__xludf.DUMMYFUNCTION("""COMPUTED_VALUE"""),149510.0)</f>
        <v>149510</v>
      </c>
      <c r="B526" s="2">
        <f>IFERROR(__xludf.DUMMYFUNCTION("""COMPUTED_VALUE"""),1.0)</f>
        <v>1</v>
      </c>
      <c r="C526" s="2">
        <f>IFERROR(__xludf.DUMMYFUNCTION("""COMPUTED_VALUE"""),459.0)</f>
        <v>459</v>
      </c>
      <c r="D526" s="3">
        <f>IFERROR(__xludf.DUMMYFUNCTION("""COMPUTED_VALUE"""),13.0)</f>
        <v>13</v>
      </c>
      <c r="E526" s="1" t="str">
        <f t="array" ref="E526">_xlfn.XLOOKUP(A526,Product!A:A,Product!B:B,"Bulunamadı")</f>
        <v>Tech</v>
      </c>
      <c r="F526" s="1" t="str">
        <f t="array" ref="F526">_xlfn.XLOOKUP(A526,Product!A:A,Product!C:C,"Bulunamadı")</f>
        <v>Paranormal</v>
      </c>
      <c r="G526" s="2" t="str">
        <f t="array" ref="G526">_xlfn.XLOOKUP(A527,Product!A:A,Product!D:D,"Bulunamadı")</f>
        <v>Starfall Publishing</v>
      </c>
      <c r="H526" s="2">
        <f t="array" ref="H526">_xlfn.XLOOKUP(A528,Product!A:A,Product!E:E,"Bulunamadı")</f>
        <v>1.33</v>
      </c>
      <c r="I526" s="2" t="str">
        <f t="shared" si="1"/>
        <v>149510 - Tech - Paranormal</v>
      </c>
      <c r="J526" s="2">
        <f t="shared" si="2"/>
        <v>17.29</v>
      </c>
      <c r="K526" s="17">
        <f t="shared" si="3"/>
        <v>1</v>
      </c>
      <c r="L526" s="18"/>
    </row>
    <row r="527" hidden="1">
      <c r="A527" s="2">
        <f>IFERROR(__xludf.DUMMYFUNCTION("""COMPUTED_VALUE"""),124692.0)</f>
        <v>124692</v>
      </c>
      <c r="B527" s="2">
        <f>IFERROR(__xludf.DUMMYFUNCTION("""COMPUTED_VALUE"""),1.0)</f>
        <v>1</v>
      </c>
      <c r="C527" s="2">
        <f>IFERROR(__xludf.DUMMYFUNCTION("""COMPUTED_VALUE"""),218.0)</f>
        <v>218</v>
      </c>
      <c r="D527" s="3">
        <f>IFERROR(__xludf.DUMMYFUNCTION("""COMPUTED_VALUE"""),15.0)</f>
        <v>15</v>
      </c>
      <c r="E527" s="1" t="str">
        <f t="array" ref="E527">_xlfn.XLOOKUP(A527,Product!A:A,Product!B:B,"Bulunamadı")</f>
        <v>Tech</v>
      </c>
      <c r="F527" s="1" t="str">
        <f t="array" ref="F527">_xlfn.XLOOKUP(A527,Product!A:A,Product!C:C,"Bulunamadı")</f>
        <v>Paranormal</v>
      </c>
      <c r="G527" s="2" t="str">
        <f t="array" ref="G527">_xlfn.XLOOKUP(A528,Product!A:A,Product!D:D,"Bulunamadı")</f>
        <v>Starfall Publishing</v>
      </c>
      <c r="H527" s="2">
        <f t="array" ref="H527">_xlfn.XLOOKUP(A529,Product!A:A,Product!E:E,"Bulunamadı")</f>
        <v>1.81</v>
      </c>
      <c r="I527" s="2" t="str">
        <f t="shared" si="1"/>
        <v>124692 - Tech - Paranormal</v>
      </c>
      <c r="J527" s="2">
        <f t="shared" si="2"/>
        <v>27.15</v>
      </c>
      <c r="K527" s="17">
        <f t="shared" si="3"/>
        <v>1</v>
      </c>
      <c r="L527" s="18"/>
    </row>
    <row r="528" hidden="1">
      <c r="A528" s="2">
        <f>IFERROR(__xludf.DUMMYFUNCTION("""COMPUTED_VALUE"""),7253.0)</f>
        <v>7253</v>
      </c>
      <c r="B528" s="2">
        <f>IFERROR(__xludf.DUMMYFUNCTION("""COMPUTED_VALUE"""),1.0)</f>
        <v>1</v>
      </c>
      <c r="C528" s="2">
        <f>IFERROR(__xludf.DUMMYFUNCTION("""COMPUTED_VALUE"""),7.0)</f>
        <v>7</v>
      </c>
      <c r="D528" s="3">
        <f>IFERROR(__xludf.DUMMYFUNCTION("""COMPUTED_VALUE"""),6.0)</f>
        <v>6</v>
      </c>
      <c r="E528" s="1" t="str">
        <f t="array" ref="E528">_xlfn.XLOOKUP(A528,Product!A:A,Product!B:B,"Bulunamadı")</f>
        <v>Tech</v>
      </c>
      <c r="F528" s="1" t="str">
        <f t="array" ref="F528">_xlfn.XLOOKUP(A528,Product!A:A,Product!C:C,"Bulunamadı")</f>
        <v>Paranormal</v>
      </c>
      <c r="G528" s="2" t="str">
        <f t="array" ref="G528">_xlfn.XLOOKUP(A529,Product!A:A,Product!D:D,"Bulunamadı")</f>
        <v>Starfall Publishing</v>
      </c>
      <c r="H528" s="2">
        <f t="array" ref="H528">_xlfn.XLOOKUP(A530,Product!A:A,Product!E:E,"Bulunamadı")</f>
        <v>1.63</v>
      </c>
      <c r="I528" s="2" t="str">
        <f t="shared" si="1"/>
        <v>7253 - Tech - Paranormal</v>
      </c>
      <c r="J528" s="2">
        <f t="shared" si="2"/>
        <v>9.78</v>
      </c>
      <c r="K528" s="17">
        <f t="shared" si="3"/>
        <v>1</v>
      </c>
      <c r="L528" s="18"/>
    </row>
    <row r="529" hidden="1">
      <c r="A529" s="2">
        <f>IFERROR(__xludf.DUMMYFUNCTION("""COMPUTED_VALUE"""),109999.0)</f>
        <v>109999</v>
      </c>
      <c r="B529" s="2">
        <f>IFERROR(__xludf.DUMMYFUNCTION("""COMPUTED_VALUE"""),1.0)</f>
        <v>1</v>
      </c>
      <c r="C529" s="2">
        <f>IFERROR(__xludf.DUMMYFUNCTION("""COMPUTED_VALUE"""),247.0)</f>
        <v>247</v>
      </c>
      <c r="D529" s="3">
        <f>IFERROR(__xludf.DUMMYFUNCTION("""COMPUTED_VALUE"""),134.0)</f>
        <v>134</v>
      </c>
      <c r="E529" s="1" t="str">
        <f t="array" ref="E529">_xlfn.XLOOKUP(A529,Product!A:A,Product!B:B,"Bulunamadı")</f>
        <v>Tech</v>
      </c>
      <c r="F529" s="1" t="str">
        <f t="array" ref="F529">_xlfn.XLOOKUP(A529,Product!A:A,Product!C:C,"Bulunamadı")</f>
        <v>Paranormal</v>
      </c>
      <c r="G529" s="2" t="str">
        <f t="array" ref="G529">_xlfn.XLOOKUP(A530,Product!A:A,Product!D:D,"Bulunamadı")</f>
        <v>Starfall Publishing</v>
      </c>
      <c r="H529" s="2">
        <f t="array" ref="H529">_xlfn.XLOOKUP(A531,Product!A:A,Product!E:E,"Bulunamadı")</f>
        <v>48.01</v>
      </c>
      <c r="I529" s="2" t="str">
        <f t="shared" si="1"/>
        <v>109999 - Tech - Paranormal</v>
      </c>
      <c r="J529" s="2">
        <f t="shared" si="2"/>
        <v>6433.34</v>
      </c>
      <c r="K529" s="17">
        <f t="shared" si="3"/>
        <v>1</v>
      </c>
      <c r="L529" s="18"/>
    </row>
    <row r="530" hidden="1">
      <c r="A530" s="2">
        <f>IFERROR(__xludf.DUMMYFUNCTION("""COMPUTED_VALUE"""),101535.0)</f>
        <v>101535</v>
      </c>
      <c r="B530" s="2">
        <f>IFERROR(__xludf.DUMMYFUNCTION("""COMPUTED_VALUE"""),0.0)</f>
        <v>0</v>
      </c>
      <c r="C530" s="2">
        <f>IFERROR(__xludf.DUMMYFUNCTION("""COMPUTED_VALUE"""),125.0)</f>
        <v>125</v>
      </c>
      <c r="D530" s="3">
        <f>IFERROR(__xludf.DUMMYFUNCTION("""COMPUTED_VALUE"""),62.0)</f>
        <v>62</v>
      </c>
      <c r="E530" s="1" t="str">
        <f t="array" ref="E530">_xlfn.XLOOKUP(A530,Product!A:A,Product!B:B,"Bulunamadı")</f>
        <v>Tech</v>
      </c>
      <c r="F530" s="1" t="str">
        <f t="array" ref="F530">_xlfn.XLOOKUP(A530,Product!A:A,Product!C:C,"Bulunamadı")</f>
        <v>Paranormal</v>
      </c>
      <c r="G530" s="2" t="str">
        <f t="array" ref="G530">_xlfn.XLOOKUP(A531,Product!A:A,Product!D:D,"Bulunamadı")</f>
        <v>Starfall Publishing</v>
      </c>
      <c r="H530" s="2">
        <f t="array" ref="H530">_xlfn.XLOOKUP(A532,Product!A:A,Product!E:E,"Bulunamadı")</f>
        <v>1.56</v>
      </c>
      <c r="I530" s="2" t="str">
        <f t="shared" si="1"/>
        <v>101535 - Tech - Paranormal</v>
      </c>
      <c r="J530" s="2">
        <f t="shared" si="2"/>
        <v>96.72</v>
      </c>
      <c r="K530" s="17">
        <f t="shared" si="3"/>
        <v>1</v>
      </c>
      <c r="L530" s="18"/>
    </row>
    <row r="531" hidden="1">
      <c r="A531" s="2">
        <f>IFERROR(__xludf.DUMMYFUNCTION("""COMPUTED_VALUE"""),181795.0)</f>
        <v>181795</v>
      </c>
      <c r="B531" s="2">
        <f>IFERROR(__xludf.DUMMYFUNCTION("""COMPUTED_VALUE"""),1.0)</f>
        <v>1</v>
      </c>
      <c r="C531" s="2">
        <f>IFERROR(__xludf.DUMMYFUNCTION("""COMPUTED_VALUE"""),532.0)</f>
        <v>532</v>
      </c>
      <c r="D531" s="3">
        <f>IFERROR(__xludf.DUMMYFUNCTION("""COMPUTED_VALUE"""),339.0)</f>
        <v>339</v>
      </c>
      <c r="E531" s="1" t="str">
        <f t="array" ref="E531">_xlfn.XLOOKUP(A531,Product!A:A,Product!B:B,"Bulunamadı")</f>
        <v>Tech</v>
      </c>
      <c r="F531" s="1" t="str">
        <f t="array" ref="F531">_xlfn.XLOOKUP(A531,Product!A:A,Product!C:C,"Bulunamadı")</f>
        <v>Paranormal</v>
      </c>
      <c r="G531" s="2" t="str">
        <f t="array" ref="G531">_xlfn.XLOOKUP(A532,Product!A:A,Product!D:D,"Bulunamadı")</f>
        <v>Starfall Publishing</v>
      </c>
      <c r="H531" s="2">
        <f t="array" ref="H531">_xlfn.XLOOKUP(A533,Product!A:A,Product!E:E,"Bulunamadı")</f>
        <v>1.75</v>
      </c>
      <c r="I531" s="2" t="str">
        <f t="shared" si="1"/>
        <v>181795 - Tech - Paranormal</v>
      </c>
      <c r="J531" s="2">
        <f t="shared" si="2"/>
        <v>593.25</v>
      </c>
      <c r="K531" s="17">
        <f t="shared" si="3"/>
        <v>1</v>
      </c>
      <c r="L531" s="18"/>
    </row>
    <row r="532" hidden="1">
      <c r="A532" s="2">
        <f>IFERROR(__xludf.DUMMYFUNCTION("""COMPUTED_VALUE"""),124686.0)</f>
        <v>124686</v>
      </c>
      <c r="B532" s="2">
        <f>IFERROR(__xludf.DUMMYFUNCTION("""COMPUTED_VALUE"""),1.0)</f>
        <v>1</v>
      </c>
      <c r="C532" s="2">
        <f>IFERROR(__xludf.DUMMYFUNCTION("""COMPUTED_VALUE"""),103.0)</f>
        <v>103</v>
      </c>
      <c r="D532" s="3">
        <f>IFERROR(__xludf.DUMMYFUNCTION("""COMPUTED_VALUE"""),81.0)</f>
        <v>81</v>
      </c>
      <c r="E532" s="1" t="str">
        <f t="array" ref="E532">_xlfn.XLOOKUP(A532,Product!A:A,Product!B:B,"Bulunamadı")</f>
        <v>Tech</v>
      </c>
      <c r="F532" s="1" t="str">
        <f t="array" ref="F532">_xlfn.XLOOKUP(A532,Product!A:A,Product!C:C,"Bulunamadı")</f>
        <v>Paranormal</v>
      </c>
      <c r="G532" s="2" t="str">
        <f t="array" ref="G532">_xlfn.XLOOKUP(A533,Product!A:A,Product!D:D,"Bulunamadı")</f>
        <v>Starfall Publishing</v>
      </c>
      <c r="H532" s="2">
        <f t="array" ref="H532">_xlfn.XLOOKUP(A534,Product!A:A,Product!E:E,"Bulunamadı")</f>
        <v>1.19</v>
      </c>
      <c r="I532" s="2" t="str">
        <f t="shared" si="1"/>
        <v>124686 - Tech - Paranormal</v>
      </c>
      <c r="J532" s="2">
        <f t="shared" si="2"/>
        <v>96.39</v>
      </c>
      <c r="K532" s="17">
        <f t="shared" si="3"/>
        <v>1</v>
      </c>
      <c r="L532" s="18"/>
    </row>
    <row r="533" hidden="1">
      <c r="A533" s="2">
        <f>IFERROR(__xludf.DUMMYFUNCTION("""COMPUTED_VALUE"""),110003.0)</f>
        <v>110003</v>
      </c>
      <c r="B533" s="2">
        <f>IFERROR(__xludf.DUMMYFUNCTION("""COMPUTED_VALUE"""),0.0)</f>
        <v>0</v>
      </c>
      <c r="C533" s="2">
        <f>IFERROR(__xludf.DUMMYFUNCTION("""COMPUTED_VALUE"""),4.0)</f>
        <v>4</v>
      </c>
      <c r="D533" s="3">
        <f>IFERROR(__xludf.DUMMYFUNCTION("""COMPUTED_VALUE"""),2.0)</f>
        <v>2</v>
      </c>
      <c r="E533" s="1" t="str">
        <f t="array" ref="E533">_xlfn.XLOOKUP(A533,Product!A:A,Product!B:B,"Bulunamadı")</f>
        <v>Tech</v>
      </c>
      <c r="F533" s="1" t="str">
        <f t="array" ref="F533">_xlfn.XLOOKUP(A533,Product!A:A,Product!C:C,"Bulunamadı")</f>
        <v>Paranormal</v>
      </c>
      <c r="G533" s="2" t="str">
        <f t="array" ref="G533">_xlfn.XLOOKUP(A534,Product!A:A,Product!D:D,"Bulunamadı")</f>
        <v>Starfall Publishing</v>
      </c>
      <c r="H533" s="2">
        <f t="array" ref="H533">_xlfn.XLOOKUP(A535,Product!A:A,Product!E:E,"Bulunamadı")</f>
        <v>1.66</v>
      </c>
      <c r="I533" s="2" t="str">
        <f t="shared" si="1"/>
        <v>110003 - Tech - Paranormal</v>
      </c>
      <c r="J533" s="2">
        <f t="shared" si="2"/>
        <v>3.32</v>
      </c>
      <c r="K533" s="17">
        <f t="shared" si="3"/>
        <v>1</v>
      </c>
      <c r="L533" s="18"/>
    </row>
    <row r="534" hidden="1">
      <c r="A534" s="2">
        <f>IFERROR(__xludf.DUMMYFUNCTION("""COMPUTED_VALUE"""),124691.0)</f>
        <v>124691</v>
      </c>
      <c r="B534" s="2">
        <f>IFERROR(__xludf.DUMMYFUNCTION("""COMPUTED_VALUE"""),1.0)</f>
        <v>1</v>
      </c>
      <c r="C534" s="2">
        <f>IFERROR(__xludf.DUMMYFUNCTION("""COMPUTED_VALUE"""),23.0)</f>
        <v>23</v>
      </c>
      <c r="D534" s="3">
        <f>IFERROR(__xludf.DUMMYFUNCTION("""COMPUTED_VALUE"""),20.0)</f>
        <v>20</v>
      </c>
      <c r="E534" s="1" t="str">
        <f t="array" ref="E534">_xlfn.XLOOKUP(A534,Product!A:A,Product!B:B,"Bulunamadı")</f>
        <v>Tech</v>
      </c>
      <c r="F534" s="1" t="str">
        <f t="array" ref="F534">_xlfn.XLOOKUP(A534,Product!A:A,Product!C:C,"Bulunamadı")</f>
        <v>Paranormal</v>
      </c>
      <c r="G534" s="2" t="str">
        <f t="array" ref="G534">_xlfn.XLOOKUP(A535,Product!A:A,Product!D:D,"Bulunamadı")</f>
        <v>Starfall Publishing</v>
      </c>
      <c r="H534" s="2">
        <f t="array" ref="H534">_xlfn.XLOOKUP(A536,Product!A:A,Product!E:E,"Bulunamadı")</f>
        <v>1.75</v>
      </c>
      <c r="I534" s="2" t="str">
        <f t="shared" si="1"/>
        <v>124691 - Tech - Paranormal</v>
      </c>
      <c r="J534" s="2">
        <f t="shared" si="2"/>
        <v>35</v>
      </c>
      <c r="K534" s="17">
        <f t="shared" si="3"/>
        <v>1</v>
      </c>
      <c r="L534" s="18"/>
    </row>
    <row r="535" hidden="1">
      <c r="A535" s="2">
        <f>IFERROR(__xludf.DUMMYFUNCTION("""COMPUTED_VALUE"""),98444.0)</f>
        <v>98444</v>
      </c>
      <c r="B535" s="2">
        <f>IFERROR(__xludf.DUMMYFUNCTION("""COMPUTED_VALUE"""),1.0)</f>
        <v>1</v>
      </c>
      <c r="C535" s="2">
        <f>IFERROR(__xludf.DUMMYFUNCTION("""COMPUTED_VALUE"""),469.0)</f>
        <v>469</v>
      </c>
      <c r="D535" s="3">
        <f>IFERROR(__xludf.DUMMYFUNCTION("""COMPUTED_VALUE"""),31.0)</f>
        <v>31</v>
      </c>
      <c r="E535" s="1" t="str">
        <f t="array" ref="E535">_xlfn.XLOOKUP(A535,Product!A:A,Product!B:B,"Bulunamadı")</f>
        <v>Tech</v>
      </c>
      <c r="F535" s="1" t="str">
        <f t="array" ref="F535">_xlfn.XLOOKUP(A535,Product!A:A,Product!C:C,"Bulunamadı")</f>
        <v>Paranormal</v>
      </c>
      <c r="G535" s="2" t="str">
        <f t="array" ref="G535">_xlfn.XLOOKUP(A536,Product!A:A,Product!D:D,"Bulunamadı")</f>
        <v>Starfall Publishing</v>
      </c>
      <c r="H535" s="2">
        <f t="array" ref="H535">_xlfn.XLOOKUP(A537,Product!A:A,Product!E:E,"Bulunamadı")</f>
        <v>1.51</v>
      </c>
      <c r="I535" s="2" t="str">
        <f t="shared" si="1"/>
        <v>98444 - Tech - Paranormal</v>
      </c>
      <c r="J535" s="2">
        <f t="shared" si="2"/>
        <v>46.81</v>
      </c>
      <c r="K535" s="17">
        <f t="shared" si="3"/>
        <v>1</v>
      </c>
      <c r="L535" s="18"/>
    </row>
    <row r="536" hidden="1">
      <c r="A536" s="2">
        <f>IFERROR(__xludf.DUMMYFUNCTION("""COMPUTED_VALUE"""),110393.0)</f>
        <v>110393</v>
      </c>
      <c r="B536" s="2">
        <f>IFERROR(__xludf.DUMMYFUNCTION("""COMPUTED_VALUE"""),1.0)</f>
        <v>1</v>
      </c>
      <c r="C536" s="2">
        <f>IFERROR(__xludf.DUMMYFUNCTION("""COMPUTED_VALUE"""),204.0)</f>
        <v>204</v>
      </c>
      <c r="D536" s="3">
        <f>IFERROR(__xludf.DUMMYFUNCTION("""COMPUTED_VALUE"""),187.0)</f>
        <v>187</v>
      </c>
      <c r="E536" s="1" t="str">
        <f t="array" ref="E536">_xlfn.XLOOKUP(A536,Product!A:A,Product!B:B,"Bulunamadı")</f>
        <v>Tech</v>
      </c>
      <c r="F536" s="1" t="str">
        <f t="array" ref="F536">_xlfn.XLOOKUP(A536,Product!A:A,Product!C:C,"Bulunamadı")</f>
        <v>Paranormal</v>
      </c>
      <c r="G536" s="2" t="str">
        <f t="array" ref="G536">_xlfn.XLOOKUP(A537,Product!A:A,Product!D:D,"Bulunamadı")</f>
        <v>Starfall Publishing</v>
      </c>
      <c r="H536" s="2">
        <f t="array" ref="H536">_xlfn.XLOOKUP(A538,Product!A:A,Product!E:E,"Bulunamadı")</f>
        <v>8.34</v>
      </c>
      <c r="I536" s="2" t="str">
        <f t="shared" si="1"/>
        <v>110393 - Tech - Paranormal</v>
      </c>
      <c r="J536" s="2">
        <f t="shared" si="2"/>
        <v>1559.58</v>
      </c>
      <c r="K536" s="17">
        <f t="shared" si="3"/>
        <v>1</v>
      </c>
      <c r="L536" s="18"/>
    </row>
    <row r="537" hidden="1">
      <c r="A537" s="2">
        <f>IFERROR(__xludf.DUMMYFUNCTION("""COMPUTED_VALUE"""),7254.0)</f>
        <v>7254</v>
      </c>
      <c r="B537" s="2">
        <f>IFERROR(__xludf.DUMMYFUNCTION("""COMPUTED_VALUE"""),1.0)</f>
        <v>1</v>
      </c>
      <c r="C537" s="2">
        <f>IFERROR(__xludf.DUMMYFUNCTION("""COMPUTED_VALUE"""),831.0)</f>
        <v>831</v>
      </c>
      <c r="D537" s="3">
        <f>IFERROR(__xludf.DUMMYFUNCTION("""COMPUTED_VALUE"""),61.0)</f>
        <v>61</v>
      </c>
      <c r="E537" s="1" t="str">
        <f t="array" ref="E537">_xlfn.XLOOKUP(A537,Product!A:A,Product!B:B,"Bulunamadı")</f>
        <v>Tech</v>
      </c>
      <c r="F537" s="1" t="str">
        <f t="array" ref="F537">_xlfn.XLOOKUP(A537,Product!A:A,Product!C:C,"Bulunamadı")</f>
        <v>Paranormal</v>
      </c>
      <c r="G537" s="2" t="str">
        <f t="array" ref="G537">_xlfn.XLOOKUP(A538,Product!A:A,Product!D:D,"Bulunamadı")</f>
        <v>Starfall Publishing</v>
      </c>
      <c r="H537" s="2">
        <f t="array" ref="H537">_xlfn.XLOOKUP(A539,Product!A:A,Product!E:E,"Bulunamadı")</f>
        <v>2</v>
      </c>
      <c r="I537" s="2" t="str">
        <f t="shared" si="1"/>
        <v>7254 - Tech - Paranormal</v>
      </c>
      <c r="J537" s="2">
        <f t="shared" si="2"/>
        <v>122</v>
      </c>
      <c r="K537" s="17">
        <f t="shared" si="3"/>
        <v>1</v>
      </c>
      <c r="L537" s="18"/>
    </row>
    <row r="538" hidden="1">
      <c r="A538" s="2">
        <f>IFERROR(__xludf.DUMMYFUNCTION("""COMPUTED_VALUE"""),86502.0)</f>
        <v>86502</v>
      </c>
      <c r="B538" s="2">
        <f>IFERROR(__xludf.DUMMYFUNCTION("""COMPUTED_VALUE"""),0.0)</f>
        <v>0</v>
      </c>
      <c r="C538" s="2">
        <f>IFERROR(__xludf.DUMMYFUNCTION("""COMPUTED_VALUE"""),420.0)</f>
        <v>420</v>
      </c>
      <c r="D538" s="3">
        <f>IFERROR(__xludf.DUMMYFUNCTION("""COMPUTED_VALUE"""),228.0)</f>
        <v>228</v>
      </c>
      <c r="E538" s="1" t="str">
        <f t="array" ref="E538">_xlfn.XLOOKUP(A538,Product!A:A,Product!B:B,"Bulunamadı")</f>
        <v>Tech</v>
      </c>
      <c r="F538" s="1" t="str">
        <f t="array" ref="F538">_xlfn.XLOOKUP(A538,Product!A:A,Product!C:C,"Bulunamadı")</f>
        <v>Paranormal</v>
      </c>
      <c r="G538" s="2" t="str">
        <f t="array" ref="G538">_xlfn.XLOOKUP(A539,Product!A:A,Product!D:D,"Bulunamadı")</f>
        <v>Starfall Publishing</v>
      </c>
      <c r="H538" s="2">
        <f t="array" ref="H538">_xlfn.XLOOKUP(A540,Product!A:A,Product!E:E,"Bulunamadı")</f>
        <v>1.38</v>
      </c>
      <c r="I538" s="2" t="str">
        <f t="shared" si="1"/>
        <v>86502 - Tech - Paranormal</v>
      </c>
      <c r="J538" s="2">
        <f t="shared" si="2"/>
        <v>314.64</v>
      </c>
      <c r="K538" s="17">
        <f t="shared" si="3"/>
        <v>1</v>
      </c>
      <c r="L538" s="18"/>
    </row>
    <row r="539" hidden="1">
      <c r="A539" s="2">
        <f>IFERROR(__xludf.DUMMYFUNCTION("""COMPUTED_VALUE"""),98442.0)</f>
        <v>98442</v>
      </c>
      <c r="B539" s="2">
        <f>IFERROR(__xludf.DUMMYFUNCTION("""COMPUTED_VALUE"""),1.0)</f>
        <v>1</v>
      </c>
      <c r="C539" s="2">
        <f>IFERROR(__xludf.DUMMYFUNCTION("""COMPUTED_VALUE"""),118.0)</f>
        <v>118</v>
      </c>
      <c r="D539" s="3">
        <f>IFERROR(__xludf.DUMMYFUNCTION("""COMPUTED_VALUE"""),59.0)</f>
        <v>59</v>
      </c>
      <c r="E539" s="1" t="str">
        <f t="array" ref="E539">_xlfn.XLOOKUP(A539,Product!A:A,Product!B:B,"Bulunamadı")</f>
        <v>Tech</v>
      </c>
      <c r="F539" s="1" t="str">
        <f t="array" ref="F539">_xlfn.XLOOKUP(A539,Product!A:A,Product!C:C,"Bulunamadı")</f>
        <v>Paranormal</v>
      </c>
      <c r="G539" s="2" t="str">
        <f t="array" ref="G539">_xlfn.XLOOKUP(A540,Product!A:A,Product!D:D,"Bulunamadı")</f>
        <v>Starfall Publishing</v>
      </c>
      <c r="H539" s="2">
        <f t="array" ref="H539">_xlfn.XLOOKUP(A541,Product!A:A,Product!E:E,"Bulunamadı")</f>
        <v>1.62</v>
      </c>
      <c r="I539" s="2" t="str">
        <f t="shared" si="1"/>
        <v>98442 - Tech - Paranormal</v>
      </c>
      <c r="J539" s="2">
        <f t="shared" si="2"/>
        <v>95.58</v>
      </c>
      <c r="K539" s="17">
        <f t="shared" si="3"/>
        <v>1</v>
      </c>
      <c r="L539" s="18"/>
    </row>
    <row r="540" hidden="1">
      <c r="A540" s="2">
        <f>IFERROR(__xludf.DUMMYFUNCTION("""COMPUTED_VALUE"""),7256.0)</f>
        <v>7256</v>
      </c>
      <c r="B540" s="2">
        <f>IFERROR(__xludf.DUMMYFUNCTION("""COMPUTED_VALUE"""),0.0)</f>
        <v>0</v>
      </c>
      <c r="C540" s="2">
        <f>IFERROR(__xludf.DUMMYFUNCTION("""COMPUTED_VALUE"""),887.0)</f>
        <v>887</v>
      </c>
      <c r="D540" s="3">
        <f>IFERROR(__xludf.DUMMYFUNCTION("""COMPUTED_VALUE"""),531.0)</f>
        <v>531</v>
      </c>
      <c r="E540" s="1" t="str">
        <f t="array" ref="E540">_xlfn.XLOOKUP(A540,Product!A:A,Product!B:B,"Bulunamadı")</f>
        <v>Tech</v>
      </c>
      <c r="F540" s="1" t="str">
        <f t="array" ref="F540">_xlfn.XLOOKUP(A540,Product!A:A,Product!C:C,"Bulunamadı")</f>
        <v>Paranormal</v>
      </c>
      <c r="G540" s="2" t="str">
        <f t="array" ref="G540">_xlfn.XLOOKUP(A541,Product!A:A,Product!D:D,"Bulunamadı")</f>
        <v>Starfall Publishing</v>
      </c>
      <c r="H540" s="2">
        <f t="array" ref="H540">_xlfn.XLOOKUP(A542,Product!A:A,Product!E:E,"Bulunamadı")</f>
        <v>1.89</v>
      </c>
      <c r="I540" s="2" t="str">
        <f t="shared" si="1"/>
        <v>7256 - Tech - Paranormal</v>
      </c>
      <c r="J540" s="2">
        <f t="shared" si="2"/>
        <v>1003.59</v>
      </c>
      <c r="K540" s="17">
        <f t="shared" si="3"/>
        <v>1</v>
      </c>
      <c r="L540" s="18"/>
    </row>
    <row r="541" hidden="1">
      <c r="A541" s="2">
        <f>IFERROR(__xludf.DUMMYFUNCTION("""COMPUTED_VALUE"""),110394.0)</f>
        <v>110394</v>
      </c>
      <c r="B541" s="2">
        <f>IFERROR(__xludf.DUMMYFUNCTION("""COMPUTED_VALUE"""),0.0)</f>
        <v>0</v>
      </c>
      <c r="C541" s="2">
        <f>IFERROR(__xludf.DUMMYFUNCTION("""COMPUTED_VALUE"""),896.0)</f>
        <v>896</v>
      </c>
      <c r="D541" s="3">
        <f>IFERROR(__xludf.DUMMYFUNCTION("""COMPUTED_VALUE"""),231.0)</f>
        <v>231</v>
      </c>
      <c r="E541" s="1" t="str">
        <f t="array" ref="E541">_xlfn.XLOOKUP(A541,Product!A:A,Product!B:B,"Bulunamadı")</f>
        <v>Tech</v>
      </c>
      <c r="F541" s="1" t="str">
        <f t="array" ref="F541">_xlfn.XLOOKUP(A541,Product!A:A,Product!C:C,"Bulunamadı")</f>
        <v>Paranormal</v>
      </c>
      <c r="G541" s="2" t="str">
        <f t="array" ref="G541">_xlfn.XLOOKUP(A542,Product!A:A,Product!D:D,"Bulunamadı")</f>
        <v>Starfall Publishing</v>
      </c>
      <c r="H541" s="2">
        <f t="array" ref="H541">_xlfn.XLOOKUP(A543,Product!A:A,Product!E:E,"Bulunamadı")</f>
        <v>6.05</v>
      </c>
      <c r="I541" s="2" t="str">
        <f t="shared" si="1"/>
        <v>110394 - Tech - Paranormal</v>
      </c>
      <c r="J541" s="2">
        <f t="shared" si="2"/>
        <v>1397.55</v>
      </c>
      <c r="K541" s="17">
        <f t="shared" si="3"/>
        <v>1</v>
      </c>
      <c r="L541" s="18"/>
    </row>
    <row r="542" hidden="1">
      <c r="A542" s="2">
        <f>IFERROR(__xludf.DUMMYFUNCTION("""COMPUTED_VALUE"""),120998.0)</f>
        <v>120998</v>
      </c>
      <c r="B542" s="2">
        <f>IFERROR(__xludf.DUMMYFUNCTION("""COMPUTED_VALUE"""),1.0)</f>
        <v>1</v>
      </c>
      <c r="C542" s="2">
        <f>IFERROR(__xludf.DUMMYFUNCTION("""COMPUTED_VALUE"""),354.0)</f>
        <v>354</v>
      </c>
      <c r="D542" s="3">
        <f>IFERROR(__xludf.DUMMYFUNCTION("""COMPUTED_VALUE"""),305.0)</f>
        <v>305</v>
      </c>
      <c r="E542" s="1" t="str">
        <f t="array" ref="E542">_xlfn.XLOOKUP(A542,Product!A:A,Product!B:B,"Bulunamadı")</f>
        <v>Tech</v>
      </c>
      <c r="F542" s="1" t="str">
        <f t="array" ref="F542">_xlfn.XLOOKUP(A542,Product!A:A,Product!C:C,"Bulunamadı")</f>
        <v>Paranormal</v>
      </c>
      <c r="G542" s="2" t="str">
        <f t="array" ref="G542">_xlfn.XLOOKUP(A543,Product!A:A,Product!D:D,"Bulunamadı")</f>
        <v>Starfall Publishing</v>
      </c>
      <c r="H542" s="2">
        <f t="array" ref="H542">_xlfn.XLOOKUP(A544,Product!A:A,Product!E:E,"Bulunamadı")</f>
        <v>8.28</v>
      </c>
      <c r="I542" s="2" t="str">
        <f t="shared" si="1"/>
        <v>120998 - Tech - Paranormal</v>
      </c>
      <c r="J542" s="2">
        <f t="shared" si="2"/>
        <v>2525.4</v>
      </c>
      <c r="K542" s="17">
        <f t="shared" si="3"/>
        <v>1</v>
      </c>
      <c r="L542" s="18"/>
    </row>
    <row r="543" hidden="1">
      <c r="A543" s="2">
        <f>IFERROR(__xludf.DUMMYFUNCTION("""COMPUTED_VALUE"""),17674.0)</f>
        <v>17674</v>
      </c>
      <c r="B543" s="2">
        <f>IFERROR(__xludf.DUMMYFUNCTION("""COMPUTED_VALUE"""),1.0)</f>
        <v>1</v>
      </c>
      <c r="C543" s="2">
        <f>IFERROR(__xludf.DUMMYFUNCTION("""COMPUTED_VALUE"""),516.0)</f>
        <v>516</v>
      </c>
      <c r="D543" s="3">
        <f>IFERROR(__xludf.DUMMYFUNCTION("""COMPUTED_VALUE"""),310.0)</f>
        <v>310</v>
      </c>
      <c r="E543" s="1" t="str">
        <f t="array" ref="E543">_xlfn.XLOOKUP(A543,Product!A:A,Product!B:B,"Bulunamadı")</f>
        <v>Tech</v>
      </c>
      <c r="F543" s="1" t="str">
        <f t="array" ref="F543">_xlfn.XLOOKUP(A543,Product!A:A,Product!C:C,"Bulunamadı")</f>
        <v>Paranormal</v>
      </c>
      <c r="G543" s="2" t="str">
        <f t="array" ref="G543">_xlfn.XLOOKUP(A544,Product!A:A,Product!D:D,"Bulunamadı")</f>
        <v>Starfall Publishing</v>
      </c>
      <c r="H543" s="2">
        <f t="array" ref="H543">_xlfn.XLOOKUP(A545,Product!A:A,Product!E:E,"Bulunamadı")</f>
        <v>10.04</v>
      </c>
      <c r="I543" s="2" t="str">
        <f t="shared" si="1"/>
        <v>17674 - Tech - Paranormal</v>
      </c>
      <c r="J543" s="2">
        <f t="shared" si="2"/>
        <v>3112.4</v>
      </c>
      <c r="K543" s="17">
        <f t="shared" si="3"/>
        <v>1</v>
      </c>
      <c r="L543" s="18"/>
    </row>
    <row r="544" hidden="1">
      <c r="A544" s="2">
        <f>IFERROR(__xludf.DUMMYFUNCTION("""COMPUTED_VALUE"""),102946.0)</f>
        <v>102946</v>
      </c>
      <c r="B544" s="2">
        <f>IFERROR(__xludf.DUMMYFUNCTION("""COMPUTED_VALUE"""),1.0)</f>
        <v>1</v>
      </c>
      <c r="C544" s="2">
        <f>IFERROR(__xludf.DUMMYFUNCTION("""COMPUTED_VALUE"""),38.0)</f>
        <v>38</v>
      </c>
      <c r="D544" s="3">
        <f>IFERROR(__xludf.DUMMYFUNCTION("""COMPUTED_VALUE"""),20.0)</f>
        <v>20</v>
      </c>
      <c r="E544" s="1" t="str">
        <f t="array" ref="E544">_xlfn.XLOOKUP(A544,Product!A:A,Product!B:B,"Bulunamadı")</f>
        <v>Tech</v>
      </c>
      <c r="F544" s="1" t="str">
        <f t="array" ref="F544">_xlfn.XLOOKUP(A544,Product!A:A,Product!C:C,"Bulunamadı")</f>
        <v>Paranormal</v>
      </c>
      <c r="G544" s="2" t="str">
        <f t="array" ref="G544">_xlfn.XLOOKUP(A545,Product!A:A,Product!D:D,"Bulunamadı")</f>
        <v>Starfall Publishing</v>
      </c>
      <c r="H544" s="2">
        <f t="array" ref="H544">_xlfn.XLOOKUP(A546,Product!A:A,Product!E:E,"Bulunamadı")</f>
        <v>1.75</v>
      </c>
      <c r="I544" s="2" t="str">
        <f t="shared" si="1"/>
        <v>102946 - Tech - Paranormal</v>
      </c>
      <c r="J544" s="2">
        <f t="shared" si="2"/>
        <v>35</v>
      </c>
      <c r="K544" s="17">
        <f t="shared" si="3"/>
        <v>1</v>
      </c>
      <c r="L544" s="18"/>
    </row>
    <row r="545" hidden="1">
      <c r="A545" s="2">
        <f>IFERROR(__xludf.DUMMYFUNCTION("""COMPUTED_VALUE"""),102947.0)</f>
        <v>102947</v>
      </c>
      <c r="B545" s="2">
        <f>IFERROR(__xludf.DUMMYFUNCTION("""COMPUTED_VALUE"""),1.0)</f>
        <v>1</v>
      </c>
      <c r="C545" s="2">
        <f>IFERROR(__xludf.DUMMYFUNCTION("""COMPUTED_VALUE"""),224.0)</f>
        <v>224</v>
      </c>
      <c r="D545" s="3">
        <f>IFERROR(__xludf.DUMMYFUNCTION("""COMPUTED_VALUE"""),27.0)</f>
        <v>27</v>
      </c>
      <c r="E545" s="1" t="str">
        <f t="array" ref="E545">_xlfn.XLOOKUP(A545,Product!A:A,Product!B:B,"Bulunamadı")</f>
        <v>Tech</v>
      </c>
      <c r="F545" s="1" t="str">
        <f t="array" ref="F545">_xlfn.XLOOKUP(A545,Product!A:A,Product!C:C,"Bulunamadı")</f>
        <v>Paranormal</v>
      </c>
      <c r="G545" s="2" t="str">
        <f t="array" ref="G545">_xlfn.XLOOKUP(A546,Product!A:A,Product!D:D,"Bulunamadı")</f>
        <v>Starfall Publishing</v>
      </c>
      <c r="H545" s="2">
        <f t="array" ref="H545">_xlfn.XLOOKUP(A547,Product!A:A,Product!E:E,"Bulunamadı")</f>
        <v>2.41</v>
      </c>
      <c r="I545" s="2" t="str">
        <f t="shared" si="1"/>
        <v>102947 - Tech - Paranormal</v>
      </c>
      <c r="J545" s="2">
        <f t="shared" si="2"/>
        <v>65.07</v>
      </c>
      <c r="K545" s="17">
        <f t="shared" si="3"/>
        <v>1</v>
      </c>
      <c r="L545" s="18"/>
    </row>
    <row r="546" hidden="1">
      <c r="A546" s="2">
        <f>IFERROR(__xludf.DUMMYFUNCTION("""COMPUTED_VALUE"""),98445.0)</f>
        <v>98445</v>
      </c>
      <c r="B546" s="2">
        <f>IFERROR(__xludf.DUMMYFUNCTION("""COMPUTED_VALUE"""),1.0)</f>
        <v>1</v>
      </c>
      <c r="C546" s="2">
        <f>IFERROR(__xludf.DUMMYFUNCTION("""COMPUTED_VALUE"""),607.0)</f>
        <v>607</v>
      </c>
      <c r="D546" s="3">
        <f>IFERROR(__xludf.DUMMYFUNCTION("""COMPUTED_VALUE"""),285.0)</f>
        <v>285</v>
      </c>
      <c r="E546" s="1" t="str">
        <f t="array" ref="E546">_xlfn.XLOOKUP(A546,Product!A:A,Product!B:B,"Bulunamadı")</f>
        <v>Tech</v>
      </c>
      <c r="F546" s="1" t="str">
        <f t="array" ref="F546">_xlfn.XLOOKUP(A546,Product!A:A,Product!C:C,"Bulunamadı")</f>
        <v>Paranormal</v>
      </c>
      <c r="G546" s="2" t="str">
        <f t="array" ref="G546">_xlfn.XLOOKUP(A547,Product!A:A,Product!D:D,"Bulunamadı")</f>
        <v>Starfall Publishing</v>
      </c>
      <c r="H546" s="2">
        <f t="array" ref="H546">_xlfn.XLOOKUP(A548,Product!A:A,Product!E:E,"Bulunamadı")</f>
        <v>2.5</v>
      </c>
      <c r="I546" s="2" t="str">
        <f t="shared" si="1"/>
        <v>98445 - Tech - Paranormal</v>
      </c>
      <c r="J546" s="2">
        <f t="shared" si="2"/>
        <v>712.5</v>
      </c>
      <c r="K546" s="17">
        <f t="shared" si="3"/>
        <v>1</v>
      </c>
      <c r="L546" s="18"/>
    </row>
    <row r="547" hidden="1">
      <c r="A547" s="2">
        <f>IFERROR(__xludf.DUMMYFUNCTION("""COMPUTED_VALUE"""),109273.0)</f>
        <v>109273</v>
      </c>
      <c r="B547" s="2">
        <f>IFERROR(__xludf.DUMMYFUNCTION("""COMPUTED_VALUE"""),1.0)</f>
        <v>1</v>
      </c>
      <c r="C547" s="2">
        <f>IFERROR(__xludf.DUMMYFUNCTION("""COMPUTED_VALUE"""),78.0)</f>
        <v>78</v>
      </c>
      <c r="D547" s="3">
        <f>IFERROR(__xludf.DUMMYFUNCTION("""COMPUTED_VALUE"""),31.0)</f>
        <v>31</v>
      </c>
      <c r="E547" s="1" t="str">
        <f t="array" ref="E547">_xlfn.XLOOKUP(A547,Product!A:A,Product!B:B,"Bulunamadı")</f>
        <v>Tech</v>
      </c>
      <c r="F547" s="1" t="str">
        <f t="array" ref="F547">_xlfn.XLOOKUP(A547,Product!A:A,Product!C:C,"Bulunamadı")</f>
        <v>Paranormal</v>
      </c>
      <c r="G547" s="2" t="str">
        <f t="array" ref="G547">_xlfn.XLOOKUP(A548,Product!A:A,Product!D:D,"Bulunamadı")</f>
        <v>Starfall Publishing</v>
      </c>
      <c r="H547" s="2">
        <f t="array" ref="H547">_xlfn.XLOOKUP(A549,Product!A:A,Product!E:E,"Bulunamadı")</f>
        <v>2.32</v>
      </c>
      <c r="I547" s="2" t="str">
        <f t="shared" si="1"/>
        <v>109273 - Tech - Paranormal</v>
      </c>
      <c r="J547" s="2">
        <f t="shared" si="2"/>
        <v>71.92</v>
      </c>
      <c r="K547" s="17">
        <f t="shared" si="3"/>
        <v>1</v>
      </c>
      <c r="L547" s="18"/>
    </row>
    <row r="548" hidden="1">
      <c r="A548" s="2">
        <f>IFERROR(__xludf.DUMMYFUNCTION("""COMPUTED_VALUE"""),44465.0)</f>
        <v>44465</v>
      </c>
      <c r="B548" s="2">
        <f>IFERROR(__xludf.DUMMYFUNCTION("""COMPUTED_VALUE"""),0.0)</f>
        <v>0</v>
      </c>
      <c r="C548" s="2">
        <f>IFERROR(__xludf.DUMMYFUNCTION("""COMPUTED_VALUE"""),55.0)</f>
        <v>55</v>
      </c>
      <c r="D548" s="3">
        <f>IFERROR(__xludf.DUMMYFUNCTION("""COMPUTED_VALUE"""),7.0)</f>
        <v>7</v>
      </c>
      <c r="E548" s="1" t="str">
        <f t="array" ref="E548">_xlfn.XLOOKUP(A548,Product!A:A,Product!B:B,"Bulunamadı")</f>
        <v>Tech</v>
      </c>
      <c r="F548" s="1" t="str">
        <f t="array" ref="F548">_xlfn.XLOOKUP(A548,Product!A:A,Product!C:C,"Bulunamadı")</f>
        <v>Paranormal</v>
      </c>
      <c r="G548" s="2" t="str">
        <f t="array" ref="G548">_xlfn.XLOOKUP(A549,Product!A:A,Product!D:D,"Bulunamadı")</f>
        <v>Starfall Publishing</v>
      </c>
      <c r="H548" s="2">
        <f t="array" ref="H548">_xlfn.XLOOKUP(A550,Product!A:A,Product!E:E,"Bulunamadı")</f>
        <v>3.79</v>
      </c>
      <c r="I548" s="2" t="str">
        <f t="shared" si="1"/>
        <v>44465 - Tech - Paranormal</v>
      </c>
      <c r="J548" s="2">
        <f t="shared" si="2"/>
        <v>26.53</v>
      </c>
      <c r="K548" s="17">
        <f t="shared" si="3"/>
        <v>1</v>
      </c>
      <c r="L548" s="18"/>
    </row>
    <row r="549" hidden="1">
      <c r="A549" s="2">
        <f>IFERROR(__xludf.DUMMYFUNCTION("""COMPUTED_VALUE"""),44451.0)</f>
        <v>44451</v>
      </c>
      <c r="B549" s="2">
        <f>IFERROR(__xludf.DUMMYFUNCTION("""COMPUTED_VALUE"""),0.0)</f>
        <v>0</v>
      </c>
      <c r="C549" s="2">
        <f>IFERROR(__xludf.DUMMYFUNCTION("""COMPUTED_VALUE"""),379.0)</f>
        <v>379</v>
      </c>
      <c r="D549" s="3">
        <f>IFERROR(__xludf.DUMMYFUNCTION("""COMPUTED_VALUE"""),144.0)</f>
        <v>144</v>
      </c>
      <c r="E549" s="1" t="str">
        <f t="array" ref="E549">_xlfn.XLOOKUP(A549,Product!A:A,Product!B:B,"Bulunamadı")</f>
        <v>Tech</v>
      </c>
      <c r="F549" s="1" t="str">
        <f t="array" ref="F549">_xlfn.XLOOKUP(A549,Product!A:A,Product!C:C,"Bulunamadı")</f>
        <v>Paranormal</v>
      </c>
      <c r="G549" s="2" t="str">
        <f t="array" ref="G549">_xlfn.XLOOKUP(A550,Product!A:A,Product!D:D,"Bulunamadı")</f>
        <v>Starfall Publishing</v>
      </c>
      <c r="H549" s="2">
        <f t="array" ref="H549">_xlfn.XLOOKUP(A551,Product!A:A,Product!E:E,"Bulunamadı")</f>
        <v>2.76</v>
      </c>
      <c r="I549" s="2" t="str">
        <f t="shared" si="1"/>
        <v>44451 - Tech - Paranormal</v>
      </c>
      <c r="J549" s="2">
        <f t="shared" si="2"/>
        <v>397.44</v>
      </c>
      <c r="K549" s="17">
        <f t="shared" si="3"/>
        <v>1</v>
      </c>
      <c r="L549" s="18"/>
    </row>
    <row r="550" hidden="1">
      <c r="A550" s="2">
        <f>IFERROR(__xludf.DUMMYFUNCTION("""COMPUTED_VALUE"""),17664.0)</f>
        <v>17664</v>
      </c>
      <c r="B550" s="2">
        <f>IFERROR(__xludf.DUMMYFUNCTION("""COMPUTED_VALUE"""),1.0)</f>
        <v>1</v>
      </c>
      <c r="C550" s="2">
        <f>IFERROR(__xludf.DUMMYFUNCTION("""COMPUTED_VALUE"""),245.0)</f>
        <v>245</v>
      </c>
      <c r="D550" s="3">
        <f>IFERROR(__xludf.DUMMYFUNCTION("""COMPUTED_VALUE"""),2.0)</f>
        <v>2</v>
      </c>
      <c r="E550" s="1" t="str">
        <f t="array" ref="E550">_xlfn.XLOOKUP(A550,Product!A:A,Product!B:B,"Bulunamadı")</f>
        <v>Tech</v>
      </c>
      <c r="F550" s="1" t="str">
        <f t="array" ref="F550">_xlfn.XLOOKUP(A550,Product!A:A,Product!C:C,"Bulunamadı")</f>
        <v>Paranormal</v>
      </c>
      <c r="G550" s="2" t="str">
        <f t="array" ref="G550">_xlfn.XLOOKUP(A551,Product!A:A,Product!D:D,"Bulunamadı")</f>
        <v>Starfall Publishing</v>
      </c>
      <c r="H550" s="2">
        <f t="array" ref="H550">_xlfn.XLOOKUP(A552,Product!A:A,Product!E:E,"Bulunamadı")</f>
        <v>1.6</v>
      </c>
      <c r="I550" s="2" t="str">
        <f t="shared" si="1"/>
        <v>17664 - Tech - Paranormal</v>
      </c>
      <c r="J550" s="2">
        <f t="shared" si="2"/>
        <v>3.2</v>
      </c>
      <c r="K550" s="17">
        <f t="shared" si="3"/>
        <v>1</v>
      </c>
      <c r="L550" s="18"/>
    </row>
    <row r="551" hidden="1">
      <c r="A551" s="2">
        <f>IFERROR(__xludf.DUMMYFUNCTION("""COMPUTED_VALUE"""),44459.0)</f>
        <v>44459</v>
      </c>
      <c r="B551" s="2">
        <f>IFERROR(__xludf.DUMMYFUNCTION("""COMPUTED_VALUE"""),1.0)</f>
        <v>1</v>
      </c>
      <c r="C551" s="2">
        <f>IFERROR(__xludf.DUMMYFUNCTION("""COMPUTED_VALUE"""),415.0)</f>
        <v>415</v>
      </c>
      <c r="D551" s="3">
        <f>IFERROR(__xludf.DUMMYFUNCTION("""COMPUTED_VALUE"""),363.0)</f>
        <v>363</v>
      </c>
      <c r="E551" s="1" t="str">
        <f t="array" ref="E551">_xlfn.XLOOKUP(A551,Product!A:A,Product!B:B,"Bulunamadı")</f>
        <v>Tech</v>
      </c>
      <c r="F551" s="1" t="str">
        <f t="array" ref="F551">_xlfn.XLOOKUP(A551,Product!A:A,Product!C:C,"Bulunamadı")</f>
        <v>Paranormal</v>
      </c>
      <c r="G551" s="2" t="str">
        <f t="array" ref="G551">_xlfn.XLOOKUP(A552,Product!A:A,Product!D:D,"Bulunamadı")</f>
        <v>Starfall Publishing</v>
      </c>
      <c r="H551" s="2">
        <f t="array" ref="H551">_xlfn.XLOOKUP(A553,Product!A:A,Product!E:E,"Bulunamadı")</f>
        <v>2.24</v>
      </c>
      <c r="I551" s="2" t="str">
        <f t="shared" si="1"/>
        <v>44459 - Tech - Paranormal</v>
      </c>
      <c r="J551" s="2">
        <f t="shared" si="2"/>
        <v>813.12</v>
      </c>
      <c r="K551" s="17">
        <f t="shared" si="3"/>
        <v>1</v>
      </c>
      <c r="L551" s="18"/>
    </row>
    <row r="552" hidden="1">
      <c r="A552" s="2">
        <f>IFERROR(__xludf.DUMMYFUNCTION("""COMPUTED_VALUE"""),110398.0)</f>
        <v>110398</v>
      </c>
      <c r="B552" s="2">
        <f>IFERROR(__xludf.DUMMYFUNCTION("""COMPUTED_VALUE"""),0.0)</f>
        <v>0</v>
      </c>
      <c r="C552" s="2">
        <f>IFERROR(__xludf.DUMMYFUNCTION("""COMPUTED_VALUE"""),-3.0)</f>
        <v>-3</v>
      </c>
      <c r="D552" s="3">
        <f>IFERROR(__xludf.DUMMYFUNCTION("""COMPUTED_VALUE"""),0.0)</f>
        <v>0</v>
      </c>
      <c r="E552" s="1" t="str">
        <f t="array" ref="E552">_xlfn.XLOOKUP(A552,Product!A:A,Product!B:B,"Bulunamadı")</f>
        <v>Tech</v>
      </c>
      <c r="F552" s="1" t="str">
        <f t="array" ref="F552">_xlfn.XLOOKUP(A552,Product!A:A,Product!C:C,"Bulunamadı")</f>
        <v>Paranormal</v>
      </c>
      <c r="G552" s="2" t="str">
        <f t="array" ref="G552">_xlfn.XLOOKUP(A553,Product!A:A,Product!D:D,"Bulunamadı")</f>
        <v>Starfall Publishing</v>
      </c>
      <c r="H552" s="2">
        <f t="array" ref="H552">_xlfn.XLOOKUP(A554,Product!A:A,Product!E:E,"Bulunamadı")</f>
        <v>1.42</v>
      </c>
      <c r="I552" s="2" t="str">
        <f t="shared" si="1"/>
        <v>110398 - Tech - Paranormal</v>
      </c>
      <c r="J552" s="2">
        <f t="shared" si="2"/>
        <v>0</v>
      </c>
      <c r="K552" s="17">
        <f t="shared" si="3"/>
        <v>0</v>
      </c>
      <c r="L552" s="18"/>
    </row>
    <row r="553" hidden="1">
      <c r="A553" s="2">
        <f>IFERROR(__xludf.DUMMYFUNCTION("""COMPUTED_VALUE"""),149495.0)</f>
        <v>149495</v>
      </c>
      <c r="B553" s="2">
        <f>IFERROR(__xludf.DUMMYFUNCTION("""COMPUTED_VALUE"""),0.0)</f>
        <v>0</v>
      </c>
      <c r="C553" s="2">
        <f>IFERROR(__xludf.DUMMYFUNCTION("""COMPUTED_VALUE"""),205.0)</f>
        <v>205</v>
      </c>
      <c r="D553" s="3">
        <f>IFERROR(__xludf.DUMMYFUNCTION("""COMPUTED_VALUE"""),190.0)</f>
        <v>190</v>
      </c>
      <c r="E553" s="1" t="str">
        <f t="array" ref="E553">_xlfn.XLOOKUP(A553,Product!A:A,Product!B:B,"Bulunamadı")</f>
        <v>Tech</v>
      </c>
      <c r="F553" s="1" t="str">
        <f t="array" ref="F553">_xlfn.XLOOKUP(A553,Product!A:A,Product!C:C,"Bulunamadı")</f>
        <v>Paranormal</v>
      </c>
      <c r="G553" s="2" t="str">
        <f t="array" ref="G553">_xlfn.XLOOKUP(A554,Product!A:A,Product!D:D,"Bulunamadı")</f>
        <v>Starfall Publishing</v>
      </c>
      <c r="H553" s="2">
        <f t="array" ref="H553">_xlfn.XLOOKUP(A555,Product!A:A,Product!E:E,"Bulunamadı")</f>
        <v>1.77</v>
      </c>
      <c r="I553" s="2" t="str">
        <f t="shared" si="1"/>
        <v>149495 - Tech - Paranormal</v>
      </c>
      <c r="J553" s="2">
        <f t="shared" si="2"/>
        <v>336.3</v>
      </c>
      <c r="K553" s="17">
        <f t="shared" si="3"/>
        <v>1</v>
      </c>
      <c r="L553" s="18"/>
    </row>
    <row r="554" hidden="1">
      <c r="A554" s="2">
        <f>IFERROR(__xludf.DUMMYFUNCTION("""COMPUTED_VALUE"""),124685.0)</f>
        <v>124685</v>
      </c>
      <c r="B554" s="2">
        <f>IFERROR(__xludf.DUMMYFUNCTION("""COMPUTED_VALUE"""),1.0)</f>
        <v>1</v>
      </c>
      <c r="C554" s="2">
        <f>IFERROR(__xludf.DUMMYFUNCTION("""COMPUTED_VALUE"""),321.0)</f>
        <v>321</v>
      </c>
      <c r="D554" s="3">
        <f>IFERROR(__xludf.DUMMYFUNCTION("""COMPUTED_VALUE"""),215.0)</f>
        <v>215</v>
      </c>
      <c r="E554" s="1" t="str">
        <f t="array" ref="E554">_xlfn.XLOOKUP(A554,Product!A:A,Product!B:B,"Bulunamadı")</f>
        <v>Tech</v>
      </c>
      <c r="F554" s="1" t="str">
        <f t="array" ref="F554">_xlfn.XLOOKUP(A554,Product!A:A,Product!C:C,"Bulunamadı")</f>
        <v>Paranormal</v>
      </c>
      <c r="G554" s="2" t="str">
        <f t="array" ref="G554">_xlfn.XLOOKUP(A555,Product!A:A,Product!D:D,"Bulunamadı")</f>
        <v>Starfall Publishing</v>
      </c>
      <c r="H554" s="2">
        <f t="array" ref="H554">_xlfn.XLOOKUP(A556,Product!A:A,Product!E:E,"Bulunamadı")</f>
        <v>7.63</v>
      </c>
      <c r="I554" s="2" t="str">
        <f t="shared" si="1"/>
        <v>124685 - Tech - Paranormal</v>
      </c>
      <c r="J554" s="2">
        <f t="shared" si="2"/>
        <v>1640.45</v>
      </c>
      <c r="K554" s="17">
        <f t="shared" si="3"/>
        <v>1</v>
      </c>
      <c r="L554" s="18"/>
    </row>
    <row r="555" hidden="1">
      <c r="A555" s="2">
        <f>IFERROR(__xludf.DUMMYFUNCTION("""COMPUTED_VALUE"""),110004.0)</f>
        <v>110004</v>
      </c>
      <c r="B555" s="2">
        <f>IFERROR(__xludf.DUMMYFUNCTION("""COMPUTED_VALUE"""),0.0)</f>
        <v>0</v>
      </c>
      <c r="C555" s="2">
        <f>IFERROR(__xludf.DUMMYFUNCTION("""COMPUTED_VALUE"""),124.0)</f>
        <v>124</v>
      </c>
      <c r="D555" s="3">
        <f>IFERROR(__xludf.DUMMYFUNCTION("""COMPUTED_VALUE"""),115.0)</f>
        <v>115</v>
      </c>
      <c r="E555" s="1" t="str">
        <f t="array" ref="E555">_xlfn.XLOOKUP(A555,Product!A:A,Product!B:B,"Bulunamadı")</f>
        <v>Tech</v>
      </c>
      <c r="F555" s="1" t="str">
        <f t="array" ref="F555">_xlfn.XLOOKUP(A555,Product!A:A,Product!C:C,"Bulunamadı")</f>
        <v>Paranormal</v>
      </c>
      <c r="G555" s="2" t="str">
        <f t="array" ref="G555">_xlfn.XLOOKUP(A556,Product!A:A,Product!D:D,"Bulunamadı")</f>
        <v>Starfall Publishing</v>
      </c>
      <c r="H555" s="2">
        <f t="array" ref="H555">_xlfn.XLOOKUP(A557,Product!A:A,Product!E:E,"Bulunamadı")</f>
        <v>11.55</v>
      </c>
      <c r="I555" s="2" t="str">
        <f t="shared" si="1"/>
        <v>110004 - Tech - Paranormal</v>
      </c>
      <c r="J555" s="2">
        <f t="shared" si="2"/>
        <v>1328.25</v>
      </c>
      <c r="K555" s="17">
        <f t="shared" si="3"/>
        <v>1</v>
      </c>
      <c r="L555" s="18"/>
    </row>
    <row r="556" hidden="1">
      <c r="A556" s="2">
        <f>IFERROR(__xludf.DUMMYFUNCTION("""COMPUTED_VALUE"""),111052.0)</f>
        <v>111052</v>
      </c>
      <c r="B556" s="2">
        <f>IFERROR(__xludf.DUMMYFUNCTION("""COMPUTED_VALUE"""),1.0)</f>
        <v>1</v>
      </c>
      <c r="C556" s="2">
        <f>IFERROR(__xludf.DUMMYFUNCTION("""COMPUTED_VALUE"""),343.0)</f>
        <v>343</v>
      </c>
      <c r="D556" s="3">
        <f>IFERROR(__xludf.DUMMYFUNCTION("""COMPUTED_VALUE"""),217.0)</f>
        <v>217</v>
      </c>
      <c r="E556" s="1" t="str">
        <f t="array" ref="E556">_xlfn.XLOOKUP(A556,Product!A:A,Product!B:B,"Bulunamadı")</f>
        <v>Tech</v>
      </c>
      <c r="F556" s="1" t="str">
        <f t="array" ref="F556">_xlfn.XLOOKUP(A556,Product!A:A,Product!C:C,"Bulunamadı")</f>
        <v>Paranormal</v>
      </c>
      <c r="G556" s="2" t="str">
        <f t="array" ref="G556">_xlfn.XLOOKUP(A557,Product!A:A,Product!D:D,"Bulunamadı")</f>
        <v>Starfall Publishing</v>
      </c>
      <c r="H556" s="2">
        <f t="array" ref="H556">_xlfn.XLOOKUP(A558,Product!A:A,Product!E:E,"Bulunamadı")</f>
        <v>1.68</v>
      </c>
      <c r="I556" s="2" t="str">
        <f t="shared" si="1"/>
        <v>111052 - Tech - Paranormal</v>
      </c>
      <c r="J556" s="2">
        <f t="shared" si="2"/>
        <v>364.56</v>
      </c>
      <c r="K556" s="17">
        <f t="shared" si="3"/>
        <v>1</v>
      </c>
      <c r="L556" s="18"/>
    </row>
    <row r="557" hidden="1">
      <c r="A557" s="2">
        <f>IFERROR(__xludf.DUMMYFUNCTION("""COMPUTED_VALUE"""),102948.0)</f>
        <v>102948</v>
      </c>
      <c r="B557" s="2">
        <f>IFERROR(__xludf.DUMMYFUNCTION("""COMPUTED_VALUE"""),0.0)</f>
        <v>0</v>
      </c>
      <c r="C557" s="2">
        <f>IFERROR(__xludf.DUMMYFUNCTION("""COMPUTED_VALUE"""),722.0)</f>
        <v>722</v>
      </c>
      <c r="D557" s="3">
        <f>IFERROR(__xludf.DUMMYFUNCTION("""COMPUTED_VALUE"""),497.0)</f>
        <v>497</v>
      </c>
      <c r="E557" s="1" t="str">
        <f t="array" ref="E557">_xlfn.XLOOKUP(A557,Product!A:A,Product!B:B,"Bulunamadı")</f>
        <v>Tech</v>
      </c>
      <c r="F557" s="1" t="str">
        <f t="array" ref="F557">_xlfn.XLOOKUP(A557,Product!A:A,Product!C:C,"Bulunamadı")</f>
        <v>Paranormal</v>
      </c>
      <c r="G557" s="2" t="str">
        <f t="array" ref="G557">_xlfn.XLOOKUP(A558,Product!A:A,Product!D:D,"Bulunamadı")</f>
        <v>Starfall Publishing</v>
      </c>
      <c r="H557" s="2">
        <f t="array" ref="H557">_xlfn.XLOOKUP(A559,Product!A:A,Product!E:E,"Bulunamadı")</f>
        <v>1.97</v>
      </c>
      <c r="I557" s="2" t="str">
        <f t="shared" si="1"/>
        <v>102948 - Tech - Paranormal</v>
      </c>
      <c r="J557" s="2">
        <f t="shared" si="2"/>
        <v>979.09</v>
      </c>
      <c r="K557" s="17">
        <f t="shared" si="3"/>
        <v>1</v>
      </c>
      <c r="L557" s="18"/>
    </row>
    <row r="558" hidden="1">
      <c r="A558" s="2">
        <f>IFERROR(__xludf.DUMMYFUNCTION("""COMPUTED_VALUE"""),110000.0)</f>
        <v>110000</v>
      </c>
      <c r="B558" s="2">
        <f>IFERROR(__xludf.DUMMYFUNCTION("""COMPUTED_VALUE"""),1.0)</f>
        <v>1</v>
      </c>
      <c r="C558" s="2">
        <f>IFERROR(__xludf.DUMMYFUNCTION("""COMPUTED_VALUE"""),917.0)</f>
        <v>917</v>
      </c>
      <c r="D558" s="3">
        <f>IFERROR(__xludf.DUMMYFUNCTION("""COMPUTED_VALUE"""),860.0)</f>
        <v>860</v>
      </c>
      <c r="E558" s="1" t="str">
        <f t="array" ref="E558">_xlfn.XLOOKUP(A558,Product!A:A,Product!B:B,"Bulunamadı")</f>
        <v>Tech</v>
      </c>
      <c r="F558" s="1" t="str">
        <f t="array" ref="F558">_xlfn.XLOOKUP(A558,Product!A:A,Product!C:C,"Bulunamadı")</f>
        <v>Paranormal</v>
      </c>
      <c r="G558" s="2" t="str">
        <f t="array" ref="G558">_xlfn.XLOOKUP(A559,Product!A:A,Product!D:D,"Bulunamadı")</f>
        <v>Starfall Publishing</v>
      </c>
      <c r="H558" s="2">
        <f t="array" ref="H558">_xlfn.XLOOKUP(A560,Product!A:A,Product!E:E,"Bulunamadı")</f>
        <v>1.81</v>
      </c>
      <c r="I558" s="2" t="str">
        <f t="shared" si="1"/>
        <v>110000 - Tech - Paranormal</v>
      </c>
      <c r="J558" s="2">
        <f t="shared" si="2"/>
        <v>1556.6</v>
      </c>
      <c r="K558" s="17">
        <f t="shared" si="3"/>
        <v>1</v>
      </c>
      <c r="L558" s="18"/>
    </row>
    <row r="559" hidden="1">
      <c r="A559" s="2">
        <f>IFERROR(__xludf.DUMMYFUNCTION("""COMPUTED_VALUE"""),7264.0)</f>
        <v>7264</v>
      </c>
      <c r="B559" s="2">
        <f>IFERROR(__xludf.DUMMYFUNCTION("""COMPUTED_VALUE"""),0.0)</f>
        <v>0</v>
      </c>
      <c r="C559" s="2">
        <f>IFERROR(__xludf.DUMMYFUNCTION("""COMPUTED_VALUE"""),496.0)</f>
        <v>496</v>
      </c>
      <c r="D559" s="3">
        <f>IFERROR(__xludf.DUMMYFUNCTION("""COMPUTED_VALUE"""),456.0)</f>
        <v>456</v>
      </c>
      <c r="E559" s="1" t="str">
        <f t="array" ref="E559">_xlfn.XLOOKUP(A559,Product!A:A,Product!B:B,"Bulunamadı")</f>
        <v>Tech</v>
      </c>
      <c r="F559" s="1" t="str">
        <f t="array" ref="F559">_xlfn.XLOOKUP(A559,Product!A:A,Product!C:C,"Bulunamadı")</f>
        <v>Paranormal</v>
      </c>
      <c r="G559" s="2" t="str">
        <f t="array" ref="G559">_xlfn.XLOOKUP(A560,Product!A:A,Product!D:D,"Bulunamadı")</f>
        <v>Starfall Publishing</v>
      </c>
      <c r="H559" s="2">
        <f t="array" ref="H559">_xlfn.XLOOKUP(A561,Product!A:A,Product!E:E,"Bulunamadı")</f>
        <v>1.52</v>
      </c>
      <c r="I559" s="2" t="str">
        <f t="shared" si="1"/>
        <v>7264 - Tech - Paranormal</v>
      </c>
      <c r="J559" s="2">
        <f t="shared" si="2"/>
        <v>693.12</v>
      </c>
      <c r="K559" s="17">
        <f t="shared" si="3"/>
        <v>1</v>
      </c>
      <c r="L559" s="18"/>
    </row>
    <row r="560" hidden="1">
      <c r="A560" s="2">
        <f>IFERROR(__xludf.DUMMYFUNCTION("""COMPUTED_VALUE"""),110005.0)</f>
        <v>110005</v>
      </c>
      <c r="B560" s="2">
        <f>IFERROR(__xludf.DUMMYFUNCTION("""COMPUTED_VALUE"""),0.0)</f>
        <v>0</v>
      </c>
      <c r="C560" s="2">
        <f>IFERROR(__xludf.DUMMYFUNCTION("""COMPUTED_VALUE"""),769.0)</f>
        <v>769</v>
      </c>
      <c r="D560" s="3">
        <f>IFERROR(__xludf.DUMMYFUNCTION("""COMPUTED_VALUE"""),479.0)</f>
        <v>479</v>
      </c>
      <c r="E560" s="1" t="str">
        <f t="array" ref="E560">_xlfn.XLOOKUP(A560,Product!A:A,Product!B:B,"Bulunamadı")</f>
        <v>Tech</v>
      </c>
      <c r="F560" s="1" t="str">
        <f t="array" ref="F560">_xlfn.XLOOKUP(A560,Product!A:A,Product!C:C,"Bulunamadı")</f>
        <v>Paranormal</v>
      </c>
      <c r="G560" s="2" t="str">
        <f t="array" ref="G560">_xlfn.XLOOKUP(A561,Product!A:A,Product!D:D,"Bulunamadı")</f>
        <v>Starfall Publishing</v>
      </c>
      <c r="H560" s="2">
        <f t="array" ref="H560">_xlfn.XLOOKUP(A562,Product!A:A,Product!E:E,"Bulunamadı")</f>
        <v>7.67</v>
      </c>
      <c r="I560" s="2" t="str">
        <f t="shared" si="1"/>
        <v>110005 - Tech - Paranormal</v>
      </c>
      <c r="J560" s="2">
        <f t="shared" si="2"/>
        <v>3673.93</v>
      </c>
      <c r="K560" s="17">
        <f t="shared" si="3"/>
        <v>1</v>
      </c>
      <c r="L560" s="18"/>
    </row>
    <row r="561" hidden="1">
      <c r="A561" s="2">
        <f>IFERROR(__xludf.DUMMYFUNCTION("""COMPUTED_VALUE"""),124693.0)</f>
        <v>124693</v>
      </c>
      <c r="B561" s="2">
        <f>IFERROR(__xludf.DUMMYFUNCTION("""COMPUTED_VALUE"""),0.0)</f>
        <v>0</v>
      </c>
      <c r="C561" s="2">
        <f>IFERROR(__xludf.DUMMYFUNCTION("""COMPUTED_VALUE"""),899.0)</f>
        <v>899</v>
      </c>
      <c r="D561" s="3">
        <f>IFERROR(__xludf.DUMMYFUNCTION("""COMPUTED_VALUE"""),135.0)</f>
        <v>135</v>
      </c>
      <c r="E561" s="1" t="str">
        <f t="array" ref="E561">_xlfn.XLOOKUP(A561,Product!A:A,Product!B:B,"Bulunamadı")</f>
        <v>Tech</v>
      </c>
      <c r="F561" s="1" t="str">
        <f t="array" ref="F561">_xlfn.XLOOKUP(A561,Product!A:A,Product!C:C,"Bulunamadı")</f>
        <v>Paranormal</v>
      </c>
      <c r="G561" s="2" t="str">
        <f t="array" ref="G561">_xlfn.XLOOKUP(A562,Product!A:A,Product!D:D,"Bulunamadı")</f>
        <v>Starfall Publishing</v>
      </c>
      <c r="H561" s="2">
        <f t="array" ref="H561">_xlfn.XLOOKUP(A563,Product!A:A,Product!E:E,"Bulunamadı")</f>
        <v>1.84</v>
      </c>
      <c r="I561" s="2" t="str">
        <f t="shared" si="1"/>
        <v>124693 - Tech - Paranormal</v>
      </c>
      <c r="J561" s="2">
        <f t="shared" si="2"/>
        <v>248.4</v>
      </c>
      <c r="K561" s="17">
        <f t="shared" si="3"/>
        <v>1</v>
      </c>
      <c r="L561" s="18"/>
    </row>
    <row r="562" hidden="1">
      <c r="A562" s="2">
        <f>IFERROR(__xludf.DUMMYFUNCTION("""COMPUTED_VALUE"""),86501.0)</f>
        <v>86501</v>
      </c>
      <c r="B562" s="2">
        <f>IFERROR(__xludf.DUMMYFUNCTION("""COMPUTED_VALUE"""),0.0)</f>
        <v>0</v>
      </c>
      <c r="C562" s="2">
        <f>IFERROR(__xludf.DUMMYFUNCTION("""COMPUTED_VALUE"""),726.0)</f>
        <v>726</v>
      </c>
      <c r="D562" s="3">
        <f>IFERROR(__xludf.DUMMYFUNCTION("""COMPUTED_VALUE"""),212.0)</f>
        <v>212</v>
      </c>
      <c r="E562" s="1" t="str">
        <f t="array" ref="E562">_xlfn.XLOOKUP(A562,Product!A:A,Product!B:B,"Bulunamadı")</f>
        <v>Tech</v>
      </c>
      <c r="F562" s="1" t="str">
        <f t="array" ref="F562">_xlfn.XLOOKUP(A562,Product!A:A,Product!C:C,"Bulunamadı")</f>
        <v>Paranormal</v>
      </c>
      <c r="G562" s="2" t="str">
        <f t="array" ref="G562">_xlfn.XLOOKUP(A563,Product!A:A,Product!D:D,"Bulunamadı")</f>
        <v>Starfall Publishing</v>
      </c>
      <c r="H562" s="2">
        <f t="array" ref="H562">_xlfn.XLOOKUP(A564,Product!A:A,Product!E:E,"Bulunamadı")</f>
        <v>1.51</v>
      </c>
      <c r="I562" s="2" t="str">
        <f t="shared" si="1"/>
        <v>86501 - Tech - Paranormal</v>
      </c>
      <c r="J562" s="2">
        <f t="shared" si="2"/>
        <v>320.12</v>
      </c>
      <c r="K562" s="17">
        <f t="shared" si="3"/>
        <v>1</v>
      </c>
      <c r="L562" s="18"/>
    </row>
    <row r="563" hidden="1">
      <c r="A563" s="2">
        <f>IFERROR(__xludf.DUMMYFUNCTION("""COMPUTED_VALUE"""),101536.0)</f>
        <v>101536</v>
      </c>
      <c r="B563" s="2">
        <f>IFERROR(__xludf.DUMMYFUNCTION("""COMPUTED_VALUE"""),0.0)</f>
        <v>0</v>
      </c>
      <c r="C563" s="2">
        <f>IFERROR(__xludf.DUMMYFUNCTION("""COMPUTED_VALUE"""),303.0)</f>
        <v>303</v>
      </c>
      <c r="D563" s="3">
        <f>IFERROR(__xludf.DUMMYFUNCTION("""COMPUTED_VALUE"""),125.0)</f>
        <v>125</v>
      </c>
      <c r="E563" s="1" t="str">
        <f t="array" ref="E563">_xlfn.XLOOKUP(A563,Product!A:A,Product!B:B,"Bulunamadı")</f>
        <v>Tech</v>
      </c>
      <c r="F563" s="1" t="str">
        <f t="array" ref="F563">_xlfn.XLOOKUP(A563,Product!A:A,Product!C:C,"Bulunamadı")</f>
        <v>Paranormal</v>
      </c>
      <c r="G563" s="2" t="str">
        <f t="array" ref="G563">_xlfn.XLOOKUP(A564,Product!A:A,Product!D:D,"Bulunamadı")</f>
        <v>Starfall Publishing</v>
      </c>
      <c r="H563" s="2">
        <f t="array" ref="H563">_xlfn.XLOOKUP(A565,Product!A:A,Product!E:E,"Bulunamadı")</f>
        <v>1.89</v>
      </c>
      <c r="I563" s="2" t="str">
        <f t="shared" si="1"/>
        <v>101536 - Tech - Paranormal</v>
      </c>
      <c r="J563" s="2">
        <f t="shared" si="2"/>
        <v>236.25</v>
      </c>
      <c r="K563" s="17">
        <f t="shared" si="3"/>
        <v>1</v>
      </c>
      <c r="L563" s="18"/>
    </row>
    <row r="564" hidden="1">
      <c r="A564" s="2">
        <f>IFERROR(__xludf.DUMMYFUNCTION("""COMPUTED_VALUE"""),101534.0)</f>
        <v>101534</v>
      </c>
      <c r="B564" s="2">
        <f>IFERROR(__xludf.DUMMYFUNCTION("""COMPUTED_VALUE"""),1.0)</f>
        <v>1</v>
      </c>
      <c r="C564" s="2">
        <f>IFERROR(__xludf.DUMMYFUNCTION("""COMPUTED_VALUE"""),579.0)</f>
        <v>579</v>
      </c>
      <c r="D564" s="3">
        <f>IFERROR(__xludf.DUMMYFUNCTION("""COMPUTED_VALUE"""),428.0)</f>
        <v>428</v>
      </c>
      <c r="E564" s="1" t="str">
        <f t="array" ref="E564">_xlfn.XLOOKUP(A564,Product!A:A,Product!B:B,"Bulunamadı")</f>
        <v>Tech</v>
      </c>
      <c r="F564" s="1" t="str">
        <f t="array" ref="F564">_xlfn.XLOOKUP(A564,Product!A:A,Product!C:C,"Bulunamadı")</f>
        <v>Paranormal</v>
      </c>
      <c r="G564" s="2" t="str">
        <f t="array" ref="G564">_xlfn.XLOOKUP(A565,Product!A:A,Product!D:D,"Bulunamadı")</f>
        <v>Starfall Publishing</v>
      </c>
      <c r="H564" s="2">
        <f t="array" ref="H564">_xlfn.XLOOKUP(A566,Product!A:A,Product!E:E,"Bulunamadı")</f>
        <v>1.86</v>
      </c>
      <c r="I564" s="2" t="str">
        <f t="shared" si="1"/>
        <v>101534 - Tech - Paranormal</v>
      </c>
      <c r="J564" s="2">
        <f t="shared" si="2"/>
        <v>796.08</v>
      </c>
      <c r="K564" s="17">
        <f t="shared" si="3"/>
        <v>1</v>
      </c>
      <c r="L564" s="18"/>
    </row>
    <row r="565" hidden="1">
      <c r="A565" s="2">
        <f>IFERROR(__xludf.DUMMYFUNCTION("""COMPUTED_VALUE"""),110002.0)</f>
        <v>110002</v>
      </c>
      <c r="B565" s="2">
        <f>IFERROR(__xludf.DUMMYFUNCTION("""COMPUTED_VALUE"""),1.0)</f>
        <v>1</v>
      </c>
      <c r="C565" s="2">
        <f>IFERROR(__xludf.DUMMYFUNCTION("""COMPUTED_VALUE"""),316.0)</f>
        <v>316</v>
      </c>
      <c r="D565" s="3">
        <f>IFERROR(__xludf.DUMMYFUNCTION("""COMPUTED_VALUE"""),161.0)</f>
        <v>161</v>
      </c>
      <c r="E565" s="1" t="str">
        <f t="array" ref="E565">_xlfn.XLOOKUP(A565,Product!A:A,Product!B:B,"Bulunamadı")</f>
        <v>Tech</v>
      </c>
      <c r="F565" s="1" t="str">
        <f t="array" ref="F565">_xlfn.XLOOKUP(A565,Product!A:A,Product!C:C,"Bulunamadı")</f>
        <v>Paranormal</v>
      </c>
      <c r="G565" s="2" t="str">
        <f t="array" ref="G565">_xlfn.XLOOKUP(A566,Product!A:A,Product!D:D,"Bulunamadı")</f>
        <v>Starfall Publishing</v>
      </c>
      <c r="H565" s="2">
        <f t="array" ref="H565">_xlfn.XLOOKUP(A567,Product!A:A,Product!E:E,"Bulunamadı")</f>
        <v>8.03</v>
      </c>
      <c r="I565" s="2" t="str">
        <f t="shared" si="1"/>
        <v>110002 - Tech - Paranormal</v>
      </c>
      <c r="J565" s="2">
        <f t="shared" si="2"/>
        <v>1292.83</v>
      </c>
      <c r="K565" s="17">
        <f t="shared" si="3"/>
        <v>1</v>
      </c>
      <c r="L565" s="18"/>
    </row>
    <row r="566" hidden="1">
      <c r="A566" s="2">
        <f>IFERROR(__xludf.DUMMYFUNCTION("""COMPUTED_VALUE"""),110001.0)</f>
        <v>110001</v>
      </c>
      <c r="B566" s="2">
        <f>IFERROR(__xludf.DUMMYFUNCTION("""COMPUTED_VALUE"""),1.0)</f>
        <v>1</v>
      </c>
      <c r="C566" s="2">
        <f>IFERROR(__xludf.DUMMYFUNCTION("""COMPUTED_VALUE"""),783.0)</f>
        <v>783</v>
      </c>
      <c r="D566" s="3">
        <f>IFERROR(__xludf.DUMMYFUNCTION("""COMPUTED_VALUE"""),48.0)</f>
        <v>48</v>
      </c>
      <c r="E566" s="1" t="str">
        <f t="array" ref="E566">_xlfn.XLOOKUP(A566,Product!A:A,Product!B:B,"Bulunamadı")</f>
        <v>Tech</v>
      </c>
      <c r="F566" s="1" t="str">
        <f t="array" ref="F566">_xlfn.XLOOKUP(A566,Product!A:A,Product!C:C,"Bulunamadı")</f>
        <v>Paranormal</v>
      </c>
      <c r="G566" s="2" t="str">
        <f t="array" ref="G566">_xlfn.XLOOKUP(A567,Product!A:A,Product!D:D,"Bulunamadı")</f>
        <v>Starfall Publishing</v>
      </c>
      <c r="H566" s="2">
        <f t="array" ref="H566">_xlfn.XLOOKUP(A568,Product!A:A,Product!E:E,"Bulunamadı")</f>
        <v>2.1</v>
      </c>
      <c r="I566" s="2" t="str">
        <f t="shared" si="1"/>
        <v>110001 - Tech - Paranormal</v>
      </c>
      <c r="J566" s="2">
        <f t="shared" si="2"/>
        <v>100.8</v>
      </c>
      <c r="K566" s="17">
        <f t="shared" si="3"/>
        <v>1</v>
      </c>
      <c r="L566" s="18"/>
    </row>
    <row r="567" hidden="1">
      <c r="A567" s="2">
        <f>IFERROR(__xludf.DUMMYFUNCTION("""COMPUTED_VALUE"""),111051.0)</f>
        <v>111051</v>
      </c>
      <c r="B567" s="2">
        <f>IFERROR(__xludf.DUMMYFUNCTION("""COMPUTED_VALUE"""),1.0)</f>
        <v>1</v>
      </c>
      <c r="C567" s="2">
        <f>IFERROR(__xludf.DUMMYFUNCTION("""COMPUTED_VALUE"""),142.0)</f>
        <v>142</v>
      </c>
      <c r="D567" s="3">
        <f>IFERROR(__xludf.DUMMYFUNCTION("""COMPUTED_VALUE"""),119.0)</f>
        <v>119</v>
      </c>
      <c r="E567" s="1" t="str">
        <f t="array" ref="E567">_xlfn.XLOOKUP(A567,Product!A:A,Product!B:B,"Bulunamadı")</f>
        <v>Tech</v>
      </c>
      <c r="F567" s="1" t="str">
        <f t="array" ref="F567">_xlfn.XLOOKUP(A567,Product!A:A,Product!C:C,"Bulunamadı")</f>
        <v>Paranormal</v>
      </c>
      <c r="G567" s="2" t="str">
        <f t="array" ref="G567">_xlfn.XLOOKUP(A568,Product!A:A,Product!D:D,"Bulunamadı")</f>
        <v>Starfall Publishing</v>
      </c>
      <c r="H567" s="2">
        <f t="array" ref="H567">_xlfn.XLOOKUP(A569,Product!A:A,Product!E:E,"Bulunamadı")</f>
        <v>7.65</v>
      </c>
      <c r="I567" s="2" t="str">
        <f t="shared" si="1"/>
        <v>111051 - Tech - Paranormal</v>
      </c>
      <c r="J567" s="2">
        <f t="shared" si="2"/>
        <v>910.35</v>
      </c>
      <c r="K567" s="17">
        <f t="shared" si="3"/>
        <v>1</v>
      </c>
      <c r="L567" s="18"/>
    </row>
    <row r="568" hidden="1">
      <c r="A568" s="2">
        <f>IFERROR(__xludf.DUMMYFUNCTION("""COMPUTED_VALUE"""),7258.0)</f>
        <v>7258</v>
      </c>
      <c r="B568" s="2">
        <f>IFERROR(__xludf.DUMMYFUNCTION("""COMPUTED_VALUE"""),1.0)</f>
        <v>1</v>
      </c>
      <c r="C568" s="2">
        <f>IFERROR(__xludf.DUMMYFUNCTION("""COMPUTED_VALUE"""),522.0)</f>
        <v>522</v>
      </c>
      <c r="D568" s="3">
        <f>IFERROR(__xludf.DUMMYFUNCTION("""COMPUTED_VALUE"""),196.0)</f>
        <v>196</v>
      </c>
      <c r="E568" s="1" t="str">
        <f t="array" ref="E568">_xlfn.XLOOKUP(A568,Product!A:A,Product!B:B,"Bulunamadı")</f>
        <v>Tech</v>
      </c>
      <c r="F568" s="1" t="str">
        <f t="array" ref="F568">_xlfn.XLOOKUP(A568,Product!A:A,Product!C:C,"Bulunamadı")</f>
        <v>Paranormal</v>
      </c>
      <c r="G568" s="2" t="str">
        <f t="array" ref="G568">_xlfn.XLOOKUP(A569,Product!A:A,Product!D:D,"Bulunamadı")</f>
        <v>Starfall Publishing</v>
      </c>
      <c r="H568" s="2">
        <f t="array" ref="H568">_xlfn.XLOOKUP(A570,Product!A:A,Product!E:E,"Bulunamadı")</f>
        <v>1.68</v>
      </c>
      <c r="I568" s="2" t="str">
        <f t="shared" si="1"/>
        <v>7258 - Tech - Paranormal</v>
      </c>
      <c r="J568" s="2">
        <f t="shared" si="2"/>
        <v>329.28</v>
      </c>
      <c r="K568" s="17">
        <f t="shared" si="3"/>
        <v>1</v>
      </c>
      <c r="L568" s="18"/>
    </row>
    <row r="569" hidden="1">
      <c r="A569" s="2">
        <f>IFERROR(__xludf.DUMMYFUNCTION("""COMPUTED_VALUE"""),111053.0)</f>
        <v>111053</v>
      </c>
      <c r="B569" s="2">
        <f>IFERROR(__xludf.DUMMYFUNCTION("""COMPUTED_VALUE"""),0.0)</f>
        <v>0</v>
      </c>
      <c r="C569" s="2">
        <f>IFERROR(__xludf.DUMMYFUNCTION("""COMPUTED_VALUE"""),847.0)</f>
        <v>847</v>
      </c>
      <c r="D569" s="3">
        <f>IFERROR(__xludf.DUMMYFUNCTION("""COMPUTED_VALUE"""),529.0)</f>
        <v>529</v>
      </c>
      <c r="E569" s="1" t="str">
        <f t="array" ref="E569">_xlfn.XLOOKUP(A569,Product!A:A,Product!B:B,"Bulunamadı")</f>
        <v>Tech</v>
      </c>
      <c r="F569" s="1" t="str">
        <f t="array" ref="F569">_xlfn.XLOOKUP(A569,Product!A:A,Product!C:C,"Bulunamadı")</f>
        <v>Paranormal</v>
      </c>
      <c r="G569" s="2" t="str">
        <f t="array" ref="G569">_xlfn.XLOOKUP(A570,Product!A:A,Product!D:D,"Bulunamadı")</f>
        <v>Starfall Publishing</v>
      </c>
      <c r="H569" s="2">
        <f t="array" ref="H569">_xlfn.XLOOKUP(A571,Product!A:A,Product!E:E,"Bulunamadı")</f>
        <v>9.39</v>
      </c>
      <c r="I569" s="2" t="str">
        <f t="shared" si="1"/>
        <v>111053 - Tech - Paranormal</v>
      </c>
      <c r="J569" s="2">
        <f t="shared" si="2"/>
        <v>4967.31</v>
      </c>
      <c r="K569" s="17">
        <f t="shared" si="3"/>
        <v>1</v>
      </c>
      <c r="L569" s="18"/>
    </row>
    <row r="570" hidden="1">
      <c r="A570" s="2">
        <f>IFERROR(__xludf.DUMMYFUNCTION("""COMPUTED_VALUE"""),120996.0)</f>
        <v>120996</v>
      </c>
      <c r="B570" s="2">
        <f>IFERROR(__xludf.DUMMYFUNCTION("""COMPUTED_VALUE"""),1.0)</f>
        <v>1</v>
      </c>
      <c r="C570" s="2">
        <f>IFERROR(__xludf.DUMMYFUNCTION("""COMPUTED_VALUE"""),364.0)</f>
        <v>364</v>
      </c>
      <c r="D570" s="3">
        <f>IFERROR(__xludf.DUMMYFUNCTION("""COMPUTED_VALUE"""),69.0)</f>
        <v>69</v>
      </c>
      <c r="E570" s="1" t="str">
        <f t="array" ref="E570">_xlfn.XLOOKUP(A570,Product!A:A,Product!B:B,"Bulunamadı")</f>
        <v>Tech</v>
      </c>
      <c r="F570" s="1" t="str">
        <f t="array" ref="F570">_xlfn.XLOOKUP(A570,Product!A:A,Product!C:C,"Bulunamadı")</f>
        <v>Paranormal</v>
      </c>
      <c r="G570" s="2" t="str">
        <f t="array" ref="G570">_xlfn.XLOOKUP(A571,Product!A:A,Product!D:D,"Bulunamadı")</f>
        <v>Starfall Publishing</v>
      </c>
      <c r="H570" s="2">
        <f t="array" ref="H570">_xlfn.XLOOKUP(A572,Product!A:A,Product!E:E,"Bulunamadı")</f>
        <v>3.69</v>
      </c>
      <c r="I570" s="2" t="str">
        <f t="shared" si="1"/>
        <v>120996 - Tech - Paranormal</v>
      </c>
      <c r="J570" s="2">
        <f t="shared" si="2"/>
        <v>254.61</v>
      </c>
      <c r="K570" s="17">
        <f t="shared" si="3"/>
        <v>1</v>
      </c>
      <c r="L570" s="18"/>
    </row>
    <row r="571" hidden="1">
      <c r="A571" s="2">
        <f>IFERROR(__xludf.DUMMYFUNCTION("""COMPUTED_VALUE"""),109746.0)</f>
        <v>109746</v>
      </c>
      <c r="B571" s="2">
        <f>IFERROR(__xludf.DUMMYFUNCTION("""COMPUTED_VALUE"""),1.0)</f>
        <v>1</v>
      </c>
      <c r="C571" s="2">
        <f>IFERROR(__xludf.DUMMYFUNCTION("""COMPUTED_VALUE"""),507.0)</f>
        <v>507</v>
      </c>
      <c r="D571" s="3">
        <f>IFERROR(__xludf.DUMMYFUNCTION("""COMPUTED_VALUE"""),198.0)</f>
        <v>198</v>
      </c>
      <c r="E571" s="1" t="str">
        <f t="array" ref="E571">_xlfn.XLOOKUP(A571,Product!A:A,Product!B:B,"Bulunamadı")</f>
        <v>Tech</v>
      </c>
      <c r="F571" s="1" t="str">
        <f t="array" ref="F571">_xlfn.XLOOKUP(A571,Product!A:A,Product!C:C,"Bulunamadı")</f>
        <v>Paranormal</v>
      </c>
      <c r="G571" s="2" t="str">
        <f t="array" ref="G571">_xlfn.XLOOKUP(A572,Product!A:A,Product!D:D,"Bulunamadı")</f>
        <v>Starfall Publishing</v>
      </c>
      <c r="H571" s="2">
        <f t="array" ref="H571">_xlfn.XLOOKUP(A573,Product!A:A,Product!E:E,"Bulunamadı")</f>
        <v>1.59</v>
      </c>
      <c r="I571" s="2" t="str">
        <f t="shared" si="1"/>
        <v>109746 - Tech - Paranormal</v>
      </c>
      <c r="J571" s="2">
        <f t="shared" si="2"/>
        <v>314.82</v>
      </c>
      <c r="K571" s="17">
        <f t="shared" si="3"/>
        <v>1</v>
      </c>
      <c r="L571" s="18"/>
    </row>
    <row r="572" hidden="1">
      <c r="A572" s="2">
        <f>IFERROR(__xludf.DUMMYFUNCTION("""COMPUTED_VALUE"""),147288.0)</f>
        <v>147288</v>
      </c>
      <c r="B572" s="2">
        <f>IFERROR(__xludf.DUMMYFUNCTION("""COMPUTED_VALUE"""),0.0)</f>
        <v>0</v>
      </c>
      <c r="C572" s="2">
        <f>IFERROR(__xludf.DUMMYFUNCTION("""COMPUTED_VALUE"""),915.0)</f>
        <v>915</v>
      </c>
      <c r="D572" s="3">
        <f>IFERROR(__xludf.DUMMYFUNCTION("""COMPUTED_VALUE"""),267.0)</f>
        <v>267</v>
      </c>
      <c r="E572" s="1" t="str">
        <f t="array" ref="E572">_xlfn.XLOOKUP(A572,Product!A:A,Product!B:B,"Bulunamadı")</f>
        <v>Tech</v>
      </c>
      <c r="F572" s="1" t="str">
        <f t="array" ref="F572">_xlfn.XLOOKUP(A572,Product!A:A,Product!C:C,"Bulunamadı")</f>
        <v>Paranormal</v>
      </c>
      <c r="G572" s="2" t="str">
        <f t="array" ref="G572">_xlfn.XLOOKUP(A573,Product!A:A,Product!D:D,"Bulunamadı")</f>
        <v>Starfall Publishing</v>
      </c>
      <c r="H572" s="2">
        <f t="array" ref="H572">_xlfn.XLOOKUP(A574,Product!A:A,Product!E:E,"Bulunamadı")</f>
        <v>48.23</v>
      </c>
      <c r="I572" s="2" t="str">
        <f t="shared" si="1"/>
        <v>147288 - Tech - Paranormal</v>
      </c>
      <c r="J572" s="2">
        <f t="shared" si="2"/>
        <v>12877.41</v>
      </c>
      <c r="K572" s="17">
        <f t="shared" si="3"/>
        <v>1</v>
      </c>
      <c r="L572" s="18"/>
    </row>
    <row r="573" hidden="1">
      <c r="A573" s="2">
        <f>IFERROR(__xludf.DUMMYFUNCTION("""COMPUTED_VALUE"""),120997.0)</f>
        <v>120997</v>
      </c>
      <c r="B573" s="2">
        <f>IFERROR(__xludf.DUMMYFUNCTION("""COMPUTED_VALUE"""),0.0)</f>
        <v>0</v>
      </c>
      <c r="C573" s="2">
        <f>IFERROR(__xludf.DUMMYFUNCTION("""COMPUTED_VALUE"""),818.0)</f>
        <v>818</v>
      </c>
      <c r="D573" s="3">
        <f>IFERROR(__xludf.DUMMYFUNCTION("""COMPUTED_VALUE"""),758.0)</f>
        <v>758</v>
      </c>
      <c r="E573" s="1" t="str">
        <f t="array" ref="E573">_xlfn.XLOOKUP(A573,Product!A:A,Product!B:B,"Bulunamadı")</f>
        <v>Tech</v>
      </c>
      <c r="F573" s="1" t="str">
        <f t="array" ref="F573">_xlfn.XLOOKUP(A573,Product!A:A,Product!C:C,"Bulunamadı")</f>
        <v>Paranormal</v>
      </c>
      <c r="G573" s="2" t="str">
        <f t="array" ref="G573">_xlfn.XLOOKUP(A574,Product!A:A,Product!D:D,"Bulunamadı")</f>
        <v>Starfall Publishing</v>
      </c>
      <c r="H573" s="2">
        <f t="array" ref="H573">_xlfn.XLOOKUP(A575,Product!A:A,Product!E:E,"Bulunamadı")</f>
        <v>3.78</v>
      </c>
      <c r="I573" s="2" t="str">
        <f t="shared" si="1"/>
        <v>120997 - Tech - Paranormal</v>
      </c>
      <c r="J573" s="2">
        <f t="shared" si="2"/>
        <v>2865.24</v>
      </c>
      <c r="K573" s="17">
        <f t="shared" si="3"/>
        <v>1</v>
      </c>
      <c r="L573" s="18"/>
    </row>
    <row r="574" hidden="1">
      <c r="A574" s="2">
        <f>IFERROR(__xludf.DUMMYFUNCTION("""COMPUTED_VALUE"""),109742.0)</f>
        <v>109742</v>
      </c>
      <c r="B574" s="2">
        <f>IFERROR(__xludf.DUMMYFUNCTION("""COMPUTED_VALUE"""),1.0)</f>
        <v>1</v>
      </c>
      <c r="C574" s="2">
        <f>IFERROR(__xludf.DUMMYFUNCTION("""COMPUTED_VALUE"""),937.0)</f>
        <v>937</v>
      </c>
      <c r="D574" s="3">
        <f>IFERROR(__xludf.DUMMYFUNCTION("""COMPUTED_VALUE"""),894.0)</f>
        <v>894</v>
      </c>
      <c r="E574" s="1" t="str">
        <f t="array" ref="E574">_xlfn.XLOOKUP(A574,Product!A:A,Product!B:B,"Bulunamadı")</f>
        <v>Tech</v>
      </c>
      <c r="F574" s="1" t="str">
        <f t="array" ref="F574">_xlfn.XLOOKUP(A574,Product!A:A,Product!C:C,"Bulunamadı")</f>
        <v>Paranormal</v>
      </c>
      <c r="G574" s="2" t="str">
        <f t="array" ref="G574">_xlfn.XLOOKUP(A575,Product!A:A,Product!D:D,"Bulunamadı")</f>
        <v>Starfall Publishing</v>
      </c>
      <c r="H574" s="2">
        <f t="array" ref="H574">_xlfn.XLOOKUP(A576,Product!A:A,Product!E:E,"Bulunamadı")</f>
        <v>2.01</v>
      </c>
      <c r="I574" s="2" t="str">
        <f t="shared" si="1"/>
        <v>109742 - Tech - Paranormal</v>
      </c>
      <c r="J574" s="2">
        <f t="shared" si="2"/>
        <v>1796.94</v>
      </c>
      <c r="K574" s="17">
        <f t="shared" si="3"/>
        <v>1</v>
      </c>
      <c r="L574" s="18"/>
    </row>
    <row r="575" hidden="1">
      <c r="A575" s="2">
        <f>IFERROR(__xludf.DUMMYFUNCTION("""COMPUTED_VALUE"""),156013.0)</f>
        <v>156013</v>
      </c>
      <c r="B575" s="2">
        <f>IFERROR(__xludf.DUMMYFUNCTION("""COMPUTED_VALUE"""),0.0)</f>
        <v>0</v>
      </c>
      <c r="C575" s="2">
        <f>IFERROR(__xludf.DUMMYFUNCTION("""COMPUTED_VALUE"""),348.0)</f>
        <v>348</v>
      </c>
      <c r="D575" s="3">
        <f>IFERROR(__xludf.DUMMYFUNCTION("""COMPUTED_VALUE"""),326.0)</f>
        <v>326</v>
      </c>
      <c r="E575" s="1" t="str">
        <f t="array" ref="E575">_xlfn.XLOOKUP(A575,Product!A:A,Product!B:B,"Bulunamadı")</f>
        <v>Tech</v>
      </c>
      <c r="F575" s="1" t="str">
        <f t="array" ref="F575">_xlfn.XLOOKUP(A575,Product!A:A,Product!C:C,"Bulunamadı")</f>
        <v>Paranormal</v>
      </c>
      <c r="G575" s="2" t="str">
        <f t="array" ref="G575">_xlfn.XLOOKUP(A576,Product!A:A,Product!D:D,"Bulunamadı")</f>
        <v>Starfall Publishing</v>
      </c>
      <c r="H575" s="2">
        <f t="array" ref="H575">_xlfn.XLOOKUP(A577,Product!A:A,Product!E:E,"Bulunamadı")</f>
        <v>1.74</v>
      </c>
      <c r="I575" s="2" t="str">
        <f t="shared" si="1"/>
        <v>156013 - Tech - Paranormal</v>
      </c>
      <c r="J575" s="2">
        <f t="shared" si="2"/>
        <v>567.24</v>
      </c>
      <c r="K575" s="17">
        <f t="shared" si="3"/>
        <v>1</v>
      </c>
      <c r="L575" s="18"/>
    </row>
    <row r="576" hidden="1">
      <c r="A576" s="2">
        <f>IFERROR(__xludf.DUMMYFUNCTION("""COMPUTED_VALUE"""),98426.0)</f>
        <v>98426</v>
      </c>
      <c r="B576" s="2">
        <f>IFERROR(__xludf.DUMMYFUNCTION("""COMPUTED_VALUE"""),1.0)</f>
        <v>1</v>
      </c>
      <c r="C576" s="2">
        <f>IFERROR(__xludf.DUMMYFUNCTION("""COMPUTED_VALUE"""),285.0)</f>
        <v>285</v>
      </c>
      <c r="D576" s="3">
        <f>IFERROR(__xludf.DUMMYFUNCTION("""COMPUTED_VALUE"""),166.0)</f>
        <v>166</v>
      </c>
      <c r="E576" s="1" t="str">
        <f t="array" ref="E576">_xlfn.XLOOKUP(A576,Product!A:A,Product!B:B,"Bulunamadı")</f>
        <v>Tech</v>
      </c>
      <c r="F576" s="1" t="str">
        <f t="array" ref="F576">_xlfn.XLOOKUP(A576,Product!A:A,Product!C:C,"Bulunamadı")</f>
        <v>Paranormal</v>
      </c>
      <c r="G576" s="2" t="str">
        <f t="array" ref="G576">_xlfn.XLOOKUP(A577,Product!A:A,Product!D:D,"Bulunamadı")</f>
        <v>Starfall Publishing</v>
      </c>
      <c r="H576" s="2">
        <f t="array" ref="H576">_xlfn.XLOOKUP(A578,Product!A:A,Product!E:E,"Bulunamadı")</f>
        <v>2.3</v>
      </c>
      <c r="I576" s="2" t="str">
        <f t="shared" si="1"/>
        <v>98426 - Tech - Paranormal</v>
      </c>
      <c r="J576" s="2">
        <f t="shared" si="2"/>
        <v>381.8</v>
      </c>
      <c r="K576" s="17">
        <f t="shared" si="3"/>
        <v>1</v>
      </c>
      <c r="L576" s="18"/>
    </row>
    <row r="577" hidden="1">
      <c r="A577" s="2">
        <f>IFERROR(__xludf.DUMMYFUNCTION("""COMPUTED_VALUE"""),110006.0)</f>
        <v>110006</v>
      </c>
      <c r="B577" s="2">
        <f>IFERROR(__xludf.DUMMYFUNCTION("""COMPUTED_VALUE"""),0.0)</f>
        <v>0</v>
      </c>
      <c r="C577" s="2">
        <f>IFERROR(__xludf.DUMMYFUNCTION("""COMPUTED_VALUE"""),127.0)</f>
        <v>127</v>
      </c>
      <c r="D577" s="3">
        <f>IFERROR(__xludf.DUMMYFUNCTION("""COMPUTED_VALUE"""),107.0)</f>
        <v>107</v>
      </c>
      <c r="E577" s="1" t="str">
        <f t="array" ref="E577">_xlfn.XLOOKUP(A577,Product!A:A,Product!B:B,"Bulunamadı")</f>
        <v>Tech</v>
      </c>
      <c r="F577" s="1" t="str">
        <f t="array" ref="F577">_xlfn.XLOOKUP(A577,Product!A:A,Product!C:C,"Bulunamadı")</f>
        <v>Paranormal</v>
      </c>
      <c r="G577" s="2" t="str">
        <f t="array" ref="G577">_xlfn.XLOOKUP(A578,Product!A:A,Product!D:D,"Bulunamadı")</f>
        <v>Deep River Books</v>
      </c>
      <c r="H577" s="2">
        <f t="array" ref="H577">_xlfn.XLOOKUP(A579,Product!A:A,Product!E:E,"Bulunamadı")</f>
        <v>4.02</v>
      </c>
      <c r="I577" s="2" t="str">
        <f t="shared" si="1"/>
        <v>110006 - Tech - Paranormal</v>
      </c>
      <c r="J577" s="2">
        <f t="shared" si="2"/>
        <v>430.14</v>
      </c>
      <c r="K577" s="17">
        <f t="shared" si="3"/>
        <v>1</v>
      </c>
      <c r="L577" s="18"/>
    </row>
    <row r="578" hidden="1">
      <c r="A578" s="2">
        <f>IFERROR(__xludf.DUMMYFUNCTION("""COMPUTED_VALUE"""),110409.0)</f>
        <v>110409</v>
      </c>
      <c r="B578" s="2">
        <f>IFERROR(__xludf.DUMMYFUNCTION("""COMPUTED_VALUE"""),0.0)</f>
        <v>0</v>
      </c>
      <c r="C578" s="2">
        <f>IFERROR(__xludf.DUMMYFUNCTION("""COMPUTED_VALUE"""),149.0)</f>
        <v>149</v>
      </c>
      <c r="D578" s="3">
        <f>IFERROR(__xludf.DUMMYFUNCTION("""COMPUTED_VALUE"""),138.0)</f>
        <v>138</v>
      </c>
      <c r="E578" s="1" t="str">
        <f t="array" ref="E578">_xlfn.XLOOKUP(A578,Product!A:A,Product!B:B,"Bulunamadı")</f>
        <v>Tech</v>
      </c>
      <c r="F578" s="1" t="str">
        <f t="array" ref="F578">_xlfn.XLOOKUP(A578,Product!A:A,Product!C:C,"Bulunamadı")</f>
        <v>Paranormal</v>
      </c>
      <c r="G578" s="2" t="str">
        <f t="array" ref="G578">_xlfn.XLOOKUP(A579,Product!A:A,Product!D:D,"Bulunamadı")</f>
        <v>Deep River Books</v>
      </c>
      <c r="H578" s="2">
        <f t="array" ref="H578">_xlfn.XLOOKUP(A580,Product!A:A,Product!E:E,"Bulunamadı")</f>
        <v>2.37</v>
      </c>
      <c r="I578" s="2" t="str">
        <f t="shared" si="1"/>
        <v>110409 - Tech - Paranormal</v>
      </c>
      <c r="J578" s="2">
        <f t="shared" si="2"/>
        <v>327.06</v>
      </c>
      <c r="K578" s="17">
        <f t="shared" si="3"/>
        <v>1</v>
      </c>
      <c r="L578" s="18"/>
    </row>
    <row r="579" hidden="1">
      <c r="A579" s="2">
        <f>IFERROR(__xludf.DUMMYFUNCTION("""COMPUTED_VALUE"""),117774.0)</f>
        <v>117774</v>
      </c>
      <c r="B579" s="2">
        <f>IFERROR(__xludf.DUMMYFUNCTION("""COMPUTED_VALUE"""),1.0)</f>
        <v>1</v>
      </c>
      <c r="C579" s="2">
        <f>IFERROR(__xludf.DUMMYFUNCTION("""COMPUTED_VALUE"""),192.0)</f>
        <v>192</v>
      </c>
      <c r="D579" s="3">
        <f>IFERROR(__xludf.DUMMYFUNCTION("""COMPUTED_VALUE"""),131.0)</f>
        <v>131</v>
      </c>
      <c r="E579" s="1" t="str">
        <f t="array" ref="E579">_xlfn.XLOOKUP(A579,Product!A:A,Product!B:B,"Bulunamadı")</f>
        <v>Tech</v>
      </c>
      <c r="F579" s="1" t="str">
        <f t="array" ref="F579">_xlfn.XLOOKUP(A579,Product!A:A,Product!C:C,"Bulunamadı")</f>
        <v>Paranormal</v>
      </c>
      <c r="G579" s="2" t="str">
        <f t="array" ref="G579">_xlfn.XLOOKUP(A580,Product!A:A,Product!D:D,"Bulunamadı")</f>
        <v>Deep River Books</v>
      </c>
      <c r="H579" s="2">
        <f t="array" ref="H579">_xlfn.XLOOKUP(A581,Product!A:A,Product!E:E,"Bulunamadı")</f>
        <v>7.08</v>
      </c>
      <c r="I579" s="2" t="str">
        <f t="shared" si="1"/>
        <v>117774 - Tech - Paranormal</v>
      </c>
      <c r="J579" s="2">
        <f t="shared" si="2"/>
        <v>927.48</v>
      </c>
      <c r="K579" s="17">
        <f t="shared" si="3"/>
        <v>1</v>
      </c>
      <c r="L579" s="18"/>
    </row>
    <row r="580" hidden="1">
      <c r="A580" s="2">
        <f>IFERROR(__xludf.DUMMYFUNCTION("""COMPUTED_VALUE"""),110411.0)</f>
        <v>110411</v>
      </c>
      <c r="B580" s="2">
        <f>IFERROR(__xludf.DUMMYFUNCTION("""COMPUTED_VALUE"""),1.0)</f>
        <v>1</v>
      </c>
      <c r="C580" s="2">
        <f>IFERROR(__xludf.DUMMYFUNCTION("""COMPUTED_VALUE"""),949.0)</f>
        <v>949</v>
      </c>
      <c r="D580" s="3">
        <f>IFERROR(__xludf.DUMMYFUNCTION("""COMPUTED_VALUE"""),26.0)</f>
        <v>26</v>
      </c>
      <c r="E580" s="1" t="str">
        <f t="array" ref="E580">_xlfn.XLOOKUP(A580,Product!A:A,Product!B:B,"Bulunamadı")</f>
        <v>Tech</v>
      </c>
      <c r="F580" s="1" t="str">
        <f t="array" ref="F580">_xlfn.XLOOKUP(A580,Product!A:A,Product!C:C,"Bulunamadı")</f>
        <v>Paranormal</v>
      </c>
      <c r="G580" s="2" t="str">
        <f t="array" ref="G580">_xlfn.XLOOKUP(A581,Product!A:A,Product!D:D,"Bulunamadı")</f>
        <v>Deep River Books</v>
      </c>
      <c r="H580" s="2">
        <f t="array" ref="H580">_xlfn.XLOOKUP(A582,Product!A:A,Product!E:E,"Bulunamadı")</f>
        <v>10.35</v>
      </c>
      <c r="I580" s="2" t="str">
        <f t="shared" si="1"/>
        <v>110411 - Tech - Paranormal</v>
      </c>
      <c r="J580" s="2">
        <f t="shared" si="2"/>
        <v>269.1</v>
      </c>
      <c r="K580" s="17">
        <f t="shared" si="3"/>
        <v>1</v>
      </c>
      <c r="L580" s="18"/>
    </row>
    <row r="581" hidden="1">
      <c r="A581" s="2">
        <f>IFERROR(__xludf.DUMMYFUNCTION("""COMPUTED_VALUE"""),86743.0)</f>
        <v>86743</v>
      </c>
      <c r="B581" s="2">
        <f>IFERROR(__xludf.DUMMYFUNCTION("""COMPUTED_VALUE"""),0.0)</f>
        <v>0</v>
      </c>
      <c r="C581" s="2">
        <f>IFERROR(__xludf.DUMMYFUNCTION("""COMPUTED_VALUE"""),74.0)</f>
        <v>74</v>
      </c>
      <c r="D581" s="3">
        <f>IFERROR(__xludf.DUMMYFUNCTION("""COMPUTED_VALUE"""),51.0)</f>
        <v>51</v>
      </c>
      <c r="E581" s="1" t="str">
        <f t="array" ref="E581">_xlfn.XLOOKUP(A581,Product!A:A,Product!B:B,"Bulunamadı")</f>
        <v>Tech</v>
      </c>
      <c r="F581" s="1" t="str">
        <f t="array" ref="F581">_xlfn.XLOOKUP(A581,Product!A:A,Product!C:C,"Bulunamadı")</f>
        <v>Paranormal</v>
      </c>
      <c r="G581" s="2" t="str">
        <f t="array" ref="G581">_xlfn.XLOOKUP(A582,Product!A:A,Product!D:D,"Bulunamadı")</f>
        <v>Deep River Books</v>
      </c>
      <c r="H581" s="2">
        <f t="array" ref="H581">_xlfn.XLOOKUP(A583,Product!A:A,Product!E:E,"Bulunamadı")</f>
        <v>2.58</v>
      </c>
      <c r="I581" s="2" t="str">
        <f t="shared" si="1"/>
        <v>86743 - Tech - Paranormal</v>
      </c>
      <c r="J581" s="2">
        <f t="shared" si="2"/>
        <v>131.58</v>
      </c>
      <c r="K581" s="17">
        <f t="shared" si="3"/>
        <v>1</v>
      </c>
      <c r="L581" s="18"/>
    </row>
    <row r="582" hidden="1">
      <c r="A582" s="2">
        <f>IFERROR(__xludf.DUMMYFUNCTION("""COMPUTED_VALUE"""),86691.0)</f>
        <v>86691</v>
      </c>
      <c r="B582" s="2">
        <f>IFERROR(__xludf.DUMMYFUNCTION("""COMPUTED_VALUE"""),0.0)</f>
        <v>0</v>
      </c>
      <c r="C582" s="2">
        <f>IFERROR(__xludf.DUMMYFUNCTION("""COMPUTED_VALUE"""),479.0)</f>
        <v>479</v>
      </c>
      <c r="D582" s="3">
        <f>IFERROR(__xludf.DUMMYFUNCTION("""COMPUTED_VALUE"""),346.0)</f>
        <v>346</v>
      </c>
      <c r="E582" s="1" t="str">
        <f t="array" ref="E582">_xlfn.XLOOKUP(A582,Product!A:A,Product!B:B,"Bulunamadı")</f>
        <v>Tech</v>
      </c>
      <c r="F582" s="1" t="str">
        <f t="array" ref="F582">_xlfn.XLOOKUP(A582,Product!A:A,Product!C:C,"Bulunamadı")</f>
        <v>Paranormal</v>
      </c>
      <c r="G582" s="2" t="str">
        <f t="array" ref="G582">_xlfn.XLOOKUP(A583,Product!A:A,Product!D:D,"Bulunamadı")</f>
        <v>Deep River Books</v>
      </c>
      <c r="H582" s="2">
        <f t="array" ref="H582">_xlfn.XLOOKUP(A584,Product!A:A,Product!E:E,"Bulunamadı")</f>
        <v>9.89</v>
      </c>
      <c r="I582" s="2" t="str">
        <f t="shared" si="1"/>
        <v>86691 - Tech - Paranormal</v>
      </c>
      <c r="J582" s="2">
        <f t="shared" si="2"/>
        <v>3421.94</v>
      </c>
      <c r="K582" s="17">
        <f t="shared" si="3"/>
        <v>1</v>
      </c>
      <c r="L582" s="18"/>
    </row>
    <row r="583" hidden="1">
      <c r="A583" s="2">
        <f>IFERROR(__xludf.DUMMYFUNCTION("""COMPUTED_VALUE"""),7257.0)</f>
        <v>7257</v>
      </c>
      <c r="B583" s="2">
        <f>IFERROR(__xludf.DUMMYFUNCTION("""COMPUTED_VALUE"""),0.0)</f>
        <v>0</v>
      </c>
      <c r="C583" s="2">
        <f>IFERROR(__xludf.DUMMYFUNCTION("""COMPUTED_VALUE"""),73.0)</f>
        <v>73</v>
      </c>
      <c r="D583" s="3">
        <f>IFERROR(__xludf.DUMMYFUNCTION("""COMPUTED_VALUE"""),71.0)</f>
        <v>71</v>
      </c>
      <c r="E583" s="1" t="str">
        <f t="array" ref="E583">_xlfn.XLOOKUP(A583,Product!A:A,Product!B:B,"Bulunamadı")</f>
        <v>Tech</v>
      </c>
      <c r="F583" s="1" t="str">
        <f t="array" ref="F583">_xlfn.XLOOKUP(A583,Product!A:A,Product!C:C,"Bulunamadı")</f>
        <v>Paranormal</v>
      </c>
      <c r="G583" s="2" t="str">
        <f t="array" ref="G583">_xlfn.XLOOKUP(A584,Product!A:A,Product!D:D,"Bulunamadı")</f>
        <v>Grand Harbor Press</v>
      </c>
      <c r="H583" s="2">
        <f t="array" ref="H583">_xlfn.XLOOKUP(A585,Product!A:A,Product!E:E,"Bulunamadı")</f>
        <v>5.02</v>
      </c>
      <c r="I583" s="2" t="str">
        <f t="shared" si="1"/>
        <v>7257 - Tech - Paranormal</v>
      </c>
      <c r="J583" s="2">
        <f t="shared" si="2"/>
        <v>356.42</v>
      </c>
      <c r="K583" s="17">
        <f t="shared" si="3"/>
        <v>1</v>
      </c>
      <c r="L583" s="18"/>
    </row>
    <row r="584" hidden="1">
      <c r="A584" s="2">
        <f>IFERROR(__xludf.DUMMYFUNCTION("""COMPUTED_VALUE"""),77706.0)</f>
        <v>77706</v>
      </c>
      <c r="B584" s="2">
        <f>IFERROR(__xludf.DUMMYFUNCTION("""COMPUTED_VALUE"""),0.0)</f>
        <v>0</v>
      </c>
      <c r="C584" s="2">
        <f>IFERROR(__xludf.DUMMYFUNCTION("""COMPUTED_VALUE"""),800.0)</f>
        <v>800</v>
      </c>
      <c r="D584" s="3">
        <f>IFERROR(__xludf.DUMMYFUNCTION("""COMPUTED_VALUE"""),202.0)</f>
        <v>202</v>
      </c>
      <c r="E584" s="1" t="str">
        <f t="array" ref="E584">_xlfn.XLOOKUP(A584,Product!A:A,Product!B:B,"Bulunamadı")</f>
        <v>Tech</v>
      </c>
      <c r="F584" s="1" t="str">
        <f t="array" ref="F584">_xlfn.XLOOKUP(A584,Product!A:A,Product!C:C,"Bulunamadı")</f>
        <v>Paranormal</v>
      </c>
      <c r="G584" s="2" t="str">
        <f t="array" ref="G584">_xlfn.XLOOKUP(A585,Product!A:A,Product!D:D,"Bulunamadı")</f>
        <v>Grand Harbor Press</v>
      </c>
      <c r="H584" s="2">
        <f t="array" ref="H584">_xlfn.XLOOKUP(A586,Product!A:A,Product!E:E,"Bulunamadı")</f>
        <v>7.48</v>
      </c>
      <c r="I584" s="2" t="str">
        <f t="shared" si="1"/>
        <v>77706 - Tech - Paranormal</v>
      </c>
      <c r="J584" s="2">
        <f t="shared" si="2"/>
        <v>1510.96</v>
      </c>
      <c r="K584" s="17">
        <f t="shared" si="3"/>
        <v>1</v>
      </c>
      <c r="L584" s="18"/>
    </row>
    <row r="585" hidden="1">
      <c r="A585" s="2">
        <f>IFERROR(__xludf.DUMMYFUNCTION("""COMPUTED_VALUE"""),122599.0)</f>
        <v>122599</v>
      </c>
      <c r="B585" s="2">
        <f>IFERROR(__xludf.DUMMYFUNCTION("""COMPUTED_VALUE"""),0.0)</f>
        <v>0</v>
      </c>
      <c r="C585" s="2">
        <f>IFERROR(__xludf.DUMMYFUNCTION("""COMPUTED_VALUE"""),107.0)</f>
        <v>107</v>
      </c>
      <c r="D585" s="3">
        <f>IFERROR(__xludf.DUMMYFUNCTION("""COMPUTED_VALUE"""),84.0)</f>
        <v>84</v>
      </c>
      <c r="E585" s="1" t="str">
        <f t="array" ref="E585">_xlfn.XLOOKUP(A585,Product!A:A,Product!B:B,"Bulunamadı")</f>
        <v>Tech</v>
      </c>
      <c r="F585" s="1" t="str">
        <f t="array" ref="F585">_xlfn.XLOOKUP(A585,Product!A:A,Product!C:C,"Bulunamadı")</f>
        <v>Paranormal</v>
      </c>
      <c r="G585" s="2" t="str">
        <f t="array" ref="G585">_xlfn.XLOOKUP(A586,Product!A:A,Product!D:D,"Bulunamadı")</f>
        <v>Grand Harbor Press</v>
      </c>
      <c r="H585" s="2">
        <f t="array" ref="H585">_xlfn.XLOOKUP(A587,Product!A:A,Product!E:E,"Bulunamadı")</f>
        <v>0.95</v>
      </c>
      <c r="I585" s="2" t="str">
        <f t="shared" si="1"/>
        <v>122599 - Tech - Paranormal</v>
      </c>
      <c r="J585" s="2">
        <f t="shared" si="2"/>
        <v>79.8</v>
      </c>
      <c r="K585" s="17">
        <f t="shared" si="3"/>
        <v>1</v>
      </c>
      <c r="L585" s="18"/>
    </row>
    <row r="586" hidden="1">
      <c r="A586" s="2">
        <f>IFERROR(__xludf.DUMMYFUNCTION("""COMPUTED_VALUE"""),109741.0)</f>
        <v>109741</v>
      </c>
      <c r="B586" s="2">
        <f>IFERROR(__xludf.DUMMYFUNCTION("""COMPUTED_VALUE"""),1.0)</f>
        <v>1</v>
      </c>
      <c r="C586" s="2">
        <f>IFERROR(__xludf.DUMMYFUNCTION("""COMPUTED_VALUE"""),451.0)</f>
        <v>451</v>
      </c>
      <c r="D586" s="3">
        <f>IFERROR(__xludf.DUMMYFUNCTION("""COMPUTED_VALUE"""),437.0)</f>
        <v>437</v>
      </c>
      <c r="E586" s="1" t="str">
        <f t="array" ref="E586">_xlfn.XLOOKUP(A586,Product!A:A,Product!B:B,"Bulunamadı")</f>
        <v>Tech</v>
      </c>
      <c r="F586" s="1" t="str">
        <f t="array" ref="F586">_xlfn.XLOOKUP(A586,Product!A:A,Product!C:C,"Bulunamadı")</f>
        <v>Paranormal</v>
      </c>
      <c r="G586" s="2" t="str">
        <f t="array" ref="G586">_xlfn.XLOOKUP(A587,Product!A:A,Product!D:D,"Bulunamadı")</f>
        <v>Grand Harbor Press</v>
      </c>
      <c r="H586" s="2">
        <f t="array" ref="H586">_xlfn.XLOOKUP(A588,Product!A:A,Product!E:E,"Bulunamadı")</f>
        <v>5.55</v>
      </c>
      <c r="I586" s="2" t="str">
        <f t="shared" si="1"/>
        <v>109741 - Tech - Paranormal</v>
      </c>
      <c r="J586" s="2">
        <f t="shared" si="2"/>
        <v>2425.35</v>
      </c>
      <c r="K586" s="17">
        <f t="shared" si="3"/>
        <v>1</v>
      </c>
      <c r="L586" s="18"/>
    </row>
    <row r="587" hidden="1">
      <c r="A587" s="2">
        <f>IFERROR(__xludf.DUMMYFUNCTION("""COMPUTED_VALUE"""),69064.0)</f>
        <v>69064</v>
      </c>
      <c r="B587" s="2">
        <f>IFERROR(__xludf.DUMMYFUNCTION("""COMPUTED_VALUE"""),1.0)</f>
        <v>1</v>
      </c>
      <c r="C587" s="2">
        <f>IFERROR(__xludf.DUMMYFUNCTION("""COMPUTED_VALUE"""),592.0)</f>
        <v>592</v>
      </c>
      <c r="D587" s="3">
        <f>IFERROR(__xludf.DUMMYFUNCTION("""COMPUTED_VALUE"""),580.0)</f>
        <v>580</v>
      </c>
      <c r="E587" s="1" t="str">
        <f t="array" ref="E587">_xlfn.XLOOKUP(A587,Product!A:A,Product!B:B,"Bulunamadı")</f>
        <v>Tech</v>
      </c>
      <c r="F587" s="1" t="str">
        <f t="array" ref="F587">_xlfn.XLOOKUP(A587,Product!A:A,Product!C:C,"Bulunamadı")</f>
        <v>Paranormal</v>
      </c>
      <c r="G587" s="2" t="str">
        <f t="array" ref="G587">_xlfn.XLOOKUP(A588,Product!A:A,Product!D:D,"Bulunamadı")</f>
        <v>Grand Harbor Press</v>
      </c>
      <c r="H587" s="2">
        <f t="array" ref="H587">_xlfn.XLOOKUP(A589,Product!A:A,Product!E:E,"Bulunamadı")</f>
        <v>7.32</v>
      </c>
      <c r="I587" s="2" t="str">
        <f t="shared" si="1"/>
        <v>69064 - Tech - Paranormal</v>
      </c>
      <c r="J587" s="2">
        <f t="shared" si="2"/>
        <v>4245.6</v>
      </c>
      <c r="K587" s="17">
        <f t="shared" si="3"/>
        <v>1</v>
      </c>
      <c r="L587" s="18"/>
    </row>
    <row r="588" hidden="1">
      <c r="A588" s="2">
        <f>IFERROR(__xludf.DUMMYFUNCTION("""COMPUTED_VALUE"""),119447.0)</f>
        <v>119447</v>
      </c>
      <c r="B588" s="2">
        <f>IFERROR(__xludf.DUMMYFUNCTION("""COMPUTED_VALUE"""),0.0)</f>
        <v>0</v>
      </c>
      <c r="C588" s="2">
        <f>IFERROR(__xludf.DUMMYFUNCTION("""COMPUTED_VALUE"""),332.0)</f>
        <v>332</v>
      </c>
      <c r="D588" s="3">
        <f>IFERROR(__xludf.DUMMYFUNCTION("""COMPUTED_VALUE"""),10.0)</f>
        <v>10</v>
      </c>
      <c r="E588" s="1" t="str">
        <f t="array" ref="E588">_xlfn.XLOOKUP(A588,Product!A:A,Product!B:B,"Bulunamadı")</f>
        <v>Tech</v>
      </c>
      <c r="F588" s="1" t="str">
        <f t="array" ref="F588">_xlfn.XLOOKUP(A588,Product!A:A,Product!C:C,"Bulunamadı")</f>
        <v>Paranormal</v>
      </c>
      <c r="G588" s="2" t="str">
        <f t="array" ref="G588">_xlfn.XLOOKUP(A589,Product!A:A,Product!D:D,"Bulunamadı")</f>
        <v>Grand Harbor Press</v>
      </c>
      <c r="H588" s="2">
        <f t="array" ref="H588">_xlfn.XLOOKUP(A590,Product!A:A,Product!E:E,"Bulunamadı")</f>
        <v>0.95</v>
      </c>
      <c r="I588" s="2" t="str">
        <f t="shared" si="1"/>
        <v>119447 - Tech - Paranormal</v>
      </c>
      <c r="J588" s="2">
        <f t="shared" si="2"/>
        <v>9.5</v>
      </c>
      <c r="K588" s="17">
        <f t="shared" si="3"/>
        <v>1</v>
      </c>
      <c r="L588" s="18"/>
    </row>
    <row r="589" hidden="1">
      <c r="A589" s="2">
        <f>IFERROR(__xludf.DUMMYFUNCTION("""COMPUTED_VALUE"""),111730.0)</f>
        <v>111730</v>
      </c>
      <c r="B589" s="2">
        <f>IFERROR(__xludf.DUMMYFUNCTION("""COMPUTED_VALUE"""),1.0)</f>
        <v>1</v>
      </c>
      <c r="C589" s="2">
        <f>IFERROR(__xludf.DUMMYFUNCTION("""COMPUTED_VALUE"""),468.0)</f>
        <v>468</v>
      </c>
      <c r="D589" s="3">
        <f>IFERROR(__xludf.DUMMYFUNCTION("""COMPUTED_VALUE"""),435.0)</f>
        <v>435</v>
      </c>
      <c r="E589" s="1" t="str">
        <f t="array" ref="E589">_xlfn.XLOOKUP(A589,Product!A:A,Product!B:B,"Bulunamadı")</f>
        <v>Tech</v>
      </c>
      <c r="F589" s="1" t="str">
        <f t="array" ref="F589">_xlfn.XLOOKUP(A589,Product!A:A,Product!C:C,"Bulunamadı")</f>
        <v>Paranormal</v>
      </c>
      <c r="G589" s="2" t="str">
        <f t="array" ref="G589">_xlfn.XLOOKUP(A590,Product!A:A,Product!D:D,"Bulunamadı")</f>
        <v>Grand Harbor Press</v>
      </c>
      <c r="H589" s="2">
        <f t="array" ref="H589">_xlfn.XLOOKUP(A591,Product!A:A,Product!E:E,"Bulunamadı")</f>
        <v>7.93</v>
      </c>
      <c r="I589" s="2" t="str">
        <f t="shared" si="1"/>
        <v>111730 - Tech - Paranormal</v>
      </c>
      <c r="J589" s="2">
        <f t="shared" si="2"/>
        <v>3449.55</v>
      </c>
      <c r="K589" s="17">
        <f t="shared" si="3"/>
        <v>1</v>
      </c>
      <c r="L589" s="18"/>
    </row>
    <row r="590" hidden="1">
      <c r="A590" s="2">
        <f>IFERROR(__xludf.DUMMYFUNCTION("""COMPUTED_VALUE"""),100437.0)</f>
        <v>100437</v>
      </c>
      <c r="B590" s="2">
        <f>IFERROR(__xludf.DUMMYFUNCTION("""COMPUTED_VALUE"""),1.0)</f>
        <v>1</v>
      </c>
      <c r="C590" s="2">
        <f>IFERROR(__xludf.DUMMYFUNCTION("""COMPUTED_VALUE"""),257.0)</f>
        <v>257</v>
      </c>
      <c r="D590" s="3">
        <f>IFERROR(__xludf.DUMMYFUNCTION("""COMPUTED_VALUE"""),31.0)</f>
        <v>31</v>
      </c>
      <c r="E590" s="1" t="str">
        <f t="array" ref="E590">_xlfn.XLOOKUP(A590,Product!A:A,Product!B:B,"Bulunamadı")</f>
        <v>Tech</v>
      </c>
      <c r="F590" s="1" t="str">
        <f t="array" ref="F590">_xlfn.XLOOKUP(A590,Product!A:A,Product!C:C,"Bulunamadı")</f>
        <v>Paranormal</v>
      </c>
      <c r="G590" s="2" t="str">
        <f t="array" ref="G590">_xlfn.XLOOKUP(A591,Product!A:A,Product!D:D,"Bulunamadı")</f>
        <v>Grand Harbor Press</v>
      </c>
      <c r="H590" s="2">
        <f t="array" ref="H590">_xlfn.XLOOKUP(A592,Product!A:A,Product!E:E,"Bulunamadı")</f>
        <v>0.53</v>
      </c>
      <c r="I590" s="2" t="str">
        <f t="shared" si="1"/>
        <v>100437 - Tech - Paranormal</v>
      </c>
      <c r="J590" s="2">
        <f t="shared" si="2"/>
        <v>16.43</v>
      </c>
      <c r="K590" s="17">
        <f t="shared" si="3"/>
        <v>1</v>
      </c>
      <c r="L590" s="18"/>
    </row>
    <row r="591" hidden="1">
      <c r="A591" s="2">
        <f>IFERROR(__xludf.DUMMYFUNCTION("""COMPUTED_VALUE"""),92304.0)</f>
        <v>92304</v>
      </c>
      <c r="B591" s="2">
        <f>IFERROR(__xludf.DUMMYFUNCTION("""COMPUTED_VALUE"""),0.0)</f>
        <v>0</v>
      </c>
      <c r="C591" s="2">
        <f>IFERROR(__xludf.DUMMYFUNCTION("""COMPUTED_VALUE"""),911.0)</f>
        <v>911</v>
      </c>
      <c r="D591" s="3">
        <f>IFERROR(__xludf.DUMMYFUNCTION("""COMPUTED_VALUE"""),50.0)</f>
        <v>50</v>
      </c>
      <c r="E591" s="1" t="str">
        <f t="array" ref="E591">_xlfn.XLOOKUP(A591,Product!A:A,Product!B:B,"Bulunamadı")</f>
        <v>Tech</v>
      </c>
      <c r="F591" s="1" t="str">
        <f t="array" ref="F591">_xlfn.XLOOKUP(A591,Product!A:A,Product!C:C,"Bulunamadı")</f>
        <v>Paranormal</v>
      </c>
      <c r="G591" s="2" t="str">
        <f t="array" ref="G591">_xlfn.XLOOKUP(A592,Product!A:A,Product!D:D,"Bulunamadı")</f>
        <v>Grand Harbor Press</v>
      </c>
      <c r="H591" s="2">
        <f t="array" ref="H591">_xlfn.XLOOKUP(A593,Product!A:A,Product!E:E,"Bulunamadı")</f>
        <v>0.53</v>
      </c>
      <c r="I591" s="2" t="str">
        <f t="shared" si="1"/>
        <v>92304 - Tech - Paranormal</v>
      </c>
      <c r="J591" s="2">
        <f t="shared" si="2"/>
        <v>26.5</v>
      </c>
      <c r="K591" s="17">
        <f t="shared" si="3"/>
        <v>1</v>
      </c>
      <c r="L591" s="18"/>
    </row>
    <row r="592" hidden="1">
      <c r="A592" s="2">
        <f>IFERROR(__xludf.DUMMYFUNCTION("""COMPUTED_VALUE"""),103655.0)</f>
        <v>103655</v>
      </c>
      <c r="B592" s="2">
        <f>IFERROR(__xludf.DUMMYFUNCTION("""COMPUTED_VALUE"""),1.0)</f>
        <v>1</v>
      </c>
      <c r="C592" s="2">
        <f>IFERROR(__xludf.DUMMYFUNCTION("""COMPUTED_VALUE"""),51.0)</f>
        <v>51</v>
      </c>
      <c r="D592" s="3">
        <f>IFERROR(__xludf.DUMMYFUNCTION("""COMPUTED_VALUE"""),22.0)</f>
        <v>22</v>
      </c>
      <c r="E592" s="1" t="str">
        <f t="array" ref="E592">_xlfn.XLOOKUP(A592,Product!A:A,Product!B:B,"Bulunamadı")</f>
        <v>Tech</v>
      </c>
      <c r="F592" s="1" t="str">
        <f t="array" ref="F592">_xlfn.XLOOKUP(A592,Product!A:A,Product!C:C,"Bulunamadı")</f>
        <v>Paranormal</v>
      </c>
      <c r="G592" s="2" t="str">
        <f t="array" ref="G592">_xlfn.XLOOKUP(A593,Product!A:A,Product!D:D,"Bulunamadı")</f>
        <v>Grand Harbor Press</v>
      </c>
      <c r="H592" s="2">
        <f t="array" ref="H592">_xlfn.XLOOKUP(A594,Product!A:A,Product!E:E,"Bulunamadı")</f>
        <v>2.56</v>
      </c>
      <c r="I592" s="2" t="str">
        <f t="shared" si="1"/>
        <v>103655 - Tech - Paranormal</v>
      </c>
      <c r="J592" s="2">
        <f t="shared" si="2"/>
        <v>56.32</v>
      </c>
      <c r="K592" s="17">
        <f t="shared" si="3"/>
        <v>1</v>
      </c>
      <c r="L592" s="18"/>
    </row>
    <row r="593" hidden="1">
      <c r="A593" s="2">
        <f>IFERROR(__xludf.DUMMYFUNCTION("""COMPUTED_VALUE"""),103656.0)</f>
        <v>103656</v>
      </c>
      <c r="B593" s="2">
        <f>IFERROR(__xludf.DUMMYFUNCTION("""COMPUTED_VALUE"""),1.0)</f>
        <v>1</v>
      </c>
      <c r="C593" s="2">
        <f>IFERROR(__xludf.DUMMYFUNCTION("""COMPUTED_VALUE"""),949.0)</f>
        <v>949</v>
      </c>
      <c r="D593" s="3">
        <f>IFERROR(__xludf.DUMMYFUNCTION("""COMPUTED_VALUE"""),871.0)</f>
        <v>871</v>
      </c>
      <c r="E593" s="1" t="str">
        <f t="array" ref="E593">_xlfn.XLOOKUP(A593,Product!A:A,Product!B:B,"Bulunamadı")</f>
        <v>Tech</v>
      </c>
      <c r="F593" s="1" t="str">
        <f t="array" ref="F593">_xlfn.XLOOKUP(A593,Product!A:A,Product!C:C,"Bulunamadı")</f>
        <v>Paranormal</v>
      </c>
      <c r="G593" s="2" t="str">
        <f t="array" ref="G593">_xlfn.XLOOKUP(A594,Product!A:A,Product!D:D,"Bulunamadı")</f>
        <v>Grand Harbor Press</v>
      </c>
      <c r="H593" s="2">
        <f t="array" ref="H593">_xlfn.XLOOKUP(A595,Product!A:A,Product!E:E,"Bulunamadı")</f>
        <v>1.23</v>
      </c>
      <c r="I593" s="2" t="str">
        <f t="shared" si="1"/>
        <v>103656 - Tech - Paranormal</v>
      </c>
      <c r="J593" s="2">
        <f t="shared" si="2"/>
        <v>1071.33</v>
      </c>
      <c r="K593" s="17">
        <f t="shared" si="3"/>
        <v>1</v>
      </c>
      <c r="L593" s="18"/>
    </row>
    <row r="594" hidden="1">
      <c r="A594" s="2">
        <f>IFERROR(__xludf.DUMMYFUNCTION("""COMPUTED_VALUE"""),103704.0)</f>
        <v>103704</v>
      </c>
      <c r="B594" s="2">
        <f>IFERROR(__xludf.DUMMYFUNCTION("""COMPUTED_VALUE"""),1.0)</f>
        <v>1</v>
      </c>
      <c r="C594" s="2">
        <f>IFERROR(__xludf.DUMMYFUNCTION("""COMPUTED_VALUE"""),450.0)</f>
        <v>450</v>
      </c>
      <c r="D594" s="3">
        <f>IFERROR(__xludf.DUMMYFUNCTION("""COMPUTED_VALUE"""),194.0)</f>
        <v>194</v>
      </c>
      <c r="E594" s="1" t="str">
        <f t="array" ref="E594">_xlfn.XLOOKUP(A594,Product!A:A,Product!B:B,"Bulunamadı")</f>
        <v>Tech</v>
      </c>
      <c r="F594" s="1" t="str">
        <f t="array" ref="F594">_xlfn.XLOOKUP(A594,Product!A:A,Product!C:C,"Bulunamadı")</f>
        <v>Paranormal</v>
      </c>
      <c r="G594" s="2" t="str">
        <f t="array" ref="G594">_xlfn.XLOOKUP(A595,Product!A:A,Product!D:D,"Bulunamadı")</f>
        <v>Grand Harbor Press</v>
      </c>
      <c r="H594" s="2">
        <f t="array" ref="H594">_xlfn.XLOOKUP(A596,Product!A:A,Product!E:E,"Bulunamadı")</f>
        <v>6.52</v>
      </c>
      <c r="I594" s="2" t="str">
        <f t="shared" si="1"/>
        <v>103704 - Tech - Paranormal</v>
      </c>
      <c r="J594" s="2">
        <f t="shared" si="2"/>
        <v>1264.88</v>
      </c>
      <c r="K594" s="17">
        <f t="shared" si="3"/>
        <v>1</v>
      </c>
      <c r="L594" s="18"/>
    </row>
    <row r="595" hidden="1">
      <c r="A595" s="2">
        <f>IFERROR(__xludf.DUMMYFUNCTION("""COMPUTED_VALUE"""),46759.0)</f>
        <v>46759</v>
      </c>
      <c r="B595" s="2">
        <f>IFERROR(__xludf.DUMMYFUNCTION("""COMPUTED_VALUE"""),1.0)</f>
        <v>1</v>
      </c>
      <c r="C595" s="2">
        <f>IFERROR(__xludf.DUMMYFUNCTION("""COMPUTED_VALUE"""),932.0)</f>
        <v>932</v>
      </c>
      <c r="D595" s="3">
        <f>IFERROR(__xludf.DUMMYFUNCTION("""COMPUTED_VALUE"""),8.0)</f>
        <v>8</v>
      </c>
      <c r="E595" s="1" t="str">
        <f t="array" ref="E595">_xlfn.XLOOKUP(A595,Product!A:A,Product!B:B,"Bulunamadı")</f>
        <v>Tech</v>
      </c>
      <c r="F595" s="1" t="str">
        <f t="array" ref="F595">_xlfn.XLOOKUP(A595,Product!A:A,Product!C:C,"Bulunamadı")</f>
        <v>Paranormal</v>
      </c>
      <c r="G595" s="2" t="str">
        <f t="array" ref="G595">_xlfn.XLOOKUP(A596,Product!A:A,Product!D:D,"Bulunamadı")</f>
        <v/>
      </c>
      <c r="H595" s="2">
        <f t="array" ref="H595">_xlfn.XLOOKUP(A597,Product!A:A,Product!E:E,"Bulunamadı")</f>
        <v>2.06</v>
      </c>
      <c r="I595" s="2" t="str">
        <f t="shared" si="1"/>
        <v>46759 - Tech - Paranormal</v>
      </c>
      <c r="J595" s="2">
        <f t="shared" si="2"/>
        <v>16.48</v>
      </c>
      <c r="K595" s="17">
        <f t="shared" si="3"/>
        <v>1</v>
      </c>
      <c r="L595" s="18"/>
    </row>
    <row r="596" hidden="1">
      <c r="A596" s="2">
        <f>IFERROR(__xludf.DUMMYFUNCTION("""COMPUTED_VALUE"""),113594.0)</f>
        <v>113594</v>
      </c>
      <c r="B596" s="2">
        <f>IFERROR(__xludf.DUMMYFUNCTION("""COMPUTED_VALUE"""),0.0)</f>
        <v>0</v>
      </c>
      <c r="C596" s="2">
        <f>IFERROR(__xludf.DUMMYFUNCTION("""COMPUTED_VALUE"""),682.0)</f>
        <v>682</v>
      </c>
      <c r="D596" s="3">
        <f>IFERROR(__xludf.DUMMYFUNCTION("""COMPUTED_VALUE"""),100.0)</f>
        <v>100</v>
      </c>
      <c r="E596" s="1" t="str">
        <f t="array" ref="E596">_xlfn.XLOOKUP(A596,Product!A:A,Product!B:B,"Bulunamadı")</f>
        <v>History</v>
      </c>
      <c r="F596" s="1" t="str">
        <f t="array" ref="F596">_xlfn.XLOOKUP(A596,Product!A:A,Product!C:C,"Bulunamadı")</f>
        <v>Young Adult Fiction</v>
      </c>
      <c r="G596" s="2" t="str">
        <f t="array" ref="G596">_xlfn.XLOOKUP(A597,Product!A:A,Product!D:D,"Bulunamadı")</f>
        <v/>
      </c>
      <c r="H596" s="2">
        <f t="array" ref="H596">_xlfn.XLOOKUP(A598,Product!A:A,Product!E:E,"Bulunamadı")</f>
        <v>7.03</v>
      </c>
      <c r="I596" s="2" t="str">
        <f t="shared" si="1"/>
        <v>113594 - History - Young Adult Fiction</v>
      </c>
      <c r="J596" s="2">
        <f t="shared" si="2"/>
        <v>703</v>
      </c>
      <c r="K596" s="17">
        <f t="shared" si="3"/>
        <v>1</v>
      </c>
      <c r="L596" s="18"/>
    </row>
    <row r="597" hidden="1">
      <c r="A597" s="2">
        <f>IFERROR(__xludf.DUMMYFUNCTION("""COMPUTED_VALUE"""),111791.0)</f>
        <v>111791</v>
      </c>
      <c r="B597" s="2">
        <f>IFERROR(__xludf.DUMMYFUNCTION("""COMPUTED_VALUE"""),0.0)</f>
        <v>0</v>
      </c>
      <c r="C597" s="2">
        <f>IFERROR(__xludf.DUMMYFUNCTION("""COMPUTED_VALUE"""),79.0)</f>
        <v>79</v>
      </c>
      <c r="D597" s="3">
        <f>IFERROR(__xludf.DUMMYFUNCTION("""COMPUTED_VALUE"""),13.0)</f>
        <v>13</v>
      </c>
      <c r="E597" s="1" t="str">
        <f t="array" ref="E597">_xlfn.XLOOKUP(A597,Product!A:A,Product!B:B,"Bulunamadı")</f>
        <v>History</v>
      </c>
      <c r="F597" s="1" t="str">
        <f t="array" ref="F597">_xlfn.XLOOKUP(A597,Product!A:A,Product!C:C,"Bulunamadı")</f>
        <v>Young Adult Fiction</v>
      </c>
      <c r="G597" s="2" t="str">
        <f t="array" ref="G597">_xlfn.XLOOKUP(A598,Product!A:A,Product!D:D,"Bulunamadı")</f>
        <v>Blue Ridge Publishing</v>
      </c>
      <c r="H597" s="2">
        <f t="array" ref="H597">_xlfn.XLOOKUP(A599,Product!A:A,Product!E:E,"Bulunamadı")</f>
        <v>2.73</v>
      </c>
      <c r="I597" s="2" t="str">
        <f t="shared" si="1"/>
        <v>111791 - History - Young Adult Fiction</v>
      </c>
      <c r="J597" s="2">
        <f t="shared" si="2"/>
        <v>35.49</v>
      </c>
      <c r="K597" s="17">
        <f t="shared" si="3"/>
        <v>1</v>
      </c>
      <c r="L597" s="18"/>
    </row>
    <row r="598" hidden="1">
      <c r="A598" s="2">
        <f>IFERROR(__xludf.DUMMYFUNCTION("""COMPUTED_VALUE"""),44674.0)</f>
        <v>44674</v>
      </c>
      <c r="B598" s="2">
        <f>IFERROR(__xludf.DUMMYFUNCTION("""COMPUTED_VALUE"""),1.0)</f>
        <v>1</v>
      </c>
      <c r="C598" s="2">
        <f>IFERROR(__xludf.DUMMYFUNCTION("""COMPUTED_VALUE"""),975.0)</f>
        <v>975</v>
      </c>
      <c r="D598" s="3">
        <f>IFERROR(__xludf.DUMMYFUNCTION("""COMPUTED_VALUE"""),315.0)</f>
        <v>315</v>
      </c>
      <c r="E598" s="1" t="str">
        <f t="array" ref="E598">_xlfn.XLOOKUP(A598,Product!A:A,Product!B:B,"Bulunamadı")</f>
        <v>History</v>
      </c>
      <c r="F598" s="1" t="str">
        <f t="array" ref="F598">_xlfn.XLOOKUP(A598,Product!A:A,Product!C:C,"Bulunamadı")</f>
        <v>Ancient History</v>
      </c>
      <c r="G598" s="2" t="str">
        <f t="array" ref="G598">_xlfn.XLOOKUP(A599,Product!A:A,Product!D:D,"Bulunamadı")</f>
        <v>Blue Ridge Publishing</v>
      </c>
      <c r="H598" s="2">
        <f t="array" ref="H598">_xlfn.XLOOKUP(A600,Product!A:A,Product!E:E,"Bulunamadı")</f>
        <v>2.18</v>
      </c>
      <c r="I598" s="2" t="str">
        <f t="shared" si="1"/>
        <v>44674 - History - Ancient History</v>
      </c>
      <c r="J598" s="2">
        <f t="shared" si="2"/>
        <v>686.7</v>
      </c>
      <c r="K598" s="17">
        <f t="shared" si="3"/>
        <v>1</v>
      </c>
      <c r="L598" s="18"/>
    </row>
    <row r="599" hidden="1">
      <c r="A599" s="2">
        <f>IFERROR(__xludf.DUMMYFUNCTION("""COMPUTED_VALUE"""),48639.0)</f>
        <v>48639</v>
      </c>
      <c r="B599" s="2">
        <f>IFERROR(__xludf.DUMMYFUNCTION("""COMPUTED_VALUE"""),1.0)</f>
        <v>1</v>
      </c>
      <c r="C599" s="2">
        <f>IFERROR(__xludf.DUMMYFUNCTION("""COMPUTED_VALUE"""),627.0)</f>
        <v>627</v>
      </c>
      <c r="D599" s="3">
        <f>IFERROR(__xludf.DUMMYFUNCTION("""COMPUTED_VALUE"""),9.0)</f>
        <v>9</v>
      </c>
      <c r="E599" s="1" t="str">
        <f t="array" ref="E599">_xlfn.XLOOKUP(A599,Product!A:A,Product!B:B,"Bulunamadı")</f>
        <v>History</v>
      </c>
      <c r="F599" s="1" t="str">
        <f t="array" ref="F599">_xlfn.XLOOKUP(A599,Product!A:A,Product!C:C,"Bulunamadı")</f>
        <v>Ancient History</v>
      </c>
      <c r="G599" s="2" t="str">
        <f t="array" ref="G599">_xlfn.XLOOKUP(A600,Product!A:A,Product!D:D,"Bulunamadı")</f>
        <v>Blue Ridge Publishing</v>
      </c>
      <c r="H599" s="2">
        <f t="array" ref="H599">_xlfn.XLOOKUP(A601,Product!A:A,Product!E:E,"Bulunamadı")</f>
        <v>5.42</v>
      </c>
      <c r="I599" s="2" t="str">
        <f t="shared" si="1"/>
        <v>48639 - History - Ancient History</v>
      </c>
      <c r="J599" s="2">
        <f t="shared" si="2"/>
        <v>48.78</v>
      </c>
      <c r="K599" s="17">
        <f t="shared" si="3"/>
        <v>1</v>
      </c>
      <c r="L599" s="18"/>
    </row>
    <row r="600" hidden="1">
      <c r="A600" s="2">
        <f>IFERROR(__xludf.DUMMYFUNCTION("""COMPUTED_VALUE"""),76559.0)</f>
        <v>76559</v>
      </c>
      <c r="B600" s="2">
        <f>IFERROR(__xludf.DUMMYFUNCTION("""COMPUTED_VALUE"""),0.0)</f>
        <v>0</v>
      </c>
      <c r="C600" s="2">
        <f>IFERROR(__xludf.DUMMYFUNCTION("""COMPUTED_VALUE"""),583.0)</f>
        <v>583</v>
      </c>
      <c r="D600" s="3">
        <f>IFERROR(__xludf.DUMMYFUNCTION("""COMPUTED_VALUE"""),255.0)</f>
        <v>255</v>
      </c>
      <c r="E600" s="1" t="str">
        <f t="array" ref="E600">_xlfn.XLOOKUP(A600,Product!A:A,Product!B:B,"Bulunamadı")</f>
        <v>History</v>
      </c>
      <c r="F600" s="1" t="str">
        <f t="array" ref="F600">_xlfn.XLOOKUP(A600,Product!A:A,Product!C:C,"Bulunamadı")</f>
        <v>Ancient History</v>
      </c>
      <c r="G600" s="2" t="str">
        <f t="array" ref="G600">_xlfn.XLOOKUP(A601,Product!A:A,Product!D:D,"Bulunamadı")</f>
        <v>Northern Sky Books</v>
      </c>
      <c r="H600" s="2">
        <f t="array" ref="H600">_xlfn.XLOOKUP(A602,Product!A:A,Product!E:E,"Bulunamadı")</f>
        <v>1.9</v>
      </c>
      <c r="I600" s="2" t="str">
        <f t="shared" si="1"/>
        <v>76559 - History - Ancient History</v>
      </c>
      <c r="J600" s="2">
        <f t="shared" si="2"/>
        <v>484.5</v>
      </c>
      <c r="K600" s="17">
        <f t="shared" si="3"/>
        <v>1</v>
      </c>
      <c r="L600" s="18"/>
    </row>
    <row r="601" hidden="1">
      <c r="A601" s="2">
        <f>IFERROR(__xludf.DUMMYFUNCTION("""COMPUTED_VALUE"""),22112.0)</f>
        <v>22112</v>
      </c>
      <c r="B601" s="2">
        <f>IFERROR(__xludf.DUMMYFUNCTION("""COMPUTED_VALUE"""),0.0)</f>
        <v>0</v>
      </c>
      <c r="C601" s="2">
        <f>IFERROR(__xludf.DUMMYFUNCTION("""COMPUTED_VALUE"""),607.0)</f>
        <v>607</v>
      </c>
      <c r="D601" s="3">
        <f>IFERROR(__xludf.DUMMYFUNCTION("""COMPUTED_VALUE"""),275.0)</f>
        <v>275</v>
      </c>
      <c r="E601" s="1" t="str">
        <f t="array" ref="E601">_xlfn.XLOOKUP(A601,Product!A:A,Product!B:B,"Bulunamadı")</f>
        <v>History</v>
      </c>
      <c r="F601" s="1" t="str">
        <f t="array" ref="F601">_xlfn.XLOOKUP(A601,Product!A:A,Product!C:C,"Bulunamadı")</f>
        <v>Ancient History</v>
      </c>
      <c r="G601" s="2" t="str">
        <f t="array" ref="G601">_xlfn.XLOOKUP(A602,Product!A:A,Product!D:D,"Bulunamadı")</f>
        <v>Northern Sky Books</v>
      </c>
      <c r="H601" s="2">
        <f t="array" ref="H601">_xlfn.XLOOKUP(A603,Product!A:A,Product!E:E,"Bulunamadı")</f>
        <v>2.13</v>
      </c>
      <c r="I601" s="2" t="str">
        <f t="shared" si="1"/>
        <v>22112 - History - Ancient History</v>
      </c>
      <c r="J601" s="2">
        <f t="shared" si="2"/>
        <v>585.75</v>
      </c>
      <c r="K601" s="17">
        <f t="shared" si="3"/>
        <v>1</v>
      </c>
      <c r="L601" s="18"/>
    </row>
    <row r="602" hidden="1">
      <c r="A602" s="2">
        <f>IFERROR(__xludf.DUMMYFUNCTION("""COMPUTED_VALUE"""),84390.0)</f>
        <v>84390</v>
      </c>
      <c r="B602" s="2">
        <f>IFERROR(__xludf.DUMMYFUNCTION("""COMPUTED_VALUE"""),0.0)</f>
        <v>0</v>
      </c>
      <c r="C602" s="2">
        <f>IFERROR(__xludf.DUMMYFUNCTION("""COMPUTED_VALUE"""),557.0)</f>
        <v>557</v>
      </c>
      <c r="D602" s="3">
        <f>IFERROR(__xludf.DUMMYFUNCTION("""COMPUTED_VALUE"""),545.0)</f>
        <v>545</v>
      </c>
      <c r="E602" s="1" t="str">
        <f t="array" ref="E602">_xlfn.XLOOKUP(A602,Product!A:A,Product!B:B,"Bulunamadı")</f>
        <v>History</v>
      </c>
      <c r="F602" s="1" t="str">
        <f t="array" ref="F602">_xlfn.XLOOKUP(A602,Product!A:A,Product!C:C,"Bulunamadı")</f>
        <v>Ancient History</v>
      </c>
      <c r="G602" s="2" t="str">
        <f t="array" ref="G602">_xlfn.XLOOKUP(A603,Product!A:A,Product!D:D,"Bulunamadı")</f>
        <v>Northern Sky Books</v>
      </c>
      <c r="H602" s="2">
        <f t="array" ref="H602">_xlfn.XLOOKUP(A604,Product!A:A,Product!E:E,"Bulunamadı")</f>
        <v>5.1</v>
      </c>
      <c r="I602" s="2" t="str">
        <f t="shared" si="1"/>
        <v>84390 - History - Ancient History</v>
      </c>
      <c r="J602" s="2">
        <f t="shared" si="2"/>
        <v>2779.5</v>
      </c>
      <c r="K602" s="17">
        <f t="shared" si="3"/>
        <v>1</v>
      </c>
      <c r="L602" s="18"/>
    </row>
    <row r="603" hidden="1">
      <c r="A603" s="2">
        <f>IFERROR(__xludf.DUMMYFUNCTION("""COMPUTED_VALUE"""),100327.0)</f>
        <v>100327</v>
      </c>
      <c r="B603" s="2">
        <f>IFERROR(__xludf.DUMMYFUNCTION("""COMPUTED_VALUE"""),0.0)</f>
        <v>0</v>
      </c>
      <c r="C603" s="2">
        <f>IFERROR(__xludf.DUMMYFUNCTION("""COMPUTED_VALUE"""),691.0)</f>
        <v>691</v>
      </c>
      <c r="D603" s="3">
        <f>IFERROR(__xludf.DUMMYFUNCTION("""COMPUTED_VALUE"""),544.0)</f>
        <v>544</v>
      </c>
      <c r="E603" s="1" t="str">
        <f t="array" ref="E603">_xlfn.XLOOKUP(A603,Product!A:A,Product!B:B,"Bulunamadı")</f>
        <v>History</v>
      </c>
      <c r="F603" s="1" t="str">
        <f t="array" ref="F603">_xlfn.XLOOKUP(A603,Product!A:A,Product!C:C,"Bulunamadı")</f>
        <v>Ancient History</v>
      </c>
      <c r="G603" s="2" t="str">
        <f t="array" ref="G603">_xlfn.XLOOKUP(A604,Product!A:A,Product!D:D,"Bulunamadı")</f>
        <v>Northern Sky Books</v>
      </c>
      <c r="H603" s="2">
        <f t="array" ref="H603">_xlfn.XLOOKUP(A605,Product!A:A,Product!E:E,"Bulunamadı")</f>
        <v>1.77</v>
      </c>
      <c r="I603" s="2" t="str">
        <f t="shared" si="1"/>
        <v>100327 - History - Ancient History</v>
      </c>
      <c r="J603" s="2">
        <f t="shared" si="2"/>
        <v>962.88</v>
      </c>
      <c r="K603" s="17">
        <f t="shared" si="3"/>
        <v>1</v>
      </c>
      <c r="L603" s="18"/>
    </row>
    <row r="604" hidden="1">
      <c r="A604" s="2">
        <f>IFERROR(__xludf.DUMMYFUNCTION("""COMPUTED_VALUE"""),81427.0)</f>
        <v>81427</v>
      </c>
      <c r="B604" s="2">
        <f>IFERROR(__xludf.DUMMYFUNCTION("""COMPUTED_VALUE"""),0.0)</f>
        <v>0</v>
      </c>
      <c r="C604" s="2">
        <f>IFERROR(__xludf.DUMMYFUNCTION("""COMPUTED_VALUE"""),207.0)</f>
        <v>207</v>
      </c>
      <c r="D604" s="3">
        <f>IFERROR(__xludf.DUMMYFUNCTION("""COMPUTED_VALUE"""),164.0)</f>
        <v>164</v>
      </c>
      <c r="E604" s="1" t="str">
        <f t="array" ref="E604">_xlfn.XLOOKUP(A604,Product!A:A,Product!B:B,"Bulunamadı")</f>
        <v>History</v>
      </c>
      <c r="F604" s="1" t="str">
        <f t="array" ref="F604">_xlfn.XLOOKUP(A604,Product!A:A,Product!C:C,"Bulunamadı")</f>
        <v>Ancient History</v>
      </c>
      <c r="G604" s="2" t="str">
        <f t="array" ref="G604">_xlfn.XLOOKUP(A605,Product!A:A,Product!D:D,"Bulunamadı")</f>
        <v>Harbor Gate Press</v>
      </c>
      <c r="H604" s="2">
        <f t="array" ref="H604">_xlfn.XLOOKUP(A606,Product!A:A,Product!E:E,"Bulunamadı")</f>
        <v>1.98</v>
      </c>
      <c r="I604" s="2" t="str">
        <f t="shared" si="1"/>
        <v>81427 - History - Ancient History</v>
      </c>
      <c r="J604" s="2">
        <f t="shared" si="2"/>
        <v>324.72</v>
      </c>
      <c r="K604" s="17">
        <f t="shared" si="3"/>
        <v>1</v>
      </c>
      <c r="L604" s="18"/>
    </row>
    <row r="605" hidden="1">
      <c r="A605" s="2">
        <f>IFERROR(__xludf.DUMMYFUNCTION("""COMPUTED_VALUE"""),19847.0)</f>
        <v>19847</v>
      </c>
      <c r="B605" s="2">
        <f>IFERROR(__xludf.DUMMYFUNCTION("""COMPUTED_VALUE"""),1.0)</f>
        <v>1</v>
      </c>
      <c r="C605" s="2">
        <f>IFERROR(__xludf.DUMMYFUNCTION("""COMPUTED_VALUE"""),276.0)</f>
        <v>276</v>
      </c>
      <c r="D605" s="3">
        <f>IFERROR(__xludf.DUMMYFUNCTION("""COMPUTED_VALUE"""),122.0)</f>
        <v>122</v>
      </c>
      <c r="E605" s="1" t="str">
        <f t="array" ref="E605">_xlfn.XLOOKUP(A605,Product!A:A,Product!B:B,"Bulunamadı")</f>
        <v>History</v>
      </c>
      <c r="F605" s="1" t="str">
        <f t="array" ref="F605">_xlfn.XLOOKUP(A605,Product!A:A,Product!C:C,"Bulunamadı")</f>
        <v>Ancient History</v>
      </c>
      <c r="G605" s="2" t="str">
        <f t="array" ref="G605">_xlfn.XLOOKUP(A606,Product!A:A,Product!D:D,"Bulunamadı")</f>
        <v>Harbor Gate Press</v>
      </c>
      <c r="H605" s="2">
        <f t="array" ref="H605">_xlfn.XLOOKUP(A607,Product!A:A,Product!E:E,"Bulunamadı")</f>
        <v>3.31</v>
      </c>
      <c r="I605" s="2" t="str">
        <f t="shared" si="1"/>
        <v>19847 - History - Ancient History</v>
      </c>
      <c r="J605" s="2">
        <f t="shared" si="2"/>
        <v>403.82</v>
      </c>
      <c r="K605" s="17">
        <f t="shared" si="3"/>
        <v>1</v>
      </c>
      <c r="L605" s="18"/>
    </row>
    <row r="606" hidden="1">
      <c r="A606" s="2">
        <f>IFERROR(__xludf.DUMMYFUNCTION("""COMPUTED_VALUE"""),121989.0)</f>
        <v>121989</v>
      </c>
      <c r="B606" s="2">
        <f>IFERROR(__xludf.DUMMYFUNCTION("""COMPUTED_VALUE"""),0.0)</f>
        <v>0</v>
      </c>
      <c r="C606" s="2">
        <f>IFERROR(__xludf.DUMMYFUNCTION("""COMPUTED_VALUE"""),572.0)</f>
        <v>572</v>
      </c>
      <c r="D606" s="3">
        <f>IFERROR(__xludf.DUMMYFUNCTION("""COMPUTED_VALUE"""),381.0)</f>
        <v>381</v>
      </c>
      <c r="E606" s="1" t="str">
        <f t="array" ref="E606">_xlfn.XLOOKUP(A606,Product!A:A,Product!B:B,"Bulunamadı")</f>
        <v>History</v>
      </c>
      <c r="F606" s="1" t="str">
        <f t="array" ref="F606">_xlfn.XLOOKUP(A606,Product!A:A,Product!C:C,"Bulunamadı")</f>
        <v>Ancient History</v>
      </c>
      <c r="G606" s="2" t="str">
        <f t="array" ref="G606">_xlfn.XLOOKUP(A607,Product!A:A,Product!D:D,"Bulunamadı")</f>
        <v>Harbor Gate Press</v>
      </c>
      <c r="H606" s="2">
        <f t="array" ref="H606">_xlfn.XLOOKUP(A608,Product!A:A,Product!E:E,"Bulunamadı")</f>
        <v>2</v>
      </c>
      <c r="I606" s="2" t="str">
        <f t="shared" si="1"/>
        <v>121989 - History - Ancient History</v>
      </c>
      <c r="J606" s="2">
        <f t="shared" si="2"/>
        <v>762</v>
      </c>
      <c r="K606" s="17">
        <f t="shared" si="3"/>
        <v>1</v>
      </c>
      <c r="L606" s="18"/>
    </row>
    <row r="607" hidden="1">
      <c r="A607" s="2">
        <f>IFERROR(__xludf.DUMMYFUNCTION("""COMPUTED_VALUE"""),3431.0)</f>
        <v>3431</v>
      </c>
      <c r="B607" s="2">
        <f>IFERROR(__xludf.DUMMYFUNCTION("""COMPUTED_VALUE"""),1.0)</f>
        <v>1</v>
      </c>
      <c r="C607" s="2">
        <f>IFERROR(__xludf.DUMMYFUNCTION("""COMPUTED_VALUE"""),855.0)</f>
        <v>855</v>
      </c>
      <c r="D607" s="3">
        <f>IFERROR(__xludf.DUMMYFUNCTION("""COMPUTED_VALUE"""),119.0)</f>
        <v>119</v>
      </c>
      <c r="E607" s="1" t="str">
        <f t="array" ref="E607">_xlfn.XLOOKUP(A607,Product!A:A,Product!B:B,"Bulunamadı")</f>
        <v>History</v>
      </c>
      <c r="F607" s="1" t="str">
        <f t="array" ref="F607">_xlfn.XLOOKUP(A607,Product!A:A,Product!C:C,"Bulunamadı")</f>
        <v>Ancient History</v>
      </c>
      <c r="G607" s="2" t="str">
        <f t="array" ref="G607">_xlfn.XLOOKUP(A608,Product!A:A,Product!D:D,"Bulunamadı")</f>
        <v>Harbor Gate Press</v>
      </c>
      <c r="H607" s="2">
        <f t="array" ref="H607">_xlfn.XLOOKUP(A609,Product!A:A,Product!E:E,"Bulunamadı")</f>
        <v>2.47</v>
      </c>
      <c r="I607" s="2" t="str">
        <f t="shared" si="1"/>
        <v>3431 - History - Ancient History</v>
      </c>
      <c r="J607" s="2">
        <f t="shared" si="2"/>
        <v>293.93</v>
      </c>
      <c r="K607" s="17">
        <f t="shared" si="3"/>
        <v>1</v>
      </c>
      <c r="L607" s="18"/>
    </row>
    <row r="608" hidden="1">
      <c r="A608" s="2">
        <f>IFERROR(__xludf.DUMMYFUNCTION("""COMPUTED_VALUE"""),68858.0)</f>
        <v>68858</v>
      </c>
      <c r="B608" s="2">
        <f>IFERROR(__xludf.DUMMYFUNCTION("""COMPUTED_VALUE"""),0.0)</f>
        <v>0</v>
      </c>
      <c r="C608" s="2">
        <f>IFERROR(__xludf.DUMMYFUNCTION("""COMPUTED_VALUE"""),191.0)</f>
        <v>191</v>
      </c>
      <c r="D608" s="3">
        <f>IFERROR(__xludf.DUMMYFUNCTION("""COMPUTED_VALUE"""),22.0)</f>
        <v>22</v>
      </c>
      <c r="E608" s="1" t="str">
        <f t="array" ref="E608">_xlfn.XLOOKUP(A608,Product!A:A,Product!B:B,"Bulunamadı")</f>
        <v>History</v>
      </c>
      <c r="F608" s="1" t="str">
        <f t="array" ref="F608">_xlfn.XLOOKUP(A608,Product!A:A,Product!C:C,"Bulunamadı")</f>
        <v>Ancient History</v>
      </c>
      <c r="G608" s="2" t="str">
        <f t="array" ref="G608">_xlfn.XLOOKUP(A609,Product!A:A,Product!D:D,"Bulunamadı")</f>
        <v>Harbor Gate Press</v>
      </c>
      <c r="H608" s="2">
        <f t="array" ref="H608">_xlfn.XLOOKUP(A610,Product!A:A,Product!E:E,"Bulunamadı")</f>
        <v>3.92</v>
      </c>
      <c r="I608" s="2" t="str">
        <f t="shared" si="1"/>
        <v>68858 - History - Ancient History</v>
      </c>
      <c r="J608" s="2">
        <f t="shared" si="2"/>
        <v>86.24</v>
      </c>
      <c r="K608" s="17">
        <f t="shared" si="3"/>
        <v>1</v>
      </c>
      <c r="L608" s="18"/>
    </row>
    <row r="609" hidden="1">
      <c r="A609" s="2">
        <f>IFERROR(__xludf.DUMMYFUNCTION("""COMPUTED_VALUE"""),147279.0)</f>
        <v>147279</v>
      </c>
      <c r="B609" s="2">
        <f>IFERROR(__xludf.DUMMYFUNCTION("""COMPUTED_VALUE"""),0.0)</f>
        <v>0</v>
      </c>
      <c r="C609" s="2">
        <f>IFERROR(__xludf.DUMMYFUNCTION("""COMPUTED_VALUE"""),870.0)</f>
        <v>870</v>
      </c>
      <c r="D609" s="3">
        <f>IFERROR(__xludf.DUMMYFUNCTION("""COMPUTED_VALUE"""),133.0)</f>
        <v>133</v>
      </c>
      <c r="E609" s="1" t="str">
        <f t="array" ref="E609">_xlfn.XLOOKUP(A609,Product!A:A,Product!B:B,"Bulunamadı")</f>
        <v>History</v>
      </c>
      <c r="F609" s="1" t="str">
        <f t="array" ref="F609">_xlfn.XLOOKUP(A609,Product!A:A,Product!C:C,"Bulunamadı")</f>
        <v>Ancient History</v>
      </c>
      <c r="G609" s="2" t="str">
        <f t="array" ref="G609">_xlfn.XLOOKUP(A610,Product!A:A,Product!D:D,"Bulunamadı")</f>
        <v>Harbor Gate Press</v>
      </c>
      <c r="H609" s="2">
        <f t="array" ref="H609">_xlfn.XLOOKUP(A611,Product!A:A,Product!E:E,"Bulunamadı")</f>
        <v>2.13</v>
      </c>
      <c r="I609" s="2" t="str">
        <f t="shared" si="1"/>
        <v>147279 - History - Ancient History</v>
      </c>
      <c r="J609" s="2">
        <f t="shared" si="2"/>
        <v>283.29</v>
      </c>
      <c r="K609" s="17">
        <f t="shared" si="3"/>
        <v>1</v>
      </c>
      <c r="L609" s="18"/>
    </row>
    <row r="610" hidden="1">
      <c r="A610" s="2">
        <f>IFERROR(__xludf.DUMMYFUNCTION("""COMPUTED_VALUE"""),19853.0)</f>
        <v>19853</v>
      </c>
      <c r="B610" s="2">
        <f>IFERROR(__xludf.DUMMYFUNCTION("""COMPUTED_VALUE"""),0.0)</f>
        <v>0</v>
      </c>
      <c r="C610" s="2">
        <f>IFERROR(__xludf.DUMMYFUNCTION("""COMPUTED_VALUE"""),546.0)</f>
        <v>546</v>
      </c>
      <c r="D610" s="3">
        <f>IFERROR(__xludf.DUMMYFUNCTION("""COMPUTED_VALUE"""),408.0)</f>
        <v>408</v>
      </c>
      <c r="E610" s="1" t="str">
        <f t="array" ref="E610">_xlfn.XLOOKUP(A610,Product!A:A,Product!B:B,"Bulunamadı")</f>
        <v>History</v>
      </c>
      <c r="F610" s="1" t="str">
        <f t="array" ref="F610">_xlfn.XLOOKUP(A610,Product!A:A,Product!C:C,"Bulunamadı")</f>
        <v>Ancient History</v>
      </c>
      <c r="G610" s="2" t="str">
        <f t="array" ref="G610">_xlfn.XLOOKUP(A611,Product!A:A,Product!D:D,"Bulunamadı")</f>
        <v>Harbor Gate Press</v>
      </c>
      <c r="H610" s="2">
        <f t="array" ref="H610">_xlfn.XLOOKUP(A612,Product!A:A,Product!E:E,"Bulunamadı")</f>
        <v>4.03</v>
      </c>
      <c r="I610" s="2" t="str">
        <f t="shared" si="1"/>
        <v>19853 - History - Ancient History</v>
      </c>
      <c r="J610" s="2">
        <f t="shared" si="2"/>
        <v>1644.24</v>
      </c>
      <c r="K610" s="17">
        <f t="shared" si="3"/>
        <v>1</v>
      </c>
      <c r="L610" s="18"/>
    </row>
    <row r="611" hidden="1">
      <c r="A611" s="2">
        <f>IFERROR(__xludf.DUMMYFUNCTION("""COMPUTED_VALUE"""),84315.0)</f>
        <v>84315</v>
      </c>
      <c r="B611" s="2">
        <f>IFERROR(__xludf.DUMMYFUNCTION("""COMPUTED_VALUE"""),0.0)</f>
        <v>0</v>
      </c>
      <c r="C611" s="2">
        <f>IFERROR(__xludf.DUMMYFUNCTION("""COMPUTED_VALUE"""),342.0)</f>
        <v>342</v>
      </c>
      <c r="D611" s="3">
        <f>IFERROR(__xludf.DUMMYFUNCTION("""COMPUTED_VALUE"""),171.0)</f>
        <v>171</v>
      </c>
      <c r="E611" s="1" t="str">
        <f t="array" ref="E611">_xlfn.XLOOKUP(A611,Product!A:A,Product!B:B,"Bulunamadı")</f>
        <v>History</v>
      </c>
      <c r="F611" s="1" t="str">
        <f t="array" ref="F611">_xlfn.XLOOKUP(A611,Product!A:A,Product!C:C,"Bulunamadı")</f>
        <v>Ancient History</v>
      </c>
      <c r="G611" s="2" t="str">
        <f t="array" ref="G611">_xlfn.XLOOKUP(A612,Product!A:A,Product!D:D,"Bulunamadı")</f>
        <v>Harbor Gate Press</v>
      </c>
      <c r="H611" s="2">
        <f t="array" ref="H611">_xlfn.XLOOKUP(A613,Product!A:A,Product!E:E,"Bulunamadı")</f>
        <v>3.26</v>
      </c>
      <c r="I611" s="2" t="str">
        <f t="shared" si="1"/>
        <v>84315 - History - Ancient History</v>
      </c>
      <c r="J611" s="2">
        <f t="shared" si="2"/>
        <v>557.46</v>
      </c>
      <c r="K611" s="17">
        <f t="shared" si="3"/>
        <v>1</v>
      </c>
      <c r="L611" s="18"/>
    </row>
    <row r="612" hidden="1">
      <c r="A612" s="2">
        <f>IFERROR(__xludf.DUMMYFUNCTION("""COMPUTED_VALUE"""),3433.0)</f>
        <v>3433</v>
      </c>
      <c r="B612" s="2">
        <f>IFERROR(__xludf.DUMMYFUNCTION("""COMPUTED_VALUE"""),1.0)</f>
        <v>1</v>
      </c>
      <c r="C612" s="2">
        <f>IFERROR(__xludf.DUMMYFUNCTION("""COMPUTED_VALUE"""),534.0)</f>
        <v>534</v>
      </c>
      <c r="D612" s="3">
        <f>IFERROR(__xludf.DUMMYFUNCTION("""COMPUTED_VALUE"""),426.0)</f>
        <v>426</v>
      </c>
      <c r="E612" s="1" t="str">
        <f t="array" ref="E612">_xlfn.XLOOKUP(A612,Product!A:A,Product!B:B,"Bulunamadı")</f>
        <v>History</v>
      </c>
      <c r="F612" s="1" t="str">
        <f t="array" ref="F612">_xlfn.XLOOKUP(A612,Product!A:A,Product!C:C,"Bulunamadı")</f>
        <v>Ancient History</v>
      </c>
      <c r="G612" s="2" t="str">
        <f t="array" ref="G612">_xlfn.XLOOKUP(A613,Product!A:A,Product!D:D,"Bulunamadı")</f>
        <v>Harbor Gate Press</v>
      </c>
      <c r="H612" s="2">
        <f t="array" ref="H612">_xlfn.XLOOKUP(A614,Product!A:A,Product!E:E,"Bulunamadı")</f>
        <v>8.18</v>
      </c>
      <c r="I612" s="2" t="str">
        <f t="shared" si="1"/>
        <v>3433 - History - Ancient History</v>
      </c>
      <c r="J612" s="2">
        <f t="shared" si="2"/>
        <v>3484.68</v>
      </c>
      <c r="K612" s="17">
        <f t="shared" si="3"/>
        <v>1</v>
      </c>
      <c r="L612" s="18"/>
    </row>
    <row r="613" hidden="1">
      <c r="A613" s="2">
        <f>IFERROR(__xludf.DUMMYFUNCTION("""COMPUTED_VALUE"""),48640.0)</f>
        <v>48640</v>
      </c>
      <c r="B613" s="2">
        <f>IFERROR(__xludf.DUMMYFUNCTION("""COMPUTED_VALUE"""),1.0)</f>
        <v>1</v>
      </c>
      <c r="C613" s="2">
        <f>IFERROR(__xludf.DUMMYFUNCTION("""COMPUTED_VALUE"""),911.0)</f>
        <v>911</v>
      </c>
      <c r="D613" s="3">
        <f>IFERROR(__xludf.DUMMYFUNCTION("""COMPUTED_VALUE"""),171.0)</f>
        <v>171</v>
      </c>
      <c r="E613" s="1" t="str">
        <f t="array" ref="E613">_xlfn.XLOOKUP(A613,Product!A:A,Product!B:B,"Bulunamadı")</f>
        <v>History</v>
      </c>
      <c r="F613" s="1" t="str">
        <f t="array" ref="F613">_xlfn.XLOOKUP(A613,Product!A:A,Product!C:C,"Bulunamadı")</f>
        <v>Ancient History</v>
      </c>
      <c r="G613" s="2" t="str">
        <f t="array" ref="G613">_xlfn.XLOOKUP(A614,Product!A:A,Product!D:D,"Bulunamadı")</f>
        <v>Springfield Publishing</v>
      </c>
      <c r="H613" s="2">
        <f t="array" ref="H613">_xlfn.XLOOKUP(A615,Product!A:A,Product!E:E,"Bulunamadı")</f>
        <v>1.6</v>
      </c>
      <c r="I613" s="2" t="str">
        <f t="shared" si="1"/>
        <v>48640 - History - Ancient History</v>
      </c>
      <c r="J613" s="2">
        <f t="shared" si="2"/>
        <v>273.6</v>
      </c>
      <c r="K613" s="17">
        <f t="shared" si="3"/>
        <v>1</v>
      </c>
      <c r="L613" s="18"/>
    </row>
    <row r="614" hidden="1">
      <c r="A614" s="2">
        <f>IFERROR(__xludf.DUMMYFUNCTION("""COMPUTED_VALUE"""),81678.0)</f>
        <v>81678</v>
      </c>
      <c r="B614" s="2">
        <f>IFERROR(__xludf.DUMMYFUNCTION("""COMPUTED_VALUE"""),0.0)</f>
        <v>0</v>
      </c>
      <c r="C614" s="2">
        <f>IFERROR(__xludf.DUMMYFUNCTION("""COMPUTED_VALUE"""),16.0)</f>
        <v>16</v>
      </c>
      <c r="D614" s="3">
        <f>IFERROR(__xludf.DUMMYFUNCTION("""COMPUTED_VALUE"""),13.0)</f>
        <v>13</v>
      </c>
      <c r="E614" s="1" t="str">
        <f t="array" ref="E614">_xlfn.XLOOKUP(A614,Product!A:A,Product!B:B,"Bulunamadı")</f>
        <v>History</v>
      </c>
      <c r="F614" s="1" t="str">
        <f t="array" ref="F614">_xlfn.XLOOKUP(A614,Product!A:A,Product!C:C,"Bulunamadı")</f>
        <v>Ancient History</v>
      </c>
      <c r="G614" s="2" t="str">
        <f t="array" ref="G614">_xlfn.XLOOKUP(A615,Product!A:A,Product!D:D,"Bulunamadı")</f>
        <v>Springfield Publishing</v>
      </c>
      <c r="H614" s="2">
        <f t="array" ref="H614">_xlfn.XLOOKUP(A616,Product!A:A,Product!E:E,"Bulunamadı")</f>
        <v>2.26</v>
      </c>
      <c r="I614" s="2" t="str">
        <f t="shared" si="1"/>
        <v>81678 - History - Ancient History</v>
      </c>
      <c r="J614" s="2">
        <f t="shared" si="2"/>
        <v>29.38</v>
      </c>
      <c r="K614" s="17">
        <f t="shared" si="3"/>
        <v>1</v>
      </c>
      <c r="L614" s="18"/>
    </row>
    <row r="615" hidden="1">
      <c r="A615" s="2">
        <f>IFERROR(__xludf.DUMMYFUNCTION("""COMPUTED_VALUE"""),117528.0)</f>
        <v>117528</v>
      </c>
      <c r="B615" s="2">
        <f>IFERROR(__xludf.DUMMYFUNCTION("""COMPUTED_VALUE"""),1.0)</f>
        <v>1</v>
      </c>
      <c r="C615" s="2">
        <f>IFERROR(__xludf.DUMMYFUNCTION("""COMPUTED_VALUE"""),117.0)</f>
        <v>117</v>
      </c>
      <c r="D615" s="3">
        <f>IFERROR(__xludf.DUMMYFUNCTION("""COMPUTED_VALUE"""),81.0)</f>
        <v>81</v>
      </c>
      <c r="E615" s="1" t="str">
        <f t="array" ref="E615">_xlfn.XLOOKUP(A615,Product!A:A,Product!B:B,"Bulunamadı")</f>
        <v>History</v>
      </c>
      <c r="F615" s="1" t="str">
        <f t="array" ref="F615">_xlfn.XLOOKUP(A615,Product!A:A,Product!C:C,"Bulunamadı")</f>
        <v>Ancient History</v>
      </c>
      <c r="G615" s="2" t="str">
        <f t="array" ref="G615">_xlfn.XLOOKUP(A616,Product!A:A,Product!D:D,"Bulunamadı")</f>
        <v>Springfield Publishing</v>
      </c>
      <c r="H615" s="2">
        <f t="array" ref="H615">_xlfn.XLOOKUP(A617,Product!A:A,Product!E:E,"Bulunamadı")</f>
        <v>4.52</v>
      </c>
      <c r="I615" s="2" t="str">
        <f t="shared" si="1"/>
        <v>117528 - History - Ancient History</v>
      </c>
      <c r="J615" s="2">
        <f t="shared" si="2"/>
        <v>366.12</v>
      </c>
      <c r="K615" s="17">
        <f t="shared" si="3"/>
        <v>1</v>
      </c>
      <c r="L615" s="18"/>
    </row>
    <row r="616" hidden="1">
      <c r="A616" s="2">
        <f>IFERROR(__xludf.DUMMYFUNCTION("""COMPUTED_VALUE"""),84324.0)</f>
        <v>84324</v>
      </c>
      <c r="B616" s="2">
        <f>IFERROR(__xludf.DUMMYFUNCTION("""COMPUTED_VALUE"""),0.0)</f>
        <v>0</v>
      </c>
      <c r="C616" s="2">
        <f>IFERROR(__xludf.DUMMYFUNCTION("""COMPUTED_VALUE"""),923.0)</f>
        <v>923</v>
      </c>
      <c r="D616" s="3">
        <f>IFERROR(__xludf.DUMMYFUNCTION("""COMPUTED_VALUE"""),506.0)</f>
        <v>506</v>
      </c>
      <c r="E616" s="1" t="str">
        <f t="array" ref="E616">_xlfn.XLOOKUP(A616,Product!A:A,Product!B:B,"Bulunamadı")</f>
        <v>History</v>
      </c>
      <c r="F616" s="1" t="str">
        <f t="array" ref="F616">_xlfn.XLOOKUP(A616,Product!A:A,Product!C:C,"Bulunamadı")</f>
        <v>Ancient History</v>
      </c>
      <c r="G616" s="2" t="str">
        <f t="array" ref="G616">_xlfn.XLOOKUP(A617,Product!A:A,Product!D:D,"Bulunamadı")</f>
        <v>Springfield Publishing</v>
      </c>
      <c r="H616" s="2">
        <f t="array" ref="H616">_xlfn.XLOOKUP(A618,Product!A:A,Product!E:E,"Bulunamadı")</f>
        <v>3.75</v>
      </c>
      <c r="I616" s="2" t="str">
        <f t="shared" si="1"/>
        <v>84324 - History - Ancient History</v>
      </c>
      <c r="J616" s="2">
        <f t="shared" si="2"/>
        <v>1897.5</v>
      </c>
      <c r="K616" s="17">
        <f t="shared" si="3"/>
        <v>1</v>
      </c>
      <c r="L616" s="18"/>
    </row>
    <row r="617" hidden="1">
      <c r="A617" s="2">
        <f>IFERROR(__xludf.DUMMYFUNCTION("""COMPUTED_VALUE"""),3420.0)</f>
        <v>3420</v>
      </c>
      <c r="B617" s="2">
        <f>IFERROR(__xludf.DUMMYFUNCTION("""COMPUTED_VALUE"""),1.0)</f>
        <v>1</v>
      </c>
      <c r="C617" s="2">
        <f>IFERROR(__xludf.DUMMYFUNCTION("""COMPUTED_VALUE"""),292.0)</f>
        <v>292</v>
      </c>
      <c r="D617" s="3">
        <f>IFERROR(__xludf.DUMMYFUNCTION("""COMPUTED_VALUE"""),96.0)</f>
        <v>96</v>
      </c>
      <c r="E617" s="1" t="str">
        <f t="array" ref="E617">_xlfn.XLOOKUP(A617,Product!A:A,Product!B:B,"Bulunamadı")</f>
        <v>History</v>
      </c>
      <c r="F617" s="1" t="str">
        <f t="array" ref="F617">_xlfn.XLOOKUP(A617,Product!A:A,Product!C:C,"Bulunamadı")</f>
        <v>Ancient History</v>
      </c>
      <c r="G617" s="2" t="str">
        <f t="array" ref="G617">_xlfn.XLOOKUP(A618,Product!A:A,Product!D:D,"Bulunamadı")</f>
        <v>Springfield Publishing</v>
      </c>
      <c r="H617" s="2">
        <f t="array" ref="H617">_xlfn.XLOOKUP(A619,Product!A:A,Product!E:E,"Bulunamadı")</f>
        <v>2.54</v>
      </c>
      <c r="I617" s="2" t="str">
        <f t="shared" si="1"/>
        <v>3420 - History - Ancient History</v>
      </c>
      <c r="J617" s="2">
        <f t="shared" si="2"/>
        <v>243.84</v>
      </c>
      <c r="K617" s="17">
        <f t="shared" si="3"/>
        <v>1</v>
      </c>
      <c r="L617" s="18"/>
    </row>
    <row r="618" hidden="1">
      <c r="A618" s="2">
        <f>IFERROR(__xludf.DUMMYFUNCTION("""COMPUTED_VALUE"""),19837.0)</f>
        <v>19837</v>
      </c>
      <c r="B618" s="2">
        <f>IFERROR(__xludf.DUMMYFUNCTION("""COMPUTED_VALUE"""),1.0)</f>
        <v>1</v>
      </c>
      <c r="C618" s="2">
        <f>IFERROR(__xludf.DUMMYFUNCTION("""COMPUTED_VALUE"""),397.0)</f>
        <v>397</v>
      </c>
      <c r="D618" s="3">
        <f>IFERROR(__xludf.DUMMYFUNCTION("""COMPUTED_VALUE"""),160.0)</f>
        <v>160</v>
      </c>
      <c r="E618" s="1" t="str">
        <f t="array" ref="E618">_xlfn.XLOOKUP(A618,Product!A:A,Product!B:B,"Bulunamadı")</f>
        <v>History</v>
      </c>
      <c r="F618" s="1" t="str">
        <f t="array" ref="F618">_xlfn.XLOOKUP(A618,Product!A:A,Product!C:C,"Bulunamadı")</f>
        <v>Ancient History</v>
      </c>
      <c r="G618" s="2" t="str">
        <f t="array" ref="G618">_xlfn.XLOOKUP(A619,Product!A:A,Product!D:D,"Bulunamadı")</f>
        <v>Springfield Publishing</v>
      </c>
      <c r="H618" s="2">
        <f t="array" ref="H618">_xlfn.XLOOKUP(A620,Product!A:A,Product!E:E,"Bulunamadı")</f>
        <v>1.87</v>
      </c>
      <c r="I618" s="2" t="str">
        <f t="shared" si="1"/>
        <v>19837 - History - Ancient History</v>
      </c>
      <c r="J618" s="2">
        <f t="shared" si="2"/>
        <v>299.2</v>
      </c>
      <c r="K618" s="17">
        <f t="shared" si="3"/>
        <v>1</v>
      </c>
      <c r="L618" s="18"/>
    </row>
    <row r="619" hidden="1">
      <c r="A619" s="2">
        <f>IFERROR(__xludf.DUMMYFUNCTION("""COMPUTED_VALUE"""),19835.0)</f>
        <v>19835</v>
      </c>
      <c r="B619" s="2">
        <f>IFERROR(__xludf.DUMMYFUNCTION("""COMPUTED_VALUE"""),1.0)</f>
        <v>1</v>
      </c>
      <c r="C619" s="2">
        <f>IFERROR(__xludf.DUMMYFUNCTION("""COMPUTED_VALUE"""),560.0)</f>
        <v>560</v>
      </c>
      <c r="D619" s="3">
        <f>IFERROR(__xludf.DUMMYFUNCTION("""COMPUTED_VALUE"""),545.0)</f>
        <v>545</v>
      </c>
      <c r="E619" s="1" t="str">
        <f t="array" ref="E619">_xlfn.XLOOKUP(A619,Product!A:A,Product!B:B,"Bulunamadı")</f>
        <v>History</v>
      </c>
      <c r="F619" s="1" t="str">
        <f t="array" ref="F619">_xlfn.XLOOKUP(A619,Product!A:A,Product!C:C,"Bulunamadı")</f>
        <v>Ancient History</v>
      </c>
      <c r="G619" s="2" t="str">
        <f t="array" ref="G619">_xlfn.XLOOKUP(A620,Product!A:A,Product!D:D,"Bulunamadı")</f>
        <v>Springfield Publishing</v>
      </c>
      <c r="H619" s="2">
        <f t="array" ref="H619">_xlfn.XLOOKUP(A621,Product!A:A,Product!E:E,"Bulunamadı")</f>
        <v>27.41</v>
      </c>
      <c r="I619" s="2" t="str">
        <f t="shared" si="1"/>
        <v>19835 - History - Ancient History</v>
      </c>
      <c r="J619" s="2">
        <f t="shared" si="2"/>
        <v>14938.45</v>
      </c>
      <c r="K619" s="17">
        <f t="shared" si="3"/>
        <v>1</v>
      </c>
      <c r="L619" s="18"/>
    </row>
    <row r="620" hidden="1">
      <c r="A620" s="2">
        <f>IFERROR(__xludf.DUMMYFUNCTION("""COMPUTED_VALUE"""),69109.0)</f>
        <v>69109</v>
      </c>
      <c r="B620" s="2">
        <f>IFERROR(__xludf.DUMMYFUNCTION("""COMPUTED_VALUE"""),0.0)</f>
        <v>0</v>
      </c>
      <c r="C620" s="2">
        <f>IFERROR(__xludf.DUMMYFUNCTION("""COMPUTED_VALUE"""),152.0)</f>
        <v>152</v>
      </c>
      <c r="D620" s="3">
        <f>IFERROR(__xludf.DUMMYFUNCTION("""COMPUTED_VALUE"""),41.0)</f>
        <v>41</v>
      </c>
      <c r="E620" s="1" t="str">
        <f t="array" ref="E620">_xlfn.XLOOKUP(A620,Product!A:A,Product!B:B,"Bulunamadı")</f>
        <v>History</v>
      </c>
      <c r="F620" s="1" t="str">
        <f t="array" ref="F620">_xlfn.XLOOKUP(A620,Product!A:A,Product!C:C,"Bulunamadı")</f>
        <v>Ancient History</v>
      </c>
      <c r="G620" s="2" t="str">
        <f t="array" ref="G620">_xlfn.XLOOKUP(A621,Product!A:A,Product!D:D,"Bulunamadı")</f>
        <v>Springfield Publishing</v>
      </c>
      <c r="H620" s="2">
        <f t="array" ref="H620">_xlfn.XLOOKUP(A622,Product!A:A,Product!E:E,"Bulunamadı")</f>
        <v>3.14</v>
      </c>
      <c r="I620" s="2" t="str">
        <f t="shared" si="1"/>
        <v>69109 - History - Ancient History</v>
      </c>
      <c r="J620" s="2">
        <f t="shared" si="2"/>
        <v>128.74</v>
      </c>
      <c r="K620" s="17">
        <f t="shared" si="3"/>
        <v>1</v>
      </c>
      <c r="L620" s="18"/>
    </row>
    <row r="621" hidden="1">
      <c r="A621" s="2">
        <f>IFERROR(__xludf.DUMMYFUNCTION("""COMPUTED_VALUE"""),104387.0)</f>
        <v>104387</v>
      </c>
      <c r="B621" s="2">
        <f>IFERROR(__xludf.DUMMYFUNCTION("""COMPUTED_VALUE"""),0.0)</f>
        <v>0</v>
      </c>
      <c r="C621" s="2">
        <f>IFERROR(__xludf.DUMMYFUNCTION("""COMPUTED_VALUE"""),459.0)</f>
        <v>459</v>
      </c>
      <c r="D621" s="3">
        <f>IFERROR(__xludf.DUMMYFUNCTION("""COMPUTED_VALUE"""),238.0)</f>
        <v>238</v>
      </c>
      <c r="E621" s="1" t="str">
        <f t="array" ref="E621">_xlfn.XLOOKUP(A621,Product!A:A,Product!B:B,"Bulunamadı")</f>
        <v>History</v>
      </c>
      <c r="F621" s="1" t="str">
        <f t="array" ref="F621">_xlfn.XLOOKUP(A621,Product!A:A,Product!C:C,"Bulunamadı")</f>
        <v>Ancient History</v>
      </c>
      <c r="G621" s="2" t="str">
        <f t="array" ref="G621">_xlfn.XLOOKUP(A622,Product!A:A,Product!D:D,"Bulunamadı")</f>
        <v>Springfield Publishing</v>
      </c>
      <c r="H621" s="2">
        <f t="array" ref="H621">_xlfn.XLOOKUP(A623,Product!A:A,Product!E:E,"Bulunamadı")</f>
        <v>1.58</v>
      </c>
      <c r="I621" s="2" t="str">
        <f t="shared" si="1"/>
        <v>104387 - History - Ancient History</v>
      </c>
      <c r="J621" s="2">
        <f t="shared" si="2"/>
        <v>376.04</v>
      </c>
      <c r="K621" s="17">
        <f t="shared" si="3"/>
        <v>1</v>
      </c>
      <c r="L621" s="18"/>
    </row>
    <row r="622" hidden="1">
      <c r="A622" s="2">
        <f>IFERROR(__xludf.DUMMYFUNCTION("""COMPUTED_VALUE"""),19843.0)</f>
        <v>19843</v>
      </c>
      <c r="B622" s="2">
        <f>IFERROR(__xludf.DUMMYFUNCTION("""COMPUTED_VALUE"""),0.0)</f>
        <v>0</v>
      </c>
      <c r="C622" s="2">
        <f>IFERROR(__xludf.DUMMYFUNCTION("""COMPUTED_VALUE"""),559.0)</f>
        <v>559</v>
      </c>
      <c r="D622" s="3">
        <f>IFERROR(__xludf.DUMMYFUNCTION("""COMPUTED_VALUE"""),515.0)</f>
        <v>515</v>
      </c>
      <c r="E622" s="1" t="str">
        <f t="array" ref="E622">_xlfn.XLOOKUP(A622,Product!A:A,Product!B:B,"Bulunamadı")</f>
        <v>History</v>
      </c>
      <c r="F622" s="1" t="str">
        <f t="array" ref="F622">_xlfn.XLOOKUP(A622,Product!A:A,Product!C:C,"Bulunamadı")</f>
        <v>Ancient History</v>
      </c>
      <c r="G622" s="2" t="str">
        <f t="array" ref="G622">_xlfn.XLOOKUP(A623,Product!A:A,Product!D:D,"Bulunamadı")</f>
        <v>Springfield Publishing</v>
      </c>
      <c r="H622" s="2">
        <f t="array" ref="H622">_xlfn.XLOOKUP(A624,Product!A:A,Product!E:E,"Bulunamadı")</f>
        <v>1.86</v>
      </c>
      <c r="I622" s="2" t="str">
        <f t="shared" si="1"/>
        <v>19843 - History - Ancient History</v>
      </c>
      <c r="J622" s="2">
        <f t="shared" si="2"/>
        <v>957.9</v>
      </c>
      <c r="K622" s="17">
        <f t="shared" si="3"/>
        <v>1</v>
      </c>
      <c r="L622" s="18"/>
    </row>
    <row r="623" hidden="1">
      <c r="A623" s="2">
        <f>IFERROR(__xludf.DUMMYFUNCTION("""COMPUTED_VALUE"""),117523.0)</f>
        <v>117523</v>
      </c>
      <c r="B623" s="2">
        <f>IFERROR(__xludf.DUMMYFUNCTION("""COMPUTED_VALUE"""),1.0)</f>
        <v>1</v>
      </c>
      <c r="C623" s="2">
        <f>IFERROR(__xludf.DUMMYFUNCTION("""COMPUTED_VALUE"""),109.0)</f>
        <v>109</v>
      </c>
      <c r="D623" s="3">
        <f>IFERROR(__xludf.DUMMYFUNCTION("""COMPUTED_VALUE"""),65.0)</f>
        <v>65</v>
      </c>
      <c r="E623" s="1" t="str">
        <f t="array" ref="E623">_xlfn.XLOOKUP(A623,Product!A:A,Product!B:B,"Bulunamadı")</f>
        <v>History</v>
      </c>
      <c r="F623" s="1" t="str">
        <f t="array" ref="F623">_xlfn.XLOOKUP(A623,Product!A:A,Product!C:C,"Bulunamadı")</f>
        <v>Ancient History</v>
      </c>
      <c r="G623" s="2" t="str">
        <f t="array" ref="G623">_xlfn.XLOOKUP(A624,Product!A:A,Product!D:D,"Bulunamadı")</f>
        <v>Springfield Publishing</v>
      </c>
      <c r="H623" s="2">
        <f t="array" ref="H623">_xlfn.XLOOKUP(A625,Product!A:A,Product!E:E,"Bulunamadı")</f>
        <v>2.08</v>
      </c>
      <c r="I623" s="2" t="str">
        <f t="shared" si="1"/>
        <v>117523 - History - Ancient History</v>
      </c>
      <c r="J623" s="2">
        <f t="shared" si="2"/>
        <v>135.2</v>
      </c>
      <c r="K623" s="17">
        <f t="shared" si="3"/>
        <v>1</v>
      </c>
      <c r="L623" s="18"/>
    </row>
    <row r="624" hidden="1">
      <c r="A624" s="2">
        <f>IFERROR(__xludf.DUMMYFUNCTION("""COMPUTED_VALUE"""),121981.0)</f>
        <v>121981</v>
      </c>
      <c r="B624" s="2">
        <f>IFERROR(__xludf.DUMMYFUNCTION("""COMPUTED_VALUE"""),1.0)</f>
        <v>1</v>
      </c>
      <c r="C624" s="2">
        <f>IFERROR(__xludf.DUMMYFUNCTION("""COMPUTED_VALUE"""),258.0)</f>
        <v>258</v>
      </c>
      <c r="D624" s="3">
        <f>IFERROR(__xludf.DUMMYFUNCTION("""COMPUTED_VALUE"""),150.0)</f>
        <v>150</v>
      </c>
      <c r="E624" s="1" t="str">
        <f t="array" ref="E624">_xlfn.XLOOKUP(A624,Product!A:A,Product!B:B,"Bulunamadı")</f>
        <v>History</v>
      </c>
      <c r="F624" s="1" t="str">
        <f t="array" ref="F624">_xlfn.XLOOKUP(A624,Product!A:A,Product!C:C,"Bulunamadı")</f>
        <v>Ancient History</v>
      </c>
      <c r="G624" s="2" t="str">
        <f t="array" ref="G624">_xlfn.XLOOKUP(A625,Product!A:A,Product!D:D,"Bulunamadı")</f>
        <v>Golden Ridge Books</v>
      </c>
      <c r="H624" s="2">
        <f t="array" ref="H624">_xlfn.XLOOKUP(A626,Product!A:A,Product!E:E,"Bulunamadı")</f>
        <v>1.82</v>
      </c>
      <c r="I624" s="2" t="str">
        <f t="shared" si="1"/>
        <v>121981 - History - Ancient History</v>
      </c>
      <c r="J624" s="2">
        <f t="shared" si="2"/>
        <v>273</v>
      </c>
      <c r="K624" s="17">
        <f t="shared" si="3"/>
        <v>1</v>
      </c>
      <c r="L624" s="18"/>
    </row>
    <row r="625" hidden="1">
      <c r="A625" s="2">
        <f>IFERROR(__xludf.DUMMYFUNCTION("""COMPUTED_VALUE"""),121993.0)</f>
        <v>121993</v>
      </c>
      <c r="B625" s="2">
        <f>IFERROR(__xludf.DUMMYFUNCTION("""COMPUTED_VALUE"""),0.0)</f>
        <v>0</v>
      </c>
      <c r="C625" s="2">
        <f>IFERROR(__xludf.DUMMYFUNCTION("""COMPUTED_VALUE"""),255.0)</f>
        <v>255</v>
      </c>
      <c r="D625" s="3">
        <f>IFERROR(__xludf.DUMMYFUNCTION("""COMPUTED_VALUE"""),210.0)</f>
        <v>210</v>
      </c>
      <c r="E625" s="1" t="str">
        <f t="array" ref="E625">_xlfn.XLOOKUP(A625,Product!A:A,Product!B:B,"Bulunamadı")</f>
        <v>History</v>
      </c>
      <c r="F625" s="1" t="str">
        <f t="array" ref="F625">_xlfn.XLOOKUP(A625,Product!A:A,Product!C:C,"Bulunamadı")</f>
        <v>Ancient History</v>
      </c>
      <c r="G625" s="2" t="str">
        <f t="array" ref="G625">_xlfn.XLOOKUP(A626,Product!A:A,Product!D:D,"Bulunamadı")</f>
        <v>Golden Ridge Books</v>
      </c>
      <c r="H625" s="2">
        <f t="array" ref="H625">_xlfn.XLOOKUP(A627,Product!A:A,Product!E:E,"Bulunamadı")</f>
        <v>2.05</v>
      </c>
      <c r="I625" s="2" t="str">
        <f t="shared" si="1"/>
        <v>121993 - History - Ancient History</v>
      </c>
      <c r="J625" s="2">
        <f t="shared" si="2"/>
        <v>430.5</v>
      </c>
      <c r="K625" s="17">
        <f t="shared" si="3"/>
        <v>1</v>
      </c>
      <c r="L625" s="18"/>
    </row>
    <row r="626" hidden="1">
      <c r="A626" s="2">
        <f>IFERROR(__xludf.DUMMYFUNCTION("""COMPUTED_VALUE"""),81389.0)</f>
        <v>81389</v>
      </c>
      <c r="B626" s="2">
        <f>IFERROR(__xludf.DUMMYFUNCTION("""COMPUTED_VALUE"""),1.0)</f>
        <v>1</v>
      </c>
      <c r="C626" s="2">
        <f>IFERROR(__xludf.DUMMYFUNCTION("""COMPUTED_VALUE"""),724.0)</f>
        <v>724</v>
      </c>
      <c r="D626" s="3">
        <f>IFERROR(__xludf.DUMMYFUNCTION("""COMPUTED_VALUE"""),507.0)</f>
        <v>507</v>
      </c>
      <c r="E626" s="1" t="str">
        <f t="array" ref="E626">_xlfn.XLOOKUP(A626,Product!A:A,Product!B:B,"Bulunamadı")</f>
        <v>History</v>
      </c>
      <c r="F626" s="1" t="str">
        <f t="array" ref="F626">_xlfn.XLOOKUP(A626,Product!A:A,Product!C:C,"Bulunamadı")</f>
        <v>Ancient History</v>
      </c>
      <c r="G626" s="2" t="str">
        <f t="array" ref="G626">_xlfn.XLOOKUP(A627,Product!A:A,Product!D:D,"Bulunamadı")</f>
        <v>Golden Ridge Books</v>
      </c>
      <c r="H626" s="2">
        <f t="array" ref="H626">_xlfn.XLOOKUP(A628,Product!A:A,Product!E:E,"Bulunamadı")</f>
        <v>2.61</v>
      </c>
      <c r="I626" s="2" t="str">
        <f t="shared" si="1"/>
        <v>81389 - History - Ancient History</v>
      </c>
      <c r="J626" s="2">
        <f t="shared" si="2"/>
        <v>1323.27</v>
      </c>
      <c r="K626" s="17">
        <f t="shared" si="3"/>
        <v>1</v>
      </c>
      <c r="L626" s="18"/>
    </row>
    <row r="627" hidden="1">
      <c r="A627" s="2">
        <f>IFERROR(__xludf.DUMMYFUNCTION("""COMPUTED_VALUE"""),99473.0)</f>
        <v>99473</v>
      </c>
      <c r="B627" s="2">
        <f>IFERROR(__xludf.DUMMYFUNCTION("""COMPUTED_VALUE"""),0.0)</f>
        <v>0</v>
      </c>
      <c r="C627" s="2">
        <f>IFERROR(__xludf.DUMMYFUNCTION("""COMPUTED_VALUE"""),865.0)</f>
        <v>865</v>
      </c>
      <c r="D627" s="3">
        <f>IFERROR(__xludf.DUMMYFUNCTION("""COMPUTED_VALUE"""),720.0)</f>
        <v>720</v>
      </c>
      <c r="E627" s="1" t="str">
        <f t="array" ref="E627">_xlfn.XLOOKUP(A627,Product!A:A,Product!B:B,"Bulunamadı")</f>
        <v>History</v>
      </c>
      <c r="F627" s="1" t="str">
        <f t="array" ref="F627">_xlfn.XLOOKUP(A627,Product!A:A,Product!C:C,"Bulunamadı")</f>
        <v>Ancient History</v>
      </c>
      <c r="G627" s="2" t="str">
        <f t="array" ref="G627">_xlfn.XLOOKUP(A628,Product!A:A,Product!D:D,"Bulunamadı")</f>
        <v>Golden Ridge Books</v>
      </c>
      <c r="H627" s="2">
        <f t="array" ref="H627">_xlfn.XLOOKUP(A629,Product!A:A,Product!E:E,"Bulunamadı")</f>
        <v>2.2</v>
      </c>
      <c r="I627" s="2" t="str">
        <f t="shared" si="1"/>
        <v>99473 - History - Ancient History</v>
      </c>
      <c r="J627" s="2">
        <f t="shared" si="2"/>
        <v>1584</v>
      </c>
      <c r="K627" s="17">
        <f t="shared" si="3"/>
        <v>1</v>
      </c>
      <c r="L627" s="18"/>
    </row>
    <row r="628" hidden="1">
      <c r="A628" s="2">
        <f>IFERROR(__xludf.DUMMYFUNCTION("""COMPUTED_VALUE"""),81393.0)</f>
        <v>81393</v>
      </c>
      <c r="B628" s="2">
        <f>IFERROR(__xludf.DUMMYFUNCTION("""COMPUTED_VALUE"""),0.0)</f>
        <v>0</v>
      </c>
      <c r="C628" s="2">
        <f>IFERROR(__xludf.DUMMYFUNCTION("""COMPUTED_VALUE"""),929.0)</f>
        <v>929</v>
      </c>
      <c r="D628" s="3">
        <f>IFERROR(__xludf.DUMMYFUNCTION("""COMPUTED_VALUE"""),555.0)</f>
        <v>555</v>
      </c>
      <c r="E628" s="1" t="str">
        <f t="array" ref="E628">_xlfn.XLOOKUP(A628,Product!A:A,Product!B:B,"Bulunamadı")</f>
        <v>History</v>
      </c>
      <c r="F628" s="1" t="str">
        <f t="array" ref="F628">_xlfn.XLOOKUP(A628,Product!A:A,Product!C:C,"Bulunamadı")</f>
        <v>Ancient History</v>
      </c>
      <c r="G628" s="2" t="str">
        <f t="array" ref="G628">_xlfn.XLOOKUP(A629,Product!A:A,Product!D:D,"Bulunamadı")</f>
        <v>Golden Ridge Books</v>
      </c>
      <c r="H628" s="2">
        <f t="array" ref="H628">_xlfn.XLOOKUP(A630,Product!A:A,Product!E:E,"Bulunamadı")</f>
        <v>2.17</v>
      </c>
      <c r="I628" s="2" t="str">
        <f t="shared" si="1"/>
        <v>81393 - History - Ancient History</v>
      </c>
      <c r="J628" s="2">
        <f t="shared" si="2"/>
        <v>1204.35</v>
      </c>
      <c r="K628" s="17">
        <f t="shared" si="3"/>
        <v>1</v>
      </c>
      <c r="L628" s="18"/>
    </row>
    <row r="629" hidden="1">
      <c r="A629" s="2">
        <f>IFERROR(__xludf.DUMMYFUNCTION("""COMPUTED_VALUE"""),104364.0)</f>
        <v>104364</v>
      </c>
      <c r="B629" s="2">
        <f>IFERROR(__xludf.DUMMYFUNCTION("""COMPUTED_VALUE"""),0.0)</f>
        <v>0</v>
      </c>
      <c r="C629" s="2">
        <f>IFERROR(__xludf.DUMMYFUNCTION("""COMPUTED_VALUE"""),124.0)</f>
        <v>124</v>
      </c>
      <c r="D629" s="3">
        <f>IFERROR(__xludf.DUMMYFUNCTION("""COMPUTED_VALUE"""),124.0)</f>
        <v>124</v>
      </c>
      <c r="E629" s="1" t="str">
        <f t="array" ref="E629">_xlfn.XLOOKUP(A629,Product!A:A,Product!B:B,"Bulunamadı")</f>
        <v>History</v>
      </c>
      <c r="F629" s="1" t="str">
        <f t="array" ref="F629">_xlfn.XLOOKUP(A629,Product!A:A,Product!C:C,"Bulunamadı")</f>
        <v>Ancient History</v>
      </c>
      <c r="G629" s="2" t="str">
        <f t="array" ref="G629">_xlfn.XLOOKUP(A630,Product!A:A,Product!D:D,"Bulunamadı")</f>
        <v>Stone Harbor Press</v>
      </c>
      <c r="H629" s="2">
        <f t="array" ref="H629">_xlfn.XLOOKUP(A631,Product!A:A,Product!E:E,"Bulunamadı")</f>
        <v>8.94</v>
      </c>
      <c r="I629" s="2" t="str">
        <f t="shared" si="1"/>
        <v>104364 - History - Ancient History</v>
      </c>
      <c r="J629" s="2">
        <f t="shared" si="2"/>
        <v>1108.56</v>
      </c>
      <c r="K629" s="17">
        <f t="shared" si="3"/>
        <v>1</v>
      </c>
      <c r="L629" s="18"/>
    </row>
    <row r="630" hidden="1">
      <c r="A630" s="2">
        <f>IFERROR(__xludf.DUMMYFUNCTION("""COMPUTED_VALUE"""),76602.0)</f>
        <v>76602</v>
      </c>
      <c r="B630" s="2">
        <f>IFERROR(__xludf.DUMMYFUNCTION("""COMPUTED_VALUE"""),0.0)</f>
        <v>0</v>
      </c>
      <c r="C630" s="2">
        <f>IFERROR(__xludf.DUMMYFUNCTION("""COMPUTED_VALUE"""),460.0)</f>
        <v>460</v>
      </c>
      <c r="D630" s="3">
        <f>IFERROR(__xludf.DUMMYFUNCTION("""COMPUTED_VALUE"""),187.0)</f>
        <v>187</v>
      </c>
      <c r="E630" s="1" t="str">
        <f t="array" ref="E630">_xlfn.XLOOKUP(A630,Product!A:A,Product!B:B,"Bulunamadı")</f>
        <v>History</v>
      </c>
      <c r="F630" s="1" t="str">
        <f t="array" ref="F630">_xlfn.XLOOKUP(A630,Product!A:A,Product!C:C,"Bulunamadı")</f>
        <v>Ancient History</v>
      </c>
      <c r="G630" s="2" t="str">
        <f t="array" ref="G630">_xlfn.XLOOKUP(A631,Product!A:A,Product!D:D,"Bulunamadı")</f>
        <v>Stone Harbor Press</v>
      </c>
      <c r="H630" s="2">
        <f t="array" ref="H630">_xlfn.XLOOKUP(A632,Product!A:A,Product!E:E,"Bulunamadı")</f>
        <v>2.47</v>
      </c>
      <c r="I630" s="2" t="str">
        <f t="shared" si="1"/>
        <v>76602 - History - Ancient History</v>
      </c>
      <c r="J630" s="2">
        <f t="shared" si="2"/>
        <v>461.89</v>
      </c>
      <c r="K630" s="17">
        <f t="shared" si="3"/>
        <v>1</v>
      </c>
      <c r="L630" s="18"/>
    </row>
    <row r="631" hidden="1">
      <c r="A631" s="2">
        <f>IFERROR(__xludf.DUMMYFUNCTION("""COMPUTED_VALUE"""),119824.0)</f>
        <v>119824</v>
      </c>
      <c r="B631" s="2">
        <f>IFERROR(__xludf.DUMMYFUNCTION("""COMPUTED_VALUE"""),1.0)</f>
        <v>1</v>
      </c>
      <c r="C631" s="2">
        <f>IFERROR(__xludf.DUMMYFUNCTION("""COMPUTED_VALUE"""),414.0)</f>
        <v>414</v>
      </c>
      <c r="D631" s="3">
        <f>IFERROR(__xludf.DUMMYFUNCTION("""COMPUTED_VALUE"""),90.0)</f>
        <v>90</v>
      </c>
      <c r="E631" s="1" t="str">
        <f t="array" ref="E631">_xlfn.XLOOKUP(A631,Product!A:A,Product!B:B,"Bulunamadı")</f>
        <v>History</v>
      </c>
      <c r="F631" s="1" t="str">
        <f t="array" ref="F631">_xlfn.XLOOKUP(A631,Product!A:A,Product!C:C,"Bulunamadı")</f>
        <v>Ancient History</v>
      </c>
      <c r="G631" s="2" t="str">
        <f t="array" ref="G631">_xlfn.XLOOKUP(A632,Product!A:A,Product!D:D,"Bulunamadı")</f>
        <v>Stone Harbor Press</v>
      </c>
      <c r="H631" s="2">
        <f t="array" ref="H631">_xlfn.XLOOKUP(A633,Product!A:A,Product!E:E,"Bulunamadı")</f>
        <v>2.69</v>
      </c>
      <c r="I631" s="2" t="str">
        <f t="shared" si="1"/>
        <v>119824 - History - Ancient History</v>
      </c>
      <c r="J631" s="2">
        <f t="shared" si="2"/>
        <v>242.1</v>
      </c>
      <c r="K631" s="17">
        <f t="shared" si="3"/>
        <v>1</v>
      </c>
      <c r="L631" s="18"/>
    </row>
    <row r="632" hidden="1">
      <c r="A632" s="2">
        <f>IFERROR(__xludf.DUMMYFUNCTION("""COMPUTED_VALUE"""),112618.0)</f>
        <v>112618</v>
      </c>
      <c r="B632" s="2">
        <f>IFERROR(__xludf.DUMMYFUNCTION("""COMPUTED_VALUE"""),0.0)</f>
        <v>0</v>
      </c>
      <c r="C632" s="2">
        <f>IFERROR(__xludf.DUMMYFUNCTION("""COMPUTED_VALUE"""),480.0)</f>
        <v>480</v>
      </c>
      <c r="D632" s="3">
        <f>IFERROR(__xludf.DUMMYFUNCTION("""COMPUTED_VALUE"""),69.0)</f>
        <v>69</v>
      </c>
      <c r="E632" s="1" t="str">
        <f t="array" ref="E632">_xlfn.XLOOKUP(A632,Product!A:A,Product!B:B,"Bulunamadı")</f>
        <v>History</v>
      </c>
      <c r="F632" s="1" t="str">
        <f t="array" ref="F632">_xlfn.XLOOKUP(A632,Product!A:A,Product!C:C,"Bulunamadı")</f>
        <v>Ancient History</v>
      </c>
      <c r="G632" s="2" t="str">
        <f t="array" ref="G632">_xlfn.XLOOKUP(A633,Product!A:A,Product!D:D,"Bulunamadı")</f>
        <v>Stone Harbor Press</v>
      </c>
      <c r="H632" s="2">
        <f t="array" ref="H632">_xlfn.XLOOKUP(A634,Product!A:A,Product!E:E,"Bulunamadı")</f>
        <v>11.54</v>
      </c>
      <c r="I632" s="2" t="str">
        <f t="shared" si="1"/>
        <v>112618 - History - Ancient History</v>
      </c>
      <c r="J632" s="2">
        <f t="shared" si="2"/>
        <v>796.26</v>
      </c>
      <c r="K632" s="17">
        <f t="shared" si="3"/>
        <v>1</v>
      </c>
      <c r="L632" s="18"/>
    </row>
    <row r="633" hidden="1">
      <c r="A633" s="2">
        <f>IFERROR(__xludf.DUMMYFUNCTION("""COMPUTED_VALUE"""),112617.0)</f>
        <v>112617</v>
      </c>
      <c r="B633" s="2">
        <f>IFERROR(__xludf.DUMMYFUNCTION("""COMPUTED_VALUE"""),1.0)</f>
        <v>1</v>
      </c>
      <c r="C633" s="2">
        <f>IFERROR(__xludf.DUMMYFUNCTION("""COMPUTED_VALUE"""),380.0)</f>
        <v>380</v>
      </c>
      <c r="D633" s="3">
        <f>IFERROR(__xludf.DUMMYFUNCTION("""COMPUTED_VALUE"""),29.0)</f>
        <v>29</v>
      </c>
      <c r="E633" s="1" t="str">
        <f t="array" ref="E633">_xlfn.XLOOKUP(A633,Product!A:A,Product!B:B,"Bulunamadı")</f>
        <v>History</v>
      </c>
      <c r="F633" s="1" t="str">
        <f t="array" ref="F633">_xlfn.XLOOKUP(A633,Product!A:A,Product!C:C,"Bulunamadı")</f>
        <v>Ancient History</v>
      </c>
      <c r="G633" s="2" t="str">
        <f t="array" ref="G633">_xlfn.XLOOKUP(A634,Product!A:A,Product!D:D,"Bulunamadı")</f>
        <v>Stone Harbor Press</v>
      </c>
      <c r="H633" s="2">
        <f t="array" ref="H633">_xlfn.XLOOKUP(A635,Product!A:A,Product!E:E,"Bulunamadı")</f>
        <v>6.82</v>
      </c>
      <c r="I633" s="2" t="str">
        <f t="shared" si="1"/>
        <v>112617 - History - Ancient History</v>
      </c>
      <c r="J633" s="2">
        <f t="shared" si="2"/>
        <v>197.78</v>
      </c>
      <c r="K633" s="17">
        <f t="shared" si="3"/>
        <v>1</v>
      </c>
      <c r="L633" s="18"/>
    </row>
    <row r="634" hidden="1">
      <c r="A634" s="2">
        <f>IFERROR(__xludf.DUMMYFUNCTION("""COMPUTED_VALUE"""),113963.0)</f>
        <v>113963</v>
      </c>
      <c r="B634" s="2">
        <f>IFERROR(__xludf.DUMMYFUNCTION("""COMPUTED_VALUE"""),0.0)</f>
        <v>0</v>
      </c>
      <c r="C634" s="2">
        <f>IFERROR(__xludf.DUMMYFUNCTION("""COMPUTED_VALUE"""),534.0)</f>
        <v>534</v>
      </c>
      <c r="D634" s="3">
        <f>IFERROR(__xludf.DUMMYFUNCTION("""COMPUTED_VALUE"""),85.0)</f>
        <v>85</v>
      </c>
      <c r="E634" s="1" t="str">
        <f t="array" ref="E634">_xlfn.XLOOKUP(A634,Product!A:A,Product!B:B,"Bulunamadı")</f>
        <v>History</v>
      </c>
      <c r="F634" s="1" t="str">
        <f t="array" ref="F634">_xlfn.XLOOKUP(A634,Product!A:A,Product!C:C,"Bulunamadı")</f>
        <v>Ancient History</v>
      </c>
      <c r="G634" s="2" t="str">
        <f t="array" ref="G634">_xlfn.XLOOKUP(A635,Product!A:A,Product!D:D,"Bulunamadı")</f>
        <v>Bright Sky Publishing</v>
      </c>
      <c r="H634" s="2">
        <f t="array" ref="H634">_xlfn.XLOOKUP(A636,Product!A:A,Product!E:E,"Bulunamadı")</f>
        <v>3.03</v>
      </c>
      <c r="I634" s="2" t="str">
        <f t="shared" si="1"/>
        <v>113963 - History - Ancient History</v>
      </c>
      <c r="J634" s="2">
        <f t="shared" si="2"/>
        <v>257.55</v>
      </c>
      <c r="K634" s="17">
        <f t="shared" si="3"/>
        <v>1</v>
      </c>
      <c r="L634" s="18"/>
    </row>
    <row r="635" hidden="1">
      <c r="A635" s="2">
        <f>IFERROR(__xludf.DUMMYFUNCTION("""COMPUTED_VALUE"""),104359.0)</f>
        <v>104359</v>
      </c>
      <c r="B635" s="2">
        <f>IFERROR(__xludf.DUMMYFUNCTION("""COMPUTED_VALUE"""),0.0)</f>
        <v>0</v>
      </c>
      <c r="C635" s="2">
        <f>IFERROR(__xludf.DUMMYFUNCTION("""COMPUTED_VALUE"""),782.0)</f>
        <v>782</v>
      </c>
      <c r="D635" s="3">
        <f>IFERROR(__xludf.DUMMYFUNCTION("""COMPUTED_VALUE"""),629.0)</f>
        <v>629</v>
      </c>
      <c r="E635" s="1" t="str">
        <f t="array" ref="E635">_xlfn.XLOOKUP(A635,Product!A:A,Product!B:B,"Bulunamadı")</f>
        <v>History</v>
      </c>
      <c r="F635" s="1" t="str">
        <f t="array" ref="F635">_xlfn.XLOOKUP(A635,Product!A:A,Product!C:C,"Bulunamadı")</f>
        <v>Ancient History</v>
      </c>
      <c r="G635" s="2" t="str">
        <f t="array" ref="G635">_xlfn.XLOOKUP(A636,Product!A:A,Product!D:D,"Bulunamadı")</f>
        <v>Bright Sky Publishing</v>
      </c>
      <c r="H635" s="2">
        <f t="array" ref="H635">_xlfn.XLOOKUP(A637,Product!A:A,Product!E:E,"Bulunamadı")</f>
        <v>2.31</v>
      </c>
      <c r="I635" s="2" t="str">
        <f t="shared" si="1"/>
        <v>104359 - History - Ancient History</v>
      </c>
      <c r="J635" s="2">
        <f t="shared" si="2"/>
        <v>1452.99</v>
      </c>
      <c r="K635" s="17">
        <f t="shared" si="3"/>
        <v>1</v>
      </c>
      <c r="L635" s="18"/>
    </row>
    <row r="636" hidden="1">
      <c r="A636" s="2">
        <f>IFERROR(__xludf.DUMMYFUNCTION("""COMPUTED_VALUE"""),81675.0)</f>
        <v>81675</v>
      </c>
      <c r="B636" s="2">
        <f>IFERROR(__xludf.DUMMYFUNCTION("""COMPUTED_VALUE"""),1.0)</f>
        <v>1</v>
      </c>
      <c r="C636" s="2">
        <f>IFERROR(__xludf.DUMMYFUNCTION("""COMPUTED_VALUE"""),585.0)</f>
        <v>585</v>
      </c>
      <c r="D636" s="3">
        <f>IFERROR(__xludf.DUMMYFUNCTION("""COMPUTED_VALUE"""),3.0)</f>
        <v>3</v>
      </c>
      <c r="E636" s="1" t="str">
        <f t="array" ref="E636">_xlfn.XLOOKUP(A636,Product!A:A,Product!B:B,"Bulunamadı")</f>
        <v>History</v>
      </c>
      <c r="F636" s="1" t="str">
        <f t="array" ref="F636">_xlfn.XLOOKUP(A636,Product!A:A,Product!C:C,"Bulunamadı")</f>
        <v>Ancient History</v>
      </c>
      <c r="G636" s="2" t="str">
        <f t="array" ref="G636">_xlfn.XLOOKUP(A637,Product!A:A,Product!D:D,"Bulunamadı")</f>
        <v>Bright Sky Publishing</v>
      </c>
      <c r="H636" s="2">
        <f t="array" ref="H636">_xlfn.XLOOKUP(A638,Product!A:A,Product!E:E,"Bulunamadı")</f>
        <v>6.51</v>
      </c>
      <c r="I636" s="2" t="str">
        <f t="shared" si="1"/>
        <v>81675 - History - Ancient History</v>
      </c>
      <c r="J636" s="2">
        <f t="shared" si="2"/>
        <v>19.53</v>
      </c>
      <c r="K636" s="17">
        <f t="shared" si="3"/>
        <v>1</v>
      </c>
      <c r="L636" s="18"/>
    </row>
    <row r="637" hidden="1">
      <c r="A637" s="2">
        <f>IFERROR(__xludf.DUMMYFUNCTION("""COMPUTED_VALUE"""),84835.0)</f>
        <v>84835</v>
      </c>
      <c r="B637" s="2">
        <f>IFERROR(__xludf.DUMMYFUNCTION("""COMPUTED_VALUE"""),1.0)</f>
        <v>1</v>
      </c>
      <c r="C637" s="2">
        <f>IFERROR(__xludf.DUMMYFUNCTION("""COMPUTED_VALUE"""),484.0)</f>
        <v>484</v>
      </c>
      <c r="D637" s="3">
        <f>IFERROR(__xludf.DUMMYFUNCTION("""COMPUTED_VALUE"""),378.0)</f>
        <v>378</v>
      </c>
      <c r="E637" s="1" t="str">
        <f t="array" ref="E637">_xlfn.XLOOKUP(A637,Product!A:A,Product!B:B,"Bulunamadı")</f>
        <v>History</v>
      </c>
      <c r="F637" s="1" t="str">
        <f t="array" ref="F637">_xlfn.XLOOKUP(A637,Product!A:A,Product!C:C,"Bulunamadı")</f>
        <v>Ancient History</v>
      </c>
      <c r="G637" s="2" t="str">
        <f t="array" ref="G637">_xlfn.XLOOKUP(A638,Product!A:A,Product!D:D,"Bulunamadı")</f>
        <v>Bright Sky Publishing</v>
      </c>
      <c r="H637" s="2">
        <f t="array" ref="H637">_xlfn.XLOOKUP(A639,Product!A:A,Product!E:E,"Bulunamadı")</f>
        <v>2.48</v>
      </c>
      <c r="I637" s="2" t="str">
        <f t="shared" si="1"/>
        <v>84835 - History - Ancient History</v>
      </c>
      <c r="J637" s="2">
        <f t="shared" si="2"/>
        <v>937.44</v>
      </c>
      <c r="K637" s="17">
        <f t="shared" si="3"/>
        <v>1</v>
      </c>
      <c r="L637" s="18"/>
    </row>
    <row r="638" hidden="1">
      <c r="A638" s="2">
        <f>IFERROR(__xludf.DUMMYFUNCTION("""COMPUTED_VALUE"""),81680.0)</f>
        <v>81680</v>
      </c>
      <c r="B638" s="2">
        <f>IFERROR(__xludf.DUMMYFUNCTION("""COMPUTED_VALUE"""),0.0)</f>
        <v>0</v>
      </c>
      <c r="C638" s="2">
        <f>IFERROR(__xludf.DUMMYFUNCTION("""COMPUTED_VALUE"""),168.0)</f>
        <v>168</v>
      </c>
      <c r="D638" s="3">
        <f>IFERROR(__xludf.DUMMYFUNCTION("""COMPUTED_VALUE"""),81.0)</f>
        <v>81</v>
      </c>
      <c r="E638" s="1" t="str">
        <f t="array" ref="E638">_xlfn.XLOOKUP(A638,Product!A:A,Product!B:B,"Bulunamadı")</f>
        <v>History</v>
      </c>
      <c r="F638" s="1" t="str">
        <f t="array" ref="F638">_xlfn.XLOOKUP(A638,Product!A:A,Product!C:C,"Bulunamadı")</f>
        <v>Ancient History</v>
      </c>
      <c r="G638" s="2" t="str">
        <f t="array" ref="G638">_xlfn.XLOOKUP(A639,Product!A:A,Product!D:D,"Bulunamadı")</f>
        <v>Bright Sky Publishing</v>
      </c>
      <c r="H638" s="2">
        <f t="array" ref="H638">_xlfn.XLOOKUP(A640,Product!A:A,Product!E:E,"Bulunamadı")</f>
        <v>3.91</v>
      </c>
      <c r="I638" s="2" t="str">
        <f t="shared" si="1"/>
        <v>81680 - History - Ancient History</v>
      </c>
      <c r="J638" s="2">
        <f t="shared" si="2"/>
        <v>316.71</v>
      </c>
      <c r="K638" s="17">
        <f t="shared" si="3"/>
        <v>1</v>
      </c>
      <c r="L638" s="18"/>
    </row>
    <row r="639" hidden="1">
      <c r="A639" s="2">
        <f>IFERROR(__xludf.DUMMYFUNCTION("""COMPUTED_VALUE"""),104361.0)</f>
        <v>104361</v>
      </c>
      <c r="B639" s="2">
        <f>IFERROR(__xludf.DUMMYFUNCTION("""COMPUTED_VALUE"""),1.0)</f>
        <v>1</v>
      </c>
      <c r="C639" s="2">
        <f>IFERROR(__xludf.DUMMYFUNCTION("""COMPUTED_VALUE"""),417.0)</f>
        <v>417</v>
      </c>
      <c r="D639" s="3">
        <f>IFERROR(__xludf.DUMMYFUNCTION("""COMPUTED_VALUE"""),25.0)</f>
        <v>25</v>
      </c>
      <c r="E639" s="1" t="str">
        <f t="array" ref="E639">_xlfn.XLOOKUP(A639,Product!A:A,Product!B:B,"Bulunamadı")</f>
        <v>History</v>
      </c>
      <c r="F639" s="1" t="str">
        <f t="array" ref="F639">_xlfn.XLOOKUP(A639,Product!A:A,Product!C:C,"Bulunamadı")</f>
        <v>Ancient History</v>
      </c>
      <c r="G639" s="2" t="str">
        <f t="array" ref="G639">_xlfn.XLOOKUP(A640,Product!A:A,Product!D:D,"Bulunamadı")</f>
        <v>Bright Sky Publishing</v>
      </c>
      <c r="H639" s="2">
        <f t="array" ref="H639">_xlfn.XLOOKUP(A641,Product!A:A,Product!E:E,"Bulunamadı")</f>
        <v>2.05</v>
      </c>
      <c r="I639" s="2" t="str">
        <f t="shared" si="1"/>
        <v>104361 - History - Ancient History</v>
      </c>
      <c r="J639" s="2">
        <f t="shared" si="2"/>
        <v>51.25</v>
      </c>
      <c r="K639" s="17">
        <f t="shared" si="3"/>
        <v>1</v>
      </c>
      <c r="L639" s="18"/>
    </row>
    <row r="640" hidden="1">
      <c r="A640" s="2">
        <f>IFERROR(__xludf.DUMMYFUNCTION("""COMPUTED_VALUE"""),83080.0)</f>
        <v>83080</v>
      </c>
      <c r="B640" s="2">
        <f>IFERROR(__xludf.DUMMYFUNCTION("""COMPUTED_VALUE"""),0.0)</f>
        <v>0</v>
      </c>
      <c r="C640" s="2">
        <f>IFERROR(__xludf.DUMMYFUNCTION("""COMPUTED_VALUE"""),315.0)</f>
        <v>315</v>
      </c>
      <c r="D640" s="3">
        <f>IFERROR(__xludf.DUMMYFUNCTION("""COMPUTED_VALUE"""),94.0)</f>
        <v>94</v>
      </c>
      <c r="E640" s="1" t="str">
        <f t="array" ref="E640">_xlfn.XLOOKUP(A640,Product!A:A,Product!B:B,"Bulunamadı")</f>
        <v>History</v>
      </c>
      <c r="F640" s="1" t="str">
        <f t="array" ref="F640">_xlfn.XLOOKUP(A640,Product!A:A,Product!C:C,"Bulunamadı")</f>
        <v>Ancient History</v>
      </c>
      <c r="G640" s="2" t="str">
        <f t="array" ref="G640">_xlfn.XLOOKUP(A641,Product!A:A,Product!D:D,"Bulunamadı")</f>
        <v>Bright Sky Publishing</v>
      </c>
      <c r="H640" s="2">
        <f t="array" ref="H640">_xlfn.XLOOKUP(A642,Product!A:A,Product!E:E,"Bulunamadı")</f>
        <v>2.4</v>
      </c>
      <c r="I640" s="2" t="str">
        <f t="shared" si="1"/>
        <v>83080 - History - Ancient History</v>
      </c>
      <c r="J640" s="2">
        <f t="shared" si="2"/>
        <v>225.6</v>
      </c>
      <c r="K640" s="17">
        <f t="shared" si="3"/>
        <v>1</v>
      </c>
      <c r="L640" s="18"/>
    </row>
    <row r="641" hidden="1">
      <c r="A641" s="2">
        <f>IFERROR(__xludf.DUMMYFUNCTION("""COMPUTED_VALUE"""),84930.0)</f>
        <v>84930</v>
      </c>
      <c r="B641" s="2">
        <f>IFERROR(__xludf.DUMMYFUNCTION("""COMPUTED_VALUE"""),1.0)</f>
        <v>1</v>
      </c>
      <c r="C641" s="2">
        <f>IFERROR(__xludf.DUMMYFUNCTION("""COMPUTED_VALUE"""),637.0)</f>
        <v>637</v>
      </c>
      <c r="D641" s="3">
        <f>IFERROR(__xludf.DUMMYFUNCTION("""COMPUTED_VALUE"""),375.0)</f>
        <v>375</v>
      </c>
      <c r="E641" s="1" t="str">
        <f t="array" ref="E641">_xlfn.XLOOKUP(A641,Product!A:A,Product!B:B,"Bulunamadı")</f>
        <v>History</v>
      </c>
      <c r="F641" s="1" t="str">
        <f t="array" ref="F641">_xlfn.XLOOKUP(A641,Product!A:A,Product!C:C,"Bulunamadı")</f>
        <v>Ancient History</v>
      </c>
      <c r="G641" s="2" t="str">
        <f t="array" ref="G641">_xlfn.XLOOKUP(A642,Product!A:A,Product!D:D,"Bulunamadı")</f>
        <v>Bright Sky Publishing</v>
      </c>
      <c r="H641" s="2">
        <f t="array" ref="H641">_xlfn.XLOOKUP(A643,Product!A:A,Product!E:E,"Bulunamadı")</f>
        <v>5.81</v>
      </c>
      <c r="I641" s="2" t="str">
        <f t="shared" si="1"/>
        <v>84930 - History - Ancient History</v>
      </c>
      <c r="J641" s="2">
        <f t="shared" si="2"/>
        <v>2178.75</v>
      </c>
      <c r="K641" s="17">
        <f t="shared" si="3"/>
        <v>1</v>
      </c>
      <c r="L641" s="18"/>
    </row>
    <row r="642" hidden="1">
      <c r="A642" s="2">
        <f>IFERROR(__xludf.DUMMYFUNCTION("""COMPUTED_VALUE"""),19848.0)</f>
        <v>19848</v>
      </c>
      <c r="B642" s="2">
        <f>IFERROR(__xludf.DUMMYFUNCTION("""COMPUTED_VALUE"""),1.0)</f>
        <v>1</v>
      </c>
      <c r="C642" s="2">
        <f>IFERROR(__xludf.DUMMYFUNCTION("""COMPUTED_VALUE"""),111.0)</f>
        <v>111</v>
      </c>
      <c r="D642" s="3">
        <f>IFERROR(__xludf.DUMMYFUNCTION("""COMPUTED_VALUE"""),79.0)</f>
        <v>79</v>
      </c>
      <c r="E642" s="1" t="str">
        <f t="array" ref="E642">_xlfn.XLOOKUP(A642,Product!A:A,Product!B:B,"Bulunamadı")</f>
        <v>History</v>
      </c>
      <c r="F642" s="1" t="str">
        <f t="array" ref="F642">_xlfn.XLOOKUP(A642,Product!A:A,Product!C:C,"Bulunamadı")</f>
        <v>Ancient History</v>
      </c>
      <c r="G642" s="2" t="str">
        <f t="array" ref="G642">_xlfn.XLOOKUP(A643,Product!A:A,Product!D:D,"Bulunamadı")</f>
        <v>Bright Sky Publishing</v>
      </c>
      <c r="H642" s="2">
        <f t="array" ref="H642">_xlfn.XLOOKUP(A644,Product!A:A,Product!E:E,"Bulunamadı")</f>
        <v>16.62</v>
      </c>
      <c r="I642" s="2" t="str">
        <f t="shared" si="1"/>
        <v>19848 - History - Ancient History</v>
      </c>
      <c r="J642" s="2">
        <f t="shared" si="2"/>
        <v>1312.98</v>
      </c>
      <c r="K642" s="17">
        <f t="shared" si="3"/>
        <v>1</v>
      </c>
      <c r="L642" s="18"/>
    </row>
    <row r="643" hidden="1">
      <c r="A643" s="2">
        <f>IFERROR(__xludf.DUMMYFUNCTION("""COMPUTED_VALUE"""),104362.0)</f>
        <v>104362</v>
      </c>
      <c r="B643" s="2">
        <f>IFERROR(__xludf.DUMMYFUNCTION("""COMPUTED_VALUE"""),0.0)</f>
        <v>0</v>
      </c>
      <c r="C643" s="2">
        <f>IFERROR(__xludf.DUMMYFUNCTION("""COMPUTED_VALUE"""),676.0)</f>
        <v>676</v>
      </c>
      <c r="D643" s="3">
        <f>IFERROR(__xludf.DUMMYFUNCTION("""COMPUTED_VALUE"""),490.0)</f>
        <v>490</v>
      </c>
      <c r="E643" s="1" t="str">
        <f t="array" ref="E643">_xlfn.XLOOKUP(A643,Product!A:A,Product!B:B,"Bulunamadı")</f>
        <v>History</v>
      </c>
      <c r="F643" s="1" t="str">
        <f t="array" ref="F643">_xlfn.XLOOKUP(A643,Product!A:A,Product!C:C,"Bulunamadı")</f>
        <v>Ancient History</v>
      </c>
      <c r="G643" s="2" t="str">
        <f t="array" ref="G643">_xlfn.XLOOKUP(A644,Product!A:A,Product!D:D,"Bulunamadı")</f>
        <v>Bright Sky Publishing</v>
      </c>
      <c r="H643" s="2">
        <f t="array" ref="H643">_xlfn.XLOOKUP(A645,Product!A:A,Product!E:E,"Bulunamadı")</f>
        <v>3.7</v>
      </c>
      <c r="I643" s="2" t="str">
        <f t="shared" si="1"/>
        <v>104362 - History - Ancient History</v>
      </c>
      <c r="J643" s="2">
        <f t="shared" si="2"/>
        <v>1813</v>
      </c>
      <c r="K643" s="17">
        <f t="shared" si="3"/>
        <v>1</v>
      </c>
      <c r="L643" s="18"/>
    </row>
    <row r="644" hidden="1">
      <c r="A644" s="2">
        <f>IFERROR(__xludf.DUMMYFUNCTION("""COMPUTED_VALUE"""),92122.0)</f>
        <v>92122</v>
      </c>
      <c r="B644" s="2">
        <f>IFERROR(__xludf.DUMMYFUNCTION("""COMPUTED_VALUE"""),0.0)</f>
        <v>0</v>
      </c>
      <c r="C644" s="2">
        <f>IFERROR(__xludf.DUMMYFUNCTION("""COMPUTED_VALUE"""),679.0)</f>
        <v>679</v>
      </c>
      <c r="D644" s="3">
        <f>IFERROR(__xludf.DUMMYFUNCTION("""COMPUTED_VALUE"""),308.0)</f>
        <v>308</v>
      </c>
      <c r="E644" s="1" t="str">
        <f t="array" ref="E644">_xlfn.XLOOKUP(A644,Product!A:A,Product!B:B,"Bulunamadı")</f>
        <v>History</v>
      </c>
      <c r="F644" s="1" t="str">
        <f t="array" ref="F644">_xlfn.XLOOKUP(A644,Product!A:A,Product!C:C,"Bulunamadı")</f>
        <v>Ancient History</v>
      </c>
      <c r="G644" s="2" t="str">
        <f t="array" ref="G644">_xlfn.XLOOKUP(A645,Product!A:A,Product!D:D,"Bulunamadı")</f>
        <v>Bright Sky Publishing</v>
      </c>
      <c r="H644" s="2">
        <f t="array" ref="H644">_xlfn.XLOOKUP(A646,Product!A:A,Product!E:E,"Bulunamadı")</f>
        <v>1.19</v>
      </c>
      <c r="I644" s="2" t="str">
        <f t="shared" si="1"/>
        <v>92122 - History - Ancient History</v>
      </c>
      <c r="J644" s="2">
        <f t="shared" si="2"/>
        <v>366.52</v>
      </c>
      <c r="K644" s="17">
        <f t="shared" si="3"/>
        <v>1</v>
      </c>
      <c r="L644" s="18"/>
    </row>
    <row r="645" hidden="1">
      <c r="A645" s="2">
        <f>IFERROR(__xludf.DUMMYFUNCTION("""COMPUTED_VALUE"""),15854.0)</f>
        <v>15854</v>
      </c>
      <c r="B645" s="2">
        <f>IFERROR(__xludf.DUMMYFUNCTION("""COMPUTED_VALUE"""),1.0)</f>
        <v>1</v>
      </c>
      <c r="C645" s="2">
        <f>IFERROR(__xludf.DUMMYFUNCTION("""COMPUTED_VALUE"""),905.0)</f>
        <v>905</v>
      </c>
      <c r="D645" s="3">
        <f>IFERROR(__xludf.DUMMYFUNCTION("""COMPUTED_VALUE"""),60.0)</f>
        <v>60</v>
      </c>
      <c r="E645" s="1" t="str">
        <f t="array" ref="E645">_xlfn.XLOOKUP(A645,Product!A:A,Product!B:B,"Bulunamadı")</f>
        <v>History</v>
      </c>
      <c r="F645" s="1" t="str">
        <f t="array" ref="F645">_xlfn.XLOOKUP(A645,Product!A:A,Product!C:C,"Bulunamadı")</f>
        <v>Ancient History</v>
      </c>
      <c r="G645" s="2" t="str">
        <f t="array" ref="G645">_xlfn.XLOOKUP(A646,Product!A:A,Product!D:D,"Bulunamadı")</f>
        <v>Bright Sky Publishing</v>
      </c>
      <c r="H645" s="2">
        <f t="array" ref="H645">_xlfn.XLOOKUP(A647,Product!A:A,Product!E:E,"Bulunamadı")</f>
        <v>5.29</v>
      </c>
      <c r="I645" s="2" t="str">
        <f t="shared" si="1"/>
        <v>15854 - History - Ancient History</v>
      </c>
      <c r="J645" s="2">
        <f t="shared" si="2"/>
        <v>317.4</v>
      </c>
      <c r="K645" s="17">
        <f t="shared" si="3"/>
        <v>1</v>
      </c>
      <c r="L645" s="18"/>
    </row>
    <row r="646" hidden="1">
      <c r="A646" s="2">
        <f>IFERROR(__xludf.DUMMYFUNCTION("""COMPUTED_VALUE"""),81383.0)</f>
        <v>81383</v>
      </c>
      <c r="B646" s="2">
        <f>IFERROR(__xludf.DUMMYFUNCTION("""COMPUTED_VALUE"""),0.0)</f>
        <v>0</v>
      </c>
      <c r="C646" s="2">
        <f>IFERROR(__xludf.DUMMYFUNCTION("""COMPUTED_VALUE"""),331.0)</f>
        <v>331</v>
      </c>
      <c r="D646" s="3">
        <f>IFERROR(__xludf.DUMMYFUNCTION("""COMPUTED_VALUE"""),17.0)</f>
        <v>17</v>
      </c>
      <c r="E646" s="1" t="str">
        <f t="array" ref="E646">_xlfn.XLOOKUP(A646,Product!A:A,Product!B:B,"Bulunamadı")</f>
        <v>History</v>
      </c>
      <c r="F646" s="1" t="str">
        <f t="array" ref="F646">_xlfn.XLOOKUP(A646,Product!A:A,Product!C:C,"Bulunamadı")</f>
        <v>Ancient History</v>
      </c>
      <c r="G646" s="2" t="str">
        <f t="array" ref="G646">_xlfn.XLOOKUP(A647,Product!A:A,Product!D:D,"Bulunamadı")</f>
        <v>Bright Sky Publishing</v>
      </c>
      <c r="H646" s="2">
        <f t="array" ref="H646">_xlfn.XLOOKUP(A648,Product!A:A,Product!E:E,"Bulunamadı")</f>
        <v>2.43</v>
      </c>
      <c r="I646" s="2" t="str">
        <f t="shared" si="1"/>
        <v>81383 - History - Ancient History</v>
      </c>
      <c r="J646" s="2">
        <f t="shared" si="2"/>
        <v>41.31</v>
      </c>
      <c r="K646" s="17">
        <f t="shared" si="3"/>
        <v>1</v>
      </c>
      <c r="L646" s="18"/>
    </row>
    <row r="647" hidden="1">
      <c r="A647" s="2">
        <f>IFERROR(__xludf.DUMMYFUNCTION("""COMPUTED_VALUE"""),81430.0)</f>
        <v>81430</v>
      </c>
      <c r="B647" s="2">
        <f>IFERROR(__xludf.DUMMYFUNCTION("""COMPUTED_VALUE"""),1.0)</f>
        <v>1</v>
      </c>
      <c r="C647" s="2">
        <f>IFERROR(__xludf.DUMMYFUNCTION("""COMPUTED_VALUE"""),341.0)</f>
        <v>341</v>
      </c>
      <c r="D647" s="3">
        <f>IFERROR(__xludf.DUMMYFUNCTION("""COMPUTED_VALUE"""),280.0)</f>
        <v>280</v>
      </c>
      <c r="E647" s="1" t="str">
        <f t="array" ref="E647">_xlfn.XLOOKUP(A647,Product!A:A,Product!B:B,"Bulunamadı")</f>
        <v>History</v>
      </c>
      <c r="F647" s="1" t="str">
        <f t="array" ref="F647">_xlfn.XLOOKUP(A647,Product!A:A,Product!C:C,"Bulunamadı")</f>
        <v>Ancient History</v>
      </c>
      <c r="G647" s="2" t="str">
        <f t="array" ref="G647">_xlfn.XLOOKUP(A648,Product!A:A,Product!D:D,"Bulunamadı")</f>
        <v>Oakwood Books</v>
      </c>
      <c r="H647" s="2">
        <f t="array" ref="H647">_xlfn.XLOOKUP(A649,Product!A:A,Product!E:E,"Bulunamadı")</f>
        <v>2.53</v>
      </c>
      <c r="I647" s="2" t="str">
        <f t="shared" si="1"/>
        <v>81430 - History - Ancient History</v>
      </c>
      <c r="J647" s="2">
        <f t="shared" si="2"/>
        <v>708.4</v>
      </c>
      <c r="K647" s="17">
        <f t="shared" si="3"/>
        <v>1</v>
      </c>
      <c r="L647" s="18"/>
    </row>
    <row r="648" hidden="1">
      <c r="A648" s="2">
        <f>IFERROR(__xludf.DUMMYFUNCTION("""COMPUTED_VALUE"""),84325.0)</f>
        <v>84325</v>
      </c>
      <c r="B648" s="2">
        <f>IFERROR(__xludf.DUMMYFUNCTION("""COMPUTED_VALUE"""),0.0)</f>
        <v>0</v>
      </c>
      <c r="C648" s="2">
        <f>IFERROR(__xludf.DUMMYFUNCTION("""COMPUTED_VALUE"""),273.0)</f>
        <v>273</v>
      </c>
      <c r="D648" s="3">
        <f>IFERROR(__xludf.DUMMYFUNCTION("""COMPUTED_VALUE"""),100.0)</f>
        <v>100</v>
      </c>
      <c r="E648" s="1" t="str">
        <f t="array" ref="E648">_xlfn.XLOOKUP(A648,Product!A:A,Product!B:B,"Bulunamadı")</f>
        <v>History</v>
      </c>
      <c r="F648" s="1" t="str">
        <f t="array" ref="F648">_xlfn.XLOOKUP(A648,Product!A:A,Product!C:C,"Bulunamadı")</f>
        <v>Ancient History</v>
      </c>
      <c r="G648" s="2" t="str">
        <f t="array" ref="G648">_xlfn.XLOOKUP(A649,Product!A:A,Product!D:D,"Bulunamadı")</f>
        <v>Oakwood Books</v>
      </c>
      <c r="H648" s="2">
        <f t="array" ref="H648">_xlfn.XLOOKUP(A650,Product!A:A,Product!E:E,"Bulunamadı")</f>
        <v>4.15</v>
      </c>
      <c r="I648" s="2" t="str">
        <f t="shared" si="1"/>
        <v>84325 - History - Ancient History</v>
      </c>
      <c r="J648" s="2">
        <f t="shared" si="2"/>
        <v>415</v>
      </c>
      <c r="K648" s="17">
        <f t="shared" si="3"/>
        <v>1</v>
      </c>
      <c r="L648" s="18"/>
    </row>
    <row r="649" hidden="1">
      <c r="A649" s="2">
        <f>IFERROR(__xludf.DUMMYFUNCTION("""COMPUTED_VALUE"""),127244.0)</f>
        <v>127244</v>
      </c>
      <c r="B649" s="2">
        <f>IFERROR(__xludf.DUMMYFUNCTION("""COMPUTED_VALUE"""),0.0)</f>
        <v>0</v>
      </c>
      <c r="C649" s="2">
        <f>IFERROR(__xludf.DUMMYFUNCTION("""COMPUTED_VALUE"""),90.0)</f>
        <v>90</v>
      </c>
      <c r="D649" s="3">
        <f>IFERROR(__xludf.DUMMYFUNCTION("""COMPUTED_VALUE"""),34.0)</f>
        <v>34</v>
      </c>
      <c r="E649" s="1" t="str">
        <f t="array" ref="E649">_xlfn.XLOOKUP(A649,Product!A:A,Product!B:B,"Bulunamadı")</f>
        <v>History</v>
      </c>
      <c r="F649" s="1" t="str">
        <f t="array" ref="F649">_xlfn.XLOOKUP(A649,Product!A:A,Product!C:C,"Bulunamadı")</f>
        <v>Ancient History</v>
      </c>
      <c r="G649" s="2" t="str">
        <f t="array" ref="G649">_xlfn.XLOOKUP(A650,Product!A:A,Product!D:D,"Bulunamadı")</f>
        <v>Oakwood Books</v>
      </c>
      <c r="H649" s="2">
        <f t="array" ref="H649">_xlfn.XLOOKUP(A651,Product!A:A,Product!E:E,"Bulunamadı")</f>
        <v>1.97</v>
      </c>
      <c r="I649" s="2" t="str">
        <f t="shared" si="1"/>
        <v>127244 - History - Ancient History</v>
      </c>
      <c r="J649" s="2">
        <f t="shared" si="2"/>
        <v>66.98</v>
      </c>
      <c r="K649" s="17">
        <f t="shared" si="3"/>
        <v>1</v>
      </c>
      <c r="L649" s="18"/>
    </row>
    <row r="650" hidden="1">
      <c r="A650" s="2">
        <f>IFERROR(__xludf.DUMMYFUNCTION("""COMPUTED_VALUE"""),15865.0)</f>
        <v>15865</v>
      </c>
      <c r="B650" s="2">
        <f>IFERROR(__xludf.DUMMYFUNCTION("""COMPUTED_VALUE"""),0.0)</f>
        <v>0</v>
      </c>
      <c r="C650" s="2">
        <f>IFERROR(__xludf.DUMMYFUNCTION("""COMPUTED_VALUE"""),963.0)</f>
        <v>963</v>
      </c>
      <c r="D650" s="3">
        <f>IFERROR(__xludf.DUMMYFUNCTION("""COMPUTED_VALUE"""),395.0)</f>
        <v>395</v>
      </c>
      <c r="E650" s="1" t="str">
        <f t="array" ref="E650">_xlfn.XLOOKUP(A650,Product!A:A,Product!B:B,"Bulunamadı")</f>
        <v>History</v>
      </c>
      <c r="F650" s="1" t="str">
        <f t="array" ref="F650">_xlfn.XLOOKUP(A650,Product!A:A,Product!C:C,"Bulunamadı")</f>
        <v>Ancient History</v>
      </c>
      <c r="G650" s="2" t="str">
        <f t="array" ref="G650">_xlfn.XLOOKUP(A651,Product!A:A,Product!D:D,"Bulunamadı")</f>
        <v>Oakwood Books</v>
      </c>
      <c r="H650" s="2">
        <f t="array" ref="H650">_xlfn.XLOOKUP(A652,Product!A:A,Product!E:E,"Bulunamadı")</f>
        <v>1.94</v>
      </c>
      <c r="I650" s="2" t="str">
        <f t="shared" si="1"/>
        <v>15865 - History - Ancient History</v>
      </c>
      <c r="J650" s="2">
        <f t="shared" si="2"/>
        <v>766.3</v>
      </c>
      <c r="K650" s="17">
        <f t="shared" si="3"/>
        <v>1</v>
      </c>
      <c r="L650" s="18"/>
    </row>
    <row r="651" hidden="1">
      <c r="A651" s="2">
        <f>IFERROR(__xludf.DUMMYFUNCTION("""COMPUTED_VALUE"""),121996.0)</f>
        <v>121996</v>
      </c>
      <c r="B651" s="2">
        <f>IFERROR(__xludf.DUMMYFUNCTION("""COMPUTED_VALUE"""),1.0)</f>
        <v>1</v>
      </c>
      <c r="C651" s="2">
        <f>IFERROR(__xludf.DUMMYFUNCTION("""COMPUTED_VALUE"""),900.0)</f>
        <v>900</v>
      </c>
      <c r="D651" s="3">
        <f>IFERROR(__xludf.DUMMYFUNCTION("""COMPUTED_VALUE"""),198.0)</f>
        <v>198</v>
      </c>
      <c r="E651" s="1" t="str">
        <f t="array" ref="E651">_xlfn.XLOOKUP(A651,Product!A:A,Product!B:B,"Bulunamadı")</f>
        <v>History</v>
      </c>
      <c r="F651" s="1" t="str">
        <f t="array" ref="F651">_xlfn.XLOOKUP(A651,Product!A:A,Product!C:C,"Bulunamadı")</f>
        <v>Ancient History</v>
      </c>
      <c r="G651" s="2" t="str">
        <f t="array" ref="G651">_xlfn.XLOOKUP(A652,Product!A:A,Product!D:D,"Bulunamadı")</f>
        <v>Oakwood Books</v>
      </c>
      <c r="H651" s="2">
        <f t="array" ref="H651">_xlfn.XLOOKUP(A653,Product!A:A,Product!E:E,"Bulunamadı")</f>
        <v>4.52</v>
      </c>
      <c r="I651" s="2" t="str">
        <f t="shared" si="1"/>
        <v>121996 - History - Ancient History</v>
      </c>
      <c r="J651" s="2">
        <f t="shared" si="2"/>
        <v>894.96</v>
      </c>
      <c r="K651" s="17">
        <f t="shared" si="3"/>
        <v>1</v>
      </c>
      <c r="L651" s="18"/>
    </row>
    <row r="652" hidden="1">
      <c r="A652" s="2">
        <f>IFERROR(__xludf.DUMMYFUNCTION("""COMPUTED_VALUE"""),93083.0)</f>
        <v>93083</v>
      </c>
      <c r="B652" s="2">
        <f>IFERROR(__xludf.DUMMYFUNCTION("""COMPUTED_VALUE"""),0.0)</f>
        <v>0</v>
      </c>
      <c r="C652" s="2">
        <f>IFERROR(__xludf.DUMMYFUNCTION("""COMPUTED_VALUE"""),894.0)</f>
        <v>894</v>
      </c>
      <c r="D652" s="3">
        <f>IFERROR(__xludf.DUMMYFUNCTION("""COMPUTED_VALUE"""),581.0)</f>
        <v>581</v>
      </c>
      <c r="E652" s="1" t="str">
        <f t="array" ref="E652">_xlfn.XLOOKUP(A652,Product!A:A,Product!B:B,"Bulunamadı")</f>
        <v>History</v>
      </c>
      <c r="F652" s="1" t="str">
        <f t="array" ref="F652">_xlfn.XLOOKUP(A652,Product!A:A,Product!C:C,"Bulunamadı")</f>
        <v>Ancient History</v>
      </c>
      <c r="G652" s="2" t="str">
        <f t="array" ref="G652">_xlfn.XLOOKUP(A653,Product!A:A,Product!D:D,"Bulunamadı")</f>
        <v>Oakwood Books</v>
      </c>
      <c r="H652" s="2">
        <f t="array" ref="H652">_xlfn.XLOOKUP(A654,Product!A:A,Product!E:E,"Bulunamadı")</f>
        <v>4.37</v>
      </c>
      <c r="I652" s="2" t="str">
        <f t="shared" si="1"/>
        <v>93083 - History - Ancient History</v>
      </c>
      <c r="J652" s="2">
        <f t="shared" si="2"/>
        <v>2538.97</v>
      </c>
      <c r="K652" s="17">
        <f t="shared" si="3"/>
        <v>1</v>
      </c>
      <c r="L652" s="18"/>
    </row>
    <row r="653" hidden="1">
      <c r="A653" s="2">
        <f>IFERROR(__xludf.DUMMYFUNCTION("""COMPUTED_VALUE"""),3426.0)</f>
        <v>3426</v>
      </c>
      <c r="B653" s="2">
        <f>IFERROR(__xludf.DUMMYFUNCTION("""COMPUTED_VALUE"""),1.0)</f>
        <v>1</v>
      </c>
      <c r="C653" s="2">
        <f>IFERROR(__xludf.DUMMYFUNCTION("""COMPUTED_VALUE"""),461.0)</f>
        <v>461</v>
      </c>
      <c r="D653" s="3">
        <f>IFERROR(__xludf.DUMMYFUNCTION("""COMPUTED_VALUE"""),14.0)</f>
        <v>14</v>
      </c>
      <c r="E653" s="1" t="str">
        <f t="array" ref="E653">_xlfn.XLOOKUP(A653,Product!A:A,Product!B:B,"Bulunamadı")</f>
        <v>History</v>
      </c>
      <c r="F653" s="1" t="str">
        <f t="array" ref="F653">_xlfn.XLOOKUP(A653,Product!A:A,Product!C:C,"Bulunamadı")</f>
        <v>Ancient History</v>
      </c>
      <c r="G653" s="2" t="str">
        <f t="array" ref="G653">_xlfn.XLOOKUP(A654,Product!A:A,Product!D:D,"Bulunamadı")</f>
        <v>Oakwood Books</v>
      </c>
      <c r="H653" s="2">
        <f t="array" ref="H653">_xlfn.XLOOKUP(A655,Product!A:A,Product!E:E,"Bulunamadı")</f>
        <v>2.72</v>
      </c>
      <c r="I653" s="2" t="str">
        <f t="shared" si="1"/>
        <v>3426 - History - Ancient History</v>
      </c>
      <c r="J653" s="2">
        <f t="shared" si="2"/>
        <v>38.08</v>
      </c>
      <c r="K653" s="17">
        <f t="shared" si="3"/>
        <v>1</v>
      </c>
      <c r="L653" s="18"/>
    </row>
    <row r="654" hidden="1">
      <c r="A654" s="2">
        <f>IFERROR(__xludf.DUMMYFUNCTION("""COMPUTED_VALUE"""),111349.0)</f>
        <v>111349</v>
      </c>
      <c r="B654" s="2">
        <f>IFERROR(__xludf.DUMMYFUNCTION("""COMPUTED_VALUE"""),0.0)</f>
        <v>0</v>
      </c>
      <c r="C654" s="2">
        <f>IFERROR(__xludf.DUMMYFUNCTION("""COMPUTED_VALUE"""),904.0)</f>
        <v>904</v>
      </c>
      <c r="D654" s="3">
        <f>IFERROR(__xludf.DUMMYFUNCTION("""COMPUTED_VALUE"""),894.0)</f>
        <v>894</v>
      </c>
      <c r="E654" s="1" t="str">
        <f t="array" ref="E654">_xlfn.XLOOKUP(A654,Product!A:A,Product!B:B,"Bulunamadı")</f>
        <v>History</v>
      </c>
      <c r="F654" s="1" t="str">
        <f t="array" ref="F654">_xlfn.XLOOKUP(A654,Product!A:A,Product!C:C,"Bulunamadı")</f>
        <v>Ancient History</v>
      </c>
      <c r="G654" s="2" t="str">
        <f t="array" ref="G654">_xlfn.XLOOKUP(A655,Product!A:A,Product!D:D,"Bulunamadı")</f>
        <v>Oakwood Books</v>
      </c>
      <c r="H654" s="2">
        <f t="array" ref="H654">_xlfn.XLOOKUP(A656,Product!A:A,Product!E:E,"Bulunamadı")</f>
        <v>2.22</v>
      </c>
      <c r="I654" s="2" t="str">
        <f t="shared" si="1"/>
        <v>111349 - History - Ancient History</v>
      </c>
      <c r="J654" s="2">
        <f t="shared" si="2"/>
        <v>1984.68</v>
      </c>
      <c r="K654" s="17">
        <f t="shared" si="3"/>
        <v>1</v>
      </c>
      <c r="L654" s="18"/>
    </row>
    <row r="655" hidden="1">
      <c r="A655" s="2">
        <f>IFERROR(__xludf.DUMMYFUNCTION("""COMPUTED_VALUE"""),74917.0)</f>
        <v>74917</v>
      </c>
      <c r="B655" s="2">
        <f>IFERROR(__xludf.DUMMYFUNCTION("""COMPUTED_VALUE"""),0.0)</f>
        <v>0</v>
      </c>
      <c r="C655" s="2">
        <f>IFERROR(__xludf.DUMMYFUNCTION("""COMPUTED_VALUE"""),845.0)</f>
        <v>845</v>
      </c>
      <c r="D655" s="3">
        <f>IFERROR(__xludf.DUMMYFUNCTION("""COMPUTED_VALUE"""),191.0)</f>
        <v>191</v>
      </c>
      <c r="E655" s="1" t="str">
        <f t="array" ref="E655">_xlfn.XLOOKUP(A655,Product!A:A,Product!B:B,"Bulunamadı")</f>
        <v>History</v>
      </c>
      <c r="F655" s="1" t="str">
        <f t="array" ref="F655">_xlfn.XLOOKUP(A655,Product!A:A,Product!C:C,"Bulunamadı")</f>
        <v>Ancient History</v>
      </c>
      <c r="G655" s="2" t="str">
        <f t="array" ref="G655">_xlfn.XLOOKUP(A656,Product!A:A,Product!D:D,"Bulunamadı")</f>
        <v>Oakwood Books</v>
      </c>
      <c r="H655" s="2">
        <f t="array" ref="H655">_xlfn.XLOOKUP(A657,Product!A:A,Product!E:E,"Bulunamadı")</f>
        <v>3.87</v>
      </c>
      <c r="I655" s="2" t="str">
        <f t="shared" si="1"/>
        <v>74917 - History - Ancient History</v>
      </c>
      <c r="J655" s="2">
        <f t="shared" si="2"/>
        <v>739.17</v>
      </c>
      <c r="K655" s="17">
        <f t="shared" si="3"/>
        <v>1</v>
      </c>
      <c r="L655" s="18"/>
    </row>
    <row r="656" hidden="1">
      <c r="A656" s="2">
        <f>IFERROR(__xludf.DUMMYFUNCTION("""COMPUTED_VALUE"""),69127.0)</f>
        <v>69127</v>
      </c>
      <c r="B656" s="2">
        <f>IFERROR(__xludf.DUMMYFUNCTION("""COMPUTED_VALUE"""),1.0)</f>
        <v>1</v>
      </c>
      <c r="C656" s="2">
        <f>IFERROR(__xludf.DUMMYFUNCTION("""COMPUTED_VALUE"""),541.0)</f>
        <v>541</v>
      </c>
      <c r="D656" s="3">
        <f>IFERROR(__xludf.DUMMYFUNCTION("""COMPUTED_VALUE"""),369.0)</f>
        <v>369</v>
      </c>
      <c r="E656" s="1" t="str">
        <f t="array" ref="E656">_xlfn.XLOOKUP(A656,Product!A:A,Product!B:B,"Bulunamadı")</f>
        <v>History</v>
      </c>
      <c r="F656" s="1" t="str">
        <f t="array" ref="F656">_xlfn.XLOOKUP(A656,Product!A:A,Product!C:C,"Bulunamadı")</f>
        <v>Ancient History</v>
      </c>
      <c r="G656" s="2" t="str">
        <f t="array" ref="G656">_xlfn.XLOOKUP(A657,Product!A:A,Product!D:D,"Bulunamadı")</f>
        <v>Oakwood Books</v>
      </c>
      <c r="H656" s="2">
        <f t="array" ref="H656">_xlfn.XLOOKUP(A658,Product!A:A,Product!E:E,"Bulunamadı")</f>
        <v>3.13</v>
      </c>
      <c r="I656" s="2" t="str">
        <f t="shared" si="1"/>
        <v>69127 - History - Ancient History</v>
      </c>
      <c r="J656" s="2">
        <f t="shared" si="2"/>
        <v>1154.97</v>
      </c>
      <c r="K656" s="17">
        <f t="shared" si="3"/>
        <v>1</v>
      </c>
      <c r="L656" s="18"/>
    </row>
    <row r="657" hidden="1">
      <c r="A657" s="2">
        <f>IFERROR(__xludf.DUMMYFUNCTION("""COMPUTED_VALUE"""),84819.0)</f>
        <v>84819</v>
      </c>
      <c r="B657" s="2">
        <f>IFERROR(__xludf.DUMMYFUNCTION("""COMPUTED_VALUE"""),0.0)</f>
        <v>0</v>
      </c>
      <c r="C657" s="2">
        <f>IFERROR(__xludf.DUMMYFUNCTION("""COMPUTED_VALUE"""),536.0)</f>
        <v>536</v>
      </c>
      <c r="D657" s="3">
        <f>IFERROR(__xludf.DUMMYFUNCTION("""COMPUTED_VALUE"""),165.0)</f>
        <v>165</v>
      </c>
      <c r="E657" s="1" t="str">
        <f t="array" ref="E657">_xlfn.XLOOKUP(A657,Product!A:A,Product!B:B,"Bulunamadı")</f>
        <v>History</v>
      </c>
      <c r="F657" s="1" t="str">
        <f t="array" ref="F657">_xlfn.XLOOKUP(A657,Product!A:A,Product!C:C,"Bulunamadı")</f>
        <v>Ancient History</v>
      </c>
      <c r="G657" s="2" t="str">
        <f t="array" ref="G657">_xlfn.XLOOKUP(A658,Product!A:A,Product!D:D,"Bulunamadı")</f>
        <v>Oakwood Books</v>
      </c>
      <c r="H657" s="2">
        <f t="array" ref="H657">_xlfn.XLOOKUP(A659,Product!A:A,Product!E:E,"Bulunamadı")</f>
        <v>2.16</v>
      </c>
      <c r="I657" s="2" t="str">
        <f t="shared" si="1"/>
        <v>84819 - History - Ancient History</v>
      </c>
      <c r="J657" s="2">
        <f t="shared" si="2"/>
        <v>356.4</v>
      </c>
      <c r="K657" s="17">
        <f t="shared" si="3"/>
        <v>1</v>
      </c>
      <c r="L657" s="18"/>
    </row>
    <row r="658" hidden="1">
      <c r="A658" s="2">
        <f>IFERROR(__xludf.DUMMYFUNCTION("""COMPUTED_VALUE"""),104367.0)</f>
        <v>104367</v>
      </c>
      <c r="B658" s="2">
        <f>IFERROR(__xludf.DUMMYFUNCTION("""COMPUTED_VALUE"""),1.0)</f>
        <v>1</v>
      </c>
      <c r="C658" s="2">
        <f>IFERROR(__xludf.DUMMYFUNCTION("""COMPUTED_VALUE"""),391.0)</f>
        <v>391</v>
      </c>
      <c r="D658" s="3">
        <f>IFERROR(__xludf.DUMMYFUNCTION("""COMPUTED_VALUE"""),266.0)</f>
        <v>266</v>
      </c>
      <c r="E658" s="1" t="str">
        <f t="array" ref="E658">_xlfn.XLOOKUP(A658,Product!A:A,Product!B:B,"Bulunamadı")</f>
        <v>History</v>
      </c>
      <c r="F658" s="1" t="str">
        <f t="array" ref="F658">_xlfn.XLOOKUP(A658,Product!A:A,Product!C:C,"Bulunamadı")</f>
        <v>Ancient History</v>
      </c>
      <c r="G658" s="2" t="str">
        <f t="array" ref="G658">_xlfn.XLOOKUP(A659,Product!A:A,Product!D:D,"Bulunamadı")</f>
        <v>Oakwood Books</v>
      </c>
      <c r="H658" s="2">
        <f t="array" ref="H658">_xlfn.XLOOKUP(A660,Product!A:A,Product!E:E,"Bulunamadı")</f>
        <v>1.89</v>
      </c>
      <c r="I658" s="2" t="str">
        <f t="shared" si="1"/>
        <v>104367 - History - Ancient History</v>
      </c>
      <c r="J658" s="2">
        <f t="shared" si="2"/>
        <v>502.74</v>
      </c>
      <c r="K658" s="17">
        <f t="shared" si="3"/>
        <v>1</v>
      </c>
      <c r="L658" s="18"/>
    </row>
    <row r="659" hidden="1">
      <c r="A659" s="2">
        <f>IFERROR(__xludf.DUMMYFUNCTION("""COMPUTED_VALUE"""),121997.0)</f>
        <v>121997</v>
      </c>
      <c r="B659" s="2">
        <f>IFERROR(__xludf.DUMMYFUNCTION("""COMPUTED_VALUE"""),0.0)</f>
        <v>0</v>
      </c>
      <c r="C659" s="2">
        <f>IFERROR(__xludf.DUMMYFUNCTION("""COMPUTED_VALUE"""),598.0)</f>
        <v>598</v>
      </c>
      <c r="D659" s="3">
        <f>IFERROR(__xludf.DUMMYFUNCTION("""COMPUTED_VALUE"""),102.0)</f>
        <v>102</v>
      </c>
      <c r="E659" s="1" t="str">
        <f t="array" ref="E659">_xlfn.XLOOKUP(A659,Product!A:A,Product!B:B,"Bulunamadı")</f>
        <v>History</v>
      </c>
      <c r="F659" s="1" t="str">
        <f t="array" ref="F659">_xlfn.XLOOKUP(A659,Product!A:A,Product!C:C,"Bulunamadı")</f>
        <v>Ancient History</v>
      </c>
      <c r="G659" s="2" t="str">
        <f t="array" ref="G659">_xlfn.XLOOKUP(A660,Product!A:A,Product!D:D,"Bulunamadı")</f>
        <v>Oakwood Books</v>
      </c>
      <c r="H659" s="2">
        <f t="array" ref="H659">_xlfn.XLOOKUP(A661,Product!A:A,Product!E:E,"Bulunamadı")</f>
        <v>2</v>
      </c>
      <c r="I659" s="2" t="str">
        <f t="shared" si="1"/>
        <v>121997 - History - Ancient History</v>
      </c>
      <c r="J659" s="2">
        <f t="shared" si="2"/>
        <v>204</v>
      </c>
      <c r="K659" s="17">
        <f t="shared" si="3"/>
        <v>1</v>
      </c>
      <c r="L659" s="18"/>
    </row>
    <row r="660" hidden="1">
      <c r="A660" s="2">
        <f>IFERROR(__xludf.DUMMYFUNCTION("""COMPUTED_VALUE"""),117499.0)</f>
        <v>117499</v>
      </c>
      <c r="B660" s="2">
        <f>IFERROR(__xludf.DUMMYFUNCTION("""COMPUTED_VALUE"""),1.0)</f>
        <v>1</v>
      </c>
      <c r="C660" s="2">
        <f>IFERROR(__xludf.DUMMYFUNCTION("""COMPUTED_VALUE"""),651.0)</f>
        <v>651</v>
      </c>
      <c r="D660" s="3">
        <f>IFERROR(__xludf.DUMMYFUNCTION("""COMPUTED_VALUE"""),298.0)</f>
        <v>298</v>
      </c>
      <c r="E660" s="1" t="str">
        <f t="array" ref="E660">_xlfn.XLOOKUP(A660,Product!A:A,Product!B:B,"Bulunamadı")</f>
        <v>History</v>
      </c>
      <c r="F660" s="1" t="str">
        <f t="array" ref="F660">_xlfn.XLOOKUP(A660,Product!A:A,Product!C:C,"Bulunamadı")</f>
        <v>Ancient History</v>
      </c>
      <c r="G660" s="2" t="str">
        <f t="array" ref="G660">_xlfn.XLOOKUP(A661,Product!A:A,Product!D:D,"Bulunamadı")</f>
        <v>Oakwood Books</v>
      </c>
      <c r="H660" s="2">
        <f t="array" ref="H660">_xlfn.XLOOKUP(A662,Product!A:A,Product!E:E,"Bulunamadı")</f>
        <v>3.66</v>
      </c>
      <c r="I660" s="2" t="str">
        <f t="shared" si="1"/>
        <v>117499 - History - Ancient History</v>
      </c>
      <c r="J660" s="2">
        <f t="shared" si="2"/>
        <v>1090.68</v>
      </c>
      <c r="K660" s="17">
        <f t="shared" si="3"/>
        <v>1</v>
      </c>
      <c r="L660" s="18"/>
    </row>
    <row r="661" hidden="1">
      <c r="A661" s="2">
        <f>IFERROR(__xludf.DUMMYFUNCTION("""COMPUTED_VALUE"""),69125.0)</f>
        <v>69125</v>
      </c>
      <c r="B661" s="2">
        <f>IFERROR(__xludf.DUMMYFUNCTION("""COMPUTED_VALUE"""),1.0)</f>
        <v>1</v>
      </c>
      <c r="C661" s="2">
        <f>IFERROR(__xludf.DUMMYFUNCTION("""COMPUTED_VALUE"""),413.0)</f>
        <v>413</v>
      </c>
      <c r="D661" s="3">
        <f>IFERROR(__xludf.DUMMYFUNCTION("""COMPUTED_VALUE"""),301.0)</f>
        <v>301</v>
      </c>
      <c r="E661" s="1" t="str">
        <f t="array" ref="E661">_xlfn.XLOOKUP(A661,Product!A:A,Product!B:B,"Bulunamadı")</f>
        <v>History</v>
      </c>
      <c r="F661" s="1" t="str">
        <f t="array" ref="F661">_xlfn.XLOOKUP(A661,Product!A:A,Product!C:C,"Bulunamadı")</f>
        <v>Ancient History</v>
      </c>
      <c r="G661" s="2" t="str">
        <f t="array" ref="G661">_xlfn.XLOOKUP(A662,Product!A:A,Product!D:D,"Bulunamadı")</f>
        <v>Oakwood Books</v>
      </c>
      <c r="H661" s="2">
        <f t="array" ref="H661">_xlfn.XLOOKUP(A663,Product!A:A,Product!E:E,"Bulunamadı")</f>
        <v>4.84</v>
      </c>
      <c r="I661" s="2" t="str">
        <f t="shared" si="1"/>
        <v>69125 - History - Ancient History</v>
      </c>
      <c r="J661" s="2">
        <f t="shared" si="2"/>
        <v>1456.84</v>
      </c>
      <c r="K661" s="17">
        <f t="shared" si="3"/>
        <v>1</v>
      </c>
      <c r="L661" s="18"/>
    </row>
    <row r="662" hidden="1">
      <c r="A662" s="2">
        <f>IFERROR(__xludf.DUMMYFUNCTION("""COMPUTED_VALUE"""),19850.0)</f>
        <v>19850</v>
      </c>
      <c r="B662" s="2">
        <f>IFERROR(__xludf.DUMMYFUNCTION("""COMPUTED_VALUE"""),0.0)</f>
        <v>0</v>
      </c>
      <c r="C662" s="2">
        <f>IFERROR(__xludf.DUMMYFUNCTION("""COMPUTED_VALUE"""),440.0)</f>
        <v>440</v>
      </c>
      <c r="D662" s="3">
        <f>IFERROR(__xludf.DUMMYFUNCTION("""COMPUTED_VALUE"""),43.0)</f>
        <v>43</v>
      </c>
      <c r="E662" s="1" t="str">
        <f t="array" ref="E662">_xlfn.XLOOKUP(A662,Product!A:A,Product!B:B,"Bulunamadı")</f>
        <v>History</v>
      </c>
      <c r="F662" s="1" t="str">
        <f t="array" ref="F662">_xlfn.XLOOKUP(A662,Product!A:A,Product!C:C,"Bulunamadı")</f>
        <v>Ancient History</v>
      </c>
      <c r="G662" s="2" t="str">
        <f t="array" ref="G662">_xlfn.XLOOKUP(A663,Product!A:A,Product!D:D,"Bulunamadı")</f>
        <v>Oakwood Books</v>
      </c>
      <c r="H662" s="2">
        <f t="array" ref="H662">_xlfn.XLOOKUP(A664,Product!A:A,Product!E:E,"Bulunamadı")</f>
        <v>4</v>
      </c>
      <c r="I662" s="2" t="str">
        <f t="shared" si="1"/>
        <v>19850 - History - Ancient History</v>
      </c>
      <c r="J662" s="2">
        <f t="shared" si="2"/>
        <v>172</v>
      </c>
      <c r="K662" s="17">
        <f t="shared" si="3"/>
        <v>1</v>
      </c>
      <c r="L662" s="18"/>
    </row>
    <row r="663" hidden="1">
      <c r="A663" s="2">
        <f>IFERROR(__xludf.DUMMYFUNCTION("""COMPUTED_VALUE"""),3425.0)</f>
        <v>3425</v>
      </c>
      <c r="B663" s="2">
        <f>IFERROR(__xludf.DUMMYFUNCTION("""COMPUTED_VALUE"""),1.0)</f>
        <v>1</v>
      </c>
      <c r="C663" s="2">
        <f>IFERROR(__xludf.DUMMYFUNCTION("""COMPUTED_VALUE"""),466.0)</f>
        <v>466</v>
      </c>
      <c r="D663" s="3">
        <f>IFERROR(__xludf.DUMMYFUNCTION("""COMPUTED_VALUE"""),221.0)</f>
        <v>221</v>
      </c>
      <c r="E663" s="1" t="str">
        <f t="array" ref="E663">_xlfn.XLOOKUP(A663,Product!A:A,Product!B:B,"Bulunamadı")</f>
        <v>History</v>
      </c>
      <c r="F663" s="1" t="str">
        <f t="array" ref="F663">_xlfn.XLOOKUP(A663,Product!A:A,Product!C:C,"Bulunamadı")</f>
        <v>Ancient History</v>
      </c>
      <c r="G663" s="2" t="str">
        <f t="array" ref="G663">_xlfn.XLOOKUP(A664,Product!A:A,Product!D:D,"Bulunamadı")</f>
        <v>Oakwood Books</v>
      </c>
      <c r="H663" s="2">
        <f t="array" ref="H663">_xlfn.XLOOKUP(A665,Product!A:A,Product!E:E,"Bulunamadı")</f>
        <v>0.99</v>
      </c>
      <c r="I663" s="2" t="str">
        <f t="shared" si="1"/>
        <v>3425 - History - Ancient History</v>
      </c>
      <c r="J663" s="2">
        <f t="shared" si="2"/>
        <v>218.79</v>
      </c>
      <c r="K663" s="17">
        <f t="shared" si="3"/>
        <v>1</v>
      </c>
      <c r="L663" s="18"/>
    </row>
    <row r="664" hidden="1">
      <c r="A664" s="2">
        <f>IFERROR(__xludf.DUMMYFUNCTION("""COMPUTED_VALUE"""),84913.0)</f>
        <v>84913</v>
      </c>
      <c r="B664" s="2">
        <f>IFERROR(__xludf.DUMMYFUNCTION("""COMPUTED_VALUE"""),0.0)</f>
        <v>0</v>
      </c>
      <c r="C664" s="2">
        <f>IFERROR(__xludf.DUMMYFUNCTION("""COMPUTED_VALUE"""),256.0)</f>
        <v>256</v>
      </c>
      <c r="D664" s="3">
        <f>IFERROR(__xludf.DUMMYFUNCTION("""COMPUTED_VALUE"""),189.0)</f>
        <v>189</v>
      </c>
      <c r="E664" s="1" t="str">
        <f t="array" ref="E664">_xlfn.XLOOKUP(A664,Product!A:A,Product!B:B,"Bulunamadı")</f>
        <v>History</v>
      </c>
      <c r="F664" s="1" t="str">
        <f t="array" ref="F664">_xlfn.XLOOKUP(A664,Product!A:A,Product!C:C,"Bulunamadı")</f>
        <v>Ancient History</v>
      </c>
      <c r="G664" s="2" t="str">
        <f t="array" ref="G664">_xlfn.XLOOKUP(A665,Product!A:A,Product!D:D,"Bulunamadı")</f>
        <v>Riverbend Press</v>
      </c>
      <c r="H664" s="2">
        <f t="array" ref="H664">_xlfn.XLOOKUP(A666,Product!A:A,Product!E:E,"Bulunamadı")</f>
        <v>1.91</v>
      </c>
      <c r="I664" s="2" t="str">
        <f t="shared" si="1"/>
        <v>84913 - History - Ancient History</v>
      </c>
      <c r="J664" s="2">
        <f t="shared" si="2"/>
        <v>360.99</v>
      </c>
      <c r="K664" s="17">
        <f t="shared" si="3"/>
        <v>1</v>
      </c>
      <c r="L664" s="18"/>
    </row>
    <row r="665" hidden="1">
      <c r="A665" s="2">
        <f>IFERROR(__xludf.DUMMYFUNCTION("""COMPUTED_VALUE"""),120378.0)</f>
        <v>120378</v>
      </c>
      <c r="B665" s="2">
        <f>IFERROR(__xludf.DUMMYFUNCTION("""COMPUTED_VALUE"""),1.0)</f>
        <v>1</v>
      </c>
      <c r="C665" s="2">
        <f>IFERROR(__xludf.DUMMYFUNCTION("""COMPUTED_VALUE"""),808.0)</f>
        <v>808</v>
      </c>
      <c r="D665" s="3">
        <f>IFERROR(__xludf.DUMMYFUNCTION("""COMPUTED_VALUE"""),149.0)</f>
        <v>149</v>
      </c>
      <c r="E665" s="1" t="str">
        <f t="array" ref="E665">_xlfn.XLOOKUP(A665,Product!A:A,Product!B:B,"Bulunamadı")</f>
        <v>Fiction</v>
      </c>
      <c r="F665" s="1" t="str">
        <f t="array" ref="F665">_xlfn.XLOOKUP(A665,Product!A:A,Product!C:C,"Bulunamadı")</f>
        <v>Medieval History</v>
      </c>
      <c r="G665" s="2" t="str">
        <f t="array" ref="G665">_xlfn.XLOOKUP(A666,Product!A:A,Product!D:D,"Bulunamadı")</f>
        <v>Riverbend Press</v>
      </c>
      <c r="H665" s="2">
        <f t="array" ref="H665">_xlfn.XLOOKUP(A667,Product!A:A,Product!E:E,"Bulunamadı")</f>
        <v>2.53</v>
      </c>
      <c r="I665" s="2" t="str">
        <f t="shared" si="1"/>
        <v>120378 - Fiction - Medieval History</v>
      </c>
      <c r="J665" s="2">
        <f t="shared" si="2"/>
        <v>376.97</v>
      </c>
      <c r="K665" s="17">
        <f t="shared" si="3"/>
        <v>1</v>
      </c>
      <c r="L665" s="18"/>
    </row>
    <row r="666" hidden="1">
      <c r="A666" s="2">
        <f>IFERROR(__xludf.DUMMYFUNCTION("""COMPUTED_VALUE"""),5905.0)</f>
        <v>5905</v>
      </c>
      <c r="B666" s="2">
        <f>IFERROR(__xludf.DUMMYFUNCTION("""COMPUTED_VALUE"""),1.0)</f>
        <v>1</v>
      </c>
      <c r="C666" s="2">
        <f>IFERROR(__xludf.DUMMYFUNCTION("""COMPUTED_VALUE"""),229.0)</f>
        <v>229</v>
      </c>
      <c r="D666" s="3">
        <f>IFERROR(__xludf.DUMMYFUNCTION("""COMPUTED_VALUE"""),115.0)</f>
        <v>115</v>
      </c>
      <c r="E666" s="1" t="str">
        <f t="array" ref="E666">_xlfn.XLOOKUP(A666,Product!A:A,Product!B:B,"Bulunamadı")</f>
        <v>Fiction</v>
      </c>
      <c r="F666" s="1" t="str">
        <f t="array" ref="F666">_xlfn.XLOOKUP(A666,Product!A:A,Product!C:C,"Bulunamadı")</f>
        <v>Medieval History</v>
      </c>
      <c r="G666" s="2" t="str">
        <f t="array" ref="G666">_xlfn.XLOOKUP(A667,Product!A:A,Product!D:D,"Bulunamadı")</f>
        <v>Riverbend Press</v>
      </c>
      <c r="H666" s="2">
        <f t="array" ref="H666">_xlfn.XLOOKUP(A668,Product!A:A,Product!E:E,"Bulunamadı")</f>
        <v>3.43</v>
      </c>
      <c r="I666" s="2" t="str">
        <f t="shared" si="1"/>
        <v>5905 - Fiction - Medieval History</v>
      </c>
      <c r="J666" s="2">
        <f t="shared" si="2"/>
        <v>394.45</v>
      </c>
      <c r="K666" s="17">
        <f t="shared" si="3"/>
        <v>1</v>
      </c>
      <c r="L666" s="18"/>
    </row>
    <row r="667" hidden="1">
      <c r="A667" s="2">
        <f>IFERROR(__xludf.DUMMYFUNCTION("""COMPUTED_VALUE"""),23213.0)</f>
        <v>23213</v>
      </c>
      <c r="B667" s="2">
        <f>IFERROR(__xludf.DUMMYFUNCTION("""COMPUTED_VALUE"""),1.0)</f>
        <v>1</v>
      </c>
      <c r="C667" s="2">
        <f>IFERROR(__xludf.DUMMYFUNCTION("""COMPUTED_VALUE"""),394.0)</f>
        <v>394</v>
      </c>
      <c r="D667" s="3">
        <f>IFERROR(__xludf.DUMMYFUNCTION("""COMPUTED_VALUE"""),139.0)</f>
        <v>139</v>
      </c>
      <c r="E667" s="1" t="str">
        <f t="array" ref="E667">_xlfn.XLOOKUP(A667,Product!A:A,Product!B:B,"Bulunamadı")</f>
        <v>Fiction</v>
      </c>
      <c r="F667" s="1" t="str">
        <f t="array" ref="F667">_xlfn.XLOOKUP(A667,Product!A:A,Product!C:C,"Bulunamadı")</f>
        <v>Medieval History</v>
      </c>
      <c r="G667" s="2" t="str">
        <f t="array" ref="G667">_xlfn.XLOOKUP(A668,Product!A:A,Product!D:D,"Bulunamadı")</f>
        <v>Riverbend Press</v>
      </c>
      <c r="H667" s="2">
        <f t="array" ref="H667">_xlfn.XLOOKUP(A669,Product!A:A,Product!E:E,"Bulunamadı")</f>
        <v>1.85</v>
      </c>
      <c r="I667" s="2" t="str">
        <f t="shared" si="1"/>
        <v>23213 - Fiction - Medieval History</v>
      </c>
      <c r="J667" s="2">
        <f t="shared" si="2"/>
        <v>257.15</v>
      </c>
      <c r="K667" s="17">
        <f t="shared" si="3"/>
        <v>1</v>
      </c>
      <c r="L667" s="18"/>
    </row>
    <row r="668" hidden="1">
      <c r="A668" s="2">
        <f>IFERROR(__xludf.DUMMYFUNCTION("""COMPUTED_VALUE"""),47168.0)</f>
        <v>47168</v>
      </c>
      <c r="B668" s="2">
        <f>IFERROR(__xludf.DUMMYFUNCTION("""COMPUTED_VALUE"""),0.0)</f>
        <v>0</v>
      </c>
      <c r="C668" s="2">
        <f>IFERROR(__xludf.DUMMYFUNCTION("""COMPUTED_VALUE"""),961.0)</f>
        <v>961</v>
      </c>
      <c r="D668" s="3">
        <f>IFERROR(__xludf.DUMMYFUNCTION("""COMPUTED_VALUE"""),94.0)</f>
        <v>94</v>
      </c>
      <c r="E668" s="1" t="str">
        <f t="array" ref="E668">_xlfn.XLOOKUP(A668,Product!A:A,Product!B:B,"Bulunamadı")</f>
        <v>Fiction</v>
      </c>
      <c r="F668" s="1" t="str">
        <f t="array" ref="F668">_xlfn.XLOOKUP(A668,Product!A:A,Product!C:C,"Bulunamadı")</f>
        <v>Medieval History</v>
      </c>
      <c r="G668" s="2" t="str">
        <f t="array" ref="G668">_xlfn.XLOOKUP(A669,Product!A:A,Product!D:D,"Bulunamadı")</f>
        <v>Riverbend Press</v>
      </c>
      <c r="H668" s="2">
        <f t="array" ref="H668">_xlfn.XLOOKUP(A670,Product!A:A,Product!E:E,"Bulunamadı")</f>
        <v>3.51</v>
      </c>
      <c r="I668" s="2" t="str">
        <f t="shared" si="1"/>
        <v>47168 - Fiction - Medieval History</v>
      </c>
      <c r="J668" s="2">
        <f t="shared" si="2"/>
        <v>329.94</v>
      </c>
      <c r="K668" s="17">
        <f t="shared" si="3"/>
        <v>1</v>
      </c>
      <c r="L668" s="18"/>
    </row>
    <row r="669" hidden="1">
      <c r="A669" s="2">
        <f>IFERROR(__xludf.DUMMYFUNCTION("""COMPUTED_VALUE"""),102990.0)</f>
        <v>102990</v>
      </c>
      <c r="B669" s="2">
        <f>IFERROR(__xludf.DUMMYFUNCTION("""COMPUTED_VALUE"""),1.0)</f>
        <v>1</v>
      </c>
      <c r="C669" s="2">
        <f>IFERROR(__xludf.DUMMYFUNCTION("""COMPUTED_VALUE"""),968.0)</f>
        <v>968</v>
      </c>
      <c r="D669" s="3">
        <f>IFERROR(__xludf.DUMMYFUNCTION("""COMPUTED_VALUE"""),627.0)</f>
        <v>627</v>
      </c>
      <c r="E669" s="1" t="str">
        <f t="array" ref="E669">_xlfn.XLOOKUP(A669,Product!A:A,Product!B:B,"Bulunamadı")</f>
        <v>Fiction</v>
      </c>
      <c r="F669" s="1" t="str">
        <f t="array" ref="F669">_xlfn.XLOOKUP(A669,Product!A:A,Product!C:C,"Bulunamadı")</f>
        <v>Medieval History</v>
      </c>
      <c r="G669" s="2" t="str">
        <f t="array" ref="G669">_xlfn.XLOOKUP(A670,Product!A:A,Product!D:D,"Bulunamadı")</f>
        <v>Riverbend Press</v>
      </c>
      <c r="H669" s="2">
        <f t="array" ref="H669">_xlfn.XLOOKUP(A671,Product!A:A,Product!E:E,"Bulunamadı")</f>
        <v>4.41</v>
      </c>
      <c r="I669" s="2" t="str">
        <f t="shared" si="1"/>
        <v>102990 - Fiction - Medieval History</v>
      </c>
      <c r="J669" s="2">
        <f t="shared" si="2"/>
        <v>2765.07</v>
      </c>
      <c r="K669" s="17">
        <f t="shared" si="3"/>
        <v>1</v>
      </c>
      <c r="L669" s="18"/>
    </row>
    <row r="670" hidden="1">
      <c r="A670" s="2">
        <f>IFERROR(__xludf.DUMMYFUNCTION("""COMPUTED_VALUE"""),46441.0)</f>
        <v>46441</v>
      </c>
      <c r="B670" s="2">
        <f>IFERROR(__xludf.DUMMYFUNCTION("""COMPUTED_VALUE"""),1.0)</f>
        <v>1</v>
      </c>
      <c r="C670" s="2">
        <f>IFERROR(__xludf.DUMMYFUNCTION("""COMPUTED_VALUE"""),652.0)</f>
        <v>652</v>
      </c>
      <c r="D670" s="3">
        <f>IFERROR(__xludf.DUMMYFUNCTION("""COMPUTED_VALUE"""),588.0)</f>
        <v>588</v>
      </c>
      <c r="E670" s="1" t="str">
        <f t="array" ref="E670">_xlfn.XLOOKUP(A670,Product!A:A,Product!B:B,"Bulunamadı")</f>
        <v>Fiction</v>
      </c>
      <c r="F670" s="1" t="str">
        <f t="array" ref="F670">_xlfn.XLOOKUP(A670,Product!A:A,Product!C:C,"Bulunamadı")</f>
        <v>Medieval History</v>
      </c>
      <c r="G670" s="2" t="str">
        <f t="array" ref="G670">_xlfn.XLOOKUP(A671,Product!A:A,Product!D:D,"Bulunamadı")</f>
        <v>Riverbend Press</v>
      </c>
      <c r="H670" s="2">
        <f t="array" ref="H670">_xlfn.XLOOKUP(A672,Product!A:A,Product!E:E,"Bulunamadı")</f>
        <v>3.45</v>
      </c>
      <c r="I670" s="2" t="str">
        <f t="shared" si="1"/>
        <v>46441 - Fiction - Medieval History</v>
      </c>
      <c r="J670" s="2">
        <f t="shared" si="2"/>
        <v>2028.6</v>
      </c>
      <c r="K670" s="17">
        <f t="shared" si="3"/>
        <v>1</v>
      </c>
      <c r="L670" s="18"/>
    </row>
    <row r="671" hidden="1">
      <c r="A671" s="2">
        <f>IFERROR(__xludf.DUMMYFUNCTION("""COMPUTED_VALUE"""),11085.0)</f>
        <v>11085</v>
      </c>
      <c r="B671" s="2">
        <f>IFERROR(__xludf.DUMMYFUNCTION("""COMPUTED_VALUE"""),0.0)</f>
        <v>0</v>
      </c>
      <c r="C671" s="2">
        <f>IFERROR(__xludf.DUMMYFUNCTION("""COMPUTED_VALUE"""),844.0)</f>
        <v>844</v>
      </c>
      <c r="D671" s="3">
        <f>IFERROR(__xludf.DUMMYFUNCTION("""COMPUTED_VALUE"""),203.0)</f>
        <v>203</v>
      </c>
      <c r="E671" s="1" t="str">
        <f t="array" ref="E671">_xlfn.XLOOKUP(A671,Product!A:A,Product!B:B,"Bulunamadı")</f>
        <v>Fiction</v>
      </c>
      <c r="F671" s="1" t="str">
        <f t="array" ref="F671">_xlfn.XLOOKUP(A671,Product!A:A,Product!C:C,"Bulunamadı")</f>
        <v>Medieval History</v>
      </c>
      <c r="G671" s="2" t="str">
        <f t="array" ref="G671">_xlfn.XLOOKUP(A672,Product!A:A,Product!D:D,"Bulunamadı")</f>
        <v>Riverbend Press</v>
      </c>
      <c r="H671" s="2">
        <f t="array" ref="H671">_xlfn.XLOOKUP(A673,Product!A:A,Product!E:E,"Bulunamadı")</f>
        <v>3.07</v>
      </c>
      <c r="I671" s="2" t="str">
        <f t="shared" si="1"/>
        <v>11085 - Fiction - Medieval History</v>
      </c>
      <c r="J671" s="2">
        <f t="shared" si="2"/>
        <v>623.21</v>
      </c>
      <c r="K671" s="17">
        <f t="shared" si="3"/>
        <v>1</v>
      </c>
      <c r="L671" s="18"/>
    </row>
    <row r="672" hidden="1">
      <c r="A672" s="2">
        <f>IFERROR(__xludf.DUMMYFUNCTION("""COMPUTED_VALUE"""),96441.0)</f>
        <v>96441</v>
      </c>
      <c r="B672" s="2">
        <f>IFERROR(__xludf.DUMMYFUNCTION("""COMPUTED_VALUE"""),1.0)</f>
        <v>1</v>
      </c>
      <c r="C672" s="2">
        <f>IFERROR(__xludf.DUMMYFUNCTION("""COMPUTED_VALUE"""),853.0)</f>
        <v>853</v>
      </c>
      <c r="D672" s="3">
        <f>IFERROR(__xludf.DUMMYFUNCTION("""COMPUTED_VALUE"""),738.0)</f>
        <v>738</v>
      </c>
      <c r="E672" s="1" t="str">
        <f t="array" ref="E672">_xlfn.XLOOKUP(A672,Product!A:A,Product!B:B,"Bulunamadı")</f>
        <v>Fiction</v>
      </c>
      <c r="F672" s="1" t="str">
        <f t="array" ref="F672">_xlfn.XLOOKUP(A672,Product!A:A,Product!C:C,"Bulunamadı")</f>
        <v>Medieval History</v>
      </c>
      <c r="G672" s="2" t="str">
        <f t="array" ref="G672">_xlfn.XLOOKUP(A673,Product!A:A,Product!D:D,"Bulunamadı")</f>
        <v>Riverbend Press</v>
      </c>
      <c r="H672" s="2">
        <f t="array" ref="H672">_xlfn.XLOOKUP(A674,Product!A:A,Product!E:E,"Bulunamadı")</f>
        <v>3.35</v>
      </c>
      <c r="I672" s="2" t="str">
        <f t="shared" si="1"/>
        <v>96441 - Fiction - Medieval History</v>
      </c>
      <c r="J672" s="2">
        <f t="shared" si="2"/>
        <v>2472.3</v>
      </c>
      <c r="K672" s="17">
        <f t="shared" si="3"/>
        <v>1</v>
      </c>
      <c r="L672" s="18"/>
    </row>
    <row r="673" hidden="1">
      <c r="A673" s="2">
        <f>IFERROR(__xludf.DUMMYFUNCTION("""COMPUTED_VALUE"""),82131.0)</f>
        <v>82131</v>
      </c>
      <c r="B673" s="2">
        <f>IFERROR(__xludf.DUMMYFUNCTION("""COMPUTED_VALUE"""),0.0)</f>
        <v>0</v>
      </c>
      <c r="C673" s="2">
        <f>IFERROR(__xludf.DUMMYFUNCTION("""COMPUTED_VALUE"""),172.0)</f>
        <v>172</v>
      </c>
      <c r="D673" s="3">
        <f>IFERROR(__xludf.DUMMYFUNCTION("""COMPUTED_VALUE"""),47.0)</f>
        <v>47</v>
      </c>
      <c r="E673" s="1" t="str">
        <f t="array" ref="E673">_xlfn.XLOOKUP(A673,Product!A:A,Product!B:B,"Bulunamadı")</f>
        <v>Fiction</v>
      </c>
      <c r="F673" s="1" t="str">
        <f t="array" ref="F673">_xlfn.XLOOKUP(A673,Product!A:A,Product!C:C,"Bulunamadı")</f>
        <v>Medieval History</v>
      </c>
      <c r="G673" s="2" t="str">
        <f t="array" ref="G673">_xlfn.XLOOKUP(A674,Product!A:A,Product!D:D,"Bulunamadı")</f>
        <v>Riverbend Press</v>
      </c>
      <c r="H673" s="2">
        <f t="array" ref="H673">_xlfn.XLOOKUP(A675,Product!A:A,Product!E:E,"Bulunamadı")</f>
        <v>2.44</v>
      </c>
      <c r="I673" s="2" t="str">
        <f t="shared" si="1"/>
        <v>82131 - Fiction - Medieval History</v>
      </c>
      <c r="J673" s="2">
        <f t="shared" si="2"/>
        <v>114.68</v>
      </c>
      <c r="K673" s="17">
        <f t="shared" si="3"/>
        <v>1</v>
      </c>
      <c r="L673" s="18"/>
    </row>
    <row r="674" hidden="1">
      <c r="A674" s="2">
        <f>IFERROR(__xludf.DUMMYFUNCTION("""COMPUTED_VALUE"""),46440.0)</f>
        <v>46440</v>
      </c>
      <c r="B674" s="2">
        <f>IFERROR(__xludf.DUMMYFUNCTION("""COMPUTED_VALUE"""),1.0)</f>
        <v>1</v>
      </c>
      <c r="C674" s="2">
        <f>IFERROR(__xludf.DUMMYFUNCTION("""COMPUTED_VALUE"""),363.0)</f>
        <v>363</v>
      </c>
      <c r="D674" s="3">
        <f>IFERROR(__xludf.DUMMYFUNCTION("""COMPUTED_VALUE"""),235.0)</f>
        <v>235</v>
      </c>
      <c r="E674" s="1" t="str">
        <f t="array" ref="E674">_xlfn.XLOOKUP(A674,Product!A:A,Product!B:B,"Bulunamadı")</f>
        <v>Fiction</v>
      </c>
      <c r="F674" s="1" t="str">
        <f t="array" ref="F674">_xlfn.XLOOKUP(A674,Product!A:A,Product!C:C,"Bulunamadı")</f>
        <v>Medieval History</v>
      </c>
      <c r="G674" s="2" t="str">
        <f t="array" ref="G674">_xlfn.XLOOKUP(A675,Product!A:A,Product!D:D,"Bulunamadı")</f>
        <v>Riverbend Press</v>
      </c>
      <c r="H674" s="2">
        <f t="array" ref="H674">_xlfn.XLOOKUP(A676,Product!A:A,Product!E:E,"Bulunamadı")</f>
        <v>5.59</v>
      </c>
      <c r="I674" s="2" t="str">
        <f t="shared" si="1"/>
        <v>46440 - Fiction - Medieval History</v>
      </c>
      <c r="J674" s="2">
        <f t="shared" si="2"/>
        <v>1313.65</v>
      </c>
      <c r="K674" s="17">
        <f t="shared" si="3"/>
        <v>1</v>
      </c>
      <c r="L674" s="18"/>
    </row>
    <row r="675" hidden="1">
      <c r="A675" s="2">
        <f>IFERROR(__xludf.DUMMYFUNCTION("""COMPUTED_VALUE"""),23214.0)</f>
        <v>23214</v>
      </c>
      <c r="B675" s="2">
        <f>IFERROR(__xludf.DUMMYFUNCTION("""COMPUTED_VALUE"""),0.0)</f>
        <v>0</v>
      </c>
      <c r="C675" s="2">
        <f>IFERROR(__xludf.DUMMYFUNCTION("""COMPUTED_VALUE"""),259.0)</f>
        <v>259</v>
      </c>
      <c r="D675" s="3">
        <f>IFERROR(__xludf.DUMMYFUNCTION("""COMPUTED_VALUE"""),237.0)</f>
        <v>237</v>
      </c>
      <c r="E675" s="1" t="str">
        <f t="array" ref="E675">_xlfn.XLOOKUP(A675,Product!A:A,Product!B:B,"Bulunamadı")</f>
        <v>Fiction</v>
      </c>
      <c r="F675" s="1" t="str">
        <f t="array" ref="F675">_xlfn.XLOOKUP(A675,Product!A:A,Product!C:C,"Bulunamadı")</f>
        <v>Medieval History</v>
      </c>
      <c r="G675" s="2" t="str">
        <f t="array" ref="G675">_xlfn.XLOOKUP(A676,Product!A:A,Product!D:D,"Bulunamadı")</f>
        <v>Riverbend Press</v>
      </c>
      <c r="H675" s="2">
        <f t="array" ref="H675">_xlfn.XLOOKUP(A677,Product!A:A,Product!E:E,"Bulunamadı")</f>
        <v>3.13</v>
      </c>
      <c r="I675" s="2" t="str">
        <f t="shared" si="1"/>
        <v>23214 - Fiction - Medieval History</v>
      </c>
      <c r="J675" s="2">
        <f t="shared" si="2"/>
        <v>741.81</v>
      </c>
      <c r="K675" s="17">
        <f t="shared" si="3"/>
        <v>1</v>
      </c>
      <c r="L675" s="18"/>
    </row>
    <row r="676" hidden="1">
      <c r="A676" s="2">
        <f>IFERROR(__xludf.DUMMYFUNCTION("""COMPUTED_VALUE"""),82134.0)</f>
        <v>82134</v>
      </c>
      <c r="B676" s="2">
        <f>IFERROR(__xludf.DUMMYFUNCTION("""COMPUTED_VALUE"""),0.0)</f>
        <v>0</v>
      </c>
      <c r="C676" s="2">
        <f>IFERROR(__xludf.DUMMYFUNCTION("""COMPUTED_VALUE"""),402.0)</f>
        <v>402</v>
      </c>
      <c r="D676" s="3">
        <f>IFERROR(__xludf.DUMMYFUNCTION("""COMPUTED_VALUE"""),322.0)</f>
        <v>322</v>
      </c>
      <c r="E676" s="1" t="str">
        <f t="array" ref="E676">_xlfn.XLOOKUP(A676,Product!A:A,Product!B:B,"Bulunamadı")</f>
        <v>Fiction</v>
      </c>
      <c r="F676" s="1" t="str">
        <f t="array" ref="F676">_xlfn.XLOOKUP(A676,Product!A:A,Product!C:C,"Bulunamadı")</f>
        <v>Medieval History</v>
      </c>
      <c r="G676" s="2" t="str">
        <f t="array" ref="G676">_xlfn.XLOOKUP(A677,Product!A:A,Product!D:D,"Bulunamadı")</f>
        <v>Riverbend Press</v>
      </c>
      <c r="H676" s="2">
        <f t="array" ref="H676">_xlfn.XLOOKUP(A678,Product!A:A,Product!E:E,"Bulunamadı")</f>
        <v>2.41</v>
      </c>
      <c r="I676" s="2" t="str">
        <f t="shared" si="1"/>
        <v>82134 - Fiction - Medieval History</v>
      </c>
      <c r="J676" s="2">
        <f t="shared" si="2"/>
        <v>776.02</v>
      </c>
      <c r="K676" s="17">
        <f t="shared" si="3"/>
        <v>1</v>
      </c>
      <c r="L676" s="18"/>
    </row>
    <row r="677" hidden="1">
      <c r="A677" s="2">
        <f>IFERROR(__xludf.DUMMYFUNCTION("""COMPUTED_VALUE"""),46439.0)</f>
        <v>46439</v>
      </c>
      <c r="B677" s="2">
        <f>IFERROR(__xludf.DUMMYFUNCTION("""COMPUTED_VALUE"""),0.0)</f>
        <v>0</v>
      </c>
      <c r="C677" s="2">
        <f>IFERROR(__xludf.DUMMYFUNCTION("""COMPUTED_VALUE"""),889.0)</f>
        <v>889</v>
      </c>
      <c r="D677" s="3">
        <f>IFERROR(__xludf.DUMMYFUNCTION("""COMPUTED_VALUE"""),811.0)</f>
        <v>811</v>
      </c>
      <c r="E677" s="1" t="str">
        <f t="array" ref="E677">_xlfn.XLOOKUP(A677,Product!A:A,Product!B:B,"Bulunamadı")</f>
        <v>Fiction</v>
      </c>
      <c r="F677" s="1" t="str">
        <f t="array" ref="F677">_xlfn.XLOOKUP(A677,Product!A:A,Product!C:C,"Bulunamadı")</f>
        <v>Medieval History</v>
      </c>
      <c r="G677" s="2" t="str">
        <f t="array" ref="G677">_xlfn.XLOOKUP(A678,Product!A:A,Product!D:D,"Bulunamadı")</f>
        <v>Western Trail Publishing</v>
      </c>
      <c r="H677" s="2">
        <f t="array" ref="H677">_xlfn.XLOOKUP(A679,Product!A:A,Product!E:E,"Bulunamadı")</f>
        <v>0.66</v>
      </c>
      <c r="I677" s="2" t="str">
        <f t="shared" si="1"/>
        <v>46439 - Fiction - Medieval History</v>
      </c>
      <c r="J677" s="2">
        <f t="shared" si="2"/>
        <v>535.26</v>
      </c>
      <c r="K677" s="17">
        <f t="shared" si="3"/>
        <v>1</v>
      </c>
      <c r="L677" s="18"/>
    </row>
    <row r="678" hidden="1">
      <c r="A678" s="2">
        <f>IFERROR(__xludf.DUMMYFUNCTION("""COMPUTED_VALUE"""),116451.0)</f>
        <v>116451</v>
      </c>
      <c r="B678" s="2">
        <f>IFERROR(__xludf.DUMMYFUNCTION("""COMPUTED_VALUE"""),0.0)</f>
        <v>0</v>
      </c>
      <c r="C678" s="2">
        <f>IFERROR(__xludf.DUMMYFUNCTION("""COMPUTED_VALUE"""),24.0)</f>
        <v>24</v>
      </c>
      <c r="D678" s="3">
        <f>IFERROR(__xludf.DUMMYFUNCTION("""COMPUTED_VALUE"""),18.0)</f>
        <v>18</v>
      </c>
      <c r="E678" s="1" t="str">
        <f t="array" ref="E678">_xlfn.XLOOKUP(A678,Product!A:A,Product!B:B,"Bulunamadı")</f>
        <v>Fiction</v>
      </c>
      <c r="F678" s="1" t="str">
        <f t="array" ref="F678">_xlfn.XLOOKUP(A678,Product!A:A,Product!C:C,"Bulunamadı")</f>
        <v>Medieval History</v>
      </c>
      <c r="G678" s="2" t="str">
        <f t="array" ref="G678">_xlfn.XLOOKUP(A679,Product!A:A,Product!D:D,"Bulunamadı")</f>
        <v>Western Trail Publishing</v>
      </c>
      <c r="H678" s="2">
        <f t="array" ref="H678">_xlfn.XLOOKUP(A680,Product!A:A,Product!E:E,"Bulunamadı")</f>
        <v>3.73</v>
      </c>
      <c r="I678" s="2" t="str">
        <f t="shared" si="1"/>
        <v>116451 - Fiction - Medieval History</v>
      </c>
      <c r="J678" s="2">
        <f t="shared" si="2"/>
        <v>67.14</v>
      </c>
      <c r="K678" s="17">
        <f t="shared" si="3"/>
        <v>1</v>
      </c>
      <c r="L678" s="18"/>
    </row>
    <row r="679" hidden="1">
      <c r="A679" s="2">
        <f>IFERROR(__xludf.DUMMYFUNCTION("""COMPUTED_VALUE"""),147340.0)</f>
        <v>147340</v>
      </c>
      <c r="B679" s="2">
        <f>IFERROR(__xludf.DUMMYFUNCTION("""COMPUTED_VALUE"""),0.0)</f>
        <v>0</v>
      </c>
      <c r="C679" s="2">
        <f>IFERROR(__xludf.DUMMYFUNCTION("""COMPUTED_VALUE"""),382.0)</f>
        <v>382</v>
      </c>
      <c r="D679" s="3">
        <f>IFERROR(__xludf.DUMMYFUNCTION("""COMPUTED_VALUE"""),226.0)</f>
        <v>226</v>
      </c>
      <c r="E679" s="1" t="str">
        <f t="array" ref="E679">_xlfn.XLOOKUP(A679,Product!A:A,Product!B:B,"Bulunamadı")</f>
        <v>Fiction</v>
      </c>
      <c r="F679" s="1" t="str">
        <f t="array" ref="F679">_xlfn.XLOOKUP(A679,Product!A:A,Product!C:C,"Bulunamadı")</f>
        <v>Medieval History</v>
      </c>
      <c r="G679" s="2" t="str">
        <f t="array" ref="G679">_xlfn.XLOOKUP(A680,Product!A:A,Product!D:D,"Bulunamadı")</f>
        <v>Western Trail Publishing</v>
      </c>
      <c r="H679" s="2">
        <f t="array" ref="H679">_xlfn.XLOOKUP(A681,Product!A:A,Product!E:E,"Bulunamadı")</f>
        <v>6.74</v>
      </c>
      <c r="I679" s="2" t="str">
        <f t="shared" si="1"/>
        <v>147340 - Fiction - Medieval History</v>
      </c>
      <c r="J679" s="2">
        <f t="shared" si="2"/>
        <v>1523.24</v>
      </c>
      <c r="K679" s="17">
        <f t="shared" si="3"/>
        <v>1</v>
      </c>
      <c r="L679" s="18"/>
    </row>
    <row r="680" hidden="1">
      <c r="A680" s="2">
        <f>IFERROR(__xludf.DUMMYFUNCTION("""COMPUTED_VALUE"""),140602.0)</f>
        <v>140602</v>
      </c>
      <c r="B680" s="2">
        <f>IFERROR(__xludf.DUMMYFUNCTION("""COMPUTED_VALUE"""),0.0)</f>
        <v>0</v>
      </c>
      <c r="C680" s="2">
        <f>IFERROR(__xludf.DUMMYFUNCTION("""COMPUTED_VALUE"""),284.0)</f>
        <v>284</v>
      </c>
      <c r="D680" s="3">
        <f>IFERROR(__xludf.DUMMYFUNCTION("""COMPUTED_VALUE"""),167.0)</f>
        <v>167</v>
      </c>
      <c r="E680" s="1" t="str">
        <f t="array" ref="E680">_xlfn.XLOOKUP(A680,Product!A:A,Product!B:B,"Bulunamadı")</f>
        <v>Fiction</v>
      </c>
      <c r="F680" s="1" t="str">
        <f t="array" ref="F680">_xlfn.XLOOKUP(A680,Product!A:A,Product!C:C,"Bulunamadı")</f>
        <v>Medieval History</v>
      </c>
      <c r="G680" s="2" t="str">
        <f t="array" ref="G680">_xlfn.XLOOKUP(A681,Product!A:A,Product!D:D,"Bulunamadı")</f>
        <v>Western Trail Publishing</v>
      </c>
      <c r="H680" s="2">
        <f t="array" ref="H680">_xlfn.XLOOKUP(A682,Product!A:A,Product!E:E,"Bulunamadı")</f>
        <v>2.51</v>
      </c>
      <c r="I680" s="2" t="str">
        <f t="shared" si="1"/>
        <v>140602 - Fiction - Medieval History</v>
      </c>
      <c r="J680" s="2">
        <f t="shared" si="2"/>
        <v>419.17</v>
      </c>
      <c r="K680" s="17">
        <f t="shared" si="3"/>
        <v>1</v>
      </c>
      <c r="L680" s="18"/>
    </row>
    <row r="681" hidden="1">
      <c r="A681" s="2">
        <f>IFERROR(__xludf.DUMMYFUNCTION("""COMPUTED_VALUE"""),109174.0)</f>
        <v>109174</v>
      </c>
      <c r="B681" s="2">
        <f>IFERROR(__xludf.DUMMYFUNCTION("""COMPUTED_VALUE"""),1.0)</f>
        <v>1</v>
      </c>
      <c r="C681" s="2">
        <f>IFERROR(__xludf.DUMMYFUNCTION("""COMPUTED_VALUE"""),227.0)</f>
        <v>227</v>
      </c>
      <c r="D681" s="3">
        <f>IFERROR(__xludf.DUMMYFUNCTION("""COMPUTED_VALUE"""),114.0)</f>
        <v>114</v>
      </c>
      <c r="E681" s="1" t="str">
        <f t="array" ref="E681">_xlfn.XLOOKUP(A681,Product!A:A,Product!B:B,"Bulunamadı")</f>
        <v>Fiction</v>
      </c>
      <c r="F681" s="1" t="str">
        <f t="array" ref="F681">_xlfn.XLOOKUP(A681,Product!A:A,Product!C:C,"Bulunamadı")</f>
        <v>Medieval History</v>
      </c>
      <c r="G681" s="2" t="str">
        <f t="array" ref="G681">_xlfn.XLOOKUP(A682,Product!A:A,Product!D:D,"Bulunamadı")</f>
        <v>Western Trail Publishing</v>
      </c>
      <c r="H681" s="2">
        <f t="array" ref="H681">_xlfn.XLOOKUP(A683,Product!A:A,Product!E:E,"Bulunamadı")</f>
        <v>5.79</v>
      </c>
      <c r="I681" s="2" t="str">
        <f t="shared" si="1"/>
        <v>109174 - Fiction - Medieval History</v>
      </c>
      <c r="J681" s="2">
        <f t="shared" si="2"/>
        <v>660.06</v>
      </c>
      <c r="K681" s="17">
        <f t="shared" si="3"/>
        <v>1</v>
      </c>
      <c r="L681" s="18"/>
    </row>
    <row r="682" hidden="1">
      <c r="A682" s="2">
        <f>IFERROR(__xludf.DUMMYFUNCTION("""COMPUTED_VALUE"""),2795.0)</f>
        <v>2795</v>
      </c>
      <c r="B682" s="2">
        <f>IFERROR(__xludf.DUMMYFUNCTION("""COMPUTED_VALUE"""),1.0)</f>
        <v>1</v>
      </c>
      <c r="C682" s="2">
        <f>IFERROR(__xludf.DUMMYFUNCTION("""COMPUTED_VALUE"""),558.0)</f>
        <v>558</v>
      </c>
      <c r="D682" s="3">
        <f>IFERROR(__xludf.DUMMYFUNCTION("""COMPUTED_VALUE"""),491.0)</f>
        <v>491</v>
      </c>
      <c r="E682" s="1" t="str">
        <f t="array" ref="E682">_xlfn.XLOOKUP(A682,Product!A:A,Product!B:B,"Bulunamadı")</f>
        <v>Fiction</v>
      </c>
      <c r="F682" s="1" t="str">
        <f t="array" ref="F682">_xlfn.XLOOKUP(A682,Product!A:A,Product!C:C,"Bulunamadı")</f>
        <v>Medieval History</v>
      </c>
      <c r="G682" s="2" t="str">
        <f t="array" ref="G682">_xlfn.XLOOKUP(A683,Product!A:A,Product!D:D,"Bulunamadı")</f>
        <v>Western Trail Publishing</v>
      </c>
      <c r="H682" s="2">
        <f t="array" ref="H682">_xlfn.XLOOKUP(A684,Product!A:A,Product!E:E,"Bulunamadı")</f>
        <v>2.07</v>
      </c>
      <c r="I682" s="2" t="str">
        <f t="shared" si="1"/>
        <v>2795 - Fiction - Medieval History</v>
      </c>
      <c r="J682" s="2">
        <f t="shared" si="2"/>
        <v>1016.37</v>
      </c>
      <c r="K682" s="17">
        <f t="shared" si="3"/>
        <v>1</v>
      </c>
      <c r="L682" s="18"/>
    </row>
    <row r="683" hidden="1">
      <c r="A683" s="2">
        <f>IFERROR(__xludf.DUMMYFUNCTION("""COMPUTED_VALUE"""),141867.0)</f>
        <v>141867</v>
      </c>
      <c r="B683" s="2">
        <f>IFERROR(__xludf.DUMMYFUNCTION("""COMPUTED_VALUE"""),1.0)</f>
        <v>1</v>
      </c>
      <c r="C683" s="2">
        <f>IFERROR(__xludf.DUMMYFUNCTION("""COMPUTED_VALUE"""),704.0)</f>
        <v>704</v>
      </c>
      <c r="D683" s="3">
        <f>IFERROR(__xludf.DUMMYFUNCTION("""COMPUTED_VALUE"""),391.0)</f>
        <v>391</v>
      </c>
      <c r="E683" s="1" t="str">
        <f t="array" ref="E683">_xlfn.XLOOKUP(A683,Product!A:A,Product!B:B,"Bulunamadı")</f>
        <v>Fiction</v>
      </c>
      <c r="F683" s="1" t="str">
        <f t="array" ref="F683">_xlfn.XLOOKUP(A683,Product!A:A,Product!C:C,"Bulunamadı")</f>
        <v>Medieval History</v>
      </c>
      <c r="G683" s="2" t="str">
        <f t="array" ref="G683">_xlfn.XLOOKUP(A684,Product!A:A,Product!D:D,"Bulunamadı")</f>
        <v>Western Trail Publishing</v>
      </c>
      <c r="H683" s="2">
        <f t="array" ref="H683">_xlfn.XLOOKUP(A685,Product!A:A,Product!E:E,"Bulunamadı")</f>
        <v>1.74</v>
      </c>
      <c r="I683" s="2" t="str">
        <f t="shared" si="1"/>
        <v>141867 - Fiction - Medieval History</v>
      </c>
      <c r="J683" s="2">
        <f t="shared" si="2"/>
        <v>680.34</v>
      </c>
      <c r="K683" s="17">
        <f t="shared" si="3"/>
        <v>1</v>
      </c>
      <c r="L683" s="18"/>
    </row>
    <row r="684" hidden="1">
      <c r="A684" s="2">
        <f>IFERROR(__xludf.DUMMYFUNCTION("""COMPUTED_VALUE"""),118152.0)</f>
        <v>118152</v>
      </c>
      <c r="B684" s="2">
        <f>IFERROR(__xludf.DUMMYFUNCTION("""COMPUTED_VALUE"""),1.0)</f>
        <v>1</v>
      </c>
      <c r="C684" s="2">
        <f>IFERROR(__xludf.DUMMYFUNCTION("""COMPUTED_VALUE"""),899.0)</f>
        <v>899</v>
      </c>
      <c r="D684" s="3">
        <f>IFERROR(__xludf.DUMMYFUNCTION("""COMPUTED_VALUE"""),761.0)</f>
        <v>761</v>
      </c>
      <c r="E684" s="1" t="str">
        <f t="array" ref="E684">_xlfn.XLOOKUP(A684,Product!A:A,Product!B:B,"Bulunamadı")</f>
        <v>Fiction</v>
      </c>
      <c r="F684" s="1" t="str">
        <f t="array" ref="F684">_xlfn.XLOOKUP(A684,Product!A:A,Product!C:C,"Bulunamadı")</f>
        <v>Medieval History</v>
      </c>
      <c r="G684" s="2" t="str">
        <f t="array" ref="G684">_xlfn.XLOOKUP(A685,Product!A:A,Product!D:D,"Bulunamadı")</f>
        <v>Western Trail Publishing</v>
      </c>
      <c r="H684" s="2">
        <f t="array" ref="H684">_xlfn.XLOOKUP(A686,Product!A:A,Product!E:E,"Bulunamadı")</f>
        <v>8.61</v>
      </c>
      <c r="I684" s="2" t="str">
        <f t="shared" si="1"/>
        <v>118152 - Fiction - Medieval History</v>
      </c>
      <c r="J684" s="2">
        <f t="shared" si="2"/>
        <v>6552.21</v>
      </c>
      <c r="K684" s="17">
        <f t="shared" si="3"/>
        <v>1</v>
      </c>
      <c r="L684" s="18"/>
    </row>
    <row r="685" hidden="1">
      <c r="A685" s="2">
        <f>IFERROR(__xludf.DUMMYFUNCTION("""COMPUTED_VALUE"""),1607.0)</f>
        <v>1607</v>
      </c>
      <c r="B685" s="2">
        <f>IFERROR(__xludf.DUMMYFUNCTION("""COMPUTED_VALUE"""),0.0)</f>
        <v>0</v>
      </c>
      <c r="C685" s="2">
        <f>IFERROR(__xludf.DUMMYFUNCTION("""COMPUTED_VALUE"""),390.0)</f>
        <v>390</v>
      </c>
      <c r="D685" s="3">
        <f>IFERROR(__xludf.DUMMYFUNCTION("""COMPUTED_VALUE"""),107.0)</f>
        <v>107</v>
      </c>
      <c r="E685" s="1" t="str">
        <f t="array" ref="E685">_xlfn.XLOOKUP(A685,Product!A:A,Product!B:B,"Bulunamadı")</f>
        <v>Fiction</v>
      </c>
      <c r="F685" s="1" t="str">
        <f t="array" ref="F685">_xlfn.XLOOKUP(A685,Product!A:A,Product!C:C,"Bulunamadı")</f>
        <v>Medieval History</v>
      </c>
      <c r="G685" s="2" t="str">
        <f t="array" ref="G685">_xlfn.XLOOKUP(A686,Product!A:A,Product!D:D,"Bulunamadı")</f>
        <v>Western Trail Publishing</v>
      </c>
      <c r="H685" s="2">
        <f t="array" ref="H685">_xlfn.XLOOKUP(A687,Product!A:A,Product!E:E,"Bulunamadı")</f>
        <v>2</v>
      </c>
      <c r="I685" s="2" t="str">
        <f t="shared" si="1"/>
        <v>1607 - Fiction - Medieval History</v>
      </c>
      <c r="J685" s="2">
        <f t="shared" si="2"/>
        <v>214</v>
      </c>
      <c r="K685" s="17">
        <f t="shared" si="3"/>
        <v>1</v>
      </c>
      <c r="L685" s="18"/>
    </row>
    <row r="686" hidden="1">
      <c r="A686" s="2">
        <f>IFERROR(__xludf.DUMMYFUNCTION("""COMPUTED_VALUE"""),71322.0)</f>
        <v>71322</v>
      </c>
      <c r="B686" s="2">
        <f>IFERROR(__xludf.DUMMYFUNCTION("""COMPUTED_VALUE"""),0.0)</f>
        <v>0</v>
      </c>
      <c r="C686" s="2">
        <f>IFERROR(__xludf.DUMMYFUNCTION("""COMPUTED_VALUE"""),598.0)</f>
        <v>598</v>
      </c>
      <c r="D686" s="3">
        <f>IFERROR(__xludf.DUMMYFUNCTION("""COMPUTED_VALUE"""),582.0)</f>
        <v>582</v>
      </c>
      <c r="E686" s="1" t="str">
        <f t="array" ref="E686">_xlfn.XLOOKUP(A686,Product!A:A,Product!B:B,"Bulunamadı")</f>
        <v>Fiction</v>
      </c>
      <c r="F686" s="1" t="str">
        <f t="array" ref="F686">_xlfn.XLOOKUP(A686,Product!A:A,Product!C:C,"Bulunamadı")</f>
        <v>Medieval History</v>
      </c>
      <c r="G686" s="2" t="str">
        <f t="array" ref="G686">_xlfn.XLOOKUP(A687,Product!A:A,Product!D:D,"Bulunamadı")</f>
        <v>Western Trail Publishing</v>
      </c>
      <c r="H686" s="2">
        <f t="array" ref="H686">_xlfn.XLOOKUP(A688,Product!A:A,Product!E:E,"Bulunamadı")</f>
        <v>7.47</v>
      </c>
      <c r="I686" s="2" t="str">
        <f t="shared" si="1"/>
        <v>71322 - Fiction - Medieval History</v>
      </c>
      <c r="J686" s="2">
        <f t="shared" si="2"/>
        <v>4347.54</v>
      </c>
      <c r="K686" s="17">
        <f t="shared" si="3"/>
        <v>1</v>
      </c>
      <c r="L686" s="18"/>
    </row>
    <row r="687" hidden="1">
      <c r="A687" s="2">
        <f>IFERROR(__xludf.DUMMYFUNCTION("""COMPUTED_VALUE"""),88773.0)</f>
        <v>88773</v>
      </c>
      <c r="B687" s="2">
        <f>IFERROR(__xludf.DUMMYFUNCTION("""COMPUTED_VALUE"""),0.0)</f>
        <v>0</v>
      </c>
      <c r="C687" s="2">
        <f>IFERROR(__xludf.DUMMYFUNCTION("""COMPUTED_VALUE"""),193.0)</f>
        <v>193</v>
      </c>
      <c r="D687" s="3">
        <f>IFERROR(__xludf.DUMMYFUNCTION("""COMPUTED_VALUE"""),49.0)</f>
        <v>49</v>
      </c>
      <c r="E687" s="1" t="str">
        <f t="array" ref="E687">_xlfn.XLOOKUP(A687,Product!A:A,Product!B:B,"Bulunamadı")</f>
        <v>Fiction</v>
      </c>
      <c r="F687" s="1" t="str">
        <f t="array" ref="F687">_xlfn.XLOOKUP(A687,Product!A:A,Product!C:C,"Bulunamadı")</f>
        <v>Medieval History</v>
      </c>
      <c r="G687" s="2" t="str">
        <f t="array" ref="G687">_xlfn.XLOOKUP(A688,Product!A:A,Product!D:D,"Bulunamadı")</f>
        <v>Western Trail Publishing</v>
      </c>
      <c r="H687" s="2">
        <f t="array" ref="H687">_xlfn.XLOOKUP(A689,Product!A:A,Product!E:E,"Bulunamadı")</f>
        <v>2.06</v>
      </c>
      <c r="I687" s="2" t="str">
        <f t="shared" si="1"/>
        <v>88773 - Fiction - Medieval History</v>
      </c>
      <c r="J687" s="2">
        <f t="shared" si="2"/>
        <v>100.94</v>
      </c>
      <c r="K687" s="17">
        <f t="shared" si="3"/>
        <v>1</v>
      </c>
      <c r="L687" s="18"/>
    </row>
    <row r="688" hidden="1">
      <c r="A688" s="2">
        <f>IFERROR(__xludf.DUMMYFUNCTION("""COMPUTED_VALUE"""),46964.0)</f>
        <v>46964</v>
      </c>
      <c r="B688" s="2">
        <f>IFERROR(__xludf.DUMMYFUNCTION("""COMPUTED_VALUE"""),0.0)</f>
        <v>0</v>
      </c>
      <c r="C688" s="2">
        <f>IFERROR(__xludf.DUMMYFUNCTION("""COMPUTED_VALUE"""),266.0)</f>
        <v>266</v>
      </c>
      <c r="D688" s="3">
        <f>IFERROR(__xludf.DUMMYFUNCTION("""COMPUTED_VALUE"""),110.0)</f>
        <v>110</v>
      </c>
      <c r="E688" s="1" t="str">
        <f t="array" ref="E688">_xlfn.XLOOKUP(A688,Product!A:A,Product!B:B,"Bulunamadı")</f>
        <v>Fiction</v>
      </c>
      <c r="F688" s="1" t="str">
        <f t="array" ref="F688">_xlfn.XLOOKUP(A688,Product!A:A,Product!C:C,"Bulunamadı")</f>
        <v>Medieval History</v>
      </c>
      <c r="G688" s="2" t="str">
        <f t="array" ref="G688">_xlfn.XLOOKUP(A689,Product!A:A,Product!D:D,"Bulunamadı")</f>
        <v>Western Trail Publishing</v>
      </c>
      <c r="H688" s="2">
        <f t="array" ref="H688">_xlfn.XLOOKUP(A690,Product!A:A,Product!E:E,"Bulunamadı")</f>
        <v>1.98</v>
      </c>
      <c r="I688" s="2" t="str">
        <f t="shared" si="1"/>
        <v>46964 - Fiction - Medieval History</v>
      </c>
      <c r="J688" s="2">
        <f t="shared" si="2"/>
        <v>217.8</v>
      </c>
      <c r="K688" s="17">
        <f t="shared" si="3"/>
        <v>1</v>
      </c>
      <c r="L688" s="18"/>
    </row>
    <row r="689" hidden="1">
      <c r="A689" s="2">
        <f>IFERROR(__xludf.DUMMYFUNCTION("""COMPUTED_VALUE"""),104454.0)</f>
        <v>104454</v>
      </c>
      <c r="B689" s="2">
        <f>IFERROR(__xludf.DUMMYFUNCTION("""COMPUTED_VALUE"""),0.0)</f>
        <v>0</v>
      </c>
      <c r="C689" s="2">
        <f>IFERROR(__xludf.DUMMYFUNCTION("""COMPUTED_VALUE"""),271.0)</f>
        <v>271</v>
      </c>
      <c r="D689" s="3">
        <f>IFERROR(__xludf.DUMMYFUNCTION("""COMPUTED_VALUE"""),101.0)</f>
        <v>101</v>
      </c>
      <c r="E689" s="1" t="str">
        <f t="array" ref="E689">_xlfn.XLOOKUP(A689,Product!A:A,Product!B:B,"Bulunamadı")</f>
        <v>Fiction</v>
      </c>
      <c r="F689" s="1" t="str">
        <f t="array" ref="F689">_xlfn.XLOOKUP(A689,Product!A:A,Product!C:C,"Bulunamadı")</f>
        <v>Medieval History</v>
      </c>
      <c r="G689" s="2" t="str">
        <f t="array" ref="G689">_xlfn.XLOOKUP(A690,Product!A:A,Product!D:D,"Bulunamadı")</f>
        <v>Western Trail Publishing</v>
      </c>
      <c r="H689" s="2">
        <f t="array" ref="H689">_xlfn.XLOOKUP(A691,Product!A:A,Product!E:E,"Bulunamadı")</f>
        <v>9.46</v>
      </c>
      <c r="I689" s="2" t="str">
        <f t="shared" si="1"/>
        <v>104454 - Fiction - Medieval History</v>
      </c>
      <c r="J689" s="2">
        <f t="shared" si="2"/>
        <v>955.46</v>
      </c>
      <c r="K689" s="17">
        <f t="shared" si="3"/>
        <v>1</v>
      </c>
      <c r="L689" s="18"/>
    </row>
    <row r="690" hidden="1">
      <c r="A690" s="2">
        <f>IFERROR(__xludf.DUMMYFUNCTION("""COMPUTED_VALUE"""),8003.0)</f>
        <v>8003</v>
      </c>
      <c r="B690" s="2">
        <f>IFERROR(__xludf.DUMMYFUNCTION("""COMPUTED_VALUE"""),1.0)</f>
        <v>1</v>
      </c>
      <c r="C690" s="2">
        <f>IFERROR(__xludf.DUMMYFUNCTION("""COMPUTED_VALUE"""),120.0)</f>
        <v>120</v>
      </c>
      <c r="D690" s="3">
        <f>IFERROR(__xludf.DUMMYFUNCTION("""COMPUTED_VALUE"""),71.0)</f>
        <v>71</v>
      </c>
      <c r="E690" s="1" t="str">
        <f t="array" ref="E690">_xlfn.XLOOKUP(A690,Product!A:A,Product!B:B,"Bulunamadı")</f>
        <v>Fiction</v>
      </c>
      <c r="F690" s="1" t="str">
        <f t="array" ref="F690">_xlfn.XLOOKUP(A690,Product!A:A,Product!C:C,"Bulunamadı")</f>
        <v>Medieval History</v>
      </c>
      <c r="G690" s="2" t="str">
        <f t="array" ref="G690">_xlfn.XLOOKUP(A691,Product!A:A,Product!D:D,"Bulunamadı")</f>
        <v>Western Trail Publishing</v>
      </c>
      <c r="H690" s="2">
        <f t="array" ref="H690">_xlfn.XLOOKUP(A692,Product!A:A,Product!E:E,"Bulunamadı")</f>
        <v>2.26</v>
      </c>
      <c r="I690" s="2" t="str">
        <f t="shared" si="1"/>
        <v>8003 - Fiction - Medieval History</v>
      </c>
      <c r="J690" s="2">
        <f t="shared" si="2"/>
        <v>160.46</v>
      </c>
      <c r="K690" s="17">
        <f t="shared" si="3"/>
        <v>1</v>
      </c>
      <c r="L690" s="18"/>
    </row>
    <row r="691" hidden="1">
      <c r="A691" s="2">
        <f>IFERROR(__xludf.DUMMYFUNCTION("""COMPUTED_VALUE"""),90183.0)</f>
        <v>90183</v>
      </c>
      <c r="B691" s="2">
        <f>IFERROR(__xludf.DUMMYFUNCTION("""COMPUTED_VALUE"""),0.0)</f>
        <v>0</v>
      </c>
      <c r="C691" s="2">
        <f>IFERROR(__xludf.DUMMYFUNCTION("""COMPUTED_VALUE"""),779.0)</f>
        <v>779</v>
      </c>
      <c r="D691" s="3">
        <f>IFERROR(__xludf.DUMMYFUNCTION("""COMPUTED_VALUE"""),484.0)</f>
        <v>484</v>
      </c>
      <c r="E691" s="1" t="str">
        <f t="array" ref="E691">_xlfn.XLOOKUP(A691,Product!A:A,Product!B:B,"Bulunamadı")</f>
        <v>Fiction</v>
      </c>
      <c r="F691" s="1" t="str">
        <f t="array" ref="F691">_xlfn.XLOOKUP(A691,Product!A:A,Product!C:C,"Bulunamadı")</f>
        <v>Medieval History</v>
      </c>
      <c r="G691" s="2" t="str">
        <f t="array" ref="G691">_xlfn.XLOOKUP(A692,Product!A:A,Product!D:D,"Bulunamadı")</f>
        <v>Western Trail Publishing</v>
      </c>
      <c r="H691" s="2">
        <f t="array" ref="H691">_xlfn.XLOOKUP(A693,Product!A:A,Product!E:E,"Bulunamadı")</f>
        <v>2.21</v>
      </c>
      <c r="I691" s="2" t="str">
        <f t="shared" si="1"/>
        <v>90183 - Fiction - Medieval History</v>
      </c>
      <c r="J691" s="2">
        <f t="shared" si="2"/>
        <v>1069.64</v>
      </c>
      <c r="K691" s="17">
        <f t="shared" si="3"/>
        <v>1</v>
      </c>
      <c r="L691" s="18"/>
    </row>
    <row r="692" hidden="1">
      <c r="A692" s="2">
        <f>IFERROR(__xludf.DUMMYFUNCTION("""COMPUTED_VALUE"""),45489.0)</f>
        <v>45489</v>
      </c>
      <c r="B692" s="2">
        <f>IFERROR(__xludf.DUMMYFUNCTION("""COMPUTED_VALUE"""),1.0)</f>
        <v>1</v>
      </c>
      <c r="C692" s="2">
        <f>IFERROR(__xludf.DUMMYFUNCTION("""COMPUTED_VALUE"""),714.0)</f>
        <v>714</v>
      </c>
      <c r="D692" s="3">
        <f>IFERROR(__xludf.DUMMYFUNCTION("""COMPUTED_VALUE"""),142.0)</f>
        <v>142</v>
      </c>
      <c r="E692" s="1" t="str">
        <f t="array" ref="E692">_xlfn.XLOOKUP(A692,Product!A:A,Product!B:B,"Bulunamadı")</f>
        <v>Fiction</v>
      </c>
      <c r="F692" s="1" t="str">
        <f t="array" ref="F692">_xlfn.XLOOKUP(A692,Product!A:A,Product!C:C,"Bulunamadı")</f>
        <v>Medieval History</v>
      </c>
      <c r="G692" s="2" t="str">
        <f t="array" ref="G692">_xlfn.XLOOKUP(A693,Product!A:A,Product!D:D,"Bulunamadı")</f>
        <v>Western Trail Publishing</v>
      </c>
      <c r="H692" s="2">
        <f t="array" ref="H692">_xlfn.XLOOKUP(A694,Product!A:A,Product!E:E,"Bulunamadı")</f>
        <v>2.11</v>
      </c>
      <c r="I692" s="2" t="str">
        <f t="shared" si="1"/>
        <v>45489 - Fiction - Medieval History</v>
      </c>
      <c r="J692" s="2">
        <f t="shared" si="2"/>
        <v>299.62</v>
      </c>
      <c r="K692" s="17">
        <f t="shared" si="3"/>
        <v>1</v>
      </c>
      <c r="L692" s="18"/>
    </row>
    <row r="693" hidden="1">
      <c r="A693" s="2">
        <f>IFERROR(__xludf.DUMMYFUNCTION("""COMPUTED_VALUE"""),147337.0)</f>
        <v>147337</v>
      </c>
      <c r="B693" s="2">
        <f>IFERROR(__xludf.DUMMYFUNCTION("""COMPUTED_VALUE"""),1.0)</f>
        <v>1</v>
      </c>
      <c r="C693" s="2">
        <f>IFERROR(__xludf.DUMMYFUNCTION("""COMPUTED_VALUE"""),584.0)</f>
        <v>584</v>
      </c>
      <c r="D693" s="3">
        <f>IFERROR(__xludf.DUMMYFUNCTION("""COMPUTED_VALUE"""),253.0)</f>
        <v>253</v>
      </c>
      <c r="E693" s="1" t="str">
        <f t="array" ref="E693">_xlfn.XLOOKUP(A693,Product!A:A,Product!B:B,"Bulunamadı")</f>
        <v>Fiction</v>
      </c>
      <c r="F693" s="1" t="str">
        <f t="array" ref="F693">_xlfn.XLOOKUP(A693,Product!A:A,Product!C:C,"Bulunamadı")</f>
        <v>Medieval History</v>
      </c>
      <c r="G693" s="2" t="str">
        <f t="array" ref="G693">_xlfn.XLOOKUP(A694,Product!A:A,Product!D:D,"Bulunamadı")</f>
        <v>Western Trail Publishing</v>
      </c>
      <c r="H693" s="2">
        <f t="array" ref="H693">_xlfn.XLOOKUP(A695,Product!A:A,Product!E:E,"Bulunamadı")</f>
        <v>0.74</v>
      </c>
      <c r="I693" s="2" t="str">
        <f t="shared" si="1"/>
        <v>147337 - Fiction - Medieval History</v>
      </c>
      <c r="J693" s="2">
        <f t="shared" si="2"/>
        <v>187.22</v>
      </c>
      <c r="K693" s="17">
        <f t="shared" si="3"/>
        <v>1</v>
      </c>
      <c r="L693" s="18"/>
    </row>
    <row r="694" hidden="1">
      <c r="A694" s="2">
        <f>IFERROR(__xludf.DUMMYFUNCTION("""COMPUTED_VALUE"""),116446.0)</f>
        <v>116446</v>
      </c>
      <c r="B694" s="2">
        <f>IFERROR(__xludf.DUMMYFUNCTION("""COMPUTED_VALUE"""),1.0)</f>
        <v>1</v>
      </c>
      <c r="C694" s="2">
        <f>IFERROR(__xludf.DUMMYFUNCTION("""COMPUTED_VALUE"""),848.0)</f>
        <v>848</v>
      </c>
      <c r="D694" s="3">
        <f>IFERROR(__xludf.DUMMYFUNCTION("""COMPUTED_VALUE"""),149.0)</f>
        <v>149</v>
      </c>
      <c r="E694" s="1" t="str">
        <f t="array" ref="E694">_xlfn.XLOOKUP(A694,Product!A:A,Product!B:B,"Bulunamadı")</f>
        <v>Fiction</v>
      </c>
      <c r="F694" s="1" t="str">
        <f t="array" ref="F694">_xlfn.XLOOKUP(A694,Product!A:A,Product!C:C,"Bulunamadı")</f>
        <v>Medieval History</v>
      </c>
      <c r="G694" s="2" t="str">
        <f t="array" ref="G694">_xlfn.XLOOKUP(A695,Product!A:A,Product!D:D,"Bulunamadı")</f>
        <v>Western Trail Publishing</v>
      </c>
      <c r="H694" s="2">
        <f t="array" ref="H694">_xlfn.XLOOKUP(A696,Product!A:A,Product!E:E,"Bulunamadı")</f>
        <v>1.89</v>
      </c>
      <c r="I694" s="2" t="str">
        <f t="shared" si="1"/>
        <v>116446 - Fiction - Medieval History</v>
      </c>
      <c r="J694" s="2">
        <f t="shared" si="2"/>
        <v>281.61</v>
      </c>
      <c r="K694" s="17">
        <f t="shared" si="3"/>
        <v>1</v>
      </c>
      <c r="L694" s="18"/>
    </row>
    <row r="695" hidden="1">
      <c r="A695" s="2">
        <f>IFERROR(__xludf.DUMMYFUNCTION("""COMPUTED_VALUE"""),44760.0)</f>
        <v>44760</v>
      </c>
      <c r="B695" s="2">
        <f>IFERROR(__xludf.DUMMYFUNCTION("""COMPUTED_VALUE"""),0.0)</f>
        <v>0</v>
      </c>
      <c r="C695" s="2">
        <f>IFERROR(__xludf.DUMMYFUNCTION("""COMPUTED_VALUE"""),831.0)</f>
        <v>831</v>
      </c>
      <c r="D695" s="3">
        <f>IFERROR(__xludf.DUMMYFUNCTION("""COMPUTED_VALUE"""),44.0)</f>
        <v>44</v>
      </c>
      <c r="E695" s="1" t="str">
        <f t="array" ref="E695">_xlfn.XLOOKUP(A695,Product!A:A,Product!B:B,"Bulunamadı")</f>
        <v>Fiction</v>
      </c>
      <c r="F695" s="1" t="str">
        <f t="array" ref="F695">_xlfn.XLOOKUP(A695,Product!A:A,Product!C:C,"Bulunamadı")</f>
        <v>Medieval History</v>
      </c>
      <c r="G695" s="2" t="str">
        <f t="array" ref="G695">_xlfn.XLOOKUP(A696,Product!A:A,Product!D:D,"Bulunamadı")</f>
        <v>Western Trail Publishing</v>
      </c>
      <c r="H695" s="2">
        <f t="array" ref="H695">_xlfn.XLOOKUP(A697,Product!A:A,Product!E:E,"Bulunamadı")</f>
        <v>2.29</v>
      </c>
      <c r="I695" s="2" t="str">
        <f t="shared" si="1"/>
        <v>44760 - Fiction - Medieval History</v>
      </c>
      <c r="J695" s="2">
        <f t="shared" si="2"/>
        <v>100.76</v>
      </c>
      <c r="K695" s="17">
        <f t="shared" si="3"/>
        <v>1</v>
      </c>
      <c r="L695" s="18"/>
    </row>
    <row r="696" hidden="1">
      <c r="A696" s="2">
        <f>IFERROR(__xludf.DUMMYFUNCTION("""COMPUTED_VALUE"""),44764.0)</f>
        <v>44764</v>
      </c>
      <c r="B696" s="2">
        <f>IFERROR(__xludf.DUMMYFUNCTION("""COMPUTED_VALUE"""),0.0)</f>
        <v>0</v>
      </c>
      <c r="C696" s="2">
        <f>IFERROR(__xludf.DUMMYFUNCTION("""COMPUTED_VALUE"""),952.0)</f>
        <v>952</v>
      </c>
      <c r="D696" s="3">
        <f>IFERROR(__xludf.DUMMYFUNCTION("""COMPUTED_VALUE"""),605.0)</f>
        <v>605</v>
      </c>
      <c r="E696" s="1" t="str">
        <f t="array" ref="E696">_xlfn.XLOOKUP(A696,Product!A:A,Product!B:B,"Bulunamadı")</f>
        <v>Fiction</v>
      </c>
      <c r="F696" s="1" t="str">
        <f t="array" ref="F696">_xlfn.XLOOKUP(A696,Product!A:A,Product!C:C,"Bulunamadı")</f>
        <v>Medieval History</v>
      </c>
      <c r="G696" s="2" t="str">
        <f t="array" ref="G696">_xlfn.XLOOKUP(A697,Product!A:A,Product!D:D,"Bulunamadı")</f>
        <v>Western Trail Publishing</v>
      </c>
      <c r="H696" s="2">
        <f t="array" ref="H696">_xlfn.XLOOKUP(A698,Product!A:A,Product!E:E,"Bulunamadı")</f>
        <v>2.32</v>
      </c>
      <c r="I696" s="2" t="str">
        <f t="shared" si="1"/>
        <v>44764 - Fiction - Medieval History</v>
      </c>
      <c r="J696" s="2">
        <f t="shared" si="2"/>
        <v>1403.6</v>
      </c>
      <c r="K696" s="17">
        <f t="shared" si="3"/>
        <v>1</v>
      </c>
      <c r="L696" s="18"/>
    </row>
    <row r="697" hidden="1">
      <c r="A697" s="2">
        <f>IFERROR(__xludf.DUMMYFUNCTION("""COMPUTED_VALUE"""),72801.0)</f>
        <v>72801</v>
      </c>
      <c r="B697" s="2">
        <f>IFERROR(__xludf.DUMMYFUNCTION("""COMPUTED_VALUE"""),1.0)</f>
        <v>1</v>
      </c>
      <c r="C697" s="2">
        <f>IFERROR(__xludf.DUMMYFUNCTION("""COMPUTED_VALUE"""),365.0)</f>
        <v>365</v>
      </c>
      <c r="D697" s="3">
        <f>IFERROR(__xludf.DUMMYFUNCTION("""COMPUTED_VALUE"""),207.0)</f>
        <v>207</v>
      </c>
      <c r="E697" s="1" t="str">
        <f t="array" ref="E697">_xlfn.XLOOKUP(A697,Product!A:A,Product!B:B,"Bulunamadı")</f>
        <v>Fiction</v>
      </c>
      <c r="F697" s="1" t="str">
        <f t="array" ref="F697">_xlfn.XLOOKUP(A697,Product!A:A,Product!C:C,"Bulunamadı")</f>
        <v>Medieval History</v>
      </c>
      <c r="G697" s="2" t="str">
        <f t="array" ref="G697">_xlfn.XLOOKUP(A698,Product!A:A,Product!D:D,"Bulunamadı")</f>
        <v>Western Trail Publishing</v>
      </c>
      <c r="H697" s="2">
        <f t="array" ref="H697">_xlfn.XLOOKUP(A699,Product!A:A,Product!E:E,"Bulunamadı")</f>
        <v>5.89</v>
      </c>
      <c r="I697" s="2" t="str">
        <f t="shared" si="1"/>
        <v>72801 - Fiction - Medieval History</v>
      </c>
      <c r="J697" s="2">
        <f t="shared" si="2"/>
        <v>1219.23</v>
      </c>
      <c r="K697" s="17">
        <f t="shared" si="3"/>
        <v>1</v>
      </c>
      <c r="L697" s="18"/>
    </row>
    <row r="698" hidden="1">
      <c r="A698" s="2">
        <f>IFERROR(__xludf.DUMMYFUNCTION("""COMPUTED_VALUE"""),86573.0)</f>
        <v>86573</v>
      </c>
      <c r="B698" s="2">
        <f>IFERROR(__xludf.DUMMYFUNCTION("""COMPUTED_VALUE"""),1.0)</f>
        <v>1</v>
      </c>
      <c r="C698" s="2">
        <f>IFERROR(__xludf.DUMMYFUNCTION("""COMPUTED_VALUE"""),139.0)</f>
        <v>139</v>
      </c>
      <c r="D698" s="3">
        <f>IFERROR(__xludf.DUMMYFUNCTION("""COMPUTED_VALUE"""),63.0)</f>
        <v>63</v>
      </c>
      <c r="E698" s="1" t="str">
        <f t="array" ref="E698">_xlfn.XLOOKUP(A698,Product!A:A,Product!B:B,"Bulunamadı")</f>
        <v>Fiction</v>
      </c>
      <c r="F698" s="1" t="str">
        <f t="array" ref="F698">_xlfn.XLOOKUP(A698,Product!A:A,Product!C:C,"Bulunamadı")</f>
        <v>Medieval History</v>
      </c>
      <c r="G698" s="2" t="str">
        <f t="array" ref="G698">_xlfn.XLOOKUP(A699,Product!A:A,Product!D:D,"Bulunamadı")</f>
        <v>Western Trail Publishing</v>
      </c>
      <c r="H698" s="2">
        <f t="array" ref="H698">_xlfn.XLOOKUP(A700,Product!A:A,Product!E:E,"Bulunamadı")</f>
        <v>6.49</v>
      </c>
      <c r="I698" s="2" t="str">
        <f t="shared" si="1"/>
        <v>86573 - Fiction - Medieval History</v>
      </c>
      <c r="J698" s="2">
        <f t="shared" si="2"/>
        <v>408.87</v>
      </c>
      <c r="K698" s="17">
        <f t="shared" si="3"/>
        <v>1</v>
      </c>
      <c r="L698" s="18"/>
    </row>
    <row r="699" hidden="1">
      <c r="A699" s="2">
        <f>IFERROR(__xludf.DUMMYFUNCTION("""COMPUTED_VALUE"""),107784.0)</f>
        <v>107784</v>
      </c>
      <c r="B699" s="2">
        <f>IFERROR(__xludf.DUMMYFUNCTION("""COMPUTED_VALUE"""),1.0)</f>
        <v>1</v>
      </c>
      <c r="C699" s="2">
        <f>IFERROR(__xludf.DUMMYFUNCTION("""COMPUTED_VALUE"""),119.0)</f>
        <v>119</v>
      </c>
      <c r="D699" s="3">
        <f>IFERROR(__xludf.DUMMYFUNCTION("""COMPUTED_VALUE"""),47.0)</f>
        <v>47</v>
      </c>
      <c r="E699" s="1" t="str">
        <f t="array" ref="E699">_xlfn.XLOOKUP(A699,Product!A:A,Product!B:B,"Bulunamadı")</f>
        <v>Fiction</v>
      </c>
      <c r="F699" s="1" t="str">
        <f t="array" ref="F699">_xlfn.XLOOKUP(A699,Product!A:A,Product!C:C,"Bulunamadı")</f>
        <v>Medieval History</v>
      </c>
      <c r="G699" s="2" t="str">
        <f t="array" ref="G699">_xlfn.XLOOKUP(A700,Product!A:A,Product!D:D,"Bulunamadı")</f>
        <v>Western Trail Publishing</v>
      </c>
      <c r="H699" s="2">
        <f t="array" ref="H699">_xlfn.XLOOKUP(A701,Product!A:A,Product!E:E,"Bulunamadı")</f>
        <v>2.41</v>
      </c>
      <c r="I699" s="2" t="str">
        <f t="shared" si="1"/>
        <v>107784 - Fiction - Medieval History</v>
      </c>
      <c r="J699" s="2">
        <f t="shared" si="2"/>
        <v>113.27</v>
      </c>
      <c r="K699" s="17">
        <f t="shared" si="3"/>
        <v>1</v>
      </c>
      <c r="L699" s="18"/>
    </row>
    <row r="700" hidden="1">
      <c r="A700" s="2">
        <f>IFERROR(__xludf.DUMMYFUNCTION("""COMPUTED_VALUE"""),103388.0)</f>
        <v>103388</v>
      </c>
      <c r="B700" s="2">
        <f>IFERROR(__xludf.DUMMYFUNCTION("""COMPUTED_VALUE"""),1.0)</f>
        <v>1</v>
      </c>
      <c r="C700" s="2">
        <f>IFERROR(__xludf.DUMMYFUNCTION("""COMPUTED_VALUE"""),768.0)</f>
        <v>768</v>
      </c>
      <c r="D700" s="3">
        <f>IFERROR(__xludf.DUMMYFUNCTION("""COMPUTED_VALUE"""),80.0)</f>
        <v>80</v>
      </c>
      <c r="E700" s="1" t="str">
        <f t="array" ref="E700">_xlfn.XLOOKUP(A700,Product!A:A,Product!B:B,"Bulunamadı")</f>
        <v>Fiction</v>
      </c>
      <c r="F700" s="1" t="str">
        <f t="array" ref="F700">_xlfn.XLOOKUP(A700,Product!A:A,Product!C:C,"Bulunamadı")</f>
        <v>Medieval History</v>
      </c>
      <c r="G700" s="2" t="str">
        <f t="array" ref="G700">_xlfn.XLOOKUP(A701,Product!A:A,Product!D:D,"Bulunamadı")</f>
        <v>Western Trail Publishing</v>
      </c>
      <c r="H700" s="2">
        <f t="array" ref="H700">_xlfn.XLOOKUP(A702,Product!A:A,Product!E:E,"Bulunamadı")</f>
        <v>2.78</v>
      </c>
      <c r="I700" s="2" t="str">
        <f t="shared" si="1"/>
        <v>103388 - Fiction - Medieval History</v>
      </c>
      <c r="J700" s="2">
        <f t="shared" si="2"/>
        <v>222.4</v>
      </c>
      <c r="K700" s="17">
        <f t="shared" si="3"/>
        <v>1</v>
      </c>
      <c r="L700" s="18"/>
    </row>
    <row r="701" hidden="1">
      <c r="A701" s="2">
        <f>IFERROR(__xludf.DUMMYFUNCTION("""COMPUTED_VALUE"""),8004.0)</f>
        <v>8004</v>
      </c>
      <c r="B701" s="2">
        <f>IFERROR(__xludf.DUMMYFUNCTION("""COMPUTED_VALUE"""),1.0)</f>
        <v>1</v>
      </c>
      <c r="C701" s="2">
        <f>IFERROR(__xludf.DUMMYFUNCTION("""COMPUTED_VALUE"""),663.0)</f>
        <v>663</v>
      </c>
      <c r="D701" s="3">
        <f>IFERROR(__xludf.DUMMYFUNCTION("""COMPUTED_VALUE"""),211.0)</f>
        <v>211</v>
      </c>
      <c r="E701" s="1" t="str">
        <f t="array" ref="E701">_xlfn.XLOOKUP(A701,Product!A:A,Product!B:B,"Bulunamadı")</f>
        <v>Fiction</v>
      </c>
      <c r="F701" s="1" t="str">
        <f t="array" ref="F701">_xlfn.XLOOKUP(A701,Product!A:A,Product!C:C,"Bulunamadı")</f>
        <v>Medieval History</v>
      </c>
      <c r="G701" s="2" t="str">
        <f t="array" ref="G701">_xlfn.XLOOKUP(A702,Product!A:A,Product!D:D,"Bulunamadı")</f>
        <v>Western Trail Publishing</v>
      </c>
      <c r="H701" s="2">
        <f t="array" ref="H701">_xlfn.XLOOKUP(A703,Product!A:A,Product!E:E,"Bulunamadı")</f>
        <v>1.51</v>
      </c>
      <c r="I701" s="2" t="str">
        <f t="shared" si="1"/>
        <v>8004 - Fiction - Medieval History</v>
      </c>
      <c r="J701" s="2">
        <f t="shared" si="2"/>
        <v>318.61</v>
      </c>
      <c r="K701" s="17">
        <f t="shared" si="3"/>
        <v>1</v>
      </c>
      <c r="L701" s="18"/>
    </row>
    <row r="702" hidden="1">
      <c r="A702" s="2">
        <f>IFERROR(__xludf.DUMMYFUNCTION("""COMPUTED_VALUE"""),103387.0)</f>
        <v>103387</v>
      </c>
      <c r="B702" s="2">
        <f>IFERROR(__xludf.DUMMYFUNCTION("""COMPUTED_VALUE"""),0.0)</f>
        <v>0</v>
      </c>
      <c r="C702" s="2">
        <f>IFERROR(__xludf.DUMMYFUNCTION("""COMPUTED_VALUE"""),381.0)</f>
        <v>381</v>
      </c>
      <c r="D702" s="3">
        <f>IFERROR(__xludf.DUMMYFUNCTION("""COMPUTED_VALUE"""),272.0)</f>
        <v>272</v>
      </c>
      <c r="E702" s="1" t="str">
        <f t="array" ref="E702">_xlfn.XLOOKUP(A702,Product!A:A,Product!B:B,"Bulunamadı")</f>
        <v>Fiction</v>
      </c>
      <c r="F702" s="1" t="str">
        <f t="array" ref="F702">_xlfn.XLOOKUP(A702,Product!A:A,Product!C:C,"Bulunamadı")</f>
        <v>Medieval History</v>
      </c>
      <c r="G702" s="2" t="str">
        <f t="array" ref="G702">_xlfn.XLOOKUP(A703,Product!A:A,Product!D:D,"Bulunamadı")</f>
        <v>Western Trail Publishing</v>
      </c>
      <c r="H702" s="2">
        <f t="array" ref="H702">_xlfn.XLOOKUP(A704,Product!A:A,Product!E:E,"Bulunamadı")</f>
        <v>2.17</v>
      </c>
      <c r="I702" s="2" t="str">
        <f t="shared" si="1"/>
        <v>103387 - Fiction - Medieval History</v>
      </c>
      <c r="J702" s="2">
        <f t="shared" si="2"/>
        <v>590.24</v>
      </c>
      <c r="K702" s="17">
        <f t="shared" si="3"/>
        <v>1</v>
      </c>
      <c r="L702" s="18"/>
    </row>
    <row r="703" hidden="1">
      <c r="A703" s="2">
        <f>IFERROR(__xludf.DUMMYFUNCTION("""COMPUTED_VALUE"""),76731.0)</f>
        <v>76731</v>
      </c>
      <c r="B703" s="2">
        <f>IFERROR(__xludf.DUMMYFUNCTION("""COMPUTED_VALUE"""),0.0)</f>
        <v>0</v>
      </c>
      <c r="C703" s="2">
        <f>IFERROR(__xludf.DUMMYFUNCTION("""COMPUTED_VALUE"""),967.0)</f>
        <v>967</v>
      </c>
      <c r="D703" s="3">
        <f>IFERROR(__xludf.DUMMYFUNCTION("""COMPUTED_VALUE"""),534.0)</f>
        <v>534</v>
      </c>
      <c r="E703" s="1" t="str">
        <f t="array" ref="E703">_xlfn.XLOOKUP(A703,Product!A:A,Product!B:B,"Bulunamadı")</f>
        <v>Fiction</v>
      </c>
      <c r="F703" s="1" t="str">
        <f t="array" ref="F703">_xlfn.XLOOKUP(A703,Product!A:A,Product!C:C,"Bulunamadı")</f>
        <v>Medieval History</v>
      </c>
      <c r="G703" s="2" t="str">
        <f t="array" ref="G703">_xlfn.XLOOKUP(A704,Product!A:A,Product!D:D,"Bulunamadı")</f>
        <v>Western Trail Publishing</v>
      </c>
      <c r="H703" s="2">
        <f t="array" ref="H703">_xlfn.XLOOKUP(A705,Product!A:A,Product!E:E,"Bulunamadı")</f>
        <v>2.09</v>
      </c>
      <c r="I703" s="2" t="str">
        <f t="shared" si="1"/>
        <v>76731 - Fiction - Medieval History</v>
      </c>
      <c r="J703" s="2">
        <f t="shared" si="2"/>
        <v>1116.06</v>
      </c>
      <c r="K703" s="17">
        <f t="shared" si="3"/>
        <v>1</v>
      </c>
      <c r="L703" s="18"/>
    </row>
    <row r="704" hidden="1">
      <c r="A704" s="2">
        <f>IFERROR(__xludf.DUMMYFUNCTION("""COMPUTED_VALUE"""),116449.0)</f>
        <v>116449</v>
      </c>
      <c r="B704" s="2">
        <f>IFERROR(__xludf.DUMMYFUNCTION("""COMPUTED_VALUE"""),1.0)</f>
        <v>1</v>
      </c>
      <c r="C704" s="2">
        <f>IFERROR(__xludf.DUMMYFUNCTION("""COMPUTED_VALUE"""),336.0)</f>
        <v>336</v>
      </c>
      <c r="D704" s="3">
        <f>IFERROR(__xludf.DUMMYFUNCTION("""COMPUTED_VALUE"""),136.0)</f>
        <v>136</v>
      </c>
      <c r="E704" s="1" t="str">
        <f t="array" ref="E704">_xlfn.XLOOKUP(A704,Product!A:A,Product!B:B,"Bulunamadı")</f>
        <v>Fiction</v>
      </c>
      <c r="F704" s="1" t="str">
        <f t="array" ref="F704">_xlfn.XLOOKUP(A704,Product!A:A,Product!C:C,"Bulunamadı")</f>
        <v>Medieval History</v>
      </c>
      <c r="G704" s="2" t="str">
        <f t="array" ref="G704">_xlfn.XLOOKUP(A705,Product!A:A,Product!D:D,"Bulunamadı")</f>
        <v>Western Trail Publishing</v>
      </c>
      <c r="H704" s="2">
        <f t="array" ref="H704">_xlfn.XLOOKUP(A706,Product!A:A,Product!E:E,"Bulunamadı")</f>
        <v>1.91</v>
      </c>
      <c r="I704" s="2" t="str">
        <f t="shared" si="1"/>
        <v>116449 - Fiction - Medieval History</v>
      </c>
      <c r="J704" s="2">
        <f t="shared" si="2"/>
        <v>259.76</v>
      </c>
      <c r="K704" s="17">
        <f t="shared" si="3"/>
        <v>1</v>
      </c>
      <c r="L704" s="18"/>
    </row>
    <row r="705" hidden="1">
      <c r="A705" s="2">
        <f>IFERROR(__xludf.DUMMYFUNCTION("""COMPUTED_VALUE"""),95211.0)</f>
        <v>95211</v>
      </c>
      <c r="B705" s="2">
        <f>IFERROR(__xludf.DUMMYFUNCTION("""COMPUTED_VALUE"""),0.0)</f>
        <v>0</v>
      </c>
      <c r="C705" s="2">
        <f>IFERROR(__xludf.DUMMYFUNCTION("""COMPUTED_VALUE"""),394.0)</f>
        <v>394</v>
      </c>
      <c r="D705" s="3">
        <f>IFERROR(__xludf.DUMMYFUNCTION("""COMPUTED_VALUE"""),264.0)</f>
        <v>264</v>
      </c>
      <c r="E705" s="1" t="str">
        <f t="array" ref="E705">_xlfn.XLOOKUP(A705,Product!A:A,Product!B:B,"Bulunamadı")</f>
        <v>Fiction</v>
      </c>
      <c r="F705" s="1" t="str">
        <f t="array" ref="F705">_xlfn.XLOOKUP(A705,Product!A:A,Product!C:C,"Bulunamadı")</f>
        <v>Medieval History</v>
      </c>
      <c r="G705" s="2" t="str">
        <f t="array" ref="G705">_xlfn.XLOOKUP(A706,Product!A:A,Product!D:D,"Bulunamadı")</f>
        <v>Western Trail Publishing</v>
      </c>
      <c r="H705" s="2">
        <f t="array" ref="H705">_xlfn.XLOOKUP(A707,Product!A:A,Product!E:E,"Bulunamadı")</f>
        <v>5.4</v>
      </c>
      <c r="I705" s="2" t="str">
        <f t="shared" si="1"/>
        <v>95211 - Fiction - Medieval History</v>
      </c>
      <c r="J705" s="2">
        <f t="shared" si="2"/>
        <v>1425.6</v>
      </c>
      <c r="K705" s="17">
        <f t="shared" si="3"/>
        <v>1</v>
      </c>
      <c r="L705" s="18"/>
    </row>
    <row r="706" hidden="1">
      <c r="A706" s="2">
        <f>IFERROR(__xludf.DUMMYFUNCTION("""COMPUTED_VALUE"""),118255.0)</f>
        <v>118255</v>
      </c>
      <c r="B706" s="2">
        <f>IFERROR(__xludf.DUMMYFUNCTION("""COMPUTED_VALUE"""),0.0)</f>
        <v>0</v>
      </c>
      <c r="C706" s="2">
        <f>IFERROR(__xludf.DUMMYFUNCTION("""COMPUTED_VALUE"""),941.0)</f>
        <v>941</v>
      </c>
      <c r="D706" s="3">
        <f>IFERROR(__xludf.DUMMYFUNCTION("""COMPUTED_VALUE"""),900.0)</f>
        <v>900</v>
      </c>
      <c r="E706" s="1" t="str">
        <f t="array" ref="E706">_xlfn.XLOOKUP(A706,Product!A:A,Product!B:B,"Bulunamadı")</f>
        <v>Fiction</v>
      </c>
      <c r="F706" s="1" t="str">
        <f t="array" ref="F706">_xlfn.XLOOKUP(A706,Product!A:A,Product!C:C,"Bulunamadı")</f>
        <v>Medieval History</v>
      </c>
      <c r="G706" s="2" t="str">
        <f t="array" ref="G706">_xlfn.XLOOKUP(A707,Product!A:A,Product!D:D,"Bulunamadı")</f>
        <v>Urban Lantern Books</v>
      </c>
      <c r="H706" s="2">
        <f t="array" ref="H706">_xlfn.XLOOKUP(A708,Product!A:A,Product!E:E,"Bulunamadı")</f>
        <v>4.15</v>
      </c>
      <c r="I706" s="2" t="str">
        <f t="shared" si="1"/>
        <v>118255 - Fiction - Medieval History</v>
      </c>
      <c r="J706" s="2">
        <f t="shared" si="2"/>
        <v>3735</v>
      </c>
      <c r="K706" s="17">
        <f t="shared" si="3"/>
        <v>1</v>
      </c>
      <c r="L706" s="18"/>
    </row>
    <row r="707" hidden="1">
      <c r="A707" s="2">
        <f>IFERROR(__xludf.DUMMYFUNCTION("""COMPUTED_VALUE"""),8010.0)</f>
        <v>8010</v>
      </c>
      <c r="B707" s="2">
        <f>IFERROR(__xludf.DUMMYFUNCTION("""COMPUTED_VALUE"""),1.0)</f>
        <v>1</v>
      </c>
      <c r="C707" s="2">
        <f>IFERROR(__xludf.DUMMYFUNCTION("""COMPUTED_VALUE"""),914.0)</f>
        <v>914</v>
      </c>
      <c r="D707" s="3">
        <f>IFERROR(__xludf.DUMMYFUNCTION("""COMPUTED_VALUE"""),330.0)</f>
        <v>330</v>
      </c>
      <c r="E707" s="1" t="str">
        <f t="array" ref="E707">_xlfn.XLOOKUP(A707,Product!A:A,Product!B:B,"Bulunamadı")</f>
        <v>Fiction</v>
      </c>
      <c r="F707" s="1" t="str">
        <f t="array" ref="F707">_xlfn.XLOOKUP(A707,Product!A:A,Product!C:C,"Bulunamadı")</f>
        <v>Medieval History</v>
      </c>
      <c r="G707" s="2" t="str">
        <f t="array" ref="G707">_xlfn.XLOOKUP(A708,Product!A:A,Product!D:D,"Bulunamadı")</f>
        <v>Urban Lantern Books</v>
      </c>
      <c r="H707" s="2">
        <f t="array" ref="H707">_xlfn.XLOOKUP(A709,Product!A:A,Product!E:E,"Bulunamadı")</f>
        <v>2.02</v>
      </c>
      <c r="I707" s="2" t="str">
        <f t="shared" si="1"/>
        <v>8010 - Fiction - Medieval History</v>
      </c>
      <c r="J707" s="2">
        <f t="shared" si="2"/>
        <v>666.6</v>
      </c>
      <c r="K707" s="17">
        <f t="shared" si="3"/>
        <v>1</v>
      </c>
      <c r="L707" s="18"/>
    </row>
    <row r="708" hidden="1">
      <c r="A708" s="2">
        <f>IFERROR(__xludf.DUMMYFUNCTION("""COMPUTED_VALUE"""),128351.0)</f>
        <v>128351</v>
      </c>
      <c r="B708" s="2">
        <f>IFERROR(__xludf.DUMMYFUNCTION("""COMPUTED_VALUE"""),0.0)</f>
        <v>0</v>
      </c>
      <c r="C708" s="2">
        <f>IFERROR(__xludf.DUMMYFUNCTION("""COMPUTED_VALUE"""),278.0)</f>
        <v>278</v>
      </c>
      <c r="D708" s="3">
        <f>IFERROR(__xludf.DUMMYFUNCTION("""COMPUTED_VALUE"""),101.0)</f>
        <v>101</v>
      </c>
      <c r="E708" s="1" t="str">
        <f t="array" ref="E708">_xlfn.XLOOKUP(A708,Product!A:A,Product!B:B,"Bulunamadı")</f>
        <v>Fiction</v>
      </c>
      <c r="F708" s="1" t="str">
        <f t="array" ref="F708">_xlfn.XLOOKUP(A708,Product!A:A,Product!C:C,"Bulunamadı")</f>
        <v>Medieval History</v>
      </c>
      <c r="G708" s="2" t="str">
        <f t="array" ref="G708">_xlfn.XLOOKUP(A709,Product!A:A,Product!D:D,"Bulunamadı")</f>
        <v>Urban Lantern Books</v>
      </c>
      <c r="H708" s="2">
        <f t="array" ref="H708">_xlfn.XLOOKUP(A710,Product!A:A,Product!E:E,"Bulunamadı")</f>
        <v>3.28</v>
      </c>
      <c r="I708" s="2" t="str">
        <f t="shared" si="1"/>
        <v>128351 - Fiction - Medieval History</v>
      </c>
      <c r="J708" s="2">
        <f t="shared" si="2"/>
        <v>331.28</v>
      </c>
      <c r="K708" s="17">
        <f t="shared" si="3"/>
        <v>1</v>
      </c>
      <c r="L708" s="18"/>
    </row>
    <row r="709" hidden="1">
      <c r="A709" s="2">
        <f>IFERROR(__xludf.DUMMYFUNCTION("""COMPUTED_VALUE"""),12452.0)</f>
        <v>12452</v>
      </c>
      <c r="B709" s="2">
        <f>IFERROR(__xludf.DUMMYFUNCTION("""COMPUTED_VALUE"""),0.0)</f>
        <v>0</v>
      </c>
      <c r="C709" s="2">
        <f>IFERROR(__xludf.DUMMYFUNCTION("""COMPUTED_VALUE"""),506.0)</f>
        <v>506</v>
      </c>
      <c r="D709" s="3">
        <f>IFERROR(__xludf.DUMMYFUNCTION("""COMPUTED_VALUE"""),166.0)</f>
        <v>166</v>
      </c>
      <c r="E709" s="1" t="str">
        <f t="array" ref="E709">_xlfn.XLOOKUP(A709,Product!A:A,Product!B:B,"Bulunamadı")</f>
        <v>Fiction</v>
      </c>
      <c r="F709" s="1" t="str">
        <f t="array" ref="F709">_xlfn.XLOOKUP(A709,Product!A:A,Product!C:C,"Bulunamadı")</f>
        <v>Medieval History</v>
      </c>
      <c r="G709" s="2" t="str">
        <f t="array" ref="G709">_xlfn.XLOOKUP(A710,Product!A:A,Product!D:D,"Bulunamadı")</f>
        <v>Urban Lantern Books</v>
      </c>
      <c r="H709" s="2">
        <f t="array" ref="H709">_xlfn.XLOOKUP(A711,Product!A:A,Product!E:E,"Bulunamadı")</f>
        <v>3.63</v>
      </c>
      <c r="I709" s="2" t="str">
        <f t="shared" si="1"/>
        <v>12452 - Fiction - Medieval History</v>
      </c>
      <c r="J709" s="2">
        <f t="shared" si="2"/>
        <v>602.58</v>
      </c>
      <c r="K709" s="17">
        <f t="shared" si="3"/>
        <v>1</v>
      </c>
      <c r="L709" s="18"/>
    </row>
    <row r="710" hidden="1">
      <c r="A710" s="2">
        <f>IFERROR(__xludf.DUMMYFUNCTION("""COMPUTED_VALUE"""),108996.0)</f>
        <v>108996</v>
      </c>
      <c r="B710" s="2">
        <f>IFERROR(__xludf.DUMMYFUNCTION("""COMPUTED_VALUE"""),0.0)</f>
        <v>0</v>
      </c>
      <c r="C710" s="2">
        <f>IFERROR(__xludf.DUMMYFUNCTION("""COMPUTED_VALUE"""),626.0)</f>
        <v>626</v>
      </c>
      <c r="D710" s="3">
        <f>IFERROR(__xludf.DUMMYFUNCTION("""COMPUTED_VALUE"""),17.0)</f>
        <v>17</v>
      </c>
      <c r="E710" s="1" t="str">
        <f t="array" ref="E710">_xlfn.XLOOKUP(A710,Product!A:A,Product!B:B,"Bulunamadı")</f>
        <v>Fiction</v>
      </c>
      <c r="F710" s="1" t="str">
        <f t="array" ref="F710">_xlfn.XLOOKUP(A710,Product!A:A,Product!C:C,"Bulunamadı")</f>
        <v>Medieval History</v>
      </c>
      <c r="G710" s="2" t="str">
        <f t="array" ref="G710">_xlfn.XLOOKUP(A711,Product!A:A,Product!D:D,"Bulunamadı")</f>
        <v>Urban Lantern Books</v>
      </c>
      <c r="H710" s="2">
        <f t="array" ref="H710">_xlfn.XLOOKUP(A712,Product!A:A,Product!E:E,"Bulunamadı")</f>
        <v>3.16</v>
      </c>
      <c r="I710" s="2" t="str">
        <f t="shared" si="1"/>
        <v>108996 - Fiction - Medieval History</v>
      </c>
      <c r="J710" s="2">
        <f t="shared" si="2"/>
        <v>53.72</v>
      </c>
      <c r="K710" s="17">
        <f t="shared" si="3"/>
        <v>1</v>
      </c>
      <c r="L710" s="18"/>
    </row>
    <row r="711" hidden="1">
      <c r="A711" s="2">
        <f>IFERROR(__xludf.DUMMYFUNCTION("""COMPUTED_VALUE"""),15638.0)</f>
        <v>15638</v>
      </c>
      <c r="B711" s="2">
        <f>IFERROR(__xludf.DUMMYFUNCTION("""COMPUTED_VALUE"""),1.0)</f>
        <v>1</v>
      </c>
      <c r="C711" s="2">
        <f>IFERROR(__xludf.DUMMYFUNCTION("""COMPUTED_VALUE"""),286.0)</f>
        <v>286</v>
      </c>
      <c r="D711" s="3">
        <f>IFERROR(__xludf.DUMMYFUNCTION("""COMPUTED_VALUE"""),26.0)</f>
        <v>26</v>
      </c>
      <c r="E711" s="1" t="str">
        <f t="array" ref="E711">_xlfn.XLOOKUP(A711,Product!A:A,Product!B:B,"Bulunamadı")</f>
        <v>Fiction</v>
      </c>
      <c r="F711" s="1" t="str">
        <f t="array" ref="F711">_xlfn.XLOOKUP(A711,Product!A:A,Product!C:C,"Bulunamadı")</f>
        <v>Medieval History</v>
      </c>
      <c r="G711" s="2" t="str">
        <f t="array" ref="G711">_xlfn.XLOOKUP(A712,Product!A:A,Product!D:D,"Bulunamadı")</f>
        <v>Urban Lantern Books</v>
      </c>
      <c r="H711" s="2">
        <f t="array" ref="H711">_xlfn.XLOOKUP(A713,Product!A:A,Product!E:E,"Bulunamadı")</f>
        <v>3.36</v>
      </c>
      <c r="I711" s="2" t="str">
        <f t="shared" si="1"/>
        <v>15638 - Fiction - Medieval History</v>
      </c>
      <c r="J711" s="2">
        <f t="shared" si="2"/>
        <v>87.36</v>
      </c>
      <c r="K711" s="17">
        <f t="shared" si="3"/>
        <v>1</v>
      </c>
      <c r="L711" s="18"/>
    </row>
    <row r="712" hidden="1">
      <c r="A712" s="2">
        <f>IFERROR(__xludf.DUMMYFUNCTION("""COMPUTED_VALUE"""),118109.0)</f>
        <v>118109</v>
      </c>
      <c r="B712" s="2">
        <f>IFERROR(__xludf.DUMMYFUNCTION("""COMPUTED_VALUE"""),0.0)</f>
        <v>0</v>
      </c>
      <c r="C712" s="2">
        <f>IFERROR(__xludf.DUMMYFUNCTION("""COMPUTED_VALUE"""),780.0)</f>
        <v>780</v>
      </c>
      <c r="D712" s="3">
        <f>IFERROR(__xludf.DUMMYFUNCTION("""COMPUTED_VALUE"""),162.0)</f>
        <v>162</v>
      </c>
      <c r="E712" s="1" t="str">
        <f t="array" ref="E712">_xlfn.XLOOKUP(A712,Product!A:A,Product!B:B,"Bulunamadı")</f>
        <v>Fiction</v>
      </c>
      <c r="F712" s="1" t="str">
        <f t="array" ref="F712">_xlfn.XLOOKUP(A712,Product!A:A,Product!C:C,"Bulunamadı")</f>
        <v>Medieval History</v>
      </c>
      <c r="G712" s="2" t="str">
        <f t="array" ref="G712">_xlfn.XLOOKUP(A713,Product!A:A,Product!D:D,"Bulunamadı")</f>
        <v>Urban Lantern Books</v>
      </c>
      <c r="H712" s="2">
        <f t="array" ref="H712">_xlfn.XLOOKUP(A714,Product!A:A,Product!E:E,"Bulunamadı")</f>
        <v>2.67</v>
      </c>
      <c r="I712" s="2" t="str">
        <f t="shared" si="1"/>
        <v>118109 - Fiction - Medieval History</v>
      </c>
      <c r="J712" s="2">
        <f t="shared" si="2"/>
        <v>432.54</v>
      </c>
      <c r="K712" s="17">
        <f t="shared" si="3"/>
        <v>1</v>
      </c>
      <c r="L712" s="18"/>
    </row>
    <row r="713" hidden="1">
      <c r="A713" s="2">
        <f>IFERROR(__xludf.DUMMYFUNCTION("""COMPUTED_VALUE"""),15634.0)</f>
        <v>15634</v>
      </c>
      <c r="B713" s="2">
        <f>IFERROR(__xludf.DUMMYFUNCTION("""COMPUTED_VALUE"""),1.0)</f>
        <v>1</v>
      </c>
      <c r="C713" s="2">
        <f>IFERROR(__xludf.DUMMYFUNCTION("""COMPUTED_VALUE"""),628.0)</f>
        <v>628</v>
      </c>
      <c r="D713" s="3">
        <f>IFERROR(__xludf.DUMMYFUNCTION("""COMPUTED_VALUE"""),312.0)</f>
        <v>312</v>
      </c>
      <c r="E713" s="1" t="str">
        <f t="array" ref="E713">_xlfn.XLOOKUP(A713,Product!A:A,Product!B:B,"Bulunamadı")</f>
        <v>Fiction</v>
      </c>
      <c r="F713" s="1" t="str">
        <f t="array" ref="F713">_xlfn.XLOOKUP(A713,Product!A:A,Product!C:C,"Bulunamadı")</f>
        <v>Medieval History</v>
      </c>
      <c r="G713" s="2" t="str">
        <f t="array" ref="G713">_xlfn.XLOOKUP(A714,Product!A:A,Product!D:D,"Bulunamadı")</f>
        <v>Urban Lantern Books</v>
      </c>
      <c r="H713" s="2">
        <f t="array" ref="H713">_xlfn.XLOOKUP(A715,Product!A:A,Product!E:E,"Bulunamadı")</f>
        <v>2.61</v>
      </c>
      <c r="I713" s="2" t="str">
        <f t="shared" si="1"/>
        <v>15634 - Fiction - Medieval History</v>
      </c>
      <c r="J713" s="2">
        <f t="shared" si="2"/>
        <v>814.32</v>
      </c>
      <c r="K713" s="17">
        <f t="shared" si="3"/>
        <v>1</v>
      </c>
      <c r="L713" s="18"/>
    </row>
    <row r="714" hidden="1">
      <c r="A714" s="2">
        <f>IFERROR(__xludf.DUMMYFUNCTION("""COMPUTED_VALUE"""),2802.0)</f>
        <v>2802</v>
      </c>
      <c r="B714" s="2">
        <f>IFERROR(__xludf.DUMMYFUNCTION("""COMPUTED_VALUE"""),1.0)</f>
        <v>1</v>
      </c>
      <c r="C714" s="2">
        <f>IFERROR(__xludf.DUMMYFUNCTION("""COMPUTED_VALUE"""),915.0)</f>
        <v>915</v>
      </c>
      <c r="D714" s="3">
        <f>IFERROR(__xludf.DUMMYFUNCTION("""COMPUTED_VALUE"""),846.0)</f>
        <v>846</v>
      </c>
      <c r="E714" s="1" t="str">
        <f t="array" ref="E714">_xlfn.XLOOKUP(A714,Product!A:A,Product!B:B,"Bulunamadı")</f>
        <v>Fiction</v>
      </c>
      <c r="F714" s="1" t="str">
        <f t="array" ref="F714">_xlfn.XLOOKUP(A714,Product!A:A,Product!C:C,"Bulunamadı")</f>
        <v>Medieval History</v>
      </c>
      <c r="G714" s="2" t="str">
        <f t="array" ref="G714">_xlfn.XLOOKUP(A715,Product!A:A,Product!D:D,"Bulunamadı")</f>
        <v>Urban Lantern Books</v>
      </c>
      <c r="H714" s="2">
        <f t="array" ref="H714">_xlfn.XLOOKUP(A716,Product!A:A,Product!E:E,"Bulunamadı")</f>
        <v>2.52</v>
      </c>
      <c r="I714" s="2" t="str">
        <f t="shared" si="1"/>
        <v>2802 - Fiction - Medieval History</v>
      </c>
      <c r="J714" s="2">
        <f t="shared" si="2"/>
        <v>2131.92</v>
      </c>
      <c r="K714" s="17">
        <f t="shared" si="3"/>
        <v>1</v>
      </c>
      <c r="L714" s="18"/>
    </row>
    <row r="715" hidden="1">
      <c r="A715" s="2">
        <f>IFERROR(__xludf.DUMMYFUNCTION("""COMPUTED_VALUE"""),46962.0)</f>
        <v>46962</v>
      </c>
      <c r="B715" s="2">
        <f>IFERROR(__xludf.DUMMYFUNCTION("""COMPUTED_VALUE"""),0.0)</f>
        <v>0</v>
      </c>
      <c r="C715" s="2">
        <f>IFERROR(__xludf.DUMMYFUNCTION("""COMPUTED_VALUE"""),98.0)</f>
        <v>98</v>
      </c>
      <c r="D715" s="3">
        <f>IFERROR(__xludf.DUMMYFUNCTION("""COMPUTED_VALUE"""),18.0)</f>
        <v>18</v>
      </c>
      <c r="E715" s="1" t="str">
        <f t="array" ref="E715">_xlfn.XLOOKUP(A715,Product!A:A,Product!B:B,"Bulunamadı")</f>
        <v>Fiction</v>
      </c>
      <c r="F715" s="1" t="str">
        <f t="array" ref="F715">_xlfn.XLOOKUP(A715,Product!A:A,Product!C:C,"Bulunamadı")</f>
        <v>Medieval History</v>
      </c>
      <c r="G715" s="2" t="str">
        <f t="array" ref="G715">_xlfn.XLOOKUP(A716,Product!A:A,Product!D:D,"Bulunamadı")</f>
        <v>Urban Lantern Books</v>
      </c>
      <c r="H715" s="2">
        <f t="array" ref="H715">_xlfn.XLOOKUP(A717,Product!A:A,Product!E:E,"Bulunamadı")</f>
        <v>3.48</v>
      </c>
      <c r="I715" s="2" t="str">
        <f t="shared" si="1"/>
        <v>46962 - Fiction - Medieval History</v>
      </c>
      <c r="J715" s="2">
        <f t="shared" si="2"/>
        <v>62.64</v>
      </c>
      <c r="K715" s="17">
        <f t="shared" si="3"/>
        <v>1</v>
      </c>
      <c r="L715" s="18"/>
    </row>
    <row r="716" hidden="1">
      <c r="A716" s="2">
        <f>IFERROR(__xludf.DUMMYFUNCTION("""COMPUTED_VALUE"""),128348.0)</f>
        <v>128348</v>
      </c>
      <c r="B716" s="2">
        <f>IFERROR(__xludf.DUMMYFUNCTION("""COMPUTED_VALUE"""),0.0)</f>
        <v>0</v>
      </c>
      <c r="C716" s="2">
        <f>IFERROR(__xludf.DUMMYFUNCTION("""COMPUTED_VALUE"""),55.0)</f>
        <v>55</v>
      </c>
      <c r="D716" s="3">
        <f>IFERROR(__xludf.DUMMYFUNCTION("""COMPUTED_VALUE"""),11.0)</f>
        <v>11</v>
      </c>
      <c r="E716" s="1" t="str">
        <f t="array" ref="E716">_xlfn.XLOOKUP(A716,Product!A:A,Product!B:B,"Bulunamadı")</f>
        <v>Fiction</v>
      </c>
      <c r="F716" s="1" t="str">
        <f t="array" ref="F716">_xlfn.XLOOKUP(A716,Product!A:A,Product!C:C,"Bulunamadı")</f>
        <v>Medieval History</v>
      </c>
      <c r="G716" s="2" t="str">
        <f t="array" ref="G716">_xlfn.XLOOKUP(A717,Product!A:A,Product!D:D,"Bulunamadı")</f>
        <v>Urban Lantern Books</v>
      </c>
      <c r="H716" s="2">
        <f t="array" ref="H716">_xlfn.XLOOKUP(A718,Product!A:A,Product!E:E,"Bulunamadı")</f>
        <v>2.82</v>
      </c>
      <c r="I716" s="2" t="str">
        <f t="shared" si="1"/>
        <v>128348 - Fiction - Medieval History</v>
      </c>
      <c r="J716" s="2">
        <f t="shared" si="2"/>
        <v>31.02</v>
      </c>
      <c r="K716" s="17">
        <f t="shared" si="3"/>
        <v>1</v>
      </c>
      <c r="L716" s="18"/>
    </row>
    <row r="717" hidden="1">
      <c r="A717" s="2">
        <f>IFERROR(__xludf.DUMMYFUNCTION("""COMPUTED_VALUE"""),108963.0)</f>
        <v>108963</v>
      </c>
      <c r="B717" s="2">
        <f>IFERROR(__xludf.DUMMYFUNCTION("""COMPUTED_VALUE"""),1.0)</f>
        <v>1</v>
      </c>
      <c r="C717" s="2">
        <f>IFERROR(__xludf.DUMMYFUNCTION("""COMPUTED_VALUE"""),795.0)</f>
        <v>795</v>
      </c>
      <c r="D717" s="3">
        <f>IFERROR(__xludf.DUMMYFUNCTION("""COMPUTED_VALUE"""),594.0)</f>
        <v>594</v>
      </c>
      <c r="E717" s="1" t="str">
        <f t="array" ref="E717">_xlfn.XLOOKUP(A717,Product!A:A,Product!B:B,"Bulunamadı")</f>
        <v>Fiction</v>
      </c>
      <c r="F717" s="1" t="str">
        <f t="array" ref="F717">_xlfn.XLOOKUP(A717,Product!A:A,Product!C:C,"Bulunamadı")</f>
        <v>Medieval History</v>
      </c>
      <c r="G717" s="2" t="str">
        <f t="array" ref="G717">_xlfn.XLOOKUP(A718,Product!A:A,Product!D:D,"Bulunamadı")</f>
        <v>Urban Lantern Books</v>
      </c>
      <c r="H717" s="2">
        <f t="array" ref="H717">_xlfn.XLOOKUP(A719,Product!A:A,Product!E:E,"Bulunamadı")</f>
        <v>1.48</v>
      </c>
      <c r="I717" s="2" t="str">
        <f t="shared" si="1"/>
        <v>108963 - Fiction - Medieval History</v>
      </c>
      <c r="J717" s="2">
        <f t="shared" si="2"/>
        <v>879.12</v>
      </c>
      <c r="K717" s="17">
        <f t="shared" si="3"/>
        <v>1</v>
      </c>
      <c r="L717" s="18"/>
    </row>
    <row r="718" hidden="1">
      <c r="A718" s="2">
        <f>IFERROR(__xludf.DUMMYFUNCTION("""COMPUTED_VALUE"""),2800.0)</f>
        <v>2800</v>
      </c>
      <c r="B718" s="2">
        <f>IFERROR(__xludf.DUMMYFUNCTION("""COMPUTED_VALUE"""),0.0)</f>
        <v>0</v>
      </c>
      <c r="C718" s="2">
        <f>IFERROR(__xludf.DUMMYFUNCTION("""COMPUTED_VALUE"""),947.0)</f>
        <v>947</v>
      </c>
      <c r="D718" s="3">
        <f>IFERROR(__xludf.DUMMYFUNCTION("""COMPUTED_VALUE"""),451.0)</f>
        <v>451</v>
      </c>
      <c r="E718" s="1" t="str">
        <f t="array" ref="E718">_xlfn.XLOOKUP(A718,Product!A:A,Product!B:B,"Bulunamadı")</f>
        <v>Fiction</v>
      </c>
      <c r="F718" s="1" t="str">
        <f t="array" ref="F718">_xlfn.XLOOKUP(A718,Product!A:A,Product!C:C,"Bulunamadı")</f>
        <v>Medieval History</v>
      </c>
      <c r="G718" s="2" t="str">
        <f t="array" ref="G718">_xlfn.XLOOKUP(A719,Product!A:A,Product!D:D,"Bulunamadı")</f>
        <v>Urban Lantern Books</v>
      </c>
      <c r="H718" s="2">
        <f t="array" ref="H718">_xlfn.XLOOKUP(A720,Product!A:A,Product!E:E,"Bulunamadı")</f>
        <v>2.99</v>
      </c>
      <c r="I718" s="2" t="str">
        <f t="shared" si="1"/>
        <v>2800 - Fiction - Medieval History</v>
      </c>
      <c r="J718" s="2">
        <f t="shared" si="2"/>
        <v>1348.49</v>
      </c>
      <c r="K718" s="17">
        <f t="shared" si="3"/>
        <v>1</v>
      </c>
      <c r="L718" s="18"/>
    </row>
    <row r="719" hidden="1">
      <c r="A719" s="2">
        <f>IFERROR(__xludf.DUMMYFUNCTION("""COMPUTED_VALUE"""),12451.0)</f>
        <v>12451</v>
      </c>
      <c r="B719" s="2">
        <f>IFERROR(__xludf.DUMMYFUNCTION("""COMPUTED_VALUE"""),1.0)</f>
        <v>1</v>
      </c>
      <c r="C719" s="2">
        <f>IFERROR(__xludf.DUMMYFUNCTION("""COMPUTED_VALUE"""),292.0)</f>
        <v>292</v>
      </c>
      <c r="D719" s="3">
        <f>IFERROR(__xludf.DUMMYFUNCTION("""COMPUTED_VALUE"""),246.0)</f>
        <v>246</v>
      </c>
      <c r="E719" s="1" t="str">
        <f t="array" ref="E719">_xlfn.XLOOKUP(A719,Product!A:A,Product!B:B,"Bulunamadı")</f>
        <v>Fiction</v>
      </c>
      <c r="F719" s="1" t="str">
        <f t="array" ref="F719">_xlfn.XLOOKUP(A719,Product!A:A,Product!C:C,"Bulunamadı")</f>
        <v>Medieval History</v>
      </c>
      <c r="G719" s="2" t="str">
        <f t="array" ref="G719">_xlfn.XLOOKUP(A720,Product!A:A,Product!D:D,"Bulunamadı")</f>
        <v>Iron Ridge Press</v>
      </c>
      <c r="H719" s="2">
        <f t="array" ref="H719">_xlfn.XLOOKUP(A721,Product!A:A,Product!E:E,"Bulunamadı")</f>
        <v>1.77</v>
      </c>
      <c r="I719" s="2" t="str">
        <f t="shared" si="1"/>
        <v>12451 - Fiction - Medieval History</v>
      </c>
      <c r="J719" s="2">
        <f t="shared" si="2"/>
        <v>435.42</v>
      </c>
      <c r="K719" s="17">
        <f t="shared" si="3"/>
        <v>1</v>
      </c>
      <c r="L719" s="18"/>
    </row>
    <row r="720" hidden="1">
      <c r="A720" s="2">
        <f>IFERROR(__xludf.DUMMYFUNCTION("""COMPUTED_VALUE"""),19024.0)</f>
        <v>19024</v>
      </c>
      <c r="B720" s="2">
        <f>IFERROR(__xludf.DUMMYFUNCTION("""COMPUTED_VALUE"""),0.0)</f>
        <v>0</v>
      </c>
      <c r="C720" s="2">
        <f>IFERROR(__xludf.DUMMYFUNCTION("""COMPUTED_VALUE"""),274.0)</f>
        <v>274</v>
      </c>
      <c r="D720" s="3">
        <f>IFERROR(__xludf.DUMMYFUNCTION("""COMPUTED_VALUE"""),113.0)</f>
        <v>113</v>
      </c>
      <c r="E720" s="1" t="str">
        <f t="array" ref="E720">_xlfn.XLOOKUP(A720,Product!A:A,Product!B:B,"Bulunamadı")</f>
        <v>Fiction</v>
      </c>
      <c r="F720" s="1" t="str">
        <f t="array" ref="F720">_xlfn.XLOOKUP(A720,Product!A:A,Product!C:C,"Bulunamadı")</f>
        <v>Medieval History</v>
      </c>
      <c r="G720" s="2" t="str">
        <f t="array" ref="G720">_xlfn.XLOOKUP(A721,Product!A:A,Product!D:D,"Bulunamadı")</f>
        <v>Iron Ridge Press</v>
      </c>
      <c r="H720" s="2">
        <f t="array" ref="H720">_xlfn.XLOOKUP(A722,Product!A:A,Product!E:E,"Bulunamadı")</f>
        <v>1.71</v>
      </c>
      <c r="I720" s="2" t="str">
        <f t="shared" si="1"/>
        <v>19024 - Fiction - Medieval History</v>
      </c>
      <c r="J720" s="2">
        <f t="shared" si="2"/>
        <v>193.23</v>
      </c>
      <c r="K720" s="17">
        <f t="shared" si="3"/>
        <v>1</v>
      </c>
      <c r="L720" s="18"/>
    </row>
    <row r="721" hidden="1">
      <c r="A721" s="2">
        <f>IFERROR(__xludf.DUMMYFUNCTION("""COMPUTED_VALUE"""),9472.0)</f>
        <v>9472</v>
      </c>
      <c r="B721" s="2">
        <f>IFERROR(__xludf.DUMMYFUNCTION("""COMPUTED_VALUE"""),1.0)</f>
        <v>1</v>
      </c>
      <c r="C721" s="2">
        <f>IFERROR(__xludf.DUMMYFUNCTION("""COMPUTED_VALUE"""),818.0)</f>
        <v>818</v>
      </c>
      <c r="D721" s="3">
        <f>IFERROR(__xludf.DUMMYFUNCTION("""COMPUTED_VALUE"""),755.0)</f>
        <v>755</v>
      </c>
      <c r="E721" s="1" t="str">
        <f t="array" ref="E721">_xlfn.XLOOKUP(A721,Product!A:A,Product!B:B,"Bulunamadı")</f>
        <v>Fiction</v>
      </c>
      <c r="F721" s="1" t="str">
        <f t="array" ref="F721">_xlfn.XLOOKUP(A721,Product!A:A,Product!C:C,"Bulunamadı")</f>
        <v>Medieval History</v>
      </c>
      <c r="G721" s="2" t="str">
        <f t="array" ref="G721">_xlfn.XLOOKUP(A722,Product!A:A,Product!D:D,"Bulunamadı")</f>
        <v>Iron Ridge Press</v>
      </c>
      <c r="H721" s="2">
        <f t="array" ref="H721">_xlfn.XLOOKUP(A723,Product!A:A,Product!E:E,"Bulunamadı")</f>
        <v>3.76</v>
      </c>
      <c r="I721" s="2" t="str">
        <f t="shared" si="1"/>
        <v>9472 - Fiction - Medieval History</v>
      </c>
      <c r="J721" s="2">
        <f t="shared" si="2"/>
        <v>2838.8</v>
      </c>
      <c r="K721" s="17">
        <f t="shared" si="3"/>
        <v>1</v>
      </c>
      <c r="L721" s="18"/>
    </row>
    <row r="722" hidden="1">
      <c r="A722" s="2">
        <f>IFERROR(__xludf.DUMMYFUNCTION("""COMPUTED_VALUE"""),1587.0)</f>
        <v>1587</v>
      </c>
      <c r="B722" s="2">
        <f>IFERROR(__xludf.DUMMYFUNCTION("""COMPUTED_VALUE"""),1.0)</f>
        <v>1</v>
      </c>
      <c r="C722" s="2">
        <f>IFERROR(__xludf.DUMMYFUNCTION("""COMPUTED_VALUE"""),840.0)</f>
        <v>840</v>
      </c>
      <c r="D722" s="3">
        <f>IFERROR(__xludf.DUMMYFUNCTION("""COMPUTED_VALUE"""),347.0)</f>
        <v>347</v>
      </c>
      <c r="E722" s="1" t="str">
        <f t="array" ref="E722">_xlfn.XLOOKUP(A722,Product!A:A,Product!B:B,"Bulunamadı")</f>
        <v>Fiction</v>
      </c>
      <c r="F722" s="1" t="str">
        <f t="array" ref="F722">_xlfn.XLOOKUP(A722,Product!A:A,Product!C:C,"Bulunamadı")</f>
        <v>Medieval History</v>
      </c>
      <c r="G722" s="2" t="str">
        <f t="array" ref="G722">_xlfn.XLOOKUP(A723,Product!A:A,Product!D:D,"Bulunamadı")</f>
        <v>Iron Ridge Press</v>
      </c>
      <c r="H722" s="2">
        <f t="array" ref="H722">_xlfn.XLOOKUP(A724,Product!A:A,Product!E:E,"Bulunamadı")</f>
        <v>2.23</v>
      </c>
      <c r="I722" s="2" t="str">
        <f t="shared" si="1"/>
        <v>1587 - Fiction - Medieval History</v>
      </c>
      <c r="J722" s="2">
        <f t="shared" si="2"/>
        <v>773.81</v>
      </c>
      <c r="K722" s="17">
        <f t="shared" si="3"/>
        <v>1</v>
      </c>
      <c r="L722" s="18"/>
    </row>
    <row r="723" hidden="1">
      <c r="A723" s="2">
        <f>IFERROR(__xludf.DUMMYFUNCTION("""COMPUTED_VALUE"""),118262.0)</f>
        <v>118262</v>
      </c>
      <c r="B723" s="2">
        <f>IFERROR(__xludf.DUMMYFUNCTION("""COMPUTED_VALUE"""),0.0)</f>
        <v>0</v>
      </c>
      <c r="C723" s="2">
        <f>IFERROR(__xludf.DUMMYFUNCTION("""COMPUTED_VALUE"""),629.0)</f>
        <v>629</v>
      </c>
      <c r="D723" s="3">
        <f>IFERROR(__xludf.DUMMYFUNCTION("""COMPUTED_VALUE"""),476.0)</f>
        <v>476</v>
      </c>
      <c r="E723" s="1" t="str">
        <f t="array" ref="E723">_xlfn.XLOOKUP(A723,Product!A:A,Product!B:B,"Bulunamadı")</f>
        <v>Fiction</v>
      </c>
      <c r="F723" s="1" t="str">
        <f t="array" ref="F723">_xlfn.XLOOKUP(A723,Product!A:A,Product!C:C,"Bulunamadı")</f>
        <v>Medieval History</v>
      </c>
      <c r="G723" s="2" t="str">
        <f t="array" ref="G723">_xlfn.XLOOKUP(A724,Product!A:A,Product!D:D,"Bulunamadı")</f>
        <v>Iron Ridge Press</v>
      </c>
      <c r="H723" s="2">
        <f t="array" ref="H723">_xlfn.XLOOKUP(A725,Product!A:A,Product!E:E,"Bulunamadı")</f>
        <v>3.26</v>
      </c>
      <c r="I723" s="2" t="str">
        <f t="shared" si="1"/>
        <v>118262 - Fiction - Medieval History</v>
      </c>
      <c r="J723" s="2">
        <f t="shared" si="2"/>
        <v>1551.76</v>
      </c>
      <c r="K723" s="17">
        <f t="shared" si="3"/>
        <v>1</v>
      </c>
      <c r="L723" s="18"/>
    </row>
    <row r="724" hidden="1">
      <c r="A724" s="2">
        <f>IFERROR(__xludf.DUMMYFUNCTION("""COMPUTED_VALUE"""),44739.0)</f>
        <v>44739</v>
      </c>
      <c r="B724" s="2">
        <f>IFERROR(__xludf.DUMMYFUNCTION("""COMPUTED_VALUE"""),1.0)</f>
        <v>1</v>
      </c>
      <c r="C724" s="2">
        <f>IFERROR(__xludf.DUMMYFUNCTION("""COMPUTED_VALUE"""),272.0)</f>
        <v>272</v>
      </c>
      <c r="D724" s="3">
        <f>IFERROR(__xludf.DUMMYFUNCTION("""COMPUTED_VALUE"""),260.0)</f>
        <v>260</v>
      </c>
      <c r="E724" s="1" t="str">
        <f t="array" ref="E724">_xlfn.XLOOKUP(A724,Product!A:A,Product!B:B,"Bulunamadı")</f>
        <v>Fiction</v>
      </c>
      <c r="F724" s="1" t="str">
        <f t="array" ref="F724">_xlfn.XLOOKUP(A724,Product!A:A,Product!C:C,"Bulunamadı")</f>
        <v>Medieval History</v>
      </c>
      <c r="G724" s="2" t="str">
        <f t="array" ref="G724">_xlfn.XLOOKUP(A725,Product!A:A,Product!D:D,"Bulunamadı")</f>
        <v>Iron Ridge Press</v>
      </c>
      <c r="H724" s="2">
        <f t="array" ref="H724">_xlfn.XLOOKUP(A726,Product!A:A,Product!E:E,"Bulunamadı")</f>
        <v>4.36</v>
      </c>
      <c r="I724" s="2" t="str">
        <f t="shared" si="1"/>
        <v>44739 - Fiction - Medieval History</v>
      </c>
      <c r="J724" s="2">
        <f t="shared" si="2"/>
        <v>1133.6</v>
      </c>
      <c r="K724" s="17">
        <f t="shared" si="3"/>
        <v>1</v>
      </c>
      <c r="L724" s="18"/>
    </row>
    <row r="725" hidden="1">
      <c r="A725" s="2">
        <f>IFERROR(__xludf.DUMMYFUNCTION("""COMPUTED_VALUE"""),199855.0)</f>
        <v>199855</v>
      </c>
      <c r="B725" s="2">
        <f>IFERROR(__xludf.DUMMYFUNCTION("""COMPUTED_VALUE"""),0.0)</f>
        <v>0</v>
      </c>
      <c r="C725" s="2">
        <f>IFERROR(__xludf.DUMMYFUNCTION("""COMPUTED_VALUE"""),745.0)</f>
        <v>745</v>
      </c>
      <c r="D725" s="3">
        <f>IFERROR(__xludf.DUMMYFUNCTION("""COMPUTED_VALUE"""),548.0)</f>
        <v>548</v>
      </c>
      <c r="E725" s="1" t="str">
        <f t="array" ref="E725">_xlfn.XLOOKUP(A725,Product!A:A,Product!B:B,"Bulunamadı")</f>
        <v>Fiction</v>
      </c>
      <c r="F725" s="1" t="str">
        <f t="array" ref="F725">_xlfn.XLOOKUP(A725,Product!A:A,Product!C:C,"Bulunamadı")</f>
        <v>Medieval History</v>
      </c>
      <c r="G725" s="2" t="str">
        <f t="array" ref="G725">_xlfn.XLOOKUP(A726,Product!A:A,Product!D:D,"Bulunamadı")</f>
        <v>Iron Ridge Press</v>
      </c>
      <c r="H725" s="2">
        <f t="array" ref="H725">_xlfn.XLOOKUP(A727,Product!A:A,Product!E:E,"Bulunamadı")</f>
        <v>1.4</v>
      </c>
      <c r="I725" s="2" t="str">
        <f t="shared" si="1"/>
        <v>199855 - Fiction - Medieval History</v>
      </c>
      <c r="J725" s="2">
        <f t="shared" si="2"/>
        <v>767.2</v>
      </c>
      <c r="K725" s="17">
        <f t="shared" si="3"/>
        <v>1</v>
      </c>
      <c r="L725" s="18"/>
    </row>
    <row r="726" hidden="1">
      <c r="A726" s="2">
        <f>IFERROR(__xludf.DUMMYFUNCTION("""COMPUTED_VALUE"""),71674.0)</f>
        <v>71674</v>
      </c>
      <c r="B726" s="2">
        <f>IFERROR(__xludf.DUMMYFUNCTION("""COMPUTED_VALUE"""),0.0)</f>
        <v>0</v>
      </c>
      <c r="C726" s="2">
        <f>IFERROR(__xludf.DUMMYFUNCTION("""COMPUTED_VALUE"""),705.0)</f>
        <v>705</v>
      </c>
      <c r="D726" s="3">
        <f>IFERROR(__xludf.DUMMYFUNCTION("""COMPUTED_VALUE"""),483.0)</f>
        <v>483</v>
      </c>
      <c r="E726" s="1" t="str">
        <f t="array" ref="E726">_xlfn.XLOOKUP(A726,Product!A:A,Product!B:B,"Bulunamadı")</f>
        <v>Fiction</v>
      </c>
      <c r="F726" s="1" t="str">
        <f t="array" ref="F726">_xlfn.XLOOKUP(A726,Product!A:A,Product!C:C,"Bulunamadı")</f>
        <v>Medieval History</v>
      </c>
      <c r="G726" s="2" t="str">
        <f t="array" ref="G726">_xlfn.XLOOKUP(A727,Product!A:A,Product!D:D,"Bulunamadı")</f>
        <v>Iron Ridge Press</v>
      </c>
      <c r="H726" s="2">
        <f t="array" ref="H726">_xlfn.XLOOKUP(A728,Product!A:A,Product!E:E,"Bulunamadı")</f>
        <v>2.35</v>
      </c>
      <c r="I726" s="2" t="str">
        <f t="shared" si="1"/>
        <v>71674 - Fiction - Medieval History</v>
      </c>
      <c r="J726" s="2">
        <f t="shared" si="2"/>
        <v>1135.05</v>
      </c>
      <c r="K726" s="17">
        <f t="shared" si="3"/>
        <v>1</v>
      </c>
      <c r="L726" s="18"/>
    </row>
    <row r="727" hidden="1">
      <c r="A727" s="2">
        <f>IFERROR(__xludf.DUMMYFUNCTION("""COMPUTED_VALUE"""),101357.0)</f>
        <v>101357</v>
      </c>
      <c r="B727" s="2">
        <f>IFERROR(__xludf.DUMMYFUNCTION("""COMPUTED_VALUE"""),1.0)</f>
        <v>1</v>
      </c>
      <c r="C727" s="2">
        <f>IFERROR(__xludf.DUMMYFUNCTION("""COMPUTED_VALUE"""),914.0)</f>
        <v>914</v>
      </c>
      <c r="D727" s="3">
        <f>IFERROR(__xludf.DUMMYFUNCTION("""COMPUTED_VALUE"""),506.0)</f>
        <v>506</v>
      </c>
      <c r="E727" s="1" t="str">
        <f t="array" ref="E727">_xlfn.XLOOKUP(A727,Product!A:A,Product!B:B,"Bulunamadı")</f>
        <v>Fiction</v>
      </c>
      <c r="F727" s="1" t="str">
        <f t="array" ref="F727">_xlfn.XLOOKUP(A727,Product!A:A,Product!C:C,"Bulunamadı")</f>
        <v>Medieval History</v>
      </c>
      <c r="G727" s="2" t="str">
        <f t="array" ref="G727">_xlfn.XLOOKUP(A728,Product!A:A,Product!D:D,"Bulunamadı")</f>
        <v>Iron Ridge Press</v>
      </c>
      <c r="H727" s="2">
        <f t="array" ref="H727">_xlfn.XLOOKUP(A729,Product!A:A,Product!E:E,"Bulunamadı")</f>
        <v>1.24</v>
      </c>
      <c r="I727" s="2" t="str">
        <f t="shared" si="1"/>
        <v>101357 - Fiction - Medieval History</v>
      </c>
      <c r="J727" s="2">
        <f t="shared" si="2"/>
        <v>627.44</v>
      </c>
      <c r="K727" s="17">
        <f t="shared" si="3"/>
        <v>1</v>
      </c>
      <c r="L727" s="18"/>
    </row>
    <row r="728" hidden="1">
      <c r="A728" s="2">
        <f>IFERROR(__xludf.DUMMYFUNCTION("""COMPUTED_VALUE"""),121066.0)</f>
        <v>121066</v>
      </c>
      <c r="B728" s="2">
        <f>IFERROR(__xludf.DUMMYFUNCTION("""COMPUTED_VALUE"""),1.0)</f>
        <v>1</v>
      </c>
      <c r="C728" s="2">
        <f>IFERROR(__xludf.DUMMYFUNCTION("""COMPUTED_VALUE"""),136.0)</f>
        <v>136</v>
      </c>
      <c r="D728" s="3">
        <f>IFERROR(__xludf.DUMMYFUNCTION("""COMPUTED_VALUE"""),84.0)</f>
        <v>84</v>
      </c>
      <c r="E728" s="1" t="str">
        <f t="array" ref="E728">_xlfn.XLOOKUP(A728,Product!A:A,Product!B:B,"Bulunamadı")</f>
        <v>Fiction</v>
      </c>
      <c r="F728" s="1" t="str">
        <f t="array" ref="F728">_xlfn.XLOOKUP(A728,Product!A:A,Product!C:C,"Bulunamadı")</f>
        <v>Medieval History</v>
      </c>
      <c r="G728" s="2" t="str">
        <f t="array" ref="G728">_xlfn.XLOOKUP(A729,Product!A:A,Product!D:D,"Bulunamadı")</f>
        <v>Iron Ridge Press</v>
      </c>
      <c r="H728" s="2">
        <f t="array" ref="H728">_xlfn.XLOOKUP(A730,Product!A:A,Product!E:E,"Bulunamadı")</f>
        <v>18.34</v>
      </c>
      <c r="I728" s="2" t="str">
        <f t="shared" si="1"/>
        <v>121066 - Fiction - Medieval History</v>
      </c>
      <c r="J728" s="2">
        <f t="shared" si="2"/>
        <v>1540.56</v>
      </c>
      <c r="K728" s="17">
        <f t="shared" si="3"/>
        <v>1</v>
      </c>
      <c r="L728" s="18"/>
    </row>
    <row r="729" hidden="1">
      <c r="A729" s="2">
        <f>IFERROR(__xludf.DUMMYFUNCTION("""COMPUTED_VALUE"""),72818.0)</f>
        <v>72818</v>
      </c>
      <c r="B729" s="2">
        <f>IFERROR(__xludf.DUMMYFUNCTION("""COMPUTED_VALUE"""),0.0)</f>
        <v>0</v>
      </c>
      <c r="C729" s="2">
        <f>IFERROR(__xludf.DUMMYFUNCTION("""COMPUTED_VALUE"""),535.0)</f>
        <v>535</v>
      </c>
      <c r="D729" s="3">
        <f>IFERROR(__xludf.DUMMYFUNCTION("""COMPUTED_VALUE"""),137.0)</f>
        <v>137</v>
      </c>
      <c r="E729" s="1" t="str">
        <f t="array" ref="E729">_xlfn.XLOOKUP(A729,Product!A:A,Product!B:B,"Bulunamadı")</f>
        <v>Fiction</v>
      </c>
      <c r="F729" s="1" t="str">
        <f t="array" ref="F729">_xlfn.XLOOKUP(A729,Product!A:A,Product!C:C,"Bulunamadı")</f>
        <v>Medieval History</v>
      </c>
      <c r="G729" s="2" t="str">
        <f t="array" ref="G729">_xlfn.XLOOKUP(A730,Product!A:A,Product!D:D,"Bulunamadı")</f>
        <v>Iron Ridge Press</v>
      </c>
      <c r="H729" s="2">
        <f t="array" ref="H729">_xlfn.XLOOKUP(A731,Product!A:A,Product!E:E,"Bulunamadı")</f>
        <v>1.1</v>
      </c>
      <c r="I729" s="2" t="str">
        <f t="shared" si="1"/>
        <v>72818 - Fiction - Medieval History</v>
      </c>
      <c r="J729" s="2">
        <f t="shared" si="2"/>
        <v>150.7</v>
      </c>
      <c r="K729" s="17">
        <f t="shared" si="3"/>
        <v>1</v>
      </c>
      <c r="L729" s="18"/>
    </row>
    <row r="730" hidden="1">
      <c r="A730" s="2">
        <f>IFERROR(__xludf.DUMMYFUNCTION("""COMPUTED_VALUE"""),109178.0)</f>
        <v>109178</v>
      </c>
      <c r="B730" s="2">
        <f>IFERROR(__xludf.DUMMYFUNCTION("""COMPUTED_VALUE"""),1.0)</f>
        <v>1</v>
      </c>
      <c r="C730" s="2">
        <f>IFERROR(__xludf.DUMMYFUNCTION("""COMPUTED_VALUE"""),794.0)</f>
        <v>794</v>
      </c>
      <c r="D730" s="3">
        <f>IFERROR(__xludf.DUMMYFUNCTION("""COMPUTED_VALUE"""),446.0)</f>
        <v>446</v>
      </c>
      <c r="E730" s="1" t="str">
        <f t="array" ref="E730">_xlfn.XLOOKUP(A730,Product!A:A,Product!B:B,"Bulunamadı")</f>
        <v>Fiction</v>
      </c>
      <c r="F730" s="1" t="str">
        <f t="array" ref="F730">_xlfn.XLOOKUP(A730,Product!A:A,Product!C:C,"Bulunamadı")</f>
        <v>Medieval History</v>
      </c>
      <c r="G730" s="2" t="str">
        <f t="array" ref="G730">_xlfn.XLOOKUP(A731,Product!A:A,Product!D:D,"Bulunamadı")</f>
        <v>Iron Ridge Press</v>
      </c>
      <c r="H730" s="2">
        <f t="array" ref="H730">_xlfn.XLOOKUP(A732,Product!A:A,Product!E:E,"Bulunamadı")</f>
        <v>3.31</v>
      </c>
      <c r="I730" s="2" t="str">
        <f t="shared" si="1"/>
        <v>109178 - Fiction - Medieval History</v>
      </c>
      <c r="J730" s="2">
        <f t="shared" si="2"/>
        <v>1476.26</v>
      </c>
      <c r="K730" s="17">
        <f t="shared" si="3"/>
        <v>1</v>
      </c>
      <c r="L730" s="18"/>
    </row>
    <row r="731" hidden="1">
      <c r="A731" s="2">
        <f>IFERROR(__xludf.DUMMYFUNCTION("""COMPUTED_VALUE"""),114876.0)</f>
        <v>114876</v>
      </c>
      <c r="B731" s="2">
        <f>IFERROR(__xludf.DUMMYFUNCTION("""COMPUTED_VALUE"""),0.0)</f>
        <v>0</v>
      </c>
      <c r="C731" s="2">
        <f>IFERROR(__xludf.DUMMYFUNCTION("""COMPUTED_VALUE"""),323.0)</f>
        <v>323</v>
      </c>
      <c r="D731" s="3">
        <f>IFERROR(__xludf.DUMMYFUNCTION("""COMPUTED_VALUE"""),141.0)</f>
        <v>141</v>
      </c>
      <c r="E731" s="1" t="str">
        <f t="array" ref="E731">_xlfn.XLOOKUP(A731,Product!A:A,Product!B:B,"Bulunamadı")</f>
        <v>Fiction</v>
      </c>
      <c r="F731" s="1" t="str">
        <f t="array" ref="F731">_xlfn.XLOOKUP(A731,Product!A:A,Product!C:C,"Bulunamadı")</f>
        <v>Medieval History</v>
      </c>
      <c r="G731" s="2" t="str">
        <f t="array" ref="G731">_xlfn.XLOOKUP(A732,Product!A:A,Product!D:D,"Bulunamadı")</f>
        <v>Iron Ridge Press</v>
      </c>
      <c r="H731" s="2">
        <f t="array" ref="H731">_xlfn.XLOOKUP(A733,Product!A:A,Product!E:E,"Bulunamadı")</f>
        <v>1.37</v>
      </c>
      <c r="I731" s="2" t="str">
        <f t="shared" si="1"/>
        <v>114876 - Fiction - Medieval History</v>
      </c>
      <c r="J731" s="2">
        <f t="shared" si="2"/>
        <v>193.17</v>
      </c>
      <c r="K731" s="17">
        <f t="shared" si="3"/>
        <v>1</v>
      </c>
      <c r="L731" s="18"/>
    </row>
    <row r="732" hidden="1">
      <c r="A732" s="2">
        <f>IFERROR(__xludf.DUMMYFUNCTION("""COMPUTED_VALUE"""),9471.0)</f>
        <v>9471</v>
      </c>
      <c r="B732" s="2">
        <f>IFERROR(__xludf.DUMMYFUNCTION("""COMPUTED_VALUE"""),1.0)</f>
        <v>1</v>
      </c>
      <c r="C732" s="2">
        <f>IFERROR(__xludf.DUMMYFUNCTION("""COMPUTED_VALUE"""),647.0)</f>
        <v>647</v>
      </c>
      <c r="D732" s="3">
        <f>IFERROR(__xludf.DUMMYFUNCTION("""COMPUTED_VALUE"""),519.0)</f>
        <v>519</v>
      </c>
      <c r="E732" s="1" t="str">
        <f t="array" ref="E732">_xlfn.XLOOKUP(A732,Product!A:A,Product!B:B,"Bulunamadı")</f>
        <v>Fiction</v>
      </c>
      <c r="F732" s="1" t="str">
        <f t="array" ref="F732">_xlfn.XLOOKUP(A732,Product!A:A,Product!C:C,"Bulunamadı")</f>
        <v>Medieval History</v>
      </c>
      <c r="G732" s="2" t="str">
        <f t="array" ref="G732">_xlfn.XLOOKUP(A733,Product!A:A,Product!D:D,"Bulunamadı")</f>
        <v>Iron Ridge Press</v>
      </c>
      <c r="H732" s="2">
        <f t="array" ref="H732">_xlfn.XLOOKUP(A734,Product!A:A,Product!E:E,"Bulunamadı")</f>
        <v>2.15</v>
      </c>
      <c r="I732" s="2" t="str">
        <f t="shared" si="1"/>
        <v>9471 - Fiction - Medieval History</v>
      </c>
      <c r="J732" s="2">
        <f t="shared" si="2"/>
        <v>1115.85</v>
      </c>
      <c r="K732" s="17">
        <f t="shared" si="3"/>
        <v>1</v>
      </c>
      <c r="L732" s="18"/>
    </row>
    <row r="733" hidden="1">
      <c r="A733" s="2">
        <f>IFERROR(__xludf.DUMMYFUNCTION("""COMPUTED_VALUE"""),87840.0)</f>
        <v>87840</v>
      </c>
      <c r="B733" s="2">
        <f>IFERROR(__xludf.DUMMYFUNCTION("""COMPUTED_VALUE"""),1.0)</f>
        <v>1</v>
      </c>
      <c r="C733" s="2">
        <f>IFERROR(__xludf.DUMMYFUNCTION("""COMPUTED_VALUE"""),758.0)</f>
        <v>758</v>
      </c>
      <c r="D733" s="3">
        <f>IFERROR(__xludf.DUMMYFUNCTION("""COMPUTED_VALUE"""),519.0)</f>
        <v>519</v>
      </c>
      <c r="E733" s="1" t="str">
        <f t="array" ref="E733">_xlfn.XLOOKUP(A733,Product!A:A,Product!B:B,"Bulunamadı")</f>
        <v>Fiction</v>
      </c>
      <c r="F733" s="1" t="str">
        <f t="array" ref="F733">_xlfn.XLOOKUP(A733,Product!A:A,Product!C:C,"Bulunamadı")</f>
        <v>Medieval History</v>
      </c>
      <c r="G733" s="2" t="str">
        <f t="array" ref="G733">_xlfn.XLOOKUP(A734,Product!A:A,Product!D:D,"Bulunamadı")</f>
        <v>Iron Ridge Press</v>
      </c>
      <c r="H733" s="2">
        <f t="array" ref="H733">_xlfn.XLOOKUP(A735,Product!A:A,Product!E:E,"Bulunamadı")</f>
        <v>2.05</v>
      </c>
      <c r="I733" s="2" t="str">
        <f t="shared" si="1"/>
        <v>87840 - Fiction - Medieval History</v>
      </c>
      <c r="J733" s="2">
        <f t="shared" si="2"/>
        <v>1063.95</v>
      </c>
      <c r="K733" s="17">
        <f t="shared" si="3"/>
        <v>1</v>
      </c>
      <c r="L733" s="18"/>
    </row>
    <row r="734" hidden="1">
      <c r="A734" s="2">
        <f>IFERROR(__xludf.DUMMYFUNCTION("""COMPUTED_VALUE"""),72816.0)</f>
        <v>72816</v>
      </c>
      <c r="B734" s="2">
        <f>IFERROR(__xludf.DUMMYFUNCTION("""COMPUTED_VALUE"""),0.0)</f>
        <v>0</v>
      </c>
      <c r="C734" s="2">
        <f>IFERROR(__xludf.DUMMYFUNCTION("""COMPUTED_VALUE"""),80.0)</f>
        <v>80</v>
      </c>
      <c r="D734" s="3">
        <f>IFERROR(__xludf.DUMMYFUNCTION("""COMPUTED_VALUE"""),50.0)</f>
        <v>50</v>
      </c>
      <c r="E734" s="1" t="str">
        <f t="array" ref="E734">_xlfn.XLOOKUP(A734,Product!A:A,Product!B:B,"Bulunamadı")</f>
        <v>Fiction</v>
      </c>
      <c r="F734" s="1" t="str">
        <f t="array" ref="F734">_xlfn.XLOOKUP(A734,Product!A:A,Product!C:C,"Bulunamadı")</f>
        <v>Medieval History</v>
      </c>
      <c r="G734" s="2" t="str">
        <f t="array" ref="G734">_xlfn.XLOOKUP(A735,Product!A:A,Product!D:D,"Bulunamadı")</f>
        <v>Iron Ridge Press</v>
      </c>
      <c r="H734" s="2">
        <f t="array" ref="H734">_xlfn.XLOOKUP(A736,Product!A:A,Product!E:E,"Bulunamadı")</f>
        <v>1.07</v>
      </c>
      <c r="I734" s="2" t="str">
        <f t="shared" si="1"/>
        <v>72816 - Fiction - Medieval History</v>
      </c>
      <c r="J734" s="2">
        <f t="shared" si="2"/>
        <v>53.5</v>
      </c>
      <c r="K734" s="17">
        <f t="shared" si="3"/>
        <v>1</v>
      </c>
      <c r="L734" s="18"/>
    </row>
    <row r="735" hidden="1">
      <c r="A735" s="2">
        <f>IFERROR(__xludf.DUMMYFUNCTION("""COMPUTED_VALUE"""),122354.0)</f>
        <v>122354</v>
      </c>
      <c r="B735" s="2">
        <f>IFERROR(__xludf.DUMMYFUNCTION("""COMPUTED_VALUE"""),0.0)</f>
        <v>0</v>
      </c>
      <c r="C735" s="2">
        <f>IFERROR(__xludf.DUMMYFUNCTION("""COMPUTED_VALUE"""),606.0)</f>
        <v>606</v>
      </c>
      <c r="D735" s="3">
        <f>IFERROR(__xludf.DUMMYFUNCTION("""COMPUTED_VALUE"""),60.0)</f>
        <v>60</v>
      </c>
      <c r="E735" s="1" t="str">
        <f t="array" ref="E735">_xlfn.XLOOKUP(A735,Product!A:A,Product!B:B,"Bulunamadı")</f>
        <v>Fiction</v>
      </c>
      <c r="F735" s="1" t="str">
        <f t="array" ref="F735">_xlfn.XLOOKUP(A735,Product!A:A,Product!C:C,"Bulunamadı")</f>
        <v>Medieval History</v>
      </c>
      <c r="G735" s="2" t="str">
        <f t="array" ref="G735">_xlfn.XLOOKUP(A736,Product!A:A,Product!D:D,"Bulunamadı")</f>
        <v>Iron Ridge Press</v>
      </c>
      <c r="H735" s="2">
        <f t="array" ref="H735">_xlfn.XLOOKUP(A737,Product!A:A,Product!E:E,"Bulunamadı")</f>
        <v>2.9</v>
      </c>
      <c r="I735" s="2" t="str">
        <f t="shared" si="1"/>
        <v>122354 - Fiction - Medieval History</v>
      </c>
      <c r="J735" s="2">
        <f t="shared" si="2"/>
        <v>174</v>
      </c>
      <c r="K735" s="17">
        <f t="shared" si="3"/>
        <v>1</v>
      </c>
      <c r="L735" s="18"/>
    </row>
    <row r="736" hidden="1">
      <c r="A736" s="2">
        <f>IFERROR(__xludf.DUMMYFUNCTION("""COMPUTED_VALUE"""),109188.0)</f>
        <v>109188</v>
      </c>
      <c r="B736" s="2">
        <f>IFERROR(__xludf.DUMMYFUNCTION("""COMPUTED_VALUE"""),0.0)</f>
        <v>0</v>
      </c>
      <c r="C736" s="2">
        <f>IFERROR(__xludf.DUMMYFUNCTION("""COMPUTED_VALUE"""),969.0)</f>
        <v>969</v>
      </c>
      <c r="D736" s="3">
        <f>IFERROR(__xludf.DUMMYFUNCTION("""COMPUTED_VALUE"""),864.0)</f>
        <v>864</v>
      </c>
      <c r="E736" s="1" t="str">
        <f t="array" ref="E736">_xlfn.XLOOKUP(A736,Product!A:A,Product!B:B,"Bulunamadı")</f>
        <v>Fiction</v>
      </c>
      <c r="F736" s="1" t="str">
        <f t="array" ref="F736">_xlfn.XLOOKUP(A736,Product!A:A,Product!C:C,"Bulunamadı")</f>
        <v>Medieval History</v>
      </c>
      <c r="G736" s="2" t="str">
        <f t="array" ref="G736">_xlfn.XLOOKUP(A737,Product!A:A,Product!D:D,"Bulunamadı")</f>
        <v>Iron Ridge Press</v>
      </c>
      <c r="H736" s="2">
        <f t="array" ref="H736">_xlfn.XLOOKUP(A738,Product!A:A,Product!E:E,"Bulunamadı")</f>
        <v>1.58</v>
      </c>
      <c r="I736" s="2" t="str">
        <f t="shared" si="1"/>
        <v>109188 - Fiction - Medieval History</v>
      </c>
      <c r="J736" s="2">
        <f t="shared" si="2"/>
        <v>1365.12</v>
      </c>
      <c r="K736" s="17">
        <f t="shared" si="3"/>
        <v>1</v>
      </c>
      <c r="L736" s="18"/>
    </row>
    <row r="737" hidden="1">
      <c r="A737" s="2">
        <f>IFERROR(__xludf.DUMMYFUNCTION("""COMPUTED_VALUE"""),7999.0)</f>
        <v>7999</v>
      </c>
      <c r="B737" s="2">
        <f>IFERROR(__xludf.DUMMYFUNCTION("""COMPUTED_VALUE"""),0.0)</f>
        <v>0</v>
      </c>
      <c r="C737" s="2">
        <f>IFERROR(__xludf.DUMMYFUNCTION("""COMPUTED_VALUE"""),248.0)</f>
        <v>248</v>
      </c>
      <c r="D737" s="3">
        <f>IFERROR(__xludf.DUMMYFUNCTION("""COMPUTED_VALUE"""),130.0)</f>
        <v>130</v>
      </c>
      <c r="E737" s="1" t="str">
        <f t="array" ref="E737">_xlfn.XLOOKUP(A737,Product!A:A,Product!B:B,"Bulunamadı")</f>
        <v>Fiction</v>
      </c>
      <c r="F737" s="1" t="str">
        <f t="array" ref="F737">_xlfn.XLOOKUP(A737,Product!A:A,Product!C:C,"Bulunamadı")</f>
        <v>Medieval History</v>
      </c>
      <c r="G737" s="2" t="str">
        <f t="array" ref="G737">_xlfn.XLOOKUP(A738,Product!A:A,Product!D:D,"Bulunamadı")</f>
        <v>Iron Ridge Press</v>
      </c>
      <c r="H737" s="2">
        <f t="array" ref="H737">_xlfn.XLOOKUP(A739,Product!A:A,Product!E:E,"Bulunamadı")</f>
        <v>5.82</v>
      </c>
      <c r="I737" s="2" t="str">
        <f t="shared" si="1"/>
        <v>7999 - Fiction - Medieval History</v>
      </c>
      <c r="J737" s="2">
        <f t="shared" si="2"/>
        <v>756.6</v>
      </c>
      <c r="K737" s="17">
        <f t="shared" si="3"/>
        <v>1</v>
      </c>
      <c r="L737" s="18"/>
    </row>
    <row r="738" hidden="1">
      <c r="A738" s="2">
        <f>IFERROR(__xludf.DUMMYFUNCTION("""COMPUTED_VALUE"""),9469.0)</f>
        <v>9469</v>
      </c>
      <c r="B738" s="2">
        <f>IFERROR(__xludf.DUMMYFUNCTION("""COMPUTED_VALUE"""),0.0)</f>
        <v>0</v>
      </c>
      <c r="C738" s="2">
        <f>IFERROR(__xludf.DUMMYFUNCTION("""COMPUTED_VALUE"""),886.0)</f>
        <v>886</v>
      </c>
      <c r="D738" s="3">
        <f>IFERROR(__xludf.DUMMYFUNCTION("""COMPUTED_VALUE"""),256.0)</f>
        <v>256</v>
      </c>
      <c r="E738" s="1" t="str">
        <f t="array" ref="E738">_xlfn.XLOOKUP(A738,Product!A:A,Product!B:B,"Bulunamadı")</f>
        <v>Fiction</v>
      </c>
      <c r="F738" s="1" t="str">
        <f t="array" ref="F738">_xlfn.XLOOKUP(A738,Product!A:A,Product!C:C,"Bulunamadı")</f>
        <v>Medieval History</v>
      </c>
      <c r="G738" s="2" t="str">
        <f t="array" ref="G738">_xlfn.XLOOKUP(A739,Product!A:A,Product!D:D,"Bulunamadı")</f>
        <v>Iron Ridge Press</v>
      </c>
      <c r="H738" s="2">
        <f t="array" ref="H738">_xlfn.XLOOKUP(A740,Product!A:A,Product!E:E,"Bulunamadı")</f>
        <v>7.42</v>
      </c>
      <c r="I738" s="2" t="str">
        <f t="shared" si="1"/>
        <v>9469 - Fiction - Medieval History</v>
      </c>
      <c r="J738" s="2">
        <f t="shared" si="2"/>
        <v>1899.52</v>
      </c>
      <c r="K738" s="17">
        <f t="shared" si="3"/>
        <v>1</v>
      </c>
      <c r="L738" s="18"/>
    </row>
    <row r="739" hidden="1">
      <c r="A739" s="2">
        <f>IFERROR(__xludf.DUMMYFUNCTION("""COMPUTED_VALUE"""),46955.0)</f>
        <v>46955</v>
      </c>
      <c r="B739" s="2">
        <f>IFERROR(__xludf.DUMMYFUNCTION("""COMPUTED_VALUE"""),1.0)</f>
        <v>1</v>
      </c>
      <c r="C739" s="2">
        <f>IFERROR(__xludf.DUMMYFUNCTION("""COMPUTED_VALUE"""),162.0)</f>
        <v>162</v>
      </c>
      <c r="D739" s="3">
        <f>IFERROR(__xludf.DUMMYFUNCTION("""COMPUTED_VALUE"""),66.0)</f>
        <v>66</v>
      </c>
      <c r="E739" s="1" t="str">
        <f t="array" ref="E739">_xlfn.XLOOKUP(A739,Product!A:A,Product!B:B,"Bulunamadı")</f>
        <v>Fiction</v>
      </c>
      <c r="F739" s="1" t="str">
        <f t="array" ref="F739">_xlfn.XLOOKUP(A739,Product!A:A,Product!C:C,"Bulunamadı")</f>
        <v>Medieval History</v>
      </c>
      <c r="G739" s="2" t="str">
        <f t="array" ref="G739">_xlfn.XLOOKUP(A740,Product!A:A,Product!D:D,"Bulunamadı")</f>
        <v>Iron Ridge Press</v>
      </c>
      <c r="H739" s="2">
        <f t="array" ref="H739">_xlfn.XLOOKUP(A741,Product!A:A,Product!E:E,"Bulunamadı")</f>
        <v>7.19</v>
      </c>
      <c r="I739" s="2" t="str">
        <f t="shared" si="1"/>
        <v>46955 - Fiction - Medieval History</v>
      </c>
      <c r="J739" s="2">
        <f t="shared" si="2"/>
        <v>474.54</v>
      </c>
      <c r="K739" s="17">
        <f t="shared" si="3"/>
        <v>1</v>
      </c>
      <c r="L739" s="18"/>
    </row>
    <row r="740" hidden="1">
      <c r="A740" s="2">
        <f>IFERROR(__xludf.DUMMYFUNCTION("""COMPUTED_VALUE"""),9464.0)</f>
        <v>9464</v>
      </c>
      <c r="B740" s="2">
        <f>IFERROR(__xludf.DUMMYFUNCTION("""COMPUTED_VALUE"""),0.0)</f>
        <v>0</v>
      </c>
      <c r="C740" s="2">
        <f>IFERROR(__xludf.DUMMYFUNCTION("""COMPUTED_VALUE"""),897.0)</f>
        <v>897</v>
      </c>
      <c r="D740" s="3">
        <f>IFERROR(__xludf.DUMMYFUNCTION("""COMPUTED_VALUE"""),521.0)</f>
        <v>521</v>
      </c>
      <c r="E740" s="1" t="str">
        <f t="array" ref="E740">_xlfn.XLOOKUP(A740,Product!A:A,Product!B:B,"Bulunamadı")</f>
        <v>Fiction</v>
      </c>
      <c r="F740" s="1" t="str">
        <f t="array" ref="F740">_xlfn.XLOOKUP(A740,Product!A:A,Product!C:C,"Bulunamadı")</f>
        <v>Medieval History</v>
      </c>
      <c r="G740" s="2" t="str">
        <f t="array" ref="G740">_xlfn.XLOOKUP(A741,Product!A:A,Product!D:D,"Bulunamadı")</f>
        <v>Iron Ridge Press</v>
      </c>
      <c r="H740" s="2">
        <f t="array" ref="H740">_xlfn.XLOOKUP(A742,Product!A:A,Product!E:E,"Bulunamadı")</f>
        <v>3.08</v>
      </c>
      <c r="I740" s="2" t="str">
        <f t="shared" si="1"/>
        <v>9464 - Fiction - Medieval History</v>
      </c>
      <c r="J740" s="2">
        <f t="shared" si="2"/>
        <v>1604.68</v>
      </c>
      <c r="K740" s="17">
        <f t="shared" si="3"/>
        <v>1</v>
      </c>
      <c r="L740" s="18"/>
    </row>
    <row r="741" hidden="1">
      <c r="A741" s="2">
        <f>IFERROR(__xludf.DUMMYFUNCTION("""COMPUTED_VALUE"""),79485.0)</f>
        <v>79485</v>
      </c>
      <c r="B741" s="2">
        <f>IFERROR(__xludf.DUMMYFUNCTION("""COMPUTED_VALUE"""),0.0)</f>
        <v>0</v>
      </c>
      <c r="C741" s="2">
        <f>IFERROR(__xludf.DUMMYFUNCTION("""COMPUTED_VALUE"""),864.0)</f>
        <v>864</v>
      </c>
      <c r="D741" s="3">
        <f>IFERROR(__xludf.DUMMYFUNCTION("""COMPUTED_VALUE"""),713.0)</f>
        <v>713</v>
      </c>
      <c r="E741" s="1" t="str">
        <f t="array" ref="E741">_xlfn.XLOOKUP(A741,Product!A:A,Product!B:B,"Bulunamadı")</f>
        <v>Fiction</v>
      </c>
      <c r="F741" s="1" t="str">
        <f t="array" ref="F741">_xlfn.XLOOKUP(A741,Product!A:A,Product!C:C,"Bulunamadı")</f>
        <v>Medieval History</v>
      </c>
      <c r="G741" s="2" t="str">
        <f t="array" ref="G741">_xlfn.XLOOKUP(A742,Product!A:A,Product!D:D,"Bulunamadı")</f>
        <v>Iron Ridge Press</v>
      </c>
      <c r="H741" s="2">
        <f t="array" ref="H741">_xlfn.XLOOKUP(A743,Product!A:A,Product!E:E,"Bulunamadı")</f>
        <v>2.09</v>
      </c>
      <c r="I741" s="2" t="str">
        <f t="shared" si="1"/>
        <v>79485 - Fiction - Medieval History</v>
      </c>
      <c r="J741" s="2">
        <f t="shared" si="2"/>
        <v>1490.17</v>
      </c>
      <c r="K741" s="17">
        <f t="shared" si="3"/>
        <v>1</v>
      </c>
      <c r="L741" s="18"/>
    </row>
    <row r="742" hidden="1">
      <c r="A742" s="2">
        <f>IFERROR(__xludf.DUMMYFUNCTION("""COMPUTED_VALUE"""),118224.0)</f>
        <v>118224</v>
      </c>
      <c r="B742" s="2">
        <f>IFERROR(__xludf.DUMMYFUNCTION("""COMPUTED_VALUE"""),1.0)</f>
        <v>1</v>
      </c>
      <c r="C742" s="2">
        <f>IFERROR(__xludf.DUMMYFUNCTION("""COMPUTED_VALUE"""),922.0)</f>
        <v>922</v>
      </c>
      <c r="D742" s="3">
        <f>IFERROR(__xludf.DUMMYFUNCTION("""COMPUTED_VALUE"""),864.0)</f>
        <v>864</v>
      </c>
      <c r="E742" s="1" t="str">
        <f t="array" ref="E742">_xlfn.XLOOKUP(A742,Product!A:A,Product!B:B,"Bulunamadı")</f>
        <v>Fiction</v>
      </c>
      <c r="F742" s="1" t="str">
        <f t="array" ref="F742">_xlfn.XLOOKUP(A742,Product!A:A,Product!C:C,"Bulunamadı")</f>
        <v>Medieval History</v>
      </c>
      <c r="G742" s="2" t="str">
        <f t="array" ref="G742">_xlfn.XLOOKUP(A743,Product!A:A,Product!D:D,"Bulunamadı")</f>
        <v>Iron Ridge Press</v>
      </c>
      <c r="H742" s="2">
        <f t="array" ref="H742">_xlfn.XLOOKUP(A744,Product!A:A,Product!E:E,"Bulunamadı")</f>
        <v>1.67</v>
      </c>
      <c r="I742" s="2" t="str">
        <f t="shared" si="1"/>
        <v>118224 - Fiction - Medieval History</v>
      </c>
      <c r="J742" s="2">
        <f t="shared" si="2"/>
        <v>1442.88</v>
      </c>
      <c r="K742" s="17">
        <f t="shared" si="3"/>
        <v>1</v>
      </c>
      <c r="L742" s="18"/>
    </row>
    <row r="743" hidden="1">
      <c r="A743" s="2">
        <f>IFERROR(__xludf.DUMMYFUNCTION("""COMPUTED_VALUE"""),122353.0)</f>
        <v>122353</v>
      </c>
      <c r="B743" s="2">
        <f>IFERROR(__xludf.DUMMYFUNCTION("""COMPUTED_VALUE"""),1.0)</f>
        <v>1</v>
      </c>
      <c r="C743" s="2">
        <f>IFERROR(__xludf.DUMMYFUNCTION("""COMPUTED_VALUE"""),685.0)</f>
        <v>685</v>
      </c>
      <c r="D743" s="3">
        <f>IFERROR(__xludf.DUMMYFUNCTION("""COMPUTED_VALUE"""),5.0)</f>
        <v>5</v>
      </c>
      <c r="E743" s="1" t="str">
        <f t="array" ref="E743">_xlfn.XLOOKUP(A743,Product!A:A,Product!B:B,"Bulunamadı")</f>
        <v>Fiction</v>
      </c>
      <c r="F743" s="1" t="str">
        <f t="array" ref="F743">_xlfn.XLOOKUP(A743,Product!A:A,Product!C:C,"Bulunamadı")</f>
        <v>Medieval History</v>
      </c>
      <c r="G743" s="2" t="str">
        <f t="array" ref="G743">_xlfn.XLOOKUP(A744,Product!A:A,Product!D:D,"Bulunamadı")</f>
        <v>Iron Ridge Press</v>
      </c>
      <c r="H743" s="2">
        <f t="array" ref="H743">_xlfn.XLOOKUP(A745,Product!A:A,Product!E:E,"Bulunamadı")</f>
        <v>4.9</v>
      </c>
      <c r="I743" s="2" t="str">
        <f t="shared" si="1"/>
        <v>122353 - Fiction - Medieval History</v>
      </c>
      <c r="J743" s="2">
        <f t="shared" si="2"/>
        <v>24.5</v>
      </c>
      <c r="K743" s="17">
        <f t="shared" si="3"/>
        <v>1</v>
      </c>
      <c r="L743" s="18"/>
    </row>
    <row r="744" hidden="1">
      <c r="A744" s="2">
        <f>IFERROR(__xludf.DUMMYFUNCTION("""COMPUTED_VALUE"""),1584.0)</f>
        <v>1584</v>
      </c>
      <c r="B744" s="2">
        <f>IFERROR(__xludf.DUMMYFUNCTION("""COMPUTED_VALUE"""),1.0)</f>
        <v>1</v>
      </c>
      <c r="C744" s="2">
        <f>IFERROR(__xludf.DUMMYFUNCTION("""COMPUTED_VALUE"""),847.0)</f>
        <v>847</v>
      </c>
      <c r="D744" s="3">
        <f>IFERROR(__xludf.DUMMYFUNCTION("""COMPUTED_VALUE"""),147.0)</f>
        <v>147</v>
      </c>
      <c r="E744" s="1" t="str">
        <f t="array" ref="E744">_xlfn.XLOOKUP(A744,Product!A:A,Product!B:B,"Bulunamadı")</f>
        <v>Fiction</v>
      </c>
      <c r="F744" s="1" t="str">
        <f t="array" ref="F744">_xlfn.XLOOKUP(A744,Product!A:A,Product!C:C,"Bulunamadı")</f>
        <v>Medieval History</v>
      </c>
      <c r="G744" s="2" t="str">
        <f t="array" ref="G744">_xlfn.XLOOKUP(A745,Product!A:A,Product!D:D,"Bulunamadı")</f>
        <v>Iron Ridge Press</v>
      </c>
      <c r="H744" s="2">
        <f t="array" ref="H744">_xlfn.XLOOKUP(A746,Product!A:A,Product!E:E,"Bulunamadı")</f>
        <v>1.2</v>
      </c>
      <c r="I744" s="2" t="str">
        <f t="shared" si="1"/>
        <v>1584 - Fiction - Medieval History</v>
      </c>
      <c r="J744" s="2">
        <f t="shared" si="2"/>
        <v>176.4</v>
      </c>
      <c r="K744" s="17">
        <f t="shared" si="3"/>
        <v>1</v>
      </c>
      <c r="L744" s="18"/>
    </row>
    <row r="745" hidden="1">
      <c r="A745" s="2">
        <f>IFERROR(__xludf.DUMMYFUNCTION("""COMPUTED_VALUE"""),2792.0)</f>
        <v>2792</v>
      </c>
      <c r="B745" s="2">
        <f>IFERROR(__xludf.DUMMYFUNCTION("""COMPUTED_VALUE"""),0.0)</f>
        <v>0</v>
      </c>
      <c r="C745" s="2">
        <f>IFERROR(__xludf.DUMMYFUNCTION("""COMPUTED_VALUE"""),519.0)</f>
        <v>519</v>
      </c>
      <c r="D745" s="3">
        <f>IFERROR(__xludf.DUMMYFUNCTION("""COMPUTED_VALUE"""),115.0)</f>
        <v>115</v>
      </c>
      <c r="E745" s="1" t="str">
        <f t="array" ref="E745">_xlfn.XLOOKUP(A745,Product!A:A,Product!B:B,"Bulunamadı")</f>
        <v>Fiction</v>
      </c>
      <c r="F745" s="1" t="str">
        <f t="array" ref="F745">_xlfn.XLOOKUP(A745,Product!A:A,Product!C:C,"Bulunamadı")</f>
        <v>Medieval History</v>
      </c>
      <c r="G745" s="2" t="str">
        <f t="array" ref="G745">_xlfn.XLOOKUP(A746,Product!A:A,Product!D:D,"Bulunamadı")</f>
        <v>Iron Ridge Press</v>
      </c>
      <c r="H745" s="2">
        <f t="array" ref="H745">_xlfn.XLOOKUP(A747,Product!A:A,Product!E:E,"Bulunamadı")</f>
        <v>0.97</v>
      </c>
      <c r="I745" s="2" t="str">
        <f t="shared" si="1"/>
        <v>2792 - Fiction - Medieval History</v>
      </c>
      <c r="J745" s="2">
        <f t="shared" si="2"/>
        <v>111.55</v>
      </c>
      <c r="K745" s="17">
        <f t="shared" si="3"/>
        <v>1</v>
      </c>
      <c r="L745" s="18"/>
    </row>
    <row r="746" hidden="1">
      <c r="A746" s="2">
        <f>IFERROR(__xludf.DUMMYFUNCTION("""COMPUTED_VALUE"""),109187.0)</f>
        <v>109187</v>
      </c>
      <c r="B746" s="2">
        <f>IFERROR(__xludf.DUMMYFUNCTION("""COMPUTED_VALUE"""),0.0)</f>
        <v>0</v>
      </c>
      <c r="C746" s="2">
        <f>IFERROR(__xludf.DUMMYFUNCTION("""COMPUTED_VALUE"""),288.0)</f>
        <v>288</v>
      </c>
      <c r="D746" s="3">
        <f>IFERROR(__xludf.DUMMYFUNCTION("""COMPUTED_VALUE"""),271.0)</f>
        <v>271</v>
      </c>
      <c r="E746" s="1" t="str">
        <f t="array" ref="E746">_xlfn.XLOOKUP(A746,Product!A:A,Product!B:B,"Bulunamadı")</f>
        <v>Fiction</v>
      </c>
      <c r="F746" s="1" t="str">
        <f t="array" ref="F746">_xlfn.XLOOKUP(A746,Product!A:A,Product!C:C,"Bulunamadı")</f>
        <v>Medieval History</v>
      </c>
      <c r="G746" s="2" t="str">
        <f t="array" ref="G746">_xlfn.XLOOKUP(A747,Product!A:A,Product!D:D,"Bulunamadı")</f>
        <v>Iron Ridge Press</v>
      </c>
      <c r="H746" s="2">
        <f t="array" ref="H746">_xlfn.XLOOKUP(A748,Product!A:A,Product!E:E,"Bulunamadı")</f>
        <v>2.1</v>
      </c>
      <c r="I746" s="2" t="str">
        <f t="shared" si="1"/>
        <v>109187 - Fiction - Medieval History</v>
      </c>
      <c r="J746" s="2">
        <f t="shared" si="2"/>
        <v>569.1</v>
      </c>
      <c r="K746" s="17">
        <f t="shared" si="3"/>
        <v>1</v>
      </c>
      <c r="L746" s="18"/>
    </row>
    <row r="747" hidden="1">
      <c r="A747" s="2">
        <f>IFERROR(__xludf.DUMMYFUNCTION("""COMPUTED_VALUE"""),118257.0)</f>
        <v>118257</v>
      </c>
      <c r="B747" s="2">
        <f>IFERROR(__xludf.DUMMYFUNCTION("""COMPUTED_VALUE"""),0.0)</f>
        <v>0</v>
      </c>
      <c r="C747" s="2">
        <f>IFERROR(__xludf.DUMMYFUNCTION("""COMPUTED_VALUE"""),734.0)</f>
        <v>734</v>
      </c>
      <c r="D747" s="3">
        <f>IFERROR(__xludf.DUMMYFUNCTION("""COMPUTED_VALUE"""),614.0)</f>
        <v>614</v>
      </c>
      <c r="E747" s="1" t="str">
        <f t="array" ref="E747">_xlfn.XLOOKUP(A747,Product!A:A,Product!B:B,"Bulunamadı")</f>
        <v>Fiction</v>
      </c>
      <c r="F747" s="1" t="str">
        <f t="array" ref="F747">_xlfn.XLOOKUP(A747,Product!A:A,Product!C:C,"Bulunamadı")</f>
        <v>Medieval History</v>
      </c>
      <c r="G747" s="2" t="str">
        <f t="array" ref="G747">_xlfn.XLOOKUP(A748,Product!A:A,Product!D:D,"Bulunamadı")</f>
        <v>Iron Ridge Press</v>
      </c>
      <c r="H747" s="2">
        <f t="array" ref="H747">_xlfn.XLOOKUP(A749,Product!A:A,Product!E:E,"Bulunamadı")</f>
        <v>3.35</v>
      </c>
      <c r="I747" s="2" t="str">
        <f t="shared" si="1"/>
        <v>118257 - Fiction - Medieval History</v>
      </c>
      <c r="J747" s="2">
        <f t="shared" si="2"/>
        <v>2056.9</v>
      </c>
      <c r="K747" s="17">
        <f t="shared" si="3"/>
        <v>1</v>
      </c>
      <c r="L747" s="18"/>
    </row>
    <row r="748" hidden="1">
      <c r="A748" s="2">
        <f>IFERROR(__xludf.DUMMYFUNCTION("""COMPUTED_VALUE"""),7995.0)</f>
        <v>7995</v>
      </c>
      <c r="B748" s="2">
        <f>IFERROR(__xludf.DUMMYFUNCTION("""COMPUTED_VALUE"""),0.0)</f>
        <v>0</v>
      </c>
      <c r="C748" s="2">
        <f>IFERROR(__xludf.DUMMYFUNCTION("""COMPUTED_VALUE"""),35.0)</f>
        <v>35</v>
      </c>
      <c r="D748" s="3">
        <f>IFERROR(__xludf.DUMMYFUNCTION("""COMPUTED_VALUE"""),9.0)</f>
        <v>9</v>
      </c>
      <c r="E748" s="1" t="str">
        <f t="array" ref="E748">_xlfn.XLOOKUP(A748,Product!A:A,Product!B:B,"Bulunamadı")</f>
        <v>Fiction</v>
      </c>
      <c r="F748" s="1" t="str">
        <f t="array" ref="F748">_xlfn.XLOOKUP(A748,Product!A:A,Product!C:C,"Bulunamadı")</f>
        <v>Medieval History</v>
      </c>
      <c r="G748" s="2" t="str">
        <f t="array" ref="G748">_xlfn.XLOOKUP(A749,Product!A:A,Product!D:D,"Bulunamadı")</f>
        <v>Iron Ridge Press</v>
      </c>
      <c r="H748" s="2">
        <f t="array" ref="H748">_xlfn.XLOOKUP(A750,Product!A:A,Product!E:E,"Bulunamadı")</f>
        <v>1.98</v>
      </c>
      <c r="I748" s="2" t="str">
        <f t="shared" si="1"/>
        <v>7995 - Fiction - Medieval History</v>
      </c>
      <c r="J748" s="2">
        <f t="shared" si="2"/>
        <v>17.82</v>
      </c>
      <c r="K748" s="17">
        <f t="shared" si="3"/>
        <v>1</v>
      </c>
      <c r="L748" s="18"/>
    </row>
    <row r="749" hidden="1">
      <c r="A749" s="2">
        <f>IFERROR(__xludf.DUMMYFUNCTION("""COMPUTED_VALUE"""),99360.0)</f>
        <v>99360</v>
      </c>
      <c r="B749" s="2">
        <f>IFERROR(__xludf.DUMMYFUNCTION("""COMPUTED_VALUE"""),0.0)</f>
        <v>0</v>
      </c>
      <c r="C749" s="2">
        <f>IFERROR(__xludf.DUMMYFUNCTION("""COMPUTED_VALUE"""),765.0)</f>
        <v>765</v>
      </c>
      <c r="D749" s="3">
        <f>IFERROR(__xludf.DUMMYFUNCTION("""COMPUTED_VALUE"""),244.0)</f>
        <v>244</v>
      </c>
      <c r="E749" s="1" t="str">
        <f t="array" ref="E749">_xlfn.XLOOKUP(A749,Product!A:A,Product!B:B,"Bulunamadı")</f>
        <v>Fiction</v>
      </c>
      <c r="F749" s="1" t="str">
        <f t="array" ref="F749">_xlfn.XLOOKUP(A749,Product!A:A,Product!C:C,"Bulunamadı")</f>
        <v>Medieval History</v>
      </c>
      <c r="G749" s="2" t="str">
        <f t="array" ref="G749">_xlfn.XLOOKUP(A750,Product!A:A,Product!D:D,"Bulunamadı")</f>
        <v>Iron Ridge Press</v>
      </c>
      <c r="H749" s="2">
        <f t="array" ref="H749">_xlfn.XLOOKUP(A751,Product!A:A,Product!E:E,"Bulunamadı")</f>
        <v>3.14</v>
      </c>
      <c r="I749" s="2" t="str">
        <f t="shared" si="1"/>
        <v>99360 - Fiction - Medieval History</v>
      </c>
      <c r="J749" s="2">
        <f t="shared" si="2"/>
        <v>766.16</v>
      </c>
      <c r="K749" s="17">
        <f t="shared" si="3"/>
        <v>1</v>
      </c>
      <c r="L749" s="18"/>
    </row>
    <row r="750" hidden="1">
      <c r="A750" s="2">
        <f>IFERROR(__xludf.DUMMYFUNCTION("""COMPUTED_VALUE"""),118156.0)</f>
        <v>118156</v>
      </c>
      <c r="B750" s="2">
        <f>IFERROR(__xludf.DUMMYFUNCTION("""COMPUTED_VALUE"""),0.0)</f>
        <v>0</v>
      </c>
      <c r="C750" s="2">
        <f>IFERROR(__xludf.DUMMYFUNCTION("""COMPUTED_VALUE"""),208.0)</f>
        <v>208</v>
      </c>
      <c r="D750" s="3">
        <f>IFERROR(__xludf.DUMMYFUNCTION("""COMPUTED_VALUE"""),53.0)</f>
        <v>53</v>
      </c>
      <c r="E750" s="1" t="str">
        <f t="array" ref="E750">_xlfn.XLOOKUP(A750,Product!A:A,Product!B:B,"Bulunamadı")</f>
        <v>Fiction</v>
      </c>
      <c r="F750" s="1" t="str">
        <f t="array" ref="F750">_xlfn.XLOOKUP(A750,Product!A:A,Product!C:C,"Bulunamadı")</f>
        <v>Medieval History</v>
      </c>
      <c r="G750" s="2" t="str">
        <f t="array" ref="G750">_xlfn.XLOOKUP(A751,Product!A:A,Product!D:D,"Bulunamadı")</f>
        <v>Iron Ridge Press</v>
      </c>
      <c r="H750" s="2">
        <f t="array" ref="H750">_xlfn.XLOOKUP(A752,Product!A:A,Product!E:E,"Bulunamadı")</f>
        <v>1.54</v>
      </c>
      <c r="I750" s="2" t="str">
        <f t="shared" si="1"/>
        <v>118156 - Fiction - Medieval History</v>
      </c>
      <c r="J750" s="2">
        <f t="shared" si="2"/>
        <v>81.62</v>
      </c>
      <c r="K750" s="17">
        <f t="shared" si="3"/>
        <v>1</v>
      </c>
      <c r="L750" s="18"/>
    </row>
    <row r="751" hidden="1">
      <c r="A751" s="2">
        <f>IFERROR(__xludf.DUMMYFUNCTION("""COMPUTED_VALUE"""),44943.0)</f>
        <v>44943</v>
      </c>
      <c r="B751" s="2">
        <f>IFERROR(__xludf.DUMMYFUNCTION("""COMPUTED_VALUE"""),1.0)</f>
        <v>1</v>
      </c>
      <c r="C751" s="2">
        <f>IFERROR(__xludf.DUMMYFUNCTION("""COMPUTED_VALUE"""),203.0)</f>
        <v>203</v>
      </c>
      <c r="D751" s="3">
        <f>IFERROR(__xludf.DUMMYFUNCTION("""COMPUTED_VALUE"""),116.0)</f>
        <v>116</v>
      </c>
      <c r="E751" s="1" t="str">
        <f t="array" ref="E751">_xlfn.XLOOKUP(A751,Product!A:A,Product!B:B,"Bulunamadı")</f>
        <v>Fiction</v>
      </c>
      <c r="F751" s="1" t="str">
        <f t="array" ref="F751">_xlfn.XLOOKUP(A751,Product!A:A,Product!C:C,"Bulunamadı")</f>
        <v>Medieval History</v>
      </c>
      <c r="G751" s="2" t="str">
        <f t="array" ref="G751">_xlfn.XLOOKUP(A752,Product!A:A,Product!D:D,"Bulunamadı")</f>
        <v>Iron Ridge Press</v>
      </c>
      <c r="H751" s="2">
        <f t="array" ref="H751">_xlfn.XLOOKUP(A753,Product!A:A,Product!E:E,"Bulunamadı")</f>
        <v>1.32</v>
      </c>
      <c r="I751" s="2" t="str">
        <f t="shared" si="1"/>
        <v>44943 - Fiction - Medieval History</v>
      </c>
      <c r="J751" s="2">
        <f t="shared" si="2"/>
        <v>153.12</v>
      </c>
      <c r="K751" s="17">
        <f t="shared" si="3"/>
        <v>1</v>
      </c>
      <c r="L751" s="18"/>
    </row>
    <row r="752" hidden="1">
      <c r="A752" s="2">
        <f>IFERROR(__xludf.DUMMYFUNCTION("""COMPUTED_VALUE"""),9462.0)</f>
        <v>9462</v>
      </c>
      <c r="B752" s="2">
        <f>IFERROR(__xludf.DUMMYFUNCTION("""COMPUTED_VALUE"""),1.0)</f>
        <v>1</v>
      </c>
      <c r="C752" s="2">
        <f>IFERROR(__xludf.DUMMYFUNCTION("""COMPUTED_VALUE"""),942.0)</f>
        <v>942</v>
      </c>
      <c r="D752" s="3">
        <f>IFERROR(__xludf.DUMMYFUNCTION("""COMPUTED_VALUE"""),409.0)</f>
        <v>409</v>
      </c>
      <c r="E752" s="1" t="str">
        <f t="array" ref="E752">_xlfn.XLOOKUP(A752,Product!A:A,Product!B:B,"Bulunamadı")</f>
        <v>Fiction</v>
      </c>
      <c r="F752" s="1" t="str">
        <f t="array" ref="F752">_xlfn.XLOOKUP(A752,Product!A:A,Product!C:C,"Bulunamadı")</f>
        <v>Medieval History</v>
      </c>
      <c r="G752" s="2" t="str">
        <f t="array" ref="G752">_xlfn.XLOOKUP(A753,Product!A:A,Product!D:D,"Bulunamadı")</f>
        <v>Iron Ridge Press</v>
      </c>
      <c r="H752" s="2">
        <f t="array" ref="H752">_xlfn.XLOOKUP(A754,Product!A:A,Product!E:E,"Bulunamadı")</f>
        <v>1.83</v>
      </c>
      <c r="I752" s="2" t="str">
        <f t="shared" si="1"/>
        <v>9462 - Fiction - Medieval History</v>
      </c>
      <c r="J752" s="2">
        <f t="shared" si="2"/>
        <v>748.47</v>
      </c>
      <c r="K752" s="17">
        <f t="shared" si="3"/>
        <v>1</v>
      </c>
      <c r="L752" s="18"/>
    </row>
    <row r="753" hidden="1">
      <c r="A753" s="2">
        <f>IFERROR(__xludf.DUMMYFUNCTION("""COMPUTED_VALUE"""),79501.0)</f>
        <v>79501</v>
      </c>
      <c r="B753" s="2">
        <f>IFERROR(__xludf.DUMMYFUNCTION("""COMPUTED_VALUE"""),0.0)</f>
        <v>0</v>
      </c>
      <c r="C753" s="2">
        <f>IFERROR(__xludf.DUMMYFUNCTION("""COMPUTED_VALUE"""),877.0)</f>
        <v>877</v>
      </c>
      <c r="D753" s="3">
        <f>IFERROR(__xludf.DUMMYFUNCTION("""COMPUTED_VALUE"""),322.0)</f>
        <v>322</v>
      </c>
      <c r="E753" s="1" t="str">
        <f t="array" ref="E753">_xlfn.XLOOKUP(A753,Product!A:A,Product!B:B,"Bulunamadı")</f>
        <v>Fiction</v>
      </c>
      <c r="F753" s="1" t="str">
        <f t="array" ref="F753">_xlfn.XLOOKUP(A753,Product!A:A,Product!C:C,"Bulunamadı")</f>
        <v>Medieval History</v>
      </c>
      <c r="G753" s="2" t="str">
        <f t="array" ref="G753">_xlfn.XLOOKUP(A754,Product!A:A,Product!D:D,"Bulunamadı")</f>
        <v>Iron Ridge Press</v>
      </c>
      <c r="H753" s="2">
        <f t="array" ref="H753">_xlfn.XLOOKUP(A755,Product!A:A,Product!E:E,"Bulunamadı")</f>
        <v>6.35</v>
      </c>
      <c r="I753" s="2" t="str">
        <f t="shared" si="1"/>
        <v>79501 - Fiction - Medieval History</v>
      </c>
      <c r="J753" s="2">
        <f t="shared" si="2"/>
        <v>2044.7</v>
      </c>
      <c r="K753" s="17">
        <f t="shared" si="3"/>
        <v>1</v>
      </c>
      <c r="L753" s="18"/>
    </row>
    <row r="754" hidden="1">
      <c r="A754" s="2">
        <f>IFERROR(__xludf.DUMMYFUNCTION("""COMPUTED_VALUE"""),97161.0)</f>
        <v>97161</v>
      </c>
      <c r="B754" s="2">
        <f>IFERROR(__xludf.DUMMYFUNCTION("""COMPUTED_VALUE"""),1.0)</f>
        <v>1</v>
      </c>
      <c r="C754" s="2">
        <f>IFERROR(__xludf.DUMMYFUNCTION("""COMPUTED_VALUE"""),815.0)</f>
        <v>815</v>
      </c>
      <c r="D754" s="3">
        <f>IFERROR(__xludf.DUMMYFUNCTION("""COMPUTED_VALUE"""),189.0)</f>
        <v>189</v>
      </c>
      <c r="E754" s="1" t="str">
        <f t="array" ref="E754">_xlfn.XLOOKUP(A754,Product!A:A,Product!B:B,"Bulunamadı")</f>
        <v>Fiction</v>
      </c>
      <c r="F754" s="1" t="str">
        <f t="array" ref="F754">_xlfn.XLOOKUP(A754,Product!A:A,Product!C:C,"Bulunamadı")</f>
        <v>Medieval History</v>
      </c>
      <c r="G754" s="2" t="str">
        <f t="array" ref="G754">_xlfn.XLOOKUP(A755,Product!A:A,Product!D:D,"Bulunamadı")</f>
        <v>Iron Ridge Press</v>
      </c>
      <c r="H754" s="2">
        <f t="array" ref="H754">_xlfn.XLOOKUP(A756,Product!A:A,Product!E:E,"Bulunamadı")</f>
        <v>8.73</v>
      </c>
      <c r="I754" s="2" t="str">
        <f t="shared" si="1"/>
        <v>97161 - Fiction - Medieval History</v>
      </c>
      <c r="J754" s="2">
        <f t="shared" si="2"/>
        <v>1649.97</v>
      </c>
      <c r="K754" s="17">
        <f t="shared" si="3"/>
        <v>1</v>
      </c>
      <c r="L754" s="18"/>
    </row>
    <row r="755" hidden="1">
      <c r="A755" s="2">
        <f>IFERROR(__xludf.DUMMYFUNCTION("""COMPUTED_VALUE"""),112842.0)</f>
        <v>112842</v>
      </c>
      <c r="B755" s="2">
        <f>IFERROR(__xludf.DUMMYFUNCTION("""COMPUTED_VALUE"""),0.0)</f>
        <v>0</v>
      </c>
      <c r="C755" s="2">
        <f>IFERROR(__xludf.DUMMYFUNCTION("""COMPUTED_VALUE"""),441.0)</f>
        <v>441</v>
      </c>
      <c r="D755" s="3">
        <f>IFERROR(__xludf.DUMMYFUNCTION("""COMPUTED_VALUE"""),27.0)</f>
        <v>27</v>
      </c>
      <c r="E755" s="1" t="str">
        <f t="array" ref="E755">_xlfn.XLOOKUP(A755,Product!A:A,Product!B:B,"Bulunamadı")</f>
        <v>Fiction</v>
      </c>
      <c r="F755" s="1" t="str">
        <f t="array" ref="F755">_xlfn.XLOOKUP(A755,Product!A:A,Product!C:C,"Bulunamadı")</f>
        <v>Medieval History</v>
      </c>
      <c r="G755" s="2" t="str">
        <f t="array" ref="G755">_xlfn.XLOOKUP(A756,Product!A:A,Product!D:D,"Bulunamadı")</f>
        <v>Iron Ridge Press</v>
      </c>
      <c r="H755" s="2">
        <f t="array" ref="H755">_xlfn.XLOOKUP(A757,Product!A:A,Product!E:E,"Bulunamadı")</f>
        <v>1.06</v>
      </c>
      <c r="I755" s="2" t="str">
        <f t="shared" si="1"/>
        <v>112842 - Fiction - Medieval History</v>
      </c>
      <c r="J755" s="2">
        <f t="shared" si="2"/>
        <v>28.62</v>
      </c>
      <c r="K755" s="17">
        <f t="shared" si="3"/>
        <v>1</v>
      </c>
      <c r="L755" s="18"/>
    </row>
    <row r="756" hidden="1">
      <c r="A756" s="2">
        <f>IFERROR(__xludf.DUMMYFUNCTION("""COMPUTED_VALUE"""),109180.0)</f>
        <v>109180</v>
      </c>
      <c r="B756" s="2">
        <f>IFERROR(__xludf.DUMMYFUNCTION("""COMPUTED_VALUE"""),0.0)</f>
        <v>0</v>
      </c>
      <c r="C756" s="2">
        <f>IFERROR(__xludf.DUMMYFUNCTION("""COMPUTED_VALUE"""),73.0)</f>
        <v>73</v>
      </c>
      <c r="D756" s="3">
        <f>IFERROR(__xludf.DUMMYFUNCTION("""COMPUTED_VALUE"""),23.0)</f>
        <v>23</v>
      </c>
      <c r="E756" s="1" t="str">
        <f t="array" ref="E756">_xlfn.XLOOKUP(A756,Product!A:A,Product!B:B,"Bulunamadı")</f>
        <v>Fiction</v>
      </c>
      <c r="F756" s="1" t="str">
        <f t="array" ref="F756">_xlfn.XLOOKUP(A756,Product!A:A,Product!C:C,"Bulunamadı")</f>
        <v>Medieval History</v>
      </c>
      <c r="G756" s="2" t="str">
        <f t="array" ref="G756">_xlfn.XLOOKUP(A757,Product!A:A,Product!D:D,"Bulunamadı")</f>
        <v>Iron Ridge Press</v>
      </c>
      <c r="H756" s="2">
        <f t="array" ref="H756">_xlfn.XLOOKUP(A758,Product!A:A,Product!E:E,"Bulunamadı")</f>
        <v>1.59</v>
      </c>
      <c r="I756" s="2" t="str">
        <f t="shared" si="1"/>
        <v>109180 - Fiction - Medieval History</v>
      </c>
      <c r="J756" s="2">
        <f t="shared" si="2"/>
        <v>36.57</v>
      </c>
      <c r="K756" s="17">
        <f t="shared" si="3"/>
        <v>1</v>
      </c>
      <c r="L756" s="18"/>
    </row>
    <row r="757" hidden="1">
      <c r="A757" s="2">
        <f>IFERROR(__xludf.DUMMYFUNCTION("""COMPUTED_VALUE"""),46954.0)</f>
        <v>46954</v>
      </c>
      <c r="B757" s="2">
        <f>IFERROR(__xludf.DUMMYFUNCTION("""COMPUTED_VALUE"""),0.0)</f>
        <v>0</v>
      </c>
      <c r="C757" s="2">
        <f>IFERROR(__xludf.DUMMYFUNCTION("""COMPUTED_VALUE"""),640.0)</f>
        <v>640</v>
      </c>
      <c r="D757" s="3">
        <f>IFERROR(__xludf.DUMMYFUNCTION("""COMPUTED_VALUE"""),195.0)</f>
        <v>195</v>
      </c>
      <c r="E757" s="1" t="str">
        <f t="array" ref="E757">_xlfn.XLOOKUP(A757,Product!A:A,Product!B:B,"Bulunamadı")</f>
        <v>Fiction</v>
      </c>
      <c r="F757" s="1" t="str">
        <f t="array" ref="F757">_xlfn.XLOOKUP(A757,Product!A:A,Product!C:C,"Bulunamadı")</f>
        <v>Medieval History</v>
      </c>
      <c r="G757" s="2" t="str">
        <f t="array" ref="G757">_xlfn.XLOOKUP(A758,Product!A:A,Product!D:D,"Bulunamadı")</f>
        <v>Iron Ridge Press</v>
      </c>
      <c r="H757" s="2">
        <f t="array" ref="H757">_xlfn.XLOOKUP(A759,Product!A:A,Product!E:E,"Bulunamadı")</f>
        <v>6.13</v>
      </c>
      <c r="I757" s="2" t="str">
        <f t="shared" si="1"/>
        <v>46954 - Fiction - Medieval History</v>
      </c>
      <c r="J757" s="2">
        <f t="shared" si="2"/>
        <v>1195.35</v>
      </c>
      <c r="K757" s="17">
        <f t="shared" si="3"/>
        <v>1</v>
      </c>
      <c r="L757" s="18"/>
    </row>
    <row r="758" hidden="1">
      <c r="A758" s="2">
        <f>IFERROR(__xludf.DUMMYFUNCTION("""COMPUTED_VALUE"""),79500.0)</f>
        <v>79500</v>
      </c>
      <c r="B758" s="2">
        <f>IFERROR(__xludf.DUMMYFUNCTION("""COMPUTED_VALUE"""),0.0)</f>
        <v>0</v>
      </c>
      <c r="C758" s="2">
        <f>IFERROR(__xludf.DUMMYFUNCTION("""COMPUTED_VALUE"""),73.0)</f>
        <v>73</v>
      </c>
      <c r="D758" s="3">
        <f>IFERROR(__xludf.DUMMYFUNCTION("""COMPUTED_VALUE"""),31.0)</f>
        <v>31</v>
      </c>
      <c r="E758" s="1" t="str">
        <f t="array" ref="E758">_xlfn.XLOOKUP(A758,Product!A:A,Product!B:B,"Bulunamadı")</f>
        <v>Fiction</v>
      </c>
      <c r="F758" s="1" t="str">
        <f t="array" ref="F758">_xlfn.XLOOKUP(A758,Product!A:A,Product!C:C,"Bulunamadı")</f>
        <v>Medieval History</v>
      </c>
      <c r="G758" s="2" t="str">
        <f t="array" ref="G758">_xlfn.XLOOKUP(A759,Product!A:A,Product!D:D,"Bulunamadı")</f>
        <v>Iron Ridge Press</v>
      </c>
      <c r="H758" s="2">
        <f t="array" ref="H758">_xlfn.XLOOKUP(A760,Product!A:A,Product!E:E,"Bulunamadı")</f>
        <v>5.79</v>
      </c>
      <c r="I758" s="2" t="str">
        <f t="shared" si="1"/>
        <v>79500 - Fiction - Medieval History</v>
      </c>
      <c r="J758" s="2">
        <f t="shared" si="2"/>
        <v>179.49</v>
      </c>
      <c r="K758" s="17">
        <f t="shared" si="3"/>
        <v>1</v>
      </c>
      <c r="L758" s="18"/>
    </row>
    <row r="759" hidden="1">
      <c r="A759" s="2">
        <f>IFERROR(__xludf.DUMMYFUNCTION("""COMPUTED_VALUE"""),99302.0)</f>
        <v>99302</v>
      </c>
      <c r="B759" s="2">
        <f>IFERROR(__xludf.DUMMYFUNCTION("""COMPUTED_VALUE"""),1.0)</f>
        <v>1</v>
      </c>
      <c r="C759" s="2">
        <f>IFERROR(__xludf.DUMMYFUNCTION("""COMPUTED_VALUE"""),323.0)</f>
        <v>323</v>
      </c>
      <c r="D759" s="3">
        <f>IFERROR(__xludf.DUMMYFUNCTION("""COMPUTED_VALUE"""),75.0)</f>
        <v>75</v>
      </c>
      <c r="E759" s="1" t="str">
        <f t="array" ref="E759">_xlfn.XLOOKUP(A759,Product!A:A,Product!B:B,"Bulunamadı")</f>
        <v>Fiction</v>
      </c>
      <c r="F759" s="1" t="str">
        <f t="array" ref="F759">_xlfn.XLOOKUP(A759,Product!A:A,Product!C:C,"Bulunamadı")</f>
        <v>Medieval History</v>
      </c>
      <c r="G759" s="2" t="str">
        <f t="array" ref="G759">_xlfn.XLOOKUP(A760,Product!A:A,Product!D:D,"Bulunamadı")</f>
        <v>Iron Ridge Press</v>
      </c>
      <c r="H759" s="2">
        <f t="array" ref="H759">_xlfn.XLOOKUP(A761,Product!A:A,Product!E:E,"Bulunamadı")</f>
        <v>2.13</v>
      </c>
      <c r="I759" s="2" t="str">
        <f t="shared" si="1"/>
        <v>99302 - Fiction - Medieval History</v>
      </c>
      <c r="J759" s="2">
        <f t="shared" si="2"/>
        <v>159.75</v>
      </c>
      <c r="K759" s="17">
        <f t="shared" si="3"/>
        <v>1</v>
      </c>
      <c r="L759" s="18"/>
    </row>
    <row r="760" hidden="1">
      <c r="A760" s="2">
        <f>IFERROR(__xludf.DUMMYFUNCTION("""COMPUTED_VALUE"""),105026.0)</f>
        <v>105026</v>
      </c>
      <c r="B760" s="2">
        <f>IFERROR(__xludf.DUMMYFUNCTION("""COMPUTED_VALUE"""),0.0)</f>
        <v>0</v>
      </c>
      <c r="C760" s="2">
        <f>IFERROR(__xludf.DUMMYFUNCTION("""COMPUTED_VALUE"""),210.0)</f>
        <v>210</v>
      </c>
      <c r="D760" s="3">
        <f>IFERROR(__xludf.DUMMYFUNCTION("""COMPUTED_VALUE"""),69.0)</f>
        <v>69</v>
      </c>
      <c r="E760" s="1" t="str">
        <f t="array" ref="E760">_xlfn.XLOOKUP(A760,Product!A:A,Product!B:B,"Bulunamadı")</f>
        <v>Fiction</v>
      </c>
      <c r="F760" s="1" t="str">
        <f t="array" ref="F760">_xlfn.XLOOKUP(A760,Product!A:A,Product!C:C,"Bulunamadı")</f>
        <v>Medieval History</v>
      </c>
      <c r="G760" s="2" t="str">
        <f t="array" ref="G760">_xlfn.XLOOKUP(A761,Product!A:A,Product!D:D,"Bulunamadı")</f>
        <v>Iron Ridge Press</v>
      </c>
      <c r="H760" s="2">
        <f t="array" ref="H760">_xlfn.XLOOKUP(A762,Product!A:A,Product!E:E,"Bulunamadı")</f>
        <v>3.36</v>
      </c>
      <c r="I760" s="2" t="str">
        <f t="shared" si="1"/>
        <v>105026 - Fiction - Medieval History</v>
      </c>
      <c r="J760" s="2">
        <f t="shared" si="2"/>
        <v>231.84</v>
      </c>
      <c r="K760" s="17">
        <f t="shared" si="3"/>
        <v>1</v>
      </c>
      <c r="L760" s="18"/>
    </row>
    <row r="761" hidden="1">
      <c r="A761" s="2">
        <f>IFERROR(__xludf.DUMMYFUNCTION("""COMPUTED_VALUE"""),19972.0)</f>
        <v>19972</v>
      </c>
      <c r="B761" s="2">
        <f>IFERROR(__xludf.DUMMYFUNCTION("""COMPUTED_VALUE"""),1.0)</f>
        <v>1</v>
      </c>
      <c r="C761" s="2">
        <f>IFERROR(__xludf.DUMMYFUNCTION("""COMPUTED_VALUE"""),630.0)</f>
        <v>630</v>
      </c>
      <c r="D761" s="3">
        <f>IFERROR(__xludf.DUMMYFUNCTION("""COMPUTED_VALUE"""),602.0)</f>
        <v>602</v>
      </c>
      <c r="E761" s="1" t="str">
        <f t="array" ref="E761">_xlfn.XLOOKUP(A761,Product!A:A,Product!B:B,"Bulunamadı")</f>
        <v>Fiction</v>
      </c>
      <c r="F761" s="1" t="str">
        <f t="array" ref="F761">_xlfn.XLOOKUP(A761,Product!A:A,Product!C:C,"Bulunamadı")</f>
        <v>Medieval History</v>
      </c>
      <c r="G761" s="2" t="str">
        <f t="array" ref="G761">_xlfn.XLOOKUP(A762,Product!A:A,Product!D:D,"Bulunamadı")</f>
        <v>Iron Ridge Press</v>
      </c>
      <c r="H761" s="2">
        <f t="array" ref="H761">_xlfn.XLOOKUP(A763,Product!A:A,Product!E:E,"Bulunamadı")</f>
        <v>0.96</v>
      </c>
      <c r="I761" s="2" t="str">
        <f t="shared" si="1"/>
        <v>19972 - Fiction - Medieval History</v>
      </c>
      <c r="J761" s="2">
        <f t="shared" si="2"/>
        <v>577.92</v>
      </c>
      <c r="K761" s="17">
        <f t="shared" si="3"/>
        <v>1</v>
      </c>
      <c r="L761" s="18"/>
    </row>
    <row r="762" hidden="1">
      <c r="A762" s="2">
        <f>IFERROR(__xludf.DUMMYFUNCTION("""COMPUTED_VALUE"""),99233.0)</f>
        <v>99233</v>
      </c>
      <c r="B762" s="2">
        <f>IFERROR(__xludf.DUMMYFUNCTION("""COMPUTED_VALUE"""),1.0)</f>
        <v>1</v>
      </c>
      <c r="C762" s="2">
        <f>IFERROR(__xludf.DUMMYFUNCTION("""COMPUTED_VALUE"""),492.0)</f>
        <v>492</v>
      </c>
      <c r="D762" s="3">
        <f>IFERROR(__xludf.DUMMYFUNCTION("""COMPUTED_VALUE"""),68.0)</f>
        <v>68</v>
      </c>
      <c r="E762" s="1" t="str">
        <f t="array" ref="E762">_xlfn.XLOOKUP(A762,Product!A:A,Product!B:B,"Bulunamadı")</f>
        <v>Fiction</v>
      </c>
      <c r="F762" s="1" t="str">
        <f t="array" ref="F762">_xlfn.XLOOKUP(A762,Product!A:A,Product!C:C,"Bulunamadı")</f>
        <v>Medieval History</v>
      </c>
      <c r="G762" s="2" t="str">
        <f t="array" ref="G762">_xlfn.XLOOKUP(A763,Product!A:A,Product!D:D,"Bulunamadı")</f>
        <v>Iron Ridge Press</v>
      </c>
      <c r="H762" s="2">
        <f t="array" ref="H762">_xlfn.XLOOKUP(A764,Product!A:A,Product!E:E,"Bulunamadı")</f>
        <v>2.38</v>
      </c>
      <c r="I762" s="2" t="str">
        <f t="shared" si="1"/>
        <v>99233 - Fiction - Medieval History</v>
      </c>
      <c r="J762" s="2">
        <f t="shared" si="2"/>
        <v>161.84</v>
      </c>
      <c r="K762" s="17">
        <f t="shared" si="3"/>
        <v>1</v>
      </c>
      <c r="L762" s="18"/>
    </row>
    <row r="763" hidden="1">
      <c r="A763" s="2">
        <f>IFERROR(__xludf.DUMMYFUNCTION("""COMPUTED_VALUE"""),118260.0)</f>
        <v>118260</v>
      </c>
      <c r="B763" s="2">
        <f>IFERROR(__xludf.DUMMYFUNCTION("""COMPUTED_VALUE"""),1.0)</f>
        <v>1</v>
      </c>
      <c r="C763" s="2">
        <f>IFERROR(__xludf.DUMMYFUNCTION("""COMPUTED_VALUE"""),920.0)</f>
        <v>920</v>
      </c>
      <c r="D763" s="3">
        <f>IFERROR(__xludf.DUMMYFUNCTION("""COMPUTED_VALUE"""),213.0)</f>
        <v>213</v>
      </c>
      <c r="E763" s="1" t="str">
        <f t="array" ref="E763">_xlfn.XLOOKUP(A763,Product!A:A,Product!B:B,"Bulunamadı")</f>
        <v>Fiction</v>
      </c>
      <c r="F763" s="1" t="str">
        <f t="array" ref="F763">_xlfn.XLOOKUP(A763,Product!A:A,Product!C:C,"Bulunamadı")</f>
        <v>Medieval History</v>
      </c>
      <c r="G763" s="2" t="str">
        <f t="array" ref="G763">_xlfn.XLOOKUP(A764,Product!A:A,Product!D:D,"Bulunamadı")</f>
        <v>Iron Ridge Press</v>
      </c>
      <c r="H763" s="2">
        <f t="array" ref="H763">_xlfn.XLOOKUP(A765,Product!A:A,Product!E:E,"Bulunamadı")</f>
        <v>2.31</v>
      </c>
      <c r="I763" s="2" t="str">
        <f t="shared" si="1"/>
        <v>118260 - Fiction - Medieval History</v>
      </c>
      <c r="J763" s="2">
        <f t="shared" si="2"/>
        <v>492.03</v>
      </c>
      <c r="K763" s="17">
        <f t="shared" si="3"/>
        <v>1</v>
      </c>
      <c r="L763" s="18"/>
    </row>
    <row r="764" hidden="1">
      <c r="A764" s="2">
        <f>IFERROR(__xludf.DUMMYFUNCTION("""COMPUTED_VALUE"""),128398.0)</f>
        <v>128398</v>
      </c>
      <c r="B764" s="2">
        <f>IFERROR(__xludf.DUMMYFUNCTION("""COMPUTED_VALUE"""),0.0)</f>
        <v>0</v>
      </c>
      <c r="C764" s="2">
        <f>IFERROR(__xludf.DUMMYFUNCTION("""COMPUTED_VALUE"""),536.0)</f>
        <v>536</v>
      </c>
      <c r="D764" s="3">
        <f>IFERROR(__xludf.DUMMYFUNCTION("""COMPUTED_VALUE"""),448.0)</f>
        <v>448</v>
      </c>
      <c r="E764" s="1" t="str">
        <f t="array" ref="E764">_xlfn.XLOOKUP(A764,Product!A:A,Product!B:B,"Bulunamadı")</f>
        <v>Fiction</v>
      </c>
      <c r="F764" s="1" t="str">
        <f t="array" ref="F764">_xlfn.XLOOKUP(A764,Product!A:A,Product!C:C,"Bulunamadı")</f>
        <v>Medieval History</v>
      </c>
      <c r="G764" s="2" t="str">
        <f t="array" ref="G764">_xlfn.XLOOKUP(A765,Product!A:A,Product!D:D,"Bulunamadı")</f>
        <v>Iron Ridge Press</v>
      </c>
      <c r="H764" s="2">
        <f t="array" ref="H764">_xlfn.XLOOKUP(A766,Product!A:A,Product!E:E,"Bulunamadı")</f>
        <v>2.42</v>
      </c>
      <c r="I764" s="2" t="str">
        <f t="shared" si="1"/>
        <v>128398 - Fiction - Medieval History</v>
      </c>
      <c r="J764" s="2">
        <f t="shared" si="2"/>
        <v>1084.16</v>
      </c>
      <c r="K764" s="17">
        <f t="shared" si="3"/>
        <v>1</v>
      </c>
      <c r="L764" s="18"/>
    </row>
    <row r="765" hidden="1">
      <c r="A765" s="2">
        <f>IFERROR(__xludf.DUMMYFUNCTION("""COMPUTED_VALUE"""),8001.0)</f>
        <v>8001</v>
      </c>
      <c r="B765" s="2">
        <f>IFERROR(__xludf.DUMMYFUNCTION("""COMPUTED_VALUE"""),1.0)</f>
        <v>1</v>
      </c>
      <c r="C765" s="2">
        <f>IFERROR(__xludf.DUMMYFUNCTION("""COMPUTED_VALUE"""),333.0)</f>
        <v>333</v>
      </c>
      <c r="D765" s="3">
        <f>IFERROR(__xludf.DUMMYFUNCTION("""COMPUTED_VALUE"""),196.0)</f>
        <v>196</v>
      </c>
      <c r="E765" s="1" t="str">
        <f t="array" ref="E765">_xlfn.XLOOKUP(A765,Product!A:A,Product!B:B,"Bulunamadı")</f>
        <v>Fiction</v>
      </c>
      <c r="F765" s="1" t="str">
        <f t="array" ref="F765">_xlfn.XLOOKUP(A765,Product!A:A,Product!C:C,"Bulunamadı")</f>
        <v>Medieval History</v>
      </c>
      <c r="G765" s="2" t="str">
        <f t="array" ref="G765">_xlfn.XLOOKUP(A766,Product!A:A,Product!D:D,"Bulunamadı")</f>
        <v>Iron Ridge Press</v>
      </c>
      <c r="H765" s="2">
        <f t="array" ref="H765">_xlfn.XLOOKUP(A767,Product!A:A,Product!E:E,"Bulunamadı")</f>
        <v>6.64</v>
      </c>
      <c r="I765" s="2" t="str">
        <f t="shared" si="1"/>
        <v>8001 - Fiction - Medieval History</v>
      </c>
      <c r="J765" s="2">
        <f t="shared" si="2"/>
        <v>1301.44</v>
      </c>
      <c r="K765" s="17">
        <f t="shared" si="3"/>
        <v>1</v>
      </c>
      <c r="L765" s="18"/>
    </row>
    <row r="766" hidden="1">
      <c r="A766" s="2">
        <f>IFERROR(__xludf.DUMMYFUNCTION("""COMPUTED_VALUE"""),106782.0)</f>
        <v>106782</v>
      </c>
      <c r="B766" s="2">
        <f>IFERROR(__xludf.DUMMYFUNCTION("""COMPUTED_VALUE"""),0.0)</f>
        <v>0</v>
      </c>
      <c r="C766" s="2">
        <f>IFERROR(__xludf.DUMMYFUNCTION("""COMPUTED_VALUE"""),764.0)</f>
        <v>764</v>
      </c>
      <c r="D766" s="3">
        <f>IFERROR(__xludf.DUMMYFUNCTION("""COMPUTED_VALUE"""),37.0)</f>
        <v>37</v>
      </c>
      <c r="E766" s="1" t="str">
        <f t="array" ref="E766">_xlfn.XLOOKUP(A766,Product!A:A,Product!B:B,"Bulunamadı")</f>
        <v>Fiction</v>
      </c>
      <c r="F766" s="1" t="str">
        <f t="array" ref="F766">_xlfn.XLOOKUP(A766,Product!A:A,Product!C:C,"Bulunamadı")</f>
        <v>Medieval History</v>
      </c>
      <c r="G766" s="2" t="str">
        <f t="array" ref="G766">_xlfn.XLOOKUP(A767,Product!A:A,Product!D:D,"Bulunamadı")</f>
        <v>Liberty Bridge Publishing</v>
      </c>
      <c r="H766" s="2">
        <f t="array" ref="H766">_xlfn.XLOOKUP(A768,Product!A:A,Product!E:E,"Bulunamadı")</f>
        <v>4.82</v>
      </c>
      <c r="I766" s="2" t="str">
        <f t="shared" si="1"/>
        <v>106782 - Fiction - Medieval History</v>
      </c>
      <c r="J766" s="2">
        <f t="shared" si="2"/>
        <v>178.34</v>
      </c>
      <c r="K766" s="17">
        <f t="shared" si="3"/>
        <v>1</v>
      </c>
      <c r="L766" s="18"/>
    </row>
    <row r="767" hidden="1">
      <c r="A767" s="2">
        <f>IFERROR(__xludf.DUMMYFUNCTION("""COMPUTED_VALUE"""),110793.0)</f>
        <v>110793</v>
      </c>
      <c r="B767" s="2">
        <f>IFERROR(__xludf.DUMMYFUNCTION("""COMPUTED_VALUE"""),0.0)</f>
        <v>0</v>
      </c>
      <c r="C767" s="2">
        <f>IFERROR(__xludf.DUMMYFUNCTION("""COMPUTED_VALUE"""),402.0)</f>
        <v>402</v>
      </c>
      <c r="D767" s="3">
        <f>IFERROR(__xludf.DUMMYFUNCTION("""COMPUTED_VALUE"""),145.0)</f>
        <v>145</v>
      </c>
      <c r="E767" s="1" t="str">
        <f t="array" ref="E767">_xlfn.XLOOKUP(A767,Product!A:A,Product!B:B,"Bulunamadı")</f>
        <v>Fiction</v>
      </c>
      <c r="F767" s="1" t="str">
        <f t="array" ref="F767">_xlfn.XLOOKUP(A767,Product!A:A,Product!C:C,"Bulunamadı")</f>
        <v>Medieval History</v>
      </c>
      <c r="G767" s="2" t="str">
        <f t="array" ref="G767">_xlfn.XLOOKUP(A768,Product!A:A,Product!D:D,"Bulunamadı")</f>
        <v>Liberty Bridge Publishing</v>
      </c>
      <c r="H767" s="2">
        <f t="array" ref="H767">_xlfn.XLOOKUP(A769,Product!A:A,Product!E:E,"Bulunamadı")</f>
        <v>1.65</v>
      </c>
      <c r="I767" s="2" t="str">
        <f t="shared" si="1"/>
        <v>110793 - Fiction - Medieval History</v>
      </c>
      <c r="J767" s="2">
        <f t="shared" si="2"/>
        <v>239.25</v>
      </c>
      <c r="K767" s="17">
        <f t="shared" si="3"/>
        <v>1</v>
      </c>
      <c r="L767" s="18"/>
    </row>
    <row r="768" hidden="1">
      <c r="A768" s="2">
        <f>IFERROR(__xludf.DUMMYFUNCTION("""COMPUTED_VALUE"""),86808.0)</f>
        <v>86808</v>
      </c>
      <c r="B768" s="2">
        <f>IFERROR(__xludf.DUMMYFUNCTION("""COMPUTED_VALUE"""),0.0)</f>
        <v>0</v>
      </c>
      <c r="C768" s="2">
        <f>IFERROR(__xludf.DUMMYFUNCTION("""COMPUTED_VALUE"""),0.0)</f>
        <v>0</v>
      </c>
      <c r="D768" s="3">
        <f>IFERROR(__xludf.DUMMYFUNCTION("""COMPUTED_VALUE"""),0.0)</f>
        <v>0</v>
      </c>
      <c r="E768" s="1" t="str">
        <f t="array" ref="E768">_xlfn.XLOOKUP(A768,Product!A:A,Product!B:B,"Bulunamadı")</f>
        <v>Fiction</v>
      </c>
      <c r="F768" s="1" t="str">
        <f t="array" ref="F768">_xlfn.XLOOKUP(A768,Product!A:A,Product!C:C,"Bulunamadı")</f>
        <v>Medieval History</v>
      </c>
      <c r="G768" s="2" t="str">
        <f t="array" ref="G768">_xlfn.XLOOKUP(A769,Product!A:A,Product!D:D,"Bulunamadı")</f>
        <v>Liberty Bridge Publishing</v>
      </c>
      <c r="H768" s="2">
        <f t="array" ref="H768">_xlfn.XLOOKUP(A770,Product!A:A,Product!E:E,"Bulunamadı")</f>
        <v>5.72</v>
      </c>
      <c r="I768" s="2" t="str">
        <f t="shared" si="1"/>
        <v>86808 - Fiction - Medieval History</v>
      </c>
      <c r="J768" s="2">
        <f t="shared" si="2"/>
        <v>0</v>
      </c>
      <c r="K768" s="17">
        <f t="shared" si="3"/>
        <v>0</v>
      </c>
      <c r="L768" s="18"/>
    </row>
    <row r="769" hidden="1">
      <c r="A769" s="2">
        <f>IFERROR(__xludf.DUMMYFUNCTION("""COMPUTED_VALUE"""),50367.0)</f>
        <v>50367</v>
      </c>
      <c r="B769" s="2">
        <f>IFERROR(__xludf.DUMMYFUNCTION("""COMPUTED_VALUE"""),0.0)</f>
        <v>0</v>
      </c>
      <c r="C769" s="2">
        <f>IFERROR(__xludf.DUMMYFUNCTION("""COMPUTED_VALUE"""),549.0)</f>
        <v>549</v>
      </c>
      <c r="D769" s="3">
        <f>IFERROR(__xludf.DUMMYFUNCTION("""COMPUTED_VALUE"""),67.0)</f>
        <v>67</v>
      </c>
      <c r="E769" s="1" t="str">
        <f t="array" ref="E769">_xlfn.XLOOKUP(A769,Product!A:A,Product!B:B,"Bulunamadı")</f>
        <v>Fiction</v>
      </c>
      <c r="F769" s="1" t="str">
        <f t="array" ref="F769">_xlfn.XLOOKUP(A769,Product!A:A,Product!C:C,"Bulunamadı")</f>
        <v>Medieval History</v>
      </c>
      <c r="G769" s="2" t="str">
        <f t="array" ref="G769">_xlfn.XLOOKUP(A770,Product!A:A,Product!D:D,"Bulunamadı")</f>
        <v>Liberty Bridge Publishing</v>
      </c>
      <c r="H769" s="2">
        <f t="array" ref="H769">_xlfn.XLOOKUP(A771,Product!A:A,Product!E:E,"Bulunamadı")</f>
        <v>5.59</v>
      </c>
      <c r="I769" s="2" t="str">
        <f t="shared" si="1"/>
        <v>50367 - Fiction - Medieval History</v>
      </c>
      <c r="J769" s="2">
        <f t="shared" si="2"/>
        <v>374.53</v>
      </c>
      <c r="K769" s="17">
        <f t="shared" si="3"/>
        <v>1</v>
      </c>
      <c r="L769" s="18"/>
    </row>
    <row r="770" hidden="1">
      <c r="A770" s="2">
        <f>IFERROR(__xludf.DUMMYFUNCTION("""COMPUTED_VALUE"""),102750.0)</f>
        <v>102750</v>
      </c>
      <c r="B770" s="2">
        <f>IFERROR(__xludf.DUMMYFUNCTION("""COMPUTED_VALUE"""),0.0)</f>
        <v>0</v>
      </c>
      <c r="C770" s="2">
        <f>IFERROR(__xludf.DUMMYFUNCTION("""COMPUTED_VALUE"""),65.0)</f>
        <v>65</v>
      </c>
      <c r="D770" s="3">
        <f>IFERROR(__xludf.DUMMYFUNCTION("""COMPUTED_VALUE"""),37.0)</f>
        <v>37</v>
      </c>
      <c r="E770" s="1" t="str">
        <f t="array" ref="E770">_xlfn.XLOOKUP(A770,Product!A:A,Product!B:B,"Bulunamadı")</f>
        <v>Fiction</v>
      </c>
      <c r="F770" s="1" t="str">
        <f t="array" ref="F770">_xlfn.XLOOKUP(A770,Product!A:A,Product!C:C,"Bulunamadı")</f>
        <v>Medieval History</v>
      </c>
      <c r="G770" s="2" t="str">
        <f t="array" ref="G770">_xlfn.XLOOKUP(A771,Product!A:A,Product!D:D,"Bulunamadı")</f>
        <v>Liberty Bridge Publishing</v>
      </c>
      <c r="H770" s="2">
        <f t="array" ref="H770">_xlfn.XLOOKUP(A772,Product!A:A,Product!E:E,"Bulunamadı")</f>
        <v>1.28</v>
      </c>
      <c r="I770" s="2" t="str">
        <f t="shared" si="1"/>
        <v>102750 - Fiction - Medieval History</v>
      </c>
      <c r="J770" s="2">
        <f t="shared" si="2"/>
        <v>47.36</v>
      </c>
      <c r="K770" s="17">
        <f t="shared" si="3"/>
        <v>1</v>
      </c>
      <c r="L770" s="18"/>
    </row>
    <row r="771" hidden="1">
      <c r="A771" s="2">
        <f>IFERROR(__xludf.DUMMYFUNCTION("""COMPUTED_VALUE"""),102758.0)</f>
        <v>102758</v>
      </c>
      <c r="B771" s="2">
        <f>IFERROR(__xludf.DUMMYFUNCTION("""COMPUTED_VALUE"""),0.0)</f>
        <v>0</v>
      </c>
      <c r="C771" s="2">
        <f>IFERROR(__xludf.DUMMYFUNCTION("""COMPUTED_VALUE"""),282.0)</f>
        <v>282</v>
      </c>
      <c r="D771" s="3">
        <f>IFERROR(__xludf.DUMMYFUNCTION("""COMPUTED_VALUE"""),278.0)</f>
        <v>278</v>
      </c>
      <c r="E771" s="1" t="str">
        <f t="array" ref="E771">_xlfn.XLOOKUP(A771,Product!A:A,Product!B:B,"Bulunamadı")</f>
        <v>Fiction</v>
      </c>
      <c r="F771" s="1" t="str">
        <f t="array" ref="F771">_xlfn.XLOOKUP(A771,Product!A:A,Product!C:C,"Bulunamadı")</f>
        <v>Medieval History</v>
      </c>
      <c r="G771" s="2" t="str">
        <f t="array" ref="G771">_xlfn.XLOOKUP(A772,Product!A:A,Product!D:D,"Bulunamadı")</f>
        <v>Liberty Bridge Publishing</v>
      </c>
      <c r="H771" s="2">
        <f t="array" ref="H771">_xlfn.XLOOKUP(A773,Product!A:A,Product!E:E,"Bulunamadı")</f>
        <v>1.86</v>
      </c>
      <c r="I771" s="2" t="str">
        <f t="shared" si="1"/>
        <v>102758 - Fiction - Medieval History</v>
      </c>
      <c r="J771" s="2">
        <f t="shared" si="2"/>
        <v>517.08</v>
      </c>
      <c r="K771" s="17">
        <f t="shared" si="3"/>
        <v>1</v>
      </c>
      <c r="L771" s="18"/>
    </row>
    <row r="772" hidden="1">
      <c r="A772" s="2">
        <f>IFERROR(__xludf.DUMMYFUNCTION("""COMPUTED_VALUE"""),86787.0)</f>
        <v>86787</v>
      </c>
      <c r="B772" s="2">
        <f>IFERROR(__xludf.DUMMYFUNCTION("""COMPUTED_VALUE"""),1.0)</f>
        <v>1</v>
      </c>
      <c r="C772" s="2">
        <f>IFERROR(__xludf.DUMMYFUNCTION("""COMPUTED_VALUE"""),807.0)</f>
        <v>807</v>
      </c>
      <c r="D772" s="3">
        <f>IFERROR(__xludf.DUMMYFUNCTION("""COMPUTED_VALUE"""),186.0)</f>
        <v>186</v>
      </c>
      <c r="E772" s="1" t="str">
        <f t="array" ref="E772">_xlfn.XLOOKUP(A772,Product!A:A,Product!B:B,"Bulunamadı")</f>
        <v>Fiction</v>
      </c>
      <c r="F772" s="1" t="str">
        <f t="array" ref="F772">_xlfn.XLOOKUP(A772,Product!A:A,Product!C:C,"Bulunamadı")</f>
        <v>Medieval History</v>
      </c>
      <c r="G772" s="2" t="str">
        <f t="array" ref="G772">_xlfn.XLOOKUP(A773,Product!A:A,Product!D:D,"Bulunamadı")</f>
        <v>Liberty Bridge Publishing</v>
      </c>
      <c r="H772" s="2">
        <f t="array" ref="H772">_xlfn.XLOOKUP(A774,Product!A:A,Product!E:E,"Bulunamadı")</f>
        <v>1.65</v>
      </c>
      <c r="I772" s="2" t="str">
        <f t="shared" si="1"/>
        <v>86787 - Fiction - Medieval History</v>
      </c>
      <c r="J772" s="2">
        <f t="shared" si="2"/>
        <v>306.9</v>
      </c>
      <c r="K772" s="17">
        <f t="shared" si="3"/>
        <v>1</v>
      </c>
      <c r="L772" s="18"/>
    </row>
    <row r="773" hidden="1">
      <c r="A773" s="2">
        <f>IFERROR(__xludf.DUMMYFUNCTION("""COMPUTED_VALUE"""),102740.0)</f>
        <v>102740</v>
      </c>
      <c r="B773" s="2">
        <f>IFERROR(__xludf.DUMMYFUNCTION("""COMPUTED_VALUE"""),1.0)</f>
        <v>1</v>
      </c>
      <c r="C773" s="2">
        <f>IFERROR(__xludf.DUMMYFUNCTION("""COMPUTED_VALUE"""),139.0)</f>
        <v>139</v>
      </c>
      <c r="D773" s="3">
        <f>IFERROR(__xludf.DUMMYFUNCTION("""COMPUTED_VALUE"""),131.0)</f>
        <v>131</v>
      </c>
      <c r="E773" s="1" t="str">
        <f t="array" ref="E773">_xlfn.XLOOKUP(A773,Product!A:A,Product!B:B,"Bulunamadı")</f>
        <v>Fiction</v>
      </c>
      <c r="F773" s="1" t="str">
        <f t="array" ref="F773">_xlfn.XLOOKUP(A773,Product!A:A,Product!C:C,"Bulunamadı")</f>
        <v>Medieval History</v>
      </c>
      <c r="G773" s="2" t="str">
        <f t="array" ref="G773">_xlfn.XLOOKUP(A774,Product!A:A,Product!D:D,"Bulunamadı")</f>
        <v>Liberty Bridge Publishing</v>
      </c>
      <c r="H773" s="2">
        <f t="array" ref="H773">_xlfn.XLOOKUP(A775,Product!A:A,Product!E:E,"Bulunamadı")</f>
        <v>5.83</v>
      </c>
      <c r="I773" s="2" t="str">
        <f t="shared" si="1"/>
        <v>102740 - Fiction - Medieval History</v>
      </c>
      <c r="J773" s="2">
        <f t="shared" si="2"/>
        <v>763.73</v>
      </c>
      <c r="K773" s="17">
        <f t="shared" si="3"/>
        <v>1</v>
      </c>
      <c r="L773" s="18"/>
    </row>
    <row r="774" hidden="1">
      <c r="A774" s="2">
        <f>IFERROR(__xludf.DUMMYFUNCTION("""COMPUTED_VALUE"""),102734.0)</f>
        <v>102734</v>
      </c>
      <c r="B774" s="2">
        <f>IFERROR(__xludf.DUMMYFUNCTION("""COMPUTED_VALUE"""),0.0)</f>
        <v>0</v>
      </c>
      <c r="C774" s="2">
        <f>IFERROR(__xludf.DUMMYFUNCTION("""COMPUTED_VALUE"""),167.0)</f>
        <v>167</v>
      </c>
      <c r="D774" s="3">
        <f>IFERROR(__xludf.DUMMYFUNCTION("""COMPUTED_VALUE"""),85.0)</f>
        <v>85</v>
      </c>
      <c r="E774" s="1" t="str">
        <f t="array" ref="E774">_xlfn.XLOOKUP(A774,Product!A:A,Product!B:B,"Bulunamadı")</f>
        <v>Fiction</v>
      </c>
      <c r="F774" s="1" t="str">
        <f t="array" ref="F774">_xlfn.XLOOKUP(A774,Product!A:A,Product!C:C,"Bulunamadı")</f>
        <v>Medieval History</v>
      </c>
      <c r="G774" s="2" t="str">
        <f t="array" ref="G774">_xlfn.XLOOKUP(A775,Product!A:A,Product!D:D,"Bulunamadı")</f>
        <v>Liberty Bridge Publishing</v>
      </c>
      <c r="H774" s="2">
        <f t="array" ref="H774">_xlfn.XLOOKUP(A776,Product!A:A,Product!E:E,"Bulunamadı")</f>
        <v>6.16</v>
      </c>
      <c r="I774" s="2" t="str">
        <f t="shared" si="1"/>
        <v>102734 - Fiction - Medieval History</v>
      </c>
      <c r="J774" s="2">
        <f t="shared" si="2"/>
        <v>523.6</v>
      </c>
      <c r="K774" s="17">
        <f t="shared" si="3"/>
        <v>1</v>
      </c>
      <c r="L774" s="18"/>
    </row>
    <row r="775" hidden="1">
      <c r="A775" s="2">
        <f>IFERROR(__xludf.DUMMYFUNCTION("""COMPUTED_VALUE"""),102751.0)</f>
        <v>102751</v>
      </c>
      <c r="B775" s="2">
        <f>IFERROR(__xludf.DUMMYFUNCTION("""COMPUTED_VALUE"""),1.0)</f>
        <v>1</v>
      </c>
      <c r="C775" s="2">
        <f>IFERROR(__xludf.DUMMYFUNCTION("""COMPUTED_VALUE"""),432.0)</f>
        <v>432</v>
      </c>
      <c r="D775" s="3">
        <f>IFERROR(__xludf.DUMMYFUNCTION("""COMPUTED_VALUE"""),243.0)</f>
        <v>243</v>
      </c>
      <c r="E775" s="1" t="str">
        <f t="array" ref="E775">_xlfn.XLOOKUP(A775,Product!A:A,Product!B:B,"Bulunamadı")</f>
        <v>Fiction</v>
      </c>
      <c r="F775" s="1" t="str">
        <f t="array" ref="F775">_xlfn.XLOOKUP(A775,Product!A:A,Product!C:C,"Bulunamadı")</f>
        <v>Medieval History</v>
      </c>
      <c r="G775" s="2" t="str">
        <f t="array" ref="G775">_xlfn.XLOOKUP(A776,Product!A:A,Product!D:D,"Bulunamadı")</f>
        <v>Liberty Bridge Publishing</v>
      </c>
      <c r="H775" s="2">
        <f t="array" ref="H775">_xlfn.XLOOKUP(A777,Product!A:A,Product!E:E,"Bulunamadı")</f>
        <v>2.13</v>
      </c>
      <c r="I775" s="2" t="str">
        <f t="shared" si="1"/>
        <v>102751 - Fiction - Medieval History</v>
      </c>
      <c r="J775" s="2">
        <f t="shared" si="2"/>
        <v>517.59</v>
      </c>
      <c r="K775" s="17">
        <f t="shared" si="3"/>
        <v>1</v>
      </c>
      <c r="L775" s="18"/>
    </row>
    <row r="776" hidden="1">
      <c r="A776" s="2">
        <f>IFERROR(__xludf.DUMMYFUNCTION("""COMPUTED_VALUE"""),102752.0)</f>
        <v>102752</v>
      </c>
      <c r="B776" s="2">
        <f>IFERROR(__xludf.DUMMYFUNCTION("""COMPUTED_VALUE"""),1.0)</f>
        <v>1</v>
      </c>
      <c r="C776" s="2">
        <f>IFERROR(__xludf.DUMMYFUNCTION("""COMPUTED_VALUE"""),952.0)</f>
        <v>952</v>
      </c>
      <c r="D776" s="3">
        <f>IFERROR(__xludf.DUMMYFUNCTION("""COMPUTED_VALUE"""),462.0)</f>
        <v>462</v>
      </c>
      <c r="E776" s="1" t="str">
        <f t="array" ref="E776">_xlfn.XLOOKUP(A776,Product!A:A,Product!B:B,"Bulunamadı")</f>
        <v>Fiction</v>
      </c>
      <c r="F776" s="1" t="str">
        <f t="array" ref="F776">_xlfn.XLOOKUP(A776,Product!A:A,Product!C:C,"Bulunamadı")</f>
        <v>Medieval History</v>
      </c>
      <c r="G776" s="2" t="str">
        <f t="array" ref="G776">_xlfn.XLOOKUP(A777,Product!A:A,Product!D:D,"Bulunamadı")</f>
        <v>Liberty Bridge Publishing</v>
      </c>
      <c r="H776" s="2">
        <f t="array" ref="H776">_xlfn.XLOOKUP(A778,Product!A:A,Product!E:E,"Bulunamadı")</f>
        <v>2.24</v>
      </c>
      <c r="I776" s="2" t="str">
        <f t="shared" si="1"/>
        <v>102752 - Fiction - Medieval History</v>
      </c>
      <c r="J776" s="2">
        <f t="shared" si="2"/>
        <v>1034.88</v>
      </c>
      <c r="K776" s="17">
        <f t="shared" si="3"/>
        <v>1</v>
      </c>
      <c r="L776" s="18"/>
    </row>
    <row r="777" hidden="1">
      <c r="A777" s="2">
        <f>IFERROR(__xludf.DUMMYFUNCTION("""COMPUTED_VALUE"""),102735.0)</f>
        <v>102735</v>
      </c>
      <c r="B777" s="2">
        <f>IFERROR(__xludf.DUMMYFUNCTION("""COMPUTED_VALUE"""),0.0)</f>
        <v>0</v>
      </c>
      <c r="C777" s="2">
        <f>IFERROR(__xludf.DUMMYFUNCTION("""COMPUTED_VALUE"""),905.0)</f>
        <v>905</v>
      </c>
      <c r="D777" s="3">
        <f>IFERROR(__xludf.DUMMYFUNCTION("""COMPUTED_VALUE"""),574.0)</f>
        <v>574</v>
      </c>
      <c r="E777" s="1" t="str">
        <f t="array" ref="E777">_xlfn.XLOOKUP(A777,Product!A:A,Product!B:B,"Bulunamadı")</f>
        <v>Fiction</v>
      </c>
      <c r="F777" s="1" t="str">
        <f t="array" ref="F777">_xlfn.XLOOKUP(A777,Product!A:A,Product!C:C,"Bulunamadı")</f>
        <v>Medieval History</v>
      </c>
      <c r="G777" s="2" t="str">
        <f t="array" ref="G777">_xlfn.XLOOKUP(A778,Product!A:A,Product!D:D,"Bulunamadı")</f>
        <v>Liberty Bridge Publishing</v>
      </c>
      <c r="H777" s="2">
        <f t="array" ref="H777">_xlfn.XLOOKUP(A779,Product!A:A,Product!E:E,"Bulunamadı")</f>
        <v>1.69</v>
      </c>
      <c r="I777" s="2" t="str">
        <f t="shared" si="1"/>
        <v>102735 - Fiction - Medieval History</v>
      </c>
      <c r="J777" s="2">
        <f t="shared" si="2"/>
        <v>970.06</v>
      </c>
      <c r="K777" s="17">
        <f t="shared" si="3"/>
        <v>1</v>
      </c>
      <c r="L777" s="18"/>
    </row>
    <row r="778" hidden="1">
      <c r="A778" s="2">
        <f>IFERROR(__xludf.DUMMYFUNCTION("""COMPUTED_VALUE"""),86793.0)</f>
        <v>86793</v>
      </c>
      <c r="B778" s="2">
        <f>IFERROR(__xludf.DUMMYFUNCTION("""COMPUTED_VALUE"""),1.0)</f>
        <v>1</v>
      </c>
      <c r="C778" s="2">
        <f>IFERROR(__xludf.DUMMYFUNCTION("""COMPUTED_VALUE"""),617.0)</f>
        <v>617</v>
      </c>
      <c r="D778" s="3">
        <f>IFERROR(__xludf.DUMMYFUNCTION("""COMPUTED_VALUE"""),551.0)</f>
        <v>551</v>
      </c>
      <c r="E778" s="1" t="str">
        <f t="array" ref="E778">_xlfn.XLOOKUP(A778,Product!A:A,Product!B:B,"Bulunamadı")</f>
        <v>Fiction</v>
      </c>
      <c r="F778" s="1" t="str">
        <f t="array" ref="F778">_xlfn.XLOOKUP(A778,Product!A:A,Product!C:C,"Bulunamadı")</f>
        <v>Medieval History</v>
      </c>
      <c r="G778" s="2" t="str">
        <f t="array" ref="G778">_xlfn.XLOOKUP(A779,Product!A:A,Product!D:D,"Bulunamadı")</f>
        <v>Liberty Bridge Publishing</v>
      </c>
      <c r="H778" s="2">
        <f t="array" ref="H778">_xlfn.XLOOKUP(A780,Product!A:A,Product!E:E,"Bulunamadı")</f>
        <v>0.97</v>
      </c>
      <c r="I778" s="2" t="str">
        <f t="shared" si="1"/>
        <v>86793 - Fiction - Medieval History</v>
      </c>
      <c r="J778" s="2">
        <f t="shared" si="2"/>
        <v>534.47</v>
      </c>
      <c r="K778" s="17">
        <f t="shared" si="3"/>
        <v>1</v>
      </c>
      <c r="L778" s="18"/>
    </row>
    <row r="779" hidden="1">
      <c r="A779" s="2">
        <f>IFERROR(__xludf.DUMMYFUNCTION("""COMPUTED_VALUE"""),86792.0)</f>
        <v>86792</v>
      </c>
      <c r="B779" s="2">
        <f>IFERROR(__xludf.DUMMYFUNCTION("""COMPUTED_VALUE"""),1.0)</f>
        <v>1</v>
      </c>
      <c r="C779" s="2">
        <f>IFERROR(__xludf.DUMMYFUNCTION("""COMPUTED_VALUE"""),405.0)</f>
        <v>405</v>
      </c>
      <c r="D779" s="3">
        <f>IFERROR(__xludf.DUMMYFUNCTION("""COMPUTED_VALUE"""),27.0)</f>
        <v>27</v>
      </c>
      <c r="E779" s="1" t="str">
        <f t="array" ref="E779">_xlfn.XLOOKUP(A779,Product!A:A,Product!B:B,"Bulunamadı")</f>
        <v>Fiction</v>
      </c>
      <c r="F779" s="1" t="str">
        <f t="array" ref="F779">_xlfn.XLOOKUP(A779,Product!A:A,Product!C:C,"Bulunamadı")</f>
        <v>Medieval History</v>
      </c>
      <c r="G779" s="2" t="str">
        <f t="array" ref="G779">_xlfn.XLOOKUP(A780,Product!A:A,Product!D:D,"Bulunamadı")</f>
        <v>Liberty Bridge Publishing</v>
      </c>
      <c r="H779" s="2">
        <f t="array" ref="H779">_xlfn.XLOOKUP(A781,Product!A:A,Product!E:E,"Bulunamadı")</f>
        <v>3.34</v>
      </c>
      <c r="I779" s="2" t="str">
        <f t="shared" si="1"/>
        <v>86792 - Fiction - Medieval History</v>
      </c>
      <c r="J779" s="2">
        <f t="shared" si="2"/>
        <v>90.18</v>
      </c>
      <c r="K779" s="17">
        <f t="shared" si="3"/>
        <v>1</v>
      </c>
      <c r="L779" s="18"/>
    </row>
    <row r="780" hidden="1">
      <c r="A780" s="2">
        <f>IFERROR(__xludf.DUMMYFUNCTION("""COMPUTED_VALUE"""),86785.0)</f>
        <v>86785</v>
      </c>
      <c r="B780" s="2">
        <f>IFERROR(__xludf.DUMMYFUNCTION("""COMPUTED_VALUE"""),1.0)</f>
        <v>1</v>
      </c>
      <c r="C780" s="2">
        <f>IFERROR(__xludf.DUMMYFUNCTION("""COMPUTED_VALUE"""),971.0)</f>
        <v>971</v>
      </c>
      <c r="D780" s="3">
        <f>IFERROR(__xludf.DUMMYFUNCTION("""COMPUTED_VALUE"""),312.0)</f>
        <v>312</v>
      </c>
      <c r="E780" s="1" t="str">
        <f t="array" ref="E780">_xlfn.XLOOKUP(A780,Product!A:A,Product!B:B,"Bulunamadı")</f>
        <v>Fiction</v>
      </c>
      <c r="F780" s="1" t="str">
        <f t="array" ref="F780">_xlfn.XLOOKUP(A780,Product!A:A,Product!C:C,"Bulunamadı")</f>
        <v>Medieval History</v>
      </c>
      <c r="G780" s="2" t="str">
        <f t="array" ref="G780">_xlfn.XLOOKUP(A781,Product!A:A,Product!D:D,"Bulunamadı")</f>
        <v>Heritage Harbor Books</v>
      </c>
      <c r="H780" s="2">
        <f t="array" ref="H780">_xlfn.XLOOKUP(A782,Product!A:A,Product!E:E,"Bulunamadı")</f>
        <v>2.22</v>
      </c>
      <c r="I780" s="2" t="str">
        <f t="shared" si="1"/>
        <v>86785 - Fiction - Medieval History</v>
      </c>
      <c r="J780" s="2">
        <f t="shared" si="2"/>
        <v>692.64</v>
      </c>
      <c r="K780" s="17">
        <f t="shared" si="3"/>
        <v>1</v>
      </c>
      <c r="L780" s="18"/>
    </row>
    <row r="781" hidden="1">
      <c r="A781" s="2">
        <f>IFERROR(__xludf.DUMMYFUNCTION("""COMPUTED_VALUE"""),102773.0)</f>
        <v>102773</v>
      </c>
      <c r="B781" s="2">
        <f>IFERROR(__xludf.DUMMYFUNCTION("""COMPUTED_VALUE"""),0.0)</f>
        <v>0</v>
      </c>
      <c r="C781" s="2">
        <f>IFERROR(__xludf.DUMMYFUNCTION("""COMPUTED_VALUE"""),719.0)</f>
        <v>719</v>
      </c>
      <c r="D781" s="3">
        <f>IFERROR(__xludf.DUMMYFUNCTION("""COMPUTED_VALUE"""),136.0)</f>
        <v>136</v>
      </c>
      <c r="E781" s="1" t="str">
        <f t="array" ref="E781">_xlfn.XLOOKUP(A781,Product!A:A,Product!B:B,"Bulunamadı")</f>
        <v>Fiction</v>
      </c>
      <c r="F781" s="1" t="str">
        <f t="array" ref="F781">_xlfn.XLOOKUP(A781,Product!A:A,Product!C:C,"Bulunamadı")</f>
        <v>Medieval History</v>
      </c>
      <c r="G781" s="2" t="str">
        <f t="array" ref="G781">_xlfn.XLOOKUP(A782,Product!A:A,Product!D:D,"Bulunamadı")</f>
        <v>Heritage Harbor Books</v>
      </c>
      <c r="H781" s="2">
        <f t="array" ref="H781">_xlfn.XLOOKUP(A783,Product!A:A,Product!E:E,"Bulunamadı")</f>
        <v>9.47</v>
      </c>
      <c r="I781" s="2" t="str">
        <f t="shared" si="1"/>
        <v>102773 - Fiction - Medieval History</v>
      </c>
      <c r="J781" s="2">
        <f t="shared" si="2"/>
        <v>1287.92</v>
      </c>
      <c r="K781" s="17">
        <f t="shared" si="3"/>
        <v>1</v>
      </c>
      <c r="L781" s="18"/>
    </row>
    <row r="782" hidden="1">
      <c r="A782" s="2">
        <f>IFERROR(__xludf.DUMMYFUNCTION("""COMPUTED_VALUE"""),42807.0)</f>
        <v>42807</v>
      </c>
      <c r="B782" s="2">
        <f>IFERROR(__xludf.DUMMYFUNCTION("""COMPUTED_VALUE"""),1.0)</f>
        <v>1</v>
      </c>
      <c r="C782" s="2">
        <f>IFERROR(__xludf.DUMMYFUNCTION("""COMPUTED_VALUE"""),610.0)</f>
        <v>610</v>
      </c>
      <c r="D782" s="3">
        <f>IFERROR(__xludf.DUMMYFUNCTION("""COMPUTED_VALUE"""),403.0)</f>
        <v>403</v>
      </c>
      <c r="E782" s="1" t="str">
        <f t="array" ref="E782">_xlfn.XLOOKUP(A782,Product!A:A,Product!B:B,"Bulunamadı")</f>
        <v>Fiction</v>
      </c>
      <c r="F782" s="1" t="str">
        <f t="array" ref="F782">_xlfn.XLOOKUP(A782,Product!A:A,Product!C:C,"Bulunamadı")</f>
        <v>Medieval History</v>
      </c>
      <c r="G782" s="2" t="str">
        <f t="array" ref="G782">_xlfn.XLOOKUP(A783,Product!A:A,Product!D:D,"Bulunamadı")</f>
        <v>Heritage Harbor Books</v>
      </c>
      <c r="H782" s="2">
        <f t="array" ref="H782">_xlfn.XLOOKUP(A784,Product!A:A,Product!E:E,"Bulunamadı")</f>
        <v>2.92</v>
      </c>
      <c r="I782" s="2" t="str">
        <f t="shared" si="1"/>
        <v>42807 - Fiction - Medieval History</v>
      </c>
      <c r="J782" s="2">
        <f t="shared" si="2"/>
        <v>1176.76</v>
      </c>
      <c r="K782" s="17">
        <f t="shared" si="3"/>
        <v>1</v>
      </c>
      <c r="L782" s="18"/>
    </row>
    <row r="783" hidden="1">
      <c r="A783" s="2">
        <f>IFERROR(__xludf.DUMMYFUNCTION("""COMPUTED_VALUE"""),42809.0)</f>
        <v>42809</v>
      </c>
      <c r="B783" s="2">
        <f>IFERROR(__xludf.DUMMYFUNCTION("""COMPUTED_VALUE"""),0.0)</f>
        <v>0</v>
      </c>
      <c r="C783" s="2">
        <f>IFERROR(__xludf.DUMMYFUNCTION("""COMPUTED_VALUE"""),415.0)</f>
        <v>415</v>
      </c>
      <c r="D783" s="3">
        <f>IFERROR(__xludf.DUMMYFUNCTION("""COMPUTED_VALUE"""),69.0)</f>
        <v>69</v>
      </c>
      <c r="E783" s="1" t="str">
        <f t="array" ref="E783">_xlfn.XLOOKUP(A783,Product!A:A,Product!B:B,"Bulunamadı")</f>
        <v>Fiction</v>
      </c>
      <c r="F783" s="1" t="str">
        <f t="array" ref="F783">_xlfn.XLOOKUP(A783,Product!A:A,Product!C:C,"Bulunamadı")</f>
        <v>Medieval History</v>
      </c>
      <c r="G783" s="2" t="str">
        <f t="array" ref="G783">_xlfn.XLOOKUP(A784,Product!A:A,Product!D:D,"Bulunamadı")</f>
        <v>Heritage Harbor Books</v>
      </c>
      <c r="H783" s="2">
        <f t="array" ref="H783">_xlfn.XLOOKUP(A785,Product!A:A,Product!E:E,"Bulunamadı")</f>
        <v>2.45</v>
      </c>
      <c r="I783" s="2" t="str">
        <f t="shared" si="1"/>
        <v>42809 - Fiction - Medieval History</v>
      </c>
      <c r="J783" s="2">
        <f t="shared" si="2"/>
        <v>169.05</v>
      </c>
      <c r="K783" s="17">
        <f t="shared" si="3"/>
        <v>1</v>
      </c>
      <c r="L783" s="18"/>
    </row>
    <row r="784" hidden="1">
      <c r="A784" s="2">
        <f>IFERROR(__xludf.DUMMYFUNCTION("""COMPUTED_VALUE"""),86821.0)</f>
        <v>86821</v>
      </c>
      <c r="B784" s="2">
        <f>IFERROR(__xludf.DUMMYFUNCTION("""COMPUTED_VALUE"""),0.0)</f>
        <v>0</v>
      </c>
      <c r="C784" s="2">
        <f>IFERROR(__xludf.DUMMYFUNCTION("""COMPUTED_VALUE"""),995.0)</f>
        <v>995</v>
      </c>
      <c r="D784" s="3">
        <f>IFERROR(__xludf.DUMMYFUNCTION("""COMPUTED_VALUE"""),734.0)</f>
        <v>734</v>
      </c>
      <c r="E784" s="1" t="str">
        <f t="array" ref="E784">_xlfn.XLOOKUP(A784,Product!A:A,Product!B:B,"Bulunamadı")</f>
        <v>Fiction</v>
      </c>
      <c r="F784" s="1" t="str">
        <f t="array" ref="F784">_xlfn.XLOOKUP(A784,Product!A:A,Product!C:C,"Bulunamadı")</f>
        <v>Medieval History</v>
      </c>
      <c r="G784" s="2" t="str">
        <f t="array" ref="G784">_xlfn.XLOOKUP(A785,Product!A:A,Product!D:D,"Bulunamadı")</f>
        <v>Heritage Harbor Books</v>
      </c>
      <c r="H784" s="2">
        <f t="array" ref="H784">_xlfn.XLOOKUP(A786,Product!A:A,Product!E:E,"Bulunamadı")</f>
        <v>3.06</v>
      </c>
      <c r="I784" s="2" t="str">
        <f t="shared" si="1"/>
        <v>86821 - Fiction - Medieval History</v>
      </c>
      <c r="J784" s="2">
        <f t="shared" si="2"/>
        <v>2246.04</v>
      </c>
      <c r="K784" s="17">
        <f t="shared" si="3"/>
        <v>1</v>
      </c>
      <c r="L784" s="18"/>
    </row>
    <row r="785" hidden="1">
      <c r="A785" s="2">
        <f>IFERROR(__xludf.DUMMYFUNCTION("""COMPUTED_VALUE"""),110719.0)</f>
        <v>110719</v>
      </c>
      <c r="B785" s="2">
        <f>IFERROR(__xludf.DUMMYFUNCTION("""COMPUTED_VALUE"""),1.0)</f>
        <v>1</v>
      </c>
      <c r="C785" s="2">
        <f>IFERROR(__xludf.DUMMYFUNCTION("""COMPUTED_VALUE"""),102.0)</f>
        <v>102</v>
      </c>
      <c r="D785" s="3">
        <f>IFERROR(__xludf.DUMMYFUNCTION("""COMPUTED_VALUE"""),48.0)</f>
        <v>48</v>
      </c>
      <c r="E785" s="1" t="str">
        <f t="array" ref="E785">_xlfn.XLOOKUP(A785,Product!A:A,Product!B:B,"Bulunamadı")</f>
        <v>Fiction</v>
      </c>
      <c r="F785" s="1" t="str">
        <f t="array" ref="F785">_xlfn.XLOOKUP(A785,Product!A:A,Product!C:C,"Bulunamadı")</f>
        <v>Medieval History</v>
      </c>
      <c r="G785" s="2" t="str">
        <f t="array" ref="G785">_xlfn.XLOOKUP(A786,Product!A:A,Product!D:D,"Bulunamadı")</f>
        <v>Heritage Harbor Books</v>
      </c>
      <c r="H785" s="2">
        <f t="array" ref="H785">_xlfn.XLOOKUP(A787,Product!A:A,Product!E:E,"Bulunamadı")</f>
        <v>15.64</v>
      </c>
      <c r="I785" s="2" t="str">
        <f t="shared" si="1"/>
        <v>110719 - Fiction - Medieval History</v>
      </c>
      <c r="J785" s="2">
        <f t="shared" si="2"/>
        <v>750.72</v>
      </c>
      <c r="K785" s="17">
        <f t="shared" si="3"/>
        <v>1</v>
      </c>
      <c r="L785" s="18"/>
    </row>
    <row r="786" hidden="1">
      <c r="A786" s="2">
        <f>IFERROR(__xludf.DUMMYFUNCTION("""COMPUTED_VALUE"""),86818.0)</f>
        <v>86818</v>
      </c>
      <c r="B786" s="2">
        <f>IFERROR(__xludf.DUMMYFUNCTION("""COMPUTED_VALUE"""),0.0)</f>
        <v>0</v>
      </c>
      <c r="C786" s="2">
        <f>IFERROR(__xludf.DUMMYFUNCTION("""COMPUTED_VALUE"""),519.0)</f>
        <v>519</v>
      </c>
      <c r="D786" s="3">
        <f>IFERROR(__xludf.DUMMYFUNCTION("""COMPUTED_VALUE"""),440.0)</f>
        <v>440</v>
      </c>
      <c r="E786" s="1" t="str">
        <f t="array" ref="E786">_xlfn.XLOOKUP(A786,Product!A:A,Product!B:B,"Bulunamadı")</f>
        <v>Fiction</v>
      </c>
      <c r="F786" s="1" t="str">
        <f t="array" ref="F786">_xlfn.XLOOKUP(A786,Product!A:A,Product!C:C,"Bulunamadı")</f>
        <v>Medieval History</v>
      </c>
      <c r="G786" s="2" t="str">
        <f t="array" ref="G786">_xlfn.XLOOKUP(A787,Product!A:A,Product!D:D,"Bulunamadı")</f>
        <v>Heritage Harbor Books</v>
      </c>
      <c r="H786" s="2">
        <f t="array" ref="H786">_xlfn.XLOOKUP(A788,Product!A:A,Product!E:E,"Bulunamadı")</f>
        <v>3.19</v>
      </c>
      <c r="I786" s="2" t="str">
        <f t="shared" si="1"/>
        <v>86818 - Fiction - Medieval History</v>
      </c>
      <c r="J786" s="2">
        <f t="shared" si="2"/>
        <v>1403.6</v>
      </c>
      <c r="K786" s="17">
        <f t="shared" si="3"/>
        <v>1</v>
      </c>
      <c r="L786" s="18"/>
    </row>
    <row r="787" hidden="1">
      <c r="A787" s="2">
        <f>IFERROR(__xludf.DUMMYFUNCTION("""COMPUTED_VALUE"""),71318.0)</f>
        <v>71318</v>
      </c>
      <c r="B787" s="2">
        <f>IFERROR(__xludf.DUMMYFUNCTION("""COMPUTED_VALUE"""),0.0)</f>
        <v>0</v>
      </c>
      <c r="C787" s="2">
        <f>IFERROR(__xludf.DUMMYFUNCTION("""COMPUTED_VALUE"""),475.0)</f>
        <v>475</v>
      </c>
      <c r="D787" s="3">
        <f>IFERROR(__xludf.DUMMYFUNCTION("""COMPUTED_VALUE"""),50.0)</f>
        <v>50</v>
      </c>
      <c r="E787" s="1" t="str">
        <f t="array" ref="E787">_xlfn.XLOOKUP(A787,Product!A:A,Product!B:B,"Bulunamadı")</f>
        <v>Fiction</v>
      </c>
      <c r="F787" s="1" t="str">
        <f t="array" ref="F787">_xlfn.XLOOKUP(A787,Product!A:A,Product!C:C,"Bulunamadı")</f>
        <v>Medieval History</v>
      </c>
      <c r="G787" s="2" t="str">
        <f t="array" ref="G787">_xlfn.XLOOKUP(A788,Product!A:A,Product!D:D,"Bulunamadı")</f>
        <v>Heritage Harbor Books</v>
      </c>
      <c r="H787" s="2">
        <f t="array" ref="H787">_xlfn.XLOOKUP(A789,Product!A:A,Product!E:E,"Bulunamadı")</f>
        <v>10.96</v>
      </c>
      <c r="I787" s="2" t="str">
        <f t="shared" si="1"/>
        <v>71318 - Fiction - Medieval History</v>
      </c>
      <c r="J787" s="2">
        <f t="shared" si="2"/>
        <v>548</v>
      </c>
      <c r="K787" s="17">
        <f t="shared" si="3"/>
        <v>1</v>
      </c>
      <c r="L787" s="18"/>
    </row>
    <row r="788" hidden="1">
      <c r="A788" s="2">
        <f>IFERROR(__xludf.DUMMYFUNCTION("""COMPUTED_VALUE"""),122303.0)</f>
        <v>122303</v>
      </c>
      <c r="B788" s="2">
        <f>IFERROR(__xludf.DUMMYFUNCTION("""COMPUTED_VALUE"""),1.0)</f>
        <v>1</v>
      </c>
      <c r="C788" s="2">
        <f>IFERROR(__xludf.DUMMYFUNCTION("""COMPUTED_VALUE"""),872.0)</f>
        <v>872</v>
      </c>
      <c r="D788" s="3">
        <f>IFERROR(__xludf.DUMMYFUNCTION("""COMPUTED_VALUE"""),371.0)</f>
        <v>371</v>
      </c>
      <c r="E788" s="1" t="str">
        <f t="array" ref="E788">_xlfn.XLOOKUP(A788,Product!A:A,Product!B:B,"Bulunamadı")</f>
        <v>Fiction</v>
      </c>
      <c r="F788" s="1" t="str">
        <f t="array" ref="F788">_xlfn.XLOOKUP(A788,Product!A:A,Product!C:C,"Bulunamadı")</f>
        <v>Medieval History</v>
      </c>
      <c r="G788" s="2" t="str">
        <f t="array" ref="G788">_xlfn.XLOOKUP(A789,Product!A:A,Product!D:D,"Bulunamadı")</f>
        <v>Heritage Harbor Books</v>
      </c>
      <c r="H788" s="2">
        <f t="array" ref="H788">_xlfn.XLOOKUP(A790,Product!A:A,Product!E:E,"Bulunamadı")</f>
        <v>2.89</v>
      </c>
      <c r="I788" s="2" t="str">
        <f t="shared" si="1"/>
        <v>122303 - Fiction - Medieval History</v>
      </c>
      <c r="J788" s="2">
        <f t="shared" si="2"/>
        <v>1072.19</v>
      </c>
      <c r="K788" s="17">
        <f t="shared" si="3"/>
        <v>1</v>
      </c>
      <c r="L788" s="18"/>
    </row>
    <row r="789" hidden="1">
      <c r="A789" s="2">
        <f>IFERROR(__xludf.DUMMYFUNCTION("""COMPUTED_VALUE"""),110716.0)</f>
        <v>110716</v>
      </c>
      <c r="B789" s="2">
        <f>IFERROR(__xludf.DUMMYFUNCTION("""COMPUTED_VALUE"""),0.0)</f>
        <v>0</v>
      </c>
      <c r="C789" s="2">
        <f>IFERROR(__xludf.DUMMYFUNCTION("""COMPUTED_VALUE"""),878.0)</f>
        <v>878</v>
      </c>
      <c r="D789" s="3">
        <f>IFERROR(__xludf.DUMMYFUNCTION("""COMPUTED_VALUE"""),558.0)</f>
        <v>558</v>
      </c>
      <c r="E789" s="1" t="str">
        <f t="array" ref="E789">_xlfn.XLOOKUP(A789,Product!A:A,Product!B:B,"Bulunamadı")</f>
        <v>Fiction</v>
      </c>
      <c r="F789" s="1" t="str">
        <f t="array" ref="F789">_xlfn.XLOOKUP(A789,Product!A:A,Product!C:C,"Bulunamadı")</f>
        <v>Medieval History</v>
      </c>
      <c r="G789" s="2" t="str">
        <f t="array" ref="G789">_xlfn.XLOOKUP(A790,Product!A:A,Product!D:D,"Bulunamadı")</f>
        <v>Heritage Harbor Books</v>
      </c>
      <c r="H789" s="2">
        <f t="array" ref="H789">_xlfn.XLOOKUP(A791,Product!A:A,Product!E:E,"Bulunamadı")</f>
        <v>2.38</v>
      </c>
      <c r="I789" s="2" t="str">
        <f t="shared" si="1"/>
        <v>110716 - Fiction - Medieval History</v>
      </c>
      <c r="J789" s="2">
        <f t="shared" si="2"/>
        <v>1328.04</v>
      </c>
      <c r="K789" s="17">
        <f t="shared" si="3"/>
        <v>1</v>
      </c>
      <c r="L789" s="18"/>
    </row>
    <row r="790" hidden="1">
      <c r="A790" s="2">
        <f>IFERROR(__xludf.DUMMYFUNCTION("""COMPUTED_VALUE"""),9480.0)</f>
        <v>9480</v>
      </c>
      <c r="B790" s="2">
        <f>IFERROR(__xludf.DUMMYFUNCTION("""COMPUTED_VALUE"""),1.0)</f>
        <v>1</v>
      </c>
      <c r="C790" s="2">
        <f>IFERROR(__xludf.DUMMYFUNCTION("""COMPUTED_VALUE"""),716.0)</f>
        <v>716</v>
      </c>
      <c r="D790" s="3">
        <f>IFERROR(__xludf.DUMMYFUNCTION("""COMPUTED_VALUE"""),559.0)</f>
        <v>559</v>
      </c>
      <c r="E790" s="1" t="str">
        <f t="array" ref="E790">_xlfn.XLOOKUP(A790,Product!A:A,Product!B:B,"Bulunamadı")</f>
        <v>Fiction</v>
      </c>
      <c r="F790" s="1" t="str">
        <f t="array" ref="F790">_xlfn.XLOOKUP(A790,Product!A:A,Product!C:C,"Bulunamadı")</f>
        <v>Medieval History</v>
      </c>
      <c r="G790" s="2" t="str">
        <f t="array" ref="G790">_xlfn.XLOOKUP(A791,Product!A:A,Product!D:D,"Bulunamadı")</f>
        <v>Heritage Harbor Books</v>
      </c>
      <c r="H790" s="2">
        <f t="array" ref="H790">_xlfn.XLOOKUP(A792,Product!A:A,Product!E:E,"Bulunamadı")</f>
        <v>4.32</v>
      </c>
      <c r="I790" s="2" t="str">
        <f t="shared" si="1"/>
        <v>9480 - Fiction - Medieval History</v>
      </c>
      <c r="J790" s="2">
        <f t="shared" si="2"/>
        <v>2414.88</v>
      </c>
      <c r="K790" s="17">
        <f t="shared" si="3"/>
        <v>1</v>
      </c>
      <c r="L790" s="18"/>
    </row>
    <row r="791" hidden="1">
      <c r="A791" s="2">
        <f>IFERROR(__xludf.DUMMYFUNCTION("""COMPUTED_VALUE"""),113920.0)</f>
        <v>113920</v>
      </c>
      <c r="B791" s="2">
        <f>IFERROR(__xludf.DUMMYFUNCTION("""COMPUTED_VALUE"""),0.0)</f>
        <v>0</v>
      </c>
      <c r="C791" s="2">
        <f>IFERROR(__xludf.DUMMYFUNCTION("""COMPUTED_VALUE"""),877.0)</f>
        <v>877</v>
      </c>
      <c r="D791" s="3">
        <f>IFERROR(__xludf.DUMMYFUNCTION("""COMPUTED_VALUE"""),516.0)</f>
        <v>516</v>
      </c>
      <c r="E791" s="1" t="str">
        <f t="array" ref="E791">_xlfn.XLOOKUP(A791,Product!A:A,Product!B:B,"Bulunamadı")</f>
        <v>Fiction</v>
      </c>
      <c r="F791" s="1" t="str">
        <f t="array" ref="F791">_xlfn.XLOOKUP(A791,Product!A:A,Product!C:C,"Bulunamadı")</f>
        <v>Medieval History</v>
      </c>
      <c r="G791" s="2" t="str">
        <f t="array" ref="G791">_xlfn.XLOOKUP(A792,Product!A:A,Product!D:D,"Bulunamadı")</f>
        <v>Suncrest Press</v>
      </c>
      <c r="H791" s="2">
        <f t="array" ref="H791">_xlfn.XLOOKUP(A793,Product!A:A,Product!E:E,"Bulunamadı")</f>
        <v>1.8</v>
      </c>
      <c r="I791" s="2" t="str">
        <f t="shared" si="1"/>
        <v>113920 - Fiction - Medieval History</v>
      </c>
      <c r="J791" s="2">
        <f t="shared" si="2"/>
        <v>928.8</v>
      </c>
      <c r="K791" s="17">
        <f t="shared" si="3"/>
        <v>1</v>
      </c>
      <c r="L791" s="18"/>
    </row>
    <row r="792" hidden="1">
      <c r="A792" s="2">
        <f>IFERROR(__xludf.DUMMYFUNCTION("""COMPUTED_VALUE"""),166088.0)</f>
        <v>166088</v>
      </c>
      <c r="B792" s="2">
        <f>IFERROR(__xludf.DUMMYFUNCTION("""COMPUTED_VALUE"""),1.0)</f>
        <v>1</v>
      </c>
      <c r="C792" s="2">
        <f>IFERROR(__xludf.DUMMYFUNCTION("""COMPUTED_VALUE"""),403.0)</f>
        <v>403</v>
      </c>
      <c r="D792" s="3">
        <f>IFERROR(__xludf.DUMMYFUNCTION("""COMPUTED_VALUE"""),386.0)</f>
        <v>386</v>
      </c>
      <c r="E792" s="1" t="str">
        <f t="array" ref="E792">_xlfn.XLOOKUP(A792,Product!A:A,Product!B:B,"Bulunamadı")</f>
        <v>Fiction</v>
      </c>
      <c r="F792" s="1" t="str">
        <f t="array" ref="F792">_xlfn.XLOOKUP(A792,Product!A:A,Product!C:C,"Bulunamadı")</f>
        <v>Medieval History</v>
      </c>
      <c r="G792" s="2" t="str">
        <f t="array" ref="G792">_xlfn.XLOOKUP(A793,Product!A:A,Product!D:D,"Bulunamadı")</f>
        <v>Suncrest Press</v>
      </c>
      <c r="H792" s="2">
        <f t="array" ref="H792">_xlfn.XLOOKUP(A794,Product!A:A,Product!E:E,"Bulunamadı")</f>
        <v>0.81</v>
      </c>
      <c r="I792" s="2" t="str">
        <f t="shared" si="1"/>
        <v>166088 - Fiction - Medieval History</v>
      </c>
      <c r="J792" s="2">
        <f t="shared" si="2"/>
        <v>312.66</v>
      </c>
      <c r="K792" s="17">
        <f t="shared" si="3"/>
        <v>1</v>
      </c>
      <c r="L792" s="18"/>
    </row>
    <row r="793" hidden="1">
      <c r="A793" s="2">
        <f>IFERROR(__xludf.DUMMYFUNCTION("""COMPUTED_VALUE"""),122712.0)</f>
        <v>122712</v>
      </c>
      <c r="B793" s="2">
        <f>IFERROR(__xludf.DUMMYFUNCTION("""COMPUTED_VALUE"""),1.0)</f>
        <v>1</v>
      </c>
      <c r="C793" s="2">
        <f>IFERROR(__xludf.DUMMYFUNCTION("""COMPUTED_VALUE"""),911.0)</f>
        <v>911</v>
      </c>
      <c r="D793" s="3">
        <f>IFERROR(__xludf.DUMMYFUNCTION("""COMPUTED_VALUE"""),624.0)</f>
        <v>624</v>
      </c>
      <c r="E793" s="1" t="str">
        <f t="array" ref="E793">_xlfn.XLOOKUP(A793,Product!A:A,Product!B:B,"Bulunamadı")</f>
        <v>Fiction</v>
      </c>
      <c r="F793" s="1" t="str">
        <f t="array" ref="F793">_xlfn.XLOOKUP(A793,Product!A:A,Product!C:C,"Bulunamadı")</f>
        <v>Medieval History</v>
      </c>
      <c r="G793" s="2" t="str">
        <f t="array" ref="G793">_xlfn.XLOOKUP(A794,Product!A:A,Product!D:D,"Bulunamadı")</f>
        <v>Suncrest Press</v>
      </c>
      <c r="H793" s="2">
        <f t="array" ref="H793">_xlfn.XLOOKUP(A795,Product!A:A,Product!E:E,"Bulunamadı")</f>
        <v>1.77</v>
      </c>
      <c r="I793" s="2" t="str">
        <f t="shared" si="1"/>
        <v>122712 - Fiction - Medieval History</v>
      </c>
      <c r="J793" s="2">
        <f t="shared" si="2"/>
        <v>1104.48</v>
      </c>
      <c r="K793" s="17">
        <f t="shared" si="3"/>
        <v>1</v>
      </c>
      <c r="L793" s="18"/>
    </row>
    <row r="794" hidden="1">
      <c r="A794" s="2">
        <f>IFERROR(__xludf.DUMMYFUNCTION("""COMPUTED_VALUE"""),86523.0)</f>
        <v>86523</v>
      </c>
      <c r="B794" s="2">
        <f>IFERROR(__xludf.DUMMYFUNCTION("""COMPUTED_VALUE"""),0.0)</f>
        <v>0</v>
      </c>
      <c r="C794" s="2">
        <f>IFERROR(__xludf.DUMMYFUNCTION("""COMPUTED_VALUE"""),978.0)</f>
        <v>978</v>
      </c>
      <c r="D794" s="3">
        <f>IFERROR(__xludf.DUMMYFUNCTION("""COMPUTED_VALUE"""),187.0)</f>
        <v>187</v>
      </c>
      <c r="E794" s="1" t="str">
        <f t="array" ref="E794">_xlfn.XLOOKUP(A794,Product!A:A,Product!B:B,"Bulunamadı")</f>
        <v>Fiction</v>
      </c>
      <c r="F794" s="1" t="str">
        <f t="array" ref="F794">_xlfn.XLOOKUP(A794,Product!A:A,Product!C:C,"Bulunamadı")</f>
        <v>Medieval History</v>
      </c>
      <c r="G794" s="2" t="str">
        <f t="array" ref="G794">_xlfn.XLOOKUP(A795,Product!A:A,Product!D:D,"Bulunamadı")</f>
        <v>Suncrest Press</v>
      </c>
      <c r="H794" s="2">
        <f t="array" ref="H794">_xlfn.XLOOKUP(A796,Product!A:A,Product!E:E,"Bulunamadı")</f>
        <v>3.73</v>
      </c>
      <c r="I794" s="2" t="str">
        <f t="shared" si="1"/>
        <v>86523 - Fiction - Medieval History</v>
      </c>
      <c r="J794" s="2">
        <f t="shared" si="2"/>
        <v>697.51</v>
      </c>
      <c r="K794" s="17">
        <f t="shared" si="3"/>
        <v>1</v>
      </c>
      <c r="L794" s="18"/>
    </row>
    <row r="795" hidden="1">
      <c r="A795" s="2">
        <f>IFERROR(__xludf.DUMMYFUNCTION("""COMPUTED_VALUE"""),106773.0)</f>
        <v>106773</v>
      </c>
      <c r="B795" s="2">
        <f>IFERROR(__xludf.DUMMYFUNCTION("""COMPUTED_VALUE"""),1.0)</f>
        <v>1</v>
      </c>
      <c r="C795" s="2">
        <f>IFERROR(__xludf.DUMMYFUNCTION("""COMPUTED_VALUE"""),608.0)</f>
        <v>608</v>
      </c>
      <c r="D795" s="3">
        <f>IFERROR(__xludf.DUMMYFUNCTION("""COMPUTED_VALUE"""),497.0)</f>
        <v>497</v>
      </c>
      <c r="E795" s="1" t="str">
        <f t="array" ref="E795">_xlfn.XLOOKUP(A795,Product!A:A,Product!B:B,"Bulunamadı")</f>
        <v>Fiction</v>
      </c>
      <c r="F795" s="1" t="str">
        <f t="array" ref="F795">_xlfn.XLOOKUP(A795,Product!A:A,Product!C:C,"Bulunamadı")</f>
        <v>Medieval History</v>
      </c>
      <c r="G795" s="2" t="str">
        <f t="array" ref="G795">_xlfn.XLOOKUP(A796,Product!A:A,Product!D:D,"Bulunamadı")</f>
        <v>Suncrest Press</v>
      </c>
      <c r="H795" s="2">
        <f t="array" ref="H795">_xlfn.XLOOKUP(A797,Product!A:A,Product!E:E,"Bulunamadı")</f>
        <v>1.3</v>
      </c>
      <c r="I795" s="2" t="str">
        <f t="shared" si="1"/>
        <v>106773 - Fiction - Medieval History</v>
      </c>
      <c r="J795" s="2">
        <f t="shared" si="2"/>
        <v>646.1</v>
      </c>
      <c r="K795" s="17">
        <f t="shared" si="3"/>
        <v>1</v>
      </c>
      <c r="L795" s="18"/>
    </row>
    <row r="796" hidden="1">
      <c r="A796" s="2">
        <f>IFERROR(__xludf.DUMMYFUNCTION("""COMPUTED_VALUE"""),128356.0)</f>
        <v>128356</v>
      </c>
      <c r="B796" s="2">
        <f>IFERROR(__xludf.DUMMYFUNCTION("""COMPUTED_VALUE"""),0.0)</f>
        <v>0</v>
      </c>
      <c r="C796" s="2">
        <f>IFERROR(__xludf.DUMMYFUNCTION("""COMPUTED_VALUE"""),712.0)</f>
        <v>712</v>
      </c>
      <c r="D796" s="3">
        <f>IFERROR(__xludf.DUMMYFUNCTION("""COMPUTED_VALUE"""),68.0)</f>
        <v>68</v>
      </c>
      <c r="E796" s="1" t="str">
        <f t="array" ref="E796">_xlfn.XLOOKUP(A796,Product!A:A,Product!B:B,"Bulunamadı")</f>
        <v>Fiction</v>
      </c>
      <c r="F796" s="1" t="str">
        <f t="array" ref="F796">_xlfn.XLOOKUP(A796,Product!A:A,Product!C:C,"Bulunamadı")</f>
        <v>Medieval History</v>
      </c>
      <c r="G796" s="2" t="str">
        <f t="array" ref="G796">_xlfn.XLOOKUP(A797,Product!A:A,Product!D:D,"Bulunamadı")</f>
        <v>Suncrest Press</v>
      </c>
      <c r="H796" s="2">
        <f t="array" ref="H796">_xlfn.XLOOKUP(A798,Product!A:A,Product!E:E,"Bulunamadı")</f>
        <v>9.85</v>
      </c>
      <c r="I796" s="2" t="str">
        <f t="shared" si="1"/>
        <v>128356 - Fiction - Medieval History</v>
      </c>
      <c r="J796" s="2">
        <f t="shared" si="2"/>
        <v>669.8</v>
      </c>
      <c r="K796" s="17">
        <f t="shared" si="3"/>
        <v>1</v>
      </c>
      <c r="L796" s="18"/>
    </row>
    <row r="797" hidden="1">
      <c r="A797" s="2">
        <f>IFERROR(__xludf.DUMMYFUNCTION("""COMPUTED_VALUE"""),28897.0)</f>
        <v>28897</v>
      </c>
      <c r="B797" s="2">
        <f>IFERROR(__xludf.DUMMYFUNCTION("""COMPUTED_VALUE"""),1.0)</f>
        <v>1</v>
      </c>
      <c r="C797" s="2">
        <f>IFERROR(__xludf.DUMMYFUNCTION("""COMPUTED_VALUE"""),846.0)</f>
        <v>846</v>
      </c>
      <c r="D797" s="3">
        <f>IFERROR(__xludf.DUMMYFUNCTION("""COMPUTED_VALUE"""),318.0)</f>
        <v>318</v>
      </c>
      <c r="E797" s="1" t="str">
        <f t="array" ref="E797">_xlfn.XLOOKUP(A797,Product!A:A,Product!B:B,"Bulunamadı")</f>
        <v>Fiction</v>
      </c>
      <c r="F797" s="1" t="str">
        <f t="array" ref="F797">_xlfn.XLOOKUP(A797,Product!A:A,Product!C:C,"Bulunamadı")</f>
        <v>Medieval History</v>
      </c>
      <c r="G797" s="2" t="str">
        <f t="array" ref="G797">_xlfn.XLOOKUP(A798,Product!A:A,Product!D:D,"Bulunamadı")</f>
        <v>Suncrest Press</v>
      </c>
      <c r="H797" s="2">
        <f t="array" ref="H797">_xlfn.XLOOKUP(A799,Product!A:A,Product!E:E,"Bulunamadı")</f>
        <v>1.25</v>
      </c>
      <c r="I797" s="2" t="str">
        <f t="shared" si="1"/>
        <v>28897 - Fiction - Medieval History</v>
      </c>
      <c r="J797" s="2">
        <f t="shared" si="2"/>
        <v>397.5</v>
      </c>
      <c r="K797" s="17">
        <f t="shared" si="3"/>
        <v>1</v>
      </c>
      <c r="L797" s="18"/>
    </row>
    <row r="798" hidden="1">
      <c r="A798" s="2">
        <f>IFERROR(__xludf.DUMMYFUNCTION("""COMPUTED_VALUE"""),181502.0)</f>
        <v>181502</v>
      </c>
      <c r="B798" s="2">
        <f>IFERROR(__xludf.DUMMYFUNCTION("""COMPUTED_VALUE"""),1.0)</f>
        <v>1</v>
      </c>
      <c r="C798" s="2">
        <f>IFERROR(__xludf.DUMMYFUNCTION("""COMPUTED_VALUE"""),247.0)</f>
        <v>247</v>
      </c>
      <c r="D798" s="3">
        <f>IFERROR(__xludf.DUMMYFUNCTION("""COMPUTED_VALUE"""),52.0)</f>
        <v>52</v>
      </c>
      <c r="E798" s="1" t="str">
        <f t="array" ref="E798">_xlfn.XLOOKUP(A798,Product!A:A,Product!B:B,"Bulunamadı")</f>
        <v>Fiction</v>
      </c>
      <c r="F798" s="1" t="str">
        <f t="array" ref="F798">_xlfn.XLOOKUP(A798,Product!A:A,Product!C:C,"Bulunamadı")</f>
        <v>Medieval History</v>
      </c>
      <c r="G798" s="2" t="str">
        <f t="array" ref="G798">_xlfn.XLOOKUP(A799,Product!A:A,Product!D:D,"Bulunamadı")</f>
        <v>Suncrest Press</v>
      </c>
      <c r="H798" s="2">
        <f t="array" ref="H798">_xlfn.XLOOKUP(A800,Product!A:A,Product!E:E,"Bulunamadı")</f>
        <v>1.27</v>
      </c>
      <c r="I798" s="2" t="str">
        <f t="shared" si="1"/>
        <v>181502 - Fiction - Medieval History</v>
      </c>
      <c r="J798" s="2">
        <f t="shared" si="2"/>
        <v>66.04</v>
      </c>
      <c r="K798" s="17">
        <f t="shared" si="3"/>
        <v>1</v>
      </c>
      <c r="L798" s="18"/>
    </row>
    <row r="799" hidden="1">
      <c r="A799" s="2">
        <f>IFERROR(__xludf.DUMMYFUNCTION("""COMPUTED_VALUE"""),13368.0)</f>
        <v>13368</v>
      </c>
      <c r="B799" s="2">
        <f>IFERROR(__xludf.DUMMYFUNCTION("""COMPUTED_VALUE"""),1.0)</f>
        <v>1</v>
      </c>
      <c r="C799" s="2">
        <f>IFERROR(__xludf.DUMMYFUNCTION("""COMPUTED_VALUE"""),338.0)</f>
        <v>338</v>
      </c>
      <c r="D799" s="3">
        <f>IFERROR(__xludf.DUMMYFUNCTION("""COMPUTED_VALUE"""),199.0)</f>
        <v>199</v>
      </c>
      <c r="E799" s="1" t="str">
        <f t="array" ref="E799">_xlfn.XLOOKUP(A799,Product!A:A,Product!B:B,"Bulunamadı")</f>
        <v>Fiction</v>
      </c>
      <c r="F799" s="1" t="str">
        <f t="array" ref="F799">_xlfn.XLOOKUP(A799,Product!A:A,Product!C:C,"Bulunamadı")</f>
        <v>Medieval History</v>
      </c>
      <c r="G799" s="2" t="str">
        <f t="array" ref="G799">_xlfn.XLOOKUP(A800,Product!A:A,Product!D:D,"Bulunamadı")</f>
        <v>Suncrest Press</v>
      </c>
      <c r="H799" s="2">
        <f t="array" ref="H799">_xlfn.XLOOKUP(A801,Product!A:A,Product!E:E,"Bulunamadı")</f>
        <v>0.86</v>
      </c>
      <c r="I799" s="2" t="str">
        <f t="shared" si="1"/>
        <v>13368 - Fiction - Medieval History</v>
      </c>
      <c r="J799" s="2">
        <f t="shared" si="2"/>
        <v>171.14</v>
      </c>
      <c r="K799" s="17">
        <f t="shared" si="3"/>
        <v>1</v>
      </c>
      <c r="L799" s="18"/>
    </row>
    <row r="800" hidden="1">
      <c r="A800" s="2">
        <f>IFERROR(__xludf.DUMMYFUNCTION("""COMPUTED_VALUE"""),105178.0)</f>
        <v>105178</v>
      </c>
      <c r="B800" s="2">
        <f>IFERROR(__xludf.DUMMYFUNCTION("""COMPUTED_VALUE"""),0.0)</f>
        <v>0</v>
      </c>
      <c r="C800" s="2">
        <f>IFERROR(__xludf.DUMMYFUNCTION("""COMPUTED_VALUE"""),194.0)</f>
        <v>194</v>
      </c>
      <c r="D800" s="3">
        <f>IFERROR(__xludf.DUMMYFUNCTION("""COMPUTED_VALUE"""),79.0)</f>
        <v>79</v>
      </c>
      <c r="E800" s="1" t="str">
        <f t="array" ref="E800">_xlfn.XLOOKUP(A800,Product!A:A,Product!B:B,"Bulunamadı")</f>
        <v>Fiction</v>
      </c>
      <c r="F800" s="1" t="str">
        <f t="array" ref="F800">_xlfn.XLOOKUP(A800,Product!A:A,Product!C:C,"Bulunamadı")</f>
        <v>Medieval History</v>
      </c>
      <c r="G800" s="2" t="str">
        <f t="array" ref="G800">_xlfn.XLOOKUP(A801,Product!A:A,Product!D:D,"Bulunamadı")</f>
        <v>Suncrest Press</v>
      </c>
      <c r="H800" s="2">
        <f t="array" ref="H800">_xlfn.XLOOKUP(A802,Product!A:A,Product!E:E,"Bulunamadı")</f>
        <v>1.29</v>
      </c>
      <c r="I800" s="2" t="str">
        <f t="shared" si="1"/>
        <v>105178 - Fiction - Medieval History</v>
      </c>
      <c r="J800" s="2">
        <f t="shared" si="2"/>
        <v>101.91</v>
      </c>
      <c r="K800" s="17">
        <f t="shared" si="3"/>
        <v>1</v>
      </c>
      <c r="L800" s="18"/>
    </row>
    <row r="801" hidden="1">
      <c r="A801" s="2">
        <f>IFERROR(__xludf.DUMMYFUNCTION("""COMPUTED_VALUE"""),158445.0)</f>
        <v>158445</v>
      </c>
      <c r="B801" s="2">
        <f>IFERROR(__xludf.DUMMYFUNCTION("""COMPUTED_VALUE"""),0.0)</f>
        <v>0</v>
      </c>
      <c r="C801" s="2">
        <f>IFERROR(__xludf.DUMMYFUNCTION("""COMPUTED_VALUE"""),476.0)</f>
        <v>476</v>
      </c>
      <c r="D801" s="3">
        <f>IFERROR(__xludf.DUMMYFUNCTION("""COMPUTED_VALUE"""),352.0)</f>
        <v>352</v>
      </c>
      <c r="E801" s="1" t="str">
        <f t="array" ref="E801">_xlfn.XLOOKUP(A801,Product!A:A,Product!B:B,"Bulunamadı")</f>
        <v>Fiction</v>
      </c>
      <c r="F801" s="1" t="str">
        <f t="array" ref="F801">_xlfn.XLOOKUP(A801,Product!A:A,Product!C:C,"Bulunamadı")</f>
        <v>Medieval History</v>
      </c>
      <c r="G801" s="2" t="str">
        <f t="array" ref="G801">_xlfn.XLOOKUP(A802,Product!A:A,Product!D:D,"Bulunamadı")</f>
        <v>Suncrest Press</v>
      </c>
      <c r="H801" s="2">
        <f t="array" ref="H801">_xlfn.XLOOKUP(A803,Product!A:A,Product!E:E,"Bulunamadı")</f>
        <v>1.41</v>
      </c>
      <c r="I801" s="2" t="str">
        <f t="shared" si="1"/>
        <v>158445 - Fiction - Medieval History</v>
      </c>
      <c r="J801" s="2">
        <f t="shared" si="2"/>
        <v>496.32</v>
      </c>
      <c r="K801" s="17">
        <f t="shared" si="3"/>
        <v>1</v>
      </c>
      <c r="L801" s="18"/>
    </row>
    <row r="802" hidden="1">
      <c r="A802" s="2">
        <f>IFERROR(__xludf.DUMMYFUNCTION("""COMPUTED_VALUE"""),105861.0)</f>
        <v>105861</v>
      </c>
      <c r="B802" s="2">
        <f>IFERROR(__xludf.DUMMYFUNCTION("""COMPUTED_VALUE"""),0.0)</f>
        <v>0</v>
      </c>
      <c r="C802" s="2">
        <f>IFERROR(__xludf.DUMMYFUNCTION("""COMPUTED_VALUE"""),896.0)</f>
        <v>896</v>
      </c>
      <c r="D802" s="3">
        <f>IFERROR(__xludf.DUMMYFUNCTION("""COMPUTED_VALUE"""),158.0)</f>
        <v>158</v>
      </c>
      <c r="E802" s="1" t="str">
        <f t="array" ref="E802">_xlfn.XLOOKUP(A802,Product!A:A,Product!B:B,"Bulunamadı")</f>
        <v>Fiction</v>
      </c>
      <c r="F802" s="1" t="str">
        <f t="array" ref="F802">_xlfn.XLOOKUP(A802,Product!A:A,Product!C:C,"Bulunamadı")</f>
        <v>Medieval History</v>
      </c>
      <c r="G802" s="2" t="str">
        <f t="array" ref="G802">_xlfn.XLOOKUP(A803,Product!A:A,Product!D:D,"Bulunamadı")</f>
        <v>Suncrest Press</v>
      </c>
      <c r="H802" s="2">
        <f t="array" ref="H802">_xlfn.XLOOKUP(A804,Product!A:A,Product!E:E,"Bulunamadı")</f>
        <v>1.22</v>
      </c>
      <c r="I802" s="2" t="str">
        <f t="shared" si="1"/>
        <v>105861 - Fiction - Medieval History</v>
      </c>
      <c r="J802" s="2">
        <f t="shared" si="2"/>
        <v>192.76</v>
      </c>
      <c r="K802" s="17">
        <f t="shared" si="3"/>
        <v>1</v>
      </c>
      <c r="L802" s="18"/>
    </row>
    <row r="803" hidden="1">
      <c r="A803" s="2">
        <f>IFERROR(__xludf.DUMMYFUNCTION("""COMPUTED_VALUE"""),28668.0)</f>
        <v>28668</v>
      </c>
      <c r="B803" s="2">
        <f>IFERROR(__xludf.DUMMYFUNCTION("""COMPUTED_VALUE"""),1.0)</f>
        <v>1</v>
      </c>
      <c r="C803" s="2">
        <f>IFERROR(__xludf.DUMMYFUNCTION("""COMPUTED_VALUE"""),71.0)</f>
        <v>71</v>
      </c>
      <c r="D803" s="3">
        <f>IFERROR(__xludf.DUMMYFUNCTION("""COMPUTED_VALUE"""),29.0)</f>
        <v>29</v>
      </c>
      <c r="E803" s="1" t="str">
        <f t="array" ref="E803">_xlfn.XLOOKUP(A803,Product!A:A,Product!B:B,"Bulunamadı")</f>
        <v>Fiction</v>
      </c>
      <c r="F803" s="1" t="str">
        <f t="array" ref="F803">_xlfn.XLOOKUP(A803,Product!A:A,Product!C:C,"Bulunamadı")</f>
        <v>Medieval History</v>
      </c>
      <c r="G803" s="2" t="str">
        <f t="array" ref="G803">_xlfn.XLOOKUP(A804,Product!A:A,Product!D:D,"Bulunamadı")</f>
        <v>Suncrest Press</v>
      </c>
      <c r="H803" s="2">
        <f t="array" ref="H803">_xlfn.XLOOKUP(A805,Product!A:A,Product!E:E,"Bulunamadı")</f>
        <v>1.74</v>
      </c>
      <c r="I803" s="2" t="str">
        <f t="shared" si="1"/>
        <v>28668 - Fiction - Medieval History</v>
      </c>
      <c r="J803" s="2">
        <f t="shared" si="2"/>
        <v>50.46</v>
      </c>
      <c r="K803" s="17">
        <f t="shared" si="3"/>
        <v>1</v>
      </c>
      <c r="L803" s="18"/>
    </row>
    <row r="804" hidden="1">
      <c r="A804" s="2">
        <f>IFERROR(__xludf.DUMMYFUNCTION("""COMPUTED_VALUE"""),28661.0)</f>
        <v>28661</v>
      </c>
      <c r="B804" s="2">
        <f>IFERROR(__xludf.DUMMYFUNCTION("""COMPUTED_VALUE"""),1.0)</f>
        <v>1</v>
      </c>
      <c r="C804" s="2">
        <f>IFERROR(__xludf.DUMMYFUNCTION("""COMPUTED_VALUE"""),378.0)</f>
        <v>378</v>
      </c>
      <c r="D804" s="3">
        <f>IFERROR(__xludf.DUMMYFUNCTION("""COMPUTED_VALUE"""),45.0)</f>
        <v>45</v>
      </c>
      <c r="E804" s="1" t="str">
        <f t="array" ref="E804">_xlfn.XLOOKUP(A804,Product!A:A,Product!B:B,"Bulunamadı")</f>
        <v>Fiction</v>
      </c>
      <c r="F804" s="1" t="str">
        <f t="array" ref="F804">_xlfn.XLOOKUP(A804,Product!A:A,Product!C:C,"Bulunamadı")</f>
        <v>Medieval History</v>
      </c>
      <c r="G804" s="2" t="str">
        <f t="array" ref="G804">_xlfn.XLOOKUP(A805,Product!A:A,Product!D:D,"Bulunamadı")</f>
        <v>Suncrest Press</v>
      </c>
      <c r="H804" s="2">
        <f t="array" ref="H804">_xlfn.XLOOKUP(A806,Product!A:A,Product!E:E,"Bulunamadı")</f>
        <v>1.14</v>
      </c>
      <c r="I804" s="2" t="str">
        <f t="shared" si="1"/>
        <v>28661 - Fiction - Medieval History</v>
      </c>
      <c r="J804" s="2">
        <f t="shared" si="2"/>
        <v>51.3</v>
      </c>
      <c r="K804" s="17">
        <f t="shared" si="3"/>
        <v>1</v>
      </c>
      <c r="L804" s="18"/>
    </row>
    <row r="805" hidden="1">
      <c r="A805" s="2">
        <f>IFERROR(__xludf.DUMMYFUNCTION("""COMPUTED_VALUE"""),13349.0)</f>
        <v>13349</v>
      </c>
      <c r="B805" s="2">
        <f>IFERROR(__xludf.DUMMYFUNCTION("""COMPUTED_VALUE"""),1.0)</f>
        <v>1</v>
      </c>
      <c r="C805" s="2">
        <f>IFERROR(__xludf.DUMMYFUNCTION("""COMPUTED_VALUE"""),467.0)</f>
        <v>467</v>
      </c>
      <c r="D805" s="3">
        <f>IFERROR(__xludf.DUMMYFUNCTION("""COMPUTED_VALUE"""),284.0)</f>
        <v>284</v>
      </c>
      <c r="E805" s="1" t="str">
        <f t="array" ref="E805">_xlfn.XLOOKUP(A805,Product!A:A,Product!B:B,"Bulunamadı")</f>
        <v>Fiction</v>
      </c>
      <c r="F805" s="1" t="str">
        <f t="array" ref="F805">_xlfn.XLOOKUP(A805,Product!A:A,Product!C:C,"Bulunamadı")</f>
        <v>Medieval History</v>
      </c>
      <c r="G805" s="2" t="str">
        <f t="array" ref="G805">_xlfn.XLOOKUP(A806,Product!A:A,Product!D:D,"Bulunamadı")</f>
        <v>Suncrest Press</v>
      </c>
      <c r="H805" s="2">
        <f t="array" ref="H805">_xlfn.XLOOKUP(A807,Product!A:A,Product!E:E,"Bulunamadı")</f>
        <v>0.53</v>
      </c>
      <c r="I805" s="2" t="str">
        <f t="shared" si="1"/>
        <v>13349 - Fiction - Medieval History</v>
      </c>
      <c r="J805" s="2">
        <f t="shared" si="2"/>
        <v>150.52</v>
      </c>
      <c r="K805" s="17">
        <f t="shared" si="3"/>
        <v>1</v>
      </c>
      <c r="L805" s="18"/>
    </row>
    <row r="806" hidden="1">
      <c r="A806" s="2">
        <f>IFERROR(__xludf.DUMMYFUNCTION("""COMPUTED_VALUE"""),1634.0)</f>
        <v>1634</v>
      </c>
      <c r="B806" s="2">
        <f>IFERROR(__xludf.DUMMYFUNCTION("""COMPUTED_VALUE"""),0.0)</f>
        <v>0</v>
      </c>
      <c r="C806" s="2">
        <f>IFERROR(__xludf.DUMMYFUNCTION("""COMPUTED_VALUE"""),602.0)</f>
        <v>602</v>
      </c>
      <c r="D806" s="3">
        <f>IFERROR(__xludf.DUMMYFUNCTION("""COMPUTED_VALUE"""),95.0)</f>
        <v>95</v>
      </c>
      <c r="E806" s="1" t="str">
        <f t="array" ref="E806">_xlfn.XLOOKUP(A806,Product!A:A,Product!B:B,"Bulunamadı")</f>
        <v>Fiction</v>
      </c>
      <c r="F806" s="1" t="str">
        <f t="array" ref="F806">_xlfn.XLOOKUP(A806,Product!A:A,Product!C:C,"Bulunamadı")</f>
        <v>Medieval History</v>
      </c>
      <c r="G806" s="2" t="str">
        <f t="array" ref="G806">_xlfn.XLOOKUP(A807,Product!A:A,Product!D:D,"Bulunamadı")</f>
        <v>Suncrest Press</v>
      </c>
      <c r="H806" s="2">
        <f t="array" ref="H806">_xlfn.XLOOKUP(A808,Product!A:A,Product!E:E,"Bulunamadı")</f>
        <v>0.57</v>
      </c>
      <c r="I806" s="2" t="str">
        <f t="shared" si="1"/>
        <v>1634 - Fiction - Medieval History</v>
      </c>
      <c r="J806" s="2">
        <f t="shared" si="2"/>
        <v>54.15</v>
      </c>
      <c r="K806" s="17">
        <f t="shared" si="3"/>
        <v>1</v>
      </c>
      <c r="L806" s="18"/>
    </row>
    <row r="807" hidden="1">
      <c r="A807" s="2">
        <f>IFERROR(__xludf.DUMMYFUNCTION("""COMPUTED_VALUE"""),86524.0)</f>
        <v>86524</v>
      </c>
      <c r="B807" s="2">
        <f>IFERROR(__xludf.DUMMYFUNCTION("""COMPUTED_VALUE"""),0.0)</f>
        <v>0</v>
      </c>
      <c r="C807" s="2">
        <f>IFERROR(__xludf.DUMMYFUNCTION("""COMPUTED_VALUE"""),890.0)</f>
        <v>890</v>
      </c>
      <c r="D807" s="3">
        <f>IFERROR(__xludf.DUMMYFUNCTION("""COMPUTED_VALUE"""),654.0)</f>
        <v>654</v>
      </c>
      <c r="E807" s="1" t="str">
        <f t="array" ref="E807">_xlfn.XLOOKUP(A807,Product!A:A,Product!B:B,"Bulunamadı")</f>
        <v>Fiction</v>
      </c>
      <c r="F807" s="1" t="str">
        <f t="array" ref="F807">_xlfn.XLOOKUP(A807,Product!A:A,Product!C:C,"Bulunamadı")</f>
        <v>Medieval History</v>
      </c>
      <c r="G807" s="2" t="str">
        <f t="array" ref="G807">_xlfn.XLOOKUP(A808,Product!A:A,Product!D:D,"Bulunamadı")</f>
        <v>Suncrest Press</v>
      </c>
      <c r="H807" s="2">
        <f t="array" ref="H807">_xlfn.XLOOKUP(A809,Product!A:A,Product!E:E,"Bulunamadı")</f>
        <v>2.14</v>
      </c>
      <c r="I807" s="2" t="str">
        <f t="shared" si="1"/>
        <v>86524 - Fiction - Medieval History</v>
      </c>
      <c r="J807" s="2">
        <f t="shared" si="2"/>
        <v>1399.56</v>
      </c>
      <c r="K807" s="17">
        <f t="shared" si="3"/>
        <v>1</v>
      </c>
      <c r="L807" s="18"/>
    </row>
    <row r="808" hidden="1">
      <c r="A808" s="2">
        <f>IFERROR(__xludf.DUMMYFUNCTION("""COMPUTED_VALUE"""),86531.0)</f>
        <v>86531</v>
      </c>
      <c r="B808" s="2">
        <f>IFERROR(__xludf.DUMMYFUNCTION("""COMPUTED_VALUE"""),1.0)</f>
        <v>1</v>
      </c>
      <c r="C808" s="2">
        <f>IFERROR(__xludf.DUMMYFUNCTION("""COMPUTED_VALUE"""),639.0)</f>
        <v>639</v>
      </c>
      <c r="D808" s="3">
        <f>IFERROR(__xludf.DUMMYFUNCTION("""COMPUTED_VALUE"""),339.0)</f>
        <v>339</v>
      </c>
      <c r="E808" s="1" t="str">
        <f t="array" ref="E808">_xlfn.XLOOKUP(A808,Product!A:A,Product!B:B,"Bulunamadı")</f>
        <v>Fiction</v>
      </c>
      <c r="F808" s="1" t="str">
        <f t="array" ref="F808">_xlfn.XLOOKUP(A808,Product!A:A,Product!C:C,"Bulunamadı")</f>
        <v>Medieval History</v>
      </c>
      <c r="G808" s="2" t="str">
        <f t="array" ref="G808">_xlfn.XLOOKUP(A809,Product!A:A,Product!D:D,"Bulunamadı")</f>
        <v>Suncrest Press</v>
      </c>
      <c r="H808" s="2">
        <f t="array" ref="H808">_xlfn.XLOOKUP(A810,Product!A:A,Product!E:E,"Bulunamadı")</f>
        <v>4.17</v>
      </c>
      <c r="I808" s="2" t="str">
        <f t="shared" si="1"/>
        <v>86531 - Fiction - Medieval History</v>
      </c>
      <c r="J808" s="2">
        <f t="shared" si="2"/>
        <v>1413.63</v>
      </c>
      <c r="K808" s="17">
        <f t="shared" si="3"/>
        <v>1</v>
      </c>
      <c r="L808" s="18"/>
    </row>
    <row r="809" hidden="1">
      <c r="A809" s="2">
        <f>IFERROR(__xludf.DUMMYFUNCTION("""COMPUTED_VALUE"""),95210.0)</f>
        <v>95210</v>
      </c>
      <c r="B809" s="2">
        <f>IFERROR(__xludf.DUMMYFUNCTION("""COMPUTED_VALUE"""),1.0)</f>
        <v>1</v>
      </c>
      <c r="C809" s="2">
        <f>IFERROR(__xludf.DUMMYFUNCTION("""COMPUTED_VALUE"""),982.0)</f>
        <v>982</v>
      </c>
      <c r="D809" s="3">
        <f>IFERROR(__xludf.DUMMYFUNCTION("""COMPUTED_VALUE"""),55.0)</f>
        <v>55</v>
      </c>
      <c r="E809" s="1" t="str">
        <f t="array" ref="E809">_xlfn.XLOOKUP(A809,Product!A:A,Product!B:B,"Bulunamadı")</f>
        <v>Fiction</v>
      </c>
      <c r="F809" s="1" t="str">
        <f t="array" ref="F809">_xlfn.XLOOKUP(A809,Product!A:A,Product!C:C,"Bulunamadı")</f>
        <v>Medieval History</v>
      </c>
      <c r="G809" s="2" t="str">
        <f t="array" ref="G809">_xlfn.XLOOKUP(A810,Product!A:A,Product!D:D,"Bulunamadı")</f>
        <v>Suncrest Press</v>
      </c>
      <c r="H809" s="2">
        <f t="array" ref="H809">_xlfn.XLOOKUP(A811,Product!A:A,Product!E:E,"Bulunamadı")</f>
        <v>0.55</v>
      </c>
      <c r="I809" s="2" t="str">
        <f t="shared" si="1"/>
        <v>95210 - Fiction - Medieval History</v>
      </c>
      <c r="J809" s="2">
        <f t="shared" si="2"/>
        <v>30.25</v>
      </c>
      <c r="K809" s="17">
        <f t="shared" si="3"/>
        <v>1</v>
      </c>
      <c r="L809" s="18"/>
    </row>
    <row r="810" hidden="1">
      <c r="A810" s="2">
        <f>IFERROR(__xludf.DUMMYFUNCTION("""COMPUTED_VALUE"""),158450.0)</f>
        <v>158450</v>
      </c>
      <c r="B810" s="2">
        <f>IFERROR(__xludf.DUMMYFUNCTION("""COMPUTED_VALUE"""),1.0)</f>
        <v>1</v>
      </c>
      <c r="C810" s="2">
        <f>IFERROR(__xludf.DUMMYFUNCTION("""COMPUTED_VALUE"""),143.0)</f>
        <v>143</v>
      </c>
      <c r="D810" s="3">
        <f>IFERROR(__xludf.DUMMYFUNCTION("""COMPUTED_VALUE"""),124.0)</f>
        <v>124</v>
      </c>
      <c r="E810" s="1" t="str">
        <f t="array" ref="E810">_xlfn.XLOOKUP(A810,Product!A:A,Product!B:B,"Bulunamadı")</f>
        <v>Fiction</v>
      </c>
      <c r="F810" s="1" t="str">
        <f t="array" ref="F810">_xlfn.XLOOKUP(A810,Product!A:A,Product!C:C,"Bulunamadı")</f>
        <v>Medieval History</v>
      </c>
      <c r="G810" s="2" t="str">
        <f t="array" ref="G810">_xlfn.XLOOKUP(A811,Product!A:A,Product!D:D,"Bulunamadı")</f>
        <v>Suncrest Press</v>
      </c>
      <c r="H810" s="2">
        <f t="array" ref="H810">_xlfn.XLOOKUP(A812,Product!A:A,Product!E:E,"Bulunamadı")</f>
        <v>4.06</v>
      </c>
      <c r="I810" s="2" t="str">
        <f t="shared" si="1"/>
        <v>158450 - Fiction - Medieval History</v>
      </c>
      <c r="J810" s="2">
        <f t="shared" si="2"/>
        <v>503.44</v>
      </c>
      <c r="K810" s="17">
        <f t="shared" si="3"/>
        <v>1</v>
      </c>
      <c r="L810" s="18"/>
    </row>
    <row r="811" hidden="1">
      <c r="A811" s="2">
        <f>IFERROR(__xludf.DUMMYFUNCTION("""COMPUTED_VALUE"""),103080.0)</f>
        <v>103080</v>
      </c>
      <c r="B811" s="2">
        <f>IFERROR(__xludf.DUMMYFUNCTION("""COMPUTED_VALUE"""),0.0)</f>
        <v>0</v>
      </c>
      <c r="C811" s="2">
        <f>IFERROR(__xludf.DUMMYFUNCTION("""COMPUTED_VALUE"""),637.0)</f>
        <v>637</v>
      </c>
      <c r="D811" s="3">
        <f>IFERROR(__xludf.DUMMYFUNCTION("""COMPUTED_VALUE"""),592.0)</f>
        <v>592</v>
      </c>
      <c r="E811" s="1" t="str">
        <f t="array" ref="E811">_xlfn.XLOOKUP(A811,Product!A:A,Product!B:B,"Bulunamadı")</f>
        <v>Fiction</v>
      </c>
      <c r="F811" s="1" t="str">
        <f t="array" ref="F811">_xlfn.XLOOKUP(A811,Product!A:A,Product!C:C,"Bulunamadı")</f>
        <v>Medieval History</v>
      </c>
      <c r="G811" s="2" t="str">
        <f t="array" ref="G811">_xlfn.XLOOKUP(A812,Product!A:A,Product!D:D,"Bulunamadı")</f>
        <v>Suncrest Press</v>
      </c>
      <c r="H811" s="2">
        <f t="array" ref="H811">_xlfn.XLOOKUP(A813,Product!A:A,Product!E:E,"Bulunamadı")</f>
        <v>4.04</v>
      </c>
      <c r="I811" s="2" t="str">
        <f t="shared" si="1"/>
        <v>103080 - Fiction - Medieval History</v>
      </c>
      <c r="J811" s="2">
        <f t="shared" si="2"/>
        <v>2391.68</v>
      </c>
      <c r="K811" s="17">
        <f t="shared" si="3"/>
        <v>1</v>
      </c>
      <c r="L811" s="18"/>
    </row>
    <row r="812" hidden="1">
      <c r="A812" s="2">
        <f>IFERROR(__xludf.DUMMYFUNCTION("""COMPUTED_VALUE"""),121067.0)</f>
        <v>121067</v>
      </c>
      <c r="B812" s="2">
        <f>IFERROR(__xludf.DUMMYFUNCTION("""COMPUTED_VALUE"""),0.0)</f>
        <v>0</v>
      </c>
      <c r="C812" s="2">
        <f>IFERROR(__xludf.DUMMYFUNCTION("""COMPUTED_VALUE"""),395.0)</f>
        <v>395</v>
      </c>
      <c r="D812" s="3">
        <f>IFERROR(__xludf.DUMMYFUNCTION("""COMPUTED_VALUE"""),294.0)</f>
        <v>294</v>
      </c>
      <c r="E812" s="1" t="str">
        <f t="array" ref="E812">_xlfn.XLOOKUP(A812,Product!A:A,Product!B:B,"Bulunamadı")</f>
        <v>Fiction</v>
      </c>
      <c r="F812" s="1" t="str">
        <f t="array" ref="F812">_xlfn.XLOOKUP(A812,Product!A:A,Product!C:C,"Bulunamadı")</f>
        <v>Medieval History</v>
      </c>
      <c r="G812" s="2" t="str">
        <f t="array" ref="G812">_xlfn.XLOOKUP(A813,Product!A:A,Product!D:D,"Bulunamadı")</f>
        <v>Suncrest Press</v>
      </c>
      <c r="H812" s="2">
        <f t="array" ref="H812">_xlfn.XLOOKUP(A814,Product!A:A,Product!E:E,"Bulunamadı")</f>
        <v>4.29</v>
      </c>
      <c r="I812" s="2" t="str">
        <f t="shared" si="1"/>
        <v>121067 - Fiction - Medieval History</v>
      </c>
      <c r="J812" s="2">
        <f t="shared" si="2"/>
        <v>1261.26</v>
      </c>
      <c r="K812" s="17">
        <f t="shared" si="3"/>
        <v>1</v>
      </c>
      <c r="L812" s="18"/>
    </row>
    <row r="813" hidden="1">
      <c r="A813" s="2">
        <f>IFERROR(__xludf.DUMMYFUNCTION("""COMPUTED_VALUE"""),41513.0)</f>
        <v>41513</v>
      </c>
      <c r="B813" s="2">
        <f>IFERROR(__xludf.DUMMYFUNCTION("""COMPUTED_VALUE"""),1.0)</f>
        <v>1</v>
      </c>
      <c r="C813" s="2">
        <f>IFERROR(__xludf.DUMMYFUNCTION("""COMPUTED_VALUE"""),821.0)</f>
        <v>821</v>
      </c>
      <c r="D813" s="3">
        <f>IFERROR(__xludf.DUMMYFUNCTION("""COMPUTED_VALUE"""),50.0)</f>
        <v>50</v>
      </c>
      <c r="E813" s="1" t="str">
        <f t="array" ref="E813">_xlfn.XLOOKUP(A813,Product!A:A,Product!B:B,"Bulunamadı")</f>
        <v>Fiction</v>
      </c>
      <c r="F813" s="1" t="str">
        <f t="array" ref="F813">_xlfn.XLOOKUP(A813,Product!A:A,Product!C:C,"Bulunamadı")</f>
        <v>Medieval History</v>
      </c>
      <c r="G813" s="2" t="str">
        <f t="array" ref="G813">_xlfn.XLOOKUP(A814,Product!A:A,Product!D:D,"Bulunamadı")</f>
        <v>Suncrest Press</v>
      </c>
      <c r="H813" s="2">
        <f t="array" ref="H813">_xlfn.XLOOKUP(A815,Product!A:A,Product!E:E,"Bulunamadı")</f>
        <v>1.34</v>
      </c>
      <c r="I813" s="2" t="str">
        <f t="shared" si="1"/>
        <v>41513 - Fiction - Medieval History</v>
      </c>
      <c r="J813" s="2">
        <f t="shared" si="2"/>
        <v>67</v>
      </c>
      <c r="K813" s="17">
        <f t="shared" si="3"/>
        <v>1</v>
      </c>
      <c r="L813" s="18"/>
    </row>
    <row r="814" hidden="1">
      <c r="A814" s="2">
        <f>IFERROR(__xludf.DUMMYFUNCTION("""COMPUTED_VALUE"""),166089.0)</f>
        <v>166089</v>
      </c>
      <c r="B814" s="2">
        <f>IFERROR(__xludf.DUMMYFUNCTION("""COMPUTED_VALUE"""),1.0)</f>
        <v>1</v>
      </c>
      <c r="C814" s="2">
        <f>IFERROR(__xludf.DUMMYFUNCTION("""COMPUTED_VALUE"""),138.0)</f>
        <v>138</v>
      </c>
      <c r="D814" s="3">
        <f>IFERROR(__xludf.DUMMYFUNCTION("""COMPUTED_VALUE"""),49.0)</f>
        <v>49</v>
      </c>
      <c r="E814" s="1" t="str">
        <f t="array" ref="E814">_xlfn.XLOOKUP(A814,Product!A:A,Product!B:B,"Bulunamadı")</f>
        <v>Fiction</v>
      </c>
      <c r="F814" s="1" t="str">
        <f t="array" ref="F814">_xlfn.XLOOKUP(A814,Product!A:A,Product!C:C,"Bulunamadı")</f>
        <v>Medieval History</v>
      </c>
      <c r="G814" s="2" t="str">
        <f t="array" ref="G814">_xlfn.XLOOKUP(A815,Product!A:A,Product!D:D,"Bulunamadı")</f>
        <v>Suncrest Press</v>
      </c>
      <c r="H814" s="2">
        <f t="array" ref="H814">_xlfn.XLOOKUP(A816,Product!A:A,Product!E:E,"Bulunamadı")</f>
        <v>1.05</v>
      </c>
      <c r="I814" s="2" t="str">
        <f t="shared" si="1"/>
        <v>166089 - Fiction - Medieval History</v>
      </c>
      <c r="J814" s="2">
        <f t="shared" si="2"/>
        <v>51.45</v>
      </c>
      <c r="K814" s="17">
        <f t="shared" si="3"/>
        <v>1</v>
      </c>
      <c r="L814" s="18"/>
    </row>
    <row r="815" hidden="1">
      <c r="A815" s="2">
        <f>IFERROR(__xludf.DUMMYFUNCTION("""COMPUTED_VALUE"""),26446.0)</f>
        <v>26446</v>
      </c>
      <c r="B815" s="2">
        <f>IFERROR(__xludf.DUMMYFUNCTION("""COMPUTED_VALUE"""),1.0)</f>
        <v>1</v>
      </c>
      <c r="C815" s="2">
        <f>IFERROR(__xludf.DUMMYFUNCTION("""COMPUTED_VALUE"""),785.0)</f>
        <v>785</v>
      </c>
      <c r="D815" s="3">
        <f>IFERROR(__xludf.DUMMYFUNCTION("""COMPUTED_VALUE"""),442.0)</f>
        <v>442</v>
      </c>
      <c r="E815" s="1" t="str">
        <f t="array" ref="E815">_xlfn.XLOOKUP(A815,Product!A:A,Product!B:B,"Bulunamadı")</f>
        <v>Fiction</v>
      </c>
      <c r="F815" s="1" t="str">
        <f t="array" ref="F815">_xlfn.XLOOKUP(A815,Product!A:A,Product!C:C,"Bulunamadı")</f>
        <v>Medieval History</v>
      </c>
      <c r="G815" s="2" t="str">
        <f t="array" ref="G815">_xlfn.XLOOKUP(A816,Product!A:A,Product!D:D,"Bulunamadı")</f>
        <v>Suncrest Press</v>
      </c>
      <c r="H815" s="2">
        <f t="array" ref="H815">_xlfn.XLOOKUP(A817,Product!A:A,Product!E:E,"Bulunamadı")</f>
        <v>5</v>
      </c>
      <c r="I815" s="2" t="str">
        <f t="shared" si="1"/>
        <v>26446 - Fiction - Medieval History</v>
      </c>
      <c r="J815" s="2">
        <f t="shared" si="2"/>
        <v>2210</v>
      </c>
      <c r="K815" s="17">
        <f t="shared" si="3"/>
        <v>1</v>
      </c>
      <c r="L815" s="18"/>
    </row>
    <row r="816" hidden="1">
      <c r="A816" s="2">
        <f>IFERROR(__xludf.DUMMYFUNCTION("""COMPUTED_VALUE"""),13350.0)</f>
        <v>13350</v>
      </c>
      <c r="B816" s="2">
        <f>IFERROR(__xludf.DUMMYFUNCTION("""COMPUTED_VALUE"""),1.0)</f>
        <v>1</v>
      </c>
      <c r="C816" s="2">
        <f>IFERROR(__xludf.DUMMYFUNCTION("""COMPUTED_VALUE"""),793.0)</f>
        <v>793</v>
      </c>
      <c r="D816" s="3">
        <f>IFERROR(__xludf.DUMMYFUNCTION("""COMPUTED_VALUE"""),603.0)</f>
        <v>603</v>
      </c>
      <c r="E816" s="1" t="str">
        <f t="array" ref="E816">_xlfn.XLOOKUP(A816,Product!A:A,Product!B:B,"Bulunamadı")</f>
        <v>Fiction</v>
      </c>
      <c r="F816" s="1" t="str">
        <f t="array" ref="F816">_xlfn.XLOOKUP(A816,Product!A:A,Product!C:C,"Bulunamadı")</f>
        <v>Medieval History</v>
      </c>
      <c r="G816" s="2" t="str">
        <f t="array" ref="G816">_xlfn.XLOOKUP(A817,Product!A:A,Product!D:D,"Bulunamadı")</f>
        <v>Suncrest Press</v>
      </c>
      <c r="H816" s="2">
        <f t="array" ref="H816">_xlfn.XLOOKUP(A818,Product!A:A,Product!E:E,"Bulunamadı")</f>
        <v>1.81</v>
      </c>
      <c r="I816" s="2" t="str">
        <f t="shared" si="1"/>
        <v>13350 - Fiction - Medieval History</v>
      </c>
      <c r="J816" s="2">
        <f t="shared" si="2"/>
        <v>1091.43</v>
      </c>
      <c r="K816" s="17">
        <f t="shared" si="3"/>
        <v>1</v>
      </c>
      <c r="L816" s="18"/>
    </row>
    <row r="817" hidden="1">
      <c r="A817" s="2">
        <f>IFERROR(__xludf.DUMMYFUNCTION("""COMPUTED_VALUE"""),111728.0)</f>
        <v>111728</v>
      </c>
      <c r="B817" s="2">
        <f>IFERROR(__xludf.DUMMYFUNCTION("""COMPUTED_VALUE"""),1.0)</f>
        <v>1</v>
      </c>
      <c r="C817" s="2">
        <f>IFERROR(__xludf.DUMMYFUNCTION("""COMPUTED_VALUE"""),897.0)</f>
        <v>897</v>
      </c>
      <c r="D817" s="3">
        <f>IFERROR(__xludf.DUMMYFUNCTION("""COMPUTED_VALUE"""),413.0)</f>
        <v>413</v>
      </c>
      <c r="E817" s="1" t="str">
        <f t="array" ref="E817">_xlfn.XLOOKUP(A817,Product!A:A,Product!B:B,"Bulunamadı")</f>
        <v>Fiction</v>
      </c>
      <c r="F817" s="1" t="str">
        <f t="array" ref="F817">_xlfn.XLOOKUP(A817,Product!A:A,Product!C:C,"Bulunamadı")</f>
        <v>Medieval History</v>
      </c>
      <c r="G817" s="2" t="str">
        <f t="array" ref="G817">_xlfn.XLOOKUP(A818,Product!A:A,Product!D:D,"Bulunamadı")</f>
        <v>Suncrest Press</v>
      </c>
      <c r="H817" s="2">
        <f t="array" ref="H817">_xlfn.XLOOKUP(A819,Product!A:A,Product!E:E,"Bulunamadı")</f>
        <v>7.33</v>
      </c>
      <c r="I817" s="2" t="str">
        <f t="shared" si="1"/>
        <v>111728 - Fiction - Medieval History</v>
      </c>
      <c r="J817" s="2">
        <f t="shared" si="2"/>
        <v>3027.29</v>
      </c>
      <c r="K817" s="17">
        <f t="shared" si="3"/>
        <v>1</v>
      </c>
      <c r="L817" s="18"/>
    </row>
    <row r="818" hidden="1">
      <c r="A818" s="2">
        <f>IFERROR(__xludf.DUMMYFUNCTION("""COMPUTED_VALUE"""),28883.0)</f>
        <v>28883</v>
      </c>
      <c r="B818" s="2">
        <f>IFERROR(__xludf.DUMMYFUNCTION("""COMPUTED_VALUE"""),0.0)</f>
        <v>0</v>
      </c>
      <c r="C818" s="2">
        <f>IFERROR(__xludf.DUMMYFUNCTION("""COMPUTED_VALUE"""),51.0)</f>
        <v>51</v>
      </c>
      <c r="D818" s="3">
        <f>IFERROR(__xludf.DUMMYFUNCTION("""COMPUTED_VALUE"""),33.0)</f>
        <v>33</v>
      </c>
      <c r="E818" s="1" t="str">
        <f t="array" ref="E818">_xlfn.XLOOKUP(A818,Product!A:A,Product!B:B,"Bulunamadı")</f>
        <v>Fiction</v>
      </c>
      <c r="F818" s="1" t="str">
        <f t="array" ref="F818">_xlfn.XLOOKUP(A818,Product!A:A,Product!C:C,"Bulunamadı")</f>
        <v>Medieval History</v>
      </c>
      <c r="G818" s="2" t="str">
        <f t="array" ref="G818">_xlfn.XLOOKUP(A819,Product!A:A,Product!D:D,"Bulunamadı")</f>
        <v>Suncrest Press</v>
      </c>
      <c r="H818" s="2">
        <f t="array" ref="H818">_xlfn.XLOOKUP(A820,Product!A:A,Product!E:E,"Bulunamadı")</f>
        <v>4.54</v>
      </c>
      <c r="I818" s="2" t="str">
        <f t="shared" si="1"/>
        <v>28883 - Fiction - Medieval History</v>
      </c>
      <c r="J818" s="2">
        <f t="shared" si="2"/>
        <v>149.82</v>
      </c>
      <c r="K818" s="17">
        <f t="shared" si="3"/>
        <v>1</v>
      </c>
      <c r="L818" s="18"/>
    </row>
    <row r="819" hidden="1">
      <c r="A819" s="2">
        <f>IFERROR(__xludf.DUMMYFUNCTION("""COMPUTED_VALUE"""),121068.0)</f>
        <v>121068</v>
      </c>
      <c r="B819" s="2">
        <f>IFERROR(__xludf.DUMMYFUNCTION("""COMPUTED_VALUE"""),1.0)</f>
        <v>1</v>
      </c>
      <c r="C819" s="2">
        <f>IFERROR(__xludf.DUMMYFUNCTION("""COMPUTED_VALUE"""),201.0)</f>
        <v>201</v>
      </c>
      <c r="D819" s="3">
        <f>IFERROR(__xludf.DUMMYFUNCTION("""COMPUTED_VALUE"""),196.0)</f>
        <v>196</v>
      </c>
      <c r="E819" s="1" t="str">
        <f t="array" ref="E819">_xlfn.XLOOKUP(A819,Product!A:A,Product!B:B,"Bulunamadı")</f>
        <v>Fiction</v>
      </c>
      <c r="F819" s="1" t="str">
        <f t="array" ref="F819">_xlfn.XLOOKUP(A819,Product!A:A,Product!C:C,"Bulunamadı")</f>
        <v>Medieval History</v>
      </c>
      <c r="G819" s="2" t="str">
        <f t="array" ref="G819">_xlfn.XLOOKUP(A820,Product!A:A,Product!D:D,"Bulunamadı")</f>
        <v>Suncrest Press</v>
      </c>
      <c r="H819" s="2">
        <f t="array" ref="H819">_xlfn.XLOOKUP(A821,Product!A:A,Product!E:E,"Bulunamadı")</f>
        <v>1.3</v>
      </c>
      <c r="I819" s="2" t="str">
        <f t="shared" si="1"/>
        <v>121068 - Fiction - Medieval History</v>
      </c>
      <c r="J819" s="2">
        <f t="shared" si="2"/>
        <v>254.8</v>
      </c>
      <c r="K819" s="17">
        <f t="shared" si="3"/>
        <v>1</v>
      </c>
      <c r="L819" s="18"/>
    </row>
    <row r="820" hidden="1">
      <c r="A820" s="2">
        <f>IFERROR(__xludf.DUMMYFUNCTION("""COMPUTED_VALUE"""),181499.0)</f>
        <v>181499</v>
      </c>
      <c r="B820" s="2">
        <f>IFERROR(__xludf.DUMMYFUNCTION("""COMPUTED_VALUE"""),0.0)</f>
        <v>0</v>
      </c>
      <c r="C820" s="2">
        <f>IFERROR(__xludf.DUMMYFUNCTION("""COMPUTED_VALUE"""),91.0)</f>
        <v>91</v>
      </c>
      <c r="D820" s="3">
        <f>IFERROR(__xludf.DUMMYFUNCTION("""COMPUTED_VALUE"""),21.0)</f>
        <v>21</v>
      </c>
      <c r="E820" s="1" t="str">
        <f t="array" ref="E820">_xlfn.XLOOKUP(A820,Product!A:A,Product!B:B,"Bulunamadı")</f>
        <v>Fiction</v>
      </c>
      <c r="F820" s="1" t="str">
        <f t="array" ref="F820">_xlfn.XLOOKUP(A820,Product!A:A,Product!C:C,"Bulunamadı")</f>
        <v>Medieval History</v>
      </c>
      <c r="G820" s="2" t="str">
        <f t="array" ref="G820">_xlfn.XLOOKUP(A821,Product!A:A,Product!D:D,"Bulunamadı")</f>
        <v>Suncrest Press</v>
      </c>
      <c r="H820" s="2">
        <f t="array" ref="H820">_xlfn.XLOOKUP(A822,Product!A:A,Product!E:E,"Bulunamadı")</f>
        <v>1.53</v>
      </c>
      <c r="I820" s="2" t="str">
        <f t="shared" si="1"/>
        <v>181499 - Fiction - Medieval History</v>
      </c>
      <c r="J820" s="2">
        <f t="shared" si="2"/>
        <v>32.13</v>
      </c>
      <c r="K820" s="17">
        <f t="shared" si="3"/>
        <v>1</v>
      </c>
      <c r="L820" s="18"/>
    </row>
    <row r="821" hidden="1">
      <c r="A821" s="2">
        <f>IFERROR(__xludf.DUMMYFUNCTION("""COMPUTED_VALUE"""),16097.0)</f>
        <v>16097</v>
      </c>
      <c r="B821" s="2">
        <f>IFERROR(__xludf.DUMMYFUNCTION("""COMPUTED_VALUE"""),0.0)</f>
        <v>0</v>
      </c>
      <c r="C821" s="2">
        <f>IFERROR(__xludf.DUMMYFUNCTION("""COMPUTED_VALUE"""),487.0)</f>
        <v>487</v>
      </c>
      <c r="D821" s="3">
        <f>IFERROR(__xludf.DUMMYFUNCTION("""COMPUTED_VALUE"""),17.0)</f>
        <v>17</v>
      </c>
      <c r="E821" s="1" t="str">
        <f t="array" ref="E821">_xlfn.XLOOKUP(A821,Product!A:A,Product!B:B,"Bulunamadı")</f>
        <v>Fiction</v>
      </c>
      <c r="F821" s="1" t="str">
        <f t="array" ref="F821">_xlfn.XLOOKUP(A821,Product!A:A,Product!C:C,"Bulunamadı")</f>
        <v>Medieval History</v>
      </c>
      <c r="G821" s="2" t="str">
        <f t="array" ref="G821">_xlfn.XLOOKUP(A822,Product!A:A,Product!D:D,"Bulunamadı")</f>
        <v>Suncrest Press</v>
      </c>
      <c r="H821" s="2">
        <f t="array" ref="H821">_xlfn.XLOOKUP(A823,Product!A:A,Product!E:E,"Bulunamadı")</f>
        <v>1.44</v>
      </c>
      <c r="I821" s="2" t="str">
        <f t="shared" si="1"/>
        <v>16097 - Fiction - Medieval History</v>
      </c>
      <c r="J821" s="2">
        <f t="shared" si="2"/>
        <v>24.48</v>
      </c>
      <c r="K821" s="17">
        <f t="shared" si="3"/>
        <v>1</v>
      </c>
      <c r="L821" s="18"/>
    </row>
    <row r="822" hidden="1">
      <c r="A822" s="2">
        <f>IFERROR(__xludf.DUMMYFUNCTION("""COMPUTED_VALUE"""),117247.0)</f>
        <v>117247</v>
      </c>
      <c r="B822" s="2">
        <f>IFERROR(__xludf.DUMMYFUNCTION("""COMPUTED_VALUE"""),0.0)</f>
        <v>0</v>
      </c>
      <c r="C822" s="2">
        <f>IFERROR(__xludf.DUMMYFUNCTION("""COMPUTED_VALUE"""),790.0)</f>
        <v>790</v>
      </c>
      <c r="D822" s="3">
        <f>IFERROR(__xludf.DUMMYFUNCTION("""COMPUTED_VALUE"""),485.0)</f>
        <v>485</v>
      </c>
      <c r="E822" s="1" t="str">
        <f t="array" ref="E822">_xlfn.XLOOKUP(A822,Product!A:A,Product!B:B,"Bulunamadı")</f>
        <v>Fiction</v>
      </c>
      <c r="F822" s="1" t="str">
        <f t="array" ref="F822">_xlfn.XLOOKUP(A822,Product!A:A,Product!C:C,"Bulunamadı")</f>
        <v>Medieval History</v>
      </c>
      <c r="G822" s="2" t="str">
        <f t="array" ref="G822">_xlfn.XLOOKUP(A823,Product!A:A,Product!D:D,"Bulunamadı")</f>
        <v>Suncrest Press</v>
      </c>
      <c r="H822" s="2">
        <f t="array" ref="H822">_xlfn.XLOOKUP(A824,Product!A:A,Product!E:E,"Bulunamadı")</f>
        <v>1.42</v>
      </c>
      <c r="I822" s="2" t="str">
        <f t="shared" si="1"/>
        <v>117247 - Fiction - Medieval History</v>
      </c>
      <c r="J822" s="2">
        <f t="shared" si="2"/>
        <v>688.7</v>
      </c>
      <c r="K822" s="17">
        <f t="shared" si="3"/>
        <v>1</v>
      </c>
      <c r="L822" s="18"/>
    </row>
    <row r="823" hidden="1">
      <c r="A823" s="2">
        <f>IFERROR(__xludf.DUMMYFUNCTION("""COMPUTED_VALUE"""),1732.0)</f>
        <v>1732</v>
      </c>
      <c r="B823" s="2">
        <f>IFERROR(__xludf.DUMMYFUNCTION("""COMPUTED_VALUE"""),1.0)</f>
        <v>1</v>
      </c>
      <c r="C823" s="2">
        <f>IFERROR(__xludf.DUMMYFUNCTION("""COMPUTED_VALUE"""),852.0)</f>
        <v>852</v>
      </c>
      <c r="D823" s="3">
        <f>IFERROR(__xludf.DUMMYFUNCTION("""COMPUTED_VALUE"""),163.0)</f>
        <v>163</v>
      </c>
      <c r="E823" s="1" t="str">
        <f t="array" ref="E823">_xlfn.XLOOKUP(A823,Product!A:A,Product!B:B,"Bulunamadı")</f>
        <v>Fiction</v>
      </c>
      <c r="F823" s="1" t="str">
        <f t="array" ref="F823">_xlfn.XLOOKUP(A823,Product!A:A,Product!C:C,"Bulunamadı")</f>
        <v>Medieval History</v>
      </c>
      <c r="G823" s="2" t="str">
        <f t="array" ref="G823">_xlfn.XLOOKUP(A824,Product!A:A,Product!D:D,"Bulunamadı")</f>
        <v>Suncrest Press</v>
      </c>
      <c r="H823" s="2">
        <f t="array" ref="H823">_xlfn.XLOOKUP(A825,Product!A:A,Product!E:E,"Bulunamadı")</f>
        <v>3.51</v>
      </c>
      <c r="I823" s="2" t="str">
        <f t="shared" si="1"/>
        <v>1732 - Fiction - Medieval History</v>
      </c>
      <c r="J823" s="2">
        <f t="shared" si="2"/>
        <v>572.13</v>
      </c>
      <c r="K823" s="17">
        <f t="shared" si="3"/>
        <v>1</v>
      </c>
      <c r="L823" s="18"/>
    </row>
    <row r="824" hidden="1">
      <c r="A824" s="2">
        <f>IFERROR(__xludf.DUMMYFUNCTION("""COMPUTED_VALUE"""),105174.0)</f>
        <v>105174</v>
      </c>
      <c r="B824" s="2">
        <f>IFERROR(__xludf.DUMMYFUNCTION("""COMPUTED_VALUE"""),1.0)</f>
        <v>1</v>
      </c>
      <c r="C824" s="2">
        <f>IFERROR(__xludf.DUMMYFUNCTION("""COMPUTED_VALUE"""),889.0)</f>
        <v>889</v>
      </c>
      <c r="D824" s="3">
        <f>IFERROR(__xludf.DUMMYFUNCTION("""COMPUTED_VALUE"""),206.0)</f>
        <v>206</v>
      </c>
      <c r="E824" s="1" t="str">
        <f t="array" ref="E824">_xlfn.XLOOKUP(A824,Product!A:A,Product!B:B,"Bulunamadı")</f>
        <v>Fiction</v>
      </c>
      <c r="F824" s="1" t="str">
        <f t="array" ref="F824">_xlfn.XLOOKUP(A824,Product!A:A,Product!C:C,"Bulunamadı")</f>
        <v>Medieval History</v>
      </c>
      <c r="G824" s="2" t="str">
        <f t="array" ref="G824">_xlfn.XLOOKUP(A825,Product!A:A,Product!D:D,"Bulunamadı")</f>
        <v>Suncrest Press</v>
      </c>
      <c r="H824" s="2">
        <f t="array" ref="H824">_xlfn.XLOOKUP(A826,Product!A:A,Product!E:E,"Bulunamadı")</f>
        <v>4.03</v>
      </c>
      <c r="I824" s="2" t="str">
        <f t="shared" si="1"/>
        <v>105174 - Fiction - Medieval History</v>
      </c>
      <c r="J824" s="2">
        <f t="shared" si="2"/>
        <v>830.18</v>
      </c>
      <c r="K824" s="17">
        <f t="shared" si="3"/>
        <v>1</v>
      </c>
      <c r="L824" s="18"/>
    </row>
    <row r="825" hidden="1">
      <c r="A825" s="2">
        <f>IFERROR(__xludf.DUMMYFUNCTION("""COMPUTED_VALUE"""),128357.0)</f>
        <v>128357</v>
      </c>
      <c r="B825" s="2">
        <f>IFERROR(__xludf.DUMMYFUNCTION("""COMPUTED_VALUE"""),0.0)</f>
        <v>0</v>
      </c>
      <c r="C825" s="2">
        <f>IFERROR(__xludf.DUMMYFUNCTION("""COMPUTED_VALUE"""),565.0)</f>
        <v>565</v>
      </c>
      <c r="D825" s="3">
        <f>IFERROR(__xludf.DUMMYFUNCTION("""COMPUTED_VALUE"""),398.0)</f>
        <v>398</v>
      </c>
      <c r="E825" s="1" t="str">
        <f t="array" ref="E825">_xlfn.XLOOKUP(A825,Product!A:A,Product!B:B,"Bulunamadı")</f>
        <v>Fiction</v>
      </c>
      <c r="F825" s="1" t="str">
        <f t="array" ref="F825">_xlfn.XLOOKUP(A825,Product!A:A,Product!C:C,"Bulunamadı")</f>
        <v>Medieval History</v>
      </c>
      <c r="G825" s="2" t="str">
        <f t="array" ref="G825">_xlfn.XLOOKUP(A826,Product!A:A,Product!D:D,"Bulunamadı")</f>
        <v>Suncrest Press</v>
      </c>
      <c r="H825" s="2">
        <f t="array" ref="H825">_xlfn.XLOOKUP(A827,Product!A:A,Product!E:E,"Bulunamadı")</f>
        <v>4</v>
      </c>
      <c r="I825" s="2" t="str">
        <f t="shared" si="1"/>
        <v>128357 - Fiction - Medieval History</v>
      </c>
      <c r="J825" s="2">
        <f t="shared" si="2"/>
        <v>1592</v>
      </c>
      <c r="K825" s="17">
        <f t="shared" si="3"/>
        <v>1</v>
      </c>
      <c r="L825" s="18"/>
    </row>
    <row r="826" hidden="1">
      <c r="A826" s="2">
        <f>IFERROR(__xludf.DUMMYFUNCTION("""COMPUTED_VALUE"""),166090.0)</f>
        <v>166090</v>
      </c>
      <c r="B826" s="2">
        <f>IFERROR(__xludf.DUMMYFUNCTION("""COMPUTED_VALUE"""),1.0)</f>
        <v>1</v>
      </c>
      <c r="C826" s="2">
        <f>IFERROR(__xludf.DUMMYFUNCTION("""COMPUTED_VALUE"""),811.0)</f>
        <v>811</v>
      </c>
      <c r="D826" s="3">
        <f>IFERROR(__xludf.DUMMYFUNCTION("""COMPUTED_VALUE"""),468.0)</f>
        <v>468</v>
      </c>
      <c r="E826" s="1" t="str">
        <f t="array" ref="E826">_xlfn.XLOOKUP(A826,Product!A:A,Product!B:B,"Bulunamadı")</f>
        <v>Fiction</v>
      </c>
      <c r="F826" s="1" t="str">
        <f t="array" ref="F826">_xlfn.XLOOKUP(A826,Product!A:A,Product!C:C,"Bulunamadı")</f>
        <v>Medieval History</v>
      </c>
      <c r="G826" s="2" t="str">
        <f t="array" ref="G826">_xlfn.XLOOKUP(A827,Product!A:A,Product!D:D,"Bulunamadı")</f>
        <v>Suncrest Press</v>
      </c>
      <c r="H826" s="2">
        <f t="array" ref="H826">_xlfn.XLOOKUP(A828,Product!A:A,Product!E:E,"Bulunamadı")</f>
        <v>1.11</v>
      </c>
      <c r="I826" s="2" t="str">
        <f t="shared" si="1"/>
        <v>166090 - Fiction - Medieval History</v>
      </c>
      <c r="J826" s="2">
        <f t="shared" si="2"/>
        <v>519.48</v>
      </c>
      <c r="K826" s="17">
        <f t="shared" si="3"/>
        <v>1</v>
      </c>
      <c r="L826" s="18"/>
    </row>
    <row r="827" hidden="1">
      <c r="A827" s="2">
        <f>IFERROR(__xludf.DUMMYFUNCTION("""COMPUTED_VALUE"""),121070.0)</f>
        <v>121070</v>
      </c>
      <c r="B827" s="2">
        <f>IFERROR(__xludf.DUMMYFUNCTION("""COMPUTED_VALUE"""),1.0)</f>
        <v>1</v>
      </c>
      <c r="C827" s="2">
        <f>IFERROR(__xludf.DUMMYFUNCTION("""COMPUTED_VALUE"""),332.0)</f>
        <v>332</v>
      </c>
      <c r="D827" s="3">
        <f>IFERROR(__xludf.DUMMYFUNCTION("""COMPUTED_VALUE"""),240.0)</f>
        <v>240</v>
      </c>
      <c r="E827" s="1" t="str">
        <f t="array" ref="E827">_xlfn.XLOOKUP(A827,Product!A:A,Product!B:B,"Bulunamadı")</f>
        <v>Fiction</v>
      </c>
      <c r="F827" s="1" t="str">
        <f t="array" ref="F827">_xlfn.XLOOKUP(A827,Product!A:A,Product!C:C,"Bulunamadı")</f>
        <v>Medieval History</v>
      </c>
      <c r="G827" s="2" t="str">
        <f t="array" ref="G827">_xlfn.XLOOKUP(A828,Product!A:A,Product!D:D,"Bulunamadı")</f>
        <v>Suncrest Press</v>
      </c>
      <c r="H827" s="2">
        <f t="array" ref="H827">_xlfn.XLOOKUP(A829,Product!A:A,Product!E:E,"Bulunamadı")</f>
        <v>0.7</v>
      </c>
      <c r="I827" s="2" t="str">
        <f t="shared" si="1"/>
        <v>121070 - Fiction - Medieval History</v>
      </c>
      <c r="J827" s="2">
        <f t="shared" si="2"/>
        <v>168</v>
      </c>
      <c r="K827" s="17">
        <f t="shared" si="3"/>
        <v>1</v>
      </c>
      <c r="L827" s="18"/>
    </row>
    <row r="828" hidden="1">
      <c r="A828" s="2">
        <f>IFERROR(__xludf.DUMMYFUNCTION("""COMPUTED_VALUE"""),80818.0)</f>
        <v>80818</v>
      </c>
      <c r="B828" s="2">
        <f>IFERROR(__xludf.DUMMYFUNCTION("""COMPUTED_VALUE"""),1.0)</f>
        <v>1</v>
      </c>
      <c r="C828" s="2">
        <f>IFERROR(__xludf.DUMMYFUNCTION("""COMPUTED_VALUE"""),631.0)</f>
        <v>631</v>
      </c>
      <c r="D828" s="3">
        <f>IFERROR(__xludf.DUMMYFUNCTION("""COMPUTED_VALUE"""),206.0)</f>
        <v>206</v>
      </c>
      <c r="E828" s="1" t="str">
        <f t="array" ref="E828">_xlfn.XLOOKUP(A828,Product!A:A,Product!B:B,"Bulunamadı")</f>
        <v>Fiction</v>
      </c>
      <c r="F828" s="1" t="str">
        <f t="array" ref="F828">_xlfn.XLOOKUP(A828,Product!A:A,Product!C:C,"Bulunamadı")</f>
        <v>Medieval History</v>
      </c>
      <c r="G828" s="2" t="str">
        <f t="array" ref="G828">_xlfn.XLOOKUP(A829,Product!A:A,Product!D:D,"Bulunamadı")</f>
        <v>Suncrest Press</v>
      </c>
      <c r="H828" s="2">
        <f t="array" ref="H828">_xlfn.XLOOKUP(A830,Product!A:A,Product!E:E,"Bulunamadı")</f>
        <v>3.86</v>
      </c>
      <c r="I828" s="2" t="str">
        <f t="shared" si="1"/>
        <v>80818 - Fiction - Medieval History</v>
      </c>
      <c r="J828" s="2">
        <f t="shared" si="2"/>
        <v>795.16</v>
      </c>
      <c r="K828" s="17">
        <f t="shared" si="3"/>
        <v>1</v>
      </c>
      <c r="L828" s="18"/>
    </row>
    <row r="829" hidden="1">
      <c r="A829" s="2">
        <f>IFERROR(__xludf.DUMMYFUNCTION("""COMPUTED_VALUE"""),13367.0)</f>
        <v>13367</v>
      </c>
      <c r="B829" s="2">
        <f>IFERROR(__xludf.DUMMYFUNCTION("""COMPUTED_VALUE"""),1.0)</f>
        <v>1</v>
      </c>
      <c r="C829" s="2">
        <f>IFERROR(__xludf.DUMMYFUNCTION("""COMPUTED_VALUE"""),992.0)</f>
        <v>992</v>
      </c>
      <c r="D829" s="3">
        <f>IFERROR(__xludf.DUMMYFUNCTION("""COMPUTED_VALUE"""),718.0)</f>
        <v>718</v>
      </c>
      <c r="E829" s="1" t="str">
        <f t="array" ref="E829">_xlfn.XLOOKUP(A829,Product!A:A,Product!B:B,"Bulunamadı")</f>
        <v>Fiction</v>
      </c>
      <c r="F829" s="1" t="str">
        <f t="array" ref="F829">_xlfn.XLOOKUP(A829,Product!A:A,Product!C:C,"Bulunamadı")</f>
        <v>Medieval History</v>
      </c>
      <c r="G829" s="2" t="str">
        <f t="array" ref="G829">_xlfn.XLOOKUP(A830,Product!A:A,Product!D:D,"Bulunamadı")</f>
        <v>White Oak Publishing</v>
      </c>
      <c r="H829" s="2">
        <f t="array" ref="H829">_xlfn.XLOOKUP(A831,Product!A:A,Product!E:E,"Bulunamadı")</f>
        <v>1.67</v>
      </c>
      <c r="I829" s="2" t="str">
        <f t="shared" si="1"/>
        <v>13367 - Fiction - Medieval History</v>
      </c>
      <c r="J829" s="2">
        <f t="shared" si="2"/>
        <v>1199.06</v>
      </c>
      <c r="K829" s="17">
        <f t="shared" si="3"/>
        <v>1</v>
      </c>
      <c r="L829" s="18"/>
    </row>
    <row r="830" hidden="1">
      <c r="A830" s="2">
        <f>IFERROR(__xludf.DUMMYFUNCTION("""COMPUTED_VALUE"""),44329.0)</f>
        <v>44329</v>
      </c>
      <c r="B830" s="2">
        <f>IFERROR(__xludf.DUMMYFUNCTION("""COMPUTED_VALUE"""),0.0)</f>
        <v>0</v>
      </c>
      <c r="C830" s="2">
        <f>IFERROR(__xludf.DUMMYFUNCTION("""COMPUTED_VALUE"""),350.0)</f>
        <v>350</v>
      </c>
      <c r="D830" s="3">
        <f>IFERROR(__xludf.DUMMYFUNCTION("""COMPUTED_VALUE"""),156.0)</f>
        <v>156</v>
      </c>
      <c r="E830" s="1" t="str">
        <f t="array" ref="E830">_xlfn.XLOOKUP(A830,Product!A:A,Product!B:B,"Bulunamadı")</f>
        <v>Fiction</v>
      </c>
      <c r="F830" s="1" t="str">
        <f t="array" ref="F830">_xlfn.XLOOKUP(A830,Product!A:A,Product!C:C,"Bulunamadı")</f>
        <v>Medieval History</v>
      </c>
      <c r="G830" s="2" t="str">
        <f t="array" ref="G830">_xlfn.XLOOKUP(A831,Product!A:A,Product!D:D,"Bulunamadı")</f>
        <v>White Oak Publishing</v>
      </c>
      <c r="H830" s="2">
        <f t="array" ref="H830">_xlfn.XLOOKUP(A832,Product!A:A,Product!E:E,"Bulunamadı")</f>
        <v>1.99</v>
      </c>
      <c r="I830" s="2" t="str">
        <f t="shared" si="1"/>
        <v>44329 - Fiction - Medieval History</v>
      </c>
      <c r="J830" s="2">
        <f t="shared" si="2"/>
        <v>310.44</v>
      </c>
      <c r="K830" s="17">
        <f t="shared" si="3"/>
        <v>1</v>
      </c>
      <c r="L830" s="18"/>
    </row>
    <row r="831" hidden="1">
      <c r="A831" s="2">
        <f>IFERROR(__xludf.DUMMYFUNCTION("""COMPUTED_VALUE"""),70879.0)</f>
        <v>70879</v>
      </c>
      <c r="B831" s="2">
        <f>IFERROR(__xludf.DUMMYFUNCTION("""COMPUTED_VALUE"""),0.0)</f>
        <v>0</v>
      </c>
      <c r="C831" s="2">
        <f>IFERROR(__xludf.DUMMYFUNCTION("""COMPUTED_VALUE"""),343.0)</f>
        <v>343</v>
      </c>
      <c r="D831" s="3">
        <f>IFERROR(__xludf.DUMMYFUNCTION("""COMPUTED_VALUE"""),152.0)</f>
        <v>152</v>
      </c>
      <c r="E831" s="1" t="str">
        <f t="array" ref="E831">_xlfn.XLOOKUP(A831,Product!A:A,Product!B:B,"Bulunamadı")</f>
        <v>Fiction</v>
      </c>
      <c r="F831" s="1" t="str">
        <f t="array" ref="F831">_xlfn.XLOOKUP(A831,Product!A:A,Product!C:C,"Bulunamadı")</f>
        <v>Medieval History</v>
      </c>
      <c r="G831" s="2" t="str">
        <f t="array" ref="G831">_xlfn.XLOOKUP(A832,Product!A:A,Product!D:D,"Bulunamadı")</f>
        <v>White Oak Publishing</v>
      </c>
      <c r="H831" s="2">
        <f t="array" ref="H831">_xlfn.XLOOKUP(A833,Product!A:A,Product!E:E,"Bulunamadı")</f>
        <v>5.58</v>
      </c>
      <c r="I831" s="2" t="str">
        <f t="shared" si="1"/>
        <v>70879 - Fiction - Medieval History</v>
      </c>
      <c r="J831" s="2">
        <f t="shared" si="2"/>
        <v>848.16</v>
      </c>
      <c r="K831" s="17">
        <f t="shared" si="3"/>
        <v>1</v>
      </c>
      <c r="L831" s="18"/>
    </row>
    <row r="832" hidden="1">
      <c r="A832" s="2">
        <f>IFERROR(__xludf.DUMMYFUNCTION("""COMPUTED_VALUE"""),99266.0)</f>
        <v>99266</v>
      </c>
      <c r="B832" s="2">
        <f>IFERROR(__xludf.DUMMYFUNCTION("""COMPUTED_VALUE"""),0.0)</f>
        <v>0</v>
      </c>
      <c r="C832" s="2">
        <f>IFERROR(__xludf.DUMMYFUNCTION("""COMPUTED_VALUE"""),964.0)</f>
        <v>964</v>
      </c>
      <c r="D832" s="3">
        <f>IFERROR(__xludf.DUMMYFUNCTION("""COMPUTED_VALUE"""),509.0)</f>
        <v>509</v>
      </c>
      <c r="E832" s="1" t="str">
        <f t="array" ref="E832">_xlfn.XLOOKUP(A832,Product!A:A,Product!B:B,"Bulunamadı")</f>
        <v>Fiction</v>
      </c>
      <c r="F832" s="1" t="str">
        <f t="array" ref="F832">_xlfn.XLOOKUP(A832,Product!A:A,Product!C:C,"Bulunamadı")</f>
        <v>Medieval History</v>
      </c>
      <c r="G832" s="2" t="str">
        <f t="array" ref="G832">_xlfn.XLOOKUP(A833,Product!A:A,Product!D:D,"Bulunamadı")</f>
        <v>White Oak Publishing</v>
      </c>
      <c r="H832" s="2">
        <f t="array" ref="H832">_xlfn.XLOOKUP(A834,Product!A:A,Product!E:E,"Bulunamadı")</f>
        <v>3.71</v>
      </c>
      <c r="I832" s="2" t="str">
        <f t="shared" si="1"/>
        <v>99266 - Fiction - Medieval History</v>
      </c>
      <c r="J832" s="2">
        <f t="shared" si="2"/>
        <v>1888.39</v>
      </c>
      <c r="K832" s="17">
        <f t="shared" si="3"/>
        <v>1</v>
      </c>
      <c r="L832" s="18"/>
    </row>
    <row r="833" hidden="1">
      <c r="A833" s="2">
        <f>IFERROR(__xludf.DUMMYFUNCTION("""COMPUTED_VALUE"""),88216.0)</f>
        <v>88216</v>
      </c>
      <c r="B833" s="2">
        <f>IFERROR(__xludf.DUMMYFUNCTION("""COMPUTED_VALUE"""),1.0)</f>
        <v>1</v>
      </c>
      <c r="C833" s="2">
        <f>IFERROR(__xludf.DUMMYFUNCTION("""COMPUTED_VALUE"""),935.0)</f>
        <v>935</v>
      </c>
      <c r="D833" s="3">
        <f>IFERROR(__xludf.DUMMYFUNCTION("""COMPUTED_VALUE"""),349.0)</f>
        <v>349</v>
      </c>
      <c r="E833" s="1" t="str">
        <f t="array" ref="E833">_xlfn.XLOOKUP(A833,Product!A:A,Product!B:B,"Bulunamadı")</f>
        <v>Fiction</v>
      </c>
      <c r="F833" s="1" t="str">
        <f t="array" ref="F833">_xlfn.XLOOKUP(A833,Product!A:A,Product!C:C,"Bulunamadı")</f>
        <v>Medieval History</v>
      </c>
      <c r="G833" s="2" t="str">
        <f t="array" ref="G833">_xlfn.XLOOKUP(A834,Product!A:A,Product!D:D,"Bulunamadı")</f>
        <v>White Oak Publishing</v>
      </c>
      <c r="H833" s="2">
        <f t="array" ref="H833">_xlfn.XLOOKUP(A835,Product!A:A,Product!E:E,"Bulunamadı")</f>
        <v>1.38</v>
      </c>
      <c r="I833" s="2" t="str">
        <f t="shared" si="1"/>
        <v>88216 - Fiction - Medieval History</v>
      </c>
      <c r="J833" s="2">
        <f t="shared" si="2"/>
        <v>481.62</v>
      </c>
      <c r="K833" s="17">
        <f t="shared" si="3"/>
        <v>1</v>
      </c>
      <c r="L833" s="18"/>
    </row>
    <row r="834" hidden="1">
      <c r="A834" s="2">
        <f>IFERROR(__xludf.DUMMYFUNCTION("""COMPUTED_VALUE"""),28590.0)</f>
        <v>28590</v>
      </c>
      <c r="B834" s="2">
        <f>IFERROR(__xludf.DUMMYFUNCTION("""COMPUTED_VALUE"""),1.0)</f>
        <v>1</v>
      </c>
      <c r="C834" s="2">
        <f>IFERROR(__xludf.DUMMYFUNCTION("""COMPUTED_VALUE"""),462.0)</f>
        <v>462</v>
      </c>
      <c r="D834" s="3">
        <f>IFERROR(__xludf.DUMMYFUNCTION("""COMPUTED_VALUE"""),233.0)</f>
        <v>233</v>
      </c>
      <c r="E834" s="1" t="str">
        <f t="array" ref="E834">_xlfn.XLOOKUP(A834,Product!A:A,Product!B:B,"Bulunamadı")</f>
        <v>Fiction</v>
      </c>
      <c r="F834" s="1" t="str">
        <f t="array" ref="F834">_xlfn.XLOOKUP(A834,Product!A:A,Product!C:C,"Bulunamadı")</f>
        <v>Medieval History</v>
      </c>
      <c r="G834" s="2" t="str">
        <f t="array" ref="G834">_xlfn.XLOOKUP(A835,Product!A:A,Product!D:D,"Bulunamadı")</f>
        <v>White Oak Publishing</v>
      </c>
      <c r="H834" s="2">
        <f t="array" ref="H834">_xlfn.XLOOKUP(A836,Product!A:A,Product!E:E,"Bulunamadı")</f>
        <v>1.09</v>
      </c>
      <c r="I834" s="2" t="str">
        <f t="shared" si="1"/>
        <v>28590 - Fiction - Medieval History</v>
      </c>
      <c r="J834" s="2">
        <f t="shared" si="2"/>
        <v>253.97</v>
      </c>
      <c r="K834" s="17">
        <f t="shared" si="3"/>
        <v>1</v>
      </c>
      <c r="L834" s="18"/>
    </row>
    <row r="835" hidden="1">
      <c r="A835" s="2">
        <f>IFERROR(__xludf.DUMMYFUNCTION("""COMPUTED_VALUE"""),88215.0)</f>
        <v>88215</v>
      </c>
      <c r="B835" s="2">
        <f>IFERROR(__xludf.DUMMYFUNCTION("""COMPUTED_VALUE"""),1.0)</f>
        <v>1</v>
      </c>
      <c r="C835" s="2">
        <f>IFERROR(__xludf.DUMMYFUNCTION("""COMPUTED_VALUE"""),380.0)</f>
        <v>380</v>
      </c>
      <c r="D835" s="3">
        <f>IFERROR(__xludf.DUMMYFUNCTION("""COMPUTED_VALUE"""),160.0)</f>
        <v>160</v>
      </c>
      <c r="E835" s="1" t="str">
        <f t="array" ref="E835">_xlfn.XLOOKUP(A835,Product!A:A,Product!B:B,"Bulunamadı")</f>
        <v>Fiction</v>
      </c>
      <c r="F835" s="1" t="str">
        <f t="array" ref="F835">_xlfn.XLOOKUP(A835,Product!A:A,Product!C:C,"Bulunamadı")</f>
        <v>Medieval History</v>
      </c>
      <c r="G835" s="2" t="str">
        <f t="array" ref="G835">_xlfn.XLOOKUP(A836,Product!A:A,Product!D:D,"Bulunamadı")</f>
        <v>White Oak Publishing</v>
      </c>
      <c r="H835" s="2">
        <f t="array" ref="H835">_xlfn.XLOOKUP(A837,Product!A:A,Product!E:E,"Bulunamadı")</f>
        <v>6.18</v>
      </c>
      <c r="I835" s="2" t="str">
        <f t="shared" si="1"/>
        <v>88215 - Fiction - Medieval History</v>
      </c>
      <c r="J835" s="2">
        <f t="shared" si="2"/>
        <v>988.8</v>
      </c>
      <c r="K835" s="17">
        <f t="shared" si="3"/>
        <v>1</v>
      </c>
      <c r="L835" s="18"/>
    </row>
    <row r="836" hidden="1">
      <c r="A836" s="2">
        <f>IFERROR(__xludf.DUMMYFUNCTION("""COMPUTED_VALUE"""),81771.0)</f>
        <v>81771</v>
      </c>
      <c r="B836" s="2">
        <f>IFERROR(__xludf.DUMMYFUNCTION("""COMPUTED_VALUE"""),1.0)</f>
        <v>1</v>
      </c>
      <c r="C836" s="2">
        <f>IFERROR(__xludf.DUMMYFUNCTION("""COMPUTED_VALUE"""),255.0)</f>
        <v>255</v>
      </c>
      <c r="D836" s="3">
        <f>IFERROR(__xludf.DUMMYFUNCTION("""COMPUTED_VALUE"""),5.0)</f>
        <v>5</v>
      </c>
      <c r="E836" s="1" t="str">
        <f t="array" ref="E836">_xlfn.XLOOKUP(A836,Product!A:A,Product!B:B,"Bulunamadı")</f>
        <v>Fiction</v>
      </c>
      <c r="F836" s="1" t="str">
        <f t="array" ref="F836">_xlfn.XLOOKUP(A836,Product!A:A,Product!C:C,"Bulunamadı")</f>
        <v>Medieval History</v>
      </c>
      <c r="G836" s="2" t="str">
        <f t="array" ref="G836">_xlfn.XLOOKUP(A837,Product!A:A,Product!D:D,"Bulunamadı")</f>
        <v>White Oak Publishing</v>
      </c>
      <c r="H836" s="2">
        <f t="array" ref="H836">_xlfn.XLOOKUP(A838,Product!A:A,Product!E:E,"Bulunamadı")</f>
        <v>1.49</v>
      </c>
      <c r="I836" s="2" t="str">
        <f t="shared" si="1"/>
        <v>81771 - Fiction - Medieval History</v>
      </c>
      <c r="J836" s="2">
        <f t="shared" si="2"/>
        <v>7.45</v>
      </c>
      <c r="K836" s="17">
        <f t="shared" si="3"/>
        <v>1</v>
      </c>
      <c r="L836" s="18"/>
    </row>
    <row r="837" hidden="1">
      <c r="A837" s="2">
        <f>IFERROR(__xludf.DUMMYFUNCTION("""COMPUTED_VALUE"""),194520.0)</f>
        <v>194520</v>
      </c>
      <c r="B837" s="2">
        <f>IFERROR(__xludf.DUMMYFUNCTION("""COMPUTED_VALUE"""),1.0)</f>
        <v>1</v>
      </c>
      <c r="C837" s="2">
        <f>IFERROR(__xludf.DUMMYFUNCTION("""COMPUTED_VALUE"""),287.0)</f>
        <v>287</v>
      </c>
      <c r="D837" s="3">
        <f>IFERROR(__xludf.DUMMYFUNCTION("""COMPUTED_VALUE"""),237.0)</f>
        <v>237</v>
      </c>
      <c r="E837" s="1" t="str">
        <f t="array" ref="E837">_xlfn.XLOOKUP(A837,Product!A:A,Product!B:B,"Bulunamadı")</f>
        <v>Fiction</v>
      </c>
      <c r="F837" s="1" t="str">
        <f t="array" ref="F837">_xlfn.XLOOKUP(A837,Product!A:A,Product!C:C,"Bulunamadı")</f>
        <v>Medieval History</v>
      </c>
      <c r="G837" s="2" t="str">
        <f t="array" ref="G837">_xlfn.XLOOKUP(A838,Product!A:A,Product!D:D,"Bulunamadı")</f>
        <v>White Oak Publishing</v>
      </c>
      <c r="H837" s="2">
        <f t="array" ref="H837">_xlfn.XLOOKUP(A839,Product!A:A,Product!E:E,"Bulunamadı")</f>
        <v>3.65</v>
      </c>
      <c r="I837" s="2" t="str">
        <f t="shared" si="1"/>
        <v>194520 - Fiction - Medieval History</v>
      </c>
      <c r="J837" s="2">
        <f t="shared" si="2"/>
        <v>865.05</v>
      </c>
      <c r="K837" s="17">
        <f t="shared" si="3"/>
        <v>1</v>
      </c>
      <c r="L837" s="18"/>
    </row>
    <row r="838" hidden="1">
      <c r="A838" s="2">
        <f>IFERROR(__xludf.DUMMYFUNCTION("""COMPUTED_VALUE"""),5901.0)</f>
        <v>5901</v>
      </c>
      <c r="B838" s="2">
        <f>IFERROR(__xludf.DUMMYFUNCTION("""COMPUTED_VALUE"""),1.0)</f>
        <v>1</v>
      </c>
      <c r="C838" s="2">
        <f>IFERROR(__xludf.DUMMYFUNCTION("""COMPUTED_VALUE"""),748.0)</f>
        <v>748</v>
      </c>
      <c r="D838" s="3">
        <f>IFERROR(__xludf.DUMMYFUNCTION("""COMPUTED_VALUE"""),245.0)</f>
        <v>245</v>
      </c>
      <c r="E838" s="1" t="str">
        <f t="array" ref="E838">_xlfn.XLOOKUP(A838,Product!A:A,Product!B:B,"Bulunamadı")</f>
        <v>Fiction</v>
      </c>
      <c r="F838" s="1" t="str">
        <f t="array" ref="F838">_xlfn.XLOOKUP(A838,Product!A:A,Product!C:C,"Bulunamadı")</f>
        <v>Medieval History</v>
      </c>
      <c r="G838" s="2" t="str">
        <f t="array" ref="G838">_xlfn.XLOOKUP(A839,Product!A:A,Product!D:D,"Bulunamadı")</f>
        <v>White Oak Publishing</v>
      </c>
      <c r="H838" s="2">
        <f t="array" ref="H838">_xlfn.XLOOKUP(A840,Product!A:A,Product!E:E,"Bulunamadı")</f>
        <v>1.64</v>
      </c>
      <c r="I838" s="2" t="str">
        <f t="shared" si="1"/>
        <v>5901 - Fiction - Medieval History</v>
      </c>
      <c r="J838" s="2">
        <f t="shared" si="2"/>
        <v>401.8</v>
      </c>
      <c r="K838" s="17">
        <f t="shared" si="3"/>
        <v>1</v>
      </c>
      <c r="L838" s="18"/>
    </row>
    <row r="839" hidden="1">
      <c r="A839" s="2">
        <f>IFERROR(__xludf.DUMMYFUNCTION("""COMPUTED_VALUE"""),156054.0)</f>
        <v>156054</v>
      </c>
      <c r="B839" s="2">
        <f>IFERROR(__xludf.DUMMYFUNCTION("""COMPUTED_VALUE"""),0.0)</f>
        <v>0</v>
      </c>
      <c r="C839" s="2">
        <f>IFERROR(__xludf.DUMMYFUNCTION("""COMPUTED_VALUE"""),196.0)</f>
        <v>196</v>
      </c>
      <c r="D839" s="3">
        <f>IFERROR(__xludf.DUMMYFUNCTION("""COMPUTED_VALUE"""),140.0)</f>
        <v>140</v>
      </c>
      <c r="E839" s="1" t="str">
        <f t="array" ref="E839">_xlfn.XLOOKUP(A839,Product!A:A,Product!B:B,"Bulunamadı")</f>
        <v>Fiction</v>
      </c>
      <c r="F839" s="1" t="str">
        <f t="array" ref="F839">_xlfn.XLOOKUP(A839,Product!A:A,Product!C:C,"Bulunamadı")</f>
        <v>Medieval History</v>
      </c>
      <c r="G839" s="2" t="str">
        <f t="array" ref="G839">_xlfn.XLOOKUP(A840,Product!A:A,Product!D:D,"Bulunamadı")</f>
        <v>White Oak Publishing</v>
      </c>
      <c r="H839" s="2">
        <f t="array" ref="H839">_xlfn.XLOOKUP(A841,Product!A:A,Product!E:E,"Bulunamadı")</f>
        <v>2.64</v>
      </c>
      <c r="I839" s="2" t="str">
        <f t="shared" si="1"/>
        <v>156054 - Fiction - Medieval History</v>
      </c>
      <c r="J839" s="2">
        <f t="shared" si="2"/>
        <v>369.6</v>
      </c>
      <c r="K839" s="17">
        <f t="shared" si="3"/>
        <v>1</v>
      </c>
      <c r="L839" s="18"/>
    </row>
    <row r="840" hidden="1">
      <c r="A840" s="2">
        <f>IFERROR(__xludf.DUMMYFUNCTION("""COMPUTED_VALUE"""),5869.0)</f>
        <v>5869</v>
      </c>
      <c r="B840" s="2">
        <f>IFERROR(__xludf.DUMMYFUNCTION("""COMPUTED_VALUE"""),1.0)</f>
        <v>1</v>
      </c>
      <c r="C840" s="2">
        <f>IFERROR(__xludf.DUMMYFUNCTION("""COMPUTED_VALUE"""),961.0)</f>
        <v>961</v>
      </c>
      <c r="D840" s="3">
        <f>IFERROR(__xludf.DUMMYFUNCTION("""COMPUTED_VALUE"""),651.0)</f>
        <v>651</v>
      </c>
      <c r="E840" s="1" t="str">
        <f t="array" ref="E840">_xlfn.XLOOKUP(A840,Product!A:A,Product!B:B,"Bulunamadı")</f>
        <v>Fiction</v>
      </c>
      <c r="F840" s="1" t="str">
        <f t="array" ref="F840">_xlfn.XLOOKUP(A840,Product!A:A,Product!C:C,"Bulunamadı")</f>
        <v>Medieval History</v>
      </c>
      <c r="G840" s="2" t="str">
        <f t="array" ref="G840">_xlfn.XLOOKUP(A841,Product!A:A,Product!D:D,"Bulunamadı")</f>
        <v>White Oak Publishing</v>
      </c>
      <c r="H840" s="2">
        <f t="array" ref="H840">_xlfn.XLOOKUP(A842,Product!A:A,Product!E:E,"Bulunamadı")</f>
        <v>2.09</v>
      </c>
      <c r="I840" s="2" t="str">
        <f t="shared" si="1"/>
        <v>5869 - Fiction - Medieval History</v>
      </c>
      <c r="J840" s="2">
        <f t="shared" si="2"/>
        <v>1360.59</v>
      </c>
      <c r="K840" s="17">
        <f t="shared" si="3"/>
        <v>1</v>
      </c>
      <c r="L840" s="18"/>
    </row>
    <row r="841" hidden="1">
      <c r="A841" s="2">
        <f>IFERROR(__xludf.DUMMYFUNCTION("""COMPUTED_VALUE"""),7343.0)</f>
        <v>7343</v>
      </c>
      <c r="B841" s="2">
        <f>IFERROR(__xludf.DUMMYFUNCTION("""COMPUTED_VALUE"""),0.0)</f>
        <v>0</v>
      </c>
      <c r="C841" s="2">
        <f>IFERROR(__xludf.DUMMYFUNCTION("""COMPUTED_VALUE"""),96.0)</f>
        <v>96</v>
      </c>
      <c r="D841" s="3">
        <f>IFERROR(__xludf.DUMMYFUNCTION("""COMPUTED_VALUE"""),69.0)</f>
        <v>69</v>
      </c>
      <c r="E841" s="1" t="str">
        <f t="array" ref="E841">_xlfn.XLOOKUP(A841,Product!A:A,Product!B:B,"Bulunamadı")</f>
        <v>Fiction</v>
      </c>
      <c r="F841" s="1" t="str">
        <f t="array" ref="F841">_xlfn.XLOOKUP(A841,Product!A:A,Product!C:C,"Bulunamadı")</f>
        <v>Medieval History</v>
      </c>
      <c r="G841" s="2" t="str">
        <f t="array" ref="G841">_xlfn.XLOOKUP(A842,Product!A:A,Product!D:D,"Bulunamadı")</f>
        <v>White Oak Publishing</v>
      </c>
      <c r="H841" s="2">
        <f t="array" ref="H841">_xlfn.XLOOKUP(A843,Product!A:A,Product!E:E,"Bulunamadı")</f>
        <v>2.57</v>
      </c>
      <c r="I841" s="2" t="str">
        <f t="shared" si="1"/>
        <v>7343 - Fiction - Medieval History</v>
      </c>
      <c r="J841" s="2">
        <f t="shared" si="2"/>
        <v>177.33</v>
      </c>
      <c r="K841" s="17">
        <f t="shared" si="3"/>
        <v>1</v>
      </c>
      <c r="L841" s="18"/>
    </row>
    <row r="842" hidden="1">
      <c r="A842" s="2">
        <f>IFERROR(__xludf.DUMMYFUNCTION("""COMPUTED_VALUE"""),88218.0)</f>
        <v>88218</v>
      </c>
      <c r="B842" s="2">
        <f>IFERROR(__xludf.DUMMYFUNCTION("""COMPUTED_VALUE"""),0.0)</f>
        <v>0</v>
      </c>
      <c r="C842" s="2">
        <f>IFERROR(__xludf.DUMMYFUNCTION("""COMPUTED_VALUE"""),96.0)</f>
        <v>96</v>
      </c>
      <c r="D842" s="3">
        <f>IFERROR(__xludf.DUMMYFUNCTION("""COMPUTED_VALUE"""),81.0)</f>
        <v>81</v>
      </c>
      <c r="E842" s="1" t="str">
        <f t="array" ref="E842">_xlfn.XLOOKUP(A842,Product!A:A,Product!B:B,"Bulunamadı")</f>
        <v>Fiction</v>
      </c>
      <c r="F842" s="1" t="str">
        <f t="array" ref="F842">_xlfn.XLOOKUP(A842,Product!A:A,Product!C:C,"Bulunamadı")</f>
        <v>Medieval History</v>
      </c>
      <c r="G842" s="2" t="str">
        <f t="array" ref="G842">_xlfn.XLOOKUP(A843,Product!A:A,Product!D:D,"Bulunamadı")</f>
        <v>White Oak Publishing</v>
      </c>
      <c r="H842" s="2">
        <f t="array" ref="H842">_xlfn.XLOOKUP(A844,Product!A:A,Product!E:E,"Bulunamadı")</f>
        <v>3.84</v>
      </c>
      <c r="I842" s="2" t="str">
        <f t="shared" si="1"/>
        <v>88218 - Fiction - Medieval History</v>
      </c>
      <c r="J842" s="2">
        <f t="shared" si="2"/>
        <v>311.04</v>
      </c>
      <c r="K842" s="17">
        <f t="shared" si="3"/>
        <v>1</v>
      </c>
      <c r="L842" s="18"/>
    </row>
    <row r="843" hidden="1">
      <c r="A843" s="2">
        <f>IFERROR(__xludf.DUMMYFUNCTION("""COMPUTED_VALUE"""),99263.0)</f>
        <v>99263</v>
      </c>
      <c r="B843" s="2">
        <f>IFERROR(__xludf.DUMMYFUNCTION("""COMPUTED_VALUE"""),1.0)</f>
        <v>1</v>
      </c>
      <c r="C843" s="2">
        <f>IFERROR(__xludf.DUMMYFUNCTION("""COMPUTED_VALUE"""),789.0)</f>
        <v>789</v>
      </c>
      <c r="D843" s="3">
        <f>IFERROR(__xludf.DUMMYFUNCTION("""COMPUTED_VALUE"""),641.0)</f>
        <v>641</v>
      </c>
      <c r="E843" s="1" t="str">
        <f t="array" ref="E843">_xlfn.XLOOKUP(A843,Product!A:A,Product!B:B,"Bulunamadı")</f>
        <v>Fiction</v>
      </c>
      <c r="F843" s="1" t="str">
        <f t="array" ref="F843">_xlfn.XLOOKUP(A843,Product!A:A,Product!C:C,"Bulunamadı")</f>
        <v>Medieval History</v>
      </c>
      <c r="G843" s="2" t="str">
        <f t="array" ref="G843">_xlfn.XLOOKUP(A844,Product!A:A,Product!D:D,"Bulunamadı")</f>
        <v>White Oak Publishing</v>
      </c>
      <c r="H843" s="2">
        <f t="array" ref="H843">_xlfn.XLOOKUP(A845,Product!A:A,Product!E:E,"Bulunamadı")</f>
        <v>6.17</v>
      </c>
      <c r="I843" s="2" t="str">
        <f t="shared" si="1"/>
        <v>99263 - Fiction - Medieval History</v>
      </c>
      <c r="J843" s="2">
        <f t="shared" si="2"/>
        <v>3954.97</v>
      </c>
      <c r="K843" s="17">
        <f t="shared" si="3"/>
        <v>1</v>
      </c>
      <c r="L843" s="18"/>
    </row>
    <row r="844" hidden="1">
      <c r="A844" s="2">
        <f>IFERROR(__xludf.DUMMYFUNCTION("""COMPUTED_VALUE"""),7357.0)</f>
        <v>7357</v>
      </c>
      <c r="B844" s="2">
        <f>IFERROR(__xludf.DUMMYFUNCTION("""COMPUTED_VALUE"""),1.0)</f>
        <v>1</v>
      </c>
      <c r="C844" s="2">
        <f>IFERROR(__xludf.DUMMYFUNCTION("""COMPUTED_VALUE"""),208.0)</f>
        <v>208</v>
      </c>
      <c r="D844" s="3">
        <f>IFERROR(__xludf.DUMMYFUNCTION("""COMPUTED_VALUE"""),195.0)</f>
        <v>195</v>
      </c>
      <c r="E844" s="1" t="str">
        <f t="array" ref="E844">_xlfn.XLOOKUP(A844,Product!A:A,Product!B:B,"Bulunamadı")</f>
        <v>Fiction</v>
      </c>
      <c r="F844" s="1" t="str">
        <f t="array" ref="F844">_xlfn.XLOOKUP(A844,Product!A:A,Product!C:C,"Bulunamadı")</f>
        <v>Medieval History</v>
      </c>
      <c r="G844" s="2" t="str">
        <f t="array" ref="G844">_xlfn.XLOOKUP(A845,Product!A:A,Product!D:D,"Bulunamadı")</f>
        <v>White Oak Publishing</v>
      </c>
      <c r="H844" s="2">
        <f t="array" ref="H844">_xlfn.XLOOKUP(A846,Product!A:A,Product!E:E,"Bulunamadı")</f>
        <v>1.4</v>
      </c>
      <c r="I844" s="2" t="str">
        <f t="shared" si="1"/>
        <v>7357 - Fiction - Medieval History</v>
      </c>
      <c r="J844" s="2">
        <f t="shared" si="2"/>
        <v>273</v>
      </c>
      <c r="K844" s="17">
        <f t="shared" si="3"/>
        <v>1</v>
      </c>
      <c r="L844" s="18"/>
    </row>
    <row r="845" hidden="1">
      <c r="A845" s="2">
        <f>IFERROR(__xludf.DUMMYFUNCTION("""COMPUTED_VALUE"""),28591.0)</f>
        <v>28591</v>
      </c>
      <c r="B845" s="2">
        <f>IFERROR(__xludf.DUMMYFUNCTION("""COMPUTED_VALUE"""),1.0)</f>
        <v>1</v>
      </c>
      <c r="C845" s="2">
        <f>IFERROR(__xludf.DUMMYFUNCTION("""COMPUTED_VALUE"""),399.0)</f>
        <v>399</v>
      </c>
      <c r="D845" s="3">
        <f>IFERROR(__xludf.DUMMYFUNCTION("""COMPUTED_VALUE"""),240.0)</f>
        <v>240</v>
      </c>
      <c r="E845" s="1" t="str">
        <f t="array" ref="E845">_xlfn.XLOOKUP(A845,Product!A:A,Product!B:B,"Bulunamadı")</f>
        <v>Fiction</v>
      </c>
      <c r="F845" s="1" t="str">
        <f t="array" ref="F845">_xlfn.XLOOKUP(A845,Product!A:A,Product!C:C,"Bulunamadı")</f>
        <v>Medieval History</v>
      </c>
      <c r="G845" s="2" t="str">
        <f t="array" ref="G845">_xlfn.XLOOKUP(A846,Product!A:A,Product!D:D,"Bulunamadı")</f>
        <v>White Oak Publishing</v>
      </c>
      <c r="H845" s="2">
        <f t="array" ref="H845">_xlfn.XLOOKUP(A847,Product!A:A,Product!E:E,"Bulunamadı")</f>
        <v>1.59</v>
      </c>
      <c r="I845" s="2" t="str">
        <f t="shared" si="1"/>
        <v>28591 - Fiction - Medieval History</v>
      </c>
      <c r="J845" s="2">
        <f t="shared" si="2"/>
        <v>381.6</v>
      </c>
      <c r="K845" s="17">
        <f t="shared" si="3"/>
        <v>1</v>
      </c>
      <c r="L845" s="18"/>
    </row>
    <row r="846" hidden="1">
      <c r="A846" s="2">
        <f>IFERROR(__xludf.DUMMYFUNCTION("""COMPUTED_VALUE"""),5871.0)</f>
        <v>5871</v>
      </c>
      <c r="B846" s="2">
        <f>IFERROR(__xludf.DUMMYFUNCTION("""COMPUTED_VALUE"""),1.0)</f>
        <v>1</v>
      </c>
      <c r="C846" s="2">
        <f>IFERROR(__xludf.DUMMYFUNCTION("""COMPUTED_VALUE"""),846.0)</f>
        <v>846</v>
      </c>
      <c r="D846" s="3">
        <f>IFERROR(__xludf.DUMMYFUNCTION("""COMPUTED_VALUE"""),214.0)</f>
        <v>214</v>
      </c>
      <c r="E846" s="1" t="str">
        <f t="array" ref="E846">_xlfn.XLOOKUP(A846,Product!A:A,Product!B:B,"Bulunamadı")</f>
        <v>Fiction</v>
      </c>
      <c r="F846" s="1" t="str">
        <f t="array" ref="F846">_xlfn.XLOOKUP(A846,Product!A:A,Product!C:C,"Bulunamadı")</f>
        <v>Medieval History</v>
      </c>
      <c r="G846" s="2" t="str">
        <f t="array" ref="G846">_xlfn.XLOOKUP(A847,Product!A:A,Product!D:D,"Bulunamadı")</f>
        <v>White Oak Publishing</v>
      </c>
      <c r="H846" s="2">
        <f t="array" ref="H846">_xlfn.XLOOKUP(A848,Product!A:A,Product!E:E,"Bulunamadı")</f>
        <v>14.29</v>
      </c>
      <c r="I846" s="2" t="str">
        <f t="shared" si="1"/>
        <v>5871 - Fiction - Medieval History</v>
      </c>
      <c r="J846" s="2">
        <f t="shared" si="2"/>
        <v>3058.06</v>
      </c>
      <c r="K846" s="17">
        <f t="shared" si="3"/>
        <v>1</v>
      </c>
      <c r="L846" s="18"/>
    </row>
    <row r="847" hidden="1">
      <c r="A847" s="2">
        <f>IFERROR(__xludf.DUMMYFUNCTION("""COMPUTED_VALUE"""),81772.0)</f>
        <v>81772</v>
      </c>
      <c r="B847" s="2">
        <f>IFERROR(__xludf.DUMMYFUNCTION("""COMPUTED_VALUE"""),1.0)</f>
        <v>1</v>
      </c>
      <c r="C847" s="2">
        <f>IFERROR(__xludf.DUMMYFUNCTION("""COMPUTED_VALUE"""),889.0)</f>
        <v>889</v>
      </c>
      <c r="D847" s="3">
        <f>IFERROR(__xludf.DUMMYFUNCTION("""COMPUTED_VALUE"""),123.0)</f>
        <v>123</v>
      </c>
      <c r="E847" s="1" t="str">
        <f t="array" ref="E847">_xlfn.XLOOKUP(A847,Product!A:A,Product!B:B,"Bulunamadı")</f>
        <v>Fiction</v>
      </c>
      <c r="F847" s="1" t="str">
        <f t="array" ref="F847">_xlfn.XLOOKUP(A847,Product!A:A,Product!C:C,"Bulunamadı")</f>
        <v>Medieval History</v>
      </c>
      <c r="G847" s="2" t="str">
        <f t="array" ref="G847">_xlfn.XLOOKUP(A848,Product!A:A,Product!D:D,"Bulunamadı")</f>
        <v>White Oak Publishing</v>
      </c>
      <c r="H847" s="2">
        <f t="array" ref="H847">_xlfn.XLOOKUP(A849,Product!A:A,Product!E:E,"Bulunamadı")</f>
        <v>1.42</v>
      </c>
      <c r="I847" s="2" t="str">
        <f t="shared" si="1"/>
        <v>81772 - Fiction - Medieval History</v>
      </c>
      <c r="J847" s="2">
        <f t="shared" si="2"/>
        <v>174.66</v>
      </c>
      <c r="K847" s="17">
        <f t="shared" si="3"/>
        <v>1</v>
      </c>
      <c r="L847" s="18"/>
    </row>
    <row r="848" hidden="1">
      <c r="A848" s="2">
        <f>IFERROR(__xludf.DUMMYFUNCTION("""COMPUTED_VALUE"""),110587.0)</f>
        <v>110587</v>
      </c>
      <c r="B848" s="2">
        <f>IFERROR(__xludf.DUMMYFUNCTION("""COMPUTED_VALUE"""),0.0)</f>
        <v>0</v>
      </c>
      <c r="C848" s="2">
        <f>IFERROR(__xludf.DUMMYFUNCTION("""COMPUTED_VALUE"""),13.0)</f>
        <v>13</v>
      </c>
      <c r="D848" s="3">
        <f>IFERROR(__xludf.DUMMYFUNCTION("""COMPUTED_VALUE"""),0.0)</f>
        <v>0</v>
      </c>
      <c r="E848" s="1" t="str">
        <f t="array" ref="E848">_xlfn.XLOOKUP(A848,Product!A:A,Product!B:B,"Bulunamadı")</f>
        <v>Fiction</v>
      </c>
      <c r="F848" s="1" t="str">
        <f t="array" ref="F848">_xlfn.XLOOKUP(A848,Product!A:A,Product!C:C,"Bulunamadı")</f>
        <v>Medieval History</v>
      </c>
      <c r="G848" s="2" t="str">
        <f t="array" ref="G848">_xlfn.XLOOKUP(A849,Product!A:A,Product!D:D,"Bulunamadı")</f>
        <v>White Oak Publishing</v>
      </c>
      <c r="H848" s="2">
        <f t="array" ref="H848">_xlfn.XLOOKUP(A850,Product!A:A,Product!E:E,"Bulunamadı")</f>
        <v>10.62</v>
      </c>
      <c r="I848" s="2" t="str">
        <f t="shared" si="1"/>
        <v>110587 - Fiction - Medieval History</v>
      </c>
      <c r="J848" s="2">
        <f t="shared" si="2"/>
        <v>0</v>
      </c>
      <c r="K848" s="17">
        <f t="shared" si="3"/>
        <v>0</v>
      </c>
      <c r="L848" s="18"/>
    </row>
    <row r="849" hidden="1">
      <c r="A849" s="2">
        <f>IFERROR(__xludf.DUMMYFUNCTION("""COMPUTED_VALUE"""),5870.0)</f>
        <v>5870</v>
      </c>
      <c r="B849" s="2">
        <f>IFERROR(__xludf.DUMMYFUNCTION("""COMPUTED_VALUE"""),1.0)</f>
        <v>1</v>
      </c>
      <c r="C849" s="2">
        <f>IFERROR(__xludf.DUMMYFUNCTION("""COMPUTED_VALUE"""),852.0)</f>
        <v>852</v>
      </c>
      <c r="D849" s="3">
        <f>IFERROR(__xludf.DUMMYFUNCTION("""COMPUTED_VALUE"""),294.0)</f>
        <v>294</v>
      </c>
      <c r="E849" s="1" t="str">
        <f t="array" ref="E849">_xlfn.XLOOKUP(A849,Product!A:A,Product!B:B,"Bulunamadı")</f>
        <v>Fiction</v>
      </c>
      <c r="F849" s="1" t="str">
        <f t="array" ref="F849">_xlfn.XLOOKUP(A849,Product!A:A,Product!C:C,"Bulunamadı")</f>
        <v>Medieval History</v>
      </c>
      <c r="G849" s="2" t="str">
        <f t="array" ref="G849">_xlfn.XLOOKUP(A850,Product!A:A,Product!D:D,"Bulunamadı")</f>
        <v>White Oak Publishing</v>
      </c>
      <c r="H849" s="2">
        <f t="array" ref="H849">_xlfn.XLOOKUP(A851,Product!A:A,Product!E:E,"Bulunamadı")</f>
        <v>0.87</v>
      </c>
      <c r="I849" s="2" t="str">
        <f t="shared" si="1"/>
        <v>5870 - Fiction - Medieval History</v>
      </c>
      <c r="J849" s="2">
        <f t="shared" si="2"/>
        <v>255.78</v>
      </c>
      <c r="K849" s="17">
        <f t="shared" si="3"/>
        <v>1</v>
      </c>
      <c r="L849" s="18"/>
    </row>
    <row r="850" hidden="1">
      <c r="A850" s="2">
        <f>IFERROR(__xludf.DUMMYFUNCTION("""COMPUTED_VALUE"""),158444.0)</f>
        <v>158444</v>
      </c>
      <c r="B850" s="2">
        <f>IFERROR(__xludf.DUMMYFUNCTION("""COMPUTED_VALUE"""),1.0)</f>
        <v>1</v>
      </c>
      <c r="C850" s="2">
        <f>IFERROR(__xludf.DUMMYFUNCTION("""COMPUTED_VALUE"""),846.0)</f>
        <v>846</v>
      </c>
      <c r="D850" s="3">
        <f>IFERROR(__xludf.DUMMYFUNCTION("""COMPUTED_VALUE"""),545.0)</f>
        <v>545</v>
      </c>
      <c r="E850" s="1" t="str">
        <f t="array" ref="E850">_xlfn.XLOOKUP(A850,Product!A:A,Product!B:B,"Bulunamadı")</f>
        <v>Fiction</v>
      </c>
      <c r="F850" s="1" t="str">
        <f t="array" ref="F850">_xlfn.XLOOKUP(A850,Product!A:A,Product!C:C,"Bulunamadı")</f>
        <v>Medieval History</v>
      </c>
      <c r="G850" s="2" t="str">
        <f t="array" ref="G850">_xlfn.XLOOKUP(A851,Product!A:A,Product!D:D,"Bulunamadı")</f>
        <v>White Oak Publishing</v>
      </c>
      <c r="H850" s="2">
        <f t="array" ref="H850">_xlfn.XLOOKUP(A852,Product!A:A,Product!E:E,"Bulunamadı")</f>
        <v>5.16</v>
      </c>
      <c r="I850" s="2" t="str">
        <f t="shared" si="1"/>
        <v>158444 - Fiction - Medieval History</v>
      </c>
      <c r="J850" s="2">
        <f t="shared" si="2"/>
        <v>2812.2</v>
      </c>
      <c r="K850" s="17">
        <f t="shared" si="3"/>
        <v>1</v>
      </c>
      <c r="L850" s="18"/>
    </row>
    <row r="851" hidden="1">
      <c r="A851" s="2">
        <f>IFERROR(__xludf.DUMMYFUNCTION("""COMPUTED_VALUE"""),80785.0)</f>
        <v>80785</v>
      </c>
      <c r="B851" s="2">
        <f>IFERROR(__xludf.DUMMYFUNCTION("""COMPUTED_VALUE"""),0.0)</f>
        <v>0</v>
      </c>
      <c r="C851" s="2">
        <f>IFERROR(__xludf.DUMMYFUNCTION("""COMPUTED_VALUE"""),363.0)</f>
        <v>363</v>
      </c>
      <c r="D851" s="3">
        <f>IFERROR(__xludf.DUMMYFUNCTION("""COMPUTED_VALUE"""),336.0)</f>
        <v>336</v>
      </c>
      <c r="E851" s="1" t="str">
        <f t="array" ref="E851">_xlfn.XLOOKUP(A851,Product!A:A,Product!B:B,"Bulunamadı")</f>
        <v>Fiction</v>
      </c>
      <c r="F851" s="1" t="str">
        <f t="array" ref="F851">_xlfn.XLOOKUP(A851,Product!A:A,Product!C:C,"Bulunamadı")</f>
        <v>Medieval History</v>
      </c>
      <c r="G851" s="2" t="str">
        <f t="array" ref="G851">_xlfn.XLOOKUP(A852,Product!A:A,Product!D:D,"Bulunamadı")</f>
        <v>White Oak Publishing</v>
      </c>
      <c r="H851" s="2">
        <f t="array" ref="H851">_xlfn.XLOOKUP(A853,Product!A:A,Product!E:E,"Bulunamadı")</f>
        <v>1.54</v>
      </c>
      <c r="I851" s="2" t="str">
        <f t="shared" si="1"/>
        <v>80785 - Fiction - Medieval History</v>
      </c>
      <c r="J851" s="2">
        <f t="shared" si="2"/>
        <v>517.44</v>
      </c>
      <c r="K851" s="17">
        <f t="shared" si="3"/>
        <v>1</v>
      </c>
      <c r="L851" s="18"/>
    </row>
    <row r="852" hidden="1">
      <c r="A852" s="2">
        <f>IFERROR(__xludf.DUMMYFUNCTION("""COMPUTED_VALUE"""),110586.0)</f>
        <v>110586</v>
      </c>
      <c r="B852" s="2">
        <f>IFERROR(__xludf.DUMMYFUNCTION("""COMPUTED_VALUE"""),1.0)</f>
        <v>1</v>
      </c>
      <c r="C852" s="2">
        <f>IFERROR(__xludf.DUMMYFUNCTION("""COMPUTED_VALUE"""),721.0)</f>
        <v>721</v>
      </c>
      <c r="D852" s="3">
        <f>IFERROR(__xludf.DUMMYFUNCTION("""COMPUTED_VALUE"""),95.0)</f>
        <v>95</v>
      </c>
      <c r="E852" s="1" t="str">
        <f t="array" ref="E852">_xlfn.XLOOKUP(A852,Product!A:A,Product!B:B,"Bulunamadı")</f>
        <v>Fiction</v>
      </c>
      <c r="F852" s="1" t="str">
        <f t="array" ref="F852">_xlfn.XLOOKUP(A852,Product!A:A,Product!C:C,"Bulunamadı")</f>
        <v>Medieval History</v>
      </c>
      <c r="G852" s="2" t="str">
        <f t="array" ref="G852">_xlfn.XLOOKUP(A853,Product!A:A,Product!D:D,"Bulunamadı")</f>
        <v>White Oak Publishing</v>
      </c>
      <c r="H852" s="2">
        <f t="array" ref="H852">_xlfn.XLOOKUP(A854,Product!A:A,Product!E:E,"Bulunamadı")</f>
        <v>12.33</v>
      </c>
      <c r="I852" s="2" t="str">
        <f t="shared" si="1"/>
        <v>110586 - Fiction - Medieval History</v>
      </c>
      <c r="J852" s="2">
        <f t="shared" si="2"/>
        <v>1171.35</v>
      </c>
      <c r="K852" s="17">
        <f t="shared" si="3"/>
        <v>1</v>
      </c>
      <c r="L852" s="18"/>
    </row>
    <row r="853" hidden="1">
      <c r="A853" s="2">
        <f>IFERROR(__xludf.DUMMYFUNCTION("""COMPUTED_VALUE"""),99264.0)</f>
        <v>99264</v>
      </c>
      <c r="B853" s="2">
        <f>IFERROR(__xludf.DUMMYFUNCTION("""COMPUTED_VALUE"""),1.0)</f>
        <v>1</v>
      </c>
      <c r="C853" s="2">
        <f>IFERROR(__xludf.DUMMYFUNCTION("""COMPUTED_VALUE"""),697.0)</f>
        <v>697</v>
      </c>
      <c r="D853" s="3">
        <f>IFERROR(__xludf.DUMMYFUNCTION("""COMPUTED_VALUE"""),618.0)</f>
        <v>618</v>
      </c>
      <c r="E853" s="1" t="str">
        <f t="array" ref="E853">_xlfn.XLOOKUP(A853,Product!A:A,Product!B:B,"Bulunamadı")</f>
        <v>Fiction</v>
      </c>
      <c r="F853" s="1" t="str">
        <f t="array" ref="F853">_xlfn.XLOOKUP(A853,Product!A:A,Product!C:C,"Bulunamadı")</f>
        <v>Medieval History</v>
      </c>
      <c r="G853" s="2" t="str">
        <f t="array" ref="G853">_xlfn.XLOOKUP(A854,Product!A:A,Product!D:D,"Bulunamadı")</f>
        <v>White Oak Publishing</v>
      </c>
      <c r="H853" s="2">
        <f t="array" ref="H853">_xlfn.XLOOKUP(A855,Product!A:A,Product!E:E,"Bulunamadı")</f>
        <v>4.63</v>
      </c>
      <c r="I853" s="2" t="str">
        <f t="shared" si="1"/>
        <v>99264 - Fiction - Medieval History</v>
      </c>
      <c r="J853" s="2">
        <f t="shared" si="2"/>
        <v>2861.34</v>
      </c>
      <c r="K853" s="17">
        <f t="shared" si="3"/>
        <v>1</v>
      </c>
      <c r="L853" s="18"/>
    </row>
    <row r="854" hidden="1">
      <c r="A854" s="2">
        <f>IFERROR(__xludf.DUMMYFUNCTION("""COMPUTED_VALUE"""),110977.0)</f>
        <v>110977</v>
      </c>
      <c r="B854" s="2">
        <f>IFERROR(__xludf.DUMMYFUNCTION("""COMPUTED_VALUE"""),0.0)</f>
        <v>0</v>
      </c>
      <c r="C854" s="2">
        <f>IFERROR(__xludf.DUMMYFUNCTION("""COMPUTED_VALUE"""),34.0)</f>
        <v>34</v>
      </c>
      <c r="D854" s="3">
        <f>IFERROR(__xludf.DUMMYFUNCTION("""COMPUTED_VALUE"""),22.0)</f>
        <v>22</v>
      </c>
      <c r="E854" s="1" t="str">
        <f t="array" ref="E854">_xlfn.XLOOKUP(A854,Product!A:A,Product!B:B,"Bulunamadı")</f>
        <v>Fiction</v>
      </c>
      <c r="F854" s="1" t="str">
        <f t="array" ref="F854">_xlfn.XLOOKUP(A854,Product!A:A,Product!C:C,"Bulunamadı")</f>
        <v>Medieval History</v>
      </c>
      <c r="G854" s="2" t="str">
        <f t="array" ref="G854">_xlfn.XLOOKUP(A855,Product!A:A,Product!D:D,"Bulunamadı")</f>
        <v>White Oak Publishing</v>
      </c>
      <c r="H854" s="2">
        <f t="array" ref="H854">_xlfn.XLOOKUP(A856,Product!A:A,Product!E:E,"Bulunamadı")</f>
        <v>4.28</v>
      </c>
      <c r="I854" s="2" t="str">
        <f t="shared" si="1"/>
        <v>110977 - Fiction - Medieval History</v>
      </c>
      <c r="J854" s="2">
        <f t="shared" si="2"/>
        <v>94.16</v>
      </c>
      <c r="K854" s="17">
        <f t="shared" si="3"/>
        <v>1</v>
      </c>
      <c r="L854" s="18"/>
    </row>
    <row r="855" hidden="1">
      <c r="A855" s="2">
        <f>IFERROR(__xludf.DUMMYFUNCTION("""COMPUTED_VALUE"""),45529.0)</f>
        <v>45529</v>
      </c>
      <c r="B855" s="2">
        <f>IFERROR(__xludf.DUMMYFUNCTION("""COMPUTED_VALUE"""),1.0)</f>
        <v>1</v>
      </c>
      <c r="C855" s="2">
        <f>IFERROR(__xludf.DUMMYFUNCTION("""COMPUTED_VALUE"""),602.0)</f>
        <v>602</v>
      </c>
      <c r="D855" s="3">
        <f>IFERROR(__xludf.DUMMYFUNCTION("""COMPUTED_VALUE"""),469.0)</f>
        <v>469</v>
      </c>
      <c r="E855" s="1" t="str">
        <f t="array" ref="E855">_xlfn.XLOOKUP(A855,Product!A:A,Product!B:B,"Bulunamadı")</f>
        <v>Fiction</v>
      </c>
      <c r="F855" s="1" t="str">
        <f t="array" ref="F855">_xlfn.XLOOKUP(A855,Product!A:A,Product!C:C,"Bulunamadı")</f>
        <v>Medieval History</v>
      </c>
      <c r="G855" s="2" t="str">
        <f t="array" ref="G855">_xlfn.XLOOKUP(A856,Product!A:A,Product!D:D,"Bulunamadı")</f>
        <v>White Oak Publishing</v>
      </c>
      <c r="H855" s="2">
        <f t="array" ref="H855">_xlfn.XLOOKUP(A857,Product!A:A,Product!E:E,"Bulunamadı")</f>
        <v>1.53</v>
      </c>
      <c r="I855" s="2" t="str">
        <f t="shared" si="1"/>
        <v>45529 - Fiction - Medieval History</v>
      </c>
      <c r="J855" s="2">
        <f t="shared" si="2"/>
        <v>717.57</v>
      </c>
      <c r="K855" s="17">
        <f t="shared" si="3"/>
        <v>1</v>
      </c>
      <c r="L855" s="18"/>
    </row>
    <row r="856" hidden="1">
      <c r="A856" s="2">
        <f>IFERROR(__xludf.DUMMYFUNCTION("""COMPUTED_VALUE"""),84030.0)</f>
        <v>84030</v>
      </c>
      <c r="B856" s="2">
        <f>IFERROR(__xludf.DUMMYFUNCTION("""COMPUTED_VALUE"""),1.0)</f>
        <v>1</v>
      </c>
      <c r="C856" s="2">
        <f>IFERROR(__xludf.DUMMYFUNCTION("""COMPUTED_VALUE"""),974.0)</f>
        <v>974</v>
      </c>
      <c r="D856" s="3">
        <f>IFERROR(__xludf.DUMMYFUNCTION("""COMPUTED_VALUE"""),606.0)</f>
        <v>606</v>
      </c>
      <c r="E856" s="1" t="str">
        <f t="array" ref="E856">_xlfn.XLOOKUP(A856,Product!A:A,Product!B:B,"Bulunamadı")</f>
        <v>Fiction</v>
      </c>
      <c r="F856" s="1" t="str">
        <f t="array" ref="F856">_xlfn.XLOOKUP(A856,Product!A:A,Product!C:C,"Bulunamadı")</f>
        <v>Medieval History</v>
      </c>
      <c r="G856" s="2" t="str">
        <f t="array" ref="G856">_xlfn.XLOOKUP(A857,Product!A:A,Product!D:D,"Bulunamadı")</f>
        <v>White Oak Publishing</v>
      </c>
      <c r="H856" s="2">
        <f t="array" ref="H856">_xlfn.XLOOKUP(A858,Product!A:A,Product!E:E,"Bulunamadı")</f>
        <v>9.11</v>
      </c>
      <c r="I856" s="2" t="str">
        <f t="shared" si="1"/>
        <v>84030 - Fiction - Medieval History</v>
      </c>
      <c r="J856" s="2">
        <f t="shared" si="2"/>
        <v>5520.66</v>
      </c>
      <c r="K856" s="17">
        <f t="shared" si="3"/>
        <v>1</v>
      </c>
      <c r="L856" s="18"/>
    </row>
    <row r="857" hidden="1">
      <c r="A857" s="2">
        <f>IFERROR(__xludf.DUMMYFUNCTION("""COMPUTED_VALUE"""),99262.0)</f>
        <v>99262</v>
      </c>
      <c r="B857" s="2">
        <f>IFERROR(__xludf.DUMMYFUNCTION("""COMPUTED_VALUE"""),1.0)</f>
        <v>1</v>
      </c>
      <c r="C857" s="2">
        <f>IFERROR(__xludf.DUMMYFUNCTION("""COMPUTED_VALUE"""),285.0)</f>
        <v>285</v>
      </c>
      <c r="D857" s="3">
        <f>IFERROR(__xludf.DUMMYFUNCTION("""COMPUTED_VALUE"""),192.0)</f>
        <v>192</v>
      </c>
      <c r="E857" s="1" t="str">
        <f t="array" ref="E857">_xlfn.XLOOKUP(A857,Product!A:A,Product!B:B,"Bulunamadı")</f>
        <v>Fiction</v>
      </c>
      <c r="F857" s="1" t="str">
        <f t="array" ref="F857">_xlfn.XLOOKUP(A857,Product!A:A,Product!C:C,"Bulunamadı")</f>
        <v>Medieval History</v>
      </c>
      <c r="G857" s="2" t="str">
        <f t="array" ref="G857">_xlfn.XLOOKUP(A858,Product!A:A,Product!D:D,"Bulunamadı")</f>
        <v>White Oak Publishing</v>
      </c>
      <c r="H857" s="2">
        <f t="array" ref="H857">_xlfn.XLOOKUP(A859,Product!A:A,Product!E:E,"Bulunamadı")</f>
        <v>2.42</v>
      </c>
      <c r="I857" s="2" t="str">
        <f t="shared" si="1"/>
        <v>99262 - Fiction - Medieval History</v>
      </c>
      <c r="J857" s="2">
        <f t="shared" si="2"/>
        <v>464.64</v>
      </c>
      <c r="K857" s="17">
        <f t="shared" si="3"/>
        <v>1</v>
      </c>
      <c r="L857" s="18"/>
    </row>
    <row r="858" hidden="1">
      <c r="A858" s="2">
        <f>IFERROR(__xludf.DUMMYFUNCTION("""COMPUTED_VALUE"""),110722.0)</f>
        <v>110722</v>
      </c>
      <c r="B858" s="2">
        <f>IFERROR(__xludf.DUMMYFUNCTION("""COMPUTED_VALUE"""),0.0)</f>
        <v>0</v>
      </c>
      <c r="C858" s="2">
        <f>IFERROR(__xludf.DUMMYFUNCTION("""COMPUTED_VALUE"""),774.0)</f>
        <v>774</v>
      </c>
      <c r="D858" s="3">
        <f>IFERROR(__xludf.DUMMYFUNCTION("""COMPUTED_VALUE"""),330.0)</f>
        <v>330</v>
      </c>
      <c r="E858" s="1" t="str">
        <f t="array" ref="E858">_xlfn.XLOOKUP(A858,Product!A:A,Product!B:B,"Bulunamadı")</f>
        <v>Fiction</v>
      </c>
      <c r="F858" s="1" t="str">
        <f t="array" ref="F858">_xlfn.XLOOKUP(A858,Product!A:A,Product!C:C,"Bulunamadı")</f>
        <v>Medieval History</v>
      </c>
      <c r="G858" s="2" t="str">
        <f t="array" ref="G858">_xlfn.XLOOKUP(A859,Product!A:A,Product!D:D,"Bulunamadı")</f>
        <v>White Oak Publishing</v>
      </c>
      <c r="H858" s="2">
        <f t="array" ref="H858">_xlfn.XLOOKUP(A860,Product!A:A,Product!E:E,"Bulunamadı")</f>
        <v>1.25</v>
      </c>
      <c r="I858" s="2" t="str">
        <f t="shared" si="1"/>
        <v>110722 - Fiction - Medieval History</v>
      </c>
      <c r="J858" s="2">
        <f t="shared" si="2"/>
        <v>412.5</v>
      </c>
      <c r="K858" s="17">
        <f t="shared" si="3"/>
        <v>1</v>
      </c>
      <c r="L858" s="18"/>
    </row>
    <row r="859" hidden="1">
      <c r="A859" s="2">
        <f>IFERROR(__xludf.DUMMYFUNCTION("""COMPUTED_VALUE"""),80781.0)</f>
        <v>80781</v>
      </c>
      <c r="B859" s="2">
        <f>IFERROR(__xludf.DUMMYFUNCTION("""COMPUTED_VALUE"""),1.0)</f>
        <v>1</v>
      </c>
      <c r="C859" s="2">
        <f>IFERROR(__xludf.DUMMYFUNCTION("""COMPUTED_VALUE"""),787.0)</f>
        <v>787</v>
      </c>
      <c r="D859" s="3">
        <f>IFERROR(__xludf.DUMMYFUNCTION("""COMPUTED_VALUE"""),375.0)</f>
        <v>375</v>
      </c>
      <c r="E859" s="1" t="str">
        <f t="array" ref="E859">_xlfn.XLOOKUP(A859,Product!A:A,Product!B:B,"Bulunamadı")</f>
        <v>Fiction</v>
      </c>
      <c r="F859" s="1" t="str">
        <f t="array" ref="F859">_xlfn.XLOOKUP(A859,Product!A:A,Product!C:C,"Bulunamadı")</f>
        <v>Medieval History</v>
      </c>
      <c r="G859" s="2" t="str">
        <f t="array" ref="G859">_xlfn.XLOOKUP(A860,Product!A:A,Product!D:D,"Bulunamadı")</f>
        <v>White Oak Publishing</v>
      </c>
      <c r="H859" s="2">
        <f t="array" ref="H859">_xlfn.XLOOKUP(A861,Product!A:A,Product!E:E,"Bulunamadı")</f>
        <v>1.56</v>
      </c>
      <c r="I859" s="2" t="str">
        <f t="shared" si="1"/>
        <v>80781 - Fiction - Medieval History</v>
      </c>
      <c r="J859" s="2">
        <f t="shared" si="2"/>
        <v>585</v>
      </c>
      <c r="K859" s="17">
        <f t="shared" si="3"/>
        <v>1</v>
      </c>
      <c r="L859" s="18"/>
    </row>
    <row r="860" hidden="1">
      <c r="A860" s="2">
        <f>IFERROR(__xludf.DUMMYFUNCTION("""COMPUTED_VALUE"""),122700.0)</f>
        <v>122700</v>
      </c>
      <c r="B860" s="2">
        <f>IFERROR(__xludf.DUMMYFUNCTION("""COMPUTED_VALUE"""),0.0)</f>
        <v>0</v>
      </c>
      <c r="C860" s="2">
        <f>IFERROR(__xludf.DUMMYFUNCTION("""COMPUTED_VALUE"""),275.0)</f>
        <v>275</v>
      </c>
      <c r="D860" s="3">
        <f>IFERROR(__xludf.DUMMYFUNCTION("""COMPUTED_VALUE"""),3.0)</f>
        <v>3</v>
      </c>
      <c r="E860" s="1" t="str">
        <f t="array" ref="E860">_xlfn.XLOOKUP(A860,Product!A:A,Product!B:B,"Bulunamadı")</f>
        <v>Fiction</v>
      </c>
      <c r="F860" s="1" t="str">
        <f t="array" ref="F860">_xlfn.XLOOKUP(A860,Product!A:A,Product!C:C,"Bulunamadı")</f>
        <v>Medieval History</v>
      </c>
      <c r="G860" s="2" t="str">
        <f t="array" ref="G860">_xlfn.XLOOKUP(A861,Product!A:A,Product!D:D,"Bulunamadı")</f>
        <v>White Oak Publishing</v>
      </c>
      <c r="H860" s="2">
        <f t="array" ref="H860">_xlfn.XLOOKUP(A862,Product!A:A,Product!E:E,"Bulunamadı")</f>
        <v>1.33</v>
      </c>
      <c r="I860" s="2" t="str">
        <f t="shared" si="1"/>
        <v>122700 - Fiction - Medieval History</v>
      </c>
      <c r="J860" s="2">
        <f t="shared" si="2"/>
        <v>3.99</v>
      </c>
      <c r="K860" s="17">
        <f t="shared" si="3"/>
        <v>1</v>
      </c>
      <c r="L860" s="18"/>
    </row>
    <row r="861" hidden="1">
      <c r="A861" s="2">
        <f>IFERROR(__xludf.DUMMYFUNCTION("""COMPUTED_VALUE"""),111783.0)</f>
        <v>111783</v>
      </c>
      <c r="B861" s="2">
        <f>IFERROR(__xludf.DUMMYFUNCTION("""COMPUTED_VALUE"""),1.0)</f>
        <v>1</v>
      </c>
      <c r="C861" s="2">
        <f>IFERROR(__xludf.DUMMYFUNCTION("""COMPUTED_VALUE"""),876.0)</f>
        <v>876</v>
      </c>
      <c r="D861" s="3">
        <f>IFERROR(__xludf.DUMMYFUNCTION("""COMPUTED_VALUE"""),616.0)</f>
        <v>616</v>
      </c>
      <c r="E861" s="1" t="str">
        <f t="array" ref="E861">_xlfn.XLOOKUP(A861,Product!A:A,Product!B:B,"Bulunamadı")</f>
        <v>Fiction</v>
      </c>
      <c r="F861" s="1" t="str">
        <f t="array" ref="F861">_xlfn.XLOOKUP(A861,Product!A:A,Product!C:C,"Bulunamadı")</f>
        <v>Medieval History</v>
      </c>
      <c r="G861" s="2" t="str">
        <f t="array" ref="G861">_xlfn.XLOOKUP(A862,Product!A:A,Product!D:D,"Bulunamadı")</f>
        <v>White Oak Publishing</v>
      </c>
      <c r="H861" s="2">
        <f t="array" ref="H861">_xlfn.XLOOKUP(A863,Product!A:A,Product!E:E,"Bulunamadı")</f>
        <v>1.21</v>
      </c>
      <c r="I861" s="2" t="str">
        <f t="shared" si="1"/>
        <v>111783 - Fiction - Medieval History</v>
      </c>
      <c r="J861" s="2">
        <f t="shared" si="2"/>
        <v>745.36</v>
      </c>
      <c r="K861" s="17">
        <f t="shared" si="3"/>
        <v>1</v>
      </c>
      <c r="L861" s="18"/>
    </row>
    <row r="862" hidden="1">
      <c r="A862" s="2">
        <f>IFERROR(__xludf.DUMMYFUNCTION("""COMPUTED_VALUE"""),110724.0)</f>
        <v>110724</v>
      </c>
      <c r="B862" s="2">
        <f>IFERROR(__xludf.DUMMYFUNCTION("""COMPUTED_VALUE"""),1.0)</f>
        <v>1</v>
      </c>
      <c r="C862" s="2">
        <f>IFERROR(__xludf.DUMMYFUNCTION("""COMPUTED_VALUE"""),246.0)</f>
        <v>246</v>
      </c>
      <c r="D862" s="3">
        <f>IFERROR(__xludf.DUMMYFUNCTION("""COMPUTED_VALUE"""),195.0)</f>
        <v>195</v>
      </c>
      <c r="E862" s="1" t="str">
        <f t="array" ref="E862">_xlfn.XLOOKUP(A862,Product!A:A,Product!B:B,"Bulunamadı")</f>
        <v>Fiction</v>
      </c>
      <c r="F862" s="1" t="str">
        <f t="array" ref="F862">_xlfn.XLOOKUP(A862,Product!A:A,Product!C:C,"Bulunamadı")</f>
        <v>Medieval History</v>
      </c>
      <c r="G862" s="2" t="str">
        <f t="array" ref="G862">_xlfn.XLOOKUP(A863,Product!A:A,Product!D:D,"Bulunamadı")</f>
        <v>White Oak Publishing</v>
      </c>
      <c r="H862" s="2">
        <f t="array" ref="H862">_xlfn.XLOOKUP(A864,Product!A:A,Product!E:E,"Bulunamadı")</f>
        <v>1.64</v>
      </c>
      <c r="I862" s="2" t="str">
        <f t="shared" si="1"/>
        <v>110724 - Fiction - Medieval History</v>
      </c>
      <c r="J862" s="2">
        <f t="shared" si="2"/>
        <v>319.8</v>
      </c>
      <c r="K862" s="17">
        <f t="shared" si="3"/>
        <v>1</v>
      </c>
      <c r="L862" s="18"/>
    </row>
    <row r="863" hidden="1">
      <c r="A863" s="2">
        <f>IFERROR(__xludf.DUMMYFUNCTION("""COMPUTED_VALUE"""),13348.0)</f>
        <v>13348</v>
      </c>
      <c r="B863" s="2">
        <f>IFERROR(__xludf.DUMMYFUNCTION("""COMPUTED_VALUE"""),1.0)</f>
        <v>1</v>
      </c>
      <c r="C863" s="2">
        <f>IFERROR(__xludf.DUMMYFUNCTION("""COMPUTED_VALUE"""),935.0)</f>
        <v>935</v>
      </c>
      <c r="D863" s="3">
        <f>IFERROR(__xludf.DUMMYFUNCTION("""COMPUTED_VALUE"""),849.0)</f>
        <v>849</v>
      </c>
      <c r="E863" s="1" t="str">
        <f t="array" ref="E863">_xlfn.XLOOKUP(A863,Product!A:A,Product!B:B,"Bulunamadı")</f>
        <v>Fiction</v>
      </c>
      <c r="F863" s="1" t="str">
        <f t="array" ref="F863">_xlfn.XLOOKUP(A863,Product!A:A,Product!C:C,"Bulunamadı")</f>
        <v>Medieval History</v>
      </c>
      <c r="G863" s="2" t="str">
        <f t="array" ref="G863">_xlfn.XLOOKUP(A864,Product!A:A,Product!D:D,"Bulunamadı")</f>
        <v>White Oak Publishing</v>
      </c>
      <c r="H863" s="2">
        <f t="array" ref="H863">_xlfn.XLOOKUP(A865,Product!A:A,Product!E:E,"Bulunamadı")</f>
        <v>3.88</v>
      </c>
      <c r="I863" s="2" t="str">
        <f t="shared" si="1"/>
        <v>13348 - Fiction - Medieval History</v>
      </c>
      <c r="J863" s="2">
        <f t="shared" si="2"/>
        <v>3294.12</v>
      </c>
      <c r="K863" s="17">
        <f t="shared" si="3"/>
        <v>1</v>
      </c>
      <c r="L863" s="18"/>
    </row>
    <row r="864" hidden="1">
      <c r="A864" s="2">
        <f>IFERROR(__xludf.DUMMYFUNCTION("""COMPUTED_VALUE"""),28595.0)</f>
        <v>28595</v>
      </c>
      <c r="B864" s="2">
        <f>IFERROR(__xludf.DUMMYFUNCTION("""COMPUTED_VALUE"""),0.0)</f>
        <v>0</v>
      </c>
      <c r="C864" s="2">
        <f>IFERROR(__xludf.DUMMYFUNCTION("""COMPUTED_VALUE"""),340.0)</f>
        <v>340</v>
      </c>
      <c r="D864" s="3">
        <f>IFERROR(__xludf.DUMMYFUNCTION("""COMPUTED_VALUE"""),201.0)</f>
        <v>201</v>
      </c>
      <c r="E864" s="1" t="str">
        <f t="array" ref="E864">_xlfn.XLOOKUP(A864,Product!A:A,Product!B:B,"Bulunamadı")</f>
        <v>Fiction</v>
      </c>
      <c r="F864" s="1" t="str">
        <f t="array" ref="F864">_xlfn.XLOOKUP(A864,Product!A:A,Product!C:C,"Bulunamadı")</f>
        <v>Medieval History</v>
      </c>
      <c r="G864" s="2" t="str">
        <f t="array" ref="G864">_xlfn.XLOOKUP(A865,Product!A:A,Product!D:D,"Bulunamadı")</f>
        <v>White Oak Publishing</v>
      </c>
      <c r="H864" s="2">
        <f t="array" ref="H864">_xlfn.XLOOKUP(A866,Product!A:A,Product!E:E,"Bulunamadı")</f>
        <v>1.75</v>
      </c>
      <c r="I864" s="2" t="str">
        <f t="shared" si="1"/>
        <v>28595 - Fiction - Medieval History</v>
      </c>
      <c r="J864" s="2">
        <f t="shared" si="2"/>
        <v>351.75</v>
      </c>
      <c r="K864" s="17">
        <f t="shared" si="3"/>
        <v>1</v>
      </c>
      <c r="L864" s="18"/>
    </row>
    <row r="865" hidden="1">
      <c r="A865" s="2">
        <f>IFERROR(__xludf.DUMMYFUNCTION("""COMPUTED_VALUE"""),81770.0)</f>
        <v>81770</v>
      </c>
      <c r="B865" s="2">
        <f>IFERROR(__xludf.DUMMYFUNCTION("""COMPUTED_VALUE"""),0.0)</f>
        <v>0</v>
      </c>
      <c r="C865" s="2">
        <f>IFERROR(__xludf.DUMMYFUNCTION("""COMPUTED_VALUE"""),346.0)</f>
        <v>346</v>
      </c>
      <c r="D865" s="3">
        <f>IFERROR(__xludf.DUMMYFUNCTION("""COMPUTED_VALUE"""),247.0)</f>
        <v>247</v>
      </c>
      <c r="E865" s="1" t="str">
        <f t="array" ref="E865">_xlfn.XLOOKUP(A865,Product!A:A,Product!B:B,"Bulunamadı")</f>
        <v>Fiction</v>
      </c>
      <c r="F865" s="1" t="str">
        <f t="array" ref="F865">_xlfn.XLOOKUP(A865,Product!A:A,Product!C:C,"Bulunamadı")</f>
        <v>Medieval History</v>
      </c>
      <c r="G865" s="2" t="str">
        <f t="array" ref="G865">_xlfn.XLOOKUP(A866,Product!A:A,Product!D:D,"Bulunamadı")</f>
        <v>White Oak Publishing</v>
      </c>
      <c r="H865" s="2">
        <f t="array" ref="H865">_xlfn.XLOOKUP(A867,Product!A:A,Product!E:E,"Bulunamadı")</f>
        <v>13.77</v>
      </c>
      <c r="I865" s="2" t="str">
        <f t="shared" si="1"/>
        <v>81770 - Fiction - Medieval History</v>
      </c>
      <c r="J865" s="2">
        <f t="shared" si="2"/>
        <v>3401.19</v>
      </c>
      <c r="K865" s="17">
        <f t="shared" si="3"/>
        <v>1</v>
      </c>
      <c r="L865" s="18"/>
    </row>
    <row r="866" hidden="1">
      <c r="A866" s="2">
        <f>IFERROR(__xludf.DUMMYFUNCTION("""COMPUTED_VALUE"""),85059.0)</f>
        <v>85059</v>
      </c>
      <c r="B866" s="2">
        <f>IFERROR(__xludf.DUMMYFUNCTION("""COMPUTED_VALUE"""),1.0)</f>
        <v>1</v>
      </c>
      <c r="C866" s="2">
        <f>IFERROR(__xludf.DUMMYFUNCTION("""COMPUTED_VALUE"""),436.0)</f>
        <v>436</v>
      </c>
      <c r="D866" s="3">
        <f>IFERROR(__xludf.DUMMYFUNCTION("""COMPUTED_VALUE"""),267.0)</f>
        <v>267</v>
      </c>
      <c r="E866" s="1" t="str">
        <f t="array" ref="E866">_xlfn.XLOOKUP(A866,Product!A:A,Product!B:B,"Bulunamadı")</f>
        <v>Fiction</v>
      </c>
      <c r="F866" s="1" t="str">
        <f t="array" ref="F866">_xlfn.XLOOKUP(A866,Product!A:A,Product!C:C,"Bulunamadı")</f>
        <v>Medieval History</v>
      </c>
      <c r="G866" s="2" t="str">
        <f t="array" ref="G866">_xlfn.XLOOKUP(A867,Product!A:A,Product!D:D,"Bulunamadı")</f>
        <v>White Oak Publishing</v>
      </c>
      <c r="H866" s="2">
        <f t="array" ref="H866">_xlfn.XLOOKUP(A868,Product!A:A,Product!E:E,"Bulunamadı")</f>
        <v>2.52</v>
      </c>
      <c r="I866" s="2" t="str">
        <f t="shared" si="1"/>
        <v>85059 - Fiction - Medieval History</v>
      </c>
      <c r="J866" s="2">
        <f t="shared" si="2"/>
        <v>672.84</v>
      </c>
      <c r="K866" s="17">
        <f t="shared" si="3"/>
        <v>1</v>
      </c>
      <c r="L866" s="18"/>
    </row>
    <row r="867" hidden="1">
      <c r="A867" s="2">
        <f>IFERROR(__xludf.DUMMYFUNCTION("""COMPUTED_VALUE"""),110597.0)</f>
        <v>110597</v>
      </c>
      <c r="B867" s="2">
        <f>IFERROR(__xludf.DUMMYFUNCTION("""COMPUTED_VALUE"""),0.0)</f>
        <v>0</v>
      </c>
      <c r="C867" s="2">
        <f>IFERROR(__xludf.DUMMYFUNCTION("""COMPUTED_VALUE"""),185.0)</f>
        <v>185</v>
      </c>
      <c r="D867" s="3">
        <f>IFERROR(__xludf.DUMMYFUNCTION("""COMPUTED_VALUE"""),104.0)</f>
        <v>104</v>
      </c>
      <c r="E867" s="1" t="str">
        <f t="array" ref="E867">_xlfn.XLOOKUP(A867,Product!A:A,Product!B:B,"Bulunamadı")</f>
        <v>Fiction</v>
      </c>
      <c r="F867" s="1" t="str">
        <f t="array" ref="F867">_xlfn.XLOOKUP(A867,Product!A:A,Product!C:C,"Bulunamadı")</f>
        <v>Medieval History</v>
      </c>
      <c r="G867" s="2" t="str">
        <f t="array" ref="G867">_xlfn.XLOOKUP(A868,Product!A:A,Product!D:D,"Bulunamadı")</f>
        <v>White Oak Publishing</v>
      </c>
      <c r="H867" s="2">
        <f t="array" ref="H867">_xlfn.XLOOKUP(A869,Product!A:A,Product!E:E,"Bulunamadı")</f>
        <v>2.24</v>
      </c>
      <c r="I867" s="2" t="str">
        <f t="shared" si="1"/>
        <v>110597 - Fiction - Medieval History</v>
      </c>
      <c r="J867" s="2">
        <f t="shared" si="2"/>
        <v>232.96</v>
      </c>
      <c r="K867" s="17">
        <f t="shared" si="3"/>
        <v>1</v>
      </c>
      <c r="L867" s="18"/>
    </row>
    <row r="868" hidden="1">
      <c r="A868" s="2">
        <f>IFERROR(__xludf.DUMMYFUNCTION("""COMPUTED_VALUE"""),7358.0)</f>
        <v>7358</v>
      </c>
      <c r="B868" s="2">
        <f>IFERROR(__xludf.DUMMYFUNCTION("""COMPUTED_VALUE"""),1.0)</f>
        <v>1</v>
      </c>
      <c r="C868" s="2">
        <f>IFERROR(__xludf.DUMMYFUNCTION("""COMPUTED_VALUE"""),837.0)</f>
        <v>837</v>
      </c>
      <c r="D868" s="3">
        <f>IFERROR(__xludf.DUMMYFUNCTION("""COMPUTED_VALUE"""),706.0)</f>
        <v>706</v>
      </c>
      <c r="E868" s="1" t="str">
        <f t="array" ref="E868">_xlfn.XLOOKUP(A868,Product!A:A,Product!B:B,"Bulunamadı")</f>
        <v>Fiction</v>
      </c>
      <c r="F868" s="1" t="str">
        <f t="array" ref="F868">_xlfn.XLOOKUP(A868,Product!A:A,Product!C:C,"Bulunamadı")</f>
        <v>Medieval History</v>
      </c>
      <c r="G868" s="2" t="str">
        <f t="array" ref="G868">_xlfn.XLOOKUP(A869,Product!A:A,Product!D:D,"Bulunamadı")</f>
        <v>White Oak Publishing</v>
      </c>
      <c r="H868" s="2">
        <f t="array" ref="H868">_xlfn.XLOOKUP(A870,Product!A:A,Product!E:E,"Bulunamadı")</f>
        <v>2.57</v>
      </c>
      <c r="I868" s="2" t="str">
        <f t="shared" si="1"/>
        <v>7358 - Fiction - Medieval History</v>
      </c>
      <c r="J868" s="2">
        <f t="shared" si="2"/>
        <v>1814.42</v>
      </c>
      <c r="K868" s="17">
        <f t="shared" si="3"/>
        <v>1</v>
      </c>
      <c r="L868" s="18"/>
    </row>
    <row r="869" hidden="1">
      <c r="A869" s="2">
        <f>IFERROR(__xludf.DUMMYFUNCTION("""COMPUTED_VALUE"""),86583.0)</f>
        <v>86583</v>
      </c>
      <c r="B869" s="2">
        <f>IFERROR(__xludf.DUMMYFUNCTION("""COMPUTED_VALUE"""),1.0)</f>
        <v>1</v>
      </c>
      <c r="C869" s="2">
        <f>IFERROR(__xludf.DUMMYFUNCTION("""COMPUTED_VALUE"""),445.0)</f>
        <v>445</v>
      </c>
      <c r="D869" s="3">
        <f>IFERROR(__xludf.DUMMYFUNCTION("""COMPUTED_VALUE"""),218.0)</f>
        <v>218</v>
      </c>
      <c r="E869" s="1" t="str">
        <f t="array" ref="E869">_xlfn.XLOOKUP(A869,Product!A:A,Product!B:B,"Bulunamadı")</f>
        <v>Fiction</v>
      </c>
      <c r="F869" s="1" t="str">
        <f t="array" ref="F869">_xlfn.XLOOKUP(A869,Product!A:A,Product!C:C,"Bulunamadı")</f>
        <v>Medieval History</v>
      </c>
      <c r="G869" s="2" t="str">
        <f t="array" ref="G869">_xlfn.XLOOKUP(A870,Product!A:A,Product!D:D,"Bulunamadı")</f>
        <v>Frontline Books</v>
      </c>
      <c r="H869" s="2">
        <f t="array" ref="H869">_xlfn.XLOOKUP(A871,Product!A:A,Product!E:E,"Bulunamadı")</f>
        <v>1.92</v>
      </c>
      <c r="I869" s="2" t="str">
        <f t="shared" si="1"/>
        <v>86583 - Fiction - Medieval History</v>
      </c>
      <c r="J869" s="2">
        <f t="shared" si="2"/>
        <v>418.56</v>
      </c>
      <c r="K869" s="17">
        <f t="shared" si="3"/>
        <v>1</v>
      </c>
      <c r="L869" s="18"/>
    </row>
    <row r="870" hidden="1">
      <c r="A870" s="2">
        <f>IFERROR(__xludf.DUMMYFUNCTION("""COMPUTED_VALUE"""),98100.0)</f>
        <v>98100</v>
      </c>
      <c r="B870" s="2">
        <f>IFERROR(__xludf.DUMMYFUNCTION("""COMPUTED_VALUE"""),1.0)</f>
        <v>1</v>
      </c>
      <c r="C870" s="2">
        <f>IFERROR(__xludf.DUMMYFUNCTION("""COMPUTED_VALUE"""),118.0)</f>
        <v>118</v>
      </c>
      <c r="D870" s="3">
        <f>IFERROR(__xludf.DUMMYFUNCTION("""COMPUTED_VALUE"""),43.0)</f>
        <v>43</v>
      </c>
      <c r="E870" s="1" t="str">
        <f t="array" ref="E870">_xlfn.XLOOKUP(A870,Product!A:A,Product!B:B,"Bulunamadı")</f>
        <v>Fiction</v>
      </c>
      <c r="F870" s="1" t="str">
        <f t="array" ref="F870">_xlfn.XLOOKUP(A870,Product!A:A,Product!C:C,"Bulunamadı")</f>
        <v>Medieval History</v>
      </c>
      <c r="G870" s="2" t="str">
        <f t="array" ref="G870">_xlfn.XLOOKUP(A871,Product!A:A,Product!D:D,"Bulunamadı")</f>
        <v>Frontline Books</v>
      </c>
      <c r="H870" s="2">
        <f t="array" ref="H870">_xlfn.XLOOKUP(A872,Product!A:A,Product!E:E,"Bulunamadı")</f>
        <v>9.49</v>
      </c>
      <c r="I870" s="2" t="str">
        <f t="shared" si="1"/>
        <v>98100 - Fiction - Medieval History</v>
      </c>
      <c r="J870" s="2">
        <f t="shared" si="2"/>
        <v>408.07</v>
      </c>
      <c r="K870" s="17">
        <f t="shared" si="3"/>
        <v>1</v>
      </c>
      <c r="L870" s="18"/>
    </row>
    <row r="871" hidden="1">
      <c r="A871" s="2">
        <f>IFERROR(__xludf.DUMMYFUNCTION("""COMPUTED_VALUE"""),118154.0)</f>
        <v>118154</v>
      </c>
      <c r="B871" s="2">
        <f>IFERROR(__xludf.DUMMYFUNCTION("""COMPUTED_VALUE"""),1.0)</f>
        <v>1</v>
      </c>
      <c r="C871" s="2">
        <f>IFERROR(__xludf.DUMMYFUNCTION("""COMPUTED_VALUE"""),60.0)</f>
        <v>60</v>
      </c>
      <c r="D871" s="3">
        <f>IFERROR(__xludf.DUMMYFUNCTION("""COMPUTED_VALUE"""),37.0)</f>
        <v>37</v>
      </c>
      <c r="E871" s="1" t="str">
        <f t="array" ref="E871">_xlfn.XLOOKUP(A871,Product!A:A,Product!B:B,"Bulunamadı")</f>
        <v>Fiction</v>
      </c>
      <c r="F871" s="1" t="str">
        <f t="array" ref="F871">_xlfn.XLOOKUP(A871,Product!A:A,Product!C:C,"Bulunamadı")</f>
        <v>Medieval History</v>
      </c>
      <c r="G871" s="2" t="str">
        <f t="array" ref="G871">_xlfn.XLOOKUP(A872,Product!A:A,Product!D:D,"Bulunamadı")</f>
        <v>Frontline Books</v>
      </c>
      <c r="H871" s="2">
        <f t="array" ref="H871">_xlfn.XLOOKUP(A873,Product!A:A,Product!E:E,"Bulunamadı")</f>
        <v>7.37</v>
      </c>
      <c r="I871" s="2" t="str">
        <f t="shared" si="1"/>
        <v>118154 - Fiction - Medieval History</v>
      </c>
      <c r="J871" s="2">
        <f t="shared" si="2"/>
        <v>272.69</v>
      </c>
      <c r="K871" s="17">
        <f t="shared" si="3"/>
        <v>1</v>
      </c>
      <c r="L871" s="18"/>
    </row>
    <row r="872" hidden="1">
      <c r="A872" s="2">
        <f>IFERROR(__xludf.DUMMYFUNCTION("""COMPUTED_VALUE"""),42840.0)</f>
        <v>42840</v>
      </c>
      <c r="B872" s="2">
        <f>IFERROR(__xludf.DUMMYFUNCTION("""COMPUTED_VALUE"""),0.0)</f>
        <v>0</v>
      </c>
      <c r="C872" s="2">
        <f>IFERROR(__xludf.DUMMYFUNCTION("""COMPUTED_VALUE"""),724.0)</f>
        <v>724</v>
      </c>
      <c r="D872" s="3">
        <f>IFERROR(__xludf.DUMMYFUNCTION("""COMPUTED_VALUE"""),80.0)</f>
        <v>80</v>
      </c>
      <c r="E872" s="1" t="str">
        <f t="array" ref="E872">_xlfn.XLOOKUP(A872,Product!A:A,Product!B:B,"Bulunamadı")</f>
        <v>Fiction</v>
      </c>
      <c r="F872" s="1" t="str">
        <f t="array" ref="F872">_xlfn.XLOOKUP(A872,Product!A:A,Product!C:C,"Bulunamadı")</f>
        <v>Medieval History</v>
      </c>
      <c r="G872" s="2" t="str">
        <f t="array" ref="G872">_xlfn.XLOOKUP(A873,Product!A:A,Product!D:D,"Bulunamadı")</f>
        <v>Frontline Books</v>
      </c>
      <c r="H872" s="2">
        <f t="array" ref="H872">_xlfn.XLOOKUP(A874,Product!A:A,Product!E:E,"Bulunamadı")</f>
        <v>6.67</v>
      </c>
      <c r="I872" s="2" t="str">
        <f t="shared" si="1"/>
        <v>42840 - Fiction - Medieval History</v>
      </c>
      <c r="J872" s="2">
        <f t="shared" si="2"/>
        <v>533.6</v>
      </c>
      <c r="K872" s="17">
        <f t="shared" si="3"/>
        <v>1</v>
      </c>
      <c r="L872" s="18"/>
    </row>
    <row r="873" hidden="1">
      <c r="A873" s="2">
        <f>IFERROR(__xludf.DUMMYFUNCTION("""COMPUTED_VALUE"""),47175.0)</f>
        <v>47175</v>
      </c>
      <c r="B873" s="2">
        <f>IFERROR(__xludf.DUMMYFUNCTION("""COMPUTED_VALUE"""),1.0)</f>
        <v>1</v>
      </c>
      <c r="C873" s="2">
        <f>IFERROR(__xludf.DUMMYFUNCTION("""COMPUTED_VALUE"""),758.0)</f>
        <v>758</v>
      </c>
      <c r="D873" s="3">
        <f>IFERROR(__xludf.DUMMYFUNCTION("""COMPUTED_VALUE"""),428.0)</f>
        <v>428</v>
      </c>
      <c r="E873" s="1" t="str">
        <f t="array" ref="E873">_xlfn.XLOOKUP(A873,Product!A:A,Product!B:B,"Bulunamadı")</f>
        <v>Fiction</v>
      </c>
      <c r="F873" s="1" t="str">
        <f t="array" ref="F873">_xlfn.XLOOKUP(A873,Product!A:A,Product!C:C,"Bulunamadı")</f>
        <v>Medieval History</v>
      </c>
      <c r="G873" s="2" t="str">
        <f t="array" ref="G873">_xlfn.XLOOKUP(A874,Product!A:A,Product!D:D,"Bulunamadı")</f>
        <v>Frontline Books</v>
      </c>
      <c r="H873" s="2">
        <f t="array" ref="H873">_xlfn.XLOOKUP(A875,Product!A:A,Product!E:E,"Bulunamadı")</f>
        <v>4.64</v>
      </c>
      <c r="I873" s="2" t="str">
        <f t="shared" si="1"/>
        <v>47175 - Fiction - Medieval History</v>
      </c>
      <c r="J873" s="2">
        <f t="shared" si="2"/>
        <v>1985.92</v>
      </c>
      <c r="K873" s="17">
        <f t="shared" si="3"/>
        <v>1</v>
      </c>
      <c r="L873" s="18"/>
    </row>
    <row r="874" hidden="1">
      <c r="A874" s="2">
        <f>IFERROR(__xludf.DUMMYFUNCTION("""COMPUTED_VALUE"""),112013.0)</f>
        <v>112013</v>
      </c>
      <c r="B874" s="2">
        <f>IFERROR(__xludf.DUMMYFUNCTION("""COMPUTED_VALUE"""),0.0)</f>
        <v>0</v>
      </c>
      <c r="C874" s="2">
        <f>IFERROR(__xludf.DUMMYFUNCTION("""COMPUTED_VALUE"""),811.0)</f>
        <v>811</v>
      </c>
      <c r="D874" s="3">
        <f>IFERROR(__xludf.DUMMYFUNCTION("""COMPUTED_VALUE"""),625.0)</f>
        <v>625</v>
      </c>
      <c r="E874" s="1" t="str">
        <f t="array" ref="E874">_xlfn.XLOOKUP(A874,Product!A:A,Product!B:B,"Bulunamadı")</f>
        <v>Fiction</v>
      </c>
      <c r="F874" s="1" t="str">
        <f t="array" ref="F874">_xlfn.XLOOKUP(A874,Product!A:A,Product!C:C,"Bulunamadı")</f>
        <v>Medieval History</v>
      </c>
      <c r="G874" s="2" t="str">
        <f t="array" ref="G874">_xlfn.XLOOKUP(A875,Product!A:A,Product!D:D,"Bulunamadı")</f>
        <v>Frontline Books</v>
      </c>
      <c r="H874" s="2">
        <f t="array" ref="H874">_xlfn.XLOOKUP(A876,Product!A:A,Product!E:E,"Bulunamadı")</f>
        <v>11.28</v>
      </c>
      <c r="I874" s="2" t="str">
        <f t="shared" si="1"/>
        <v>112013 - Fiction - Medieval History</v>
      </c>
      <c r="J874" s="2">
        <f t="shared" si="2"/>
        <v>7050</v>
      </c>
      <c r="K874" s="17">
        <f t="shared" si="3"/>
        <v>1</v>
      </c>
      <c r="L874" s="18"/>
    </row>
    <row r="875" hidden="1">
      <c r="A875" s="2">
        <f>IFERROR(__xludf.DUMMYFUNCTION("""COMPUTED_VALUE"""),107953.0)</f>
        <v>107953</v>
      </c>
      <c r="B875" s="2">
        <f>IFERROR(__xludf.DUMMYFUNCTION("""COMPUTED_VALUE"""),1.0)</f>
        <v>1</v>
      </c>
      <c r="C875" s="2">
        <f>IFERROR(__xludf.DUMMYFUNCTION("""COMPUTED_VALUE"""),469.0)</f>
        <v>469</v>
      </c>
      <c r="D875" s="3">
        <f>IFERROR(__xludf.DUMMYFUNCTION("""COMPUTED_VALUE"""),262.0)</f>
        <v>262</v>
      </c>
      <c r="E875" s="1" t="str">
        <f t="array" ref="E875">_xlfn.XLOOKUP(A875,Product!A:A,Product!B:B,"Bulunamadı")</f>
        <v>Fiction</v>
      </c>
      <c r="F875" s="1" t="str">
        <f t="array" ref="F875">_xlfn.XLOOKUP(A875,Product!A:A,Product!C:C,"Bulunamadı")</f>
        <v>Medieval History</v>
      </c>
      <c r="G875" s="2" t="str">
        <f t="array" ref="G875">_xlfn.XLOOKUP(A876,Product!A:A,Product!D:D,"Bulunamadı")</f>
        <v>Frontline Books</v>
      </c>
      <c r="H875" s="2">
        <f t="array" ref="H875">_xlfn.XLOOKUP(A877,Product!A:A,Product!E:E,"Bulunamadı")</f>
        <v>13.23</v>
      </c>
      <c r="I875" s="2" t="str">
        <f t="shared" si="1"/>
        <v>107953 - Fiction - Medieval History</v>
      </c>
      <c r="J875" s="2">
        <f t="shared" si="2"/>
        <v>3466.26</v>
      </c>
      <c r="K875" s="17">
        <f t="shared" si="3"/>
        <v>1</v>
      </c>
      <c r="L875" s="18"/>
    </row>
    <row r="876" hidden="1">
      <c r="A876" s="2">
        <f>IFERROR(__xludf.DUMMYFUNCTION("""COMPUTED_VALUE"""),44738.0)</f>
        <v>44738</v>
      </c>
      <c r="B876" s="2">
        <f>IFERROR(__xludf.DUMMYFUNCTION("""COMPUTED_VALUE"""),0.0)</f>
        <v>0</v>
      </c>
      <c r="C876" s="2">
        <f>IFERROR(__xludf.DUMMYFUNCTION("""COMPUTED_VALUE"""),72.0)</f>
        <v>72</v>
      </c>
      <c r="D876" s="3">
        <f>IFERROR(__xludf.DUMMYFUNCTION("""COMPUTED_VALUE"""),70.0)</f>
        <v>70</v>
      </c>
      <c r="E876" s="1" t="str">
        <f t="array" ref="E876">_xlfn.XLOOKUP(A876,Product!A:A,Product!B:B,"Bulunamadı")</f>
        <v>Fiction</v>
      </c>
      <c r="F876" s="1" t="str">
        <f t="array" ref="F876">_xlfn.XLOOKUP(A876,Product!A:A,Product!C:C,"Bulunamadı")</f>
        <v>Medieval History</v>
      </c>
      <c r="G876" s="2" t="str">
        <f t="array" ref="G876">_xlfn.XLOOKUP(A877,Product!A:A,Product!D:D,"Bulunamadı")</f>
        <v>Frontline Books</v>
      </c>
      <c r="H876" s="2">
        <f t="array" ref="H876">_xlfn.XLOOKUP(A878,Product!A:A,Product!E:E,"Bulunamadı")</f>
        <v>5.18</v>
      </c>
      <c r="I876" s="2" t="str">
        <f t="shared" si="1"/>
        <v>44738 - Fiction - Medieval History</v>
      </c>
      <c r="J876" s="2">
        <f t="shared" si="2"/>
        <v>362.6</v>
      </c>
      <c r="K876" s="17">
        <f t="shared" si="3"/>
        <v>1</v>
      </c>
      <c r="L876" s="18"/>
    </row>
    <row r="877" hidden="1">
      <c r="A877" s="2">
        <f>IFERROR(__xludf.DUMMYFUNCTION("""COMPUTED_VALUE"""),103386.0)</f>
        <v>103386</v>
      </c>
      <c r="B877" s="2">
        <f>IFERROR(__xludf.DUMMYFUNCTION("""COMPUTED_VALUE"""),1.0)</f>
        <v>1</v>
      </c>
      <c r="C877" s="2">
        <f>IFERROR(__xludf.DUMMYFUNCTION("""COMPUTED_VALUE"""),676.0)</f>
        <v>676</v>
      </c>
      <c r="D877" s="3">
        <f>IFERROR(__xludf.DUMMYFUNCTION("""COMPUTED_VALUE"""),77.0)</f>
        <v>77</v>
      </c>
      <c r="E877" s="1" t="str">
        <f t="array" ref="E877">_xlfn.XLOOKUP(A877,Product!A:A,Product!B:B,"Bulunamadı")</f>
        <v>Fiction</v>
      </c>
      <c r="F877" s="1" t="str">
        <f t="array" ref="F877">_xlfn.XLOOKUP(A877,Product!A:A,Product!C:C,"Bulunamadı")</f>
        <v>Medieval History</v>
      </c>
      <c r="G877" s="2" t="str">
        <f t="array" ref="G877">_xlfn.XLOOKUP(A878,Product!A:A,Product!D:D,"Bulunamadı")</f>
        <v>Frontline Books</v>
      </c>
      <c r="H877" s="2">
        <f t="array" ref="H877">_xlfn.XLOOKUP(A879,Product!A:A,Product!E:E,"Bulunamadı")</f>
        <v>8.04</v>
      </c>
      <c r="I877" s="2" t="str">
        <f t="shared" si="1"/>
        <v>103386 - Fiction - Medieval History</v>
      </c>
      <c r="J877" s="2">
        <f t="shared" si="2"/>
        <v>619.08</v>
      </c>
      <c r="K877" s="17">
        <f t="shared" si="3"/>
        <v>1</v>
      </c>
      <c r="L877" s="18"/>
    </row>
    <row r="878" hidden="1">
      <c r="A878" s="2">
        <f>IFERROR(__xludf.DUMMYFUNCTION("""COMPUTED_VALUE"""),86815.0)</f>
        <v>86815</v>
      </c>
      <c r="B878" s="2">
        <f>IFERROR(__xludf.DUMMYFUNCTION("""COMPUTED_VALUE"""),1.0)</f>
        <v>1</v>
      </c>
      <c r="C878" s="2">
        <f>IFERROR(__xludf.DUMMYFUNCTION("""COMPUTED_VALUE"""),170.0)</f>
        <v>170</v>
      </c>
      <c r="D878" s="3">
        <f>IFERROR(__xludf.DUMMYFUNCTION("""COMPUTED_VALUE"""),121.0)</f>
        <v>121</v>
      </c>
      <c r="E878" s="1" t="str">
        <f t="array" ref="E878">_xlfn.XLOOKUP(A878,Product!A:A,Product!B:B,"Bulunamadı")</f>
        <v>Fiction</v>
      </c>
      <c r="F878" s="1" t="str">
        <f t="array" ref="F878">_xlfn.XLOOKUP(A878,Product!A:A,Product!C:C,"Bulunamadı")</f>
        <v>Medieval History</v>
      </c>
      <c r="G878" s="2" t="str">
        <f t="array" ref="G878">_xlfn.XLOOKUP(A879,Product!A:A,Product!D:D,"Bulunamadı")</f>
        <v>Frontline Books</v>
      </c>
      <c r="H878" s="2">
        <f t="array" ref="H878">_xlfn.XLOOKUP(A880,Product!A:A,Product!E:E,"Bulunamadı")</f>
        <v>5.18</v>
      </c>
      <c r="I878" s="2" t="str">
        <f t="shared" si="1"/>
        <v>86815 - Fiction - Medieval History</v>
      </c>
      <c r="J878" s="2">
        <f t="shared" si="2"/>
        <v>626.78</v>
      </c>
      <c r="K878" s="17">
        <f t="shared" si="3"/>
        <v>1</v>
      </c>
      <c r="L878" s="18"/>
    </row>
    <row r="879" hidden="1">
      <c r="A879" s="2">
        <f>IFERROR(__xludf.DUMMYFUNCTION("""COMPUTED_VALUE"""),46953.0)</f>
        <v>46953</v>
      </c>
      <c r="B879" s="2">
        <f>IFERROR(__xludf.DUMMYFUNCTION("""COMPUTED_VALUE"""),1.0)</f>
        <v>1</v>
      </c>
      <c r="C879" s="2">
        <f>IFERROR(__xludf.DUMMYFUNCTION("""COMPUTED_VALUE"""),311.0)</f>
        <v>311</v>
      </c>
      <c r="D879" s="3">
        <f>IFERROR(__xludf.DUMMYFUNCTION("""COMPUTED_VALUE"""),78.0)</f>
        <v>78</v>
      </c>
      <c r="E879" s="1" t="str">
        <f t="array" ref="E879">_xlfn.XLOOKUP(A879,Product!A:A,Product!B:B,"Bulunamadı")</f>
        <v>Fiction</v>
      </c>
      <c r="F879" s="1" t="str">
        <f t="array" ref="F879">_xlfn.XLOOKUP(A879,Product!A:A,Product!C:C,"Bulunamadı")</f>
        <v>Medieval History</v>
      </c>
      <c r="G879" s="2" t="str">
        <f t="array" ref="G879">_xlfn.XLOOKUP(A880,Product!A:A,Product!D:D,"Bulunamadı")</f>
        <v>Frontline Books</v>
      </c>
      <c r="H879" s="2">
        <f t="array" ref="H879">_xlfn.XLOOKUP(A881,Product!A:A,Product!E:E,"Bulunamadı")</f>
        <v>6.53</v>
      </c>
      <c r="I879" s="2" t="str">
        <f t="shared" si="1"/>
        <v>46953 - Fiction - Medieval History</v>
      </c>
      <c r="J879" s="2">
        <f t="shared" si="2"/>
        <v>509.34</v>
      </c>
      <c r="K879" s="17">
        <f t="shared" si="3"/>
        <v>1</v>
      </c>
      <c r="L879" s="18"/>
    </row>
    <row r="880" hidden="1">
      <c r="A880" s="2">
        <f>IFERROR(__xludf.DUMMYFUNCTION("""COMPUTED_VALUE"""),108732.0)</f>
        <v>108732</v>
      </c>
      <c r="B880" s="2">
        <f>IFERROR(__xludf.DUMMYFUNCTION("""COMPUTED_VALUE"""),0.0)</f>
        <v>0</v>
      </c>
      <c r="C880" s="2">
        <f>IFERROR(__xludf.DUMMYFUNCTION("""COMPUTED_VALUE"""),254.0)</f>
        <v>254</v>
      </c>
      <c r="D880" s="3">
        <f>IFERROR(__xludf.DUMMYFUNCTION("""COMPUTED_VALUE"""),52.0)</f>
        <v>52</v>
      </c>
      <c r="E880" s="1" t="str">
        <f t="array" ref="E880">_xlfn.XLOOKUP(A880,Product!A:A,Product!B:B,"Bulunamadı")</f>
        <v>Fiction</v>
      </c>
      <c r="F880" s="1" t="str">
        <f t="array" ref="F880">_xlfn.XLOOKUP(A880,Product!A:A,Product!C:C,"Bulunamadı")</f>
        <v>Medieval History</v>
      </c>
      <c r="G880" s="2" t="str">
        <f t="array" ref="G880">_xlfn.XLOOKUP(A881,Product!A:A,Product!D:D,"Bulunamadı")</f>
        <v>Frontline Books</v>
      </c>
      <c r="H880" s="2">
        <f t="array" ref="H880">_xlfn.XLOOKUP(A882,Product!A:A,Product!E:E,"Bulunamadı")</f>
        <v>3.31</v>
      </c>
      <c r="I880" s="2" t="str">
        <f t="shared" si="1"/>
        <v>108732 - Fiction - Medieval History</v>
      </c>
      <c r="J880" s="2">
        <f t="shared" si="2"/>
        <v>172.12</v>
      </c>
      <c r="K880" s="17">
        <f t="shared" si="3"/>
        <v>1</v>
      </c>
      <c r="L880" s="18"/>
    </row>
    <row r="881" hidden="1">
      <c r="A881" s="2">
        <f>IFERROR(__xludf.DUMMYFUNCTION("""COMPUTED_VALUE"""),118227.0)</f>
        <v>118227</v>
      </c>
      <c r="B881" s="2">
        <f>IFERROR(__xludf.DUMMYFUNCTION("""COMPUTED_VALUE"""),1.0)</f>
        <v>1</v>
      </c>
      <c r="C881" s="2">
        <f>IFERROR(__xludf.DUMMYFUNCTION("""COMPUTED_VALUE"""),896.0)</f>
        <v>896</v>
      </c>
      <c r="D881" s="3">
        <f>IFERROR(__xludf.DUMMYFUNCTION("""COMPUTED_VALUE"""),492.0)</f>
        <v>492</v>
      </c>
      <c r="E881" s="1" t="str">
        <f t="array" ref="E881">_xlfn.XLOOKUP(A881,Product!A:A,Product!B:B,"Bulunamadı")</f>
        <v>Fiction</v>
      </c>
      <c r="F881" s="1" t="str">
        <f t="array" ref="F881">_xlfn.XLOOKUP(A881,Product!A:A,Product!C:C,"Bulunamadı")</f>
        <v>Medieval History</v>
      </c>
      <c r="G881" s="2" t="str">
        <f t="array" ref="G881">_xlfn.XLOOKUP(A882,Product!A:A,Product!D:D,"Bulunamadı")</f>
        <v>Frontline Books</v>
      </c>
      <c r="H881" s="2">
        <f t="array" ref="H881">_xlfn.XLOOKUP(A883,Product!A:A,Product!E:E,"Bulunamadı")</f>
        <v>12.97</v>
      </c>
      <c r="I881" s="2" t="str">
        <f t="shared" si="1"/>
        <v>118227 - Fiction - Medieval History</v>
      </c>
      <c r="J881" s="2">
        <f t="shared" si="2"/>
        <v>6381.24</v>
      </c>
      <c r="K881" s="17">
        <f t="shared" si="3"/>
        <v>1</v>
      </c>
      <c r="L881" s="18"/>
    </row>
    <row r="882" hidden="1">
      <c r="A882" s="2">
        <f>IFERROR(__xludf.DUMMYFUNCTION("""COMPUTED_VALUE"""),122484.0)</f>
        <v>122484</v>
      </c>
      <c r="B882" s="2">
        <f>IFERROR(__xludf.DUMMYFUNCTION("""COMPUTED_VALUE"""),1.0)</f>
        <v>1</v>
      </c>
      <c r="C882" s="2">
        <f>IFERROR(__xludf.DUMMYFUNCTION("""COMPUTED_VALUE"""),454.0)</f>
        <v>454</v>
      </c>
      <c r="D882" s="3">
        <f>IFERROR(__xludf.DUMMYFUNCTION("""COMPUTED_VALUE"""),437.0)</f>
        <v>437</v>
      </c>
      <c r="E882" s="1" t="str">
        <f t="array" ref="E882">_xlfn.XLOOKUP(A882,Product!A:A,Product!B:B,"Bulunamadı")</f>
        <v>Fiction</v>
      </c>
      <c r="F882" s="1" t="str">
        <f t="array" ref="F882">_xlfn.XLOOKUP(A882,Product!A:A,Product!C:C,"Bulunamadı")</f>
        <v>Medieval History</v>
      </c>
      <c r="G882" s="2" t="str">
        <f t="array" ref="G882">_xlfn.XLOOKUP(A883,Product!A:A,Product!D:D,"Bulunamadı")</f>
        <v>Frontline Books</v>
      </c>
      <c r="H882" s="2">
        <f t="array" ref="H882">_xlfn.XLOOKUP(A884,Product!A:A,Product!E:E,"Bulunamadı")</f>
        <v>5.23</v>
      </c>
      <c r="I882" s="2" t="str">
        <f t="shared" si="1"/>
        <v>122484 - Fiction - Medieval History</v>
      </c>
      <c r="J882" s="2">
        <f t="shared" si="2"/>
        <v>2285.51</v>
      </c>
      <c r="K882" s="17">
        <f t="shared" si="3"/>
        <v>1</v>
      </c>
      <c r="L882" s="18"/>
    </row>
    <row r="883" hidden="1">
      <c r="A883" s="2">
        <f>IFERROR(__xludf.DUMMYFUNCTION("""COMPUTED_VALUE"""),71326.0)</f>
        <v>71326</v>
      </c>
      <c r="B883" s="2">
        <f>IFERROR(__xludf.DUMMYFUNCTION("""COMPUTED_VALUE"""),1.0)</f>
        <v>1</v>
      </c>
      <c r="C883" s="2">
        <f>IFERROR(__xludf.DUMMYFUNCTION("""COMPUTED_VALUE"""),934.0)</f>
        <v>934</v>
      </c>
      <c r="D883" s="3">
        <f>IFERROR(__xludf.DUMMYFUNCTION("""COMPUTED_VALUE"""),336.0)</f>
        <v>336</v>
      </c>
      <c r="E883" s="1" t="str">
        <f t="array" ref="E883">_xlfn.XLOOKUP(A883,Product!A:A,Product!B:B,"Bulunamadı")</f>
        <v>Fiction</v>
      </c>
      <c r="F883" s="1" t="str">
        <f t="array" ref="F883">_xlfn.XLOOKUP(A883,Product!A:A,Product!C:C,"Bulunamadı")</f>
        <v>Medieval History</v>
      </c>
      <c r="G883" s="2" t="str">
        <f t="array" ref="G883">_xlfn.XLOOKUP(A884,Product!A:A,Product!D:D,"Bulunamadı")</f>
        <v>Frontline Books</v>
      </c>
      <c r="H883" s="2">
        <f t="array" ref="H883">_xlfn.XLOOKUP(A885,Product!A:A,Product!E:E,"Bulunamadı")</f>
        <v>11.47</v>
      </c>
      <c r="I883" s="2" t="str">
        <f t="shared" si="1"/>
        <v>71326 - Fiction - Medieval History</v>
      </c>
      <c r="J883" s="2">
        <f t="shared" si="2"/>
        <v>3853.92</v>
      </c>
      <c r="K883" s="17">
        <f t="shared" si="3"/>
        <v>1</v>
      </c>
      <c r="L883" s="18"/>
    </row>
    <row r="884" hidden="1">
      <c r="A884" s="2">
        <f>IFERROR(__xludf.DUMMYFUNCTION("""COMPUTED_VALUE"""),110794.0)</f>
        <v>110794</v>
      </c>
      <c r="B884" s="2">
        <f>IFERROR(__xludf.DUMMYFUNCTION("""COMPUTED_VALUE"""),1.0)</f>
        <v>1</v>
      </c>
      <c r="C884" s="2">
        <f>IFERROR(__xludf.DUMMYFUNCTION("""COMPUTED_VALUE"""),523.0)</f>
        <v>523</v>
      </c>
      <c r="D884" s="3">
        <f>IFERROR(__xludf.DUMMYFUNCTION("""COMPUTED_VALUE"""),352.0)</f>
        <v>352</v>
      </c>
      <c r="E884" s="1" t="str">
        <f t="array" ref="E884">_xlfn.XLOOKUP(A884,Product!A:A,Product!B:B,"Bulunamadı")</f>
        <v>Fiction</v>
      </c>
      <c r="F884" s="1" t="str">
        <f t="array" ref="F884">_xlfn.XLOOKUP(A884,Product!A:A,Product!C:C,"Bulunamadı")</f>
        <v>Medieval History</v>
      </c>
      <c r="G884" s="2" t="str">
        <f t="array" ref="G884">_xlfn.XLOOKUP(A885,Product!A:A,Product!D:D,"Bulunamadı")</f>
        <v>Frontline Books</v>
      </c>
      <c r="H884" s="2">
        <f t="array" ref="H884">_xlfn.XLOOKUP(A886,Product!A:A,Product!E:E,"Bulunamadı")</f>
        <v>3.75</v>
      </c>
      <c r="I884" s="2" t="str">
        <f t="shared" si="1"/>
        <v>110794 - Fiction - Medieval History</v>
      </c>
      <c r="J884" s="2">
        <f t="shared" si="2"/>
        <v>1320</v>
      </c>
      <c r="K884" s="17">
        <f t="shared" si="3"/>
        <v>1</v>
      </c>
      <c r="L884" s="18"/>
    </row>
    <row r="885" hidden="1">
      <c r="A885" s="2">
        <f>IFERROR(__xludf.DUMMYFUNCTION("""COMPUTED_VALUE"""),80066.0)</f>
        <v>80066</v>
      </c>
      <c r="B885" s="2">
        <f>IFERROR(__xludf.DUMMYFUNCTION("""COMPUTED_VALUE"""),0.0)</f>
        <v>0</v>
      </c>
      <c r="C885" s="2">
        <f>IFERROR(__xludf.DUMMYFUNCTION("""COMPUTED_VALUE"""),177.0)</f>
        <v>177</v>
      </c>
      <c r="D885" s="3">
        <f>IFERROR(__xludf.DUMMYFUNCTION("""COMPUTED_VALUE"""),26.0)</f>
        <v>26</v>
      </c>
      <c r="E885" s="1" t="str">
        <f t="array" ref="E885">_xlfn.XLOOKUP(A885,Product!A:A,Product!B:B,"Bulunamadı")</f>
        <v>Fiction</v>
      </c>
      <c r="F885" s="1" t="str">
        <f t="array" ref="F885">_xlfn.XLOOKUP(A885,Product!A:A,Product!C:C,"Bulunamadı")</f>
        <v>Medieval History</v>
      </c>
      <c r="G885" s="2" t="str">
        <f t="array" ref="G885">_xlfn.XLOOKUP(A886,Product!A:A,Product!D:D,"Bulunamadı")</f>
        <v>Frontline Books</v>
      </c>
      <c r="H885" s="2">
        <f t="array" ref="H885">_xlfn.XLOOKUP(A887,Product!A:A,Product!E:E,"Bulunamadı")</f>
        <v>9.39</v>
      </c>
      <c r="I885" s="2" t="str">
        <f t="shared" si="1"/>
        <v>80066 - Fiction - Medieval History</v>
      </c>
      <c r="J885" s="2">
        <f t="shared" si="2"/>
        <v>244.14</v>
      </c>
      <c r="K885" s="17">
        <f t="shared" si="3"/>
        <v>1</v>
      </c>
      <c r="L885" s="18"/>
    </row>
    <row r="886" hidden="1">
      <c r="A886" s="2">
        <f>IFERROR(__xludf.DUMMYFUNCTION("""COMPUTED_VALUE"""),106776.0)</f>
        <v>106776</v>
      </c>
      <c r="B886" s="2">
        <f>IFERROR(__xludf.DUMMYFUNCTION("""COMPUTED_VALUE"""),0.0)</f>
        <v>0</v>
      </c>
      <c r="C886" s="2">
        <f>IFERROR(__xludf.DUMMYFUNCTION("""COMPUTED_VALUE"""),605.0)</f>
        <v>605</v>
      </c>
      <c r="D886" s="3">
        <f>IFERROR(__xludf.DUMMYFUNCTION("""COMPUTED_VALUE"""),545.0)</f>
        <v>545</v>
      </c>
      <c r="E886" s="1" t="str">
        <f t="array" ref="E886">_xlfn.XLOOKUP(A886,Product!A:A,Product!B:B,"Bulunamadı")</f>
        <v>Fiction</v>
      </c>
      <c r="F886" s="1" t="str">
        <f t="array" ref="F886">_xlfn.XLOOKUP(A886,Product!A:A,Product!C:C,"Bulunamadı")</f>
        <v>Medieval History</v>
      </c>
      <c r="G886" s="2" t="str">
        <f t="array" ref="G886">_xlfn.XLOOKUP(A887,Product!A:A,Product!D:D,"Bulunamadı")</f>
        <v>Frontline Books</v>
      </c>
      <c r="H886" s="2">
        <f t="array" ref="H886">_xlfn.XLOOKUP(A888,Product!A:A,Product!E:E,"Bulunamadı")</f>
        <v>4.54</v>
      </c>
      <c r="I886" s="2" t="str">
        <f t="shared" si="1"/>
        <v>106776 - Fiction - Medieval History</v>
      </c>
      <c r="J886" s="2">
        <f t="shared" si="2"/>
        <v>2474.3</v>
      </c>
      <c r="K886" s="17">
        <f t="shared" si="3"/>
        <v>1</v>
      </c>
      <c r="L886" s="18"/>
    </row>
    <row r="887" hidden="1">
      <c r="A887" s="2">
        <f>IFERROR(__xludf.DUMMYFUNCTION("""COMPUTED_VALUE"""),113608.0)</f>
        <v>113608</v>
      </c>
      <c r="B887" s="2">
        <f>IFERROR(__xludf.DUMMYFUNCTION("""COMPUTED_VALUE"""),0.0)</f>
        <v>0</v>
      </c>
      <c r="C887" s="2">
        <f>IFERROR(__xludf.DUMMYFUNCTION("""COMPUTED_VALUE"""),102.0)</f>
        <v>102</v>
      </c>
      <c r="D887" s="3">
        <f>IFERROR(__xludf.DUMMYFUNCTION("""COMPUTED_VALUE"""),58.0)</f>
        <v>58</v>
      </c>
      <c r="E887" s="1" t="str">
        <f t="array" ref="E887">_xlfn.XLOOKUP(A887,Product!A:A,Product!B:B,"Bulunamadı")</f>
        <v>Fiction</v>
      </c>
      <c r="F887" s="1" t="str">
        <f t="array" ref="F887">_xlfn.XLOOKUP(A887,Product!A:A,Product!C:C,"Bulunamadı")</f>
        <v>Medieval History</v>
      </c>
      <c r="G887" s="2" t="str">
        <f t="array" ref="G887">_xlfn.XLOOKUP(A888,Product!A:A,Product!D:D,"Bulunamadı")</f>
        <v>Frontline Books</v>
      </c>
      <c r="H887" s="2">
        <f t="array" ref="H887">_xlfn.XLOOKUP(A889,Product!A:A,Product!E:E,"Bulunamadı")</f>
        <v>4.61</v>
      </c>
      <c r="I887" s="2" t="str">
        <f t="shared" si="1"/>
        <v>113608 - Fiction - Medieval History</v>
      </c>
      <c r="J887" s="2">
        <f t="shared" si="2"/>
        <v>267.38</v>
      </c>
      <c r="K887" s="17">
        <f t="shared" si="3"/>
        <v>1</v>
      </c>
      <c r="L887" s="18"/>
    </row>
    <row r="888" hidden="1">
      <c r="A888" s="2">
        <f>IFERROR(__xludf.DUMMYFUNCTION("""COMPUTED_VALUE"""),116454.0)</f>
        <v>116454</v>
      </c>
      <c r="B888" s="2">
        <f>IFERROR(__xludf.DUMMYFUNCTION("""COMPUTED_VALUE"""),0.0)</f>
        <v>0</v>
      </c>
      <c r="C888" s="2">
        <f>IFERROR(__xludf.DUMMYFUNCTION("""COMPUTED_VALUE"""),816.0)</f>
        <v>816</v>
      </c>
      <c r="D888" s="3">
        <f>IFERROR(__xludf.DUMMYFUNCTION("""COMPUTED_VALUE"""),656.0)</f>
        <v>656</v>
      </c>
      <c r="E888" s="1" t="str">
        <f t="array" ref="E888">_xlfn.XLOOKUP(A888,Product!A:A,Product!B:B,"Bulunamadı")</f>
        <v>Fiction</v>
      </c>
      <c r="F888" s="1" t="str">
        <f t="array" ref="F888">_xlfn.XLOOKUP(A888,Product!A:A,Product!C:C,"Bulunamadı")</f>
        <v>Medieval History</v>
      </c>
      <c r="G888" s="2" t="str">
        <f t="array" ref="G888">_xlfn.XLOOKUP(A889,Product!A:A,Product!D:D,"Bulunamadı")</f>
        <v>Frontline Books</v>
      </c>
      <c r="H888" s="2">
        <f t="array" ref="H888">_xlfn.XLOOKUP(A890,Product!A:A,Product!E:E,"Bulunamadı")</f>
        <v>3.58</v>
      </c>
      <c r="I888" s="2" t="str">
        <f t="shared" si="1"/>
        <v>116454 - Fiction - Medieval History</v>
      </c>
      <c r="J888" s="2">
        <f t="shared" si="2"/>
        <v>2348.48</v>
      </c>
      <c r="K888" s="17">
        <f t="shared" si="3"/>
        <v>1</v>
      </c>
      <c r="L888" s="18"/>
    </row>
    <row r="889" hidden="1">
      <c r="A889" s="2">
        <f>IFERROR(__xludf.DUMMYFUNCTION("""COMPUTED_VALUE"""),108724.0)</f>
        <v>108724</v>
      </c>
      <c r="B889" s="2">
        <f>IFERROR(__xludf.DUMMYFUNCTION("""COMPUTED_VALUE"""),1.0)</f>
        <v>1</v>
      </c>
      <c r="C889" s="2">
        <f>IFERROR(__xludf.DUMMYFUNCTION("""COMPUTED_VALUE"""),54.0)</f>
        <v>54</v>
      </c>
      <c r="D889" s="3">
        <f>IFERROR(__xludf.DUMMYFUNCTION("""COMPUTED_VALUE"""),2.0)</f>
        <v>2</v>
      </c>
      <c r="E889" s="1" t="str">
        <f t="array" ref="E889">_xlfn.XLOOKUP(A889,Product!A:A,Product!B:B,"Bulunamadı")</f>
        <v>Fiction</v>
      </c>
      <c r="F889" s="1" t="str">
        <f t="array" ref="F889">_xlfn.XLOOKUP(A889,Product!A:A,Product!C:C,"Bulunamadı")</f>
        <v>Medieval History</v>
      </c>
      <c r="G889" s="2" t="str">
        <f t="array" ref="G889">_xlfn.XLOOKUP(A890,Product!A:A,Product!D:D,"Bulunamadı")</f>
        <v>Frontline Books</v>
      </c>
      <c r="H889" s="2">
        <f t="array" ref="H889">_xlfn.XLOOKUP(A891,Product!A:A,Product!E:E,"Bulunamadı")</f>
        <v>9.85</v>
      </c>
      <c r="I889" s="2" t="str">
        <f t="shared" si="1"/>
        <v>108724 - Fiction - Medieval History</v>
      </c>
      <c r="J889" s="2">
        <f t="shared" si="2"/>
        <v>19.7</v>
      </c>
      <c r="K889" s="17">
        <f t="shared" si="3"/>
        <v>1</v>
      </c>
      <c r="L889" s="18"/>
    </row>
    <row r="890" hidden="1">
      <c r="A890" s="2">
        <f>IFERROR(__xludf.DUMMYFUNCTION("""COMPUTED_VALUE"""),118253.0)</f>
        <v>118253</v>
      </c>
      <c r="B890" s="2">
        <f>IFERROR(__xludf.DUMMYFUNCTION("""COMPUTED_VALUE"""),0.0)</f>
        <v>0</v>
      </c>
      <c r="C890" s="2">
        <f>IFERROR(__xludf.DUMMYFUNCTION("""COMPUTED_VALUE"""),379.0)</f>
        <v>379</v>
      </c>
      <c r="D890" s="3">
        <f>IFERROR(__xludf.DUMMYFUNCTION("""COMPUTED_VALUE"""),311.0)</f>
        <v>311</v>
      </c>
      <c r="E890" s="1" t="str">
        <f t="array" ref="E890">_xlfn.XLOOKUP(A890,Product!A:A,Product!B:B,"Bulunamadı")</f>
        <v>Fiction</v>
      </c>
      <c r="F890" s="1" t="str">
        <f t="array" ref="F890">_xlfn.XLOOKUP(A890,Product!A:A,Product!C:C,"Bulunamadı")</f>
        <v>Medieval History</v>
      </c>
      <c r="G890" s="2" t="str">
        <f t="array" ref="G890">_xlfn.XLOOKUP(A891,Product!A:A,Product!D:D,"Bulunamadı")</f>
        <v>Frontline Books</v>
      </c>
      <c r="H890" s="2">
        <f t="array" ref="H890">_xlfn.XLOOKUP(A892,Product!A:A,Product!E:E,"Bulunamadı")</f>
        <v>5.6</v>
      </c>
      <c r="I890" s="2" t="str">
        <f t="shared" si="1"/>
        <v>118253 - Fiction - Medieval History</v>
      </c>
      <c r="J890" s="2">
        <f t="shared" si="2"/>
        <v>1741.6</v>
      </c>
      <c r="K890" s="17">
        <f t="shared" si="3"/>
        <v>1</v>
      </c>
      <c r="L890" s="18"/>
    </row>
    <row r="891" hidden="1">
      <c r="A891" s="2">
        <f>IFERROR(__xludf.DUMMYFUNCTION("""COMPUTED_VALUE"""),110567.0)</f>
        <v>110567</v>
      </c>
      <c r="B891" s="2">
        <f>IFERROR(__xludf.DUMMYFUNCTION("""COMPUTED_VALUE"""),0.0)</f>
        <v>0</v>
      </c>
      <c r="C891" s="2">
        <f>IFERROR(__xludf.DUMMYFUNCTION("""COMPUTED_VALUE"""),469.0)</f>
        <v>469</v>
      </c>
      <c r="D891" s="3">
        <f>IFERROR(__xludf.DUMMYFUNCTION("""COMPUTED_VALUE"""),152.0)</f>
        <v>152</v>
      </c>
      <c r="E891" s="1" t="str">
        <f t="array" ref="E891">_xlfn.XLOOKUP(A891,Product!A:A,Product!B:B,"Bulunamadı")</f>
        <v>Fiction</v>
      </c>
      <c r="F891" s="1" t="str">
        <f t="array" ref="F891">_xlfn.XLOOKUP(A891,Product!A:A,Product!C:C,"Bulunamadı")</f>
        <v>Medieval History</v>
      </c>
      <c r="G891" s="2" t="str">
        <f t="array" ref="G891">_xlfn.XLOOKUP(A892,Product!A:A,Product!D:D,"Bulunamadı")</f>
        <v>Frontline Books</v>
      </c>
      <c r="H891" s="2">
        <f t="array" ref="H891">_xlfn.XLOOKUP(A893,Product!A:A,Product!E:E,"Bulunamadı")</f>
        <v>2.79</v>
      </c>
      <c r="I891" s="2" t="str">
        <f t="shared" si="1"/>
        <v>110567 - Fiction - Medieval History</v>
      </c>
      <c r="J891" s="2">
        <f t="shared" si="2"/>
        <v>424.08</v>
      </c>
      <c r="K891" s="17">
        <f t="shared" si="3"/>
        <v>1</v>
      </c>
      <c r="L891" s="18"/>
    </row>
    <row r="892" hidden="1">
      <c r="A892" s="2">
        <f>IFERROR(__xludf.DUMMYFUNCTION("""COMPUTED_VALUE"""),122697.0)</f>
        <v>122697</v>
      </c>
      <c r="B892" s="2">
        <f>IFERROR(__xludf.DUMMYFUNCTION("""COMPUTED_VALUE"""),0.0)</f>
        <v>0</v>
      </c>
      <c r="C892" s="2">
        <f>IFERROR(__xludf.DUMMYFUNCTION("""COMPUTED_VALUE"""),409.0)</f>
        <v>409</v>
      </c>
      <c r="D892" s="3">
        <f>IFERROR(__xludf.DUMMYFUNCTION("""COMPUTED_VALUE"""),198.0)</f>
        <v>198</v>
      </c>
      <c r="E892" s="1" t="str">
        <f t="array" ref="E892">_xlfn.XLOOKUP(A892,Product!A:A,Product!B:B,"Bulunamadı")</f>
        <v>Fiction</v>
      </c>
      <c r="F892" s="1" t="str">
        <f t="array" ref="F892">_xlfn.XLOOKUP(A892,Product!A:A,Product!C:C,"Bulunamadı")</f>
        <v>Medieval History</v>
      </c>
      <c r="G892" s="2" t="str">
        <f t="array" ref="G892">_xlfn.XLOOKUP(A893,Product!A:A,Product!D:D,"Bulunamadı")</f>
        <v>Frontline Books</v>
      </c>
      <c r="H892" s="2">
        <f t="array" ref="H892">_xlfn.XLOOKUP(A894,Product!A:A,Product!E:E,"Bulunamadı")</f>
        <v>3.25</v>
      </c>
      <c r="I892" s="2" t="str">
        <f t="shared" si="1"/>
        <v>122697 - Fiction - Medieval History</v>
      </c>
      <c r="J892" s="2">
        <f t="shared" si="2"/>
        <v>643.5</v>
      </c>
      <c r="K892" s="17">
        <f t="shared" si="3"/>
        <v>1</v>
      </c>
      <c r="L892" s="18"/>
    </row>
    <row r="893" hidden="1">
      <c r="A893" s="2">
        <f>IFERROR(__xludf.DUMMYFUNCTION("""COMPUTED_VALUE"""),109190.0)</f>
        <v>109190</v>
      </c>
      <c r="B893" s="2">
        <f>IFERROR(__xludf.DUMMYFUNCTION("""COMPUTED_VALUE"""),1.0)</f>
        <v>1</v>
      </c>
      <c r="C893" s="2">
        <f>IFERROR(__xludf.DUMMYFUNCTION("""COMPUTED_VALUE"""),441.0)</f>
        <v>441</v>
      </c>
      <c r="D893" s="3">
        <f>IFERROR(__xludf.DUMMYFUNCTION("""COMPUTED_VALUE"""),44.0)</f>
        <v>44</v>
      </c>
      <c r="E893" s="1" t="str">
        <f t="array" ref="E893">_xlfn.XLOOKUP(A893,Product!A:A,Product!B:B,"Bulunamadı")</f>
        <v>Fiction</v>
      </c>
      <c r="F893" s="1" t="str">
        <f t="array" ref="F893">_xlfn.XLOOKUP(A893,Product!A:A,Product!C:C,"Bulunamadı")</f>
        <v>Medieval History</v>
      </c>
      <c r="G893" s="2" t="str">
        <f t="array" ref="G893">_xlfn.XLOOKUP(A894,Product!A:A,Product!D:D,"Bulunamadı")</f>
        <v>Frontline Books</v>
      </c>
      <c r="H893" s="2">
        <f t="array" ref="H893">_xlfn.XLOOKUP(A895,Product!A:A,Product!E:E,"Bulunamadı")</f>
        <v>3.44</v>
      </c>
      <c r="I893" s="2" t="str">
        <f t="shared" si="1"/>
        <v>109190 - Fiction - Medieval History</v>
      </c>
      <c r="J893" s="2">
        <f t="shared" si="2"/>
        <v>151.36</v>
      </c>
      <c r="K893" s="17">
        <f t="shared" si="3"/>
        <v>1</v>
      </c>
      <c r="L893" s="18"/>
    </row>
    <row r="894" hidden="1">
      <c r="A894" s="2">
        <f>IFERROR(__xludf.DUMMYFUNCTION("""COMPUTED_VALUE"""),109191.0)</f>
        <v>109191</v>
      </c>
      <c r="B894" s="2">
        <f>IFERROR(__xludf.DUMMYFUNCTION("""COMPUTED_VALUE"""),0.0)</f>
        <v>0</v>
      </c>
      <c r="C894" s="2">
        <f>IFERROR(__xludf.DUMMYFUNCTION("""COMPUTED_VALUE"""),0.0)</f>
        <v>0</v>
      </c>
      <c r="D894" s="3">
        <f>IFERROR(__xludf.DUMMYFUNCTION("""COMPUTED_VALUE"""),0.0)</f>
        <v>0</v>
      </c>
      <c r="E894" s="1" t="str">
        <f t="array" ref="E894">_xlfn.XLOOKUP(A894,Product!A:A,Product!B:B,"Bulunamadı")</f>
        <v>Fiction</v>
      </c>
      <c r="F894" s="1" t="str">
        <f t="array" ref="F894">_xlfn.XLOOKUP(A894,Product!A:A,Product!C:C,"Bulunamadı")</f>
        <v>Medieval History</v>
      </c>
      <c r="G894" s="2" t="str">
        <f t="array" ref="G894">_xlfn.XLOOKUP(A895,Product!A:A,Product!D:D,"Bulunamadı")</f>
        <v>Frontline Books</v>
      </c>
      <c r="H894" s="2">
        <f t="array" ref="H894">_xlfn.XLOOKUP(A896,Product!A:A,Product!E:E,"Bulunamadı")</f>
        <v>3.18</v>
      </c>
      <c r="I894" s="2" t="str">
        <f t="shared" si="1"/>
        <v>109191 - Fiction - Medieval History</v>
      </c>
      <c r="J894" s="2">
        <f t="shared" si="2"/>
        <v>0</v>
      </c>
      <c r="K894" s="17">
        <f t="shared" si="3"/>
        <v>0</v>
      </c>
      <c r="L894" s="18"/>
    </row>
    <row r="895" hidden="1">
      <c r="A895" s="2">
        <f>IFERROR(__xludf.DUMMYFUNCTION("""COMPUTED_VALUE"""),44759.0)</f>
        <v>44759</v>
      </c>
      <c r="B895" s="2">
        <f>IFERROR(__xludf.DUMMYFUNCTION("""COMPUTED_VALUE"""),1.0)</f>
        <v>1</v>
      </c>
      <c r="C895" s="2">
        <f>IFERROR(__xludf.DUMMYFUNCTION("""COMPUTED_VALUE"""),402.0)</f>
        <v>402</v>
      </c>
      <c r="D895" s="3">
        <f>IFERROR(__xludf.DUMMYFUNCTION("""COMPUTED_VALUE"""),322.0)</f>
        <v>322</v>
      </c>
      <c r="E895" s="1" t="str">
        <f t="array" ref="E895">_xlfn.XLOOKUP(A895,Product!A:A,Product!B:B,"Bulunamadı")</f>
        <v>Fiction</v>
      </c>
      <c r="F895" s="1" t="str">
        <f t="array" ref="F895">_xlfn.XLOOKUP(A895,Product!A:A,Product!C:C,"Bulunamadı")</f>
        <v>Medieval History</v>
      </c>
      <c r="G895" s="2" t="str">
        <f t="array" ref="G895">_xlfn.XLOOKUP(A896,Product!A:A,Product!D:D,"Bulunamadı")</f>
        <v>Frontline Books</v>
      </c>
      <c r="H895" s="2">
        <f t="array" ref="H895">_xlfn.XLOOKUP(A897,Product!A:A,Product!E:E,"Bulunamadı")</f>
        <v>6.28</v>
      </c>
      <c r="I895" s="2" t="str">
        <f t="shared" si="1"/>
        <v>44759 - Fiction - Medieval History</v>
      </c>
      <c r="J895" s="2">
        <f t="shared" si="2"/>
        <v>2022.16</v>
      </c>
      <c r="K895" s="17">
        <f t="shared" si="3"/>
        <v>1</v>
      </c>
      <c r="L895" s="18"/>
    </row>
    <row r="896" hidden="1">
      <c r="A896" s="2">
        <f>IFERROR(__xludf.DUMMYFUNCTION("""COMPUTED_VALUE"""),109192.0)</f>
        <v>109192</v>
      </c>
      <c r="B896" s="2">
        <f>IFERROR(__xludf.DUMMYFUNCTION("""COMPUTED_VALUE"""),0.0)</f>
        <v>0</v>
      </c>
      <c r="C896" s="2">
        <f>IFERROR(__xludf.DUMMYFUNCTION("""COMPUTED_VALUE"""),480.0)</f>
        <v>480</v>
      </c>
      <c r="D896" s="3">
        <f>IFERROR(__xludf.DUMMYFUNCTION("""COMPUTED_VALUE"""),200.0)</f>
        <v>200</v>
      </c>
      <c r="E896" s="1" t="str">
        <f t="array" ref="E896">_xlfn.XLOOKUP(A896,Product!A:A,Product!B:B,"Bulunamadı")</f>
        <v>Fiction</v>
      </c>
      <c r="F896" s="1" t="str">
        <f t="array" ref="F896">_xlfn.XLOOKUP(A896,Product!A:A,Product!C:C,"Bulunamadı")</f>
        <v>Medieval History</v>
      </c>
      <c r="G896" s="2" t="str">
        <f t="array" ref="G896">_xlfn.XLOOKUP(A897,Product!A:A,Product!D:D,"Bulunamadı")</f>
        <v>Frontline Books</v>
      </c>
      <c r="H896" s="2">
        <f t="array" ref="H896">_xlfn.XLOOKUP(A898,Product!A:A,Product!E:E,"Bulunamadı")</f>
        <v>10.75</v>
      </c>
      <c r="I896" s="2" t="str">
        <f t="shared" si="1"/>
        <v>109192 - Fiction - Medieval History</v>
      </c>
      <c r="J896" s="2">
        <f t="shared" si="2"/>
        <v>2150</v>
      </c>
      <c r="K896" s="17">
        <f t="shared" si="3"/>
        <v>1</v>
      </c>
      <c r="L896" s="18"/>
    </row>
    <row r="897" hidden="1">
      <c r="A897" s="2">
        <f>IFERROR(__xludf.DUMMYFUNCTION("""COMPUTED_VALUE"""),113605.0)</f>
        <v>113605</v>
      </c>
      <c r="B897" s="2">
        <f>IFERROR(__xludf.DUMMYFUNCTION("""COMPUTED_VALUE"""),0.0)</f>
        <v>0</v>
      </c>
      <c r="C897" s="2">
        <f>IFERROR(__xludf.DUMMYFUNCTION("""COMPUTED_VALUE"""),792.0)</f>
        <v>792</v>
      </c>
      <c r="D897" s="3">
        <f>IFERROR(__xludf.DUMMYFUNCTION("""COMPUTED_VALUE"""),110.0)</f>
        <v>110</v>
      </c>
      <c r="E897" s="1" t="str">
        <f t="array" ref="E897">_xlfn.XLOOKUP(A897,Product!A:A,Product!B:B,"Bulunamadı")</f>
        <v>Fiction</v>
      </c>
      <c r="F897" s="1" t="str">
        <f t="array" ref="F897">_xlfn.XLOOKUP(A897,Product!A:A,Product!C:C,"Bulunamadı")</f>
        <v>Medieval History</v>
      </c>
      <c r="G897" s="2" t="str">
        <f t="array" ref="G897">_xlfn.XLOOKUP(A898,Product!A:A,Product!D:D,"Bulunamadı")</f>
        <v>Frontline Books</v>
      </c>
      <c r="H897" s="2">
        <f t="array" ref="H897">_xlfn.XLOOKUP(A899,Product!A:A,Product!E:E,"Bulunamadı")</f>
        <v>5.97</v>
      </c>
      <c r="I897" s="2" t="str">
        <f t="shared" si="1"/>
        <v>113605 - Fiction - Medieval History</v>
      </c>
      <c r="J897" s="2">
        <f t="shared" si="2"/>
        <v>656.7</v>
      </c>
      <c r="K897" s="17">
        <f t="shared" si="3"/>
        <v>1</v>
      </c>
      <c r="L897" s="18"/>
    </row>
    <row r="898" hidden="1">
      <c r="A898" s="2">
        <f>IFERROR(__xludf.DUMMYFUNCTION("""COMPUTED_VALUE"""),147339.0)</f>
        <v>147339</v>
      </c>
      <c r="B898" s="2">
        <f>IFERROR(__xludf.DUMMYFUNCTION("""COMPUTED_VALUE"""),1.0)</f>
        <v>1</v>
      </c>
      <c r="C898" s="2">
        <f>IFERROR(__xludf.DUMMYFUNCTION("""COMPUTED_VALUE"""),861.0)</f>
        <v>861</v>
      </c>
      <c r="D898" s="3">
        <f>IFERROR(__xludf.DUMMYFUNCTION("""COMPUTED_VALUE"""),317.0)</f>
        <v>317</v>
      </c>
      <c r="E898" s="1" t="str">
        <f t="array" ref="E898">_xlfn.XLOOKUP(A898,Product!A:A,Product!B:B,"Bulunamadı")</f>
        <v>Fiction</v>
      </c>
      <c r="F898" s="1" t="str">
        <f t="array" ref="F898">_xlfn.XLOOKUP(A898,Product!A:A,Product!C:C,"Bulunamadı")</f>
        <v>Medieval History</v>
      </c>
      <c r="G898" s="2" t="str">
        <f t="array" ref="G898">_xlfn.XLOOKUP(A899,Product!A:A,Product!D:D,"Bulunamadı")</f>
        <v>Frontline Books</v>
      </c>
      <c r="H898" s="2">
        <f t="array" ref="H898">_xlfn.XLOOKUP(A900,Product!A:A,Product!E:E,"Bulunamadı")</f>
        <v>5.83</v>
      </c>
      <c r="I898" s="2" t="str">
        <f t="shared" si="1"/>
        <v>147339 - Fiction - Medieval History</v>
      </c>
      <c r="J898" s="2">
        <f t="shared" si="2"/>
        <v>1848.11</v>
      </c>
      <c r="K898" s="17">
        <f t="shared" si="3"/>
        <v>1</v>
      </c>
      <c r="L898" s="18"/>
    </row>
    <row r="899" hidden="1">
      <c r="A899" s="2">
        <f>IFERROR(__xludf.DUMMYFUNCTION("""COMPUTED_VALUE"""),118068.0)</f>
        <v>118068</v>
      </c>
      <c r="B899" s="2">
        <f>IFERROR(__xludf.DUMMYFUNCTION("""COMPUTED_VALUE"""),0.0)</f>
        <v>0</v>
      </c>
      <c r="C899" s="2">
        <f>IFERROR(__xludf.DUMMYFUNCTION("""COMPUTED_VALUE"""),775.0)</f>
        <v>775</v>
      </c>
      <c r="D899" s="3">
        <f>IFERROR(__xludf.DUMMYFUNCTION("""COMPUTED_VALUE"""),198.0)</f>
        <v>198</v>
      </c>
      <c r="E899" s="1" t="str">
        <f t="array" ref="E899">_xlfn.XLOOKUP(A899,Product!A:A,Product!B:B,"Bulunamadı")</f>
        <v>Fiction</v>
      </c>
      <c r="F899" s="1" t="str">
        <f t="array" ref="F899">_xlfn.XLOOKUP(A899,Product!A:A,Product!C:C,"Bulunamadı")</f>
        <v>Medieval History</v>
      </c>
      <c r="G899" s="2" t="str">
        <f t="array" ref="G899">_xlfn.XLOOKUP(A900,Product!A:A,Product!D:D,"Bulunamadı")</f>
        <v>Frontline Books</v>
      </c>
      <c r="H899" s="2">
        <f t="array" ref="H899">_xlfn.XLOOKUP(A901,Product!A:A,Product!E:E,"Bulunamadı")</f>
        <v>8.48</v>
      </c>
      <c r="I899" s="2" t="str">
        <f t="shared" si="1"/>
        <v>118068 - Fiction - Medieval History</v>
      </c>
      <c r="J899" s="2">
        <f t="shared" si="2"/>
        <v>1679.04</v>
      </c>
      <c r="K899" s="17">
        <f t="shared" si="3"/>
        <v>1</v>
      </c>
      <c r="L899" s="18"/>
    </row>
    <row r="900" hidden="1">
      <c r="A900" s="2">
        <f>IFERROR(__xludf.DUMMYFUNCTION("""COMPUTED_VALUE"""),44758.0)</f>
        <v>44758</v>
      </c>
      <c r="B900" s="2">
        <f>IFERROR(__xludf.DUMMYFUNCTION("""COMPUTED_VALUE"""),0.0)</f>
        <v>0</v>
      </c>
      <c r="C900" s="2">
        <f>IFERROR(__xludf.DUMMYFUNCTION("""COMPUTED_VALUE"""),133.0)</f>
        <v>133</v>
      </c>
      <c r="D900" s="3">
        <f>IFERROR(__xludf.DUMMYFUNCTION("""COMPUTED_VALUE"""),83.0)</f>
        <v>83</v>
      </c>
      <c r="E900" s="1" t="str">
        <f t="array" ref="E900">_xlfn.XLOOKUP(A900,Product!A:A,Product!B:B,"Bulunamadı")</f>
        <v>Fiction</v>
      </c>
      <c r="F900" s="1" t="str">
        <f t="array" ref="F900">_xlfn.XLOOKUP(A900,Product!A:A,Product!C:C,"Bulunamadı")</f>
        <v>Medieval History</v>
      </c>
      <c r="G900" s="2" t="str">
        <f t="array" ref="G900">_xlfn.XLOOKUP(A901,Product!A:A,Product!D:D,"Bulunamadı")</f>
        <v>Frontline Books</v>
      </c>
      <c r="H900" s="2">
        <f t="array" ref="H900">_xlfn.XLOOKUP(A902,Product!A:A,Product!E:E,"Bulunamadı")</f>
        <v>6.28</v>
      </c>
      <c r="I900" s="2" t="str">
        <f t="shared" si="1"/>
        <v>44758 - Fiction - Medieval History</v>
      </c>
      <c r="J900" s="2">
        <f t="shared" si="2"/>
        <v>521.24</v>
      </c>
      <c r="K900" s="17">
        <f t="shared" si="3"/>
        <v>1</v>
      </c>
      <c r="L900" s="18"/>
    </row>
    <row r="901" hidden="1">
      <c r="A901" s="2">
        <f>IFERROR(__xludf.DUMMYFUNCTION("""COMPUTED_VALUE"""),110579.0)</f>
        <v>110579</v>
      </c>
      <c r="B901" s="2">
        <f>IFERROR(__xludf.DUMMYFUNCTION("""COMPUTED_VALUE"""),1.0)</f>
        <v>1</v>
      </c>
      <c r="C901" s="2">
        <f>IFERROR(__xludf.DUMMYFUNCTION("""COMPUTED_VALUE"""),336.0)</f>
        <v>336</v>
      </c>
      <c r="D901" s="3">
        <f>IFERROR(__xludf.DUMMYFUNCTION("""COMPUTED_VALUE"""),29.0)</f>
        <v>29</v>
      </c>
      <c r="E901" s="1" t="str">
        <f t="array" ref="E901">_xlfn.XLOOKUP(A901,Product!A:A,Product!B:B,"Bulunamadı")</f>
        <v>Fiction</v>
      </c>
      <c r="F901" s="1" t="str">
        <f t="array" ref="F901">_xlfn.XLOOKUP(A901,Product!A:A,Product!C:C,"Bulunamadı")</f>
        <v>Medieval History</v>
      </c>
      <c r="G901" s="2" t="str">
        <f t="array" ref="G901">_xlfn.XLOOKUP(A902,Product!A:A,Product!D:D,"Bulunamadı")</f>
        <v>Frontline Books</v>
      </c>
      <c r="H901" s="2">
        <f t="array" ref="H901">_xlfn.XLOOKUP(A903,Product!A:A,Product!E:E,"Bulunamadı")</f>
        <v>8.98</v>
      </c>
      <c r="I901" s="2" t="str">
        <f t="shared" si="1"/>
        <v>110579 - Fiction - Medieval History</v>
      </c>
      <c r="J901" s="2">
        <f t="shared" si="2"/>
        <v>260.42</v>
      </c>
      <c r="K901" s="17">
        <f t="shared" si="3"/>
        <v>1</v>
      </c>
      <c r="L901" s="18"/>
    </row>
    <row r="902" hidden="1">
      <c r="A902" s="2">
        <f>IFERROR(__xludf.DUMMYFUNCTION("""COMPUTED_VALUE"""),116437.0)</f>
        <v>116437</v>
      </c>
      <c r="B902" s="2">
        <f>IFERROR(__xludf.DUMMYFUNCTION("""COMPUTED_VALUE"""),0.0)</f>
        <v>0</v>
      </c>
      <c r="C902" s="2">
        <f>IFERROR(__xludf.DUMMYFUNCTION("""COMPUTED_VALUE"""),734.0)</f>
        <v>734</v>
      </c>
      <c r="D902" s="3">
        <f>IFERROR(__xludf.DUMMYFUNCTION("""COMPUTED_VALUE"""),414.0)</f>
        <v>414</v>
      </c>
      <c r="E902" s="1" t="str">
        <f t="array" ref="E902">_xlfn.XLOOKUP(A902,Product!A:A,Product!B:B,"Bulunamadı")</f>
        <v>Fiction</v>
      </c>
      <c r="F902" s="1" t="str">
        <f t="array" ref="F902">_xlfn.XLOOKUP(A902,Product!A:A,Product!C:C,"Bulunamadı")</f>
        <v>Medieval History</v>
      </c>
      <c r="G902" s="2" t="str">
        <f t="array" ref="G902">_xlfn.XLOOKUP(A903,Product!A:A,Product!D:D,"Bulunamadı")</f>
        <v>Frontline Books</v>
      </c>
      <c r="H902" s="2">
        <f t="array" ref="H902">_xlfn.XLOOKUP(A904,Product!A:A,Product!E:E,"Bulunamadı")</f>
        <v>4.46</v>
      </c>
      <c r="I902" s="2" t="str">
        <f t="shared" si="1"/>
        <v>116437 - Fiction - Medieval History</v>
      </c>
      <c r="J902" s="2">
        <f t="shared" si="2"/>
        <v>1846.44</v>
      </c>
      <c r="K902" s="17">
        <f t="shared" si="3"/>
        <v>1</v>
      </c>
      <c r="L902" s="18"/>
    </row>
    <row r="903" hidden="1">
      <c r="A903" s="2">
        <f>IFERROR(__xludf.DUMMYFUNCTION("""COMPUTED_VALUE"""),9519.0)</f>
        <v>9519</v>
      </c>
      <c r="B903" s="2">
        <f>IFERROR(__xludf.DUMMYFUNCTION("""COMPUTED_VALUE"""),0.0)</f>
        <v>0</v>
      </c>
      <c r="C903" s="2">
        <f>IFERROR(__xludf.DUMMYFUNCTION("""COMPUTED_VALUE"""),250.0)</f>
        <v>250</v>
      </c>
      <c r="D903" s="3">
        <f>IFERROR(__xludf.DUMMYFUNCTION("""COMPUTED_VALUE"""),171.0)</f>
        <v>171</v>
      </c>
      <c r="E903" s="1" t="str">
        <f t="array" ref="E903">_xlfn.XLOOKUP(A903,Product!A:A,Product!B:B,"Bulunamadı")</f>
        <v>Fiction</v>
      </c>
      <c r="F903" s="1" t="str">
        <f t="array" ref="F903">_xlfn.XLOOKUP(A903,Product!A:A,Product!C:C,"Bulunamadı")</f>
        <v>Medieval History</v>
      </c>
      <c r="G903" s="2" t="str">
        <f t="array" ref="G903">_xlfn.XLOOKUP(A904,Product!A:A,Product!D:D,"Bulunamadı")</f>
        <v>Frontline Books</v>
      </c>
      <c r="H903" s="2">
        <f t="array" ref="H903">_xlfn.XLOOKUP(A905,Product!A:A,Product!E:E,"Bulunamadı")</f>
        <v>3.44</v>
      </c>
      <c r="I903" s="2" t="str">
        <f t="shared" si="1"/>
        <v>9519 - Fiction - Medieval History</v>
      </c>
      <c r="J903" s="2">
        <f t="shared" si="2"/>
        <v>588.24</v>
      </c>
      <c r="K903" s="17">
        <f t="shared" si="3"/>
        <v>1</v>
      </c>
      <c r="L903" s="18"/>
    </row>
    <row r="904" hidden="1">
      <c r="A904" s="2">
        <f>IFERROR(__xludf.DUMMYFUNCTION("""COMPUTED_VALUE"""),147338.0)</f>
        <v>147338</v>
      </c>
      <c r="B904" s="2">
        <f>IFERROR(__xludf.DUMMYFUNCTION("""COMPUTED_VALUE"""),1.0)</f>
        <v>1</v>
      </c>
      <c r="C904" s="2">
        <f>IFERROR(__xludf.DUMMYFUNCTION("""COMPUTED_VALUE"""),435.0)</f>
        <v>435</v>
      </c>
      <c r="D904" s="3">
        <f>IFERROR(__xludf.DUMMYFUNCTION("""COMPUTED_VALUE"""),178.0)</f>
        <v>178</v>
      </c>
      <c r="E904" s="1" t="str">
        <f t="array" ref="E904">_xlfn.XLOOKUP(A904,Product!A:A,Product!B:B,"Bulunamadı")</f>
        <v>Fiction</v>
      </c>
      <c r="F904" s="1" t="str">
        <f t="array" ref="F904">_xlfn.XLOOKUP(A904,Product!A:A,Product!C:C,"Bulunamadı")</f>
        <v>Medieval History</v>
      </c>
      <c r="G904" s="2" t="str">
        <f t="array" ref="G904">_xlfn.XLOOKUP(A905,Product!A:A,Product!D:D,"Bulunamadı")</f>
        <v>Frontline Books</v>
      </c>
      <c r="H904" s="2">
        <f t="array" ref="H904">_xlfn.XLOOKUP(A906,Product!A:A,Product!E:E,"Bulunamadı")</f>
        <v>2.47</v>
      </c>
      <c r="I904" s="2" t="str">
        <f t="shared" si="1"/>
        <v>147338 - Fiction - Medieval History</v>
      </c>
      <c r="J904" s="2">
        <f t="shared" si="2"/>
        <v>439.66</v>
      </c>
      <c r="K904" s="17">
        <f t="shared" si="3"/>
        <v>1</v>
      </c>
      <c r="L904" s="18"/>
    </row>
    <row r="905" hidden="1">
      <c r="A905" s="2">
        <f>IFERROR(__xludf.DUMMYFUNCTION("""COMPUTED_VALUE"""),118250.0)</f>
        <v>118250</v>
      </c>
      <c r="B905" s="2">
        <f>IFERROR(__xludf.DUMMYFUNCTION("""COMPUTED_VALUE"""),0.0)</f>
        <v>0</v>
      </c>
      <c r="C905" s="2">
        <f>IFERROR(__xludf.DUMMYFUNCTION("""COMPUTED_VALUE"""),66.0)</f>
        <v>66</v>
      </c>
      <c r="D905" s="3">
        <f>IFERROR(__xludf.DUMMYFUNCTION("""COMPUTED_VALUE"""),62.0)</f>
        <v>62</v>
      </c>
      <c r="E905" s="1" t="str">
        <f t="array" ref="E905">_xlfn.XLOOKUP(A905,Product!A:A,Product!B:B,"Bulunamadı")</f>
        <v>Fiction</v>
      </c>
      <c r="F905" s="1" t="str">
        <f t="array" ref="F905">_xlfn.XLOOKUP(A905,Product!A:A,Product!C:C,"Bulunamadı")</f>
        <v>Medieval History</v>
      </c>
      <c r="G905" s="2" t="str">
        <f t="array" ref="G905">_xlfn.XLOOKUP(A906,Product!A:A,Product!D:D,"Bulunamadı")</f>
        <v>Frontline Books</v>
      </c>
      <c r="H905" s="2">
        <f t="array" ref="H905">_xlfn.XLOOKUP(A907,Product!A:A,Product!E:E,"Bulunamadı")</f>
        <v>10.09</v>
      </c>
      <c r="I905" s="2" t="str">
        <f t="shared" si="1"/>
        <v>118250 - Fiction - Medieval History</v>
      </c>
      <c r="J905" s="2">
        <f t="shared" si="2"/>
        <v>625.58</v>
      </c>
      <c r="K905" s="17">
        <f t="shared" si="3"/>
        <v>1</v>
      </c>
      <c r="L905" s="18"/>
    </row>
    <row r="906" hidden="1">
      <c r="A906" s="2">
        <f>IFERROR(__xludf.DUMMYFUNCTION("""COMPUTED_VALUE"""),20053.0)</f>
        <v>20053</v>
      </c>
      <c r="B906" s="2">
        <f>IFERROR(__xludf.DUMMYFUNCTION("""COMPUTED_VALUE"""),1.0)</f>
        <v>1</v>
      </c>
      <c r="C906" s="2">
        <f>IFERROR(__xludf.DUMMYFUNCTION("""COMPUTED_VALUE"""),40.0)</f>
        <v>40</v>
      </c>
      <c r="D906" s="3">
        <f>IFERROR(__xludf.DUMMYFUNCTION("""COMPUTED_VALUE"""),9.0)</f>
        <v>9</v>
      </c>
      <c r="E906" s="1" t="str">
        <f t="array" ref="E906">_xlfn.XLOOKUP(A906,Product!A:A,Product!B:B,"Bulunamadı")</f>
        <v>Fiction</v>
      </c>
      <c r="F906" s="1" t="str">
        <f t="array" ref="F906">_xlfn.XLOOKUP(A906,Product!A:A,Product!C:C,"Bulunamadı")</f>
        <v>Medieval History</v>
      </c>
      <c r="G906" s="2" t="str">
        <f t="array" ref="G906">_xlfn.XLOOKUP(A907,Product!A:A,Product!D:D,"Bulunamadı")</f>
        <v>Frontline Books</v>
      </c>
      <c r="H906" s="2">
        <f t="array" ref="H906">_xlfn.XLOOKUP(A908,Product!A:A,Product!E:E,"Bulunamadı")</f>
        <v>10.89</v>
      </c>
      <c r="I906" s="2" t="str">
        <f t="shared" si="1"/>
        <v>20053 - Fiction - Medieval History</v>
      </c>
      <c r="J906" s="2">
        <f t="shared" si="2"/>
        <v>98.01</v>
      </c>
      <c r="K906" s="17">
        <f t="shared" si="3"/>
        <v>1</v>
      </c>
      <c r="L906" s="18"/>
    </row>
    <row r="907" hidden="1">
      <c r="A907" s="2">
        <f>IFERROR(__xludf.DUMMYFUNCTION("""COMPUTED_VALUE"""),71321.0)</f>
        <v>71321</v>
      </c>
      <c r="B907" s="2">
        <f>IFERROR(__xludf.DUMMYFUNCTION("""COMPUTED_VALUE"""),1.0)</f>
        <v>1</v>
      </c>
      <c r="C907" s="2">
        <f>IFERROR(__xludf.DUMMYFUNCTION("""COMPUTED_VALUE"""),942.0)</f>
        <v>942</v>
      </c>
      <c r="D907" s="3">
        <f>IFERROR(__xludf.DUMMYFUNCTION("""COMPUTED_VALUE"""),795.0)</f>
        <v>795</v>
      </c>
      <c r="E907" s="1" t="str">
        <f t="array" ref="E907">_xlfn.XLOOKUP(A907,Product!A:A,Product!B:B,"Bulunamadı")</f>
        <v>Fiction</v>
      </c>
      <c r="F907" s="1" t="str">
        <f t="array" ref="F907">_xlfn.XLOOKUP(A907,Product!A:A,Product!C:C,"Bulunamadı")</f>
        <v>Medieval History</v>
      </c>
      <c r="G907" s="2" t="str">
        <f t="array" ref="G907">_xlfn.XLOOKUP(A908,Product!A:A,Product!D:D,"Bulunamadı")</f>
        <v>Frontline Books</v>
      </c>
      <c r="H907" s="2">
        <f t="array" ref="H907">_xlfn.XLOOKUP(A909,Product!A:A,Product!E:E,"Bulunamadı")</f>
        <v>4.21</v>
      </c>
      <c r="I907" s="2" t="str">
        <f t="shared" si="1"/>
        <v>71321 - Fiction - Medieval History</v>
      </c>
      <c r="J907" s="2">
        <f t="shared" si="2"/>
        <v>3346.95</v>
      </c>
      <c r="K907" s="17">
        <f t="shared" si="3"/>
        <v>1</v>
      </c>
      <c r="L907" s="18"/>
    </row>
    <row r="908" hidden="1">
      <c r="A908" s="2">
        <f>IFERROR(__xludf.DUMMYFUNCTION("""COMPUTED_VALUE"""),79503.0)</f>
        <v>79503</v>
      </c>
      <c r="B908" s="2">
        <f>IFERROR(__xludf.DUMMYFUNCTION("""COMPUTED_VALUE"""),0.0)</f>
        <v>0</v>
      </c>
      <c r="C908" s="2">
        <f>IFERROR(__xludf.DUMMYFUNCTION("""COMPUTED_VALUE"""),86.0)</f>
        <v>86</v>
      </c>
      <c r="D908" s="3">
        <f>IFERROR(__xludf.DUMMYFUNCTION("""COMPUTED_VALUE"""),71.0)</f>
        <v>71</v>
      </c>
      <c r="E908" s="1" t="str">
        <f t="array" ref="E908">_xlfn.XLOOKUP(A908,Product!A:A,Product!B:B,"Bulunamadı")</f>
        <v>Fiction</v>
      </c>
      <c r="F908" s="1" t="str">
        <f t="array" ref="F908">_xlfn.XLOOKUP(A908,Product!A:A,Product!C:C,"Bulunamadı")</f>
        <v>Medieval History</v>
      </c>
      <c r="G908" s="2" t="str">
        <f t="array" ref="G908">_xlfn.XLOOKUP(A909,Product!A:A,Product!D:D,"Bulunamadı")</f>
        <v>Frontline Books</v>
      </c>
      <c r="H908" s="2">
        <f t="array" ref="H908">_xlfn.XLOOKUP(A910,Product!A:A,Product!E:E,"Bulunamadı")</f>
        <v>5.26</v>
      </c>
      <c r="I908" s="2" t="str">
        <f t="shared" si="1"/>
        <v>79503 - Fiction - Medieval History</v>
      </c>
      <c r="J908" s="2">
        <f t="shared" si="2"/>
        <v>373.46</v>
      </c>
      <c r="K908" s="17">
        <f t="shared" si="3"/>
        <v>1</v>
      </c>
      <c r="L908" s="18"/>
    </row>
    <row r="909" hidden="1">
      <c r="A909" s="2">
        <f>IFERROR(__xludf.DUMMYFUNCTION("""COMPUTED_VALUE"""),99270.0)</f>
        <v>99270</v>
      </c>
      <c r="B909" s="2">
        <f>IFERROR(__xludf.DUMMYFUNCTION("""COMPUTED_VALUE"""),1.0)</f>
        <v>1</v>
      </c>
      <c r="C909" s="2">
        <f>IFERROR(__xludf.DUMMYFUNCTION("""COMPUTED_VALUE"""),841.0)</f>
        <v>841</v>
      </c>
      <c r="D909" s="3">
        <f>IFERROR(__xludf.DUMMYFUNCTION("""COMPUTED_VALUE"""),218.0)</f>
        <v>218</v>
      </c>
      <c r="E909" s="1" t="str">
        <f t="array" ref="E909">_xlfn.XLOOKUP(A909,Product!A:A,Product!B:B,"Bulunamadı")</f>
        <v>Fiction</v>
      </c>
      <c r="F909" s="1" t="str">
        <f t="array" ref="F909">_xlfn.XLOOKUP(A909,Product!A:A,Product!C:C,"Bulunamadı")</f>
        <v>Medieval History</v>
      </c>
      <c r="G909" s="2" t="str">
        <f t="array" ref="G909">_xlfn.XLOOKUP(A910,Product!A:A,Product!D:D,"Bulunamadı")</f>
        <v>Frontline Books</v>
      </c>
      <c r="H909" s="2">
        <f t="array" ref="H909">_xlfn.XLOOKUP(A911,Product!A:A,Product!E:E,"Bulunamadı")</f>
        <v>4.13</v>
      </c>
      <c r="I909" s="2" t="str">
        <f t="shared" si="1"/>
        <v>99270 - Fiction - Medieval History</v>
      </c>
      <c r="J909" s="2">
        <f t="shared" si="2"/>
        <v>900.34</v>
      </c>
      <c r="K909" s="17">
        <f t="shared" si="3"/>
        <v>1</v>
      </c>
      <c r="L909" s="18"/>
    </row>
    <row r="910" hidden="1">
      <c r="A910" s="2">
        <f>IFERROR(__xludf.DUMMYFUNCTION("""COMPUTED_VALUE"""),112848.0)</f>
        <v>112848</v>
      </c>
      <c r="B910" s="2">
        <f>IFERROR(__xludf.DUMMYFUNCTION("""COMPUTED_VALUE"""),1.0)</f>
        <v>1</v>
      </c>
      <c r="C910" s="2">
        <f>IFERROR(__xludf.DUMMYFUNCTION("""COMPUTED_VALUE"""),696.0)</f>
        <v>696</v>
      </c>
      <c r="D910" s="3">
        <f>IFERROR(__xludf.DUMMYFUNCTION("""COMPUTED_VALUE"""),352.0)</f>
        <v>352</v>
      </c>
      <c r="E910" s="1" t="str">
        <f t="array" ref="E910">_xlfn.XLOOKUP(A910,Product!A:A,Product!B:B,"Bulunamadı")</f>
        <v>Fiction</v>
      </c>
      <c r="F910" s="1" t="str">
        <f t="array" ref="F910">_xlfn.XLOOKUP(A910,Product!A:A,Product!C:C,"Bulunamadı")</f>
        <v>Medieval History</v>
      </c>
      <c r="G910" s="2" t="str">
        <f t="array" ref="G910">_xlfn.XLOOKUP(A911,Product!A:A,Product!D:D,"Bulunamadı")</f>
        <v>Frontline Books</v>
      </c>
      <c r="H910" s="2">
        <f t="array" ref="H910">_xlfn.XLOOKUP(A912,Product!A:A,Product!E:E,"Bulunamadı")</f>
        <v>4.34</v>
      </c>
      <c r="I910" s="2" t="str">
        <f t="shared" si="1"/>
        <v>112848 - Fiction - Medieval History</v>
      </c>
      <c r="J910" s="2">
        <f t="shared" si="2"/>
        <v>1527.68</v>
      </c>
      <c r="K910" s="17">
        <f t="shared" si="3"/>
        <v>1</v>
      </c>
      <c r="L910" s="18"/>
    </row>
    <row r="911" hidden="1">
      <c r="A911" s="2">
        <f>IFERROR(__xludf.DUMMYFUNCTION("""COMPUTED_VALUE"""),13369.0)</f>
        <v>13369</v>
      </c>
      <c r="B911" s="2">
        <f>IFERROR(__xludf.DUMMYFUNCTION("""COMPUTED_VALUE"""),0.0)</f>
        <v>0</v>
      </c>
      <c r="C911" s="2">
        <f>IFERROR(__xludf.DUMMYFUNCTION("""COMPUTED_VALUE"""),385.0)</f>
        <v>385</v>
      </c>
      <c r="D911" s="3">
        <f>IFERROR(__xludf.DUMMYFUNCTION("""COMPUTED_VALUE"""),3.0)</f>
        <v>3</v>
      </c>
      <c r="E911" s="1" t="str">
        <f t="array" ref="E911">_xlfn.XLOOKUP(A911,Product!A:A,Product!B:B,"Bulunamadı")</f>
        <v>Fiction</v>
      </c>
      <c r="F911" s="1" t="str">
        <f t="array" ref="F911">_xlfn.XLOOKUP(A911,Product!A:A,Product!C:C,"Bulunamadı")</f>
        <v>Medieval History</v>
      </c>
      <c r="G911" s="2" t="str">
        <f t="array" ref="G911">_xlfn.XLOOKUP(A912,Product!A:A,Product!D:D,"Bulunamadı")</f>
        <v>Frontline Books</v>
      </c>
      <c r="H911" s="2">
        <f t="array" ref="H911">_xlfn.XLOOKUP(A913,Product!A:A,Product!E:E,"Bulunamadı")</f>
        <v>4.6</v>
      </c>
      <c r="I911" s="2" t="str">
        <f t="shared" si="1"/>
        <v>13369 - Fiction - Medieval History</v>
      </c>
      <c r="J911" s="2">
        <f t="shared" si="2"/>
        <v>13.8</v>
      </c>
      <c r="K911" s="17">
        <f t="shared" si="3"/>
        <v>1</v>
      </c>
      <c r="L911" s="18"/>
    </row>
    <row r="912" hidden="1">
      <c r="A912" s="2">
        <f>IFERROR(__xludf.DUMMYFUNCTION("""COMPUTED_VALUE"""),147336.0)</f>
        <v>147336</v>
      </c>
      <c r="B912" s="2">
        <f>IFERROR(__xludf.DUMMYFUNCTION("""COMPUTED_VALUE"""),1.0)</f>
        <v>1</v>
      </c>
      <c r="C912" s="2">
        <f>IFERROR(__xludf.DUMMYFUNCTION("""COMPUTED_VALUE"""),28.0)</f>
        <v>28</v>
      </c>
      <c r="D912" s="3">
        <f>IFERROR(__xludf.DUMMYFUNCTION("""COMPUTED_VALUE"""),0.0)</f>
        <v>0</v>
      </c>
      <c r="E912" s="1" t="str">
        <f t="array" ref="E912">_xlfn.XLOOKUP(A912,Product!A:A,Product!B:B,"Bulunamadı")</f>
        <v>Fiction</v>
      </c>
      <c r="F912" s="1" t="str">
        <f t="array" ref="F912">_xlfn.XLOOKUP(A912,Product!A:A,Product!C:C,"Bulunamadı")</f>
        <v>Medieval History</v>
      </c>
      <c r="G912" s="2" t="str">
        <f t="array" ref="G912">_xlfn.XLOOKUP(A913,Product!A:A,Product!D:D,"Bulunamadı")</f>
        <v>Frontline Books</v>
      </c>
      <c r="H912" s="2">
        <f t="array" ref="H912">_xlfn.XLOOKUP(A914,Product!A:A,Product!E:E,"Bulunamadı")</f>
        <v>6.56</v>
      </c>
      <c r="I912" s="2" t="str">
        <f t="shared" si="1"/>
        <v>147336 - Fiction - Medieval History</v>
      </c>
      <c r="J912" s="2">
        <f t="shared" si="2"/>
        <v>0</v>
      </c>
      <c r="K912" s="17">
        <f t="shared" si="3"/>
        <v>0</v>
      </c>
      <c r="L912" s="18"/>
    </row>
    <row r="913" hidden="1">
      <c r="A913" s="2">
        <f>IFERROR(__xludf.DUMMYFUNCTION("""COMPUTED_VALUE"""),114899.0)</f>
        <v>114899</v>
      </c>
      <c r="B913" s="2">
        <f>IFERROR(__xludf.DUMMYFUNCTION("""COMPUTED_VALUE"""),0.0)</f>
        <v>0</v>
      </c>
      <c r="C913" s="2">
        <f>IFERROR(__xludf.DUMMYFUNCTION("""COMPUTED_VALUE"""),983.0)</f>
        <v>983</v>
      </c>
      <c r="D913" s="3">
        <f>IFERROR(__xludf.DUMMYFUNCTION("""COMPUTED_VALUE"""),719.0)</f>
        <v>719</v>
      </c>
      <c r="E913" s="1" t="str">
        <f t="array" ref="E913">_xlfn.XLOOKUP(A913,Product!A:A,Product!B:B,"Bulunamadı")</f>
        <v>Fiction</v>
      </c>
      <c r="F913" s="1" t="str">
        <f t="array" ref="F913">_xlfn.XLOOKUP(A913,Product!A:A,Product!C:C,"Bulunamadı")</f>
        <v>Medieval History</v>
      </c>
      <c r="G913" s="2" t="str">
        <f t="array" ref="G913">_xlfn.XLOOKUP(A914,Product!A:A,Product!D:D,"Bulunamadı")</f>
        <v>Frontline Books</v>
      </c>
      <c r="H913" s="2">
        <f t="array" ref="H913">_xlfn.XLOOKUP(A915,Product!A:A,Product!E:E,"Bulunamadı")</f>
        <v>3.81</v>
      </c>
      <c r="I913" s="2" t="str">
        <f t="shared" si="1"/>
        <v>114899 - Fiction - Medieval History</v>
      </c>
      <c r="J913" s="2">
        <f t="shared" si="2"/>
        <v>2739.39</v>
      </c>
      <c r="K913" s="17">
        <f t="shared" si="3"/>
        <v>1</v>
      </c>
      <c r="L913" s="18"/>
    </row>
    <row r="914" hidden="1">
      <c r="A914" s="2">
        <f>IFERROR(__xludf.DUMMYFUNCTION("""COMPUTED_VALUE"""),113607.0)</f>
        <v>113607</v>
      </c>
      <c r="B914" s="2">
        <f>IFERROR(__xludf.DUMMYFUNCTION("""COMPUTED_VALUE"""),1.0)</f>
        <v>1</v>
      </c>
      <c r="C914" s="2">
        <f>IFERROR(__xludf.DUMMYFUNCTION("""COMPUTED_VALUE"""),485.0)</f>
        <v>485</v>
      </c>
      <c r="D914" s="3">
        <f>IFERROR(__xludf.DUMMYFUNCTION("""COMPUTED_VALUE"""),359.0)</f>
        <v>359</v>
      </c>
      <c r="E914" s="1" t="str">
        <f t="array" ref="E914">_xlfn.XLOOKUP(A914,Product!A:A,Product!B:B,"Bulunamadı")</f>
        <v>Fiction</v>
      </c>
      <c r="F914" s="1" t="str">
        <f t="array" ref="F914">_xlfn.XLOOKUP(A914,Product!A:A,Product!C:C,"Bulunamadı")</f>
        <v>Medieval History</v>
      </c>
      <c r="G914" s="2" t="str">
        <f t="array" ref="G914">_xlfn.XLOOKUP(A915,Product!A:A,Product!D:D,"Bulunamadı")</f>
        <v>Frontline Books</v>
      </c>
      <c r="H914" s="2">
        <f t="array" ref="H914">_xlfn.XLOOKUP(A916,Product!A:A,Product!E:E,"Bulunamadı")</f>
        <v>12.91</v>
      </c>
      <c r="I914" s="2" t="str">
        <f t="shared" si="1"/>
        <v>113607 - Fiction - Medieval History</v>
      </c>
      <c r="J914" s="2">
        <f t="shared" si="2"/>
        <v>4634.69</v>
      </c>
      <c r="K914" s="17">
        <f t="shared" si="3"/>
        <v>1</v>
      </c>
      <c r="L914" s="18"/>
    </row>
    <row r="915" hidden="1">
      <c r="A915" s="2">
        <f>IFERROR(__xludf.DUMMYFUNCTION("""COMPUTED_VALUE"""),47183.0)</f>
        <v>47183</v>
      </c>
      <c r="B915" s="2">
        <f>IFERROR(__xludf.DUMMYFUNCTION("""COMPUTED_VALUE"""),0.0)</f>
        <v>0</v>
      </c>
      <c r="C915" s="2">
        <f>IFERROR(__xludf.DUMMYFUNCTION("""COMPUTED_VALUE"""),700.0)</f>
        <v>700</v>
      </c>
      <c r="D915" s="3">
        <f>IFERROR(__xludf.DUMMYFUNCTION("""COMPUTED_VALUE"""),215.0)</f>
        <v>215</v>
      </c>
      <c r="E915" s="1" t="str">
        <f t="array" ref="E915">_xlfn.XLOOKUP(A915,Product!A:A,Product!B:B,"Bulunamadı")</f>
        <v>Fiction</v>
      </c>
      <c r="F915" s="1" t="str">
        <f t="array" ref="F915">_xlfn.XLOOKUP(A915,Product!A:A,Product!C:C,"Bulunamadı")</f>
        <v>Medieval History</v>
      </c>
      <c r="G915" s="2" t="str">
        <f t="array" ref="G915">_xlfn.XLOOKUP(A916,Product!A:A,Product!D:D,"Bulunamadı")</f>
        <v>Frontline Books</v>
      </c>
      <c r="H915" s="2">
        <f t="array" ref="H915">_xlfn.XLOOKUP(A917,Product!A:A,Product!E:E,"Bulunamadı")</f>
        <v>10.12</v>
      </c>
      <c r="I915" s="2" t="str">
        <f t="shared" si="1"/>
        <v>47183 - Fiction - Medieval History</v>
      </c>
      <c r="J915" s="2">
        <f t="shared" si="2"/>
        <v>2175.8</v>
      </c>
      <c r="K915" s="17">
        <f t="shared" si="3"/>
        <v>1</v>
      </c>
      <c r="L915" s="18"/>
    </row>
    <row r="916" hidden="1">
      <c r="A916" s="2">
        <f>IFERROR(__xludf.DUMMYFUNCTION("""COMPUTED_VALUE"""),78338.0)</f>
        <v>78338</v>
      </c>
      <c r="B916" s="2">
        <f>IFERROR(__xludf.DUMMYFUNCTION("""COMPUTED_VALUE"""),0.0)</f>
        <v>0</v>
      </c>
      <c r="C916" s="2">
        <f>IFERROR(__xludf.DUMMYFUNCTION("""COMPUTED_VALUE"""),469.0)</f>
        <v>469</v>
      </c>
      <c r="D916" s="3">
        <f>IFERROR(__xludf.DUMMYFUNCTION("""COMPUTED_VALUE"""),446.0)</f>
        <v>446</v>
      </c>
      <c r="E916" s="1" t="str">
        <f t="array" ref="E916">_xlfn.XLOOKUP(A916,Product!A:A,Product!B:B,"Bulunamadı")</f>
        <v>Fiction</v>
      </c>
      <c r="F916" s="1" t="str">
        <f t="array" ref="F916">_xlfn.XLOOKUP(A916,Product!A:A,Product!C:C,"Bulunamadı")</f>
        <v>Medieval History</v>
      </c>
      <c r="G916" s="2" t="str">
        <f t="array" ref="G916">_xlfn.XLOOKUP(A917,Product!A:A,Product!D:D,"Bulunamadı")</f>
        <v>Frontline Books</v>
      </c>
      <c r="H916" s="2">
        <f t="array" ref="H916">_xlfn.XLOOKUP(A918,Product!A:A,Product!E:E,"Bulunamadı")</f>
        <v>7.4</v>
      </c>
      <c r="I916" s="2" t="str">
        <f t="shared" si="1"/>
        <v>78338 - Fiction - Medieval History</v>
      </c>
      <c r="J916" s="2">
        <f t="shared" si="2"/>
        <v>3300.4</v>
      </c>
      <c r="K916" s="17">
        <f t="shared" si="3"/>
        <v>1</v>
      </c>
      <c r="L916" s="18"/>
    </row>
    <row r="917" hidden="1">
      <c r="A917" s="2">
        <f>IFERROR(__xludf.DUMMYFUNCTION("""COMPUTED_VALUE"""),9526.0)</f>
        <v>9526</v>
      </c>
      <c r="B917" s="2">
        <f>IFERROR(__xludf.DUMMYFUNCTION("""COMPUTED_VALUE"""),0.0)</f>
        <v>0</v>
      </c>
      <c r="C917" s="2">
        <f>IFERROR(__xludf.DUMMYFUNCTION("""COMPUTED_VALUE"""),49.0)</f>
        <v>49</v>
      </c>
      <c r="D917" s="3">
        <f>IFERROR(__xludf.DUMMYFUNCTION("""COMPUTED_VALUE"""),34.0)</f>
        <v>34</v>
      </c>
      <c r="E917" s="1" t="str">
        <f t="array" ref="E917">_xlfn.XLOOKUP(A917,Product!A:A,Product!B:B,"Bulunamadı")</f>
        <v>Fiction</v>
      </c>
      <c r="F917" s="1" t="str">
        <f t="array" ref="F917">_xlfn.XLOOKUP(A917,Product!A:A,Product!C:C,"Bulunamadı")</f>
        <v>Medieval History</v>
      </c>
      <c r="G917" s="2" t="str">
        <f t="array" ref="G917">_xlfn.XLOOKUP(A918,Product!A:A,Product!D:D,"Bulunamadı")</f>
        <v>Frontline Books</v>
      </c>
      <c r="H917" s="2">
        <f t="array" ref="H917">_xlfn.XLOOKUP(A919,Product!A:A,Product!E:E,"Bulunamadı")</f>
        <v>1.6</v>
      </c>
      <c r="I917" s="2" t="str">
        <f t="shared" si="1"/>
        <v>9526 - Fiction - Medieval History</v>
      </c>
      <c r="J917" s="2">
        <f t="shared" si="2"/>
        <v>54.4</v>
      </c>
      <c r="K917" s="17">
        <f t="shared" si="3"/>
        <v>1</v>
      </c>
      <c r="L917" s="18"/>
    </row>
    <row r="918" hidden="1">
      <c r="A918" s="2">
        <f>IFERROR(__xludf.DUMMYFUNCTION("""COMPUTED_VALUE"""),107910.0)</f>
        <v>107910</v>
      </c>
      <c r="B918" s="2">
        <f>IFERROR(__xludf.DUMMYFUNCTION("""COMPUTED_VALUE"""),0.0)</f>
        <v>0</v>
      </c>
      <c r="C918" s="2">
        <f>IFERROR(__xludf.DUMMYFUNCTION("""COMPUTED_VALUE"""),141.0)</f>
        <v>141</v>
      </c>
      <c r="D918" s="3">
        <f>IFERROR(__xludf.DUMMYFUNCTION("""COMPUTED_VALUE"""),16.0)</f>
        <v>16</v>
      </c>
      <c r="E918" s="1" t="str">
        <f t="array" ref="E918">_xlfn.XLOOKUP(A918,Product!A:A,Product!B:B,"Bulunamadı")</f>
        <v>Fiction</v>
      </c>
      <c r="F918" s="1" t="str">
        <f t="array" ref="F918">_xlfn.XLOOKUP(A918,Product!A:A,Product!C:C,"Bulunamadı")</f>
        <v>Medieval History</v>
      </c>
      <c r="G918" s="2" t="str">
        <f t="array" ref="G918">_xlfn.XLOOKUP(A919,Product!A:A,Product!D:D,"Bulunamadı")</f>
        <v>Pinnacle Ridge Press</v>
      </c>
      <c r="H918" s="2">
        <f t="array" ref="H918">_xlfn.XLOOKUP(A920,Product!A:A,Product!E:E,"Bulunamadı")</f>
        <v>2.35</v>
      </c>
      <c r="I918" s="2" t="str">
        <f t="shared" si="1"/>
        <v>107910 - Fiction - Medieval History</v>
      </c>
      <c r="J918" s="2">
        <f t="shared" si="2"/>
        <v>37.6</v>
      </c>
      <c r="K918" s="17">
        <f t="shared" si="3"/>
        <v>1</v>
      </c>
      <c r="L918" s="18"/>
    </row>
    <row r="919" hidden="1">
      <c r="A919" s="2">
        <f>IFERROR(__xludf.DUMMYFUNCTION("""COMPUTED_VALUE"""),20056.0)</f>
        <v>20056</v>
      </c>
      <c r="B919" s="2">
        <f>IFERROR(__xludf.DUMMYFUNCTION("""COMPUTED_VALUE"""),0.0)</f>
        <v>0</v>
      </c>
      <c r="C919" s="2">
        <f>IFERROR(__xludf.DUMMYFUNCTION("""COMPUTED_VALUE"""),186.0)</f>
        <v>186</v>
      </c>
      <c r="D919" s="3">
        <f>IFERROR(__xludf.DUMMYFUNCTION("""COMPUTED_VALUE"""),93.0)</f>
        <v>93</v>
      </c>
      <c r="E919" s="1" t="str">
        <f t="array" ref="E919">_xlfn.XLOOKUP(A919,Product!A:A,Product!B:B,"Bulunamadı")</f>
        <v>Fiction</v>
      </c>
      <c r="F919" s="1" t="str">
        <f t="array" ref="F919">_xlfn.XLOOKUP(A919,Product!A:A,Product!C:C,"Bulunamadı")</f>
        <v>Medieval History</v>
      </c>
      <c r="G919" s="2" t="str">
        <f t="array" ref="G919">_xlfn.XLOOKUP(A920,Product!A:A,Product!D:D,"Bulunamadı")</f>
        <v>Pinnacle Ridge Press</v>
      </c>
      <c r="H919" s="2">
        <f t="array" ref="H919">_xlfn.XLOOKUP(A921,Product!A:A,Product!E:E,"Bulunamadı")</f>
        <v>1.83</v>
      </c>
      <c r="I919" s="2" t="str">
        <f t="shared" si="1"/>
        <v>20056 - Fiction - Medieval History</v>
      </c>
      <c r="J919" s="2">
        <f t="shared" si="2"/>
        <v>170.19</v>
      </c>
      <c r="K919" s="17">
        <f t="shared" si="3"/>
        <v>1</v>
      </c>
      <c r="L919" s="18"/>
    </row>
    <row r="920" hidden="1">
      <c r="A920" s="2">
        <f>IFERROR(__xludf.DUMMYFUNCTION("""COMPUTED_VALUE"""),108951.0)</f>
        <v>108951</v>
      </c>
      <c r="B920" s="2">
        <f>IFERROR(__xludf.DUMMYFUNCTION("""COMPUTED_VALUE"""),0.0)</f>
        <v>0</v>
      </c>
      <c r="C920" s="2">
        <f>IFERROR(__xludf.DUMMYFUNCTION("""COMPUTED_VALUE"""),254.0)</f>
        <v>254</v>
      </c>
      <c r="D920" s="3">
        <f>IFERROR(__xludf.DUMMYFUNCTION("""COMPUTED_VALUE"""),221.0)</f>
        <v>221</v>
      </c>
      <c r="E920" s="1" t="str">
        <f t="array" ref="E920">_xlfn.XLOOKUP(A920,Product!A:A,Product!B:B,"Bulunamadı")</f>
        <v>Fiction</v>
      </c>
      <c r="F920" s="1" t="str">
        <f t="array" ref="F920">_xlfn.XLOOKUP(A920,Product!A:A,Product!C:C,"Bulunamadı")</f>
        <v>Medieval History</v>
      </c>
      <c r="G920" s="2" t="str">
        <f t="array" ref="G920">_xlfn.XLOOKUP(A921,Product!A:A,Product!D:D,"Bulunamadı")</f>
        <v>Pinnacle Ridge Press</v>
      </c>
      <c r="H920" s="2">
        <f t="array" ref="H920">_xlfn.XLOOKUP(A922,Product!A:A,Product!E:E,"Bulunamadı")</f>
        <v>3.04</v>
      </c>
      <c r="I920" s="2" t="str">
        <f t="shared" si="1"/>
        <v>108951 - Fiction - Medieval History</v>
      </c>
      <c r="J920" s="2">
        <f t="shared" si="2"/>
        <v>671.84</v>
      </c>
      <c r="K920" s="17">
        <f t="shared" si="3"/>
        <v>1</v>
      </c>
      <c r="L920" s="18"/>
    </row>
    <row r="921" hidden="1">
      <c r="A921" s="2">
        <f>IFERROR(__xludf.DUMMYFUNCTION("""COMPUTED_VALUE"""),107783.0)</f>
        <v>107783</v>
      </c>
      <c r="B921" s="2">
        <f>IFERROR(__xludf.DUMMYFUNCTION("""COMPUTED_VALUE"""),1.0)</f>
        <v>1</v>
      </c>
      <c r="C921" s="2">
        <f>IFERROR(__xludf.DUMMYFUNCTION("""COMPUTED_VALUE"""),907.0)</f>
        <v>907</v>
      </c>
      <c r="D921" s="3">
        <f>IFERROR(__xludf.DUMMYFUNCTION("""COMPUTED_VALUE"""),346.0)</f>
        <v>346</v>
      </c>
      <c r="E921" s="1" t="str">
        <f t="array" ref="E921">_xlfn.XLOOKUP(A921,Product!A:A,Product!B:B,"Bulunamadı")</f>
        <v>Fiction</v>
      </c>
      <c r="F921" s="1" t="str">
        <f t="array" ref="F921">_xlfn.XLOOKUP(A921,Product!A:A,Product!C:C,"Bulunamadı")</f>
        <v>Medieval History</v>
      </c>
      <c r="G921" s="2" t="str">
        <f t="array" ref="G921">_xlfn.XLOOKUP(A922,Product!A:A,Product!D:D,"Bulunamadı")</f>
        <v>Pinnacle Ridge Press</v>
      </c>
      <c r="H921" s="2">
        <f t="array" ref="H921">_xlfn.XLOOKUP(A923,Product!A:A,Product!E:E,"Bulunamadı")</f>
        <v>3.88</v>
      </c>
      <c r="I921" s="2" t="str">
        <f t="shared" si="1"/>
        <v>107783 - Fiction - Medieval History</v>
      </c>
      <c r="J921" s="2">
        <f t="shared" si="2"/>
        <v>1342.48</v>
      </c>
      <c r="K921" s="17">
        <f t="shared" si="3"/>
        <v>1</v>
      </c>
      <c r="L921" s="18"/>
    </row>
    <row r="922" hidden="1">
      <c r="A922" s="2">
        <f>IFERROR(__xludf.DUMMYFUNCTION("""COMPUTED_VALUE"""),80798.0)</f>
        <v>80798</v>
      </c>
      <c r="B922" s="2">
        <f>IFERROR(__xludf.DUMMYFUNCTION("""COMPUTED_VALUE"""),1.0)</f>
        <v>1</v>
      </c>
      <c r="C922" s="2">
        <f>IFERROR(__xludf.DUMMYFUNCTION("""COMPUTED_VALUE"""),849.0)</f>
        <v>849</v>
      </c>
      <c r="D922" s="3">
        <f>IFERROR(__xludf.DUMMYFUNCTION("""COMPUTED_VALUE"""),647.0)</f>
        <v>647</v>
      </c>
      <c r="E922" s="1" t="str">
        <f t="array" ref="E922">_xlfn.XLOOKUP(A922,Product!A:A,Product!B:B,"Bulunamadı")</f>
        <v>Fiction</v>
      </c>
      <c r="F922" s="1" t="str">
        <f t="array" ref="F922">_xlfn.XLOOKUP(A922,Product!A:A,Product!C:C,"Bulunamadı")</f>
        <v>Medieval History</v>
      </c>
      <c r="G922" s="2" t="str">
        <f t="array" ref="G922">_xlfn.XLOOKUP(A923,Product!A:A,Product!D:D,"Bulunamadı")</f>
        <v>Pinnacle Ridge Press</v>
      </c>
      <c r="H922" s="2">
        <f t="array" ref="H922">_xlfn.XLOOKUP(A924,Product!A:A,Product!E:E,"Bulunamadı")</f>
        <v>1.86</v>
      </c>
      <c r="I922" s="2" t="str">
        <f t="shared" si="1"/>
        <v>80798 - Fiction - Medieval History</v>
      </c>
      <c r="J922" s="2">
        <f t="shared" si="2"/>
        <v>1203.42</v>
      </c>
      <c r="K922" s="17">
        <f t="shared" si="3"/>
        <v>1</v>
      </c>
      <c r="L922" s="18"/>
    </row>
    <row r="923" hidden="1">
      <c r="A923" s="2">
        <f>IFERROR(__xludf.DUMMYFUNCTION("""COMPUTED_VALUE"""),108950.0)</f>
        <v>108950</v>
      </c>
      <c r="B923" s="2">
        <f>IFERROR(__xludf.DUMMYFUNCTION("""COMPUTED_VALUE"""),0.0)</f>
        <v>0</v>
      </c>
      <c r="C923" s="2">
        <f>IFERROR(__xludf.DUMMYFUNCTION("""COMPUTED_VALUE"""),913.0)</f>
        <v>913</v>
      </c>
      <c r="D923" s="3">
        <f>IFERROR(__xludf.DUMMYFUNCTION("""COMPUTED_VALUE"""),635.0)</f>
        <v>635</v>
      </c>
      <c r="E923" s="1" t="str">
        <f t="array" ref="E923">_xlfn.XLOOKUP(A923,Product!A:A,Product!B:B,"Bulunamadı")</f>
        <v>Fiction</v>
      </c>
      <c r="F923" s="1" t="str">
        <f t="array" ref="F923">_xlfn.XLOOKUP(A923,Product!A:A,Product!C:C,"Bulunamadı")</f>
        <v>Medieval History</v>
      </c>
      <c r="G923" s="2" t="str">
        <f t="array" ref="G923">_xlfn.XLOOKUP(A924,Product!A:A,Product!D:D,"Bulunamadı")</f>
        <v>Pinnacle Ridge Press</v>
      </c>
      <c r="H923" s="2">
        <f t="array" ref="H923">_xlfn.XLOOKUP(A925,Product!A:A,Product!E:E,"Bulunamadı")</f>
        <v>2.39</v>
      </c>
      <c r="I923" s="2" t="str">
        <f t="shared" si="1"/>
        <v>108950 - Fiction - Medieval History</v>
      </c>
      <c r="J923" s="2">
        <f t="shared" si="2"/>
        <v>1517.65</v>
      </c>
      <c r="K923" s="17">
        <f t="shared" si="3"/>
        <v>1</v>
      </c>
      <c r="L923" s="18"/>
    </row>
    <row r="924" hidden="1">
      <c r="A924" s="2">
        <f>IFERROR(__xludf.DUMMYFUNCTION("""COMPUTED_VALUE"""),112847.0)</f>
        <v>112847</v>
      </c>
      <c r="B924" s="2">
        <f>IFERROR(__xludf.DUMMYFUNCTION("""COMPUTED_VALUE"""),1.0)</f>
        <v>1</v>
      </c>
      <c r="C924" s="2">
        <f>IFERROR(__xludf.DUMMYFUNCTION("""COMPUTED_VALUE"""),709.0)</f>
        <v>709</v>
      </c>
      <c r="D924" s="3">
        <f>IFERROR(__xludf.DUMMYFUNCTION("""COMPUTED_VALUE"""),174.0)</f>
        <v>174</v>
      </c>
      <c r="E924" s="1" t="str">
        <f t="array" ref="E924">_xlfn.XLOOKUP(A924,Product!A:A,Product!B:B,"Bulunamadı")</f>
        <v>Fiction</v>
      </c>
      <c r="F924" s="1" t="str">
        <f t="array" ref="F924">_xlfn.XLOOKUP(A924,Product!A:A,Product!C:C,"Bulunamadı")</f>
        <v>Medieval History</v>
      </c>
      <c r="G924" s="2" t="str">
        <f t="array" ref="G924">_xlfn.XLOOKUP(A925,Product!A:A,Product!D:D,"Bulunamadı")</f>
        <v>Pinnacle Ridge Press</v>
      </c>
      <c r="H924" s="2">
        <f t="array" ref="H924">_xlfn.XLOOKUP(A926,Product!A:A,Product!E:E,"Bulunamadı")</f>
        <v>2.3</v>
      </c>
      <c r="I924" s="2" t="str">
        <f t="shared" si="1"/>
        <v>112847 - Fiction - Medieval History</v>
      </c>
      <c r="J924" s="2">
        <f t="shared" si="2"/>
        <v>400.2</v>
      </c>
      <c r="K924" s="17">
        <f t="shared" si="3"/>
        <v>1</v>
      </c>
      <c r="L924" s="18"/>
    </row>
    <row r="925" hidden="1">
      <c r="A925" s="2">
        <f>IFERROR(__xludf.DUMMYFUNCTION("""COMPUTED_VALUE"""),109202.0)</f>
        <v>109202</v>
      </c>
      <c r="B925" s="2">
        <f>IFERROR(__xludf.DUMMYFUNCTION("""COMPUTED_VALUE"""),0.0)</f>
        <v>0</v>
      </c>
      <c r="C925" s="2">
        <f>IFERROR(__xludf.DUMMYFUNCTION("""COMPUTED_VALUE"""),883.0)</f>
        <v>883</v>
      </c>
      <c r="D925" s="3">
        <f>IFERROR(__xludf.DUMMYFUNCTION("""COMPUTED_VALUE"""),271.0)</f>
        <v>271</v>
      </c>
      <c r="E925" s="1" t="str">
        <f t="array" ref="E925">_xlfn.XLOOKUP(A925,Product!A:A,Product!B:B,"Bulunamadı")</f>
        <v>Fiction</v>
      </c>
      <c r="F925" s="1" t="str">
        <f t="array" ref="F925">_xlfn.XLOOKUP(A925,Product!A:A,Product!C:C,"Bulunamadı")</f>
        <v>Medieval History</v>
      </c>
      <c r="G925" s="2" t="str">
        <f t="array" ref="G925">_xlfn.XLOOKUP(A926,Product!A:A,Product!D:D,"Bulunamadı")</f>
        <v>Pinnacle Ridge Press</v>
      </c>
      <c r="H925" s="2">
        <f t="array" ref="H925">_xlfn.XLOOKUP(A927,Product!A:A,Product!E:E,"Bulunamadı")</f>
        <v>3.16</v>
      </c>
      <c r="I925" s="2" t="str">
        <f t="shared" si="1"/>
        <v>109202 - Fiction - Medieval History</v>
      </c>
      <c r="J925" s="2">
        <f t="shared" si="2"/>
        <v>856.36</v>
      </c>
      <c r="K925" s="17">
        <f t="shared" si="3"/>
        <v>1</v>
      </c>
      <c r="L925" s="18"/>
    </row>
    <row r="926" hidden="1">
      <c r="A926" s="2">
        <f>IFERROR(__xludf.DUMMYFUNCTION("""COMPUTED_VALUE"""),109198.0)</f>
        <v>109198</v>
      </c>
      <c r="B926" s="2">
        <f>IFERROR(__xludf.DUMMYFUNCTION("""COMPUTED_VALUE"""),0.0)</f>
        <v>0</v>
      </c>
      <c r="C926" s="2">
        <f>IFERROR(__xludf.DUMMYFUNCTION("""COMPUTED_VALUE"""),340.0)</f>
        <v>340</v>
      </c>
      <c r="D926" s="3">
        <f>IFERROR(__xludf.DUMMYFUNCTION("""COMPUTED_VALUE"""),332.0)</f>
        <v>332</v>
      </c>
      <c r="E926" s="1" t="str">
        <f t="array" ref="E926">_xlfn.XLOOKUP(A926,Product!A:A,Product!B:B,"Bulunamadı")</f>
        <v>Fiction</v>
      </c>
      <c r="F926" s="1" t="str">
        <f t="array" ref="F926">_xlfn.XLOOKUP(A926,Product!A:A,Product!C:C,"Bulunamadı")</f>
        <v>Medieval History</v>
      </c>
      <c r="G926" s="2" t="str">
        <f t="array" ref="G926">_xlfn.XLOOKUP(A927,Product!A:A,Product!D:D,"Bulunamadı")</f>
        <v>Pinnacle Ridge Press</v>
      </c>
      <c r="H926" s="2">
        <f t="array" ref="H926">_xlfn.XLOOKUP(A928,Product!A:A,Product!E:E,"Bulunamadı")</f>
        <v>2.16</v>
      </c>
      <c r="I926" s="2" t="str">
        <f t="shared" si="1"/>
        <v>109198 - Fiction - Medieval History</v>
      </c>
      <c r="J926" s="2">
        <f t="shared" si="2"/>
        <v>717.12</v>
      </c>
      <c r="K926" s="17">
        <f t="shared" si="3"/>
        <v>1</v>
      </c>
      <c r="L926" s="18"/>
    </row>
    <row r="927" hidden="1">
      <c r="A927" s="2">
        <f>IFERROR(__xludf.DUMMYFUNCTION("""COMPUTED_VALUE"""),108990.0)</f>
        <v>108990</v>
      </c>
      <c r="B927" s="2">
        <f>IFERROR(__xludf.DUMMYFUNCTION("""COMPUTED_VALUE"""),1.0)</f>
        <v>1</v>
      </c>
      <c r="C927" s="2">
        <f>IFERROR(__xludf.DUMMYFUNCTION("""COMPUTED_VALUE"""),136.0)</f>
        <v>136</v>
      </c>
      <c r="D927" s="3">
        <f>IFERROR(__xludf.DUMMYFUNCTION("""COMPUTED_VALUE"""),86.0)</f>
        <v>86</v>
      </c>
      <c r="E927" s="1" t="str">
        <f t="array" ref="E927">_xlfn.XLOOKUP(A927,Product!A:A,Product!B:B,"Bulunamadı")</f>
        <v>Fiction</v>
      </c>
      <c r="F927" s="1" t="str">
        <f t="array" ref="F927">_xlfn.XLOOKUP(A927,Product!A:A,Product!C:C,"Bulunamadı")</f>
        <v>Medieval History</v>
      </c>
      <c r="G927" s="2" t="str">
        <f t="array" ref="G927">_xlfn.XLOOKUP(A928,Product!A:A,Product!D:D,"Bulunamadı")</f>
        <v>Pinnacle Ridge Press</v>
      </c>
      <c r="H927" s="2">
        <f t="array" ref="H927">_xlfn.XLOOKUP(A929,Product!A:A,Product!E:E,"Bulunamadı")</f>
        <v>1.75</v>
      </c>
      <c r="I927" s="2" t="str">
        <f t="shared" si="1"/>
        <v>108990 - Fiction - Medieval History</v>
      </c>
      <c r="J927" s="2">
        <f t="shared" si="2"/>
        <v>150.5</v>
      </c>
      <c r="K927" s="17">
        <f t="shared" si="3"/>
        <v>1</v>
      </c>
      <c r="L927" s="18"/>
    </row>
    <row r="928" hidden="1">
      <c r="A928" s="2">
        <f>IFERROR(__xludf.DUMMYFUNCTION("""COMPUTED_VALUE"""),72815.0)</f>
        <v>72815</v>
      </c>
      <c r="B928" s="2">
        <f>IFERROR(__xludf.DUMMYFUNCTION("""COMPUTED_VALUE"""),1.0)</f>
        <v>1</v>
      </c>
      <c r="C928" s="2">
        <f>IFERROR(__xludf.DUMMYFUNCTION("""COMPUTED_VALUE"""),241.0)</f>
        <v>241</v>
      </c>
      <c r="D928" s="3">
        <f>IFERROR(__xludf.DUMMYFUNCTION("""COMPUTED_VALUE"""),62.0)</f>
        <v>62</v>
      </c>
      <c r="E928" s="1" t="str">
        <f t="array" ref="E928">_xlfn.XLOOKUP(A928,Product!A:A,Product!B:B,"Bulunamadı")</f>
        <v>Fiction</v>
      </c>
      <c r="F928" s="1" t="str">
        <f t="array" ref="F928">_xlfn.XLOOKUP(A928,Product!A:A,Product!C:C,"Bulunamadı")</f>
        <v>Medieval History</v>
      </c>
      <c r="G928" s="2" t="str">
        <f t="array" ref="G928">_xlfn.XLOOKUP(A929,Product!A:A,Product!D:D,"Bulunamadı")</f>
        <v>Pinnacle Ridge Press</v>
      </c>
      <c r="H928" s="2">
        <f t="array" ref="H928">_xlfn.XLOOKUP(A930,Product!A:A,Product!E:E,"Bulunamadı")</f>
        <v>2.08</v>
      </c>
      <c r="I928" s="2" t="str">
        <f t="shared" si="1"/>
        <v>72815 - Fiction - Medieval History</v>
      </c>
      <c r="J928" s="2">
        <f t="shared" si="2"/>
        <v>128.96</v>
      </c>
      <c r="K928" s="17">
        <f t="shared" si="3"/>
        <v>1</v>
      </c>
      <c r="L928" s="18"/>
    </row>
    <row r="929" hidden="1">
      <c r="A929" s="2">
        <f>IFERROR(__xludf.DUMMYFUNCTION("""COMPUTED_VALUE"""),9479.0)</f>
        <v>9479</v>
      </c>
      <c r="B929" s="2">
        <f>IFERROR(__xludf.DUMMYFUNCTION("""COMPUTED_VALUE"""),1.0)</f>
        <v>1</v>
      </c>
      <c r="C929" s="2">
        <f>IFERROR(__xludf.DUMMYFUNCTION("""COMPUTED_VALUE"""),197.0)</f>
        <v>197</v>
      </c>
      <c r="D929" s="3">
        <f>IFERROR(__xludf.DUMMYFUNCTION("""COMPUTED_VALUE"""),101.0)</f>
        <v>101</v>
      </c>
      <c r="E929" s="1" t="str">
        <f t="array" ref="E929">_xlfn.XLOOKUP(A929,Product!A:A,Product!B:B,"Bulunamadı")</f>
        <v>Fiction</v>
      </c>
      <c r="F929" s="1" t="str">
        <f t="array" ref="F929">_xlfn.XLOOKUP(A929,Product!A:A,Product!C:C,"Bulunamadı")</f>
        <v>Medieval History</v>
      </c>
      <c r="G929" s="2" t="str">
        <f t="array" ref="G929">_xlfn.XLOOKUP(A930,Product!A:A,Product!D:D,"Bulunamadı")</f>
        <v>Pinnacle Ridge Press</v>
      </c>
      <c r="H929" s="2">
        <f t="array" ref="H929">_xlfn.XLOOKUP(A931,Product!A:A,Product!E:E,"Bulunamadı")</f>
        <v>2.24</v>
      </c>
      <c r="I929" s="2" t="str">
        <f t="shared" si="1"/>
        <v>9479 - Fiction - Medieval History</v>
      </c>
      <c r="J929" s="2">
        <f t="shared" si="2"/>
        <v>226.24</v>
      </c>
      <c r="K929" s="17">
        <f t="shared" si="3"/>
        <v>1</v>
      </c>
      <c r="L929" s="18"/>
    </row>
    <row r="930" hidden="1">
      <c r="A930" s="2">
        <f>IFERROR(__xludf.DUMMYFUNCTION("""COMPUTED_VALUE"""),46961.0)</f>
        <v>46961</v>
      </c>
      <c r="B930" s="2">
        <f>IFERROR(__xludf.DUMMYFUNCTION("""COMPUTED_VALUE"""),1.0)</f>
        <v>1</v>
      </c>
      <c r="C930" s="2">
        <f>IFERROR(__xludf.DUMMYFUNCTION("""COMPUTED_VALUE"""),695.0)</f>
        <v>695</v>
      </c>
      <c r="D930" s="3">
        <f>IFERROR(__xludf.DUMMYFUNCTION("""COMPUTED_VALUE"""),237.0)</f>
        <v>237</v>
      </c>
      <c r="E930" s="1" t="str">
        <f t="array" ref="E930">_xlfn.XLOOKUP(A930,Product!A:A,Product!B:B,"Bulunamadı")</f>
        <v>Fiction</v>
      </c>
      <c r="F930" s="1" t="str">
        <f t="array" ref="F930">_xlfn.XLOOKUP(A930,Product!A:A,Product!C:C,"Bulunamadı")</f>
        <v>Medieval History</v>
      </c>
      <c r="G930" s="2" t="str">
        <f t="array" ref="G930">_xlfn.XLOOKUP(A931,Product!A:A,Product!D:D,"Bulunamadı")</f>
        <v>Pinnacle Ridge Press</v>
      </c>
      <c r="H930" s="2">
        <f t="array" ref="H930">_xlfn.XLOOKUP(A932,Product!A:A,Product!E:E,"Bulunamadı")</f>
        <v>5.27</v>
      </c>
      <c r="I930" s="2" t="str">
        <f t="shared" si="1"/>
        <v>46961 - Fiction - Medieval History</v>
      </c>
      <c r="J930" s="2">
        <f t="shared" si="2"/>
        <v>1248.99</v>
      </c>
      <c r="K930" s="17">
        <f t="shared" si="3"/>
        <v>1</v>
      </c>
      <c r="L930" s="18"/>
    </row>
    <row r="931" hidden="1">
      <c r="A931" s="2">
        <f>IFERROR(__xludf.DUMMYFUNCTION("""COMPUTED_VALUE"""),122352.0)</f>
        <v>122352</v>
      </c>
      <c r="B931" s="2">
        <f>IFERROR(__xludf.DUMMYFUNCTION("""COMPUTED_VALUE"""),0.0)</f>
        <v>0</v>
      </c>
      <c r="C931" s="2">
        <f>IFERROR(__xludf.DUMMYFUNCTION("""COMPUTED_VALUE"""),274.0)</f>
        <v>274</v>
      </c>
      <c r="D931" s="3">
        <f>IFERROR(__xludf.DUMMYFUNCTION("""COMPUTED_VALUE"""),26.0)</f>
        <v>26</v>
      </c>
      <c r="E931" s="1" t="str">
        <f t="array" ref="E931">_xlfn.XLOOKUP(A931,Product!A:A,Product!B:B,"Bulunamadı")</f>
        <v>Fiction</v>
      </c>
      <c r="F931" s="1" t="str">
        <f t="array" ref="F931">_xlfn.XLOOKUP(A931,Product!A:A,Product!C:C,"Bulunamadı")</f>
        <v>Medieval History</v>
      </c>
      <c r="G931" s="2" t="str">
        <f t="array" ref="G931">_xlfn.XLOOKUP(A932,Product!A:A,Product!D:D,"Bulunamadı")</f>
        <v>Pinnacle Ridge Press</v>
      </c>
      <c r="H931" s="2">
        <f t="array" ref="H931">_xlfn.XLOOKUP(A933,Product!A:A,Product!E:E,"Bulunamadı")</f>
        <v>1.7</v>
      </c>
      <c r="I931" s="2" t="str">
        <f t="shared" si="1"/>
        <v>122352 - Fiction - Medieval History</v>
      </c>
      <c r="J931" s="2">
        <f t="shared" si="2"/>
        <v>44.2</v>
      </c>
      <c r="K931" s="17">
        <f t="shared" si="3"/>
        <v>1</v>
      </c>
      <c r="L931" s="18"/>
    </row>
    <row r="932" hidden="1">
      <c r="A932" s="2">
        <f>IFERROR(__xludf.DUMMYFUNCTION("""COMPUTED_VALUE"""),44750.0)</f>
        <v>44750</v>
      </c>
      <c r="B932" s="2">
        <f>IFERROR(__xludf.DUMMYFUNCTION("""COMPUTED_VALUE"""),1.0)</f>
        <v>1</v>
      </c>
      <c r="C932" s="2">
        <f>IFERROR(__xludf.DUMMYFUNCTION("""COMPUTED_VALUE"""),726.0)</f>
        <v>726</v>
      </c>
      <c r="D932" s="3">
        <f>IFERROR(__xludf.DUMMYFUNCTION("""COMPUTED_VALUE"""),375.0)</f>
        <v>375</v>
      </c>
      <c r="E932" s="1" t="str">
        <f t="array" ref="E932">_xlfn.XLOOKUP(A932,Product!A:A,Product!B:B,"Bulunamadı")</f>
        <v>Fiction</v>
      </c>
      <c r="F932" s="1" t="str">
        <f t="array" ref="F932">_xlfn.XLOOKUP(A932,Product!A:A,Product!C:C,"Bulunamadı")</f>
        <v>Medieval History</v>
      </c>
      <c r="G932" s="2" t="str">
        <f t="array" ref="G932">_xlfn.XLOOKUP(A933,Product!A:A,Product!D:D,"Bulunamadı")</f>
        <v>Pinnacle Ridge Press</v>
      </c>
      <c r="H932" s="2">
        <f t="array" ref="H932">_xlfn.XLOOKUP(A934,Product!A:A,Product!E:E,"Bulunamadı")</f>
        <v>2.79</v>
      </c>
      <c r="I932" s="2" t="str">
        <f t="shared" si="1"/>
        <v>44750 - Fiction - Medieval History</v>
      </c>
      <c r="J932" s="2">
        <f t="shared" si="2"/>
        <v>1046.25</v>
      </c>
      <c r="K932" s="17">
        <f t="shared" si="3"/>
        <v>1</v>
      </c>
      <c r="L932" s="18"/>
    </row>
    <row r="933" hidden="1">
      <c r="A933" s="2">
        <f>IFERROR(__xludf.DUMMYFUNCTION("""COMPUTED_VALUE"""),114405.0)</f>
        <v>114405</v>
      </c>
      <c r="B933" s="2">
        <f>IFERROR(__xludf.DUMMYFUNCTION("""COMPUTED_VALUE"""),1.0)</f>
        <v>1</v>
      </c>
      <c r="C933" s="2">
        <f>IFERROR(__xludf.DUMMYFUNCTION("""COMPUTED_VALUE"""),397.0)</f>
        <v>397</v>
      </c>
      <c r="D933" s="3">
        <f>IFERROR(__xludf.DUMMYFUNCTION("""COMPUTED_VALUE"""),204.0)</f>
        <v>204</v>
      </c>
      <c r="E933" s="1" t="str">
        <f t="array" ref="E933">_xlfn.XLOOKUP(A933,Product!A:A,Product!B:B,"Bulunamadı")</f>
        <v>Fiction</v>
      </c>
      <c r="F933" s="1" t="str">
        <f t="array" ref="F933">_xlfn.XLOOKUP(A933,Product!A:A,Product!C:C,"Bulunamadı")</f>
        <v>Medieval History</v>
      </c>
      <c r="G933" s="2" t="str">
        <f t="array" ref="G933">_xlfn.XLOOKUP(A934,Product!A:A,Product!D:D,"Bulunamadı")</f>
        <v>Pinnacle Ridge Press</v>
      </c>
      <c r="H933" s="2">
        <f t="array" ref="H933">_xlfn.XLOOKUP(A935,Product!A:A,Product!E:E,"Bulunamadı")</f>
        <v>1.96</v>
      </c>
      <c r="I933" s="2" t="str">
        <f t="shared" si="1"/>
        <v>114405 - Fiction - Medieval History</v>
      </c>
      <c r="J933" s="2">
        <f t="shared" si="2"/>
        <v>399.84</v>
      </c>
      <c r="K933" s="17">
        <f t="shared" si="3"/>
        <v>1</v>
      </c>
      <c r="L933" s="18"/>
    </row>
    <row r="934" hidden="1">
      <c r="A934" s="2">
        <f>IFERROR(__xludf.DUMMYFUNCTION("""COMPUTED_VALUE"""),2797.0)</f>
        <v>2797</v>
      </c>
      <c r="B934" s="2">
        <f>IFERROR(__xludf.DUMMYFUNCTION("""COMPUTED_VALUE"""),1.0)</f>
        <v>1</v>
      </c>
      <c r="C934" s="2">
        <f>IFERROR(__xludf.DUMMYFUNCTION("""COMPUTED_VALUE"""),920.0)</f>
        <v>920</v>
      </c>
      <c r="D934" s="3">
        <f>IFERROR(__xludf.DUMMYFUNCTION("""COMPUTED_VALUE"""),392.0)</f>
        <v>392</v>
      </c>
      <c r="E934" s="1" t="str">
        <f t="array" ref="E934">_xlfn.XLOOKUP(A934,Product!A:A,Product!B:B,"Bulunamadı")</f>
        <v>Fiction</v>
      </c>
      <c r="F934" s="1" t="str">
        <f t="array" ref="F934">_xlfn.XLOOKUP(A934,Product!A:A,Product!C:C,"Bulunamadı")</f>
        <v>Medieval History</v>
      </c>
      <c r="G934" s="2" t="str">
        <f t="array" ref="G934">_xlfn.XLOOKUP(A935,Product!A:A,Product!D:D,"Bulunamadı")</f>
        <v>Pinnacle Ridge Press</v>
      </c>
      <c r="H934" s="2">
        <f t="array" ref="H934">_xlfn.XLOOKUP(A936,Product!A:A,Product!E:E,"Bulunamadı")</f>
        <v>4.65</v>
      </c>
      <c r="I934" s="2" t="str">
        <f t="shared" si="1"/>
        <v>2797 - Fiction - Medieval History</v>
      </c>
      <c r="J934" s="2">
        <f t="shared" si="2"/>
        <v>1822.8</v>
      </c>
      <c r="K934" s="17">
        <f t="shared" si="3"/>
        <v>1</v>
      </c>
      <c r="L934" s="18"/>
    </row>
    <row r="935" hidden="1">
      <c r="A935" s="2">
        <f>IFERROR(__xludf.DUMMYFUNCTION("""COMPUTED_VALUE"""),79499.0)</f>
        <v>79499</v>
      </c>
      <c r="B935" s="2">
        <f>IFERROR(__xludf.DUMMYFUNCTION("""COMPUTED_VALUE"""),1.0)</f>
        <v>1</v>
      </c>
      <c r="C935" s="2">
        <f>IFERROR(__xludf.DUMMYFUNCTION("""COMPUTED_VALUE"""),395.0)</f>
        <v>395</v>
      </c>
      <c r="D935" s="3">
        <f>IFERROR(__xludf.DUMMYFUNCTION("""COMPUTED_VALUE"""),40.0)</f>
        <v>40</v>
      </c>
      <c r="E935" s="1" t="str">
        <f t="array" ref="E935">_xlfn.XLOOKUP(A935,Product!A:A,Product!B:B,"Bulunamadı")</f>
        <v>Fiction</v>
      </c>
      <c r="F935" s="1" t="str">
        <f t="array" ref="F935">_xlfn.XLOOKUP(A935,Product!A:A,Product!C:C,"Bulunamadı")</f>
        <v>Medieval History</v>
      </c>
      <c r="G935" s="2" t="str">
        <f t="array" ref="G935">_xlfn.XLOOKUP(A936,Product!A:A,Product!D:D,"Bulunamadı")</f>
        <v>Pinnacle Ridge Press</v>
      </c>
      <c r="H935" s="2">
        <f t="array" ref="H935">_xlfn.XLOOKUP(A937,Product!A:A,Product!E:E,"Bulunamadı")</f>
        <v>1.95</v>
      </c>
      <c r="I935" s="2" t="str">
        <f t="shared" si="1"/>
        <v>79499 - Fiction - Medieval History</v>
      </c>
      <c r="J935" s="2">
        <f t="shared" si="2"/>
        <v>78</v>
      </c>
      <c r="K935" s="17">
        <f t="shared" si="3"/>
        <v>1</v>
      </c>
      <c r="L935" s="18"/>
    </row>
    <row r="936" hidden="1">
      <c r="A936" s="2">
        <f>IFERROR(__xludf.DUMMYFUNCTION("""COMPUTED_VALUE"""),5902.0)</f>
        <v>5902</v>
      </c>
      <c r="B936" s="2">
        <f>IFERROR(__xludf.DUMMYFUNCTION("""COMPUTED_VALUE"""),1.0)</f>
        <v>1</v>
      </c>
      <c r="C936" s="2">
        <f>IFERROR(__xludf.DUMMYFUNCTION("""COMPUTED_VALUE"""),842.0)</f>
        <v>842</v>
      </c>
      <c r="D936" s="3">
        <f>IFERROR(__xludf.DUMMYFUNCTION("""COMPUTED_VALUE"""),145.0)</f>
        <v>145</v>
      </c>
      <c r="E936" s="1" t="str">
        <f t="array" ref="E936">_xlfn.XLOOKUP(A936,Product!A:A,Product!B:B,"Bulunamadı")</f>
        <v>Fiction</v>
      </c>
      <c r="F936" s="1" t="str">
        <f t="array" ref="F936">_xlfn.XLOOKUP(A936,Product!A:A,Product!C:C,"Bulunamadı")</f>
        <v>Medieval History</v>
      </c>
      <c r="G936" s="2" t="str">
        <f t="array" ref="G936">_xlfn.XLOOKUP(A937,Product!A:A,Product!D:D,"Bulunamadı")</f>
        <v>Pinnacle Ridge Press</v>
      </c>
      <c r="H936" s="2">
        <f t="array" ref="H936">_xlfn.XLOOKUP(A938,Product!A:A,Product!E:E,"Bulunamadı")</f>
        <v>1.66</v>
      </c>
      <c r="I936" s="2" t="str">
        <f t="shared" si="1"/>
        <v>5902 - Fiction - Medieval History</v>
      </c>
      <c r="J936" s="2">
        <f t="shared" si="2"/>
        <v>240.7</v>
      </c>
      <c r="K936" s="17">
        <f t="shared" si="3"/>
        <v>1</v>
      </c>
      <c r="L936" s="18"/>
    </row>
    <row r="937" hidden="1">
      <c r="A937" s="2">
        <f>IFERROR(__xludf.DUMMYFUNCTION("""COMPUTED_VALUE"""),46956.0)</f>
        <v>46956</v>
      </c>
      <c r="B937" s="2">
        <f>IFERROR(__xludf.DUMMYFUNCTION("""COMPUTED_VALUE"""),0.0)</f>
        <v>0</v>
      </c>
      <c r="C937" s="2">
        <f>IFERROR(__xludf.DUMMYFUNCTION("""COMPUTED_VALUE"""),214.0)</f>
        <v>214</v>
      </c>
      <c r="D937" s="3">
        <f>IFERROR(__xludf.DUMMYFUNCTION("""COMPUTED_VALUE"""),102.0)</f>
        <v>102</v>
      </c>
      <c r="E937" s="1" t="str">
        <f t="array" ref="E937">_xlfn.XLOOKUP(A937,Product!A:A,Product!B:B,"Bulunamadı")</f>
        <v>Fiction</v>
      </c>
      <c r="F937" s="1" t="str">
        <f t="array" ref="F937">_xlfn.XLOOKUP(A937,Product!A:A,Product!C:C,"Bulunamadı")</f>
        <v>Medieval History</v>
      </c>
      <c r="G937" s="2" t="str">
        <f t="array" ref="G937">_xlfn.XLOOKUP(A938,Product!A:A,Product!D:D,"Bulunamadı")</f>
        <v>Pinnacle Ridge Press</v>
      </c>
      <c r="H937" s="2">
        <f t="array" ref="H937">_xlfn.XLOOKUP(A939,Product!A:A,Product!E:E,"Bulunamadı")</f>
        <v>2.69</v>
      </c>
      <c r="I937" s="2" t="str">
        <f t="shared" si="1"/>
        <v>46956 - Fiction - Medieval History</v>
      </c>
      <c r="J937" s="2">
        <f t="shared" si="2"/>
        <v>274.38</v>
      </c>
      <c r="K937" s="17">
        <f t="shared" si="3"/>
        <v>1</v>
      </c>
      <c r="L937" s="18"/>
    </row>
    <row r="938" hidden="1">
      <c r="A938" s="2">
        <f>IFERROR(__xludf.DUMMYFUNCTION("""COMPUTED_VALUE"""),11490.0)</f>
        <v>11490</v>
      </c>
      <c r="B938" s="2">
        <f>IFERROR(__xludf.DUMMYFUNCTION("""COMPUTED_VALUE"""),1.0)</f>
        <v>1</v>
      </c>
      <c r="C938" s="2">
        <f>IFERROR(__xludf.DUMMYFUNCTION("""COMPUTED_VALUE"""),354.0)</f>
        <v>354</v>
      </c>
      <c r="D938" s="3">
        <f>IFERROR(__xludf.DUMMYFUNCTION("""COMPUTED_VALUE"""),151.0)</f>
        <v>151</v>
      </c>
      <c r="E938" s="1" t="str">
        <f t="array" ref="E938">_xlfn.XLOOKUP(A938,Product!A:A,Product!B:B,"Bulunamadı")</f>
        <v>Fiction</v>
      </c>
      <c r="F938" s="1" t="str">
        <f t="array" ref="F938">_xlfn.XLOOKUP(A938,Product!A:A,Product!C:C,"Bulunamadı")</f>
        <v>Medieval History</v>
      </c>
      <c r="G938" s="2" t="str">
        <f t="array" ref="G938">_xlfn.XLOOKUP(A939,Product!A:A,Product!D:D,"Bulunamadı")</f>
        <v>Pinnacle Ridge Press</v>
      </c>
      <c r="H938" s="2">
        <f t="array" ref="H938">_xlfn.XLOOKUP(A940,Product!A:A,Product!E:E,"Bulunamadı")</f>
        <v>4.37</v>
      </c>
      <c r="I938" s="2" t="str">
        <f t="shared" si="1"/>
        <v>11490 - Fiction - Medieval History</v>
      </c>
      <c r="J938" s="2">
        <f t="shared" si="2"/>
        <v>659.87</v>
      </c>
      <c r="K938" s="17">
        <f t="shared" si="3"/>
        <v>1</v>
      </c>
      <c r="L938" s="18"/>
    </row>
    <row r="939" hidden="1">
      <c r="A939" s="2">
        <f>IFERROR(__xludf.DUMMYFUNCTION("""COMPUTED_VALUE"""),8027.0)</f>
        <v>8027</v>
      </c>
      <c r="B939" s="2">
        <f>IFERROR(__xludf.DUMMYFUNCTION("""COMPUTED_VALUE"""),1.0)</f>
        <v>1</v>
      </c>
      <c r="C939" s="2">
        <f>IFERROR(__xludf.DUMMYFUNCTION("""COMPUTED_VALUE"""),948.0)</f>
        <v>948</v>
      </c>
      <c r="D939" s="3">
        <f>IFERROR(__xludf.DUMMYFUNCTION("""COMPUTED_VALUE"""),39.0)</f>
        <v>39</v>
      </c>
      <c r="E939" s="1" t="str">
        <f t="array" ref="E939">_xlfn.XLOOKUP(A939,Product!A:A,Product!B:B,"Bulunamadı")</f>
        <v>Fiction</v>
      </c>
      <c r="F939" s="1" t="str">
        <f t="array" ref="F939">_xlfn.XLOOKUP(A939,Product!A:A,Product!C:C,"Bulunamadı")</f>
        <v>Medieval History</v>
      </c>
      <c r="G939" s="2" t="str">
        <f t="array" ref="G939">_xlfn.XLOOKUP(A940,Product!A:A,Product!D:D,"Bulunamadı")</f>
        <v>Pinnacle Ridge Press</v>
      </c>
      <c r="H939" s="2">
        <f t="array" ref="H939">_xlfn.XLOOKUP(A941,Product!A:A,Product!E:E,"Bulunamadı")</f>
        <v>1.76</v>
      </c>
      <c r="I939" s="2" t="str">
        <f t="shared" si="1"/>
        <v>8027 - Fiction - Medieval History</v>
      </c>
      <c r="J939" s="2">
        <f t="shared" si="2"/>
        <v>68.64</v>
      </c>
      <c r="K939" s="17">
        <f t="shared" si="3"/>
        <v>1</v>
      </c>
      <c r="L939" s="18"/>
    </row>
    <row r="940" hidden="1">
      <c r="A940" s="2">
        <f>IFERROR(__xludf.DUMMYFUNCTION("""COMPUTED_VALUE"""),121588.0)</f>
        <v>121588</v>
      </c>
      <c r="B940" s="2">
        <f>IFERROR(__xludf.DUMMYFUNCTION("""COMPUTED_VALUE"""),0.0)</f>
        <v>0</v>
      </c>
      <c r="C940" s="2">
        <f>IFERROR(__xludf.DUMMYFUNCTION("""COMPUTED_VALUE"""),627.0)</f>
        <v>627</v>
      </c>
      <c r="D940" s="3">
        <f>IFERROR(__xludf.DUMMYFUNCTION("""COMPUTED_VALUE"""),451.0)</f>
        <v>451</v>
      </c>
      <c r="E940" s="1" t="str">
        <f t="array" ref="E940">_xlfn.XLOOKUP(A940,Product!A:A,Product!B:B,"Bulunamadı")</f>
        <v>Fiction</v>
      </c>
      <c r="F940" s="1" t="str">
        <f t="array" ref="F940">_xlfn.XLOOKUP(A940,Product!A:A,Product!C:C,"Bulunamadı")</f>
        <v>Medieval History</v>
      </c>
      <c r="G940" s="2" t="str">
        <f t="array" ref="G940">_xlfn.XLOOKUP(A941,Product!A:A,Product!D:D,"Bulunamadı")</f>
        <v>Pinnacle Ridge Press</v>
      </c>
      <c r="H940" s="2">
        <f t="array" ref="H940">_xlfn.XLOOKUP(A942,Product!A:A,Product!E:E,"Bulunamadı")</f>
        <v>4.02</v>
      </c>
      <c r="I940" s="2" t="str">
        <f t="shared" si="1"/>
        <v>121588 - Fiction - Medieval History</v>
      </c>
      <c r="J940" s="2">
        <f t="shared" si="2"/>
        <v>1813.02</v>
      </c>
      <c r="K940" s="17">
        <f t="shared" si="3"/>
        <v>1</v>
      </c>
      <c r="L940" s="18"/>
    </row>
    <row r="941" hidden="1">
      <c r="A941" s="2">
        <f>IFERROR(__xludf.DUMMYFUNCTION("""COMPUTED_VALUE"""),1279.0)</f>
        <v>1279</v>
      </c>
      <c r="B941" s="2">
        <f>IFERROR(__xludf.DUMMYFUNCTION("""COMPUTED_VALUE"""),0.0)</f>
        <v>0</v>
      </c>
      <c r="C941" s="2">
        <f>IFERROR(__xludf.DUMMYFUNCTION("""COMPUTED_VALUE"""),251.0)</f>
        <v>251</v>
      </c>
      <c r="D941" s="3">
        <f>IFERROR(__xludf.DUMMYFUNCTION("""COMPUTED_VALUE"""),171.0)</f>
        <v>171</v>
      </c>
      <c r="E941" s="1" t="str">
        <f t="array" ref="E941">_xlfn.XLOOKUP(A941,Product!A:A,Product!B:B,"Bulunamadı")</f>
        <v>Fiction</v>
      </c>
      <c r="F941" s="1" t="str">
        <f t="array" ref="F941">_xlfn.XLOOKUP(A941,Product!A:A,Product!C:C,"Bulunamadı")</f>
        <v>Medieval History</v>
      </c>
      <c r="G941" s="2" t="str">
        <f t="array" ref="G941">_xlfn.XLOOKUP(A942,Product!A:A,Product!D:D,"Bulunamadı")</f>
        <v>Pinnacle Ridge Press</v>
      </c>
      <c r="H941" s="2">
        <f t="array" ref="H941">_xlfn.XLOOKUP(A943,Product!A:A,Product!E:E,"Bulunamadı")</f>
        <v>2.38</v>
      </c>
      <c r="I941" s="2" t="str">
        <f t="shared" si="1"/>
        <v>1279 - Fiction - Medieval History</v>
      </c>
      <c r="J941" s="2">
        <f t="shared" si="2"/>
        <v>406.98</v>
      </c>
      <c r="K941" s="17">
        <f t="shared" si="3"/>
        <v>1</v>
      </c>
      <c r="L941" s="18"/>
    </row>
    <row r="942" hidden="1">
      <c r="A942" s="2">
        <f>IFERROR(__xludf.DUMMYFUNCTION("""COMPUTED_VALUE"""),5978.0)</f>
        <v>5978</v>
      </c>
      <c r="B942" s="2">
        <f>IFERROR(__xludf.DUMMYFUNCTION("""COMPUTED_VALUE"""),1.0)</f>
        <v>1</v>
      </c>
      <c r="C942" s="2">
        <f>IFERROR(__xludf.DUMMYFUNCTION("""COMPUTED_VALUE"""),42.0)</f>
        <v>42</v>
      </c>
      <c r="D942" s="3">
        <f>IFERROR(__xludf.DUMMYFUNCTION("""COMPUTED_VALUE"""),19.0)</f>
        <v>19</v>
      </c>
      <c r="E942" s="1" t="str">
        <f t="array" ref="E942">_xlfn.XLOOKUP(A942,Product!A:A,Product!B:B,"Bulunamadı")</f>
        <v>Fiction</v>
      </c>
      <c r="F942" s="1" t="str">
        <f t="array" ref="F942">_xlfn.XLOOKUP(A942,Product!A:A,Product!C:C,"Bulunamadı")</f>
        <v>Medieval History</v>
      </c>
      <c r="G942" s="2" t="str">
        <f t="array" ref="G942">_xlfn.XLOOKUP(A943,Product!A:A,Product!D:D,"Bulunamadı")</f>
        <v>Pinnacle Ridge Press</v>
      </c>
      <c r="H942" s="2">
        <f t="array" ref="H942">_xlfn.XLOOKUP(A944,Product!A:A,Product!E:E,"Bulunamadı")</f>
        <v>14.48</v>
      </c>
      <c r="I942" s="2" t="str">
        <f t="shared" si="1"/>
        <v>5978 - Fiction - Medieval History</v>
      </c>
      <c r="J942" s="2">
        <f t="shared" si="2"/>
        <v>275.12</v>
      </c>
      <c r="K942" s="17">
        <f t="shared" si="3"/>
        <v>1</v>
      </c>
      <c r="L942" s="18"/>
    </row>
    <row r="943" hidden="1">
      <c r="A943" s="2">
        <f>IFERROR(__xludf.DUMMYFUNCTION("""COMPUTED_VALUE"""),72813.0)</f>
        <v>72813</v>
      </c>
      <c r="B943" s="2">
        <f>IFERROR(__xludf.DUMMYFUNCTION("""COMPUTED_VALUE"""),0.0)</f>
        <v>0</v>
      </c>
      <c r="C943" s="2">
        <f>IFERROR(__xludf.DUMMYFUNCTION("""COMPUTED_VALUE"""),202.0)</f>
        <v>202</v>
      </c>
      <c r="D943" s="3">
        <f>IFERROR(__xludf.DUMMYFUNCTION("""COMPUTED_VALUE"""),1.0)</f>
        <v>1</v>
      </c>
      <c r="E943" s="1" t="str">
        <f t="array" ref="E943">_xlfn.XLOOKUP(A943,Product!A:A,Product!B:B,"Bulunamadı")</f>
        <v>Fiction</v>
      </c>
      <c r="F943" s="1" t="str">
        <f t="array" ref="F943">_xlfn.XLOOKUP(A943,Product!A:A,Product!C:C,"Bulunamadı")</f>
        <v>Medieval History</v>
      </c>
      <c r="G943" s="2" t="str">
        <f t="array" ref="G943">_xlfn.XLOOKUP(A944,Product!A:A,Product!D:D,"Bulunamadı")</f>
        <v>Pinnacle Ridge Press</v>
      </c>
      <c r="H943" s="2">
        <f t="array" ref="H943">_xlfn.XLOOKUP(A945,Product!A:A,Product!E:E,"Bulunamadı")</f>
        <v>2.33</v>
      </c>
      <c r="I943" s="2" t="str">
        <f t="shared" si="1"/>
        <v>72813 - Fiction - Medieval History</v>
      </c>
      <c r="J943" s="2">
        <f t="shared" si="2"/>
        <v>2.33</v>
      </c>
      <c r="K943" s="17">
        <f t="shared" si="3"/>
        <v>1</v>
      </c>
      <c r="L943" s="18"/>
    </row>
    <row r="944" hidden="1">
      <c r="A944" s="2">
        <f>IFERROR(__xludf.DUMMYFUNCTION("""COMPUTED_VALUE"""),9486.0)</f>
        <v>9486</v>
      </c>
      <c r="B944" s="2">
        <f>IFERROR(__xludf.DUMMYFUNCTION("""COMPUTED_VALUE"""),1.0)</f>
        <v>1</v>
      </c>
      <c r="C944" s="2">
        <f>IFERROR(__xludf.DUMMYFUNCTION("""COMPUTED_VALUE"""),300.0)</f>
        <v>300</v>
      </c>
      <c r="D944" s="3">
        <f>IFERROR(__xludf.DUMMYFUNCTION("""COMPUTED_VALUE"""),92.0)</f>
        <v>92</v>
      </c>
      <c r="E944" s="1" t="str">
        <f t="array" ref="E944">_xlfn.XLOOKUP(A944,Product!A:A,Product!B:B,"Bulunamadı")</f>
        <v>Fiction</v>
      </c>
      <c r="F944" s="1" t="str">
        <f t="array" ref="F944">_xlfn.XLOOKUP(A944,Product!A:A,Product!C:C,"Bulunamadı")</f>
        <v>Medieval History</v>
      </c>
      <c r="G944" s="2" t="str">
        <f t="array" ref="G944">_xlfn.XLOOKUP(A945,Product!A:A,Product!D:D,"Bulunamadı")</f>
        <v>Pinnacle Ridge Press</v>
      </c>
      <c r="H944" s="2">
        <f t="array" ref="H944">_xlfn.XLOOKUP(A946,Product!A:A,Product!E:E,"Bulunamadı")</f>
        <v>2.38</v>
      </c>
      <c r="I944" s="2" t="str">
        <f t="shared" si="1"/>
        <v>9486 - Fiction - Medieval History</v>
      </c>
      <c r="J944" s="2">
        <f t="shared" si="2"/>
        <v>218.96</v>
      </c>
      <c r="K944" s="17">
        <f t="shared" si="3"/>
        <v>1</v>
      </c>
      <c r="L944" s="18"/>
    </row>
    <row r="945" hidden="1">
      <c r="A945" s="2">
        <f>IFERROR(__xludf.DUMMYFUNCTION("""COMPUTED_VALUE"""),2791.0)</f>
        <v>2791</v>
      </c>
      <c r="B945" s="2">
        <f>IFERROR(__xludf.DUMMYFUNCTION("""COMPUTED_VALUE"""),0.0)</f>
        <v>0</v>
      </c>
      <c r="C945" s="2">
        <f>IFERROR(__xludf.DUMMYFUNCTION("""COMPUTED_VALUE"""),110.0)</f>
        <v>110</v>
      </c>
      <c r="D945" s="3">
        <f>IFERROR(__xludf.DUMMYFUNCTION("""COMPUTED_VALUE"""),23.0)</f>
        <v>23</v>
      </c>
      <c r="E945" s="1" t="str">
        <f t="array" ref="E945">_xlfn.XLOOKUP(A945,Product!A:A,Product!B:B,"Bulunamadı")</f>
        <v>Fiction</v>
      </c>
      <c r="F945" s="1" t="str">
        <f t="array" ref="F945">_xlfn.XLOOKUP(A945,Product!A:A,Product!C:C,"Bulunamadı")</f>
        <v>Medieval History</v>
      </c>
      <c r="G945" s="2" t="str">
        <f t="array" ref="G945">_xlfn.XLOOKUP(A946,Product!A:A,Product!D:D,"Bulunamadı")</f>
        <v>Pinnacle Ridge Press</v>
      </c>
      <c r="H945" s="2">
        <f t="array" ref="H945">_xlfn.XLOOKUP(A947,Product!A:A,Product!E:E,"Bulunamadı")</f>
        <v>3.1</v>
      </c>
      <c r="I945" s="2" t="str">
        <f t="shared" si="1"/>
        <v>2791 - Fiction - Medieval History</v>
      </c>
      <c r="J945" s="2">
        <f t="shared" si="2"/>
        <v>71.3</v>
      </c>
      <c r="K945" s="17">
        <f t="shared" si="3"/>
        <v>1</v>
      </c>
      <c r="L945" s="18"/>
    </row>
    <row r="946" hidden="1">
      <c r="A946" s="2">
        <f>IFERROR(__xludf.DUMMYFUNCTION("""COMPUTED_VALUE"""),109206.0)</f>
        <v>109206</v>
      </c>
      <c r="B946" s="2">
        <f>IFERROR(__xludf.DUMMYFUNCTION("""COMPUTED_VALUE"""),0.0)</f>
        <v>0</v>
      </c>
      <c r="C946" s="2">
        <f>IFERROR(__xludf.DUMMYFUNCTION("""COMPUTED_VALUE"""),207.0)</f>
        <v>207</v>
      </c>
      <c r="D946" s="3">
        <f>IFERROR(__xludf.DUMMYFUNCTION("""COMPUTED_VALUE"""),194.0)</f>
        <v>194</v>
      </c>
      <c r="E946" s="1" t="str">
        <f t="array" ref="E946">_xlfn.XLOOKUP(A946,Product!A:A,Product!B:B,"Bulunamadı")</f>
        <v>Fiction</v>
      </c>
      <c r="F946" s="1" t="str">
        <f t="array" ref="F946">_xlfn.XLOOKUP(A946,Product!A:A,Product!C:C,"Bulunamadı")</f>
        <v>Medieval History</v>
      </c>
      <c r="G946" s="2" t="str">
        <f t="array" ref="G946">_xlfn.XLOOKUP(A947,Product!A:A,Product!D:D,"Bulunamadı")</f>
        <v>Pinnacle Ridge Press</v>
      </c>
      <c r="H946" s="2">
        <f t="array" ref="H946">_xlfn.XLOOKUP(A948,Product!A:A,Product!E:E,"Bulunamadı")</f>
        <v>3.68</v>
      </c>
      <c r="I946" s="2" t="str">
        <f t="shared" si="1"/>
        <v>109206 - Fiction - Medieval History</v>
      </c>
      <c r="J946" s="2">
        <f t="shared" si="2"/>
        <v>713.92</v>
      </c>
      <c r="K946" s="17">
        <f t="shared" si="3"/>
        <v>1</v>
      </c>
      <c r="L946" s="18"/>
    </row>
    <row r="947" hidden="1">
      <c r="A947" s="2">
        <f>IFERROR(__xludf.DUMMYFUNCTION("""COMPUTED_VALUE"""),9478.0)</f>
        <v>9478</v>
      </c>
      <c r="B947" s="2">
        <f>IFERROR(__xludf.DUMMYFUNCTION("""COMPUTED_VALUE"""),1.0)</f>
        <v>1</v>
      </c>
      <c r="C947" s="2">
        <f>IFERROR(__xludf.DUMMYFUNCTION("""COMPUTED_VALUE"""),460.0)</f>
        <v>460</v>
      </c>
      <c r="D947" s="3">
        <f>IFERROR(__xludf.DUMMYFUNCTION("""COMPUTED_VALUE"""),420.0)</f>
        <v>420</v>
      </c>
      <c r="E947" s="1" t="str">
        <f t="array" ref="E947">_xlfn.XLOOKUP(A947,Product!A:A,Product!B:B,"Bulunamadı")</f>
        <v>Fiction</v>
      </c>
      <c r="F947" s="1" t="str">
        <f t="array" ref="F947">_xlfn.XLOOKUP(A947,Product!A:A,Product!C:C,"Bulunamadı")</f>
        <v>Medieval History</v>
      </c>
      <c r="G947" s="2" t="str">
        <f t="array" ref="G947">_xlfn.XLOOKUP(A948,Product!A:A,Product!D:D,"Bulunamadı")</f>
        <v>Pinnacle Ridge Press</v>
      </c>
      <c r="H947" s="2">
        <f t="array" ref="H947">_xlfn.XLOOKUP(A949,Product!A:A,Product!E:E,"Bulunamadı")</f>
        <v>2.05</v>
      </c>
      <c r="I947" s="2" t="str">
        <f t="shared" si="1"/>
        <v>9478 - Fiction - Medieval History</v>
      </c>
      <c r="J947" s="2">
        <f t="shared" si="2"/>
        <v>861</v>
      </c>
      <c r="K947" s="17">
        <f t="shared" si="3"/>
        <v>1</v>
      </c>
      <c r="L947" s="18"/>
    </row>
    <row r="948" hidden="1">
      <c r="A948" s="2">
        <f>IFERROR(__xludf.DUMMYFUNCTION("""COMPUTED_VALUE"""),122699.0)</f>
        <v>122699</v>
      </c>
      <c r="B948" s="2">
        <f>IFERROR(__xludf.DUMMYFUNCTION("""COMPUTED_VALUE"""),1.0)</f>
        <v>1</v>
      </c>
      <c r="C948" s="2">
        <f>IFERROR(__xludf.DUMMYFUNCTION("""COMPUTED_VALUE"""),424.0)</f>
        <v>424</v>
      </c>
      <c r="D948" s="3">
        <f>IFERROR(__xludf.DUMMYFUNCTION("""COMPUTED_VALUE"""),39.0)</f>
        <v>39</v>
      </c>
      <c r="E948" s="1" t="str">
        <f t="array" ref="E948">_xlfn.XLOOKUP(A948,Product!A:A,Product!B:B,"Bulunamadı")</f>
        <v>Fiction</v>
      </c>
      <c r="F948" s="1" t="str">
        <f t="array" ref="F948">_xlfn.XLOOKUP(A948,Product!A:A,Product!C:C,"Bulunamadı")</f>
        <v>Medieval History</v>
      </c>
      <c r="G948" s="2" t="str">
        <f t="array" ref="G948">_xlfn.XLOOKUP(A949,Product!A:A,Product!D:D,"Bulunamadı")</f>
        <v>Pinnacle Ridge Press</v>
      </c>
      <c r="H948" s="2">
        <f t="array" ref="H948">_xlfn.XLOOKUP(A950,Product!A:A,Product!E:E,"Bulunamadı")</f>
        <v>2.13</v>
      </c>
      <c r="I948" s="2" t="str">
        <f t="shared" si="1"/>
        <v>122699 - Fiction - Medieval History</v>
      </c>
      <c r="J948" s="2">
        <f t="shared" si="2"/>
        <v>83.07</v>
      </c>
      <c r="K948" s="17">
        <f t="shared" si="3"/>
        <v>1</v>
      </c>
      <c r="L948" s="18"/>
    </row>
    <row r="949" hidden="1">
      <c r="A949" s="2">
        <f>IFERROR(__xludf.DUMMYFUNCTION("""COMPUTED_VALUE"""),2794.0)</f>
        <v>2794</v>
      </c>
      <c r="B949" s="2">
        <f>IFERROR(__xludf.DUMMYFUNCTION("""COMPUTED_VALUE"""),0.0)</f>
        <v>0</v>
      </c>
      <c r="C949" s="2">
        <f>IFERROR(__xludf.DUMMYFUNCTION("""COMPUTED_VALUE"""),712.0)</f>
        <v>712</v>
      </c>
      <c r="D949" s="3">
        <f>IFERROR(__xludf.DUMMYFUNCTION("""COMPUTED_VALUE"""),455.0)</f>
        <v>455</v>
      </c>
      <c r="E949" s="1" t="str">
        <f t="array" ref="E949">_xlfn.XLOOKUP(A949,Product!A:A,Product!B:B,"Bulunamadı")</f>
        <v>Fiction</v>
      </c>
      <c r="F949" s="1" t="str">
        <f t="array" ref="F949">_xlfn.XLOOKUP(A949,Product!A:A,Product!C:C,"Bulunamadı")</f>
        <v>Medieval History</v>
      </c>
      <c r="G949" s="2" t="str">
        <f t="array" ref="G949">_xlfn.XLOOKUP(A950,Product!A:A,Product!D:D,"Bulunamadı")</f>
        <v>Pinnacle Ridge Press</v>
      </c>
      <c r="H949" s="2">
        <f t="array" ref="H949">_xlfn.XLOOKUP(A951,Product!A:A,Product!E:E,"Bulunamadı")</f>
        <v>1.32</v>
      </c>
      <c r="I949" s="2" t="str">
        <f t="shared" si="1"/>
        <v>2794 - Fiction - Medieval History</v>
      </c>
      <c r="J949" s="2">
        <f t="shared" si="2"/>
        <v>600.6</v>
      </c>
      <c r="K949" s="17">
        <f t="shared" si="3"/>
        <v>1</v>
      </c>
      <c r="L949" s="18"/>
    </row>
    <row r="950" hidden="1">
      <c r="A950" s="2">
        <f>IFERROR(__xludf.DUMMYFUNCTION("""COMPUTED_VALUE"""),109200.0)</f>
        <v>109200</v>
      </c>
      <c r="B950" s="2">
        <f>IFERROR(__xludf.DUMMYFUNCTION("""COMPUTED_VALUE"""),1.0)</f>
        <v>1</v>
      </c>
      <c r="C950" s="2">
        <f>IFERROR(__xludf.DUMMYFUNCTION("""COMPUTED_VALUE"""),968.0)</f>
        <v>968</v>
      </c>
      <c r="D950" s="3">
        <f>IFERROR(__xludf.DUMMYFUNCTION("""COMPUTED_VALUE"""),411.0)</f>
        <v>411</v>
      </c>
      <c r="E950" s="1" t="str">
        <f t="array" ref="E950">_xlfn.XLOOKUP(A950,Product!A:A,Product!B:B,"Bulunamadı")</f>
        <v>Fiction</v>
      </c>
      <c r="F950" s="1" t="str">
        <f t="array" ref="F950">_xlfn.XLOOKUP(A950,Product!A:A,Product!C:C,"Bulunamadı")</f>
        <v>Medieval History</v>
      </c>
      <c r="G950" s="2" t="str">
        <f t="array" ref="G950">_xlfn.XLOOKUP(A951,Product!A:A,Product!D:D,"Bulunamadı")</f>
        <v>Pinnacle Ridge Press</v>
      </c>
      <c r="H950" s="2">
        <f t="array" ref="H950">_xlfn.XLOOKUP(A952,Product!A:A,Product!E:E,"Bulunamadı")</f>
        <v>13.28</v>
      </c>
      <c r="I950" s="2" t="str">
        <f t="shared" si="1"/>
        <v>109200 - Fiction - Medieval History</v>
      </c>
      <c r="J950" s="2">
        <f t="shared" si="2"/>
        <v>5458.08</v>
      </c>
      <c r="K950" s="17">
        <f t="shared" si="3"/>
        <v>1</v>
      </c>
      <c r="L950" s="18"/>
    </row>
    <row r="951" hidden="1">
      <c r="A951" s="2">
        <f>IFERROR(__xludf.DUMMYFUNCTION("""COMPUTED_VALUE"""),118263.0)</f>
        <v>118263</v>
      </c>
      <c r="B951" s="2">
        <f>IFERROR(__xludf.DUMMYFUNCTION("""COMPUTED_VALUE"""),1.0)</f>
        <v>1</v>
      </c>
      <c r="C951" s="2">
        <f>IFERROR(__xludf.DUMMYFUNCTION("""COMPUTED_VALUE"""),645.0)</f>
        <v>645</v>
      </c>
      <c r="D951" s="3">
        <f>IFERROR(__xludf.DUMMYFUNCTION("""COMPUTED_VALUE"""),425.0)</f>
        <v>425</v>
      </c>
      <c r="E951" s="1" t="str">
        <f t="array" ref="E951">_xlfn.XLOOKUP(A951,Product!A:A,Product!B:B,"Bulunamadı")</f>
        <v>Fiction</v>
      </c>
      <c r="F951" s="1" t="str">
        <f t="array" ref="F951">_xlfn.XLOOKUP(A951,Product!A:A,Product!C:C,"Bulunamadı")</f>
        <v>Medieval History</v>
      </c>
      <c r="G951" s="2" t="str">
        <f t="array" ref="G951">_xlfn.XLOOKUP(A952,Product!A:A,Product!D:D,"Bulunamadı")</f>
        <v>Pinnacle Ridge Press</v>
      </c>
      <c r="H951" s="2">
        <f t="array" ref="H951">_xlfn.XLOOKUP(A953,Product!A:A,Product!E:E,"Bulunamadı")</f>
        <v>3.62</v>
      </c>
      <c r="I951" s="2" t="str">
        <f t="shared" si="1"/>
        <v>118263 - Fiction - Medieval History</v>
      </c>
      <c r="J951" s="2">
        <f t="shared" si="2"/>
        <v>1538.5</v>
      </c>
      <c r="K951" s="17">
        <f t="shared" si="3"/>
        <v>1</v>
      </c>
      <c r="L951" s="18"/>
    </row>
    <row r="952" hidden="1">
      <c r="A952" s="2">
        <f>IFERROR(__xludf.DUMMYFUNCTION("""COMPUTED_VALUE"""),71320.0)</f>
        <v>71320</v>
      </c>
      <c r="B952" s="2">
        <f>IFERROR(__xludf.DUMMYFUNCTION("""COMPUTED_VALUE"""),0.0)</f>
        <v>0</v>
      </c>
      <c r="C952" s="2">
        <f>IFERROR(__xludf.DUMMYFUNCTION("""COMPUTED_VALUE"""),725.0)</f>
        <v>725</v>
      </c>
      <c r="D952" s="3">
        <f>IFERROR(__xludf.DUMMYFUNCTION("""COMPUTED_VALUE"""),631.0)</f>
        <v>631</v>
      </c>
      <c r="E952" s="1" t="str">
        <f t="array" ref="E952">_xlfn.XLOOKUP(A952,Product!A:A,Product!B:B,"Bulunamadı")</f>
        <v>Fiction</v>
      </c>
      <c r="F952" s="1" t="str">
        <f t="array" ref="F952">_xlfn.XLOOKUP(A952,Product!A:A,Product!C:C,"Bulunamadı")</f>
        <v>Medieval History</v>
      </c>
      <c r="G952" s="2" t="str">
        <f t="array" ref="G952">_xlfn.XLOOKUP(A953,Product!A:A,Product!D:D,"Bulunamadı")</f>
        <v>Pinnacle Ridge Press</v>
      </c>
      <c r="H952" s="2">
        <f t="array" ref="H952">_xlfn.XLOOKUP(A954,Product!A:A,Product!E:E,"Bulunamadı")</f>
        <v>2.94</v>
      </c>
      <c r="I952" s="2" t="str">
        <f t="shared" si="1"/>
        <v>71320 - Fiction - Medieval History</v>
      </c>
      <c r="J952" s="2">
        <f t="shared" si="2"/>
        <v>1855.14</v>
      </c>
      <c r="K952" s="17">
        <f t="shared" si="3"/>
        <v>1</v>
      </c>
      <c r="L952" s="18"/>
    </row>
    <row r="953" hidden="1">
      <c r="A953" s="2">
        <f>IFERROR(__xludf.DUMMYFUNCTION("""COMPUTED_VALUE"""),108944.0)</f>
        <v>108944</v>
      </c>
      <c r="B953" s="2">
        <f>IFERROR(__xludf.DUMMYFUNCTION("""COMPUTED_VALUE"""),1.0)</f>
        <v>1</v>
      </c>
      <c r="C953" s="2">
        <f>IFERROR(__xludf.DUMMYFUNCTION("""COMPUTED_VALUE"""),450.0)</f>
        <v>450</v>
      </c>
      <c r="D953" s="3">
        <f>IFERROR(__xludf.DUMMYFUNCTION("""COMPUTED_VALUE"""),382.0)</f>
        <v>382</v>
      </c>
      <c r="E953" s="1" t="str">
        <f t="array" ref="E953">_xlfn.XLOOKUP(A953,Product!A:A,Product!B:B,"Bulunamadı")</f>
        <v>Fiction</v>
      </c>
      <c r="F953" s="1" t="str">
        <f t="array" ref="F953">_xlfn.XLOOKUP(A953,Product!A:A,Product!C:C,"Bulunamadı")</f>
        <v>Medieval History</v>
      </c>
      <c r="G953" s="2" t="str">
        <f t="array" ref="G953">_xlfn.XLOOKUP(A954,Product!A:A,Product!D:D,"Bulunamadı")</f>
        <v>Pinnacle Ridge Press</v>
      </c>
      <c r="H953" s="2">
        <f t="array" ref="H953">_xlfn.XLOOKUP(A955,Product!A:A,Product!E:E,"Bulunamadı")</f>
        <v>1.99</v>
      </c>
      <c r="I953" s="2" t="str">
        <f t="shared" si="1"/>
        <v>108944 - Fiction - Medieval History</v>
      </c>
      <c r="J953" s="2">
        <f t="shared" si="2"/>
        <v>760.18</v>
      </c>
      <c r="K953" s="17">
        <f t="shared" si="3"/>
        <v>1</v>
      </c>
      <c r="L953" s="18"/>
    </row>
    <row r="954" hidden="1">
      <c r="A954" s="2">
        <f>IFERROR(__xludf.DUMMYFUNCTION("""COMPUTED_VALUE"""),122693.0)</f>
        <v>122693</v>
      </c>
      <c r="B954" s="2">
        <f>IFERROR(__xludf.DUMMYFUNCTION("""COMPUTED_VALUE"""),1.0)</f>
        <v>1</v>
      </c>
      <c r="C954" s="2">
        <f>IFERROR(__xludf.DUMMYFUNCTION("""COMPUTED_VALUE"""),373.0)</f>
        <v>373</v>
      </c>
      <c r="D954" s="3">
        <f>IFERROR(__xludf.DUMMYFUNCTION("""COMPUTED_VALUE"""),47.0)</f>
        <v>47</v>
      </c>
      <c r="E954" s="1" t="str">
        <f t="array" ref="E954">_xlfn.XLOOKUP(A954,Product!A:A,Product!B:B,"Bulunamadı")</f>
        <v>Fiction</v>
      </c>
      <c r="F954" s="1" t="str">
        <f t="array" ref="F954">_xlfn.XLOOKUP(A954,Product!A:A,Product!C:C,"Bulunamadı")</f>
        <v>Medieval History</v>
      </c>
      <c r="G954" s="2" t="str">
        <f t="array" ref="G954">_xlfn.XLOOKUP(A955,Product!A:A,Product!D:D,"Bulunamadı")</f>
        <v>Pinnacle Ridge Press</v>
      </c>
      <c r="H954" s="2">
        <f t="array" ref="H954">_xlfn.XLOOKUP(A956,Product!A:A,Product!E:E,"Bulunamadı")</f>
        <v>1.55</v>
      </c>
      <c r="I954" s="2" t="str">
        <f t="shared" si="1"/>
        <v>122693 - Fiction - Medieval History</v>
      </c>
      <c r="J954" s="2">
        <f t="shared" si="2"/>
        <v>72.85</v>
      </c>
      <c r="K954" s="17">
        <f t="shared" si="3"/>
        <v>1</v>
      </c>
      <c r="L954" s="18"/>
    </row>
    <row r="955" hidden="1">
      <c r="A955" s="2">
        <f>IFERROR(__xludf.DUMMYFUNCTION("""COMPUTED_VALUE"""),20049.0)</f>
        <v>20049</v>
      </c>
      <c r="B955" s="2">
        <f>IFERROR(__xludf.DUMMYFUNCTION("""COMPUTED_VALUE"""),1.0)</f>
        <v>1</v>
      </c>
      <c r="C955" s="2">
        <f>IFERROR(__xludf.DUMMYFUNCTION("""COMPUTED_VALUE"""),918.0)</f>
        <v>918</v>
      </c>
      <c r="D955" s="3">
        <f>IFERROR(__xludf.DUMMYFUNCTION("""COMPUTED_VALUE"""),26.0)</f>
        <v>26</v>
      </c>
      <c r="E955" s="1" t="str">
        <f t="array" ref="E955">_xlfn.XLOOKUP(A955,Product!A:A,Product!B:B,"Bulunamadı")</f>
        <v>Fiction</v>
      </c>
      <c r="F955" s="1" t="str">
        <f t="array" ref="F955">_xlfn.XLOOKUP(A955,Product!A:A,Product!C:C,"Bulunamadı")</f>
        <v>Medieval History</v>
      </c>
      <c r="G955" s="2" t="str">
        <f t="array" ref="G955">_xlfn.XLOOKUP(A956,Product!A:A,Product!D:D,"Bulunamadı")</f>
        <v>Pinnacle Ridge Press</v>
      </c>
      <c r="H955" s="2">
        <f t="array" ref="H955">_xlfn.XLOOKUP(A957,Product!A:A,Product!E:E,"Bulunamadı")</f>
        <v>2.18</v>
      </c>
      <c r="I955" s="2" t="str">
        <f t="shared" si="1"/>
        <v>20049 - Fiction - Medieval History</v>
      </c>
      <c r="J955" s="2">
        <f t="shared" si="2"/>
        <v>56.68</v>
      </c>
      <c r="K955" s="17">
        <f t="shared" si="3"/>
        <v>1</v>
      </c>
      <c r="L955" s="18"/>
    </row>
    <row r="956" hidden="1">
      <c r="A956" s="2">
        <f>IFERROR(__xludf.DUMMYFUNCTION("""COMPUTED_VALUE"""),20055.0)</f>
        <v>20055</v>
      </c>
      <c r="B956" s="2">
        <f>IFERROR(__xludf.DUMMYFUNCTION("""COMPUTED_VALUE"""),0.0)</f>
        <v>0</v>
      </c>
      <c r="C956" s="2">
        <f>IFERROR(__xludf.DUMMYFUNCTION("""COMPUTED_VALUE"""),313.0)</f>
        <v>313</v>
      </c>
      <c r="D956" s="3">
        <f>IFERROR(__xludf.DUMMYFUNCTION("""COMPUTED_VALUE"""),52.0)</f>
        <v>52</v>
      </c>
      <c r="E956" s="1" t="str">
        <f t="array" ref="E956">_xlfn.XLOOKUP(A956,Product!A:A,Product!B:B,"Bulunamadı")</f>
        <v>Fiction</v>
      </c>
      <c r="F956" s="1" t="str">
        <f t="array" ref="F956">_xlfn.XLOOKUP(A956,Product!A:A,Product!C:C,"Bulunamadı")</f>
        <v>Medieval History</v>
      </c>
      <c r="G956" s="2" t="str">
        <f t="array" ref="G956">_xlfn.XLOOKUP(A957,Product!A:A,Product!D:D,"Bulunamadı")</f>
        <v>Pinnacle Ridge Press</v>
      </c>
      <c r="H956" s="2">
        <f t="array" ref="H956">_xlfn.XLOOKUP(A958,Product!A:A,Product!E:E,"Bulunamadı")</f>
        <v>1.68</v>
      </c>
      <c r="I956" s="2" t="str">
        <f t="shared" si="1"/>
        <v>20055 - Fiction - Medieval History</v>
      </c>
      <c r="J956" s="2">
        <f t="shared" si="2"/>
        <v>87.36</v>
      </c>
      <c r="K956" s="17">
        <f t="shared" si="3"/>
        <v>1</v>
      </c>
      <c r="L956" s="18"/>
    </row>
    <row r="957" hidden="1">
      <c r="A957" s="2">
        <f>IFERROR(__xludf.DUMMYFUNCTION("""COMPUTED_VALUE"""),112845.0)</f>
        <v>112845</v>
      </c>
      <c r="B957" s="2">
        <f>IFERROR(__xludf.DUMMYFUNCTION("""COMPUTED_VALUE"""),0.0)</f>
        <v>0</v>
      </c>
      <c r="C957" s="2">
        <f>IFERROR(__xludf.DUMMYFUNCTION("""COMPUTED_VALUE"""),744.0)</f>
        <v>744</v>
      </c>
      <c r="D957" s="3">
        <f>IFERROR(__xludf.DUMMYFUNCTION("""COMPUTED_VALUE"""),667.0)</f>
        <v>667</v>
      </c>
      <c r="E957" s="1" t="str">
        <f t="array" ref="E957">_xlfn.XLOOKUP(A957,Product!A:A,Product!B:B,"Bulunamadı")</f>
        <v>Fiction</v>
      </c>
      <c r="F957" s="1" t="str">
        <f t="array" ref="F957">_xlfn.XLOOKUP(A957,Product!A:A,Product!C:C,"Bulunamadı")</f>
        <v>Medieval History</v>
      </c>
      <c r="G957" s="2" t="str">
        <f t="array" ref="G957">_xlfn.XLOOKUP(A958,Product!A:A,Product!D:D,"Bulunamadı")</f>
        <v>Pinnacle Ridge Press</v>
      </c>
      <c r="H957" s="2">
        <f t="array" ref="H957">_xlfn.XLOOKUP(A959,Product!A:A,Product!E:E,"Bulunamadı")</f>
        <v>2.43</v>
      </c>
      <c r="I957" s="2" t="str">
        <f t="shared" si="1"/>
        <v>112845 - Fiction - Medieval History</v>
      </c>
      <c r="J957" s="2">
        <f t="shared" si="2"/>
        <v>1620.81</v>
      </c>
      <c r="K957" s="17">
        <f t="shared" si="3"/>
        <v>1</v>
      </c>
      <c r="L957" s="18"/>
    </row>
    <row r="958" hidden="1">
      <c r="A958" s="2">
        <f>IFERROR(__xludf.DUMMYFUNCTION("""COMPUTED_VALUE"""),9490.0)</f>
        <v>9490</v>
      </c>
      <c r="B958" s="2">
        <f>IFERROR(__xludf.DUMMYFUNCTION("""COMPUTED_VALUE"""),1.0)</f>
        <v>1</v>
      </c>
      <c r="C958" s="2">
        <f>IFERROR(__xludf.DUMMYFUNCTION("""COMPUTED_VALUE"""),744.0)</f>
        <v>744</v>
      </c>
      <c r="D958" s="3">
        <f>IFERROR(__xludf.DUMMYFUNCTION("""COMPUTED_VALUE"""),364.0)</f>
        <v>364</v>
      </c>
      <c r="E958" s="1" t="str">
        <f t="array" ref="E958">_xlfn.XLOOKUP(A958,Product!A:A,Product!B:B,"Bulunamadı")</f>
        <v>Fiction</v>
      </c>
      <c r="F958" s="1" t="str">
        <f t="array" ref="F958">_xlfn.XLOOKUP(A958,Product!A:A,Product!C:C,"Bulunamadı")</f>
        <v>Medieval History</v>
      </c>
      <c r="G958" s="2" t="str">
        <f t="array" ref="G958">_xlfn.XLOOKUP(A959,Product!A:A,Product!D:D,"Bulunamadı")</f>
        <v>Pinnacle Ridge Press</v>
      </c>
      <c r="H958" s="2">
        <f t="array" ref="H958">_xlfn.XLOOKUP(A960,Product!A:A,Product!E:E,"Bulunamadı")</f>
        <v>2.78</v>
      </c>
      <c r="I958" s="2" t="str">
        <f t="shared" si="1"/>
        <v>9490 - Fiction - Medieval History</v>
      </c>
      <c r="J958" s="2">
        <f t="shared" si="2"/>
        <v>1011.92</v>
      </c>
      <c r="K958" s="17">
        <f t="shared" si="3"/>
        <v>1</v>
      </c>
      <c r="L958" s="18"/>
    </row>
    <row r="959" hidden="1">
      <c r="A959" s="2">
        <f>IFERROR(__xludf.DUMMYFUNCTION("""COMPUTED_VALUE"""),105034.0)</f>
        <v>105034</v>
      </c>
      <c r="B959" s="2">
        <f>IFERROR(__xludf.DUMMYFUNCTION("""COMPUTED_VALUE"""),1.0)</f>
        <v>1</v>
      </c>
      <c r="C959" s="2">
        <f>IFERROR(__xludf.DUMMYFUNCTION("""COMPUTED_VALUE"""),199.0)</f>
        <v>199</v>
      </c>
      <c r="D959" s="3">
        <f>IFERROR(__xludf.DUMMYFUNCTION("""COMPUTED_VALUE"""),71.0)</f>
        <v>71</v>
      </c>
      <c r="E959" s="1" t="str">
        <f t="array" ref="E959">_xlfn.XLOOKUP(A959,Product!A:A,Product!B:B,"Bulunamadı")</f>
        <v>Fiction</v>
      </c>
      <c r="F959" s="1" t="str">
        <f t="array" ref="F959">_xlfn.XLOOKUP(A959,Product!A:A,Product!C:C,"Bulunamadı")</f>
        <v>Medieval History</v>
      </c>
      <c r="G959" s="2" t="str">
        <f t="array" ref="G959">_xlfn.XLOOKUP(A960,Product!A:A,Product!D:D,"Bulunamadı")</f>
        <v>Pinnacle Ridge Press</v>
      </c>
      <c r="H959" s="2">
        <f t="array" ref="H959">_xlfn.XLOOKUP(A961,Product!A:A,Product!E:E,"Bulunamadı")</f>
        <v>1.59</v>
      </c>
      <c r="I959" s="2" t="str">
        <f t="shared" si="1"/>
        <v>105034 - Fiction - Medieval History</v>
      </c>
      <c r="J959" s="2">
        <f t="shared" si="2"/>
        <v>112.89</v>
      </c>
      <c r="K959" s="17">
        <f t="shared" si="3"/>
        <v>1</v>
      </c>
      <c r="L959" s="18"/>
    </row>
    <row r="960" hidden="1">
      <c r="A960" s="2">
        <f>IFERROR(__xludf.DUMMYFUNCTION("""COMPUTED_VALUE"""),122680.0)</f>
        <v>122680</v>
      </c>
      <c r="B960" s="2">
        <f>IFERROR(__xludf.DUMMYFUNCTION("""COMPUTED_VALUE"""),0.0)</f>
        <v>0</v>
      </c>
      <c r="C960" s="2">
        <f>IFERROR(__xludf.DUMMYFUNCTION("""COMPUTED_VALUE"""),115.0)</f>
        <v>115</v>
      </c>
      <c r="D960" s="3">
        <f>IFERROR(__xludf.DUMMYFUNCTION("""COMPUTED_VALUE"""),25.0)</f>
        <v>25</v>
      </c>
      <c r="E960" s="1" t="str">
        <f t="array" ref="E960">_xlfn.XLOOKUP(A960,Product!A:A,Product!B:B,"Bulunamadı")</f>
        <v>Fiction</v>
      </c>
      <c r="F960" s="1" t="str">
        <f t="array" ref="F960">_xlfn.XLOOKUP(A960,Product!A:A,Product!C:C,"Bulunamadı")</f>
        <v>Medieval History</v>
      </c>
      <c r="G960" s="2" t="str">
        <f t="array" ref="G960">_xlfn.XLOOKUP(A961,Product!A:A,Product!D:D,"Bulunamadı")</f>
        <v>Pinnacle Ridge Press</v>
      </c>
      <c r="H960" s="2">
        <f t="array" ref="H960">_xlfn.XLOOKUP(A962,Product!A:A,Product!E:E,"Bulunamadı")</f>
        <v>2</v>
      </c>
      <c r="I960" s="2" t="str">
        <f t="shared" si="1"/>
        <v>122680 - Fiction - Medieval History</v>
      </c>
      <c r="J960" s="2">
        <f t="shared" si="2"/>
        <v>50</v>
      </c>
      <c r="K960" s="17">
        <f t="shared" si="3"/>
        <v>1</v>
      </c>
      <c r="L960" s="18"/>
    </row>
    <row r="961" hidden="1">
      <c r="A961" s="2">
        <f>IFERROR(__xludf.DUMMYFUNCTION("""COMPUTED_VALUE"""),112846.0)</f>
        <v>112846</v>
      </c>
      <c r="B961" s="2">
        <f>IFERROR(__xludf.DUMMYFUNCTION("""COMPUTED_VALUE"""),1.0)</f>
        <v>1</v>
      </c>
      <c r="C961" s="2">
        <f>IFERROR(__xludf.DUMMYFUNCTION("""COMPUTED_VALUE"""),845.0)</f>
        <v>845</v>
      </c>
      <c r="D961" s="3">
        <f>IFERROR(__xludf.DUMMYFUNCTION("""COMPUTED_VALUE"""),115.0)</f>
        <v>115</v>
      </c>
      <c r="E961" s="1" t="str">
        <f t="array" ref="E961">_xlfn.XLOOKUP(A961,Product!A:A,Product!B:B,"Bulunamadı")</f>
        <v>Fiction</v>
      </c>
      <c r="F961" s="1" t="str">
        <f t="array" ref="F961">_xlfn.XLOOKUP(A961,Product!A:A,Product!C:C,"Bulunamadı")</f>
        <v>Medieval History</v>
      </c>
      <c r="G961" s="2" t="str">
        <f t="array" ref="G961">_xlfn.XLOOKUP(A962,Product!A:A,Product!D:D,"Bulunamadı")</f>
        <v>Pinnacle Ridge Press</v>
      </c>
      <c r="H961" s="2">
        <f t="array" ref="H961">_xlfn.XLOOKUP(A963,Product!A:A,Product!E:E,"Bulunamadı")</f>
        <v>3.78</v>
      </c>
      <c r="I961" s="2" t="str">
        <f t="shared" si="1"/>
        <v>112846 - Fiction - Medieval History</v>
      </c>
      <c r="J961" s="2">
        <f t="shared" si="2"/>
        <v>434.7</v>
      </c>
      <c r="K961" s="17">
        <f t="shared" si="3"/>
        <v>1</v>
      </c>
      <c r="L961" s="18"/>
    </row>
    <row r="962" hidden="1">
      <c r="A962" s="2">
        <f>IFERROR(__xludf.DUMMYFUNCTION("""COMPUTED_VALUE"""),80816.0)</f>
        <v>80816</v>
      </c>
      <c r="B962" s="2">
        <f>IFERROR(__xludf.DUMMYFUNCTION("""COMPUTED_VALUE"""),1.0)</f>
        <v>1</v>
      </c>
      <c r="C962" s="2">
        <f>IFERROR(__xludf.DUMMYFUNCTION("""COMPUTED_VALUE"""),919.0)</f>
        <v>919</v>
      </c>
      <c r="D962" s="3">
        <f>IFERROR(__xludf.DUMMYFUNCTION("""COMPUTED_VALUE"""),689.0)</f>
        <v>689</v>
      </c>
      <c r="E962" s="1" t="str">
        <f t="array" ref="E962">_xlfn.XLOOKUP(A962,Product!A:A,Product!B:B,"Bulunamadı")</f>
        <v>Fiction</v>
      </c>
      <c r="F962" s="1" t="str">
        <f t="array" ref="F962">_xlfn.XLOOKUP(A962,Product!A:A,Product!C:C,"Bulunamadı")</f>
        <v>Medieval History</v>
      </c>
      <c r="G962" s="2" t="str">
        <f t="array" ref="G962">_xlfn.XLOOKUP(A963,Product!A:A,Product!D:D,"Bulunamadı")</f>
        <v>Pinnacle Ridge Press</v>
      </c>
      <c r="H962" s="2">
        <f t="array" ref="H962">_xlfn.XLOOKUP(A964,Product!A:A,Product!E:E,"Bulunamadı")</f>
        <v>5.13</v>
      </c>
      <c r="I962" s="2" t="str">
        <f t="shared" si="1"/>
        <v>80816 - Fiction - Medieval History</v>
      </c>
      <c r="J962" s="2">
        <f t="shared" si="2"/>
        <v>3534.57</v>
      </c>
      <c r="K962" s="17">
        <f t="shared" si="3"/>
        <v>1</v>
      </c>
      <c r="L962" s="18"/>
    </row>
    <row r="963" hidden="1">
      <c r="A963" s="2">
        <f>IFERROR(__xludf.DUMMYFUNCTION("""COMPUTED_VALUE"""),44749.0)</f>
        <v>44749</v>
      </c>
      <c r="B963" s="2">
        <f>IFERROR(__xludf.DUMMYFUNCTION("""COMPUTED_VALUE"""),1.0)</f>
        <v>1</v>
      </c>
      <c r="C963" s="2">
        <f>IFERROR(__xludf.DUMMYFUNCTION("""COMPUTED_VALUE"""),269.0)</f>
        <v>269</v>
      </c>
      <c r="D963" s="3">
        <f>IFERROR(__xludf.DUMMYFUNCTION("""COMPUTED_VALUE"""),53.0)</f>
        <v>53</v>
      </c>
      <c r="E963" s="1" t="str">
        <f t="array" ref="E963">_xlfn.XLOOKUP(A963,Product!A:A,Product!B:B,"Bulunamadı")</f>
        <v>Fiction</v>
      </c>
      <c r="F963" s="1" t="str">
        <f t="array" ref="F963">_xlfn.XLOOKUP(A963,Product!A:A,Product!C:C,"Bulunamadı")</f>
        <v>Medieval History</v>
      </c>
      <c r="G963" s="2" t="str">
        <f t="array" ref="G963">_xlfn.XLOOKUP(A964,Product!A:A,Product!D:D,"Bulunamadı")</f>
        <v>Pinnacle Ridge Press</v>
      </c>
      <c r="H963" s="2">
        <f t="array" ref="H963">_xlfn.XLOOKUP(A965,Product!A:A,Product!E:E,"Bulunamadı")</f>
        <v>4.94</v>
      </c>
      <c r="I963" s="2" t="str">
        <f t="shared" si="1"/>
        <v>44749 - Fiction - Medieval History</v>
      </c>
      <c r="J963" s="2">
        <f t="shared" si="2"/>
        <v>261.82</v>
      </c>
      <c r="K963" s="17">
        <f t="shared" si="3"/>
        <v>1</v>
      </c>
      <c r="L963" s="18"/>
    </row>
    <row r="964" hidden="1">
      <c r="A964" s="2">
        <f>IFERROR(__xludf.DUMMYFUNCTION("""COMPUTED_VALUE"""),79498.0)</f>
        <v>79498</v>
      </c>
      <c r="B964" s="2">
        <f>IFERROR(__xludf.DUMMYFUNCTION("""COMPUTED_VALUE"""),0.0)</f>
        <v>0</v>
      </c>
      <c r="C964" s="2">
        <f>IFERROR(__xludf.DUMMYFUNCTION("""COMPUTED_VALUE"""),209.0)</f>
        <v>209</v>
      </c>
      <c r="D964" s="3">
        <f>IFERROR(__xludf.DUMMYFUNCTION("""COMPUTED_VALUE"""),61.0)</f>
        <v>61</v>
      </c>
      <c r="E964" s="1" t="str">
        <f t="array" ref="E964">_xlfn.XLOOKUP(A964,Product!A:A,Product!B:B,"Bulunamadı")</f>
        <v>Fiction</v>
      </c>
      <c r="F964" s="1" t="str">
        <f t="array" ref="F964">_xlfn.XLOOKUP(A964,Product!A:A,Product!C:C,"Bulunamadı")</f>
        <v>Medieval History</v>
      </c>
      <c r="G964" s="2" t="str">
        <f t="array" ref="G964">_xlfn.XLOOKUP(A965,Product!A:A,Product!D:D,"Bulunamadı")</f>
        <v>Pinnacle Ridge Press</v>
      </c>
      <c r="H964" s="2">
        <f t="array" ref="H964">_xlfn.XLOOKUP(A966,Product!A:A,Product!E:E,"Bulunamadı")</f>
        <v>2.27</v>
      </c>
      <c r="I964" s="2" t="str">
        <f t="shared" si="1"/>
        <v>79498 - Fiction - Medieval History</v>
      </c>
      <c r="J964" s="2">
        <f t="shared" si="2"/>
        <v>138.47</v>
      </c>
      <c r="K964" s="17">
        <f t="shared" si="3"/>
        <v>1</v>
      </c>
      <c r="L964" s="18"/>
    </row>
    <row r="965" hidden="1">
      <c r="A965" s="2">
        <f>IFERROR(__xludf.DUMMYFUNCTION("""COMPUTED_VALUE"""),2799.0)</f>
        <v>2799</v>
      </c>
      <c r="B965" s="2">
        <f>IFERROR(__xludf.DUMMYFUNCTION("""COMPUTED_VALUE"""),1.0)</f>
        <v>1</v>
      </c>
      <c r="C965" s="2">
        <f>IFERROR(__xludf.DUMMYFUNCTION("""COMPUTED_VALUE"""),587.0)</f>
        <v>587</v>
      </c>
      <c r="D965" s="3">
        <f>IFERROR(__xludf.DUMMYFUNCTION("""COMPUTED_VALUE"""),50.0)</f>
        <v>50</v>
      </c>
      <c r="E965" s="1" t="str">
        <f t="array" ref="E965">_xlfn.XLOOKUP(A965,Product!A:A,Product!B:B,"Bulunamadı")</f>
        <v>Fiction</v>
      </c>
      <c r="F965" s="1" t="str">
        <f t="array" ref="F965">_xlfn.XLOOKUP(A965,Product!A:A,Product!C:C,"Bulunamadı")</f>
        <v>Medieval History</v>
      </c>
      <c r="G965" s="2" t="str">
        <f t="array" ref="G965">_xlfn.XLOOKUP(A966,Product!A:A,Product!D:D,"Bulunamadı")</f>
        <v>Pinnacle Ridge Press</v>
      </c>
      <c r="H965" s="2">
        <f t="array" ref="H965">_xlfn.XLOOKUP(A967,Product!A:A,Product!E:E,"Bulunamadı")</f>
        <v>2.32</v>
      </c>
      <c r="I965" s="2" t="str">
        <f t="shared" si="1"/>
        <v>2799 - Fiction - Medieval History</v>
      </c>
      <c r="J965" s="2">
        <f t="shared" si="2"/>
        <v>116</v>
      </c>
      <c r="K965" s="17">
        <f t="shared" si="3"/>
        <v>1</v>
      </c>
      <c r="L965" s="18"/>
    </row>
    <row r="966" hidden="1">
      <c r="A966" s="2">
        <f>IFERROR(__xludf.DUMMYFUNCTION("""COMPUTED_VALUE"""),194401.0)</f>
        <v>194401</v>
      </c>
      <c r="B966" s="2">
        <f>IFERROR(__xludf.DUMMYFUNCTION("""COMPUTED_VALUE"""),1.0)</f>
        <v>1</v>
      </c>
      <c r="C966" s="2">
        <f>IFERROR(__xludf.DUMMYFUNCTION("""COMPUTED_VALUE"""),871.0)</f>
        <v>871</v>
      </c>
      <c r="D966" s="3">
        <f>IFERROR(__xludf.DUMMYFUNCTION("""COMPUTED_VALUE"""),454.0)</f>
        <v>454</v>
      </c>
      <c r="E966" s="1" t="str">
        <f t="array" ref="E966">_xlfn.XLOOKUP(A966,Product!A:A,Product!B:B,"Bulunamadı")</f>
        <v>Fiction</v>
      </c>
      <c r="F966" s="1" t="str">
        <f t="array" ref="F966">_xlfn.XLOOKUP(A966,Product!A:A,Product!C:C,"Bulunamadı")</f>
        <v>Medieval History</v>
      </c>
      <c r="G966" s="2" t="str">
        <f t="array" ref="G966">_xlfn.XLOOKUP(A967,Product!A:A,Product!D:D,"Bulunamadı")</f>
        <v>Pinnacle Ridge Press</v>
      </c>
      <c r="H966" s="2">
        <f t="array" ref="H966">_xlfn.XLOOKUP(A968,Product!A:A,Product!E:E,"Bulunamadı")</f>
        <v>2.8</v>
      </c>
      <c r="I966" s="2" t="str">
        <f t="shared" si="1"/>
        <v>194401 - Fiction - Medieval History</v>
      </c>
      <c r="J966" s="2">
        <f t="shared" si="2"/>
        <v>1271.2</v>
      </c>
      <c r="K966" s="17">
        <f t="shared" si="3"/>
        <v>1</v>
      </c>
      <c r="L966" s="18"/>
    </row>
    <row r="967" hidden="1">
      <c r="A967" s="2">
        <f>IFERROR(__xludf.DUMMYFUNCTION("""COMPUTED_VALUE"""),5291.0)</f>
        <v>5291</v>
      </c>
      <c r="B967" s="2">
        <f>IFERROR(__xludf.DUMMYFUNCTION("""COMPUTED_VALUE"""),0.0)</f>
        <v>0</v>
      </c>
      <c r="C967" s="2">
        <f>IFERROR(__xludf.DUMMYFUNCTION("""COMPUTED_VALUE"""),721.0)</f>
        <v>721</v>
      </c>
      <c r="D967" s="3">
        <f>IFERROR(__xludf.DUMMYFUNCTION("""COMPUTED_VALUE"""),390.0)</f>
        <v>390</v>
      </c>
      <c r="E967" s="1" t="str">
        <f t="array" ref="E967">_xlfn.XLOOKUP(A967,Product!A:A,Product!B:B,"Bulunamadı")</f>
        <v>Fiction</v>
      </c>
      <c r="F967" s="1" t="str">
        <f t="array" ref="F967">_xlfn.XLOOKUP(A967,Product!A:A,Product!C:C,"Bulunamadı")</f>
        <v>Medieval History</v>
      </c>
      <c r="G967" s="2" t="str">
        <f t="array" ref="G967">_xlfn.XLOOKUP(A968,Product!A:A,Product!D:D,"Bulunamadı")</f>
        <v>Pinnacle Ridge Press</v>
      </c>
      <c r="H967" s="2">
        <f t="array" ref="H967">_xlfn.XLOOKUP(A969,Product!A:A,Product!E:E,"Bulunamadı")</f>
        <v>11.24</v>
      </c>
      <c r="I967" s="2" t="str">
        <f t="shared" si="1"/>
        <v>5291 - Fiction - Medieval History</v>
      </c>
      <c r="J967" s="2">
        <f t="shared" si="2"/>
        <v>4383.6</v>
      </c>
      <c r="K967" s="17">
        <f t="shared" si="3"/>
        <v>1</v>
      </c>
      <c r="L967" s="18"/>
    </row>
    <row r="968" hidden="1">
      <c r="A968" s="2">
        <f>IFERROR(__xludf.DUMMYFUNCTION("""COMPUTED_VALUE"""),2796.0)</f>
        <v>2796</v>
      </c>
      <c r="B968" s="2">
        <f>IFERROR(__xludf.DUMMYFUNCTION("""COMPUTED_VALUE"""),1.0)</f>
        <v>1</v>
      </c>
      <c r="C968" s="2">
        <f>IFERROR(__xludf.DUMMYFUNCTION("""COMPUTED_VALUE"""),821.0)</f>
        <v>821</v>
      </c>
      <c r="D968" s="3">
        <f>IFERROR(__xludf.DUMMYFUNCTION("""COMPUTED_VALUE"""),427.0)</f>
        <v>427</v>
      </c>
      <c r="E968" s="1" t="str">
        <f t="array" ref="E968">_xlfn.XLOOKUP(A968,Product!A:A,Product!B:B,"Bulunamadı")</f>
        <v>Fiction</v>
      </c>
      <c r="F968" s="1" t="str">
        <f t="array" ref="F968">_xlfn.XLOOKUP(A968,Product!A:A,Product!C:C,"Bulunamadı")</f>
        <v>Medieval History</v>
      </c>
      <c r="G968" s="2" t="str">
        <f t="array" ref="G968">_xlfn.XLOOKUP(A969,Product!A:A,Product!D:D,"Bulunamadı")</f>
        <v>Pinnacle Ridge Press</v>
      </c>
      <c r="H968" s="2">
        <f t="array" ref="H968">_xlfn.XLOOKUP(A970,Product!A:A,Product!E:E,"Bulunamadı")</f>
        <v>2.39</v>
      </c>
      <c r="I968" s="2" t="str">
        <f t="shared" si="1"/>
        <v>2796 - Fiction - Medieval History</v>
      </c>
      <c r="J968" s="2">
        <f t="shared" si="2"/>
        <v>1020.53</v>
      </c>
      <c r="K968" s="17">
        <f t="shared" si="3"/>
        <v>1</v>
      </c>
      <c r="L968" s="18"/>
    </row>
    <row r="969" hidden="1">
      <c r="A969" s="2">
        <f>IFERROR(__xludf.DUMMYFUNCTION("""COMPUTED_VALUE"""),71325.0)</f>
        <v>71325</v>
      </c>
      <c r="B969" s="2">
        <f>IFERROR(__xludf.DUMMYFUNCTION("""COMPUTED_VALUE"""),1.0)</f>
        <v>1</v>
      </c>
      <c r="C969" s="2">
        <f>IFERROR(__xludf.DUMMYFUNCTION("""COMPUTED_VALUE"""),341.0)</f>
        <v>341</v>
      </c>
      <c r="D969" s="3">
        <f>IFERROR(__xludf.DUMMYFUNCTION("""COMPUTED_VALUE"""),327.0)</f>
        <v>327</v>
      </c>
      <c r="E969" s="1" t="str">
        <f t="array" ref="E969">_xlfn.XLOOKUP(A969,Product!A:A,Product!B:B,"Bulunamadı")</f>
        <v>Fiction</v>
      </c>
      <c r="F969" s="1" t="str">
        <f t="array" ref="F969">_xlfn.XLOOKUP(A969,Product!A:A,Product!C:C,"Bulunamadı")</f>
        <v>Medieval History</v>
      </c>
      <c r="G969" s="2" t="str">
        <f t="array" ref="G969">_xlfn.XLOOKUP(A970,Product!A:A,Product!D:D,"Bulunamadı")</f>
        <v>Pinnacle Ridge Press</v>
      </c>
      <c r="H969" s="2">
        <f t="array" ref="H969">_xlfn.XLOOKUP(A971,Product!A:A,Product!E:E,"Bulunamadı")</f>
        <v>2.87</v>
      </c>
      <c r="I969" s="2" t="str">
        <f t="shared" si="1"/>
        <v>71325 - Fiction - Medieval History</v>
      </c>
      <c r="J969" s="2">
        <f t="shared" si="2"/>
        <v>938.49</v>
      </c>
      <c r="K969" s="17">
        <f t="shared" si="3"/>
        <v>1</v>
      </c>
      <c r="L969" s="18"/>
    </row>
    <row r="970" hidden="1">
      <c r="A970" s="2">
        <f>IFERROR(__xludf.DUMMYFUNCTION("""COMPUTED_VALUE"""),2793.0)</f>
        <v>2793</v>
      </c>
      <c r="B970" s="2">
        <f>IFERROR(__xludf.DUMMYFUNCTION("""COMPUTED_VALUE"""),0.0)</f>
        <v>0</v>
      </c>
      <c r="C970" s="2">
        <f>IFERROR(__xludf.DUMMYFUNCTION("""COMPUTED_VALUE"""),72.0)</f>
        <v>72</v>
      </c>
      <c r="D970" s="3">
        <f>IFERROR(__xludf.DUMMYFUNCTION("""COMPUTED_VALUE"""),26.0)</f>
        <v>26</v>
      </c>
      <c r="E970" s="1" t="str">
        <f t="array" ref="E970">_xlfn.XLOOKUP(A970,Product!A:A,Product!B:B,"Bulunamadı")</f>
        <v>Fiction</v>
      </c>
      <c r="F970" s="1" t="str">
        <f t="array" ref="F970">_xlfn.XLOOKUP(A970,Product!A:A,Product!C:C,"Bulunamadı")</f>
        <v>Medieval History</v>
      </c>
      <c r="G970" s="2" t="str">
        <f t="array" ref="G970">_xlfn.XLOOKUP(A971,Product!A:A,Product!D:D,"Bulunamadı")</f>
        <v>Pinnacle Ridge Press</v>
      </c>
      <c r="H970" s="2">
        <f t="array" ref="H970">_xlfn.XLOOKUP(A972,Product!A:A,Product!E:E,"Bulunamadı")</f>
        <v>2.32</v>
      </c>
      <c r="I970" s="2" t="str">
        <f t="shared" si="1"/>
        <v>2793 - Fiction - Medieval History</v>
      </c>
      <c r="J970" s="2">
        <f t="shared" si="2"/>
        <v>60.32</v>
      </c>
      <c r="K970" s="17">
        <f t="shared" si="3"/>
        <v>1</v>
      </c>
      <c r="L970" s="18"/>
    </row>
    <row r="971" hidden="1">
      <c r="A971" s="2">
        <f>IFERROR(__xludf.DUMMYFUNCTION("""COMPUTED_VALUE"""),102781.0)</f>
        <v>102781</v>
      </c>
      <c r="B971" s="2">
        <f>IFERROR(__xludf.DUMMYFUNCTION("""COMPUTED_VALUE"""),1.0)</f>
        <v>1</v>
      </c>
      <c r="C971" s="2">
        <f>IFERROR(__xludf.DUMMYFUNCTION("""COMPUTED_VALUE"""),855.0)</f>
        <v>855</v>
      </c>
      <c r="D971" s="3">
        <f>IFERROR(__xludf.DUMMYFUNCTION("""COMPUTED_VALUE"""),797.0)</f>
        <v>797</v>
      </c>
      <c r="E971" s="1" t="str">
        <f t="array" ref="E971">_xlfn.XLOOKUP(A971,Product!A:A,Product!B:B,"Bulunamadı")</f>
        <v>Fiction</v>
      </c>
      <c r="F971" s="1" t="str">
        <f t="array" ref="F971">_xlfn.XLOOKUP(A971,Product!A:A,Product!C:C,"Bulunamadı")</f>
        <v>Medieval History</v>
      </c>
      <c r="G971" s="2" t="str">
        <f t="array" ref="G971">_xlfn.XLOOKUP(A972,Product!A:A,Product!D:D,"Bulunamadı")</f>
        <v>Pinnacle Ridge Press</v>
      </c>
      <c r="H971" s="2">
        <f t="array" ref="H971">_xlfn.XLOOKUP(A973,Product!A:A,Product!E:E,"Bulunamadı")</f>
        <v>2.39</v>
      </c>
      <c r="I971" s="2" t="str">
        <f t="shared" si="1"/>
        <v>102781 - Fiction - Medieval History</v>
      </c>
      <c r="J971" s="2">
        <f t="shared" si="2"/>
        <v>1904.83</v>
      </c>
      <c r="K971" s="17">
        <f t="shared" si="3"/>
        <v>1</v>
      </c>
      <c r="L971" s="18"/>
    </row>
    <row r="972" hidden="1">
      <c r="A972" s="2">
        <f>IFERROR(__xludf.DUMMYFUNCTION("""COMPUTED_VALUE"""),109201.0)</f>
        <v>109201</v>
      </c>
      <c r="B972" s="2">
        <f>IFERROR(__xludf.DUMMYFUNCTION("""COMPUTED_VALUE"""),1.0)</f>
        <v>1</v>
      </c>
      <c r="C972" s="2">
        <f>IFERROR(__xludf.DUMMYFUNCTION("""COMPUTED_VALUE"""),482.0)</f>
        <v>482</v>
      </c>
      <c r="D972" s="3">
        <f>IFERROR(__xludf.DUMMYFUNCTION("""COMPUTED_VALUE"""),297.0)</f>
        <v>297</v>
      </c>
      <c r="E972" s="1" t="str">
        <f t="array" ref="E972">_xlfn.XLOOKUP(A972,Product!A:A,Product!B:B,"Bulunamadı")</f>
        <v>Fiction</v>
      </c>
      <c r="F972" s="1" t="str">
        <f t="array" ref="F972">_xlfn.XLOOKUP(A972,Product!A:A,Product!C:C,"Bulunamadı")</f>
        <v>Medieval History</v>
      </c>
      <c r="G972" s="2" t="str">
        <f t="array" ref="G972">_xlfn.XLOOKUP(A973,Product!A:A,Product!D:D,"Bulunamadı")</f>
        <v>Pinnacle Ridge Press</v>
      </c>
      <c r="H972" s="2">
        <f t="array" ref="H972">_xlfn.XLOOKUP(A974,Product!A:A,Product!E:E,"Bulunamadı")</f>
        <v>2.37</v>
      </c>
      <c r="I972" s="2" t="str">
        <f t="shared" si="1"/>
        <v>109201 - Fiction - Medieval History</v>
      </c>
      <c r="J972" s="2">
        <f t="shared" si="2"/>
        <v>703.89</v>
      </c>
      <c r="K972" s="17">
        <f t="shared" si="3"/>
        <v>1</v>
      </c>
      <c r="L972" s="18"/>
    </row>
    <row r="973" hidden="1">
      <c r="A973" s="2">
        <f>IFERROR(__xludf.DUMMYFUNCTION("""COMPUTED_VALUE"""),72814.0)</f>
        <v>72814</v>
      </c>
      <c r="B973" s="2">
        <f>IFERROR(__xludf.DUMMYFUNCTION("""COMPUTED_VALUE"""),0.0)</f>
        <v>0</v>
      </c>
      <c r="C973" s="2">
        <f>IFERROR(__xludf.DUMMYFUNCTION("""COMPUTED_VALUE"""),854.0)</f>
        <v>854</v>
      </c>
      <c r="D973" s="3">
        <f>IFERROR(__xludf.DUMMYFUNCTION("""COMPUTED_VALUE"""),575.0)</f>
        <v>575</v>
      </c>
      <c r="E973" s="1" t="str">
        <f t="array" ref="E973">_xlfn.XLOOKUP(A973,Product!A:A,Product!B:B,"Bulunamadı")</f>
        <v>Fiction</v>
      </c>
      <c r="F973" s="1" t="str">
        <f t="array" ref="F973">_xlfn.XLOOKUP(A973,Product!A:A,Product!C:C,"Bulunamadı")</f>
        <v>Medieval History</v>
      </c>
      <c r="G973" s="2" t="str">
        <f t="array" ref="G973">_xlfn.XLOOKUP(A974,Product!A:A,Product!D:D,"Bulunamadı")</f>
        <v>Pinnacle Ridge Press</v>
      </c>
      <c r="H973" s="2">
        <f t="array" ref="H973">_xlfn.XLOOKUP(A975,Product!A:A,Product!E:E,"Bulunamadı")</f>
        <v>5.08</v>
      </c>
      <c r="I973" s="2" t="str">
        <f t="shared" si="1"/>
        <v>72814 - Fiction - Medieval History</v>
      </c>
      <c r="J973" s="2">
        <f t="shared" si="2"/>
        <v>2921</v>
      </c>
      <c r="K973" s="17">
        <f t="shared" si="3"/>
        <v>1</v>
      </c>
      <c r="L973" s="18"/>
    </row>
    <row r="974" hidden="1">
      <c r="A974" s="2">
        <f>IFERROR(__xludf.DUMMYFUNCTION("""COMPUTED_VALUE"""),122351.0)</f>
        <v>122351</v>
      </c>
      <c r="B974" s="2">
        <f>IFERROR(__xludf.DUMMYFUNCTION("""COMPUTED_VALUE"""),1.0)</f>
        <v>1</v>
      </c>
      <c r="C974" s="2">
        <f>IFERROR(__xludf.DUMMYFUNCTION("""COMPUTED_VALUE"""),211.0)</f>
        <v>211</v>
      </c>
      <c r="D974" s="3">
        <f>IFERROR(__xludf.DUMMYFUNCTION("""COMPUTED_VALUE"""),182.0)</f>
        <v>182</v>
      </c>
      <c r="E974" s="1" t="str">
        <f t="array" ref="E974">_xlfn.XLOOKUP(A974,Product!A:A,Product!B:B,"Bulunamadı")</f>
        <v>Fiction</v>
      </c>
      <c r="F974" s="1" t="str">
        <f t="array" ref="F974">_xlfn.XLOOKUP(A974,Product!A:A,Product!C:C,"Bulunamadı")</f>
        <v>Medieval History</v>
      </c>
      <c r="G974" s="2" t="str">
        <f t="array" ref="G974">_xlfn.XLOOKUP(A975,Product!A:A,Product!D:D,"Bulunamadı")</f>
        <v>Pinnacle Ridge Press</v>
      </c>
      <c r="H974" s="2">
        <f t="array" ref="H974">_xlfn.XLOOKUP(A976,Product!A:A,Product!E:E,"Bulunamadı")</f>
        <v>1.46</v>
      </c>
      <c r="I974" s="2" t="str">
        <f t="shared" si="1"/>
        <v>122351 - Fiction - Medieval History</v>
      </c>
      <c r="J974" s="2">
        <f t="shared" si="2"/>
        <v>265.72</v>
      </c>
      <c r="K974" s="17">
        <f t="shared" si="3"/>
        <v>1</v>
      </c>
      <c r="L974" s="18"/>
    </row>
    <row r="975" hidden="1">
      <c r="A975" s="2">
        <f>IFERROR(__xludf.DUMMYFUNCTION("""COMPUTED_VALUE"""),99298.0)</f>
        <v>99298</v>
      </c>
      <c r="B975" s="2">
        <f>IFERROR(__xludf.DUMMYFUNCTION("""COMPUTED_VALUE"""),0.0)</f>
        <v>0</v>
      </c>
      <c r="C975" s="2">
        <f>IFERROR(__xludf.DUMMYFUNCTION("""COMPUTED_VALUE"""),661.0)</f>
        <v>661</v>
      </c>
      <c r="D975" s="3">
        <f>IFERROR(__xludf.DUMMYFUNCTION("""COMPUTED_VALUE"""),88.0)</f>
        <v>88</v>
      </c>
      <c r="E975" s="1" t="str">
        <f t="array" ref="E975">_xlfn.XLOOKUP(A975,Product!A:A,Product!B:B,"Bulunamadı")</f>
        <v>Fiction</v>
      </c>
      <c r="F975" s="1" t="str">
        <f t="array" ref="F975">_xlfn.XLOOKUP(A975,Product!A:A,Product!C:C,"Bulunamadı")</f>
        <v>Medieval History</v>
      </c>
      <c r="G975" s="2" t="str">
        <f t="array" ref="G975">_xlfn.XLOOKUP(A976,Product!A:A,Product!D:D,"Bulunamadı")</f>
        <v>Pinnacle Ridge Press</v>
      </c>
      <c r="H975" s="2">
        <f t="array" ref="H975">_xlfn.XLOOKUP(A977,Product!A:A,Product!E:E,"Bulunamadı")</f>
        <v>1.54</v>
      </c>
      <c r="I975" s="2" t="str">
        <f t="shared" si="1"/>
        <v>99298 - Fiction - Medieval History</v>
      </c>
      <c r="J975" s="2">
        <f t="shared" si="2"/>
        <v>135.52</v>
      </c>
      <c r="K975" s="17">
        <f t="shared" si="3"/>
        <v>1</v>
      </c>
      <c r="L975" s="18"/>
    </row>
    <row r="976" hidden="1">
      <c r="A976" s="2">
        <f>IFERROR(__xludf.DUMMYFUNCTION("""COMPUTED_VALUE"""),3731.0)</f>
        <v>3731</v>
      </c>
      <c r="B976" s="2">
        <f>IFERROR(__xludf.DUMMYFUNCTION("""COMPUTED_VALUE"""),0.0)</f>
        <v>0</v>
      </c>
      <c r="C976" s="2">
        <f>IFERROR(__xludf.DUMMYFUNCTION("""COMPUTED_VALUE"""),618.0)</f>
        <v>618</v>
      </c>
      <c r="D976" s="3">
        <f>IFERROR(__xludf.DUMMYFUNCTION("""COMPUTED_VALUE"""),23.0)</f>
        <v>23</v>
      </c>
      <c r="E976" s="1" t="str">
        <f t="array" ref="E976">_xlfn.XLOOKUP(A976,Product!A:A,Product!B:B,"Bulunamadı")</f>
        <v>Fiction</v>
      </c>
      <c r="F976" s="1" t="str">
        <f t="array" ref="F976">_xlfn.XLOOKUP(A976,Product!A:A,Product!C:C,"Bulunamadı")</f>
        <v>Medieval History</v>
      </c>
      <c r="G976" s="2" t="str">
        <f t="array" ref="G976">_xlfn.XLOOKUP(A977,Product!A:A,Product!D:D,"Bulunamadı")</f>
        <v>Pinnacle Ridge Press</v>
      </c>
      <c r="H976" s="2">
        <f t="array" ref="H976">_xlfn.XLOOKUP(A978,Product!A:A,Product!E:E,"Bulunamadı")</f>
        <v>10.81</v>
      </c>
      <c r="I976" s="2" t="str">
        <f t="shared" si="1"/>
        <v>3731 - Fiction - Medieval History</v>
      </c>
      <c r="J976" s="2">
        <f t="shared" si="2"/>
        <v>248.63</v>
      </c>
      <c r="K976" s="17">
        <f t="shared" si="3"/>
        <v>1</v>
      </c>
      <c r="L976" s="18"/>
    </row>
    <row r="977" hidden="1">
      <c r="A977" s="2">
        <f>IFERROR(__xludf.DUMMYFUNCTION("""COMPUTED_VALUE"""),11489.0)</f>
        <v>11489</v>
      </c>
      <c r="B977" s="2">
        <f>IFERROR(__xludf.DUMMYFUNCTION("""COMPUTED_VALUE"""),0.0)</f>
        <v>0</v>
      </c>
      <c r="C977" s="2">
        <f>IFERROR(__xludf.DUMMYFUNCTION("""COMPUTED_VALUE"""),410.0)</f>
        <v>410</v>
      </c>
      <c r="D977" s="3">
        <f>IFERROR(__xludf.DUMMYFUNCTION("""COMPUTED_VALUE"""),199.0)</f>
        <v>199</v>
      </c>
      <c r="E977" s="1" t="str">
        <f t="array" ref="E977">_xlfn.XLOOKUP(A977,Product!A:A,Product!B:B,"Bulunamadı")</f>
        <v>Fiction</v>
      </c>
      <c r="F977" s="1" t="str">
        <f t="array" ref="F977">_xlfn.XLOOKUP(A977,Product!A:A,Product!C:C,"Bulunamadı")</f>
        <v>Medieval History</v>
      </c>
      <c r="G977" s="2" t="str">
        <f t="array" ref="G977">_xlfn.XLOOKUP(A978,Product!A:A,Product!D:D,"Bulunamadı")</f>
        <v>Pinnacle Ridge Press</v>
      </c>
      <c r="H977" s="2">
        <f t="array" ref="H977">_xlfn.XLOOKUP(A979,Product!A:A,Product!E:E,"Bulunamadı")</f>
        <v>5.15</v>
      </c>
      <c r="I977" s="2" t="str">
        <f t="shared" si="1"/>
        <v>11489 - Fiction - Medieval History</v>
      </c>
      <c r="J977" s="2">
        <f t="shared" si="2"/>
        <v>1024.85</v>
      </c>
      <c r="K977" s="17">
        <f t="shared" si="3"/>
        <v>1</v>
      </c>
      <c r="L977" s="18"/>
    </row>
    <row r="978" hidden="1">
      <c r="A978" s="2">
        <f>IFERROR(__xludf.DUMMYFUNCTION("""COMPUTED_VALUE"""),122302.0)</f>
        <v>122302</v>
      </c>
      <c r="B978" s="2">
        <f>IFERROR(__xludf.DUMMYFUNCTION("""COMPUTED_VALUE"""),0.0)</f>
        <v>0</v>
      </c>
      <c r="C978" s="2">
        <f>IFERROR(__xludf.DUMMYFUNCTION("""COMPUTED_VALUE"""),60.0)</f>
        <v>60</v>
      </c>
      <c r="D978" s="3">
        <f>IFERROR(__xludf.DUMMYFUNCTION("""COMPUTED_VALUE"""),51.0)</f>
        <v>51</v>
      </c>
      <c r="E978" s="1" t="str">
        <f t="array" ref="E978">_xlfn.XLOOKUP(A978,Product!A:A,Product!B:B,"Bulunamadı")</f>
        <v>Fiction</v>
      </c>
      <c r="F978" s="1" t="str">
        <f t="array" ref="F978">_xlfn.XLOOKUP(A978,Product!A:A,Product!C:C,"Bulunamadı")</f>
        <v>Medieval History</v>
      </c>
      <c r="G978" s="2" t="str">
        <f t="array" ref="G978">_xlfn.XLOOKUP(A979,Product!A:A,Product!D:D,"Bulunamadı")</f>
        <v>Pinnacle Ridge Press</v>
      </c>
      <c r="H978" s="2">
        <f t="array" ref="H978">_xlfn.XLOOKUP(A980,Product!A:A,Product!E:E,"Bulunamadı")</f>
        <v>3.29</v>
      </c>
      <c r="I978" s="2" t="str">
        <f t="shared" si="1"/>
        <v>122302 - Fiction - Medieval History</v>
      </c>
      <c r="J978" s="2">
        <f t="shared" si="2"/>
        <v>167.79</v>
      </c>
      <c r="K978" s="17">
        <f t="shared" si="3"/>
        <v>1</v>
      </c>
      <c r="L978" s="18"/>
    </row>
    <row r="979" hidden="1">
      <c r="A979" s="2">
        <f>IFERROR(__xludf.DUMMYFUNCTION("""COMPUTED_VALUE"""),28838.0)</f>
        <v>28838</v>
      </c>
      <c r="B979" s="2">
        <f>IFERROR(__xludf.DUMMYFUNCTION("""COMPUTED_VALUE"""),0.0)</f>
        <v>0</v>
      </c>
      <c r="C979" s="2">
        <f>IFERROR(__xludf.DUMMYFUNCTION("""COMPUTED_VALUE"""),416.0)</f>
        <v>416</v>
      </c>
      <c r="D979" s="3">
        <f>IFERROR(__xludf.DUMMYFUNCTION("""COMPUTED_VALUE"""),251.0)</f>
        <v>251</v>
      </c>
      <c r="E979" s="1" t="str">
        <f t="array" ref="E979">_xlfn.XLOOKUP(A979,Product!A:A,Product!B:B,"Bulunamadı")</f>
        <v>Fiction</v>
      </c>
      <c r="F979" s="1" t="str">
        <f t="array" ref="F979">_xlfn.XLOOKUP(A979,Product!A:A,Product!C:C,"Bulunamadı")</f>
        <v>Medieval History</v>
      </c>
      <c r="G979" s="2" t="str">
        <f t="array" ref="G979">_xlfn.XLOOKUP(A980,Product!A:A,Product!D:D,"Bulunamadı")</f>
        <v>Pinnacle Ridge Press</v>
      </c>
      <c r="H979" s="2">
        <f t="array" ref="H979">_xlfn.XLOOKUP(A981,Product!A:A,Product!E:E,"Bulunamadı")</f>
        <v>1.22</v>
      </c>
      <c r="I979" s="2" t="str">
        <f t="shared" si="1"/>
        <v>28838 - Fiction - Medieval History</v>
      </c>
      <c r="J979" s="2">
        <f t="shared" si="2"/>
        <v>306.22</v>
      </c>
      <c r="K979" s="17">
        <f t="shared" si="3"/>
        <v>1</v>
      </c>
      <c r="L979" s="18"/>
    </row>
    <row r="980" hidden="1">
      <c r="A980" s="2">
        <f>IFERROR(__xludf.DUMMYFUNCTION("""COMPUTED_VALUE"""),72843.0)</f>
        <v>72843</v>
      </c>
      <c r="B980" s="2">
        <f>IFERROR(__xludf.DUMMYFUNCTION("""COMPUTED_VALUE"""),1.0)</f>
        <v>1</v>
      </c>
      <c r="C980" s="2">
        <f>IFERROR(__xludf.DUMMYFUNCTION("""COMPUTED_VALUE"""),972.0)</f>
        <v>972</v>
      </c>
      <c r="D980" s="3">
        <f>IFERROR(__xludf.DUMMYFUNCTION("""COMPUTED_VALUE"""),568.0)</f>
        <v>568</v>
      </c>
      <c r="E980" s="1" t="str">
        <f t="array" ref="E980">_xlfn.XLOOKUP(A980,Product!A:A,Product!B:B,"Bulunamadı")</f>
        <v>Fiction</v>
      </c>
      <c r="F980" s="1" t="str">
        <f t="array" ref="F980">_xlfn.XLOOKUP(A980,Product!A:A,Product!C:C,"Bulunamadı")</f>
        <v>Medieval History</v>
      </c>
      <c r="G980" s="2" t="str">
        <f t="array" ref="G980">_xlfn.XLOOKUP(A981,Product!A:A,Product!D:D,"Bulunamadı")</f>
        <v>Pinnacle Ridge Press</v>
      </c>
      <c r="H980" s="2">
        <f t="array" ref="H980">_xlfn.XLOOKUP(A982,Product!A:A,Product!E:E,"Bulunamadı")</f>
        <v>3.42</v>
      </c>
      <c r="I980" s="2" t="str">
        <f t="shared" si="1"/>
        <v>72843 - Fiction - Medieval History</v>
      </c>
      <c r="J980" s="2">
        <f t="shared" si="2"/>
        <v>1942.56</v>
      </c>
      <c r="K980" s="17">
        <f t="shared" si="3"/>
        <v>1</v>
      </c>
      <c r="L980" s="18"/>
    </row>
    <row r="981" hidden="1">
      <c r="A981" s="2">
        <f>IFERROR(__xludf.DUMMYFUNCTION("""COMPUTED_VALUE"""),80809.0)</f>
        <v>80809</v>
      </c>
      <c r="B981" s="2">
        <f>IFERROR(__xludf.DUMMYFUNCTION("""COMPUTED_VALUE"""),0.0)</f>
        <v>0</v>
      </c>
      <c r="C981" s="2">
        <f>IFERROR(__xludf.DUMMYFUNCTION("""COMPUTED_VALUE"""),532.0)</f>
        <v>532</v>
      </c>
      <c r="D981" s="3">
        <f>IFERROR(__xludf.DUMMYFUNCTION("""COMPUTED_VALUE"""),20.0)</f>
        <v>20</v>
      </c>
      <c r="E981" s="1" t="str">
        <f t="array" ref="E981">_xlfn.XLOOKUP(A981,Product!A:A,Product!B:B,"Bulunamadı")</f>
        <v>Fiction</v>
      </c>
      <c r="F981" s="1" t="str">
        <f t="array" ref="F981">_xlfn.XLOOKUP(A981,Product!A:A,Product!C:C,"Bulunamadı")</f>
        <v>Medieval History</v>
      </c>
      <c r="G981" s="2" t="str">
        <f t="array" ref="G981">_xlfn.XLOOKUP(A982,Product!A:A,Product!D:D,"Bulunamadı")</f>
        <v>True North Publishing</v>
      </c>
      <c r="H981" s="2">
        <f t="array" ref="H981">_xlfn.XLOOKUP(A983,Product!A:A,Product!E:E,"Bulunamadı")</f>
        <v>3.33</v>
      </c>
      <c r="I981" s="2" t="str">
        <f t="shared" si="1"/>
        <v>80809 - Fiction - Medieval History</v>
      </c>
      <c r="J981" s="2">
        <f t="shared" si="2"/>
        <v>66.6</v>
      </c>
      <c r="K981" s="17">
        <f t="shared" si="3"/>
        <v>1</v>
      </c>
      <c r="L981" s="18"/>
    </row>
    <row r="982" hidden="1">
      <c r="A982" s="2">
        <f>IFERROR(__xludf.DUMMYFUNCTION("""COMPUTED_VALUE"""),127006.0)</f>
        <v>127006</v>
      </c>
      <c r="B982" s="2">
        <f>IFERROR(__xludf.DUMMYFUNCTION("""COMPUTED_VALUE"""),1.0)</f>
        <v>1</v>
      </c>
      <c r="C982" s="2">
        <f>IFERROR(__xludf.DUMMYFUNCTION("""COMPUTED_VALUE"""),615.0)</f>
        <v>615</v>
      </c>
      <c r="D982" s="3">
        <f>IFERROR(__xludf.DUMMYFUNCTION("""COMPUTED_VALUE"""),180.0)</f>
        <v>180</v>
      </c>
      <c r="E982" s="1" t="str">
        <f t="array" ref="E982">_xlfn.XLOOKUP(A982,Product!A:A,Product!B:B,"Bulunamadı")</f>
        <v>Tech</v>
      </c>
      <c r="F982" s="1" t="str">
        <f t="array" ref="F982">_xlfn.XLOOKUP(A982,Product!A:A,Product!C:C,"Bulunamadı")</f>
        <v>Early Modern History</v>
      </c>
      <c r="G982" s="2" t="str">
        <f t="array" ref="G982">_xlfn.XLOOKUP(A983,Product!A:A,Product!D:D,"Bulunamadı")</f>
        <v>True North Publishing</v>
      </c>
      <c r="H982" s="2">
        <f t="array" ref="H982">_xlfn.XLOOKUP(A984,Product!A:A,Product!E:E,"Bulunamadı")</f>
        <v>5.24</v>
      </c>
      <c r="I982" s="2" t="str">
        <f t="shared" si="1"/>
        <v>127006 - Tech - Early Modern History</v>
      </c>
      <c r="J982" s="2">
        <f t="shared" si="2"/>
        <v>943.2</v>
      </c>
      <c r="K982" s="17">
        <f t="shared" si="3"/>
        <v>1</v>
      </c>
      <c r="L982" s="18"/>
    </row>
    <row r="983" hidden="1">
      <c r="A983" s="2">
        <f>IFERROR(__xludf.DUMMYFUNCTION("""COMPUTED_VALUE"""),82448.0)</f>
        <v>82448</v>
      </c>
      <c r="B983" s="2">
        <f>IFERROR(__xludf.DUMMYFUNCTION("""COMPUTED_VALUE"""),1.0)</f>
        <v>1</v>
      </c>
      <c r="C983" s="2">
        <f>IFERROR(__xludf.DUMMYFUNCTION("""COMPUTED_VALUE"""),912.0)</f>
        <v>912</v>
      </c>
      <c r="D983" s="3">
        <f>IFERROR(__xludf.DUMMYFUNCTION("""COMPUTED_VALUE"""),869.0)</f>
        <v>869</v>
      </c>
      <c r="E983" s="1" t="str">
        <f t="array" ref="E983">_xlfn.XLOOKUP(A983,Product!A:A,Product!B:B,"Bulunamadı")</f>
        <v>Tech</v>
      </c>
      <c r="F983" s="1" t="str">
        <f t="array" ref="F983">_xlfn.XLOOKUP(A983,Product!A:A,Product!C:C,"Bulunamadı")</f>
        <v>Early Modern History</v>
      </c>
      <c r="G983" s="2" t="str">
        <f t="array" ref="G983">_xlfn.XLOOKUP(A984,Product!A:A,Product!D:D,"Bulunamadı")</f>
        <v>True North Publishing</v>
      </c>
      <c r="H983" s="2">
        <f t="array" ref="H983">_xlfn.XLOOKUP(A985,Product!A:A,Product!E:E,"Bulunamadı")</f>
        <v>4.02</v>
      </c>
      <c r="I983" s="2" t="str">
        <f t="shared" si="1"/>
        <v>82448 - Tech - Early Modern History</v>
      </c>
      <c r="J983" s="2">
        <f t="shared" si="2"/>
        <v>3493.38</v>
      </c>
      <c r="K983" s="17">
        <f t="shared" si="3"/>
        <v>1</v>
      </c>
      <c r="L983" s="18"/>
    </row>
    <row r="984" hidden="1">
      <c r="A984" s="2">
        <f>IFERROR(__xludf.DUMMYFUNCTION("""COMPUTED_VALUE"""),13028.0)</f>
        <v>13028</v>
      </c>
      <c r="B984" s="2">
        <f>IFERROR(__xludf.DUMMYFUNCTION("""COMPUTED_VALUE"""),1.0)</f>
        <v>1</v>
      </c>
      <c r="C984" s="2">
        <f>IFERROR(__xludf.DUMMYFUNCTION("""COMPUTED_VALUE"""),856.0)</f>
        <v>856</v>
      </c>
      <c r="D984" s="3">
        <f>IFERROR(__xludf.DUMMYFUNCTION("""COMPUTED_VALUE"""),665.0)</f>
        <v>665</v>
      </c>
      <c r="E984" s="1" t="str">
        <f t="array" ref="E984">_xlfn.XLOOKUP(A984,Product!A:A,Product!B:B,"Bulunamadı")</f>
        <v>Tech</v>
      </c>
      <c r="F984" s="1" t="str">
        <f t="array" ref="F984">_xlfn.XLOOKUP(A984,Product!A:A,Product!C:C,"Bulunamadı")</f>
        <v>Early Modern History</v>
      </c>
      <c r="G984" s="2" t="str">
        <f t="array" ref="G984">_xlfn.XLOOKUP(A985,Product!A:A,Product!D:D,"Bulunamadı")</f>
        <v>Grand Valley Books</v>
      </c>
      <c r="H984" s="2">
        <f t="array" ref="H984">_xlfn.XLOOKUP(A986,Product!A:A,Product!E:E,"Bulunamadı")</f>
        <v>5.01</v>
      </c>
      <c r="I984" s="2" t="str">
        <f t="shared" si="1"/>
        <v>13028 - Tech - Early Modern History</v>
      </c>
      <c r="J984" s="2">
        <f t="shared" si="2"/>
        <v>3331.65</v>
      </c>
      <c r="K984" s="17">
        <f t="shared" si="3"/>
        <v>1</v>
      </c>
      <c r="L984" s="18"/>
    </row>
    <row r="985" hidden="1">
      <c r="A985" s="2">
        <f>IFERROR(__xludf.DUMMYFUNCTION("""COMPUTED_VALUE"""),118577.0)</f>
        <v>118577</v>
      </c>
      <c r="B985" s="2">
        <f>IFERROR(__xludf.DUMMYFUNCTION("""COMPUTED_VALUE"""),0.0)</f>
        <v>0</v>
      </c>
      <c r="C985" s="2">
        <f>IFERROR(__xludf.DUMMYFUNCTION("""COMPUTED_VALUE"""),946.0)</f>
        <v>946</v>
      </c>
      <c r="D985" s="3">
        <f>IFERROR(__xludf.DUMMYFUNCTION("""COMPUTED_VALUE"""),761.0)</f>
        <v>761</v>
      </c>
      <c r="E985" s="1" t="str">
        <f t="array" ref="E985">_xlfn.XLOOKUP(A985,Product!A:A,Product!B:B,"Bulunamadı")</f>
        <v>Tech</v>
      </c>
      <c r="F985" s="1" t="str">
        <f t="array" ref="F985">_xlfn.XLOOKUP(A985,Product!A:A,Product!C:C,"Bulunamadı")</f>
        <v>Early Modern History</v>
      </c>
      <c r="G985" s="2" t="str">
        <f t="array" ref="G985">_xlfn.XLOOKUP(A986,Product!A:A,Product!D:D,"Bulunamadı")</f>
        <v>Grand Valley Books</v>
      </c>
      <c r="H985" s="2">
        <f t="array" ref="H985">_xlfn.XLOOKUP(A987,Product!A:A,Product!E:E,"Bulunamadı")</f>
        <v>3.87</v>
      </c>
      <c r="I985" s="2" t="str">
        <f t="shared" si="1"/>
        <v>118577 - Tech - Early Modern History</v>
      </c>
      <c r="J985" s="2">
        <f t="shared" si="2"/>
        <v>2945.07</v>
      </c>
      <c r="K985" s="17">
        <f t="shared" si="3"/>
        <v>1</v>
      </c>
      <c r="L985" s="18"/>
    </row>
    <row r="986" hidden="1">
      <c r="A986" s="2">
        <f>IFERROR(__xludf.DUMMYFUNCTION("""COMPUTED_VALUE"""),117890.0)</f>
        <v>117890</v>
      </c>
      <c r="B986" s="2">
        <f>IFERROR(__xludf.DUMMYFUNCTION("""COMPUTED_VALUE"""),1.0)</f>
        <v>1</v>
      </c>
      <c r="C986" s="2">
        <f>IFERROR(__xludf.DUMMYFUNCTION("""COMPUTED_VALUE"""),437.0)</f>
        <v>437</v>
      </c>
      <c r="D986" s="3">
        <f>IFERROR(__xludf.DUMMYFUNCTION("""COMPUTED_VALUE"""),436.0)</f>
        <v>436</v>
      </c>
      <c r="E986" s="1" t="str">
        <f t="array" ref="E986">_xlfn.XLOOKUP(A986,Product!A:A,Product!B:B,"Bulunamadı")</f>
        <v>Tech</v>
      </c>
      <c r="F986" s="1" t="str">
        <f t="array" ref="F986">_xlfn.XLOOKUP(A986,Product!A:A,Product!C:C,"Bulunamadı")</f>
        <v>Early Modern History</v>
      </c>
      <c r="G986" s="2" t="str">
        <f t="array" ref="G986">_xlfn.XLOOKUP(A987,Product!A:A,Product!D:D,"Bulunamadı")</f>
        <v>Grand Valley Books</v>
      </c>
      <c r="H986" s="2">
        <f t="array" ref="H986">_xlfn.XLOOKUP(A988,Product!A:A,Product!E:E,"Bulunamadı")</f>
        <v>5.7</v>
      </c>
      <c r="I986" s="2" t="str">
        <f t="shared" si="1"/>
        <v>117890 - Tech - Early Modern History</v>
      </c>
      <c r="J986" s="2">
        <f t="shared" si="2"/>
        <v>2485.2</v>
      </c>
      <c r="K986" s="17">
        <f t="shared" si="3"/>
        <v>1</v>
      </c>
      <c r="L986" s="18"/>
    </row>
    <row r="987" hidden="1">
      <c r="A987" s="2">
        <f>IFERROR(__xludf.DUMMYFUNCTION("""COMPUTED_VALUE"""),118617.0)</f>
        <v>118617</v>
      </c>
      <c r="B987" s="2">
        <f>IFERROR(__xludf.DUMMYFUNCTION("""COMPUTED_VALUE"""),1.0)</f>
        <v>1</v>
      </c>
      <c r="C987" s="2">
        <f>IFERROR(__xludf.DUMMYFUNCTION("""COMPUTED_VALUE"""),376.0)</f>
        <v>376</v>
      </c>
      <c r="D987" s="3">
        <f>IFERROR(__xludf.DUMMYFUNCTION("""COMPUTED_VALUE"""),90.0)</f>
        <v>90</v>
      </c>
      <c r="E987" s="1" t="str">
        <f t="array" ref="E987">_xlfn.XLOOKUP(A987,Product!A:A,Product!B:B,"Bulunamadı")</f>
        <v>Tech</v>
      </c>
      <c r="F987" s="1" t="str">
        <f t="array" ref="F987">_xlfn.XLOOKUP(A987,Product!A:A,Product!C:C,"Bulunamadı")</f>
        <v>Early Modern History</v>
      </c>
      <c r="G987" s="2" t="str">
        <f t="array" ref="G987">_xlfn.XLOOKUP(A988,Product!A:A,Product!D:D,"Bulunamadı")</f>
        <v>Copper Harbor Press</v>
      </c>
      <c r="H987" s="2">
        <f t="array" ref="H987">_xlfn.XLOOKUP(A989,Product!A:A,Product!E:E,"Bulunamadı")</f>
        <v>5.95</v>
      </c>
      <c r="I987" s="2" t="str">
        <f t="shared" si="1"/>
        <v>118617 - Tech - Early Modern History</v>
      </c>
      <c r="J987" s="2">
        <f t="shared" si="2"/>
        <v>535.5</v>
      </c>
      <c r="K987" s="17">
        <f t="shared" si="3"/>
        <v>1</v>
      </c>
      <c r="L987" s="18"/>
    </row>
    <row r="988" hidden="1">
      <c r="A988" s="2">
        <f>IFERROR(__xludf.DUMMYFUNCTION("""COMPUTED_VALUE"""),109995.0)</f>
        <v>109995</v>
      </c>
      <c r="B988" s="2">
        <f>IFERROR(__xludf.DUMMYFUNCTION("""COMPUTED_VALUE"""),0.0)</f>
        <v>0</v>
      </c>
      <c r="C988" s="2">
        <f>IFERROR(__xludf.DUMMYFUNCTION("""COMPUTED_VALUE"""),421.0)</f>
        <v>421</v>
      </c>
      <c r="D988" s="3">
        <f>IFERROR(__xludf.DUMMYFUNCTION("""COMPUTED_VALUE"""),199.0)</f>
        <v>199</v>
      </c>
      <c r="E988" s="1" t="str">
        <f t="array" ref="E988">_xlfn.XLOOKUP(A988,Product!A:A,Product!B:B,"Bulunamadı")</f>
        <v>Tech</v>
      </c>
      <c r="F988" s="1" t="str">
        <f t="array" ref="F988">_xlfn.XLOOKUP(A988,Product!A:A,Product!C:C,"Bulunamadı")</f>
        <v>Early Modern History</v>
      </c>
      <c r="G988" s="2" t="str">
        <f t="array" ref="G988">_xlfn.XLOOKUP(A989,Product!A:A,Product!D:D,"Bulunamadı")</f>
        <v>Copper Harbor Press</v>
      </c>
      <c r="H988" s="2">
        <f t="array" ref="H988">_xlfn.XLOOKUP(A990,Product!A:A,Product!E:E,"Bulunamadı")</f>
        <v>3.54</v>
      </c>
      <c r="I988" s="2" t="str">
        <f t="shared" si="1"/>
        <v>109995 - Tech - Early Modern History</v>
      </c>
      <c r="J988" s="2">
        <f t="shared" si="2"/>
        <v>704.46</v>
      </c>
      <c r="K988" s="17">
        <f t="shared" si="3"/>
        <v>1</v>
      </c>
      <c r="L988" s="18"/>
    </row>
    <row r="989" hidden="1">
      <c r="A989" s="2">
        <f>IFERROR(__xludf.DUMMYFUNCTION("""COMPUTED_VALUE"""),109996.0)</f>
        <v>109996</v>
      </c>
      <c r="B989" s="2">
        <f>IFERROR(__xludf.DUMMYFUNCTION("""COMPUTED_VALUE"""),0.0)</f>
        <v>0</v>
      </c>
      <c r="C989" s="2">
        <f>IFERROR(__xludf.DUMMYFUNCTION("""COMPUTED_VALUE"""),0.0)</f>
        <v>0</v>
      </c>
      <c r="D989" s="3">
        <f>IFERROR(__xludf.DUMMYFUNCTION("""COMPUTED_VALUE"""),0.0)</f>
        <v>0</v>
      </c>
      <c r="E989" s="1" t="str">
        <f t="array" ref="E989">_xlfn.XLOOKUP(A989,Product!A:A,Product!B:B,"Bulunamadı")</f>
        <v>Tech</v>
      </c>
      <c r="F989" s="1" t="str">
        <f t="array" ref="F989">_xlfn.XLOOKUP(A989,Product!A:A,Product!C:C,"Bulunamadı")</f>
        <v>Early Modern History</v>
      </c>
      <c r="G989" s="2" t="str">
        <f t="array" ref="G989">_xlfn.XLOOKUP(A990,Product!A:A,Product!D:D,"Bulunamadı")</f>
        <v>New Frontier Publishing</v>
      </c>
      <c r="H989" s="2">
        <f t="array" ref="H989">_xlfn.XLOOKUP(A991,Product!A:A,Product!E:E,"Bulunamadı")</f>
        <v>4.25</v>
      </c>
      <c r="I989" s="2" t="str">
        <f t="shared" si="1"/>
        <v>109996 - Tech - Early Modern History</v>
      </c>
      <c r="J989" s="2">
        <f t="shared" si="2"/>
        <v>0</v>
      </c>
      <c r="K989" s="17">
        <f t="shared" si="3"/>
        <v>0</v>
      </c>
      <c r="L989" s="18"/>
    </row>
    <row r="990" hidden="1">
      <c r="A990" s="2">
        <f>IFERROR(__xludf.DUMMYFUNCTION("""COMPUTED_VALUE"""),49107.0)</f>
        <v>49107</v>
      </c>
      <c r="B990" s="2">
        <f>IFERROR(__xludf.DUMMYFUNCTION("""COMPUTED_VALUE"""),1.0)</f>
        <v>1</v>
      </c>
      <c r="C990" s="2">
        <f>IFERROR(__xludf.DUMMYFUNCTION("""COMPUTED_VALUE"""),852.0)</f>
        <v>852</v>
      </c>
      <c r="D990" s="3">
        <f>IFERROR(__xludf.DUMMYFUNCTION("""COMPUTED_VALUE"""),329.0)</f>
        <v>329</v>
      </c>
      <c r="E990" s="1" t="str">
        <f t="array" ref="E990">_xlfn.XLOOKUP(A990,Product!A:A,Product!B:B,"Bulunamadı")</f>
        <v>Tech</v>
      </c>
      <c r="F990" s="1" t="str">
        <f t="array" ref="F990">_xlfn.XLOOKUP(A990,Product!A:A,Product!C:C,"Bulunamadı")</f>
        <v>Modern History</v>
      </c>
      <c r="G990" s="2" t="str">
        <f t="array" ref="G990">_xlfn.XLOOKUP(A991,Product!A:A,Product!D:D,"Bulunamadı")</f>
        <v>New Frontier Publishing</v>
      </c>
      <c r="H990" s="2">
        <f t="array" ref="H990">_xlfn.XLOOKUP(A992,Product!A:A,Product!E:E,"Bulunamadı")</f>
        <v>11.83</v>
      </c>
      <c r="I990" s="2" t="str">
        <f t="shared" si="1"/>
        <v>49107 - Tech - Modern History</v>
      </c>
      <c r="J990" s="2">
        <f t="shared" si="2"/>
        <v>3892.07</v>
      </c>
      <c r="K990" s="17">
        <f t="shared" si="3"/>
        <v>1</v>
      </c>
      <c r="L990" s="18"/>
    </row>
    <row r="991" hidden="1">
      <c r="A991" s="2">
        <f>IFERROR(__xludf.DUMMYFUNCTION("""COMPUTED_VALUE"""),29585.0)</f>
        <v>29585</v>
      </c>
      <c r="B991" s="2">
        <f>IFERROR(__xludf.DUMMYFUNCTION("""COMPUTED_VALUE"""),0.0)</f>
        <v>0</v>
      </c>
      <c r="C991" s="2">
        <f>IFERROR(__xludf.DUMMYFUNCTION("""COMPUTED_VALUE"""),116.0)</f>
        <v>116</v>
      </c>
      <c r="D991" s="3">
        <f>IFERROR(__xludf.DUMMYFUNCTION("""COMPUTED_VALUE"""),113.0)</f>
        <v>113</v>
      </c>
      <c r="E991" s="1" t="str">
        <f t="array" ref="E991">_xlfn.XLOOKUP(A991,Product!A:A,Product!B:B,"Bulunamadı")</f>
        <v>Tech</v>
      </c>
      <c r="F991" s="1" t="str">
        <f t="array" ref="F991">_xlfn.XLOOKUP(A991,Product!A:A,Product!C:C,"Bulunamadı")</f>
        <v>Modern History</v>
      </c>
      <c r="G991" s="2" t="str">
        <f t="array" ref="G991">_xlfn.XLOOKUP(A992,Product!A:A,Product!D:D,"Bulunamadı")</f>
        <v>New Frontier Publishing</v>
      </c>
      <c r="H991" s="2">
        <f t="array" ref="H991">_xlfn.XLOOKUP(A993,Product!A:A,Product!E:E,"Bulunamadı")</f>
        <v>3.69</v>
      </c>
      <c r="I991" s="2" t="str">
        <f t="shared" si="1"/>
        <v>29585 - Tech - Modern History</v>
      </c>
      <c r="J991" s="2">
        <f t="shared" si="2"/>
        <v>416.97</v>
      </c>
      <c r="K991" s="17">
        <f t="shared" si="3"/>
        <v>1</v>
      </c>
      <c r="L991" s="18"/>
    </row>
    <row r="992" hidden="1">
      <c r="A992" s="2">
        <f>IFERROR(__xludf.DUMMYFUNCTION("""COMPUTED_VALUE"""),111677.0)</f>
        <v>111677</v>
      </c>
      <c r="B992" s="2">
        <f>IFERROR(__xludf.DUMMYFUNCTION("""COMPUTED_VALUE"""),1.0)</f>
        <v>1</v>
      </c>
      <c r="C992" s="2">
        <f>IFERROR(__xludf.DUMMYFUNCTION("""COMPUTED_VALUE"""),304.0)</f>
        <v>304</v>
      </c>
      <c r="D992" s="3">
        <f>IFERROR(__xludf.DUMMYFUNCTION("""COMPUTED_VALUE"""),165.0)</f>
        <v>165</v>
      </c>
      <c r="E992" s="1" t="str">
        <f t="array" ref="E992">_xlfn.XLOOKUP(A992,Product!A:A,Product!B:B,"Bulunamadı")</f>
        <v>Tech</v>
      </c>
      <c r="F992" s="1" t="str">
        <f t="array" ref="F992">_xlfn.XLOOKUP(A992,Product!A:A,Product!C:C,"Bulunamadı")</f>
        <v>Modern History</v>
      </c>
      <c r="G992" s="2" t="str">
        <f t="array" ref="G992">_xlfn.XLOOKUP(A993,Product!A:A,Product!D:D,"Bulunamadı")</f>
        <v>New Frontier Publishing</v>
      </c>
      <c r="H992" s="2">
        <f t="array" ref="H992">_xlfn.XLOOKUP(A994,Product!A:A,Product!E:E,"Bulunamadı")</f>
        <v>4.35</v>
      </c>
      <c r="I992" s="2" t="str">
        <f t="shared" si="1"/>
        <v>111677 - Tech - Modern History</v>
      </c>
      <c r="J992" s="2">
        <f t="shared" si="2"/>
        <v>717.75</v>
      </c>
      <c r="K992" s="17">
        <f t="shared" si="3"/>
        <v>1</v>
      </c>
      <c r="L992" s="18"/>
    </row>
    <row r="993" hidden="1">
      <c r="A993" s="2">
        <f>IFERROR(__xludf.DUMMYFUNCTION("""COMPUTED_VALUE"""),93102.0)</f>
        <v>93102</v>
      </c>
      <c r="B993" s="2">
        <f>IFERROR(__xludf.DUMMYFUNCTION("""COMPUTED_VALUE"""),1.0)</f>
        <v>1</v>
      </c>
      <c r="C993" s="2">
        <f>IFERROR(__xludf.DUMMYFUNCTION("""COMPUTED_VALUE"""),291.0)</f>
        <v>291</v>
      </c>
      <c r="D993" s="3">
        <f>IFERROR(__xludf.DUMMYFUNCTION("""COMPUTED_VALUE"""),139.0)</f>
        <v>139</v>
      </c>
      <c r="E993" s="1" t="str">
        <f t="array" ref="E993">_xlfn.XLOOKUP(A993,Product!A:A,Product!B:B,"Bulunamadı")</f>
        <v>Tech</v>
      </c>
      <c r="F993" s="1" t="str">
        <f t="array" ref="F993">_xlfn.XLOOKUP(A993,Product!A:A,Product!C:C,"Bulunamadı")</f>
        <v>Modern History</v>
      </c>
      <c r="G993" s="2" t="str">
        <f t="array" ref="G993">_xlfn.XLOOKUP(A994,Product!A:A,Product!D:D,"Bulunamadı")</f>
        <v>New Frontier Publishing</v>
      </c>
      <c r="H993" s="2">
        <f t="array" ref="H993">_xlfn.XLOOKUP(A995,Product!A:A,Product!E:E,"Bulunamadı")</f>
        <v>2.93</v>
      </c>
      <c r="I993" s="2" t="str">
        <f t="shared" si="1"/>
        <v>93102 - Tech - Modern History</v>
      </c>
      <c r="J993" s="2">
        <f t="shared" si="2"/>
        <v>407.27</v>
      </c>
      <c r="K993" s="17">
        <f t="shared" si="3"/>
        <v>1</v>
      </c>
      <c r="L993" s="18"/>
    </row>
    <row r="994" hidden="1">
      <c r="A994" s="2">
        <f>IFERROR(__xludf.DUMMYFUNCTION("""COMPUTED_VALUE"""),30712.0)</f>
        <v>30712</v>
      </c>
      <c r="B994" s="2">
        <f>IFERROR(__xludf.DUMMYFUNCTION("""COMPUTED_VALUE"""),0.0)</f>
        <v>0</v>
      </c>
      <c r="C994" s="2">
        <f>IFERROR(__xludf.DUMMYFUNCTION("""COMPUTED_VALUE"""),524.0)</f>
        <v>524</v>
      </c>
      <c r="D994" s="3">
        <f>IFERROR(__xludf.DUMMYFUNCTION("""COMPUTED_VALUE"""),16.0)</f>
        <v>16</v>
      </c>
      <c r="E994" s="1" t="str">
        <f t="array" ref="E994">_xlfn.XLOOKUP(A994,Product!A:A,Product!B:B,"Bulunamadı")</f>
        <v>Tech</v>
      </c>
      <c r="F994" s="1" t="str">
        <f t="array" ref="F994">_xlfn.XLOOKUP(A994,Product!A:A,Product!C:C,"Bulunamadı")</f>
        <v>Modern History</v>
      </c>
      <c r="G994" s="2" t="str">
        <f t="array" ref="G994">_xlfn.XLOOKUP(A995,Product!A:A,Product!D:D,"Bulunamadı")</f>
        <v>New Frontier Publishing</v>
      </c>
      <c r="H994" s="2">
        <f t="array" ref="H994">_xlfn.XLOOKUP(A996,Product!A:A,Product!E:E,"Bulunamadı")</f>
        <v>4.16</v>
      </c>
      <c r="I994" s="2" t="str">
        <f t="shared" si="1"/>
        <v>30712 - Tech - Modern History</v>
      </c>
      <c r="J994" s="2">
        <f t="shared" si="2"/>
        <v>66.56</v>
      </c>
      <c r="K994" s="17">
        <f t="shared" si="3"/>
        <v>1</v>
      </c>
      <c r="L994" s="18"/>
    </row>
    <row r="995" hidden="1">
      <c r="A995" s="2">
        <f>IFERROR(__xludf.DUMMYFUNCTION("""COMPUTED_VALUE"""),89128.0)</f>
        <v>89128</v>
      </c>
      <c r="B995" s="2">
        <f>IFERROR(__xludf.DUMMYFUNCTION("""COMPUTED_VALUE"""),1.0)</f>
        <v>1</v>
      </c>
      <c r="C995" s="2">
        <f>IFERROR(__xludf.DUMMYFUNCTION("""COMPUTED_VALUE"""),905.0)</f>
        <v>905</v>
      </c>
      <c r="D995" s="3">
        <f>IFERROR(__xludf.DUMMYFUNCTION("""COMPUTED_VALUE"""),723.0)</f>
        <v>723</v>
      </c>
      <c r="E995" s="1" t="str">
        <f t="array" ref="E995">_xlfn.XLOOKUP(A995,Product!A:A,Product!B:B,"Bulunamadı")</f>
        <v>Tech</v>
      </c>
      <c r="F995" s="1" t="str">
        <f t="array" ref="F995">_xlfn.XLOOKUP(A995,Product!A:A,Product!C:C,"Bulunamadı")</f>
        <v>Modern History</v>
      </c>
      <c r="G995" s="2" t="str">
        <f t="array" ref="G995">_xlfn.XLOOKUP(A996,Product!A:A,Product!D:D,"Bulunamadı")</f>
        <v>New Frontier Publishing</v>
      </c>
      <c r="H995" s="2">
        <f t="array" ref="H995">_xlfn.XLOOKUP(A997,Product!A:A,Product!E:E,"Bulunamadı")</f>
        <v>4.51</v>
      </c>
      <c r="I995" s="2" t="str">
        <f t="shared" si="1"/>
        <v>89128 - Tech - Modern History</v>
      </c>
      <c r="J995" s="2">
        <f t="shared" si="2"/>
        <v>3260.73</v>
      </c>
      <c r="K995" s="17">
        <f t="shared" si="3"/>
        <v>1</v>
      </c>
      <c r="L995" s="18"/>
    </row>
    <row r="996" hidden="1">
      <c r="A996" s="2">
        <f>IFERROR(__xludf.DUMMYFUNCTION("""COMPUTED_VALUE"""),29587.0)</f>
        <v>29587</v>
      </c>
      <c r="B996" s="2">
        <f>IFERROR(__xludf.DUMMYFUNCTION("""COMPUTED_VALUE"""),1.0)</f>
        <v>1</v>
      </c>
      <c r="C996" s="2">
        <f>IFERROR(__xludf.DUMMYFUNCTION("""COMPUTED_VALUE"""),550.0)</f>
        <v>550</v>
      </c>
      <c r="D996" s="3">
        <f>IFERROR(__xludf.DUMMYFUNCTION("""COMPUTED_VALUE"""),410.0)</f>
        <v>410</v>
      </c>
      <c r="E996" s="1" t="str">
        <f t="array" ref="E996">_xlfn.XLOOKUP(A996,Product!A:A,Product!B:B,"Bulunamadı")</f>
        <v>Tech</v>
      </c>
      <c r="F996" s="1" t="str">
        <f t="array" ref="F996">_xlfn.XLOOKUP(A996,Product!A:A,Product!C:C,"Bulunamadı")</f>
        <v>Modern History</v>
      </c>
      <c r="G996" s="2" t="str">
        <f t="array" ref="G996">_xlfn.XLOOKUP(A997,Product!A:A,Product!D:D,"Bulunamadı")</f>
        <v>New Frontier Publishing</v>
      </c>
      <c r="H996" s="2">
        <f t="array" ref="H996">_xlfn.XLOOKUP(A998,Product!A:A,Product!E:E,"Bulunamadı")</f>
        <v>5.61</v>
      </c>
      <c r="I996" s="2" t="str">
        <f t="shared" si="1"/>
        <v>29587 - Tech - Modern History</v>
      </c>
      <c r="J996" s="2">
        <f t="shared" si="2"/>
        <v>2300.1</v>
      </c>
      <c r="K996" s="17">
        <f t="shared" si="3"/>
        <v>1</v>
      </c>
      <c r="L996" s="18"/>
    </row>
    <row r="997" hidden="1">
      <c r="A997" s="2">
        <f>IFERROR(__xludf.DUMMYFUNCTION("""COMPUTED_VALUE"""),30711.0)</f>
        <v>30711</v>
      </c>
      <c r="B997" s="2">
        <f>IFERROR(__xludf.DUMMYFUNCTION("""COMPUTED_VALUE"""),0.0)</f>
        <v>0</v>
      </c>
      <c r="C997" s="2">
        <f>IFERROR(__xludf.DUMMYFUNCTION("""COMPUTED_VALUE"""),683.0)</f>
        <v>683</v>
      </c>
      <c r="D997" s="3">
        <f>IFERROR(__xludf.DUMMYFUNCTION("""COMPUTED_VALUE"""),325.0)</f>
        <v>325</v>
      </c>
      <c r="E997" s="1" t="str">
        <f t="array" ref="E997">_xlfn.XLOOKUP(A997,Product!A:A,Product!B:B,"Bulunamadı")</f>
        <v>Tech</v>
      </c>
      <c r="F997" s="1" t="str">
        <f t="array" ref="F997">_xlfn.XLOOKUP(A997,Product!A:A,Product!C:C,"Bulunamadı")</f>
        <v>Modern History</v>
      </c>
      <c r="G997" s="2" t="str">
        <f t="array" ref="G997">_xlfn.XLOOKUP(A998,Product!A:A,Product!D:D,"Bulunamadı")</f>
        <v>New Frontier Publishing</v>
      </c>
      <c r="H997" s="2">
        <f t="array" ref="H997">_xlfn.XLOOKUP(A999,Product!A:A,Product!E:E,"Bulunamadı")</f>
        <v>6.9</v>
      </c>
      <c r="I997" s="2" t="str">
        <f t="shared" si="1"/>
        <v>30711 - Tech - Modern History</v>
      </c>
      <c r="J997" s="2">
        <f t="shared" si="2"/>
        <v>2242.5</v>
      </c>
      <c r="K997" s="17">
        <f t="shared" si="3"/>
        <v>1</v>
      </c>
      <c r="L997" s="18"/>
    </row>
    <row r="998" hidden="1">
      <c r="A998" s="2">
        <f>IFERROR(__xludf.DUMMYFUNCTION("""COMPUTED_VALUE"""),45306.0)</f>
        <v>45306</v>
      </c>
      <c r="B998" s="2">
        <f>IFERROR(__xludf.DUMMYFUNCTION("""COMPUTED_VALUE"""),1.0)</f>
        <v>1</v>
      </c>
      <c r="C998" s="2">
        <f>IFERROR(__xludf.DUMMYFUNCTION("""COMPUTED_VALUE"""),101.0)</f>
        <v>101</v>
      </c>
      <c r="D998" s="3">
        <f>IFERROR(__xludf.DUMMYFUNCTION("""COMPUTED_VALUE"""),15.0)</f>
        <v>15</v>
      </c>
      <c r="E998" s="1" t="str">
        <f t="array" ref="E998">_xlfn.XLOOKUP(A998,Product!A:A,Product!B:B,"Bulunamadı")</f>
        <v>Tech</v>
      </c>
      <c r="F998" s="1" t="str">
        <f t="array" ref="F998">_xlfn.XLOOKUP(A998,Product!A:A,Product!C:C,"Bulunamadı")</f>
        <v>Modern History</v>
      </c>
      <c r="G998" s="2" t="str">
        <f t="array" ref="G998">_xlfn.XLOOKUP(A999,Product!A:A,Product!D:D,"Bulunamadı")</f>
        <v>New Frontier Publishing</v>
      </c>
      <c r="H998" s="2">
        <f t="array" ref="H998">_xlfn.XLOOKUP(A1000,Product!A:A,Product!E:E,"Bulunamadı")</f>
        <v>4.74</v>
      </c>
      <c r="I998" s="2" t="str">
        <f t="shared" si="1"/>
        <v>45306 - Tech - Modern History</v>
      </c>
      <c r="J998" s="2">
        <f t="shared" si="2"/>
        <v>71.1</v>
      </c>
      <c r="K998" s="17">
        <f t="shared" si="3"/>
        <v>1</v>
      </c>
      <c r="L998" s="18"/>
    </row>
    <row r="999" hidden="1">
      <c r="A999" s="2">
        <f>IFERROR(__xludf.DUMMYFUNCTION("""COMPUTED_VALUE"""),120803.0)</f>
        <v>120803</v>
      </c>
      <c r="B999" s="2">
        <f>IFERROR(__xludf.DUMMYFUNCTION("""COMPUTED_VALUE"""),0.0)</f>
        <v>0</v>
      </c>
      <c r="C999" s="2">
        <f>IFERROR(__xludf.DUMMYFUNCTION("""COMPUTED_VALUE"""),142.0)</f>
        <v>142</v>
      </c>
      <c r="D999" s="3">
        <f>IFERROR(__xludf.DUMMYFUNCTION("""COMPUTED_VALUE"""),32.0)</f>
        <v>32</v>
      </c>
      <c r="E999" s="1" t="str">
        <f t="array" ref="E999">_xlfn.XLOOKUP(A999,Product!A:A,Product!B:B,"Bulunamadı")</f>
        <v>Tech</v>
      </c>
      <c r="F999" s="1" t="str">
        <f t="array" ref="F999">_xlfn.XLOOKUP(A999,Product!A:A,Product!C:C,"Bulunamadı")</f>
        <v>Modern History</v>
      </c>
      <c r="G999" s="2" t="str">
        <f t="array" ref="G999">_xlfn.XLOOKUP(A1000,Product!A:A,Product!D:D,"Bulunamadı")</f>
        <v>New Frontier Publishing</v>
      </c>
      <c r="H999" s="2">
        <f t="array" ref="H999">_xlfn.XLOOKUP(A1001,Product!A:A,Product!E:E,"Bulunamadı")</f>
        <v>10.17</v>
      </c>
      <c r="I999" s="2" t="str">
        <f t="shared" si="1"/>
        <v>120803 - Tech - Modern History</v>
      </c>
      <c r="J999" s="2">
        <f t="shared" si="2"/>
        <v>325.44</v>
      </c>
      <c r="K999" s="17">
        <f t="shared" si="3"/>
        <v>1</v>
      </c>
      <c r="L999" s="18"/>
    </row>
    <row r="1000" hidden="1">
      <c r="A1000" s="2">
        <f>IFERROR(__xludf.DUMMYFUNCTION("""COMPUTED_VALUE"""),108004.0)</f>
        <v>108004</v>
      </c>
      <c r="B1000" s="2">
        <f>IFERROR(__xludf.DUMMYFUNCTION("""COMPUTED_VALUE"""),0.0)</f>
        <v>0</v>
      </c>
      <c r="C1000" s="2">
        <f>IFERROR(__xludf.DUMMYFUNCTION("""COMPUTED_VALUE"""),24.0)</f>
        <v>24</v>
      </c>
      <c r="D1000" s="3">
        <f>IFERROR(__xludf.DUMMYFUNCTION("""COMPUTED_VALUE"""),21.0)</f>
        <v>21</v>
      </c>
      <c r="E1000" s="1" t="str">
        <f t="array" ref="E1000">_xlfn.XLOOKUP(A1000,Product!A:A,Product!B:B,"Bulunamadı")</f>
        <v>Tech</v>
      </c>
      <c r="F1000" s="1" t="str">
        <f t="array" ref="F1000">_xlfn.XLOOKUP(A1000,Product!A:A,Product!C:C,"Bulunamadı")</f>
        <v>Modern History</v>
      </c>
      <c r="G1000" s="2" t="str">
        <f t="array" ref="G1000">_xlfn.XLOOKUP(A1001,Product!A:A,Product!D:D,"Bulunamadı")</f>
        <v>New Frontier Publishing</v>
      </c>
      <c r="H1000" s="2">
        <f t="array" ref="H1000">_xlfn.XLOOKUP(A1002,Product!A:A,Product!E:E,"Bulunamadı")</f>
        <v>13.26</v>
      </c>
      <c r="I1000" s="2" t="str">
        <f t="shared" si="1"/>
        <v>108004 - Tech - Modern History</v>
      </c>
      <c r="J1000" s="2">
        <f t="shared" si="2"/>
        <v>278.46</v>
      </c>
      <c r="K1000" s="17">
        <f t="shared" si="3"/>
        <v>1</v>
      </c>
      <c r="L1000" s="18"/>
    </row>
    <row r="1001" hidden="1">
      <c r="A1001" s="2">
        <f>IFERROR(__xludf.DUMMYFUNCTION("""COMPUTED_VALUE"""),92205.0)</f>
        <v>92205</v>
      </c>
      <c r="B1001" s="2">
        <f>IFERROR(__xludf.DUMMYFUNCTION("""COMPUTED_VALUE"""),1.0)</f>
        <v>1</v>
      </c>
      <c r="C1001" s="2">
        <f>IFERROR(__xludf.DUMMYFUNCTION("""COMPUTED_VALUE"""),748.0)</f>
        <v>748</v>
      </c>
      <c r="D1001" s="3">
        <f>IFERROR(__xludf.DUMMYFUNCTION("""COMPUTED_VALUE"""),230.0)</f>
        <v>230</v>
      </c>
      <c r="E1001" s="1" t="str">
        <f t="array" ref="E1001">_xlfn.XLOOKUP(A1001,Product!A:A,Product!B:B,"Bulunamadı")</f>
        <v>Tech</v>
      </c>
      <c r="F1001" s="1" t="str">
        <f t="array" ref="F1001">_xlfn.XLOOKUP(A1001,Product!A:A,Product!C:C,"Bulunamadı")</f>
        <v>Modern History</v>
      </c>
      <c r="G1001" s="2" t="str">
        <f t="array" ref="G1001">_xlfn.XLOOKUP(A1002,Product!A:A,Product!D:D,"Bulunamadı")</f>
        <v>New Frontier Publishing</v>
      </c>
      <c r="H1001" s="2">
        <f t="array" ref="H1001">_xlfn.XLOOKUP(A1003,Product!A:A,Product!E:E,"Bulunamadı")</f>
        <v>5.81</v>
      </c>
      <c r="I1001" s="2" t="str">
        <f t="shared" si="1"/>
        <v>92205 - Tech - Modern History</v>
      </c>
      <c r="J1001" s="2">
        <f t="shared" si="2"/>
        <v>1336.3</v>
      </c>
      <c r="K1001" s="17">
        <f t="shared" si="3"/>
        <v>1</v>
      </c>
      <c r="L1001" s="18"/>
    </row>
    <row r="1002" hidden="1">
      <c r="A1002" s="2">
        <f>IFERROR(__xludf.DUMMYFUNCTION("""COMPUTED_VALUE"""),119509.0)</f>
        <v>119509</v>
      </c>
      <c r="B1002" s="2">
        <f>IFERROR(__xludf.DUMMYFUNCTION("""COMPUTED_VALUE"""),1.0)</f>
        <v>1</v>
      </c>
      <c r="C1002" s="2">
        <f>IFERROR(__xludf.DUMMYFUNCTION("""COMPUTED_VALUE"""),253.0)</f>
        <v>253</v>
      </c>
      <c r="D1002" s="3">
        <f>IFERROR(__xludf.DUMMYFUNCTION("""COMPUTED_VALUE"""),60.0)</f>
        <v>60</v>
      </c>
      <c r="E1002" s="1" t="str">
        <f t="array" ref="E1002">_xlfn.XLOOKUP(A1002,Product!A:A,Product!B:B,"Bulunamadı")</f>
        <v>Tech</v>
      </c>
      <c r="F1002" s="1" t="str">
        <f t="array" ref="F1002">_xlfn.XLOOKUP(A1002,Product!A:A,Product!C:C,"Bulunamadı")</f>
        <v>Modern History</v>
      </c>
      <c r="G1002" s="2" t="str">
        <f t="array" ref="G1002">_xlfn.XLOOKUP(A1003,Product!A:A,Product!D:D,"Bulunamadı")</f>
        <v>New Frontier Publishing</v>
      </c>
      <c r="H1002" s="2">
        <f t="array" ref="H1002">_xlfn.XLOOKUP(A1004,Product!A:A,Product!E:E,"Bulunamadı")</f>
        <v>5.98</v>
      </c>
      <c r="I1002" s="2" t="str">
        <f t="shared" si="1"/>
        <v>119509 - Tech - Modern History</v>
      </c>
      <c r="J1002" s="2">
        <f t="shared" si="2"/>
        <v>358.8</v>
      </c>
      <c r="K1002" s="17">
        <f t="shared" si="3"/>
        <v>1</v>
      </c>
      <c r="L1002" s="18"/>
    </row>
    <row r="1003" hidden="1">
      <c r="A1003" s="2">
        <f>IFERROR(__xludf.DUMMYFUNCTION("""COMPUTED_VALUE"""),109056.0)</f>
        <v>109056</v>
      </c>
      <c r="B1003" s="2">
        <f>IFERROR(__xludf.DUMMYFUNCTION("""COMPUTED_VALUE"""),1.0)</f>
        <v>1</v>
      </c>
      <c r="C1003" s="2">
        <f>IFERROR(__xludf.DUMMYFUNCTION("""COMPUTED_VALUE"""),807.0)</f>
        <v>807</v>
      </c>
      <c r="D1003" s="3">
        <f>IFERROR(__xludf.DUMMYFUNCTION("""COMPUTED_VALUE"""),502.0)</f>
        <v>502</v>
      </c>
      <c r="E1003" s="1" t="str">
        <f t="array" ref="E1003">_xlfn.XLOOKUP(A1003,Product!A:A,Product!B:B,"Bulunamadı")</f>
        <v>Tech</v>
      </c>
      <c r="F1003" s="1" t="str">
        <f t="array" ref="F1003">_xlfn.XLOOKUP(A1003,Product!A:A,Product!C:C,"Bulunamadı")</f>
        <v>Modern History</v>
      </c>
      <c r="G1003" s="2" t="str">
        <f t="array" ref="G1003">_xlfn.XLOOKUP(A1004,Product!A:A,Product!D:D,"Bulunamadı")</f>
        <v>New Frontier Publishing</v>
      </c>
      <c r="H1003" s="2">
        <f t="array" ref="H1003">_xlfn.XLOOKUP(A1005,Product!A:A,Product!E:E,"Bulunamadı")</f>
        <v>4.12</v>
      </c>
      <c r="I1003" s="2" t="str">
        <f t="shared" si="1"/>
        <v>109056 - Tech - Modern History</v>
      </c>
      <c r="J1003" s="2">
        <f t="shared" si="2"/>
        <v>2068.24</v>
      </c>
      <c r="K1003" s="17">
        <f t="shared" si="3"/>
        <v>1</v>
      </c>
      <c r="L1003" s="18"/>
    </row>
    <row r="1004" hidden="1">
      <c r="A1004" s="2">
        <f>IFERROR(__xludf.DUMMYFUNCTION("""COMPUTED_VALUE"""),45305.0)</f>
        <v>45305</v>
      </c>
      <c r="B1004" s="2">
        <f>IFERROR(__xludf.DUMMYFUNCTION("""COMPUTED_VALUE"""),0.0)</f>
        <v>0</v>
      </c>
      <c r="C1004" s="2">
        <f>IFERROR(__xludf.DUMMYFUNCTION("""COMPUTED_VALUE"""),204.0)</f>
        <v>204</v>
      </c>
      <c r="D1004" s="3">
        <f>IFERROR(__xludf.DUMMYFUNCTION("""COMPUTED_VALUE"""),145.0)</f>
        <v>145</v>
      </c>
      <c r="E1004" s="1" t="str">
        <f t="array" ref="E1004">_xlfn.XLOOKUP(A1004,Product!A:A,Product!B:B,"Bulunamadı")</f>
        <v>Tech</v>
      </c>
      <c r="F1004" s="1" t="str">
        <f t="array" ref="F1004">_xlfn.XLOOKUP(A1004,Product!A:A,Product!C:C,"Bulunamadı")</f>
        <v>Modern History</v>
      </c>
      <c r="G1004" s="2" t="str">
        <f t="array" ref="G1004">_xlfn.XLOOKUP(A1005,Product!A:A,Product!D:D,"Bulunamadı")</f>
        <v>New Frontier Publishing</v>
      </c>
      <c r="H1004" s="2">
        <f t="array" ref="H1004">_xlfn.XLOOKUP(A1006,Product!A:A,Product!E:E,"Bulunamadı")</f>
        <v>11.82</v>
      </c>
      <c r="I1004" s="2" t="str">
        <f t="shared" si="1"/>
        <v>45305 - Tech - Modern History</v>
      </c>
      <c r="J1004" s="2">
        <f t="shared" si="2"/>
        <v>1713.9</v>
      </c>
      <c r="K1004" s="17">
        <f t="shared" si="3"/>
        <v>1</v>
      </c>
      <c r="L1004" s="18"/>
    </row>
    <row r="1005" hidden="1">
      <c r="A1005" s="2">
        <f>IFERROR(__xludf.DUMMYFUNCTION("""COMPUTED_VALUE"""),29582.0)</f>
        <v>29582</v>
      </c>
      <c r="B1005" s="2">
        <f>IFERROR(__xludf.DUMMYFUNCTION("""COMPUTED_VALUE"""),1.0)</f>
        <v>1</v>
      </c>
      <c r="C1005" s="2">
        <f>IFERROR(__xludf.DUMMYFUNCTION("""COMPUTED_VALUE"""),133.0)</f>
        <v>133</v>
      </c>
      <c r="D1005" s="3">
        <f>IFERROR(__xludf.DUMMYFUNCTION("""COMPUTED_VALUE"""),43.0)</f>
        <v>43</v>
      </c>
      <c r="E1005" s="1" t="str">
        <f t="array" ref="E1005">_xlfn.XLOOKUP(A1005,Product!A:A,Product!B:B,"Bulunamadı")</f>
        <v>Tech</v>
      </c>
      <c r="F1005" s="1" t="str">
        <f t="array" ref="F1005">_xlfn.XLOOKUP(A1005,Product!A:A,Product!C:C,"Bulunamadı")</f>
        <v>Modern History</v>
      </c>
      <c r="G1005" s="2" t="str">
        <f t="array" ref="G1005">_xlfn.XLOOKUP(A1006,Product!A:A,Product!D:D,"Bulunamadı")</f>
        <v>New Frontier Publishing</v>
      </c>
      <c r="H1005" s="2">
        <f t="array" ref="H1005">_xlfn.XLOOKUP(A1007,Product!A:A,Product!E:E,"Bulunamadı")</f>
        <v>12.22</v>
      </c>
      <c r="I1005" s="2" t="str">
        <f t="shared" si="1"/>
        <v>29582 - Tech - Modern History</v>
      </c>
      <c r="J1005" s="2">
        <f t="shared" si="2"/>
        <v>525.46</v>
      </c>
      <c r="K1005" s="17">
        <f t="shared" si="3"/>
        <v>1</v>
      </c>
      <c r="L1005" s="18"/>
    </row>
    <row r="1006" hidden="1">
      <c r="A1006" s="2">
        <f>IFERROR(__xludf.DUMMYFUNCTION("""COMPUTED_VALUE"""),111676.0)</f>
        <v>111676</v>
      </c>
      <c r="B1006" s="2">
        <f>IFERROR(__xludf.DUMMYFUNCTION("""COMPUTED_VALUE"""),1.0)</f>
        <v>1</v>
      </c>
      <c r="C1006" s="2">
        <f>IFERROR(__xludf.DUMMYFUNCTION("""COMPUTED_VALUE"""),764.0)</f>
        <v>764</v>
      </c>
      <c r="D1006" s="3">
        <f>IFERROR(__xludf.DUMMYFUNCTION("""COMPUTED_VALUE"""),636.0)</f>
        <v>636</v>
      </c>
      <c r="E1006" s="1" t="str">
        <f t="array" ref="E1006">_xlfn.XLOOKUP(A1006,Product!A:A,Product!B:B,"Bulunamadı")</f>
        <v>Tech</v>
      </c>
      <c r="F1006" s="1" t="str">
        <f t="array" ref="F1006">_xlfn.XLOOKUP(A1006,Product!A:A,Product!C:C,"Bulunamadı")</f>
        <v>Modern History</v>
      </c>
      <c r="G1006" s="2" t="str">
        <f t="array" ref="G1006">_xlfn.XLOOKUP(A1007,Product!A:A,Product!D:D,"Bulunamadı")</f>
        <v>New Frontier Publishing</v>
      </c>
      <c r="H1006" s="2">
        <f t="array" ref="H1006">_xlfn.XLOOKUP(A1008,Product!A:A,Product!E:E,"Bulunamadı")</f>
        <v>3.99</v>
      </c>
      <c r="I1006" s="2" t="str">
        <f t="shared" si="1"/>
        <v>111676 - Tech - Modern History</v>
      </c>
      <c r="J1006" s="2">
        <f t="shared" si="2"/>
        <v>2537.64</v>
      </c>
      <c r="K1006" s="17">
        <f t="shared" si="3"/>
        <v>1</v>
      </c>
      <c r="L1006" s="18"/>
    </row>
    <row r="1007" hidden="1">
      <c r="A1007" s="2">
        <f>IFERROR(__xludf.DUMMYFUNCTION("""COMPUTED_VALUE"""),30578.0)</f>
        <v>30578</v>
      </c>
      <c r="B1007" s="2">
        <f>IFERROR(__xludf.DUMMYFUNCTION("""COMPUTED_VALUE"""),0.0)</f>
        <v>0</v>
      </c>
      <c r="C1007" s="2">
        <f>IFERROR(__xludf.DUMMYFUNCTION("""COMPUTED_VALUE"""),254.0)</f>
        <v>254</v>
      </c>
      <c r="D1007" s="3">
        <f>IFERROR(__xludf.DUMMYFUNCTION("""COMPUTED_VALUE"""),142.0)</f>
        <v>142</v>
      </c>
      <c r="E1007" s="1" t="str">
        <f t="array" ref="E1007">_xlfn.XLOOKUP(A1007,Product!A:A,Product!B:B,"Bulunamadı")</f>
        <v>Tech</v>
      </c>
      <c r="F1007" s="1" t="str">
        <f t="array" ref="F1007">_xlfn.XLOOKUP(A1007,Product!A:A,Product!C:C,"Bulunamadı")</f>
        <v>Modern History</v>
      </c>
      <c r="G1007" s="2" t="str">
        <f t="array" ref="G1007">_xlfn.XLOOKUP(A1008,Product!A:A,Product!D:D,"Bulunamadı")</f>
        <v>New Frontier Publishing</v>
      </c>
      <c r="H1007" s="2">
        <f t="array" ref="H1007">_xlfn.XLOOKUP(A1009,Product!A:A,Product!E:E,"Bulunamadı")</f>
        <v>3.84</v>
      </c>
      <c r="I1007" s="2" t="str">
        <f t="shared" si="1"/>
        <v>30578 - Tech - Modern History</v>
      </c>
      <c r="J1007" s="2">
        <f t="shared" si="2"/>
        <v>545.28</v>
      </c>
      <c r="K1007" s="17">
        <f t="shared" si="3"/>
        <v>1</v>
      </c>
      <c r="L1007" s="18"/>
    </row>
    <row r="1008" hidden="1">
      <c r="A1008" s="2">
        <f>IFERROR(__xludf.DUMMYFUNCTION("""COMPUTED_VALUE"""),93095.0)</f>
        <v>93095</v>
      </c>
      <c r="B1008" s="2">
        <f>IFERROR(__xludf.DUMMYFUNCTION("""COMPUTED_VALUE"""),1.0)</f>
        <v>1</v>
      </c>
      <c r="C1008" s="2">
        <f>IFERROR(__xludf.DUMMYFUNCTION("""COMPUTED_VALUE"""),240.0)</f>
        <v>240</v>
      </c>
      <c r="D1008" s="3">
        <f>IFERROR(__xludf.DUMMYFUNCTION("""COMPUTED_VALUE"""),136.0)</f>
        <v>136</v>
      </c>
      <c r="E1008" s="1" t="str">
        <f t="array" ref="E1008">_xlfn.XLOOKUP(A1008,Product!A:A,Product!B:B,"Bulunamadı")</f>
        <v>Tech</v>
      </c>
      <c r="F1008" s="1" t="str">
        <f t="array" ref="F1008">_xlfn.XLOOKUP(A1008,Product!A:A,Product!C:C,"Bulunamadı")</f>
        <v>Modern History</v>
      </c>
      <c r="G1008" s="2" t="str">
        <f t="array" ref="G1008">_xlfn.XLOOKUP(A1009,Product!A:A,Product!D:D,"Bulunamadı")</f>
        <v>New Frontier Publishing</v>
      </c>
      <c r="H1008" s="2">
        <f t="array" ref="H1008">_xlfn.XLOOKUP(A1010,Product!A:A,Product!E:E,"Bulunamadı")</f>
        <v>16.95</v>
      </c>
      <c r="I1008" s="2" t="str">
        <f t="shared" si="1"/>
        <v>93095 - Tech - Modern History</v>
      </c>
      <c r="J1008" s="2">
        <f t="shared" si="2"/>
        <v>2305.2</v>
      </c>
      <c r="K1008" s="17">
        <f t="shared" si="3"/>
        <v>1</v>
      </c>
      <c r="L1008" s="18"/>
    </row>
    <row r="1009" hidden="1">
      <c r="A1009" s="2">
        <f>IFERROR(__xludf.DUMMYFUNCTION("""COMPUTED_VALUE"""),70036.0)</f>
        <v>70036</v>
      </c>
      <c r="B1009" s="2">
        <f>IFERROR(__xludf.DUMMYFUNCTION("""COMPUTED_VALUE"""),0.0)</f>
        <v>0</v>
      </c>
      <c r="C1009" s="2">
        <f>IFERROR(__xludf.DUMMYFUNCTION("""COMPUTED_VALUE"""),442.0)</f>
        <v>442</v>
      </c>
      <c r="D1009" s="3">
        <f>IFERROR(__xludf.DUMMYFUNCTION("""COMPUTED_VALUE"""),309.0)</f>
        <v>309</v>
      </c>
      <c r="E1009" s="1" t="str">
        <f t="array" ref="E1009">_xlfn.XLOOKUP(A1009,Product!A:A,Product!B:B,"Bulunamadı")</f>
        <v>Tech</v>
      </c>
      <c r="F1009" s="1" t="str">
        <f t="array" ref="F1009">_xlfn.XLOOKUP(A1009,Product!A:A,Product!C:C,"Bulunamadı")</f>
        <v>Modern History</v>
      </c>
      <c r="G1009" s="2" t="str">
        <f t="array" ref="G1009">_xlfn.XLOOKUP(A1010,Product!A:A,Product!D:D,"Bulunamadı")</f>
        <v>New Frontier Publishing</v>
      </c>
      <c r="H1009" s="2">
        <f t="array" ref="H1009">_xlfn.XLOOKUP(A1011,Product!A:A,Product!E:E,"Bulunamadı")</f>
        <v>3.21</v>
      </c>
      <c r="I1009" s="2" t="str">
        <f t="shared" si="1"/>
        <v>70036 - Tech - Modern History</v>
      </c>
      <c r="J1009" s="2">
        <f t="shared" si="2"/>
        <v>991.89</v>
      </c>
      <c r="K1009" s="17">
        <f t="shared" si="3"/>
        <v>1</v>
      </c>
      <c r="L1009" s="18"/>
    </row>
    <row r="1010" hidden="1">
      <c r="A1010" s="2">
        <f>IFERROR(__xludf.DUMMYFUNCTION("""COMPUTED_VALUE"""),90498.0)</f>
        <v>90498</v>
      </c>
      <c r="B1010" s="2">
        <f>IFERROR(__xludf.DUMMYFUNCTION("""COMPUTED_VALUE"""),0.0)</f>
        <v>0</v>
      </c>
      <c r="C1010" s="2">
        <f>IFERROR(__xludf.DUMMYFUNCTION("""COMPUTED_VALUE"""),384.0)</f>
        <v>384</v>
      </c>
      <c r="D1010" s="3">
        <f>IFERROR(__xludf.DUMMYFUNCTION("""COMPUTED_VALUE"""),275.0)</f>
        <v>275</v>
      </c>
      <c r="E1010" s="1" t="str">
        <f t="array" ref="E1010">_xlfn.XLOOKUP(A1010,Product!A:A,Product!B:B,"Bulunamadı")</f>
        <v>Tech</v>
      </c>
      <c r="F1010" s="1" t="str">
        <f t="array" ref="F1010">_xlfn.XLOOKUP(A1010,Product!A:A,Product!C:C,"Bulunamadı")</f>
        <v>Modern History</v>
      </c>
      <c r="G1010" s="2" t="str">
        <f t="array" ref="G1010">_xlfn.XLOOKUP(A1011,Product!A:A,Product!D:D,"Bulunamadı")</f>
        <v>New Frontier Publishing</v>
      </c>
      <c r="H1010" s="2">
        <f t="array" ref="H1010">_xlfn.XLOOKUP(A1012,Product!A:A,Product!E:E,"Bulunamadı")</f>
        <v>8.73</v>
      </c>
      <c r="I1010" s="2" t="str">
        <f t="shared" si="1"/>
        <v>90498 - Tech - Modern History</v>
      </c>
      <c r="J1010" s="2">
        <f t="shared" si="2"/>
        <v>2400.75</v>
      </c>
      <c r="K1010" s="17">
        <f t="shared" si="3"/>
        <v>1</v>
      </c>
      <c r="L1010" s="18"/>
    </row>
    <row r="1011" hidden="1">
      <c r="A1011" s="2">
        <f>IFERROR(__xludf.DUMMYFUNCTION("""COMPUTED_VALUE"""),89127.0)</f>
        <v>89127</v>
      </c>
      <c r="B1011" s="2">
        <f>IFERROR(__xludf.DUMMYFUNCTION("""COMPUTED_VALUE"""),1.0)</f>
        <v>1</v>
      </c>
      <c r="C1011" s="2">
        <f>IFERROR(__xludf.DUMMYFUNCTION("""COMPUTED_VALUE"""),760.0)</f>
        <v>760</v>
      </c>
      <c r="D1011" s="3">
        <f>IFERROR(__xludf.DUMMYFUNCTION("""COMPUTED_VALUE"""),354.0)</f>
        <v>354</v>
      </c>
      <c r="E1011" s="1" t="str">
        <f t="array" ref="E1011">_xlfn.XLOOKUP(A1011,Product!A:A,Product!B:B,"Bulunamadı")</f>
        <v>Tech</v>
      </c>
      <c r="F1011" s="1" t="str">
        <f t="array" ref="F1011">_xlfn.XLOOKUP(A1011,Product!A:A,Product!C:C,"Bulunamadı")</f>
        <v>Modern History</v>
      </c>
      <c r="G1011" s="2" t="str">
        <f t="array" ref="G1011">_xlfn.XLOOKUP(A1012,Product!A:A,Product!D:D,"Bulunamadı")</f>
        <v>New Frontier Publishing</v>
      </c>
      <c r="H1011" s="2">
        <f t="array" ref="H1011">_xlfn.XLOOKUP(A1013,Product!A:A,Product!E:E,"Bulunamadı")</f>
        <v>12.87</v>
      </c>
      <c r="I1011" s="2" t="str">
        <f t="shared" si="1"/>
        <v>89127 - Tech - Modern History</v>
      </c>
      <c r="J1011" s="2">
        <f t="shared" si="2"/>
        <v>4555.98</v>
      </c>
      <c r="K1011" s="17">
        <f t="shared" si="3"/>
        <v>1</v>
      </c>
      <c r="L1011" s="18"/>
    </row>
    <row r="1012" hidden="1">
      <c r="A1012" s="2">
        <f>IFERROR(__xludf.DUMMYFUNCTION("""COMPUTED_VALUE"""),75215.0)</f>
        <v>75215</v>
      </c>
      <c r="B1012" s="2">
        <f>IFERROR(__xludf.DUMMYFUNCTION("""COMPUTED_VALUE"""),0.0)</f>
        <v>0</v>
      </c>
      <c r="C1012" s="2">
        <f>IFERROR(__xludf.DUMMYFUNCTION("""COMPUTED_VALUE"""),766.0)</f>
        <v>766</v>
      </c>
      <c r="D1012" s="3">
        <f>IFERROR(__xludf.DUMMYFUNCTION("""COMPUTED_VALUE"""),127.0)</f>
        <v>127</v>
      </c>
      <c r="E1012" s="1" t="str">
        <f t="array" ref="E1012">_xlfn.XLOOKUP(A1012,Product!A:A,Product!B:B,"Bulunamadı")</f>
        <v>Tech</v>
      </c>
      <c r="F1012" s="1" t="str">
        <f t="array" ref="F1012">_xlfn.XLOOKUP(A1012,Product!A:A,Product!C:C,"Bulunamadı")</f>
        <v>Modern History</v>
      </c>
      <c r="G1012" s="2" t="str">
        <f t="array" ref="G1012">_xlfn.XLOOKUP(A1013,Product!A:A,Product!D:D,"Bulunamadı")</f>
        <v>New Frontier Publishing</v>
      </c>
      <c r="H1012" s="2">
        <f t="array" ref="H1012">_xlfn.XLOOKUP(A1014,Product!A:A,Product!E:E,"Bulunamadı")</f>
        <v>10.62</v>
      </c>
      <c r="I1012" s="2" t="str">
        <f t="shared" si="1"/>
        <v>75215 - Tech - Modern History</v>
      </c>
      <c r="J1012" s="2">
        <f t="shared" si="2"/>
        <v>1348.74</v>
      </c>
      <c r="K1012" s="17">
        <f t="shared" si="3"/>
        <v>1</v>
      </c>
      <c r="L1012" s="18"/>
    </row>
    <row r="1013" hidden="1">
      <c r="A1013" s="2">
        <f>IFERROR(__xludf.DUMMYFUNCTION("""COMPUTED_VALUE"""),119566.0)</f>
        <v>119566</v>
      </c>
      <c r="B1013" s="2">
        <f>IFERROR(__xludf.DUMMYFUNCTION("""COMPUTED_VALUE"""),0.0)</f>
        <v>0</v>
      </c>
      <c r="C1013" s="2">
        <f>IFERROR(__xludf.DUMMYFUNCTION("""COMPUTED_VALUE"""),949.0)</f>
        <v>949</v>
      </c>
      <c r="D1013" s="3">
        <f>IFERROR(__xludf.DUMMYFUNCTION("""COMPUTED_VALUE"""),510.0)</f>
        <v>510</v>
      </c>
      <c r="E1013" s="1" t="str">
        <f t="array" ref="E1013">_xlfn.XLOOKUP(A1013,Product!A:A,Product!B:B,"Bulunamadı")</f>
        <v>Tech</v>
      </c>
      <c r="F1013" s="1" t="str">
        <f t="array" ref="F1013">_xlfn.XLOOKUP(A1013,Product!A:A,Product!C:C,"Bulunamadı")</f>
        <v>Modern History</v>
      </c>
      <c r="G1013" s="2" t="str">
        <f t="array" ref="G1013">_xlfn.XLOOKUP(A1014,Product!A:A,Product!D:D,"Bulunamadı")</f>
        <v>New Frontier Publishing</v>
      </c>
      <c r="H1013" s="2">
        <f t="array" ref="H1013">_xlfn.XLOOKUP(A1015,Product!A:A,Product!E:E,"Bulunamadı")</f>
        <v>7.13</v>
      </c>
      <c r="I1013" s="2" t="str">
        <f t="shared" si="1"/>
        <v>119566 - Tech - Modern History</v>
      </c>
      <c r="J1013" s="2">
        <f t="shared" si="2"/>
        <v>3636.3</v>
      </c>
      <c r="K1013" s="17">
        <f t="shared" si="3"/>
        <v>1</v>
      </c>
      <c r="L1013" s="18"/>
    </row>
    <row r="1014" hidden="1">
      <c r="A1014" s="2">
        <f>IFERROR(__xludf.DUMMYFUNCTION("""COMPUTED_VALUE"""),92208.0)</f>
        <v>92208</v>
      </c>
      <c r="B1014" s="2">
        <f>IFERROR(__xludf.DUMMYFUNCTION("""COMPUTED_VALUE"""),0.0)</f>
        <v>0</v>
      </c>
      <c r="C1014" s="2">
        <f>IFERROR(__xludf.DUMMYFUNCTION("""COMPUTED_VALUE"""),546.0)</f>
        <v>546</v>
      </c>
      <c r="D1014" s="3">
        <f>IFERROR(__xludf.DUMMYFUNCTION("""COMPUTED_VALUE"""),216.0)</f>
        <v>216</v>
      </c>
      <c r="E1014" s="1" t="str">
        <f t="array" ref="E1014">_xlfn.XLOOKUP(A1014,Product!A:A,Product!B:B,"Bulunamadı")</f>
        <v>Tech</v>
      </c>
      <c r="F1014" s="1" t="str">
        <f t="array" ref="F1014">_xlfn.XLOOKUP(A1014,Product!A:A,Product!C:C,"Bulunamadı")</f>
        <v>Modern History</v>
      </c>
      <c r="G1014" s="2" t="str">
        <f t="array" ref="G1014">_xlfn.XLOOKUP(A1015,Product!A:A,Product!D:D,"Bulunamadı")</f>
        <v>New Frontier Publishing</v>
      </c>
      <c r="H1014" s="2">
        <f t="array" ref="H1014">_xlfn.XLOOKUP(A1016,Product!A:A,Product!E:E,"Bulunamadı")</f>
        <v>6.55</v>
      </c>
      <c r="I1014" s="2" t="str">
        <f t="shared" si="1"/>
        <v>92208 - Tech - Modern History</v>
      </c>
      <c r="J1014" s="2">
        <f t="shared" si="2"/>
        <v>1414.8</v>
      </c>
      <c r="K1014" s="17">
        <f t="shared" si="3"/>
        <v>1</v>
      </c>
      <c r="L1014" s="18"/>
    </row>
    <row r="1015" hidden="1">
      <c r="A1015" s="2">
        <f>IFERROR(__xludf.DUMMYFUNCTION("""COMPUTED_VALUE"""),119579.0)</f>
        <v>119579</v>
      </c>
      <c r="B1015" s="2">
        <f>IFERROR(__xludf.DUMMYFUNCTION("""COMPUTED_VALUE"""),0.0)</f>
        <v>0</v>
      </c>
      <c r="C1015" s="2">
        <f>IFERROR(__xludf.DUMMYFUNCTION("""COMPUTED_VALUE"""),595.0)</f>
        <v>595</v>
      </c>
      <c r="D1015" s="3">
        <f>IFERROR(__xludf.DUMMYFUNCTION("""COMPUTED_VALUE"""),28.0)</f>
        <v>28</v>
      </c>
      <c r="E1015" s="1" t="str">
        <f t="array" ref="E1015">_xlfn.XLOOKUP(A1015,Product!A:A,Product!B:B,"Bulunamadı")</f>
        <v>Tech</v>
      </c>
      <c r="F1015" s="1" t="str">
        <f t="array" ref="F1015">_xlfn.XLOOKUP(A1015,Product!A:A,Product!C:C,"Bulunamadı")</f>
        <v>Modern History</v>
      </c>
      <c r="G1015" s="2" t="str">
        <f t="array" ref="G1015">_xlfn.XLOOKUP(A1016,Product!A:A,Product!D:D,"Bulunamadı")</f>
        <v>New Frontier Publishing</v>
      </c>
      <c r="H1015" s="2">
        <f t="array" ref="H1015">_xlfn.XLOOKUP(A1017,Product!A:A,Product!E:E,"Bulunamadı")</f>
        <v>5.34</v>
      </c>
      <c r="I1015" s="2" t="str">
        <f t="shared" si="1"/>
        <v>119579 - Tech - Modern History</v>
      </c>
      <c r="J1015" s="2">
        <f t="shared" si="2"/>
        <v>149.52</v>
      </c>
      <c r="K1015" s="17">
        <f t="shared" si="3"/>
        <v>1</v>
      </c>
      <c r="L1015" s="18"/>
    </row>
    <row r="1016" hidden="1">
      <c r="A1016" s="2">
        <f>IFERROR(__xludf.DUMMYFUNCTION("""COMPUTED_VALUE"""),45309.0)</f>
        <v>45309</v>
      </c>
      <c r="B1016" s="2">
        <f>IFERROR(__xludf.DUMMYFUNCTION("""COMPUTED_VALUE"""),1.0)</f>
        <v>1</v>
      </c>
      <c r="C1016" s="2">
        <f>IFERROR(__xludf.DUMMYFUNCTION("""COMPUTED_VALUE"""),722.0)</f>
        <v>722</v>
      </c>
      <c r="D1016" s="3">
        <f>IFERROR(__xludf.DUMMYFUNCTION("""COMPUTED_VALUE"""),601.0)</f>
        <v>601</v>
      </c>
      <c r="E1016" s="1" t="str">
        <f t="array" ref="E1016">_xlfn.XLOOKUP(A1016,Product!A:A,Product!B:B,"Bulunamadı")</f>
        <v>Tech</v>
      </c>
      <c r="F1016" s="1" t="str">
        <f t="array" ref="F1016">_xlfn.XLOOKUP(A1016,Product!A:A,Product!C:C,"Bulunamadı")</f>
        <v>Modern History</v>
      </c>
      <c r="G1016" s="2" t="str">
        <f t="array" ref="G1016">_xlfn.XLOOKUP(A1017,Product!A:A,Product!D:D,"Bulunamadı")</f>
        <v>New Frontier Publishing</v>
      </c>
      <c r="H1016" s="2">
        <f t="array" ref="H1016">_xlfn.XLOOKUP(A1018,Product!A:A,Product!E:E,"Bulunamadı")</f>
        <v>3.42</v>
      </c>
      <c r="I1016" s="2" t="str">
        <f t="shared" si="1"/>
        <v>45309 - Tech - Modern History</v>
      </c>
      <c r="J1016" s="2">
        <f t="shared" si="2"/>
        <v>2055.42</v>
      </c>
      <c r="K1016" s="17">
        <f t="shared" si="3"/>
        <v>1</v>
      </c>
      <c r="L1016" s="18"/>
    </row>
    <row r="1017" hidden="1">
      <c r="A1017" s="2">
        <f>IFERROR(__xludf.DUMMYFUNCTION("""COMPUTED_VALUE"""),30743.0)</f>
        <v>30743</v>
      </c>
      <c r="B1017" s="2">
        <f>IFERROR(__xludf.DUMMYFUNCTION("""COMPUTED_VALUE"""),0.0)</f>
        <v>0</v>
      </c>
      <c r="C1017" s="2">
        <f>IFERROR(__xludf.DUMMYFUNCTION("""COMPUTED_VALUE"""),453.0)</f>
        <v>453</v>
      </c>
      <c r="D1017" s="3">
        <f>IFERROR(__xludf.DUMMYFUNCTION("""COMPUTED_VALUE"""),46.0)</f>
        <v>46</v>
      </c>
      <c r="E1017" s="1" t="str">
        <f t="array" ref="E1017">_xlfn.XLOOKUP(A1017,Product!A:A,Product!B:B,"Bulunamadı")</f>
        <v>Tech</v>
      </c>
      <c r="F1017" s="1" t="str">
        <f t="array" ref="F1017">_xlfn.XLOOKUP(A1017,Product!A:A,Product!C:C,"Bulunamadı")</f>
        <v>Modern History</v>
      </c>
      <c r="G1017" s="2" t="str">
        <f t="array" ref="G1017">_xlfn.XLOOKUP(A1018,Product!A:A,Product!D:D,"Bulunamadı")</f>
        <v>New Frontier Publishing</v>
      </c>
      <c r="H1017" s="2">
        <f t="array" ref="H1017">_xlfn.XLOOKUP(A1019,Product!A:A,Product!E:E,"Bulunamadı")</f>
        <v>3.84</v>
      </c>
      <c r="I1017" s="2" t="str">
        <f t="shared" si="1"/>
        <v>30743 - Tech - Modern History</v>
      </c>
      <c r="J1017" s="2">
        <f t="shared" si="2"/>
        <v>176.64</v>
      </c>
      <c r="K1017" s="17">
        <f t="shared" si="3"/>
        <v>1</v>
      </c>
      <c r="L1017" s="18"/>
    </row>
    <row r="1018" hidden="1">
      <c r="A1018" s="2">
        <f>IFERROR(__xludf.DUMMYFUNCTION("""COMPUTED_VALUE"""),49108.0)</f>
        <v>49108</v>
      </c>
      <c r="B1018" s="2">
        <f>IFERROR(__xludf.DUMMYFUNCTION("""COMPUTED_VALUE"""),0.0)</f>
        <v>0</v>
      </c>
      <c r="C1018" s="2">
        <f>IFERROR(__xludf.DUMMYFUNCTION("""COMPUTED_VALUE"""),449.0)</f>
        <v>449</v>
      </c>
      <c r="D1018" s="3">
        <f>IFERROR(__xludf.DUMMYFUNCTION("""COMPUTED_VALUE"""),190.0)</f>
        <v>190</v>
      </c>
      <c r="E1018" s="1" t="str">
        <f t="array" ref="E1018">_xlfn.XLOOKUP(A1018,Product!A:A,Product!B:B,"Bulunamadı")</f>
        <v>Tech</v>
      </c>
      <c r="F1018" s="1" t="str">
        <f t="array" ref="F1018">_xlfn.XLOOKUP(A1018,Product!A:A,Product!C:C,"Bulunamadı")</f>
        <v>Modern History</v>
      </c>
      <c r="G1018" s="2" t="str">
        <f t="array" ref="G1018">_xlfn.XLOOKUP(A1019,Product!A:A,Product!D:D,"Bulunamadı")</f>
        <v>New Frontier Publishing</v>
      </c>
      <c r="H1018" s="2">
        <f t="array" ref="H1018">_xlfn.XLOOKUP(A1020,Product!A:A,Product!E:E,"Bulunamadı")</f>
        <v>11.35</v>
      </c>
      <c r="I1018" s="2" t="str">
        <f t="shared" si="1"/>
        <v>49108 - Tech - Modern History</v>
      </c>
      <c r="J1018" s="2">
        <f t="shared" si="2"/>
        <v>2156.5</v>
      </c>
      <c r="K1018" s="17">
        <f t="shared" si="3"/>
        <v>1</v>
      </c>
      <c r="L1018" s="18"/>
    </row>
    <row r="1019" hidden="1">
      <c r="A1019" s="2">
        <f>IFERROR(__xludf.DUMMYFUNCTION("""COMPUTED_VALUE"""),29584.0)</f>
        <v>29584</v>
      </c>
      <c r="B1019" s="2">
        <f>IFERROR(__xludf.DUMMYFUNCTION("""COMPUTED_VALUE"""),0.0)</f>
        <v>0</v>
      </c>
      <c r="C1019" s="2">
        <f>IFERROR(__xludf.DUMMYFUNCTION("""COMPUTED_VALUE"""),79.0)</f>
        <v>79</v>
      </c>
      <c r="D1019" s="3">
        <f>IFERROR(__xludf.DUMMYFUNCTION("""COMPUTED_VALUE"""),13.0)</f>
        <v>13</v>
      </c>
      <c r="E1019" s="1" t="str">
        <f t="array" ref="E1019">_xlfn.XLOOKUP(A1019,Product!A:A,Product!B:B,"Bulunamadı")</f>
        <v>Tech</v>
      </c>
      <c r="F1019" s="1" t="str">
        <f t="array" ref="F1019">_xlfn.XLOOKUP(A1019,Product!A:A,Product!C:C,"Bulunamadı")</f>
        <v>Modern History</v>
      </c>
      <c r="G1019" s="2" t="str">
        <f t="array" ref="G1019">_xlfn.XLOOKUP(A1020,Product!A:A,Product!D:D,"Bulunamadı")</f>
        <v>New Frontier Publishing</v>
      </c>
      <c r="H1019" s="2">
        <f t="array" ref="H1019">_xlfn.XLOOKUP(A1021,Product!A:A,Product!E:E,"Bulunamadı")</f>
        <v>10.65</v>
      </c>
      <c r="I1019" s="2" t="str">
        <f t="shared" si="1"/>
        <v>29584 - Tech - Modern History</v>
      </c>
      <c r="J1019" s="2">
        <f t="shared" si="2"/>
        <v>138.45</v>
      </c>
      <c r="K1019" s="17">
        <f t="shared" si="3"/>
        <v>1</v>
      </c>
      <c r="L1019" s="18"/>
    </row>
    <row r="1020" hidden="1">
      <c r="A1020" s="2">
        <f>IFERROR(__xludf.DUMMYFUNCTION("""COMPUTED_VALUE"""),119501.0)</f>
        <v>119501</v>
      </c>
      <c r="B1020" s="2">
        <f>IFERROR(__xludf.DUMMYFUNCTION("""COMPUTED_VALUE"""),1.0)</f>
        <v>1</v>
      </c>
      <c r="C1020" s="2">
        <f>IFERROR(__xludf.DUMMYFUNCTION("""COMPUTED_VALUE"""),484.0)</f>
        <v>484</v>
      </c>
      <c r="D1020" s="3">
        <f>IFERROR(__xludf.DUMMYFUNCTION("""COMPUTED_VALUE"""),423.0)</f>
        <v>423</v>
      </c>
      <c r="E1020" s="1" t="str">
        <f t="array" ref="E1020">_xlfn.XLOOKUP(A1020,Product!A:A,Product!B:B,"Bulunamadı")</f>
        <v>Tech</v>
      </c>
      <c r="F1020" s="1" t="str">
        <f t="array" ref="F1020">_xlfn.XLOOKUP(A1020,Product!A:A,Product!C:C,"Bulunamadı")</f>
        <v>Modern History</v>
      </c>
      <c r="G1020" s="2" t="str">
        <f t="array" ref="G1020">_xlfn.XLOOKUP(A1021,Product!A:A,Product!D:D,"Bulunamadı")</f>
        <v>New Frontier Publishing</v>
      </c>
      <c r="H1020" s="2">
        <f t="array" ref="H1020">_xlfn.XLOOKUP(A1022,Product!A:A,Product!E:E,"Bulunamadı")</f>
        <v>4.04</v>
      </c>
      <c r="I1020" s="2" t="str">
        <f t="shared" si="1"/>
        <v>119501 - Tech - Modern History</v>
      </c>
      <c r="J1020" s="2">
        <f t="shared" si="2"/>
        <v>1708.92</v>
      </c>
      <c r="K1020" s="17">
        <f t="shared" si="3"/>
        <v>1</v>
      </c>
      <c r="L1020" s="18"/>
    </row>
    <row r="1021" hidden="1">
      <c r="A1021" s="2">
        <f>IFERROR(__xludf.DUMMYFUNCTION("""COMPUTED_VALUE"""),30504.0)</f>
        <v>30504</v>
      </c>
      <c r="B1021" s="2">
        <f>IFERROR(__xludf.DUMMYFUNCTION("""COMPUTED_VALUE"""),0.0)</f>
        <v>0</v>
      </c>
      <c r="C1021" s="2">
        <f>IFERROR(__xludf.DUMMYFUNCTION("""COMPUTED_VALUE"""),241.0)</f>
        <v>241</v>
      </c>
      <c r="D1021" s="3">
        <f>IFERROR(__xludf.DUMMYFUNCTION("""COMPUTED_VALUE"""),174.0)</f>
        <v>174</v>
      </c>
      <c r="E1021" s="1" t="str">
        <f t="array" ref="E1021">_xlfn.XLOOKUP(A1021,Product!A:A,Product!B:B,"Bulunamadı")</f>
        <v>Tech</v>
      </c>
      <c r="F1021" s="1" t="str">
        <f t="array" ref="F1021">_xlfn.XLOOKUP(A1021,Product!A:A,Product!C:C,"Bulunamadı")</f>
        <v>Modern History</v>
      </c>
      <c r="G1021" s="2" t="str">
        <f t="array" ref="G1021">_xlfn.XLOOKUP(A1022,Product!A:A,Product!D:D,"Bulunamadı")</f>
        <v>New Frontier Publishing</v>
      </c>
      <c r="H1021" s="2">
        <f t="array" ref="H1021">_xlfn.XLOOKUP(A1023,Product!A:A,Product!E:E,"Bulunamadı")</f>
        <v>7.11</v>
      </c>
      <c r="I1021" s="2" t="str">
        <f t="shared" si="1"/>
        <v>30504 - Tech - Modern History</v>
      </c>
      <c r="J1021" s="2">
        <f t="shared" si="2"/>
        <v>1237.14</v>
      </c>
      <c r="K1021" s="17">
        <f t="shared" si="3"/>
        <v>1</v>
      </c>
      <c r="L1021" s="18"/>
    </row>
    <row r="1022" hidden="1">
      <c r="A1022" s="2">
        <f>IFERROR(__xludf.DUMMYFUNCTION("""COMPUTED_VALUE"""),93101.0)</f>
        <v>93101</v>
      </c>
      <c r="B1022" s="2">
        <f>IFERROR(__xludf.DUMMYFUNCTION("""COMPUTED_VALUE"""),1.0)</f>
        <v>1</v>
      </c>
      <c r="C1022" s="2">
        <f>IFERROR(__xludf.DUMMYFUNCTION("""COMPUTED_VALUE"""),839.0)</f>
        <v>839</v>
      </c>
      <c r="D1022" s="3">
        <f>IFERROR(__xludf.DUMMYFUNCTION("""COMPUTED_VALUE"""),631.0)</f>
        <v>631</v>
      </c>
      <c r="E1022" s="1" t="str">
        <f t="array" ref="E1022">_xlfn.XLOOKUP(A1022,Product!A:A,Product!B:B,"Bulunamadı")</f>
        <v>Tech</v>
      </c>
      <c r="F1022" s="1" t="str">
        <f t="array" ref="F1022">_xlfn.XLOOKUP(A1022,Product!A:A,Product!C:C,"Bulunamadı")</f>
        <v>Modern History</v>
      </c>
      <c r="G1022" s="2" t="str">
        <f t="array" ref="G1022">_xlfn.XLOOKUP(A1023,Product!A:A,Product!D:D,"Bulunamadı")</f>
        <v>New Frontier Publishing</v>
      </c>
      <c r="H1022" s="2">
        <f t="array" ref="H1022">_xlfn.XLOOKUP(A1024,Product!A:A,Product!E:E,"Bulunamadı")</f>
        <v>5.63</v>
      </c>
      <c r="I1022" s="2" t="str">
        <f t="shared" si="1"/>
        <v>93101 - Tech - Modern History</v>
      </c>
      <c r="J1022" s="2">
        <f t="shared" si="2"/>
        <v>3552.53</v>
      </c>
      <c r="K1022" s="17">
        <f t="shared" si="3"/>
        <v>1</v>
      </c>
      <c r="L1022" s="18"/>
    </row>
    <row r="1023" hidden="1">
      <c r="A1023" s="2">
        <f>IFERROR(__xludf.DUMMYFUNCTION("""COMPUTED_VALUE"""),30749.0)</f>
        <v>30749</v>
      </c>
      <c r="B1023" s="2">
        <f>IFERROR(__xludf.DUMMYFUNCTION("""COMPUTED_VALUE"""),0.0)</f>
        <v>0</v>
      </c>
      <c r="C1023" s="2">
        <f>IFERROR(__xludf.DUMMYFUNCTION("""COMPUTED_VALUE"""),10.0)</f>
        <v>10</v>
      </c>
      <c r="D1023" s="3">
        <f>IFERROR(__xludf.DUMMYFUNCTION("""COMPUTED_VALUE"""),0.0)</f>
        <v>0</v>
      </c>
      <c r="E1023" s="1" t="str">
        <f t="array" ref="E1023">_xlfn.XLOOKUP(A1023,Product!A:A,Product!B:B,"Bulunamadı")</f>
        <v>Tech</v>
      </c>
      <c r="F1023" s="1" t="str">
        <f t="array" ref="F1023">_xlfn.XLOOKUP(A1023,Product!A:A,Product!C:C,"Bulunamadı")</f>
        <v>Modern History</v>
      </c>
      <c r="G1023" s="2" t="str">
        <f t="array" ref="G1023">_xlfn.XLOOKUP(A1024,Product!A:A,Product!D:D,"Bulunamadı")</f>
        <v>New Frontier Publishing</v>
      </c>
      <c r="H1023" s="2">
        <f t="array" ref="H1023">_xlfn.XLOOKUP(A1025,Product!A:A,Product!E:E,"Bulunamadı")</f>
        <v>2.97</v>
      </c>
      <c r="I1023" s="2" t="str">
        <f t="shared" si="1"/>
        <v>30749 - Tech - Modern History</v>
      </c>
      <c r="J1023" s="2">
        <f t="shared" si="2"/>
        <v>0</v>
      </c>
      <c r="K1023" s="17">
        <f t="shared" si="3"/>
        <v>0</v>
      </c>
      <c r="L1023" s="18"/>
    </row>
    <row r="1024" hidden="1">
      <c r="A1024" s="2">
        <f>IFERROR(__xludf.DUMMYFUNCTION("""COMPUTED_VALUE"""),120813.0)</f>
        <v>120813</v>
      </c>
      <c r="B1024" s="2">
        <f>IFERROR(__xludf.DUMMYFUNCTION("""COMPUTED_VALUE"""),1.0)</f>
        <v>1</v>
      </c>
      <c r="C1024" s="2">
        <f>IFERROR(__xludf.DUMMYFUNCTION("""COMPUTED_VALUE"""),279.0)</f>
        <v>279</v>
      </c>
      <c r="D1024" s="3">
        <f>IFERROR(__xludf.DUMMYFUNCTION("""COMPUTED_VALUE"""),28.0)</f>
        <v>28</v>
      </c>
      <c r="E1024" s="1" t="str">
        <f t="array" ref="E1024">_xlfn.XLOOKUP(A1024,Product!A:A,Product!B:B,"Bulunamadı")</f>
        <v>Tech</v>
      </c>
      <c r="F1024" s="1" t="str">
        <f t="array" ref="F1024">_xlfn.XLOOKUP(A1024,Product!A:A,Product!C:C,"Bulunamadı")</f>
        <v>Modern History</v>
      </c>
      <c r="G1024" s="2" t="str">
        <f t="array" ref="G1024">_xlfn.XLOOKUP(A1025,Product!A:A,Product!D:D,"Bulunamadı")</f>
        <v>New Frontier Publishing</v>
      </c>
      <c r="H1024" s="2">
        <f t="array" ref="H1024">_xlfn.XLOOKUP(A1026,Product!A:A,Product!E:E,"Bulunamadı")</f>
        <v>4.14</v>
      </c>
      <c r="I1024" s="2" t="str">
        <f t="shared" si="1"/>
        <v>120813 - Tech - Modern History</v>
      </c>
      <c r="J1024" s="2">
        <f t="shared" si="2"/>
        <v>115.92</v>
      </c>
      <c r="K1024" s="17">
        <f t="shared" si="3"/>
        <v>1</v>
      </c>
      <c r="L1024" s="18"/>
    </row>
    <row r="1025" hidden="1">
      <c r="A1025" s="2">
        <f>IFERROR(__xludf.DUMMYFUNCTION("""COMPUTED_VALUE"""),29590.0)</f>
        <v>29590</v>
      </c>
      <c r="B1025" s="2">
        <f>IFERROR(__xludf.DUMMYFUNCTION("""COMPUTED_VALUE"""),1.0)</f>
        <v>1</v>
      </c>
      <c r="C1025" s="2">
        <f>IFERROR(__xludf.DUMMYFUNCTION("""COMPUTED_VALUE"""),171.0)</f>
        <v>171</v>
      </c>
      <c r="D1025" s="3">
        <f>IFERROR(__xludf.DUMMYFUNCTION("""COMPUTED_VALUE"""),129.0)</f>
        <v>129</v>
      </c>
      <c r="E1025" s="1" t="str">
        <f t="array" ref="E1025">_xlfn.XLOOKUP(A1025,Product!A:A,Product!B:B,"Bulunamadı")</f>
        <v>Tech</v>
      </c>
      <c r="F1025" s="1" t="str">
        <f t="array" ref="F1025">_xlfn.XLOOKUP(A1025,Product!A:A,Product!C:C,"Bulunamadı")</f>
        <v>Modern History</v>
      </c>
      <c r="G1025" s="2" t="str">
        <f t="array" ref="G1025">_xlfn.XLOOKUP(A1026,Product!A:A,Product!D:D,"Bulunamadı")</f>
        <v>Silver Crown Books</v>
      </c>
      <c r="H1025" s="2">
        <f t="array" ref="H1025">_xlfn.XLOOKUP(A1027,Product!A:A,Product!E:E,"Bulunamadı")</f>
        <v>7.71</v>
      </c>
      <c r="I1025" s="2" t="str">
        <f t="shared" si="1"/>
        <v>29590 - Tech - Modern History</v>
      </c>
      <c r="J1025" s="2">
        <f t="shared" si="2"/>
        <v>994.59</v>
      </c>
      <c r="K1025" s="17">
        <f t="shared" si="3"/>
        <v>1</v>
      </c>
      <c r="L1025" s="18"/>
    </row>
    <row r="1026" hidden="1">
      <c r="A1026" s="2">
        <f>IFERROR(__xludf.DUMMYFUNCTION("""COMPUTED_VALUE"""),118662.0)</f>
        <v>118662</v>
      </c>
      <c r="B1026" s="2">
        <f>IFERROR(__xludf.DUMMYFUNCTION("""COMPUTED_VALUE"""),0.0)</f>
        <v>0</v>
      </c>
      <c r="C1026" s="2">
        <f>IFERROR(__xludf.DUMMYFUNCTION("""COMPUTED_VALUE"""),322.0)</f>
        <v>322</v>
      </c>
      <c r="D1026" s="3">
        <f>IFERROR(__xludf.DUMMYFUNCTION("""COMPUTED_VALUE"""),198.0)</f>
        <v>198</v>
      </c>
      <c r="E1026" s="1" t="str">
        <f t="array" ref="E1026">_xlfn.XLOOKUP(A1026,Product!A:A,Product!B:B,"Bulunamadı")</f>
        <v>Tech</v>
      </c>
      <c r="F1026" s="1" t="str">
        <f t="array" ref="F1026">_xlfn.XLOOKUP(A1026,Product!A:A,Product!C:C,"Bulunamadı")</f>
        <v>Modern History</v>
      </c>
      <c r="G1026" s="2" t="str">
        <f t="array" ref="G1026">_xlfn.XLOOKUP(A1027,Product!A:A,Product!D:D,"Bulunamadı")</f>
        <v>Silver Crown Books</v>
      </c>
      <c r="H1026" s="2">
        <f t="array" ref="H1026">_xlfn.XLOOKUP(A1028,Product!A:A,Product!E:E,"Bulunamadı")</f>
        <v>7.67</v>
      </c>
      <c r="I1026" s="2" t="str">
        <f t="shared" si="1"/>
        <v>118662 - Tech - Modern History</v>
      </c>
      <c r="J1026" s="2">
        <f t="shared" si="2"/>
        <v>1518.66</v>
      </c>
      <c r="K1026" s="17">
        <f t="shared" si="3"/>
        <v>1</v>
      </c>
      <c r="L1026" s="18"/>
    </row>
    <row r="1027" hidden="1">
      <c r="A1027" s="2">
        <f>IFERROR(__xludf.DUMMYFUNCTION("""COMPUTED_VALUE"""),30478.0)</f>
        <v>30478</v>
      </c>
      <c r="B1027" s="2">
        <f>IFERROR(__xludf.DUMMYFUNCTION("""COMPUTED_VALUE"""),0.0)</f>
        <v>0</v>
      </c>
      <c r="C1027" s="2">
        <f>IFERROR(__xludf.DUMMYFUNCTION("""COMPUTED_VALUE"""),212.0)</f>
        <v>212</v>
      </c>
      <c r="D1027" s="3">
        <f>IFERROR(__xludf.DUMMYFUNCTION("""COMPUTED_VALUE"""),1.0)</f>
        <v>1</v>
      </c>
      <c r="E1027" s="1" t="str">
        <f t="array" ref="E1027">_xlfn.XLOOKUP(A1027,Product!A:A,Product!B:B,"Bulunamadı")</f>
        <v>Tech</v>
      </c>
      <c r="F1027" s="1" t="str">
        <f t="array" ref="F1027">_xlfn.XLOOKUP(A1027,Product!A:A,Product!C:C,"Bulunamadı")</f>
        <v>Modern History</v>
      </c>
      <c r="G1027" s="2" t="str">
        <f t="array" ref="G1027">_xlfn.XLOOKUP(A1028,Product!A:A,Product!D:D,"Bulunamadı")</f>
        <v>Silver Crown Books</v>
      </c>
      <c r="H1027" s="2">
        <f t="array" ref="H1027">_xlfn.XLOOKUP(A1029,Product!A:A,Product!E:E,"Bulunamadı")</f>
        <v>1.3</v>
      </c>
      <c r="I1027" s="2" t="str">
        <f t="shared" si="1"/>
        <v>30478 - Tech - Modern History</v>
      </c>
      <c r="J1027" s="2">
        <f t="shared" si="2"/>
        <v>1.3</v>
      </c>
      <c r="K1027" s="17">
        <f t="shared" si="3"/>
        <v>1</v>
      </c>
      <c r="L1027" s="18"/>
    </row>
    <row r="1028" hidden="1">
      <c r="A1028" s="2">
        <f>IFERROR(__xludf.DUMMYFUNCTION("""COMPUTED_VALUE"""),90475.0)</f>
        <v>90475</v>
      </c>
      <c r="B1028" s="2">
        <f>IFERROR(__xludf.DUMMYFUNCTION("""COMPUTED_VALUE"""),0.0)</f>
        <v>0</v>
      </c>
      <c r="C1028" s="2">
        <f>IFERROR(__xludf.DUMMYFUNCTION("""COMPUTED_VALUE"""),86.0)</f>
        <v>86</v>
      </c>
      <c r="D1028" s="3">
        <f>IFERROR(__xludf.DUMMYFUNCTION("""COMPUTED_VALUE"""),2.0)</f>
        <v>2</v>
      </c>
      <c r="E1028" s="1" t="str">
        <f t="array" ref="E1028">_xlfn.XLOOKUP(A1028,Product!A:A,Product!B:B,"Bulunamadı")</f>
        <v>Tech</v>
      </c>
      <c r="F1028" s="1" t="str">
        <f t="array" ref="F1028">_xlfn.XLOOKUP(A1028,Product!A:A,Product!C:C,"Bulunamadı")</f>
        <v>Modern History</v>
      </c>
      <c r="G1028" s="2" t="str">
        <f t="array" ref="G1028">_xlfn.XLOOKUP(A1029,Product!A:A,Product!D:D,"Bulunamadı")</f>
        <v>Silver Crown Books</v>
      </c>
      <c r="H1028" s="2">
        <f t="array" ref="H1028">_xlfn.XLOOKUP(A1030,Product!A:A,Product!E:E,"Bulunamadı")</f>
        <v>1.36</v>
      </c>
      <c r="I1028" s="2" t="str">
        <f t="shared" si="1"/>
        <v>90475 - Tech - Modern History</v>
      </c>
      <c r="J1028" s="2">
        <f t="shared" si="2"/>
        <v>2.72</v>
      </c>
      <c r="K1028" s="17">
        <f t="shared" si="3"/>
        <v>1</v>
      </c>
      <c r="L1028" s="18"/>
    </row>
    <row r="1029" hidden="1">
      <c r="A1029" s="2">
        <f>IFERROR(__xludf.DUMMYFUNCTION("""COMPUTED_VALUE"""),29530.0)</f>
        <v>29530</v>
      </c>
      <c r="B1029" s="2">
        <f>IFERROR(__xludf.DUMMYFUNCTION("""COMPUTED_VALUE"""),0.0)</f>
        <v>0</v>
      </c>
      <c r="C1029" s="2">
        <f>IFERROR(__xludf.DUMMYFUNCTION("""COMPUTED_VALUE"""),106.0)</f>
        <v>106</v>
      </c>
      <c r="D1029" s="3">
        <f>IFERROR(__xludf.DUMMYFUNCTION("""COMPUTED_VALUE"""),61.0)</f>
        <v>61</v>
      </c>
      <c r="E1029" s="1" t="str">
        <f t="array" ref="E1029">_xlfn.XLOOKUP(A1029,Product!A:A,Product!B:B,"Bulunamadı")</f>
        <v>Tech</v>
      </c>
      <c r="F1029" s="1" t="str">
        <f t="array" ref="F1029">_xlfn.XLOOKUP(A1029,Product!A:A,Product!C:C,"Bulunamadı")</f>
        <v>Modern History</v>
      </c>
      <c r="G1029" s="2" t="str">
        <f t="array" ref="G1029">_xlfn.XLOOKUP(A1030,Product!A:A,Product!D:D,"Bulunamadı")</f>
        <v>Silver Crown Books</v>
      </c>
      <c r="H1029" s="2">
        <f t="array" ref="H1029">_xlfn.XLOOKUP(A1031,Product!A:A,Product!E:E,"Bulunamadı")</f>
        <v>3.47</v>
      </c>
      <c r="I1029" s="2" t="str">
        <f t="shared" si="1"/>
        <v>29530 - Tech - Modern History</v>
      </c>
      <c r="J1029" s="2">
        <f t="shared" si="2"/>
        <v>211.67</v>
      </c>
      <c r="K1029" s="17">
        <f t="shared" si="3"/>
        <v>1</v>
      </c>
      <c r="L1029" s="18"/>
    </row>
    <row r="1030" hidden="1">
      <c r="A1030" s="2">
        <f>IFERROR(__xludf.DUMMYFUNCTION("""COMPUTED_VALUE"""),81528.0)</f>
        <v>81528</v>
      </c>
      <c r="B1030" s="2">
        <f>IFERROR(__xludf.DUMMYFUNCTION("""COMPUTED_VALUE"""),1.0)</f>
        <v>1</v>
      </c>
      <c r="C1030" s="2">
        <f>IFERROR(__xludf.DUMMYFUNCTION("""COMPUTED_VALUE"""),553.0)</f>
        <v>553</v>
      </c>
      <c r="D1030" s="3">
        <f>IFERROR(__xludf.DUMMYFUNCTION("""COMPUTED_VALUE"""),488.0)</f>
        <v>488</v>
      </c>
      <c r="E1030" s="1" t="str">
        <f t="array" ref="E1030">_xlfn.XLOOKUP(A1030,Product!A:A,Product!B:B,"Bulunamadı")</f>
        <v>Tech</v>
      </c>
      <c r="F1030" s="1" t="str">
        <f t="array" ref="F1030">_xlfn.XLOOKUP(A1030,Product!A:A,Product!C:C,"Bulunamadı")</f>
        <v>Modern History</v>
      </c>
      <c r="G1030" s="2" t="str">
        <f t="array" ref="G1030">_xlfn.XLOOKUP(A1031,Product!A:A,Product!D:D,"Bulunamadı")</f>
        <v>Silver Crown Books</v>
      </c>
      <c r="H1030" s="2">
        <f t="array" ref="H1030">_xlfn.XLOOKUP(A1032,Product!A:A,Product!E:E,"Bulunamadı")</f>
        <v>3.43</v>
      </c>
      <c r="I1030" s="2" t="str">
        <f t="shared" si="1"/>
        <v>81528 - Tech - Modern History</v>
      </c>
      <c r="J1030" s="2">
        <f t="shared" si="2"/>
        <v>1673.84</v>
      </c>
      <c r="K1030" s="17">
        <f t="shared" si="3"/>
        <v>1</v>
      </c>
      <c r="L1030" s="18"/>
    </row>
    <row r="1031" hidden="1">
      <c r="A1031" s="2">
        <f>IFERROR(__xludf.DUMMYFUNCTION("""COMPUTED_VALUE"""),100436.0)</f>
        <v>100436</v>
      </c>
      <c r="B1031" s="2">
        <f>IFERROR(__xludf.DUMMYFUNCTION("""COMPUTED_VALUE"""),1.0)</f>
        <v>1</v>
      </c>
      <c r="C1031" s="2">
        <f>IFERROR(__xludf.DUMMYFUNCTION("""COMPUTED_VALUE"""),814.0)</f>
        <v>814</v>
      </c>
      <c r="D1031" s="3">
        <f>IFERROR(__xludf.DUMMYFUNCTION("""COMPUTED_VALUE"""),10.0)</f>
        <v>10</v>
      </c>
      <c r="E1031" s="1" t="str">
        <f t="array" ref="E1031">_xlfn.XLOOKUP(A1031,Product!A:A,Product!B:B,"Bulunamadı")</f>
        <v>Tech</v>
      </c>
      <c r="F1031" s="1" t="str">
        <f t="array" ref="F1031">_xlfn.XLOOKUP(A1031,Product!A:A,Product!C:C,"Bulunamadı")</f>
        <v>Modern History</v>
      </c>
      <c r="G1031" s="2" t="str">
        <f t="array" ref="G1031">_xlfn.XLOOKUP(A1032,Product!A:A,Product!D:D,"Bulunamadı")</f>
        <v>Silver Crown Books</v>
      </c>
      <c r="H1031" s="2">
        <f t="array" ref="H1031">_xlfn.XLOOKUP(A1033,Product!A:A,Product!E:E,"Bulunamadı")</f>
        <v>3.43</v>
      </c>
      <c r="I1031" s="2" t="str">
        <f t="shared" si="1"/>
        <v>100436 - Tech - Modern History</v>
      </c>
      <c r="J1031" s="2">
        <f t="shared" si="2"/>
        <v>34.3</v>
      </c>
      <c r="K1031" s="17">
        <f t="shared" si="3"/>
        <v>1</v>
      </c>
      <c r="L1031" s="18"/>
    </row>
    <row r="1032" hidden="1">
      <c r="A1032" s="2">
        <f>IFERROR(__xludf.DUMMYFUNCTION("""COMPUTED_VALUE"""),29499.0)</f>
        <v>29499</v>
      </c>
      <c r="B1032" s="2">
        <f>IFERROR(__xludf.DUMMYFUNCTION("""COMPUTED_VALUE"""),0.0)</f>
        <v>0</v>
      </c>
      <c r="C1032" s="2">
        <f>IFERROR(__xludf.DUMMYFUNCTION("""COMPUTED_VALUE"""),345.0)</f>
        <v>345</v>
      </c>
      <c r="D1032" s="3">
        <f>IFERROR(__xludf.DUMMYFUNCTION("""COMPUTED_VALUE"""),19.0)</f>
        <v>19</v>
      </c>
      <c r="E1032" s="1" t="str">
        <f t="array" ref="E1032">_xlfn.XLOOKUP(A1032,Product!A:A,Product!B:B,"Bulunamadı")</f>
        <v>Tech</v>
      </c>
      <c r="F1032" s="1" t="str">
        <f t="array" ref="F1032">_xlfn.XLOOKUP(A1032,Product!A:A,Product!C:C,"Bulunamadı")</f>
        <v>Modern History</v>
      </c>
      <c r="G1032" s="2" t="str">
        <f t="array" ref="G1032">_xlfn.XLOOKUP(A1033,Product!A:A,Product!D:D,"Bulunamadı")</f>
        <v>Silver Crown Books</v>
      </c>
      <c r="H1032" s="2">
        <f t="array" ref="H1032">_xlfn.XLOOKUP(A1034,Product!A:A,Product!E:E,"Bulunamadı")</f>
        <v>7.38</v>
      </c>
      <c r="I1032" s="2" t="str">
        <f t="shared" si="1"/>
        <v>29499 - Tech - Modern History</v>
      </c>
      <c r="J1032" s="2">
        <f t="shared" si="2"/>
        <v>140.22</v>
      </c>
      <c r="K1032" s="17">
        <f t="shared" si="3"/>
        <v>1</v>
      </c>
      <c r="L1032" s="18"/>
    </row>
    <row r="1033" hidden="1">
      <c r="A1033" s="2">
        <f>IFERROR(__xludf.DUMMYFUNCTION("""COMPUTED_VALUE"""),30683.0)</f>
        <v>30683</v>
      </c>
      <c r="B1033" s="2">
        <f>IFERROR(__xludf.DUMMYFUNCTION("""COMPUTED_VALUE"""),1.0)</f>
        <v>1</v>
      </c>
      <c r="C1033" s="2">
        <f>IFERROR(__xludf.DUMMYFUNCTION("""COMPUTED_VALUE"""),26.0)</f>
        <v>26</v>
      </c>
      <c r="D1033" s="3">
        <f>IFERROR(__xludf.DUMMYFUNCTION("""COMPUTED_VALUE"""),16.0)</f>
        <v>16</v>
      </c>
      <c r="E1033" s="1" t="str">
        <f t="array" ref="E1033">_xlfn.XLOOKUP(A1033,Product!A:A,Product!B:B,"Bulunamadı")</f>
        <v>Tech</v>
      </c>
      <c r="F1033" s="1" t="str">
        <f t="array" ref="F1033">_xlfn.XLOOKUP(A1033,Product!A:A,Product!C:C,"Bulunamadı")</f>
        <v>Modern History</v>
      </c>
      <c r="G1033" s="2" t="str">
        <f t="array" ref="G1033">_xlfn.XLOOKUP(A1034,Product!A:A,Product!D:D,"Bulunamadı")</f>
        <v>Silver Crown Books</v>
      </c>
      <c r="H1033" s="2">
        <f t="array" ref="H1033">_xlfn.XLOOKUP(A1035,Product!A:A,Product!E:E,"Bulunamadı")</f>
        <v>3.63</v>
      </c>
      <c r="I1033" s="2" t="str">
        <f t="shared" si="1"/>
        <v>30683 - Tech - Modern History</v>
      </c>
      <c r="J1033" s="2">
        <f t="shared" si="2"/>
        <v>58.08</v>
      </c>
      <c r="K1033" s="17">
        <f t="shared" si="3"/>
        <v>1</v>
      </c>
      <c r="L1033" s="18"/>
    </row>
    <row r="1034" hidden="1">
      <c r="A1034" s="2">
        <f>IFERROR(__xludf.DUMMYFUNCTION("""COMPUTED_VALUE"""),69906.0)</f>
        <v>69906</v>
      </c>
      <c r="B1034" s="2">
        <f>IFERROR(__xludf.DUMMYFUNCTION("""COMPUTED_VALUE"""),0.0)</f>
        <v>0</v>
      </c>
      <c r="C1034" s="2">
        <f>IFERROR(__xludf.DUMMYFUNCTION("""COMPUTED_VALUE"""),892.0)</f>
        <v>892</v>
      </c>
      <c r="D1034" s="3">
        <f>IFERROR(__xludf.DUMMYFUNCTION("""COMPUTED_VALUE"""),864.0)</f>
        <v>864</v>
      </c>
      <c r="E1034" s="1" t="str">
        <f t="array" ref="E1034">_xlfn.XLOOKUP(A1034,Product!A:A,Product!B:B,"Bulunamadı")</f>
        <v>Tech</v>
      </c>
      <c r="F1034" s="1" t="str">
        <f t="array" ref="F1034">_xlfn.XLOOKUP(A1034,Product!A:A,Product!C:C,"Bulunamadı")</f>
        <v>Modern History</v>
      </c>
      <c r="G1034" s="2" t="str">
        <f t="array" ref="G1034">_xlfn.XLOOKUP(A1035,Product!A:A,Product!D:D,"Bulunamadı")</f>
        <v>Silver Crown Books</v>
      </c>
      <c r="H1034" s="2">
        <f t="array" ref="H1034">_xlfn.XLOOKUP(A1036,Product!A:A,Product!E:E,"Bulunamadı")</f>
        <v>3.65</v>
      </c>
      <c r="I1034" s="2" t="str">
        <f t="shared" si="1"/>
        <v>69906 - Tech - Modern History</v>
      </c>
      <c r="J1034" s="2">
        <f t="shared" si="2"/>
        <v>3153.6</v>
      </c>
      <c r="K1034" s="17">
        <f t="shared" si="3"/>
        <v>1</v>
      </c>
      <c r="L1034" s="18"/>
    </row>
    <row r="1035" hidden="1">
      <c r="A1035" s="2">
        <f>IFERROR(__xludf.DUMMYFUNCTION("""COMPUTED_VALUE"""),90174.0)</f>
        <v>90174</v>
      </c>
      <c r="B1035" s="2">
        <f>IFERROR(__xludf.DUMMYFUNCTION("""COMPUTED_VALUE"""),0.0)</f>
        <v>0</v>
      </c>
      <c r="C1035" s="2">
        <f>IFERROR(__xludf.DUMMYFUNCTION("""COMPUTED_VALUE"""),318.0)</f>
        <v>318</v>
      </c>
      <c r="D1035" s="3">
        <f>IFERROR(__xludf.DUMMYFUNCTION("""COMPUTED_VALUE"""),47.0)</f>
        <v>47</v>
      </c>
      <c r="E1035" s="1" t="str">
        <f t="array" ref="E1035">_xlfn.XLOOKUP(A1035,Product!A:A,Product!B:B,"Bulunamadı")</f>
        <v>Tech</v>
      </c>
      <c r="F1035" s="1" t="str">
        <f t="array" ref="F1035">_xlfn.XLOOKUP(A1035,Product!A:A,Product!C:C,"Bulunamadı")</f>
        <v>Modern History</v>
      </c>
      <c r="G1035" s="2" t="str">
        <f t="array" ref="G1035">_xlfn.XLOOKUP(A1036,Product!A:A,Product!D:D,"Bulunamadı")</f>
        <v>Silver Crown Books</v>
      </c>
      <c r="H1035" s="2">
        <f t="array" ref="H1035">_xlfn.XLOOKUP(A1037,Product!A:A,Product!E:E,"Bulunamadı")</f>
        <v>15.23</v>
      </c>
      <c r="I1035" s="2" t="str">
        <f t="shared" si="1"/>
        <v>90174 - Tech - Modern History</v>
      </c>
      <c r="J1035" s="2">
        <f t="shared" si="2"/>
        <v>715.81</v>
      </c>
      <c r="K1035" s="17">
        <f t="shared" si="3"/>
        <v>1</v>
      </c>
      <c r="L1035" s="18"/>
    </row>
    <row r="1036" hidden="1">
      <c r="A1036" s="2">
        <f>IFERROR(__xludf.DUMMYFUNCTION("""COMPUTED_VALUE"""),90168.0)</f>
        <v>90168</v>
      </c>
      <c r="B1036" s="2">
        <f>IFERROR(__xludf.DUMMYFUNCTION("""COMPUTED_VALUE"""),0.0)</f>
        <v>0</v>
      </c>
      <c r="C1036" s="2">
        <f>IFERROR(__xludf.DUMMYFUNCTION("""COMPUTED_VALUE"""),598.0)</f>
        <v>598</v>
      </c>
      <c r="D1036" s="3">
        <f>IFERROR(__xludf.DUMMYFUNCTION("""COMPUTED_VALUE"""),297.0)</f>
        <v>297</v>
      </c>
      <c r="E1036" s="1" t="str">
        <f t="array" ref="E1036">_xlfn.XLOOKUP(A1036,Product!A:A,Product!B:B,"Bulunamadı")</f>
        <v>Tech</v>
      </c>
      <c r="F1036" s="1" t="str">
        <f t="array" ref="F1036">_xlfn.XLOOKUP(A1036,Product!A:A,Product!C:C,"Bulunamadı")</f>
        <v>Modern History</v>
      </c>
      <c r="G1036" s="2" t="str">
        <f t="array" ref="G1036">_xlfn.XLOOKUP(A1037,Product!A:A,Product!D:D,"Bulunamadı")</f>
        <v>Silver Crown Books</v>
      </c>
      <c r="H1036" s="2">
        <f t="array" ref="H1036">_xlfn.XLOOKUP(A1038,Product!A:A,Product!E:E,"Bulunamadı")</f>
        <v>6.18</v>
      </c>
      <c r="I1036" s="2" t="str">
        <f t="shared" si="1"/>
        <v>90168 - Tech - Modern History</v>
      </c>
      <c r="J1036" s="2">
        <f t="shared" si="2"/>
        <v>1835.46</v>
      </c>
      <c r="K1036" s="17">
        <f t="shared" si="3"/>
        <v>1</v>
      </c>
      <c r="L1036" s="18"/>
    </row>
    <row r="1037" hidden="1">
      <c r="A1037" s="2">
        <f>IFERROR(__xludf.DUMMYFUNCTION("""COMPUTED_VALUE"""),79488.0)</f>
        <v>79488</v>
      </c>
      <c r="B1037" s="2">
        <f>IFERROR(__xludf.DUMMYFUNCTION("""COMPUTED_VALUE"""),0.0)</f>
        <v>0</v>
      </c>
      <c r="C1037" s="2">
        <f>IFERROR(__xludf.DUMMYFUNCTION("""COMPUTED_VALUE"""),834.0)</f>
        <v>834</v>
      </c>
      <c r="D1037" s="3">
        <f>IFERROR(__xludf.DUMMYFUNCTION("""COMPUTED_VALUE"""),355.0)</f>
        <v>355</v>
      </c>
      <c r="E1037" s="1" t="str">
        <f t="array" ref="E1037">_xlfn.XLOOKUP(A1037,Product!A:A,Product!B:B,"Bulunamadı")</f>
        <v>Tech</v>
      </c>
      <c r="F1037" s="1" t="str">
        <f t="array" ref="F1037">_xlfn.XLOOKUP(A1037,Product!A:A,Product!C:C,"Bulunamadı")</f>
        <v>Modern History</v>
      </c>
      <c r="G1037" s="2" t="str">
        <f t="array" ref="G1037">_xlfn.XLOOKUP(A1038,Product!A:A,Product!D:D,"Bulunamadı")</f>
        <v>Silver Crown Books</v>
      </c>
      <c r="H1037" s="2">
        <f t="array" ref="H1037">_xlfn.XLOOKUP(A1039,Product!A:A,Product!E:E,"Bulunamadı")</f>
        <v>4.46</v>
      </c>
      <c r="I1037" s="2" t="str">
        <f t="shared" si="1"/>
        <v>79488 - Tech - Modern History</v>
      </c>
      <c r="J1037" s="2">
        <f t="shared" si="2"/>
        <v>1583.3</v>
      </c>
      <c r="K1037" s="17">
        <f t="shared" si="3"/>
        <v>1</v>
      </c>
      <c r="L1037" s="18"/>
    </row>
    <row r="1038" hidden="1">
      <c r="A1038" s="2">
        <f>IFERROR(__xludf.DUMMYFUNCTION("""COMPUTED_VALUE"""),119640.0)</f>
        <v>119640</v>
      </c>
      <c r="B1038" s="2">
        <f>IFERROR(__xludf.DUMMYFUNCTION("""COMPUTED_VALUE"""),0.0)</f>
        <v>0</v>
      </c>
      <c r="C1038" s="2">
        <f>IFERROR(__xludf.DUMMYFUNCTION("""COMPUTED_VALUE"""),863.0)</f>
        <v>863</v>
      </c>
      <c r="D1038" s="3">
        <f>IFERROR(__xludf.DUMMYFUNCTION("""COMPUTED_VALUE"""),533.0)</f>
        <v>533</v>
      </c>
      <c r="E1038" s="1" t="str">
        <f t="array" ref="E1038">_xlfn.XLOOKUP(A1038,Product!A:A,Product!B:B,"Bulunamadı")</f>
        <v>Tech</v>
      </c>
      <c r="F1038" s="1" t="str">
        <f t="array" ref="F1038">_xlfn.XLOOKUP(A1038,Product!A:A,Product!C:C,"Bulunamadı")</f>
        <v>Modern History</v>
      </c>
      <c r="G1038" s="2" t="str">
        <f t="array" ref="G1038">_xlfn.XLOOKUP(A1039,Product!A:A,Product!D:D,"Bulunamadı")</f>
        <v>Silver Crown Books</v>
      </c>
      <c r="H1038" s="2">
        <f t="array" ref="H1038">_xlfn.XLOOKUP(A1040,Product!A:A,Product!E:E,"Bulunamadı")</f>
        <v>8.48</v>
      </c>
      <c r="I1038" s="2" t="str">
        <f t="shared" si="1"/>
        <v>119640 - Tech - Modern History</v>
      </c>
      <c r="J1038" s="2">
        <f t="shared" si="2"/>
        <v>4519.84</v>
      </c>
      <c r="K1038" s="17">
        <f t="shared" si="3"/>
        <v>1</v>
      </c>
      <c r="L1038" s="18"/>
    </row>
    <row r="1039" hidden="1">
      <c r="A1039" s="2">
        <f>IFERROR(__xludf.DUMMYFUNCTION("""COMPUTED_VALUE"""),119515.0)</f>
        <v>119515</v>
      </c>
      <c r="B1039" s="2">
        <f>IFERROR(__xludf.DUMMYFUNCTION("""COMPUTED_VALUE"""),0.0)</f>
        <v>0</v>
      </c>
      <c r="C1039" s="2">
        <f>IFERROR(__xludf.DUMMYFUNCTION("""COMPUTED_VALUE"""),344.0)</f>
        <v>344</v>
      </c>
      <c r="D1039" s="3">
        <f>IFERROR(__xludf.DUMMYFUNCTION("""COMPUTED_VALUE"""),77.0)</f>
        <v>77</v>
      </c>
      <c r="E1039" s="1" t="str">
        <f t="array" ref="E1039">_xlfn.XLOOKUP(A1039,Product!A:A,Product!B:B,"Bulunamadı")</f>
        <v>Tech</v>
      </c>
      <c r="F1039" s="1" t="str">
        <f t="array" ref="F1039">_xlfn.XLOOKUP(A1039,Product!A:A,Product!C:C,"Bulunamadı")</f>
        <v>Modern History</v>
      </c>
      <c r="G1039" s="2" t="str">
        <f t="array" ref="G1039">_xlfn.XLOOKUP(A1040,Product!A:A,Product!D:D,"Bulunamadı")</f>
        <v>Silver Crown Books</v>
      </c>
      <c r="H1039" s="2">
        <f t="array" ref="H1039">_xlfn.XLOOKUP(A1041,Product!A:A,Product!E:E,"Bulunamadı")</f>
        <v>3.38</v>
      </c>
      <c r="I1039" s="2" t="str">
        <f t="shared" si="1"/>
        <v>119515 - Tech - Modern History</v>
      </c>
      <c r="J1039" s="2">
        <f t="shared" si="2"/>
        <v>260.26</v>
      </c>
      <c r="K1039" s="17">
        <f t="shared" si="3"/>
        <v>1</v>
      </c>
      <c r="L1039" s="18"/>
    </row>
    <row r="1040" hidden="1">
      <c r="A1040" s="2">
        <f>IFERROR(__xludf.DUMMYFUNCTION("""COMPUTED_VALUE"""),103685.0)</f>
        <v>103685</v>
      </c>
      <c r="B1040" s="2">
        <f>IFERROR(__xludf.DUMMYFUNCTION("""COMPUTED_VALUE"""),1.0)</f>
        <v>1</v>
      </c>
      <c r="C1040" s="2">
        <f>IFERROR(__xludf.DUMMYFUNCTION("""COMPUTED_VALUE"""),880.0)</f>
        <v>880</v>
      </c>
      <c r="D1040" s="3">
        <f>IFERROR(__xludf.DUMMYFUNCTION("""COMPUTED_VALUE"""),606.0)</f>
        <v>606</v>
      </c>
      <c r="E1040" s="1" t="str">
        <f t="array" ref="E1040">_xlfn.XLOOKUP(A1040,Product!A:A,Product!B:B,"Bulunamadı")</f>
        <v>Tech</v>
      </c>
      <c r="F1040" s="1" t="str">
        <f t="array" ref="F1040">_xlfn.XLOOKUP(A1040,Product!A:A,Product!C:C,"Bulunamadı")</f>
        <v>Modern History</v>
      </c>
      <c r="G1040" s="2" t="str">
        <f t="array" ref="G1040">_xlfn.XLOOKUP(A1041,Product!A:A,Product!D:D,"Bulunamadı")</f>
        <v>Silver Crown Books</v>
      </c>
      <c r="H1040" s="2">
        <f t="array" ref="H1040">_xlfn.XLOOKUP(A1042,Product!A:A,Product!E:E,"Bulunamadı")</f>
        <v>5.06</v>
      </c>
      <c r="I1040" s="2" t="str">
        <f t="shared" si="1"/>
        <v>103685 - Tech - Modern History</v>
      </c>
      <c r="J1040" s="2">
        <f t="shared" si="2"/>
        <v>3066.36</v>
      </c>
      <c r="K1040" s="17">
        <f t="shared" si="3"/>
        <v>1</v>
      </c>
      <c r="L1040" s="18"/>
    </row>
    <row r="1041" hidden="1">
      <c r="A1041" s="2">
        <f>IFERROR(__xludf.DUMMYFUNCTION("""COMPUTED_VALUE"""),111617.0)</f>
        <v>111617</v>
      </c>
      <c r="B1041" s="2">
        <f>IFERROR(__xludf.DUMMYFUNCTION("""COMPUTED_VALUE"""),0.0)</f>
        <v>0</v>
      </c>
      <c r="C1041" s="2">
        <f>IFERROR(__xludf.DUMMYFUNCTION("""COMPUTED_VALUE"""),133.0)</f>
        <v>133</v>
      </c>
      <c r="D1041" s="3">
        <f>IFERROR(__xludf.DUMMYFUNCTION("""COMPUTED_VALUE"""),12.0)</f>
        <v>12</v>
      </c>
      <c r="E1041" s="1" t="str">
        <f t="array" ref="E1041">_xlfn.XLOOKUP(A1041,Product!A:A,Product!B:B,"Bulunamadı")</f>
        <v>Tech</v>
      </c>
      <c r="F1041" s="1" t="str">
        <f t="array" ref="F1041">_xlfn.XLOOKUP(A1041,Product!A:A,Product!C:C,"Bulunamadı")</f>
        <v>Modern History</v>
      </c>
      <c r="G1041" s="2" t="str">
        <f t="array" ref="G1041">_xlfn.XLOOKUP(A1042,Product!A:A,Product!D:D,"Bulunamadı")</f>
        <v>Silver Crown Books</v>
      </c>
      <c r="H1041" s="2">
        <f t="array" ref="H1041">_xlfn.XLOOKUP(A1043,Product!A:A,Product!E:E,"Bulunamadı")</f>
        <v>3.29</v>
      </c>
      <c r="I1041" s="2" t="str">
        <f t="shared" si="1"/>
        <v>111617 - Tech - Modern History</v>
      </c>
      <c r="J1041" s="2">
        <f t="shared" si="2"/>
        <v>39.48</v>
      </c>
      <c r="K1041" s="17">
        <f t="shared" si="3"/>
        <v>1</v>
      </c>
      <c r="L1041" s="18"/>
    </row>
    <row r="1042" hidden="1">
      <c r="A1042" s="2">
        <f>IFERROR(__xludf.DUMMYFUNCTION("""COMPUTED_VALUE"""),98637.0)</f>
        <v>98637</v>
      </c>
      <c r="B1042" s="2">
        <f>IFERROR(__xludf.DUMMYFUNCTION("""COMPUTED_VALUE"""),0.0)</f>
        <v>0</v>
      </c>
      <c r="C1042" s="2">
        <f>IFERROR(__xludf.DUMMYFUNCTION("""COMPUTED_VALUE"""),665.0)</f>
        <v>665</v>
      </c>
      <c r="D1042" s="3">
        <f>IFERROR(__xludf.DUMMYFUNCTION("""COMPUTED_VALUE"""),543.0)</f>
        <v>543</v>
      </c>
      <c r="E1042" s="1" t="str">
        <f t="array" ref="E1042">_xlfn.XLOOKUP(A1042,Product!A:A,Product!B:B,"Bulunamadı")</f>
        <v>Tech</v>
      </c>
      <c r="F1042" s="1" t="str">
        <f t="array" ref="F1042">_xlfn.XLOOKUP(A1042,Product!A:A,Product!C:C,"Bulunamadı")</f>
        <v>Modern History</v>
      </c>
      <c r="G1042" s="2" t="str">
        <f t="array" ref="G1042">_xlfn.XLOOKUP(A1043,Product!A:A,Product!D:D,"Bulunamadı")</f>
        <v>Silver Crown Books</v>
      </c>
      <c r="H1042" s="2">
        <f t="array" ref="H1042">_xlfn.XLOOKUP(A1044,Product!A:A,Product!E:E,"Bulunamadı")</f>
        <v>1.24</v>
      </c>
      <c r="I1042" s="2" t="str">
        <f t="shared" si="1"/>
        <v>98637 - Tech - Modern History</v>
      </c>
      <c r="J1042" s="2">
        <f t="shared" si="2"/>
        <v>673.32</v>
      </c>
      <c r="K1042" s="17">
        <f t="shared" si="3"/>
        <v>1</v>
      </c>
      <c r="L1042" s="18"/>
    </row>
    <row r="1043" hidden="1">
      <c r="A1043" s="2">
        <f>IFERROR(__xludf.DUMMYFUNCTION("""COMPUTED_VALUE"""),90159.0)</f>
        <v>90159</v>
      </c>
      <c r="B1043" s="2">
        <f>IFERROR(__xludf.DUMMYFUNCTION("""COMPUTED_VALUE"""),1.0)</f>
        <v>1</v>
      </c>
      <c r="C1043" s="2">
        <f>IFERROR(__xludf.DUMMYFUNCTION("""COMPUTED_VALUE"""),512.0)</f>
        <v>512</v>
      </c>
      <c r="D1043" s="3">
        <f>IFERROR(__xludf.DUMMYFUNCTION("""COMPUTED_VALUE"""),492.0)</f>
        <v>492</v>
      </c>
      <c r="E1043" s="1" t="str">
        <f t="array" ref="E1043">_xlfn.XLOOKUP(A1043,Product!A:A,Product!B:B,"Bulunamadı")</f>
        <v>Tech</v>
      </c>
      <c r="F1043" s="1" t="str">
        <f t="array" ref="F1043">_xlfn.XLOOKUP(A1043,Product!A:A,Product!C:C,"Bulunamadı")</f>
        <v>Modern History</v>
      </c>
      <c r="G1043" s="2" t="str">
        <f t="array" ref="G1043">_xlfn.XLOOKUP(A1044,Product!A:A,Product!D:D,"Bulunamadı")</f>
        <v>Silver Crown Books</v>
      </c>
      <c r="H1043" s="2">
        <f t="array" ref="H1043">_xlfn.XLOOKUP(A1045,Product!A:A,Product!E:E,"Bulunamadı")</f>
        <v>9.74</v>
      </c>
      <c r="I1043" s="2" t="str">
        <f t="shared" si="1"/>
        <v>90159 - Tech - Modern History</v>
      </c>
      <c r="J1043" s="2">
        <f t="shared" si="2"/>
        <v>4792.08</v>
      </c>
      <c r="K1043" s="17">
        <f t="shared" si="3"/>
        <v>1</v>
      </c>
      <c r="L1043" s="18"/>
    </row>
    <row r="1044" hidden="1">
      <c r="A1044" s="2">
        <f>IFERROR(__xludf.DUMMYFUNCTION("""COMPUTED_VALUE"""),76651.0)</f>
        <v>76651</v>
      </c>
      <c r="B1044" s="2">
        <f>IFERROR(__xludf.DUMMYFUNCTION("""COMPUTED_VALUE"""),0.0)</f>
        <v>0</v>
      </c>
      <c r="C1044" s="2">
        <f>IFERROR(__xludf.DUMMYFUNCTION("""COMPUTED_VALUE"""),807.0)</f>
        <v>807</v>
      </c>
      <c r="D1044" s="3">
        <f>IFERROR(__xludf.DUMMYFUNCTION("""COMPUTED_VALUE"""),774.0)</f>
        <v>774</v>
      </c>
      <c r="E1044" s="1" t="str">
        <f t="array" ref="E1044">_xlfn.XLOOKUP(A1044,Product!A:A,Product!B:B,"Bulunamadı")</f>
        <v>Tech</v>
      </c>
      <c r="F1044" s="1" t="str">
        <f t="array" ref="F1044">_xlfn.XLOOKUP(A1044,Product!A:A,Product!C:C,"Bulunamadı")</f>
        <v>Modern History</v>
      </c>
      <c r="G1044" s="2" t="str">
        <f t="array" ref="G1044">_xlfn.XLOOKUP(A1045,Product!A:A,Product!D:D,"Bulunamadı")</f>
        <v>Silver Crown Books</v>
      </c>
      <c r="H1044" s="2">
        <f t="array" ref="H1044">_xlfn.XLOOKUP(A1046,Product!A:A,Product!E:E,"Bulunamadı")</f>
        <v>4.78</v>
      </c>
      <c r="I1044" s="2" t="str">
        <f t="shared" si="1"/>
        <v>76651 - Tech - Modern History</v>
      </c>
      <c r="J1044" s="2">
        <f t="shared" si="2"/>
        <v>3699.72</v>
      </c>
      <c r="K1044" s="17">
        <f t="shared" si="3"/>
        <v>1</v>
      </c>
      <c r="L1044" s="18"/>
    </row>
    <row r="1045" hidden="1">
      <c r="A1045" s="2">
        <f>IFERROR(__xludf.DUMMYFUNCTION("""COMPUTED_VALUE"""),119531.0)</f>
        <v>119531</v>
      </c>
      <c r="B1045" s="2">
        <f>IFERROR(__xludf.DUMMYFUNCTION("""COMPUTED_VALUE"""),1.0)</f>
        <v>1</v>
      </c>
      <c r="C1045" s="2">
        <f>IFERROR(__xludf.DUMMYFUNCTION("""COMPUTED_VALUE"""),673.0)</f>
        <v>673</v>
      </c>
      <c r="D1045" s="3">
        <f>IFERROR(__xludf.DUMMYFUNCTION("""COMPUTED_VALUE"""),385.0)</f>
        <v>385</v>
      </c>
      <c r="E1045" s="1" t="str">
        <f t="array" ref="E1045">_xlfn.XLOOKUP(A1045,Product!A:A,Product!B:B,"Bulunamadı")</f>
        <v>Tech</v>
      </c>
      <c r="F1045" s="1" t="str">
        <f t="array" ref="F1045">_xlfn.XLOOKUP(A1045,Product!A:A,Product!C:C,"Bulunamadı")</f>
        <v>Modern History</v>
      </c>
      <c r="G1045" s="2" t="str">
        <f t="array" ref="G1045">_xlfn.XLOOKUP(A1046,Product!A:A,Product!D:D,"Bulunamadı")</f>
        <v>Silver Crown Books</v>
      </c>
      <c r="H1045" s="2">
        <f t="array" ref="H1045">_xlfn.XLOOKUP(A1047,Product!A:A,Product!E:E,"Bulunamadı")</f>
        <v>6.46</v>
      </c>
      <c r="I1045" s="2" t="str">
        <f t="shared" si="1"/>
        <v>119531 - Tech - Modern History</v>
      </c>
      <c r="J1045" s="2">
        <f t="shared" si="2"/>
        <v>2487.1</v>
      </c>
      <c r="K1045" s="17">
        <f t="shared" si="3"/>
        <v>1</v>
      </c>
      <c r="L1045" s="18"/>
    </row>
    <row r="1046" hidden="1">
      <c r="A1046" s="2">
        <f>IFERROR(__xludf.DUMMYFUNCTION("""COMPUTED_VALUE"""),93884.0)</f>
        <v>93884</v>
      </c>
      <c r="B1046" s="2">
        <f>IFERROR(__xludf.DUMMYFUNCTION("""COMPUTED_VALUE"""),0.0)</f>
        <v>0</v>
      </c>
      <c r="C1046" s="2">
        <f>IFERROR(__xludf.DUMMYFUNCTION("""COMPUTED_VALUE"""),177.0)</f>
        <v>177</v>
      </c>
      <c r="D1046" s="3">
        <f>IFERROR(__xludf.DUMMYFUNCTION("""COMPUTED_VALUE"""),39.0)</f>
        <v>39</v>
      </c>
      <c r="E1046" s="1" t="str">
        <f t="array" ref="E1046">_xlfn.XLOOKUP(A1046,Product!A:A,Product!B:B,"Bulunamadı")</f>
        <v>Tech</v>
      </c>
      <c r="F1046" s="1" t="str">
        <f t="array" ref="F1046">_xlfn.XLOOKUP(A1046,Product!A:A,Product!C:C,"Bulunamadı")</f>
        <v>Modern History</v>
      </c>
      <c r="G1046" s="2" t="str">
        <f t="array" ref="G1046">_xlfn.XLOOKUP(A1047,Product!A:A,Product!D:D,"Bulunamadı")</f>
        <v>Silver Crown Books</v>
      </c>
      <c r="H1046" s="2">
        <f t="array" ref="H1046">_xlfn.XLOOKUP(A1048,Product!A:A,Product!E:E,"Bulunamadı")</f>
        <v>1.52</v>
      </c>
      <c r="I1046" s="2" t="str">
        <f t="shared" si="1"/>
        <v>93884 - Tech - Modern History</v>
      </c>
      <c r="J1046" s="2">
        <f t="shared" si="2"/>
        <v>59.28</v>
      </c>
      <c r="K1046" s="17">
        <f t="shared" si="3"/>
        <v>1</v>
      </c>
      <c r="L1046" s="18"/>
    </row>
    <row r="1047" hidden="1">
      <c r="A1047" s="2">
        <f>IFERROR(__xludf.DUMMYFUNCTION("""COMPUTED_VALUE"""),79467.0)</f>
        <v>79467</v>
      </c>
      <c r="B1047" s="2">
        <f>IFERROR(__xludf.DUMMYFUNCTION("""COMPUTED_VALUE"""),1.0)</f>
        <v>1</v>
      </c>
      <c r="C1047" s="2">
        <f>IFERROR(__xludf.DUMMYFUNCTION("""COMPUTED_VALUE"""),717.0)</f>
        <v>717</v>
      </c>
      <c r="D1047" s="3">
        <f>IFERROR(__xludf.DUMMYFUNCTION("""COMPUTED_VALUE"""),620.0)</f>
        <v>620</v>
      </c>
      <c r="E1047" s="1" t="str">
        <f t="array" ref="E1047">_xlfn.XLOOKUP(A1047,Product!A:A,Product!B:B,"Bulunamadı")</f>
        <v>Tech</v>
      </c>
      <c r="F1047" s="1" t="str">
        <f t="array" ref="F1047">_xlfn.XLOOKUP(A1047,Product!A:A,Product!C:C,"Bulunamadı")</f>
        <v>Modern History</v>
      </c>
      <c r="G1047" s="2" t="str">
        <f t="array" ref="G1047">_xlfn.XLOOKUP(A1048,Product!A:A,Product!D:D,"Bulunamadı")</f>
        <v>Silver Crown Books</v>
      </c>
      <c r="H1047" s="2">
        <f t="array" ref="H1047">_xlfn.XLOOKUP(A1049,Product!A:A,Product!E:E,"Bulunamadı")</f>
        <v>5.56</v>
      </c>
      <c r="I1047" s="2" t="str">
        <f t="shared" si="1"/>
        <v>79467 - Tech - Modern History</v>
      </c>
      <c r="J1047" s="2">
        <f t="shared" si="2"/>
        <v>3447.2</v>
      </c>
      <c r="K1047" s="17">
        <f t="shared" si="3"/>
        <v>1</v>
      </c>
      <c r="L1047" s="18"/>
    </row>
    <row r="1048" hidden="1">
      <c r="A1048" s="2">
        <f>IFERROR(__xludf.DUMMYFUNCTION("""COMPUTED_VALUE"""),29532.0)</f>
        <v>29532</v>
      </c>
      <c r="B1048" s="2">
        <f>IFERROR(__xludf.DUMMYFUNCTION("""COMPUTED_VALUE"""),1.0)</f>
        <v>1</v>
      </c>
      <c r="C1048" s="2">
        <f>IFERROR(__xludf.DUMMYFUNCTION("""COMPUTED_VALUE"""),95.0)</f>
        <v>95</v>
      </c>
      <c r="D1048" s="3">
        <f>IFERROR(__xludf.DUMMYFUNCTION("""COMPUTED_VALUE"""),36.0)</f>
        <v>36</v>
      </c>
      <c r="E1048" s="1" t="str">
        <f t="array" ref="E1048">_xlfn.XLOOKUP(A1048,Product!A:A,Product!B:B,"Bulunamadı")</f>
        <v>Tech</v>
      </c>
      <c r="F1048" s="1" t="str">
        <f t="array" ref="F1048">_xlfn.XLOOKUP(A1048,Product!A:A,Product!C:C,"Bulunamadı")</f>
        <v>Modern History</v>
      </c>
      <c r="G1048" s="2" t="str">
        <f t="array" ref="G1048">_xlfn.XLOOKUP(A1049,Product!A:A,Product!D:D,"Bulunamadı")</f>
        <v>Silver Crown Books</v>
      </c>
      <c r="H1048" s="2">
        <f t="array" ref="H1048">_xlfn.XLOOKUP(A1050,Product!A:A,Product!E:E,"Bulunamadı")</f>
        <v>3.32</v>
      </c>
      <c r="I1048" s="2" t="str">
        <f t="shared" si="1"/>
        <v>29532 - Tech - Modern History</v>
      </c>
      <c r="J1048" s="2">
        <f t="shared" si="2"/>
        <v>119.52</v>
      </c>
      <c r="K1048" s="17">
        <f t="shared" si="3"/>
        <v>1</v>
      </c>
      <c r="L1048" s="18"/>
    </row>
    <row r="1049" hidden="1">
      <c r="A1049" s="2">
        <f>IFERROR(__xludf.DUMMYFUNCTION("""COMPUTED_VALUE"""),104063.0)</f>
        <v>104063</v>
      </c>
      <c r="B1049" s="2">
        <f>IFERROR(__xludf.DUMMYFUNCTION("""COMPUTED_VALUE"""),1.0)</f>
        <v>1</v>
      </c>
      <c r="C1049" s="2">
        <f>IFERROR(__xludf.DUMMYFUNCTION("""COMPUTED_VALUE"""),370.0)</f>
        <v>370</v>
      </c>
      <c r="D1049" s="3">
        <f>IFERROR(__xludf.DUMMYFUNCTION("""COMPUTED_VALUE"""),102.0)</f>
        <v>102</v>
      </c>
      <c r="E1049" s="1" t="str">
        <f t="array" ref="E1049">_xlfn.XLOOKUP(A1049,Product!A:A,Product!B:B,"Bulunamadı")</f>
        <v>Tech</v>
      </c>
      <c r="F1049" s="1" t="str">
        <f t="array" ref="F1049">_xlfn.XLOOKUP(A1049,Product!A:A,Product!C:C,"Bulunamadı")</f>
        <v>Modern History</v>
      </c>
      <c r="G1049" s="2" t="str">
        <f t="array" ref="G1049">_xlfn.XLOOKUP(A1050,Product!A:A,Product!D:D,"Bulunamadı")</f>
        <v>Silver Crown Books</v>
      </c>
      <c r="H1049" s="2">
        <f t="array" ref="H1049">_xlfn.XLOOKUP(A1051,Product!A:A,Product!E:E,"Bulunamadı")</f>
        <v>1.24</v>
      </c>
      <c r="I1049" s="2" t="str">
        <f t="shared" si="1"/>
        <v>104063 - Tech - Modern History</v>
      </c>
      <c r="J1049" s="2">
        <f t="shared" si="2"/>
        <v>126.48</v>
      </c>
      <c r="K1049" s="17">
        <f t="shared" si="3"/>
        <v>1</v>
      </c>
      <c r="L1049" s="18"/>
    </row>
    <row r="1050" hidden="1">
      <c r="A1050" s="2">
        <f>IFERROR(__xludf.DUMMYFUNCTION("""COMPUTED_VALUE"""),90166.0)</f>
        <v>90166</v>
      </c>
      <c r="B1050" s="2">
        <f>IFERROR(__xludf.DUMMYFUNCTION("""COMPUTED_VALUE"""),0.0)</f>
        <v>0</v>
      </c>
      <c r="C1050" s="2">
        <f>IFERROR(__xludf.DUMMYFUNCTION("""COMPUTED_VALUE"""),737.0)</f>
        <v>737</v>
      </c>
      <c r="D1050" s="3">
        <f>IFERROR(__xludf.DUMMYFUNCTION("""COMPUTED_VALUE"""),124.0)</f>
        <v>124</v>
      </c>
      <c r="E1050" s="1" t="str">
        <f t="array" ref="E1050">_xlfn.XLOOKUP(A1050,Product!A:A,Product!B:B,"Bulunamadı")</f>
        <v>Tech</v>
      </c>
      <c r="F1050" s="1" t="str">
        <f t="array" ref="F1050">_xlfn.XLOOKUP(A1050,Product!A:A,Product!C:C,"Bulunamadı")</f>
        <v>Modern History</v>
      </c>
      <c r="G1050" s="2" t="str">
        <f t="array" ref="G1050">_xlfn.XLOOKUP(A1051,Product!A:A,Product!D:D,"Bulunamadı")</f>
        <v>Silver Crown Books</v>
      </c>
      <c r="H1050" s="2">
        <f t="array" ref="H1050">_xlfn.XLOOKUP(A1052,Product!A:A,Product!E:E,"Bulunamadı")</f>
        <v>6.73</v>
      </c>
      <c r="I1050" s="2" t="str">
        <f t="shared" si="1"/>
        <v>90166 - Tech - Modern History</v>
      </c>
      <c r="J1050" s="2">
        <f t="shared" si="2"/>
        <v>834.52</v>
      </c>
      <c r="K1050" s="17">
        <f t="shared" si="3"/>
        <v>1</v>
      </c>
      <c r="L1050" s="18"/>
    </row>
    <row r="1051" hidden="1">
      <c r="A1051" s="2">
        <f>IFERROR(__xludf.DUMMYFUNCTION("""COMPUTED_VALUE"""),29538.0)</f>
        <v>29538</v>
      </c>
      <c r="B1051" s="2">
        <f>IFERROR(__xludf.DUMMYFUNCTION("""COMPUTED_VALUE"""),1.0)</f>
        <v>1</v>
      </c>
      <c r="C1051" s="2">
        <f>IFERROR(__xludf.DUMMYFUNCTION("""COMPUTED_VALUE"""),982.0)</f>
        <v>982</v>
      </c>
      <c r="D1051" s="3">
        <f>IFERROR(__xludf.DUMMYFUNCTION("""COMPUTED_VALUE"""),70.0)</f>
        <v>70</v>
      </c>
      <c r="E1051" s="1" t="str">
        <f t="array" ref="E1051">_xlfn.XLOOKUP(A1051,Product!A:A,Product!B:B,"Bulunamadı")</f>
        <v>Tech</v>
      </c>
      <c r="F1051" s="1" t="str">
        <f t="array" ref="F1051">_xlfn.XLOOKUP(A1051,Product!A:A,Product!C:C,"Bulunamadı")</f>
        <v>Modern History</v>
      </c>
      <c r="G1051" s="2" t="str">
        <f t="array" ref="G1051">_xlfn.XLOOKUP(A1052,Product!A:A,Product!D:D,"Bulunamadı")</f>
        <v>Silver Crown Books</v>
      </c>
      <c r="H1051" s="2">
        <f t="array" ref="H1051">_xlfn.XLOOKUP(A1053,Product!A:A,Product!E:E,"Bulunamadı")</f>
        <v>4.75</v>
      </c>
      <c r="I1051" s="2" t="str">
        <f t="shared" si="1"/>
        <v>29538 - Tech - Modern History</v>
      </c>
      <c r="J1051" s="2">
        <f t="shared" si="2"/>
        <v>332.5</v>
      </c>
      <c r="K1051" s="17">
        <f t="shared" si="3"/>
        <v>1</v>
      </c>
      <c r="L1051" s="18"/>
    </row>
    <row r="1052" hidden="1">
      <c r="A1052" s="2">
        <f>IFERROR(__xludf.DUMMYFUNCTION("""COMPUTED_VALUE"""),70538.0)</f>
        <v>70538</v>
      </c>
      <c r="B1052" s="2">
        <f>IFERROR(__xludf.DUMMYFUNCTION("""COMPUTED_VALUE"""),0.0)</f>
        <v>0</v>
      </c>
      <c r="C1052" s="2">
        <f>IFERROR(__xludf.DUMMYFUNCTION("""COMPUTED_VALUE"""),384.0)</f>
        <v>384</v>
      </c>
      <c r="D1052" s="3">
        <f>IFERROR(__xludf.DUMMYFUNCTION("""COMPUTED_VALUE"""),196.0)</f>
        <v>196</v>
      </c>
      <c r="E1052" s="1" t="str">
        <f t="array" ref="E1052">_xlfn.XLOOKUP(A1052,Product!A:A,Product!B:B,"Bulunamadı")</f>
        <v>Tech</v>
      </c>
      <c r="F1052" s="1" t="str">
        <f t="array" ref="F1052">_xlfn.XLOOKUP(A1052,Product!A:A,Product!C:C,"Bulunamadı")</f>
        <v>Modern History</v>
      </c>
      <c r="G1052" s="2" t="str">
        <f t="array" ref="G1052">_xlfn.XLOOKUP(A1053,Product!A:A,Product!D:D,"Bulunamadı")</f>
        <v>Silver Crown Books</v>
      </c>
      <c r="H1052" s="2">
        <f t="array" ref="H1052">_xlfn.XLOOKUP(A1054,Product!A:A,Product!E:E,"Bulunamadı")</f>
        <v>4.38</v>
      </c>
      <c r="I1052" s="2" t="str">
        <f t="shared" si="1"/>
        <v>70538 - Tech - Modern History</v>
      </c>
      <c r="J1052" s="2">
        <f t="shared" si="2"/>
        <v>858.48</v>
      </c>
      <c r="K1052" s="17">
        <f t="shared" si="3"/>
        <v>1</v>
      </c>
      <c r="L1052" s="18"/>
    </row>
    <row r="1053" hidden="1">
      <c r="A1053" s="2">
        <f>IFERROR(__xludf.DUMMYFUNCTION("""COMPUTED_VALUE"""),93893.0)</f>
        <v>93893</v>
      </c>
      <c r="B1053" s="2">
        <f>IFERROR(__xludf.DUMMYFUNCTION("""COMPUTED_VALUE"""),1.0)</f>
        <v>1</v>
      </c>
      <c r="C1053" s="2">
        <f>IFERROR(__xludf.DUMMYFUNCTION("""COMPUTED_VALUE"""),520.0)</f>
        <v>520</v>
      </c>
      <c r="D1053" s="3">
        <f>IFERROR(__xludf.DUMMYFUNCTION("""COMPUTED_VALUE"""),346.0)</f>
        <v>346</v>
      </c>
      <c r="E1053" s="1" t="str">
        <f t="array" ref="E1053">_xlfn.XLOOKUP(A1053,Product!A:A,Product!B:B,"Bulunamadı")</f>
        <v>Tech</v>
      </c>
      <c r="F1053" s="1" t="str">
        <f t="array" ref="F1053">_xlfn.XLOOKUP(A1053,Product!A:A,Product!C:C,"Bulunamadı")</f>
        <v>Modern History</v>
      </c>
      <c r="G1053" s="2" t="str">
        <f t="array" ref="G1053">_xlfn.XLOOKUP(A1054,Product!A:A,Product!D:D,"Bulunamadı")</f>
        <v>Silver Crown Books</v>
      </c>
      <c r="H1053" s="2">
        <f t="array" ref="H1053">_xlfn.XLOOKUP(A1055,Product!A:A,Product!E:E,"Bulunamadı")</f>
        <v>4.12</v>
      </c>
      <c r="I1053" s="2" t="str">
        <f t="shared" si="1"/>
        <v>93893 - Tech - Modern History</v>
      </c>
      <c r="J1053" s="2">
        <f t="shared" si="2"/>
        <v>1425.52</v>
      </c>
      <c r="K1053" s="17">
        <f t="shared" si="3"/>
        <v>1</v>
      </c>
      <c r="L1053" s="18"/>
    </row>
    <row r="1054" hidden="1">
      <c r="A1054" s="2">
        <f>IFERROR(__xludf.DUMMYFUNCTION("""COMPUTED_VALUE"""),119518.0)</f>
        <v>119518</v>
      </c>
      <c r="B1054" s="2">
        <f>IFERROR(__xludf.DUMMYFUNCTION("""COMPUTED_VALUE"""),1.0)</f>
        <v>1</v>
      </c>
      <c r="C1054" s="2">
        <f>IFERROR(__xludf.DUMMYFUNCTION("""COMPUTED_VALUE"""),497.0)</f>
        <v>497</v>
      </c>
      <c r="D1054" s="3">
        <f>IFERROR(__xludf.DUMMYFUNCTION("""COMPUTED_VALUE"""),95.0)</f>
        <v>95</v>
      </c>
      <c r="E1054" s="1" t="str">
        <f t="array" ref="E1054">_xlfn.XLOOKUP(A1054,Product!A:A,Product!B:B,"Bulunamadı")</f>
        <v>Tech</v>
      </c>
      <c r="F1054" s="1" t="str">
        <f t="array" ref="F1054">_xlfn.XLOOKUP(A1054,Product!A:A,Product!C:C,"Bulunamadı")</f>
        <v>Modern History</v>
      </c>
      <c r="G1054" s="2" t="str">
        <f t="array" ref="G1054">_xlfn.XLOOKUP(A1055,Product!A:A,Product!D:D,"Bulunamadı")</f>
        <v>Silver Crown Books</v>
      </c>
      <c r="H1054" s="2">
        <f t="array" ref="H1054">_xlfn.XLOOKUP(A1056,Product!A:A,Product!E:E,"Bulunamadı")</f>
        <v>3.31</v>
      </c>
      <c r="I1054" s="2" t="str">
        <f t="shared" si="1"/>
        <v>119518 - Tech - Modern History</v>
      </c>
      <c r="J1054" s="2">
        <f t="shared" si="2"/>
        <v>314.45</v>
      </c>
      <c r="K1054" s="17">
        <f t="shared" si="3"/>
        <v>1</v>
      </c>
      <c r="L1054" s="18"/>
    </row>
    <row r="1055" hidden="1">
      <c r="A1055" s="2">
        <f>IFERROR(__xludf.DUMMYFUNCTION("""COMPUTED_VALUE"""),111338.0)</f>
        <v>111338</v>
      </c>
      <c r="B1055" s="2">
        <f>IFERROR(__xludf.DUMMYFUNCTION("""COMPUTED_VALUE"""),0.0)</f>
        <v>0</v>
      </c>
      <c r="C1055" s="2">
        <f>IFERROR(__xludf.DUMMYFUNCTION("""COMPUTED_VALUE"""),822.0)</f>
        <v>822</v>
      </c>
      <c r="D1055" s="3">
        <f>IFERROR(__xludf.DUMMYFUNCTION("""COMPUTED_VALUE"""),84.0)</f>
        <v>84</v>
      </c>
      <c r="E1055" s="1" t="str">
        <f t="array" ref="E1055">_xlfn.XLOOKUP(A1055,Product!A:A,Product!B:B,"Bulunamadı")</f>
        <v>Tech</v>
      </c>
      <c r="F1055" s="1" t="str">
        <f t="array" ref="F1055">_xlfn.XLOOKUP(A1055,Product!A:A,Product!C:C,"Bulunamadı")</f>
        <v>Modern History</v>
      </c>
      <c r="G1055" s="2" t="str">
        <f t="array" ref="G1055">_xlfn.XLOOKUP(A1056,Product!A:A,Product!D:D,"Bulunamadı")</f>
        <v>Silver Crown Books</v>
      </c>
      <c r="H1055" s="2">
        <f t="array" ref="H1055">_xlfn.XLOOKUP(A1057,Product!A:A,Product!E:E,"Bulunamadı")</f>
        <v>3.17</v>
      </c>
      <c r="I1055" s="2" t="str">
        <f t="shared" si="1"/>
        <v>111338 - Tech - Modern History</v>
      </c>
      <c r="J1055" s="2">
        <f t="shared" si="2"/>
        <v>266.28</v>
      </c>
      <c r="K1055" s="17">
        <f t="shared" si="3"/>
        <v>1</v>
      </c>
      <c r="L1055" s="18"/>
    </row>
    <row r="1056" hidden="1">
      <c r="A1056" s="2">
        <f>IFERROR(__xludf.DUMMYFUNCTION("""COMPUTED_VALUE"""),100435.0)</f>
        <v>100435</v>
      </c>
      <c r="B1056" s="2">
        <f>IFERROR(__xludf.DUMMYFUNCTION("""COMPUTED_VALUE"""),0.0)</f>
        <v>0</v>
      </c>
      <c r="C1056" s="2">
        <f>IFERROR(__xludf.DUMMYFUNCTION("""COMPUTED_VALUE"""),232.0)</f>
        <v>232</v>
      </c>
      <c r="D1056" s="3">
        <f>IFERROR(__xludf.DUMMYFUNCTION("""COMPUTED_VALUE"""),72.0)</f>
        <v>72</v>
      </c>
      <c r="E1056" s="1" t="str">
        <f t="array" ref="E1056">_xlfn.XLOOKUP(A1056,Product!A:A,Product!B:B,"Bulunamadı")</f>
        <v>Tech</v>
      </c>
      <c r="F1056" s="1" t="str">
        <f t="array" ref="F1056">_xlfn.XLOOKUP(A1056,Product!A:A,Product!C:C,"Bulunamadı")</f>
        <v>Modern History</v>
      </c>
      <c r="G1056" s="2" t="str">
        <f t="array" ref="G1056">_xlfn.XLOOKUP(A1057,Product!A:A,Product!D:D,"Bulunamadı")</f>
        <v>Silver Crown Books</v>
      </c>
      <c r="H1056" s="2">
        <f t="array" ref="H1056">_xlfn.XLOOKUP(A1058,Product!A:A,Product!E:E,"Bulunamadı")</f>
        <v>4.71</v>
      </c>
      <c r="I1056" s="2" t="str">
        <f t="shared" si="1"/>
        <v>100435 - Tech - Modern History</v>
      </c>
      <c r="J1056" s="2">
        <f t="shared" si="2"/>
        <v>339.12</v>
      </c>
      <c r="K1056" s="17">
        <f t="shared" si="3"/>
        <v>1</v>
      </c>
      <c r="L1056" s="18"/>
    </row>
    <row r="1057" hidden="1">
      <c r="A1057" s="2">
        <f>IFERROR(__xludf.DUMMYFUNCTION("""COMPUTED_VALUE"""),89130.0)</f>
        <v>89130</v>
      </c>
      <c r="B1057" s="2">
        <f>IFERROR(__xludf.DUMMYFUNCTION("""COMPUTED_VALUE"""),1.0)</f>
        <v>1</v>
      </c>
      <c r="C1057" s="2">
        <f>IFERROR(__xludf.DUMMYFUNCTION("""COMPUTED_VALUE"""),661.0)</f>
        <v>661</v>
      </c>
      <c r="D1057" s="3">
        <f>IFERROR(__xludf.DUMMYFUNCTION("""COMPUTED_VALUE"""),464.0)</f>
        <v>464</v>
      </c>
      <c r="E1057" s="1" t="str">
        <f t="array" ref="E1057">_xlfn.XLOOKUP(A1057,Product!A:A,Product!B:B,"Bulunamadı")</f>
        <v>Tech</v>
      </c>
      <c r="F1057" s="1" t="str">
        <f t="array" ref="F1057">_xlfn.XLOOKUP(A1057,Product!A:A,Product!C:C,"Bulunamadı")</f>
        <v>Modern History</v>
      </c>
      <c r="G1057" s="2" t="str">
        <f t="array" ref="G1057">_xlfn.XLOOKUP(A1058,Product!A:A,Product!D:D,"Bulunamadı")</f>
        <v>Silver Crown Books</v>
      </c>
      <c r="H1057" s="2">
        <f t="array" ref="H1057">_xlfn.XLOOKUP(A1059,Product!A:A,Product!E:E,"Bulunamadı")</f>
        <v>4.88</v>
      </c>
      <c r="I1057" s="2" t="str">
        <f t="shared" si="1"/>
        <v>89130 - Tech - Modern History</v>
      </c>
      <c r="J1057" s="2">
        <f t="shared" si="2"/>
        <v>2264.32</v>
      </c>
      <c r="K1057" s="17">
        <f t="shared" si="3"/>
        <v>1</v>
      </c>
      <c r="L1057" s="18"/>
    </row>
    <row r="1058" hidden="1">
      <c r="A1058" s="2">
        <f>IFERROR(__xludf.DUMMYFUNCTION("""COMPUTED_VALUE"""),103695.0)</f>
        <v>103695</v>
      </c>
      <c r="B1058" s="2">
        <f>IFERROR(__xludf.DUMMYFUNCTION("""COMPUTED_VALUE"""),0.0)</f>
        <v>0</v>
      </c>
      <c r="C1058" s="2">
        <f>IFERROR(__xludf.DUMMYFUNCTION("""COMPUTED_VALUE"""),299.0)</f>
        <v>299</v>
      </c>
      <c r="D1058" s="3">
        <f>IFERROR(__xludf.DUMMYFUNCTION("""COMPUTED_VALUE"""),210.0)</f>
        <v>210</v>
      </c>
      <c r="E1058" s="1" t="str">
        <f t="array" ref="E1058">_xlfn.XLOOKUP(A1058,Product!A:A,Product!B:B,"Bulunamadı")</f>
        <v>Tech</v>
      </c>
      <c r="F1058" s="1" t="str">
        <f t="array" ref="F1058">_xlfn.XLOOKUP(A1058,Product!A:A,Product!C:C,"Bulunamadı")</f>
        <v>Modern History</v>
      </c>
      <c r="G1058" s="2" t="str">
        <f t="array" ref="G1058">_xlfn.XLOOKUP(A1059,Product!A:A,Product!D:D,"Bulunamadı")</f>
        <v>Silver Crown Books</v>
      </c>
      <c r="H1058" s="2">
        <f t="array" ref="H1058">_xlfn.XLOOKUP(A1060,Product!A:A,Product!E:E,"Bulunamadı")</f>
        <v>1.51</v>
      </c>
      <c r="I1058" s="2" t="str">
        <f t="shared" si="1"/>
        <v>103695 - Tech - Modern History</v>
      </c>
      <c r="J1058" s="2">
        <f t="shared" si="2"/>
        <v>317.1</v>
      </c>
      <c r="K1058" s="17">
        <f t="shared" si="3"/>
        <v>1</v>
      </c>
      <c r="L1058" s="18"/>
    </row>
    <row r="1059" hidden="1">
      <c r="A1059" s="2">
        <f>IFERROR(__xludf.DUMMYFUNCTION("""COMPUTED_VALUE"""),90201.0)</f>
        <v>90201</v>
      </c>
      <c r="B1059" s="2">
        <f>IFERROR(__xludf.DUMMYFUNCTION("""COMPUTED_VALUE"""),1.0)</f>
        <v>1</v>
      </c>
      <c r="C1059" s="2">
        <f>IFERROR(__xludf.DUMMYFUNCTION("""COMPUTED_VALUE"""),199.0)</f>
        <v>199</v>
      </c>
      <c r="D1059" s="3">
        <f>IFERROR(__xludf.DUMMYFUNCTION("""COMPUTED_VALUE"""),135.0)</f>
        <v>135</v>
      </c>
      <c r="E1059" s="1" t="str">
        <f t="array" ref="E1059">_xlfn.XLOOKUP(A1059,Product!A:A,Product!B:B,"Bulunamadı")</f>
        <v>Tech</v>
      </c>
      <c r="F1059" s="1" t="str">
        <f t="array" ref="F1059">_xlfn.XLOOKUP(A1059,Product!A:A,Product!C:C,"Bulunamadı")</f>
        <v>Modern History</v>
      </c>
      <c r="G1059" s="2" t="str">
        <f t="array" ref="G1059">_xlfn.XLOOKUP(A1060,Product!A:A,Product!D:D,"Bulunamadı")</f>
        <v>Silver Crown Books</v>
      </c>
      <c r="H1059" s="2">
        <f t="array" ref="H1059">_xlfn.XLOOKUP(A1061,Product!A:A,Product!E:E,"Bulunamadı")</f>
        <v>3.25</v>
      </c>
      <c r="I1059" s="2" t="str">
        <f t="shared" si="1"/>
        <v>90201 - Tech - Modern History</v>
      </c>
      <c r="J1059" s="2">
        <f t="shared" si="2"/>
        <v>438.75</v>
      </c>
      <c r="K1059" s="17">
        <f t="shared" si="3"/>
        <v>1</v>
      </c>
      <c r="L1059" s="18"/>
    </row>
    <row r="1060" hidden="1">
      <c r="A1060" s="2">
        <f>IFERROR(__xludf.DUMMYFUNCTION("""COMPUTED_VALUE"""),70025.0)</f>
        <v>70025</v>
      </c>
      <c r="B1060" s="2">
        <f>IFERROR(__xludf.DUMMYFUNCTION("""COMPUTED_VALUE"""),0.0)</f>
        <v>0</v>
      </c>
      <c r="C1060" s="2">
        <f>IFERROR(__xludf.DUMMYFUNCTION("""COMPUTED_VALUE"""),498.0)</f>
        <v>498</v>
      </c>
      <c r="D1060" s="3">
        <f>IFERROR(__xludf.DUMMYFUNCTION("""COMPUTED_VALUE"""),337.0)</f>
        <v>337</v>
      </c>
      <c r="E1060" s="1" t="str">
        <f t="array" ref="E1060">_xlfn.XLOOKUP(A1060,Product!A:A,Product!B:B,"Bulunamadı")</f>
        <v>Tech</v>
      </c>
      <c r="F1060" s="1" t="str">
        <f t="array" ref="F1060">_xlfn.XLOOKUP(A1060,Product!A:A,Product!C:C,"Bulunamadı")</f>
        <v>Modern History</v>
      </c>
      <c r="G1060" s="2" t="str">
        <f t="array" ref="G1060">_xlfn.XLOOKUP(A1061,Product!A:A,Product!D:D,"Bulunamadı")</f>
        <v>Silver Crown Books</v>
      </c>
      <c r="H1060" s="2">
        <f t="array" ref="H1060">_xlfn.XLOOKUP(A1062,Product!A:A,Product!E:E,"Bulunamadı")</f>
        <v>9.86</v>
      </c>
      <c r="I1060" s="2" t="str">
        <f t="shared" si="1"/>
        <v>70025 - Tech - Modern History</v>
      </c>
      <c r="J1060" s="2">
        <f t="shared" si="2"/>
        <v>3322.82</v>
      </c>
      <c r="K1060" s="17">
        <f t="shared" si="3"/>
        <v>1</v>
      </c>
      <c r="L1060" s="18"/>
    </row>
    <row r="1061" hidden="1">
      <c r="A1061" s="2">
        <f>IFERROR(__xludf.DUMMYFUNCTION("""COMPUTED_VALUE"""),29485.0)</f>
        <v>29485</v>
      </c>
      <c r="B1061" s="2">
        <f>IFERROR(__xludf.DUMMYFUNCTION("""COMPUTED_VALUE"""),0.0)</f>
        <v>0</v>
      </c>
      <c r="C1061" s="2">
        <f>IFERROR(__xludf.DUMMYFUNCTION("""COMPUTED_VALUE"""),589.0)</f>
        <v>589</v>
      </c>
      <c r="D1061" s="3">
        <f>IFERROR(__xludf.DUMMYFUNCTION("""COMPUTED_VALUE"""),533.0)</f>
        <v>533</v>
      </c>
      <c r="E1061" s="1" t="str">
        <f t="array" ref="E1061">_xlfn.XLOOKUP(A1061,Product!A:A,Product!B:B,"Bulunamadı")</f>
        <v>Tech</v>
      </c>
      <c r="F1061" s="1" t="str">
        <f t="array" ref="F1061">_xlfn.XLOOKUP(A1061,Product!A:A,Product!C:C,"Bulunamadı")</f>
        <v>Modern History</v>
      </c>
      <c r="G1061" s="2" t="str">
        <f t="array" ref="G1061">_xlfn.XLOOKUP(A1062,Product!A:A,Product!D:D,"Bulunamadı")</f>
        <v>Silver Crown Books</v>
      </c>
      <c r="H1061" s="2">
        <f t="array" ref="H1061">_xlfn.XLOOKUP(A1063,Product!A:A,Product!E:E,"Bulunamadı")</f>
        <v>8.5</v>
      </c>
      <c r="I1061" s="2" t="str">
        <f t="shared" si="1"/>
        <v>29485 - Tech - Modern History</v>
      </c>
      <c r="J1061" s="2">
        <f t="shared" si="2"/>
        <v>4530.5</v>
      </c>
      <c r="K1061" s="17">
        <f t="shared" si="3"/>
        <v>1</v>
      </c>
      <c r="L1061" s="18"/>
    </row>
    <row r="1062" hidden="1">
      <c r="A1062" s="2">
        <f>IFERROR(__xludf.DUMMYFUNCTION("""COMPUTED_VALUE"""),119530.0)</f>
        <v>119530</v>
      </c>
      <c r="B1062" s="2">
        <f>IFERROR(__xludf.DUMMYFUNCTION("""COMPUTED_VALUE"""),0.0)</f>
        <v>0</v>
      </c>
      <c r="C1062" s="2">
        <f>IFERROR(__xludf.DUMMYFUNCTION("""COMPUTED_VALUE"""),479.0)</f>
        <v>479</v>
      </c>
      <c r="D1062" s="3">
        <f>IFERROR(__xludf.DUMMYFUNCTION("""COMPUTED_VALUE"""),452.0)</f>
        <v>452</v>
      </c>
      <c r="E1062" s="1" t="str">
        <f t="array" ref="E1062">_xlfn.XLOOKUP(A1062,Product!A:A,Product!B:B,"Bulunamadı")</f>
        <v>Tech</v>
      </c>
      <c r="F1062" s="1" t="str">
        <f t="array" ref="F1062">_xlfn.XLOOKUP(A1062,Product!A:A,Product!C:C,"Bulunamadı")</f>
        <v>Modern History</v>
      </c>
      <c r="G1062" s="2" t="str">
        <f t="array" ref="G1062">_xlfn.XLOOKUP(A1063,Product!A:A,Product!D:D,"Bulunamadı")</f>
        <v>Silver Crown Books</v>
      </c>
      <c r="H1062" s="2">
        <f t="array" ref="H1062">_xlfn.XLOOKUP(A1064,Product!A:A,Product!E:E,"Bulunamadı")</f>
        <v>14.82</v>
      </c>
      <c r="I1062" s="2" t="str">
        <f t="shared" si="1"/>
        <v>119530 - Tech - Modern History</v>
      </c>
      <c r="J1062" s="2">
        <f t="shared" si="2"/>
        <v>6698.64</v>
      </c>
      <c r="K1062" s="17">
        <f t="shared" si="3"/>
        <v>1</v>
      </c>
      <c r="L1062" s="18"/>
    </row>
    <row r="1063" hidden="1">
      <c r="A1063" s="2">
        <f>IFERROR(__xludf.DUMMYFUNCTION("""COMPUTED_VALUE"""),103671.0)</f>
        <v>103671</v>
      </c>
      <c r="B1063" s="2">
        <f>IFERROR(__xludf.DUMMYFUNCTION("""COMPUTED_VALUE"""),1.0)</f>
        <v>1</v>
      </c>
      <c r="C1063" s="2">
        <f>IFERROR(__xludf.DUMMYFUNCTION("""COMPUTED_VALUE"""),672.0)</f>
        <v>672</v>
      </c>
      <c r="D1063" s="3">
        <f>IFERROR(__xludf.DUMMYFUNCTION("""COMPUTED_VALUE"""),512.0)</f>
        <v>512</v>
      </c>
      <c r="E1063" s="1" t="str">
        <f t="array" ref="E1063">_xlfn.XLOOKUP(A1063,Product!A:A,Product!B:B,"Bulunamadı")</f>
        <v>Tech</v>
      </c>
      <c r="F1063" s="1" t="str">
        <f t="array" ref="F1063">_xlfn.XLOOKUP(A1063,Product!A:A,Product!C:C,"Bulunamadı")</f>
        <v>Modern History</v>
      </c>
      <c r="G1063" s="2" t="str">
        <f t="array" ref="G1063">_xlfn.XLOOKUP(A1064,Product!A:A,Product!D:D,"Bulunamadı")</f>
        <v>Silver Crown Books</v>
      </c>
      <c r="H1063" s="2">
        <f t="array" ref="H1063">_xlfn.XLOOKUP(A1065,Product!A:A,Product!E:E,"Bulunamadı")</f>
        <v>1.64</v>
      </c>
      <c r="I1063" s="2" t="str">
        <f t="shared" si="1"/>
        <v>103671 - Tech - Modern History</v>
      </c>
      <c r="J1063" s="2">
        <f t="shared" si="2"/>
        <v>839.68</v>
      </c>
      <c r="K1063" s="17">
        <f t="shared" si="3"/>
        <v>1</v>
      </c>
      <c r="L1063" s="18"/>
    </row>
    <row r="1064" hidden="1">
      <c r="A1064" s="2">
        <f>IFERROR(__xludf.DUMMYFUNCTION("""COMPUTED_VALUE"""),102803.0)</f>
        <v>102803</v>
      </c>
      <c r="B1064" s="2">
        <f>IFERROR(__xludf.DUMMYFUNCTION("""COMPUTED_VALUE"""),1.0)</f>
        <v>1</v>
      </c>
      <c r="C1064" s="2">
        <f>IFERROR(__xludf.DUMMYFUNCTION("""COMPUTED_VALUE"""),230.0)</f>
        <v>230</v>
      </c>
      <c r="D1064" s="3">
        <f>IFERROR(__xludf.DUMMYFUNCTION("""COMPUTED_VALUE"""),129.0)</f>
        <v>129</v>
      </c>
      <c r="E1064" s="1" t="str">
        <f t="array" ref="E1064">_xlfn.XLOOKUP(A1064,Product!A:A,Product!B:B,"Bulunamadı")</f>
        <v>Tech</v>
      </c>
      <c r="F1064" s="1" t="str">
        <f t="array" ref="F1064">_xlfn.XLOOKUP(A1064,Product!A:A,Product!C:C,"Bulunamadı")</f>
        <v>Modern History</v>
      </c>
      <c r="G1064" s="2" t="str">
        <f t="array" ref="G1064">_xlfn.XLOOKUP(A1065,Product!A:A,Product!D:D,"Bulunamadı")</f>
        <v>Lighthouse Ridge Press</v>
      </c>
      <c r="H1064" s="2">
        <f t="array" ref="H1064">_xlfn.XLOOKUP(A1066,Product!A:A,Product!E:E,"Bulunamadı")</f>
        <v>1.24</v>
      </c>
      <c r="I1064" s="2" t="str">
        <f t="shared" si="1"/>
        <v>102803 - Tech - Modern History</v>
      </c>
      <c r="J1064" s="2">
        <f t="shared" si="2"/>
        <v>159.96</v>
      </c>
      <c r="K1064" s="17">
        <f t="shared" si="3"/>
        <v>1</v>
      </c>
      <c r="L1064" s="18"/>
    </row>
    <row r="1065" hidden="1">
      <c r="A1065" s="2">
        <f>IFERROR(__xludf.DUMMYFUNCTION("""COMPUTED_VALUE"""),122156.0)</f>
        <v>122156</v>
      </c>
      <c r="B1065" s="2">
        <f>IFERROR(__xludf.DUMMYFUNCTION("""COMPUTED_VALUE"""),0.0)</f>
        <v>0</v>
      </c>
      <c r="C1065" s="2">
        <f>IFERROR(__xludf.DUMMYFUNCTION("""COMPUTED_VALUE"""),809.0)</f>
        <v>809</v>
      </c>
      <c r="D1065" s="3">
        <f>IFERROR(__xludf.DUMMYFUNCTION("""COMPUTED_VALUE"""),741.0)</f>
        <v>741</v>
      </c>
      <c r="E1065" s="1" t="str">
        <f t="array" ref="E1065">_xlfn.XLOOKUP(A1065,Product!A:A,Product!B:B,"Bulunamadı")</f>
        <v>Tech</v>
      </c>
      <c r="F1065" s="1" t="str">
        <f t="array" ref="F1065">_xlfn.XLOOKUP(A1065,Product!A:A,Product!C:C,"Bulunamadı")</f>
        <v>Modern History</v>
      </c>
      <c r="G1065" s="2" t="str">
        <f t="array" ref="G1065">_xlfn.XLOOKUP(A1066,Product!A:A,Product!D:D,"Bulunamadı")</f>
        <v>Lighthouse Ridge Press</v>
      </c>
      <c r="H1065" s="2">
        <f t="array" ref="H1065">_xlfn.XLOOKUP(A1067,Product!A:A,Product!E:E,"Bulunamadı")</f>
        <v>4.33</v>
      </c>
      <c r="I1065" s="2" t="str">
        <f t="shared" si="1"/>
        <v>122156 - Tech - Modern History</v>
      </c>
      <c r="J1065" s="2">
        <f t="shared" si="2"/>
        <v>3208.53</v>
      </c>
      <c r="K1065" s="17">
        <f t="shared" si="3"/>
        <v>1</v>
      </c>
      <c r="L1065" s="18"/>
    </row>
    <row r="1066" hidden="1">
      <c r="A1066" s="2">
        <f>IFERROR(__xludf.DUMMYFUNCTION("""COMPUTED_VALUE"""),103688.0)</f>
        <v>103688</v>
      </c>
      <c r="B1066" s="2">
        <f>IFERROR(__xludf.DUMMYFUNCTION("""COMPUTED_VALUE"""),1.0)</f>
        <v>1</v>
      </c>
      <c r="C1066" s="2">
        <f>IFERROR(__xludf.DUMMYFUNCTION("""COMPUTED_VALUE"""),668.0)</f>
        <v>668</v>
      </c>
      <c r="D1066" s="3">
        <f>IFERROR(__xludf.DUMMYFUNCTION("""COMPUTED_VALUE"""),613.0)</f>
        <v>613</v>
      </c>
      <c r="E1066" s="1" t="str">
        <f t="array" ref="E1066">_xlfn.XLOOKUP(A1066,Product!A:A,Product!B:B,"Bulunamadı")</f>
        <v>Tech</v>
      </c>
      <c r="F1066" s="1" t="str">
        <f t="array" ref="F1066">_xlfn.XLOOKUP(A1066,Product!A:A,Product!C:C,"Bulunamadı")</f>
        <v>Modern History</v>
      </c>
      <c r="G1066" s="2" t="str">
        <f t="array" ref="G1066">_xlfn.XLOOKUP(A1067,Product!A:A,Product!D:D,"Bulunamadı")</f>
        <v>Lighthouse Ridge Press</v>
      </c>
      <c r="H1066" s="2">
        <f t="array" ref="H1066">_xlfn.XLOOKUP(A1068,Product!A:A,Product!E:E,"Bulunamadı")</f>
        <v>1.41</v>
      </c>
      <c r="I1066" s="2" t="str">
        <f t="shared" si="1"/>
        <v>103688 - Tech - Modern History</v>
      </c>
      <c r="J1066" s="2">
        <f t="shared" si="2"/>
        <v>864.33</v>
      </c>
      <c r="K1066" s="17">
        <f t="shared" si="3"/>
        <v>1</v>
      </c>
      <c r="L1066" s="18"/>
    </row>
    <row r="1067" hidden="1">
      <c r="A1067" s="2">
        <f>IFERROR(__xludf.DUMMYFUNCTION("""COMPUTED_VALUE"""),128303.0)</f>
        <v>128303</v>
      </c>
      <c r="B1067" s="2">
        <f>IFERROR(__xludf.DUMMYFUNCTION("""COMPUTED_VALUE"""),1.0)</f>
        <v>1</v>
      </c>
      <c r="C1067" s="2">
        <f>IFERROR(__xludf.DUMMYFUNCTION("""COMPUTED_VALUE"""),68.0)</f>
        <v>68</v>
      </c>
      <c r="D1067" s="3">
        <f>IFERROR(__xludf.DUMMYFUNCTION("""COMPUTED_VALUE"""),38.0)</f>
        <v>38</v>
      </c>
      <c r="E1067" s="1" t="str">
        <f t="array" ref="E1067">_xlfn.XLOOKUP(A1067,Product!A:A,Product!B:B,"Bulunamadı")</f>
        <v>Tech</v>
      </c>
      <c r="F1067" s="1" t="str">
        <f t="array" ref="F1067">_xlfn.XLOOKUP(A1067,Product!A:A,Product!C:C,"Bulunamadı")</f>
        <v>Modern History</v>
      </c>
      <c r="G1067" s="2" t="str">
        <f t="array" ref="G1067">_xlfn.XLOOKUP(A1068,Product!A:A,Product!D:D,"Bulunamadı")</f>
        <v>Lighthouse Ridge Press</v>
      </c>
      <c r="H1067" s="2">
        <f t="array" ref="H1067">_xlfn.XLOOKUP(A1069,Product!A:A,Product!E:E,"Bulunamadı")</f>
        <v>4.12</v>
      </c>
      <c r="I1067" s="2" t="str">
        <f t="shared" si="1"/>
        <v>128303 - Tech - Modern History</v>
      </c>
      <c r="J1067" s="2">
        <f t="shared" si="2"/>
        <v>156.56</v>
      </c>
      <c r="K1067" s="17">
        <f t="shared" si="3"/>
        <v>1</v>
      </c>
      <c r="L1067" s="18"/>
    </row>
    <row r="1068" hidden="1">
      <c r="A1068" s="2">
        <f>IFERROR(__xludf.DUMMYFUNCTION("""COMPUTED_VALUE"""),122164.0)</f>
        <v>122164</v>
      </c>
      <c r="B1068" s="2">
        <f>IFERROR(__xludf.DUMMYFUNCTION("""COMPUTED_VALUE"""),1.0)</f>
        <v>1</v>
      </c>
      <c r="C1068" s="2">
        <f>IFERROR(__xludf.DUMMYFUNCTION("""COMPUTED_VALUE"""),840.0)</f>
        <v>840</v>
      </c>
      <c r="D1068" s="3">
        <f>IFERROR(__xludf.DUMMYFUNCTION("""COMPUTED_VALUE"""),738.0)</f>
        <v>738</v>
      </c>
      <c r="E1068" s="1" t="str">
        <f t="array" ref="E1068">_xlfn.XLOOKUP(A1068,Product!A:A,Product!B:B,"Bulunamadı")</f>
        <v>Tech</v>
      </c>
      <c r="F1068" s="1" t="str">
        <f t="array" ref="F1068">_xlfn.XLOOKUP(A1068,Product!A:A,Product!C:C,"Bulunamadı")</f>
        <v>Modern History</v>
      </c>
      <c r="G1068" s="2" t="str">
        <f t="array" ref="G1068">_xlfn.XLOOKUP(A1069,Product!A:A,Product!D:D,"Bulunamadı")</f>
        <v>Lighthouse Ridge Press</v>
      </c>
      <c r="H1068" s="2">
        <f t="array" ref="H1068">_xlfn.XLOOKUP(A1070,Product!A:A,Product!E:E,"Bulunamadı")</f>
        <v>1.68</v>
      </c>
      <c r="I1068" s="2" t="str">
        <f t="shared" si="1"/>
        <v>122164 - Tech - Modern History</v>
      </c>
      <c r="J1068" s="2">
        <f t="shared" si="2"/>
        <v>1239.84</v>
      </c>
      <c r="K1068" s="17">
        <f t="shared" si="3"/>
        <v>1</v>
      </c>
      <c r="L1068" s="18"/>
    </row>
    <row r="1069" hidden="1">
      <c r="A1069" s="2">
        <f>IFERROR(__xludf.DUMMYFUNCTION("""COMPUTED_VALUE"""),119629.0)</f>
        <v>119629</v>
      </c>
      <c r="B1069" s="2">
        <f>IFERROR(__xludf.DUMMYFUNCTION("""COMPUTED_VALUE"""),1.0)</f>
        <v>1</v>
      </c>
      <c r="C1069" s="2">
        <f>IFERROR(__xludf.DUMMYFUNCTION("""COMPUTED_VALUE"""),500.0)</f>
        <v>500</v>
      </c>
      <c r="D1069" s="3">
        <f>IFERROR(__xludf.DUMMYFUNCTION("""COMPUTED_VALUE"""),442.0)</f>
        <v>442</v>
      </c>
      <c r="E1069" s="1" t="str">
        <f t="array" ref="E1069">_xlfn.XLOOKUP(A1069,Product!A:A,Product!B:B,"Bulunamadı")</f>
        <v>Tech</v>
      </c>
      <c r="F1069" s="1" t="str">
        <f t="array" ref="F1069">_xlfn.XLOOKUP(A1069,Product!A:A,Product!C:C,"Bulunamadı")</f>
        <v>Modern History</v>
      </c>
      <c r="G1069" s="2" t="str">
        <f t="array" ref="G1069">_xlfn.XLOOKUP(A1070,Product!A:A,Product!D:D,"Bulunamadı")</f>
        <v>Lighthouse Ridge Press</v>
      </c>
      <c r="H1069" s="2">
        <f t="array" ref="H1069">_xlfn.XLOOKUP(A1071,Product!A:A,Product!E:E,"Bulunamadı")</f>
        <v>3.04</v>
      </c>
      <c r="I1069" s="2" t="str">
        <f t="shared" si="1"/>
        <v>119629 - Tech - Modern History</v>
      </c>
      <c r="J1069" s="2">
        <f t="shared" si="2"/>
        <v>1343.68</v>
      </c>
      <c r="K1069" s="17">
        <f t="shared" si="3"/>
        <v>1</v>
      </c>
      <c r="L1069" s="18"/>
    </row>
    <row r="1070" hidden="1">
      <c r="A1070" s="2">
        <f>IFERROR(__xludf.DUMMYFUNCTION("""COMPUTED_VALUE"""),122238.0)</f>
        <v>122238</v>
      </c>
      <c r="B1070" s="2">
        <f>IFERROR(__xludf.DUMMYFUNCTION("""COMPUTED_VALUE"""),1.0)</f>
        <v>1</v>
      </c>
      <c r="C1070" s="2">
        <f>IFERROR(__xludf.DUMMYFUNCTION("""COMPUTED_VALUE"""),775.0)</f>
        <v>775</v>
      </c>
      <c r="D1070" s="3">
        <f>IFERROR(__xludf.DUMMYFUNCTION("""COMPUTED_VALUE"""),280.0)</f>
        <v>280</v>
      </c>
      <c r="E1070" s="1" t="str">
        <f t="array" ref="E1070">_xlfn.XLOOKUP(A1070,Product!A:A,Product!B:B,"Bulunamadı")</f>
        <v>Tech</v>
      </c>
      <c r="F1070" s="1" t="str">
        <f t="array" ref="F1070">_xlfn.XLOOKUP(A1070,Product!A:A,Product!C:C,"Bulunamadı")</f>
        <v>Modern History</v>
      </c>
      <c r="G1070" s="2" t="str">
        <f t="array" ref="G1070">_xlfn.XLOOKUP(A1071,Product!A:A,Product!D:D,"Bulunamadı")</f>
        <v>Lighthouse Ridge Press</v>
      </c>
      <c r="H1070" s="2">
        <f t="array" ref="H1070">_xlfn.XLOOKUP(A1072,Product!A:A,Product!E:E,"Bulunamadı")</f>
        <v>1.33</v>
      </c>
      <c r="I1070" s="2" t="str">
        <f t="shared" si="1"/>
        <v>122238 - Tech - Modern History</v>
      </c>
      <c r="J1070" s="2">
        <f t="shared" si="2"/>
        <v>372.4</v>
      </c>
      <c r="K1070" s="17">
        <f t="shared" si="3"/>
        <v>1</v>
      </c>
      <c r="L1070" s="18"/>
    </row>
    <row r="1071" hidden="1">
      <c r="A1071" s="2">
        <f>IFERROR(__xludf.DUMMYFUNCTION("""COMPUTED_VALUE"""),100106.0)</f>
        <v>100106</v>
      </c>
      <c r="B1071" s="2">
        <f>IFERROR(__xludf.DUMMYFUNCTION("""COMPUTED_VALUE"""),1.0)</f>
        <v>1</v>
      </c>
      <c r="C1071" s="2">
        <f>IFERROR(__xludf.DUMMYFUNCTION("""COMPUTED_VALUE"""),343.0)</f>
        <v>343</v>
      </c>
      <c r="D1071" s="3">
        <f>IFERROR(__xludf.DUMMYFUNCTION("""COMPUTED_VALUE"""),203.0)</f>
        <v>203</v>
      </c>
      <c r="E1071" s="1" t="str">
        <f t="array" ref="E1071">_xlfn.XLOOKUP(A1071,Product!A:A,Product!B:B,"Bulunamadı")</f>
        <v>Tech</v>
      </c>
      <c r="F1071" s="1" t="str">
        <f t="array" ref="F1071">_xlfn.XLOOKUP(A1071,Product!A:A,Product!C:C,"Bulunamadı")</f>
        <v>Modern History</v>
      </c>
      <c r="G1071" s="2" t="str">
        <f t="array" ref="G1071">_xlfn.XLOOKUP(A1072,Product!A:A,Product!D:D,"Bulunamadı")</f>
        <v>Lighthouse Ridge Press</v>
      </c>
      <c r="H1071" s="2">
        <f t="array" ref="H1071">_xlfn.XLOOKUP(A1073,Product!A:A,Product!E:E,"Bulunamadı")</f>
        <v>1.62</v>
      </c>
      <c r="I1071" s="2" t="str">
        <f t="shared" si="1"/>
        <v>100106 - Tech - Modern History</v>
      </c>
      <c r="J1071" s="2">
        <f t="shared" si="2"/>
        <v>328.86</v>
      </c>
      <c r="K1071" s="17">
        <f t="shared" si="3"/>
        <v>1</v>
      </c>
      <c r="L1071" s="18"/>
    </row>
    <row r="1072" hidden="1">
      <c r="A1072" s="2">
        <f>IFERROR(__xludf.DUMMYFUNCTION("""COMPUTED_VALUE"""),74260.0)</f>
        <v>74260</v>
      </c>
      <c r="B1072" s="2">
        <f>IFERROR(__xludf.DUMMYFUNCTION("""COMPUTED_VALUE"""),0.0)</f>
        <v>0</v>
      </c>
      <c r="C1072" s="2">
        <f>IFERROR(__xludf.DUMMYFUNCTION("""COMPUTED_VALUE"""),303.0)</f>
        <v>303</v>
      </c>
      <c r="D1072" s="3">
        <f>IFERROR(__xludf.DUMMYFUNCTION("""COMPUTED_VALUE"""),238.0)</f>
        <v>238</v>
      </c>
      <c r="E1072" s="1" t="str">
        <f t="array" ref="E1072">_xlfn.XLOOKUP(A1072,Product!A:A,Product!B:B,"Bulunamadı")</f>
        <v>Tech</v>
      </c>
      <c r="F1072" s="1" t="str">
        <f t="array" ref="F1072">_xlfn.XLOOKUP(A1072,Product!A:A,Product!C:C,"Bulunamadı")</f>
        <v>Modern History</v>
      </c>
      <c r="G1072" s="2" t="str">
        <f t="array" ref="G1072">_xlfn.XLOOKUP(A1073,Product!A:A,Product!D:D,"Bulunamadı")</f>
        <v>Lighthouse Ridge Press</v>
      </c>
      <c r="H1072" s="2">
        <f t="array" ref="H1072">_xlfn.XLOOKUP(A1074,Product!A:A,Product!E:E,"Bulunamadı")</f>
        <v>3.04</v>
      </c>
      <c r="I1072" s="2" t="str">
        <f t="shared" si="1"/>
        <v>74260 - Tech - Modern History</v>
      </c>
      <c r="J1072" s="2">
        <f t="shared" si="2"/>
        <v>723.52</v>
      </c>
      <c r="K1072" s="17">
        <f t="shared" si="3"/>
        <v>1</v>
      </c>
      <c r="L1072" s="18"/>
    </row>
    <row r="1073" hidden="1">
      <c r="A1073" s="2">
        <f>IFERROR(__xludf.DUMMYFUNCTION("""COMPUTED_VALUE"""),122159.0)</f>
        <v>122159</v>
      </c>
      <c r="B1073" s="2">
        <f>IFERROR(__xludf.DUMMYFUNCTION("""COMPUTED_VALUE"""),0.0)</f>
        <v>0</v>
      </c>
      <c r="C1073" s="2">
        <f>IFERROR(__xludf.DUMMYFUNCTION("""COMPUTED_VALUE"""),272.0)</f>
        <v>272</v>
      </c>
      <c r="D1073" s="3">
        <f>IFERROR(__xludf.DUMMYFUNCTION("""COMPUTED_VALUE"""),103.0)</f>
        <v>103</v>
      </c>
      <c r="E1073" s="1" t="str">
        <f t="array" ref="E1073">_xlfn.XLOOKUP(A1073,Product!A:A,Product!B:B,"Bulunamadı")</f>
        <v>Tech</v>
      </c>
      <c r="F1073" s="1" t="str">
        <f t="array" ref="F1073">_xlfn.XLOOKUP(A1073,Product!A:A,Product!C:C,"Bulunamadı")</f>
        <v>Modern History</v>
      </c>
      <c r="G1073" s="2" t="str">
        <f t="array" ref="G1073">_xlfn.XLOOKUP(A1074,Product!A:A,Product!D:D,"Bulunamadı")</f>
        <v>Lighthouse Ridge Press</v>
      </c>
      <c r="H1073" s="2">
        <f t="array" ref="H1073">_xlfn.XLOOKUP(A1075,Product!A:A,Product!E:E,"Bulunamadı")</f>
        <v>1.32</v>
      </c>
      <c r="I1073" s="2" t="str">
        <f t="shared" si="1"/>
        <v>122159 - Tech - Modern History</v>
      </c>
      <c r="J1073" s="2">
        <f t="shared" si="2"/>
        <v>135.96</v>
      </c>
      <c r="K1073" s="17">
        <f t="shared" si="3"/>
        <v>1</v>
      </c>
      <c r="L1073" s="18"/>
    </row>
    <row r="1074" hidden="1">
      <c r="A1074" s="2">
        <f>IFERROR(__xludf.DUMMYFUNCTION("""COMPUTED_VALUE"""),100104.0)</f>
        <v>100104</v>
      </c>
      <c r="B1074" s="2">
        <f>IFERROR(__xludf.DUMMYFUNCTION("""COMPUTED_VALUE"""),1.0)</f>
        <v>1</v>
      </c>
      <c r="C1074" s="2">
        <f>IFERROR(__xludf.DUMMYFUNCTION("""COMPUTED_VALUE"""),804.0)</f>
        <v>804</v>
      </c>
      <c r="D1074" s="3">
        <f>IFERROR(__xludf.DUMMYFUNCTION("""COMPUTED_VALUE"""),71.0)</f>
        <v>71</v>
      </c>
      <c r="E1074" s="1" t="str">
        <f t="array" ref="E1074">_xlfn.XLOOKUP(A1074,Product!A:A,Product!B:B,"Bulunamadı")</f>
        <v>Tech</v>
      </c>
      <c r="F1074" s="1" t="str">
        <f t="array" ref="F1074">_xlfn.XLOOKUP(A1074,Product!A:A,Product!C:C,"Bulunamadı")</f>
        <v>Modern History</v>
      </c>
      <c r="G1074" s="2" t="str">
        <f t="array" ref="G1074">_xlfn.XLOOKUP(A1075,Product!A:A,Product!D:D,"Bulunamadı")</f>
        <v>Lighthouse Ridge Press</v>
      </c>
      <c r="H1074" s="2">
        <f t="array" ref="H1074">_xlfn.XLOOKUP(A1076,Product!A:A,Product!E:E,"Bulunamadı")</f>
        <v>1.52</v>
      </c>
      <c r="I1074" s="2" t="str">
        <f t="shared" si="1"/>
        <v>100104 - Tech - Modern History</v>
      </c>
      <c r="J1074" s="2">
        <f t="shared" si="2"/>
        <v>107.92</v>
      </c>
      <c r="K1074" s="17">
        <f t="shared" si="3"/>
        <v>1</v>
      </c>
      <c r="L1074" s="18"/>
    </row>
    <row r="1075" hidden="1">
      <c r="A1075" s="2">
        <f>IFERROR(__xludf.DUMMYFUNCTION("""COMPUTED_VALUE"""),103702.0)</f>
        <v>103702</v>
      </c>
      <c r="B1075" s="2">
        <f>IFERROR(__xludf.DUMMYFUNCTION("""COMPUTED_VALUE"""),0.0)</f>
        <v>0</v>
      </c>
      <c r="C1075" s="2">
        <f>IFERROR(__xludf.DUMMYFUNCTION("""COMPUTED_VALUE"""),602.0)</f>
        <v>602</v>
      </c>
      <c r="D1075" s="3">
        <f>IFERROR(__xludf.DUMMYFUNCTION("""COMPUTED_VALUE"""),430.0)</f>
        <v>430</v>
      </c>
      <c r="E1075" s="1" t="str">
        <f t="array" ref="E1075">_xlfn.XLOOKUP(A1075,Product!A:A,Product!B:B,"Bulunamadı")</f>
        <v>Tech</v>
      </c>
      <c r="F1075" s="1" t="str">
        <f t="array" ref="F1075">_xlfn.XLOOKUP(A1075,Product!A:A,Product!C:C,"Bulunamadı")</f>
        <v>Modern History</v>
      </c>
      <c r="G1075" s="2" t="str">
        <f t="array" ref="G1075">_xlfn.XLOOKUP(A1076,Product!A:A,Product!D:D,"Bulunamadı")</f>
        <v>Lighthouse Ridge Press</v>
      </c>
      <c r="H1075" s="2">
        <f t="array" ref="H1075">_xlfn.XLOOKUP(A1077,Product!A:A,Product!E:E,"Bulunamadı")</f>
        <v>4.06</v>
      </c>
      <c r="I1075" s="2" t="str">
        <f t="shared" si="1"/>
        <v>103702 - Tech - Modern History</v>
      </c>
      <c r="J1075" s="2">
        <f t="shared" si="2"/>
        <v>1745.8</v>
      </c>
      <c r="K1075" s="17">
        <f t="shared" si="3"/>
        <v>1</v>
      </c>
      <c r="L1075" s="18"/>
    </row>
    <row r="1076" hidden="1">
      <c r="A1076" s="2">
        <f>IFERROR(__xludf.DUMMYFUNCTION("""COMPUTED_VALUE"""),103696.0)</f>
        <v>103696</v>
      </c>
      <c r="B1076" s="2">
        <f>IFERROR(__xludf.DUMMYFUNCTION("""COMPUTED_VALUE"""),0.0)</f>
        <v>0</v>
      </c>
      <c r="C1076" s="2">
        <f>IFERROR(__xludf.DUMMYFUNCTION("""COMPUTED_VALUE"""),216.0)</f>
        <v>216</v>
      </c>
      <c r="D1076" s="3">
        <f>IFERROR(__xludf.DUMMYFUNCTION("""COMPUTED_VALUE"""),164.0)</f>
        <v>164</v>
      </c>
      <c r="E1076" s="1" t="str">
        <f t="array" ref="E1076">_xlfn.XLOOKUP(A1076,Product!A:A,Product!B:B,"Bulunamadı")</f>
        <v>Tech</v>
      </c>
      <c r="F1076" s="1" t="str">
        <f t="array" ref="F1076">_xlfn.XLOOKUP(A1076,Product!A:A,Product!C:C,"Bulunamadı")</f>
        <v>Modern History</v>
      </c>
      <c r="G1076" s="2" t="str">
        <f t="array" ref="G1076">_xlfn.XLOOKUP(A1077,Product!A:A,Product!D:D,"Bulunamadı")</f>
        <v>Lighthouse Ridge Press</v>
      </c>
      <c r="H1076" s="2">
        <f t="array" ref="H1076">_xlfn.XLOOKUP(A1078,Product!A:A,Product!E:E,"Bulunamadı")</f>
        <v>1.66</v>
      </c>
      <c r="I1076" s="2" t="str">
        <f t="shared" si="1"/>
        <v>103696 - Tech - Modern History</v>
      </c>
      <c r="J1076" s="2">
        <f t="shared" si="2"/>
        <v>272.24</v>
      </c>
      <c r="K1076" s="17">
        <f t="shared" si="3"/>
        <v>1</v>
      </c>
      <c r="L1076" s="18"/>
    </row>
    <row r="1077" hidden="1">
      <c r="A1077" s="2">
        <f>IFERROR(__xludf.DUMMYFUNCTION("""COMPUTED_VALUE"""),111083.0)</f>
        <v>111083</v>
      </c>
      <c r="B1077" s="2">
        <f>IFERROR(__xludf.DUMMYFUNCTION("""COMPUTED_VALUE"""),1.0)</f>
        <v>1</v>
      </c>
      <c r="C1077" s="2">
        <f>IFERROR(__xludf.DUMMYFUNCTION("""COMPUTED_VALUE"""),407.0)</f>
        <v>407</v>
      </c>
      <c r="D1077" s="3">
        <f>IFERROR(__xludf.DUMMYFUNCTION("""COMPUTED_VALUE"""),92.0)</f>
        <v>92</v>
      </c>
      <c r="E1077" s="1" t="str">
        <f t="array" ref="E1077">_xlfn.XLOOKUP(A1077,Product!A:A,Product!B:B,"Bulunamadı")</f>
        <v>Tech</v>
      </c>
      <c r="F1077" s="1" t="str">
        <f t="array" ref="F1077">_xlfn.XLOOKUP(A1077,Product!A:A,Product!C:C,"Bulunamadı")</f>
        <v>Modern History</v>
      </c>
      <c r="G1077" s="2" t="str">
        <f t="array" ref="G1077">_xlfn.XLOOKUP(A1078,Product!A:A,Product!D:D,"Bulunamadı")</f>
        <v>Blue Summit Publishing</v>
      </c>
      <c r="H1077" s="2">
        <f t="array" ref="H1077">_xlfn.XLOOKUP(A1079,Product!A:A,Product!E:E,"Bulunamadı")</f>
        <v>4.35</v>
      </c>
      <c r="I1077" s="2" t="str">
        <f t="shared" si="1"/>
        <v>111083 - Tech - Modern History</v>
      </c>
      <c r="J1077" s="2">
        <f t="shared" si="2"/>
        <v>400.2</v>
      </c>
      <c r="K1077" s="17">
        <f t="shared" si="3"/>
        <v>1</v>
      </c>
      <c r="L1077" s="18"/>
    </row>
    <row r="1078" hidden="1">
      <c r="A1078" s="2">
        <f>IFERROR(__xludf.DUMMYFUNCTION("""COMPUTED_VALUE"""),76658.0)</f>
        <v>76658</v>
      </c>
      <c r="B1078" s="2">
        <f>IFERROR(__xludf.DUMMYFUNCTION("""COMPUTED_VALUE"""),0.0)</f>
        <v>0</v>
      </c>
      <c r="C1078" s="2">
        <f>IFERROR(__xludf.DUMMYFUNCTION("""COMPUTED_VALUE"""),164.0)</f>
        <v>164</v>
      </c>
      <c r="D1078" s="3">
        <f>IFERROR(__xludf.DUMMYFUNCTION("""COMPUTED_VALUE"""),56.0)</f>
        <v>56</v>
      </c>
      <c r="E1078" s="1" t="str">
        <f t="array" ref="E1078">_xlfn.XLOOKUP(A1078,Product!A:A,Product!B:B,"Bulunamadı")</f>
        <v>Tech</v>
      </c>
      <c r="F1078" s="1" t="str">
        <f t="array" ref="F1078">_xlfn.XLOOKUP(A1078,Product!A:A,Product!C:C,"Bulunamadı")</f>
        <v>Modern History</v>
      </c>
      <c r="G1078" s="2" t="str">
        <f t="array" ref="G1078">_xlfn.XLOOKUP(A1079,Product!A:A,Product!D:D,"Bulunamadı")</f>
        <v>Blue Summit Publishing</v>
      </c>
      <c r="H1078" s="2">
        <f t="array" ref="H1078">_xlfn.XLOOKUP(A1080,Product!A:A,Product!E:E,"Bulunamadı")</f>
        <v>5.11</v>
      </c>
      <c r="I1078" s="2" t="str">
        <f t="shared" si="1"/>
        <v>76658 - Tech - Modern History</v>
      </c>
      <c r="J1078" s="2">
        <f t="shared" si="2"/>
        <v>286.16</v>
      </c>
      <c r="K1078" s="17">
        <f t="shared" si="3"/>
        <v>1</v>
      </c>
      <c r="L1078" s="18"/>
    </row>
    <row r="1079" hidden="1">
      <c r="A1079" s="2">
        <f>IFERROR(__xludf.DUMMYFUNCTION("""COMPUTED_VALUE"""),111339.0)</f>
        <v>111339</v>
      </c>
      <c r="B1079" s="2">
        <f>IFERROR(__xludf.DUMMYFUNCTION("""COMPUTED_VALUE"""),1.0)</f>
        <v>1</v>
      </c>
      <c r="C1079" s="2">
        <f>IFERROR(__xludf.DUMMYFUNCTION("""COMPUTED_VALUE"""),775.0)</f>
        <v>775</v>
      </c>
      <c r="D1079" s="3">
        <f>IFERROR(__xludf.DUMMYFUNCTION("""COMPUTED_VALUE"""),601.0)</f>
        <v>601</v>
      </c>
      <c r="E1079" s="1" t="str">
        <f t="array" ref="E1079">_xlfn.XLOOKUP(A1079,Product!A:A,Product!B:B,"Bulunamadı")</f>
        <v>Tech</v>
      </c>
      <c r="F1079" s="1" t="str">
        <f t="array" ref="F1079">_xlfn.XLOOKUP(A1079,Product!A:A,Product!C:C,"Bulunamadı")</f>
        <v>Modern History</v>
      </c>
      <c r="G1079" s="2" t="str">
        <f t="array" ref="G1079">_xlfn.XLOOKUP(A1080,Product!A:A,Product!D:D,"Bulunamadı")</f>
        <v>Blue Summit Publishing</v>
      </c>
      <c r="H1079" s="2">
        <f t="array" ref="H1079">_xlfn.XLOOKUP(A1081,Product!A:A,Product!E:E,"Bulunamadı")</f>
        <v>8.57</v>
      </c>
      <c r="I1079" s="2" t="str">
        <f t="shared" si="1"/>
        <v>111339 - Tech - Modern History</v>
      </c>
      <c r="J1079" s="2">
        <f t="shared" si="2"/>
        <v>5150.57</v>
      </c>
      <c r="K1079" s="17">
        <f t="shared" si="3"/>
        <v>1</v>
      </c>
      <c r="L1079" s="18"/>
    </row>
    <row r="1080" hidden="1">
      <c r="A1080" s="2">
        <f>IFERROR(__xludf.DUMMYFUNCTION("""COMPUTED_VALUE"""),79491.0)</f>
        <v>79491</v>
      </c>
      <c r="B1080" s="2">
        <f>IFERROR(__xludf.DUMMYFUNCTION("""COMPUTED_VALUE"""),1.0)</f>
        <v>1</v>
      </c>
      <c r="C1080" s="2">
        <f>IFERROR(__xludf.DUMMYFUNCTION("""COMPUTED_VALUE"""),96.0)</f>
        <v>96</v>
      </c>
      <c r="D1080" s="3">
        <f>IFERROR(__xludf.DUMMYFUNCTION("""COMPUTED_VALUE"""),33.0)</f>
        <v>33</v>
      </c>
      <c r="E1080" s="1" t="str">
        <f t="array" ref="E1080">_xlfn.XLOOKUP(A1080,Product!A:A,Product!B:B,"Bulunamadı")</f>
        <v>Tech</v>
      </c>
      <c r="F1080" s="1" t="str">
        <f t="array" ref="F1080">_xlfn.XLOOKUP(A1080,Product!A:A,Product!C:C,"Bulunamadı")</f>
        <v>Modern History</v>
      </c>
      <c r="G1080" s="2" t="str">
        <f t="array" ref="G1080">_xlfn.XLOOKUP(A1081,Product!A:A,Product!D:D,"Bulunamadı")</f>
        <v>Blue Summit Publishing</v>
      </c>
      <c r="H1080" s="2">
        <f t="array" ref="H1080">_xlfn.XLOOKUP(A1082,Product!A:A,Product!E:E,"Bulunamadı")</f>
        <v>4.6</v>
      </c>
      <c r="I1080" s="2" t="str">
        <f t="shared" si="1"/>
        <v>79491 - Tech - Modern History</v>
      </c>
      <c r="J1080" s="2">
        <f t="shared" si="2"/>
        <v>151.8</v>
      </c>
      <c r="K1080" s="17">
        <f t="shared" si="3"/>
        <v>1</v>
      </c>
      <c r="L1080" s="18"/>
    </row>
    <row r="1081" hidden="1">
      <c r="A1081" s="2">
        <f>IFERROR(__xludf.DUMMYFUNCTION("""COMPUTED_VALUE"""),110380.0)</f>
        <v>110380</v>
      </c>
      <c r="B1081" s="2">
        <f>IFERROR(__xludf.DUMMYFUNCTION("""COMPUTED_VALUE"""),1.0)</f>
        <v>1</v>
      </c>
      <c r="C1081" s="2">
        <f>IFERROR(__xludf.DUMMYFUNCTION("""COMPUTED_VALUE"""),915.0)</f>
        <v>915</v>
      </c>
      <c r="D1081" s="3">
        <f>IFERROR(__xludf.DUMMYFUNCTION("""COMPUTED_VALUE"""),422.0)</f>
        <v>422</v>
      </c>
      <c r="E1081" s="1" t="str">
        <f t="array" ref="E1081">_xlfn.XLOOKUP(A1081,Product!A:A,Product!B:B,"Bulunamadı")</f>
        <v>Tech</v>
      </c>
      <c r="F1081" s="1" t="str">
        <f t="array" ref="F1081">_xlfn.XLOOKUP(A1081,Product!A:A,Product!C:C,"Bulunamadı")</f>
        <v>Modern History</v>
      </c>
      <c r="G1081" s="2" t="str">
        <f t="array" ref="G1081">_xlfn.XLOOKUP(A1082,Product!A:A,Product!D:D,"Bulunamadı")</f>
        <v>Blue Summit Publishing</v>
      </c>
      <c r="H1081" s="2">
        <f t="array" ref="H1081">_xlfn.XLOOKUP(A1083,Product!A:A,Product!E:E,"Bulunamadı")</f>
        <v>1.97</v>
      </c>
      <c r="I1081" s="2" t="str">
        <f t="shared" si="1"/>
        <v>110380 - Tech - Modern History</v>
      </c>
      <c r="J1081" s="2">
        <f t="shared" si="2"/>
        <v>831.34</v>
      </c>
      <c r="K1081" s="17">
        <f t="shared" si="3"/>
        <v>1</v>
      </c>
      <c r="L1081" s="18"/>
    </row>
    <row r="1082" hidden="1">
      <c r="A1082" s="2">
        <f>IFERROR(__xludf.DUMMYFUNCTION("""COMPUTED_VALUE"""),111341.0)</f>
        <v>111341</v>
      </c>
      <c r="B1082" s="2">
        <f>IFERROR(__xludf.DUMMYFUNCTION("""COMPUTED_VALUE"""),1.0)</f>
        <v>1</v>
      </c>
      <c r="C1082" s="2">
        <f>IFERROR(__xludf.DUMMYFUNCTION("""COMPUTED_VALUE"""),616.0)</f>
        <v>616</v>
      </c>
      <c r="D1082" s="3">
        <f>IFERROR(__xludf.DUMMYFUNCTION("""COMPUTED_VALUE"""),464.0)</f>
        <v>464</v>
      </c>
      <c r="E1082" s="1" t="str">
        <f t="array" ref="E1082">_xlfn.XLOOKUP(A1082,Product!A:A,Product!B:B,"Bulunamadı")</f>
        <v>Tech</v>
      </c>
      <c r="F1082" s="1" t="str">
        <f t="array" ref="F1082">_xlfn.XLOOKUP(A1082,Product!A:A,Product!C:C,"Bulunamadı")</f>
        <v>Modern History</v>
      </c>
      <c r="G1082" s="2" t="str">
        <f t="array" ref="G1082">_xlfn.XLOOKUP(A1083,Product!A:A,Product!D:D,"Bulunamadı")</f>
        <v>Blue Summit Publishing</v>
      </c>
      <c r="H1082" s="2">
        <f t="array" ref="H1082">_xlfn.XLOOKUP(A1084,Product!A:A,Product!E:E,"Bulunamadı")</f>
        <v>2.91</v>
      </c>
      <c r="I1082" s="2" t="str">
        <f t="shared" si="1"/>
        <v>111341 - Tech - Modern History</v>
      </c>
      <c r="J1082" s="2">
        <f t="shared" si="2"/>
        <v>1350.24</v>
      </c>
      <c r="K1082" s="17">
        <f t="shared" si="3"/>
        <v>1</v>
      </c>
      <c r="L1082" s="18"/>
    </row>
    <row r="1083" hidden="1">
      <c r="A1083" s="2">
        <f>IFERROR(__xludf.DUMMYFUNCTION("""COMPUTED_VALUE"""),81785.0)</f>
        <v>81785</v>
      </c>
      <c r="B1083" s="2">
        <f>IFERROR(__xludf.DUMMYFUNCTION("""COMPUTED_VALUE"""),1.0)</f>
        <v>1</v>
      </c>
      <c r="C1083" s="2">
        <f>IFERROR(__xludf.DUMMYFUNCTION("""COMPUTED_VALUE"""),562.0)</f>
        <v>562</v>
      </c>
      <c r="D1083" s="3">
        <f>IFERROR(__xludf.DUMMYFUNCTION("""COMPUTED_VALUE"""),358.0)</f>
        <v>358</v>
      </c>
      <c r="E1083" s="1" t="str">
        <f t="array" ref="E1083">_xlfn.XLOOKUP(A1083,Product!A:A,Product!B:B,"Bulunamadı")</f>
        <v>Tech</v>
      </c>
      <c r="F1083" s="1" t="str">
        <f t="array" ref="F1083">_xlfn.XLOOKUP(A1083,Product!A:A,Product!C:C,"Bulunamadı")</f>
        <v>Modern History</v>
      </c>
      <c r="G1083" s="2" t="str">
        <f t="array" ref="G1083">_xlfn.XLOOKUP(A1084,Product!A:A,Product!D:D,"Bulunamadı")</f>
        <v>Blue Summit Publishing</v>
      </c>
      <c r="H1083" s="2">
        <f t="array" ref="H1083">_xlfn.XLOOKUP(A1085,Product!A:A,Product!E:E,"Bulunamadı")</f>
        <v>4.16</v>
      </c>
      <c r="I1083" s="2" t="str">
        <f t="shared" si="1"/>
        <v>81785 - Tech - Modern History</v>
      </c>
      <c r="J1083" s="2">
        <f t="shared" si="2"/>
        <v>1489.28</v>
      </c>
      <c r="K1083" s="17">
        <f t="shared" si="3"/>
        <v>1</v>
      </c>
      <c r="L1083" s="18"/>
    </row>
    <row r="1084" hidden="1">
      <c r="A1084" s="2">
        <f>IFERROR(__xludf.DUMMYFUNCTION("""COMPUTED_VALUE"""),89155.0)</f>
        <v>89155</v>
      </c>
      <c r="B1084" s="2">
        <f>IFERROR(__xludf.DUMMYFUNCTION("""COMPUTED_VALUE"""),1.0)</f>
        <v>1</v>
      </c>
      <c r="C1084" s="2">
        <f>IFERROR(__xludf.DUMMYFUNCTION("""COMPUTED_VALUE"""),706.0)</f>
        <v>706</v>
      </c>
      <c r="D1084" s="3">
        <f>IFERROR(__xludf.DUMMYFUNCTION("""COMPUTED_VALUE"""),664.0)</f>
        <v>664</v>
      </c>
      <c r="E1084" s="1" t="str">
        <f t="array" ref="E1084">_xlfn.XLOOKUP(A1084,Product!A:A,Product!B:B,"Bulunamadı")</f>
        <v>Tech</v>
      </c>
      <c r="F1084" s="1" t="str">
        <f t="array" ref="F1084">_xlfn.XLOOKUP(A1084,Product!A:A,Product!C:C,"Bulunamadı")</f>
        <v>Modern History</v>
      </c>
      <c r="G1084" s="2" t="str">
        <f t="array" ref="G1084">_xlfn.XLOOKUP(A1085,Product!A:A,Product!D:D,"Bulunamadı")</f>
        <v>Timber Creek Books</v>
      </c>
      <c r="H1084" s="2">
        <f t="array" ref="H1084">_xlfn.XLOOKUP(A1086,Product!A:A,Product!E:E,"Bulunamadı")</f>
        <v>2.48</v>
      </c>
      <c r="I1084" s="2" t="str">
        <f t="shared" si="1"/>
        <v>89155 - Tech - Modern History</v>
      </c>
      <c r="J1084" s="2">
        <f t="shared" si="2"/>
        <v>1646.72</v>
      </c>
      <c r="K1084" s="17">
        <f t="shared" si="3"/>
        <v>1</v>
      </c>
      <c r="L1084" s="18"/>
    </row>
    <row r="1085" hidden="1">
      <c r="A1085" s="2">
        <f>IFERROR(__xludf.DUMMYFUNCTION("""COMPUTED_VALUE"""),90253.0)</f>
        <v>90253</v>
      </c>
      <c r="B1085" s="2">
        <f>IFERROR(__xludf.DUMMYFUNCTION("""COMPUTED_VALUE"""),0.0)</f>
        <v>0</v>
      </c>
      <c r="C1085" s="2">
        <f>IFERROR(__xludf.DUMMYFUNCTION("""COMPUTED_VALUE"""),205.0)</f>
        <v>205</v>
      </c>
      <c r="D1085" s="3">
        <f>IFERROR(__xludf.DUMMYFUNCTION("""COMPUTED_VALUE"""),93.0)</f>
        <v>93</v>
      </c>
      <c r="E1085" s="1" t="str">
        <f t="array" ref="E1085">_xlfn.XLOOKUP(A1085,Product!A:A,Product!B:B,"Bulunamadı")</f>
        <v>Tech</v>
      </c>
      <c r="F1085" s="1" t="str">
        <f t="array" ref="F1085">_xlfn.XLOOKUP(A1085,Product!A:A,Product!C:C,"Bulunamadı")</f>
        <v>Modern History</v>
      </c>
      <c r="G1085" s="2" t="str">
        <f t="array" ref="G1085">_xlfn.XLOOKUP(A1086,Product!A:A,Product!D:D,"Bulunamadı")</f>
        <v>Crystal Peak Press</v>
      </c>
      <c r="H1085" s="2">
        <f t="array" ref="H1085">_xlfn.XLOOKUP(A1087,Product!A:A,Product!E:E,"Bulunamadı")</f>
        <v>3.89</v>
      </c>
      <c r="I1085" s="2" t="str">
        <f t="shared" si="1"/>
        <v>90253 - Tech - Modern History</v>
      </c>
      <c r="J1085" s="2">
        <f t="shared" si="2"/>
        <v>361.77</v>
      </c>
      <c r="K1085" s="17">
        <f t="shared" si="3"/>
        <v>1</v>
      </c>
      <c r="L1085" s="18"/>
    </row>
    <row r="1086" hidden="1">
      <c r="A1086" s="2">
        <f>IFERROR(__xludf.DUMMYFUNCTION("""COMPUTED_VALUE"""),119544.0)</f>
        <v>119544</v>
      </c>
      <c r="B1086" s="2">
        <f>IFERROR(__xludf.DUMMYFUNCTION("""COMPUTED_VALUE"""),0.0)</f>
        <v>0</v>
      </c>
      <c r="C1086" s="2">
        <f>IFERROR(__xludf.DUMMYFUNCTION("""COMPUTED_VALUE"""),56.0)</f>
        <v>56</v>
      </c>
      <c r="D1086" s="3">
        <f>IFERROR(__xludf.DUMMYFUNCTION("""COMPUTED_VALUE"""),42.0)</f>
        <v>42</v>
      </c>
      <c r="E1086" s="1" t="str">
        <f t="array" ref="E1086">_xlfn.XLOOKUP(A1086,Product!A:A,Product!B:B,"Bulunamadı")</f>
        <v>Tech</v>
      </c>
      <c r="F1086" s="1" t="str">
        <f t="array" ref="F1086">_xlfn.XLOOKUP(A1086,Product!A:A,Product!C:C,"Bulunamadı")</f>
        <v>Modern History</v>
      </c>
      <c r="G1086" s="2" t="str">
        <f t="array" ref="G1086">_xlfn.XLOOKUP(A1087,Product!A:A,Product!D:D,"Bulunamadı")</f>
        <v>Crystal Peak Press</v>
      </c>
      <c r="H1086" s="2">
        <f t="array" ref="H1086">_xlfn.XLOOKUP(A1088,Product!A:A,Product!E:E,"Bulunamadı")</f>
        <v>2.24</v>
      </c>
      <c r="I1086" s="2" t="str">
        <f t="shared" si="1"/>
        <v>119544 - Tech - Modern History</v>
      </c>
      <c r="J1086" s="2">
        <f t="shared" si="2"/>
        <v>94.08</v>
      </c>
      <c r="K1086" s="17">
        <f t="shared" si="3"/>
        <v>1</v>
      </c>
      <c r="L1086" s="18"/>
    </row>
    <row r="1087" hidden="1">
      <c r="A1087" s="2">
        <f>IFERROR(__xludf.DUMMYFUNCTION("""COMPUTED_VALUE"""),108675.0)</f>
        <v>108675</v>
      </c>
      <c r="B1087" s="2">
        <f>IFERROR(__xludf.DUMMYFUNCTION("""COMPUTED_VALUE"""),1.0)</f>
        <v>1</v>
      </c>
      <c r="C1087" s="2">
        <f>IFERROR(__xludf.DUMMYFUNCTION("""COMPUTED_VALUE"""),88.0)</f>
        <v>88</v>
      </c>
      <c r="D1087" s="3">
        <f>IFERROR(__xludf.DUMMYFUNCTION("""COMPUTED_VALUE"""),29.0)</f>
        <v>29</v>
      </c>
      <c r="E1087" s="1" t="str">
        <f t="array" ref="E1087">_xlfn.XLOOKUP(A1087,Product!A:A,Product!B:B,"Bulunamadı")</f>
        <v>Tech</v>
      </c>
      <c r="F1087" s="1" t="str">
        <f t="array" ref="F1087">_xlfn.XLOOKUP(A1087,Product!A:A,Product!C:C,"Bulunamadı")</f>
        <v>Modern History</v>
      </c>
      <c r="G1087" s="2" t="str">
        <f t="array" ref="G1087">_xlfn.XLOOKUP(A1088,Product!A:A,Product!D:D,"Bulunamadı")</f>
        <v>Crystal Peak Press</v>
      </c>
      <c r="H1087" s="2">
        <f t="array" ref="H1087">_xlfn.XLOOKUP(A1089,Product!A:A,Product!E:E,"Bulunamadı")</f>
        <v>6.45</v>
      </c>
      <c r="I1087" s="2" t="str">
        <f t="shared" si="1"/>
        <v>108675 - Tech - Modern History</v>
      </c>
      <c r="J1087" s="2">
        <f t="shared" si="2"/>
        <v>187.05</v>
      </c>
      <c r="K1087" s="17">
        <f t="shared" si="3"/>
        <v>1</v>
      </c>
      <c r="L1087" s="18"/>
    </row>
    <row r="1088" hidden="1">
      <c r="A1088" s="2">
        <f>IFERROR(__xludf.DUMMYFUNCTION("""COMPUTED_VALUE"""),119542.0)</f>
        <v>119542</v>
      </c>
      <c r="B1088" s="2">
        <f>IFERROR(__xludf.DUMMYFUNCTION("""COMPUTED_VALUE"""),0.0)</f>
        <v>0</v>
      </c>
      <c r="C1088" s="2">
        <f>IFERROR(__xludf.DUMMYFUNCTION("""COMPUTED_VALUE"""),36.0)</f>
        <v>36</v>
      </c>
      <c r="D1088" s="3">
        <f>IFERROR(__xludf.DUMMYFUNCTION("""COMPUTED_VALUE"""),7.0)</f>
        <v>7</v>
      </c>
      <c r="E1088" s="1" t="str">
        <f t="array" ref="E1088">_xlfn.XLOOKUP(A1088,Product!A:A,Product!B:B,"Bulunamadı")</f>
        <v>Tech</v>
      </c>
      <c r="F1088" s="1" t="str">
        <f t="array" ref="F1088">_xlfn.XLOOKUP(A1088,Product!A:A,Product!C:C,"Bulunamadı")</f>
        <v>Modern History</v>
      </c>
      <c r="G1088" s="2" t="str">
        <f t="array" ref="G1088">_xlfn.XLOOKUP(A1089,Product!A:A,Product!D:D,"Bulunamadı")</f>
        <v>Crystal Peak Press</v>
      </c>
      <c r="H1088" s="2">
        <f t="array" ref="H1088">_xlfn.XLOOKUP(A1090,Product!A:A,Product!E:E,"Bulunamadı")</f>
        <v>1.21</v>
      </c>
      <c r="I1088" s="2" t="str">
        <f t="shared" si="1"/>
        <v>119542 - Tech - Modern History</v>
      </c>
      <c r="J1088" s="2">
        <f t="shared" si="2"/>
        <v>8.47</v>
      </c>
      <c r="K1088" s="17">
        <f t="shared" si="3"/>
        <v>1</v>
      </c>
      <c r="L1088" s="18"/>
    </row>
    <row r="1089" hidden="1">
      <c r="A1089" s="2">
        <f>IFERROR(__xludf.DUMMYFUNCTION("""COMPUTED_VALUE"""),30752.0)</f>
        <v>30752</v>
      </c>
      <c r="B1089" s="2">
        <f>IFERROR(__xludf.DUMMYFUNCTION("""COMPUTED_VALUE"""),1.0)</f>
        <v>1</v>
      </c>
      <c r="C1089" s="2">
        <f>IFERROR(__xludf.DUMMYFUNCTION("""COMPUTED_VALUE"""),974.0)</f>
        <v>974</v>
      </c>
      <c r="D1089" s="3">
        <f>IFERROR(__xludf.DUMMYFUNCTION("""COMPUTED_VALUE"""),546.0)</f>
        <v>546</v>
      </c>
      <c r="E1089" s="1" t="str">
        <f t="array" ref="E1089">_xlfn.XLOOKUP(A1089,Product!A:A,Product!B:B,"Bulunamadı")</f>
        <v>Tech</v>
      </c>
      <c r="F1089" s="1" t="str">
        <f t="array" ref="F1089">_xlfn.XLOOKUP(A1089,Product!A:A,Product!C:C,"Bulunamadı")</f>
        <v>Modern History</v>
      </c>
      <c r="G1089" s="2" t="str">
        <f t="array" ref="G1089">_xlfn.XLOOKUP(A1090,Product!A:A,Product!D:D,"Bulunamadı")</f>
        <v>Westwind Publishing</v>
      </c>
      <c r="H1089" s="2">
        <f t="array" ref="H1089">_xlfn.XLOOKUP(A1091,Product!A:A,Product!E:E,"Bulunamadı")</f>
        <v>1.02</v>
      </c>
      <c r="I1089" s="2" t="str">
        <f t="shared" si="1"/>
        <v>30752 - Tech - Modern History</v>
      </c>
      <c r="J1089" s="2">
        <f t="shared" si="2"/>
        <v>556.92</v>
      </c>
      <c r="K1089" s="17">
        <f t="shared" si="3"/>
        <v>1</v>
      </c>
      <c r="L1089" s="18"/>
    </row>
    <row r="1090" hidden="1">
      <c r="A1090" s="2">
        <f>IFERROR(__xludf.DUMMYFUNCTION("""COMPUTED_VALUE"""),116180.0)</f>
        <v>116180</v>
      </c>
      <c r="B1090" s="2">
        <f>IFERROR(__xludf.DUMMYFUNCTION("""COMPUTED_VALUE"""),0.0)</f>
        <v>0</v>
      </c>
      <c r="C1090" s="2">
        <f>IFERROR(__xludf.DUMMYFUNCTION("""COMPUTED_VALUE"""),908.0)</f>
        <v>908</v>
      </c>
      <c r="D1090" s="3">
        <f>IFERROR(__xludf.DUMMYFUNCTION("""COMPUTED_VALUE"""),735.0)</f>
        <v>735</v>
      </c>
      <c r="E1090" s="1" t="str">
        <f t="array" ref="E1090">_xlfn.XLOOKUP(A1090,Product!A:A,Product!B:B,"Bulunamadı")</f>
        <v>Law</v>
      </c>
      <c r="F1090" s="1" t="str">
        <f t="array" ref="F1090">_xlfn.XLOOKUP(A1090,Product!A:A,Product!C:C,"Bulunamadı")</f>
        <v>World War I</v>
      </c>
      <c r="G1090" s="2" t="str">
        <f t="array" ref="G1090">_xlfn.XLOOKUP(A1091,Product!A:A,Product!D:D,"Bulunamadı")</f>
        <v>Westwind Publishing</v>
      </c>
      <c r="H1090" s="2">
        <f t="array" ref="H1090">_xlfn.XLOOKUP(A1092,Product!A:A,Product!E:E,"Bulunamadı")</f>
        <v>1.82</v>
      </c>
      <c r="I1090" s="2" t="str">
        <f t="shared" si="1"/>
        <v>116180 - Law - World War I</v>
      </c>
      <c r="J1090" s="2">
        <f t="shared" si="2"/>
        <v>1337.7</v>
      </c>
      <c r="K1090" s="17">
        <f t="shared" si="3"/>
        <v>1</v>
      </c>
      <c r="L1090" s="18"/>
    </row>
    <row r="1091" hidden="1">
      <c r="A1091" s="2">
        <f>IFERROR(__xludf.DUMMYFUNCTION("""COMPUTED_VALUE"""),96953.0)</f>
        <v>96953</v>
      </c>
      <c r="B1091" s="2">
        <f>IFERROR(__xludf.DUMMYFUNCTION("""COMPUTED_VALUE"""),1.0)</f>
        <v>1</v>
      </c>
      <c r="C1091" s="2">
        <f>IFERROR(__xludf.DUMMYFUNCTION("""COMPUTED_VALUE"""),73.0)</f>
        <v>73</v>
      </c>
      <c r="D1091" s="3">
        <f>IFERROR(__xludf.DUMMYFUNCTION("""COMPUTED_VALUE"""),46.0)</f>
        <v>46</v>
      </c>
      <c r="E1091" s="1" t="str">
        <f t="array" ref="E1091">_xlfn.XLOOKUP(A1091,Product!A:A,Product!B:B,"Bulunamadı")</f>
        <v>Law</v>
      </c>
      <c r="F1091" s="1" t="str">
        <f t="array" ref="F1091">_xlfn.XLOOKUP(A1091,Product!A:A,Product!C:C,"Bulunamadı")</f>
        <v>World War I</v>
      </c>
      <c r="G1091" s="2" t="str">
        <f t="array" ref="G1091">_xlfn.XLOOKUP(A1092,Product!A:A,Product!D:D,"Bulunamadı")</f>
        <v>Westwind Publishing</v>
      </c>
      <c r="H1091" s="2">
        <f t="array" ref="H1091">_xlfn.XLOOKUP(A1093,Product!A:A,Product!E:E,"Bulunamadı")</f>
        <v>1.15</v>
      </c>
      <c r="I1091" s="2" t="str">
        <f t="shared" si="1"/>
        <v>96953 - Law - World War I</v>
      </c>
      <c r="J1091" s="2">
        <f t="shared" si="2"/>
        <v>52.9</v>
      </c>
      <c r="K1091" s="17">
        <f t="shared" si="3"/>
        <v>1</v>
      </c>
      <c r="L1091" s="18"/>
    </row>
    <row r="1092" hidden="1">
      <c r="A1092" s="2">
        <f>IFERROR(__xludf.DUMMYFUNCTION("""COMPUTED_VALUE"""),118303.0)</f>
        <v>118303</v>
      </c>
      <c r="B1092" s="2">
        <f>IFERROR(__xludf.DUMMYFUNCTION("""COMPUTED_VALUE"""),0.0)</f>
        <v>0</v>
      </c>
      <c r="C1092" s="2">
        <f>IFERROR(__xludf.DUMMYFUNCTION("""COMPUTED_VALUE"""),992.0)</f>
        <v>992</v>
      </c>
      <c r="D1092" s="3">
        <f>IFERROR(__xludf.DUMMYFUNCTION("""COMPUTED_VALUE"""),143.0)</f>
        <v>143</v>
      </c>
      <c r="E1092" s="1" t="str">
        <f t="array" ref="E1092">_xlfn.XLOOKUP(A1092,Product!A:A,Product!B:B,"Bulunamadı")</f>
        <v>Law</v>
      </c>
      <c r="F1092" s="1" t="str">
        <f t="array" ref="F1092">_xlfn.XLOOKUP(A1092,Product!A:A,Product!C:C,"Bulunamadı")</f>
        <v>World War I</v>
      </c>
      <c r="G1092" s="2" t="str">
        <f t="array" ref="G1092">_xlfn.XLOOKUP(A1093,Product!A:A,Product!D:D,"Bulunamadı")</f>
        <v>Westwind Publishing</v>
      </c>
      <c r="H1092" s="2">
        <f t="array" ref="H1092">_xlfn.XLOOKUP(A1094,Product!A:A,Product!E:E,"Bulunamadı")</f>
        <v>0.92</v>
      </c>
      <c r="I1092" s="2" t="str">
        <f t="shared" si="1"/>
        <v>118303 - Law - World War I</v>
      </c>
      <c r="J1092" s="2">
        <f t="shared" si="2"/>
        <v>131.56</v>
      </c>
      <c r="K1092" s="17">
        <f t="shared" si="3"/>
        <v>1</v>
      </c>
      <c r="L1092" s="18"/>
    </row>
    <row r="1093" hidden="1">
      <c r="A1093" s="2">
        <f>IFERROR(__xludf.DUMMYFUNCTION("""COMPUTED_VALUE"""),117222.0)</f>
        <v>117222</v>
      </c>
      <c r="B1093" s="2">
        <f>IFERROR(__xludf.DUMMYFUNCTION("""COMPUTED_VALUE"""),1.0)</f>
        <v>1</v>
      </c>
      <c r="C1093" s="2">
        <f>IFERROR(__xludf.DUMMYFUNCTION("""COMPUTED_VALUE"""),659.0)</f>
        <v>659</v>
      </c>
      <c r="D1093" s="3">
        <f>IFERROR(__xludf.DUMMYFUNCTION("""COMPUTED_VALUE"""),432.0)</f>
        <v>432</v>
      </c>
      <c r="E1093" s="1" t="str">
        <f t="array" ref="E1093">_xlfn.XLOOKUP(A1093,Product!A:A,Product!B:B,"Bulunamadı")</f>
        <v>Law</v>
      </c>
      <c r="F1093" s="1" t="str">
        <f t="array" ref="F1093">_xlfn.XLOOKUP(A1093,Product!A:A,Product!C:C,"Bulunamadı")</f>
        <v>World War I</v>
      </c>
      <c r="G1093" s="2" t="str">
        <f t="array" ref="G1093">_xlfn.XLOOKUP(A1094,Product!A:A,Product!D:D,"Bulunamadı")</f>
        <v>Westwind Publishing</v>
      </c>
      <c r="H1093" s="2">
        <f t="array" ref="H1093">_xlfn.XLOOKUP(A1095,Product!A:A,Product!E:E,"Bulunamadı")</f>
        <v>0.98</v>
      </c>
      <c r="I1093" s="2" t="str">
        <f t="shared" si="1"/>
        <v>117222 - Law - World War I</v>
      </c>
      <c r="J1093" s="2">
        <f t="shared" si="2"/>
        <v>423.36</v>
      </c>
      <c r="K1093" s="17">
        <f t="shared" si="3"/>
        <v>1</v>
      </c>
      <c r="L1093" s="18"/>
    </row>
    <row r="1094" hidden="1">
      <c r="A1094" s="2">
        <f>IFERROR(__xludf.DUMMYFUNCTION("""COMPUTED_VALUE"""),5620.0)</f>
        <v>5620</v>
      </c>
      <c r="B1094" s="2">
        <f>IFERROR(__xludf.DUMMYFUNCTION("""COMPUTED_VALUE"""),0.0)</f>
        <v>0</v>
      </c>
      <c r="C1094" s="2">
        <f>IFERROR(__xludf.DUMMYFUNCTION("""COMPUTED_VALUE"""),41.0)</f>
        <v>41</v>
      </c>
      <c r="D1094" s="3">
        <f>IFERROR(__xludf.DUMMYFUNCTION("""COMPUTED_VALUE"""),19.0)</f>
        <v>19</v>
      </c>
      <c r="E1094" s="1" t="str">
        <f t="array" ref="E1094">_xlfn.XLOOKUP(A1094,Product!A:A,Product!B:B,"Bulunamadı")</f>
        <v>Law</v>
      </c>
      <c r="F1094" s="1" t="str">
        <f t="array" ref="F1094">_xlfn.XLOOKUP(A1094,Product!A:A,Product!C:C,"Bulunamadı")</f>
        <v>World War I</v>
      </c>
      <c r="G1094" s="2" t="str">
        <f t="array" ref="G1094">_xlfn.XLOOKUP(A1095,Product!A:A,Product!D:D,"Bulunamadı")</f>
        <v>Westwind Publishing</v>
      </c>
      <c r="H1094" s="2">
        <f t="array" ref="H1094">_xlfn.XLOOKUP(A1096,Product!A:A,Product!E:E,"Bulunamadı")</f>
        <v>1.79</v>
      </c>
      <c r="I1094" s="2" t="str">
        <f t="shared" si="1"/>
        <v>5620 - Law - World War I</v>
      </c>
      <c r="J1094" s="2">
        <f t="shared" si="2"/>
        <v>34.01</v>
      </c>
      <c r="K1094" s="17">
        <f t="shared" si="3"/>
        <v>1</v>
      </c>
      <c r="L1094" s="18"/>
    </row>
    <row r="1095" hidden="1">
      <c r="A1095" s="2">
        <f>IFERROR(__xludf.DUMMYFUNCTION("""COMPUTED_VALUE"""),122346.0)</f>
        <v>122346</v>
      </c>
      <c r="B1095" s="2">
        <f>IFERROR(__xludf.DUMMYFUNCTION("""COMPUTED_VALUE"""),0.0)</f>
        <v>0</v>
      </c>
      <c r="C1095" s="2">
        <f>IFERROR(__xludf.DUMMYFUNCTION("""COMPUTED_VALUE"""),230.0)</f>
        <v>230</v>
      </c>
      <c r="D1095" s="3">
        <f>IFERROR(__xludf.DUMMYFUNCTION("""COMPUTED_VALUE"""),105.0)</f>
        <v>105</v>
      </c>
      <c r="E1095" s="1" t="str">
        <f t="array" ref="E1095">_xlfn.XLOOKUP(A1095,Product!A:A,Product!B:B,"Bulunamadı")</f>
        <v>Law</v>
      </c>
      <c r="F1095" s="1" t="str">
        <f t="array" ref="F1095">_xlfn.XLOOKUP(A1095,Product!A:A,Product!C:C,"Bulunamadı")</f>
        <v>World War I</v>
      </c>
      <c r="G1095" s="2" t="str">
        <f t="array" ref="G1095">_xlfn.XLOOKUP(A1096,Product!A:A,Product!D:D,"Bulunamadı")</f>
        <v>Westwind Publishing</v>
      </c>
      <c r="H1095" s="2">
        <f t="array" ref="H1095">_xlfn.XLOOKUP(A1097,Product!A:A,Product!E:E,"Bulunamadı")</f>
        <v>1.41</v>
      </c>
      <c r="I1095" s="2" t="str">
        <f t="shared" si="1"/>
        <v>122346 - Law - World War I</v>
      </c>
      <c r="J1095" s="2">
        <f t="shared" si="2"/>
        <v>148.05</v>
      </c>
      <c r="K1095" s="17">
        <f t="shared" si="3"/>
        <v>1</v>
      </c>
      <c r="L1095" s="18"/>
    </row>
    <row r="1096" hidden="1">
      <c r="A1096" s="2">
        <f>IFERROR(__xludf.DUMMYFUNCTION("""COMPUTED_VALUE"""),96968.0)</f>
        <v>96968</v>
      </c>
      <c r="B1096" s="2">
        <f>IFERROR(__xludf.DUMMYFUNCTION("""COMPUTED_VALUE"""),1.0)</f>
        <v>1</v>
      </c>
      <c r="C1096" s="2">
        <f>IFERROR(__xludf.DUMMYFUNCTION("""COMPUTED_VALUE"""),407.0)</f>
        <v>407</v>
      </c>
      <c r="D1096" s="3">
        <f>IFERROR(__xludf.DUMMYFUNCTION("""COMPUTED_VALUE"""),393.0)</f>
        <v>393</v>
      </c>
      <c r="E1096" s="1" t="str">
        <f t="array" ref="E1096">_xlfn.XLOOKUP(A1096,Product!A:A,Product!B:B,"Bulunamadı")</f>
        <v>Law</v>
      </c>
      <c r="F1096" s="1" t="str">
        <f t="array" ref="F1096">_xlfn.XLOOKUP(A1096,Product!A:A,Product!C:C,"Bulunamadı")</f>
        <v>World War I</v>
      </c>
      <c r="G1096" s="2" t="str">
        <f t="array" ref="G1096">_xlfn.XLOOKUP(A1097,Product!A:A,Product!D:D,"Bulunamadı")</f>
        <v>Westwind Publishing</v>
      </c>
      <c r="H1096" s="2">
        <f t="array" ref="H1096">_xlfn.XLOOKUP(A1098,Product!A:A,Product!E:E,"Bulunamadı")</f>
        <v>1.35</v>
      </c>
      <c r="I1096" s="2" t="str">
        <f t="shared" si="1"/>
        <v>96968 - Law - World War I</v>
      </c>
      <c r="J1096" s="2">
        <f t="shared" si="2"/>
        <v>530.55</v>
      </c>
      <c r="K1096" s="17">
        <f t="shared" si="3"/>
        <v>1</v>
      </c>
      <c r="L1096" s="18"/>
    </row>
    <row r="1097" hidden="1">
      <c r="A1097" s="2">
        <f>IFERROR(__xludf.DUMMYFUNCTION("""COMPUTED_VALUE"""),126578.0)</f>
        <v>126578</v>
      </c>
      <c r="B1097" s="2">
        <f>IFERROR(__xludf.DUMMYFUNCTION("""COMPUTED_VALUE"""),0.0)</f>
        <v>0</v>
      </c>
      <c r="C1097" s="2">
        <f>IFERROR(__xludf.DUMMYFUNCTION("""COMPUTED_VALUE"""),614.0)</f>
        <v>614</v>
      </c>
      <c r="D1097" s="3">
        <f>IFERROR(__xludf.DUMMYFUNCTION("""COMPUTED_VALUE"""),356.0)</f>
        <v>356</v>
      </c>
      <c r="E1097" s="1" t="str">
        <f t="array" ref="E1097">_xlfn.XLOOKUP(A1097,Product!A:A,Product!B:B,"Bulunamadı")</f>
        <v>Law</v>
      </c>
      <c r="F1097" s="1" t="str">
        <f t="array" ref="F1097">_xlfn.XLOOKUP(A1097,Product!A:A,Product!C:C,"Bulunamadı")</f>
        <v>World War I</v>
      </c>
      <c r="G1097" s="2" t="str">
        <f t="array" ref="G1097">_xlfn.XLOOKUP(A1098,Product!A:A,Product!D:D,"Bulunamadı")</f>
        <v>Westwind Publishing</v>
      </c>
      <c r="H1097" s="2">
        <f t="array" ref="H1097">_xlfn.XLOOKUP(A1099,Product!A:A,Product!E:E,"Bulunamadı")</f>
        <v>1.13</v>
      </c>
      <c r="I1097" s="2" t="str">
        <f t="shared" si="1"/>
        <v>126578 - Law - World War I</v>
      </c>
      <c r="J1097" s="2">
        <f t="shared" si="2"/>
        <v>402.28</v>
      </c>
      <c r="K1097" s="17">
        <f t="shared" si="3"/>
        <v>1</v>
      </c>
      <c r="L1097" s="18"/>
    </row>
    <row r="1098" hidden="1">
      <c r="A1098" s="2">
        <f>IFERROR(__xludf.DUMMYFUNCTION("""COMPUTED_VALUE"""),126581.0)</f>
        <v>126581</v>
      </c>
      <c r="B1098" s="2">
        <f>IFERROR(__xludf.DUMMYFUNCTION("""COMPUTED_VALUE"""),0.0)</f>
        <v>0</v>
      </c>
      <c r="C1098" s="2">
        <f>IFERROR(__xludf.DUMMYFUNCTION("""COMPUTED_VALUE"""),516.0)</f>
        <v>516</v>
      </c>
      <c r="D1098" s="3">
        <f>IFERROR(__xludf.DUMMYFUNCTION("""COMPUTED_VALUE"""),285.0)</f>
        <v>285</v>
      </c>
      <c r="E1098" s="1" t="str">
        <f t="array" ref="E1098">_xlfn.XLOOKUP(A1098,Product!A:A,Product!B:B,"Bulunamadı")</f>
        <v>Law</v>
      </c>
      <c r="F1098" s="1" t="str">
        <f t="array" ref="F1098">_xlfn.XLOOKUP(A1098,Product!A:A,Product!C:C,"Bulunamadı")</f>
        <v>World War I</v>
      </c>
      <c r="G1098" s="2" t="str">
        <f t="array" ref="G1098">_xlfn.XLOOKUP(A1099,Product!A:A,Product!D:D,"Bulunamadı")</f>
        <v>Westwind Publishing</v>
      </c>
      <c r="H1098" s="2">
        <f t="array" ref="H1098">_xlfn.XLOOKUP(A1100,Product!A:A,Product!E:E,"Bulunamadı")</f>
        <v>0.66</v>
      </c>
      <c r="I1098" s="2" t="str">
        <f t="shared" si="1"/>
        <v>126581 - Law - World War I</v>
      </c>
      <c r="J1098" s="2">
        <f t="shared" si="2"/>
        <v>188.1</v>
      </c>
      <c r="K1098" s="17">
        <f t="shared" si="3"/>
        <v>1</v>
      </c>
      <c r="L1098" s="18"/>
    </row>
    <row r="1099" hidden="1">
      <c r="A1099" s="2">
        <f>IFERROR(__xludf.DUMMYFUNCTION("""COMPUTED_VALUE"""),96956.0)</f>
        <v>96956</v>
      </c>
      <c r="B1099" s="2">
        <f>IFERROR(__xludf.DUMMYFUNCTION("""COMPUTED_VALUE"""),0.0)</f>
        <v>0</v>
      </c>
      <c r="C1099" s="2">
        <f>IFERROR(__xludf.DUMMYFUNCTION("""COMPUTED_VALUE"""),28.0)</f>
        <v>28</v>
      </c>
      <c r="D1099" s="3">
        <f>IFERROR(__xludf.DUMMYFUNCTION("""COMPUTED_VALUE"""),19.0)</f>
        <v>19</v>
      </c>
      <c r="E1099" s="1" t="str">
        <f t="array" ref="E1099">_xlfn.XLOOKUP(A1099,Product!A:A,Product!B:B,"Bulunamadı")</f>
        <v>Law</v>
      </c>
      <c r="F1099" s="1" t="str">
        <f t="array" ref="F1099">_xlfn.XLOOKUP(A1099,Product!A:A,Product!C:C,"Bulunamadı")</f>
        <v>World War I</v>
      </c>
      <c r="G1099" s="2" t="str">
        <f t="array" ref="G1099">_xlfn.XLOOKUP(A1100,Product!A:A,Product!D:D,"Bulunamadı")</f>
        <v>Westwind Publishing</v>
      </c>
      <c r="H1099" s="2">
        <f t="array" ref="H1099">_xlfn.XLOOKUP(A1101,Product!A:A,Product!E:E,"Bulunamadı")</f>
        <v>1.37</v>
      </c>
      <c r="I1099" s="2" t="str">
        <f t="shared" si="1"/>
        <v>96956 - Law - World War I</v>
      </c>
      <c r="J1099" s="2">
        <f t="shared" si="2"/>
        <v>26.03</v>
      </c>
      <c r="K1099" s="17">
        <f t="shared" si="3"/>
        <v>1</v>
      </c>
      <c r="L1099" s="18"/>
    </row>
    <row r="1100" hidden="1">
      <c r="A1100" s="2">
        <f>IFERROR(__xludf.DUMMYFUNCTION("""COMPUTED_VALUE"""),116774.0)</f>
        <v>116774</v>
      </c>
      <c r="B1100" s="2">
        <f>IFERROR(__xludf.DUMMYFUNCTION("""COMPUTED_VALUE"""),1.0)</f>
        <v>1</v>
      </c>
      <c r="C1100" s="2">
        <f>IFERROR(__xludf.DUMMYFUNCTION("""COMPUTED_VALUE"""),363.0)</f>
        <v>363</v>
      </c>
      <c r="D1100" s="3">
        <f>IFERROR(__xludf.DUMMYFUNCTION("""COMPUTED_VALUE"""),254.0)</f>
        <v>254</v>
      </c>
      <c r="E1100" s="1" t="str">
        <f t="array" ref="E1100">_xlfn.XLOOKUP(A1100,Product!A:A,Product!B:B,"Bulunamadı")</f>
        <v>Law</v>
      </c>
      <c r="F1100" s="1" t="str">
        <f t="array" ref="F1100">_xlfn.XLOOKUP(A1100,Product!A:A,Product!C:C,"Bulunamadı")</f>
        <v>World War I</v>
      </c>
      <c r="G1100" s="2" t="str">
        <f t="array" ref="G1100">_xlfn.XLOOKUP(A1101,Product!A:A,Product!D:D,"Bulunamadı")</f>
        <v>Westwind Publishing</v>
      </c>
      <c r="H1100" s="2">
        <f t="array" ref="H1100">_xlfn.XLOOKUP(A1102,Product!A:A,Product!E:E,"Bulunamadı")</f>
        <v>0.77</v>
      </c>
      <c r="I1100" s="2" t="str">
        <f t="shared" si="1"/>
        <v>116774 - Law - World War I</v>
      </c>
      <c r="J1100" s="2">
        <f t="shared" si="2"/>
        <v>195.58</v>
      </c>
      <c r="K1100" s="17">
        <f t="shared" si="3"/>
        <v>1</v>
      </c>
      <c r="L1100" s="18"/>
    </row>
    <row r="1101" hidden="1">
      <c r="A1101" s="2">
        <f>IFERROR(__xludf.DUMMYFUNCTION("""COMPUTED_VALUE"""),147293.0)</f>
        <v>147293</v>
      </c>
      <c r="B1101" s="2">
        <f>IFERROR(__xludf.DUMMYFUNCTION("""COMPUTED_VALUE"""),1.0)</f>
        <v>1</v>
      </c>
      <c r="C1101" s="2">
        <f>IFERROR(__xludf.DUMMYFUNCTION("""COMPUTED_VALUE"""),768.0)</f>
        <v>768</v>
      </c>
      <c r="D1101" s="3">
        <f>IFERROR(__xludf.DUMMYFUNCTION("""COMPUTED_VALUE"""),705.0)</f>
        <v>705</v>
      </c>
      <c r="E1101" s="1" t="str">
        <f t="array" ref="E1101">_xlfn.XLOOKUP(A1101,Product!A:A,Product!B:B,"Bulunamadı")</f>
        <v>Law</v>
      </c>
      <c r="F1101" s="1" t="str">
        <f t="array" ref="F1101">_xlfn.XLOOKUP(A1101,Product!A:A,Product!C:C,"Bulunamadı")</f>
        <v>World War I</v>
      </c>
      <c r="G1101" s="2" t="str">
        <f t="array" ref="G1101">_xlfn.XLOOKUP(A1102,Product!A:A,Product!D:D,"Bulunamadı")</f>
        <v>Westwind Publishing</v>
      </c>
      <c r="H1101" s="2">
        <f t="array" ref="H1101">_xlfn.XLOOKUP(A1103,Product!A:A,Product!E:E,"Bulunamadı")</f>
        <v>1.34</v>
      </c>
      <c r="I1101" s="2" t="str">
        <f t="shared" si="1"/>
        <v>147293 - Law - World War I</v>
      </c>
      <c r="J1101" s="2">
        <f t="shared" si="2"/>
        <v>944.7</v>
      </c>
      <c r="K1101" s="17">
        <f t="shared" si="3"/>
        <v>1</v>
      </c>
      <c r="L1101" s="18"/>
    </row>
    <row r="1102" hidden="1">
      <c r="A1102" s="2">
        <f>IFERROR(__xludf.DUMMYFUNCTION("""COMPUTED_VALUE"""),119228.0)</f>
        <v>119228</v>
      </c>
      <c r="B1102" s="2">
        <f>IFERROR(__xludf.DUMMYFUNCTION("""COMPUTED_VALUE"""),1.0)</f>
        <v>1</v>
      </c>
      <c r="C1102" s="2">
        <f>IFERROR(__xludf.DUMMYFUNCTION("""COMPUTED_VALUE"""),524.0)</f>
        <v>524</v>
      </c>
      <c r="D1102" s="3">
        <f>IFERROR(__xludf.DUMMYFUNCTION("""COMPUTED_VALUE"""),270.0)</f>
        <v>270</v>
      </c>
      <c r="E1102" s="1" t="str">
        <f t="array" ref="E1102">_xlfn.XLOOKUP(A1102,Product!A:A,Product!B:B,"Bulunamadı")</f>
        <v>Law</v>
      </c>
      <c r="F1102" s="1" t="str">
        <f t="array" ref="F1102">_xlfn.XLOOKUP(A1102,Product!A:A,Product!C:C,"Bulunamadı")</f>
        <v>World War I</v>
      </c>
      <c r="G1102" s="2" t="str">
        <f t="array" ref="G1102">_xlfn.XLOOKUP(A1103,Product!A:A,Product!D:D,"Bulunamadı")</f>
        <v>Westwind Publishing</v>
      </c>
      <c r="H1102" s="2">
        <f t="array" ref="H1102">_xlfn.XLOOKUP(A1104,Product!A:A,Product!E:E,"Bulunamadı")</f>
        <v>1.03</v>
      </c>
      <c r="I1102" s="2" t="str">
        <f t="shared" si="1"/>
        <v>119228 - Law - World War I</v>
      </c>
      <c r="J1102" s="2">
        <f t="shared" si="2"/>
        <v>278.1</v>
      </c>
      <c r="K1102" s="17">
        <f t="shared" si="3"/>
        <v>1</v>
      </c>
      <c r="L1102" s="18"/>
    </row>
    <row r="1103" hidden="1">
      <c r="A1103" s="2">
        <f>IFERROR(__xludf.DUMMYFUNCTION("""COMPUTED_VALUE"""),5618.0)</f>
        <v>5618</v>
      </c>
      <c r="B1103" s="2">
        <f>IFERROR(__xludf.DUMMYFUNCTION("""COMPUTED_VALUE"""),0.0)</f>
        <v>0</v>
      </c>
      <c r="C1103" s="2">
        <f>IFERROR(__xludf.DUMMYFUNCTION("""COMPUTED_VALUE"""),962.0)</f>
        <v>962</v>
      </c>
      <c r="D1103" s="3">
        <f>IFERROR(__xludf.DUMMYFUNCTION("""COMPUTED_VALUE"""),860.0)</f>
        <v>860</v>
      </c>
      <c r="E1103" s="1" t="str">
        <f t="array" ref="E1103">_xlfn.XLOOKUP(A1103,Product!A:A,Product!B:B,"Bulunamadı")</f>
        <v>Law</v>
      </c>
      <c r="F1103" s="1" t="str">
        <f t="array" ref="F1103">_xlfn.XLOOKUP(A1103,Product!A:A,Product!C:C,"Bulunamadı")</f>
        <v>World War I</v>
      </c>
      <c r="G1103" s="2" t="str">
        <f t="array" ref="G1103">_xlfn.XLOOKUP(A1104,Product!A:A,Product!D:D,"Bulunamadı")</f>
        <v>Westwind Publishing</v>
      </c>
      <c r="H1103" s="2">
        <f t="array" ref="H1103">_xlfn.XLOOKUP(A1105,Product!A:A,Product!E:E,"Bulunamadı")</f>
        <v>1.01</v>
      </c>
      <c r="I1103" s="2" t="str">
        <f t="shared" si="1"/>
        <v>5618 - Law - World War I</v>
      </c>
      <c r="J1103" s="2">
        <f t="shared" si="2"/>
        <v>868.6</v>
      </c>
      <c r="K1103" s="17">
        <f t="shared" si="3"/>
        <v>1</v>
      </c>
      <c r="L1103" s="18"/>
    </row>
    <row r="1104" hidden="1">
      <c r="A1104" s="2">
        <f>IFERROR(__xludf.DUMMYFUNCTION("""COMPUTED_VALUE"""),126579.0)</f>
        <v>126579</v>
      </c>
      <c r="B1104" s="2">
        <f>IFERROR(__xludf.DUMMYFUNCTION("""COMPUTED_VALUE"""),1.0)</f>
        <v>1</v>
      </c>
      <c r="C1104" s="2">
        <f>IFERROR(__xludf.DUMMYFUNCTION("""COMPUTED_VALUE"""),343.0)</f>
        <v>343</v>
      </c>
      <c r="D1104" s="3">
        <f>IFERROR(__xludf.DUMMYFUNCTION("""COMPUTED_VALUE"""),341.0)</f>
        <v>341</v>
      </c>
      <c r="E1104" s="1" t="str">
        <f t="array" ref="E1104">_xlfn.XLOOKUP(A1104,Product!A:A,Product!B:B,"Bulunamadı")</f>
        <v>Law</v>
      </c>
      <c r="F1104" s="1" t="str">
        <f t="array" ref="F1104">_xlfn.XLOOKUP(A1104,Product!A:A,Product!C:C,"Bulunamadı")</f>
        <v>World War I</v>
      </c>
      <c r="G1104" s="2" t="str">
        <f t="array" ref="G1104">_xlfn.XLOOKUP(A1105,Product!A:A,Product!D:D,"Bulunamadı")</f>
        <v>Westwind Publishing</v>
      </c>
      <c r="H1104" s="2">
        <f t="array" ref="H1104">_xlfn.XLOOKUP(A1106,Product!A:A,Product!E:E,"Bulunamadı")</f>
        <v>1.44</v>
      </c>
      <c r="I1104" s="2" t="str">
        <f t="shared" si="1"/>
        <v>126579 - Law - World War I</v>
      </c>
      <c r="J1104" s="2">
        <f t="shared" si="2"/>
        <v>491.04</v>
      </c>
      <c r="K1104" s="17">
        <f t="shared" si="3"/>
        <v>1</v>
      </c>
      <c r="L1104" s="18"/>
    </row>
    <row r="1105" hidden="1">
      <c r="A1105" s="2">
        <f>IFERROR(__xludf.DUMMYFUNCTION("""COMPUTED_VALUE"""),117219.0)</f>
        <v>117219</v>
      </c>
      <c r="B1105" s="2">
        <f>IFERROR(__xludf.DUMMYFUNCTION("""COMPUTED_VALUE"""),1.0)</f>
        <v>1</v>
      </c>
      <c r="C1105" s="2">
        <f>IFERROR(__xludf.DUMMYFUNCTION("""COMPUTED_VALUE"""),74.0)</f>
        <v>74</v>
      </c>
      <c r="D1105" s="3">
        <f>IFERROR(__xludf.DUMMYFUNCTION("""COMPUTED_VALUE"""),25.0)</f>
        <v>25</v>
      </c>
      <c r="E1105" s="1" t="str">
        <f t="array" ref="E1105">_xlfn.XLOOKUP(A1105,Product!A:A,Product!B:B,"Bulunamadı")</f>
        <v>Law</v>
      </c>
      <c r="F1105" s="1" t="str">
        <f t="array" ref="F1105">_xlfn.XLOOKUP(A1105,Product!A:A,Product!C:C,"Bulunamadı")</f>
        <v>World War I</v>
      </c>
      <c r="G1105" s="2" t="str">
        <f t="array" ref="G1105">_xlfn.XLOOKUP(A1106,Product!A:A,Product!D:D,"Bulunamadı")</f>
        <v>Westwind Publishing</v>
      </c>
      <c r="H1105" s="2">
        <f t="array" ref="H1105">_xlfn.XLOOKUP(A1107,Product!A:A,Product!E:E,"Bulunamadı")</f>
        <v>0.58</v>
      </c>
      <c r="I1105" s="2" t="str">
        <f t="shared" si="1"/>
        <v>117219 - Law - World War I</v>
      </c>
      <c r="J1105" s="2">
        <f t="shared" si="2"/>
        <v>14.5</v>
      </c>
      <c r="K1105" s="17">
        <f t="shared" si="3"/>
        <v>1</v>
      </c>
      <c r="L1105" s="18"/>
    </row>
    <row r="1106" hidden="1">
      <c r="A1106" s="2">
        <f>IFERROR(__xludf.DUMMYFUNCTION("""COMPUTED_VALUE"""),44110.0)</f>
        <v>44110</v>
      </c>
      <c r="B1106" s="2">
        <f>IFERROR(__xludf.DUMMYFUNCTION("""COMPUTED_VALUE"""),0.0)</f>
        <v>0</v>
      </c>
      <c r="C1106" s="2">
        <f>IFERROR(__xludf.DUMMYFUNCTION("""COMPUTED_VALUE"""),821.0)</f>
        <v>821</v>
      </c>
      <c r="D1106" s="3">
        <f>IFERROR(__xludf.DUMMYFUNCTION("""COMPUTED_VALUE"""),117.0)</f>
        <v>117</v>
      </c>
      <c r="E1106" s="1" t="str">
        <f t="array" ref="E1106">_xlfn.XLOOKUP(A1106,Product!A:A,Product!B:B,"Bulunamadı")</f>
        <v>Law</v>
      </c>
      <c r="F1106" s="1" t="str">
        <f t="array" ref="F1106">_xlfn.XLOOKUP(A1106,Product!A:A,Product!C:C,"Bulunamadı")</f>
        <v>World War I</v>
      </c>
      <c r="G1106" s="2" t="str">
        <f t="array" ref="G1106">_xlfn.XLOOKUP(A1107,Product!A:A,Product!D:D,"Bulunamadı")</f>
        <v>Westwind Publishing</v>
      </c>
      <c r="H1106" s="2">
        <f t="array" ref="H1106">_xlfn.XLOOKUP(A1108,Product!A:A,Product!E:E,"Bulunamadı")</f>
        <v>2.19</v>
      </c>
      <c r="I1106" s="2" t="str">
        <f t="shared" si="1"/>
        <v>44110 - Law - World War I</v>
      </c>
      <c r="J1106" s="2">
        <f t="shared" si="2"/>
        <v>256.23</v>
      </c>
      <c r="K1106" s="17">
        <f t="shared" si="3"/>
        <v>1</v>
      </c>
      <c r="L1106" s="18"/>
    </row>
    <row r="1107" hidden="1">
      <c r="A1107" s="2">
        <f>IFERROR(__xludf.DUMMYFUNCTION("""COMPUTED_VALUE"""),76223.0)</f>
        <v>76223</v>
      </c>
      <c r="B1107" s="2">
        <f>IFERROR(__xludf.DUMMYFUNCTION("""COMPUTED_VALUE"""),1.0)</f>
        <v>1</v>
      </c>
      <c r="C1107" s="2">
        <f>IFERROR(__xludf.DUMMYFUNCTION("""COMPUTED_VALUE"""),332.0)</f>
        <v>332</v>
      </c>
      <c r="D1107" s="3">
        <f>IFERROR(__xludf.DUMMYFUNCTION("""COMPUTED_VALUE"""),236.0)</f>
        <v>236</v>
      </c>
      <c r="E1107" s="1" t="str">
        <f t="array" ref="E1107">_xlfn.XLOOKUP(A1107,Product!A:A,Product!B:B,"Bulunamadı")</f>
        <v>Law</v>
      </c>
      <c r="F1107" s="1" t="str">
        <f t="array" ref="F1107">_xlfn.XLOOKUP(A1107,Product!A:A,Product!C:C,"Bulunamadı")</f>
        <v>World War I</v>
      </c>
      <c r="G1107" s="2" t="str">
        <f t="array" ref="G1107">_xlfn.XLOOKUP(A1108,Product!A:A,Product!D:D,"Bulunamadı")</f>
        <v>Westwind Publishing</v>
      </c>
      <c r="H1107" s="2">
        <f t="array" ref="H1107">_xlfn.XLOOKUP(A1109,Product!A:A,Product!E:E,"Bulunamadı")</f>
        <v>0.94</v>
      </c>
      <c r="I1107" s="2" t="str">
        <f t="shared" si="1"/>
        <v>76223 - Law - World War I</v>
      </c>
      <c r="J1107" s="2">
        <f t="shared" si="2"/>
        <v>221.84</v>
      </c>
      <c r="K1107" s="17">
        <f t="shared" si="3"/>
        <v>1</v>
      </c>
      <c r="L1107" s="18"/>
    </row>
    <row r="1108" hidden="1">
      <c r="A1108" s="2">
        <f>IFERROR(__xludf.DUMMYFUNCTION("""COMPUTED_VALUE"""),48406.0)</f>
        <v>48406</v>
      </c>
      <c r="B1108" s="2">
        <f>IFERROR(__xludf.DUMMYFUNCTION("""COMPUTED_VALUE"""),0.0)</f>
        <v>0</v>
      </c>
      <c r="C1108" s="2">
        <f>IFERROR(__xludf.DUMMYFUNCTION("""COMPUTED_VALUE"""),57.0)</f>
        <v>57</v>
      </c>
      <c r="D1108" s="3">
        <f>IFERROR(__xludf.DUMMYFUNCTION("""COMPUTED_VALUE"""),50.0)</f>
        <v>50</v>
      </c>
      <c r="E1108" s="1" t="str">
        <f t="array" ref="E1108">_xlfn.XLOOKUP(A1108,Product!A:A,Product!B:B,"Bulunamadı")</f>
        <v>Law</v>
      </c>
      <c r="F1108" s="1" t="str">
        <f t="array" ref="F1108">_xlfn.XLOOKUP(A1108,Product!A:A,Product!C:C,"Bulunamadı")</f>
        <v>World War I</v>
      </c>
      <c r="G1108" s="2" t="str">
        <f t="array" ref="G1108">_xlfn.XLOOKUP(A1109,Product!A:A,Product!D:D,"Bulunamadı")</f>
        <v>Westwind Publishing</v>
      </c>
      <c r="H1108" s="2">
        <f t="array" ref="H1108">_xlfn.XLOOKUP(A1110,Product!A:A,Product!E:E,"Bulunamadı")</f>
        <v>0.75</v>
      </c>
      <c r="I1108" s="2" t="str">
        <f t="shared" si="1"/>
        <v>48406 - Law - World War I</v>
      </c>
      <c r="J1108" s="2">
        <f t="shared" si="2"/>
        <v>37.5</v>
      </c>
      <c r="K1108" s="17">
        <f t="shared" si="3"/>
        <v>1</v>
      </c>
      <c r="L1108" s="18"/>
    </row>
    <row r="1109" hidden="1">
      <c r="A1109" s="2">
        <f>IFERROR(__xludf.DUMMYFUNCTION("""COMPUTED_VALUE"""),77514.0)</f>
        <v>77514</v>
      </c>
      <c r="B1109" s="2">
        <f>IFERROR(__xludf.DUMMYFUNCTION("""COMPUTED_VALUE"""),0.0)</f>
        <v>0</v>
      </c>
      <c r="C1109" s="2">
        <f>IFERROR(__xludf.DUMMYFUNCTION("""COMPUTED_VALUE"""),569.0)</f>
        <v>569</v>
      </c>
      <c r="D1109" s="3">
        <f>IFERROR(__xludf.DUMMYFUNCTION("""COMPUTED_VALUE"""),370.0)</f>
        <v>370</v>
      </c>
      <c r="E1109" s="1" t="str">
        <f t="array" ref="E1109">_xlfn.XLOOKUP(A1109,Product!A:A,Product!B:B,"Bulunamadı")</f>
        <v>Law</v>
      </c>
      <c r="F1109" s="1" t="str">
        <f t="array" ref="F1109">_xlfn.XLOOKUP(A1109,Product!A:A,Product!C:C,"Bulunamadı")</f>
        <v>World War I</v>
      </c>
      <c r="G1109" s="2" t="str">
        <f t="array" ref="G1109">_xlfn.XLOOKUP(A1110,Product!A:A,Product!D:D,"Bulunamadı")</f>
        <v>Westwind Publishing</v>
      </c>
      <c r="H1109" s="2">
        <f t="array" ref="H1109">_xlfn.XLOOKUP(A1111,Product!A:A,Product!E:E,"Bulunamadı")</f>
        <v>2.49</v>
      </c>
      <c r="I1109" s="2" t="str">
        <f t="shared" si="1"/>
        <v>77514 - Law - World War I</v>
      </c>
      <c r="J1109" s="2">
        <f t="shared" si="2"/>
        <v>921.3</v>
      </c>
      <c r="K1109" s="17">
        <f t="shared" si="3"/>
        <v>1</v>
      </c>
      <c r="L1109" s="18"/>
    </row>
    <row r="1110" hidden="1">
      <c r="A1110" s="2">
        <f>IFERROR(__xludf.DUMMYFUNCTION("""COMPUTED_VALUE"""),117221.0)</f>
        <v>117221</v>
      </c>
      <c r="B1110" s="2">
        <f>IFERROR(__xludf.DUMMYFUNCTION("""COMPUTED_VALUE"""),1.0)</f>
        <v>1</v>
      </c>
      <c r="C1110" s="2">
        <f>IFERROR(__xludf.DUMMYFUNCTION("""COMPUTED_VALUE"""),867.0)</f>
        <v>867</v>
      </c>
      <c r="D1110" s="3">
        <f>IFERROR(__xludf.DUMMYFUNCTION("""COMPUTED_VALUE"""),383.0)</f>
        <v>383</v>
      </c>
      <c r="E1110" s="1" t="str">
        <f t="array" ref="E1110">_xlfn.XLOOKUP(A1110,Product!A:A,Product!B:B,"Bulunamadı")</f>
        <v>Law</v>
      </c>
      <c r="F1110" s="1" t="str">
        <f t="array" ref="F1110">_xlfn.XLOOKUP(A1110,Product!A:A,Product!C:C,"Bulunamadı")</f>
        <v>World War I</v>
      </c>
      <c r="G1110" s="2" t="str">
        <f t="array" ref="G1110">_xlfn.XLOOKUP(A1111,Product!A:A,Product!D:D,"Bulunamadı")</f>
        <v>Westwind Publishing</v>
      </c>
      <c r="H1110" s="2">
        <f t="array" ref="H1110">_xlfn.XLOOKUP(A1112,Product!A:A,Product!E:E,"Bulunamadı")</f>
        <v>1.2</v>
      </c>
      <c r="I1110" s="2" t="str">
        <f t="shared" si="1"/>
        <v>117221 - Law - World War I</v>
      </c>
      <c r="J1110" s="2">
        <f t="shared" si="2"/>
        <v>459.6</v>
      </c>
      <c r="K1110" s="17">
        <f t="shared" si="3"/>
        <v>1</v>
      </c>
      <c r="L1110" s="18"/>
    </row>
    <row r="1111" hidden="1">
      <c r="A1111" s="2">
        <f>IFERROR(__xludf.DUMMYFUNCTION("""COMPUTED_VALUE"""),115602.0)</f>
        <v>115602</v>
      </c>
      <c r="B1111" s="2">
        <f>IFERROR(__xludf.DUMMYFUNCTION("""COMPUTED_VALUE"""),0.0)</f>
        <v>0</v>
      </c>
      <c r="C1111" s="2">
        <f>IFERROR(__xludf.DUMMYFUNCTION("""COMPUTED_VALUE"""),474.0)</f>
        <v>474</v>
      </c>
      <c r="D1111" s="3">
        <f>IFERROR(__xludf.DUMMYFUNCTION("""COMPUTED_VALUE"""),439.0)</f>
        <v>439</v>
      </c>
      <c r="E1111" s="1" t="str">
        <f t="array" ref="E1111">_xlfn.XLOOKUP(A1111,Product!A:A,Product!B:B,"Bulunamadı")</f>
        <v>Law</v>
      </c>
      <c r="F1111" s="1" t="str">
        <f t="array" ref="F1111">_xlfn.XLOOKUP(A1111,Product!A:A,Product!C:C,"Bulunamadı")</f>
        <v>World War I</v>
      </c>
      <c r="G1111" s="2" t="str">
        <f t="array" ref="G1111">_xlfn.XLOOKUP(A1112,Product!A:A,Product!D:D,"Bulunamadı")</f>
        <v>Westwind Publishing</v>
      </c>
      <c r="H1111" s="2">
        <f t="array" ref="H1111">_xlfn.XLOOKUP(A1113,Product!A:A,Product!E:E,"Bulunamadı")</f>
        <v>1.65</v>
      </c>
      <c r="I1111" s="2" t="str">
        <f t="shared" si="1"/>
        <v>115602 - Law - World War I</v>
      </c>
      <c r="J1111" s="2">
        <f t="shared" si="2"/>
        <v>724.35</v>
      </c>
      <c r="K1111" s="17">
        <f t="shared" si="3"/>
        <v>1</v>
      </c>
      <c r="L1111" s="18"/>
    </row>
    <row r="1112" hidden="1">
      <c r="A1112" s="2">
        <f>IFERROR(__xludf.DUMMYFUNCTION("""COMPUTED_VALUE"""),44107.0)</f>
        <v>44107</v>
      </c>
      <c r="B1112" s="2">
        <f>IFERROR(__xludf.DUMMYFUNCTION("""COMPUTED_VALUE"""),1.0)</f>
        <v>1</v>
      </c>
      <c r="C1112" s="2">
        <f>IFERROR(__xludf.DUMMYFUNCTION("""COMPUTED_VALUE"""),808.0)</f>
        <v>808</v>
      </c>
      <c r="D1112" s="3">
        <f>IFERROR(__xludf.DUMMYFUNCTION("""COMPUTED_VALUE"""),297.0)</f>
        <v>297</v>
      </c>
      <c r="E1112" s="1" t="str">
        <f t="array" ref="E1112">_xlfn.XLOOKUP(A1112,Product!A:A,Product!B:B,"Bulunamadı")</f>
        <v>Law</v>
      </c>
      <c r="F1112" s="1" t="str">
        <f t="array" ref="F1112">_xlfn.XLOOKUP(A1112,Product!A:A,Product!C:C,"Bulunamadı")</f>
        <v>World War I</v>
      </c>
      <c r="G1112" s="2" t="str">
        <f t="array" ref="G1112">_xlfn.XLOOKUP(A1113,Product!A:A,Product!D:D,"Bulunamadı")</f>
        <v>Westwind Publishing</v>
      </c>
      <c r="H1112" s="2">
        <f t="array" ref="H1112">_xlfn.XLOOKUP(A1114,Product!A:A,Product!E:E,"Bulunamadı")</f>
        <v>0.71</v>
      </c>
      <c r="I1112" s="2" t="str">
        <f t="shared" si="1"/>
        <v>44107 - Law - World War I</v>
      </c>
      <c r="J1112" s="2">
        <f t="shared" si="2"/>
        <v>210.87</v>
      </c>
      <c r="K1112" s="17">
        <f t="shared" si="3"/>
        <v>1</v>
      </c>
      <c r="L1112" s="18"/>
    </row>
    <row r="1113" hidden="1">
      <c r="A1113" s="2">
        <f>IFERROR(__xludf.DUMMYFUNCTION("""COMPUTED_VALUE"""),115604.0)</f>
        <v>115604</v>
      </c>
      <c r="B1113" s="2">
        <f>IFERROR(__xludf.DUMMYFUNCTION("""COMPUTED_VALUE"""),0.0)</f>
        <v>0</v>
      </c>
      <c r="C1113" s="2">
        <f>IFERROR(__xludf.DUMMYFUNCTION("""COMPUTED_VALUE"""),691.0)</f>
        <v>691</v>
      </c>
      <c r="D1113" s="3">
        <f>IFERROR(__xludf.DUMMYFUNCTION("""COMPUTED_VALUE"""),444.0)</f>
        <v>444</v>
      </c>
      <c r="E1113" s="1" t="str">
        <f t="array" ref="E1113">_xlfn.XLOOKUP(A1113,Product!A:A,Product!B:B,"Bulunamadı")</f>
        <v>Law</v>
      </c>
      <c r="F1113" s="1" t="str">
        <f t="array" ref="F1113">_xlfn.XLOOKUP(A1113,Product!A:A,Product!C:C,"Bulunamadı")</f>
        <v>World War I</v>
      </c>
      <c r="G1113" s="2" t="str">
        <f t="array" ref="G1113">_xlfn.XLOOKUP(A1114,Product!A:A,Product!D:D,"Bulunamadı")</f>
        <v>Westwind Publishing</v>
      </c>
      <c r="H1113" s="2">
        <f t="array" ref="H1113">_xlfn.XLOOKUP(A1115,Product!A:A,Product!E:E,"Bulunamadı")</f>
        <v>1.8</v>
      </c>
      <c r="I1113" s="2" t="str">
        <f t="shared" si="1"/>
        <v>115604 - Law - World War I</v>
      </c>
      <c r="J1113" s="2">
        <f t="shared" si="2"/>
        <v>799.2</v>
      </c>
      <c r="K1113" s="17">
        <f t="shared" si="3"/>
        <v>1</v>
      </c>
      <c r="L1113" s="18"/>
    </row>
    <row r="1114" hidden="1">
      <c r="A1114" s="2">
        <f>IFERROR(__xludf.DUMMYFUNCTION("""COMPUTED_VALUE"""),118926.0)</f>
        <v>118926</v>
      </c>
      <c r="B1114" s="2">
        <f>IFERROR(__xludf.DUMMYFUNCTION("""COMPUTED_VALUE"""),1.0)</f>
        <v>1</v>
      </c>
      <c r="C1114" s="2">
        <f>IFERROR(__xludf.DUMMYFUNCTION("""COMPUTED_VALUE"""),866.0)</f>
        <v>866</v>
      </c>
      <c r="D1114" s="3">
        <f>IFERROR(__xludf.DUMMYFUNCTION("""COMPUTED_VALUE"""),315.0)</f>
        <v>315</v>
      </c>
      <c r="E1114" s="1" t="str">
        <f t="array" ref="E1114">_xlfn.XLOOKUP(A1114,Product!A:A,Product!B:B,"Bulunamadı")</f>
        <v>Law</v>
      </c>
      <c r="F1114" s="1" t="str">
        <f t="array" ref="F1114">_xlfn.XLOOKUP(A1114,Product!A:A,Product!C:C,"Bulunamadı")</f>
        <v>World War I</v>
      </c>
      <c r="G1114" s="2" t="str">
        <f t="array" ref="G1114">_xlfn.XLOOKUP(A1115,Product!A:A,Product!D:D,"Bulunamadı")</f>
        <v>Westwind Publishing</v>
      </c>
      <c r="H1114" s="2">
        <f t="array" ref="H1114">_xlfn.XLOOKUP(A1116,Product!A:A,Product!E:E,"Bulunamadı")</f>
        <v>1.06</v>
      </c>
      <c r="I1114" s="2" t="str">
        <f t="shared" si="1"/>
        <v>118926 - Law - World War I</v>
      </c>
      <c r="J1114" s="2">
        <f t="shared" si="2"/>
        <v>333.9</v>
      </c>
      <c r="K1114" s="17">
        <f t="shared" si="3"/>
        <v>1</v>
      </c>
      <c r="L1114" s="18"/>
    </row>
    <row r="1115" hidden="1">
      <c r="A1115" s="2">
        <f>IFERROR(__xludf.DUMMYFUNCTION("""COMPUTED_VALUE"""),118304.0)</f>
        <v>118304</v>
      </c>
      <c r="B1115" s="2">
        <f>IFERROR(__xludf.DUMMYFUNCTION("""COMPUTED_VALUE"""),1.0)</f>
        <v>1</v>
      </c>
      <c r="C1115" s="2">
        <f>IFERROR(__xludf.DUMMYFUNCTION("""COMPUTED_VALUE"""),519.0)</f>
        <v>519</v>
      </c>
      <c r="D1115" s="3">
        <f>IFERROR(__xludf.DUMMYFUNCTION("""COMPUTED_VALUE"""),257.0)</f>
        <v>257</v>
      </c>
      <c r="E1115" s="1" t="str">
        <f t="array" ref="E1115">_xlfn.XLOOKUP(A1115,Product!A:A,Product!B:B,"Bulunamadı")</f>
        <v>Law</v>
      </c>
      <c r="F1115" s="1" t="str">
        <f t="array" ref="F1115">_xlfn.XLOOKUP(A1115,Product!A:A,Product!C:C,"Bulunamadı")</f>
        <v>World War I</v>
      </c>
      <c r="G1115" s="2" t="str">
        <f t="array" ref="G1115">_xlfn.XLOOKUP(A1116,Product!A:A,Product!D:D,"Bulunamadı")</f>
        <v>Westwind Publishing</v>
      </c>
      <c r="H1115" s="2">
        <f t="array" ref="H1115">_xlfn.XLOOKUP(A1117,Product!A:A,Product!E:E,"Bulunamadı")</f>
        <v>1.16</v>
      </c>
      <c r="I1115" s="2" t="str">
        <f t="shared" si="1"/>
        <v>118304 - Law - World War I</v>
      </c>
      <c r="J1115" s="2">
        <f t="shared" si="2"/>
        <v>298.12</v>
      </c>
      <c r="K1115" s="17">
        <f t="shared" si="3"/>
        <v>1</v>
      </c>
      <c r="L1115" s="18"/>
    </row>
    <row r="1116" hidden="1">
      <c r="A1116" s="2">
        <f>IFERROR(__xludf.DUMMYFUNCTION("""COMPUTED_VALUE"""),5621.0)</f>
        <v>5621</v>
      </c>
      <c r="B1116" s="2">
        <f>IFERROR(__xludf.DUMMYFUNCTION("""COMPUTED_VALUE"""),0.0)</f>
        <v>0</v>
      </c>
      <c r="C1116" s="2">
        <f>IFERROR(__xludf.DUMMYFUNCTION("""COMPUTED_VALUE"""),834.0)</f>
        <v>834</v>
      </c>
      <c r="D1116" s="3">
        <f>IFERROR(__xludf.DUMMYFUNCTION("""COMPUTED_VALUE"""),482.0)</f>
        <v>482</v>
      </c>
      <c r="E1116" s="1" t="str">
        <f t="array" ref="E1116">_xlfn.XLOOKUP(A1116,Product!A:A,Product!B:B,"Bulunamadı")</f>
        <v>Law</v>
      </c>
      <c r="F1116" s="1" t="str">
        <f t="array" ref="F1116">_xlfn.XLOOKUP(A1116,Product!A:A,Product!C:C,"Bulunamadı")</f>
        <v>World War I</v>
      </c>
      <c r="G1116" s="2" t="str">
        <f t="array" ref="G1116">_xlfn.XLOOKUP(A1117,Product!A:A,Product!D:D,"Bulunamadı")</f>
        <v>Westwind Publishing</v>
      </c>
      <c r="H1116" s="2">
        <f t="array" ref="H1116">_xlfn.XLOOKUP(A1118,Product!A:A,Product!E:E,"Bulunamadı")</f>
        <v>1.39</v>
      </c>
      <c r="I1116" s="2" t="str">
        <f t="shared" si="1"/>
        <v>5621 - Law - World War I</v>
      </c>
      <c r="J1116" s="2">
        <f t="shared" si="2"/>
        <v>669.98</v>
      </c>
      <c r="K1116" s="17">
        <f t="shared" si="3"/>
        <v>1</v>
      </c>
      <c r="L1116" s="18"/>
    </row>
    <row r="1117" hidden="1">
      <c r="A1117" s="2">
        <f>IFERROR(__xludf.DUMMYFUNCTION("""COMPUTED_VALUE"""),44105.0)</f>
        <v>44105</v>
      </c>
      <c r="B1117" s="2">
        <f>IFERROR(__xludf.DUMMYFUNCTION("""COMPUTED_VALUE"""),1.0)</f>
        <v>1</v>
      </c>
      <c r="C1117" s="2">
        <f>IFERROR(__xludf.DUMMYFUNCTION("""COMPUTED_VALUE"""),829.0)</f>
        <v>829</v>
      </c>
      <c r="D1117" s="3">
        <f>IFERROR(__xludf.DUMMYFUNCTION("""COMPUTED_VALUE"""),132.0)</f>
        <v>132</v>
      </c>
      <c r="E1117" s="1" t="str">
        <f t="array" ref="E1117">_xlfn.XLOOKUP(A1117,Product!A:A,Product!B:B,"Bulunamadı")</f>
        <v>Law</v>
      </c>
      <c r="F1117" s="1" t="str">
        <f t="array" ref="F1117">_xlfn.XLOOKUP(A1117,Product!A:A,Product!C:C,"Bulunamadı")</f>
        <v>World War I</v>
      </c>
      <c r="G1117" s="2" t="str">
        <f t="array" ref="G1117">_xlfn.XLOOKUP(A1118,Product!A:A,Product!D:D,"Bulunamadı")</f>
        <v>Westwind Publishing</v>
      </c>
      <c r="H1117" s="2">
        <f t="array" ref="H1117">_xlfn.XLOOKUP(A1119,Product!A:A,Product!E:E,"Bulunamadı")</f>
        <v>1.15</v>
      </c>
      <c r="I1117" s="2" t="str">
        <f t="shared" si="1"/>
        <v>44105 - Law - World War I</v>
      </c>
      <c r="J1117" s="2">
        <f t="shared" si="2"/>
        <v>151.8</v>
      </c>
      <c r="K1117" s="17">
        <f t="shared" si="3"/>
        <v>1</v>
      </c>
      <c r="L1117" s="18"/>
    </row>
    <row r="1118" hidden="1">
      <c r="A1118" s="2">
        <f>IFERROR(__xludf.DUMMYFUNCTION("""COMPUTED_VALUE"""),126580.0)</f>
        <v>126580</v>
      </c>
      <c r="B1118" s="2">
        <f>IFERROR(__xludf.DUMMYFUNCTION("""COMPUTED_VALUE"""),0.0)</f>
        <v>0</v>
      </c>
      <c r="C1118" s="2">
        <f>IFERROR(__xludf.DUMMYFUNCTION("""COMPUTED_VALUE"""),532.0)</f>
        <v>532</v>
      </c>
      <c r="D1118" s="3">
        <f>IFERROR(__xludf.DUMMYFUNCTION("""COMPUTED_VALUE"""),68.0)</f>
        <v>68</v>
      </c>
      <c r="E1118" s="1" t="str">
        <f t="array" ref="E1118">_xlfn.XLOOKUP(A1118,Product!A:A,Product!B:B,"Bulunamadı")</f>
        <v>Law</v>
      </c>
      <c r="F1118" s="1" t="str">
        <f t="array" ref="F1118">_xlfn.XLOOKUP(A1118,Product!A:A,Product!C:C,"Bulunamadı")</f>
        <v>World War I</v>
      </c>
      <c r="G1118" s="2" t="str">
        <f t="array" ref="G1118">_xlfn.XLOOKUP(A1119,Product!A:A,Product!D:D,"Bulunamadı")</f>
        <v>Westwind Publishing</v>
      </c>
      <c r="H1118" s="2">
        <f t="array" ref="H1118">_xlfn.XLOOKUP(A1120,Product!A:A,Product!E:E,"Bulunamadı")</f>
        <v>2.62</v>
      </c>
      <c r="I1118" s="2" t="str">
        <f t="shared" si="1"/>
        <v>126580 - Law - World War I</v>
      </c>
      <c r="J1118" s="2">
        <f t="shared" si="2"/>
        <v>178.16</v>
      </c>
      <c r="K1118" s="17">
        <f t="shared" si="3"/>
        <v>1</v>
      </c>
      <c r="L1118" s="18"/>
    </row>
    <row r="1119" hidden="1">
      <c r="A1119" s="2">
        <f>IFERROR(__xludf.DUMMYFUNCTION("""COMPUTED_VALUE"""),5624.0)</f>
        <v>5624</v>
      </c>
      <c r="B1119" s="2">
        <f>IFERROR(__xludf.DUMMYFUNCTION("""COMPUTED_VALUE"""),0.0)</f>
        <v>0</v>
      </c>
      <c r="C1119" s="2">
        <f>IFERROR(__xludf.DUMMYFUNCTION("""COMPUTED_VALUE"""),442.0)</f>
        <v>442</v>
      </c>
      <c r="D1119" s="3">
        <f>IFERROR(__xludf.DUMMYFUNCTION("""COMPUTED_VALUE"""),255.0)</f>
        <v>255</v>
      </c>
      <c r="E1119" s="1" t="str">
        <f t="array" ref="E1119">_xlfn.XLOOKUP(A1119,Product!A:A,Product!B:B,"Bulunamadı")</f>
        <v>Law</v>
      </c>
      <c r="F1119" s="1" t="str">
        <f t="array" ref="F1119">_xlfn.XLOOKUP(A1119,Product!A:A,Product!C:C,"Bulunamadı")</f>
        <v>World War I</v>
      </c>
      <c r="G1119" s="2" t="str">
        <f t="array" ref="G1119">_xlfn.XLOOKUP(A1120,Product!A:A,Product!D:D,"Bulunamadı")</f>
        <v>Westwind Publishing</v>
      </c>
      <c r="H1119" s="2">
        <f t="array" ref="H1119">_xlfn.XLOOKUP(A1121,Product!A:A,Product!E:E,"Bulunamadı")</f>
        <v>1.75</v>
      </c>
      <c r="I1119" s="2" t="str">
        <f t="shared" si="1"/>
        <v>5624 - Law - World War I</v>
      </c>
      <c r="J1119" s="2">
        <f t="shared" si="2"/>
        <v>446.25</v>
      </c>
      <c r="K1119" s="17">
        <f t="shared" si="3"/>
        <v>1</v>
      </c>
      <c r="L1119" s="18"/>
    </row>
    <row r="1120" hidden="1">
      <c r="A1120" s="2">
        <f>IFERROR(__xludf.DUMMYFUNCTION("""COMPUTED_VALUE"""),88679.0)</f>
        <v>88679</v>
      </c>
      <c r="B1120" s="2">
        <f>IFERROR(__xludf.DUMMYFUNCTION("""COMPUTED_VALUE"""),1.0)</f>
        <v>1</v>
      </c>
      <c r="C1120" s="2">
        <f>IFERROR(__xludf.DUMMYFUNCTION("""COMPUTED_VALUE"""),549.0)</f>
        <v>549</v>
      </c>
      <c r="D1120" s="3">
        <f>IFERROR(__xludf.DUMMYFUNCTION("""COMPUTED_VALUE"""),39.0)</f>
        <v>39</v>
      </c>
      <c r="E1120" s="1" t="str">
        <f t="array" ref="E1120">_xlfn.XLOOKUP(A1120,Product!A:A,Product!B:B,"Bulunamadı")</f>
        <v>Law</v>
      </c>
      <c r="F1120" s="1" t="str">
        <f t="array" ref="F1120">_xlfn.XLOOKUP(A1120,Product!A:A,Product!C:C,"Bulunamadı")</f>
        <v>World War I</v>
      </c>
      <c r="G1120" s="2" t="str">
        <f t="array" ref="G1120">_xlfn.XLOOKUP(A1121,Product!A:A,Product!D:D,"Bulunamadı")</f>
        <v>Westwind Publishing</v>
      </c>
      <c r="H1120" s="2">
        <f t="array" ref="H1120">_xlfn.XLOOKUP(A1122,Product!A:A,Product!E:E,"Bulunamadı")</f>
        <v>1.51</v>
      </c>
      <c r="I1120" s="2" t="str">
        <f t="shared" si="1"/>
        <v>88679 - Law - World War I</v>
      </c>
      <c r="J1120" s="2">
        <f t="shared" si="2"/>
        <v>58.89</v>
      </c>
      <c r="K1120" s="17">
        <f t="shared" si="3"/>
        <v>1</v>
      </c>
      <c r="L1120" s="18"/>
    </row>
    <row r="1121" hidden="1">
      <c r="A1121" s="2">
        <f>IFERROR(__xludf.DUMMYFUNCTION("""COMPUTED_VALUE"""),118305.0)</f>
        <v>118305</v>
      </c>
      <c r="B1121" s="2">
        <f>IFERROR(__xludf.DUMMYFUNCTION("""COMPUTED_VALUE"""),0.0)</f>
        <v>0</v>
      </c>
      <c r="C1121" s="2">
        <f>IFERROR(__xludf.DUMMYFUNCTION("""COMPUTED_VALUE"""),39.0)</f>
        <v>39</v>
      </c>
      <c r="D1121" s="3">
        <f>IFERROR(__xludf.DUMMYFUNCTION("""COMPUTED_VALUE"""),1.0)</f>
        <v>1</v>
      </c>
      <c r="E1121" s="1" t="str">
        <f t="array" ref="E1121">_xlfn.XLOOKUP(A1121,Product!A:A,Product!B:B,"Bulunamadı")</f>
        <v>Law</v>
      </c>
      <c r="F1121" s="1" t="str">
        <f t="array" ref="F1121">_xlfn.XLOOKUP(A1121,Product!A:A,Product!C:C,"Bulunamadı")</f>
        <v>World War I</v>
      </c>
      <c r="G1121" s="2" t="str">
        <f t="array" ref="G1121">_xlfn.XLOOKUP(A1122,Product!A:A,Product!D:D,"Bulunamadı")</f>
        <v>Westwind Publishing</v>
      </c>
      <c r="H1121" s="2">
        <f t="array" ref="H1121">_xlfn.XLOOKUP(A1123,Product!A:A,Product!E:E,"Bulunamadı")</f>
        <v>1</v>
      </c>
      <c r="I1121" s="2" t="str">
        <f t="shared" si="1"/>
        <v>118305 - Law - World War I</v>
      </c>
      <c r="J1121" s="2">
        <f t="shared" si="2"/>
        <v>1</v>
      </c>
      <c r="K1121" s="17">
        <f t="shared" si="3"/>
        <v>1</v>
      </c>
      <c r="L1121" s="18"/>
    </row>
    <row r="1122" hidden="1">
      <c r="A1122" s="2">
        <f>IFERROR(__xludf.DUMMYFUNCTION("""COMPUTED_VALUE"""),60380.0)</f>
        <v>60380</v>
      </c>
      <c r="B1122" s="2">
        <f>IFERROR(__xludf.DUMMYFUNCTION("""COMPUTED_VALUE"""),0.0)</f>
        <v>0</v>
      </c>
      <c r="C1122" s="2">
        <f>IFERROR(__xludf.DUMMYFUNCTION("""COMPUTED_VALUE"""),152.0)</f>
        <v>152</v>
      </c>
      <c r="D1122" s="3">
        <f>IFERROR(__xludf.DUMMYFUNCTION("""COMPUTED_VALUE"""),103.0)</f>
        <v>103</v>
      </c>
      <c r="E1122" s="1" t="str">
        <f t="array" ref="E1122">_xlfn.XLOOKUP(A1122,Product!A:A,Product!B:B,"Bulunamadı")</f>
        <v>Law</v>
      </c>
      <c r="F1122" s="1" t="str">
        <f t="array" ref="F1122">_xlfn.XLOOKUP(A1122,Product!A:A,Product!C:C,"Bulunamadı")</f>
        <v>World War I</v>
      </c>
      <c r="G1122" s="2" t="str">
        <f t="array" ref="G1122">_xlfn.XLOOKUP(A1123,Product!A:A,Product!D:D,"Bulunamadı")</f>
        <v>Golden Valley Books</v>
      </c>
      <c r="H1122" s="2">
        <f t="array" ref="H1122">_xlfn.XLOOKUP(A1124,Product!A:A,Product!E:E,"Bulunamadı")</f>
        <v>1.14</v>
      </c>
      <c r="I1122" s="2" t="str">
        <f t="shared" si="1"/>
        <v>60380 - Law - World War I</v>
      </c>
      <c r="J1122" s="2">
        <f t="shared" si="2"/>
        <v>117.42</v>
      </c>
      <c r="K1122" s="17">
        <f t="shared" si="3"/>
        <v>1</v>
      </c>
      <c r="L1122" s="18"/>
    </row>
    <row r="1123" hidden="1">
      <c r="A1123" s="2">
        <f>IFERROR(__xludf.DUMMYFUNCTION("""COMPUTED_VALUE"""),77475.0)</f>
        <v>77475</v>
      </c>
      <c r="B1123" s="2">
        <f>IFERROR(__xludf.DUMMYFUNCTION("""COMPUTED_VALUE"""),0.0)</f>
        <v>0</v>
      </c>
      <c r="C1123" s="2">
        <f>IFERROR(__xludf.DUMMYFUNCTION("""COMPUTED_VALUE"""),821.0)</f>
        <v>821</v>
      </c>
      <c r="D1123" s="3">
        <f>IFERROR(__xludf.DUMMYFUNCTION("""COMPUTED_VALUE"""),124.0)</f>
        <v>124</v>
      </c>
      <c r="E1123" s="1" t="str">
        <f t="array" ref="E1123">_xlfn.XLOOKUP(A1123,Product!A:A,Product!B:B,"Bulunamadı")</f>
        <v>Law</v>
      </c>
      <c r="F1123" s="1" t="str">
        <f t="array" ref="F1123">_xlfn.XLOOKUP(A1123,Product!A:A,Product!C:C,"Bulunamadı")</f>
        <v>World War I</v>
      </c>
      <c r="G1123" s="2" t="str">
        <f t="array" ref="G1123">_xlfn.XLOOKUP(A1124,Product!A:A,Product!D:D,"Bulunamadı")</f>
        <v>Golden Valley Books</v>
      </c>
      <c r="H1123" s="2">
        <f t="array" ref="H1123">_xlfn.XLOOKUP(A1125,Product!A:A,Product!E:E,"Bulunamadı")</f>
        <v>1</v>
      </c>
      <c r="I1123" s="2" t="str">
        <f t="shared" si="1"/>
        <v>77475 - Law - World War I</v>
      </c>
      <c r="J1123" s="2">
        <f t="shared" si="2"/>
        <v>124</v>
      </c>
      <c r="K1123" s="17">
        <f t="shared" si="3"/>
        <v>1</v>
      </c>
      <c r="L1123" s="18"/>
    </row>
    <row r="1124" hidden="1">
      <c r="A1124" s="2">
        <f>IFERROR(__xludf.DUMMYFUNCTION("""COMPUTED_VALUE"""),110577.0)</f>
        <v>110577</v>
      </c>
      <c r="B1124" s="2">
        <f>IFERROR(__xludf.DUMMYFUNCTION("""COMPUTED_VALUE"""),1.0)</f>
        <v>1</v>
      </c>
      <c r="C1124" s="2">
        <f>IFERROR(__xludf.DUMMYFUNCTION("""COMPUTED_VALUE"""),66.0)</f>
        <v>66</v>
      </c>
      <c r="D1124" s="3">
        <f>IFERROR(__xludf.DUMMYFUNCTION("""COMPUTED_VALUE"""),29.0)</f>
        <v>29</v>
      </c>
      <c r="E1124" s="1" t="str">
        <f t="array" ref="E1124">_xlfn.XLOOKUP(A1124,Product!A:A,Product!B:B,"Bulunamadı")</f>
        <v>Law</v>
      </c>
      <c r="F1124" s="1" t="str">
        <f t="array" ref="F1124">_xlfn.XLOOKUP(A1124,Product!A:A,Product!C:C,"Bulunamadı")</f>
        <v>World War I</v>
      </c>
      <c r="G1124" s="2" t="str">
        <f t="array" ref="G1124">_xlfn.XLOOKUP(A1125,Product!A:A,Product!D:D,"Bulunamadı")</f>
        <v>Golden Valley Books</v>
      </c>
      <c r="H1124" s="2">
        <f t="array" ref="H1124">_xlfn.XLOOKUP(A1126,Product!A:A,Product!E:E,"Bulunamadı")</f>
        <v>0.98</v>
      </c>
      <c r="I1124" s="2" t="str">
        <f t="shared" si="1"/>
        <v>110577 - Law - World War I</v>
      </c>
      <c r="J1124" s="2">
        <f t="shared" si="2"/>
        <v>28.42</v>
      </c>
      <c r="K1124" s="17">
        <f t="shared" si="3"/>
        <v>1</v>
      </c>
      <c r="L1124" s="18"/>
    </row>
    <row r="1125" hidden="1">
      <c r="A1125" s="2">
        <f>IFERROR(__xludf.DUMMYFUNCTION("""COMPUTED_VALUE"""),110571.0)</f>
        <v>110571</v>
      </c>
      <c r="B1125" s="2">
        <f>IFERROR(__xludf.DUMMYFUNCTION("""COMPUTED_VALUE"""),1.0)</f>
        <v>1</v>
      </c>
      <c r="C1125" s="2">
        <f>IFERROR(__xludf.DUMMYFUNCTION("""COMPUTED_VALUE"""),884.0)</f>
        <v>884</v>
      </c>
      <c r="D1125" s="3">
        <f>IFERROR(__xludf.DUMMYFUNCTION("""COMPUTED_VALUE"""),145.0)</f>
        <v>145</v>
      </c>
      <c r="E1125" s="1" t="str">
        <f t="array" ref="E1125">_xlfn.XLOOKUP(A1125,Product!A:A,Product!B:B,"Bulunamadı")</f>
        <v>Law</v>
      </c>
      <c r="F1125" s="1" t="str">
        <f t="array" ref="F1125">_xlfn.XLOOKUP(A1125,Product!A:A,Product!C:C,"Bulunamadı")</f>
        <v>World War I</v>
      </c>
      <c r="G1125" s="2" t="str">
        <f t="array" ref="G1125">_xlfn.XLOOKUP(A1126,Product!A:A,Product!D:D,"Bulunamadı")</f>
        <v>Golden Valley Books</v>
      </c>
      <c r="H1125" s="2">
        <f t="array" ref="H1125">_xlfn.XLOOKUP(A1127,Product!A:A,Product!E:E,"Bulunamadı")</f>
        <v>0.96</v>
      </c>
      <c r="I1125" s="2" t="str">
        <f t="shared" si="1"/>
        <v>110571 - Law - World War I</v>
      </c>
      <c r="J1125" s="2">
        <f t="shared" si="2"/>
        <v>139.2</v>
      </c>
      <c r="K1125" s="17">
        <f t="shared" si="3"/>
        <v>1</v>
      </c>
      <c r="L1125" s="18"/>
    </row>
    <row r="1126" hidden="1">
      <c r="A1126" s="2">
        <f>IFERROR(__xludf.DUMMYFUNCTION("""COMPUTED_VALUE"""),103835.0)</f>
        <v>103835</v>
      </c>
      <c r="B1126" s="2">
        <f>IFERROR(__xludf.DUMMYFUNCTION("""COMPUTED_VALUE"""),1.0)</f>
        <v>1</v>
      </c>
      <c r="C1126" s="2">
        <f>IFERROR(__xludf.DUMMYFUNCTION("""COMPUTED_VALUE"""),663.0)</f>
        <v>663</v>
      </c>
      <c r="D1126" s="3">
        <f>IFERROR(__xludf.DUMMYFUNCTION("""COMPUTED_VALUE"""),84.0)</f>
        <v>84</v>
      </c>
      <c r="E1126" s="1" t="str">
        <f t="array" ref="E1126">_xlfn.XLOOKUP(A1126,Product!A:A,Product!B:B,"Bulunamadı")</f>
        <v>Law</v>
      </c>
      <c r="F1126" s="1" t="str">
        <f t="array" ref="F1126">_xlfn.XLOOKUP(A1126,Product!A:A,Product!C:C,"Bulunamadı")</f>
        <v>World War I</v>
      </c>
      <c r="G1126" s="2" t="str">
        <f t="array" ref="G1126">_xlfn.XLOOKUP(A1127,Product!A:A,Product!D:D,"Bulunamadı")</f>
        <v>Golden Valley Books</v>
      </c>
      <c r="H1126" s="2">
        <f t="array" ref="H1126">_xlfn.XLOOKUP(A1128,Product!A:A,Product!E:E,"Bulunamadı")</f>
        <v>1.16</v>
      </c>
      <c r="I1126" s="2" t="str">
        <f t="shared" si="1"/>
        <v>103835 - Law - World War I</v>
      </c>
      <c r="J1126" s="2">
        <f t="shared" si="2"/>
        <v>97.44</v>
      </c>
      <c r="K1126" s="17">
        <f t="shared" si="3"/>
        <v>1</v>
      </c>
      <c r="L1126" s="18"/>
    </row>
    <row r="1127" hidden="1">
      <c r="A1127" s="2">
        <f>IFERROR(__xludf.DUMMYFUNCTION("""COMPUTED_VALUE"""),5646.0)</f>
        <v>5646</v>
      </c>
      <c r="B1127" s="2">
        <f>IFERROR(__xludf.DUMMYFUNCTION("""COMPUTED_VALUE"""),0.0)</f>
        <v>0</v>
      </c>
      <c r="C1127" s="2">
        <f>IFERROR(__xludf.DUMMYFUNCTION("""COMPUTED_VALUE"""),927.0)</f>
        <v>927</v>
      </c>
      <c r="D1127" s="3">
        <f>IFERROR(__xludf.DUMMYFUNCTION("""COMPUTED_VALUE"""),35.0)</f>
        <v>35</v>
      </c>
      <c r="E1127" s="1" t="str">
        <f t="array" ref="E1127">_xlfn.XLOOKUP(A1127,Product!A:A,Product!B:B,"Bulunamadı")</f>
        <v>Law</v>
      </c>
      <c r="F1127" s="1" t="str">
        <f t="array" ref="F1127">_xlfn.XLOOKUP(A1127,Product!A:A,Product!C:C,"Bulunamadı")</f>
        <v>World War I</v>
      </c>
      <c r="G1127" s="2" t="str">
        <f t="array" ref="G1127">_xlfn.XLOOKUP(A1128,Product!A:A,Product!D:D,"Bulunamadı")</f>
        <v>Golden Valley Books</v>
      </c>
      <c r="H1127" s="2">
        <f t="array" ref="H1127">_xlfn.XLOOKUP(A1129,Product!A:A,Product!E:E,"Bulunamadı")</f>
        <v>0.68</v>
      </c>
      <c r="I1127" s="2" t="str">
        <f t="shared" si="1"/>
        <v>5646 - Law - World War I</v>
      </c>
      <c r="J1127" s="2">
        <f t="shared" si="2"/>
        <v>23.8</v>
      </c>
      <c r="K1127" s="17">
        <f t="shared" si="3"/>
        <v>1</v>
      </c>
      <c r="L1127" s="18"/>
    </row>
    <row r="1128" hidden="1">
      <c r="A1128" s="2">
        <f>IFERROR(__xludf.DUMMYFUNCTION("""COMPUTED_VALUE"""),5649.0)</f>
        <v>5649</v>
      </c>
      <c r="B1128" s="2">
        <f>IFERROR(__xludf.DUMMYFUNCTION("""COMPUTED_VALUE"""),1.0)</f>
        <v>1</v>
      </c>
      <c r="C1128" s="2">
        <f>IFERROR(__xludf.DUMMYFUNCTION("""COMPUTED_VALUE"""),40.0)</f>
        <v>40</v>
      </c>
      <c r="D1128" s="3">
        <f>IFERROR(__xludf.DUMMYFUNCTION("""COMPUTED_VALUE"""),35.0)</f>
        <v>35</v>
      </c>
      <c r="E1128" s="1" t="str">
        <f t="array" ref="E1128">_xlfn.XLOOKUP(A1128,Product!A:A,Product!B:B,"Bulunamadı")</f>
        <v>Law</v>
      </c>
      <c r="F1128" s="1" t="str">
        <f t="array" ref="F1128">_xlfn.XLOOKUP(A1128,Product!A:A,Product!C:C,"Bulunamadı")</f>
        <v>World War I</v>
      </c>
      <c r="G1128" s="2" t="str">
        <f t="array" ref="G1128">_xlfn.XLOOKUP(A1129,Product!A:A,Product!D:D,"Bulunamadı")</f>
        <v>Golden Valley Books</v>
      </c>
      <c r="H1128" s="2">
        <f t="array" ref="H1128">_xlfn.XLOOKUP(A1130,Product!A:A,Product!E:E,"Bulunamadı")</f>
        <v>0.95</v>
      </c>
      <c r="I1128" s="2" t="str">
        <f t="shared" si="1"/>
        <v>5649 - Law - World War I</v>
      </c>
      <c r="J1128" s="2">
        <f t="shared" si="2"/>
        <v>33.25</v>
      </c>
      <c r="K1128" s="17">
        <f t="shared" si="3"/>
        <v>1</v>
      </c>
      <c r="L1128" s="18"/>
    </row>
    <row r="1129" hidden="1">
      <c r="A1129" s="2">
        <f>IFERROR(__xludf.DUMMYFUNCTION("""COMPUTED_VALUE"""),5647.0)</f>
        <v>5647</v>
      </c>
      <c r="B1129" s="2">
        <f>IFERROR(__xludf.DUMMYFUNCTION("""COMPUTED_VALUE"""),0.0)</f>
        <v>0</v>
      </c>
      <c r="C1129" s="2">
        <f>IFERROR(__xludf.DUMMYFUNCTION("""COMPUTED_VALUE"""),813.0)</f>
        <v>813</v>
      </c>
      <c r="D1129" s="3">
        <f>IFERROR(__xludf.DUMMYFUNCTION("""COMPUTED_VALUE"""),450.0)</f>
        <v>450</v>
      </c>
      <c r="E1129" s="1" t="str">
        <f t="array" ref="E1129">_xlfn.XLOOKUP(A1129,Product!A:A,Product!B:B,"Bulunamadı")</f>
        <v>Law</v>
      </c>
      <c r="F1129" s="1" t="str">
        <f t="array" ref="F1129">_xlfn.XLOOKUP(A1129,Product!A:A,Product!C:C,"Bulunamadı")</f>
        <v>World War I</v>
      </c>
      <c r="G1129" s="2" t="str">
        <f t="array" ref="G1129">_xlfn.XLOOKUP(A1130,Product!A:A,Product!D:D,"Bulunamadı")</f>
        <v>Golden Valley Books</v>
      </c>
      <c r="H1129" s="2">
        <f t="array" ref="H1129">_xlfn.XLOOKUP(A1131,Product!A:A,Product!E:E,"Bulunamadı")</f>
        <v>8.72</v>
      </c>
      <c r="I1129" s="2" t="str">
        <f t="shared" si="1"/>
        <v>5647 - Law - World War I</v>
      </c>
      <c r="J1129" s="2">
        <f t="shared" si="2"/>
        <v>3924</v>
      </c>
      <c r="K1129" s="17">
        <f t="shared" si="3"/>
        <v>1</v>
      </c>
      <c r="L1129" s="18"/>
    </row>
    <row r="1130" hidden="1">
      <c r="A1130" s="2">
        <f>IFERROR(__xludf.DUMMYFUNCTION("""COMPUTED_VALUE"""),5648.0)</f>
        <v>5648</v>
      </c>
      <c r="B1130" s="2">
        <f>IFERROR(__xludf.DUMMYFUNCTION("""COMPUTED_VALUE"""),0.0)</f>
        <v>0</v>
      </c>
      <c r="C1130" s="2">
        <f>IFERROR(__xludf.DUMMYFUNCTION("""COMPUTED_VALUE"""),674.0)</f>
        <v>674</v>
      </c>
      <c r="D1130" s="3">
        <f>IFERROR(__xludf.DUMMYFUNCTION("""COMPUTED_VALUE"""),601.0)</f>
        <v>601</v>
      </c>
      <c r="E1130" s="1" t="str">
        <f t="array" ref="E1130">_xlfn.XLOOKUP(A1130,Product!A:A,Product!B:B,"Bulunamadı")</f>
        <v>Law</v>
      </c>
      <c r="F1130" s="1" t="str">
        <f t="array" ref="F1130">_xlfn.XLOOKUP(A1130,Product!A:A,Product!C:C,"Bulunamadı")</f>
        <v>World War I</v>
      </c>
      <c r="G1130" s="2" t="str">
        <f t="array" ref="G1130">_xlfn.XLOOKUP(A1131,Product!A:A,Product!D:D,"Bulunamadı")</f>
        <v>Golden Valley Books</v>
      </c>
      <c r="H1130" s="2">
        <f t="array" ref="H1130">_xlfn.XLOOKUP(A1132,Product!A:A,Product!E:E,"Bulunamadı")</f>
        <v>1.05</v>
      </c>
      <c r="I1130" s="2" t="str">
        <f t="shared" si="1"/>
        <v>5648 - Law - World War I</v>
      </c>
      <c r="J1130" s="2">
        <f t="shared" si="2"/>
        <v>631.05</v>
      </c>
      <c r="K1130" s="17">
        <f t="shared" si="3"/>
        <v>1</v>
      </c>
      <c r="L1130" s="18"/>
    </row>
    <row r="1131" hidden="1">
      <c r="A1131" s="2">
        <f>IFERROR(__xludf.DUMMYFUNCTION("""COMPUTED_VALUE"""),108292.0)</f>
        <v>108292</v>
      </c>
      <c r="B1131" s="2">
        <f>IFERROR(__xludf.DUMMYFUNCTION("""COMPUTED_VALUE"""),1.0)</f>
        <v>1</v>
      </c>
      <c r="C1131" s="2">
        <f>IFERROR(__xludf.DUMMYFUNCTION("""COMPUTED_VALUE"""),630.0)</f>
        <v>630</v>
      </c>
      <c r="D1131" s="3">
        <f>IFERROR(__xludf.DUMMYFUNCTION("""COMPUTED_VALUE"""),163.0)</f>
        <v>163</v>
      </c>
      <c r="E1131" s="1" t="str">
        <f t="array" ref="E1131">_xlfn.XLOOKUP(A1131,Product!A:A,Product!B:B,"Bulunamadı")</f>
        <v>Law</v>
      </c>
      <c r="F1131" s="1" t="str">
        <f t="array" ref="F1131">_xlfn.XLOOKUP(A1131,Product!A:A,Product!C:C,"Bulunamadı")</f>
        <v>World War I</v>
      </c>
      <c r="G1131" s="2" t="str">
        <f t="array" ref="G1131">_xlfn.XLOOKUP(A1132,Product!A:A,Product!D:D,"Bulunamadı")</f>
        <v>Golden Valley Books</v>
      </c>
      <c r="H1131" s="2">
        <f t="array" ref="H1131">_xlfn.XLOOKUP(A1133,Product!A:A,Product!E:E,"Bulunamadı")</f>
        <v>0.63</v>
      </c>
      <c r="I1131" s="2" t="str">
        <f t="shared" si="1"/>
        <v>108292 - Law - World War I</v>
      </c>
      <c r="J1131" s="2">
        <f t="shared" si="2"/>
        <v>102.69</v>
      </c>
      <c r="K1131" s="17">
        <f t="shared" si="3"/>
        <v>1</v>
      </c>
      <c r="L1131" s="18"/>
    </row>
    <row r="1132" hidden="1">
      <c r="A1132" s="2">
        <f>IFERROR(__xludf.DUMMYFUNCTION("""COMPUTED_VALUE"""),110572.0)</f>
        <v>110572</v>
      </c>
      <c r="B1132" s="2">
        <f>IFERROR(__xludf.DUMMYFUNCTION("""COMPUTED_VALUE"""),1.0)</f>
        <v>1</v>
      </c>
      <c r="C1132" s="2">
        <f>IFERROR(__xludf.DUMMYFUNCTION("""COMPUTED_VALUE"""),361.0)</f>
        <v>361</v>
      </c>
      <c r="D1132" s="3">
        <f>IFERROR(__xludf.DUMMYFUNCTION("""COMPUTED_VALUE"""),41.0)</f>
        <v>41</v>
      </c>
      <c r="E1132" s="1" t="str">
        <f t="array" ref="E1132">_xlfn.XLOOKUP(A1132,Product!A:A,Product!B:B,"Bulunamadı")</f>
        <v>Law</v>
      </c>
      <c r="F1132" s="1" t="str">
        <f t="array" ref="F1132">_xlfn.XLOOKUP(A1132,Product!A:A,Product!C:C,"Bulunamadı")</f>
        <v>World War I</v>
      </c>
      <c r="G1132" s="2" t="str">
        <f t="array" ref="G1132">_xlfn.XLOOKUP(A1133,Product!A:A,Product!D:D,"Bulunamadı")</f>
        <v>Golden Valley Books</v>
      </c>
      <c r="H1132" s="2">
        <f t="array" ref="H1132">_xlfn.XLOOKUP(A1134,Product!A:A,Product!E:E,"Bulunamadı")</f>
        <v>1.32</v>
      </c>
      <c r="I1132" s="2" t="str">
        <f t="shared" si="1"/>
        <v>110572 - Law - World War I</v>
      </c>
      <c r="J1132" s="2">
        <f t="shared" si="2"/>
        <v>54.12</v>
      </c>
      <c r="K1132" s="17">
        <f t="shared" si="3"/>
        <v>1</v>
      </c>
      <c r="L1132" s="18"/>
    </row>
    <row r="1133" hidden="1">
      <c r="A1133" s="2">
        <f>IFERROR(__xludf.DUMMYFUNCTION("""COMPUTED_VALUE"""),77456.0)</f>
        <v>77456</v>
      </c>
      <c r="B1133" s="2">
        <f>IFERROR(__xludf.DUMMYFUNCTION("""COMPUTED_VALUE"""),1.0)</f>
        <v>1</v>
      </c>
      <c r="C1133" s="2">
        <f>IFERROR(__xludf.DUMMYFUNCTION("""COMPUTED_VALUE"""),128.0)</f>
        <v>128</v>
      </c>
      <c r="D1133" s="3">
        <f>IFERROR(__xludf.DUMMYFUNCTION("""COMPUTED_VALUE"""),15.0)</f>
        <v>15</v>
      </c>
      <c r="E1133" s="1" t="str">
        <f t="array" ref="E1133">_xlfn.XLOOKUP(A1133,Product!A:A,Product!B:B,"Bulunamadı")</f>
        <v>Law</v>
      </c>
      <c r="F1133" s="1" t="str">
        <f t="array" ref="F1133">_xlfn.XLOOKUP(A1133,Product!A:A,Product!C:C,"Bulunamadı")</f>
        <v>World War I</v>
      </c>
      <c r="G1133" s="2" t="str">
        <f t="array" ref="G1133">_xlfn.XLOOKUP(A1134,Product!A:A,Product!D:D,"Bulunamadı")</f>
        <v>Riverlight Press</v>
      </c>
      <c r="H1133" s="2">
        <f t="array" ref="H1133">_xlfn.XLOOKUP(A1135,Product!A:A,Product!E:E,"Bulunamadı")</f>
        <v>1.71</v>
      </c>
      <c r="I1133" s="2" t="str">
        <f t="shared" si="1"/>
        <v>77456 - Law - World War I</v>
      </c>
      <c r="J1133" s="2">
        <f t="shared" si="2"/>
        <v>25.65</v>
      </c>
      <c r="K1133" s="17">
        <f t="shared" si="3"/>
        <v>1</v>
      </c>
      <c r="L1133" s="18"/>
    </row>
    <row r="1134" hidden="1">
      <c r="A1134" s="2">
        <f>IFERROR(__xludf.DUMMYFUNCTION("""COMPUTED_VALUE"""),77454.0)</f>
        <v>77454</v>
      </c>
      <c r="B1134" s="2">
        <f>IFERROR(__xludf.DUMMYFUNCTION("""COMPUTED_VALUE"""),0.0)</f>
        <v>0</v>
      </c>
      <c r="C1134" s="2">
        <f>IFERROR(__xludf.DUMMYFUNCTION("""COMPUTED_VALUE"""),927.0)</f>
        <v>927</v>
      </c>
      <c r="D1134" s="3">
        <f>IFERROR(__xludf.DUMMYFUNCTION("""COMPUTED_VALUE"""),130.0)</f>
        <v>130</v>
      </c>
      <c r="E1134" s="1" t="str">
        <f t="array" ref="E1134">_xlfn.XLOOKUP(A1134,Product!A:A,Product!B:B,"Bulunamadı")</f>
        <v>Law</v>
      </c>
      <c r="F1134" s="1" t="str">
        <f t="array" ref="F1134">_xlfn.XLOOKUP(A1134,Product!A:A,Product!C:C,"Bulunamadı")</f>
        <v>World War I</v>
      </c>
      <c r="G1134" s="2" t="str">
        <f t="array" ref="G1134">_xlfn.XLOOKUP(A1135,Product!A:A,Product!D:D,"Bulunamadı")</f>
        <v>Riverlight Press</v>
      </c>
      <c r="H1134" s="2">
        <f t="array" ref="H1134">_xlfn.XLOOKUP(A1136,Product!A:A,Product!E:E,"Bulunamadı")</f>
        <v>2.01</v>
      </c>
      <c r="I1134" s="2" t="str">
        <f t="shared" si="1"/>
        <v>77454 - Law - World War I</v>
      </c>
      <c r="J1134" s="2">
        <f t="shared" si="2"/>
        <v>261.3</v>
      </c>
      <c r="K1134" s="17">
        <f t="shared" si="3"/>
        <v>1</v>
      </c>
      <c r="L1134" s="18"/>
    </row>
    <row r="1135" hidden="1">
      <c r="A1135" s="2">
        <f>IFERROR(__xludf.DUMMYFUNCTION("""COMPUTED_VALUE"""),44095.0)</f>
        <v>44095</v>
      </c>
      <c r="B1135" s="2">
        <f>IFERROR(__xludf.DUMMYFUNCTION("""COMPUTED_VALUE"""),1.0)</f>
        <v>1</v>
      </c>
      <c r="C1135" s="2">
        <f>IFERROR(__xludf.DUMMYFUNCTION("""COMPUTED_VALUE"""),505.0)</f>
        <v>505</v>
      </c>
      <c r="D1135" s="3">
        <f>IFERROR(__xludf.DUMMYFUNCTION("""COMPUTED_VALUE"""),274.0)</f>
        <v>274</v>
      </c>
      <c r="E1135" s="1" t="str">
        <f t="array" ref="E1135">_xlfn.XLOOKUP(A1135,Product!A:A,Product!B:B,"Bulunamadı")</f>
        <v>Law</v>
      </c>
      <c r="F1135" s="1" t="str">
        <f t="array" ref="F1135">_xlfn.XLOOKUP(A1135,Product!A:A,Product!C:C,"Bulunamadı")</f>
        <v>World War I</v>
      </c>
      <c r="G1135" s="2" t="str">
        <f t="array" ref="G1135">_xlfn.XLOOKUP(A1136,Product!A:A,Product!D:D,"Bulunamadı")</f>
        <v>Riverlight Press</v>
      </c>
      <c r="H1135" s="2">
        <f t="array" ref="H1135">_xlfn.XLOOKUP(A1137,Product!A:A,Product!E:E,"Bulunamadı")</f>
        <v>1.51</v>
      </c>
      <c r="I1135" s="2" t="str">
        <f t="shared" si="1"/>
        <v>44095 - Law - World War I</v>
      </c>
      <c r="J1135" s="2">
        <f t="shared" si="2"/>
        <v>413.74</v>
      </c>
      <c r="K1135" s="17">
        <f t="shared" si="3"/>
        <v>1</v>
      </c>
      <c r="L1135" s="18"/>
    </row>
    <row r="1136" hidden="1">
      <c r="A1136" s="2">
        <f>IFERROR(__xludf.DUMMYFUNCTION("""COMPUTED_VALUE"""),87419.0)</f>
        <v>87419</v>
      </c>
      <c r="B1136" s="2">
        <f>IFERROR(__xludf.DUMMYFUNCTION("""COMPUTED_VALUE"""),1.0)</f>
        <v>1</v>
      </c>
      <c r="C1136" s="2">
        <f>IFERROR(__xludf.DUMMYFUNCTION("""COMPUTED_VALUE"""),252.0)</f>
        <v>252</v>
      </c>
      <c r="D1136" s="3">
        <f>IFERROR(__xludf.DUMMYFUNCTION("""COMPUTED_VALUE"""),129.0)</f>
        <v>129</v>
      </c>
      <c r="E1136" s="1" t="str">
        <f t="array" ref="E1136">_xlfn.XLOOKUP(A1136,Product!A:A,Product!B:B,"Bulunamadı")</f>
        <v>Law</v>
      </c>
      <c r="F1136" s="1" t="str">
        <f t="array" ref="F1136">_xlfn.XLOOKUP(A1136,Product!A:A,Product!C:C,"Bulunamadı")</f>
        <v>World War I</v>
      </c>
      <c r="G1136" s="2" t="str">
        <f t="array" ref="G1136">_xlfn.XLOOKUP(A1137,Product!A:A,Product!D:D,"Bulunamadı")</f>
        <v>Riverlight Press</v>
      </c>
      <c r="H1136" s="2">
        <f t="array" ref="H1136">_xlfn.XLOOKUP(A1138,Product!A:A,Product!E:E,"Bulunamadı")</f>
        <v>1.77</v>
      </c>
      <c r="I1136" s="2" t="str">
        <f t="shared" si="1"/>
        <v>87419 - Law - World War I</v>
      </c>
      <c r="J1136" s="2">
        <f t="shared" si="2"/>
        <v>228.33</v>
      </c>
      <c r="K1136" s="17">
        <f t="shared" si="3"/>
        <v>1</v>
      </c>
      <c r="L1136" s="18"/>
    </row>
    <row r="1137" hidden="1">
      <c r="A1137" s="2">
        <f>IFERROR(__xludf.DUMMYFUNCTION("""COMPUTED_VALUE"""),44087.0)</f>
        <v>44087</v>
      </c>
      <c r="B1137" s="2">
        <f>IFERROR(__xludf.DUMMYFUNCTION("""COMPUTED_VALUE"""),1.0)</f>
        <v>1</v>
      </c>
      <c r="C1137" s="2">
        <f>IFERROR(__xludf.DUMMYFUNCTION("""COMPUTED_VALUE"""),321.0)</f>
        <v>321</v>
      </c>
      <c r="D1137" s="3">
        <f>IFERROR(__xludf.DUMMYFUNCTION("""COMPUTED_VALUE"""),292.0)</f>
        <v>292</v>
      </c>
      <c r="E1137" s="1" t="str">
        <f t="array" ref="E1137">_xlfn.XLOOKUP(A1137,Product!A:A,Product!B:B,"Bulunamadı")</f>
        <v>Law</v>
      </c>
      <c r="F1137" s="1" t="str">
        <f t="array" ref="F1137">_xlfn.XLOOKUP(A1137,Product!A:A,Product!C:C,"Bulunamadı")</f>
        <v>World War I</v>
      </c>
      <c r="G1137" s="2" t="str">
        <f t="array" ref="G1137">_xlfn.XLOOKUP(A1138,Product!A:A,Product!D:D,"Bulunamadı")</f>
        <v>Riverlight Press</v>
      </c>
      <c r="H1137" s="2">
        <f t="array" ref="H1137">_xlfn.XLOOKUP(A1139,Product!A:A,Product!E:E,"Bulunamadı")</f>
        <v>1.63</v>
      </c>
      <c r="I1137" s="2" t="str">
        <f t="shared" si="1"/>
        <v>44087 - Law - World War I</v>
      </c>
      <c r="J1137" s="2">
        <f t="shared" si="2"/>
        <v>475.96</v>
      </c>
      <c r="K1137" s="17">
        <f t="shared" si="3"/>
        <v>1</v>
      </c>
      <c r="L1137" s="18"/>
    </row>
    <row r="1138" hidden="1">
      <c r="A1138" s="2">
        <f>IFERROR(__xludf.DUMMYFUNCTION("""COMPUTED_VALUE"""),44129.0)</f>
        <v>44129</v>
      </c>
      <c r="B1138" s="2">
        <f>IFERROR(__xludf.DUMMYFUNCTION("""COMPUTED_VALUE"""),0.0)</f>
        <v>0</v>
      </c>
      <c r="C1138" s="2">
        <f>IFERROR(__xludf.DUMMYFUNCTION("""COMPUTED_VALUE"""),574.0)</f>
        <v>574</v>
      </c>
      <c r="D1138" s="3">
        <f>IFERROR(__xludf.DUMMYFUNCTION("""COMPUTED_VALUE"""),19.0)</f>
        <v>19</v>
      </c>
      <c r="E1138" s="1" t="str">
        <f t="array" ref="E1138">_xlfn.XLOOKUP(A1138,Product!A:A,Product!B:B,"Bulunamadı")</f>
        <v>Law</v>
      </c>
      <c r="F1138" s="1" t="str">
        <f t="array" ref="F1138">_xlfn.XLOOKUP(A1138,Product!A:A,Product!C:C,"Bulunamadı")</f>
        <v>World War I</v>
      </c>
      <c r="G1138" s="2" t="str">
        <f t="array" ref="G1138">_xlfn.XLOOKUP(A1139,Product!A:A,Product!D:D,"Bulunamadı")</f>
        <v>Riverlight Press</v>
      </c>
      <c r="H1138" s="2">
        <f t="array" ref="H1138">_xlfn.XLOOKUP(A1140,Product!A:A,Product!E:E,"Bulunamadı")</f>
        <v>1.86</v>
      </c>
      <c r="I1138" s="2" t="str">
        <f t="shared" si="1"/>
        <v>44129 - Law - World War I</v>
      </c>
      <c r="J1138" s="2">
        <f t="shared" si="2"/>
        <v>35.34</v>
      </c>
      <c r="K1138" s="17">
        <f t="shared" si="3"/>
        <v>1</v>
      </c>
      <c r="L1138" s="18"/>
    </row>
    <row r="1139" hidden="1">
      <c r="A1139" s="2">
        <f>IFERROR(__xludf.DUMMYFUNCTION("""COMPUTED_VALUE"""),103832.0)</f>
        <v>103832</v>
      </c>
      <c r="B1139" s="2">
        <f>IFERROR(__xludf.DUMMYFUNCTION("""COMPUTED_VALUE"""),1.0)</f>
        <v>1</v>
      </c>
      <c r="C1139" s="2">
        <f>IFERROR(__xludf.DUMMYFUNCTION("""COMPUTED_VALUE"""),810.0)</f>
        <v>810</v>
      </c>
      <c r="D1139" s="3">
        <f>IFERROR(__xludf.DUMMYFUNCTION("""COMPUTED_VALUE"""),95.0)</f>
        <v>95</v>
      </c>
      <c r="E1139" s="1" t="str">
        <f t="array" ref="E1139">_xlfn.XLOOKUP(A1139,Product!A:A,Product!B:B,"Bulunamadı")</f>
        <v>Law</v>
      </c>
      <c r="F1139" s="1" t="str">
        <f t="array" ref="F1139">_xlfn.XLOOKUP(A1139,Product!A:A,Product!C:C,"Bulunamadı")</f>
        <v>World War I</v>
      </c>
      <c r="G1139" s="2" t="str">
        <f t="array" ref="G1139">_xlfn.XLOOKUP(A1140,Product!A:A,Product!D:D,"Bulunamadı")</f>
        <v>Riverlight Press</v>
      </c>
      <c r="H1139" s="2">
        <f t="array" ref="H1139">_xlfn.XLOOKUP(A1141,Product!A:A,Product!E:E,"Bulunamadı")</f>
        <v>1.66</v>
      </c>
      <c r="I1139" s="2" t="str">
        <f t="shared" si="1"/>
        <v>103832 - Law - World War I</v>
      </c>
      <c r="J1139" s="2">
        <f t="shared" si="2"/>
        <v>157.7</v>
      </c>
      <c r="K1139" s="17">
        <f t="shared" si="3"/>
        <v>1</v>
      </c>
      <c r="L1139" s="18"/>
    </row>
    <row r="1140" hidden="1">
      <c r="A1140" s="2">
        <f>IFERROR(__xludf.DUMMYFUNCTION("""COMPUTED_VALUE"""),103819.0)</f>
        <v>103819</v>
      </c>
      <c r="B1140" s="2">
        <f>IFERROR(__xludf.DUMMYFUNCTION("""COMPUTED_VALUE"""),0.0)</f>
        <v>0</v>
      </c>
      <c r="C1140" s="2">
        <f>IFERROR(__xludf.DUMMYFUNCTION("""COMPUTED_VALUE"""),595.0)</f>
        <v>595</v>
      </c>
      <c r="D1140" s="3">
        <f>IFERROR(__xludf.DUMMYFUNCTION("""COMPUTED_VALUE"""),289.0)</f>
        <v>289</v>
      </c>
      <c r="E1140" s="1" t="str">
        <f t="array" ref="E1140">_xlfn.XLOOKUP(A1140,Product!A:A,Product!B:B,"Bulunamadı")</f>
        <v>Law</v>
      </c>
      <c r="F1140" s="1" t="str">
        <f t="array" ref="F1140">_xlfn.XLOOKUP(A1140,Product!A:A,Product!C:C,"Bulunamadı")</f>
        <v>World War I</v>
      </c>
      <c r="G1140" s="2" t="str">
        <f t="array" ref="G1140">_xlfn.XLOOKUP(A1141,Product!A:A,Product!D:D,"Bulunamadı")</f>
        <v>Riverlight Press</v>
      </c>
      <c r="H1140" s="2">
        <f t="array" ref="H1140">_xlfn.XLOOKUP(A1142,Product!A:A,Product!E:E,"Bulunamadı")</f>
        <v>1.78</v>
      </c>
      <c r="I1140" s="2" t="str">
        <f t="shared" si="1"/>
        <v>103819 - Law - World War I</v>
      </c>
      <c r="J1140" s="2">
        <f t="shared" si="2"/>
        <v>514.42</v>
      </c>
      <c r="K1140" s="17">
        <f t="shared" si="3"/>
        <v>1</v>
      </c>
      <c r="L1140" s="18"/>
    </row>
    <row r="1141" hidden="1">
      <c r="A1141" s="2">
        <f>IFERROR(__xludf.DUMMYFUNCTION("""COMPUTED_VALUE"""),88683.0)</f>
        <v>88683</v>
      </c>
      <c r="B1141" s="2">
        <f>IFERROR(__xludf.DUMMYFUNCTION("""COMPUTED_VALUE"""),0.0)</f>
        <v>0</v>
      </c>
      <c r="C1141" s="2">
        <f>IFERROR(__xludf.DUMMYFUNCTION("""COMPUTED_VALUE"""),278.0)</f>
        <v>278</v>
      </c>
      <c r="D1141" s="3">
        <f>IFERROR(__xludf.DUMMYFUNCTION("""COMPUTED_VALUE"""),143.0)</f>
        <v>143</v>
      </c>
      <c r="E1141" s="1" t="str">
        <f t="array" ref="E1141">_xlfn.XLOOKUP(A1141,Product!A:A,Product!B:B,"Bulunamadı")</f>
        <v>Law</v>
      </c>
      <c r="F1141" s="1" t="str">
        <f t="array" ref="F1141">_xlfn.XLOOKUP(A1141,Product!A:A,Product!C:C,"Bulunamadı")</f>
        <v>World War I</v>
      </c>
      <c r="G1141" s="2" t="str">
        <f t="array" ref="G1141">_xlfn.XLOOKUP(A1142,Product!A:A,Product!D:D,"Bulunamadı")</f>
        <v>Riverlight Press</v>
      </c>
      <c r="H1141" s="2">
        <f t="array" ref="H1141">_xlfn.XLOOKUP(A1143,Product!A:A,Product!E:E,"Bulunamadı")</f>
        <v>1.01</v>
      </c>
      <c r="I1141" s="2" t="str">
        <f t="shared" si="1"/>
        <v>88683 - Law - World War I</v>
      </c>
      <c r="J1141" s="2">
        <f t="shared" si="2"/>
        <v>144.43</v>
      </c>
      <c r="K1141" s="17">
        <f t="shared" si="3"/>
        <v>1</v>
      </c>
      <c r="L1141" s="18"/>
    </row>
    <row r="1142" hidden="1">
      <c r="A1142" s="2">
        <f>IFERROR(__xludf.DUMMYFUNCTION("""COMPUTED_VALUE"""),5676.0)</f>
        <v>5676</v>
      </c>
      <c r="B1142" s="2">
        <f>IFERROR(__xludf.DUMMYFUNCTION("""COMPUTED_VALUE"""),1.0)</f>
        <v>1</v>
      </c>
      <c r="C1142" s="2">
        <f>IFERROR(__xludf.DUMMYFUNCTION("""COMPUTED_VALUE"""),157.0)</f>
        <v>157</v>
      </c>
      <c r="D1142" s="3">
        <f>IFERROR(__xludf.DUMMYFUNCTION("""COMPUTED_VALUE"""),143.0)</f>
        <v>143</v>
      </c>
      <c r="E1142" s="1" t="str">
        <f t="array" ref="E1142">_xlfn.XLOOKUP(A1142,Product!A:A,Product!B:B,"Bulunamadı")</f>
        <v>Law</v>
      </c>
      <c r="F1142" s="1" t="str">
        <f t="array" ref="F1142">_xlfn.XLOOKUP(A1142,Product!A:A,Product!C:C,"Bulunamadı")</f>
        <v>World War I</v>
      </c>
      <c r="G1142" s="2" t="str">
        <f t="array" ref="G1142">_xlfn.XLOOKUP(A1143,Product!A:A,Product!D:D,"Bulunamadı")</f>
        <v>Riverlight Press</v>
      </c>
      <c r="H1142" s="2">
        <f t="array" ref="H1142">_xlfn.XLOOKUP(A1144,Product!A:A,Product!E:E,"Bulunamadı")</f>
        <v>2.48</v>
      </c>
      <c r="I1142" s="2" t="str">
        <f t="shared" si="1"/>
        <v>5676 - Law - World War I</v>
      </c>
      <c r="J1142" s="2">
        <f t="shared" si="2"/>
        <v>354.64</v>
      </c>
      <c r="K1142" s="17">
        <f t="shared" si="3"/>
        <v>1</v>
      </c>
      <c r="L1142" s="18"/>
    </row>
    <row r="1143" hidden="1">
      <c r="A1143" s="2">
        <f>IFERROR(__xludf.DUMMYFUNCTION("""COMPUTED_VALUE"""),116776.0)</f>
        <v>116776</v>
      </c>
      <c r="B1143" s="2">
        <f>IFERROR(__xludf.DUMMYFUNCTION("""COMPUTED_VALUE"""),0.0)</f>
        <v>0</v>
      </c>
      <c r="C1143" s="2">
        <f>IFERROR(__xludf.DUMMYFUNCTION("""COMPUTED_VALUE"""),291.0)</f>
        <v>291</v>
      </c>
      <c r="D1143" s="3">
        <f>IFERROR(__xludf.DUMMYFUNCTION("""COMPUTED_VALUE"""),24.0)</f>
        <v>24</v>
      </c>
      <c r="E1143" s="1" t="str">
        <f t="array" ref="E1143">_xlfn.XLOOKUP(A1143,Product!A:A,Product!B:B,"Bulunamadı")</f>
        <v>Law</v>
      </c>
      <c r="F1143" s="1" t="str">
        <f t="array" ref="F1143">_xlfn.XLOOKUP(A1143,Product!A:A,Product!C:C,"Bulunamadı")</f>
        <v>World War I</v>
      </c>
      <c r="G1143" s="2" t="str">
        <f t="array" ref="G1143">_xlfn.XLOOKUP(A1144,Product!A:A,Product!D:D,"Bulunamadı")</f>
        <v>Riverlight Press</v>
      </c>
      <c r="H1143" s="2">
        <f t="array" ref="H1143">_xlfn.XLOOKUP(A1145,Product!A:A,Product!E:E,"Bulunamadı")</f>
        <v>2.16</v>
      </c>
      <c r="I1143" s="2" t="str">
        <f t="shared" si="1"/>
        <v>116776 - Law - World War I</v>
      </c>
      <c r="J1143" s="2">
        <f t="shared" si="2"/>
        <v>51.84</v>
      </c>
      <c r="K1143" s="17">
        <f t="shared" si="3"/>
        <v>1</v>
      </c>
      <c r="L1143" s="18"/>
    </row>
    <row r="1144" hidden="1">
      <c r="A1144" s="2">
        <f>IFERROR(__xludf.DUMMYFUNCTION("""COMPUTED_VALUE"""),5668.0)</f>
        <v>5668</v>
      </c>
      <c r="B1144" s="2">
        <f>IFERROR(__xludf.DUMMYFUNCTION("""COMPUTED_VALUE"""),0.0)</f>
        <v>0</v>
      </c>
      <c r="C1144" s="2">
        <f>IFERROR(__xludf.DUMMYFUNCTION("""COMPUTED_VALUE"""),795.0)</f>
        <v>795</v>
      </c>
      <c r="D1144" s="3">
        <f>IFERROR(__xludf.DUMMYFUNCTION("""COMPUTED_VALUE"""),414.0)</f>
        <v>414</v>
      </c>
      <c r="E1144" s="1" t="str">
        <f t="array" ref="E1144">_xlfn.XLOOKUP(A1144,Product!A:A,Product!B:B,"Bulunamadı")</f>
        <v>Law</v>
      </c>
      <c r="F1144" s="1" t="str">
        <f t="array" ref="F1144">_xlfn.XLOOKUP(A1144,Product!A:A,Product!C:C,"Bulunamadı")</f>
        <v>World War I</v>
      </c>
      <c r="G1144" s="2" t="str">
        <f t="array" ref="G1144">_xlfn.XLOOKUP(A1145,Product!A:A,Product!D:D,"Bulunamadı")</f>
        <v>Riverlight Press</v>
      </c>
      <c r="H1144" s="2">
        <f t="array" ref="H1144">_xlfn.XLOOKUP(A1146,Product!A:A,Product!E:E,"Bulunamadı")</f>
        <v>0.95</v>
      </c>
      <c r="I1144" s="2" t="str">
        <f t="shared" si="1"/>
        <v>5668 - Law - World War I</v>
      </c>
      <c r="J1144" s="2">
        <f t="shared" si="2"/>
        <v>393.3</v>
      </c>
      <c r="K1144" s="17">
        <f t="shared" si="3"/>
        <v>1</v>
      </c>
      <c r="L1144" s="18"/>
    </row>
    <row r="1145" hidden="1">
      <c r="A1145" s="2">
        <f>IFERROR(__xludf.DUMMYFUNCTION("""COMPUTED_VALUE"""),119052.0)</f>
        <v>119052</v>
      </c>
      <c r="B1145" s="2">
        <f>IFERROR(__xludf.DUMMYFUNCTION("""COMPUTED_VALUE"""),1.0)</f>
        <v>1</v>
      </c>
      <c r="C1145" s="2">
        <f>IFERROR(__xludf.DUMMYFUNCTION("""COMPUTED_VALUE"""),22.0)</f>
        <v>22</v>
      </c>
      <c r="D1145" s="3">
        <f>IFERROR(__xludf.DUMMYFUNCTION("""COMPUTED_VALUE"""),22.0)</f>
        <v>22</v>
      </c>
      <c r="E1145" s="1" t="str">
        <f t="array" ref="E1145">_xlfn.XLOOKUP(A1145,Product!A:A,Product!B:B,"Bulunamadı")</f>
        <v>Law</v>
      </c>
      <c r="F1145" s="1" t="str">
        <f t="array" ref="F1145">_xlfn.XLOOKUP(A1145,Product!A:A,Product!C:C,"Bulunamadı")</f>
        <v>World War I</v>
      </c>
      <c r="G1145" s="2" t="str">
        <f t="array" ref="G1145">_xlfn.XLOOKUP(A1146,Product!A:A,Product!D:D,"Bulunamadı")</f>
        <v>Riverlight Press</v>
      </c>
      <c r="H1145" s="2">
        <f t="array" ref="H1145">_xlfn.XLOOKUP(A1147,Product!A:A,Product!E:E,"Bulunamadı")</f>
        <v>2.17</v>
      </c>
      <c r="I1145" s="2" t="str">
        <f t="shared" si="1"/>
        <v>119052 - Law - World War I</v>
      </c>
      <c r="J1145" s="2">
        <f t="shared" si="2"/>
        <v>47.74</v>
      </c>
      <c r="K1145" s="17">
        <f t="shared" si="3"/>
        <v>1</v>
      </c>
      <c r="L1145" s="18"/>
    </row>
    <row r="1146" hidden="1">
      <c r="A1146" s="2">
        <f>IFERROR(__xludf.DUMMYFUNCTION("""COMPUTED_VALUE"""),118920.0)</f>
        <v>118920</v>
      </c>
      <c r="B1146" s="2">
        <f>IFERROR(__xludf.DUMMYFUNCTION("""COMPUTED_VALUE"""),1.0)</f>
        <v>1</v>
      </c>
      <c r="C1146" s="2">
        <f>IFERROR(__xludf.DUMMYFUNCTION("""COMPUTED_VALUE"""),453.0)</f>
        <v>453</v>
      </c>
      <c r="D1146" s="3">
        <f>IFERROR(__xludf.DUMMYFUNCTION("""COMPUTED_VALUE"""),55.0)</f>
        <v>55</v>
      </c>
      <c r="E1146" s="1" t="str">
        <f t="array" ref="E1146">_xlfn.XLOOKUP(A1146,Product!A:A,Product!B:B,"Bulunamadı")</f>
        <v>Law</v>
      </c>
      <c r="F1146" s="1" t="str">
        <f t="array" ref="F1146">_xlfn.XLOOKUP(A1146,Product!A:A,Product!C:C,"Bulunamadı")</f>
        <v>World War I</v>
      </c>
      <c r="G1146" s="2" t="str">
        <f t="array" ref="G1146">_xlfn.XLOOKUP(A1147,Product!A:A,Product!D:D,"Bulunamadı")</f>
        <v>Ironwood Ridge Publishing</v>
      </c>
      <c r="H1146" s="2">
        <f t="array" ref="H1146">_xlfn.XLOOKUP(A1148,Product!A:A,Product!E:E,"Bulunamadı")</f>
        <v>2.86</v>
      </c>
      <c r="I1146" s="2" t="str">
        <f t="shared" si="1"/>
        <v>118920 - Law - World War I</v>
      </c>
      <c r="J1146" s="2">
        <f t="shared" si="2"/>
        <v>157.3</v>
      </c>
      <c r="K1146" s="17">
        <f t="shared" si="3"/>
        <v>1</v>
      </c>
      <c r="L1146" s="18"/>
    </row>
    <row r="1147" hidden="1">
      <c r="A1147" s="2">
        <f>IFERROR(__xludf.DUMMYFUNCTION("""COMPUTED_VALUE"""),96003.0)</f>
        <v>96003</v>
      </c>
      <c r="B1147" s="2">
        <f>IFERROR(__xludf.DUMMYFUNCTION("""COMPUTED_VALUE"""),0.0)</f>
        <v>0</v>
      </c>
      <c r="C1147" s="2">
        <f>IFERROR(__xludf.DUMMYFUNCTION("""COMPUTED_VALUE"""),687.0)</f>
        <v>687</v>
      </c>
      <c r="D1147" s="3">
        <f>IFERROR(__xludf.DUMMYFUNCTION("""COMPUTED_VALUE"""),253.0)</f>
        <v>253</v>
      </c>
      <c r="E1147" s="1" t="str">
        <f t="array" ref="E1147">_xlfn.XLOOKUP(A1147,Product!A:A,Product!B:B,"Bulunamadı")</f>
        <v>Law</v>
      </c>
      <c r="F1147" s="1" t="str">
        <f t="array" ref="F1147">_xlfn.XLOOKUP(A1147,Product!A:A,Product!C:C,"Bulunamadı")</f>
        <v>World War I</v>
      </c>
      <c r="G1147" s="2" t="str">
        <f t="array" ref="G1147">_xlfn.XLOOKUP(A1148,Product!A:A,Product!D:D,"Bulunamadı")</f>
        <v>Ironwood Ridge Publishing</v>
      </c>
      <c r="H1147" s="2">
        <f t="array" ref="H1147">_xlfn.XLOOKUP(A1149,Product!A:A,Product!E:E,"Bulunamadı")</f>
        <v>2.08</v>
      </c>
      <c r="I1147" s="2" t="str">
        <f t="shared" si="1"/>
        <v>96003 - Law - World War I</v>
      </c>
      <c r="J1147" s="2">
        <f t="shared" si="2"/>
        <v>526.24</v>
      </c>
      <c r="K1147" s="17">
        <f t="shared" si="3"/>
        <v>1</v>
      </c>
      <c r="L1147" s="18"/>
    </row>
    <row r="1148" hidden="1">
      <c r="A1148" s="2">
        <f>IFERROR(__xludf.DUMMYFUNCTION("""COMPUTED_VALUE"""),116380.0)</f>
        <v>116380</v>
      </c>
      <c r="B1148" s="2">
        <f>IFERROR(__xludf.DUMMYFUNCTION("""COMPUTED_VALUE"""),0.0)</f>
        <v>0</v>
      </c>
      <c r="C1148" s="2">
        <f>IFERROR(__xludf.DUMMYFUNCTION("""COMPUTED_VALUE"""),724.0)</f>
        <v>724</v>
      </c>
      <c r="D1148" s="3">
        <f>IFERROR(__xludf.DUMMYFUNCTION("""COMPUTED_VALUE"""),99.0)</f>
        <v>99</v>
      </c>
      <c r="E1148" s="1" t="str">
        <f t="array" ref="E1148">_xlfn.XLOOKUP(A1148,Product!A:A,Product!B:B,"Bulunamadı")</f>
        <v>Law</v>
      </c>
      <c r="F1148" s="1" t="str">
        <f t="array" ref="F1148">_xlfn.XLOOKUP(A1148,Product!A:A,Product!C:C,"Bulunamadı")</f>
        <v>World War I</v>
      </c>
      <c r="G1148" s="2" t="str">
        <f t="array" ref="G1148">_xlfn.XLOOKUP(A1149,Product!A:A,Product!D:D,"Bulunamadı")</f>
        <v>Ironwood Ridge Publishing</v>
      </c>
      <c r="H1148" s="2">
        <f t="array" ref="H1148">_xlfn.XLOOKUP(A1150,Product!A:A,Product!E:E,"Bulunamadı")</f>
        <v>1.44</v>
      </c>
      <c r="I1148" s="2" t="str">
        <f t="shared" si="1"/>
        <v>116380 - Law - World War I</v>
      </c>
      <c r="J1148" s="2">
        <f t="shared" si="2"/>
        <v>142.56</v>
      </c>
      <c r="K1148" s="17">
        <f t="shared" si="3"/>
        <v>1</v>
      </c>
      <c r="L1148" s="18"/>
    </row>
    <row r="1149" hidden="1">
      <c r="A1149" s="2">
        <f>IFERROR(__xludf.DUMMYFUNCTION("""COMPUTED_VALUE"""),46291.0)</f>
        <v>46291</v>
      </c>
      <c r="B1149" s="2">
        <f>IFERROR(__xludf.DUMMYFUNCTION("""COMPUTED_VALUE"""),0.0)</f>
        <v>0</v>
      </c>
      <c r="C1149" s="2">
        <f>IFERROR(__xludf.DUMMYFUNCTION("""COMPUTED_VALUE"""),922.0)</f>
        <v>922</v>
      </c>
      <c r="D1149" s="3">
        <f>IFERROR(__xludf.DUMMYFUNCTION("""COMPUTED_VALUE"""),445.0)</f>
        <v>445</v>
      </c>
      <c r="E1149" s="1" t="str">
        <f t="array" ref="E1149">_xlfn.XLOOKUP(A1149,Product!A:A,Product!B:B,"Bulunamadı")</f>
        <v>Law</v>
      </c>
      <c r="F1149" s="1" t="str">
        <f t="array" ref="F1149">_xlfn.XLOOKUP(A1149,Product!A:A,Product!C:C,"Bulunamadı")</f>
        <v>World War I</v>
      </c>
      <c r="G1149" s="2" t="str">
        <f t="array" ref="G1149">_xlfn.XLOOKUP(A1150,Product!A:A,Product!D:D,"Bulunamadı")</f>
        <v>Ironwood Ridge Publishing</v>
      </c>
      <c r="H1149" s="2">
        <f t="array" ref="H1149">_xlfn.XLOOKUP(A1151,Product!A:A,Product!E:E,"Bulunamadı")</f>
        <v>3.29</v>
      </c>
      <c r="I1149" s="2" t="str">
        <f t="shared" si="1"/>
        <v>46291 - Law - World War I</v>
      </c>
      <c r="J1149" s="2">
        <f t="shared" si="2"/>
        <v>1464.05</v>
      </c>
      <c r="K1149" s="17">
        <f t="shared" si="3"/>
        <v>1</v>
      </c>
      <c r="L1149" s="18"/>
    </row>
    <row r="1150" hidden="1">
      <c r="A1150" s="2">
        <f>IFERROR(__xludf.DUMMYFUNCTION("""COMPUTED_VALUE"""),148742.0)</f>
        <v>148742</v>
      </c>
      <c r="B1150" s="2">
        <f>IFERROR(__xludf.DUMMYFUNCTION("""COMPUTED_VALUE"""),0.0)</f>
        <v>0</v>
      </c>
      <c r="C1150" s="2">
        <f>IFERROR(__xludf.DUMMYFUNCTION("""COMPUTED_VALUE"""),528.0)</f>
        <v>528</v>
      </c>
      <c r="D1150" s="3">
        <f>IFERROR(__xludf.DUMMYFUNCTION("""COMPUTED_VALUE"""),496.0)</f>
        <v>496</v>
      </c>
      <c r="E1150" s="1" t="str">
        <f t="array" ref="E1150">_xlfn.XLOOKUP(A1150,Product!A:A,Product!B:B,"Bulunamadı")</f>
        <v>Law</v>
      </c>
      <c r="F1150" s="1" t="str">
        <f t="array" ref="F1150">_xlfn.XLOOKUP(A1150,Product!A:A,Product!C:C,"Bulunamadı")</f>
        <v>World War I</v>
      </c>
      <c r="G1150" s="2" t="str">
        <f t="array" ref="G1150">_xlfn.XLOOKUP(A1151,Product!A:A,Product!D:D,"Bulunamadı")</f>
        <v>Ironwood Ridge Publishing</v>
      </c>
      <c r="H1150" s="2">
        <f t="array" ref="H1150">_xlfn.XLOOKUP(A1152,Product!A:A,Product!E:E,"Bulunamadı")</f>
        <v>1.92</v>
      </c>
      <c r="I1150" s="2" t="str">
        <f t="shared" si="1"/>
        <v>148742 - Law - World War I</v>
      </c>
      <c r="J1150" s="2">
        <f t="shared" si="2"/>
        <v>952.32</v>
      </c>
      <c r="K1150" s="17">
        <f t="shared" si="3"/>
        <v>1</v>
      </c>
      <c r="L1150" s="18"/>
    </row>
    <row r="1151" hidden="1">
      <c r="A1151" s="2">
        <f>IFERROR(__xludf.DUMMYFUNCTION("""COMPUTED_VALUE"""),83634.0)</f>
        <v>83634</v>
      </c>
      <c r="B1151" s="2">
        <f>IFERROR(__xludf.DUMMYFUNCTION("""COMPUTED_VALUE"""),0.0)</f>
        <v>0</v>
      </c>
      <c r="C1151" s="2">
        <f>IFERROR(__xludf.DUMMYFUNCTION("""COMPUTED_VALUE"""),62.0)</f>
        <v>62</v>
      </c>
      <c r="D1151" s="3">
        <f>IFERROR(__xludf.DUMMYFUNCTION("""COMPUTED_VALUE"""),46.0)</f>
        <v>46</v>
      </c>
      <c r="E1151" s="1" t="str">
        <f t="array" ref="E1151">_xlfn.XLOOKUP(A1151,Product!A:A,Product!B:B,"Bulunamadı")</f>
        <v>Law</v>
      </c>
      <c r="F1151" s="1" t="str">
        <f t="array" ref="F1151">_xlfn.XLOOKUP(A1151,Product!A:A,Product!C:C,"Bulunamadı")</f>
        <v>World War I</v>
      </c>
      <c r="G1151" s="2" t="str">
        <f t="array" ref="G1151">_xlfn.XLOOKUP(A1152,Product!A:A,Product!D:D,"Bulunamadı")</f>
        <v>Ironwood Ridge Publishing</v>
      </c>
      <c r="H1151" s="2">
        <f t="array" ref="H1151">_xlfn.XLOOKUP(A1153,Product!A:A,Product!E:E,"Bulunamadı")</f>
        <v>1.81</v>
      </c>
      <c r="I1151" s="2" t="str">
        <f t="shared" si="1"/>
        <v>83634 - Law - World War I</v>
      </c>
      <c r="J1151" s="2">
        <f t="shared" si="2"/>
        <v>83.26</v>
      </c>
      <c r="K1151" s="17">
        <f t="shared" si="3"/>
        <v>1</v>
      </c>
      <c r="L1151" s="18"/>
    </row>
    <row r="1152" hidden="1">
      <c r="A1152" s="2">
        <f>IFERROR(__xludf.DUMMYFUNCTION("""COMPUTED_VALUE"""),5657.0)</f>
        <v>5657</v>
      </c>
      <c r="B1152" s="2">
        <f>IFERROR(__xludf.DUMMYFUNCTION("""COMPUTED_VALUE"""),0.0)</f>
        <v>0</v>
      </c>
      <c r="C1152" s="2">
        <f>IFERROR(__xludf.DUMMYFUNCTION("""COMPUTED_VALUE"""),679.0)</f>
        <v>679</v>
      </c>
      <c r="D1152" s="3">
        <f>IFERROR(__xludf.DUMMYFUNCTION("""COMPUTED_VALUE"""),253.0)</f>
        <v>253</v>
      </c>
      <c r="E1152" s="1" t="str">
        <f t="array" ref="E1152">_xlfn.XLOOKUP(A1152,Product!A:A,Product!B:B,"Bulunamadı")</f>
        <v>Law</v>
      </c>
      <c r="F1152" s="1" t="str">
        <f t="array" ref="F1152">_xlfn.XLOOKUP(A1152,Product!A:A,Product!C:C,"Bulunamadı")</f>
        <v>World War I</v>
      </c>
      <c r="G1152" s="2" t="str">
        <f t="array" ref="G1152">_xlfn.XLOOKUP(A1153,Product!A:A,Product!D:D,"Bulunamadı")</f>
        <v>Ironwood Ridge Publishing</v>
      </c>
      <c r="H1152" s="2">
        <f t="array" ref="H1152">_xlfn.XLOOKUP(A1154,Product!A:A,Product!E:E,"Bulunamadı")</f>
        <v>2.89</v>
      </c>
      <c r="I1152" s="2" t="str">
        <f t="shared" si="1"/>
        <v>5657 - Law - World War I</v>
      </c>
      <c r="J1152" s="2">
        <f t="shared" si="2"/>
        <v>731.17</v>
      </c>
      <c r="K1152" s="17">
        <f t="shared" si="3"/>
        <v>1</v>
      </c>
      <c r="L1152" s="18"/>
    </row>
    <row r="1153" hidden="1">
      <c r="A1153" s="2">
        <f>IFERROR(__xludf.DUMMYFUNCTION("""COMPUTED_VALUE"""),78856.0)</f>
        <v>78856</v>
      </c>
      <c r="B1153" s="2">
        <f>IFERROR(__xludf.DUMMYFUNCTION("""COMPUTED_VALUE"""),0.0)</f>
        <v>0</v>
      </c>
      <c r="C1153" s="2">
        <f>IFERROR(__xludf.DUMMYFUNCTION("""COMPUTED_VALUE"""),649.0)</f>
        <v>649</v>
      </c>
      <c r="D1153" s="3">
        <f>IFERROR(__xludf.DUMMYFUNCTION("""COMPUTED_VALUE"""),301.0)</f>
        <v>301</v>
      </c>
      <c r="E1153" s="1" t="str">
        <f t="array" ref="E1153">_xlfn.XLOOKUP(A1153,Product!A:A,Product!B:B,"Bulunamadı")</f>
        <v>Law</v>
      </c>
      <c r="F1153" s="1" t="str">
        <f t="array" ref="F1153">_xlfn.XLOOKUP(A1153,Product!A:A,Product!C:C,"Bulunamadı")</f>
        <v>World War I</v>
      </c>
      <c r="G1153" s="2" t="str">
        <f t="array" ref="G1153">_xlfn.XLOOKUP(A1154,Product!A:A,Product!D:D,"Bulunamadı")</f>
        <v>Ironwood Ridge Publishing</v>
      </c>
      <c r="H1153" s="2">
        <f t="array" ref="H1153">_xlfn.XLOOKUP(A1155,Product!A:A,Product!E:E,"Bulunamadı")</f>
        <v>1.84</v>
      </c>
      <c r="I1153" s="2" t="str">
        <f t="shared" si="1"/>
        <v>78856 - Law - World War I</v>
      </c>
      <c r="J1153" s="2">
        <f t="shared" si="2"/>
        <v>553.84</v>
      </c>
      <c r="K1153" s="17">
        <f t="shared" si="3"/>
        <v>1</v>
      </c>
      <c r="L1153" s="18"/>
    </row>
    <row r="1154" hidden="1">
      <c r="A1154" s="2">
        <f>IFERROR(__xludf.DUMMYFUNCTION("""COMPUTED_VALUE"""),44123.0)</f>
        <v>44123</v>
      </c>
      <c r="B1154" s="2">
        <f>IFERROR(__xludf.DUMMYFUNCTION("""COMPUTED_VALUE"""),0.0)</f>
        <v>0</v>
      </c>
      <c r="C1154" s="2">
        <f>IFERROR(__xludf.DUMMYFUNCTION("""COMPUTED_VALUE"""),10.0)</f>
        <v>10</v>
      </c>
      <c r="D1154" s="3">
        <f>IFERROR(__xludf.DUMMYFUNCTION("""COMPUTED_VALUE"""),0.0)</f>
        <v>0</v>
      </c>
      <c r="E1154" s="1" t="str">
        <f t="array" ref="E1154">_xlfn.XLOOKUP(A1154,Product!A:A,Product!B:B,"Bulunamadı")</f>
        <v>Law</v>
      </c>
      <c r="F1154" s="1" t="str">
        <f t="array" ref="F1154">_xlfn.XLOOKUP(A1154,Product!A:A,Product!C:C,"Bulunamadı")</f>
        <v>World War I</v>
      </c>
      <c r="G1154" s="2" t="str">
        <f t="array" ref="G1154">_xlfn.XLOOKUP(A1155,Product!A:A,Product!D:D,"Bulunamadı")</f>
        <v>Ironwood Ridge Publishing</v>
      </c>
      <c r="H1154" s="2">
        <f t="array" ref="H1154">_xlfn.XLOOKUP(A1156,Product!A:A,Product!E:E,"Bulunamadı")</f>
        <v>2.23</v>
      </c>
      <c r="I1154" s="2" t="str">
        <f t="shared" si="1"/>
        <v>44123 - Law - World War I</v>
      </c>
      <c r="J1154" s="2">
        <f t="shared" si="2"/>
        <v>0</v>
      </c>
      <c r="K1154" s="17">
        <f t="shared" si="3"/>
        <v>0</v>
      </c>
      <c r="L1154" s="18"/>
    </row>
    <row r="1155" hidden="1">
      <c r="A1155" s="2">
        <f>IFERROR(__xludf.DUMMYFUNCTION("""COMPUTED_VALUE"""),78855.0)</f>
        <v>78855</v>
      </c>
      <c r="B1155" s="2">
        <f>IFERROR(__xludf.DUMMYFUNCTION("""COMPUTED_VALUE"""),0.0)</f>
        <v>0</v>
      </c>
      <c r="C1155" s="2">
        <f>IFERROR(__xludf.DUMMYFUNCTION("""COMPUTED_VALUE"""),730.0)</f>
        <v>730</v>
      </c>
      <c r="D1155" s="3">
        <f>IFERROR(__xludf.DUMMYFUNCTION("""COMPUTED_VALUE"""),188.0)</f>
        <v>188</v>
      </c>
      <c r="E1155" s="1" t="str">
        <f t="array" ref="E1155">_xlfn.XLOOKUP(A1155,Product!A:A,Product!B:B,"Bulunamadı")</f>
        <v>Law</v>
      </c>
      <c r="F1155" s="1" t="str">
        <f t="array" ref="F1155">_xlfn.XLOOKUP(A1155,Product!A:A,Product!C:C,"Bulunamadı")</f>
        <v>World War I</v>
      </c>
      <c r="G1155" s="2" t="str">
        <f t="array" ref="G1155">_xlfn.XLOOKUP(A1156,Product!A:A,Product!D:D,"Bulunamadı")</f>
        <v>Ironwood Ridge Publishing</v>
      </c>
      <c r="H1155" s="2">
        <f t="array" ref="H1155">_xlfn.XLOOKUP(A1157,Product!A:A,Product!E:E,"Bulunamadı")</f>
        <v>1.66</v>
      </c>
      <c r="I1155" s="2" t="str">
        <f t="shared" si="1"/>
        <v>78855 - Law - World War I</v>
      </c>
      <c r="J1155" s="2">
        <f t="shared" si="2"/>
        <v>312.08</v>
      </c>
      <c r="K1155" s="17">
        <f t="shared" si="3"/>
        <v>1</v>
      </c>
      <c r="L1155" s="18"/>
    </row>
    <row r="1156" hidden="1">
      <c r="A1156" s="2">
        <f>IFERROR(__xludf.DUMMYFUNCTION("""COMPUTED_VALUE"""),48408.0)</f>
        <v>48408</v>
      </c>
      <c r="B1156" s="2">
        <f>IFERROR(__xludf.DUMMYFUNCTION("""COMPUTED_VALUE"""),0.0)</f>
        <v>0</v>
      </c>
      <c r="C1156" s="2">
        <f>IFERROR(__xludf.DUMMYFUNCTION("""COMPUTED_VALUE"""),200.0)</f>
        <v>200</v>
      </c>
      <c r="D1156" s="3">
        <f>IFERROR(__xludf.DUMMYFUNCTION("""COMPUTED_VALUE"""),17.0)</f>
        <v>17</v>
      </c>
      <c r="E1156" s="1" t="str">
        <f t="array" ref="E1156">_xlfn.XLOOKUP(A1156,Product!A:A,Product!B:B,"Bulunamadı")</f>
        <v>Law</v>
      </c>
      <c r="F1156" s="1" t="str">
        <f t="array" ref="F1156">_xlfn.XLOOKUP(A1156,Product!A:A,Product!C:C,"Bulunamadı")</f>
        <v>World War I</v>
      </c>
      <c r="G1156" s="2" t="str">
        <f t="array" ref="G1156">_xlfn.XLOOKUP(A1157,Product!A:A,Product!D:D,"Bulunamadı")</f>
        <v>Ironwood Ridge Publishing</v>
      </c>
      <c r="H1156" s="2">
        <f t="array" ref="H1156">_xlfn.XLOOKUP(A1158,Product!A:A,Product!E:E,"Bulunamadı")</f>
        <v>1.92</v>
      </c>
      <c r="I1156" s="2" t="str">
        <f t="shared" si="1"/>
        <v>48408 - Law - World War I</v>
      </c>
      <c r="J1156" s="2">
        <f t="shared" si="2"/>
        <v>32.64</v>
      </c>
      <c r="K1156" s="17">
        <f t="shared" si="3"/>
        <v>1</v>
      </c>
      <c r="L1156" s="18"/>
    </row>
    <row r="1157" hidden="1">
      <c r="A1157" s="2">
        <f>IFERROR(__xludf.DUMMYFUNCTION("""COMPUTED_VALUE"""),46303.0)</f>
        <v>46303</v>
      </c>
      <c r="B1157" s="2">
        <f>IFERROR(__xludf.DUMMYFUNCTION("""COMPUTED_VALUE"""),0.0)</f>
        <v>0</v>
      </c>
      <c r="C1157" s="2">
        <f>IFERROR(__xludf.DUMMYFUNCTION("""COMPUTED_VALUE"""),619.0)</f>
        <v>619</v>
      </c>
      <c r="D1157" s="3">
        <f>IFERROR(__xludf.DUMMYFUNCTION("""COMPUTED_VALUE"""),300.0)</f>
        <v>300</v>
      </c>
      <c r="E1157" s="1" t="str">
        <f t="array" ref="E1157">_xlfn.XLOOKUP(A1157,Product!A:A,Product!B:B,"Bulunamadı")</f>
        <v>Law</v>
      </c>
      <c r="F1157" s="1" t="str">
        <f t="array" ref="F1157">_xlfn.XLOOKUP(A1157,Product!A:A,Product!C:C,"Bulunamadı")</f>
        <v>World War I</v>
      </c>
      <c r="G1157" s="2" t="str">
        <f t="array" ref="G1157">_xlfn.XLOOKUP(A1158,Product!A:A,Product!D:D,"Bulunamadı")</f>
        <v>Ironwood Ridge Publishing</v>
      </c>
      <c r="H1157" s="2">
        <f t="array" ref="H1157">_xlfn.XLOOKUP(A1159,Product!A:A,Product!E:E,"Bulunamadı")</f>
        <v>2.29</v>
      </c>
      <c r="I1157" s="2" t="str">
        <f t="shared" si="1"/>
        <v>46303 - Law - World War I</v>
      </c>
      <c r="J1157" s="2">
        <f t="shared" si="2"/>
        <v>687</v>
      </c>
      <c r="K1157" s="17">
        <f t="shared" si="3"/>
        <v>1</v>
      </c>
      <c r="L1157" s="18"/>
    </row>
    <row r="1158" hidden="1">
      <c r="A1158" s="2">
        <f>IFERROR(__xludf.DUMMYFUNCTION("""COMPUTED_VALUE"""),147274.0)</f>
        <v>147274</v>
      </c>
      <c r="B1158" s="2">
        <f>IFERROR(__xludf.DUMMYFUNCTION("""COMPUTED_VALUE"""),0.0)</f>
        <v>0</v>
      </c>
      <c r="C1158" s="2">
        <f>IFERROR(__xludf.DUMMYFUNCTION("""COMPUTED_VALUE"""),442.0)</f>
        <v>442</v>
      </c>
      <c r="D1158" s="3">
        <f>IFERROR(__xludf.DUMMYFUNCTION("""COMPUTED_VALUE"""),344.0)</f>
        <v>344</v>
      </c>
      <c r="E1158" s="1" t="str">
        <f t="array" ref="E1158">_xlfn.XLOOKUP(A1158,Product!A:A,Product!B:B,"Bulunamadı")</f>
        <v>Law</v>
      </c>
      <c r="F1158" s="1" t="str">
        <f t="array" ref="F1158">_xlfn.XLOOKUP(A1158,Product!A:A,Product!C:C,"Bulunamadı")</f>
        <v>World War I</v>
      </c>
      <c r="G1158" s="2" t="str">
        <f t="array" ref="G1158">_xlfn.XLOOKUP(A1159,Product!A:A,Product!D:D,"Bulunamadı")</f>
        <v>Ironwood Ridge Publishing</v>
      </c>
      <c r="H1158" s="2">
        <f t="array" ref="H1158">_xlfn.XLOOKUP(A1160,Product!A:A,Product!E:E,"Bulunamadı")</f>
        <v>1.97</v>
      </c>
      <c r="I1158" s="2" t="str">
        <f t="shared" si="1"/>
        <v>147274 - Law - World War I</v>
      </c>
      <c r="J1158" s="2">
        <f t="shared" si="2"/>
        <v>677.68</v>
      </c>
      <c r="K1158" s="17">
        <f t="shared" si="3"/>
        <v>1</v>
      </c>
      <c r="L1158" s="18"/>
    </row>
    <row r="1159" hidden="1">
      <c r="A1159" s="2">
        <f>IFERROR(__xludf.DUMMYFUNCTION("""COMPUTED_VALUE"""),44144.0)</f>
        <v>44144</v>
      </c>
      <c r="B1159" s="2">
        <f>IFERROR(__xludf.DUMMYFUNCTION("""COMPUTED_VALUE"""),1.0)</f>
        <v>1</v>
      </c>
      <c r="C1159" s="2">
        <f>IFERROR(__xludf.DUMMYFUNCTION("""COMPUTED_VALUE"""),353.0)</f>
        <v>353</v>
      </c>
      <c r="D1159" s="3">
        <f>IFERROR(__xludf.DUMMYFUNCTION("""COMPUTED_VALUE"""),189.0)</f>
        <v>189</v>
      </c>
      <c r="E1159" s="1" t="str">
        <f t="array" ref="E1159">_xlfn.XLOOKUP(A1159,Product!A:A,Product!B:B,"Bulunamadı")</f>
        <v>Law</v>
      </c>
      <c r="F1159" s="1" t="str">
        <f t="array" ref="F1159">_xlfn.XLOOKUP(A1159,Product!A:A,Product!C:C,"Bulunamadı")</f>
        <v>World War I</v>
      </c>
      <c r="G1159" s="2" t="str">
        <f t="array" ref="G1159">_xlfn.XLOOKUP(A1160,Product!A:A,Product!D:D,"Bulunamadı")</f>
        <v>Ironwood Ridge Publishing</v>
      </c>
      <c r="H1159" s="2">
        <f t="array" ref="H1159">_xlfn.XLOOKUP(A1161,Product!A:A,Product!E:E,"Bulunamadı")</f>
        <v>2.52</v>
      </c>
      <c r="I1159" s="2" t="str">
        <f t="shared" si="1"/>
        <v>44144 - Law - World War I</v>
      </c>
      <c r="J1159" s="2">
        <f t="shared" si="2"/>
        <v>476.28</v>
      </c>
      <c r="K1159" s="17">
        <f t="shared" si="3"/>
        <v>1</v>
      </c>
      <c r="L1159" s="18"/>
    </row>
    <row r="1160" hidden="1">
      <c r="A1160" s="2">
        <f>IFERROR(__xludf.DUMMYFUNCTION("""COMPUTED_VALUE"""),96972.0)</f>
        <v>96972</v>
      </c>
      <c r="B1160" s="2">
        <f>IFERROR(__xludf.DUMMYFUNCTION("""COMPUTED_VALUE"""),0.0)</f>
        <v>0</v>
      </c>
      <c r="C1160" s="2">
        <f>IFERROR(__xludf.DUMMYFUNCTION("""COMPUTED_VALUE"""),515.0)</f>
        <v>515</v>
      </c>
      <c r="D1160" s="3">
        <f>IFERROR(__xludf.DUMMYFUNCTION("""COMPUTED_VALUE"""),512.0)</f>
        <v>512</v>
      </c>
      <c r="E1160" s="1" t="str">
        <f t="array" ref="E1160">_xlfn.XLOOKUP(A1160,Product!A:A,Product!B:B,"Bulunamadı")</f>
        <v>Law</v>
      </c>
      <c r="F1160" s="1" t="str">
        <f t="array" ref="F1160">_xlfn.XLOOKUP(A1160,Product!A:A,Product!C:C,"Bulunamadı")</f>
        <v>World War I</v>
      </c>
      <c r="G1160" s="2" t="str">
        <f t="array" ref="G1160">_xlfn.XLOOKUP(A1161,Product!A:A,Product!D:D,"Bulunamadı")</f>
        <v>Ironwood Ridge Publishing</v>
      </c>
      <c r="H1160" s="2">
        <f t="array" ref="H1160">_xlfn.XLOOKUP(A1162,Product!A:A,Product!E:E,"Bulunamadı")</f>
        <v>1.82</v>
      </c>
      <c r="I1160" s="2" t="str">
        <f t="shared" si="1"/>
        <v>96972 - Law - World War I</v>
      </c>
      <c r="J1160" s="2">
        <f t="shared" si="2"/>
        <v>931.84</v>
      </c>
      <c r="K1160" s="17">
        <f t="shared" si="3"/>
        <v>1</v>
      </c>
      <c r="L1160" s="18"/>
    </row>
    <row r="1161" hidden="1">
      <c r="A1161" s="2">
        <f>IFERROR(__xludf.DUMMYFUNCTION("""COMPUTED_VALUE"""),5665.0)</f>
        <v>5665</v>
      </c>
      <c r="B1161" s="2">
        <f>IFERROR(__xludf.DUMMYFUNCTION("""COMPUTED_VALUE"""),0.0)</f>
        <v>0</v>
      </c>
      <c r="C1161" s="2">
        <f>IFERROR(__xludf.DUMMYFUNCTION("""COMPUTED_VALUE"""),106.0)</f>
        <v>106</v>
      </c>
      <c r="D1161" s="3">
        <f>IFERROR(__xludf.DUMMYFUNCTION("""COMPUTED_VALUE"""),33.0)</f>
        <v>33</v>
      </c>
      <c r="E1161" s="1" t="str">
        <f t="array" ref="E1161">_xlfn.XLOOKUP(A1161,Product!A:A,Product!B:B,"Bulunamadı")</f>
        <v>Law</v>
      </c>
      <c r="F1161" s="1" t="str">
        <f t="array" ref="F1161">_xlfn.XLOOKUP(A1161,Product!A:A,Product!C:C,"Bulunamadı")</f>
        <v>World War I</v>
      </c>
      <c r="G1161" s="2" t="str">
        <f t="array" ref="G1161">_xlfn.XLOOKUP(A1162,Product!A:A,Product!D:D,"Bulunamadı")</f>
        <v>Ironwood Ridge Publishing</v>
      </c>
      <c r="H1161" s="2">
        <f t="array" ref="H1161">_xlfn.XLOOKUP(A1163,Product!A:A,Product!E:E,"Bulunamadı")</f>
        <v>2.52</v>
      </c>
      <c r="I1161" s="2" t="str">
        <f t="shared" si="1"/>
        <v>5665 - Law - World War I</v>
      </c>
      <c r="J1161" s="2">
        <f t="shared" si="2"/>
        <v>83.16</v>
      </c>
      <c r="K1161" s="17">
        <f t="shared" si="3"/>
        <v>1</v>
      </c>
      <c r="L1161" s="18"/>
    </row>
    <row r="1162" hidden="1">
      <c r="A1162" s="2">
        <f>IFERROR(__xludf.DUMMYFUNCTION("""COMPUTED_VALUE"""),26072.0)</f>
        <v>26072</v>
      </c>
      <c r="B1162" s="2">
        <f>IFERROR(__xludf.DUMMYFUNCTION("""COMPUTED_VALUE"""),1.0)</f>
        <v>1</v>
      </c>
      <c r="C1162" s="2">
        <f>IFERROR(__xludf.DUMMYFUNCTION("""COMPUTED_VALUE"""),179.0)</f>
        <v>179</v>
      </c>
      <c r="D1162" s="3">
        <f>IFERROR(__xludf.DUMMYFUNCTION("""COMPUTED_VALUE"""),106.0)</f>
        <v>106</v>
      </c>
      <c r="E1162" s="1" t="str">
        <f t="array" ref="E1162">_xlfn.XLOOKUP(A1162,Product!A:A,Product!B:B,"Bulunamadı")</f>
        <v>Law</v>
      </c>
      <c r="F1162" s="1" t="str">
        <f t="array" ref="F1162">_xlfn.XLOOKUP(A1162,Product!A:A,Product!C:C,"Bulunamadı")</f>
        <v>World War I</v>
      </c>
      <c r="G1162" s="2" t="str">
        <f t="array" ref="G1162">_xlfn.XLOOKUP(A1163,Product!A:A,Product!D:D,"Bulunamadı")</f>
        <v>Ironwood Ridge Publishing</v>
      </c>
      <c r="H1162" s="2">
        <f t="array" ref="H1162">_xlfn.XLOOKUP(A1164,Product!A:A,Product!E:E,"Bulunamadı")</f>
        <v>1.98</v>
      </c>
      <c r="I1162" s="2" t="str">
        <f t="shared" si="1"/>
        <v>26072 - Law - World War I</v>
      </c>
      <c r="J1162" s="2">
        <f t="shared" si="2"/>
        <v>209.88</v>
      </c>
      <c r="K1162" s="17">
        <f t="shared" si="3"/>
        <v>1</v>
      </c>
      <c r="L1162" s="18"/>
    </row>
    <row r="1163" hidden="1">
      <c r="A1163" s="2">
        <f>IFERROR(__xludf.DUMMYFUNCTION("""COMPUTED_VALUE"""),5631.0)</f>
        <v>5631</v>
      </c>
      <c r="B1163" s="2">
        <f>IFERROR(__xludf.DUMMYFUNCTION("""COMPUTED_VALUE"""),0.0)</f>
        <v>0</v>
      </c>
      <c r="C1163" s="2">
        <f>IFERROR(__xludf.DUMMYFUNCTION("""COMPUTED_VALUE"""),342.0)</f>
        <v>342</v>
      </c>
      <c r="D1163" s="3">
        <f>IFERROR(__xludf.DUMMYFUNCTION("""COMPUTED_VALUE"""),54.0)</f>
        <v>54</v>
      </c>
      <c r="E1163" s="1" t="str">
        <f t="array" ref="E1163">_xlfn.XLOOKUP(A1163,Product!A:A,Product!B:B,"Bulunamadı")</f>
        <v>Law</v>
      </c>
      <c r="F1163" s="1" t="str">
        <f t="array" ref="F1163">_xlfn.XLOOKUP(A1163,Product!A:A,Product!C:C,"Bulunamadı")</f>
        <v>World War I</v>
      </c>
      <c r="G1163" s="2" t="str">
        <f t="array" ref="G1163">_xlfn.XLOOKUP(A1164,Product!A:A,Product!D:D,"Bulunamadı")</f>
        <v>Ironwood Ridge Publishing</v>
      </c>
      <c r="H1163" s="2">
        <f t="array" ref="H1163">_xlfn.XLOOKUP(A1165,Product!A:A,Product!E:E,"Bulunamadı")</f>
        <v>2.7</v>
      </c>
      <c r="I1163" s="2" t="str">
        <f t="shared" si="1"/>
        <v>5631 - Law - World War I</v>
      </c>
      <c r="J1163" s="2">
        <f t="shared" si="2"/>
        <v>145.8</v>
      </c>
      <c r="K1163" s="17">
        <f t="shared" si="3"/>
        <v>1</v>
      </c>
      <c r="L1163" s="18"/>
    </row>
    <row r="1164" hidden="1">
      <c r="A1164" s="2">
        <f>IFERROR(__xludf.DUMMYFUNCTION("""COMPUTED_VALUE"""),104316.0)</f>
        <v>104316</v>
      </c>
      <c r="B1164" s="2">
        <f>IFERROR(__xludf.DUMMYFUNCTION("""COMPUTED_VALUE"""),1.0)</f>
        <v>1</v>
      </c>
      <c r="C1164" s="2">
        <f>IFERROR(__xludf.DUMMYFUNCTION("""COMPUTED_VALUE"""),314.0)</f>
        <v>314</v>
      </c>
      <c r="D1164" s="3">
        <f>IFERROR(__xludf.DUMMYFUNCTION("""COMPUTED_VALUE"""),275.0)</f>
        <v>275</v>
      </c>
      <c r="E1164" s="1" t="str">
        <f t="array" ref="E1164">_xlfn.XLOOKUP(A1164,Product!A:A,Product!B:B,"Bulunamadı")</f>
        <v>Law</v>
      </c>
      <c r="F1164" s="1" t="str">
        <f t="array" ref="F1164">_xlfn.XLOOKUP(A1164,Product!A:A,Product!C:C,"Bulunamadı")</f>
        <v>World War I</v>
      </c>
      <c r="G1164" s="2" t="str">
        <f t="array" ref="G1164">_xlfn.XLOOKUP(A1165,Product!A:A,Product!D:D,"Bulunamadı")</f>
        <v>Ironwood Ridge Publishing</v>
      </c>
      <c r="H1164" s="2">
        <f t="array" ref="H1164">_xlfn.XLOOKUP(A1166,Product!A:A,Product!E:E,"Bulunamadı")</f>
        <v>2.32</v>
      </c>
      <c r="I1164" s="2" t="str">
        <f t="shared" si="1"/>
        <v>104316 - Law - World War I</v>
      </c>
      <c r="J1164" s="2">
        <f t="shared" si="2"/>
        <v>638</v>
      </c>
      <c r="K1164" s="17">
        <f t="shared" si="3"/>
        <v>1</v>
      </c>
      <c r="L1164" s="18"/>
    </row>
    <row r="1165" hidden="1">
      <c r="A1165" s="2">
        <f>IFERROR(__xludf.DUMMYFUNCTION("""COMPUTED_VALUE"""),83612.0)</f>
        <v>83612</v>
      </c>
      <c r="B1165" s="2">
        <f>IFERROR(__xludf.DUMMYFUNCTION("""COMPUTED_VALUE"""),1.0)</f>
        <v>1</v>
      </c>
      <c r="C1165" s="2">
        <f>IFERROR(__xludf.DUMMYFUNCTION("""COMPUTED_VALUE"""),55.0)</f>
        <v>55</v>
      </c>
      <c r="D1165" s="3">
        <f>IFERROR(__xludf.DUMMYFUNCTION("""COMPUTED_VALUE"""),45.0)</f>
        <v>45</v>
      </c>
      <c r="E1165" s="1" t="str">
        <f t="array" ref="E1165">_xlfn.XLOOKUP(A1165,Product!A:A,Product!B:B,"Bulunamadı")</f>
        <v>Law</v>
      </c>
      <c r="F1165" s="1" t="str">
        <f t="array" ref="F1165">_xlfn.XLOOKUP(A1165,Product!A:A,Product!C:C,"Bulunamadı")</f>
        <v>World War I</v>
      </c>
      <c r="G1165" s="2" t="str">
        <f t="array" ref="G1165">_xlfn.XLOOKUP(A1166,Product!A:A,Product!D:D,"Bulunamadı")</f>
        <v>Ironwood Ridge Publishing</v>
      </c>
      <c r="H1165" s="2">
        <f t="array" ref="H1165">_xlfn.XLOOKUP(A1167,Product!A:A,Product!E:E,"Bulunamadı")</f>
        <v>1.9</v>
      </c>
      <c r="I1165" s="2" t="str">
        <f t="shared" si="1"/>
        <v>83612 - Law - World War I</v>
      </c>
      <c r="J1165" s="2">
        <f t="shared" si="2"/>
        <v>85.5</v>
      </c>
      <c r="K1165" s="17">
        <f t="shared" si="3"/>
        <v>1</v>
      </c>
      <c r="L1165" s="18"/>
    </row>
    <row r="1166" hidden="1">
      <c r="A1166" s="2">
        <f>IFERROR(__xludf.DUMMYFUNCTION("""COMPUTED_VALUE"""),87425.0)</f>
        <v>87425</v>
      </c>
      <c r="B1166" s="2">
        <f>IFERROR(__xludf.DUMMYFUNCTION("""COMPUTED_VALUE"""),0.0)</f>
        <v>0</v>
      </c>
      <c r="C1166" s="2">
        <f>IFERROR(__xludf.DUMMYFUNCTION("""COMPUTED_VALUE"""),682.0)</f>
        <v>682</v>
      </c>
      <c r="D1166" s="3">
        <f>IFERROR(__xludf.DUMMYFUNCTION("""COMPUTED_VALUE"""),455.0)</f>
        <v>455</v>
      </c>
      <c r="E1166" s="1" t="str">
        <f t="array" ref="E1166">_xlfn.XLOOKUP(A1166,Product!A:A,Product!B:B,"Bulunamadı")</f>
        <v>Law</v>
      </c>
      <c r="F1166" s="1" t="str">
        <f t="array" ref="F1166">_xlfn.XLOOKUP(A1166,Product!A:A,Product!C:C,"Bulunamadı")</f>
        <v>World War I</v>
      </c>
      <c r="G1166" s="2" t="str">
        <f t="array" ref="G1166">_xlfn.XLOOKUP(A1167,Product!A:A,Product!D:D,"Bulunamadı")</f>
        <v>Ironwood Ridge Publishing</v>
      </c>
      <c r="H1166" s="2">
        <f t="array" ref="H1166">_xlfn.XLOOKUP(A1168,Product!A:A,Product!E:E,"Bulunamadı")</f>
        <v>2.93</v>
      </c>
      <c r="I1166" s="2" t="str">
        <f t="shared" si="1"/>
        <v>87425 - Law - World War I</v>
      </c>
      <c r="J1166" s="2">
        <f t="shared" si="2"/>
        <v>1333.15</v>
      </c>
      <c r="K1166" s="17">
        <f t="shared" si="3"/>
        <v>1</v>
      </c>
      <c r="L1166" s="18"/>
    </row>
    <row r="1167" hidden="1">
      <c r="A1167" s="2">
        <f>IFERROR(__xludf.DUMMYFUNCTION("""COMPUTED_VALUE"""),115611.0)</f>
        <v>115611</v>
      </c>
      <c r="B1167" s="2">
        <f>IFERROR(__xludf.DUMMYFUNCTION("""COMPUTED_VALUE"""),0.0)</f>
        <v>0</v>
      </c>
      <c r="C1167" s="2">
        <f>IFERROR(__xludf.DUMMYFUNCTION("""COMPUTED_VALUE"""),706.0)</f>
        <v>706</v>
      </c>
      <c r="D1167" s="3">
        <f>IFERROR(__xludf.DUMMYFUNCTION("""COMPUTED_VALUE"""),58.0)</f>
        <v>58</v>
      </c>
      <c r="E1167" s="1" t="str">
        <f t="array" ref="E1167">_xlfn.XLOOKUP(A1167,Product!A:A,Product!B:B,"Bulunamadı")</f>
        <v>Law</v>
      </c>
      <c r="F1167" s="1" t="str">
        <f t="array" ref="F1167">_xlfn.XLOOKUP(A1167,Product!A:A,Product!C:C,"Bulunamadı")</f>
        <v>World War I</v>
      </c>
      <c r="G1167" s="2" t="str">
        <f t="array" ref="G1167">_xlfn.XLOOKUP(A1168,Product!A:A,Product!D:D,"Bulunamadı")</f>
        <v>Ironwood Ridge Publishing</v>
      </c>
      <c r="H1167" s="2">
        <f t="array" ref="H1167">_xlfn.XLOOKUP(A1169,Product!A:A,Product!E:E,"Bulunamadı")</f>
        <v>3.24</v>
      </c>
      <c r="I1167" s="2" t="str">
        <f t="shared" si="1"/>
        <v>115611 - Law - World War I</v>
      </c>
      <c r="J1167" s="2">
        <f t="shared" si="2"/>
        <v>187.92</v>
      </c>
      <c r="K1167" s="17">
        <f t="shared" si="3"/>
        <v>1</v>
      </c>
      <c r="L1167" s="18"/>
    </row>
    <row r="1168" hidden="1">
      <c r="A1168" s="2">
        <f>IFERROR(__xludf.DUMMYFUNCTION("""COMPUTED_VALUE"""),88688.0)</f>
        <v>88688</v>
      </c>
      <c r="B1168" s="2">
        <f>IFERROR(__xludf.DUMMYFUNCTION("""COMPUTED_VALUE"""),0.0)</f>
        <v>0</v>
      </c>
      <c r="C1168" s="2">
        <f>IFERROR(__xludf.DUMMYFUNCTION("""COMPUTED_VALUE"""),259.0)</f>
        <v>259</v>
      </c>
      <c r="D1168" s="3">
        <f>IFERROR(__xludf.DUMMYFUNCTION("""COMPUTED_VALUE"""),11.0)</f>
        <v>11</v>
      </c>
      <c r="E1168" s="1" t="str">
        <f t="array" ref="E1168">_xlfn.XLOOKUP(A1168,Product!A:A,Product!B:B,"Bulunamadı")</f>
        <v>Law</v>
      </c>
      <c r="F1168" s="1" t="str">
        <f t="array" ref="F1168">_xlfn.XLOOKUP(A1168,Product!A:A,Product!C:C,"Bulunamadı")</f>
        <v>World War I</v>
      </c>
      <c r="G1168" s="2" t="str">
        <f t="array" ref="G1168">_xlfn.XLOOKUP(A1169,Product!A:A,Product!D:D,"Bulunamadı")</f>
        <v>Ironwood Ridge Publishing</v>
      </c>
      <c r="H1168" s="2">
        <f t="array" ref="H1168">_xlfn.XLOOKUP(A1170,Product!A:A,Product!E:E,"Bulunamadı")</f>
        <v>1.78</v>
      </c>
      <c r="I1168" s="2" t="str">
        <f t="shared" si="1"/>
        <v>88688 - Law - World War I</v>
      </c>
      <c r="J1168" s="2">
        <f t="shared" si="2"/>
        <v>19.58</v>
      </c>
      <c r="K1168" s="17">
        <f t="shared" si="3"/>
        <v>1</v>
      </c>
      <c r="L1168" s="18"/>
    </row>
    <row r="1169" hidden="1">
      <c r="A1169" s="2">
        <f>IFERROR(__xludf.DUMMYFUNCTION("""COMPUTED_VALUE"""),83605.0)</f>
        <v>83605</v>
      </c>
      <c r="B1169" s="2">
        <f>IFERROR(__xludf.DUMMYFUNCTION("""COMPUTED_VALUE"""),0.0)</f>
        <v>0</v>
      </c>
      <c r="C1169" s="2">
        <f>IFERROR(__xludf.DUMMYFUNCTION("""COMPUTED_VALUE"""),102.0)</f>
        <v>102</v>
      </c>
      <c r="D1169" s="3">
        <f>IFERROR(__xludf.DUMMYFUNCTION("""COMPUTED_VALUE"""),93.0)</f>
        <v>93</v>
      </c>
      <c r="E1169" s="1" t="str">
        <f t="array" ref="E1169">_xlfn.XLOOKUP(A1169,Product!A:A,Product!B:B,"Bulunamadı")</f>
        <v>Law</v>
      </c>
      <c r="F1169" s="1" t="str">
        <f t="array" ref="F1169">_xlfn.XLOOKUP(A1169,Product!A:A,Product!C:C,"Bulunamadı")</f>
        <v>World War I</v>
      </c>
      <c r="G1169" s="2" t="str">
        <f t="array" ref="G1169">_xlfn.XLOOKUP(A1170,Product!A:A,Product!D:D,"Bulunamadı")</f>
        <v>Ironwood Ridge Publishing</v>
      </c>
      <c r="H1169" s="2">
        <f t="array" ref="H1169">_xlfn.XLOOKUP(A1171,Product!A:A,Product!E:E,"Bulunamadı")</f>
        <v>3.16</v>
      </c>
      <c r="I1169" s="2" t="str">
        <f t="shared" si="1"/>
        <v>83605 - Law - World War I</v>
      </c>
      <c r="J1169" s="2">
        <f t="shared" si="2"/>
        <v>293.88</v>
      </c>
      <c r="K1169" s="17">
        <f t="shared" si="3"/>
        <v>1</v>
      </c>
      <c r="L1169" s="18"/>
    </row>
    <row r="1170" hidden="1">
      <c r="A1170" s="2">
        <f>IFERROR(__xludf.DUMMYFUNCTION("""COMPUTED_VALUE"""),44125.0)</f>
        <v>44125</v>
      </c>
      <c r="B1170" s="2">
        <f>IFERROR(__xludf.DUMMYFUNCTION("""COMPUTED_VALUE"""),0.0)</f>
        <v>0</v>
      </c>
      <c r="C1170" s="2">
        <f>IFERROR(__xludf.DUMMYFUNCTION("""COMPUTED_VALUE"""),813.0)</f>
        <v>813</v>
      </c>
      <c r="D1170" s="3">
        <f>IFERROR(__xludf.DUMMYFUNCTION("""COMPUTED_VALUE"""),546.0)</f>
        <v>546</v>
      </c>
      <c r="E1170" s="1" t="str">
        <f t="array" ref="E1170">_xlfn.XLOOKUP(A1170,Product!A:A,Product!B:B,"Bulunamadı")</f>
        <v>Law</v>
      </c>
      <c r="F1170" s="1" t="str">
        <f t="array" ref="F1170">_xlfn.XLOOKUP(A1170,Product!A:A,Product!C:C,"Bulunamadı")</f>
        <v>World War I</v>
      </c>
      <c r="G1170" s="2" t="str">
        <f t="array" ref="G1170">_xlfn.XLOOKUP(A1171,Product!A:A,Product!D:D,"Bulunamadı")</f>
        <v>Ironwood Ridge Publishing</v>
      </c>
      <c r="H1170" s="2">
        <f t="array" ref="H1170">_xlfn.XLOOKUP(A1172,Product!A:A,Product!E:E,"Bulunamadı")</f>
        <v>2</v>
      </c>
      <c r="I1170" s="2" t="str">
        <f t="shared" si="1"/>
        <v>44125 - Law - World War I</v>
      </c>
      <c r="J1170" s="2">
        <f t="shared" si="2"/>
        <v>1092</v>
      </c>
      <c r="K1170" s="17">
        <f t="shared" si="3"/>
        <v>1</v>
      </c>
      <c r="L1170" s="18"/>
    </row>
    <row r="1171" hidden="1">
      <c r="A1171" s="2">
        <f>IFERROR(__xludf.DUMMYFUNCTION("""COMPUTED_VALUE"""),83639.0)</f>
        <v>83639</v>
      </c>
      <c r="B1171" s="2">
        <f>IFERROR(__xludf.DUMMYFUNCTION("""COMPUTED_VALUE"""),1.0)</f>
        <v>1</v>
      </c>
      <c r="C1171" s="2">
        <f>IFERROR(__xludf.DUMMYFUNCTION("""COMPUTED_VALUE"""),70.0)</f>
        <v>70</v>
      </c>
      <c r="D1171" s="3">
        <f>IFERROR(__xludf.DUMMYFUNCTION("""COMPUTED_VALUE"""),10.0)</f>
        <v>10</v>
      </c>
      <c r="E1171" s="1" t="str">
        <f t="array" ref="E1171">_xlfn.XLOOKUP(A1171,Product!A:A,Product!B:B,"Bulunamadı")</f>
        <v>Law</v>
      </c>
      <c r="F1171" s="1" t="str">
        <f t="array" ref="F1171">_xlfn.XLOOKUP(A1171,Product!A:A,Product!C:C,"Bulunamadı")</f>
        <v>World War I</v>
      </c>
      <c r="G1171" s="2" t="str">
        <f t="array" ref="G1171">_xlfn.XLOOKUP(A1172,Product!A:A,Product!D:D,"Bulunamadı")</f>
        <v>Ironwood Ridge Publishing</v>
      </c>
      <c r="H1171" s="2">
        <f t="array" ref="H1171">_xlfn.XLOOKUP(A1173,Product!A:A,Product!E:E,"Bulunamadı")</f>
        <v>2.89</v>
      </c>
      <c r="I1171" s="2" t="str">
        <f t="shared" si="1"/>
        <v>83639 - Law - World War I</v>
      </c>
      <c r="J1171" s="2">
        <f t="shared" si="2"/>
        <v>28.9</v>
      </c>
      <c r="K1171" s="17">
        <f t="shared" si="3"/>
        <v>1</v>
      </c>
      <c r="L1171" s="18"/>
    </row>
    <row r="1172" hidden="1">
      <c r="A1172" s="2">
        <f>IFERROR(__xludf.DUMMYFUNCTION("""COMPUTED_VALUE"""),5656.0)</f>
        <v>5656</v>
      </c>
      <c r="B1172" s="2">
        <f>IFERROR(__xludf.DUMMYFUNCTION("""COMPUTED_VALUE"""),0.0)</f>
        <v>0</v>
      </c>
      <c r="C1172" s="2">
        <f>IFERROR(__xludf.DUMMYFUNCTION("""COMPUTED_VALUE"""),814.0)</f>
        <v>814</v>
      </c>
      <c r="D1172" s="3">
        <f>IFERROR(__xludf.DUMMYFUNCTION("""COMPUTED_VALUE"""),244.0)</f>
        <v>244</v>
      </c>
      <c r="E1172" s="1" t="str">
        <f t="array" ref="E1172">_xlfn.XLOOKUP(A1172,Product!A:A,Product!B:B,"Bulunamadı")</f>
        <v>Law</v>
      </c>
      <c r="F1172" s="1" t="str">
        <f t="array" ref="F1172">_xlfn.XLOOKUP(A1172,Product!A:A,Product!C:C,"Bulunamadı")</f>
        <v>World War I</v>
      </c>
      <c r="G1172" s="2" t="str">
        <f t="array" ref="G1172">_xlfn.XLOOKUP(A1173,Product!A:A,Product!D:D,"Bulunamadı")</f>
        <v>Ironwood Ridge Publishing</v>
      </c>
      <c r="H1172" s="2">
        <f t="array" ref="H1172">_xlfn.XLOOKUP(A1174,Product!A:A,Product!E:E,"Bulunamadı")</f>
        <v>3.98</v>
      </c>
      <c r="I1172" s="2" t="str">
        <f t="shared" si="1"/>
        <v>5656 - Law - World War I</v>
      </c>
      <c r="J1172" s="2">
        <f t="shared" si="2"/>
        <v>971.12</v>
      </c>
      <c r="K1172" s="17">
        <f t="shared" si="3"/>
        <v>1</v>
      </c>
      <c r="L1172" s="18"/>
    </row>
    <row r="1173" hidden="1">
      <c r="A1173" s="2">
        <f>IFERROR(__xludf.DUMMYFUNCTION("""COMPUTED_VALUE"""),88686.0)</f>
        <v>88686</v>
      </c>
      <c r="B1173" s="2">
        <f>IFERROR(__xludf.DUMMYFUNCTION("""COMPUTED_VALUE"""),1.0)</f>
        <v>1</v>
      </c>
      <c r="C1173" s="2">
        <f>IFERROR(__xludf.DUMMYFUNCTION("""COMPUTED_VALUE"""),826.0)</f>
        <v>826</v>
      </c>
      <c r="D1173" s="3">
        <f>IFERROR(__xludf.DUMMYFUNCTION("""COMPUTED_VALUE"""),163.0)</f>
        <v>163</v>
      </c>
      <c r="E1173" s="1" t="str">
        <f t="array" ref="E1173">_xlfn.XLOOKUP(A1173,Product!A:A,Product!B:B,"Bulunamadı")</f>
        <v>Law</v>
      </c>
      <c r="F1173" s="1" t="str">
        <f t="array" ref="F1173">_xlfn.XLOOKUP(A1173,Product!A:A,Product!C:C,"Bulunamadı")</f>
        <v>World War I</v>
      </c>
      <c r="G1173" s="2" t="str">
        <f t="array" ref="G1173">_xlfn.XLOOKUP(A1174,Product!A:A,Product!D:D,"Bulunamadı")</f>
        <v>Ironwood Ridge Publishing</v>
      </c>
      <c r="H1173" s="2">
        <f t="array" ref="H1173">_xlfn.XLOOKUP(A1175,Product!A:A,Product!E:E,"Bulunamadı")</f>
        <v>3.04</v>
      </c>
      <c r="I1173" s="2" t="str">
        <f t="shared" si="1"/>
        <v>88686 - Law - World War I</v>
      </c>
      <c r="J1173" s="2">
        <f t="shared" si="2"/>
        <v>495.52</v>
      </c>
      <c r="K1173" s="17">
        <f t="shared" si="3"/>
        <v>1</v>
      </c>
      <c r="L1173" s="18"/>
    </row>
    <row r="1174" hidden="1">
      <c r="A1174" s="2">
        <f>IFERROR(__xludf.DUMMYFUNCTION("""COMPUTED_VALUE"""),83601.0)</f>
        <v>83601</v>
      </c>
      <c r="B1174" s="2">
        <f>IFERROR(__xludf.DUMMYFUNCTION("""COMPUTED_VALUE"""),1.0)</f>
        <v>1</v>
      </c>
      <c r="C1174" s="2">
        <f>IFERROR(__xludf.DUMMYFUNCTION("""COMPUTED_VALUE"""),328.0)</f>
        <v>328</v>
      </c>
      <c r="D1174" s="3">
        <f>IFERROR(__xludf.DUMMYFUNCTION("""COMPUTED_VALUE"""),283.0)</f>
        <v>283</v>
      </c>
      <c r="E1174" s="1" t="str">
        <f t="array" ref="E1174">_xlfn.XLOOKUP(A1174,Product!A:A,Product!B:B,"Bulunamadı")</f>
        <v>Law</v>
      </c>
      <c r="F1174" s="1" t="str">
        <f t="array" ref="F1174">_xlfn.XLOOKUP(A1174,Product!A:A,Product!C:C,"Bulunamadı")</f>
        <v>World War I</v>
      </c>
      <c r="G1174" s="2" t="str">
        <f t="array" ref="G1174">_xlfn.XLOOKUP(A1175,Product!A:A,Product!D:D,"Bulunamadı")</f>
        <v>Ironwood Ridge Publishing</v>
      </c>
      <c r="H1174" s="2">
        <f t="array" ref="H1174">_xlfn.XLOOKUP(A1176,Product!A:A,Product!E:E,"Bulunamadı")</f>
        <v>3</v>
      </c>
      <c r="I1174" s="2" t="str">
        <f t="shared" si="1"/>
        <v>83601 - Law - World War I</v>
      </c>
      <c r="J1174" s="2">
        <f t="shared" si="2"/>
        <v>849</v>
      </c>
      <c r="K1174" s="17">
        <f t="shared" si="3"/>
        <v>1</v>
      </c>
      <c r="L1174" s="18"/>
    </row>
    <row r="1175" hidden="1">
      <c r="A1175" s="2">
        <f>IFERROR(__xludf.DUMMYFUNCTION("""COMPUTED_VALUE"""),48407.0)</f>
        <v>48407</v>
      </c>
      <c r="B1175" s="2">
        <f>IFERROR(__xludf.DUMMYFUNCTION("""COMPUTED_VALUE"""),1.0)</f>
        <v>1</v>
      </c>
      <c r="C1175" s="2">
        <f>IFERROR(__xludf.DUMMYFUNCTION("""COMPUTED_VALUE"""),562.0)</f>
        <v>562</v>
      </c>
      <c r="D1175" s="3">
        <f>IFERROR(__xludf.DUMMYFUNCTION("""COMPUTED_VALUE"""),210.0)</f>
        <v>210</v>
      </c>
      <c r="E1175" s="1" t="str">
        <f t="array" ref="E1175">_xlfn.XLOOKUP(A1175,Product!A:A,Product!B:B,"Bulunamadı")</f>
        <v>Law</v>
      </c>
      <c r="F1175" s="1" t="str">
        <f t="array" ref="F1175">_xlfn.XLOOKUP(A1175,Product!A:A,Product!C:C,"Bulunamadı")</f>
        <v>World War I</v>
      </c>
      <c r="G1175" s="2" t="str">
        <f t="array" ref="G1175">_xlfn.XLOOKUP(A1176,Product!A:A,Product!D:D,"Bulunamadı")</f>
        <v>Ironwood Ridge Publishing</v>
      </c>
      <c r="H1175" s="2">
        <f t="array" ref="H1175">_xlfn.XLOOKUP(A1177,Product!A:A,Product!E:E,"Bulunamadı")</f>
        <v>2.29</v>
      </c>
      <c r="I1175" s="2" t="str">
        <f t="shared" si="1"/>
        <v>48407 - Law - World War I</v>
      </c>
      <c r="J1175" s="2">
        <f t="shared" si="2"/>
        <v>480.9</v>
      </c>
      <c r="K1175" s="17">
        <f t="shared" si="3"/>
        <v>1</v>
      </c>
      <c r="L1175" s="18"/>
    </row>
    <row r="1176" hidden="1">
      <c r="A1176" s="2">
        <f>IFERROR(__xludf.DUMMYFUNCTION("""COMPUTED_VALUE"""),5692.0)</f>
        <v>5692</v>
      </c>
      <c r="B1176" s="2">
        <f>IFERROR(__xludf.DUMMYFUNCTION("""COMPUTED_VALUE"""),1.0)</f>
        <v>1</v>
      </c>
      <c r="C1176" s="2">
        <f>IFERROR(__xludf.DUMMYFUNCTION("""COMPUTED_VALUE"""),942.0)</f>
        <v>942</v>
      </c>
      <c r="D1176" s="3">
        <f>IFERROR(__xludf.DUMMYFUNCTION("""COMPUTED_VALUE"""),64.0)</f>
        <v>64</v>
      </c>
      <c r="E1176" s="1" t="str">
        <f t="array" ref="E1176">_xlfn.XLOOKUP(A1176,Product!A:A,Product!B:B,"Bulunamadı")</f>
        <v>Law</v>
      </c>
      <c r="F1176" s="1" t="str">
        <f t="array" ref="F1176">_xlfn.XLOOKUP(A1176,Product!A:A,Product!C:C,"Bulunamadı")</f>
        <v>World War I</v>
      </c>
      <c r="G1176" s="2" t="str">
        <f t="array" ref="G1176">_xlfn.XLOOKUP(A1177,Product!A:A,Product!D:D,"Bulunamadı")</f>
        <v>Ironwood Ridge Publishing</v>
      </c>
      <c r="H1176" s="2">
        <f t="array" ref="H1176">_xlfn.XLOOKUP(A1178,Product!A:A,Product!E:E,"Bulunamadı")</f>
        <v>3.63</v>
      </c>
      <c r="I1176" s="2" t="str">
        <f t="shared" si="1"/>
        <v>5692 - Law - World War I</v>
      </c>
      <c r="J1176" s="2">
        <f t="shared" si="2"/>
        <v>232.32</v>
      </c>
      <c r="K1176" s="17">
        <f t="shared" si="3"/>
        <v>1</v>
      </c>
      <c r="L1176" s="18"/>
    </row>
    <row r="1177" hidden="1">
      <c r="A1177" s="2">
        <f>IFERROR(__xludf.DUMMYFUNCTION("""COMPUTED_VALUE"""),112803.0)</f>
        <v>112803</v>
      </c>
      <c r="B1177" s="2">
        <f>IFERROR(__xludf.DUMMYFUNCTION("""COMPUTED_VALUE"""),0.0)</f>
        <v>0</v>
      </c>
      <c r="C1177" s="2">
        <f>IFERROR(__xludf.DUMMYFUNCTION("""COMPUTED_VALUE"""),209.0)</f>
        <v>209</v>
      </c>
      <c r="D1177" s="3">
        <f>IFERROR(__xludf.DUMMYFUNCTION("""COMPUTED_VALUE"""),62.0)</f>
        <v>62</v>
      </c>
      <c r="E1177" s="1" t="str">
        <f t="array" ref="E1177">_xlfn.XLOOKUP(A1177,Product!A:A,Product!B:B,"Bulunamadı")</f>
        <v>Law</v>
      </c>
      <c r="F1177" s="1" t="str">
        <f t="array" ref="F1177">_xlfn.XLOOKUP(A1177,Product!A:A,Product!C:C,"Bulunamadı")</f>
        <v>World War I</v>
      </c>
      <c r="G1177" s="2" t="str">
        <f t="array" ref="G1177">_xlfn.XLOOKUP(A1178,Product!A:A,Product!D:D,"Bulunamadı")</f>
        <v>Ironwood Ridge Publishing</v>
      </c>
      <c r="H1177" s="2">
        <f t="array" ref="H1177">_xlfn.XLOOKUP(A1179,Product!A:A,Product!E:E,"Bulunamadı")</f>
        <v>2.21</v>
      </c>
      <c r="I1177" s="2" t="str">
        <f t="shared" si="1"/>
        <v>112803 - Law - World War I</v>
      </c>
      <c r="J1177" s="2">
        <f t="shared" si="2"/>
        <v>137.02</v>
      </c>
      <c r="K1177" s="17">
        <f t="shared" si="3"/>
        <v>1</v>
      </c>
      <c r="L1177" s="18"/>
    </row>
    <row r="1178" hidden="1">
      <c r="A1178" s="2">
        <f>IFERROR(__xludf.DUMMYFUNCTION("""COMPUTED_VALUE"""),83600.0)</f>
        <v>83600</v>
      </c>
      <c r="B1178" s="2">
        <f>IFERROR(__xludf.DUMMYFUNCTION("""COMPUTED_VALUE"""),0.0)</f>
        <v>0</v>
      </c>
      <c r="C1178" s="2">
        <f>IFERROR(__xludf.DUMMYFUNCTION("""COMPUTED_VALUE"""),220.0)</f>
        <v>220</v>
      </c>
      <c r="D1178" s="3">
        <f>IFERROR(__xludf.DUMMYFUNCTION("""COMPUTED_VALUE"""),177.0)</f>
        <v>177</v>
      </c>
      <c r="E1178" s="1" t="str">
        <f t="array" ref="E1178">_xlfn.XLOOKUP(A1178,Product!A:A,Product!B:B,"Bulunamadı")</f>
        <v>Law</v>
      </c>
      <c r="F1178" s="1" t="str">
        <f t="array" ref="F1178">_xlfn.XLOOKUP(A1178,Product!A:A,Product!C:C,"Bulunamadı")</f>
        <v>World War I</v>
      </c>
      <c r="G1178" s="2" t="str">
        <f t="array" ref="G1178">_xlfn.XLOOKUP(A1179,Product!A:A,Product!D:D,"Bulunamadı")</f>
        <v>Ironwood Ridge Publishing</v>
      </c>
      <c r="H1178" s="2">
        <f t="array" ref="H1178">_xlfn.XLOOKUP(A1180,Product!A:A,Product!E:E,"Bulunamadı")</f>
        <v>1.88</v>
      </c>
      <c r="I1178" s="2" t="str">
        <f t="shared" si="1"/>
        <v>83600 - Law - World War I</v>
      </c>
      <c r="J1178" s="2">
        <f t="shared" si="2"/>
        <v>332.76</v>
      </c>
      <c r="K1178" s="17">
        <f t="shared" si="3"/>
        <v>1</v>
      </c>
      <c r="L1178" s="18"/>
    </row>
    <row r="1179" hidden="1">
      <c r="A1179" s="2">
        <f>IFERROR(__xludf.DUMMYFUNCTION("""COMPUTED_VALUE"""),83621.0)</f>
        <v>83621</v>
      </c>
      <c r="B1179" s="2">
        <f>IFERROR(__xludf.DUMMYFUNCTION("""COMPUTED_VALUE"""),0.0)</f>
        <v>0</v>
      </c>
      <c r="C1179" s="2">
        <f>IFERROR(__xludf.DUMMYFUNCTION("""COMPUTED_VALUE"""),181.0)</f>
        <v>181</v>
      </c>
      <c r="D1179" s="3">
        <f>IFERROR(__xludf.DUMMYFUNCTION("""COMPUTED_VALUE"""),133.0)</f>
        <v>133</v>
      </c>
      <c r="E1179" s="1" t="str">
        <f t="array" ref="E1179">_xlfn.XLOOKUP(A1179,Product!A:A,Product!B:B,"Bulunamadı")</f>
        <v>Law</v>
      </c>
      <c r="F1179" s="1" t="str">
        <f t="array" ref="F1179">_xlfn.XLOOKUP(A1179,Product!A:A,Product!C:C,"Bulunamadı")</f>
        <v>World War I</v>
      </c>
      <c r="G1179" s="2" t="str">
        <f t="array" ref="G1179">_xlfn.XLOOKUP(A1180,Product!A:A,Product!D:D,"Bulunamadı")</f>
        <v>Ironwood Ridge Publishing</v>
      </c>
      <c r="H1179" s="2">
        <f t="array" ref="H1179">_xlfn.XLOOKUP(A1181,Product!A:A,Product!E:E,"Bulunamadı")</f>
        <v>3.82</v>
      </c>
      <c r="I1179" s="2" t="str">
        <f t="shared" si="1"/>
        <v>83621 - Law - World War I</v>
      </c>
      <c r="J1179" s="2">
        <f t="shared" si="2"/>
        <v>508.06</v>
      </c>
      <c r="K1179" s="17">
        <f t="shared" si="3"/>
        <v>1</v>
      </c>
      <c r="L1179" s="18"/>
    </row>
    <row r="1180" hidden="1">
      <c r="A1180" s="2">
        <f>IFERROR(__xludf.DUMMYFUNCTION("""COMPUTED_VALUE"""),115599.0)</f>
        <v>115599</v>
      </c>
      <c r="B1180" s="2">
        <f>IFERROR(__xludf.DUMMYFUNCTION("""COMPUTED_VALUE"""),0.0)</f>
        <v>0</v>
      </c>
      <c r="C1180" s="2">
        <f>IFERROR(__xludf.DUMMYFUNCTION("""COMPUTED_VALUE"""),71.0)</f>
        <v>71</v>
      </c>
      <c r="D1180" s="3">
        <f>IFERROR(__xludf.DUMMYFUNCTION("""COMPUTED_VALUE"""),38.0)</f>
        <v>38</v>
      </c>
      <c r="E1180" s="1" t="str">
        <f t="array" ref="E1180">_xlfn.XLOOKUP(A1180,Product!A:A,Product!B:B,"Bulunamadı")</f>
        <v>Law</v>
      </c>
      <c r="F1180" s="1" t="str">
        <f t="array" ref="F1180">_xlfn.XLOOKUP(A1180,Product!A:A,Product!C:C,"Bulunamadı")</f>
        <v>World War I</v>
      </c>
      <c r="G1180" s="2" t="str">
        <f t="array" ref="G1180">_xlfn.XLOOKUP(A1181,Product!A:A,Product!D:D,"Bulunamadı")</f>
        <v>Ironwood Ridge Publishing</v>
      </c>
      <c r="H1180" s="2">
        <f t="array" ref="H1180">_xlfn.XLOOKUP(A1182,Product!A:A,Product!E:E,"Bulunamadı")</f>
        <v>1.98</v>
      </c>
      <c r="I1180" s="2" t="str">
        <f t="shared" si="1"/>
        <v>115599 - Law - World War I</v>
      </c>
      <c r="J1180" s="2">
        <f t="shared" si="2"/>
        <v>75.24</v>
      </c>
      <c r="K1180" s="17">
        <f t="shared" si="3"/>
        <v>1</v>
      </c>
      <c r="L1180" s="18"/>
    </row>
    <row r="1181" hidden="1">
      <c r="A1181" s="2">
        <f>IFERROR(__xludf.DUMMYFUNCTION("""COMPUTED_VALUE"""),83598.0)</f>
        <v>83598</v>
      </c>
      <c r="B1181" s="2">
        <f>IFERROR(__xludf.DUMMYFUNCTION("""COMPUTED_VALUE"""),1.0)</f>
        <v>1</v>
      </c>
      <c r="C1181" s="2">
        <f>IFERROR(__xludf.DUMMYFUNCTION("""COMPUTED_VALUE"""),223.0)</f>
        <v>223</v>
      </c>
      <c r="D1181" s="3">
        <f>IFERROR(__xludf.DUMMYFUNCTION("""COMPUTED_VALUE"""),172.0)</f>
        <v>172</v>
      </c>
      <c r="E1181" s="1" t="str">
        <f t="array" ref="E1181">_xlfn.XLOOKUP(A1181,Product!A:A,Product!B:B,"Bulunamadı")</f>
        <v>Law</v>
      </c>
      <c r="F1181" s="1" t="str">
        <f t="array" ref="F1181">_xlfn.XLOOKUP(A1181,Product!A:A,Product!C:C,"Bulunamadı")</f>
        <v>World War I</v>
      </c>
      <c r="G1181" s="2" t="str">
        <f t="array" ref="G1181">_xlfn.XLOOKUP(A1182,Product!A:A,Product!D:D,"Bulunamadı")</f>
        <v>Ironwood Ridge Publishing</v>
      </c>
      <c r="H1181" s="2">
        <f t="array" ref="H1181">_xlfn.XLOOKUP(A1183,Product!A:A,Product!E:E,"Bulunamadı")</f>
        <v>2.65</v>
      </c>
      <c r="I1181" s="2" t="str">
        <f t="shared" si="1"/>
        <v>83598 - Law - World War I</v>
      </c>
      <c r="J1181" s="2">
        <f t="shared" si="2"/>
        <v>455.8</v>
      </c>
      <c r="K1181" s="17">
        <f t="shared" si="3"/>
        <v>1</v>
      </c>
      <c r="L1181" s="18"/>
    </row>
    <row r="1182" hidden="1">
      <c r="A1182" s="2">
        <f>IFERROR(__xludf.DUMMYFUNCTION("""COMPUTED_VALUE"""),5652.0)</f>
        <v>5652</v>
      </c>
      <c r="B1182" s="2">
        <f>IFERROR(__xludf.DUMMYFUNCTION("""COMPUTED_VALUE"""),1.0)</f>
        <v>1</v>
      </c>
      <c r="C1182" s="2">
        <f>IFERROR(__xludf.DUMMYFUNCTION("""COMPUTED_VALUE"""),759.0)</f>
        <v>759</v>
      </c>
      <c r="D1182" s="3">
        <f>IFERROR(__xludf.DUMMYFUNCTION("""COMPUTED_VALUE"""),721.0)</f>
        <v>721</v>
      </c>
      <c r="E1182" s="1" t="str">
        <f t="array" ref="E1182">_xlfn.XLOOKUP(A1182,Product!A:A,Product!B:B,"Bulunamadı")</f>
        <v>Law</v>
      </c>
      <c r="F1182" s="1" t="str">
        <f t="array" ref="F1182">_xlfn.XLOOKUP(A1182,Product!A:A,Product!C:C,"Bulunamadı")</f>
        <v>World War I</v>
      </c>
      <c r="G1182" s="2" t="str">
        <f t="array" ref="G1182">_xlfn.XLOOKUP(A1183,Product!A:A,Product!D:D,"Bulunamadı")</f>
        <v>Ironwood Ridge Publishing</v>
      </c>
      <c r="H1182" s="2">
        <f t="array" ref="H1182">_xlfn.XLOOKUP(A1184,Product!A:A,Product!E:E,"Bulunamadı")</f>
        <v>2.71</v>
      </c>
      <c r="I1182" s="2" t="str">
        <f t="shared" si="1"/>
        <v>5652 - Law - World War I</v>
      </c>
      <c r="J1182" s="2">
        <f t="shared" si="2"/>
        <v>1953.91</v>
      </c>
      <c r="K1182" s="17">
        <f t="shared" si="3"/>
        <v>1</v>
      </c>
      <c r="L1182" s="18"/>
    </row>
    <row r="1183" hidden="1">
      <c r="A1183" s="2">
        <f>IFERROR(__xludf.DUMMYFUNCTION("""COMPUTED_VALUE"""),122661.0)</f>
        <v>122661</v>
      </c>
      <c r="B1183" s="2">
        <f>IFERROR(__xludf.DUMMYFUNCTION("""COMPUTED_VALUE"""),0.0)</f>
        <v>0</v>
      </c>
      <c r="C1183" s="2">
        <f>IFERROR(__xludf.DUMMYFUNCTION("""COMPUTED_VALUE"""),719.0)</f>
        <v>719</v>
      </c>
      <c r="D1183" s="3">
        <f>IFERROR(__xludf.DUMMYFUNCTION("""COMPUTED_VALUE"""),387.0)</f>
        <v>387</v>
      </c>
      <c r="E1183" s="1" t="str">
        <f t="array" ref="E1183">_xlfn.XLOOKUP(A1183,Product!A:A,Product!B:B,"Bulunamadı")</f>
        <v>Law</v>
      </c>
      <c r="F1183" s="1" t="str">
        <f t="array" ref="F1183">_xlfn.XLOOKUP(A1183,Product!A:A,Product!C:C,"Bulunamadı")</f>
        <v>World War I</v>
      </c>
      <c r="G1183" s="2" t="str">
        <f t="array" ref="G1183">_xlfn.XLOOKUP(A1184,Product!A:A,Product!D:D,"Bulunamadı")</f>
        <v>Ironwood Ridge Publishing</v>
      </c>
      <c r="H1183" s="2">
        <f t="array" ref="H1183">_xlfn.XLOOKUP(A1185,Product!A:A,Product!E:E,"Bulunamadı")</f>
        <v>1.88</v>
      </c>
      <c r="I1183" s="2" t="str">
        <f t="shared" si="1"/>
        <v>122661 - Law - World War I</v>
      </c>
      <c r="J1183" s="2">
        <f t="shared" si="2"/>
        <v>727.56</v>
      </c>
      <c r="K1183" s="17">
        <f t="shared" si="3"/>
        <v>1</v>
      </c>
      <c r="L1183" s="18"/>
    </row>
    <row r="1184" hidden="1">
      <c r="A1184" s="2">
        <f>IFERROR(__xludf.DUMMYFUNCTION("""COMPUTED_VALUE"""),116384.0)</f>
        <v>116384</v>
      </c>
      <c r="B1184" s="2">
        <f>IFERROR(__xludf.DUMMYFUNCTION("""COMPUTED_VALUE"""),0.0)</f>
        <v>0</v>
      </c>
      <c r="C1184" s="2">
        <f>IFERROR(__xludf.DUMMYFUNCTION("""COMPUTED_VALUE"""),415.0)</f>
        <v>415</v>
      </c>
      <c r="D1184" s="3">
        <f>IFERROR(__xludf.DUMMYFUNCTION("""COMPUTED_VALUE"""),304.0)</f>
        <v>304</v>
      </c>
      <c r="E1184" s="1" t="str">
        <f t="array" ref="E1184">_xlfn.XLOOKUP(A1184,Product!A:A,Product!B:B,"Bulunamadı")</f>
        <v>Law</v>
      </c>
      <c r="F1184" s="1" t="str">
        <f t="array" ref="F1184">_xlfn.XLOOKUP(A1184,Product!A:A,Product!C:C,"Bulunamadı")</f>
        <v>World War I</v>
      </c>
      <c r="G1184" s="2" t="str">
        <f t="array" ref="G1184">_xlfn.XLOOKUP(A1185,Product!A:A,Product!D:D,"Bulunamadı")</f>
        <v>Ironwood Ridge Publishing</v>
      </c>
      <c r="H1184" s="2">
        <f t="array" ref="H1184">_xlfn.XLOOKUP(A1186,Product!A:A,Product!E:E,"Bulunamadı")</f>
        <v>2.09</v>
      </c>
      <c r="I1184" s="2" t="str">
        <f t="shared" si="1"/>
        <v>116384 - Law - World War I</v>
      </c>
      <c r="J1184" s="2">
        <f t="shared" si="2"/>
        <v>635.36</v>
      </c>
      <c r="K1184" s="17">
        <f t="shared" si="3"/>
        <v>1</v>
      </c>
      <c r="L1184" s="18"/>
    </row>
    <row r="1185" hidden="1">
      <c r="A1185" s="2">
        <f>IFERROR(__xludf.DUMMYFUNCTION("""COMPUTED_VALUE"""),78859.0)</f>
        <v>78859</v>
      </c>
      <c r="B1185" s="2">
        <f>IFERROR(__xludf.DUMMYFUNCTION("""COMPUTED_VALUE"""),1.0)</f>
        <v>1</v>
      </c>
      <c r="C1185" s="2">
        <f>IFERROR(__xludf.DUMMYFUNCTION("""COMPUTED_VALUE"""),701.0)</f>
        <v>701</v>
      </c>
      <c r="D1185" s="3">
        <f>IFERROR(__xludf.DUMMYFUNCTION("""COMPUTED_VALUE"""),134.0)</f>
        <v>134</v>
      </c>
      <c r="E1185" s="1" t="str">
        <f t="array" ref="E1185">_xlfn.XLOOKUP(A1185,Product!A:A,Product!B:B,"Bulunamadı")</f>
        <v>Law</v>
      </c>
      <c r="F1185" s="1" t="str">
        <f t="array" ref="F1185">_xlfn.XLOOKUP(A1185,Product!A:A,Product!C:C,"Bulunamadı")</f>
        <v>World War I</v>
      </c>
      <c r="G1185" s="2" t="str">
        <f t="array" ref="G1185">_xlfn.XLOOKUP(A1186,Product!A:A,Product!D:D,"Bulunamadı")</f>
        <v>Ironwood Ridge Publishing</v>
      </c>
      <c r="H1185" s="2">
        <f t="array" ref="H1185">_xlfn.XLOOKUP(A1187,Product!A:A,Product!E:E,"Bulunamadı")</f>
        <v>1.73</v>
      </c>
      <c r="I1185" s="2" t="str">
        <f t="shared" si="1"/>
        <v>78859 - Law - World War I</v>
      </c>
      <c r="J1185" s="2">
        <f t="shared" si="2"/>
        <v>231.82</v>
      </c>
      <c r="K1185" s="17">
        <f t="shared" si="3"/>
        <v>1</v>
      </c>
      <c r="L1185" s="18"/>
    </row>
    <row r="1186" hidden="1">
      <c r="A1186" s="2">
        <f>IFERROR(__xludf.DUMMYFUNCTION("""COMPUTED_VALUE"""),87096.0)</f>
        <v>87096</v>
      </c>
      <c r="B1186" s="2">
        <f>IFERROR(__xludf.DUMMYFUNCTION("""COMPUTED_VALUE"""),0.0)</f>
        <v>0</v>
      </c>
      <c r="C1186" s="2">
        <f>IFERROR(__xludf.DUMMYFUNCTION("""COMPUTED_VALUE"""),237.0)</f>
        <v>237</v>
      </c>
      <c r="D1186" s="3">
        <f>IFERROR(__xludf.DUMMYFUNCTION("""COMPUTED_VALUE"""),147.0)</f>
        <v>147</v>
      </c>
      <c r="E1186" s="1" t="str">
        <f t="array" ref="E1186">_xlfn.XLOOKUP(A1186,Product!A:A,Product!B:B,"Bulunamadı")</f>
        <v>Law</v>
      </c>
      <c r="F1186" s="1" t="str">
        <f t="array" ref="F1186">_xlfn.XLOOKUP(A1186,Product!A:A,Product!C:C,"Bulunamadı")</f>
        <v>World War I</v>
      </c>
      <c r="G1186" s="2" t="str">
        <f t="array" ref="G1186">_xlfn.XLOOKUP(A1187,Product!A:A,Product!D:D,"Bulunamadı")</f>
        <v>Ironwood Ridge Publishing</v>
      </c>
      <c r="H1186" s="2">
        <f t="array" ref="H1186">_xlfn.XLOOKUP(A1188,Product!A:A,Product!E:E,"Bulunamadı")</f>
        <v>2.15</v>
      </c>
      <c r="I1186" s="2" t="str">
        <f t="shared" si="1"/>
        <v>87096 - Law - World War I</v>
      </c>
      <c r="J1186" s="2">
        <f t="shared" si="2"/>
        <v>316.05</v>
      </c>
      <c r="K1186" s="17">
        <f t="shared" si="3"/>
        <v>1</v>
      </c>
      <c r="L1186" s="18"/>
    </row>
    <row r="1187" hidden="1">
      <c r="A1187" s="2">
        <f>IFERROR(__xludf.DUMMYFUNCTION("""COMPUTED_VALUE"""),87428.0)</f>
        <v>87428</v>
      </c>
      <c r="B1187" s="2">
        <f>IFERROR(__xludf.DUMMYFUNCTION("""COMPUTED_VALUE"""),1.0)</f>
        <v>1</v>
      </c>
      <c r="C1187" s="2">
        <f>IFERROR(__xludf.DUMMYFUNCTION("""COMPUTED_VALUE"""),671.0)</f>
        <v>671</v>
      </c>
      <c r="D1187" s="3">
        <f>IFERROR(__xludf.DUMMYFUNCTION("""COMPUTED_VALUE"""),87.0)</f>
        <v>87</v>
      </c>
      <c r="E1187" s="1" t="str">
        <f t="array" ref="E1187">_xlfn.XLOOKUP(A1187,Product!A:A,Product!B:B,"Bulunamadı")</f>
        <v>Law</v>
      </c>
      <c r="F1187" s="1" t="str">
        <f t="array" ref="F1187">_xlfn.XLOOKUP(A1187,Product!A:A,Product!C:C,"Bulunamadı")</f>
        <v>World War I</v>
      </c>
      <c r="G1187" s="2" t="str">
        <f t="array" ref="G1187">_xlfn.XLOOKUP(A1188,Product!A:A,Product!D:D,"Bulunamadı")</f>
        <v>Ironwood Ridge Publishing</v>
      </c>
      <c r="H1187" s="2">
        <f t="array" ref="H1187">_xlfn.XLOOKUP(A1189,Product!A:A,Product!E:E,"Bulunamadı")</f>
        <v>1.67</v>
      </c>
      <c r="I1187" s="2" t="str">
        <f t="shared" si="1"/>
        <v>87428 - Law - World War I</v>
      </c>
      <c r="J1187" s="2">
        <f t="shared" si="2"/>
        <v>145.29</v>
      </c>
      <c r="K1187" s="17">
        <f t="shared" si="3"/>
        <v>1</v>
      </c>
      <c r="L1187" s="18"/>
    </row>
    <row r="1188" hidden="1">
      <c r="A1188" s="2">
        <f>IFERROR(__xludf.DUMMYFUNCTION("""COMPUTED_VALUE"""),5690.0)</f>
        <v>5690</v>
      </c>
      <c r="B1188" s="2">
        <f>IFERROR(__xludf.DUMMYFUNCTION("""COMPUTED_VALUE"""),0.0)</f>
        <v>0</v>
      </c>
      <c r="C1188" s="2">
        <f>IFERROR(__xludf.DUMMYFUNCTION("""COMPUTED_VALUE"""),870.0)</f>
        <v>870</v>
      </c>
      <c r="D1188" s="3">
        <f>IFERROR(__xludf.DUMMYFUNCTION("""COMPUTED_VALUE"""),348.0)</f>
        <v>348</v>
      </c>
      <c r="E1188" s="1" t="str">
        <f t="array" ref="E1188">_xlfn.XLOOKUP(A1188,Product!A:A,Product!B:B,"Bulunamadı")</f>
        <v>Law</v>
      </c>
      <c r="F1188" s="1" t="str">
        <f t="array" ref="F1188">_xlfn.XLOOKUP(A1188,Product!A:A,Product!C:C,"Bulunamadı")</f>
        <v>World War I</v>
      </c>
      <c r="G1188" s="2" t="str">
        <f t="array" ref="G1188">_xlfn.XLOOKUP(A1189,Product!A:A,Product!D:D,"Bulunamadı")</f>
        <v>Ironwood Ridge Publishing</v>
      </c>
      <c r="H1188" s="2">
        <f t="array" ref="H1188">_xlfn.XLOOKUP(A1190,Product!A:A,Product!E:E,"Bulunamadı")</f>
        <v>1.77</v>
      </c>
      <c r="I1188" s="2" t="str">
        <f t="shared" si="1"/>
        <v>5690 - Law - World War I</v>
      </c>
      <c r="J1188" s="2">
        <f t="shared" si="2"/>
        <v>615.96</v>
      </c>
      <c r="K1188" s="17">
        <f t="shared" si="3"/>
        <v>1</v>
      </c>
      <c r="L1188" s="18"/>
    </row>
    <row r="1189" hidden="1">
      <c r="A1189" s="2">
        <f>IFERROR(__xludf.DUMMYFUNCTION("""COMPUTED_VALUE"""),5663.0)</f>
        <v>5663</v>
      </c>
      <c r="B1189" s="2">
        <f>IFERROR(__xludf.DUMMYFUNCTION("""COMPUTED_VALUE"""),1.0)</f>
        <v>1</v>
      </c>
      <c r="C1189" s="2">
        <f>IFERROR(__xludf.DUMMYFUNCTION("""COMPUTED_VALUE"""),931.0)</f>
        <v>931</v>
      </c>
      <c r="D1189" s="3">
        <f>IFERROR(__xludf.DUMMYFUNCTION("""COMPUTED_VALUE"""),171.0)</f>
        <v>171</v>
      </c>
      <c r="E1189" s="1" t="str">
        <f t="array" ref="E1189">_xlfn.XLOOKUP(A1189,Product!A:A,Product!B:B,"Bulunamadı")</f>
        <v>Law</v>
      </c>
      <c r="F1189" s="1" t="str">
        <f t="array" ref="F1189">_xlfn.XLOOKUP(A1189,Product!A:A,Product!C:C,"Bulunamadı")</f>
        <v>World War I</v>
      </c>
      <c r="G1189" s="2" t="str">
        <f t="array" ref="G1189">_xlfn.XLOOKUP(A1190,Product!A:A,Product!D:D,"Bulunamadı")</f>
        <v>Ironwood Ridge Publishing</v>
      </c>
      <c r="H1189" s="2">
        <f t="array" ref="H1189">_xlfn.XLOOKUP(A1191,Product!A:A,Product!E:E,"Bulunamadı")</f>
        <v>1.99</v>
      </c>
      <c r="I1189" s="2" t="str">
        <f t="shared" si="1"/>
        <v>5663 - Law - World War I</v>
      </c>
      <c r="J1189" s="2">
        <f t="shared" si="2"/>
        <v>340.29</v>
      </c>
      <c r="K1189" s="17">
        <f t="shared" si="3"/>
        <v>1</v>
      </c>
      <c r="L1189" s="18"/>
    </row>
    <row r="1190" hidden="1">
      <c r="A1190" s="2">
        <f>IFERROR(__xludf.DUMMYFUNCTION("""COMPUTED_VALUE"""),5654.0)</f>
        <v>5654</v>
      </c>
      <c r="B1190" s="2">
        <f>IFERROR(__xludf.DUMMYFUNCTION("""COMPUTED_VALUE"""),0.0)</f>
        <v>0</v>
      </c>
      <c r="C1190" s="2">
        <f>IFERROR(__xludf.DUMMYFUNCTION("""COMPUTED_VALUE"""),465.0)</f>
        <v>465</v>
      </c>
      <c r="D1190" s="3">
        <f>IFERROR(__xludf.DUMMYFUNCTION("""COMPUTED_VALUE"""),432.0)</f>
        <v>432</v>
      </c>
      <c r="E1190" s="1" t="str">
        <f t="array" ref="E1190">_xlfn.XLOOKUP(A1190,Product!A:A,Product!B:B,"Bulunamadı")</f>
        <v>Law</v>
      </c>
      <c r="F1190" s="1" t="str">
        <f t="array" ref="F1190">_xlfn.XLOOKUP(A1190,Product!A:A,Product!C:C,"Bulunamadı")</f>
        <v>World War I</v>
      </c>
      <c r="G1190" s="2" t="str">
        <f t="array" ref="G1190">_xlfn.XLOOKUP(A1191,Product!A:A,Product!D:D,"Bulunamadı")</f>
        <v>Ironwood Ridge Publishing</v>
      </c>
      <c r="H1190" s="2">
        <f t="array" ref="H1190">_xlfn.XLOOKUP(A1192,Product!A:A,Product!E:E,"Bulunamadı")</f>
        <v>1.89</v>
      </c>
      <c r="I1190" s="2" t="str">
        <f t="shared" si="1"/>
        <v>5654 - Law - World War I</v>
      </c>
      <c r="J1190" s="2">
        <f t="shared" si="2"/>
        <v>816.48</v>
      </c>
      <c r="K1190" s="17">
        <f t="shared" si="3"/>
        <v>1</v>
      </c>
      <c r="L1190" s="18"/>
    </row>
    <row r="1191" hidden="1">
      <c r="A1191" s="2">
        <f>IFERROR(__xludf.DUMMYFUNCTION("""COMPUTED_VALUE"""),44607.0)</f>
        <v>44607</v>
      </c>
      <c r="B1191" s="2">
        <f>IFERROR(__xludf.DUMMYFUNCTION("""COMPUTED_VALUE"""),0.0)</f>
        <v>0</v>
      </c>
      <c r="C1191" s="2">
        <f>IFERROR(__xludf.DUMMYFUNCTION("""COMPUTED_VALUE"""),932.0)</f>
        <v>932</v>
      </c>
      <c r="D1191" s="3">
        <f>IFERROR(__xludf.DUMMYFUNCTION("""COMPUTED_VALUE"""),408.0)</f>
        <v>408</v>
      </c>
      <c r="E1191" s="1" t="str">
        <f t="array" ref="E1191">_xlfn.XLOOKUP(A1191,Product!A:A,Product!B:B,"Bulunamadı")</f>
        <v>Law</v>
      </c>
      <c r="F1191" s="1" t="str">
        <f t="array" ref="F1191">_xlfn.XLOOKUP(A1191,Product!A:A,Product!C:C,"Bulunamadı")</f>
        <v>World War I</v>
      </c>
      <c r="G1191" s="2" t="str">
        <f t="array" ref="G1191">_xlfn.XLOOKUP(A1192,Product!A:A,Product!D:D,"Bulunamadı")</f>
        <v>Ironwood Ridge Publishing</v>
      </c>
      <c r="H1191" s="2">
        <f t="array" ref="H1191">_xlfn.XLOOKUP(A1193,Product!A:A,Product!E:E,"Bulunamadı")</f>
        <v>2.52</v>
      </c>
      <c r="I1191" s="2" t="str">
        <f t="shared" si="1"/>
        <v>44607 - Law - World War I</v>
      </c>
      <c r="J1191" s="2">
        <f t="shared" si="2"/>
        <v>1028.16</v>
      </c>
      <c r="K1191" s="17">
        <f t="shared" si="3"/>
        <v>1</v>
      </c>
      <c r="L1191" s="18"/>
    </row>
    <row r="1192" hidden="1">
      <c r="A1192" s="2">
        <f>IFERROR(__xludf.DUMMYFUNCTION("""COMPUTED_VALUE"""),5662.0)</f>
        <v>5662</v>
      </c>
      <c r="B1192" s="2">
        <f>IFERROR(__xludf.DUMMYFUNCTION("""COMPUTED_VALUE"""),1.0)</f>
        <v>1</v>
      </c>
      <c r="C1192" s="2">
        <f>IFERROR(__xludf.DUMMYFUNCTION("""COMPUTED_VALUE"""),301.0)</f>
        <v>301</v>
      </c>
      <c r="D1192" s="3">
        <f>IFERROR(__xludf.DUMMYFUNCTION("""COMPUTED_VALUE"""),193.0)</f>
        <v>193</v>
      </c>
      <c r="E1192" s="1" t="str">
        <f t="array" ref="E1192">_xlfn.XLOOKUP(A1192,Product!A:A,Product!B:B,"Bulunamadı")</f>
        <v>Law</v>
      </c>
      <c r="F1192" s="1" t="str">
        <f t="array" ref="F1192">_xlfn.XLOOKUP(A1192,Product!A:A,Product!C:C,"Bulunamadı")</f>
        <v>World War I</v>
      </c>
      <c r="G1192" s="2" t="str">
        <f t="array" ref="G1192">_xlfn.XLOOKUP(A1193,Product!A:A,Product!D:D,"Bulunamadı")</f>
        <v>Ironwood Ridge Publishing</v>
      </c>
      <c r="H1192" s="2">
        <f t="array" ref="H1192">_xlfn.XLOOKUP(A1194,Product!A:A,Product!E:E,"Bulunamadı")</f>
        <v>1.72</v>
      </c>
      <c r="I1192" s="2" t="str">
        <f t="shared" si="1"/>
        <v>5662 - Law - World War I</v>
      </c>
      <c r="J1192" s="2">
        <f t="shared" si="2"/>
        <v>331.96</v>
      </c>
      <c r="K1192" s="17">
        <f t="shared" si="3"/>
        <v>1</v>
      </c>
      <c r="L1192" s="18"/>
    </row>
    <row r="1193" hidden="1">
      <c r="A1193" s="2">
        <f>IFERROR(__xludf.DUMMYFUNCTION("""COMPUTED_VALUE"""),87426.0)</f>
        <v>87426</v>
      </c>
      <c r="B1193" s="2">
        <f>IFERROR(__xludf.DUMMYFUNCTION("""COMPUTED_VALUE"""),1.0)</f>
        <v>1</v>
      </c>
      <c r="C1193" s="2">
        <f>IFERROR(__xludf.DUMMYFUNCTION("""COMPUTED_VALUE"""),963.0)</f>
        <v>963</v>
      </c>
      <c r="D1193" s="3">
        <f>IFERROR(__xludf.DUMMYFUNCTION("""COMPUTED_VALUE"""),102.0)</f>
        <v>102</v>
      </c>
      <c r="E1193" s="1" t="str">
        <f t="array" ref="E1193">_xlfn.XLOOKUP(A1193,Product!A:A,Product!B:B,"Bulunamadı")</f>
        <v>Law</v>
      </c>
      <c r="F1193" s="1" t="str">
        <f t="array" ref="F1193">_xlfn.XLOOKUP(A1193,Product!A:A,Product!C:C,"Bulunamadı")</f>
        <v>World War I</v>
      </c>
      <c r="G1193" s="2" t="str">
        <f t="array" ref="G1193">_xlfn.XLOOKUP(A1194,Product!A:A,Product!D:D,"Bulunamadı")</f>
        <v>Ironwood Ridge Publishing</v>
      </c>
      <c r="H1193" s="2">
        <f t="array" ref="H1193">_xlfn.XLOOKUP(A1195,Product!A:A,Product!E:E,"Bulunamadı")</f>
        <v>2.37</v>
      </c>
      <c r="I1193" s="2" t="str">
        <f t="shared" si="1"/>
        <v>87426 - Law - World War I</v>
      </c>
      <c r="J1193" s="2">
        <f t="shared" si="2"/>
        <v>241.74</v>
      </c>
      <c r="K1193" s="17">
        <f t="shared" si="3"/>
        <v>1</v>
      </c>
      <c r="L1193" s="18"/>
    </row>
    <row r="1194" hidden="1">
      <c r="A1194" s="2">
        <f>IFERROR(__xludf.DUMMYFUNCTION("""COMPUTED_VALUE"""),5680.0)</f>
        <v>5680</v>
      </c>
      <c r="B1194" s="2">
        <f>IFERROR(__xludf.DUMMYFUNCTION("""COMPUTED_VALUE"""),1.0)</f>
        <v>1</v>
      </c>
      <c r="C1194" s="2">
        <f>IFERROR(__xludf.DUMMYFUNCTION("""COMPUTED_VALUE"""),129.0)</f>
        <v>129</v>
      </c>
      <c r="D1194" s="3">
        <f>IFERROR(__xludf.DUMMYFUNCTION("""COMPUTED_VALUE"""),36.0)</f>
        <v>36</v>
      </c>
      <c r="E1194" s="1" t="str">
        <f t="array" ref="E1194">_xlfn.XLOOKUP(A1194,Product!A:A,Product!B:B,"Bulunamadı")</f>
        <v>Law</v>
      </c>
      <c r="F1194" s="1" t="str">
        <f t="array" ref="F1194">_xlfn.XLOOKUP(A1194,Product!A:A,Product!C:C,"Bulunamadı")</f>
        <v>World War I</v>
      </c>
      <c r="G1194" s="2" t="str">
        <f t="array" ref="G1194">_xlfn.XLOOKUP(A1195,Product!A:A,Product!D:D,"Bulunamadı")</f>
        <v>Ironwood Ridge Publishing</v>
      </c>
      <c r="H1194" s="2">
        <f t="array" ref="H1194">_xlfn.XLOOKUP(A1196,Product!A:A,Product!E:E,"Bulunamadı")</f>
        <v>3.5</v>
      </c>
      <c r="I1194" s="2" t="str">
        <f t="shared" si="1"/>
        <v>5680 - Law - World War I</v>
      </c>
      <c r="J1194" s="2">
        <f t="shared" si="2"/>
        <v>126</v>
      </c>
      <c r="K1194" s="17">
        <f t="shared" si="3"/>
        <v>1</v>
      </c>
      <c r="L1194" s="18"/>
    </row>
    <row r="1195" hidden="1">
      <c r="A1195" s="2">
        <f>IFERROR(__xludf.DUMMYFUNCTION("""COMPUTED_VALUE"""),5661.0)</f>
        <v>5661</v>
      </c>
      <c r="B1195" s="2">
        <f>IFERROR(__xludf.DUMMYFUNCTION("""COMPUTED_VALUE"""),0.0)</f>
        <v>0</v>
      </c>
      <c r="C1195" s="2">
        <f>IFERROR(__xludf.DUMMYFUNCTION("""COMPUTED_VALUE"""),566.0)</f>
        <v>566</v>
      </c>
      <c r="D1195" s="3">
        <f>IFERROR(__xludf.DUMMYFUNCTION("""COMPUTED_VALUE"""),275.0)</f>
        <v>275</v>
      </c>
      <c r="E1195" s="1" t="str">
        <f t="array" ref="E1195">_xlfn.XLOOKUP(A1195,Product!A:A,Product!B:B,"Bulunamadı")</f>
        <v>Law</v>
      </c>
      <c r="F1195" s="1" t="str">
        <f t="array" ref="F1195">_xlfn.XLOOKUP(A1195,Product!A:A,Product!C:C,"Bulunamadı")</f>
        <v>World War I</v>
      </c>
      <c r="G1195" s="2" t="str">
        <f t="array" ref="G1195">_xlfn.XLOOKUP(A1196,Product!A:A,Product!D:D,"Bulunamadı")</f>
        <v>Ironwood Ridge Publishing</v>
      </c>
      <c r="H1195" s="2">
        <f t="array" ref="H1195">_xlfn.XLOOKUP(A1197,Product!A:A,Product!E:E,"Bulunamadı")</f>
        <v>3.85</v>
      </c>
      <c r="I1195" s="2" t="str">
        <f t="shared" si="1"/>
        <v>5661 - Law - World War I</v>
      </c>
      <c r="J1195" s="2">
        <f t="shared" si="2"/>
        <v>1058.75</v>
      </c>
      <c r="K1195" s="17">
        <f t="shared" si="3"/>
        <v>1</v>
      </c>
      <c r="L1195" s="18"/>
    </row>
    <row r="1196" hidden="1">
      <c r="A1196" s="2">
        <f>IFERROR(__xludf.DUMMYFUNCTION("""COMPUTED_VALUE"""),83629.0)</f>
        <v>83629</v>
      </c>
      <c r="B1196" s="2">
        <f>IFERROR(__xludf.DUMMYFUNCTION("""COMPUTED_VALUE"""),0.0)</f>
        <v>0</v>
      </c>
      <c r="C1196" s="2">
        <f>IFERROR(__xludf.DUMMYFUNCTION("""COMPUTED_VALUE"""),901.0)</f>
        <v>901</v>
      </c>
      <c r="D1196" s="3">
        <f>IFERROR(__xludf.DUMMYFUNCTION("""COMPUTED_VALUE"""),784.0)</f>
        <v>784</v>
      </c>
      <c r="E1196" s="1" t="str">
        <f t="array" ref="E1196">_xlfn.XLOOKUP(A1196,Product!A:A,Product!B:B,"Bulunamadı")</f>
        <v>Law</v>
      </c>
      <c r="F1196" s="1" t="str">
        <f t="array" ref="F1196">_xlfn.XLOOKUP(A1196,Product!A:A,Product!C:C,"Bulunamadı")</f>
        <v>World War I</v>
      </c>
      <c r="G1196" s="2" t="str">
        <f t="array" ref="G1196">_xlfn.XLOOKUP(A1197,Product!A:A,Product!D:D,"Bulunamadı")</f>
        <v>Ironwood Ridge Publishing</v>
      </c>
      <c r="H1196" s="2">
        <f t="array" ref="H1196">_xlfn.XLOOKUP(A1198,Product!A:A,Product!E:E,"Bulunamadı")</f>
        <v>2.41</v>
      </c>
      <c r="I1196" s="2" t="str">
        <f t="shared" si="1"/>
        <v>83629 - Law - World War I</v>
      </c>
      <c r="J1196" s="2">
        <f t="shared" si="2"/>
        <v>1889.44</v>
      </c>
      <c r="K1196" s="17">
        <f t="shared" si="3"/>
        <v>1</v>
      </c>
      <c r="L1196" s="18"/>
    </row>
    <row r="1197" hidden="1">
      <c r="A1197" s="2">
        <f>IFERROR(__xludf.DUMMYFUNCTION("""COMPUTED_VALUE"""),83599.0)</f>
        <v>83599</v>
      </c>
      <c r="B1197" s="2">
        <f>IFERROR(__xludf.DUMMYFUNCTION("""COMPUTED_VALUE"""),0.0)</f>
        <v>0</v>
      </c>
      <c r="C1197" s="2">
        <f>IFERROR(__xludf.DUMMYFUNCTION("""COMPUTED_VALUE"""),91.0)</f>
        <v>91</v>
      </c>
      <c r="D1197" s="3">
        <f>IFERROR(__xludf.DUMMYFUNCTION("""COMPUTED_VALUE"""),62.0)</f>
        <v>62</v>
      </c>
      <c r="E1197" s="1" t="str">
        <f t="array" ref="E1197">_xlfn.XLOOKUP(A1197,Product!A:A,Product!B:B,"Bulunamadı")</f>
        <v>Law</v>
      </c>
      <c r="F1197" s="1" t="str">
        <f t="array" ref="F1197">_xlfn.XLOOKUP(A1197,Product!A:A,Product!C:C,"Bulunamadı")</f>
        <v>World War I</v>
      </c>
      <c r="G1197" s="2" t="str">
        <f t="array" ref="G1197">_xlfn.XLOOKUP(A1198,Product!A:A,Product!D:D,"Bulunamadı")</f>
        <v>Ironwood Ridge Publishing</v>
      </c>
      <c r="H1197" s="2">
        <f t="array" ref="H1197">_xlfn.XLOOKUP(A1199,Product!A:A,Product!E:E,"Bulunamadı")</f>
        <v>1.72</v>
      </c>
      <c r="I1197" s="2" t="str">
        <f t="shared" si="1"/>
        <v>83599 - Law - World War I</v>
      </c>
      <c r="J1197" s="2">
        <f t="shared" si="2"/>
        <v>106.64</v>
      </c>
      <c r="K1197" s="17">
        <f t="shared" si="3"/>
        <v>1</v>
      </c>
      <c r="L1197" s="18"/>
    </row>
    <row r="1198" hidden="1">
      <c r="A1198" s="2">
        <f>IFERROR(__xludf.DUMMYFUNCTION("""COMPUTED_VALUE"""),83625.0)</f>
        <v>83625</v>
      </c>
      <c r="B1198" s="2">
        <f>IFERROR(__xludf.DUMMYFUNCTION("""COMPUTED_VALUE"""),1.0)</f>
        <v>1</v>
      </c>
      <c r="C1198" s="2">
        <f>IFERROR(__xludf.DUMMYFUNCTION("""COMPUTED_VALUE"""),864.0)</f>
        <v>864</v>
      </c>
      <c r="D1198" s="3">
        <f>IFERROR(__xludf.DUMMYFUNCTION("""COMPUTED_VALUE"""),758.0)</f>
        <v>758</v>
      </c>
      <c r="E1198" s="1" t="str">
        <f t="array" ref="E1198">_xlfn.XLOOKUP(A1198,Product!A:A,Product!B:B,"Bulunamadı")</f>
        <v>Law</v>
      </c>
      <c r="F1198" s="1" t="str">
        <f t="array" ref="F1198">_xlfn.XLOOKUP(A1198,Product!A:A,Product!C:C,"Bulunamadı")</f>
        <v>World War I</v>
      </c>
      <c r="G1198" s="2" t="str">
        <f t="array" ref="G1198">_xlfn.XLOOKUP(A1199,Product!A:A,Product!D:D,"Bulunamadı")</f>
        <v>Northfield Books</v>
      </c>
      <c r="H1198" s="2">
        <f t="array" ref="H1198">_xlfn.XLOOKUP(A1200,Product!A:A,Product!E:E,"Bulunamadı")</f>
        <v>1.41</v>
      </c>
      <c r="I1198" s="2" t="str">
        <f t="shared" si="1"/>
        <v>83625 - Law - World War I</v>
      </c>
      <c r="J1198" s="2">
        <f t="shared" si="2"/>
        <v>1068.78</v>
      </c>
      <c r="K1198" s="17">
        <f t="shared" si="3"/>
        <v>1</v>
      </c>
      <c r="L1198" s="18"/>
    </row>
    <row r="1199" hidden="1">
      <c r="A1199" s="2">
        <f>IFERROR(__xludf.DUMMYFUNCTION("""COMPUTED_VALUE"""),87887.0)</f>
        <v>87887</v>
      </c>
      <c r="B1199" s="2">
        <f>IFERROR(__xludf.DUMMYFUNCTION("""COMPUTED_VALUE"""),1.0)</f>
        <v>1</v>
      </c>
      <c r="C1199" s="2">
        <f>IFERROR(__xludf.DUMMYFUNCTION("""COMPUTED_VALUE"""),533.0)</f>
        <v>533</v>
      </c>
      <c r="D1199" s="3">
        <f>IFERROR(__xludf.DUMMYFUNCTION("""COMPUTED_VALUE"""),202.0)</f>
        <v>202</v>
      </c>
      <c r="E1199" s="1" t="str">
        <f t="array" ref="E1199">_xlfn.XLOOKUP(A1199,Product!A:A,Product!B:B,"Bulunamadı")</f>
        <v>Law</v>
      </c>
      <c r="F1199" s="1" t="str">
        <f t="array" ref="F1199">_xlfn.XLOOKUP(A1199,Product!A:A,Product!C:C,"Bulunamadı")</f>
        <v>World War I</v>
      </c>
      <c r="G1199" s="2" t="str">
        <f t="array" ref="G1199">_xlfn.XLOOKUP(A1200,Product!A:A,Product!D:D,"Bulunamadı")</f>
        <v>Northfield Books</v>
      </c>
      <c r="H1199" s="2">
        <f t="array" ref="H1199">_xlfn.XLOOKUP(A1201,Product!A:A,Product!E:E,"Bulunamadı")</f>
        <v>1.92</v>
      </c>
      <c r="I1199" s="2" t="str">
        <f t="shared" si="1"/>
        <v>87887 - Law - World War I</v>
      </c>
      <c r="J1199" s="2">
        <f t="shared" si="2"/>
        <v>387.84</v>
      </c>
      <c r="K1199" s="17">
        <f t="shared" si="3"/>
        <v>1</v>
      </c>
      <c r="L1199" s="18"/>
    </row>
    <row r="1200" hidden="1">
      <c r="A1200" s="2">
        <f>IFERROR(__xludf.DUMMYFUNCTION("""COMPUTED_VALUE"""),118923.0)</f>
        <v>118923</v>
      </c>
      <c r="B1200" s="2">
        <f>IFERROR(__xludf.DUMMYFUNCTION("""COMPUTED_VALUE"""),0.0)</f>
        <v>0</v>
      </c>
      <c r="C1200" s="2">
        <f>IFERROR(__xludf.DUMMYFUNCTION("""COMPUTED_VALUE"""),84.0)</f>
        <v>84</v>
      </c>
      <c r="D1200" s="3">
        <f>IFERROR(__xludf.DUMMYFUNCTION("""COMPUTED_VALUE"""),41.0)</f>
        <v>41</v>
      </c>
      <c r="E1200" s="1" t="str">
        <f t="array" ref="E1200">_xlfn.XLOOKUP(A1200,Product!A:A,Product!B:B,"Bulunamadı")</f>
        <v>Law</v>
      </c>
      <c r="F1200" s="1" t="str">
        <f t="array" ref="F1200">_xlfn.XLOOKUP(A1200,Product!A:A,Product!C:C,"Bulunamadı")</f>
        <v>World War I</v>
      </c>
      <c r="G1200" s="2" t="str">
        <f t="array" ref="G1200">_xlfn.XLOOKUP(A1201,Product!A:A,Product!D:D,"Bulunamadı")</f>
        <v>Northfield Books</v>
      </c>
      <c r="H1200" s="2">
        <f t="array" ref="H1200">_xlfn.XLOOKUP(A1202,Product!A:A,Product!E:E,"Bulunamadı")</f>
        <v>1.53</v>
      </c>
      <c r="I1200" s="2" t="str">
        <f t="shared" si="1"/>
        <v>118923 - Law - World War I</v>
      </c>
      <c r="J1200" s="2">
        <f t="shared" si="2"/>
        <v>62.73</v>
      </c>
      <c r="K1200" s="17">
        <f t="shared" si="3"/>
        <v>1</v>
      </c>
      <c r="L1200" s="18"/>
    </row>
    <row r="1201" hidden="1">
      <c r="A1201" s="2">
        <f>IFERROR(__xludf.DUMMYFUNCTION("""COMPUTED_VALUE"""),87421.0)</f>
        <v>87421</v>
      </c>
      <c r="B1201" s="2">
        <f>IFERROR(__xludf.DUMMYFUNCTION("""COMPUTED_VALUE"""),1.0)</f>
        <v>1</v>
      </c>
      <c r="C1201" s="2">
        <f>IFERROR(__xludf.DUMMYFUNCTION("""COMPUTED_VALUE"""),700.0)</f>
        <v>700</v>
      </c>
      <c r="D1201" s="3">
        <f>IFERROR(__xludf.DUMMYFUNCTION("""COMPUTED_VALUE"""),92.0)</f>
        <v>92</v>
      </c>
      <c r="E1201" s="1" t="str">
        <f t="array" ref="E1201">_xlfn.XLOOKUP(A1201,Product!A:A,Product!B:B,"Bulunamadı")</f>
        <v>Law</v>
      </c>
      <c r="F1201" s="1" t="str">
        <f t="array" ref="F1201">_xlfn.XLOOKUP(A1201,Product!A:A,Product!C:C,"Bulunamadı")</f>
        <v>World War I</v>
      </c>
      <c r="G1201" s="2" t="str">
        <f t="array" ref="G1201">_xlfn.XLOOKUP(A1202,Product!A:A,Product!D:D,"Bulunamadı")</f>
        <v>Northfield Books</v>
      </c>
      <c r="H1201" s="2">
        <f t="array" ref="H1201">_xlfn.XLOOKUP(A1203,Product!A:A,Product!E:E,"Bulunamadı")</f>
        <v>2.35</v>
      </c>
      <c r="I1201" s="2" t="str">
        <f t="shared" si="1"/>
        <v>87421 - Law - World War I</v>
      </c>
      <c r="J1201" s="2">
        <f t="shared" si="2"/>
        <v>216.2</v>
      </c>
      <c r="K1201" s="17">
        <f t="shared" si="3"/>
        <v>1</v>
      </c>
      <c r="L1201" s="18"/>
    </row>
    <row r="1202" hidden="1">
      <c r="A1202" s="2">
        <f>IFERROR(__xludf.DUMMYFUNCTION("""COMPUTED_VALUE"""),117531.0)</f>
        <v>117531</v>
      </c>
      <c r="B1202" s="2">
        <f>IFERROR(__xludf.DUMMYFUNCTION("""COMPUTED_VALUE"""),0.0)</f>
        <v>0</v>
      </c>
      <c r="C1202" s="2">
        <f>IFERROR(__xludf.DUMMYFUNCTION("""COMPUTED_VALUE"""),772.0)</f>
        <v>772</v>
      </c>
      <c r="D1202" s="3">
        <f>IFERROR(__xludf.DUMMYFUNCTION("""COMPUTED_VALUE"""),371.0)</f>
        <v>371</v>
      </c>
      <c r="E1202" s="1" t="str">
        <f t="array" ref="E1202">_xlfn.XLOOKUP(A1202,Product!A:A,Product!B:B,"Bulunamadı")</f>
        <v>Law</v>
      </c>
      <c r="F1202" s="1" t="str">
        <f t="array" ref="F1202">_xlfn.XLOOKUP(A1202,Product!A:A,Product!C:C,"Bulunamadı")</f>
        <v>World War I</v>
      </c>
      <c r="G1202" s="2" t="str">
        <f t="array" ref="G1202">_xlfn.XLOOKUP(A1203,Product!A:A,Product!D:D,"Bulunamadı")</f>
        <v>Northfield Books</v>
      </c>
      <c r="H1202" s="2">
        <f t="array" ref="H1202">_xlfn.XLOOKUP(A1204,Product!A:A,Product!E:E,"Bulunamadı")</f>
        <v>1.72</v>
      </c>
      <c r="I1202" s="2" t="str">
        <f t="shared" si="1"/>
        <v>117531 - Law - World War I</v>
      </c>
      <c r="J1202" s="2">
        <f t="shared" si="2"/>
        <v>638.12</v>
      </c>
      <c r="K1202" s="17">
        <f t="shared" si="3"/>
        <v>1</v>
      </c>
      <c r="L1202" s="18"/>
    </row>
    <row r="1203" hidden="1">
      <c r="A1203" s="2">
        <f>IFERROR(__xludf.DUMMYFUNCTION("""COMPUTED_VALUE"""),122267.0)</f>
        <v>122267</v>
      </c>
      <c r="B1203" s="2">
        <f>IFERROR(__xludf.DUMMYFUNCTION("""COMPUTED_VALUE"""),1.0)</f>
        <v>1</v>
      </c>
      <c r="C1203" s="2">
        <f>IFERROR(__xludf.DUMMYFUNCTION("""COMPUTED_VALUE"""),781.0)</f>
        <v>781</v>
      </c>
      <c r="D1203" s="3">
        <f>IFERROR(__xludf.DUMMYFUNCTION("""COMPUTED_VALUE"""),105.0)</f>
        <v>105</v>
      </c>
      <c r="E1203" s="1" t="str">
        <f t="array" ref="E1203">_xlfn.XLOOKUP(A1203,Product!A:A,Product!B:B,"Bulunamadı")</f>
        <v>Law</v>
      </c>
      <c r="F1203" s="1" t="str">
        <f t="array" ref="F1203">_xlfn.XLOOKUP(A1203,Product!A:A,Product!C:C,"Bulunamadı")</f>
        <v>World War I</v>
      </c>
      <c r="G1203" s="2" t="str">
        <f t="array" ref="G1203">_xlfn.XLOOKUP(A1204,Product!A:A,Product!D:D,"Bulunamadı")</f>
        <v>Northfield Books</v>
      </c>
      <c r="H1203" s="2">
        <f t="array" ref="H1203">_xlfn.XLOOKUP(A1205,Product!A:A,Product!E:E,"Bulunamadı")</f>
        <v>1.82</v>
      </c>
      <c r="I1203" s="2" t="str">
        <f t="shared" si="1"/>
        <v>122267 - Law - World War I</v>
      </c>
      <c r="J1203" s="2">
        <f t="shared" si="2"/>
        <v>191.1</v>
      </c>
      <c r="K1203" s="17">
        <f t="shared" si="3"/>
        <v>1</v>
      </c>
      <c r="L1203" s="18"/>
    </row>
    <row r="1204" hidden="1">
      <c r="A1204" s="2">
        <f>IFERROR(__xludf.DUMMYFUNCTION("""COMPUTED_VALUE"""),117527.0)</f>
        <v>117527</v>
      </c>
      <c r="B1204" s="2">
        <f>IFERROR(__xludf.DUMMYFUNCTION("""COMPUTED_VALUE"""),0.0)</f>
        <v>0</v>
      </c>
      <c r="C1204" s="2">
        <f>IFERROR(__xludf.DUMMYFUNCTION("""COMPUTED_VALUE"""),820.0)</f>
        <v>820</v>
      </c>
      <c r="D1204" s="3">
        <f>IFERROR(__xludf.DUMMYFUNCTION("""COMPUTED_VALUE"""),282.0)</f>
        <v>282</v>
      </c>
      <c r="E1204" s="1" t="str">
        <f t="array" ref="E1204">_xlfn.XLOOKUP(A1204,Product!A:A,Product!B:B,"Bulunamadı")</f>
        <v>Law</v>
      </c>
      <c r="F1204" s="1" t="str">
        <f t="array" ref="F1204">_xlfn.XLOOKUP(A1204,Product!A:A,Product!C:C,"Bulunamadı")</f>
        <v>World War I</v>
      </c>
      <c r="G1204" s="2" t="str">
        <f t="array" ref="G1204">_xlfn.XLOOKUP(A1205,Product!A:A,Product!D:D,"Bulunamadı")</f>
        <v>Northfield Books</v>
      </c>
      <c r="H1204" s="2">
        <f t="array" ref="H1204">_xlfn.XLOOKUP(A1206,Product!A:A,Product!E:E,"Bulunamadı")</f>
        <v>1.6</v>
      </c>
      <c r="I1204" s="2" t="str">
        <f t="shared" si="1"/>
        <v>117527 - Law - World War I</v>
      </c>
      <c r="J1204" s="2">
        <f t="shared" si="2"/>
        <v>451.2</v>
      </c>
      <c r="K1204" s="17">
        <f t="shared" si="3"/>
        <v>1</v>
      </c>
      <c r="L1204" s="18"/>
    </row>
    <row r="1205" hidden="1">
      <c r="A1205" s="2">
        <f>IFERROR(__xludf.DUMMYFUNCTION("""COMPUTED_VALUE"""),44138.0)</f>
        <v>44138</v>
      </c>
      <c r="B1205" s="2">
        <f>IFERROR(__xludf.DUMMYFUNCTION("""COMPUTED_VALUE"""),1.0)</f>
        <v>1</v>
      </c>
      <c r="C1205" s="2">
        <f>IFERROR(__xludf.DUMMYFUNCTION("""COMPUTED_VALUE"""),213.0)</f>
        <v>213</v>
      </c>
      <c r="D1205" s="3">
        <f>IFERROR(__xludf.DUMMYFUNCTION("""COMPUTED_VALUE"""),47.0)</f>
        <v>47</v>
      </c>
      <c r="E1205" s="1" t="str">
        <f t="array" ref="E1205">_xlfn.XLOOKUP(A1205,Product!A:A,Product!B:B,"Bulunamadı")</f>
        <v>Law</v>
      </c>
      <c r="F1205" s="1" t="str">
        <f t="array" ref="F1205">_xlfn.XLOOKUP(A1205,Product!A:A,Product!C:C,"Bulunamadı")</f>
        <v>World War I</v>
      </c>
      <c r="G1205" s="2" t="str">
        <f t="array" ref="G1205">_xlfn.XLOOKUP(A1206,Product!A:A,Product!D:D,"Bulunamadı")</f>
        <v>Northfield Books</v>
      </c>
      <c r="H1205" s="2">
        <f t="array" ref="H1205">_xlfn.XLOOKUP(A1207,Product!A:A,Product!E:E,"Bulunamadı")</f>
        <v>1.89</v>
      </c>
      <c r="I1205" s="2" t="str">
        <f t="shared" si="1"/>
        <v>44138 - Law - World War I</v>
      </c>
      <c r="J1205" s="2">
        <f t="shared" si="2"/>
        <v>88.83</v>
      </c>
      <c r="K1205" s="17">
        <f t="shared" si="3"/>
        <v>1</v>
      </c>
      <c r="L1205" s="18"/>
    </row>
    <row r="1206" hidden="1">
      <c r="A1206" s="2">
        <f>IFERROR(__xludf.DUMMYFUNCTION("""COMPUTED_VALUE"""),117529.0)</f>
        <v>117529</v>
      </c>
      <c r="B1206" s="2">
        <f>IFERROR(__xludf.DUMMYFUNCTION("""COMPUTED_VALUE"""),1.0)</f>
        <v>1</v>
      </c>
      <c r="C1206" s="2">
        <f>IFERROR(__xludf.DUMMYFUNCTION("""COMPUTED_VALUE"""),378.0)</f>
        <v>378</v>
      </c>
      <c r="D1206" s="3">
        <f>IFERROR(__xludf.DUMMYFUNCTION("""COMPUTED_VALUE"""),180.0)</f>
        <v>180</v>
      </c>
      <c r="E1206" s="1" t="str">
        <f t="array" ref="E1206">_xlfn.XLOOKUP(A1206,Product!A:A,Product!B:B,"Bulunamadı")</f>
        <v>Law</v>
      </c>
      <c r="F1206" s="1" t="str">
        <f t="array" ref="F1206">_xlfn.XLOOKUP(A1206,Product!A:A,Product!C:C,"Bulunamadı")</f>
        <v>World War I</v>
      </c>
      <c r="G1206" s="2" t="str">
        <f t="array" ref="G1206">_xlfn.XLOOKUP(A1207,Product!A:A,Product!D:D,"Bulunamadı")</f>
        <v>Northfield Books</v>
      </c>
      <c r="H1206" s="2">
        <f t="array" ref="H1206">_xlfn.XLOOKUP(A1208,Product!A:A,Product!E:E,"Bulunamadı")</f>
        <v>1.72</v>
      </c>
      <c r="I1206" s="2" t="str">
        <f t="shared" si="1"/>
        <v>117529 - Law - World War I</v>
      </c>
      <c r="J1206" s="2">
        <f t="shared" si="2"/>
        <v>309.6</v>
      </c>
      <c r="K1206" s="17">
        <f t="shared" si="3"/>
        <v>1</v>
      </c>
      <c r="L1206" s="18"/>
    </row>
    <row r="1207" hidden="1">
      <c r="A1207" s="2">
        <f>IFERROR(__xludf.DUMMYFUNCTION("""COMPUTED_VALUE"""),122269.0)</f>
        <v>122269</v>
      </c>
      <c r="B1207" s="2">
        <f>IFERROR(__xludf.DUMMYFUNCTION("""COMPUTED_VALUE"""),0.0)</f>
        <v>0</v>
      </c>
      <c r="C1207" s="2">
        <f>IFERROR(__xludf.DUMMYFUNCTION("""COMPUTED_VALUE"""),759.0)</f>
        <v>759</v>
      </c>
      <c r="D1207" s="3">
        <f>IFERROR(__xludf.DUMMYFUNCTION("""COMPUTED_VALUE"""),244.0)</f>
        <v>244</v>
      </c>
      <c r="E1207" s="1" t="str">
        <f t="array" ref="E1207">_xlfn.XLOOKUP(A1207,Product!A:A,Product!B:B,"Bulunamadı")</f>
        <v>Law</v>
      </c>
      <c r="F1207" s="1" t="str">
        <f t="array" ref="F1207">_xlfn.XLOOKUP(A1207,Product!A:A,Product!C:C,"Bulunamadı")</f>
        <v>World War I</v>
      </c>
      <c r="G1207" s="2" t="str">
        <f t="array" ref="G1207">_xlfn.XLOOKUP(A1208,Product!A:A,Product!D:D,"Bulunamadı")</f>
        <v>Northfield Books</v>
      </c>
      <c r="H1207" s="2">
        <f t="array" ref="H1207">_xlfn.XLOOKUP(A1209,Product!A:A,Product!E:E,"Bulunamadı")</f>
        <v>2.12</v>
      </c>
      <c r="I1207" s="2" t="str">
        <f t="shared" si="1"/>
        <v>122269 - Law - World War I</v>
      </c>
      <c r="J1207" s="2">
        <f t="shared" si="2"/>
        <v>517.28</v>
      </c>
      <c r="K1207" s="17">
        <f t="shared" si="3"/>
        <v>1</v>
      </c>
      <c r="L1207" s="18"/>
    </row>
    <row r="1208" hidden="1">
      <c r="A1208" s="2">
        <f>IFERROR(__xludf.DUMMYFUNCTION("""COMPUTED_VALUE"""),87886.0)</f>
        <v>87886</v>
      </c>
      <c r="B1208" s="2">
        <f>IFERROR(__xludf.DUMMYFUNCTION("""COMPUTED_VALUE"""),0.0)</f>
        <v>0</v>
      </c>
      <c r="C1208" s="2">
        <f>IFERROR(__xludf.DUMMYFUNCTION("""COMPUTED_VALUE"""),422.0)</f>
        <v>422</v>
      </c>
      <c r="D1208" s="3">
        <f>IFERROR(__xludf.DUMMYFUNCTION("""COMPUTED_VALUE"""),199.0)</f>
        <v>199</v>
      </c>
      <c r="E1208" s="1" t="str">
        <f t="array" ref="E1208">_xlfn.XLOOKUP(A1208,Product!A:A,Product!B:B,"Bulunamadı")</f>
        <v>Law</v>
      </c>
      <c r="F1208" s="1" t="str">
        <f t="array" ref="F1208">_xlfn.XLOOKUP(A1208,Product!A:A,Product!C:C,"Bulunamadı")</f>
        <v>World War I</v>
      </c>
      <c r="G1208" s="2" t="str">
        <f t="array" ref="G1208">_xlfn.XLOOKUP(A1209,Product!A:A,Product!D:D,"Bulunamadı")</f>
        <v>Northfield Books</v>
      </c>
      <c r="H1208" s="2">
        <f t="array" ref="H1208">_xlfn.XLOOKUP(A1210,Product!A:A,Product!E:E,"Bulunamadı")</f>
        <v>2.56</v>
      </c>
      <c r="I1208" s="2" t="str">
        <f t="shared" si="1"/>
        <v>87886 - Law - World War I</v>
      </c>
      <c r="J1208" s="2">
        <f t="shared" si="2"/>
        <v>509.44</v>
      </c>
      <c r="K1208" s="17">
        <f t="shared" si="3"/>
        <v>1</v>
      </c>
      <c r="L1208" s="18"/>
    </row>
    <row r="1209" hidden="1">
      <c r="A1209" s="2">
        <f>IFERROR(__xludf.DUMMYFUNCTION("""COMPUTED_VALUE"""),104317.0)</f>
        <v>104317</v>
      </c>
      <c r="B1209" s="2">
        <f>IFERROR(__xludf.DUMMYFUNCTION("""COMPUTED_VALUE"""),1.0)</f>
        <v>1</v>
      </c>
      <c r="C1209" s="2">
        <f>IFERROR(__xludf.DUMMYFUNCTION("""COMPUTED_VALUE"""),727.0)</f>
        <v>727</v>
      </c>
      <c r="D1209" s="3">
        <f>IFERROR(__xludf.DUMMYFUNCTION("""COMPUTED_VALUE"""),77.0)</f>
        <v>77</v>
      </c>
      <c r="E1209" s="1" t="str">
        <f t="array" ref="E1209">_xlfn.XLOOKUP(A1209,Product!A:A,Product!B:B,"Bulunamadı")</f>
        <v>Law</v>
      </c>
      <c r="F1209" s="1" t="str">
        <f t="array" ref="F1209">_xlfn.XLOOKUP(A1209,Product!A:A,Product!C:C,"Bulunamadı")</f>
        <v>World War I</v>
      </c>
      <c r="G1209" s="2" t="str">
        <f t="array" ref="G1209">_xlfn.XLOOKUP(A1210,Product!A:A,Product!D:D,"Bulunamadı")</f>
        <v>Northfield Books</v>
      </c>
      <c r="H1209" s="2">
        <f t="array" ref="H1209">_xlfn.XLOOKUP(A1211,Product!A:A,Product!E:E,"Bulunamadı")</f>
        <v>2.1</v>
      </c>
      <c r="I1209" s="2" t="str">
        <f t="shared" si="1"/>
        <v>104317 - Law - World War I</v>
      </c>
      <c r="J1209" s="2">
        <f t="shared" si="2"/>
        <v>161.7</v>
      </c>
      <c r="K1209" s="17">
        <f t="shared" si="3"/>
        <v>1</v>
      </c>
      <c r="L1209" s="18"/>
    </row>
    <row r="1210" hidden="1">
      <c r="A1210" s="2">
        <f>IFERROR(__xludf.DUMMYFUNCTION("""COMPUTED_VALUE"""),114943.0)</f>
        <v>114943</v>
      </c>
      <c r="B1210" s="2">
        <f>IFERROR(__xludf.DUMMYFUNCTION("""COMPUTED_VALUE"""),1.0)</f>
        <v>1</v>
      </c>
      <c r="C1210" s="2">
        <f>IFERROR(__xludf.DUMMYFUNCTION("""COMPUTED_VALUE"""),323.0)</f>
        <v>323</v>
      </c>
      <c r="D1210" s="3">
        <f>IFERROR(__xludf.DUMMYFUNCTION("""COMPUTED_VALUE"""),257.0)</f>
        <v>257</v>
      </c>
      <c r="E1210" s="1" t="str">
        <f t="array" ref="E1210">_xlfn.XLOOKUP(A1210,Product!A:A,Product!B:B,"Bulunamadı")</f>
        <v>Law</v>
      </c>
      <c r="F1210" s="1" t="str">
        <f t="array" ref="F1210">_xlfn.XLOOKUP(A1210,Product!A:A,Product!C:C,"Bulunamadı")</f>
        <v>World War I</v>
      </c>
      <c r="G1210" s="2" t="str">
        <f t="array" ref="G1210">_xlfn.XLOOKUP(A1211,Product!A:A,Product!D:D,"Bulunamadı")</f>
        <v>Northfield Books</v>
      </c>
      <c r="H1210" s="2">
        <f t="array" ref="H1210">_xlfn.XLOOKUP(A1212,Product!A:A,Product!E:E,"Bulunamadı")</f>
        <v>1.36</v>
      </c>
      <c r="I1210" s="2" t="str">
        <f t="shared" si="1"/>
        <v>114943 - Law - World War I</v>
      </c>
      <c r="J1210" s="2">
        <f t="shared" si="2"/>
        <v>349.52</v>
      </c>
      <c r="K1210" s="17">
        <f t="shared" si="3"/>
        <v>1</v>
      </c>
      <c r="L1210" s="18"/>
    </row>
    <row r="1211" hidden="1">
      <c r="A1211" s="2">
        <f>IFERROR(__xludf.DUMMYFUNCTION("""COMPUTED_VALUE"""),44134.0)</f>
        <v>44134</v>
      </c>
      <c r="B1211" s="2">
        <f>IFERROR(__xludf.DUMMYFUNCTION("""COMPUTED_VALUE"""),0.0)</f>
        <v>0</v>
      </c>
      <c r="C1211" s="2">
        <f>IFERROR(__xludf.DUMMYFUNCTION("""COMPUTED_VALUE"""),810.0)</f>
        <v>810</v>
      </c>
      <c r="D1211" s="3">
        <f>IFERROR(__xludf.DUMMYFUNCTION("""COMPUTED_VALUE"""),610.0)</f>
        <v>610</v>
      </c>
      <c r="E1211" s="1" t="str">
        <f t="array" ref="E1211">_xlfn.XLOOKUP(A1211,Product!A:A,Product!B:B,"Bulunamadı")</f>
        <v>Law</v>
      </c>
      <c r="F1211" s="1" t="str">
        <f t="array" ref="F1211">_xlfn.XLOOKUP(A1211,Product!A:A,Product!C:C,"Bulunamadı")</f>
        <v>World War I</v>
      </c>
      <c r="G1211" s="2" t="str">
        <f t="array" ref="G1211">_xlfn.XLOOKUP(A1212,Product!A:A,Product!D:D,"Bulunamadı")</f>
        <v>Cedar Grove Press</v>
      </c>
      <c r="H1211" s="2">
        <f t="array" ref="H1211">_xlfn.XLOOKUP(A1213,Product!A:A,Product!E:E,"Bulunamadı")</f>
        <v>1.1</v>
      </c>
      <c r="I1211" s="2" t="str">
        <f t="shared" si="1"/>
        <v>44134 - Law - World War I</v>
      </c>
      <c r="J1211" s="2">
        <f t="shared" si="2"/>
        <v>671</v>
      </c>
      <c r="K1211" s="17">
        <f t="shared" si="3"/>
        <v>1</v>
      </c>
      <c r="L1211" s="18"/>
    </row>
    <row r="1212" hidden="1">
      <c r="A1212" s="2">
        <f>IFERROR(__xludf.DUMMYFUNCTION("""COMPUTED_VALUE"""),5637.0)</f>
        <v>5637</v>
      </c>
      <c r="B1212" s="2">
        <f>IFERROR(__xludf.DUMMYFUNCTION("""COMPUTED_VALUE"""),0.0)</f>
        <v>0</v>
      </c>
      <c r="C1212" s="2">
        <f>IFERROR(__xludf.DUMMYFUNCTION("""COMPUTED_VALUE"""),52.0)</f>
        <v>52</v>
      </c>
      <c r="D1212" s="3">
        <f>IFERROR(__xludf.DUMMYFUNCTION("""COMPUTED_VALUE"""),5.0)</f>
        <v>5</v>
      </c>
      <c r="E1212" s="1" t="str">
        <f t="array" ref="E1212">_xlfn.XLOOKUP(A1212,Product!A:A,Product!B:B,"Bulunamadı")</f>
        <v>Law</v>
      </c>
      <c r="F1212" s="1" t="str">
        <f t="array" ref="F1212">_xlfn.XLOOKUP(A1212,Product!A:A,Product!C:C,"Bulunamadı")</f>
        <v>World War I</v>
      </c>
      <c r="G1212" s="2" t="str">
        <f t="array" ref="G1212">_xlfn.XLOOKUP(A1213,Product!A:A,Product!D:D,"Bulunamadı")</f>
        <v>Cedar Grove Press</v>
      </c>
      <c r="H1212" s="2">
        <f t="array" ref="H1212">_xlfn.XLOOKUP(A1214,Product!A:A,Product!E:E,"Bulunamadı")</f>
        <v>1.5</v>
      </c>
      <c r="I1212" s="2" t="str">
        <f t="shared" si="1"/>
        <v>5637 - Law - World War I</v>
      </c>
      <c r="J1212" s="2">
        <f t="shared" si="2"/>
        <v>7.5</v>
      </c>
      <c r="K1212" s="17">
        <f t="shared" si="3"/>
        <v>1</v>
      </c>
      <c r="L1212" s="18"/>
    </row>
    <row r="1213" hidden="1">
      <c r="A1213" s="2">
        <f>IFERROR(__xludf.DUMMYFUNCTION("""COMPUTED_VALUE"""),5641.0)</f>
        <v>5641</v>
      </c>
      <c r="B1213" s="2">
        <f>IFERROR(__xludf.DUMMYFUNCTION("""COMPUTED_VALUE"""),0.0)</f>
        <v>0</v>
      </c>
      <c r="C1213" s="2">
        <f>IFERROR(__xludf.DUMMYFUNCTION("""COMPUTED_VALUE"""),658.0)</f>
        <v>658</v>
      </c>
      <c r="D1213" s="3">
        <f>IFERROR(__xludf.DUMMYFUNCTION("""COMPUTED_VALUE"""),151.0)</f>
        <v>151</v>
      </c>
      <c r="E1213" s="1" t="str">
        <f t="array" ref="E1213">_xlfn.XLOOKUP(A1213,Product!A:A,Product!B:B,"Bulunamadı")</f>
        <v>Law</v>
      </c>
      <c r="F1213" s="1" t="str">
        <f t="array" ref="F1213">_xlfn.XLOOKUP(A1213,Product!A:A,Product!C:C,"Bulunamadı")</f>
        <v>World War I</v>
      </c>
      <c r="G1213" s="2" t="str">
        <f t="array" ref="G1213">_xlfn.XLOOKUP(A1214,Product!A:A,Product!D:D,"Bulunamadı")</f>
        <v>Cedar Grove Press</v>
      </c>
      <c r="H1213" s="2">
        <f t="array" ref="H1213">_xlfn.XLOOKUP(A1215,Product!A:A,Product!E:E,"Bulunamadı")</f>
        <v>1.11</v>
      </c>
      <c r="I1213" s="2" t="str">
        <f t="shared" si="1"/>
        <v>5641 - Law - World War I</v>
      </c>
      <c r="J1213" s="2">
        <f t="shared" si="2"/>
        <v>167.61</v>
      </c>
      <c r="K1213" s="17">
        <f t="shared" si="3"/>
        <v>1</v>
      </c>
      <c r="L1213" s="18"/>
    </row>
    <row r="1214" hidden="1">
      <c r="A1214" s="2">
        <f>IFERROR(__xludf.DUMMYFUNCTION("""COMPUTED_VALUE"""),147323.0)</f>
        <v>147323</v>
      </c>
      <c r="B1214" s="2">
        <f>IFERROR(__xludf.DUMMYFUNCTION("""COMPUTED_VALUE"""),0.0)</f>
        <v>0</v>
      </c>
      <c r="C1214" s="2">
        <f>IFERROR(__xludf.DUMMYFUNCTION("""COMPUTED_VALUE"""),341.0)</f>
        <v>341</v>
      </c>
      <c r="D1214" s="3">
        <f>IFERROR(__xludf.DUMMYFUNCTION("""COMPUTED_VALUE"""),260.0)</f>
        <v>260</v>
      </c>
      <c r="E1214" s="1" t="str">
        <f t="array" ref="E1214">_xlfn.XLOOKUP(A1214,Product!A:A,Product!B:B,"Bulunamadı")</f>
        <v>Law</v>
      </c>
      <c r="F1214" s="1" t="str">
        <f t="array" ref="F1214">_xlfn.XLOOKUP(A1214,Product!A:A,Product!C:C,"Bulunamadı")</f>
        <v>World War I</v>
      </c>
      <c r="G1214" s="2" t="str">
        <f t="array" ref="G1214">_xlfn.XLOOKUP(A1215,Product!A:A,Product!D:D,"Bulunamadı")</f>
        <v>Cedar Grove Press</v>
      </c>
      <c r="H1214" s="2">
        <f t="array" ref="H1214">_xlfn.XLOOKUP(A1216,Product!A:A,Product!E:E,"Bulunamadı")</f>
        <v>1.57</v>
      </c>
      <c r="I1214" s="2" t="str">
        <f t="shared" si="1"/>
        <v>147323 - Law - World War I</v>
      </c>
      <c r="J1214" s="2">
        <f t="shared" si="2"/>
        <v>408.2</v>
      </c>
      <c r="K1214" s="17">
        <f t="shared" si="3"/>
        <v>1</v>
      </c>
      <c r="L1214" s="18"/>
    </row>
    <row r="1215" hidden="1">
      <c r="A1215" s="2">
        <f>IFERROR(__xludf.DUMMYFUNCTION("""COMPUTED_VALUE"""),44118.0)</f>
        <v>44118</v>
      </c>
      <c r="B1215" s="2">
        <f>IFERROR(__xludf.DUMMYFUNCTION("""COMPUTED_VALUE"""),1.0)</f>
        <v>1</v>
      </c>
      <c r="C1215" s="2">
        <f>IFERROR(__xludf.DUMMYFUNCTION("""COMPUTED_VALUE"""),443.0)</f>
        <v>443</v>
      </c>
      <c r="D1215" s="3">
        <f>IFERROR(__xludf.DUMMYFUNCTION("""COMPUTED_VALUE"""),154.0)</f>
        <v>154</v>
      </c>
      <c r="E1215" s="1" t="str">
        <f t="array" ref="E1215">_xlfn.XLOOKUP(A1215,Product!A:A,Product!B:B,"Bulunamadı")</f>
        <v>Law</v>
      </c>
      <c r="F1215" s="1" t="str">
        <f t="array" ref="F1215">_xlfn.XLOOKUP(A1215,Product!A:A,Product!C:C,"Bulunamadı")</f>
        <v>World War I</v>
      </c>
      <c r="G1215" s="2" t="str">
        <f t="array" ref="G1215">_xlfn.XLOOKUP(A1216,Product!A:A,Product!D:D,"Bulunamadı")</f>
        <v>Cedar Grove Press</v>
      </c>
      <c r="H1215" s="2">
        <f t="array" ref="H1215">_xlfn.XLOOKUP(A1217,Product!A:A,Product!E:E,"Bulunamadı")</f>
        <v>1.49</v>
      </c>
      <c r="I1215" s="2" t="str">
        <f t="shared" si="1"/>
        <v>44118 - Law - World War I</v>
      </c>
      <c r="J1215" s="2">
        <f t="shared" si="2"/>
        <v>229.46</v>
      </c>
      <c r="K1215" s="17">
        <f t="shared" si="3"/>
        <v>1</v>
      </c>
      <c r="L1215" s="18"/>
    </row>
    <row r="1216" hidden="1">
      <c r="A1216" s="2">
        <f>IFERROR(__xludf.DUMMYFUNCTION("""COMPUTED_VALUE"""),115608.0)</f>
        <v>115608</v>
      </c>
      <c r="B1216" s="2">
        <f>IFERROR(__xludf.DUMMYFUNCTION("""COMPUTED_VALUE"""),1.0)</f>
        <v>1</v>
      </c>
      <c r="C1216" s="2">
        <f>IFERROR(__xludf.DUMMYFUNCTION("""COMPUTED_VALUE"""),366.0)</f>
        <v>366</v>
      </c>
      <c r="D1216" s="3">
        <f>IFERROR(__xludf.DUMMYFUNCTION("""COMPUTED_VALUE"""),116.0)</f>
        <v>116</v>
      </c>
      <c r="E1216" s="1" t="str">
        <f t="array" ref="E1216">_xlfn.XLOOKUP(A1216,Product!A:A,Product!B:B,"Bulunamadı")</f>
        <v>Law</v>
      </c>
      <c r="F1216" s="1" t="str">
        <f t="array" ref="F1216">_xlfn.XLOOKUP(A1216,Product!A:A,Product!C:C,"Bulunamadı")</f>
        <v>World War I</v>
      </c>
      <c r="G1216" s="2" t="str">
        <f t="array" ref="G1216">_xlfn.XLOOKUP(A1217,Product!A:A,Product!D:D,"Bulunamadı")</f>
        <v>Cedar Grove Press</v>
      </c>
      <c r="H1216" s="2">
        <f t="array" ref="H1216">_xlfn.XLOOKUP(A1218,Product!A:A,Product!E:E,"Bulunamadı")</f>
        <v>1.09</v>
      </c>
      <c r="I1216" s="2" t="str">
        <f t="shared" si="1"/>
        <v>115608 - Law - World War I</v>
      </c>
      <c r="J1216" s="2">
        <f t="shared" si="2"/>
        <v>126.44</v>
      </c>
      <c r="K1216" s="17">
        <f t="shared" si="3"/>
        <v>1</v>
      </c>
      <c r="L1216" s="18"/>
    </row>
    <row r="1217" hidden="1">
      <c r="A1217" s="2">
        <f>IFERROR(__xludf.DUMMYFUNCTION("""COMPUTED_VALUE"""),44127.0)</f>
        <v>44127</v>
      </c>
      <c r="B1217" s="2">
        <f>IFERROR(__xludf.DUMMYFUNCTION("""COMPUTED_VALUE"""),0.0)</f>
        <v>0</v>
      </c>
      <c r="C1217" s="2">
        <f>IFERROR(__xludf.DUMMYFUNCTION("""COMPUTED_VALUE"""),635.0)</f>
        <v>635</v>
      </c>
      <c r="D1217" s="3">
        <f>IFERROR(__xludf.DUMMYFUNCTION("""COMPUTED_VALUE"""),146.0)</f>
        <v>146</v>
      </c>
      <c r="E1217" s="1" t="str">
        <f t="array" ref="E1217">_xlfn.XLOOKUP(A1217,Product!A:A,Product!B:B,"Bulunamadı")</f>
        <v>Law</v>
      </c>
      <c r="F1217" s="1" t="str">
        <f t="array" ref="F1217">_xlfn.XLOOKUP(A1217,Product!A:A,Product!C:C,"Bulunamadı")</f>
        <v>World War I</v>
      </c>
      <c r="G1217" s="2" t="str">
        <f t="array" ref="G1217">_xlfn.XLOOKUP(A1218,Product!A:A,Product!D:D,"Bulunamadı")</f>
        <v>Cedar Grove Press</v>
      </c>
      <c r="H1217" s="2">
        <f t="array" ref="H1217">_xlfn.XLOOKUP(A1219,Product!A:A,Product!E:E,"Bulunamadı")</f>
        <v>0.73</v>
      </c>
      <c r="I1217" s="2" t="str">
        <f t="shared" si="1"/>
        <v>44127 - Law - World War I</v>
      </c>
      <c r="J1217" s="2">
        <f t="shared" si="2"/>
        <v>106.58</v>
      </c>
      <c r="K1217" s="17">
        <f t="shared" si="3"/>
        <v>1</v>
      </c>
      <c r="L1217" s="18"/>
    </row>
    <row r="1218" hidden="1">
      <c r="A1218" s="2">
        <f>IFERROR(__xludf.DUMMYFUNCTION("""COMPUTED_VALUE"""),122348.0)</f>
        <v>122348</v>
      </c>
      <c r="B1218" s="2">
        <f>IFERROR(__xludf.DUMMYFUNCTION("""COMPUTED_VALUE"""),1.0)</f>
        <v>1</v>
      </c>
      <c r="C1218" s="2">
        <f>IFERROR(__xludf.DUMMYFUNCTION("""COMPUTED_VALUE"""),323.0)</f>
        <v>323</v>
      </c>
      <c r="D1218" s="3">
        <f>IFERROR(__xludf.DUMMYFUNCTION("""COMPUTED_VALUE"""),168.0)</f>
        <v>168</v>
      </c>
      <c r="E1218" s="1" t="str">
        <f t="array" ref="E1218">_xlfn.XLOOKUP(A1218,Product!A:A,Product!B:B,"Bulunamadı")</f>
        <v>Law</v>
      </c>
      <c r="F1218" s="1" t="str">
        <f t="array" ref="F1218">_xlfn.XLOOKUP(A1218,Product!A:A,Product!C:C,"Bulunamadı")</f>
        <v>World War I</v>
      </c>
      <c r="G1218" s="2" t="str">
        <f t="array" ref="G1218">_xlfn.XLOOKUP(A1219,Product!A:A,Product!D:D,"Bulunamadı")</f>
        <v>Cedar Grove Press</v>
      </c>
      <c r="H1218" s="2">
        <f t="array" ref="H1218">_xlfn.XLOOKUP(A1220,Product!A:A,Product!E:E,"Bulunamadı")</f>
        <v>0.95</v>
      </c>
      <c r="I1218" s="2" t="str">
        <f t="shared" si="1"/>
        <v>122348 - Law - World War I</v>
      </c>
      <c r="J1218" s="2">
        <f t="shared" si="2"/>
        <v>159.6</v>
      </c>
      <c r="K1218" s="17">
        <f t="shared" si="3"/>
        <v>1</v>
      </c>
      <c r="L1218" s="18"/>
    </row>
    <row r="1219" hidden="1">
      <c r="A1219" s="2">
        <f>IFERROR(__xludf.DUMMYFUNCTION("""COMPUTED_VALUE"""),147304.0)</f>
        <v>147304</v>
      </c>
      <c r="B1219" s="2">
        <f>IFERROR(__xludf.DUMMYFUNCTION("""COMPUTED_VALUE"""),0.0)</f>
        <v>0</v>
      </c>
      <c r="C1219" s="2">
        <f>IFERROR(__xludf.DUMMYFUNCTION("""COMPUTED_VALUE"""),960.0)</f>
        <v>960</v>
      </c>
      <c r="D1219" s="3">
        <f>IFERROR(__xludf.DUMMYFUNCTION("""COMPUTED_VALUE"""),826.0)</f>
        <v>826</v>
      </c>
      <c r="E1219" s="1" t="str">
        <f t="array" ref="E1219">_xlfn.XLOOKUP(A1219,Product!A:A,Product!B:B,"Bulunamadı")</f>
        <v>Law</v>
      </c>
      <c r="F1219" s="1" t="str">
        <f t="array" ref="F1219">_xlfn.XLOOKUP(A1219,Product!A:A,Product!C:C,"Bulunamadı")</f>
        <v>World War I</v>
      </c>
      <c r="G1219" s="2" t="str">
        <f t="array" ref="G1219">_xlfn.XLOOKUP(A1220,Product!A:A,Product!D:D,"Bulunamadı")</f>
        <v>Cedar Grove Press</v>
      </c>
      <c r="H1219" s="2">
        <f t="array" ref="H1219">_xlfn.XLOOKUP(A1221,Product!A:A,Product!E:E,"Bulunamadı")</f>
        <v>0.63</v>
      </c>
      <c r="I1219" s="2" t="str">
        <f t="shared" si="1"/>
        <v>147304 - Law - World War I</v>
      </c>
      <c r="J1219" s="2">
        <f t="shared" si="2"/>
        <v>520.38</v>
      </c>
      <c r="K1219" s="17">
        <f t="shared" si="3"/>
        <v>1</v>
      </c>
      <c r="L1219" s="18"/>
    </row>
    <row r="1220" hidden="1">
      <c r="A1220" s="2">
        <f>IFERROR(__xludf.DUMMYFUNCTION("""COMPUTED_VALUE"""),118310.0)</f>
        <v>118310</v>
      </c>
      <c r="B1220" s="2">
        <f>IFERROR(__xludf.DUMMYFUNCTION("""COMPUTED_VALUE"""),0.0)</f>
        <v>0</v>
      </c>
      <c r="C1220" s="2">
        <f>IFERROR(__xludf.DUMMYFUNCTION("""COMPUTED_VALUE"""),955.0)</f>
        <v>955</v>
      </c>
      <c r="D1220" s="3">
        <f>IFERROR(__xludf.DUMMYFUNCTION("""COMPUTED_VALUE"""),877.0)</f>
        <v>877</v>
      </c>
      <c r="E1220" s="1" t="str">
        <f t="array" ref="E1220">_xlfn.XLOOKUP(A1220,Product!A:A,Product!B:B,"Bulunamadı")</f>
        <v>Law</v>
      </c>
      <c r="F1220" s="1" t="str">
        <f t="array" ref="F1220">_xlfn.XLOOKUP(A1220,Product!A:A,Product!C:C,"Bulunamadı")</f>
        <v>World War I</v>
      </c>
      <c r="G1220" s="2" t="str">
        <f t="array" ref="G1220">_xlfn.XLOOKUP(A1221,Product!A:A,Product!D:D,"Bulunamadı")</f>
        <v>Cedar Grove Press</v>
      </c>
      <c r="H1220" s="2">
        <f t="array" ref="H1220">_xlfn.XLOOKUP(A1222,Product!A:A,Product!E:E,"Bulunamadı")</f>
        <v>0.99</v>
      </c>
      <c r="I1220" s="2" t="str">
        <f t="shared" si="1"/>
        <v>118310 - Law - World War I</v>
      </c>
      <c r="J1220" s="2">
        <f t="shared" si="2"/>
        <v>868.23</v>
      </c>
      <c r="K1220" s="17">
        <f t="shared" si="3"/>
        <v>1</v>
      </c>
      <c r="L1220" s="18"/>
    </row>
    <row r="1221" hidden="1">
      <c r="A1221" s="2">
        <f>IFERROR(__xludf.DUMMYFUNCTION("""COMPUTED_VALUE"""),77175.0)</f>
        <v>77175</v>
      </c>
      <c r="B1221" s="2">
        <f>IFERROR(__xludf.DUMMYFUNCTION("""COMPUTED_VALUE"""),1.0)</f>
        <v>1</v>
      </c>
      <c r="C1221" s="2">
        <f>IFERROR(__xludf.DUMMYFUNCTION("""COMPUTED_VALUE"""),796.0)</f>
        <v>796</v>
      </c>
      <c r="D1221" s="3">
        <f>IFERROR(__xludf.DUMMYFUNCTION("""COMPUTED_VALUE"""),313.0)</f>
        <v>313</v>
      </c>
      <c r="E1221" s="1" t="str">
        <f t="array" ref="E1221">_xlfn.XLOOKUP(A1221,Product!A:A,Product!B:B,"Bulunamadı")</f>
        <v>Law</v>
      </c>
      <c r="F1221" s="1" t="str">
        <f t="array" ref="F1221">_xlfn.XLOOKUP(A1221,Product!A:A,Product!C:C,"Bulunamadı")</f>
        <v>World War I</v>
      </c>
      <c r="G1221" s="2" t="str">
        <f t="array" ref="G1221">_xlfn.XLOOKUP(A1222,Product!A:A,Product!D:D,"Bulunamadı")</f>
        <v>Cedar Grove Press</v>
      </c>
      <c r="H1221" s="2">
        <f t="array" ref="H1221">_xlfn.XLOOKUP(A1223,Product!A:A,Product!E:E,"Bulunamadı")</f>
        <v>0.98</v>
      </c>
      <c r="I1221" s="2" t="str">
        <f t="shared" si="1"/>
        <v>77175 - Law - World War I</v>
      </c>
      <c r="J1221" s="2">
        <f t="shared" si="2"/>
        <v>306.74</v>
      </c>
      <c r="K1221" s="17">
        <f t="shared" si="3"/>
        <v>1</v>
      </c>
      <c r="L1221" s="18"/>
    </row>
    <row r="1222" hidden="1">
      <c r="A1222" s="2">
        <f>IFERROR(__xludf.DUMMYFUNCTION("""COMPUTED_VALUE"""),5645.0)</f>
        <v>5645</v>
      </c>
      <c r="B1222" s="2">
        <f>IFERROR(__xludf.DUMMYFUNCTION("""COMPUTED_VALUE"""),0.0)</f>
        <v>0</v>
      </c>
      <c r="C1222" s="2">
        <f>IFERROR(__xludf.DUMMYFUNCTION("""COMPUTED_VALUE"""),100.0)</f>
        <v>100</v>
      </c>
      <c r="D1222" s="3">
        <f>IFERROR(__xludf.DUMMYFUNCTION("""COMPUTED_VALUE"""),79.0)</f>
        <v>79</v>
      </c>
      <c r="E1222" s="1" t="str">
        <f t="array" ref="E1222">_xlfn.XLOOKUP(A1222,Product!A:A,Product!B:B,"Bulunamadı")</f>
        <v>Law</v>
      </c>
      <c r="F1222" s="1" t="str">
        <f t="array" ref="F1222">_xlfn.XLOOKUP(A1222,Product!A:A,Product!C:C,"Bulunamadı")</f>
        <v>World War I</v>
      </c>
      <c r="G1222" s="2" t="str">
        <f t="array" ref="G1222">_xlfn.XLOOKUP(A1223,Product!A:A,Product!D:D,"Bulunamadı")</f>
        <v>Cedar Grove Press</v>
      </c>
      <c r="H1222" s="2">
        <f t="array" ref="H1222">_xlfn.XLOOKUP(A1224,Product!A:A,Product!E:E,"Bulunamadı")</f>
        <v>1.17</v>
      </c>
      <c r="I1222" s="2" t="str">
        <f t="shared" si="1"/>
        <v>5645 - Law - World War I</v>
      </c>
      <c r="J1222" s="2">
        <f t="shared" si="2"/>
        <v>92.43</v>
      </c>
      <c r="K1222" s="17">
        <f t="shared" si="3"/>
        <v>1</v>
      </c>
      <c r="L1222" s="18"/>
    </row>
    <row r="1223" hidden="1">
      <c r="A1223" s="2">
        <f>IFERROR(__xludf.DUMMYFUNCTION("""COMPUTED_VALUE"""),76679.0)</f>
        <v>76679</v>
      </c>
      <c r="B1223" s="2">
        <f>IFERROR(__xludf.DUMMYFUNCTION("""COMPUTED_VALUE"""),1.0)</f>
        <v>1</v>
      </c>
      <c r="C1223" s="2">
        <f>IFERROR(__xludf.DUMMYFUNCTION("""COMPUTED_VALUE"""),838.0)</f>
        <v>838</v>
      </c>
      <c r="D1223" s="3">
        <f>IFERROR(__xludf.DUMMYFUNCTION("""COMPUTED_VALUE"""),290.0)</f>
        <v>290</v>
      </c>
      <c r="E1223" s="1" t="str">
        <f t="array" ref="E1223">_xlfn.XLOOKUP(A1223,Product!A:A,Product!B:B,"Bulunamadı")</f>
        <v>Law</v>
      </c>
      <c r="F1223" s="1" t="str">
        <f t="array" ref="F1223">_xlfn.XLOOKUP(A1223,Product!A:A,Product!C:C,"Bulunamadı")</f>
        <v>World War I</v>
      </c>
      <c r="G1223" s="2" t="str">
        <f t="array" ref="G1223">_xlfn.XLOOKUP(A1224,Product!A:A,Product!D:D,"Bulunamadı")</f>
        <v>Cedar Grove Press</v>
      </c>
      <c r="H1223" s="2">
        <f t="array" ref="H1223">_xlfn.XLOOKUP(A1225,Product!A:A,Product!E:E,"Bulunamadı")</f>
        <v>0.75</v>
      </c>
      <c r="I1223" s="2" t="str">
        <f t="shared" si="1"/>
        <v>76679 - Law - World War I</v>
      </c>
      <c r="J1223" s="2">
        <f t="shared" si="2"/>
        <v>217.5</v>
      </c>
      <c r="K1223" s="17">
        <f t="shared" si="3"/>
        <v>1</v>
      </c>
      <c r="L1223" s="18"/>
    </row>
    <row r="1224" hidden="1">
      <c r="A1224" s="2">
        <f>IFERROR(__xludf.DUMMYFUNCTION("""COMPUTED_VALUE"""),5635.0)</f>
        <v>5635</v>
      </c>
      <c r="B1224" s="2">
        <f>IFERROR(__xludf.DUMMYFUNCTION("""COMPUTED_VALUE"""),0.0)</f>
        <v>0</v>
      </c>
      <c r="C1224" s="2">
        <f>IFERROR(__xludf.DUMMYFUNCTION("""COMPUTED_VALUE"""),550.0)</f>
        <v>550</v>
      </c>
      <c r="D1224" s="3">
        <f>IFERROR(__xludf.DUMMYFUNCTION("""COMPUTED_VALUE"""),149.0)</f>
        <v>149</v>
      </c>
      <c r="E1224" s="1" t="str">
        <f t="array" ref="E1224">_xlfn.XLOOKUP(A1224,Product!A:A,Product!B:B,"Bulunamadı")</f>
        <v>Law</v>
      </c>
      <c r="F1224" s="1" t="str">
        <f t="array" ref="F1224">_xlfn.XLOOKUP(A1224,Product!A:A,Product!C:C,"Bulunamadı")</f>
        <v>World War I</v>
      </c>
      <c r="G1224" s="2" t="str">
        <f t="array" ref="G1224">_xlfn.XLOOKUP(A1225,Product!A:A,Product!D:D,"Bulunamadı")</f>
        <v>Cedar Grove Press</v>
      </c>
      <c r="H1224" s="2">
        <f t="array" ref="H1224">_xlfn.XLOOKUP(A1226,Product!A:A,Product!E:E,"Bulunamadı")</f>
        <v>9.91</v>
      </c>
      <c r="I1224" s="2" t="str">
        <f t="shared" si="1"/>
        <v>5635 - Law - World War I</v>
      </c>
      <c r="J1224" s="2">
        <f t="shared" si="2"/>
        <v>1476.59</v>
      </c>
      <c r="K1224" s="17">
        <f t="shared" si="3"/>
        <v>1</v>
      </c>
      <c r="L1224" s="18"/>
    </row>
    <row r="1225" hidden="1">
      <c r="A1225" s="2">
        <f>IFERROR(__xludf.DUMMYFUNCTION("""COMPUTED_VALUE"""),110960.0)</f>
        <v>110960</v>
      </c>
      <c r="B1225" s="2">
        <f>IFERROR(__xludf.DUMMYFUNCTION("""COMPUTED_VALUE"""),1.0)</f>
        <v>1</v>
      </c>
      <c r="C1225" s="2">
        <f>IFERROR(__xludf.DUMMYFUNCTION("""COMPUTED_VALUE"""),659.0)</f>
        <v>659</v>
      </c>
      <c r="D1225" s="3">
        <f>IFERROR(__xludf.DUMMYFUNCTION("""COMPUTED_VALUE"""),237.0)</f>
        <v>237</v>
      </c>
      <c r="E1225" s="1" t="str">
        <f t="array" ref="E1225">_xlfn.XLOOKUP(A1225,Product!A:A,Product!B:B,"Bulunamadı")</f>
        <v>Law</v>
      </c>
      <c r="F1225" s="1" t="str">
        <f t="array" ref="F1225">_xlfn.XLOOKUP(A1225,Product!A:A,Product!C:C,"Bulunamadı")</f>
        <v>World War I</v>
      </c>
      <c r="G1225" s="2" t="str">
        <f t="array" ref="G1225">_xlfn.XLOOKUP(A1226,Product!A:A,Product!D:D,"Bulunamadı")</f>
        <v>Cedar Grove Press</v>
      </c>
      <c r="H1225" s="2">
        <f t="array" ref="H1225">_xlfn.XLOOKUP(A1227,Product!A:A,Product!E:E,"Bulunamadı")</f>
        <v>9.6</v>
      </c>
      <c r="I1225" s="2" t="str">
        <f t="shared" si="1"/>
        <v>110960 - Law - World War I</v>
      </c>
      <c r="J1225" s="2">
        <f t="shared" si="2"/>
        <v>2275.2</v>
      </c>
      <c r="K1225" s="17">
        <f t="shared" si="3"/>
        <v>1</v>
      </c>
      <c r="L1225" s="18"/>
    </row>
    <row r="1226" hidden="1">
      <c r="A1226" s="2">
        <f>IFERROR(__xludf.DUMMYFUNCTION("""COMPUTED_VALUE"""),108290.0)</f>
        <v>108290</v>
      </c>
      <c r="B1226" s="2">
        <f>IFERROR(__xludf.DUMMYFUNCTION("""COMPUTED_VALUE"""),1.0)</f>
        <v>1</v>
      </c>
      <c r="C1226" s="2">
        <f>IFERROR(__xludf.DUMMYFUNCTION("""COMPUTED_VALUE"""),696.0)</f>
        <v>696</v>
      </c>
      <c r="D1226" s="3">
        <f>IFERROR(__xludf.DUMMYFUNCTION("""COMPUTED_VALUE"""),121.0)</f>
        <v>121</v>
      </c>
      <c r="E1226" s="1" t="str">
        <f t="array" ref="E1226">_xlfn.XLOOKUP(A1226,Product!A:A,Product!B:B,"Bulunamadı")</f>
        <v>Law</v>
      </c>
      <c r="F1226" s="1" t="str">
        <f t="array" ref="F1226">_xlfn.XLOOKUP(A1226,Product!A:A,Product!C:C,"Bulunamadı")</f>
        <v>World War I</v>
      </c>
      <c r="G1226" s="2" t="str">
        <f t="array" ref="G1226">_xlfn.XLOOKUP(A1227,Product!A:A,Product!D:D,"Bulunamadı")</f>
        <v>Cedar Grove Press</v>
      </c>
      <c r="H1226" s="2">
        <f t="array" ref="H1226">_xlfn.XLOOKUP(A1228,Product!A:A,Product!E:E,"Bulunamadı")</f>
        <v>0.84</v>
      </c>
      <c r="I1226" s="2" t="str">
        <f t="shared" si="1"/>
        <v>108290 - Law - World War I</v>
      </c>
      <c r="J1226" s="2">
        <f t="shared" si="2"/>
        <v>101.64</v>
      </c>
      <c r="K1226" s="17">
        <f t="shared" si="3"/>
        <v>1</v>
      </c>
      <c r="L1226" s="18"/>
    </row>
    <row r="1227" hidden="1">
      <c r="A1227" s="2">
        <f>IFERROR(__xludf.DUMMYFUNCTION("""COMPUTED_VALUE"""),117680.0)</f>
        <v>117680</v>
      </c>
      <c r="B1227" s="2">
        <f>IFERROR(__xludf.DUMMYFUNCTION("""COMPUTED_VALUE"""),0.0)</f>
        <v>0</v>
      </c>
      <c r="C1227" s="2">
        <f>IFERROR(__xludf.DUMMYFUNCTION("""COMPUTED_VALUE"""),492.0)</f>
        <v>492</v>
      </c>
      <c r="D1227" s="3">
        <f>IFERROR(__xludf.DUMMYFUNCTION("""COMPUTED_VALUE"""),104.0)</f>
        <v>104</v>
      </c>
      <c r="E1227" s="1" t="str">
        <f t="array" ref="E1227">_xlfn.XLOOKUP(A1227,Product!A:A,Product!B:B,"Bulunamadı")</f>
        <v>Law</v>
      </c>
      <c r="F1227" s="1" t="str">
        <f t="array" ref="F1227">_xlfn.XLOOKUP(A1227,Product!A:A,Product!C:C,"Bulunamadı")</f>
        <v>World War I</v>
      </c>
      <c r="G1227" s="2" t="str">
        <f t="array" ref="G1227">_xlfn.XLOOKUP(A1228,Product!A:A,Product!D:D,"Bulunamadı")</f>
        <v>Cedar Grove Press</v>
      </c>
      <c r="H1227" s="2">
        <f t="array" ref="H1227">_xlfn.XLOOKUP(A1229,Product!A:A,Product!E:E,"Bulunamadı")</f>
        <v>1.63</v>
      </c>
      <c r="I1227" s="2" t="str">
        <f t="shared" si="1"/>
        <v>117680 - Law - World War I</v>
      </c>
      <c r="J1227" s="2">
        <f t="shared" si="2"/>
        <v>169.52</v>
      </c>
      <c r="K1227" s="17">
        <f t="shared" si="3"/>
        <v>1</v>
      </c>
      <c r="L1227" s="18"/>
    </row>
    <row r="1228" hidden="1">
      <c r="A1228" s="2">
        <f>IFERROR(__xludf.DUMMYFUNCTION("""COMPUTED_VALUE"""),77183.0)</f>
        <v>77183</v>
      </c>
      <c r="B1228" s="2">
        <f>IFERROR(__xludf.DUMMYFUNCTION("""COMPUTED_VALUE"""),1.0)</f>
        <v>1</v>
      </c>
      <c r="C1228" s="2">
        <f>IFERROR(__xludf.DUMMYFUNCTION("""COMPUTED_VALUE"""),93.0)</f>
        <v>93</v>
      </c>
      <c r="D1228" s="3">
        <f>IFERROR(__xludf.DUMMYFUNCTION("""COMPUTED_VALUE"""),87.0)</f>
        <v>87</v>
      </c>
      <c r="E1228" s="1" t="str">
        <f t="array" ref="E1228">_xlfn.XLOOKUP(A1228,Product!A:A,Product!B:B,"Bulunamadı")</f>
        <v>Law</v>
      </c>
      <c r="F1228" s="1" t="str">
        <f t="array" ref="F1228">_xlfn.XLOOKUP(A1228,Product!A:A,Product!C:C,"Bulunamadı")</f>
        <v>World War I</v>
      </c>
      <c r="G1228" s="2" t="str">
        <f t="array" ref="G1228">_xlfn.XLOOKUP(A1229,Product!A:A,Product!D:D,"Bulunamadı")</f>
        <v>Cedar Grove Press</v>
      </c>
      <c r="H1228" s="2">
        <f t="array" ref="H1228">_xlfn.XLOOKUP(A1230,Product!A:A,Product!E:E,"Bulunamadı")</f>
        <v>0.94</v>
      </c>
      <c r="I1228" s="2" t="str">
        <f t="shared" si="1"/>
        <v>77183 - Law - World War I</v>
      </c>
      <c r="J1228" s="2">
        <f t="shared" si="2"/>
        <v>81.78</v>
      </c>
      <c r="K1228" s="17">
        <f t="shared" si="3"/>
        <v>1</v>
      </c>
      <c r="L1228" s="18"/>
    </row>
    <row r="1229" hidden="1">
      <c r="A1229" s="2">
        <f>IFERROR(__xludf.DUMMYFUNCTION("""COMPUTED_VALUE"""),147322.0)</f>
        <v>147322</v>
      </c>
      <c r="B1229" s="2">
        <f>IFERROR(__xludf.DUMMYFUNCTION("""COMPUTED_VALUE"""),1.0)</f>
        <v>1</v>
      </c>
      <c r="C1229" s="2">
        <f>IFERROR(__xludf.DUMMYFUNCTION("""COMPUTED_VALUE"""),441.0)</f>
        <v>441</v>
      </c>
      <c r="D1229" s="3">
        <f>IFERROR(__xludf.DUMMYFUNCTION("""COMPUTED_VALUE"""),254.0)</f>
        <v>254</v>
      </c>
      <c r="E1229" s="1" t="str">
        <f t="array" ref="E1229">_xlfn.XLOOKUP(A1229,Product!A:A,Product!B:B,"Bulunamadı")</f>
        <v>Law</v>
      </c>
      <c r="F1229" s="1" t="str">
        <f t="array" ref="F1229">_xlfn.XLOOKUP(A1229,Product!A:A,Product!C:C,"Bulunamadı")</f>
        <v>World War I</v>
      </c>
      <c r="G1229" s="2" t="str">
        <f t="array" ref="G1229">_xlfn.XLOOKUP(A1230,Product!A:A,Product!D:D,"Bulunamadı")</f>
        <v>Cedar Grove Press</v>
      </c>
      <c r="H1229" s="2">
        <f t="array" ref="H1229">_xlfn.XLOOKUP(A1231,Product!A:A,Product!E:E,"Bulunamadı")</f>
        <v>1.12</v>
      </c>
      <c r="I1229" s="2" t="str">
        <f t="shared" si="1"/>
        <v>147322 - Law - World War I</v>
      </c>
      <c r="J1229" s="2">
        <f t="shared" si="2"/>
        <v>284.48</v>
      </c>
      <c r="K1229" s="17">
        <f t="shared" si="3"/>
        <v>1</v>
      </c>
      <c r="L1229" s="18"/>
    </row>
    <row r="1230" hidden="1">
      <c r="A1230" s="2">
        <f>IFERROR(__xludf.DUMMYFUNCTION("""COMPUTED_VALUE"""),44120.0)</f>
        <v>44120</v>
      </c>
      <c r="B1230" s="2">
        <f>IFERROR(__xludf.DUMMYFUNCTION("""COMPUTED_VALUE"""),1.0)</f>
        <v>1</v>
      </c>
      <c r="C1230" s="2">
        <f>IFERROR(__xludf.DUMMYFUNCTION("""COMPUTED_VALUE"""),597.0)</f>
        <v>597</v>
      </c>
      <c r="D1230" s="3">
        <f>IFERROR(__xludf.DUMMYFUNCTION("""COMPUTED_VALUE"""),98.0)</f>
        <v>98</v>
      </c>
      <c r="E1230" s="1" t="str">
        <f t="array" ref="E1230">_xlfn.XLOOKUP(A1230,Product!A:A,Product!B:B,"Bulunamadı")</f>
        <v>Law</v>
      </c>
      <c r="F1230" s="1" t="str">
        <f t="array" ref="F1230">_xlfn.XLOOKUP(A1230,Product!A:A,Product!C:C,"Bulunamadı")</f>
        <v>World War I</v>
      </c>
      <c r="G1230" s="2" t="str">
        <f t="array" ref="G1230">_xlfn.XLOOKUP(A1231,Product!A:A,Product!D:D,"Bulunamadı")</f>
        <v>Cedar Grove Press</v>
      </c>
      <c r="H1230" s="2">
        <f t="array" ref="H1230">_xlfn.XLOOKUP(A1232,Product!A:A,Product!E:E,"Bulunamadı")</f>
        <v>0.92</v>
      </c>
      <c r="I1230" s="2" t="str">
        <f t="shared" si="1"/>
        <v>44120 - Law - World War I</v>
      </c>
      <c r="J1230" s="2">
        <f t="shared" si="2"/>
        <v>90.16</v>
      </c>
      <c r="K1230" s="17">
        <f t="shared" si="3"/>
        <v>1</v>
      </c>
      <c r="L1230" s="18"/>
    </row>
    <row r="1231" hidden="1">
      <c r="A1231" s="2">
        <f>IFERROR(__xludf.DUMMYFUNCTION("""COMPUTED_VALUE"""),44115.0)</f>
        <v>44115</v>
      </c>
      <c r="B1231" s="2">
        <f>IFERROR(__xludf.DUMMYFUNCTION("""COMPUTED_VALUE"""),1.0)</f>
        <v>1</v>
      </c>
      <c r="C1231" s="2">
        <f>IFERROR(__xludf.DUMMYFUNCTION("""COMPUTED_VALUE"""),580.0)</f>
        <v>580</v>
      </c>
      <c r="D1231" s="3">
        <f>IFERROR(__xludf.DUMMYFUNCTION("""COMPUTED_VALUE"""),36.0)</f>
        <v>36</v>
      </c>
      <c r="E1231" s="1" t="str">
        <f t="array" ref="E1231">_xlfn.XLOOKUP(A1231,Product!A:A,Product!B:B,"Bulunamadı")</f>
        <v>Law</v>
      </c>
      <c r="F1231" s="1" t="str">
        <f t="array" ref="F1231">_xlfn.XLOOKUP(A1231,Product!A:A,Product!C:C,"Bulunamadı")</f>
        <v>World War I</v>
      </c>
      <c r="G1231" s="2" t="str">
        <f t="array" ref="G1231">_xlfn.XLOOKUP(A1232,Product!A:A,Product!D:D,"Bulunamadı")</f>
        <v>Cedar Grove Press</v>
      </c>
      <c r="H1231" s="2">
        <f t="array" ref="H1231">_xlfn.XLOOKUP(A1233,Product!A:A,Product!E:E,"Bulunamadı")</f>
        <v>1.05</v>
      </c>
      <c r="I1231" s="2" t="str">
        <f t="shared" si="1"/>
        <v>44115 - Law - World War I</v>
      </c>
      <c r="J1231" s="2">
        <f t="shared" si="2"/>
        <v>37.8</v>
      </c>
      <c r="K1231" s="17">
        <f t="shared" si="3"/>
        <v>1</v>
      </c>
      <c r="L1231" s="18"/>
    </row>
    <row r="1232" hidden="1">
      <c r="A1232" s="2">
        <f>IFERROR(__xludf.DUMMYFUNCTION("""COMPUTED_VALUE"""),44117.0)</f>
        <v>44117</v>
      </c>
      <c r="B1232" s="2">
        <f>IFERROR(__xludf.DUMMYFUNCTION("""COMPUTED_VALUE"""),1.0)</f>
        <v>1</v>
      </c>
      <c r="C1232" s="2">
        <f>IFERROR(__xludf.DUMMYFUNCTION("""COMPUTED_VALUE"""),458.0)</f>
        <v>458</v>
      </c>
      <c r="D1232" s="3">
        <f>IFERROR(__xludf.DUMMYFUNCTION("""COMPUTED_VALUE"""),413.0)</f>
        <v>413</v>
      </c>
      <c r="E1232" s="1" t="str">
        <f t="array" ref="E1232">_xlfn.XLOOKUP(A1232,Product!A:A,Product!B:B,"Bulunamadı")</f>
        <v>Law</v>
      </c>
      <c r="F1232" s="1" t="str">
        <f t="array" ref="F1232">_xlfn.XLOOKUP(A1232,Product!A:A,Product!C:C,"Bulunamadı")</f>
        <v>World War I</v>
      </c>
      <c r="G1232" s="2" t="str">
        <f t="array" ref="G1232">_xlfn.XLOOKUP(A1233,Product!A:A,Product!D:D,"Bulunamadı")</f>
        <v>Cedar Grove Press</v>
      </c>
      <c r="H1232" s="2">
        <f t="array" ref="H1232">_xlfn.XLOOKUP(A1234,Product!A:A,Product!E:E,"Bulunamadı")</f>
        <v>0.95</v>
      </c>
      <c r="I1232" s="2" t="str">
        <f t="shared" si="1"/>
        <v>44117 - Law - World War I</v>
      </c>
      <c r="J1232" s="2">
        <f t="shared" si="2"/>
        <v>392.35</v>
      </c>
      <c r="K1232" s="17">
        <f t="shared" si="3"/>
        <v>1</v>
      </c>
      <c r="L1232" s="18"/>
    </row>
    <row r="1233" hidden="1">
      <c r="A1233" s="2">
        <f>IFERROR(__xludf.DUMMYFUNCTION("""COMPUTED_VALUE"""),76670.0)</f>
        <v>76670</v>
      </c>
      <c r="B1233" s="2">
        <f>IFERROR(__xludf.DUMMYFUNCTION("""COMPUTED_VALUE"""),1.0)</f>
        <v>1</v>
      </c>
      <c r="C1233" s="2">
        <f>IFERROR(__xludf.DUMMYFUNCTION("""COMPUTED_VALUE"""),803.0)</f>
        <v>803</v>
      </c>
      <c r="D1233" s="3">
        <f>IFERROR(__xludf.DUMMYFUNCTION("""COMPUTED_VALUE"""),432.0)</f>
        <v>432</v>
      </c>
      <c r="E1233" s="1" t="str">
        <f t="array" ref="E1233">_xlfn.XLOOKUP(A1233,Product!A:A,Product!B:B,"Bulunamadı")</f>
        <v>Law</v>
      </c>
      <c r="F1233" s="1" t="str">
        <f t="array" ref="F1233">_xlfn.XLOOKUP(A1233,Product!A:A,Product!C:C,"Bulunamadı")</f>
        <v>World War I</v>
      </c>
      <c r="G1233" s="2" t="str">
        <f t="array" ref="G1233">_xlfn.XLOOKUP(A1234,Product!A:A,Product!D:D,"Bulunamadı")</f>
        <v>Cedar Grove Press</v>
      </c>
      <c r="H1233" s="2">
        <f t="array" ref="H1233">_xlfn.XLOOKUP(A1235,Product!A:A,Product!E:E,"Bulunamadı")</f>
        <v>1.03</v>
      </c>
      <c r="I1233" s="2" t="str">
        <f t="shared" si="1"/>
        <v>76670 - Law - World War I</v>
      </c>
      <c r="J1233" s="2">
        <f t="shared" si="2"/>
        <v>444.96</v>
      </c>
      <c r="K1233" s="17">
        <f t="shared" si="3"/>
        <v>1</v>
      </c>
      <c r="L1233" s="18"/>
    </row>
    <row r="1234" hidden="1">
      <c r="A1234" s="2">
        <f>IFERROR(__xludf.DUMMYFUNCTION("""COMPUTED_VALUE"""),122347.0)</f>
        <v>122347</v>
      </c>
      <c r="B1234" s="2">
        <f>IFERROR(__xludf.DUMMYFUNCTION("""COMPUTED_VALUE"""),1.0)</f>
        <v>1</v>
      </c>
      <c r="C1234" s="2">
        <f>IFERROR(__xludf.DUMMYFUNCTION("""COMPUTED_VALUE"""),591.0)</f>
        <v>591</v>
      </c>
      <c r="D1234" s="3">
        <f>IFERROR(__xludf.DUMMYFUNCTION("""COMPUTED_VALUE"""),173.0)</f>
        <v>173</v>
      </c>
      <c r="E1234" s="1" t="str">
        <f t="array" ref="E1234">_xlfn.XLOOKUP(A1234,Product!A:A,Product!B:B,"Bulunamadı")</f>
        <v>Law</v>
      </c>
      <c r="F1234" s="1" t="str">
        <f t="array" ref="F1234">_xlfn.XLOOKUP(A1234,Product!A:A,Product!C:C,"Bulunamadı")</f>
        <v>World War I</v>
      </c>
      <c r="G1234" s="2" t="str">
        <f t="array" ref="G1234">_xlfn.XLOOKUP(A1235,Product!A:A,Product!D:D,"Bulunamadı")</f>
        <v>Cedar Grove Press</v>
      </c>
      <c r="H1234" s="2">
        <f t="array" ref="H1234">_xlfn.XLOOKUP(A1236,Product!A:A,Product!E:E,"Bulunamadı")</f>
        <v>0.9</v>
      </c>
      <c r="I1234" s="2" t="str">
        <f t="shared" si="1"/>
        <v>122347 - Law - World War I</v>
      </c>
      <c r="J1234" s="2">
        <f t="shared" si="2"/>
        <v>155.7</v>
      </c>
      <c r="K1234" s="17">
        <f t="shared" si="3"/>
        <v>1</v>
      </c>
      <c r="L1234" s="18"/>
    </row>
    <row r="1235" hidden="1">
      <c r="A1235" s="2">
        <f>IFERROR(__xludf.DUMMYFUNCTION("""COMPUTED_VALUE"""),112462.0)</f>
        <v>112462</v>
      </c>
      <c r="B1235" s="2">
        <f>IFERROR(__xludf.DUMMYFUNCTION("""COMPUTED_VALUE"""),1.0)</f>
        <v>1</v>
      </c>
      <c r="C1235" s="2">
        <f>IFERROR(__xludf.DUMMYFUNCTION("""COMPUTED_VALUE"""),61.0)</f>
        <v>61</v>
      </c>
      <c r="D1235" s="3">
        <f>IFERROR(__xludf.DUMMYFUNCTION("""COMPUTED_VALUE"""),56.0)</f>
        <v>56</v>
      </c>
      <c r="E1235" s="1" t="str">
        <f t="array" ref="E1235">_xlfn.XLOOKUP(A1235,Product!A:A,Product!B:B,"Bulunamadı")</f>
        <v>Law</v>
      </c>
      <c r="F1235" s="1" t="str">
        <f t="array" ref="F1235">_xlfn.XLOOKUP(A1235,Product!A:A,Product!C:C,"Bulunamadı")</f>
        <v>World War I</v>
      </c>
      <c r="G1235" s="2" t="str">
        <f t="array" ref="G1235">_xlfn.XLOOKUP(A1236,Product!A:A,Product!D:D,"Bulunamadı")</f>
        <v>Cedar Grove Press</v>
      </c>
      <c r="H1235" s="2">
        <f t="array" ref="H1235">_xlfn.XLOOKUP(A1237,Product!A:A,Product!E:E,"Bulunamadı")</f>
        <v>1.21</v>
      </c>
      <c r="I1235" s="2" t="str">
        <f t="shared" si="1"/>
        <v>112462 - Law - World War I</v>
      </c>
      <c r="J1235" s="2">
        <f t="shared" si="2"/>
        <v>67.76</v>
      </c>
      <c r="K1235" s="17">
        <f t="shared" si="3"/>
        <v>1</v>
      </c>
      <c r="L1235" s="18"/>
    </row>
    <row r="1236" hidden="1">
      <c r="A1236" s="2">
        <f>IFERROR(__xludf.DUMMYFUNCTION("""COMPUTED_VALUE"""),5636.0)</f>
        <v>5636</v>
      </c>
      <c r="B1236" s="2">
        <f>IFERROR(__xludf.DUMMYFUNCTION("""COMPUTED_VALUE"""),1.0)</f>
        <v>1</v>
      </c>
      <c r="C1236" s="2">
        <f>IFERROR(__xludf.DUMMYFUNCTION("""COMPUTED_VALUE"""),27.0)</f>
        <v>27</v>
      </c>
      <c r="D1236" s="3">
        <f>IFERROR(__xludf.DUMMYFUNCTION("""COMPUTED_VALUE"""),3.0)</f>
        <v>3</v>
      </c>
      <c r="E1236" s="1" t="str">
        <f t="array" ref="E1236">_xlfn.XLOOKUP(A1236,Product!A:A,Product!B:B,"Bulunamadı")</f>
        <v>Law</v>
      </c>
      <c r="F1236" s="1" t="str">
        <f t="array" ref="F1236">_xlfn.XLOOKUP(A1236,Product!A:A,Product!C:C,"Bulunamadı")</f>
        <v>World War I</v>
      </c>
      <c r="G1236" s="2" t="str">
        <f t="array" ref="G1236">_xlfn.XLOOKUP(A1237,Product!A:A,Product!D:D,"Bulunamadı")</f>
        <v>Cedar Grove Press</v>
      </c>
      <c r="H1236" s="2">
        <f t="array" ref="H1236">_xlfn.XLOOKUP(A1238,Product!A:A,Product!E:E,"Bulunamadı")</f>
        <v>1.05</v>
      </c>
      <c r="I1236" s="2" t="str">
        <f t="shared" si="1"/>
        <v>5636 - Law - World War I</v>
      </c>
      <c r="J1236" s="2">
        <f t="shared" si="2"/>
        <v>3.15</v>
      </c>
      <c r="K1236" s="17">
        <f t="shared" si="3"/>
        <v>1</v>
      </c>
      <c r="L1236" s="18"/>
    </row>
    <row r="1237" hidden="1">
      <c r="A1237" s="2">
        <f>IFERROR(__xludf.DUMMYFUNCTION("""COMPUTED_VALUE"""),112464.0)</f>
        <v>112464</v>
      </c>
      <c r="B1237" s="2">
        <f>IFERROR(__xludf.DUMMYFUNCTION("""COMPUTED_VALUE"""),1.0)</f>
        <v>1</v>
      </c>
      <c r="C1237" s="2">
        <f>IFERROR(__xludf.DUMMYFUNCTION("""COMPUTED_VALUE"""),692.0)</f>
        <v>692</v>
      </c>
      <c r="D1237" s="3">
        <f>IFERROR(__xludf.DUMMYFUNCTION("""COMPUTED_VALUE"""),625.0)</f>
        <v>625</v>
      </c>
      <c r="E1237" s="1" t="str">
        <f t="array" ref="E1237">_xlfn.XLOOKUP(A1237,Product!A:A,Product!B:B,"Bulunamadı")</f>
        <v>Law</v>
      </c>
      <c r="F1237" s="1" t="str">
        <f t="array" ref="F1237">_xlfn.XLOOKUP(A1237,Product!A:A,Product!C:C,"Bulunamadı")</f>
        <v>World War I</v>
      </c>
      <c r="G1237" s="2" t="str">
        <f t="array" ref="G1237">_xlfn.XLOOKUP(A1238,Product!A:A,Product!D:D,"Bulunamadı")</f>
        <v>Cedar Grove Press</v>
      </c>
      <c r="H1237" s="2">
        <f t="array" ref="H1237">_xlfn.XLOOKUP(A1239,Product!A:A,Product!E:E,"Bulunamadı")</f>
        <v>1.12</v>
      </c>
      <c r="I1237" s="2" t="str">
        <f t="shared" si="1"/>
        <v>112464 - Law - World War I</v>
      </c>
      <c r="J1237" s="2">
        <f t="shared" si="2"/>
        <v>700</v>
      </c>
      <c r="K1237" s="17">
        <f t="shared" si="3"/>
        <v>1</v>
      </c>
      <c r="L1237" s="18"/>
    </row>
    <row r="1238" hidden="1">
      <c r="A1238" s="2">
        <f>IFERROR(__xludf.DUMMYFUNCTION("""COMPUTED_VALUE"""),5639.0)</f>
        <v>5639</v>
      </c>
      <c r="B1238" s="2">
        <f>IFERROR(__xludf.DUMMYFUNCTION("""COMPUTED_VALUE"""),0.0)</f>
        <v>0</v>
      </c>
      <c r="C1238" s="2">
        <f>IFERROR(__xludf.DUMMYFUNCTION("""COMPUTED_VALUE"""),692.0)</f>
        <v>692</v>
      </c>
      <c r="D1238" s="3">
        <f>IFERROR(__xludf.DUMMYFUNCTION("""COMPUTED_VALUE"""),381.0)</f>
        <v>381</v>
      </c>
      <c r="E1238" s="1" t="str">
        <f t="array" ref="E1238">_xlfn.XLOOKUP(A1238,Product!A:A,Product!B:B,"Bulunamadı")</f>
        <v>Law</v>
      </c>
      <c r="F1238" s="1" t="str">
        <f t="array" ref="F1238">_xlfn.XLOOKUP(A1238,Product!A:A,Product!C:C,"Bulunamadı")</f>
        <v>World War I</v>
      </c>
      <c r="G1238" s="2" t="str">
        <f t="array" ref="G1238">_xlfn.XLOOKUP(A1239,Product!A:A,Product!D:D,"Bulunamadı")</f>
        <v>Cedar Grove Press</v>
      </c>
      <c r="H1238" s="2">
        <f t="array" ref="H1238">_xlfn.XLOOKUP(A1240,Product!A:A,Product!E:E,"Bulunamadı")</f>
        <v>0.89</v>
      </c>
      <c r="I1238" s="2" t="str">
        <f t="shared" si="1"/>
        <v>5639 - Law - World War I</v>
      </c>
      <c r="J1238" s="2">
        <f t="shared" si="2"/>
        <v>339.09</v>
      </c>
      <c r="K1238" s="17">
        <f t="shared" si="3"/>
        <v>1</v>
      </c>
      <c r="L1238" s="18"/>
    </row>
    <row r="1239" hidden="1">
      <c r="A1239" s="2">
        <f>IFERROR(__xludf.DUMMYFUNCTION("""COMPUTED_VALUE"""),44147.0)</f>
        <v>44147</v>
      </c>
      <c r="B1239" s="2">
        <f>IFERROR(__xludf.DUMMYFUNCTION("""COMPUTED_VALUE"""),0.0)</f>
        <v>0</v>
      </c>
      <c r="C1239" s="2">
        <f>IFERROR(__xludf.DUMMYFUNCTION("""COMPUTED_VALUE"""),107.0)</f>
        <v>107</v>
      </c>
      <c r="D1239" s="3">
        <f>IFERROR(__xludf.DUMMYFUNCTION("""COMPUTED_VALUE"""),6.0)</f>
        <v>6</v>
      </c>
      <c r="E1239" s="1" t="str">
        <f t="array" ref="E1239">_xlfn.XLOOKUP(A1239,Product!A:A,Product!B:B,"Bulunamadı")</f>
        <v>Law</v>
      </c>
      <c r="F1239" s="1" t="str">
        <f t="array" ref="F1239">_xlfn.XLOOKUP(A1239,Product!A:A,Product!C:C,"Bulunamadı")</f>
        <v>World War I</v>
      </c>
      <c r="G1239" s="2" t="str">
        <f t="array" ref="G1239">_xlfn.XLOOKUP(A1240,Product!A:A,Product!D:D,"Bulunamadı")</f>
        <v>Cedar Grove Press</v>
      </c>
      <c r="H1239" s="2">
        <f t="array" ref="H1239">_xlfn.XLOOKUP(A1241,Product!A:A,Product!E:E,"Bulunamadı")</f>
        <v>1.31</v>
      </c>
      <c r="I1239" s="2" t="str">
        <f t="shared" si="1"/>
        <v>44147 - Law - World War I</v>
      </c>
      <c r="J1239" s="2">
        <f t="shared" si="2"/>
        <v>7.86</v>
      </c>
      <c r="K1239" s="17">
        <f t="shared" si="3"/>
        <v>1</v>
      </c>
      <c r="L1239" s="18"/>
    </row>
    <row r="1240" hidden="1">
      <c r="A1240" s="2">
        <f>IFERROR(__xludf.DUMMYFUNCTION("""COMPUTED_VALUE"""),5638.0)</f>
        <v>5638</v>
      </c>
      <c r="B1240" s="2">
        <f>IFERROR(__xludf.DUMMYFUNCTION("""COMPUTED_VALUE"""),1.0)</f>
        <v>1</v>
      </c>
      <c r="C1240" s="2">
        <f>IFERROR(__xludf.DUMMYFUNCTION("""COMPUTED_VALUE"""),181.0)</f>
        <v>181</v>
      </c>
      <c r="D1240" s="3">
        <f>IFERROR(__xludf.DUMMYFUNCTION("""COMPUTED_VALUE"""),119.0)</f>
        <v>119</v>
      </c>
      <c r="E1240" s="1" t="str">
        <f t="array" ref="E1240">_xlfn.XLOOKUP(A1240,Product!A:A,Product!B:B,"Bulunamadı")</f>
        <v>Law</v>
      </c>
      <c r="F1240" s="1" t="str">
        <f t="array" ref="F1240">_xlfn.XLOOKUP(A1240,Product!A:A,Product!C:C,"Bulunamadı")</f>
        <v>World War I</v>
      </c>
      <c r="G1240" s="2" t="str">
        <f t="array" ref="G1240">_xlfn.XLOOKUP(A1241,Product!A:A,Product!D:D,"Bulunamadı")</f>
        <v>Cedar Grove Press</v>
      </c>
      <c r="H1240" s="2">
        <f t="array" ref="H1240">_xlfn.XLOOKUP(A1242,Product!A:A,Product!E:E,"Bulunamadı")</f>
        <v>3.55</v>
      </c>
      <c r="I1240" s="2" t="str">
        <f t="shared" si="1"/>
        <v>5638 - Law - World War I</v>
      </c>
      <c r="J1240" s="2">
        <f t="shared" si="2"/>
        <v>422.45</v>
      </c>
      <c r="K1240" s="17">
        <f t="shared" si="3"/>
        <v>1</v>
      </c>
      <c r="L1240" s="18"/>
    </row>
    <row r="1241" hidden="1">
      <c r="A1241" s="2">
        <f>IFERROR(__xludf.DUMMYFUNCTION("""COMPUTED_VALUE"""),103074.0)</f>
        <v>103074</v>
      </c>
      <c r="B1241" s="2">
        <f>IFERROR(__xludf.DUMMYFUNCTION("""COMPUTED_VALUE"""),1.0)</f>
        <v>1</v>
      </c>
      <c r="C1241" s="2">
        <f>IFERROR(__xludf.DUMMYFUNCTION("""COMPUTED_VALUE"""),619.0)</f>
        <v>619</v>
      </c>
      <c r="D1241" s="3">
        <f>IFERROR(__xludf.DUMMYFUNCTION("""COMPUTED_VALUE"""),304.0)</f>
        <v>304</v>
      </c>
      <c r="E1241" s="1" t="str">
        <f t="array" ref="E1241">_xlfn.XLOOKUP(A1241,Product!A:A,Product!B:B,"Bulunamadı")</f>
        <v>Law</v>
      </c>
      <c r="F1241" s="1" t="str">
        <f t="array" ref="F1241">_xlfn.XLOOKUP(A1241,Product!A:A,Product!C:C,"Bulunamadı")</f>
        <v>World War I</v>
      </c>
      <c r="G1241" s="2" t="str">
        <f t="array" ref="G1241">_xlfn.XLOOKUP(A1242,Product!A:A,Product!D:D,"Bulunamadı")</f>
        <v>Brightwater Publishing</v>
      </c>
      <c r="H1241" s="2">
        <f t="array" ref="H1241">_xlfn.XLOOKUP(A1243,Product!A:A,Product!E:E,"Bulunamadı")</f>
        <v>1.83</v>
      </c>
      <c r="I1241" s="2" t="str">
        <f t="shared" si="1"/>
        <v>103074 - Law - World War I</v>
      </c>
      <c r="J1241" s="2">
        <f t="shared" si="2"/>
        <v>556.32</v>
      </c>
      <c r="K1241" s="17">
        <f t="shared" si="3"/>
        <v>1</v>
      </c>
      <c r="L1241" s="18"/>
    </row>
    <row r="1242" hidden="1">
      <c r="A1242" s="2">
        <f>IFERROR(__xludf.DUMMYFUNCTION("""COMPUTED_VALUE"""),45913.0)</f>
        <v>45913</v>
      </c>
      <c r="B1242" s="2">
        <f>IFERROR(__xludf.DUMMYFUNCTION("""COMPUTED_VALUE"""),1.0)</f>
        <v>1</v>
      </c>
      <c r="C1242" s="2">
        <f>IFERROR(__xludf.DUMMYFUNCTION("""COMPUTED_VALUE"""),426.0)</f>
        <v>426</v>
      </c>
      <c r="D1242" s="3">
        <f>IFERROR(__xludf.DUMMYFUNCTION("""COMPUTED_VALUE"""),139.0)</f>
        <v>139</v>
      </c>
      <c r="E1242" s="1" t="str">
        <f t="array" ref="E1242">_xlfn.XLOOKUP(A1242,Product!A:A,Product!B:B,"Bulunamadı")</f>
        <v>Law</v>
      </c>
      <c r="F1242" s="1" t="str">
        <f t="array" ref="F1242">_xlfn.XLOOKUP(A1242,Product!A:A,Product!C:C,"Bulunamadı")</f>
        <v>World War I</v>
      </c>
      <c r="G1242" s="2" t="str">
        <f t="array" ref="G1242">_xlfn.XLOOKUP(A1243,Product!A:A,Product!D:D,"Bulunamadı")</f>
        <v>Brightwater Publishing</v>
      </c>
      <c r="H1242" s="2">
        <f t="array" ref="H1242">_xlfn.XLOOKUP(A1244,Product!A:A,Product!E:E,"Bulunamadı")</f>
        <v>1.98</v>
      </c>
      <c r="I1242" s="2" t="str">
        <f t="shared" si="1"/>
        <v>45913 - Law - World War I</v>
      </c>
      <c r="J1242" s="2">
        <f t="shared" si="2"/>
        <v>275.22</v>
      </c>
      <c r="K1242" s="17">
        <f t="shared" si="3"/>
        <v>1</v>
      </c>
      <c r="L1242" s="18"/>
    </row>
    <row r="1243" hidden="1">
      <c r="A1243" s="2">
        <f>IFERROR(__xludf.DUMMYFUNCTION("""COMPUTED_VALUE"""),120044.0)</f>
        <v>120044</v>
      </c>
      <c r="B1243" s="2">
        <f>IFERROR(__xludf.DUMMYFUNCTION("""COMPUTED_VALUE"""),0.0)</f>
        <v>0</v>
      </c>
      <c r="C1243" s="2">
        <f>IFERROR(__xludf.DUMMYFUNCTION("""COMPUTED_VALUE"""),816.0)</f>
        <v>816</v>
      </c>
      <c r="D1243" s="3">
        <f>IFERROR(__xludf.DUMMYFUNCTION("""COMPUTED_VALUE"""),323.0)</f>
        <v>323</v>
      </c>
      <c r="E1243" s="1" t="str">
        <f t="array" ref="E1243">_xlfn.XLOOKUP(A1243,Product!A:A,Product!B:B,"Bulunamadı")</f>
        <v>Law</v>
      </c>
      <c r="F1243" s="1" t="str">
        <f t="array" ref="F1243">_xlfn.XLOOKUP(A1243,Product!A:A,Product!C:C,"Bulunamadı")</f>
        <v>World War I</v>
      </c>
      <c r="G1243" s="2" t="str">
        <f t="array" ref="G1243">_xlfn.XLOOKUP(A1244,Product!A:A,Product!D:D,"Bulunamadı")</f>
        <v>Brightwater Publishing</v>
      </c>
      <c r="H1243" s="2">
        <f t="array" ref="H1243">_xlfn.XLOOKUP(A1245,Product!A:A,Product!E:E,"Bulunamadı")</f>
        <v>2.23</v>
      </c>
      <c r="I1243" s="2" t="str">
        <f t="shared" si="1"/>
        <v>120044 - Law - World War I</v>
      </c>
      <c r="J1243" s="2">
        <f t="shared" si="2"/>
        <v>720.29</v>
      </c>
      <c r="K1243" s="17">
        <f t="shared" si="3"/>
        <v>1</v>
      </c>
      <c r="L1243" s="18"/>
    </row>
    <row r="1244" hidden="1">
      <c r="A1244" s="2">
        <f>IFERROR(__xludf.DUMMYFUNCTION("""COMPUTED_VALUE"""),90973.0)</f>
        <v>90973</v>
      </c>
      <c r="B1244" s="2">
        <f>IFERROR(__xludf.DUMMYFUNCTION("""COMPUTED_VALUE"""),1.0)</f>
        <v>1</v>
      </c>
      <c r="C1244" s="2">
        <f>IFERROR(__xludf.DUMMYFUNCTION("""COMPUTED_VALUE"""),804.0)</f>
        <v>804</v>
      </c>
      <c r="D1244" s="3">
        <f>IFERROR(__xludf.DUMMYFUNCTION("""COMPUTED_VALUE"""),747.0)</f>
        <v>747</v>
      </c>
      <c r="E1244" s="1" t="str">
        <f t="array" ref="E1244">_xlfn.XLOOKUP(A1244,Product!A:A,Product!B:B,"Bulunamadı")</f>
        <v>Law</v>
      </c>
      <c r="F1244" s="1" t="str">
        <f t="array" ref="F1244">_xlfn.XLOOKUP(A1244,Product!A:A,Product!C:C,"Bulunamadı")</f>
        <v>World War I</v>
      </c>
      <c r="G1244" s="2" t="str">
        <f t="array" ref="G1244">_xlfn.XLOOKUP(A1245,Product!A:A,Product!D:D,"Bulunamadı")</f>
        <v>Brightwater Publishing</v>
      </c>
      <c r="H1244" s="2">
        <f t="array" ref="H1244">_xlfn.XLOOKUP(A1246,Product!A:A,Product!E:E,"Bulunamadı")</f>
        <v>1.37</v>
      </c>
      <c r="I1244" s="2" t="str">
        <f t="shared" si="1"/>
        <v>90973 - Law - World War I</v>
      </c>
      <c r="J1244" s="2">
        <f t="shared" si="2"/>
        <v>1023.39</v>
      </c>
      <c r="K1244" s="17">
        <f t="shared" si="3"/>
        <v>1</v>
      </c>
      <c r="L1244" s="18"/>
    </row>
    <row r="1245" hidden="1">
      <c r="A1245" s="2">
        <f>IFERROR(__xludf.DUMMYFUNCTION("""COMPUTED_VALUE"""),103830.0)</f>
        <v>103830</v>
      </c>
      <c r="B1245" s="2">
        <f>IFERROR(__xludf.DUMMYFUNCTION("""COMPUTED_VALUE"""),0.0)</f>
        <v>0</v>
      </c>
      <c r="C1245" s="2">
        <f>IFERROR(__xludf.DUMMYFUNCTION("""COMPUTED_VALUE"""),710.0)</f>
        <v>710</v>
      </c>
      <c r="D1245" s="3">
        <f>IFERROR(__xludf.DUMMYFUNCTION("""COMPUTED_VALUE"""),313.0)</f>
        <v>313</v>
      </c>
      <c r="E1245" s="1" t="str">
        <f t="array" ref="E1245">_xlfn.XLOOKUP(A1245,Product!A:A,Product!B:B,"Bulunamadı")</f>
        <v>Law</v>
      </c>
      <c r="F1245" s="1" t="str">
        <f t="array" ref="F1245">_xlfn.XLOOKUP(A1245,Product!A:A,Product!C:C,"Bulunamadı")</f>
        <v>World War I</v>
      </c>
      <c r="G1245" s="2" t="str">
        <f t="array" ref="G1245">_xlfn.XLOOKUP(A1246,Product!A:A,Product!D:D,"Bulunamadı")</f>
        <v>Brightwater Publishing</v>
      </c>
      <c r="H1245" s="2">
        <f t="array" ref="H1245">_xlfn.XLOOKUP(A1247,Product!A:A,Product!E:E,"Bulunamadı")</f>
        <v>3.47</v>
      </c>
      <c r="I1245" s="2" t="str">
        <f t="shared" si="1"/>
        <v>103830 - Law - World War I</v>
      </c>
      <c r="J1245" s="2">
        <f t="shared" si="2"/>
        <v>1086.11</v>
      </c>
      <c r="K1245" s="17">
        <f t="shared" si="3"/>
        <v>1</v>
      </c>
      <c r="L1245" s="18"/>
    </row>
    <row r="1246" hidden="1">
      <c r="A1246" s="2">
        <f>IFERROR(__xludf.DUMMYFUNCTION("""COMPUTED_VALUE"""),111765.0)</f>
        <v>111765</v>
      </c>
      <c r="B1246" s="2">
        <f>IFERROR(__xludf.DUMMYFUNCTION("""COMPUTED_VALUE"""),0.0)</f>
        <v>0</v>
      </c>
      <c r="C1246" s="2">
        <f>IFERROR(__xludf.DUMMYFUNCTION("""COMPUTED_VALUE"""),884.0)</f>
        <v>884</v>
      </c>
      <c r="D1246" s="3">
        <f>IFERROR(__xludf.DUMMYFUNCTION("""COMPUTED_VALUE"""),601.0)</f>
        <v>601</v>
      </c>
      <c r="E1246" s="1" t="str">
        <f t="array" ref="E1246">_xlfn.XLOOKUP(A1246,Product!A:A,Product!B:B,"Bulunamadı")</f>
        <v>Law</v>
      </c>
      <c r="F1246" s="1" t="str">
        <f t="array" ref="F1246">_xlfn.XLOOKUP(A1246,Product!A:A,Product!C:C,"Bulunamadı")</f>
        <v>World War I</v>
      </c>
      <c r="G1246" s="2" t="str">
        <f t="array" ref="G1246">_xlfn.XLOOKUP(A1247,Product!A:A,Product!D:D,"Bulunamadı")</f>
        <v>Brightwater Publishing</v>
      </c>
      <c r="H1246" s="2">
        <f t="array" ref="H1246">_xlfn.XLOOKUP(A1248,Product!A:A,Product!E:E,"Bulunamadı")</f>
        <v>3.3</v>
      </c>
      <c r="I1246" s="2" t="str">
        <f t="shared" si="1"/>
        <v>111765 - Law - World War I</v>
      </c>
      <c r="J1246" s="2">
        <f t="shared" si="2"/>
        <v>1983.3</v>
      </c>
      <c r="K1246" s="17">
        <f t="shared" si="3"/>
        <v>1</v>
      </c>
      <c r="L1246" s="18"/>
    </row>
    <row r="1247" hidden="1">
      <c r="A1247" s="2">
        <f>IFERROR(__xludf.DUMMYFUNCTION("""COMPUTED_VALUE"""),45952.0)</f>
        <v>45952</v>
      </c>
      <c r="B1247" s="2">
        <f>IFERROR(__xludf.DUMMYFUNCTION("""COMPUTED_VALUE"""),1.0)</f>
        <v>1</v>
      </c>
      <c r="C1247" s="2">
        <f>IFERROR(__xludf.DUMMYFUNCTION("""COMPUTED_VALUE"""),368.0)</f>
        <v>368</v>
      </c>
      <c r="D1247" s="3">
        <f>IFERROR(__xludf.DUMMYFUNCTION("""COMPUTED_VALUE"""),87.0)</f>
        <v>87</v>
      </c>
      <c r="E1247" s="1" t="str">
        <f t="array" ref="E1247">_xlfn.XLOOKUP(A1247,Product!A:A,Product!B:B,"Bulunamadı")</f>
        <v>Law</v>
      </c>
      <c r="F1247" s="1" t="str">
        <f t="array" ref="F1247">_xlfn.XLOOKUP(A1247,Product!A:A,Product!C:C,"Bulunamadı")</f>
        <v>World War I</v>
      </c>
      <c r="G1247" s="2" t="str">
        <f t="array" ref="G1247">_xlfn.XLOOKUP(A1248,Product!A:A,Product!D:D,"Bulunamadı")</f>
        <v>Brightwater Publishing</v>
      </c>
      <c r="H1247" s="2">
        <f t="array" ref="H1247">_xlfn.XLOOKUP(A1249,Product!A:A,Product!E:E,"Bulunamadı")</f>
        <v>2.97</v>
      </c>
      <c r="I1247" s="2" t="str">
        <f t="shared" si="1"/>
        <v>45952 - Law - World War I</v>
      </c>
      <c r="J1247" s="2">
        <f t="shared" si="2"/>
        <v>258.39</v>
      </c>
      <c r="K1247" s="17">
        <f t="shared" si="3"/>
        <v>1</v>
      </c>
      <c r="L1247" s="18"/>
    </row>
    <row r="1248" hidden="1">
      <c r="A1248" s="2">
        <f>IFERROR(__xludf.DUMMYFUNCTION("""COMPUTED_VALUE"""),91749.0)</f>
        <v>91749</v>
      </c>
      <c r="B1248" s="2">
        <f>IFERROR(__xludf.DUMMYFUNCTION("""COMPUTED_VALUE"""),0.0)</f>
        <v>0</v>
      </c>
      <c r="C1248" s="2">
        <f>IFERROR(__xludf.DUMMYFUNCTION("""COMPUTED_VALUE"""),226.0)</f>
        <v>226</v>
      </c>
      <c r="D1248" s="3">
        <f>IFERROR(__xludf.DUMMYFUNCTION("""COMPUTED_VALUE"""),86.0)</f>
        <v>86</v>
      </c>
      <c r="E1248" s="1" t="str">
        <f t="array" ref="E1248">_xlfn.XLOOKUP(A1248,Product!A:A,Product!B:B,"Bulunamadı")</f>
        <v>Law</v>
      </c>
      <c r="F1248" s="1" t="str">
        <f t="array" ref="F1248">_xlfn.XLOOKUP(A1248,Product!A:A,Product!C:C,"Bulunamadı")</f>
        <v>World War I</v>
      </c>
      <c r="G1248" s="2" t="str">
        <f t="array" ref="G1248">_xlfn.XLOOKUP(A1249,Product!A:A,Product!D:D,"Bulunamadı")</f>
        <v>Brightwater Publishing</v>
      </c>
      <c r="H1248" s="2">
        <f t="array" ref="H1248">_xlfn.XLOOKUP(A1250,Product!A:A,Product!E:E,"Bulunamadı")</f>
        <v>0.93</v>
      </c>
      <c r="I1248" s="2" t="str">
        <f t="shared" si="1"/>
        <v>91749 - Law - World War I</v>
      </c>
      <c r="J1248" s="2">
        <f t="shared" si="2"/>
        <v>79.98</v>
      </c>
      <c r="K1248" s="17">
        <f t="shared" si="3"/>
        <v>1</v>
      </c>
      <c r="L1248" s="18"/>
    </row>
    <row r="1249" hidden="1">
      <c r="A1249" s="2">
        <f>IFERROR(__xludf.DUMMYFUNCTION("""COMPUTED_VALUE"""),120040.0)</f>
        <v>120040</v>
      </c>
      <c r="B1249" s="2">
        <f>IFERROR(__xludf.DUMMYFUNCTION("""COMPUTED_VALUE"""),0.0)</f>
        <v>0</v>
      </c>
      <c r="C1249" s="2">
        <f>IFERROR(__xludf.DUMMYFUNCTION("""COMPUTED_VALUE"""),418.0)</f>
        <v>418</v>
      </c>
      <c r="D1249" s="3">
        <f>IFERROR(__xludf.DUMMYFUNCTION("""COMPUTED_VALUE"""),63.0)</f>
        <v>63</v>
      </c>
      <c r="E1249" s="1" t="str">
        <f t="array" ref="E1249">_xlfn.XLOOKUP(A1249,Product!A:A,Product!B:B,"Bulunamadı")</f>
        <v>Law</v>
      </c>
      <c r="F1249" s="1" t="str">
        <f t="array" ref="F1249">_xlfn.XLOOKUP(A1249,Product!A:A,Product!C:C,"Bulunamadı")</f>
        <v>World War I</v>
      </c>
      <c r="G1249" s="2" t="str">
        <f t="array" ref="G1249">_xlfn.XLOOKUP(A1250,Product!A:A,Product!D:D,"Bulunamadı")</f>
        <v>Brightwater Publishing</v>
      </c>
      <c r="H1249" s="2">
        <f t="array" ref="H1249">_xlfn.XLOOKUP(A1251,Product!A:A,Product!E:E,"Bulunamadı")</f>
        <v>1.86</v>
      </c>
      <c r="I1249" s="2" t="str">
        <f t="shared" si="1"/>
        <v>120040 - Law - World War I</v>
      </c>
      <c r="J1249" s="2">
        <f t="shared" si="2"/>
        <v>117.18</v>
      </c>
      <c r="K1249" s="17">
        <f t="shared" si="3"/>
        <v>1</v>
      </c>
      <c r="L1249" s="18"/>
    </row>
    <row r="1250" hidden="1">
      <c r="A1250" s="2">
        <f>IFERROR(__xludf.DUMMYFUNCTION("""COMPUTED_VALUE"""),17143.0)</f>
        <v>17143</v>
      </c>
      <c r="B1250" s="2">
        <f>IFERROR(__xludf.DUMMYFUNCTION("""COMPUTED_VALUE"""),1.0)</f>
        <v>1</v>
      </c>
      <c r="C1250" s="2">
        <f>IFERROR(__xludf.DUMMYFUNCTION("""COMPUTED_VALUE"""),714.0)</f>
        <v>714</v>
      </c>
      <c r="D1250" s="3">
        <f>IFERROR(__xludf.DUMMYFUNCTION("""COMPUTED_VALUE"""),444.0)</f>
        <v>444</v>
      </c>
      <c r="E1250" s="1" t="str">
        <f t="array" ref="E1250">_xlfn.XLOOKUP(A1250,Product!A:A,Product!B:B,"Bulunamadı")</f>
        <v>Law</v>
      </c>
      <c r="F1250" s="1" t="str">
        <f t="array" ref="F1250">_xlfn.XLOOKUP(A1250,Product!A:A,Product!C:C,"Bulunamadı")</f>
        <v>World War I</v>
      </c>
      <c r="G1250" s="2" t="str">
        <f t="array" ref="G1250">_xlfn.XLOOKUP(A1251,Product!A:A,Product!D:D,"Bulunamadı")</f>
        <v>Brightwater Publishing</v>
      </c>
      <c r="H1250" s="2">
        <f t="array" ref="H1250">_xlfn.XLOOKUP(A1252,Product!A:A,Product!E:E,"Bulunamadı")</f>
        <v>2.05</v>
      </c>
      <c r="I1250" s="2" t="str">
        <f t="shared" si="1"/>
        <v>17143 - Law - World War I</v>
      </c>
      <c r="J1250" s="2">
        <f t="shared" si="2"/>
        <v>910.2</v>
      </c>
      <c r="K1250" s="17">
        <f t="shared" si="3"/>
        <v>1</v>
      </c>
      <c r="L1250" s="18"/>
    </row>
    <row r="1251" hidden="1">
      <c r="A1251" s="2">
        <f>IFERROR(__xludf.DUMMYFUNCTION("""COMPUTED_VALUE"""),120515.0)</f>
        <v>120515</v>
      </c>
      <c r="B1251" s="2">
        <f>IFERROR(__xludf.DUMMYFUNCTION("""COMPUTED_VALUE"""),1.0)</f>
        <v>1</v>
      </c>
      <c r="C1251" s="2">
        <f>IFERROR(__xludf.DUMMYFUNCTION("""COMPUTED_VALUE"""),234.0)</f>
        <v>234</v>
      </c>
      <c r="D1251" s="3">
        <f>IFERROR(__xludf.DUMMYFUNCTION("""COMPUTED_VALUE"""),97.0)</f>
        <v>97</v>
      </c>
      <c r="E1251" s="1" t="str">
        <f t="array" ref="E1251">_xlfn.XLOOKUP(A1251,Product!A:A,Product!B:B,"Bulunamadı")</f>
        <v>Law</v>
      </c>
      <c r="F1251" s="1" t="str">
        <f t="array" ref="F1251">_xlfn.XLOOKUP(A1251,Product!A:A,Product!C:C,"Bulunamadı")</f>
        <v>World War I</v>
      </c>
      <c r="G1251" s="2" t="str">
        <f t="array" ref="G1251">_xlfn.XLOOKUP(A1252,Product!A:A,Product!D:D,"Bulunamadı")</f>
        <v>Brightwater Publishing</v>
      </c>
      <c r="H1251" s="2">
        <f t="array" ref="H1251">_xlfn.XLOOKUP(A1253,Product!A:A,Product!E:E,"Bulunamadı")</f>
        <v>1.97</v>
      </c>
      <c r="I1251" s="2" t="str">
        <f t="shared" si="1"/>
        <v>120515 - Law - World War I</v>
      </c>
      <c r="J1251" s="2">
        <f t="shared" si="2"/>
        <v>191.09</v>
      </c>
      <c r="K1251" s="17">
        <f t="shared" si="3"/>
        <v>1</v>
      </c>
      <c r="L1251" s="18"/>
    </row>
    <row r="1252" hidden="1">
      <c r="A1252" s="2">
        <f>IFERROR(__xludf.DUMMYFUNCTION("""COMPUTED_VALUE"""),120045.0)</f>
        <v>120045</v>
      </c>
      <c r="B1252" s="2">
        <f>IFERROR(__xludf.DUMMYFUNCTION("""COMPUTED_VALUE"""),0.0)</f>
        <v>0</v>
      </c>
      <c r="C1252" s="2">
        <f>IFERROR(__xludf.DUMMYFUNCTION("""COMPUTED_VALUE"""),159.0)</f>
        <v>159</v>
      </c>
      <c r="D1252" s="3">
        <f>IFERROR(__xludf.DUMMYFUNCTION("""COMPUTED_VALUE"""),26.0)</f>
        <v>26</v>
      </c>
      <c r="E1252" s="1" t="str">
        <f t="array" ref="E1252">_xlfn.XLOOKUP(A1252,Product!A:A,Product!B:B,"Bulunamadı")</f>
        <v>Law</v>
      </c>
      <c r="F1252" s="1" t="str">
        <f t="array" ref="F1252">_xlfn.XLOOKUP(A1252,Product!A:A,Product!C:C,"Bulunamadı")</f>
        <v>World War I</v>
      </c>
      <c r="G1252" s="2" t="str">
        <f t="array" ref="G1252">_xlfn.XLOOKUP(A1253,Product!A:A,Product!D:D,"Bulunamadı")</f>
        <v>Brightwater Publishing</v>
      </c>
      <c r="H1252" s="2">
        <f t="array" ref="H1252">_xlfn.XLOOKUP(A1254,Product!A:A,Product!E:E,"Bulunamadı")</f>
        <v>3.03</v>
      </c>
      <c r="I1252" s="2" t="str">
        <f t="shared" si="1"/>
        <v>120045 - Law - World War I</v>
      </c>
      <c r="J1252" s="2">
        <f t="shared" si="2"/>
        <v>78.78</v>
      </c>
      <c r="K1252" s="17">
        <f t="shared" si="3"/>
        <v>1</v>
      </c>
      <c r="L1252" s="18"/>
    </row>
    <row r="1253" hidden="1">
      <c r="A1253" s="2">
        <f>IFERROR(__xludf.DUMMYFUNCTION("""COMPUTED_VALUE"""),122268.0)</f>
        <v>122268</v>
      </c>
      <c r="B1253" s="2">
        <f>IFERROR(__xludf.DUMMYFUNCTION("""COMPUTED_VALUE"""),1.0)</f>
        <v>1</v>
      </c>
      <c r="C1253" s="2">
        <f>IFERROR(__xludf.DUMMYFUNCTION("""COMPUTED_VALUE"""),576.0)</f>
        <v>576</v>
      </c>
      <c r="D1253" s="3">
        <f>IFERROR(__xludf.DUMMYFUNCTION("""COMPUTED_VALUE"""),62.0)</f>
        <v>62</v>
      </c>
      <c r="E1253" s="1" t="str">
        <f t="array" ref="E1253">_xlfn.XLOOKUP(A1253,Product!A:A,Product!B:B,"Bulunamadı")</f>
        <v>Law</v>
      </c>
      <c r="F1253" s="1" t="str">
        <f t="array" ref="F1253">_xlfn.XLOOKUP(A1253,Product!A:A,Product!C:C,"Bulunamadı")</f>
        <v>World War I</v>
      </c>
      <c r="G1253" s="2" t="str">
        <f t="array" ref="G1253">_xlfn.XLOOKUP(A1254,Product!A:A,Product!D:D,"Bulunamadı")</f>
        <v>Brightwater Publishing</v>
      </c>
      <c r="H1253" s="2">
        <f t="array" ref="H1253">_xlfn.XLOOKUP(A1255,Product!A:A,Product!E:E,"Bulunamadı")</f>
        <v>2.94</v>
      </c>
      <c r="I1253" s="2" t="str">
        <f t="shared" si="1"/>
        <v>122268 - Law - World War I</v>
      </c>
      <c r="J1253" s="2">
        <f t="shared" si="2"/>
        <v>182.28</v>
      </c>
      <c r="K1253" s="17">
        <f t="shared" si="3"/>
        <v>1</v>
      </c>
      <c r="L1253" s="18"/>
    </row>
    <row r="1254" hidden="1">
      <c r="A1254" s="2">
        <f>IFERROR(__xludf.DUMMYFUNCTION("""COMPUTED_VALUE"""),195737.0)</f>
        <v>195737</v>
      </c>
      <c r="B1254" s="2">
        <f>IFERROR(__xludf.DUMMYFUNCTION("""COMPUTED_VALUE"""),1.0)</f>
        <v>1</v>
      </c>
      <c r="C1254" s="2">
        <f>IFERROR(__xludf.DUMMYFUNCTION("""COMPUTED_VALUE"""),769.0)</f>
        <v>769</v>
      </c>
      <c r="D1254" s="3">
        <f>IFERROR(__xludf.DUMMYFUNCTION("""COMPUTED_VALUE"""),338.0)</f>
        <v>338</v>
      </c>
      <c r="E1254" s="1" t="str">
        <f t="array" ref="E1254">_xlfn.XLOOKUP(A1254,Product!A:A,Product!B:B,"Bulunamadı")</f>
        <v>Law</v>
      </c>
      <c r="F1254" s="1" t="str">
        <f t="array" ref="F1254">_xlfn.XLOOKUP(A1254,Product!A:A,Product!C:C,"Bulunamadı")</f>
        <v>World War I</v>
      </c>
      <c r="G1254" s="2" t="str">
        <f t="array" ref="G1254">_xlfn.XLOOKUP(A1255,Product!A:A,Product!D:D,"Bulunamadı")</f>
        <v>Brightwater Publishing</v>
      </c>
      <c r="H1254" s="2">
        <f t="array" ref="H1254">_xlfn.XLOOKUP(A1256,Product!A:A,Product!E:E,"Bulunamadı")</f>
        <v>2.54</v>
      </c>
      <c r="I1254" s="2" t="str">
        <f t="shared" si="1"/>
        <v>195737 - Law - World War I</v>
      </c>
      <c r="J1254" s="2">
        <f t="shared" si="2"/>
        <v>858.52</v>
      </c>
      <c r="K1254" s="17">
        <f t="shared" si="3"/>
        <v>1</v>
      </c>
      <c r="L1254" s="18"/>
    </row>
    <row r="1255" hidden="1">
      <c r="A1255" s="2">
        <f>IFERROR(__xludf.DUMMYFUNCTION("""COMPUTED_VALUE"""),78759.0)</f>
        <v>78759</v>
      </c>
      <c r="B1255" s="2">
        <f>IFERROR(__xludf.DUMMYFUNCTION("""COMPUTED_VALUE"""),1.0)</f>
        <v>1</v>
      </c>
      <c r="C1255" s="2">
        <f>IFERROR(__xludf.DUMMYFUNCTION("""COMPUTED_VALUE"""),122.0)</f>
        <v>122</v>
      </c>
      <c r="D1255" s="3">
        <f>IFERROR(__xludf.DUMMYFUNCTION("""COMPUTED_VALUE"""),102.0)</f>
        <v>102</v>
      </c>
      <c r="E1255" s="1" t="str">
        <f t="array" ref="E1255">_xlfn.XLOOKUP(A1255,Product!A:A,Product!B:B,"Bulunamadı")</f>
        <v>Law</v>
      </c>
      <c r="F1255" s="1" t="str">
        <f t="array" ref="F1255">_xlfn.XLOOKUP(A1255,Product!A:A,Product!C:C,"Bulunamadı")</f>
        <v>World War I</v>
      </c>
      <c r="G1255" s="2" t="str">
        <f t="array" ref="G1255">_xlfn.XLOOKUP(A1256,Product!A:A,Product!D:D,"Bulunamadı")</f>
        <v>Brightwater Publishing</v>
      </c>
      <c r="H1255" s="2">
        <f t="array" ref="H1255">_xlfn.XLOOKUP(A1257,Product!A:A,Product!E:E,"Bulunamadı")</f>
        <v>4.11</v>
      </c>
      <c r="I1255" s="2" t="str">
        <f t="shared" si="1"/>
        <v>78759 - Law - World War I</v>
      </c>
      <c r="J1255" s="2">
        <f t="shared" si="2"/>
        <v>419.22</v>
      </c>
      <c r="K1255" s="17">
        <f t="shared" si="3"/>
        <v>1</v>
      </c>
      <c r="L1255" s="18"/>
    </row>
    <row r="1256" hidden="1">
      <c r="A1256" s="2">
        <f>IFERROR(__xludf.DUMMYFUNCTION("""COMPUTED_VALUE"""),8857.0)</f>
        <v>8857</v>
      </c>
      <c r="B1256" s="2">
        <f>IFERROR(__xludf.DUMMYFUNCTION("""COMPUTED_VALUE"""),0.0)</f>
        <v>0</v>
      </c>
      <c r="C1256" s="2">
        <f>IFERROR(__xludf.DUMMYFUNCTION("""COMPUTED_VALUE"""),893.0)</f>
        <v>893</v>
      </c>
      <c r="D1256" s="3">
        <f>IFERROR(__xludf.DUMMYFUNCTION("""COMPUTED_VALUE"""),350.0)</f>
        <v>350</v>
      </c>
      <c r="E1256" s="1" t="str">
        <f t="array" ref="E1256">_xlfn.XLOOKUP(A1256,Product!A:A,Product!B:B,"Bulunamadı")</f>
        <v>Law</v>
      </c>
      <c r="F1256" s="1" t="str">
        <f t="array" ref="F1256">_xlfn.XLOOKUP(A1256,Product!A:A,Product!C:C,"Bulunamadı")</f>
        <v>World War I</v>
      </c>
      <c r="G1256" s="2" t="str">
        <f t="array" ref="G1256">_xlfn.XLOOKUP(A1257,Product!A:A,Product!D:D,"Bulunamadı")</f>
        <v>Brightwater Publishing</v>
      </c>
      <c r="H1256" s="2">
        <f t="array" ref="H1256">_xlfn.XLOOKUP(A1258,Product!A:A,Product!E:E,"Bulunamadı")</f>
        <v>1.96</v>
      </c>
      <c r="I1256" s="2" t="str">
        <f t="shared" si="1"/>
        <v>8857 - Law - World War I</v>
      </c>
      <c r="J1256" s="2">
        <f t="shared" si="2"/>
        <v>686</v>
      </c>
      <c r="K1256" s="17">
        <f t="shared" si="3"/>
        <v>1</v>
      </c>
      <c r="L1256" s="18"/>
    </row>
    <row r="1257" hidden="1">
      <c r="A1257" s="2">
        <f>IFERROR(__xludf.DUMMYFUNCTION("""COMPUTED_VALUE"""),8860.0)</f>
        <v>8860</v>
      </c>
      <c r="B1257" s="2">
        <f>IFERROR(__xludf.DUMMYFUNCTION("""COMPUTED_VALUE"""),0.0)</f>
        <v>0</v>
      </c>
      <c r="C1257" s="2">
        <f>IFERROR(__xludf.DUMMYFUNCTION("""COMPUTED_VALUE"""),188.0)</f>
        <v>188</v>
      </c>
      <c r="D1257" s="3">
        <f>IFERROR(__xludf.DUMMYFUNCTION("""COMPUTED_VALUE"""),82.0)</f>
        <v>82</v>
      </c>
      <c r="E1257" s="1" t="str">
        <f t="array" ref="E1257">_xlfn.XLOOKUP(A1257,Product!A:A,Product!B:B,"Bulunamadı")</f>
        <v>Law</v>
      </c>
      <c r="F1257" s="1" t="str">
        <f t="array" ref="F1257">_xlfn.XLOOKUP(A1257,Product!A:A,Product!C:C,"Bulunamadı")</f>
        <v>World War I</v>
      </c>
      <c r="G1257" s="2" t="str">
        <f t="array" ref="G1257">_xlfn.XLOOKUP(A1258,Product!A:A,Product!D:D,"Bulunamadı")</f>
        <v>Brightwater Publishing</v>
      </c>
      <c r="H1257" s="2">
        <f t="array" ref="H1257">_xlfn.XLOOKUP(A1259,Product!A:A,Product!E:E,"Bulunamadı")</f>
        <v>2.95</v>
      </c>
      <c r="I1257" s="2" t="str">
        <f t="shared" si="1"/>
        <v>8860 - Law - World War I</v>
      </c>
      <c r="J1257" s="2">
        <f t="shared" si="2"/>
        <v>241.9</v>
      </c>
      <c r="K1257" s="17">
        <f t="shared" si="3"/>
        <v>1</v>
      </c>
      <c r="L1257" s="18"/>
    </row>
    <row r="1258" hidden="1">
      <c r="A1258" s="2">
        <f>IFERROR(__xludf.DUMMYFUNCTION("""COMPUTED_VALUE"""),182790.0)</f>
        <v>182790</v>
      </c>
      <c r="B1258" s="2">
        <f>IFERROR(__xludf.DUMMYFUNCTION("""COMPUTED_VALUE"""),0.0)</f>
        <v>0</v>
      </c>
      <c r="C1258" s="2">
        <f>IFERROR(__xludf.DUMMYFUNCTION("""COMPUTED_VALUE"""),83.0)</f>
        <v>83</v>
      </c>
      <c r="D1258" s="3">
        <f>IFERROR(__xludf.DUMMYFUNCTION("""COMPUTED_VALUE"""),73.0)</f>
        <v>73</v>
      </c>
      <c r="E1258" s="1" t="str">
        <f t="array" ref="E1258">_xlfn.XLOOKUP(A1258,Product!A:A,Product!B:B,"Bulunamadı")</f>
        <v>Law</v>
      </c>
      <c r="F1258" s="1" t="str">
        <f t="array" ref="F1258">_xlfn.XLOOKUP(A1258,Product!A:A,Product!C:C,"Bulunamadı")</f>
        <v>World War I</v>
      </c>
      <c r="G1258" s="2" t="str">
        <f t="array" ref="G1258">_xlfn.XLOOKUP(A1259,Product!A:A,Product!D:D,"Bulunamadı")</f>
        <v>Brightwater Publishing</v>
      </c>
      <c r="H1258" s="2">
        <f t="array" ref="H1258">_xlfn.XLOOKUP(A1260,Product!A:A,Product!E:E,"Bulunamadı")</f>
        <v>2.76</v>
      </c>
      <c r="I1258" s="2" t="str">
        <f t="shared" si="1"/>
        <v>182790 - Law - World War I</v>
      </c>
      <c r="J1258" s="2">
        <f t="shared" si="2"/>
        <v>201.48</v>
      </c>
      <c r="K1258" s="17">
        <f t="shared" si="3"/>
        <v>1</v>
      </c>
      <c r="L1258" s="18"/>
    </row>
    <row r="1259" hidden="1">
      <c r="A1259" s="2">
        <f>IFERROR(__xludf.DUMMYFUNCTION("""COMPUTED_VALUE"""),120042.0)</f>
        <v>120042</v>
      </c>
      <c r="B1259" s="2">
        <f>IFERROR(__xludf.DUMMYFUNCTION("""COMPUTED_VALUE"""),0.0)</f>
        <v>0</v>
      </c>
      <c r="C1259" s="2">
        <f>IFERROR(__xludf.DUMMYFUNCTION("""COMPUTED_VALUE"""),548.0)</f>
        <v>548</v>
      </c>
      <c r="D1259" s="3">
        <f>IFERROR(__xludf.DUMMYFUNCTION("""COMPUTED_VALUE"""),508.0)</f>
        <v>508</v>
      </c>
      <c r="E1259" s="1" t="str">
        <f t="array" ref="E1259">_xlfn.XLOOKUP(A1259,Product!A:A,Product!B:B,"Bulunamadı")</f>
        <v>Law</v>
      </c>
      <c r="F1259" s="1" t="str">
        <f t="array" ref="F1259">_xlfn.XLOOKUP(A1259,Product!A:A,Product!C:C,"Bulunamadı")</f>
        <v>World War I</v>
      </c>
      <c r="G1259" s="2" t="str">
        <f t="array" ref="G1259">_xlfn.XLOOKUP(A1260,Product!A:A,Product!D:D,"Bulunamadı")</f>
        <v>Brightwater Publishing</v>
      </c>
      <c r="H1259" s="2">
        <f t="array" ref="H1259">_xlfn.XLOOKUP(A1261,Product!A:A,Product!E:E,"Bulunamadı")</f>
        <v>3.05</v>
      </c>
      <c r="I1259" s="2" t="str">
        <f t="shared" si="1"/>
        <v>120042 - Law - World War I</v>
      </c>
      <c r="J1259" s="2">
        <f t="shared" si="2"/>
        <v>1549.4</v>
      </c>
      <c r="K1259" s="17">
        <f t="shared" si="3"/>
        <v>1</v>
      </c>
      <c r="L1259" s="18"/>
    </row>
    <row r="1260" hidden="1">
      <c r="A1260" s="2">
        <f>IFERROR(__xludf.DUMMYFUNCTION("""COMPUTED_VALUE"""),114941.0)</f>
        <v>114941</v>
      </c>
      <c r="B1260" s="2">
        <f>IFERROR(__xludf.DUMMYFUNCTION("""COMPUTED_VALUE"""),1.0)</f>
        <v>1</v>
      </c>
      <c r="C1260" s="2">
        <f>IFERROR(__xludf.DUMMYFUNCTION("""COMPUTED_VALUE"""),545.0)</f>
        <v>545</v>
      </c>
      <c r="D1260" s="3">
        <f>IFERROR(__xludf.DUMMYFUNCTION("""COMPUTED_VALUE"""),477.0)</f>
        <v>477</v>
      </c>
      <c r="E1260" s="1" t="str">
        <f t="array" ref="E1260">_xlfn.XLOOKUP(A1260,Product!A:A,Product!B:B,"Bulunamadı")</f>
        <v>Law</v>
      </c>
      <c r="F1260" s="1" t="str">
        <f t="array" ref="F1260">_xlfn.XLOOKUP(A1260,Product!A:A,Product!C:C,"Bulunamadı")</f>
        <v>World War I</v>
      </c>
      <c r="G1260" s="2" t="str">
        <f t="array" ref="G1260">_xlfn.XLOOKUP(A1261,Product!A:A,Product!D:D,"Bulunamadı")</f>
        <v>Brightwater Publishing</v>
      </c>
      <c r="H1260" s="2">
        <f t="array" ref="H1260">_xlfn.XLOOKUP(A1262,Product!A:A,Product!E:E,"Bulunamadı")</f>
        <v>3.47</v>
      </c>
      <c r="I1260" s="2" t="str">
        <f t="shared" si="1"/>
        <v>114941 - Law - World War I</v>
      </c>
      <c r="J1260" s="2">
        <f t="shared" si="2"/>
        <v>1655.19</v>
      </c>
      <c r="K1260" s="17">
        <f t="shared" si="3"/>
        <v>1</v>
      </c>
      <c r="L1260" s="18"/>
    </row>
    <row r="1261" hidden="1">
      <c r="A1261" s="2">
        <f>IFERROR(__xludf.DUMMYFUNCTION("""COMPUTED_VALUE"""),108473.0)</f>
        <v>108473</v>
      </c>
      <c r="B1261" s="2">
        <f>IFERROR(__xludf.DUMMYFUNCTION("""COMPUTED_VALUE"""),1.0)</f>
        <v>1</v>
      </c>
      <c r="C1261" s="2">
        <f>IFERROR(__xludf.DUMMYFUNCTION("""COMPUTED_VALUE"""),788.0)</f>
        <v>788</v>
      </c>
      <c r="D1261" s="3">
        <f>IFERROR(__xludf.DUMMYFUNCTION("""COMPUTED_VALUE"""),570.0)</f>
        <v>570</v>
      </c>
      <c r="E1261" s="1" t="str">
        <f t="array" ref="E1261">_xlfn.XLOOKUP(A1261,Product!A:A,Product!B:B,"Bulunamadı")</f>
        <v>Law</v>
      </c>
      <c r="F1261" s="1" t="str">
        <f t="array" ref="F1261">_xlfn.XLOOKUP(A1261,Product!A:A,Product!C:C,"Bulunamadı")</f>
        <v>World War I</v>
      </c>
      <c r="G1261" s="2" t="str">
        <f t="array" ref="G1261">_xlfn.XLOOKUP(A1262,Product!A:A,Product!D:D,"Bulunamadı")</f>
        <v>Brightwater Publishing</v>
      </c>
      <c r="H1261" s="2">
        <f t="array" ref="H1261">_xlfn.XLOOKUP(A1263,Product!A:A,Product!E:E,"Bulunamadı")</f>
        <v>2.79</v>
      </c>
      <c r="I1261" s="2" t="str">
        <f t="shared" si="1"/>
        <v>108473 - Law - World War I</v>
      </c>
      <c r="J1261" s="2">
        <f t="shared" si="2"/>
        <v>1590.3</v>
      </c>
      <c r="K1261" s="17">
        <f t="shared" si="3"/>
        <v>1</v>
      </c>
      <c r="L1261" s="18"/>
    </row>
    <row r="1262" hidden="1">
      <c r="A1262" s="2">
        <f>IFERROR(__xludf.DUMMYFUNCTION("""COMPUTED_VALUE"""),90968.0)</f>
        <v>90968</v>
      </c>
      <c r="B1262" s="2">
        <f>IFERROR(__xludf.DUMMYFUNCTION("""COMPUTED_VALUE"""),1.0)</f>
        <v>1</v>
      </c>
      <c r="C1262" s="2">
        <f>IFERROR(__xludf.DUMMYFUNCTION("""COMPUTED_VALUE"""),57.0)</f>
        <v>57</v>
      </c>
      <c r="D1262" s="3">
        <f>IFERROR(__xludf.DUMMYFUNCTION("""COMPUTED_VALUE"""),0.0)</f>
        <v>0</v>
      </c>
      <c r="E1262" s="1" t="str">
        <f t="array" ref="E1262">_xlfn.XLOOKUP(A1262,Product!A:A,Product!B:B,"Bulunamadı")</f>
        <v>Law</v>
      </c>
      <c r="F1262" s="1" t="str">
        <f t="array" ref="F1262">_xlfn.XLOOKUP(A1262,Product!A:A,Product!C:C,"Bulunamadı")</f>
        <v>World War I</v>
      </c>
      <c r="G1262" s="2" t="str">
        <f t="array" ref="G1262">_xlfn.XLOOKUP(A1263,Product!A:A,Product!D:D,"Bulunamadı")</f>
        <v>Brightwater Publishing</v>
      </c>
      <c r="H1262" s="2">
        <f t="array" ref="H1262">_xlfn.XLOOKUP(A1264,Product!A:A,Product!E:E,"Bulunamadı")</f>
        <v>3.4</v>
      </c>
      <c r="I1262" s="2" t="str">
        <f t="shared" si="1"/>
        <v>90968 - Law - World War I</v>
      </c>
      <c r="J1262" s="2">
        <f t="shared" si="2"/>
        <v>0</v>
      </c>
      <c r="K1262" s="17">
        <f t="shared" si="3"/>
        <v>0</v>
      </c>
      <c r="L1262" s="18"/>
    </row>
    <row r="1263" hidden="1">
      <c r="A1263" s="2">
        <f>IFERROR(__xludf.DUMMYFUNCTION("""COMPUTED_VALUE"""),114929.0)</f>
        <v>114929</v>
      </c>
      <c r="B1263" s="2">
        <f>IFERROR(__xludf.DUMMYFUNCTION("""COMPUTED_VALUE"""),0.0)</f>
        <v>0</v>
      </c>
      <c r="C1263" s="2">
        <f>IFERROR(__xludf.DUMMYFUNCTION("""COMPUTED_VALUE"""),282.0)</f>
        <v>282</v>
      </c>
      <c r="D1263" s="3">
        <f>IFERROR(__xludf.DUMMYFUNCTION("""COMPUTED_VALUE"""),61.0)</f>
        <v>61</v>
      </c>
      <c r="E1263" s="1" t="str">
        <f t="array" ref="E1263">_xlfn.XLOOKUP(A1263,Product!A:A,Product!B:B,"Bulunamadı")</f>
        <v>Law</v>
      </c>
      <c r="F1263" s="1" t="str">
        <f t="array" ref="F1263">_xlfn.XLOOKUP(A1263,Product!A:A,Product!C:C,"Bulunamadı")</f>
        <v>World War I</v>
      </c>
      <c r="G1263" s="2" t="str">
        <f t="array" ref="G1263">_xlfn.XLOOKUP(A1264,Product!A:A,Product!D:D,"Bulunamadı")</f>
        <v>Brightwater Publishing</v>
      </c>
      <c r="H1263" s="2">
        <f t="array" ref="H1263">_xlfn.XLOOKUP(A1265,Product!A:A,Product!E:E,"Bulunamadı")</f>
        <v>2.32</v>
      </c>
      <c r="I1263" s="2" t="str">
        <f t="shared" si="1"/>
        <v>114929 - Law - World War I</v>
      </c>
      <c r="J1263" s="2">
        <f t="shared" si="2"/>
        <v>141.52</v>
      </c>
      <c r="K1263" s="17">
        <f t="shared" si="3"/>
        <v>1</v>
      </c>
      <c r="L1263" s="18"/>
    </row>
    <row r="1264" hidden="1">
      <c r="A1264" s="2">
        <f>IFERROR(__xludf.DUMMYFUNCTION("""COMPUTED_VALUE"""),68868.0)</f>
        <v>68868</v>
      </c>
      <c r="B1264" s="2">
        <f>IFERROR(__xludf.DUMMYFUNCTION("""COMPUTED_VALUE"""),0.0)</f>
        <v>0</v>
      </c>
      <c r="C1264" s="2">
        <f>IFERROR(__xludf.DUMMYFUNCTION("""COMPUTED_VALUE"""),771.0)</f>
        <v>771</v>
      </c>
      <c r="D1264" s="3">
        <f>IFERROR(__xludf.DUMMYFUNCTION("""COMPUTED_VALUE"""),545.0)</f>
        <v>545</v>
      </c>
      <c r="E1264" s="1" t="str">
        <f t="array" ref="E1264">_xlfn.XLOOKUP(A1264,Product!A:A,Product!B:B,"Bulunamadı")</f>
        <v>Law</v>
      </c>
      <c r="F1264" s="1" t="str">
        <f t="array" ref="F1264">_xlfn.XLOOKUP(A1264,Product!A:A,Product!C:C,"Bulunamadı")</f>
        <v>World War I</v>
      </c>
      <c r="G1264" s="2" t="str">
        <f t="array" ref="G1264">_xlfn.XLOOKUP(A1265,Product!A:A,Product!D:D,"Bulunamadı")</f>
        <v>Brightwater Publishing</v>
      </c>
      <c r="H1264" s="2">
        <f t="array" ref="H1264">_xlfn.XLOOKUP(A1266,Product!A:A,Product!E:E,"Bulunamadı")</f>
        <v>3.27</v>
      </c>
      <c r="I1264" s="2" t="str">
        <f t="shared" si="1"/>
        <v>68868 - Law - World War I</v>
      </c>
      <c r="J1264" s="2">
        <f t="shared" si="2"/>
        <v>1782.15</v>
      </c>
      <c r="K1264" s="17">
        <f t="shared" si="3"/>
        <v>1</v>
      </c>
      <c r="L1264" s="18"/>
    </row>
    <row r="1265" hidden="1">
      <c r="A1265" s="2">
        <f>IFERROR(__xludf.DUMMYFUNCTION("""COMPUTED_VALUE"""),103831.0)</f>
        <v>103831</v>
      </c>
      <c r="B1265" s="2">
        <f>IFERROR(__xludf.DUMMYFUNCTION("""COMPUTED_VALUE"""),0.0)</f>
        <v>0</v>
      </c>
      <c r="C1265" s="2">
        <f>IFERROR(__xludf.DUMMYFUNCTION("""COMPUTED_VALUE"""),743.0)</f>
        <v>743</v>
      </c>
      <c r="D1265" s="3">
        <f>IFERROR(__xludf.DUMMYFUNCTION("""COMPUTED_VALUE"""),617.0)</f>
        <v>617</v>
      </c>
      <c r="E1265" s="1" t="str">
        <f t="array" ref="E1265">_xlfn.XLOOKUP(A1265,Product!A:A,Product!B:B,"Bulunamadı")</f>
        <v>Law</v>
      </c>
      <c r="F1265" s="1" t="str">
        <f t="array" ref="F1265">_xlfn.XLOOKUP(A1265,Product!A:A,Product!C:C,"Bulunamadı")</f>
        <v>World War I</v>
      </c>
      <c r="G1265" s="2" t="str">
        <f t="array" ref="G1265">_xlfn.XLOOKUP(A1266,Product!A:A,Product!D:D,"Bulunamadı")</f>
        <v>Brightwater Publishing</v>
      </c>
      <c r="H1265" s="2">
        <f t="array" ref="H1265">_xlfn.XLOOKUP(A1267,Product!A:A,Product!E:E,"Bulunamadı")</f>
        <v>1.79</v>
      </c>
      <c r="I1265" s="2" t="str">
        <f t="shared" si="1"/>
        <v>103831 - Law - World War I</v>
      </c>
      <c r="J1265" s="2">
        <f t="shared" si="2"/>
        <v>1104.43</v>
      </c>
      <c r="K1265" s="17">
        <f t="shared" si="3"/>
        <v>1</v>
      </c>
      <c r="L1265" s="18"/>
    </row>
    <row r="1266" hidden="1">
      <c r="A1266" s="2">
        <f>IFERROR(__xludf.DUMMYFUNCTION("""COMPUTED_VALUE"""),83272.0)</f>
        <v>83272</v>
      </c>
      <c r="B1266" s="2">
        <f>IFERROR(__xludf.DUMMYFUNCTION("""COMPUTED_VALUE"""),1.0)</f>
        <v>1</v>
      </c>
      <c r="C1266" s="2">
        <f>IFERROR(__xludf.DUMMYFUNCTION("""COMPUTED_VALUE"""),124.0)</f>
        <v>124</v>
      </c>
      <c r="D1266" s="3">
        <f>IFERROR(__xludf.DUMMYFUNCTION("""COMPUTED_VALUE"""),64.0)</f>
        <v>64</v>
      </c>
      <c r="E1266" s="1" t="str">
        <f t="array" ref="E1266">_xlfn.XLOOKUP(A1266,Product!A:A,Product!B:B,"Bulunamadı")</f>
        <v>Law</v>
      </c>
      <c r="F1266" s="1" t="str">
        <f t="array" ref="F1266">_xlfn.XLOOKUP(A1266,Product!A:A,Product!C:C,"Bulunamadı")</f>
        <v>World War I</v>
      </c>
      <c r="G1266" s="2" t="str">
        <f t="array" ref="G1266">_xlfn.XLOOKUP(A1267,Product!A:A,Product!D:D,"Bulunamadı")</f>
        <v>Brightwater Publishing</v>
      </c>
      <c r="H1266" s="2">
        <f t="array" ref="H1266">_xlfn.XLOOKUP(A1268,Product!A:A,Product!E:E,"Bulunamadı")</f>
        <v>7.49</v>
      </c>
      <c r="I1266" s="2" t="str">
        <f t="shared" si="1"/>
        <v>83272 - Law - World War I</v>
      </c>
      <c r="J1266" s="2">
        <f t="shared" si="2"/>
        <v>479.36</v>
      </c>
      <c r="K1266" s="17">
        <f t="shared" si="3"/>
        <v>1</v>
      </c>
      <c r="L1266" s="18"/>
    </row>
    <row r="1267" hidden="1">
      <c r="A1267" s="2">
        <f>IFERROR(__xludf.DUMMYFUNCTION("""COMPUTED_VALUE"""),120046.0)</f>
        <v>120046</v>
      </c>
      <c r="B1267" s="2">
        <f>IFERROR(__xludf.DUMMYFUNCTION("""COMPUTED_VALUE"""),1.0)</f>
        <v>1</v>
      </c>
      <c r="C1267" s="2">
        <f>IFERROR(__xludf.DUMMYFUNCTION("""COMPUTED_VALUE"""),734.0)</f>
        <v>734</v>
      </c>
      <c r="D1267" s="3">
        <f>IFERROR(__xludf.DUMMYFUNCTION("""COMPUTED_VALUE"""),302.0)</f>
        <v>302</v>
      </c>
      <c r="E1267" s="1" t="str">
        <f t="array" ref="E1267">_xlfn.XLOOKUP(A1267,Product!A:A,Product!B:B,"Bulunamadı")</f>
        <v>Law</v>
      </c>
      <c r="F1267" s="1" t="str">
        <f t="array" ref="F1267">_xlfn.XLOOKUP(A1267,Product!A:A,Product!C:C,"Bulunamadı")</f>
        <v>World War I</v>
      </c>
      <c r="G1267" s="2" t="str">
        <f t="array" ref="G1267">_xlfn.XLOOKUP(A1268,Product!A:A,Product!D:D,"Bulunamadı")</f>
        <v>Old Harbor Books</v>
      </c>
      <c r="H1267" s="2">
        <f t="array" ref="H1267">_xlfn.XLOOKUP(A1269,Product!A:A,Product!E:E,"Bulunamadı")</f>
        <v>5.37</v>
      </c>
      <c r="I1267" s="2" t="str">
        <f t="shared" si="1"/>
        <v>120046 - Law - World War I</v>
      </c>
      <c r="J1267" s="2">
        <f t="shared" si="2"/>
        <v>1621.74</v>
      </c>
      <c r="K1267" s="17">
        <f t="shared" si="3"/>
        <v>1</v>
      </c>
      <c r="L1267" s="18"/>
    </row>
    <row r="1268" hidden="1">
      <c r="A1268" s="2">
        <f>IFERROR(__xludf.DUMMYFUNCTION("""COMPUTED_VALUE"""),181989.0)</f>
        <v>181989</v>
      </c>
      <c r="B1268" s="2">
        <f>IFERROR(__xludf.DUMMYFUNCTION("""COMPUTED_VALUE"""),1.0)</f>
        <v>1</v>
      </c>
      <c r="C1268" s="2">
        <f>IFERROR(__xludf.DUMMYFUNCTION("""COMPUTED_VALUE"""),227.0)</f>
        <v>227</v>
      </c>
      <c r="D1268" s="3">
        <f>IFERROR(__xludf.DUMMYFUNCTION("""COMPUTED_VALUE"""),204.0)</f>
        <v>204</v>
      </c>
      <c r="E1268" s="1" t="str">
        <f t="array" ref="E1268">_xlfn.XLOOKUP(A1268,Product!A:A,Product!B:B,"Bulunamadı")</f>
        <v>Finance</v>
      </c>
      <c r="F1268" s="1" t="str">
        <f t="array" ref="F1268">_xlfn.XLOOKUP(A1268,Product!A:A,Product!C:C,"Bulunamadı")</f>
        <v>World War II</v>
      </c>
      <c r="G1268" s="2" t="str">
        <f t="array" ref="G1268">_xlfn.XLOOKUP(A1269,Product!A:A,Product!D:D,"Bulunamadı")</f>
        <v>Redwood Ridge Press</v>
      </c>
      <c r="H1268" s="2">
        <f t="array" ref="H1268">_xlfn.XLOOKUP(A1270,Product!A:A,Product!E:E,"Bulunamadı")</f>
        <v>8.9</v>
      </c>
      <c r="I1268" s="2" t="str">
        <f t="shared" si="1"/>
        <v>181989 - Finance - World War II</v>
      </c>
      <c r="J1268" s="2">
        <f t="shared" si="2"/>
        <v>1815.6</v>
      </c>
      <c r="K1268" s="17">
        <f t="shared" si="3"/>
        <v>1</v>
      </c>
      <c r="L1268" s="18"/>
    </row>
    <row r="1269" hidden="1">
      <c r="A1269" s="2">
        <f>IFERROR(__xludf.DUMMYFUNCTION("""COMPUTED_VALUE"""),84359.0)</f>
        <v>84359</v>
      </c>
      <c r="B1269" s="2">
        <f>IFERROR(__xludf.DUMMYFUNCTION("""COMPUTED_VALUE"""),0.0)</f>
        <v>0</v>
      </c>
      <c r="C1269" s="2">
        <f>IFERROR(__xludf.DUMMYFUNCTION("""COMPUTED_VALUE"""),290.0)</f>
        <v>290</v>
      </c>
      <c r="D1269" s="3">
        <f>IFERROR(__xludf.DUMMYFUNCTION("""COMPUTED_VALUE"""),89.0)</f>
        <v>89</v>
      </c>
      <c r="E1269" s="1" t="str">
        <f t="array" ref="E1269">_xlfn.XLOOKUP(A1269,Product!A:A,Product!B:B,"Bulunamadı")</f>
        <v>Finance</v>
      </c>
      <c r="F1269" s="1" t="str">
        <f t="array" ref="F1269">_xlfn.XLOOKUP(A1269,Product!A:A,Product!C:C,"Bulunamadı")</f>
        <v>World War II</v>
      </c>
      <c r="G1269" s="2" t="str">
        <f t="array" ref="G1269">_xlfn.XLOOKUP(A1270,Product!A:A,Product!D:D,"Bulunamadı")</f>
        <v>Redwood Ridge Press</v>
      </c>
      <c r="H1269" s="2">
        <f t="array" ref="H1269">_xlfn.XLOOKUP(A1271,Product!A:A,Product!E:E,"Bulunamadı")</f>
        <v>4.54</v>
      </c>
      <c r="I1269" s="2" t="str">
        <f t="shared" si="1"/>
        <v>84359 - Finance - World War II</v>
      </c>
      <c r="J1269" s="2">
        <f t="shared" si="2"/>
        <v>404.06</v>
      </c>
      <c r="K1269" s="17">
        <f t="shared" si="3"/>
        <v>1</v>
      </c>
      <c r="L1269" s="18"/>
    </row>
    <row r="1270" hidden="1">
      <c r="A1270" s="2">
        <f>IFERROR(__xludf.DUMMYFUNCTION("""COMPUTED_VALUE"""),102939.0)</f>
        <v>102939</v>
      </c>
      <c r="B1270" s="2">
        <f>IFERROR(__xludf.DUMMYFUNCTION("""COMPUTED_VALUE"""),1.0)</f>
        <v>1</v>
      </c>
      <c r="C1270" s="2">
        <f>IFERROR(__xludf.DUMMYFUNCTION("""COMPUTED_VALUE"""),499.0)</f>
        <v>499</v>
      </c>
      <c r="D1270" s="3">
        <f>IFERROR(__xludf.DUMMYFUNCTION("""COMPUTED_VALUE"""),146.0)</f>
        <v>146</v>
      </c>
      <c r="E1270" s="1" t="str">
        <f t="array" ref="E1270">_xlfn.XLOOKUP(A1270,Product!A:A,Product!B:B,"Bulunamadı")</f>
        <v>Finance</v>
      </c>
      <c r="F1270" s="1" t="str">
        <f t="array" ref="F1270">_xlfn.XLOOKUP(A1270,Product!A:A,Product!C:C,"Bulunamadı")</f>
        <v>World War II</v>
      </c>
      <c r="G1270" s="2" t="str">
        <f t="array" ref="G1270">_xlfn.XLOOKUP(A1271,Product!A:A,Product!D:D,"Bulunamadı")</f>
        <v>Redwood Ridge Press</v>
      </c>
      <c r="H1270" s="2">
        <f t="array" ref="H1270">_xlfn.XLOOKUP(A1272,Product!A:A,Product!E:E,"Bulunamadı")</f>
        <v>6.3</v>
      </c>
      <c r="I1270" s="2" t="str">
        <f t="shared" si="1"/>
        <v>102939 - Finance - World War II</v>
      </c>
      <c r="J1270" s="2">
        <f t="shared" si="2"/>
        <v>919.8</v>
      </c>
      <c r="K1270" s="17">
        <f t="shared" si="3"/>
        <v>1</v>
      </c>
      <c r="L1270" s="18"/>
    </row>
    <row r="1271" hidden="1">
      <c r="A1271" s="2">
        <f>IFERROR(__xludf.DUMMYFUNCTION("""COMPUTED_VALUE"""),111504.0)</f>
        <v>111504</v>
      </c>
      <c r="B1271" s="2">
        <f>IFERROR(__xludf.DUMMYFUNCTION("""COMPUTED_VALUE"""),1.0)</f>
        <v>1</v>
      </c>
      <c r="C1271" s="2">
        <f>IFERROR(__xludf.DUMMYFUNCTION("""COMPUTED_VALUE"""),27.0)</f>
        <v>27</v>
      </c>
      <c r="D1271" s="3">
        <f>IFERROR(__xludf.DUMMYFUNCTION("""COMPUTED_VALUE"""),25.0)</f>
        <v>25</v>
      </c>
      <c r="E1271" s="1" t="str">
        <f t="array" ref="E1271">_xlfn.XLOOKUP(A1271,Product!A:A,Product!B:B,"Bulunamadı")</f>
        <v>Finance</v>
      </c>
      <c r="F1271" s="1" t="str">
        <f t="array" ref="F1271">_xlfn.XLOOKUP(A1271,Product!A:A,Product!C:C,"Bulunamadı")</f>
        <v>World War II</v>
      </c>
      <c r="G1271" s="2" t="str">
        <f t="array" ref="G1271">_xlfn.XLOOKUP(A1272,Product!A:A,Product!D:D,"Bulunamadı")</f>
        <v>Redwood Ridge Press</v>
      </c>
      <c r="H1271" s="2">
        <f t="array" ref="H1271">_xlfn.XLOOKUP(A1273,Product!A:A,Product!E:E,"Bulunamadı")</f>
        <v>1.92</v>
      </c>
      <c r="I1271" s="2" t="str">
        <f t="shared" si="1"/>
        <v>111504 - Finance - World War II</v>
      </c>
      <c r="J1271" s="2">
        <f t="shared" si="2"/>
        <v>48</v>
      </c>
      <c r="K1271" s="17">
        <f t="shared" si="3"/>
        <v>1</v>
      </c>
      <c r="L1271" s="18"/>
    </row>
    <row r="1272" hidden="1">
      <c r="A1272" s="2">
        <f>IFERROR(__xludf.DUMMYFUNCTION("""COMPUTED_VALUE"""),75678.0)</f>
        <v>75678</v>
      </c>
      <c r="B1272" s="2">
        <f>IFERROR(__xludf.DUMMYFUNCTION("""COMPUTED_VALUE"""),1.0)</f>
        <v>1</v>
      </c>
      <c r="C1272" s="2">
        <f>IFERROR(__xludf.DUMMYFUNCTION("""COMPUTED_VALUE"""),441.0)</f>
        <v>441</v>
      </c>
      <c r="D1272" s="3">
        <f>IFERROR(__xludf.DUMMYFUNCTION("""COMPUTED_VALUE"""),227.0)</f>
        <v>227</v>
      </c>
      <c r="E1272" s="1" t="str">
        <f t="array" ref="E1272">_xlfn.XLOOKUP(A1272,Product!A:A,Product!B:B,"Bulunamadı")</f>
        <v>Finance</v>
      </c>
      <c r="F1272" s="1" t="str">
        <f t="array" ref="F1272">_xlfn.XLOOKUP(A1272,Product!A:A,Product!C:C,"Bulunamadı")</f>
        <v>World War II</v>
      </c>
      <c r="G1272" s="2" t="str">
        <f t="array" ref="G1272">_xlfn.XLOOKUP(A1273,Product!A:A,Product!D:D,"Bulunamadı")</f>
        <v>Redwood Ridge Press</v>
      </c>
      <c r="H1272" s="2">
        <f t="array" ref="H1272">_xlfn.XLOOKUP(A1274,Product!A:A,Product!E:E,"Bulunamadı")</f>
        <v>5.15</v>
      </c>
      <c r="I1272" s="2" t="str">
        <f t="shared" si="1"/>
        <v>75678 - Finance - World War II</v>
      </c>
      <c r="J1272" s="2">
        <f t="shared" si="2"/>
        <v>1169.05</v>
      </c>
      <c r="K1272" s="17">
        <f t="shared" si="3"/>
        <v>1</v>
      </c>
      <c r="L1272" s="18"/>
    </row>
    <row r="1273" hidden="1">
      <c r="A1273" s="2">
        <f>IFERROR(__xludf.DUMMYFUNCTION("""COMPUTED_VALUE"""),79005.0)</f>
        <v>79005</v>
      </c>
      <c r="B1273" s="2">
        <f>IFERROR(__xludf.DUMMYFUNCTION("""COMPUTED_VALUE"""),1.0)</f>
        <v>1</v>
      </c>
      <c r="C1273" s="2">
        <f>IFERROR(__xludf.DUMMYFUNCTION("""COMPUTED_VALUE"""),206.0)</f>
        <v>206</v>
      </c>
      <c r="D1273" s="3">
        <f>IFERROR(__xludf.DUMMYFUNCTION("""COMPUTED_VALUE"""),112.0)</f>
        <v>112</v>
      </c>
      <c r="E1273" s="1" t="str">
        <f t="array" ref="E1273">_xlfn.XLOOKUP(A1273,Product!A:A,Product!B:B,"Bulunamadı")</f>
        <v>Finance</v>
      </c>
      <c r="F1273" s="1" t="str">
        <f t="array" ref="F1273">_xlfn.XLOOKUP(A1273,Product!A:A,Product!C:C,"Bulunamadı")</f>
        <v>World War II</v>
      </c>
      <c r="G1273" s="2" t="str">
        <f t="array" ref="G1273">_xlfn.XLOOKUP(A1274,Product!A:A,Product!D:D,"Bulunamadı")</f>
        <v>Redwood Ridge Press</v>
      </c>
      <c r="H1273" s="2">
        <f t="array" ref="H1273">_xlfn.XLOOKUP(A1275,Product!A:A,Product!E:E,"Bulunamadı")</f>
        <v>11.43</v>
      </c>
      <c r="I1273" s="2" t="str">
        <f t="shared" si="1"/>
        <v>79005 - Finance - World War II</v>
      </c>
      <c r="J1273" s="2">
        <f t="shared" si="2"/>
        <v>1280.16</v>
      </c>
      <c r="K1273" s="17">
        <f t="shared" si="3"/>
        <v>1</v>
      </c>
      <c r="L1273" s="18"/>
    </row>
    <row r="1274" hidden="1">
      <c r="A1274" s="2">
        <f>IFERROR(__xludf.DUMMYFUNCTION("""COMPUTED_VALUE"""),188360.0)</f>
        <v>188360</v>
      </c>
      <c r="B1274" s="2">
        <f>IFERROR(__xludf.DUMMYFUNCTION("""COMPUTED_VALUE"""),0.0)</f>
        <v>0</v>
      </c>
      <c r="C1274" s="2">
        <f>IFERROR(__xludf.DUMMYFUNCTION("""COMPUTED_VALUE"""),472.0)</f>
        <v>472</v>
      </c>
      <c r="D1274" s="3">
        <f>IFERROR(__xludf.DUMMYFUNCTION("""COMPUTED_VALUE"""),432.0)</f>
        <v>432</v>
      </c>
      <c r="E1274" s="1" t="str">
        <f t="array" ref="E1274">_xlfn.XLOOKUP(A1274,Product!A:A,Product!B:B,"Bulunamadı")</f>
        <v>Finance</v>
      </c>
      <c r="F1274" s="1" t="str">
        <f t="array" ref="F1274">_xlfn.XLOOKUP(A1274,Product!A:A,Product!C:C,"Bulunamadı")</f>
        <v>World War II</v>
      </c>
      <c r="G1274" s="2" t="str">
        <f t="array" ref="G1274">_xlfn.XLOOKUP(A1275,Product!A:A,Product!D:D,"Bulunamadı")</f>
        <v>Skybridge Publishing</v>
      </c>
      <c r="H1274" s="2">
        <f t="array" ref="H1274">_xlfn.XLOOKUP(A1276,Product!A:A,Product!E:E,"Bulunamadı")</f>
        <v>19.3</v>
      </c>
      <c r="I1274" s="2" t="str">
        <f t="shared" si="1"/>
        <v>188360 - Finance - World War II</v>
      </c>
      <c r="J1274" s="2">
        <f t="shared" si="2"/>
        <v>8337.6</v>
      </c>
      <c r="K1274" s="17">
        <f t="shared" si="3"/>
        <v>1</v>
      </c>
      <c r="L1274" s="18"/>
    </row>
    <row r="1275" hidden="1">
      <c r="A1275" s="2">
        <f>IFERROR(__xludf.DUMMYFUNCTION("""COMPUTED_VALUE"""),79695.0)</f>
        <v>79695</v>
      </c>
      <c r="B1275" s="2">
        <f>IFERROR(__xludf.DUMMYFUNCTION("""COMPUTED_VALUE"""),0.0)</f>
        <v>0</v>
      </c>
      <c r="C1275" s="2">
        <f>IFERROR(__xludf.DUMMYFUNCTION("""COMPUTED_VALUE"""),754.0)</f>
        <v>754</v>
      </c>
      <c r="D1275" s="3">
        <f>IFERROR(__xludf.DUMMYFUNCTION("""COMPUTED_VALUE"""),667.0)</f>
        <v>667</v>
      </c>
      <c r="E1275" s="1" t="str">
        <f t="array" ref="E1275">_xlfn.XLOOKUP(A1275,Product!A:A,Product!B:B,"Bulunamadı")</f>
        <v>Self-Help</v>
      </c>
      <c r="F1275" s="1" t="str">
        <f t="array" ref="F1275">_xlfn.XLOOKUP(A1275,Product!A:A,Product!C:C,"Bulunamadı")</f>
        <v>Cold War</v>
      </c>
      <c r="G1275" s="2" t="str">
        <f t="array" ref="G1275">_xlfn.XLOOKUP(A1276,Product!A:A,Product!D:D,"Bulunamadı")</f>
        <v>Skybridge Publishing</v>
      </c>
      <c r="H1275" s="2">
        <f t="array" ref="H1275">_xlfn.XLOOKUP(A1277,Product!A:A,Product!E:E,"Bulunamadı")</f>
        <v>18.23</v>
      </c>
      <c r="I1275" s="2" t="str">
        <f t="shared" si="1"/>
        <v>79695 - Self-Help - Cold War</v>
      </c>
      <c r="J1275" s="2">
        <f t="shared" si="2"/>
        <v>12159.41</v>
      </c>
      <c r="K1275" s="17">
        <f t="shared" si="3"/>
        <v>1</v>
      </c>
      <c r="L1275" s="18"/>
    </row>
    <row r="1276" hidden="1">
      <c r="A1276" s="2">
        <f>IFERROR(__xludf.DUMMYFUNCTION("""COMPUTED_VALUE"""),73768.0)</f>
        <v>73768</v>
      </c>
      <c r="B1276" s="2">
        <f>IFERROR(__xludf.DUMMYFUNCTION("""COMPUTED_VALUE"""),1.0)</f>
        <v>1</v>
      </c>
      <c r="C1276" s="2">
        <f>IFERROR(__xludf.DUMMYFUNCTION("""COMPUTED_VALUE"""),661.0)</f>
        <v>661</v>
      </c>
      <c r="D1276" s="3">
        <f>IFERROR(__xludf.DUMMYFUNCTION("""COMPUTED_VALUE"""),401.0)</f>
        <v>401</v>
      </c>
      <c r="E1276" s="1" t="str">
        <f t="array" ref="E1276">_xlfn.XLOOKUP(A1276,Product!A:A,Product!B:B,"Bulunamadı")</f>
        <v>Self-Help</v>
      </c>
      <c r="F1276" s="1" t="str">
        <f t="array" ref="F1276">_xlfn.XLOOKUP(A1276,Product!A:A,Product!C:C,"Bulunamadı")</f>
        <v>Cold War</v>
      </c>
      <c r="G1276" s="2" t="str">
        <f t="array" ref="G1276">_xlfn.XLOOKUP(A1277,Product!A:A,Product!D:D,"Bulunamadı")</f>
        <v>Skybridge Publishing</v>
      </c>
      <c r="H1276" s="2">
        <f t="array" ref="H1276">_xlfn.XLOOKUP(A1278,Product!A:A,Product!E:E,"Bulunamadı")</f>
        <v>5.64</v>
      </c>
      <c r="I1276" s="2" t="str">
        <f t="shared" si="1"/>
        <v>73768 - Self-Help - Cold War</v>
      </c>
      <c r="J1276" s="2">
        <f t="shared" si="2"/>
        <v>2261.64</v>
      </c>
      <c r="K1276" s="17">
        <f t="shared" si="3"/>
        <v>1</v>
      </c>
      <c r="L1276" s="18"/>
    </row>
    <row r="1277" hidden="1">
      <c r="A1277" s="2">
        <f>IFERROR(__xludf.DUMMYFUNCTION("""COMPUTED_VALUE"""),44663.0)</f>
        <v>44663</v>
      </c>
      <c r="B1277" s="2">
        <f>IFERROR(__xludf.DUMMYFUNCTION("""COMPUTED_VALUE"""),0.0)</f>
        <v>0</v>
      </c>
      <c r="C1277" s="2">
        <f>IFERROR(__xludf.DUMMYFUNCTION("""COMPUTED_VALUE"""),434.0)</f>
        <v>434</v>
      </c>
      <c r="D1277" s="3">
        <f>IFERROR(__xludf.DUMMYFUNCTION("""COMPUTED_VALUE"""),35.0)</f>
        <v>35</v>
      </c>
      <c r="E1277" s="1" t="str">
        <f t="array" ref="E1277">_xlfn.XLOOKUP(A1277,Product!A:A,Product!B:B,"Bulunamadı")</f>
        <v>Self-Help</v>
      </c>
      <c r="F1277" s="1" t="str">
        <f t="array" ref="F1277">_xlfn.XLOOKUP(A1277,Product!A:A,Product!C:C,"Bulunamadı")</f>
        <v>Cold War</v>
      </c>
      <c r="G1277" s="2" t="str">
        <f t="array" ref="G1277">_xlfn.XLOOKUP(A1278,Product!A:A,Product!D:D,"Bulunamadı")</f>
        <v>Skybridge Publishing</v>
      </c>
      <c r="H1277" s="2">
        <f t="array" ref="H1277">_xlfn.XLOOKUP(A1279,Product!A:A,Product!E:E,"Bulunamadı")</f>
        <v>4.55</v>
      </c>
      <c r="I1277" s="2" t="str">
        <f t="shared" si="1"/>
        <v>44663 - Self-Help - Cold War</v>
      </c>
      <c r="J1277" s="2">
        <f t="shared" si="2"/>
        <v>159.25</v>
      </c>
      <c r="K1277" s="17">
        <f t="shared" si="3"/>
        <v>1</v>
      </c>
      <c r="L1277" s="18"/>
    </row>
    <row r="1278" hidden="1">
      <c r="A1278" s="2">
        <f>IFERROR(__xludf.DUMMYFUNCTION("""COMPUTED_VALUE"""),766.0)</f>
        <v>766</v>
      </c>
      <c r="B1278" s="2">
        <f>IFERROR(__xludf.DUMMYFUNCTION("""COMPUTED_VALUE"""),1.0)</f>
        <v>1</v>
      </c>
      <c r="C1278" s="2">
        <f>IFERROR(__xludf.DUMMYFUNCTION("""COMPUTED_VALUE"""),313.0)</f>
        <v>313</v>
      </c>
      <c r="D1278" s="3">
        <f>IFERROR(__xludf.DUMMYFUNCTION("""COMPUTED_VALUE"""),259.0)</f>
        <v>259</v>
      </c>
      <c r="E1278" s="1" t="str">
        <f t="array" ref="E1278">_xlfn.XLOOKUP(A1278,Product!A:A,Product!B:B,"Bulunamadı")</f>
        <v>Self-Help</v>
      </c>
      <c r="F1278" s="1" t="str">
        <f t="array" ref="F1278">_xlfn.XLOOKUP(A1278,Product!A:A,Product!C:C,"Bulunamadı")</f>
        <v>Cold War</v>
      </c>
      <c r="G1278" s="2" t="str">
        <f t="array" ref="G1278">_xlfn.XLOOKUP(A1279,Product!A:A,Product!D:D,"Bulunamadı")</f>
        <v>Aurora Ridge Books</v>
      </c>
      <c r="H1278" s="2">
        <f t="array" ref="H1278">_xlfn.XLOOKUP(A1280,Product!A:A,Product!E:E,"Bulunamadı")</f>
        <v>6.97</v>
      </c>
      <c r="I1278" s="2" t="str">
        <f t="shared" si="1"/>
        <v>766 - Self-Help - Cold War</v>
      </c>
      <c r="J1278" s="2">
        <f t="shared" si="2"/>
        <v>1805.23</v>
      </c>
      <c r="K1278" s="17">
        <f t="shared" si="3"/>
        <v>1</v>
      </c>
      <c r="L1278" s="18"/>
    </row>
    <row r="1279" hidden="1">
      <c r="A1279" s="2">
        <f>IFERROR(__xludf.DUMMYFUNCTION("""COMPUTED_VALUE"""),109961.0)</f>
        <v>109961</v>
      </c>
      <c r="B1279" s="2">
        <f>IFERROR(__xludf.DUMMYFUNCTION("""COMPUTED_VALUE"""),0.0)</f>
        <v>0</v>
      </c>
      <c r="C1279" s="2">
        <f>IFERROR(__xludf.DUMMYFUNCTION("""COMPUTED_VALUE"""),811.0)</f>
        <v>811</v>
      </c>
      <c r="D1279" s="3">
        <f>IFERROR(__xludf.DUMMYFUNCTION("""COMPUTED_VALUE"""),235.0)</f>
        <v>235</v>
      </c>
      <c r="E1279" s="1" t="str">
        <f t="array" ref="E1279">_xlfn.XLOOKUP(A1279,Product!A:A,Product!B:B,"Bulunamadı")</f>
        <v>Fiction</v>
      </c>
      <c r="F1279" s="1" t="str">
        <f t="array" ref="F1279">_xlfn.XLOOKUP(A1279,Product!A:A,Product!C:C,"Bulunamadı")</f>
        <v>Military History</v>
      </c>
      <c r="G1279" s="2" t="str">
        <f t="array" ref="G1279">_xlfn.XLOOKUP(A1280,Product!A:A,Product!D:D,"Bulunamadı")</f>
        <v>Aurora Ridge Books</v>
      </c>
      <c r="H1279" s="2">
        <f t="array" ref="H1279">_xlfn.XLOOKUP(A1281,Product!A:A,Product!E:E,"Bulunamadı")</f>
        <v>4.33</v>
      </c>
      <c r="I1279" s="2" t="str">
        <f t="shared" si="1"/>
        <v>109961 - Fiction - Military History</v>
      </c>
      <c r="J1279" s="2">
        <f t="shared" si="2"/>
        <v>1017.55</v>
      </c>
      <c r="K1279" s="17">
        <f t="shared" si="3"/>
        <v>1</v>
      </c>
      <c r="L1279" s="18"/>
    </row>
    <row r="1280" hidden="1">
      <c r="A1280" s="2">
        <f>IFERROR(__xludf.DUMMYFUNCTION("""COMPUTED_VALUE"""),109932.0)</f>
        <v>109932</v>
      </c>
      <c r="B1280" s="2">
        <f>IFERROR(__xludf.DUMMYFUNCTION("""COMPUTED_VALUE"""),0.0)</f>
        <v>0</v>
      </c>
      <c r="C1280" s="2">
        <f>IFERROR(__xludf.DUMMYFUNCTION("""COMPUTED_VALUE"""),836.0)</f>
        <v>836</v>
      </c>
      <c r="D1280" s="3">
        <f>IFERROR(__xludf.DUMMYFUNCTION("""COMPUTED_VALUE"""),90.0)</f>
        <v>90</v>
      </c>
      <c r="E1280" s="1" t="str">
        <f t="array" ref="E1280">_xlfn.XLOOKUP(A1280,Product!A:A,Product!B:B,"Bulunamadı")</f>
        <v>Fiction</v>
      </c>
      <c r="F1280" s="1" t="str">
        <f t="array" ref="F1280">_xlfn.XLOOKUP(A1280,Product!A:A,Product!C:C,"Bulunamadı")</f>
        <v>Military History</v>
      </c>
      <c r="G1280" s="2" t="str">
        <f t="array" ref="G1280">_xlfn.XLOOKUP(A1281,Product!A:A,Product!D:D,"Bulunamadı")</f>
        <v>Aurora Ridge Books</v>
      </c>
      <c r="H1280" s="2">
        <f t="array" ref="H1280">_xlfn.XLOOKUP(A1282,Product!A:A,Product!E:E,"Bulunamadı")</f>
        <v>4.54</v>
      </c>
      <c r="I1280" s="2" t="str">
        <f t="shared" si="1"/>
        <v>109932 - Fiction - Military History</v>
      </c>
      <c r="J1280" s="2">
        <f t="shared" si="2"/>
        <v>408.6</v>
      </c>
      <c r="K1280" s="17">
        <f t="shared" si="3"/>
        <v>1</v>
      </c>
      <c r="L1280" s="18"/>
    </row>
    <row r="1281" hidden="1">
      <c r="A1281" s="2">
        <f>IFERROR(__xludf.DUMMYFUNCTION("""COMPUTED_VALUE"""),109956.0)</f>
        <v>109956</v>
      </c>
      <c r="B1281" s="2">
        <f>IFERROR(__xludf.DUMMYFUNCTION("""COMPUTED_VALUE"""),1.0)</f>
        <v>1</v>
      </c>
      <c r="C1281" s="2">
        <f>IFERROR(__xludf.DUMMYFUNCTION("""COMPUTED_VALUE"""),339.0)</f>
        <v>339</v>
      </c>
      <c r="D1281" s="3">
        <f>IFERROR(__xludf.DUMMYFUNCTION("""COMPUTED_VALUE"""),75.0)</f>
        <v>75</v>
      </c>
      <c r="E1281" s="1" t="str">
        <f t="array" ref="E1281">_xlfn.XLOOKUP(A1281,Product!A:A,Product!B:B,"Bulunamadı")</f>
        <v>Fiction</v>
      </c>
      <c r="F1281" s="1" t="str">
        <f t="array" ref="F1281">_xlfn.XLOOKUP(A1281,Product!A:A,Product!C:C,"Bulunamadı")</f>
        <v>Military History</v>
      </c>
      <c r="G1281" s="2" t="str">
        <f t="array" ref="G1281">_xlfn.XLOOKUP(A1282,Product!A:A,Product!D:D,"Bulunamadı")</f>
        <v>Aurora Ridge Books</v>
      </c>
      <c r="H1281" s="2">
        <f t="array" ref="H1281">_xlfn.XLOOKUP(A1283,Product!A:A,Product!E:E,"Bulunamadı")</f>
        <v>2.77</v>
      </c>
      <c r="I1281" s="2" t="str">
        <f t="shared" si="1"/>
        <v>109956 - Fiction - Military History</v>
      </c>
      <c r="J1281" s="2">
        <f t="shared" si="2"/>
        <v>207.75</v>
      </c>
      <c r="K1281" s="17">
        <f t="shared" si="3"/>
        <v>1</v>
      </c>
      <c r="L1281" s="18"/>
    </row>
    <row r="1282" hidden="1">
      <c r="A1282" s="2">
        <f>IFERROR(__xludf.DUMMYFUNCTION("""COMPUTED_VALUE"""),109962.0)</f>
        <v>109962</v>
      </c>
      <c r="B1282" s="2">
        <f>IFERROR(__xludf.DUMMYFUNCTION("""COMPUTED_VALUE"""),1.0)</f>
        <v>1</v>
      </c>
      <c r="C1282" s="2">
        <f>IFERROR(__xludf.DUMMYFUNCTION("""COMPUTED_VALUE"""),286.0)</f>
        <v>286</v>
      </c>
      <c r="D1282" s="3">
        <f>IFERROR(__xludf.DUMMYFUNCTION("""COMPUTED_VALUE"""),122.0)</f>
        <v>122</v>
      </c>
      <c r="E1282" s="1" t="str">
        <f t="array" ref="E1282">_xlfn.XLOOKUP(A1282,Product!A:A,Product!B:B,"Bulunamadı")</f>
        <v>Fiction</v>
      </c>
      <c r="F1282" s="1" t="str">
        <f t="array" ref="F1282">_xlfn.XLOOKUP(A1282,Product!A:A,Product!C:C,"Bulunamadı")</f>
        <v>Military History</v>
      </c>
      <c r="G1282" s="2" t="str">
        <f t="array" ref="G1282">_xlfn.XLOOKUP(A1283,Product!A:A,Product!D:D,"Bulunamadı")</f>
        <v>Aurora Ridge Books</v>
      </c>
      <c r="H1282" s="2">
        <f t="array" ref="H1282">_xlfn.XLOOKUP(A1284,Product!A:A,Product!E:E,"Bulunamadı")</f>
        <v>3.63</v>
      </c>
      <c r="I1282" s="2" t="str">
        <f t="shared" si="1"/>
        <v>109962 - Fiction - Military History</v>
      </c>
      <c r="J1282" s="2">
        <f t="shared" si="2"/>
        <v>442.86</v>
      </c>
      <c r="K1282" s="17">
        <f t="shared" si="3"/>
        <v>1</v>
      </c>
      <c r="L1282" s="18"/>
    </row>
    <row r="1283" hidden="1">
      <c r="A1283" s="2">
        <f>IFERROR(__xludf.DUMMYFUNCTION("""COMPUTED_VALUE"""),101622.0)</f>
        <v>101622</v>
      </c>
      <c r="B1283" s="2">
        <f>IFERROR(__xludf.DUMMYFUNCTION("""COMPUTED_VALUE"""),1.0)</f>
        <v>1</v>
      </c>
      <c r="C1283" s="2">
        <f>IFERROR(__xludf.DUMMYFUNCTION("""COMPUTED_VALUE"""),765.0)</f>
        <v>765</v>
      </c>
      <c r="D1283" s="3">
        <f>IFERROR(__xludf.DUMMYFUNCTION("""COMPUTED_VALUE"""),661.0)</f>
        <v>661</v>
      </c>
      <c r="E1283" s="1" t="str">
        <f t="array" ref="E1283">_xlfn.XLOOKUP(A1283,Product!A:A,Product!B:B,"Bulunamadı")</f>
        <v>Fiction</v>
      </c>
      <c r="F1283" s="1" t="str">
        <f t="array" ref="F1283">_xlfn.XLOOKUP(A1283,Product!A:A,Product!C:C,"Bulunamadı")</f>
        <v>Military History</v>
      </c>
      <c r="G1283" s="2" t="str">
        <f t="array" ref="G1283">_xlfn.XLOOKUP(A1284,Product!A:A,Product!D:D,"Bulunamadı")</f>
        <v>Aurora Ridge Books</v>
      </c>
      <c r="H1283" s="2">
        <f t="array" ref="H1283">_xlfn.XLOOKUP(A1285,Product!A:A,Product!E:E,"Bulunamadı")</f>
        <v>3.32</v>
      </c>
      <c r="I1283" s="2" t="str">
        <f t="shared" si="1"/>
        <v>101622 - Fiction - Military History</v>
      </c>
      <c r="J1283" s="2">
        <f t="shared" si="2"/>
        <v>2194.52</v>
      </c>
      <c r="K1283" s="17">
        <f t="shared" si="3"/>
        <v>1</v>
      </c>
      <c r="L1283" s="18"/>
    </row>
    <row r="1284" hidden="1">
      <c r="A1284" s="2">
        <f>IFERROR(__xludf.DUMMYFUNCTION("""COMPUTED_VALUE"""),101623.0)</f>
        <v>101623</v>
      </c>
      <c r="B1284" s="2">
        <f>IFERROR(__xludf.DUMMYFUNCTION("""COMPUTED_VALUE"""),1.0)</f>
        <v>1</v>
      </c>
      <c r="C1284" s="2">
        <f>IFERROR(__xludf.DUMMYFUNCTION("""COMPUTED_VALUE"""),947.0)</f>
        <v>947</v>
      </c>
      <c r="D1284" s="3">
        <f>IFERROR(__xludf.DUMMYFUNCTION("""COMPUTED_VALUE"""),599.0)</f>
        <v>599</v>
      </c>
      <c r="E1284" s="1" t="str">
        <f t="array" ref="E1284">_xlfn.XLOOKUP(A1284,Product!A:A,Product!B:B,"Bulunamadı")</f>
        <v>Fiction</v>
      </c>
      <c r="F1284" s="1" t="str">
        <f t="array" ref="F1284">_xlfn.XLOOKUP(A1284,Product!A:A,Product!C:C,"Bulunamadı")</f>
        <v>Military History</v>
      </c>
      <c r="G1284" s="2" t="str">
        <f t="array" ref="G1284">_xlfn.XLOOKUP(A1285,Product!A:A,Product!D:D,"Bulunamadı")</f>
        <v>Aurora Ridge Books</v>
      </c>
      <c r="H1284" s="2">
        <f t="array" ref="H1284">_xlfn.XLOOKUP(A1286,Product!A:A,Product!E:E,"Bulunamadı")</f>
        <v>5.38</v>
      </c>
      <c r="I1284" s="2" t="str">
        <f t="shared" si="1"/>
        <v>101623 - Fiction - Military History</v>
      </c>
      <c r="J1284" s="2">
        <f t="shared" si="2"/>
        <v>3222.62</v>
      </c>
      <c r="K1284" s="17">
        <f t="shared" si="3"/>
        <v>1</v>
      </c>
      <c r="L1284" s="18"/>
    </row>
    <row r="1285" hidden="1">
      <c r="A1285" s="2">
        <f>IFERROR(__xludf.DUMMYFUNCTION("""COMPUTED_VALUE"""),4513.0)</f>
        <v>4513</v>
      </c>
      <c r="B1285" s="2">
        <f>IFERROR(__xludf.DUMMYFUNCTION("""COMPUTED_VALUE"""),1.0)</f>
        <v>1</v>
      </c>
      <c r="C1285" s="2">
        <f>IFERROR(__xludf.DUMMYFUNCTION("""COMPUTED_VALUE"""),526.0)</f>
        <v>526</v>
      </c>
      <c r="D1285" s="3">
        <f>IFERROR(__xludf.DUMMYFUNCTION("""COMPUTED_VALUE"""),395.0)</f>
        <v>395</v>
      </c>
      <c r="E1285" s="1" t="str">
        <f t="array" ref="E1285">_xlfn.XLOOKUP(A1285,Product!A:A,Product!B:B,"Bulunamadı")</f>
        <v>Fiction</v>
      </c>
      <c r="F1285" s="1" t="str">
        <f t="array" ref="F1285">_xlfn.XLOOKUP(A1285,Product!A:A,Product!C:C,"Bulunamadı")</f>
        <v>Military History</v>
      </c>
      <c r="G1285" s="2" t="str">
        <f t="array" ref="G1285">_xlfn.XLOOKUP(A1286,Product!A:A,Product!D:D,"Bulunamadı")</f>
        <v>Aurora Ridge Books</v>
      </c>
      <c r="H1285" s="2">
        <f t="array" ref="H1285">_xlfn.XLOOKUP(A1287,Product!A:A,Product!E:E,"Bulunamadı")</f>
        <v>7.51</v>
      </c>
      <c r="I1285" s="2" t="str">
        <f t="shared" si="1"/>
        <v>4513 - Fiction - Military History</v>
      </c>
      <c r="J1285" s="2">
        <f t="shared" si="2"/>
        <v>2966.45</v>
      </c>
      <c r="K1285" s="17">
        <f t="shared" si="3"/>
        <v>1</v>
      </c>
      <c r="L1285" s="18"/>
    </row>
    <row r="1286" hidden="1">
      <c r="A1286" s="2">
        <f>IFERROR(__xludf.DUMMYFUNCTION("""COMPUTED_VALUE"""),24648.0)</f>
        <v>24648</v>
      </c>
      <c r="B1286" s="2">
        <f>IFERROR(__xludf.DUMMYFUNCTION("""COMPUTED_VALUE"""),0.0)</f>
        <v>0</v>
      </c>
      <c r="C1286" s="2">
        <f>IFERROR(__xludf.DUMMYFUNCTION("""COMPUTED_VALUE"""),598.0)</f>
        <v>598</v>
      </c>
      <c r="D1286" s="3">
        <f>IFERROR(__xludf.DUMMYFUNCTION("""COMPUTED_VALUE"""),144.0)</f>
        <v>144</v>
      </c>
      <c r="E1286" s="1" t="str">
        <f t="array" ref="E1286">_xlfn.XLOOKUP(A1286,Product!A:A,Product!B:B,"Bulunamadı")</f>
        <v>Fiction</v>
      </c>
      <c r="F1286" s="1" t="str">
        <f t="array" ref="F1286">_xlfn.XLOOKUP(A1286,Product!A:A,Product!C:C,"Bulunamadı")</f>
        <v>Military History</v>
      </c>
      <c r="G1286" s="2" t="str">
        <f t="array" ref="G1286">_xlfn.XLOOKUP(A1287,Product!A:A,Product!D:D,"Bulunamadı")</f>
        <v>Summit Harbor Press</v>
      </c>
      <c r="H1286" s="2">
        <f t="array" ref="H1286">_xlfn.XLOOKUP(A1288,Product!A:A,Product!E:E,"Bulunamadı")</f>
        <v>5.51</v>
      </c>
      <c r="I1286" s="2" t="str">
        <f t="shared" si="1"/>
        <v>24648 - Fiction - Military History</v>
      </c>
      <c r="J1286" s="2">
        <f t="shared" si="2"/>
        <v>793.44</v>
      </c>
      <c r="K1286" s="17">
        <f t="shared" si="3"/>
        <v>1</v>
      </c>
      <c r="L1286" s="18"/>
    </row>
    <row r="1287" hidden="1">
      <c r="A1287" s="2">
        <f>IFERROR(__xludf.DUMMYFUNCTION("""COMPUTED_VALUE"""),16386.0)</f>
        <v>16386</v>
      </c>
      <c r="B1287" s="2">
        <f>IFERROR(__xludf.DUMMYFUNCTION("""COMPUTED_VALUE"""),1.0)</f>
        <v>1</v>
      </c>
      <c r="C1287" s="2">
        <f>IFERROR(__xludf.DUMMYFUNCTION("""COMPUTED_VALUE"""),26.0)</f>
        <v>26</v>
      </c>
      <c r="D1287" s="3">
        <f>IFERROR(__xludf.DUMMYFUNCTION("""COMPUTED_VALUE"""),14.0)</f>
        <v>14</v>
      </c>
      <c r="E1287" s="1" t="str">
        <f t="array" ref="E1287">_xlfn.XLOOKUP(A1287,Product!A:A,Product!B:B,"Bulunamadı")</f>
        <v>Fiction</v>
      </c>
      <c r="F1287" s="1" t="str">
        <f t="array" ref="F1287">_xlfn.XLOOKUP(A1287,Product!A:A,Product!C:C,"Bulunamadı")</f>
        <v>Military History</v>
      </c>
      <c r="G1287" s="2" t="str">
        <f t="array" ref="G1287">_xlfn.XLOOKUP(A1288,Product!A:A,Product!D:D,"Bulunamadı")</f>
        <v>Summit Harbor Press</v>
      </c>
      <c r="H1287" s="2">
        <f t="array" ref="H1287">_xlfn.XLOOKUP(A1289,Product!A:A,Product!E:E,"Bulunamadı")</f>
        <v>12.64</v>
      </c>
      <c r="I1287" s="2" t="str">
        <f t="shared" si="1"/>
        <v>16386 - Fiction - Military History</v>
      </c>
      <c r="J1287" s="2">
        <f t="shared" si="2"/>
        <v>176.96</v>
      </c>
      <c r="K1287" s="17">
        <f t="shared" si="3"/>
        <v>1</v>
      </c>
      <c r="L1287" s="18"/>
    </row>
    <row r="1288" hidden="1">
      <c r="A1288" s="2">
        <f>IFERROR(__xludf.DUMMYFUNCTION("""COMPUTED_VALUE"""),16383.0)</f>
        <v>16383</v>
      </c>
      <c r="B1288" s="2">
        <f>IFERROR(__xludf.DUMMYFUNCTION("""COMPUTED_VALUE"""),1.0)</f>
        <v>1</v>
      </c>
      <c r="C1288" s="2">
        <f>IFERROR(__xludf.DUMMYFUNCTION("""COMPUTED_VALUE"""),876.0)</f>
        <v>876</v>
      </c>
      <c r="D1288" s="3">
        <f>IFERROR(__xludf.DUMMYFUNCTION("""COMPUTED_VALUE"""),641.0)</f>
        <v>641</v>
      </c>
      <c r="E1288" s="1" t="str">
        <f t="array" ref="E1288">_xlfn.XLOOKUP(A1288,Product!A:A,Product!B:B,"Bulunamadı")</f>
        <v>Fiction</v>
      </c>
      <c r="F1288" s="1" t="str">
        <f t="array" ref="F1288">_xlfn.XLOOKUP(A1288,Product!A:A,Product!C:C,"Bulunamadı")</f>
        <v>Military History</v>
      </c>
      <c r="G1288" s="2" t="str">
        <f t="array" ref="G1288">_xlfn.XLOOKUP(A1289,Product!A:A,Product!D:D,"Bulunamadı")</f>
        <v>Liberty Grove Publishing</v>
      </c>
      <c r="H1288" s="2">
        <f t="array" ref="H1288">_xlfn.XLOOKUP(A1290,Product!A:A,Product!E:E,"Bulunamadı")</f>
        <v>1.32</v>
      </c>
      <c r="I1288" s="2" t="str">
        <f t="shared" si="1"/>
        <v>16383 - Fiction - Military History</v>
      </c>
      <c r="J1288" s="2">
        <f t="shared" si="2"/>
        <v>846.12</v>
      </c>
      <c r="K1288" s="17">
        <f t="shared" si="3"/>
        <v>1</v>
      </c>
      <c r="L1288" s="18"/>
    </row>
    <row r="1289" hidden="1">
      <c r="A1289" s="2">
        <f>IFERROR(__xludf.DUMMYFUNCTION("""COMPUTED_VALUE"""),113588.0)</f>
        <v>113588</v>
      </c>
      <c r="B1289" s="2">
        <f>IFERROR(__xludf.DUMMYFUNCTION("""COMPUTED_VALUE"""),1.0)</f>
        <v>1</v>
      </c>
      <c r="C1289" s="2">
        <f>IFERROR(__xludf.DUMMYFUNCTION("""COMPUTED_VALUE"""),679.0)</f>
        <v>679</v>
      </c>
      <c r="D1289" s="3">
        <f>IFERROR(__xludf.DUMMYFUNCTION("""COMPUTED_VALUE"""),376.0)</f>
        <v>376</v>
      </c>
      <c r="E1289" s="1" t="str">
        <f t="array" ref="E1289">_xlfn.XLOOKUP(A1289,Product!A:A,Product!B:B,"Bulunamadı")</f>
        <v>Fiction</v>
      </c>
      <c r="F1289" s="1" t="str">
        <f t="array" ref="F1289">_xlfn.XLOOKUP(A1289,Product!A:A,Product!C:C,"Bulunamadı")</f>
        <v>Military History</v>
      </c>
      <c r="G1289" s="2" t="str">
        <f t="array" ref="G1289">_xlfn.XLOOKUP(A1290,Product!A:A,Product!D:D,"Bulunamadı")</f>
        <v>Grand Summit Books</v>
      </c>
      <c r="H1289" s="2">
        <f t="array" ref="H1289">_xlfn.XLOOKUP(A1291,Product!A:A,Product!E:E,"Bulunamadı")</f>
        <v>1.58</v>
      </c>
      <c r="I1289" s="2" t="str">
        <f t="shared" si="1"/>
        <v>113588 - Fiction - Military History</v>
      </c>
      <c r="J1289" s="2">
        <f t="shared" si="2"/>
        <v>594.08</v>
      </c>
      <c r="K1289" s="17">
        <f t="shared" si="3"/>
        <v>1</v>
      </c>
      <c r="L1289" s="18"/>
    </row>
    <row r="1290" hidden="1">
      <c r="A1290" s="2">
        <f>IFERROR(__xludf.DUMMYFUNCTION("""COMPUTED_VALUE"""),99392.0)</f>
        <v>99392</v>
      </c>
      <c r="B1290" s="2">
        <f>IFERROR(__xludf.DUMMYFUNCTION("""COMPUTED_VALUE"""),0.0)</f>
        <v>0</v>
      </c>
      <c r="C1290" s="2">
        <f>IFERROR(__xludf.DUMMYFUNCTION("""COMPUTED_VALUE"""),671.0)</f>
        <v>671</v>
      </c>
      <c r="D1290" s="3">
        <f>IFERROR(__xludf.DUMMYFUNCTION("""COMPUTED_VALUE"""),328.0)</f>
        <v>328</v>
      </c>
      <c r="E1290" s="1" t="str">
        <f t="array" ref="E1290">_xlfn.XLOOKUP(A1290,Product!A:A,Product!B:B,"Bulunamadı")</f>
        <v>Fiction</v>
      </c>
      <c r="F1290" s="1" t="str">
        <f t="array" ref="F1290">_xlfn.XLOOKUP(A1290,Product!A:A,Product!C:C,"Bulunamadı")</f>
        <v>Military History</v>
      </c>
      <c r="G1290" s="2" t="str">
        <f t="array" ref="G1290">_xlfn.XLOOKUP(A1291,Product!A:A,Product!D:D,"Bulunamadı")</f>
        <v>Grand Summit Books</v>
      </c>
      <c r="H1290" s="2">
        <f t="array" ref="H1290">_xlfn.XLOOKUP(A1292,Product!A:A,Product!E:E,"Bulunamadı")</f>
        <v>1.62</v>
      </c>
      <c r="I1290" s="2" t="str">
        <f t="shared" si="1"/>
        <v>99392 - Fiction - Military History</v>
      </c>
      <c r="J1290" s="2">
        <f t="shared" si="2"/>
        <v>531.36</v>
      </c>
      <c r="K1290" s="17">
        <f t="shared" si="3"/>
        <v>1</v>
      </c>
      <c r="L1290" s="18"/>
    </row>
    <row r="1291" hidden="1">
      <c r="A1291" s="2">
        <f>IFERROR(__xludf.DUMMYFUNCTION("""COMPUTED_VALUE"""),99412.0)</f>
        <v>99412</v>
      </c>
      <c r="B1291" s="2">
        <f>IFERROR(__xludf.DUMMYFUNCTION("""COMPUTED_VALUE"""),1.0)</f>
        <v>1</v>
      </c>
      <c r="C1291" s="2">
        <f>IFERROR(__xludf.DUMMYFUNCTION("""COMPUTED_VALUE"""),954.0)</f>
        <v>954</v>
      </c>
      <c r="D1291" s="3">
        <f>IFERROR(__xludf.DUMMYFUNCTION("""COMPUTED_VALUE"""),853.0)</f>
        <v>853</v>
      </c>
      <c r="E1291" s="1" t="str">
        <f t="array" ref="E1291">_xlfn.XLOOKUP(A1291,Product!A:A,Product!B:B,"Bulunamadı")</f>
        <v>Fiction</v>
      </c>
      <c r="F1291" s="1" t="str">
        <f t="array" ref="F1291">_xlfn.XLOOKUP(A1291,Product!A:A,Product!C:C,"Bulunamadı")</f>
        <v>Military History</v>
      </c>
      <c r="G1291" s="2" t="str">
        <f t="array" ref="G1291">_xlfn.XLOOKUP(A1292,Product!A:A,Product!D:D,"Bulunamadı")</f>
        <v>Grand Summit Books</v>
      </c>
      <c r="H1291" s="2">
        <f t="array" ref="H1291">_xlfn.XLOOKUP(A1293,Product!A:A,Product!E:E,"Bulunamadı")</f>
        <v>1.11</v>
      </c>
      <c r="I1291" s="2" t="str">
        <f t="shared" si="1"/>
        <v>99412 - Fiction - Military History</v>
      </c>
      <c r="J1291" s="2">
        <f t="shared" si="2"/>
        <v>946.83</v>
      </c>
      <c r="K1291" s="17">
        <f t="shared" si="3"/>
        <v>1</v>
      </c>
      <c r="L1291" s="18"/>
    </row>
    <row r="1292" hidden="1">
      <c r="A1292" s="2">
        <f>IFERROR(__xludf.DUMMYFUNCTION("""COMPUTED_VALUE"""),25306.0)</f>
        <v>25306</v>
      </c>
      <c r="B1292" s="2">
        <f>IFERROR(__xludf.DUMMYFUNCTION("""COMPUTED_VALUE"""),0.0)</f>
        <v>0</v>
      </c>
      <c r="C1292" s="2">
        <f>IFERROR(__xludf.DUMMYFUNCTION("""COMPUTED_VALUE"""),233.0)</f>
        <v>233</v>
      </c>
      <c r="D1292" s="3">
        <f>IFERROR(__xludf.DUMMYFUNCTION("""COMPUTED_VALUE"""),182.0)</f>
        <v>182</v>
      </c>
      <c r="E1292" s="1" t="str">
        <f t="array" ref="E1292">_xlfn.XLOOKUP(A1292,Product!A:A,Product!B:B,"Bulunamadı")</f>
        <v>Fiction</v>
      </c>
      <c r="F1292" s="1" t="str">
        <f t="array" ref="F1292">_xlfn.XLOOKUP(A1292,Product!A:A,Product!C:C,"Bulunamadı")</f>
        <v>Military History</v>
      </c>
      <c r="G1292" s="2" t="str">
        <f t="array" ref="G1292">_xlfn.XLOOKUP(A1293,Product!A:A,Product!D:D,"Bulunamadı")</f>
        <v>Grand Summit Books</v>
      </c>
      <c r="H1292" s="2">
        <f t="array" ref="H1292">_xlfn.XLOOKUP(A1294,Product!A:A,Product!E:E,"Bulunamadı")</f>
        <v>1.78</v>
      </c>
      <c r="I1292" s="2" t="str">
        <f t="shared" si="1"/>
        <v>25306 - Fiction - Military History</v>
      </c>
      <c r="J1292" s="2">
        <f t="shared" si="2"/>
        <v>323.96</v>
      </c>
      <c r="K1292" s="17">
        <f t="shared" si="3"/>
        <v>1</v>
      </c>
      <c r="L1292" s="18"/>
    </row>
    <row r="1293" hidden="1">
      <c r="A1293" s="2">
        <f>IFERROR(__xludf.DUMMYFUNCTION("""COMPUTED_VALUE"""),99399.0)</f>
        <v>99399</v>
      </c>
      <c r="B1293" s="2">
        <f>IFERROR(__xludf.DUMMYFUNCTION("""COMPUTED_VALUE"""),0.0)</f>
        <v>0</v>
      </c>
      <c r="C1293" s="2">
        <f>IFERROR(__xludf.DUMMYFUNCTION("""COMPUTED_VALUE"""),97.0)</f>
        <v>97</v>
      </c>
      <c r="D1293" s="3">
        <f>IFERROR(__xludf.DUMMYFUNCTION("""COMPUTED_VALUE"""),1.0)</f>
        <v>1</v>
      </c>
      <c r="E1293" s="1" t="str">
        <f t="array" ref="E1293">_xlfn.XLOOKUP(A1293,Product!A:A,Product!B:B,"Bulunamadı")</f>
        <v>Fiction</v>
      </c>
      <c r="F1293" s="1" t="str">
        <f t="array" ref="F1293">_xlfn.XLOOKUP(A1293,Product!A:A,Product!C:C,"Bulunamadı")</f>
        <v>Military History</v>
      </c>
      <c r="G1293" s="2" t="str">
        <f t="array" ref="G1293">_xlfn.XLOOKUP(A1294,Product!A:A,Product!D:D,"Bulunamadı")</f>
        <v>Grand Summit Books</v>
      </c>
      <c r="H1293" s="2">
        <f t="array" ref="H1293">_xlfn.XLOOKUP(A1295,Product!A:A,Product!E:E,"Bulunamadı")</f>
        <v>1.17</v>
      </c>
      <c r="I1293" s="2" t="str">
        <f t="shared" si="1"/>
        <v>99399 - Fiction - Military History</v>
      </c>
      <c r="J1293" s="2">
        <f t="shared" si="2"/>
        <v>1.17</v>
      </c>
      <c r="K1293" s="17">
        <f t="shared" si="3"/>
        <v>1</v>
      </c>
      <c r="L1293" s="18"/>
    </row>
    <row r="1294" hidden="1">
      <c r="A1294" s="2">
        <f>IFERROR(__xludf.DUMMYFUNCTION("""COMPUTED_VALUE"""),25304.0)</f>
        <v>25304</v>
      </c>
      <c r="B1294" s="2">
        <f>IFERROR(__xludf.DUMMYFUNCTION("""COMPUTED_VALUE"""),0.0)</f>
        <v>0</v>
      </c>
      <c r="C1294" s="2">
        <f>IFERROR(__xludf.DUMMYFUNCTION("""COMPUTED_VALUE"""),464.0)</f>
        <v>464</v>
      </c>
      <c r="D1294" s="3">
        <f>IFERROR(__xludf.DUMMYFUNCTION("""COMPUTED_VALUE"""),367.0)</f>
        <v>367</v>
      </c>
      <c r="E1294" s="1" t="str">
        <f t="array" ref="E1294">_xlfn.XLOOKUP(A1294,Product!A:A,Product!B:B,"Bulunamadı")</f>
        <v>Fiction</v>
      </c>
      <c r="F1294" s="1" t="str">
        <f t="array" ref="F1294">_xlfn.XLOOKUP(A1294,Product!A:A,Product!C:C,"Bulunamadı")</f>
        <v>Military History</v>
      </c>
      <c r="G1294" s="2" t="str">
        <f t="array" ref="G1294">_xlfn.XLOOKUP(A1295,Product!A:A,Product!D:D,"Bulunamadı")</f>
        <v>Grand Summit Books</v>
      </c>
      <c r="H1294" s="2">
        <f t="array" ref="H1294">_xlfn.XLOOKUP(A1296,Product!A:A,Product!E:E,"Bulunamadı")</f>
        <v>1.51</v>
      </c>
      <c r="I1294" s="2" t="str">
        <f t="shared" si="1"/>
        <v>25304 - Fiction - Military History</v>
      </c>
      <c r="J1294" s="2">
        <f t="shared" si="2"/>
        <v>554.17</v>
      </c>
      <c r="K1294" s="17">
        <f t="shared" si="3"/>
        <v>1</v>
      </c>
      <c r="L1294" s="18"/>
    </row>
    <row r="1295" hidden="1">
      <c r="A1295" s="2">
        <f>IFERROR(__xludf.DUMMYFUNCTION("""COMPUTED_VALUE"""),99400.0)</f>
        <v>99400</v>
      </c>
      <c r="B1295" s="2">
        <f>IFERROR(__xludf.DUMMYFUNCTION("""COMPUTED_VALUE"""),1.0)</f>
        <v>1</v>
      </c>
      <c r="C1295" s="2">
        <f>IFERROR(__xludf.DUMMYFUNCTION("""COMPUTED_VALUE"""),892.0)</f>
        <v>892</v>
      </c>
      <c r="D1295" s="3">
        <f>IFERROR(__xludf.DUMMYFUNCTION("""COMPUTED_VALUE"""),289.0)</f>
        <v>289</v>
      </c>
      <c r="E1295" s="1" t="str">
        <f t="array" ref="E1295">_xlfn.XLOOKUP(A1295,Product!A:A,Product!B:B,"Bulunamadı")</f>
        <v>Fiction</v>
      </c>
      <c r="F1295" s="1" t="str">
        <f t="array" ref="F1295">_xlfn.XLOOKUP(A1295,Product!A:A,Product!C:C,"Bulunamadı")</f>
        <v>Military History</v>
      </c>
      <c r="G1295" s="2" t="str">
        <f t="array" ref="G1295">_xlfn.XLOOKUP(A1296,Product!A:A,Product!D:D,"Bulunamadı")</f>
        <v>Grand Summit Books</v>
      </c>
      <c r="H1295" s="2">
        <f t="array" ref="H1295">_xlfn.XLOOKUP(A1297,Product!A:A,Product!E:E,"Bulunamadı")</f>
        <v>1.81</v>
      </c>
      <c r="I1295" s="2" t="str">
        <f t="shared" si="1"/>
        <v>99400 - Fiction - Military History</v>
      </c>
      <c r="J1295" s="2">
        <f t="shared" si="2"/>
        <v>523.09</v>
      </c>
      <c r="K1295" s="17">
        <f t="shared" si="3"/>
        <v>1</v>
      </c>
      <c r="L1295" s="18"/>
    </row>
    <row r="1296" hidden="1">
      <c r="A1296" s="2">
        <f>IFERROR(__xludf.DUMMYFUNCTION("""COMPUTED_VALUE"""),80484.0)</f>
        <v>80484</v>
      </c>
      <c r="B1296" s="2">
        <f>IFERROR(__xludf.DUMMYFUNCTION("""COMPUTED_VALUE"""),1.0)</f>
        <v>1</v>
      </c>
      <c r="C1296" s="2">
        <f>IFERROR(__xludf.DUMMYFUNCTION("""COMPUTED_VALUE"""),122.0)</f>
        <v>122</v>
      </c>
      <c r="D1296" s="3">
        <f>IFERROR(__xludf.DUMMYFUNCTION("""COMPUTED_VALUE"""),14.0)</f>
        <v>14</v>
      </c>
      <c r="E1296" s="1" t="str">
        <f t="array" ref="E1296">_xlfn.XLOOKUP(A1296,Product!A:A,Product!B:B,"Bulunamadı")</f>
        <v>Fiction</v>
      </c>
      <c r="F1296" s="1" t="str">
        <f t="array" ref="F1296">_xlfn.XLOOKUP(A1296,Product!A:A,Product!C:C,"Bulunamadı")</f>
        <v>Military History</v>
      </c>
      <c r="G1296" s="2" t="str">
        <f t="array" ref="G1296">_xlfn.XLOOKUP(A1297,Product!A:A,Product!D:D,"Bulunamadı")</f>
        <v>Grand Summit Books</v>
      </c>
      <c r="H1296" s="2">
        <f t="array" ref="H1296">_xlfn.XLOOKUP(A1298,Product!A:A,Product!E:E,"Bulunamadı")</f>
        <v>2.4</v>
      </c>
      <c r="I1296" s="2" t="str">
        <f t="shared" si="1"/>
        <v>80484 - Fiction - Military History</v>
      </c>
      <c r="J1296" s="2">
        <f t="shared" si="2"/>
        <v>33.6</v>
      </c>
      <c r="K1296" s="17">
        <f t="shared" si="3"/>
        <v>1</v>
      </c>
      <c r="L1296" s="18"/>
    </row>
    <row r="1297" hidden="1">
      <c r="A1297" s="2">
        <f>IFERROR(__xludf.DUMMYFUNCTION("""COMPUTED_VALUE"""),14477.0)</f>
        <v>14477</v>
      </c>
      <c r="B1297" s="2">
        <f>IFERROR(__xludf.DUMMYFUNCTION("""COMPUTED_VALUE"""),1.0)</f>
        <v>1</v>
      </c>
      <c r="C1297" s="2">
        <f>IFERROR(__xludf.DUMMYFUNCTION("""COMPUTED_VALUE"""),417.0)</f>
        <v>417</v>
      </c>
      <c r="D1297" s="3">
        <f>IFERROR(__xludf.DUMMYFUNCTION("""COMPUTED_VALUE"""),84.0)</f>
        <v>84</v>
      </c>
      <c r="E1297" s="1" t="str">
        <f t="array" ref="E1297">_xlfn.XLOOKUP(A1297,Product!A:A,Product!B:B,"Bulunamadı")</f>
        <v>Fiction</v>
      </c>
      <c r="F1297" s="1" t="str">
        <f t="array" ref="F1297">_xlfn.XLOOKUP(A1297,Product!A:A,Product!C:C,"Bulunamadı")</f>
        <v>Military History</v>
      </c>
      <c r="G1297" s="2" t="str">
        <f t="array" ref="G1297">_xlfn.XLOOKUP(A1298,Product!A:A,Product!D:D,"Bulunamadı")</f>
        <v/>
      </c>
      <c r="H1297" s="2">
        <f t="array" ref="H1297">_xlfn.XLOOKUP(A1299,Product!A:A,Product!E:E,"Bulunamadı")</f>
        <v>1.27</v>
      </c>
      <c r="I1297" s="2" t="str">
        <f t="shared" si="1"/>
        <v>14477 - Fiction - Military History</v>
      </c>
      <c r="J1297" s="2">
        <f t="shared" si="2"/>
        <v>106.68</v>
      </c>
      <c r="K1297" s="17">
        <f t="shared" si="3"/>
        <v>1</v>
      </c>
      <c r="L1297" s="18"/>
    </row>
    <row r="1298" hidden="1">
      <c r="A1298" s="2">
        <f>IFERROR(__xludf.DUMMYFUNCTION("""COMPUTED_VALUE"""),95056.0)</f>
        <v>95056</v>
      </c>
      <c r="B1298" s="2">
        <f>IFERROR(__xludf.DUMMYFUNCTION("""COMPUTED_VALUE"""),0.0)</f>
        <v>0</v>
      </c>
      <c r="C1298" s="2">
        <f>IFERROR(__xludf.DUMMYFUNCTION("""COMPUTED_VALUE"""),149.0)</f>
        <v>149</v>
      </c>
      <c r="D1298" s="3">
        <f>IFERROR(__xludf.DUMMYFUNCTION("""COMPUTED_VALUE"""),75.0)</f>
        <v>75</v>
      </c>
      <c r="E1298" s="1" t="str">
        <f t="array" ref="E1298">_xlfn.XLOOKUP(A1298,Product!A:A,Product!B:B,"Bulunamadı")</f>
        <v>History</v>
      </c>
      <c r="F1298" s="1" t="str">
        <f t="array" ref="F1298">_xlfn.XLOOKUP(A1298,Product!A:A,Product!C:C,"Bulunamadı")</f>
        <v>Economic History</v>
      </c>
      <c r="G1298" s="2" t="str">
        <f t="array" ref="G1298">_xlfn.XLOOKUP(A1299,Product!A:A,Product!D:D,"Bulunamadı")</f>
        <v/>
      </c>
      <c r="H1298" s="2">
        <f t="array" ref="H1298">_xlfn.XLOOKUP(A1300,Product!A:A,Product!E:E,"Bulunamadı")</f>
        <v>2.81</v>
      </c>
      <c r="I1298" s="2" t="str">
        <f t="shared" si="1"/>
        <v>95056 - History - Economic History</v>
      </c>
      <c r="J1298" s="2">
        <f t="shared" si="2"/>
        <v>210.75</v>
      </c>
      <c r="K1298" s="17">
        <f t="shared" si="3"/>
        <v>1</v>
      </c>
      <c r="L1298" s="18"/>
    </row>
    <row r="1299" hidden="1">
      <c r="A1299" s="2">
        <f>IFERROR(__xludf.DUMMYFUNCTION("""COMPUTED_VALUE"""),78519.0)</f>
        <v>78519</v>
      </c>
      <c r="B1299" s="2">
        <f>IFERROR(__xludf.DUMMYFUNCTION("""COMPUTED_VALUE"""),0.0)</f>
        <v>0</v>
      </c>
      <c r="C1299" s="2">
        <f>IFERROR(__xludf.DUMMYFUNCTION("""COMPUTED_VALUE"""),349.0)</f>
        <v>349</v>
      </c>
      <c r="D1299" s="3">
        <f>IFERROR(__xludf.DUMMYFUNCTION("""COMPUTED_VALUE"""),159.0)</f>
        <v>159</v>
      </c>
      <c r="E1299" s="1" t="str">
        <f t="array" ref="E1299">_xlfn.XLOOKUP(A1299,Product!A:A,Product!B:B,"Bulunamadı")</f>
        <v>History</v>
      </c>
      <c r="F1299" s="1" t="str">
        <f t="array" ref="F1299">_xlfn.XLOOKUP(A1299,Product!A:A,Product!C:C,"Bulunamadı")</f>
        <v>Economic History</v>
      </c>
      <c r="G1299" s="2" t="str">
        <f t="array" ref="G1299">_xlfn.XLOOKUP(A1300,Product!A:A,Product!D:D,"Bulunamadı")</f>
        <v/>
      </c>
      <c r="H1299" s="2">
        <f t="array" ref="H1299">_xlfn.XLOOKUP(A1301,Product!A:A,Product!E:E,"Bulunamadı")</f>
        <v>1.89</v>
      </c>
      <c r="I1299" s="2" t="str">
        <f t="shared" si="1"/>
        <v>78519 - History - Economic History</v>
      </c>
      <c r="J1299" s="2">
        <f t="shared" si="2"/>
        <v>300.51</v>
      </c>
      <c r="K1299" s="17">
        <f t="shared" si="3"/>
        <v>1</v>
      </c>
      <c r="L1299" s="18"/>
    </row>
    <row r="1300" hidden="1">
      <c r="A1300" s="2">
        <f>IFERROR(__xludf.DUMMYFUNCTION("""COMPUTED_VALUE"""),90377.0)</f>
        <v>90377</v>
      </c>
      <c r="B1300" s="2">
        <f>IFERROR(__xludf.DUMMYFUNCTION("""COMPUTED_VALUE"""),0.0)</f>
        <v>0</v>
      </c>
      <c r="C1300" s="2">
        <f>IFERROR(__xludf.DUMMYFUNCTION("""COMPUTED_VALUE"""),42.0)</f>
        <v>42</v>
      </c>
      <c r="D1300" s="3">
        <f>IFERROR(__xludf.DUMMYFUNCTION("""COMPUTED_VALUE"""),18.0)</f>
        <v>18</v>
      </c>
      <c r="E1300" s="1" t="str">
        <f t="array" ref="E1300">_xlfn.XLOOKUP(A1300,Product!A:A,Product!B:B,"Bulunamadı")</f>
        <v>History</v>
      </c>
      <c r="F1300" s="1" t="str">
        <f t="array" ref="F1300">_xlfn.XLOOKUP(A1300,Product!A:A,Product!C:C,"Bulunamadı")</f>
        <v>Economic History</v>
      </c>
      <c r="G1300" s="2" t="str">
        <f t="array" ref="G1300">_xlfn.XLOOKUP(A1301,Product!A:A,Product!D:D,"Bulunamadı")</f>
        <v/>
      </c>
      <c r="H1300" s="2">
        <f t="array" ref="H1300">_xlfn.XLOOKUP(A1302,Product!A:A,Product!E:E,"Bulunamadı")</f>
        <v>2.81</v>
      </c>
      <c r="I1300" s="2" t="str">
        <f t="shared" si="1"/>
        <v>90377 - History - Economic History</v>
      </c>
      <c r="J1300" s="2">
        <f t="shared" si="2"/>
        <v>50.58</v>
      </c>
      <c r="K1300" s="17">
        <f t="shared" si="3"/>
        <v>1</v>
      </c>
      <c r="L1300" s="18"/>
    </row>
    <row r="1301" hidden="1">
      <c r="A1301" s="2">
        <f>IFERROR(__xludf.DUMMYFUNCTION("""COMPUTED_VALUE"""),90375.0)</f>
        <v>90375</v>
      </c>
      <c r="B1301" s="2">
        <f>IFERROR(__xludf.DUMMYFUNCTION("""COMPUTED_VALUE"""),1.0)</f>
        <v>1</v>
      </c>
      <c r="C1301" s="2">
        <f>IFERROR(__xludf.DUMMYFUNCTION("""COMPUTED_VALUE"""),663.0)</f>
        <v>663</v>
      </c>
      <c r="D1301" s="3">
        <f>IFERROR(__xludf.DUMMYFUNCTION("""COMPUTED_VALUE"""),271.0)</f>
        <v>271</v>
      </c>
      <c r="E1301" s="1" t="str">
        <f t="array" ref="E1301">_xlfn.XLOOKUP(A1301,Product!A:A,Product!B:B,"Bulunamadı")</f>
        <v>History</v>
      </c>
      <c r="F1301" s="1" t="str">
        <f t="array" ref="F1301">_xlfn.XLOOKUP(A1301,Product!A:A,Product!C:C,"Bulunamadı")</f>
        <v>Economic History</v>
      </c>
      <c r="G1301" s="2" t="str">
        <f t="array" ref="G1301">_xlfn.XLOOKUP(A1302,Product!A:A,Product!D:D,"Bulunamadı")</f>
        <v>Evergreen Ridge Press</v>
      </c>
      <c r="H1301" s="2">
        <f t="array" ref="H1301">_xlfn.XLOOKUP(A1303,Product!A:A,Product!E:E,"Bulunamadı")</f>
        <v>5.07</v>
      </c>
      <c r="I1301" s="2" t="str">
        <f t="shared" si="1"/>
        <v>90375 - History - Economic History</v>
      </c>
      <c r="J1301" s="2">
        <f t="shared" si="2"/>
        <v>1373.97</v>
      </c>
      <c r="K1301" s="17">
        <f t="shared" si="3"/>
        <v>1</v>
      </c>
      <c r="L1301" s="18"/>
    </row>
    <row r="1302">
      <c r="A1302" s="2">
        <f>IFERROR(__xludf.DUMMYFUNCTION("""COMPUTED_VALUE"""),112073.0)</f>
        <v>112073</v>
      </c>
      <c r="B1302" s="2">
        <f>IFERROR(__xludf.DUMMYFUNCTION("""COMPUTED_VALUE"""),1.0)</f>
        <v>1</v>
      </c>
      <c r="C1302" s="2">
        <f>IFERROR(__xludf.DUMMYFUNCTION("""COMPUTED_VALUE"""),117.0)</f>
        <v>117</v>
      </c>
      <c r="D1302" s="3">
        <f>IFERROR(__xludf.DUMMYFUNCTION("""COMPUTED_VALUE"""),46.0)</f>
        <v>46</v>
      </c>
      <c r="E1302" s="1" t="str">
        <f t="array" ref="E1302">_xlfn.XLOOKUP(A1302,Product!A:A,Product!B:B,"Bulunamadı")</f>
        <v>Arts</v>
      </c>
      <c r="F1302" s="1" t="str">
        <f t="array" ref="F1302">_xlfn.XLOOKUP(A1302,Product!A:A,Product!C:C,"Bulunamadı")</f>
        <v>Political History</v>
      </c>
      <c r="G1302" s="2" t="str">
        <f t="array" ref="G1302">_xlfn.XLOOKUP(A1303,Product!A:A,Product!D:D,"Bulunamadı")</f>
        <v>Evergreen Ridge Press</v>
      </c>
      <c r="H1302" s="2">
        <f t="array" ref="H1302">_xlfn.XLOOKUP(A1304,Product!A:A,Product!E:E,"Bulunamadı")</f>
        <v>1.33</v>
      </c>
      <c r="I1302" s="2" t="str">
        <f t="shared" si="1"/>
        <v>112073 - Arts - Political History</v>
      </c>
      <c r="J1302" s="2">
        <f t="shared" si="2"/>
        <v>61.18</v>
      </c>
      <c r="K1302" s="17">
        <f t="shared" si="3"/>
        <v>1</v>
      </c>
      <c r="L1302" s="18">
        <f>AVERAGEIF(Explo_Stock!E:E,"Arts",Explo_Stock!D:D)</f>
        <v>237.7616778</v>
      </c>
    </row>
    <row r="1303">
      <c r="A1303" s="2">
        <f>IFERROR(__xludf.DUMMYFUNCTION("""COMPUTED_VALUE"""),101339.0)</f>
        <v>101339</v>
      </c>
      <c r="B1303" s="2">
        <f>IFERROR(__xludf.DUMMYFUNCTION("""COMPUTED_VALUE"""),1.0)</f>
        <v>1</v>
      </c>
      <c r="C1303" s="2">
        <f>IFERROR(__xludf.DUMMYFUNCTION("""COMPUTED_VALUE"""),527.0)</f>
        <v>527</v>
      </c>
      <c r="D1303" s="3">
        <f>IFERROR(__xludf.DUMMYFUNCTION("""COMPUTED_VALUE"""),506.0)</f>
        <v>506</v>
      </c>
      <c r="E1303" s="1" t="str">
        <f t="array" ref="E1303">_xlfn.XLOOKUP(A1303,Product!A:A,Product!B:B,"Bulunamadı")</f>
        <v>Arts</v>
      </c>
      <c r="F1303" s="1" t="str">
        <f t="array" ref="F1303">_xlfn.XLOOKUP(A1303,Product!A:A,Product!C:C,"Bulunamadı")</f>
        <v>Political History</v>
      </c>
      <c r="G1303" s="2" t="str">
        <f t="array" ref="G1303">_xlfn.XLOOKUP(A1304,Product!A:A,Product!D:D,"Bulunamadı")</f>
        <v>Evergreen Ridge Press</v>
      </c>
      <c r="H1303" s="2">
        <f t="array" ref="H1303">_xlfn.XLOOKUP(A1305,Product!A:A,Product!E:E,"Bulunamadı")</f>
        <v>1.87</v>
      </c>
      <c r="I1303" s="2" t="str">
        <f t="shared" si="1"/>
        <v>101339 - Arts - Political History</v>
      </c>
      <c r="J1303" s="2">
        <f t="shared" si="2"/>
        <v>946.22</v>
      </c>
      <c r="K1303" s="17">
        <f t="shared" si="3"/>
        <v>1</v>
      </c>
      <c r="L1303" s="18"/>
    </row>
    <row r="1304">
      <c r="A1304" s="2">
        <f>IFERROR(__xludf.DUMMYFUNCTION("""COMPUTED_VALUE"""),92421.0)</f>
        <v>92421</v>
      </c>
      <c r="B1304" s="2">
        <f>IFERROR(__xludf.DUMMYFUNCTION("""COMPUTED_VALUE"""),1.0)</f>
        <v>1</v>
      </c>
      <c r="C1304" s="2">
        <f>IFERROR(__xludf.DUMMYFUNCTION("""COMPUTED_VALUE"""),617.0)</f>
        <v>617</v>
      </c>
      <c r="D1304" s="3">
        <f>IFERROR(__xludf.DUMMYFUNCTION("""COMPUTED_VALUE"""),428.0)</f>
        <v>428</v>
      </c>
      <c r="E1304" s="1" t="str">
        <f t="array" ref="E1304">_xlfn.XLOOKUP(A1304,Product!A:A,Product!B:B,"Bulunamadı")</f>
        <v>Arts</v>
      </c>
      <c r="F1304" s="1" t="str">
        <f t="array" ref="F1304">_xlfn.XLOOKUP(A1304,Product!A:A,Product!C:C,"Bulunamadı")</f>
        <v>Political History</v>
      </c>
      <c r="G1304" s="2" t="str">
        <f t="array" ref="G1304">_xlfn.XLOOKUP(A1305,Product!A:A,Product!D:D,"Bulunamadı")</f>
        <v>Evergreen Ridge Press</v>
      </c>
      <c r="H1304" s="2">
        <f t="array" ref="H1304">_xlfn.XLOOKUP(A1306,Product!A:A,Product!E:E,"Bulunamadı")</f>
        <v>1.28</v>
      </c>
      <c r="I1304" s="2" t="str">
        <f t="shared" si="1"/>
        <v>92421 - Arts - Political History</v>
      </c>
      <c r="J1304" s="2">
        <f t="shared" si="2"/>
        <v>547.84</v>
      </c>
      <c r="K1304" s="17">
        <f t="shared" si="3"/>
        <v>1</v>
      </c>
      <c r="L1304" s="18"/>
    </row>
    <row r="1305">
      <c r="A1305" s="2">
        <f>IFERROR(__xludf.DUMMYFUNCTION("""COMPUTED_VALUE"""),112079.0)</f>
        <v>112079</v>
      </c>
      <c r="B1305" s="2">
        <f>IFERROR(__xludf.DUMMYFUNCTION("""COMPUTED_VALUE"""),0.0)</f>
        <v>0</v>
      </c>
      <c r="C1305" s="2">
        <f>IFERROR(__xludf.DUMMYFUNCTION("""COMPUTED_VALUE"""),102.0)</f>
        <v>102</v>
      </c>
      <c r="D1305" s="3">
        <f>IFERROR(__xludf.DUMMYFUNCTION("""COMPUTED_VALUE"""),95.0)</f>
        <v>95</v>
      </c>
      <c r="E1305" s="1" t="str">
        <f t="array" ref="E1305">_xlfn.XLOOKUP(A1305,Product!A:A,Product!B:B,"Bulunamadı")</f>
        <v>Arts</v>
      </c>
      <c r="F1305" s="1" t="str">
        <f t="array" ref="F1305">_xlfn.XLOOKUP(A1305,Product!A:A,Product!C:C,"Bulunamadı")</f>
        <v>Political History</v>
      </c>
      <c r="G1305" s="2" t="str">
        <f t="array" ref="G1305">_xlfn.XLOOKUP(A1306,Product!A:A,Product!D:D,"Bulunamadı")</f>
        <v>Evergreen Ridge Press</v>
      </c>
      <c r="H1305" s="2">
        <f t="array" ref="H1305">_xlfn.XLOOKUP(A1307,Product!A:A,Product!E:E,"Bulunamadı")</f>
        <v>1.04</v>
      </c>
      <c r="I1305" s="2" t="str">
        <f t="shared" si="1"/>
        <v>112079 - Arts - Political History</v>
      </c>
      <c r="J1305" s="2">
        <f t="shared" si="2"/>
        <v>98.8</v>
      </c>
      <c r="K1305" s="17">
        <f t="shared" si="3"/>
        <v>1</v>
      </c>
      <c r="L1305" s="18"/>
    </row>
    <row r="1306">
      <c r="A1306" s="2">
        <f>IFERROR(__xludf.DUMMYFUNCTION("""COMPUTED_VALUE"""),44716.0)</f>
        <v>44716</v>
      </c>
      <c r="B1306" s="2">
        <f>IFERROR(__xludf.DUMMYFUNCTION("""COMPUTED_VALUE"""),0.0)</f>
        <v>0</v>
      </c>
      <c r="C1306" s="2">
        <f>IFERROR(__xludf.DUMMYFUNCTION("""COMPUTED_VALUE"""),609.0)</f>
        <v>609</v>
      </c>
      <c r="D1306" s="3">
        <f>IFERROR(__xludf.DUMMYFUNCTION("""COMPUTED_VALUE"""),63.0)</f>
        <v>63</v>
      </c>
      <c r="E1306" s="1" t="str">
        <f t="array" ref="E1306">_xlfn.XLOOKUP(A1306,Product!A:A,Product!B:B,"Bulunamadı")</f>
        <v>Arts</v>
      </c>
      <c r="F1306" s="1" t="str">
        <f t="array" ref="F1306">_xlfn.XLOOKUP(A1306,Product!A:A,Product!C:C,"Bulunamadı")</f>
        <v>Political History</v>
      </c>
      <c r="G1306" s="2" t="str">
        <f t="array" ref="G1306">_xlfn.XLOOKUP(A1307,Product!A:A,Product!D:D,"Bulunamadı")</f>
        <v>Evergreen Ridge Press</v>
      </c>
      <c r="H1306" s="2">
        <f t="array" ref="H1306">_xlfn.XLOOKUP(A1308,Product!A:A,Product!E:E,"Bulunamadı")</f>
        <v>2.91</v>
      </c>
      <c r="I1306" s="2" t="str">
        <f t="shared" si="1"/>
        <v>44716 - Arts - Political History</v>
      </c>
      <c r="J1306" s="2">
        <f t="shared" si="2"/>
        <v>183.33</v>
      </c>
      <c r="K1306" s="17">
        <f t="shared" si="3"/>
        <v>1</v>
      </c>
      <c r="L1306" s="18"/>
    </row>
    <row r="1307">
      <c r="A1307" s="2">
        <f>IFERROR(__xludf.DUMMYFUNCTION("""COMPUTED_VALUE"""),89640.0)</f>
        <v>89640</v>
      </c>
      <c r="B1307" s="2">
        <f>IFERROR(__xludf.DUMMYFUNCTION("""COMPUTED_VALUE"""),1.0)</f>
        <v>1</v>
      </c>
      <c r="C1307" s="2">
        <f>IFERROR(__xludf.DUMMYFUNCTION("""COMPUTED_VALUE"""),566.0)</f>
        <v>566</v>
      </c>
      <c r="D1307" s="3">
        <f>IFERROR(__xludf.DUMMYFUNCTION("""COMPUTED_VALUE"""),195.0)</f>
        <v>195</v>
      </c>
      <c r="E1307" s="1" t="str">
        <f t="array" ref="E1307">_xlfn.XLOOKUP(A1307,Product!A:A,Product!B:B,"Bulunamadı")</f>
        <v>Arts</v>
      </c>
      <c r="F1307" s="1" t="str">
        <f t="array" ref="F1307">_xlfn.XLOOKUP(A1307,Product!A:A,Product!C:C,"Bulunamadı")</f>
        <v>Political History</v>
      </c>
      <c r="G1307" s="2" t="str">
        <f t="array" ref="G1307">_xlfn.XLOOKUP(A1308,Product!A:A,Product!D:D,"Bulunamadı")</f>
        <v>Evergreen Ridge Press</v>
      </c>
      <c r="H1307" s="2">
        <f t="array" ref="H1307">_xlfn.XLOOKUP(A1309,Product!A:A,Product!E:E,"Bulunamadı")</f>
        <v>3.92</v>
      </c>
      <c r="I1307" s="2" t="str">
        <f t="shared" si="1"/>
        <v>89640 - Arts - Political History</v>
      </c>
      <c r="J1307" s="2">
        <f t="shared" si="2"/>
        <v>764.4</v>
      </c>
      <c r="K1307" s="17">
        <f t="shared" si="3"/>
        <v>1</v>
      </c>
      <c r="L1307" s="18"/>
    </row>
    <row r="1308">
      <c r="A1308" s="2">
        <f>IFERROR(__xludf.DUMMYFUNCTION("""COMPUTED_VALUE"""),112072.0)</f>
        <v>112072</v>
      </c>
      <c r="B1308" s="2">
        <f>IFERROR(__xludf.DUMMYFUNCTION("""COMPUTED_VALUE"""),1.0)</f>
        <v>1</v>
      </c>
      <c r="C1308" s="2">
        <f>IFERROR(__xludf.DUMMYFUNCTION("""COMPUTED_VALUE"""),108.0)</f>
        <v>108</v>
      </c>
      <c r="D1308" s="3">
        <f>IFERROR(__xludf.DUMMYFUNCTION("""COMPUTED_VALUE"""),11.0)</f>
        <v>11</v>
      </c>
      <c r="E1308" s="1" t="str">
        <f t="array" ref="E1308">_xlfn.XLOOKUP(A1308,Product!A:A,Product!B:B,"Bulunamadı")</f>
        <v>Arts</v>
      </c>
      <c r="F1308" s="1" t="str">
        <f t="array" ref="F1308">_xlfn.XLOOKUP(A1308,Product!A:A,Product!C:C,"Bulunamadı")</f>
        <v>Political History</v>
      </c>
      <c r="G1308" s="2" t="str">
        <f t="array" ref="G1308">_xlfn.XLOOKUP(A1309,Product!A:A,Product!D:D,"Bulunamadı")</f>
        <v>Evergreen Ridge Press</v>
      </c>
      <c r="H1308" s="2">
        <f t="array" ref="H1308">_xlfn.XLOOKUP(A1310,Product!A:A,Product!E:E,"Bulunamadı")</f>
        <v>2.93</v>
      </c>
      <c r="I1308" s="2" t="str">
        <f t="shared" si="1"/>
        <v>112072 - Arts - Political History</v>
      </c>
      <c r="J1308" s="2">
        <f t="shared" si="2"/>
        <v>32.23</v>
      </c>
      <c r="K1308" s="17">
        <f t="shared" si="3"/>
        <v>1</v>
      </c>
      <c r="L1308" s="18"/>
    </row>
    <row r="1309">
      <c r="A1309" s="2">
        <f>IFERROR(__xludf.DUMMYFUNCTION("""COMPUTED_VALUE"""),112991.0)</f>
        <v>112991</v>
      </c>
      <c r="B1309" s="2">
        <f>IFERROR(__xludf.DUMMYFUNCTION("""COMPUTED_VALUE"""),1.0)</f>
        <v>1</v>
      </c>
      <c r="C1309" s="2">
        <f>IFERROR(__xludf.DUMMYFUNCTION("""COMPUTED_VALUE"""),307.0)</f>
        <v>307</v>
      </c>
      <c r="D1309" s="3">
        <f>IFERROR(__xludf.DUMMYFUNCTION("""COMPUTED_VALUE"""),282.0)</f>
        <v>282</v>
      </c>
      <c r="E1309" s="1" t="str">
        <f t="array" ref="E1309">_xlfn.XLOOKUP(A1309,Product!A:A,Product!B:B,"Bulunamadı")</f>
        <v>Arts</v>
      </c>
      <c r="F1309" s="1" t="str">
        <f t="array" ref="F1309">_xlfn.XLOOKUP(A1309,Product!A:A,Product!C:C,"Bulunamadı")</f>
        <v>Political History</v>
      </c>
      <c r="G1309" s="2" t="str">
        <f t="array" ref="G1309">_xlfn.XLOOKUP(A1310,Product!A:A,Product!D:D,"Bulunamadı")</f>
        <v>Highland Grove Publishing</v>
      </c>
      <c r="H1309" s="2">
        <f t="array" ref="H1309">_xlfn.XLOOKUP(A1311,Product!A:A,Product!E:E,"Bulunamadı")</f>
        <v>2.21</v>
      </c>
      <c r="I1309" s="2" t="str">
        <f t="shared" si="1"/>
        <v>112991 - Arts - Political History</v>
      </c>
      <c r="J1309" s="2">
        <f t="shared" si="2"/>
        <v>623.22</v>
      </c>
      <c r="K1309" s="17">
        <f t="shared" si="3"/>
        <v>1</v>
      </c>
      <c r="L1309" s="18"/>
    </row>
    <row r="1310">
      <c r="A1310" s="2">
        <f>IFERROR(__xludf.DUMMYFUNCTION("""COMPUTED_VALUE"""),101587.0)</f>
        <v>101587</v>
      </c>
      <c r="B1310" s="2">
        <f>IFERROR(__xludf.DUMMYFUNCTION("""COMPUTED_VALUE"""),1.0)</f>
        <v>1</v>
      </c>
      <c r="C1310" s="2">
        <f>IFERROR(__xludf.DUMMYFUNCTION("""COMPUTED_VALUE"""),491.0)</f>
        <v>491</v>
      </c>
      <c r="D1310" s="3">
        <f>IFERROR(__xludf.DUMMYFUNCTION("""COMPUTED_VALUE"""),253.0)</f>
        <v>253</v>
      </c>
      <c r="E1310" s="1" t="str">
        <f t="array" ref="E1310">_xlfn.XLOOKUP(A1310,Product!A:A,Product!B:B,"Bulunamadı")</f>
        <v>Arts</v>
      </c>
      <c r="F1310" s="1" t="str">
        <f t="array" ref="F1310">_xlfn.XLOOKUP(A1310,Product!A:A,Product!C:C,"Bulunamadı")</f>
        <v>Political History</v>
      </c>
      <c r="G1310" s="2" t="str">
        <f t="array" ref="G1310">_xlfn.XLOOKUP(A1311,Product!A:A,Product!D:D,"Bulunamadı")</f>
        <v>Highland Grove Publishing</v>
      </c>
      <c r="H1310" s="2">
        <f t="array" ref="H1310">_xlfn.XLOOKUP(A1312,Product!A:A,Product!E:E,"Bulunamadı")</f>
        <v>1.3</v>
      </c>
      <c r="I1310" s="2" t="str">
        <f t="shared" si="1"/>
        <v>101587 - Arts - Political History</v>
      </c>
      <c r="J1310" s="2">
        <f t="shared" si="2"/>
        <v>328.9</v>
      </c>
      <c r="K1310" s="17">
        <f t="shared" si="3"/>
        <v>1</v>
      </c>
      <c r="L1310" s="18"/>
    </row>
    <row r="1311">
      <c r="A1311" s="2">
        <f>IFERROR(__xludf.DUMMYFUNCTION("""COMPUTED_VALUE"""),10525.0)</f>
        <v>10525</v>
      </c>
      <c r="B1311" s="2">
        <f>IFERROR(__xludf.DUMMYFUNCTION("""COMPUTED_VALUE"""),0.0)</f>
        <v>0</v>
      </c>
      <c r="C1311" s="2">
        <f>IFERROR(__xludf.DUMMYFUNCTION("""COMPUTED_VALUE"""),575.0)</f>
        <v>575</v>
      </c>
      <c r="D1311" s="3">
        <f>IFERROR(__xludf.DUMMYFUNCTION("""COMPUTED_VALUE"""),105.0)</f>
        <v>105</v>
      </c>
      <c r="E1311" s="1" t="str">
        <f t="array" ref="E1311">_xlfn.XLOOKUP(A1311,Product!A:A,Product!B:B,"Bulunamadı")</f>
        <v>Arts</v>
      </c>
      <c r="F1311" s="1" t="str">
        <f t="array" ref="F1311">_xlfn.XLOOKUP(A1311,Product!A:A,Product!C:C,"Bulunamadı")</f>
        <v>Political History</v>
      </c>
      <c r="G1311" s="2" t="str">
        <f t="array" ref="G1311">_xlfn.XLOOKUP(A1312,Product!A:A,Product!D:D,"Bulunamadı")</f>
        <v>Highland Grove Publishing</v>
      </c>
      <c r="H1311" s="2">
        <f t="array" ref="H1311">_xlfn.XLOOKUP(A1313,Product!A:A,Product!E:E,"Bulunamadı")</f>
        <v>3.33</v>
      </c>
      <c r="I1311" s="2" t="str">
        <f t="shared" si="1"/>
        <v>10525 - Arts - Political History</v>
      </c>
      <c r="J1311" s="2">
        <f t="shared" si="2"/>
        <v>349.65</v>
      </c>
      <c r="K1311" s="17">
        <f t="shared" si="3"/>
        <v>1</v>
      </c>
      <c r="L1311" s="18"/>
    </row>
    <row r="1312">
      <c r="A1312" s="2">
        <f>IFERROR(__xludf.DUMMYFUNCTION("""COMPUTED_VALUE"""),121349.0)</f>
        <v>121349</v>
      </c>
      <c r="B1312" s="2">
        <f>IFERROR(__xludf.DUMMYFUNCTION("""COMPUTED_VALUE"""),1.0)</f>
        <v>1</v>
      </c>
      <c r="C1312" s="2">
        <f>IFERROR(__xludf.DUMMYFUNCTION("""COMPUTED_VALUE"""),173.0)</f>
        <v>173</v>
      </c>
      <c r="D1312" s="3">
        <f>IFERROR(__xludf.DUMMYFUNCTION("""COMPUTED_VALUE"""),118.0)</f>
        <v>118</v>
      </c>
      <c r="E1312" s="1" t="str">
        <f t="array" ref="E1312">_xlfn.XLOOKUP(A1312,Product!A:A,Product!B:B,"Bulunamadı")</f>
        <v>Arts</v>
      </c>
      <c r="F1312" s="1" t="str">
        <f t="array" ref="F1312">_xlfn.XLOOKUP(A1312,Product!A:A,Product!C:C,"Bulunamadı")</f>
        <v>Political History</v>
      </c>
      <c r="G1312" s="2" t="str">
        <f t="array" ref="G1312">_xlfn.XLOOKUP(A1313,Product!A:A,Product!D:D,"Bulunamadı")</f>
        <v>Highland Grove Publishing</v>
      </c>
      <c r="H1312" s="2">
        <f t="array" ref="H1312">_xlfn.XLOOKUP(A1314,Product!A:A,Product!E:E,"Bulunamadı")</f>
        <v>8.13</v>
      </c>
      <c r="I1312" s="2" t="str">
        <f t="shared" si="1"/>
        <v>121349 - Arts - Political History</v>
      </c>
      <c r="J1312" s="2">
        <f t="shared" si="2"/>
        <v>959.34</v>
      </c>
      <c r="K1312" s="17">
        <f t="shared" si="3"/>
        <v>1</v>
      </c>
      <c r="L1312" s="18"/>
    </row>
    <row r="1313">
      <c r="A1313" s="2">
        <f>IFERROR(__xludf.DUMMYFUNCTION("""COMPUTED_VALUE"""),127811.0)</f>
        <v>127811</v>
      </c>
      <c r="B1313" s="2">
        <f>IFERROR(__xludf.DUMMYFUNCTION("""COMPUTED_VALUE"""),1.0)</f>
        <v>1</v>
      </c>
      <c r="C1313" s="2">
        <f>IFERROR(__xludf.DUMMYFUNCTION("""COMPUTED_VALUE"""),429.0)</f>
        <v>429</v>
      </c>
      <c r="D1313" s="3">
        <f>IFERROR(__xludf.DUMMYFUNCTION("""COMPUTED_VALUE"""),353.0)</f>
        <v>353</v>
      </c>
      <c r="E1313" s="1" t="str">
        <f t="array" ref="E1313">_xlfn.XLOOKUP(A1313,Product!A:A,Product!B:B,"Bulunamadı")</f>
        <v>Arts</v>
      </c>
      <c r="F1313" s="1" t="str">
        <f t="array" ref="F1313">_xlfn.XLOOKUP(A1313,Product!A:A,Product!C:C,"Bulunamadı")</f>
        <v>Political History</v>
      </c>
      <c r="G1313" s="2" t="str">
        <f t="array" ref="G1313">_xlfn.XLOOKUP(A1314,Product!A:A,Product!D:D,"Bulunamadı")</f>
        <v>Highland Grove Publishing</v>
      </c>
      <c r="H1313" s="2">
        <f t="array" ref="H1313">_xlfn.XLOOKUP(A1315,Product!A:A,Product!E:E,"Bulunamadı")</f>
        <v>2.23</v>
      </c>
      <c r="I1313" s="2" t="str">
        <f t="shared" si="1"/>
        <v>127811 - Arts - Political History</v>
      </c>
      <c r="J1313" s="2">
        <f t="shared" si="2"/>
        <v>787.19</v>
      </c>
      <c r="K1313" s="17">
        <f t="shared" si="3"/>
        <v>1</v>
      </c>
      <c r="L1313" s="18"/>
    </row>
    <row r="1314">
      <c r="A1314" s="2">
        <f>IFERROR(__xludf.DUMMYFUNCTION("""COMPUTED_VALUE"""),81507.0)</f>
        <v>81507</v>
      </c>
      <c r="B1314" s="2">
        <f>IFERROR(__xludf.DUMMYFUNCTION("""COMPUTED_VALUE"""),1.0)</f>
        <v>1</v>
      </c>
      <c r="C1314" s="2">
        <f>IFERROR(__xludf.DUMMYFUNCTION("""COMPUTED_VALUE"""),50.0)</f>
        <v>50</v>
      </c>
      <c r="D1314" s="3">
        <f>IFERROR(__xludf.DUMMYFUNCTION("""COMPUTED_VALUE"""),4.0)</f>
        <v>4</v>
      </c>
      <c r="E1314" s="1" t="str">
        <f t="array" ref="E1314">_xlfn.XLOOKUP(A1314,Product!A:A,Product!B:B,"Bulunamadı")</f>
        <v>Arts</v>
      </c>
      <c r="F1314" s="1" t="str">
        <f t="array" ref="F1314">_xlfn.XLOOKUP(A1314,Product!A:A,Product!C:C,"Bulunamadı")</f>
        <v>Political History</v>
      </c>
      <c r="G1314" s="2" t="str">
        <f t="array" ref="G1314">_xlfn.XLOOKUP(A1315,Product!A:A,Product!D:D,"Bulunamadı")</f>
        <v>Highland Grove Publishing</v>
      </c>
      <c r="H1314" s="2">
        <f t="array" ref="H1314">_xlfn.XLOOKUP(A1316,Product!A:A,Product!E:E,"Bulunamadı")</f>
        <v>1.6</v>
      </c>
      <c r="I1314" s="2" t="str">
        <f t="shared" si="1"/>
        <v>81507 - Arts - Political History</v>
      </c>
      <c r="J1314" s="2">
        <f t="shared" si="2"/>
        <v>6.4</v>
      </c>
      <c r="K1314" s="17">
        <f t="shared" si="3"/>
        <v>1</v>
      </c>
      <c r="L1314" s="18"/>
    </row>
    <row r="1315">
      <c r="A1315" s="2">
        <f>IFERROR(__xludf.DUMMYFUNCTION("""COMPUTED_VALUE"""),78412.0)</f>
        <v>78412</v>
      </c>
      <c r="B1315" s="2">
        <f>IFERROR(__xludf.DUMMYFUNCTION("""COMPUTED_VALUE"""),0.0)</f>
        <v>0</v>
      </c>
      <c r="C1315" s="2">
        <f>IFERROR(__xludf.DUMMYFUNCTION("""COMPUTED_VALUE"""),931.0)</f>
        <v>931</v>
      </c>
      <c r="D1315" s="3">
        <f>IFERROR(__xludf.DUMMYFUNCTION("""COMPUTED_VALUE"""),796.0)</f>
        <v>796</v>
      </c>
      <c r="E1315" s="1" t="str">
        <f t="array" ref="E1315">_xlfn.XLOOKUP(A1315,Product!A:A,Product!B:B,"Bulunamadı")</f>
        <v>Arts</v>
      </c>
      <c r="F1315" s="1" t="str">
        <f t="array" ref="F1315">_xlfn.XLOOKUP(A1315,Product!A:A,Product!C:C,"Bulunamadı")</f>
        <v>Political History</v>
      </c>
      <c r="G1315" s="2" t="str">
        <f t="array" ref="G1315">_xlfn.XLOOKUP(A1316,Product!A:A,Product!D:D,"Bulunamadı")</f>
        <v>Highland Grove Publishing</v>
      </c>
      <c r="H1315" s="2">
        <f t="array" ref="H1315">_xlfn.XLOOKUP(A1317,Product!A:A,Product!E:E,"Bulunamadı")</f>
        <v>4.83</v>
      </c>
      <c r="I1315" s="2" t="str">
        <f t="shared" si="1"/>
        <v>78412 - Arts - Political History</v>
      </c>
      <c r="J1315" s="2">
        <f t="shared" si="2"/>
        <v>3844.68</v>
      </c>
      <c r="K1315" s="17">
        <f t="shared" si="3"/>
        <v>1</v>
      </c>
      <c r="L1315" s="18"/>
    </row>
    <row r="1316">
      <c r="A1316" s="2">
        <f>IFERROR(__xludf.DUMMYFUNCTION("""COMPUTED_VALUE"""),109312.0)</f>
        <v>109312</v>
      </c>
      <c r="B1316" s="2">
        <f>IFERROR(__xludf.DUMMYFUNCTION("""COMPUTED_VALUE"""),0.0)</f>
        <v>0</v>
      </c>
      <c r="C1316" s="2">
        <f>IFERROR(__xludf.DUMMYFUNCTION("""COMPUTED_VALUE"""),457.0)</f>
        <v>457</v>
      </c>
      <c r="D1316" s="3">
        <f>IFERROR(__xludf.DUMMYFUNCTION("""COMPUTED_VALUE"""),450.0)</f>
        <v>450</v>
      </c>
      <c r="E1316" s="1" t="str">
        <f t="array" ref="E1316">_xlfn.XLOOKUP(A1316,Product!A:A,Product!B:B,"Bulunamadı")</f>
        <v>Arts</v>
      </c>
      <c r="F1316" s="1" t="str">
        <f t="array" ref="F1316">_xlfn.XLOOKUP(A1316,Product!A:A,Product!C:C,"Bulunamadı")</f>
        <v>Political History</v>
      </c>
      <c r="G1316" s="2" t="str">
        <f t="array" ref="G1316">_xlfn.XLOOKUP(A1317,Product!A:A,Product!D:D,"Bulunamadı")</f>
        <v>Highland Grove Publishing</v>
      </c>
      <c r="H1316" s="2">
        <f t="array" ref="H1316">_xlfn.XLOOKUP(A1318,Product!A:A,Product!E:E,"Bulunamadı")</f>
        <v>1.63</v>
      </c>
      <c r="I1316" s="2" t="str">
        <f t="shared" si="1"/>
        <v>109312 - Arts - Political History</v>
      </c>
      <c r="J1316" s="2">
        <f t="shared" si="2"/>
        <v>733.5</v>
      </c>
      <c r="K1316" s="17">
        <f t="shared" si="3"/>
        <v>1</v>
      </c>
      <c r="L1316" s="18"/>
    </row>
    <row r="1317">
      <c r="A1317" s="2">
        <f>IFERROR(__xludf.DUMMYFUNCTION("""COMPUTED_VALUE"""),78502.0)</f>
        <v>78502</v>
      </c>
      <c r="B1317" s="2">
        <f>IFERROR(__xludf.DUMMYFUNCTION("""COMPUTED_VALUE"""),1.0)</f>
        <v>1</v>
      </c>
      <c r="C1317" s="2">
        <f>IFERROR(__xludf.DUMMYFUNCTION("""COMPUTED_VALUE"""),975.0)</f>
        <v>975</v>
      </c>
      <c r="D1317" s="3">
        <f>IFERROR(__xludf.DUMMYFUNCTION("""COMPUTED_VALUE"""),934.0)</f>
        <v>934</v>
      </c>
      <c r="E1317" s="1" t="str">
        <f t="array" ref="E1317">_xlfn.XLOOKUP(A1317,Product!A:A,Product!B:B,"Bulunamadı")</f>
        <v>Arts</v>
      </c>
      <c r="F1317" s="1" t="str">
        <f t="array" ref="F1317">_xlfn.XLOOKUP(A1317,Product!A:A,Product!C:C,"Bulunamadı")</f>
        <v>Political History</v>
      </c>
      <c r="G1317" s="2" t="str">
        <f t="array" ref="G1317">_xlfn.XLOOKUP(A1318,Product!A:A,Product!D:D,"Bulunamadı")</f>
        <v>Highland Grove Publishing</v>
      </c>
      <c r="H1317" s="2">
        <f t="array" ref="H1317">_xlfn.XLOOKUP(A1319,Product!A:A,Product!E:E,"Bulunamadı")</f>
        <v>3.86</v>
      </c>
      <c r="I1317" s="2" t="str">
        <f t="shared" si="1"/>
        <v>78502 - Arts - Political History</v>
      </c>
      <c r="J1317" s="2">
        <f t="shared" si="2"/>
        <v>3605.24</v>
      </c>
      <c r="K1317" s="17">
        <f t="shared" si="3"/>
        <v>1</v>
      </c>
      <c r="L1317" s="18"/>
    </row>
    <row r="1318">
      <c r="A1318" s="2">
        <f>IFERROR(__xludf.DUMMYFUNCTION("""COMPUTED_VALUE"""),111498.0)</f>
        <v>111498</v>
      </c>
      <c r="B1318" s="2">
        <f>IFERROR(__xludf.DUMMYFUNCTION("""COMPUTED_VALUE"""),0.0)</f>
        <v>0</v>
      </c>
      <c r="C1318" s="2">
        <f>IFERROR(__xludf.DUMMYFUNCTION("""COMPUTED_VALUE"""),877.0)</f>
        <v>877</v>
      </c>
      <c r="D1318" s="3">
        <f>IFERROR(__xludf.DUMMYFUNCTION("""COMPUTED_VALUE"""),476.0)</f>
        <v>476</v>
      </c>
      <c r="E1318" s="1" t="str">
        <f t="array" ref="E1318">_xlfn.XLOOKUP(A1318,Product!A:A,Product!B:B,"Bulunamadı")</f>
        <v>Arts</v>
      </c>
      <c r="F1318" s="1" t="str">
        <f t="array" ref="F1318">_xlfn.XLOOKUP(A1318,Product!A:A,Product!C:C,"Bulunamadı")</f>
        <v>Political History</v>
      </c>
      <c r="G1318" s="2" t="str">
        <f t="array" ref="G1318">_xlfn.XLOOKUP(A1319,Product!A:A,Product!D:D,"Bulunamadı")</f>
        <v>Highland Grove Publishing</v>
      </c>
      <c r="H1318" s="2">
        <f t="array" ref="H1318">_xlfn.XLOOKUP(A1320,Product!A:A,Product!E:E,"Bulunamadı")</f>
        <v>2.89</v>
      </c>
      <c r="I1318" s="2" t="str">
        <f t="shared" si="1"/>
        <v>111498 - Arts - Political History</v>
      </c>
      <c r="J1318" s="2">
        <f t="shared" si="2"/>
        <v>1375.64</v>
      </c>
      <c r="K1318" s="17">
        <f t="shared" si="3"/>
        <v>1</v>
      </c>
      <c r="L1318" s="18"/>
    </row>
    <row r="1319">
      <c r="A1319" s="2">
        <f>IFERROR(__xludf.DUMMYFUNCTION("""COMPUTED_VALUE"""),87242.0)</f>
        <v>87242</v>
      </c>
      <c r="B1319" s="2">
        <f>IFERROR(__xludf.DUMMYFUNCTION("""COMPUTED_VALUE"""),0.0)</f>
        <v>0</v>
      </c>
      <c r="C1319" s="2">
        <f>IFERROR(__xludf.DUMMYFUNCTION("""COMPUTED_VALUE"""),757.0)</f>
        <v>757</v>
      </c>
      <c r="D1319" s="3">
        <f>IFERROR(__xludf.DUMMYFUNCTION("""COMPUTED_VALUE"""),548.0)</f>
        <v>548</v>
      </c>
      <c r="E1319" s="1" t="str">
        <f t="array" ref="E1319">_xlfn.XLOOKUP(A1319,Product!A:A,Product!B:B,"Bulunamadı")</f>
        <v>Arts</v>
      </c>
      <c r="F1319" s="1" t="str">
        <f t="array" ref="F1319">_xlfn.XLOOKUP(A1319,Product!A:A,Product!C:C,"Bulunamadı")</f>
        <v>Political History</v>
      </c>
      <c r="G1319" s="2" t="str">
        <f t="array" ref="G1319">_xlfn.XLOOKUP(A1320,Product!A:A,Product!D:D,"Bulunamadı")</f>
        <v>Highland Grove Publishing</v>
      </c>
      <c r="H1319" s="2">
        <f t="array" ref="H1319">_xlfn.XLOOKUP(A1321,Product!A:A,Product!E:E,"Bulunamadı")</f>
        <v>4.86</v>
      </c>
      <c r="I1319" s="2" t="str">
        <f t="shared" si="1"/>
        <v>87242 - Arts - Political History</v>
      </c>
      <c r="J1319" s="2">
        <f t="shared" si="2"/>
        <v>2663.28</v>
      </c>
      <c r="K1319" s="17">
        <f t="shared" si="3"/>
        <v>1</v>
      </c>
      <c r="L1319" s="18"/>
    </row>
    <row r="1320">
      <c r="A1320" s="2">
        <f>IFERROR(__xludf.DUMMYFUNCTION("""COMPUTED_VALUE"""),139286.0)</f>
        <v>139286</v>
      </c>
      <c r="B1320" s="2">
        <f>IFERROR(__xludf.DUMMYFUNCTION("""COMPUTED_VALUE"""),1.0)</f>
        <v>1</v>
      </c>
      <c r="C1320" s="2">
        <f>IFERROR(__xludf.DUMMYFUNCTION("""COMPUTED_VALUE"""),197.0)</f>
        <v>197</v>
      </c>
      <c r="D1320" s="3">
        <f>IFERROR(__xludf.DUMMYFUNCTION("""COMPUTED_VALUE"""),117.0)</f>
        <v>117</v>
      </c>
      <c r="E1320" s="1" t="str">
        <f t="array" ref="E1320">_xlfn.XLOOKUP(A1320,Product!A:A,Product!B:B,"Bulunamadı")</f>
        <v>Arts</v>
      </c>
      <c r="F1320" s="1" t="str">
        <f t="array" ref="F1320">_xlfn.XLOOKUP(A1320,Product!A:A,Product!C:C,"Bulunamadı")</f>
        <v>Political History</v>
      </c>
      <c r="G1320" s="2" t="str">
        <f t="array" ref="G1320">_xlfn.XLOOKUP(A1321,Product!A:A,Product!D:D,"Bulunamadı")</f>
        <v>Highland Grove Publishing</v>
      </c>
      <c r="H1320" s="2">
        <f t="array" ref="H1320">_xlfn.XLOOKUP(A1322,Product!A:A,Product!E:E,"Bulunamadı")</f>
        <v>2.23</v>
      </c>
      <c r="I1320" s="2" t="str">
        <f t="shared" si="1"/>
        <v>139286 - Arts - Political History</v>
      </c>
      <c r="J1320" s="2">
        <f t="shared" si="2"/>
        <v>260.91</v>
      </c>
      <c r="K1320" s="17">
        <f t="shared" si="3"/>
        <v>1</v>
      </c>
      <c r="L1320" s="18"/>
    </row>
    <row r="1321">
      <c r="A1321" s="2">
        <f>IFERROR(__xludf.DUMMYFUNCTION("""COMPUTED_VALUE"""),10524.0)</f>
        <v>10524</v>
      </c>
      <c r="B1321" s="2">
        <f>IFERROR(__xludf.DUMMYFUNCTION("""COMPUTED_VALUE"""),0.0)</f>
        <v>0</v>
      </c>
      <c r="C1321" s="2">
        <f>IFERROR(__xludf.DUMMYFUNCTION("""COMPUTED_VALUE"""),64.0)</f>
        <v>64</v>
      </c>
      <c r="D1321" s="3">
        <f>IFERROR(__xludf.DUMMYFUNCTION("""COMPUTED_VALUE"""),1.0)</f>
        <v>1</v>
      </c>
      <c r="E1321" s="1" t="str">
        <f t="array" ref="E1321">_xlfn.XLOOKUP(A1321,Product!A:A,Product!B:B,"Bulunamadı")</f>
        <v>Arts</v>
      </c>
      <c r="F1321" s="1" t="str">
        <f t="array" ref="F1321">_xlfn.XLOOKUP(A1321,Product!A:A,Product!C:C,"Bulunamadı")</f>
        <v>Political History</v>
      </c>
      <c r="G1321" s="2" t="str">
        <f t="array" ref="G1321">_xlfn.XLOOKUP(A1322,Product!A:A,Product!D:D,"Bulunamadı")</f>
        <v>Highland Grove Publishing</v>
      </c>
      <c r="H1321" s="2">
        <f t="array" ref="H1321">_xlfn.XLOOKUP(A1323,Product!A:A,Product!E:E,"Bulunamadı")</f>
        <v>1.7</v>
      </c>
      <c r="I1321" s="2" t="str">
        <f t="shared" si="1"/>
        <v>10524 - Arts - Political History</v>
      </c>
      <c r="J1321" s="2">
        <f t="shared" si="2"/>
        <v>1.7</v>
      </c>
      <c r="K1321" s="17">
        <f t="shared" si="3"/>
        <v>1</v>
      </c>
      <c r="L1321" s="18"/>
    </row>
    <row r="1322">
      <c r="A1322" s="2">
        <f>IFERROR(__xludf.DUMMYFUNCTION("""COMPUTED_VALUE"""),78397.0)</f>
        <v>78397</v>
      </c>
      <c r="B1322" s="2">
        <f>IFERROR(__xludf.DUMMYFUNCTION("""COMPUTED_VALUE"""),1.0)</f>
        <v>1</v>
      </c>
      <c r="C1322" s="2">
        <f>IFERROR(__xludf.DUMMYFUNCTION("""COMPUTED_VALUE"""),839.0)</f>
        <v>839</v>
      </c>
      <c r="D1322" s="3">
        <f>IFERROR(__xludf.DUMMYFUNCTION("""COMPUTED_VALUE"""),826.0)</f>
        <v>826</v>
      </c>
      <c r="E1322" s="1" t="str">
        <f t="array" ref="E1322">_xlfn.XLOOKUP(A1322,Product!A:A,Product!B:B,"Bulunamadı")</f>
        <v>Arts</v>
      </c>
      <c r="F1322" s="1" t="str">
        <f t="array" ref="F1322">_xlfn.XLOOKUP(A1322,Product!A:A,Product!C:C,"Bulunamadı")</f>
        <v>Political History</v>
      </c>
      <c r="G1322" s="2" t="str">
        <f t="array" ref="G1322">_xlfn.XLOOKUP(A1323,Product!A:A,Product!D:D,"Bulunamadı")</f>
        <v>Highland Grove Publishing</v>
      </c>
      <c r="H1322" s="2">
        <f t="array" ref="H1322">_xlfn.XLOOKUP(A1324,Product!A:A,Product!E:E,"Bulunamadı")</f>
        <v>11.04</v>
      </c>
      <c r="I1322" s="2" t="str">
        <f t="shared" si="1"/>
        <v>78397 - Arts - Political History</v>
      </c>
      <c r="J1322" s="2">
        <f t="shared" si="2"/>
        <v>9119.04</v>
      </c>
      <c r="K1322" s="17">
        <f t="shared" si="3"/>
        <v>1</v>
      </c>
      <c r="L1322" s="18"/>
    </row>
    <row r="1323">
      <c r="A1323" s="2">
        <f>IFERROR(__xludf.DUMMYFUNCTION("""COMPUTED_VALUE"""),78421.0)</f>
        <v>78421</v>
      </c>
      <c r="B1323" s="2">
        <f>IFERROR(__xludf.DUMMYFUNCTION("""COMPUTED_VALUE"""),0.0)</f>
        <v>0</v>
      </c>
      <c r="C1323" s="2">
        <f>IFERROR(__xludf.DUMMYFUNCTION("""COMPUTED_VALUE"""),363.0)</f>
        <v>363</v>
      </c>
      <c r="D1323" s="3">
        <f>IFERROR(__xludf.DUMMYFUNCTION("""COMPUTED_VALUE"""),119.0)</f>
        <v>119</v>
      </c>
      <c r="E1323" s="1" t="str">
        <f t="array" ref="E1323">_xlfn.XLOOKUP(A1323,Product!A:A,Product!B:B,"Bulunamadı")</f>
        <v>Arts</v>
      </c>
      <c r="F1323" s="1" t="str">
        <f t="array" ref="F1323">_xlfn.XLOOKUP(A1323,Product!A:A,Product!C:C,"Bulunamadı")</f>
        <v>Political History</v>
      </c>
      <c r="G1323" s="2" t="str">
        <f t="array" ref="G1323">_xlfn.XLOOKUP(A1324,Product!A:A,Product!D:D,"Bulunamadı")</f>
        <v>Highland Grove Publishing</v>
      </c>
      <c r="H1323" s="2">
        <f t="array" ref="H1323">_xlfn.XLOOKUP(A1325,Product!A:A,Product!E:E,"Bulunamadı")</f>
        <v>8.91</v>
      </c>
      <c r="I1323" s="2" t="str">
        <f t="shared" si="1"/>
        <v>78421 - Arts - Political History</v>
      </c>
      <c r="J1323" s="2">
        <f t="shared" si="2"/>
        <v>1060.29</v>
      </c>
      <c r="K1323" s="17">
        <f t="shared" si="3"/>
        <v>1</v>
      </c>
      <c r="L1323" s="18"/>
    </row>
    <row r="1324">
      <c r="A1324" s="2">
        <f>IFERROR(__xludf.DUMMYFUNCTION("""COMPUTED_VALUE"""),23420.0)</f>
        <v>23420</v>
      </c>
      <c r="B1324" s="2">
        <f>IFERROR(__xludf.DUMMYFUNCTION("""COMPUTED_VALUE"""),1.0)</f>
        <v>1</v>
      </c>
      <c r="C1324" s="2">
        <f>IFERROR(__xludf.DUMMYFUNCTION("""COMPUTED_VALUE"""),151.0)</f>
        <v>151</v>
      </c>
      <c r="D1324" s="3">
        <f>IFERROR(__xludf.DUMMYFUNCTION("""COMPUTED_VALUE"""),83.0)</f>
        <v>83</v>
      </c>
      <c r="E1324" s="1" t="str">
        <f t="array" ref="E1324">_xlfn.XLOOKUP(A1324,Product!A:A,Product!B:B,"Bulunamadı")</f>
        <v>Arts</v>
      </c>
      <c r="F1324" s="1" t="str">
        <f t="array" ref="F1324">_xlfn.XLOOKUP(A1324,Product!A:A,Product!C:C,"Bulunamadı")</f>
        <v>Political History</v>
      </c>
      <c r="G1324" s="2" t="str">
        <f t="array" ref="G1324">_xlfn.XLOOKUP(A1325,Product!A:A,Product!D:D,"Bulunamadı")</f>
        <v>Highland Grove Publishing</v>
      </c>
      <c r="H1324" s="2">
        <f t="array" ref="H1324">_xlfn.XLOOKUP(A1326,Product!A:A,Product!E:E,"Bulunamadı")</f>
        <v>5.14</v>
      </c>
      <c r="I1324" s="2" t="str">
        <f t="shared" si="1"/>
        <v>23420 - Arts - Political History</v>
      </c>
      <c r="J1324" s="2">
        <f t="shared" si="2"/>
        <v>426.62</v>
      </c>
      <c r="K1324" s="17">
        <f t="shared" si="3"/>
        <v>1</v>
      </c>
      <c r="L1324" s="18"/>
    </row>
    <row r="1325">
      <c r="A1325" s="2">
        <f>IFERROR(__xludf.DUMMYFUNCTION("""COMPUTED_VALUE"""),78498.0)</f>
        <v>78498</v>
      </c>
      <c r="B1325" s="2">
        <f>IFERROR(__xludf.DUMMYFUNCTION("""COMPUTED_VALUE"""),1.0)</f>
        <v>1</v>
      </c>
      <c r="C1325" s="2">
        <f>IFERROR(__xludf.DUMMYFUNCTION("""COMPUTED_VALUE"""),925.0)</f>
        <v>925</v>
      </c>
      <c r="D1325" s="3">
        <f>IFERROR(__xludf.DUMMYFUNCTION("""COMPUTED_VALUE"""),599.0)</f>
        <v>599</v>
      </c>
      <c r="E1325" s="1" t="str">
        <f t="array" ref="E1325">_xlfn.XLOOKUP(A1325,Product!A:A,Product!B:B,"Bulunamadı")</f>
        <v>Arts</v>
      </c>
      <c r="F1325" s="1" t="str">
        <f t="array" ref="F1325">_xlfn.XLOOKUP(A1325,Product!A:A,Product!C:C,"Bulunamadı")</f>
        <v>Political History</v>
      </c>
      <c r="G1325" s="2" t="str">
        <f t="array" ref="G1325">_xlfn.XLOOKUP(A1326,Product!A:A,Product!D:D,"Bulunamadı")</f>
        <v>Highland Grove Publishing</v>
      </c>
      <c r="H1325" s="2">
        <f t="array" ref="H1325">_xlfn.XLOOKUP(A1327,Product!A:A,Product!E:E,"Bulunamadı")</f>
        <v>1.34</v>
      </c>
      <c r="I1325" s="2" t="str">
        <f t="shared" si="1"/>
        <v>78498 - Arts - Political History</v>
      </c>
      <c r="J1325" s="2">
        <f t="shared" si="2"/>
        <v>802.66</v>
      </c>
      <c r="K1325" s="17">
        <f t="shared" si="3"/>
        <v>1</v>
      </c>
      <c r="L1325" s="18"/>
    </row>
    <row r="1326">
      <c r="A1326" s="2">
        <f>IFERROR(__xludf.DUMMYFUNCTION("""COMPUTED_VALUE"""),78427.0)</f>
        <v>78427</v>
      </c>
      <c r="B1326" s="2">
        <f>IFERROR(__xludf.DUMMYFUNCTION("""COMPUTED_VALUE"""),0.0)</f>
        <v>0</v>
      </c>
      <c r="C1326" s="2">
        <f>IFERROR(__xludf.DUMMYFUNCTION("""COMPUTED_VALUE"""),846.0)</f>
        <v>846</v>
      </c>
      <c r="D1326" s="3">
        <f>IFERROR(__xludf.DUMMYFUNCTION("""COMPUTED_VALUE"""),563.0)</f>
        <v>563</v>
      </c>
      <c r="E1326" s="1" t="str">
        <f t="array" ref="E1326">_xlfn.XLOOKUP(A1326,Product!A:A,Product!B:B,"Bulunamadı")</f>
        <v>Arts</v>
      </c>
      <c r="F1326" s="1" t="str">
        <f t="array" ref="F1326">_xlfn.XLOOKUP(A1326,Product!A:A,Product!C:C,"Bulunamadı")</f>
        <v>Political History</v>
      </c>
      <c r="G1326" s="2" t="str">
        <f t="array" ref="G1326">_xlfn.XLOOKUP(A1327,Product!A:A,Product!D:D,"Bulunamadı")</f>
        <v>Highland Grove Publishing</v>
      </c>
      <c r="H1326" s="2">
        <f t="array" ref="H1326">_xlfn.XLOOKUP(A1328,Product!A:A,Product!E:E,"Bulunamadı")</f>
        <v>7.43</v>
      </c>
      <c r="I1326" s="2" t="str">
        <f t="shared" si="1"/>
        <v>78427 - Arts - Political History</v>
      </c>
      <c r="J1326" s="2">
        <f t="shared" si="2"/>
        <v>4183.09</v>
      </c>
      <c r="K1326" s="17">
        <f t="shared" si="3"/>
        <v>1</v>
      </c>
      <c r="L1326" s="18"/>
    </row>
    <row r="1327">
      <c r="A1327" s="2">
        <f>IFERROR(__xludf.DUMMYFUNCTION("""COMPUTED_VALUE"""),119256.0)</f>
        <v>119256</v>
      </c>
      <c r="B1327" s="2">
        <f>IFERROR(__xludf.DUMMYFUNCTION("""COMPUTED_VALUE"""),0.0)</f>
        <v>0</v>
      </c>
      <c r="C1327" s="2">
        <f>IFERROR(__xludf.DUMMYFUNCTION("""COMPUTED_VALUE"""),186.0)</f>
        <v>186</v>
      </c>
      <c r="D1327" s="3">
        <f>IFERROR(__xludf.DUMMYFUNCTION("""COMPUTED_VALUE"""),85.0)</f>
        <v>85</v>
      </c>
      <c r="E1327" s="1" t="str">
        <f t="array" ref="E1327">_xlfn.XLOOKUP(A1327,Product!A:A,Product!B:B,"Bulunamadı")</f>
        <v>Arts</v>
      </c>
      <c r="F1327" s="1" t="str">
        <f t="array" ref="F1327">_xlfn.XLOOKUP(A1327,Product!A:A,Product!C:C,"Bulunamadı")</f>
        <v>Political History</v>
      </c>
      <c r="G1327" s="2" t="str">
        <f t="array" ref="G1327">_xlfn.XLOOKUP(A1328,Product!A:A,Product!D:D,"Bulunamadı")</f>
        <v>Highland Grove Publishing</v>
      </c>
      <c r="H1327" s="2">
        <f t="array" ref="H1327">_xlfn.XLOOKUP(A1329,Product!A:A,Product!E:E,"Bulunamadı")</f>
        <v>2.09</v>
      </c>
      <c r="I1327" s="2" t="str">
        <f t="shared" si="1"/>
        <v>119256 - Arts - Political History</v>
      </c>
      <c r="J1327" s="2">
        <f t="shared" si="2"/>
        <v>177.65</v>
      </c>
      <c r="K1327" s="17">
        <f t="shared" si="3"/>
        <v>1</v>
      </c>
      <c r="L1327" s="18"/>
    </row>
    <row r="1328">
      <c r="A1328" s="2">
        <f>IFERROR(__xludf.DUMMYFUNCTION("""COMPUTED_VALUE"""),44731.0)</f>
        <v>44731</v>
      </c>
      <c r="B1328" s="2">
        <f>IFERROR(__xludf.DUMMYFUNCTION("""COMPUTED_VALUE"""),1.0)</f>
        <v>1</v>
      </c>
      <c r="C1328" s="2">
        <f>IFERROR(__xludf.DUMMYFUNCTION("""COMPUTED_VALUE"""),702.0)</f>
        <v>702</v>
      </c>
      <c r="D1328" s="3">
        <f>IFERROR(__xludf.DUMMYFUNCTION("""COMPUTED_VALUE"""),605.0)</f>
        <v>605</v>
      </c>
      <c r="E1328" s="1" t="str">
        <f t="array" ref="E1328">_xlfn.XLOOKUP(A1328,Product!A:A,Product!B:B,"Bulunamadı")</f>
        <v>Arts</v>
      </c>
      <c r="F1328" s="1" t="str">
        <f t="array" ref="F1328">_xlfn.XLOOKUP(A1328,Product!A:A,Product!C:C,"Bulunamadı")</f>
        <v>Political History</v>
      </c>
      <c r="G1328" s="2" t="str">
        <f t="array" ref="G1328">_xlfn.XLOOKUP(A1329,Product!A:A,Product!D:D,"Bulunamadı")</f>
        <v>Highland Grove Publishing</v>
      </c>
      <c r="H1328" s="2">
        <f t="array" ref="H1328">_xlfn.XLOOKUP(A1330,Product!A:A,Product!E:E,"Bulunamadı")</f>
        <v>1.42</v>
      </c>
      <c r="I1328" s="2" t="str">
        <f t="shared" si="1"/>
        <v>44731 - Arts - Political History</v>
      </c>
      <c r="J1328" s="2">
        <f t="shared" si="2"/>
        <v>859.1</v>
      </c>
      <c r="K1328" s="17">
        <f t="shared" si="3"/>
        <v>1</v>
      </c>
      <c r="L1328" s="18"/>
    </row>
    <row r="1329">
      <c r="A1329" s="2">
        <f>IFERROR(__xludf.DUMMYFUNCTION("""COMPUTED_VALUE"""),86852.0)</f>
        <v>86852</v>
      </c>
      <c r="B1329" s="2">
        <f>IFERROR(__xludf.DUMMYFUNCTION("""COMPUTED_VALUE"""),0.0)</f>
        <v>0</v>
      </c>
      <c r="C1329" s="2">
        <f>IFERROR(__xludf.DUMMYFUNCTION("""COMPUTED_VALUE"""),855.0)</f>
        <v>855</v>
      </c>
      <c r="D1329" s="3">
        <f>IFERROR(__xludf.DUMMYFUNCTION("""COMPUTED_VALUE"""),317.0)</f>
        <v>317</v>
      </c>
      <c r="E1329" s="1" t="str">
        <f t="array" ref="E1329">_xlfn.XLOOKUP(A1329,Product!A:A,Product!B:B,"Bulunamadı")</f>
        <v>Arts</v>
      </c>
      <c r="F1329" s="1" t="str">
        <f t="array" ref="F1329">_xlfn.XLOOKUP(A1329,Product!A:A,Product!C:C,"Bulunamadı")</f>
        <v>Political History</v>
      </c>
      <c r="G1329" s="2" t="str">
        <f t="array" ref="G1329">_xlfn.XLOOKUP(A1330,Product!A:A,Product!D:D,"Bulunamadı")</f>
        <v>Highland Grove Publishing</v>
      </c>
      <c r="H1329" s="2">
        <f t="array" ref="H1329">_xlfn.XLOOKUP(A1331,Product!A:A,Product!E:E,"Bulunamadı")</f>
        <v>4.1</v>
      </c>
      <c r="I1329" s="2" t="str">
        <f t="shared" si="1"/>
        <v>86852 - Arts - Political History</v>
      </c>
      <c r="J1329" s="2">
        <f t="shared" si="2"/>
        <v>1299.7</v>
      </c>
      <c r="K1329" s="17">
        <f t="shared" si="3"/>
        <v>1</v>
      </c>
      <c r="L1329" s="18"/>
    </row>
    <row r="1330">
      <c r="A1330" s="2">
        <f>IFERROR(__xludf.DUMMYFUNCTION("""COMPUTED_VALUE"""),103137.0)</f>
        <v>103137</v>
      </c>
      <c r="B1330" s="2">
        <f>IFERROR(__xludf.DUMMYFUNCTION("""COMPUTED_VALUE"""),0.0)</f>
        <v>0</v>
      </c>
      <c r="C1330" s="2">
        <f>IFERROR(__xludf.DUMMYFUNCTION("""COMPUTED_VALUE"""),666.0)</f>
        <v>666</v>
      </c>
      <c r="D1330" s="3">
        <f>IFERROR(__xludf.DUMMYFUNCTION("""COMPUTED_VALUE"""),163.0)</f>
        <v>163</v>
      </c>
      <c r="E1330" s="1" t="str">
        <f t="array" ref="E1330">_xlfn.XLOOKUP(A1330,Product!A:A,Product!B:B,"Bulunamadı")</f>
        <v>Arts</v>
      </c>
      <c r="F1330" s="1" t="str">
        <f t="array" ref="F1330">_xlfn.XLOOKUP(A1330,Product!A:A,Product!C:C,"Bulunamadı")</f>
        <v>Political History</v>
      </c>
      <c r="G1330" s="2" t="str">
        <f t="array" ref="G1330">_xlfn.XLOOKUP(A1331,Product!A:A,Product!D:D,"Bulunamadı")</f>
        <v>Highland Grove Publishing</v>
      </c>
      <c r="H1330" s="2">
        <f t="array" ref="H1330">_xlfn.XLOOKUP(A1332,Product!A:A,Product!E:E,"Bulunamadı")</f>
        <v>8.28</v>
      </c>
      <c r="I1330" s="2" t="str">
        <f t="shared" si="1"/>
        <v>103137 - Arts - Political History</v>
      </c>
      <c r="J1330" s="2">
        <f t="shared" si="2"/>
        <v>1349.64</v>
      </c>
      <c r="K1330" s="17">
        <f t="shared" si="3"/>
        <v>1</v>
      </c>
      <c r="L1330" s="18"/>
    </row>
    <row r="1331">
      <c r="A1331" s="2">
        <f>IFERROR(__xludf.DUMMYFUNCTION("""COMPUTED_VALUE"""),95079.0)</f>
        <v>95079</v>
      </c>
      <c r="B1331" s="2">
        <f>IFERROR(__xludf.DUMMYFUNCTION("""COMPUTED_VALUE"""),0.0)</f>
        <v>0</v>
      </c>
      <c r="C1331" s="2">
        <f>IFERROR(__xludf.DUMMYFUNCTION("""COMPUTED_VALUE"""),236.0)</f>
        <v>236</v>
      </c>
      <c r="D1331" s="3">
        <f>IFERROR(__xludf.DUMMYFUNCTION("""COMPUTED_VALUE"""),219.0)</f>
        <v>219</v>
      </c>
      <c r="E1331" s="1" t="str">
        <f t="array" ref="E1331">_xlfn.XLOOKUP(A1331,Product!A:A,Product!B:B,"Bulunamadı")</f>
        <v>Arts</v>
      </c>
      <c r="F1331" s="1" t="str">
        <f t="array" ref="F1331">_xlfn.XLOOKUP(A1331,Product!A:A,Product!C:C,"Bulunamadı")</f>
        <v>Political History</v>
      </c>
      <c r="G1331" s="2" t="str">
        <f t="array" ref="G1331">_xlfn.XLOOKUP(A1332,Product!A:A,Product!D:D,"Bulunamadı")</f>
        <v>Highland Grove Publishing</v>
      </c>
      <c r="H1331" s="2">
        <f t="array" ref="H1331">_xlfn.XLOOKUP(A1333,Product!A:A,Product!E:E,"Bulunamadı")</f>
        <v>2.76</v>
      </c>
      <c r="I1331" s="2" t="str">
        <f t="shared" si="1"/>
        <v>95079 - Arts - Political History</v>
      </c>
      <c r="J1331" s="2">
        <f t="shared" si="2"/>
        <v>604.44</v>
      </c>
      <c r="K1331" s="17">
        <f t="shared" si="3"/>
        <v>1</v>
      </c>
      <c r="L1331" s="18"/>
    </row>
    <row r="1332">
      <c r="A1332" s="2">
        <f>IFERROR(__xludf.DUMMYFUNCTION("""COMPUTED_VALUE"""),121568.0)</f>
        <v>121568</v>
      </c>
      <c r="B1332" s="2">
        <f>IFERROR(__xludf.DUMMYFUNCTION("""COMPUTED_VALUE"""),1.0)</f>
        <v>1</v>
      </c>
      <c r="C1332" s="2">
        <f>IFERROR(__xludf.DUMMYFUNCTION("""COMPUTED_VALUE"""),514.0)</f>
        <v>514</v>
      </c>
      <c r="D1332" s="3">
        <f>IFERROR(__xludf.DUMMYFUNCTION("""COMPUTED_VALUE"""),365.0)</f>
        <v>365</v>
      </c>
      <c r="E1332" s="1" t="str">
        <f t="array" ref="E1332">_xlfn.XLOOKUP(A1332,Product!A:A,Product!B:B,"Bulunamadı")</f>
        <v>Arts</v>
      </c>
      <c r="F1332" s="1" t="str">
        <f t="array" ref="F1332">_xlfn.XLOOKUP(A1332,Product!A:A,Product!C:C,"Bulunamadı")</f>
        <v>Political History</v>
      </c>
      <c r="G1332" s="2" t="str">
        <f t="array" ref="G1332">_xlfn.XLOOKUP(A1333,Product!A:A,Product!D:D,"Bulunamadı")</f>
        <v>Highland Grove Publishing</v>
      </c>
      <c r="H1332" s="2">
        <f t="array" ref="H1332">_xlfn.XLOOKUP(A1334,Product!A:A,Product!E:E,"Bulunamadı")</f>
        <v>1.25</v>
      </c>
      <c r="I1332" s="2" t="str">
        <f t="shared" si="1"/>
        <v>121568 - Arts - Political History</v>
      </c>
      <c r="J1332" s="2">
        <f t="shared" si="2"/>
        <v>456.25</v>
      </c>
      <c r="K1332" s="17">
        <f t="shared" si="3"/>
        <v>1</v>
      </c>
      <c r="L1332" s="18"/>
    </row>
    <row r="1333">
      <c r="A1333" s="2">
        <f>IFERROR(__xludf.DUMMYFUNCTION("""COMPUTED_VALUE"""),89645.0)</f>
        <v>89645</v>
      </c>
      <c r="B1333" s="2">
        <f>IFERROR(__xludf.DUMMYFUNCTION("""COMPUTED_VALUE"""),0.0)</f>
        <v>0</v>
      </c>
      <c r="C1333" s="2">
        <f>IFERROR(__xludf.DUMMYFUNCTION("""COMPUTED_VALUE"""),33.0)</f>
        <v>33</v>
      </c>
      <c r="D1333" s="3">
        <f>IFERROR(__xludf.DUMMYFUNCTION("""COMPUTED_VALUE"""),17.0)</f>
        <v>17</v>
      </c>
      <c r="E1333" s="1" t="str">
        <f t="array" ref="E1333">_xlfn.XLOOKUP(A1333,Product!A:A,Product!B:B,"Bulunamadı")</f>
        <v>Arts</v>
      </c>
      <c r="F1333" s="1" t="str">
        <f t="array" ref="F1333">_xlfn.XLOOKUP(A1333,Product!A:A,Product!C:C,"Bulunamadı")</f>
        <v>Political History</v>
      </c>
      <c r="G1333" s="2" t="str">
        <f t="array" ref="G1333">_xlfn.XLOOKUP(A1334,Product!A:A,Product!D:D,"Bulunamadı")</f>
        <v>Highland Grove Publishing</v>
      </c>
      <c r="H1333" s="2">
        <f t="array" ref="H1333">_xlfn.XLOOKUP(A1335,Product!A:A,Product!E:E,"Bulunamadı")</f>
        <v>4.08</v>
      </c>
      <c r="I1333" s="2" t="str">
        <f t="shared" si="1"/>
        <v>89645 - Arts - Political History</v>
      </c>
      <c r="J1333" s="2">
        <f t="shared" si="2"/>
        <v>69.36</v>
      </c>
      <c r="K1333" s="17">
        <f t="shared" si="3"/>
        <v>1</v>
      </c>
      <c r="L1333" s="18"/>
    </row>
    <row r="1334">
      <c r="A1334" s="2">
        <f>IFERROR(__xludf.DUMMYFUNCTION("""COMPUTED_VALUE"""),44691.0)</f>
        <v>44691</v>
      </c>
      <c r="B1334" s="2">
        <f>IFERROR(__xludf.DUMMYFUNCTION("""COMPUTED_VALUE"""),0.0)</f>
        <v>0</v>
      </c>
      <c r="C1334" s="2">
        <f>IFERROR(__xludf.DUMMYFUNCTION("""COMPUTED_VALUE"""),32.0)</f>
        <v>32</v>
      </c>
      <c r="D1334" s="3">
        <f>IFERROR(__xludf.DUMMYFUNCTION("""COMPUTED_VALUE"""),11.0)</f>
        <v>11</v>
      </c>
      <c r="E1334" s="1" t="str">
        <f t="array" ref="E1334">_xlfn.XLOOKUP(A1334,Product!A:A,Product!B:B,"Bulunamadı")</f>
        <v>Arts</v>
      </c>
      <c r="F1334" s="1" t="str">
        <f t="array" ref="F1334">_xlfn.XLOOKUP(A1334,Product!A:A,Product!C:C,"Bulunamadı")</f>
        <v>Political History</v>
      </c>
      <c r="G1334" s="2" t="str">
        <f t="array" ref="G1334">_xlfn.XLOOKUP(A1335,Product!A:A,Product!D:D,"Bulunamadı")</f>
        <v>Highland Grove Publishing</v>
      </c>
      <c r="H1334" s="2">
        <f t="array" ref="H1334">_xlfn.XLOOKUP(A1336,Product!A:A,Product!E:E,"Bulunamadı")</f>
        <v>3.9</v>
      </c>
      <c r="I1334" s="2" t="str">
        <f t="shared" si="1"/>
        <v>44691 - Arts - Political History</v>
      </c>
      <c r="J1334" s="2">
        <f t="shared" si="2"/>
        <v>42.9</v>
      </c>
      <c r="K1334" s="17">
        <f t="shared" si="3"/>
        <v>1</v>
      </c>
      <c r="L1334" s="18"/>
    </row>
    <row r="1335">
      <c r="A1335" s="2">
        <f>IFERROR(__xludf.DUMMYFUNCTION("""COMPUTED_VALUE"""),94055.0)</f>
        <v>94055</v>
      </c>
      <c r="B1335" s="2">
        <f>IFERROR(__xludf.DUMMYFUNCTION("""COMPUTED_VALUE"""),0.0)</f>
        <v>0</v>
      </c>
      <c r="C1335" s="2">
        <f>IFERROR(__xludf.DUMMYFUNCTION("""COMPUTED_VALUE"""),169.0)</f>
        <v>169</v>
      </c>
      <c r="D1335" s="3">
        <f>IFERROR(__xludf.DUMMYFUNCTION("""COMPUTED_VALUE"""),60.0)</f>
        <v>60</v>
      </c>
      <c r="E1335" s="1" t="str">
        <f t="array" ref="E1335">_xlfn.XLOOKUP(A1335,Product!A:A,Product!B:B,"Bulunamadı")</f>
        <v>Arts</v>
      </c>
      <c r="F1335" s="1" t="str">
        <f t="array" ref="F1335">_xlfn.XLOOKUP(A1335,Product!A:A,Product!C:C,"Bulunamadı")</f>
        <v>Political History</v>
      </c>
      <c r="G1335" s="2" t="str">
        <f t="array" ref="G1335">_xlfn.XLOOKUP(A1336,Product!A:A,Product!D:D,"Bulunamadı")</f>
        <v>Highland Grove Publishing</v>
      </c>
      <c r="H1335" s="2">
        <f t="array" ref="H1335">_xlfn.XLOOKUP(A1337,Product!A:A,Product!E:E,"Bulunamadı")</f>
        <v>2.01</v>
      </c>
      <c r="I1335" s="2" t="str">
        <f t="shared" si="1"/>
        <v>94055 - Arts - Political History</v>
      </c>
      <c r="J1335" s="2">
        <f t="shared" si="2"/>
        <v>120.6</v>
      </c>
      <c r="K1335" s="17">
        <f t="shared" si="3"/>
        <v>1</v>
      </c>
      <c r="L1335" s="18"/>
    </row>
    <row r="1336">
      <c r="A1336" s="2">
        <f>IFERROR(__xludf.DUMMYFUNCTION("""COMPUTED_VALUE"""),101586.0)</f>
        <v>101586</v>
      </c>
      <c r="B1336" s="2">
        <f>IFERROR(__xludf.DUMMYFUNCTION("""COMPUTED_VALUE"""),1.0)</f>
        <v>1</v>
      </c>
      <c r="C1336" s="2">
        <f>IFERROR(__xludf.DUMMYFUNCTION("""COMPUTED_VALUE"""),258.0)</f>
        <v>258</v>
      </c>
      <c r="D1336" s="3">
        <f>IFERROR(__xludf.DUMMYFUNCTION("""COMPUTED_VALUE"""),149.0)</f>
        <v>149</v>
      </c>
      <c r="E1336" s="1" t="str">
        <f t="array" ref="E1336">_xlfn.XLOOKUP(A1336,Product!A:A,Product!B:B,"Bulunamadı")</f>
        <v>Arts</v>
      </c>
      <c r="F1336" s="1" t="str">
        <f t="array" ref="F1336">_xlfn.XLOOKUP(A1336,Product!A:A,Product!C:C,"Bulunamadı")</f>
        <v>Political History</v>
      </c>
      <c r="G1336" s="2" t="str">
        <f t="array" ref="G1336">_xlfn.XLOOKUP(A1337,Product!A:A,Product!D:D,"Bulunamadı")</f>
        <v>Highland Grove Publishing</v>
      </c>
      <c r="H1336" s="2">
        <f t="array" ref="H1336">_xlfn.XLOOKUP(A1338,Product!A:A,Product!E:E,"Bulunamadı")</f>
        <v>4.67</v>
      </c>
      <c r="I1336" s="2" t="str">
        <f t="shared" si="1"/>
        <v>101586 - Arts - Political History</v>
      </c>
      <c r="J1336" s="2">
        <f t="shared" si="2"/>
        <v>695.83</v>
      </c>
      <c r="K1336" s="17">
        <f t="shared" si="3"/>
        <v>1</v>
      </c>
      <c r="L1336" s="18"/>
    </row>
    <row r="1337">
      <c r="A1337" s="2">
        <f>IFERROR(__xludf.DUMMYFUNCTION("""COMPUTED_VALUE"""),106731.0)</f>
        <v>106731</v>
      </c>
      <c r="B1337" s="2">
        <f>IFERROR(__xludf.DUMMYFUNCTION("""COMPUTED_VALUE"""),0.0)</f>
        <v>0</v>
      </c>
      <c r="C1337" s="2">
        <f>IFERROR(__xludf.DUMMYFUNCTION("""COMPUTED_VALUE"""),360.0)</f>
        <v>360</v>
      </c>
      <c r="D1337" s="3">
        <f>IFERROR(__xludf.DUMMYFUNCTION("""COMPUTED_VALUE"""),256.0)</f>
        <v>256</v>
      </c>
      <c r="E1337" s="1" t="str">
        <f t="array" ref="E1337">_xlfn.XLOOKUP(A1337,Product!A:A,Product!B:B,"Bulunamadı")</f>
        <v>Arts</v>
      </c>
      <c r="F1337" s="1" t="str">
        <f t="array" ref="F1337">_xlfn.XLOOKUP(A1337,Product!A:A,Product!C:C,"Bulunamadı")</f>
        <v>Political History</v>
      </c>
      <c r="G1337" s="2" t="str">
        <f t="array" ref="G1337">_xlfn.XLOOKUP(A1338,Product!A:A,Product!D:D,"Bulunamadı")</f>
        <v>Highland Grove Publishing</v>
      </c>
      <c r="H1337" s="2">
        <f t="array" ref="H1337">_xlfn.XLOOKUP(A1339,Product!A:A,Product!E:E,"Bulunamadı")</f>
        <v>2.05</v>
      </c>
      <c r="I1337" s="2" t="str">
        <f t="shared" si="1"/>
        <v>106731 - Arts - Political History</v>
      </c>
      <c r="J1337" s="2">
        <f t="shared" si="2"/>
        <v>524.8</v>
      </c>
      <c r="K1337" s="17">
        <f t="shared" si="3"/>
        <v>1</v>
      </c>
      <c r="L1337" s="18"/>
    </row>
    <row r="1338">
      <c r="A1338" s="2">
        <f>IFERROR(__xludf.DUMMYFUNCTION("""COMPUTED_VALUE"""),87072.0)</f>
        <v>87072</v>
      </c>
      <c r="B1338" s="2">
        <f>IFERROR(__xludf.DUMMYFUNCTION("""COMPUTED_VALUE"""),0.0)</f>
        <v>0</v>
      </c>
      <c r="C1338" s="2">
        <f>IFERROR(__xludf.DUMMYFUNCTION("""COMPUTED_VALUE"""),226.0)</f>
        <v>226</v>
      </c>
      <c r="D1338" s="3">
        <f>IFERROR(__xludf.DUMMYFUNCTION("""COMPUTED_VALUE"""),93.0)</f>
        <v>93</v>
      </c>
      <c r="E1338" s="1" t="str">
        <f t="array" ref="E1338">_xlfn.XLOOKUP(A1338,Product!A:A,Product!B:B,"Bulunamadı")</f>
        <v>Arts</v>
      </c>
      <c r="F1338" s="1" t="str">
        <f t="array" ref="F1338">_xlfn.XLOOKUP(A1338,Product!A:A,Product!C:C,"Bulunamadı")</f>
        <v>Political History</v>
      </c>
      <c r="G1338" s="2" t="str">
        <f t="array" ref="G1338">_xlfn.XLOOKUP(A1339,Product!A:A,Product!D:D,"Bulunamadı")</f>
        <v>Highland Grove Publishing</v>
      </c>
      <c r="H1338" s="2">
        <f t="array" ref="H1338">_xlfn.XLOOKUP(A1340,Product!A:A,Product!E:E,"Bulunamadı")</f>
        <v>2.21</v>
      </c>
      <c r="I1338" s="2" t="str">
        <f t="shared" si="1"/>
        <v>87072 - Arts - Political History</v>
      </c>
      <c r="J1338" s="2">
        <f t="shared" si="2"/>
        <v>205.53</v>
      </c>
      <c r="K1338" s="17">
        <f t="shared" si="3"/>
        <v>1</v>
      </c>
      <c r="L1338" s="18"/>
    </row>
    <row r="1339">
      <c r="A1339" s="2">
        <f>IFERROR(__xludf.DUMMYFUNCTION("""COMPUTED_VALUE"""),44711.0)</f>
        <v>44711</v>
      </c>
      <c r="B1339" s="2">
        <f>IFERROR(__xludf.DUMMYFUNCTION("""COMPUTED_VALUE"""),0.0)</f>
        <v>0</v>
      </c>
      <c r="C1339" s="2">
        <f>IFERROR(__xludf.DUMMYFUNCTION("""COMPUTED_VALUE"""),167.0)</f>
        <v>167</v>
      </c>
      <c r="D1339" s="3">
        <f>IFERROR(__xludf.DUMMYFUNCTION("""COMPUTED_VALUE"""),119.0)</f>
        <v>119</v>
      </c>
      <c r="E1339" s="1" t="str">
        <f t="array" ref="E1339">_xlfn.XLOOKUP(A1339,Product!A:A,Product!B:B,"Bulunamadı")</f>
        <v>Arts</v>
      </c>
      <c r="F1339" s="1" t="str">
        <f t="array" ref="F1339">_xlfn.XLOOKUP(A1339,Product!A:A,Product!C:C,"Bulunamadı")</f>
        <v>Political History</v>
      </c>
      <c r="G1339" s="2" t="str">
        <f t="array" ref="G1339">_xlfn.XLOOKUP(A1340,Product!A:A,Product!D:D,"Bulunamadı")</f>
        <v>Highland Grove Publishing</v>
      </c>
      <c r="H1339" s="2">
        <f t="array" ref="H1339">_xlfn.XLOOKUP(A1341,Product!A:A,Product!E:E,"Bulunamadı")</f>
        <v>1.73</v>
      </c>
      <c r="I1339" s="2" t="str">
        <f t="shared" si="1"/>
        <v>44711 - Arts - Political History</v>
      </c>
      <c r="J1339" s="2">
        <f t="shared" si="2"/>
        <v>205.87</v>
      </c>
      <c r="K1339" s="17">
        <f t="shared" si="3"/>
        <v>1</v>
      </c>
      <c r="L1339" s="18"/>
    </row>
    <row r="1340">
      <c r="A1340" s="2">
        <f>IFERROR(__xludf.DUMMYFUNCTION("""COMPUTED_VALUE"""),78428.0)</f>
        <v>78428</v>
      </c>
      <c r="B1340" s="2">
        <f>IFERROR(__xludf.DUMMYFUNCTION("""COMPUTED_VALUE"""),0.0)</f>
        <v>0</v>
      </c>
      <c r="C1340" s="2">
        <f>IFERROR(__xludf.DUMMYFUNCTION("""COMPUTED_VALUE"""),579.0)</f>
        <v>579</v>
      </c>
      <c r="D1340" s="3">
        <f>IFERROR(__xludf.DUMMYFUNCTION("""COMPUTED_VALUE"""),559.0)</f>
        <v>559</v>
      </c>
      <c r="E1340" s="1" t="str">
        <f t="array" ref="E1340">_xlfn.XLOOKUP(A1340,Product!A:A,Product!B:B,"Bulunamadı")</f>
        <v>Arts</v>
      </c>
      <c r="F1340" s="1" t="str">
        <f t="array" ref="F1340">_xlfn.XLOOKUP(A1340,Product!A:A,Product!C:C,"Bulunamadı")</f>
        <v>Political History</v>
      </c>
      <c r="G1340" s="2" t="str">
        <f t="array" ref="G1340">_xlfn.XLOOKUP(A1341,Product!A:A,Product!D:D,"Bulunamadı")</f>
        <v>Highland Grove Publishing</v>
      </c>
      <c r="H1340" s="2">
        <f t="array" ref="H1340">_xlfn.XLOOKUP(A1342,Product!A:A,Product!E:E,"Bulunamadı")</f>
        <v>3.13</v>
      </c>
      <c r="I1340" s="2" t="str">
        <f t="shared" si="1"/>
        <v>78428 - Arts - Political History</v>
      </c>
      <c r="J1340" s="2">
        <f t="shared" si="2"/>
        <v>1749.67</v>
      </c>
      <c r="K1340" s="17">
        <f t="shared" si="3"/>
        <v>1</v>
      </c>
      <c r="L1340" s="18"/>
    </row>
    <row r="1341">
      <c r="A1341" s="2">
        <f>IFERROR(__xludf.DUMMYFUNCTION("""COMPUTED_VALUE"""),10531.0)</f>
        <v>10531</v>
      </c>
      <c r="B1341" s="2">
        <f>IFERROR(__xludf.DUMMYFUNCTION("""COMPUTED_VALUE"""),1.0)</f>
        <v>1</v>
      </c>
      <c r="C1341" s="2">
        <f>IFERROR(__xludf.DUMMYFUNCTION("""COMPUTED_VALUE"""),937.0)</f>
        <v>937</v>
      </c>
      <c r="D1341" s="3">
        <f>IFERROR(__xludf.DUMMYFUNCTION("""COMPUTED_VALUE"""),45.0)</f>
        <v>45</v>
      </c>
      <c r="E1341" s="1" t="str">
        <f t="array" ref="E1341">_xlfn.XLOOKUP(A1341,Product!A:A,Product!B:B,"Bulunamadı")</f>
        <v>Arts</v>
      </c>
      <c r="F1341" s="1" t="str">
        <f t="array" ref="F1341">_xlfn.XLOOKUP(A1341,Product!A:A,Product!C:C,"Bulunamadı")</f>
        <v>Political History</v>
      </c>
      <c r="G1341" s="2" t="str">
        <f t="array" ref="G1341">_xlfn.XLOOKUP(A1342,Product!A:A,Product!D:D,"Bulunamadı")</f>
        <v>Highland Grove Publishing</v>
      </c>
      <c r="H1341" s="2">
        <f t="array" ref="H1341">_xlfn.XLOOKUP(A1343,Product!A:A,Product!E:E,"Bulunamadı")</f>
        <v>1.46</v>
      </c>
      <c r="I1341" s="2" t="str">
        <f t="shared" si="1"/>
        <v>10531 - Arts - Political History</v>
      </c>
      <c r="J1341" s="2">
        <f t="shared" si="2"/>
        <v>65.7</v>
      </c>
      <c r="K1341" s="17">
        <f t="shared" si="3"/>
        <v>1</v>
      </c>
      <c r="L1341" s="18"/>
    </row>
    <row r="1342">
      <c r="A1342" s="2">
        <f>IFERROR(__xludf.DUMMYFUNCTION("""COMPUTED_VALUE"""),158475.0)</f>
        <v>158475</v>
      </c>
      <c r="B1342" s="2">
        <f>IFERROR(__xludf.DUMMYFUNCTION("""COMPUTED_VALUE"""),0.0)</f>
        <v>0</v>
      </c>
      <c r="C1342" s="2">
        <f>IFERROR(__xludf.DUMMYFUNCTION("""COMPUTED_VALUE"""),372.0)</f>
        <v>372</v>
      </c>
      <c r="D1342" s="3">
        <f>IFERROR(__xludf.DUMMYFUNCTION("""COMPUTED_VALUE"""),327.0)</f>
        <v>327</v>
      </c>
      <c r="E1342" s="1" t="str">
        <f t="array" ref="E1342">_xlfn.XLOOKUP(A1342,Product!A:A,Product!B:B,"Bulunamadı")</f>
        <v>Arts</v>
      </c>
      <c r="F1342" s="1" t="str">
        <f t="array" ref="F1342">_xlfn.XLOOKUP(A1342,Product!A:A,Product!C:C,"Bulunamadı")</f>
        <v>Political History</v>
      </c>
      <c r="G1342" s="2" t="str">
        <f t="array" ref="G1342">_xlfn.XLOOKUP(A1343,Product!A:A,Product!D:D,"Bulunamadı")</f>
        <v>Highland Grove Publishing</v>
      </c>
      <c r="H1342" s="2">
        <f t="array" ref="H1342">_xlfn.XLOOKUP(A1344,Product!A:A,Product!E:E,"Bulunamadı")</f>
        <v>2.1</v>
      </c>
      <c r="I1342" s="2" t="str">
        <f t="shared" si="1"/>
        <v>158475 - Arts - Political History</v>
      </c>
      <c r="J1342" s="2">
        <f t="shared" si="2"/>
        <v>686.7</v>
      </c>
      <c r="K1342" s="17">
        <f t="shared" si="3"/>
        <v>1</v>
      </c>
      <c r="L1342" s="18"/>
    </row>
    <row r="1343">
      <c r="A1343" s="2">
        <f>IFERROR(__xludf.DUMMYFUNCTION("""COMPUTED_VALUE"""),89633.0)</f>
        <v>89633</v>
      </c>
      <c r="B1343" s="2">
        <f>IFERROR(__xludf.DUMMYFUNCTION("""COMPUTED_VALUE"""),1.0)</f>
        <v>1</v>
      </c>
      <c r="C1343" s="2">
        <f>IFERROR(__xludf.DUMMYFUNCTION("""COMPUTED_VALUE"""),492.0)</f>
        <v>492</v>
      </c>
      <c r="D1343" s="3">
        <f>IFERROR(__xludf.DUMMYFUNCTION("""COMPUTED_VALUE"""),492.0)</f>
        <v>492</v>
      </c>
      <c r="E1343" s="1" t="str">
        <f t="array" ref="E1343">_xlfn.XLOOKUP(A1343,Product!A:A,Product!B:B,"Bulunamadı")</f>
        <v>Arts</v>
      </c>
      <c r="F1343" s="1" t="str">
        <f t="array" ref="F1343">_xlfn.XLOOKUP(A1343,Product!A:A,Product!C:C,"Bulunamadı")</f>
        <v>Political History</v>
      </c>
      <c r="G1343" s="2" t="str">
        <f t="array" ref="G1343">_xlfn.XLOOKUP(A1344,Product!A:A,Product!D:D,"Bulunamadı")</f>
        <v>Highland Grove Publishing</v>
      </c>
      <c r="H1343" s="2">
        <f t="array" ref="H1343">_xlfn.XLOOKUP(A1345,Product!A:A,Product!E:E,"Bulunamadı")</f>
        <v>4.7</v>
      </c>
      <c r="I1343" s="2" t="str">
        <f t="shared" si="1"/>
        <v>89633 - Arts - Political History</v>
      </c>
      <c r="J1343" s="2">
        <f t="shared" si="2"/>
        <v>2312.4</v>
      </c>
      <c r="K1343" s="17">
        <f t="shared" si="3"/>
        <v>1</v>
      </c>
      <c r="L1343" s="18"/>
    </row>
    <row r="1344">
      <c r="A1344" s="2">
        <f>IFERROR(__xludf.DUMMYFUNCTION("""COMPUTED_VALUE"""),86836.0)</f>
        <v>86836</v>
      </c>
      <c r="B1344" s="2">
        <f>IFERROR(__xludf.DUMMYFUNCTION("""COMPUTED_VALUE"""),1.0)</f>
        <v>1</v>
      </c>
      <c r="C1344" s="2">
        <f>IFERROR(__xludf.DUMMYFUNCTION("""COMPUTED_VALUE"""),45.0)</f>
        <v>45</v>
      </c>
      <c r="D1344" s="3">
        <f>IFERROR(__xludf.DUMMYFUNCTION("""COMPUTED_VALUE"""),28.0)</f>
        <v>28</v>
      </c>
      <c r="E1344" s="1" t="str">
        <f t="array" ref="E1344">_xlfn.XLOOKUP(A1344,Product!A:A,Product!B:B,"Bulunamadı")</f>
        <v>Arts</v>
      </c>
      <c r="F1344" s="1" t="str">
        <f t="array" ref="F1344">_xlfn.XLOOKUP(A1344,Product!A:A,Product!C:C,"Bulunamadı")</f>
        <v>Political History</v>
      </c>
      <c r="G1344" s="2" t="str">
        <f t="array" ref="G1344">_xlfn.XLOOKUP(A1345,Product!A:A,Product!D:D,"Bulunamadı")</f>
        <v>Highland Grove Publishing</v>
      </c>
      <c r="H1344" s="2">
        <f t="array" ref="H1344">_xlfn.XLOOKUP(A1346,Product!A:A,Product!E:E,"Bulunamadı")</f>
        <v>2.04</v>
      </c>
      <c r="I1344" s="2" t="str">
        <f t="shared" si="1"/>
        <v>86836 - Arts - Political History</v>
      </c>
      <c r="J1344" s="2">
        <f t="shared" si="2"/>
        <v>57.12</v>
      </c>
      <c r="K1344" s="17">
        <f t="shared" si="3"/>
        <v>1</v>
      </c>
      <c r="L1344" s="18"/>
    </row>
    <row r="1345">
      <c r="A1345" s="2">
        <f>IFERROR(__xludf.DUMMYFUNCTION("""COMPUTED_VALUE"""),44698.0)</f>
        <v>44698</v>
      </c>
      <c r="B1345" s="2">
        <f>IFERROR(__xludf.DUMMYFUNCTION("""COMPUTED_VALUE"""),0.0)</f>
        <v>0</v>
      </c>
      <c r="C1345" s="2">
        <f>IFERROR(__xludf.DUMMYFUNCTION("""COMPUTED_VALUE"""),984.0)</f>
        <v>984</v>
      </c>
      <c r="D1345" s="3">
        <f>IFERROR(__xludf.DUMMYFUNCTION("""COMPUTED_VALUE"""),61.0)</f>
        <v>61</v>
      </c>
      <c r="E1345" s="1" t="str">
        <f t="array" ref="E1345">_xlfn.XLOOKUP(A1345,Product!A:A,Product!B:B,"Bulunamadı")</f>
        <v>Arts</v>
      </c>
      <c r="F1345" s="1" t="str">
        <f t="array" ref="F1345">_xlfn.XLOOKUP(A1345,Product!A:A,Product!C:C,"Bulunamadı")</f>
        <v>Political History</v>
      </c>
      <c r="G1345" s="2" t="str">
        <f t="array" ref="G1345">_xlfn.XLOOKUP(A1346,Product!A:A,Product!D:D,"Bulunamadı")</f>
        <v>Highland Grove Publishing</v>
      </c>
      <c r="H1345" s="2">
        <f t="array" ref="H1345">_xlfn.XLOOKUP(A1347,Product!A:A,Product!E:E,"Bulunamadı")</f>
        <v>5.28</v>
      </c>
      <c r="I1345" s="2" t="str">
        <f t="shared" si="1"/>
        <v>44698 - Arts - Political History</v>
      </c>
      <c r="J1345" s="2">
        <f t="shared" si="2"/>
        <v>322.08</v>
      </c>
      <c r="K1345" s="17">
        <f t="shared" si="3"/>
        <v>1</v>
      </c>
      <c r="L1345" s="18"/>
    </row>
    <row r="1346">
      <c r="A1346" s="2">
        <f>IFERROR(__xludf.DUMMYFUNCTION("""COMPUTED_VALUE"""),127870.0)</f>
        <v>127870</v>
      </c>
      <c r="B1346" s="2">
        <f>IFERROR(__xludf.DUMMYFUNCTION("""COMPUTED_VALUE"""),1.0)</f>
        <v>1</v>
      </c>
      <c r="C1346" s="2">
        <f>IFERROR(__xludf.DUMMYFUNCTION("""COMPUTED_VALUE"""),187.0)</f>
        <v>187</v>
      </c>
      <c r="D1346" s="3">
        <f>IFERROR(__xludf.DUMMYFUNCTION("""COMPUTED_VALUE"""),121.0)</f>
        <v>121</v>
      </c>
      <c r="E1346" s="1" t="str">
        <f t="array" ref="E1346">_xlfn.XLOOKUP(A1346,Product!A:A,Product!B:B,"Bulunamadı")</f>
        <v>Arts</v>
      </c>
      <c r="F1346" s="1" t="str">
        <f t="array" ref="F1346">_xlfn.XLOOKUP(A1346,Product!A:A,Product!C:C,"Bulunamadı")</f>
        <v>Political History</v>
      </c>
      <c r="G1346" s="2" t="str">
        <f t="array" ref="G1346">_xlfn.XLOOKUP(A1347,Product!A:A,Product!D:D,"Bulunamadı")</f>
        <v>Highland Grove Publishing</v>
      </c>
      <c r="H1346" s="2">
        <f t="array" ref="H1346">_xlfn.XLOOKUP(A1348,Product!A:A,Product!E:E,"Bulunamadı")</f>
        <v>6.57</v>
      </c>
      <c r="I1346" s="2" t="str">
        <f t="shared" si="1"/>
        <v>127870 - Arts - Political History</v>
      </c>
      <c r="J1346" s="2">
        <f t="shared" si="2"/>
        <v>794.97</v>
      </c>
      <c r="K1346" s="17">
        <f t="shared" si="3"/>
        <v>1</v>
      </c>
      <c r="L1346" s="18"/>
    </row>
    <row r="1347">
      <c r="A1347" s="2">
        <f>IFERROR(__xludf.DUMMYFUNCTION("""COMPUTED_VALUE"""),141891.0)</f>
        <v>141891</v>
      </c>
      <c r="B1347" s="2">
        <f>IFERROR(__xludf.DUMMYFUNCTION("""COMPUTED_VALUE"""),1.0)</f>
        <v>1</v>
      </c>
      <c r="C1347" s="2">
        <f>IFERROR(__xludf.DUMMYFUNCTION("""COMPUTED_VALUE"""),877.0)</f>
        <v>877</v>
      </c>
      <c r="D1347" s="3">
        <f>IFERROR(__xludf.DUMMYFUNCTION("""COMPUTED_VALUE"""),289.0)</f>
        <v>289</v>
      </c>
      <c r="E1347" s="1" t="str">
        <f t="array" ref="E1347">_xlfn.XLOOKUP(A1347,Product!A:A,Product!B:B,"Bulunamadı")</f>
        <v>Arts</v>
      </c>
      <c r="F1347" s="1" t="str">
        <f t="array" ref="F1347">_xlfn.XLOOKUP(A1347,Product!A:A,Product!C:C,"Bulunamadı")</f>
        <v>Political History</v>
      </c>
      <c r="G1347" s="2" t="str">
        <f t="array" ref="G1347">_xlfn.XLOOKUP(A1348,Product!A:A,Product!D:D,"Bulunamadı")</f>
        <v>Highland Grove Publishing</v>
      </c>
      <c r="H1347" s="2">
        <f t="array" ref="H1347">_xlfn.XLOOKUP(A1349,Product!A:A,Product!E:E,"Bulunamadı")</f>
        <v>8.95</v>
      </c>
      <c r="I1347" s="2" t="str">
        <f t="shared" si="1"/>
        <v>141891 - Arts - Political History</v>
      </c>
      <c r="J1347" s="2">
        <f t="shared" si="2"/>
        <v>2586.55</v>
      </c>
      <c r="K1347" s="17">
        <f t="shared" si="3"/>
        <v>1</v>
      </c>
      <c r="L1347" s="18"/>
    </row>
    <row r="1348">
      <c r="A1348" s="2">
        <f>IFERROR(__xludf.DUMMYFUNCTION("""COMPUTED_VALUE"""),78426.0)</f>
        <v>78426</v>
      </c>
      <c r="B1348" s="2">
        <f>IFERROR(__xludf.DUMMYFUNCTION("""COMPUTED_VALUE"""),1.0)</f>
        <v>1</v>
      </c>
      <c r="C1348" s="2">
        <f>IFERROR(__xludf.DUMMYFUNCTION("""COMPUTED_VALUE"""),968.0)</f>
        <v>968</v>
      </c>
      <c r="D1348" s="3">
        <f>IFERROR(__xludf.DUMMYFUNCTION("""COMPUTED_VALUE"""),551.0)</f>
        <v>551</v>
      </c>
      <c r="E1348" s="1" t="str">
        <f t="array" ref="E1348">_xlfn.XLOOKUP(A1348,Product!A:A,Product!B:B,"Bulunamadı")</f>
        <v>Arts</v>
      </c>
      <c r="F1348" s="1" t="str">
        <f t="array" ref="F1348">_xlfn.XLOOKUP(A1348,Product!A:A,Product!C:C,"Bulunamadı")</f>
        <v>Political History</v>
      </c>
      <c r="G1348" s="2" t="str">
        <f t="array" ref="G1348">_xlfn.XLOOKUP(A1349,Product!A:A,Product!D:D,"Bulunamadı")</f>
        <v>Highland Grove Publishing</v>
      </c>
      <c r="H1348" s="2">
        <f t="array" ref="H1348">_xlfn.XLOOKUP(A1350,Product!A:A,Product!E:E,"Bulunamadı")</f>
        <v>3.61</v>
      </c>
      <c r="I1348" s="2" t="str">
        <f t="shared" si="1"/>
        <v>78426 - Arts - Political History</v>
      </c>
      <c r="J1348" s="2">
        <f t="shared" si="2"/>
        <v>1989.11</v>
      </c>
      <c r="K1348" s="17">
        <f t="shared" si="3"/>
        <v>1</v>
      </c>
      <c r="L1348" s="18"/>
    </row>
    <row r="1349">
      <c r="A1349" s="2">
        <f>IFERROR(__xludf.DUMMYFUNCTION("""COMPUTED_VALUE"""),77792.0)</f>
        <v>77792</v>
      </c>
      <c r="B1349" s="2">
        <f>IFERROR(__xludf.DUMMYFUNCTION("""COMPUTED_VALUE"""),0.0)</f>
        <v>0</v>
      </c>
      <c r="C1349" s="2">
        <f>IFERROR(__xludf.DUMMYFUNCTION("""COMPUTED_VALUE"""),370.0)</f>
        <v>370</v>
      </c>
      <c r="D1349" s="3">
        <f>IFERROR(__xludf.DUMMYFUNCTION("""COMPUTED_VALUE"""),237.0)</f>
        <v>237</v>
      </c>
      <c r="E1349" s="1" t="str">
        <f t="array" ref="E1349">_xlfn.XLOOKUP(A1349,Product!A:A,Product!B:B,"Bulunamadı")</f>
        <v>Arts</v>
      </c>
      <c r="F1349" s="1" t="str">
        <f t="array" ref="F1349">_xlfn.XLOOKUP(A1349,Product!A:A,Product!C:C,"Bulunamadı")</f>
        <v>Political History</v>
      </c>
      <c r="G1349" s="2" t="str">
        <f t="array" ref="G1349">_xlfn.XLOOKUP(A1350,Product!A:A,Product!D:D,"Bulunamadı")</f>
        <v>Highland Grove Publishing</v>
      </c>
      <c r="H1349" s="2">
        <f t="array" ref="H1349">_xlfn.XLOOKUP(A1351,Product!A:A,Product!E:E,"Bulunamadı")</f>
        <v>3.16</v>
      </c>
      <c r="I1349" s="2" t="str">
        <f t="shared" si="1"/>
        <v>77792 - Arts - Political History</v>
      </c>
      <c r="J1349" s="2">
        <f t="shared" si="2"/>
        <v>748.92</v>
      </c>
      <c r="K1349" s="17">
        <f t="shared" si="3"/>
        <v>1</v>
      </c>
      <c r="L1349" s="18"/>
    </row>
    <row r="1350">
      <c r="A1350" s="2">
        <f>IFERROR(__xludf.DUMMYFUNCTION("""COMPUTED_VALUE"""),21027.0)</f>
        <v>21027</v>
      </c>
      <c r="B1350" s="2">
        <f>IFERROR(__xludf.DUMMYFUNCTION("""COMPUTED_VALUE"""),0.0)</f>
        <v>0</v>
      </c>
      <c r="C1350" s="2">
        <f>IFERROR(__xludf.DUMMYFUNCTION("""COMPUTED_VALUE"""),971.0)</f>
        <v>971</v>
      </c>
      <c r="D1350" s="3">
        <f>IFERROR(__xludf.DUMMYFUNCTION("""COMPUTED_VALUE"""),594.0)</f>
        <v>594</v>
      </c>
      <c r="E1350" s="1" t="str">
        <f t="array" ref="E1350">_xlfn.XLOOKUP(A1350,Product!A:A,Product!B:B,"Bulunamadı")</f>
        <v>Arts</v>
      </c>
      <c r="F1350" s="1" t="str">
        <f t="array" ref="F1350">_xlfn.XLOOKUP(A1350,Product!A:A,Product!C:C,"Bulunamadı")</f>
        <v>Political History</v>
      </c>
      <c r="G1350" s="2" t="str">
        <f t="array" ref="G1350">_xlfn.XLOOKUP(A1351,Product!A:A,Product!D:D,"Bulunamadı")</f>
        <v>Highland Grove Publishing</v>
      </c>
      <c r="H1350" s="2">
        <f t="array" ref="H1350">_xlfn.XLOOKUP(A1352,Product!A:A,Product!E:E,"Bulunamadı")</f>
        <v>4.67</v>
      </c>
      <c r="I1350" s="2" t="str">
        <f t="shared" si="1"/>
        <v>21027 - Arts - Political History</v>
      </c>
      <c r="J1350" s="2">
        <f t="shared" si="2"/>
        <v>2773.98</v>
      </c>
      <c r="K1350" s="17">
        <f t="shared" si="3"/>
        <v>1</v>
      </c>
      <c r="L1350" s="18"/>
    </row>
    <row r="1351">
      <c r="A1351" s="2">
        <f>IFERROR(__xludf.DUMMYFUNCTION("""COMPUTED_VALUE"""),95063.0)</f>
        <v>95063</v>
      </c>
      <c r="B1351" s="2">
        <f>IFERROR(__xludf.DUMMYFUNCTION("""COMPUTED_VALUE"""),1.0)</f>
        <v>1</v>
      </c>
      <c r="C1351" s="2">
        <f>IFERROR(__xludf.DUMMYFUNCTION("""COMPUTED_VALUE"""),246.0)</f>
        <v>246</v>
      </c>
      <c r="D1351" s="3">
        <f>IFERROR(__xludf.DUMMYFUNCTION("""COMPUTED_VALUE"""),146.0)</f>
        <v>146</v>
      </c>
      <c r="E1351" s="1" t="str">
        <f t="array" ref="E1351">_xlfn.XLOOKUP(A1351,Product!A:A,Product!B:B,"Bulunamadı")</f>
        <v>Arts</v>
      </c>
      <c r="F1351" s="1" t="str">
        <f t="array" ref="F1351">_xlfn.XLOOKUP(A1351,Product!A:A,Product!C:C,"Bulunamadı")</f>
        <v>Political History</v>
      </c>
      <c r="G1351" s="2" t="str">
        <f t="array" ref="G1351">_xlfn.XLOOKUP(A1352,Product!A:A,Product!D:D,"Bulunamadı")</f>
        <v>Highland Grove Publishing</v>
      </c>
      <c r="H1351" s="2">
        <f t="array" ref="H1351">_xlfn.XLOOKUP(A1353,Product!A:A,Product!E:E,"Bulunamadı")</f>
        <v>5.04</v>
      </c>
      <c r="I1351" s="2" t="str">
        <f t="shared" si="1"/>
        <v>95063 - Arts - Political History</v>
      </c>
      <c r="J1351" s="2">
        <f t="shared" si="2"/>
        <v>735.84</v>
      </c>
      <c r="K1351" s="17">
        <f t="shared" si="3"/>
        <v>1</v>
      </c>
      <c r="L1351" s="18"/>
    </row>
    <row r="1352">
      <c r="A1352" s="2">
        <f>IFERROR(__xludf.DUMMYFUNCTION("""COMPUTED_VALUE"""),30314.0)</f>
        <v>30314</v>
      </c>
      <c r="B1352" s="2">
        <f>IFERROR(__xludf.DUMMYFUNCTION("""COMPUTED_VALUE"""),0.0)</f>
        <v>0</v>
      </c>
      <c r="C1352" s="2">
        <f>IFERROR(__xludf.DUMMYFUNCTION("""COMPUTED_VALUE"""),617.0)</f>
        <v>617</v>
      </c>
      <c r="D1352" s="3">
        <f>IFERROR(__xludf.DUMMYFUNCTION("""COMPUTED_VALUE"""),318.0)</f>
        <v>318</v>
      </c>
      <c r="E1352" s="1" t="str">
        <f t="array" ref="E1352">_xlfn.XLOOKUP(A1352,Product!A:A,Product!B:B,"Bulunamadı")</f>
        <v>Arts</v>
      </c>
      <c r="F1352" s="1" t="str">
        <f t="array" ref="F1352">_xlfn.XLOOKUP(A1352,Product!A:A,Product!C:C,"Bulunamadı")</f>
        <v>Political History</v>
      </c>
      <c r="G1352" s="2" t="str">
        <f t="array" ref="G1352">_xlfn.XLOOKUP(A1353,Product!A:A,Product!D:D,"Bulunamadı")</f>
        <v>Highland Grove Publishing</v>
      </c>
      <c r="H1352" s="2">
        <f t="array" ref="H1352">_xlfn.XLOOKUP(A1354,Product!A:A,Product!E:E,"Bulunamadı")</f>
        <v>4.7</v>
      </c>
      <c r="I1352" s="2" t="str">
        <f t="shared" si="1"/>
        <v>30314 - Arts - Political History</v>
      </c>
      <c r="J1352" s="2">
        <f t="shared" si="2"/>
        <v>1494.6</v>
      </c>
      <c r="K1352" s="17">
        <f t="shared" si="3"/>
        <v>1</v>
      </c>
      <c r="L1352" s="18"/>
    </row>
    <row r="1353">
      <c r="A1353" s="2">
        <f>IFERROR(__xludf.DUMMYFUNCTION("""COMPUTED_VALUE"""),19838.0)</f>
        <v>19838</v>
      </c>
      <c r="B1353" s="2">
        <f>IFERROR(__xludf.DUMMYFUNCTION("""COMPUTED_VALUE"""),1.0)</f>
        <v>1</v>
      </c>
      <c r="C1353" s="2">
        <f>IFERROR(__xludf.DUMMYFUNCTION("""COMPUTED_VALUE"""),677.0)</f>
        <v>677</v>
      </c>
      <c r="D1353" s="3">
        <f>IFERROR(__xludf.DUMMYFUNCTION("""COMPUTED_VALUE"""),479.0)</f>
        <v>479</v>
      </c>
      <c r="E1353" s="1" t="str">
        <f t="array" ref="E1353">_xlfn.XLOOKUP(A1353,Product!A:A,Product!B:B,"Bulunamadı")</f>
        <v>Arts</v>
      </c>
      <c r="F1353" s="1" t="str">
        <f t="array" ref="F1353">_xlfn.XLOOKUP(A1353,Product!A:A,Product!C:C,"Bulunamadı")</f>
        <v>Political History</v>
      </c>
      <c r="G1353" s="2" t="str">
        <f t="array" ref="G1353">_xlfn.XLOOKUP(A1354,Product!A:A,Product!D:D,"Bulunamadı")</f>
        <v>Highland Grove Publishing</v>
      </c>
      <c r="H1353" s="2">
        <f t="array" ref="H1353">_xlfn.XLOOKUP(A1355,Product!A:A,Product!E:E,"Bulunamadı")</f>
        <v>5.63</v>
      </c>
      <c r="I1353" s="2" t="str">
        <f t="shared" si="1"/>
        <v>19838 - Arts - Political History</v>
      </c>
      <c r="J1353" s="2">
        <f t="shared" si="2"/>
        <v>2696.77</v>
      </c>
      <c r="K1353" s="17">
        <f t="shared" si="3"/>
        <v>1</v>
      </c>
      <c r="L1353" s="18"/>
    </row>
    <row r="1354">
      <c r="A1354" s="2">
        <f>IFERROR(__xludf.DUMMYFUNCTION("""COMPUTED_VALUE"""),111283.0)</f>
        <v>111283</v>
      </c>
      <c r="B1354" s="2">
        <f>IFERROR(__xludf.DUMMYFUNCTION("""COMPUTED_VALUE"""),1.0)</f>
        <v>1</v>
      </c>
      <c r="C1354" s="2">
        <f>IFERROR(__xludf.DUMMYFUNCTION("""COMPUTED_VALUE"""),520.0)</f>
        <v>520</v>
      </c>
      <c r="D1354" s="3">
        <f>IFERROR(__xludf.DUMMYFUNCTION("""COMPUTED_VALUE"""),386.0)</f>
        <v>386</v>
      </c>
      <c r="E1354" s="1" t="str">
        <f t="array" ref="E1354">_xlfn.XLOOKUP(A1354,Product!A:A,Product!B:B,"Bulunamadı")</f>
        <v>Arts</v>
      </c>
      <c r="F1354" s="1" t="str">
        <f t="array" ref="F1354">_xlfn.XLOOKUP(A1354,Product!A:A,Product!C:C,"Bulunamadı")</f>
        <v>Political History</v>
      </c>
      <c r="G1354" s="2" t="str">
        <f t="array" ref="G1354">_xlfn.XLOOKUP(A1355,Product!A:A,Product!D:D,"Bulunamadı")</f>
        <v>Highland Grove Publishing</v>
      </c>
      <c r="H1354" s="2">
        <f t="array" ref="H1354">_xlfn.XLOOKUP(A1356,Product!A:A,Product!E:E,"Bulunamadı")</f>
        <v>1.24</v>
      </c>
      <c r="I1354" s="2" t="str">
        <f t="shared" si="1"/>
        <v>111283 - Arts - Political History</v>
      </c>
      <c r="J1354" s="2">
        <f t="shared" si="2"/>
        <v>478.64</v>
      </c>
      <c r="K1354" s="17">
        <f t="shared" si="3"/>
        <v>1</v>
      </c>
      <c r="L1354" s="18"/>
    </row>
    <row r="1355">
      <c r="A1355" s="2">
        <f>IFERROR(__xludf.DUMMYFUNCTION("""COMPUTED_VALUE"""),87568.0)</f>
        <v>87568</v>
      </c>
      <c r="B1355" s="2">
        <f>IFERROR(__xludf.DUMMYFUNCTION("""COMPUTED_VALUE"""),0.0)</f>
        <v>0</v>
      </c>
      <c r="C1355" s="2">
        <f>IFERROR(__xludf.DUMMYFUNCTION("""COMPUTED_VALUE"""),1.0)</f>
        <v>1</v>
      </c>
      <c r="D1355" s="3">
        <f>IFERROR(__xludf.DUMMYFUNCTION("""COMPUTED_VALUE"""),1.0)</f>
        <v>1</v>
      </c>
      <c r="E1355" s="1" t="str">
        <f t="array" ref="E1355">_xlfn.XLOOKUP(A1355,Product!A:A,Product!B:B,"Bulunamadı")</f>
        <v>Arts</v>
      </c>
      <c r="F1355" s="1" t="str">
        <f t="array" ref="F1355">_xlfn.XLOOKUP(A1355,Product!A:A,Product!C:C,"Bulunamadı")</f>
        <v>Political History</v>
      </c>
      <c r="G1355" s="2" t="str">
        <f t="array" ref="G1355">_xlfn.XLOOKUP(A1356,Product!A:A,Product!D:D,"Bulunamadı")</f>
        <v>Highland Grove Publishing</v>
      </c>
      <c r="H1355" s="2">
        <f t="array" ref="H1355">_xlfn.XLOOKUP(A1357,Product!A:A,Product!E:E,"Bulunamadı")</f>
        <v>4.64</v>
      </c>
      <c r="I1355" s="2" t="str">
        <f t="shared" si="1"/>
        <v>87568 - Arts - Political History</v>
      </c>
      <c r="J1355" s="2">
        <f t="shared" si="2"/>
        <v>4.64</v>
      </c>
      <c r="K1355" s="17">
        <f t="shared" si="3"/>
        <v>1</v>
      </c>
      <c r="L1355" s="18"/>
    </row>
    <row r="1356">
      <c r="A1356" s="2">
        <f>IFERROR(__xludf.DUMMYFUNCTION("""COMPUTED_VALUE"""),78419.0)</f>
        <v>78419</v>
      </c>
      <c r="B1356" s="2">
        <f>IFERROR(__xludf.DUMMYFUNCTION("""COMPUTED_VALUE"""),0.0)</f>
        <v>0</v>
      </c>
      <c r="C1356" s="2">
        <f>IFERROR(__xludf.DUMMYFUNCTION("""COMPUTED_VALUE"""),690.0)</f>
        <v>690</v>
      </c>
      <c r="D1356" s="3">
        <f>IFERROR(__xludf.DUMMYFUNCTION("""COMPUTED_VALUE"""),487.0)</f>
        <v>487</v>
      </c>
      <c r="E1356" s="1" t="str">
        <f t="array" ref="E1356">_xlfn.XLOOKUP(A1356,Product!A:A,Product!B:B,"Bulunamadı")</f>
        <v>Arts</v>
      </c>
      <c r="F1356" s="1" t="str">
        <f t="array" ref="F1356">_xlfn.XLOOKUP(A1356,Product!A:A,Product!C:C,"Bulunamadı")</f>
        <v>Political History</v>
      </c>
      <c r="G1356" s="2" t="str">
        <f t="array" ref="G1356">_xlfn.XLOOKUP(A1357,Product!A:A,Product!D:D,"Bulunamadı")</f>
        <v>Highland Grove Publishing</v>
      </c>
      <c r="H1356" s="2">
        <f t="array" ref="H1356">_xlfn.XLOOKUP(A1358,Product!A:A,Product!E:E,"Bulunamadı")</f>
        <v>2.94</v>
      </c>
      <c r="I1356" s="2" t="str">
        <f t="shared" si="1"/>
        <v>78419 - Arts - Political History</v>
      </c>
      <c r="J1356" s="2">
        <f t="shared" si="2"/>
        <v>1431.78</v>
      </c>
      <c r="K1356" s="17">
        <f t="shared" si="3"/>
        <v>1</v>
      </c>
      <c r="L1356" s="18"/>
    </row>
    <row r="1357">
      <c r="A1357" s="2">
        <f>IFERROR(__xludf.DUMMYFUNCTION("""COMPUTED_VALUE"""),106806.0)</f>
        <v>106806</v>
      </c>
      <c r="B1357" s="2">
        <f>IFERROR(__xludf.DUMMYFUNCTION("""COMPUTED_VALUE"""),1.0)</f>
        <v>1</v>
      </c>
      <c r="C1357" s="2">
        <f>IFERROR(__xludf.DUMMYFUNCTION("""COMPUTED_VALUE"""),167.0)</f>
        <v>167</v>
      </c>
      <c r="D1357" s="3">
        <f>IFERROR(__xludf.DUMMYFUNCTION("""COMPUTED_VALUE"""),166.0)</f>
        <v>166</v>
      </c>
      <c r="E1357" s="1" t="str">
        <f t="array" ref="E1357">_xlfn.XLOOKUP(A1357,Product!A:A,Product!B:B,"Bulunamadı")</f>
        <v>Arts</v>
      </c>
      <c r="F1357" s="1" t="str">
        <f t="array" ref="F1357">_xlfn.XLOOKUP(A1357,Product!A:A,Product!C:C,"Bulunamadı")</f>
        <v>Political History</v>
      </c>
      <c r="G1357" s="2" t="str">
        <f t="array" ref="G1357">_xlfn.XLOOKUP(A1358,Product!A:A,Product!D:D,"Bulunamadı")</f>
        <v>Highland Grove Publishing</v>
      </c>
      <c r="H1357" s="2">
        <f t="array" ref="H1357">_xlfn.XLOOKUP(A1359,Product!A:A,Product!E:E,"Bulunamadı")</f>
        <v>2.24</v>
      </c>
      <c r="I1357" s="2" t="str">
        <f t="shared" si="1"/>
        <v>106806 - Arts - Political History</v>
      </c>
      <c r="J1357" s="2">
        <f t="shared" si="2"/>
        <v>371.84</v>
      </c>
      <c r="K1357" s="17">
        <f t="shared" si="3"/>
        <v>1</v>
      </c>
      <c r="L1357" s="18"/>
    </row>
    <row r="1358">
      <c r="A1358" s="2">
        <f>IFERROR(__xludf.DUMMYFUNCTION("""COMPUTED_VALUE"""),78420.0)</f>
        <v>78420</v>
      </c>
      <c r="B1358" s="2">
        <f>IFERROR(__xludf.DUMMYFUNCTION("""COMPUTED_VALUE"""),1.0)</f>
        <v>1</v>
      </c>
      <c r="C1358" s="2">
        <f>IFERROR(__xludf.DUMMYFUNCTION("""COMPUTED_VALUE"""),458.0)</f>
        <v>458</v>
      </c>
      <c r="D1358" s="3">
        <f>IFERROR(__xludf.DUMMYFUNCTION("""COMPUTED_VALUE"""),428.0)</f>
        <v>428</v>
      </c>
      <c r="E1358" s="1" t="str">
        <f t="array" ref="E1358">_xlfn.XLOOKUP(A1358,Product!A:A,Product!B:B,"Bulunamadı")</f>
        <v>Arts</v>
      </c>
      <c r="F1358" s="1" t="str">
        <f t="array" ref="F1358">_xlfn.XLOOKUP(A1358,Product!A:A,Product!C:C,"Bulunamadı")</f>
        <v>Political History</v>
      </c>
      <c r="G1358" s="2" t="str">
        <f t="array" ref="G1358">_xlfn.XLOOKUP(A1359,Product!A:A,Product!D:D,"Bulunamadı")</f>
        <v>Highland Grove Publishing</v>
      </c>
      <c r="H1358" s="2">
        <f t="array" ref="H1358">_xlfn.XLOOKUP(A1360,Product!A:A,Product!E:E,"Bulunamadı")</f>
        <v>1.26</v>
      </c>
      <c r="I1358" s="2" t="str">
        <f t="shared" si="1"/>
        <v>78420 - Arts - Political History</v>
      </c>
      <c r="J1358" s="2">
        <f t="shared" si="2"/>
        <v>539.28</v>
      </c>
      <c r="K1358" s="17">
        <f t="shared" si="3"/>
        <v>1</v>
      </c>
      <c r="L1358" s="18"/>
    </row>
    <row r="1359">
      <c r="A1359" s="2">
        <f>IFERROR(__xludf.DUMMYFUNCTION("""COMPUTED_VALUE"""),78442.0)</f>
        <v>78442</v>
      </c>
      <c r="B1359" s="2">
        <f>IFERROR(__xludf.DUMMYFUNCTION("""COMPUTED_VALUE"""),1.0)</f>
        <v>1</v>
      </c>
      <c r="C1359" s="2">
        <f>IFERROR(__xludf.DUMMYFUNCTION("""COMPUTED_VALUE"""),739.0)</f>
        <v>739</v>
      </c>
      <c r="D1359" s="3">
        <f>IFERROR(__xludf.DUMMYFUNCTION("""COMPUTED_VALUE"""),540.0)</f>
        <v>540</v>
      </c>
      <c r="E1359" s="1" t="str">
        <f t="array" ref="E1359">_xlfn.XLOOKUP(A1359,Product!A:A,Product!B:B,"Bulunamadı")</f>
        <v>Arts</v>
      </c>
      <c r="F1359" s="1" t="str">
        <f t="array" ref="F1359">_xlfn.XLOOKUP(A1359,Product!A:A,Product!C:C,"Bulunamadı")</f>
        <v>Political History</v>
      </c>
      <c r="G1359" s="2" t="str">
        <f t="array" ref="G1359">_xlfn.XLOOKUP(A1360,Product!A:A,Product!D:D,"Bulunamadı")</f>
        <v>Highland Grove Publishing</v>
      </c>
      <c r="H1359" s="2">
        <f t="array" ref="H1359">_xlfn.XLOOKUP(A1361,Product!A:A,Product!E:E,"Bulunamadı")</f>
        <v>2.47</v>
      </c>
      <c r="I1359" s="2" t="str">
        <f t="shared" si="1"/>
        <v>78442 - Arts - Political History</v>
      </c>
      <c r="J1359" s="2">
        <f t="shared" si="2"/>
        <v>1333.8</v>
      </c>
      <c r="K1359" s="17">
        <f t="shared" si="3"/>
        <v>1</v>
      </c>
      <c r="L1359" s="18"/>
    </row>
    <row r="1360">
      <c r="A1360" s="2">
        <f>IFERROR(__xludf.DUMMYFUNCTION("""COMPUTED_VALUE"""),78492.0)</f>
        <v>78492</v>
      </c>
      <c r="B1360" s="2">
        <f>IFERROR(__xludf.DUMMYFUNCTION("""COMPUTED_VALUE"""),1.0)</f>
        <v>1</v>
      </c>
      <c r="C1360" s="2">
        <f>IFERROR(__xludf.DUMMYFUNCTION("""COMPUTED_VALUE"""),162.0)</f>
        <v>162</v>
      </c>
      <c r="D1360" s="3">
        <f>IFERROR(__xludf.DUMMYFUNCTION("""COMPUTED_VALUE"""),19.0)</f>
        <v>19</v>
      </c>
      <c r="E1360" s="1" t="str">
        <f t="array" ref="E1360">_xlfn.XLOOKUP(A1360,Product!A:A,Product!B:B,"Bulunamadı")</f>
        <v>Arts</v>
      </c>
      <c r="F1360" s="1" t="str">
        <f t="array" ref="F1360">_xlfn.XLOOKUP(A1360,Product!A:A,Product!C:C,"Bulunamadı")</f>
        <v>Political History</v>
      </c>
      <c r="G1360" s="2" t="str">
        <f t="array" ref="G1360">_xlfn.XLOOKUP(A1361,Product!A:A,Product!D:D,"Bulunamadı")</f>
        <v>Highland Grove Publishing</v>
      </c>
      <c r="H1360" s="2">
        <f t="array" ref="H1360">_xlfn.XLOOKUP(A1362,Product!A:A,Product!E:E,"Bulunamadı")</f>
        <v>1.55</v>
      </c>
      <c r="I1360" s="2" t="str">
        <f t="shared" si="1"/>
        <v>78492 - Arts - Political History</v>
      </c>
      <c r="J1360" s="2">
        <f t="shared" si="2"/>
        <v>29.45</v>
      </c>
      <c r="K1360" s="17">
        <f t="shared" si="3"/>
        <v>1</v>
      </c>
      <c r="L1360" s="18"/>
    </row>
    <row r="1361">
      <c r="A1361" s="2">
        <f>IFERROR(__xludf.DUMMYFUNCTION("""COMPUTED_VALUE"""),80297.0)</f>
        <v>80297</v>
      </c>
      <c r="B1361" s="2">
        <f>IFERROR(__xludf.DUMMYFUNCTION("""COMPUTED_VALUE"""),0.0)</f>
        <v>0</v>
      </c>
      <c r="C1361" s="2">
        <f>IFERROR(__xludf.DUMMYFUNCTION("""COMPUTED_VALUE"""),769.0)</f>
        <v>769</v>
      </c>
      <c r="D1361" s="3">
        <f>IFERROR(__xludf.DUMMYFUNCTION("""COMPUTED_VALUE"""),635.0)</f>
        <v>635</v>
      </c>
      <c r="E1361" s="1" t="str">
        <f t="array" ref="E1361">_xlfn.XLOOKUP(A1361,Product!A:A,Product!B:B,"Bulunamadı")</f>
        <v>Arts</v>
      </c>
      <c r="F1361" s="1" t="str">
        <f t="array" ref="F1361">_xlfn.XLOOKUP(A1361,Product!A:A,Product!C:C,"Bulunamadı")</f>
        <v>Political History</v>
      </c>
      <c r="G1361" s="2" t="str">
        <f t="array" ref="G1361">_xlfn.XLOOKUP(A1362,Product!A:A,Product!D:D,"Bulunamadı")</f>
        <v>Highland Grove Publishing</v>
      </c>
      <c r="H1361" s="2">
        <f t="array" ref="H1361">_xlfn.XLOOKUP(A1363,Product!A:A,Product!E:E,"Bulunamadı")</f>
        <v>23.37</v>
      </c>
      <c r="I1361" s="2" t="str">
        <f t="shared" si="1"/>
        <v>80297 - Arts - Political History</v>
      </c>
      <c r="J1361" s="2">
        <f t="shared" si="2"/>
        <v>14839.95</v>
      </c>
      <c r="K1361" s="17">
        <f t="shared" si="3"/>
        <v>1</v>
      </c>
      <c r="L1361" s="18"/>
    </row>
    <row r="1362">
      <c r="A1362" s="2">
        <f>IFERROR(__xludf.DUMMYFUNCTION("""COMPUTED_VALUE"""),44712.0)</f>
        <v>44712</v>
      </c>
      <c r="B1362" s="2">
        <f>IFERROR(__xludf.DUMMYFUNCTION("""COMPUTED_VALUE"""),1.0)</f>
        <v>1</v>
      </c>
      <c r="C1362" s="2">
        <f>IFERROR(__xludf.DUMMYFUNCTION("""COMPUTED_VALUE"""),575.0)</f>
        <v>575</v>
      </c>
      <c r="D1362" s="3">
        <f>IFERROR(__xludf.DUMMYFUNCTION("""COMPUTED_VALUE"""),155.0)</f>
        <v>155</v>
      </c>
      <c r="E1362" s="1" t="str">
        <f t="array" ref="E1362">_xlfn.XLOOKUP(A1362,Product!A:A,Product!B:B,"Bulunamadı")</f>
        <v>Arts</v>
      </c>
      <c r="F1362" s="1" t="str">
        <f t="array" ref="F1362">_xlfn.XLOOKUP(A1362,Product!A:A,Product!C:C,"Bulunamadı")</f>
        <v>Political History</v>
      </c>
      <c r="G1362" s="2" t="str">
        <f t="array" ref="G1362">_xlfn.XLOOKUP(A1363,Product!A:A,Product!D:D,"Bulunamadı")</f>
        <v>Highland Grove Publishing</v>
      </c>
      <c r="H1362" s="2">
        <f t="array" ref="H1362">_xlfn.XLOOKUP(A1364,Product!A:A,Product!E:E,"Bulunamadı")</f>
        <v>1.46</v>
      </c>
      <c r="I1362" s="2" t="str">
        <f t="shared" si="1"/>
        <v>44712 - Arts - Political History</v>
      </c>
      <c r="J1362" s="2">
        <f t="shared" si="2"/>
        <v>226.3</v>
      </c>
      <c r="K1362" s="17">
        <f t="shared" si="3"/>
        <v>1</v>
      </c>
      <c r="L1362" s="18"/>
    </row>
    <row r="1363">
      <c r="A1363" s="2">
        <f>IFERROR(__xludf.DUMMYFUNCTION("""COMPUTED_VALUE"""),89736.0)</f>
        <v>89736</v>
      </c>
      <c r="B1363" s="2">
        <f>IFERROR(__xludf.DUMMYFUNCTION("""COMPUTED_VALUE"""),0.0)</f>
        <v>0</v>
      </c>
      <c r="C1363" s="2">
        <f>IFERROR(__xludf.DUMMYFUNCTION("""COMPUTED_VALUE"""),929.0)</f>
        <v>929</v>
      </c>
      <c r="D1363" s="3">
        <f>IFERROR(__xludf.DUMMYFUNCTION("""COMPUTED_VALUE"""),75.0)</f>
        <v>75</v>
      </c>
      <c r="E1363" s="1" t="str">
        <f t="array" ref="E1363">_xlfn.XLOOKUP(A1363,Product!A:A,Product!B:B,"Bulunamadı")</f>
        <v>Arts</v>
      </c>
      <c r="F1363" s="1" t="str">
        <f t="array" ref="F1363">_xlfn.XLOOKUP(A1363,Product!A:A,Product!C:C,"Bulunamadı")</f>
        <v>Political History</v>
      </c>
      <c r="G1363" s="2" t="str">
        <f t="array" ref="G1363">_xlfn.XLOOKUP(A1364,Product!A:A,Product!D:D,"Bulunamadı")</f>
        <v>Highland Grove Publishing</v>
      </c>
      <c r="H1363" s="2">
        <f t="array" ref="H1363">_xlfn.XLOOKUP(A1365,Product!A:A,Product!E:E,"Bulunamadı")</f>
        <v>1.42</v>
      </c>
      <c r="I1363" s="2" t="str">
        <f t="shared" si="1"/>
        <v>89736 - Arts - Political History</v>
      </c>
      <c r="J1363" s="2">
        <f t="shared" si="2"/>
        <v>106.5</v>
      </c>
      <c r="K1363" s="17">
        <f t="shared" si="3"/>
        <v>1</v>
      </c>
      <c r="L1363" s="18"/>
    </row>
    <row r="1364">
      <c r="A1364" s="2">
        <f>IFERROR(__xludf.DUMMYFUNCTION("""COMPUTED_VALUE"""),83270.0)</f>
        <v>83270</v>
      </c>
      <c r="B1364" s="2">
        <f>IFERROR(__xludf.DUMMYFUNCTION("""COMPUTED_VALUE"""),1.0)</f>
        <v>1</v>
      </c>
      <c r="C1364" s="2">
        <f>IFERROR(__xludf.DUMMYFUNCTION("""COMPUTED_VALUE"""),179.0)</f>
        <v>179</v>
      </c>
      <c r="D1364" s="3">
        <f>IFERROR(__xludf.DUMMYFUNCTION("""COMPUTED_VALUE"""),18.0)</f>
        <v>18</v>
      </c>
      <c r="E1364" s="1" t="str">
        <f t="array" ref="E1364">_xlfn.XLOOKUP(A1364,Product!A:A,Product!B:B,"Bulunamadı")</f>
        <v>Arts</v>
      </c>
      <c r="F1364" s="1" t="str">
        <f t="array" ref="F1364">_xlfn.XLOOKUP(A1364,Product!A:A,Product!C:C,"Bulunamadı")</f>
        <v>Political History</v>
      </c>
      <c r="G1364" s="2" t="str">
        <f t="array" ref="G1364">_xlfn.XLOOKUP(A1365,Product!A:A,Product!D:D,"Bulunamadı")</f>
        <v>Highland Grove Publishing</v>
      </c>
      <c r="H1364" s="2">
        <f t="array" ref="H1364">_xlfn.XLOOKUP(A1366,Product!A:A,Product!E:E,"Bulunamadı")</f>
        <v>2.04</v>
      </c>
      <c r="I1364" s="2" t="str">
        <f t="shared" si="1"/>
        <v>83270 - Arts - Political History</v>
      </c>
      <c r="J1364" s="2">
        <f t="shared" si="2"/>
        <v>36.72</v>
      </c>
      <c r="K1364" s="17">
        <f t="shared" si="3"/>
        <v>1</v>
      </c>
      <c r="L1364" s="18"/>
    </row>
    <row r="1365">
      <c r="A1365" s="2">
        <f>IFERROR(__xludf.DUMMYFUNCTION("""COMPUTED_VALUE"""),101588.0)</f>
        <v>101588</v>
      </c>
      <c r="B1365" s="2">
        <f>IFERROR(__xludf.DUMMYFUNCTION("""COMPUTED_VALUE"""),0.0)</f>
        <v>0</v>
      </c>
      <c r="C1365" s="2">
        <f>IFERROR(__xludf.DUMMYFUNCTION("""COMPUTED_VALUE"""),604.0)</f>
        <v>604</v>
      </c>
      <c r="D1365" s="3">
        <f>IFERROR(__xludf.DUMMYFUNCTION("""COMPUTED_VALUE"""),590.0)</f>
        <v>590</v>
      </c>
      <c r="E1365" s="1" t="str">
        <f t="array" ref="E1365">_xlfn.XLOOKUP(A1365,Product!A:A,Product!B:B,"Bulunamadı")</f>
        <v>Arts</v>
      </c>
      <c r="F1365" s="1" t="str">
        <f t="array" ref="F1365">_xlfn.XLOOKUP(A1365,Product!A:A,Product!C:C,"Bulunamadı")</f>
        <v>Political History</v>
      </c>
      <c r="G1365" s="2" t="str">
        <f t="array" ref="G1365">_xlfn.XLOOKUP(A1366,Product!A:A,Product!D:D,"Bulunamadı")</f>
        <v>Highland Grove Publishing</v>
      </c>
      <c r="H1365" s="2">
        <f t="array" ref="H1365">_xlfn.XLOOKUP(A1367,Product!A:A,Product!E:E,"Bulunamadı")</f>
        <v>1.09</v>
      </c>
      <c r="I1365" s="2" t="str">
        <f t="shared" si="1"/>
        <v>101588 - Arts - Political History</v>
      </c>
      <c r="J1365" s="2">
        <f t="shared" si="2"/>
        <v>643.1</v>
      </c>
      <c r="K1365" s="17">
        <f t="shared" si="3"/>
        <v>1</v>
      </c>
      <c r="L1365" s="18"/>
    </row>
    <row r="1366">
      <c r="A1366" s="2">
        <f>IFERROR(__xludf.DUMMYFUNCTION("""COMPUTED_VALUE"""),104171.0)</f>
        <v>104171</v>
      </c>
      <c r="B1366" s="2">
        <f>IFERROR(__xludf.DUMMYFUNCTION("""COMPUTED_VALUE"""),1.0)</f>
        <v>1</v>
      </c>
      <c r="C1366" s="2">
        <f>IFERROR(__xludf.DUMMYFUNCTION("""COMPUTED_VALUE"""),537.0)</f>
        <v>537</v>
      </c>
      <c r="D1366" s="3">
        <f>IFERROR(__xludf.DUMMYFUNCTION("""COMPUTED_VALUE"""),533.0)</f>
        <v>533</v>
      </c>
      <c r="E1366" s="1" t="str">
        <f t="array" ref="E1366">_xlfn.XLOOKUP(A1366,Product!A:A,Product!B:B,"Bulunamadı")</f>
        <v>Arts</v>
      </c>
      <c r="F1366" s="1" t="str">
        <f t="array" ref="F1366">_xlfn.XLOOKUP(A1366,Product!A:A,Product!C:C,"Bulunamadı")</f>
        <v>Political History</v>
      </c>
      <c r="G1366" s="2" t="str">
        <f t="array" ref="G1366">_xlfn.XLOOKUP(A1367,Product!A:A,Product!D:D,"Bulunamadı")</f>
        <v>Highland Grove Publishing</v>
      </c>
      <c r="H1366" s="2">
        <f t="array" ref="H1366">_xlfn.XLOOKUP(A1368,Product!A:A,Product!E:E,"Bulunamadı")</f>
        <v>3.27</v>
      </c>
      <c r="I1366" s="2" t="str">
        <f t="shared" si="1"/>
        <v>104171 - Arts - Political History</v>
      </c>
      <c r="J1366" s="2">
        <f t="shared" si="2"/>
        <v>1742.91</v>
      </c>
      <c r="K1366" s="17">
        <f t="shared" si="3"/>
        <v>1</v>
      </c>
      <c r="L1366" s="18"/>
    </row>
    <row r="1367">
      <c r="A1367" s="2">
        <f>IFERROR(__xludf.DUMMYFUNCTION("""COMPUTED_VALUE"""),101042.0)</f>
        <v>101042</v>
      </c>
      <c r="B1367" s="2">
        <f>IFERROR(__xludf.DUMMYFUNCTION("""COMPUTED_VALUE"""),1.0)</f>
        <v>1</v>
      </c>
      <c r="C1367" s="2">
        <f>IFERROR(__xludf.DUMMYFUNCTION("""COMPUTED_VALUE"""),818.0)</f>
        <v>818</v>
      </c>
      <c r="D1367" s="3">
        <f>IFERROR(__xludf.DUMMYFUNCTION("""COMPUTED_VALUE"""),244.0)</f>
        <v>244</v>
      </c>
      <c r="E1367" s="1" t="str">
        <f t="array" ref="E1367">_xlfn.XLOOKUP(A1367,Product!A:A,Product!B:B,"Bulunamadı")</f>
        <v>Arts</v>
      </c>
      <c r="F1367" s="1" t="str">
        <f t="array" ref="F1367">_xlfn.XLOOKUP(A1367,Product!A:A,Product!C:C,"Bulunamadı")</f>
        <v>Political History</v>
      </c>
      <c r="G1367" s="2" t="str">
        <f t="array" ref="G1367">_xlfn.XLOOKUP(A1368,Product!A:A,Product!D:D,"Bulunamadı")</f>
        <v>Highland Grove Publishing</v>
      </c>
      <c r="H1367" s="2">
        <f t="array" ref="H1367">_xlfn.XLOOKUP(A1369,Product!A:A,Product!E:E,"Bulunamadı")</f>
        <v>5.44</v>
      </c>
      <c r="I1367" s="2" t="str">
        <f t="shared" si="1"/>
        <v>101042 - Arts - Political History</v>
      </c>
      <c r="J1367" s="2">
        <f t="shared" si="2"/>
        <v>1327.36</v>
      </c>
      <c r="K1367" s="17">
        <f t="shared" si="3"/>
        <v>1</v>
      </c>
      <c r="L1367" s="18"/>
    </row>
    <row r="1368">
      <c r="A1368" s="2">
        <f>IFERROR(__xludf.DUMMYFUNCTION("""COMPUTED_VALUE"""),108881.0)</f>
        <v>108881</v>
      </c>
      <c r="B1368" s="2">
        <f>IFERROR(__xludf.DUMMYFUNCTION("""COMPUTED_VALUE"""),1.0)</f>
        <v>1</v>
      </c>
      <c r="C1368" s="2">
        <f>IFERROR(__xludf.DUMMYFUNCTION("""COMPUTED_VALUE"""),503.0)</f>
        <v>503</v>
      </c>
      <c r="D1368" s="3">
        <f>IFERROR(__xludf.DUMMYFUNCTION("""COMPUTED_VALUE"""),289.0)</f>
        <v>289</v>
      </c>
      <c r="E1368" s="1" t="str">
        <f t="array" ref="E1368">_xlfn.XLOOKUP(A1368,Product!A:A,Product!B:B,"Bulunamadı")</f>
        <v>Arts</v>
      </c>
      <c r="F1368" s="1" t="str">
        <f t="array" ref="F1368">_xlfn.XLOOKUP(A1368,Product!A:A,Product!C:C,"Bulunamadı")</f>
        <v>Political History</v>
      </c>
      <c r="G1368" s="2" t="str">
        <f t="array" ref="G1368">_xlfn.XLOOKUP(A1369,Product!A:A,Product!D:D,"Bulunamadı")</f>
        <v>Highland Grove Publishing</v>
      </c>
      <c r="H1368" s="2">
        <f t="array" ref="H1368">_xlfn.XLOOKUP(A1370,Product!A:A,Product!E:E,"Bulunamadı")</f>
        <v>1.51</v>
      </c>
      <c r="I1368" s="2" t="str">
        <f t="shared" si="1"/>
        <v>108881 - Arts - Political History</v>
      </c>
      <c r="J1368" s="2">
        <f t="shared" si="2"/>
        <v>436.39</v>
      </c>
      <c r="K1368" s="17">
        <f t="shared" si="3"/>
        <v>1</v>
      </c>
      <c r="L1368" s="18"/>
    </row>
    <row r="1369">
      <c r="A1369" s="2">
        <f>IFERROR(__xludf.DUMMYFUNCTION("""COMPUTED_VALUE"""),87571.0)</f>
        <v>87571</v>
      </c>
      <c r="B1369" s="2">
        <f>IFERROR(__xludf.DUMMYFUNCTION("""COMPUTED_VALUE"""),0.0)</f>
        <v>0</v>
      </c>
      <c r="C1369" s="2">
        <f>IFERROR(__xludf.DUMMYFUNCTION("""COMPUTED_VALUE"""),81.0)</f>
        <v>81</v>
      </c>
      <c r="D1369" s="3">
        <f>IFERROR(__xludf.DUMMYFUNCTION("""COMPUTED_VALUE"""),36.0)</f>
        <v>36</v>
      </c>
      <c r="E1369" s="1" t="str">
        <f t="array" ref="E1369">_xlfn.XLOOKUP(A1369,Product!A:A,Product!B:B,"Bulunamadı")</f>
        <v>Arts</v>
      </c>
      <c r="F1369" s="1" t="str">
        <f t="array" ref="F1369">_xlfn.XLOOKUP(A1369,Product!A:A,Product!C:C,"Bulunamadı")</f>
        <v>Political History</v>
      </c>
      <c r="G1369" s="2" t="str">
        <f t="array" ref="G1369">_xlfn.XLOOKUP(A1370,Product!A:A,Product!D:D,"Bulunamadı")</f>
        <v>Highland Grove Publishing</v>
      </c>
      <c r="H1369" s="2">
        <f t="array" ref="H1369">_xlfn.XLOOKUP(A1371,Product!A:A,Product!E:E,"Bulunamadı")</f>
        <v>0.98</v>
      </c>
      <c r="I1369" s="2" t="str">
        <f t="shared" si="1"/>
        <v>87571 - Arts - Political History</v>
      </c>
      <c r="J1369" s="2">
        <f t="shared" si="2"/>
        <v>35.28</v>
      </c>
      <c r="K1369" s="17">
        <f t="shared" si="3"/>
        <v>1</v>
      </c>
      <c r="L1369" s="18"/>
    </row>
    <row r="1370">
      <c r="A1370" s="2">
        <f>IFERROR(__xludf.DUMMYFUNCTION("""COMPUTED_VALUE"""),44718.0)</f>
        <v>44718</v>
      </c>
      <c r="B1370" s="2">
        <f>IFERROR(__xludf.DUMMYFUNCTION("""COMPUTED_VALUE"""),1.0)</f>
        <v>1</v>
      </c>
      <c r="C1370" s="2">
        <f>IFERROR(__xludf.DUMMYFUNCTION("""COMPUTED_VALUE"""),555.0)</f>
        <v>555</v>
      </c>
      <c r="D1370" s="3">
        <f>IFERROR(__xludf.DUMMYFUNCTION("""COMPUTED_VALUE"""),307.0)</f>
        <v>307</v>
      </c>
      <c r="E1370" s="1" t="str">
        <f t="array" ref="E1370">_xlfn.XLOOKUP(A1370,Product!A:A,Product!B:B,"Bulunamadı")</f>
        <v>Arts</v>
      </c>
      <c r="F1370" s="1" t="str">
        <f t="array" ref="F1370">_xlfn.XLOOKUP(A1370,Product!A:A,Product!C:C,"Bulunamadı")</f>
        <v>Political History</v>
      </c>
      <c r="G1370" s="2" t="str">
        <f t="array" ref="G1370">_xlfn.XLOOKUP(A1371,Product!A:A,Product!D:D,"Bulunamadı")</f>
        <v>Highland Grove Publishing</v>
      </c>
      <c r="H1370" s="2">
        <f t="array" ref="H1370">_xlfn.XLOOKUP(A1372,Product!A:A,Product!E:E,"Bulunamadı")</f>
        <v>4.06</v>
      </c>
      <c r="I1370" s="2" t="str">
        <f t="shared" si="1"/>
        <v>44718 - Arts - Political History</v>
      </c>
      <c r="J1370" s="2">
        <f t="shared" si="2"/>
        <v>1246.42</v>
      </c>
      <c r="K1370" s="17">
        <f t="shared" si="3"/>
        <v>1</v>
      </c>
      <c r="L1370" s="18"/>
    </row>
    <row r="1371">
      <c r="A1371" s="2">
        <f>IFERROR(__xludf.DUMMYFUNCTION("""COMPUTED_VALUE"""),44735.0)</f>
        <v>44735</v>
      </c>
      <c r="B1371" s="2">
        <f>IFERROR(__xludf.DUMMYFUNCTION("""COMPUTED_VALUE"""),0.0)</f>
        <v>0</v>
      </c>
      <c r="C1371" s="2">
        <f>IFERROR(__xludf.DUMMYFUNCTION("""COMPUTED_VALUE"""),50.0)</f>
        <v>50</v>
      </c>
      <c r="D1371" s="3">
        <f>IFERROR(__xludf.DUMMYFUNCTION("""COMPUTED_VALUE"""),46.0)</f>
        <v>46</v>
      </c>
      <c r="E1371" s="1" t="str">
        <f t="array" ref="E1371">_xlfn.XLOOKUP(A1371,Product!A:A,Product!B:B,"Bulunamadı")</f>
        <v>Arts</v>
      </c>
      <c r="F1371" s="1" t="str">
        <f t="array" ref="F1371">_xlfn.XLOOKUP(A1371,Product!A:A,Product!C:C,"Bulunamadı")</f>
        <v>Political History</v>
      </c>
      <c r="G1371" s="2" t="str">
        <f t="array" ref="G1371">_xlfn.XLOOKUP(A1372,Product!A:A,Product!D:D,"Bulunamadı")</f>
        <v>Highland Grove Publishing</v>
      </c>
      <c r="H1371" s="2">
        <f t="array" ref="H1371">_xlfn.XLOOKUP(A1373,Product!A:A,Product!E:E,"Bulunamadı")</f>
        <v>6.05</v>
      </c>
      <c r="I1371" s="2" t="str">
        <f t="shared" si="1"/>
        <v>44735 - Arts - Political History</v>
      </c>
      <c r="J1371" s="2">
        <f t="shared" si="2"/>
        <v>278.3</v>
      </c>
      <c r="K1371" s="17">
        <f t="shared" si="3"/>
        <v>1</v>
      </c>
      <c r="L1371" s="18"/>
    </row>
    <row r="1372">
      <c r="A1372" s="2">
        <f>IFERROR(__xludf.DUMMYFUNCTION("""COMPUTED_VALUE"""),21035.0)</f>
        <v>21035</v>
      </c>
      <c r="B1372" s="2">
        <f>IFERROR(__xludf.DUMMYFUNCTION("""COMPUTED_VALUE"""),1.0)</f>
        <v>1</v>
      </c>
      <c r="C1372" s="2">
        <f>IFERROR(__xludf.DUMMYFUNCTION("""COMPUTED_VALUE"""),881.0)</f>
        <v>881</v>
      </c>
      <c r="D1372" s="3">
        <f>IFERROR(__xludf.DUMMYFUNCTION("""COMPUTED_VALUE"""),607.0)</f>
        <v>607</v>
      </c>
      <c r="E1372" s="1" t="str">
        <f t="array" ref="E1372">_xlfn.XLOOKUP(A1372,Product!A:A,Product!B:B,"Bulunamadı")</f>
        <v>Arts</v>
      </c>
      <c r="F1372" s="1" t="str">
        <f t="array" ref="F1372">_xlfn.XLOOKUP(A1372,Product!A:A,Product!C:C,"Bulunamadı")</f>
        <v>Political History</v>
      </c>
      <c r="G1372" s="2" t="str">
        <f t="array" ref="G1372">_xlfn.XLOOKUP(A1373,Product!A:A,Product!D:D,"Bulunamadı")</f>
        <v>Highland Grove Publishing</v>
      </c>
      <c r="H1372" s="2">
        <f t="array" ref="H1372">_xlfn.XLOOKUP(A1374,Product!A:A,Product!E:E,"Bulunamadı")</f>
        <v>2.51</v>
      </c>
      <c r="I1372" s="2" t="str">
        <f t="shared" si="1"/>
        <v>21035 - Arts - Political History</v>
      </c>
      <c r="J1372" s="2">
        <f t="shared" si="2"/>
        <v>1523.57</v>
      </c>
      <c r="K1372" s="17">
        <f t="shared" si="3"/>
        <v>1</v>
      </c>
      <c r="L1372" s="18"/>
    </row>
    <row r="1373">
      <c r="A1373" s="2">
        <f>IFERROR(__xludf.DUMMYFUNCTION("""COMPUTED_VALUE"""),30308.0)</f>
        <v>30308</v>
      </c>
      <c r="B1373" s="2">
        <f>IFERROR(__xludf.DUMMYFUNCTION("""COMPUTED_VALUE"""),0.0)</f>
        <v>0</v>
      </c>
      <c r="C1373" s="2">
        <f>IFERROR(__xludf.DUMMYFUNCTION("""COMPUTED_VALUE"""),424.0)</f>
        <v>424</v>
      </c>
      <c r="D1373" s="3">
        <f>IFERROR(__xludf.DUMMYFUNCTION("""COMPUTED_VALUE"""),165.0)</f>
        <v>165</v>
      </c>
      <c r="E1373" s="1" t="str">
        <f t="array" ref="E1373">_xlfn.XLOOKUP(A1373,Product!A:A,Product!B:B,"Bulunamadı")</f>
        <v>Arts</v>
      </c>
      <c r="F1373" s="1" t="str">
        <f t="array" ref="F1373">_xlfn.XLOOKUP(A1373,Product!A:A,Product!C:C,"Bulunamadı")</f>
        <v>Political History</v>
      </c>
      <c r="G1373" s="2" t="str">
        <f t="array" ref="G1373">_xlfn.XLOOKUP(A1374,Product!A:A,Product!D:D,"Bulunamadı")</f>
        <v>Highland Grove Publishing</v>
      </c>
      <c r="H1373" s="2">
        <f t="array" ref="H1373">_xlfn.XLOOKUP(A1375,Product!A:A,Product!E:E,"Bulunamadı")</f>
        <v>1.65</v>
      </c>
      <c r="I1373" s="2" t="str">
        <f t="shared" si="1"/>
        <v>30308 - Arts - Political History</v>
      </c>
      <c r="J1373" s="2">
        <f t="shared" si="2"/>
        <v>272.25</v>
      </c>
      <c r="K1373" s="17">
        <f t="shared" si="3"/>
        <v>1</v>
      </c>
      <c r="L1373" s="18"/>
    </row>
    <row r="1374">
      <c r="A1374" s="2">
        <f>IFERROR(__xludf.DUMMYFUNCTION("""COMPUTED_VALUE"""),44694.0)</f>
        <v>44694</v>
      </c>
      <c r="B1374" s="2">
        <f>IFERROR(__xludf.DUMMYFUNCTION("""COMPUTED_VALUE"""),1.0)</f>
        <v>1</v>
      </c>
      <c r="C1374" s="2">
        <f>IFERROR(__xludf.DUMMYFUNCTION("""COMPUTED_VALUE"""),286.0)</f>
        <v>286</v>
      </c>
      <c r="D1374" s="3">
        <f>IFERROR(__xludf.DUMMYFUNCTION("""COMPUTED_VALUE"""),208.0)</f>
        <v>208</v>
      </c>
      <c r="E1374" s="1" t="str">
        <f t="array" ref="E1374">_xlfn.XLOOKUP(A1374,Product!A:A,Product!B:B,"Bulunamadı")</f>
        <v>Arts</v>
      </c>
      <c r="F1374" s="1" t="str">
        <f t="array" ref="F1374">_xlfn.XLOOKUP(A1374,Product!A:A,Product!C:C,"Bulunamadı")</f>
        <v>Political History</v>
      </c>
      <c r="G1374" s="2" t="str">
        <f t="array" ref="G1374">_xlfn.XLOOKUP(A1375,Product!A:A,Product!D:D,"Bulunamadı")</f>
        <v>Highland Grove Publishing</v>
      </c>
      <c r="H1374" s="2">
        <f t="array" ref="H1374">_xlfn.XLOOKUP(A1376,Product!A:A,Product!E:E,"Bulunamadı")</f>
        <v>1.86</v>
      </c>
      <c r="I1374" s="2" t="str">
        <f t="shared" si="1"/>
        <v>44694 - Arts - Political History</v>
      </c>
      <c r="J1374" s="2">
        <f t="shared" si="2"/>
        <v>386.88</v>
      </c>
      <c r="K1374" s="17">
        <f t="shared" si="3"/>
        <v>1</v>
      </c>
      <c r="L1374" s="18"/>
    </row>
    <row r="1375">
      <c r="A1375" s="2">
        <f>IFERROR(__xludf.DUMMYFUNCTION("""COMPUTED_VALUE"""),78493.0)</f>
        <v>78493</v>
      </c>
      <c r="B1375" s="2">
        <f>IFERROR(__xludf.DUMMYFUNCTION("""COMPUTED_VALUE"""),0.0)</f>
        <v>0</v>
      </c>
      <c r="C1375" s="2">
        <f>IFERROR(__xludf.DUMMYFUNCTION("""COMPUTED_VALUE"""),325.0)</f>
        <v>325</v>
      </c>
      <c r="D1375" s="3">
        <f>IFERROR(__xludf.DUMMYFUNCTION("""COMPUTED_VALUE"""),95.0)</f>
        <v>95</v>
      </c>
      <c r="E1375" s="1" t="str">
        <f t="array" ref="E1375">_xlfn.XLOOKUP(A1375,Product!A:A,Product!B:B,"Bulunamadı")</f>
        <v>Arts</v>
      </c>
      <c r="F1375" s="1" t="str">
        <f t="array" ref="F1375">_xlfn.XLOOKUP(A1375,Product!A:A,Product!C:C,"Bulunamadı")</f>
        <v>Political History</v>
      </c>
      <c r="G1375" s="2" t="str">
        <f t="array" ref="G1375">_xlfn.XLOOKUP(A1376,Product!A:A,Product!D:D,"Bulunamadı")</f>
        <v>Highland Grove Publishing</v>
      </c>
      <c r="H1375" s="2">
        <f t="array" ref="H1375">_xlfn.XLOOKUP(A1377,Product!A:A,Product!E:E,"Bulunamadı")</f>
        <v>1.96</v>
      </c>
      <c r="I1375" s="2" t="str">
        <f t="shared" si="1"/>
        <v>78493 - Arts - Political History</v>
      </c>
      <c r="J1375" s="2">
        <f t="shared" si="2"/>
        <v>186.2</v>
      </c>
      <c r="K1375" s="17">
        <f t="shared" si="3"/>
        <v>1</v>
      </c>
      <c r="L1375" s="18"/>
    </row>
    <row r="1376">
      <c r="A1376" s="2">
        <f>IFERROR(__xludf.DUMMYFUNCTION("""COMPUTED_VALUE"""),78409.0)</f>
        <v>78409</v>
      </c>
      <c r="B1376" s="2">
        <f>IFERROR(__xludf.DUMMYFUNCTION("""COMPUTED_VALUE"""),0.0)</f>
        <v>0</v>
      </c>
      <c r="C1376" s="2">
        <f>IFERROR(__xludf.DUMMYFUNCTION("""COMPUTED_VALUE"""),153.0)</f>
        <v>153</v>
      </c>
      <c r="D1376" s="3">
        <f>IFERROR(__xludf.DUMMYFUNCTION("""COMPUTED_VALUE"""),45.0)</f>
        <v>45</v>
      </c>
      <c r="E1376" s="1" t="str">
        <f t="array" ref="E1376">_xlfn.XLOOKUP(A1376,Product!A:A,Product!B:B,"Bulunamadı")</f>
        <v>Arts</v>
      </c>
      <c r="F1376" s="1" t="str">
        <f t="array" ref="F1376">_xlfn.XLOOKUP(A1376,Product!A:A,Product!C:C,"Bulunamadı")</f>
        <v>Political History</v>
      </c>
      <c r="G1376" s="2" t="str">
        <f t="array" ref="G1376">_xlfn.XLOOKUP(A1377,Product!A:A,Product!D:D,"Bulunamadı")</f>
        <v>Highland Grove Publishing</v>
      </c>
      <c r="H1376" s="2">
        <f t="array" ref="H1376">_xlfn.XLOOKUP(A1378,Product!A:A,Product!E:E,"Bulunamadı")</f>
        <v>19.07</v>
      </c>
      <c r="I1376" s="2" t="str">
        <f t="shared" si="1"/>
        <v>78409 - Arts - Political History</v>
      </c>
      <c r="J1376" s="2">
        <f t="shared" si="2"/>
        <v>858.15</v>
      </c>
      <c r="K1376" s="17">
        <f t="shared" si="3"/>
        <v>1</v>
      </c>
      <c r="L1376" s="18"/>
    </row>
    <row r="1377">
      <c r="A1377" s="2">
        <f>IFERROR(__xludf.DUMMYFUNCTION("""COMPUTED_VALUE"""),86844.0)</f>
        <v>86844</v>
      </c>
      <c r="B1377" s="2">
        <f>IFERROR(__xludf.DUMMYFUNCTION("""COMPUTED_VALUE"""),1.0)</f>
        <v>1</v>
      </c>
      <c r="C1377" s="2">
        <f>IFERROR(__xludf.DUMMYFUNCTION("""COMPUTED_VALUE"""),214.0)</f>
        <v>214</v>
      </c>
      <c r="D1377" s="3">
        <f>IFERROR(__xludf.DUMMYFUNCTION("""COMPUTED_VALUE"""),151.0)</f>
        <v>151</v>
      </c>
      <c r="E1377" s="1" t="str">
        <f t="array" ref="E1377">_xlfn.XLOOKUP(A1377,Product!A:A,Product!B:B,"Bulunamadı")</f>
        <v>Arts</v>
      </c>
      <c r="F1377" s="1" t="str">
        <f t="array" ref="F1377">_xlfn.XLOOKUP(A1377,Product!A:A,Product!C:C,"Bulunamadı")</f>
        <v>Political History</v>
      </c>
      <c r="G1377" s="2" t="str">
        <f t="array" ref="G1377">_xlfn.XLOOKUP(A1378,Product!A:A,Product!D:D,"Bulunamadı")</f>
        <v>Highland Grove Publishing</v>
      </c>
      <c r="H1377" s="2">
        <f t="array" ref="H1377">_xlfn.XLOOKUP(A1379,Product!A:A,Product!E:E,"Bulunamadı")</f>
        <v>3.04</v>
      </c>
      <c r="I1377" s="2" t="str">
        <f t="shared" si="1"/>
        <v>86844 - Arts - Political History</v>
      </c>
      <c r="J1377" s="2">
        <f t="shared" si="2"/>
        <v>459.04</v>
      </c>
      <c r="K1377" s="17">
        <f t="shared" si="3"/>
        <v>1</v>
      </c>
      <c r="L1377" s="18"/>
    </row>
    <row r="1378">
      <c r="A1378" s="2">
        <f>IFERROR(__xludf.DUMMYFUNCTION("""COMPUTED_VALUE"""),86771.0)</f>
        <v>86771</v>
      </c>
      <c r="B1378" s="2">
        <f>IFERROR(__xludf.DUMMYFUNCTION("""COMPUTED_VALUE"""),0.0)</f>
        <v>0</v>
      </c>
      <c r="C1378" s="2">
        <f>IFERROR(__xludf.DUMMYFUNCTION("""COMPUTED_VALUE"""),144.0)</f>
        <v>144</v>
      </c>
      <c r="D1378" s="3">
        <f>IFERROR(__xludf.DUMMYFUNCTION("""COMPUTED_VALUE"""),90.0)</f>
        <v>90</v>
      </c>
      <c r="E1378" s="1" t="str">
        <f t="array" ref="E1378">_xlfn.XLOOKUP(A1378,Product!A:A,Product!B:B,"Bulunamadı")</f>
        <v>Arts</v>
      </c>
      <c r="F1378" s="1" t="str">
        <f t="array" ref="F1378">_xlfn.XLOOKUP(A1378,Product!A:A,Product!C:C,"Bulunamadı")</f>
        <v>Political History</v>
      </c>
      <c r="G1378" s="2" t="str">
        <f t="array" ref="G1378">_xlfn.XLOOKUP(A1379,Product!A:A,Product!D:D,"Bulunamadı")</f>
        <v>Highland Grove Publishing</v>
      </c>
      <c r="H1378" s="2">
        <f t="array" ref="H1378">_xlfn.XLOOKUP(A1380,Product!A:A,Product!E:E,"Bulunamadı")</f>
        <v>1.63</v>
      </c>
      <c r="I1378" s="2" t="str">
        <f t="shared" si="1"/>
        <v>86771 - Arts - Political History</v>
      </c>
      <c r="J1378" s="2">
        <f t="shared" si="2"/>
        <v>146.7</v>
      </c>
      <c r="K1378" s="17">
        <f t="shared" si="3"/>
        <v>1</v>
      </c>
      <c r="L1378" s="18"/>
    </row>
    <row r="1379">
      <c r="A1379" s="2">
        <f>IFERROR(__xludf.DUMMYFUNCTION("""COMPUTED_VALUE"""),78511.0)</f>
        <v>78511</v>
      </c>
      <c r="B1379" s="2">
        <f>IFERROR(__xludf.DUMMYFUNCTION("""COMPUTED_VALUE"""),0.0)</f>
        <v>0</v>
      </c>
      <c r="C1379" s="2">
        <f>IFERROR(__xludf.DUMMYFUNCTION("""COMPUTED_VALUE"""),572.0)</f>
        <v>572</v>
      </c>
      <c r="D1379" s="3">
        <f>IFERROR(__xludf.DUMMYFUNCTION("""COMPUTED_VALUE"""),290.0)</f>
        <v>290</v>
      </c>
      <c r="E1379" s="1" t="str">
        <f t="array" ref="E1379">_xlfn.XLOOKUP(A1379,Product!A:A,Product!B:B,"Bulunamadı")</f>
        <v>Arts</v>
      </c>
      <c r="F1379" s="1" t="str">
        <f t="array" ref="F1379">_xlfn.XLOOKUP(A1379,Product!A:A,Product!C:C,"Bulunamadı")</f>
        <v>Political History</v>
      </c>
      <c r="G1379" s="2" t="str">
        <f t="array" ref="G1379">_xlfn.XLOOKUP(A1380,Product!A:A,Product!D:D,"Bulunamadı")</f>
        <v>Highland Grove Publishing</v>
      </c>
      <c r="H1379" s="2">
        <f t="array" ref="H1379">_xlfn.XLOOKUP(A1381,Product!A:A,Product!E:E,"Bulunamadı")</f>
        <v>3.04</v>
      </c>
      <c r="I1379" s="2" t="str">
        <f t="shared" si="1"/>
        <v>78511 - Arts - Political History</v>
      </c>
      <c r="J1379" s="2">
        <f t="shared" si="2"/>
        <v>881.6</v>
      </c>
      <c r="K1379" s="17">
        <f t="shared" si="3"/>
        <v>1</v>
      </c>
      <c r="L1379" s="18"/>
    </row>
    <row r="1380">
      <c r="A1380" s="2">
        <f>IFERROR(__xludf.DUMMYFUNCTION("""COMPUTED_VALUE"""),83267.0)</f>
        <v>83267</v>
      </c>
      <c r="B1380" s="2">
        <f>IFERROR(__xludf.DUMMYFUNCTION("""COMPUTED_VALUE"""),0.0)</f>
        <v>0</v>
      </c>
      <c r="C1380" s="2">
        <f>IFERROR(__xludf.DUMMYFUNCTION("""COMPUTED_VALUE"""),315.0)</f>
        <v>315</v>
      </c>
      <c r="D1380" s="3">
        <f>IFERROR(__xludf.DUMMYFUNCTION("""COMPUTED_VALUE"""),43.0)</f>
        <v>43</v>
      </c>
      <c r="E1380" s="1" t="str">
        <f t="array" ref="E1380">_xlfn.XLOOKUP(A1380,Product!A:A,Product!B:B,"Bulunamadı")</f>
        <v>Arts</v>
      </c>
      <c r="F1380" s="1" t="str">
        <f t="array" ref="F1380">_xlfn.XLOOKUP(A1380,Product!A:A,Product!C:C,"Bulunamadı")</f>
        <v>Political History</v>
      </c>
      <c r="G1380" s="2" t="str">
        <f t="array" ref="G1380">_xlfn.XLOOKUP(A1381,Product!A:A,Product!D:D,"Bulunamadı")</f>
        <v>Highland Grove Publishing</v>
      </c>
      <c r="H1380" s="2">
        <f t="array" ref="H1380">_xlfn.XLOOKUP(A1382,Product!A:A,Product!E:E,"Bulunamadı")</f>
        <v>10.85</v>
      </c>
      <c r="I1380" s="2" t="str">
        <f t="shared" si="1"/>
        <v>83267 - Arts - Political History</v>
      </c>
      <c r="J1380" s="2">
        <f t="shared" si="2"/>
        <v>466.55</v>
      </c>
      <c r="K1380" s="17">
        <f t="shared" si="3"/>
        <v>1</v>
      </c>
      <c r="L1380" s="18"/>
    </row>
    <row r="1381">
      <c r="A1381" s="2">
        <f>IFERROR(__xludf.DUMMYFUNCTION("""COMPUTED_VALUE"""),78490.0)</f>
        <v>78490</v>
      </c>
      <c r="B1381" s="2">
        <f>IFERROR(__xludf.DUMMYFUNCTION("""COMPUTED_VALUE"""),1.0)</f>
        <v>1</v>
      </c>
      <c r="C1381" s="2">
        <f>IFERROR(__xludf.DUMMYFUNCTION("""COMPUTED_VALUE"""),630.0)</f>
        <v>630</v>
      </c>
      <c r="D1381" s="3">
        <f>IFERROR(__xludf.DUMMYFUNCTION("""COMPUTED_VALUE"""),175.0)</f>
        <v>175</v>
      </c>
      <c r="E1381" s="1" t="str">
        <f t="array" ref="E1381">_xlfn.XLOOKUP(A1381,Product!A:A,Product!B:B,"Bulunamadı")</f>
        <v>Arts</v>
      </c>
      <c r="F1381" s="1" t="str">
        <f t="array" ref="F1381">_xlfn.XLOOKUP(A1381,Product!A:A,Product!C:C,"Bulunamadı")</f>
        <v>Political History</v>
      </c>
      <c r="G1381" s="2" t="str">
        <f t="array" ref="G1381">_xlfn.XLOOKUP(A1382,Product!A:A,Product!D:D,"Bulunamadı")</f>
        <v>Highland Grove Publishing</v>
      </c>
      <c r="H1381" s="2">
        <f t="array" ref="H1381">_xlfn.XLOOKUP(A1383,Product!A:A,Product!E:E,"Bulunamadı")</f>
        <v>4.08</v>
      </c>
      <c r="I1381" s="2" t="str">
        <f t="shared" si="1"/>
        <v>78490 - Arts - Political History</v>
      </c>
      <c r="J1381" s="2">
        <f t="shared" si="2"/>
        <v>714</v>
      </c>
      <c r="K1381" s="17">
        <f t="shared" si="3"/>
        <v>1</v>
      </c>
      <c r="L1381" s="18"/>
    </row>
    <row r="1382">
      <c r="A1382" s="2">
        <f>IFERROR(__xludf.DUMMYFUNCTION("""COMPUTED_VALUE"""),73175.0)</f>
        <v>73175</v>
      </c>
      <c r="B1382" s="2">
        <f>IFERROR(__xludf.DUMMYFUNCTION("""COMPUTED_VALUE"""),0.0)</f>
        <v>0</v>
      </c>
      <c r="C1382" s="2">
        <f>IFERROR(__xludf.DUMMYFUNCTION("""COMPUTED_VALUE"""),542.0)</f>
        <v>542</v>
      </c>
      <c r="D1382" s="3">
        <f>IFERROR(__xludf.DUMMYFUNCTION("""COMPUTED_VALUE"""),440.0)</f>
        <v>440</v>
      </c>
      <c r="E1382" s="1" t="str">
        <f t="array" ref="E1382">_xlfn.XLOOKUP(A1382,Product!A:A,Product!B:B,"Bulunamadı")</f>
        <v>Arts</v>
      </c>
      <c r="F1382" s="1" t="str">
        <f t="array" ref="F1382">_xlfn.XLOOKUP(A1382,Product!A:A,Product!C:C,"Bulunamadı")</f>
        <v>Political History</v>
      </c>
      <c r="G1382" s="2" t="str">
        <f t="array" ref="G1382">_xlfn.XLOOKUP(A1383,Product!A:A,Product!D:D,"Bulunamadı")</f>
        <v>Highland Grove Publishing</v>
      </c>
      <c r="H1382" s="2">
        <f t="array" ref="H1382">_xlfn.XLOOKUP(A1384,Product!A:A,Product!E:E,"Bulunamadı")</f>
        <v>2.36</v>
      </c>
      <c r="I1382" s="2" t="str">
        <f t="shared" si="1"/>
        <v>73175 - Arts - Political History</v>
      </c>
      <c r="J1382" s="2">
        <f t="shared" si="2"/>
        <v>1038.4</v>
      </c>
      <c r="K1382" s="17">
        <f t="shared" si="3"/>
        <v>1</v>
      </c>
      <c r="L1382" s="18"/>
    </row>
    <row r="1383">
      <c r="A1383" s="2">
        <f>IFERROR(__xludf.DUMMYFUNCTION("""COMPUTED_VALUE"""),44730.0)</f>
        <v>44730</v>
      </c>
      <c r="B1383" s="2">
        <f>IFERROR(__xludf.DUMMYFUNCTION("""COMPUTED_VALUE"""),1.0)</f>
        <v>1</v>
      </c>
      <c r="C1383" s="2">
        <f>IFERROR(__xludf.DUMMYFUNCTION("""COMPUTED_VALUE"""),357.0)</f>
        <v>357</v>
      </c>
      <c r="D1383" s="3">
        <f>IFERROR(__xludf.DUMMYFUNCTION("""COMPUTED_VALUE"""),162.0)</f>
        <v>162</v>
      </c>
      <c r="E1383" s="1" t="str">
        <f t="array" ref="E1383">_xlfn.XLOOKUP(A1383,Product!A:A,Product!B:B,"Bulunamadı")</f>
        <v>Arts</v>
      </c>
      <c r="F1383" s="1" t="str">
        <f t="array" ref="F1383">_xlfn.XLOOKUP(A1383,Product!A:A,Product!C:C,"Bulunamadı")</f>
        <v>Political History</v>
      </c>
      <c r="G1383" s="2" t="str">
        <f t="array" ref="G1383">_xlfn.XLOOKUP(A1384,Product!A:A,Product!D:D,"Bulunamadı")</f>
        <v>Highland Grove Publishing</v>
      </c>
      <c r="H1383" s="2">
        <f t="array" ref="H1383">_xlfn.XLOOKUP(A1385,Product!A:A,Product!E:E,"Bulunamadı")</f>
        <v>4.39</v>
      </c>
      <c r="I1383" s="2" t="str">
        <f t="shared" si="1"/>
        <v>44730 - Arts - Political History</v>
      </c>
      <c r="J1383" s="2">
        <f t="shared" si="2"/>
        <v>711.18</v>
      </c>
      <c r="K1383" s="17">
        <f t="shared" si="3"/>
        <v>1</v>
      </c>
      <c r="L1383" s="18"/>
    </row>
    <row r="1384">
      <c r="A1384" s="2">
        <f>IFERROR(__xludf.DUMMYFUNCTION("""COMPUTED_VALUE"""),10535.0)</f>
        <v>10535</v>
      </c>
      <c r="B1384" s="2">
        <f>IFERROR(__xludf.DUMMYFUNCTION("""COMPUTED_VALUE"""),0.0)</f>
        <v>0</v>
      </c>
      <c r="C1384" s="2">
        <f>IFERROR(__xludf.DUMMYFUNCTION("""COMPUTED_VALUE"""),810.0)</f>
        <v>810</v>
      </c>
      <c r="D1384" s="3">
        <f>IFERROR(__xludf.DUMMYFUNCTION("""COMPUTED_VALUE"""),120.0)</f>
        <v>120</v>
      </c>
      <c r="E1384" s="1" t="str">
        <f t="array" ref="E1384">_xlfn.XLOOKUP(A1384,Product!A:A,Product!B:B,"Bulunamadı")</f>
        <v>Arts</v>
      </c>
      <c r="F1384" s="1" t="str">
        <f t="array" ref="F1384">_xlfn.XLOOKUP(A1384,Product!A:A,Product!C:C,"Bulunamadı")</f>
        <v>Political History</v>
      </c>
      <c r="G1384" s="2" t="str">
        <f t="array" ref="G1384">_xlfn.XLOOKUP(A1385,Product!A:A,Product!D:D,"Bulunamadı")</f>
        <v>Highland Grove Publishing</v>
      </c>
      <c r="H1384" s="2">
        <f t="array" ref="H1384">_xlfn.XLOOKUP(A1386,Product!A:A,Product!E:E,"Bulunamadı")</f>
        <v>2.55</v>
      </c>
      <c r="I1384" s="2" t="str">
        <f t="shared" si="1"/>
        <v>10535 - Arts - Political History</v>
      </c>
      <c r="J1384" s="2">
        <f t="shared" si="2"/>
        <v>306</v>
      </c>
      <c r="K1384" s="17">
        <f t="shared" si="3"/>
        <v>1</v>
      </c>
      <c r="L1384" s="18"/>
    </row>
    <row r="1385">
      <c r="A1385" s="2">
        <f>IFERROR(__xludf.DUMMYFUNCTION("""COMPUTED_VALUE"""),80299.0)</f>
        <v>80299</v>
      </c>
      <c r="B1385" s="2">
        <f>IFERROR(__xludf.DUMMYFUNCTION("""COMPUTED_VALUE"""),0.0)</f>
        <v>0</v>
      </c>
      <c r="C1385" s="2">
        <f>IFERROR(__xludf.DUMMYFUNCTION("""COMPUTED_VALUE"""),622.0)</f>
        <v>622</v>
      </c>
      <c r="D1385" s="3">
        <f>IFERROR(__xludf.DUMMYFUNCTION("""COMPUTED_VALUE"""),422.0)</f>
        <v>422</v>
      </c>
      <c r="E1385" s="1" t="str">
        <f t="array" ref="E1385">_xlfn.XLOOKUP(A1385,Product!A:A,Product!B:B,"Bulunamadı")</f>
        <v>Arts</v>
      </c>
      <c r="F1385" s="1" t="str">
        <f t="array" ref="F1385">_xlfn.XLOOKUP(A1385,Product!A:A,Product!C:C,"Bulunamadı")</f>
        <v>Political History</v>
      </c>
      <c r="G1385" s="2" t="str">
        <f t="array" ref="G1385">_xlfn.XLOOKUP(A1386,Product!A:A,Product!D:D,"Bulunamadı")</f>
        <v>Highland Grove Publishing</v>
      </c>
      <c r="H1385" s="2">
        <f t="array" ref="H1385">_xlfn.XLOOKUP(A1387,Product!A:A,Product!E:E,"Bulunamadı")</f>
        <v>2.81</v>
      </c>
      <c r="I1385" s="2" t="str">
        <f t="shared" si="1"/>
        <v>80299 - Arts - Political History</v>
      </c>
      <c r="J1385" s="2">
        <f t="shared" si="2"/>
        <v>1185.82</v>
      </c>
      <c r="K1385" s="17">
        <f t="shared" si="3"/>
        <v>1</v>
      </c>
      <c r="L1385" s="18"/>
    </row>
    <row r="1386">
      <c r="A1386" s="2">
        <f>IFERROR(__xludf.DUMMYFUNCTION("""COMPUTED_VALUE"""),121350.0)</f>
        <v>121350</v>
      </c>
      <c r="B1386" s="2">
        <f>IFERROR(__xludf.DUMMYFUNCTION("""COMPUTED_VALUE"""),1.0)</f>
        <v>1</v>
      </c>
      <c r="C1386" s="2">
        <f>IFERROR(__xludf.DUMMYFUNCTION("""COMPUTED_VALUE"""),244.0)</f>
        <v>244</v>
      </c>
      <c r="D1386" s="3">
        <f>IFERROR(__xludf.DUMMYFUNCTION("""COMPUTED_VALUE"""),104.0)</f>
        <v>104</v>
      </c>
      <c r="E1386" s="1" t="str">
        <f t="array" ref="E1386">_xlfn.XLOOKUP(A1386,Product!A:A,Product!B:B,"Bulunamadı")</f>
        <v>Arts</v>
      </c>
      <c r="F1386" s="1" t="str">
        <f t="array" ref="F1386">_xlfn.XLOOKUP(A1386,Product!A:A,Product!C:C,"Bulunamadı")</f>
        <v>Political History</v>
      </c>
      <c r="G1386" s="2" t="str">
        <f t="array" ref="G1386">_xlfn.XLOOKUP(A1387,Product!A:A,Product!D:D,"Bulunamadı")</f>
        <v>Highland Grove Publishing</v>
      </c>
      <c r="H1386" s="2">
        <f t="array" ref="H1386">_xlfn.XLOOKUP(A1388,Product!A:A,Product!E:E,"Bulunamadı")</f>
        <v>2.63</v>
      </c>
      <c r="I1386" s="2" t="str">
        <f t="shared" si="1"/>
        <v>121350 - Arts - Political History</v>
      </c>
      <c r="J1386" s="2">
        <f t="shared" si="2"/>
        <v>273.52</v>
      </c>
      <c r="K1386" s="17">
        <f t="shared" si="3"/>
        <v>1</v>
      </c>
      <c r="L1386" s="18"/>
    </row>
    <row r="1387">
      <c r="A1387" s="2">
        <f>IFERROR(__xludf.DUMMYFUNCTION("""COMPUTED_VALUE"""),79958.0)</f>
        <v>79958</v>
      </c>
      <c r="B1387" s="2">
        <f>IFERROR(__xludf.DUMMYFUNCTION("""COMPUTED_VALUE"""),1.0)</f>
        <v>1</v>
      </c>
      <c r="C1387" s="2">
        <f>IFERROR(__xludf.DUMMYFUNCTION("""COMPUTED_VALUE"""),38.0)</f>
        <v>38</v>
      </c>
      <c r="D1387" s="3">
        <f>IFERROR(__xludf.DUMMYFUNCTION("""COMPUTED_VALUE"""),26.0)</f>
        <v>26</v>
      </c>
      <c r="E1387" s="1" t="str">
        <f t="array" ref="E1387">_xlfn.XLOOKUP(A1387,Product!A:A,Product!B:B,"Bulunamadı")</f>
        <v>Arts</v>
      </c>
      <c r="F1387" s="1" t="str">
        <f t="array" ref="F1387">_xlfn.XLOOKUP(A1387,Product!A:A,Product!C:C,"Bulunamadı")</f>
        <v>Political History</v>
      </c>
      <c r="G1387" s="2" t="str">
        <f t="array" ref="G1387">_xlfn.XLOOKUP(A1388,Product!A:A,Product!D:D,"Bulunamadı")</f>
        <v>Highland Grove Publishing</v>
      </c>
      <c r="H1387" s="2">
        <f t="array" ref="H1387">_xlfn.XLOOKUP(A1389,Product!A:A,Product!E:E,"Bulunamadı")</f>
        <v>2.21</v>
      </c>
      <c r="I1387" s="2" t="str">
        <f t="shared" si="1"/>
        <v>79958 - Arts - Political History</v>
      </c>
      <c r="J1387" s="2">
        <f t="shared" si="2"/>
        <v>57.46</v>
      </c>
      <c r="K1387" s="17">
        <f t="shared" si="3"/>
        <v>1</v>
      </c>
      <c r="L1387" s="18"/>
    </row>
    <row r="1388">
      <c r="A1388" s="2">
        <f>IFERROR(__xludf.DUMMYFUNCTION("""COMPUTED_VALUE"""),95074.0)</f>
        <v>95074</v>
      </c>
      <c r="B1388" s="2">
        <f>IFERROR(__xludf.DUMMYFUNCTION("""COMPUTED_VALUE"""),0.0)</f>
        <v>0</v>
      </c>
      <c r="C1388" s="2">
        <f>IFERROR(__xludf.DUMMYFUNCTION("""COMPUTED_VALUE"""),812.0)</f>
        <v>812</v>
      </c>
      <c r="D1388" s="3">
        <f>IFERROR(__xludf.DUMMYFUNCTION("""COMPUTED_VALUE"""),337.0)</f>
        <v>337</v>
      </c>
      <c r="E1388" s="1" t="str">
        <f t="array" ref="E1388">_xlfn.XLOOKUP(A1388,Product!A:A,Product!B:B,"Bulunamadı")</f>
        <v>Arts</v>
      </c>
      <c r="F1388" s="1" t="str">
        <f t="array" ref="F1388">_xlfn.XLOOKUP(A1388,Product!A:A,Product!C:C,"Bulunamadı")</f>
        <v>Political History</v>
      </c>
      <c r="G1388" s="2" t="str">
        <f t="array" ref="G1388">_xlfn.XLOOKUP(A1389,Product!A:A,Product!D:D,"Bulunamadı")</f>
        <v>Highland Grove Publishing</v>
      </c>
      <c r="H1388" s="2">
        <f t="array" ref="H1388">_xlfn.XLOOKUP(A1390,Product!A:A,Product!E:E,"Bulunamadı")</f>
        <v>3.77</v>
      </c>
      <c r="I1388" s="2" t="str">
        <f t="shared" si="1"/>
        <v>95074 - Arts - Political History</v>
      </c>
      <c r="J1388" s="2">
        <f t="shared" si="2"/>
        <v>1270.49</v>
      </c>
      <c r="K1388" s="17">
        <f t="shared" si="3"/>
        <v>1</v>
      </c>
      <c r="L1388" s="18"/>
    </row>
    <row r="1389">
      <c r="A1389" s="2">
        <f>IFERROR(__xludf.DUMMYFUNCTION("""COMPUTED_VALUE"""),87574.0)</f>
        <v>87574</v>
      </c>
      <c r="B1389" s="2">
        <f>IFERROR(__xludf.DUMMYFUNCTION("""COMPUTED_VALUE"""),1.0)</f>
        <v>1</v>
      </c>
      <c r="C1389" s="2">
        <f>IFERROR(__xludf.DUMMYFUNCTION("""COMPUTED_VALUE"""),343.0)</f>
        <v>343</v>
      </c>
      <c r="D1389" s="3">
        <f>IFERROR(__xludf.DUMMYFUNCTION("""COMPUTED_VALUE"""),239.0)</f>
        <v>239</v>
      </c>
      <c r="E1389" s="1" t="str">
        <f t="array" ref="E1389">_xlfn.XLOOKUP(A1389,Product!A:A,Product!B:B,"Bulunamadı")</f>
        <v>Arts</v>
      </c>
      <c r="F1389" s="1" t="str">
        <f t="array" ref="F1389">_xlfn.XLOOKUP(A1389,Product!A:A,Product!C:C,"Bulunamadı")</f>
        <v>Political History</v>
      </c>
      <c r="G1389" s="2" t="str">
        <f t="array" ref="G1389">_xlfn.XLOOKUP(A1390,Product!A:A,Product!D:D,"Bulunamadı")</f>
        <v>Highland Grove Publishing</v>
      </c>
      <c r="H1389" s="2">
        <f t="array" ref="H1389">_xlfn.XLOOKUP(A1391,Product!A:A,Product!E:E,"Bulunamadı")</f>
        <v>5.33</v>
      </c>
      <c r="I1389" s="2" t="str">
        <f t="shared" si="1"/>
        <v>87574 - Arts - Political History</v>
      </c>
      <c r="J1389" s="2">
        <f t="shared" si="2"/>
        <v>1273.87</v>
      </c>
      <c r="K1389" s="17">
        <f t="shared" si="3"/>
        <v>1</v>
      </c>
      <c r="L1389" s="18"/>
    </row>
    <row r="1390">
      <c r="A1390" s="2">
        <f>IFERROR(__xludf.DUMMYFUNCTION("""COMPUTED_VALUE"""),77769.0)</f>
        <v>77769</v>
      </c>
      <c r="B1390" s="2">
        <f>IFERROR(__xludf.DUMMYFUNCTION("""COMPUTED_VALUE"""),0.0)</f>
        <v>0</v>
      </c>
      <c r="C1390" s="2">
        <f>IFERROR(__xludf.DUMMYFUNCTION("""COMPUTED_VALUE"""),891.0)</f>
        <v>891</v>
      </c>
      <c r="D1390" s="3">
        <f>IFERROR(__xludf.DUMMYFUNCTION("""COMPUTED_VALUE"""),417.0)</f>
        <v>417</v>
      </c>
      <c r="E1390" s="1" t="str">
        <f t="array" ref="E1390">_xlfn.XLOOKUP(A1390,Product!A:A,Product!B:B,"Bulunamadı")</f>
        <v>Arts</v>
      </c>
      <c r="F1390" s="1" t="str">
        <f t="array" ref="F1390">_xlfn.XLOOKUP(A1390,Product!A:A,Product!C:C,"Bulunamadı")</f>
        <v>Political History</v>
      </c>
      <c r="G1390" s="2" t="str">
        <f t="array" ref="G1390">_xlfn.XLOOKUP(A1391,Product!A:A,Product!D:D,"Bulunamadı")</f>
        <v>Highland Grove Publishing</v>
      </c>
      <c r="H1390" s="2">
        <f t="array" ref="H1390">_xlfn.XLOOKUP(A1392,Product!A:A,Product!E:E,"Bulunamadı")</f>
        <v>1.69</v>
      </c>
      <c r="I1390" s="2" t="str">
        <f t="shared" si="1"/>
        <v>77769 - Arts - Political History</v>
      </c>
      <c r="J1390" s="2">
        <f t="shared" si="2"/>
        <v>704.73</v>
      </c>
      <c r="K1390" s="17">
        <f t="shared" si="3"/>
        <v>1</v>
      </c>
      <c r="L1390" s="18"/>
    </row>
    <row r="1391">
      <c r="A1391" s="2">
        <f>IFERROR(__xludf.DUMMYFUNCTION("""COMPUTED_VALUE"""),141889.0)</f>
        <v>141889</v>
      </c>
      <c r="B1391" s="2">
        <f>IFERROR(__xludf.DUMMYFUNCTION("""COMPUTED_VALUE"""),0.0)</f>
        <v>0</v>
      </c>
      <c r="C1391" s="2">
        <f>IFERROR(__xludf.DUMMYFUNCTION("""COMPUTED_VALUE"""),469.0)</f>
        <v>469</v>
      </c>
      <c r="D1391" s="3">
        <f>IFERROR(__xludf.DUMMYFUNCTION("""COMPUTED_VALUE"""),455.0)</f>
        <v>455</v>
      </c>
      <c r="E1391" s="1" t="str">
        <f t="array" ref="E1391">_xlfn.XLOOKUP(A1391,Product!A:A,Product!B:B,"Bulunamadı")</f>
        <v>Arts</v>
      </c>
      <c r="F1391" s="1" t="str">
        <f t="array" ref="F1391">_xlfn.XLOOKUP(A1391,Product!A:A,Product!C:C,"Bulunamadı")</f>
        <v>Political History</v>
      </c>
      <c r="G1391" s="2" t="str">
        <f t="array" ref="G1391">_xlfn.XLOOKUP(A1392,Product!A:A,Product!D:D,"Bulunamadı")</f>
        <v>Highland Grove Publishing</v>
      </c>
      <c r="H1391" s="2">
        <f t="array" ref="H1391">_xlfn.XLOOKUP(A1393,Product!A:A,Product!E:E,"Bulunamadı")</f>
        <v>1.29</v>
      </c>
      <c r="I1391" s="2" t="str">
        <f t="shared" si="1"/>
        <v>141889 - Arts - Political History</v>
      </c>
      <c r="J1391" s="2">
        <f t="shared" si="2"/>
        <v>586.95</v>
      </c>
      <c r="K1391" s="17">
        <f t="shared" si="3"/>
        <v>1</v>
      </c>
      <c r="L1391" s="18"/>
    </row>
    <row r="1392">
      <c r="A1392" s="2">
        <f>IFERROR(__xludf.DUMMYFUNCTION("""COMPUTED_VALUE"""),83269.0)</f>
        <v>83269</v>
      </c>
      <c r="B1392" s="2">
        <f>IFERROR(__xludf.DUMMYFUNCTION("""COMPUTED_VALUE"""),1.0)</f>
        <v>1</v>
      </c>
      <c r="C1392" s="2">
        <f>IFERROR(__xludf.DUMMYFUNCTION("""COMPUTED_VALUE"""),539.0)</f>
        <v>539</v>
      </c>
      <c r="D1392" s="3">
        <f>IFERROR(__xludf.DUMMYFUNCTION("""COMPUTED_VALUE"""),394.0)</f>
        <v>394</v>
      </c>
      <c r="E1392" s="1" t="str">
        <f t="array" ref="E1392">_xlfn.XLOOKUP(A1392,Product!A:A,Product!B:B,"Bulunamadı")</f>
        <v>Arts</v>
      </c>
      <c r="F1392" s="1" t="str">
        <f t="array" ref="F1392">_xlfn.XLOOKUP(A1392,Product!A:A,Product!C:C,"Bulunamadı")</f>
        <v>Political History</v>
      </c>
      <c r="G1392" s="2" t="str">
        <f t="array" ref="G1392">_xlfn.XLOOKUP(A1393,Product!A:A,Product!D:D,"Bulunamadı")</f>
        <v>Highland Grove Publishing</v>
      </c>
      <c r="H1392" s="2">
        <f t="array" ref="H1392">_xlfn.XLOOKUP(A1394,Product!A:A,Product!E:E,"Bulunamadı")</f>
        <v>3.14</v>
      </c>
      <c r="I1392" s="2" t="str">
        <f t="shared" si="1"/>
        <v>83269 - Arts - Political History</v>
      </c>
      <c r="J1392" s="2">
        <f t="shared" si="2"/>
        <v>1237.16</v>
      </c>
      <c r="K1392" s="17">
        <f t="shared" si="3"/>
        <v>1</v>
      </c>
      <c r="L1392" s="18"/>
    </row>
    <row r="1393">
      <c r="A1393" s="2">
        <f>IFERROR(__xludf.DUMMYFUNCTION("""COMPUTED_VALUE"""),89647.0)</f>
        <v>89647</v>
      </c>
      <c r="B1393" s="2">
        <f>IFERROR(__xludf.DUMMYFUNCTION("""COMPUTED_VALUE"""),0.0)</f>
        <v>0</v>
      </c>
      <c r="C1393" s="2">
        <f>IFERROR(__xludf.DUMMYFUNCTION("""COMPUTED_VALUE"""),514.0)</f>
        <v>514</v>
      </c>
      <c r="D1393" s="3">
        <f>IFERROR(__xludf.DUMMYFUNCTION("""COMPUTED_VALUE"""),190.0)</f>
        <v>190</v>
      </c>
      <c r="E1393" s="1" t="str">
        <f t="array" ref="E1393">_xlfn.XLOOKUP(A1393,Product!A:A,Product!B:B,"Bulunamadı")</f>
        <v>Arts</v>
      </c>
      <c r="F1393" s="1" t="str">
        <f t="array" ref="F1393">_xlfn.XLOOKUP(A1393,Product!A:A,Product!C:C,"Bulunamadı")</f>
        <v>Political History</v>
      </c>
      <c r="G1393" s="2" t="str">
        <f t="array" ref="G1393">_xlfn.XLOOKUP(A1394,Product!A:A,Product!D:D,"Bulunamadı")</f>
        <v>Highland Grove Publishing</v>
      </c>
      <c r="H1393" s="2">
        <f t="array" ref="H1393">_xlfn.XLOOKUP(A1395,Product!A:A,Product!E:E,"Bulunamadı")</f>
        <v>1.83</v>
      </c>
      <c r="I1393" s="2" t="str">
        <f t="shared" si="1"/>
        <v>89647 - Arts - Political History</v>
      </c>
      <c r="J1393" s="2">
        <f t="shared" si="2"/>
        <v>347.7</v>
      </c>
      <c r="K1393" s="17">
        <f t="shared" si="3"/>
        <v>1</v>
      </c>
      <c r="L1393" s="18"/>
    </row>
    <row r="1394">
      <c r="A1394" s="2">
        <f>IFERROR(__xludf.DUMMYFUNCTION("""COMPUTED_VALUE"""),77256.0)</f>
        <v>77256</v>
      </c>
      <c r="B1394" s="2">
        <f>IFERROR(__xludf.DUMMYFUNCTION("""COMPUTED_VALUE"""),0.0)</f>
        <v>0</v>
      </c>
      <c r="C1394" s="2">
        <f>IFERROR(__xludf.DUMMYFUNCTION("""COMPUTED_VALUE"""),321.0)</f>
        <v>321</v>
      </c>
      <c r="D1394" s="3">
        <f>IFERROR(__xludf.DUMMYFUNCTION("""COMPUTED_VALUE"""),246.0)</f>
        <v>246</v>
      </c>
      <c r="E1394" s="1" t="str">
        <f t="array" ref="E1394">_xlfn.XLOOKUP(A1394,Product!A:A,Product!B:B,"Bulunamadı")</f>
        <v>Arts</v>
      </c>
      <c r="F1394" s="1" t="str">
        <f t="array" ref="F1394">_xlfn.XLOOKUP(A1394,Product!A:A,Product!C:C,"Bulunamadı")</f>
        <v>Political History</v>
      </c>
      <c r="G1394" s="2" t="str">
        <f t="array" ref="G1394">_xlfn.XLOOKUP(A1395,Product!A:A,Product!D:D,"Bulunamadı")</f>
        <v>Highland Grove Publishing</v>
      </c>
      <c r="H1394" s="2">
        <f t="array" ref="H1394">_xlfn.XLOOKUP(A1396,Product!A:A,Product!E:E,"Bulunamadı")</f>
        <v>3.6</v>
      </c>
      <c r="I1394" s="2" t="str">
        <f t="shared" si="1"/>
        <v>77256 - Arts - Political History</v>
      </c>
      <c r="J1394" s="2">
        <f t="shared" si="2"/>
        <v>885.6</v>
      </c>
      <c r="K1394" s="17">
        <f t="shared" si="3"/>
        <v>1</v>
      </c>
      <c r="L1394" s="18"/>
    </row>
    <row r="1395">
      <c r="A1395" s="2">
        <f>IFERROR(__xludf.DUMMYFUNCTION("""COMPUTED_VALUE"""),86840.0)</f>
        <v>86840</v>
      </c>
      <c r="B1395" s="2">
        <f>IFERROR(__xludf.DUMMYFUNCTION("""COMPUTED_VALUE"""),0.0)</f>
        <v>0</v>
      </c>
      <c r="C1395" s="2">
        <f>IFERROR(__xludf.DUMMYFUNCTION("""COMPUTED_VALUE"""),626.0)</f>
        <v>626</v>
      </c>
      <c r="D1395" s="3">
        <f>IFERROR(__xludf.DUMMYFUNCTION("""COMPUTED_VALUE"""),96.0)</f>
        <v>96</v>
      </c>
      <c r="E1395" s="1" t="str">
        <f t="array" ref="E1395">_xlfn.XLOOKUP(A1395,Product!A:A,Product!B:B,"Bulunamadı")</f>
        <v>Arts</v>
      </c>
      <c r="F1395" s="1" t="str">
        <f t="array" ref="F1395">_xlfn.XLOOKUP(A1395,Product!A:A,Product!C:C,"Bulunamadı")</f>
        <v>Political History</v>
      </c>
      <c r="G1395" s="2" t="str">
        <f t="array" ref="G1395">_xlfn.XLOOKUP(A1396,Product!A:A,Product!D:D,"Bulunamadı")</f>
        <v>Highland Grove Publishing</v>
      </c>
      <c r="H1395" s="2">
        <f t="array" ref="H1395">_xlfn.XLOOKUP(A1397,Product!A:A,Product!E:E,"Bulunamadı")</f>
        <v>2.16</v>
      </c>
      <c r="I1395" s="2" t="str">
        <f t="shared" si="1"/>
        <v>86840 - Arts - Political History</v>
      </c>
      <c r="J1395" s="2">
        <f t="shared" si="2"/>
        <v>207.36</v>
      </c>
      <c r="K1395" s="17">
        <f t="shared" si="3"/>
        <v>1</v>
      </c>
      <c r="L1395" s="18"/>
    </row>
    <row r="1396">
      <c r="A1396" s="2">
        <f>IFERROR(__xludf.DUMMYFUNCTION("""COMPUTED_VALUE"""),30306.0)</f>
        <v>30306</v>
      </c>
      <c r="B1396" s="2">
        <f>IFERROR(__xludf.DUMMYFUNCTION("""COMPUTED_VALUE"""),1.0)</f>
        <v>1</v>
      </c>
      <c r="C1396" s="2">
        <f>IFERROR(__xludf.DUMMYFUNCTION("""COMPUTED_VALUE"""),189.0)</f>
        <v>189</v>
      </c>
      <c r="D1396" s="3">
        <f>IFERROR(__xludf.DUMMYFUNCTION("""COMPUTED_VALUE"""),139.0)</f>
        <v>139</v>
      </c>
      <c r="E1396" s="1" t="str">
        <f t="array" ref="E1396">_xlfn.XLOOKUP(A1396,Product!A:A,Product!B:B,"Bulunamadı")</f>
        <v>Arts</v>
      </c>
      <c r="F1396" s="1" t="str">
        <f t="array" ref="F1396">_xlfn.XLOOKUP(A1396,Product!A:A,Product!C:C,"Bulunamadı")</f>
        <v>Political History</v>
      </c>
      <c r="G1396" s="2" t="str">
        <f t="array" ref="G1396">_xlfn.XLOOKUP(A1397,Product!A:A,Product!D:D,"Bulunamadı")</f>
        <v>Pioneer Ridge Books</v>
      </c>
      <c r="H1396" s="2">
        <f t="array" ref="H1396">_xlfn.XLOOKUP(A1398,Product!A:A,Product!E:E,"Bulunamadı")</f>
        <v>1.93</v>
      </c>
      <c r="I1396" s="2" t="str">
        <f t="shared" si="1"/>
        <v>30306 - Arts - Political History</v>
      </c>
      <c r="J1396" s="2">
        <f t="shared" si="2"/>
        <v>268.27</v>
      </c>
      <c r="K1396" s="17">
        <f t="shared" si="3"/>
        <v>1</v>
      </c>
      <c r="L1396" s="18"/>
    </row>
    <row r="1397">
      <c r="A1397" s="2">
        <f>IFERROR(__xludf.DUMMYFUNCTION("""COMPUTED_VALUE"""),76427.0)</f>
        <v>76427</v>
      </c>
      <c r="B1397" s="2">
        <f>IFERROR(__xludf.DUMMYFUNCTION("""COMPUTED_VALUE"""),1.0)</f>
        <v>1</v>
      </c>
      <c r="C1397" s="2">
        <f>IFERROR(__xludf.DUMMYFUNCTION("""COMPUTED_VALUE"""),97.0)</f>
        <v>97</v>
      </c>
      <c r="D1397" s="3">
        <f>IFERROR(__xludf.DUMMYFUNCTION("""COMPUTED_VALUE"""),5.0)</f>
        <v>5</v>
      </c>
      <c r="E1397" s="1" t="str">
        <f t="array" ref="E1397">_xlfn.XLOOKUP(A1397,Product!A:A,Product!B:B,"Bulunamadı")</f>
        <v>Arts</v>
      </c>
      <c r="F1397" s="1" t="str">
        <f t="array" ref="F1397">_xlfn.XLOOKUP(A1397,Product!A:A,Product!C:C,"Bulunamadı")</f>
        <v>Political History</v>
      </c>
      <c r="G1397" s="2" t="str">
        <f t="array" ref="G1397">_xlfn.XLOOKUP(A1398,Product!A:A,Product!D:D,"Bulunamadı")</f>
        <v>Pioneer Ridge Books</v>
      </c>
      <c r="H1397" s="2">
        <f t="array" ref="H1397">_xlfn.XLOOKUP(A1399,Product!A:A,Product!E:E,"Bulunamadı")</f>
        <v>1.82</v>
      </c>
      <c r="I1397" s="2" t="str">
        <f t="shared" si="1"/>
        <v>76427 - Arts - Political History</v>
      </c>
      <c r="J1397" s="2">
        <f t="shared" si="2"/>
        <v>9.1</v>
      </c>
      <c r="K1397" s="17">
        <f t="shared" si="3"/>
        <v>1</v>
      </c>
      <c r="L1397" s="18"/>
    </row>
    <row r="1398">
      <c r="A1398" s="2">
        <f>IFERROR(__xludf.DUMMYFUNCTION("""COMPUTED_VALUE"""),44706.0)</f>
        <v>44706</v>
      </c>
      <c r="B1398" s="2">
        <f>IFERROR(__xludf.DUMMYFUNCTION("""COMPUTED_VALUE"""),1.0)</f>
        <v>1</v>
      </c>
      <c r="C1398" s="2">
        <f>IFERROR(__xludf.DUMMYFUNCTION("""COMPUTED_VALUE"""),471.0)</f>
        <v>471</v>
      </c>
      <c r="D1398" s="3">
        <f>IFERROR(__xludf.DUMMYFUNCTION("""COMPUTED_VALUE"""),150.0)</f>
        <v>150</v>
      </c>
      <c r="E1398" s="1" t="str">
        <f t="array" ref="E1398">_xlfn.XLOOKUP(A1398,Product!A:A,Product!B:B,"Bulunamadı")</f>
        <v>Arts</v>
      </c>
      <c r="F1398" s="1" t="str">
        <f t="array" ref="F1398">_xlfn.XLOOKUP(A1398,Product!A:A,Product!C:C,"Bulunamadı")</f>
        <v>Political History</v>
      </c>
      <c r="G1398" s="2" t="str">
        <f t="array" ref="G1398">_xlfn.XLOOKUP(A1399,Product!A:A,Product!D:D,"Bulunamadı")</f>
        <v>Pioneer Ridge Books</v>
      </c>
      <c r="H1398" s="2">
        <f t="array" ref="H1398">_xlfn.XLOOKUP(A1400,Product!A:A,Product!E:E,"Bulunamadı")</f>
        <v>3.82</v>
      </c>
      <c r="I1398" s="2" t="str">
        <f t="shared" si="1"/>
        <v>44706 - Arts - Political History</v>
      </c>
      <c r="J1398" s="2">
        <f t="shared" si="2"/>
        <v>573</v>
      </c>
      <c r="K1398" s="17">
        <f t="shared" si="3"/>
        <v>1</v>
      </c>
      <c r="L1398" s="18"/>
    </row>
    <row r="1399">
      <c r="A1399" s="2">
        <f>IFERROR(__xludf.DUMMYFUNCTION("""COMPUTED_VALUE"""),44701.0)</f>
        <v>44701</v>
      </c>
      <c r="B1399" s="2">
        <f>IFERROR(__xludf.DUMMYFUNCTION("""COMPUTED_VALUE"""),0.0)</f>
        <v>0</v>
      </c>
      <c r="C1399" s="2">
        <f>IFERROR(__xludf.DUMMYFUNCTION("""COMPUTED_VALUE"""),273.0)</f>
        <v>273</v>
      </c>
      <c r="D1399" s="3">
        <f>IFERROR(__xludf.DUMMYFUNCTION("""COMPUTED_VALUE"""),181.0)</f>
        <v>181</v>
      </c>
      <c r="E1399" s="1" t="str">
        <f t="array" ref="E1399">_xlfn.XLOOKUP(A1399,Product!A:A,Product!B:B,"Bulunamadı")</f>
        <v>Arts</v>
      </c>
      <c r="F1399" s="1" t="str">
        <f t="array" ref="F1399">_xlfn.XLOOKUP(A1399,Product!A:A,Product!C:C,"Bulunamadı")</f>
        <v>Political History</v>
      </c>
      <c r="G1399" s="2" t="str">
        <f t="array" ref="G1399">_xlfn.XLOOKUP(A1400,Product!A:A,Product!D:D,"Bulunamadı")</f>
        <v>Pioneer Ridge Books</v>
      </c>
      <c r="H1399" s="2">
        <f t="array" ref="H1399">_xlfn.XLOOKUP(A1401,Product!A:A,Product!E:E,"Bulunamadı")</f>
        <v>4.65</v>
      </c>
      <c r="I1399" s="2" t="str">
        <f t="shared" si="1"/>
        <v>44701 - Arts - Political History</v>
      </c>
      <c r="J1399" s="2">
        <f t="shared" si="2"/>
        <v>841.65</v>
      </c>
      <c r="K1399" s="17">
        <f t="shared" si="3"/>
        <v>1</v>
      </c>
      <c r="L1399" s="18"/>
    </row>
    <row r="1400">
      <c r="A1400" s="2">
        <f>IFERROR(__xludf.DUMMYFUNCTION("""COMPUTED_VALUE"""),10537.0)</f>
        <v>10537</v>
      </c>
      <c r="B1400" s="2">
        <f>IFERROR(__xludf.DUMMYFUNCTION("""COMPUTED_VALUE"""),1.0)</f>
        <v>1</v>
      </c>
      <c r="C1400" s="2">
        <f>IFERROR(__xludf.DUMMYFUNCTION("""COMPUTED_VALUE"""),596.0)</f>
        <v>596</v>
      </c>
      <c r="D1400" s="3">
        <f>IFERROR(__xludf.DUMMYFUNCTION("""COMPUTED_VALUE"""),364.0)</f>
        <v>364</v>
      </c>
      <c r="E1400" s="1" t="str">
        <f t="array" ref="E1400">_xlfn.XLOOKUP(A1400,Product!A:A,Product!B:B,"Bulunamadı")</f>
        <v>Arts</v>
      </c>
      <c r="F1400" s="1" t="str">
        <f t="array" ref="F1400">_xlfn.XLOOKUP(A1400,Product!A:A,Product!C:C,"Bulunamadı")</f>
        <v>Political History</v>
      </c>
      <c r="G1400" s="2" t="str">
        <f t="array" ref="G1400">_xlfn.XLOOKUP(A1401,Product!A:A,Product!D:D,"Bulunamadı")</f>
        <v>Pioneer Ridge Books</v>
      </c>
      <c r="H1400" s="2">
        <f t="array" ref="H1400">_xlfn.XLOOKUP(A1402,Product!A:A,Product!E:E,"Bulunamadı")</f>
        <v>2.52</v>
      </c>
      <c r="I1400" s="2" t="str">
        <f t="shared" si="1"/>
        <v>10537 - Arts - Political History</v>
      </c>
      <c r="J1400" s="2">
        <f t="shared" si="2"/>
        <v>917.28</v>
      </c>
      <c r="K1400" s="17">
        <f t="shared" si="3"/>
        <v>1</v>
      </c>
      <c r="L1400" s="18"/>
    </row>
    <row r="1401">
      <c r="A1401" s="2">
        <f>IFERROR(__xludf.DUMMYFUNCTION("""COMPUTED_VALUE"""),10523.0)</f>
        <v>10523</v>
      </c>
      <c r="B1401" s="2">
        <f>IFERROR(__xludf.DUMMYFUNCTION("""COMPUTED_VALUE"""),1.0)</f>
        <v>1</v>
      </c>
      <c r="C1401" s="2">
        <f>IFERROR(__xludf.DUMMYFUNCTION("""COMPUTED_VALUE"""),918.0)</f>
        <v>918</v>
      </c>
      <c r="D1401" s="3">
        <f>IFERROR(__xludf.DUMMYFUNCTION("""COMPUTED_VALUE"""),463.0)</f>
        <v>463</v>
      </c>
      <c r="E1401" s="1" t="str">
        <f t="array" ref="E1401">_xlfn.XLOOKUP(A1401,Product!A:A,Product!B:B,"Bulunamadı")</f>
        <v>Arts</v>
      </c>
      <c r="F1401" s="1" t="str">
        <f t="array" ref="F1401">_xlfn.XLOOKUP(A1401,Product!A:A,Product!C:C,"Bulunamadı")</f>
        <v>Political History</v>
      </c>
      <c r="G1401" s="2" t="str">
        <f t="array" ref="G1401">_xlfn.XLOOKUP(A1402,Product!A:A,Product!D:D,"Bulunamadı")</f>
        <v>Pioneer Ridge Books</v>
      </c>
      <c r="H1401" s="2">
        <f t="array" ref="H1401">_xlfn.XLOOKUP(A1403,Product!A:A,Product!E:E,"Bulunamadı")</f>
        <v>3.42</v>
      </c>
      <c r="I1401" s="2" t="str">
        <f t="shared" si="1"/>
        <v>10523 - Arts - Political History</v>
      </c>
      <c r="J1401" s="2">
        <f t="shared" si="2"/>
        <v>1583.46</v>
      </c>
      <c r="K1401" s="17">
        <f t="shared" si="3"/>
        <v>1</v>
      </c>
      <c r="L1401" s="18"/>
    </row>
    <row r="1402">
      <c r="A1402" s="2">
        <f>IFERROR(__xludf.DUMMYFUNCTION("""COMPUTED_VALUE"""),76664.0)</f>
        <v>76664</v>
      </c>
      <c r="B1402" s="2">
        <f>IFERROR(__xludf.DUMMYFUNCTION("""COMPUTED_VALUE"""),1.0)</f>
        <v>1</v>
      </c>
      <c r="C1402" s="2">
        <f>IFERROR(__xludf.DUMMYFUNCTION("""COMPUTED_VALUE"""),171.0)</f>
        <v>171</v>
      </c>
      <c r="D1402" s="3">
        <f>IFERROR(__xludf.DUMMYFUNCTION("""COMPUTED_VALUE"""),155.0)</f>
        <v>155</v>
      </c>
      <c r="E1402" s="1" t="str">
        <f t="array" ref="E1402">_xlfn.XLOOKUP(A1402,Product!A:A,Product!B:B,"Bulunamadı")</f>
        <v>Arts</v>
      </c>
      <c r="F1402" s="1" t="str">
        <f t="array" ref="F1402">_xlfn.XLOOKUP(A1402,Product!A:A,Product!C:C,"Bulunamadı")</f>
        <v>Political History</v>
      </c>
      <c r="G1402" s="2" t="str">
        <f t="array" ref="G1402">_xlfn.XLOOKUP(A1403,Product!A:A,Product!D:D,"Bulunamadı")</f>
        <v>Pioneer Ridge Books</v>
      </c>
      <c r="H1402" s="2">
        <f t="array" ref="H1402">_xlfn.XLOOKUP(A1404,Product!A:A,Product!E:E,"Bulunamadı")</f>
        <v>2.43</v>
      </c>
      <c r="I1402" s="2" t="str">
        <f t="shared" si="1"/>
        <v>76664 - Arts - Political History</v>
      </c>
      <c r="J1402" s="2">
        <f t="shared" si="2"/>
        <v>376.65</v>
      </c>
      <c r="K1402" s="17">
        <f t="shared" si="3"/>
        <v>1</v>
      </c>
      <c r="L1402" s="18"/>
    </row>
    <row r="1403">
      <c r="A1403" s="2">
        <f>IFERROR(__xludf.DUMMYFUNCTION("""COMPUTED_VALUE"""),78472.0)</f>
        <v>78472</v>
      </c>
      <c r="B1403" s="2">
        <f>IFERROR(__xludf.DUMMYFUNCTION("""COMPUTED_VALUE"""),1.0)</f>
        <v>1</v>
      </c>
      <c r="C1403" s="2">
        <f>IFERROR(__xludf.DUMMYFUNCTION("""COMPUTED_VALUE"""),60.0)</f>
        <v>60</v>
      </c>
      <c r="D1403" s="3">
        <f>IFERROR(__xludf.DUMMYFUNCTION("""COMPUTED_VALUE"""),11.0)</f>
        <v>11</v>
      </c>
      <c r="E1403" s="1" t="str">
        <f t="array" ref="E1403">_xlfn.XLOOKUP(A1403,Product!A:A,Product!B:B,"Bulunamadı")</f>
        <v>Arts</v>
      </c>
      <c r="F1403" s="1" t="str">
        <f t="array" ref="F1403">_xlfn.XLOOKUP(A1403,Product!A:A,Product!C:C,"Bulunamadı")</f>
        <v>Political History</v>
      </c>
      <c r="G1403" s="2" t="str">
        <f t="array" ref="G1403">_xlfn.XLOOKUP(A1404,Product!A:A,Product!D:D,"Bulunamadı")</f>
        <v>Pioneer Ridge Books</v>
      </c>
      <c r="H1403" s="2">
        <f t="array" ref="H1403">_xlfn.XLOOKUP(A1405,Product!A:A,Product!E:E,"Bulunamadı")</f>
        <v>4.44</v>
      </c>
      <c r="I1403" s="2" t="str">
        <f t="shared" si="1"/>
        <v>78472 - Arts - Political History</v>
      </c>
      <c r="J1403" s="2">
        <f t="shared" si="2"/>
        <v>48.84</v>
      </c>
      <c r="K1403" s="17">
        <f t="shared" si="3"/>
        <v>1</v>
      </c>
      <c r="L1403" s="18"/>
    </row>
    <row r="1404">
      <c r="A1404" s="2">
        <f>IFERROR(__xludf.DUMMYFUNCTION("""COMPUTED_VALUE"""),44721.0)</f>
        <v>44721</v>
      </c>
      <c r="B1404" s="2">
        <f>IFERROR(__xludf.DUMMYFUNCTION("""COMPUTED_VALUE"""),1.0)</f>
        <v>1</v>
      </c>
      <c r="C1404" s="2">
        <f>IFERROR(__xludf.DUMMYFUNCTION("""COMPUTED_VALUE"""),541.0)</f>
        <v>541</v>
      </c>
      <c r="D1404" s="3">
        <f>IFERROR(__xludf.DUMMYFUNCTION("""COMPUTED_VALUE"""),238.0)</f>
        <v>238</v>
      </c>
      <c r="E1404" s="1" t="str">
        <f t="array" ref="E1404">_xlfn.XLOOKUP(A1404,Product!A:A,Product!B:B,"Bulunamadı")</f>
        <v>Arts</v>
      </c>
      <c r="F1404" s="1" t="str">
        <f t="array" ref="F1404">_xlfn.XLOOKUP(A1404,Product!A:A,Product!C:C,"Bulunamadı")</f>
        <v>Political History</v>
      </c>
      <c r="G1404" s="2" t="str">
        <f t="array" ref="G1404">_xlfn.XLOOKUP(A1405,Product!A:A,Product!D:D,"Bulunamadı")</f>
        <v>Pioneer Ridge Books</v>
      </c>
      <c r="H1404" s="2">
        <f t="array" ref="H1404">_xlfn.XLOOKUP(A1406,Product!A:A,Product!E:E,"Bulunamadı")</f>
        <v>1.16</v>
      </c>
      <c r="I1404" s="2" t="str">
        <f t="shared" si="1"/>
        <v>44721 - Arts - Political History</v>
      </c>
      <c r="J1404" s="2">
        <f t="shared" si="2"/>
        <v>276.08</v>
      </c>
      <c r="K1404" s="17">
        <f t="shared" si="3"/>
        <v>1</v>
      </c>
      <c r="L1404" s="18"/>
    </row>
    <row r="1405">
      <c r="A1405" s="2">
        <f>IFERROR(__xludf.DUMMYFUNCTION("""COMPUTED_VALUE"""),121576.0)</f>
        <v>121576</v>
      </c>
      <c r="B1405" s="2">
        <f>IFERROR(__xludf.DUMMYFUNCTION("""COMPUTED_VALUE"""),0.0)</f>
        <v>0</v>
      </c>
      <c r="C1405" s="2">
        <f>IFERROR(__xludf.DUMMYFUNCTION("""COMPUTED_VALUE"""),471.0)</f>
        <v>471</v>
      </c>
      <c r="D1405" s="3">
        <f>IFERROR(__xludf.DUMMYFUNCTION("""COMPUTED_VALUE"""),195.0)</f>
        <v>195</v>
      </c>
      <c r="E1405" s="1" t="str">
        <f t="array" ref="E1405">_xlfn.XLOOKUP(A1405,Product!A:A,Product!B:B,"Bulunamadı")</f>
        <v>Arts</v>
      </c>
      <c r="F1405" s="1" t="str">
        <f t="array" ref="F1405">_xlfn.XLOOKUP(A1405,Product!A:A,Product!C:C,"Bulunamadı")</f>
        <v>Political History</v>
      </c>
      <c r="G1405" s="2" t="str">
        <f t="array" ref="G1405">_xlfn.XLOOKUP(A1406,Product!A:A,Product!D:D,"Bulunamadı")</f>
        <v>Pioneer Ridge Books</v>
      </c>
      <c r="H1405" s="2">
        <f t="array" ref="H1405">_xlfn.XLOOKUP(A1407,Product!A:A,Product!E:E,"Bulunamadı")</f>
        <v>8.15</v>
      </c>
      <c r="I1405" s="2" t="str">
        <f t="shared" si="1"/>
        <v>121576 - Arts - Political History</v>
      </c>
      <c r="J1405" s="2">
        <f t="shared" si="2"/>
        <v>1589.25</v>
      </c>
      <c r="K1405" s="17">
        <f t="shared" si="3"/>
        <v>1</v>
      </c>
      <c r="L1405" s="18"/>
    </row>
    <row r="1406">
      <c r="A1406" s="2">
        <f>IFERROR(__xludf.DUMMYFUNCTION("""COMPUTED_VALUE"""),117208.0)</f>
        <v>117208</v>
      </c>
      <c r="B1406" s="2">
        <f>IFERROR(__xludf.DUMMYFUNCTION("""COMPUTED_VALUE"""),1.0)</f>
        <v>1</v>
      </c>
      <c r="C1406" s="2">
        <f>IFERROR(__xludf.DUMMYFUNCTION("""COMPUTED_VALUE"""),594.0)</f>
        <v>594</v>
      </c>
      <c r="D1406" s="3">
        <f>IFERROR(__xludf.DUMMYFUNCTION("""COMPUTED_VALUE"""),409.0)</f>
        <v>409</v>
      </c>
      <c r="E1406" s="1" t="str">
        <f t="array" ref="E1406">_xlfn.XLOOKUP(A1406,Product!A:A,Product!B:B,"Bulunamadı")</f>
        <v>Arts</v>
      </c>
      <c r="F1406" s="1" t="str">
        <f t="array" ref="F1406">_xlfn.XLOOKUP(A1406,Product!A:A,Product!C:C,"Bulunamadı")</f>
        <v>Political History</v>
      </c>
      <c r="G1406" s="2" t="str">
        <f t="array" ref="G1406">_xlfn.XLOOKUP(A1407,Product!A:A,Product!D:D,"Bulunamadı")</f>
        <v>Pioneer Ridge Books</v>
      </c>
      <c r="H1406" s="2">
        <f t="array" ref="H1406">_xlfn.XLOOKUP(A1408,Product!A:A,Product!E:E,"Bulunamadı")</f>
        <v>3.27</v>
      </c>
      <c r="I1406" s="2" t="str">
        <f t="shared" si="1"/>
        <v>117208 - Arts - Political History</v>
      </c>
      <c r="J1406" s="2">
        <f t="shared" si="2"/>
        <v>1337.43</v>
      </c>
      <c r="K1406" s="17">
        <f t="shared" si="3"/>
        <v>1</v>
      </c>
      <c r="L1406" s="18"/>
    </row>
    <row r="1407">
      <c r="A1407" s="2">
        <f>IFERROR(__xludf.DUMMYFUNCTION("""COMPUTED_VALUE"""),78497.0)</f>
        <v>78497</v>
      </c>
      <c r="B1407" s="2">
        <f>IFERROR(__xludf.DUMMYFUNCTION("""COMPUTED_VALUE"""),0.0)</f>
        <v>0</v>
      </c>
      <c r="C1407" s="2">
        <f>IFERROR(__xludf.DUMMYFUNCTION("""COMPUTED_VALUE"""),751.0)</f>
        <v>751</v>
      </c>
      <c r="D1407" s="3">
        <f>IFERROR(__xludf.DUMMYFUNCTION("""COMPUTED_VALUE"""),309.0)</f>
        <v>309</v>
      </c>
      <c r="E1407" s="1" t="str">
        <f t="array" ref="E1407">_xlfn.XLOOKUP(A1407,Product!A:A,Product!B:B,"Bulunamadı")</f>
        <v>Arts</v>
      </c>
      <c r="F1407" s="1" t="str">
        <f t="array" ref="F1407">_xlfn.XLOOKUP(A1407,Product!A:A,Product!C:C,"Bulunamadı")</f>
        <v>Political History</v>
      </c>
      <c r="G1407" s="2" t="str">
        <f t="array" ref="G1407">_xlfn.XLOOKUP(A1408,Product!A:A,Product!D:D,"Bulunamadı")</f>
        <v>Pioneer Ridge Books</v>
      </c>
      <c r="H1407" s="2">
        <f t="array" ref="H1407">_xlfn.XLOOKUP(A1409,Product!A:A,Product!E:E,"Bulunamadı")</f>
        <v>1.22</v>
      </c>
      <c r="I1407" s="2" t="str">
        <f t="shared" si="1"/>
        <v>78497 - Arts - Political History</v>
      </c>
      <c r="J1407" s="2">
        <f t="shared" si="2"/>
        <v>376.98</v>
      </c>
      <c r="K1407" s="17">
        <f t="shared" si="3"/>
        <v>1</v>
      </c>
      <c r="L1407" s="18"/>
    </row>
    <row r="1408">
      <c r="A1408" s="2">
        <f>IFERROR(__xludf.DUMMYFUNCTION("""COMPUTED_VALUE"""),44726.0)</f>
        <v>44726</v>
      </c>
      <c r="B1408" s="2">
        <f>IFERROR(__xludf.DUMMYFUNCTION("""COMPUTED_VALUE"""),1.0)</f>
        <v>1</v>
      </c>
      <c r="C1408" s="2">
        <f>IFERROR(__xludf.DUMMYFUNCTION("""COMPUTED_VALUE"""),708.0)</f>
        <v>708</v>
      </c>
      <c r="D1408" s="3">
        <f>IFERROR(__xludf.DUMMYFUNCTION("""COMPUTED_VALUE"""),615.0)</f>
        <v>615</v>
      </c>
      <c r="E1408" s="1" t="str">
        <f t="array" ref="E1408">_xlfn.XLOOKUP(A1408,Product!A:A,Product!B:B,"Bulunamadı")</f>
        <v>Arts</v>
      </c>
      <c r="F1408" s="1" t="str">
        <f t="array" ref="F1408">_xlfn.XLOOKUP(A1408,Product!A:A,Product!C:C,"Bulunamadı")</f>
        <v>Political History</v>
      </c>
      <c r="G1408" s="2" t="str">
        <f t="array" ref="G1408">_xlfn.XLOOKUP(A1409,Product!A:A,Product!D:D,"Bulunamadı")</f>
        <v>Pioneer Ridge Books</v>
      </c>
      <c r="H1408" s="2">
        <f t="array" ref="H1408">_xlfn.XLOOKUP(A1410,Product!A:A,Product!E:E,"Bulunamadı")</f>
        <v>3.39</v>
      </c>
      <c r="I1408" s="2" t="str">
        <f t="shared" si="1"/>
        <v>44726 - Arts - Political History</v>
      </c>
      <c r="J1408" s="2">
        <f t="shared" si="2"/>
        <v>2084.85</v>
      </c>
      <c r="K1408" s="17">
        <f t="shared" si="3"/>
        <v>1</v>
      </c>
      <c r="L1408" s="18"/>
    </row>
    <row r="1409">
      <c r="A1409" s="2">
        <f>IFERROR(__xludf.DUMMYFUNCTION("""COMPUTED_VALUE"""),117210.0)</f>
        <v>117210</v>
      </c>
      <c r="B1409" s="2">
        <f>IFERROR(__xludf.DUMMYFUNCTION("""COMPUTED_VALUE"""),1.0)</f>
        <v>1</v>
      </c>
      <c r="C1409" s="2">
        <f>IFERROR(__xludf.DUMMYFUNCTION("""COMPUTED_VALUE"""),509.0)</f>
        <v>509</v>
      </c>
      <c r="D1409" s="3">
        <f>IFERROR(__xludf.DUMMYFUNCTION("""COMPUTED_VALUE"""),141.0)</f>
        <v>141</v>
      </c>
      <c r="E1409" s="1" t="str">
        <f t="array" ref="E1409">_xlfn.XLOOKUP(A1409,Product!A:A,Product!B:B,"Bulunamadı")</f>
        <v>Arts</v>
      </c>
      <c r="F1409" s="1" t="str">
        <f t="array" ref="F1409">_xlfn.XLOOKUP(A1409,Product!A:A,Product!C:C,"Bulunamadı")</f>
        <v>Political History</v>
      </c>
      <c r="G1409" s="2" t="str">
        <f t="array" ref="G1409">_xlfn.XLOOKUP(A1410,Product!A:A,Product!D:D,"Bulunamadı")</f>
        <v>Pioneer Ridge Books</v>
      </c>
      <c r="H1409" s="2">
        <f t="array" ref="H1409">_xlfn.XLOOKUP(A1411,Product!A:A,Product!E:E,"Bulunamadı")</f>
        <v>1.15</v>
      </c>
      <c r="I1409" s="2" t="str">
        <f t="shared" si="1"/>
        <v>117210 - Arts - Political History</v>
      </c>
      <c r="J1409" s="2">
        <f t="shared" si="2"/>
        <v>162.15</v>
      </c>
      <c r="K1409" s="17">
        <f t="shared" si="3"/>
        <v>1</v>
      </c>
      <c r="L1409" s="18"/>
    </row>
    <row r="1410">
      <c r="A1410" s="2">
        <f>IFERROR(__xludf.DUMMYFUNCTION("""COMPUTED_VALUE"""),87082.0)</f>
        <v>87082</v>
      </c>
      <c r="B1410" s="2">
        <f>IFERROR(__xludf.DUMMYFUNCTION("""COMPUTED_VALUE"""),1.0)</f>
        <v>1</v>
      </c>
      <c r="C1410" s="2">
        <f>IFERROR(__xludf.DUMMYFUNCTION("""COMPUTED_VALUE"""),303.0)</f>
        <v>303</v>
      </c>
      <c r="D1410" s="3">
        <f>IFERROR(__xludf.DUMMYFUNCTION("""COMPUTED_VALUE"""),230.0)</f>
        <v>230</v>
      </c>
      <c r="E1410" s="1" t="str">
        <f t="array" ref="E1410">_xlfn.XLOOKUP(A1410,Product!A:A,Product!B:B,"Bulunamadı")</f>
        <v>Arts</v>
      </c>
      <c r="F1410" s="1" t="str">
        <f t="array" ref="F1410">_xlfn.XLOOKUP(A1410,Product!A:A,Product!C:C,"Bulunamadı")</f>
        <v>Political History</v>
      </c>
      <c r="G1410" s="2" t="str">
        <f t="array" ref="G1410">_xlfn.XLOOKUP(A1411,Product!A:A,Product!D:D,"Bulunamadı")</f>
        <v>Pioneer Ridge Books</v>
      </c>
      <c r="H1410" s="2">
        <f t="array" ref="H1410">_xlfn.XLOOKUP(A1412,Product!A:A,Product!E:E,"Bulunamadı")</f>
        <v>2.09</v>
      </c>
      <c r="I1410" s="2" t="str">
        <f t="shared" si="1"/>
        <v>87082 - Arts - Political History</v>
      </c>
      <c r="J1410" s="2">
        <f t="shared" si="2"/>
        <v>480.7</v>
      </c>
      <c r="K1410" s="17">
        <f t="shared" si="3"/>
        <v>1</v>
      </c>
      <c r="L1410" s="18"/>
    </row>
    <row r="1411">
      <c r="A1411" s="2">
        <f>IFERROR(__xludf.DUMMYFUNCTION("""COMPUTED_VALUE"""),10529.0)</f>
        <v>10529</v>
      </c>
      <c r="B1411" s="2">
        <f>IFERROR(__xludf.DUMMYFUNCTION("""COMPUTED_VALUE"""),0.0)</f>
        <v>0</v>
      </c>
      <c r="C1411" s="2">
        <f>IFERROR(__xludf.DUMMYFUNCTION("""COMPUTED_VALUE"""),5.0)</f>
        <v>5</v>
      </c>
      <c r="D1411" s="3">
        <f>IFERROR(__xludf.DUMMYFUNCTION("""COMPUTED_VALUE"""),0.0)</f>
        <v>0</v>
      </c>
      <c r="E1411" s="1" t="str">
        <f t="array" ref="E1411">_xlfn.XLOOKUP(A1411,Product!A:A,Product!B:B,"Bulunamadı")</f>
        <v>Arts</v>
      </c>
      <c r="F1411" s="1" t="str">
        <f t="array" ref="F1411">_xlfn.XLOOKUP(A1411,Product!A:A,Product!C:C,"Bulunamadı")</f>
        <v>Political History</v>
      </c>
      <c r="G1411" s="2" t="str">
        <f t="array" ref="G1411">_xlfn.XLOOKUP(A1412,Product!A:A,Product!D:D,"Bulunamadı")</f>
        <v>Pioneer Ridge Books</v>
      </c>
      <c r="H1411" s="2">
        <f t="array" ref="H1411">_xlfn.XLOOKUP(A1413,Product!A:A,Product!E:E,"Bulunamadı")</f>
        <v>2.68</v>
      </c>
      <c r="I1411" s="2" t="str">
        <f t="shared" si="1"/>
        <v>10529 - Arts - Political History</v>
      </c>
      <c r="J1411" s="2">
        <f t="shared" si="2"/>
        <v>0</v>
      </c>
      <c r="K1411" s="17">
        <f t="shared" si="3"/>
        <v>0</v>
      </c>
      <c r="L1411" s="18"/>
    </row>
    <row r="1412">
      <c r="A1412" s="2">
        <f>IFERROR(__xludf.DUMMYFUNCTION("""COMPUTED_VALUE"""),44705.0)</f>
        <v>44705</v>
      </c>
      <c r="B1412" s="2">
        <f>IFERROR(__xludf.DUMMYFUNCTION("""COMPUTED_VALUE"""),1.0)</f>
        <v>1</v>
      </c>
      <c r="C1412" s="2">
        <f>IFERROR(__xludf.DUMMYFUNCTION("""COMPUTED_VALUE"""),703.0)</f>
        <v>703</v>
      </c>
      <c r="D1412" s="3">
        <f>IFERROR(__xludf.DUMMYFUNCTION("""COMPUTED_VALUE"""),576.0)</f>
        <v>576</v>
      </c>
      <c r="E1412" s="1" t="str">
        <f t="array" ref="E1412">_xlfn.XLOOKUP(A1412,Product!A:A,Product!B:B,"Bulunamadı")</f>
        <v>Arts</v>
      </c>
      <c r="F1412" s="1" t="str">
        <f t="array" ref="F1412">_xlfn.XLOOKUP(A1412,Product!A:A,Product!C:C,"Bulunamadı")</f>
        <v>Political History</v>
      </c>
      <c r="G1412" s="2" t="str">
        <f t="array" ref="G1412">_xlfn.XLOOKUP(A1413,Product!A:A,Product!D:D,"Bulunamadı")</f>
        <v>Pioneer Ridge Books</v>
      </c>
      <c r="H1412" s="2">
        <f t="array" ref="H1412">_xlfn.XLOOKUP(A1414,Product!A:A,Product!E:E,"Bulunamadı")</f>
        <v>4.54</v>
      </c>
      <c r="I1412" s="2" t="str">
        <f t="shared" si="1"/>
        <v>44705 - Arts - Political History</v>
      </c>
      <c r="J1412" s="2">
        <f t="shared" si="2"/>
        <v>2615.04</v>
      </c>
      <c r="K1412" s="17">
        <f t="shared" si="3"/>
        <v>1</v>
      </c>
      <c r="L1412" s="18"/>
    </row>
    <row r="1413">
      <c r="A1413" s="2">
        <f>IFERROR(__xludf.DUMMYFUNCTION("""COMPUTED_VALUE"""),100564.0)</f>
        <v>100564</v>
      </c>
      <c r="B1413" s="2">
        <f>IFERROR(__xludf.DUMMYFUNCTION("""COMPUTED_VALUE"""),0.0)</f>
        <v>0</v>
      </c>
      <c r="C1413" s="2">
        <f>IFERROR(__xludf.DUMMYFUNCTION("""COMPUTED_VALUE"""),87.0)</f>
        <v>87</v>
      </c>
      <c r="D1413" s="3">
        <f>IFERROR(__xludf.DUMMYFUNCTION("""COMPUTED_VALUE"""),43.0)</f>
        <v>43</v>
      </c>
      <c r="E1413" s="1" t="str">
        <f t="array" ref="E1413">_xlfn.XLOOKUP(A1413,Product!A:A,Product!B:B,"Bulunamadı")</f>
        <v>Arts</v>
      </c>
      <c r="F1413" s="1" t="str">
        <f t="array" ref="F1413">_xlfn.XLOOKUP(A1413,Product!A:A,Product!C:C,"Bulunamadı")</f>
        <v>Political History</v>
      </c>
      <c r="G1413" s="2" t="str">
        <f t="array" ref="G1413">_xlfn.XLOOKUP(A1414,Product!A:A,Product!D:D,"Bulunamadı")</f>
        <v>Pioneer Ridge Books</v>
      </c>
      <c r="H1413" s="2">
        <f t="array" ref="H1413">_xlfn.XLOOKUP(A1415,Product!A:A,Product!E:E,"Bulunamadı")</f>
        <v>2.71</v>
      </c>
      <c r="I1413" s="2" t="str">
        <f t="shared" si="1"/>
        <v>100564 - Arts - Political History</v>
      </c>
      <c r="J1413" s="2">
        <f t="shared" si="2"/>
        <v>116.53</v>
      </c>
      <c r="K1413" s="17">
        <f t="shared" si="3"/>
        <v>1</v>
      </c>
      <c r="L1413" s="18"/>
    </row>
    <row r="1414">
      <c r="A1414" s="2">
        <f>IFERROR(__xludf.DUMMYFUNCTION("""COMPUTED_VALUE"""),87193.0)</f>
        <v>87193</v>
      </c>
      <c r="B1414" s="2">
        <f>IFERROR(__xludf.DUMMYFUNCTION("""COMPUTED_VALUE"""),0.0)</f>
        <v>0</v>
      </c>
      <c r="C1414" s="2">
        <f>IFERROR(__xludf.DUMMYFUNCTION("""COMPUTED_VALUE"""),789.0)</f>
        <v>789</v>
      </c>
      <c r="D1414" s="3">
        <f>IFERROR(__xludf.DUMMYFUNCTION("""COMPUTED_VALUE"""),28.0)</f>
        <v>28</v>
      </c>
      <c r="E1414" s="1" t="str">
        <f t="array" ref="E1414">_xlfn.XLOOKUP(A1414,Product!A:A,Product!B:B,"Bulunamadı")</f>
        <v>Arts</v>
      </c>
      <c r="F1414" s="1" t="str">
        <f t="array" ref="F1414">_xlfn.XLOOKUP(A1414,Product!A:A,Product!C:C,"Bulunamadı")</f>
        <v>Political History</v>
      </c>
      <c r="G1414" s="2" t="str">
        <f t="array" ref="G1414">_xlfn.XLOOKUP(A1415,Product!A:A,Product!D:D,"Bulunamadı")</f>
        <v>Pioneer Ridge Books</v>
      </c>
      <c r="H1414" s="2">
        <f t="array" ref="H1414">_xlfn.XLOOKUP(A1416,Product!A:A,Product!E:E,"Bulunamadı")</f>
        <v>4.16</v>
      </c>
      <c r="I1414" s="2" t="str">
        <f t="shared" si="1"/>
        <v>87193 - Arts - Political History</v>
      </c>
      <c r="J1414" s="2">
        <f t="shared" si="2"/>
        <v>116.48</v>
      </c>
      <c r="K1414" s="17">
        <f t="shared" si="3"/>
        <v>1</v>
      </c>
      <c r="L1414" s="18"/>
    </row>
    <row r="1415">
      <c r="A1415" s="2">
        <f>IFERROR(__xludf.DUMMYFUNCTION("""COMPUTED_VALUE"""),76044.0)</f>
        <v>76044</v>
      </c>
      <c r="B1415" s="2">
        <f>IFERROR(__xludf.DUMMYFUNCTION("""COMPUTED_VALUE"""),1.0)</f>
        <v>1</v>
      </c>
      <c r="C1415" s="2">
        <f>IFERROR(__xludf.DUMMYFUNCTION("""COMPUTED_VALUE"""),278.0)</f>
        <v>278</v>
      </c>
      <c r="D1415" s="3">
        <f>IFERROR(__xludf.DUMMYFUNCTION("""COMPUTED_VALUE"""),200.0)</f>
        <v>200</v>
      </c>
      <c r="E1415" s="1" t="str">
        <f t="array" ref="E1415">_xlfn.XLOOKUP(A1415,Product!A:A,Product!B:B,"Bulunamadı")</f>
        <v>Arts</v>
      </c>
      <c r="F1415" s="1" t="str">
        <f t="array" ref="F1415">_xlfn.XLOOKUP(A1415,Product!A:A,Product!C:C,"Bulunamadı")</f>
        <v>Political History</v>
      </c>
      <c r="G1415" s="2" t="str">
        <f t="array" ref="G1415">_xlfn.XLOOKUP(A1416,Product!A:A,Product!D:D,"Bulunamadı")</f>
        <v>Pioneer Ridge Books</v>
      </c>
      <c r="H1415" s="2">
        <f t="array" ref="H1415">_xlfn.XLOOKUP(A1417,Product!A:A,Product!E:E,"Bulunamadı")</f>
        <v>2.11</v>
      </c>
      <c r="I1415" s="2" t="str">
        <f t="shared" si="1"/>
        <v>76044 - Arts - Political History</v>
      </c>
      <c r="J1415" s="2">
        <f t="shared" si="2"/>
        <v>422</v>
      </c>
      <c r="K1415" s="17">
        <f t="shared" si="3"/>
        <v>1</v>
      </c>
      <c r="L1415" s="18"/>
    </row>
    <row r="1416">
      <c r="A1416" s="2">
        <f>IFERROR(__xludf.DUMMYFUNCTION("""COMPUTED_VALUE"""),121578.0)</f>
        <v>121578</v>
      </c>
      <c r="B1416" s="2">
        <f>IFERROR(__xludf.DUMMYFUNCTION("""COMPUTED_VALUE"""),1.0)</f>
        <v>1</v>
      </c>
      <c r="C1416" s="2">
        <f>IFERROR(__xludf.DUMMYFUNCTION("""COMPUTED_VALUE"""),556.0)</f>
        <v>556</v>
      </c>
      <c r="D1416" s="3">
        <f>IFERROR(__xludf.DUMMYFUNCTION("""COMPUTED_VALUE"""),218.0)</f>
        <v>218</v>
      </c>
      <c r="E1416" s="1" t="str">
        <f t="array" ref="E1416">_xlfn.XLOOKUP(A1416,Product!A:A,Product!B:B,"Bulunamadı")</f>
        <v>Arts</v>
      </c>
      <c r="F1416" s="1" t="str">
        <f t="array" ref="F1416">_xlfn.XLOOKUP(A1416,Product!A:A,Product!C:C,"Bulunamadı")</f>
        <v>Political History</v>
      </c>
      <c r="G1416" s="2" t="str">
        <f t="array" ref="G1416">_xlfn.XLOOKUP(A1417,Product!A:A,Product!D:D,"Bulunamadı")</f>
        <v>Pioneer Ridge Books</v>
      </c>
      <c r="H1416" s="2">
        <f t="array" ref="H1416">_xlfn.XLOOKUP(A1418,Product!A:A,Product!E:E,"Bulunamadı")</f>
        <v>5.74</v>
      </c>
      <c r="I1416" s="2" t="str">
        <f t="shared" si="1"/>
        <v>121578 - Arts - Political History</v>
      </c>
      <c r="J1416" s="2">
        <f t="shared" si="2"/>
        <v>1251.32</v>
      </c>
      <c r="K1416" s="17">
        <f t="shared" si="3"/>
        <v>1</v>
      </c>
      <c r="L1416" s="18"/>
    </row>
    <row r="1417">
      <c r="A1417" s="2">
        <f>IFERROR(__xludf.DUMMYFUNCTION("""COMPUTED_VALUE"""),117206.0)</f>
        <v>117206</v>
      </c>
      <c r="B1417" s="2">
        <f>IFERROR(__xludf.DUMMYFUNCTION("""COMPUTED_VALUE"""),1.0)</f>
        <v>1</v>
      </c>
      <c r="C1417" s="2">
        <f>IFERROR(__xludf.DUMMYFUNCTION("""COMPUTED_VALUE"""),47.0)</f>
        <v>47</v>
      </c>
      <c r="D1417" s="3">
        <f>IFERROR(__xludf.DUMMYFUNCTION("""COMPUTED_VALUE"""),11.0)</f>
        <v>11</v>
      </c>
      <c r="E1417" s="1" t="str">
        <f t="array" ref="E1417">_xlfn.XLOOKUP(A1417,Product!A:A,Product!B:B,"Bulunamadı")</f>
        <v>Arts</v>
      </c>
      <c r="F1417" s="1" t="str">
        <f t="array" ref="F1417">_xlfn.XLOOKUP(A1417,Product!A:A,Product!C:C,"Bulunamadı")</f>
        <v>Political History</v>
      </c>
      <c r="G1417" s="2" t="str">
        <f t="array" ref="G1417">_xlfn.XLOOKUP(A1418,Product!A:A,Product!D:D,"Bulunamadı")</f>
        <v>Pioneer Ridge Books</v>
      </c>
      <c r="H1417" s="2">
        <f t="array" ref="H1417">_xlfn.XLOOKUP(A1419,Product!A:A,Product!E:E,"Bulunamadı")</f>
        <v>1.77</v>
      </c>
      <c r="I1417" s="2" t="str">
        <f t="shared" si="1"/>
        <v>117206 - Arts - Political History</v>
      </c>
      <c r="J1417" s="2">
        <f t="shared" si="2"/>
        <v>19.47</v>
      </c>
      <c r="K1417" s="17">
        <f t="shared" si="3"/>
        <v>1</v>
      </c>
      <c r="L1417" s="18"/>
    </row>
    <row r="1418">
      <c r="A1418" s="2">
        <f>IFERROR(__xludf.DUMMYFUNCTION("""COMPUTED_VALUE"""),81519.0)</f>
        <v>81519</v>
      </c>
      <c r="B1418" s="2">
        <f>IFERROR(__xludf.DUMMYFUNCTION("""COMPUTED_VALUE"""),0.0)</f>
        <v>0</v>
      </c>
      <c r="C1418" s="2">
        <f>IFERROR(__xludf.DUMMYFUNCTION("""COMPUTED_VALUE"""),572.0)</f>
        <v>572</v>
      </c>
      <c r="D1418" s="3">
        <f>IFERROR(__xludf.DUMMYFUNCTION("""COMPUTED_VALUE"""),34.0)</f>
        <v>34</v>
      </c>
      <c r="E1418" s="1" t="str">
        <f t="array" ref="E1418">_xlfn.XLOOKUP(A1418,Product!A:A,Product!B:B,"Bulunamadı")</f>
        <v>Arts</v>
      </c>
      <c r="F1418" s="1" t="str">
        <f t="array" ref="F1418">_xlfn.XLOOKUP(A1418,Product!A:A,Product!C:C,"Bulunamadı")</f>
        <v>Political History</v>
      </c>
      <c r="G1418" s="2" t="str">
        <f t="array" ref="G1418">_xlfn.XLOOKUP(A1419,Product!A:A,Product!D:D,"Bulunamadı")</f>
        <v>Pioneer Ridge Books</v>
      </c>
      <c r="H1418" s="2">
        <f t="array" ref="H1418">_xlfn.XLOOKUP(A1420,Product!A:A,Product!E:E,"Bulunamadı")</f>
        <v>17.17</v>
      </c>
      <c r="I1418" s="2" t="str">
        <f t="shared" si="1"/>
        <v>81519 - Arts - Political History</v>
      </c>
      <c r="J1418" s="2">
        <f t="shared" si="2"/>
        <v>583.78</v>
      </c>
      <c r="K1418" s="17">
        <f t="shared" si="3"/>
        <v>1</v>
      </c>
      <c r="L1418" s="18"/>
    </row>
    <row r="1419">
      <c r="A1419" s="2">
        <f>IFERROR(__xludf.DUMMYFUNCTION("""COMPUTED_VALUE"""),44724.0)</f>
        <v>44724</v>
      </c>
      <c r="B1419" s="2">
        <f>IFERROR(__xludf.DUMMYFUNCTION("""COMPUTED_VALUE"""),1.0)</f>
        <v>1</v>
      </c>
      <c r="C1419" s="2">
        <f>IFERROR(__xludf.DUMMYFUNCTION("""COMPUTED_VALUE"""),25.0)</f>
        <v>25</v>
      </c>
      <c r="D1419" s="3">
        <f>IFERROR(__xludf.DUMMYFUNCTION("""COMPUTED_VALUE"""),21.0)</f>
        <v>21</v>
      </c>
      <c r="E1419" s="1" t="str">
        <f t="array" ref="E1419">_xlfn.XLOOKUP(A1419,Product!A:A,Product!B:B,"Bulunamadı")</f>
        <v>Arts</v>
      </c>
      <c r="F1419" s="1" t="str">
        <f t="array" ref="F1419">_xlfn.XLOOKUP(A1419,Product!A:A,Product!C:C,"Bulunamadı")</f>
        <v>Political History</v>
      </c>
      <c r="G1419" s="2" t="str">
        <f t="array" ref="G1419">_xlfn.XLOOKUP(A1420,Product!A:A,Product!D:D,"Bulunamadı")</f>
        <v>Pioneer Ridge Books</v>
      </c>
      <c r="H1419" s="2">
        <f t="array" ref="H1419">_xlfn.XLOOKUP(A1421,Product!A:A,Product!E:E,"Bulunamadı")</f>
        <v>13.9</v>
      </c>
      <c r="I1419" s="2" t="str">
        <f t="shared" si="1"/>
        <v>44724 - Arts - Political History</v>
      </c>
      <c r="J1419" s="2">
        <f t="shared" si="2"/>
        <v>291.9</v>
      </c>
      <c r="K1419" s="17">
        <f t="shared" si="3"/>
        <v>1</v>
      </c>
      <c r="L1419" s="18"/>
    </row>
    <row r="1420">
      <c r="A1420" s="2">
        <f>IFERROR(__xludf.DUMMYFUNCTION("""COMPUTED_VALUE"""),82114.0)</f>
        <v>82114</v>
      </c>
      <c r="B1420" s="2">
        <f>IFERROR(__xludf.DUMMYFUNCTION("""COMPUTED_VALUE"""),1.0)</f>
        <v>1</v>
      </c>
      <c r="C1420" s="2">
        <f>IFERROR(__xludf.DUMMYFUNCTION("""COMPUTED_VALUE"""),670.0)</f>
        <v>670</v>
      </c>
      <c r="D1420" s="3">
        <f>IFERROR(__xludf.DUMMYFUNCTION("""COMPUTED_VALUE"""),539.0)</f>
        <v>539</v>
      </c>
      <c r="E1420" s="1" t="str">
        <f t="array" ref="E1420">_xlfn.XLOOKUP(A1420,Product!A:A,Product!B:B,"Bulunamadı")</f>
        <v>Arts</v>
      </c>
      <c r="F1420" s="1" t="str">
        <f t="array" ref="F1420">_xlfn.XLOOKUP(A1420,Product!A:A,Product!C:C,"Bulunamadı")</f>
        <v>Political History</v>
      </c>
      <c r="G1420" s="2" t="str">
        <f t="array" ref="G1420">_xlfn.XLOOKUP(A1421,Product!A:A,Product!D:D,"Bulunamadı")</f>
        <v>Pioneer Ridge Books</v>
      </c>
      <c r="H1420" s="2">
        <f t="array" ref="H1420">_xlfn.XLOOKUP(A1422,Product!A:A,Product!E:E,"Bulunamadı")</f>
        <v>6.43</v>
      </c>
      <c r="I1420" s="2" t="str">
        <f t="shared" si="1"/>
        <v>82114 - Arts - Political History</v>
      </c>
      <c r="J1420" s="2">
        <f t="shared" si="2"/>
        <v>3465.77</v>
      </c>
      <c r="K1420" s="17">
        <f t="shared" si="3"/>
        <v>1</v>
      </c>
      <c r="L1420" s="18"/>
    </row>
    <row r="1421">
      <c r="A1421" s="2">
        <f>IFERROR(__xludf.DUMMYFUNCTION("""COMPUTED_VALUE"""),82115.0)</f>
        <v>82115</v>
      </c>
      <c r="B1421" s="2">
        <f>IFERROR(__xludf.DUMMYFUNCTION("""COMPUTED_VALUE"""),1.0)</f>
        <v>1</v>
      </c>
      <c r="C1421" s="2">
        <f>IFERROR(__xludf.DUMMYFUNCTION("""COMPUTED_VALUE"""),32.0)</f>
        <v>32</v>
      </c>
      <c r="D1421" s="3">
        <f>IFERROR(__xludf.DUMMYFUNCTION("""COMPUTED_VALUE"""),2.0)</f>
        <v>2</v>
      </c>
      <c r="E1421" s="1" t="str">
        <f t="array" ref="E1421">_xlfn.XLOOKUP(A1421,Product!A:A,Product!B:B,"Bulunamadı")</f>
        <v>Arts</v>
      </c>
      <c r="F1421" s="1" t="str">
        <f t="array" ref="F1421">_xlfn.XLOOKUP(A1421,Product!A:A,Product!C:C,"Bulunamadı")</f>
        <v>Political History</v>
      </c>
      <c r="G1421" s="2" t="str">
        <f t="array" ref="G1421">_xlfn.XLOOKUP(A1422,Product!A:A,Product!D:D,"Bulunamadı")</f>
        <v>Pioneer Ridge Books</v>
      </c>
      <c r="H1421" s="2">
        <f t="array" ref="H1421">_xlfn.XLOOKUP(A1423,Product!A:A,Product!E:E,"Bulunamadı")</f>
        <v>5.55</v>
      </c>
      <c r="I1421" s="2" t="str">
        <f t="shared" si="1"/>
        <v>82115 - Arts - Political History</v>
      </c>
      <c r="J1421" s="2">
        <f t="shared" si="2"/>
        <v>11.1</v>
      </c>
      <c r="K1421" s="17">
        <f t="shared" si="3"/>
        <v>1</v>
      </c>
      <c r="L1421" s="18"/>
    </row>
    <row r="1422">
      <c r="A1422" s="2">
        <f>IFERROR(__xludf.DUMMYFUNCTION("""COMPUTED_VALUE"""),109307.0)</f>
        <v>109307</v>
      </c>
      <c r="B1422" s="2">
        <f>IFERROR(__xludf.DUMMYFUNCTION("""COMPUTED_VALUE"""),0.0)</f>
        <v>0</v>
      </c>
      <c r="C1422" s="2">
        <f>IFERROR(__xludf.DUMMYFUNCTION("""COMPUTED_VALUE"""),165.0)</f>
        <v>165</v>
      </c>
      <c r="D1422" s="3">
        <f>IFERROR(__xludf.DUMMYFUNCTION("""COMPUTED_VALUE"""),81.0)</f>
        <v>81</v>
      </c>
      <c r="E1422" s="1" t="str">
        <f t="array" ref="E1422">_xlfn.XLOOKUP(A1422,Product!A:A,Product!B:B,"Bulunamadı")</f>
        <v>Arts</v>
      </c>
      <c r="F1422" s="1" t="str">
        <f t="array" ref="F1422">_xlfn.XLOOKUP(A1422,Product!A:A,Product!C:C,"Bulunamadı")</f>
        <v>Political History</v>
      </c>
      <c r="G1422" s="2" t="str">
        <f t="array" ref="G1422">_xlfn.XLOOKUP(A1423,Product!A:A,Product!D:D,"Bulunamadı")</f>
        <v>Pioneer Ridge Books</v>
      </c>
      <c r="H1422" s="2">
        <f t="array" ref="H1422">_xlfn.XLOOKUP(A1424,Product!A:A,Product!E:E,"Bulunamadı")</f>
        <v>2.44</v>
      </c>
      <c r="I1422" s="2" t="str">
        <f t="shared" si="1"/>
        <v>109307 - Arts - Political History</v>
      </c>
      <c r="J1422" s="2">
        <f t="shared" si="2"/>
        <v>197.64</v>
      </c>
      <c r="K1422" s="17">
        <f t="shared" si="3"/>
        <v>1</v>
      </c>
      <c r="L1422" s="18"/>
    </row>
    <row r="1423">
      <c r="A1423" s="2">
        <f>IFERROR(__xludf.DUMMYFUNCTION("""COMPUTED_VALUE"""),76046.0)</f>
        <v>76046</v>
      </c>
      <c r="B1423" s="2">
        <f>IFERROR(__xludf.DUMMYFUNCTION("""COMPUTED_VALUE"""),0.0)</f>
        <v>0</v>
      </c>
      <c r="C1423" s="2">
        <f>IFERROR(__xludf.DUMMYFUNCTION("""COMPUTED_VALUE"""),249.0)</f>
        <v>249</v>
      </c>
      <c r="D1423" s="3">
        <f>IFERROR(__xludf.DUMMYFUNCTION("""COMPUTED_VALUE"""),169.0)</f>
        <v>169</v>
      </c>
      <c r="E1423" s="1" t="str">
        <f t="array" ref="E1423">_xlfn.XLOOKUP(A1423,Product!A:A,Product!B:B,"Bulunamadı")</f>
        <v>Arts</v>
      </c>
      <c r="F1423" s="1" t="str">
        <f t="array" ref="F1423">_xlfn.XLOOKUP(A1423,Product!A:A,Product!C:C,"Bulunamadı")</f>
        <v>Political History</v>
      </c>
      <c r="G1423" s="2" t="str">
        <f t="array" ref="G1423">_xlfn.XLOOKUP(A1424,Product!A:A,Product!D:D,"Bulunamadı")</f>
        <v>Pioneer Ridge Books</v>
      </c>
      <c r="H1423" s="2">
        <f t="array" ref="H1423">_xlfn.XLOOKUP(A1425,Product!A:A,Product!E:E,"Bulunamadı")</f>
        <v>2.32</v>
      </c>
      <c r="I1423" s="2" t="str">
        <f t="shared" si="1"/>
        <v>76046 - Arts - Political History</v>
      </c>
      <c r="J1423" s="2">
        <f t="shared" si="2"/>
        <v>392.08</v>
      </c>
      <c r="K1423" s="17">
        <f t="shared" si="3"/>
        <v>1</v>
      </c>
      <c r="L1423" s="18"/>
    </row>
    <row r="1424">
      <c r="A1424" s="2">
        <f>IFERROR(__xludf.DUMMYFUNCTION("""COMPUTED_VALUE"""),117187.0)</f>
        <v>117187</v>
      </c>
      <c r="B1424" s="2">
        <f>IFERROR(__xludf.DUMMYFUNCTION("""COMPUTED_VALUE"""),0.0)</f>
        <v>0</v>
      </c>
      <c r="C1424" s="2">
        <f>IFERROR(__xludf.DUMMYFUNCTION("""COMPUTED_VALUE"""),105.0)</f>
        <v>105</v>
      </c>
      <c r="D1424" s="3">
        <f>IFERROR(__xludf.DUMMYFUNCTION("""COMPUTED_VALUE"""),68.0)</f>
        <v>68</v>
      </c>
      <c r="E1424" s="1" t="str">
        <f t="array" ref="E1424">_xlfn.XLOOKUP(A1424,Product!A:A,Product!B:B,"Bulunamadı")</f>
        <v>Arts</v>
      </c>
      <c r="F1424" s="1" t="str">
        <f t="array" ref="F1424">_xlfn.XLOOKUP(A1424,Product!A:A,Product!C:C,"Bulunamadı")</f>
        <v>Political History</v>
      </c>
      <c r="G1424" s="2" t="str">
        <f t="array" ref="G1424">_xlfn.XLOOKUP(A1425,Product!A:A,Product!D:D,"Bulunamadı")</f>
        <v>Pioneer Ridge Books</v>
      </c>
      <c r="H1424" s="2">
        <f t="array" ref="H1424">_xlfn.XLOOKUP(A1426,Product!A:A,Product!E:E,"Bulunamadı")</f>
        <v>6.82</v>
      </c>
      <c r="I1424" s="2" t="str">
        <f t="shared" si="1"/>
        <v>117187 - Arts - Political History</v>
      </c>
      <c r="J1424" s="2">
        <f t="shared" si="2"/>
        <v>463.76</v>
      </c>
      <c r="K1424" s="17">
        <f t="shared" si="3"/>
        <v>1</v>
      </c>
      <c r="L1424" s="18"/>
    </row>
    <row r="1425">
      <c r="A1425" s="2">
        <f>IFERROR(__xludf.DUMMYFUNCTION("""COMPUTED_VALUE"""),10538.0)</f>
        <v>10538</v>
      </c>
      <c r="B1425" s="2">
        <f>IFERROR(__xludf.DUMMYFUNCTION("""COMPUTED_VALUE"""),1.0)</f>
        <v>1</v>
      </c>
      <c r="C1425" s="2">
        <f>IFERROR(__xludf.DUMMYFUNCTION("""COMPUTED_VALUE"""),207.0)</f>
        <v>207</v>
      </c>
      <c r="D1425" s="3">
        <f>IFERROR(__xludf.DUMMYFUNCTION("""COMPUTED_VALUE"""),184.0)</f>
        <v>184</v>
      </c>
      <c r="E1425" s="1" t="str">
        <f t="array" ref="E1425">_xlfn.XLOOKUP(A1425,Product!A:A,Product!B:B,"Bulunamadı")</f>
        <v>Arts</v>
      </c>
      <c r="F1425" s="1" t="str">
        <f t="array" ref="F1425">_xlfn.XLOOKUP(A1425,Product!A:A,Product!C:C,"Bulunamadı")</f>
        <v>Political History</v>
      </c>
      <c r="G1425" s="2" t="str">
        <f t="array" ref="G1425">_xlfn.XLOOKUP(A1426,Product!A:A,Product!D:D,"Bulunamadı")</f>
        <v>Pioneer Ridge Books</v>
      </c>
      <c r="H1425" s="2">
        <f t="array" ref="H1425">_xlfn.XLOOKUP(A1427,Product!A:A,Product!E:E,"Bulunamadı")</f>
        <v>1.71</v>
      </c>
      <c r="I1425" s="2" t="str">
        <f t="shared" si="1"/>
        <v>10538 - Arts - Political History</v>
      </c>
      <c r="J1425" s="2">
        <f t="shared" si="2"/>
        <v>314.64</v>
      </c>
      <c r="K1425" s="17">
        <f t="shared" si="3"/>
        <v>1</v>
      </c>
      <c r="L1425" s="18"/>
    </row>
    <row r="1426">
      <c r="A1426" s="2">
        <f>IFERROR(__xludf.DUMMYFUNCTION("""COMPUTED_VALUE"""),78508.0)</f>
        <v>78508</v>
      </c>
      <c r="B1426" s="2">
        <f>IFERROR(__xludf.DUMMYFUNCTION("""COMPUTED_VALUE"""),1.0)</f>
        <v>1</v>
      </c>
      <c r="C1426" s="2">
        <f>IFERROR(__xludf.DUMMYFUNCTION("""COMPUTED_VALUE"""),215.0)</f>
        <v>215</v>
      </c>
      <c r="D1426" s="3">
        <f>IFERROR(__xludf.DUMMYFUNCTION("""COMPUTED_VALUE"""),2.0)</f>
        <v>2</v>
      </c>
      <c r="E1426" s="1" t="str">
        <f t="array" ref="E1426">_xlfn.XLOOKUP(A1426,Product!A:A,Product!B:B,"Bulunamadı")</f>
        <v>Arts</v>
      </c>
      <c r="F1426" s="1" t="str">
        <f t="array" ref="F1426">_xlfn.XLOOKUP(A1426,Product!A:A,Product!C:C,"Bulunamadı")</f>
        <v>Political History</v>
      </c>
      <c r="G1426" s="2" t="str">
        <f t="array" ref="G1426">_xlfn.XLOOKUP(A1427,Product!A:A,Product!D:D,"Bulunamadı")</f>
        <v>Pioneer Ridge Books</v>
      </c>
      <c r="H1426" s="2">
        <f t="array" ref="H1426">_xlfn.XLOOKUP(A1428,Product!A:A,Product!E:E,"Bulunamadı")</f>
        <v>5.69</v>
      </c>
      <c r="I1426" s="2" t="str">
        <f t="shared" si="1"/>
        <v>78508 - Arts - Political History</v>
      </c>
      <c r="J1426" s="2">
        <f t="shared" si="2"/>
        <v>11.38</v>
      </c>
      <c r="K1426" s="17">
        <f t="shared" si="3"/>
        <v>1</v>
      </c>
      <c r="L1426" s="18"/>
    </row>
    <row r="1427">
      <c r="A1427" s="2">
        <f>IFERROR(__xludf.DUMMYFUNCTION("""COMPUTED_VALUE"""),44723.0)</f>
        <v>44723</v>
      </c>
      <c r="B1427" s="2">
        <f>IFERROR(__xludf.DUMMYFUNCTION("""COMPUTED_VALUE"""),0.0)</f>
        <v>0</v>
      </c>
      <c r="C1427" s="2">
        <f>IFERROR(__xludf.DUMMYFUNCTION("""COMPUTED_VALUE"""),219.0)</f>
        <v>219</v>
      </c>
      <c r="D1427" s="3">
        <f>IFERROR(__xludf.DUMMYFUNCTION("""COMPUTED_VALUE"""),45.0)</f>
        <v>45</v>
      </c>
      <c r="E1427" s="1" t="str">
        <f t="array" ref="E1427">_xlfn.XLOOKUP(A1427,Product!A:A,Product!B:B,"Bulunamadı")</f>
        <v>Arts</v>
      </c>
      <c r="F1427" s="1" t="str">
        <f t="array" ref="F1427">_xlfn.XLOOKUP(A1427,Product!A:A,Product!C:C,"Bulunamadı")</f>
        <v>Political History</v>
      </c>
      <c r="G1427" s="2" t="str">
        <f t="array" ref="G1427">_xlfn.XLOOKUP(A1428,Product!A:A,Product!D:D,"Bulunamadı")</f>
        <v>Pioneer Ridge Books</v>
      </c>
      <c r="H1427" s="2">
        <f t="array" ref="H1427">_xlfn.XLOOKUP(A1429,Product!A:A,Product!E:E,"Bulunamadı")</f>
        <v>3.37</v>
      </c>
      <c r="I1427" s="2" t="str">
        <f t="shared" si="1"/>
        <v>44723 - Arts - Political History</v>
      </c>
      <c r="J1427" s="2">
        <f t="shared" si="2"/>
        <v>151.65</v>
      </c>
      <c r="K1427" s="17">
        <f t="shared" si="3"/>
        <v>1</v>
      </c>
      <c r="L1427" s="18"/>
    </row>
    <row r="1428">
      <c r="A1428" s="2">
        <f>IFERROR(__xludf.DUMMYFUNCTION("""COMPUTED_VALUE"""),109309.0)</f>
        <v>109309</v>
      </c>
      <c r="B1428" s="2">
        <f>IFERROR(__xludf.DUMMYFUNCTION("""COMPUTED_VALUE"""),1.0)</f>
        <v>1</v>
      </c>
      <c r="C1428" s="2">
        <f>IFERROR(__xludf.DUMMYFUNCTION("""COMPUTED_VALUE"""),643.0)</f>
        <v>643</v>
      </c>
      <c r="D1428" s="3">
        <f>IFERROR(__xludf.DUMMYFUNCTION("""COMPUTED_VALUE"""),33.0)</f>
        <v>33</v>
      </c>
      <c r="E1428" s="1" t="str">
        <f t="array" ref="E1428">_xlfn.XLOOKUP(A1428,Product!A:A,Product!B:B,"Bulunamadı")</f>
        <v>Arts</v>
      </c>
      <c r="F1428" s="1" t="str">
        <f t="array" ref="F1428">_xlfn.XLOOKUP(A1428,Product!A:A,Product!C:C,"Bulunamadı")</f>
        <v>Political History</v>
      </c>
      <c r="G1428" s="2" t="str">
        <f t="array" ref="G1428">_xlfn.XLOOKUP(A1429,Product!A:A,Product!D:D,"Bulunamadı")</f>
        <v>Pioneer Ridge Books</v>
      </c>
      <c r="H1428" s="2">
        <f t="array" ref="H1428">_xlfn.XLOOKUP(A1430,Product!A:A,Product!E:E,"Bulunamadı")</f>
        <v>3.75</v>
      </c>
      <c r="I1428" s="2" t="str">
        <f t="shared" si="1"/>
        <v>109309 - Arts - Political History</v>
      </c>
      <c r="J1428" s="2">
        <f t="shared" si="2"/>
        <v>123.75</v>
      </c>
      <c r="K1428" s="17">
        <f t="shared" si="3"/>
        <v>1</v>
      </c>
      <c r="L1428" s="18"/>
    </row>
    <row r="1429">
      <c r="A1429" s="2">
        <f>IFERROR(__xludf.DUMMYFUNCTION("""COMPUTED_VALUE"""),76656.0)</f>
        <v>76656</v>
      </c>
      <c r="B1429" s="2">
        <f>IFERROR(__xludf.DUMMYFUNCTION("""COMPUTED_VALUE"""),0.0)</f>
        <v>0</v>
      </c>
      <c r="C1429" s="2">
        <f>IFERROR(__xludf.DUMMYFUNCTION("""COMPUTED_VALUE"""),534.0)</f>
        <v>534</v>
      </c>
      <c r="D1429" s="3">
        <f>IFERROR(__xludf.DUMMYFUNCTION("""COMPUTED_VALUE"""),74.0)</f>
        <v>74</v>
      </c>
      <c r="E1429" s="1" t="str">
        <f t="array" ref="E1429">_xlfn.XLOOKUP(A1429,Product!A:A,Product!B:B,"Bulunamadı")</f>
        <v>Arts</v>
      </c>
      <c r="F1429" s="1" t="str">
        <f t="array" ref="F1429">_xlfn.XLOOKUP(A1429,Product!A:A,Product!C:C,"Bulunamadı")</f>
        <v>Political History</v>
      </c>
      <c r="G1429" s="2" t="str">
        <f t="array" ref="G1429">_xlfn.XLOOKUP(A1430,Product!A:A,Product!D:D,"Bulunamadı")</f>
        <v>Pioneer Ridge Books</v>
      </c>
      <c r="H1429" s="2">
        <f t="array" ref="H1429">_xlfn.XLOOKUP(A1431,Product!A:A,Product!E:E,"Bulunamadı")</f>
        <v>6.22</v>
      </c>
      <c r="I1429" s="2" t="str">
        <f t="shared" si="1"/>
        <v>76656 - Arts - Political History</v>
      </c>
      <c r="J1429" s="2">
        <f t="shared" si="2"/>
        <v>460.28</v>
      </c>
      <c r="K1429" s="17">
        <f t="shared" si="3"/>
        <v>1</v>
      </c>
      <c r="L1429" s="18"/>
    </row>
    <row r="1430">
      <c r="A1430" s="2">
        <f>IFERROR(__xludf.DUMMYFUNCTION("""COMPUTED_VALUE"""),80305.0)</f>
        <v>80305</v>
      </c>
      <c r="B1430" s="2">
        <f>IFERROR(__xludf.DUMMYFUNCTION("""COMPUTED_VALUE"""),0.0)</f>
        <v>0</v>
      </c>
      <c r="C1430" s="2">
        <f>IFERROR(__xludf.DUMMYFUNCTION("""COMPUTED_VALUE"""),149.0)</f>
        <v>149</v>
      </c>
      <c r="D1430" s="3">
        <f>IFERROR(__xludf.DUMMYFUNCTION("""COMPUTED_VALUE"""),83.0)</f>
        <v>83</v>
      </c>
      <c r="E1430" s="1" t="str">
        <f t="array" ref="E1430">_xlfn.XLOOKUP(A1430,Product!A:A,Product!B:B,"Bulunamadı")</f>
        <v>Arts</v>
      </c>
      <c r="F1430" s="1" t="str">
        <f t="array" ref="F1430">_xlfn.XLOOKUP(A1430,Product!A:A,Product!C:C,"Bulunamadı")</f>
        <v>Political History</v>
      </c>
      <c r="G1430" s="2" t="str">
        <f t="array" ref="G1430">_xlfn.XLOOKUP(A1431,Product!A:A,Product!D:D,"Bulunamadı")</f>
        <v>Pioneer Ridge Books</v>
      </c>
      <c r="H1430" s="2">
        <f t="array" ref="H1430">_xlfn.XLOOKUP(A1432,Product!A:A,Product!E:E,"Bulunamadı")</f>
        <v>17.31</v>
      </c>
      <c r="I1430" s="2" t="str">
        <f t="shared" si="1"/>
        <v>80305 - Arts - Political History</v>
      </c>
      <c r="J1430" s="2">
        <f t="shared" si="2"/>
        <v>1436.73</v>
      </c>
      <c r="K1430" s="17">
        <f t="shared" si="3"/>
        <v>1</v>
      </c>
      <c r="L1430" s="18"/>
    </row>
    <row r="1431">
      <c r="A1431" s="2">
        <f>IFERROR(__xludf.DUMMYFUNCTION("""COMPUTED_VALUE"""),78506.0)</f>
        <v>78506</v>
      </c>
      <c r="B1431" s="2">
        <f>IFERROR(__xludf.DUMMYFUNCTION("""COMPUTED_VALUE"""),1.0)</f>
        <v>1</v>
      </c>
      <c r="C1431" s="2">
        <f>IFERROR(__xludf.DUMMYFUNCTION("""COMPUTED_VALUE"""),190.0)</f>
        <v>190</v>
      </c>
      <c r="D1431" s="3">
        <f>IFERROR(__xludf.DUMMYFUNCTION("""COMPUTED_VALUE"""),141.0)</f>
        <v>141</v>
      </c>
      <c r="E1431" s="1" t="str">
        <f t="array" ref="E1431">_xlfn.XLOOKUP(A1431,Product!A:A,Product!B:B,"Bulunamadı")</f>
        <v>Arts</v>
      </c>
      <c r="F1431" s="1" t="str">
        <f t="array" ref="F1431">_xlfn.XLOOKUP(A1431,Product!A:A,Product!C:C,"Bulunamadı")</f>
        <v>Political History</v>
      </c>
      <c r="G1431" s="2" t="str">
        <f t="array" ref="G1431">_xlfn.XLOOKUP(A1432,Product!A:A,Product!D:D,"Bulunamadı")</f>
        <v>Pioneer Ridge Books</v>
      </c>
      <c r="H1431" s="2">
        <f t="array" ref="H1431">_xlfn.XLOOKUP(A1433,Product!A:A,Product!E:E,"Bulunamadı")</f>
        <v>3.82</v>
      </c>
      <c r="I1431" s="2" t="str">
        <f t="shared" si="1"/>
        <v>78506 - Arts - Political History</v>
      </c>
      <c r="J1431" s="2">
        <f t="shared" si="2"/>
        <v>538.62</v>
      </c>
      <c r="K1431" s="17">
        <f t="shared" si="3"/>
        <v>1</v>
      </c>
      <c r="L1431" s="18"/>
    </row>
    <row r="1432">
      <c r="A1432" s="2">
        <f>IFERROR(__xludf.DUMMYFUNCTION("""COMPUTED_VALUE"""),82133.0)</f>
        <v>82133</v>
      </c>
      <c r="B1432" s="2">
        <f>IFERROR(__xludf.DUMMYFUNCTION("""COMPUTED_VALUE"""),1.0)</f>
        <v>1</v>
      </c>
      <c r="C1432" s="2">
        <f>IFERROR(__xludf.DUMMYFUNCTION("""COMPUTED_VALUE"""),741.0)</f>
        <v>741</v>
      </c>
      <c r="D1432" s="3">
        <f>IFERROR(__xludf.DUMMYFUNCTION("""COMPUTED_VALUE"""),669.0)</f>
        <v>669</v>
      </c>
      <c r="E1432" s="1" t="str">
        <f t="array" ref="E1432">_xlfn.XLOOKUP(A1432,Product!A:A,Product!B:B,"Bulunamadı")</f>
        <v>Arts</v>
      </c>
      <c r="F1432" s="1" t="str">
        <f t="array" ref="F1432">_xlfn.XLOOKUP(A1432,Product!A:A,Product!C:C,"Bulunamadı")</f>
        <v>Political History</v>
      </c>
      <c r="G1432" s="2" t="str">
        <f t="array" ref="G1432">_xlfn.XLOOKUP(A1433,Product!A:A,Product!D:D,"Bulunamadı")</f>
        <v>Pioneer Ridge Books</v>
      </c>
      <c r="H1432" s="2">
        <f t="array" ref="H1432">_xlfn.XLOOKUP(A1434,Product!A:A,Product!E:E,"Bulunamadı")</f>
        <v>4.59</v>
      </c>
      <c r="I1432" s="2" t="str">
        <f t="shared" si="1"/>
        <v>82133 - Arts - Political History</v>
      </c>
      <c r="J1432" s="2">
        <f t="shared" si="2"/>
        <v>3070.71</v>
      </c>
      <c r="K1432" s="17">
        <f t="shared" si="3"/>
        <v>1</v>
      </c>
      <c r="L1432" s="18"/>
    </row>
    <row r="1433">
      <c r="A1433" s="2">
        <f>IFERROR(__xludf.DUMMYFUNCTION("""COMPUTED_VALUE"""),188805.0)</f>
        <v>188805</v>
      </c>
      <c r="B1433" s="2">
        <f>IFERROR(__xludf.DUMMYFUNCTION("""COMPUTED_VALUE"""),0.0)</f>
        <v>0</v>
      </c>
      <c r="C1433" s="2">
        <f>IFERROR(__xludf.DUMMYFUNCTION("""COMPUTED_VALUE"""),241.0)</f>
        <v>241</v>
      </c>
      <c r="D1433" s="3">
        <f>IFERROR(__xludf.DUMMYFUNCTION("""COMPUTED_VALUE"""),160.0)</f>
        <v>160</v>
      </c>
      <c r="E1433" s="1" t="str">
        <f t="array" ref="E1433">_xlfn.XLOOKUP(A1433,Product!A:A,Product!B:B,"Bulunamadı")</f>
        <v>Arts</v>
      </c>
      <c r="F1433" s="1" t="str">
        <f t="array" ref="F1433">_xlfn.XLOOKUP(A1433,Product!A:A,Product!C:C,"Bulunamadı")</f>
        <v>Political History</v>
      </c>
      <c r="G1433" s="2" t="str">
        <f t="array" ref="G1433">_xlfn.XLOOKUP(A1434,Product!A:A,Product!D:D,"Bulunamadı")</f>
        <v>Pioneer Ridge Books</v>
      </c>
      <c r="H1433" s="2">
        <f t="array" ref="H1433">_xlfn.XLOOKUP(A1435,Product!A:A,Product!E:E,"Bulunamadı")</f>
        <v>4.22</v>
      </c>
      <c r="I1433" s="2" t="str">
        <f t="shared" si="1"/>
        <v>188805 - Arts - Political History</v>
      </c>
      <c r="J1433" s="2">
        <f t="shared" si="2"/>
        <v>675.2</v>
      </c>
      <c r="K1433" s="17">
        <f t="shared" si="3"/>
        <v>1</v>
      </c>
      <c r="L1433" s="18"/>
    </row>
    <row r="1434">
      <c r="A1434" s="2">
        <f>IFERROR(__xludf.DUMMYFUNCTION("""COMPUTED_VALUE"""),78481.0)</f>
        <v>78481</v>
      </c>
      <c r="B1434" s="2">
        <f>IFERROR(__xludf.DUMMYFUNCTION("""COMPUTED_VALUE"""),0.0)</f>
        <v>0</v>
      </c>
      <c r="C1434" s="2">
        <f>IFERROR(__xludf.DUMMYFUNCTION("""COMPUTED_VALUE"""),891.0)</f>
        <v>891</v>
      </c>
      <c r="D1434" s="3">
        <f>IFERROR(__xludf.DUMMYFUNCTION("""COMPUTED_VALUE"""),200.0)</f>
        <v>200</v>
      </c>
      <c r="E1434" s="1" t="str">
        <f t="array" ref="E1434">_xlfn.XLOOKUP(A1434,Product!A:A,Product!B:B,"Bulunamadı")</f>
        <v>Arts</v>
      </c>
      <c r="F1434" s="1" t="str">
        <f t="array" ref="F1434">_xlfn.XLOOKUP(A1434,Product!A:A,Product!C:C,"Bulunamadı")</f>
        <v>Political History</v>
      </c>
      <c r="G1434" s="2" t="str">
        <f t="array" ref="G1434">_xlfn.XLOOKUP(A1435,Product!A:A,Product!D:D,"Bulunamadı")</f>
        <v>Pioneer Ridge Books</v>
      </c>
      <c r="H1434" s="2">
        <f t="array" ref="H1434">_xlfn.XLOOKUP(A1436,Product!A:A,Product!E:E,"Bulunamadı")</f>
        <v>22.95</v>
      </c>
      <c r="I1434" s="2" t="str">
        <f t="shared" si="1"/>
        <v>78481 - Arts - Political History</v>
      </c>
      <c r="J1434" s="2">
        <f t="shared" si="2"/>
        <v>4590</v>
      </c>
      <c r="K1434" s="17">
        <f t="shared" si="3"/>
        <v>1</v>
      </c>
      <c r="L1434" s="18"/>
    </row>
    <row r="1435">
      <c r="A1435" s="2">
        <f>IFERROR(__xludf.DUMMYFUNCTION("""COMPUTED_VALUE"""),109310.0)</f>
        <v>109310</v>
      </c>
      <c r="B1435" s="2">
        <f>IFERROR(__xludf.DUMMYFUNCTION("""COMPUTED_VALUE"""),1.0)</f>
        <v>1</v>
      </c>
      <c r="C1435" s="2">
        <f>IFERROR(__xludf.DUMMYFUNCTION("""COMPUTED_VALUE"""),833.0)</f>
        <v>833</v>
      </c>
      <c r="D1435" s="3">
        <f>IFERROR(__xludf.DUMMYFUNCTION("""COMPUTED_VALUE"""),790.0)</f>
        <v>790</v>
      </c>
      <c r="E1435" s="1" t="str">
        <f t="array" ref="E1435">_xlfn.XLOOKUP(A1435,Product!A:A,Product!B:B,"Bulunamadı")</f>
        <v>Arts</v>
      </c>
      <c r="F1435" s="1" t="str">
        <f t="array" ref="F1435">_xlfn.XLOOKUP(A1435,Product!A:A,Product!C:C,"Bulunamadı")</f>
        <v>Political History</v>
      </c>
      <c r="G1435" s="2" t="str">
        <f t="array" ref="G1435">_xlfn.XLOOKUP(A1436,Product!A:A,Product!D:D,"Bulunamadı")</f>
        <v>Pioneer Ridge Books</v>
      </c>
      <c r="H1435" s="2">
        <f t="array" ref="H1435">_xlfn.XLOOKUP(A1437,Product!A:A,Product!E:E,"Bulunamadı")</f>
        <v>4.17</v>
      </c>
      <c r="I1435" s="2" t="str">
        <f t="shared" si="1"/>
        <v>109310 - Arts - Political History</v>
      </c>
      <c r="J1435" s="2">
        <f t="shared" si="2"/>
        <v>3294.3</v>
      </c>
      <c r="K1435" s="17">
        <f t="shared" si="3"/>
        <v>1</v>
      </c>
      <c r="L1435" s="18"/>
    </row>
    <row r="1436">
      <c r="A1436" s="2">
        <f>IFERROR(__xludf.DUMMYFUNCTION("""COMPUTED_VALUE"""),120689.0)</f>
        <v>120689</v>
      </c>
      <c r="B1436" s="2">
        <f>IFERROR(__xludf.DUMMYFUNCTION("""COMPUTED_VALUE"""),0.0)</f>
        <v>0</v>
      </c>
      <c r="C1436" s="2">
        <f>IFERROR(__xludf.DUMMYFUNCTION("""COMPUTED_VALUE"""),669.0)</f>
        <v>669</v>
      </c>
      <c r="D1436" s="3">
        <f>IFERROR(__xludf.DUMMYFUNCTION("""COMPUTED_VALUE"""),627.0)</f>
        <v>627</v>
      </c>
      <c r="E1436" s="1" t="str">
        <f t="array" ref="E1436">_xlfn.XLOOKUP(A1436,Product!A:A,Product!B:B,"Bulunamadı")</f>
        <v>Arts</v>
      </c>
      <c r="F1436" s="1" t="str">
        <f t="array" ref="F1436">_xlfn.XLOOKUP(A1436,Product!A:A,Product!C:C,"Bulunamadı")</f>
        <v>Political History</v>
      </c>
      <c r="G1436" s="2" t="str">
        <f t="array" ref="G1436">_xlfn.XLOOKUP(A1437,Product!A:A,Product!D:D,"Bulunamadı")</f>
        <v>Pioneer Ridge Books</v>
      </c>
      <c r="H1436" s="2">
        <f t="array" ref="H1436">_xlfn.XLOOKUP(A1438,Product!A:A,Product!E:E,"Bulunamadı")</f>
        <v>4.59</v>
      </c>
      <c r="I1436" s="2" t="str">
        <f t="shared" si="1"/>
        <v>120689 - Arts - Political History</v>
      </c>
      <c r="J1436" s="2">
        <f t="shared" si="2"/>
        <v>2877.93</v>
      </c>
      <c r="K1436" s="17">
        <f t="shared" si="3"/>
        <v>1</v>
      </c>
      <c r="L1436" s="18"/>
    </row>
    <row r="1437">
      <c r="A1437" s="2">
        <f>IFERROR(__xludf.DUMMYFUNCTION("""COMPUTED_VALUE"""),10540.0)</f>
        <v>10540</v>
      </c>
      <c r="B1437" s="2">
        <f>IFERROR(__xludf.DUMMYFUNCTION("""COMPUTED_VALUE"""),1.0)</f>
        <v>1</v>
      </c>
      <c r="C1437" s="2">
        <f>IFERROR(__xludf.DUMMYFUNCTION("""COMPUTED_VALUE"""),170.0)</f>
        <v>170</v>
      </c>
      <c r="D1437" s="3">
        <f>IFERROR(__xludf.DUMMYFUNCTION("""COMPUTED_VALUE"""),25.0)</f>
        <v>25</v>
      </c>
      <c r="E1437" s="1" t="str">
        <f t="array" ref="E1437">_xlfn.XLOOKUP(A1437,Product!A:A,Product!B:B,"Bulunamadı")</f>
        <v>Arts</v>
      </c>
      <c r="F1437" s="1" t="str">
        <f t="array" ref="F1437">_xlfn.XLOOKUP(A1437,Product!A:A,Product!C:C,"Bulunamadı")</f>
        <v>Political History</v>
      </c>
      <c r="G1437" s="2" t="str">
        <f t="array" ref="G1437">_xlfn.XLOOKUP(A1438,Product!A:A,Product!D:D,"Bulunamadı")</f>
        <v>Pioneer Ridge Books</v>
      </c>
      <c r="H1437" s="2">
        <f t="array" ref="H1437">_xlfn.XLOOKUP(A1439,Product!A:A,Product!E:E,"Bulunamadı")</f>
        <v>29.92</v>
      </c>
      <c r="I1437" s="2" t="str">
        <f t="shared" si="1"/>
        <v>10540 - Arts - Political History</v>
      </c>
      <c r="J1437" s="2">
        <f t="shared" si="2"/>
        <v>748</v>
      </c>
      <c r="K1437" s="17">
        <f t="shared" si="3"/>
        <v>1</v>
      </c>
      <c r="L1437" s="18"/>
    </row>
    <row r="1438">
      <c r="A1438" s="2">
        <f>IFERROR(__xludf.DUMMYFUNCTION("""COMPUTED_VALUE"""),44727.0)</f>
        <v>44727</v>
      </c>
      <c r="B1438" s="2">
        <f>IFERROR(__xludf.DUMMYFUNCTION("""COMPUTED_VALUE"""),0.0)</f>
        <v>0</v>
      </c>
      <c r="C1438" s="2">
        <f>IFERROR(__xludf.DUMMYFUNCTION("""COMPUTED_VALUE"""),315.0)</f>
        <v>315</v>
      </c>
      <c r="D1438" s="3">
        <f>IFERROR(__xludf.DUMMYFUNCTION("""COMPUTED_VALUE"""),178.0)</f>
        <v>178</v>
      </c>
      <c r="E1438" s="1" t="str">
        <f t="array" ref="E1438">_xlfn.XLOOKUP(A1438,Product!A:A,Product!B:B,"Bulunamadı")</f>
        <v>Arts</v>
      </c>
      <c r="F1438" s="1" t="str">
        <f t="array" ref="F1438">_xlfn.XLOOKUP(A1438,Product!A:A,Product!C:C,"Bulunamadı")</f>
        <v>Political History</v>
      </c>
      <c r="G1438" s="2" t="str">
        <f t="array" ref="G1438">_xlfn.XLOOKUP(A1439,Product!A:A,Product!D:D,"Bulunamadı")</f>
        <v>Pioneer Ridge Books</v>
      </c>
      <c r="H1438" s="2">
        <f t="array" ref="H1438">_xlfn.XLOOKUP(A1440,Product!A:A,Product!E:E,"Bulunamadı")</f>
        <v>1.06</v>
      </c>
      <c r="I1438" s="2" t="str">
        <f t="shared" si="1"/>
        <v>44727 - Arts - Political History</v>
      </c>
      <c r="J1438" s="2">
        <f t="shared" si="2"/>
        <v>188.68</v>
      </c>
      <c r="K1438" s="17">
        <f t="shared" si="3"/>
        <v>1</v>
      </c>
      <c r="L1438" s="18"/>
    </row>
    <row r="1439">
      <c r="A1439" s="2">
        <f>IFERROR(__xludf.DUMMYFUNCTION("""COMPUTED_VALUE"""),73190.0)</f>
        <v>73190</v>
      </c>
      <c r="B1439" s="2">
        <f>IFERROR(__xludf.DUMMYFUNCTION("""COMPUTED_VALUE"""),0.0)</f>
        <v>0</v>
      </c>
      <c r="C1439" s="2">
        <f>IFERROR(__xludf.DUMMYFUNCTION("""COMPUTED_VALUE"""),765.0)</f>
        <v>765</v>
      </c>
      <c r="D1439" s="3">
        <f>IFERROR(__xludf.DUMMYFUNCTION("""COMPUTED_VALUE"""),45.0)</f>
        <v>45</v>
      </c>
      <c r="E1439" s="1" t="str">
        <f t="array" ref="E1439">_xlfn.XLOOKUP(A1439,Product!A:A,Product!B:B,"Bulunamadı")</f>
        <v>Arts</v>
      </c>
      <c r="F1439" s="1" t="str">
        <f t="array" ref="F1439">_xlfn.XLOOKUP(A1439,Product!A:A,Product!C:C,"Bulunamadı")</f>
        <v>Political History</v>
      </c>
      <c r="G1439" s="2" t="str">
        <f t="array" ref="G1439">_xlfn.XLOOKUP(A1440,Product!A:A,Product!D:D,"Bulunamadı")</f>
        <v>Pioneer Ridge Books</v>
      </c>
      <c r="H1439" s="2">
        <f t="array" ref="H1439">_xlfn.XLOOKUP(A1441,Product!A:A,Product!E:E,"Bulunamadı")</f>
        <v>15.02</v>
      </c>
      <c r="I1439" s="2" t="str">
        <f t="shared" si="1"/>
        <v>73190 - Arts - Political History</v>
      </c>
      <c r="J1439" s="2">
        <f t="shared" si="2"/>
        <v>675.9</v>
      </c>
      <c r="K1439" s="17">
        <f t="shared" si="3"/>
        <v>1</v>
      </c>
      <c r="L1439" s="18"/>
    </row>
    <row r="1440">
      <c r="A1440" s="2">
        <f>IFERROR(__xludf.DUMMYFUNCTION("""COMPUTED_VALUE"""),112169.0)</f>
        <v>112169</v>
      </c>
      <c r="B1440" s="2">
        <f>IFERROR(__xludf.DUMMYFUNCTION("""COMPUTED_VALUE"""),0.0)</f>
        <v>0</v>
      </c>
      <c r="C1440" s="2">
        <f>IFERROR(__xludf.DUMMYFUNCTION("""COMPUTED_VALUE"""),24.0)</f>
        <v>24</v>
      </c>
      <c r="D1440" s="3">
        <f>IFERROR(__xludf.DUMMYFUNCTION("""COMPUTED_VALUE"""),6.0)</f>
        <v>6</v>
      </c>
      <c r="E1440" s="1" t="str">
        <f t="array" ref="E1440">_xlfn.XLOOKUP(A1440,Product!A:A,Product!B:B,"Bulunamadı")</f>
        <v>Arts</v>
      </c>
      <c r="F1440" s="1" t="str">
        <f t="array" ref="F1440">_xlfn.XLOOKUP(A1440,Product!A:A,Product!C:C,"Bulunamadı")</f>
        <v>Political History</v>
      </c>
      <c r="G1440" s="2" t="str">
        <f t="array" ref="G1440">_xlfn.XLOOKUP(A1441,Product!A:A,Product!D:D,"Bulunamadı")</f>
        <v>Pioneer Ridge Books</v>
      </c>
      <c r="H1440" s="2">
        <f t="array" ref="H1440">_xlfn.XLOOKUP(A1442,Product!A:A,Product!E:E,"Bulunamadı")</f>
        <v>6.13</v>
      </c>
      <c r="I1440" s="2" t="str">
        <f t="shared" si="1"/>
        <v>112169 - Arts - Political History</v>
      </c>
      <c r="J1440" s="2">
        <f t="shared" si="2"/>
        <v>36.78</v>
      </c>
      <c r="K1440" s="17">
        <f t="shared" si="3"/>
        <v>1</v>
      </c>
      <c r="L1440" s="18"/>
    </row>
    <row r="1441">
      <c r="A1441" s="2">
        <f>IFERROR(__xludf.DUMMYFUNCTION("""COMPUTED_VALUE"""),120695.0)</f>
        <v>120695</v>
      </c>
      <c r="B1441" s="2">
        <f>IFERROR(__xludf.DUMMYFUNCTION("""COMPUTED_VALUE"""),1.0)</f>
        <v>1</v>
      </c>
      <c r="C1441" s="2">
        <f>IFERROR(__xludf.DUMMYFUNCTION("""COMPUTED_VALUE"""),495.0)</f>
        <v>495</v>
      </c>
      <c r="D1441" s="3">
        <f>IFERROR(__xludf.DUMMYFUNCTION("""COMPUTED_VALUE"""),257.0)</f>
        <v>257</v>
      </c>
      <c r="E1441" s="1" t="str">
        <f t="array" ref="E1441">_xlfn.XLOOKUP(A1441,Product!A:A,Product!B:B,"Bulunamadı")</f>
        <v>Arts</v>
      </c>
      <c r="F1441" s="1" t="str">
        <f t="array" ref="F1441">_xlfn.XLOOKUP(A1441,Product!A:A,Product!C:C,"Bulunamadı")</f>
        <v>Political History</v>
      </c>
      <c r="G1441" s="2" t="str">
        <f t="array" ref="G1441">_xlfn.XLOOKUP(A1442,Product!A:A,Product!D:D,"Bulunamadı")</f>
        <v>Pioneer Ridge Books</v>
      </c>
      <c r="H1441" s="2">
        <f t="array" ref="H1441">_xlfn.XLOOKUP(A1443,Product!A:A,Product!E:E,"Bulunamadı")</f>
        <v>4.91</v>
      </c>
      <c r="I1441" s="2" t="str">
        <f t="shared" si="1"/>
        <v>120695 - Arts - Political History</v>
      </c>
      <c r="J1441" s="2">
        <f t="shared" si="2"/>
        <v>1261.87</v>
      </c>
      <c r="K1441" s="17">
        <f t="shared" si="3"/>
        <v>1</v>
      </c>
      <c r="L1441" s="18"/>
    </row>
    <row r="1442">
      <c r="A1442" s="2">
        <f>IFERROR(__xludf.DUMMYFUNCTION("""COMPUTED_VALUE"""),80270.0)</f>
        <v>80270</v>
      </c>
      <c r="B1442" s="2">
        <f>IFERROR(__xludf.DUMMYFUNCTION("""COMPUTED_VALUE"""),0.0)</f>
        <v>0</v>
      </c>
      <c r="C1442" s="2">
        <f>IFERROR(__xludf.DUMMYFUNCTION("""COMPUTED_VALUE"""),421.0)</f>
        <v>421</v>
      </c>
      <c r="D1442" s="3">
        <f>IFERROR(__xludf.DUMMYFUNCTION("""COMPUTED_VALUE"""),10.0)</f>
        <v>10</v>
      </c>
      <c r="E1442" s="1" t="str">
        <f t="array" ref="E1442">_xlfn.XLOOKUP(A1442,Product!A:A,Product!B:B,"Bulunamadı")</f>
        <v>Arts</v>
      </c>
      <c r="F1442" s="1" t="str">
        <f t="array" ref="F1442">_xlfn.XLOOKUP(A1442,Product!A:A,Product!C:C,"Bulunamadı")</f>
        <v>Political History</v>
      </c>
      <c r="G1442" s="2" t="str">
        <f t="array" ref="G1442">_xlfn.XLOOKUP(A1443,Product!A:A,Product!D:D,"Bulunamadı")</f>
        <v>Pioneer Ridge Books</v>
      </c>
      <c r="H1442" s="2">
        <f t="array" ref="H1442">_xlfn.XLOOKUP(A1444,Product!A:A,Product!E:E,"Bulunamadı")</f>
        <v>4.9</v>
      </c>
      <c r="I1442" s="2" t="str">
        <f t="shared" si="1"/>
        <v>80270 - Arts - Political History</v>
      </c>
      <c r="J1442" s="2">
        <f t="shared" si="2"/>
        <v>49</v>
      </c>
      <c r="K1442" s="17">
        <f t="shared" si="3"/>
        <v>1</v>
      </c>
      <c r="L1442" s="18"/>
    </row>
    <row r="1443">
      <c r="A1443" s="2">
        <f>IFERROR(__xludf.DUMMYFUNCTION("""COMPUTED_VALUE"""),5795.0)</f>
        <v>5795</v>
      </c>
      <c r="B1443" s="2">
        <f>IFERROR(__xludf.DUMMYFUNCTION("""COMPUTED_VALUE"""),1.0)</f>
        <v>1</v>
      </c>
      <c r="C1443" s="2">
        <f>IFERROR(__xludf.DUMMYFUNCTION("""COMPUTED_VALUE"""),698.0)</f>
        <v>698</v>
      </c>
      <c r="D1443" s="3">
        <f>IFERROR(__xludf.DUMMYFUNCTION("""COMPUTED_VALUE"""),550.0)</f>
        <v>550</v>
      </c>
      <c r="E1443" s="1" t="str">
        <f t="array" ref="E1443">_xlfn.XLOOKUP(A1443,Product!A:A,Product!B:B,"Bulunamadı")</f>
        <v>Arts</v>
      </c>
      <c r="F1443" s="1" t="str">
        <f t="array" ref="F1443">_xlfn.XLOOKUP(A1443,Product!A:A,Product!C:C,"Bulunamadı")</f>
        <v>Political History</v>
      </c>
      <c r="G1443" s="2" t="str">
        <f t="array" ref="G1443">_xlfn.XLOOKUP(A1444,Product!A:A,Product!D:D,"Bulunamadı")</f>
        <v>Pioneer Ridge Books</v>
      </c>
      <c r="H1443" s="2">
        <f t="array" ref="H1443">_xlfn.XLOOKUP(A1445,Product!A:A,Product!E:E,"Bulunamadı")</f>
        <v>10.34</v>
      </c>
      <c r="I1443" s="2" t="str">
        <f t="shared" si="1"/>
        <v>5795 - Arts - Political History</v>
      </c>
      <c r="J1443" s="2">
        <f t="shared" si="2"/>
        <v>5687</v>
      </c>
      <c r="K1443" s="17">
        <f t="shared" si="3"/>
        <v>1</v>
      </c>
      <c r="L1443" s="18"/>
    </row>
    <row r="1444">
      <c r="A1444" s="2">
        <f>IFERROR(__xludf.DUMMYFUNCTION("""COMPUTED_VALUE"""),107316.0)</f>
        <v>107316</v>
      </c>
      <c r="B1444" s="2">
        <f>IFERROR(__xludf.DUMMYFUNCTION("""COMPUTED_VALUE"""),1.0)</f>
        <v>1</v>
      </c>
      <c r="C1444" s="2">
        <f>IFERROR(__xludf.DUMMYFUNCTION("""COMPUTED_VALUE"""),854.0)</f>
        <v>854</v>
      </c>
      <c r="D1444" s="3">
        <f>IFERROR(__xludf.DUMMYFUNCTION("""COMPUTED_VALUE"""),310.0)</f>
        <v>310</v>
      </c>
      <c r="E1444" s="1" t="str">
        <f t="array" ref="E1444">_xlfn.XLOOKUP(A1444,Product!A:A,Product!B:B,"Bulunamadı")</f>
        <v>Arts</v>
      </c>
      <c r="F1444" s="1" t="str">
        <f t="array" ref="F1444">_xlfn.XLOOKUP(A1444,Product!A:A,Product!C:C,"Bulunamadı")</f>
        <v>Political History</v>
      </c>
      <c r="G1444" s="2" t="str">
        <f t="array" ref="G1444">_xlfn.XLOOKUP(A1445,Product!A:A,Product!D:D,"Bulunamadı")</f>
        <v>Pioneer Ridge Books</v>
      </c>
      <c r="H1444" s="2">
        <f t="array" ref="H1444">_xlfn.XLOOKUP(A1446,Product!A:A,Product!E:E,"Bulunamadı")</f>
        <v>3.57</v>
      </c>
      <c r="I1444" s="2" t="str">
        <f t="shared" si="1"/>
        <v>107316 - Arts - Political History</v>
      </c>
      <c r="J1444" s="2">
        <f t="shared" si="2"/>
        <v>1106.7</v>
      </c>
      <c r="K1444" s="17">
        <f t="shared" si="3"/>
        <v>1</v>
      </c>
      <c r="L1444" s="18"/>
    </row>
    <row r="1445">
      <c r="A1445" s="2">
        <f>IFERROR(__xludf.DUMMYFUNCTION("""COMPUTED_VALUE"""),78482.0)</f>
        <v>78482</v>
      </c>
      <c r="B1445" s="2">
        <f>IFERROR(__xludf.DUMMYFUNCTION("""COMPUTED_VALUE"""),1.0)</f>
        <v>1</v>
      </c>
      <c r="C1445" s="2">
        <f>IFERROR(__xludf.DUMMYFUNCTION("""COMPUTED_VALUE"""),180.0)</f>
        <v>180</v>
      </c>
      <c r="D1445" s="3">
        <f>IFERROR(__xludf.DUMMYFUNCTION("""COMPUTED_VALUE"""),145.0)</f>
        <v>145</v>
      </c>
      <c r="E1445" s="1" t="str">
        <f t="array" ref="E1445">_xlfn.XLOOKUP(A1445,Product!A:A,Product!B:B,"Bulunamadı")</f>
        <v>Arts</v>
      </c>
      <c r="F1445" s="1" t="str">
        <f t="array" ref="F1445">_xlfn.XLOOKUP(A1445,Product!A:A,Product!C:C,"Bulunamadı")</f>
        <v>Political History</v>
      </c>
      <c r="G1445" s="2" t="str">
        <f t="array" ref="G1445">_xlfn.XLOOKUP(A1446,Product!A:A,Product!D:D,"Bulunamadı")</f>
        <v>Pioneer Ridge Books</v>
      </c>
      <c r="H1445" s="2">
        <f t="array" ref="H1445">_xlfn.XLOOKUP(A1447,Product!A:A,Product!E:E,"Bulunamadı")</f>
        <v>5.65</v>
      </c>
      <c r="I1445" s="2" t="str">
        <f t="shared" si="1"/>
        <v>78482 - Arts - Political History</v>
      </c>
      <c r="J1445" s="2">
        <f t="shared" si="2"/>
        <v>819.25</v>
      </c>
      <c r="K1445" s="17">
        <f t="shared" si="3"/>
        <v>1</v>
      </c>
      <c r="L1445" s="18"/>
    </row>
    <row r="1446">
      <c r="A1446" s="2">
        <f>IFERROR(__xludf.DUMMYFUNCTION("""COMPUTED_VALUE"""),158473.0)</f>
        <v>158473</v>
      </c>
      <c r="B1446" s="2">
        <f>IFERROR(__xludf.DUMMYFUNCTION("""COMPUTED_VALUE"""),0.0)</f>
        <v>0</v>
      </c>
      <c r="C1446" s="2">
        <f>IFERROR(__xludf.DUMMYFUNCTION("""COMPUTED_VALUE"""),261.0)</f>
        <v>261</v>
      </c>
      <c r="D1446" s="3">
        <f>IFERROR(__xludf.DUMMYFUNCTION("""COMPUTED_VALUE"""),106.0)</f>
        <v>106</v>
      </c>
      <c r="E1446" s="1" t="str">
        <f t="array" ref="E1446">_xlfn.XLOOKUP(A1446,Product!A:A,Product!B:B,"Bulunamadı")</f>
        <v>Arts</v>
      </c>
      <c r="F1446" s="1" t="str">
        <f t="array" ref="F1446">_xlfn.XLOOKUP(A1446,Product!A:A,Product!C:C,"Bulunamadı")</f>
        <v>Political History</v>
      </c>
      <c r="G1446" s="2" t="str">
        <f t="array" ref="G1446">_xlfn.XLOOKUP(A1447,Product!A:A,Product!D:D,"Bulunamadı")</f>
        <v>Pioneer Ridge Books</v>
      </c>
      <c r="H1446" s="2">
        <f t="array" ref="H1446">_xlfn.XLOOKUP(A1448,Product!A:A,Product!E:E,"Bulunamadı")</f>
        <v>8.22</v>
      </c>
      <c r="I1446" s="2" t="str">
        <f t="shared" si="1"/>
        <v>158473 - Arts - Political History</v>
      </c>
      <c r="J1446" s="2">
        <f t="shared" si="2"/>
        <v>871.32</v>
      </c>
      <c r="K1446" s="17">
        <f t="shared" si="3"/>
        <v>1</v>
      </c>
      <c r="L1446" s="18"/>
    </row>
    <row r="1447">
      <c r="A1447" s="2">
        <f>IFERROR(__xludf.DUMMYFUNCTION("""COMPUTED_VALUE"""),109308.0)</f>
        <v>109308</v>
      </c>
      <c r="B1447" s="2">
        <f>IFERROR(__xludf.DUMMYFUNCTION("""COMPUTED_VALUE"""),0.0)</f>
        <v>0</v>
      </c>
      <c r="C1447" s="2">
        <f>IFERROR(__xludf.DUMMYFUNCTION("""COMPUTED_VALUE"""),95.0)</f>
        <v>95</v>
      </c>
      <c r="D1447" s="3">
        <f>IFERROR(__xludf.DUMMYFUNCTION("""COMPUTED_VALUE"""),30.0)</f>
        <v>30</v>
      </c>
      <c r="E1447" s="1" t="str">
        <f t="array" ref="E1447">_xlfn.XLOOKUP(A1447,Product!A:A,Product!B:B,"Bulunamadı")</f>
        <v>Arts</v>
      </c>
      <c r="F1447" s="1" t="str">
        <f t="array" ref="F1447">_xlfn.XLOOKUP(A1447,Product!A:A,Product!C:C,"Bulunamadı")</f>
        <v>Political History</v>
      </c>
      <c r="G1447" s="2" t="str">
        <f t="array" ref="G1447">_xlfn.XLOOKUP(A1448,Product!A:A,Product!D:D,"Bulunamadı")</f>
        <v>Pioneer Ridge Books</v>
      </c>
      <c r="H1447" s="2">
        <f t="array" ref="H1447">_xlfn.XLOOKUP(A1449,Product!A:A,Product!E:E,"Bulunamadı")</f>
        <v>6.64</v>
      </c>
      <c r="I1447" s="2" t="str">
        <f t="shared" si="1"/>
        <v>109308 - Arts - Political History</v>
      </c>
      <c r="J1447" s="2">
        <f t="shared" si="2"/>
        <v>199.2</v>
      </c>
      <c r="K1447" s="17">
        <f t="shared" si="3"/>
        <v>1</v>
      </c>
      <c r="L1447" s="18"/>
    </row>
    <row r="1448">
      <c r="A1448" s="2">
        <f>IFERROR(__xludf.DUMMYFUNCTION("""COMPUTED_VALUE"""),78507.0)</f>
        <v>78507</v>
      </c>
      <c r="B1448" s="2">
        <f>IFERROR(__xludf.DUMMYFUNCTION("""COMPUTED_VALUE"""),1.0)</f>
        <v>1</v>
      </c>
      <c r="C1448" s="2">
        <f>IFERROR(__xludf.DUMMYFUNCTION("""COMPUTED_VALUE"""),264.0)</f>
        <v>264</v>
      </c>
      <c r="D1448" s="3">
        <f>IFERROR(__xludf.DUMMYFUNCTION("""COMPUTED_VALUE"""),206.0)</f>
        <v>206</v>
      </c>
      <c r="E1448" s="1" t="str">
        <f t="array" ref="E1448">_xlfn.XLOOKUP(A1448,Product!A:A,Product!B:B,"Bulunamadı")</f>
        <v>Arts</v>
      </c>
      <c r="F1448" s="1" t="str">
        <f t="array" ref="F1448">_xlfn.XLOOKUP(A1448,Product!A:A,Product!C:C,"Bulunamadı")</f>
        <v>Political History</v>
      </c>
      <c r="G1448" s="2" t="str">
        <f t="array" ref="G1448">_xlfn.XLOOKUP(A1449,Product!A:A,Product!D:D,"Bulunamadı")</f>
        <v>Pioneer Ridge Books</v>
      </c>
      <c r="H1448" s="2">
        <f t="array" ref="H1448">_xlfn.XLOOKUP(A1450,Product!A:A,Product!E:E,"Bulunamadı")</f>
        <v>2.55</v>
      </c>
      <c r="I1448" s="2" t="str">
        <f t="shared" si="1"/>
        <v>78507 - Arts - Political History</v>
      </c>
      <c r="J1448" s="2">
        <f t="shared" si="2"/>
        <v>525.3</v>
      </c>
      <c r="K1448" s="17">
        <f t="shared" si="3"/>
        <v>1</v>
      </c>
      <c r="L1448" s="18"/>
    </row>
    <row r="1449">
      <c r="A1449" s="2">
        <f>IFERROR(__xludf.DUMMYFUNCTION("""COMPUTED_VALUE"""),100827.0)</f>
        <v>100827</v>
      </c>
      <c r="B1449" s="2">
        <f>IFERROR(__xludf.DUMMYFUNCTION("""COMPUTED_VALUE"""),0.0)</f>
        <v>0</v>
      </c>
      <c r="C1449" s="2">
        <f>IFERROR(__xludf.DUMMYFUNCTION("""COMPUTED_VALUE"""),548.0)</f>
        <v>548</v>
      </c>
      <c r="D1449" s="3">
        <f>IFERROR(__xludf.DUMMYFUNCTION("""COMPUTED_VALUE"""),59.0)</f>
        <v>59</v>
      </c>
      <c r="E1449" s="1" t="str">
        <f t="array" ref="E1449">_xlfn.XLOOKUP(A1449,Product!A:A,Product!B:B,"Bulunamadı")</f>
        <v>Arts</v>
      </c>
      <c r="F1449" s="1" t="str">
        <f t="array" ref="F1449">_xlfn.XLOOKUP(A1449,Product!A:A,Product!C:C,"Bulunamadı")</f>
        <v>Political History</v>
      </c>
      <c r="G1449" s="2" t="str">
        <f t="array" ref="G1449">_xlfn.XLOOKUP(A1450,Product!A:A,Product!D:D,"Bulunamadı")</f>
        <v>Pioneer Ridge Books</v>
      </c>
      <c r="H1449" s="2">
        <f t="array" ref="H1449">_xlfn.XLOOKUP(A1451,Product!A:A,Product!E:E,"Bulunamadı")</f>
        <v>4.26</v>
      </c>
      <c r="I1449" s="2" t="str">
        <f t="shared" si="1"/>
        <v>100827 - Arts - Political History</v>
      </c>
      <c r="J1449" s="2">
        <f t="shared" si="2"/>
        <v>251.34</v>
      </c>
      <c r="K1449" s="17">
        <f t="shared" si="3"/>
        <v>1</v>
      </c>
      <c r="L1449" s="18"/>
    </row>
    <row r="1450">
      <c r="A1450" s="2">
        <f>IFERROR(__xludf.DUMMYFUNCTION("""COMPUTED_VALUE"""),102189.0)</f>
        <v>102189</v>
      </c>
      <c r="B1450" s="2">
        <f>IFERROR(__xludf.DUMMYFUNCTION("""COMPUTED_VALUE"""),0.0)</f>
        <v>0</v>
      </c>
      <c r="C1450" s="2">
        <f>IFERROR(__xludf.DUMMYFUNCTION("""COMPUTED_VALUE"""),504.0)</f>
        <v>504</v>
      </c>
      <c r="D1450" s="3">
        <f>IFERROR(__xludf.DUMMYFUNCTION("""COMPUTED_VALUE"""),187.0)</f>
        <v>187</v>
      </c>
      <c r="E1450" s="1" t="str">
        <f t="array" ref="E1450">_xlfn.XLOOKUP(A1450,Product!A:A,Product!B:B,"Bulunamadı")</f>
        <v>Arts</v>
      </c>
      <c r="F1450" s="1" t="str">
        <f t="array" ref="F1450">_xlfn.XLOOKUP(A1450,Product!A:A,Product!C:C,"Bulunamadı")</f>
        <v>Political History</v>
      </c>
      <c r="G1450" s="2" t="str">
        <f t="array" ref="G1450">_xlfn.XLOOKUP(A1451,Product!A:A,Product!D:D,"Bulunamadı")</f>
        <v>Pioneer Ridge Books</v>
      </c>
      <c r="H1450" s="2">
        <f t="array" ref="H1450">_xlfn.XLOOKUP(A1452,Product!A:A,Product!E:E,"Bulunamadı")</f>
        <v>2.43</v>
      </c>
      <c r="I1450" s="2" t="str">
        <f t="shared" si="1"/>
        <v>102189 - Arts - Political History</v>
      </c>
      <c r="J1450" s="2">
        <f t="shared" si="2"/>
        <v>454.41</v>
      </c>
      <c r="K1450" s="17">
        <f t="shared" si="3"/>
        <v>1</v>
      </c>
      <c r="L1450" s="18"/>
    </row>
    <row r="1451">
      <c r="A1451" s="2">
        <f>IFERROR(__xludf.DUMMYFUNCTION("""COMPUTED_VALUE"""),10522.0)</f>
        <v>10522</v>
      </c>
      <c r="B1451" s="2">
        <f>IFERROR(__xludf.DUMMYFUNCTION("""COMPUTED_VALUE"""),1.0)</f>
        <v>1</v>
      </c>
      <c r="C1451" s="2">
        <f>IFERROR(__xludf.DUMMYFUNCTION("""COMPUTED_VALUE"""),606.0)</f>
        <v>606</v>
      </c>
      <c r="D1451" s="3">
        <f>IFERROR(__xludf.DUMMYFUNCTION("""COMPUTED_VALUE"""),178.0)</f>
        <v>178</v>
      </c>
      <c r="E1451" s="1" t="str">
        <f t="array" ref="E1451">_xlfn.XLOOKUP(A1451,Product!A:A,Product!B:B,"Bulunamadı")</f>
        <v>Arts</v>
      </c>
      <c r="F1451" s="1" t="str">
        <f t="array" ref="F1451">_xlfn.XLOOKUP(A1451,Product!A:A,Product!C:C,"Bulunamadı")</f>
        <v>Political History</v>
      </c>
      <c r="G1451" s="2" t="str">
        <f t="array" ref="G1451">_xlfn.XLOOKUP(A1452,Product!A:A,Product!D:D,"Bulunamadı")</f>
        <v>Pioneer Ridge Books</v>
      </c>
      <c r="H1451" s="2">
        <f t="array" ref="H1451">_xlfn.XLOOKUP(A1453,Product!A:A,Product!E:E,"Bulunamadı")</f>
        <v>2.85</v>
      </c>
      <c r="I1451" s="2" t="str">
        <f t="shared" si="1"/>
        <v>10522 - Arts - Political History</v>
      </c>
      <c r="J1451" s="2">
        <f t="shared" si="2"/>
        <v>507.3</v>
      </c>
      <c r="K1451" s="17">
        <f t="shared" si="3"/>
        <v>1</v>
      </c>
      <c r="L1451" s="18"/>
    </row>
    <row r="1452">
      <c r="A1452" s="2">
        <f>IFERROR(__xludf.DUMMYFUNCTION("""COMPUTED_VALUE"""),78467.0)</f>
        <v>78467</v>
      </c>
      <c r="B1452" s="2">
        <f>IFERROR(__xludf.DUMMYFUNCTION("""COMPUTED_VALUE"""),1.0)</f>
        <v>1</v>
      </c>
      <c r="C1452" s="2">
        <f>IFERROR(__xludf.DUMMYFUNCTION("""COMPUTED_VALUE"""),544.0)</f>
        <v>544</v>
      </c>
      <c r="D1452" s="3">
        <f>IFERROR(__xludf.DUMMYFUNCTION("""COMPUTED_VALUE"""),266.0)</f>
        <v>266</v>
      </c>
      <c r="E1452" s="1" t="str">
        <f t="array" ref="E1452">_xlfn.XLOOKUP(A1452,Product!A:A,Product!B:B,"Bulunamadı")</f>
        <v>Arts</v>
      </c>
      <c r="F1452" s="1" t="str">
        <f t="array" ref="F1452">_xlfn.XLOOKUP(A1452,Product!A:A,Product!C:C,"Bulunamadı")</f>
        <v>Political History</v>
      </c>
      <c r="G1452" s="2" t="str">
        <f t="array" ref="G1452">_xlfn.XLOOKUP(A1453,Product!A:A,Product!D:D,"Bulunamadı")</f>
        <v>Pioneer Ridge Books</v>
      </c>
      <c r="H1452" s="2">
        <f t="array" ref="H1452">_xlfn.XLOOKUP(A1454,Product!A:A,Product!E:E,"Bulunamadı")</f>
        <v>1.11</v>
      </c>
      <c r="I1452" s="2" t="str">
        <f t="shared" si="1"/>
        <v>78467 - Arts - Political History</v>
      </c>
      <c r="J1452" s="2">
        <f t="shared" si="2"/>
        <v>295.26</v>
      </c>
      <c r="K1452" s="17">
        <f t="shared" si="3"/>
        <v>1</v>
      </c>
      <c r="L1452" s="18"/>
    </row>
    <row r="1453">
      <c r="A1453" s="2">
        <f>IFERROR(__xludf.DUMMYFUNCTION("""COMPUTED_VALUE"""),84367.0)</f>
        <v>84367</v>
      </c>
      <c r="B1453" s="2">
        <f>IFERROR(__xludf.DUMMYFUNCTION("""COMPUTED_VALUE"""),1.0)</f>
        <v>1</v>
      </c>
      <c r="C1453" s="2">
        <f>IFERROR(__xludf.DUMMYFUNCTION("""COMPUTED_VALUE"""),844.0)</f>
        <v>844</v>
      </c>
      <c r="D1453" s="3">
        <f>IFERROR(__xludf.DUMMYFUNCTION("""COMPUTED_VALUE"""),538.0)</f>
        <v>538</v>
      </c>
      <c r="E1453" s="1" t="str">
        <f t="array" ref="E1453">_xlfn.XLOOKUP(A1453,Product!A:A,Product!B:B,"Bulunamadı")</f>
        <v>Arts</v>
      </c>
      <c r="F1453" s="1" t="str">
        <f t="array" ref="F1453">_xlfn.XLOOKUP(A1453,Product!A:A,Product!C:C,"Bulunamadı")</f>
        <v>Political History</v>
      </c>
      <c r="G1453" s="2" t="str">
        <f t="array" ref="G1453">_xlfn.XLOOKUP(A1454,Product!A:A,Product!D:D,"Bulunamadı")</f>
        <v>Star Harbor Press</v>
      </c>
      <c r="H1453" s="2">
        <f t="array" ref="H1453">_xlfn.XLOOKUP(A1455,Product!A:A,Product!E:E,"Bulunamadı")</f>
        <v>1.91</v>
      </c>
      <c r="I1453" s="2" t="str">
        <f t="shared" si="1"/>
        <v>84367 - Arts - Political History</v>
      </c>
      <c r="J1453" s="2">
        <f t="shared" si="2"/>
        <v>1027.58</v>
      </c>
      <c r="K1453" s="17">
        <f t="shared" si="3"/>
        <v>1</v>
      </c>
      <c r="L1453" s="18"/>
    </row>
    <row r="1454">
      <c r="A1454" s="2">
        <f>IFERROR(__xludf.DUMMYFUNCTION("""COMPUTED_VALUE"""),87402.0)</f>
        <v>87402</v>
      </c>
      <c r="B1454" s="2">
        <f>IFERROR(__xludf.DUMMYFUNCTION("""COMPUTED_VALUE"""),0.0)</f>
        <v>0</v>
      </c>
      <c r="C1454" s="2">
        <f>IFERROR(__xludf.DUMMYFUNCTION("""COMPUTED_VALUE"""),177.0)</f>
        <v>177</v>
      </c>
      <c r="D1454" s="3">
        <f>IFERROR(__xludf.DUMMYFUNCTION("""COMPUTED_VALUE"""),95.0)</f>
        <v>95</v>
      </c>
      <c r="E1454" s="1" t="str">
        <f t="array" ref="E1454">_xlfn.XLOOKUP(A1454,Product!A:A,Product!B:B,"Bulunamadı")</f>
        <v>Arts</v>
      </c>
      <c r="F1454" s="1" t="str">
        <f t="array" ref="F1454">_xlfn.XLOOKUP(A1454,Product!A:A,Product!C:C,"Bulunamadı")</f>
        <v>Political History</v>
      </c>
      <c r="G1454" s="2" t="str">
        <f t="array" ref="G1454">_xlfn.XLOOKUP(A1455,Product!A:A,Product!D:D,"Bulunamadı")</f>
        <v>Star Harbor Press</v>
      </c>
      <c r="H1454" s="2">
        <f t="array" ref="H1454">_xlfn.XLOOKUP(A1456,Product!A:A,Product!E:E,"Bulunamadı")</f>
        <v>2.19</v>
      </c>
      <c r="I1454" s="2" t="str">
        <f t="shared" si="1"/>
        <v>87402 - Arts - Political History</v>
      </c>
      <c r="J1454" s="2">
        <f t="shared" si="2"/>
        <v>208.05</v>
      </c>
      <c r="K1454" s="17">
        <f t="shared" si="3"/>
        <v>1</v>
      </c>
      <c r="L1454" s="18"/>
    </row>
    <row r="1455">
      <c r="A1455" s="2">
        <f>IFERROR(__xludf.DUMMYFUNCTION("""COMPUTED_VALUE"""),44707.0)</f>
        <v>44707</v>
      </c>
      <c r="B1455" s="2">
        <f>IFERROR(__xludf.DUMMYFUNCTION("""COMPUTED_VALUE"""),0.0)</f>
        <v>0</v>
      </c>
      <c r="C1455" s="2">
        <f>IFERROR(__xludf.DUMMYFUNCTION("""COMPUTED_VALUE"""),802.0)</f>
        <v>802</v>
      </c>
      <c r="D1455" s="3">
        <f>IFERROR(__xludf.DUMMYFUNCTION("""COMPUTED_VALUE"""),174.0)</f>
        <v>174</v>
      </c>
      <c r="E1455" s="1" t="str">
        <f t="array" ref="E1455">_xlfn.XLOOKUP(A1455,Product!A:A,Product!B:B,"Bulunamadı")</f>
        <v>Arts</v>
      </c>
      <c r="F1455" s="1" t="str">
        <f t="array" ref="F1455">_xlfn.XLOOKUP(A1455,Product!A:A,Product!C:C,"Bulunamadı")</f>
        <v>Political History</v>
      </c>
      <c r="G1455" s="2" t="str">
        <f t="array" ref="G1455">_xlfn.XLOOKUP(A1456,Product!A:A,Product!D:D,"Bulunamadı")</f>
        <v>Star Harbor Press</v>
      </c>
      <c r="H1455" s="2">
        <f t="array" ref="H1455">_xlfn.XLOOKUP(A1457,Product!A:A,Product!E:E,"Bulunamadı")</f>
        <v>1.95</v>
      </c>
      <c r="I1455" s="2" t="str">
        <f t="shared" si="1"/>
        <v>44707 - Arts - Political History</v>
      </c>
      <c r="J1455" s="2">
        <f t="shared" si="2"/>
        <v>339.3</v>
      </c>
      <c r="K1455" s="17">
        <f t="shared" si="3"/>
        <v>1</v>
      </c>
      <c r="L1455" s="18"/>
    </row>
    <row r="1456">
      <c r="A1456" s="2">
        <f>IFERROR(__xludf.DUMMYFUNCTION("""COMPUTED_VALUE"""),78400.0)</f>
        <v>78400</v>
      </c>
      <c r="B1456" s="2">
        <f>IFERROR(__xludf.DUMMYFUNCTION("""COMPUTED_VALUE"""),1.0)</f>
        <v>1</v>
      </c>
      <c r="C1456" s="2">
        <f>IFERROR(__xludf.DUMMYFUNCTION("""COMPUTED_VALUE"""),764.0)</f>
        <v>764</v>
      </c>
      <c r="D1456" s="3">
        <f>IFERROR(__xludf.DUMMYFUNCTION("""COMPUTED_VALUE"""),453.0)</f>
        <v>453</v>
      </c>
      <c r="E1456" s="1" t="str">
        <f t="array" ref="E1456">_xlfn.XLOOKUP(A1456,Product!A:A,Product!B:B,"Bulunamadı")</f>
        <v>Arts</v>
      </c>
      <c r="F1456" s="1" t="str">
        <f t="array" ref="F1456">_xlfn.XLOOKUP(A1456,Product!A:A,Product!C:C,"Bulunamadı")</f>
        <v>Political History</v>
      </c>
      <c r="G1456" s="2" t="str">
        <f t="array" ref="G1456">_xlfn.XLOOKUP(A1457,Product!A:A,Product!D:D,"Bulunamadı")</f>
        <v>Star Harbor Press</v>
      </c>
      <c r="H1456" s="2">
        <f t="array" ref="H1456">_xlfn.XLOOKUP(A1458,Product!A:A,Product!E:E,"Bulunamadı")</f>
        <v>3.48</v>
      </c>
      <c r="I1456" s="2" t="str">
        <f t="shared" si="1"/>
        <v>78400 - Arts - Political History</v>
      </c>
      <c r="J1456" s="2">
        <f t="shared" si="2"/>
        <v>1576.44</v>
      </c>
      <c r="K1456" s="17">
        <f t="shared" si="3"/>
        <v>1</v>
      </c>
      <c r="L1456" s="18"/>
    </row>
    <row r="1457">
      <c r="A1457" s="2">
        <f>IFERROR(__xludf.DUMMYFUNCTION("""COMPUTED_VALUE"""),102188.0)</f>
        <v>102188</v>
      </c>
      <c r="B1457" s="2">
        <f>IFERROR(__xludf.DUMMYFUNCTION("""COMPUTED_VALUE"""),1.0)</f>
        <v>1</v>
      </c>
      <c r="C1457" s="2">
        <f>IFERROR(__xludf.DUMMYFUNCTION("""COMPUTED_VALUE"""),158.0)</f>
        <v>158</v>
      </c>
      <c r="D1457" s="3">
        <f>IFERROR(__xludf.DUMMYFUNCTION("""COMPUTED_VALUE"""),54.0)</f>
        <v>54</v>
      </c>
      <c r="E1457" s="1" t="str">
        <f t="array" ref="E1457">_xlfn.XLOOKUP(A1457,Product!A:A,Product!B:B,"Bulunamadı")</f>
        <v>Arts</v>
      </c>
      <c r="F1457" s="1" t="str">
        <f t="array" ref="F1457">_xlfn.XLOOKUP(A1457,Product!A:A,Product!C:C,"Bulunamadı")</f>
        <v>Political History</v>
      </c>
      <c r="G1457" s="2" t="str">
        <f t="array" ref="G1457">_xlfn.XLOOKUP(A1458,Product!A:A,Product!D:D,"Bulunamadı")</f>
        <v>Star Harbor Press</v>
      </c>
      <c r="H1457" s="2">
        <f t="array" ref="H1457">_xlfn.XLOOKUP(A1459,Product!A:A,Product!E:E,"Bulunamadı")</f>
        <v>1.66</v>
      </c>
      <c r="I1457" s="2" t="str">
        <f t="shared" si="1"/>
        <v>102188 - Arts - Political History</v>
      </c>
      <c r="J1457" s="2">
        <f t="shared" si="2"/>
        <v>89.64</v>
      </c>
      <c r="K1457" s="17">
        <f t="shared" si="3"/>
        <v>1</v>
      </c>
      <c r="L1457" s="18"/>
    </row>
    <row r="1458">
      <c r="A1458" s="2">
        <f>IFERROR(__xludf.DUMMYFUNCTION("""COMPUTED_VALUE"""),73173.0)</f>
        <v>73173</v>
      </c>
      <c r="B1458" s="2">
        <f>IFERROR(__xludf.DUMMYFUNCTION("""COMPUTED_VALUE"""),1.0)</f>
        <v>1</v>
      </c>
      <c r="C1458" s="2">
        <f>IFERROR(__xludf.DUMMYFUNCTION("""COMPUTED_VALUE"""),680.0)</f>
        <v>680</v>
      </c>
      <c r="D1458" s="3">
        <f>IFERROR(__xludf.DUMMYFUNCTION("""COMPUTED_VALUE"""),9.0)</f>
        <v>9</v>
      </c>
      <c r="E1458" s="1" t="str">
        <f t="array" ref="E1458">_xlfn.XLOOKUP(A1458,Product!A:A,Product!B:B,"Bulunamadı")</f>
        <v>Arts</v>
      </c>
      <c r="F1458" s="1" t="str">
        <f t="array" ref="F1458">_xlfn.XLOOKUP(A1458,Product!A:A,Product!C:C,"Bulunamadı")</f>
        <v>Political History</v>
      </c>
      <c r="G1458" s="2" t="str">
        <f t="array" ref="G1458">_xlfn.XLOOKUP(A1459,Product!A:A,Product!D:D,"Bulunamadı")</f>
        <v>Star Harbor Press</v>
      </c>
      <c r="H1458" s="2">
        <f t="array" ref="H1458">_xlfn.XLOOKUP(A1460,Product!A:A,Product!E:E,"Bulunamadı")</f>
        <v>0.81</v>
      </c>
      <c r="I1458" s="2" t="str">
        <f t="shared" si="1"/>
        <v>73173 - Arts - Political History</v>
      </c>
      <c r="J1458" s="2">
        <f t="shared" si="2"/>
        <v>7.29</v>
      </c>
      <c r="K1458" s="17">
        <f t="shared" si="3"/>
        <v>1</v>
      </c>
      <c r="L1458" s="18"/>
    </row>
    <row r="1459">
      <c r="A1459" s="2">
        <f>IFERROR(__xludf.DUMMYFUNCTION("""COMPUTED_VALUE"""),76661.0)</f>
        <v>76661</v>
      </c>
      <c r="B1459" s="2">
        <f>IFERROR(__xludf.DUMMYFUNCTION("""COMPUTED_VALUE"""),0.0)</f>
        <v>0</v>
      </c>
      <c r="C1459" s="2">
        <f>IFERROR(__xludf.DUMMYFUNCTION("""COMPUTED_VALUE"""),311.0)</f>
        <v>311</v>
      </c>
      <c r="D1459" s="3">
        <f>IFERROR(__xludf.DUMMYFUNCTION("""COMPUTED_VALUE"""),68.0)</f>
        <v>68</v>
      </c>
      <c r="E1459" s="1" t="str">
        <f t="array" ref="E1459">_xlfn.XLOOKUP(A1459,Product!A:A,Product!B:B,"Bulunamadı")</f>
        <v>Arts</v>
      </c>
      <c r="F1459" s="1" t="str">
        <f t="array" ref="F1459">_xlfn.XLOOKUP(A1459,Product!A:A,Product!C:C,"Bulunamadı")</f>
        <v>Political History</v>
      </c>
      <c r="G1459" s="2" t="str">
        <f t="array" ref="G1459">_xlfn.XLOOKUP(A1460,Product!A:A,Product!D:D,"Bulunamadı")</f>
        <v>Star Harbor Press</v>
      </c>
      <c r="H1459" s="2">
        <f t="array" ref="H1459">_xlfn.XLOOKUP(A1461,Product!A:A,Product!E:E,"Bulunamadı")</f>
        <v>5.43</v>
      </c>
      <c r="I1459" s="2" t="str">
        <f t="shared" si="1"/>
        <v>76661 - Arts - Political History</v>
      </c>
      <c r="J1459" s="2">
        <f t="shared" si="2"/>
        <v>369.24</v>
      </c>
      <c r="K1459" s="17">
        <f t="shared" si="3"/>
        <v>1</v>
      </c>
      <c r="L1459" s="18"/>
    </row>
    <row r="1460">
      <c r="A1460" s="2">
        <f>IFERROR(__xludf.DUMMYFUNCTION("""COMPUTED_VALUE"""),78479.0)</f>
        <v>78479</v>
      </c>
      <c r="B1460" s="2">
        <f>IFERROR(__xludf.DUMMYFUNCTION("""COMPUTED_VALUE"""),0.0)</f>
        <v>0</v>
      </c>
      <c r="C1460" s="2">
        <f>IFERROR(__xludf.DUMMYFUNCTION("""COMPUTED_VALUE"""),367.0)</f>
        <v>367</v>
      </c>
      <c r="D1460" s="3">
        <f>IFERROR(__xludf.DUMMYFUNCTION("""COMPUTED_VALUE"""),267.0)</f>
        <v>267</v>
      </c>
      <c r="E1460" s="1" t="str">
        <f t="array" ref="E1460">_xlfn.XLOOKUP(A1460,Product!A:A,Product!B:B,"Bulunamadı")</f>
        <v>Arts</v>
      </c>
      <c r="F1460" s="1" t="str">
        <f t="array" ref="F1460">_xlfn.XLOOKUP(A1460,Product!A:A,Product!C:C,"Bulunamadı")</f>
        <v>Political History</v>
      </c>
      <c r="G1460" s="2" t="str">
        <f t="array" ref="G1460">_xlfn.XLOOKUP(A1461,Product!A:A,Product!D:D,"Bulunamadı")</f>
        <v>Star Harbor Press</v>
      </c>
      <c r="H1460" s="2">
        <f t="array" ref="H1460">_xlfn.XLOOKUP(A1462,Product!A:A,Product!E:E,"Bulunamadı")</f>
        <v>3.26</v>
      </c>
      <c r="I1460" s="2" t="str">
        <f t="shared" si="1"/>
        <v>78479 - Arts - Political History</v>
      </c>
      <c r="J1460" s="2">
        <f t="shared" si="2"/>
        <v>870.42</v>
      </c>
      <c r="K1460" s="17">
        <f t="shared" si="3"/>
        <v>1</v>
      </c>
      <c r="L1460" s="18"/>
    </row>
    <row r="1461">
      <c r="A1461" s="2">
        <f>IFERROR(__xludf.DUMMYFUNCTION("""COMPUTED_VALUE"""),103401.0)</f>
        <v>103401</v>
      </c>
      <c r="B1461" s="2">
        <f>IFERROR(__xludf.DUMMYFUNCTION("""COMPUTED_VALUE"""),0.0)</f>
        <v>0</v>
      </c>
      <c r="C1461" s="2">
        <f>IFERROR(__xludf.DUMMYFUNCTION("""COMPUTED_VALUE"""),317.0)</f>
        <v>317</v>
      </c>
      <c r="D1461" s="3">
        <f>IFERROR(__xludf.DUMMYFUNCTION("""COMPUTED_VALUE"""),59.0)</f>
        <v>59</v>
      </c>
      <c r="E1461" s="1" t="str">
        <f t="array" ref="E1461">_xlfn.XLOOKUP(A1461,Product!A:A,Product!B:B,"Bulunamadı")</f>
        <v>Arts</v>
      </c>
      <c r="F1461" s="1" t="str">
        <f t="array" ref="F1461">_xlfn.XLOOKUP(A1461,Product!A:A,Product!C:C,"Bulunamadı")</f>
        <v>Political History</v>
      </c>
      <c r="G1461" s="2" t="str">
        <f t="array" ref="G1461">_xlfn.XLOOKUP(A1462,Product!A:A,Product!D:D,"Bulunamadı")</f>
        <v>Star Harbor Press</v>
      </c>
      <c r="H1461" s="2">
        <f t="array" ref="H1461">_xlfn.XLOOKUP(A1463,Product!A:A,Product!E:E,"Bulunamadı")</f>
        <v>0.92</v>
      </c>
      <c r="I1461" s="2" t="str">
        <f t="shared" si="1"/>
        <v>103401 - Arts - Political History</v>
      </c>
      <c r="J1461" s="2">
        <f t="shared" si="2"/>
        <v>54.28</v>
      </c>
      <c r="K1461" s="17">
        <f t="shared" si="3"/>
        <v>1</v>
      </c>
      <c r="L1461" s="18"/>
    </row>
    <row r="1462">
      <c r="A1462" s="2">
        <f>IFERROR(__xludf.DUMMYFUNCTION("""COMPUTED_VALUE"""),83340.0)</f>
        <v>83340</v>
      </c>
      <c r="B1462" s="2">
        <f>IFERROR(__xludf.DUMMYFUNCTION("""COMPUTED_VALUE"""),0.0)</f>
        <v>0</v>
      </c>
      <c r="C1462" s="2">
        <f>IFERROR(__xludf.DUMMYFUNCTION("""COMPUTED_VALUE"""),688.0)</f>
        <v>688</v>
      </c>
      <c r="D1462" s="3">
        <f>IFERROR(__xludf.DUMMYFUNCTION("""COMPUTED_VALUE"""),304.0)</f>
        <v>304</v>
      </c>
      <c r="E1462" s="1" t="str">
        <f t="array" ref="E1462">_xlfn.XLOOKUP(A1462,Product!A:A,Product!B:B,"Bulunamadı")</f>
        <v>Arts</v>
      </c>
      <c r="F1462" s="1" t="str">
        <f t="array" ref="F1462">_xlfn.XLOOKUP(A1462,Product!A:A,Product!C:C,"Bulunamadı")</f>
        <v>Political History</v>
      </c>
      <c r="G1462" s="2" t="str">
        <f t="array" ref="G1462">_xlfn.XLOOKUP(A1463,Product!A:A,Product!D:D,"Bulunamadı")</f>
        <v>Star Harbor Press</v>
      </c>
      <c r="H1462" s="2">
        <f t="array" ref="H1462">_xlfn.XLOOKUP(A1464,Product!A:A,Product!E:E,"Bulunamadı")</f>
        <v>6.59</v>
      </c>
      <c r="I1462" s="2" t="str">
        <f t="shared" si="1"/>
        <v>83340 - Arts - Political History</v>
      </c>
      <c r="J1462" s="2">
        <f t="shared" si="2"/>
        <v>2003.36</v>
      </c>
      <c r="K1462" s="17">
        <f t="shared" si="3"/>
        <v>1</v>
      </c>
      <c r="L1462" s="18"/>
    </row>
    <row r="1463">
      <c r="A1463" s="2">
        <f>IFERROR(__xludf.DUMMYFUNCTION("""COMPUTED_VALUE"""),44725.0)</f>
        <v>44725</v>
      </c>
      <c r="B1463" s="2">
        <f>IFERROR(__xludf.DUMMYFUNCTION("""COMPUTED_VALUE"""),0.0)</f>
        <v>0</v>
      </c>
      <c r="C1463" s="2">
        <f>IFERROR(__xludf.DUMMYFUNCTION("""COMPUTED_VALUE"""),522.0)</f>
        <v>522</v>
      </c>
      <c r="D1463" s="3">
        <f>IFERROR(__xludf.DUMMYFUNCTION("""COMPUTED_VALUE"""),123.0)</f>
        <v>123</v>
      </c>
      <c r="E1463" s="1" t="str">
        <f t="array" ref="E1463">_xlfn.XLOOKUP(A1463,Product!A:A,Product!B:B,"Bulunamadı")</f>
        <v>Arts</v>
      </c>
      <c r="F1463" s="1" t="str">
        <f t="array" ref="F1463">_xlfn.XLOOKUP(A1463,Product!A:A,Product!C:C,"Bulunamadı")</f>
        <v>Political History</v>
      </c>
      <c r="G1463" s="2" t="str">
        <f t="array" ref="G1463">_xlfn.XLOOKUP(A1464,Product!A:A,Product!D:D,"Bulunamadı")</f>
        <v>Star Harbor Press</v>
      </c>
      <c r="H1463" s="2">
        <f t="array" ref="H1463">_xlfn.XLOOKUP(A1465,Product!A:A,Product!E:E,"Bulunamadı")</f>
        <v>4.05</v>
      </c>
      <c r="I1463" s="2" t="str">
        <f t="shared" si="1"/>
        <v>44725 - Arts - Political History</v>
      </c>
      <c r="J1463" s="2">
        <f t="shared" si="2"/>
        <v>498.15</v>
      </c>
      <c r="K1463" s="17">
        <f t="shared" si="3"/>
        <v>1</v>
      </c>
      <c r="L1463" s="18"/>
    </row>
    <row r="1464">
      <c r="A1464" s="2">
        <f>IFERROR(__xludf.DUMMYFUNCTION("""COMPUTED_VALUE"""),109311.0)</f>
        <v>109311</v>
      </c>
      <c r="B1464" s="2">
        <f>IFERROR(__xludf.DUMMYFUNCTION("""COMPUTED_VALUE"""),1.0)</f>
        <v>1</v>
      </c>
      <c r="C1464" s="2">
        <f>IFERROR(__xludf.DUMMYFUNCTION("""COMPUTED_VALUE"""),235.0)</f>
        <v>235</v>
      </c>
      <c r="D1464" s="3">
        <f>IFERROR(__xludf.DUMMYFUNCTION("""COMPUTED_VALUE"""),229.0)</f>
        <v>229</v>
      </c>
      <c r="E1464" s="1" t="str">
        <f t="array" ref="E1464">_xlfn.XLOOKUP(A1464,Product!A:A,Product!B:B,"Bulunamadı")</f>
        <v>Arts</v>
      </c>
      <c r="F1464" s="1" t="str">
        <f t="array" ref="F1464">_xlfn.XLOOKUP(A1464,Product!A:A,Product!C:C,"Bulunamadı")</f>
        <v>Political History</v>
      </c>
      <c r="G1464" s="2" t="str">
        <f t="array" ref="G1464">_xlfn.XLOOKUP(A1465,Product!A:A,Product!D:D,"Bulunamadı")</f>
        <v>Silver Valley Publishing</v>
      </c>
      <c r="H1464" s="2">
        <f t="array" ref="H1464">_xlfn.XLOOKUP(A1466,Product!A:A,Product!E:E,"Bulunamadı")</f>
        <v>2.75</v>
      </c>
      <c r="I1464" s="2" t="str">
        <f t="shared" si="1"/>
        <v>109311 - Arts - Political History</v>
      </c>
      <c r="J1464" s="2">
        <f t="shared" si="2"/>
        <v>629.75</v>
      </c>
      <c r="K1464" s="17">
        <f t="shared" si="3"/>
        <v>1</v>
      </c>
      <c r="L1464" s="18"/>
    </row>
    <row r="1465" hidden="1">
      <c r="A1465" s="2">
        <f>IFERROR(__xludf.DUMMYFUNCTION("""COMPUTED_VALUE"""),133901.0)</f>
        <v>133901</v>
      </c>
      <c r="B1465" s="2">
        <f>IFERROR(__xludf.DUMMYFUNCTION("""COMPUTED_VALUE"""),1.0)</f>
        <v>1</v>
      </c>
      <c r="C1465" s="2">
        <f>IFERROR(__xludf.DUMMYFUNCTION("""COMPUTED_VALUE"""),221.0)</f>
        <v>221</v>
      </c>
      <c r="D1465" s="3">
        <f>IFERROR(__xludf.DUMMYFUNCTION("""COMPUTED_VALUE"""),206.0)</f>
        <v>206</v>
      </c>
      <c r="E1465" s="1" t="str">
        <f t="array" ref="E1465">_xlfn.XLOOKUP(A1465,Product!A:A,Product!B:B,"Bulunamadı")</f>
        <v>Tech</v>
      </c>
      <c r="F1465" s="1" t="str">
        <f t="array" ref="F1465">_xlfn.XLOOKUP(A1465,Product!A:A,Product!C:C,"Bulunamadı")</f>
        <v>Cultural History</v>
      </c>
      <c r="G1465" s="2" t="str">
        <f t="array" ref="G1465">_xlfn.XLOOKUP(A1466,Product!A:A,Product!D:D,"Bulunamadı")</f>
        <v>Silver Valley Publishing</v>
      </c>
      <c r="H1465" s="2">
        <f t="array" ref="H1465">_xlfn.XLOOKUP(A1467,Product!A:A,Product!E:E,"Bulunamadı")</f>
        <v>3.13</v>
      </c>
      <c r="I1465" s="2" t="str">
        <f t="shared" si="1"/>
        <v>133901 - Tech - Cultural History</v>
      </c>
      <c r="J1465" s="2">
        <f t="shared" si="2"/>
        <v>644.78</v>
      </c>
      <c r="K1465" s="17">
        <f t="shared" si="3"/>
        <v>1</v>
      </c>
      <c r="L1465" s="18"/>
    </row>
    <row r="1466" hidden="1">
      <c r="A1466" s="2">
        <f>IFERROR(__xludf.DUMMYFUNCTION("""COMPUTED_VALUE"""),92678.0)</f>
        <v>92678</v>
      </c>
      <c r="B1466" s="2">
        <f>IFERROR(__xludf.DUMMYFUNCTION("""COMPUTED_VALUE"""),1.0)</f>
        <v>1</v>
      </c>
      <c r="C1466" s="2">
        <f>IFERROR(__xludf.DUMMYFUNCTION("""COMPUTED_VALUE"""),175.0)</f>
        <v>175</v>
      </c>
      <c r="D1466" s="3">
        <f>IFERROR(__xludf.DUMMYFUNCTION("""COMPUTED_VALUE"""),108.0)</f>
        <v>108</v>
      </c>
      <c r="E1466" s="1" t="str">
        <f t="array" ref="E1466">_xlfn.XLOOKUP(A1466,Product!A:A,Product!B:B,"Bulunamadı")</f>
        <v>Tech</v>
      </c>
      <c r="F1466" s="1" t="str">
        <f t="array" ref="F1466">_xlfn.XLOOKUP(A1466,Product!A:A,Product!C:C,"Bulunamadı")</f>
        <v>Cultural History</v>
      </c>
      <c r="G1466" s="2" t="str">
        <f t="array" ref="G1466">_xlfn.XLOOKUP(A1467,Product!A:A,Product!D:D,"Bulunamadı")</f>
        <v>North Harbor Books</v>
      </c>
      <c r="H1466" s="2">
        <f t="array" ref="H1466">_xlfn.XLOOKUP(A1468,Product!A:A,Product!E:E,"Bulunamadı")</f>
        <v>4.6</v>
      </c>
      <c r="I1466" s="2" t="str">
        <f t="shared" si="1"/>
        <v>92678 - Tech - Cultural History</v>
      </c>
      <c r="J1466" s="2">
        <f t="shared" si="2"/>
        <v>496.8</v>
      </c>
      <c r="K1466" s="17">
        <f t="shared" si="3"/>
        <v>1</v>
      </c>
      <c r="L1466" s="18"/>
    </row>
    <row r="1467" hidden="1">
      <c r="A1467" s="2">
        <f>IFERROR(__xludf.DUMMYFUNCTION("""COMPUTED_VALUE"""),82447.0)</f>
        <v>82447</v>
      </c>
      <c r="B1467" s="2">
        <f>IFERROR(__xludf.DUMMYFUNCTION("""COMPUTED_VALUE"""),0.0)</f>
        <v>0</v>
      </c>
      <c r="C1467" s="2">
        <f>IFERROR(__xludf.DUMMYFUNCTION("""COMPUTED_VALUE"""),56.0)</f>
        <v>56</v>
      </c>
      <c r="D1467" s="3">
        <f>IFERROR(__xludf.DUMMYFUNCTION("""COMPUTED_VALUE"""),27.0)</f>
        <v>27</v>
      </c>
      <c r="E1467" s="1" t="str">
        <f t="array" ref="E1467">_xlfn.XLOOKUP(A1467,Product!A:A,Product!B:B,"Bulunamadı")</f>
        <v>Tech</v>
      </c>
      <c r="F1467" s="1" t="str">
        <f t="array" ref="F1467">_xlfn.XLOOKUP(A1467,Product!A:A,Product!C:C,"Bulunamadı")</f>
        <v>Cultural History</v>
      </c>
      <c r="G1467" s="2" t="str">
        <f t="array" ref="G1467">_xlfn.XLOOKUP(A1468,Product!A:A,Product!D:D,"Bulunamadı")</f>
        <v>North Harbor Books</v>
      </c>
      <c r="H1467" s="2">
        <f t="array" ref="H1467">_xlfn.XLOOKUP(A1469,Product!A:A,Product!E:E,"Bulunamadı")</f>
        <v>6.93</v>
      </c>
      <c r="I1467" s="2" t="str">
        <f t="shared" si="1"/>
        <v>82447 - Tech - Cultural History</v>
      </c>
      <c r="J1467" s="2">
        <f t="shared" si="2"/>
        <v>187.11</v>
      </c>
      <c r="K1467" s="17">
        <f t="shared" si="3"/>
        <v>1</v>
      </c>
      <c r="L1467" s="18"/>
    </row>
    <row r="1468" hidden="1">
      <c r="A1468" s="2">
        <f>IFERROR(__xludf.DUMMYFUNCTION("""COMPUTED_VALUE"""),110126.0)</f>
        <v>110126</v>
      </c>
      <c r="B1468" s="2">
        <f>IFERROR(__xludf.DUMMYFUNCTION("""COMPUTED_VALUE"""),1.0)</f>
        <v>1</v>
      </c>
      <c r="C1468" s="2">
        <f>IFERROR(__xludf.DUMMYFUNCTION("""COMPUTED_VALUE"""),750.0)</f>
        <v>750</v>
      </c>
      <c r="D1468" s="3">
        <f>IFERROR(__xludf.DUMMYFUNCTION("""COMPUTED_VALUE"""),482.0)</f>
        <v>482</v>
      </c>
      <c r="E1468" s="1" t="str">
        <f t="array" ref="E1468">_xlfn.XLOOKUP(A1468,Product!A:A,Product!B:B,"Bulunamadı")</f>
        <v>Tech</v>
      </c>
      <c r="F1468" s="1" t="str">
        <f t="array" ref="F1468">_xlfn.XLOOKUP(A1468,Product!A:A,Product!C:C,"Bulunamadı")</f>
        <v>Cultural History</v>
      </c>
      <c r="G1468" s="2" t="str">
        <f t="array" ref="G1468">_xlfn.XLOOKUP(A1469,Product!A:A,Product!D:D,"Bulunamadı")</f>
        <v>North Harbor Books</v>
      </c>
      <c r="H1468" s="2">
        <f t="array" ref="H1468">_xlfn.XLOOKUP(A1470,Product!A:A,Product!E:E,"Bulunamadı")</f>
        <v>3.2</v>
      </c>
      <c r="I1468" s="2" t="str">
        <f t="shared" si="1"/>
        <v>110126 - Tech - Cultural History</v>
      </c>
      <c r="J1468" s="2">
        <f t="shared" si="2"/>
        <v>1542.4</v>
      </c>
      <c r="K1468" s="17">
        <f t="shared" si="3"/>
        <v>1</v>
      </c>
      <c r="L1468" s="18"/>
    </row>
    <row r="1469" hidden="1">
      <c r="A1469" s="2">
        <f>IFERROR(__xludf.DUMMYFUNCTION("""COMPUTED_VALUE"""),3219.0)</f>
        <v>3219</v>
      </c>
      <c r="B1469" s="2">
        <f>IFERROR(__xludf.DUMMYFUNCTION("""COMPUTED_VALUE"""),0.0)</f>
        <v>0</v>
      </c>
      <c r="C1469" s="2">
        <f>IFERROR(__xludf.DUMMYFUNCTION("""COMPUTED_VALUE"""),857.0)</f>
        <v>857</v>
      </c>
      <c r="D1469" s="3">
        <f>IFERROR(__xludf.DUMMYFUNCTION("""COMPUTED_VALUE"""),339.0)</f>
        <v>339</v>
      </c>
      <c r="E1469" s="1" t="str">
        <f t="array" ref="E1469">_xlfn.XLOOKUP(A1469,Product!A:A,Product!B:B,"Bulunamadı")</f>
        <v>Tech</v>
      </c>
      <c r="F1469" s="1" t="str">
        <f t="array" ref="F1469">_xlfn.XLOOKUP(A1469,Product!A:A,Product!C:C,"Bulunamadı")</f>
        <v>Cultural History</v>
      </c>
      <c r="G1469" s="2" t="str">
        <f t="array" ref="G1469">_xlfn.XLOOKUP(A1470,Product!A:A,Product!D:D,"Bulunamadı")</f>
        <v>North Harbor Books</v>
      </c>
      <c r="H1469" s="2">
        <f t="array" ref="H1469">_xlfn.XLOOKUP(A1471,Product!A:A,Product!E:E,"Bulunamadı")</f>
        <v>8.58</v>
      </c>
      <c r="I1469" s="2" t="str">
        <f t="shared" si="1"/>
        <v>3219 - Tech - Cultural History</v>
      </c>
      <c r="J1469" s="2">
        <f t="shared" si="2"/>
        <v>2908.62</v>
      </c>
      <c r="K1469" s="17">
        <f t="shared" si="3"/>
        <v>1</v>
      </c>
      <c r="L1469" s="18"/>
    </row>
    <row r="1470" hidden="1">
      <c r="A1470" s="2">
        <f>IFERROR(__xludf.DUMMYFUNCTION("""COMPUTED_VALUE"""),127007.0)</f>
        <v>127007</v>
      </c>
      <c r="B1470" s="2">
        <f>IFERROR(__xludf.DUMMYFUNCTION("""COMPUTED_VALUE"""),0.0)</f>
        <v>0</v>
      </c>
      <c r="C1470" s="2">
        <f>IFERROR(__xludf.DUMMYFUNCTION("""COMPUTED_VALUE"""),448.0)</f>
        <v>448</v>
      </c>
      <c r="D1470" s="3">
        <f>IFERROR(__xludf.DUMMYFUNCTION("""COMPUTED_VALUE"""),436.0)</f>
        <v>436</v>
      </c>
      <c r="E1470" s="1" t="str">
        <f t="array" ref="E1470">_xlfn.XLOOKUP(A1470,Product!A:A,Product!B:B,"Bulunamadı")</f>
        <v>Tech</v>
      </c>
      <c r="F1470" s="1" t="str">
        <f t="array" ref="F1470">_xlfn.XLOOKUP(A1470,Product!A:A,Product!C:C,"Bulunamadı")</f>
        <v>Cultural History</v>
      </c>
      <c r="G1470" s="2" t="str">
        <f t="array" ref="G1470">_xlfn.XLOOKUP(A1471,Product!A:A,Product!D:D,"Bulunamadı")</f>
        <v>Riverstone Ridge Press</v>
      </c>
      <c r="H1470" s="2">
        <f t="array" ref="H1470">_xlfn.XLOOKUP(A1472,Product!A:A,Product!E:E,"Bulunamadı")</f>
        <v>7.8</v>
      </c>
      <c r="I1470" s="2" t="str">
        <f t="shared" si="1"/>
        <v>127007 - Tech - Cultural History</v>
      </c>
      <c r="J1470" s="2">
        <f t="shared" si="2"/>
        <v>3400.8</v>
      </c>
      <c r="K1470" s="17">
        <f t="shared" si="3"/>
        <v>1</v>
      </c>
      <c r="L1470" s="18"/>
    </row>
    <row r="1471" hidden="1">
      <c r="A1471" s="2">
        <f>IFERROR(__xludf.DUMMYFUNCTION("""COMPUTED_VALUE"""),102277.0)</f>
        <v>102277</v>
      </c>
      <c r="B1471" s="2">
        <f>IFERROR(__xludf.DUMMYFUNCTION("""COMPUTED_VALUE"""),1.0)</f>
        <v>1</v>
      </c>
      <c r="C1471" s="2">
        <f>IFERROR(__xludf.DUMMYFUNCTION("""COMPUTED_VALUE"""),291.0)</f>
        <v>291</v>
      </c>
      <c r="D1471" s="3">
        <f>IFERROR(__xludf.DUMMYFUNCTION("""COMPUTED_VALUE"""),33.0)</f>
        <v>33</v>
      </c>
      <c r="E1471" s="1" t="str">
        <f t="array" ref="E1471">_xlfn.XLOOKUP(A1471,Product!A:A,Product!B:B,"Bulunamadı")</f>
        <v>Tech</v>
      </c>
      <c r="F1471" s="1" t="str">
        <f t="array" ref="F1471">_xlfn.XLOOKUP(A1471,Product!A:A,Product!C:C,"Bulunamadı")</f>
        <v>Cultural History</v>
      </c>
      <c r="G1471" s="2" t="str">
        <f t="array" ref="G1471">_xlfn.XLOOKUP(A1472,Product!A:A,Product!D:D,"Bulunamadı")</f>
        <v>Riverstone Ridge Press</v>
      </c>
      <c r="H1471" s="2">
        <f t="array" ref="H1471">_xlfn.XLOOKUP(A1473,Product!A:A,Product!E:E,"Bulunamadı")</f>
        <v>6.62</v>
      </c>
      <c r="I1471" s="2" t="str">
        <f t="shared" si="1"/>
        <v>102277 - Tech - Cultural History</v>
      </c>
      <c r="J1471" s="2">
        <f t="shared" si="2"/>
        <v>218.46</v>
      </c>
      <c r="K1471" s="17">
        <f t="shared" si="3"/>
        <v>1</v>
      </c>
      <c r="L1471" s="18"/>
    </row>
    <row r="1472" hidden="1">
      <c r="A1472" s="2">
        <f>IFERROR(__xludf.DUMMYFUNCTION("""COMPUTED_VALUE"""),122544.0)</f>
        <v>122544</v>
      </c>
      <c r="B1472" s="2">
        <f>IFERROR(__xludf.DUMMYFUNCTION("""COMPUTED_VALUE"""),1.0)</f>
        <v>1</v>
      </c>
      <c r="C1472" s="2">
        <f>IFERROR(__xludf.DUMMYFUNCTION("""COMPUTED_VALUE"""),235.0)</f>
        <v>235</v>
      </c>
      <c r="D1472" s="3">
        <f>IFERROR(__xludf.DUMMYFUNCTION("""COMPUTED_VALUE"""),127.0)</f>
        <v>127</v>
      </c>
      <c r="E1472" s="1" t="str">
        <f t="array" ref="E1472">_xlfn.XLOOKUP(A1472,Product!A:A,Product!B:B,"Bulunamadı")</f>
        <v>Tech</v>
      </c>
      <c r="F1472" s="1" t="str">
        <f t="array" ref="F1472">_xlfn.XLOOKUP(A1472,Product!A:A,Product!C:C,"Bulunamadı")</f>
        <v>Cultural History</v>
      </c>
      <c r="G1472" s="2" t="str">
        <f t="array" ref="G1472">_xlfn.XLOOKUP(A1473,Product!A:A,Product!D:D,"Bulunamadı")</f>
        <v>Riverstone Ridge Press</v>
      </c>
      <c r="H1472" s="2">
        <f t="array" ref="H1472">_xlfn.XLOOKUP(A1474,Product!A:A,Product!E:E,"Bulunamadı")</f>
        <v>8.05</v>
      </c>
      <c r="I1472" s="2" t="str">
        <f t="shared" si="1"/>
        <v>122544 - Tech - Cultural History</v>
      </c>
      <c r="J1472" s="2">
        <f t="shared" si="2"/>
        <v>1022.35</v>
      </c>
      <c r="K1472" s="17">
        <f t="shared" si="3"/>
        <v>1</v>
      </c>
      <c r="L1472" s="18"/>
    </row>
    <row r="1473" hidden="1">
      <c r="A1473" s="2">
        <f>IFERROR(__xludf.DUMMYFUNCTION("""COMPUTED_VALUE"""),91486.0)</f>
        <v>91486</v>
      </c>
      <c r="B1473" s="2">
        <f>IFERROR(__xludf.DUMMYFUNCTION("""COMPUTED_VALUE"""),0.0)</f>
        <v>0</v>
      </c>
      <c r="C1473" s="2">
        <f>IFERROR(__xludf.DUMMYFUNCTION("""COMPUTED_VALUE"""),641.0)</f>
        <v>641</v>
      </c>
      <c r="D1473" s="3">
        <f>IFERROR(__xludf.DUMMYFUNCTION("""COMPUTED_VALUE"""),621.0)</f>
        <v>621</v>
      </c>
      <c r="E1473" s="1" t="str">
        <f t="array" ref="E1473">_xlfn.XLOOKUP(A1473,Product!A:A,Product!B:B,"Bulunamadı")</f>
        <v>Tech</v>
      </c>
      <c r="F1473" s="1" t="str">
        <f t="array" ref="F1473">_xlfn.XLOOKUP(A1473,Product!A:A,Product!C:C,"Bulunamadı")</f>
        <v>Cultural History</v>
      </c>
      <c r="G1473" s="2" t="str">
        <f t="array" ref="G1473">_xlfn.XLOOKUP(A1474,Product!A:A,Product!D:D,"Bulunamadı")</f>
        <v>Riverstone Ridge Press</v>
      </c>
      <c r="H1473" s="2">
        <f t="array" ref="H1473">_xlfn.XLOOKUP(A1475,Product!A:A,Product!E:E,"Bulunamadı")</f>
        <v>4.47</v>
      </c>
      <c r="I1473" s="2" t="str">
        <f t="shared" si="1"/>
        <v>91486 - Tech - Cultural History</v>
      </c>
      <c r="J1473" s="2">
        <f t="shared" si="2"/>
        <v>2775.87</v>
      </c>
      <c r="K1473" s="17">
        <f t="shared" si="3"/>
        <v>1</v>
      </c>
      <c r="L1473" s="18"/>
    </row>
    <row r="1474" hidden="1">
      <c r="A1474" s="2">
        <f>IFERROR(__xludf.DUMMYFUNCTION("""COMPUTED_VALUE"""),28009.0)</f>
        <v>28009</v>
      </c>
      <c r="B1474" s="2">
        <f>IFERROR(__xludf.DUMMYFUNCTION("""COMPUTED_VALUE"""),0.0)</f>
        <v>0</v>
      </c>
      <c r="C1474" s="2">
        <f>IFERROR(__xludf.DUMMYFUNCTION("""COMPUTED_VALUE"""),958.0)</f>
        <v>958</v>
      </c>
      <c r="D1474" s="3">
        <f>IFERROR(__xludf.DUMMYFUNCTION("""COMPUTED_VALUE"""),902.0)</f>
        <v>902</v>
      </c>
      <c r="E1474" s="1" t="str">
        <f t="array" ref="E1474">_xlfn.XLOOKUP(A1474,Product!A:A,Product!B:B,"Bulunamadı")</f>
        <v>Tech</v>
      </c>
      <c r="F1474" s="1" t="str">
        <f t="array" ref="F1474">_xlfn.XLOOKUP(A1474,Product!A:A,Product!C:C,"Bulunamadı")</f>
        <v>Cultural History</v>
      </c>
      <c r="G1474" s="2" t="str">
        <f t="array" ref="G1474">_xlfn.XLOOKUP(A1475,Product!A:A,Product!D:D,"Bulunamadı")</f>
        <v>Golden Peak Publishing</v>
      </c>
      <c r="H1474" s="2">
        <f t="array" ref="H1474">_xlfn.XLOOKUP(A1476,Product!A:A,Product!E:E,"Bulunamadı")</f>
        <v>4.65</v>
      </c>
      <c r="I1474" s="2" t="str">
        <f t="shared" si="1"/>
        <v>28009 - Tech - Cultural History</v>
      </c>
      <c r="J1474" s="2">
        <f t="shared" si="2"/>
        <v>4194.3</v>
      </c>
      <c r="K1474" s="17">
        <f t="shared" si="3"/>
        <v>1</v>
      </c>
      <c r="L1474" s="18"/>
    </row>
    <row r="1475" hidden="1">
      <c r="A1475" s="2">
        <f>IFERROR(__xludf.DUMMYFUNCTION("""COMPUTED_VALUE"""),110814.0)</f>
        <v>110814</v>
      </c>
      <c r="B1475" s="2">
        <f>IFERROR(__xludf.DUMMYFUNCTION("""COMPUTED_VALUE"""),1.0)</f>
        <v>1</v>
      </c>
      <c r="C1475" s="2">
        <f>IFERROR(__xludf.DUMMYFUNCTION("""COMPUTED_VALUE"""),452.0)</f>
        <v>452</v>
      </c>
      <c r="D1475" s="3">
        <f>IFERROR(__xludf.DUMMYFUNCTION("""COMPUTED_VALUE"""),430.0)</f>
        <v>430</v>
      </c>
      <c r="E1475" s="1" t="str">
        <f t="array" ref="E1475">_xlfn.XLOOKUP(A1475,Product!A:A,Product!B:B,"Bulunamadı")</f>
        <v>Tech</v>
      </c>
      <c r="F1475" s="1" t="str">
        <f t="array" ref="F1475">_xlfn.XLOOKUP(A1475,Product!A:A,Product!C:C,"Bulunamadı")</f>
        <v>Cultural History</v>
      </c>
      <c r="G1475" s="2" t="str">
        <f t="array" ref="G1475">_xlfn.XLOOKUP(A1476,Product!A:A,Product!D:D,"Bulunamadı")</f>
        <v>Golden Peak Publishing</v>
      </c>
      <c r="H1475" s="2">
        <f t="array" ref="H1475">_xlfn.XLOOKUP(A1477,Product!A:A,Product!E:E,"Bulunamadı")</f>
        <v>5.19</v>
      </c>
      <c r="I1475" s="2" t="str">
        <f t="shared" si="1"/>
        <v>110814 - Tech - Cultural History</v>
      </c>
      <c r="J1475" s="2">
        <f t="shared" si="2"/>
        <v>2231.7</v>
      </c>
      <c r="K1475" s="17">
        <f t="shared" si="3"/>
        <v>1</v>
      </c>
      <c r="L1475" s="18"/>
    </row>
    <row r="1476" hidden="1">
      <c r="A1476" s="2">
        <f>IFERROR(__xludf.DUMMYFUNCTION("""COMPUTED_VALUE"""),117437.0)</f>
        <v>117437</v>
      </c>
      <c r="B1476" s="2">
        <f>IFERROR(__xludf.DUMMYFUNCTION("""COMPUTED_VALUE"""),0.0)</f>
        <v>0</v>
      </c>
      <c r="C1476" s="2">
        <f>IFERROR(__xludf.DUMMYFUNCTION("""COMPUTED_VALUE"""),272.0)</f>
        <v>272</v>
      </c>
      <c r="D1476" s="3">
        <f>IFERROR(__xludf.DUMMYFUNCTION("""COMPUTED_VALUE"""),169.0)</f>
        <v>169</v>
      </c>
      <c r="E1476" s="1" t="str">
        <f t="array" ref="E1476">_xlfn.XLOOKUP(A1476,Product!A:A,Product!B:B,"Bulunamadı")</f>
        <v>Tech</v>
      </c>
      <c r="F1476" s="1" t="str">
        <f t="array" ref="F1476">_xlfn.XLOOKUP(A1476,Product!A:A,Product!C:C,"Bulunamadı")</f>
        <v>Cultural History</v>
      </c>
      <c r="G1476" s="2" t="str">
        <f t="array" ref="G1476">_xlfn.XLOOKUP(A1477,Product!A:A,Product!D:D,"Bulunamadı")</f>
        <v>Golden Peak Publishing</v>
      </c>
      <c r="H1476" s="2">
        <f t="array" ref="H1476">_xlfn.XLOOKUP(A1478,Product!A:A,Product!E:E,"Bulunamadı")</f>
        <v>6.96</v>
      </c>
      <c r="I1476" s="2" t="str">
        <f t="shared" si="1"/>
        <v>117437 - Tech - Cultural History</v>
      </c>
      <c r="J1476" s="2">
        <f t="shared" si="2"/>
        <v>1176.24</v>
      </c>
      <c r="K1476" s="17">
        <f t="shared" si="3"/>
        <v>1</v>
      </c>
      <c r="L1476" s="18"/>
    </row>
    <row r="1477" hidden="1">
      <c r="A1477" s="2">
        <f>IFERROR(__xludf.DUMMYFUNCTION("""COMPUTED_VALUE"""),23074.0)</f>
        <v>23074</v>
      </c>
      <c r="B1477" s="2">
        <f>IFERROR(__xludf.DUMMYFUNCTION("""COMPUTED_VALUE"""),1.0)</f>
        <v>1</v>
      </c>
      <c r="C1477" s="2">
        <f>IFERROR(__xludf.DUMMYFUNCTION("""COMPUTED_VALUE"""),670.0)</f>
        <v>670</v>
      </c>
      <c r="D1477" s="3">
        <f>IFERROR(__xludf.DUMMYFUNCTION("""COMPUTED_VALUE"""),504.0)</f>
        <v>504</v>
      </c>
      <c r="E1477" s="1" t="str">
        <f t="array" ref="E1477">_xlfn.XLOOKUP(A1477,Product!A:A,Product!B:B,"Bulunamadı")</f>
        <v>Tech</v>
      </c>
      <c r="F1477" s="1" t="str">
        <f t="array" ref="F1477">_xlfn.XLOOKUP(A1477,Product!A:A,Product!C:C,"Bulunamadı")</f>
        <v>Cultural History</v>
      </c>
      <c r="G1477" s="2" t="str">
        <f t="array" ref="G1477">_xlfn.XLOOKUP(A1478,Product!A:A,Product!D:D,"Bulunamadı")</f>
        <v>Golden Peak Publishing</v>
      </c>
      <c r="H1477" s="2">
        <f t="array" ref="H1477">_xlfn.XLOOKUP(A1479,Product!A:A,Product!E:E,"Bulunamadı")</f>
        <v>2.77</v>
      </c>
      <c r="I1477" s="2" t="str">
        <f t="shared" si="1"/>
        <v>23074 - Tech - Cultural History</v>
      </c>
      <c r="J1477" s="2">
        <f t="shared" si="2"/>
        <v>1396.08</v>
      </c>
      <c r="K1477" s="17">
        <f t="shared" si="3"/>
        <v>1</v>
      </c>
      <c r="L1477" s="18"/>
    </row>
    <row r="1478" hidden="1">
      <c r="A1478" s="2">
        <f>IFERROR(__xludf.DUMMYFUNCTION("""COMPUTED_VALUE"""),8900.0)</f>
        <v>8900</v>
      </c>
      <c r="B1478" s="2">
        <f>IFERROR(__xludf.DUMMYFUNCTION("""COMPUTED_VALUE"""),0.0)</f>
        <v>0</v>
      </c>
      <c r="C1478" s="2">
        <f>IFERROR(__xludf.DUMMYFUNCTION("""COMPUTED_VALUE"""),457.0)</f>
        <v>457</v>
      </c>
      <c r="D1478" s="3">
        <f>IFERROR(__xludf.DUMMYFUNCTION("""COMPUTED_VALUE"""),90.0)</f>
        <v>90</v>
      </c>
      <c r="E1478" s="1" t="str">
        <f t="array" ref="E1478">_xlfn.XLOOKUP(A1478,Product!A:A,Product!B:B,"Bulunamadı")</f>
        <v>Tech</v>
      </c>
      <c r="F1478" s="1" t="str">
        <f t="array" ref="F1478">_xlfn.XLOOKUP(A1478,Product!A:A,Product!C:C,"Bulunamadı")</f>
        <v>Cultural History</v>
      </c>
      <c r="G1478" s="2" t="str">
        <f t="array" ref="G1478">_xlfn.XLOOKUP(A1479,Product!A:A,Product!D:D,"Bulunamadı")</f>
        <v>Golden Peak Publishing</v>
      </c>
      <c r="H1478" s="2">
        <f t="array" ref="H1478">_xlfn.XLOOKUP(A1480,Product!A:A,Product!E:E,"Bulunamadı")</f>
        <v>2.84</v>
      </c>
      <c r="I1478" s="2" t="str">
        <f t="shared" si="1"/>
        <v>8900 - Tech - Cultural History</v>
      </c>
      <c r="J1478" s="2">
        <f t="shared" si="2"/>
        <v>255.6</v>
      </c>
      <c r="K1478" s="17">
        <f t="shared" si="3"/>
        <v>1</v>
      </c>
      <c r="L1478" s="18"/>
    </row>
    <row r="1479" hidden="1">
      <c r="A1479" s="2">
        <f>IFERROR(__xludf.DUMMYFUNCTION("""COMPUTED_VALUE"""),92676.0)</f>
        <v>92676</v>
      </c>
      <c r="B1479" s="2">
        <f>IFERROR(__xludf.DUMMYFUNCTION("""COMPUTED_VALUE"""),1.0)</f>
        <v>1</v>
      </c>
      <c r="C1479" s="2">
        <f>IFERROR(__xludf.DUMMYFUNCTION("""COMPUTED_VALUE"""),777.0)</f>
        <v>777</v>
      </c>
      <c r="D1479" s="3">
        <f>IFERROR(__xludf.DUMMYFUNCTION("""COMPUTED_VALUE"""),220.0)</f>
        <v>220</v>
      </c>
      <c r="E1479" s="1" t="str">
        <f t="array" ref="E1479">_xlfn.XLOOKUP(A1479,Product!A:A,Product!B:B,"Bulunamadı")</f>
        <v>Tech</v>
      </c>
      <c r="F1479" s="1" t="str">
        <f t="array" ref="F1479">_xlfn.XLOOKUP(A1479,Product!A:A,Product!C:C,"Bulunamadı")</f>
        <v>Cultural History</v>
      </c>
      <c r="G1479" s="2" t="str">
        <f t="array" ref="G1479">_xlfn.XLOOKUP(A1480,Product!A:A,Product!D:D,"Bulunamadı")</f>
        <v>Golden Peak Publishing</v>
      </c>
      <c r="H1479" s="2">
        <f t="array" ref="H1479">_xlfn.XLOOKUP(A1481,Product!A:A,Product!E:E,"Bulunamadı")</f>
        <v>11.23</v>
      </c>
      <c r="I1479" s="2" t="str">
        <f t="shared" si="1"/>
        <v>92676 - Tech - Cultural History</v>
      </c>
      <c r="J1479" s="2">
        <f t="shared" si="2"/>
        <v>2470.6</v>
      </c>
      <c r="K1479" s="17">
        <f t="shared" si="3"/>
        <v>1</v>
      </c>
      <c r="L1479" s="18"/>
    </row>
    <row r="1480" hidden="1">
      <c r="A1480" s="2">
        <f>IFERROR(__xludf.DUMMYFUNCTION("""COMPUTED_VALUE"""),117266.0)</f>
        <v>117266</v>
      </c>
      <c r="B1480" s="2">
        <f>IFERROR(__xludf.DUMMYFUNCTION("""COMPUTED_VALUE"""),1.0)</f>
        <v>1</v>
      </c>
      <c r="C1480" s="2">
        <f>IFERROR(__xludf.DUMMYFUNCTION("""COMPUTED_VALUE"""),644.0)</f>
        <v>644</v>
      </c>
      <c r="D1480" s="3">
        <f>IFERROR(__xludf.DUMMYFUNCTION("""COMPUTED_VALUE"""),89.0)</f>
        <v>89</v>
      </c>
      <c r="E1480" s="1" t="str">
        <f t="array" ref="E1480">_xlfn.XLOOKUP(A1480,Product!A:A,Product!B:B,"Bulunamadı")</f>
        <v>Tech</v>
      </c>
      <c r="F1480" s="1" t="str">
        <f t="array" ref="F1480">_xlfn.XLOOKUP(A1480,Product!A:A,Product!C:C,"Bulunamadı")</f>
        <v>Cultural History</v>
      </c>
      <c r="G1480" s="2" t="str">
        <f t="array" ref="G1480">_xlfn.XLOOKUP(A1481,Product!A:A,Product!D:D,"Bulunamadı")</f>
        <v>Golden Peak Publishing</v>
      </c>
      <c r="H1480" s="2">
        <f t="array" ref="H1480">_xlfn.XLOOKUP(A1482,Product!A:A,Product!E:E,"Bulunamadı")</f>
        <v>2.81</v>
      </c>
      <c r="I1480" s="2" t="str">
        <f t="shared" si="1"/>
        <v>117266 - Tech - Cultural History</v>
      </c>
      <c r="J1480" s="2">
        <f t="shared" si="2"/>
        <v>250.09</v>
      </c>
      <c r="K1480" s="17">
        <f t="shared" si="3"/>
        <v>1</v>
      </c>
      <c r="L1480" s="18"/>
    </row>
    <row r="1481" hidden="1">
      <c r="A1481" s="2">
        <f>IFERROR(__xludf.DUMMYFUNCTION("""COMPUTED_VALUE"""),14527.0)</f>
        <v>14527</v>
      </c>
      <c r="B1481" s="2">
        <f>IFERROR(__xludf.DUMMYFUNCTION("""COMPUTED_VALUE"""),1.0)</f>
        <v>1</v>
      </c>
      <c r="C1481" s="2">
        <f>IFERROR(__xludf.DUMMYFUNCTION("""COMPUTED_VALUE"""),257.0)</f>
        <v>257</v>
      </c>
      <c r="D1481" s="3">
        <f>IFERROR(__xludf.DUMMYFUNCTION("""COMPUTED_VALUE"""),221.0)</f>
        <v>221</v>
      </c>
      <c r="E1481" s="1" t="str">
        <f t="array" ref="E1481">_xlfn.XLOOKUP(A1481,Product!A:A,Product!B:B,"Bulunamadı")</f>
        <v>Tech</v>
      </c>
      <c r="F1481" s="1" t="str">
        <f t="array" ref="F1481">_xlfn.XLOOKUP(A1481,Product!A:A,Product!C:C,"Bulunamadı")</f>
        <v>Cultural History</v>
      </c>
      <c r="G1481" s="2" t="str">
        <f t="array" ref="G1481">_xlfn.XLOOKUP(A1482,Product!A:A,Product!D:D,"Bulunamadı")</f>
        <v>Golden Peak Publishing</v>
      </c>
      <c r="H1481" s="2">
        <f t="array" ref="H1481">_xlfn.XLOOKUP(A1483,Product!A:A,Product!E:E,"Bulunamadı")</f>
        <v>4.59</v>
      </c>
      <c r="I1481" s="2" t="str">
        <f t="shared" si="1"/>
        <v>14527 - Tech - Cultural History</v>
      </c>
      <c r="J1481" s="2">
        <f t="shared" si="2"/>
        <v>1014.39</v>
      </c>
      <c r="K1481" s="17">
        <f t="shared" si="3"/>
        <v>1</v>
      </c>
      <c r="L1481" s="18"/>
    </row>
    <row r="1482" hidden="1">
      <c r="A1482" s="2">
        <f>IFERROR(__xludf.DUMMYFUNCTION("""COMPUTED_VALUE"""),27534.0)</f>
        <v>27534</v>
      </c>
      <c r="B1482" s="2">
        <f>IFERROR(__xludf.DUMMYFUNCTION("""COMPUTED_VALUE"""),0.0)</f>
        <v>0</v>
      </c>
      <c r="C1482" s="2">
        <f>IFERROR(__xludf.DUMMYFUNCTION("""COMPUTED_VALUE"""),380.0)</f>
        <v>380</v>
      </c>
      <c r="D1482" s="3">
        <f>IFERROR(__xludf.DUMMYFUNCTION("""COMPUTED_VALUE"""),147.0)</f>
        <v>147</v>
      </c>
      <c r="E1482" s="1" t="str">
        <f t="array" ref="E1482">_xlfn.XLOOKUP(A1482,Product!A:A,Product!B:B,"Bulunamadı")</f>
        <v>Tech</v>
      </c>
      <c r="F1482" s="1" t="str">
        <f t="array" ref="F1482">_xlfn.XLOOKUP(A1482,Product!A:A,Product!C:C,"Bulunamadı")</f>
        <v>Cultural History</v>
      </c>
      <c r="G1482" s="2" t="str">
        <f t="array" ref="G1482">_xlfn.XLOOKUP(A1483,Product!A:A,Product!D:D,"Bulunamadı")</f>
        <v>Golden Peak Publishing</v>
      </c>
      <c r="H1482" s="2">
        <f t="array" ref="H1482">_xlfn.XLOOKUP(A1484,Product!A:A,Product!E:E,"Bulunamadı")</f>
        <v>11.41</v>
      </c>
      <c r="I1482" s="2" t="str">
        <f t="shared" si="1"/>
        <v>27534 - Tech - Cultural History</v>
      </c>
      <c r="J1482" s="2">
        <f t="shared" si="2"/>
        <v>1677.27</v>
      </c>
      <c r="K1482" s="17">
        <f t="shared" si="3"/>
        <v>1</v>
      </c>
      <c r="L1482" s="18"/>
    </row>
    <row r="1483" hidden="1">
      <c r="A1483" s="2">
        <f>IFERROR(__xludf.DUMMYFUNCTION("""COMPUTED_VALUE"""),91636.0)</f>
        <v>91636</v>
      </c>
      <c r="B1483" s="2">
        <f>IFERROR(__xludf.DUMMYFUNCTION("""COMPUTED_VALUE"""),1.0)</f>
        <v>1</v>
      </c>
      <c r="C1483" s="2">
        <f>IFERROR(__xludf.DUMMYFUNCTION("""COMPUTED_VALUE"""),861.0)</f>
        <v>861</v>
      </c>
      <c r="D1483" s="3">
        <f>IFERROR(__xludf.DUMMYFUNCTION("""COMPUTED_VALUE"""),67.0)</f>
        <v>67</v>
      </c>
      <c r="E1483" s="1" t="str">
        <f t="array" ref="E1483">_xlfn.XLOOKUP(A1483,Product!A:A,Product!B:B,"Bulunamadı")</f>
        <v>Tech</v>
      </c>
      <c r="F1483" s="1" t="str">
        <f t="array" ref="F1483">_xlfn.XLOOKUP(A1483,Product!A:A,Product!C:C,"Bulunamadı")</f>
        <v>Cultural History</v>
      </c>
      <c r="G1483" s="2" t="str">
        <f t="array" ref="G1483">_xlfn.XLOOKUP(A1484,Product!A:A,Product!D:D,"Bulunamadı")</f>
        <v>Crown Ridge Books</v>
      </c>
      <c r="H1483" s="2">
        <f t="array" ref="H1483">_xlfn.XLOOKUP(A1485,Product!A:A,Product!E:E,"Bulunamadı")</f>
        <v>3.93</v>
      </c>
      <c r="I1483" s="2" t="str">
        <f t="shared" si="1"/>
        <v>91636 - Tech - Cultural History</v>
      </c>
      <c r="J1483" s="2">
        <f t="shared" si="2"/>
        <v>263.31</v>
      </c>
      <c r="K1483" s="17">
        <f t="shared" si="3"/>
        <v>1</v>
      </c>
      <c r="L1483" s="18"/>
    </row>
    <row r="1484" hidden="1">
      <c r="A1484" s="2">
        <f>IFERROR(__xludf.DUMMYFUNCTION("""COMPUTED_VALUE"""),120941.0)</f>
        <v>120941</v>
      </c>
      <c r="B1484" s="2">
        <f>IFERROR(__xludf.DUMMYFUNCTION("""COMPUTED_VALUE"""),0.0)</f>
        <v>0</v>
      </c>
      <c r="C1484" s="2">
        <f>IFERROR(__xludf.DUMMYFUNCTION("""COMPUTED_VALUE"""),58.0)</f>
        <v>58</v>
      </c>
      <c r="D1484" s="3">
        <f>IFERROR(__xludf.DUMMYFUNCTION("""COMPUTED_VALUE"""),21.0)</f>
        <v>21</v>
      </c>
      <c r="E1484" s="1" t="str">
        <f t="array" ref="E1484">_xlfn.XLOOKUP(A1484,Product!A:A,Product!B:B,"Bulunamadı")</f>
        <v>Tech</v>
      </c>
      <c r="F1484" s="1" t="str">
        <f t="array" ref="F1484">_xlfn.XLOOKUP(A1484,Product!A:A,Product!C:C,"Bulunamadı")</f>
        <v>Cultural History</v>
      </c>
      <c r="G1484" s="2" t="str">
        <f t="array" ref="G1484">_xlfn.XLOOKUP(A1485,Product!A:A,Product!D:D,"Bulunamadı")</f>
        <v>Crown Ridge Books</v>
      </c>
      <c r="H1484" s="2">
        <f t="array" ref="H1484">_xlfn.XLOOKUP(A1486,Product!A:A,Product!E:E,"Bulunamadı")</f>
        <v>9.23</v>
      </c>
      <c r="I1484" s="2" t="str">
        <f t="shared" si="1"/>
        <v>120941 - Tech - Cultural History</v>
      </c>
      <c r="J1484" s="2">
        <f t="shared" si="2"/>
        <v>193.83</v>
      </c>
      <c r="K1484" s="17">
        <f t="shared" si="3"/>
        <v>1</v>
      </c>
      <c r="L1484" s="18"/>
    </row>
    <row r="1485" hidden="1">
      <c r="A1485" s="2">
        <f>IFERROR(__xludf.DUMMYFUNCTION("""COMPUTED_VALUE"""),111897.0)</f>
        <v>111897</v>
      </c>
      <c r="B1485" s="2">
        <f>IFERROR(__xludf.DUMMYFUNCTION("""COMPUTED_VALUE"""),0.0)</f>
        <v>0</v>
      </c>
      <c r="C1485" s="2">
        <f>IFERROR(__xludf.DUMMYFUNCTION("""COMPUTED_VALUE"""),52.0)</f>
        <v>52</v>
      </c>
      <c r="D1485" s="3">
        <f>IFERROR(__xludf.DUMMYFUNCTION("""COMPUTED_VALUE"""),5.0)</f>
        <v>5</v>
      </c>
      <c r="E1485" s="1" t="str">
        <f t="array" ref="E1485">_xlfn.XLOOKUP(A1485,Product!A:A,Product!B:B,"Bulunamadı")</f>
        <v>Tech</v>
      </c>
      <c r="F1485" s="1" t="str">
        <f t="array" ref="F1485">_xlfn.XLOOKUP(A1485,Product!A:A,Product!C:C,"Bulunamadı")</f>
        <v>Cultural History</v>
      </c>
      <c r="G1485" s="2" t="str">
        <f t="array" ref="G1485">_xlfn.XLOOKUP(A1486,Product!A:A,Product!D:D,"Bulunamadı")</f>
        <v>Crown Ridge Books</v>
      </c>
      <c r="H1485" s="2">
        <f t="array" ref="H1485">_xlfn.XLOOKUP(A1487,Product!A:A,Product!E:E,"Bulunamadı")</f>
        <v>1.52</v>
      </c>
      <c r="I1485" s="2" t="str">
        <f t="shared" si="1"/>
        <v>111897 - Tech - Cultural History</v>
      </c>
      <c r="J1485" s="2">
        <f t="shared" si="2"/>
        <v>7.6</v>
      </c>
      <c r="K1485" s="17">
        <f t="shared" si="3"/>
        <v>1</v>
      </c>
      <c r="L1485" s="18"/>
    </row>
    <row r="1486" hidden="1">
      <c r="A1486" s="2">
        <f>IFERROR(__xludf.DUMMYFUNCTION("""COMPUTED_VALUE"""),158485.0)</f>
        <v>158485</v>
      </c>
      <c r="B1486" s="2">
        <f>IFERROR(__xludf.DUMMYFUNCTION("""COMPUTED_VALUE"""),1.0)</f>
        <v>1</v>
      </c>
      <c r="C1486" s="2">
        <f>IFERROR(__xludf.DUMMYFUNCTION("""COMPUTED_VALUE"""),406.0)</f>
        <v>406</v>
      </c>
      <c r="D1486" s="3">
        <f>IFERROR(__xludf.DUMMYFUNCTION("""COMPUTED_VALUE"""),307.0)</f>
        <v>307</v>
      </c>
      <c r="E1486" s="1" t="str">
        <f t="array" ref="E1486">_xlfn.XLOOKUP(A1486,Product!A:A,Product!B:B,"Bulunamadı")</f>
        <v>Tech</v>
      </c>
      <c r="F1486" s="1" t="str">
        <f t="array" ref="F1486">_xlfn.XLOOKUP(A1486,Product!A:A,Product!C:C,"Bulunamadı")</f>
        <v>Cultural History</v>
      </c>
      <c r="G1486" s="2" t="str">
        <f t="array" ref="G1486">_xlfn.XLOOKUP(A1487,Product!A:A,Product!D:D,"Bulunamadı")</f>
        <v/>
      </c>
      <c r="H1486" s="2">
        <f t="array" ref="H1486">_xlfn.XLOOKUP(A1488,Product!A:A,Product!E:E,"Bulunamadı")</f>
        <v>0.95</v>
      </c>
      <c r="I1486" s="2" t="str">
        <f t="shared" si="1"/>
        <v>158485 - Tech - Cultural History</v>
      </c>
      <c r="J1486" s="2">
        <f t="shared" si="2"/>
        <v>291.65</v>
      </c>
      <c r="K1486" s="17">
        <f t="shared" si="3"/>
        <v>1</v>
      </c>
      <c r="L1486" s="18"/>
    </row>
    <row r="1487" hidden="1">
      <c r="A1487" s="2">
        <f>IFERROR(__xludf.DUMMYFUNCTION("""COMPUTED_VALUE"""),199530.0)</f>
        <v>199530</v>
      </c>
      <c r="B1487" s="2">
        <f>IFERROR(__xludf.DUMMYFUNCTION("""COMPUTED_VALUE"""),0.0)</f>
        <v>0</v>
      </c>
      <c r="C1487" s="2">
        <f>IFERROR(__xludf.DUMMYFUNCTION("""COMPUTED_VALUE"""),113.0)</f>
        <v>113</v>
      </c>
      <c r="D1487" s="3">
        <f>IFERROR(__xludf.DUMMYFUNCTION("""COMPUTED_VALUE"""),28.0)</f>
        <v>28</v>
      </c>
      <c r="E1487" s="1" t="str">
        <f t="array" ref="E1487">_xlfn.XLOOKUP(A1487,Product!A:A,Product!B:B,"Bulunamadı")</f>
        <v>History</v>
      </c>
      <c r="F1487" s="1" t="str">
        <f t="array" ref="F1487">_xlfn.XLOOKUP(A1487,Product!A:A,Product!C:C,"Bulunamadı")</f>
        <v>Social History</v>
      </c>
      <c r="G1487" s="2" t="str">
        <f t="array" ref="G1487">_xlfn.XLOOKUP(A1488,Product!A:A,Product!D:D,"Bulunamadı")</f>
        <v/>
      </c>
      <c r="H1487" s="2">
        <f t="array" ref="H1487">_xlfn.XLOOKUP(A1489,Product!A:A,Product!E:E,"Bulunamadı")</f>
        <v>1.68</v>
      </c>
      <c r="I1487" s="2" t="str">
        <f t="shared" si="1"/>
        <v>199530 - History - Social History</v>
      </c>
      <c r="J1487" s="2">
        <f t="shared" si="2"/>
        <v>47.04</v>
      </c>
      <c r="K1487" s="17">
        <f t="shared" si="3"/>
        <v>1</v>
      </c>
      <c r="L1487" s="18"/>
    </row>
    <row r="1488" hidden="1">
      <c r="A1488" s="2">
        <f>IFERROR(__xludf.DUMMYFUNCTION("""COMPUTED_VALUE"""),120946.0)</f>
        <v>120946</v>
      </c>
      <c r="B1488" s="2">
        <f>IFERROR(__xludf.DUMMYFUNCTION("""COMPUTED_VALUE"""),1.0)</f>
        <v>1</v>
      </c>
      <c r="C1488" s="2">
        <f>IFERROR(__xludf.DUMMYFUNCTION("""COMPUTED_VALUE"""),578.0)</f>
        <v>578</v>
      </c>
      <c r="D1488" s="3">
        <f>IFERROR(__xludf.DUMMYFUNCTION("""COMPUTED_VALUE"""),57.0)</f>
        <v>57</v>
      </c>
      <c r="E1488" s="1" t="str">
        <f t="array" ref="E1488">_xlfn.XLOOKUP(A1488,Product!A:A,Product!B:B,"Bulunamadı")</f>
        <v>History</v>
      </c>
      <c r="F1488" s="1" t="str">
        <f t="array" ref="F1488">_xlfn.XLOOKUP(A1488,Product!A:A,Product!C:C,"Bulunamadı")</f>
        <v>Social History</v>
      </c>
      <c r="G1488" s="2" t="str">
        <f t="array" ref="G1488">_xlfn.XLOOKUP(A1489,Product!A:A,Product!D:D,"Bulunamadı")</f>
        <v/>
      </c>
      <c r="H1488" s="2">
        <f t="array" ref="H1488">_xlfn.XLOOKUP(A1490,Product!A:A,Product!E:E,"Bulunamadı")</f>
        <v>1.2</v>
      </c>
      <c r="I1488" s="2" t="str">
        <f t="shared" si="1"/>
        <v>120946 - History - Social History</v>
      </c>
      <c r="J1488" s="2">
        <f t="shared" si="2"/>
        <v>68.4</v>
      </c>
      <c r="K1488" s="17">
        <f t="shared" si="3"/>
        <v>1</v>
      </c>
      <c r="L1488" s="18"/>
    </row>
    <row r="1489" hidden="1">
      <c r="A1489" s="2">
        <f>IFERROR(__xludf.DUMMYFUNCTION("""COMPUTED_VALUE"""),82957.0)</f>
        <v>82957</v>
      </c>
      <c r="B1489" s="2">
        <f>IFERROR(__xludf.DUMMYFUNCTION("""COMPUTED_VALUE"""),0.0)</f>
        <v>0</v>
      </c>
      <c r="C1489" s="2">
        <f>IFERROR(__xludf.DUMMYFUNCTION("""COMPUTED_VALUE"""),393.0)</f>
        <v>393</v>
      </c>
      <c r="D1489" s="3">
        <f>IFERROR(__xludf.DUMMYFUNCTION("""COMPUTED_VALUE"""),39.0)</f>
        <v>39</v>
      </c>
      <c r="E1489" s="1" t="str">
        <f t="array" ref="E1489">_xlfn.XLOOKUP(A1489,Product!A:A,Product!B:B,"Bulunamadı")</f>
        <v>History</v>
      </c>
      <c r="F1489" s="1" t="str">
        <f t="array" ref="F1489">_xlfn.XLOOKUP(A1489,Product!A:A,Product!C:C,"Bulunamadı")</f>
        <v>Social History</v>
      </c>
      <c r="G1489" s="2" t="str">
        <f t="array" ref="G1489">_xlfn.XLOOKUP(A1490,Product!A:A,Product!D:D,"Bulunamadı")</f>
        <v/>
      </c>
      <c r="H1489" s="2">
        <f t="array" ref="H1489">_xlfn.XLOOKUP(A1491,Product!A:A,Product!E:E,"Bulunamadı")</f>
        <v>0.99</v>
      </c>
      <c r="I1489" s="2" t="str">
        <f t="shared" si="1"/>
        <v>82957 - History - Social History</v>
      </c>
      <c r="J1489" s="2">
        <f t="shared" si="2"/>
        <v>38.61</v>
      </c>
      <c r="K1489" s="17">
        <f t="shared" si="3"/>
        <v>1</v>
      </c>
      <c r="L1489" s="18"/>
    </row>
    <row r="1490" hidden="1">
      <c r="A1490" s="2">
        <f>IFERROR(__xludf.DUMMYFUNCTION("""COMPUTED_VALUE"""),109830.0)</f>
        <v>109830</v>
      </c>
      <c r="B1490" s="2">
        <f>IFERROR(__xludf.DUMMYFUNCTION("""COMPUTED_VALUE"""),0.0)</f>
        <v>0</v>
      </c>
      <c r="C1490" s="2">
        <f>IFERROR(__xludf.DUMMYFUNCTION("""COMPUTED_VALUE"""),915.0)</f>
        <v>915</v>
      </c>
      <c r="D1490" s="3">
        <f>IFERROR(__xludf.DUMMYFUNCTION("""COMPUTED_VALUE"""),392.0)</f>
        <v>392</v>
      </c>
      <c r="E1490" s="1" t="str">
        <f t="array" ref="E1490">_xlfn.XLOOKUP(A1490,Product!A:A,Product!B:B,"Bulunamadı")</f>
        <v>History</v>
      </c>
      <c r="F1490" s="1" t="str">
        <f t="array" ref="F1490">_xlfn.XLOOKUP(A1490,Product!A:A,Product!C:C,"Bulunamadı")</f>
        <v>Social History</v>
      </c>
      <c r="G1490" s="2" t="str">
        <f t="array" ref="G1490">_xlfn.XLOOKUP(A1491,Product!A:A,Product!D:D,"Bulunamadı")</f>
        <v/>
      </c>
      <c r="H1490" s="2">
        <f t="array" ref="H1490">_xlfn.XLOOKUP(A1492,Product!A:A,Product!E:E,"Bulunamadı")</f>
        <v>2.35</v>
      </c>
      <c r="I1490" s="2" t="str">
        <f t="shared" si="1"/>
        <v>109830 - History - Social History</v>
      </c>
      <c r="J1490" s="2">
        <f t="shared" si="2"/>
        <v>921.2</v>
      </c>
      <c r="K1490" s="17">
        <f t="shared" si="3"/>
        <v>1</v>
      </c>
      <c r="L1490" s="18"/>
    </row>
    <row r="1491" hidden="1">
      <c r="A1491" s="2">
        <f>IFERROR(__xludf.DUMMYFUNCTION("""COMPUTED_VALUE"""),109831.0)</f>
        <v>109831</v>
      </c>
      <c r="B1491" s="2">
        <f>IFERROR(__xludf.DUMMYFUNCTION("""COMPUTED_VALUE"""),1.0)</f>
        <v>1</v>
      </c>
      <c r="C1491" s="2">
        <f>IFERROR(__xludf.DUMMYFUNCTION("""COMPUTED_VALUE"""),513.0)</f>
        <v>513</v>
      </c>
      <c r="D1491" s="3">
        <f>IFERROR(__xludf.DUMMYFUNCTION("""COMPUTED_VALUE"""),236.0)</f>
        <v>236</v>
      </c>
      <c r="E1491" s="1" t="str">
        <f t="array" ref="E1491">_xlfn.XLOOKUP(A1491,Product!A:A,Product!B:B,"Bulunamadı")</f>
        <v>History</v>
      </c>
      <c r="F1491" s="1" t="str">
        <f t="array" ref="F1491">_xlfn.XLOOKUP(A1491,Product!A:A,Product!C:C,"Bulunamadı")</f>
        <v>Social History</v>
      </c>
      <c r="G1491" s="2" t="str">
        <f t="array" ref="G1491">_xlfn.XLOOKUP(A1492,Product!A:A,Product!D:D,"Bulunamadı")</f>
        <v>Sunset Ridge Press</v>
      </c>
      <c r="H1491" s="2">
        <f t="array" ref="H1491">_xlfn.XLOOKUP(A1493,Product!A:A,Product!E:E,"Bulunamadı")</f>
        <v>1.61</v>
      </c>
      <c r="I1491" s="2" t="str">
        <f t="shared" si="1"/>
        <v>109831 - History - Social History</v>
      </c>
      <c r="J1491" s="2">
        <f t="shared" si="2"/>
        <v>379.96</v>
      </c>
      <c r="K1491" s="17">
        <f t="shared" si="3"/>
        <v>1</v>
      </c>
      <c r="L1491" s="18"/>
    </row>
    <row r="1492">
      <c r="A1492" s="2">
        <f>IFERROR(__xludf.DUMMYFUNCTION("""COMPUTED_VALUE"""),107899.0)</f>
        <v>107899</v>
      </c>
      <c r="B1492" s="2">
        <f>IFERROR(__xludf.DUMMYFUNCTION("""COMPUTED_VALUE"""),1.0)</f>
        <v>1</v>
      </c>
      <c r="C1492" s="2">
        <f>IFERROR(__xludf.DUMMYFUNCTION("""COMPUTED_VALUE"""),862.0)</f>
        <v>862</v>
      </c>
      <c r="D1492" s="3">
        <f>IFERROR(__xludf.DUMMYFUNCTION("""COMPUTED_VALUE"""),620.0)</f>
        <v>620</v>
      </c>
      <c r="E1492" s="1" t="str">
        <f t="array" ref="E1492">_xlfn.XLOOKUP(A1492,Product!A:A,Product!B:B,"Bulunamadı")</f>
        <v>Arts</v>
      </c>
      <c r="F1492" s="1" t="str">
        <f t="array" ref="F1492">_xlfn.XLOOKUP(A1492,Product!A:A,Product!C:C,"Bulunamadı")</f>
        <v>History of Science</v>
      </c>
      <c r="G1492" s="2" t="str">
        <f t="array" ref="G1492">_xlfn.XLOOKUP(A1493,Product!A:A,Product!D:D,"Bulunamadı")</f>
        <v>Sunset Ridge Press</v>
      </c>
      <c r="H1492" s="2">
        <f t="array" ref="H1492">_xlfn.XLOOKUP(A1494,Product!A:A,Product!E:E,"Bulunamadı")</f>
        <v>5.45</v>
      </c>
      <c r="I1492" s="2" t="str">
        <f t="shared" si="1"/>
        <v>107899 - Arts - History of Science</v>
      </c>
      <c r="J1492" s="2">
        <f t="shared" si="2"/>
        <v>3379</v>
      </c>
      <c r="K1492" s="17">
        <f t="shared" si="3"/>
        <v>1</v>
      </c>
      <c r="L1492" s="18"/>
    </row>
    <row r="1493">
      <c r="A1493" s="2">
        <f>IFERROR(__xludf.DUMMYFUNCTION("""COMPUTED_VALUE"""),139289.0)</f>
        <v>139289</v>
      </c>
      <c r="B1493" s="2">
        <f>IFERROR(__xludf.DUMMYFUNCTION("""COMPUTED_VALUE"""),1.0)</f>
        <v>1</v>
      </c>
      <c r="C1493" s="2">
        <f>IFERROR(__xludf.DUMMYFUNCTION("""COMPUTED_VALUE"""),631.0)</f>
        <v>631</v>
      </c>
      <c r="D1493" s="3">
        <f>IFERROR(__xludf.DUMMYFUNCTION("""COMPUTED_VALUE"""),227.0)</f>
        <v>227</v>
      </c>
      <c r="E1493" s="1" t="str">
        <f t="array" ref="E1493">_xlfn.XLOOKUP(A1493,Product!A:A,Product!B:B,"Bulunamadı")</f>
        <v>Arts</v>
      </c>
      <c r="F1493" s="1" t="str">
        <f t="array" ref="F1493">_xlfn.XLOOKUP(A1493,Product!A:A,Product!C:C,"Bulunamadı")</f>
        <v>History of Science</v>
      </c>
      <c r="G1493" s="2" t="str">
        <f t="array" ref="G1493">_xlfn.XLOOKUP(A1494,Product!A:A,Product!D:D,"Bulunamadı")</f>
        <v>Sunset Ridge Press</v>
      </c>
      <c r="H1493" s="2">
        <f t="array" ref="H1493">_xlfn.XLOOKUP(A1495,Product!A:A,Product!E:E,"Bulunamadı")</f>
        <v>2.31</v>
      </c>
      <c r="I1493" s="2" t="str">
        <f t="shared" si="1"/>
        <v>139289 - Arts - History of Science</v>
      </c>
      <c r="J1493" s="2">
        <f t="shared" si="2"/>
        <v>524.37</v>
      </c>
      <c r="K1493" s="17">
        <f t="shared" si="3"/>
        <v>1</v>
      </c>
      <c r="L1493" s="18"/>
    </row>
    <row r="1494">
      <c r="A1494" s="2">
        <f>IFERROR(__xludf.DUMMYFUNCTION("""COMPUTED_VALUE"""),72129.0)</f>
        <v>72129</v>
      </c>
      <c r="B1494" s="2">
        <f>IFERROR(__xludf.DUMMYFUNCTION("""COMPUTED_VALUE"""),0.0)</f>
        <v>0</v>
      </c>
      <c r="C1494" s="2">
        <f>IFERROR(__xludf.DUMMYFUNCTION("""COMPUTED_VALUE"""),384.0)</f>
        <v>384</v>
      </c>
      <c r="D1494" s="3">
        <f>IFERROR(__xludf.DUMMYFUNCTION("""COMPUTED_VALUE"""),317.0)</f>
        <v>317</v>
      </c>
      <c r="E1494" s="1" t="str">
        <f t="array" ref="E1494">_xlfn.XLOOKUP(A1494,Product!A:A,Product!B:B,"Bulunamadı")</f>
        <v>Arts</v>
      </c>
      <c r="F1494" s="1" t="str">
        <f t="array" ref="F1494">_xlfn.XLOOKUP(A1494,Product!A:A,Product!C:C,"Bulunamadı")</f>
        <v>History of Science</v>
      </c>
      <c r="G1494" s="2" t="str">
        <f t="array" ref="G1494">_xlfn.XLOOKUP(A1495,Product!A:A,Product!D:D,"Bulunamadı")</f>
        <v>Sunset Ridge Press</v>
      </c>
      <c r="H1494" s="2">
        <f t="array" ref="H1494">_xlfn.XLOOKUP(A1496,Product!A:A,Product!E:E,"Bulunamadı")</f>
        <v>3.69</v>
      </c>
      <c r="I1494" s="2" t="str">
        <f t="shared" si="1"/>
        <v>72129 - Arts - History of Science</v>
      </c>
      <c r="J1494" s="2">
        <f t="shared" si="2"/>
        <v>1169.73</v>
      </c>
      <c r="K1494" s="17">
        <f t="shared" si="3"/>
        <v>1</v>
      </c>
      <c r="L1494" s="18"/>
    </row>
    <row r="1495">
      <c r="A1495" s="2">
        <f>IFERROR(__xludf.DUMMYFUNCTION("""COMPUTED_VALUE"""),106541.0)</f>
        <v>106541</v>
      </c>
      <c r="B1495" s="2">
        <f>IFERROR(__xludf.DUMMYFUNCTION("""COMPUTED_VALUE"""),0.0)</f>
        <v>0</v>
      </c>
      <c r="C1495" s="2">
        <f>IFERROR(__xludf.DUMMYFUNCTION("""COMPUTED_VALUE"""),67.0)</f>
        <v>67</v>
      </c>
      <c r="D1495" s="3">
        <f>IFERROR(__xludf.DUMMYFUNCTION("""COMPUTED_VALUE"""),35.0)</f>
        <v>35</v>
      </c>
      <c r="E1495" s="1" t="str">
        <f t="array" ref="E1495">_xlfn.XLOOKUP(A1495,Product!A:A,Product!B:B,"Bulunamadı")</f>
        <v>Arts</v>
      </c>
      <c r="F1495" s="1" t="str">
        <f t="array" ref="F1495">_xlfn.XLOOKUP(A1495,Product!A:A,Product!C:C,"Bulunamadı")</f>
        <v>History of Science</v>
      </c>
      <c r="G1495" s="2" t="str">
        <f t="array" ref="G1495">_xlfn.XLOOKUP(A1496,Product!A:A,Product!D:D,"Bulunamadı")</f>
        <v>Sunset Ridge Press</v>
      </c>
      <c r="H1495" s="2">
        <f t="array" ref="H1495">_xlfn.XLOOKUP(A1497,Product!A:A,Product!E:E,"Bulunamadı")</f>
        <v>9.14</v>
      </c>
      <c r="I1495" s="2" t="str">
        <f t="shared" si="1"/>
        <v>106541 - Arts - History of Science</v>
      </c>
      <c r="J1495" s="2">
        <f t="shared" si="2"/>
        <v>319.9</v>
      </c>
      <c r="K1495" s="17">
        <f t="shared" si="3"/>
        <v>1</v>
      </c>
      <c r="L1495" s="18"/>
    </row>
    <row r="1496">
      <c r="A1496" s="2">
        <f>IFERROR(__xludf.DUMMYFUNCTION("""COMPUTED_VALUE"""),43810.0)</f>
        <v>43810</v>
      </c>
      <c r="B1496" s="2">
        <f>IFERROR(__xludf.DUMMYFUNCTION("""COMPUTED_VALUE"""),0.0)</f>
        <v>0</v>
      </c>
      <c r="C1496" s="2">
        <f>IFERROR(__xludf.DUMMYFUNCTION("""COMPUTED_VALUE"""),671.0)</f>
        <v>671</v>
      </c>
      <c r="D1496" s="3">
        <f>IFERROR(__xludf.DUMMYFUNCTION("""COMPUTED_VALUE"""),607.0)</f>
        <v>607</v>
      </c>
      <c r="E1496" s="1" t="str">
        <f t="array" ref="E1496">_xlfn.XLOOKUP(A1496,Product!A:A,Product!B:B,"Bulunamadı")</f>
        <v>Arts</v>
      </c>
      <c r="F1496" s="1" t="str">
        <f t="array" ref="F1496">_xlfn.XLOOKUP(A1496,Product!A:A,Product!C:C,"Bulunamadı")</f>
        <v>History of Science</v>
      </c>
      <c r="G1496" s="2" t="str">
        <f t="array" ref="G1496">_xlfn.XLOOKUP(A1497,Product!A:A,Product!D:D,"Bulunamadı")</f>
        <v>Sunset Ridge Press</v>
      </c>
      <c r="H1496" s="2">
        <f t="array" ref="H1496">_xlfn.XLOOKUP(A1498,Product!A:A,Product!E:E,"Bulunamadı")</f>
        <v>3.07</v>
      </c>
      <c r="I1496" s="2" t="str">
        <f t="shared" si="1"/>
        <v>43810 - Arts - History of Science</v>
      </c>
      <c r="J1496" s="2">
        <f t="shared" si="2"/>
        <v>1863.49</v>
      </c>
      <c r="K1496" s="17">
        <f t="shared" si="3"/>
        <v>1</v>
      </c>
      <c r="L1496" s="18"/>
    </row>
    <row r="1497">
      <c r="A1497" s="2">
        <f>IFERROR(__xludf.DUMMYFUNCTION("""COMPUTED_VALUE"""),83117.0)</f>
        <v>83117</v>
      </c>
      <c r="B1497" s="2">
        <f>IFERROR(__xludf.DUMMYFUNCTION("""COMPUTED_VALUE"""),0.0)</f>
        <v>0</v>
      </c>
      <c r="C1497" s="2">
        <f>IFERROR(__xludf.DUMMYFUNCTION("""COMPUTED_VALUE"""),408.0)</f>
        <v>408</v>
      </c>
      <c r="D1497" s="3">
        <f>IFERROR(__xludf.DUMMYFUNCTION("""COMPUTED_VALUE"""),262.0)</f>
        <v>262</v>
      </c>
      <c r="E1497" s="1" t="str">
        <f t="array" ref="E1497">_xlfn.XLOOKUP(A1497,Product!A:A,Product!B:B,"Bulunamadı")</f>
        <v>Arts</v>
      </c>
      <c r="F1497" s="1" t="str">
        <f t="array" ref="F1497">_xlfn.XLOOKUP(A1497,Product!A:A,Product!C:C,"Bulunamadı")</f>
        <v>History of Science</v>
      </c>
      <c r="G1497" s="2" t="str">
        <f t="array" ref="G1497">_xlfn.XLOOKUP(A1498,Product!A:A,Product!D:D,"Bulunamadı")</f>
        <v>Sunset Ridge Press</v>
      </c>
      <c r="H1497" s="2">
        <f t="array" ref="H1497">_xlfn.XLOOKUP(A1499,Product!A:A,Product!E:E,"Bulunamadı")</f>
        <v>2.71</v>
      </c>
      <c r="I1497" s="2" t="str">
        <f t="shared" si="1"/>
        <v>83117 - Arts - History of Science</v>
      </c>
      <c r="J1497" s="2">
        <f t="shared" si="2"/>
        <v>710.02</v>
      </c>
      <c r="K1497" s="17">
        <f t="shared" si="3"/>
        <v>1</v>
      </c>
      <c r="L1497" s="18"/>
    </row>
    <row r="1498">
      <c r="A1498" s="2">
        <f>IFERROR(__xludf.DUMMYFUNCTION("""COMPUTED_VALUE"""),78863.0)</f>
        <v>78863</v>
      </c>
      <c r="B1498" s="2">
        <f>IFERROR(__xludf.DUMMYFUNCTION("""COMPUTED_VALUE"""),0.0)</f>
        <v>0</v>
      </c>
      <c r="C1498" s="2">
        <f>IFERROR(__xludf.DUMMYFUNCTION("""COMPUTED_VALUE"""),120.0)</f>
        <v>120</v>
      </c>
      <c r="D1498" s="3">
        <f>IFERROR(__xludf.DUMMYFUNCTION("""COMPUTED_VALUE"""),88.0)</f>
        <v>88</v>
      </c>
      <c r="E1498" s="1" t="str">
        <f t="array" ref="E1498">_xlfn.XLOOKUP(A1498,Product!A:A,Product!B:B,"Bulunamadı")</f>
        <v>Arts</v>
      </c>
      <c r="F1498" s="1" t="str">
        <f t="array" ref="F1498">_xlfn.XLOOKUP(A1498,Product!A:A,Product!C:C,"Bulunamadı")</f>
        <v>History of Science</v>
      </c>
      <c r="G1498" s="2" t="str">
        <f t="array" ref="G1498">_xlfn.XLOOKUP(A1499,Product!A:A,Product!D:D,"Bulunamadı")</f>
        <v>Sunset Ridge Press</v>
      </c>
      <c r="H1498" s="2">
        <f t="array" ref="H1498">_xlfn.XLOOKUP(A1500,Product!A:A,Product!E:E,"Bulunamadı")</f>
        <v>2.37</v>
      </c>
      <c r="I1498" s="2" t="str">
        <f t="shared" si="1"/>
        <v>78863 - Arts - History of Science</v>
      </c>
      <c r="J1498" s="2">
        <f t="shared" si="2"/>
        <v>208.56</v>
      </c>
      <c r="K1498" s="17">
        <f t="shared" si="3"/>
        <v>1</v>
      </c>
      <c r="L1498" s="18"/>
    </row>
    <row r="1499">
      <c r="A1499" s="2">
        <f>IFERROR(__xludf.DUMMYFUNCTION("""COMPUTED_VALUE"""),107898.0)</f>
        <v>107898</v>
      </c>
      <c r="B1499" s="2">
        <f>IFERROR(__xludf.DUMMYFUNCTION("""COMPUTED_VALUE"""),0.0)</f>
        <v>0</v>
      </c>
      <c r="C1499" s="2">
        <f>IFERROR(__xludf.DUMMYFUNCTION("""COMPUTED_VALUE"""),18.0)</f>
        <v>18</v>
      </c>
      <c r="D1499" s="3">
        <f>IFERROR(__xludf.DUMMYFUNCTION("""COMPUTED_VALUE"""),2.0)</f>
        <v>2</v>
      </c>
      <c r="E1499" s="1" t="str">
        <f t="array" ref="E1499">_xlfn.XLOOKUP(A1499,Product!A:A,Product!B:B,"Bulunamadı")</f>
        <v>Arts</v>
      </c>
      <c r="F1499" s="1" t="str">
        <f t="array" ref="F1499">_xlfn.XLOOKUP(A1499,Product!A:A,Product!C:C,"Bulunamadı")</f>
        <v>History of Science</v>
      </c>
      <c r="G1499" s="2" t="str">
        <f t="array" ref="G1499">_xlfn.XLOOKUP(A1500,Product!A:A,Product!D:D,"Bulunamadı")</f>
        <v>Blue Horizon Publishing</v>
      </c>
      <c r="H1499" s="2">
        <f t="array" ref="H1499">_xlfn.XLOOKUP(A1501,Product!A:A,Product!E:E,"Bulunamadı")</f>
        <v>3.5</v>
      </c>
      <c r="I1499" s="2" t="str">
        <f t="shared" si="1"/>
        <v>107898 - Arts - History of Science</v>
      </c>
      <c r="J1499" s="2">
        <f t="shared" si="2"/>
        <v>7</v>
      </c>
      <c r="K1499" s="17">
        <f t="shared" si="3"/>
        <v>1</v>
      </c>
      <c r="L1499" s="18"/>
    </row>
    <row r="1500">
      <c r="A1500" s="2">
        <f>IFERROR(__xludf.DUMMYFUNCTION("""COMPUTED_VALUE"""),80181.0)</f>
        <v>80181</v>
      </c>
      <c r="B1500" s="2">
        <f>IFERROR(__xludf.DUMMYFUNCTION("""COMPUTED_VALUE"""),1.0)</f>
        <v>1</v>
      </c>
      <c r="C1500" s="2">
        <f>IFERROR(__xludf.DUMMYFUNCTION("""COMPUTED_VALUE"""),171.0)</f>
        <v>171</v>
      </c>
      <c r="D1500" s="3">
        <f>IFERROR(__xludf.DUMMYFUNCTION("""COMPUTED_VALUE"""),29.0)</f>
        <v>29</v>
      </c>
      <c r="E1500" s="1" t="str">
        <f t="array" ref="E1500">_xlfn.XLOOKUP(A1500,Product!A:A,Product!B:B,"Bulunamadı")</f>
        <v>Arts</v>
      </c>
      <c r="F1500" s="1" t="str">
        <f t="array" ref="F1500">_xlfn.XLOOKUP(A1500,Product!A:A,Product!C:C,"Bulunamadı")</f>
        <v>History of Science</v>
      </c>
      <c r="G1500" s="2" t="str">
        <f t="array" ref="G1500">_xlfn.XLOOKUP(A1501,Product!A:A,Product!D:D,"Bulunamadı")</f>
        <v>Blue Horizon Publishing</v>
      </c>
      <c r="H1500" s="2">
        <f t="array" ref="H1500">_xlfn.XLOOKUP(A1502,Product!A:A,Product!E:E,"Bulunamadı")</f>
        <v>2.35</v>
      </c>
      <c r="I1500" s="2" t="str">
        <f t="shared" si="1"/>
        <v>80181 - Arts - History of Science</v>
      </c>
      <c r="J1500" s="2">
        <f t="shared" si="2"/>
        <v>68.15</v>
      </c>
      <c r="K1500" s="17">
        <f t="shared" si="3"/>
        <v>1</v>
      </c>
      <c r="L1500" s="18"/>
    </row>
    <row r="1501">
      <c r="A1501" s="2">
        <f>IFERROR(__xludf.DUMMYFUNCTION("""COMPUTED_VALUE"""),150280.0)</f>
        <v>150280</v>
      </c>
      <c r="B1501" s="2">
        <f>IFERROR(__xludf.DUMMYFUNCTION("""COMPUTED_VALUE"""),1.0)</f>
        <v>1</v>
      </c>
      <c r="C1501" s="2">
        <f>IFERROR(__xludf.DUMMYFUNCTION("""COMPUTED_VALUE"""),170.0)</f>
        <v>170</v>
      </c>
      <c r="D1501" s="3">
        <f>IFERROR(__xludf.DUMMYFUNCTION("""COMPUTED_VALUE"""),41.0)</f>
        <v>41</v>
      </c>
      <c r="E1501" s="1" t="str">
        <f t="array" ref="E1501">_xlfn.XLOOKUP(A1501,Product!A:A,Product!B:B,"Bulunamadı")</f>
        <v>Arts</v>
      </c>
      <c r="F1501" s="1" t="str">
        <f t="array" ref="F1501">_xlfn.XLOOKUP(A1501,Product!A:A,Product!C:C,"Bulunamadı")</f>
        <v>History of Science</v>
      </c>
      <c r="G1501" s="2" t="str">
        <f t="array" ref="G1501">_xlfn.XLOOKUP(A1502,Product!A:A,Product!D:D,"Bulunamadı")</f>
        <v>Blue Horizon Publishing</v>
      </c>
      <c r="H1501" s="2">
        <f t="array" ref="H1501">_xlfn.XLOOKUP(A1503,Product!A:A,Product!E:E,"Bulunamadı")</f>
        <v>3.06</v>
      </c>
      <c r="I1501" s="2" t="str">
        <f t="shared" si="1"/>
        <v>150280 - Arts - History of Science</v>
      </c>
      <c r="J1501" s="2">
        <f t="shared" si="2"/>
        <v>125.46</v>
      </c>
      <c r="K1501" s="17">
        <f t="shared" si="3"/>
        <v>1</v>
      </c>
      <c r="L1501" s="18"/>
    </row>
    <row r="1502">
      <c r="A1502" s="2">
        <f>IFERROR(__xludf.DUMMYFUNCTION("""COMPUTED_VALUE"""),80173.0)</f>
        <v>80173</v>
      </c>
      <c r="B1502" s="2">
        <f>IFERROR(__xludf.DUMMYFUNCTION("""COMPUTED_VALUE"""),0.0)</f>
        <v>0</v>
      </c>
      <c r="C1502" s="2">
        <f>IFERROR(__xludf.DUMMYFUNCTION("""COMPUTED_VALUE"""),19.0)</f>
        <v>19</v>
      </c>
      <c r="D1502" s="3">
        <f>IFERROR(__xludf.DUMMYFUNCTION("""COMPUTED_VALUE"""),4.0)</f>
        <v>4</v>
      </c>
      <c r="E1502" s="1" t="str">
        <f t="array" ref="E1502">_xlfn.XLOOKUP(A1502,Product!A:A,Product!B:B,"Bulunamadı")</f>
        <v>Arts</v>
      </c>
      <c r="F1502" s="1" t="str">
        <f t="array" ref="F1502">_xlfn.XLOOKUP(A1502,Product!A:A,Product!C:C,"Bulunamadı")</f>
        <v>History of Science</v>
      </c>
      <c r="G1502" s="2" t="str">
        <f t="array" ref="G1502">_xlfn.XLOOKUP(A1503,Product!A:A,Product!D:D,"Bulunamadı")</f>
        <v>Blue Horizon Publishing</v>
      </c>
      <c r="H1502" s="2">
        <f t="array" ref="H1502">_xlfn.XLOOKUP(A1504,Product!A:A,Product!E:E,"Bulunamadı")</f>
        <v>1.41</v>
      </c>
      <c r="I1502" s="2" t="str">
        <f t="shared" si="1"/>
        <v>80173 - Arts - History of Science</v>
      </c>
      <c r="J1502" s="2">
        <f t="shared" si="2"/>
        <v>5.64</v>
      </c>
      <c r="K1502" s="17">
        <f t="shared" si="3"/>
        <v>1</v>
      </c>
      <c r="L1502" s="18"/>
    </row>
    <row r="1503">
      <c r="A1503" s="2">
        <f>IFERROR(__xludf.DUMMYFUNCTION("""COMPUTED_VALUE"""),100647.0)</f>
        <v>100647</v>
      </c>
      <c r="B1503" s="2">
        <f>IFERROR(__xludf.DUMMYFUNCTION("""COMPUTED_VALUE"""),1.0)</f>
        <v>1</v>
      </c>
      <c r="C1503" s="2">
        <f>IFERROR(__xludf.DUMMYFUNCTION("""COMPUTED_VALUE"""),807.0)</f>
        <v>807</v>
      </c>
      <c r="D1503" s="3">
        <f>IFERROR(__xludf.DUMMYFUNCTION("""COMPUTED_VALUE"""),565.0)</f>
        <v>565</v>
      </c>
      <c r="E1503" s="1" t="str">
        <f t="array" ref="E1503">_xlfn.XLOOKUP(A1503,Product!A:A,Product!B:B,"Bulunamadı")</f>
        <v>Arts</v>
      </c>
      <c r="F1503" s="1" t="str">
        <f t="array" ref="F1503">_xlfn.XLOOKUP(A1503,Product!A:A,Product!C:C,"Bulunamadı")</f>
        <v>History of Science</v>
      </c>
      <c r="G1503" s="2" t="str">
        <f t="array" ref="G1503">_xlfn.XLOOKUP(A1504,Product!A:A,Product!D:D,"Bulunamadı")</f>
        <v>Blue Horizon Publishing</v>
      </c>
      <c r="H1503" s="2">
        <f t="array" ref="H1503">_xlfn.XLOOKUP(A1505,Product!A:A,Product!E:E,"Bulunamadı")</f>
        <v>2.19</v>
      </c>
      <c r="I1503" s="2" t="str">
        <f t="shared" si="1"/>
        <v>100647 - Arts - History of Science</v>
      </c>
      <c r="J1503" s="2">
        <f t="shared" si="2"/>
        <v>1237.35</v>
      </c>
      <c r="K1503" s="17">
        <f t="shared" si="3"/>
        <v>1</v>
      </c>
      <c r="L1503" s="18"/>
    </row>
    <row r="1504">
      <c r="A1504" s="2">
        <f>IFERROR(__xludf.DUMMYFUNCTION("""COMPUTED_VALUE"""),147273.0)</f>
        <v>147273</v>
      </c>
      <c r="B1504" s="2">
        <f>IFERROR(__xludf.DUMMYFUNCTION("""COMPUTED_VALUE"""),1.0)</f>
        <v>1</v>
      </c>
      <c r="C1504" s="2">
        <f>IFERROR(__xludf.DUMMYFUNCTION("""COMPUTED_VALUE"""),650.0)</f>
        <v>650</v>
      </c>
      <c r="D1504" s="3">
        <f>IFERROR(__xludf.DUMMYFUNCTION("""COMPUTED_VALUE"""),293.0)</f>
        <v>293</v>
      </c>
      <c r="E1504" s="1" t="str">
        <f t="array" ref="E1504">_xlfn.XLOOKUP(A1504,Product!A:A,Product!B:B,"Bulunamadı")</f>
        <v>Arts</v>
      </c>
      <c r="F1504" s="1" t="str">
        <f t="array" ref="F1504">_xlfn.XLOOKUP(A1504,Product!A:A,Product!C:C,"Bulunamadı")</f>
        <v>History of Science</v>
      </c>
      <c r="G1504" s="2" t="str">
        <f t="array" ref="G1504">_xlfn.XLOOKUP(A1505,Product!A:A,Product!D:D,"Bulunamadı")</f>
        <v>Blue Horizon Publishing</v>
      </c>
      <c r="H1504" s="2">
        <f t="array" ref="H1504">_xlfn.XLOOKUP(A1506,Product!A:A,Product!E:E,"Bulunamadı")</f>
        <v>2.52</v>
      </c>
      <c r="I1504" s="2" t="str">
        <f t="shared" si="1"/>
        <v>147273 - Arts - History of Science</v>
      </c>
      <c r="J1504" s="2">
        <f t="shared" si="2"/>
        <v>738.36</v>
      </c>
      <c r="K1504" s="17">
        <f t="shared" si="3"/>
        <v>1</v>
      </c>
      <c r="L1504" s="18"/>
    </row>
    <row r="1505">
      <c r="A1505" s="2">
        <f>IFERROR(__xludf.DUMMYFUNCTION("""COMPUTED_VALUE"""),83770.0)</f>
        <v>83770</v>
      </c>
      <c r="B1505" s="2">
        <f>IFERROR(__xludf.DUMMYFUNCTION("""COMPUTED_VALUE"""),1.0)</f>
        <v>1</v>
      </c>
      <c r="C1505" s="2">
        <f>IFERROR(__xludf.DUMMYFUNCTION("""COMPUTED_VALUE"""),77.0)</f>
        <v>77</v>
      </c>
      <c r="D1505" s="3">
        <f>IFERROR(__xludf.DUMMYFUNCTION("""COMPUTED_VALUE"""),70.0)</f>
        <v>70</v>
      </c>
      <c r="E1505" s="1" t="str">
        <f t="array" ref="E1505">_xlfn.XLOOKUP(A1505,Product!A:A,Product!B:B,"Bulunamadı")</f>
        <v>Arts</v>
      </c>
      <c r="F1505" s="1" t="str">
        <f t="array" ref="F1505">_xlfn.XLOOKUP(A1505,Product!A:A,Product!C:C,"Bulunamadı")</f>
        <v>History of Science</v>
      </c>
      <c r="G1505" s="2" t="str">
        <f t="array" ref="G1505">_xlfn.XLOOKUP(A1506,Product!A:A,Product!D:D,"Bulunamadı")</f>
        <v>Blue Horizon Publishing</v>
      </c>
      <c r="H1505" s="2">
        <f t="array" ref="H1505">_xlfn.XLOOKUP(A1507,Product!A:A,Product!E:E,"Bulunamadı")</f>
        <v>2.3</v>
      </c>
      <c r="I1505" s="2" t="str">
        <f t="shared" si="1"/>
        <v>83770 - Arts - History of Science</v>
      </c>
      <c r="J1505" s="2">
        <f t="shared" si="2"/>
        <v>161</v>
      </c>
      <c r="K1505" s="17">
        <f t="shared" si="3"/>
        <v>1</v>
      </c>
      <c r="L1505" s="18"/>
    </row>
    <row r="1506">
      <c r="A1506" s="2">
        <f>IFERROR(__xludf.DUMMYFUNCTION("""COMPUTED_VALUE"""),180773.0)</f>
        <v>180773</v>
      </c>
      <c r="B1506" s="2">
        <f>IFERROR(__xludf.DUMMYFUNCTION("""COMPUTED_VALUE"""),1.0)</f>
        <v>1</v>
      </c>
      <c r="C1506" s="2">
        <f>IFERROR(__xludf.DUMMYFUNCTION("""COMPUTED_VALUE"""),14.0)</f>
        <v>14</v>
      </c>
      <c r="D1506" s="3">
        <f>IFERROR(__xludf.DUMMYFUNCTION("""COMPUTED_VALUE"""),1.0)</f>
        <v>1</v>
      </c>
      <c r="E1506" s="1" t="str">
        <f t="array" ref="E1506">_xlfn.XLOOKUP(A1506,Product!A:A,Product!B:B,"Bulunamadı")</f>
        <v>Arts</v>
      </c>
      <c r="F1506" s="1" t="str">
        <f t="array" ref="F1506">_xlfn.XLOOKUP(A1506,Product!A:A,Product!C:C,"Bulunamadı")</f>
        <v>History of Science</v>
      </c>
      <c r="G1506" s="2" t="str">
        <f t="array" ref="G1506">_xlfn.XLOOKUP(A1507,Product!A:A,Product!D:D,"Bulunamadı")</f>
        <v>Blue Horizon Publishing</v>
      </c>
      <c r="H1506" s="2">
        <f t="array" ref="H1506">_xlfn.XLOOKUP(A1508,Product!A:A,Product!E:E,"Bulunamadı")</f>
        <v>3.11</v>
      </c>
      <c r="I1506" s="2" t="str">
        <f t="shared" si="1"/>
        <v>180773 - Arts - History of Science</v>
      </c>
      <c r="J1506" s="2">
        <f t="shared" si="2"/>
        <v>3.11</v>
      </c>
      <c r="K1506" s="17">
        <f t="shared" si="3"/>
        <v>1</v>
      </c>
      <c r="L1506" s="18"/>
    </row>
    <row r="1507">
      <c r="A1507" s="2">
        <f>IFERROR(__xludf.DUMMYFUNCTION("""COMPUTED_VALUE"""),80125.0)</f>
        <v>80125</v>
      </c>
      <c r="B1507" s="2">
        <f>IFERROR(__xludf.DUMMYFUNCTION("""COMPUTED_VALUE"""),0.0)</f>
        <v>0</v>
      </c>
      <c r="C1507" s="2">
        <f>IFERROR(__xludf.DUMMYFUNCTION("""COMPUTED_VALUE"""),149.0)</f>
        <v>149</v>
      </c>
      <c r="D1507" s="3">
        <f>IFERROR(__xludf.DUMMYFUNCTION("""COMPUTED_VALUE"""),94.0)</f>
        <v>94</v>
      </c>
      <c r="E1507" s="1" t="str">
        <f t="array" ref="E1507">_xlfn.XLOOKUP(A1507,Product!A:A,Product!B:B,"Bulunamadı")</f>
        <v>Arts</v>
      </c>
      <c r="F1507" s="1" t="str">
        <f t="array" ref="F1507">_xlfn.XLOOKUP(A1507,Product!A:A,Product!C:C,"Bulunamadı")</f>
        <v>History of Science</v>
      </c>
      <c r="G1507" s="2" t="str">
        <f t="array" ref="G1507">_xlfn.XLOOKUP(A1508,Product!A:A,Product!D:D,"Bulunamadı")</f>
        <v>Blue Horizon Publishing</v>
      </c>
      <c r="H1507" s="2">
        <f t="array" ref="H1507">_xlfn.XLOOKUP(A1509,Product!A:A,Product!E:E,"Bulunamadı")</f>
        <v>1.7</v>
      </c>
      <c r="I1507" s="2" t="str">
        <f t="shared" si="1"/>
        <v>80125 - Arts - History of Science</v>
      </c>
      <c r="J1507" s="2">
        <f t="shared" si="2"/>
        <v>159.8</v>
      </c>
      <c r="K1507" s="17">
        <f t="shared" si="3"/>
        <v>1</v>
      </c>
      <c r="L1507" s="18"/>
    </row>
    <row r="1508">
      <c r="A1508" s="2">
        <f>IFERROR(__xludf.DUMMYFUNCTION("""COMPUTED_VALUE"""),89909.0)</f>
        <v>89909</v>
      </c>
      <c r="B1508" s="2">
        <f>IFERROR(__xludf.DUMMYFUNCTION("""COMPUTED_VALUE"""),1.0)</f>
        <v>1</v>
      </c>
      <c r="C1508" s="2">
        <f>IFERROR(__xludf.DUMMYFUNCTION("""COMPUTED_VALUE"""),647.0)</f>
        <v>647</v>
      </c>
      <c r="D1508" s="3">
        <f>IFERROR(__xludf.DUMMYFUNCTION("""COMPUTED_VALUE"""),171.0)</f>
        <v>171</v>
      </c>
      <c r="E1508" s="1" t="str">
        <f t="array" ref="E1508">_xlfn.XLOOKUP(A1508,Product!A:A,Product!B:B,"Bulunamadı")</f>
        <v>Arts</v>
      </c>
      <c r="F1508" s="1" t="str">
        <f t="array" ref="F1508">_xlfn.XLOOKUP(A1508,Product!A:A,Product!C:C,"Bulunamadı")</f>
        <v>History of Science</v>
      </c>
      <c r="G1508" s="2" t="str">
        <f t="array" ref="G1508">_xlfn.XLOOKUP(A1509,Product!A:A,Product!D:D,"Bulunamadı")</f>
        <v>Blue Horizon Publishing</v>
      </c>
      <c r="H1508" s="2">
        <f t="array" ref="H1508">_xlfn.XLOOKUP(A1510,Product!A:A,Product!E:E,"Bulunamadı")</f>
        <v>1.81</v>
      </c>
      <c r="I1508" s="2" t="str">
        <f t="shared" si="1"/>
        <v>89909 - Arts - History of Science</v>
      </c>
      <c r="J1508" s="2">
        <f t="shared" si="2"/>
        <v>309.51</v>
      </c>
      <c r="K1508" s="17">
        <f t="shared" si="3"/>
        <v>1</v>
      </c>
      <c r="L1508" s="18"/>
    </row>
    <row r="1509">
      <c r="A1509" s="2">
        <f>IFERROR(__xludf.DUMMYFUNCTION("""COMPUTED_VALUE"""),80114.0)</f>
        <v>80114</v>
      </c>
      <c r="B1509" s="2">
        <f>IFERROR(__xludf.DUMMYFUNCTION("""COMPUTED_VALUE"""),1.0)</f>
        <v>1</v>
      </c>
      <c r="C1509" s="2">
        <f>IFERROR(__xludf.DUMMYFUNCTION("""COMPUTED_VALUE"""),286.0)</f>
        <v>286</v>
      </c>
      <c r="D1509" s="3">
        <f>IFERROR(__xludf.DUMMYFUNCTION("""COMPUTED_VALUE"""),34.0)</f>
        <v>34</v>
      </c>
      <c r="E1509" s="1" t="str">
        <f t="array" ref="E1509">_xlfn.XLOOKUP(A1509,Product!A:A,Product!B:B,"Bulunamadı")</f>
        <v>Arts</v>
      </c>
      <c r="F1509" s="1" t="str">
        <f t="array" ref="F1509">_xlfn.XLOOKUP(A1509,Product!A:A,Product!C:C,"Bulunamadı")</f>
        <v>History of Science</v>
      </c>
      <c r="G1509" s="2" t="str">
        <f t="array" ref="G1509">_xlfn.XLOOKUP(A1510,Product!A:A,Product!D:D,"Bulunamadı")</f>
        <v>Blue Horizon Publishing</v>
      </c>
      <c r="H1509" s="2">
        <f t="array" ref="H1509">_xlfn.XLOOKUP(A1511,Product!A:A,Product!E:E,"Bulunamadı")</f>
        <v>2.23</v>
      </c>
      <c r="I1509" s="2" t="str">
        <f t="shared" si="1"/>
        <v>80114 - Arts - History of Science</v>
      </c>
      <c r="J1509" s="2">
        <f t="shared" si="2"/>
        <v>75.82</v>
      </c>
      <c r="K1509" s="17">
        <f t="shared" si="3"/>
        <v>1</v>
      </c>
      <c r="L1509" s="18"/>
    </row>
    <row r="1510">
      <c r="A1510" s="2">
        <f>IFERROR(__xludf.DUMMYFUNCTION("""COMPUTED_VALUE"""),73916.0)</f>
        <v>73916</v>
      </c>
      <c r="B1510" s="2">
        <f>IFERROR(__xludf.DUMMYFUNCTION("""COMPUTED_VALUE"""),1.0)</f>
        <v>1</v>
      </c>
      <c r="C1510" s="2">
        <f>IFERROR(__xludf.DUMMYFUNCTION("""COMPUTED_VALUE"""),270.0)</f>
        <v>270</v>
      </c>
      <c r="D1510" s="3">
        <f>IFERROR(__xludf.DUMMYFUNCTION("""COMPUTED_VALUE"""),3.0)</f>
        <v>3</v>
      </c>
      <c r="E1510" s="1" t="str">
        <f t="array" ref="E1510">_xlfn.XLOOKUP(A1510,Product!A:A,Product!B:B,"Bulunamadı")</f>
        <v>Arts</v>
      </c>
      <c r="F1510" s="1" t="str">
        <f t="array" ref="F1510">_xlfn.XLOOKUP(A1510,Product!A:A,Product!C:C,"Bulunamadı")</f>
        <v>History of Science</v>
      </c>
      <c r="G1510" s="2" t="str">
        <f t="array" ref="G1510">_xlfn.XLOOKUP(A1511,Product!A:A,Product!D:D,"Bulunamadı")</f>
        <v>Blue Horizon Publishing</v>
      </c>
      <c r="H1510" s="2">
        <f t="array" ref="H1510">_xlfn.XLOOKUP(A1512,Product!A:A,Product!E:E,"Bulunamadı")</f>
        <v>1.59</v>
      </c>
      <c r="I1510" s="2" t="str">
        <f t="shared" si="1"/>
        <v>73916 - Arts - History of Science</v>
      </c>
      <c r="J1510" s="2">
        <f t="shared" si="2"/>
        <v>4.77</v>
      </c>
      <c r="K1510" s="17">
        <f t="shared" si="3"/>
        <v>1</v>
      </c>
      <c r="L1510" s="18"/>
    </row>
    <row r="1511">
      <c r="A1511" s="2">
        <f>IFERROR(__xludf.DUMMYFUNCTION("""COMPUTED_VALUE"""),80117.0)</f>
        <v>80117</v>
      </c>
      <c r="B1511" s="2">
        <f>IFERROR(__xludf.DUMMYFUNCTION("""COMPUTED_VALUE"""),1.0)</f>
        <v>1</v>
      </c>
      <c r="C1511" s="2">
        <f>IFERROR(__xludf.DUMMYFUNCTION("""COMPUTED_VALUE"""),174.0)</f>
        <v>174</v>
      </c>
      <c r="D1511" s="3">
        <f>IFERROR(__xludf.DUMMYFUNCTION("""COMPUTED_VALUE"""),124.0)</f>
        <v>124</v>
      </c>
      <c r="E1511" s="1" t="str">
        <f t="array" ref="E1511">_xlfn.XLOOKUP(A1511,Product!A:A,Product!B:B,"Bulunamadı")</f>
        <v>Arts</v>
      </c>
      <c r="F1511" s="1" t="str">
        <f t="array" ref="F1511">_xlfn.XLOOKUP(A1511,Product!A:A,Product!C:C,"Bulunamadı")</f>
        <v>History of Science</v>
      </c>
      <c r="G1511" s="2" t="str">
        <f t="array" ref="G1511">_xlfn.XLOOKUP(A1512,Product!A:A,Product!D:D,"Bulunamadı")</f>
        <v>Blue Horizon Publishing</v>
      </c>
      <c r="H1511" s="2">
        <f t="array" ref="H1511">_xlfn.XLOOKUP(A1513,Product!A:A,Product!E:E,"Bulunamadı")</f>
        <v>0.97</v>
      </c>
      <c r="I1511" s="2" t="str">
        <f t="shared" si="1"/>
        <v>80117 - Arts - History of Science</v>
      </c>
      <c r="J1511" s="2">
        <f t="shared" si="2"/>
        <v>120.28</v>
      </c>
      <c r="K1511" s="17">
        <f t="shared" si="3"/>
        <v>1</v>
      </c>
      <c r="L1511" s="18"/>
    </row>
    <row r="1512">
      <c r="A1512" s="2">
        <f>IFERROR(__xludf.DUMMYFUNCTION("""COMPUTED_VALUE"""),22008.0)</f>
        <v>22008</v>
      </c>
      <c r="B1512" s="2">
        <f>IFERROR(__xludf.DUMMYFUNCTION("""COMPUTED_VALUE"""),0.0)</f>
        <v>0</v>
      </c>
      <c r="C1512" s="2">
        <f>IFERROR(__xludf.DUMMYFUNCTION("""COMPUTED_VALUE"""),666.0)</f>
        <v>666</v>
      </c>
      <c r="D1512" s="3">
        <f>IFERROR(__xludf.DUMMYFUNCTION("""COMPUTED_VALUE"""),294.0)</f>
        <v>294</v>
      </c>
      <c r="E1512" s="1" t="str">
        <f t="array" ref="E1512">_xlfn.XLOOKUP(A1512,Product!A:A,Product!B:B,"Bulunamadı")</f>
        <v>Arts</v>
      </c>
      <c r="F1512" s="1" t="str">
        <f t="array" ref="F1512">_xlfn.XLOOKUP(A1512,Product!A:A,Product!C:C,"Bulunamadı")</f>
        <v>History of Science</v>
      </c>
      <c r="G1512" s="2" t="str">
        <f t="array" ref="G1512">_xlfn.XLOOKUP(A1513,Product!A:A,Product!D:D,"Bulunamadı")</f>
        <v>Blue Horizon Publishing</v>
      </c>
      <c r="H1512" s="2">
        <f t="array" ref="H1512">_xlfn.XLOOKUP(A1514,Product!A:A,Product!E:E,"Bulunamadı")</f>
        <v>3.02</v>
      </c>
      <c r="I1512" s="2" t="str">
        <f t="shared" si="1"/>
        <v>22008 - Arts - History of Science</v>
      </c>
      <c r="J1512" s="2">
        <f t="shared" si="2"/>
        <v>887.88</v>
      </c>
      <c r="K1512" s="17">
        <f t="shared" si="3"/>
        <v>1</v>
      </c>
      <c r="L1512" s="18"/>
    </row>
    <row r="1513">
      <c r="A1513" s="2">
        <f>IFERROR(__xludf.DUMMYFUNCTION("""COMPUTED_VALUE"""),76608.0)</f>
        <v>76608</v>
      </c>
      <c r="B1513" s="2">
        <f>IFERROR(__xludf.DUMMYFUNCTION("""COMPUTED_VALUE"""),0.0)</f>
        <v>0</v>
      </c>
      <c r="C1513" s="2">
        <f>IFERROR(__xludf.DUMMYFUNCTION("""COMPUTED_VALUE"""),711.0)</f>
        <v>711</v>
      </c>
      <c r="D1513" s="3">
        <f>IFERROR(__xludf.DUMMYFUNCTION("""COMPUTED_VALUE"""),463.0)</f>
        <v>463</v>
      </c>
      <c r="E1513" s="1" t="str">
        <f t="array" ref="E1513">_xlfn.XLOOKUP(A1513,Product!A:A,Product!B:B,"Bulunamadı")</f>
        <v>Arts</v>
      </c>
      <c r="F1513" s="1" t="str">
        <f t="array" ref="F1513">_xlfn.XLOOKUP(A1513,Product!A:A,Product!C:C,"Bulunamadı")</f>
        <v>History of Science</v>
      </c>
      <c r="G1513" s="2" t="str">
        <f t="array" ref="G1513">_xlfn.XLOOKUP(A1514,Product!A:A,Product!D:D,"Bulunamadı")</f>
        <v>Blue Horizon Publishing</v>
      </c>
      <c r="H1513" s="2">
        <f t="array" ref="H1513">_xlfn.XLOOKUP(A1515,Product!A:A,Product!E:E,"Bulunamadı")</f>
        <v>1.87</v>
      </c>
      <c r="I1513" s="2" t="str">
        <f t="shared" si="1"/>
        <v>76608 - Arts - History of Science</v>
      </c>
      <c r="J1513" s="2">
        <f t="shared" si="2"/>
        <v>865.81</v>
      </c>
      <c r="K1513" s="17">
        <f t="shared" si="3"/>
        <v>1</v>
      </c>
      <c r="L1513" s="18"/>
    </row>
    <row r="1514">
      <c r="A1514" s="2">
        <f>IFERROR(__xludf.DUMMYFUNCTION("""COMPUTED_VALUE"""),80793.0)</f>
        <v>80793</v>
      </c>
      <c r="B1514" s="2">
        <f>IFERROR(__xludf.DUMMYFUNCTION("""COMPUTED_VALUE"""),1.0)</f>
        <v>1</v>
      </c>
      <c r="C1514" s="2">
        <f>IFERROR(__xludf.DUMMYFUNCTION("""COMPUTED_VALUE"""),789.0)</f>
        <v>789</v>
      </c>
      <c r="D1514" s="3">
        <f>IFERROR(__xludf.DUMMYFUNCTION("""COMPUTED_VALUE"""),214.0)</f>
        <v>214</v>
      </c>
      <c r="E1514" s="1" t="str">
        <f t="array" ref="E1514">_xlfn.XLOOKUP(A1514,Product!A:A,Product!B:B,"Bulunamadı")</f>
        <v>Arts</v>
      </c>
      <c r="F1514" s="1" t="str">
        <f t="array" ref="F1514">_xlfn.XLOOKUP(A1514,Product!A:A,Product!C:C,"Bulunamadı")</f>
        <v>History of Science</v>
      </c>
      <c r="G1514" s="2" t="str">
        <f t="array" ref="G1514">_xlfn.XLOOKUP(A1515,Product!A:A,Product!D:D,"Bulunamadı")</f>
        <v>Blue Horizon Publishing</v>
      </c>
      <c r="H1514" s="2">
        <f t="array" ref="H1514">_xlfn.XLOOKUP(A1516,Product!A:A,Product!E:E,"Bulunamadı")</f>
        <v>1.29</v>
      </c>
      <c r="I1514" s="2" t="str">
        <f t="shared" si="1"/>
        <v>80793 - Arts - History of Science</v>
      </c>
      <c r="J1514" s="2">
        <f t="shared" si="2"/>
        <v>276.06</v>
      </c>
      <c r="K1514" s="17">
        <f t="shared" si="3"/>
        <v>1</v>
      </c>
      <c r="L1514" s="18"/>
    </row>
    <row r="1515">
      <c r="A1515" s="2">
        <f>IFERROR(__xludf.DUMMYFUNCTION("""COMPUTED_VALUE"""),102588.0)</f>
        <v>102588</v>
      </c>
      <c r="B1515" s="2">
        <f>IFERROR(__xludf.DUMMYFUNCTION("""COMPUTED_VALUE"""),0.0)</f>
        <v>0</v>
      </c>
      <c r="C1515" s="2">
        <f>IFERROR(__xludf.DUMMYFUNCTION("""COMPUTED_VALUE"""),290.0)</f>
        <v>290</v>
      </c>
      <c r="D1515" s="3">
        <f>IFERROR(__xludf.DUMMYFUNCTION("""COMPUTED_VALUE"""),31.0)</f>
        <v>31</v>
      </c>
      <c r="E1515" s="1" t="str">
        <f t="array" ref="E1515">_xlfn.XLOOKUP(A1515,Product!A:A,Product!B:B,"Bulunamadı")</f>
        <v>Arts</v>
      </c>
      <c r="F1515" s="1" t="str">
        <f t="array" ref="F1515">_xlfn.XLOOKUP(A1515,Product!A:A,Product!C:C,"Bulunamadı")</f>
        <v>History of Science</v>
      </c>
      <c r="G1515" s="2" t="str">
        <f t="array" ref="G1515">_xlfn.XLOOKUP(A1516,Product!A:A,Product!D:D,"Bulunamadı")</f>
        <v>Blue Horizon Publishing</v>
      </c>
      <c r="H1515" s="2">
        <f t="array" ref="H1515">_xlfn.XLOOKUP(A1517,Product!A:A,Product!E:E,"Bulunamadı")</f>
        <v>2.65</v>
      </c>
      <c r="I1515" s="2" t="str">
        <f t="shared" si="1"/>
        <v>102588 - Arts - History of Science</v>
      </c>
      <c r="J1515" s="2">
        <f t="shared" si="2"/>
        <v>82.15</v>
      </c>
      <c r="K1515" s="17">
        <f t="shared" si="3"/>
        <v>1</v>
      </c>
      <c r="L1515" s="18"/>
    </row>
    <row r="1516">
      <c r="A1516" s="2">
        <f>IFERROR(__xludf.DUMMYFUNCTION("""COMPUTED_VALUE"""),80794.0)</f>
        <v>80794</v>
      </c>
      <c r="B1516" s="2">
        <f>IFERROR(__xludf.DUMMYFUNCTION("""COMPUTED_VALUE"""),1.0)</f>
        <v>1</v>
      </c>
      <c r="C1516" s="2">
        <f>IFERROR(__xludf.DUMMYFUNCTION("""COMPUTED_VALUE"""),163.0)</f>
        <v>163</v>
      </c>
      <c r="D1516" s="3">
        <f>IFERROR(__xludf.DUMMYFUNCTION("""COMPUTED_VALUE"""),114.0)</f>
        <v>114</v>
      </c>
      <c r="E1516" s="1" t="str">
        <f t="array" ref="E1516">_xlfn.XLOOKUP(A1516,Product!A:A,Product!B:B,"Bulunamadı")</f>
        <v>Arts</v>
      </c>
      <c r="F1516" s="1" t="str">
        <f t="array" ref="F1516">_xlfn.XLOOKUP(A1516,Product!A:A,Product!C:C,"Bulunamadı")</f>
        <v>History of Science</v>
      </c>
      <c r="G1516" s="2" t="str">
        <f t="array" ref="G1516">_xlfn.XLOOKUP(A1517,Product!A:A,Product!D:D,"Bulunamadı")</f>
        <v>Blue Horizon Publishing</v>
      </c>
      <c r="H1516" s="2">
        <f t="array" ref="H1516">_xlfn.XLOOKUP(A1518,Product!A:A,Product!E:E,"Bulunamadı")</f>
        <v>3.15</v>
      </c>
      <c r="I1516" s="2" t="str">
        <f t="shared" si="1"/>
        <v>80794 - Arts - History of Science</v>
      </c>
      <c r="J1516" s="2">
        <f t="shared" si="2"/>
        <v>359.1</v>
      </c>
      <c r="K1516" s="17">
        <f t="shared" si="3"/>
        <v>1</v>
      </c>
      <c r="L1516" s="18"/>
    </row>
    <row r="1517">
      <c r="A1517" s="2">
        <f>IFERROR(__xludf.DUMMYFUNCTION("""COMPUTED_VALUE"""),80174.0)</f>
        <v>80174</v>
      </c>
      <c r="B1517" s="2">
        <f>IFERROR(__xludf.DUMMYFUNCTION("""COMPUTED_VALUE"""),1.0)</f>
        <v>1</v>
      </c>
      <c r="C1517" s="2">
        <f>IFERROR(__xludf.DUMMYFUNCTION("""COMPUTED_VALUE"""),189.0)</f>
        <v>189</v>
      </c>
      <c r="D1517" s="3">
        <f>IFERROR(__xludf.DUMMYFUNCTION("""COMPUTED_VALUE"""),78.0)</f>
        <v>78</v>
      </c>
      <c r="E1517" s="1" t="str">
        <f t="array" ref="E1517">_xlfn.XLOOKUP(A1517,Product!A:A,Product!B:B,"Bulunamadı")</f>
        <v>Arts</v>
      </c>
      <c r="F1517" s="1" t="str">
        <f t="array" ref="F1517">_xlfn.XLOOKUP(A1517,Product!A:A,Product!C:C,"Bulunamadı")</f>
        <v>History of Science</v>
      </c>
      <c r="G1517" s="2" t="str">
        <f t="array" ref="G1517">_xlfn.XLOOKUP(A1518,Product!A:A,Product!D:D,"Bulunamadı")</f>
        <v>Blue Horizon Publishing</v>
      </c>
      <c r="H1517" s="2">
        <f t="array" ref="H1517">_xlfn.XLOOKUP(A1519,Product!A:A,Product!E:E,"Bulunamadı")</f>
        <v>2.57</v>
      </c>
      <c r="I1517" s="2" t="str">
        <f t="shared" si="1"/>
        <v>80174 - Arts - History of Science</v>
      </c>
      <c r="J1517" s="2">
        <f t="shared" si="2"/>
        <v>200.46</v>
      </c>
      <c r="K1517" s="17">
        <f t="shared" si="3"/>
        <v>1</v>
      </c>
      <c r="L1517" s="18"/>
    </row>
    <row r="1518">
      <c r="A1518" s="2">
        <f>IFERROR(__xludf.DUMMYFUNCTION("""COMPUTED_VALUE"""),114722.0)</f>
        <v>114722</v>
      </c>
      <c r="B1518" s="2">
        <f>IFERROR(__xludf.DUMMYFUNCTION("""COMPUTED_VALUE"""),0.0)</f>
        <v>0</v>
      </c>
      <c r="C1518" s="2">
        <f>IFERROR(__xludf.DUMMYFUNCTION("""COMPUTED_VALUE"""),958.0)</f>
        <v>958</v>
      </c>
      <c r="D1518" s="3">
        <f>IFERROR(__xludf.DUMMYFUNCTION("""COMPUTED_VALUE"""),337.0)</f>
        <v>337</v>
      </c>
      <c r="E1518" s="1" t="str">
        <f t="array" ref="E1518">_xlfn.XLOOKUP(A1518,Product!A:A,Product!B:B,"Bulunamadı")</f>
        <v>Arts</v>
      </c>
      <c r="F1518" s="1" t="str">
        <f t="array" ref="F1518">_xlfn.XLOOKUP(A1518,Product!A:A,Product!C:C,"Bulunamadı")</f>
        <v>History of Science</v>
      </c>
      <c r="G1518" s="2" t="str">
        <f t="array" ref="G1518">_xlfn.XLOOKUP(A1519,Product!A:A,Product!D:D,"Bulunamadı")</f>
        <v>Blue Horizon Publishing</v>
      </c>
      <c r="H1518" s="2">
        <f t="array" ref="H1518">_xlfn.XLOOKUP(A1520,Product!A:A,Product!E:E,"Bulunamadı")</f>
        <v>1.72</v>
      </c>
      <c r="I1518" s="2" t="str">
        <f t="shared" si="1"/>
        <v>114722 - Arts - History of Science</v>
      </c>
      <c r="J1518" s="2">
        <f t="shared" si="2"/>
        <v>579.64</v>
      </c>
      <c r="K1518" s="17">
        <f t="shared" si="3"/>
        <v>1</v>
      </c>
      <c r="L1518" s="18"/>
    </row>
    <row r="1519">
      <c r="A1519" s="2">
        <f>IFERROR(__xludf.DUMMYFUNCTION("""COMPUTED_VALUE"""),180843.0)</f>
        <v>180843</v>
      </c>
      <c r="B1519" s="2">
        <f>IFERROR(__xludf.DUMMYFUNCTION("""COMPUTED_VALUE"""),1.0)</f>
        <v>1</v>
      </c>
      <c r="C1519" s="2">
        <f>IFERROR(__xludf.DUMMYFUNCTION("""COMPUTED_VALUE"""),572.0)</f>
        <v>572</v>
      </c>
      <c r="D1519" s="3">
        <f>IFERROR(__xludf.DUMMYFUNCTION("""COMPUTED_VALUE"""),252.0)</f>
        <v>252</v>
      </c>
      <c r="E1519" s="1" t="str">
        <f t="array" ref="E1519">_xlfn.XLOOKUP(A1519,Product!A:A,Product!B:B,"Bulunamadı")</f>
        <v>Arts</v>
      </c>
      <c r="F1519" s="1" t="str">
        <f t="array" ref="F1519">_xlfn.XLOOKUP(A1519,Product!A:A,Product!C:C,"Bulunamadı")</f>
        <v>History of Science</v>
      </c>
      <c r="G1519" s="2" t="str">
        <f t="array" ref="G1519">_xlfn.XLOOKUP(A1520,Product!A:A,Product!D:D,"Bulunamadı")</f>
        <v>Blue Horizon Publishing</v>
      </c>
      <c r="H1519" s="2">
        <f t="array" ref="H1519">_xlfn.XLOOKUP(A1521,Product!A:A,Product!E:E,"Bulunamadı")</f>
        <v>2.32</v>
      </c>
      <c r="I1519" s="2" t="str">
        <f t="shared" si="1"/>
        <v>180843 - Arts - History of Science</v>
      </c>
      <c r="J1519" s="2">
        <f t="shared" si="2"/>
        <v>584.64</v>
      </c>
      <c r="K1519" s="17">
        <f t="shared" si="3"/>
        <v>1</v>
      </c>
      <c r="L1519" s="18"/>
    </row>
    <row r="1520">
      <c r="A1520" s="2">
        <f>IFERROR(__xludf.DUMMYFUNCTION("""COMPUTED_VALUE"""),22020.0)</f>
        <v>22020</v>
      </c>
      <c r="B1520" s="2">
        <f>IFERROR(__xludf.DUMMYFUNCTION("""COMPUTED_VALUE"""),0.0)</f>
        <v>0</v>
      </c>
      <c r="C1520" s="2">
        <f>IFERROR(__xludf.DUMMYFUNCTION("""COMPUTED_VALUE"""),446.0)</f>
        <v>446</v>
      </c>
      <c r="D1520" s="3">
        <f>IFERROR(__xludf.DUMMYFUNCTION("""COMPUTED_VALUE"""),278.0)</f>
        <v>278</v>
      </c>
      <c r="E1520" s="1" t="str">
        <f t="array" ref="E1520">_xlfn.XLOOKUP(A1520,Product!A:A,Product!B:B,"Bulunamadı")</f>
        <v>Arts</v>
      </c>
      <c r="F1520" s="1" t="str">
        <f t="array" ref="F1520">_xlfn.XLOOKUP(A1520,Product!A:A,Product!C:C,"Bulunamadı")</f>
        <v>History of Science</v>
      </c>
      <c r="G1520" s="2" t="str">
        <f t="array" ref="G1520">_xlfn.XLOOKUP(A1521,Product!A:A,Product!D:D,"Bulunamadı")</f>
        <v>Blue Horizon Publishing</v>
      </c>
      <c r="H1520" s="2">
        <f t="array" ref="H1520">_xlfn.XLOOKUP(A1522,Product!A:A,Product!E:E,"Bulunamadı")</f>
        <v>3.06</v>
      </c>
      <c r="I1520" s="2" t="str">
        <f t="shared" si="1"/>
        <v>22020 - Arts - History of Science</v>
      </c>
      <c r="J1520" s="2">
        <f t="shared" si="2"/>
        <v>850.68</v>
      </c>
      <c r="K1520" s="17">
        <f t="shared" si="3"/>
        <v>1</v>
      </c>
      <c r="L1520" s="18"/>
    </row>
    <row r="1521">
      <c r="A1521" s="2">
        <f>IFERROR(__xludf.DUMMYFUNCTION("""COMPUTED_VALUE"""),111259.0)</f>
        <v>111259</v>
      </c>
      <c r="B1521" s="2">
        <f>IFERROR(__xludf.DUMMYFUNCTION("""COMPUTED_VALUE"""),0.0)</f>
        <v>0</v>
      </c>
      <c r="C1521" s="2">
        <f>IFERROR(__xludf.DUMMYFUNCTION("""COMPUTED_VALUE"""),944.0)</f>
        <v>944</v>
      </c>
      <c r="D1521" s="3">
        <f>IFERROR(__xludf.DUMMYFUNCTION("""COMPUTED_VALUE"""),357.0)</f>
        <v>357</v>
      </c>
      <c r="E1521" s="1" t="str">
        <f t="array" ref="E1521">_xlfn.XLOOKUP(A1521,Product!A:A,Product!B:B,"Bulunamadı")</f>
        <v>Arts</v>
      </c>
      <c r="F1521" s="1" t="str">
        <f t="array" ref="F1521">_xlfn.XLOOKUP(A1521,Product!A:A,Product!C:C,"Bulunamadı")</f>
        <v>History of Science</v>
      </c>
      <c r="G1521" s="2" t="str">
        <f t="array" ref="G1521">_xlfn.XLOOKUP(A1522,Product!A:A,Product!D:D,"Bulunamadı")</f>
        <v>Blue Horizon Publishing</v>
      </c>
      <c r="H1521" s="2">
        <f t="array" ref="H1521">_xlfn.XLOOKUP(A1523,Product!A:A,Product!E:E,"Bulunamadı")</f>
        <v>1.28</v>
      </c>
      <c r="I1521" s="2" t="str">
        <f t="shared" si="1"/>
        <v>111259 - Arts - History of Science</v>
      </c>
      <c r="J1521" s="2">
        <f t="shared" si="2"/>
        <v>456.96</v>
      </c>
      <c r="K1521" s="17">
        <f t="shared" si="3"/>
        <v>1</v>
      </c>
      <c r="L1521" s="18"/>
    </row>
    <row r="1522">
      <c r="A1522" s="2">
        <f>IFERROR(__xludf.DUMMYFUNCTION("""COMPUTED_VALUE"""),89895.0)</f>
        <v>89895</v>
      </c>
      <c r="B1522" s="2">
        <f>IFERROR(__xludf.DUMMYFUNCTION("""COMPUTED_VALUE"""),1.0)</f>
        <v>1</v>
      </c>
      <c r="C1522" s="2">
        <f>IFERROR(__xludf.DUMMYFUNCTION("""COMPUTED_VALUE"""),559.0)</f>
        <v>559</v>
      </c>
      <c r="D1522" s="3">
        <f>IFERROR(__xludf.DUMMYFUNCTION("""COMPUTED_VALUE"""),389.0)</f>
        <v>389</v>
      </c>
      <c r="E1522" s="1" t="str">
        <f t="array" ref="E1522">_xlfn.XLOOKUP(A1522,Product!A:A,Product!B:B,"Bulunamadı")</f>
        <v>Arts</v>
      </c>
      <c r="F1522" s="1" t="str">
        <f t="array" ref="F1522">_xlfn.XLOOKUP(A1522,Product!A:A,Product!C:C,"Bulunamadı")</f>
        <v>History of Science</v>
      </c>
      <c r="G1522" s="2" t="str">
        <f t="array" ref="G1522">_xlfn.XLOOKUP(A1523,Product!A:A,Product!D:D,"Bulunamadı")</f>
        <v>Blue Horizon Publishing</v>
      </c>
      <c r="H1522" s="2">
        <f t="array" ref="H1522">_xlfn.XLOOKUP(A1524,Product!A:A,Product!E:E,"Bulunamadı")</f>
        <v>2.08</v>
      </c>
      <c r="I1522" s="2" t="str">
        <f t="shared" si="1"/>
        <v>89895 - Arts - History of Science</v>
      </c>
      <c r="J1522" s="2">
        <f t="shared" si="2"/>
        <v>809.12</v>
      </c>
      <c r="K1522" s="17">
        <f t="shared" si="3"/>
        <v>1</v>
      </c>
      <c r="L1522" s="18"/>
    </row>
    <row r="1523">
      <c r="A1523" s="2">
        <f>IFERROR(__xludf.DUMMYFUNCTION("""COMPUTED_VALUE"""),22014.0)</f>
        <v>22014</v>
      </c>
      <c r="B1523" s="2">
        <f>IFERROR(__xludf.DUMMYFUNCTION("""COMPUTED_VALUE"""),1.0)</f>
        <v>1</v>
      </c>
      <c r="C1523" s="2">
        <f>IFERROR(__xludf.DUMMYFUNCTION("""COMPUTED_VALUE"""),266.0)</f>
        <v>266</v>
      </c>
      <c r="D1523" s="3">
        <f>IFERROR(__xludf.DUMMYFUNCTION("""COMPUTED_VALUE"""),15.0)</f>
        <v>15</v>
      </c>
      <c r="E1523" s="1" t="str">
        <f t="array" ref="E1523">_xlfn.XLOOKUP(A1523,Product!A:A,Product!B:B,"Bulunamadı")</f>
        <v>Arts</v>
      </c>
      <c r="F1523" s="1" t="str">
        <f t="array" ref="F1523">_xlfn.XLOOKUP(A1523,Product!A:A,Product!C:C,"Bulunamadı")</f>
        <v>History of Science</v>
      </c>
      <c r="G1523" s="2" t="str">
        <f t="array" ref="G1523">_xlfn.XLOOKUP(A1524,Product!A:A,Product!D:D,"Bulunamadı")</f>
        <v>Blue Horizon Publishing</v>
      </c>
      <c r="H1523" s="2">
        <f t="array" ref="H1523">_xlfn.XLOOKUP(A1525,Product!A:A,Product!E:E,"Bulunamadı")</f>
        <v>1.59</v>
      </c>
      <c r="I1523" s="2" t="str">
        <f t="shared" si="1"/>
        <v>22014 - Arts - History of Science</v>
      </c>
      <c r="J1523" s="2">
        <f t="shared" si="2"/>
        <v>23.85</v>
      </c>
      <c r="K1523" s="17">
        <f t="shared" si="3"/>
        <v>1</v>
      </c>
      <c r="L1523" s="18"/>
    </row>
    <row r="1524">
      <c r="A1524" s="2">
        <f>IFERROR(__xludf.DUMMYFUNCTION("""COMPUTED_VALUE"""),44254.0)</f>
        <v>44254</v>
      </c>
      <c r="B1524" s="2">
        <f>IFERROR(__xludf.DUMMYFUNCTION("""COMPUTED_VALUE"""),0.0)</f>
        <v>0</v>
      </c>
      <c r="C1524" s="2">
        <f>IFERROR(__xludf.DUMMYFUNCTION("""COMPUTED_VALUE"""),350.0)</f>
        <v>350</v>
      </c>
      <c r="D1524" s="3">
        <f>IFERROR(__xludf.DUMMYFUNCTION("""COMPUTED_VALUE"""),232.0)</f>
        <v>232</v>
      </c>
      <c r="E1524" s="1" t="str">
        <f t="array" ref="E1524">_xlfn.XLOOKUP(A1524,Product!A:A,Product!B:B,"Bulunamadı")</f>
        <v>Arts</v>
      </c>
      <c r="F1524" s="1" t="str">
        <f t="array" ref="F1524">_xlfn.XLOOKUP(A1524,Product!A:A,Product!C:C,"Bulunamadı")</f>
        <v>History of Science</v>
      </c>
      <c r="G1524" s="2" t="str">
        <f t="array" ref="G1524">_xlfn.XLOOKUP(A1525,Product!A:A,Product!D:D,"Bulunamadı")</f>
        <v>Blue Horizon Publishing</v>
      </c>
      <c r="H1524" s="2">
        <f t="array" ref="H1524">_xlfn.XLOOKUP(A1526,Product!A:A,Product!E:E,"Bulunamadı")</f>
        <v>1.78</v>
      </c>
      <c r="I1524" s="2" t="str">
        <f t="shared" si="1"/>
        <v>44254 - Arts - History of Science</v>
      </c>
      <c r="J1524" s="2">
        <f t="shared" si="2"/>
        <v>412.96</v>
      </c>
      <c r="K1524" s="17">
        <f t="shared" si="3"/>
        <v>1</v>
      </c>
      <c r="L1524" s="18"/>
    </row>
    <row r="1525">
      <c r="A1525" s="2">
        <f>IFERROR(__xludf.DUMMYFUNCTION("""COMPUTED_VALUE"""),22025.0)</f>
        <v>22025</v>
      </c>
      <c r="B1525" s="2">
        <f>IFERROR(__xludf.DUMMYFUNCTION("""COMPUTED_VALUE"""),0.0)</f>
        <v>0</v>
      </c>
      <c r="C1525" s="2">
        <f>IFERROR(__xludf.DUMMYFUNCTION("""COMPUTED_VALUE"""),646.0)</f>
        <v>646</v>
      </c>
      <c r="D1525" s="3">
        <f>IFERROR(__xludf.DUMMYFUNCTION("""COMPUTED_VALUE"""),632.0)</f>
        <v>632</v>
      </c>
      <c r="E1525" s="1" t="str">
        <f t="array" ref="E1525">_xlfn.XLOOKUP(A1525,Product!A:A,Product!B:B,"Bulunamadı")</f>
        <v>Arts</v>
      </c>
      <c r="F1525" s="1" t="str">
        <f t="array" ref="F1525">_xlfn.XLOOKUP(A1525,Product!A:A,Product!C:C,"Bulunamadı")</f>
        <v>History of Science</v>
      </c>
      <c r="G1525" s="2" t="str">
        <f t="array" ref="G1525">_xlfn.XLOOKUP(A1526,Product!A:A,Product!D:D,"Bulunamadı")</f>
        <v>Blue Horizon Publishing</v>
      </c>
      <c r="H1525" s="2">
        <f t="array" ref="H1525">_xlfn.XLOOKUP(A1527,Product!A:A,Product!E:E,"Bulunamadı")</f>
        <v>2.83</v>
      </c>
      <c r="I1525" s="2" t="str">
        <f t="shared" si="1"/>
        <v>22025 - Arts - History of Science</v>
      </c>
      <c r="J1525" s="2">
        <f t="shared" si="2"/>
        <v>1788.56</v>
      </c>
      <c r="K1525" s="17">
        <f t="shared" si="3"/>
        <v>1</v>
      </c>
      <c r="L1525" s="18"/>
    </row>
    <row r="1526">
      <c r="A1526" s="2">
        <f>IFERROR(__xludf.DUMMYFUNCTION("""COMPUTED_VALUE"""),83765.0)</f>
        <v>83765</v>
      </c>
      <c r="B1526" s="2">
        <f>IFERROR(__xludf.DUMMYFUNCTION("""COMPUTED_VALUE"""),1.0)</f>
        <v>1</v>
      </c>
      <c r="C1526" s="2">
        <f>IFERROR(__xludf.DUMMYFUNCTION("""COMPUTED_VALUE"""),753.0)</f>
        <v>753</v>
      </c>
      <c r="D1526" s="3">
        <f>IFERROR(__xludf.DUMMYFUNCTION("""COMPUTED_VALUE"""),329.0)</f>
        <v>329</v>
      </c>
      <c r="E1526" s="1" t="str">
        <f t="array" ref="E1526">_xlfn.XLOOKUP(A1526,Product!A:A,Product!B:B,"Bulunamadı")</f>
        <v>Arts</v>
      </c>
      <c r="F1526" s="1" t="str">
        <f t="array" ref="F1526">_xlfn.XLOOKUP(A1526,Product!A:A,Product!C:C,"Bulunamadı")</f>
        <v>History of Science</v>
      </c>
      <c r="G1526" s="2" t="str">
        <f t="array" ref="G1526">_xlfn.XLOOKUP(A1527,Product!A:A,Product!D:D,"Bulunamadı")</f>
        <v>Blue Horizon Publishing</v>
      </c>
      <c r="H1526" s="2">
        <f t="array" ref="H1526">_xlfn.XLOOKUP(A1528,Product!A:A,Product!E:E,"Bulunamadı")</f>
        <v>1.71</v>
      </c>
      <c r="I1526" s="2" t="str">
        <f t="shared" si="1"/>
        <v>83765 - Arts - History of Science</v>
      </c>
      <c r="J1526" s="2">
        <f t="shared" si="2"/>
        <v>562.59</v>
      </c>
      <c r="K1526" s="17">
        <f t="shared" si="3"/>
        <v>1</v>
      </c>
      <c r="L1526" s="18"/>
    </row>
    <row r="1527">
      <c r="A1527" s="2">
        <f>IFERROR(__xludf.DUMMYFUNCTION("""COMPUTED_VALUE"""),89930.0)</f>
        <v>89930</v>
      </c>
      <c r="B1527" s="2">
        <f>IFERROR(__xludf.DUMMYFUNCTION("""COMPUTED_VALUE"""),1.0)</f>
        <v>1</v>
      </c>
      <c r="C1527" s="2">
        <f>IFERROR(__xludf.DUMMYFUNCTION("""COMPUTED_VALUE"""),906.0)</f>
        <v>906</v>
      </c>
      <c r="D1527" s="3">
        <f>IFERROR(__xludf.DUMMYFUNCTION("""COMPUTED_VALUE"""),151.0)</f>
        <v>151</v>
      </c>
      <c r="E1527" s="1" t="str">
        <f t="array" ref="E1527">_xlfn.XLOOKUP(A1527,Product!A:A,Product!B:B,"Bulunamadı")</f>
        <v>Arts</v>
      </c>
      <c r="F1527" s="1" t="str">
        <f t="array" ref="F1527">_xlfn.XLOOKUP(A1527,Product!A:A,Product!C:C,"Bulunamadı")</f>
        <v>History of Science</v>
      </c>
      <c r="G1527" s="2" t="str">
        <f t="array" ref="G1527">_xlfn.XLOOKUP(A1528,Product!A:A,Product!D:D,"Bulunamadı")</f>
        <v>Blue Horizon Publishing</v>
      </c>
      <c r="H1527" s="2">
        <f t="array" ref="H1527">_xlfn.XLOOKUP(A1529,Product!A:A,Product!E:E,"Bulunamadı")</f>
        <v>1.98</v>
      </c>
      <c r="I1527" s="2" t="str">
        <f t="shared" si="1"/>
        <v>89930 - Arts - History of Science</v>
      </c>
      <c r="J1527" s="2">
        <f t="shared" si="2"/>
        <v>298.98</v>
      </c>
      <c r="K1527" s="17">
        <f t="shared" si="3"/>
        <v>1</v>
      </c>
      <c r="L1527" s="18"/>
    </row>
    <row r="1528">
      <c r="A1528" s="2">
        <f>IFERROR(__xludf.DUMMYFUNCTION("""COMPUTED_VALUE"""),83767.0)</f>
        <v>83767</v>
      </c>
      <c r="B1528" s="2">
        <f>IFERROR(__xludf.DUMMYFUNCTION("""COMPUTED_VALUE"""),1.0)</f>
        <v>1</v>
      </c>
      <c r="C1528" s="2">
        <f>IFERROR(__xludf.DUMMYFUNCTION("""COMPUTED_VALUE"""),657.0)</f>
        <v>657</v>
      </c>
      <c r="D1528" s="3">
        <f>IFERROR(__xludf.DUMMYFUNCTION("""COMPUTED_VALUE"""),567.0)</f>
        <v>567</v>
      </c>
      <c r="E1528" s="1" t="str">
        <f t="array" ref="E1528">_xlfn.XLOOKUP(A1528,Product!A:A,Product!B:B,"Bulunamadı")</f>
        <v>Arts</v>
      </c>
      <c r="F1528" s="1" t="str">
        <f t="array" ref="F1528">_xlfn.XLOOKUP(A1528,Product!A:A,Product!C:C,"Bulunamadı")</f>
        <v>History of Science</v>
      </c>
      <c r="G1528" s="2" t="str">
        <f t="array" ref="G1528">_xlfn.XLOOKUP(A1529,Product!A:A,Product!D:D,"Bulunamadı")</f>
        <v>Blue Horizon Publishing</v>
      </c>
      <c r="H1528" s="2">
        <f t="array" ref="H1528">_xlfn.XLOOKUP(A1530,Product!A:A,Product!E:E,"Bulunamadı")</f>
        <v>1.55</v>
      </c>
      <c r="I1528" s="2" t="str">
        <f t="shared" si="1"/>
        <v>83767 - Arts - History of Science</v>
      </c>
      <c r="J1528" s="2">
        <f t="shared" si="2"/>
        <v>878.85</v>
      </c>
      <c r="K1528" s="17">
        <f t="shared" si="3"/>
        <v>1</v>
      </c>
      <c r="L1528" s="18"/>
    </row>
    <row r="1529">
      <c r="A1529" s="2">
        <f>IFERROR(__xludf.DUMMYFUNCTION("""COMPUTED_VALUE"""),83745.0)</f>
        <v>83745</v>
      </c>
      <c r="B1529" s="2">
        <f>IFERROR(__xludf.DUMMYFUNCTION("""COMPUTED_VALUE"""),0.0)</f>
        <v>0</v>
      </c>
      <c r="C1529" s="2">
        <f>IFERROR(__xludf.DUMMYFUNCTION("""COMPUTED_VALUE"""),291.0)</f>
        <v>291</v>
      </c>
      <c r="D1529" s="3">
        <f>IFERROR(__xludf.DUMMYFUNCTION("""COMPUTED_VALUE"""),224.0)</f>
        <v>224</v>
      </c>
      <c r="E1529" s="1" t="str">
        <f t="array" ref="E1529">_xlfn.XLOOKUP(A1529,Product!A:A,Product!B:B,"Bulunamadı")</f>
        <v>Arts</v>
      </c>
      <c r="F1529" s="1" t="str">
        <f t="array" ref="F1529">_xlfn.XLOOKUP(A1529,Product!A:A,Product!C:C,"Bulunamadı")</f>
        <v>History of Science</v>
      </c>
      <c r="G1529" s="2" t="str">
        <f t="array" ref="G1529">_xlfn.XLOOKUP(A1530,Product!A:A,Product!D:D,"Bulunamadı")</f>
        <v>Blue Horizon Publishing</v>
      </c>
      <c r="H1529" s="2">
        <f t="array" ref="H1529">_xlfn.XLOOKUP(A1531,Product!A:A,Product!E:E,"Bulunamadı")</f>
        <v>1.86</v>
      </c>
      <c r="I1529" s="2" t="str">
        <f t="shared" si="1"/>
        <v>83745 - Arts - History of Science</v>
      </c>
      <c r="J1529" s="2">
        <f t="shared" si="2"/>
        <v>416.64</v>
      </c>
      <c r="K1529" s="17">
        <f t="shared" si="3"/>
        <v>1</v>
      </c>
      <c r="L1529" s="18"/>
    </row>
    <row r="1530">
      <c r="A1530" s="2">
        <f>IFERROR(__xludf.DUMMYFUNCTION("""COMPUTED_VALUE"""),78827.0)</f>
        <v>78827</v>
      </c>
      <c r="B1530" s="2">
        <f>IFERROR(__xludf.DUMMYFUNCTION("""COMPUTED_VALUE"""),0.0)</f>
        <v>0</v>
      </c>
      <c r="C1530" s="2">
        <f>IFERROR(__xludf.DUMMYFUNCTION("""COMPUTED_VALUE"""),622.0)</f>
        <v>622</v>
      </c>
      <c r="D1530" s="3">
        <f>IFERROR(__xludf.DUMMYFUNCTION("""COMPUTED_VALUE"""),169.0)</f>
        <v>169</v>
      </c>
      <c r="E1530" s="1" t="str">
        <f t="array" ref="E1530">_xlfn.XLOOKUP(A1530,Product!A:A,Product!B:B,"Bulunamadı")</f>
        <v>Arts</v>
      </c>
      <c r="F1530" s="1" t="str">
        <f t="array" ref="F1530">_xlfn.XLOOKUP(A1530,Product!A:A,Product!C:C,"Bulunamadı")</f>
        <v>History of Science</v>
      </c>
      <c r="G1530" s="2" t="str">
        <f t="array" ref="G1530">_xlfn.XLOOKUP(A1531,Product!A:A,Product!D:D,"Bulunamadı")</f>
        <v>Blue Horizon Publishing</v>
      </c>
      <c r="H1530" s="2">
        <f t="array" ref="H1530">_xlfn.XLOOKUP(A1532,Product!A:A,Product!E:E,"Bulunamadı")</f>
        <v>1.43</v>
      </c>
      <c r="I1530" s="2" t="str">
        <f t="shared" si="1"/>
        <v>78827 - Arts - History of Science</v>
      </c>
      <c r="J1530" s="2">
        <f t="shared" si="2"/>
        <v>241.67</v>
      </c>
      <c r="K1530" s="17">
        <f t="shared" si="3"/>
        <v>1</v>
      </c>
      <c r="L1530" s="18"/>
    </row>
    <row r="1531">
      <c r="A1531" s="2">
        <f>IFERROR(__xludf.DUMMYFUNCTION("""COMPUTED_VALUE"""),122266.0)</f>
        <v>122266</v>
      </c>
      <c r="B1531" s="2">
        <f>IFERROR(__xludf.DUMMYFUNCTION("""COMPUTED_VALUE"""),1.0)</f>
        <v>1</v>
      </c>
      <c r="C1531" s="2">
        <f>IFERROR(__xludf.DUMMYFUNCTION("""COMPUTED_VALUE"""),826.0)</f>
        <v>826</v>
      </c>
      <c r="D1531" s="3">
        <f>IFERROR(__xludf.DUMMYFUNCTION("""COMPUTED_VALUE"""),806.0)</f>
        <v>806</v>
      </c>
      <c r="E1531" s="1" t="str">
        <f t="array" ref="E1531">_xlfn.XLOOKUP(A1531,Product!A:A,Product!B:B,"Bulunamadı")</f>
        <v>Arts</v>
      </c>
      <c r="F1531" s="1" t="str">
        <f t="array" ref="F1531">_xlfn.XLOOKUP(A1531,Product!A:A,Product!C:C,"Bulunamadı")</f>
        <v>History of Science</v>
      </c>
      <c r="G1531" s="2" t="str">
        <f t="array" ref="G1531">_xlfn.XLOOKUP(A1532,Product!A:A,Product!D:D,"Bulunamadı")</f>
        <v>Blue Horizon Publishing</v>
      </c>
      <c r="H1531" s="2">
        <f t="array" ref="H1531">_xlfn.XLOOKUP(A1533,Product!A:A,Product!E:E,"Bulunamadı")</f>
        <v>1.87</v>
      </c>
      <c r="I1531" s="2" t="str">
        <f t="shared" si="1"/>
        <v>122266 - Arts - History of Science</v>
      </c>
      <c r="J1531" s="2">
        <f t="shared" si="2"/>
        <v>1507.22</v>
      </c>
      <c r="K1531" s="17">
        <f t="shared" si="3"/>
        <v>1</v>
      </c>
      <c r="L1531" s="18"/>
    </row>
    <row r="1532">
      <c r="A1532" s="2">
        <f>IFERROR(__xludf.DUMMYFUNCTION("""COMPUTED_VALUE"""),949.0)</f>
        <v>949</v>
      </c>
      <c r="B1532" s="2">
        <f>IFERROR(__xludf.DUMMYFUNCTION("""COMPUTED_VALUE"""),1.0)</f>
        <v>1</v>
      </c>
      <c r="C1532" s="2">
        <f>IFERROR(__xludf.DUMMYFUNCTION("""COMPUTED_VALUE"""),355.0)</f>
        <v>355</v>
      </c>
      <c r="D1532" s="3">
        <f>IFERROR(__xludf.DUMMYFUNCTION("""COMPUTED_VALUE"""),339.0)</f>
        <v>339</v>
      </c>
      <c r="E1532" s="1" t="str">
        <f t="array" ref="E1532">_xlfn.XLOOKUP(A1532,Product!A:A,Product!B:B,"Bulunamadı")</f>
        <v>Arts</v>
      </c>
      <c r="F1532" s="1" t="str">
        <f t="array" ref="F1532">_xlfn.XLOOKUP(A1532,Product!A:A,Product!C:C,"Bulunamadı")</f>
        <v>History of Science</v>
      </c>
      <c r="G1532" s="2" t="str">
        <f t="array" ref="G1532">_xlfn.XLOOKUP(A1533,Product!A:A,Product!D:D,"Bulunamadı")</f>
        <v>Blue Horizon Publishing</v>
      </c>
      <c r="H1532" s="2">
        <f t="array" ref="H1532">_xlfn.XLOOKUP(A1534,Product!A:A,Product!E:E,"Bulunamadı")</f>
        <v>1.53</v>
      </c>
      <c r="I1532" s="2" t="str">
        <f t="shared" si="1"/>
        <v>949 - Arts - History of Science</v>
      </c>
      <c r="J1532" s="2">
        <f t="shared" si="2"/>
        <v>518.67</v>
      </c>
      <c r="K1532" s="17">
        <f t="shared" si="3"/>
        <v>1</v>
      </c>
      <c r="L1532" s="18"/>
    </row>
    <row r="1533">
      <c r="A1533" s="2">
        <f>IFERROR(__xludf.DUMMYFUNCTION("""COMPUTED_VALUE"""),102595.0)</f>
        <v>102595</v>
      </c>
      <c r="B1533" s="2">
        <f>IFERROR(__xludf.DUMMYFUNCTION("""COMPUTED_VALUE"""),0.0)</f>
        <v>0</v>
      </c>
      <c r="C1533" s="2">
        <f>IFERROR(__xludf.DUMMYFUNCTION("""COMPUTED_VALUE"""),403.0)</f>
        <v>403</v>
      </c>
      <c r="D1533" s="3">
        <f>IFERROR(__xludf.DUMMYFUNCTION("""COMPUTED_VALUE"""),321.0)</f>
        <v>321</v>
      </c>
      <c r="E1533" s="1" t="str">
        <f t="array" ref="E1533">_xlfn.XLOOKUP(A1533,Product!A:A,Product!B:B,"Bulunamadı")</f>
        <v>Arts</v>
      </c>
      <c r="F1533" s="1" t="str">
        <f t="array" ref="F1533">_xlfn.XLOOKUP(A1533,Product!A:A,Product!C:C,"Bulunamadı")</f>
        <v>History of Science</v>
      </c>
      <c r="G1533" s="2" t="str">
        <f t="array" ref="G1533">_xlfn.XLOOKUP(A1534,Product!A:A,Product!D:D,"Bulunamadı")</f>
        <v>Blue Horizon Publishing</v>
      </c>
      <c r="H1533" s="2">
        <f t="array" ref="H1533">_xlfn.XLOOKUP(A1535,Product!A:A,Product!E:E,"Bulunamadı")</f>
        <v>1.84</v>
      </c>
      <c r="I1533" s="2" t="str">
        <f t="shared" si="1"/>
        <v>102595 - Arts - History of Science</v>
      </c>
      <c r="J1533" s="2">
        <f t="shared" si="2"/>
        <v>590.64</v>
      </c>
      <c r="K1533" s="17">
        <f t="shared" si="3"/>
        <v>1</v>
      </c>
      <c r="L1533" s="18"/>
    </row>
    <row r="1534">
      <c r="A1534" s="2">
        <f>IFERROR(__xludf.DUMMYFUNCTION("""COMPUTED_VALUE"""),80790.0)</f>
        <v>80790</v>
      </c>
      <c r="B1534" s="2">
        <f>IFERROR(__xludf.DUMMYFUNCTION("""COMPUTED_VALUE"""),1.0)</f>
        <v>1</v>
      </c>
      <c r="C1534" s="2">
        <f>IFERROR(__xludf.DUMMYFUNCTION("""COMPUTED_VALUE"""),888.0)</f>
        <v>888</v>
      </c>
      <c r="D1534" s="3">
        <f>IFERROR(__xludf.DUMMYFUNCTION("""COMPUTED_VALUE"""),253.0)</f>
        <v>253</v>
      </c>
      <c r="E1534" s="1" t="str">
        <f t="array" ref="E1534">_xlfn.XLOOKUP(A1534,Product!A:A,Product!B:B,"Bulunamadı")</f>
        <v>Arts</v>
      </c>
      <c r="F1534" s="1" t="str">
        <f t="array" ref="F1534">_xlfn.XLOOKUP(A1534,Product!A:A,Product!C:C,"Bulunamadı")</f>
        <v>History of Science</v>
      </c>
      <c r="G1534" s="2" t="str">
        <f t="array" ref="G1534">_xlfn.XLOOKUP(A1535,Product!A:A,Product!D:D,"Bulunamadı")</f>
        <v>Blue Horizon Publishing</v>
      </c>
      <c r="H1534" s="2">
        <f t="array" ref="H1534">_xlfn.XLOOKUP(A1536,Product!A:A,Product!E:E,"Bulunamadı")</f>
        <v>2.42</v>
      </c>
      <c r="I1534" s="2" t="str">
        <f t="shared" si="1"/>
        <v>80790 - Arts - History of Science</v>
      </c>
      <c r="J1534" s="2">
        <f t="shared" si="2"/>
        <v>612.26</v>
      </c>
      <c r="K1534" s="17">
        <f t="shared" si="3"/>
        <v>1</v>
      </c>
      <c r="L1534" s="18"/>
    </row>
    <row r="1535">
      <c r="A1535" s="2">
        <f>IFERROR(__xludf.DUMMYFUNCTION("""COMPUTED_VALUE"""),114257.0)</f>
        <v>114257</v>
      </c>
      <c r="B1535" s="2">
        <f>IFERROR(__xludf.DUMMYFUNCTION("""COMPUTED_VALUE"""),1.0)</f>
        <v>1</v>
      </c>
      <c r="C1535" s="2">
        <f>IFERROR(__xludf.DUMMYFUNCTION("""COMPUTED_VALUE"""),659.0)</f>
        <v>659</v>
      </c>
      <c r="D1535" s="3">
        <f>IFERROR(__xludf.DUMMYFUNCTION("""COMPUTED_VALUE"""),327.0)</f>
        <v>327</v>
      </c>
      <c r="E1535" s="1" t="str">
        <f t="array" ref="E1535">_xlfn.XLOOKUP(A1535,Product!A:A,Product!B:B,"Bulunamadı")</f>
        <v>Arts</v>
      </c>
      <c r="F1535" s="1" t="str">
        <f t="array" ref="F1535">_xlfn.XLOOKUP(A1535,Product!A:A,Product!C:C,"Bulunamadı")</f>
        <v>History of Science</v>
      </c>
      <c r="G1535" s="2" t="str">
        <f t="array" ref="G1535">_xlfn.XLOOKUP(A1536,Product!A:A,Product!D:D,"Bulunamadı")</f>
        <v>Blue Horizon Publishing</v>
      </c>
      <c r="H1535" s="2">
        <f t="array" ref="H1535">_xlfn.XLOOKUP(A1537,Product!A:A,Product!E:E,"Bulunamadı")</f>
        <v>1.1</v>
      </c>
      <c r="I1535" s="2" t="str">
        <f t="shared" si="1"/>
        <v>114257 - Arts - History of Science</v>
      </c>
      <c r="J1535" s="2">
        <f t="shared" si="2"/>
        <v>359.7</v>
      </c>
      <c r="K1535" s="17">
        <f t="shared" si="3"/>
        <v>1</v>
      </c>
      <c r="L1535" s="18"/>
    </row>
    <row r="1536">
      <c r="A1536" s="2">
        <f>IFERROR(__xludf.DUMMYFUNCTION("""COMPUTED_VALUE"""),80121.0)</f>
        <v>80121</v>
      </c>
      <c r="B1536" s="2">
        <f>IFERROR(__xludf.DUMMYFUNCTION("""COMPUTED_VALUE"""),0.0)</f>
        <v>0</v>
      </c>
      <c r="C1536" s="2">
        <f>IFERROR(__xludf.DUMMYFUNCTION("""COMPUTED_VALUE"""),94.0)</f>
        <v>94</v>
      </c>
      <c r="D1536" s="3">
        <f>IFERROR(__xludf.DUMMYFUNCTION("""COMPUTED_VALUE"""),26.0)</f>
        <v>26</v>
      </c>
      <c r="E1536" s="1" t="str">
        <f t="array" ref="E1536">_xlfn.XLOOKUP(A1536,Product!A:A,Product!B:B,"Bulunamadı")</f>
        <v>Arts</v>
      </c>
      <c r="F1536" s="1" t="str">
        <f t="array" ref="F1536">_xlfn.XLOOKUP(A1536,Product!A:A,Product!C:C,"Bulunamadı")</f>
        <v>History of Science</v>
      </c>
      <c r="G1536" s="2" t="str">
        <f t="array" ref="G1536">_xlfn.XLOOKUP(A1537,Product!A:A,Product!D:D,"Bulunamadı")</f>
        <v>Blue Horizon Publishing</v>
      </c>
      <c r="H1536" s="2">
        <f t="array" ref="H1536">_xlfn.XLOOKUP(A1538,Product!A:A,Product!E:E,"Bulunamadı")</f>
        <v>3.85</v>
      </c>
      <c r="I1536" s="2" t="str">
        <f t="shared" si="1"/>
        <v>80121 - Arts - History of Science</v>
      </c>
      <c r="J1536" s="2">
        <f t="shared" si="2"/>
        <v>100.1</v>
      </c>
      <c r="K1536" s="17">
        <f t="shared" si="3"/>
        <v>1</v>
      </c>
      <c r="L1536" s="18"/>
    </row>
    <row r="1537">
      <c r="A1537" s="2">
        <f>IFERROR(__xludf.DUMMYFUNCTION("""COMPUTED_VALUE"""),164929.0)</f>
        <v>164929</v>
      </c>
      <c r="B1537" s="2">
        <f>IFERROR(__xludf.DUMMYFUNCTION("""COMPUTED_VALUE"""),1.0)</f>
        <v>1</v>
      </c>
      <c r="C1537" s="2">
        <f>IFERROR(__xludf.DUMMYFUNCTION("""COMPUTED_VALUE"""),574.0)</f>
        <v>574</v>
      </c>
      <c r="D1537" s="3">
        <f>IFERROR(__xludf.DUMMYFUNCTION("""COMPUTED_VALUE"""),259.0)</f>
        <v>259</v>
      </c>
      <c r="E1537" s="1" t="str">
        <f t="array" ref="E1537">_xlfn.XLOOKUP(A1537,Product!A:A,Product!B:B,"Bulunamadı")</f>
        <v>Arts</v>
      </c>
      <c r="F1537" s="1" t="str">
        <f t="array" ref="F1537">_xlfn.XLOOKUP(A1537,Product!A:A,Product!C:C,"Bulunamadı")</f>
        <v>History of Science</v>
      </c>
      <c r="G1537" s="2" t="str">
        <f t="array" ref="G1537">_xlfn.XLOOKUP(A1538,Product!A:A,Product!D:D,"Bulunamadı")</f>
        <v>Blue Horizon Publishing</v>
      </c>
      <c r="H1537" s="2">
        <f t="array" ref="H1537">_xlfn.XLOOKUP(A1539,Product!A:A,Product!E:E,"Bulunamadı")</f>
        <v>2.34</v>
      </c>
      <c r="I1537" s="2" t="str">
        <f t="shared" si="1"/>
        <v>164929 - Arts - History of Science</v>
      </c>
      <c r="J1537" s="2">
        <f t="shared" si="2"/>
        <v>606.06</v>
      </c>
      <c r="K1537" s="17">
        <f t="shared" si="3"/>
        <v>1</v>
      </c>
      <c r="L1537" s="18"/>
    </row>
    <row r="1538">
      <c r="A1538" s="2">
        <f>IFERROR(__xludf.DUMMYFUNCTION("""COMPUTED_VALUE"""),80180.0)</f>
        <v>80180</v>
      </c>
      <c r="B1538" s="2">
        <f>IFERROR(__xludf.DUMMYFUNCTION("""COMPUTED_VALUE"""),1.0)</f>
        <v>1</v>
      </c>
      <c r="C1538" s="2">
        <f>IFERROR(__xludf.DUMMYFUNCTION("""COMPUTED_VALUE"""),900.0)</f>
        <v>900</v>
      </c>
      <c r="D1538" s="3">
        <f>IFERROR(__xludf.DUMMYFUNCTION("""COMPUTED_VALUE"""),772.0)</f>
        <v>772</v>
      </c>
      <c r="E1538" s="1" t="str">
        <f t="array" ref="E1538">_xlfn.XLOOKUP(A1538,Product!A:A,Product!B:B,"Bulunamadı")</f>
        <v>Arts</v>
      </c>
      <c r="F1538" s="1" t="str">
        <f t="array" ref="F1538">_xlfn.XLOOKUP(A1538,Product!A:A,Product!C:C,"Bulunamadı")</f>
        <v>History of Science</v>
      </c>
      <c r="G1538" s="2" t="str">
        <f t="array" ref="G1538">_xlfn.XLOOKUP(A1539,Product!A:A,Product!D:D,"Bulunamadı")</f>
        <v>Blue Horizon Publishing</v>
      </c>
      <c r="H1538" s="2">
        <f t="array" ref="H1538">_xlfn.XLOOKUP(A1540,Product!A:A,Product!E:E,"Bulunamadı")</f>
        <v>1.61</v>
      </c>
      <c r="I1538" s="2" t="str">
        <f t="shared" si="1"/>
        <v>80180 - Arts - History of Science</v>
      </c>
      <c r="J1538" s="2">
        <f t="shared" si="2"/>
        <v>1242.92</v>
      </c>
      <c r="K1538" s="17">
        <f t="shared" si="3"/>
        <v>1</v>
      </c>
      <c r="L1538" s="18"/>
    </row>
    <row r="1539">
      <c r="A1539" s="2">
        <f>IFERROR(__xludf.DUMMYFUNCTION("""COMPUTED_VALUE"""),92930.0)</f>
        <v>92930</v>
      </c>
      <c r="B1539" s="2">
        <f>IFERROR(__xludf.DUMMYFUNCTION("""COMPUTED_VALUE"""),0.0)</f>
        <v>0</v>
      </c>
      <c r="C1539" s="2">
        <f>IFERROR(__xludf.DUMMYFUNCTION("""COMPUTED_VALUE"""),308.0)</f>
        <v>308</v>
      </c>
      <c r="D1539" s="3">
        <f>IFERROR(__xludf.DUMMYFUNCTION("""COMPUTED_VALUE"""),235.0)</f>
        <v>235</v>
      </c>
      <c r="E1539" s="1" t="str">
        <f t="array" ref="E1539">_xlfn.XLOOKUP(A1539,Product!A:A,Product!B:B,"Bulunamadı")</f>
        <v>Arts</v>
      </c>
      <c r="F1539" s="1" t="str">
        <f t="array" ref="F1539">_xlfn.XLOOKUP(A1539,Product!A:A,Product!C:C,"Bulunamadı")</f>
        <v>History of Science</v>
      </c>
      <c r="G1539" s="2" t="str">
        <f t="array" ref="G1539">_xlfn.XLOOKUP(A1540,Product!A:A,Product!D:D,"Bulunamadı")</f>
        <v>Blue Horizon Publishing</v>
      </c>
      <c r="H1539" s="2">
        <f t="array" ref="H1539">_xlfn.XLOOKUP(A1541,Product!A:A,Product!E:E,"Bulunamadı")</f>
        <v>1.92</v>
      </c>
      <c r="I1539" s="2" t="str">
        <f t="shared" si="1"/>
        <v>92930 - Arts - History of Science</v>
      </c>
      <c r="J1539" s="2">
        <f t="shared" si="2"/>
        <v>451.2</v>
      </c>
      <c r="K1539" s="17">
        <f t="shared" si="3"/>
        <v>1</v>
      </c>
      <c r="L1539" s="18"/>
    </row>
    <row r="1540">
      <c r="A1540" s="2">
        <f>IFERROR(__xludf.DUMMYFUNCTION("""COMPUTED_VALUE"""),147271.0)</f>
        <v>147271</v>
      </c>
      <c r="B1540" s="2">
        <f>IFERROR(__xludf.DUMMYFUNCTION("""COMPUTED_VALUE"""),0.0)</f>
        <v>0</v>
      </c>
      <c r="C1540" s="2">
        <f>IFERROR(__xludf.DUMMYFUNCTION("""COMPUTED_VALUE"""),891.0)</f>
        <v>891</v>
      </c>
      <c r="D1540" s="3">
        <f>IFERROR(__xludf.DUMMYFUNCTION("""COMPUTED_VALUE"""),696.0)</f>
        <v>696</v>
      </c>
      <c r="E1540" s="1" t="str">
        <f t="array" ref="E1540">_xlfn.XLOOKUP(A1540,Product!A:A,Product!B:B,"Bulunamadı")</f>
        <v>Arts</v>
      </c>
      <c r="F1540" s="1" t="str">
        <f t="array" ref="F1540">_xlfn.XLOOKUP(A1540,Product!A:A,Product!C:C,"Bulunamadı")</f>
        <v>History of Science</v>
      </c>
      <c r="G1540" s="2" t="str">
        <f t="array" ref="G1540">_xlfn.XLOOKUP(A1541,Product!A:A,Product!D:D,"Bulunamadı")</f>
        <v>Blue Horizon Publishing</v>
      </c>
      <c r="H1540" s="2">
        <f t="array" ref="H1540">_xlfn.XLOOKUP(A1542,Product!A:A,Product!E:E,"Bulunamadı")</f>
        <v>1.98</v>
      </c>
      <c r="I1540" s="2" t="str">
        <f t="shared" si="1"/>
        <v>147271 - Arts - History of Science</v>
      </c>
      <c r="J1540" s="2">
        <f t="shared" si="2"/>
        <v>1378.08</v>
      </c>
      <c r="K1540" s="17">
        <f t="shared" si="3"/>
        <v>1</v>
      </c>
      <c r="L1540" s="18"/>
    </row>
    <row r="1541">
      <c r="A1541" s="2">
        <f>IFERROR(__xludf.DUMMYFUNCTION("""COMPUTED_VALUE"""),83748.0)</f>
        <v>83748</v>
      </c>
      <c r="B1541" s="2">
        <f>IFERROR(__xludf.DUMMYFUNCTION("""COMPUTED_VALUE"""),0.0)</f>
        <v>0</v>
      </c>
      <c r="C1541" s="2">
        <f>IFERROR(__xludf.DUMMYFUNCTION("""COMPUTED_VALUE"""),111.0)</f>
        <v>111</v>
      </c>
      <c r="D1541" s="3">
        <f>IFERROR(__xludf.DUMMYFUNCTION("""COMPUTED_VALUE"""),60.0)</f>
        <v>60</v>
      </c>
      <c r="E1541" s="1" t="str">
        <f t="array" ref="E1541">_xlfn.XLOOKUP(A1541,Product!A:A,Product!B:B,"Bulunamadı")</f>
        <v>Arts</v>
      </c>
      <c r="F1541" s="1" t="str">
        <f t="array" ref="F1541">_xlfn.XLOOKUP(A1541,Product!A:A,Product!C:C,"Bulunamadı")</f>
        <v>History of Science</v>
      </c>
      <c r="G1541" s="2" t="str">
        <f t="array" ref="G1541">_xlfn.XLOOKUP(A1542,Product!A:A,Product!D:D,"Bulunamadı")</f>
        <v>Blue Horizon Publishing</v>
      </c>
      <c r="H1541" s="2">
        <f t="array" ref="H1541">_xlfn.XLOOKUP(A1543,Product!A:A,Product!E:E,"Bulunamadı")</f>
        <v>1.46</v>
      </c>
      <c r="I1541" s="2" t="str">
        <f t="shared" si="1"/>
        <v>83748 - Arts - History of Science</v>
      </c>
      <c r="J1541" s="2">
        <f t="shared" si="2"/>
        <v>87.6</v>
      </c>
      <c r="K1541" s="17">
        <f t="shared" si="3"/>
        <v>1</v>
      </c>
      <c r="L1541" s="18"/>
    </row>
    <row r="1542">
      <c r="A1542" s="2">
        <f>IFERROR(__xludf.DUMMYFUNCTION("""COMPUTED_VALUE"""),80120.0)</f>
        <v>80120</v>
      </c>
      <c r="B1542" s="2">
        <f>IFERROR(__xludf.DUMMYFUNCTION("""COMPUTED_VALUE"""),1.0)</f>
        <v>1</v>
      </c>
      <c r="C1542" s="2">
        <f>IFERROR(__xludf.DUMMYFUNCTION("""COMPUTED_VALUE"""),174.0)</f>
        <v>174</v>
      </c>
      <c r="D1542" s="3">
        <f>IFERROR(__xludf.DUMMYFUNCTION("""COMPUTED_VALUE"""),40.0)</f>
        <v>40</v>
      </c>
      <c r="E1542" s="1" t="str">
        <f t="array" ref="E1542">_xlfn.XLOOKUP(A1542,Product!A:A,Product!B:B,"Bulunamadı")</f>
        <v>Arts</v>
      </c>
      <c r="F1542" s="1" t="str">
        <f t="array" ref="F1542">_xlfn.XLOOKUP(A1542,Product!A:A,Product!C:C,"Bulunamadı")</f>
        <v>History of Science</v>
      </c>
      <c r="G1542" s="2" t="str">
        <f t="array" ref="G1542">_xlfn.XLOOKUP(A1543,Product!A:A,Product!D:D,"Bulunamadı")</f>
        <v>Blue Horizon Publishing</v>
      </c>
      <c r="H1542" s="2">
        <f t="array" ref="H1542">_xlfn.XLOOKUP(A1544,Product!A:A,Product!E:E,"Bulunamadı")</f>
        <v>1.29</v>
      </c>
      <c r="I1542" s="2" t="str">
        <f t="shared" si="1"/>
        <v>80120 - Arts - History of Science</v>
      </c>
      <c r="J1542" s="2">
        <f t="shared" si="2"/>
        <v>51.6</v>
      </c>
      <c r="K1542" s="17">
        <f t="shared" si="3"/>
        <v>1</v>
      </c>
      <c r="L1542" s="18"/>
    </row>
    <row r="1543">
      <c r="A1543" s="2">
        <f>IFERROR(__xludf.DUMMYFUNCTION("""COMPUTED_VALUE"""),164931.0)</f>
        <v>164931</v>
      </c>
      <c r="B1543" s="2">
        <f>IFERROR(__xludf.DUMMYFUNCTION("""COMPUTED_VALUE"""),1.0)</f>
        <v>1</v>
      </c>
      <c r="C1543" s="2">
        <f>IFERROR(__xludf.DUMMYFUNCTION("""COMPUTED_VALUE"""),621.0)</f>
        <v>621</v>
      </c>
      <c r="D1543" s="3">
        <f>IFERROR(__xludf.DUMMYFUNCTION("""COMPUTED_VALUE"""),503.0)</f>
        <v>503</v>
      </c>
      <c r="E1543" s="1" t="str">
        <f t="array" ref="E1543">_xlfn.XLOOKUP(A1543,Product!A:A,Product!B:B,"Bulunamadı")</f>
        <v>Arts</v>
      </c>
      <c r="F1543" s="1" t="str">
        <f t="array" ref="F1543">_xlfn.XLOOKUP(A1543,Product!A:A,Product!C:C,"Bulunamadı")</f>
        <v>History of Science</v>
      </c>
      <c r="G1543" s="2" t="str">
        <f t="array" ref="G1543">_xlfn.XLOOKUP(A1544,Product!A:A,Product!D:D,"Bulunamadı")</f>
        <v>Blue Horizon Publishing</v>
      </c>
      <c r="H1543" s="2">
        <f t="array" ref="H1543">_xlfn.XLOOKUP(A1545,Product!A:A,Product!E:E,"Bulunamadı")</f>
        <v>1.54</v>
      </c>
      <c r="I1543" s="2" t="str">
        <f t="shared" si="1"/>
        <v>164931 - Arts - History of Science</v>
      </c>
      <c r="J1543" s="2">
        <f t="shared" si="2"/>
        <v>774.62</v>
      </c>
      <c r="K1543" s="17">
        <f t="shared" si="3"/>
        <v>1</v>
      </c>
      <c r="L1543" s="18"/>
    </row>
    <row r="1544">
      <c r="A1544" s="2">
        <f>IFERROR(__xludf.DUMMYFUNCTION("""COMPUTED_VALUE"""),78804.0)</f>
        <v>78804</v>
      </c>
      <c r="B1544" s="2">
        <f>IFERROR(__xludf.DUMMYFUNCTION("""COMPUTED_VALUE"""),1.0)</f>
        <v>1</v>
      </c>
      <c r="C1544" s="2">
        <f>IFERROR(__xludf.DUMMYFUNCTION("""COMPUTED_VALUE"""),724.0)</f>
        <v>724</v>
      </c>
      <c r="D1544" s="3">
        <f>IFERROR(__xludf.DUMMYFUNCTION("""COMPUTED_VALUE"""),705.0)</f>
        <v>705</v>
      </c>
      <c r="E1544" s="1" t="str">
        <f t="array" ref="E1544">_xlfn.XLOOKUP(A1544,Product!A:A,Product!B:B,"Bulunamadı")</f>
        <v>Arts</v>
      </c>
      <c r="F1544" s="1" t="str">
        <f t="array" ref="F1544">_xlfn.XLOOKUP(A1544,Product!A:A,Product!C:C,"Bulunamadı")</f>
        <v>History of Science</v>
      </c>
      <c r="G1544" s="2" t="str">
        <f t="array" ref="G1544">_xlfn.XLOOKUP(A1545,Product!A:A,Product!D:D,"Bulunamadı")</f>
        <v>Blue Horizon Publishing</v>
      </c>
      <c r="H1544" s="2">
        <f t="array" ref="H1544">_xlfn.XLOOKUP(A1546,Product!A:A,Product!E:E,"Bulunamadı")</f>
        <v>1.64</v>
      </c>
      <c r="I1544" s="2" t="str">
        <f t="shared" si="1"/>
        <v>78804 - Arts - History of Science</v>
      </c>
      <c r="J1544" s="2">
        <f t="shared" si="2"/>
        <v>1156.2</v>
      </c>
      <c r="K1544" s="17">
        <f t="shared" si="3"/>
        <v>1</v>
      </c>
      <c r="L1544" s="18"/>
    </row>
    <row r="1545">
      <c r="A1545" s="2">
        <f>IFERROR(__xludf.DUMMYFUNCTION("""COMPUTED_VALUE"""),103096.0)</f>
        <v>103096</v>
      </c>
      <c r="B1545" s="2">
        <f>IFERROR(__xludf.DUMMYFUNCTION("""COMPUTED_VALUE"""),0.0)</f>
        <v>0</v>
      </c>
      <c r="C1545" s="2">
        <f>IFERROR(__xludf.DUMMYFUNCTION("""COMPUTED_VALUE"""),444.0)</f>
        <v>444</v>
      </c>
      <c r="D1545" s="3">
        <f>IFERROR(__xludf.DUMMYFUNCTION("""COMPUTED_VALUE"""),81.0)</f>
        <v>81</v>
      </c>
      <c r="E1545" s="1" t="str">
        <f t="array" ref="E1545">_xlfn.XLOOKUP(A1545,Product!A:A,Product!B:B,"Bulunamadı")</f>
        <v>Arts</v>
      </c>
      <c r="F1545" s="1" t="str">
        <f t="array" ref="F1545">_xlfn.XLOOKUP(A1545,Product!A:A,Product!C:C,"Bulunamadı")</f>
        <v>History of Science</v>
      </c>
      <c r="G1545" s="2" t="str">
        <f t="array" ref="G1545">_xlfn.XLOOKUP(A1546,Product!A:A,Product!D:D,"Bulunamadı")</f>
        <v>Blue Horizon Publishing</v>
      </c>
      <c r="H1545" s="2">
        <f t="array" ref="H1545">_xlfn.XLOOKUP(A1547,Product!A:A,Product!E:E,"Bulunamadı")</f>
        <v>1.77</v>
      </c>
      <c r="I1545" s="2" t="str">
        <f t="shared" si="1"/>
        <v>103096 - Arts - History of Science</v>
      </c>
      <c r="J1545" s="2">
        <f t="shared" si="2"/>
        <v>143.37</v>
      </c>
      <c r="K1545" s="17">
        <f t="shared" si="3"/>
        <v>1</v>
      </c>
      <c r="L1545" s="18"/>
    </row>
    <row r="1546">
      <c r="A1546" s="2">
        <f>IFERROR(__xludf.DUMMYFUNCTION("""COMPUTED_VALUE"""),180770.0)</f>
        <v>180770</v>
      </c>
      <c r="B1546" s="2">
        <f>IFERROR(__xludf.DUMMYFUNCTION("""COMPUTED_VALUE"""),1.0)</f>
        <v>1</v>
      </c>
      <c r="C1546" s="2">
        <f>IFERROR(__xludf.DUMMYFUNCTION("""COMPUTED_VALUE"""),872.0)</f>
        <v>872</v>
      </c>
      <c r="D1546" s="3">
        <f>IFERROR(__xludf.DUMMYFUNCTION("""COMPUTED_VALUE"""),358.0)</f>
        <v>358</v>
      </c>
      <c r="E1546" s="1" t="str">
        <f t="array" ref="E1546">_xlfn.XLOOKUP(A1546,Product!A:A,Product!B:B,"Bulunamadı")</f>
        <v>Arts</v>
      </c>
      <c r="F1546" s="1" t="str">
        <f t="array" ref="F1546">_xlfn.XLOOKUP(A1546,Product!A:A,Product!C:C,"Bulunamadı")</f>
        <v>History of Science</v>
      </c>
      <c r="G1546" s="2" t="str">
        <f t="array" ref="G1546">_xlfn.XLOOKUP(A1547,Product!A:A,Product!D:D,"Bulunamadı")</f>
        <v>Blue Horizon Publishing</v>
      </c>
      <c r="H1546" s="2">
        <f t="array" ref="H1546">_xlfn.XLOOKUP(A1548,Product!A:A,Product!E:E,"Bulunamadı")</f>
        <v>1.98</v>
      </c>
      <c r="I1546" s="2" t="str">
        <f t="shared" si="1"/>
        <v>180770 - Arts - History of Science</v>
      </c>
      <c r="J1546" s="2">
        <f t="shared" si="2"/>
        <v>708.84</v>
      </c>
      <c r="K1546" s="17">
        <f t="shared" si="3"/>
        <v>1</v>
      </c>
      <c r="L1546" s="18"/>
    </row>
    <row r="1547">
      <c r="A1547" s="2">
        <f>IFERROR(__xludf.DUMMYFUNCTION("""COMPUTED_VALUE"""),80115.0)</f>
        <v>80115</v>
      </c>
      <c r="B1547" s="2">
        <f>IFERROR(__xludf.DUMMYFUNCTION("""COMPUTED_VALUE"""),1.0)</f>
        <v>1</v>
      </c>
      <c r="C1547" s="2">
        <f>IFERROR(__xludf.DUMMYFUNCTION("""COMPUTED_VALUE"""),468.0)</f>
        <v>468</v>
      </c>
      <c r="D1547" s="3">
        <f>IFERROR(__xludf.DUMMYFUNCTION("""COMPUTED_VALUE"""),127.0)</f>
        <v>127</v>
      </c>
      <c r="E1547" s="1" t="str">
        <f t="array" ref="E1547">_xlfn.XLOOKUP(A1547,Product!A:A,Product!B:B,"Bulunamadı")</f>
        <v>Arts</v>
      </c>
      <c r="F1547" s="1" t="str">
        <f t="array" ref="F1547">_xlfn.XLOOKUP(A1547,Product!A:A,Product!C:C,"Bulunamadı")</f>
        <v>History of Science</v>
      </c>
      <c r="G1547" s="2" t="str">
        <f t="array" ref="G1547">_xlfn.XLOOKUP(A1548,Product!A:A,Product!D:D,"Bulunamadı")</f>
        <v>Blue Horizon Publishing</v>
      </c>
      <c r="H1547" s="2">
        <f t="array" ref="H1547">_xlfn.XLOOKUP(A1549,Product!A:A,Product!E:E,"Bulunamadı")</f>
        <v>2.25</v>
      </c>
      <c r="I1547" s="2" t="str">
        <f t="shared" si="1"/>
        <v>80115 - Arts - History of Science</v>
      </c>
      <c r="J1547" s="2">
        <f t="shared" si="2"/>
        <v>285.75</v>
      </c>
      <c r="K1547" s="17">
        <f t="shared" si="3"/>
        <v>1</v>
      </c>
      <c r="L1547" s="18"/>
    </row>
    <row r="1548">
      <c r="A1548" s="2">
        <f>IFERROR(__xludf.DUMMYFUNCTION("""COMPUTED_VALUE"""),83771.0)</f>
        <v>83771</v>
      </c>
      <c r="B1548" s="2">
        <f>IFERROR(__xludf.DUMMYFUNCTION("""COMPUTED_VALUE"""),0.0)</f>
        <v>0</v>
      </c>
      <c r="C1548" s="2">
        <f>IFERROR(__xludf.DUMMYFUNCTION("""COMPUTED_VALUE"""),236.0)</f>
        <v>236</v>
      </c>
      <c r="D1548" s="3">
        <f>IFERROR(__xludf.DUMMYFUNCTION("""COMPUTED_VALUE"""),77.0)</f>
        <v>77</v>
      </c>
      <c r="E1548" s="1" t="str">
        <f t="array" ref="E1548">_xlfn.XLOOKUP(A1548,Product!A:A,Product!B:B,"Bulunamadı")</f>
        <v>Arts</v>
      </c>
      <c r="F1548" s="1" t="str">
        <f t="array" ref="F1548">_xlfn.XLOOKUP(A1548,Product!A:A,Product!C:C,"Bulunamadı")</f>
        <v>History of Science</v>
      </c>
      <c r="G1548" s="2" t="str">
        <f t="array" ref="G1548">_xlfn.XLOOKUP(A1549,Product!A:A,Product!D:D,"Bulunamadı")</f>
        <v>Blue Horizon Publishing</v>
      </c>
      <c r="H1548" s="2">
        <f t="array" ref="H1548">_xlfn.XLOOKUP(A1550,Product!A:A,Product!E:E,"Bulunamadı")</f>
        <v>2.27</v>
      </c>
      <c r="I1548" s="2" t="str">
        <f t="shared" si="1"/>
        <v>83771 - Arts - History of Science</v>
      </c>
      <c r="J1548" s="2">
        <f t="shared" si="2"/>
        <v>174.79</v>
      </c>
      <c r="K1548" s="17">
        <f t="shared" si="3"/>
        <v>1</v>
      </c>
      <c r="L1548" s="18"/>
    </row>
    <row r="1549">
      <c r="A1549" s="2">
        <f>IFERROR(__xludf.DUMMYFUNCTION("""COMPUTED_VALUE"""),80124.0)</f>
        <v>80124</v>
      </c>
      <c r="B1549" s="2">
        <f>IFERROR(__xludf.DUMMYFUNCTION("""COMPUTED_VALUE"""),0.0)</f>
        <v>0</v>
      </c>
      <c r="C1549" s="2">
        <f>IFERROR(__xludf.DUMMYFUNCTION("""COMPUTED_VALUE"""),352.0)</f>
        <v>352</v>
      </c>
      <c r="D1549" s="3">
        <f>IFERROR(__xludf.DUMMYFUNCTION("""COMPUTED_VALUE"""),18.0)</f>
        <v>18</v>
      </c>
      <c r="E1549" s="1" t="str">
        <f t="array" ref="E1549">_xlfn.XLOOKUP(A1549,Product!A:A,Product!B:B,"Bulunamadı")</f>
        <v>Arts</v>
      </c>
      <c r="F1549" s="1" t="str">
        <f t="array" ref="F1549">_xlfn.XLOOKUP(A1549,Product!A:A,Product!C:C,"Bulunamadı")</f>
        <v>History of Science</v>
      </c>
      <c r="G1549" s="2" t="str">
        <f t="array" ref="G1549">_xlfn.XLOOKUP(A1550,Product!A:A,Product!D:D,"Bulunamadı")</f>
        <v>Blue Horizon Publishing</v>
      </c>
      <c r="H1549" s="2">
        <f t="array" ref="H1549">_xlfn.XLOOKUP(A1551,Product!A:A,Product!E:E,"Bulunamadı")</f>
        <v>3.26</v>
      </c>
      <c r="I1549" s="2" t="str">
        <f t="shared" si="1"/>
        <v>80124 - Arts - History of Science</v>
      </c>
      <c r="J1549" s="2">
        <f t="shared" si="2"/>
        <v>58.68</v>
      </c>
      <c r="K1549" s="17">
        <f t="shared" si="3"/>
        <v>1</v>
      </c>
      <c r="L1549" s="18"/>
    </row>
    <row r="1550">
      <c r="A1550" s="2">
        <f>IFERROR(__xludf.DUMMYFUNCTION("""COMPUTED_VALUE"""),80111.0)</f>
        <v>80111</v>
      </c>
      <c r="B1550" s="2">
        <f>IFERROR(__xludf.DUMMYFUNCTION("""COMPUTED_VALUE"""),1.0)</f>
        <v>1</v>
      </c>
      <c r="C1550" s="2">
        <f>IFERROR(__xludf.DUMMYFUNCTION("""COMPUTED_VALUE"""),594.0)</f>
        <v>594</v>
      </c>
      <c r="D1550" s="3">
        <f>IFERROR(__xludf.DUMMYFUNCTION("""COMPUTED_VALUE"""),218.0)</f>
        <v>218</v>
      </c>
      <c r="E1550" s="1" t="str">
        <f t="array" ref="E1550">_xlfn.XLOOKUP(A1550,Product!A:A,Product!B:B,"Bulunamadı")</f>
        <v>Arts</v>
      </c>
      <c r="F1550" s="1" t="str">
        <f t="array" ref="F1550">_xlfn.XLOOKUP(A1550,Product!A:A,Product!C:C,"Bulunamadı")</f>
        <v>History of Science</v>
      </c>
      <c r="G1550" s="2" t="str">
        <f t="array" ref="G1550">_xlfn.XLOOKUP(A1551,Product!A:A,Product!D:D,"Bulunamadı")</f>
        <v>Blue Horizon Publishing</v>
      </c>
      <c r="H1550" s="2">
        <f t="array" ref="H1550">_xlfn.XLOOKUP(A1552,Product!A:A,Product!E:E,"Bulunamadı")</f>
        <v>1.45</v>
      </c>
      <c r="I1550" s="2" t="str">
        <f t="shared" si="1"/>
        <v>80111 - Arts - History of Science</v>
      </c>
      <c r="J1550" s="2">
        <f t="shared" si="2"/>
        <v>316.1</v>
      </c>
      <c r="K1550" s="17">
        <f t="shared" si="3"/>
        <v>1</v>
      </c>
      <c r="L1550" s="18"/>
    </row>
    <row r="1551">
      <c r="A1551" s="2">
        <f>IFERROR(__xludf.DUMMYFUNCTION("""COMPUTED_VALUE"""),63864.0)</f>
        <v>63864</v>
      </c>
      <c r="B1551" s="2">
        <f>IFERROR(__xludf.DUMMYFUNCTION("""COMPUTED_VALUE"""),1.0)</f>
        <v>1</v>
      </c>
      <c r="C1551" s="2">
        <f>IFERROR(__xludf.DUMMYFUNCTION("""COMPUTED_VALUE"""),19.0)</f>
        <v>19</v>
      </c>
      <c r="D1551" s="3">
        <f>IFERROR(__xludf.DUMMYFUNCTION("""COMPUTED_VALUE"""),0.0)</f>
        <v>0</v>
      </c>
      <c r="E1551" s="1" t="str">
        <f t="array" ref="E1551">_xlfn.XLOOKUP(A1551,Product!A:A,Product!B:B,"Bulunamadı")</f>
        <v>Arts</v>
      </c>
      <c r="F1551" s="1" t="str">
        <f t="array" ref="F1551">_xlfn.XLOOKUP(A1551,Product!A:A,Product!C:C,"Bulunamadı")</f>
        <v>History of Science</v>
      </c>
      <c r="G1551" s="2" t="str">
        <f t="array" ref="G1551">_xlfn.XLOOKUP(A1552,Product!A:A,Product!D:D,"Bulunamadı")</f>
        <v>Blue Horizon Publishing</v>
      </c>
      <c r="H1551" s="2">
        <f t="array" ref="H1551">_xlfn.XLOOKUP(A1553,Product!A:A,Product!E:E,"Bulunamadı")</f>
        <v>2.91</v>
      </c>
      <c r="I1551" s="2" t="str">
        <f t="shared" si="1"/>
        <v>63864 - Arts - History of Science</v>
      </c>
      <c r="J1551" s="2">
        <f t="shared" si="2"/>
        <v>0</v>
      </c>
      <c r="K1551" s="17">
        <f t="shared" si="3"/>
        <v>0</v>
      </c>
      <c r="L1551" s="18"/>
    </row>
    <row r="1552">
      <c r="A1552" s="2">
        <f>IFERROR(__xludf.DUMMYFUNCTION("""COMPUTED_VALUE"""),76824.0)</f>
        <v>76824</v>
      </c>
      <c r="B1552" s="2">
        <f>IFERROR(__xludf.DUMMYFUNCTION("""COMPUTED_VALUE"""),0.0)</f>
        <v>0</v>
      </c>
      <c r="C1552" s="2">
        <f>IFERROR(__xludf.DUMMYFUNCTION("""COMPUTED_VALUE"""),164.0)</f>
        <v>164</v>
      </c>
      <c r="D1552" s="3">
        <f>IFERROR(__xludf.DUMMYFUNCTION("""COMPUTED_VALUE"""),5.0)</f>
        <v>5</v>
      </c>
      <c r="E1552" s="1" t="str">
        <f t="array" ref="E1552">_xlfn.XLOOKUP(A1552,Product!A:A,Product!B:B,"Bulunamadı")</f>
        <v>Arts</v>
      </c>
      <c r="F1552" s="1" t="str">
        <f t="array" ref="F1552">_xlfn.XLOOKUP(A1552,Product!A:A,Product!C:C,"Bulunamadı")</f>
        <v>History of Science</v>
      </c>
      <c r="G1552" s="2" t="str">
        <f t="array" ref="G1552">_xlfn.XLOOKUP(A1553,Product!A:A,Product!D:D,"Bulunamadı")</f>
        <v>Blue Horizon Publishing</v>
      </c>
      <c r="H1552" s="2">
        <f t="array" ref="H1552">_xlfn.XLOOKUP(A1554,Product!A:A,Product!E:E,"Bulunamadı")</f>
        <v>2.08</v>
      </c>
      <c r="I1552" s="2" t="str">
        <f t="shared" si="1"/>
        <v>76824 - Arts - History of Science</v>
      </c>
      <c r="J1552" s="2">
        <f t="shared" si="2"/>
        <v>10.4</v>
      </c>
      <c r="K1552" s="17">
        <f t="shared" si="3"/>
        <v>1</v>
      </c>
      <c r="L1552" s="18"/>
    </row>
    <row r="1553">
      <c r="A1553" s="2">
        <f>IFERROR(__xludf.DUMMYFUNCTION("""COMPUTED_VALUE"""),102599.0)</f>
        <v>102599</v>
      </c>
      <c r="B1553" s="2">
        <f>IFERROR(__xludf.DUMMYFUNCTION("""COMPUTED_VALUE"""),0.0)</f>
        <v>0</v>
      </c>
      <c r="C1553" s="2">
        <f>IFERROR(__xludf.DUMMYFUNCTION("""COMPUTED_VALUE"""),378.0)</f>
        <v>378</v>
      </c>
      <c r="D1553" s="3">
        <f>IFERROR(__xludf.DUMMYFUNCTION("""COMPUTED_VALUE"""),28.0)</f>
        <v>28</v>
      </c>
      <c r="E1553" s="1" t="str">
        <f t="array" ref="E1553">_xlfn.XLOOKUP(A1553,Product!A:A,Product!B:B,"Bulunamadı")</f>
        <v>Arts</v>
      </c>
      <c r="F1553" s="1" t="str">
        <f t="array" ref="F1553">_xlfn.XLOOKUP(A1553,Product!A:A,Product!C:C,"Bulunamadı")</f>
        <v>History of Science</v>
      </c>
      <c r="G1553" s="2" t="str">
        <f t="array" ref="G1553">_xlfn.XLOOKUP(A1554,Product!A:A,Product!D:D,"Bulunamadı")</f>
        <v>Blue Horizon Publishing</v>
      </c>
      <c r="H1553" s="2">
        <f t="array" ref="H1553">_xlfn.XLOOKUP(A1555,Product!A:A,Product!E:E,"Bulunamadı")</f>
        <v>1.3</v>
      </c>
      <c r="I1553" s="2" t="str">
        <f t="shared" si="1"/>
        <v>102599 - Arts - History of Science</v>
      </c>
      <c r="J1553" s="2">
        <f t="shared" si="2"/>
        <v>36.4</v>
      </c>
      <c r="K1553" s="17">
        <f t="shared" si="3"/>
        <v>1</v>
      </c>
      <c r="L1553" s="18"/>
    </row>
    <row r="1554">
      <c r="A1554" s="2">
        <f>IFERROR(__xludf.DUMMYFUNCTION("""COMPUTED_VALUE"""),103001.0)</f>
        <v>103001</v>
      </c>
      <c r="B1554" s="2">
        <f>IFERROR(__xludf.DUMMYFUNCTION("""COMPUTED_VALUE"""),1.0)</f>
        <v>1</v>
      </c>
      <c r="C1554" s="2">
        <f>IFERROR(__xludf.DUMMYFUNCTION("""COMPUTED_VALUE"""),12.0)</f>
        <v>12</v>
      </c>
      <c r="D1554" s="3">
        <f>IFERROR(__xludf.DUMMYFUNCTION("""COMPUTED_VALUE"""),5.0)</f>
        <v>5</v>
      </c>
      <c r="E1554" s="1" t="str">
        <f t="array" ref="E1554">_xlfn.XLOOKUP(A1554,Product!A:A,Product!B:B,"Bulunamadı")</f>
        <v>Arts</v>
      </c>
      <c r="F1554" s="1" t="str">
        <f t="array" ref="F1554">_xlfn.XLOOKUP(A1554,Product!A:A,Product!C:C,"Bulunamadı")</f>
        <v>History of Science</v>
      </c>
      <c r="G1554" s="2" t="str">
        <f t="array" ref="G1554">_xlfn.XLOOKUP(A1555,Product!A:A,Product!D:D,"Bulunamadı")</f>
        <v>Blue Horizon Publishing</v>
      </c>
      <c r="H1554" s="2">
        <f t="array" ref="H1554">_xlfn.XLOOKUP(A1556,Product!A:A,Product!E:E,"Bulunamadı")</f>
        <v>1.69</v>
      </c>
      <c r="I1554" s="2" t="str">
        <f t="shared" si="1"/>
        <v>103001 - Arts - History of Science</v>
      </c>
      <c r="J1554" s="2">
        <f t="shared" si="2"/>
        <v>8.45</v>
      </c>
      <c r="K1554" s="17">
        <f t="shared" si="3"/>
        <v>1</v>
      </c>
      <c r="L1554" s="18"/>
    </row>
    <row r="1555">
      <c r="A1555" s="2">
        <f>IFERROR(__xludf.DUMMYFUNCTION("""COMPUTED_VALUE"""),164928.0)</f>
        <v>164928</v>
      </c>
      <c r="B1555" s="2">
        <f>IFERROR(__xludf.DUMMYFUNCTION("""COMPUTED_VALUE"""),1.0)</f>
        <v>1</v>
      </c>
      <c r="C1555" s="2">
        <f>IFERROR(__xludf.DUMMYFUNCTION("""COMPUTED_VALUE"""),377.0)</f>
        <v>377</v>
      </c>
      <c r="D1555" s="3">
        <f>IFERROR(__xludf.DUMMYFUNCTION("""COMPUTED_VALUE"""),326.0)</f>
        <v>326</v>
      </c>
      <c r="E1555" s="1" t="str">
        <f t="array" ref="E1555">_xlfn.XLOOKUP(A1555,Product!A:A,Product!B:B,"Bulunamadı")</f>
        <v>Arts</v>
      </c>
      <c r="F1555" s="1" t="str">
        <f t="array" ref="F1555">_xlfn.XLOOKUP(A1555,Product!A:A,Product!C:C,"Bulunamadı")</f>
        <v>History of Science</v>
      </c>
      <c r="G1555" s="2" t="str">
        <f t="array" ref="G1555">_xlfn.XLOOKUP(A1556,Product!A:A,Product!D:D,"Bulunamadı")</f>
        <v>Blue Horizon Publishing</v>
      </c>
      <c r="H1555" s="2">
        <f t="array" ref="H1555">_xlfn.XLOOKUP(A1557,Product!A:A,Product!E:E,"Bulunamadı")</f>
        <v>1.35</v>
      </c>
      <c r="I1555" s="2" t="str">
        <f t="shared" si="1"/>
        <v>164928 - Arts - History of Science</v>
      </c>
      <c r="J1555" s="2">
        <f t="shared" si="2"/>
        <v>440.1</v>
      </c>
      <c r="K1555" s="17">
        <f t="shared" si="3"/>
        <v>1</v>
      </c>
      <c r="L1555" s="18"/>
    </row>
    <row r="1556">
      <c r="A1556" s="2">
        <f>IFERROR(__xludf.DUMMYFUNCTION("""COMPUTED_VALUE"""),80791.0)</f>
        <v>80791</v>
      </c>
      <c r="B1556" s="2">
        <f>IFERROR(__xludf.DUMMYFUNCTION("""COMPUTED_VALUE"""),1.0)</f>
        <v>1</v>
      </c>
      <c r="C1556" s="2">
        <f>IFERROR(__xludf.DUMMYFUNCTION("""COMPUTED_VALUE"""),403.0)</f>
        <v>403</v>
      </c>
      <c r="D1556" s="3">
        <f>IFERROR(__xludf.DUMMYFUNCTION("""COMPUTED_VALUE"""),183.0)</f>
        <v>183</v>
      </c>
      <c r="E1556" s="1" t="str">
        <f t="array" ref="E1556">_xlfn.XLOOKUP(A1556,Product!A:A,Product!B:B,"Bulunamadı")</f>
        <v>Arts</v>
      </c>
      <c r="F1556" s="1" t="str">
        <f t="array" ref="F1556">_xlfn.XLOOKUP(A1556,Product!A:A,Product!C:C,"Bulunamadı")</f>
        <v>History of Science</v>
      </c>
      <c r="G1556" s="2" t="str">
        <f t="array" ref="G1556">_xlfn.XLOOKUP(A1557,Product!A:A,Product!D:D,"Bulunamadı")</f>
        <v>Blue Horizon Publishing</v>
      </c>
      <c r="H1556" s="2">
        <f t="array" ref="H1556">_xlfn.XLOOKUP(A1558,Product!A:A,Product!E:E,"Bulunamadı")</f>
        <v>1.23</v>
      </c>
      <c r="I1556" s="2" t="str">
        <f t="shared" si="1"/>
        <v>80791 - Arts - History of Science</v>
      </c>
      <c r="J1556" s="2">
        <f t="shared" si="2"/>
        <v>225.09</v>
      </c>
      <c r="K1556" s="17">
        <f t="shared" si="3"/>
        <v>1</v>
      </c>
      <c r="L1556" s="18"/>
    </row>
    <row r="1557">
      <c r="A1557" s="2">
        <f>IFERROR(__xludf.DUMMYFUNCTION("""COMPUTED_VALUE"""),83223.0)</f>
        <v>83223</v>
      </c>
      <c r="B1557" s="2">
        <f>IFERROR(__xludf.DUMMYFUNCTION("""COMPUTED_VALUE"""),0.0)</f>
        <v>0</v>
      </c>
      <c r="C1557" s="2">
        <f>IFERROR(__xludf.DUMMYFUNCTION("""COMPUTED_VALUE"""),954.0)</f>
        <v>954</v>
      </c>
      <c r="D1557" s="3">
        <f>IFERROR(__xludf.DUMMYFUNCTION("""COMPUTED_VALUE"""),654.0)</f>
        <v>654</v>
      </c>
      <c r="E1557" s="1" t="str">
        <f t="array" ref="E1557">_xlfn.XLOOKUP(A1557,Product!A:A,Product!B:B,"Bulunamadı")</f>
        <v>Arts</v>
      </c>
      <c r="F1557" s="1" t="str">
        <f t="array" ref="F1557">_xlfn.XLOOKUP(A1557,Product!A:A,Product!C:C,"Bulunamadı")</f>
        <v>History of Science</v>
      </c>
      <c r="G1557" s="2" t="str">
        <f t="array" ref="G1557">_xlfn.XLOOKUP(A1558,Product!A:A,Product!D:D,"Bulunamadı")</f>
        <v>Blue Horizon Publishing</v>
      </c>
      <c r="H1557" s="2">
        <f t="array" ref="H1557">_xlfn.XLOOKUP(A1559,Product!A:A,Product!E:E,"Bulunamadı")</f>
        <v>1.84</v>
      </c>
      <c r="I1557" s="2" t="str">
        <f t="shared" si="1"/>
        <v>83223 - Arts - History of Science</v>
      </c>
      <c r="J1557" s="2">
        <f t="shared" si="2"/>
        <v>1203.36</v>
      </c>
      <c r="K1557" s="17">
        <f t="shared" si="3"/>
        <v>1</v>
      </c>
      <c r="L1557" s="18"/>
    </row>
    <row r="1558">
      <c r="A1558" s="2">
        <f>IFERROR(__xludf.DUMMYFUNCTION("""COMPUTED_VALUE"""),951.0)</f>
        <v>951</v>
      </c>
      <c r="B1558" s="2">
        <f>IFERROR(__xludf.DUMMYFUNCTION("""COMPUTED_VALUE"""),1.0)</f>
        <v>1</v>
      </c>
      <c r="C1558" s="2">
        <f>IFERROR(__xludf.DUMMYFUNCTION("""COMPUTED_VALUE"""),157.0)</f>
        <v>157</v>
      </c>
      <c r="D1558" s="3">
        <f>IFERROR(__xludf.DUMMYFUNCTION("""COMPUTED_VALUE"""),154.0)</f>
        <v>154</v>
      </c>
      <c r="E1558" s="1" t="str">
        <f t="array" ref="E1558">_xlfn.XLOOKUP(A1558,Product!A:A,Product!B:B,"Bulunamadı")</f>
        <v>Arts</v>
      </c>
      <c r="F1558" s="1" t="str">
        <f t="array" ref="F1558">_xlfn.XLOOKUP(A1558,Product!A:A,Product!C:C,"Bulunamadı")</f>
        <v>History of Science</v>
      </c>
      <c r="G1558" s="2" t="str">
        <f t="array" ref="G1558">_xlfn.XLOOKUP(A1559,Product!A:A,Product!D:D,"Bulunamadı")</f>
        <v>Blue Horizon Publishing</v>
      </c>
      <c r="H1558" s="2">
        <f t="array" ref="H1558">_xlfn.XLOOKUP(A1560,Product!A:A,Product!E:E,"Bulunamadı")</f>
        <v>2.15</v>
      </c>
      <c r="I1558" s="2" t="str">
        <f t="shared" si="1"/>
        <v>951 - Arts - History of Science</v>
      </c>
      <c r="J1558" s="2">
        <f t="shared" si="2"/>
        <v>331.1</v>
      </c>
      <c r="K1558" s="17">
        <f t="shared" si="3"/>
        <v>1</v>
      </c>
      <c r="L1558" s="18"/>
    </row>
    <row r="1559">
      <c r="A1559" s="2">
        <f>IFERROR(__xludf.DUMMYFUNCTION("""COMPUTED_VALUE"""),149928.0)</f>
        <v>149928</v>
      </c>
      <c r="B1559" s="2">
        <f>IFERROR(__xludf.DUMMYFUNCTION("""COMPUTED_VALUE"""),1.0)</f>
        <v>1</v>
      </c>
      <c r="C1559" s="2">
        <f>IFERROR(__xludf.DUMMYFUNCTION("""COMPUTED_VALUE"""),876.0)</f>
        <v>876</v>
      </c>
      <c r="D1559" s="3">
        <f>IFERROR(__xludf.DUMMYFUNCTION("""COMPUTED_VALUE"""),562.0)</f>
        <v>562</v>
      </c>
      <c r="E1559" s="1" t="str">
        <f t="array" ref="E1559">_xlfn.XLOOKUP(A1559,Product!A:A,Product!B:B,"Bulunamadı")</f>
        <v>Arts</v>
      </c>
      <c r="F1559" s="1" t="str">
        <f t="array" ref="F1559">_xlfn.XLOOKUP(A1559,Product!A:A,Product!C:C,"Bulunamadı")</f>
        <v>History of Science</v>
      </c>
      <c r="G1559" s="2" t="str">
        <f t="array" ref="G1559">_xlfn.XLOOKUP(A1560,Product!A:A,Product!D:D,"Bulunamadı")</f>
        <v>Timber Ridge Books</v>
      </c>
      <c r="H1559" s="2">
        <f t="array" ref="H1559">_xlfn.XLOOKUP(A1561,Product!A:A,Product!E:E,"Bulunamadı")</f>
        <v>1.93</v>
      </c>
      <c r="I1559" s="2" t="str">
        <f t="shared" si="1"/>
        <v>149928 - Arts - History of Science</v>
      </c>
      <c r="J1559" s="2">
        <f t="shared" si="2"/>
        <v>1084.66</v>
      </c>
      <c r="K1559" s="17">
        <f t="shared" si="3"/>
        <v>1</v>
      </c>
      <c r="L1559" s="18"/>
    </row>
    <row r="1560">
      <c r="A1560" s="2">
        <f>IFERROR(__xludf.DUMMYFUNCTION("""COMPUTED_VALUE"""),60375.0)</f>
        <v>60375</v>
      </c>
      <c r="B1560" s="2">
        <f>IFERROR(__xludf.DUMMYFUNCTION("""COMPUTED_VALUE"""),1.0)</f>
        <v>1</v>
      </c>
      <c r="C1560" s="2">
        <f>IFERROR(__xludf.DUMMYFUNCTION("""COMPUTED_VALUE"""),637.0)</f>
        <v>637</v>
      </c>
      <c r="D1560" s="3">
        <f>IFERROR(__xludf.DUMMYFUNCTION("""COMPUTED_VALUE"""),539.0)</f>
        <v>539</v>
      </c>
      <c r="E1560" s="1" t="str">
        <f t="array" ref="E1560">_xlfn.XLOOKUP(A1560,Product!A:A,Product!B:B,"Bulunamadı")</f>
        <v>Arts</v>
      </c>
      <c r="F1560" s="1" t="str">
        <f t="array" ref="F1560">_xlfn.XLOOKUP(A1560,Product!A:A,Product!C:C,"Bulunamadı")</f>
        <v>History of Science</v>
      </c>
      <c r="G1560" s="2" t="str">
        <f t="array" ref="G1560">_xlfn.XLOOKUP(A1561,Product!A:A,Product!D:D,"Bulunamadı")</f>
        <v>Aurora Harbor Press</v>
      </c>
      <c r="H1560" s="2">
        <f t="array" ref="H1560">_xlfn.XLOOKUP(A1562,Product!A:A,Product!E:E,"Bulunamadı")</f>
        <v>2.17</v>
      </c>
      <c r="I1560" s="2" t="str">
        <f t="shared" si="1"/>
        <v>60375 - Arts - History of Science</v>
      </c>
      <c r="J1560" s="2">
        <f t="shared" si="2"/>
        <v>1169.63</v>
      </c>
      <c r="K1560" s="17">
        <f t="shared" si="3"/>
        <v>1</v>
      </c>
      <c r="L1560" s="18"/>
    </row>
    <row r="1561">
      <c r="A1561" s="2">
        <f>IFERROR(__xludf.DUMMYFUNCTION("""COMPUTED_VALUE"""),102594.0)</f>
        <v>102594</v>
      </c>
      <c r="B1561" s="2">
        <f>IFERROR(__xludf.DUMMYFUNCTION("""COMPUTED_VALUE"""),1.0)</f>
        <v>1</v>
      </c>
      <c r="C1561" s="2">
        <f>IFERROR(__xludf.DUMMYFUNCTION("""COMPUTED_VALUE"""),401.0)</f>
        <v>401</v>
      </c>
      <c r="D1561" s="3">
        <f>IFERROR(__xludf.DUMMYFUNCTION("""COMPUTED_VALUE"""),213.0)</f>
        <v>213</v>
      </c>
      <c r="E1561" s="1" t="str">
        <f t="array" ref="E1561">_xlfn.XLOOKUP(A1561,Product!A:A,Product!B:B,"Bulunamadı")</f>
        <v>Arts</v>
      </c>
      <c r="F1561" s="1" t="str">
        <f t="array" ref="F1561">_xlfn.XLOOKUP(A1561,Product!A:A,Product!C:C,"Bulunamadı")</f>
        <v>History of Science</v>
      </c>
      <c r="G1561" s="2" t="str">
        <f t="array" ref="G1561">_xlfn.XLOOKUP(A1562,Product!A:A,Product!D:D,"Bulunamadı")</f>
        <v>Aurora Harbor Press</v>
      </c>
      <c r="H1561" s="2">
        <f t="array" ref="H1561">_xlfn.XLOOKUP(A1563,Product!A:A,Product!E:E,"Bulunamadı")</f>
        <v>2.24</v>
      </c>
      <c r="I1561" s="2" t="str">
        <f t="shared" si="1"/>
        <v>102594 - Arts - History of Science</v>
      </c>
      <c r="J1561" s="2">
        <f t="shared" si="2"/>
        <v>477.12</v>
      </c>
      <c r="K1561" s="17">
        <f t="shared" si="3"/>
        <v>1</v>
      </c>
      <c r="L1561" s="18"/>
    </row>
    <row r="1562">
      <c r="A1562" s="2">
        <f>IFERROR(__xludf.DUMMYFUNCTION("""COMPUTED_VALUE"""),128218.0)</f>
        <v>128218</v>
      </c>
      <c r="B1562" s="2">
        <f>IFERROR(__xludf.DUMMYFUNCTION("""COMPUTED_VALUE"""),0.0)</f>
        <v>0</v>
      </c>
      <c r="C1562" s="2">
        <f>IFERROR(__xludf.DUMMYFUNCTION("""COMPUTED_VALUE"""),853.0)</f>
        <v>853</v>
      </c>
      <c r="D1562" s="3">
        <f>IFERROR(__xludf.DUMMYFUNCTION("""COMPUTED_VALUE"""),555.0)</f>
        <v>555</v>
      </c>
      <c r="E1562" s="1" t="str">
        <f t="array" ref="E1562">_xlfn.XLOOKUP(A1562,Product!A:A,Product!B:B,"Bulunamadı")</f>
        <v>Arts</v>
      </c>
      <c r="F1562" s="1" t="str">
        <f t="array" ref="F1562">_xlfn.XLOOKUP(A1562,Product!A:A,Product!C:C,"Bulunamadı")</f>
        <v>History of Science</v>
      </c>
      <c r="G1562" s="2" t="str">
        <f t="array" ref="G1562">_xlfn.XLOOKUP(A1563,Product!A:A,Product!D:D,"Bulunamadı")</f>
        <v>Aurora Harbor Press</v>
      </c>
      <c r="H1562" s="2">
        <f t="array" ref="H1562">_xlfn.XLOOKUP(A1564,Product!A:A,Product!E:E,"Bulunamadı")</f>
        <v>1.3</v>
      </c>
      <c r="I1562" s="2" t="str">
        <f t="shared" si="1"/>
        <v>128218 - Arts - History of Science</v>
      </c>
      <c r="J1562" s="2">
        <f t="shared" si="2"/>
        <v>721.5</v>
      </c>
      <c r="K1562" s="17">
        <f t="shared" si="3"/>
        <v>1</v>
      </c>
      <c r="L1562" s="18"/>
    </row>
    <row r="1563">
      <c r="A1563" s="2">
        <f>IFERROR(__xludf.DUMMYFUNCTION("""COMPUTED_VALUE"""),80178.0)</f>
        <v>80178</v>
      </c>
      <c r="B1563" s="2">
        <f>IFERROR(__xludf.DUMMYFUNCTION("""COMPUTED_VALUE"""),1.0)</f>
        <v>1</v>
      </c>
      <c r="C1563" s="2">
        <f>IFERROR(__xludf.DUMMYFUNCTION("""COMPUTED_VALUE"""),370.0)</f>
        <v>370</v>
      </c>
      <c r="D1563" s="3">
        <f>IFERROR(__xludf.DUMMYFUNCTION("""COMPUTED_VALUE"""),24.0)</f>
        <v>24</v>
      </c>
      <c r="E1563" s="1" t="str">
        <f t="array" ref="E1563">_xlfn.XLOOKUP(A1563,Product!A:A,Product!B:B,"Bulunamadı")</f>
        <v>Arts</v>
      </c>
      <c r="F1563" s="1" t="str">
        <f t="array" ref="F1563">_xlfn.XLOOKUP(A1563,Product!A:A,Product!C:C,"Bulunamadı")</f>
        <v>History of Science</v>
      </c>
      <c r="G1563" s="2" t="str">
        <f t="array" ref="G1563">_xlfn.XLOOKUP(A1564,Product!A:A,Product!D:D,"Bulunamadı")</f>
        <v>Aurora Harbor Press</v>
      </c>
      <c r="H1563" s="2">
        <f t="array" ref="H1563">_xlfn.XLOOKUP(A1565,Product!A:A,Product!E:E,"Bulunamadı")</f>
        <v>1.64</v>
      </c>
      <c r="I1563" s="2" t="str">
        <f t="shared" si="1"/>
        <v>80178 - Arts - History of Science</v>
      </c>
      <c r="J1563" s="2">
        <f t="shared" si="2"/>
        <v>39.36</v>
      </c>
      <c r="K1563" s="17">
        <f t="shared" si="3"/>
        <v>1</v>
      </c>
      <c r="L1563" s="18"/>
    </row>
    <row r="1564">
      <c r="A1564" s="2">
        <f>IFERROR(__xludf.DUMMYFUNCTION("""COMPUTED_VALUE"""),164932.0)</f>
        <v>164932</v>
      </c>
      <c r="B1564" s="2">
        <f>IFERROR(__xludf.DUMMYFUNCTION("""COMPUTED_VALUE"""),0.0)</f>
        <v>0</v>
      </c>
      <c r="C1564" s="2">
        <f>IFERROR(__xludf.DUMMYFUNCTION("""COMPUTED_VALUE"""),946.0)</f>
        <v>946</v>
      </c>
      <c r="D1564" s="3">
        <f>IFERROR(__xludf.DUMMYFUNCTION("""COMPUTED_VALUE"""),162.0)</f>
        <v>162</v>
      </c>
      <c r="E1564" s="1" t="str">
        <f t="array" ref="E1564">_xlfn.XLOOKUP(A1564,Product!A:A,Product!B:B,"Bulunamadı")</f>
        <v>Arts</v>
      </c>
      <c r="F1564" s="1" t="str">
        <f t="array" ref="F1564">_xlfn.XLOOKUP(A1564,Product!A:A,Product!C:C,"Bulunamadı")</f>
        <v>History of Science</v>
      </c>
      <c r="G1564" s="2" t="str">
        <f t="array" ref="G1564">_xlfn.XLOOKUP(A1565,Product!A:A,Product!D:D,"Bulunamadı")</f>
        <v>Aurora Harbor Press</v>
      </c>
      <c r="H1564" s="2">
        <f t="array" ref="H1564">_xlfn.XLOOKUP(A1566,Product!A:A,Product!E:E,"Bulunamadı")</f>
        <v>2.19</v>
      </c>
      <c r="I1564" s="2" t="str">
        <f t="shared" si="1"/>
        <v>164932 - Arts - History of Science</v>
      </c>
      <c r="J1564" s="2">
        <f t="shared" si="2"/>
        <v>354.78</v>
      </c>
      <c r="K1564" s="17">
        <f t="shared" si="3"/>
        <v>1</v>
      </c>
      <c r="L1564" s="18"/>
    </row>
    <row r="1565">
      <c r="A1565" s="2">
        <f>IFERROR(__xludf.DUMMYFUNCTION("""COMPUTED_VALUE"""),22036.0)</f>
        <v>22036</v>
      </c>
      <c r="B1565" s="2">
        <f>IFERROR(__xludf.DUMMYFUNCTION("""COMPUTED_VALUE"""),0.0)</f>
        <v>0</v>
      </c>
      <c r="C1565" s="2">
        <f>IFERROR(__xludf.DUMMYFUNCTION("""COMPUTED_VALUE"""),244.0)</f>
        <v>244</v>
      </c>
      <c r="D1565" s="3">
        <f>IFERROR(__xludf.DUMMYFUNCTION("""COMPUTED_VALUE"""),37.0)</f>
        <v>37</v>
      </c>
      <c r="E1565" s="1" t="str">
        <f t="array" ref="E1565">_xlfn.XLOOKUP(A1565,Product!A:A,Product!B:B,"Bulunamadı")</f>
        <v>Arts</v>
      </c>
      <c r="F1565" s="1" t="str">
        <f t="array" ref="F1565">_xlfn.XLOOKUP(A1565,Product!A:A,Product!C:C,"Bulunamadı")</f>
        <v>History of Science</v>
      </c>
      <c r="G1565" s="2" t="str">
        <f t="array" ref="G1565">_xlfn.XLOOKUP(A1566,Product!A:A,Product!D:D,"Bulunamadı")</f>
        <v>Aurora Harbor Press</v>
      </c>
      <c r="H1565" s="2">
        <f t="array" ref="H1565">_xlfn.XLOOKUP(A1567,Product!A:A,Product!E:E,"Bulunamadı")</f>
        <v>1.31</v>
      </c>
      <c r="I1565" s="2" t="str">
        <f t="shared" si="1"/>
        <v>22036 - Arts - History of Science</v>
      </c>
      <c r="J1565" s="2">
        <f t="shared" si="2"/>
        <v>48.47</v>
      </c>
      <c r="K1565" s="17">
        <f t="shared" si="3"/>
        <v>1</v>
      </c>
      <c r="L1565" s="18"/>
    </row>
    <row r="1566">
      <c r="A1566" s="2">
        <f>IFERROR(__xludf.DUMMYFUNCTION("""COMPUTED_VALUE"""),102585.0)</f>
        <v>102585</v>
      </c>
      <c r="B1566" s="2">
        <f>IFERROR(__xludf.DUMMYFUNCTION("""COMPUTED_VALUE"""),0.0)</f>
        <v>0</v>
      </c>
      <c r="C1566" s="2">
        <f>IFERROR(__xludf.DUMMYFUNCTION("""COMPUTED_VALUE"""),421.0)</f>
        <v>421</v>
      </c>
      <c r="D1566" s="3">
        <f>IFERROR(__xludf.DUMMYFUNCTION("""COMPUTED_VALUE"""),219.0)</f>
        <v>219</v>
      </c>
      <c r="E1566" s="1" t="str">
        <f t="array" ref="E1566">_xlfn.XLOOKUP(A1566,Product!A:A,Product!B:B,"Bulunamadı")</f>
        <v>Arts</v>
      </c>
      <c r="F1566" s="1" t="str">
        <f t="array" ref="F1566">_xlfn.XLOOKUP(A1566,Product!A:A,Product!C:C,"Bulunamadı")</f>
        <v>History of Science</v>
      </c>
      <c r="G1566" s="2" t="str">
        <f t="array" ref="G1566">_xlfn.XLOOKUP(A1567,Product!A:A,Product!D:D,"Bulunamadı")</f>
        <v>Aurora Harbor Press</v>
      </c>
      <c r="H1566" s="2">
        <f t="array" ref="H1566">_xlfn.XLOOKUP(A1568,Product!A:A,Product!E:E,"Bulunamadı")</f>
        <v>1.34</v>
      </c>
      <c r="I1566" s="2" t="str">
        <f t="shared" si="1"/>
        <v>102585 - Arts - History of Science</v>
      </c>
      <c r="J1566" s="2">
        <f t="shared" si="2"/>
        <v>293.46</v>
      </c>
      <c r="K1566" s="17">
        <f t="shared" si="3"/>
        <v>1</v>
      </c>
      <c r="L1566" s="18"/>
    </row>
    <row r="1567">
      <c r="A1567" s="2">
        <f>IFERROR(__xludf.DUMMYFUNCTION("""COMPUTED_VALUE"""),78816.0)</f>
        <v>78816</v>
      </c>
      <c r="B1567" s="2">
        <f>IFERROR(__xludf.DUMMYFUNCTION("""COMPUTED_VALUE"""),1.0)</f>
        <v>1</v>
      </c>
      <c r="C1567" s="2">
        <f>IFERROR(__xludf.DUMMYFUNCTION("""COMPUTED_VALUE"""),275.0)</f>
        <v>275</v>
      </c>
      <c r="D1567" s="3">
        <f>IFERROR(__xludf.DUMMYFUNCTION("""COMPUTED_VALUE"""),86.0)</f>
        <v>86</v>
      </c>
      <c r="E1567" s="1" t="str">
        <f t="array" ref="E1567">_xlfn.XLOOKUP(A1567,Product!A:A,Product!B:B,"Bulunamadı")</f>
        <v>Arts</v>
      </c>
      <c r="F1567" s="1" t="str">
        <f t="array" ref="F1567">_xlfn.XLOOKUP(A1567,Product!A:A,Product!C:C,"Bulunamadı")</f>
        <v>History of Science</v>
      </c>
      <c r="G1567" s="2" t="str">
        <f t="array" ref="G1567">_xlfn.XLOOKUP(A1568,Product!A:A,Product!D:D,"Bulunamadı")</f>
        <v>Aurora Harbor Press</v>
      </c>
      <c r="H1567" s="2">
        <f t="array" ref="H1567">_xlfn.XLOOKUP(A1569,Product!A:A,Product!E:E,"Bulunamadı")</f>
        <v>1.41</v>
      </c>
      <c r="I1567" s="2" t="str">
        <f t="shared" si="1"/>
        <v>78816 - Arts - History of Science</v>
      </c>
      <c r="J1567" s="2">
        <f t="shared" si="2"/>
        <v>121.26</v>
      </c>
      <c r="K1567" s="17">
        <f t="shared" si="3"/>
        <v>1</v>
      </c>
      <c r="L1567" s="18"/>
    </row>
    <row r="1568">
      <c r="A1568" s="2">
        <f>IFERROR(__xludf.DUMMYFUNCTION("""COMPUTED_VALUE"""),78822.0)</f>
        <v>78822</v>
      </c>
      <c r="B1568" s="2">
        <f>IFERROR(__xludf.DUMMYFUNCTION("""COMPUTED_VALUE"""),1.0)</f>
        <v>1</v>
      </c>
      <c r="C1568" s="2">
        <f>IFERROR(__xludf.DUMMYFUNCTION("""COMPUTED_VALUE"""),429.0)</f>
        <v>429</v>
      </c>
      <c r="D1568" s="3">
        <f>IFERROR(__xludf.DUMMYFUNCTION("""COMPUTED_VALUE"""),390.0)</f>
        <v>390</v>
      </c>
      <c r="E1568" s="1" t="str">
        <f t="array" ref="E1568">_xlfn.XLOOKUP(A1568,Product!A:A,Product!B:B,"Bulunamadı")</f>
        <v>Arts</v>
      </c>
      <c r="F1568" s="1" t="str">
        <f t="array" ref="F1568">_xlfn.XLOOKUP(A1568,Product!A:A,Product!C:C,"Bulunamadı")</f>
        <v>History of Science</v>
      </c>
      <c r="G1568" s="2" t="str">
        <f t="array" ref="G1568">_xlfn.XLOOKUP(A1569,Product!A:A,Product!D:D,"Bulunamadı")</f>
        <v>Aurora Harbor Press</v>
      </c>
      <c r="H1568" s="2">
        <f t="array" ref="H1568">_xlfn.XLOOKUP(A1570,Product!A:A,Product!E:E,"Bulunamadı")</f>
        <v>2.53</v>
      </c>
      <c r="I1568" s="2" t="str">
        <f t="shared" si="1"/>
        <v>78822 - Arts - History of Science</v>
      </c>
      <c r="J1568" s="2">
        <f t="shared" si="2"/>
        <v>986.7</v>
      </c>
      <c r="K1568" s="17">
        <f t="shared" si="3"/>
        <v>1</v>
      </c>
      <c r="L1568" s="18"/>
    </row>
    <row r="1569">
      <c r="A1569" s="2">
        <f>IFERROR(__xludf.DUMMYFUNCTION("""COMPUTED_VALUE"""),83773.0)</f>
        <v>83773</v>
      </c>
      <c r="B1569" s="2">
        <f>IFERROR(__xludf.DUMMYFUNCTION("""COMPUTED_VALUE"""),0.0)</f>
        <v>0</v>
      </c>
      <c r="C1569" s="2">
        <f>IFERROR(__xludf.DUMMYFUNCTION("""COMPUTED_VALUE"""),817.0)</f>
        <v>817</v>
      </c>
      <c r="D1569" s="3">
        <f>IFERROR(__xludf.DUMMYFUNCTION("""COMPUTED_VALUE"""),19.0)</f>
        <v>19</v>
      </c>
      <c r="E1569" s="1" t="str">
        <f t="array" ref="E1569">_xlfn.XLOOKUP(A1569,Product!A:A,Product!B:B,"Bulunamadı")</f>
        <v>Arts</v>
      </c>
      <c r="F1569" s="1" t="str">
        <f t="array" ref="F1569">_xlfn.XLOOKUP(A1569,Product!A:A,Product!C:C,"Bulunamadı")</f>
        <v>History of Science</v>
      </c>
      <c r="G1569" s="2" t="str">
        <f t="array" ref="G1569">_xlfn.XLOOKUP(A1570,Product!A:A,Product!D:D,"Bulunamadı")</f>
        <v>Aurora Harbor Press</v>
      </c>
      <c r="H1569" s="2">
        <f t="array" ref="H1569">_xlfn.XLOOKUP(A1571,Product!A:A,Product!E:E,"Bulunamadı")</f>
        <v>1.67</v>
      </c>
      <c r="I1569" s="2" t="str">
        <f t="shared" si="1"/>
        <v>83773 - Arts - History of Science</v>
      </c>
      <c r="J1569" s="2">
        <f t="shared" si="2"/>
        <v>31.73</v>
      </c>
      <c r="K1569" s="17">
        <f t="shared" si="3"/>
        <v>1</v>
      </c>
      <c r="L1569" s="18"/>
    </row>
    <row r="1570">
      <c r="A1570" s="2">
        <f>IFERROR(__xludf.DUMMYFUNCTION("""COMPUTED_VALUE"""),114720.0)</f>
        <v>114720</v>
      </c>
      <c r="B1570" s="2">
        <f>IFERROR(__xludf.DUMMYFUNCTION("""COMPUTED_VALUE"""),0.0)</f>
        <v>0</v>
      </c>
      <c r="C1570" s="2">
        <f>IFERROR(__xludf.DUMMYFUNCTION("""COMPUTED_VALUE"""),960.0)</f>
        <v>960</v>
      </c>
      <c r="D1570" s="3">
        <f>IFERROR(__xludf.DUMMYFUNCTION("""COMPUTED_VALUE"""),526.0)</f>
        <v>526</v>
      </c>
      <c r="E1570" s="1" t="str">
        <f t="array" ref="E1570">_xlfn.XLOOKUP(A1570,Product!A:A,Product!B:B,"Bulunamadı")</f>
        <v>Arts</v>
      </c>
      <c r="F1570" s="1" t="str">
        <f t="array" ref="F1570">_xlfn.XLOOKUP(A1570,Product!A:A,Product!C:C,"Bulunamadı")</f>
        <v>History of Science</v>
      </c>
      <c r="G1570" s="2" t="str">
        <f t="array" ref="G1570">_xlfn.XLOOKUP(A1571,Product!A:A,Product!D:D,"Bulunamadı")</f>
        <v>Aurora Harbor Press</v>
      </c>
      <c r="H1570" s="2">
        <f t="array" ref="H1570">_xlfn.XLOOKUP(A1572,Product!A:A,Product!E:E,"Bulunamadı")</f>
        <v>1.62</v>
      </c>
      <c r="I1570" s="2" t="str">
        <f t="shared" si="1"/>
        <v>114720 - Arts - History of Science</v>
      </c>
      <c r="J1570" s="2">
        <f t="shared" si="2"/>
        <v>852.12</v>
      </c>
      <c r="K1570" s="17">
        <f t="shared" si="3"/>
        <v>1</v>
      </c>
      <c r="L1570" s="18"/>
    </row>
    <row r="1571">
      <c r="A1571" s="2">
        <f>IFERROR(__xludf.DUMMYFUNCTION("""COMPUTED_VALUE"""),83777.0)</f>
        <v>83777</v>
      </c>
      <c r="B1571" s="2">
        <f>IFERROR(__xludf.DUMMYFUNCTION("""COMPUTED_VALUE"""),0.0)</f>
        <v>0</v>
      </c>
      <c r="C1571" s="2">
        <f>IFERROR(__xludf.DUMMYFUNCTION("""COMPUTED_VALUE"""),238.0)</f>
        <v>238</v>
      </c>
      <c r="D1571" s="3">
        <f>IFERROR(__xludf.DUMMYFUNCTION("""COMPUTED_VALUE"""),154.0)</f>
        <v>154</v>
      </c>
      <c r="E1571" s="1" t="str">
        <f t="array" ref="E1571">_xlfn.XLOOKUP(A1571,Product!A:A,Product!B:B,"Bulunamadı")</f>
        <v>Arts</v>
      </c>
      <c r="F1571" s="1" t="str">
        <f t="array" ref="F1571">_xlfn.XLOOKUP(A1571,Product!A:A,Product!C:C,"Bulunamadı")</f>
        <v>History of Science</v>
      </c>
      <c r="G1571" s="2" t="str">
        <f t="array" ref="G1571">_xlfn.XLOOKUP(A1572,Product!A:A,Product!D:D,"Bulunamadı")</f>
        <v>Aurora Harbor Press</v>
      </c>
      <c r="H1571" s="2">
        <f t="array" ref="H1571">_xlfn.XLOOKUP(A1573,Product!A:A,Product!E:E,"Bulunamadı")</f>
        <v>1.26</v>
      </c>
      <c r="I1571" s="2" t="str">
        <f t="shared" si="1"/>
        <v>83777 - Arts - History of Science</v>
      </c>
      <c r="J1571" s="2">
        <f t="shared" si="2"/>
        <v>194.04</v>
      </c>
      <c r="K1571" s="17">
        <f t="shared" si="3"/>
        <v>1</v>
      </c>
      <c r="L1571" s="18"/>
    </row>
    <row r="1572">
      <c r="A1572" s="2">
        <f>IFERROR(__xludf.DUMMYFUNCTION("""COMPUTED_VALUE"""),102593.0)</f>
        <v>102593</v>
      </c>
      <c r="B1572" s="2">
        <f>IFERROR(__xludf.DUMMYFUNCTION("""COMPUTED_VALUE"""),0.0)</f>
        <v>0</v>
      </c>
      <c r="C1572" s="2">
        <f>IFERROR(__xludf.DUMMYFUNCTION("""COMPUTED_VALUE"""),89.0)</f>
        <v>89</v>
      </c>
      <c r="D1572" s="3">
        <f>IFERROR(__xludf.DUMMYFUNCTION("""COMPUTED_VALUE"""),63.0)</f>
        <v>63</v>
      </c>
      <c r="E1572" s="1" t="str">
        <f t="array" ref="E1572">_xlfn.XLOOKUP(A1572,Product!A:A,Product!B:B,"Bulunamadı")</f>
        <v>Arts</v>
      </c>
      <c r="F1572" s="1" t="str">
        <f t="array" ref="F1572">_xlfn.XLOOKUP(A1572,Product!A:A,Product!C:C,"Bulunamadı")</f>
        <v>History of Science</v>
      </c>
      <c r="G1572" s="2" t="str">
        <f t="array" ref="G1572">_xlfn.XLOOKUP(A1573,Product!A:A,Product!D:D,"Bulunamadı")</f>
        <v>Aurora Harbor Press</v>
      </c>
      <c r="H1572" s="2">
        <f t="array" ref="H1572">_xlfn.XLOOKUP(A1574,Product!A:A,Product!E:E,"Bulunamadı")</f>
        <v>2.29</v>
      </c>
      <c r="I1572" s="2" t="str">
        <f t="shared" si="1"/>
        <v>102593 - Arts - History of Science</v>
      </c>
      <c r="J1572" s="2">
        <f t="shared" si="2"/>
        <v>144.27</v>
      </c>
      <c r="K1572" s="17">
        <f t="shared" si="3"/>
        <v>1</v>
      </c>
      <c r="L1572" s="18"/>
    </row>
    <row r="1573">
      <c r="A1573" s="2">
        <f>IFERROR(__xludf.DUMMYFUNCTION("""COMPUTED_VALUE"""),164930.0)</f>
        <v>164930</v>
      </c>
      <c r="B1573" s="2">
        <f>IFERROR(__xludf.DUMMYFUNCTION("""COMPUTED_VALUE"""),1.0)</f>
        <v>1</v>
      </c>
      <c r="C1573" s="2">
        <f>IFERROR(__xludf.DUMMYFUNCTION("""COMPUTED_VALUE"""),731.0)</f>
        <v>731</v>
      </c>
      <c r="D1573" s="3">
        <f>IFERROR(__xludf.DUMMYFUNCTION("""COMPUTED_VALUE"""),217.0)</f>
        <v>217</v>
      </c>
      <c r="E1573" s="1" t="str">
        <f t="array" ref="E1573">_xlfn.XLOOKUP(A1573,Product!A:A,Product!B:B,"Bulunamadı")</f>
        <v>Arts</v>
      </c>
      <c r="F1573" s="1" t="str">
        <f t="array" ref="F1573">_xlfn.XLOOKUP(A1573,Product!A:A,Product!C:C,"Bulunamadı")</f>
        <v>History of Science</v>
      </c>
      <c r="G1573" s="2" t="str">
        <f t="array" ref="G1573">_xlfn.XLOOKUP(A1574,Product!A:A,Product!D:D,"Bulunamadı")</f>
        <v>Aurora Harbor Press</v>
      </c>
      <c r="H1573" s="2">
        <f t="array" ref="H1573">_xlfn.XLOOKUP(A1575,Product!A:A,Product!E:E,"Bulunamadı")</f>
        <v>2.28</v>
      </c>
      <c r="I1573" s="2" t="str">
        <f t="shared" si="1"/>
        <v>164930 - Arts - History of Science</v>
      </c>
      <c r="J1573" s="2">
        <f t="shared" si="2"/>
        <v>494.76</v>
      </c>
      <c r="K1573" s="17">
        <f t="shared" si="3"/>
        <v>1</v>
      </c>
      <c r="L1573" s="18"/>
    </row>
    <row r="1574">
      <c r="A1574" s="2">
        <f>IFERROR(__xludf.DUMMYFUNCTION("""COMPUTED_VALUE"""),102584.0)</f>
        <v>102584</v>
      </c>
      <c r="B1574" s="2">
        <f>IFERROR(__xludf.DUMMYFUNCTION("""COMPUTED_VALUE"""),0.0)</f>
        <v>0</v>
      </c>
      <c r="C1574" s="2">
        <f>IFERROR(__xludf.DUMMYFUNCTION("""COMPUTED_VALUE"""),895.0)</f>
        <v>895</v>
      </c>
      <c r="D1574" s="3">
        <f>IFERROR(__xludf.DUMMYFUNCTION("""COMPUTED_VALUE"""),627.0)</f>
        <v>627</v>
      </c>
      <c r="E1574" s="1" t="str">
        <f t="array" ref="E1574">_xlfn.XLOOKUP(A1574,Product!A:A,Product!B:B,"Bulunamadı")</f>
        <v>Arts</v>
      </c>
      <c r="F1574" s="1" t="str">
        <f t="array" ref="F1574">_xlfn.XLOOKUP(A1574,Product!A:A,Product!C:C,"Bulunamadı")</f>
        <v>History of Science</v>
      </c>
      <c r="G1574" s="2" t="str">
        <f t="array" ref="G1574">_xlfn.XLOOKUP(A1575,Product!A:A,Product!D:D,"Bulunamadı")</f>
        <v>Aurora Harbor Press</v>
      </c>
      <c r="H1574" s="2">
        <f t="array" ref="H1574">_xlfn.XLOOKUP(A1576,Product!A:A,Product!E:E,"Bulunamadı")</f>
        <v>2.46</v>
      </c>
      <c r="I1574" s="2" t="str">
        <f t="shared" si="1"/>
        <v>102584 - Arts - History of Science</v>
      </c>
      <c r="J1574" s="2">
        <f t="shared" si="2"/>
        <v>1542.42</v>
      </c>
      <c r="K1574" s="17">
        <f t="shared" si="3"/>
        <v>1</v>
      </c>
      <c r="L1574" s="18"/>
    </row>
    <row r="1575">
      <c r="A1575" s="2">
        <f>IFERROR(__xludf.DUMMYFUNCTION("""COMPUTED_VALUE"""),102586.0)</f>
        <v>102586</v>
      </c>
      <c r="B1575" s="2">
        <f>IFERROR(__xludf.DUMMYFUNCTION("""COMPUTED_VALUE"""),1.0)</f>
        <v>1</v>
      </c>
      <c r="C1575" s="2">
        <f>IFERROR(__xludf.DUMMYFUNCTION("""COMPUTED_VALUE"""),299.0)</f>
        <v>299</v>
      </c>
      <c r="D1575" s="3">
        <f>IFERROR(__xludf.DUMMYFUNCTION("""COMPUTED_VALUE"""),100.0)</f>
        <v>100</v>
      </c>
      <c r="E1575" s="1" t="str">
        <f t="array" ref="E1575">_xlfn.XLOOKUP(A1575,Product!A:A,Product!B:B,"Bulunamadı")</f>
        <v>Arts</v>
      </c>
      <c r="F1575" s="1" t="str">
        <f t="array" ref="F1575">_xlfn.XLOOKUP(A1575,Product!A:A,Product!C:C,"Bulunamadı")</f>
        <v>History of Science</v>
      </c>
      <c r="G1575" s="2" t="str">
        <f t="array" ref="G1575">_xlfn.XLOOKUP(A1576,Product!A:A,Product!D:D,"Bulunamadı")</f>
        <v>Crystal Harbor Publishing</v>
      </c>
      <c r="H1575" s="2">
        <f t="array" ref="H1575">_xlfn.XLOOKUP(A1577,Product!A:A,Product!E:E,"Bulunamadı")</f>
        <v>3.01</v>
      </c>
      <c r="I1575" s="2" t="str">
        <f t="shared" si="1"/>
        <v>102586 - Arts - History of Science</v>
      </c>
      <c r="J1575" s="2">
        <f t="shared" si="2"/>
        <v>301</v>
      </c>
      <c r="K1575" s="17">
        <f t="shared" si="3"/>
        <v>1</v>
      </c>
      <c r="L1575" s="18"/>
    </row>
    <row r="1576">
      <c r="A1576" s="2">
        <f>IFERROR(__xludf.DUMMYFUNCTION("""COMPUTED_VALUE"""),83758.0)</f>
        <v>83758</v>
      </c>
      <c r="B1576" s="2">
        <f>IFERROR(__xludf.DUMMYFUNCTION("""COMPUTED_VALUE"""),1.0)</f>
        <v>1</v>
      </c>
      <c r="C1576" s="2">
        <f>IFERROR(__xludf.DUMMYFUNCTION("""COMPUTED_VALUE"""),280.0)</f>
        <v>280</v>
      </c>
      <c r="D1576" s="3">
        <f>IFERROR(__xludf.DUMMYFUNCTION("""COMPUTED_VALUE"""),199.0)</f>
        <v>199</v>
      </c>
      <c r="E1576" s="1" t="str">
        <f t="array" ref="E1576">_xlfn.XLOOKUP(A1576,Product!A:A,Product!B:B,"Bulunamadı")</f>
        <v>Arts</v>
      </c>
      <c r="F1576" s="1" t="str">
        <f t="array" ref="F1576">_xlfn.XLOOKUP(A1576,Product!A:A,Product!C:C,"Bulunamadı")</f>
        <v>History of Science</v>
      </c>
      <c r="G1576" s="2" t="str">
        <f t="array" ref="G1576">_xlfn.XLOOKUP(A1577,Product!A:A,Product!D:D,"Bulunamadı")</f>
        <v>Crystal Harbor Publishing</v>
      </c>
      <c r="H1576" s="2">
        <f t="array" ref="H1576">_xlfn.XLOOKUP(A1578,Product!A:A,Product!E:E,"Bulunamadı")</f>
        <v>2.89</v>
      </c>
      <c r="I1576" s="2" t="str">
        <f t="shared" si="1"/>
        <v>83758 - Arts - History of Science</v>
      </c>
      <c r="J1576" s="2">
        <f t="shared" si="2"/>
        <v>575.11</v>
      </c>
      <c r="K1576" s="17">
        <f t="shared" si="3"/>
        <v>1</v>
      </c>
      <c r="L1576" s="18"/>
    </row>
    <row r="1577">
      <c r="A1577" s="2">
        <f>IFERROR(__xludf.DUMMYFUNCTION("""COMPUTED_VALUE"""),80189.0)</f>
        <v>80189</v>
      </c>
      <c r="B1577" s="2">
        <f>IFERROR(__xludf.DUMMYFUNCTION("""COMPUTED_VALUE"""),0.0)</f>
        <v>0</v>
      </c>
      <c r="C1577" s="2">
        <f>IFERROR(__xludf.DUMMYFUNCTION("""COMPUTED_VALUE"""),285.0)</f>
        <v>285</v>
      </c>
      <c r="D1577" s="3">
        <f>IFERROR(__xludf.DUMMYFUNCTION("""COMPUTED_VALUE"""),257.0)</f>
        <v>257</v>
      </c>
      <c r="E1577" s="1" t="str">
        <f t="array" ref="E1577">_xlfn.XLOOKUP(A1577,Product!A:A,Product!B:B,"Bulunamadı")</f>
        <v>Arts</v>
      </c>
      <c r="F1577" s="1" t="str">
        <f t="array" ref="F1577">_xlfn.XLOOKUP(A1577,Product!A:A,Product!C:C,"Bulunamadı")</f>
        <v>History of Science</v>
      </c>
      <c r="G1577" s="2" t="str">
        <f t="array" ref="G1577">_xlfn.XLOOKUP(A1578,Product!A:A,Product!D:D,"Bulunamadı")</f>
        <v>Crystal Harbor Publishing</v>
      </c>
      <c r="H1577" s="2">
        <f t="array" ref="H1577">_xlfn.XLOOKUP(A1579,Product!A:A,Product!E:E,"Bulunamadı")</f>
        <v>6.24</v>
      </c>
      <c r="I1577" s="2" t="str">
        <f t="shared" si="1"/>
        <v>80189 - Arts - History of Science</v>
      </c>
      <c r="J1577" s="2">
        <f t="shared" si="2"/>
        <v>1603.68</v>
      </c>
      <c r="K1577" s="17">
        <f t="shared" si="3"/>
        <v>1</v>
      </c>
      <c r="L1577" s="18"/>
    </row>
    <row r="1578">
      <c r="A1578" s="2">
        <f>IFERROR(__xludf.DUMMYFUNCTION("""COMPUTED_VALUE"""),26148.0)</f>
        <v>26148</v>
      </c>
      <c r="B1578" s="2">
        <f>IFERROR(__xludf.DUMMYFUNCTION("""COMPUTED_VALUE"""),0.0)</f>
        <v>0</v>
      </c>
      <c r="C1578" s="2">
        <f>IFERROR(__xludf.DUMMYFUNCTION("""COMPUTED_VALUE"""),-5.0)</f>
        <v>-5</v>
      </c>
      <c r="D1578" s="3">
        <f>IFERROR(__xludf.DUMMYFUNCTION("""COMPUTED_VALUE"""),-4.0)</f>
        <v>-4</v>
      </c>
      <c r="E1578" s="1" t="str">
        <f t="array" ref="E1578">_xlfn.XLOOKUP(A1578,Product!A:A,Product!B:B,"Bulunamadı")</f>
        <v>Arts</v>
      </c>
      <c r="F1578" s="1" t="str">
        <f t="array" ref="F1578">_xlfn.XLOOKUP(A1578,Product!A:A,Product!C:C,"Bulunamadı")</f>
        <v>History of Science</v>
      </c>
      <c r="G1578" s="2" t="str">
        <f t="array" ref="G1578">_xlfn.XLOOKUP(A1579,Product!A:A,Product!D:D,"Bulunamadı")</f>
        <v>Crystal Harbor Publishing</v>
      </c>
      <c r="H1578" s="2">
        <f t="array" ref="H1578">_xlfn.XLOOKUP(A1580,Product!A:A,Product!E:E,"Bulunamadı")</f>
        <v>4.89</v>
      </c>
      <c r="I1578" s="2" t="str">
        <f t="shared" si="1"/>
        <v>26148 - Arts - History of Science</v>
      </c>
      <c r="J1578" s="2">
        <f t="shared" si="2"/>
        <v>-19.56</v>
      </c>
      <c r="K1578" s="17">
        <f t="shared" si="3"/>
        <v>0</v>
      </c>
      <c r="L1578" s="18"/>
    </row>
    <row r="1579">
      <c r="A1579" s="2">
        <f>IFERROR(__xludf.DUMMYFUNCTION("""COMPUTED_VALUE"""),121902.0)</f>
        <v>121902</v>
      </c>
      <c r="B1579" s="2">
        <f>IFERROR(__xludf.DUMMYFUNCTION("""COMPUTED_VALUE"""),0.0)</f>
        <v>0</v>
      </c>
      <c r="C1579" s="2">
        <f>IFERROR(__xludf.DUMMYFUNCTION("""COMPUTED_VALUE"""),869.0)</f>
        <v>869</v>
      </c>
      <c r="D1579" s="3">
        <f>IFERROR(__xludf.DUMMYFUNCTION("""COMPUTED_VALUE"""),603.0)</f>
        <v>603</v>
      </c>
      <c r="E1579" s="1" t="str">
        <f t="array" ref="E1579">_xlfn.XLOOKUP(A1579,Product!A:A,Product!B:B,"Bulunamadı")</f>
        <v>Arts</v>
      </c>
      <c r="F1579" s="1" t="str">
        <f t="array" ref="F1579">_xlfn.XLOOKUP(A1579,Product!A:A,Product!C:C,"Bulunamadı")</f>
        <v>History of Science</v>
      </c>
      <c r="G1579" s="2" t="str">
        <f t="array" ref="G1579">_xlfn.XLOOKUP(A1580,Product!A:A,Product!D:D,"Bulunamadı")</f>
        <v>Crystal Harbor Publishing</v>
      </c>
      <c r="H1579" s="2">
        <f t="array" ref="H1579">_xlfn.XLOOKUP(A1581,Product!A:A,Product!E:E,"Bulunamadı")</f>
        <v>10.29</v>
      </c>
      <c r="I1579" s="2" t="str">
        <f t="shared" si="1"/>
        <v>121902 - Arts - History of Science</v>
      </c>
      <c r="J1579" s="2">
        <f t="shared" si="2"/>
        <v>6204.87</v>
      </c>
      <c r="K1579" s="17">
        <f t="shared" si="3"/>
        <v>1</v>
      </c>
      <c r="L1579" s="18"/>
    </row>
    <row r="1580">
      <c r="A1580" s="2">
        <f>IFERROR(__xludf.DUMMYFUNCTION("""COMPUTED_VALUE"""),21032.0)</f>
        <v>21032</v>
      </c>
      <c r="B1580" s="2">
        <f>IFERROR(__xludf.DUMMYFUNCTION("""COMPUTED_VALUE"""),1.0)</f>
        <v>1</v>
      </c>
      <c r="C1580" s="2">
        <f>IFERROR(__xludf.DUMMYFUNCTION("""COMPUTED_VALUE"""),587.0)</f>
        <v>587</v>
      </c>
      <c r="D1580" s="3">
        <f>IFERROR(__xludf.DUMMYFUNCTION("""COMPUTED_VALUE"""),171.0)</f>
        <v>171</v>
      </c>
      <c r="E1580" s="1" t="str">
        <f t="array" ref="E1580">_xlfn.XLOOKUP(A1580,Product!A:A,Product!B:B,"Bulunamadı")</f>
        <v>Arts</v>
      </c>
      <c r="F1580" s="1" t="str">
        <f t="array" ref="F1580">_xlfn.XLOOKUP(A1580,Product!A:A,Product!C:C,"Bulunamadı")</f>
        <v>History of Science</v>
      </c>
      <c r="G1580" s="2" t="str">
        <f t="array" ref="G1580">_xlfn.XLOOKUP(A1581,Product!A:A,Product!D:D,"Bulunamadı")</f>
        <v>Crystal Harbor Publishing</v>
      </c>
      <c r="H1580" s="2">
        <f t="array" ref="H1580">_xlfn.XLOOKUP(A1582,Product!A:A,Product!E:E,"Bulunamadı")</f>
        <v>2.61</v>
      </c>
      <c r="I1580" s="2" t="str">
        <f t="shared" si="1"/>
        <v>21032 - Arts - History of Science</v>
      </c>
      <c r="J1580" s="2">
        <f t="shared" si="2"/>
        <v>446.31</v>
      </c>
      <c r="K1580" s="17">
        <f t="shared" si="3"/>
        <v>1</v>
      </c>
      <c r="L1580" s="18"/>
    </row>
    <row r="1581">
      <c r="A1581" s="2">
        <f>IFERROR(__xludf.DUMMYFUNCTION("""COMPUTED_VALUE"""),22071.0)</f>
        <v>22071</v>
      </c>
      <c r="B1581" s="2">
        <f>IFERROR(__xludf.DUMMYFUNCTION("""COMPUTED_VALUE"""),1.0)</f>
        <v>1</v>
      </c>
      <c r="C1581" s="2">
        <f>IFERROR(__xludf.DUMMYFUNCTION("""COMPUTED_VALUE"""),67.0)</f>
        <v>67</v>
      </c>
      <c r="D1581" s="3">
        <f>IFERROR(__xludf.DUMMYFUNCTION("""COMPUTED_VALUE"""),53.0)</f>
        <v>53</v>
      </c>
      <c r="E1581" s="1" t="str">
        <f t="array" ref="E1581">_xlfn.XLOOKUP(A1581,Product!A:A,Product!B:B,"Bulunamadı")</f>
        <v>Arts</v>
      </c>
      <c r="F1581" s="1" t="str">
        <f t="array" ref="F1581">_xlfn.XLOOKUP(A1581,Product!A:A,Product!C:C,"Bulunamadı")</f>
        <v>History of Science</v>
      </c>
      <c r="G1581" s="2" t="str">
        <f t="array" ref="G1581">_xlfn.XLOOKUP(A1582,Product!A:A,Product!D:D,"Bulunamadı")</f>
        <v>Crystal Harbor Publishing</v>
      </c>
      <c r="H1581" s="2">
        <f t="array" ref="H1581">_xlfn.XLOOKUP(A1583,Product!A:A,Product!E:E,"Bulunamadı")</f>
        <v>2.52</v>
      </c>
      <c r="I1581" s="2" t="str">
        <f t="shared" si="1"/>
        <v>22071 - Arts - History of Science</v>
      </c>
      <c r="J1581" s="2">
        <f t="shared" si="2"/>
        <v>133.56</v>
      </c>
      <c r="K1581" s="17">
        <f t="shared" si="3"/>
        <v>1</v>
      </c>
      <c r="L1581" s="18"/>
    </row>
    <row r="1582">
      <c r="A1582" s="2">
        <f>IFERROR(__xludf.DUMMYFUNCTION("""COMPUTED_VALUE"""),87404.0)</f>
        <v>87404</v>
      </c>
      <c r="B1582" s="2">
        <f>IFERROR(__xludf.DUMMYFUNCTION("""COMPUTED_VALUE"""),1.0)</f>
        <v>1</v>
      </c>
      <c r="C1582" s="2">
        <f>IFERROR(__xludf.DUMMYFUNCTION("""COMPUTED_VALUE"""),323.0)</f>
        <v>323</v>
      </c>
      <c r="D1582" s="3">
        <f>IFERROR(__xludf.DUMMYFUNCTION("""COMPUTED_VALUE"""),214.0)</f>
        <v>214</v>
      </c>
      <c r="E1582" s="1" t="str">
        <f t="array" ref="E1582">_xlfn.XLOOKUP(A1582,Product!A:A,Product!B:B,"Bulunamadı")</f>
        <v>Arts</v>
      </c>
      <c r="F1582" s="1" t="str">
        <f t="array" ref="F1582">_xlfn.XLOOKUP(A1582,Product!A:A,Product!C:C,"Bulunamadı")</f>
        <v>History of Science</v>
      </c>
      <c r="G1582" s="2" t="str">
        <f t="array" ref="G1582">_xlfn.XLOOKUP(A1583,Product!A:A,Product!D:D,"Bulunamadı")</f>
        <v>Crystal Harbor Publishing</v>
      </c>
      <c r="H1582" s="2">
        <f t="array" ref="H1582">_xlfn.XLOOKUP(A1584,Product!A:A,Product!E:E,"Bulunamadı")</f>
        <v>2.3</v>
      </c>
      <c r="I1582" s="2" t="str">
        <f t="shared" si="1"/>
        <v>87404 - Arts - History of Science</v>
      </c>
      <c r="J1582" s="2">
        <f t="shared" si="2"/>
        <v>492.2</v>
      </c>
      <c r="K1582" s="17">
        <f t="shared" si="3"/>
        <v>1</v>
      </c>
      <c r="L1582" s="18"/>
    </row>
    <row r="1583">
      <c r="A1583" s="2">
        <f>IFERROR(__xludf.DUMMYFUNCTION("""COMPUTED_VALUE"""),42712.0)</f>
        <v>42712</v>
      </c>
      <c r="B1583" s="2">
        <f>IFERROR(__xludf.DUMMYFUNCTION("""COMPUTED_VALUE"""),0.0)</f>
        <v>0</v>
      </c>
      <c r="C1583" s="2">
        <f>IFERROR(__xludf.DUMMYFUNCTION("""COMPUTED_VALUE"""),305.0)</f>
        <v>305</v>
      </c>
      <c r="D1583" s="3">
        <f>IFERROR(__xludf.DUMMYFUNCTION("""COMPUTED_VALUE"""),243.0)</f>
        <v>243</v>
      </c>
      <c r="E1583" s="1" t="str">
        <f t="array" ref="E1583">_xlfn.XLOOKUP(A1583,Product!A:A,Product!B:B,"Bulunamadı")</f>
        <v>Arts</v>
      </c>
      <c r="F1583" s="1" t="str">
        <f t="array" ref="F1583">_xlfn.XLOOKUP(A1583,Product!A:A,Product!C:C,"Bulunamadı")</f>
        <v>History of Science</v>
      </c>
      <c r="G1583" s="2" t="str">
        <f t="array" ref="G1583">_xlfn.XLOOKUP(A1584,Product!A:A,Product!D:D,"Bulunamadı")</f>
        <v>Crystal Harbor Publishing</v>
      </c>
      <c r="H1583" s="2">
        <f t="array" ref="H1583">_xlfn.XLOOKUP(A1585,Product!A:A,Product!E:E,"Bulunamadı")</f>
        <v>1.96</v>
      </c>
      <c r="I1583" s="2" t="str">
        <f t="shared" si="1"/>
        <v>42712 - Arts - History of Science</v>
      </c>
      <c r="J1583" s="2">
        <f t="shared" si="2"/>
        <v>476.28</v>
      </c>
      <c r="K1583" s="17">
        <f t="shared" si="3"/>
        <v>1</v>
      </c>
      <c r="L1583" s="18"/>
    </row>
    <row r="1584">
      <c r="A1584" s="2">
        <f>IFERROR(__xludf.DUMMYFUNCTION("""COMPUTED_VALUE"""),76609.0)</f>
        <v>76609</v>
      </c>
      <c r="B1584" s="2">
        <f>IFERROR(__xludf.DUMMYFUNCTION("""COMPUTED_VALUE"""),1.0)</f>
        <v>1</v>
      </c>
      <c r="C1584" s="2">
        <f>IFERROR(__xludf.DUMMYFUNCTION("""COMPUTED_VALUE"""),714.0)</f>
        <v>714</v>
      </c>
      <c r="D1584" s="3">
        <f>IFERROR(__xludf.DUMMYFUNCTION("""COMPUTED_VALUE"""),222.0)</f>
        <v>222</v>
      </c>
      <c r="E1584" s="1" t="str">
        <f t="array" ref="E1584">_xlfn.XLOOKUP(A1584,Product!A:A,Product!B:B,"Bulunamadı")</f>
        <v>Arts</v>
      </c>
      <c r="F1584" s="1" t="str">
        <f t="array" ref="F1584">_xlfn.XLOOKUP(A1584,Product!A:A,Product!C:C,"Bulunamadı")</f>
        <v>History of Science</v>
      </c>
      <c r="G1584" s="2" t="str">
        <f t="array" ref="G1584">_xlfn.XLOOKUP(A1585,Product!A:A,Product!D:D,"Bulunamadı")</f>
        <v>Crystal Harbor Publishing</v>
      </c>
      <c r="H1584" s="2">
        <f t="array" ref="H1584">_xlfn.XLOOKUP(A1586,Product!A:A,Product!E:E,"Bulunamadı")</f>
        <v>2.21</v>
      </c>
      <c r="I1584" s="2" t="str">
        <f t="shared" si="1"/>
        <v>76609 - Arts - History of Science</v>
      </c>
      <c r="J1584" s="2">
        <f t="shared" si="2"/>
        <v>490.62</v>
      </c>
      <c r="K1584" s="17">
        <f t="shared" si="3"/>
        <v>1</v>
      </c>
      <c r="L1584" s="18"/>
    </row>
    <row r="1585">
      <c r="A1585" s="2">
        <f>IFERROR(__xludf.DUMMYFUNCTION("""COMPUTED_VALUE"""),952.0)</f>
        <v>952</v>
      </c>
      <c r="B1585" s="2">
        <f>IFERROR(__xludf.DUMMYFUNCTION("""COMPUTED_VALUE"""),0.0)</f>
        <v>0</v>
      </c>
      <c r="C1585" s="2">
        <f>IFERROR(__xludf.DUMMYFUNCTION("""COMPUTED_VALUE"""),917.0)</f>
        <v>917</v>
      </c>
      <c r="D1585" s="3">
        <f>IFERROR(__xludf.DUMMYFUNCTION("""COMPUTED_VALUE"""),697.0)</f>
        <v>697</v>
      </c>
      <c r="E1585" s="1" t="str">
        <f t="array" ref="E1585">_xlfn.XLOOKUP(A1585,Product!A:A,Product!B:B,"Bulunamadı")</f>
        <v>Arts</v>
      </c>
      <c r="F1585" s="1" t="str">
        <f t="array" ref="F1585">_xlfn.XLOOKUP(A1585,Product!A:A,Product!C:C,"Bulunamadı")</f>
        <v>History of Science</v>
      </c>
      <c r="G1585" s="2" t="str">
        <f t="array" ref="G1585">_xlfn.XLOOKUP(A1586,Product!A:A,Product!D:D,"Bulunamadı")</f>
        <v>Crystal Harbor Publishing</v>
      </c>
      <c r="H1585" s="2">
        <f t="array" ref="H1585">_xlfn.XLOOKUP(A1587,Product!A:A,Product!E:E,"Bulunamadı")</f>
        <v>2.09</v>
      </c>
      <c r="I1585" s="2" t="str">
        <f t="shared" si="1"/>
        <v>952 - Arts - History of Science</v>
      </c>
      <c r="J1585" s="2">
        <f t="shared" si="2"/>
        <v>1456.73</v>
      </c>
      <c r="K1585" s="17">
        <f t="shared" si="3"/>
        <v>1</v>
      </c>
      <c r="L1585" s="18"/>
    </row>
    <row r="1586">
      <c r="A1586" s="2">
        <f>IFERROR(__xludf.DUMMYFUNCTION("""COMPUTED_VALUE"""),26136.0)</f>
        <v>26136</v>
      </c>
      <c r="B1586" s="2">
        <f>IFERROR(__xludf.DUMMYFUNCTION("""COMPUTED_VALUE"""),0.0)</f>
        <v>0</v>
      </c>
      <c r="C1586" s="2">
        <f>IFERROR(__xludf.DUMMYFUNCTION("""COMPUTED_VALUE"""),722.0)</f>
        <v>722</v>
      </c>
      <c r="D1586" s="3">
        <f>IFERROR(__xludf.DUMMYFUNCTION("""COMPUTED_VALUE"""),136.0)</f>
        <v>136</v>
      </c>
      <c r="E1586" s="1" t="str">
        <f t="array" ref="E1586">_xlfn.XLOOKUP(A1586,Product!A:A,Product!B:B,"Bulunamadı")</f>
        <v>Arts</v>
      </c>
      <c r="F1586" s="1" t="str">
        <f t="array" ref="F1586">_xlfn.XLOOKUP(A1586,Product!A:A,Product!C:C,"Bulunamadı")</f>
        <v>History of Science</v>
      </c>
      <c r="G1586" s="2" t="str">
        <f t="array" ref="G1586">_xlfn.XLOOKUP(A1587,Product!A:A,Product!D:D,"Bulunamadı")</f>
        <v>Crystal Harbor Publishing</v>
      </c>
      <c r="H1586" s="2">
        <f t="array" ref="H1586">_xlfn.XLOOKUP(A1588,Product!A:A,Product!E:E,"Bulunamadı")</f>
        <v>2.14</v>
      </c>
      <c r="I1586" s="2" t="str">
        <f t="shared" si="1"/>
        <v>26136 - Arts - History of Science</v>
      </c>
      <c r="J1586" s="2">
        <f t="shared" si="2"/>
        <v>291.04</v>
      </c>
      <c r="K1586" s="17">
        <f t="shared" si="3"/>
        <v>1</v>
      </c>
      <c r="L1586" s="18"/>
    </row>
    <row r="1587">
      <c r="A1587" s="2">
        <f>IFERROR(__xludf.DUMMYFUNCTION("""COMPUTED_VALUE"""),87502.0)</f>
        <v>87502</v>
      </c>
      <c r="B1587" s="2">
        <f>IFERROR(__xludf.DUMMYFUNCTION("""COMPUTED_VALUE"""),0.0)</f>
        <v>0</v>
      </c>
      <c r="C1587" s="2">
        <f>IFERROR(__xludf.DUMMYFUNCTION("""COMPUTED_VALUE"""),383.0)</f>
        <v>383</v>
      </c>
      <c r="D1587" s="3">
        <f>IFERROR(__xludf.DUMMYFUNCTION("""COMPUTED_VALUE"""),213.0)</f>
        <v>213</v>
      </c>
      <c r="E1587" s="1" t="str">
        <f t="array" ref="E1587">_xlfn.XLOOKUP(A1587,Product!A:A,Product!B:B,"Bulunamadı")</f>
        <v>Arts</v>
      </c>
      <c r="F1587" s="1" t="str">
        <f t="array" ref="F1587">_xlfn.XLOOKUP(A1587,Product!A:A,Product!C:C,"Bulunamadı")</f>
        <v>History of Science</v>
      </c>
      <c r="G1587" s="2" t="str">
        <f t="array" ref="G1587">_xlfn.XLOOKUP(A1588,Product!A:A,Product!D:D,"Bulunamadı")</f>
        <v>Crystal Harbor Publishing</v>
      </c>
      <c r="H1587" s="2">
        <f t="array" ref="H1587">_xlfn.XLOOKUP(A1589,Product!A:A,Product!E:E,"Bulunamadı")</f>
        <v>1.92</v>
      </c>
      <c r="I1587" s="2" t="str">
        <f t="shared" si="1"/>
        <v>87502 - Arts - History of Science</v>
      </c>
      <c r="J1587" s="2">
        <f t="shared" si="2"/>
        <v>408.96</v>
      </c>
      <c r="K1587" s="17">
        <f t="shared" si="3"/>
        <v>1</v>
      </c>
      <c r="L1587" s="18"/>
    </row>
    <row r="1588">
      <c r="A1588" s="2">
        <f>IFERROR(__xludf.DUMMYFUNCTION("""COMPUTED_VALUE"""),73923.0)</f>
        <v>73923</v>
      </c>
      <c r="B1588" s="2">
        <f>IFERROR(__xludf.DUMMYFUNCTION("""COMPUTED_VALUE"""),0.0)</f>
        <v>0</v>
      </c>
      <c r="C1588" s="2">
        <f>IFERROR(__xludf.DUMMYFUNCTION("""COMPUTED_VALUE"""),364.0)</f>
        <v>364</v>
      </c>
      <c r="D1588" s="3">
        <f>IFERROR(__xludf.DUMMYFUNCTION("""COMPUTED_VALUE"""),45.0)</f>
        <v>45</v>
      </c>
      <c r="E1588" s="1" t="str">
        <f t="array" ref="E1588">_xlfn.XLOOKUP(A1588,Product!A:A,Product!B:B,"Bulunamadı")</f>
        <v>Arts</v>
      </c>
      <c r="F1588" s="1" t="str">
        <f t="array" ref="F1588">_xlfn.XLOOKUP(A1588,Product!A:A,Product!C:C,"Bulunamadı")</f>
        <v>History of Science</v>
      </c>
      <c r="G1588" s="2" t="str">
        <f t="array" ref="G1588">_xlfn.XLOOKUP(A1589,Product!A:A,Product!D:D,"Bulunamadı")</f>
        <v>Crystal Harbor Publishing</v>
      </c>
      <c r="H1588" s="2">
        <f t="array" ref="H1588">_xlfn.XLOOKUP(A1590,Product!A:A,Product!E:E,"Bulunamadı")</f>
        <v>2.53</v>
      </c>
      <c r="I1588" s="2" t="str">
        <f t="shared" si="1"/>
        <v>73923 - Arts - History of Science</v>
      </c>
      <c r="J1588" s="2">
        <f t="shared" si="2"/>
        <v>113.85</v>
      </c>
      <c r="K1588" s="17">
        <f t="shared" si="3"/>
        <v>1</v>
      </c>
      <c r="L1588" s="18"/>
    </row>
    <row r="1589">
      <c r="A1589" s="2">
        <f>IFERROR(__xludf.DUMMYFUNCTION("""COMPUTED_VALUE"""),164927.0)</f>
        <v>164927</v>
      </c>
      <c r="B1589" s="2">
        <f>IFERROR(__xludf.DUMMYFUNCTION("""COMPUTED_VALUE"""),0.0)</f>
        <v>0</v>
      </c>
      <c r="C1589" s="2">
        <f>IFERROR(__xludf.DUMMYFUNCTION("""COMPUTED_VALUE"""),961.0)</f>
        <v>961</v>
      </c>
      <c r="D1589" s="3">
        <f>IFERROR(__xludf.DUMMYFUNCTION("""COMPUTED_VALUE"""),848.0)</f>
        <v>848</v>
      </c>
      <c r="E1589" s="1" t="str">
        <f t="array" ref="E1589">_xlfn.XLOOKUP(A1589,Product!A:A,Product!B:B,"Bulunamadı")</f>
        <v>Arts</v>
      </c>
      <c r="F1589" s="1" t="str">
        <f t="array" ref="F1589">_xlfn.XLOOKUP(A1589,Product!A:A,Product!C:C,"Bulunamadı")</f>
        <v>History of Science</v>
      </c>
      <c r="G1589" s="2" t="str">
        <f t="array" ref="G1589">_xlfn.XLOOKUP(A1590,Product!A:A,Product!D:D,"Bulunamadı")</f>
        <v>Beacon Ridge Books</v>
      </c>
      <c r="H1589" s="2">
        <f t="array" ref="H1589">_xlfn.XLOOKUP(A1591,Product!A:A,Product!E:E,"Bulunamadı")</f>
        <v>1.53</v>
      </c>
      <c r="I1589" s="2" t="str">
        <f t="shared" si="1"/>
        <v>164927 - Arts - History of Science</v>
      </c>
      <c r="J1589" s="2">
        <f t="shared" si="2"/>
        <v>1297.44</v>
      </c>
      <c r="K1589" s="17">
        <f t="shared" si="3"/>
        <v>1</v>
      </c>
      <c r="L1589" s="18"/>
    </row>
    <row r="1590">
      <c r="A1590" s="2">
        <f>IFERROR(__xludf.DUMMYFUNCTION("""COMPUTED_VALUE"""),108749.0)</f>
        <v>108749</v>
      </c>
      <c r="B1590" s="2">
        <f>IFERROR(__xludf.DUMMYFUNCTION("""COMPUTED_VALUE"""),1.0)</f>
        <v>1</v>
      </c>
      <c r="C1590" s="2">
        <f>IFERROR(__xludf.DUMMYFUNCTION("""COMPUTED_VALUE"""),353.0)</f>
        <v>353</v>
      </c>
      <c r="D1590" s="3">
        <f>IFERROR(__xludf.DUMMYFUNCTION("""COMPUTED_VALUE"""),145.0)</f>
        <v>145</v>
      </c>
      <c r="E1590" s="1" t="str">
        <f t="array" ref="E1590">_xlfn.XLOOKUP(A1590,Product!A:A,Product!B:B,"Bulunamadı")</f>
        <v>Arts</v>
      </c>
      <c r="F1590" s="1" t="str">
        <f t="array" ref="F1590">_xlfn.XLOOKUP(A1590,Product!A:A,Product!C:C,"Bulunamadı")</f>
        <v>History of Science</v>
      </c>
      <c r="G1590" s="2" t="str">
        <f t="array" ref="G1590">_xlfn.XLOOKUP(A1591,Product!A:A,Product!D:D,"Bulunamadı")</f>
        <v>Beacon Ridge Books</v>
      </c>
      <c r="H1590" s="2">
        <f t="array" ref="H1590">_xlfn.XLOOKUP(A1592,Product!A:A,Product!E:E,"Bulunamadı")</f>
        <v>4.6</v>
      </c>
      <c r="I1590" s="2" t="str">
        <f t="shared" si="1"/>
        <v>108749 - Arts - History of Science</v>
      </c>
      <c r="J1590" s="2">
        <f t="shared" si="2"/>
        <v>667</v>
      </c>
      <c r="K1590" s="17">
        <f t="shared" si="3"/>
        <v>1</v>
      </c>
      <c r="L1590" s="18"/>
    </row>
    <row r="1591">
      <c r="A1591" s="2">
        <f>IFERROR(__xludf.DUMMYFUNCTION("""COMPUTED_VALUE"""),89919.0)</f>
        <v>89919</v>
      </c>
      <c r="B1591" s="2">
        <f>IFERROR(__xludf.DUMMYFUNCTION("""COMPUTED_VALUE"""),0.0)</f>
        <v>0</v>
      </c>
      <c r="C1591" s="2">
        <f>IFERROR(__xludf.DUMMYFUNCTION("""COMPUTED_VALUE"""),395.0)</f>
        <v>395</v>
      </c>
      <c r="D1591" s="3">
        <f>IFERROR(__xludf.DUMMYFUNCTION("""COMPUTED_VALUE"""),145.0)</f>
        <v>145</v>
      </c>
      <c r="E1591" s="1" t="str">
        <f t="array" ref="E1591">_xlfn.XLOOKUP(A1591,Product!A:A,Product!B:B,"Bulunamadı")</f>
        <v>Arts</v>
      </c>
      <c r="F1591" s="1" t="str">
        <f t="array" ref="F1591">_xlfn.XLOOKUP(A1591,Product!A:A,Product!C:C,"Bulunamadı")</f>
        <v>History of Science</v>
      </c>
      <c r="G1591" s="2" t="str">
        <f t="array" ref="G1591">_xlfn.XLOOKUP(A1592,Product!A:A,Product!D:D,"Bulunamadı")</f>
        <v>Beacon Ridge Books</v>
      </c>
      <c r="H1591" s="2">
        <f t="array" ref="H1591">_xlfn.XLOOKUP(A1593,Product!A:A,Product!E:E,"Bulunamadı")</f>
        <v>1.44</v>
      </c>
      <c r="I1591" s="2" t="str">
        <f t="shared" si="1"/>
        <v>89919 - Arts - History of Science</v>
      </c>
      <c r="J1591" s="2">
        <f t="shared" si="2"/>
        <v>208.8</v>
      </c>
      <c r="K1591" s="17">
        <f t="shared" si="3"/>
        <v>1</v>
      </c>
      <c r="L1591" s="18"/>
    </row>
    <row r="1592">
      <c r="A1592" s="2">
        <f>IFERROR(__xludf.DUMMYFUNCTION("""COMPUTED_VALUE"""),112897.0)</f>
        <v>112897</v>
      </c>
      <c r="B1592" s="2">
        <f>IFERROR(__xludf.DUMMYFUNCTION("""COMPUTED_VALUE"""),0.0)</f>
        <v>0</v>
      </c>
      <c r="C1592" s="2">
        <f>IFERROR(__xludf.DUMMYFUNCTION("""COMPUTED_VALUE"""),817.0)</f>
        <v>817</v>
      </c>
      <c r="D1592" s="3">
        <f>IFERROR(__xludf.DUMMYFUNCTION("""COMPUTED_VALUE"""),579.0)</f>
        <v>579</v>
      </c>
      <c r="E1592" s="1" t="str">
        <f t="array" ref="E1592">_xlfn.XLOOKUP(A1592,Product!A:A,Product!B:B,"Bulunamadı")</f>
        <v>Arts</v>
      </c>
      <c r="F1592" s="1" t="str">
        <f t="array" ref="F1592">_xlfn.XLOOKUP(A1592,Product!A:A,Product!C:C,"Bulunamadı")</f>
        <v>History of Science</v>
      </c>
      <c r="G1592" s="2" t="str">
        <f t="array" ref="G1592">_xlfn.XLOOKUP(A1593,Product!A:A,Product!D:D,"Bulunamadı")</f>
        <v>Beacon Ridge Books</v>
      </c>
      <c r="H1592" s="2">
        <f t="array" ref="H1592">_xlfn.XLOOKUP(A1594,Product!A:A,Product!E:E,"Bulunamadı")</f>
        <v>1.68</v>
      </c>
      <c r="I1592" s="2" t="str">
        <f t="shared" si="1"/>
        <v>112897 - Arts - History of Science</v>
      </c>
      <c r="J1592" s="2">
        <f t="shared" si="2"/>
        <v>972.72</v>
      </c>
      <c r="K1592" s="17">
        <f t="shared" si="3"/>
        <v>1</v>
      </c>
      <c r="L1592" s="18"/>
    </row>
    <row r="1593">
      <c r="A1593" s="2">
        <f>IFERROR(__xludf.DUMMYFUNCTION("""COMPUTED_VALUE"""),122013.0)</f>
        <v>122013</v>
      </c>
      <c r="B1593" s="2">
        <f>IFERROR(__xludf.DUMMYFUNCTION("""COMPUTED_VALUE"""),1.0)</f>
        <v>1</v>
      </c>
      <c r="C1593" s="2">
        <f>IFERROR(__xludf.DUMMYFUNCTION("""COMPUTED_VALUE"""),512.0)</f>
        <v>512</v>
      </c>
      <c r="D1593" s="3">
        <f>IFERROR(__xludf.DUMMYFUNCTION("""COMPUTED_VALUE"""),106.0)</f>
        <v>106</v>
      </c>
      <c r="E1593" s="1" t="str">
        <f t="array" ref="E1593">_xlfn.XLOOKUP(A1593,Product!A:A,Product!B:B,"Bulunamadı")</f>
        <v>Arts</v>
      </c>
      <c r="F1593" s="1" t="str">
        <f t="array" ref="F1593">_xlfn.XLOOKUP(A1593,Product!A:A,Product!C:C,"Bulunamadı")</f>
        <v>History of Science</v>
      </c>
      <c r="G1593" s="2" t="str">
        <f t="array" ref="G1593">_xlfn.XLOOKUP(A1594,Product!A:A,Product!D:D,"Bulunamadı")</f>
        <v>Beacon Ridge Books</v>
      </c>
      <c r="H1593" s="2">
        <f t="array" ref="H1593">_xlfn.XLOOKUP(A1595,Product!A:A,Product!E:E,"Bulunamadı")</f>
        <v>1.46</v>
      </c>
      <c r="I1593" s="2" t="str">
        <f t="shared" si="1"/>
        <v>122013 - Arts - History of Science</v>
      </c>
      <c r="J1593" s="2">
        <f t="shared" si="2"/>
        <v>154.76</v>
      </c>
      <c r="K1593" s="17">
        <f t="shared" si="3"/>
        <v>1</v>
      </c>
      <c r="L1593" s="18"/>
    </row>
    <row r="1594">
      <c r="A1594" s="2">
        <f>IFERROR(__xludf.DUMMYFUNCTION("""COMPUTED_VALUE"""),89902.0)</f>
        <v>89902</v>
      </c>
      <c r="B1594" s="2">
        <f>IFERROR(__xludf.DUMMYFUNCTION("""COMPUTED_VALUE"""),0.0)</f>
        <v>0</v>
      </c>
      <c r="C1594" s="2">
        <f>IFERROR(__xludf.DUMMYFUNCTION("""COMPUTED_VALUE"""),716.0)</f>
        <v>716</v>
      </c>
      <c r="D1594" s="3">
        <f>IFERROR(__xludf.DUMMYFUNCTION("""COMPUTED_VALUE"""),5.0)</f>
        <v>5</v>
      </c>
      <c r="E1594" s="1" t="str">
        <f t="array" ref="E1594">_xlfn.XLOOKUP(A1594,Product!A:A,Product!B:B,"Bulunamadı")</f>
        <v>Arts</v>
      </c>
      <c r="F1594" s="1" t="str">
        <f t="array" ref="F1594">_xlfn.XLOOKUP(A1594,Product!A:A,Product!C:C,"Bulunamadı")</f>
        <v>History of Science</v>
      </c>
      <c r="G1594" s="2" t="str">
        <f t="array" ref="G1594">_xlfn.XLOOKUP(A1595,Product!A:A,Product!D:D,"Bulunamadı")</f>
        <v>Beacon Ridge Books</v>
      </c>
      <c r="H1594" s="2">
        <f t="array" ref="H1594">_xlfn.XLOOKUP(A1596,Product!A:A,Product!E:E,"Bulunamadı")</f>
        <v>0.92</v>
      </c>
      <c r="I1594" s="2" t="str">
        <f t="shared" si="1"/>
        <v>89902 - Arts - History of Science</v>
      </c>
      <c r="J1594" s="2">
        <f t="shared" si="2"/>
        <v>4.6</v>
      </c>
      <c r="K1594" s="17">
        <f t="shared" si="3"/>
        <v>1</v>
      </c>
      <c r="L1594" s="18"/>
    </row>
    <row r="1595">
      <c r="A1595" s="2">
        <f>IFERROR(__xludf.DUMMYFUNCTION("""COMPUTED_VALUE"""),89900.0)</f>
        <v>89900</v>
      </c>
      <c r="B1595" s="2">
        <f>IFERROR(__xludf.DUMMYFUNCTION("""COMPUTED_VALUE"""),0.0)</f>
        <v>0</v>
      </c>
      <c r="C1595" s="2">
        <f>IFERROR(__xludf.DUMMYFUNCTION("""COMPUTED_VALUE"""),683.0)</f>
        <v>683</v>
      </c>
      <c r="D1595" s="3">
        <f>IFERROR(__xludf.DUMMYFUNCTION("""COMPUTED_VALUE"""),459.0)</f>
        <v>459</v>
      </c>
      <c r="E1595" s="1" t="str">
        <f t="array" ref="E1595">_xlfn.XLOOKUP(A1595,Product!A:A,Product!B:B,"Bulunamadı")</f>
        <v>Arts</v>
      </c>
      <c r="F1595" s="1" t="str">
        <f t="array" ref="F1595">_xlfn.XLOOKUP(A1595,Product!A:A,Product!C:C,"Bulunamadı")</f>
        <v>History of Science</v>
      </c>
      <c r="G1595" s="2" t="str">
        <f t="array" ref="G1595">_xlfn.XLOOKUP(A1596,Product!A:A,Product!D:D,"Bulunamadı")</f>
        <v>Beacon Ridge Books</v>
      </c>
      <c r="H1595" s="2">
        <f t="array" ref="H1595">_xlfn.XLOOKUP(A1597,Product!A:A,Product!E:E,"Bulunamadı")</f>
        <v>12.32</v>
      </c>
      <c r="I1595" s="2" t="str">
        <f t="shared" si="1"/>
        <v>89900 - Arts - History of Science</v>
      </c>
      <c r="J1595" s="2">
        <f t="shared" si="2"/>
        <v>5654.88</v>
      </c>
      <c r="K1595" s="17">
        <f t="shared" si="3"/>
        <v>1</v>
      </c>
      <c r="L1595" s="18"/>
    </row>
    <row r="1596">
      <c r="A1596" s="2">
        <f>IFERROR(__xludf.DUMMYFUNCTION("""COMPUTED_VALUE"""),92461.0)</f>
        <v>92461</v>
      </c>
      <c r="B1596" s="2">
        <f>IFERROR(__xludf.DUMMYFUNCTION("""COMPUTED_VALUE"""),0.0)</f>
        <v>0</v>
      </c>
      <c r="C1596" s="2">
        <f>IFERROR(__xludf.DUMMYFUNCTION("""COMPUTED_VALUE"""),258.0)</f>
        <v>258</v>
      </c>
      <c r="D1596" s="3">
        <f>IFERROR(__xludf.DUMMYFUNCTION("""COMPUTED_VALUE"""),235.0)</f>
        <v>235</v>
      </c>
      <c r="E1596" s="1" t="str">
        <f t="array" ref="E1596">_xlfn.XLOOKUP(A1596,Product!A:A,Product!B:B,"Bulunamadı")</f>
        <v>Arts</v>
      </c>
      <c r="F1596" s="1" t="str">
        <f t="array" ref="F1596">_xlfn.XLOOKUP(A1596,Product!A:A,Product!C:C,"Bulunamadı")</f>
        <v>History of Science</v>
      </c>
      <c r="G1596" s="2" t="str">
        <f t="array" ref="G1596">_xlfn.XLOOKUP(A1597,Product!A:A,Product!D:D,"Bulunamadı")</f>
        <v>Atlas Harbor Press</v>
      </c>
      <c r="H1596" s="2">
        <f t="array" ref="H1596">_xlfn.XLOOKUP(A1598,Product!A:A,Product!E:E,"Bulunamadı")</f>
        <v>12.6</v>
      </c>
      <c r="I1596" s="2" t="str">
        <f t="shared" si="1"/>
        <v>92461 - Arts - History of Science</v>
      </c>
      <c r="J1596" s="2">
        <f t="shared" si="2"/>
        <v>2961</v>
      </c>
      <c r="K1596" s="17">
        <f t="shared" si="3"/>
        <v>1</v>
      </c>
      <c r="L1596" s="18"/>
    </row>
    <row r="1597" hidden="1">
      <c r="A1597" s="2">
        <f>IFERROR(__xludf.DUMMYFUNCTION("""COMPUTED_VALUE"""),128834.0)</f>
        <v>128834</v>
      </c>
      <c r="B1597" s="2">
        <f>IFERROR(__xludf.DUMMYFUNCTION("""COMPUTED_VALUE"""),0.0)</f>
        <v>0</v>
      </c>
      <c r="C1597" s="2">
        <f>IFERROR(__xludf.DUMMYFUNCTION("""COMPUTED_VALUE"""),620.0)</f>
        <v>620</v>
      </c>
      <c r="D1597" s="3">
        <f>IFERROR(__xludf.DUMMYFUNCTION("""COMPUTED_VALUE"""),414.0)</f>
        <v>414</v>
      </c>
      <c r="E1597" s="1" t="str">
        <f t="array" ref="E1597">_xlfn.XLOOKUP(A1597,Product!A:A,Product!B:B,"Bulunamadı")</f>
        <v>Fiction</v>
      </c>
      <c r="F1597" s="1" t="str">
        <f t="array" ref="F1597">_xlfn.XLOOKUP(A1597,Product!A:A,Product!C:C,"Bulunamadı")</f>
        <v>History of Technology</v>
      </c>
      <c r="G1597" s="2" t="str">
        <f t="array" ref="G1597">_xlfn.XLOOKUP(A1598,Product!A:A,Product!D:D,"Bulunamadı")</f>
        <v>Atlas Harbor Press</v>
      </c>
      <c r="H1597" s="2">
        <f t="array" ref="H1597">_xlfn.XLOOKUP(A1599,Product!A:A,Product!E:E,"Bulunamadı")</f>
        <v>9.18</v>
      </c>
      <c r="I1597" s="2" t="str">
        <f t="shared" si="1"/>
        <v>128834 - Fiction - History of Technology</v>
      </c>
      <c r="J1597" s="2">
        <f t="shared" si="2"/>
        <v>3800.52</v>
      </c>
      <c r="K1597" s="17">
        <f t="shared" si="3"/>
        <v>1</v>
      </c>
      <c r="L1597" s="18"/>
    </row>
    <row r="1598" hidden="1">
      <c r="A1598" s="2">
        <f>IFERROR(__xludf.DUMMYFUNCTION("""COMPUTED_VALUE"""),135180.0)</f>
        <v>135180</v>
      </c>
      <c r="B1598" s="2">
        <f>IFERROR(__xludf.DUMMYFUNCTION("""COMPUTED_VALUE"""),1.0)</f>
        <v>1</v>
      </c>
      <c r="C1598" s="2">
        <f>IFERROR(__xludf.DUMMYFUNCTION("""COMPUTED_VALUE"""),577.0)</f>
        <v>577</v>
      </c>
      <c r="D1598" s="3">
        <f>IFERROR(__xludf.DUMMYFUNCTION("""COMPUTED_VALUE"""),537.0)</f>
        <v>537</v>
      </c>
      <c r="E1598" s="1" t="str">
        <f t="array" ref="E1598">_xlfn.XLOOKUP(A1598,Product!A:A,Product!B:B,"Bulunamadı")</f>
        <v>Fiction</v>
      </c>
      <c r="F1598" s="1" t="str">
        <f t="array" ref="F1598">_xlfn.XLOOKUP(A1598,Product!A:A,Product!C:C,"Bulunamadı")</f>
        <v>History of Technology</v>
      </c>
      <c r="G1598" s="2" t="str">
        <f t="array" ref="G1598">_xlfn.XLOOKUP(A1599,Product!A:A,Product!D:D,"Bulunamadı")</f>
        <v>Atlas Harbor Press</v>
      </c>
      <c r="H1598" s="2">
        <f t="array" ref="H1598">_xlfn.XLOOKUP(A1600,Product!A:A,Product!E:E,"Bulunamadı")</f>
        <v>5.52</v>
      </c>
      <c r="I1598" s="2" t="str">
        <f t="shared" si="1"/>
        <v>135180 - Fiction - History of Technology</v>
      </c>
      <c r="J1598" s="2">
        <f t="shared" si="2"/>
        <v>2964.24</v>
      </c>
      <c r="K1598" s="17">
        <f t="shared" si="3"/>
        <v>1</v>
      </c>
      <c r="L1598" s="18"/>
    </row>
    <row r="1599" hidden="1">
      <c r="A1599" s="2">
        <f>IFERROR(__xludf.DUMMYFUNCTION("""COMPUTED_VALUE"""),120582.0)</f>
        <v>120582</v>
      </c>
      <c r="B1599" s="2">
        <f>IFERROR(__xludf.DUMMYFUNCTION("""COMPUTED_VALUE"""),1.0)</f>
        <v>1</v>
      </c>
      <c r="C1599" s="2">
        <f>IFERROR(__xludf.DUMMYFUNCTION("""COMPUTED_VALUE"""),650.0)</f>
        <v>650</v>
      </c>
      <c r="D1599" s="3">
        <f>IFERROR(__xludf.DUMMYFUNCTION("""COMPUTED_VALUE"""),591.0)</f>
        <v>591</v>
      </c>
      <c r="E1599" s="1" t="str">
        <f t="array" ref="E1599">_xlfn.XLOOKUP(A1599,Product!A:A,Product!B:B,"Bulunamadı")</f>
        <v>Fiction</v>
      </c>
      <c r="F1599" s="1" t="str">
        <f t="array" ref="F1599">_xlfn.XLOOKUP(A1599,Product!A:A,Product!C:C,"Bulunamadı")</f>
        <v>History of Technology</v>
      </c>
      <c r="G1599" s="2" t="str">
        <f t="array" ref="G1599">_xlfn.XLOOKUP(A1600,Product!A:A,Product!D:D,"Bulunamadı")</f>
        <v>Frontier Ridge Publishing</v>
      </c>
      <c r="H1599" s="2">
        <f t="array" ref="H1599">_xlfn.XLOOKUP(A1601,Product!A:A,Product!E:E,"Bulunamadı")</f>
        <v>10.81</v>
      </c>
      <c r="I1599" s="2" t="str">
        <f t="shared" si="1"/>
        <v>120582 - Fiction - History of Technology</v>
      </c>
      <c r="J1599" s="2">
        <f t="shared" si="2"/>
        <v>6388.71</v>
      </c>
      <c r="K1599" s="17">
        <f t="shared" si="3"/>
        <v>1</v>
      </c>
      <c r="L1599" s="18"/>
    </row>
    <row r="1600" hidden="1">
      <c r="A1600" s="2">
        <f>IFERROR(__xludf.DUMMYFUNCTION("""COMPUTED_VALUE"""),105794.0)</f>
        <v>105794</v>
      </c>
      <c r="B1600" s="2">
        <f>IFERROR(__xludf.DUMMYFUNCTION("""COMPUTED_VALUE"""),0.0)</f>
        <v>0</v>
      </c>
      <c r="C1600" s="2">
        <f>IFERROR(__xludf.DUMMYFUNCTION("""COMPUTED_VALUE"""),610.0)</f>
        <v>610</v>
      </c>
      <c r="D1600" s="3">
        <f>IFERROR(__xludf.DUMMYFUNCTION("""COMPUTED_VALUE"""),91.0)</f>
        <v>91</v>
      </c>
      <c r="E1600" s="1" t="str">
        <f t="array" ref="E1600">_xlfn.XLOOKUP(A1600,Product!A:A,Product!B:B,"Bulunamadı")</f>
        <v>Fiction</v>
      </c>
      <c r="F1600" s="1" t="str">
        <f t="array" ref="F1600">_xlfn.XLOOKUP(A1600,Product!A:A,Product!C:C,"Bulunamadı")</f>
        <v>History of Technology</v>
      </c>
      <c r="G1600" s="2" t="str">
        <f t="array" ref="G1600">_xlfn.XLOOKUP(A1601,Product!A:A,Product!D:D,"Bulunamadı")</f>
        <v>Frontier Ridge Publishing</v>
      </c>
      <c r="H1600" s="2">
        <f t="array" ref="H1600">_xlfn.XLOOKUP(A1602,Product!A:A,Product!E:E,"Bulunamadı")</f>
        <v>2.13</v>
      </c>
      <c r="I1600" s="2" t="str">
        <f t="shared" si="1"/>
        <v>105794 - Fiction - History of Technology</v>
      </c>
      <c r="J1600" s="2">
        <f t="shared" si="2"/>
        <v>193.83</v>
      </c>
      <c r="K1600" s="17">
        <f t="shared" si="3"/>
        <v>1</v>
      </c>
      <c r="L1600" s="18"/>
    </row>
    <row r="1601" hidden="1">
      <c r="A1601" s="2">
        <f>IFERROR(__xludf.DUMMYFUNCTION("""COMPUTED_VALUE"""),81049.0)</f>
        <v>81049</v>
      </c>
      <c r="B1601" s="2">
        <f>IFERROR(__xludf.DUMMYFUNCTION("""COMPUTED_VALUE"""),1.0)</f>
        <v>1</v>
      </c>
      <c r="C1601" s="2">
        <f>IFERROR(__xludf.DUMMYFUNCTION("""COMPUTED_VALUE"""),976.0)</f>
        <v>976</v>
      </c>
      <c r="D1601" s="3">
        <f>IFERROR(__xludf.DUMMYFUNCTION("""COMPUTED_VALUE"""),907.0)</f>
        <v>907</v>
      </c>
      <c r="E1601" s="1" t="str">
        <f t="array" ref="E1601">_xlfn.XLOOKUP(A1601,Product!A:A,Product!B:B,"Bulunamadı")</f>
        <v>Fiction</v>
      </c>
      <c r="F1601" s="1" t="str">
        <f t="array" ref="F1601">_xlfn.XLOOKUP(A1601,Product!A:A,Product!C:C,"Bulunamadı")</f>
        <v>History of Technology</v>
      </c>
      <c r="G1601" s="2" t="str">
        <f t="array" ref="G1601">_xlfn.XLOOKUP(A1602,Product!A:A,Product!D:D,"Bulunamadı")</f>
        <v>Grand Harbor Books</v>
      </c>
      <c r="H1601" s="2">
        <f t="array" ref="H1601">_xlfn.XLOOKUP(A1603,Product!A:A,Product!E:E,"Bulunamadı")</f>
        <v>1.18</v>
      </c>
      <c r="I1601" s="2" t="str">
        <f t="shared" si="1"/>
        <v>81049 - Fiction - History of Technology</v>
      </c>
      <c r="J1601" s="2">
        <f t="shared" si="2"/>
        <v>1070.26</v>
      </c>
      <c r="K1601" s="17">
        <f t="shared" si="3"/>
        <v>1</v>
      </c>
      <c r="L1601" s="18"/>
    </row>
    <row r="1602" hidden="1">
      <c r="A1602" s="2">
        <f>IFERROR(__xludf.DUMMYFUNCTION("""COMPUTED_VALUE"""),13364.0)</f>
        <v>13364</v>
      </c>
      <c r="B1602" s="2">
        <f>IFERROR(__xludf.DUMMYFUNCTION("""COMPUTED_VALUE"""),1.0)</f>
        <v>1</v>
      </c>
      <c r="C1602" s="2">
        <f>IFERROR(__xludf.DUMMYFUNCTION("""COMPUTED_VALUE"""),306.0)</f>
        <v>306</v>
      </c>
      <c r="D1602" s="3">
        <f>IFERROR(__xludf.DUMMYFUNCTION("""COMPUTED_VALUE"""),175.0)</f>
        <v>175</v>
      </c>
      <c r="E1602" s="1" t="str">
        <f t="array" ref="E1602">_xlfn.XLOOKUP(A1602,Product!A:A,Product!B:B,"Bulunamadı")</f>
        <v>Fiction</v>
      </c>
      <c r="F1602" s="1" t="str">
        <f t="array" ref="F1602">_xlfn.XLOOKUP(A1602,Product!A:A,Product!C:C,"Bulunamadı")</f>
        <v>History of Technology</v>
      </c>
      <c r="G1602" s="2" t="str">
        <f t="array" ref="G1602">_xlfn.XLOOKUP(A1603,Product!A:A,Product!D:D,"Bulunamadı")</f>
        <v>Grand Harbor Books</v>
      </c>
      <c r="H1602" s="2">
        <f t="array" ref="H1602">_xlfn.XLOOKUP(A1604,Product!A:A,Product!E:E,"Bulunamadı")</f>
        <v>2.09</v>
      </c>
      <c r="I1602" s="2" t="str">
        <f t="shared" si="1"/>
        <v>13364 - Fiction - History of Technology</v>
      </c>
      <c r="J1602" s="2">
        <f t="shared" si="2"/>
        <v>365.75</v>
      </c>
      <c r="K1602" s="17">
        <f t="shared" si="3"/>
        <v>1</v>
      </c>
      <c r="L1602" s="18"/>
    </row>
    <row r="1603" hidden="1">
      <c r="A1603" s="2">
        <f>IFERROR(__xludf.DUMMYFUNCTION("""COMPUTED_VALUE"""),13361.0)</f>
        <v>13361</v>
      </c>
      <c r="B1603" s="2">
        <f>IFERROR(__xludf.DUMMYFUNCTION("""COMPUTED_VALUE"""),1.0)</f>
        <v>1</v>
      </c>
      <c r="C1603" s="2">
        <f>IFERROR(__xludf.DUMMYFUNCTION("""COMPUTED_VALUE"""),4.0)</f>
        <v>4</v>
      </c>
      <c r="D1603" s="3">
        <f>IFERROR(__xludf.DUMMYFUNCTION("""COMPUTED_VALUE"""),3.0)</f>
        <v>3</v>
      </c>
      <c r="E1603" s="1" t="str">
        <f t="array" ref="E1603">_xlfn.XLOOKUP(A1603,Product!A:A,Product!B:B,"Bulunamadı")</f>
        <v>Fiction</v>
      </c>
      <c r="F1603" s="1" t="str">
        <f t="array" ref="F1603">_xlfn.XLOOKUP(A1603,Product!A:A,Product!C:C,"Bulunamadı")</f>
        <v>History of Technology</v>
      </c>
      <c r="G1603" s="2" t="str">
        <f t="array" ref="G1603">_xlfn.XLOOKUP(A1604,Product!A:A,Product!D:D,"Bulunamadı")</f>
        <v>Grand Harbor Books</v>
      </c>
      <c r="H1603" s="2">
        <f t="array" ref="H1603">_xlfn.XLOOKUP(A1605,Product!A:A,Product!E:E,"Bulunamadı")</f>
        <v>1.67</v>
      </c>
      <c r="I1603" s="2" t="str">
        <f t="shared" si="1"/>
        <v>13361 - Fiction - History of Technology</v>
      </c>
      <c r="J1603" s="2">
        <f t="shared" si="2"/>
        <v>5.01</v>
      </c>
      <c r="K1603" s="17">
        <f t="shared" si="3"/>
        <v>1</v>
      </c>
      <c r="L1603" s="18"/>
    </row>
    <row r="1604" hidden="1">
      <c r="A1604" s="2">
        <f>IFERROR(__xludf.DUMMYFUNCTION("""COMPUTED_VALUE"""),75659.0)</f>
        <v>75659</v>
      </c>
      <c r="B1604" s="2">
        <f>IFERROR(__xludf.DUMMYFUNCTION("""COMPUTED_VALUE"""),0.0)</f>
        <v>0</v>
      </c>
      <c r="C1604" s="2">
        <f>IFERROR(__xludf.DUMMYFUNCTION("""COMPUTED_VALUE"""),685.0)</f>
        <v>685</v>
      </c>
      <c r="D1604" s="3">
        <f>IFERROR(__xludf.DUMMYFUNCTION("""COMPUTED_VALUE"""),48.0)</f>
        <v>48</v>
      </c>
      <c r="E1604" s="1" t="str">
        <f t="array" ref="E1604">_xlfn.XLOOKUP(A1604,Product!A:A,Product!B:B,"Bulunamadı")</f>
        <v>Fiction</v>
      </c>
      <c r="F1604" s="1" t="str">
        <f t="array" ref="F1604">_xlfn.XLOOKUP(A1604,Product!A:A,Product!C:C,"Bulunamadı")</f>
        <v>History of Technology</v>
      </c>
      <c r="G1604" s="2" t="str">
        <f t="array" ref="G1604">_xlfn.XLOOKUP(A1605,Product!A:A,Product!D:D,"Bulunamadı")</f>
        <v>Grand Harbor Books</v>
      </c>
      <c r="H1604" s="2">
        <f t="array" ref="H1604">_xlfn.XLOOKUP(A1606,Product!A:A,Product!E:E,"Bulunamadı")</f>
        <v>14.99</v>
      </c>
      <c r="I1604" s="2" t="str">
        <f t="shared" si="1"/>
        <v>75659 - Fiction - History of Technology</v>
      </c>
      <c r="J1604" s="2">
        <f t="shared" si="2"/>
        <v>719.52</v>
      </c>
      <c r="K1604" s="17">
        <f t="shared" si="3"/>
        <v>1</v>
      </c>
      <c r="L1604" s="18"/>
    </row>
    <row r="1605" hidden="1">
      <c r="A1605" s="2">
        <f>IFERROR(__xludf.DUMMYFUNCTION("""COMPUTED_VALUE"""),75655.0)</f>
        <v>75655</v>
      </c>
      <c r="B1605" s="2">
        <f>IFERROR(__xludf.DUMMYFUNCTION("""COMPUTED_VALUE"""),1.0)</f>
        <v>1</v>
      </c>
      <c r="C1605" s="2">
        <f>IFERROR(__xludf.DUMMYFUNCTION("""COMPUTED_VALUE"""),277.0)</f>
        <v>277</v>
      </c>
      <c r="D1605" s="3">
        <f>IFERROR(__xludf.DUMMYFUNCTION("""COMPUTED_VALUE"""),90.0)</f>
        <v>90</v>
      </c>
      <c r="E1605" s="1" t="str">
        <f t="array" ref="E1605">_xlfn.XLOOKUP(A1605,Product!A:A,Product!B:B,"Bulunamadı")</f>
        <v>Fiction</v>
      </c>
      <c r="F1605" s="1" t="str">
        <f t="array" ref="F1605">_xlfn.XLOOKUP(A1605,Product!A:A,Product!C:C,"Bulunamadı")</f>
        <v>History of Technology</v>
      </c>
      <c r="G1605" s="2" t="str">
        <f t="array" ref="G1605">_xlfn.XLOOKUP(A1606,Product!A:A,Product!D:D,"Bulunamadı")</f>
        <v>Grand Harbor Books</v>
      </c>
      <c r="H1605" s="2">
        <f t="array" ref="H1605">_xlfn.XLOOKUP(A1607,Product!A:A,Product!E:E,"Bulunamadı")</f>
        <v>4.33</v>
      </c>
      <c r="I1605" s="2" t="str">
        <f t="shared" si="1"/>
        <v>75655 - Fiction - History of Technology</v>
      </c>
      <c r="J1605" s="2">
        <f t="shared" si="2"/>
        <v>389.7</v>
      </c>
      <c r="K1605" s="17">
        <f t="shared" si="3"/>
        <v>1</v>
      </c>
      <c r="L1605" s="18"/>
    </row>
    <row r="1606" hidden="1">
      <c r="A1606" s="2">
        <f>IFERROR(__xludf.DUMMYFUNCTION("""COMPUTED_VALUE"""),117866.0)</f>
        <v>117866</v>
      </c>
      <c r="B1606" s="2">
        <f>IFERROR(__xludf.DUMMYFUNCTION("""COMPUTED_VALUE"""),0.0)</f>
        <v>0</v>
      </c>
      <c r="C1606" s="2">
        <f>IFERROR(__xludf.DUMMYFUNCTION("""COMPUTED_VALUE"""),270.0)</f>
        <v>270</v>
      </c>
      <c r="D1606" s="3">
        <f>IFERROR(__xludf.DUMMYFUNCTION("""COMPUTED_VALUE"""),174.0)</f>
        <v>174</v>
      </c>
      <c r="E1606" s="1" t="str">
        <f t="array" ref="E1606">_xlfn.XLOOKUP(A1606,Product!A:A,Product!B:B,"Bulunamadı")</f>
        <v>Fiction</v>
      </c>
      <c r="F1606" s="1" t="str">
        <f t="array" ref="F1606">_xlfn.XLOOKUP(A1606,Product!A:A,Product!C:C,"Bulunamadı")</f>
        <v>History of Technology</v>
      </c>
      <c r="G1606" s="2" t="str">
        <f t="array" ref="G1606">_xlfn.XLOOKUP(A1607,Product!A:A,Product!D:D,"Bulunamadı")</f>
        <v>Grand Harbor Books</v>
      </c>
      <c r="H1606" s="2">
        <f t="array" ref="H1606">_xlfn.XLOOKUP(A1608,Product!A:A,Product!E:E,"Bulunamadı")</f>
        <v>3.18</v>
      </c>
      <c r="I1606" s="2" t="str">
        <f t="shared" si="1"/>
        <v>117866 - Fiction - History of Technology</v>
      </c>
      <c r="J1606" s="2">
        <f t="shared" si="2"/>
        <v>553.32</v>
      </c>
      <c r="K1606" s="17">
        <f t="shared" si="3"/>
        <v>1</v>
      </c>
      <c r="L1606" s="18"/>
    </row>
    <row r="1607" hidden="1">
      <c r="A1607" s="2">
        <f>IFERROR(__xludf.DUMMYFUNCTION("""COMPUTED_VALUE"""),90556.0)</f>
        <v>90556</v>
      </c>
      <c r="B1607" s="2">
        <f>IFERROR(__xludf.DUMMYFUNCTION("""COMPUTED_VALUE"""),0.0)</f>
        <v>0</v>
      </c>
      <c r="C1607" s="2">
        <f>IFERROR(__xludf.DUMMYFUNCTION("""COMPUTED_VALUE"""),409.0)</f>
        <v>409</v>
      </c>
      <c r="D1607" s="3">
        <f>IFERROR(__xludf.DUMMYFUNCTION("""COMPUTED_VALUE"""),77.0)</f>
        <v>77</v>
      </c>
      <c r="E1607" s="1" t="str">
        <f t="array" ref="E1607">_xlfn.XLOOKUP(A1607,Product!A:A,Product!B:B,"Bulunamadı")</f>
        <v>Fiction</v>
      </c>
      <c r="F1607" s="1" t="str">
        <f t="array" ref="F1607">_xlfn.XLOOKUP(A1607,Product!A:A,Product!C:C,"Bulunamadı")</f>
        <v>History of Technology</v>
      </c>
      <c r="G1607" s="2" t="str">
        <f t="array" ref="G1607">_xlfn.XLOOKUP(A1608,Product!A:A,Product!D:D,"Bulunamadı")</f>
        <v>Grand Harbor Books</v>
      </c>
      <c r="H1607" s="2">
        <f t="array" ref="H1607">_xlfn.XLOOKUP(A1609,Product!A:A,Product!E:E,"Bulunamadı")</f>
        <v>10.11</v>
      </c>
      <c r="I1607" s="2" t="str">
        <f t="shared" si="1"/>
        <v>90556 - Fiction - History of Technology</v>
      </c>
      <c r="J1607" s="2">
        <f t="shared" si="2"/>
        <v>778.47</v>
      </c>
      <c r="K1607" s="17">
        <f t="shared" si="3"/>
        <v>1</v>
      </c>
      <c r="L1607" s="18"/>
    </row>
    <row r="1608" hidden="1">
      <c r="A1608" s="2">
        <f>IFERROR(__xludf.DUMMYFUNCTION("""COMPUTED_VALUE"""),68605.0)</f>
        <v>68605</v>
      </c>
      <c r="B1608" s="2">
        <f>IFERROR(__xludf.DUMMYFUNCTION("""COMPUTED_VALUE"""),1.0)</f>
        <v>1</v>
      </c>
      <c r="C1608" s="2">
        <f>IFERROR(__xludf.DUMMYFUNCTION("""COMPUTED_VALUE"""),283.0)</f>
        <v>283</v>
      </c>
      <c r="D1608" s="3">
        <f>IFERROR(__xludf.DUMMYFUNCTION("""COMPUTED_VALUE"""),270.0)</f>
        <v>270</v>
      </c>
      <c r="E1608" s="1" t="str">
        <f t="array" ref="E1608">_xlfn.XLOOKUP(A1608,Product!A:A,Product!B:B,"Bulunamadı")</f>
        <v>Fiction</v>
      </c>
      <c r="F1608" s="1" t="str">
        <f t="array" ref="F1608">_xlfn.XLOOKUP(A1608,Product!A:A,Product!C:C,"Bulunamadı")</f>
        <v>History of Technology</v>
      </c>
      <c r="G1608" s="2" t="str">
        <f t="array" ref="G1608">_xlfn.XLOOKUP(A1609,Product!A:A,Product!D:D,"Bulunamadı")</f>
        <v>Grand Harbor Books</v>
      </c>
      <c r="H1608" s="2">
        <f t="array" ref="H1608">_xlfn.XLOOKUP(A1610,Product!A:A,Product!E:E,"Bulunamadı")</f>
        <v>5.64</v>
      </c>
      <c r="I1608" s="2" t="str">
        <f t="shared" si="1"/>
        <v>68605 - Fiction - History of Technology</v>
      </c>
      <c r="J1608" s="2">
        <f t="shared" si="2"/>
        <v>1522.8</v>
      </c>
      <c r="K1608" s="17">
        <f t="shared" si="3"/>
        <v>1</v>
      </c>
      <c r="L1608" s="18"/>
    </row>
    <row r="1609" hidden="1">
      <c r="A1609" s="2">
        <f>IFERROR(__xludf.DUMMYFUNCTION("""COMPUTED_VALUE"""),103829.0)</f>
        <v>103829</v>
      </c>
      <c r="B1609" s="2">
        <f>IFERROR(__xludf.DUMMYFUNCTION("""COMPUTED_VALUE"""),0.0)</f>
        <v>0</v>
      </c>
      <c r="C1609" s="2">
        <f>IFERROR(__xludf.DUMMYFUNCTION("""COMPUTED_VALUE"""),525.0)</f>
        <v>525</v>
      </c>
      <c r="D1609" s="3">
        <f>IFERROR(__xludf.DUMMYFUNCTION("""COMPUTED_VALUE"""),230.0)</f>
        <v>230</v>
      </c>
      <c r="E1609" s="1" t="str">
        <f t="array" ref="E1609">_xlfn.XLOOKUP(A1609,Product!A:A,Product!B:B,"Bulunamadı")</f>
        <v>Fiction</v>
      </c>
      <c r="F1609" s="1" t="str">
        <f t="array" ref="F1609">_xlfn.XLOOKUP(A1609,Product!A:A,Product!C:C,"Bulunamadı")</f>
        <v>History of Technology</v>
      </c>
      <c r="G1609" s="2" t="str">
        <f t="array" ref="G1609">_xlfn.XLOOKUP(A1610,Product!A:A,Product!D:D,"Bulunamadı")</f>
        <v>Grand Harbor Books</v>
      </c>
      <c r="H1609" s="2">
        <f t="array" ref="H1609">_xlfn.XLOOKUP(A1611,Product!A:A,Product!E:E,"Bulunamadı")</f>
        <v>2.88</v>
      </c>
      <c r="I1609" s="2" t="str">
        <f t="shared" si="1"/>
        <v>103829 - Fiction - History of Technology</v>
      </c>
      <c r="J1609" s="2">
        <f t="shared" si="2"/>
        <v>662.4</v>
      </c>
      <c r="K1609" s="17">
        <f t="shared" si="3"/>
        <v>1</v>
      </c>
      <c r="L1609" s="18"/>
    </row>
    <row r="1610" hidden="1">
      <c r="A1610" s="2">
        <f>IFERROR(__xludf.DUMMYFUNCTION("""COMPUTED_VALUE"""),90558.0)</f>
        <v>90558</v>
      </c>
      <c r="B1610" s="2">
        <f>IFERROR(__xludf.DUMMYFUNCTION("""COMPUTED_VALUE"""),0.0)</f>
        <v>0</v>
      </c>
      <c r="C1610" s="2">
        <f>IFERROR(__xludf.DUMMYFUNCTION("""COMPUTED_VALUE"""),399.0)</f>
        <v>399</v>
      </c>
      <c r="D1610" s="3">
        <f>IFERROR(__xludf.DUMMYFUNCTION("""COMPUTED_VALUE"""),178.0)</f>
        <v>178</v>
      </c>
      <c r="E1610" s="1" t="str">
        <f t="array" ref="E1610">_xlfn.XLOOKUP(A1610,Product!A:A,Product!B:B,"Bulunamadı")</f>
        <v>Fiction</v>
      </c>
      <c r="F1610" s="1" t="str">
        <f t="array" ref="F1610">_xlfn.XLOOKUP(A1610,Product!A:A,Product!C:C,"Bulunamadı")</f>
        <v>History of Technology</v>
      </c>
      <c r="G1610" s="2" t="str">
        <f t="array" ref="G1610">_xlfn.XLOOKUP(A1611,Product!A:A,Product!D:D,"Bulunamadı")</f>
        <v>Grand Harbor Books</v>
      </c>
      <c r="H1610" s="2">
        <f t="array" ref="H1610">_xlfn.XLOOKUP(A1612,Product!A:A,Product!E:E,"Bulunamadı")</f>
        <v>3.62</v>
      </c>
      <c r="I1610" s="2" t="str">
        <f t="shared" si="1"/>
        <v>90558 - Fiction - History of Technology</v>
      </c>
      <c r="J1610" s="2">
        <f t="shared" si="2"/>
        <v>644.36</v>
      </c>
      <c r="K1610" s="17">
        <f t="shared" si="3"/>
        <v>1</v>
      </c>
      <c r="L1610" s="18"/>
    </row>
    <row r="1611" hidden="1">
      <c r="A1611" s="2">
        <f>IFERROR(__xludf.DUMMYFUNCTION("""COMPUTED_VALUE"""),120490.0)</f>
        <v>120490</v>
      </c>
      <c r="B1611" s="2">
        <f>IFERROR(__xludf.DUMMYFUNCTION("""COMPUTED_VALUE"""),1.0)</f>
        <v>1</v>
      </c>
      <c r="C1611" s="2">
        <f>IFERROR(__xludf.DUMMYFUNCTION("""COMPUTED_VALUE"""),919.0)</f>
        <v>919</v>
      </c>
      <c r="D1611" s="3">
        <f>IFERROR(__xludf.DUMMYFUNCTION("""COMPUTED_VALUE"""),253.0)</f>
        <v>253</v>
      </c>
      <c r="E1611" s="1" t="str">
        <f t="array" ref="E1611">_xlfn.XLOOKUP(A1611,Product!A:A,Product!B:B,"Bulunamadı")</f>
        <v>Fiction</v>
      </c>
      <c r="F1611" s="1" t="str">
        <f t="array" ref="F1611">_xlfn.XLOOKUP(A1611,Product!A:A,Product!C:C,"Bulunamadı")</f>
        <v>History of Technology</v>
      </c>
      <c r="G1611" s="2" t="str">
        <f t="array" ref="G1611">_xlfn.XLOOKUP(A1612,Product!A:A,Product!D:D,"Bulunamadı")</f>
        <v>Grand Harbor Books</v>
      </c>
      <c r="H1611" s="2">
        <f t="array" ref="H1611">_xlfn.XLOOKUP(A1613,Product!A:A,Product!E:E,"Bulunamadı")</f>
        <v>15.13</v>
      </c>
      <c r="I1611" s="2" t="str">
        <f t="shared" si="1"/>
        <v>120490 - Fiction - History of Technology</v>
      </c>
      <c r="J1611" s="2">
        <f t="shared" si="2"/>
        <v>3827.89</v>
      </c>
      <c r="K1611" s="17">
        <f t="shared" si="3"/>
        <v>1</v>
      </c>
      <c r="L1611" s="18"/>
    </row>
    <row r="1612" hidden="1">
      <c r="A1612" s="2">
        <f>IFERROR(__xludf.DUMMYFUNCTION("""COMPUTED_VALUE"""),75662.0)</f>
        <v>75662</v>
      </c>
      <c r="B1612" s="2">
        <f>IFERROR(__xludf.DUMMYFUNCTION("""COMPUTED_VALUE"""),1.0)</f>
        <v>1</v>
      </c>
      <c r="C1612" s="2">
        <f>IFERROR(__xludf.DUMMYFUNCTION("""COMPUTED_VALUE"""),719.0)</f>
        <v>719</v>
      </c>
      <c r="D1612" s="3">
        <f>IFERROR(__xludf.DUMMYFUNCTION("""COMPUTED_VALUE"""),424.0)</f>
        <v>424</v>
      </c>
      <c r="E1612" s="1" t="str">
        <f t="array" ref="E1612">_xlfn.XLOOKUP(A1612,Product!A:A,Product!B:B,"Bulunamadı")</f>
        <v>Fiction</v>
      </c>
      <c r="F1612" s="1" t="str">
        <f t="array" ref="F1612">_xlfn.XLOOKUP(A1612,Product!A:A,Product!C:C,"Bulunamadı")</f>
        <v>History of Technology</v>
      </c>
      <c r="G1612" s="2" t="str">
        <f t="array" ref="G1612">_xlfn.XLOOKUP(A1613,Product!A:A,Product!D:D,"Bulunamadı")</f>
        <v>Grand Harbor Books</v>
      </c>
      <c r="H1612" s="2">
        <f t="array" ref="H1612">_xlfn.XLOOKUP(A1614,Product!A:A,Product!E:E,"Bulunamadı")</f>
        <v>1.45</v>
      </c>
      <c r="I1612" s="2" t="str">
        <f t="shared" si="1"/>
        <v>75662 - Fiction - History of Technology</v>
      </c>
      <c r="J1612" s="2">
        <f t="shared" si="2"/>
        <v>614.8</v>
      </c>
      <c r="K1612" s="17">
        <f t="shared" si="3"/>
        <v>1</v>
      </c>
      <c r="L1612" s="18"/>
    </row>
    <row r="1613" hidden="1">
      <c r="A1613" s="2">
        <f>IFERROR(__xludf.DUMMYFUNCTION("""COMPUTED_VALUE"""),121298.0)</f>
        <v>121298</v>
      </c>
      <c r="B1613" s="2">
        <f>IFERROR(__xludf.DUMMYFUNCTION("""COMPUTED_VALUE"""),0.0)</f>
        <v>0</v>
      </c>
      <c r="C1613" s="2">
        <f>IFERROR(__xludf.DUMMYFUNCTION("""COMPUTED_VALUE"""),6.0)</f>
        <v>6</v>
      </c>
      <c r="D1613" s="3">
        <f>IFERROR(__xludf.DUMMYFUNCTION("""COMPUTED_VALUE"""),3.0)</f>
        <v>3</v>
      </c>
      <c r="E1613" s="1" t="str">
        <f t="array" ref="E1613">_xlfn.XLOOKUP(A1613,Product!A:A,Product!B:B,"Bulunamadı")</f>
        <v>Fiction</v>
      </c>
      <c r="F1613" s="1" t="str">
        <f t="array" ref="F1613">_xlfn.XLOOKUP(A1613,Product!A:A,Product!C:C,"Bulunamadı")</f>
        <v>History of Technology</v>
      </c>
      <c r="G1613" s="2" t="str">
        <f t="array" ref="G1613">_xlfn.XLOOKUP(A1614,Product!A:A,Product!D:D,"Bulunamadı")</f>
        <v>Grand Harbor Books</v>
      </c>
      <c r="H1613" s="2">
        <f t="array" ref="H1613">_xlfn.XLOOKUP(A1615,Product!A:A,Product!E:E,"Bulunamadı")</f>
        <v>6.9</v>
      </c>
      <c r="I1613" s="2" t="str">
        <f t="shared" si="1"/>
        <v>121298 - Fiction - History of Technology</v>
      </c>
      <c r="J1613" s="2">
        <f t="shared" si="2"/>
        <v>20.7</v>
      </c>
      <c r="K1613" s="17">
        <f t="shared" si="3"/>
        <v>1</v>
      </c>
      <c r="L1613" s="18"/>
    </row>
    <row r="1614" hidden="1">
      <c r="A1614" s="2">
        <f>IFERROR(__xludf.DUMMYFUNCTION("""COMPUTED_VALUE"""),13363.0)</f>
        <v>13363</v>
      </c>
      <c r="B1614" s="2">
        <f>IFERROR(__xludf.DUMMYFUNCTION("""COMPUTED_VALUE"""),0.0)</f>
        <v>0</v>
      </c>
      <c r="C1614" s="2">
        <f>IFERROR(__xludf.DUMMYFUNCTION("""COMPUTED_VALUE"""),877.0)</f>
        <v>877</v>
      </c>
      <c r="D1614" s="3">
        <f>IFERROR(__xludf.DUMMYFUNCTION("""COMPUTED_VALUE"""),152.0)</f>
        <v>152</v>
      </c>
      <c r="E1614" s="1" t="str">
        <f t="array" ref="E1614">_xlfn.XLOOKUP(A1614,Product!A:A,Product!B:B,"Bulunamadı")</f>
        <v>Fiction</v>
      </c>
      <c r="F1614" s="1" t="str">
        <f t="array" ref="F1614">_xlfn.XLOOKUP(A1614,Product!A:A,Product!C:C,"Bulunamadı")</f>
        <v>History of Technology</v>
      </c>
      <c r="G1614" s="2" t="str">
        <f t="array" ref="G1614">_xlfn.XLOOKUP(A1615,Product!A:A,Product!D:D,"Bulunamadı")</f>
        <v>Grand Harbor Books</v>
      </c>
      <c r="H1614" s="2">
        <f t="array" ref="H1614">_xlfn.XLOOKUP(A1616,Product!A:A,Product!E:E,"Bulunamadı")</f>
        <v>2.45</v>
      </c>
      <c r="I1614" s="2" t="str">
        <f t="shared" si="1"/>
        <v>13363 - Fiction - History of Technology</v>
      </c>
      <c r="J1614" s="2">
        <f t="shared" si="2"/>
        <v>372.4</v>
      </c>
      <c r="K1614" s="17">
        <f t="shared" si="3"/>
        <v>1</v>
      </c>
      <c r="L1614" s="18"/>
    </row>
    <row r="1615" hidden="1">
      <c r="A1615" s="2">
        <f>IFERROR(__xludf.DUMMYFUNCTION("""COMPUTED_VALUE"""),117863.0)</f>
        <v>117863</v>
      </c>
      <c r="B1615" s="2">
        <f>IFERROR(__xludf.DUMMYFUNCTION("""COMPUTED_VALUE"""),1.0)</f>
        <v>1</v>
      </c>
      <c r="C1615" s="2">
        <f>IFERROR(__xludf.DUMMYFUNCTION("""COMPUTED_VALUE"""),849.0)</f>
        <v>849</v>
      </c>
      <c r="D1615" s="3">
        <f>IFERROR(__xludf.DUMMYFUNCTION("""COMPUTED_VALUE"""),837.0)</f>
        <v>837</v>
      </c>
      <c r="E1615" s="1" t="str">
        <f t="array" ref="E1615">_xlfn.XLOOKUP(A1615,Product!A:A,Product!B:B,"Bulunamadı")</f>
        <v>Fiction</v>
      </c>
      <c r="F1615" s="1" t="str">
        <f t="array" ref="F1615">_xlfn.XLOOKUP(A1615,Product!A:A,Product!C:C,"Bulunamadı")</f>
        <v>History of Technology</v>
      </c>
      <c r="G1615" s="2" t="str">
        <f t="array" ref="G1615">_xlfn.XLOOKUP(A1616,Product!A:A,Product!D:D,"Bulunamadı")</f>
        <v>Grand Harbor Books</v>
      </c>
      <c r="H1615" s="2">
        <f t="array" ref="H1615">_xlfn.XLOOKUP(A1617,Product!A:A,Product!E:E,"Bulunamadı")</f>
        <v>10.14</v>
      </c>
      <c r="I1615" s="2" t="str">
        <f t="shared" si="1"/>
        <v>117863 - Fiction - History of Technology</v>
      </c>
      <c r="J1615" s="2">
        <f t="shared" si="2"/>
        <v>8487.18</v>
      </c>
      <c r="K1615" s="17">
        <f t="shared" si="3"/>
        <v>1</v>
      </c>
      <c r="L1615" s="18"/>
    </row>
    <row r="1616" hidden="1">
      <c r="A1616" s="2">
        <f>IFERROR(__xludf.DUMMYFUNCTION("""COMPUTED_VALUE"""),68607.0)</f>
        <v>68607</v>
      </c>
      <c r="B1616" s="2">
        <f>IFERROR(__xludf.DUMMYFUNCTION("""COMPUTED_VALUE"""),1.0)</f>
        <v>1</v>
      </c>
      <c r="C1616" s="2">
        <f>IFERROR(__xludf.DUMMYFUNCTION("""COMPUTED_VALUE"""),832.0)</f>
        <v>832</v>
      </c>
      <c r="D1616" s="3">
        <f>IFERROR(__xludf.DUMMYFUNCTION("""COMPUTED_VALUE"""),407.0)</f>
        <v>407</v>
      </c>
      <c r="E1616" s="1" t="str">
        <f t="array" ref="E1616">_xlfn.XLOOKUP(A1616,Product!A:A,Product!B:B,"Bulunamadı")</f>
        <v>Fiction</v>
      </c>
      <c r="F1616" s="1" t="str">
        <f t="array" ref="F1616">_xlfn.XLOOKUP(A1616,Product!A:A,Product!C:C,"Bulunamadı")</f>
        <v>History of Technology</v>
      </c>
      <c r="G1616" s="2" t="str">
        <f t="array" ref="G1616">_xlfn.XLOOKUP(A1617,Product!A:A,Product!D:D,"Bulunamadı")</f>
        <v>Silver Gate Press</v>
      </c>
      <c r="H1616" s="2">
        <f t="array" ref="H1616">_xlfn.XLOOKUP(A1618,Product!A:A,Product!E:E,"Bulunamadı")</f>
        <v>1.7</v>
      </c>
      <c r="I1616" s="2" t="str">
        <f t="shared" si="1"/>
        <v>68607 - Fiction - History of Technology</v>
      </c>
      <c r="J1616" s="2">
        <f t="shared" si="2"/>
        <v>691.9</v>
      </c>
      <c r="K1616" s="17">
        <f t="shared" si="3"/>
        <v>1</v>
      </c>
      <c r="L1616" s="18"/>
    </row>
    <row r="1617" hidden="1">
      <c r="A1617" s="2">
        <f>IFERROR(__xludf.DUMMYFUNCTION("""COMPUTED_VALUE"""),122705.0)</f>
        <v>122705</v>
      </c>
      <c r="B1617" s="2">
        <f>IFERROR(__xludf.DUMMYFUNCTION("""COMPUTED_VALUE"""),0.0)</f>
        <v>0</v>
      </c>
      <c r="C1617" s="2">
        <f>IFERROR(__xludf.DUMMYFUNCTION("""COMPUTED_VALUE"""),416.0)</f>
        <v>416</v>
      </c>
      <c r="D1617" s="3">
        <f>IFERROR(__xludf.DUMMYFUNCTION("""COMPUTED_VALUE"""),399.0)</f>
        <v>399</v>
      </c>
      <c r="E1617" s="1" t="str">
        <f t="array" ref="E1617">_xlfn.XLOOKUP(A1617,Product!A:A,Product!B:B,"Bulunamadı")</f>
        <v>Fiction</v>
      </c>
      <c r="F1617" s="1" t="str">
        <f t="array" ref="F1617">_xlfn.XLOOKUP(A1617,Product!A:A,Product!C:C,"Bulunamadı")</f>
        <v>History of Technology</v>
      </c>
      <c r="G1617" s="2" t="str">
        <f t="array" ref="G1617">_xlfn.XLOOKUP(A1618,Product!A:A,Product!D:D,"Bulunamadı")</f>
        <v>Heritage Ridge Publishing</v>
      </c>
      <c r="H1617" s="2">
        <f t="array" ref="H1617">_xlfn.XLOOKUP(A1619,Product!A:A,Product!E:E,"Bulunamadı")</f>
        <v>0.9</v>
      </c>
      <c r="I1617" s="2" t="str">
        <f t="shared" si="1"/>
        <v>122705 - Fiction - History of Technology</v>
      </c>
      <c r="J1617" s="2">
        <f t="shared" si="2"/>
        <v>359.1</v>
      </c>
      <c r="K1617" s="17">
        <f t="shared" si="3"/>
        <v>1</v>
      </c>
      <c r="L1617" s="18"/>
    </row>
    <row r="1618" hidden="1">
      <c r="A1618" s="2">
        <f>IFERROR(__xludf.DUMMYFUNCTION("""COMPUTED_VALUE"""),88195.0)</f>
        <v>88195</v>
      </c>
      <c r="B1618" s="2">
        <f>IFERROR(__xludf.DUMMYFUNCTION("""COMPUTED_VALUE"""),0.0)</f>
        <v>0</v>
      </c>
      <c r="C1618" s="2">
        <f>IFERROR(__xludf.DUMMYFUNCTION("""COMPUTED_VALUE"""),665.0)</f>
        <v>665</v>
      </c>
      <c r="D1618" s="3">
        <f>IFERROR(__xludf.DUMMYFUNCTION("""COMPUTED_VALUE"""),94.0)</f>
        <v>94</v>
      </c>
      <c r="E1618" s="1" t="str">
        <f t="array" ref="E1618">_xlfn.XLOOKUP(A1618,Product!A:A,Product!B:B,"Bulunamadı")</f>
        <v>Fiction</v>
      </c>
      <c r="F1618" s="1" t="str">
        <f t="array" ref="F1618">_xlfn.XLOOKUP(A1618,Product!A:A,Product!C:C,"Bulunamadı")</f>
        <v>History of Technology</v>
      </c>
      <c r="G1618" s="2" t="str">
        <f t="array" ref="G1618">_xlfn.XLOOKUP(A1619,Product!A:A,Product!D:D,"Bulunamadı")</f>
        <v>Heritage Ridge Publishing</v>
      </c>
      <c r="H1618" s="2">
        <f t="array" ref="H1618">_xlfn.XLOOKUP(A1620,Product!A:A,Product!E:E,"Bulunamadı")</f>
        <v>1.72</v>
      </c>
      <c r="I1618" s="2" t="str">
        <f t="shared" si="1"/>
        <v>88195 - Fiction - History of Technology</v>
      </c>
      <c r="J1618" s="2">
        <f t="shared" si="2"/>
        <v>161.68</v>
      </c>
      <c r="K1618" s="17">
        <f t="shared" si="3"/>
        <v>1</v>
      </c>
      <c r="L1618" s="18"/>
    </row>
    <row r="1619" hidden="1">
      <c r="A1619" s="2">
        <f>IFERROR(__xludf.DUMMYFUNCTION("""COMPUTED_VALUE"""),45523.0)</f>
        <v>45523</v>
      </c>
      <c r="B1619" s="2">
        <f>IFERROR(__xludf.DUMMYFUNCTION("""COMPUTED_VALUE"""),1.0)</f>
        <v>1</v>
      </c>
      <c r="C1619" s="2">
        <f>IFERROR(__xludf.DUMMYFUNCTION("""COMPUTED_VALUE"""),882.0)</f>
        <v>882</v>
      </c>
      <c r="D1619" s="3">
        <f>IFERROR(__xludf.DUMMYFUNCTION("""COMPUTED_VALUE"""),863.0)</f>
        <v>863</v>
      </c>
      <c r="E1619" s="1" t="str">
        <f t="array" ref="E1619">_xlfn.XLOOKUP(A1619,Product!A:A,Product!B:B,"Bulunamadı")</f>
        <v>Fiction</v>
      </c>
      <c r="F1619" s="1" t="str">
        <f t="array" ref="F1619">_xlfn.XLOOKUP(A1619,Product!A:A,Product!C:C,"Bulunamadı")</f>
        <v>History of Technology</v>
      </c>
      <c r="G1619" s="2" t="str">
        <f t="array" ref="G1619">_xlfn.XLOOKUP(A1620,Product!A:A,Product!D:D,"Bulunamadı")</f>
        <v>Heritage Ridge Publishing</v>
      </c>
      <c r="H1619" s="2">
        <f t="array" ref="H1619">_xlfn.XLOOKUP(A1621,Product!A:A,Product!E:E,"Bulunamadı")</f>
        <v>0.47</v>
      </c>
      <c r="I1619" s="2" t="str">
        <f t="shared" si="1"/>
        <v>45523 - Fiction - History of Technology</v>
      </c>
      <c r="J1619" s="2">
        <f t="shared" si="2"/>
        <v>405.61</v>
      </c>
      <c r="K1619" s="17">
        <f t="shared" si="3"/>
        <v>1</v>
      </c>
      <c r="L1619" s="18"/>
    </row>
    <row r="1620" hidden="1">
      <c r="A1620" s="2">
        <f>IFERROR(__xludf.DUMMYFUNCTION("""COMPUTED_VALUE"""),158449.0)</f>
        <v>158449</v>
      </c>
      <c r="B1620" s="2">
        <f>IFERROR(__xludf.DUMMYFUNCTION("""COMPUTED_VALUE"""),1.0)</f>
        <v>1</v>
      </c>
      <c r="C1620" s="2">
        <f>IFERROR(__xludf.DUMMYFUNCTION("""COMPUTED_VALUE"""),494.0)</f>
        <v>494</v>
      </c>
      <c r="D1620" s="3">
        <f>IFERROR(__xludf.DUMMYFUNCTION("""COMPUTED_VALUE"""),460.0)</f>
        <v>460</v>
      </c>
      <c r="E1620" s="1" t="str">
        <f t="array" ref="E1620">_xlfn.XLOOKUP(A1620,Product!A:A,Product!B:B,"Bulunamadı")</f>
        <v>Fiction</v>
      </c>
      <c r="F1620" s="1" t="str">
        <f t="array" ref="F1620">_xlfn.XLOOKUP(A1620,Product!A:A,Product!C:C,"Bulunamadı")</f>
        <v>History of Technology</v>
      </c>
      <c r="G1620" s="2" t="str">
        <f t="array" ref="G1620">_xlfn.XLOOKUP(A1621,Product!A:A,Product!D:D,"Bulunamadı")</f>
        <v>Heritage Ridge Publishing</v>
      </c>
      <c r="H1620" s="2">
        <f t="array" ref="H1620">_xlfn.XLOOKUP(A1622,Product!A:A,Product!E:E,"Bulunamadı")</f>
        <v>5.69</v>
      </c>
      <c r="I1620" s="2" t="str">
        <f t="shared" si="1"/>
        <v>158449 - Fiction - History of Technology</v>
      </c>
      <c r="J1620" s="2">
        <f t="shared" si="2"/>
        <v>2617.4</v>
      </c>
      <c r="K1620" s="17">
        <f t="shared" si="3"/>
        <v>1</v>
      </c>
      <c r="L1620" s="18"/>
    </row>
    <row r="1621" hidden="1">
      <c r="A1621" s="2">
        <f>IFERROR(__xludf.DUMMYFUNCTION("""COMPUTED_VALUE"""),45518.0)</f>
        <v>45518</v>
      </c>
      <c r="B1621" s="2">
        <f>IFERROR(__xludf.DUMMYFUNCTION("""COMPUTED_VALUE"""),1.0)</f>
        <v>1</v>
      </c>
      <c r="C1621" s="2">
        <f>IFERROR(__xludf.DUMMYFUNCTION("""COMPUTED_VALUE"""),670.0)</f>
        <v>670</v>
      </c>
      <c r="D1621" s="3">
        <f>IFERROR(__xludf.DUMMYFUNCTION("""COMPUTED_VALUE"""),269.0)</f>
        <v>269</v>
      </c>
      <c r="E1621" s="1" t="str">
        <f t="array" ref="E1621">_xlfn.XLOOKUP(A1621,Product!A:A,Product!B:B,"Bulunamadı")</f>
        <v>Fiction</v>
      </c>
      <c r="F1621" s="1" t="str">
        <f t="array" ref="F1621">_xlfn.XLOOKUP(A1621,Product!A:A,Product!C:C,"Bulunamadı")</f>
        <v>History of Technology</v>
      </c>
      <c r="G1621" s="2" t="str">
        <f t="array" ref="G1621">_xlfn.XLOOKUP(A1622,Product!A:A,Product!D:D,"Bulunamadı")</f>
        <v>Heritage Ridge Publishing</v>
      </c>
      <c r="H1621" s="2">
        <f t="array" ref="H1621">_xlfn.XLOOKUP(A1623,Product!A:A,Product!E:E,"Bulunamadı")</f>
        <v>1.75</v>
      </c>
      <c r="I1621" s="2" t="str">
        <f t="shared" si="1"/>
        <v>45518 - Fiction - History of Technology</v>
      </c>
      <c r="J1621" s="2">
        <f t="shared" si="2"/>
        <v>470.75</v>
      </c>
      <c r="K1621" s="17">
        <f t="shared" si="3"/>
        <v>1</v>
      </c>
      <c r="L1621" s="18"/>
    </row>
    <row r="1622" hidden="1">
      <c r="A1622" s="2">
        <f>IFERROR(__xludf.DUMMYFUNCTION("""COMPUTED_VALUE"""),96288.0)</f>
        <v>96288</v>
      </c>
      <c r="B1622" s="2">
        <f>IFERROR(__xludf.DUMMYFUNCTION("""COMPUTED_VALUE"""),1.0)</f>
        <v>1</v>
      </c>
      <c r="C1622" s="2">
        <f>IFERROR(__xludf.DUMMYFUNCTION("""COMPUTED_VALUE"""),875.0)</f>
        <v>875</v>
      </c>
      <c r="D1622" s="3">
        <f>IFERROR(__xludf.DUMMYFUNCTION("""COMPUTED_VALUE"""),464.0)</f>
        <v>464</v>
      </c>
      <c r="E1622" s="1" t="str">
        <f t="array" ref="E1622">_xlfn.XLOOKUP(A1622,Product!A:A,Product!B:B,"Bulunamadı")</f>
        <v>Fiction</v>
      </c>
      <c r="F1622" s="1" t="str">
        <f t="array" ref="F1622">_xlfn.XLOOKUP(A1622,Product!A:A,Product!C:C,"Bulunamadı")</f>
        <v>History of Technology</v>
      </c>
      <c r="G1622" s="2" t="str">
        <f t="array" ref="G1622">_xlfn.XLOOKUP(A1623,Product!A:A,Product!D:D,"Bulunamadı")</f>
        <v>Heritage Ridge Publishing</v>
      </c>
      <c r="H1622" s="2">
        <f t="array" ref="H1622">_xlfn.XLOOKUP(A1624,Product!A:A,Product!E:E,"Bulunamadı")</f>
        <v>1.81</v>
      </c>
      <c r="I1622" s="2" t="str">
        <f t="shared" si="1"/>
        <v>96288 - Fiction - History of Technology</v>
      </c>
      <c r="J1622" s="2">
        <f t="shared" si="2"/>
        <v>839.84</v>
      </c>
      <c r="K1622" s="17">
        <f t="shared" si="3"/>
        <v>1</v>
      </c>
      <c r="L1622" s="18"/>
    </row>
    <row r="1623" hidden="1">
      <c r="A1623" s="2">
        <f>IFERROR(__xludf.DUMMYFUNCTION("""COMPUTED_VALUE"""),76981.0)</f>
        <v>76981</v>
      </c>
      <c r="B1623" s="2">
        <f>IFERROR(__xludf.DUMMYFUNCTION("""COMPUTED_VALUE"""),1.0)</f>
        <v>1</v>
      </c>
      <c r="C1623" s="2">
        <f>IFERROR(__xludf.DUMMYFUNCTION("""COMPUTED_VALUE"""),277.0)</f>
        <v>277</v>
      </c>
      <c r="D1623" s="3">
        <f>IFERROR(__xludf.DUMMYFUNCTION("""COMPUTED_VALUE"""),266.0)</f>
        <v>266</v>
      </c>
      <c r="E1623" s="1" t="str">
        <f t="array" ref="E1623">_xlfn.XLOOKUP(A1623,Product!A:A,Product!B:B,"Bulunamadı")</f>
        <v>Fiction</v>
      </c>
      <c r="F1623" s="1" t="str">
        <f t="array" ref="F1623">_xlfn.XLOOKUP(A1623,Product!A:A,Product!C:C,"Bulunamadı")</f>
        <v>History of Technology</v>
      </c>
      <c r="G1623" s="2" t="str">
        <f t="array" ref="G1623">_xlfn.XLOOKUP(A1624,Product!A:A,Product!D:D,"Bulunamadı")</f>
        <v>Heritage Ridge Publishing</v>
      </c>
      <c r="H1623" s="2">
        <f t="array" ref="H1623">_xlfn.XLOOKUP(A1625,Product!A:A,Product!E:E,"Bulunamadı")</f>
        <v>1.57</v>
      </c>
      <c r="I1623" s="2" t="str">
        <f t="shared" si="1"/>
        <v>76981 - Fiction - History of Technology</v>
      </c>
      <c r="J1623" s="2">
        <f t="shared" si="2"/>
        <v>417.62</v>
      </c>
      <c r="K1623" s="17">
        <f t="shared" si="3"/>
        <v>1</v>
      </c>
      <c r="L1623" s="18"/>
    </row>
    <row r="1624" hidden="1">
      <c r="A1624" s="2">
        <f>IFERROR(__xludf.DUMMYFUNCTION("""COMPUTED_VALUE"""),113827.0)</f>
        <v>113827</v>
      </c>
      <c r="B1624" s="2">
        <f>IFERROR(__xludf.DUMMYFUNCTION("""COMPUTED_VALUE"""),0.0)</f>
        <v>0</v>
      </c>
      <c r="C1624" s="2">
        <f>IFERROR(__xludf.DUMMYFUNCTION("""COMPUTED_VALUE"""),727.0)</f>
        <v>727</v>
      </c>
      <c r="D1624" s="3">
        <f>IFERROR(__xludf.DUMMYFUNCTION("""COMPUTED_VALUE"""),306.0)</f>
        <v>306</v>
      </c>
      <c r="E1624" s="1" t="str">
        <f t="array" ref="E1624">_xlfn.XLOOKUP(A1624,Product!A:A,Product!B:B,"Bulunamadı")</f>
        <v>Fiction</v>
      </c>
      <c r="F1624" s="1" t="str">
        <f t="array" ref="F1624">_xlfn.XLOOKUP(A1624,Product!A:A,Product!C:C,"Bulunamadı")</f>
        <v>History of Technology</v>
      </c>
      <c r="G1624" s="2" t="str">
        <f t="array" ref="G1624">_xlfn.XLOOKUP(A1625,Product!A:A,Product!D:D,"Bulunamadı")</f>
        <v>Heritage Ridge Publishing</v>
      </c>
      <c r="H1624" s="2">
        <f t="array" ref="H1624">_xlfn.XLOOKUP(A1626,Product!A:A,Product!E:E,"Bulunamadı")</f>
        <v>4.2</v>
      </c>
      <c r="I1624" s="2" t="str">
        <f t="shared" si="1"/>
        <v>113827 - Fiction - History of Technology</v>
      </c>
      <c r="J1624" s="2">
        <f t="shared" si="2"/>
        <v>1285.2</v>
      </c>
      <c r="K1624" s="17">
        <f t="shared" si="3"/>
        <v>1</v>
      </c>
      <c r="L1624" s="18"/>
    </row>
    <row r="1625" hidden="1">
      <c r="A1625" s="2">
        <f>IFERROR(__xludf.DUMMYFUNCTION("""COMPUTED_VALUE"""),76987.0)</f>
        <v>76987</v>
      </c>
      <c r="B1625" s="2">
        <f>IFERROR(__xludf.DUMMYFUNCTION("""COMPUTED_VALUE"""),1.0)</f>
        <v>1</v>
      </c>
      <c r="C1625" s="2">
        <f>IFERROR(__xludf.DUMMYFUNCTION("""COMPUTED_VALUE"""),33.0)</f>
        <v>33</v>
      </c>
      <c r="D1625" s="3">
        <f>IFERROR(__xludf.DUMMYFUNCTION("""COMPUTED_VALUE"""),7.0)</f>
        <v>7</v>
      </c>
      <c r="E1625" s="1" t="str">
        <f t="array" ref="E1625">_xlfn.XLOOKUP(A1625,Product!A:A,Product!B:B,"Bulunamadı")</f>
        <v>Fiction</v>
      </c>
      <c r="F1625" s="1" t="str">
        <f t="array" ref="F1625">_xlfn.XLOOKUP(A1625,Product!A:A,Product!C:C,"Bulunamadı")</f>
        <v>History of Technology</v>
      </c>
      <c r="G1625" s="2" t="str">
        <f t="array" ref="G1625">_xlfn.XLOOKUP(A1626,Product!A:A,Product!D:D,"Bulunamadı")</f>
        <v>Heritage Ridge Publishing</v>
      </c>
      <c r="H1625" s="2">
        <f t="array" ref="H1625">_xlfn.XLOOKUP(A1627,Product!A:A,Product!E:E,"Bulunamadı")</f>
        <v>6.22</v>
      </c>
      <c r="I1625" s="2" t="str">
        <f t="shared" si="1"/>
        <v>76987 - Fiction - History of Technology</v>
      </c>
      <c r="J1625" s="2">
        <f t="shared" si="2"/>
        <v>43.54</v>
      </c>
      <c r="K1625" s="17">
        <f t="shared" si="3"/>
        <v>1</v>
      </c>
      <c r="L1625" s="18"/>
    </row>
    <row r="1626" hidden="1">
      <c r="A1626" s="2">
        <f>IFERROR(__xludf.DUMMYFUNCTION("""COMPUTED_VALUE"""),113824.0)</f>
        <v>113824</v>
      </c>
      <c r="B1626" s="2">
        <f>IFERROR(__xludf.DUMMYFUNCTION("""COMPUTED_VALUE"""),1.0)</f>
        <v>1</v>
      </c>
      <c r="C1626" s="2">
        <f>IFERROR(__xludf.DUMMYFUNCTION("""COMPUTED_VALUE"""),47.0)</f>
        <v>47</v>
      </c>
      <c r="D1626" s="3">
        <f>IFERROR(__xludf.DUMMYFUNCTION("""COMPUTED_VALUE"""),18.0)</f>
        <v>18</v>
      </c>
      <c r="E1626" s="1" t="str">
        <f t="array" ref="E1626">_xlfn.XLOOKUP(A1626,Product!A:A,Product!B:B,"Bulunamadı")</f>
        <v>Fiction</v>
      </c>
      <c r="F1626" s="1" t="str">
        <f t="array" ref="F1626">_xlfn.XLOOKUP(A1626,Product!A:A,Product!C:C,"Bulunamadı")</f>
        <v>History of Technology</v>
      </c>
      <c r="G1626" s="2" t="str">
        <f t="array" ref="G1626">_xlfn.XLOOKUP(A1627,Product!A:A,Product!D:D,"Bulunamadı")</f>
        <v>Heritage Ridge Publishing</v>
      </c>
      <c r="H1626" s="2">
        <f t="array" ref="H1626">_xlfn.XLOOKUP(A1628,Product!A:A,Product!E:E,"Bulunamadı")</f>
        <v>2.91</v>
      </c>
      <c r="I1626" s="2" t="str">
        <f t="shared" si="1"/>
        <v>113824 - Fiction - History of Technology</v>
      </c>
      <c r="J1626" s="2">
        <f t="shared" si="2"/>
        <v>52.38</v>
      </c>
      <c r="K1626" s="17">
        <f t="shared" si="3"/>
        <v>1</v>
      </c>
      <c r="L1626" s="18"/>
    </row>
    <row r="1627" hidden="1">
      <c r="A1627" s="2">
        <f>IFERROR(__xludf.DUMMYFUNCTION("""COMPUTED_VALUE"""),113823.0)</f>
        <v>113823</v>
      </c>
      <c r="B1627" s="2">
        <f>IFERROR(__xludf.DUMMYFUNCTION("""COMPUTED_VALUE"""),0.0)</f>
        <v>0</v>
      </c>
      <c r="C1627" s="2">
        <f>IFERROR(__xludf.DUMMYFUNCTION("""COMPUTED_VALUE"""),857.0)</f>
        <v>857</v>
      </c>
      <c r="D1627" s="3">
        <f>IFERROR(__xludf.DUMMYFUNCTION("""COMPUTED_VALUE"""),256.0)</f>
        <v>256</v>
      </c>
      <c r="E1627" s="1" t="str">
        <f t="array" ref="E1627">_xlfn.XLOOKUP(A1627,Product!A:A,Product!B:B,"Bulunamadı")</f>
        <v>Fiction</v>
      </c>
      <c r="F1627" s="1" t="str">
        <f t="array" ref="F1627">_xlfn.XLOOKUP(A1627,Product!A:A,Product!C:C,"Bulunamadı")</f>
        <v>History of Technology</v>
      </c>
      <c r="G1627" s="2" t="str">
        <f t="array" ref="G1627">_xlfn.XLOOKUP(A1628,Product!A:A,Product!D:D,"Bulunamadı")</f>
        <v>Heritage Ridge Publishing</v>
      </c>
      <c r="H1627" s="2">
        <f t="array" ref="H1627">_xlfn.XLOOKUP(A1629,Product!A:A,Product!E:E,"Bulunamadı")</f>
        <v>1.07</v>
      </c>
      <c r="I1627" s="2" t="str">
        <f t="shared" si="1"/>
        <v>113823 - Fiction - History of Technology</v>
      </c>
      <c r="J1627" s="2">
        <f t="shared" si="2"/>
        <v>273.92</v>
      </c>
      <c r="K1627" s="17">
        <f t="shared" si="3"/>
        <v>1</v>
      </c>
      <c r="L1627" s="18"/>
    </row>
    <row r="1628" hidden="1">
      <c r="A1628" s="2">
        <f>IFERROR(__xludf.DUMMYFUNCTION("""COMPUTED_VALUE"""),156053.0)</f>
        <v>156053</v>
      </c>
      <c r="B1628" s="2">
        <f>IFERROR(__xludf.DUMMYFUNCTION("""COMPUTED_VALUE"""),0.0)</f>
        <v>0</v>
      </c>
      <c r="C1628" s="2">
        <f>IFERROR(__xludf.DUMMYFUNCTION("""COMPUTED_VALUE"""),93.0)</f>
        <v>93</v>
      </c>
      <c r="D1628" s="3">
        <f>IFERROR(__xludf.DUMMYFUNCTION("""COMPUTED_VALUE"""),55.0)</f>
        <v>55</v>
      </c>
      <c r="E1628" s="1" t="str">
        <f t="array" ref="E1628">_xlfn.XLOOKUP(A1628,Product!A:A,Product!B:B,"Bulunamadı")</f>
        <v>Fiction</v>
      </c>
      <c r="F1628" s="1" t="str">
        <f t="array" ref="F1628">_xlfn.XLOOKUP(A1628,Product!A:A,Product!C:C,"Bulunamadı")</f>
        <v>History of Technology</v>
      </c>
      <c r="G1628" s="2" t="str">
        <f t="array" ref="G1628">_xlfn.XLOOKUP(A1629,Product!A:A,Product!D:D,"Bulunamadı")</f>
        <v>Heritage Ridge Publishing</v>
      </c>
      <c r="H1628" s="2">
        <f t="array" ref="H1628">_xlfn.XLOOKUP(A1630,Product!A:A,Product!E:E,"Bulunamadı")</f>
        <v>1.59</v>
      </c>
      <c r="I1628" s="2" t="str">
        <f t="shared" si="1"/>
        <v>156053 - Fiction - History of Technology</v>
      </c>
      <c r="J1628" s="2">
        <f t="shared" si="2"/>
        <v>87.45</v>
      </c>
      <c r="K1628" s="17">
        <f t="shared" si="3"/>
        <v>1</v>
      </c>
      <c r="L1628" s="18"/>
    </row>
    <row r="1629" hidden="1">
      <c r="A1629" s="2">
        <f>IFERROR(__xludf.DUMMYFUNCTION("""COMPUTED_VALUE"""),45522.0)</f>
        <v>45522</v>
      </c>
      <c r="B1629" s="2">
        <f>IFERROR(__xludf.DUMMYFUNCTION("""COMPUTED_VALUE"""),0.0)</f>
        <v>0</v>
      </c>
      <c r="C1629" s="2">
        <f>IFERROR(__xludf.DUMMYFUNCTION("""COMPUTED_VALUE"""),671.0)</f>
        <v>671</v>
      </c>
      <c r="D1629" s="3">
        <f>IFERROR(__xludf.DUMMYFUNCTION("""COMPUTED_VALUE"""),282.0)</f>
        <v>282</v>
      </c>
      <c r="E1629" s="1" t="str">
        <f t="array" ref="E1629">_xlfn.XLOOKUP(A1629,Product!A:A,Product!B:B,"Bulunamadı")</f>
        <v>Fiction</v>
      </c>
      <c r="F1629" s="1" t="str">
        <f t="array" ref="F1629">_xlfn.XLOOKUP(A1629,Product!A:A,Product!C:C,"Bulunamadı")</f>
        <v>History of Technology</v>
      </c>
      <c r="G1629" s="2" t="str">
        <f t="array" ref="G1629">_xlfn.XLOOKUP(A1630,Product!A:A,Product!D:D,"Bulunamadı")</f>
        <v>Rivergate Publishing</v>
      </c>
      <c r="H1629" s="2">
        <f t="array" ref="H1629">_xlfn.XLOOKUP(A1631,Product!A:A,Product!E:E,"Bulunamadı")</f>
        <v>8.78</v>
      </c>
      <c r="I1629" s="2" t="str">
        <f t="shared" si="1"/>
        <v>45522 - Fiction - History of Technology</v>
      </c>
      <c r="J1629" s="2">
        <f t="shared" si="2"/>
        <v>2475.96</v>
      </c>
      <c r="K1629" s="17">
        <f t="shared" si="3"/>
        <v>1</v>
      </c>
      <c r="L1629" s="18"/>
    </row>
    <row r="1630" hidden="1">
      <c r="A1630" s="2">
        <f>IFERROR(__xludf.DUMMYFUNCTION("""COMPUTED_VALUE"""),99176.0)</f>
        <v>99176</v>
      </c>
      <c r="B1630" s="2">
        <f>IFERROR(__xludf.DUMMYFUNCTION("""COMPUTED_VALUE"""),0.0)</f>
        <v>0</v>
      </c>
      <c r="C1630" s="2">
        <f>IFERROR(__xludf.DUMMYFUNCTION("""COMPUTED_VALUE"""),260.0)</f>
        <v>260</v>
      </c>
      <c r="D1630" s="3">
        <f>IFERROR(__xludf.DUMMYFUNCTION("""COMPUTED_VALUE"""),56.0)</f>
        <v>56</v>
      </c>
      <c r="E1630" s="1" t="str">
        <f t="array" ref="E1630">_xlfn.XLOOKUP(A1630,Product!A:A,Product!B:B,"Bulunamadı")</f>
        <v>Fiction</v>
      </c>
      <c r="F1630" s="1" t="str">
        <f t="array" ref="F1630">_xlfn.XLOOKUP(A1630,Product!A:A,Product!C:C,"Bulunamadı")</f>
        <v>History of Technology</v>
      </c>
      <c r="G1630" s="2" t="str">
        <f t="array" ref="G1630">_xlfn.XLOOKUP(A1631,Product!A:A,Product!D:D,"Bulunamadı")</f>
        <v>Rivergate Publishing</v>
      </c>
      <c r="H1630" s="2">
        <f t="array" ref="H1630">_xlfn.XLOOKUP(A1632,Product!A:A,Product!E:E,"Bulunamadı")</f>
        <v>4.58</v>
      </c>
      <c r="I1630" s="2" t="str">
        <f t="shared" si="1"/>
        <v>99176 - Fiction - History of Technology</v>
      </c>
      <c r="J1630" s="2">
        <f t="shared" si="2"/>
        <v>256.48</v>
      </c>
      <c r="K1630" s="17">
        <f t="shared" si="3"/>
        <v>1</v>
      </c>
      <c r="L1630" s="18"/>
    </row>
    <row r="1631" hidden="1">
      <c r="A1631" s="2">
        <f>IFERROR(__xludf.DUMMYFUNCTION("""COMPUTED_VALUE"""),49219.0)</f>
        <v>49219</v>
      </c>
      <c r="B1631" s="2">
        <f>IFERROR(__xludf.DUMMYFUNCTION("""COMPUTED_VALUE"""),0.0)</f>
        <v>0</v>
      </c>
      <c r="C1631" s="2">
        <f>IFERROR(__xludf.DUMMYFUNCTION("""COMPUTED_VALUE"""),450.0)</f>
        <v>450</v>
      </c>
      <c r="D1631" s="3">
        <f>IFERROR(__xludf.DUMMYFUNCTION("""COMPUTED_VALUE"""),18.0)</f>
        <v>18</v>
      </c>
      <c r="E1631" s="1" t="str">
        <f t="array" ref="E1631">_xlfn.XLOOKUP(A1631,Product!A:A,Product!B:B,"Bulunamadı")</f>
        <v>Fiction</v>
      </c>
      <c r="F1631" s="1" t="str">
        <f t="array" ref="F1631">_xlfn.XLOOKUP(A1631,Product!A:A,Product!C:C,"Bulunamadı")</f>
        <v>History of Technology</v>
      </c>
      <c r="G1631" s="2" t="str">
        <f t="array" ref="G1631">_xlfn.XLOOKUP(A1632,Product!A:A,Product!D:D,"Bulunamadı")</f>
        <v>Rivergate Publishing</v>
      </c>
      <c r="H1631" s="2">
        <f t="array" ref="H1631">_xlfn.XLOOKUP(A1633,Product!A:A,Product!E:E,"Bulunamadı")</f>
        <v>11.35</v>
      </c>
      <c r="I1631" s="2" t="str">
        <f t="shared" si="1"/>
        <v>49219 - Fiction - History of Technology</v>
      </c>
      <c r="J1631" s="2">
        <f t="shared" si="2"/>
        <v>204.3</v>
      </c>
      <c r="K1631" s="17">
        <f t="shared" si="3"/>
        <v>1</v>
      </c>
      <c r="L1631" s="18"/>
    </row>
    <row r="1632" hidden="1">
      <c r="A1632" s="2">
        <f>IFERROR(__xludf.DUMMYFUNCTION("""COMPUTED_VALUE"""),102370.0)</f>
        <v>102370</v>
      </c>
      <c r="B1632" s="2">
        <f>IFERROR(__xludf.DUMMYFUNCTION("""COMPUTED_VALUE"""),0.0)</f>
        <v>0</v>
      </c>
      <c r="C1632" s="2">
        <f>IFERROR(__xludf.DUMMYFUNCTION("""COMPUTED_VALUE"""),766.0)</f>
        <v>766</v>
      </c>
      <c r="D1632" s="3">
        <f>IFERROR(__xludf.DUMMYFUNCTION("""COMPUTED_VALUE"""),239.0)</f>
        <v>239</v>
      </c>
      <c r="E1632" s="1" t="str">
        <f t="array" ref="E1632">_xlfn.XLOOKUP(A1632,Product!A:A,Product!B:B,"Bulunamadı")</f>
        <v>Fiction</v>
      </c>
      <c r="F1632" s="1" t="str">
        <f t="array" ref="F1632">_xlfn.XLOOKUP(A1632,Product!A:A,Product!C:C,"Bulunamadı")</f>
        <v>History of Technology</v>
      </c>
      <c r="G1632" s="2" t="str">
        <f t="array" ref="G1632">_xlfn.XLOOKUP(A1633,Product!A:A,Product!D:D,"Bulunamadı")</f>
        <v>Rivergate Publishing</v>
      </c>
      <c r="H1632" s="2">
        <f t="array" ref="H1632">_xlfn.XLOOKUP(A1634,Product!A:A,Product!E:E,"Bulunamadı")</f>
        <v>2.16</v>
      </c>
      <c r="I1632" s="2" t="str">
        <f t="shared" si="1"/>
        <v>102370 - Fiction - History of Technology</v>
      </c>
      <c r="J1632" s="2">
        <f t="shared" si="2"/>
        <v>516.24</v>
      </c>
      <c r="K1632" s="17">
        <f t="shared" si="3"/>
        <v>1</v>
      </c>
      <c r="L1632" s="18"/>
    </row>
    <row r="1633" hidden="1">
      <c r="A1633" s="2">
        <f>IFERROR(__xludf.DUMMYFUNCTION("""COMPUTED_VALUE"""),49222.0)</f>
        <v>49222</v>
      </c>
      <c r="B1633" s="2">
        <f>IFERROR(__xludf.DUMMYFUNCTION("""COMPUTED_VALUE"""),1.0)</f>
        <v>1</v>
      </c>
      <c r="C1633" s="2">
        <f>IFERROR(__xludf.DUMMYFUNCTION("""COMPUTED_VALUE"""),510.0)</f>
        <v>510</v>
      </c>
      <c r="D1633" s="3">
        <f>IFERROR(__xludf.DUMMYFUNCTION("""COMPUTED_VALUE"""),142.0)</f>
        <v>142</v>
      </c>
      <c r="E1633" s="1" t="str">
        <f t="array" ref="E1633">_xlfn.XLOOKUP(A1633,Product!A:A,Product!B:B,"Bulunamadı")</f>
        <v>Fiction</v>
      </c>
      <c r="F1633" s="1" t="str">
        <f t="array" ref="F1633">_xlfn.XLOOKUP(A1633,Product!A:A,Product!C:C,"Bulunamadı")</f>
        <v>History of Technology</v>
      </c>
      <c r="G1633" s="2" t="str">
        <f t="array" ref="G1633">_xlfn.XLOOKUP(A1634,Product!A:A,Product!D:D,"Bulunamadı")</f>
        <v>Rivergate Publishing</v>
      </c>
      <c r="H1633" s="2">
        <f t="array" ref="H1633">_xlfn.XLOOKUP(A1635,Product!A:A,Product!E:E,"Bulunamadı")</f>
        <v>12.32</v>
      </c>
      <c r="I1633" s="2" t="str">
        <f t="shared" si="1"/>
        <v>49222 - Fiction - History of Technology</v>
      </c>
      <c r="J1633" s="2">
        <f t="shared" si="2"/>
        <v>1749.44</v>
      </c>
      <c r="K1633" s="17">
        <f t="shared" si="3"/>
        <v>1</v>
      </c>
      <c r="L1633" s="18"/>
    </row>
    <row r="1634" hidden="1">
      <c r="A1634" s="2">
        <f>IFERROR(__xludf.DUMMYFUNCTION("""COMPUTED_VALUE"""),102352.0)</f>
        <v>102352</v>
      </c>
      <c r="B1634" s="2">
        <f>IFERROR(__xludf.DUMMYFUNCTION("""COMPUTED_VALUE"""),0.0)</f>
        <v>0</v>
      </c>
      <c r="C1634" s="2">
        <f>IFERROR(__xludf.DUMMYFUNCTION("""COMPUTED_VALUE"""),301.0)</f>
        <v>301</v>
      </c>
      <c r="D1634" s="3">
        <f>IFERROR(__xludf.DUMMYFUNCTION("""COMPUTED_VALUE"""),9.0)</f>
        <v>9</v>
      </c>
      <c r="E1634" s="1" t="str">
        <f t="array" ref="E1634">_xlfn.XLOOKUP(A1634,Product!A:A,Product!B:B,"Bulunamadı")</f>
        <v>Fiction</v>
      </c>
      <c r="F1634" s="1" t="str">
        <f t="array" ref="F1634">_xlfn.XLOOKUP(A1634,Product!A:A,Product!C:C,"Bulunamadı")</f>
        <v>History of Technology</v>
      </c>
      <c r="G1634" s="2" t="str">
        <f t="array" ref="G1634">_xlfn.XLOOKUP(A1635,Product!A:A,Product!D:D,"Bulunamadı")</f>
        <v>Rivergate Publishing</v>
      </c>
      <c r="H1634" s="2">
        <f t="array" ref="H1634">_xlfn.XLOOKUP(A1636,Product!A:A,Product!E:E,"Bulunamadı")</f>
        <v>4.81</v>
      </c>
      <c r="I1634" s="2" t="str">
        <f t="shared" si="1"/>
        <v>102352 - Fiction - History of Technology</v>
      </c>
      <c r="J1634" s="2">
        <f t="shared" si="2"/>
        <v>43.29</v>
      </c>
      <c r="K1634" s="17">
        <f t="shared" si="3"/>
        <v>1</v>
      </c>
      <c r="L1634" s="18"/>
    </row>
    <row r="1635" hidden="1">
      <c r="A1635" s="2">
        <f>IFERROR(__xludf.DUMMYFUNCTION("""COMPUTED_VALUE"""),49233.0)</f>
        <v>49233</v>
      </c>
      <c r="B1635" s="2">
        <f>IFERROR(__xludf.DUMMYFUNCTION("""COMPUTED_VALUE"""),0.0)</f>
        <v>0</v>
      </c>
      <c r="C1635" s="2">
        <f>IFERROR(__xludf.DUMMYFUNCTION("""COMPUTED_VALUE"""),329.0)</f>
        <v>329</v>
      </c>
      <c r="D1635" s="3">
        <f>IFERROR(__xludf.DUMMYFUNCTION("""COMPUTED_VALUE"""),87.0)</f>
        <v>87</v>
      </c>
      <c r="E1635" s="1" t="str">
        <f t="array" ref="E1635">_xlfn.XLOOKUP(A1635,Product!A:A,Product!B:B,"Bulunamadı")</f>
        <v>Fiction</v>
      </c>
      <c r="F1635" s="1" t="str">
        <f t="array" ref="F1635">_xlfn.XLOOKUP(A1635,Product!A:A,Product!C:C,"Bulunamadı")</f>
        <v>History of Technology</v>
      </c>
      <c r="G1635" s="2" t="str">
        <f t="array" ref="G1635">_xlfn.XLOOKUP(A1636,Product!A:A,Product!D:D,"Bulunamadı")</f>
        <v>Rivergate Publishing</v>
      </c>
      <c r="H1635" s="2">
        <f t="array" ref="H1635">_xlfn.XLOOKUP(A1637,Product!A:A,Product!E:E,"Bulunamadı")</f>
        <v>0.97</v>
      </c>
      <c r="I1635" s="2" t="str">
        <f t="shared" si="1"/>
        <v>49233 - Fiction - History of Technology</v>
      </c>
      <c r="J1635" s="2">
        <f t="shared" si="2"/>
        <v>84.39</v>
      </c>
      <c r="K1635" s="17">
        <f t="shared" si="3"/>
        <v>1</v>
      </c>
      <c r="L1635" s="18"/>
    </row>
    <row r="1636" hidden="1">
      <c r="A1636" s="2">
        <f>IFERROR(__xludf.DUMMYFUNCTION("""COMPUTED_VALUE"""),99163.0)</f>
        <v>99163</v>
      </c>
      <c r="B1636" s="2">
        <f>IFERROR(__xludf.DUMMYFUNCTION("""COMPUTED_VALUE"""),1.0)</f>
        <v>1</v>
      </c>
      <c r="C1636" s="2">
        <f>IFERROR(__xludf.DUMMYFUNCTION("""COMPUTED_VALUE"""),211.0)</f>
        <v>211</v>
      </c>
      <c r="D1636" s="3">
        <f>IFERROR(__xludf.DUMMYFUNCTION("""COMPUTED_VALUE"""),42.0)</f>
        <v>42</v>
      </c>
      <c r="E1636" s="1" t="str">
        <f t="array" ref="E1636">_xlfn.XLOOKUP(A1636,Product!A:A,Product!B:B,"Bulunamadı")</f>
        <v>Fiction</v>
      </c>
      <c r="F1636" s="1" t="str">
        <f t="array" ref="F1636">_xlfn.XLOOKUP(A1636,Product!A:A,Product!C:C,"Bulunamadı")</f>
        <v>History of Technology</v>
      </c>
      <c r="G1636" s="2" t="str">
        <f t="array" ref="G1636">_xlfn.XLOOKUP(A1637,Product!A:A,Product!D:D,"Bulunamadı")</f>
        <v>Rivergate Publishing</v>
      </c>
      <c r="H1636" s="2">
        <f t="array" ref="H1636">_xlfn.XLOOKUP(A1638,Product!A:A,Product!E:E,"Bulunamadı")</f>
        <v>3.1</v>
      </c>
      <c r="I1636" s="2" t="str">
        <f t="shared" si="1"/>
        <v>99163 - Fiction - History of Technology</v>
      </c>
      <c r="J1636" s="2">
        <f t="shared" si="2"/>
        <v>130.2</v>
      </c>
      <c r="K1636" s="17">
        <f t="shared" si="3"/>
        <v>1</v>
      </c>
      <c r="L1636" s="18"/>
    </row>
    <row r="1637" hidden="1">
      <c r="A1637" s="2">
        <f>IFERROR(__xludf.DUMMYFUNCTION("""COMPUTED_VALUE"""),142785.0)</f>
        <v>142785</v>
      </c>
      <c r="B1637" s="2">
        <f>IFERROR(__xludf.DUMMYFUNCTION("""COMPUTED_VALUE"""),1.0)</f>
        <v>1</v>
      </c>
      <c r="C1637" s="2">
        <f>IFERROR(__xludf.DUMMYFUNCTION("""COMPUTED_VALUE"""),24.0)</f>
        <v>24</v>
      </c>
      <c r="D1637" s="3">
        <f>IFERROR(__xludf.DUMMYFUNCTION("""COMPUTED_VALUE"""),14.0)</f>
        <v>14</v>
      </c>
      <c r="E1637" s="1" t="str">
        <f t="array" ref="E1637">_xlfn.XLOOKUP(A1637,Product!A:A,Product!B:B,"Bulunamadı")</f>
        <v>Fiction</v>
      </c>
      <c r="F1637" s="1" t="str">
        <f t="array" ref="F1637">_xlfn.XLOOKUP(A1637,Product!A:A,Product!C:C,"Bulunamadı")</f>
        <v>History of Technology</v>
      </c>
      <c r="G1637" s="2" t="str">
        <f t="array" ref="G1637">_xlfn.XLOOKUP(A1638,Product!A:A,Product!D:D,"Bulunamadı")</f>
        <v>Rivergate Publishing</v>
      </c>
      <c r="H1637" s="2">
        <f t="array" ref="H1637">_xlfn.XLOOKUP(A1639,Product!A:A,Product!E:E,"Bulunamadı")</f>
        <v>13.33</v>
      </c>
      <c r="I1637" s="2" t="str">
        <f t="shared" si="1"/>
        <v>142785 - Fiction - History of Technology</v>
      </c>
      <c r="J1637" s="2">
        <f t="shared" si="2"/>
        <v>186.62</v>
      </c>
      <c r="K1637" s="17">
        <f t="shared" si="3"/>
        <v>1</v>
      </c>
      <c r="L1637" s="18"/>
    </row>
    <row r="1638" hidden="1">
      <c r="A1638" s="2">
        <f>IFERROR(__xludf.DUMMYFUNCTION("""COMPUTED_VALUE"""),113054.0)</f>
        <v>113054</v>
      </c>
      <c r="B1638" s="2">
        <f>IFERROR(__xludf.DUMMYFUNCTION("""COMPUTED_VALUE"""),0.0)</f>
        <v>0</v>
      </c>
      <c r="C1638" s="2">
        <f>IFERROR(__xludf.DUMMYFUNCTION("""COMPUTED_VALUE"""),477.0)</f>
        <v>477</v>
      </c>
      <c r="D1638" s="3">
        <f>IFERROR(__xludf.DUMMYFUNCTION("""COMPUTED_VALUE"""),417.0)</f>
        <v>417</v>
      </c>
      <c r="E1638" s="1" t="str">
        <f t="array" ref="E1638">_xlfn.XLOOKUP(A1638,Product!A:A,Product!B:B,"Bulunamadı")</f>
        <v>Fiction</v>
      </c>
      <c r="F1638" s="1" t="str">
        <f t="array" ref="F1638">_xlfn.XLOOKUP(A1638,Product!A:A,Product!C:C,"Bulunamadı")</f>
        <v>History of Technology</v>
      </c>
      <c r="G1638" s="2" t="str">
        <f t="array" ref="G1638">_xlfn.XLOOKUP(A1639,Product!A:A,Product!D:D,"Bulunamadı")</f>
        <v>Stonepath Books</v>
      </c>
      <c r="H1638" s="2">
        <f t="array" ref="H1638">_xlfn.XLOOKUP(A1640,Product!A:A,Product!E:E,"Bulunamadı")</f>
        <v>17.97</v>
      </c>
      <c r="I1638" s="2" t="str">
        <f t="shared" si="1"/>
        <v>113054 - Fiction - History of Technology</v>
      </c>
      <c r="J1638" s="2">
        <f t="shared" si="2"/>
        <v>7493.49</v>
      </c>
      <c r="K1638" s="17">
        <f t="shared" si="3"/>
        <v>1</v>
      </c>
      <c r="L1638" s="18"/>
    </row>
    <row r="1639" hidden="1">
      <c r="A1639" s="2">
        <f>IFERROR(__xludf.DUMMYFUNCTION("""COMPUTED_VALUE"""),88105.0)</f>
        <v>88105</v>
      </c>
      <c r="B1639" s="2">
        <f>IFERROR(__xludf.DUMMYFUNCTION("""COMPUTED_VALUE"""),0.0)</f>
        <v>0</v>
      </c>
      <c r="C1639" s="2">
        <f>IFERROR(__xludf.DUMMYFUNCTION("""COMPUTED_VALUE"""),30.0)</f>
        <v>30</v>
      </c>
      <c r="D1639" s="3">
        <f>IFERROR(__xludf.DUMMYFUNCTION("""COMPUTED_VALUE"""),9.0)</f>
        <v>9</v>
      </c>
      <c r="E1639" s="1" t="str">
        <f t="array" ref="E1639">_xlfn.XLOOKUP(A1639,Product!A:A,Product!B:B,"Bulunamadı")</f>
        <v>Fiction</v>
      </c>
      <c r="F1639" s="1" t="str">
        <f t="array" ref="F1639">_xlfn.XLOOKUP(A1639,Product!A:A,Product!C:C,"Bulunamadı")</f>
        <v>History of Technology</v>
      </c>
      <c r="G1639" s="2" t="str">
        <f t="array" ref="G1639">_xlfn.XLOOKUP(A1640,Product!A:A,Product!D:D,"Bulunamadı")</f>
        <v>Stonepath Books</v>
      </c>
      <c r="H1639" s="2">
        <f t="array" ref="H1639">_xlfn.XLOOKUP(A1641,Product!A:A,Product!E:E,"Bulunamadı")</f>
        <v>5.78</v>
      </c>
      <c r="I1639" s="2" t="str">
        <f t="shared" si="1"/>
        <v>88105 - Fiction - History of Technology</v>
      </c>
      <c r="J1639" s="2">
        <f t="shared" si="2"/>
        <v>52.02</v>
      </c>
      <c r="K1639" s="17">
        <f t="shared" si="3"/>
        <v>1</v>
      </c>
      <c r="L1639" s="18"/>
    </row>
    <row r="1640" hidden="1">
      <c r="A1640" s="2">
        <f>IFERROR(__xludf.DUMMYFUNCTION("""COMPUTED_VALUE"""),97036.0)</f>
        <v>97036</v>
      </c>
      <c r="B1640" s="2">
        <f>IFERROR(__xludf.DUMMYFUNCTION("""COMPUTED_VALUE"""),1.0)</f>
        <v>1</v>
      </c>
      <c r="C1640" s="2">
        <f>IFERROR(__xludf.DUMMYFUNCTION("""COMPUTED_VALUE"""),301.0)</f>
        <v>301</v>
      </c>
      <c r="D1640" s="3">
        <f>IFERROR(__xludf.DUMMYFUNCTION("""COMPUTED_VALUE"""),62.0)</f>
        <v>62</v>
      </c>
      <c r="E1640" s="1" t="str">
        <f t="array" ref="E1640">_xlfn.XLOOKUP(A1640,Product!A:A,Product!B:B,"Bulunamadı")</f>
        <v>Fiction</v>
      </c>
      <c r="F1640" s="1" t="str">
        <f t="array" ref="F1640">_xlfn.XLOOKUP(A1640,Product!A:A,Product!C:C,"Bulunamadı")</f>
        <v>History of Technology</v>
      </c>
      <c r="G1640" s="2" t="str">
        <f t="array" ref="G1640">_xlfn.XLOOKUP(A1641,Product!A:A,Product!D:D,"Bulunamadı")</f>
        <v>Greenfield Press</v>
      </c>
      <c r="H1640" s="2">
        <f t="array" ref="H1640">_xlfn.XLOOKUP(A1642,Product!A:A,Product!E:E,"Bulunamadı")</f>
        <v>8</v>
      </c>
      <c r="I1640" s="2" t="str">
        <f t="shared" si="1"/>
        <v>97036 - Fiction - History of Technology</v>
      </c>
      <c r="J1640" s="2">
        <f t="shared" si="2"/>
        <v>496</v>
      </c>
      <c r="K1640" s="17">
        <f t="shared" si="3"/>
        <v>1</v>
      </c>
      <c r="L1640" s="18"/>
    </row>
    <row r="1641" hidden="1">
      <c r="A1641" s="2">
        <f>IFERROR(__xludf.DUMMYFUNCTION("""COMPUTED_VALUE"""),81229.0)</f>
        <v>81229</v>
      </c>
      <c r="B1641" s="2">
        <f>IFERROR(__xludf.DUMMYFUNCTION("""COMPUTED_VALUE"""),1.0)</f>
        <v>1</v>
      </c>
      <c r="C1641" s="2">
        <f>IFERROR(__xludf.DUMMYFUNCTION("""COMPUTED_VALUE"""),677.0)</f>
        <v>677</v>
      </c>
      <c r="D1641" s="3">
        <f>IFERROR(__xludf.DUMMYFUNCTION("""COMPUTED_VALUE"""),240.0)</f>
        <v>240</v>
      </c>
      <c r="E1641" s="1" t="str">
        <f t="array" ref="E1641">_xlfn.XLOOKUP(A1641,Product!A:A,Product!B:B,"Bulunamadı")</f>
        <v>Fiction</v>
      </c>
      <c r="F1641" s="1" t="str">
        <f t="array" ref="F1641">_xlfn.XLOOKUP(A1641,Product!A:A,Product!C:C,"Bulunamadı")</f>
        <v>History of Technology</v>
      </c>
      <c r="G1641" s="2" t="str">
        <f t="array" ref="G1641">_xlfn.XLOOKUP(A1642,Product!A:A,Product!D:D,"Bulunamadı")</f>
        <v>Greenfield Press</v>
      </c>
      <c r="H1641" s="2">
        <f t="array" ref="H1641">_xlfn.XLOOKUP(A1643,Product!A:A,Product!E:E,"Bulunamadı")</f>
        <v>7.46</v>
      </c>
      <c r="I1641" s="2" t="str">
        <f t="shared" si="1"/>
        <v>81229 - Fiction - History of Technology</v>
      </c>
      <c r="J1641" s="2">
        <f t="shared" si="2"/>
        <v>1790.4</v>
      </c>
      <c r="K1641" s="17">
        <f t="shared" si="3"/>
        <v>1</v>
      </c>
      <c r="L1641" s="18"/>
    </row>
    <row r="1642" hidden="1">
      <c r="A1642" s="2">
        <f>IFERROR(__xludf.DUMMYFUNCTION("""COMPUTED_VALUE"""),120563.0)</f>
        <v>120563</v>
      </c>
      <c r="B1642" s="2">
        <f>IFERROR(__xludf.DUMMYFUNCTION("""COMPUTED_VALUE"""),1.0)</f>
        <v>1</v>
      </c>
      <c r="C1642" s="2">
        <f>IFERROR(__xludf.DUMMYFUNCTION("""COMPUTED_VALUE"""),193.0)</f>
        <v>193</v>
      </c>
      <c r="D1642" s="3">
        <f>IFERROR(__xludf.DUMMYFUNCTION("""COMPUTED_VALUE"""),111.0)</f>
        <v>111</v>
      </c>
      <c r="E1642" s="1" t="str">
        <f t="array" ref="E1642">_xlfn.XLOOKUP(A1642,Product!A:A,Product!B:B,"Bulunamadı")</f>
        <v>Fiction</v>
      </c>
      <c r="F1642" s="1" t="str">
        <f t="array" ref="F1642">_xlfn.XLOOKUP(A1642,Product!A:A,Product!C:C,"Bulunamadı")</f>
        <v>History of Technology</v>
      </c>
      <c r="G1642" s="2" t="str">
        <f t="array" ref="G1642">_xlfn.XLOOKUP(A1643,Product!A:A,Product!D:D,"Bulunamadı")</f>
        <v>Silverfield Publishing</v>
      </c>
      <c r="H1642" s="2">
        <f t="array" ref="H1642">_xlfn.XLOOKUP(A1644,Product!A:A,Product!E:E,"Bulunamadı")</f>
        <v>2.12</v>
      </c>
      <c r="I1642" s="2" t="str">
        <f t="shared" si="1"/>
        <v>120563 - Fiction - History of Technology</v>
      </c>
      <c r="J1642" s="2">
        <f t="shared" si="2"/>
        <v>235.32</v>
      </c>
      <c r="K1642" s="17">
        <f t="shared" si="3"/>
        <v>1</v>
      </c>
      <c r="L1642" s="18"/>
    </row>
    <row r="1643" hidden="1">
      <c r="A1643" s="2">
        <f>IFERROR(__xludf.DUMMYFUNCTION("""COMPUTED_VALUE"""),122290.0)</f>
        <v>122290</v>
      </c>
      <c r="B1643" s="2">
        <f>IFERROR(__xludf.DUMMYFUNCTION("""COMPUTED_VALUE"""),1.0)</f>
        <v>1</v>
      </c>
      <c r="C1643" s="2">
        <f>IFERROR(__xludf.DUMMYFUNCTION("""COMPUTED_VALUE"""),297.0)</f>
        <v>297</v>
      </c>
      <c r="D1643" s="3">
        <f>IFERROR(__xludf.DUMMYFUNCTION("""COMPUTED_VALUE"""),144.0)</f>
        <v>144</v>
      </c>
      <c r="E1643" s="1" t="str">
        <f t="array" ref="E1643">_xlfn.XLOOKUP(A1643,Product!A:A,Product!B:B,"Bulunamadı")</f>
        <v>Fiction</v>
      </c>
      <c r="F1643" s="1" t="str">
        <f t="array" ref="F1643">_xlfn.XLOOKUP(A1643,Product!A:A,Product!C:C,"Bulunamadı")</f>
        <v>History of Technology</v>
      </c>
      <c r="G1643" s="2" t="str">
        <f t="array" ref="G1643">_xlfn.XLOOKUP(A1644,Product!A:A,Product!D:D,"Bulunamadı")</f>
        <v>Silverfield Publishing</v>
      </c>
      <c r="H1643" s="2">
        <f t="array" ref="H1643">_xlfn.XLOOKUP(A1645,Product!A:A,Product!E:E,"Bulunamadı")</f>
        <v>7.59</v>
      </c>
      <c r="I1643" s="2" t="str">
        <f t="shared" si="1"/>
        <v>122290 - Fiction - History of Technology</v>
      </c>
      <c r="J1643" s="2">
        <f t="shared" si="2"/>
        <v>1092.96</v>
      </c>
      <c r="K1643" s="17">
        <f t="shared" si="3"/>
        <v>1</v>
      </c>
      <c r="L1643" s="18"/>
    </row>
    <row r="1644" hidden="1">
      <c r="A1644" s="2">
        <f>IFERROR(__xludf.DUMMYFUNCTION("""COMPUTED_VALUE"""),122373.0)</f>
        <v>122373</v>
      </c>
      <c r="B1644" s="2">
        <f>IFERROR(__xludf.DUMMYFUNCTION("""COMPUTED_VALUE"""),0.0)</f>
        <v>0</v>
      </c>
      <c r="C1644" s="2">
        <f>IFERROR(__xludf.DUMMYFUNCTION("""COMPUTED_VALUE"""),747.0)</f>
        <v>747</v>
      </c>
      <c r="D1644" s="3">
        <f>IFERROR(__xludf.DUMMYFUNCTION("""COMPUTED_VALUE"""),169.0)</f>
        <v>169</v>
      </c>
      <c r="E1644" s="1" t="str">
        <f t="array" ref="E1644">_xlfn.XLOOKUP(A1644,Product!A:A,Product!B:B,"Bulunamadı")</f>
        <v>Fiction</v>
      </c>
      <c r="F1644" s="1" t="str">
        <f t="array" ref="F1644">_xlfn.XLOOKUP(A1644,Product!A:A,Product!C:C,"Bulunamadı")</f>
        <v>History of Technology</v>
      </c>
      <c r="G1644" s="2" t="str">
        <f t="array" ref="G1644">_xlfn.XLOOKUP(A1645,Product!A:A,Product!D:D,"Bulunamadı")</f>
        <v>Silverfield Publishing</v>
      </c>
      <c r="H1644" s="2">
        <f t="array" ref="H1644">_xlfn.XLOOKUP(A1646,Product!A:A,Product!E:E,"Bulunamadı")</f>
        <v>6.2</v>
      </c>
      <c r="I1644" s="2" t="str">
        <f t="shared" si="1"/>
        <v>122373 - Fiction - History of Technology</v>
      </c>
      <c r="J1644" s="2">
        <f t="shared" si="2"/>
        <v>1047.8</v>
      </c>
      <c r="K1644" s="17">
        <f t="shared" si="3"/>
        <v>1</v>
      </c>
      <c r="L1644" s="18"/>
    </row>
    <row r="1645" hidden="1">
      <c r="A1645" s="2">
        <f>IFERROR(__xludf.DUMMYFUNCTION("""COMPUTED_VALUE"""),117830.0)</f>
        <v>117830</v>
      </c>
      <c r="B1645" s="2">
        <f>IFERROR(__xludf.DUMMYFUNCTION("""COMPUTED_VALUE"""),0.0)</f>
        <v>0</v>
      </c>
      <c r="C1645" s="2">
        <f>IFERROR(__xludf.DUMMYFUNCTION("""COMPUTED_VALUE"""),761.0)</f>
        <v>761</v>
      </c>
      <c r="D1645" s="3">
        <f>IFERROR(__xludf.DUMMYFUNCTION("""COMPUTED_VALUE"""),13.0)</f>
        <v>13</v>
      </c>
      <c r="E1645" s="1" t="str">
        <f t="array" ref="E1645">_xlfn.XLOOKUP(A1645,Product!A:A,Product!B:B,"Bulunamadı")</f>
        <v>Fiction</v>
      </c>
      <c r="F1645" s="1" t="str">
        <f t="array" ref="F1645">_xlfn.XLOOKUP(A1645,Product!A:A,Product!C:C,"Bulunamadı")</f>
        <v>History of Technology</v>
      </c>
      <c r="G1645" s="2" t="str">
        <f t="array" ref="G1645">_xlfn.XLOOKUP(A1646,Product!A:A,Product!D:D,"Bulunamadı")</f>
        <v>Silverfield Publishing</v>
      </c>
      <c r="H1645" s="2">
        <f t="array" ref="H1645">_xlfn.XLOOKUP(A1647,Product!A:A,Product!E:E,"Bulunamadı")</f>
        <v>7.25</v>
      </c>
      <c r="I1645" s="2" t="str">
        <f t="shared" si="1"/>
        <v>117830 - Fiction - History of Technology</v>
      </c>
      <c r="J1645" s="2">
        <f t="shared" si="2"/>
        <v>94.25</v>
      </c>
      <c r="K1645" s="17">
        <f t="shared" si="3"/>
        <v>1</v>
      </c>
      <c r="L1645" s="18"/>
    </row>
    <row r="1646" hidden="1">
      <c r="A1646" s="2">
        <f>IFERROR(__xludf.DUMMYFUNCTION("""COMPUTED_VALUE"""),109008.0)</f>
        <v>109008</v>
      </c>
      <c r="B1646" s="2">
        <f>IFERROR(__xludf.DUMMYFUNCTION("""COMPUTED_VALUE"""),0.0)</f>
        <v>0</v>
      </c>
      <c r="C1646" s="2">
        <f>IFERROR(__xludf.DUMMYFUNCTION("""COMPUTED_VALUE"""),30.0)</f>
        <v>30</v>
      </c>
      <c r="D1646" s="3">
        <f>IFERROR(__xludf.DUMMYFUNCTION("""COMPUTED_VALUE"""),11.0)</f>
        <v>11</v>
      </c>
      <c r="E1646" s="1" t="str">
        <f t="array" ref="E1646">_xlfn.XLOOKUP(A1646,Product!A:A,Product!B:B,"Bulunamadı")</f>
        <v>Fiction</v>
      </c>
      <c r="F1646" s="1" t="str">
        <f t="array" ref="F1646">_xlfn.XLOOKUP(A1646,Product!A:A,Product!C:C,"Bulunamadı")</f>
        <v>History of Technology</v>
      </c>
      <c r="G1646" s="2" t="str">
        <f t="array" ref="G1646">_xlfn.XLOOKUP(A1647,Product!A:A,Product!D:D,"Bulunamadı")</f>
        <v>Silverfield Publishing</v>
      </c>
      <c r="H1646" s="2">
        <f t="array" ref="H1646">_xlfn.XLOOKUP(A1648,Product!A:A,Product!E:E,"Bulunamadı")</f>
        <v>3.12</v>
      </c>
      <c r="I1646" s="2" t="str">
        <f t="shared" si="1"/>
        <v>109008 - Fiction - History of Technology</v>
      </c>
      <c r="J1646" s="2">
        <f t="shared" si="2"/>
        <v>34.32</v>
      </c>
      <c r="K1646" s="17">
        <f t="shared" si="3"/>
        <v>1</v>
      </c>
      <c r="L1646" s="18"/>
    </row>
    <row r="1647" hidden="1">
      <c r="A1647" s="2">
        <f>IFERROR(__xludf.DUMMYFUNCTION("""COMPUTED_VALUE"""),122371.0)</f>
        <v>122371</v>
      </c>
      <c r="B1647" s="2">
        <f>IFERROR(__xludf.DUMMYFUNCTION("""COMPUTED_VALUE"""),1.0)</f>
        <v>1</v>
      </c>
      <c r="C1647" s="2">
        <f>IFERROR(__xludf.DUMMYFUNCTION("""COMPUTED_VALUE"""),957.0)</f>
        <v>957</v>
      </c>
      <c r="D1647" s="3">
        <f>IFERROR(__xludf.DUMMYFUNCTION("""COMPUTED_VALUE"""),493.0)</f>
        <v>493</v>
      </c>
      <c r="E1647" s="1" t="str">
        <f t="array" ref="E1647">_xlfn.XLOOKUP(A1647,Product!A:A,Product!B:B,"Bulunamadı")</f>
        <v>Fiction</v>
      </c>
      <c r="F1647" s="1" t="str">
        <f t="array" ref="F1647">_xlfn.XLOOKUP(A1647,Product!A:A,Product!C:C,"Bulunamadı")</f>
        <v>History of Technology</v>
      </c>
      <c r="G1647" s="2" t="str">
        <f t="array" ref="G1647">_xlfn.XLOOKUP(A1648,Product!A:A,Product!D:D,"Bulunamadı")</f>
        <v>Silverfield Publishing</v>
      </c>
      <c r="H1647" s="2">
        <f t="array" ref="H1647">_xlfn.XLOOKUP(A1649,Product!A:A,Product!E:E,"Bulunamadı")</f>
        <v>3.35</v>
      </c>
      <c r="I1647" s="2" t="str">
        <f t="shared" si="1"/>
        <v>122371 - Fiction - History of Technology</v>
      </c>
      <c r="J1647" s="2">
        <f t="shared" si="2"/>
        <v>1651.55</v>
      </c>
      <c r="K1647" s="17">
        <f t="shared" si="3"/>
        <v>1</v>
      </c>
      <c r="L1647" s="18"/>
    </row>
    <row r="1648" hidden="1">
      <c r="A1648" s="2">
        <f>IFERROR(__xludf.DUMMYFUNCTION("""COMPUTED_VALUE"""),109012.0)</f>
        <v>109012</v>
      </c>
      <c r="B1648" s="2">
        <f>IFERROR(__xludf.DUMMYFUNCTION("""COMPUTED_VALUE"""),1.0)</f>
        <v>1</v>
      </c>
      <c r="C1648" s="2">
        <f>IFERROR(__xludf.DUMMYFUNCTION("""COMPUTED_VALUE"""),624.0)</f>
        <v>624</v>
      </c>
      <c r="D1648" s="3">
        <f>IFERROR(__xludf.DUMMYFUNCTION("""COMPUTED_VALUE"""),536.0)</f>
        <v>536</v>
      </c>
      <c r="E1648" s="1" t="str">
        <f t="array" ref="E1648">_xlfn.XLOOKUP(A1648,Product!A:A,Product!B:B,"Bulunamadı")</f>
        <v>Fiction</v>
      </c>
      <c r="F1648" s="1" t="str">
        <f t="array" ref="F1648">_xlfn.XLOOKUP(A1648,Product!A:A,Product!C:C,"Bulunamadı")</f>
        <v>History of Technology</v>
      </c>
      <c r="G1648" s="2" t="str">
        <f t="array" ref="G1648">_xlfn.XLOOKUP(A1649,Product!A:A,Product!D:D,"Bulunamadı")</f>
        <v>Silverfield Publishing</v>
      </c>
      <c r="H1648" s="2">
        <f t="array" ref="H1648">_xlfn.XLOOKUP(A1650,Product!A:A,Product!E:E,"Bulunamadı")</f>
        <v>6.45</v>
      </c>
      <c r="I1648" s="2" t="str">
        <f t="shared" si="1"/>
        <v>109012 - Fiction - History of Technology</v>
      </c>
      <c r="J1648" s="2">
        <f t="shared" si="2"/>
        <v>3457.2</v>
      </c>
      <c r="K1648" s="17">
        <f t="shared" si="3"/>
        <v>1</v>
      </c>
      <c r="L1648" s="18"/>
    </row>
    <row r="1649" hidden="1">
      <c r="A1649" s="2">
        <f>IFERROR(__xludf.DUMMYFUNCTION("""COMPUTED_VALUE"""),156047.0)</f>
        <v>156047</v>
      </c>
      <c r="B1649" s="2">
        <f>IFERROR(__xludf.DUMMYFUNCTION("""COMPUTED_VALUE"""),0.0)</f>
        <v>0</v>
      </c>
      <c r="C1649" s="2">
        <f>IFERROR(__xludf.DUMMYFUNCTION("""COMPUTED_VALUE"""),773.0)</f>
        <v>773</v>
      </c>
      <c r="D1649" s="3">
        <f>IFERROR(__xludf.DUMMYFUNCTION("""COMPUTED_VALUE"""),509.0)</f>
        <v>509</v>
      </c>
      <c r="E1649" s="1" t="str">
        <f t="array" ref="E1649">_xlfn.XLOOKUP(A1649,Product!A:A,Product!B:B,"Bulunamadı")</f>
        <v>Fiction</v>
      </c>
      <c r="F1649" s="1" t="str">
        <f t="array" ref="F1649">_xlfn.XLOOKUP(A1649,Product!A:A,Product!C:C,"Bulunamadı")</f>
        <v>History of Technology</v>
      </c>
      <c r="G1649" s="2" t="str">
        <f t="array" ref="G1649">_xlfn.XLOOKUP(A1650,Product!A:A,Product!D:D,"Bulunamadı")</f>
        <v>Silverfield Publishing</v>
      </c>
      <c r="H1649" s="2">
        <f t="array" ref="H1649">_xlfn.XLOOKUP(A1651,Product!A:A,Product!E:E,"Bulunamadı")</f>
        <v>6.34</v>
      </c>
      <c r="I1649" s="2" t="str">
        <f t="shared" si="1"/>
        <v>156047 - Fiction - History of Technology</v>
      </c>
      <c r="J1649" s="2">
        <f t="shared" si="2"/>
        <v>3227.06</v>
      </c>
      <c r="K1649" s="17">
        <f t="shared" si="3"/>
        <v>1</v>
      </c>
      <c r="L1649" s="18"/>
    </row>
    <row r="1650" hidden="1">
      <c r="A1650" s="2">
        <f>IFERROR(__xludf.DUMMYFUNCTION("""COMPUTED_VALUE"""),117839.0)</f>
        <v>117839</v>
      </c>
      <c r="B1650" s="2">
        <f>IFERROR(__xludf.DUMMYFUNCTION("""COMPUTED_VALUE"""),0.0)</f>
        <v>0</v>
      </c>
      <c r="C1650" s="2">
        <f>IFERROR(__xludf.DUMMYFUNCTION("""COMPUTED_VALUE"""),416.0)</f>
        <v>416</v>
      </c>
      <c r="D1650" s="3">
        <f>IFERROR(__xludf.DUMMYFUNCTION("""COMPUTED_VALUE"""),190.0)</f>
        <v>190</v>
      </c>
      <c r="E1650" s="1" t="str">
        <f t="array" ref="E1650">_xlfn.XLOOKUP(A1650,Product!A:A,Product!B:B,"Bulunamadı")</f>
        <v>Fiction</v>
      </c>
      <c r="F1650" s="1" t="str">
        <f t="array" ref="F1650">_xlfn.XLOOKUP(A1650,Product!A:A,Product!C:C,"Bulunamadı")</f>
        <v>History of Technology</v>
      </c>
      <c r="G1650" s="2" t="str">
        <f t="array" ref="G1650">_xlfn.XLOOKUP(A1651,Product!A:A,Product!D:D,"Bulunamadı")</f>
        <v>Silverfield Publishing</v>
      </c>
      <c r="H1650" s="2">
        <f t="array" ref="H1650">_xlfn.XLOOKUP(A1652,Product!A:A,Product!E:E,"Bulunamadı")</f>
        <v>2.73</v>
      </c>
      <c r="I1650" s="2" t="str">
        <f t="shared" si="1"/>
        <v>117839 - Fiction - History of Technology</v>
      </c>
      <c r="J1650" s="2">
        <f t="shared" si="2"/>
        <v>518.7</v>
      </c>
      <c r="K1650" s="17">
        <f t="shared" si="3"/>
        <v>1</v>
      </c>
      <c r="L1650" s="18"/>
    </row>
    <row r="1651" hidden="1">
      <c r="A1651" s="2">
        <f>IFERROR(__xludf.DUMMYFUNCTION("""COMPUTED_VALUE"""),156051.0)</f>
        <v>156051</v>
      </c>
      <c r="B1651" s="2">
        <f>IFERROR(__xludf.DUMMYFUNCTION("""COMPUTED_VALUE"""),0.0)</f>
        <v>0</v>
      </c>
      <c r="C1651" s="2">
        <f>IFERROR(__xludf.DUMMYFUNCTION("""COMPUTED_VALUE"""),25.0)</f>
        <v>25</v>
      </c>
      <c r="D1651" s="3">
        <f>IFERROR(__xludf.DUMMYFUNCTION("""COMPUTED_VALUE"""),20.0)</f>
        <v>20</v>
      </c>
      <c r="E1651" s="1" t="str">
        <f t="array" ref="E1651">_xlfn.XLOOKUP(A1651,Product!A:A,Product!B:B,"Bulunamadı")</f>
        <v>Fiction</v>
      </c>
      <c r="F1651" s="1" t="str">
        <f t="array" ref="F1651">_xlfn.XLOOKUP(A1651,Product!A:A,Product!C:C,"Bulunamadı")</f>
        <v>History of Technology</v>
      </c>
      <c r="G1651" s="2" t="str">
        <f t="array" ref="G1651">_xlfn.XLOOKUP(A1652,Product!A:A,Product!D:D,"Bulunamadı")</f>
        <v>Silverfield Publishing</v>
      </c>
      <c r="H1651" s="2">
        <f t="array" ref="H1651">_xlfn.XLOOKUP(A1653,Product!A:A,Product!E:E,"Bulunamadı")</f>
        <v>2.88</v>
      </c>
      <c r="I1651" s="2" t="str">
        <f t="shared" si="1"/>
        <v>156051 - Fiction - History of Technology</v>
      </c>
      <c r="J1651" s="2">
        <f t="shared" si="2"/>
        <v>57.6</v>
      </c>
      <c r="K1651" s="17">
        <f t="shared" si="3"/>
        <v>1</v>
      </c>
      <c r="L1651" s="18"/>
    </row>
    <row r="1652" hidden="1">
      <c r="A1652" s="2">
        <f>IFERROR(__xludf.DUMMYFUNCTION("""COMPUTED_VALUE"""),156048.0)</f>
        <v>156048</v>
      </c>
      <c r="B1652" s="2">
        <f>IFERROR(__xludf.DUMMYFUNCTION("""COMPUTED_VALUE"""),0.0)</f>
        <v>0</v>
      </c>
      <c r="C1652" s="2">
        <f>IFERROR(__xludf.DUMMYFUNCTION("""COMPUTED_VALUE"""),44.0)</f>
        <v>44</v>
      </c>
      <c r="D1652" s="3">
        <f>IFERROR(__xludf.DUMMYFUNCTION("""COMPUTED_VALUE"""),31.0)</f>
        <v>31</v>
      </c>
      <c r="E1652" s="1" t="str">
        <f t="array" ref="E1652">_xlfn.XLOOKUP(A1652,Product!A:A,Product!B:B,"Bulunamadı")</f>
        <v>Fiction</v>
      </c>
      <c r="F1652" s="1" t="str">
        <f t="array" ref="F1652">_xlfn.XLOOKUP(A1652,Product!A:A,Product!C:C,"Bulunamadı")</f>
        <v>History of Technology</v>
      </c>
      <c r="G1652" s="2" t="str">
        <f t="array" ref="G1652">_xlfn.XLOOKUP(A1653,Product!A:A,Product!D:D,"Bulunamadı")</f>
        <v>Silverfield Publishing</v>
      </c>
      <c r="H1652" s="2">
        <f t="array" ref="H1652">_xlfn.XLOOKUP(A1654,Product!A:A,Product!E:E,"Bulunamadı")</f>
        <v>3.81</v>
      </c>
      <c r="I1652" s="2" t="str">
        <f t="shared" si="1"/>
        <v>156048 - Fiction - History of Technology</v>
      </c>
      <c r="J1652" s="2">
        <f t="shared" si="2"/>
        <v>118.11</v>
      </c>
      <c r="K1652" s="17">
        <f t="shared" si="3"/>
        <v>1</v>
      </c>
      <c r="L1652" s="18"/>
    </row>
    <row r="1653" hidden="1">
      <c r="A1653" s="2">
        <f>IFERROR(__xludf.DUMMYFUNCTION("""COMPUTED_VALUE"""),117832.0)</f>
        <v>117832</v>
      </c>
      <c r="B1653" s="2">
        <f>IFERROR(__xludf.DUMMYFUNCTION("""COMPUTED_VALUE"""),0.0)</f>
        <v>0</v>
      </c>
      <c r="C1653" s="2">
        <f>IFERROR(__xludf.DUMMYFUNCTION("""COMPUTED_VALUE"""),951.0)</f>
        <v>951</v>
      </c>
      <c r="D1653" s="3">
        <f>IFERROR(__xludf.DUMMYFUNCTION("""COMPUTED_VALUE"""),411.0)</f>
        <v>411</v>
      </c>
      <c r="E1653" s="1" t="str">
        <f t="array" ref="E1653">_xlfn.XLOOKUP(A1653,Product!A:A,Product!B:B,"Bulunamadı")</f>
        <v>Fiction</v>
      </c>
      <c r="F1653" s="1" t="str">
        <f t="array" ref="F1653">_xlfn.XLOOKUP(A1653,Product!A:A,Product!C:C,"Bulunamadı")</f>
        <v>History of Technology</v>
      </c>
      <c r="G1653" s="2" t="str">
        <f t="array" ref="G1653">_xlfn.XLOOKUP(A1654,Product!A:A,Product!D:D,"Bulunamadı")</f>
        <v>Northgate Books</v>
      </c>
      <c r="H1653" s="2">
        <f t="array" ref="H1653">_xlfn.XLOOKUP(A1655,Product!A:A,Product!E:E,"Bulunamadı")</f>
        <v>3.7</v>
      </c>
      <c r="I1653" s="2" t="str">
        <f t="shared" si="1"/>
        <v>117832 - Fiction - History of Technology</v>
      </c>
      <c r="J1653" s="2">
        <f t="shared" si="2"/>
        <v>1520.7</v>
      </c>
      <c r="K1653" s="17">
        <f t="shared" si="3"/>
        <v>1</v>
      </c>
      <c r="L1653" s="18"/>
    </row>
    <row r="1654" hidden="1">
      <c r="A1654" s="2">
        <f>IFERROR(__xludf.DUMMYFUNCTION("""COMPUTED_VALUE"""),117877.0)</f>
        <v>117877</v>
      </c>
      <c r="B1654" s="2">
        <f>IFERROR(__xludf.DUMMYFUNCTION("""COMPUTED_VALUE"""),1.0)</f>
        <v>1</v>
      </c>
      <c r="C1654" s="2">
        <f>IFERROR(__xludf.DUMMYFUNCTION("""COMPUTED_VALUE"""),817.0)</f>
        <v>817</v>
      </c>
      <c r="D1654" s="3">
        <f>IFERROR(__xludf.DUMMYFUNCTION("""COMPUTED_VALUE"""),624.0)</f>
        <v>624</v>
      </c>
      <c r="E1654" s="1" t="str">
        <f t="array" ref="E1654">_xlfn.XLOOKUP(A1654,Product!A:A,Product!B:B,"Bulunamadı")</f>
        <v>Fiction</v>
      </c>
      <c r="F1654" s="1" t="str">
        <f t="array" ref="F1654">_xlfn.XLOOKUP(A1654,Product!A:A,Product!C:C,"Bulunamadı")</f>
        <v>History of Technology</v>
      </c>
      <c r="G1654" s="2" t="str">
        <f t="array" ref="G1654">_xlfn.XLOOKUP(A1655,Product!A:A,Product!D:D,"Bulunamadı")</f>
        <v>Northgate Books</v>
      </c>
      <c r="H1654" s="2">
        <f t="array" ref="H1654">_xlfn.XLOOKUP(A1656,Product!A:A,Product!E:E,"Bulunamadı")</f>
        <v>3.92</v>
      </c>
      <c r="I1654" s="2" t="str">
        <f t="shared" si="1"/>
        <v>117877 - Fiction - History of Technology</v>
      </c>
      <c r="J1654" s="2">
        <f t="shared" si="2"/>
        <v>2446.08</v>
      </c>
      <c r="K1654" s="17">
        <f t="shared" si="3"/>
        <v>1</v>
      </c>
      <c r="L1654" s="18"/>
    </row>
    <row r="1655" hidden="1">
      <c r="A1655" s="2">
        <f>IFERROR(__xludf.DUMMYFUNCTION("""COMPUTED_VALUE"""),117876.0)</f>
        <v>117876</v>
      </c>
      <c r="B1655" s="2">
        <f>IFERROR(__xludf.DUMMYFUNCTION("""COMPUTED_VALUE"""),0.0)</f>
        <v>0</v>
      </c>
      <c r="C1655" s="2">
        <f>IFERROR(__xludf.DUMMYFUNCTION("""COMPUTED_VALUE"""),396.0)</f>
        <v>396</v>
      </c>
      <c r="D1655" s="3">
        <f>IFERROR(__xludf.DUMMYFUNCTION("""COMPUTED_VALUE"""),284.0)</f>
        <v>284</v>
      </c>
      <c r="E1655" s="1" t="str">
        <f t="array" ref="E1655">_xlfn.XLOOKUP(A1655,Product!A:A,Product!B:B,"Bulunamadı")</f>
        <v>Fiction</v>
      </c>
      <c r="F1655" s="1" t="str">
        <f t="array" ref="F1655">_xlfn.XLOOKUP(A1655,Product!A:A,Product!C:C,"Bulunamadı")</f>
        <v>History of Technology</v>
      </c>
      <c r="G1655" s="2" t="str">
        <f t="array" ref="G1655">_xlfn.XLOOKUP(A1656,Product!A:A,Product!D:D,"Bulunamadı")</f>
        <v>Northgate Books</v>
      </c>
      <c r="H1655" s="2">
        <f t="array" ref="H1655">_xlfn.XLOOKUP(A1657,Product!A:A,Product!E:E,"Bulunamadı")</f>
        <v>13.39</v>
      </c>
      <c r="I1655" s="2" t="str">
        <f t="shared" si="1"/>
        <v>117876 - Fiction - History of Technology</v>
      </c>
      <c r="J1655" s="2">
        <f t="shared" si="2"/>
        <v>3802.76</v>
      </c>
      <c r="K1655" s="17">
        <f t="shared" si="3"/>
        <v>1</v>
      </c>
      <c r="L1655" s="18"/>
    </row>
    <row r="1656" hidden="1">
      <c r="A1656" s="2">
        <f>IFERROR(__xludf.DUMMYFUNCTION("""COMPUTED_VALUE"""),83507.0)</f>
        <v>83507</v>
      </c>
      <c r="B1656" s="2">
        <f>IFERROR(__xludf.DUMMYFUNCTION("""COMPUTED_VALUE"""),0.0)</f>
        <v>0</v>
      </c>
      <c r="C1656" s="2">
        <f>IFERROR(__xludf.DUMMYFUNCTION("""COMPUTED_VALUE"""),609.0)</f>
        <v>609</v>
      </c>
      <c r="D1656" s="3">
        <f>IFERROR(__xludf.DUMMYFUNCTION("""COMPUTED_VALUE"""),353.0)</f>
        <v>353</v>
      </c>
      <c r="E1656" s="1" t="str">
        <f t="array" ref="E1656">_xlfn.XLOOKUP(A1656,Product!A:A,Product!B:B,"Bulunamadı")</f>
        <v>Fiction</v>
      </c>
      <c r="F1656" s="1" t="str">
        <f t="array" ref="F1656">_xlfn.XLOOKUP(A1656,Product!A:A,Product!C:C,"Bulunamadı")</f>
        <v>History of Technology</v>
      </c>
      <c r="G1656" s="2" t="str">
        <f t="array" ref="G1656">_xlfn.XLOOKUP(A1657,Product!A:A,Product!D:D,"Bulunamadı")</f>
        <v>Harborstone Press</v>
      </c>
      <c r="H1656" s="2">
        <f t="array" ref="H1656">_xlfn.XLOOKUP(A1658,Product!A:A,Product!E:E,"Bulunamadı")</f>
        <v>16.15</v>
      </c>
      <c r="I1656" s="2" t="str">
        <f t="shared" si="1"/>
        <v>83507 - Fiction - History of Technology</v>
      </c>
      <c r="J1656" s="2">
        <f t="shared" si="2"/>
        <v>5700.95</v>
      </c>
      <c r="K1656" s="17">
        <f t="shared" si="3"/>
        <v>1</v>
      </c>
      <c r="L1656" s="18"/>
    </row>
    <row r="1657" hidden="1">
      <c r="A1657" s="2">
        <f>IFERROR(__xludf.DUMMYFUNCTION("""COMPUTED_VALUE"""),121285.0)</f>
        <v>121285</v>
      </c>
      <c r="B1657" s="2">
        <f>IFERROR(__xludf.DUMMYFUNCTION("""COMPUTED_VALUE"""),0.0)</f>
        <v>0</v>
      </c>
      <c r="C1657" s="2">
        <f>IFERROR(__xludf.DUMMYFUNCTION("""COMPUTED_VALUE"""),770.0)</f>
        <v>770</v>
      </c>
      <c r="D1657" s="3">
        <f>IFERROR(__xludf.DUMMYFUNCTION("""COMPUTED_VALUE"""),401.0)</f>
        <v>401</v>
      </c>
      <c r="E1657" s="1" t="str">
        <f t="array" ref="E1657">_xlfn.XLOOKUP(A1657,Product!A:A,Product!B:B,"Bulunamadı")</f>
        <v>Fiction</v>
      </c>
      <c r="F1657" s="1" t="str">
        <f t="array" ref="F1657">_xlfn.XLOOKUP(A1657,Product!A:A,Product!C:C,"Bulunamadı")</f>
        <v>History of Technology</v>
      </c>
      <c r="G1657" s="2" t="str">
        <f t="array" ref="G1657">_xlfn.XLOOKUP(A1658,Product!A:A,Product!D:D,"Bulunamadı")</f>
        <v>Harborstone Press</v>
      </c>
      <c r="H1657" s="2">
        <f t="array" ref="H1657">_xlfn.XLOOKUP(A1659,Product!A:A,Product!E:E,"Bulunamadı")</f>
        <v>2.66</v>
      </c>
      <c r="I1657" s="2" t="str">
        <f t="shared" si="1"/>
        <v>121285 - Fiction - History of Technology</v>
      </c>
      <c r="J1657" s="2">
        <f t="shared" si="2"/>
        <v>1066.66</v>
      </c>
      <c r="K1657" s="17">
        <f t="shared" si="3"/>
        <v>1</v>
      </c>
      <c r="L1657" s="18"/>
    </row>
    <row r="1658" hidden="1">
      <c r="A1658" s="2">
        <f>IFERROR(__xludf.DUMMYFUNCTION("""COMPUTED_VALUE"""),122684.0)</f>
        <v>122684</v>
      </c>
      <c r="B1658" s="2">
        <f>IFERROR(__xludf.DUMMYFUNCTION("""COMPUTED_VALUE"""),1.0)</f>
        <v>1</v>
      </c>
      <c r="C1658" s="2">
        <f>IFERROR(__xludf.DUMMYFUNCTION("""COMPUTED_VALUE"""),418.0)</f>
        <v>418</v>
      </c>
      <c r="D1658" s="3">
        <f>IFERROR(__xludf.DUMMYFUNCTION("""COMPUTED_VALUE"""),118.0)</f>
        <v>118</v>
      </c>
      <c r="E1658" s="1" t="str">
        <f t="array" ref="E1658">_xlfn.XLOOKUP(A1658,Product!A:A,Product!B:B,"Bulunamadı")</f>
        <v>Fiction</v>
      </c>
      <c r="F1658" s="1" t="str">
        <f t="array" ref="F1658">_xlfn.XLOOKUP(A1658,Product!A:A,Product!C:C,"Bulunamadı")</f>
        <v>History of Technology</v>
      </c>
      <c r="G1658" s="2" t="str">
        <f t="array" ref="G1658">_xlfn.XLOOKUP(A1659,Product!A:A,Product!D:D,"Bulunamadı")</f>
        <v>Harborstone Press</v>
      </c>
      <c r="H1658" s="2">
        <f t="array" ref="H1658">_xlfn.XLOOKUP(A1660,Product!A:A,Product!E:E,"Bulunamadı")</f>
        <v>12.79</v>
      </c>
      <c r="I1658" s="2" t="str">
        <f t="shared" si="1"/>
        <v>122684 - Fiction - History of Technology</v>
      </c>
      <c r="J1658" s="2">
        <f t="shared" si="2"/>
        <v>1509.22</v>
      </c>
      <c r="K1658" s="17">
        <f t="shared" si="3"/>
        <v>1</v>
      </c>
      <c r="L1658" s="18"/>
    </row>
    <row r="1659" hidden="1">
      <c r="A1659" s="2">
        <f>IFERROR(__xludf.DUMMYFUNCTION("""COMPUTED_VALUE"""),116615.0)</f>
        <v>116615</v>
      </c>
      <c r="B1659" s="2">
        <f>IFERROR(__xludf.DUMMYFUNCTION("""COMPUTED_VALUE"""),1.0)</f>
        <v>1</v>
      </c>
      <c r="C1659" s="2">
        <f>IFERROR(__xludf.DUMMYFUNCTION("""COMPUTED_VALUE"""),720.0)</f>
        <v>720</v>
      </c>
      <c r="D1659" s="3">
        <f>IFERROR(__xludf.DUMMYFUNCTION("""COMPUTED_VALUE"""),93.0)</f>
        <v>93</v>
      </c>
      <c r="E1659" s="1" t="str">
        <f t="array" ref="E1659">_xlfn.XLOOKUP(A1659,Product!A:A,Product!B:B,"Bulunamadı")</f>
        <v>Fiction</v>
      </c>
      <c r="F1659" s="1" t="str">
        <f t="array" ref="F1659">_xlfn.XLOOKUP(A1659,Product!A:A,Product!C:C,"Bulunamadı")</f>
        <v>History of Technology</v>
      </c>
      <c r="G1659" s="2" t="str">
        <f t="array" ref="G1659">_xlfn.XLOOKUP(A1660,Product!A:A,Product!D:D,"Bulunamadı")</f>
        <v>Harborstone Press</v>
      </c>
      <c r="H1659" s="2">
        <f t="array" ref="H1659">_xlfn.XLOOKUP(A1661,Product!A:A,Product!E:E,"Bulunamadı")</f>
        <v>15.29</v>
      </c>
      <c r="I1659" s="2" t="str">
        <f t="shared" si="1"/>
        <v>116615 - Fiction - History of Technology</v>
      </c>
      <c r="J1659" s="2">
        <f t="shared" si="2"/>
        <v>1421.97</v>
      </c>
      <c r="K1659" s="17">
        <f t="shared" si="3"/>
        <v>1</v>
      </c>
      <c r="L1659" s="18"/>
    </row>
    <row r="1660" hidden="1">
      <c r="A1660" s="2">
        <f>IFERROR(__xludf.DUMMYFUNCTION("""COMPUTED_VALUE"""),121083.0)</f>
        <v>121083</v>
      </c>
      <c r="B1660" s="2">
        <f>IFERROR(__xludf.DUMMYFUNCTION("""COMPUTED_VALUE"""),0.0)</f>
        <v>0</v>
      </c>
      <c r="C1660" s="2">
        <f>IFERROR(__xludf.DUMMYFUNCTION("""COMPUTED_VALUE"""),659.0)</f>
        <v>659</v>
      </c>
      <c r="D1660" s="3">
        <f>IFERROR(__xludf.DUMMYFUNCTION("""COMPUTED_VALUE"""),416.0)</f>
        <v>416</v>
      </c>
      <c r="E1660" s="1" t="str">
        <f t="array" ref="E1660">_xlfn.XLOOKUP(A1660,Product!A:A,Product!B:B,"Bulunamadı")</f>
        <v>Fiction</v>
      </c>
      <c r="F1660" s="1" t="str">
        <f t="array" ref="F1660">_xlfn.XLOOKUP(A1660,Product!A:A,Product!C:C,"Bulunamadı")</f>
        <v>History of Technology</v>
      </c>
      <c r="G1660" s="2" t="str">
        <f t="array" ref="G1660">_xlfn.XLOOKUP(A1661,Product!A:A,Product!D:D,"Bulunamadı")</f>
        <v>Harborstone Press</v>
      </c>
      <c r="H1660" s="2">
        <f t="array" ref="H1660">_xlfn.XLOOKUP(A1662,Product!A:A,Product!E:E,"Bulunamadı")</f>
        <v>7.15</v>
      </c>
      <c r="I1660" s="2" t="str">
        <f t="shared" si="1"/>
        <v>121083 - Fiction - History of Technology</v>
      </c>
      <c r="J1660" s="2">
        <f t="shared" si="2"/>
        <v>2974.4</v>
      </c>
      <c r="K1660" s="17">
        <f t="shared" si="3"/>
        <v>1</v>
      </c>
      <c r="L1660" s="18"/>
    </row>
    <row r="1661" hidden="1">
      <c r="A1661" s="2">
        <f>IFERROR(__xludf.DUMMYFUNCTION("""COMPUTED_VALUE"""),108936.0)</f>
        <v>108936</v>
      </c>
      <c r="B1661" s="2">
        <f>IFERROR(__xludf.DUMMYFUNCTION("""COMPUTED_VALUE"""),0.0)</f>
        <v>0</v>
      </c>
      <c r="C1661" s="2">
        <f>IFERROR(__xludf.DUMMYFUNCTION("""COMPUTED_VALUE"""),379.0)</f>
        <v>379</v>
      </c>
      <c r="D1661" s="3">
        <f>IFERROR(__xludf.DUMMYFUNCTION("""COMPUTED_VALUE"""),365.0)</f>
        <v>365</v>
      </c>
      <c r="E1661" s="1" t="str">
        <f t="array" ref="E1661">_xlfn.XLOOKUP(A1661,Product!A:A,Product!B:B,"Bulunamadı")</f>
        <v>Fiction</v>
      </c>
      <c r="F1661" s="1" t="str">
        <f t="array" ref="F1661">_xlfn.XLOOKUP(A1661,Product!A:A,Product!C:C,"Bulunamadı")</f>
        <v>History of Technology</v>
      </c>
      <c r="G1661" s="2" t="str">
        <f t="array" ref="G1661">_xlfn.XLOOKUP(A1662,Product!A:A,Product!D:D,"Bulunamadı")</f>
        <v>Harborstone Press</v>
      </c>
      <c r="H1661" s="2">
        <f t="array" ref="H1661">_xlfn.XLOOKUP(A1663,Product!A:A,Product!E:E,"Bulunamadı")</f>
        <v>3.03</v>
      </c>
      <c r="I1661" s="2" t="str">
        <f t="shared" si="1"/>
        <v>108936 - Fiction - History of Technology</v>
      </c>
      <c r="J1661" s="2">
        <f t="shared" si="2"/>
        <v>1105.95</v>
      </c>
      <c r="K1661" s="17">
        <f t="shared" si="3"/>
        <v>1</v>
      </c>
      <c r="L1661" s="18"/>
    </row>
    <row r="1662" hidden="1">
      <c r="A1662" s="2">
        <f>IFERROR(__xludf.DUMMYFUNCTION("""COMPUTED_VALUE"""),128388.0)</f>
        <v>128388</v>
      </c>
      <c r="B1662" s="2">
        <f>IFERROR(__xludf.DUMMYFUNCTION("""COMPUTED_VALUE"""),1.0)</f>
        <v>1</v>
      </c>
      <c r="C1662" s="2">
        <f>IFERROR(__xludf.DUMMYFUNCTION("""COMPUTED_VALUE"""),885.0)</f>
        <v>885</v>
      </c>
      <c r="D1662" s="3">
        <f>IFERROR(__xludf.DUMMYFUNCTION("""COMPUTED_VALUE"""),770.0)</f>
        <v>770</v>
      </c>
      <c r="E1662" s="1" t="str">
        <f t="array" ref="E1662">_xlfn.XLOOKUP(A1662,Product!A:A,Product!B:B,"Bulunamadı")</f>
        <v>Fiction</v>
      </c>
      <c r="F1662" s="1" t="str">
        <f t="array" ref="F1662">_xlfn.XLOOKUP(A1662,Product!A:A,Product!C:C,"Bulunamadı")</f>
        <v>History of Technology</v>
      </c>
      <c r="G1662" s="2" t="str">
        <f t="array" ref="G1662">_xlfn.XLOOKUP(A1663,Product!A:A,Product!D:D,"Bulunamadı")</f>
        <v>Harborstone Press</v>
      </c>
      <c r="H1662" s="2">
        <f t="array" ref="H1662">_xlfn.XLOOKUP(A1664,Product!A:A,Product!E:E,"Bulunamadı")</f>
        <v>16.22</v>
      </c>
      <c r="I1662" s="2" t="str">
        <f t="shared" si="1"/>
        <v>128388 - Fiction - History of Technology</v>
      </c>
      <c r="J1662" s="2">
        <f t="shared" si="2"/>
        <v>12489.4</v>
      </c>
      <c r="K1662" s="17">
        <f t="shared" si="3"/>
        <v>1</v>
      </c>
      <c r="L1662" s="18"/>
    </row>
    <row r="1663" hidden="1">
      <c r="A1663" s="2">
        <f>IFERROR(__xludf.DUMMYFUNCTION("""COMPUTED_VALUE"""),120559.0)</f>
        <v>120559</v>
      </c>
      <c r="B1663" s="2">
        <f>IFERROR(__xludf.DUMMYFUNCTION("""COMPUTED_VALUE"""),0.0)</f>
        <v>0</v>
      </c>
      <c r="C1663" s="2">
        <f>IFERROR(__xludf.DUMMYFUNCTION("""COMPUTED_VALUE"""),732.0)</f>
        <v>732</v>
      </c>
      <c r="D1663" s="3">
        <f>IFERROR(__xludf.DUMMYFUNCTION("""COMPUTED_VALUE"""),596.0)</f>
        <v>596</v>
      </c>
      <c r="E1663" s="1" t="str">
        <f t="array" ref="E1663">_xlfn.XLOOKUP(A1663,Product!A:A,Product!B:B,"Bulunamadı")</f>
        <v>Fiction</v>
      </c>
      <c r="F1663" s="1" t="str">
        <f t="array" ref="F1663">_xlfn.XLOOKUP(A1663,Product!A:A,Product!C:C,"Bulunamadı")</f>
        <v>History of Technology</v>
      </c>
      <c r="G1663" s="2" t="str">
        <f t="array" ref="G1663">_xlfn.XLOOKUP(A1664,Product!A:A,Product!D:D,"Bulunamadı")</f>
        <v>Harborstone Press</v>
      </c>
      <c r="H1663" s="2">
        <f t="array" ref="H1663">_xlfn.XLOOKUP(A1665,Product!A:A,Product!E:E,"Bulunamadı")</f>
        <v>16.85</v>
      </c>
      <c r="I1663" s="2" t="str">
        <f t="shared" si="1"/>
        <v>120559 - Fiction - History of Technology</v>
      </c>
      <c r="J1663" s="2">
        <f t="shared" si="2"/>
        <v>10042.6</v>
      </c>
      <c r="K1663" s="17">
        <f t="shared" si="3"/>
        <v>1</v>
      </c>
      <c r="L1663" s="18"/>
    </row>
    <row r="1664" hidden="1">
      <c r="A1664" s="2">
        <f>IFERROR(__xludf.DUMMYFUNCTION("""COMPUTED_VALUE"""),122685.0)</f>
        <v>122685</v>
      </c>
      <c r="B1664" s="2">
        <f>IFERROR(__xludf.DUMMYFUNCTION("""COMPUTED_VALUE"""),1.0)</f>
        <v>1</v>
      </c>
      <c r="C1664" s="2">
        <f>IFERROR(__xludf.DUMMYFUNCTION("""COMPUTED_VALUE"""),560.0)</f>
        <v>560</v>
      </c>
      <c r="D1664" s="3">
        <f>IFERROR(__xludf.DUMMYFUNCTION("""COMPUTED_VALUE"""),19.0)</f>
        <v>19</v>
      </c>
      <c r="E1664" s="1" t="str">
        <f t="array" ref="E1664">_xlfn.XLOOKUP(A1664,Product!A:A,Product!B:B,"Bulunamadı")</f>
        <v>Fiction</v>
      </c>
      <c r="F1664" s="1" t="str">
        <f t="array" ref="F1664">_xlfn.XLOOKUP(A1664,Product!A:A,Product!C:C,"Bulunamadı")</f>
        <v>History of Technology</v>
      </c>
      <c r="G1664" s="2" t="str">
        <f t="array" ref="G1664">_xlfn.XLOOKUP(A1665,Product!A:A,Product!D:D,"Bulunamadı")</f>
        <v>Harborstone Press</v>
      </c>
      <c r="H1664" s="2">
        <f t="array" ref="H1664">_xlfn.XLOOKUP(A1666,Product!A:A,Product!E:E,"Bulunamadı")</f>
        <v>17.31</v>
      </c>
      <c r="I1664" s="2" t="str">
        <f t="shared" si="1"/>
        <v>122685 - Fiction - History of Technology</v>
      </c>
      <c r="J1664" s="2">
        <f t="shared" si="2"/>
        <v>328.89</v>
      </c>
      <c r="K1664" s="17">
        <f t="shared" si="3"/>
        <v>1</v>
      </c>
      <c r="L1664" s="18"/>
    </row>
    <row r="1665" hidden="1">
      <c r="A1665" s="2">
        <f>IFERROR(__xludf.DUMMYFUNCTION("""COMPUTED_VALUE"""),122686.0)</f>
        <v>122686</v>
      </c>
      <c r="B1665" s="2">
        <f>IFERROR(__xludf.DUMMYFUNCTION("""COMPUTED_VALUE"""),0.0)</f>
        <v>0</v>
      </c>
      <c r="C1665" s="2">
        <f>IFERROR(__xludf.DUMMYFUNCTION("""COMPUTED_VALUE"""),29.0)</f>
        <v>29</v>
      </c>
      <c r="D1665" s="3">
        <f>IFERROR(__xludf.DUMMYFUNCTION("""COMPUTED_VALUE"""),4.0)</f>
        <v>4</v>
      </c>
      <c r="E1665" s="1" t="str">
        <f t="array" ref="E1665">_xlfn.XLOOKUP(A1665,Product!A:A,Product!B:B,"Bulunamadı")</f>
        <v>Fiction</v>
      </c>
      <c r="F1665" s="1" t="str">
        <f t="array" ref="F1665">_xlfn.XLOOKUP(A1665,Product!A:A,Product!C:C,"Bulunamadı")</f>
        <v>History of Technology</v>
      </c>
      <c r="G1665" s="2" t="str">
        <f t="array" ref="G1665">_xlfn.XLOOKUP(A1666,Product!A:A,Product!D:D,"Bulunamadı")</f>
        <v>Harborstone Press</v>
      </c>
      <c r="H1665" s="2">
        <f t="array" ref="H1665">_xlfn.XLOOKUP(A1667,Product!A:A,Product!E:E,"Bulunamadı")</f>
        <v>15.33</v>
      </c>
      <c r="I1665" s="2" t="str">
        <f t="shared" si="1"/>
        <v>122686 - Fiction - History of Technology</v>
      </c>
      <c r="J1665" s="2">
        <f t="shared" si="2"/>
        <v>61.32</v>
      </c>
      <c r="K1665" s="17">
        <f t="shared" si="3"/>
        <v>1</v>
      </c>
      <c r="L1665" s="18"/>
    </row>
    <row r="1666" hidden="1">
      <c r="A1666" s="2">
        <f>IFERROR(__xludf.DUMMYFUNCTION("""COMPUTED_VALUE"""),181263.0)</f>
        <v>181263</v>
      </c>
      <c r="B1666" s="2">
        <f>IFERROR(__xludf.DUMMYFUNCTION("""COMPUTED_VALUE"""),0.0)</f>
        <v>0</v>
      </c>
      <c r="C1666" s="2">
        <f>IFERROR(__xludf.DUMMYFUNCTION("""COMPUTED_VALUE"""),878.0)</f>
        <v>878</v>
      </c>
      <c r="D1666" s="3">
        <f>IFERROR(__xludf.DUMMYFUNCTION("""COMPUTED_VALUE"""),405.0)</f>
        <v>405</v>
      </c>
      <c r="E1666" s="1" t="str">
        <f t="array" ref="E1666">_xlfn.XLOOKUP(A1666,Product!A:A,Product!B:B,"Bulunamadı")</f>
        <v>Fiction</v>
      </c>
      <c r="F1666" s="1" t="str">
        <f t="array" ref="F1666">_xlfn.XLOOKUP(A1666,Product!A:A,Product!C:C,"Bulunamadı")</f>
        <v>History of Technology</v>
      </c>
      <c r="G1666" s="2" t="str">
        <f t="array" ref="G1666">_xlfn.XLOOKUP(A1667,Product!A:A,Product!D:D,"Bulunamadı")</f>
        <v>Harborstone Press</v>
      </c>
      <c r="H1666" s="2">
        <f t="array" ref="H1666">_xlfn.XLOOKUP(A1668,Product!A:A,Product!E:E,"Bulunamadı")</f>
        <v>2.29</v>
      </c>
      <c r="I1666" s="2" t="str">
        <f t="shared" si="1"/>
        <v>181263 - Fiction - History of Technology</v>
      </c>
      <c r="J1666" s="2">
        <f t="shared" si="2"/>
        <v>927.45</v>
      </c>
      <c r="K1666" s="17">
        <f t="shared" si="3"/>
        <v>1</v>
      </c>
      <c r="L1666" s="18"/>
    </row>
    <row r="1667" hidden="1">
      <c r="A1667" s="2">
        <f>IFERROR(__xludf.DUMMYFUNCTION("""COMPUTED_VALUE"""),122723.0)</f>
        <v>122723</v>
      </c>
      <c r="B1667" s="2">
        <f>IFERROR(__xludf.DUMMYFUNCTION("""COMPUTED_VALUE"""),0.0)</f>
        <v>0</v>
      </c>
      <c r="C1667" s="2">
        <f>IFERROR(__xludf.DUMMYFUNCTION("""COMPUTED_VALUE"""),711.0)</f>
        <v>711</v>
      </c>
      <c r="D1667" s="3">
        <f>IFERROR(__xludf.DUMMYFUNCTION("""COMPUTED_VALUE"""),132.0)</f>
        <v>132</v>
      </c>
      <c r="E1667" s="1" t="str">
        <f t="array" ref="E1667">_xlfn.XLOOKUP(A1667,Product!A:A,Product!B:B,"Bulunamadı")</f>
        <v>Fiction</v>
      </c>
      <c r="F1667" s="1" t="str">
        <f t="array" ref="F1667">_xlfn.XLOOKUP(A1667,Product!A:A,Product!C:C,"Bulunamadı")</f>
        <v>History of Technology</v>
      </c>
      <c r="G1667" s="2" t="str">
        <f t="array" ref="G1667">_xlfn.XLOOKUP(A1668,Product!A:A,Product!D:D,"Bulunamadı")</f>
        <v>Cedarstone Publishing</v>
      </c>
      <c r="H1667" s="2">
        <f t="array" ref="H1667">_xlfn.XLOOKUP(A1669,Product!A:A,Product!E:E,"Bulunamadı")</f>
        <v>1.61</v>
      </c>
      <c r="I1667" s="2" t="str">
        <f t="shared" si="1"/>
        <v>122723 - Fiction - History of Technology</v>
      </c>
      <c r="J1667" s="2">
        <f t="shared" si="2"/>
        <v>212.52</v>
      </c>
      <c r="K1667" s="17">
        <f t="shared" si="3"/>
        <v>1</v>
      </c>
      <c r="L1667" s="18"/>
    </row>
    <row r="1668" hidden="1">
      <c r="A1668" s="2">
        <f>IFERROR(__xludf.DUMMYFUNCTION("""COMPUTED_VALUE"""),26533.0)</f>
        <v>26533</v>
      </c>
      <c r="B1668" s="2">
        <f>IFERROR(__xludf.DUMMYFUNCTION("""COMPUTED_VALUE"""),1.0)</f>
        <v>1</v>
      </c>
      <c r="C1668" s="2">
        <f>IFERROR(__xludf.DUMMYFUNCTION("""COMPUTED_VALUE"""),13.0)</f>
        <v>13</v>
      </c>
      <c r="D1668" s="3">
        <f>IFERROR(__xludf.DUMMYFUNCTION("""COMPUTED_VALUE"""),7.0)</f>
        <v>7</v>
      </c>
      <c r="E1668" s="1" t="str">
        <f t="array" ref="E1668">_xlfn.XLOOKUP(A1668,Product!A:A,Product!B:B,"Bulunamadı")</f>
        <v>Fiction</v>
      </c>
      <c r="F1668" s="1" t="str">
        <f t="array" ref="F1668">_xlfn.XLOOKUP(A1668,Product!A:A,Product!C:C,"Bulunamadı")</f>
        <v>History of Technology</v>
      </c>
      <c r="G1668" s="2" t="str">
        <f t="array" ref="G1668">_xlfn.XLOOKUP(A1669,Product!A:A,Product!D:D,"Bulunamadı")</f>
        <v>Cedarstone Publishing</v>
      </c>
      <c r="H1668" s="2">
        <f t="array" ref="H1668">_xlfn.XLOOKUP(A1670,Product!A:A,Product!E:E,"Bulunamadı")</f>
        <v>2.8</v>
      </c>
      <c r="I1668" s="2" t="str">
        <f t="shared" si="1"/>
        <v>26533 - Fiction - History of Technology</v>
      </c>
      <c r="J1668" s="2">
        <f t="shared" si="2"/>
        <v>19.6</v>
      </c>
      <c r="K1668" s="17">
        <f t="shared" si="3"/>
        <v>1</v>
      </c>
      <c r="L1668" s="18"/>
    </row>
    <row r="1669" hidden="1">
      <c r="A1669" s="2">
        <f>IFERROR(__xludf.DUMMYFUNCTION("""COMPUTED_VALUE"""),16048.0)</f>
        <v>16048</v>
      </c>
      <c r="B1669" s="2">
        <f>IFERROR(__xludf.DUMMYFUNCTION("""COMPUTED_VALUE"""),1.0)</f>
        <v>1</v>
      </c>
      <c r="C1669" s="2">
        <f>IFERROR(__xludf.DUMMYFUNCTION("""COMPUTED_VALUE"""),936.0)</f>
        <v>936</v>
      </c>
      <c r="D1669" s="3">
        <f>IFERROR(__xludf.DUMMYFUNCTION("""COMPUTED_VALUE"""),478.0)</f>
        <v>478</v>
      </c>
      <c r="E1669" s="1" t="str">
        <f t="array" ref="E1669">_xlfn.XLOOKUP(A1669,Product!A:A,Product!B:B,"Bulunamadı")</f>
        <v>Fiction</v>
      </c>
      <c r="F1669" s="1" t="str">
        <f t="array" ref="F1669">_xlfn.XLOOKUP(A1669,Product!A:A,Product!C:C,"Bulunamadı")</f>
        <v>History of Technology</v>
      </c>
      <c r="G1669" s="2" t="str">
        <f t="array" ref="G1669">_xlfn.XLOOKUP(A1670,Product!A:A,Product!D:D,"Bulunamadı")</f>
        <v>Cedarstone Publishing</v>
      </c>
      <c r="H1669" s="2">
        <f t="array" ref="H1669">_xlfn.XLOOKUP(A1671,Product!A:A,Product!E:E,"Bulunamadı")</f>
        <v>7.21</v>
      </c>
      <c r="I1669" s="2" t="str">
        <f t="shared" si="1"/>
        <v>16048 - Fiction - History of Technology</v>
      </c>
      <c r="J1669" s="2">
        <f t="shared" si="2"/>
        <v>3446.38</v>
      </c>
      <c r="K1669" s="17">
        <f t="shared" si="3"/>
        <v>1</v>
      </c>
      <c r="L1669" s="18"/>
    </row>
    <row r="1670" hidden="1">
      <c r="A1670" s="2">
        <f>IFERROR(__xludf.DUMMYFUNCTION("""COMPUTED_VALUE"""),16049.0)</f>
        <v>16049</v>
      </c>
      <c r="B1670" s="2">
        <f>IFERROR(__xludf.DUMMYFUNCTION("""COMPUTED_VALUE"""),1.0)</f>
        <v>1</v>
      </c>
      <c r="C1670" s="2">
        <f>IFERROR(__xludf.DUMMYFUNCTION("""COMPUTED_VALUE"""),290.0)</f>
        <v>290</v>
      </c>
      <c r="D1670" s="3">
        <f>IFERROR(__xludf.DUMMYFUNCTION("""COMPUTED_VALUE"""),58.0)</f>
        <v>58</v>
      </c>
      <c r="E1670" s="1" t="str">
        <f t="array" ref="E1670">_xlfn.XLOOKUP(A1670,Product!A:A,Product!B:B,"Bulunamadı")</f>
        <v>Fiction</v>
      </c>
      <c r="F1670" s="1" t="str">
        <f t="array" ref="F1670">_xlfn.XLOOKUP(A1670,Product!A:A,Product!C:C,"Bulunamadı")</f>
        <v>History of Technology</v>
      </c>
      <c r="G1670" s="2" t="str">
        <f t="array" ref="G1670">_xlfn.XLOOKUP(A1671,Product!A:A,Product!D:D,"Bulunamadı")</f>
        <v>Brightfield Books</v>
      </c>
      <c r="H1670" s="2">
        <f t="array" ref="H1670">_xlfn.XLOOKUP(A1672,Product!A:A,Product!E:E,"Bulunamadı")</f>
        <v>3.43</v>
      </c>
      <c r="I1670" s="2" t="str">
        <f t="shared" si="1"/>
        <v>16049 - Fiction - History of Technology</v>
      </c>
      <c r="J1670" s="2">
        <f t="shared" si="2"/>
        <v>198.94</v>
      </c>
      <c r="K1670" s="17">
        <f t="shared" si="3"/>
        <v>1</v>
      </c>
      <c r="L1670" s="18"/>
    </row>
    <row r="1671" hidden="1">
      <c r="A1671" s="2">
        <f>IFERROR(__xludf.DUMMYFUNCTION("""COMPUTED_VALUE"""),122421.0)</f>
        <v>122421</v>
      </c>
      <c r="B1671" s="2">
        <f>IFERROR(__xludf.DUMMYFUNCTION("""COMPUTED_VALUE"""),1.0)</f>
        <v>1</v>
      </c>
      <c r="C1671" s="2">
        <f>IFERROR(__xludf.DUMMYFUNCTION("""COMPUTED_VALUE"""),694.0)</f>
        <v>694</v>
      </c>
      <c r="D1671" s="3">
        <f>IFERROR(__xludf.DUMMYFUNCTION("""COMPUTED_VALUE"""),569.0)</f>
        <v>569</v>
      </c>
      <c r="E1671" s="1" t="str">
        <f t="array" ref="E1671">_xlfn.XLOOKUP(A1671,Product!A:A,Product!B:B,"Bulunamadı")</f>
        <v>Finance</v>
      </c>
      <c r="F1671" s="1" t="str">
        <f t="array" ref="F1671">_xlfn.XLOOKUP(A1671,Product!A:A,Product!C:C,"Bulunamadı")</f>
        <v>Personal Development</v>
      </c>
      <c r="G1671" s="2" t="str">
        <f t="array" ref="G1671">_xlfn.XLOOKUP(A1672,Product!A:A,Product!D:D,"Bulunamadı")</f>
        <v>Brightfield Books</v>
      </c>
      <c r="H1671" s="2">
        <f t="array" ref="H1671">_xlfn.XLOOKUP(A1673,Product!A:A,Product!E:E,"Bulunamadı")</f>
        <v>10.02</v>
      </c>
      <c r="I1671" s="2" t="str">
        <f t="shared" si="1"/>
        <v>122421 - Finance - Personal Development</v>
      </c>
      <c r="J1671" s="2">
        <f t="shared" si="2"/>
        <v>5701.38</v>
      </c>
      <c r="K1671" s="17">
        <f t="shared" si="3"/>
        <v>1</v>
      </c>
      <c r="L1671" s="18"/>
    </row>
    <row r="1672" hidden="1">
      <c r="A1672" s="2">
        <f>IFERROR(__xludf.DUMMYFUNCTION("""COMPUTED_VALUE"""),121718.0)</f>
        <v>121718</v>
      </c>
      <c r="B1672" s="2">
        <f>IFERROR(__xludf.DUMMYFUNCTION("""COMPUTED_VALUE"""),1.0)</f>
        <v>1</v>
      </c>
      <c r="C1672" s="2">
        <f>IFERROR(__xludf.DUMMYFUNCTION("""COMPUTED_VALUE"""),826.0)</f>
        <v>826</v>
      </c>
      <c r="D1672" s="3">
        <f>IFERROR(__xludf.DUMMYFUNCTION("""COMPUTED_VALUE"""),297.0)</f>
        <v>297</v>
      </c>
      <c r="E1672" s="1" t="str">
        <f t="array" ref="E1672">_xlfn.XLOOKUP(A1672,Product!A:A,Product!B:B,"Bulunamadı")</f>
        <v>Finance</v>
      </c>
      <c r="F1672" s="1" t="str">
        <f t="array" ref="F1672">_xlfn.XLOOKUP(A1672,Product!A:A,Product!C:C,"Bulunamadı")</f>
        <v>Personal Development</v>
      </c>
      <c r="G1672" s="2" t="str">
        <f t="array" ref="G1672">_xlfn.XLOOKUP(A1673,Product!A:A,Product!D:D,"Bulunamadı")</f>
        <v>Oakfield Press</v>
      </c>
      <c r="H1672" s="2">
        <f t="array" ref="H1672">_xlfn.XLOOKUP(A1674,Product!A:A,Product!E:E,"Bulunamadı")</f>
        <v>12.92</v>
      </c>
      <c r="I1672" s="2" t="str">
        <f t="shared" si="1"/>
        <v>121718 - Finance - Personal Development</v>
      </c>
      <c r="J1672" s="2">
        <f t="shared" si="2"/>
        <v>3837.24</v>
      </c>
      <c r="K1672" s="17">
        <f t="shared" si="3"/>
        <v>1</v>
      </c>
      <c r="L1672" s="18"/>
    </row>
    <row r="1673" hidden="1">
      <c r="A1673" s="2">
        <f>IFERROR(__xludf.DUMMYFUNCTION("""COMPUTED_VALUE"""),117892.0)</f>
        <v>117892</v>
      </c>
      <c r="B1673" s="2">
        <f>IFERROR(__xludf.DUMMYFUNCTION("""COMPUTED_VALUE"""),0.0)</f>
        <v>0</v>
      </c>
      <c r="C1673" s="2">
        <f>IFERROR(__xludf.DUMMYFUNCTION("""COMPUTED_VALUE"""),59.0)</f>
        <v>59</v>
      </c>
      <c r="D1673" s="3">
        <f>IFERROR(__xludf.DUMMYFUNCTION("""COMPUTED_VALUE"""),4.0)</f>
        <v>4</v>
      </c>
      <c r="E1673" s="1" t="str">
        <f t="array" ref="E1673">_xlfn.XLOOKUP(A1673,Product!A:A,Product!B:B,"Bulunamadı")</f>
        <v>Finance</v>
      </c>
      <c r="F1673" s="1" t="str">
        <f t="array" ref="F1673">_xlfn.XLOOKUP(A1673,Product!A:A,Product!C:C,"Bulunamadı")</f>
        <v>Personal Development</v>
      </c>
      <c r="G1673" s="2" t="str">
        <f t="array" ref="G1673">_xlfn.XLOOKUP(A1674,Product!A:A,Product!D:D,"Bulunamadı")</f>
        <v>Oakfield Press</v>
      </c>
      <c r="H1673" s="2">
        <f t="array" ref="H1673">_xlfn.XLOOKUP(A1675,Product!A:A,Product!E:E,"Bulunamadı")</f>
        <v>1.86</v>
      </c>
      <c r="I1673" s="2" t="str">
        <f t="shared" si="1"/>
        <v>117892 - Finance - Personal Development</v>
      </c>
      <c r="J1673" s="2">
        <f t="shared" si="2"/>
        <v>7.44</v>
      </c>
      <c r="K1673" s="17">
        <f t="shared" si="3"/>
        <v>1</v>
      </c>
      <c r="L1673" s="18"/>
    </row>
    <row r="1674" hidden="1">
      <c r="A1674" s="2">
        <f>IFERROR(__xludf.DUMMYFUNCTION("""COMPUTED_VALUE"""),117893.0)</f>
        <v>117893</v>
      </c>
      <c r="B1674" s="2">
        <f>IFERROR(__xludf.DUMMYFUNCTION("""COMPUTED_VALUE"""),0.0)</f>
        <v>0</v>
      </c>
      <c r="C1674" s="2">
        <f>IFERROR(__xludf.DUMMYFUNCTION("""COMPUTED_VALUE"""),885.0)</f>
        <v>885</v>
      </c>
      <c r="D1674" s="3">
        <f>IFERROR(__xludf.DUMMYFUNCTION("""COMPUTED_VALUE"""),316.0)</f>
        <v>316</v>
      </c>
      <c r="E1674" s="1" t="str">
        <f t="array" ref="E1674">_xlfn.XLOOKUP(A1674,Product!A:A,Product!B:B,"Bulunamadı")</f>
        <v>Finance</v>
      </c>
      <c r="F1674" s="1" t="str">
        <f t="array" ref="F1674">_xlfn.XLOOKUP(A1674,Product!A:A,Product!C:C,"Bulunamadı")</f>
        <v>Personal Development</v>
      </c>
      <c r="G1674" s="2" t="str">
        <f t="array" ref="G1674">_xlfn.XLOOKUP(A1675,Product!A:A,Product!D:D,"Bulunamadı")</f>
        <v>Riverfield Publishing</v>
      </c>
      <c r="H1674" s="2">
        <f t="array" ref="H1674">_xlfn.XLOOKUP(A1676,Product!A:A,Product!E:E,"Bulunamadı")</f>
        <v>14.2</v>
      </c>
      <c r="I1674" s="2" t="str">
        <f t="shared" si="1"/>
        <v>117893 - Finance - Personal Development</v>
      </c>
      <c r="J1674" s="2">
        <f t="shared" si="2"/>
        <v>4487.2</v>
      </c>
      <c r="K1674" s="17">
        <f t="shared" si="3"/>
        <v>1</v>
      </c>
      <c r="L1674" s="18"/>
    </row>
    <row r="1675" hidden="1">
      <c r="A1675" s="2">
        <f>IFERROR(__xludf.DUMMYFUNCTION("""COMPUTED_VALUE"""),78448.0)</f>
        <v>78448</v>
      </c>
      <c r="B1675" s="2">
        <f>IFERROR(__xludf.DUMMYFUNCTION("""COMPUTED_VALUE"""),1.0)</f>
        <v>1</v>
      </c>
      <c r="C1675" s="2">
        <f>IFERROR(__xludf.DUMMYFUNCTION("""COMPUTED_VALUE"""),302.0)</f>
        <v>302</v>
      </c>
      <c r="D1675" s="3">
        <f>IFERROR(__xludf.DUMMYFUNCTION("""COMPUTED_VALUE"""),115.0)</f>
        <v>115</v>
      </c>
      <c r="E1675" s="1" t="str">
        <f t="array" ref="E1675">_xlfn.XLOOKUP(A1675,Product!A:A,Product!B:B,"Bulunamadı")</f>
        <v>Finance</v>
      </c>
      <c r="F1675" s="1" t="str">
        <f t="array" ref="F1675">_xlfn.XLOOKUP(A1675,Product!A:A,Product!C:C,"Bulunamadı")</f>
        <v>Personal Development</v>
      </c>
      <c r="G1675" s="2" t="str">
        <f t="array" ref="G1675">_xlfn.XLOOKUP(A1676,Product!A:A,Product!D:D,"Bulunamadı")</f>
        <v>Ironfield Books</v>
      </c>
      <c r="H1675" s="2">
        <f t="array" ref="H1675">_xlfn.XLOOKUP(A1677,Product!A:A,Product!E:E,"Bulunamadı")</f>
        <v>9.8</v>
      </c>
      <c r="I1675" s="2" t="str">
        <f t="shared" si="1"/>
        <v>78448 - Finance - Personal Development</v>
      </c>
      <c r="J1675" s="2">
        <f t="shared" si="2"/>
        <v>1127</v>
      </c>
      <c r="K1675" s="17">
        <f t="shared" si="3"/>
        <v>1</v>
      </c>
      <c r="L1675" s="18"/>
    </row>
    <row r="1676" hidden="1">
      <c r="A1676" s="2">
        <f>IFERROR(__xludf.DUMMYFUNCTION("""COMPUTED_VALUE"""),89463.0)</f>
        <v>89463</v>
      </c>
      <c r="B1676" s="2">
        <f>IFERROR(__xludf.DUMMYFUNCTION("""COMPUTED_VALUE"""),1.0)</f>
        <v>1</v>
      </c>
      <c r="C1676" s="2">
        <f>IFERROR(__xludf.DUMMYFUNCTION("""COMPUTED_VALUE"""),832.0)</f>
        <v>832</v>
      </c>
      <c r="D1676" s="3">
        <f>IFERROR(__xludf.DUMMYFUNCTION("""COMPUTED_VALUE"""),427.0)</f>
        <v>427</v>
      </c>
      <c r="E1676" s="1" t="str">
        <f t="array" ref="E1676">_xlfn.XLOOKUP(A1676,Product!A:A,Product!B:B,"Bulunamadı")</f>
        <v>Finance</v>
      </c>
      <c r="F1676" s="1" t="str">
        <f t="array" ref="F1676">_xlfn.XLOOKUP(A1676,Product!A:A,Product!C:C,"Bulunamadı")</f>
        <v>Personal Development</v>
      </c>
      <c r="G1676" s="2" t="str">
        <f t="array" ref="G1676">_xlfn.XLOOKUP(A1677,Product!A:A,Product!D:D,"Bulunamadı")</f>
        <v>Ironfield Books</v>
      </c>
      <c r="H1676" s="2">
        <f t="array" ref="H1676">_xlfn.XLOOKUP(A1678,Product!A:A,Product!E:E,"Bulunamadı")</f>
        <v>9.63</v>
      </c>
      <c r="I1676" s="2" t="str">
        <f t="shared" si="1"/>
        <v>89463 - Finance - Personal Development</v>
      </c>
      <c r="J1676" s="2">
        <f t="shared" si="2"/>
        <v>4112.01</v>
      </c>
      <c r="K1676" s="17">
        <f t="shared" si="3"/>
        <v>1</v>
      </c>
      <c r="L1676" s="18"/>
    </row>
    <row r="1677" hidden="1">
      <c r="A1677" s="2">
        <f>IFERROR(__xludf.DUMMYFUNCTION("""COMPUTED_VALUE"""),108096.0)</f>
        <v>108096</v>
      </c>
      <c r="B1677" s="2">
        <f>IFERROR(__xludf.DUMMYFUNCTION("""COMPUTED_VALUE"""),1.0)</f>
        <v>1</v>
      </c>
      <c r="C1677" s="2">
        <f>IFERROR(__xludf.DUMMYFUNCTION("""COMPUTED_VALUE"""),764.0)</f>
        <v>764</v>
      </c>
      <c r="D1677" s="3">
        <f>IFERROR(__xludf.DUMMYFUNCTION("""COMPUTED_VALUE"""),96.0)</f>
        <v>96</v>
      </c>
      <c r="E1677" s="1" t="str">
        <f t="array" ref="E1677">_xlfn.XLOOKUP(A1677,Product!A:A,Product!B:B,"Bulunamadı")</f>
        <v>Finance</v>
      </c>
      <c r="F1677" s="1" t="str">
        <f t="array" ref="F1677">_xlfn.XLOOKUP(A1677,Product!A:A,Product!C:C,"Bulunamadı")</f>
        <v>Personal Development</v>
      </c>
      <c r="G1677" s="2" t="str">
        <f t="array" ref="G1677">_xlfn.XLOOKUP(A1678,Product!A:A,Product!D:D,"Bulunamadı")</f>
        <v>Ironfield Books</v>
      </c>
      <c r="H1677" s="2">
        <f t="array" ref="H1677">_xlfn.XLOOKUP(A1679,Product!A:A,Product!E:E,"Bulunamadı")</f>
        <v>1.1</v>
      </c>
      <c r="I1677" s="2" t="str">
        <f t="shared" si="1"/>
        <v>108096 - Finance - Personal Development</v>
      </c>
      <c r="J1677" s="2">
        <f t="shared" si="2"/>
        <v>105.6</v>
      </c>
      <c r="K1677" s="17">
        <f t="shared" si="3"/>
        <v>1</v>
      </c>
      <c r="L1677" s="18"/>
    </row>
    <row r="1678" hidden="1">
      <c r="A1678" s="2">
        <f>IFERROR(__xludf.DUMMYFUNCTION("""COMPUTED_VALUE"""),70495.0)</f>
        <v>70495</v>
      </c>
      <c r="B1678" s="2">
        <f>IFERROR(__xludf.DUMMYFUNCTION("""COMPUTED_VALUE"""),0.0)</f>
        <v>0</v>
      </c>
      <c r="C1678" s="2">
        <f>IFERROR(__xludf.DUMMYFUNCTION("""COMPUTED_VALUE"""),272.0)</f>
        <v>272</v>
      </c>
      <c r="D1678" s="3">
        <f>IFERROR(__xludf.DUMMYFUNCTION("""COMPUTED_VALUE"""),43.0)</f>
        <v>43</v>
      </c>
      <c r="E1678" s="1" t="str">
        <f t="array" ref="E1678">_xlfn.XLOOKUP(A1678,Product!A:A,Product!B:B,"Bulunamadı")</f>
        <v>Finance</v>
      </c>
      <c r="F1678" s="1" t="str">
        <f t="array" ref="F1678">_xlfn.XLOOKUP(A1678,Product!A:A,Product!C:C,"Bulunamadı")</f>
        <v>Personal Development</v>
      </c>
      <c r="G1678" s="2" t="str">
        <f t="array" ref="G1678">_xlfn.XLOOKUP(A1679,Product!A:A,Product!D:D,"Bulunamadı")</f>
        <v>Silverpath Press</v>
      </c>
      <c r="H1678" s="2">
        <f t="array" ref="H1678">_xlfn.XLOOKUP(A1680,Product!A:A,Product!E:E,"Bulunamadı")</f>
        <v>1.39</v>
      </c>
      <c r="I1678" s="2" t="str">
        <f t="shared" si="1"/>
        <v>70495 - Finance - Personal Development</v>
      </c>
      <c r="J1678" s="2">
        <f t="shared" si="2"/>
        <v>59.77</v>
      </c>
      <c r="K1678" s="17">
        <f t="shared" si="3"/>
        <v>1</v>
      </c>
      <c r="L1678" s="18"/>
    </row>
    <row r="1679" hidden="1">
      <c r="A1679" s="2">
        <f>IFERROR(__xludf.DUMMYFUNCTION("""COMPUTED_VALUE"""),115733.0)</f>
        <v>115733</v>
      </c>
      <c r="B1679" s="2">
        <f>IFERROR(__xludf.DUMMYFUNCTION("""COMPUTED_VALUE"""),1.0)</f>
        <v>1</v>
      </c>
      <c r="C1679" s="2">
        <f>IFERROR(__xludf.DUMMYFUNCTION("""COMPUTED_VALUE"""),405.0)</f>
        <v>405</v>
      </c>
      <c r="D1679" s="3">
        <f>IFERROR(__xludf.DUMMYFUNCTION("""COMPUTED_VALUE"""),62.0)</f>
        <v>62</v>
      </c>
      <c r="E1679" s="1" t="str">
        <f t="array" ref="E1679">_xlfn.XLOOKUP(A1679,Product!A:A,Product!B:B,"Bulunamadı")</f>
        <v>History</v>
      </c>
      <c r="F1679" s="1" t="str">
        <f t="array" ref="F1679">_xlfn.XLOOKUP(A1679,Product!A:A,Product!C:C,"Bulunamadı")</f>
        <v>Productivity</v>
      </c>
      <c r="G1679" s="2" t="str">
        <f t="array" ref="G1679">_xlfn.XLOOKUP(A1680,Product!A:A,Product!D:D,"Bulunamadı")</f>
        <v>Silverpath Press</v>
      </c>
      <c r="H1679" s="2">
        <f t="array" ref="H1679">_xlfn.XLOOKUP(A1681,Product!A:A,Product!E:E,"Bulunamadı")</f>
        <v>2.16</v>
      </c>
      <c r="I1679" s="2" t="str">
        <f t="shared" si="1"/>
        <v>115733 - History - Productivity</v>
      </c>
      <c r="J1679" s="2">
        <f t="shared" si="2"/>
        <v>133.92</v>
      </c>
      <c r="K1679" s="17">
        <f t="shared" si="3"/>
        <v>1</v>
      </c>
      <c r="L1679" s="18"/>
    </row>
    <row r="1680" hidden="1">
      <c r="A1680" s="2">
        <f>IFERROR(__xludf.DUMMYFUNCTION("""COMPUTED_VALUE"""),26349.0)</f>
        <v>26349</v>
      </c>
      <c r="B1680" s="2">
        <f>IFERROR(__xludf.DUMMYFUNCTION("""COMPUTED_VALUE"""),1.0)</f>
        <v>1</v>
      </c>
      <c r="C1680" s="2">
        <f>IFERROR(__xludf.DUMMYFUNCTION("""COMPUTED_VALUE"""),736.0)</f>
        <v>736</v>
      </c>
      <c r="D1680" s="3">
        <f>IFERROR(__xludf.DUMMYFUNCTION("""COMPUTED_VALUE"""),311.0)</f>
        <v>311</v>
      </c>
      <c r="E1680" s="1" t="str">
        <f t="array" ref="E1680">_xlfn.XLOOKUP(A1680,Product!A:A,Product!B:B,"Bulunamadı")</f>
        <v>History</v>
      </c>
      <c r="F1680" s="1" t="str">
        <f t="array" ref="F1680">_xlfn.XLOOKUP(A1680,Product!A:A,Product!C:C,"Bulunamadı")</f>
        <v>Productivity</v>
      </c>
      <c r="G1680" s="2" t="str">
        <f t="array" ref="G1680">_xlfn.XLOOKUP(A1681,Product!A:A,Product!D:D,"Bulunamadı")</f>
        <v>Silverpath Press</v>
      </c>
      <c r="H1680" s="2">
        <f t="array" ref="H1680">_xlfn.XLOOKUP(A1682,Product!A:A,Product!E:E,"Bulunamadı")</f>
        <v>0.84</v>
      </c>
      <c r="I1680" s="2" t="str">
        <f t="shared" si="1"/>
        <v>26349 - History - Productivity</v>
      </c>
      <c r="J1680" s="2">
        <f t="shared" si="2"/>
        <v>261.24</v>
      </c>
      <c r="K1680" s="17">
        <f t="shared" si="3"/>
        <v>1</v>
      </c>
      <c r="L1680" s="18"/>
    </row>
    <row r="1681" hidden="1">
      <c r="A1681" s="2">
        <f>IFERROR(__xludf.DUMMYFUNCTION("""COMPUTED_VALUE"""),26350.0)</f>
        <v>26350</v>
      </c>
      <c r="B1681" s="2">
        <f>IFERROR(__xludf.DUMMYFUNCTION("""COMPUTED_VALUE"""),0.0)</f>
        <v>0</v>
      </c>
      <c r="C1681" s="2">
        <f>IFERROR(__xludf.DUMMYFUNCTION("""COMPUTED_VALUE"""),783.0)</f>
        <v>783</v>
      </c>
      <c r="D1681" s="3">
        <f>IFERROR(__xludf.DUMMYFUNCTION("""COMPUTED_VALUE"""),74.0)</f>
        <v>74</v>
      </c>
      <c r="E1681" s="1" t="str">
        <f t="array" ref="E1681">_xlfn.XLOOKUP(A1681,Product!A:A,Product!B:B,"Bulunamadı")</f>
        <v>History</v>
      </c>
      <c r="F1681" s="1" t="str">
        <f t="array" ref="F1681">_xlfn.XLOOKUP(A1681,Product!A:A,Product!C:C,"Bulunamadı")</f>
        <v>Productivity</v>
      </c>
      <c r="G1681" s="2" t="str">
        <f t="array" ref="G1681">_xlfn.XLOOKUP(A1682,Product!A:A,Product!D:D,"Bulunamadı")</f>
        <v>Silverpath Press</v>
      </c>
      <c r="H1681" s="2">
        <f t="array" ref="H1681">_xlfn.XLOOKUP(A1683,Product!A:A,Product!E:E,"Bulunamadı")</f>
        <v>2.27</v>
      </c>
      <c r="I1681" s="2" t="str">
        <f t="shared" si="1"/>
        <v>26350 - History - Productivity</v>
      </c>
      <c r="J1681" s="2">
        <f t="shared" si="2"/>
        <v>167.98</v>
      </c>
      <c r="K1681" s="17">
        <f t="shared" si="3"/>
        <v>1</v>
      </c>
      <c r="L1681" s="18"/>
    </row>
    <row r="1682" hidden="1">
      <c r="A1682" s="2">
        <f>IFERROR(__xludf.DUMMYFUNCTION("""COMPUTED_VALUE"""),115724.0)</f>
        <v>115724</v>
      </c>
      <c r="B1682" s="2">
        <f>IFERROR(__xludf.DUMMYFUNCTION("""COMPUTED_VALUE"""),1.0)</f>
        <v>1</v>
      </c>
      <c r="C1682" s="2">
        <f>IFERROR(__xludf.DUMMYFUNCTION("""COMPUTED_VALUE"""),946.0)</f>
        <v>946</v>
      </c>
      <c r="D1682" s="3">
        <f>IFERROR(__xludf.DUMMYFUNCTION("""COMPUTED_VALUE"""),551.0)</f>
        <v>551</v>
      </c>
      <c r="E1682" s="1" t="str">
        <f t="array" ref="E1682">_xlfn.XLOOKUP(A1682,Product!A:A,Product!B:B,"Bulunamadı")</f>
        <v>History</v>
      </c>
      <c r="F1682" s="1" t="str">
        <f t="array" ref="F1682">_xlfn.XLOOKUP(A1682,Product!A:A,Product!C:C,"Bulunamadı")</f>
        <v>Productivity</v>
      </c>
      <c r="G1682" s="2" t="str">
        <f t="array" ref="G1682">_xlfn.XLOOKUP(A1683,Product!A:A,Product!D:D,"Bulunamadı")</f>
        <v>Silverpath Press</v>
      </c>
      <c r="H1682" s="2">
        <f t="array" ref="H1682">_xlfn.XLOOKUP(A1684,Product!A:A,Product!E:E,"Bulunamadı")</f>
        <v>1.74</v>
      </c>
      <c r="I1682" s="2" t="str">
        <f t="shared" si="1"/>
        <v>115724 - History - Productivity</v>
      </c>
      <c r="J1682" s="2">
        <f t="shared" si="2"/>
        <v>958.74</v>
      </c>
      <c r="K1682" s="17">
        <f t="shared" si="3"/>
        <v>1</v>
      </c>
      <c r="L1682" s="18"/>
    </row>
    <row r="1683" hidden="1">
      <c r="A1683" s="2">
        <f>IFERROR(__xludf.DUMMYFUNCTION("""COMPUTED_VALUE"""),115726.0)</f>
        <v>115726</v>
      </c>
      <c r="B1683" s="2">
        <f>IFERROR(__xludf.DUMMYFUNCTION("""COMPUTED_VALUE"""),0.0)</f>
        <v>0</v>
      </c>
      <c r="C1683" s="2">
        <f>IFERROR(__xludf.DUMMYFUNCTION("""COMPUTED_VALUE"""),318.0)</f>
        <v>318</v>
      </c>
      <c r="D1683" s="3">
        <f>IFERROR(__xludf.DUMMYFUNCTION("""COMPUTED_VALUE"""),17.0)</f>
        <v>17</v>
      </c>
      <c r="E1683" s="1" t="str">
        <f t="array" ref="E1683">_xlfn.XLOOKUP(A1683,Product!A:A,Product!B:B,"Bulunamadı")</f>
        <v>History</v>
      </c>
      <c r="F1683" s="1" t="str">
        <f t="array" ref="F1683">_xlfn.XLOOKUP(A1683,Product!A:A,Product!C:C,"Bulunamadı")</f>
        <v>Productivity</v>
      </c>
      <c r="G1683" s="2" t="str">
        <f t="array" ref="G1683">_xlfn.XLOOKUP(A1684,Product!A:A,Product!D:D,"Bulunamadı")</f>
        <v>Silverpath Press</v>
      </c>
      <c r="H1683" s="2">
        <f t="array" ref="H1683">_xlfn.XLOOKUP(A1685,Product!A:A,Product!E:E,"Bulunamadı")</f>
        <v>2.74</v>
      </c>
      <c r="I1683" s="2" t="str">
        <f t="shared" si="1"/>
        <v>115726 - History - Productivity</v>
      </c>
      <c r="J1683" s="2">
        <f t="shared" si="2"/>
        <v>46.58</v>
      </c>
      <c r="K1683" s="17">
        <f t="shared" si="3"/>
        <v>1</v>
      </c>
      <c r="L1683" s="18"/>
    </row>
    <row r="1684" hidden="1">
      <c r="A1684" s="2">
        <f>IFERROR(__xludf.DUMMYFUNCTION("""COMPUTED_VALUE"""),26352.0)</f>
        <v>26352</v>
      </c>
      <c r="B1684" s="2">
        <f>IFERROR(__xludf.DUMMYFUNCTION("""COMPUTED_VALUE"""),0.0)</f>
        <v>0</v>
      </c>
      <c r="C1684" s="2">
        <f>IFERROR(__xludf.DUMMYFUNCTION("""COMPUTED_VALUE"""),667.0)</f>
        <v>667</v>
      </c>
      <c r="D1684" s="3">
        <f>IFERROR(__xludf.DUMMYFUNCTION("""COMPUTED_VALUE"""),359.0)</f>
        <v>359</v>
      </c>
      <c r="E1684" s="1" t="str">
        <f t="array" ref="E1684">_xlfn.XLOOKUP(A1684,Product!A:A,Product!B:B,"Bulunamadı")</f>
        <v>History</v>
      </c>
      <c r="F1684" s="1" t="str">
        <f t="array" ref="F1684">_xlfn.XLOOKUP(A1684,Product!A:A,Product!C:C,"Bulunamadı")</f>
        <v>Productivity</v>
      </c>
      <c r="G1684" s="2" t="str">
        <f t="array" ref="G1684">_xlfn.XLOOKUP(A1685,Product!A:A,Product!D:D,"Bulunamadı")</f>
        <v>Northpath Publishing</v>
      </c>
      <c r="H1684" s="2">
        <f t="array" ref="H1684">_xlfn.XLOOKUP(A1686,Product!A:A,Product!E:E,"Bulunamadı")</f>
        <v>0.45</v>
      </c>
      <c r="I1684" s="2" t="str">
        <f t="shared" si="1"/>
        <v>26352 - History - Productivity</v>
      </c>
      <c r="J1684" s="2">
        <f t="shared" si="2"/>
        <v>161.55</v>
      </c>
      <c r="K1684" s="17">
        <f t="shared" si="3"/>
        <v>1</v>
      </c>
      <c r="L1684" s="18"/>
    </row>
    <row r="1685" hidden="1">
      <c r="A1685" s="2">
        <f>IFERROR(__xludf.DUMMYFUNCTION("""COMPUTED_VALUE"""),19782.0)</f>
        <v>19782</v>
      </c>
      <c r="B1685" s="2">
        <f>IFERROR(__xludf.DUMMYFUNCTION("""COMPUTED_VALUE"""),1.0)</f>
        <v>1</v>
      </c>
      <c r="C1685" s="2">
        <f>IFERROR(__xludf.DUMMYFUNCTION("""COMPUTED_VALUE"""),640.0)</f>
        <v>640</v>
      </c>
      <c r="D1685" s="3">
        <f>IFERROR(__xludf.DUMMYFUNCTION("""COMPUTED_VALUE"""),445.0)</f>
        <v>445</v>
      </c>
      <c r="E1685" s="1" t="str">
        <f t="array" ref="E1685">_xlfn.XLOOKUP(A1685,Product!A:A,Product!B:B,"Bulunamadı")</f>
        <v>History</v>
      </c>
      <c r="F1685" s="1" t="str">
        <f t="array" ref="F1685">_xlfn.XLOOKUP(A1685,Product!A:A,Product!C:C,"Bulunamadı")</f>
        <v>Productivity</v>
      </c>
      <c r="G1685" s="2" t="str">
        <f t="array" ref="G1685">_xlfn.XLOOKUP(A1686,Product!A:A,Product!D:D,"Bulunamadı")</f>
        <v>Harborpath Books</v>
      </c>
      <c r="H1685" s="2">
        <f t="array" ref="H1685">_xlfn.XLOOKUP(A1687,Product!A:A,Product!E:E,"Bulunamadı")</f>
        <v>2.15</v>
      </c>
      <c r="I1685" s="2" t="str">
        <f t="shared" si="1"/>
        <v>19782 - History - Productivity</v>
      </c>
      <c r="J1685" s="2">
        <f t="shared" si="2"/>
        <v>956.75</v>
      </c>
      <c r="K1685" s="17">
        <f t="shared" si="3"/>
        <v>1</v>
      </c>
      <c r="L1685" s="18"/>
    </row>
    <row r="1686" hidden="1">
      <c r="A1686" s="2">
        <f>IFERROR(__xludf.DUMMYFUNCTION("""COMPUTED_VALUE"""),19793.0)</f>
        <v>19793</v>
      </c>
      <c r="B1686" s="2">
        <f>IFERROR(__xludf.DUMMYFUNCTION("""COMPUTED_VALUE"""),1.0)</f>
        <v>1</v>
      </c>
      <c r="C1686" s="2">
        <f>IFERROR(__xludf.DUMMYFUNCTION("""COMPUTED_VALUE"""),807.0)</f>
        <v>807</v>
      </c>
      <c r="D1686" s="3">
        <f>IFERROR(__xludf.DUMMYFUNCTION("""COMPUTED_VALUE"""),194.0)</f>
        <v>194</v>
      </c>
      <c r="E1686" s="1" t="str">
        <f t="array" ref="E1686">_xlfn.XLOOKUP(A1686,Product!A:A,Product!B:B,"Bulunamadı")</f>
        <v>History</v>
      </c>
      <c r="F1686" s="1" t="str">
        <f t="array" ref="F1686">_xlfn.XLOOKUP(A1686,Product!A:A,Product!C:C,"Bulunamadı")</f>
        <v>Productivity</v>
      </c>
      <c r="G1686" s="2" t="str">
        <f t="array" ref="G1686">_xlfn.XLOOKUP(A1687,Product!A:A,Product!D:D,"Bulunamadı")</f>
        <v>Harborpath Books</v>
      </c>
      <c r="H1686" s="2">
        <f t="array" ref="H1686">_xlfn.XLOOKUP(A1688,Product!A:A,Product!E:E,"Bulunamadı")</f>
        <v>3.6</v>
      </c>
      <c r="I1686" s="2" t="str">
        <f t="shared" si="1"/>
        <v>19793 - History - Productivity</v>
      </c>
      <c r="J1686" s="2">
        <f t="shared" si="2"/>
        <v>698.4</v>
      </c>
      <c r="K1686" s="17">
        <f t="shared" si="3"/>
        <v>1</v>
      </c>
      <c r="L1686" s="18"/>
    </row>
    <row r="1687" hidden="1">
      <c r="A1687" s="2">
        <f>IFERROR(__xludf.DUMMYFUNCTION("""COMPUTED_VALUE"""),87604.0)</f>
        <v>87604</v>
      </c>
      <c r="B1687" s="2">
        <f>IFERROR(__xludf.DUMMYFUNCTION("""COMPUTED_VALUE"""),1.0)</f>
        <v>1</v>
      </c>
      <c r="C1687" s="2">
        <f>IFERROR(__xludf.DUMMYFUNCTION("""COMPUTED_VALUE"""),671.0)</f>
        <v>671</v>
      </c>
      <c r="D1687" s="3">
        <f>IFERROR(__xludf.DUMMYFUNCTION("""COMPUTED_VALUE"""),269.0)</f>
        <v>269</v>
      </c>
      <c r="E1687" s="1" t="str">
        <f t="array" ref="E1687">_xlfn.XLOOKUP(A1687,Product!A:A,Product!B:B,"Bulunamadı")</f>
        <v>History</v>
      </c>
      <c r="F1687" s="1" t="str">
        <f t="array" ref="F1687">_xlfn.XLOOKUP(A1687,Product!A:A,Product!C:C,"Bulunamadı")</f>
        <v>Productivity</v>
      </c>
      <c r="G1687" s="2" t="str">
        <f t="array" ref="G1687">_xlfn.XLOOKUP(A1688,Product!A:A,Product!D:D,"Bulunamadı")</f>
        <v>Cedarpath Press</v>
      </c>
      <c r="H1687" s="2">
        <f t="array" ref="H1687">_xlfn.XLOOKUP(A1689,Product!A:A,Product!E:E,"Bulunamadı")</f>
        <v>8.67</v>
      </c>
      <c r="I1687" s="2" t="str">
        <f t="shared" si="1"/>
        <v>87604 - History - Productivity</v>
      </c>
      <c r="J1687" s="2">
        <f t="shared" si="2"/>
        <v>2332.23</v>
      </c>
      <c r="K1687" s="17">
        <f t="shared" si="3"/>
        <v>1</v>
      </c>
      <c r="L1687" s="18"/>
    </row>
    <row r="1688" hidden="1">
      <c r="A1688" s="2">
        <f>IFERROR(__xludf.DUMMYFUNCTION("""COMPUTED_VALUE"""),29931.0)</f>
        <v>29931</v>
      </c>
      <c r="B1688" s="2">
        <f>IFERROR(__xludf.DUMMYFUNCTION("""COMPUTED_VALUE"""),0.0)</f>
        <v>0</v>
      </c>
      <c r="C1688" s="2">
        <f>IFERROR(__xludf.DUMMYFUNCTION("""COMPUTED_VALUE"""),385.0)</f>
        <v>385</v>
      </c>
      <c r="D1688" s="3">
        <f>IFERROR(__xludf.DUMMYFUNCTION("""COMPUTED_VALUE"""),67.0)</f>
        <v>67</v>
      </c>
      <c r="E1688" s="1" t="str">
        <f t="array" ref="E1688">_xlfn.XLOOKUP(A1688,Product!A:A,Product!B:B,"Bulunamadı")</f>
        <v>History</v>
      </c>
      <c r="F1688" s="1" t="str">
        <f t="array" ref="F1688">_xlfn.XLOOKUP(A1688,Product!A:A,Product!C:C,"Bulunamadı")</f>
        <v>Productivity</v>
      </c>
      <c r="G1688" s="2" t="str">
        <f t="array" ref="G1688">_xlfn.XLOOKUP(A1689,Product!A:A,Product!D:D,"Bulunamadı")</f>
        <v>Cedarpath Press</v>
      </c>
      <c r="H1688" s="2">
        <f t="array" ref="H1688">_xlfn.XLOOKUP(A1690,Product!A:A,Product!E:E,"Bulunamadı")</f>
        <v>0.84</v>
      </c>
      <c r="I1688" s="2" t="str">
        <f t="shared" si="1"/>
        <v>29931 - History - Productivity</v>
      </c>
      <c r="J1688" s="2">
        <f t="shared" si="2"/>
        <v>56.28</v>
      </c>
      <c r="K1688" s="17">
        <f t="shared" si="3"/>
        <v>1</v>
      </c>
      <c r="L1688" s="18"/>
    </row>
    <row r="1689" hidden="1">
      <c r="A1689" s="2">
        <f>IFERROR(__xludf.DUMMYFUNCTION("""COMPUTED_VALUE"""),9335.0)</f>
        <v>9335</v>
      </c>
      <c r="B1689" s="2">
        <f>IFERROR(__xludf.DUMMYFUNCTION("""COMPUTED_VALUE"""),1.0)</f>
        <v>1</v>
      </c>
      <c r="C1689" s="2">
        <f>IFERROR(__xludf.DUMMYFUNCTION("""COMPUTED_VALUE"""),917.0)</f>
        <v>917</v>
      </c>
      <c r="D1689" s="3">
        <f>IFERROR(__xludf.DUMMYFUNCTION("""COMPUTED_VALUE"""),51.0)</f>
        <v>51</v>
      </c>
      <c r="E1689" s="1" t="str">
        <f t="array" ref="E1689">_xlfn.XLOOKUP(A1689,Product!A:A,Product!B:B,"Bulunamadı")</f>
        <v>History</v>
      </c>
      <c r="F1689" s="1" t="str">
        <f t="array" ref="F1689">_xlfn.XLOOKUP(A1689,Product!A:A,Product!C:C,"Bulunamadı")</f>
        <v>Productivity</v>
      </c>
      <c r="G1689" s="2" t="str">
        <f t="array" ref="G1689">_xlfn.XLOOKUP(A1690,Product!A:A,Product!D:D,"Bulunamadı")</f>
        <v>Brightpath Publishing</v>
      </c>
      <c r="H1689" s="2">
        <f t="array" ref="H1689">_xlfn.XLOOKUP(A1691,Product!A:A,Product!E:E,"Bulunamadı")</f>
        <v>1.89</v>
      </c>
      <c r="I1689" s="2" t="str">
        <f t="shared" si="1"/>
        <v>9335 - History - Productivity</v>
      </c>
      <c r="J1689" s="2">
        <f t="shared" si="2"/>
        <v>96.39</v>
      </c>
      <c r="K1689" s="17">
        <f t="shared" si="3"/>
        <v>1</v>
      </c>
      <c r="L1689" s="18"/>
    </row>
    <row r="1690" hidden="1">
      <c r="A1690" s="2">
        <f>IFERROR(__xludf.DUMMYFUNCTION("""COMPUTED_VALUE"""),88722.0)</f>
        <v>88722</v>
      </c>
      <c r="B1690" s="2">
        <f>IFERROR(__xludf.DUMMYFUNCTION("""COMPUTED_VALUE"""),1.0)</f>
        <v>1</v>
      </c>
      <c r="C1690" s="2">
        <f>IFERROR(__xludf.DUMMYFUNCTION("""COMPUTED_VALUE"""),968.0)</f>
        <v>968</v>
      </c>
      <c r="D1690" s="3">
        <f>IFERROR(__xludf.DUMMYFUNCTION("""COMPUTED_VALUE"""),190.0)</f>
        <v>190</v>
      </c>
      <c r="E1690" s="1" t="str">
        <f t="array" ref="E1690">_xlfn.XLOOKUP(A1690,Product!A:A,Product!B:B,"Bulunamadı")</f>
        <v>History</v>
      </c>
      <c r="F1690" s="1" t="str">
        <f t="array" ref="F1690">_xlfn.XLOOKUP(A1690,Product!A:A,Product!C:C,"Bulunamadı")</f>
        <v>Productivity</v>
      </c>
      <c r="G1690" s="2" t="str">
        <f t="array" ref="G1690">_xlfn.XLOOKUP(A1691,Product!A:A,Product!D:D,"Bulunamadı")</f>
        <v>Brightpath Publishing</v>
      </c>
      <c r="H1690" s="2">
        <f t="array" ref="H1690">_xlfn.XLOOKUP(A1692,Product!A:A,Product!E:E,"Bulunamadı")</f>
        <v>6.8</v>
      </c>
      <c r="I1690" s="2" t="str">
        <f t="shared" si="1"/>
        <v>88722 - History - Productivity</v>
      </c>
      <c r="J1690" s="2">
        <f t="shared" si="2"/>
        <v>1292</v>
      </c>
      <c r="K1690" s="17">
        <f t="shared" si="3"/>
        <v>1</v>
      </c>
      <c r="L1690" s="18"/>
    </row>
    <row r="1691" hidden="1">
      <c r="A1691" s="2">
        <f>IFERROR(__xludf.DUMMYFUNCTION("""COMPUTED_VALUE"""),121865.0)</f>
        <v>121865</v>
      </c>
      <c r="B1691" s="2">
        <f>IFERROR(__xludf.DUMMYFUNCTION("""COMPUTED_VALUE"""),0.0)</f>
        <v>0</v>
      </c>
      <c r="C1691" s="2">
        <f>IFERROR(__xludf.DUMMYFUNCTION("""COMPUTED_VALUE"""),154.0)</f>
        <v>154</v>
      </c>
      <c r="D1691" s="3">
        <f>IFERROR(__xludf.DUMMYFUNCTION("""COMPUTED_VALUE"""),105.0)</f>
        <v>105</v>
      </c>
      <c r="E1691" s="1" t="str">
        <f t="array" ref="E1691">_xlfn.XLOOKUP(A1691,Product!A:A,Product!B:B,"Bulunamadı")</f>
        <v>History</v>
      </c>
      <c r="F1691" s="1" t="str">
        <f t="array" ref="F1691">_xlfn.XLOOKUP(A1691,Product!A:A,Product!C:C,"Bulunamadı")</f>
        <v>Productivity</v>
      </c>
      <c r="G1691" s="2" t="str">
        <f t="array" ref="G1691">_xlfn.XLOOKUP(A1692,Product!A:A,Product!D:D,"Bulunamadı")</f>
        <v>Brightpath Publishing</v>
      </c>
      <c r="H1691" s="2">
        <f t="array" ref="H1691">_xlfn.XLOOKUP(A1693,Product!A:A,Product!E:E,"Bulunamadı")</f>
        <v>2.08</v>
      </c>
      <c r="I1691" s="2" t="str">
        <f t="shared" si="1"/>
        <v>121865 - History - Productivity</v>
      </c>
      <c r="J1691" s="2">
        <f t="shared" si="2"/>
        <v>218.4</v>
      </c>
      <c r="K1691" s="17">
        <f t="shared" si="3"/>
        <v>1</v>
      </c>
      <c r="L1691" s="18"/>
    </row>
    <row r="1692" hidden="1">
      <c r="A1692" s="2">
        <f>IFERROR(__xludf.DUMMYFUNCTION("""COMPUTED_VALUE"""),100934.0)</f>
        <v>100934</v>
      </c>
      <c r="B1692" s="2">
        <f>IFERROR(__xludf.DUMMYFUNCTION("""COMPUTED_VALUE"""),0.0)</f>
        <v>0</v>
      </c>
      <c r="C1692" s="2">
        <f>IFERROR(__xludf.DUMMYFUNCTION("""COMPUTED_VALUE"""),913.0)</f>
        <v>913</v>
      </c>
      <c r="D1692" s="3">
        <f>IFERROR(__xludf.DUMMYFUNCTION("""COMPUTED_VALUE"""),330.0)</f>
        <v>330</v>
      </c>
      <c r="E1692" s="1" t="str">
        <f t="array" ref="E1692">_xlfn.XLOOKUP(A1692,Product!A:A,Product!B:B,"Bulunamadı")</f>
        <v>History</v>
      </c>
      <c r="F1692" s="1" t="str">
        <f t="array" ref="F1692">_xlfn.XLOOKUP(A1692,Product!A:A,Product!C:C,"Bulunamadı")</f>
        <v>Productivity</v>
      </c>
      <c r="G1692" s="2" t="str">
        <f t="array" ref="G1692">_xlfn.XLOOKUP(A1693,Product!A:A,Product!D:D,"Bulunamadı")</f>
        <v>Brightpath Publishing</v>
      </c>
      <c r="H1692" s="2">
        <f t="array" ref="H1692">_xlfn.XLOOKUP(A1694,Product!A:A,Product!E:E,"Bulunamadı")</f>
        <v>2.52</v>
      </c>
      <c r="I1692" s="2" t="str">
        <f t="shared" si="1"/>
        <v>100934 - History - Productivity</v>
      </c>
      <c r="J1692" s="2">
        <f t="shared" si="2"/>
        <v>831.6</v>
      </c>
      <c r="K1692" s="17">
        <f t="shared" si="3"/>
        <v>1</v>
      </c>
      <c r="L1692" s="18"/>
    </row>
    <row r="1693" hidden="1">
      <c r="A1693" s="2">
        <f>IFERROR(__xludf.DUMMYFUNCTION("""COMPUTED_VALUE"""),117116.0)</f>
        <v>117116</v>
      </c>
      <c r="B1693" s="2">
        <f>IFERROR(__xludf.DUMMYFUNCTION("""COMPUTED_VALUE"""),0.0)</f>
        <v>0</v>
      </c>
      <c r="C1693" s="2">
        <f>IFERROR(__xludf.DUMMYFUNCTION("""COMPUTED_VALUE"""),857.0)</f>
        <v>857</v>
      </c>
      <c r="D1693" s="3">
        <f>IFERROR(__xludf.DUMMYFUNCTION("""COMPUTED_VALUE"""),266.0)</f>
        <v>266</v>
      </c>
      <c r="E1693" s="1" t="str">
        <f t="array" ref="E1693">_xlfn.XLOOKUP(A1693,Product!A:A,Product!B:B,"Bulunamadı")</f>
        <v>History</v>
      </c>
      <c r="F1693" s="1" t="str">
        <f t="array" ref="F1693">_xlfn.XLOOKUP(A1693,Product!A:A,Product!C:C,"Bulunamadı")</f>
        <v>Productivity</v>
      </c>
      <c r="G1693" s="2" t="str">
        <f t="array" ref="G1693">_xlfn.XLOOKUP(A1694,Product!A:A,Product!D:D,"Bulunamadı")</f>
        <v>Brightpath Publishing</v>
      </c>
      <c r="H1693" s="2">
        <f t="array" ref="H1693">_xlfn.XLOOKUP(A1695,Product!A:A,Product!E:E,"Bulunamadı")</f>
        <v>2.16</v>
      </c>
      <c r="I1693" s="2" t="str">
        <f t="shared" si="1"/>
        <v>117116 - History - Productivity</v>
      </c>
      <c r="J1693" s="2">
        <f t="shared" si="2"/>
        <v>574.56</v>
      </c>
      <c r="K1693" s="17">
        <f t="shared" si="3"/>
        <v>1</v>
      </c>
      <c r="L1693" s="18"/>
    </row>
    <row r="1694" hidden="1">
      <c r="A1694" s="2">
        <f>IFERROR(__xludf.DUMMYFUNCTION("""COMPUTED_VALUE"""),19802.0)</f>
        <v>19802</v>
      </c>
      <c r="B1694" s="2">
        <f>IFERROR(__xludf.DUMMYFUNCTION("""COMPUTED_VALUE"""),1.0)</f>
        <v>1</v>
      </c>
      <c r="C1694" s="2">
        <f>IFERROR(__xludf.DUMMYFUNCTION("""COMPUTED_VALUE"""),212.0)</f>
        <v>212</v>
      </c>
      <c r="D1694" s="3">
        <f>IFERROR(__xludf.DUMMYFUNCTION("""COMPUTED_VALUE"""),113.0)</f>
        <v>113</v>
      </c>
      <c r="E1694" s="1" t="str">
        <f t="array" ref="E1694">_xlfn.XLOOKUP(A1694,Product!A:A,Product!B:B,"Bulunamadı")</f>
        <v>History</v>
      </c>
      <c r="F1694" s="1" t="str">
        <f t="array" ref="F1694">_xlfn.XLOOKUP(A1694,Product!A:A,Product!C:C,"Bulunamadı")</f>
        <v>Productivity</v>
      </c>
      <c r="G1694" s="2" t="str">
        <f t="array" ref="G1694">_xlfn.XLOOKUP(A1695,Product!A:A,Product!D:D,"Bulunamadı")</f>
        <v>Brightpath Publishing</v>
      </c>
      <c r="H1694" s="2">
        <f t="array" ref="H1694">_xlfn.XLOOKUP(A1696,Product!A:A,Product!E:E,"Bulunamadı")</f>
        <v>6.16</v>
      </c>
      <c r="I1694" s="2" t="str">
        <f t="shared" si="1"/>
        <v>19802 - History - Productivity</v>
      </c>
      <c r="J1694" s="2">
        <f t="shared" si="2"/>
        <v>696.08</v>
      </c>
      <c r="K1694" s="17">
        <f t="shared" si="3"/>
        <v>1</v>
      </c>
      <c r="L1694" s="18"/>
    </row>
    <row r="1695" hidden="1">
      <c r="A1695" s="2">
        <f>IFERROR(__xludf.DUMMYFUNCTION("""COMPUTED_VALUE"""),81780.0)</f>
        <v>81780</v>
      </c>
      <c r="B1695" s="2">
        <f>IFERROR(__xludf.DUMMYFUNCTION("""COMPUTED_VALUE"""),1.0)</f>
        <v>1</v>
      </c>
      <c r="C1695" s="2">
        <f>IFERROR(__xludf.DUMMYFUNCTION("""COMPUTED_VALUE"""),509.0)</f>
        <v>509</v>
      </c>
      <c r="D1695" s="3">
        <f>IFERROR(__xludf.DUMMYFUNCTION("""COMPUTED_VALUE"""),110.0)</f>
        <v>110</v>
      </c>
      <c r="E1695" s="1" t="str">
        <f t="array" ref="E1695">_xlfn.XLOOKUP(A1695,Product!A:A,Product!B:B,"Bulunamadı")</f>
        <v>History</v>
      </c>
      <c r="F1695" s="1" t="str">
        <f t="array" ref="F1695">_xlfn.XLOOKUP(A1695,Product!A:A,Product!C:C,"Bulunamadı")</f>
        <v>Productivity</v>
      </c>
      <c r="G1695" s="2" t="str">
        <f t="array" ref="G1695">_xlfn.XLOOKUP(A1696,Product!A:A,Product!D:D,"Bulunamadı")</f>
        <v>Brightpath Publishing</v>
      </c>
      <c r="H1695" s="2">
        <f t="array" ref="H1695">_xlfn.XLOOKUP(A1697,Product!A:A,Product!E:E,"Bulunamadı")</f>
        <v>0.49</v>
      </c>
      <c r="I1695" s="2" t="str">
        <f t="shared" si="1"/>
        <v>81780 - History - Productivity</v>
      </c>
      <c r="J1695" s="2">
        <f t="shared" si="2"/>
        <v>53.9</v>
      </c>
      <c r="K1695" s="17">
        <f t="shared" si="3"/>
        <v>1</v>
      </c>
      <c r="L1695" s="18"/>
    </row>
    <row r="1696" hidden="1">
      <c r="A1696" s="2">
        <f>IFERROR(__xludf.DUMMYFUNCTION("""COMPUTED_VALUE"""),117094.0)</f>
        <v>117094</v>
      </c>
      <c r="B1696" s="2">
        <f>IFERROR(__xludf.DUMMYFUNCTION("""COMPUTED_VALUE"""),0.0)</f>
        <v>0</v>
      </c>
      <c r="C1696" s="2">
        <f>IFERROR(__xludf.DUMMYFUNCTION("""COMPUTED_VALUE"""),961.0)</f>
        <v>961</v>
      </c>
      <c r="D1696" s="3">
        <f>IFERROR(__xludf.DUMMYFUNCTION("""COMPUTED_VALUE"""),341.0)</f>
        <v>341</v>
      </c>
      <c r="E1696" s="1" t="str">
        <f t="array" ref="E1696">_xlfn.XLOOKUP(A1696,Product!A:A,Product!B:B,"Bulunamadı")</f>
        <v>History</v>
      </c>
      <c r="F1696" s="1" t="str">
        <f t="array" ref="F1696">_xlfn.XLOOKUP(A1696,Product!A:A,Product!C:C,"Bulunamadı")</f>
        <v>Productivity</v>
      </c>
      <c r="G1696" s="2" t="str">
        <f t="array" ref="G1696">_xlfn.XLOOKUP(A1697,Product!A:A,Product!D:D,"Bulunamadı")</f>
        <v>Brightpath Publishing</v>
      </c>
      <c r="H1696" s="2">
        <f t="array" ref="H1696">_xlfn.XLOOKUP(A1698,Product!A:A,Product!E:E,"Bulunamadı")</f>
        <v>4.24</v>
      </c>
      <c r="I1696" s="2" t="str">
        <f t="shared" si="1"/>
        <v>117094 - History - Productivity</v>
      </c>
      <c r="J1696" s="2">
        <f t="shared" si="2"/>
        <v>1445.84</v>
      </c>
      <c r="K1696" s="17">
        <f t="shared" si="3"/>
        <v>1</v>
      </c>
      <c r="L1696" s="18"/>
    </row>
    <row r="1697" hidden="1">
      <c r="A1697" s="2">
        <f>IFERROR(__xludf.DUMMYFUNCTION("""COMPUTED_VALUE"""),19797.0)</f>
        <v>19797</v>
      </c>
      <c r="B1697" s="2">
        <f>IFERROR(__xludf.DUMMYFUNCTION("""COMPUTED_VALUE"""),0.0)</f>
        <v>0</v>
      </c>
      <c r="C1697" s="2">
        <f>IFERROR(__xludf.DUMMYFUNCTION("""COMPUTED_VALUE"""),744.0)</f>
        <v>744</v>
      </c>
      <c r="D1697" s="3">
        <f>IFERROR(__xludf.DUMMYFUNCTION("""COMPUTED_VALUE"""),680.0)</f>
        <v>680</v>
      </c>
      <c r="E1697" s="1" t="str">
        <f t="array" ref="E1697">_xlfn.XLOOKUP(A1697,Product!A:A,Product!B:B,"Bulunamadı")</f>
        <v>History</v>
      </c>
      <c r="F1697" s="1" t="str">
        <f t="array" ref="F1697">_xlfn.XLOOKUP(A1697,Product!A:A,Product!C:C,"Bulunamadı")</f>
        <v>Productivity</v>
      </c>
      <c r="G1697" s="2" t="str">
        <f t="array" ref="G1697">_xlfn.XLOOKUP(A1698,Product!A:A,Product!D:D,"Bulunamadı")</f>
        <v>Brightpath Publishing</v>
      </c>
      <c r="H1697" s="2">
        <f t="array" ref="H1697">_xlfn.XLOOKUP(A1699,Product!A:A,Product!E:E,"Bulunamadı")</f>
        <v>2.63</v>
      </c>
      <c r="I1697" s="2" t="str">
        <f t="shared" si="1"/>
        <v>19797 - History - Productivity</v>
      </c>
      <c r="J1697" s="2">
        <f t="shared" si="2"/>
        <v>1788.4</v>
      </c>
      <c r="K1697" s="17">
        <f t="shared" si="3"/>
        <v>1</v>
      </c>
      <c r="L1697" s="18"/>
    </row>
    <row r="1698" hidden="1">
      <c r="A1698" s="2">
        <f>IFERROR(__xludf.DUMMYFUNCTION("""COMPUTED_VALUE"""),86131.0)</f>
        <v>86131</v>
      </c>
      <c r="B1698" s="2">
        <f>IFERROR(__xludf.DUMMYFUNCTION("""COMPUTED_VALUE"""),1.0)</f>
        <v>1</v>
      </c>
      <c r="C1698" s="2">
        <f>IFERROR(__xludf.DUMMYFUNCTION("""COMPUTED_VALUE"""),309.0)</f>
        <v>309</v>
      </c>
      <c r="D1698" s="3">
        <f>IFERROR(__xludf.DUMMYFUNCTION("""COMPUTED_VALUE"""),275.0)</f>
        <v>275</v>
      </c>
      <c r="E1698" s="1" t="str">
        <f t="array" ref="E1698">_xlfn.XLOOKUP(A1698,Product!A:A,Product!B:B,"Bulunamadı")</f>
        <v>History</v>
      </c>
      <c r="F1698" s="1" t="str">
        <f t="array" ref="F1698">_xlfn.XLOOKUP(A1698,Product!A:A,Product!C:C,"Bulunamadı")</f>
        <v>Productivity</v>
      </c>
      <c r="G1698" s="2" t="str">
        <f t="array" ref="G1698">_xlfn.XLOOKUP(A1699,Product!A:A,Product!D:D,"Bulunamadı")</f>
        <v>Brightpath Publishing</v>
      </c>
      <c r="H1698" s="2">
        <f t="array" ref="H1698">_xlfn.XLOOKUP(A1700,Product!A:A,Product!E:E,"Bulunamadı")</f>
        <v>5.33</v>
      </c>
      <c r="I1698" s="2" t="str">
        <f t="shared" si="1"/>
        <v>86131 - History - Productivity</v>
      </c>
      <c r="J1698" s="2">
        <f t="shared" si="2"/>
        <v>1465.75</v>
      </c>
      <c r="K1698" s="17">
        <f t="shared" si="3"/>
        <v>1</v>
      </c>
      <c r="L1698" s="18"/>
    </row>
    <row r="1699" hidden="1">
      <c r="A1699" s="2">
        <f>IFERROR(__xludf.DUMMYFUNCTION("""COMPUTED_VALUE"""),121864.0)</f>
        <v>121864</v>
      </c>
      <c r="B1699" s="2">
        <f>IFERROR(__xludf.DUMMYFUNCTION("""COMPUTED_VALUE"""),1.0)</f>
        <v>1</v>
      </c>
      <c r="C1699" s="2">
        <f>IFERROR(__xludf.DUMMYFUNCTION("""COMPUTED_VALUE"""),190.0)</f>
        <v>190</v>
      </c>
      <c r="D1699" s="3">
        <f>IFERROR(__xludf.DUMMYFUNCTION("""COMPUTED_VALUE"""),174.0)</f>
        <v>174</v>
      </c>
      <c r="E1699" s="1" t="str">
        <f t="array" ref="E1699">_xlfn.XLOOKUP(A1699,Product!A:A,Product!B:B,"Bulunamadı")</f>
        <v>History</v>
      </c>
      <c r="F1699" s="1" t="str">
        <f t="array" ref="F1699">_xlfn.XLOOKUP(A1699,Product!A:A,Product!C:C,"Bulunamadı")</f>
        <v>Productivity</v>
      </c>
      <c r="G1699" s="2" t="str">
        <f t="array" ref="G1699">_xlfn.XLOOKUP(A1700,Product!A:A,Product!D:D,"Bulunamadı")</f>
        <v>Oakpath Books</v>
      </c>
      <c r="H1699" s="2">
        <f t="array" ref="H1699">_xlfn.XLOOKUP(A1701,Product!A:A,Product!E:E,"Bulunamadı")</f>
        <v>3</v>
      </c>
      <c r="I1699" s="2" t="str">
        <f t="shared" si="1"/>
        <v>121864 - History - Productivity</v>
      </c>
      <c r="J1699" s="2">
        <f t="shared" si="2"/>
        <v>522</v>
      </c>
      <c r="K1699" s="17">
        <f t="shared" si="3"/>
        <v>1</v>
      </c>
      <c r="L1699" s="18"/>
    </row>
    <row r="1700" hidden="1">
      <c r="A1700" s="2">
        <f>IFERROR(__xludf.DUMMYFUNCTION("""COMPUTED_VALUE"""),15061.0)</f>
        <v>15061</v>
      </c>
      <c r="B1700" s="2">
        <f>IFERROR(__xludf.DUMMYFUNCTION("""COMPUTED_VALUE"""),0.0)</f>
        <v>0</v>
      </c>
      <c r="C1700" s="2">
        <f>IFERROR(__xludf.DUMMYFUNCTION("""COMPUTED_VALUE"""),267.0)</f>
        <v>267</v>
      </c>
      <c r="D1700" s="3">
        <f>IFERROR(__xludf.DUMMYFUNCTION("""COMPUTED_VALUE"""),100.0)</f>
        <v>100</v>
      </c>
      <c r="E1700" s="1" t="str">
        <f t="array" ref="E1700">_xlfn.XLOOKUP(A1700,Product!A:A,Product!B:B,"Bulunamadı")</f>
        <v>History</v>
      </c>
      <c r="F1700" s="1" t="str">
        <f t="array" ref="F1700">_xlfn.XLOOKUP(A1700,Product!A:A,Product!C:C,"Bulunamadı")</f>
        <v>Productivity</v>
      </c>
      <c r="G1700" s="2" t="str">
        <f t="array" ref="G1700">_xlfn.XLOOKUP(A1701,Product!A:A,Product!D:D,"Bulunamadı")</f>
        <v>Riverpath Press</v>
      </c>
      <c r="H1700" s="2">
        <f t="array" ref="H1700">_xlfn.XLOOKUP(A1702,Product!A:A,Product!E:E,"Bulunamadı")</f>
        <v>0.87</v>
      </c>
      <c r="I1700" s="2" t="str">
        <f t="shared" si="1"/>
        <v>15061 - History - Productivity</v>
      </c>
      <c r="J1700" s="2">
        <f t="shared" si="2"/>
        <v>87</v>
      </c>
      <c r="K1700" s="17">
        <f t="shared" si="3"/>
        <v>1</v>
      </c>
      <c r="L1700" s="18"/>
    </row>
    <row r="1701" hidden="1">
      <c r="A1701" s="2">
        <f>IFERROR(__xludf.DUMMYFUNCTION("""COMPUTED_VALUE"""),79929.0)</f>
        <v>79929</v>
      </c>
      <c r="B1701" s="2">
        <f>IFERROR(__xludf.DUMMYFUNCTION("""COMPUTED_VALUE"""),0.0)</f>
        <v>0</v>
      </c>
      <c r="C1701" s="2">
        <f>IFERROR(__xludf.DUMMYFUNCTION("""COMPUTED_VALUE"""),631.0)</f>
        <v>631</v>
      </c>
      <c r="D1701" s="3">
        <f>IFERROR(__xludf.DUMMYFUNCTION("""COMPUTED_VALUE"""),616.0)</f>
        <v>616</v>
      </c>
      <c r="E1701" s="1" t="str">
        <f t="array" ref="E1701">_xlfn.XLOOKUP(A1701,Product!A:A,Product!B:B,"Bulunamadı")</f>
        <v>History</v>
      </c>
      <c r="F1701" s="1" t="str">
        <f t="array" ref="F1701">_xlfn.XLOOKUP(A1701,Product!A:A,Product!C:C,"Bulunamadı")</f>
        <v>Productivity</v>
      </c>
      <c r="G1701" s="2" t="str">
        <f t="array" ref="G1701">_xlfn.XLOOKUP(A1702,Product!A:A,Product!D:D,"Bulunamadı")</f>
        <v>Ironpath Publishing</v>
      </c>
      <c r="H1701" s="2">
        <f t="array" ref="H1701">_xlfn.XLOOKUP(A1703,Product!A:A,Product!E:E,"Bulunamadı")</f>
        <v>5.23</v>
      </c>
      <c r="I1701" s="2" t="str">
        <f t="shared" si="1"/>
        <v>79929 - History - Productivity</v>
      </c>
      <c r="J1701" s="2">
        <f t="shared" si="2"/>
        <v>3221.68</v>
      </c>
      <c r="K1701" s="17">
        <f t="shared" si="3"/>
        <v>1</v>
      </c>
      <c r="L1701" s="18"/>
    </row>
    <row r="1702" hidden="1">
      <c r="A1702" s="2">
        <f>IFERROR(__xludf.DUMMYFUNCTION("""COMPUTED_VALUE"""),19792.0)</f>
        <v>19792</v>
      </c>
      <c r="B1702" s="2">
        <f>IFERROR(__xludf.DUMMYFUNCTION("""COMPUTED_VALUE"""),0.0)</f>
        <v>0</v>
      </c>
      <c r="C1702" s="2">
        <f>IFERROR(__xludf.DUMMYFUNCTION("""COMPUTED_VALUE"""),744.0)</f>
        <v>744</v>
      </c>
      <c r="D1702" s="3">
        <f>IFERROR(__xludf.DUMMYFUNCTION("""COMPUTED_VALUE"""),109.0)</f>
        <v>109</v>
      </c>
      <c r="E1702" s="1" t="str">
        <f t="array" ref="E1702">_xlfn.XLOOKUP(A1702,Product!A:A,Product!B:B,"Bulunamadı")</f>
        <v>History</v>
      </c>
      <c r="F1702" s="1" t="str">
        <f t="array" ref="F1702">_xlfn.XLOOKUP(A1702,Product!A:A,Product!C:C,"Bulunamadı")</f>
        <v>Productivity</v>
      </c>
      <c r="G1702" s="2" t="str">
        <f t="array" ref="G1702">_xlfn.XLOOKUP(A1703,Product!A:A,Product!D:D,"Bulunamadı")</f>
        <v>Ironpath Publishing</v>
      </c>
      <c r="H1702" s="2">
        <f t="array" ref="H1702">_xlfn.XLOOKUP(A1704,Product!A:A,Product!E:E,"Bulunamadı")</f>
        <v>2.59</v>
      </c>
      <c r="I1702" s="2" t="str">
        <f t="shared" si="1"/>
        <v>19792 - History - Productivity</v>
      </c>
      <c r="J1702" s="2">
        <f t="shared" si="2"/>
        <v>282.31</v>
      </c>
      <c r="K1702" s="17">
        <f t="shared" si="3"/>
        <v>1</v>
      </c>
      <c r="L1702" s="18"/>
    </row>
    <row r="1703" hidden="1">
      <c r="A1703" s="2">
        <f>IFERROR(__xludf.DUMMYFUNCTION("""COMPUTED_VALUE"""),108805.0)</f>
        <v>108805</v>
      </c>
      <c r="B1703" s="2">
        <f>IFERROR(__xludf.DUMMYFUNCTION("""COMPUTED_VALUE"""),0.0)</f>
        <v>0</v>
      </c>
      <c r="C1703" s="2">
        <f>IFERROR(__xludf.DUMMYFUNCTION("""COMPUTED_VALUE"""),120.0)</f>
        <v>120</v>
      </c>
      <c r="D1703" s="3">
        <f>IFERROR(__xludf.DUMMYFUNCTION("""COMPUTED_VALUE"""),43.0)</f>
        <v>43</v>
      </c>
      <c r="E1703" s="1" t="str">
        <f t="array" ref="E1703">_xlfn.XLOOKUP(A1703,Product!A:A,Product!B:B,"Bulunamadı")</f>
        <v>History</v>
      </c>
      <c r="F1703" s="1" t="str">
        <f t="array" ref="F1703">_xlfn.XLOOKUP(A1703,Product!A:A,Product!C:C,"Bulunamadı")</f>
        <v>Productivity</v>
      </c>
      <c r="G1703" s="2" t="str">
        <f t="array" ref="G1703">_xlfn.XLOOKUP(A1704,Product!A:A,Product!D:D,"Bulunamadı")</f>
        <v>Ironpath Publishing</v>
      </c>
      <c r="H1703" s="2">
        <f t="array" ref="H1703">_xlfn.XLOOKUP(A1705,Product!A:A,Product!E:E,"Bulunamadı")</f>
        <v>5.1</v>
      </c>
      <c r="I1703" s="2" t="str">
        <f t="shared" si="1"/>
        <v>108805 - History - Productivity</v>
      </c>
      <c r="J1703" s="2">
        <f t="shared" si="2"/>
        <v>219.3</v>
      </c>
      <c r="K1703" s="17">
        <f t="shared" si="3"/>
        <v>1</v>
      </c>
      <c r="L1703" s="18"/>
    </row>
    <row r="1704" hidden="1">
      <c r="A1704" s="2">
        <f>IFERROR(__xludf.DUMMYFUNCTION("""COMPUTED_VALUE"""),71689.0)</f>
        <v>71689</v>
      </c>
      <c r="B1704" s="2">
        <f>IFERROR(__xludf.DUMMYFUNCTION("""COMPUTED_VALUE"""),0.0)</f>
        <v>0</v>
      </c>
      <c r="C1704" s="2">
        <f>IFERROR(__xludf.DUMMYFUNCTION("""COMPUTED_VALUE"""),443.0)</f>
        <v>443</v>
      </c>
      <c r="D1704" s="3">
        <f>IFERROR(__xludf.DUMMYFUNCTION("""COMPUTED_VALUE"""),4.0)</f>
        <v>4</v>
      </c>
      <c r="E1704" s="1" t="str">
        <f t="array" ref="E1704">_xlfn.XLOOKUP(A1704,Product!A:A,Product!B:B,"Bulunamadı")</f>
        <v>History</v>
      </c>
      <c r="F1704" s="1" t="str">
        <f t="array" ref="F1704">_xlfn.XLOOKUP(A1704,Product!A:A,Product!C:C,"Bulunamadı")</f>
        <v>Productivity</v>
      </c>
      <c r="G1704" s="2" t="str">
        <f t="array" ref="G1704">_xlfn.XLOOKUP(A1705,Product!A:A,Product!D:D,"Bulunamadı")</f>
        <v>Ironpath Publishing</v>
      </c>
      <c r="H1704" s="2">
        <f t="array" ref="H1704">_xlfn.XLOOKUP(A1706,Product!A:A,Product!E:E,"Bulunamadı")</f>
        <v>1.7</v>
      </c>
      <c r="I1704" s="2" t="str">
        <f t="shared" si="1"/>
        <v>71689 - History - Productivity</v>
      </c>
      <c r="J1704" s="2">
        <f t="shared" si="2"/>
        <v>6.8</v>
      </c>
      <c r="K1704" s="17">
        <f t="shared" si="3"/>
        <v>1</v>
      </c>
      <c r="L1704" s="18"/>
    </row>
    <row r="1705" hidden="1">
      <c r="A1705" s="2">
        <f>IFERROR(__xludf.DUMMYFUNCTION("""COMPUTED_VALUE"""),71718.0)</f>
        <v>71718</v>
      </c>
      <c r="B1705" s="2">
        <f>IFERROR(__xludf.DUMMYFUNCTION("""COMPUTED_VALUE"""),0.0)</f>
        <v>0</v>
      </c>
      <c r="C1705" s="2">
        <f>IFERROR(__xludf.DUMMYFUNCTION("""COMPUTED_VALUE"""),225.0)</f>
        <v>225</v>
      </c>
      <c r="D1705" s="3">
        <f>IFERROR(__xludf.DUMMYFUNCTION("""COMPUTED_VALUE"""),22.0)</f>
        <v>22</v>
      </c>
      <c r="E1705" s="1" t="str">
        <f t="array" ref="E1705">_xlfn.XLOOKUP(A1705,Product!A:A,Product!B:B,"Bulunamadı")</f>
        <v>History</v>
      </c>
      <c r="F1705" s="1" t="str">
        <f t="array" ref="F1705">_xlfn.XLOOKUP(A1705,Product!A:A,Product!C:C,"Bulunamadı")</f>
        <v>Productivity</v>
      </c>
      <c r="G1705" s="2" t="str">
        <f t="array" ref="G1705">_xlfn.XLOOKUP(A1706,Product!A:A,Product!D:D,"Bulunamadı")</f>
        <v>Ironpath Publishing</v>
      </c>
      <c r="H1705" s="2">
        <f t="array" ref="H1705">_xlfn.XLOOKUP(A1707,Product!A:A,Product!E:E,"Bulunamadı")</f>
        <v>2.11</v>
      </c>
      <c r="I1705" s="2" t="str">
        <f t="shared" si="1"/>
        <v>71718 - History - Productivity</v>
      </c>
      <c r="J1705" s="2">
        <f t="shared" si="2"/>
        <v>46.42</v>
      </c>
      <c r="K1705" s="17">
        <f t="shared" si="3"/>
        <v>1</v>
      </c>
      <c r="L1705" s="18"/>
    </row>
    <row r="1706" hidden="1">
      <c r="A1706" s="2">
        <f>IFERROR(__xludf.DUMMYFUNCTION("""COMPUTED_VALUE"""),19752.0)</f>
        <v>19752</v>
      </c>
      <c r="B1706" s="2">
        <f>IFERROR(__xludf.DUMMYFUNCTION("""COMPUTED_VALUE"""),0.0)</f>
        <v>0</v>
      </c>
      <c r="C1706" s="2">
        <f>IFERROR(__xludf.DUMMYFUNCTION("""COMPUTED_VALUE"""),598.0)</f>
        <v>598</v>
      </c>
      <c r="D1706" s="3">
        <f>IFERROR(__xludf.DUMMYFUNCTION("""COMPUTED_VALUE"""),259.0)</f>
        <v>259</v>
      </c>
      <c r="E1706" s="1" t="str">
        <f t="array" ref="E1706">_xlfn.XLOOKUP(A1706,Product!A:A,Product!B:B,"Bulunamadı")</f>
        <v>History</v>
      </c>
      <c r="F1706" s="1" t="str">
        <f t="array" ref="F1706">_xlfn.XLOOKUP(A1706,Product!A:A,Product!C:C,"Bulunamadı")</f>
        <v>Productivity</v>
      </c>
      <c r="G1706" s="2" t="str">
        <f t="array" ref="G1706">_xlfn.XLOOKUP(A1707,Product!A:A,Product!D:D,"Bulunamadı")</f>
        <v>Ironpath Publishing</v>
      </c>
      <c r="H1706" s="2">
        <f t="array" ref="H1706">_xlfn.XLOOKUP(A1708,Product!A:A,Product!E:E,"Bulunamadı")</f>
        <v>1.79</v>
      </c>
      <c r="I1706" s="2" t="str">
        <f t="shared" si="1"/>
        <v>19752 - History - Productivity</v>
      </c>
      <c r="J1706" s="2">
        <f t="shared" si="2"/>
        <v>463.61</v>
      </c>
      <c r="K1706" s="17">
        <f t="shared" si="3"/>
        <v>1</v>
      </c>
      <c r="L1706" s="18"/>
    </row>
    <row r="1707" hidden="1">
      <c r="A1707" s="2">
        <f>IFERROR(__xludf.DUMMYFUNCTION("""COMPUTED_VALUE"""),116205.0)</f>
        <v>116205</v>
      </c>
      <c r="B1707" s="2">
        <f>IFERROR(__xludf.DUMMYFUNCTION("""COMPUTED_VALUE"""),0.0)</f>
        <v>0</v>
      </c>
      <c r="C1707" s="2">
        <f>IFERROR(__xludf.DUMMYFUNCTION("""COMPUTED_VALUE"""),872.0)</f>
        <v>872</v>
      </c>
      <c r="D1707" s="3">
        <f>IFERROR(__xludf.DUMMYFUNCTION("""COMPUTED_VALUE"""),802.0)</f>
        <v>802</v>
      </c>
      <c r="E1707" s="1" t="str">
        <f t="array" ref="E1707">_xlfn.XLOOKUP(A1707,Product!A:A,Product!B:B,"Bulunamadı")</f>
        <v>History</v>
      </c>
      <c r="F1707" s="1" t="str">
        <f t="array" ref="F1707">_xlfn.XLOOKUP(A1707,Product!A:A,Product!C:C,"Bulunamadı")</f>
        <v>Productivity</v>
      </c>
      <c r="G1707" s="2" t="str">
        <f t="array" ref="G1707">_xlfn.XLOOKUP(A1708,Product!A:A,Product!D:D,"Bulunamadı")</f>
        <v>Ironpath Publishing</v>
      </c>
      <c r="H1707" s="2">
        <f t="array" ref="H1707">_xlfn.XLOOKUP(A1709,Product!A:A,Product!E:E,"Bulunamadı")</f>
        <v>5.2</v>
      </c>
      <c r="I1707" s="2" t="str">
        <f t="shared" si="1"/>
        <v>116205 - History - Productivity</v>
      </c>
      <c r="J1707" s="2">
        <f t="shared" si="2"/>
        <v>4170.4</v>
      </c>
      <c r="K1707" s="17">
        <f t="shared" si="3"/>
        <v>1</v>
      </c>
      <c r="L1707" s="18"/>
    </row>
    <row r="1708" hidden="1">
      <c r="A1708" s="2">
        <f>IFERROR(__xludf.DUMMYFUNCTION("""COMPUTED_VALUE"""),117113.0)</f>
        <v>117113</v>
      </c>
      <c r="B1708" s="2">
        <f>IFERROR(__xludf.DUMMYFUNCTION("""COMPUTED_VALUE"""),1.0)</f>
        <v>1</v>
      </c>
      <c r="C1708" s="2">
        <f>IFERROR(__xludf.DUMMYFUNCTION("""COMPUTED_VALUE"""),239.0)</f>
        <v>239</v>
      </c>
      <c r="D1708" s="3">
        <f>IFERROR(__xludf.DUMMYFUNCTION("""COMPUTED_VALUE"""),144.0)</f>
        <v>144</v>
      </c>
      <c r="E1708" s="1" t="str">
        <f t="array" ref="E1708">_xlfn.XLOOKUP(A1708,Product!A:A,Product!B:B,"Bulunamadı")</f>
        <v>History</v>
      </c>
      <c r="F1708" s="1" t="str">
        <f t="array" ref="F1708">_xlfn.XLOOKUP(A1708,Product!A:A,Product!C:C,"Bulunamadı")</f>
        <v>Productivity</v>
      </c>
      <c r="G1708" s="2" t="str">
        <f t="array" ref="G1708">_xlfn.XLOOKUP(A1709,Product!A:A,Product!D:D,"Bulunamadı")</f>
        <v>Ironpath Publishing</v>
      </c>
      <c r="H1708" s="2">
        <f t="array" ref="H1708">_xlfn.XLOOKUP(A1710,Product!A:A,Product!E:E,"Bulunamadı")</f>
        <v>2.36</v>
      </c>
      <c r="I1708" s="2" t="str">
        <f t="shared" si="1"/>
        <v>117113 - History - Productivity</v>
      </c>
      <c r="J1708" s="2">
        <f t="shared" si="2"/>
        <v>339.84</v>
      </c>
      <c r="K1708" s="17">
        <f t="shared" si="3"/>
        <v>1</v>
      </c>
      <c r="L1708" s="18"/>
    </row>
    <row r="1709" hidden="1">
      <c r="A1709" s="2">
        <f>IFERROR(__xludf.DUMMYFUNCTION("""COMPUTED_VALUE"""),71716.0)</f>
        <v>71716</v>
      </c>
      <c r="B1709" s="2">
        <f>IFERROR(__xludf.DUMMYFUNCTION("""COMPUTED_VALUE"""),0.0)</f>
        <v>0</v>
      </c>
      <c r="C1709" s="2">
        <f>IFERROR(__xludf.DUMMYFUNCTION("""COMPUTED_VALUE"""),443.0)</f>
        <v>443</v>
      </c>
      <c r="D1709" s="3">
        <f>IFERROR(__xludf.DUMMYFUNCTION("""COMPUTED_VALUE"""),228.0)</f>
        <v>228</v>
      </c>
      <c r="E1709" s="1" t="str">
        <f t="array" ref="E1709">_xlfn.XLOOKUP(A1709,Product!A:A,Product!B:B,"Bulunamadı")</f>
        <v>History</v>
      </c>
      <c r="F1709" s="1" t="str">
        <f t="array" ref="F1709">_xlfn.XLOOKUP(A1709,Product!A:A,Product!C:C,"Bulunamadı")</f>
        <v>Productivity</v>
      </c>
      <c r="G1709" s="2" t="str">
        <f t="array" ref="G1709">_xlfn.XLOOKUP(A1710,Product!A:A,Product!D:D,"Bulunamadı")</f>
        <v>Silvercrest Books</v>
      </c>
      <c r="H1709" s="2">
        <f t="array" ref="H1709">_xlfn.XLOOKUP(A1711,Product!A:A,Product!E:E,"Bulunamadı")</f>
        <v>6.54</v>
      </c>
      <c r="I1709" s="2" t="str">
        <f t="shared" si="1"/>
        <v>71716 - History - Productivity</v>
      </c>
      <c r="J1709" s="2">
        <f t="shared" si="2"/>
        <v>1491.12</v>
      </c>
      <c r="K1709" s="17">
        <f t="shared" si="3"/>
        <v>1</v>
      </c>
      <c r="L1709" s="18"/>
    </row>
    <row r="1710" hidden="1">
      <c r="A1710" s="2">
        <f>IFERROR(__xludf.DUMMYFUNCTION("""COMPUTED_VALUE"""),44398.0)</f>
        <v>44398</v>
      </c>
      <c r="B1710" s="2">
        <f>IFERROR(__xludf.DUMMYFUNCTION("""COMPUTED_VALUE"""),0.0)</f>
        <v>0</v>
      </c>
      <c r="C1710" s="2">
        <f>IFERROR(__xludf.DUMMYFUNCTION("""COMPUTED_VALUE"""),795.0)</f>
        <v>795</v>
      </c>
      <c r="D1710" s="3">
        <f>IFERROR(__xludf.DUMMYFUNCTION("""COMPUTED_VALUE"""),461.0)</f>
        <v>461</v>
      </c>
      <c r="E1710" s="1" t="str">
        <f t="array" ref="E1710">_xlfn.XLOOKUP(A1710,Product!A:A,Product!B:B,"Bulunamadı")</f>
        <v>History</v>
      </c>
      <c r="F1710" s="1" t="str">
        <f t="array" ref="F1710">_xlfn.XLOOKUP(A1710,Product!A:A,Product!C:C,"Bulunamadı")</f>
        <v>Productivity</v>
      </c>
      <c r="G1710" s="2" t="str">
        <f t="array" ref="G1710">_xlfn.XLOOKUP(A1711,Product!A:A,Product!D:D,"Bulunamadı")</f>
        <v>Silvercrest Books</v>
      </c>
      <c r="H1710" s="2">
        <f t="array" ref="H1710">_xlfn.XLOOKUP(A1712,Product!A:A,Product!E:E,"Bulunamadı")</f>
        <v>1.97</v>
      </c>
      <c r="I1710" s="2" t="str">
        <f t="shared" si="1"/>
        <v>44398 - History - Productivity</v>
      </c>
      <c r="J1710" s="2">
        <f t="shared" si="2"/>
        <v>908.17</v>
      </c>
      <c r="K1710" s="17">
        <f t="shared" si="3"/>
        <v>1</v>
      </c>
      <c r="L1710" s="18"/>
    </row>
    <row r="1711" hidden="1">
      <c r="A1711" s="2">
        <f>IFERROR(__xludf.DUMMYFUNCTION("""COMPUTED_VALUE"""),100932.0)</f>
        <v>100932</v>
      </c>
      <c r="B1711" s="2">
        <f>IFERROR(__xludf.DUMMYFUNCTION("""COMPUTED_VALUE"""),0.0)</f>
        <v>0</v>
      </c>
      <c r="C1711" s="2">
        <f>IFERROR(__xludf.DUMMYFUNCTION("""COMPUTED_VALUE"""),582.0)</f>
        <v>582</v>
      </c>
      <c r="D1711" s="3">
        <f>IFERROR(__xludf.DUMMYFUNCTION("""COMPUTED_VALUE"""),42.0)</f>
        <v>42</v>
      </c>
      <c r="E1711" s="1" t="str">
        <f t="array" ref="E1711">_xlfn.XLOOKUP(A1711,Product!A:A,Product!B:B,"Bulunamadı")</f>
        <v>History</v>
      </c>
      <c r="F1711" s="1" t="str">
        <f t="array" ref="F1711">_xlfn.XLOOKUP(A1711,Product!A:A,Product!C:C,"Bulunamadı")</f>
        <v>Productivity</v>
      </c>
      <c r="G1711" s="2" t="str">
        <f t="array" ref="G1711">_xlfn.XLOOKUP(A1712,Product!A:A,Product!D:D,"Bulunamadı")</f>
        <v>Silvercrest Books</v>
      </c>
      <c r="H1711" s="2">
        <f t="array" ref="H1711">_xlfn.XLOOKUP(A1713,Product!A:A,Product!E:E,"Bulunamadı")</f>
        <v>1.96</v>
      </c>
      <c r="I1711" s="2" t="str">
        <f t="shared" si="1"/>
        <v>100932 - History - Productivity</v>
      </c>
      <c r="J1711" s="2">
        <f t="shared" si="2"/>
        <v>82.32</v>
      </c>
      <c r="K1711" s="17">
        <f t="shared" si="3"/>
        <v>1</v>
      </c>
      <c r="L1711" s="18"/>
    </row>
    <row r="1712" hidden="1">
      <c r="A1712" s="2">
        <f>IFERROR(__xludf.DUMMYFUNCTION("""COMPUTED_VALUE"""),117125.0)</f>
        <v>117125</v>
      </c>
      <c r="B1712" s="2">
        <f>IFERROR(__xludf.DUMMYFUNCTION("""COMPUTED_VALUE"""),1.0)</f>
        <v>1</v>
      </c>
      <c r="C1712" s="2">
        <f>IFERROR(__xludf.DUMMYFUNCTION("""COMPUTED_VALUE"""),630.0)</f>
        <v>630</v>
      </c>
      <c r="D1712" s="3">
        <f>IFERROR(__xludf.DUMMYFUNCTION("""COMPUTED_VALUE"""),370.0)</f>
        <v>370</v>
      </c>
      <c r="E1712" s="1" t="str">
        <f t="array" ref="E1712">_xlfn.XLOOKUP(A1712,Product!A:A,Product!B:B,"Bulunamadı")</f>
        <v>History</v>
      </c>
      <c r="F1712" s="1" t="str">
        <f t="array" ref="F1712">_xlfn.XLOOKUP(A1712,Product!A:A,Product!C:C,"Bulunamadı")</f>
        <v>Productivity</v>
      </c>
      <c r="G1712" s="2" t="str">
        <f t="array" ref="G1712">_xlfn.XLOOKUP(A1713,Product!A:A,Product!D:D,"Bulunamadı")</f>
        <v>Silvercrest Books</v>
      </c>
      <c r="H1712" s="2">
        <f t="array" ref="H1712">_xlfn.XLOOKUP(A1714,Product!A:A,Product!E:E,"Bulunamadı")</f>
        <v>2.11</v>
      </c>
      <c r="I1712" s="2" t="str">
        <f t="shared" si="1"/>
        <v>117125 - History - Productivity</v>
      </c>
      <c r="J1712" s="2">
        <f t="shared" si="2"/>
        <v>780.7</v>
      </c>
      <c r="K1712" s="17">
        <f t="shared" si="3"/>
        <v>1</v>
      </c>
      <c r="L1712" s="18"/>
    </row>
    <row r="1713" hidden="1">
      <c r="A1713" s="2">
        <f>IFERROR(__xludf.DUMMYFUNCTION("""COMPUTED_VALUE"""),19746.0)</f>
        <v>19746</v>
      </c>
      <c r="B1713" s="2">
        <f>IFERROR(__xludf.DUMMYFUNCTION("""COMPUTED_VALUE"""),1.0)</f>
        <v>1</v>
      </c>
      <c r="C1713" s="2">
        <f>IFERROR(__xludf.DUMMYFUNCTION("""COMPUTED_VALUE"""),726.0)</f>
        <v>726</v>
      </c>
      <c r="D1713" s="3">
        <f>IFERROR(__xludf.DUMMYFUNCTION("""COMPUTED_VALUE"""),556.0)</f>
        <v>556</v>
      </c>
      <c r="E1713" s="1" t="str">
        <f t="array" ref="E1713">_xlfn.XLOOKUP(A1713,Product!A:A,Product!B:B,"Bulunamadı")</f>
        <v>History</v>
      </c>
      <c r="F1713" s="1" t="str">
        <f t="array" ref="F1713">_xlfn.XLOOKUP(A1713,Product!A:A,Product!C:C,"Bulunamadı")</f>
        <v>Productivity</v>
      </c>
      <c r="G1713" s="2" t="str">
        <f t="array" ref="G1713">_xlfn.XLOOKUP(A1714,Product!A:A,Product!D:D,"Bulunamadı")</f>
        <v>Silvercrest Books</v>
      </c>
      <c r="H1713" s="2">
        <f t="array" ref="H1713">_xlfn.XLOOKUP(A1715,Product!A:A,Product!E:E,"Bulunamadı")</f>
        <v>2.33</v>
      </c>
      <c r="I1713" s="2" t="str">
        <f t="shared" si="1"/>
        <v>19746 - History - Productivity</v>
      </c>
      <c r="J1713" s="2">
        <f t="shared" si="2"/>
        <v>1295.48</v>
      </c>
      <c r="K1713" s="17">
        <f t="shared" si="3"/>
        <v>1</v>
      </c>
      <c r="L1713" s="18"/>
    </row>
    <row r="1714" hidden="1">
      <c r="A1714" s="2">
        <f>IFERROR(__xludf.DUMMYFUNCTION("""COMPUTED_VALUE"""),80729.0)</f>
        <v>80729</v>
      </c>
      <c r="B1714" s="2">
        <f>IFERROR(__xludf.DUMMYFUNCTION("""COMPUTED_VALUE"""),1.0)</f>
        <v>1</v>
      </c>
      <c r="C1714" s="2">
        <f>IFERROR(__xludf.DUMMYFUNCTION("""COMPUTED_VALUE"""),258.0)</f>
        <v>258</v>
      </c>
      <c r="D1714" s="3">
        <f>IFERROR(__xludf.DUMMYFUNCTION("""COMPUTED_VALUE"""),243.0)</f>
        <v>243</v>
      </c>
      <c r="E1714" s="1" t="str">
        <f t="array" ref="E1714">_xlfn.XLOOKUP(A1714,Product!A:A,Product!B:B,"Bulunamadı")</f>
        <v>History</v>
      </c>
      <c r="F1714" s="1" t="str">
        <f t="array" ref="F1714">_xlfn.XLOOKUP(A1714,Product!A:A,Product!C:C,"Bulunamadı")</f>
        <v>Productivity</v>
      </c>
      <c r="G1714" s="2" t="str">
        <f t="array" ref="G1714">_xlfn.XLOOKUP(A1715,Product!A:A,Product!D:D,"Bulunamadı")</f>
        <v>Silvercrest Books</v>
      </c>
      <c r="H1714" s="2">
        <f t="array" ref="H1714">_xlfn.XLOOKUP(A1716,Product!A:A,Product!E:E,"Bulunamadı")</f>
        <v>0.68</v>
      </c>
      <c r="I1714" s="2" t="str">
        <f t="shared" si="1"/>
        <v>80729 - History - Productivity</v>
      </c>
      <c r="J1714" s="2">
        <f t="shared" si="2"/>
        <v>165.24</v>
      </c>
      <c r="K1714" s="17">
        <f t="shared" si="3"/>
        <v>1</v>
      </c>
      <c r="L1714" s="18"/>
    </row>
    <row r="1715" hidden="1">
      <c r="A1715" s="2">
        <f>IFERROR(__xludf.DUMMYFUNCTION("""COMPUTED_VALUE"""),19800.0)</f>
        <v>19800</v>
      </c>
      <c r="B1715" s="2">
        <f>IFERROR(__xludf.DUMMYFUNCTION("""COMPUTED_VALUE"""),1.0)</f>
        <v>1</v>
      </c>
      <c r="C1715" s="2">
        <f>IFERROR(__xludf.DUMMYFUNCTION("""COMPUTED_VALUE"""),65.0)</f>
        <v>65</v>
      </c>
      <c r="D1715" s="3">
        <f>IFERROR(__xludf.DUMMYFUNCTION("""COMPUTED_VALUE"""),57.0)</f>
        <v>57</v>
      </c>
      <c r="E1715" s="1" t="str">
        <f t="array" ref="E1715">_xlfn.XLOOKUP(A1715,Product!A:A,Product!B:B,"Bulunamadı")</f>
        <v>History</v>
      </c>
      <c r="F1715" s="1" t="str">
        <f t="array" ref="F1715">_xlfn.XLOOKUP(A1715,Product!A:A,Product!C:C,"Bulunamadı")</f>
        <v>Productivity</v>
      </c>
      <c r="G1715" s="2" t="str">
        <f t="array" ref="G1715">_xlfn.XLOOKUP(A1716,Product!A:A,Product!D:D,"Bulunamadı")</f>
        <v>Silvercrest Books</v>
      </c>
      <c r="H1715" s="2">
        <f t="array" ref="H1715">_xlfn.XLOOKUP(A1717,Product!A:A,Product!E:E,"Bulunamadı")</f>
        <v>3.38</v>
      </c>
      <c r="I1715" s="2" t="str">
        <f t="shared" si="1"/>
        <v>19800 - History - Productivity</v>
      </c>
      <c r="J1715" s="2">
        <f t="shared" si="2"/>
        <v>192.66</v>
      </c>
      <c r="K1715" s="17">
        <f t="shared" si="3"/>
        <v>1</v>
      </c>
      <c r="L1715" s="18"/>
    </row>
    <row r="1716" hidden="1">
      <c r="A1716" s="2">
        <f>IFERROR(__xludf.DUMMYFUNCTION("""COMPUTED_VALUE"""),19790.0)</f>
        <v>19790</v>
      </c>
      <c r="B1716" s="2">
        <f>IFERROR(__xludf.DUMMYFUNCTION("""COMPUTED_VALUE"""),0.0)</f>
        <v>0</v>
      </c>
      <c r="C1716" s="2">
        <f>IFERROR(__xludf.DUMMYFUNCTION("""COMPUTED_VALUE"""),264.0)</f>
        <v>264</v>
      </c>
      <c r="D1716" s="3">
        <f>IFERROR(__xludf.DUMMYFUNCTION("""COMPUTED_VALUE"""),127.0)</f>
        <v>127</v>
      </c>
      <c r="E1716" s="1" t="str">
        <f t="array" ref="E1716">_xlfn.XLOOKUP(A1716,Product!A:A,Product!B:B,"Bulunamadı")</f>
        <v>History</v>
      </c>
      <c r="F1716" s="1" t="str">
        <f t="array" ref="F1716">_xlfn.XLOOKUP(A1716,Product!A:A,Product!C:C,"Bulunamadı")</f>
        <v>Productivity</v>
      </c>
      <c r="G1716" s="2" t="str">
        <f t="array" ref="G1716">_xlfn.XLOOKUP(A1717,Product!A:A,Product!D:D,"Bulunamadı")</f>
        <v>Silvercrest Books</v>
      </c>
      <c r="H1716" s="2">
        <f t="array" ref="H1716">_xlfn.XLOOKUP(A1718,Product!A:A,Product!E:E,"Bulunamadı")</f>
        <v>5.21</v>
      </c>
      <c r="I1716" s="2" t="str">
        <f t="shared" si="1"/>
        <v>19790 - History - Productivity</v>
      </c>
      <c r="J1716" s="2">
        <f t="shared" si="2"/>
        <v>661.67</v>
      </c>
      <c r="K1716" s="17">
        <f t="shared" si="3"/>
        <v>1</v>
      </c>
      <c r="L1716" s="18"/>
    </row>
    <row r="1717" hidden="1">
      <c r="A1717" s="2">
        <f>IFERROR(__xludf.DUMMYFUNCTION("""COMPUTED_VALUE"""),19747.0)</f>
        <v>19747</v>
      </c>
      <c r="B1717" s="2">
        <f>IFERROR(__xludf.DUMMYFUNCTION("""COMPUTED_VALUE"""),1.0)</f>
        <v>1</v>
      </c>
      <c r="C1717" s="2">
        <f>IFERROR(__xludf.DUMMYFUNCTION("""COMPUTED_VALUE"""),195.0)</f>
        <v>195</v>
      </c>
      <c r="D1717" s="3">
        <f>IFERROR(__xludf.DUMMYFUNCTION("""COMPUTED_VALUE"""),172.0)</f>
        <v>172</v>
      </c>
      <c r="E1717" s="1" t="str">
        <f t="array" ref="E1717">_xlfn.XLOOKUP(A1717,Product!A:A,Product!B:B,"Bulunamadı")</f>
        <v>History</v>
      </c>
      <c r="F1717" s="1" t="str">
        <f t="array" ref="F1717">_xlfn.XLOOKUP(A1717,Product!A:A,Product!C:C,"Bulunamadı")</f>
        <v>Productivity</v>
      </c>
      <c r="G1717" s="2" t="str">
        <f t="array" ref="G1717">_xlfn.XLOOKUP(A1718,Product!A:A,Product!D:D,"Bulunamadı")</f>
        <v>Northcrest Press</v>
      </c>
      <c r="H1717" s="2">
        <f t="array" ref="H1717">_xlfn.XLOOKUP(A1719,Product!A:A,Product!E:E,"Bulunamadı")</f>
        <v>3.85</v>
      </c>
      <c r="I1717" s="2" t="str">
        <f t="shared" si="1"/>
        <v>19747 - History - Productivity</v>
      </c>
      <c r="J1717" s="2">
        <f t="shared" si="2"/>
        <v>662.2</v>
      </c>
      <c r="K1717" s="17">
        <f t="shared" si="3"/>
        <v>1</v>
      </c>
      <c r="L1717" s="18"/>
    </row>
    <row r="1718" hidden="1">
      <c r="A1718" s="2">
        <f>IFERROR(__xludf.DUMMYFUNCTION("""COMPUTED_VALUE"""),44524.0)</f>
        <v>44524</v>
      </c>
      <c r="B1718" s="2">
        <f>IFERROR(__xludf.DUMMYFUNCTION("""COMPUTED_VALUE"""),1.0)</f>
        <v>1</v>
      </c>
      <c r="C1718" s="2">
        <f>IFERROR(__xludf.DUMMYFUNCTION("""COMPUTED_VALUE"""),306.0)</f>
        <v>306</v>
      </c>
      <c r="D1718" s="3">
        <f>IFERROR(__xludf.DUMMYFUNCTION("""COMPUTED_VALUE"""),28.0)</f>
        <v>28</v>
      </c>
      <c r="E1718" s="1" t="str">
        <f t="array" ref="E1718">_xlfn.XLOOKUP(A1718,Product!A:A,Product!B:B,"Bulunamadı")</f>
        <v>Sports</v>
      </c>
      <c r="F1718" s="1" t="str">
        <f t="array" ref="F1718">_xlfn.XLOOKUP(A1718,Product!A:A,Product!C:C,"Bulunamadı")</f>
        <v>Time Management</v>
      </c>
      <c r="G1718" s="2" t="str">
        <f t="array" ref="G1718">_xlfn.XLOOKUP(A1719,Product!A:A,Product!D:D,"Bulunamadı")</f>
        <v>Northcrest Press</v>
      </c>
      <c r="H1718" s="2">
        <f t="array" ref="H1718">_xlfn.XLOOKUP(A1720,Product!A:A,Product!E:E,"Bulunamadı")</f>
        <v>6.02</v>
      </c>
      <c r="I1718" s="2" t="str">
        <f t="shared" si="1"/>
        <v>44524 - Sports - Time Management</v>
      </c>
      <c r="J1718" s="2">
        <f t="shared" si="2"/>
        <v>168.56</v>
      </c>
      <c r="K1718" s="17">
        <f t="shared" si="3"/>
        <v>1</v>
      </c>
      <c r="L1718" s="18"/>
    </row>
    <row r="1719" hidden="1">
      <c r="A1719" s="2">
        <f>IFERROR(__xludf.DUMMYFUNCTION("""COMPUTED_VALUE"""),103839.0)</f>
        <v>103839</v>
      </c>
      <c r="B1719" s="2">
        <f>IFERROR(__xludf.DUMMYFUNCTION("""COMPUTED_VALUE"""),0.0)</f>
        <v>0</v>
      </c>
      <c r="C1719" s="2">
        <f>IFERROR(__xludf.DUMMYFUNCTION("""COMPUTED_VALUE"""),325.0)</f>
        <v>325</v>
      </c>
      <c r="D1719" s="3">
        <f>IFERROR(__xludf.DUMMYFUNCTION("""COMPUTED_VALUE"""),73.0)</f>
        <v>73</v>
      </c>
      <c r="E1719" s="1" t="str">
        <f t="array" ref="E1719">_xlfn.XLOOKUP(A1719,Product!A:A,Product!B:B,"Bulunamadı")</f>
        <v>Sports</v>
      </c>
      <c r="F1719" s="1" t="str">
        <f t="array" ref="F1719">_xlfn.XLOOKUP(A1719,Product!A:A,Product!C:C,"Bulunamadı")</f>
        <v>Time Management</v>
      </c>
      <c r="G1719" s="2" t="str">
        <f t="array" ref="G1719">_xlfn.XLOOKUP(A1720,Product!A:A,Product!D:D,"Bulunamadı")</f>
        <v>Northcrest Press</v>
      </c>
      <c r="H1719" s="2">
        <f t="array" ref="H1719">_xlfn.XLOOKUP(A1721,Product!A:A,Product!E:E,"Bulunamadı")</f>
        <v>5.94</v>
      </c>
      <c r="I1719" s="2" t="str">
        <f t="shared" si="1"/>
        <v>103839 - Sports - Time Management</v>
      </c>
      <c r="J1719" s="2">
        <f t="shared" si="2"/>
        <v>433.62</v>
      </c>
      <c r="K1719" s="17">
        <f t="shared" si="3"/>
        <v>1</v>
      </c>
      <c r="L1719" s="18"/>
    </row>
    <row r="1720" hidden="1">
      <c r="A1720" s="2">
        <f>IFERROR(__xludf.DUMMYFUNCTION("""COMPUTED_VALUE"""),195240.0)</f>
        <v>195240</v>
      </c>
      <c r="B1720" s="2">
        <f>IFERROR(__xludf.DUMMYFUNCTION("""COMPUTED_VALUE"""),0.0)</f>
        <v>0</v>
      </c>
      <c r="C1720" s="2">
        <f>IFERROR(__xludf.DUMMYFUNCTION("""COMPUTED_VALUE"""),659.0)</f>
        <v>659</v>
      </c>
      <c r="D1720" s="3">
        <f>IFERROR(__xludf.DUMMYFUNCTION("""COMPUTED_VALUE"""),393.0)</f>
        <v>393</v>
      </c>
      <c r="E1720" s="1" t="str">
        <f t="array" ref="E1720">_xlfn.XLOOKUP(A1720,Product!A:A,Product!B:B,"Bulunamadı")</f>
        <v>Sports</v>
      </c>
      <c r="F1720" s="1" t="str">
        <f t="array" ref="F1720">_xlfn.XLOOKUP(A1720,Product!A:A,Product!C:C,"Bulunamadı")</f>
        <v>Time Management</v>
      </c>
      <c r="G1720" s="2" t="str">
        <f t="array" ref="G1720">_xlfn.XLOOKUP(A1721,Product!A:A,Product!D:D,"Bulunamadı")</f>
        <v>Northcrest Press</v>
      </c>
      <c r="H1720" s="2">
        <f t="array" ref="H1720">_xlfn.XLOOKUP(A1722,Product!A:A,Product!E:E,"Bulunamadı")</f>
        <v>3.94</v>
      </c>
      <c r="I1720" s="2" t="str">
        <f t="shared" si="1"/>
        <v>195240 - Sports - Time Management</v>
      </c>
      <c r="J1720" s="2">
        <f t="shared" si="2"/>
        <v>1548.42</v>
      </c>
      <c r="K1720" s="17">
        <f t="shared" si="3"/>
        <v>1</v>
      </c>
      <c r="L1720" s="18"/>
    </row>
    <row r="1721" hidden="1">
      <c r="A1721" s="2">
        <f>IFERROR(__xludf.DUMMYFUNCTION("""COMPUTED_VALUE"""),195244.0)</f>
        <v>195244</v>
      </c>
      <c r="B1721" s="2">
        <f>IFERROR(__xludf.DUMMYFUNCTION("""COMPUTED_VALUE"""),1.0)</f>
        <v>1</v>
      </c>
      <c r="C1721" s="2">
        <f>IFERROR(__xludf.DUMMYFUNCTION("""COMPUTED_VALUE"""),247.0)</f>
        <v>247</v>
      </c>
      <c r="D1721" s="3">
        <f>IFERROR(__xludf.DUMMYFUNCTION("""COMPUTED_VALUE"""),178.0)</f>
        <v>178</v>
      </c>
      <c r="E1721" s="1" t="str">
        <f t="array" ref="E1721">_xlfn.XLOOKUP(A1721,Product!A:A,Product!B:B,"Bulunamadı")</f>
        <v>Sports</v>
      </c>
      <c r="F1721" s="1" t="str">
        <f t="array" ref="F1721">_xlfn.XLOOKUP(A1721,Product!A:A,Product!C:C,"Bulunamadı")</f>
        <v>Time Management</v>
      </c>
      <c r="G1721" s="2" t="str">
        <f t="array" ref="G1721">_xlfn.XLOOKUP(A1722,Product!A:A,Product!D:D,"Bulunamadı")</f>
        <v>Northcrest Press</v>
      </c>
      <c r="H1721" s="2">
        <f t="array" ref="H1721">_xlfn.XLOOKUP(A1723,Product!A:A,Product!E:E,"Bulunamadı")</f>
        <v>12.51</v>
      </c>
      <c r="I1721" s="2" t="str">
        <f t="shared" si="1"/>
        <v>195244 - Sports - Time Management</v>
      </c>
      <c r="J1721" s="2">
        <f t="shared" si="2"/>
        <v>2226.78</v>
      </c>
      <c r="K1721" s="17">
        <f t="shared" si="3"/>
        <v>1</v>
      </c>
      <c r="L1721" s="18"/>
    </row>
    <row r="1722" hidden="1">
      <c r="A1722" s="2">
        <f>IFERROR(__xludf.DUMMYFUNCTION("""COMPUTED_VALUE"""),119465.0)</f>
        <v>119465</v>
      </c>
      <c r="B1722" s="2">
        <f>IFERROR(__xludf.DUMMYFUNCTION("""COMPUTED_VALUE"""),1.0)</f>
        <v>1</v>
      </c>
      <c r="C1722" s="2">
        <f>IFERROR(__xludf.DUMMYFUNCTION("""COMPUTED_VALUE"""),630.0)</f>
        <v>630</v>
      </c>
      <c r="D1722" s="3">
        <f>IFERROR(__xludf.DUMMYFUNCTION("""COMPUTED_VALUE"""),486.0)</f>
        <v>486</v>
      </c>
      <c r="E1722" s="1" t="str">
        <f t="array" ref="E1722">_xlfn.XLOOKUP(A1722,Product!A:A,Product!B:B,"Bulunamadı")</f>
        <v>Sports</v>
      </c>
      <c r="F1722" s="1" t="str">
        <f t="array" ref="F1722">_xlfn.XLOOKUP(A1722,Product!A:A,Product!C:C,"Bulunamadı")</f>
        <v>Time Management</v>
      </c>
      <c r="G1722" s="2" t="str">
        <f t="array" ref="G1722">_xlfn.XLOOKUP(A1723,Product!A:A,Product!D:D,"Bulunamadı")</f>
        <v>Harborcrest Publishing</v>
      </c>
      <c r="H1722" s="2">
        <f t="array" ref="H1722">_xlfn.XLOOKUP(A1724,Product!A:A,Product!E:E,"Bulunamadı")</f>
        <v>4.01</v>
      </c>
      <c r="I1722" s="2" t="str">
        <f t="shared" si="1"/>
        <v>119465 - Sports - Time Management</v>
      </c>
      <c r="J1722" s="2">
        <f t="shared" si="2"/>
        <v>1948.86</v>
      </c>
      <c r="K1722" s="17">
        <f t="shared" si="3"/>
        <v>1</v>
      </c>
      <c r="L1722" s="18"/>
    </row>
    <row r="1723" hidden="1">
      <c r="A1723" s="2">
        <f>IFERROR(__xludf.DUMMYFUNCTION("""COMPUTED_VALUE"""),47081.0)</f>
        <v>47081</v>
      </c>
      <c r="B1723" s="2">
        <f>IFERROR(__xludf.DUMMYFUNCTION("""COMPUTED_VALUE"""),0.0)</f>
        <v>0</v>
      </c>
      <c r="C1723" s="2">
        <f>IFERROR(__xludf.DUMMYFUNCTION("""COMPUTED_VALUE"""),380.0)</f>
        <v>380</v>
      </c>
      <c r="D1723" s="3">
        <f>IFERROR(__xludf.DUMMYFUNCTION("""COMPUTED_VALUE"""),275.0)</f>
        <v>275</v>
      </c>
      <c r="E1723" s="1" t="str">
        <f t="array" ref="E1723">_xlfn.XLOOKUP(A1723,Product!A:A,Product!B:B,"Bulunamadı")</f>
        <v>Sports</v>
      </c>
      <c r="F1723" s="1" t="str">
        <f t="array" ref="F1723">_xlfn.XLOOKUP(A1723,Product!A:A,Product!C:C,"Bulunamadı")</f>
        <v>Time Management</v>
      </c>
      <c r="G1723" s="2" t="str">
        <f t="array" ref="G1723">_xlfn.XLOOKUP(A1724,Product!A:A,Product!D:D,"Bulunamadı")</f>
        <v>Cedarcrest Books</v>
      </c>
      <c r="H1723" s="2">
        <f t="array" ref="H1723">_xlfn.XLOOKUP(A1725,Product!A:A,Product!E:E,"Bulunamadı")</f>
        <v>4.28</v>
      </c>
      <c r="I1723" s="2" t="str">
        <f t="shared" si="1"/>
        <v>47081 - Sports - Time Management</v>
      </c>
      <c r="J1723" s="2">
        <f t="shared" si="2"/>
        <v>1177</v>
      </c>
      <c r="K1723" s="17">
        <f t="shared" si="3"/>
        <v>1</v>
      </c>
      <c r="L1723" s="18"/>
    </row>
    <row r="1724" hidden="1">
      <c r="A1724" s="2">
        <f>IFERROR(__xludf.DUMMYFUNCTION("""COMPUTED_VALUE"""),91635.0)</f>
        <v>91635</v>
      </c>
      <c r="B1724" s="2">
        <f>IFERROR(__xludf.DUMMYFUNCTION("""COMPUTED_VALUE"""),1.0)</f>
        <v>1</v>
      </c>
      <c r="C1724" s="2">
        <f>IFERROR(__xludf.DUMMYFUNCTION("""COMPUTED_VALUE"""),852.0)</f>
        <v>852</v>
      </c>
      <c r="D1724" s="3">
        <f>IFERROR(__xludf.DUMMYFUNCTION("""COMPUTED_VALUE"""),174.0)</f>
        <v>174</v>
      </c>
      <c r="E1724" s="1" t="str">
        <f t="array" ref="E1724">_xlfn.XLOOKUP(A1724,Product!A:A,Product!B:B,"Bulunamadı")</f>
        <v>Sports</v>
      </c>
      <c r="F1724" s="1" t="str">
        <f t="array" ref="F1724">_xlfn.XLOOKUP(A1724,Product!A:A,Product!C:C,"Bulunamadı")</f>
        <v>Time Management</v>
      </c>
      <c r="G1724" s="2" t="str">
        <f t="array" ref="G1724">_xlfn.XLOOKUP(A1725,Product!A:A,Product!D:D,"Bulunamadı")</f>
        <v>Cedarcrest Books</v>
      </c>
      <c r="H1724" s="2">
        <f t="array" ref="H1724">_xlfn.XLOOKUP(A1726,Product!A:A,Product!E:E,"Bulunamadı")</f>
        <v>3.39</v>
      </c>
      <c r="I1724" s="2" t="str">
        <f t="shared" si="1"/>
        <v>91635 - Sports - Time Management</v>
      </c>
      <c r="J1724" s="2">
        <f t="shared" si="2"/>
        <v>589.86</v>
      </c>
      <c r="K1724" s="17">
        <f t="shared" si="3"/>
        <v>1</v>
      </c>
      <c r="L1724" s="18"/>
    </row>
    <row r="1725" hidden="1">
      <c r="A1725" s="2">
        <f>IFERROR(__xludf.DUMMYFUNCTION("""COMPUTED_VALUE"""),188359.0)</f>
        <v>188359</v>
      </c>
      <c r="B1725" s="2">
        <f>IFERROR(__xludf.DUMMYFUNCTION("""COMPUTED_VALUE"""),1.0)</f>
        <v>1</v>
      </c>
      <c r="C1725" s="2">
        <f>IFERROR(__xludf.DUMMYFUNCTION("""COMPUTED_VALUE"""),580.0)</f>
        <v>580</v>
      </c>
      <c r="D1725" s="3">
        <f>IFERROR(__xludf.DUMMYFUNCTION("""COMPUTED_VALUE"""),107.0)</f>
        <v>107</v>
      </c>
      <c r="E1725" s="1" t="str">
        <f t="array" ref="E1725">_xlfn.XLOOKUP(A1725,Product!A:A,Product!B:B,"Bulunamadı")</f>
        <v>Sports</v>
      </c>
      <c r="F1725" s="1" t="str">
        <f t="array" ref="F1725">_xlfn.XLOOKUP(A1725,Product!A:A,Product!C:C,"Bulunamadı")</f>
        <v>Time Management</v>
      </c>
      <c r="G1725" s="2" t="str">
        <f t="array" ref="G1725">_xlfn.XLOOKUP(A1726,Product!A:A,Product!D:D,"Bulunamadı")</f>
        <v>Cedarcrest Books</v>
      </c>
      <c r="H1725" s="2">
        <f t="array" ref="H1725">_xlfn.XLOOKUP(A1727,Product!A:A,Product!E:E,"Bulunamadı")</f>
        <v>3.41</v>
      </c>
      <c r="I1725" s="2" t="str">
        <f t="shared" si="1"/>
        <v>188359 - Sports - Time Management</v>
      </c>
      <c r="J1725" s="2">
        <f t="shared" si="2"/>
        <v>364.87</v>
      </c>
      <c r="K1725" s="17">
        <f t="shared" si="3"/>
        <v>1</v>
      </c>
      <c r="L1725" s="18"/>
    </row>
    <row r="1726" hidden="1">
      <c r="A1726" s="2">
        <f>IFERROR(__xludf.DUMMYFUNCTION("""COMPUTED_VALUE"""),29655.0)</f>
        <v>29655</v>
      </c>
      <c r="B1726" s="2">
        <f>IFERROR(__xludf.DUMMYFUNCTION("""COMPUTED_VALUE"""),1.0)</f>
        <v>1</v>
      </c>
      <c r="C1726" s="2">
        <f>IFERROR(__xludf.DUMMYFUNCTION("""COMPUTED_VALUE"""),307.0)</f>
        <v>307</v>
      </c>
      <c r="D1726" s="3">
        <f>IFERROR(__xludf.DUMMYFUNCTION("""COMPUTED_VALUE"""),192.0)</f>
        <v>192</v>
      </c>
      <c r="E1726" s="1" t="str">
        <f t="array" ref="E1726">_xlfn.XLOOKUP(A1726,Product!A:A,Product!B:B,"Bulunamadı")</f>
        <v>Sports</v>
      </c>
      <c r="F1726" s="1" t="str">
        <f t="array" ref="F1726">_xlfn.XLOOKUP(A1726,Product!A:A,Product!C:C,"Bulunamadı")</f>
        <v>Time Management</v>
      </c>
      <c r="G1726" s="2" t="str">
        <f t="array" ref="G1726">_xlfn.XLOOKUP(A1727,Product!A:A,Product!D:D,"Bulunamadı")</f>
        <v>Brightcrest Press</v>
      </c>
      <c r="H1726" s="2">
        <f t="array" ref="H1726">_xlfn.XLOOKUP(A1728,Product!A:A,Product!E:E,"Bulunamadı")</f>
        <v>4.53</v>
      </c>
      <c r="I1726" s="2" t="str">
        <f t="shared" si="1"/>
        <v>29655 - Sports - Time Management</v>
      </c>
      <c r="J1726" s="2">
        <f t="shared" si="2"/>
        <v>869.76</v>
      </c>
      <c r="K1726" s="17">
        <f t="shared" si="3"/>
        <v>1</v>
      </c>
      <c r="L1726" s="18"/>
    </row>
    <row r="1727" hidden="1">
      <c r="A1727" s="2">
        <f>IFERROR(__xludf.DUMMYFUNCTION("""COMPUTED_VALUE"""),193188.0)</f>
        <v>193188</v>
      </c>
      <c r="B1727" s="2">
        <f>IFERROR(__xludf.DUMMYFUNCTION("""COMPUTED_VALUE"""),1.0)</f>
        <v>1</v>
      </c>
      <c r="C1727" s="2">
        <f>IFERROR(__xludf.DUMMYFUNCTION("""COMPUTED_VALUE"""),305.0)</f>
        <v>305</v>
      </c>
      <c r="D1727" s="3">
        <f>IFERROR(__xludf.DUMMYFUNCTION("""COMPUTED_VALUE"""),292.0)</f>
        <v>292</v>
      </c>
      <c r="E1727" s="1" t="str">
        <f t="array" ref="E1727">_xlfn.XLOOKUP(A1727,Product!A:A,Product!B:B,"Bulunamadı")</f>
        <v>Sports</v>
      </c>
      <c r="F1727" s="1" t="str">
        <f t="array" ref="F1727">_xlfn.XLOOKUP(A1727,Product!A:A,Product!C:C,"Bulunamadı")</f>
        <v>Time Management</v>
      </c>
      <c r="G1727" s="2" t="str">
        <f t="array" ref="G1727">_xlfn.XLOOKUP(A1728,Product!A:A,Product!D:D,"Bulunamadı")</f>
        <v>Brightcrest Press</v>
      </c>
      <c r="H1727" s="2">
        <f t="array" ref="H1727">_xlfn.XLOOKUP(A1729,Product!A:A,Product!E:E,"Bulunamadı")</f>
        <v>7.56</v>
      </c>
      <c r="I1727" s="2" t="str">
        <f t="shared" si="1"/>
        <v>193188 - Sports - Time Management</v>
      </c>
      <c r="J1727" s="2">
        <f t="shared" si="2"/>
        <v>2207.52</v>
      </c>
      <c r="K1727" s="17">
        <f t="shared" si="3"/>
        <v>1</v>
      </c>
      <c r="L1727" s="18"/>
    </row>
    <row r="1728" hidden="1">
      <c r="A1728" s="2">
        <f>IFERROR(__xludf.DUMMYFUNCTION("""COMPUTED_VALUE"""),188367.0)</f>
        <v>188367</v>
      </c>
      <c r="B1728" s="2">
        <f>IFERROR(__xludf.DUMMYFUNCTION("""COMPUTED_VALUE"""),1.0)</f>
        <v>1</v>
      </c>
      <c r="C1728" s="2">
        <f>IFERROR(__xludf.DUMMYFUNCTION("""COMPUTED_VALUE"""),17.0)</f>
        <v>17</v>
      </c>
      <c r="D1728" s="3">
        <f>IFERROR(__xludf.DUMMYFUNCTION("""COMPUTED_VALUE"""),0.0)</f>
        <v>0</v>
      </c>
      <c r="E1728" s="1" t="str">
        <f t="array" ref="E1728">_xlfn.XLOOKUP(A1728,Product!A:A,Product!B:B,"Bulunamadı")</f>
        <v>Sports</v>
      </c>
      <c r="F1728" s="1" t="str">
        <f t="array" ref="F1728">_xlfn.XLOOKUP(A1728,Product!A:A,Product!C:C,"Bulunamadı")</f>
        <v>Time Management</v>
      </c>
      <c r="G1728" s="2" t="str">
        <f t="array" ref="G1728">_xlfn.XLOOKUP(A1729,Product!A:A,Product!D:D,"Bulunamadı")</f>
        <v>Brightcrest Press</v>
      </c>
      <c r="H1728" s="2">
        <f t="array" ref="H1728">_xlfn.XLOOKUP(A1730,Product!A:A,Product!E:E,"Bulunamadı")</f>
        <v>9.61</v>
      </c>
      <c r="I1728" s="2" t="str">
        <f t="shared" si="1"/>
        <v>188367 - Sports - Time Management</v>
      </c>
      <c r="J1728" s="2">
        <f t="shared" si="2"/>
        <v>0</v>
      </c>
      <c r="K1728" s="17">
        <f t="shared" si="3"/>
        <v>0</v>
      </c>
      <c r="L1728" s="18"/>
    </row>
    <row r="1729" hidden="1">
      <c r="A1729" s="2">
        <f>IFERROR(__xludf.DUMMYFUNCTION("""COMPUTED_VALUE"""),188853.0)</f>
        <v>188853</v>
      </c>
      <c r="B1729" s="2">
        <f>IFERROR(__xludf.DUMMYFUNCTION("""COMPUTED_VALUE"""),1.0)</f>
        <v>1</v>
      </c>
      <c r="C1729" s="2">
        <f>IFERROR(__xludf.DUMMYFUNCTION("""COMPUTED_VALUE"""),20.0)</f>
        <v>20</v>
      </c>
      <c r="D1729" s="3">
        <f>IFERROR(__xludf.DUMMYFUNCTION("""COMPUTED_VALUE"""),0.0)</f>
        <v>0</v>
      </c>
      <c r="E1729" s="1" t="str">
        <f t="array" ref="E1729">_xlfn.XLOOKUP(A1729,Product!A:A,Product!B:B,"Bulunamadı")</f>
        <v>Sports</v>
      </c>
      <c r="F1729" s="1" t="str">
        <f t="array" ref="F1729">_xlfn.XLOOKUP(A1729,Product!A:A,Product!C:C,"Bulunamadı")</f>
        <v>Time Management</v>
      </c>
      <c r="G1729" s="2" t="str">
        <f t="array" ref="G1729">_xlfn.XLOOKUP(A1730,Product!A:A,Product!D:D,"Bulunamadı")</f>
        <v>Oakcrest Publishing</v>
      </c>
      <c r="H1729" s="2">
        <f t="array" ref="H1729">_xlfn.XLOOKUP(A1731,Product!A:A,Product!E:E,"Bulunamadı")</f>
        <v>20.33</v>
      </c>
      <c r="I1729" s="2" t="str">
        <f t="shared" si="1"/>
        <v>188853 - Sports - Time Management</v>
      </c>
      <c r="J1729" s="2">
        <f t="shared" si="2"/>
        <v>0</v>
      </c>
      <c r="K1729" s="17">
        <f t="shared" si="3"/>
        <v>0</v>
      </c>
      <c r="L1729" s="18"/>
    </row>
    <row r="1730" hidden="1">
      <c r="A1730" s="2">
        <f>IFERROR(__xludf.DUMMYFUNCTION("""COMPUTED_VALUE"""),116214.0)</f>
        <v>116214</v>
      </c>
      <c r="B1730" s="2">
        <f>IFERROR(__xludf.DUMMYFUNCTION("""COMPUTED_VALUE"""),1.0)</f>
        <v>1</v>
      </c>
      <c r="C1730" s="2">
        <f>IFERROR(__xludf.DUMMYFUNCTION("""COMPUTED_VALUE"""),180.0)</f>
        <v>180</v>
      </c>
      <c r="D1730" s="3">
        <f>IFERROR(__xludf.DUMMYFUNCTION("""COMPUTED_VALUE"""),17.0)</f>
        <v>17</v>
      </c>
      <c r="E1730" s="1" t="str">
        <f t="array" ref="E1730">_xlfn.XLOOKUP(A1730,Product!A:A,Product!B:B,"Bulunamadı")</f>
        <v>Sports</v>
      </c>
      <c r="F1730" s="1" t="str">
        <f t="array" ref="F1730">_xlfn.XLOOKUP(A1730,Product!A:A,Product!C:C,"Bulunamadı")</f>
        <v>Time Management</v>
      </c>
      <c r="G1730" s="2" t="str">
        <f t="array" ref="G1730">_xlfn.XLOOKUP(A1731,Product!A:A,Product!D:D,"Bulunamadı")</f>
        <v>Oakcrest Publishing</v>
      </c>
      <c r="H1730" s="2">
        <f t="array" ref="H1730">_xlfn.XLOOKUP(A1732,Product!A:A,Product!E:E,"Bulunamadı")</f>
        <v>1.56</v>
      </c>
      <c r="I1730" s="2" t="str">
        <f t="shared" si="1"/>
        <v>116214 - Sports - Time Management</v>
      </c>
      <c r="J1730" s="2">
        <f t="shared" si="2"/>
        <v>26.52</v>
      </c>
      <c r="K1730" s="17">
        <f t="shared" si="3"/>
        <v>1</v>
      </c>
      <c r="L1730" s="18"/>
    </row>
    <row r="1731" hidden="1">
      <c r="A1731" s="2">
        <f>IFERROR(__xludf.DUMMYFUNCTION("""COMPUTED_VALUE"""),82296.0)</f>
        <v>82296</v>
      </c>
      <c r="B1731" s="2">
        <f>IFERROR(__xludf.DUMMYFUNCTION("""COMPUTED_VALUE"""),1.0)</f>
        <v>1</v>
      </c>
      <c r="C1731" s="2">
        <f>IFERROR(__xludf.DUMMYFUNCTION("""COMPUTED_VALUE"""),686.0)</f>
        <v>686</v>
      </c>
      <c r="D1731" s="3">
        <f>IFERROR(__xludf.DUMMYFUNCTION("""COMPUTED_VALUE"""),296.0)</f>
        <v>296</v>
      </c>
      <c r="E1731" s="1" t="str">
        <f t="array" ref="E1731">_xlfn.XLOOKUP(A1731,Product!A:A,Product!B:B,"Bulunamadı")</f>
        <v>Sports</v>
      </c>
      <c r="F1731" s="1" t="str">
        <f t="array" ref="F1731">_xlfn.XLOOKUP(A1731,Product!A:A,Product!C:C,"Bulunamadı")</f>
        <v>Time Management</v>
      </c>
      <c r="G1731" s="2" t="str">
        <f t="array" ref="G1731">_xlfn.XLOOKUP(A1732,Product!A:A,Product!D:D,"Bulunamadı")</f>
        <v>Rivercrest Books</v>
      </c>
      <c r="H1731" s="2">
        <f t="array" ref="H1731">_xlfn.XLOOKUP(A1733,Product!A:A,Product!E:E,"Bulunamadı")</f>
        <v>28.87</v>
      </c>
      <c r="I1731" s="2" t="str">
        <f t="shared" si="1"/>
        <v>82296 - Sports - Time Management</v>
      </c>
      <c r="J1731" s="2">
        <f t="shared" si="2"/>
        <v>8545.52</v>
      </c>
      <c r="K1731" s="17">
        <f t="shared" si="3"/>
        <v>1</v>
      </c>
      <c r="L1731" s="18"/>
    </row>
    <row r="1732" hidden="1">
      <c r="A1732" s="2">
        <f>IFERROR(__xludf.DUMMYFUNCTION("""COMPUTED_VALUE"""),10269.0)</f>
        <v>10269</v>
      </c>
      <c r="B1732" s="2">
        <f>IFERROR(__xludf.DUMMYFUNCTION("""COMPUTED_VALUE"""),0.0)</f>
        <v>0</v>
      </c>
      <c r="C1732" s="2">
        <f>IFERROR(__xludf.DUMMYFUNCTION("""COMPUTED_VALUE"""),430.0)</f>
        <v>430</v>
      </c>
      <c r="D1732" s="3">
        <f>IFERROR(__xludf.DUMMYFUNCTION("""COMPUTED_VALUE"""),167.0)</f>
        <v>167</v>
      </c>
      <c r="E1732" s="1" t="str">
        <f t="array" ref="E1732">_xlfn.XLOOKUP(A1732,Product!A:A,Product!B:B,"Bulunamadı")</f>
        <v>Self-Help</v>
      </c>
      <c r="F1732" s="1" t="str">
        <f t="array" ref="F1732">_xlfn.XLOOKUP(A1732,Product!A:A,Product!C:C,"Bulunamadı")</f>
        <v>Habits</v>
      </c>
      <c r="G1732" s="2" t="str">
        <f t="array" ref="G1732">_xlfn.XLOOKUP(A1733,Product!A:A,Product!D:D,"Bulunamadı")</f>
        <v>Rivercrest Books</v>
      </c>
      <c r="H1732" s="2">
        <f t="array" ref="H1732">_xlfn.XLOOKUP(A1734,Product!A:A,Product!E:E,"Bulunamadı")</f>
        <v>12.36</v>
      </c>
      <c r="I1732" s="2" t="str">
        <f t="shared" si="1"/>
        <v>10269 - Self-Help - Habits</v>
      </c>
      <c r="J1732" s="2">
        <f t="shared" si="2"/>
        <v>2064.12</v>
      </c>
      <c r="K1732" s="17">
        <f t="shared" si="3"/>
        <v>1</v>
      </c>
      <c r="L1732" s="18"/>
    </row>
    <row r="1733" hidden="1">
      <c r="A1733" s="2">
        <f>IFERROR(__xludf.DUMMYFUNCTION("""COMPUTED_VALUE"""),121860.0)</f>
        <v>121860</v>
      </c>
      <c r="B1733" s="2">
        <f>IFERROR(__xludf.DUMMYFUNCTION("""COMPUTED_VALUE"""),1.0)</f>
        <v>1</v>
      </c>
      <c r="C1733" s="2">
        <f>IFERROR(__xludf.DUMMYFUNCTION("""COMPUTED_VALUE"""),597.0)</f>
        <v>597</v>
      </c>
      <c r="D1733" s="3">
        <f>IFERROR(__xludf.DUMMYFUNCTION("""COMPUTED_VALUE"""),106.0)</f>
        <v>106</v>
      </c>
      <c r="E1733" s="1" t="str">
        <f t="array" ref="E1733">_xlfn.XLOOKUP(A1733,Product!A:A,Product!B:B,"Bulunamadı")</f>
        <v>Self-Help</v>
      </c>
      <c r="F1733" s="1" t="str">
        <f t="array" ref="F1733">_xlfn.XLOOKUP(A1733,Product!A:A,Product!C:C,"Bulunamadı")</f>
        <v>Habits</v>
      </c>
      <c r="G1733" s="2" t="str">
        <f t="array" ref="G1733">_xlfn.XLOOKUP(A1734,Product!A:A,Product!D:D,"Bulunamadı")</f>
        <v>Rivercrest Books</v>
      </c>
      <c r="H1733" s="2">
        <f t="array" ref="H1733">_xlfn.XLOOKUP(A1735,Product!A:A,Product!E:E,"Bulunamadı")</f>
        <v>1.43</v>
      </c>
      <c r="I1733" s="2" t="str">
        <f t="shared" si="1"/>
        <v>121860 - Self-Help - Habits</v>
      </c>
      <c r="J1733" s="2">
        <f t="shared" si="2"/>
        <v>151.58</v>
      </c>
      <c r="K1733" s="17">
        <f t="shared" si="3"/>
        <v>1</v>
      </c>
      <c r="L1733" s="18"/>
    </row>
    <row r="1734" hidden="1">
      <c r="A1734" s="2">
        <f>IFERROR(__xludf.DUMMYFUNCTION("""COMPUTED_VALUE"""),100464.0)</f>
        <v>100464</v>
      </c>
      <c r="B1734" s="2">
        <f>IFERROR(__xludf.DUMMYFUNCTION("""COMPUTED_VALUE"""),1.0)</f>
        <v>1</v>
      </c>
      <c r="C1734" s="2">
        <f>IFERROR(__xludf.DUMMYFUNCTION("""COMPUTED_VALUE"""),106.0)</f>
        <v>106</v>
      </c>
      <c r="D1734" s="3">
        <f>IFERROR(__xludf.DUMMYFUNCTION("""COMPUTED_VALUE"""),91.0)</f>
        <v>91</v>
      </c>
      <c r="E1734" s="1" t="str">
        <f t="array" ref="E1734">_xlfn.XLOOKUP(A1734,Product!A:A,Product!B:B,"Bulunamadı")</f>
        <v>Self-Help</v>
      </c>
      <c r="F1734" s="1" t="str">
        <f t="array" ref="F1734">_xlfn.XLOOKUP(A1734,Product!A:A,Product!C:C,"Bulunamadı")</f>
        <v>Habits</v>
      </c>
      <c r="G1734" s="2" t="str">
        <f t="array" ref="G1734">_xlfn.XLOOKUP(A1735,Product!A:A,Product!D:D,"Bulunamadı")</f>
        <v>Rivercrest Books</v>
      </c>
      <c r="H1734" s="2">
        <f t="array" ref="H1734">_xlfn.XLOOKUP(A1736,Product!A:A,Product!E:E,"Bulunamadı")</f>
        <v>0.48</v>
      </c>
      <c r="I1734" s="2" t="str">
        <f t="shared" si="1"/>
        <v>100464 - Self-Help - Habits</v>
      </c>
      <c r="J1734" s="2">
        <f t="shared" si="2"/>
        <v>43.68</v>
      </c>
      <c r="K1734" s="17">
        <f t="shared" si="3"/>
        <v>1</v>
      </c>
      <c r="L1734" s="18"/>
    </row>
    <row r="1735" hidden="1">
      <c r="A1735" s="2">
        <f>IFERROR(__xludf.DUMMYFUNCTION("""COMPUTED_VALUE"""),10270.0)</f>
        <v>10270</v>
      </c>
      <c r="B1735" s="2">
        <f>IFERROR(__xludf.DUMMYFUNCTION("""COMPUTED_VALUE"""),1.0)</f>
        <v>1</v>
      </c>
      <c r="C1735" s="2">
        <f>IFERROR(__xludf.DUMMYFUNCTION("""COMPUTED_VALUE"""),700.0)</f>
        <v>700</v>
      </c>
      <c r="D1735" s="3">
        <f>IFERROR(__xludf.DUMMYFUNCTION("""COMPUTED_VALUE"""),537.0)</f>
        <v>537</v>
      </c>
      <c r="E1735" s="1" t="str">
        <f t="array" ref="E1735">_xlfn.XLOOKUP(A1735,Product!A:A,Product!B:B,"Bulunamadı")</f>
        <v>Self-Help</v>
      </c>
      <c r="F1735" s="1" t="str">
        <f t="array" ref="F1735">_xlfn.XLOOKUP(A1735,Product!A:A,Product!C:C,"Bulunamadı")</f>
        <v>Habits</v>
      </c>
      <c r="G1735" s="2" t="str">
        <f t="array" ref="G1735">_xlfn.XLOOKUP(A1736,Product!A:A,Product!D:D,"Bulunamadı")</f>
        <v>Rivercrest Books</v>
      </c>
      <c r="H1735" s="2">
        <f t="array" ref="H1735">_xlfn.XLOOKUP(A1737,Product!A:A,Product!E:E,"Bulunamadı")</f>
        <v>0.42</v>
      </c>
      <c r="I1735" s="2" t="str">
        <f t="shared" si="1"/>
        <v>10270 - Self-Help - Habits</v>
      </c>
      <c r="J1735" s="2">
        <f t="shared" si="2"/>
        <v>225.54</v>
      </c>
      <c r="K1735" s="17">
        <f t="shared" si="3"/>
        <v>1</v>
      </c>
      <c r="L1735" s="18"/>
    </row>
    <row r="1736" hidden="1">
      <c r="A1736" s="2">
        <f>IFERROR(__xludf.DUMMYFUNCTION("""COMPUTED_VALUE"""),10283.0)</f>
        <v>10283</v>
      </c>
      <c r="B1736" s="2">
        <f>IFERROR(__xludf.DUMMYFUNCTION("""COMPUTED_VALUE"""),1.0)</f>
        <v>1</v>
      </c>
      <c r="C1736" s="2">
        <f>IFERROR(__xludf.DUMMYFUNCTION("""COMPUTED_VALUE"""),838.0)</f>
        <v>838</v>
      </c>
      <c r="D1736" s="3">
        <f>IFERROR(__xludf.DUMMYFUNCTION("""COMPUTED_VALUE"""),122.0)</f>
        <v>122</v>
      </c>
      <c r="E1736" s="1" t="str">
        <f t="array" ref="E1736">_xlfn.XLOOKUP(A1736,Product!A:A,Product!B:B,"Bulunamadı")</f>
        <v>Self-Help</v>
      </c>
      <c r="F1736" s="1" t="str">
        <f t="array" ref="F1736">_xlfn.XLOOKUP(A1736,Product!A:A,Product!C:C,"Bulunamadı")</f>
        <v>Habits</v>
      </c>
      <c r="G1736" s="2" t="str">
        <f t="array" ref="G1736">_xlfn.XLOOKUP(A1737,Product!A:A,Product!D:D,"Bulunamadı")</f>
        <v>Rivercrest Books</v>
      </c>
      <c r="H1736" s="2">
        <f t="array" ref="H1736">_xlfn.XLOOKUP(A1738,Product!A:A,Product!E:E,"Bulunamadı")</f>
        <v>1.18</v>
      </c>
      <c r="I1736" s="2" t="str">
        <f t="shared" si="1"/>
        <v>10283 - Self-Help - Habits</v>
      </c>
      <c r="J1736" s="2">
        <f t="shared" si="2"/>
        <v>143.96</v>
      </c>
      <c r="K1736" s="17">
        <f t="shared" si="3"/>
        <v>1</v>
      </c>
      <c r="L1736" s="18"/>
    </row>
    <row r="1737" hidden="1">
      <c r="A1737" s="2">
        <f>IFERROR(__xludf.DUMMYFUNCTION("""COMPUTED_VALUE"""),10278.0)</f>
        <v>10278</v>
      </c>
      <c r="B1737" s="2">
        <f>IFERROR(__xludf.DUMMYFUNCTION("""COMPUTED_VALUE"""),0.0)</f>
        <v>0</v>
      </c>
      <c r="C1737" s="2">
        <f>IFERROR(__xludf.DUMMYFUNCTION("""COMPUTED_VALUE"""),53.0)</f>
        <v>53</v>
      </c>
      <c r="D1737" s="3">
        <f>IFERROR(__xludf.DUMMYFUNCTION("""COMPUTED_VALUE"""),24.0)</f>
        <v>24</v>
      </c>
      <c r="E1737" s="1" t="str">
        <f t="array" ref="E1737">_xlfn.XLOOKUP(A1737,Product!A:A,Product!B:B,"Bulunamadı")</f>
        <v>Self-Help</v>
      </c>
      <c r="F1737" s="1" t="str">
        <f t="array" ref="F1737">_xlfn.XLOOKUP(A1737,Product!A:A,Product!C:C,"Bulunamadı")</f>
        <v>Habits</v>
      </c>
      <c r="G1737" s="2" t="str">
        <f t="array" ref="G1737">_xlfn.XLOOKUP(A1738,Product!A:A,Product!D:D,"Bulunamadı")</f>
        <v>Ironcrest Press</v>
      </c>
      <c r="H1737" s="2">
        <f t="array" ref="H1737">_xlfn.XLOOKUP(A1739,Product!A:A,Product!E:E,"Bulunamadı")</f>
        <v>1.95</v>
      </c>
      <c r="I1737" s="2" t="str">
        <f t="shared" si="1"/>
        <v>10278 - Self-Help - Habits</v>
      </c>
      <c r="J1737" s="2">
        <f t="shared" si="2"/>
        <v>46.8</v>
      </c>
      <c r="K1737" s="17">
        <f t="shared" si="3"/>
        <v>1</v>
      </c>
      <c r="L1737" s="18"/>
    </row>
    <row r="1738" hidden="1">
      <c r="A1738" s="2">
        <f>IFERROR(__xludf.DUMMYFUNCTION("""COMPUTED_VALUE"""),10259.0)</f>
        <v>10259</v>
      </c>
      <c r="B1738" s="2">
        <f>IFERROR(__xludf.DUMMYFUNCTION("""COMPUTED_VALUE"""),1.0)</f>
        <v>1</v>
      </c>
      <c r="C1738" s="2">
        <f>IFERROR(__xludf.DUMMYFUNCTION("""COMPUTED_VALUE"""),115.0)</f>
        <v>115</v>
      </c>
      <c r="D1738" s="3">
        <f>IFERROR(__xludf.DUMMYFUNCTION("""COMPUTED_VALUE"""),53.0)</f>
        <v>53</v>
      </c>
      <c r="E1738" s="1" t="str">
        <f t="array" ref="E1738">_xlfn.XLOOKUP(A1738,Product!A:A,Product!B:B,"Bulunamadı")</f>
        <v>Self-Help</v>
      </c>
      <c r="F1738" s="1" t="str">
        <f t="array" ref="F1738">_xlfn.XLOOKUP(A1738,Product!A:A,Product!C:C,"Bulunamadı")</f>
        <v>Habits</v>
      </c>
      <c r="G1738" s="2" t="str">
        <f t="array" ref="G1738">_xlfn.XLOOKUP(A1739,Product!A:A,Product!D:D,"Bulunamadı")</f>
        <v>Ironcrest Press</v>
      </c>
      <c r="H1738" s="2">
        <f t="array" ref="H1738">_xlfn.XLOOKUP(A1740,Product!A:A,Product!E:E,"Bulunamadı")</f>
        <v>1.56</v>
      </c>
      <c r="I1738" s="2" t="str">
        <f t="shared" si="1"/>
        <v>10259 - Self-Help - Habits</v>
      </c>
      <c r="J1738" s="2">
        <f t="shared" si="2"/>
        <v>82.68</v>
      </c>
      <c r="K1738" s="17">
        <f t="shared" si="3"/>
        <v>1</v>
      </c>
      <c r="L1738" s="18"/>
    </row>
    <row r="1739" hidden="1">
      <c r="A1739" s="2">
        <f>IFERROR(__xludf.DUMMYFUNCTION("""COMPUTED_VALUE"""),200359.0)</f>
        <v>200359</v>
      </c>
      <c r="B1739" s="2">
        <f>IFERROR(__xludf.DUMMYFUNCTION("""COMPUTED_VALUE"""),1.0)</f>
        <v>1</v>
      </c>
      <c r="C1739" s="2">
        <f>IFERROR(__xludf.DUMMYFUNCTION("""COMPUTED_VALUE"""),586.0)</f>
        <v>586</v>
      </c>
      <c r="D1739" s="3">
        <f>IFERROR(__xludf.DUMMYFUNCTION("""COMPUTED_VALUE"""),274.0)</f>
        <v>274</v>
      </c>
      <c r="E1739" s="1" t="str">
        <f t="array" ref="E1739">_xlfn.XLOOKUP(A1739,Product!A:A,Product!B:B,"Bulunamadı")</f>
        <v>Self-Help</v>
      </c>
      <c r="F1739" s="1" t="str">
        <f t="array" ref="F1739">_xlfn.XLOOKUP(A1739,Product!A:A,Product!C:C,"Bulunamadı")</f>
        <v>Habits</v>
      </c>
      <c r="G1739" s="2" t="str">
        <f t="array" ref="G1739">_xlfn.XLOOKUP(A1740,Product!A:A,Product!D:D,"Bulunamadı")</f>
        <v>Ironcrest Press</v>
      </c>
      <c r="H1739" s="2">
        <f t="array" ref="H1739">_xlfn.XLOOKUP(A1741,Product!A:A,Product!E:E,"Bulunamadı")</f>
        <v>1.74</v>
      </c>
      <c r="I1739" s="2" t="str">
        <f t="shared" si="1"/>
        <v>200359 - Self-Help - Habits</v>
      </c>
      <c r="J1739" s="2">
        <f t="shared" si="2"/>
        <v>476.76</v>
      </c>
      <c r="K1739" s="17">
        <f t="shared" si="3"/>
        <v>1</v>
      </c>
      <c r="L1739" s="18"/>
    </row>
    <row r="1740" hidden="1">
      <c r="A1740" s="2">
        <f>IFERROR(__xludf.DUMMYFUNCTION("""COMPUTED_VALUE"""),10243.0)</f>
        <v>10243</v>
      </c>
      <c r="B1740" s="2">
        <f>IFERROR(__xludf.DUMMYFUNCTION("""COMPUTED_VALUE"""),0.0)</f>
        <v>0</v>
      </c>
      <c r="C1740" s="2">
        <f>IFERROR(__xludf.DUMMYFUNCTION("""COMPUTED_VALUE"""),237.0)</f>
        <v>237</v>
      </c>
      <c r="D1740" s="3">
        <f>IFERROR(__xludf.DUMMYFUNCTION("""COMPUTED_VALUE"""),66.0)</f>
        <v>66</v>
      </c>
      <c r="E1740" s="1" t="str">
        <f t="array" ref="E1740">_xlfn.XLOOKUP(A1740,Product!A:A,Product!B:B,"Bulunamadı")</f>
        <v>Self-Help</v>
      </c>
      <c r="F1740" s="1" t="str">
        <f t="array" ref="F1740">_xlfn.XLOOKUP(A1740,Product!A:A,Product!C:C,"Bulunamadı")</f>
        <v>Habits</v>
      </c>
      <c r="G1740" s="2" t="str">
        <f t="array" ref="G1740">_xlfn.XLOOKUP(A1741,Product!A:A,Product!D:D,"Bulunamadı")</f>
        <v>Ironcrest Press</v>
      </c>
      <c r="H1740" s="2">
        <f t="array" ref="H1740">_xlfn.XLOOKUP(A1742,Product!A:A,Product!E:E,"Bulunamadı")</f>
        <v>9.24</v>
      </c>
      <c r="I1740" s="2" t="str">
        <f t="shared" si="1"/>
        <v>10243 - Self-Help - Habits</v>
      </c>
      <c r="J1740" s="2">
        <f t="shared" si="2"/>
        <v>609.84</v>
      </c>
      <c r="K1740" s="17">
        <f t="shared" si="3"/>
        <v>1</v>
      </c>
      <c r="L1740" s="18"/>
    </row>
    <row r="1741" hidden="1">
      <c r="A1741" s="2">
        <f>IFERROR(__xludf.DUMMYFUNCTION("""COMPUTED_VALUE"""),200360.0)</f>
        <v>200360</v>
      </c>
      <c r="B1741" s="2">
        <f>IFERROR(__xludf.DUMMYFUNCTION("""COMPUTED_VALUE"""),1.0)</f>
        <v>1</v>
      </c>
      <c r="C1741" s="2">
        <f>IFERROR(__xludf.DUMMYFUNCTION("""COMPUTED_VALUE"""),931.0)</f>
        <v>931</v>
      </c>
      <c r="D1741" s="3">
        <f>IFERROR(__xludf.DUMMYFUNCTION("""COMPUTED_VALUE"""),913.0)</f>
        <v>913</v>
      </c>
      <c r="E1741" s="1" t="str">
        <f t="array" ref="E1741">_xlfn.XLOOKUP(A1741,Product!A:A,Product!B:B,"Bulunamadı")</f>
        <v>Self-Help</v>
      </c>
      <c r="F1741" s="1" t="str">
        <f t="array" ref="F1741">_xlfn.XLOOKUP(A1741,Product!A:A,Product!C:C,"Bulunamadı")</f>
        <v>Habits</v>
      </c>
      <c r="G1741" s="2" t="str">
        <f t="array" ref="G1741">_xlfn.XLOOKUP(A1742,Product!A:A,Product!D:D,"Bulunamadı")</f>
        <v>Ironcrest Press</v>
      </c>
      <c r="H1741" s="2">
        <f t="array" ref="H1741">_xlfn.XLOOKUP(A1743,Product!A:A,Product!E:E,"Bulunamadı")</f>
        <v>10.87</v>
      </c>
      <c r="I1741" s="2" t="str">
        <f t="shared" si="1"/>
        <v>200360 - Self-Help - Habits</v>
      </c>
      <c r="J1741" s="2">
        <f t="shared" si="2"/>
        <v>9924.31</v>
      </c>
      <c r="K1741" s="17">
        <f t="shared" si="3"/>
        <v>1</v>
      </c>
      <c r="L1741" s="18"/>
    </row>
    <row r="1742" hidden="1">
      <c r="A1742" s="2">
        <f>IFERROR(__xludf.DUMMYFUNCTION("""COMPUTED_VALUE"""),196501.0)</f>
        <v>196501</v>
      </c>
      <c r="B1742" s="2">
        <f>IFERROR(__xludf.DUMMYFUNCTION("""COMPUTED_VALUE"""),1.0)</f>
        <v>1</v>
      </c>
      <c r="C1742" s="2">
        <f>IFERROR(__xludf.DUMMYFUNCTION("""COMPUTED_VALUE"""),731.0)</f>
        <v>731</v>
      </c>
      <c r="D1742" s="3">
        <f>IFERROR(__xludf.DUMMYFUNCTION("""COMPUTED_VALUE"""),254.0)</f>
        <v>254</v>
      </c>
      <c r="E1742" s="1" t="str">
        <f t="array" ref="E1742">_xlfn.XLOOKUP(A1742,Product!A:A,Product!B:B,"Bulunamadı")</f>
        <v>Self-Help</v>
      </c>
      <c r="F1742" s="1" t="str">
        <f t="array" ref="F1742">_xlfn.XLOOKUP(A1742,Product!A:A,Product!C:C,"Bulunamadı")</f>
        <v>Habits</v>
      </c>
      <c r="G1742" s="2" t="str">
        <f t="array" ref="G1742">_xlfn.XLOOKUP(A1743,Product!A:A,Product!D:D,"Bulunamadı")</f>
        <v>Ironcrest Press</v>
      </c>
      <c r="H1742" s="2">
        <f t="array" ref="H1742">_xlfn.XLOOKUP(A1744,Product!A:A,Product!E:E,"Bulunamadı")</f>
        <v>7.26</v>
      </c>
      <c r="I1742" s="2" t="str">
        <f t="shared" si="1"/>
        <v>196501 - Self-Help - Habits</v>
      </c>
      <c r="J1742" s="2">
        <f t="shared" si="2"/>
        <v>1844.04</v>
      </c>
      <c r="K1742" s="17">
        <f t="shared" si="3"/>
        <v>1</v>
      </c>
      <c r="L1742" s="18"/>
    </row>
    <row r="1743" hidden="1">
      <c r="A1743" s="2">
        <f>IFERROR(__xludf.DUMMYFUNCTION("""COMPUTED_VALUE"""),100460.0)</f>
        <v>100460</v>
      </c>
      <c r="B1743" s="2">
        <f>IFERROR(__xludf.DUMMYFUNCTION("""COMPUTED_VALUE"""),0.0)</f>
        <v>0</v>
      </c>
      <c r="C1743" s="2">
        <f>IFERROR(__xludf.DUMMYFUNCTION("""COMPUTED_VALUE"""),516.0)</f>
        <v>516</v>
      </c>
      <c r="D1743" s="3">
        <f>IFERROR(__xludf.DUMMYFUNCTION("""COMPUTED_VALUE"""),146.0)</f>
        <v>146</v>
      </c>
      <c r="E1743" s="1" t="str">
        <f t="array" ref="E1743">_xlfn.XLOOKUP(A1743,Product!A:A,Product!B:B,"Bulunamadı")</f>
        <v>Self-Help</v>
      </c>
      <c r="F1743" s="1" t="str">
        <f t="array" ref="F1743">_xlfn.XLOOKUP(A1743,Product!A:A,Product!C:C,"Bulunamadı")</f>
        <v>Habits</v>
      </c>
      <c r="G1743" s="2" t="str">
        <f t="array" ref="G1743">_xlfn.XLOOKUP(A1744,Product!A:A,Product!D:D,"Bulunamadı")</f>
        <v>Silverbrook Publishing</v>
      </c>
      <c r="H1743" s="2">
        <f t="array" ref="H1743">_xlfn.XLOOKUP(A1745,Product!A:A,Product!E:E,"Bulunamadı")</f>
        <v>15.84</v>
      </c>
      <c r="I1743" s="2" t="str">
        <f t="shared" si="1"/>
        <v>100460 - Self-Help - Habits</v>
      </c>
      <c r="J1743" s="2">
        <f t="shared" si="2"/>
        <v>2312.64</v>
      </c>
      <c r="K1743" s="17">
        <f t="shared" si="3"/>
        <v>1</v>
      </c>
      <c r="L1743" s="18"/>
    </row>
    <row r="1744" hidden="1">
      <c r="A1744" s="2">
        <f>IFERROR(__xludf.DUMMYFUNCTION("""COMPUTED_VALUE"""),5880.0)</f>
        <v>5880</v>
      </c>
      <c r="B1744" s="2">
        <f>IFERROR(__xludf.DUMMYFUNCTION("""COMPUTED_VALUE"""),0.0)</f>
        <v>0</v>
      </c>
      <c r="C1744" s="2">
        <f>IFERROR(__xludf.DUMMYFUNCTION("""COMPUTED_VALUE"""),922.0)</f>
        <v>922</v>
      </c>
      <c r="D1744" s="3">
        <f>IFERROR(__xludf.DUMMYFUNCTION("""COMPUTED_VALUE"""),112.0)</f>
        <v>112</v>
      </c>
      <c r="E1744" s="1" t="str">
        <f t="array" ref="E1744">_xlfn.XLOOKUP(A1744,Product!A:A,Product!B:B,"Bulunamadı")</f>
        <v>Self-Help</v>
      </c>
      <c r="F1744" s="1" t="str">
        <f t="array" ref="F1744">_xlfn.XLOOKUP(A1744,Product!A:A,Product!C:C,"Bulunamadı")</f>
        <v>Habits</v>
      </c>
      <c r="G1744" s="2" t="str">
        <f t="array" ref="G1744">_xlfn.XLOOKUP(A1745,Product!A:A,Product!D:D,"Bulunamadı")</f>
        <v>Silverbrook Publishing</v>
      </c>
      <c r="H1744" s="2">
        <f t="array" ref="H1744">_xlfn.XLOOKUP(A1746,Product!A:A,Product!E:E,"Bulunamadı")</f>
        <v>7.29</v>
      </c>
      <c r="I1744" s="2" t="str">
        <f t="shared" si="1"/>
        <v>5880 - Self-Help - Habits</v>
      </c>
      <c r="J1744" s="2">
        <f t="shared" si="2"/>
        <v>816.48</v>
      </c>
      <c r="K1744" s="17">
        <f t="shared" si="3"/>
        <v>1</v>
      </c>
      <c r="L1744" s="18"/>
    </row>
    <row r="1745" hidden="1">
      <c r="A1745" s="2">
        <f>IFERROR(__xludf.DUMMYFUNCTION("""COMPUTED_VALUE"""),5872.0)</f>
        <v>5872</v>
      </c>
      <c r="B1745" s="2">
        <f>IFERROR(__xludf.DUMMYFUNCTION("""COMPUTED_VALUE"""),0.0)</f>
        <v>0</v>
      </c>
      <c r="C1745" s="2">
        <f>IFERROR(__xludf.DUMMYFUNCTION("""COMPUTED_VALUE"""),801.0)</f>
        <v>801</v>
      </c>
      <c r="D1745" s="3">
        <f>IFERROR(__xludf.DUMMYFUNCTION("""COMPUTED_VALUE"""),556.0)</f>
        <v>556</v>
      </c>
      <c r="E1745" s="1" t="str">
        <f t="array" ref="E1745">_xlfn.XLOOKUP(A1745,Product!A:A,Product!B:B,"Bulunamadı")</f>
        <v>Self-Help</v>
      </c>
      <c r="F1745" s="1" t="str">
        <f t="array" ref="F1745">_xlfn.XLOOKUP(A1745,Product!A:A,Product!C:C,"Bulunamadı")</f>
        <v>Habits</v>
      </c>
      <c r="G1745" s="2" t="str">
        <f t="array" ref="G1745">_xlfn.XLOOKUP(A1746,Product!A:A,Product!D:D,"Bulunamadı")</f>
        <v>Silverbrook Publishing</v>
      </c>
      <c r="H1745" s="2">
        <f t="array" ref="H1745">_xlfn.XLOOKUP(A1747,Product!A:A,Product!E:E,"Bulunamadı")</f>
        <v>9.51</v>
      </c>
      <c r="I1745" s="2" t="str">
        <f t="shared" si="1"/>
        <v>5872 - Self-Help - Habits</v>
      </c>
      <c r="J1745" s="2">
        <f t="shared" si="2"/>
        <v>5287.56</v>
      </c>
      <c r="K1745" s="17">
        <f t="shared" si="3"/>
        <v>1</v>
      </c>
      <c r="L1745" s="18"/>
    </row>
    <row r="1746" hidden="1">
      <c r="A1746" s="2">
        <f>IFERROR(__xludf.DUMMYFUNCTION("""COMPUTED_VALUE"""),114258.0)</f>
        <v>114258</v>
      </c>
      <c r="B1746" s="2">
        <f>IFERROR(__xludf.DUMMYFUNCTION("""COMPUTED_VALUE"""),0.0)</f>
        <v>0</v>
      </c>
      <c r="C1746" s="2">
        <f>IFERROR(__xludf.DUMMYFUNCTION("""COMPUTED_VALUE"""),855.0)</f>
        <v>855</v>
      </c>
      <c r="D1746" s="3">
        <f>IFERROR(__xludf.DUMMYFUNCTION("""COMPUTED_VALUE"""),689.0)</f>
        <v>689</v>
      </c>
      <c r="E1746" s="1" t="str">
        <f t="array" ref="E1746">_xlfn.XLOOKUP(A1746,Product!A:A,Product!B:B,"Bulunamadı")</f>
        <v>Self-Help</v>
      </c>
      <c r="F1746" s="1" t="str">
        <f t="array" ref="F1746">_xlfn.XLOOKUP(A1746,Product!A:A,Product!C:C,"Bulunamadı")</f>
        <v>Habits</v>
      </c>
      <c r="G1746" s="2" t="str">
        <f t="array" ref="G1746">_xlfn.XLOOKUP(A1747,Product!A:A,Product!D:D,"Bulunamadı")</f>
        <v>Silverbrook Publishing</v>
      </c>
      <c r="H1746" s="2">
        <f t="array" ref="H1746">_xlfn.XLOOKUP(A1748,Product!A:A,Product!E:E,"Bulunamadı")</f>
        <v>5.01</v>
      </c>
      <c r="I1746" s="2" t="str">
        <f t="shared" si="1"/>
        <v>114258 - Self-Help - Habits</v>
      </c>
      <c r="J1746" s="2">
        <f t="shared" si="2"/>
        <v>3451.89</v>
      </c>
      <c r="K1746" s="17">
        <f t="shared" si="3"/>
        <v>1</v>
      </c>
      <c r="L1746" s="18"/>
    </row>
    <row r="1747" hidden="1">
      <c r="A1747" s="2">
        <f>IFERROR(__xludf.DUMMYFUNCTION("""COMPUTED_VALUE"""),11122.0)</f>
        <v>11122</v>
      </c>
      <c r="B1747" s="2">
        <f>IFERROR(__xludf.DUMMYFUNCTION("""COMPUTED_VALUE"""),1.0)</f>
        <v>1</v>
      </c>
      <c r="C1747" s="2">
        <f>IFERROR(__xludf.DUMMYFUNCTION("""COMPUTED_VALUE"""),353.0)</f>
        <v>353</v>
      </c>
      <c r="D1747" s="3">
        <f>IFERROR(__xludf.DUMMYFUNCTION("""COMPUTED_VALUE"""),73.0)</f>
        <v>73</v>
      </c>
      <c r="E1747" s="1" t="str">
        <f t="array" ref="E1747">_xlfn.XLOOKUP(A1747,Product!A:A,Product!B:B,"Bulunamadı")</f>
        <v>Self-Help</v>
      </c>
      <c r="F1747" s="1" t="str">
        <f t="array" ref="F1747">_xlfn.XLOOKUP(A1747,Product!A:A,Product!C:C,"Bulunamadı")</f>
        <v>Habits</v>
      </c>
      <c r="G1747" s="2" t="str">
        <f t="array" ref="G1747">_xlfn.XLOOKUP(A1748,Product!A:A,Product!D:D,"Bulunamadı")</f>
        <v>Silverbrook Publishing</v>
      </c>
      <c r="H1747" s="2">
        <f t="array" ref="H1747">_xlfn.XLOOKUP(A1749,Product!A:A,Product!E:E,"Bulunamadı")</f>
        <v>11.83</v>
      </c>
      <c r="I1747" s="2" t="str">
        <f t="shared" si="1"/>
        <v>11122 - Self-Help - Habits</v>
      </c>
      <c r="J1747" s="2">
        <f t="shared" si="2"/>
        <v>863.59</v>
      </c>
      <c r="K1747" s="17">
        <f t="shared" si="3"/>
        <v>1</v>
      </c>
      <c r="L1747" s="18"/>
    </row>
    <row r="1748" hidden="1">
      <c r="A1748" s="2">
        <f>IFERROR(__xludf.DUMMYFUNCTION("""COMPUTED_VALUE"""),116894.0)</f>
        <v>116894</v>
      </c>
      <c r="B1748" s="2">
        <f>IFERROR(__xludf.DUMMYFUNCTION("""COMPUTED_VALUE"""),0.0)</f>
        <v>0</v>
      </c>
      <c r="C1748" s="2">
        <f>IFERROR(__xludf.DUMMYFUNCTION("""COMPUTED_VALUE"""),586.0)</f>
        <v>586</v>
      </c>
      <c r="D1748" s="3">
        <f>IFERROR(__xludf.DUMMYFUNCTION("""COMPUTED_VALUE"""),472.0)</f>
        <v>472</v>
      </c>
      <c r="E1748" s="1" t="str">
        <f t="array" ref="E1748">_xlfn.XLOOKUP(A1748,Product!A:A,Product!B:B,"Bulunamadı")</f>
        <v>Self-Help</v>
      </c>
      <c r="F1748" s="1" t="str">
        <f t="array" ref="F1748">_xlfn.XLOOKUP(A1748,Product!A:A,Product!C:C,"Bulunamadı")</f>
        <v>Habits</v>
      </c>
      <c r="G1748" s="2" t="str">
        <f t="array" ref="G1748">_xlfn.XLOOKUP(A1749,Product!A:A,Product!D:D,"Bulunamadı")</f>
        <v>Silverbrook Publishing</v>
      </c>
      <c r="H1748" s="2">
        <f t="array" ref="H1748">_xlfn.XLOOKUP(A1750,Product!A:A,Product!E:E,"Bulunamadı")</f>
        <v>2.48</v>
      </c>
      <c r="I1748" s="2" t="str">
        <f t="shared" si="1"/>
        <v>116894 - Self-Help - Habits</v>
      </c>
      <c r="J1748" s="2">
        <f t="shared" si="2"/>
        <v>1170.56</v>
      </c>
      <c r="K1748" s="17">
        <f t="shared" si="3"/>
        <v>1</v>
      </c>
      <c r="L1748" s="18"/>
    </row>
    <row r="1749" hidden="1">
      <c r="A1749" s="2">
        <f>IFERROR(__xludf.DUMMYFUNCTION("""COMPUTED_VALUE"""),72994.0)</f>
        <v>72994</v>
      </c>
      <c r="B1749" s="2">
        <f>IFERROR(__xludf.DUMMYFUNCTION("""COMPUTED_VALUE"""),0.0)</f>
        <v>0</v>
      </c>
      <c r="C1749" s="2">
        <f>IFERROR(__xludf.DUMMYFUNCTION("""COMPUTED_VALUE"""),478.0)</f>
        <v>478</v>
      </c>
      <c r="D1749" s="3">
        <f>IFERROR(__xludf.DUMMYFUNCTION("""COMPUTED_VALUE"""),146.0)</f>
        <v>146</v>
      </c>
      <c r="E1749" s="1" t="str">
        <f t="array" ref="E1749">_xlfn.XLOOKUP(A1749,Product!A:A,Product!B:B,"Bulunamadı")</f>
        <v>Self-Help</v>
      </c>
      <c r="F1749" s="1" t="str">
        <f t="array" ref="F1749">_xlfn.XLOOKUP(A1749,Product!A:A,Product!C:C,"Bulunamadı")</f>
        <v>Habits</v>
      </c>
      <c r="G1749" s="2" t="str">
        <f t="array" ref="G1749">_xlfn.XLOOKUP(A1750,Product!A:A,Product!D:D,"Bulunamadı")</f>
        <v>Northbrook Books</v>
      </c>
      <c r="H1749" s="2">
        <f t="array" ref="H1749">_xlfn.XLOOKUP(A1751,Product!A:A,Product!E:E,"Bulunamadı")</f>
        <v>2.25</v>
      </c>
      <c r="I1749" s="2" t="str">
        <f t="shared" si="1"/>
        <v>72994 - Self-Help - Habits</v>
      </c>
      <c r="J1749" s="2">
        <f t="shared" si="2"/>
        <v>328.5</v>
      </c>
      <c r="K1749" s="17">
        <f t="shared" si="3"/>
        <v>1</v>
      </c>
      <c r="L1749" s="18"/>
    </row>
    <row r="1750" hidden="1">
      <c r="A1750" s="2">
        <f>IFERROR(__xludf.DUMMYFUNCTION("""COMPUTED_VALUE"""),120863.0)</f>
        <v>120863</v>
      </c>
      <c r="B1750" s="2">
        <f>IFERROR(__xludf.DUMMYFUNCTION("""COMPUTED_VALUE"""),1.0)</f>
        <v>1</v>
      </c>
      <c r="C1750" s="2">
        <f>IFERROR(__xludf.DUMMYFUNCTION("""COMPUTED_VALUE"""),130.0)</f>
        <v>130</v>
      </c>
      <c r="D1750" s="3">
        <f>IFERROR(__xludf.DUMMYFUNCTION("""COMPUTED_VALUE"""),2.0)</f>
        <v>2</v>
      </c>
      <c r="E1750" s="1" t="str">
        <f t="array" ref="E1750">_xlfn.XLOOKUP(A1750,Product!A:A,Product!B:B,"Bulunamadı")</f>
        <v>Law</v>
      </c>
      <c r="F1750" s="1" t="str">
        <f t="array" ref="F1750">_xlfn.XLOOKUP(A1750,Product!A:A,Product!C:C,"Bulunamadı")</f>
        <v>Motivation</v>
      </c>
      <c r="G1750" s="2" t="str">
        <f t="array" ref="G1750">_xlfn.XLOOKUP(A1751,Product!A:A,Product!D:D,"Bulunamadı")</f>
        <v>Northbrook Books</v>
      </c>
      <c r="H1750" s="2">
        <f t="array" ref="H1750">_xlfn.XLOOKUP(A1752,Product!A:A,Product!E:E,"Bulunamadı")</f>
        <v>2.81</v>
      </c>
      <c r="I1750" s="2" t="str">
        <f t="shared" si="1"/>
        <v>120863 - Law - Motivation</v>
      </c>
      <c r="J1750" s="2">
        <f t="shared" si="2"/>
        <v>5.62</v>
      </c>
      <c r="K1750" s="17">
        <f t="shared" si="3"/>
        <v>1</v>
      </c>
      <c r="L1750" s="18"/>
    </row>
    <row r="1751" hidden="1">
      <c r="A1751" s="2">
        <f>IFERROR(__xludf.DUMMYFUNCTION("""COMPUTED_VALUE"""),120870.0)</f>
        <v>120870</v>
      </c>
      <c r="B1751" s="2">
        <f>IFERROR(__xludf.DUMMYFUNCTION("""COMPUTED_VALUE"""),1.0)</f>
        <v>1</v>
      </c>
      <c r="C1751" s="2">
        <f>IFERROR(__xludf.DUMMYFUNCTION("""COMPUTED_VALUE"""),440.0)</f>
        <v>440</v>
      </c>
      <c r="D1751" s="3">
        <f>IFERROR(__xludf.DUMMYFUNCTION("""COMPUTED_VALUE"""),48.0)</f>
        <v>48</v>
      </c>
      <c r="E1751" s="1" t="str">
        <f t="array" ref="E1751">_xlfn.XLOOKUP(A1751,Product!A:A,Product!B:B,"Bulunamadı")</f>
        <v>Law</v>
      </c>
      <c r="F1751" s="1" t="str">
        <f t="array" ref="F1751">_xlfn.XLOOKUP(A1751,Product!A:A,Product!C:C,"Bulunamadı")</f>
        <v>Motivation</v>
      </c>
      <c r="G1751" s="2" t="str">
        <f t="array" ref="G1751">_xlfn.XLOOKUP(A1752,Product!A:A,Product!D:D,"Bulunamadı")</f>
        <v>Northbrook Books</v>
      </c>
      <c r="H1751" s="2">
        <f t="array" ref="H1751">_xlfn.XLOOKUP(A1753,Product!A:A,Product!E:E,"Bulunamadı")</f>
        <v>3.05</v>
      </c>
      <c r="I1751" s="2" t="str">
        <f t="shared" si="1"/>
        <v>120870 - Law - Motivation</v>
      </c>
      <c r="J1751" s="2">
        <f t="shared" si="2"/>
        <v>146.4</v>
      </c>
      <c r="K1751" s="17">
        <f t="shared" si="3"/>
        <v>1</v>
      </c>
      <c r="L1751" s="18"/>
    </row>
    <row r="1752" hidden="1">
      <c r="A1752" s="2">
        <f>IFERROR(__xludf.DUMMYFUNCTION("""COMPUTED_VALUE"""),120868.0)</f>
        <v>120868</v>
      </c>
      <c r="B1752" s="2">
        <f>IFERROR(__xludf.DUMMYFUNCTION("""COMPUTED_VALUE"""),1.0)</f>
        <v>1</v>
      </c>
      <c r="C1752" s="2">
        <f>IFERROR(__xludf.DUMMYFUNCTION("""COMPUTED_VALUE"""),62.0)</f>
        <v>62</v>
      </c>
      <c r="D1752" s="3">
        <f>IFERROR(__xludf.DUMMYFUNCTION("""COMPUTED_VALUE"""),56.0)</f>
        <v>56</v>
      </c>
      <c r="E1752" s="1" t="str">
        <f t="array" ref="E1752">_xlfn.XLOOKUP(A1752,Product!A:A,Product!B:B,"Bulunamadı")</f>
        <v>Law</v>
      </c>
      <c r="F1752" s="1" t="str">
        <f t="array" ref="F1752">_xlfn.XLOOKUP(A1752,Product!A:A,Product!C:C,"Bulunamadı")</f>
        <v>Motivation</v>
      </c>
      <c r="G1752" s="2" t="str">
        <f t="array" ref="G1752">_xlfn.XLOOKUP(A1753,Product!A:A,Product!D:D,"Bulunamadı")</f>
        <v>Northbrook Books</v>
      </c>
      <c r="H1752" s="2">
        <f t="array" ref="H1752">_xlfn.XLOOKUP(A1754,Product!A:A,Product!E:E,"Bulunamadı")</f>
        <v>3.98</v>
      </c>
      <c r="I1752" s="2" t="str">
        <f t="shared" si="1"/>
        <v>120868 - Law - Motivation</v>
      </c>
      <c r="J1752" s="2">
        <f t="shared" si="2"/>
        <v>222.88</v>
      </c>
      <c r="K1752" s="17">
        <f t="shared" si="3"/>
        <v>1</v>
      </c>
      <c r="L1752" s="18"/>
    </row>
    <row r="1753" hidden="1">
      <c r="A1753" s="2">
        <f>IFERROR(__xludf.DUMMYFUNCTION("""COMPUTED_VALUE"""),102063.0)</f>
        <v>102063</v>
      </c>
      <c r="B1753" s="2">
        <f>IFERROR(__xludf.DUMMYFUNCTION("""COMPUTED_VALUE"""),1.0)</f>
        <v>1</v>
      </c>
      <c r="C1753" s="2">
        <f>IFERROR(__xludf.DUMMYFUNCTION("""COMPUTED_VALUE"""),504.0)</f>
        <v>504</v>
      </c>
      <c r="D1753" s="3">
        <f>IFERROR(__xludf.DUMMYFUNCTION("""COMPUTED_VALUE"""),190.0)</f>
        <v>190</v>
      </c>
      <c r="E1753" s="1" t="str">
        <f t="array" ref="E1753">_xlfn.XLOOKUP(A1753,Product!A:A,Product!B:B,"Bulunamadı")</f>
        <v>Law</v>
      </c>
      <c r="F1753" s="1" t="str">
        <f t="array" ref="F1753">_xlfn.XLOOKUP(A1753,Product!A:A,Product!C:C,"Bulunamadı")</f>
        <v>Motivation</v>
      </c>
      <c r="G1753" s="2" t="str">
        <f t="array" ref="G1753">_xlfn.XLOOKUP(A1754,Product!A:A,Product!D:D,"Bulunamadı")</f>
        <v>Northbrook Books</v>
      </c>
      <c r="H1753" s="2">
        <f t="array" ref="H1753">_xlfn.XLOOKUP(A1755,Product!A:A,Product!E:E,"Bulunamadı")</f>
        <v>2.34</v>
      </c>
      <c r="I1753" s="2" t="str">
        <f t="shared" si="1"/>
        <v>102063 - Law - Motivation</v>
      </c>
      <c r="J1753" s="2">
        <f t="shared" si="2"/>
        <v>444.6</v>
      </c>
      <c r="K1753" s="17">
        <f t="shared" si="3"/>
        <v>1</v>
      </c>
      <c r="L1753" s="18"/>
    </row>
    <row r="1754" hidden="1">
      <c r="A1754" s="2">
        <f>IFERROR(__xludf.DUMMYFUNCTION("""COMPUTED_VALUE"""),120869.0)</f>
        <v>120869</v>
      </c>
      <c r="B1754" s="2">
        <f>IFERROR(__xludf.DUMMYFUNCTION("""COMPUTED_VALUE"""),0.0)</f>
        <v>0</v>
      </c>
      <c r="C1754" s="2">
        <f>IFERROR(__xludf.DUMMYFUNCTION("""COMPUTED_VALUE"""),528.0)</f>
        <v>528</v>
      </c>
      <c r="D1754" s="3">
        <f>IFERROR(__xludf.DUMMYFUNCTION("""COMPUTED_VALUE"""),483.0)</f>
        <v>483</v>
      </c>
      <c r="E1754" s="1" t="str">
        <f t="array" ref="E1754">_xlfn.XLOOKUP(A1754,Product!A:A,Product!B:B,"Bulunamadı")</f>
        <v>Law</v>
      </c>
      <c r="F1754" s="1" t="str">
        <f t="array" ref="F1754">_xlfn.XLOOKUP(A1754,Product!A:A,Product!C:C,"Bulunamadı")</f>
        <v>Motivation</v>
      </c>
      <c r="G1754" s="2" t="str">
        <f t="array" ref="G1754">_xlfn.XLOOKUP(A1755,Product!A:A,Product!D:D,"Bulunamadı")</f>
        <v>Harborbrook Press</v>
      </c>
      <c r="H1754" s="2">
        <f t="array" ref="H1754">_xlfn.XLOOKUP(A1756,Product!A:A,Product!E:E,"Bulunamadı")</f>
        <v>2.92</v>
      </c>
      <c r="I1754" s="2" t="str">
        <f t="shared" si="1"/>
        <v>120869 - Law - Motivation</v>
      </c>
      <c r="J1754" s="2">
        <f t="shared" si="2"/>
        <v>1410.36</v>
      </c>
      <c r="K1754" s="17">
        <f t="shared" si="3"/>
        <v>1</v>
      </c>
      <c r="L1754" s="18"/>
    </row>
    <row r="1755" hidden="1">
      <c r="A1755" s="2">
        <f>IFERROR(__xludf.DUMMYFUNCTION("""COMPUTED_VALUE"""),120871.0)</f>
        <v>120871</v>
      </c>
      <c r="B1755" s="2">
        <f>IFERROR(__xludf.DUMMYFUNCTION("""COMPUTED_VALUE"""),0.0)</f>
        <v>0</v>
      </c>
      <c r="C1755" s="2">
        <f>IFERROR(__xludf.DUMMYFUNCTION("""COMPUTED_VALUE"""),799.0)</f>
        <v>799</v>
      </c>
      <c r="D1755" s="3">
        <f>IFERROR(__xludf.DUMMYFUNCTION("""COMPUTED_VALUE"""),338.0)</f>
        <v>338</v>
      </c>
      <c r="E1755" s="1" t="str">
        <f t="array" ref="E1755">_xlfn.XLOOKUP(A1755,Product!A:A,Product!B:B,"Bulunamadı")</f>
        <v>Law</v>
      </c>
      <c r="F1755" s="1" t="str">
        <f t="array" ref="F1755">_xlfn.XLOOKUP(A1755,Product!A:A,Product!C:C,"Bulunamadı")</f>
        <v>Motivation</v>
      </c>
      <c r="G1755" s="2" t="str">
        <f t="array" ref="G1755">_xlfn.XLOOKUP(A1756,Product!A:A,Product!D:D,"Bulunamadı")</f>
        <v>Harborbrook Press</v>
      </c>
      <c r="H1755" s="2">
        <f t="array" ref="H1755">_xlfn.XLOOKUP(A1757,Product!A:A,Product!E:E,"Bulunamadı")</f>
        <v>2.31</v>
      </c>
      <c r="I1755" s="2" t="str">
        <f t="shared" si="1"/>
        <v>120871 - Law - Motivation</v>
      </c>
      <c r="J1755" s="2">
        <f t="shared" si="2"/>
        <v>780.78</v>
      </c>
      <c r="K1755" s="17">
        <f t="shared" si="3"/>
        <v>1</v>
      </c>
      <c r="L1755" s="18"/>
    </row>
    <row r="1756" hidden="1">
      <c r="A1756" s="2">
        <f>IFERROR(__xludf.DUMMYFUNCTION("""COMPUTED_VALUE"""),24195.0)</f>
        <v>24195</v>
      </c>
      <c r="B1756" s="2">
        <f>IFERROR(__xludf.DUMMYFUNCTION("""COMPUTED_VALUE"""),1.0)</f>
        <v>1</v>
      </c>
      <c r="C1756" s="2">
        <f>IFERROR(__xludf.DUMMYFUNCTION("""COMPUTED_VALUE"""),528.0)</f>
        <v>528</v>
      </c>
      <c r="D1756" s="3">
        <f>IFERROR(__xludf.DUMMYFUNCTION("""COMPUTED_VALUE"""),46.0)</f>
        <v>46</v>
      </c>
      <c r="E1756" s="1" t="str">
        <f t="array" ref="E1756">_xlfn.XLOOKUP(A1756,Product!A:A,Product!B:B,"Bulunamadı")</f>
        <v>Law</v>
      </c>
      <c r="F1756" s="1" t="str">
        <f t="array" ref="F1756">_xlfn.XLOOKUP(A1756,Product!A:A,Product!C:C,"Bulunamadı")</f>
        <v>Motivation</v>
      </c>
      <c r="G1756" s="2" t="str">
        <f t="array" ref="G1756">_xlfn.XLOOKUP(A1757,Product!A:A,Product!D:D,"Bulunamadı")</f>
        <v>Harborbrook Press</v>
      </c>
      <c r="H1756" s="2">
        <f t="array" ref="H1756">_xlfn.XLOOKUP(A1758,Product!A:A,Product!E:E,"Bulunamadı")</f>
        <v>1.91</v>
      </c>
      <c r="I1756" s="2" t="str">
        <f t="shared" si="1"/>
        <v>24195 - Law - Motivation</v>
      </c>
      <c r="J1756" s="2">
        <f t="shared" si="2"/>
        <v>87.86</v>
      </c>
      <c r="K1756" s="17">
        <f t="shared" si="3"/>
        <v>1</v>
      </c>
      <c r="L1756" s="18"/>
    </row>
    <row r="1757" hidden="1">
      <c r="A1757" s="2">
        <f>IFERROR(__xludf.DUMMYFUNCTION("""COMPUTED_VALUE"""),120422.0)</f>
        <v>120422</v>
      </c>
      <c r="B1757" s="2">
        <f>IFERROR(__xludf.DUMMYFUNCTION("""COMPUTED_VALUE"""),1.0)</f>
        <v>1</v>
      </c>
      <c r="C1757" s="2">
        <f>IFERROR(__xludf.DUMMYFUNCTION("""COMPUTED_VALUE"""),273.0)</f>
        <v>273</v>
      </c>
      <c r="D1757" s="3">
        <f>IFERROR(__xludf.DUMMYFUNCTION("""COMPUTED_VALUE"""),134.0)</f>
        <v>134</v>
      </c>
      <c r="E1757" s="1" t="str">
        <f t="array" ref="E1757">_xlfn.XLOOKUP(A1757,Product!A:A,Product!B:B,"Bulunamadı")</f>
        <v>Law</v>
      </c>
      <c r="F1757" s="1" t="str">
        <f t="array" ref="F1757">_xlfn.XLOOKUP(A1757,Product!A:A,Product!C:C,"Bulunamadı")</f>
        <v>Motivation</v>
      </c>
      <c r="G1757" s="2" t="str">
        <f t="array" ref="G1757">_xlfn.XLOOKUP(A1758,Product!A:A,Product!D:D,"Bulunamadı")</f>
        <v>Harborbrook Press</v>
      </c>
      <c r="H1757" s="2">
        <f t="array" ref="H1757">_xlfn.XLOOKUP(A1759,Product!A:A,Product!E:E,"Bulunamadı")</f>
        <v>1.81</v>
      </c>
      <c r="I1757" s="2" t="str">
        <f t="shared" si="1"/>
        <v>120422 - Law - Motivation</v>
      </c>
      <c r="J1757" s="2">
        <f t="shared" si="2"/>
        <v>242.54</v>
      </c>
      <c r="K1757" s="17">
        <f t="shared" si="3"/>
        <v>1</v>
      </c>
      <c r="L1757" s="18"/>
    </row>
    <row r="1758" hidden="1">
      <c r="A1758" s="2">
        <f>IFERROR(__xludf.DUMMYFUNCTION("""COMPUTED_VALUE"""),120874.0)</f>
        <v>120874</v>
      </c>
      <c r="B1758" s="2">
        <f>IFERROR(__xludf.DUMMYFUNCTION("""COMPUTED_VALUE"""),0.0)</f>
        <v>0</v>
      </c>
      <c r="C1758" s="2">
        <f>IFERROR(__xludf.DUMMYFUNCTION("""COMPUTED_VALUE"""),0.0)</f>
        <v>0</v>
      </c>
      <c r="D1758" s="3">
        <f>IFERROR(__xludf.DUMMYFUNCTION("""COMPUTED_VALUE"""),0.0)</f>
        <v>0</v>
      </c>
      <c r="E1758" s="1" t="str">
        <f t="array" ref="E1758">_xlfn.XLOOKUP(A1758,Product!A:A,Product!B:B,"Bulunamadı")</f>
        <v>Law</v>
      </c>
      <c r="F1758" s="1" t="str">
        <f t="array" ref="F1758">_xlfn.XLOOKUP(A1758,Product!A:A,Product!C:C,"Bulunamadı")</f>
        <v>Motivation</v>
      </c>
      <c r="G1758" s="2" t="str">
        <f t="array" ref="G1758">_xlfn.XLOOKUP(A1759,Product!A:A,Product!D:D,"Bulunamadı")</f>
        <v>Harborbrook Press</v>
      </c>
      <c r="H1758" s="2">
        <f t="array" ref="H1758">_xlfn.XLOOKUP(A1760,Product!A:A,Product!E:E,"Bulunamadı")</f>
        <v>1.52</v>
      </c>
      <c r="I1758" s="2" t="str">
        <f t="shared" si="1"/>
        <v>120874 - Law - Motivation</v>
      </c>
      <c r="J1758" s="2">
        <f t="shared" si="2"/>
        <v>0</v>
      </c>
      <c r="K1758" s="17">
        <f t="shared" si="3"/>
        <v>0</v>
      </c>
      <c r="L1758" s="18"/>
    </row>
    <row r="1759" hidden="1">
      <c r="A1759" s="2">
        <f>IFERROR(__xludf.DUMMYFUNCTION("""COMPUTED_VALUE"""),120416.0)</f>
        <v>120416</v>
      </c>
      <c r="B1759" s="2">
        <f>IFERROR(__xludf.DUMMYFUNCTION("""COMPUTED_VALUE"""),1.0)</f>
        <v>1</v>
      </c>
      <c r="C1759" s="2">
        <f>IFERROR(__xludf.DUMMYFUNCTION("""COMPUTED_VALUE"""),891.0)</f>
        <v>891</v>
      </c>
      <c r="D1759" s="3">
        <f>IFERROR(__xludf.DUMMYFUNCTION("""COMPUTED_VALUE"""),200.0)</f>
        <v>200</v>
      </c>
      <c r="E1759" s="1" t="str">
        <f t="array" ref="E1759">_xlfn.XLOOKUP(A1759,Product!A:A,Product!B:B,"Bulunamadı")</f>
        <v>Law</v>
      </c>
      <c r="F1759" s="1" t="str">
        <f t="array" ref="F1759">_xlfn.XLOOKUP(A1759,Product!A:A,Product!C:C,"Bulunamadı")</f>
        <v>Motivation</v>
      </c>
      <c r="G1759" s="2" t="str">
        <f t="array" ref="G1759">_xlfn.XLOOKUP(A1760,Product!A:A,Product!D:D,"Bulunamadı")</f>
        <v>Harborbrook Press</v>
      </c>
      <c r="H1759" s="2">
        <f t="array" ref="H1759">_xlfn.XLOOKUP(A1761,Product!A:A,Product!E:E,"Bulunamadı")</f>
        <v>2.62</v>
      </c>
      <c r="I1759" s="2" t="str">
        <f t="shared" si="1"/>
        <v>120416 - Law - Motivation</v>
      </c>
      <c r="J1759" s="2">
        <f t="shared" si="2"/>
        <v>524</v>
      </c>
      <c r="K1759" s="17">
        <f t="shared" si="3"/>
        <v>1</v>
      </c>
      <c r="L1759" s="18"/>
    </row>
    <row r="1760" hidden="1">
      <c r="A1760" s="2">
        <f>IFERROR(__xludf.DUMMYFUNCTION("""COMPUTED_VALUE"""),80944.0)</f>
        <v>80944</v>
      </c>
      <c r="B1760" s="2">
        <f>IFERROR(__xludf.DUMMYFUNCTION("""COMPUTED_VALUE"""),1.0)</f>
        <v>1</v>
      </c>
      <c r="C1760" s="2">
        <f>IFERROR(__xludf.DUMMYFUNCTION("""COMPUTED_VALUE"""),910.0)</f>
        <v>910</v>
      </c>
      <c r="D1760" s="3">
        <f>IFERROR(__xludf.DUMMYFUNCTION("""COMPUTED_VALUE"""),474.0)</f>
        <v>474</v>
      </c>
      <c r="E1760" s="1" t="str">
        <f t="array" ref="E1760">_xlfn.XLOOKUP(A1760,Product!A:A,Product!B:B,"Bulunamadı")</f>
        <v>Law</v>
      </c>
      <c r="F1760" s="1" t="str">
        <f t="array" ref="F1760">_xlfn.XLOOKUP(A1760,Product!A:A,Product!C:C,"Bulunamadı")</f>
        <v>Motivation</v>
      </c>
      <c r="G1760" s="2" t="str">
        <f t="array" ref="G1760">_xlfn.XLOOKUP(A1761,Product!A:A,Product!D:D,"Bulunamadı")</f>
        <v>Harborbrook Press</v>
      </c>
      <c r="H1760" s="2">
        <f t="array" ref="H1760">_xlfn.XLOOKUP(A1762,Product!A:A,Product!E:E,"Bulunamadı")</f>
        <v>2.17</v>
      </c>
      <c r="I1760" s="2" t="str">
        <f t="shared" si="1"/>
        <v>80944 - Law - Motivation</v>
      </c>
      <c r="J1760" s="2">
        <f t="shared" si="2"/>
        <v>1028.58</v>
      </c>
      <c r="K1760" s="17">
        <f t="shared" si="3"/>
        <v>1</v>
      </c>
      <c r="L1760" s="18"/>
    </row>
    <row r="1761" hidden="1">
      <c r="A1761" s="2">
        <f>IFERROR(__xludf.DUMMYFUNCTION("""COMPUTED_VALUE"""),120873.0)</f>
        <v>120873</v>
      </c>
      <c r="B1761" s="2">
        <f>IFERROR(__xludf.DUMMYFUNCTION("""COMPUTED_VALUE"""),1.0)</f>
        <v>1</v>
      </c>
      <c r="C1761" s="2">
        <f>IFERROR(__xludf.DUMMYFUNCTION("""COMPUTED_VALUE"""),938.0)</f>
        <v>938</v>
      </c>
      <c r="D1761" s="3">
        <f>IFERROR(__xludf.DUMMYFUNCTION("""COMPUTED_VALUE"""),145.0)</f>
        <v>145</v>
      </c>
      <c r="E1761" s="1" t="str">
        <f t="array" ref="E1761">_xlfn.XLOOKUP(A1761,Product!A:A,Product!B:B,"Bulunamadı")</f>
        <v>Law</v>
      </c>
      <c r="F1761" s="1" t="str">
        <f t="array" ref="F1761">_xlfn.XLOOKUP(A1761,Product!A:A,Product!C:C,"Bulunamadı")</f>
        <v>Motivation</v>
      </c>
      <c r="G1761" s="2" t="str">
        <f t="array" ref="G1761">_xlfn.XLOOKUP(A1762,Product!A:A,Product!D:D,"Bulunamadı")</f>
        <v>Harborbrook Press</v>
      </c>
      <c r="H1761" s="2">
        <f t="array" ref="H1761">_xlfn.XLOOKUP(A1763,Product!A:A,Product!E:E,"Bulunamadı")</f>
        <v>4.91</v>
      </c>
      <c r="I1761" s="2" t="str">
        <f t="shared" si="1"/>
        <v>120873 - Law - Motivation</v>
      </c>
      <c r="J1761" s="2">
        <f t="shared" si="2"/>
        <v>711.95</v>
      </c>
      <c r="K1761" s="17">
        <f t="shared" si="3"/>
        <v>1</v>
      </c>
      <c r="L1761" s="18"/>
    </row>
    <row r="1762" hidden="1">
      <c r="A1762" s="2">
        <f>IFERROR(__xludf.DUMMYFUNCTION("""COMPUTED_VALUE"""),120875.0)</f>
        <v>120875</v>
      </c>
      <c r="B1762" s="2">
        <f>IFERROR(__xludf.DUMMYFUNCTION("""COMPUTED_VALUE"""),0.0)</f>
        <v>0</v>
      </c>
      <c r="C1762" s="2">
        <f>IFERROR(__xludf.DUMMYFUNCTION("""COMPUTED_VALUE"""),574.0)</f>
        <v>574</v>
      </c>
      <c r="D1762" s="3">
        <f>IFERROR(__xludf.DUMMYFUNCTION("""COMPUTED_VALUE"""),403.0)</f>
        <v>403</v>
      </c>
      <c r="E1762" s="1" t="str">
        <f t="array" ref="E1762">_xlfn.XLOOKUP(A1762,Product!A:A,Product!B:B,"Bulunamadı")</f>
        <v>Law</v>
      </c>
      <c r="F1762" s="1" t="str">
        <f t="array" ref="F1762">_xlfn.XLOOKUP(A1762,Product!A:A,Product!C:C,"Bulunamadı")</f>
        <v>Motivation</v>
      </c>
      <c r="G1762" s="2" t="str">
        <f t="array" ref="G1762">_xlfn.XLOOKUP(A1763,Product!A:A,Product!D:D,"Bulunamadı")</f>
        <v>Harborbrook Press</v>
      </c>
      <c r="H1762" s="2">
        <f t="array" ref="H1762">_xlfn.XLOOKUP(A1764,Product!A:A,Product!E:E,"Bulunamadı")</f>
        <v>2.42</v>
      </c>
      <c r="I1762" s="2" t="str">
        <f t="shared" si="1"/>
        <v>120875 - Law - Motivation</v>
      </c>
      <c r="J1762" s="2">
        <f t="shared" si="2"/>
        <v>975.26</v>
      </c>
      <c r="K1762" s="17">
        <f t="shared" si="3"/>
        <v>1</v>
      </c>
      <c r="L1762" s="18"/>
    </row>
    <row r="1763" hidden="1">
      <c r="A1763" s="2">
        <f>IFERROR(__xludf.DUMMYFUNCTION("""COMPUTED_VALUE"""),147285.0)</f>
        <v>147285</v>
      </c>
      <c r="B1763" s="2">
        <f>IFERROR(__xludf.DUMMYFUNCTION("""COMPUTED_VALUE"""),0.0)</f>
        <v>0</v>
      </c>
      <c r="C1763" s="2">
        <f>IFERROR(__xludf.DUMMYFUNCTION("""COMPUTED_VALUE"""),374.0)</f>
        <v>374</v>
      </c>
      <c r="D1763" s="3">
        <f>IFERROR(__xludf.DUMMYFUNCTION("""COMPUTED_VALUE"""),60.0)</f>
        <v>60</v>
      </c>
      <c r="E1763" s="1" t="str">
        <f t="array" ref="E1763">_xlfn.XLOOKUP(A1763,Product!A:A,Product!B:B,"Bulunamadı")</f>
        <v>Law</v>
      </c>
      <c r="F1763" s="1" t="str">
        <f t="array" ref="F1763">_xlfn.XLOOKUP(A1763,Product!A:A,Product!C:C,"Bulunamadı")</f>
        <v>Motivation</v>
      </c>
      <c r="G1763" s="2" t="str">
        <f t="array" ref="G1763">_xlfn.XLOOKUP(A1764,Product!A:A,Product!D:D,"Bulunamadı")</f>
        <v>Harborbrook Press</v>
      </c>
      <c r="H1763" s="2">
        <f t="array" ref="H1763">_xlfn.XLOOKUP(A1765,Product!A:A,Product!E:E,"Bulunamadı")</f>
        <v>2.42</v>
      </c>
      <c r="I1763" s="2" t="str">
        <f t="shared" si="1"/>
        <v>147285 - Law - Motivation</v>
      </c>
      <c r="J1763" s="2">
        <f t="shared" si="2"/>
        <v>145.2</v>
      </c>
      <c r="K1763" s="17">
        <f t="shared" si="3"/>
        <v>1</v>
      </c>
      <c r="L1763" s="18"/>
    </row>
    <row r="1764" hidden="1">
      <c r="A1764" s="2">
        <f>IFERROR(__xludf.DUMMYFUNCTION("""COMPUTED_VALUE"""),88604.0)</f>
        <v>88604</v>
      </c>
      <c r="B1764" s="2">
        <f>IFERROR(__xludf.DUMMYFUNCTION("""COMPUTED_VALUE"""),1.0)</f>
        <v>1</v>
      </c>
      <c r="C1764" s="2">
        <f>IFERROR(__xludf.DUMMYFUNCTION("""COMPUTED_VALUE"""),584.0)</f>
        <v>584</v>
      </c>
      <c r="D1764" s="3">
        <f>IFERROR(__xludf.DUMMYFUNCTION("""COMPUTED_VALUE"""),95.0)</f>
        <v>95</v>
      </c>
      <c r="E1764" s="1" t="str">
        <f t="array" ref="E1764">_xlfn.XLOOKUP(A1764,Product!A:A,Product!B:B,"Bulunamadı")</f>
        <v>Law</v>
      </c>
      <c r="F1764" s="1" t="str">
        <f t="array" ref="F1764">_xlfn.XLOOKUP(A1764,Product!A:A,Product!C:C,"Bulunamadı")</f>
        <v>Motivation</v>
      </c>
      <c r="G1764" s="2" t="str">
        <f t="array" ref="G1764">_xlfn.XLOOKUP(A1765,Product!A:A,Product!D:D,"Bulunamadı")</f>
        <v>Harborbrook Press</v>
      </c>
      <c r="H1764" s="2">
        <f t="array" ref="H1764">_xlfn.XLOOKUP(A1766,Product!A:A,Product!E:E,"Bulunamadı")</f>
        <v>2.53</v>
      </c>
      <c r="I1764" s="2" t="str">
        <f t="shared" si="1"/>
        <v>88604 - Law - Motivation</v>
      </c>
      <c r="J1764" s="2">
        <f t="shared" si="2"/>
        <v>240.35</v>
      </c>
      <c r="K1764" s="17">
        <f t="shared" si="3"/>
        <v>1</v>
      </c>
      <c r="L1764" s="18"/>
    </row>
    <row r="1765" hidden="1">
      <c r="A1765" s="2">
        <f>IFERROR(__xludf.DUMMYFUNCTION("""COMPUTED_VALUE"""),120417.0)</f>
        <v>120417</v>
      </c>
      <c r="B1765" s="2">
        <f>IFERROR(__xludf.DUMMYFUNCTION("""COMPUTED_VALUE"""),0.0)</f>
        <v>0</v>
      </c>
      <c r="C1765" s="2">
        <f>IFERROR(__xludf.DUMMYFUNCTION("""COMPUTED_VALUE"""),630.0)</f>
        <v>630</v>
      </c>
      <c r="D1765" s="3">
        <f>IFERROR(__xludf.DUMMYFUNCTION("""COMPUTED_VALUE"""),197.0)</f>
        <v>197</v>
      </c>
      <c r="E1765" s="1" t="str">
        <f t="array" ref="E1765">_xlfn.XLOOKUP(A1765,Product!A:A,Product!B:B,"Bulunamadı")</f>
        <v>Law</v>
      </c>
      <c r="F1765" s="1" t="str">
        <f t="array" ref="F1765">_xlfn.XLOOKUP(A1765,Product!A:A,Product!C:C,"Bulunamadı")</f>
        <v>Motivation</v>
      </c>
      <c r="G1765" s="2" t="str">
        <f t="array" ref="G1765">_xlfn.XLOOKUP(A1766,Product!A:A,Product!D:D,"Bulunamadı")</f>
        <v>Harborbrook Press</v>
      </c>
      <c r="H1765" s="2">
        <f t="array" ref="H1765">_xlfn.XLOOKUP(A1767,Product!A:A,Product!E:E,"Bulunamadı")</f>
        <v>1.91</v>
      </c>
      <c r="I1765" s="2" t="str">
        <f t="shared" si="1"/>
        <v>120417 - Law - Motivation</v>
      </c>
      <c r="J1765" s="2">
        <f t="shared" si="2"/>
        <v>376.27</v>
      </c>
      <c r="K1765" s="17">
        <f t="shared" si="3"/>
        <v>1</v>
      </c>
      <c r="L1765" s="18"/>
    </row>
    <row r="1766" hidden="1">
      <c r="A1766" s="2">
        <f>IFERROR(__xludf.DUMMYFUNCTION("""COMPUTED_VALUE"""),113914.0)</f>
        <v>113914</v>
      </c>
      <c r="B1766" s="2">
        <f>IFERROR(__xludf.DUMMYFUNCTION("""COMPUTED_VALUE"""),0.0)</f>
        <v>0</v>
      </c>
      <c r="C1766" s="2">
        <f>IFERROR(__xludf.DUMMYFUNCTION("""COMPUTED_VALUE"""),828.0)</f>
        <v>828</v>
      </c>
      <c r="D1766" s="3">
        <f>IFERROR(__xludf.DUMMYFUNCTION("""COMPUTED_VALUE"""),24.0)</f>
        <v>24</v>
      </c>
      <c r="E1766" s="1" t="str">
        <f t="array" ref="E1766">_xlfn.XLOOKUP(A1766,Product!A:A,Product!B:B,"Bulunamadı")</f>
        <v>Law</v>
      </c>
      <c r="F1766" s="1" t="str">
        <f t="array" ref="F1766">_xlfn.XLOOKUP(A1766,Product!A:A,Product!C:C,"Bulunamadı")</f>
        <v>Motivation</v>
      </c>
      <c r="G1766" s="2" t="str">
        <f t="array" ref="G1766">_xlfn.XLOOKUP(A1767,Product!A:A,Product!D:D,"Bulunamadı")</f>
        <v>Cedarbrook Publishing</v>
      </c>
      <c r="H1766" s="2">
        <f t="array" ref="H1766">_xlfn.XLOOKUP(A1768,Product!A:A,Product!E:E,"Bulunamadı")</f>
        <v>1.6</v>
      </c>
      <c r="I1766" s="2" t="str">
        <f t="shared" si="1"/>
        <v>113914 - Law - Motivation</v>
      </c>
      <c r="J1766" s="2">
        <f t="shared" si="2"/>
        <v>38.4</v>
      </c>
      <c r="K1766" s="17">
        <f t="shared" si="3"/>
        <v>1</v>
      </c>
      <c r="L1766" s="18"/>
    </row>
    <row r="1767" hidden="1">
      <c r="A1767" s="2">
        <f>IFERROR(__xludf.DUMMYFUNCTION("""COMPUTED_VALUE"""),68793.0)</f>
        <v>68793</v>
      </c>
      <c r="B1767" s="2">
        <f>IFERROR(__xludf.DUMMYFUNCTION("""COMPUTED_VALUE"""),0.0)</f>
        <v>0</v>
      </c>
      <c r="C1767" s="2">
        <f>IFERROR(__xludf.DUMMYFUNCTION("""COMPUTED_VALUE"""),108.0)</f>
        <v>108</v>
      </c>
      <c r="D1767" s="3">
        <f>IFERROR(__xludf.DUMMYFUNCTION("""COMPUTED_VALUE"""),29.0)</f>
        <v>29</v>
      </c>
      <c r="E1767" s="1" t="str">
        <f t="array" ref="E1767">_xlfn.XLOOKUP(A1767,Product!A:A,Product!B:B,"Bulunamadı")</f>
        <v>Law</v>
      </c>
      <c r="F1767" s="1" t="str">
        <f t="array" ref="F1767">_xlfn.XLOOKUP(A1767,Product!A:A,Product!C:C,"Bulunamadı")</f>
        <v>Motivation</v>
      </c>
      <c r="G1767" s="2" t="str">
        <f t="array" ref="G1767">_xlfn.XLOOKUP(A1768,Product!A:A,Product!D:D,"Bulunamadı")</f>
        <v>Cedarbrook Publishing</v>
      </c>
      <c r="H1767" s="2">
        <f t="array" ref="H1767">_xlfn.XLOOKUP(A1769,Product!A:A,Product!E:E,"Bulunamadı")</f>
        <v>1.74</v>
      </c>
      <c r="I1767" s="2" t="str">
        <f t="shared" si="1"/>
        <v>68793 - Law - Motivation</v>
      </c>
      <c r="J1767" s="2">
        <f t="shared" si="2"/>
        <v>50.46</v>
      </c>
      <c r="K1767" s="17">
        <f t="shared" si="3"/>
        <v>1</v>
      </c>
      <c r="L1767" s="18"/>
    </row>
    <row r="1768" hidden="1">
      <c r="A1768" s="2">
        <f>IFERROR(__xludf.DUMMYFUNCTION("""COMPUTED_VALUE"""),106707.0)</f>
        <v>106707</v>
      </c>
      <c r="B1768" s="2">
        <f>IFERROR(__xludf.DUMMYFUNCTION("""COMPUTED_VALUE"""),1.0)</f>
        <v>1</v>
      </c>
      <c r="C1768" s="2">
        <f>IFERROR(__xludf.DUMMYFUNCTION("""COMPUTED_VALUE"""),556.0)</f>
        <v>556</v>
      </c>
      <c r="D1768" s="3">
        <f>IFERROR(__xludf.DUMMYFUNCTION("""COMPUTED_VALUE"""),516.0)</f>
        <v>516</v>
      </c>
      <c r="E1768" s="1" t="str">
        <f t="array" ref="E1768">_xlfn.XLOOKUP(A1768,Product!A:A,Product!B:B,"Bulunamadı")</f>
        <v>Law</v>
      </c>
      <c r="F1768" s="1" t="str">
        <f t="array" ref="F1768">_xlfn.XLOOKUP(A1768,Product!A:A,Product!C:C,"Bulunamadı")</f>
        <v>Motivation</v>
      </c>
      <c r="G1768" s="2" t="str">
        <f t="array" ref="G1768">_xlfn.XLOOKUP(A1769,Product!A:A,Product!D:D,"Bulunamadı")</f>
        <v>Cedarbrook Publishing</v>
      </c>
      <c r="H1768" s="2">
        <f t="array" ref="H1768">_xlfn.XLOOKUP(A1770,Product!A:A,Product!E:E,"Bulunamadı")</f>
        <v>2.32</v>
      </c>
      <c r="I1768" s="2" t="str">
        <f t="shared" si="1"/>
        <v>106707 - Law - Motivation</v>
      </c>
      <c r="J1768" s="2">
        <f t="shared" si="2"/>
        <v>1197.12</v>
      </c>
      <c r="K1768" s="17">
        <f t="shared" si="3"/>
        <v>1</v>
      </c>
      <c r="L1768" s="18"/>
    </row>
    <row r="1769" hidden="1">
      <c r="A1769" s="2">
        <f>IFERROR(__xludf.DUMMYFUNCTION("""COMPUTED_VALUE"""),24210.0)</f>
        <v>24210</v>
      </c>
      <c r="B1769" s="2">
        <f>IFERROR(__xludf.DUMMYFUNCTION("""COMPUTED_VALUE"""),1.0)</f>
        <v>1</v>
      </c>
      <c r="C1769" s="2">
        <f>IFERROR(__xludf.DUMMYFUNCTION("""COMPUTED_VALUE"""),457.0)</f>
        <v>457</v>
      </c>
      <c r="D1769" s="3">
        <f>IFERROR(__xludf.DUMMYFUNCTION("""COMPUTED_VALUE"""),11.0)</f>
        <v>11</v>
      </c>
      <c r="E1769" s="1" t="str">
        <f t="array" ref="E1769">_xlfn.XLOOKUP(A1769,Product!A:A,Product!B:B,"Bulunamadı")</f>
        <v>Law</v>
      </c>
      <c r="F1769" s="1" t="str">
        <f t="array" ref="F1769">_xlfn.XLOOKUP(A1769,Product!A:A,Product!C:C,"Bulunamadı")</f>
        <v>Motivation</v>
      </c>
      <c r="G1769" s="2" t="str">
        <f t="array" ref="G1769">_xlfn.XLOOKUP(A1770,Product!A:A,Product!D:D,"Bulunamadı")</f>
        <v>Cedarbrook Publishing</v>
      </c>
      <c r="H1769" s="2">
        <f t="array" ref="H1769">_xlfn.XLOOKUP(A1771,Product!A:A,Product!E:E,"Bulunamadı")</f>
        <v>1.78</v>
      </c>
      <c r="I1769" s="2" t="str">
        <f t="shared" si="1"/>
        <v>24210 - Law - Motivation</v>
      </c>
      <c r="J1769" s="2">
        <f t="shared" si="2"/>
        <v>19.58</v>
      </c>
      <c r="K1769" s="17">
        <f t="shared" si="3"/>
        <v>1</v>
      </c>
      <c r="L1769" s="18"/>
    </row>
    <row r="1770" hidden="1">
      <c r="A1770" s="2">
        <f>IFERROR(__xludf.DUMMYFUNCTION("""COMPUTED_VALUE"""),44012.0)</f>
        <v>44012</v>
      </c>
      <c r="B1770" s="2">
        <f>IFERROR(__xludf.DUMMYFUNCTION("""COMPUTED_VALUE"""),0.0)</f>
        <v>0</v>
      </c>
      <c r="C1770" s="2">
        <f>IFERROR(__xludf.DUMMYFUNCTION("""COMPUTED_VALUE"""),806.0)</f>
        <v>806</v>
      </c>
      <c r="D1770" s="3">
        <f>IFERROR(__xludf.DUMMYFUNCTION("""COMPUTED_VALUE"""),348.0)</f>
        <v>348</v>
      </c>
      <c r="E1770" s="1" t="str">
        <f t="array" ref="E1770">_xlfn.XLOOKUP(A1770,Product!A:A,Product!B:B,"Bulunamadı")</f>
        <v>Law</v>
      </c>
      <c r="F1770" s="1" t="str">
        <f t="array" ref="F1770">_xlfn.XLOOKUP(A1770,Product!A:A,Product!C:C,"Bulunamadı")</f>
        <v>Motivation</v>
      </c>
      <c r="G1770" s="2" t="str">
        <f t="array" ref="G1770">_xlfn.XLOOKUP(A1771,Product!A:A,Product!D:D,"Bulunamadı")</f>
        <v>Cedarbrook Publishing</v>
      </c>
      <c r="H1770" s="2">
        <f t="array" ref="H1770">_xlfn.XLOOKUP(A1772,Product!A:A,Product!E:E,"Bulunamadı")</f>
        <v>1.7</v>
      </c>
      <c r="I1770" s="2" t="str">
        <f t="shared" si="1"/>
        <v>44012 - Law - Motivation</v>
      </c>
      <c r="J1770" s="2">
        <f t="shared" si="2"/>
        <v>591.6</v>
      </c>
      <c r="K1770" s="17">
        <f t="shared" si="3"/>
        <v>1</v>
      </c>
      <c r="L1770" s="18"/>
    </row>
    <row r="1771" hidden="1">
      <c r="A1771" s="2">
        <f>IFERROR(__xludf.DUMMYFUNCTION("""COMPUTED_VALUE"""),106710.0)</f>
        <v>106710</v>
      </c>
      <c r="B1771" s="2">
        <f>IFERROR(__xludf.DUMMYFUNCTION("""COMPUTED_VALUE"""),1.0)</f>
        <v>1</v>
      </c>
      <c r="C1771" s="2">
        <f>IFERROR(__xludf.DUMMYFUNCTION("""COMPUTED_VALUE"""),855.0)</f>
        <v>855</v>
      </c>
      <c r="D1771" s="3">
        <f>IFERROR(__xludf.DUMMYFUNCTION("""COMPUTED_VALUE"""),826.0)</f>
        <v>826</v>
      </c>
      <c r="E1771" s="1" t="str">
        <f t="array" ref="E1771">_xlfn.XLOOKUP(A1771,Product!A:A,Product!B:B,"Bulunamadı")</f>
        <v>Law</v>
      </c>
      <c r="F1771" s="1" t="str">
        <f t="array" ref="F1771">_xlfn.XLOOKUP(A1771,Product!A:A,Product!C:C,"Bulunamadı")</f>
        <v>Motivation</v>
      </c>
      <c r="G1771" s="2" t="str">
        <f t="array" ref="G1771">_xlfn.XLOOKUP(A1772,Product!A:A,Product!D:D,"Bulunamadı")</f>
        <v>Cedarbrook Publishing</v>
      </c>
      <c r="H1771" s="2">
        <f t="array" ref="H1771">_xlfn.XLOOKUP(A1773,Product!A:A,Product!E:E,"Bulunamadı")</f>
        <v>1.56</v>
      </c>
      <c r="I1771" s="2" t="str">
        <f t="shared" si="1"/>
        <v>106710 - Law - Motivation</v>
      </c>
      <c r="J1771" s="2">
        <f t="shared" si="2"/>
        <v>1288.56</v>
      </c>
      <c r="K1771" s="17">
        <f t="shared" si="3"/>
        <v>1</v>
      </c>
      <c r="L1771" s="18"/>
    </row>
    <row r="1772" hidden="1">
      <c r="A1772" s="2">
        <f>IFERROR(__xludf.DUMMYFUNCTION("""COMPUTED_VALUE"""),117239.0)</f>
        <v>117239</v>
      </c>
      <c r="B1772" s="2">
        <f>IFERROR(__xludf.DUMMYFUNCTION("""COMPUTED_VALUE"""),0.0)</f>
        <v>0</v>
      </c>
      <c r="C1772" s="2">
        <f>IFERROR(__xludf.DUMMYFUNCTION("""COMPUTED_VALUE"""),752.0)</f>
        <v>752</v>
      </c>
      <c r="D1772" s="3">
        <f>IFERROR(__xludf.DUMMYFUNCTION("""COMPUTED_VALUE"""),454.0)</f>
        <v>454</v>
      </c>
      <c r="E1772" s="1" t="str">
        <f t="array" ref="E1772">_xlfn.XLOOKUP(A1772,Product!A:A,Product!B:B,"Bulunamadı")</f>
        <v>Law</v>
      </c>
      <c r="F1772" s="1" t="str">
        <f t="array" ref="F1772">_xlfn.XLOOKUP(A1772,Product!A:A,Product!C:C,"Bulunamadı")</f>
        <v>Motivation</v>
      </c>
      <c r="G1772" s="2" t="str">
        <f t="array" ref="G1772">_xlfn.XLOOKUP(A1773,Product!A:A,Product!D:D,"Bulunamadı")</f>
        <v>Cedarbrook Publishing</v>
      </c>
      <c r="H1772" s="2">
        <f t="array" ref="H1772">_xlfn.XLOOKUP(A1774,Product!A:A,Product!E:E,"Bulunamadı")</f>
        <v>1.65</v>
      </c>
      <c r="I1772" s="2" t="str">
        <f t="shared" si="1"/>
        <v>117239 - Law - Motivation</v>
      </c>
      <c r="J1772" s="2">
        <f t="shared" si="2"/>
        <v>749.1</v>
      </c>
      <c r="K1772" s="17">
        <f t="shared" si="3"/>
        <v>1</v>
      </c>
      <c r="L1772" s="18"/>
    </row>
    <row r="1773" hidden="1">
      <c r="A1773" s="2">
        <f>IFERROR(__xludf.DUMMYFUNCTION("""COMPUTED_VALUE"""),80186.0)</f>
        <v>80186</v>
      </c>
      <c r="B1773" s="2">
        <f>IFERROR(__xludf.DUMMYFUNCTION("""COMPUTED_VALUE"""),1.0)</f>
        <v>1</v>
      </c>
      <c r="C1773" s="2">
        <f>IFERROR(__xludf.DUMMYFUNCTION("""COMPUTED_VALUE"""),691.0)</f>
        <v>691</v>
      </c>
      <c r="D1773" s="3">
        <f>IFERROR(__xludf.DUMMYFUNCTION("""COMPUTED_VALUE"""),22.0)</f>
        <v>22</v>
      </c>
      <c r="E1773" s="1" t="str">
        <f t="array" ref="E1773">_xlfn.XLOOKUP(A1773,Product!A:A,Product!B:B,"Bulunamadı")</f>
        <v>Law</v>
      </c>
      <c r="F1773" s="1" t="str">
        <f t="array" ref="F1773">_xlfn.XLOOKUP(A1773,Product!A:A,Product!C:C,"Bulunamadı")</f>
        <v>Motivation</v>
      </c>
      <c r="G1773" s="2" t="str">
        <f t="array" ref="G1773">_xlfn.XLOOKUP(A1774,Product!A:A,Product!D:D,"Bulunamadı")</f>
        <v>Cedarbrook Publishing</v>
      </c>
      <c r="H1773" s="2">
        <f t="array" ref="H1773">_xlfn.XLOOKUP(A1775,Product!A:A,Product!E:E,"Bulunamadı")</f>
        <v>1.88</v>
      </c>
      <c r="I1773" s="2" t="str">
        <f t="shared" si="1"/>
        <v>80186 - Law - Motivation</v>
      </c>
      <c r="J1773" s="2">
        <f t="shared" si="2"/>
        <v>41.36</v>
      </c>
      <c r="K1773" s="17">
        <f t="shared" si="3"/>
        <v>1</v>
      </c>
      <c r="L1773" s="18"/>
    </row>
    <row r="1774" hidden="1">
      <c r="A1774" s="2">
        <f>IFERROR(__xludf.DUMMYFUNCTION("""COMPUTED_VALUE"""),80185.0)</f>
        <v>80185</v>
      </c>
      <c r="B1774" s="2">
        <f>IFERROR(__xludf.DUMMYFUNCTION("""COMPUTED_VALUE"""),0.0)</f>
        <v>0</v>
      </c>
      <c r="C1774" s="2">
        <f>IFERROR(__xludf.DUMMYFUNCTION("""COMPUTED_VALUE"""),435.0)</f>
        <v>435</v>
      </c>
      <c r="D1774" s="3">
        <f>IFERROR(__xludf.DUMMYFUNCTION("""COMPUTED_VALUE"""),206.0)</f>
        <v>206</v>
      </c>
      <c r="E1774" s="1" t="str">
        <f t="array" ref="E1774">_xlfn.XLOOKUP(A1774,Product!A:A,Product!B:B,"Bulunamadı")</f>
        <v>Law</v>
      </c>
      <c r="F1774" s="1" t="str">
        <f t="array" ref="F1774">_xlfn.XLOOKUP(A1774,Product!A:A,Product!C:C,"Bulunamadı")</f>
        <v>Motivation</v>
      </c>
      <c r="G1774" s="2" t="str">
        <f t="array" ref="G1774">_xlfn.XLOOKUP(A1775,Product!A:A,Product!D:D,"Bulunamadı")</f>
        <v>Cedarbrook Publishing</v>
      </c>
      <c r="H1774" s="2">
        <f t="array" ref="H1774">_xlfn.XLOOKUP(A1776,Product!A:A,Product!E:E,"Bulunamadı")</f>
        <v>2.04</v>
      </c>
      <c r="I1774" s="2" t="str">
        <f t="shared" si="1"/>
        <v>80185 - Law - Motivation</v>
      </c>
      <c r="J1774" s="2">
        <f t="shared" si="2"/>
        <v>420.24</v>
      </c>
      <c r="K1774" s="17">
        <f t="shared" si="3"/>
        <v>1</v>
      </c>
      <c r="L1774" s="18"/>
    </row>
    <row r="1775" hidden="1">
      <c r="A1775" s="2">
        <f>IFERROR(__xludf.DUMMYFUNCTION("""COMPUTED_VALUE"""),107151.0)</f>
        <v>107151</v>
      </c>
      <c r="B1775" s="2">
        <f>IFERROR(__xludf.DUMMYFUNCTION("""COMPUTED_VALUE"""),1.0)</f>
        <v>1</v>
      </c>
      <c r="C1775" s="2">
        <f>IFERROR(__xludf.DUMMYFUNCTION("""COMPUTED_VALUE"""),491.0)</f>
        <v>491</v>
      </c>
      <c r="D1775" s="3">
        <f>IFERROR(__xludf.DUMMYFUNCTION("""COMPUTED_VALUE"""),102.0)</f>
        <v>102</v>
      </c>
      <c r="E1775" s="1" t="str">
        <f t="array" ref="E1775">_xlfn.XLOOKUP(A1775,Product!A:A,Product!B:B,"Bulunamadı")</f>
        <v>Law</v>
      </c>
      <c r="F1775" s="1" t="str">
        <f t="array" ref="F1775">_xlfn.XLOOKUP(A1775,Product!A:A,Product!C:C,"Bulunamadı")</f>
        <v>Motivation</v>
      </c>
      <c r="G1775" s="2" t="str">
        <f t="array" ref="G1775">_xlfn.XLOOKUP(A1776,Product!A:A,Product!D:D,"Bulunamadı")</f>
        <v>Cedarbrook Publishing</v>
      </c>
      <c r="H1775" s="2">
        <f t="array" ref="H1775">_xlfn.XLOOKUP(A1777,Product!A:A,Product!E:E,"Bulunamadı")</f>
        <v>1.75</v>
      </c>
      <c r="I1775" s="2" t="str">
        <f t="shared" si="1"/>
        <v>107151 - Law - Motivation</v>
      </c>
      <c r="J1775" s="2">
        <f t="shared" si="2"/>
        <v>178.5</v>
      </c>
      <c r="K1775" s="17">
        <f t="shared" si="3"/>
        <v>1</v>
      </c>
      <c r="L1775" s="18"/>
    </row>
    <row r="1776" hidden="1">
      <c r="A1776" s="2">
        <f>IFERROR(__xludf.DUMMYFUNCTION("""COMPUTED_VALUE"""),120420.0)</f>
        <v>120420</v>
      </c>
      <c r="B1776" s="2">
        <f>IFERROR(__xludf.DUMMYFUNCTION("""COMPUTED_VALUE"""),1.0)</f>
        <v>1</v>
      </c>
      <c r="C1776" s="2">
        <f>IFERROR(__xludf.DUMMYFUNCTION("""COMPUTED_VALUE"""),371.0)</f>
        <v>371</v>
      </c>
      <c r="D1776" s="3">
        <f>IFERROR(__xludf.DUMMYFUNCTION("""COMPUTED_VALUE"""),122.0)</f>
        <v>122</v>
      </c>
      <c r="E1776" s="1" t="str">
        <f t="array" ref="E1776">_xlfn.XLOOKUP(A1776,Product!A:A,Product!B:B,"Bulunamadı")</f>
        <v>Law</v>
      </c>
      <c r="F1776" s="1" t="str">
        <f t="array" ref="F1776">_xlfn.XLOOKUP(A1776,Product!A:A,Product!C:C,"Bulunamadı")</f>
        <v>Motivation</v>
      </c>
      <c r="G1776" s="2" t="str">
        <f t="array" ref="G1776">_xlfn.XLOOKUP(A1777,Product!A:A,Product!D:D,"Bulunamadı")</f>
        <v>Cedarbrook Publishing</v>
      </c>
      <c r="H1776" s="2">
        <f t="array" ref="H1776">_xlfn.XLOOKUP(A1778,Product!A:A,Product!E:E,"Bulunamadı")</f>
        <v>1.53</v>
      </c>
      <c r="I1776" s="2" t="str">
        <f t="shared" si="1"/>
        <v>120420 - Law - Motivation</v>
      </c>
      <c r="J1776" s="2">
        <f t="shared" si="2"/>
        <v>186.66</v>
      </c>
      <c r="K1776" s="17">
        <f t="shared" si="3"/>
        <v>1</v>
      </c>
      <c r="L1776" s="18"/>
    </row>
    <row r="1777" hidden="1">
      <c r="A1777" s="2">
        <f>IFERROR(__xludf.DUMMYFUNCTION("""COMPUTED_VALUE"""),80184.0)</f>
        <v>80184</v>
      </c>
      <c r="B1777" s="2">
        <f>IFERROR(__xludf.DUMMYFUNCTION("""COMPUTED_VALUE"""),1.0)</f>
        <v>1</v>
      </c>
      <c r="C1777" s="2">
        <f>IFERROR(__xludf.DUMMYFUNCTION("""COMPUTED_VALUE"""),428.0)</f>
        <v>428</v>
      </c>
      <c r="D1777" s="3">
        <f>IFERROR(__xludf.DUMMYFUNCTION("""COMPUTED_VALUE"""),150.0)</f>
        <v>150</v>
      </c>
      <c r="E1777" s="1" t="str">
        <f t="array" ref="E1777">_xlfn.XLOOKUP(A1777,Product!A:A,Product!B:B,"Bulunamadı")</f>
        <v>Law</v>
      </c>
      <c r="F1777" s="1" t="str">
        <f t="array" ref="F1777">_xlfn.XLOOKUP(A1777,Product!A:A,Product!C:C,"Bulunamadı")</f>
        <v>Motivation</v>
      </c>
      <c r="G1777" s="2" t="str">
        <f t="array" ref="G1777">_xlfn.XLOOKUP(A1778,Product!A:A,Product!D:D,"Bulunamadı")</f>
        <v>Cedarbrook Publishing</v>
      </c>
      <c r="H1777" s="2">
        <f t="array" ref="H1777">_xlfn.XLOOKUP(A1779,Product!A:A,Product!E:E,"Bulunamadı")</f>
        <v>2.23</v>
      </c>
      <c r="I1777" s="2" t="str">
        <f t="shared" si="1"/>
        <v>80184 - Law - Motivation</v>
      </c>
      <c r="J1777" s="2">
        <f t="shared" si="2"/>
        <v>334.5</v>
      </c>
      <c r="K1777" s="17">
        <f t="shared" si="3"/>
        <v>1</v>
      </c>
      <c r="L1777" s="18"/>
    </row>
    <row r="1778" hidden="1">
      <c r="A1778" s="2">
        <f>IFERROR(__xludf.DUMMYFUNCTION("""COMPUTED_VALUE"""),107157.0)</f>
        <v>107157</v>
      </c>
      <c r="B1778" s="2">
        <f>IFERROR(__xludf.DUMMYFUNCTION("""COMPUTED_VALUE"""),0.0)</f>
        <v>0</v>
      </c>
      <c r="C1778" s="2">
        <f>IFERROR(__xludf.DUMMYFUNCTION("""COMPUTED_VALUE"""),592.0)</f>
        <v>592</v>
      </c>
      <c r="D1778" s="3">
        <f>IFERROR(__xludf.DUMMYFUNCTION("""COMPUTED_VALUE"""),569.0)</f>
        <v>569</v>
      </c>
      <c r="E1778" s="1" t="str">
        <f t="array" ref="E1778">_xlfn.XLOOKUP(A1778,Product!A:A,Product!B:B,"Bulunamadı")</f>
        <v>Law</v>
      </c>
      <c r="F1778" s="1" t="str">
        <f t="array" ref="F1778">_xlfn.XLOOKUP(A1778,Product!A:A,Product!C:C,"Bulunamadı")</f>
        <v>Motivation</v>
      </c>
      <c r="G1778" s="2" t="str">
        <f t="array" ref="G1778">_xlfn.XLOOKUP(A1779,Product!A:A,Product!D:D,"Bulunamadı")</f>
        <v>Cedarbrook Publishing</v>
      </c>
      <c r="H1778" s="2">
        <f t="array" ref="H1778">_xlfn.XLOOKUP(A1780,Product!A:A,Product!E:E,"Bulunamadı")</f>
        <v>3.35</v>
      </c>
      <c r="I1778" s="2" t="str">
        <f t="shared" si="1"/>
        <v>107157 - Law - Motivation</v>
      </c>
      <c r="J1778" s="2">
        <f t="shared" si="2"/>
        <v>1906.15</v>
      </c>
      <c r="K1778" s="17">
        <f t="shared" si="3"/>
        <v>1</v>
      </c>
      <c r="L1778" s="18"/>
    </row>
    <row r="1779" hidden="1">
      <c r="A1779" s="2">
        <f>IFERROR(__xludf.DUMMYFUNCTION("""COMPUTED_VALUE"""),118432.0)</f>
        <v>118432</v>
      </c>
      <c r="B1779" s="2">
        <f>IFERROR(__xludf.DUMMYFUNCTION("""COMPUTED_VALUE"""),0.0)</f>
        <v>0</v>
      </c>
      <c r="C1779" s="2">
        <f>IFERROR(__xludf.DUMMYFUNCTION("""COMPUTED_VALUE"""),787.0)</f>
        <v>787</v>
      </c>
      <c r="D1779" s="3">
        <f>IFERROR(__xludf.DUMMYFUNCTION("""COMPUTED_VALUE"""),377.0)</f>
        <v>377</v>
      </c>
      <c r="E1779" s="1" t="str">
        <f t="array" ref="E1779">_xlfn.XLOOKUP(A1779,Product!A:A,Product!B:B,"Bulunamadı")</f>
        <v>Law</v>
      </c>
      <c r="F1779" s="1" t="str">
        <f t="array" ref="F1779">_xlfn.XLOOKUP(A1779,Product!A:A,Product!C:C,"Bulunamadı")</f>
        <v>Motivation</v>
      </c>
      <c r="G1779" s="2" t="str">
        <f t="array" ref="G1779">_xlfn.XLOOKUP(A1780,Product!A:A,Product!D:D,"Bulunamadı")</f>
        <v>Cedarbrook Publishing</v>
      </c>
      <c r="H1779" s="2">
        <f t="array" ref="H1779">_xlfn.XLOOKUP(A1781,Product!A:A,Product!E:E,"Bulunamadı")</f>
        <v>2.5</v>
      </c>
      <c r="I1779" s="2" t="str">
        <f t="shared" si="1"/>
        <v>118432 - Law - Motivation</v>
      </c>
      <c r="J1779" s="2">
        <f t="shared" si="2"/>
        <v>942.5</v>
      </c>
      <c r="K1779" s="17">
        <f t="shared" si="3"/>
        <v>1</v>
      </c>
      <c r="L1779" s="18"/>
    </row>
    <row r="1780" hidden="1">
      <c r="A1780" s="2">
        <f>IFERROR(__xludf.DUMMYFUNCTION("""COMPUTED_VALUE"""),86512.0)</f>
        <v>86512</v>
      </c>
      <c r="B1780" s="2">
        <f>IFERROR(__xludf.DUMMYFUNCTION("""COMPUTED_VALUE"""),1.0)</f>
        <v>1</v>
      </c>
      <c r="C1780" s="2">
        <f>IFERROR(__xludf.DUMMYFUNCTION("""COMPUTED_VALUE"""),763.0)</f>
        <v>763</v>
      </c>
      <c r="D1780" s="3">
        <f>IFERROR(__xludf.DUMMYFUNCTION("""COMPUTED_VALUE"""),539.0)</f>
        <v>539</v>
      </c>
      <c r="E1780" s="1" t="str">
        <f t="array" ref="E1780">_xlfn.XLOOKUP(A1780,Product!A:A,Product!B:B,"Bulunamadı")</f>
        <v>Law</v>
      </c>
      <c r="F1780" s="1" t="str">
        <f t="array" ref="F1780">_xlfn.XLOOKUP(A1780,Product!A:A,Product!C:C,"Bulunamadı")</f>
        <v>Motivation</v>
      </c>
      <c r="G1780" s="2" t="str">
        <f t="array" ref="G1780">_xlfn.XLOOKUP(A1781,Product!A:A,Product!D:D,"Bulunamadı")</f>
        <v>Cedarbrook Publishing</v>
      </c>
      <c r="H1780" s="2">
        <f t="array" ref="H1780">_xlfn.XLOOKUP(A1782,Product!A:A,Product!E:E,"Bulunamadı")</f>
        <v>1.63</v>
      </c>
      <c r="I1780" s="2" t="str">
        <f t="shared" si="1"/>
        <v>86512 - Law - Motivation</v>
      </c>
      <c r="J1780" s="2">
        <f t="shared" si="2"/>
        <v>878.57</v>
      </c>
      <c r="K1780" s="17">
        <f t="shared" si="3"/>
        <v>1</v>
      </c>
      <c r="L1780" s="18"/>
    </row>
    <row r="1781" hidden="1">
      <c r="A1781" s="2">
        <f>IFERROR(__xludf.DUMMYFUNCTION("""COMPUTED_VALUE"""),118431.0)</f>
        <v>118431</v>
      </c>
      <c r="B1781" s="2">
        <f>IFERROR(__xludf.DUMMYFUNCTION("""COMPUTED_VALUE"""),1.0)</f>
        <v>1</v>
      </c>
      <c r="C1781" s="2">
        <f>IFERROR(__xludf.DUMMYFUNCTION("""COMPUTED_VALUE"""),863.0)</f>
        <v>863</v>
      </c>
      <c r="D1781" s="3">
        <f>IFERROR(__xludf.DUMMYFUNCTION("""COMPUTED_VALUE"""),240.0)</f>
        <v>240</v>
      </c>
      <c r="E1781" s="1" t="str">
        <f t="array" ref="E1781">_xlfn.XLOOKUP(A1781,Product!A:A,Product!B:B,"Bulunamadı")</f>
        <v>Law</v>
      </c>
      <c r="F1781" s="1" t="str">
        <f t="array" ref="F1781">_xlfn.XLOOKUP(A1781,Product!A:A,Product!C:C,"Bulunamadı")</f>
        <v>Motivation</v>
      </c>
      <c r="G1781" s="2" t="str">
        <f t="array" ref="G1781">_xlfn.XLOOKUP(A1782,Product!A:A,Product!D:D,"Bulunamadı")</f>
        <v>Cedarbrook Publishing</v>
      </c>
      <c r="H1781" s="2">
        <f t="array" ref="H1781">_xlfn.XLOOKUP(A1783,Product!A:A,Product!E:E,"Bulunamadı")</f>
        <v>1.69</v>
      </c>
      <c r="I1781" s="2" t="str">
        <f t="shared" si="1"/>
        <v>118431 - Law - Motivation</v>
      </c>
      <c r="J1781" s="2">
        <f t="shared" si="2"/>
        <v>405.6</v>
      </c>
      <c r="K1781" s="17">
        <f t="shared" si="3"/>
        <v>1</v>
      </c>
      <c r="L1781" s="18"/>
    </row>
    <row r="1782" hidden="1">
      <c r="A1782" s="2">
        <f>IFERROR(__xludf.DUMMYFUNCTION("""COMPUTED_VALUE"""),80187.0)</f>
        <v>80187</v>
      </c>
      <c r="B1782" s="2">
        <f>IFERROR(__xludf.DUMMYFUNCTION("""COMPUTED_VALUE"""),1.0)</f>
        <v>1</v>
      </c>
      <c r="C1782" s="2">
        <f>IFERROR(__xludf.DUMMYFUNCTION("""COMPUTED_VALUE"""),24.0)</f>
        <v>24</v>
      </c>
      <c r="D1782" s="3">
        <f>IFERROR(__xludf.DUMMYFUNCTION("""COMPUTED_VALUE"""),21.0)</f>
        <v>21</v>
      </c>
      <c r="E1782" s="1" t="str">
        <f t="array" ref="E1782">_xlfn.XLOOKUP(A1782,Product!A:A,Product!B:B,"Bulunamadı")</f>
        <v>Law</v>
      </c>
      <c r="F1782" s="1" t="str">
        <f t="array" ref="F1782">_xlfn.XLOOKUP(A1782,Product!A:A,Product!C:C,"Bulunamadı")</f>
        <v>Motivation</v>
      </c>
      <c r="G1782" s="2" t="str">
        <f t="array" ref="G1782">_xlfn.XLOOKUP(A1783,Product!A:A,Product!D:D,"Bulunamadı")</f>
        <v>Cedarbrook Publishing</v>
      </c>
      <c r="H1782" s="2">
        <f t="array" ref="H1782">_xlfn.XLOOKUP(A1784,Product!A:A,Product!E:E,"Bulunamadı")</f>
        <v>1.11</v>
      </c>
      <c r="I1782" s="2" t="str">
        <f t="shared" si="1"/>
        <v>80187 - Law - Motivation</v>
      </c>
      <c r="J1782" s="2">
        <f t="shared" si="2"/>
        <v>23.31</v>
      </c>
      <c r="K1782" s="17">
        <f t="shared" si="3"/>
        <v>1</v>
      </c>
      <c r="L1782" s="18"/>
    </row>
    <row r="1783" hidden="1">
      <c r="A1783" s="2">
        <f>IFERROR(__xludf.DUMMYFUNCTION("""COMPUTED_VALUE"""),107163.0)</f>
        <v>107163</v>
      </c>
      <c r="B1783" s="2">
        <f>IFERROR(__xludf.DUMMYFUNCTION("""COMPUTED_VALUE"""),0.0)</f>
        <v>0</v>
      </c>
      <c r="C1783" s="2">
        <f>IFERROR(__xludf.DUMMYFUNCTION("""COMPUTED_VALUE"""),674.0)</f>
        <v>674</v>
      </c>
      <c r="D1783" s="3">
        <f>IFERROR(__xludf.DUMMYFUNCTION("""COMPUTED_VALUE"""),66.0)</f>
        <v>66</v>
      </c>
      <c r="E1783" s="1" t="str">
        <f t="array" ref="E1783">_xlfn.XLOOKUP(A1783,Product!A:A,Product!B:B,"Bulunamadı")</f>
        <v>Law</v>
      </c>
      <c r="F1783" s="1" t="str">
        <f t="array" ref="F1783">_xlfn.XLOOKUP(A1783,Product!A:A,Product!C:C,"Bulunamadı")</f>
        <v>Motivation</v>
      </c>
      <c r="G1783" s="2" t="str">
        <f t="array" ref="G1783">_xlfn.XLOOKUP(A1784,Product!A:A,Product!D:D,"Bulunamadı")</f>
        <v>Cedarbrook Publishing</v>
      </c>
      <c r="H1783" s="2">
        <f t="array" ref="H1783">_xlfn.XLOOKUP(A1785,Product!A:A,Product!E:E,"Bulunamadı")</f>
        <v>1.13</v>
      </c>
      <c r="I1783" s="2" t="str">
        <f t="shared" si="1"/>
        <v>107163 - Law - Motivation</v>
      </c>
      <c r="J1783" s="2">
        <f t="shared" si="2"/>
        <v>74.58</v>
      </c>
      <c r="K1783" s="17">
        <f t="shared" si="3"/>
        <v>1</v>
      </c>
      <c r="L1783" s="18"/>
    </row>
    <row r="1784" hidden="1">
      <c r="A1784" s="2">
        <f>IFERROR(__xludf.DUMMYFUNCTION("""COMPUTED_VALUE"""),108342.0)</f>
        <v>108342</v>
      </c>
      <c r="B1784" s="2">
        <f>IFERROR(__xludf.DUMMYFUNCTION("""COMPUTED_VALUE"""),1.0)</f>
        <v>1</v>
      </c>
      <c r="C1784" s="2">
        <f>IFERROR(__xludf.DUMMYFUNCTION("""COMPUTED_VALUE"""),902.0)</f>
        <v>902</v>
      </c>
      <c r="D1784" s="3">
        <f>IFERROR(__xludf.DUMMYFUNCTION("""COMPUTED_VALUE"""),169.0)</f>
        <v>169</v>
      </c>
      <c r="E1784" s="1" t="str">
        <f t="array" ref="E1784">_xlfn.XLOOKUP(A1784,Product!A:A,Product!B:B,"Bulunamadı")</f>
        <v>Law</v>
      </c>
      <c r="F1784" s="1" t="str">
        <f t="array" ref="F1784">_xlfn.XLOOKUP(A1784,Product!A:A,Product!C:C,"Bulunamadı")</f>
        <v>Motivation</v>
      </c>
      <c r="G1784" s="2" t="str">
        <f t="array" ref="G1784">_xlfn.XLOOKUP(A1785,Product!A:A,Product!D:D,"Bulunamadı")</f>
        <v>Cedarbrook Publishing</v>
      </c>
      <c r="H1784" s="2">
        <f t="array" ref="H1784">_xlfn.XLOOKUP(A1786,Product!A:A,Product!E:E,"Bulunamadı")</f>
        <v>2.48</v>
      </c>
      <c r="I1784" s="2" t="str">
        <f t="shared" si="1"/>
        <v>108342 - Law - Motivation</v>
      </c>
      <c r="J1784" s="2">
        <f t="shared" si="2"/>
        <v>419.12</v>
      </c>
      <c r="K1784" s="17">
        <f t="shared" si="3"/>
        <v>1</v>
      </c>
      <c r="L1784" s="18"/>
    </row>
    <row r="1785" hidden="1">
      <c r="A1785" s="2">
        <f>IFERROR(__xludf.DUMMYFUNCTION("""COMPUTED_VALUE"""),20949.0)</f>
        <v>20949</v>
      </c>
      <c r="B1785" s="2">
        <f>IFERROR(__xludf.DUMMYFUNCTION("""COMPUTED_VALUE"""),0.0)</f>
        <v>0</v>
      </c>
      <c r="C1785" s="2">
        <f>IFERROR(__xludf.DUMMYFUNCTION("""COMPUTED_VALUE"""),297.0)</f>
        <v>297</v>
      </c>
      <c r="D1785" s="3">
        <f>IFERROR(__xludf.DUMMYFUNCTION("""COMPUTED_VALUE"""),97.0)</f>
        <v>97</v>
      </c>
      <c r="E1785" s="1" t="str">
        <f t="array" ref="E1785">_xlfn.XLOOKUP(A1785,Product!A:A,Product!B:B,"Bulunamadı")</f>
        <v>Law</v>
      </c>
      <c r="F1785" s="1" t="str">
        <f t="array" ref="F1785">_xlfn.XLOOKUP(A1785,Product!A:A,Product!C:C,"Bulunamadı")</f>
        <v>Motivation</v>
      </c>
      <c r="G1785" s="2" t="str">
        <f t="array" ref="G1785">_xlfn.XLOOKUP(A1786,Product!A:A,Product!D:D,"Bulunamadı")</f>
        <v>Cedarbrook Publishing</v>
      </c>
      <c r="H1785" s="2">
        <f t="array" ref="H1785">_xlfn.XLOOKUP(A1787,Product!A:A,Product!E:E,"Bulunamadı")</f>
        <v>3.21</v>
      </c>
      <c r="I1785" s="2" t="str">
        <f t="shared" si="1"/>
        <v>20949 - Law - Motivation</v>
      </c>
      <c r="J1785" s="2">
        <f t="shared" si="2"/>
        <v>311.37</v>
      </c>
      <c r="K1785" s="17">
        <f t="shared" si="3"/>
        <v>1</v>
      </c>
      <c r="L1785" s="18"/>
    </row>
    <row r="1786" hidden="1">
      <c r="A1786" s="2">
        <f>IFERROR(__xludf.DUMMYFUNCTION("""COMPUTED_VALUE"""),118436.0)</f>
        <v>118436</v>
      </c>
      <c r="B1786" s="2">
        <f>IFERROR(__xludf.DUMMYFUNCTION("""COMPUTED_VALUE"""),1.0)</f>
        <v>1</v>
      </c>
      <c r="C1786" s="2">
        <f>IFERROR(__xludf.DUMMYFUNCTION("""COMPUTED_VALUE"""),527.0)</f>
        <v>527</v>
      </c>
      <c r="D1786" s="3">
        <f>IFERROR(__xludf.DUMMYFUNCTION("""COMPUTED_VALUE"""),108.0)</f>
        <v>108</v>
      </c>
      <c r="E1786" s="1" t="str">
        <f t="array" ref="E1786">_xlfn.XLOOKUP(A1786,Product!A:A,Product!B:B,"Bulunamadı")</f>
        <v>Law</v>
      </c>
      <c r="F1786" s="1" t="str">
        <f t="array" ref="F1786">_xlfn.XLOOKUP(A1786,Product!A:A,Product!C:C,"Bulunamadı")</f>
        <v>Motivation</v>
      </c>
      <c r="G1786" s="2" t="str">
        <f t="array" ref="G1786">_xlfn.XLOOKUP(A1787,Product!A:A,Product!D:D,"Bulunamadı")</f>
        <v>Cedarbrook Publishing</v>
      </c>
      <c r="H1786" s="2">
        <f t="array" ref="H1786">_xlfn.XLOOKUP(A1788,Product!A:A,Product!E:E,"Bulunamadı")</f>
        <v>2.77</v>
      </c>
      <c r="I1786" s="2" t="str">
        <f t="shared" si="1"/>
        <v>118436 - Law - Motivation</v>
      </c>
      <c r="J1786" s="2">
        <f t="shared" si="2"/>
        <v>299.16</v>
      </c>
      <c r="K1786" s="17">
        <f t="shared" si="3"/>
        <v>1</v>
      </c>
      <c r="L1786" s="18"/>
    </row>
    <row r="1787" hidden="1">
      <c r="A1787" s="2">
        <f>IFERROR(__xludf.DUMMYFUNCTION("""COMPUTED_VALUE"""),113566.0)</f>
        <v>113566</v>
      </c>
      <c r="B1787" s="2">
        <f>IFERROR(__xludf.DUMMYFUNCTION("""COMPUTED_VALUE"""),0.0)</f>
        <v>0</v>
      </c>
      <c r="C1787" s="2">
        <f>IFERROR(__xludf.DUMMYFUNCTION("""COMPUTED_VALUE"""),781.0)</f>
        <v>781</v>
      </c>
      <c r="D1787" s="3">
        <f>IFERROR(__xludf.DUMMYFUNCTION("""COMPUTED_VALUE"""),223.0)</f>
        <v>223</v>
      </c>
      <c r="E1787" s="1" t="str">
        <f t="array" ref="E1787">_xlfn.XLOOKUP(A1787,Product!A:A,Product!B:B,"Bulunamadı")</f>
        <v>Law</v>
      </c>
      <c r="F1787" s="1" t="str">
        <f t="array" ref="F1787">_xlfn.XLOOKUP(A1787,Product!A:A,Product!C:C,"Bulunamadı")</f>
        <v>Motivation</v>
      </c>
      <c r="G1787" s="2" t="str">
        <f t="array" ref="G1787">_xlfn.XLOOKUP(A1788,Product!A:A,Product!D:D,"Bulunamadı")</f>
        <v>Cedarbrook Publishing</v>
      </c>
      <c r="H1787" s="2">
        <f t="array" ref="H1787">_xlfn.XLOOKUP(A1789,Product!A:A,Product!E:E,"Bulunamadı")</f>
        <v>1.23</v>
      </c>
      <c r="I1787" s="2" t="str">
        <f t="shared" si="1"/>
        <v>113566 - Law - Motivation</v>
      </c>
      <c r="J1787" s="2">
        <f t="shared" si="2"/>
        <v>274.29</v>
      </c>
      <c r="K1787" s="17">
        <f t="shared" si="3"/>
        <v>1</v>
      </c>
      <c r="L1787" s="18"/>
    </row>
    <row r="1788" hidden="1">
      <c r="A1788" s="2">
        <f>IFERROR(__xludf.DUMMYFUNCTION("""COMPUTED_VALUE"""),113571.0)</f>
        <v>113571</v>
      </c>
      <c r="B1788" s="2">
        <f>IFERROR(__xludf.DUMMYFUNCTION("""COMPUTED_VALUE"""),1.0)</f>
        <v>1</v>
      </c>
      <c r="C1788" s="2">
        <f>IFERROR(__xludf.DUMMYFUNCTION("""COMPUTED_VALUE"""),768.0)</f>
        <v>768</v>
      </c>
      <c r="D1788" s="3">
        <f>IFERROR(__xludf.DUMMYFUNCTION("""COMPUTED_VALUE"""),595.0)</f>
        <v>595</v>
      </c>
      <c r="E1788" s="1" t="str">
        <f t="array" ref="E1788">_xlfn.XLOOKUP(A1788,Product!A:A,Product!B:B,"Bulunamadı")</f>
        <v>Law</v>
      </c>
      <c r="F1788" s="1" t="str">
        <f t="array" ref="F1788">_xlfn.XLOOKUP(A1788,Product!A:A,Product!C:C,"Bulunamadı")</f>
        <v>Motivation</v>
      </c>
      <c r="G1788" s="2" t="str">
        <f t="array" ref="G1788">_xlfn.XLOOKUP(A1789,Product!A:A,Product!D:D,"Bulunamadı")</f>
        <v>Cedarbrook Publishing</v>
      </c>
      <c r="H1788" s="2">
        <f t="array" ref="H1788">_xlfn.XLOOKUP(A1790,Product!A:A,Product!E:E,"Bulunamadı")</f>
        <v>2.65</v>
      </c>
      <c r="I1788" s="2" t="str">
        <f t="shared" si="1"/>
        <v>113571 - Law - Motivation</v>
      </c>
      <c r="J1788" s="2">
        <f t="shared" si="2"/>
        <v>1576.75</v>
      </c>
      <c r="K1788" s="17">
        <f t="shared" si="3"/>
        <v>1</v>
      </c>
      <c r="L1788" s="18"/>
    </row>
    <row r="1789" hidden="1">
      <c r="A1789" s="2">
        <f>IFERROR(__xludf.DUMMYFUNCTION("""COMPUTED_VALUE"""),107160.0)</f>
        <v>107160</v>
      </c>
      <c r="B1789" s="2">
        <f>IFERROR(__xludf.DUMMYFUNCTION("""COMPUTED_VALUE"""),0.0)</f>
        <v>0</v>
      </c>
      <c r="C1789" s="2">
        <f>IFERROR(__xludf.DUMMYFUNCTION("""COMPUTED_VALUE"""),296.0)</f>
        <v>296</v>
      </c>
      <c r="D1789" s="3">
        <f>IFERROR(__xludf.DUMMYFUNCTION("""COMPUTED_VALUE"""),32.0)</f>
        <v>32</v>
      </c>
      <c r="E1789" s="1" t="str">
        <f t="array" ref="E1789">_xlfn.XLOOKUP(A1789,Product!A:A,Product!B:B,"Bulunamadı")</f>
        <v>Law</v>
      </c>
      <c r="F1789" s="1" t="str">
        <f t="array" ref="F1789">_xlfn.XLOOKUP(A1789,Product!A:A,Product!C:C,"Bulunamadı")</f>
        <v>Motivation</v>
      </c>
      <c r="G1789" s="2" t="str">
        <f t="array" ref="G1789">_xlfn.XLOOKUP(A1790,Product!A:A,Product!D:D,"Bulunamadı")</f>
        <v>Cedarbrook Publishing</v>
      </c>
      <c r="H1789" s="2">
        <f t="array" ref="H1789">_xlfn.XLOOKUP(A1791,Product!A:A,Product!E:E,"Bulunamadı")</f>
        <v>1.82</v>
      </c>
      <c r="I1789" s="2" t="str">
        <f t="shared" si="1"/>
        <v>107160 - Law - Motivation</v>
      </c>
      <c r="J1789" s="2">
        <f t="shared" si="2"/>
        <v>58.24</v>
      </c>
      <c r="K1789" s="17">
        <f t="shared" si="3"/>
        <v>1</v>
      </c>
      <c r="L1789" s="18"/>
    </row>
    <row r="1790" hidden="1">
      <c r="A1790" s="2">
        <f>IFERROR(__xludf.DUMMYFUNCTION("""COMPUTED_VALUE"""),44007.0)</f>
        <v>44007</v>
      </c>
      <c r="B1790" s="2">
        <f>IFERROR(__xludf.DUMMYFUNCTION("""COMPUTED_VALUE"""),1.0)</f>
        <v>1</v>
      </c>
      <c r="C1790" s="2">
        <f>IFERROR(__xludf.DUMMYFUNCTION("""COMPUTED_VALUE"""),339.0)</f>
        <v>339</v>
      </c>
      <c r="D1790" s="3">
        <f>IFERROR(__xludf.DUMMYFUNCTION("""COMPUTED_VALUE"""),20.0)</f>
        <v>20</v>
      </c>
      <c r="E1790" s="1" t="str">
        <f t="array" ref="E1790">_xlfn.XLOOKUP(A1790,Product!A:A,Product!B:B,"Bulunamadı")</f>
        <v>Law</v>
      </c>
      <c r="F1790" s="1" t="str">
        <f t="array" ref="F1790">_xlfn.XLOOKUP(A1790,Product!A:A,Product!C:C,"Bulunamadı")</f>
        <v>Motivation</v>
      </c>
      <c r="G1790" s="2" t="str">
        <f t="array" ref="G1790">_xlfn.XLOOKUP(A1791,Product!A:A,Product!D:D,"Bulunamadı")</f>
        <v>Cedarbrook Publishing</v>
      </c>
      <c r="H1790" s="2">
        <f t="array" ref="H1790">_xlfn.XLOOKUP(A1792,Product!A:A,Product!E:E,"Bulunamadı")</f>
        <v>4.54</v>
      </c>
      <c r="I1790" s="2" t="str">
        <f t="shared" si="1"/>
        <v>44007 - Law - Motivation</v>
      </c>
      <c r="J1790" s="2">
        <f t="shared" si="2"/>
        <v>90.8</v>
      </c>
      <c r="K1790" s="17">
        <f t="shared" si="3"/>
        <v>1</v>
      </c>
      <c r="L1790" s="18"/>
    </row>
    <row r="1791" hidden="1">
      <c r="A1791" s="2">
        <f>IFERROR(__xludf.DUMMYFUNCTION("""COMPUTED_VALUE"""),69453.0)</f>
        <v>69453</v>
      </c>
      <c r="B1791" s="2">
        <f>IFERROR(__xludf.DUMMYFUNCTION("""COMPUTED_VALUE"""),0.0)</f>
        <v>0</v>
      </c>
      <c r="C1791" s="2">
        <f>IFERROR(__xludf.DUMMYFUNCTION("""COMPUTED_VALUE"""),405.0)</f>
        <v>405</v>
      </c>
      <c r="D1791" s="3">
        <f>IFERROR(__xludf.DUMMYFUNCTION("""COMPUTED_VALUE"""),73.0)</f>
        <v>73</v>
      </c>
      <c r="E1791" s="1" t="str">
        <f t="array" ref="E1791">_xlfn.XLOOKUP(A1791,Product!A:A,Product!B:B,"Bulunamadı")</f>
        <v>Law</v>
      </c>
      <c r="F1791" s="1" t="str">
        <f t="array" ref="F1791">_xlfn.XLOOKUP(A1791,Product!A:A,Product!C:C,"Bulunamadı")</f>
        <v>Motivation</v>
      </c>
      <c r="G1791" s="2" t="str">
        <f t="array" ref="G1791">_xlfn.XLOOKUP(A1792,Product!A:A,Product!D:D,"Bulunamadı")</f>
        <v>Cedarbrook Publishing</v>
      </c>
      <c r="H1791" s="2">
        <f t="array" ref="H1791">_xlfn.XLOOKUP(A1793,Product!A:A,Product!E:E,"Bulunamadı")</f>
        <v>1.93</v>
      </c>
      <c r="I1791" s="2" t="str">
        <f t="shared" si="1"/>
        <v>69453 - Law - Motivation</v>
      </c>
      <c r="J1791" s="2">
        <f t="shared" si="2"/>
        <v>140.89</v>
      </c>
      <c r="K1791" s="17">
        <f t="shared" si="3"/>
        <v>1</v>
      </c>
      <c r="L1791" s="18"/>
    </row>
    <row r="1792" hidden="1">
      <c r="A1792" s="2">
        <f>IFERROR(__xludf.DUMMYFUNCTION("""COMPUTED_VALUE"""),122690.0)</f>
        <v>122690</v>
      </c>
      <c r="B1792" s="2">
        <f>IFERROR(__xludf.DUMMYFUNCTION("""COMPUTED_VALUE"""),1.0)</f>
        <v>1</v>
      </c>
      <c r="C1792" s="2">
        <f>IFERROR(__xludf.DUMMYFUNCTION("""COMPUTED_VALUE"""),620.0)</f>
        <v>620</v>
      </c>
      <c r="D1792" s="3">
        <f>IFERROR(__xludf.DUMMYFUNCTION("""COMPUTED_VALUE"""),310.0)</f>
        <v>310</v>
      </c>
      <c r="E1792" s="1" t="str">
        <f t="array" ref="E1792">_xlfn.XLOOKUP(A1792,Product!A:A,Product!B:B,"Bulunamadı")</f>
        <v>Law</v>
      </c>
      <c r="F1792" s="1" t="str">
        <f t="array" ref="F1792">_xlfn.XLOOKUP(A1792,Product!A:A,Product!C:C,"Bulunamadı")</f>
        <v>Motivation</v>
      </c>
      <c r="G1792" s="2" t="str">
        <f t="array" ref="G1792">_xlfn.XLOOKUP(A1793,Product!A:A,Product!D:D,"Bulunamadı")</f>
        <v>Cedarbrook Publishing</v>
      </c>
      <c r="H1792" s="2">
        <f t="array" ref="H1792">_xlfn.XLOOKUP(A1794,Product!A:A,Product!E:E,"Bulunamadı")</f>
        <v>1.62</v>
      </c>
      <c r="I1792" s="2" t="str">
        <f t="shared" si="1"/>
        <v>122690 - Law - Motivation</v>
      </c>
      <c r="J1792" s="2">
        <f t="shared" si="2"/>
        <v>502.2</v>
      </c>
      <c r="K1792" s="17">
        <f t="shared" si="3"/>
        <v>1</v>
      </c>
      <c r="L1792" s="18"/>
    </row>
    <row r="1793" hidden="1">
      <c r="A1793" s="2">
        <f>IFERROR(__xludf.DUMMYFUNCTION("""COMPUTED_VALUE"""),117243.0)</f>
        <v>117243</v>
      </c>
      <c r="B1793" s="2">
        <f>IFERROR(__xludf.DUMMYFUNCTION("""COMPUTED_VALUE"""),0.0)</f>
        <v>0</v>
      </c>
      <c r="C1793" s="2">
        <f>IFERROR(__xludf.DUMMYFUNCTION("""COMPUTED_VALUE"""),554.0)</f>
        <v>554</v>
      </c>
      <c r="D1793" s="3">
        <f>IFERROR(__xludf.DUMMYFUNCTION("""COMPUTED_VALUE"""),498.0)</f>
        <v>498</v>
      </c>
      <c r="E1793" s="1" t="str">
        <f t="array" ref="E1793">_xlfn.XLOOKUP(A1793,Product!A:A,Product!B:B,"Bulunamadı")</f>
        <v>Law</v>
      </c>
      <c r="F1793" s="1" t="str">
        <f t="array" ref="F1793">_xlfn.XLOOKUP(A1793,Product!A:A,Product!C:C,"Bulunamadı")</f>
        <v>Motivation</v>
      </c>
      <c r="G1793" s="2" t="str">
        <f t="array" ref="G1793">_xlfn.XLOOKUP(A1794,Product!A:A,Product!D:D,"Bulunamadı")</f>
        <v>Brightbrook Books</v>
      </c>
      <c r="H1793" s="2">
        <f t="array" ref="H1793">_xlfn.XLOOKUP(A1795,Product!A:A,Product!E:E,"Bulunamadı")</f>
        <v>1.95</v>
      </c>
      <c r="I1793" s="2" t="str">
        <f t="shared" si="1"/>
        <v>117243 - Law - Motivation</v>
      </c>
      <c r="J1793" s="2">
        <f t="shared" si="2"/>
        <v>971.1</v>
      </c>
      <c r="K1793" s="17">
        <f t="shared" si="3"/>
        <v>1</v>
      </c>
      <c r="L1793" s="18"/>
    </row>
    <row r="1794" hidden="1">
      <c r="A1794" s="2">
        <f>IFERROR(__xludf.DUMMYFUNCTION("""COMPUTED_VALUE"""),71988.0)</f>
        <v>71988</v>
      </c>
      <c r="B1794" s="2">
        <f>IFERROR(__xludf.DUMMYFUNCTION("""COMPUTED_VALUE"""),1.0)</f>
        <v>1</v>
      </c>
      <c r="C1794" s="2">
        <f>IFERROR(__xludf.DUMMYFUNCTION("""COMPUTED_VALUE"""),617.0)</f>
        <v>617</v>
      </c>
      <c r="D1794" s="3">
        <f>IFERROR(__xludf.DUMMYFUNCTION("""COMPUTED_VALUE"""),193.0)</f>
        <v>193</v>
      </c>
      <c r="E1794" s="1" t="str">
        <f t="array" ref="E1794">_xlfn.XLOOKUP(A1794,Product!A:A,Product!B:B,"Bulunamadı")</f>
        <v>Law</v>
      </c>
      <c r="F1794" s="1" t="str">
        <f t="array" ref="F1794">_xlfn.XLOOKUP(A1794,Product!A:A,Product!C:C,"Bulunamadı")</f>
        <v>Motivation</v>
      </c>
      <c r="G1794" s="2" t="str">
        <f t="array" ref="G1794">_xlfn.XLOOKUP(A1795,Product!A:A,Product!D:D,"Bulunamadı")</f>
        <v>Brightbrook Books</v>
      </c>
      <c r="H1794" s="2">
        <f t="array" ref="H1794">_xlfn.XLOOKUP(A1796,Product!A:A,Product!E:E,"Bulunamadı")</f>
        <v>2.21</v>
      </c>
      <c r="I1794" s="2" t="str">
        <f t="shared" si="1"/>
        <v>71988 - Law - Motivation</v>
      </c>
      <c r="J1794" s="2">
        <f t="shared" si="2"/>
        <v>426.53</v>
      </c>
      <c r="K1794" s="17">
        <f t="shared" si="3"/>
        <v>1</v>
      </c>
      <c r="L1794" s="18"/>
    </row>
    <row r="1795" hidden="1">
      <c r="A1795" s="2">
        <f>IFERROR(__xludf.DUMMYFUNCTION("""COMPUTED_VALUE"""),111582.0)</f>
        <v>111582</v>
      </c>
      <c r="B1795" s="2">
        <f>IFERROR(__xludf.DUMMYFUNCTION("""COMPUTED_VALUE"""),0.0)</f>
        <v>0</v>
      </c>
      <c r="C1795" s="2">
        <f>IFERROR(__xludf.DUMMYFUNCTION("""COMPUTED_VALUE"""),650.0)</f>
        <v>650</v>
      </c>
      <c r="D1795" s="3">
        <f>IFERROR(__xludf.DUMMYFUNCTION("""COMPUTED_VALUE"""),128.0)</f>
        <v>128</v>
      </c>
      <c r="E1795" s="1" t="str">
        <f t="array" ref="E1795">_xlfn.XLOOKUP(A1795,Product!A:A,Product!B:B,"Bulunamadı")</f>
        <v>Law</v>
      </c>
      <c r="F1795" s="1" t="str">
        <f t="array" ref="F1795">_xlfn.XLOOKUP(A1795,Product!A:A,Product!C:C,"Bulunamadı")</f>
        <v>Motivation</v>
      </c>
      <c r="G1795" s="2" t="str">
        <f t="array" ref="G1795">_xlfn.XLOOKUP(A1796,Product!A:A,Product!D:D,"Bulunamadı")</f>
        <v>Oakbrook Press</v>
      </c>
      <c r="H1795" s="2">
        <f t="array" ref="H1795">_xlfn.XLOOKUP(A1797,Product!A:A,Product!E:E,"Bulunamadı")</f>
        <v>1.99</v>
      </c>
      <c r="I1795" s="2" t="str">
        <f t="shared" si="1"/>
        <v>111582 - Law - Motivation</v>
      </c>
      <c r="J1795" s="2">
        <f t="shared" si="2"/>
        <v>254.72</v>
      </c>
      <c r="K1795" s="17">
        <f t="shared" si="3"/>
        <v>1</v>
      </c>
      <c r="L1795" s="18"/>
    </row>
    <row r="1796" hidden="1">
      <c r="A1796" s="2">
        <f>IFERROR(__xludf.DUMMYFUNCTION("""COMPUTED_VALUE"""),77235.0)</f>
        <v>77235</v>
      </c>
      <c r="B1796" s="2">
        <f>IFERROR(__xludf.DUMMYFUNCTION("""COMPUTED_VALUE"""),1.0)</f>
        <v>1</v>
      </c>
      <c r="C1796" s="2">
        <f>IFERROR(__xludf.DUMMYFUNCTION("""COMPUTED_VALUE"""),293.0)</f>
        <v>293</v>
      </c>
      <c r="D1796" s="3">
        <f>IFERROR(__xludf.DUMMYFUNCTION("""COMPUTED_VALUE"""),64.0)</f>
        <v>64</v>
      </c>
      <c r="E1796" s="1" t="str">
        <f t="array" ref="E1796">_xlfn.XLOOKUP(A1796,Product!A:A,Product!B:B,"Bulunamadı")</f>
        <v>Law</v>
      </c>
      <c r="F1796" s="1" t="str">
        <f t="array" ref="F1796">_xlfn.XLOOKUP(A1796,Product!A:A,Product!C:C,"Bulunamadı")</f>
        <v>Motivation</v>
      </c>
      <c r="G1796" s="2" t="str">
        <f t="array" ref="G1796">_xlfn.XLOOKUP(A1797,Product!A:A,Product!D:D,"Bulunamadı")</f>
        <v>Oakbrook Press</v>
      </c>
      <c r="H1796" s="2">
        <f t="array" ref="H1796">_xlfn.XLOOKUP(A1798,Product!A:A,Product!E:E,"Bulunamadı")</f>
        <v>2.65</v>
      </c>
      <c r="I1796" s="2" t="str">
        <f t="shared" si="1"/>
        <v>77235 - Law - Motivation</v>
      </c>
      <c r="J1796" s="2">
        <f t="shared" si="2"/>
        <v>169.6</v>
      </c>
      <c r="K1796" s="17">
        <f t="shared" si="3"/>
        <v>1</v>
      </c>
      <c r="L1796" s="18"/>
    </row>
    <row r="1797" hidden="1">
      <c r="A1797" s="2">
        <f>IFERROR(__xludf.DUMMYFUNCTION("""COMPUTED_VALUE"""),105272.0)</f>
        <v>105272</v>
      </c>
      <c r="B1797" s="2">
        <f>IFERROR(__xludf.DUMMYFUNCTION("""COMPUTED_VALUE"""),0.0)</f>
        <v>0</v>
      </c>
      <c r="C1797" s="2">
        <f>IFERROR(__xludf.DUMMYFUNCTION("""COMPUTED_VALUE"""),453.0)</f>
        <v>453</v>
      </c>
      <c r="D1797" s="3">
        <f>IFERROR(__xludf.DUMMYFUNCTION("""COMPUTED_VALUE"""),204.0)</f>
        <v>204</v>
      </c>
      <c r="E1797" s="1" t="str">
        <f t="array" ref="E1797">_xlfn.XLOOKUP(A1797,Product!A:A,Product!B:B,"Bulunamadı")</f>
        <v>Law</v>
      </c>
      <c r="F1797" s="1" t="str">
        <f t="array" ref="F1797">_xlfn.XLOOKUP(A1797,Product!A:A,Product!C:C,"Bulunamadı")</f>
        <v>Motivation</v>
      </c>
      <c r="G1797" s="2" t="str">
        <f t="array" ref="G1797">_xlfn.XLOOKUP(A1798,Product!A:A,Product!D:D,"Bulunamadı")</f>
        <v>Oakbrook Press</v>
      </c>
      <c r="H1797" s="2">
        <f t="array" ref="H1797">_xlfn.XLOOKUP(A1799,Product!A:A,Product!E:E,"Bulunamadı")</f>
        <v>1.05</v>
      </c>
      <c r="I1797" s="2" t="str">
        <f t="shared" si="1"/>
        <v>105272 - Law - Motivation</v>
      </c>
      <c r="J1797" s="2">
        <f t="shared" si="2"/>
        <v>214.2</v>
      </c>
      <c r="K1797" s="17">
        <f t="shared" si="3"/>
        <v>1</v>
      </c>
      <c r="L1797" s="18"/>
    </row>
    <row r="1798" hidden="1">
      <c r="A1798" s="2">
        <f>IFERROR(__xludf.DUMMYFUNCTION("""COMPUTED_VALUE"""),120809.0)</f>
        <v>120809</v>
      </c>
      <c r="B1798" s="2">
        <f>IFERROR(__xludf.DUMMYFUNCTION("""COMPUTED_VALUE"""),1.0)</f>
        <v>1</v>
      </c>
      <c r="C1798" s="2">
        <f>IFERROR(__xludf.DUMMYFUNCTION("""COMPUTED_VALUE"""),174.0)</f>
        <v>174</v>
      </c>
      <c r="D1798" s="3">
        <f>IFERROR(__xludf.DUMMYFUNCTION("""COMPUTED_VALUE"""),120.0)</f>
        <v>120</v>
      </c>
      <c r="E1798" s="1" t="str">
        <f t="array" ref="E1798">_xlfn.XLOOKUP(A1798,Product!A:A,Product!B:B,"Bulunamadı")</f>
        <v>Law</v>
      </c>
      <c r="F1798" s="1" t="str">
        <f t="array" ref="F1798">_xlfn.XLOOKUP(A1798,Product!A:A,Product!C:C,"Bulunamadı")</f>
        <v>Motivation</v>
      </c>
      <c r="G1798" s="2" t="str">
        <f t="array" ref="G1798">_xlfn.XLOOKUP(A1799,Product!A:A,Product!D:D,"Bulunamadı")</f>
        <v>Riverbrook Publishing</v>
      </c>
      <c r="H1798" s="2">
        <f t="array" ref="H1798">_xlfn.XLOOKUP(A1800,Product!A:A,Product!E:E,"Bulunamadı")</f>
        <v>2.16</v>
      </c>
      <c r="I1798" s="2" t="str">
        <f t="shared" si="1"/>
        <v>120809 - Law - Motivation</v>
      </c>
      <c r="J1798" s="2">
        <f t="shared" si="2"/>
        <v>259.2</v>
      </c>
      <c r="K1798" s="17">
        <f t="shared" si="3"/>
        <v>1</v>
      </c>
      <c r="L1798" s="18"/>
    </row>
    <row r="1799" hidden="1">
      <c r="A1799" s="2">
        <f>IFERROR(__xludf.DUMMYFUNCTION("""COMPUTED_VALUE"""),10651.0)</f>
        <v>10651</v>
      </c>
      <c r="B1799" s="2">
        <f>IFERROR(__xludf.DUMMYFUNCTION("""COMPUTED_VALUE"""),1.0)</f>
        <v>1</v>
      </c>
      <c r="C1799" s="2">
        <f>IFERROR(__xludf.DUMMYFUNCTION("""COMPUTED_VALUE"""),355.0)</f>
        <v>355</v>
      </c>
      <c r="D1799" s="3">
        <f>IFERROR(__xludf.DUMMYFUNCTION("""COMPUTED_VALUE"""),218.0)</f>
        <v>218</v>
      </c>
      <c r="E1799" s="1" t="str">
        <f t="array" ref="E1799">_xlfn.XLOOKUP(A1799,Product!A:A,Product!B:B,"Bulunamadı")</f>
        <v>Law</v>
      </c>
      <c r="F1799" s="1" t="str">
        <f t="array" ref="F1799">_xlfn.XLOOKUP(A1799,Product!A:A,Product!C:C,"Bulunamadı")</f>
        <v>Motivation</v>
      </c>
      <c r="G1799" s="2" t="str">
        <f t="array" ref="G1799">_xlfn.XLOOKUP(A1800,Product!A:A,Product!D:D,"Bulunamadı")</f>
        <v>Riverbrook Publishing</v>
      </c>
      <c r="H1799" s="2">
        <f t="array" ref="H1799">_xlfn.XLOOKUP(A1801,Product!A:A,Product!E:E,"Bulunamadı")</f>
        <v>2.1</v>
      </c>
      <c r="I1799" s="2" t="str">
        <f t="shared" si="1"/>
        <v>10651 - Law - Motivation</v>
      </c>
      <c r="J1799" s="2">
        <f t="shared" si="2"/>
        <v>457.8</v>
      </c>
      <c r="K1799" s="17">
        <f t="shared" si="3"/>
        <v>1</v>
      </c>
      <c r="L1799" s="18"/>
    </row>
    <row r="1800" hidden="1">
      <c r="A1800" s="2">
        <f>IFERROR(__xludf.DUMMYFUNCTION("""COMPUTED_VALUE"""),10657.0)</f>
        <v>10657</v>
      </c>
      <c r="B1800" s="2">
        <f>IFERROR(__xludf.DUMMYFUNCTION("""COMPUTED_VALUE"""),1.0)</f>
        <v>1</v>
      </c>
      <c r="C1800" s="2">
        <f>IFERROR(__xludf.DUMMYFUNCTION("""COMPUTED_VALUE"""),265.0)</f>
        <v>265</v>
      </c>
      <c r="D1800" s="3">
        <f>IFERROR(__xludf.DUMMYFUNCTION("""COMPUTED_VALUE"""),244.0)</f>
        <v>244</v>
      </c>
      <c r="E1800" s="1" t="str">
        <f t="array" ref="E1800">_xlfn.XLOOKUP(A1800,Product!A:A,Product!B:B,"Bulunamadı")</f>
        <v>Law</v>
      </c>
      <c r="F1800" s="1" t="str">
        <f t="array" ref="F1800">_xlfn.XLOOKUP(A1800,Product!A:A,Product!C:C,"Bulunamadı")</f>
        <v>Motivation</v>
      </c>
      <c r="G1800" s="2" t="str">
        <f t="array" ref="G1800">_xlfn.XLOOKUP(A1801,Product!A:A,Product!D:D,"Bulunamadı")</f>
        <v>Riverbrook Publishing</v>
      </c>
      <c r="H1800" s="2">
        <f t="array" ref="H1800">_xlfn.XLOOKUP(A1802,Product!A:A,Product!E:E,"Bulunamadı")</f>
        <v>1.44</v>
      </c>
      <c r="I1800" s="2" t="str">
        <f t="shared" si="1"/>
        <v>10657 - Law - Motivation</v>
      </c>
      <c r="J1800" s="2">
        <f t="shared" si="2"/>
        <v>351.36</v>
      </c>
      <c r="K1800" s="17">
        <f t="shared" si="3"/>
        <v>1</v>
      </c>
      <c r="L1800" s="18"/>
    </row>
    <row r="1801" hidden="1">
      <c r="A1801" s="2">
        <f>IFERROR(__xludf.DUMMYFUNCTION("""COMPUTED_VALUE"""),9132.0)</f>
        <v>9132</v>
      </c>
      <c r="B1801" s="2">
        <f>IFERROR(__xludf.DUMMYFUNCTION("""COMPUTED_VALUE"""),1.0)</f>
        <v>1</v>
      </c>
      <c r="C1801" s="2">
        <f>IFERROR(__xludf.DUMMYFUNCTION("""COMPUTED_VALUE"""),26.0)</f>
        <v>26</v>
      </c>
      <c r="D1801" s="3">
        <f>IFERROR(__xludf.DUMMYFUNCTION("""COMPUTED_VALUE"""),8.0)</f>
        <v>8</v>
      </c>
      <c r="E1801" s="1" t="str">
        <f t="array" ref="E1801">_xlfn.XLOOKUP(A1801,Product!A:A,Product!B:B,"Bulunamadı")</f>
        <v>Law</v>
      </c>
      <c r="F1801" s="1" t="str">
        <f t="array" ref="F1801">_xlfn.XLOOKUP(A1801,Product!A:A,Product!C:C,"Bulunamadı")</f>
        <v>Motivation</v>
      </c>
      <c r="G1801" s="2" t="str">
        <f t="array" ref="G1801">_xlfn.XLOOKUP(A1802,Product!A:A,Product!D:D,"Bulunamadı")</f>
        <v>Riverbrook Publishing</v>
      </c>
      <c r="H1801" s="2">
        <f t="array" ref="H1801">_xlfn.XLOOKUP(A1803,Product!A:A,Product!E:E,"Bulunamadı")</f>
        <v>1.25</v>
      </c>
      <c r="I1801" s="2" t="str">
        <f t="shared" si="1"/>
        <v>9132 - Law - Motivation</v>
      </c>
      <c r="J1801" s="2">
        <f t="shared" si="2"/>
        <v>10</v>
      </c>
      <c r="K1801" s="17">
        <f t="shared" si="3"/>
        <v>1</v>
      </c>
      <c r="L1801" s="18"/>
    </row>
    <row r="1802" hidden="1">
      <c r="A1802" s="2">
        <f>IFERROR(__xludf.DUMMYFUNCTION("""COMPUTED_VALUE"""),197151.0)</f>
        <v>197151</v>
      </c>
      <c r="B1802" s="2">
        <f>IFERROR(__xludf.DUMMYFUNCTION("""COMPUTED_VALUE"""),1.0)</f>
        <v>1</v>
      </c>
      <c r="C1802" s="2">
        <f>IFERROR(__xludf.DUMMYFUNCTION("""COMPUTED_VALUE"""),836.0)</f>
        <v>836</v>
      </c>
      <c r="D1802" s="3">
        <f>IFERROR(__xludf.DUMMYFUNCTION("""COMPUTED_VALUE"""),416.0)</f>
        <v>416</v>
      </c>
      <c r="E1802" s="1" t="str">
        <f t="array" ref="E1802">_xlfn.XLOOKUP(A1802,Product!A:A,Product!B:B,"Bulunamadı")</f>
        <v>Law</v>
      </c>
      <c r="F1802" s="1" t="str">
        <f t="array" ref="F1802">_xlfn.XLOOKUP(A1802,Product!A:A,Product!C:C,"Bulunamadı")</f>
        <v>Motivation</v>
      </c>
      <c r="G1802" s="2" t="str">
        <f t="array" ref="G1802">_xlfn.XLOOKUP(A1803,Product!A:A,Product!D:D,"Bulunamadı")</f>
        <v>Riverbrook Publishing</v>
      </c>
      <c r="H1802" s="2">
        <f t="array" ref="H1802">_xlfn.XLOOKUP(A1804,Product!A:A,Product!E:E,"Bulunamadı")</f>
        <v>1.88</v>
      </c>
      <c r="I1802" s="2" t="str">
        <f t="shared" si="1"/>
        <v>197151 - Law - Motivation</v>
      </c>
      <c r="J1802" s="2">
        <f t="shared" si="2"/>
        <v>782.08</v>
      </c>
      <c r="K1802" s="17">
        <f t="shared" si="3"/>
        <v>1</v>
      </c>
      <c r="L1802" s="18"/>
    </row>
    <row r="1803" hidden="1">
      <c r="A1803" s="2">
        <f>IFERROR(__xludf.DUMMYFUNCTION("""COMPUTED_VALUE"""),73386.0)</f>
        <v>73386</v>
      </c>
      <c r="B1803" s="2">
        <f>IFERROR(__xludf.DUMMYFUNCTION("""COMPUTED_VALUE"""),1.0)</f>
        <v>1</v>
      </c>
      <c r="C1803" s="2">
        <f>IFERROR(__xludf.DUMMYFUNCTION("""COMPUTED_VALUE"""),499.0)</f>
        <v>499</v>
      </c>
      <c r="D1803" s="3">
        <f>IFERROR(__xludf.DUMMYFUNCTION("""COMPUTED_VALUE"""),212.0)</f>
        <v>212</v>
      </c>
      <c r="E1803" s="1" t="str">
        <f t="array" ref="E1803">_xlfn.XLOOKUP(A1803,Product!A:A,Product!B:B,"Bulunamadı")</f>
        <v>Law</v>
      </c>
      <c r="F1803" s="1" t="str">
        <f t="array" ref="F1803">_xlfn.XLOOKUP(A1803,Product!A:A,Product!C:C,"Bulunamadı")</f>
        <v>Motivation</v>
      </c>
      <c r="G1803" s="2" t="str">
        <f t="array" ref="G1803">_xlfn.XLOOKUP(A1804,Product!A:A,Product!D:D,"Bulunamadı")</f>
        <v>Riverbrook Publishing</v>
      </c>
      <c r="H1803" s="2">
        <f t="array" ref="H1803">_xlfn.XLOOKUP(A1805,Product!A:A,Product!E:E,"Bulunamadı")</f>
        <v>1.76</v>
      </c>
      <c r="I1803" s="2" t="str">
        <f t="shared" si="1"/>
        <v>73386 - Law - Motivation</v>
      </c>
      <c r="J1803" s="2">
        <f t="shared" si="2"/>
        <v>373.12</v>
      </c>
      <c r="K1803" s="17">
        <f t="shared" si="3"/>
        <v>1</v>
      </c>
      <c r="L1803" s="18"/>
    </row>
    <row r="1804" hidden="1">
      <c r="A1804" s="2">
        <f>IFERROR(__xludf.DUMMYFUNCTION("""COMPUTED_VALUE"""),121604.0)</f>
        <v>121604</v>
      </c>
      <c r="B1804" s="2">
        <f>IFERROR(__xludf.DUMMYFUNCTION("""COMPUTED_VALUE"""),1.0)</f>
        <v>1</v>
      </c>
      <c r="C1804" s="2">
        <f>IFERROR(__xludf.DUMMYFUNCTION("""COMPUTED_VALUE"""),695.0)</f>
        <v>695</v>
      </c>
      <c r="D1804" s="3">
        <f>IFERROR(__xludf.DUMMYFUNCTION("""COMPUTED_VALUE"""),103.0)</f>
        <v>103</v>
      </c>
      <c r="E1804" s="1" t="str">
        <f t="array" ref="E1804">_xlfn.XLOOKUP(A1804,Product!A:A,Product!B:B,"Bulunamadı")</f>
        <v>Law</v>
      </c>
      <c r="F1804" s="1" t="str">
        <f t="array" ref="F1804">_xlfn.XLOOKUP(A1804,Product!A:A,Product!C:C,"Bulunamadı")</f>
        <v>Motivation</v>
      </c>
      <c r="G1804" s="2" t="str">
        <f t="array" ref="G1804">_xlfn.XLOOKUP(A1805,Product!A:A,Product!D:D,"Bulunamadı")</f>
        <v>Riverbrook Publishing</v>
      </c>
      <c r="H1804" s="2">
        <f t="array" ref="H1804">_xlfn.XLOOKUP(A1806,Product!A:A,Product!E:E,"Bulunamadı")</f>
        <v>1.84</v>
      </c>
      <c r="I1804" s="2" t="str">
        <f t="shared" si="1"/>
        <v>121604 - Law - Motivation</v>
      </c>
      <c r="J1804" s="2">
        <f t="shared" si="2"/>
        <v>189.52</v>
      </c>
      <c r="K1804" s="17">
        <f t="shared" si="3"/>
        <v>1</v>
      </c>
      <c r="L1804" s="18"/>
    </row>
    <row r="1805" hidden="1">
      <c r="A1805" s="2">
        <f>IFERROR(__xludf.DUMMYFUNCTION("""COMPUTED_VALUE"""),89533.0)</f>
        <v>89533</v>
      </c>
      <c r="B1805" s="2">
        <f>IFERROR(__xludf.DUMMYFUNCTION("""COMPUTED_VALUE"""),1.0)</f>
        <v>1</v>
      </c>
      <c r="C1805" s="2">
        <f>IFERROR(__xludf.DUMMYFUNCTION("""COMPUTED_VALUE"""),427.0)</f>
        <v>427</v>
      </c>
      <c r="D1805" s="3">
        <f>IFERROR(__xludf.DUMMYFUNCTION("""COMPUTED_VALUE"""),132.0)</f>
        <v>132</v>
      </c>
      <c r="E1805" s="1" t="str">
        <f t="array" ref="E1805">_xlfn.XLOOKUP(A1805,Product!A:A,Product!B:B,"Bulunamadı")</f>
        <v>Law</v>
      </c>
      <c r="F1805" s="1" t="str">
        <f t="array" ref="F1805">_xlfn.XLOOKUP(A1805,Product!A:A,Product!C:C,"Bulunamadı")</f>
        <v>Motivation</v>
      </c>
      <c r="G1805" s="2" t="str">
        <f t="array" ref="G1805">_xlfn.XLOOKUP(A1806,Product!A:A,Product!D:D,"Bulunamadı")</f>
        <v>Riverbrook Publishing</v>
      </c>
      <c r="H1805" s="2">
        <f t="array" ref="H1805">_xlfn.XLOOKUP(A1807,Product!A:A,Product!E:E,"Bulunamadı")</f>
        <v>1.27</v>
      </c>
      <c r="I1805" s="2" t="str">
        <f t="shared" si="1"/>
        <v>89533 - Law - Motivation</v>
      </c>
      <c r="J1805" s="2">
        <f t="shared" si="2"/>
        <v>167.64</v>
      </c>
      <c r="K1805" s="17">
        <f t="shared" si="3"/>
        <v>1</v>
      </c>
      <c r="L1805" s="18"/>
    </row>
    <row r="1806" hidden="1">
      <c r="A1806" s="2">
        <f>IFERROR(__xludf.DUMMYFUNCTION("""COMPUTED_VALUE"""),73381.0)</f>
        <v>73381</v>
      </c>
      <c r="B1806" s="2">
        <f>IFERROR(__xludf.DUMMYFUNCTION("""COMPUTED_VALUE"""),1.0)</f>
        <v>1</v>
      </c>
      <c r="C1806" s="2">
        <f>IFERROR(__xludf.DUMMYFUNCTION("""COMPUTED_VALUE"""),449.0)</f>
        <v>449</v>
      </c>
      <c r="D1806" s="3">
        <f>IFERROR(__xludf.DUMMYFUNCTION("""COMPUTED_VALUE"""),209.0)</f>
        <v>209</v>
      </c>
      <c r="E1806" s="1" t="str">
        <f t="array" ref="E1806">_xlfn.XLOOKUP(A1806,Product!A:A,Product!B:B,"Bulunamadı")</f>
        <v>Law</v>
      </c>
      <c r="F1806" s="1" t="str">
        <f t="array" ref="F1806">_xlfn.XLOOKUP(A1806,Product!A:A,Product!C:C,"Bulunamadı")</f>
        <v>Motivation</v>
      </c>
      <c r="G1806" s="2" t="str">
        <f t="array" ref="G1806">_xlfn.XLOOKUP(A1807,Product!A:A,Product!D:D,"Bulunamadı")</f>
        <v>Riverbrook Publishing</v>
      </c>
      <c r="H1806" s="2">
        <f t="array" ref="H1806">_xlfn.XLOOKUP(A1808,Product!A:A,Product!E:E,"Bulunamadı")</f>
        <v>1.27</v>
      </c>
      <c r="I1806" s="2" t="str">
        <f t="shared" si="1"/>
        <v>73381 - Law - Motivation</v>
      </c>
      <c r="J1806" s="2">
        <f t="shared" si="2"/>
        <v>265.43</v>
      </c>
      <c r="K1806" s="17">
        <f t="shared" si="3"/>
        <v>1</v>
      </c>
      <c r="L1806" s="18"/>
    </row>
    <row r="1807" hidden="1">
      <c r="A1807" s="2">
        <f>IFERROR(__xludf.DUMMYFUNCTION("""COMPUTED_VALUE"""),26096.0)</f>
        <v>26096</v>
      </c>
      <c r="B1807" s="2">
        <f>IFERROR(__xludf.DUMMYFUNCTION("""COMPUTED_VALUE"""),0.0)</f>
        <v>0</v>
      </c>
      <c r="C1807" s="2">
        <f>IFERROR(__xludf.DUMMYFUNCTION("""COMPUTED_VALUE"""),620.0)</f>
        <v>620</v>
      </c>
      <c r="D1807" s="3">
        <f>IFERROR(__xludf.DUMMYFUNCTION("""COMPUTED_VALUE"""),437.0)</f>
        <v>437</v>
      </c>
      <c r="E1807" s="1" t="str">
        <f t="array" ref="E1807">_xlfn.XLOOKUP(A1807,Product!A:A,Product!B:B,"Bulunamadı")</f>
        <v>Law</v>
      </c>
      <c r="F1807" s="1" t="str">
        <f t="array" ref="F1807">_xlfn.XLOOKUP(A1807,Product!A:A,Product!C:C,"Bulunamadı")</f>
        <v>Motivation</v>
      </c>
      <c r="G1807" s="2" t="str">
        <f t="array" ref="G1807">_xlfn.XLOOKUP(A1808,Product!A:A,Product!D:D,"Bulunamadı")</f>
        <v>Riverbrook Publishing</v>
      </c>
      <c r="H1807" s="2">
        <f t="array" ref="H1807">_xlfn.XLOOKUP(A1809,Product!A:A,Product!E:E,"Bulunamadı")</f>
        <v>0.7</v>
      </c>
      <c r="I1807" s="2" t="str">
        <f t="shared" si="1"/>
        <v>26096 - Law - Motivation</v>
      </c>
      <c r="J1807" s="2">
        <f t="shared" si="2"/>
        <v>305.9</v>
      </c>
      <c r="K1807" s="17">
        <f t="shared" si="3"/>
        <v>1</v>
      </c>
      <c r="L1807" s="18"/>
    </row>
    <row r="1808" hidden="1">
      <c r="A1808" s="2">
        <f>IFERROR(__xludf.DUMMYFUNCTION("""COMPUTED_VALUE"""),119050.0)</f>
        <v>119050</v>
      </c>
      <c r="B1808" s="2">
        <f>IFERROR(__xludf.DUMMYFUNCTION("""COMPUTED_VALUE"""),0.0)</f>
        <v>0</v>
      </c>
      <c r="C1808" s="2">
        <f>IFERROR(__xludf.DUMMYFUNCTION("""COMPUTED_VALUE"""),788.0)</f>
        <v>788</v>
      </c>
      <c r="D1808" s="3">
        <f>IFERROR(__xludf.DUMMYFUNCTION("""COMPUTED_VALUE"""),182.0)</f>
        <v>182</v>
      </c>
      <c r="E1808" s="1" t="str">
        <f t="array" ref="E1808">_xlfn.XLOOKUP(A1808,Product!A:A,Product!B:B,"Bulunamadı")</f>
        <v>Law</v>
      </c>
      <c r="F1808" s="1" t="str">
        <f t="array" ref="F1808">_xlfn.XLOOKUP(A1808,Product!A:A,Product!C:C,"Bulunamadı")</f>
        <v>Motivation</v>
      </c>
      <c r="G1808" s="2" t="str">
        <f t="array" ref="G1808">_xlfn.XLOOKUP(A1809,Product!A:A,Product!D:D,"Bulunamadı")</f>
        <v>Riverbrook Publishing</v>
      </c>
      <c r="H1808" s="2">
        <f t="array" ref="H1808">_xlfn.XLOOKUP(A1810,Product!A:A,Product!E:E,"Bulunamadı")</f>
        <v>1.36</v>
      </c>
      <c r="I1808" s="2" t="str">
        <f t="shared" si="1"/>
        <v>119050 - Law - Motivation</v>
      </c>
      <c r="J1808" s="2">
        <f t="shared" si="2"/>
        <v>247.52</v>
      </c>
      <c r="K1808" s="17">
        <f t="shared" si="3"/>
        <v>1</v>
      </c>
      <c r="L1808" s="18"/>
    </row>
    <row r="1809" hidden="1">
      <c r="A1809" s="2">
        <f>IFERROR(__xludf.DUMMYFUNCTION("""COMPUTED_VALUE"""),44028.0)</f>
        <v>44028</v>
      </c>
      <c r="B1809" s="2">
        <f>IFERROR(__xludf.DUMMYFUNCTION("""COMPUTED_VALUE"""),1.0)</f>
        <v>1</v>
      </c>
      <c r="C1809" s="2">
        <f>IFERROR(__xludf.DUMMYFUNCTION("""COMPUTED_VALUE"""),813.0)</f>
        <v>813</v>
      </c>
      <c r="D1809" s="3">
        <f>IFERROR(__xludf.DUMMYFUNCTION("""COMPUTED_VALUE"""),494.0)</f>
        <v>494</v>
      </c>
      <c r="E1809" s="1" t="str">
        <f t="array" ref="E1809">_xlfn.XLOOKUP(A1809,Product!A:A,Product!B:B,"Bulunamadı")</f>
        <v>Law</v>
      </c>
      <c r="F1809" s="1" t="str">
        <f t="array" ref="F1809">_xlfn.XLOOKUP(A1809,Product!A:A,Product!C:C,"Bulunamadı")</f>
        <v>Motivation</v>
      </c>
      <c r="G1809" s="2" t="str">
        <f t="array" ref="G1809">_xlfn.XLOOKUP(A1810,Product!A:A,Product!D:D,"Bulunamadı")</f>
        <v>Riverbrook Publishing</v>
      </c>
      <c r="H1809" s="2">
        <f t="array" ref="H1809">_xlfn.XLOOKUP(A1811,Product!A:A,Product!E:E,"Bulunamadı")</f>
        <v>1.09</v>
      </c>
      <c r="I1809" s="2" t="str">
        <f t="shared" si="1"/>
        <v>44028 - Law - Motivation</v>
      </c>
      <c r="J1809" s="2">
        <f t="shared" si="2"/>
        <v>538.46</v>
      </c>
      <c r="K1809" s="17">
        <f t="shared" si="3"/>
        <v>1</v>
      </c>
      <c r="L1809" s="18"/>
    </row>
    <row r="1810" hidden="1">
      <c r="A1810" s="2">
        <f>IFERROR(__xludf.DUMMYFUNCTION("""COMPUTED_VALUE"""),73572.0)</f>
        <v>73572</v>
      </c>
      <c r="B1810" s="2">
        <f>IFERROR(__xludf.DUMMYFUNCTION("""COMPUTED_VALUE"""),0.0)</f>
        <v>0</v>
      </c>
      <c r="C1810" s="2">
        <f>IFERROR(__xludf.DUMMYFUNCTION("""COMPUTED_VALUE"""),768.0)</f>
        <v>768</v>
      </c>
      <c r="D1810" s="3">
        <f>IFERROR(__xludf.DUMMYFUNCTION("""COMPUTED_VALUE"""),361.0)</f>
        <v>361</v>
      </c>
      <c r="E1810" s="1" t="str">
        <f t="array" ref="E1810">_xlfn.XLOOKUP(A1810,Product!A:A,Product!B:B,"Bulunamadı")</f>
        <v>Law</v>
      </c>
      <c r="F1810" s="1" t="str">
        <f t="array" ref="F1810">_xlfn.XLOOKUP(A1810,Product!A:A,Product!C:C,"Bulunamadı")</f>
        <v>Motivation</v>
      </c>
      <c r="G1810" s="2" t="str">
        <f t="array" ref="G1810">_xlfn.XLOOKUP(A1811,Product!A:A,Product!D:D,"Bulunamadı")</f>
        <v>Riverbrook Publishing</v>
      </c>
      <c r="H1810" s="2">
        <f t="array" ref="H1810">_xlfn.XLOOKUP(A1812,Product!A:A,Product!E:E,"Bulunamadı")</f>
        <v>1.92</v>
      </c>
      <c r="I1810" s="2" t="str">
        <f t="shared" si="1"/>
        <v>73572 - Law - Motivation</v>
      </c>
      <c r="J1810" s="2">
        <f t="shared" si="2"/>
        <v>693.12</v>
      </c>
      <c r="K1810" s="17">
        <f t="shared" si="3"/>
        <v>1</v>
      </c>
      <c r="L1810" s="18"/>
    </row>
    <row r="1811" hidden="1">
      <c r="A1811" s="2">
        <f>IFERROR(__xludf.DUMMYFUNCTION("""COMPUTED_VALUE"""),83083.0)</f>
        <v>83083</v>
      </c>
      <c r="B1811" s="2">
        <f>IFERROR(__xludf.DUMMYFUNCTION("""COMPUTED_VALUE"""),0.0)</f>
        <v>0</v>
      </c>
      <c r="C1811" s="2">
        <f>IFERROR(__xludf.DUMMYFUNCTION("""COMPUTED_VALUE"""),482.0)</f>
        <v>482</v>
      </c>
      <c r="D1811" s="3">
        <f>IFERROR(__xludf.DUMMYFUNCTION("""COMPUTED_VALUE"""),328.0)</f>
        <v>328</v>
      </c>
      <c r="E1811" s="1" t="str">
        <f t="array" ref="E1811">_xlfn.XLOOKUP(A1811,Product!A:A,Product!B:B,"Bulunamadı")</f>
        <v>Law</v>
      </c>
      <c r="F1811" s="1" t="str">
        <f t="array" ref="F1811">_xlfn.XLOOKUP(A1811,Product!A:A,Product!C:C,"Bulunamadı")</f>
        <v>Motivation</v>
      </c>
      <c r="G1811" s="2" t="str">
        <f t="array" ref="G1811">_xlfn.XLOOKUP(A1812,Product!A:A,Product!D:D,"Bulunamadı")</f>
        <v>Riverbrook Publishing</v>
      </c>
      <c r="H1811" s="2">
        <f t="array" ref="H1811">_xlfn.XLOOKUP(A1813,Product!A:A,Product!E:E,"Bulunamadı")</f>
        <v>1.94</v>
      </c>
      <c r="I1811" s="2" t="str">
        <f t="shared" si="1"/>
        <v>83083 - Law - Motivation</v>
      </c>
      <c r="J1811" s="2">
        <f t="shared" si="2"/>
        <v>636.32</v>
      </c>
      <c r="K1811" s="17">
        <f t="shared" si="3"/>
        <v>1</v>
      </c>
      <c r="L1811" s="18"/>
    </row>
    <row r="1812" hidden="1">
      <c r="A1812" s="2">
        <f>IFERROR(__xludf.DUMMYFUNCTION("""COMPUTED_VALUE"""),13338.0)</f>
        <v>13338</v>
      </c>
      <c r="B1812" s="2">
        <f>IFERROR(__xludf.DUMMYFUNCTION("""COMPUTED_VALUE"""),1.0)</f>
        <v>1</v>
      </c>
      <c r="C1812" s="2">
        <f>IFERROR(__xludf.DUMMYFUNCTION("""COMPUTED_VALUE"""),475.0)</f>
        <v>475</v>
      </c>
      <c r="D1812" s="3">
        <f>IFERROR(__xludf.DUMMYFUNCTION("""COMPUTED_VALUE"""),262.0)</f>
        <v>262</v>
      </c>
      <c r="E1812" s="1" t="str">
        <f t="array" ref="E1812">_xlfn.XLOOKUP(A1812,Product!A:A,Product!B:B,"Bulunamadı")</f>
        <v>Law</v>
      </c>
      <c r="F1812" s="1" t="str">
        <f t="array" ref="F1812">_xlfn.XLOOKUP(A1812,Product!A:A,Product!C:C,"Bulunamadı")</f>
        <v>Motivation</v>
      </c>
      <c r="G1812" s="2" t="str">
        <f t="array" ref="G1812">_xlfn.XLOOKUP(A1813,Product!A:A,Product!D:D,"Bulunamadı")</f>
        <v>Riverbrook Publishing</v>
      </c>
      <c r="H1812" s="2">
        <f t="array" ref="H1812">_xlfn.XLOOKUP(A1814,Product!A:A,Product!E:E,"Bulunamadı")</f>
        <v>1.09</v>
      </c>
      <c r="I1812" s="2" t="str">
        <f t="shared" si="1"/>
        <v>13338 - Law - Motivation</v>
      </c>
      <c r="J1812" s="2">
        <f t="shared" si="2"/>
        <v>285.58</v>
      </c>
      <c r="K1812" s="17">
        <f t="shared" si="3"/>
        <v>1</v>
      </c>
      <c r="L1812" s="18"/>
    </row>
    <row r="1813" hidden="1">
      <c r="A1813" s="2">
        <f>IFERROR(__xludf.DUMMYFUNCTION("""COMPUTED_VALUE"""),83418.0)</f>
        <v>83418</v>
      </c>
      <c r="B1813" s="2">
        <f>IFERROR(__xludf.DUMMYFUNCTION("""COMPUTED_VALUE"""),1.0)</f>
        <v>1</v>
      </c>
      <c r="C1813" s="2">
        <f>IFERROR(__xludf.DUMMYFUNCTION("""COMPUTED_VALUE"""),486.0)</f>
        <v>486</v>
      </c>
      <c r="D1813" s="3">
        <f>IFERROR(__xludf.DUMMYFUNCTION("""COMPUTED_VALUE"""),386.0)</f>
        <v>386</v>
      </c>
      <c r="E1813" s="1" t="str">
        <f t="array" ref="E1813">_xlfn.XLOOKUP(A1813,Product!A:A,Product!B:B,"Bulunamadı")</f>
        <v>Law</v>
      </c>
      <c r="F1813" s="1" t="str">
        <f t="array" ref="F1813">_xlfn.XLOOKUP(A1813,Product!A:A,Product!C:C,"Bulunamadı")</f>
        <v>Motivation</v>
      </c>
      <c r="G1813" s="2" t="str">
        <f t="array" ref="G1813">_xlfn.XLOOKUP(A1814,Product!A:A,Product!D:D,"Bulunamadı")</f>
        <v>Riverbrook Publishing</v>
      </c>
      <c r="H1813" s="2">
        <f t="array" ref="H1813">_xlfn.XLOOKUP(A1815,Product!A:A,Product!E:E,"Bulunamadı")</f>
        <v>1.35</v>
      </c>
      <c r="I1813" s="2" t="str">
        <f t="shared" si="1"/>
        <v>83418 - Law - Motivation</v>
      </c>
      <c r="J1813" s="2">
        <f t="shared" si="2"/>
        <v>521.1</v>
      </c>
      <c r="K1813" s="17">
        <f t="shared" si="3"/>
        <v>1</v>
      </c>
      <c r="L1813" s="18"/>
    </row>
    <row r="1814" hidden="1">
      <c r="A1814" s="2">
        <f>IFERROR(__xludf.DUMMYFUNCTION("""COMPUTED_VALUE"""),68640.0)</f>
        <v>68640</v>
      </c>
      <c r="B1814" s="2">
        <f>IFERROR(__xludf.DUMMYFUNCTION("""COMPUTED_VALUE"""),0.0)</f>
        <v>0</v>
      </c>
      <c r="C1814" s="2">
        <f>IFERROR(__xludf.DUMMYFUNCTION("""COMPUTED_VALUE"""),943.0)</f>
        <v>943</v>
      </c>
      <c r="D1814" s="3">
        <f>IFERROR(__xludf.DUMMYFUNCTION("""COMPUTED_VALUE"""),167.0)</f>
        <v>167</v>
      </c>
      <c r="E1814" s="1" t="str">
        <f t="array" ref="E1814">_xlfn.XLOOKUP(A1814,Product!A:A,Product!B:B,"Bulunamadı")</f>
        <v>Law</v>
      </c>
      <c r="F1814" s="1" t="str">
        <f t="array" ref="F1814">_xlfn.XLOOKUP(A1814,Product!A:A,Product!C:C,"Bulunamadı")</f>
        <v>Motivation</v>
      </c>
      <c r="G1814" s="2" t="str">
        <f t="array" ref="G1814">_xlfn.XLOOKUP(A1815,Product!A:A,Product!D:D,"Bulunamadı")</f>
        <v>Riverbrook Publishing</v>
      </c>
      <c r="H1814" s="2">
        <f t="array" ref="H1814">_xlfn.XLOOKUP(A1816,Product!A:A,Product!E:E,"Bulunamadı")</f>
        <v>1.25</v>
      </c>
      <c r="I1814" s="2" t="str">
        <f t="shared" si="1"/>
        <v>68640 - Law - Motivation</v>
      </c>
      <c r="J1814" s="2">
        <f t="shared" si="2"/>
        <v>208.75</v>
      </c>
      <c r="K1814" s="17">
        <f t="shared" si="3"/>
        <v>1</v>
      </c>
      <c r="L1814" s="18"/>
    </row>
    <row r="1815" hidden="1">
      <c r="A1815" s="2">
        <f>IFERROR(__xludf.DUMMYFUNCTION("""COMPUTED_VALUE"""),10647.0)</f>
        <v>10647</v>
      </c>
      <c r="B1815" s="2">
        <f>IFERROR(__xludf.DUMMYFUNCTION("""COMPUTED_VALUE"""),1.0)</f>
        <v>1</v>
      </c>
      <c r="C1815" s="2">
        <f>IFERROR(__xludf.DUMMYFUNCTION("""COMPUTED_VALUE"""),462.0)</f>
        <v>462</v>
      </c>
      <c r="D1815" s="3">
        <f>IFERROR(__xludf.DUMMYFUNCTION("""COMPUTED_VALUE"""),387.0)</f>
        <v>387</v>
      </c>
      <c r="E1815" s="1" t="str">
        <f t="array" ref="E1815">_xlfn.XLOOKUP(A1815,Product!A:A,Product!B:B,"Bulunamadı")</f>
        <v>Law</v>
      </c>
      <c r="F1815" s="1" t="str">
        <f t="array" ref="F1815">_xlfn.XLOOKUP(A1815,Product!A:A,Product!C:C,"Bulunamadı")</f>
        <v>Motivation</v>
      </c>
      <c r="G1815" s="2" t="str">
        <f t="array" ref="G1815">_xlfn.XLOOKUP(A1816,Product!A:A,Product!D:D,"Bulunamadı")</f>
        <v>Riverbrook Publishing</v>
      </c>
      <c r="H1815" s="2">
        <f t="array" ref="H1815">_xlfn.XLOOKUP(A1817,Product!A:A,Product!E:E,"Bulunamadı")</f>
        <v>1.62</v>
      </c>
      <c r="I1815" s="2" t="str">
        <f t="shared" si="1"/>
        <v>10647 - Law - Motivation</v>
      </c>
      <c r="J1815" s="2">
        <f t="shared" si="2"/>
        <v>626.94</v>
      </c>
      <c r="K1815" s="17">
        <f t="shared" si="3"/>
        <v>1</v>
      </c>
      <c r="L1815" s="18"/>
    </row>
    <row r="1816" hidden="1">
      <c r="A1816" s="2">
        <f>IFERROR(__xludf.DUMMYFUNCTION("""COMPUTED_VALUE"""),85884.0)</f>
        <v>85884</v>
      </c>
      <c r="B1816" s="2">
        <f>IFERROR(__xludf.DUMMYFUNCTION("""COMPUTED_VALUE"""),0.0)</f>
        <v>0</v>
      </c>
      <c r="C1816" s="2">
        <f>IFERROR(__xludf.DUMMYFUNCTION("""COMPUTED_VALUE"""),865.0)</f>
        <v>865</v>
      </c>
      <c r="D1816" s="3">
        <f>IFERROR(__xludf.DUMMYFUNCTION("""COMPUTED_VALUE"""),494.0)</f>
        <v>494</v>
      </c>
      <c r="E1816" s="1" t="str">
        <f t="array" ref="E1816">_xlfn.XLOOKUP(A1816,Product!A:A,Product!B:B,"Bulunamadı")</f>
        <v>Law</v>
      </c>
      <c r="F1816" s="1" t="str">
        <f t="array" ref="F1816">_xlfn.XLOOKUP(A1816,Product!A:A,Product!C:C,"Bulunamadı")</f>
        <v>Motivation</v>
      </c>
      <c r="G1816" s="2" t="str">
        <f t="array" ref="G1816">_xlfn.XLOOKUP(A1817,Product!A:A,Product!D:D,"Bulunamadı")</f>
        <v>Riverbrook Publishing</v>
      </c>
      <c r="H1816" s="2">
        <f t="array" ref="H1816">_xlfn.XLOOKUP(A1818,Product!A:A,Product!E:E,"Bulunamadı")</f>
        <v>1.11</v>
      </c>
      <c r="I1816" s="2" t="str">
        <f t="shared" si="1"/>
        <v>85884 - Law - Motivation</v>
      </c>
      <c r="J1816" s="2">
        <f t="shared" si="2"/>
        <v>548.34</v>
      </c>
      <c r="K1816" s="17">
        <f t="shared" si="3"/>
        <v>1</v>
      </c>
      <c r="L1816" s="18"/>
    </row>
    <row r="1817" hidden="1">
      <c r="A1817" s="2">
        <f>IFERROR(__xludf.DUMMYFUNCTION("""COMPUTED_VALUE"""),113933.0)</f>
        <v>113933</v>
      </c>
      <c r="B1817" s="2">
        <f>IFERROR(__xludf.DUMMYFUNCTION("""COMPUTED_VALUE"""),0.0)</f>
        <v>0</v>
      </c>
      <c r="C1817" s="2">
        <f>IFERROR(__xludf.DUMMYFUNCTION("""COMPUTED_VALUE"""),809.0)</f>
        <v>809</v>
      </c>
      <c r="D1817" s="3">
        <f>IFERROR(__xludf.DUMMYFUNCTION("""COMPUTED_VALUE"""),41.0)</f>
        <v>41</v>
      </c>
      <c r="E1817" s="1" t="str">
        <f t="array" ref="E1817">_xlfn.XLOOKUP(A1817,Product!A:A,Product!B:B,"Bulunamadı")</f>
        <v>Law</v>
      </c>
      <c r="F1817" s="1" t="str">
        <f t="array" ref="F1817">_xlfn.XLOOKUP(A1817,Product!A:A,Product!C:C,"Bulunamadı")</f>
        <v>Motivation</v>
      </c>
      <c r="G1817" s="2" t="str">
        <f t="array" ref="G1817">_xlfn.XLOOKUP(A1818,Product!A:A,Product!D:D,"Bulunamadı")</f>
        <v>Riverbrook Publishing</v>
      </c>
      <c r="H1817" s="2">
        <f t="array" ref="H1817">_xlfn.XLOOKUP(A1819,Product!A:A,Product!E:E,"Bulunamadı")</f>
        <v>1.86</v>
      </c>
      <c r="I1817" s="2" t="str">
        <f t="shared" si="1"/>
        <v>113933 - Law - Motivation</v>
      </c>
      <c r="J1817" s="2">
        <f t="shared" si="2"/>
        <v>76.26</v>
      </c>
      <c r="K1817" s="17">
        <f t="shared" si="3"/>
        <v>1</v>
      </c>
      <c r="L1817" s="18"/>
    </row>
    <row r="1818" hidden="1">
      <c r="A1818" s="2">
        <f>IFERROR(__xludf.DUMMYFUNCTION("""COMPUTED_VALUE"""),188843.0)</f>
        <v>188843</v>
      </c>
      <c r="B1818" s="2">
        <f>IFERROR(__xludf.DUMMYFUNCTION("""COMPUTED_VALUE"""),1.0)</f>
        <v>1</v>
      </c>
      <c r="C1818" s="2">
        <f>IFERROR(__xludf.DUMMYFUNCTION("""COMPUTED_VALUE"""),375.0)</f>
        <v>375</v>
      </c>
      <c r="D1818" s="3">
        <f>IFERROR(__xludf.DUMMYFUNCTION("""COMPUTED_VALUE"""),106.0)</f>
        <v>106</v>
      </c>
      <c r="E1818" s="1" t="str">
        <f t="array" ref="E1818">_xlfn.XLOOKUP(A1818,Product!A:A,Product!B:B,"Bulunamadı")</f>
        <v>Law</v>
      </c>
      <c r="F1818" s="1" t="str">
        <f t="array" ref="F1818">_xlfn.XLOOKUP(A1818,Product!A:A,Product!C:C,"Bulunamadı")</f>
        <v>Motivation</v>
      </c>
      <c r="G1818" s="2" t="str">
        <f t="array" ref="G1818">_xlfn.XLOOKUP(A1819,Product!A:A,Product!D:D,"Bulunamadı")</f>
        <v>Riverbrook Publishing</v>
      </c>
      <c r="H1818" s="2">
        <f t="array" ref="H1818">_xlfn.XLOOKUP(A1820,Product!A:A,Product!E:E,"Bulunamadı")</f>
        <v>1.04</v>
      </c>
      <c r="I1818" s="2" t="str">
        <f t="shared" si="1"/>
        <v>188843 - Law - Motivation</v>
      </c>
      <c r="J1818" s="2">
        <f t="shared" si="2"/>
        <v>110.24</v>
      </c>
      <c r="K1818" s="17">
        <f t="shared" si="3"/>
        <v>1</v>
      </c>
      <c r="L1818" s="18"/>
    </row>
    <row r="1819" hidden="1">
      <c r="A1819" s="2">
        <f>IFERROR(__xludf.DUMMYFUNCTION("""COMPUTED_VALUE"""),13342.0)</f>
        <v>13342</v>
      </c>
      <c r="B1819" s="2">
        <f>IFERROR(__xludf.DUMMYFUNCTION("""COMPUTED_VALUE"""),0.0)</f>
        <v>0</v>
      </c>
      <c r="C1819" s="2">
        <f>IFERROR(__xludf.DUMMYFUNCTION("""COMPUTED_VALUE"""),857.0)</f>
        <v>857</v>
      </c>
      <c r="D1819" s="3">
        <f>IFERROR(__xludf.DUMMYFUNCTION("""COMPUTED_VALUE"""),14.0)</f>
        <v>14</v>
      </c>
      <c r="E1819" s="1" t="str">
        <f t="array" ref="E1819">_xlfn.XLOOKUP(A1819,Product!A:A,Product!B:B,"Bulunamadı")</f>
        <v>Law</v>
      </c>
      <c r="F1819" s="1" t="str">
        <f t="array" ref="F1819">_xlfn.XLOOKUP(A1819,Product!A:A,Product!C:C,"Bulunamadı")</f>
        <v>Motivation</v>
      </c>
      <c r="G1819" s="2" t="str">
        <f t="array" ref="G1819">_xlfn.XLOOKUP(A1820,Product!A:A,Product!D:D,"Bulunamadı")</f>
        <v>Riverbrook Publishing</v>
      </c>
      <c r="H1819" s="2">
        <f t="array" ref="H1819">_xlfn.XLOOKUP(A1821,Product!A:A,Product!E:E,"Bulunamadı")</f>
        <v>1.51</v>
      </c>
      <c r="I1819" s="2" t="str">
        <f t="shared" si="1"/>
        <v>13342 - Law - Motivation</v>
      </c>
      <c r="J1819" s="2">
        <f t="shared" si="2"/>
        <v>21.14</v>
      </c>
      <c r="K1819" s="17">
        <f t="shared" si="3"/>
        <v>1</v>
      </c>
      <c r="L1819" s="18"/>
    </row>
    <row r="1820" hidden="1">
      <c r="A1820" s="2">
        <f>IFERROR(__xludf.DUMMYFUNCTION("""COMPUTED_VALUE"""),83002.0)</f>
        <v>83002</v>
      </c>
      <c r="B1820" s="2">
        <f>IFERROR(__xludf.DUMMYFUNCTION("""COMPUTED_VALUE"""),0.0)</f>
        <v>0</v>
      </c>
      <c r="C1820" s="2">
        <f>IFERROR(__xludf.DUMMYFUNCTION("""COMPUTED_VALUE"""),571.0)</f>
        <v>571</v>
      </c>
      <c r="D1820" s="3">
        <f>IFERROR(__xludf.DUMMYFUNCTION("""COMPUTED_VALUE"""),142.0)</f>
        <v>142</v>
      </c>
      <c r="E1820" s="1" t="str">
        <f t="array" ref="E1820">_xlfn.XLOOKUP(A1820,Product!A:A,Product!B:B,"Bulunamadı")</f>
        <v>Law</v>
      </c>
      <c r="F1820" s="1" t="str">
        <f t="array" ref="F1820">_xlfn.XLOOKUP(A1820,Product!A:A,Product!C:C,"Bulunamadı")</f>
        <v>Motivation</v>
      </c>
      <c r="G1820" s="2" t="str">
        <f t="array" ref="G1820">_xlfn.XLOOKUP(A1821,Product!A:A,Product!D:D,"Bulunamadı")</f>
        <v>Riverbrook Publishing</v>
      </c>
      <c r="H1820" s="2">
        <f t="array" ref="H1820">_xlfn.XLOOKUP(A1822,Product!A:A,Product!E:E,"Bulunamadı")</f>
        <v>1.43</v>
      </c>
      <c r="I1820" s="2" t="str">
        <f t="shared" si="1"/>
        <v>83002 - Law - Motivation</v>
      </c>
      <c r="J1820" s="2">
        <f t="shared" si="2"/>
        <v>203.06</v>
      </c>
      <c r="K1820" s="17">
        <f t="shared" si="3"/>
        <v>1</v>
      </c>
      <c r="L1820" s="18"/>
    </row>
    <row r="1821" hidden="1">
      <c r="A1821" s="2">
        <f>IFERROR(__xludf.DUMMYFUNCTION("""COMPUTED_VALUE"""),112860.0)</f>
        <v>112860</v>
      </c>
      <c r="B1821" s="2">
        <f>IFERROR(__xludf.DUMMYFUNCTION("""COMPUTED_VALUE"""),1.0)</f>
        <v>1</v>
      </c>
      <c r="C1821" s="2">
        <f>IFERROR(__xludf.DUMMYFUNCTION("""COMPUTED_VALUE"""),381.0)</f>
        <v>381</v>
      </c>
      <c r="D1821" s="3">
        <f>IFERROR(__xludf.DUMMYFUNCTION("""COMPUTED_VALUE"""),179.0)</f>
        <v>179</v>
      </c>
      <c r="E1821" s="1" t="str">
        <f t="array" ref="E1821">_xlfn.XLOOKUP(A1821,Product!A:A,Product!B:B,"Bulunamadı")</f>
        <v>Law</v>
      </c>
      <c r="F1821" s="1" t="str">
        <f t="array" ref="F1821">_xlfn.XLOOKUP(A1821,Product!A:A,Product!C:C,"Bulunamadı")</f>
        <v>Motivation</v>
      </c>
      <c r="G1821" s="2" t="str">
        <f t="array" ref="G1821">_xlfn.XLOOKUP(A1822,Product!A:A,Product!D:D,"Bulunamadı")</f>
        <v>Riverbrook Publishing</v>
      </c>
      <c r="H1821" s="2">
        <f t="array" ref="H1821">_xlfn.XLOOKUP(A1823,Product!A:A,Product!E:E,"Bulunamadı")</f>
        <v>1.3</v>
      </c>
      <c r="I1821" s="2" t="str">
        <f t="shared" si="1"/>
        <v>112860 - Law - Motivation</v>
      </c>
      <c r="J1821" s="2">
        <f t="shared" si="2"/>
        <v>232.7</v>
      </c>
      <c r="K1821" s="17">
        <f t="shared" si="3"/>
        <v>1</v>
      </c>
      <c r="L1821" s="18"/>
    </row>
    <row r="1822" hidden="1">
      <c r="A1822" s="2">
        <f>IFERROR(__xludf.DUMMYFUNCTION("""COMPUTED_VALUE"""),118374.0)</f>
        <v>118374</v>
      </c>
      <c r="B1822" s="2">
        <f>IFERROR(__xludf.DUMMYFUNCTION("""COMPUTED_VALUE"""),1.0)</f>
        <v>1</v>
      </c>
      <c r="C1822" s="2">
        <f>IFERROR(__xludf.DUMMYFUNCTION("""COMPUTED_VALUE"""),517.0)</f>
        <v>517</v>
      </c>
      <c r="D1822" s="3">
        <f>IFERROR(__xludf.DUMMYFUNCTION("""COMPUTED_VALUE"""),339.0)</f>
        <v>339</v>
      </c>
      <c r="E1822" s="1" t="str">
        <f t="array" ref="E1822">_xlfn.XLOOKUP(A1822,Product!A:A,Product!B:B,"Bulunamadı")</f>
        <v>Law</v>
      </c>
      <c r="F1822" s="1" t="str">
        <f t="array" ref="F1822">_xlfn.XLOOKUP(A1822,Product!A:A,Product!C:C,"Bulunamadı")</f>
        <v>Motivation</v>
      </c>
      <c r="G1822" s="2" t="str">
        <f t="array" ref="G1822">_xlfn.XLOOKUP(A1823,Product!A:A,Product!D:D,"Bulunamadı")</f>
        <v>Riverbrook Publishing</v>
      </c>
      <c r="H1822" s="2">
        <f t="array" ref="H1822">_xlfn.XLOOKUP(A1824,Product!A:A,Product!E:E,"Bulunamadı")</f>
        <v>2.16</v>
      </c>
      <c r="I1822" s="2" t="str">
        <f t="shared" si="1"/>
        <v>118374 - Law - Motivation</v>
      </c>
      <c r="J1822" s="2">
        <f t="shared" si="2"/>
        <v>732.24</v>
      </c>
      <c r="K1822" s="17">
        <f t="shared" si="3"/>
        <v>1</v>
      </c>
      <c r="L1822" s="18"/>
    </row>
    <row r="1823" hidden="1">
      <c r="A1823" s="2">
        <f>IFERROR(__xludf.DUMMYFUNCTION("""COMPUTED_VALUE"""),119049.0)</f>
        <v>119049</v>
      </c>
      <c r="B1823" s="2">
        <f>IFERROR(__xludf.DUMMYFUNCTION("""COMPUTED_VALUE"""),0.0)</f>
        <v>0</v>
      </c>
      <c r="C1823" s="2">
        <f>IFERROR(__xludf.DUMMYFUNCTION("""COMPUTED_VALUE"""),633.0)</f>
        <v>633</v>
      </c>
      <c r="D1823" s="3">
        <f>IFERROR(__xludf.DUMMYFUNCTION("""COMPUTED_VALUE"""),310.0)</f>
        <v>310</v>
      </c>
      <c r="E1823" s="1" t="str">
        <f t="array" ref="E1823">_xlfn.XLOOKUP(A1823,Product!A:A,Product!B:B,"Bulunamadı")</f>
        <v>Law</v>
      </c>
      <c r="F1823" s="1" t="str">
        <f t="array" ref="F1823">_xlfn.XLOOKUP(A1823,Product!A:A,Product!C:C,"Bulunamadı")</f>
        <v>Motivation</v>
      </c>
      <c r="G1823" s="2" t="str">
        <f t="array" ref="G1823">_xlfn.XLOOKUP(A1824,Product!A:A,Product!D:D,"Bulunamadı")</f>
        <v>Riverbrook Publishing</v>
      </c>
      <c r="H1823" s="2">
        <f t="array" ref="H1823">_xlfn.XLOOKUP(A1825,Product!A:A,Product!E:E,"Bulunamadı")</f>
        <v>0.94</v>
      </c>
      <c r="I1823" s="2" t="str">
        <f t="shared" si="1"/>
        <v>119049 - Law - Motivation</v>
      </c>
      <c r="J1823" s="2">
        <f t="shared" si="2"/>
        <v>291.4</v>
      </c>
      <c r="K1823" s="17">
        <f t="shared" si="3"/>
        <v>1</v>
      </c>
      <c r="L1823" s="18"/>
    </row>
    <row r="1824" hidden="1">
      <c r="A1824" s="2">
        <f>IFERROR(__xludf.DUMMYFUNCTION("""COMPUTED_VALUE"""),120964.0)</f>
        <v>120964</v>
      </c>
      <c r="B1824" s="2">
        <f>IFERROR(__xludf.DUMMYFUNCTION("""COMPUTED_VALUE"""),1.0)</f>
        <v>1</v>
      </c>
      <c r="C1824" s="2">
        <f>IFERROR(__xludf.DUMMYFUNCTION("""COMPUTED_VALUE"""),406.0)</f>
        <v>406</v>
      </c>
      <c r="D1824" s="3">
        <f>IFERROR(__xludf.DUMMYFUNCTION("""COMPUTED_VALUE"""),61.0)</f>
        <v>61</v>
      </c>
      <c r="E1824" s="1" t="str">
        <f t="array" ref="E1824">_xlfn.XLOOKUP(A1824,Product!A:A,Product!B:B,"Bulunamadı")</f>
        <v>Law</v>
      </c>
      <c r="F1824" s="1" t="str">
        <f t="array" ref="F1824">_xlfn.XLOOKUP(A1824,Product!A:A,Product!C:C,"Bulunamadı")</f>
        <v>Motivation</v>
      </c>
      <c r="G1824" s="2" t="str">
        <f t="array" ref="G1824">_xlfn.XLOOKUP(A1825,Product!A:A,Product!D:D,"Bulunamadı")</f>
        <v>Riverbrook Publishing</v>
      </c>
      <c r="H1824" s="2">
        <f t="array" ref="H1824">_xlfn.XLOOKUP(A1826,Product!A:A,Product!E:E,"Bulunamadı")</f>
        <v>0.63</v>
      </c>
      <c r="I1824" s="2" t="str">
        <f t="shared" si="1"/>
        <v>120964 - Law - Motivation</v>
      </c>
      <c r="J1824" s="2">
        <f t="shared" si="2"/>
        <v>38.43</v>
      </c>
      <c r="K1824" s="17">
        <f t="shared" si="3"/>
        <v>1</v>
      </c>
      <c r="L1824" s="18"/>
    </row>
    <row r="1825" hidden="1">
      <c r="A1825" s="2">
        <f>IFERROR(__xludf.DUMMYFUNCTION("""COMPUTED_VALUE"""),26093.0)</f>
        <v>26093</v>
      </c>
      <c r="B1825" s="2">
        <f>IFERROR(__xludf.DUMMYFUNCTION("""COMPUTED_VALUE"""),0.0)</f>
        <v>0</v>
      </c>
      <c r="C1825" s="2">
        <f>IFERROR(__xludf.DUMMYFUNCTION("""COMPUTED_VALUE"""),113.0)</f>
        <v>113</v>
      </c>
      <c r="D1825" s="3">
        <f>IFERROR(__xludf.DUMMYFUNCTION("""COMPUTED_VALUE"""),76.0)</f>
        <v>76</v>
      </c>
      <c r="E1825" s="1" t="str">
        <f t="array" ref="E1825">_xlfn.XLOOKUP(A1825,Product!A:A,Product!B:B,"Bulunamadı")</f>
        <v>Law</v>
      </c>
      <c r="F1825" s="1" t="str">
        <f t="array" ref="F1825">_xlfn.XLOOKUP(A1825,Product!A:A,Product!C:C,"Bulunamadı")</f>
        <v>Motivation</v>
      </c>
      <c r="G1825" s="2" t="str">
        <f t="array" ref="G1825">_xlfn.XLOOKUP(A1826,Product!A:A,Product!D:D,"Bulunamadı")</f>
        <v>Riverbrook Publishing</v>
      </c>
      <c r="H1825" s="2">
        <f t="array" ref="H1825">_xlfn.XLOOKUP(A1827,Product!A:A,Product!E:E,"Bulunamadı")</f>
        <v>2.13</v>
      </c>
      <c r="I1825" s="2" t="str">
        <f t="shared" si="1"/>
        <v>26093 - Law - Motivation</v>
      </c>
      <c r="J1825" s="2">
        <f t="shared" si="2"/>
        <v>161.88</v>
      </c>
      <c r="K1825" s="17">
        <f t="shared" si="3"/>
        <v>1</v>
      </c>
      <c r="L1825" s="18"/>
    </row>
    <row r="1826" hidden="1">
      <c r="A1826" s="2">
        <f>IFERROR(__xludf.DUMMYFUNCTION("""COMPUTED_VALUE"""),99311.0)</f>
        <v>99311</v>
      </c>
      <c r="B1826" s="2">
        <f>IFERROR(__xludf.DUMMYFUNCTION("""COMPUTED_VALUE"""),1.0)</f>
        <v>1</v>
      </c>
      <c r="C1826" s="2">
        <f>IFERROR(__xludf.DUMMYFUNCTION("""COMPUTED_VALUE"""),213.0)</f>
        <v>213</v>
      </c>
      <c r="D1826" s="3">
        <f>IFERROR(__xludf.DUMMYFUNCTION("""COMPUTED_VALUE"""),125.0)</f>
        <v>125</v>
      </c>
      <c r="E1826" s="1" t="str">
        <f t="array" ref="E1826">_xlfn.XLOOKUP(A1826,Product!A:A,Product!B:B,"Bulunamadı")</f>
        <v>Law</v>
      </c>
      <c r="F1826" s="1" t="str">
        <f t="array" ref="F1826">_xlfn.XLOOKUP(A1826,Product!A:A,Product!C:C,"Bulunamadı")</f>
        <v>Motivation</v>
      </c>
      <c r="G1826" s="2" t="str">
        <f t="array" ref="G1826">_xlfn.XLOOKUP(A1827,Product!A:A,Product!D:D,"Bulunamadı")</f>
        <v>Riverbrook Publishing</v>
      </c>
      <c r="H1826" s="2">
        <f t="array" ref="H1826">_xlfn.XLOOKUP(A1828,Product!A:A,Product!E:E,"Bulunamadı")</f>
        <v>1.17</v>
      </c>
      <c r="I1826" s="2" t="str">
        <f t="shared" si="1"/>
        <v>99311 - Law - Motivation</v>
      </c>
      <c r="J1826" s="2">
        <f t="shared" si="2"/>
        <v>146.25</v>
      </c>
      <c r="K1826" s="17">
        <f t="shared" si="3"/>
        <v>1</v>
      </c>
      <c r="L1826" s="18"/>
    </row>
    <row r="1827" hidden="1">
      <c r="A1827" s="2">
        <f>IFERROR(__xludf.DUMMYFUNCTION("""COMPUTED_VALUE"""),9131.0)</f>
        <v>9131</v>
      </c>
      <c r="B1827" s="2">
        <f>IFERROR(__xludf.DUMMYFUNCTION("""COMPUTED_VALUE"""),1.0)</f>
        <v>1</v>
      </c>
      <c r="C1827" s="2">
        <f>IFERROR(__xludf.DUMMYFUNCTION("""COMPUTED_VALUE"""),687.0)</f>
        <v>687</v>
      </c>
      <c r="D1827" s="3">
        <f>IFERROR(__xludf.DUMMYFUNCTION("""COMPUTED_VALUE"""),300.0)</f>
        <v>300</v>
      </c>
      <c r="E1827" s="1" t="str">
        <f t="array" ref="E1827">_xlfn.XLOOKUP(A1827,Product!A:A,Product!B:B,"Bulunamadı")</f>
        <v>Law</v>
      </c>
      <c r="F1827" s="1" t="str">
        <f t="array" ref="F1827">_xlfn.XLOOKUP(A1827,Product!A:A,Product!C:C,"Bulunamadı")</f>
        <v>Motivation</v>
      </c>
      <c r="G1827" s="2" t="str">
        <f t="array" ref="G1827">_xlfn.XLOOKUP(A1828,Product!A:A,Product!D:D,"Bulunamadı")</f>
        <v>Riverbrook Publishing</v>
      </c>
      <c r="H1827" s="2">
        <f t="array" ref="H1827">_xlfn.XLOOKUP(A1829,Product!A:A,Product!E:E,"Bulunamadı")</f>
        <v>1.27</v>
      </c>
      <c r="I1827" s="2" t="str">
        <f t="shared" si="1"/>
        <v>9131 - Law - Motivation</v>
      </c>
      <c r="J1827" s="2">
        <f t="shared" si="2"/>
        <v>381</v>
      </c>
      <c r="K1827" s="17">
        <f t="shared" si="3"/>
        <v>1</v>
      </c>
      <c r="L1827" s="18"/>
    </row>
    <row r="1828" hidden="1">
      <c r="A1828" s="2">
        <f>IFERROR(__xludf.DUMMYFUNCTION("""COMPUTED_VALUE"""),122167.0)</f>
        <v>122167</v>
      </c>
      <c r="B1828" s="2">
        <f>IFERROR(__xludf.DUMMYFUNCTION("""COMPUTED_VALUE"""),1.0)</f>
        <v>1</v>
      </c>
      <c r="C1828" s="2">
        <f>IFERROR(__xludf.DUMMYFUNCTION("""COMPUTED_VALUE"""),840.0)</f>
        <v>840</v>
      </c>
      <c r="D1828" s="3">
        <f>IFERROR(__xludf.DUMMYFUNCTION("""COMPUTED_VALUE"""),733.0)</f>
        <v>733</v>
      </c>
      <c r="E1828" s="1" t="str">
        <f t="array" ref="E1828">_xlfn.XLOOKUP(A1828,Product!A:A,Product!B:B,"Bulunamadı")</f>
        <v>Law</v>
      </c>
      <c r="F1828" s="1" t="str">
        <f t="array" ref="F1828">_xlfn.XLOOKUP(A1828,Product!A:A,Product!C:C,"Bulunamadı")</f>
        <v>Motivation</v>
      </c>
      <c r="G1828" s="2" t="str">
        <f t="array" ref="G1828">_xlfn.XLOOKUP(A1829,Product!A:A,Product!D:D,"Bulunamadı")</f>
        <v>Riverbrook Publishing</v>
      </c>
      <c r="H1828" s="2">
        <f t="array" ref="H1828">_xlfn.XLOOKUP(A1830,Product!A:A,Product!E:E,"Bulunamadı")</f>
        <v>1.75</v>
      </c>
      <c r="I1828" s="2" t="str">
        <f t="shared" si="1"/>
        <v>122167 - Law - Motivation</v>
      </c>
      <c r="J1828" s="2">
        <f t="shared" si="2"/>
        <v>1282.75</v>
      </c>
      <c r="K1828" s="17">
        <f t="shared" si="3"/>
        <v>1</v>
      </c>
      <c r="L1828" s="18"/>
    </row>
    <row r="1829" hidden="1">
      <c r="A1829" s="2">
        <f>IFERROR(__xludf.DUMMYFUNCTION("""COMPUTED_VALUE"""),10649.0)</f>
        <v>10649</v>
      </c>
      <c r="B1829" s="2">
        <f>IFERROR(__xludf.DUMMYFUNCTION("""COMPUTED_VALUE"""),1.0)</f>
        <v>1</v>
      </c>
      <c r="C1829" s="2">
        <f>IFERROR(__xludf.DUMMYFUNCTION("""COMPUTED_VALUE"""),739.0)</f>
        <v>739</v>
      </c>
      <c r="D1829" s="3">
        <f>IFERROR(__xludf.DUMMYFUNCTION("""COMPUTED_VALUE"""),737.0)</f>
        <v>737</v>
      </c>
      <c r="E1829" s="1" t="str">
        <f t="array" ref="E1829">_xlfn.XLOOKUP(A1829,Product!A:A,Product!B:B,"Bulunamadı")</f>
        <v>Law</v>
      </c>
      <c r="F1829" s="1" t="str">
        <f t="array" ref="F1829">_xlfn.XLOOKUP(A1829,Product!A:A,Product!C:C,"Bulunamadı")</f>
        <v>Motivation</v>
      </c>
      <c r="G1829" s="2" t="str">
        <f t="array" ref="G1829">_xlfn.XLOOKUP(A1830,Product!A:A,Product!D:D,"Bulunamadı")</f>
        <v>Riverbrook Publishing</v>
      </c>
      <c r="H1829" s="2">
        <f t="array" ref="H1829">_xlfn.XLOOKUP(A1831,Product!A:A,Product!E:E,"Bulunamadı")</f>
        <v>1.95</v>
      </c>
      <c r="I1829" s="2" t="str">
        <f t="shared" si="1"/>
        <v>10649 - Law - Motivation</v>
      </c>
      <c r="J1829" s="2">
        <f t="shared" si="2"/>
        <v>1437.15</v>
      </c>
      <c r="K1829" s="17">
        <f t="shared" si="3"/>
        <v>1</v>
      </c>
      <c r="L1829" s="18"/>
    </row>
    <row r="1830" hidden="1">
      <c r="A1830" s="2">
        <f>IFERROR(__xludf.DUMMYFUNCTION("""COMPUTED_VALUE"""),85875.0)</f>
        <v>85875</v>
      </c>
      <c r="B1830" s="2">
        <f>IFERROR(__xludf.DUMMYFUNCTION("""COMPUTED_VALUE"""),1.0)</f>
        <v>1</v>
      </c>
      <c r="C1830" s="2">
        <f>IFERROR(__xludf.DUMMYFUNCTION("""COMPUTED_VALUE"""),504.0)</f>
        <v>504</v>
      </c>
      <c r="D1830" s="3">
        <f>IFERROR(__xludf.DUMMYFUNCTION("""COMPUTED_VALUE"""),185.0)</f>
        <v>185</v>
      </c>
      <c r="E1830" s="1" t="str">
        <f t="array" ref="E1830">_xlfn.XLOOKUP(A1830,Product!A:A,Product!B:B,"Bulunamadı")</f>
        <v>Law</v>
      </c>
      <c r="F1830" s="1" t="str">
        <f t="array" ref="F1830">_xlfn.XLOOKUP(A1830,Product!A:A,Product!C:C,"Bulunamadı")</f>
        <v>Motivation</v>
      </c>
      <c r="G1830" s="2" t="str">
        <f t="array" ref="G1830">_xlfn.XLOOKUP(A1831,Product!A:A,Product!D:D,"Bulunamadı")</f>
        <v>Riverbrook Publishing</v>
      </c>
      <c r="H1830" s="2">
        <f t="array" ref="H1830">_xlfn.XLOOKUP(A1832,Product!A:A,Product!E:E,"Bulunamadı")</f>
        <v>1.46</v>
      </c>
      <c r="I1830" s="2" t="str">
        <f t="shared" si="1"/>
        <v>85875 - Law - Motivation</v>
      </c>
      <c r="J1830" s="2">
        <f t="shared" si="2"/>
        <v>270.1</v>
      </c>
      <c r="K1830" s="17">
        <f t="shared" si="3"/>
        <v>1</v>
      </c>
      <c r="L1830" s="18"/>
    </row>
    <row r="1831" hidden="1">
      <c r="A1831" s="2">
        <f>IFERROR(__xludf.DUMMYFUNCTION("""COMPUTED_VALUE"""),9136.0)</f>
        <v>9136</v>
      </c>
      <c r="B1831" s="2">
        <f>IFERROR(__xludf.DUMMYFUNCTION("""COMPUTED_VALUE"""),1.0)</f>
        <v>1</v>
      </c>
      <c r="C1831" s="2">
        <f>IFERROR(__xludf.DUMMYFUNCTION("""COMPUTED_VALUE"""),589.0)</f>
        <v>589</v>
      </c>
      <c r="D1831" s="3">
        <f>IFERROR(__xludf.DUMMYFUNCTION("""COMPUTED_VALUE"""),14.0)</f>
        <v>14</v>
      </c>
      <c r="E1831" s="1" t="str">
        <f t="array" ref="E1831">_xlfn.XLOOKUP(A1831,Product!A:A,Product!B:B,"Bulunamadı")</f>
        <v>Law</v>
      </c>
      <c r="F1831" s="1" t="str">
        <f t="array" ref="F1831">_xlfn.XLOOKUP(A1831,Product!A:A,Product!C:C,"Bulunamadı")</f>
        <v>Motivation</v>
      </c>
      <c r="G1831" s="2" t="str">
        <f t="array" ref="G1831">_xlfn.XLOOKUP(A1832,Product!A:A,Product!D:D,"Bulunamadı")</f>
        <v>Riverbrook Publishing</v>
      </c>
      <c r="H1831" s="2">
        <f t="array" ref="H1831">_xlfn.XLOOKUP(A1833,Product!A:A,Product!E:E,"Bulunamadı")</f>
        <v>3.36</v>
      </c>
      <c r="I1831" s="2" t="str">
        <f t="shared" si="1"/>
        <v>9136 - Law - Motivation</v>
      </c>
      <c r="J1831" s="2">
        <f t="shared" si="2"/>
        <v>47.04</v>
      </c>
      <c r="K1831" s="17">
        <f t="shared" si="3"/>
        <v>1</v>
      </c>
      <c r="L1831" s="18"/>
    </row>
    <row r="1832" hidden="1">
      <c r="A1832" s="2">
        <f>IFERROR(__xludf.DUMMYFUNCTION("""COMPUTED_VALUE"""),121835.0)</f>
        <v>121835</v>
      </c>
      <c r="B1832" s="2">
        <f>IFERROR(__xludf.DUMMYFUNCTION("""COMPUTED_VALUE"""),1.0)</f>
        <v>1</v>
      </c>
      <c r="C1832" s="2">
        <f>IFERROR(__xludf.DUMMYFUNCTION("""COMPUTED_VALUE"""),345.0)</f>
        <v>345</v>
      </c>
      <c r="D1832" s="3">
        <f>IFERROR(__xludf.DUMMYFUNCTION("""COMPUTED_VALUE"""),133.0)</f>
        <v>133</v>
      </c>
      <c r="E1832" s="1" t="str">
        <f t="array" ref="E1832">_xlfn.XLOOKUP(A1832,Product!A:A,Product!B:B,"Bulunamadı")</f>
        <v>Law</v>
      </c>
      <c r="F1832" s="1" t="str">
        <f t="array" ref="F1832">_xlfn.XLOOKUP(A1832,Product!A:A,Product!C:C,"Bulunamadı")</f>
        <v>Motivation</v>
      </c>
      <c r="G1832" s="2" t="str">
        <f t="array" ref="G1832">_xlfn.XLOOKUP(A1833,Product!A:A,Product!D:D,"Bulunamadı")</f>
        <v>Riverbrook Publishing</v>
      </c>
      <c r="H1832" s="2">
        <f t="array" ref="H1832">_xlfn.XLOOKUP(A1834,Product!A:A,Product!E:E,"Bulunamadı")</f>
        <v>1.37</v>
      </c>
      <c r="I1832" s="2" t="str">
        <f t="shared" si="1"/>
        <v>121835 - Law - Motivation</v>
      </c>
      <c r="J1832" s="2">
        <f t="shared" si="2"/>
        <v>182.21</v>
      </c>
      <c r="K1832" s="17">
        <f t="shared" si="3"/>
        <v>1</v>
      </c>
      <c r="L1832" s="18"/>
    </row>
    <row r="1833" hidden="1">
      <c r="A1833" s="2">
        <f>IFERROR(__xludf.DUMMYFUNCTION("""COMPUTED_VALUE"""),113934.0)</f>
        <v>113934</v>
      </c>
      <c r="B1833" s="2">
        <f>IFERROR(__xludf.DUMMYFUNCTION("""COMPUTED_VALUE"""),0.0)</f>
        <v>0</v>
      </c>
      <c r="C1833" s="2">
        <f>IFERROR(__xludf.DUMMYFUNCTION("""COMPUTED_VALUE"""),577.0)</f>
        <v>577</v>
      </c>
      <c r="D1833" s="3">
        <f>IFERROR(__xludf.DUMMYFUNCTION("""COMPUTED_VALUE"""),254.0)</f>
        <v>254</v>
      </c>
      <c r="E1833" s="1" t="str">
        <f t="array" ref="E1833">_xlfn.XLOOKUP(A1833,Product!A:A,Product!B:B,"Bulunamadı")</f>
        <v>Law</v>
      </c>
      <c r="F1833" s="1" t="str">
        <f t="array" ref="F1833">_xlfn.XLOOKUP(A1833,Product!A:A,Product!C:C,"Bulunamadı")</f>
        <v>Motivation</v>
      </c>
      <c r="G1833" s="2" t="str">
        <f t="array" ref="G1833">_xlfn.XLOOKUP(A1834,Product!A:A,Product!D:D,"Bulunamadı")</f>
        <v>Riverbrook Publishing</v>
      </c>
      <c r="H1833" s="2">
        <f t="array" ref="H1833">_xlfn.XLOOKUP(A1835,Product!A:A,Product!E:E,"Bulunamadı")</f>
        <v>1.32</v>
      </c>
      <c r="I1833" s="2" t="str">
        <f t="shared" si="1"/>
        <v>113934 - Law - Motivation</v>
      </c>
      <c r="J1833" s="2">
        <f t="shared" si="2"/>
        <v>335.28</v>
      </c>
      <c r="K1833" s="17">
        <f t="shared" si="3"/>
        <v>1</v>
      </c>
      <c r="L1833" s="18"/>
    </row>
    <row r="1834" hidden="1">
      <c r="A1834" s="2">
        <f>IFERROR(__xludf.DUMMYFUNCTION("""COMPUTED_VALUE"""),5750.0)</f>
        <v>5750</v>
      </c>
      <c r="B1834" s="2">
        <f>IFERROR(__xludf.DUMMYFUNCTION("""COMPUTED_VALUE"""),0.0)</f>
        <v>0</v>
      </c>
      <c r="C1834" s="2">
        <f>IFERROR(__xludf.DUMMYFUNCTION("""COMPUTED_VALUE"""),904.0)</f>
        <v>904</v>
      </c>
      <c r="D1834" s="3">
        <f>IFERROR(__xludf.DUMMYFUNCTION("""COMPUTED_VALUE"""),490.0)</f>
        <v>490</v>
      </c>
      <c r="E1834" s="1" t="str">
        <f t="array" ref="E1834">_xlfn.XLOOKUP(A1834,Product!A:A,Product!B:B,"Bulunamadı")</f>
        <v>Law</v>
      </c>
      <c r="F1834" s="1" t="str">
        <f t="array" ref="F1834">_xlfn.XLOOKUP(A1834,Product!A:A,Product!C:C,"Bulunamadı")</f>
        <v>Motivation</v>
      </c>
      <c r="G1834" s="2" t="str">
        <f t="array" ref="G1834">_xlfn.XLOOKUP(A1835,Product!A:A,Product!D:D,"Bulunamadı")</f>
        <v>Riverbrook Publishing</v>
      </c>
      <c r="H1834" s="2">
        <f t="array" ref="H1834">_xlfn.XLOOKUP(A1836,Product!A:A,Product!E:E,"Bulunamadı")</f>
        <v>1.55</v>
      </c>
      <c r="I1834" s="2" t="str">
        <f t="shared" si="1"/>
        <v>5750 - Law - Motivation</v>
      </c>
      <c r="J1834" s="2">
        <f t="shared" si="2"/>
        <v>759.5</v>
      </c>
      <c r="K1834" s="17">
        <f t="shared" si="3"/>
        <v>1</v>
      </c>
      <c r="L1834" s="18"/>
    </row>
    <row r="1835" hidden="1">
      <c r="A1835" s="2">
        <f>IFERROR(__xludf.DUMMYFUNCTION("""COMPUTED_VALUE"""),73390.0)</f>
        <v>73390</v>
      </c>
      <c r="B1835" s="2">
        <f>IFERROR(__xludf.DUMMYFUNCTION("""COMPUTED_VALUE"""),0.0)</f>
        <v>0</v>
      </c>
      <c r="C1835" s="2">
        <f>IFERROR(__xludf.DUMMYFUNCTION("""COMPUTED_VALUE"""),684.0)</f>
        <v>684</v>
      </c>
      <c r="D1835" s="3">
        <f>IFERROR(__xludf.DUMMYFUNCTION("""COMPUTED_VALUE"""),419.0)</f>
        <v>419</v>
      </c>
      <c r="E1835" s="1" t="str">
        <f t="array" ref="E1835">_xlfn.XLOOKUP(A1835,Product!A:A,Product!B:B,"Bulunamadı")</f>
        <v>Law</v>
      </c>
      <c r="F1835" s="1" t="str">
        <f t="array" ref="F1835">_xlfn.XLOOKUP(A1835,Product!A:A,Product!C:C,"Bulunamadı")</f>
        <v>Motivation</v>
      </c>
      <c r="G1835" s="2" t="str">
        <f t="array" ref="G1835">_xlfn.XLOOKUP(A1836,Product!A:A,Product!D:D,"Bulunamadı")</f>
        <v>Riverbrook Publishing</v>
      </c>
      <c r="H1835" s="2">
        <f t="array" ref="H1835">_xlfn.XLOOKUP(A1837,Product!A:A,Product!E:E,"Bulunamadı")</f>
        <v>1.45</v>
      </c>
      <c r="I1835" s="2" t="str">
        <f t="shared" si="1"/>
        <v>73390 - Law - Motivation</v>
      </c>
      <c r="J1835" s="2">
        <f t="shared" si="2"/>
        <v>607.55</v>
      </c>
      <c r="K1835" s="17">
        <f t="shared" si="3"/>
        <v>1</v>
      </c>
      <c r="L1835" s="18"/>
    </row>
    <row r="1836" hidden="1">
      <c r="A1836" s="2">
        <f>IFERROR(__xludf.DUMMYFUNCTION("""COMPUTED_VALUE"""),114251.0)</f>
        <v>114251</v>
      </c>
      <c r="B1836" s="2">
        <f>IFERROR(__xludf.DUMMYFUNCTION("""COMPUTED_VALUE"""),1.0)</f>
        <v>1</v>
      </c>
      <c r="C1836" s="2">
        <f>IFERROR(__xludf.DUMMYFUNCTION("""COMPUTED_VALUE"""),61.0)</f>
        <v>61</v>
      </c>
      <c r="D1836" s="3">
        <f>IFERROR(__xludf.DUMMYFUNCTION("""COMPUTED_VALUE"""),28.0)</f>
        <v>28</v>
      </c>
      <c r="E1836" s="1" t="str">
        <f t="array" ref="E1836">_xlfn.XLOOKUP(A1836,Product!A:A,Product!B:B,"Bulunamadı")</f>
        <v>Law</v>
      </c>
      <c r="F1836" s="1" t="str">
        <f t="array" ref="F1836">_xlfn.XLOOKUP(A1836,Product!A:A,Product!C:C,"Bulunamadı")</f>
        <v>Motivation</v>
      </c>
      <c r="G1836" s="2" t="str">
        <f t="array" ref="G1836">_xlfn.XLOOKUP(A1837,Product!A:A,Product!D:D,"Bulunamadı")</f>
        <v>Riverbrook Publishing</v>
      </c>
      <c r="H1836" s="2">
        <f t="array" ref="H1836">_xlfn.XLOOKUP(A1838,Product!A:A,Product!E:E,"Bulunamadı")</f>
        <v>1.52</v>
      </c>
      <c r="I1836" s="2" t="str">
        <f t="shared" si="1"/>
        <v>114251 - Law - Motivation</v>
      </c>
      <c r="J1836" s="2">
        <f t="shared" si="2"/>
        <v>42.56</v>
      </c>
      <c r="K1836" s="17">
        <f t="shared" si="3"/>
        <v>1</v>
      </c>
      <c r="L1836" s="18"/>
    </row>
    <row r="1837" hidden="1">
      <c r="A1837" s="2">
        <f>IFERROR(__xludf.DUMMYFUNCTION("""COMPUTED_VALUE"""),73392.0)</f>
        <v>73392</v>
      </c>
      <c r="B1837" s="2">
        <f>IFERROR(__xludf.DUMMYFUNCTION("""COMPUTED_VALUE"""),1.0)</f>
        <v>1</v>
      </c>
      <c r="C1837" s="2">
        <f>IFERROR(__xludf.DUMMYFUNCTION("""COMPUTED_VALUE"""),591.0)</f>
        <v>591</v>
      </c>
      <c r="D1837" s="3">
        <f>IFERROR(__xludf.DUMMYFUNCTION("""COMPUTED_VALUE"""),53.0)</f>
        <v>53</v>
      </c>
      <c r="E1837" s="1" t="str">
        <f t="array" ref="E1837">_xlfn.XLOOKUP(A1837,Product!A:A,Product!B:B,"Bulunamadı")</f>
        <v>Law</v>
      </c>
      <c r="F1837" s="1" t="str">
        <f t="array" ref="F1837">_xlfn.XLOOKUP(A1837,Product!A:A,Product!C:C,"Bulunamadı")</f>
        <v>Motivation</v>
      </c>
      <c r="G1837" s="2" t="str">
        <f t="array" ref="G1837">_xlfn.XLOOKUP(A1838,Product!A:A,Product!D:D,"Bulunamadı")</f>
        <v>Riverbrook Publishing</v>
      </c>
      <c r="H1837" s="2">
        <f t="array" ref="H1837">_xlfn.XLOOKUP(A1839,Product!A:A,Product!E:E,"Bulunamadı")</f>
        <v>1.87</v>
      </c>
      <c r="I1837" s="2" t="str">
        <f t="shared" si="1"/>
        <v>73392 - Law - Motivation</v>
      </c>
      <c r="J1837" s="2">
        <f t="shared" si="2"/>
        <v>99.11</v>
      </c>
      <c r="K1837" s="17">
        <f t="shared" si="3"/>
        <v>1</v>
      </c>
      <c r="L1837" s="18"/>
    </row>
    <row r="1838" hidden="1">
      <c r="A1838" s="2">
        <f>IFERROR(__xludf.DUMMYFUNCTION("""COMPUTED_VALUE"""),9128.0)</f>
        <v>9128</v>
      </c>
      <c r="B1838" s="2">
        <f>IFERROR(__xludf.DUMMYFUNCTION("""COMPUTED_VALUE"""),1.0)</f>
        <v>1</v>
      </c>
      <c r="C1838" s="2">
        <f>IFERROR(__xludf.DUMMYFUNCTION("""COMPUTED_VALUE"""),87.0)</f>
        <v>87</v>
      </c>
      <c r="D1838" s="3">
        <f>IFERROR(__xludf.DUMMYFUNCTION("""COMPUTED_VALUE"""),49.0)</f>
        <v>49</v>
      </c>
      <c r="E1838" s="1" t="str">
        <f t="array" ref="E1838">_xlfn.XLOOKUP(A1838,Product!A:A,Product!B:B,"Bulunamadı")</f>
        <v>Law</v>
      </c>
      <c r="F1838" s="1" t="str">
        <f t="array" ref="F1838">_xlfn.XLOOKUP(A1838,Product!A:A,Product!C:C,"Bulunamadı")</f>
        <v>Motivation</v>
      </c>
      <c r="G1838" s="2" t="str">
        <f t="array" ref="G1838">_xlfn.XLOOKUP(A1839,Product!A:A,Product!D:D,"Bulunamadı")</f>
        <v>Riverbrook Publishing</v>
      </c>
      <c r="H1838" s="2">
        <f t="array" ref="H1838">_xlfn.XLOOKUP(A1840,Product!A:A,Product!E:E,"Bulunamadı")</f>
        <v>2.21</v>
      </c>
      <c r="I1838" s="2" t="str">
        <f t="shared" si="1"/>
        <v>9128 - Law - Motivation</v>
      </c>
      <c r="J1838" s="2">
        <f t="shared" si="2"/>
        <v>108.29</v>
      </c>
      <c r="K1838" s="17">
        <f t="shared" si="3"/>
        <v>1</v>
      </c>
      <c r="L1838" s="18"/>
    </row>
    <row r="1839" hidden="1">
      <c r="A1839" s="2">
        <f>IFERROR(__xludf.DUMMYFUNCTION("""COMPUTED_VALUE"""),122672.0)</f>
        <v>122672</v>
      </c>
      <c r="B1839" s="2">
        <f>IFERROR(__xludf.DUMMYFUNCTION("""COMPUTED_VALUE"""),0.0)</f>
        <v>0</v>
      </c>
      <c r="C1839" s="2">
        <f>IFERROR(__xludf.DUMMYFUNCTION("""COMPUTED_VALUE"""),860.0)</f>
        <v>860</v>
      </c>
      <c r="D1839" s="3">
        <f>IFERROR(__xludf.DUMMYFUNCTION("""COMPUTED_VALUE"""),161.0)</f>
        <v>161</v>
      </c>
      <c r="E1839" s="1" t="str">
        <f t="array" ref="E1839">_xlfn.XLOOKUP(A1839,Product!A:A,Product!B:B,"Bulunamadı")</f>
        <v>Law</v>
      </c>
      <c r="F1839" s="1" t="str">
        <f t="array" ref="F1839">_xlfn.XLOOKUP(A1839,Product!A:A,Product!C:C,"Bulunamadı")</f>
        <v>Motivation</v>
      </c>
      <c r="G1839" s="2" t="str">
        <f t="array" ref="G1839">_xlfn.XLOOKUP(A1840,Product!A:A,Product!D:D,"Bulunamadı")</f>
        <v>Riverbrook Publishing</v>
      </c>
      <c r="H1839" s="2">
        <f t="array" ref="H1839">_xlfn.XLOOKUP(A1841,Product!A:A,Product!E:E,"Bulunamadı")</f>
        <v>1.85</v>
      </c>
      <c r="I1839" s="2" t="str">
        <f t="shared" si="1"/>
        <v>122672 - Law - Motivation</v>
      </c>
      <c r="J1839" s="2">
        <f t="shared" si="2"/>
        <v>297.85</v>
      </c>
      <c r="K1839" s="17">
        <f t="shared" si="3"/>
        <v>1</v>
      </c>
      <c r="L1839" s="18"/>
    </row>
    <row r="1840" hidden="1">
      <c r="A1840" s="2">
        <f>IFERROR(__xludf.DUMMYFUNCTION("""COMPUTED_VALUE"""),85857.0)</f>
        <v>85857</v>
      </c>
      <c r="B1840" s="2">
        <f>IFERROR(__xludf.DUMMYFUNCTION("""COMPUTED_VALUE"""),0.0)</f>
        <v>0</v>
      </c>
      <c r="C1840" s="2">
        <f>IFERROR(__xludf.DUMMYFUNCTION("""COMPUTED_VALUE"""),283.0)</f>
        <v>283</v>
      </c>
      <c r="D1840" s="3">
        <f>IFERROR(__xludf.DUMMYFUNCTION("""COMPUTED_VALUE"""),194.0)</f>
        <v>194</v>
      </c>
      <c r="E1840" s="1" t="str">
        <f t="array" ref="E1840">_xlfn.XLOOKUP(A1840,Product!A:A,Product!B:B,"Bulunamadı")</f>
        <v>Law</v>
      </c>
      <c r="F1840" s="1" t="str">
        <f t="array" ref="F1840">_xlfn.XLOOKUP(A1840,Product!A:A,Product!C:C,"Bulunamadı")</f>
        <v>Motivation</v>
      </c>
      <c r="G1840" s="2" t="str">
        <f t="array" ref="G1840">_xlfn.XLOOKUP(A1841,Product!A:A,Product!D:D,"Bulunamadı")</f>
        <v>Riverbrook Publishing</v>
      </c>
      <c r="H1840" s="2">
        <f t="array" ref="H1840">_xlfn.XLOOKUP(A1842,Product!A:A,Product!E:E,"Bulunamadı")</f>
        <v>1.5</v>
      </c>
      <c r="I1840" s="2" t="str">
        <f t="shared" si="1"/>
        <v>85857 - Law - Motivation</v>
      </c>
      <c r="J1840" s="2">
        <f t="shared" si="2"/>
        <v>291</v>
      </c>
      <c r="K1840" s="17">
        <f t="shared" si="3"/>
        <v>1</v>
      </c>
      <c r="L1840" s="18"/>
    </row>
    <row r="1841" hidden="1">
      <c r="A1841" s="2">
        <f>IFERROR(__xludf.DUMMYFUNCTION("""COMPUTED_VALUE"""),9129.0)</f>
        <v>9129</v>
      </c>
      <c r="B1841" s="2">
        <f>IFERROR(__xludf.DUMMYFUNCTION("""COMPUTED_VALUE"""),1.0)</f>
        <v>1</v>
      </c>
      <c r="C1841" s="2">
        <f>IFERROR(__xludf.DUMMYFUNCTION("""COMPUTED_VALUE"""),953.0)</f>
        <v>953</v>
      </c>
      <c r="D1841" s="3">
        <f>IFERROR(__xludf.DUMMYFUNCTION("""COMPUTED_VALUE"""),891.0)</f>
        <v>891</v>
      </c>
      <c r="E1841" s="1" t="str">
        <f t="array" ref="E1841">_xlfn.XLOOKUP(A1841,Product!A:A,Product!B:B,"Bulunamadı")</f>
        <v>Law</v>
      </c>
      <c r="F1841" s="1" t="str">
        <f t="array" ref="F1841">_xlfn.XLOOKUP(A1841,Product!A:A,Product!C:C,"Bulunamadı")</f>
        <v>Motivation</v>
      </c>
      <c r="G1841" s="2" t="str">
        <f t="array" ref="G1841">_xlfn.XLOOKUP(A1842,Product!A:A,Product!D:D,"Bulunamadı")</f>
        <v>Riverbrook Publishing</v>
      </c>
      <c r="H1841" s="2">
        <f t="array" ref="H1841">_xlfn.XLOOKUP(A1843,Product!A:A,Product!E:E,"Bulunamadı")</f>
        <v>1.44</v>
      </c>
      <c r="I1841" s="2" t="str">
        <f t="shared" si="1"/>
        <v>9129 - Law - Motivation</v>
      </c>
      <c r="J1841" s="2">
        <f t="shared" si="2"/>
        <v>1283.04</v>
      </c>
      <c r="K1841" s="17">
        <f t="shared" si="3"/>
        <v>1</v>
      </c>
      <c r="L1841" s="18"/>
    </row>
    <row r="1842" hidden="1">
      <c r="A1842" s="2">
        <f>IFERROR(__xludf.DUMMYFUNCTION("""COMPUTED_VALUE"""),162438.0)</f>
        <v>162438</v>
      </c>
      <c r="B1842" s="2">
        <f>IFERROR(__xludf.DUMMYFUNCTION("""COMPUTED_VALUE"""),1.0)</f>
        <v>1</v>
      </c>
      <c r="C1842" s="2">
        <f>IFERROR(__xludf.DUMMYFUNCTION("""COMPUTED_VALUE"""),502.0)</f>
        <v>502</v>
      </c>
      <c r="D1842" s="3">
        <f>IFERROR(__xludf.DUMMYFUNCTION("""COMPUTED_VALUE"""),484.0)</f>
        <v>484</v>
      </c>
      <c r="E1842" s="1" t="str">
        <f t="array" ref="E1842">_xlfn.XLOOKUP(A1842,Product!A:A,Product!B:B,"Bulunamadı")</f>
        <v>Law</v>
      </c>
      <c r="F1842" s="1" t="str">
        <f t="array" ref="F1842">_xlfn.XLOOKUP(A1842,Product!A:A,Product!C:C,"Bulunamadı")</f>
        <v>Motivation</v>
      </c>
      <c r="G1842" s="2" t="str">
        <f t="array" ref="G1842">_xlfn.XLOOKUP(A1843,Product!A:A,Product!D:D,"Bulunamadı")</f>
        <v>Riverbrook Publishing</v>
      </c>
      <c r="H1842" s="2">
        <f t="array" ref="H1842">_xlfn.XLOOKUP(A1844,Product!A:A,Product!E:E,"Bulunamadı")</f>
        <v>1.59</v>
      </c>
      <c r="I1842" s="2" t="str">
        <f t="shared" si="1"/>
        <v>162438 - Law - Motivation</v>
      </c>
      <c r="J1842" s="2">
        <f t="shared" si="2"/>
        <v>769.56</v>
      </c>
      <c r="K1842" s="17">
        <f t="shared" si="3"/>
        <v>1</v>
      </c>
      <c r="L1842" s="18"/>
    </row>
    <row r="1843" hidden="1">
      <c r="A1843" s="2">
        <f>IFERROR(__xludf.DUMMYFUNCTION("""COMPUTED_VALUE"""),73391.0)</f>
        <v>73391</v>
      </c>
      <c r="B1843" s="2">
        <f>IFERROR(__xludf.DUMMYFUNCTION("""COMPUTED_VALUE"""),0.0)</f>
        <v>0</v>
      </c>
      <c r="C1843" s="2">
        <f>IFERROR(__xludf.DUMMYFUNCTION("""COMPUTED_VALUE"""),924.0)</f>
        <v>924</v>
      </c>
      <c r="D1843" s="3">
        <f>IFERROR(__xludf.DUMMYFUNCTION("""COMPUTED_VALUE"""),193.0)</f>
        <v>193</v>
      </c>
      <c r="E1843" s="1" t="str">
        <f t="array" ref="E1843">_xlfn.XLOOKUP(A1843,Product!A:A,Product!B:B,"Bulunamadı")</f>
        <v>Law</v>
      </c>
      <c r="F1843" s="1" t="str">
        <f t="array" ref="F1843">_xlfn.XLOOKUP(A1843,Product!A:A,Product!C:C,"Bulunamadı")</f>
        <v>Motivation</v>
      </c>
      <c r="G1843" s="2" t="str">
        <f t="array" ref="G1843">_xlfn.XLOOKUP(A1844,Product!A:A,Product!D:D,"Bulunamadı")</f>
        <v>Riverbrook Publishing</v>
      </c>
      <c r="H1843" s="2">
        <f t="array" ref="H1843">_xlfn.XLOOKUP(A1845,Product!A:A,Product!E:E,"Bulunamadı")</f>
        <v>2.18</v>
      </c>
      <c r="I1843" s="2" t="str">
        <f t="shared" si="1"/>
        <v>73391 - Law - Motivation</v>
      </c>
      <c r="J1843" s="2">
        <f t="shared" si="2"/>
        <v>420.74</v>
      </c>
      <c r="K1843" s="17">
        <f t="shared" si="3"/>
        <v>1</v>
      </c>
      <c r="L1843" s="18"/>
    </row>
    <row r="1844" hidden="1">
      <c r="A1844" s="2">
        <f>IFERROR(__xludf.DUMMYFUNCTION("""COMPUTED_VALUE"""),46428.0)</f>
        <v>46428</v>
      </c>
      <c r="B1844" s="2">
        <f>IFERROR(__xludf.DUMMYFUNCTION("""COMPUTED_VALUE"""),0.0)</f>
        <v>0</v>
      </c>
      <c r="C1844" s="2">
        <f>IFERROR(__xludf.DUMMYFUNCTION("""COMPUTED_VALUE"""),770.0)</f>
        <v>770</v>
      </c>
      <c r="D1844" s="3">
        <f>IFERROR(__xludf.DUMMYFUNCTION("""COMPUTED_VALUE"""),405.0)</f>
        <v>405</v>
      </c>
      <c r="E1844" s="1" t="str">
        <f t="array" ref="E1844">_xlfn.XLOOKUP(A1844,Product!A:A,Product!B:B,"Bulunamadı")</f>
        <v>Law</v>
      </c>
      <c r="F1844" s="1" t="str">
        <f t="array" ref="F1844">_xlfn.XLOOKUP(A1844,Product!A:A,Product!C:C,"Bulunamadı")</f>
        <v>Motivation</v>
      </c>
      <c r="G1844" s="2" t="str">
        <f t="array" ref="G1844">_xlfn.XLOOKUP(A1845,Product!A:A,Product!D:D,"Bulunamadı")</f>
        <v>Riverbrook Publishing</v>
      </c>
      <c r="H1844" s="2">
        <f t="array" ref="H1844">_xlfn.XLOOKUP(A1846,Product!A:A,Product!E:E,"Bulunamadı")</f>
        <v>1.75</v>
      </c>
      <c r="I1844" s="2" t="str">
        <f t="shared" si="1"/>
        <v>46428 - Law - Motivation</v>
      </c>
      <c r="J1844" s="2">
        <f t="shared" si="2"/>
        <v>708.75</v>
      </c>
      <c r="K1844" s="17">
        <f t="shared" si="3"/>
        <v>1</v>
      </c>
      <c r="L1844" s="18"/>
    </row>
    <row r="1845" hidden="1">
      <c r="A1845" s="2">
        <f>IFERROR(__xludf.DUMMYFUNCTION("""COMPUTED_VALUE"""),85861.0)</f>
        <v>85861</v>
      </c>
      <c r="B1845" s="2">
        <f>IFERROR(__xludf.DUMMYFUNCTION("""COMPUTED_VALUE"""),0.0)</f>
        <v>0</v>
      </c>
      <c r="C1845" s="2">
        <f>IFERROR(__xludf.DUMMYFUNCTION("""COMPUTED_VALUE"""),779.0)</f>
        <v>779</v>
      </c>
      <c r="D1845" s="3">
        <f>IFERROR(__xludf.DUMMYFUNCTION("""COMPUTED_VALUE"""),170.0)</f>
        <v>170</v>
      </c>
      <c r="E1845" s="1" t="str">
        <f t="array" ref="E1845">_xlfn.XLOOKUP(A1845,Product!A:A,Product!B:B,"Bulunamadı")</f>
        <v>Law</v>
      </c>
      <c r="F1845" s="1" t="str">
        <f t="array" ref="F1845">_xlfn.XLOOKUP(A1845,Product!A:A,Product!C:C,"Bulunamadı")</f>
        <v>Motivation</v>
      </c>
      <c r="G1845" s="2" t="str">
        <f t="array" ref="G1845">_xlfn.XLOOKUP(A1846,Product!A:A,Product!D:D,"Bulunamadı")</f>
        <v>Riverbrook Publishing</v>
      </c>
      <c r="H1845" s="2">
        <f t="array" ref="H1845">_xlfn.XLOOKUP(A1847,Product!A:A,Product!E:E,"Bulunamadı")</f>
        <v>1.05</v>
      </c>
      <c r="I1845" s="2" t="str">
        <f t="shared" si="1"/>
        <v>85861 - Law - Motivation</v>
      </c>
      <c r="J1845" s="2">
        <f t="shared" si="2"/>
        <v>178.5</v>
      </c>
      <c r="K1845" s="17">
        <f t="shared" si="3"/>
        <v>1</v>
      </c>
      <c r="L1845" s="18"/>
    </row>
    <row r="1846" hidden="1">
      <c r="A1846" s="2">
        <f>IFERROR(__xludf.DUMMYFUNCTION("""COMPUTED_VALUE"""),69324.0)</f>
        <v>69324</v>
      </c>
      <c r="B1846" s="2">
        <f>IFERROR(__xludf.DUMMYFUNCTION("""COMPUTED_VALUE"""),1.0)</f>
        <v>1</v>
      </c>
      <c r="C1846" s="2">
        <f>IFERROR(__xludf.DUMMYFUNCTION("""COMPUTED_VALUE"""),169.0)</f>
        <v>169</v>
      </c>
      <c r="D1846" s="3">
        <f>IFERROR(__xludf.DUMMYFUNCTION("""COMPUTED_VALUE"""),8.0)</f>
        <v>8</v>
      </c>
      <c r="E1846" s="1" t="str">
        <f t="array" ref="E1846">_xlfn.XLOOKUP(A1846,Product!A:A,Product!B:B,"Bulunamadı")</f>
        <v>Law</v>
      </c>
      <c r="F1846" s="1" t="str">
        <f t="array" ref="F1846">_xlfn.XLOOKUP(A1846,Product!A:A,Product!C:C,"Bulunamadı")</f>
        <v>Motivation</v>
      </c>
      <c r="G1846" s="2" t="str">
        <f t="array" ref="G1846">_xlfn.XLOOKUP(A1847,Product!A:A,Product!D:D,"Bulunamadı")</f>
        <v>Riverbrook Publishing</v>
      </c>
      <c r="H1846" s="2">
        <f t="array" ref="H1846">_xlfn.XLOOKUP(A1848,Product!A:A,Product!E:E,"Bulunamadı")</f>
        <v>1.06</v>
      </c>
      <c r="I1846" s="2" t="str">
        <f t="shared" si="1"/>
        <v>69324 - Law - Motivation</v>
      </c>
      <c r="J1846" s="2">
        <f t="shared" si="2"/>
        <v>8.48</v>
      </c>
      <c r="K1846" s="17">
        <f t="shared" si="3"/>
        <v>1</v>
      </c>
      <c r="L1846" s="18"/>
    </row>
    <row r="1847" hidden="1">
      <c r="A1847" s="2">
        <f>IFERROR(__xludf.DUMMYFUNCTION("""COMPUTED_VALUE"""),122618.0)</f>
        <v>122618</v>
      </c>
      <c r="B1847" s="2">
        <f>IFERROR(__xludf.DUMMYFUNCTION("""COMPUTED_VALUE"""),1.0)</f>
        <v>1</v>
      </c>
      <c r="C1847" s="2">
        <f>IFERROR(__xludf.DUMMYFUNCTION("""COMPUTED_VALUE"""),860.0)</f>
        <v>860</v>
      </c>
      <c r="D1847" s="3">
        <f>IFERROR(__xludf.DUMMYFUNCTION("""COMPUTED_VALUE"""),426.0)</f>
        <v>426</v>
      </c>
      <c r="E1847" s="1" t="str">
        <f t="array" ref="E1847">_xlfn.XLOOKUP(A1847,Product!A:A,Product!B:B,"Bulunamadı")</f>
        <v>Law</v>
      </c>
      <c r="F1847" s="1" t="str">
        <f t="array" ref="F1847">_xlfn.XLOOKUP(A1847,Product!A:A,Product!C:C,"Bulunamadı")</f>
        <v>Motivation</v>
      </c>
      <c r="G1847" s="2" t="str">
        <f t="array" ref="G1847">_xlfn.XLOOKUP(A1848,Product!A:A,Product!D:D,"Bulunamadı")</f>
        <v>Riverbrook Publishing</v>
      </c>
      <c r="H1847" s="2">
        <f t="array" ref="H1847">_xlfn.XLOOKUP(A1849,Product!A:A,Product!E:E,"Bulunamadı")</f>
        <v>1.82</v>
      </c>
      <c r="I1847" s="2" t="str">
        <f t="shared" si="1"/>
        <v>122618 - Law - Motivation</v>
      </c>
      <c r="J1847" s="2">
        <f t="shared" si="2"/>
        <v>775.32</v>
      </c>
      <c r="K1847" s="17">
        <f t="shared" si="3"/>
        <v>1</v>
      </c>
      <c r="L1847" s="18"/>
    </row>
    <row r="1848" hidden="1">
      <c r="A1848" s="2">
        <f>IFERROR(__xludf.DUMMYFUNCTION("""COMPUTED_VALUE"""),99312.0)</f>
        <v>99312</v>
      </c>
      <c r="B1848" s="2">
        <f>IFERROR(__xludf.DUMMYFUNCTION("""COMPUTED_VALUE"""),0.0)</f>
        <v>0</v>
      </c>
      <c r="C1848" s="2">
        <f>IFERROR(__xludf.DUMMYFUNCTION("""COMPUTED_VALUE"""),307.0)</f>
        <v>307</v>
      </c>
      <c r="D1848" s="3">
        <f>IFERROR(__xludf.DUMMYFUNCTION("""COMPUTED_VALUE"""),105.0)</f>
        <v>105</v>
      </c>
      <c r="E1848" s="1" t="str">
        <f t="array" ref="E1848">_xlfn.XLOOKUP(A1848,Product!A:A,Product!B:B,"Bulunamadı")</f>
        <v>Law</v>
      </c>
      <c r="F1848" s="1" t="str">
        <f t="array" ref="F1848">_xlfn.XLOOKUP(A1848,Product!A:A,Product!C:C,"Bulunamadı")</f>
        <v>Motivation</v>
      </c>
      <c r="G1848" s="2" t="str">
        <f t="array" ref="G1848">_xlfn.XLOOKUP(A1849,Product!A:A,Product!D:D,"Bulunamadı")</f>
        <v>Riverbrook Publishing</v>
      </c>
      <c r="H1848" s="2">
        <f t="array" ref="H1848">_xlfn.XLOOKUP(A1850,Product!A:A,Product!E:E,"Bulunamadı")</f>
        <v>0.91</v>
      </c>
      <c r="I1848" s="2" t="str">
        <f t="shared" si="1"/>
        <v>99312 - Law - Motivation</v>
      </c>
      <c r="J1848" s="2">
        <f t="shared" si="2"/>
        <v>95.55</v>
      </c>
      <c r="K1848" s="17">
        <f t="shared" si="3"/>
        <v>1</v>
      </c>
      <c r="L1848" s="18"/>
    </row>
    <row r="1849" hidden="1">
      <c r="A1849" s="2">
        <f>IFERROR(__xludf.DUMMYFUNCTION("""COMPUTED_VALUE"""),113932.0)</f>
        <v>113932</v>
      </c>
      <c r="B1849" s="2">
        <f>IFERROR(__xludf.DUMMYFUNCTION("""COMPUTED_VALUE"""),0.0)</f>
        <v>0</v>
      </c>
      <c r="C1849" s="2">
        <f>IFERROR(__xludf.DUMMYFUNCTION("""COMPUTED_VALUE"""),377.0)</f>
        <v>377</v>
      </c>
      <c r="D1849" s="3">
        <f>IFERROR(__xludf.DUMMYFUNCTION("""COMPUTED_VALUE"""),77.0)</f>
        <v>77</v>
      </c>
      <c r="E1849" s="1" t="str">
        <f t="array" ref="E1849">_xlfn.XLOOKUP(A1849,Product!A:A,Product!B:B,"Bulunamadı")</f>
        <v>Law</v>
      </c>
      <c r="F1849" s="1" t="str">
        <f t="array" ref="F1849">_xlfn.XLOOKUP(A1849,Product!A:A,Product!C:C,"Bulunamadı")</f>
        <v>Motivation</v>
      </c>
      <c r="G1849" s="2" t="str">
        <f t="array" ref="G1849">_xlfn.XLOOKUP(A1850,Product!A:A,Product!D:D,"Bulunamadı")</f>
        <v>Riverbrook Publishing</v>
      </c>
      <c r="H1849" s="2">
        <f t="array" ref="H1849">_xlfn.XLOOKUP(A1851,Product!A:A,Product!E:E,"Bulunamadı")</f>
        <v>1.1</v>
      </c>
      <c r="I1849" s="2" t="str">
        <f t="shared" si="1"/>
        <v>113932 - Law - Motivation</v>
      </c>
      <c r="J1849" s="2">
        <f t="shared" si="2"/>
        <v>84.7</v>
      </c>
      <c r="K1849" s="17">
        <f t="shared" si="3"/>
        <v>1</v>
      </c>
      <c r="L1849" s="18"/>
    </row>
    <row r="1850" hidden="1">
      <c r="A1850" s="2">
        <f>IFERROR(__xludf.DUMMYFUNCTION("""COMPUTED_VALUE"""),5751.0)</f>
        <v>5751</v>
      </c>
      <c r="B1850" s="2">
        <f>IFERROR(__xludf.DUMMYFUNCTION("""COMPUTED_VALUE"""),0.0)</f>
        <v>0</v>
      </c>
      <c r="C1850" s="2">
        <f>IFERROR(__xludf.DUMMYFUNCTION("""COMPUTED_VALUE"""),532.0)</f>
        <v>532</v>
      </c>
      <c r="D1850" s="3">
        <f>IFERROR(__xludf.DUMMYFUNCTION("""COMPUTED_VALUE"""),226.0)</f>
        <v>226</v>
      </c>
      <c r="E1850" s="1" t="str">
        <f t="array" ref="E1850">_xlfn.XLOOKUP(A1850,Product!A:A,Product!B:B,"Bulunamadı")</f>
        <v>Law</v>
      </c>
      <c r="F1850" s="1" t="str">
        <f t="array" ref="F1850">_xlfn.XLOOKUP(A1850,Product!A:A,Product!C:C,"Bulunamadı")</f>
        <v>Motivation</v>
      </c>
      <c r="G1850" s="2" t="str">
        <f t="array" ref="G1850">_xlfn.XLOOKUP(A1851,Product!A:A,Product!D:D,"Bulunamadı")</f>
        <v>Riverbrook Publishing</v>
      </c>
      <c r="H1850" s="2">
        <f t="array" ref="H1850">_xlfn.XLOOKUP(A1852,Product!A:A,Product!E:E,"Bulunamadı")</f>
        <v>0.84</v>
      </c>
      <c r="I1850" s="2" t="str">
        <f t="shared" si="1"/>
        <v>5751 - Law - Motivation</v>
      </c>
      <c r="J1850" s="2">
        <f t="shared" si="2"/>
        <v>189.84</v>
      </c>
      <c r="K1850" s="17">
        <f t="shared" si="3"/>
        <v>1</v>
      </c>
      <c r="L1850" s="18"/>
    </row>
    <row r="1851" hidden="1">
      <c r="A1851" s="2">
        <f>IFERROR(__xludf.DUMMYFUNCTION("""COMPUTED_VALUE"""),85885.0)</f>
        <v>85885</v>
      </c>
      <c r="B1851" s="2">
        <f>IFERROR(__xludf.DUMMYFUNCTION("""COMPUTED_VALUE"""),0.0)</f>
        <v>0</v>
      </c>
      <c r="C1851" s="2">
        <f>IFERROR(__xludf.DUMMYFUNCTION("""COMPUTED_VALUE"""),229.0)</f>
        <v>229</v>
      </c>
      <c r="D1851" s="3">
        <f>IFERROR(__xludf.DUMMYFUNCTION("""COMPUTED_VALUE"""),154.0)</f>
        <v>154</v>
      </c>
      <c r="E1851" s="1" t="str">
        <f t="array" ref="E1851">_xlfn.XLOOKUP(A1851,Product!A:A,Product!B:B,"Bulunamadı")</f>
        <v>Law</v>
      </c>
      <c r="F1851" s="1" t="str">
        <f t="array" ref="F1851">_xlfn.XLOOKUP(A1851,Product!A:A,Product!C:C,"Bulunamadı")</f>
        <v>Motivation</v>
      </c>
      <c r="G1851" s="2" t="str">
        <f t="array" ref="G1851">_xlfn.XLOOKUP(A1852,Product!A:A,Product!D:D,"Bulunamadı")</f>
        <v>Riverbrook Publishing</v>
      </c>
      <c r="H1851" s="2">
        <f t="array" ref="H1851">_xlfn.XLOOKUP(A1853,Product!A:A,Product!E:E,"Bulunamadı")</f>
        <v>1.15</v>
      </c>
      <c r="I1851" s="2" t="str">
        <f t="shared" si="1"/>
        <v>85885 - Law - Motivation</v>
      </c>
      <c r="J1851" s="2">
        <f t="shared" si="2"/>
        <v>177.1</v>
      </c>
      <c r="K1851" s="17">
        <f t="shared" si="3"/>
        <v>1</v>
      </c>
      <c r="L1851" s="18"/>
    </row>
    <row r="1852" hidden="1">
      <c r="A1852" s="2">
        <f>IFERROR(__xludf.DUMMYFUNCTION("""COMPUTED_VALUE"""),87877.0)</f>
        <v>87877</v>
      </c>
      <c r="B1852" s="2">
        <f>IFERROR(__xludf.DUMMYFUNCTION("""COMPUTED_VALUE"""),1.0)</f>
        <v>1</v>
      </c>
      <c r="C1852" s="2">
        <f>IFERROR(__xludf.DUMMYFUNCTION("""COMPUTED_VALUE"""),577.0)</f>
        <v>577</v>
      </c>
      <c r="D1852" s="3">
        <f>IFERROR(__xludf.DUMMYFUNCTION("""COMPUTED_VALUE"""),412.0)</f>
        <v>412</v>
      </c>
      <c r="E1852" s="1" t="str">
        <f t="array" ref="E1852">_xlfn.XLOOKUP(A1852,Product!A:A,Product!B:B,"Bulunamadı")</f>
        <v>Law</v>
      </c>
      <c r="F1852" s="1" t="str">
        <f t="array" ref="F1852">_xlfn.XLOOKUP(A1852,Product!A:A,Product!C:C,"Bulunamadı")</f>
        <v>Motivation</v>
      </c>
      <c r="G1852" s="2" t="str">
        <f t="array" ref="G1852">_xlfn.XLOOKUP(A1853,Product!A:A,Product!D:D,"Bulunamadı")</f>
        <v>Riverbrook Publishing</v>
      </c>
      <c r="H1852" s="2">
        <f t="array" ref="H1852">_xlfn.XLOOKUP(A1854,Product!A:A,Product!E:E,"Bulunamadı")</f>
        <v>0.62</v>
      </c>
      <c r="I1852" s="2" t="str">
        <f t="shared" si="1"/>
        <v>87877 - Law - Motivation</v>
      </c>
      <c r="J1852" s="2">
        <f t="shared" si="2"/>
        <v>255.44</v>
      </c>
      <c r="K1852" s="17">
        <f t="shared" si="3"/>
        <v>1</v>
      </c>
      <c r="L1852" s="18"/>
    </row>
    <row r="1853" hidden="1">
      <c r="A1853" s="2">
        <f>IFERROR(__xludf.DUMMYFUNCTION("""COMPUTED_VALUE"""),197150.0)</f>
        <v>197150</v>
      </c>
      <c r="B1853" s="2">
        <f>IFERROR(__xludf.DUMMYFUNCTION("""COMPUTED_VALUE"""),0.0)</f>
        <v>0</v>
      </c>
      <c r="C1853" s="2">
        <f>IFERROR(__xludf.DUMMYFUNCTION("""COMPUTED_VALUE"""),400.0)</f>
        <v>400</v>
      </c>
      <c r="D1853" s="3">
        <f>IFERROR(__xludf.DUMMYFUNCTION("""COMPUTED_VALUE"""),247.0)</f>
        <v>247</v>
      </c>
      <c r="E1853" s="1" t="str">
        <f t="array" ref="E1853">_xlfn.XLOOKUP(A1853,Product!A:A,Product!B:B,"Bulunamadı")</f>
        <v>Law</v>
      </c>
      <c r="F1853" s="1" t="str">
        <f t="array" ref="F1853">_xlfn.XLOOKUP(A1853,Product!A:A,Product!C:C,"Bulunamadı")</f>
        <v>Motivation</v>
      </c>
      <c r="G1853" s="2" t="str">
        <f t="array" ref="G1853">_xlfn.XLOOKUP(A1854,Product!A:A,Product!D:D,"Bulunamadı")</f>
        <v>Riverbrook Publishing</v>
      </c>
      <c r="H1853" s="2">
        <f t="array" ref="H1853">_xlfn.XLOOKUP(A1855,Product!A:A,Product!E:E,"Bulunamadı")</f>
        <v>1.42</v>
      </c>
      <c r="I1853" s="2" t="str">
        <f t="shared" si="1"/>
        <v>197150 - Law - Motivation</v>
      </c>
      <c r="J1853" s="2">
        <f t="shared" si="2"/>
        <v>350.74</v>
      </c>
      <c r="K1853" s="17">
        <f t="shared" si="3"/>
        <v>1</v>
      </c>
      <c r="L1853" s="18"/>
    </row>
    <row r="1854" hidden="1">
      <c r="A1854" s="2">
        <f>IFERROR(__xludf.DUMMYFUNCTION("""COMPUTED_VALUE"""),87878.0)</f>
        <v>87878</v>
      </c>
      <c r="B1854" s="2">
        <f>IFERROR(__xludf.DUMMYFUNCTION("""COMPUTED_VALUE"""),1.0)</f>
        <v>1</v>
      </c>
      <c r="C1854" s="2">
        <f>IFERROR(__xludf.DUMMYFUNCTION("""COMPUTED_VALUE"""),878.0)</f>
        <v>878</v>
      </c>
      <c r="D1854" s="3">
        <f>IFERROR(__xludf.DUMMYFUNCTION("""COMPUTED_VALUE"""),162.0)</f>
        <v>162</v>
      </c>
      <c r="E1854" s="1" t="str">
        <f t="array" ref="E1854">_xlfn.XLOOKUP(A1854,Product!A:A,Product!B:B,"Bulunamadı")</f>
        <v>Law</v>
      </c>
      <c r="F1854" s="1" t="str">
        <f t="array" ref="F1854">_xlfn.XLOOKUP(A1854,Product!A:A,Product!C:C,"Bulunamadı")</f>
        <v>Motivation</v>
      </c>
      <c r="G1854" s="2" t="str">
        <f t="array" ref="G1854">_xlfn.XLOOKUP(A1855,Product!A:A,Product!D:D,"Bulunamadı")</f>
        <v>Riverbrook Publishing</v>
      </c>
      <c r="H1854" s="2">
        <f t="array" ref="H1854">_xlfn.XLOOKUP(A1856,Product!A:A,Product!E:E,"Bulunamadı")</f>
        <v>1.25</v>
      </c>
      <c r="I1854" s="2" t="str">
        <f t="shared" si="1"/>
        <v>87878 - Law - Motivation</v>
      </c>
      <c r="J1854" s="2">
        <f t="shared" si="2"/>
        <v>202.5</v>
      </c>
      <c r="K1854" s="17">
        <f t="shared" si="3"/>
        <v>1</v>
      </c>
      <c r="L1854" s="18"/>
    </row>
    <row r="1855" hidden="1">
      <c r="A1855" s="2">
        <f>IFERROR(__xludf.DUMMYFUNCTION("""COMPUTED_VALUE"""),122166.0)</f>
        <v>122166</v>
      </c>
      <c r="B1855" s="2">
        <f>IFERROR(__xludf.DUMMYFUNCTION("""COMPUTED_VALUE"""),1.0)</f>
        <v>1</v>
      </c>
      <c r="C1855" s="2">
        <f>IFERROR(__xludf.DUMMYFUNCTION("""COMPUTED_VALUE"""),721.0)</f>
        <v>721</v>
      </c>
      <c r="D1855" s="3">
        <f>IFERROR(__xludf.DUMMYFUNCTION("""COMPUTED_VALUE"""),657.0)</f>
        <v>657</v>
      </c>
      <c r="E1855" s="1" t="str">
        <f t="array" ref="E1855">_xlfn.XLOOKUP(A1855,Product!A:A,Product!B:B,"Bulunamadı")</f>
        <v>Law</v>
      </c>
      <c r="F1855" s="1" t="str">
        <f t="array" ref="F1855">_xlfn.XLOOKUP(A1855,Product!A:A,Product!C:C,"Bulunamadı")</f>
        <v>Motivation</v>
      </c>
      <c r="G1855" s="2" t="str">
        <f t="array" ref="G1855">_xlfn.XLOOKUP(A1856,Product!A:A,Product!D:D,"Bulunamadı")</f>
        <v>Riverbrook Publishing</v>
      </c>
      <c r="H1855" s="2">
        <f t="array" ref="H1855">_xlfn.XLOOKUP(A1857,Product!A:A,Product!E:E,"Bulunamadı")</f>
        <v>1.17</v>
      </c>
      <c r="I1855" s="2" t="str">
        <f t="shared" si="1"/>
        <v>122166 - Law - Motivation</v>
      </c>
      <c r="J1855" s="2">
        <f t="shared" si="2"/>
        <v>768.69</v>
      </c>
      <c r="K1855" s="17">
        <f t="shared" si="3"/>
        <v>1</v>
      </c>
      <c r="L1855" s="18"/>
    </row>
    <row r="1856" hidden="1">
      <c r="A1856" s="2">
        <f>IFERROR(__xludf.DUMMYFUNCTION("""COMPUTED_VALUE"""),122617.0)</f>
        <v>122617</v>
      </c>
      <c r="B1856" s="2">
        <f>IFERROR(__xludf.DUMMYFUNCTION("""COMPUTED_VALUE"""),0.0)</f>
        <v>0</v>
      </c>
      <c r="C1856" s="2">
        <f>IFERROR(__xludf.DUMMYFUNCTION("""COMPUTED_VALUE"""),697.0)</f>
        <v>697</v>
      </c>
      <c r="D1856" s="3">
        <f>IFERROR(__xludf.DUMMYFUNCTION("""COMPUTED_VALUE"""),144.0)</f>
        <v>144</v>
      </c>
      <c r="E1856" s="1" t="str">
        <f t="array" ref="E1856">_xlfn.XLOOKUP(A1856,Product!A:A,Product!B:B,"Bulunamadı")</f>
        <v>Law</v>
      </c>
      <c r="F1856" s="1" t="str">
        <f t="array" ref="F1856">_xlfn.XLOOKUP(A1856,Product!A:A,Product!C:C,"Bulunamadı")</f>
        <v>Motivation</v>
      </c>
      <c r="G1856" s="2" t="str">
        <f t="array" ref="G1856">_xlfn.XLOOKUP(A1857,Product!A:A,Product!D:D,"Bulunamadı")</f>
        <v>Riverbrook Publishing</v>
      </c>
      <c r="H1856" s="2">
        <f t="array" ref="H1856">_xlfn.XLOOKUP(A1858,Product!A:A,Product!E:E,"Bulunamadı")</f>
        <v>1.6</v>
      </c>
      <c r="I1856" s="2" t="str">
        <f t="shared" si="1"/>
        <v>122617 - Law - Motivation</v>
      </c>
      <c r="J1856" s="2">
        <f t="shared" si="2"/>
        <v>230.4</v>
      </c>
      <c r="K1856" s="17">
        <f t="shared" si="3"/>
        <v>1</v>
      </c>
      <c r="L1856" s="18"/>
    </row>
    <row r="1857" hidden="1">
      <c r="A1857" s="2">
        <f>IFERROR(__xludf.DUMMYFUNCTION("""COMPUTED_VALUE"""),118590.0)</f>
        <v>118590</v>
      </c>
      <c r="B1857" s="2">
        <f>IFERROR(__xludf.DUMMYFUNCTION("""COMPUTED_VALUE"""),0.0)</f>
        <v>0</v>
      </c>
      <c r="C1857" s="2">
        <f>IFERROR(__xludf.DUMMYFUNCTION("""COMPUTED_VALUE"""),364.0)</f>
        <v>364</v>
      </c>
      <c r="D1857" s="3">
        <f>IFERROR(__xludf.DUMMYFUNCTION("""COMPUTED_VALUE"""),138.0)</f>
        <v>138</v>
      </c>
      <c r="E1857" s="1" t="str">
        <f t="array" ref="E1857">_xlfn.XLOOKUP(A1857,Product!A:A,Product!B:B,"Bulunamadı")</f>
        <v>Law</v>
      </c>
      <c r="F1857" s="1" t="str">
        <f t="array" ref="F1857">_xlfn.XLOOKUP(A1857,Product!A:A,Product!C:C,"Bulunamadı")</f>
        <v>Motivation</v>
      </c>
      <c r="G1857" s="2" t="str">
        <f t="array" ref="G1857">_xlfn.XLOOKUP(A1858,Product!A:A,Product!D:D,"Bulunamadı")</f>
        <v>Riverbrook Publishing</v>
      </c>
      <c r="H1857" s="2">
        <f t="array" ref="H1857">_xlfn.XLOOKUP(A1859,Product!A:A,Product!E:E,"Bulunamadı")</f>
        <v>1.21</v>
      </c>
      <c r="I1857" s="2" t="str">
        <f t="shared" si="1"/>
        <v>118590 - Law - Motivation</v>
      </c>
      <c r="J1857" s="2">
        <f t="shared" si="2"/>
        <v>166.98</v>
      </c>
      <c r="K1857" s="17">
        <f t="shared" si="3"/>
        <v>1</v>
      </c>
      <c r="L1857" s="18"/>
    </row>
    <row r="1858" hidden="1">
      <c r="A1858" s="2">
        <f>IFERROR(__xludf.DUMMYFUNCTION("""COMPUTED_VALUE"""),122366.0)</f>
        <v>122366</v>
      </c>
      <c r="B1858" s="2">
        <f>IFERROR(__xludf.DUMMYFUNCTION("""COMPUTED_VALUE"""),1.0)</f>
        <v>1</v>
      </c>
      <c r="C1858" s="2">
        <f>IFERROR(__xludf.DUMMYFUNCTION("""COMPUTED_VALUE"""),770.0)</f>
        <v>770</v>
      </c>
      <c r="D1858" s="3">
        <f>IFERROR(__xludf.DUMMYFUNCTION("""COMPUTED_VALUE"""),261.0)</f>
        <v>261</v>
      </c>
      <c r="E1858" s="1" t="str">
        <f t="array" ref="E1858">_xlfn.XLOOKUP(A1858,Product!A:A,Product!B:B,"Bulunamadı")</f>
        <v>Law</v>
      </c>
      <c r="F1858" s="1" t="str">
        <f t="array" ref="F1858">_xlfn.XLOOKUP(A1858,Product!A:A,Product!C:C,"Bulunamadı")</f>
        <v>Motivation</v>
      </c>
      <c r="G1858" s="2" t="str">
        <f t="array" ref="G1858">_xlfn.XLOOKUP(A1859,Product!A:A,Product!D:D,"Bulunamadı")</f>
        <v>Riverbrook Publishing</v>
      </c>
      <c r="H1858" s="2">
        <f t="array" ref="H1858">_xlfn.XLOOKUP(A1860,Product!A:A,Product!E:E,"Bulunamadı")</f>
        <v>1.62</v>
      </c>
      <c r="I1858" s="2" t="str">
        <f t="shared" si="1"/>
        <v>122366 - Law - Motivation</v>
      </c>
      <c r="J1858" s="2">
        <f t="shared" si="2"/>
        <v>422.82</v>
      </c>
      <c r="K1858" s="17">
        <f t="shared" si="3"/>
        <v>1</v>
      </c>
      <c r="L1858" s="18"/>
    </row>
    <row r="1859" hidden="1">
      <c r="A1859" s="2">
        <f>IFERROR(__xludf.DUMMYFUNCTION("""COMPUTED_VALUE"""),83001.0)</f>
        <v>83001</v>
      </c>
      <c r="B1859" s="2">
        <f>IFERROR(__xludf.DUMMYFUNCTION("""COMPUTED_VALUE"""),0.0)</f>
        <v>0</v>
      </c>
      <c r="C1859" s="2">
        <f>IFERROR(__xludf.DUMMYFUNCTION("""COMPUTED_VALUE"""),279.0)</f>
        <v>279</v>
      </c>
      <c r="D1859" s="3">
        <f>IFERROR(__xludf.DUMMYFUNCTION("""COMPUTED_VALUE"""),133.0)</f>
        <v>133</v>
      </c>
      <c r="E1859" s="1" t="str">
        <f t="array" ref="E1859">_xlfn.XLOOKUP(A1859,Product!A:A,Product!B:B,"Bulunamadı")</f>
        <v>Law</v>
      </c>
      <c r="F1859" s="1" t="str">
        <f t="array" ref="F1859">_xlfn.XLOOKUP(A1859,Product!A:A,Product!C:C,"Bulunamadı")</f>
        <v>Motivation</v>
      </c>
      <c r="G1859" s="2" t="str">
        <f t="array" ref="G1859">_xlfn.XLOOKUP(A1860,Product!A:A,Product!D:D,"Bulunamadı")</f>
        <v>Riverbrook Publishing</v>
      </c>
      <c r="H1859" s="2">
        <f t="array" ref="H1859">_xlfn.XLOOKUP(A1861,Product!A:A,Product!E:E,"Bulunamadı")</f>
        <v>1.33</v>
      </c>
      <c r="I1859" s="2" t="str">
        <f t="shared" si="1"/>
        <v>83001 - Law - Motivation</v>
      </c>
      <c r="J1859" s="2">
        <f t="shared" si="2"/>
        <v>176.89</v>
      </c>
      <c r="K1859" s="17">
        <f t="shared" si="3"/>
        <v>1</v>
      </c>
      <c r="L1859" s="18"/>
    </row>
    <row r="1860" hidden="1">
      <c r="A1860" s="2">
        <f>IFERROR(__xludf.DUMMYFUNCTION("""COMPUTED_VALUE"""),118594.0)</f>
        <v>118594</v>
      </c>
      <c r="B1860" s="2">
        <f>IFERROR(__xludf.DUMMYFUNCTION("""COMPUTED_VALUE"""),0.0)</f>
        <v>0</v>
      </c>
      <c r="C1860" s="2">
        <f>IFERROR(__xludf.DUMMYFUNCTION("""COMPUTED_VALUE"""),295.0)</f>
        <v>295</v>
      </c>
      <c r="D1860" s="3">
        <f>IFERROR(__xludf.DUMMYFUNCTION("""COMPUTED_VALUE"""),75.0)</f>
        <v>75</v>
      </c>
      <c r="E1860" s="1" t="str">
        <f t="array" ref="E1860">_xlfn.XLOOKUP(A1860,Product!A:A,Product!B:B,"Bulunamadı")</f>
        <v>Law</v>
      </c>
      <c r="F1860" s="1" t="str">
        <f t="array" ref="F1860">_xlfn.XLOOKUP(A1860,Product!A:A,Product!C:C,"Bulunamadı")</f>
        <v>Motivation</v>
      </c>
      <c r="G1860" s="2" t="str">
        <f t="array" ref="G1860">_xlfn.XLOOKUP(A1861,Product!A:A,Product!D:D,"Bulunamadı")</f>
        <v>Riverbrook Publishing</v>
      </c>
      <c r="H1860" s="2">
        <f t="array" ref="H1860">_xlfn.XLOOKUP(A1862,Product!A:A,Product!E:E,"Bulunamadı")</f>
        <v>1.98</v>
      </c>
      <c r="I1860" s="2" t="str">
        <f t="shared" si="1"/>
        <v>118594 - Law - Motivation</v>
      </c>
      <c r="J1860" s="2">
        <f t="shared" si="2"/>
        <v>148.5</v>
      </c>
      <c r="K1860" s="17">
        <f t="shared" si="3"/>
        <v>1</v>
      </c>
      <c r="L1860" s="18"/>
    </row>
    <row r="1861" hidden="1">
      <c r="A1861" s="2">
        <f>IFERROR(__xludf.DUMMYFUNCTION("""COMPUTED_VALUE"""),85881.0)</f>
        <v>85881</v>
      </c>
      <c r="B1861" s="2">
        <f>IFERROR(__xludf.DUMMYFUNCTION("""COMPUTED_VALUE"""),0.0)</f>
        <v>0</v>
      </c>
      <c r="C1861" s="2">
        <f>IFERROR(__xludf.DUMMYFUNCTION("""COMPUTED_VALUE"""),207.0)</f>
        <v>207</v>
      </c>
      <c r="D1861" s="3">
        <f>IFERROR(__xludf.DUMMYFUNCTION("""COMPUTED_VALUE"""),108.0)</f>
        <v>108</v>
      </c>
      <c r="E1861" s="1" t="str">
        <f t="array" ref="E1861">_xlfn.XLOOKUP(A1861,Product!A:A,Product!B:B,"Bulunamadı")</f>
        <v>Law</v>
      </c>
      <c r="F1861" s="1" t="str">
        <f t="array" ref="F1861">_xlfn.XLOOKUP(A1861,Product!A:A,Product!C:C,"Bulunamadı")</f>
        <v>Motivation</v>
      </c>
      <c r="G1861" s="2" t="str">
        <f t="array" ref="G1861">_xlfn.XLOOKUP(A1862,Product!A:A,Product!D:D,"Bulunamadı")</f>
        <v>Riverbrook Publishing</v>
      </c>
      <c r="H1861" s="2">
        <f t="array" ref="H1861">_xlfn.XLOOKUP(A1863,Product!A:A,Product!E:E,"Bulunamadı")</f>
        <v>2.08</v>
      </c>
      <c r="I1861" s="2" t="str">
        <f t="shared" si="1"/>
        <v>85881 - Law - Motivation</v>
      </c>
      <c r="J1861" s="2">
        <f t="shared" si="2"/>
        <v>224.64</v>
      </c>
      <c r="K1861" s="17">
        <f t="shared" si="3"/>
        <v>1</v>
      </c>
      <c r="L1861" s="18"/>
    </row>
    <row r="1862" hidden="1">
      <c r="A1862" s="2">
        <f>IFERROR(__xludf.DUMMYFUNCTION("""COMPUTED_VALUE"""),10655.0)</f>
        <v>10655</v>
      </c>
      <c r="B1862" s="2">
        <f>IFERROR(__xludf.DUMMYFUNCTION("""COMPUTED_VALUE"""),1.0)</f>
        <v>1</v>
      </c>
      <c r="C1862" s="2">
        <f>IFERROR(__xludf.DUMMYFUNCTION("""COMPUTED_VALUE"""),530.0)</f>
        <v>530</v>
      </c>
      <c r="D1862" s="3">
        <f>IFERROR(__xludf.DUMMYFUNCTION("""COMPUTED_VALUE"""),195.0)</f>
        <v>195</v>
      </c>
      <c r="E1862" s="1" t="str">
        <f t="array" ref="E1862">_xlfn.XLOOKUP(A1862,Product!A:A,Product!B:B,"Bulunamadı")</f>
        <v>Law</v>
      </c>
      <c r="F1862" s="1" t="str">
        <f t="array" ref="F1862">_xlfn.XLOOKUP(A1862,Product!A:A,Product!C:C,"Bulunamadı")</f>
        <v>Motivation</v>
      </c>
      <c r="G1862" s="2" t="str">
        <f t="array" ref="G1862">_xlfn.XLOOKUP(A1863,Product!A:A,Product!D:D,"Bulunamadı")</f>
        <v>Riverbrook Publishing</v>
      </c>
      <c r="H1862" s="2">
        <f t="array" ref="H1862">_xlfn.XLOOKUP(A1864,Product!A:A,Product!E:E,"Bulunamadı")</f>
        <v>2.15</v>
      </c>
      <c r="I1862" s="2" t="str">
        <f t="shared" si="1"/>
        <v>10655 - Law - Motivation</v>
      </c>
      <c r="J1862" s="2">
        <f t="shared" si="2"/>
        <v>419.25</v>
      </c>
      <c r="K1862" s="17">
        <f t="shared" si="3"/>
        <v>1</v>
      </c>
      <c r="L1862" s="18"/>
    </row>
    <row r="1863" hidden="1">
      <c r="A1863" s="2">
        <f>IFERROR(__xludf.DUMMYFUNCTION("""COMPUTED_VALUE"""),121606.0)</f>
        <v>121606</v>
      </c>
      <c r="B1863" s="2">
        <f>IFERROR(__xludf.DUMMYFUNCTION("""COMPUTED_VALUE"""),0.0)</f>
        <v>0</v>
      </c>
      <c r="C1863" s="2">
        <f>IFERROR(__xludf.DUMMYFUNCTION("""COMPUTED_VALUE"""),956.0)</f>
        <v>956</v>
      </c>
      <c r="D1863" s="3">
        <f>IFERROR(__xludf.DUMMYFUNCTION("""COMPUTED_VALUE"""),487.0)</f>
        <v>487</v>
      </c>
      <c r="E1863" s="1" t="str">
        <f t="array" ref="E1863">_xlfn.XLOOKUP(A1863,Product!A:A,Product!B:B,"Bulunamadı")</f>
        <v>Law</v>
      </c>
      <c r="F1863" s="1" t="str">
        <f t="array" ref="F1863">_xlfn.XLOOKUP(A1863,Product!A:A,Product!C:C,"Bulunamadı")</f>
        <v>Motivation</v>
      </c>
      <c r="G1863" s="2" t="str">
        <f t="array" ref="G1863">_xlfn.XLOOKUP(A1864,Product!A:A,Product!D:D,"Bulunamadı")</f>
        <v>Riverbrook Publishing</v>
      </c>
      <c r="H1863" s="2">
        <f t="array" ref="H1863">_xlfn.XLOOKUP(A1865,Product!A:A,Product!E:E,"Bulunamadı")</f>
        <v>1.45</v>
      </c>
      <c r="I1863" s="2" t="str">
        <f t="shared" si="1"/>
        <v>121606 - Law - Motivation</v>
      </c>
      <c r="J1863" s="2">
        <f t="shared" si="2"/>
        <v>706.15</v>
      </c>
      <c r="K1863" s="17">
        <f t="shared" si="3"/>
        <v>1</v>
      </c>
      <c r="L1863" s="18"/>
    </row>
    <row r="1864" hidden="1">
      <c r="A1864" s="2">
        <f>IFERROR(__xludf.DUMMYFUNCTION("""COMPUTED_VALUE"""),13341.0)</f>
        <v>13341</v>
      </c>
      <c r="B1864" s="2">
        <f>IFERROR(__xludf.DUMMYFUNCTION("""COMPUTED_VALUE"""),1.0)</f>
        <v>1</v>
      </c>
      <c r="C1864" s="2">
        <f>IFERROR(__xludf.DUMMYFUNCTION("""COMPUTED_VALUE"""),273.0)</f>
        <v>273</v>
      </c>
      <c r="D1864" s="3">
        <f>IFERROR(__xludf.DUMMYFUNCTION("""COMPUTED_VALUE"""),42.0)</f>
        <v>42</v>
      </c>
      <c r="E1864" s="1" t="str">
        <f t="array" ref="E1864">_xlfn.XLOOKUP(A1864,Product!A:A,Product!B:B,"Bulunamadı")</f>
        <v>Law</v>
      </c>
      <c r="F1864" s="1" t="str">
        <f t="array" ref="F1864">_xlfn.XLOOKUP(A1864,Product!A:A,Product!C:C,"Bulunamadı")</f>
        <v>Motivation</v>
      </c>
      <c r="G1864" s="2" t="str">
        <f t="array" ref="G1864">_xlfn.XLOOKUP(A1865,Product!A:A,Product!D:D,"Bulunamadı")</f>
        <v>Riverbrook Publishing</v>
      </c>
      <c r="H1864" s="2">
        <f t="array" ref="H1864">_xlfn.XLOOKUP(A1866,Product!A:A,Product!E:E,"Bulunamadı")</f>
        <v>1.25</v>
      </c>
      <c r="I1864" s="2" t="str">
        <f t="shared" si="1"/>
        <v>13341 - Law - Motivation</v>
      </c>
      <c r="J1864" s="2">
        <f t="shared" si="2"/>
        <v>52.5</v>
      </c>
      <c r="K1864" s="17">
        <f t="shared" si="3"/>
        <v>1</v>
      </c>
      <c r="L1864" s="18"/>
    </row>
    <row r="1865" hidden="1">
      <c r="A1865" s="2">
        <f>IFERROR(__xludf.DUMMYFUNCTION("""COMPUTED_VALUE"""),122631.0)</f>
        <v>122631</v>
      </c>
      <c r="B1865" s="2">
        <f>IFERROR(__xludf.DUMMYFUNCTION("""COMPUTED_VALUE"""),0.0)</f>
        <v>0</v>
      </c>
      <c r="C1865" s="2">
        <f>IFERROR(__xludf.DUMMYFUNCTION("""COMPUTED_VALUE"""),824.0)</f>
        <v>824</v>
      </c>
      <c r="D1865" s="3">
        <f>IFERROR(__xludf.DUMMYFUNCTION("""COMPUTED_VALUE"""),251.0)</f>
        <v>251</v>
      </c>
      <c r="E1865" s="1" t="str">
        <f t="array" ref="E1865">_xlfn.XLOOKUP(A1865,Product!A:A,Product!B:B,"Bulunamadı")</f>
        <v>Law</v>
      </c>
      <c r="F1865" s="1" t="str">
        <f t="array" ref="F1865">_xlfn.XLOOKUP(A1865,Product!A:A,Product!C:C,"Bulunamadı")</f>
        <v>Motivation</v>
      </c>
      <c r="G1865" s="2" t="str">
        <f t="array" ref="G1865">_xlfn.XLOOKUP(A1866,Product!A:A,Product!D:D,"Bulunamadı")</f>
        <v>Riverbrook Publishing</v>
      </c>
      <c r="H1865" s="2">
        <f t="array" ref="H1865">_xlfn.XLOOKUP(A1867,Product!A:A,Product!E:E,"Bulunamadı")</f>
        <v>0.61</v>
      </c>
      <c r="I1865" s="2" t="str">
        <f t="shared" si="1"/>
        <v>122631 - Law - Motivation</v>
      </c>
      <c r="J1865" s="2">
        <f t="shared" si="2"/>
        <v>153.11</v>
      </c>
      <c r="K1865" s="17">
        <f t="shared" si="3"/>
        <v>1</v>
      </c>
      <c r="L1865" s="18"/>
    </row>
    <row r="1866" hidden="1">
      <c r="A1866" s="2">
        <f>IFERROR(__xludf.DUMMYFUNCTION("""COMPUTED_VALUE"""),189132.0)</f>
        <v>189132</v>
      </c>
      <c r="B1866" s="2">
        <f>IFERROR(__xludf.DUMMYFUNCTION("""COMPUTED_VALUE"""),0.0)</f>
        <v>0</v>
      </c>
      <c r="C1866" s="2">
        <f>IFERROR(__xludf.DUMMYFUNCTION("""COMPUTED_VALUE"""),859.0)</f>
        <v>859</v>
      </c>
      <c r="D1866" s="3">
        <f>IFERROR(__xludf.DUMMYFUNCTION("""COMPUTED_VALUE"""),274.0)</f>
        <v>274</v>
      </c>
      <c r="E1866" s="1" t="str">
        <f t="array" ref="E1866">_xlfn.XLOOKUP(A1866,Product!A:A,Product!B:B,"Bulunamadı")</f>
        <v>Law</v>
      </c>
      <c r="F1866" s="1" t="str">
        <f t="array" ref="F1866">_xlfn.XLOOKUP(A1866,Product!A:A,Product!C:C,"Bulunamadı")</f>
        <v>Motivation</v>
      </c>
      <c r="G1866" s="2" t="str">
        <f t="array" ref="G1866">_xlfn.XLOOKUP(A1867,Product!A:A,Product!D:D,"Bulunamadı")</f>
        <v>Riverbrook Publishing</v>
      </c>
      <c r="H1866" s="2">
        <f t="array" ref="H1866">_xlfn.XLOOKUP(A1868,Product!A:A,Product!E:E,"Bulunamadı")</f>
        <v>1.39</v>
      </c>
      <c r="I1866" s="2" t="str">
        <f t="shared" si="1"/>
        <v>189132 - Law - Motivation</v>
      </c>
      <c r="J1866" s="2">
        <f t="shared" si="2"/>
        <v>380.86</v>
      </c>
      <c r="K1866" s="17">
        <f t="shared" si="3"/>
        <v>1</v>
      </c>
      <c r="L1866" s="18"/>
    </row>
    <row r="1867" hidden="1">
      <c r="A1867" s="2">
        <f>IFERROR(__xludf.DUMMYFUNCTION("""COMPUTED_VALUE"""),87876.0)</f>
        <v>87876</v>
      </c>
      <c r="B1867" s="2">
        <f>IFERROR(__xludf.DUMMYFUNCTION("""COMPUTED_VALUE"""),1.0)</f>
        <v>1</v>
      </c>
      <c r="C1867" s="2">
        <f>IFERROR(__xludf.DUMMYFUNCTION("""COMPUTED_VALUE"""),699.0)</f>
        <v>699</v>
      </c>
      <c r="D1867" s="3">
        <f>IFERROR(__xludf.DUMMYFUNCTION("""COMPUTED_VALUE"""),129.0)</f>
        <v>129</v>
      </c>
      <c r="E1867" s="1" t="str">
        <f t="array" ref="E1867">_xlfn.XLOOKUP(A1867,Product!A:A,Product!B:B,"Bulunamadı")</f>
        <v>Law</v>
      </c>
      <c r="F1867" s="1" t="str">
        <f t="array" ref="F1867">_xlfn.XLOOKUP(A1867,Product!A:A,Product!C:C,"Bulunamadı")</f>
        <v>Motivation</v>
      </c>
      <c r="G1867" s="2" t="str">
        <f t="array" ref="G1867">_xlfn.XLOOKUP(A1868,Product!A:A,Product!D:D,"Bulunamadı")</f>
        <v>Riverbrook Publishing</v>
      </c>
      <c r="H1867" s="2">
        <f t="array" ref="H1867">_xlfn.XLOOKUP(A1869,Product!A:A,Product!E:E,"Bulunamadı")</f>
        <v>1.44</v>
      </c>
      <c r="I1867" s="2" t="str">
        <f t="shared" si="1"/>
        <v>87876 - Law - Motivation</v>
      </c>
      <c r="J1867" s="2">
        <f t="shared" si="2"/>
        <v>185.76</v>
      </c>
      <c r="K1867" s="17">
        <f t="shared" si="3"/>
        <v>1</v>
      </c>
      <c r="L1867" s="18"/>
    </row>
    <row r="1868" hidden="1">
      <c r="A1868" s="2">
        <f>IFERROR(__xludf.DUMMYFUNCTION("""COMPUTED_VALUE"""),26094.0)</f>
        <v>26094</v>
      </c>
      <c r="B1868" s="2">
        <f>IFERROR(__xludf.DUMMYFUNCTION("""COMPUTED_VALUE"""),1.0)</f>
        <v>1</v>
      </c>
      <c r="C1868" s="2">
        <f>IFERROR(__xludf.DUMMYFUNCTION("""COMPUTED_VALUE"""),770.0)</f>
        <v>770</v>
      </c>
      <c r="D1868" s="3">
        <f>IFERROR(__xludf.DUMMYFUNCTION("""COMPUTED_VALUE"""),726.0)</f>
        <v>726</v>
      </c>
      <c r="E1868" s="1" t="str">
        <f t="array" ref="E1868">_xlfn.XLOOKUP(A1868,Product!A:A,Product!B:B,"Bulunamadı")</f>
        <v>Law</v>
      </c>
      <c r="F1868" s="1" t="str">
        <f t="array" ref="F1868">_xlfn.XLOOKUP(A1868,Product!A:A,Product!C:C,"Bulunamadı")</f>
        <v>Motivation</v>
      </c>
      <c r="G1868" s="2" t="str">
        <f t="array" ref="G1868">_xlfn.XLOOKUP(A1869,Product!A:A,Product!D:D,"Bulunamadı")</f>
        <v>Riverbrook Publishing</v>
      </c>
      <c r="H1868" s="2">
        <f t="array" ref="H1868">_xlfn.XLOOKUP(A1870,Product!A:A,Product!E:E,"Bulunamadı")</f>
        <v>1.38</v>
      </c>
      <c r="I1868" s="2" t="str">
        <f t="shared" si="1"/>
        <v>26094 - Law - Motivation</v>
      </c>
      <c r="J1868" s="2">
        <f t="shared" si="2"/>
        <v>1001.88</v>
      </c>
      <c r="K1868" s="17">
        <f t="shared" si="3"/>
        <v>1</v>
      </c>
      <c r="L1868" s="18"/>
    </row>
    <row r="1869" hidden="1">
      <c r="A1869" s="2">
        <f>IFERROR(__xludf.DUMMYFUNCTION("""COMPUTED_VALUE"""),189129.0)</f>
        <v>189129</v>
      </c>
      <c r="B1869" s="2">
        <f>IFERROR(__xludf.DUMMYFUNCTION("""COMPUTED_VALUE"""),1.0)</f>
        <v>1</v>
      </c>
      <c r="C1869" s="2">
        <f>IFERROR(__xludf.DUMMYFUNCTION("""COMPUTED_VALUE"""),539.0)</f>
        <v>539</v>
      </c>
      <c r="D1869" s="3">
        <f>IFERROR(__xludf.DUMMYFUNCTION("""COMPUTED_VALUE"""),359.0)</f>
        <v>359</v>
      </c>
      <c r="E1869" s="1" t="str">
        <f t="array" ref="E1869">_xlfn.XLOOKUP(A1869,Product!A:A,Product!B:B,"Bulunamadı")</f>
        <v>Law</v>
      </c>
      <c r="F1869" s="1" t="str">
        <f t="array" ref="F1869">_xlfn.XLOOKUP(A1869,Product!A:A,Product!C:C,"Bulunamadı")</f>
        <v>Motivation</v>
      </c>
      <c r="G1869" s="2" t="str">
        <f t="array" ref="G1869">_xlfn.XLOOKUP(A1870,Product!A:A,Product!D:D,"Bulunamadı")</f>
        <v>Riverbrook Publishing</v>
      </c>
      <c r="H1869" s="2">
        <f t="array" ref="H1869">_xlfn.XLOOKUP(A1871,Product!A:A,Product!E:E,"Bulunamadı")</f>
        <v>1.75</v>
      </c>
      <c r="I1869" s="2" t="str">
        <f t="shared" si="1"/>
        <v>189129 - Law - Motivation</v>
      </c>
      <c r="J1869" s="2">
        <f t="shared" si="2"/>
        <v>628.25</v>
      </c>
      <c r="K1869" s="17">
        <f t="shared" si="3"/>
        <v>1</v>
      </c>
      <c r="L1869" s="18"/>
    </row>
    <row r="1870" hidden="1">
      <c r="A1870" s="2">
        <f>IFERROR(__xludf.DUMMYFUNCTION("""COMPUTED_VALUE"""),10654.0)</f>
        <v>10654</v>
      </c>
      <c r="B1870" s="2">
        <f>IFERROR(__xludf.DUMMYFUNCTION("""COMPUTED_VALUE"""),1.0)</f>
        <v>1</v>
      </c>
      <c r="C1870" s="2">
        <f>IFERROR(__xludf.DUMMYFUNCTION("""COMPUTED_VALUE"""),936.0)</f>
        <v>936</v>
      </c>
      <c r="D1870" s="3">
        <f>IFERROR(__xludf.DUMMYFUNCTION("""COMPUTED_VALUE"""),315.0)</f>
        <v>315</v>
      </c>
      <c r="E1870" s="1" t="str">
        <f t="array" ref="E1870">_xlfn.XLOOKUP(A1870,Product!A:A,Product!B:B,"Bulunamadı")</f>
        <v>Law</v>
      </c>
      <c r="F1870" s="1" t="str">
        <f t="array" ref="F1870">_xlfn.XLOOKUP(A1870,Product!A:A,Product!C:C,"Bulunamadı")</f>
        <v>Motivation</v>
      </c>
      <c r="G1870" s="2" t="str">
        <f t="array" ref="G1870">_xlfn.XLOOKUP(A1871,Product!A:A,Product!D:D,"Bulunamadı")</f>
        <v>Riverbrook Publishing</v>
      </c>
      <c r="H1870" s="2">
        <f t="array" ref="H1870">_xlfn.XLOOKUP(A1872,Product!A:A,Product!E:E,"Bulunamadı")</f>
        <v>1.27</v>
      </c>
      <c r="I1870" s="2" t="str">
        <f t="shared" si="1"/>
        <v>10654 - Law - Motivation</v>
      </c>
      <c r="J1870" s="2">
        <f t="shared" si="2"/>
        <v>400.05</v>
      </c>
      <c r="K1870" s="17">
        <f t="shared" si="3"/>
        <v>1</v>
      </c>
      <c r="L1870" s="18"/>
    </row>
    <row r="1871" hidden="1">
      <c r="A1871" s="2">
        <f>IFERROR(__xludf.DUMMYFUNCTION("""COMPUTED_VALUE"""),5754.0)</f>
        <v>5754</v>
      </c>
      <c r="B1871" s="2">
        <f>IFERROR(__xludf.DUMMYFUNCTION("""COMPUTED_VALUE"""),0.0)</f>
        <v>0</v>
      </c>
      <c r="C1871" s="2">
        <f>IFERROR(__xludf.DUMMYFUNCTION("""COMPUTED_VALUE"""),131.0)</f>
        <v>131</v>
      </c>
      <c r="D1871" s="3">
        <f>IFERROR(__xludf.DUMMYFUNCTION("""COMPUTED_VALUE"""),6.0)</f>
        <v>6</v>
      </c>
      <c r="E1871" s="1" t="str">
        <f t="array" ref="E1871">_xlfn.XLOOKUP(A1871,Product!A:A,Product!B:B,"Bulunamadı")</f>
        <v>Law</v>
      </c>
      <c r="F1871" s="1" t="str">
        <f t="array" ref="F1871">_xlfn.XLOOKUP(A1871,Product!A:A,Product!C:C,"Bulunamadı")</f>
        <v>Motivation</v>
      </c>
      <c r="G1871" s="2" t="str">
        <f t="array" ref="G1871">_xlfn.XLOOKUP(A1872,Product!A:A,Product!D:D,"Bulunamadı")</f>
        <v>Riverbrook Publishing</v>
      </c>
      <c r="H1871" s="2">
        <f t="array" ref="H1871">_xlfn.XLOOKUP(A1873,Product!A:A,Product!E:E,"Bulunamadı")</f>
        <v>1.92</v>
      </c>
      <c r="I1871" s="2" t="str">
        <f t="shared" si="1"/>
        <v>5754 - Law - Motivation</v>
      </c>
      <c r="J1871" s="2">
        <f t="shared" si="2"/>
        <v>11.52</v>
      </c>
      <c r="K1871" s="17">
        <f t="shared" si="3"/>
        <v>1</v>
      </c>
      <c r="L1871" s="18"/>
    </row>
    <row r="1872" hidden="1">
      <c r="A1872" s="2">
        <f>IFERROR(__xludf.DUMMYFUNCTION("""COMPUTED_VALUE"""),10648.0)</f>
        <v>10648</v>
      </c>
      <c r="B1872" s="2">
        <f>IFERROR(__xludf.DUMMYFUNCTION("""COMPUTED_VALUE"""),0.0)</f>
        <v>0</v>
      </c>
      <c r="C1872" s="2">
        <f>IFERROR(__xludf.DUMMYFUNCTION("""COMPUTED_VALUE"""),891.0)</f>
        <v>891</v>
      </c>
      <c r="D1872" s="3">
        <f>IFERROR(__xludf.DUMMYFUNCTION("""COMPUTED_VALUE"""),437.0)</f>
        <v>437</v>
      </c>
      <c r="E1872" s="1" t="str">
        <f t="array" ref="E1872">_xlfn.XLOOKUP(A1872,Product!A:A,Product!B:B,"Bulunamadı")</f>
        <v>Law</v>
      </c>
      <c r="F1872" s="1" t="str">
        <f t="array" ref="F1872">_xlfn.XLOOKUP(A1872,Product!A:A,Product!C:C,"Bulunamadı")</f>
        <v>Motivation</v>
      </c>
      <c r="G1872" s="2" t="str">
        <f t="array" ref="G1872">_xlfn.XLOOKUP(A1873,Product!A:A,Product!D:D,"Bulunamadı")</f>
        <v>Ironbrook Books</v>
      </c>
      <c r="H1872" s="2">
        <f t="array" ref="H1872">_xlfn.XLOOKUP(A1874,Product!A:A,Product!E:E,"Bulunamadı")</f>
        <v>2.21</v>
      </c>
      <c r="I1872" s="2" t="str">
        <f t="shared" si="1"/>
        <v>10648 - Law - Motivation</v>
      </c>
      <c r="J1872" s="2">
        <f t="shared" si="2"/>
        <v>965.77</v>
      </c>
      <c r="K1872" s="17">
        <f t="shared" si="3"/>
        <v>1</v>
      </c>
      <c r="L1872" s="18"/>
    </row>
    <row r="1873" hidden="1">
      <c r="A1873" s="2">
        <f>IFERROR(__xludf.DUMMYFUNCTION("""COMPUTED_VALUE"""),114947.0)</f>
        <v>114947</v>
      </c>
      <c r="B1873" s="2">
        <f>IFERROR(__xludf.DUMMYFUNCTION("""COMPUTED_VALUE"""),0.0)</f>
        <v>0</v>
      </c>
      <c r="C1873" s="2">
        <f>IFERROR(__xludf.DUMMYFUNCTION("""COMPUTED_VALUE"""),839.0)</f>
        <v>839</v>
      </c>
      <c r="D1873" s="3">
        <f>IFERROR(__xludf.DUMMYFUNCTION("""COMPUTED_VALUE"""),28.0)</f>
        <v>28</v>
      </c>
      <c r="E1873" s="1" t="str">
        <f t="array" ref="E1873">_xlfn.XLOOKUP(A1873,Product!A:A,Product!B:B,"Bulunamadı")</f>
        <v>Law</v>
      </c>
      <c r="F1873" s="1" t="str">
        <f t="array" ref="F1873">_xlfn.XLOOKUP(A1873,Product!A:A,Product!C:C,"Bulunamadı")</f>
        <v>Motivation</v>
      </c>
      <c r="G1873" s="2" t="str">
        <f t="array" ref="G1873">_xlfn.XLOOKUP(A1874,Product!A:A,Product!D:D,"Bulunamadı")</f>
        <v>Ironbrook Books</v>
      </c>
      <c r="H1873" s="2">
        <f t="array" ref="H1873">_xlfn.XLOOKUP(A1875,Product!A:A,Product!E:E,"Bulunamadı")</f>
        <v>25.17</v>
      </c>
      <c r="I1873" s="2" t="str">
        <f t="shared" si="1"/>
        <v>114947 - Law - Motivation</v>
      </c>
      <c r="J1873" s="2">
        <f t="shared" si="2"/>
        <v>704.76</v>
      </c>
      <c r="K1873" s="17">
        <f t="shared" si="3"/>
        <v>1</v>
      </c>
      <c r="L1873" s="18"/>
    </row>
    <row r="1874" hidden="1">
      <c r="A1874" s="2">
        <f>IFERROR(__xludf.DUMMYFUNCTION("""COMPUTED_VALUE"""),44728.0)</f>
        <v>44728</v>
      </c>
      <c r="B1874" s="2">
        <f>IFERROR(__xludf.DUMMYFUNCTION("""COMPUTED_VALUE"""),1.0)</f>
        <v>1</v>
      </c>
      <c r="C1874" s="2">
        <f>IFERROR(__xludf.DUMMYFUNCTION("""COMPUTED_VALUE"""),327.0)</f>
        <v>327</v>
      </c>
      <c r="D1874" s="3">
        <f>IFERROR(__xludf.DUMMYFUNCTION("""COMPUTED_VALUE"""),100.0)</f>
        <v>100</v>
      </c>
      <c r="E1874" s="1" t="str">
        <f t="array" ref="E1874">_xlfn.XLOOKUP(A1874,Product!A:A,Product!B:B,"Bulunamadı")</f>
        <v>Law</v>
      </c>
      <c r="F1874" s="1" t="str">
        <f t="array" ref="F1874">_xlfn.XLOOKUP(A1874,Product!A:A,Product!C:C,"Bulunamadı")</f>
        <v>Motivation</v>
      </c>
      <c r="G1874" s="2" t="str">
        <f t="array" ref="G1874">_xlfn.XLOOKUP(A1875,Product!A:A,Product!D:D,"Bulunamadı")</f>
        <v>Ironbrook Books</v>
      </c>
      <c r="H1874" s="2">
        <f t="array" ref="H1874">_xlfn.XLOOKUP(A1876,Product!A:A,Product!E:E,"Bulunamadı")</f>
        <v>2.15</v>
      </c>
      <c r="I1874" s="2" t="str">
        <f t="shared" si="1"/>
        <v>44728 - Law - Motivation</v>
      </c>
      <c r="J1874" s="2">
        <f t="shared" si="2"/>
        <v>215</v>
      </c>
      <c r="K1874" s="17">
        <f t="shared" si="3"/>
        <v>1</v>
      </c>
      <c r="L1874" s="18"/>
    </row>
    <row r="1875" hidden="1">
      <c r="A1875" s="2">
        <f>IFERROR(__xludf.DUMMYFUNCTION("""COMPUTED_VALUE"""),120709.0)</f>
        <v>120709</v>
      </c>
      <c r="B1875" s="2">
        <f>IFERROR(__xludf.DUMMYFUNCTION("""COMPUTED_VALUE"""),1.0)</f>
        <v>1</v>
      </c>
      <c r="C1875" s="2">
        <f>IFERROR(__xludf.DUMMYFUNCTION("""COMPUTED_VALUE"""),542.0)</f>
        <v>542</v>
      </c>
      <c r="D1875" s="3">
        <f>IFERROR(__xludf.DUMMYFUNCTION("""COMPUTED_VALUE"""),453.0)</f>
        <v>453</v>
      </c>
      <c r="E1875" s="1" t="str">
        <f t="array" ref="E1875">_xlfn.XLOOKUP(A1875,Product!A:A,Product!B:B,"Bulunamadı")</f>
        <v>Law</v>
      </c>
      <c r="F1875" s="1" t="str">
        <f t="array" ref="F1875">_xlfn.XLOOKUP(A1875,Product!A:A,Product!C:C,"Bulunamadı")</f>
        <v>Motivation</v>
      </c>
      <c r="G1875" s="2" t="str">
        <f t="array" ref="G1875">_xlfn.XLOOKUP(A1876,Product!A:A,Product!D:D,"Bulunamadı")</f>
        <v>Ironbrook Books</v>
      </c>
      <c r="H1875" s="2">
        <f t="array" ref="H1875">_xlfn.XLOOKUP(A1877,Product!A:A,Product!E:E,"Bulunamadı")</f>
        <v>3.66</v>
      </c>
      <c r="I1875" s="2" t="str">
        <f t="shared" si="1"/>
        <v>120709 - Law - Motivation</v>
      </c>
      <c r="J1875" s="2">
        <f t="shared" si="2"/>
        <v>1657.98</v>
      </c>
      <c r="K1875" s="17">
        <f t="shared" si="3"/>
        <v>1</v>
      </c>
      <c r="L1875" s="18"/>
    </row>
    <row r="1876" hidden="1">
      <c r="A1876" s="2">
        <f>IFERROR(__xludf.DUMMYFUNCTION("""COMPUTED_VALUE"""),114949.0)</f>
        <v>114949</v>
      </c>
      <c r="B1876" s="2">
        <f>IFERROR(__xludf.DUMMYFUNCTION("""COMPUTED_VALUE"""),0.0)</f>
        <v>0</v>
      </c>
      <c r="C1876" s="2">
        <f>IFERROR(__xludf.DUMMYFUNCTION("""COMPUTED_VALUE"""),902.0)</f>
        <v>902</v>
      </c>
      <c r="D1876" s="3">
        <f>IFERROR(__xludf.DUMMYFUNCTION("""COMPUTED_VALUE"""),337.0)</f>
        <v>337</v>
      </c>
      <c r="E1876" s="1" t="str">
        <f t="array" ref="E1876">_xlfn.XLOOKUP(A1876,Product!A:A,Product!B:B,"Bulunamadı")</f>
        <v>Law</v>
      </c>
      <c r="F1876" s="1" t="str">
        <f t="array" ref="F1876">_xlfn.XLOOKUP(A1876,Product!A:A,Product!C:C,"Bulunamadı")</f>
        <v>Motivation</v>
      </c>
      <c r="G1876" s="2" t="str">
        <f t="array" ref="G1876">_xlfn.XLOOKUP(A1877,Product!A:A,Product!D:D,"Bulunamadı")</f>
        <v>Ironbrook Books</v>
      </c>
      <c r="H1876" s="2">
        <f t="array" ref="H1876">_xlfn.XLOOKUP(A1878,Product!A:A,Product!E:E,"Bulunamadı")</f>
        <v>2.04</v>
      </c>
      <c r="I1876" s="2" t="str">
        <f t="shared" si="1"/>
        <v>114949 - Law - Motivation</v>
      </c>
      <c r="J1876" s="2">
        <f t="shared" si="2"/>
        <v>687.48</v>
      </c>
      <c r="K1876" s="17">
        <f t="shared" si="3"/>
        <v>1</v>
      </c>
      <c r="L1876" s="18"/>
    </row>
    <row r="1877" hidden="1">
      <c r="A1877" s="2">
        <f>IFERROR(__xludf.DUMMYFUNCTION("""COMPUTED_VALUE"""),48706.0)</f>
        <v>48706</v>
      </c>
      <c r="B1877" s="2">
        <f>IFERROR(__xludf.DUMMYFUNCTION("""COMPUTED_VALUE"""),1.0)</f>
        <v>1</v>
      </c>
      <c r="C1877" s="2">
        <f>IFERROR(__xludf.DUMMYFUNCTION("""COMPUTED_VALUE"""),374.0)</f>
        <v>374</v>
      </c>
      <c r="D1877" s="3">
        <f>IFERROR(__xludf.DUMMYFUNCTION("""COMPUTED_VALUE"""),191.0)</f>
        <v>191</v>
      </c>
      <c r="E1877" s="1" t="str">
        <f t="array" ref="E1877">_xlfn.XLOOKUP(A1877,Product!A:A,Product!B:B,"Bulunamadı")</f>
        <v>Law</v>
      </c>
      <c r="F1877" s="1" t="str">
        <f t="array" ref="F1877">_xlfn.XLOOKUP(A1877,Product!A:A,Product!C:C,"Bulunamadı")</f>
        <v>Motivation</v>
      </c>
      <c r="G1877" s="2" t="str">
        <f t="array" ref="G1877">_xlfn.XLOOKUP(A1878,Product!A:A,Product!D:D,"Bulunamadı")</f>
        <v>Ironbrook Books</v>
      </c>
      <c r="H1877" s="2">
        <f t="array" ref="H1877">_xlfn.XLOOKUP(A1879,Product!A:A,Product!E:E,"Bulunamadı")</f>
        <v>2.23</v>
      </c>
      <c r="I1877" s="2" t="str">
        <f t="shared" si="1"/>
        <v>48706 - Law - Motivation</v>
      </c>
      <c r="J1877" s="2">
        <f t="shared" si="2"/>
        <v>425.93</v>
      </c>
      <c r="K1877" s="17">
        <f t="shared" si="3"/>
        <v>1</v>
      </c>
      <c r="L1877" s="18"/>
    </row>
    <row r="1878" hidden="1">
      <c r="A1878" s="2">
        <f>IFERROR(__xludf.DUMMYFUNCTION("""COMPUTED_VALUE"""),78411.0)</f>
        <v>78411</v>
      </c>
      <c r="B1878" s="2">
        <f>IFERROR(__xludf.DUMMYFUNCTION("""COMPUTED_VALUE"""),0.0)</f>
        <v>0</v>
      </c>
      <c r="C1878" s="2">
        <f>IFERROR(__xludf.DUMMYFUNCTION("""COMPUTED_VALUE"""),780.0)</f>
        <v>780</v>
      </c>
      <c r="D1878" s="3">
        <f>IFERROR(__xludf.DUMMYFUNCTION("""COMPUTED_VALUE"""),100.0)</f>
        <v>100</v>
      </c>
      <c r="E1878" s="1" t="str">
        <f t="array" ref="E1878">_xlfn.XLOOKUP(A1878,Product!A:A,Product!B:B,"Bulunamadı")</f>
        <v>Law</v>
      </c>
      <c r="F1878" s="1" t="str">
        <f t="array" ref="F1878">_xlfn.XLOOKUP(A1878,Product!A:A,Product!C:C,"Bulunamadı")</f>
        <v>Motivation</v>
      </c>
      <c r="G1878" s="2" t="str">
        <f t="array" ref="G1878">_xlfn.XLOOKUP(A1879,Product!A:A,Product!D:D,"Bulunamadı")</f>
        <v>Ironbrook Books</v>
      </c>
      <c r="H1878" s="2">
        <f t="array" ref="H1878">_xlfn.XLOOKUP(A1880,Product!A:A,Product!E:E,"Bulunamadı")</f>
        <v>10.24</v>
      </c>
      <c r="I1878" s="2" t="str">
        <f t="shared" si="1"/>
        <v>78411 - Law - Motivation</v>
      </c>
      <c r="J1878" s="2">
        <f t="shared" si="2"/>
        <v>1024</v>
      </c>
      <c r="K1878" s="17">
        <f t="shared" si="3"/>
        <v>1</v>
      </c>
      <c r="L1878" s="18"/>
    </row>
    <row r="1879" hidden="1">
      <c r="A1879" s="2">
        <f>IFERROR(__xludf.DUMMYFUNCTION("""COMPUTED_VALUE"""),120016.0)</f>
        <v>120016</v>
      </c>
      <c r="B1879" s="2">
        <f>IFERROR(__xludf.DUMMYFUNCTION("""COMPUTED_VALUE"""),1.0)</f>
        <v>1</v>
      </c>
      <c r="C1879" s="2">
        <f>IFERROR(__xludf.DUMMYFUNCTION("""COMPUTED_VALUE"""),545.0)</f>
        <v>545</v>
      </c>
      <c r="D1879" s="3">
        <f>IFERROR(__xludf.DUMMYFUNCTION("""COMPUTED_VALUE"""),344.0)</f>
        <v>344</v>
      </c>
      <c r="E1879" s="1" t="str">
        <f t="array" ref="E1879">_xlfn.XLOOKUP(A1879,Product!A:A,Product!B:B,"Bulunamadı")</f>
        <v>Law</v>
      </c>
      <c r="F1879" s="1" t="str">
        <f t="array" ref="F1879">_xlfn.XLOOKUP(A1879,Product!A:A,Product!C:C,"Bulunamadı")</f>
        <v>Motivation</v>
      </c>
      <c r="G1879" s="2" t="str">
        <f t="array" ref="G1879">_xlfn.XLOOKUP(A1880,Product!A:A,Product!D:D,"Bulunamadı")</f>
        <v>Ironbrook Books</v>
      </c>
      <c r="H1879" s="2">
        <f t="array" ref="H1879">_xlfn.XLOOKUP(A1881,Product!A:A,Product!E:E,"Bulunamadı")</f>
        <v>1.81</v>
      </c>
      <c r="I1879" s="2" t="str">
        <f t="shared" si="1"/>
        <v>120016 - Law - Motivation</v>
      </c>
      <c r="J1879" s="2">
        <f t="shared" si="2"/>
        <v>622.64</v>
      </c>
      <c r="K1879" s="17">
        <f t="shared" si="3"/>
        <v>1</v>
      </c>
      <c r="L1879" s="18"/>
    </row>
    <row r="1880" hidden="1">
      <c r="A1880" s="2">
        <f>IFERROR(__xludf.DUMMYFUNCTION("""COMPUTED_VALUE"""),120710.0)</f>
        <v>120710</v>
      </c>
      <c r="B1880" s="2">
        <f>IFERROR(__xludf.DUMMYFUNCTION("""COMPUTED_VALUE"""),1.0)</f>
        <v>1</v>
      </c>
      <c r="C1880" s="2">
        <f>IFERROR(__xludf.DUMMYFUNCTION("""COMPUTED_VALUE"""),326.0)</f>
        <v>326</v>
      </c>
      <c r="D1880" s="3">
        <f>IFERROR(__xludf.DUMMYFUNCTION("""COMPUTED_VALUE"""),263.0)</f>
        <v>263</v>
      </c>
      <c r="E1880" s="1" t="str">
        <f t="array" ref="E1880">_xlfn.XLOOKUP(A1880,Product!A:A,Product!B:B,"Bulunamadı")</f>
        <v>Law</v>
      </c>
      <c r="F1880" s="1" t="str">
        <f t="array" ref="F1880">_xlfn.XLOOKUP(A1880,Product!A:A,Product!C:C,"Bulunamadı")</f>
        <v>Motivation</v>
      </c>
      <c r="G1880" s="2" t="str">
        <f t="array" ref="G1880">_xlfn.XLOOKUP(A1881,Product!A:A,Product!D:D,"Bulunamadı")</f>
        <v>Ironbrook Books</v>
      </c>
      <c r="H1880" s="2">
        <f t="array" ref="H1880">_xlfn.XLOOKUP(A1882,Product!A:A,Product!E:E,"Bulunamadı")</f>
        <v>2.29</v>
      </c>
      <c r="I1880" s="2" t="str">
        <f t="shared" si="1"/>
        <v>120710 - Law - Motivation</v>
      </c>
      <c r="J1880" s="2">
        <f t="shared" si="2"/>
        <v>602.27</v>
      </c>
      <c r="K1880" s="17">
        <f t="shared" si="3"/>
        <v>1</v>
      </c>
      <c r="L1880" s="18"/>
    </row>
    <row r="1881" hidden="1">
      <c r="A1881" s="2">
        <f>IFERROR(__xludf.DUMMYFUNCTION("""COMPUTED_VALUE"""),48705.0)</f>
        <v>48705</v>
      </c>
      <c r="B1881" s="2">
        <f>IFERROR(__xludf.DUMMYFUNCTION("""COMPUTED_VALUE"""),1.0)</f>
        <v>1</v>
      </c>
      <c r="C1881" s="2">
        <f>IFERROR(__xludf.DUMMYFUNCTION("""COMPUTED_VALUE"""),489.0)</f>
        <v>489</v>
      </c>
      <c r="D1881" s="3">
        <f>IFERROR(__xludf.DUMMYFUNCTION("""COMPUTED_VALUE"""),67.0)</f>
        <v>67</v>
      </c>
      <c r="E1881" s="1" t="str">
        <f t="array" ref="E1881">_xlfn.XLOOKUP(A1881,Product!A:A,Product!B:B,"Bulunamadı")</f>
        <v>Law</v>
      </c>
      <c r="F1881" s="1" t="str">
        <f t="array" ref="F1881">_xlfn.XLOOKUP(A1881,Product!A:A,Product!C:C,"Bulunamadı")</f>
        <v>Motivation</v>
      </c>
      <c r="G1881" s="2" t="str">
        <f t="array" ref="G1881">_xlfn.XLOOKUP(A1882,Product!A:A,Product!D:D,"Bulunamadı")</f>
        <v>Ironbrook Books</v>
      </c>
      <c r="H1881" s="2">
        <f t="array" ref="H1881">_xlfn.XLOOKUP(A1883,Product!A:A,Product!E:E,"Bulunamadı")</f>
        <v>2.6</v>
      </c>
      <c r="I1881" s="2" t="str">
        <f t="shared" si="1"/>
        <v>48705 - Law - Motivation</v>
      </c>
      <c r="J1881" s="2">
        <f t="shared" si="2"/>
        <v>174.2</v>
      </c>
      <c r="K1881" s="17">
        <f t="shared" si="3"/>
        <v>1</v>
      </c>
      <c r="L1881" s="18"/>
    </row>
    <row r="1882" hidden="1">
      <c r="A1882" s="2">
        <f>IFERROR(__xludf.DUMMYFUNCTION("""COMPUTED_VALUE"""),114948.0)</f>
        <v>114948</v>
      </c>
      <c r="B1882" s="2">
        <f>IFERROR(__xludf.DUMMYFUNCTION("""COMPUTED_VALUE"""),0.0)</f>
        <v>0</v>
      </c>
      <c r="C1882" s="2">
        <f>IFERROR(__xludf.DUMMYFUNCTION("""COMPUTED_VALUE"""),950.0)</f>
        <v>950</v>
      </c>
      <c r="D1882" s="3">
        <f>IFERROR(__xludf.DUMMYFUNCTION("""COMPUTED_VALUE"""),237.0)</f>
        <v>237</v>
      </c>
      <c r="E1882" s="1" t="str">
        <f t="array" ref="E1882">_xlfn.XLOOKUP(A1882,Product!A:A,Product!B:B,"Bulunamadı")</f>
        <v>Law</v>
      </c>
      <c r="F1882" s="1" t="str">
        <f t="array" ref="F1882">_xlfn.XLOOKUP(A1882,Product!A:A,Product!C:C,"Bulunamadı")</f>
        <v>Motivation</v>
      </c>
      <c r="G1882" s="2" t="str">
        <f t="array" ref="G1882">_xlfn.XLOOKUP(A1883,Product!A:A,Product!D:D,"Bulunamadı")</f>
        <v>Ironbrook Books</v>
      </c>
      <c r="H1882" s="2">
        <f t="array" ref="H1882">_xlfn.XLOOKUP(A1884,Product!A:A,Product!E:E,"Bulunamadı")</f>
        <v>2.52</v>
      </c>
      <c r="I1882" s="2" t="str">
        <f t="shared" si="1"/>
        <v>114948 - Law - Motivation</v>
      </c>
      <c r="J1882" s="2">
        <f t="shared" si="2"/>
        <v>597.24</v>
      </c>
      <c r="K1882" s="17">
        <f t="shared" si="3"/>
        <v>1</v>
      </c>
      <c r="L1882" s="18"/>
    </row>
    <row r="1883" hidden="1">
      <c r="A1883" s="2">
        <f>IFERROR(__xludf.DUMMYFUNCTION("""COMPUTED_VALUE"""),117330.0)</f>
        <v>117330</v>
      </c>
      <c r="B1883" s="2">
        <f>IFERROR(__xludf.DUMMYFUNCTION("""COMPUTED_VALUE"""),1.0)</f>
        <v>1</v>
      </c>
      <c r="C1883" s="2">
        <f>IFERROR(__xludf.DUMMYFUNCTION("""COMPUTED_VALUE"""),218.0)</f>
        <v>218</v>
      </c>
      <c r="D1883" s="3">
        <f>IFERROR(__xludf.DUMMYFUNCTION("""COMPUTED_VALUE"""),100.0)</f>
        <v>100</v>
      </c>
      <c r="E1883" s="1" t="str">
        <f t="array" ref="E1883">_xlfn.XLOOKUP(A1883,Product!A:A,Product!B:B,"Bulunamadı")</f>
        <v>Law</v>
      </c>
      <c r="F1883" s="1" t="str">
        <f t="array" ref="F1883">_xlfn.XLOOKUP(A1883,Product!A:A,Product!C:C,"Bulunamadı")</f>
        <v>Motivation</v>
      </c>
      <c r="G1883" s="2" t="str">
        <f t="array" ref="G1883">_xlfn.XLOOKUP(A1884,Product!A:A,Product!D:D,"Bulunamadı")</f>
        <v>Ironbrook Books</v>
      </c>
      <c r="H1883" s="2">
        <f t="array" ref="H1883">_xlfn.XLOOKUP(A1885,Product!A:A,Product!E:E,"Bulunamadı")</f>
        <v>4</v>
      </c>
      <c r="I1883" s="2" t="str">
        <f t="shared" si="1"/>
        <v>117330 - Law - Motivation</v>
      </c>
      <c r="J1883" s="2">
        <f t="shared" si="2"/>
        <v>400</v>
      </c>
      <c r="K1883" s="17">
        <f t="shared" si="3"/>
        <v>1</v>
      </c>
      <c r="L1883" s="18"/>
    </row>
    <row r="1884" hidden="1">
      <c r="A1884" s="2">
        <f>IFERROR(__xludf.DUMMYFUNCTION("""COMPUTED_VALUE"""),89665.0)</f>
        <v>89665</v>
      </c>
      <c r="B1884" s="2">
        <f>IFERROR(__xludf.DUMMYFUNCTION("""COMPUTED_VALUE"""),0.0)</f>
        <v>0</v>
      </c>
      <c r="C1884" s="2">
        <f>IFERROR(__xludf.DUMMYFUNCTION("""COMPUTED_VALUE"""),780.0)</f>
        <v>780</v>
      </c>
      <c r="D1884" s="3">
        <f>IFERROR(__xludf.DUMMYFUNCTION("""COMPUTED_VALUE"""),456.0)</f>
        <v>456</v>
      </c>
      <c r="E1884" s="1" t="str">
        <f t="array" ref="E1884">_xlfn.XLOOKUP(A1884,Product!A:A,Product!B:B,"Bulunamadı")</f>
        <v>Law</v>
      </c>
      <c r="F1884" s="1" t="str">
        <f t="array" ref="F1884">_xlfn.XLOOKUP(A1884,Product!A:A,Product!C:C,"Bulunamadı")</f>
        <v>Motivation</v>
      </c>
      <c r="G1884" s="2" t="str">
        <f t="array" ref="G1884">_xlfn.XLOOKUP(A1885,Product!A:A,Product!D:D,"Bulunamadı")</f>
        <v>Silverstone Press</v>
      </c>
      <c r="H1884" s="2">
        <f t="array" ref="H1884">_xlfn.XLOOKUP(A1886,Product!A:A,Product!E:E,"Bulunamadı")</f>
        <v>3.92</v>
      </c>
      <c r="I1884" s="2" t="str">
        <f t="shared" si="1"/>
        <v>89665 - Law - Motivation</v>
      </c>
      <c r="J1884" s="2">
        <f t="shared" si="2"/>
        <v>1787.52</v>
      </c>
      <c r="K1884" s="17">
        <f t="shared" si="3"/>
        <v>1</v>
      </c>
      <c r="L1884" s="18"/>
    </row>
    <row r="1885" hidden="1">
      <c r="A1885" s="2">
        <f>IFERROR(__xludf.DUMMYFUNCTION("""COMPUTED_VALUE"""),89450.0)</f>
        <v>89450</v>
      </c>
      <c r="B1885" s="2">
        <f>IFERROR(__xludf.DUMMYFUNCTION("""COMPUTED_VALUE"""),0.0)</f>
        <v>0</v>
      </c>
      <c r="C1885" s="2">
        <f>IFERROR(__xludf.DUMMYFUNCTION("""COMPUTED_VALUE"""),562.0)</f>
        <v>562</v>
      </c>
      <c r="D1885" s="3">
        <f>IFERROR(__xludf.DUMMYFUNCTION("""COMPUTED_VALUE"""),393.0)</f>
        <v>393</v>
      </c>
      <c r="E1885" s="1" t="str">
        <f t="array" ref="E1885">_xlfn.XLOOKUP(A1885,Product!A:A,Product!B:B,"Bulunamadı")</f>
        <v>Sports</v>
      </c>
      <c r="F1885" s="1" t="str">
        <f t="array" ref="F1885">_xlfn.XLOOKUP(A1885,Product!A:A,Product!C:C,"Bulunamadı")</f>
        <v>Mindfulness</v>
      </c>
      <c r="G1885" s="2" t="str">
        <f t="array" ref="G1885">_xlfn.XLOOKUP(A1886,Product!A:A,Product!D:D,"Bulunamadı")</f>
        <v>Silverstone Press</v>
      </c>
      <c r="H1885" s="2">
        <f t="array" ref="H1885">_xlfn.XLOOKUP(A1887,Product!A:A,Product!E:E,"Bulunamadı")</f>
        <v>4</v>
      </c>
      <c r="I1885" s="2" t="str">
        <f t="shared" si="1"/>
        <v>89450 - Sports - Mindfulness</v>
      </c>
      <c r="J1885" s="2">
        <f t="shared" si="2"/>
        <v>1572</v>
      </c>
      <c r="K1885" s="17">
        <f t="shared" si="3"/>
        <v>1</v>
      </c>
      <c r="L1885" s="18"/>
    </row>
    <row r="1886" hidden="1">
      <c r="A1886" s="2">
        <f>IFERROR(__xludf.DUMMYFUNCTION("""COMPUTED_VALUE"""),72080.0)</f>
        <v>72080</v>
      </c>
      <c r="B1886" s="2">
        <f>IFERROR(__xludf.DUMMYFUNCTION("""COMPUTED_VALUE"""),0.0)</f>
        <v>0</v>
      </c>
      <c r="C1886" s="2">
        <f>IFERROR(__xludf.DUMMYFUNCTION("""COMPUTED_VALUE"""),152.0)</f>
        <v>152</v>
      </c>
      <c r="D1886" s="3">
        <f>IFERROR(__xludf.DUMMYFUNCTION("""COMPUTED_VALUE"""),32.0)</f>
        <v>32</v>
      </c>
      <c r="E1886" s="1" t="str">
        <f t="array" ref="E1886">_xlfn.XLOOKUP(A1886,Product!A:A,Product!B:B,"Bulunamadı")</f>
        <v>Sports</v>
      </c>
      <c r="F1886" s="1" t="str">
        <f t="array" ref="F1886">_xlfn.XLOOKUP(A1886,Product!A:A,Product!C:C,"Bulunamadı")</f>
        <v>Mindfulness</v>
      </c>
      <c r="G1886" s="2" t="str">
        <f t="array" ref="G1886">_xlfn.XLOOKUP(A1887,Product!A:A,Product!D:D,"Bulunamadı")</f>
        <v>Silverstone Press</v>
      </c>
      <c r="H1886" s="2">
        <f t="array" ref="H1886">_xlfn.XLOOKUP(A1888,Product!A:A,Product!E:E,"Bulunamadı")</f>
        <v>4.57</v>
      </c>
      <c r="I1886" s="2" t="str">
        <f t="shared" si="1"/>
        <v>72080 - Sports - Mindfulness</v>
      </c>
      <c r="J1886" s="2">
        <f t="shared" si="2"/>
        <v>146.24</v>
      </c>
      <c r="K1886" s="17">
        <f t="shared" si="3"/>
        <v>1</v>
      </c>
      <c r="L1886" s="18"/>
    </row>
    <row r="1887" hidden="1">
      <c r="A1887" s="2">
        <f>IFERROR(__xludf.DUMMYFUNCTION("""COMPUTED_VALUE"""),72086.0)</f>
        <v>72086</v>
      </c>
      <c r="B1887" s="2">
        <f>IFERROR(__xludf.DUMMYFUNCTION("""COMPUTED_VALUE"""),1.0)</f>
        <v>1</v>
      </c>
      <c r="C1887" s="2">
        <f>IFERROR(__xludf.DUMMYFUNCTION("""COMPUTED_VALUE"""),871.0)</f>
        <v>871</v>
      </c>
      <c r="D1887" s="3">
        <f>IFERROR(__xludf.DUMMYFUNCTION("""COMPUTED_VALUE"""),736.0)</f>
        <v>736</v>
      </c>
      <c r="E1887" s="1" t="str">
        <f t="array" ref="E1887">_xlfn.XLOOKUP(A1887,Product!A:A,Product!B:B,"Bulunamadı")</f>
        <v>Sports</v>
      </c>
      <c r="F1887" s="1" t="str">
        <f t="array" ref="F1887">_xlfn.XLOOKUP(A1887,Product!A:A,Product!C:C,"Bulunamadı")</f>
        <v>Mindfulness</v>
      </c>
      <c r="G1887" s="2" t="str">
        <f t="array" ref="G1887">_xlfn.XLOOKUP(A1888,Product!A:A,Product!D:D,"Bulunamadı")</f>
        <v>Silverstone Press</v>
      </c>
      <c r="H1887" s="2">
        <f t="array" ref="H1887">_xlfn.XLOOKUP(A1889,Product!A:A,Product!E:E,"Bulunamadı")</f>
        <v>3.64</v>
      </c>
      <c r="I1887" s="2" t="str">
        <f t="shared" si="1"/>
        <v>72086 - Sports - Mindfulness</v>
      </c>
      <c r="J1887" s="2">
        <f t="shared" si="2"/>
        <v>2679.04</v>
      </c>
      <c r="K1887" s="17">
        <f t="shared" si="3"/>
        <v>1</v>
      </c>
      <c r="L1887" s="18"/>
    </row>
    <row r="1888" hidden="1">
      <c r="A1888" s="2">
        <f>IFERROR(__xludf.DUMMYFUNCTION("""COMPUTED_VALUE"""),117076.0)</f>
        <v>117076</v>
      </c>
      <c r="B1888" s="2">
        <f>IFERROR(__xludf.DUMMYFUNCTION("""COMPUTED_VALUE"""),0.0)</f>
        <v>0</v>
      </c>
      <c r="C1888" s="2">
        <f>IFERROR(__xludf.DUMMYFUNCTION("""COMPUTED_VALUE"""),216.0)</f>
        <v>216</v>
      </c>
      <c r="D1888" s="3">
        <f>IFERROR(__xludf.DUMMYFUNCTION("""COMPUTED_VALUE"""),208.0)</f>
        <v>208</v>
      </c>
      <c r="E1888" s="1" t="str">
        <f t="array" ref="E1888">_xlfn.XLOOKUP(A1888,Product!A:A,Product!B:B,"Bulunamadı")</f>
        <v>Sports</v>
      </c>
      <c r="F1888" s="1" t="str">
        <f t="array" ref="F1888">_xlfn.XLOOKUP(A1888,Product!A:A,Product!C:C,"Bulunamadı")</f>
        <v>Mindfulness</v>
      </c>
      <c r="G1888" s="2" t="str">
        <f t="array" ref="G1888">_xlfn.XLOOKUP(A1889,Product!A:A,Product!D:D,"Bulunamadı")</f>
        <v>Silverstone Press</v>
      </c>
      <c r="H1888" s="2">
        <f t="array" ref="H1888">_xlfn.XLOOKUP(A1890,Product!A:A,Product!E:E,"Bulunamadı")</f>
        <v>4.03</v>
      </c>
      <c r="I1888" s="2" t="str">
        <f t="shared" si="1"/>
        <v>117076 - Sports - Mindfulness</v>
      </c>
      <c r="J1888" s="2">
        <f t="shared" si="2"/>
        <v>838.24</v>
      </c>
      <c r="K1888" s="17">
        <f t="shared" si="3"/>
        <v>1</v>
      </c>
      <c r="L1888" s="18"/>
    </row>
    <row r="1889" hidden="1">
      <c r="A1889" s="2">
        <f>IFERROR(__xludf.DUMMYFUNCTION("""COMPUTED_VALUE"""),72081.0)</f>
        <v>72081</v>
      </c>
      <c r="B1889" s="2">
        <f>IFERROR(__xludf.DUMMYFUNCTION("""COMPUTED_VALUE"""),1.0)</f>
        <v>1</v>
      </c>
      <c r="C1889" s="2">
        <f>IFERROR(__xludf.DUMMYFUNCTION("""COMPUTED_VALUE"""),735.0)</f>
        <v>735</v>
      </c>
      <c r="D1889" s="3">
        <f>IFERROR(__xludf.DUMMYFUNCTION("""COMPUTED_VALUE"""),53.0)</f>
        <v>53</v>
      </c>
      <c r="E1889" s="1" t="str">
        <f t="array" ref="E1889">_xlfn.XLOOKUP(A1889,Product!A:A,Product!B:B,"Bulunamadı")</f>
        <v>Sports</v>
      </c>
      <c r="F1889" s="1" t="str">
        <f t="array" ref="F1889">_xlfn.XLOOKUP(A1889,Product!A:A,Product!C:C,"Bulunamadı")</f>
        <v>Mindfulness</v>
      </c>
      <c r="G1889" s="2" t="str">
        <f t="array" ref="G1889">_xlfn.XLOOKUP(A1890,Product!A:A,Product!D:D,"Bulunamadı")</f>
        <v>Silverstone Press</v>
      </c>
      <c r="H1889" s="2">
        <f t="array" ref="H1889">_xlfn.XLOOKUP(A1891,Product!A:A,Product!E:E,"Bulunamadı")</f>
        <v>3.67</v>
      </c>
      <c r="I1889" s="2" t="str">
        <f t="shared" si="1"/>
        <v>72081 - Sports - Mindfulness</v>
      </c>
      <c r="J1889" s="2">
        <f t="shared" si="2"/>
        <v>194.51</v>
      </c>
      <c r="K1889" s="17">
        <f t="shared" si="3"/>
        <v>1</v>
      </c>
      <c r="L1889" s="18"/>
    </row>
    <row r="1890" hidden="1">
      <c r="A1890" s="2">
        <f>IFERROR(__xludf.DUMMYFUNCTION("""COMPUTED_VALUE"""),72088.0)</f>
        <v>72088</v>
      </c>
      <c r="B1890" s="2">
        <f>IFERROR(__xludf.DUMMYFUNCTION("""COMPUTED_VALUE"""),1.0)</f>
        <v>1</v>
      </c>
      <c r="C1890" s="2">
        <f>IFERROR(__xludf.DUMMYFUNCTION("""COMPUTED_VALUE"""),889.0)</f>
        <v>889</v>
      </c>
      <c r="D1890" s="3">
        <f>IFERROR(__xludf.DUMMYFUNCTION("""COMPUTED_VALUE"""),313.0)</f>
        <v>313</v>
      </c>
      <c r="E1890" s="1" t="str">
        <f t="array" ref="E1890">_xlfn.XLOOKUP(A1890,Product!A:A,Product!B:B,"Bulunamadı")</f>
        <v>Sports</v>
      </c>
      <c r="F1890" s="1" t="str">
        <f t="array" ref="F1890">_xlfn.XLOOKUP(A1890,Product!A:A,Product!C:C,"Bulunamadı")</f>
        <v>Mindfulness</v>
      </c>
      <c r="G1890" s="2" t="str">
        <f t="array" ref="G1890">_xlfn.XLOOKUP(A1891,Product!A:A,Product!D:D,"Bulunamadı")</f>
        <v>Silverstone Press</v>
      </c>
      <c r="H1890" s="2">
        <f t="array" ref="H1890">_xlfn.XLOOKUP(A1892,Product!A:A,Product!E:E,"Bulunamadı")</f>
        <v>4.65</v>
      </c>
      <c r="I1890" s="2" t="str">
        <f t="shared" si="1"/>
        <v>72088 - Sports - Mindfulness</v>
      </c>
      <c r="J1890" s="2">
        <f t="shared" si="2"/>
        <v>1455.45</v>
      </c>
      <c r="K1890" s="17">
        <f t="shared" si="3"/>
        <v>1</v>
      </c>
      <c r="L1890" s="18"/>
    </row>
    <row r="1891" hidden="1">
      <c r="A1891" s="2">
        <f>IFERROR(__xludf.DUMMYFUNCTION("""COMPUTED_VALUE"""),72078.0)</f>
        <v>72078</v>
      </c>
      <c r="B1891" s="2">
        <f>IFERROR(__xludf.DUMMYFUNCTION("""COMPUTED_VALUE"""),0.0)</f>
        <v>0</v>
      </c>
      <c r="C1891" s="2">
        <f>IFERROR(__xludf.DUMMYFUNCTION("""COMPUTED_VALUE"""),544.0)</f>
        <v>544</v>
      </c>
      <c r="D1891" s="3">
        <f>IFERROR(__xludf.DUMMYFUNCTION("""COMPUTED_VALUE"""),437.0)</f>
        <v>437</v>
      </c>
      <c r="E1891" s="1" t="str">
        <f t="array" ref="E1891">_xlfn.XLOOKUP(A1891,Product!A:A,Product!B:B,"Bulunamadı")</f>
        <v>Sports</v>
      </c>
      <c r="F1891" s="1" t="str">
        <f t="array" ref="F1891">_xlfn.XLOOKUP(A1891,Product!A:A,Product!C:C,"Bulunamadı")</f>
        <v>Mindfulness</v>
      </c>
      <c r="G1891" s="2" t="str">
        <f t="array" ref="G1891">_xlfn.XLOOKUP(A1892,Product!A:A,Product!D:D,"Bulunamadı")</f>
        <v>Silverstone Press</v>
      </c>
      <c r="H1891" s="2">
        <f t="array" ref="H1891">_xlfn.XLOOKUP(A1893,Product!A:A,Product!E:E,"Bulunamadı")</f>
        <v>4.61</v>
      </c>
      <c r="I1891" s="2" t="str">
        <f t="shared" si="1"/>
        <v>72078 - Sports - Mindfulness</v>
      </c>
      <c r="J1891" s="2">
        <f t="shared" si="2"/>
        <v>2014.57</v>
      </c>
      <c r="K1891" s="17">
        <f t="shared" si="3"/>
        <v>1</v>
      </c>
      <c r="L1891" s="18"/>
    </row>
    <row r="1892" hidden="1">
      <c r="A1892" s="2">
        <f>IFERROR(__xludf.DUMMYFUNCTION("""COMPUTED_VALUE"""),72085.0)</f>
        <v>72085</v>
      </c>
      <c r="B1892" s="2">
        <f>IFERROR(__xludf.DUMMYFUNCTION("""COMPUTED_VALUE"""),0.0)</f>
        <v>0</v>
      </c>
      <c r="C1892" s="2">
        <f>IFERROR(__xludf.DUMMYFUNCTION("""COMPUTED_VALUE"""),191.0)</f>
        <v>191</v>
      </c>
      <c r="D1892" s="3">
        <f>IFERROR(__xludf.DUMMYFUNCTION("""COMPUTED_VALUE"""),69.0)</f>
        <v>69</v>
      </c>
      <c r="E1892" s="1" t="str">
        <f t="array" ref="E1892">_xlfn.XLOOKUP(A1892,Product!A:A,Product!B:B,"Bulunamadı")</f>
        <v>Sports</v>
      </c>
      <c r="F1892" s="1" t="str">
        <f t="array" ref="F1892">_xlfn.XLOOKUP(A1892,Product!A:A,Product!C:C,"Bulunamadı")</f>
        <v>Mindfulness</v>
      </c>
      <c r="G1892" s="2" t="str">
        <f t="array" ref="G1892">_xlfn.XLOOKUP(A1893,Product!A:A,Product!D:D,"Bulunamadı")</f>
        <v>Silverstone Press</v>
      </c>
      <c r="H1892" s="2">
        <f t="array" ref="H1892">_xlfn.XLOOKUP(A1894,Product!A:A,Product!E:E,"Bulunamadı")</f>
        <v>3.9</v>
      </c>
      <c r="I1892" s="2" t="str">
        <f t="shared" si="1"/>
        <v>72085 - Sports - Mindfulness</v>
      </c>
      <c r="J1892" s="2">
        <f t="shared" si="2"/>
        <v>269.1</v>
      </c>
      <c r="K1892" s="17">
        <f t="shared" si="3"/>
        <v>1</v>
      </c>
      <c r="L1892" s="18"/>
    </row>
    <row r="1893" hidden="1">
      <c r="A1893" s="2">
        <f>IFERROR(__xludf.DUMMYFUNCTION("""COMPUTED_VALUE"""),112204.0)</f>
        <v>112204</v>
      </c>
      <c r="B1893" s="2">
        <f>IFERROR(__xludf.DUMMYFUNCTION("""COMPUTED_VALUE"""),1.0)</f>
        <v>1</v>
      </c>
      <c r="C1893" s="2">
        <f>IFERROR(__xludf.DUMMYFUNCTION("""COMPUTED_VALUE"""),167.0)</f>
        <v>167</v>
      </c>
      <c r="D1893" s="3">
        <f>IFERROR(__xludf.DUMMYFUNCTION("""COMPUTED_VALUE"""),117.0)</f>
        <v>117</v>
      </c>
      <c r="E1893" s="1" t="str">
        <f t="array" ref="E1893">_xlfn.XLOOKUP(A1893,Product!A:A,Product!B:B,"Bulunamadı")</f>
        <v>Sports</v>
      </c>
      <c r="F1893" s="1" t="str">
        <f t="array" ref="F1893">_xlfn.XLOOKUP(A1893,Product!A:A,Product!C:C,"Bulunamadı")</f>
        <v>Mindfulness</v>
      </c>
      <c r="G1893" s="2" t="str">
        <f t="array" ref="G1893">_xlfn.XLOOKUP(A1894,Product!A:A,Product!D:D,"Bulunamadı")</f>
        <v>Silverstone Press</v>
      </c>
      <c r="H1893" s="2">
        <f t="array" ref="H1893">_xlfn.XLOOKUP(A1895,Product!A:A,Product!E:E,"Bulunamadı")</f>
        <v>3.83</v>
      </c>
      <c r="I1893" s="2" t="str">
        <f t="shared" si="1"/>
        <v>112204 - Sports - Mindfulness</v>
      </c>
      <c r="J1893" s="2">
        <f t="shared" si="2"/>
        <v>448.11</v>
      </c>
      <c r="K1893" s="17">
        <f t="shared" si="3"/>
        <v>1</v>
      </c>
      <c r="L1893" s="18"/>
    </row>
    <row r="1894" hidden="1">
      <c r="A1894" s="2">
        <f>IFERROR(__xludf.DUMMYFUNCTION("""COMPUTED_VALUE"""),59138.0)</f>
        <v>59138</v>
      </c>
      <c r="B1894" s="2">
        <f>IFERROR(__xludf.DUMMYFUNCTION("""COMPUTED_VALUE"""),1.0)</f>
        <v>1</v>
      </c>
      <c r="C1894" s="2">
        <f>IFERROR(__xludf.DUMMYFUNCTION("""COMPUTED_VALUE"""),221.0)</f>
        <v>221</v>
      </c>
      <c r="D1894" s="3">
        <f>IFERROR(__xludf.DUMMYFUNCTION("""COMPUTED_VALUE"""),89.0)</f>
        <v>89</v>
      </c>
      <c r="E1894" s="1" t="str">
        <f t="array" ref="E1894">_xlfn.XLOOKUP(A1894,Product!A:A,Product!B:B,"Bulunamadı")</f>
        <v>Sports</v>
      </c>
      <c r="F1894" s="1" t="str">
        <f t="array" ref="F1894">_xlfn.XLOOKUP(A1894,Product!A:A,Product!C:C,"Bulunamadı")</f>
        <v>Mindfulness</v>
      </c>
      <c r="G1894" s="2" t="str">
        <f t="array" ref="G1894">_xlfn.XLOOKUP(A1895,Product!A:A,Product!D:D,"Bulunamadı")</f>
        <v>Silverstone Press</v>
      </c>
      <c r="H1894" s="2">
        <f t="array" ref="H1894">_xlfn.XLOOKUP(A1896,Product!A:A,Product!E:E,"Bulunamadı")</f>
        <v>7.33</v>
      </c>
      <c r="I1894" s="2" t="str">
        <f t="shared" si="1"/>
        <v>59138 - Sports - Mindfulness</v>
      </c>
      <c r="J1894" s="2">
        <f t="shared" si="2"/>
        <v>652.37</v>
      </c>
      <c r="K1894" s="17">
        <f t="shared" si="3"/>
        <v>1</v>
      </c>
      <c r="L1894" s="18"/>
    </row>
    <row r="1895" hidden="1">
      <c r="A1895" s="2">
        <f>IFERROR(__xludf.DUMMYFUNCTION("""COMPUTED_VALUE"""),72074.0)</f>
        <v>72074</v>
      </c>
      <c r="B1895" s="2">
        <f>IFERROR(__xludf.DUMMYFUNCTION("""COMPUTED_VALUE"""),0.0)</f>
        <v>0</v>
      </c>
      <c r="C1895" s="2">
        <f>IFERROR(__xludf.DUMMYFUNCTION("""COMPUTED_VALUE"""),661.0)</f>
        <v>661</v>
      </c>
      <c r="D1895" s="3">
        <f>IFERROR(__xludf.DUMMYFUNCTION("""COMPUTED_VALUE"""),86.0)</f>
        <v>86</v>
      </c>
      <c r="E1895" s="1" t="str">
        <f t="array" ref="E1895">_xlfn.XLOOKUP(A1895,Product!A:A,Product!B:B,"Bulunamadı")</f>
        <v>Sports</v>
      </c>
      <c r="F1895" s="1" t="str">
        <f t="array" ref="F1895">_xlfn.XLOOKUP(A1895,Product!A:A,Product!C:C,"Bulunamadı")</f>
        <v>Mindfulness</v>
      </c>
      <c r="G1895" s="2" t="str">
        <f t="array" ref="G1895">_xlfn.XLOOKUP(A1896,Product!A:A,Product!D:D,"Bulunamadı")</f>
        <v>Silverstone Press</v>
      </c>
      <c r="H1895" s="2">
        <f t="array" ref="H1895">_xlfn.XLOOKUP(A1897,Product!A:A,Product!E:E,"Bulunamadı")</f>
        <v>6.81</v>
      </c>
      <c r="I1895" s="2" t="str">
        <f t="shared" si="1"/>
        <v>72074 - Sports - Mindfulness</v>
      </c>
      <c r="J1895" s="2">
        <f t="shared" si="2"/>
        <v>585.66</v>
      </c>
      <c r="K1895" s="17">
        <f t="shared" si="3"/>
        <v>1</v>
      </c>
      <c r="L1895" s="18"/>
    </row>
    <row r="1896" hidden="1">
      <c r="A1896" s="2">
        <f>IFERROR(__xludf.DUMMYFUNCTION("""COMPUTED_VALUE"""),72096.0)</f>
        <v>72096</v>
      </c>
      <c r="B1896" s="2">
        <f>IFERROR(__xludf.DUMMYFUNCTION("""COMPUTED_VALUE"""),1.0)</f>
        <v>1</v>
      </c>
      <c r="C1896" s="2">
        <f>IFERROR(__xludf.DUMMYFUNCTION("""COMPUTED_VALUE"""),952.0)</f>
        <v>952</v>
      </c>
      <c r="D1896" s="3">
        <f>IFERROR(__xludf.DUMMYFUNCTION("""COMPUTED_VALUE"""),139.0)</f>
        <v>139</v>
      </c>
      <c r="E1896" s="1" t="str">
        <f t="array" ref="E1896">_xlfn.XLOOKUP(A1896,Product!A:A,Product!B:B,"Bulunamadı")</f>
        <v>Sports</v>
      </c>
      <c r="F1896" s="1" t="str">
        <f t="array" ref="F1896">_xlfn.XLOOKUP(A1896,Product!A:A,Product!C:C,"Bulunamadı")</f>
        <v>Mindfulness</v>
      </c>
      <c r="G1896" s="2" t="str">
        <f t="array" ref="G1896">_xlfn.XLOOKUP(A1897,Product!A:A,Product!D:D,"Bulunamadı")</f>
        <v>Silverstone Press</v>
      </c>
      <c r="H1896" s="2">
        <f t="array" ref="H1896">_xlfn.XLOOKUP(A1898,Product!A:A,Product!E:E,"Bulunamadı")</f>
        <v>2.96</v>
      </c>
      <c r="I1896" s="2" t="str">
        <f t="shared" si="1"/>
        <v>72096 - Sports - Mindfulness</v>
      </c>
      <c r="J1896" s="2">
        <f t="shared" si="2"/>
        <v>411.44</v>
      </c>
      <c r="K1896" s="17">
        <f t="shared" si="3"/>
        <v>1</v>
      </c>
      <c r="L1896" s="18"/>
    </row>
    <row r="1897" hidden="1">
      <c r="A1897" s="2">
        <f>IFERROR(__xludf.DUMMYFUNCTION("""COMPUTED_VALUE"""),72099.0)</f>
        <v>72099</v>
      </c>
      <c r="B1897" s="2">
        <f>IFERROR(__xludf.DUMMYFUNCTION("""COMPUTED_VALUE"""),1.0)</f>
        <v>1</v>
      </c>
      <c r="C1897" s="2">
        <f>IFERROR(__xludf.DUMMYFUNCTION("""COMPUTED_VALUE"""),717.0)</f>
        <v>717</v>
      </c>
      <c r="D1897" s="3">
        <f>IFERROR(__xludf.DUMMYFUNCTION("""COMPUTED_VALUE"""),66.0)</f>
        <v>66</v>
      </c>
      <c r="E1897" s="1" t="str">
        <f t="array" ref="E1897">_xlfn.XLOOKUP(A1897,Product!A:A,Product!B:B,"Bulunamadı")</f>
        <v>Sports</v>
      </c>
      <c r="F1897" s="1" t="str">
        <f t="array" ref="F1897">_xlfn.XLOOKUP(A1897,Product!A:A,Product!C:C,"Bulunamadı")</f>
        <v>Mindfulness</v>
      </c>
      <c r="G1897" s="2" t="str">
        <f t="array" ref="G1897">_xlfn.XLOOKUP(A1898,Product!A:A,Product!D:D,"Bulunamadı")</f>
        <v>Silverstone Press</v>
      </c>
      <c r="H1897" s="2">
        <f t="array" ref="H1897">_xlfn.XLOOKUP(A1899,Product!A:A,Product!E:E,"Bulunamadı")</f>
        <v>5.34</v>
      </c>
      <c r="I1897" s="2" t="str">
        <f t="shared" si="1"/>
        <v>72099 - Sports - Mindfulness</v>
      </c>
      <c r="J1897" s="2">
        <f t="shared" si="2"/>
        <v>352.44</v>
      </c>
      <c r="K1897" s="17">
        <f t="shared" si="3"/>
        <v>1</v>
      </c>
      <c r="L1897" s="18"/>
    </row>
    <row r="1898" hidden="1">
      <c r="A1898" s="2">
        <f>IFERROR(__xludf.DUMMYFUNCTION("""COMPUTED_VALUE"""),89451.0)</f>
        <v>89451</v>
      </c>
      <c r="B1898" s="2">
        <f>IFERROR(__xludf.DUMMYFUNCTION("""COMPUTED_VALUE"""),0.0)</f>
        <v>0</v>
      </c>
      <c r="C1898" s="2">
        <f>IFERROR(__xludf.DUMMYFUNCTION("""COMPUTED_VALUE"""),730.0)</f>
        <v>730</v>
      </c>
      <c r="D1898" s="3">
        <f>IFERROR(__xludf.DUMMYFUNCTION("""COMPUTED_VALUE"""),114.0)</f>
        <v>114</v>
      </c>
      <c r="E1898" s="1" t="str">
        <f t="array" ref="E1898">_xlfn.XLOOKUP(A1898,Product!A:A,Product!B:B,"Bulunamadı")</f>
        <v>Sports</v>
      </c>
      <c r="F1898" s="1" t="str">
        <f t="array" ref="F1898">_xlfn.XLOOKUP(A1898,Product!A:A,Product!C:C,"Bulunamadı")</f>
        <v>Mindfulness</v>
      </c>
      <c r="G1898" s="2" t="str">
        <f t="array" ref="G1898">_xlfn.XLOOKUP(A1899,Product!A:A,Product!D:D,"Bulunamadı")</f>
        <v>Silverstone Press</v>
      </c>
      <c r="H1898" s="2">
        <f t="array" ref="H1898">_xlfn.XLOOKUP(A1900,Product!A:A,Product!E:E,"Bulunamadı")</f>
        <v>4.8</v>
      </c>
      <c r="I1898" s="2" t="str">
        <f t="shared" si="1"/>
        <v>89451 - Sports - Mindfulness</v>
      </c>
      <c r="J1898" s="2">
        <f t="shared" si="2"/>
        <v>547.2</v>
      </c>
      <c r="K1898" s="17">
        <f t="shared" si="3"/>
        <v>1</v>
      </c>
      <c r="L1898" s="18"/>
    </row>
    <row r="1899" hidden="1">
      <c r="A1899" s="2">
        <f>IFERROR(__xludf.DUMMYFUNCTION("""COMPUTED_VALUE"""),29606.0)</f>
        <v>29606</v>
      </c>
      <c r="B1899" s="2">
        <f>IFERROR(__xludf.DUMMYFUNCTION("""COMPUTED_VALUE"""),0.0)</f>
        <v>0</v>
      </c>
      <c r="C1899" s="2">
        <f>IFERROR(__xludf.DUMMYFUNCTION("""COMPUTED_VALUE"""),522.0)</f>
        <v>522</v>
      </c>
      <c r="D1899" s="3">
        <f>IFERROR(__xludf.DUMMYFUNCTION("""COMPUTED_VALUE"""),276.0)</f>
        <v>276</v>
      </c>
      <c r="E1899" s="1" t="str">
        <f t="array" ref="E1899">_xlfn.XLOOKUP(A1899,Product!A:A,Product!B:B,"Bulunamadı")</f>
        <v>Sports</v>
      </c>
      <c r="F1899" s="1" t="str">
        <f t="array" ref="F1899">_xlfn.XLOOKUP(A1899,Product!A:A,Product!C:C,"Bulunamadı")</f>
        <v>Mindfulness</v>
      </c>
      <c r="G1899" s="2" t="str">
        <f t="array" ref="G1899">_xlfn.XLOOKUP(A1900,Product!A:A,Product!D:D,"Bulunamadı")</f>
        <v>Silverstone Press</v>
      </c>
      <c r="H1899" s="2">
        <f t="array" ref="H1899">_xlfn.XLOOKUP(A1901,Product!A:A,Product!E:E,"Bulunamadı")</f>
        <v>4.75</v>
      </c>
      <c r="I1899" s="2" t="str">
        <f t="shared" si="1"/>
        <v>29606 - Sports - Mindfulness</v>
      </c>
      <c r="J1899" s="2">
        <f t="shared" si="2"/>
        <v>1311</v>
      </c>
      <c r="K1899" s="17">
        <f t="shared" si="3"/>
        <v>1</v>
      </c>
      <c r="L1899" s="18"/>
    </row>
    <row r="1900" hidden="1">
      <c r="A1900" s="2">
        <f>IFERROR(__xludf.DUMMYFUNCTION("""COMPUTED_VALUE"""),72089.0)</f>
        <v>72089</v>
      </c>
      <c r="B1900" s="2">
        <f>IFERROR(__xludf.DUMMYFUNCTION("""COMPUTED_VALUE"""),1.0)</f>
        <v>1</v>
      </c>
      <c r="C1900" s="2">
        <f>IFERROR(__xludf.DUMMYFUNCTION("""COMPUTED_VALUE"""),336.0)</f>
        <v>336</v>
      </c>
      <c r="D1900" s="3">
        <f>IFERROR(__xludf.DUMMYFUNCTION("""COMPUTED_VALUE"""),294.0)</f>
        <v>294</v>
      </c>
      <c r="E1900" s="1" t="str">
        <f t="array" ref="E1900">_xlfn.XLOOKUP(A1900,Product!A:A,Product!B:B,"Bulunamadı")</f>
        <v>Sports</v>
      </c>
      <c r="F1900" s="1" t="str">
        <f t="array" ref="F1900">_xlfn.XLOOKUP(A1900,Product!A:A,Product!C:C,"Bulunamadı")</f>
        <v>Mindfulness</v>
      </c>
      <c r="G1900" s="2" t="str">
        <f t="array" ref="G1900">_xlfn.XLOOKUP(A1901,Product!A:A,Product!D:D,"Bulunamadı")</f>
        <v>Silverstone Press</v>
      </c>
      <c r="H1900" s="2">
        <f t="array" ref="H1900">_xlfn.XLOOKUP(A1902,Product!A:A,Product!E:E,"Bulunamadı")</f>
        <v>4.97</v>
      </c>
      <c r="I1900" s="2" t="str">
        <f t="shared" si="1"/>
        <v>72089 - Sports - Mindfulness</v>
      </c>
      <c r="J1900" s="2">
        <f t="shared" si="2"/>
        <v>1461.18</v>
      </c>
      <c r="K1900" s="17">
        <f t="shared" si="3"/>
        <v>1</v>
      </c>
      <c r="L1900" s="18"/>
    </row>
    <row r="1901" hidden="1">
      <c r="A1901" s="2">
        <f>IFERROR(__xludf.DUMMYFUNCTION("""COMPUTED_VALUE"""),29601.0)</f>
        <v>29601</v>
      </c>
      <c r="B1901" s="2">
        <f>IFERROR(__xludf.DUMMYFUNCTION("""COMPUTED_VALUE"""),1.0)</f>
        <v>1</v>
      </c>
      <c r="C1901" s="2">
        <f>IFERROR(__xludf.DUMMYFUNCTION("""COMPUTED_VALUE"""),609.0)</f>
        <v>609</v>
      </c>
      <c r="D1901" s="3">
        <f>IFERROR(__xludf.DUMMYFUNCTION("""COMPUTED_VALUE"""),417.0)</f>
        <v>417</v>
      </c>
      <c r="E1901" s="1" t="str">
        <f t="array" ref="E1901">_xlfn.XLOOKUP(A1901,Product!A:A,Product!B:B,"Bulunamadı")</f>
        <v>Sports</v>
      </c>
      <c r="F1901" s="1" t="str">
        <f t="array" ref="F1901">_xlfn.XLOOKUP(A1901,Product!A:A,Product!C:C,"Bulunamadı")</f>
        <v>Mindfulness</v>
      </c>
      <c r="G1901" s="2" t="str">
        <f t="array" ref="G1901">_xlfn.XLOOKUP(A1902,Product!A:A,Product!D:D,"Bulunamadı")</f>
        <v>Silverstone Press</v>
      </c>
      <c r="H1901" s="2">
        <f t="array" ref="H1901">_xlfn.XLOOKUP(A1903,Product!A:A,Product!E:E,"Bulunamadı")</f>
        <v>2.76</v>
      </c>
      <c r="I1901" s="2" t="str">
        <f t="shared" si="1"/>
        <v>29601 - Sports - Mindfulness</v>
      </c>
      <c r="J1901" s="2">
        <f t="shared" si="2"/>
        <v>1150.92</v>
      </c>
      <c r="K1901" s="17">
        <f t="shared" si="3"/>
        <v>1</v>
      </c>
      <c r="L1901" s="18"/>
    </row>
    <row r="1902" hidden="1">
      <c r="A1902" s="2">
        <f>IFERROR(__xludf.DUMMYFUNCTION("""COMPUTED_VALUE"""),50372.0)</f>
        <v>50372</v>
      </c>
      <c r="B1902" s="2">
        <f>IFERROR(__xludf.DUMMYFUNCTION("""COMPUTED_VALUE"""),1.0)</f>
        <v>1</v>
      </c>
      <c r="C1902" s="2">
        <f>IFERROR(__xludf.DUMMYFUNCTION("""COMPUTED_VALUE"""),125.0)</f>
        <v>125</v>
      </c>
      <c r="D1902" s="3">
        <f>IFERROR(__xludf.DUMMYFUNCTION("""COMPUTED_VALUE"""),66.0)</f>
        <v>66</v>
      </c>
      <c r="E1902" s="1" t="str">
        <f t="array" ref="E1902">_xlfn.XLOOKUP(A1902,Product!A:A,Product!B:B,"Bulunamadı")</f>
        <v>Sports</v>
      </c>
      <c r="F1902" s="1" t="str">
        <f t="array" ref="F1902">_xlfn.XLOOKUP(A1902,Product!A:A,Product!C:C,"Bulunamadı")</f>
        <v>Mindfulness</v>
      </c>
      <c r="G1902" s="2" t="str">
        <f t="array" ref="G1902">_xlfn.XLOOKUP(A1903,Product!A:A,Product!D:D,"Bulunamadı")</f>
        <v>Silverstone Press</v>
      </c>
      <c r="H1902" s="2">
        <f t="array" ref="H1902">_xlfn.XLOOKUP(A1904,Product!A:A,Product!E:E,"Bulunamadı")</f>
        <v>6.03</v>
      </c>
      <c r="I1902" s="2" t="str">
        <f t="shared" si="1"/>
        <v>50372 - Sports - Mindfulness</v>
      </c>
      <c r="J1902" s="2">
        <f t="shared" si="2"/>
        <v>397.98</v>
      </c>
      <c r="K1902" s="17">
        <f t="shared" si="3"/>
        <v>1</v>
      </c>
      <c r="L1902" s="18"/>
    </row>
    <row r="1903" hidden="1">
      <c r="A1903" s="2">
        <f>IFERROR(__xludf.DUMMYFUNCTION("""COMPUTED_VALUE"""),89452.0)</f>
        <v>89452</v>
      </c>
      <c r="B1903" s="2">
        <f>IFERROR(__xludf.DUMMYFUNCTION("""COMPUTED_VALUE"""),0.0)</f>
        <v>0</v>
      </c>
      <c r="C1903" s="2">
        <f>IFERROR(__xludf.DUMMYFUNCTION("""COMPUTED_VALUE"""),882.0)</f>
        <v>882</v>
      </c>
      <c r="D1903" s="3">
        <f>IFERROR(__xludf.DUMMYFUNCTION("""COMPUTED_VALUE"""),203.0)</f>
        <v>203</v>
      </c>
      <c r="E1903" s="1" t="str">
        <f t="array" ref="E1903">_xlfn.XLOOKUP(A1903,Product!A:A,Product!B:B,"Bulunamadı")</f>
        <v>Sports</v>
      </c>
      <c r="F1903" s="1" t="str">
        <f t="array" ref="F1903">_xlfn.XLOOKUP(A1903,Product!A:A,Product!C:C,"Bulunamadı")</f>
        <v>Mindfulness</v>
      </c>
      <c r="G1903" s="2" t="str">
        <f t="array" ref="G1903">_xlfn.XLOOKUP(A1904,Product!A:A,Product!D:D,"Bulunamadı")</f>
        <v>Northstone Publishing</v>
      </c>
      <c r="H1903" s="2">
        <f t="array" ref="H1903">_xlfn.XLOOKUP(A1905,Product!A:A,Product!E:E,"Bulunamadı")</f>
        <v>5.99</v>
      </c>
      <c r="I1903" s="2" t="str">
        <f t="shared" si="1"/>
        <v>89452 - Sports - Mindfulness</v>
      </c>
      <c r="J1903" s="2">
        <f t="shared" si="2"/>
        <v>1215.97</v>
      </c>
      <c r="K1903" s="17">
        <f t="shared" si="3"/>
        <v>1</v>
      </c>
      <c r="L1903" s="18"/>
    </row>
    <row r="1904" hidden="1">
      <c r="A1904" s="2">
        <f>IFERROR(__xludf.DUMMYFUNCTION("""COMPUTED_VALUE"""),156019.0)</f>
        <v>156019</v>
      </c>
      <c r="B1904" s="2">
        <f>IFERROR(__xludf.DUMMYFUNCTION("""COMPUTED_VALUE"""),0.0)</f>
        <v>0</v>
      </c>
      <c r="C1904" s="2">
        <f>IFERROR(__xludf.DUMMYFUNCTION("""COMPUTED_VALUE"""),207.0)</f>
        <v>207</v>
      </c>
      <c r="D1904" s="3">
        <f>IFERROR(__xludf.DUMMYFUNCTION("""COMPUTED_VALUE"""),53.0)</f>
        <v>53</v>
      </c>
      <c r="E1904" s="1" t="str">
        <f t="array" ref="E1904">_xlfn.XLOOKUP(A1904,Product!A:A,Product!B:B,"Bulunamadı")</f>
        <v>Sports</v>
      </c>
      <c r="F1904" s="1" t="str">
        <f t="array" ref="F1904">_xlfn.XLOOKUP(A1904,Product!A:A,Product!C:C,"Bulunamadı")</f>
        <v>Mindfulness</v>
      </c>
      <c r="G1904" s="2" t="str">
        <f t="array" ref="G1904">_xlfn.XLOOKUP(A1905,Product!A:A,Product!D:D,"Bulunamadı")</f>
        <v>Harborstone Books</v>
      </c>
      <c r="H1904" s="2">
        <f t="array" ref="H1904">_xlfn.XLOOKUP(A1906,Product!A:A,Product!E:E,"Bulunamadı")</f>
        <v>6.49</v>
      </c>
      <c r="I1904" s="2" t="str">
        <f t="shared" si="1"/>
        <v>156019 - Sports - Mindfulness</v>
      </c>
      <c r="J1904" s="2">
        <f t="shared" si="2"/>
        <v>343.97</v>
      </c>
      <c r="K1904" s="17">
        <f t="shared" si="3"/>
        <v>1</v>
      </c>
      <c r="L1904" s="18"/>
    </row>
    <row r="1905" hidden="1">
      <c r="A1905" s="2">
        <f>IFERROR(__xludf.DUMMYFUNCTION("""COMPUTED_VALUE"""),117705.0)</f>
        <v>117705</v>
      </c>
      <c r="B1905" s="2">
        <f>IFERROR(__xludf.DUMMYFUNCTION("""COMPUTED_VALUE"""),1.0)</f>
        <v>1</v>
      </c>
      <c r="C1905" s="2">
        <f>IFERROR(__xludf.DUMMYFUNCTION("""COMPUTED_VALUE"""),727.0)</f>
        <v>727</v>
      </c>
      <c r="D1905" s="3">
        <f>IFERROR(__xludf.DUMMYFUNCTION("""COMPUTED_VALUE"""),337.0)</f>
        <v>337</v>
      </c>
      <c r="E1905" s="1" t="str">
        <f t="array" ref="E1905">_xlfn.XLOOKUP(A1905,Product!A:A,Product!B:B,"Bulunamadı")</f>
        <v>Sports</v>
      </c>
      <c r="F1905" s="1" t="str">
        <f t="array" ref="F1905">_xlfn.XLOOKUP(A1905,Product!A:A,Product!C:C,"Bulunamadı")</f>
        <v>Mindfulness</v>
      </c>
      <c r="G1905" s="2" t="str">
        <f t="array" ref="G1905">_xlfn.XLOOKUP(A1906,Product!A:A,Product!D:D,"Bulunamadı")</f>
        <v>Harborstone Books</v>
      </c>
      <c r="H1905" s="2">
        <f t="array" ref="H1905">_xlfn.XLOOKUP(A1907,Product!A:A,Product!E:E,"Bulunamadı")</f>
        <v>6.93</v>
      </c>
      <c r="I1905" s="2" t="str">
        <f t="shared" si="1"/>
        <v>117705 - Sports - Mindfulness</v>
      </c>
      <c r="J1905" s="2">
        <f t="shared" si="2"/>
        <v>2335.41</v>
      </c>
      <c r="K1905" s="17">
        <f t="shared" si="3"/>
        <v>1</v>
      </c>
      <c r="L1905" s="18"/>
    </row>
    <row r="1906" hidden="1">
      <c r="A1906" s="2">
        <f>IFERROR(__xludf.DUMMYFUNCTION("""COMPUTED_VALUE"""),121184.0)</f>
        <v>121184</v>
      </c>
      <c r="B1906" s="2">
        <f>IFERROR(__xludf.DUMMYFUNCTION("""COMPUTED_VALUE"""),1.0)</f>
        <v>1</v>
      </c>
      <c r="C1906" s="2">
        <f>IFERROR(__xludf.DUMMYFUNCTION("""COMPUTED_VALUE"""),43.0)</f>
        <v>43</v>
      </c>
      <c r="D1906" s="3">
        <f>IFERROR(__xludf.DUMMYFUNCTION("""COMPUTED_VALUE"""),43.0)</f>
        <v>43</v>
      </c>
      <c r="E1906" s="1" t="str">
        <f t="array" ref="E1906">_xlfn.XLOOKUP(A1906,Product!A:A,Product!B:B,"Bulunamadı")</f>
        <v>Sports</v>
      </c>
      <c r="F1906" s="1" t="str">
        <f t="array" ref="F1906">_xlfn.XLOOKUP(A1906,Product!A:A,Product!C:C,"Bulunamadı")</f>
        <v>Mindfulness</v>
      </c>
      <c r="G1906" s="2" t="str">
        <f t="array" ref="G1906">_xlfn.XLOOKUP(A1907,Product!A:A,Product!D:D,"Bulunamadı")</f>
        <v>Harborstone Books</v>
      </c>
      <c r="H1906" s="2">
        <f t="array" ref="H1906">_xlfn.XLOOKUP(A1908,Product!A:A,Product!E:E,"Bulunamadı")</f>
        <v>3.36</v>
      </c>
      <c r="I1906" s="2" t="str">
        <f t="shared" si="1"/>
        <v>121184 - Sports - Mindfulness</v>
      </c>
      <c r="J1906" s="2">
        <f t="shared" si="2"/>
        <v>144.48</v>
      </c>
      <c r="K1906" s="17">
        <f t="shared" si="3"/>
        <v>1</v>
      </c>
      <c r="L1906" s="18"/>
    </row>
    <row r="1907" hidden="1">
      <c r="A1907" s="2">
        <f>IFERROR(__xludf.DUMMYFUNCTION("""COMPUTED_VALUE"""),89446.0)</f>
        <v>89446</v>
      </c>
      <c r="B1907" s="2">
        <f>IFERROR(__xludf.DUMMYFUNCTION("""COMPUTED_VALUE"""),1.0)</f>
        <v>1</v>
      </c>
      <c r="C1907" s="2">
        <f>IFERROR(__xludf.DUMMYFUNCTION("""COMPUTED_VALUE"""),191.0)</f>
        <v>191</v>
      </c>
      <c r="D1907" s="3">
        <f>IFERROR(__xludf.DUMMYFUNCTION("""COMPUTED_VALUE"""),90.0)</f>
        <v>90</v>
      </c>
      <c r="E1907" s="1" t="str">
        <f t="array" ref="E1907">_xlfn.XLOOKUP(A1907,Product!A:A,Product!B:B,"Bulunamadı")</f>
        <v>Sports</v>
      </c>
      <c r="F1907" s="1" t="str">
        <f t="array" ref="F1907">_xlfn.XLOOKUP(A1907,Product!A:A,Product!C:C,"Bulunamadı")</f>
        <v>Mindfulness</v>
      </c>
      <c r="G1907" s="2" t="str">
        <f t="array" ref="G1907">_xlfn.XLOOKUP(A1908,Product!A:A,Product!D:D,"Bulunamadı")</f>
        <v>Harborstone Books</v>
      </c>
      <c r="H1907" s="2">
        <f t="array" ref="H1907">_xlfn.XLOOKUP(A1909,Product!A:A,Product!E:E,"Bulunamadı")</f>
        <v>3</v>
      </c>
      <c r="I1907" s="2" t="str">
        <f t="shared" si="1"/>
        <v>89446 - Sports - Mindfulness</v>
      </c>
      <c r="J1907" s="2">
        <f t="shared" si="2"/>
        <v>270</v>
      </c>
      <c r="K1907" s="17">
        <f t="shared" si="3"/>
        <v>1</v>
      </c>
      <c r="L1907" s="18"/>
    </row>
    <row r="1908" hidden="1">
      <c r="A1908" s="2">
        <f>IFERROR(__xludf.DUMMYFUNCTION("""COMPUTED_VALUE"""),102339.0)</f>
        <v>102339</v>
      </c>
      <c r="B1908" s="2">
        <f>IFERROR(__xludf.DUMMYFUNCTION("""COMPUTED_VALUE"""),0.0)</f>
        <v>0</v>
      </c>
      <c r="C1908" s="2">
        <f>IFERROR(__xludf.DUMMYFUNCTION("""COMPUTED_VALUE"""),595.0)</f>
        <v>595</v>
      </c>
      <c r="D1908" s="3">
        <f>IFERROR(__xludf.DUMMYFUNCTION("""COMPUTED_VALUE"""),233.0)</f>
        <v>233</v>
      </c>
      <c r="E1908" s="1" t="str">
        <f t="array" ref="E1908">_xlfn.XLOOKUP(A1908,Product!A:A,Product!B:B,"Bulunamadı")</f>
        <v>Sports</v>
      </c>
      <c r="F1908" s="1" t="str">
        <f t="array" ref="F1908">_xlfn.XLOOKUP(A1908,Product!A:A,Product!C:C,"Bulunamadı")</f>
        <v>Mindfulness</v>
      </c>
      <c r="G1908" s="2" t="str">
        <f t="array" ref="G1908">_xlfn.XLOOKUP(A1909,Product!A:A,Product!D:D,"Bulunamadı")</f>
        <v>Harborstone Books</v>
      </c>
      <c r="H1908" s="2">
        <f t="array" ref="H1908">_xlfn.XLOOKUP(A1910,Product!A:A,Product!E:E,"Bulunamadı")</f>
        <v>5</v>
      </c>
      <c r="I1908" s="2" t="str">
        <f t="shared" si="1"/>
        <v>102339 - Sports - Mindfulness</v>
      </c>
      <c r="J1908" s="2">
        <f t="shared" si="2"/>
        <v>1165</v>
      </c>
      <c r="K1908" s="17">
        <f t="shared" si="3"/>
        <v>1</v>
      </c>
      <c r="L1908" s="18"/>
    </row>
    <row r="1909" hidden="1">
      <c r="A1909" s="2">
        <f>IFERROR(__xludf.DUMMYFUNCTION("""COMPUTED_VALUE"""),121193.0)</f>
        <v>121193</v>
      </c>
      <c r="B1909" s="2">
        <f>IFERROR(__xludf.DUMMYFUNCTION("""COMPUTED_VALUE"""),1.0)</f>
        <v>1</v>
      </c>
      <c r="C1909" s="2">
        <f>IFERROR(__xludf.DUMMYFUNCTION("""COMPUTED_VALUE"""),183.0)</f>
        <v>183</v>
      </c>
      <c r="D1909" s="3">
        <f>IFERROR(__xludf.DUMMYFUNCTION("""COMPUTED_VALUE"""),10.0)</f>
        <v>10</v>
      </c>
      <c r="E1909" s="1" t="str">
        <f t="array" ref="E1909">_xlfn.XLOOKUP(A1909,Product!A:A,Product!B:B,"Bulunamadı")</f>
        <v>Sports</v>
      </c>
      <c r="F1909" s="1" t="str">
        <f t="array" ref="F1909">_xlfn.XLOOKUP(A1909,Product!A:A,Product!C:C,"Bulunamadı")</f>
        <v>Mindfulness</v>
      </c>
      <c r="G1909" s="2" t="str">
        <f t="array" ref="G1909">_xlfn.XLOOKUP(A1910,Product!A:A,Product!D:D,"Bulunamadı")</f>
        <v>Harborstone Books</v>
      </c>
      <c r="H1909" s="2">
        <f t="array" ref="H1909">_xlfn.XLOOKUP(A1911,Product!A:A,Product!E:E,"Bulunamadı")</f>
        <v>4.77</v>
      </c>
      <c r="I1909" s="2" t="str">
        <f t="shared" si="1"/>
        <v>121193 - Sports - Mindfulness</v>
      </c>
      <c r="J1909" s="2">
        <f t="shared" si="2"/>
        <v>47.7</v>
      </c>
      <c r="K1909" s="17">
        <f t="shared" si="3"/>
        <v>1</v>
      </c>
      <c r="L1909" s="18"/>
    </row>
    <row r="1910" hidden="1">
      <c r="A1910" s="2">
        <f>IFERROR(__xludf.DUMMYFUNCTION("""COMPUTED_VALUE"""),102332.0)</f>
        <v>102332</v>
      </c>
      <c r="B1910" s="2">
        <f>IFERROR(__xludf.DUMMYFUNCTION("""COMPUTED_VALUE"""),1.0)</f>
        <v>1</v>
      </c>
      <c r="C1910" s="2">
        <f>IFERROR(__xludf.DUMMYFUNCTION("""COMPUTED_VALUE"""),437.0)</f>
        <v>437</v>
      </c>
      <c r="D1910" s="3">
        <f>IFERROR(__xludf.DUMMYFUNCTION("""COMPUTED_VALUE"""),359.0)</f>
        <v>359</v>
      </c>
      <c r="E1910" s="1" t="str">
        <f t="array" ref="E1910">_xlfn.XLOOKUP(A1910,Product!A:A,Product!B:B,"Bulunamadı")</f>
        <v>Sports</v>
      </c>
      <c r="F1910" s="1" t="str">
        <f t="array" ref="F1910">_xlfn.XLOOKUP(A1910,Product!A:A,Product!C:C,"Bulunamadı")</f>
        <v>Mindfulness</v>
      </c>
      <c r="G1910" s="2" t="str">
        <f t="array" ref="G1910">_xlfn.XLOOKUP(A1911,Product!A:A,Product!D:D,"Bulunamadı")</f>
        <v>Harborstone Books</v>
      </c>
      <c r="H1910" s="2">
        <f t="array" ref="H1910">_xlfn.XLOOKUP(A1912,Product!A:A,Product!E:E,"Bulunamadı")</f>
        <v>11.56</v>
      </c>
      <c r="I1910" s="2" t="str">
        <f t="shared" si="1"/>
        <v>102332 - Sports - Mindfulness</v>
      </c>
      <c r="J1910" s="2">
        <f t="shared" si="2"/>
        <v>4150.04</v>
      </c>
      <c r="K1910" s="17">
        <f t="shared" si="3"/>
        <v>1</v>
      </c>
      <c r="L1910" s="18"/>
    </row>
    <row r="1911" hidden="1">
      <c r="A1911" s="2">
        <f>IFERROR(__xludf.DUMMYFUNCTION("""COMPUTED_VALUE"""),121775.0)</f>
        <v>121775</v>
      </c>
      <c r="B1911" s="2">
        <f>IFERROR(__xludf.DUMMYFUNCTION("""COMPUTED_VALUE"""),1.0)</f>
        <v>1</v>
      </c>
      <c r="C1911" s="2">
        <f>IFERROR(__xludf.DUMMYFUNCTION("""COMPUTED_VALUE"""),202.0)</f>
        <v>202</v>
      </c>
      <c r="D1911" s="3">
        <f>IFERROR(__xludf.DUMMYFUNCTION("""COMPUTED_VALUE"""),185.0)</f>
        <v>185</v>
      </c>
      <c r="E1911" s="1" t="str">
        <f t="array" ref="E1911">_xlfn.XLOOKUP(A1911,Product!A:A,Product!B:B,"Bulunamadı")</f>
        <v>Sports</v>
      </c>
      <c r="F1911" s="1" t="str">
        <f t="array" ref="F1911">_xlfn.XLOOKUP(A1911,Product!A:A,Product!C:C,"Bulunamadı")</f>
        <v>Mindfulness</v>
      </c>
      <c r="G1911" s="2" t="str">
        <f t="array" ref="G1911">_xlfn.XLOOKUP(A1912,Product!A:A,Product!D:D,"Bulunamadı")</f>
        <v>Harborstone Books</v>
      </c>
      <c r="H1911" s="2">
        <f t="array" ref="H1911">_xlfn.XLOOKUP(A1913,Product!A:A,Product!E:E,"Bulunamadı")</f>
        <v>6.27</v>
      </c>
      <c r="I1911" s="2" t="str">
        <f t="shared" si="1"/>
        <v>121775 - Sports - Mindfulness</v>
      </c>
      <c r="J1911" s="2">
        <f t="shared" si="2"/>
        <v>1159.95</v>
      </c>
      <c r="K1911" s="17">
        <f t="shared" si="3"/>
        <v>1</v>
      </c>
      <c r="L1911" s="18"/>
    </row>
    <row r="1912" hidden="1">
      <c r="A1912" s="2">
        <f>IFERROR(__xludf.DUMMYFUNCTION("""COMPUTED_VALUE"""),100903.0)</f>
        <v>100903</v>
      </c>
      <c r="B1912" s="2">
        <f>IFERROR(__xludf.DUMMYFUNCTION("""COMPUTED_VALUE"""),0.0)</f>
        <v>0</v>
      </c>
      <c r="C1912" s="2">
        <f>IFERROR(__xludf.DUMMYFUNCTION("""COMPUTED_VALUE"""),509.0)</f>
        <v>509</v>
      </c>
      <c r="D1912" s="3">
        <f>IFERROR(__xludf.DUMMYFUNCTION("""COMPUTED_VALUE"""),9.0)</f>
        <v>9</v>
      </c>
      <c r="E1912" s="1" t="str">
        <f t="array" ref="E1912">_xlfn.XLOOKUP(A1912,Product!A:A,Product!B:B,"Bulunamadı")</f>
        <v>Sports</v>
      </c>
      <c r="F1912" s="1" t="str">
        <f t="array" ref="F1912">_xlfn.XLOOKUP(A1912,Product!A:A,Product!C:C,"Bulunamadı")</f>
        <v>Mindfulness</v>
      </c>
      <c r="G1912" s="2" t="str">
        <f t="array" ref="G1912">_xlfn.XLOOKUP(A1913,Product!A:A,Product!D:D,"Bulunamadı")</f>
        <v>Harborstone Books</v>
      </c>
      <c r="H1912" s="2">
        <f t="array" ref="H1912">_xlfn.XLOOKUP(A1914,Product!A:A,Product!E:E,"Bulunamadı")</f>
        <v>4.35</v>
      </c>
      <c r="I1912" s="2" t="str">
        <f t="shared" si="1"/>
        <v>100903 - Sports - Mindfulness</v>
      </c>
      <c r="J1912" s="2">
        <f t="shared" si="2"/>
        <v>39.15</v>
      </c>
      <c r="K1912" s="17">
        <f t="shared" si="3"/>
        <v>1</v>
      </c>
      <c r="L1912" s="18"/>
    </row>
    <row r="1913" hidden="1">
      <c r="A1913" s="2">
        <f>IFERROR(__xludf.DUMMYFUNCTION("""COMPUTED_VALUE"""),81463.0)</f>
        <v>81463</v>
      </c>
      <c r="B1913" s="2">
        <f>IFERROR(__xludf.DUMMYFUNCTION("""COMPUTED_VALUE"""),1.0)</f>
        <v>1</v>
      </c>
      <c r="C1913" s="2">
        <f>IFERROR(__xludf.DUMMYFUNCTION("""COMPUTED_VALUE"""),951.0)</f>
        <v>951</v>
      </c>
      <c r="D1913" s="3">
        <f>IFERROR(__xludf.DUMMYFUNCTION("""COMPUTED_VALUE"""),880.0)</f>
        <v>880</v>
      </c>
      <c r="E1913" s="1" t="str">
        <f t="array" ref="E1913">_xlfn.XLOOKUP(A1913,Product!A:A,Product!B:B,"Bulunamadı")</f>
        <v>Sports</v>
      </c>
      <c r="F1913" s="1" t="str">
        <f t="array" ref="F1913">_xlfn.XLOOKUP(A1913,Product!A:A,Product!C:C,"Bulunamadı")</f>
        <v>Mindfulness</v>
      </c>
      <c r="G1913" s="2" t="str">
        <f t="array" ref="G1913">_xlfn.XLOOKUP(A1914,Product!A:A,Product!D:D,"Bulunamadı")</f>
        <v>Harborstone Books</v>
      </c>
      <c r="H1913" s="2">
        <f t="array" ref="H1913">_xlfn.XLOOKUP(A1915,Product!A:A,Product!E:E,"Bulunamadı")</f>
        <v>6.01</v>
      </c>
      <c r="I1913" s="2" t="str">
        <f t="shared" si="1"/>
        <v>81463 - Sports - Mindfulness</v>
      </c>
      <c r="J1913" s="2">
        <f t="shared" si="2"/>
        <v>5288.8</v>
      </c>
      <c r="K1913" s="17">
        <f t="shared" si="3"/>
        <v>1</v>
      </c>
      <c r="L1913" s="18"/>
    </row>
    <row r="1914" hidden="1">
      <c r="A1914" s="2">
        <f>IFERROR(__xludf.DUMMYFUNCTION("""COMPUTED_VALUE"""),75788.0)</f>
        <v>75788</v>
      </c>
      <c r="B1914" s="2">
        <f>IFERROR(__xludf.DUMMYFUNCTION("""COMPUTED_VALUE"""),0.0)</f>
        <v>0</v>
      </c>
      <c r="C1914" s="2">
        <f>IFERROR(__xludf.DUMMYFUNCTION("""COMPUTED_VALUE"""),494.0)</f>
        <v>494</v>
      </c>
      <c r="D1914" s="3">
        <f>IFERROR(__xludf.DUMMYFUNCTION("""COMPUTED_VALUE"""),262.0)</f>
        <v>262</v>
      </c>
      <c r="E1914" s="1" t="str">
        <f t="array" ref="E1914">_xlfn.XLOOKUP(A1914,Product!A:A,Product!B:B,"Bulunamadı")</f>
        <v>Sports</v>
      </c>
      <c r="F1914" s="1" t="str">
        <f t="array" ref="F1914">_xlfn.XLOOKUP(A1914,Product!A:A,Product!C:C,"Bulunamadı")</f>
        <v>Mindfulness</v>
      </c>
      <c r="G1914" s="2" t="str">
        <f t="array" ref="G1914">_xlfn.XLOOKUP(A1915,Product!A:A,Product!D:D,"Bulunamadı")</f>
        <v>Harborstone Books</v>
      </c>
      <c r="H1914" s="2">
        <f t="array" ref="H1914">_xlfn.XLOOKUP(A1916,Product!A:A,Product!E:E,"Bulunamadı")</f>
        <v>3.84</v>
      </c>
      <c r="I1914" s="2" t="str">
        <f t="shared" si="1"/>
        <v>75788 - Sports - Mindfulness</v>
      </c>
      <c r="J1914" s="2">
        <f t="shared" si="2"/>
        <v>1006.08</v>
      </c>
      <c r="K1914" s="17">
        <f t="shared" si="3"/>
        <v>1</v>
      </c>
      <c r="L1914" s="18"/>
    </row>
    <row r="1915" hidden="1">
      <c r="A1915" s="2">
        <f>IFERROR(__xludf.DUMMYFUNCTION("""COMPUTED_VALUE"""),121185.0)</f>
        <v>121185</v>
      </c>
      <c r="B1915" s="2">
        <f>IFERROR(__xludf.DUMMYFUNCTION("""COMPUTED_VALUE"""),0.0)</f>
        <v>0</v>
      </c>
      <c r="C1915" s="2">
        <f>IFERROR(__xludf.DUMMYFUNCTION("""COMPUTED_VALUE"""),454.0)</f>
        <v>454</v>
      </c>
      <c r="D1915" s="3">
        <f>IFERROR(__xludf.DUMMYFUNCTION("""COMPUTED_VALUE"""),324.0)</f>
        <v>324</v>
      </c>
      <c r="E1915" s="1" t="str">
        <f t="array" ref="E1915">_xlfn.XLOOKUP(A1915,Product!A:A,Product!B:B,"Bulunamadı")</f>
        <v>Sports</v>
      </c>
      <c r="F1915" s="1" t="str">
        <f t="array" ref="F1915">_xlfn.XLOOKUP(A1915,Product!A:A,Product!C:C,"Bulunamadı")</f>
        <v>Mindfulness</v>
      </c>
      <c r="G1915" s="2" t="str">
        <f t="array" ref="G1915">_xlfn.XLOOKUP(A1916,Product!A:A,Product!D:D,"Bulunamadı")</f>
        <v>Harborstone Books</v>
      </c>
      <c r="H1915" s="2">
        <f t="array" ref="H1915">_xlfn.XLOOKUP(A1917,Product!A:A,Product!E:E,"Bulunamadı")</f>
        <v>3.67</v>
      </c>
      <c r="I1915" s="2" t="str">
        <f t="shared" si="1"/>
        <v>121185 - Sports - Mindfulness</v>
      </c>
      <c r="J1915" s="2">
        <f t="shared" si="2"/>
        <v>1189.08</v>
      </c>
      <c r="K1915" s="17">
        <f t="shared" si="3"/>
        <v>1</v>
      </c>
      <c r="L1915" s="18"/>
    </row>
    <row r="1916" hidden="1">
      <c r="A1916" s="2">
        <f>IFERROR(__xludf.DUMMYFUNCTION("""COMPUTED_VALUE"""),89440.0)</f>
        <v>89440</v>
      </c>
      <c r="B1916" s="2">
        <f>IFERROR(__xludf.DUMMYFUNCTION("""COMPUTED_VALUE"""),0.0)</f>
        <v>0</v>
      </c>
      <c r="C1916" s="2">
        <f>IFERROR(__xludf.DUMMYFUNCTION("""COMPUTED_VALUE"""),559.0)</f>
        <v>559</v>
      </c>
      <c r="D1916" s="3">
        <f>IFERROR(__xludf.DUMMYFUNCTION("""COMPUTED_VALUE"""),133.0)</f>
        <v>133</v>
      </c>
      <c r="E1916" s="1" t="str">
        <f t="array" ref="E1916">_xlfn.XLOOKUP(A1916,Product!A:A,Product!B:B,"Bulunamadı")</f>
        <v>Sports</v>
      </c>
      <c r="F1916" s="1" t="str">
        <f t="array" ref="F1916">_xlfn.XLOOKUP(A1916,Product!A:A,Product!C:C,"Bulunamadı")</f>
        <v>Mindfulness</v>
      </c>
      <c r="G1916" s="2" t="str">
        <f t="array" ref="G1916">_xlfn.XLOOKUP(A1917,Product!A:A,Product!D:D,"Bulunamadı")</f>
        <v>Harborstone Books</v>
      </c>
      <c r="H1916" s="2">
        <f t="array" ref="H1916">_xlfn.XLOOKUP(A1918,Product!A:A,Product!E:E,"Bulunamadı")</f>
        <v>6.23</v>
      </c>
      <c r="I1916" s="2" t="str">
        <f t="shared" si="1"/>
        <v>89440 - Sports - Mindfulness</v>
      </c>
      <c r="J1916" s="2">
        <f t="shared" si="2"/>
        <v>828.59</v>
      </c>
      <c r="K1916" s="17">
        <f t="shared" si="3"/>
        <v>1</v>
      </c>
      <c r="L1916" s="18"/>
    </row>
    <row r="1917" hidden="1">
      <c r="A1917" s="2">
        <f>IFERROR(__xludf.DUMMYFUNCTION("""COMPUTED_VALUE"""),103058.0)</f>
        <v>103058</v>
      </c>
      <c r="B1917" s="2">
        <f>IFERROR(__xludf.DUMMYFUNCTION("""COMPUTED_VALUE"""),0.0)</f>
        <v>0</v>
      </c>
      <c r="C1917" s="2">
        <f>IFERROR(__xludf.DUMMYFUNCTION("""COMPUTED_VALUE"""),778.0)</f>
        <v>778</v>
      </c>
      <c r="D1917" s="3">
        <f>IFERROR(__xludf.DUMMYFUNCTION("""COMPUTED_VALUE"""),152.0)</f>
        <v>152</v>
      </c>
      <c r="E1917" s="1" t="str">
        <f t="array" ref="E1917">_xlfn.XLOOKUP(A1917,Product!A:A,Product!B:B,"Bulunamadı")</f>
        <v>Sports</v>
      </c>
      <c r="F1917" s="1" t="str">
        <f t="array" ref="F1917">_xlfn.XLOOKUP(A1917,Product!A:A,Product!C:C,"Bulunamadı")</f>
        <v>Mindfulness</v>
      </c>
      <c r="G1917" s="2" t="str">
        <f t="array" ref="G1917">_xlfn.XLOOKUP(A1918,Product!A:A,Product!D:D,"Bulunamadı")</f>
        <v>Harborstone Books</v>
      </c>
      <c r="H1917" s="2">
        <f t="array" ref="H1917">_xlfn.XLOOKUP(A1919,Product!A:A,Product!E:E,"Bulunamadı")</f>
        <v>5.33</v>
      </c>
      <c r="I1917" s="2" t="str">
        <f t="shared" si="1"/>
        <v>103058 - Sports - Mindfulness</v>
      </c>
      <c r="J1917" s="2">
        <f t="shared" si="2"/>
        <v>810.16</v>
      </c>
      <c r="K1917" s="17">
        <f t="shared" si="3"/>
        <v>1</v>
      </c>
      <c r="L1917" s="18"/>
    </row>
    <row r="1918" hidden="1">
      <c r="A1918" s="2">
        <f>IFERROR(__xludf.DUMMYFUNCTION("""COMPUTED_VALUE"""),117716.0)</f>
        <v>117716</v>
      </c>
      <c r="B1918" s="2">
        <f>IFERROR(__xludf.DUMMYFUNCTION("""COMPUTED_VALUE"""),0.0)</f>
        <v>0</v>
      </c>
      <c r="C1918" s="2">
        <f>IFERROR(__xludf.DUMMYFUNCTION("""COMPUTED_VALUE"""),172.0)</f>
        <v>172</v>
      </c>
      <c r="D1918" s="3">
        <f>IFERROR(__xludf.DUMMYFUNCTION("""COMPUTED_VALUE"""),116.0)</f>
        <v>116</v>
      </c>
      <c r="E1918" s="1" t="str">
        <f t="array" ref="E1918">_xlfn.XLOOKUP(A1918,Product!A:A,Product!B:B,"Bulunamadı")</f>
        <v>Sports</v>
      </c>
      <c r="F1918" s="1" t="str">
        <f t="array" ref="F1918">_xlfn.XLOOKUP(A1918,Product!A:A,Product!C:C,"Bulunamadı")</f>
        <v>Mindfulness</v>
      </c>
      <c r="G1918" s="2" t="str">
        <f t="array" ref="G1918">_xlfn.XLOOKUP(A1919,Product!A:A,Product!D:D,"Bulunamadı")</f>
        <v>Harborstone Books</v>
      </c>
      <c r="H1918" s="2">
        <f t="array" ref="H1918">_xlfn.XLOOKUP(A1920,Product!A:A,Product!E:E,"Bulunamadı")</f>
        <v>11.84</v>
      </c>
      <c r="I1918" s="2" t="str">
        <f t="shared" si="1"/>
        <v>117716 - Sports - Mindfulness</v>
      </c>
      <c r="J1918" s="2">
        <f t="shared" si="2"/>
        <v>1373.44</v>
      </c>
      <c r="K1918" s="17">
        <f t="shared" si="3"/>
        <v>1</v>
      </c>
      <c r="L1918" s="18"/>
    </row>
    <row r="1919" hidden="1">
      <c r="A1919" s="2">
        <f>IFERROR(__xludf.DUMMYFUNCTION("""COMPUTED_VALUE"""),71287.0)</f>
        <v>71287</v>
      </c>
      <c r="B1919" s="2">
        <f>IFERROR(__xludf.DUMMYFUNCTION("""COMPUTED_VALUE"""),0.0)</f>
        <v>0</v>
      </c>
      <c r="C1919" s="2">
        <f>IFERROR(__xludf.DUMMYFUNCTION("""COMPUTED_VALUE"""),429.0)</f>
        <v>429</v>
      </c>
      <c r="D1919" s="3">
        <f>IFERROR(__xludf.DUMMYFUNCTION("""COMPUTED_VALUE"""),195.0)</f>
        <v>195</v>
      </c>
      <c r="E1919" s="1" t="str">
        <f t="array" ref="E1919">_xlfn.XLOOKUP(A1919,Product!A:A,Product!B:B,"Bulunamadı")</f>
        <v>Sports</v>
      </c>
      <c r="F1919" s="1" t="str">
        <f t="array" ref="F1919">_xlfn.XLOOKUP(A1919,Product!A:A,Product!C:C,"Bulunamadı")</f>
        <v>Mindfulness</v>
      </c>
      <c r="G1919" s="2" t="str">
        <f t="array" ref="G1919">_xlfn.XLOOKUP(A1920,Product!A:A,Product!D:D,"Bulunamadı")</f>
        <v>Harborstone Books</v>
      </c>
      <c r="H1919" s="2">
        <f t="array" ref="H1919">_xlfn.XLOOKUP(A1921,Product!A:A,Product!E:E,"Bulunamadı")</f>
        <v>7.6</v>
      </c>
      <c r="I1919" s="2" t="str">
        <f t="shared" si="1"/>
        <v>71287 - Sports - Mindfulness</v>
      </c>
      <c r="J1919" s="2">
        <f t="shared" si="2"/>
        <v>1482</v>
      </c>
      <c r="K1919" s="17">
        <f t="shared" si="3"/>
        <v>1</v>
      </c>
      <c r="L1919" s="18"/>
    </row>
    <row r="1920" hidden="1">
      <c r="A1920" s="2">
        <f>IFERROR(__xludf.DUMMYFUNCTION("""COMPUTED_VALUE"""),110685.0)</f>
        <v>110685</v>
      </c>
      <c r="B1920" s="2">
        <f>IFERROR(__xludf.DUMMYFUNCTION("""COMPUTED_VALUE"""),1.0)</f>
        <v>1</v>
      </c>
      <c r="C1920" s="2">
        <f>IFERROR(__xludf.DUMMYFUNCTION("""COMPUTED_VALUE"""),511.0)</f>
        <v>511</v>
      </c>
      <c r="D1920" s="3">
        <f>IFERROR(__xludf.DUMMYFUNCTION("""COMPUTED_VALUE"""),292.0)</f>
        <v>292</v>
      </c>
      <c r="E1920" s="1" t="str">
        <f t="array" ref="E1920">_xlfn.XLOOKUP(A1920,Product!A:A,Product!B:B,"Bulunamadı")</f>
        <v>Sports</v>
      </c>
      <c r="F1920" s="1" t="str">
        <f t="array" ref="F1920">_xlfn.XLOOKUP(A1920,Product!A:A,Product!C:C,"Bulunamadı")</f>
        <v>Mindfulness</v>
      </c>
      <c r="G1920" s="2" t="str">
        <f t="array" ref="G1920">_xlfn.XLOOKUP(A1921,Product!A:A,Product!D:D,"Bulunamadı")</f>
        <v>Harborstone Books</v>
      </c>
      <c r="H1920" s="2">
        <f t="array" ref="H1920">_xlfn.XLOOKUP(A1922,Product!A:A,Product!E:E,"Bulunamadı")</f>
        <v>4.94</v>
      </c>
      <c r="I1920" s="2" t="str">
        <f t="shared" si="1"/>
        <v>110685 - Sports - Mindfulness</v>
      </c>
      <c r="J1920" s="2">
        <f t="shared" si="2"/>
        <v>1442.48</v>
      </c>
      <c r="K1920" s="17">
        <f t="shared" si="3"/>
        <v>1</v>
      </c>
      <c r="L1920" s="18"/>
    </row>
    <row r="1921" hidden="1">
      <c r="A1921" s="2">
        <f>IFERROR(__xludf.DUMMYFUNCTION("""COMPUTED_VALUE"""),79335.0)</f>
        <v>79335</v>
      </c>
      <c r="B1921" s="2">
        <f>IFERROR(__xludf.DUMMYFUNCTION("""COMPUTED_VALUE"""),0.0)</f>
        <v>0</v>
      </c>
      <c r="C1921" s="2">
        <f>IFERROR(__xludf.DUMMYFUNCTION("""COMPUTED_VALUE"""),94.0)</f>
        <v>94</v>
      </c>
      <c r="D1921" s="3">
        <f>IFERROR(__xludf.DUMMYFUNCTION("""COMPUTED_VALUE"""),66.0)</f>
        <v>66</v>
      </c>
      <c r="E1921" s="1" t="str">
        <f t="array" ref="E1921">_xlfn.XLOOKUP(A1921,Product!A:A,Product!B:B,"Bulunamadı")</f>
        <v>Sports</v>
      </c>
      <c r="F1921" s="1" t="str">
        <f t="array" ref="F1921">_xlfn.XLOOKUP(A1921,Product!A:A,Product!C:C,"Bulunamadı")</f>
        <v>Mindfulness</v>
      </c>
      <c r="G1921" s="2" t="str">
        <f t="array" ref="G1921">_xlfn.XLOOKUP(A1922,Product!A:A,Product!D:D,"Bulunamadı")</f>
        <v>Harborstone Books</v>
      </c>
      <c r="H1921" s="2">
        <f t="array" ref="H1921">_xlfn.XLOOKUP(A1923,Product!A:A,Product!E:E,"Bulunamadı")</f>
        <v>6.51</v>
      </c>
      <c r="I1921" s="2" t="str">
        <f t="shared" si="1"/>
        <v>79335 - Sports - Mindfulness</v>
      </c>
      <c r="J1921" s="2">
        <f t="shared" si="2"/>
        <v>429.66</v>
      </c>
      <c r="K1921" s="17">
        <f t="shared" si="3"/>
        <v>1</v>
      </c>
      <c r="L1921" s="18"/>
    </row>
    <row r="1922" hidden="1">
      <c r="A1922" s="2">
        <f>IFERROR(__xludf.DUMMYFUNCTION("""COMPUTED_VALUE"""),45538.0)</f>
        <v>45538</v>
      </c>
      <c r="B1922" s="2">
        <f>IFERROR(__xludf.DUMMYFUNCTION("""COMPUTED_VALUE"""),0.0)</f>
        <v>0</v>
      </c>
      <c r="C1922" s="2">
        <f>IFERROR(__xludf.DUMMYFUNCTION("""COMPUTED_VALUE"""),425.0)</f>
        <v>425</v>
      </c>
      <c r="D1922" s="3">
        <f>IFERROR(__xludf.DUMMYFUNCTION("""COMPUTED_VALUE"""),224.0)</f>
        <v>224</v>
      </c>
      <c r="E1922" s="1" t="str">
        <f t="array" ref="E1922">_xlfn.XLOOKUP(A1922,Product!A:A,Product!B:B,"Bulunamadı")</f>
        <v>Sports</v>
      </c>
      <c r="F1922" s="1" t="str">
        <f t="array" ref="F1922">_xlfn.XLOOKUP(A1922,Product!A:A,Product!C:C,"Bulunamadı")</f>
        <v>Mindfulness</v>
      </c>
      <c r="G1922" s="2" t="str">
        <f t="array" ref="G1922">_xlfn.XLOOKUP(A1923,Product!A:A,Product!D:D,"Bulunamadı")</f>
        <v>Harborstone Books</v>
      </c>
      <c r="H1922" s="2">
        <f t="array" ref="H1922">_xlfn.XLOOKUP(A1924,Product!A:A,Product!E:E,"Bulunamadı")</f>
        <v>5.26</v>
      </c>
      <c r="I1922" s="2" t="str">
        <f t="shared" si="1"/>
        <v>45538 - Sports - Mindfulness</v>
      </c>
      <c r="J1922" s="2">
        <f t="shared" si="2"/>
        <v>1178.24</v>
      </c>
      <c r="K1922" s="17">
        <f t="shared" si="3"/>
        <v>1</v>
      </c>
      <c r="L1922" s="18"/>
    </row>
    <row r="1923" hidden="1">
      <c r="A1923" s="2">
        <f>IFERROR(__xludf.DUMMYFUNCTION("""COMPUTED_VALUE"""),76691.0)</f>
        <v>76691</v>
      </c>
      <c r="B1923" s="2">
        <f>IFERROR(__xludf.DUMMYFUNCTION("""COMPUTED_VALUE"""),1.0)</f>
        <v>1</v>
      </c>
      <c r="C1923" s="2">
        <f>IFERROR(__xludf.DUMMYFUNCTION("""COMPUTED_VALUE"""),543.0)</f>
        <v>543</v>
      </c>
      <c r="D1923" s="3">
        <f>IFERROR(__xludf.DUMMYFUNCTION("""COMPUTED_VALUE"""),321.0)</f>
        <v>321</v>
      </c>
      <c r="E1923" s="1" t="str">
        <f t="array" ref="E1923">_xlfn.XLOOKUP(A1923,Product!A:A,Product!B:B,"Bulunamadı")</f>
        <v>Sports</v>
      </c>
      <c r="F1923" s="1" t="str">
        <f t="array" ref="F1923">_xlfn.XLOOKUP(A1923,Product!A:A,Product!C:C,"Bulunamadı")</f>
        <v>Mindfulness</v>
      </c>
      <c r="G1923" s="2" t="str">
        <f t="array" ref="G1923">_xlfn.XLOOKUP(A1924,Product!A:A,Product!D:D,"Bulunamadı")</f>
        <v>Harborstone Books</v>
      </c>
      <c r="H1923" s="2">
        <f t="array" ref="H1923">_xlfn.XLOOKUP(A1925,Product!A:A,Product!E:E,"Bulunamadı")</f>
        <v>4.48</v>
      </c>
      <c r="I1923" s="2" t="str">
        <f t="shared" si="1"/>
        <v>76691 - Sports - Mindfulness</v>
      </c>
      <c r="J1923" s="2">
        <f t="shared" si="2"/>
        <v>1438.08</v>
      </c>
      <c r="K1923" s="17">
        <f t="shared" si="3"/>
        <v>1</v>
      </c>
      <c r="L1923" s="18"/>
    </row>
    <row r="1924" hidden="1">
      <c r="A1924" s="2">
        <f>IFERROR(__xludf.DUMMYFUNCTION("""COMPUTED_VALUE"""),2336.0)</f>
        <v>2336</v>
      </c>
      <c r="B1924" s="2">
        <f>IFERROR(__xludf.DUMMYFUNCTION("""COMPUTED_VALUE"""),0.0)</f>
        <v>0</v>
      </c>
      <c r="C1924" s="2">
        <f>IFERROR(__xludf.DUMMYFUNCTION("""COMPUTED_VALUE"""),239.0)</f>
        <v>239</v>
      </c>
      <c r="D1924" s="3">
        <f>IFERROR(__xludf.DUMMYFUNCTION("""COMPUTED_VALUE"""),62.0)</f>
        <v>62</v>
      </c>
      <c r="E1924" s="1" t="str">
        <f t="array" ref="E1924">_xlfn.XLOOKUP(A1924,Product!A:A,Product!B:B,"Bulunamadı")</f>
        <v>Sports</v>
      </c>
      <c r="F1924" s="1" t="str">
        <f t="array" ref="F1924">_xlfn.XLOOKUP(A1924,Product!A:A,Product!C:C,"Bulunamadı")</f>
        <v>Mindfulness</v>
      </c>
      <c r="G1924" s="2" t="str">
        <f t="array" ref="G1924">_xlfn.XLOOKUP(A1925,Product!A:A,Product!D:D,"Bulunamadı")</f>
        <v>Harborstone Books</v>
      </c>
      <c r="H1924" s="2">
        <f t="array" ref="H1924">_xlfn.XLOOKUP(A1926,Product!A:A,Product!E:E,"Bulunamadı")</f>
        <v>7.6</v>
      </c>
      <c r="I1924" s="2" t="str">
        <f t="shared" si="1"/>
        <v>2336 - Sports - Mindfulness</v>
      </c>
      <c r="J1924" s="2">
        <f t="shared" si="2"/>
        <v>471.2</v>
      </c>
      <c r="K1924" s="17">
        <f t="shared" si="3"/>
        <v>1</v>
      </c>
      <c r="L1924" s="18"/>
    </row>
    <row r="1925" hidden="1">
      <c r="A1925" s="2">
        <f>IFERROR(__xludf.DUMMYFUNCTION("""COMPUTED_VALUE"""),91912.0)</f>
        <v>91912</v>
      </c>
      <c r="B1925" s="2">
        <f>IFERROR(__xludf.DUMMYFUNCTION("""COMPUTED_VALUE"""),0.0)</f>
        <v>0</v>
      </c>
      <c r="C1925" s="2">
        <f>IFERROR(__xludf.DUMMYFUNCTION("""COMPUTED_VALUE"""),106.0)</f>
        <v>106</v>
      </c>
      <c r="D1925" s="3">
        <f>IFERROR(__xludf.DUMMYFUNCTION("""COMPUTED_VALUE"""),31.0)</f>
        <v>31</v>
      </c>
      <c r="E1925" s="1" t="str">
        <f t="array" ref="E1925">_xlfn.XLOOKUP(A1925,Product!A:A,Product!B:B,"Bulunamadı")</f>
        <v>Sports</v>
      </c>
      <c r="F1925" s="1" t="str">
        <f t="array" ref="F1925">_xlfn.XLOOKUP(A1925,Product!A:A,Product!C:C,"Bulunamadı")</f>
        <v>Mindfulness</v>
      </c>
      <c r="G1925" s="2" t="str">
        <f t="array" ref="G1925">_xlfn.XLOOKUP(A1926,Product!A:A,Product!D:D,"Bulunamadı")</f>
        <v>Harborstone Books</v>
      </c>
      <c r="H1925" s="2">
        <f t="array" ref="H1925">_xlfn.XLOOKUP(A1927,Product!A:A,Product!E:E,"Bulunamadı")</f>
        <v>4.27</v>
      </c>
      <c r="I1925" s="2" t="str">
        <f t="shared" si="1"/>
        <v>91912 - Sports - Mindfulness</v>
      </c>
      <c r="J1925" s="2">
        <f t="shared" si="2"/>
        <v>132.37</v>
      </c>
      <c r="K1925" s="17">
        <f t="shared" si="3"/>
        <v>1</v>
      </c>
      <c r="L1925" s="18"/>
    </row>
    <row r="1926" hidden="1">
      <c r="A1926" s="2">
        <f>IFERROR(__xludf.DUMMYFUNCTION("""COMPUTED_VALUE"""),110826.0)</f>
        <v>110826</v>
      </c>
      <c r="B1926" s="2">
        <f>IFERROR(__xludf.DUMMYFUNCTION("""COMPUTED_VALUE"""),0.0)</f>
        <v>0</v>
      </c>
      <c r="C1926" s="2">
        <f>IFERROR(__xludf.DUMMYFUNCTION("""COMPUTED_VALUE"""),196.0)</f>
        <v>196</v>
      </c>
      <c r="D1926" s="3">
        <f>IFERROR(__xludf.DUMMYFUNCTION("""COMPUTED_VALUE"""),26.0)</f>
        <v>26</v>
      </c>
      <c r="E1926" s="1" t="str">
        <f t="array" ref="E1926">_xlfn.XLOOKUP(A1926,Product!A:A,Product!B:B,"Bulunamadı")</f>
        <v>Sports</v>
      </c>
      <c r="F1926" s="1" t="str">
        <f t="array" ref="F1926">_xlfn.XLOOKUP(A1926,Product!A:A,Product!C:C,"Bulunamadı")</f>
        <v>Mindfulness</v>
      </c>
      <c r="G1926" s="2" t="str">
        <f t="array" ref="G1926">_xlfn.XLOOKUP(A1927,Product!A:A,Product!D:D,"Bulunamadı")</f>
        <v>Harborstone Books</v>
      </c>
      <c r="H1926" s="2">
        <f t="array" ref="H1926">_xlfn.XLOOKUP(A1928,Product!A:A,Product!E:E,"Bulunamadı")</f>
        <v>3.93</v>
      </c>
      <c r="I1926" s="2" t="str">
        <f t="shared" si="1"/>
        <v>110826 - Sports - Mindfulness</v>
      </c>
      <c r="J1926" s="2">
        <f t="shared" si="2"/>
        <v>102.18</v>
      </c>
      <c r="K1926" s="17">
        <f t="shared" si="3"/>
        <v>1</v>
      </c>
      <c r="L1926" s="18"/>
    </row>
    <row r="1927" hidden="1">
      <c r="A1927" s="2">
        <f>IFERROR(__xludf.DUMMYFUNCTION("""COMPUTED_VALUE"""),117710.0)</f>
        <v>117710</v>
      </c>
      <c r="B1927" s="2">
        <f>IFERROR(__xludf.DUMMYFUNCTION("""COMPUTED_VALUE"""),1.0)</f>
        <v>1</v>
      </c>
      <c r="C1927" s="2">
        <f>IFERROR(__xludf.DUMMYFUNCTION("""COMPUTED_VALUE"""),479.0)</f>
        <v>479</v>
      </c>
      <c r="D1927" s="3">
        <f>IFERROR(__xludf.DUMMYFUNCTION("""COMPUTED_VALUE"""),212.0)</f>
        <v>212</v>
      </c>
      <c r="E1927" s="1" t="str">
        <f t="array" ref="E1927">_xlfn.XLOOKUP(A1927,Product!A:A,Product!B:B,"Bulunamadı")</f>
        <v>Sports</v>
      </c>
      <c r="F1927" s="1" t="str">
        <f t="array" ref="F1927">_xlfn.XLOOKUP(A1927,Product!A:A,Product!C:C,"Bulunamadı")</f>
        <v>Mindfulness</v>
      </c>
      <c r="G1927" s="2" t="str">
        <f t="array" ref="G1927">_xlfn.XLOOKUP(A1928,Product!A:A,Product!D:D,"Bulunamadı")</f>
        <v>Harborstone Books</v>
      </c>
      <c r="H1927" s="2">
        <f t="array" ref="H1927">_xlfn.XLOOKUP(A1929,Product!A:A,Product!E:E,"Bulunamadı")</f>
        <v>6.78</v>
      </c>
      <c r="I1927" s="2" t="str">
        <f t="shared" si="1"/>
        <v>117710 - Sports - Mindfulness</v>
      </c>
      <c r="J1927" s="2">
        <f t="shared" si="2"/>
        <v>1437.36</v>
      </c>
      <c r="K1927" s="17">
        <f t="shared" si="3"/>
        <v>1</v>
      </c>
      <c r="L1927" s="18"/>
    </row>
    <row r="1928" hidden="1">
      <c r="A1928" s="2">
        <f>IFERROR(__xludf.DUMMYFUNCTION("""COMPUTED_VALUE"""),3621.0)</f>
        <v>3621</v>
      </c>
      <c r="B1928" s="2">
        <f>IFERROR(__xludf.DUMMYFUNCTION("""COMPUTED_VALUE"""),0.0)</f>
        <v>0</v>
      </c>
      <c r="C1928" s="2">
        <f>IFERROR(__xludf.DUMMYFUNCTION("""COMPUTED_VALUE"""),745.0)</f>
        <v>745</v>
      </c>
      <c r="D1928" s="3">
        <f>IFERROR(__xludf.DUMMYFUNCTION("""COMPUTED_VALUE"""),353.0)</f>
        <v>353</v>
      </c>
      <c r="E1928" s="1" t="str">
        <f t="array" ref="E1928">_xlfn.XLOOKUP(A1928,Product!A:A,Product!B:B,"Bulunamadı")</f>
        <v>Sports</v>
      </c>
      <c r="F1928" s="1" t="str">
        <f t="array" ref="F1928">_xlfn.XLOOKUP(A1928,Product!A:A,Product!C:C,"Bulunamadı")</f>
        <v>Mindfulness</v>
      </c>
      <c r="G1928" s="2" t="str">
        <f t="array" ref="G1928">_xlfn.XLOOKUP(A1929,Product!A:A,Product!D:D,"Bulunamadı")</f>
        <v>Harborstone Books</v>
      </c>
      <c r="H1928" s="2">
        <f t="array" ref="H1928">_xlfn.XLOOKUP(A1930,Product!A:A,Product!E:E,"Bulunamadı")</f>
        <v>3.63</v>
      </c>
      <c r="I1928" s="2" t="str">
        <f t="shared" si="1"/>
        <v>3621 - Sports - Mindfulness</v>
      </c>
      <c r="J1928" s="2">
        <f t="shared" si="2"/>
        <v>1281.39</v>
      </c>
      <c r="K1928" s="17">
        <f t="shared" si="3"/>
        <v>1</v>
      </c>
      <c r="L1928" s="18"/>
    </row>
    <row r="1929" hidden="1">
      <c r="A1929" s="2">
        <f>IFERROR(__xludf.DUMMYFUNCTION("""COMPUTED_VALUE"""),4179.0)</f>
        <v>4179</v>
      </c>
      <c r="B1929" s="2">
        <f>IFERROR(__xludf.DUMMYFUNCTION("""COMPUTED_VALUE"""),1.0)</f>
        <v>1</v>
      </c>
      <c r="C1929" s="2">
        <f>IFERROR(__xludf.DUMMYFUNCTION("""COMPUTED_VALUE"""),534.0)</f>
        <v>534</v>
      </c>
      <c r="D1929" s="3">
        <f>IFERROR(__xludf.DUMMYFUNCTION("""COMPUTED_VALUE"""),246.0)</f>
        <v>246</v>
      </c>
      <c r="E1929" s="1" t="str">
        <f t="array" ref="E1929">_xlfn.XLOOKUP(A1929,Product!A:A,Product!B:B,"Bulunamadı")</f>
        <v>Sports</v>
      </c>
      <c r="F1929" s="1" t="str">
        <f t="array" ref="F1929">_xlfn.XLOOKUP(A1929,Product!A:A,Product!C:C,"Bulunamadı")</f>
        <v>Mindfulness</v>
      </c>
      <c r="G1929" s="2" t="str">
        <f t="array" ref="G1929">_xlfn.XLOOKUP(A1930,Product!A:A,Product!D:D,"Bulunamadı")</f>
        <v>Harborstone Books</v>
      </c>
      <c r="H1929" s="2">
        <f t="array" ref="H1929">_xlfn.XLOOKUP(A1931,Product!A:A,Product!E:E,"Bulunamadı")</f>
        <v>6.35</v>
      </c>
      <c r="I1929" s="2" t="str">
        <f t="shared" si="1"/>
        <v>4179 - Sports - Mindfulness</v>
      </c>
      <c r="J1929" s="2">
        <f t="shared" si="2"/>
        <v>1562.1</v>
      </c>
      <c r="K1929" s="17">
        <f t="shared" si="3"/>
        <v>1</v>
      </c>
      <c r="L1929" s="18"/>
    </row>
    <row r="1930" hidden="1">
      <c r="A1930" s="2">
        <f>IFERROR(__xludf.DUMMYFUNCTION("""COMPUTED_VALUE"""),89407.0)</f>
        <v>89407</v>
      </c>
      <c r="B1930" s="2">
        <f>IFERROR(__xludf.DUMMYFUNCTION("""COMPUTED_VALUE"""),1.0)</f>
        <v>1</v>
      </c>
      <c r="C1930" s="2">
        <f>IFERROR(__xludf.DUMMYFUNCTION("""COMPUTED_VALUE"""),230.0)</f>
        <v>230</v>
      </c>
      <c r="D1930" s="3">
        <f>IFERROR(__xludf.DUMMYFUNCTION("""COMPUTED_VALUE"""),211.0)</f>
        <v>211</v>
      </c>
      <c r="E1930" s="1" t="str">
        <f t="array" ref="E1930">_xlfn.XLOOKUP(A1930,Product!A:A,Product!B:B,"Bulunamadı")</f>
        <v>Sports</v>
      </c>
      <c r="F1930" s="1" t="str">
        <f t="array" ref="F1930">_xlfn.XLOOKUP(A1930,Product!A:A,Product!C:C,"Bulunamadı")</f>
        <v>Mindfulness</v>
      </c>
      <c r="G1930" s="2" t="str">
        <f t="array" ref="G1930">_xlfn.XLOOKUP(A1931,Product!A:A,Product!D:D,"Bulunamadı")</f>
        <v>Harborstone Books</v>
      </c>
      <c r="H1930" s="2">
        <f t="array" ref="H1930">_xlfn.XLOOKUP(A1932,Product!A:A,Product!E:E,"Bulunamadı")</f>
        <v>5.59</v>
      </c>
      <c r="I1930" s="2" t="str">
        <f t="shared" si="1"/>
        <v>89407 - Sports - Mindfulness</v>
      </c>
      <c r="J1930" s="2">
        <f t="shared" si="2"/>
        <v>1179.49</v>
      </c>
      <c r="K1930" s="17">
        <f t="shared" si="3"/>
        <v>1</v>
      </c>
      <c r="L1930" s="18"/>
    </row>
    <row r="1931" hidden="1">
      <c r="A1931" s="2">
        <f>IFERROR(__xludf.DUMMYFUNCTION("""COMPUTED_VALUE"""),121190.0)</f>
        <v>121190</v>
      </c>
      <c r="B1931" s="2">
        <f>IFERROR(__xludf.DUMMYFUNCTION("""COMPUTED_VALUE"""),1.0)</f>
        <v>1</v>
      </c>
      <c r="C1931" s="2">
        <f>IFERROR(__xludf.DUMMYFUNCTION("""COMPUTED_VALUE"""),204.0)</f>
        <v>204</v>
      </c>
      <c r="D1931" s="3">
        <f>IFERROR(__xludf.DUMMYFUNCTION("""COMPUTED_VALUE"""),172.0)</f>
        <v>172</v>
      </c>
      <c r="E1931" s="1" t="str">
        <f t="array" ref="E1931">_xlfn.XLOOKUP(A1931,Product!A:A,Product!B:B,"Bulunamadı")</f>
        <v>Sports</v>
      </c>
      <c r="F1931" s="1" t="str">
        <f t="array" ref="F1931">_xlfn.XLOOKUP(A1931,Product!A:A,Product!C:C,"Bulunamadı")</f>
        <v>Mindfulness</v>
      </c>
      <c r="G1931" s="2" t="str">
        <f t="array" ref="G1931">_xlfn.XLOOKUP(A1932,Product!A:A,Product!D:D,"Bulunamadı")</f>
        <v>Harborstone Books</v>
      </c>
      <c r="H1931" s="2">
        <f t="array" ref="H1931">_xlfn.XLOOKUP(A1933,Product!A:A,Product!E:E,"Bulunamadı")</f>
        <v>3.76</v>
      </c>
      <c r="I1931" s="2" t="str">
        <f t="shared" si="1"/>
        <v>121190 - Sports - Mindfulness</v>
      </c>
      <c r="J1931" s="2">
        <f t="shared" si="2"/>
        <v>646.72</v>
      </c>
      <c r="K1931" s="17">
        <f t="shared" si="3"/>
        <v>1</v>
      </c>
      <c r="L1931" s="18"/>
    </row>
    <row r="1932" hidden="1">
      <c r="A1932" s="2">
        <f>IFERROR(__xludf.DUMMYFUNCTION("""COMPUTED_VALUE"""),45524.0)</f>
        <v>45524</v>
      </c>
      <c r="B1932" s="2">
        <f>IFERROR(__xludf.DUMMYFUNCTION("""COMPUTED_VALUE"""),1.0)</f>
        <v>1</v>
      </c>
      <c r="C1932" s="2">
        <f>IFERROR(__xludf.DUMMYFUNCTION("""COMPUTED_VALUE"""),342.0)</f>
        <v>342</v>
      </c>
      <c r="D1932" s="3">
        <f>IFERROR(__xludf.DUMMYFUNCTION("""COMPUTED_VALUE"""),140.0)</f>
        <v>140</v>
      </c>
      <c r="E1932" s="1" t="str">
        <f t="array" ref="E1932">_xlfn.XLOOKUP(A1932,Product!A:A,Product!B:B,"Bulunamadı")</f>
        <v>Sports</v>
      </c>
      <c r="F1932" s="1" t="str">
        <f t="array" ref="F1932">_xlfn.XLOOKUP(A1932,Product!A:A,Product!C:C,"Bulunamadı")</f>
        <v>Mindfulness</v>
      </c>
      <c r="G1932" s="2" t="str">
        <f t="array" ref="G1932">_xlfn.XLOOKUP(A1933,Product!A:A,Product!D:D,"Bulunamadı")</f>
        <v>Harborstone Books</v>
      </c>
      <c r="H1932" s="2">
        <f t="array" ref="H1932">_xlfn.XLOOKUP(A1934,Product!A:A,Product!E:E,"Bulunamadı")</f>
        <v>5.2</v>
      </c>
      <c r="I1932" s="2" t="str">
        <f t="shared" si="1"/>
        <v>45524 - Sports - Mindfulness</v>
      </c>
      <c r="J1932" s="2">
        <f t="shared" si="2"/>
        <v>728</v>
      </c>
      <c r="K1932" s="17">
        <f t="shared" si="3"/>
        <v>1</v>
      </c>
      <c r="L1932" s="18"/>
    </row>
    <row r="1933" hidden="1">
      <c r="A1933" s="2">
        <f>IFERROR(__xludf.DUMMYFUNCTION("""COMPUTED_VALUE"""),3634.0)</f>
        <v>3634</v>
      </c>
      <c r="B1933" s="2">
        <f>IFERROR(__xludf.DUMMYFUNCTION("""COMPUTED_VALUE"""),0.0)</f>
        <v>0</v>
      </c>
      <c r="C1933" s="2">
        <f>IFERROR(__xludf.DUMMYFUNCTION("""COMPUTED_VALUE"""),871.0)</f>
        <v>871</v>
      </c>
      <c r="D1933" s="3">
        <f>IFERROR(__xludf.DUMMYFUNCTION("""COMPUTED_VALUE"""),397.0)</f>
        <v>397</v>
      </c>
      <c r="E1933" s="1" t="str">
        <f t="array" ref="E1933">_xlfn.XLOOKUP(A1933,Product!A:A,Product!B:B,"Bulunamadı")</f>
        <v>Sports</v>
      </c>
      <c r="F1933" s="1" t="str">
        <f t="array" ref="F1933">_xlfn.XLOOKUP(A1933,Product!A:A,Product!C:C,"Bulunamadı")</f>
        <v>Mindfulness</v>
      </c>
      <c r="G1933" s="2" t="str">
        <f t="array" ref="G1933">_xlfn.XLOOKUP(A1934,Product!A:A,Product!D:D,"Bulunamadı")</f>
        <v>Harborstone Books</v>
      </c>
      <c r="H1933" s="2">
        <f t="array" ref="H1933">_xlfn.XLOOKUP(A1935,Product!A:A,Product!E:E,"Bulunamadı")</f>
        <v>3.95</v>
      </c>
      <c r="I1933" s="2" t="str">
        <f t="shared" si="1"/>
        <v>3634 - Sports - Mindfulness</v>
      </c>
      <c r="J1933" s="2">
        <f t="shared" si="2"/>
        <v>1568.15</v>
      </c>
      <c r="K1933" s="17">
        <f t="shared" si="3"/>
        <v>1</v>
      </c>
      <c r="L1933" s="18"/>
    </row>
    <row r="1934" hidden="1">
      <c r="A1934" s="2">
        <f>IFERROR(__xludf.DUMMYFUNCTION("""COMPUTED_VALUE"""),104327.0)</f>
        <v>104327</v>
      </c>
      <c r="B1934" s="2">
        <f>IFERROR(__xludf.DUMMYFUNCTION("""COMPUTED_VALUE"""),0.0)</f>
        <v>0</v>
      </c>
      <c r="C1934" s="2">
        <f>IFERROR(__xludf.DUMMYFUNCTION("""COMPUTED_VALUE"""),170.0)</f>
        <v>170</v>
      </c>
      <c r="D1934" s="3">
        <f>IFERROR(__xludf.DUMMYFUNCTION("""COMPUTED_VALUE"""),50.0)</f>
        <v>50</v>
      </c>
      <c r="E1934" s="1" t="str">
        <f t="array" ref="E1934">_xlfn.XLOOKUP(A1934,Product!A:A,Product!B:B,"Bulunamadı")</f>
        <v>Sports</v>
      </c>
      <c r="F1934" s="1" t="str">
        <f t="array" ref="F1934">_xlfn.XLOOKUP(A1934,Product!A:A,Product!C:C,"Bulunamadı")</f>
        <v>Mindfulness</v>
      </c>
      <c r="G1934" s="2" t="str">
        <f t="array" ref="G1934">_xlfn.XLOOKUP(A1935,Product!A:A,Product!D:D,"Bulunamadı")</f>
        <v>Harborstone Books</v>
      </c>
      <c r="H1934" s="2">
        <f t="array" ref="H1934">_xlfn.XLOOKUP(A1936,Product!A:A,Product!E:E,"Bulunamadı")</f>
        <v>3.62</v>
      </c>
      <c r="I1934" s="2" t="str">
        <f t="shared" si="1"/>
        <v>104327 - Sports - Mindfulness</v>
      </c>
      <c r="J1934" s="2">
        <f t="shared" si="2"/>
        <v>181</v>
      </c>
      <c r="K1934" s="17">
        <f t="shared" si="3"/>
        <v>1</v>
      </c>
      <c r="L1934" s="18"/>
    </row>
    <row r="1935" hidden="1">
      <c r="A1935" s="2">
        <f>IFERROR(__xludf.DUMMYFUNCTION("""COMPUTED_VALUE"""),71282.0)</f>
        <v>71282</v>
      </c>
      <c r="B1935" s="2">
        <f>IFERROR(__xludf.DUMMYFUNCTION("""COMPUTED_VALUE"""),1.0)</f>
        <v>1</v>
      </c>
      <c r="C1935" s="2">
        <f>IFERROR(__xludf.DUMMYFUNCTION("""COMPUTED_VALUE"""),780.0)</f>
        <v>780</v>
      </c>
      <c r="D1935" s="3">
        <f>IFERROR(__xludf.DUMMYFUNCTION("""COMPUTED_VALUE"""),748.0)</f>
        <v>748</v>
      </c>
      <c r="E1935" s="1" t="str">
        <f t="array" ref="E1935">_xlfn.XLOOKUP(A1935,Product!A:A,Product!B:B,"Bulunamadı")</f>
        <v>Sports</v>
      </c>
      <c r="F1935" s="1" t="str">
        <f t="array" ref="F1935">_xlfn.XLOOKUP(A1935,Product!A:A,Product!C:C,"Bulunamadı")</f>
        <v>Mindfulness</v>
      </c>
      <c r="G1935" s="2" t="str">
        <f t="array" ref="G1935">_xlfn.XLOOKUP(A1936,Product!A:A,Product!D:D,"Bulunamadı")</f>
        <v>Harborstone Books</v>
      </c>
      <c r="H1935" s="2">
        <f t="array" ref="H1935">_xlfn.XLOOKUP(A1937,Product!A:A,Product!E:E,"Bulunamadı")</f>
        <v>7.39</v>
      </c>
      <c r="I1935" s="2" t="str">
        <f t="shared" si="1"/>
        <v>71282 - Sports - Mindfulness</v>
      </c>
      <c r="J1935" s="2">
        <f t="shared" si="2"/>
        <v>5527.72</v>
      </c>
      <c r="K1935" s="17">
        <f t="shared" si="3"/>
        <v>1</v>
      </c>
      <c r="L1935" s="18"/>
    </row>
    <row r="1936" hidden="1">
      <c r="A1936" s="2">
        <f>IFERROR(__xludf.DUMMYFUNCTION("""COMPUTED_VALUE"""),89411.0)</f>
        <v>89411</v>
      </c>
      <c r="B1936" s="2">
        <f>IFERROR(__xludf.DUMMYFUNCTION("""COMPUTED_VALUE"""),1.0)</f>
        <v>1</v>
      </c>
      <c r="C1936" s="2">
        <f>IFERROR(__xludf.DUMMYFUNCTION("""COMPUTED_VALUE"""),562.0)</f>
        <v>562</v>
      </c>
      <c r="D1936" s="3">
        <f>IFERROR(__xludf.DUMMYFUNCTION("""COMPUTED_VALUE"""),186.0)</f>
        <v>186</v>
      </c>
      <c r="E1936" s="1" t="str">
        <f t="array" ref="E1936">_xlfn.XLOOKUP(A1936,Product!A:A,Product!B:B,"Bulunamadı")</f>
        <v>Sports</v>
      </c>
      <c r="F1936" s="1" t="str">
        <f t="array" ref="F1936">_xlfn.XLOOKUP(A1936,Product!A:A,Product!C:C,"Bulunamadı")</f>
        <v>Mindfulness</v>
      </c>
      <c r="G1936" s="2" t="str">
        <f t="array" ref="G1936">_xlfn.XLOOKUP(A1937,Product!A:A,Product!D:D,"Bulunamadı")</f>
        <v>Cedarstone Press</v>
      </c>
      <c r="H1936" s="2">
        <f t="array" ref="H1936">_xlfn.XLOOKUP(A1938,Product!A:A,Product!E:E,"Bulunamadı")</f>
        <v>7.36</v>
      </c>
      <c r="I1936" s="2" t="str">
        <f t="shared" si="1"/>
        <v>89411 - Sports - Mindfulness</v>
      </c>
      <c r="J1936" s="2">
        <f t="shared" si="2"/>
        <v>1368.96</v>
      </c>
      <c r="K1936" s="17">
        <f t="shared" si="3"/>
        <v>1</v>
      </c>
      <c r="L1936" s="18"/>
    </row>
    <row r="1937" hidden="1">
      <c r="A1937" s="2">
        <f>IFERROR(__xludf.DUMMYFUNCTION("""COMPUTED_VALUE"""),105361.0)</f>
        <v>105361</v>
      </c>
      <c r="B1937" s="2">
        <f>IFERROR(__xludf.DUMMYFUNCTION("""COMPUTED_VALUE"""),1.0)</f>
        <v>1</v>
      </c>
      <c r="C1937" s="2">
        <f>IFERROR(__xludf.DUMMYFUNCTION("""COMPUTED_VALUE"""),797.0)</f>
        <v>797</v>
      </c>
      <c r="D1937" s="3">
        <f>IFERROR(__xludf.DUMMYFUNCTION("""COMPUTED_VALUE"""),75.0)</f>
        <v>75</v>
      </c>
      <c r="E1937" s="1" t="str">
        <f t="array" ref="E1937">_xlfn.XLOOKUP(A1937,Product!A:A,Product!B:B,"Bulunamadı")</f>
        <v>Sports</v>
      </c>
      <c r="F1937" s="1" t="str">
        <f t="array" ref="F1937">_xlfn.XLOOKUP(A1937,Product!A:A,Product!C:C,"Bulunamadı")</f>
        <v>Mindfulness</v>
      </c>
      <c r="G1937" s="2" t="str">
        <f t="array" ref="G1937">_xlfn.XLOOKUP(A1938,Product!A:A,Product!D:D,"Bulunamadı")</f>
        <v>Cedarstone Press</v>
      </c>
      <c r="H1937" s="2">
        <f t="array" ref="H1937">_xlfn.XLOOKUP(A1939,Product!A:A,Product!E:E,"Bulunamadı")</f>
        <v>3.66</v>
      </c>
      <c r="I1937" s="2" t="str">
        <f t="shared" si="1"/>
        <v>105361 - Sports - Mindfulness</v>
      </c>
      <c r="J1937" s="2">
        <f t="shared" si="2"/>
        <v>274.5</v>
      </c>
      <c r="K1937" s="17">
        <f t="shared" si="3"/>
        <v>1</v>
      </c>
      <c r="L1937" s="18"/>
    </row>
    <row r="1938" hidden="1">
      <c r="A1938" s="2">
        <f>IFERROR(__xludf.DUMMYFUNCTION("""COMPUTED_VALUE"""),105359.0)</f>
        <v>105359</v>
      </c>
      <c r="B1938" s="2">
        <f>IFERROR(__xludf.DUMMYFUNCTION("""COMPUTED_VALUE"""),0.0)</f>
        <v>0</v>
      </c>
      <c r="C1938" s="2">
        <f>IFERROR(__xludf.DUMMYFUNCTION("""COMPUTED_VALUE"""),718.0)</f>
        <v>718</v>
      </c>
      <c r="D1938" s="3">
        <f>IFERROR(__xludf.DUMMYFUNCTION("""COMPUTED_VALUE"""),659.0)</f>
        <v>659</v>
      </c>
      <c r="E1938" s="1" t="str">
        <f t="array" ref="E1938">_xlfn.XLOOKUP(A1938,Product!A:A,Product!B:B,"Bulunamadı")</f>
        <v>Sports</v>
      </c>
      <c r="F1938" s="1" t="str">
        <f t="array" ref="F1938">_xlfn.XLOOKUP(A1938,Product!A:A,Product!C:C,"Bulunamadı")</f>
        <v>Mindfulness</v>
      </c>
      <c r="G1938" s="2" t="str">
        <f t="array" ref="G1938">_xlfn.XLOOKUP(A1939,Product!A:A,Product!D:D,"Bulunamadı")</f>
        <v>Cedarstone Press</v>
      </c>
      <c r="H1938" s="2">
        <f t="array" ref="H1938">_xlfn.XLOOKUP(A1940,Product!A:A,Product!E:E,"Bulunamadı")</f>
        <v>8</v>
      </c>
      <c r="I1938" s="2" t="str">
        <f t="shared" si="1"/>
        <v>105359 - Sports - Mindfulness</v>
      </c>
      <c r="J1938" s="2">
        <f t="shared" si="2"/>
        <v>5272</v>
      </c>
      <c r="K1938" s="17">
        <f t="shared" si="3"/>
        <v>1</v>
      </c>
      <c r="L1938" s="18"/>
    </row>
    <row r="1939" hidden="1">
      <c r="A1939" s="2">
        <f>IFERROR(__xludf.DUMMYFUNCTION("""COMPUTED_VALUE"""),75174.0)</f>
        <v>75174</v>
      </c>
      <c r="B1939" s="2">
        <f>IFERROR(__xludf.DUMMYFUNCTION("""COMPUTED_VALUE"""),1.0)</f>
        <v>1</v>
      </c>
      <c r="C1939" s="2">
        <f>IFERROR(__xludf.DUMMYFUNCTION("""COMPUTED_VALUE"""),52.0)</f>
        <v>52</v>
      </c>
      <c r="D1939" s="3">
        <f>IFERROR(__xludf.DUMMYFUNCTION("""COMPUTED_VALUE"""),29.0)</f>
        <v>29</v>
      </c>
      <c r="E1939" s="1" t="str">
        <f t="array" ref="E1939">_xlfn.XLOOKUP(A1939,Product!A:A,Product!B:B,"Bulunamadı")</f>
        <v>Sports</v>
      </c>
      <c r="F1939" s="1" t="str">
        <f t="array" ref="F1939">_xlfn.XLOOKUP(A1939,Product!A:A,Product!C:C,"Bulunamadı")</f>
        <v>Mindfulness</v>
      </c>
      <c r="G1939" s="2" t="str">
        <f t="array" ref="G1939">_xlfn.XLOOKUP(A1940,Product!A:A,Product!D:D,"Bulunamadı")</f>
        <v>Cedarstone Press</v>
      </c>
      <c r="H1939" s="2">
        <f t="array" ref="H1939">_xlfn.XLOOKUP(A1941,Product!A:A,Product!E:E,"Bulunamadı")</f>
        <v>4.84</v>
      </c>
      <c r="I1939" s="2" t="str">
        <f t="shared" si="1"/>
        <v>75174 - Sports - Mindfulness</v>
      </c>
      <c r="J1939" s="2">
        <f t="shared" si="2"/>
        <v>140.36</v>
      </c>
      <c r="K1939" s="17">
        <f t="shared" si="3"/>
        <v>1</v>
      </c>
      <c r="L1939" s="18"/>
    </row>
    <row r="1940" hidden="1">
      <c r="A1940" s="2">
        <f>IFERROR(__xludf.DUMMYFUNCTION("""COMPUTED_VALUE"""),11895.0)</f>
        <v>11895</v>
      </c>
      <c r="B1940" s="2">
        <f>IFERROR(__xludf.DUMMYFUNCTION("""COMPUTED_VALUE"""),0.0)</f>
        <v>0</v>
      </c>
      <c r="C1940" s="2">
        <f>IFERROR(__xludf.DUMMYFUNCTION("""COMPUTED_VALUE"""),385.0)</f>
        <v>385</v>
      </c>
      <c r="D1940" s="3">
        <f>IFERROR(__xludf.DUMMYFUNCTION("""COMPUTED_VALUE"""),108.0)</f>
        <v>108</v>
      </c>
      <c r="E1940" s="1" t="str">
        <f t="array" ref="E1940">_xlfn.XLOOKUP(A1940,Product!A:A,Product!B:B,"Bulunamadı")</f>
        <v>Sports</v>
      </c>
      <c r="F1940" s="1" t="str">
        <f t="array" ref="F1940">_xlfn.XLOOKUP(A1940,Product!A:A,Product!C:C,"Bulunamadı")</f>
        <v>Mindfulness</v>
      </c>
      <c r="G1940" s="2" t="str">
        <f t="array" ref="G1940">_xlfn.XLOOKUP(A1941,Product!A:A,Product!D:D,"Bulunamadı")</f>
        <v>Cedarstone Press</v>
      </c>
      <c r="H1940" s="2">
        <f t="array" ref="H1940">_xlfn.XLOOKUP(A1942,Product!A:A,Product!E:E,"Bulunamadı")</f>
        <v>4.91</v>
      </c>
      <c r="I1940" s="2" t="str">
        <f t="shared" si="1"/>
        <v>11895 - Sports - Mindfulness</v>
      </c>
      <c r="J1940" s="2">
        <f t="shared" si="2"/>
        <v>530.28</v>
      </c>
      <c r="K1940" s="17">
        <f t="shared" si="3"/>
        <v>1</v>
      </c>
      <c r="L1940" s="18"/>
    </row>
    <row r="1941" hidden="1">
      <c r="A1941" s="2">
        <f>IFERROR(__xludf.DUMMYFUNCTION("""COMPUTED_VALUE"""),11812.0)</f>
        <v>11812</v>
      </c>
      <c r="B1941" s="2">
        <f>IFERROR(__xludf.DUMMYFUNCTION("""COMPUTED_VALUE"""),0.0)</f>
        <v>0</v>
      </c>
      <c r="C1941" s="2">
        <f>IFERROR(__xludf.DUMMYFUNCTION("""COMPUTED_VALUE"""),476.0)</f>
        <v>476</v>
      </c>
      <c r="D1941" s="3">
        <f>IFERROR(__xludf.DUMMYFUNCTION("""COMPUTED_VALUE"""),148.0)</f>
        <v>148</v>
      </c>
      <c r="E1941" s="1" t="str">
        <f t="array" ref="E1941">_xlfn.XLOOKUP(A1941,Product!A:A,Product!B:B,"Bulunamadı")</f>
        <v>Sports</v>
      </c>
      <c r="F1941" s="1" t="str">
        <f t="array" ref="F1941">_xlfn.XLOOKUP(A1941,Product!A:A,Product!C:C,"Bulunamadı")</f>
        <v>Mindfulness</v>
      </c>
      <c r="G1941" s="2" t="str">
        <f t="array" ref="G1941">_xlfn.XLOOKUP(A1942,Product!A:A,Product!D:D,"Bulunamadı")</f>
        <v>Brightstone Publishing</v>
      </c>
      <c r="H1941" s="2">
        <f t="array" ref="H1941">_xlfn.XLOOKUP(A1943,Product!A:A,Product!E:E,"Bulunamadı")</f>
        <v>4.69</v>
      </c>
      <c r="I1941" s="2" t="str">
        <f t="shared" si="1"/>
        <v>11812 - Sports - Mindfulness</v>
      </c>
      <c r="J1941" s="2">
        <f t="shared" si="2"/>
        <v>694.12</v>
      </c>
      <c r="K1941" s="17">
        <f t="shared" si="3"/>
        <v>1</v>
      </c>
      <c r="L1941" s="18"/>
    </row>
    <row r="1942" hidden="1">
      <c r="A1942" s="2">
        <f>IFERROR(__xludf.DUMMYFUNCTION("""COMPUTED_VALUE"""),11815.0)</f>
        <v>11815</v>
      </c>
      <c r="B1942" s="2">
        <f>IFERROR(__xludf.DUMMYFUNCTION("""COMPUTED_VALUE"""),1.0)</f>
        <v>1</v>
      </c>
      <c r="C1942" s="2">
        <f>IFERROR(__xludf.DUMMYFUNCTION("""COMPUTED_VALUE"""),401.0)</f>
        <v>401</v>
      </c>
      <c r="D1942" s="3">
        <f>IFERROR(__xludf.DUMMYFUNCTION("""COMPUTED_VALUE"""),198.0)</f>
        <v>198</v>
      </c>
      <c r="E1942" s="1" t="str">
        <f t="array" ref="E1942">_xlfn.XLOOKUP(A1942,Product!A:A,Product!B:B,"Bulunamadı")</f>
        <v>Sports</v>
      </c>
      <c r="F1942" s="1" t="str">
        <f t="array" ref="F1942">_xlfn.XLOOKUP(A1942,Product!A:A,Product!C:C,"Bulunamadı")</f>
        <v>Mindfulness</v>
      </c>
      <c r="G1942" s="2" t="str">
        <f t="array" ref="G1942">_xlfn.XLOOKUP(A1943,Product!A:A,Product!D:D,"Bulunamadı")</f>
        <v>Brightstone Publishing</v>
      </c>
      <c r="H1942" s="2">
        <f t="array" ref="H1942">_xlfn.XLOOKUP(A1944,Product!A:A,Product!E:E,"Bulunamadı")</f>
        <v>4.42</v>
      </c>
      <c r="I1942" s="2" t="str">
        <f t="shared" si="1"/>
        <v>11815 - Sports - Mindfulness</v>
      </c>
      <c r="J1942" s="2">
        <f t="shared" si="2"/>
        <v>875.16</v>
      </c>
      <c r="K1942" s="17">
        <f t="shared" si="3"/>
        <v>1</v>
      </c>
      <c r="L1942" s="18"/>
    </row>
    <row r="1943" hidden="1">
      <c r="A1943" s="2">
        <f>IFERROR(__xludf.DUMMYFUNCTION("""COMPUTED_VALUE"""),11784.0)</f>
        <v>11784</v>
      </c>
      <c r="B1943" s="2">
        <f>IFERROR(__xludf.DUMMYFUNCTION("""COMPUTED_VALUE"""),1.0)</f>
        <v>1</v>
      </c>
      <c r="C1943" s="2">
        <f>IFERROR(__xludf.DUMMYFUNCTION("""COMPUTED_VALUE"""),765.0)</f>
        <v>765</v>
      </c>
      <c r="D1943" s="3">
        <f>IFERROR(__xludf.DUMMYFUNCTION("""COMPUTED_VALUE"""),151.0)</f>
        <v>151</v>
      </c>
      <c r="E1943" s="1" t="str">
        <f t="array" ref="E1943">_xlfn.XLOOKUP(A1943,Product!A:A,Product!B:B,"Bulunamadı")</f>
        <v>Sports</v>
      </c>
      <c r="F1943" s="1" t="str">
        <f t="array" ref="F1943">_xlfn.XLOOKUP(A1943,Product!A:A,Product!C:C,"Bulunamadı")</f>
        <v>Mindfulness</v>
      </c>
      <c r="G1943" s="2" t="str">
        <f t="array" ref="G1943">_xlfn.XLOOKUP(A1944,Product!A:A,Product!D:D,"Bulunamadı")</f>
        <v>Brightstone Publishing</v>
      </c>
      <c r="H1943" s="2">
        <f t="array" ref="H1943">_xlfn.XLOOKUP(A1945,Product!A:A,Product!E:E,"Bulunamadı")</f>
        <v>5.91</v>
      </c>
      <c r="I1943" s="2" t="str">
        <f t="shared" si="1"/>
        <v>11784 - Sports - Mindfulness</v>
      </c>
      <c r="J1943" s="2">
        <f t="shared" si="2"/>
        <v>892.41</v>
      </c>
      <c r="K1943" s="17">
        <f t="shared" si="3"/>
        <v>1</v>
      </c>
      <c r="L1943" s="18"/>
    </row>
    <row r="1944" hidden="1">
      <c r="A1944" s="2">
        <f>IFERROR(__xludf.DUMMYFUNCTION("""COMPUTED_VALUE"""),89241.0)</f>
        <v>89241</v>
      </c>
      <c r="B1944" s="2">
        <f>IFERROR(__xludf.DUMMYFUNCTION("""COMPUTED_VALUE"""),1.0)</f>
        <v>1</v>
      </c>
      <c r="C1944" s="2">
        <f>IFERROR(__xludf.DUMMYFUNCTION("""COMPUTED_VALUE"""),748.0)</f>
        <v>748</v>
      </c>
      <c r="D1944" s="3">
        <f>IFERROR(__xludf.DUMMYFUNCTION("""COMPUTED_VALUE"""),379.0)</f>
        <v>379</v>
      </c>
      <c r="E1944" s="1" t="str">
        <f t="array" ref="E1944">_xlfn.XLOOKUP(A1944,Product!A:A,Product!B:B,"Bulunamadı")</f>
        <v>Sports</v>
      </c>
      <c r="F1944" s="1" t="str">
        <f t="array" ref="F1944">_xlfn.XLOOKUP(A1944,Product!A:A,Product!C:C,"Bulunamadı")</f>
        <v>Mindfulness</v>
      </c>
      <c r="G1944" s="2" t="str">
        <f t="array" ref="G1944">_xlfn.XLOOKUP(A1945,Product!A:A,Product!D:D,"Bulunamadı")</f>
        <v>Brightstone Publishing</v>
      </c>
      <c r="H1944" s="2">
        <f t="array" ref="H1944">_xlfn.XLOOKUP(A1946,Product!A:A,Product!E:E,"Bulunamadı")</f>
        <v>9.91</v>
      </c>
      <c r="I1944" s="2" t="str">
        <f t="shared" si="1"/>
        <v>89241 - Sports - Mindfulness</v>
      </c>
      <c r="J1944" s="2">
        <f t="shared" si="2"/>
        <v>3755.89</v>
      </c>
      <c r="K1944" s="17">
        <f t="shared" si="3"/>
        <v>1</v>
      </c>
      <c r="L1944" s="18"/>
    </row>
    <row r="1945" hidden="1">
      <c r="A1945" s="2">
        <f>IFERROR(__xludf.DUMMYFUNCTION("""COMPUTED_VALUE"""),117688.0)</f>
        <v>117688</v>
      </c>
      <c r="B1945" s="2">
        <f>IFERROR(__xludf.DUMMYFUNCTION("""COMPUTED_VALUE"""),1.0)</f>
        <v>1</v>
      </c>
      <c r="C1945" s="2">
        <f>IFERROR(__xludf.DUMMYFUNCTION("""COMPUTED_VALUE"""),591.0)</f>
        <v>591</v>
      </c>
      <c r="D1945" s="3">
        <f>IFERROR(__xludf.DUMMYFUNCTION("""COMPUTED_VALUE"""),83.0)</f>
        <v>83</v>
      </c>
      <c r="E1945" s="1" t="str">
        <f t="array" ref="E1945">_xlfn.XLOOKUP(A1945,Product!A:A,Product!B:B,"Bulunamadı")</f>
        <v>Sports</v>
      </c>
      <c r="F1945" s="1" t="str">
        <f t="array" ref="F1945">_xlfn.XLOOKUP(A1945,Product!A:A,Product!C:C,"Bulunamadı")</f>
        <v>Mindfulness</v>
      </c>
      <c r="G1945" s="2" t="str">
        <f t="array" ref="G1945">_xlfn.XLOOKUP(A1946,Product!A:A,Product!D:D,"Bulunamadı")</f>
        <v>Brightstone Publishing</v>
      </c>
      <c r="H1945" s="2">
        <f t="array" ref="H1945">_xlfn.XLOOKUP(A1947,Product!A:A,Product!E:E,"Bulunamadı")</f>
        <v>9.47</v>
      </c>
      <c r="I1945" s="2" t="str">
        <f t="shared" si="1"/>
        <v>117688 - Sports - Mindfulness</v>
      </c>
      <c r="J1945" s="2">
        <f t="shared" si="2"/>
        <v>786.01</v>
      </c>
      <c r="K1945" s="17">
        <f t="shared" si="3"/>
        <v>1</v>
      </c>
      <c r="L1945" s="18"/>
    </row>
    <row r="1946" hidden="1">
      <c r="A1946" s="2">
        <f>IFERROR(__xludf.DUMMYFUNCTION("""COMPUTED_VALUE"""),77688.0)</f>
        <v>77688</v>
      </c>
      <c r="B1946" s="2">
        <f>IFERROR(__xludf.DUMMYFUNCTION("""COMPUTED_VALUE"""),0.0)</f>
        <v>0</v>
      </c>
      <c r="C1946" s="2">
        <f>IFERROR(__xludf.DUMMYFUNCTION("""COMPUTED_VALUE"""),898.0)</f>
        <v>898</v>
      </c>
      <c r="D1946" s="3">
        <f>IFERROR(__xludf.DUMMYFUNCTION("""COMPUTED_VALUE"""),694.0)</f>
        <v>694</v>
      </c>
      <c r="E1946" s="1" t="str">
        <f t="array" ref="E1946">_xlfn.XLOOKUP(A1946,Product!A:A,Product!B:B,"Bulunamadı")</f>
        <v>Sports</v>
      </c>
      <c r="F1946" s="1" t="str">
        <f t="array" ref="F1946">_xlfn.XLOOKUP(A1946,Product!A:A,Product!C:C,"Bulunamadı")</f>
        <v>Mindfulness</v>
      </c>
      <c r="G1946" s="2" t="str">
        <f t="array" ref="G1946">_xlfn.XLOOKUP(A1947,Product!A:A,Product!D:D,"Bulunamadı")</f>
        <v>Brightstone Publishing</v>
      </c>
      <c r="H1946" s="2">
        <f t="array" ref="H1946">_xlfn.XLOOKUP(A1948,Product!A:A,Product!E:E,"Bulunamadı")</f>
        <v>6.87</v>
      </c>
      <c r="I1946" s="2" t="str">
        <f t="shared" si="1"/>
        <v>77688 - Sports - Mindfulness</v>
      </c>
      <c r="J1946" s="2">
        <f t="shared" si="2"/>
        <v>4767.78</v>
      </c>
      <c r="K1946" s="17">
        <f t="shared" si="3"/>
        <v>1</v>
      </c>
      <c r="L1946" s="18"/>
    </row>
    <row r="1947" hidden="1">
      <c r="A1947" s="2">
        <f>IFERROR(__xludf.DUMMYFUNCTION("""COMPUTED_VALUE"""),89282.0)</f>
        <v>89282</v>
      </c>
      <c r="B1947" s="2">
        <f>IFERROR(__xludf.DUMMYFUNCTION("""COMPUTED_VALUE"""),0.0)</f>
        <v>0</v>
      </c>
      <c r="C1947" s="2">
        <f>IFERROR(__xludf.DUMMYFUNCTION("""COMPUTED_VALUE"""),895.0)</f>
        <v>895</v>
      </c>
      <c r="D1947" s="3">
        <f>IFERROR(__xludf.DUMMYFUNCTION("""COMPUTED_VALUE"""),530.0)</f>
        <v>530</v>
      </c>
      <c r="E1947" s="1" t="str">
        <f t="array" ref="E1947">_xlfn.XLOOKUP(A1947,Product!A:A,Product!B:B,"Bulunamadı")</f>
        <v>Sports</v>
      </c>
      <c r="F1947" s="1" t="str">
        <f t="array" ref="F1947">_xlfn.XLOOKUP(A1947,Product!A:A,Product!C:C,"Bulunamadı")</f>
        <v>Mindfulness</v>
      </c>
      <c r="G1947" s="2" t="str">
        <f t="array" ref="G1947">_xlfn.XLOOKUP(A1948,Product!A:A,Product!D:D,"Bulunamadı")</f>
        <v>Brightstone Publishing</v>
      </c>
      <c r="H1947" s="2">
        <f t="array" ref="H1947">_xlfn.XLOOKUP(A1949,Product!A:A,Product!E:E,"Bulunamadı")</f>
        <v>5.57</v>
      </c>
      <c r="I1947" s="2" t="str">
        <f t="shared" si="1"/>
        <v>89282 - Sports - Mindfulness</v>
      </c>
      <c r="J1947" s="2">
        <f t="shared" si="2"/>
        <v>2952.1</v>
      </c>
      <c r="K1947" s="17">
        <f t="shared" si="3"/>
        <v>1</v>
      </c>
      <c r="L1947" s="18"/>
    </row>
    <row r="1948" hidden="1">
      <c r="A1948" s="2">
        <f>IFERROR(__xludf.DUMMYFUNCTION("""COMPUTED_VALUE"""),11769.0)</f>
        <v>11769</v>
      </c>
      <c r="B1948" s="2">
        <f>IFERROR(__xludf.DUMMYFUNCTION("""COMPUTED_VALUE"""),1.0)</f>
        <v>1</v>
      </c>
      <c r="C1948" s="2">
        <f>IFERROR(__xludf.DUMMYFUNCTION("""COMPUTED_VALUE"""),765.0)</f>
        <v>765</v>
      </c>
      <c r="D1948" s="3">
        <f>IFERROR(__xludf.DUMMYFUNCTION("""COMPUTED_VALUE"""),524.0)</f>
        <v>524</v>
      </c>
      <c r="E1948" s="1" t="str">
        <f t="array" ref="E1948">_xlfn.XLOOKUP(A1948,Product!A:A,Product!B:B,"Bulunamadı")</f>
        <v>Sports</v>
      </c>
      <c r="F1948" s="1" t="str">
        <f t="array" ref="F1948">_xlfn.XLOOKUP(A1948,Product!A:A,Product!C:C,"Bulunamadı")</f>
        <v>Mindfulness</v>
      </c>
      <c r="G1948" s="2" t="str">
        <f t="array" ref="G1948">_xlfn.XLOOKUP(A1949,Product!A:A,Product!D:D,"Bulunamadı")</f>
        <v>Brightstone Publishing</v>
      </c>
      <c r="H1948" s="2">
        <f t="array" ref="H1948">_xlfn.XLOOKUP(A1950,Product!A:A,Product!E:E,"Bulunamadı")</f>
        <v>3.95</v>
      </c>
      <c r="I1948" s="2" t="str">
        <f t="shared" si="1"/>
        <v>11769 - Sports - Mindfulness</v>
      </c>
      <c r="J1948" s="2">
        <f t="shared" si="2"/>
        <v>2069.8</v>
      </c>
      <c r="K1948" s="17">
        <f t="shared" si="3"/>
        <v>1</v>
      </c>
      <c r="L1948" s="18"/>
    </row>
    <row r="1949" hidden="1">
      <c r="A1949" s="2">
        <f>IFERROR(__xludf.DUMMYFUNCTION("""COMPUTED_VALUE"""),117544.0)</f>
        <v>117544</v>
      </c>
      <c r="B1949" s="2">
        <f>IFERROR(__xludf.DUMMYFUNCTION("""COMPUTED_VALUE"""),1.0)</f>
        <v>1</v>
      </c>
      <c r="C1949" s="2">
        <f>IFERROR(__xludf.DUMMYFUNCTION("""COMPUTED_VALUE"""),112.0)</f>
        <v>112</v>
      </c>
      <c r="D1949" s="3">
        <f>IFERROR(__xludf.DUMMYFUNCTION("""COMPUTED_VALUE"""),98.0)</f>
        <v>98</v>
      </c>
      <c r="E1949" s="1" t="str">
        <f t="array" ref="E1949">_xlfn.XLOOKUP(A1949,Product!A:A,Product!B:B,"Bulunamadı")</f>
        <v>Sports</v>
      </c>
      <c r="F1949" s="1" t="str">
        <f t="array" ref="F1949">_xlfn.XLOOKUP(A1949,Product!A:A,Product!C:C,"Bulunamadı")</f>
        <v>Mindfulness</v>
      </c>
      <c r="G1949" s="2" t="str">
        <f t="array" ref="G1949">_xlfn.XLOOKUP(A1950,Product!A:A,Product!D:D,"Bulunamadı")</f>
        <v>Brightstone Publishing</v>
      </c>
      <c r="H1949" s="2">
        <f t="array" ref="H1949">_xlfn.XLOOKUP(A1951,Product!A:A,Product!E:E,"Bulunamadı")</f>
        <v>4.78</v>
      </c>
      <c r="I1949" s="2" t="str">
        <f t="shared" si="1"/>
        <v>117544 - Sports - Mindfulness</v>
      </c>
      <c r="J1949" s="2">
        <f t="shared" si="2"/>
        <v>468.44</v>
      </c>
      <c r="K1949" s="17">
        <f t="shared" si="3"/>
        <v>1</v>
      </c>
      <c r="L1949" s="18"/>
    </row>
    <row r="1950" hidden="1">
      <c r="A1950" s="2">
        <f>IFERROR(__xludf.DUMMYFUNCTION("""COMPUTED_VALUE"""),94860.0)</f>
        <v>94860</v>
      </c>
      <c r="B1950" s="2">
        <f>IFERROR(__xludf.DUMMYFUNCTION("""COMPUTED_VALUE"""),1.0)</f>
        <v>1</v>
      </c>
      <c r="C1950" s="2">
        <f>IFERROR(__xludf.DUMMYFUNCTION("""COMPUTED_VALUE"""),628.0)</f>
        <v>628</v>
      </c>
      <c r="D1950" s="3">
        <f>IFERROR(__xludf.DUMMYFUNCTION("""COMPUTED_VALUE"""),563.0)</f>
        <v>563</v>
      </c>
      <c r="E1950" s="1" t="str">
        <f t="array" ref="E1950">_xlfn.XLOOKUP(A1950,Product!A:A,Product!B:B,"Bulunamadı")</f>
        <v>Sports</v>
      </c>
      <c r="F1950" s="1" t="str">
        <f t="array" ref="F1950">_xlfn.XLOOKUP(A1950,Product!A:A,Product!C:C,"Bulunamadı")</f>
        <v>Mindfulness</v>
      </c>
      <c r="G1950" s="2" t="str">
        <f t="array" ref="G1950">_xlfn.XLOOKUP(A1951,Product!A:A,Product!D:D,"Bulunamadı")</f>
        <v>Brightstone Publishing</v>
      </c>
      <c r="H1950" s="2">
        <f t="array" ref="H1950">_xlfn.XLOOKUP(A1952,Product!A:A,Product!E:E,"Bulunamadı")</f>
        <v>4.39</v>
      </c>
      <c r="I1950" s="2" t="str">
        <f t="shared" si="1"/>
        <v>94860 - Sports - Mindfulness</v>
      </c>
      <c r="J1950" s="2">
        <f t="shared" si="2"/>
        <v>2471.57</v>
      </c>
      <c r="K1950" s="17">
        <f t="shared" si="3"/>
        <v>1</v>
      </c>
      <c r="L1950" s="18"/>
    </row>
    <row r="1951" hidden="1">
      <c r="A1951" s="2">
        <f>IFERROR(__xludf.DUMMYFUNCTION("""COMPUTED_VALUE"""),79041.0)</f>
        <v>79041</v>
      </c>
      <c r="B1951" s="2">
        <f>IFERROR(__xludf.DUMMYFUNCTION("""COMPUTED_VALUE"""),0.0)</f>
        <v>0</v>
      </c>
      <c r="C1951" s="2">
        <f>IFERROR(__xludf.DUMMYFUNCTION("""COMPUTED_VALUE"""),235.0)</f>
        <v>235</v>
      </c>
      <c r="D1951" s="3">
        <f>IFERROR(__xludf.DUMMYFUNCTION("""COMPUTED_VALUE"""),8.0)</f>
        <v>8</v>
      </c>
      <c r="E1951" s="1" t="str">
        <f t="array" ref="E1951">_xlfn.XLOOKUP(A1951,Product!A:A,Product!B:B,"Bulunamadı")</f>
        <v>Sports</v>
      </c>
      <c r="F1951" s="1" t="str">
        <f t="array" ref="F1951">_xlfn.XLOOKUP(A1951,Product!A:A,Product!C:C,"Bulunamadı")</f>
        <v>Mindfulness</v>
      </c>
      <c r="G1951" s="2" t="str">
        <f t="array" ref="G1951">_xlfn.XLOOKUP(A1952,Product!A:A,Product!D:D,"Bulunamadı")</f>
        <v>Brightstone Publishing</v>
      </c>
      <c r="H1951" s="2">
        <f t="array" ref="H1951">_xlfn.XLOOKUP(A1953,Product!A:A,Product!E:E,"Bulunamadı")</f>
        <v>3.2</v>
      </c>
      <c r="I1951" s="2" t="str">
        <f t="shared" si="1"/>
        <v>79041 - Sports - Mindfulness</v>
      </c>
      <c r="J1951" s="2">
        <f t="shared" si="2"/>
        <v>25.6</v>
      </c>
      <c r="K1951" s="17">
        <f t="shared" si="3"/>
        <v>1</v>
      </c>
      <c r="L1951" s="18"/>
    </row>
    <row r="1952" hidden="1">
      <c r="A1952" s="2">
        <f>IFERROR(__xludf.DUMMYFUNCTION("""COMPUTED_VALUE"""),117686.0)</f>
        <v>117686</v>
      </c>
      <c r="B1952" s="2">
        <f>IFERROR(__xludf.DUMMYFUNCTION("""COMPUTED_VALUE"""),0.0)</f>
        <v>0</v>
      </c>
      <c r="C1952" s="2">
        <f>IFERROR(__xludf.DUMMYFUNCTION("""COMPUTED_VALUE"""),419.0)</f>
        <v>419</v>
      </c>
      <c r="D1952" s="3">
        <f>IFERROR(__xludf.DUMMYFUNCTION("""COMPUTED_VALUE"""),265.0)</f>
        <v>265</v>
      </c>
      <c r="E1952" s="1" t="str">
        <f t="array" ref="E1952">_xlfn.XLOOKUP(A1952,Product!A:A,Product!B:B,"Bulunamadı")</f>
        <v>Sports</v>
      </c>
      <c r="F1952" s="1" t="str">
        <f t="array" ref="F1952">_xlfn.XLOOKUP(A1952,Product!A:A,Product!C:C,"Bulunamadı")</f>
        <v>Mindfulness</v>
      </c>
      <c r="G1952" s="2" t="str">
        <f t="array" ref="G1952">_xlfn.XLOOKUP(A1953,Product!A:A,Product!D:D,"Bulunamadı")</f>
        <v>Brightstone Publishing</v>
      </c>
      <c r="H1952" s="2">
        <f t="array" ref="H1952">_xlfn.XLOOKUP(A1954,Product!A:A,Product!E:E,"Bulunamadı")</f>
        <v>7.09</v>
      </c>
      <c r="I1952" s="2" t="str">
        <f t="shared" si="1"/>
        <v>117686 - Sports - Mindfulness</v>
      </c>
      <c r="J1952" s="2">
        <f t="shared" si="2"/>
        <v>1878.85</v>
      </c>
      <c r="K1952" s="17">
        <f t="shared" si="3"/>
        <v>1</v>
      </c>
      <c r="L1952" s="18"/>
    </row>
    <row r="1953" hidden="1">
      <c r="A1953" s="2">
        <f>IFERROR(__xludf.DUMMYFUNCTION("""COMPUTED_VALUE"""),89299.0)</f>
        <v>89299</v>
      </c>
      <c r="B1953" s="2">
        <f>IFERROR(__xludf.DUMMYFUNCTION("""COMPUTED_VALUE"""),0.0)</f>
        <v>0</v>
      </c>
      <c r="C1953" s="2">
        <f>IFERROR(__xludf.DUMMYFUNCTION("""COMPUTED_VALUE"""),970.0)</f>
        <v>970</v>
      </c>
      <c r="D1953" s="3">
        <f>IFERROR(__xludf.DUMMYFUNCTION("""COMPUTED_VALUE"""),207.0)</f>
        <v>207</v>
      </c>
      <c r="E1953" s="1" t="str">
        <f t="array" ref="E1953">_xlfn.XLOOKUP(A1953,Product!A:A,Product!B:B,"Bulunamadı")</f>
        <v>Sports</v>
      </c>
      <c r="F1953" s="1" t="str">
        <f t="array" ref="F1953">_xlfn.XLOOKUP(A1953,Product!A:A,Product!C:C,"Bulunamadı")</f>
        <v>Mindfulness</v>
      </c>
      <c r="G1953" s="2" t="str">
        <f t="array" ref="G1953">_xlfn.XLOOKUP(A1954,Product!A:A,Product!D:D,"Bulunamadı")</f>
        <v>Brightstone Publishing</v>
      </c>
      <c r="H1953" s="2">
        <f t="array" ref="H1953">_xlfn.XLOOKUP(A1955,Product!A:A,Product!E:E,"Bulunamadı")</f>
        <v>4.99</v>
      </c>
      <c r="I1953" s="2" t="str">
        <f t="shared" si="1"/>
        <v>89299 - Sports - Mindfulness</v>
      </c>
      <c r="J1953" s="2">
        <f t="shared" si="2"/>
        <v>1032.93</v>
      </c>
      <c r="K1953" s="17">
        <f t="shared" si="3"/>
        <v>1</v>
      </c>
      <c r="L1953" s="18"/>
    </row>
    <row r="1954" hidden="1">
      <c r="A1954" s="2">
        <f>IFERROR(__xludf.DUMMYFUNCTION("""COMPUTED_VALUE"""),11823.0)</f>
        <v>11823</v>
      </c>
      <c r="B1954" s="2">
        <f>IFERROR(__xludf.DUMMYFUNCTION("""COMPUTED_VALUE"""),1.0)</f>
        <v>1</v>
      </c>
      <c r="C1954" s="2">
        <f>IFERROR(__xludf.DUMMYFUNCTION("""COMPUTED_VALUE"""),335.0)</f>
        <v>335</v>
      </c>
      <c r="D1954" s="3">
        <f>IFERROR(__xludf.DUMMYFUNCTION("""COMPUTED_VALUE"""),89.0)</f>
        <v>89</v>
      </c>
      <c r="E1954" s="1" t="str">
        <f t="array" ref="E1954">_xlfn.XLOOKUP(A1954,Product!A:A,Product!B:B,"Bulunamadı")</f>
        <v>Sports</v>
      </c>
      <c r="F1954" s="1" t="str">
        <f t="array" ref="F1954">_xlfn.XLOOKUP(A1954,Product!A:A,Product!C:C,"Bulunamadı")</f>
        <v>Mindfulness</v>
      </c>
      <c r="G1954" s="2" t="str">
        <f t="array" ref="G1954">_xlfn.XLOOKUP(A1955,Product!A:A,Product!D:D,"Bulunamadı")</f>
        <v>Brightstone Publishing</v>
      </c>
      <c r="H1954" s="2">
        <f t="array" ref="H1954">_xlfn.XLOOKUP(A1956,Product!A:A,Product!E:E,"Bulunamadı")</f>
        <v>3.97</v>
      </c>
      <c r="I1954" s="2" t="str">
        <f t="shared" si="1"/>
        <v>11823 - Sports - Mindfulness</v>
      </c>
      <c r="J1954" s="2">
        <f t="shared" si="2"/>
        <v>353.33</v>
      </c>
      <c r="K1954" s="17">
        <f t="shared" si="3"/>
        <v>1</v>
      </c>
      <c r="L1954" s="18"/>
    </row>
    <row r="1955" hidden="1">
      <c r="A1955" s="2">
        <f>IFERROR(__xludf.DUMMYFUNCTION("""COMPUTED_VALUE"""),117543.0)</f>
        <v>117543</v>
      </c>
      <c r="B1955" s="2">
        <f>IFERROR(__xludf.DUMMYFUNCTION("""COMPUTED_VALUE"""),0.0)</f>
        <v>0</v>
      </c>
      <c r="C1955" s="2">
        <f>IFERROR(__xludf.DUMMYFUNCTION("""COMPUTED_VALUE"""),422.0)</f>
        <v>422</v>
      </c>
      <c r="D1955" s="3">
        <f>IFERROR(__xludf.DUMMYFUNCTION("""COMPUTED_VALUE"""),303.0)</f>
        <v>303</v>
      </c>
      <c r="E1955" s="1" t="str">
        <f t="array" ref="E1955">_xlfn.XLOOKUP(A1955,Product!A:A,Product!B:B,"Bulunamadı")</f>
        <v>Sports</v>
      </c>
      <c r="F1955" s="1" t="str">
        <f t="array" ref="F1955">_xlfn.XLOOKUP(A1955,Product!A:A,Product!C:C,"Bulunamadı")</f>
        <v>Mindfulness</v>
      </c>
      <c r="G1955" s="2" t="str">
        <f t="array" ref="G1955">_xlfn.XLOOKUP(A1956,Product!A:A,Product!D:D,"Bulunamadı")</f>
        <v>Brightstone Publishing</v>
      </c>
      <c r="H1955" s="2">
        <f t="array" ref="H1955">_xlfn.XLOOKUP(A1957,Product!A:A,Product!E:E,"Bulunamadı")</f>
        <v>3.77</v>
      </c>
      <c r="I1955" s="2" t="str">
        <f t="shared" si="1"/>
        <v>117543 - Sports - Mindfulness</v>
      </c>
      <c r="J1955" s="2">
        <f t="shared" si="2"/>
        <v>1142.31</v>
      </c>
      <c r="K1955" s="17">
        <f t="shared" si="3"/>
        <v>1</v>
      </c>
      <c r="L1955" s="18"/>
    </row>
    <row r="1956" hidden="1">
      <c r="A1956" s="2">
        <f>IFERROR(__xludf.DUMMYFUNCTION("""COMPUTED_VALUE"""),11765.0)</f>
        <v>11765</v>
      </c>
      <c r="B1956" s="2">
        <f>IFERROR(__xludf.DUMMYFUNCTION("""COMPUTED_VALUE"""),1.0)</f>
        <v>1</v>
      </c>
      <c r="C1956" s="2">
        <f>IFERROR(__xludf.DUMMYFUNCTION("""COMPUTED_VALUE"""),475.0)</f>
        <v>475</v>
      </c>
      <c r="D1956" s="3">
        <f>IFERROR(__xludf.DUMMYFUNCTION("""COMPUTED_VALUE"""),269.0)</f>
        <v>269</v>
      </c>
      <c r="E1956" s="1" t="str">
        <f t="array" ref="E1956">_xlfn.XLOOKUP(A1956,Product!A:A,Product!B:B,"Bulunamadı")</f>
        <v>Sports</v>
      </c>
      <c r="F1956" s="1" t="str">
        <f t="array" ref="F1956">_xlfn.XLOOKUP(A1956,Product!A:A,Product!C:C,"Bulunamadı")</f>
        <v>Mindfulness</v>
      </c>
      <c r="G1956" s="2" t="str">
        <f t="array" ref="G1956">_xlfn.XLOOKUP(A1957,Product!A:A,Product!D:D,"Bulunamadı")</f>
        <v>Brightstone Publishing</v>
      </c>
      <c r="H1956" s="2">
        <f t="array" ref="H1956">_xlfn.XLOOKUP(A1958,Product!A:A,Product!E:E,"Bulunamadı")</f>
        <v>2.93</v>
      </c>
      <c r="I1956" s="2" t="str">
        <f t="shared" si="1"/>
        <v>11765 - Sports - Mindfulness</v>
      </c>
      <c r="J1956" s="2">
        <f t="shared" si="2"/>
        <v>788.17</v>
      </c>
      <c r="K1956" s="17">
        <f t="shared" si="3"/>
        <v>1</v>
      </c>
      <c r="L1956" s="18"/>
    </row>
    <row r="1957" hidden="1">
      <c r="A1957" s="2">
        <f>IFERROR(__xludf.DUMMYFUNCTION("""COMPUTED_VALUE"""),121519.0)</f>
        <v>121519</v>
      </c>
      <c r="B1957" s="2">
        <f>IFERROR(__xludf.DUMMYFUNCTION("""COMPUTED_VALUE"""),1.0)</f>
        <v>1</v>
      </c>
      <c r="C1957" s="2">
        <f>IFERROR(__xludf.DUMMYFUNCTION("""COMPUTED_VALUE"""),636.0)</f>
        <v>636</v>
      </c>
      <c r="D1957" s="3">
        <f>IFERROR(__xludf.DUMMYFUNCTION("""COMPUTED_VALUE"""),251.0)</f>
        <v>251</v>
      </c>
      <c r="E1957" s="1" t="str">
        <f t="array" ref="E1957">_xlfn.XLOOKUP(A1957,Product!A:A,Product!B:B,"Bulunamadı")</f>
        <v>Sports</v>
      </c>
      <c r="F1957" s="1" t="str">
        <f t="array" ref="F1957">_xlfn.XLOOKUP(A1957,Product!A:A,Product!C:C,"Bulunamadı")</f>
        <v>Mindfulness</v>
      </c>
      <c r="G1957" s="2" t="str">
        <f t="array" ref="G1957">_xlfn.XLOOKUP(A1958,Product!A:A,Product!D:D,"Bulunamadı")</f>
        <v>Brightstone Publishing</v>
      </c>
      <c r="H1957" s="2">
        <f t="array" ref="H1957">_xlfn.XLOOKUP(A1959,Product!A:A,Product!E:E,"Bulunamadı")</f>
        <v>3.49</v>
      </c>
      <c r="I1957" s="2" t="str">
        <f t="shared" si="1"/>
        <v>121519 - Sports - Mindfulness</v>
      </c>
      <c r="J1957" s="2">
        <f t="shared" si="2"/>
        <v>875.99</v>
      </c>
      <c r="K1957" s="17">
        <f t="shared" si="3"/>
        <v>1</v>
      </c>
      <c r="L1957" s="18"/>
    </row>
    <row r="1958" hidden="1">
      <c r="A1958" s="2">
        <f>IFERROR(__xludf.DUMMYFUNCTION("""COMPUTED_VALUE"""),71276.0)</f>
        <v>71276</v>
      </c>
      <c r="B1958" s="2">
        <f>IFERROR(__xludf.DUMMYFUNCTION("""COMPUTED_VALUE"""),1.0)</f>
        <v>1</v>
      </c>
      <c r="C1958" s="2">
        <f>IFERROR(__xludf.DUMMYFUNCTION("""COMPUTED_VALUE"""),466.0)</f>
        <v>466</v>
      </c>
      <c r="D1958" s="3">
        <f>IFERROR(__xludf.DUMMYFUNCTION("""COMPUTED_VALUE"""),460.0)</f>
        <v>460</v>
      </c>
      <c r="E1958" s="1" t="str">
        <f t="array" ref="E1958">_xlfn.XLOOKUP(A1958,Product!A:A,Product!B:B,"Bulunamadı")</f>
        <v>Sports</v>
      </c>
      <c r="F1958" s="1" t="str">
        <f t="array" ref="F1958">_xlfn.XLOOKUP(A1958,Product!A:A,Product!C:C,"Bulunamadı")</f>
        <v>Mindfulness</v>
      </c>
      <c r="G1958" s="2" t="str">
        <f t="array" ref="G1958">_xlfn.XLOOKUP(A1959,Product!A:A,Product!D:D,"Bulunamadı")</f>
        <v>Brightstone Publishing</v>
      </c>
      <c r="H1958" s="2">
        <f t="array" ref="H1958">_xlfn.XLOOKUP(A1960,Product!A:A,Product!E:E,"Bulunamadı")</f>
        <v>4.36</v>
      </c>
      <c r="I1958" s="2" t="str">
        <f t="shared" si="1"/>
        <v>71276 - Sports - Mindfulness</v>
      </c>
      <c r="J1958" s="2">
        <f t="shared" si="2"/>
        <v>2005.6</v>
      </c>
      <c r="K1958" s="17">
        <f t="shared" si="3"/>
        <v>1</v>
      </c>
      <c r="L1958" s="18"/>
    </row>
    <row r="1959" hidden="1">
      <c r="A1959" s="2">
        <f>IFERROR(__xludf.DUMMYFUNCTION("""COMPUTED_VALUE"""),120135.0)</f>
        <v>120135</v>
      </c>
      <c r="B1959" s="2">
        <f>IFERROR(__xludf.DUMMYFUNCTION("""COMPUTED_VALUE"""),0.0)</f>
        <v>0</v>
      </c>
      <c r="C1959" s="2">
        <f>IFERROR(__xludf.DUMMYFUNCTION("""COMPUTED_VALUE"""),255.0)</f>
        <v>255</v>
      </c>
      <c r="D1959" s="3">
        <f>IFERROR(__xludf.DUMMYFUNCTION("""COMPUTED_VALUE"""),42.0)</f>
        <v>42</v>
      </c>
      <c r="E1959" s="1" t="str">
        <f t="array" ref="E1959">_xlfn.XLOOKUP(A1959,Product!A:A,Product!B:B,"Bulunamadı")</f>
        <v>Sports</v>
      </c>
      <c r="F1959" s="1" t="str">
        <f t="array" ref="F1959">_xlfn.XLOOKUP(A1959,Product!A:A,Product!C:C,"Bulunamadı")</f>
        <v>Mindfulness</v>
      </c>
      <c r="G1959" s="2" t="str">
        <f t="array" ref="G1959">_xlfn.XLOOKUP(A1960,Product!A:A,Product!D:D,"Bulunamadı")</f>
        <v>Brightstone Publishing</v>
      </c>
      <c r="H1959" s="2">
        <f t="array" ref="H1959">_xlfn.XLOOKUP(A1961,Product!A:A,Product!E:E,"Bulunamadı")</f>
        <v>2.32</v>
      </c>
      <c r="I1959" s="2" t="str">
        <f t="shared" si="1"/>
        <v>120135 - Sports - Mindfulness</v>
      </c>
      <c r="J1959" s="2">
        <f t="shared" si="2"/>
        <v>97.44</v>
      </c>
      <c r="K1959" s="17">
        <f t="shared" si="3"/>
        <v>1</v>
      </c>
      <c r="L1959" s="18"/>
    </row>
    <row r="1960" hidden="1">
      <c r="A1960" s="2">
        <f>IFERROR(__xludf.DUMMYFUNCTION("""COMPUTED_VALUE"""),116793.0)</f>
        <v>116793</v>
      </c>
      <c r="B1960" s="2">
        <f>IFERROR(__xludf.DUMMYFUNCTION("""COMPUTED_VALUE"""),1.0)</f>
        <v>1</v>
      </c>
      <c r="C1960" s="2">
        <f>IFERROR(__xludf.DUMMYFUNCTION("""COMPUTED_VALUE"""),842.0)</f>
        <v>842</v>
      </c>
      <c r="D1960" s="3">
        <f>IFERROR(__xludf.DUMMYFUNCTION("""COMPUTED_VALUE"""),713.0)</f>
        <v>713</v>
      </c>
      <c r="E1960" s="1" t="str">
        <f t="array" ref="E1960">_xlfn.XLOOKUP(A1960,Product!A:A,Product!B:B,"Bulunamadı")</f>
        <v>Sports</v>
      </c>
      <c r="F1960" s="1" t="str">
        <f t="array" ref="F1960">_xlfn.XLOOKUP(A1960,Product!A:A,Product!C:C,"Bulunamadı")</f>
        <v>Mindfulness</v>
      </c>
      <c r="G1960" s="2" t="str">
        <f t="array" ref="G1960">_xlfn.XLOOKUP(A1961,Product!A:A,Product!D:D,"Bulunamadı")</f>
        <v>Brightstone Publishing</v>
      </c>
      <c r="H1960" s="2">
        <f t="array" ref="H1960">_xlfn.XLOOKUP(A1962,Product!A:A,Product!E:E,"Bulunamadı")</f>
        <v>3.39</v>
      </c>
      <c r="I1960" s="2" t="str">
        <f t="shared" si="1"/>
        <v>116793 - Sports - Mindfulness</v>
      </c>
      <c r="J1960" s="2">
        <f t="shared" si="2"/>
        <v>2417.07</v>
      </c>
      <c r="K1960" s="17">
        <f t="shared" si="3"/>
        <v>1</v>
      </c>
      <c r="L1960" s="18"/>
    </row>
    <row r="1961" hidden="1">
      <c r="A1961" s="2">
        <f>IFERROR(__xludf.DUMMYFUNCTION("""COMPUTED_VALUE"""),11774.0)</f>
        <v>11774</v>
      </c>
      <c r="B1961" s="2">
        <f>IFERROR(__xludf.DUMMYFUNCTION("""COMPUTED_VALUE"""),0.0)</f>
        <v>0</v>
      </c>
      <c r="C1961" s="2">
        <f>IFERROR(__xludf.DUMMYFUNCTION("""COMPUTED_VALUE"""),654.0)</f>
        <v>654</v>
      </c>
      <c r="D1961" s="3">
        <f>IFERROR(__xludf.DUMMYFUNCTION("""COMPUTED_VALUE"""),587.0)</f>
        <v>587</v>
      </c>
      <c r="E1961" s="1" t="str">
        <f t="array" ref="E1961">_xlfn.XLOOKUP(A1961,Product!A:A,Product!B:B,"Bulunamadı")</f>
        <v>Sports</v>
      </c>
      <c r="F1961" s="1" t="str">
        <f t="array" ref="F1961">_xlfn.XLOOKUP(A1961,Product!A:A,Product!C:C,"Bulunamadı")</f>
        <v>Mindfulness</v>
      </c>
      <c r="G1961" s="2" t="str">
        <f t="array" ref="G1961">_xlfn.XLOOKUP(A1962,Product!A:A,Product!D:D,"Bulunamadı")</f>
        <v>Brightstone Publishing</v>
      </c>
      <c r="H1961" s="2">
        <f t="array" ref="H1961">_xlfn.XLOOKUP(A1963,Product!A:A,Product!E:E,"Bulunamadı")</f>
        <v>3.37</v>
      </c>
      <c r="I1961" s="2" t="str">
        <f t="shared" si="1"/>
        <v>11774 - Sports - Mindfulness</v>
      </c>
      <c r="J1961" s="2">
        <f t="shared" si="2"/>
        <v>1978.19</v>
      </c>
      <c r="K1961" s="17">
        <f t="shared" si="3"/>
        <v>1</v>
      </c>
      <c r="L1961" s="18"/>
    </row>
    <row r="1962" hidden="1">
      <c r="A1962" s="2">
        <f>IFERROR(__xludf.DUMMYFUNCTION("""COMPUTED_VALUE"""),11900.0)</f>
        <v>11900</v>
      </c>
      <c r="B1962" s="2">
        <f>IFERROR(__xludf.DUMMYFUNCTION("""COMPUTED_VALUE"""),0.0)</f>
        <v>0</v>
      </c>
      <c r="C1962" s="2">
        <f>IFERROR(__xludf.DUMMYFUNCTION("""COMPUTED_VALUE"""),902.0)</f>
        <v>902</v>
      </c>
      <c r="D1962" s="3">
        <f>IFERROR(__xludf.DUMMYFUNCTION("""COMPUTED_VALUE"""),180.0)</f>
        <v>180</v>
      </c>
      <c r="E1962" s="1" t="str">
        <f t="array" ref="E1962">_xlfn.XLOOKUP(A1962,Product!A:A,Product!B:B,"Bulunamadı")</f>
        <v>Sports</v>
      </c>
      <c r="F1962" s="1" t="str">
        <f t="array" ref="F1962">_xlfn.XLOOKUP(A1962,Product!A:A,Product!C:C,"Bulunamadı")</f>
        <v>Mindfulness</v>
      </c>
      <c r="G1962" s="2" t="str">
        <f t="array" ref="G1962">_xlfn.XLOOKUP(A1963,Product!A:A,Product!D:D,"Bulunamadı")</f>
        <v>Brightstone Publishing</v>
      </c>
      <c r="H1962" s="2">
        <f t="array" ref="H1962">_xlfn.XLOOKUP(A1964,Product!A:A,Product!E:E,"Bulunamadı")</f>
        <v>6.19</v>
      </c>
      <c r="I1962" s="2" t="str">
        <f t="shared" si="1"/>
        <v>11900 - Sports - Mindfulness</v>
      </c>
      <c r="J1962" s="2">
        <f t="shared" si="2"/>
        <v>1114.2</v>
      </c>
      <c r="K1962" s="17">
        <f t="shared" si="3"/>
        <v>1</v>
      </c>
      <c r="L1962" s="18"/>
    </row>
    <row r="1963" hidden="1">
      <c r="A1963" s="2">
        <f>IFERROR(__xludf.DUMMYFUNCTION("""COMPUTED_VALUE"""),11809.0)</f>
        <v>11809</v>
      </c>
      <c r="B1963" s="2">
        <f>IFERROR(__xludf.DUMMYFUNCTION("""COMPUTED_VALUE"""),1.0)</f>
        <v>1</v>
      </c>
      <c r="C1963" s="2">
        <f>IFERROR(__xludf.DUMMYFUNCTION("""COMPUTED_VALUE"""),641.0)</f>
        <v>641</v>
      </c>
      <c r="D1963" s="3">
        <f>IFERROR(__xludf.DUMMYFUNCTION("""COMPUTED_VALUE"""),314.0)</f>
        <v>314</v>
      </c>
      <c r="E1963" s="1" t="str">
        <f t="array" ref="E1963">_xlfn.XLOOKUP(A1963,Product!A:A,Product!B:B,"Bulunamadı")</f>
        <v>Sports</v>
      </c>
      <c r="F1963" s="1" t="str">
        <f t="array" ref="F1963">_xlfn.XLOOKUP(A1963,Product!A:A,Product!C:C,"Bulunamadı")</f>
        <v>Mindfulness</v>
      </c>
      <c r="G1963" s="2" t="str">
        <f t="array" ref="G1963">_xlfn.XLOOKUP(A1964,Product!A:A,Product!D:D,"Bulunamadı")</f>
        <v>Brightstone Publishing</v>
      </c>
      <c r="H1963" s="2">
        <f t="array" ref="H1963">_xlfn.XLOOKUP(A1965,Product!A:A,Product!E:E,"Bulunamadı")</f>
        <v>4.71</v>
      </c>
      <c r="I1963" s="2" t="str">
        <f t="shared" si="1"/>
        <v>11809 - Sports - Mindfulness</v>
      </c>
      <c r="J1963" s="2">
        <f t="shared" si="2"/>
        <v>1478.94</v>
      </c>
      <c r="K1963" s="17">
        <f t="shared" si="3"/>
        <v>1</v>
      </c>
      <c r="L1963" s="18"/>
    </row>
    <row r="1964" hidden="1">
      <c r="A1964" s="2">
        <f>IFERROR(__xludf.DUMMYFUNCTION("""COMPUTED_VALUE"""),117642.0)</f>
        <v>117642</v>
      </c>
      <c r="B1964" s="2">
        <f>IFERROR(__xludf.DUMMYFUNCTION("""COMPUTED_VALUE"""),1.0)</f>
        <v>1</v>
      </c>
      <c r="C1964" s="2">
        <f>IFERROR(__xludf.DUMMYFUNCTION("""COMPUTED_VALUE"""),168.0)</f>
        <v>168</v>
      </c>
      <c r="D1964" s="3">
        <f>IFERROR(__xludf.DUMMYFUNCTION("""COMPUTED_VALUE"""),148.0)</f>
        <v>148</v>
      </c>
      <c r="E1964" s="1" t="str">
        <f t="array" ref="E1964">_xlfn.XLOOKUP(A1964,Product!A:A,Product!B:B,"Bulunamadı")</f>
        <v>Sports</v>
      </c>
      <c r="F1964" s="1" t="str">
        <f t="array" ref="F1964">_xlfn.XLOOKUP(A1964,Product!A:A,Product!C:C,"Bulunamadı")</f>
        <v>Mindfulness</v>
      </c>
      <c r="G1964" s="2" t="str">
        <f t="array" ref="G1964">_xlfn.XLOOKUP(A1965,Product!A:A,Product!D:D,"Bulunamadı")</f>
        <v>Brightstone Publishing</v>
      </c>
      <c r="H1964" s="2">
        <f t="array" ref="H1964">_xlfn.XLOOKUP(A1966,Product!A:A,Product!E:E,"Bulunamadı")</f>
        <v>7.64</v>
      </c>
      <c r="I1964" s="2" t="str">
        <f t="shared" si="1"/>
        <v>117642 - Sports - Mindfulness</v>
      </c>
      <c r="J1964" s="2">
        <f t="shared" si="2"/>
        <v>1130.72</v>
      </c>
      <c r="K1964" s="17">
        <f t="shared" si="3"/>
        <v>1</v>
      </c>
      <c r="L1964" s="18"/>
    </row>
    <row r="1965" hidden="1">
      <c r="A1965" s="2">
        <f>IFERROR(__xludf.DUMMYFUNCTION("""COMPUTED_VALUE"""),71259.0)</f>
        <v>71259</v>
      </c>
      <c r="B1965" s="2">
        <f>IFERROR(__xludf.DUMMYFUNCTION("""COMPUTED_VALUE"""),0.0)</f>
        <v>0</v>
      </c>
      <c r="C1965" s="2">
        <f>IFERROR(__xludf.DUMMYFUNCTION("""COMPUTED_VALUE"""),557.0)</f>
        <v>557</v>
      </c>
      <c r="D1965" s="3">
        <f>IFERROR(__xludf.DUMMYFUNCTION("""COMPUTED_VALUE"""),267.0)</f>
        <v>267</v>
      </c>
      <c r="E1965" s="1" t="str">
        <f t="array" ref="E1965">_xlfn.XLOOKUP(A1965,Product!A:A,Product!B:B,"Bulunamadı")</f>
        <v>Sports</v>
      </c>
      <c r="F1965" s="1" t="str">
        <f t="array" ref="F1965">_xlfn.XLOOKUP(A1965,Product!A:A,Product!C:C,"Bulunamadı")</f>
        <v>Mindfulness</v>
      </c>
      <c r="G1965" s="2" t="str">
        <f t="array" ref="G1965">_xlfn.XLOOKUP(A1966,Product!A:A,Product!D:D,"Bulunamadı")</f>
        <v>Brightstone Publishing</v>
      </c>
      <c r="H1965" s="2">
        <f t="array" ref="H1965">_xlfn.XLOOKUP(A1967,Product!A:A,Product!E:E,"Bulunamadı")</f>
        <v>2.89</v>
      </c>
      <c r="I1965" s="2" t="str">
        <f t="shared" si="1"/>
        <v>71259 - Sports - Mindfulness</v>
      </c>
      <c r="J1965" s="2">
        <f t="shared" si="2"/>
        <v>771.63</v>
      </c>
      <c r="K1965" s="17">
        <f t="shared" si="3"/>
        <v>1</v>
      </c>
      <c r="L1965" s="18"/>
    </row>
    <row r="1966" hidden="1">
      <c r="A1966" s="2">
        <f>IFERROR(__xludf.DUMMYFUNCTION("""COMPUTED_VALUE"""),79047.0)</f>
        <v>79047</v>
      </c>
      <c r="B1966" s="2">
        <f>IFERROR(__xludf.DUMMYFUNCTION("""COMPUTED_VALUE"""),0.0)</f>
        <v>0</v>
      </c>
      <c r="C1966" s="2">
        <f>IFERROR(__xludf.DUMMYFUNCTION("""COMPUTED_VALUE"""),650.0)</f>
        <v>650</v>
      </c>
      <c r="D1966" s="3">
        <f>IFERROR(__xludf.DUMMYFUNCTION("""COMPUTED_VALUE"""),598.0)</f>
        <v>598</v>
      </c>
      <c r="E1966" s="1" t="str">
        <f t="array" ref="E1966">_xlfn.XLOOKUP(A1966,Product!A:A,Product!B:B,"Bulunamadı")</f>
        <v>Sports</v>
      </c>
      <c r="F1966" s="1" t="str">
        <f t="array" ref="F1966">_xlfn.XLOOKUP(A1966,Product!A:A,Product!C:C,"Bulunamadı")</f>
        <v>Mindfulness</v>
      </c>
      <c r="G1966" s="2" t="str">
        <f t="array" ref="G1966">_xlfn.XLOOKUP(A1967,Product!A:A,Product!D:D,"Bulunamadı")</f>
        <v>Brightstone Publishing</v>
      </c>
      <c r="H1966" s="2">
        <f t="array" ref="H1966">_xlfn.XLOOKUP(A1968,Product!A:A,Product!E:E,"Bulunamadı")</f>
        <v>7.4</v>
      </c>
      <c r="I1966" s="2" t="str">
        <f t="shared" si="1"/>
        <v>79047 - Sports - Mindfulness</v>
      </c>
      <c r="J1966" s="2">
        <f t="shared" si="2"/>
        <v>4425.2</v>
      </c>
      <c r="K1966" s="17">
        <f t="shared" si="3"/>
        <v>1</v>
      </c>
      <c r="L1966" s="18"/>
    </row>
    <row r="1967" hidden="1">
      <c r="A1967" s="2">
        <f>IFERROR(__xludf.DUMMYFUNCTION("""COMPUTED_VALUE"""),11796.0)</f>
        <v>11796</v>
      </c>
      <c r="B1967" s="2">
        <f>IFERROR(__xludf.DUMMYFUNCTION("""COMPUTED_VALUE"""),1.0)</f>
        <v>1</v>
      </c>
      <c r="C1967" s="2">
        <f>IFERROR(__xludf.DUMMYFUNCTION("""COMPUTED_VALUE"""),496.0)</f>
        <v>496</v>
      </c>
      <c r="D1967" s="3">
        <f>IFERROR(__xludf.DUMMYFUNCTION("""COMPUTED_VALUE"""),374.0)</f>
        <v>374</v>
      </c>
      <c r="E1967" s="1" t="str">
        <f t="array" ref="E1967">_xlfn.XLOOKUP(A1967,Product!A:A,Product!B:B,"Bulunamadı")</f>
        <v>Sports</v>
      </c>
      <c r="F1967" s="1" t="str">
        <f t="array" ref="F1967">_xlfn.XLOOKUP(A1967,Product!A:A,Product!C:C,"Bulunamadı")</f>
        <v>Mindfulness</v>
      </c>
      <c r="G1967" s="2" t="str">
        <f t="array" ref="G1967">_xlfn.XLOOKUP(A1968,Product!A:A,Product!D:D,"Bulunamadı")</f>
        <v>Brightstone Publishing</v>
      </c>
      <c r="H1967" s="2">
        <f t="array" ref="H1967">_xlfn.XLOOKUP(A1969,Product!A:A,Product!E:E,"Bulunamadı")</f>
        <v>3.85</v>
      </c>
      <c r="I1967" s="2" t="str">
        <f t="shared" si="1"/>
        <v>11796 - Sports - Mindfulness</v>
      </c>
      <c r="J1967" s="2">
        <f t="shared" si="2"/>
        <v>1439.9</v>
      </c>
      <c r="K1967" s="17">
        <f t="shared" si="3"/>
        <v>1</v>
      </c>
      <c r="L1967" s="18"/>
    </row>
    <row r="1968" hidden="1">
      <c r="A1968" s="2">
        <f>IFERROR(__xludf.DUMMYFUNCTION("""COMPUTED_VALUE"""),79043.0)</f>
        <v>79043</v>
      </c>
      <c r="B1968" s="2">
        <f>IFERROR(__xludf.DUMMYFUNCTION("""COMPUTED_VALUE"""),1.0)</f>
        <v>1</v>
      </c>
      <c r="C1968" s="2">
        <f>IFERROR(__xludf.DUMMYFUNCTION("""COMPUTED_VALUE"""),160.0)</f>
        <v>160</v>
      </c>
      <c r="D1968" s="3">
        <f>IFERROR(__xludf.DUMMYFUNCTION("""COMPUTED_VALUE"""),1.0)</f>
        <v>1</v>
      </c>
      <c r="E1968" s="1" t="str">
        <f t="array" ref="E1968">_xlfn.XLOOKUP(A1968,Product!A:A,Product!B:B,"Bulunamadı")</f>
        <v>Sports</v>
      </c>
      <c r="F1968" s="1" t="str">
        <f t="array" ref="F1968">_xlfn.XLOOKUP(A1968,Product!A:A,Product!C:C,"Bulunamadı")</f>
        <v>Mindfulness</v>
      </c>
      <c r="G1968" s="2" t="str">
        <f t="array" ref="G1968">_xlfn.XLOOKUP(A1969,Product!A:A,Product!D:D,"Bulunamadı")</f>
        <v>Brightstone Publishing</v>
      </c>
      <c r="H1968" s="2">
        <f t="array" ref="H1968">_xlfn.XLOOKUP(A1970,Product!A:A,Product!E:E,"Bulunamadı")</f>
        <v>4.36</v>
      </c>
      <c r="I1968" s="2" t="str">
        <f t="shared" si="1"/>
        <v>79043 - Sports - Mindfulness</v>
      </c>
      <c r="J1968" s="2">
        <f t="shared" si="2"/>
        <v>4.36</v>
      </c>
      <c r="K1968" s="17">
        <f t="shared" si="3"/>
        <v>1</v>
      </c>
      <c r="L1968" s="18"/>
    </row>
    <row r="1969" hidden="1">
      <c r="A1969" s="2">
        <f>IFERROR(__xludf.DUMMYFUNCTION("""COMPUTED_VALUE"""),89246.0)</f>
        <v>89246</v>
      </c>
      <c r="B1969" s="2">
        <f>IFERROR(__xludf.DUMMYFUNCTION("""COMPUTED_VALUE"""),1.0)</f>
        <v>1</v>
      </c>
      <c r="C1969" s="2">
        <f>IFERROR(__xludf.DUMMYFUNCTION("""COMPUTED_VALUE"""),179.0)</f>
        <v>179</v>
      </c>
      <c r="D1969" s="3">
        <f>IFERROR(__xludf.DUMMYFUNCTION("""COMPUTED_VALUE"""),145.0)</f>
        <v>145</v>
      </c>
      <c r="E1969" s="1" t="str">
        <f t="array" ref="E1969">_xlfn.XLOOKUP(A1969,Product!A:A,Product!B:B,"Bulunamadı")</f>
        <v>Sports</v>
      </c>
      <c r="F1969" s="1" t="str">
        <f t="array" ref="F1969">_xlfn.XLOOKUP(A1969,Product!A:A,Product!C:C,"Bulunamadı")</f>
        <v>Mindfulness</v>
      </c>
      <c r="G1969" s="2" t="str">
        <f t="array" ref="G1969">_xlfn.XLOOKUP(A1970,Product!A:A,Product!D:D,"Bulunamadı")</f>
        <v>Brightstone Publishing</v>
      </c>
      <c r="H1969" s="2">
        <f t="array" ref="H1969">_xlfn.XLOOKUP(A1971,Product!A:A,Product!E:E,"Bulunamadı")</f>
        <v>4.41</v>
      </c>
      <c r="I1969" s="2" t="str">
        <f t="shared" si="1"/>
        <v>89246 - Sports - Mindfulness</v>
      </c>
      <c r="J1969" s="2">
        <f t="shared" si="2"/>
        <v>639.45</v>
      </c>
      <c r="K1969" s="17">
        <f t="shared" si="3"/>
        <v>1</v>
      </c>
      <c r="L1969" s="18"/>
    </row>
    <row r="1970" hidden="1">
      <c r="A1970" s="2">
        <f>IFERROR(__xludf.DUMMYFUNCTION("""COMPUTED_VALUE"""),71275.0)</f>
        <v>71275</v>
      </c>
      <c r="B1970" s="2">
        <f>IFERROR(__xludf.DUMMYFUNCTION("""COMPUTED_VALUE"""),0.0)</f>
        <v>0</v>
      </c>
      <c r="C1970" s="2">
        <f>IFERROR(__xludf.DUMMYFUNCTION("""COMPUTED_VALUE"""),263.0)</f>
        <v>263</v>
      </c>
      <c r="D1970" s="3">
        <f>IFERROR(__xludf.DUMMYFUNCTION("""COMPUTED_VALUE"""),107.0)</f>
        <v>107</v>
      </c>
      <c r="E1970" s="1" t="str">
        <f t="array" ref="E1970">_xlfn.XLOOKUP(A1970,Product!A:A,Product!B:B,"Bulunamadı")</f>
        <v>Sports</v>
      </c>
      <c r="F1970" s="1" t="str">
        <f t="array" ref="F1970">_xlfn.XLOOKUP(A1970,Product!A:A,Product!C:C,"Bulunamadı")</f>
        <v>Mindfulness</v>
      </c>
      <c r="G1970" s="2" t="str">
        <f t="array" ref="G1970">_xlfn.XLOOKUP(A1971,Product!A:A,Product!D:D,"Bulunamadı")</f>
        <v>Brightstone Publishing</v>
      </c>
      <c r="H1970" s="2">
        <f t="array" ref="H1970">_xlfn.XLOOKUP(A1972,Product!A:A,Product!E:E,"Bulunamadı")</f>
        <v>4.17</v>
      </c>
      <c r="I1970" s="2" t="str">
        <f t="shared" si="1"/>
        <v>71275 - Sports - Mindfulness</v>
      </c>
      <c r="J1970" s="2">
        <f t="shared" si="2"/>
        <v>446.19</v>
      </c>
      <c r="K1970" s="17">
        <f t="shared" si="3"/>
        <v>1</v>
      </c>
      <c r="L1970" s="18"/>
    </row>
    <row r="1971" hidden="1">
      <c r="A1971" s="2">
        <f>IFERROR(__xludf.DUMMYFUNCTION("""COMPUTED_VALUE"""),11800.0)</f>
        <v>11800</v>
      </c>
      <c r="B1971" s="2">
        <f>IFERROR(__xludf.DUMMYFUNCTION("""COMPUTED_VALUE"""),0.0)</f>
        <v>0</v>
      </c>
      <c r="C1971" s="2">
        <f>IFERROR(__xludf.DUMMYFUNCTION("""COMPUTED_VALUE"""),703.0)</f>
        <v>703</v>
      </c>
      <c r="D1971" s="3">
        <f>IFERROR(__xludf.DUMMYFUNCTION("""COMPUTED_VALUE"""),498.0)</f>
        <v>498</v>
      </c>
      <c r="E1971" s="1" t="str">
        <f t="array" ref="E1971">_xlfn.XLOOKUP(A1971,Product!A:A,Product!B:B,"Bulunamadı")</f>
        <v>Sports</v>
      </c>
      <c r="F1971" s="1" t="str">
        <f t="array" ref="F1971">_xlfn.XLOOKUP(A1971,Product!A:A,Product!C:C,"Bulunamadı")</f>
        <v>Mindfulness</v>
      </c>
      <c r="G1971" s="2" t="str">
        <f t="array" ref="G1971">_xlfn.XLOOKUP(A1972,Product!A:A,Product!D:D,"Bulunamadı")</f>
        <v>Brightstone Publishing</v>
      </c>
      <c r="H1971" s="2">
        <f t="array" ref="H1971">_xlfn.XLOOKUP(A1973,Product!A:A,Product!E:E,"Bulunamadı")</f>
        <v>4.17</v>
      </c>
      <c r="I1971" s="2" t="str">
        <f t="shared" si="1"/>
        <v>11800 - Sports - Mindfulness</v>
      </c>
      <c r="J1971" s="2">
        <f t="shared" si="2"/>
        <v>2076.66</v>
      </c>
      <c r="K1971" s="17">
        <f t="shared" si="3"/>
        <v>1</v>
      </c>
      <c r="L1971" s="18"/>
    </row>
    <row r="1972" hidden="1">
      <c r="A1972" s="2">
        <f>IFERROR(__xludf.DUMMYFUNCTION("""COMPUTED_VALUE"""),11818.0)</f>
        <v>11818</v>
      </c>
      <c r="B1972" s="2">
        <f>IFERROR(__xludf.DUMMYFUNCTION("""COMPUTED_VALUE"""),0.0)</f>
        <v>0</v>
      </c>
      <c r="C1972" s="2">
        <f>IFERROR(__xludf.DUMMYFUNCTION("""COMPUTED_VALUE"""),404.0)</f>
        <v>404</v>
      </c>
      <c r="D1972" s="3">
        <f>IFERROR(__xludf.DUMMYFUNCTION("""COMPUTED_VALUE"""),101.0)</f>
        <v>101</v>
      </c>
      <c r="E1972" s="1" t="str">
        <f t="array" ref="E1972">_xlfn.XLOOKUP(A1972,Product!A:A,Product!B:B,"Bulunamadı")</f>
        <v>Sports</v>
      </c>
      <c r="F1972" s="1" t="str">
        <f t="array" ref="F1972">_xlfn.XLOOKUP(A1972,Product!A:A,Product!C:C,"Bulunamadı")</f>
        <v>Mindfulness</v>
      </c>
      <c r="G1972" s="2" t="str">
        <f t="array" ref="G1972">_xlfn.XLOOKUP(A1973,Product!A:A,Product!D:D,"Bulunamadı")</f>
        <v>Brightstone Publishing</v>
      </c>
      <c r="H1972" s="2">
        <f t="array" ref="H1972">_xlfn.XLOOKUP(A1974,Product!A:A,Product!E:E,"Bulunamadı")</f>
        <v>4.52</v>
      </c>
      <c r="I1972" s="2" t="str">
        <f t="shared" si="1"/>
        <v>11818 - Sports - Mindfulness</v>
      </c>
      <c r="J1972" s="2">
        <f t="shared" si="2"/>
        <v>456.52</v>
      </c>
      <c r="K1972" s="17">
        <f t="shared" si="3"/>
        <v>1</v>
      </c>
      <c r="L1972" s="18"/>
    </row>
    <row r="1973" hidden="1">
      <c r="A1973" s="2">
        <f>IFERROR(__xludf.DUMMYFUNCTION("""COMPUTED_VALUE"""),11795.0)</f>
        <v>11795</v>
      </c>
      <c r="B1973" s="2">
        <f>IFERROR(__xludf.DUMMYFUNCTION("""COMPUTED_VALUE"""),1.0)</f>
        <v>1</v>
      </c>
      <c r="C1973" s="2">
        <f>IFERROR(__xludf.DUMMYFUNCTION("""COMPUTED_VALUE"""),788.0)</f>
        <v>788</v>
      </c>
      <c r="D1973" s="3">
        <f>IFERROR(__xludf.DUMMYFUNCTION("""COMPUTED_VALUE"""),481.0)</f>
        <v>481</v>
      </c>
      <c r="E1973" s="1" t="str">
        <f t="array" ref="E1973">_xlfn.XLOOKUP(A1973,Product!A:A,Product!B:B,"Bulunamadı")</f>
        <v>Sports</v>
      </c>
      <c r="F1973" s="1" t="str">
        <f t="array" ref="F1973">_xlfn.XLOOKUP(A1973,Product!A:A,Product!C:C,"Bulunamadı")</f>
        <v>Mindfulness</v>
      </c>
      <c r="G1973" s="2" t="str">
        <f t="array" ref="G1973">_xlfn.XLOOKUP(A1974,Product!A:A,Product!D:D,"Bulunamadı")</f>
        <v>Brightstone Publishing</v>
      </c>
      <c r="H1973" s="2">
        <f t="array" ref="H1973">_xlfn.XLOOKUP(A1975,Product!A:A,Product!E:E,"Bulunamadı")</f>
        <v>6.07</v>
      </c>
      <c r="I1973" s="2" t="str">
        <f t="shared" si="1"/>
        <v>11795 - Sports - Mindfulness</v>
      </c>
      <c r="J1973" s="2">
        <f t="shared" si="2"/>
        <v>2919.67</v>
      </c>
      <c r="K1973" s="17">
        <f t="shared" si="3"/>
        <v>1</v>
      </c>
      <c r="L1973" s="18"/>
    </row>
    <row r="1974" hidden="1">
      <c r="A1974" s="2">
        <f>IFERROR(__xludf.DUMMYFUNCTION("""COMPUTED_VALUE"""),117641.0)</f>
        <v>117641</v>
      </c>
      <c r="B1974" s="2">
        <f>IFERROR(__xludf.DUMMYFUNCTION("""COMPUTED_VALUE"""),0.0)</f>
        <v>0</v>
      </c>
      <c r="C1974" s="2">
        <f>IFERROR(__xludf.DUMMYFUNCTION("""COMPUTED_VALUE"""),788.0)</f>
        <v>788</v>
      </c>
      <c r="D1974" s="3">
        <f>IFERROR(__xludf.DUMMYFUNCTION("""COMPUTED_VALUE"""),699.0)</f>
        <v>699</v>
      </c>
      <c r="E1974" s="1" t="str">
        <f t="array" ref="E1974">_xlfn.XLOOKUP(A1974,Product!A:A,Product!B:B,"Bulunamadı")</f>
        <v>Sports</v>
      </c>
      <c r="F1974" s="1" t="str">
        <f t="array" ref="F1974">_xlfn.XLOOKUP(A1974,Product!A:A,Product!C:C,"Bulunamadı")</f>
        <v>Mindfulness</v>
      </c>
      <c r="G1974" s="2" t="str">
        <f t="array" ref="G1974">_xlfn.XLOOKUP(A1975,Product!A:A,Product!D:D,"Bulunamadı")</f>
        <v>Brightstone Publishing</v>
      </c>
      <c r="H1974" s="2">
        <f t="array" ref="H1974">_xlfn.XLOOKUP(A1976,Product!A:A,Product!E:E,"Bulunamadı")</f>
        <v>1.88</v>
      </c>
      <c r="I1974" s="2" t="str">
        <f t="shared" si="1"/>
        <v>117641 - Sports - Mindfulness</v>
      </c>
      <c r="J1974" s="2">
        <f t="shared" si="2"/>
        <v>1314.12</v>
      </c>
      <c r="K1974" s="17">
        <f t="shared" si="3"/>
        <v>1</v>
      </c>
      <c r="L1974" s="18"/>
    </row>
    <row r="1975" hidden="1">
      <c r="A1975" s="2">
        <f>IFERROR(__xludf.DUMMYFUNCTION("""COMPUTED_VALUE"""),82579.0)</f>
        <v>82579</v>
      </c>
      <c r="B1975" s="2">
        <f>IFERROR(__xludf.DUMMYFUNCTION("""COMPUTED_VALUE"""),0.0)</f>
        <v>0</v>
      </c>
      <c r="C1975" s="2">
        <f>IFERROR(__xludf.DUMMYFUNCTION("""COMPUTED_VALUE"""),583.0)</f>
        <v>583</v>
      </c>
      <c r="D1975" s="3">
        <f>IFERROR(__xludf.DUMMYFUNCTION("""COMPUTED_VALUE"""),473.0)</f>
        <v>473</v>
      </c>
      <c r="E1975" s="1" t="str">
        <f t="array" ref="E1975">_xlfn.XLOOKUP(A1975,Product!A:A,Product!B:B,"Bulunamadı")</f>
        <v>Sports</v>
      </c>
      <c r="F1975" s="1" t="str">
        <f t="array" ref="F1975">_xlfn.XLOOKUP(A1975,Product!A:A,Product!C:C,"Bulunamadı")</f>
        <v>Mindfulness</v>
      </c>
      <c r="G1975" s="2" t="str">
        <f t="array" ref="G1975">_xlfn.XLOOKUP(A1976,Product!A:A,Product!D:D,"Bulunamadı")</f>
        <v>Brightstone Publishing</v>
      </c>
      <c r="H1975" s="2">
        <f t="array" ref="H1975">_xlfn.XLOOKUP(A1977,Product!A:A,Product!E:E,"Bulunamadı")</f>
        <v>3.82</v>
      </c>
      <c r="I1975" s="2" t="str">
        <f t="shared" si="1"/>
        <v>82579 - Sports - Mindfulness</v>
      </c>
      <c r="J1975" s="2">
        <f t="shared" si="2"/>
        <v>1806.86</v>
      </c>
      <c r="K1975" s="17">
        <f t="shared" si="3"/>
        <v>1</v>
      </c>
      <c r="L1975" s="18"/>
    </row>
    <row r="1976" hidden="1">
      <c r="A1976" s="2">
        <f>IFERROR(__xludf.DUMMYFUNCTION("""COMPUTED_VALUE"""),120153.0)</f>
        <v>120153</v>
      </c>
      <c r="B1976" s="2">
        <f>IFERROR(__xludf.DUMMYFUNCTION("""COMPUTED_VALUE"""),1.0)</f>
        <v>1</v>
      </c>
      <c r="C1976" s="2">
        <f>IFERROR(__xludf.DUMMYFUNCTION("""COMPUTED_VALUE"""),380.0)</f>
        <v>380</v>
      </c>
      <c r="D1976" s="3">
        <f>IFERROR(__xludf.DUMMYFUNCTION("""COMPUTED_VALUE"""),116.0)</f>
        <v>116</v>
      </c>
      <c r="E1976" s="1" t="str">
        <f t="array" ref="E1976">_xlfn.XLOOKUP(A1976,Product!A:A,Product!B:B,"Bulunamadı")</f>
        <v>Sports</v>
      </c>
      <c r="F1976" s="1" t="str">
        <f t="array" ref="F1976">_xlfn.XLOOKUP(A1976,Product!A:A,Product!C:C,"Bulunamadı")</f>
        <v>Mindfulness</v>
      </c>
      <c r="G1976" s="2" t="str">
        <f t="array" ref="G1976">_xlfn.XLOOKUP(A1977,Product!A:A,Product!D:D,"Bulunamadı")</f>
        <v>Brightstone Publishing</v>
      </c>
      <c r="H1976" s="2">
        <f t="array" ref="H1976">_xlfn.XLOOKUP(A1978,Product!A:A,Product!E:E,"Bulunamadı")</f>
        <v>5.69</v>
      </c>
      <c r="I1976" s="2" t="str">
        <f t="shared" si="1"/>
        <v>120153 - Sports - Mindfulness</v>
      </c>
      <c r="J1976" s="2">
        <f t="shared" si="2"/>
        <v>660.04</v>
      </c>
      <c r="K1976" s="17">
        <f t="shared" si="3"/>
        <v>1</v>
      </c>
      <c r="L1976" s="18"/>
    </row>
    <row r="1977" hidden="1">
      <c r="A1977" s="2">
        <f>IFERROR(__xludf.DUMMYFUNCTION("""COMPUTED_VALUE"""),81320.0)</f>
        <v>81320</v>
      </c>
      <c r="B1977" s="2">
        <f>IFERROR(__xludf.DUMMYFUNCTION("""COMPUTED_VALUE"""),0.0)</f>
        <v>0</v>
      </c>
      <c r="C1977" s="2">
        <f>IFERROR(__xludf.DUMMYFUNCTION("""COMPUTED_VALUE"""),508.0)</f>
        <v>508</v>
      </c>
      <c r="D1977" s="3">
        <f>IFERROR(__xludf.DUMMYFUNCTION("""COMPUTED_VALUE"""),436.0)</f>
        <v>436</v>
      </c>
      <c r="E1977" s="1" t="str">
        <f t="array" ref="E1977">_xlfn.XLOOKUP(A1977,Product!A:A,Product!B:B,"Bulunamadı")</f>
        <v>Sports</v>
      </c>
      <c r="F1977" s="1" t="str">
        <f t="array" ref="F1977">_xlfn.XLOOKUP(A1977,Product!A:A,Product!C:C,"Bulunamadı")</f>
        <v>Mindfulness</v>
      </c>
      <c r="G1977" s="2" t="str">
        <f t="array" ref="G1977">_xlfn.XLOOKUP(A1978,Product!A:A,Product!D:D,"Bulunamadı")</f>
        <v>Brightstone Publishing</v>
      </c>
      <c r="H1977" s="2">
        <f t="array" ref="H1977">_xlfn.XLOOKUP(A1979,Product!A:A,Product!E:E,"Bulunamadı")</f>
        <v>3.5</v>
      </c>
      <c r="I1977" s="2" t="str">
        <f t="shared" si="1"/>
        <v>81320 - Sports - Mindfulness</v>
      </c>
      <c r="J1977" s="2">
        <f t="shared" si="2"/>
        <v>1526</v>
      </c>
      <c r="K1977" s="17">
        <f t="shared" si="3"/>
        <v>1</v>
      </c>
      <c r="L1977" s="18"/>
    </row>
    <row r="1978" hidden="1">
      <c r="A1978" s="2">
        <f>IFERROR(__xludf.DUMMYFUNCTION("""COMPUTED_VALUE"""),121517.0)</f>
        <v>121517</v>
      </c>
      <c r="B1978" s="2">
        <f>IFERROR(__xludf.DUMMYFUNCTION("""COMPUTED_VALUE"""),1.0)</f>
        <v>1</v>
      </c>
      <c r="C1978" s="2">
        <f>IFERROR(__xludf.DUMMYFUNCTION("""COMPUTED_VALUE"""),989.0)</f>
        <v>989</v>
      </c>
      <c r="D1978" s="3">
        <f>IFERROR(__xludf.DUMMYFUNCTION("""COMPUTED_VALUE"""),37.0)</f>
        <v>37</v>
      </c>
      <c r="E1978" s="1" t="str">
        <f t="array" ref="E1978">_xlfn.XLOOKUP(A1978,Product!A:A,Product!B:B,"Bulunamadı")</f>
        <v>Sports</v>
      </c>
      <c r="F1978" s="1" t="str">
        <f t="array" ref="F1978">_xlfn.XLOOKUP(A1978,Product!A:A,Product!C:C,"Bulunamadı")</f>
        <v>Mindfulness</v>
      </c>
      <c r="G1978" s="2" t="str">
        <f t="array" ref="G1978">_xlfn.XLOOKUP(A1979,Product!A:A,Product!D:D,"Bulunamadı")</f>
        <v>Brightstone Publishing</v>
      </c>
      <c r="H1978" s="2">
        <f t="array" ref="H1978">_xlfn.XLOOKUP(A1980,Product!A:A,Product!E:E,"Bulunamadı")</f>
        <v>8.84</v>
      </c>
      <c r="I1978" s="2" t="str">
        <f t="shared" si="1"/>
        <v>121517 - Sports - Mindfulness</v>
      </c>
      <c r="J1978" s="2">
        <f t="shared" si="2"/>
        <v>327.08</v>
      </c>
      <c r="K1978" s="17">
        <f t="shared" si="3"/>
        <v>1</v>
      </c>
      <c r="L1978" s="18"/>
    </row>
    <row r="1979" hidden="1">
      <c r="A1979" s="2">
        <f>IFERROR(__xludf.DUMMYFUNCTION("""COMPUTED_VALUE"""),89276.0)</f>
        <v>89276</v>
      </c>
      <c r="B1979" s="2">
        <f>IFERROR(__xludf.DUMMYFUNCTION("""COMPUTED_VALUE"""),1.0)</f>
        <v>1</v>
      </c>
      <c r="C1979" s="2">
        <f>IFERROR(__xludf.DUMMYFUNCTION("""COMPUTED_VALUE"""),261.0)</f>
        <v>261</v>
      </c>
      <c r="D1979" s="3">
        <f>IFERROR(__xludf.DUMMYFUNCTION("""COMPUTED_VALUE"""),14.0)</f>
        <v>14</v>
      </c>
      <c r="E1979" s="1" t="str">
        <f t="array" ref="E1979">_xlfn.XLOOKUP(A1979,Product!A:A,Product!B:B,"Bulunamadı")</f>
        <v>Sports</v>
      </c>
      <c r="F1979" s="1" t="str">
        <f t="array" ref="F1979">_xlfn.XLOOKUP(A1979,Product!A:A,Product!C:C,"Bulunamadı")</f>
        <v>Mindfulness</v>
      </c>
      <c r="G1979" s="2" t="str">
        <f t="array" ref="G1979">_xlfn.XLOOKUP(A1980,Product!A:A,Product!D:D,"Bulunamadı")</f>
        <v>Brightstone Publishing</v>
      </c>
      <c r="H1979" s="2">
        <f t="array" ref="H1979">_xlfn.XLOOKUP(A1981,Product!A:A,Product!E:E,"Bulunamadı")</f>
        <v>2.69</v>
      </c>
      <c r="I1979" s="2" t="str">
        <f t="shared" si="1"/>
        <v>89276 - Sports - Mindfulness</v>
      </c>
      <c r="J1979" s="2">
        <f t="shared" si="2"/>
        <v>37.66</v>
      </c>
      <c r="K1979" s="17">
        <f t="shared" si="3"/>
        <v>1</v>
      </c>
      <c r="L1979" s="18"/>
    </row>
    <row r="1980" hidden="1">
      <c r="A1980" s="2">
        <f>IFERROR(__xludf.DUMMYFUNCTION("""COMPUTED_VALUE"""),11822.0)</f>
        <v>11822</v>
      </c>
      <c r="B1980" s="2">
        <f>IFERROR(__xludf.DUMMYFUNCTION("""COMPUTED_VALUE"""),1.0)</f>
        <v>1</v>
      </c>
      <c r="C1980" s="2">
        <f>IFERROR(__xludf.DUMMYFUNCTION("""COMPUTED_VALUE"""),533.0)</f>
        <v>533</v>
      </c>
      <c r="D1980" s="3">
        <f>IFERROR(__xludf.DUMMYFUNCTION("""COMPUTED_VALUE"""),246.0)</f>
        <v>246</v>
      </c>
      <c r="E1980" s="1" t="str">
        <f t="array" ref="E1980">_xlfn.XLOOKUP(A1980,Product!A:A,Product!B:B,"Bulunamadı")</f>
        <v>Sports</v>
      </c>
      <c r="F1980" s="1" t="str">
        <f t="array" ref="F1980">_xlfn.XLOOKUP(A1980,Product!A:A,Product!C:C,"Bulunamadı")</f>
        <v>Mindfulness</v>
      </c>
      <c r="G1980" s="2" t="str">
        <f t="array" ref="G1980">_xlfn.XLOOKUP(A1981,Product!A:A,Product!D:D,"Bulunamadı")</f>
        <v>Brightstone Publishing</v>
      </c>
      <c r="H1980" s="2">
        <f t="array" ref="H1980">_xlfn.XLOOKUP(A1982,Product!A:A,Product!E:E,"Bulunamadı")</f>
        <v>4.26</v>
      </c>
      <c r="I1980" s="2" t="str">
        <f t="shared" si="1"/>
        <v>11822 - Sports - Mindfulness</v>
      </c>
      <c r="J1980" s="2">
        <f t="shared" si="2"/>
        <v>1047.96</v>
      </c>
      <c r="K1980" s="17">
        <f t="shared" si="3"/>
        <v>1</v>
      </c>
      <c r="L1980" s="18"/>
    </row>
    <row r="1981" hidden="1">
      <c r="A1981" s="2">
        <f>IFERROR(__xludf.DUMMYFUNCTION("""COMPUTED_VALUE"""),11771.0)</f>
        <v>11771</v>
      </c>
      <c r="B1981" s="2">
        <f>IFERROR(__xludf.DUMMYFUNCTION("""COMPUTED_VALUE"""),1.0)</f>
        <v>1</v>
      </c>
      <c r="C1981" s="2">
        <f>IFERROR(__xludf.DUMMYFUNCTION("""COMPUTED_VALUE"""),951.0)</f>
        <v>951</v>
      </c>
      <c r="D1981" s="3">
        <f>IFERROR(__xludf.DUMMYFUNCTION("""COMPUTED_VALUE"""),867.0)</f>
        <v>867</v>
      </c>
      <c r="E1981" s="1" t="str">
        <f t="array" ref="E1981">_xlfn.XLOOKUP(A1981,Product!A:A,Product!B:B,"Bulunamadı")</f>
        <v>Sports</v>
      </c>
      <c r="F1981" s="1" t="str">
        <f t="array" ref="F1981">_xlfn.XLOOKUP(A1981,Product!A:A,Product!C:C,"Bulunamadı")</f>
        <v>Mindfulness</v>
      </c>
      <c r="G1981" s="2" t="str">
        <f t="array" ref="G1981">_xlfn.XLOOKUP(A1982,Product!A:A,Product!D:D,"Bulunamadı")</f>
        <v>Brightstone Publishing</v>
      </c>
      <c r="H1981" s="2">
        <f t="array" ref="H1981">_xlfn.XLOOKUP(A1983,Product!A:A,Product!E:E,"Bulunamadı")</f>
        <v>5.63</v>
      </c>
      <c r="I1981" s="2" t="str">
        <f t="shared" si="1"/>
        <v>11771 - Sports - Mindfulness</v>
      </c>
      <c r="J1981" s="2">
        <f t="shared" si="2"/>
        <v>4881.21</v>
      </c>
      <c r="K1981" s="17">
        <f t="shared" si="3"/>
        <v>1</v>
      </c>
      <c r="L1981" s="18"/>
    </row>
    <row r="1982" hidden="1">
      <c r="A1982" s="2">
        <f>IFERROR(__xludf.DUMMYFUNCTION("""COMPUTED_VALUE"""),89295.0)</f>
        <v>89295</v>
      </c>
      <c r="B1982" s="2">
        <f>IFERROR(__xludf.DUMMYFUNCTION("""COMPUTED_VALUE"""),0.0)</f>
        <v>0</v>
      </c>
      <c r="C1982" s="2">
        <f>IFERROR(__xludf.DUMMYFUNCTION("""COMPUTED_VALUE"""),119.0)</f>
        <v>119</v>
      </c>
      <c r="D1982" s="3">
        <f>IFERROR(__xludf.DUMMYFUNCTION("""COMPUTED_VALUE"""),98.0)</f>
        <v>98</v>
      </c>
      <c r="E1982" s="1" t="str">
        <f t="array" ref="E1982">_xlfn.XLOOKUP(A1982,Product!A:A,Product!B:B,"Bulunamadı")</f>
        <v>Sports</v>
      </c>
      <c r="F1982" s="1" t="str">
        <f t="array" ref="F1982">_xlfn.XLOOKUP(A1982,Product!A:A,Product!C:C,"Bulunamadı")</f>
        <v>Mindfulness</v>
      </c>
      <c r="G1982" s="2" t="str">
        <f t="array" ref="G1982">_xlfn.XLOOKUP(A1983,Product!A:A,Product!D:D,"Bulunamadı")</f>
        <v>Brightstone Publishing</v>
      </c>
      <c r="H1982" s="2">
        <f t="array" ref="H1982">_xlfn.XLOOKUP(A1984,Product!A:A,Product!E:E,"Bulunamadı")</f>
        <v>5.49</v>
      </c>
      <c r="I1982" s="2" t="str">
        <f t="shared" si="1"/>
        <v>89295 - Sports - Mindfulness</v>
      </c>
      <c r="J1982" s="2">
        <f t="shared" si="2"/>
        <v>538.02</v>
      </c>
      <c r="K1982" s="17">
        <f t="shared" si="3"/>
        <v>1</v>
      </c>
      <c r="L1982" s="18"/>
    </row>
    <row r="1983" hidden="1">
      <c r="A1983" s="2">
        <f>IFERROR(__xludf.DUMMYFUNCTION("""COMPUTED_VALUE"""),117684.0)</f>
        <v>117684</v>
      </c>
      <c r="B1983" s="2">
        <f>IFERROR(__xludf.DUMMYFUNCTION("""COMPUTED_VALUE"""),1.0)</f>
        <v>1</v>
      </c>
      <c r="C1983" s="2">
        <f>IFERROR(__xludf.DUMMYFUNCTION("""COMPUTED_VALUE"""),247.0)</f>
        <v>247</v>
      </c>
      <c r="D1983" s="3">
        <f>IFERROR(__xludf.DUMMYFUNCTION("""COMPUTED_VALUE"""),159.0)</f>
        <v>159</v>
      </c>
      <c r="E1983" s="1" t="str">
        <f t="array" ref="E1983">_xlfn.XLOOKUP(A1983,Product!A:A,Product!B:B,"Bulunamadı")</f>
        <v>Sports</v>
      </c>
      <c r="F1983" s="1" t="str">
        <f t="array" ref="F1983">_xlfn.XLOOKUP(A1983,Product!A:A,Product!C:C,"Bulunamadı")</f>
        <v>Mindfulness</v>
      </c>
      <c r="G1983" s="2" t="str">
        <f t="array" ref="G1983">_xlfn.XLOOKUP(A1984,Product!A:A,Product!D:D,"Bulunamadı")</f>
        <v>Brightstone Publishing</v>
      </c>
      <c r="H1983" s="2">
        <f t="array" ref="H1983">_xlfn.XLOOKUP(A1985,Product!A:A,Product!E:E,"Bulunamadı")</f>
        <v>9.49</v>
      </c>
      <c r="I1983" s="2" t="str">
        <f t="shared" si="1"/>
        <v>117684 - Sports - Mindfulness</v>
      </c>
      <c r="J1983" s="2">
        <f t="shared" si="2"/>
        <v>1508.91</v>
      </c>
      <c r="K1983" s="17">
        <f t="shared" si="3"/>
        <v>1</v>
      </c>
      <c r="L1983" s="18"/>
    </row>
    <row r="1984" hidden="1">
      <c r="A1984" s="2">
        <f>IFERROR(__xludf.DUMMYFUNCTION("""COMPUTED_VALUE"""),11817.0)</f>
        <v>11817</v>
      </c>
      <c r="B1984" s="2">
        <f>IFERROR(__xludf.DUMMYFUNCTION("""COMPUTED_VALUE"""),0.0)</f>
        <v>0</v>
      </c>
      <c r="C1984" s="2">
        <f>IFERROR(__xludf.DUMMYFUNCTION("""COMPUTED_VALUE"""),207.0)</f>
        <v>207</v>
      </c>
      <c r="D1984" s="3">
        <f>IFERROR(__xludf.DUMMYFUNCTION("""COMPUTED_VALUE"""),206.0)</f>
        <v>206</v>
      </c>
      <c r="E1984" s="1" t="str">
        <f t="array" ref="E1984">_xlfn.XLOOKUP(A1984,Product!A:A,Product!B:B,"Bulunamadı")</f>
        <v>Sports</v>
      </c>
      <c r="F1984" s="1" t="str">
        <f t="array" ref="F1984">_xlfn.XLOOKUP(A1984,Product!A:A,Product!C:C,"Bulunamadı")</f>
        <v>Mindfulness</v>
      </c>
      <c r="G1984" s="2" t="str">
        <f t="array" ref="G1984">_xlfn.XLOOKUP(A1985,Product!A:A,Product!D:D,"Bulunamadı")</f>
        <v>Brightstone Publishing</v>
      </c>
      <c r="H1984" s="2">
        <f t="array" ref="H1984">_xlfn.XLOOKUP(A1986,Product!A:A,Product!E:E,"Bulunamadı")</f>
        <v>3.68</v>
      </c>
      <c r="I1984" s="2" t="str">
        <f t="shared" si="1"/>
        <v>11817 - Sports - Mindfulness</v>
      </c>
      <c r="J1984" s="2">
        <f t="shared" si="2"/>
        <v>758.08</v>
      </c>
      <c r="K1984" s="17">
        <f t="shared" si="3"/>
        <v>1</v>
      </c>
      <c r="L1984" s="18"/>
    </row>
    <row r="1985" hidden="1">
      <c r="A1985" s="2">
        <f>IFERROR(__xludf.DUMMYFUNCTION("""COMPUTED_VALUE"""),120697.0)</f>
        <v>120697</v>
      </c>
      <c r="B1985" s="2">
        <f>IFERROR(__xludf.DUMMYFUNCTION("""COMPUTED_VALUE"""),0.0)</f>
        <v>0</v>
      </c>
      <c r="C1985" s="2">
        <f>IFERROR(__xludf.DUMMYFUNCTION("""COMPUTED_VALUE"""),301.0)</f>
        <v>301</v>
      </c>
      <c r="D1985" s="3">
        <f>IFERROR(__xludf.DUMMYFUNCTION("""COMPUTED_VALUE"""),274.0)</f>
        <v>274</v>
      </c>
      <c r="E1985" s="1" t="str">
        <f t="array" ref="E1985">_xlfn.XLOOKUP(A1985,Product!A:A,Product!B:B,"Bulunamadı")</f>
        <v>Sports</v>
      </c>
      <c r="F1985" s="1" t="str">
        <f t="array" ref="F1985">_xlfn.XLOOKUP(A1985,Product!A:A,Product!C:C,"Bulunamadı")</f>
        <v>Mindfulness</v>
      </c>
      <c r="G1985" s="2" t="str">
        <f t="array" ref="G1985">_xlfn.XLOOKUP(A1986,Product!A:A,Product!D:D,"Bulunamadı")</f>
        <v>Brightstone Publishing</v>
      </c>
      <c r="H1985" s="2">
        <f t="array" ref="H1985">_xlfn.XLOOKUP(A1987,Product!A:A,Product!E:E,"Bulunamadı")</f>
        <v>6</v>
      </c>
      <c r="I1985" s="2" t="str">
        <f t="shared" si="1"/>
        <v>120697 - Sports - Mindfulness</v>
      </c>
      <c r="J1985" s="2">
        <f t="shared" si="2"/>
        <v>1644</v>
      </c>
      <c r="K1985" s="17">
        <f t="shared" si="3"/>
        <v>1</v>
      </c>
      <c r="L1985" s="18"/>
    </row>
    <row r="1986" hidden="1">
      <c r="A1986" s="2">
        <f>IFERROR(__xludf.DUMMYFUNCTION("""COMPUTED_VALUE"""),11783.0)</f>
        <v>11783</v>
      </c>
      <c r="B1986" s="2">
        <f>IFERROR(__xludf.DUMMYFUNCTION("""COMPUTED_VALUE"""),1.0)</f>
        <v>1</v>
      </c>
      <c r="C1986" s="2">
        <f>IFERROR(__xludf.DUMMYFUNCTION("""COMPUTED_VALUE"""),663.0)</f>
        <v>663</v>
      </c>
      <c r="D1986" s="3">
        <f>IFERROR(__xludf.DUMMYFUNCTION("""COMPUTED_VALUE"""),88.0)</f>
        <v>88</v>
      </c>
      <c r="E1986" s="1" t="str">
        <f t="array" ref="E1986">_xlfn.XLOOKUP(A1986,Product!A:A,Product!B:B,"Bulunamadı")</f>
        <v>Sports</v>
      </c>
      <c r="F1986" s="1" t="str">
        <f t="array" ref="F1986">_xlfn.XLOOKUP(A1986,Product!A:A,Product!C:C,"Bulunamadı")</f>
        <v>Mindfulness</v>
      </c>
      <c r="G1986" s="2" t="str">
        <f t="array" ref="G1986">_xlfn.XLOOKUP(A1987,Product!A:A,Product!D:D,"Bulunamadı")</f>
        <v>Brightstone Publishing</v>
      </c>
      <c r="H1986" s="2">
        <f t="array" ref="H1986">_xlfn.XLOOKUP(A1988,Product!A:A,Product!E:E,"Bulunamadı")</f>
        <v>5.65</v>
      </c>
      <c r="I1986" s="2" t="str">
        <f t="shared" si="1"/>
        <v>11783 - Sports - Mindfulness</v>
      </c>
      <c r="J1986" s="2">
        <f t="shared" si="2"/>
        <v>497.2</v>
      </c>
      <c r="K1986" s="17">
        <f t="shared" si="3"/>
        <v>1</v>
      </c>
      <c r="L1986" s="18"/>
    </row>
    <row r="1987" hidden="1">
      <c r="A1987" s="2">
        <f>IFERROR(__xludf.DUMMYFUNCTION("""COMPUTED_VALUE"""),11821.0)</f>
        <v>11821</v>
      </c>
      <c r="B1987" s="2">
        <f>IFERROR(__xludf.DUMMYFUNCTION("""COMPUTED_VALUE"""),1.0)</f>
        <v>1</v>
      </c>
      <c r="C1987" s="2">
        <f>IFERROR(__xludf.DUMMYFUNCTION("""COMPUTED_VALUE"""),261.0)</f>
        <v>261</v>
      </c>
      <c r="D1987" s="3">
        <f>IFERROR(__xludf.DUMMYFUNCTION("""COMPUTED_VALUE"""),10.0)</f>
        <v>10</v>
      </c>
      <c r="E1987" s="1" t="str">
        <f t="array" ref="E1987">_xlfn.XLOOKUP(A1987,Product!A:A,Product!B:B,"Bulunamadı")</f>
        <v>Sports</v>
      </c>
      <c r="F1987" s="1" t="str">
        <f t="array" ref="F1987">_xlfn.XLOOKUP(A1987,Product!A:A,Product!C:C,"Bulunamadı")</f>
        <v>Mindfulness</v>
      </c>
      <c r="G1987" s="2" t="str">
        <f t="array" ref="G1987">_xlfn.XLOOKUP(A1988,Product!A:A,Product!D:D,"Bulunamadı")</f>
        <v>Oakstone Books</v>
      </c>
      <c r="H1987" s="2">
        <f t="array" ref="H1987">_xlfn.XLOOKUP(A1989,Product!A:A,Product!E:E,"Bulunamadı")</f>
        <v>2.88</v>
      </c>
      <c r="I1987" s="2" t="str">
        <f t="shared" si="1"/>
        <v>11821 - Sports - Mindfulness</v>
      </c>
      <c r="J1987" s="2">
        <f t="shared" si="2"/>
        <v>28.8</v>
      </c>
      <c r="K1987" s="17">
        <f t="shared" si="3"/>
        <v>1</v>
      </c>
      <c r="L1987" s="18"/>
    </row>
    <row r="1988" hidden="1">
      <c r="A1988" s="2">
        <f>IFERROR(__xludf.DUMMYFUNCTION("""COMPUTED_VALUE"""),11814.0)</f>
        <v>11814</v>
      </c>
      <c r="B1988" s="2">
        <f>IFERROR(__xludf.DUMMYFUNCTION("""COMPUTED_VALUE"""),1.0)</f>
        <v>1</v>
      </c>
      <c r="C1988" s="2">
        <f>IFERROR(__xludf.DUMMYFUNCTION("""COMPUTED_VALUE"""),529.0)</f>
        <v>529</v>
      </c>
      <c r="D1988" s="3">
        <f>IFERROR(__xludf.DUMMYFUNCTION("""COMPUTED_VALUE"""),84.0)</f>
        <v>84</v>
      </c>
      <c r="E1988" s="1" t="str">
        <f t="array" ref="E1988">_xlfn.XLOOKUP(A1988,Product!A:A,Product!B:B,"Bulunamadı")</f>
        <v>Sports</v>
      </c>
      <c r="F1988" s="1" t="str">
        <f t="array" ref="F1988">_xlfn.XLOOKUP(A1988,Product!A:A,Product!C:C,"Bulunamadı")</f>
        <v>Mindfulness</v>
      </c>
      <c r="G1988" s="2" t="str">
        <f t="array" ref="G1988">_xlfn.XLOOKUP(A1989,Product!A:A,Product!D:D,"Bulunamadı")</f>
        <v>Oakstone Books</v>
      </c>
      <c r="H1988" s="2">
        <f t="array" ref="H1988">_xlfn.XLOOKUP(A1990,Product!A:A,Product!E:E,"Bulunamadı")</f>
        <v>1.16</v>
      </c>
      <c r="I1988" s="2" t="str">
        <f t="shared" si="1"/>
        <v>11814 - Sports - Mindfulness</v>
      </c>
      <c r="J1988" s="2">
        <f t="shared" si="2"/>
        <v>97.44</v>
      </c>
      <c r="K1988" s="17">
        <f t="shared" si="3"/>
        <v>1</v>
      </c>
      <c r="L1988" s="18"/>
    </row>
    <row r="1989" hidden="1">
      <c r="A1989" s="2">
        <f>IFERROR(__xludf.DUMMYFUNCTION("""COMPUTED_VALUE"""),71242.0)</f>
        <v>71242</v>
      </c>
      <c r="B1989" s="2">
        <f>IFERROR(__xludf.DUMMYFUNCTION("""COMPUTED_VALUE"""),1.0)</f>
        <v>1</v>
      </c>
      <c r="C1989" s="2">
        <f>IFERROR(__xludf.DUMMYFUNCTION("""COMPUTED_VALUE"""),685.0)</f>
        <v>685</v>
      </c>
      <c r="D1989" s="3">
        <f>IFERROR(__xludf.DUMMYFUNCTION("""COMPUTED_VALUE"""),605.0)</f>
        <v>605</v>
      </c>
      <c r="E1989" s="1" t="str">
        <f t="array" ref="E1989">_xlfn.XLOOKUP(A1989,Product!A:A,Product!B:B,"Bulunamadı")</f>
        <v>Sports</v>
      </c>
      <c r="F1989" s="1" t="str">
        <f t="array" ref="F1989">_xlfn.XLOOKUP(A1989,Product!A:A,Product!C:C,"Bulunamadı")</f>
        <v>Mindfulness</v>
      </c>
      <c r="G1989" s="2" t="str">
        <f t="array" ref="G1989">_xlfn.XLOOKUP(A1990,Product!A:A,Product!D:D,"Bulunamadı")</f>
        <v>Riverstone Press</v>
      </c>
      <c r="H1989" s="2">
        <f t="array" ref="H1989">_xlfn.XLOOKUP(A1991,Product!A:A,Product!E:E,"Bulunamadı")</f>
        <v>1.87</v>
      </c>
      <c r="I1989" s="2" t="str">
        <f t="shared" si="1"/>
        <v>71242 - Sports - Mindfulness</v>
      </c>
      <c r="J1989" s="2">
        <f t="shared" si="2"/>
        <v>1131.35</v>
      </c>
      <c r="K1989" s="17">
        <f t="shared" si="3"/>
        <v>1</v>
      </c>
      <c r="L1989" s="18"/>
    </row>
    <row r="1990">
      <c r="A1990" s="2">
        <f>IFERROR(__xludf.DUMMYFUNCTION("""COMPUTED_VALUE"""),120449.0)</f>
        <v>120449</v>
      </c>
      <c r="B1990" s="2">
        <f>IFERROR(__xludf.DUMMYFUNCTION("""COMPUTED_VALUE"""),0.0)</f>
        <v>0</v>
      </c>
      <c r="C1990" s="2">
        <f>IFERROR(__xludf.DUMMYFUNCTION("""COMPUTED_VALUE"""),134.0)</f>
        <v>134</v>
      </c>
      <c r="D1990" s="3">
        <f>IFERROR(__xludf.DUMMYFUNCTION("""COMPUTED_VALUE"""),23.0)</f>
        <v>23</v>
      </c>
      <c r="E1990" s="1" t="str">
        <f t="array" ref="E1990">_xlfn.XLOOKUP(A1990,Product!A:A,Product!B:B,"Bulunamadı")</f>
        <v>Arts</v>
      </c>
      <c r="F1990" s="1" t="str">
        <f t="array" ref="F1990">_xlfn.XLOOKUP(A1990,Product!A:A,Product!C:C,"Bulunamadı")</f>
        <v>Stress Management</v>
      </c>
      <c r="G1990" s="2" t="str">
        <f t="array" ref="G1990">_xlfn.XLOOKUP(A1991,Product!A:A,Product!D:D,"Bulunamadı")</f>
        <v>Riverstone Press</v>
      </c>
      <c r="H1990" s="2">
        <f t="array" ref="H1990">_xlfn.XLOOKUP(A1992,Product!A:A,Product!E:E,"Bulunamadı")</f>
        <v>1.38</v>
      </c>
      <c r="I1990" s="2" t="str">
        <f t="shared" si="1"/>
        <v>120449 - Arts - Stress Management</v>
      </c>
      <c r="J1990" s="2">
        <f t="shared" si="2"/>
        <v>31.74</v>
      </c>
      <c r="K1990" s="17">
        <f t="shared" si="3"/>
        <v>1</v>
      </c>
      <c r="L1990" s="18"/>
    </row>
    <row r="1991">
      <c r="A1991" s="2">
        <f>IFERROR(__xludf.DUMMYFUNCTION("""COMPUTED_VALUE"""),23682.0)</f>
        <v>23682</v>
      </c>
      <c r="B1991" s="2">
        <f>IFERROR(__xludf.DUMMYFUNCTION("""COMPUTED_VALUE"""),1.0)</f>
        <v>1</v>
      </c>
      <c r="C1991" s="2">
        <f>IFERROR(__xludf.DUMMYFUNCTION("""COMPUTED_VALUE"""),953.0)</f>
        <v>953</v>
      </c>
      <c r="D1991" s="3">
        <f>IFERROR(__xludf.DUMMYFUNCTION("""COMPUTED_VALUE"""),116.0)</f>
        <v>116</v>
      </c>
      <c r="E1991" s="1" t="str">
        <f t="array" ref="E1991">_xlfn.XLOOKUP(A1991,Product!A:A,Product!B:B,"Bulunamadı")</f>
        <v>Arts</v>
      </c>
      <c r="F1991" s="1" t="str">
        <f t="array" ref="F1991">_xlfn.XLOOKUP(A1991,Product!A:A,Product!C:C,"Bulunamadı")</f>
        <v>Stress Management</v>
      </c>
      <c r="G1991" s="2" t="str">
        <f t="array" ref="G1991">_xlfn.XLOOKUP(A1992,Product!A:A,Product!D:D,"Bulunamadı")</f>
        <v>Riverstone Press</v>
      </c>
      <c r="H1991" s="2">
        <f t="array" ref="H1991">_xlfn.XLOOKUP(A1993,Product!A:A,Product!E:E,"Bulunamadı")</f>
        <v>1.13</v>
      </c>
      <c r="I1991" s="2" t="str">
        <f t="shared" si="1"/>
        <v>23682 - Arts - Stress Management</v>
      </c>
      <c r="J1991" s="2">
        <f t="shared" si="2"/>
        <v>131.08</v>
      </c>
      <c r="K1991" s="17">
        <f t="shared" si="3"/>
        <v>1</v>
      </c>
      <c r="L1991" s="18"/>
    </row>
    <row r="1992">
      <c r="A1992" s="2">
        <f>IFERROR(__xludf.DUMMYFUNCTION("""COMPUTED_VALUE"""),119076.0)</f>
        <v>119076</v>
      </c>
      <c r="B1992" s="2">
        <f>IFERROR(__xludf.DUMMYFUNCTION("""COMPUTED_VALUE"""),0.0)</f>
        <v>0</v>
      </c>
      <c r="C1992" s="2">
        <f>IFERROR(__xludf.DUMMYFUNCTION("""COMPUTED_VALUE"""),157.0)</f>
        <v>157</v>
      </c>
      <c r="D1992" s="3">
        <f>IFERROR(__xludf.DUMMYFUNCTION("""COMPUTED_VALUE"""),28.0)</f>
        <v>28</v>
      </c>
      <c r="E1992" s="1" t="str">
        <f t="array" ref="E1992">_xlfn.XLOOKUP(A1992,Product!A:A,Product!B:B,"Bulunamadı")</f>
        <v>Arts</v>
      </c>
      <c r="F1992" s="1" t="str">
        <f t="array" ref="F1992">_xlfn.XLOOKUP(A1992,Product!A:A,Product!C:C,"Bulunamadı")</f>
        <v>Stress Management</v>
      </c>
      <c r="G1992" s="2" t="str">
        <f t="array" ref="G1992">_xlfn.XLOOKUP(A1993,Product!A:A,Product!D:D,"Bulunamadı")</f>
        <v>Riverstone Press</v>
      </c>
      <c r="H1992" s="2">
        <f t="array" ref="H1992">_xlfn.XLOOKUP(A1994,Product!A:A,Product!E:E,"Bulunamadı")</f>
        <v>1.25</v>
      </c>
      <c r="I1992" s="2" t="str">
        <f t="shared" si="1"/>
        <v>119076 - Arts - Stress Management</v>
      </c>
      <c r="J1992" s="2">
        <f t="shared" si="2"/>
        <v>35</v>
      </c>
      <c r="K1992" s="17">
        <f t="shared" si="3"/>
        <v>1</v>
      </c>
      <c r="L1992" s="18"/>
    </row>
    <row r="1993">
      <c r="A1993" s="2">
        <f>IFERROR(__xludf.DUMMYFUNCTION("""COMPUTED_VALUE"""),9139.0)</f>
        <v>9139</v>
      </c>
      <c r="B1993" s="2">
        <f>IFERROR(__xludf.DUMMYFUNCTION("""COMPUTED_VALUE"""),1.0)</f>
        <v>1</v>
      </c>
      <c r="C1993" s="2">
        <f>IFERROR(__xludf.DUMMYFUNCTION("""COMPUTED_VALUE"""),345.0)</f>
        <v>345</v>
      </c>
      <c r="D1993" s="3">
        <f>IFERROR(__xludf.DUMMYFUNCTION("""COMPUTED_VALUE"""),130.0)</f>
        <v>130</v>
      </c>
      <c r="E1993" s="1" t="str">
        <f t="array" ref="E1993">_xlfn.XLOOKUP(A1993,Product!A:A,Product!B:B,"Bulunamadı")</f>
        <v>Arts</v>
      </c>
      <c r="F1993" s="1" t="str">
        <f t="array" ref="F1993">_xlfn.XLOOKUP(A1993,Product!A:A,Product!C:C,"Bulunamadı")</f>
        <v>Stress Management</v>
      </c>
      <c r="G1993" s="2" t="str">
        <f t="array" ref="G1993">_xlfn.XLOOKUP(A1994,Product!A:A,Product!D:D,"Bulunamadı")</f>
        <v>Riverstone Press</v>
      </c>
      <c r="H1993" s="2">
        <f t="array" ref="H1993">_xlfn.XLOOKUP(A1995,Product!A:A,Product!E:E,"Bulunamadı")</f>
        <v>1.9</v>
      </c>
      <c r="I1993" s="2" t="str">
        <f t="shared" si="1"/>
        <v>9139 - Arts - Stress Management</v>
      </c>
      <c r="J1993" s="2">
        <f t="shared" si="2"/>
        <v>247</v>
      </c>
      <c r="K1993" s="17">
        <f t="shared" si="3"/>
        <v>1</v>
      </c>
      <c r="L1993" s="18"/>
    </row>
    <row r="1994">
      <c r="A1994" s="2">
        <f>IFERROR(__xludf.DUMMYFUNCTION("""COMPUTED_VALUE"""),9138.0)</f>
        <v>9138</v>
      </c>
      <c r="B1994" s="2">
        <f>IFERROR(__xludf.DUMMYFUNCTION("""COMPUTED_VALUE"""),0.0)</f>
        <v>0</v>
      </c>
      <c r="C1994" s="2">
        <f>IFERROR(__xludf.DUMMYFUNCTION("""COMPUTED_VALUE"""),366.0)</f>
        <v>366</v>
      </c>
      <c r="D1994" s="3">
        <f>IFERROR(__xludf.DUMMYFUNCTION("""COMPUTED_VALUE"""),296.0)</f>
        <v>296</v>
      </c>
      <c r="E1994" s="1" t="str">
        <f t="array" ref="E1994">_xlfn.XLOOKUP(A1994,Product!A:A,Product!B:B,"Bulunamadı")</f>
        <v>Arts</v>
      </c>
      <c r="F1994" s="1" t="str">
        <f t="array" ref="F1994">_xlfn.XLOOKUP(A1994,Product!A:A,Product!C:C,"Bulunamadı")</f>
        <v>Stress Management</v>
      </c>
      <c r="G1994" s="2" t="str">
        <f t="array" ref="G1994">_xlfn.XLOOKUP(A1995,Product!A:A,Product!D:D,"Bulunamadı")</f>
        <v>Riverstone Press</v>
      </c>
      <c r="H1994" s="2">
        <f t="array" ref="H1994">_xlfn.XLOOKUP(A1996,Product!A:A,Product!E:E,"Bulunamadı")</f>
        <v>1.23</v>
      </c>
      <c r="I1994" s="2" t="str">
        <f t="shared" si="1"/>
        <v>9138 - Arts - Stress Management</v>
      </c>
      <c r="J1994" s="2">
        <f t="shared" si="2"/>
        <v>364.08</v>
      </c>
      <c r="K1994" s="17">
        <f t="shared" si="3"/>
        <v>1</v>
      </c>
      <c r="L1994" s="18"/>
    </row>
    <row r="1995">
      <c r="A1995" s="2">
        <f>IFERROR(__xludf.DUMMYFUNCTION("""COMPUTED_VALUE"""),109483.0)</f>
        <v>109483</v>
      </c>
      <c r="B1995" s="2">
        <f>IFERROR(__xludf.DUMMYFUNCTION("""COMPUTED_VALUE"""),1.0)</f>
        <v>1</v>
      </c>
      <c r="C1995" s="2">
        <f>IFERROR(__xludf.DUMMYFUNCTION("""COMPUTED_VALUE"""),764.0)</f>
        <v>764</v>
      </c>
      <c r="D1995" s="3">
        <f>IFERROR(__xludf.DUMMYFUNCTION("""COMPUTED_VALUE"""),442.0)</f>
        <v>442</v>
      </c>
      <c r="E1995" s="1" t="str">
        <f t="array" ref="E1995">_xlfn.XLOOKUP(A1995,Product!A:A,Product!B:B,"Bulunamadı")</f>
        <v>Arts</v>
      </c>
      <c r="F1995" s="1" t="str">
        <f t="array" ref="F1995">_xlfn.XLOOKUP(A1995,Product!A:A,Product!C:C,"Bulunamadı")</f>
        <v>Stress Management</v>
      </c>
      <c r="G1995" s="2" t="str">
        <f t="array" ref="G1995">_xlfn.XLOOKUP(A1996,Product!A:A,Product!D:D,"Bulunamadı")</f>
        <v>Riverstone Press</v>
      </c>
      <c r="H1995" s="2">
        <f t="array" ref="H1995">_xlfn.XLOOKUP(A1997,Product!A:A,Product!E:E,"Bulunamadı")</f>
        <v>1.46</v>
      </c>
      <c r="I1995" s="2" t="str">
        <f t="shared" si="1"/>
        <v>109483 - Arts - Stress Management</v>
      </c>
      <c r="J1995" s="2">
        <f t="shared" si="2"/>
        <v>645.32</v>
      </c>
      <c r="K1995" s="17">
        <f t="shared" si="3"/>
        <v>1</v>
      </c>
      <c r="L1995" s="18"/>
    </row>
    <row r="1996">
      <c r="A1996" s="2">
        <f>IFERROR(__xludf.DUMMYFUNCTION("""COMPUTED_VALUE"""),120438.0)</f>
        <v>120438</v>
      </c>
      <c r="B1996" s="2">
        <f>IFERROR(__xludf.DUMMYFUNCTION("""COMPUTED_VALUE"""),1.0)</f>
        <v>1</v>
      </c>
      <c r="C1996" s="2">
        <f>IFERROR(__xludf.DUMMYFUNCTION("""COMPUTED_VALUE"""),340.0)</f>
        <v>340</v>
      </c>
      <c r="D1996" s="3">
        <f>IFERROR(__xludf.DUMMYFUNCTION("""COMPUTED_VALUE"""),112.0)</f>
        <v>112</v>
      </c>
      <c r="E1996" s="1" t="str">
        <f t="array" ref="E1996">_xlfn.XLOOKUP(A1996,Product!A:A,Product!B:B,"Bulunamadı")</f>
        <v>Arts</v>
      </c>
      <c r="F1996" s="1" t="str">
        <f t="array" ref="F1996">_xlfn.XLOOKUP(A1996,Product!A:A,Product!C:C,"Bulunamadı")</f>
        <v>Stress Management</v>
      </c>
      <c r="G1996" s="2" t="str">
        <f t="array" ref="G1996">_xlfn.XLOOKUP(A1997,Product!A:A,Product!D:D,"Bulunamadı")</f>
        <v>Riverstone Press</v>
      </c>
      <c r="H1996" s="2">
        <f t="array" ref="H1996">_xlfn.XLOOKUP(A1998,Product!A:A,Product!E:E,"Bulunamadı")</f>
        <v>1.93</v>
      </c>
      <c r="I1996" s="2" t="str">
        <f t="shared" si="1"/>
        <v>120438 - Arts - Stress Management</v>
      </c>
      <c r="J1996" s="2">
        <f t="shared" si="2"/>
        <v>216.16</v>
      </c>
      <c r="K1996" s="17">
        <f t="shared" si="3"/>
        <v>1</v>
      </c>
      <c r="L1996" s="18"/>
    </row>
    <row r="1997">
      <c r="A1997" s="2">
        <f>IFERROR(__xludf.DUMMYFUNCTION("""COMPUTED_VALUE"""),120439.0)</f>
        <v>120439</v>
      </c>
      <c r="B1997" s="2">
        <f>IFERROR(__xludf.DUMMYFUNCTION("""COMPUTED_VALUE"""),1.0)</f>
        <v>1</v>
      </c>
      <c r="C1997" s="2">
        <f>IFERROR(__xludf.DUMMYFUNCTION("""COMPUTED_VALUE"""),353.0)</f>
        <v>353</v>
      </c>
      <c r="D1997" s="3">
        <f>IFERROR(__xludf.DUMMYFUNCTION("""COMPUTED_VALUE"""),88.0)</f>
        <v>88</v>
      </c>
      <c r="E1997" s="1" t="str">
        <f t="array" ref="E1997">_xlfn.XLOOKUP(A1997,Product!A:A,Product!B:B,"Bulunamadı")</f>
        <v>Arts</v>
      </c>
      <c r="F1997" s="1" t="str">
        <f t="array" ref="F1997">_xlfn.XLOOKUP(A1997,Product!A:A,Product!C:C,"Bulunamadı")</f>
        <v>Stress Management</v>
      </c>
      <c r="G1997" s="2" t="str">
        <f t="array" ref="G1997">_xlfn.XLOOKUP(A1998,Product!A:A,Product!D:D,"Bulunamadı")</f>
        <v>Riverstone Press</v>
      </c>
      <c r="H1997" s="2">
        <f t="array" ref="H1997">_xlfn.XLOOKUP(A1999,Product!A:A,Product!E:E,"Bulunamadı")</f>
        <v>1.53</v>
      </c>
      <c r="I1997" s="2" t="str">
        <f t="shared" si="1"/>
        <v>120439 - Arts - Stress Management</v>
      </c>
      <c r="J1997" s="2">
        <f t="shared" si="2"/>
        <v>134.64</v>
      </c>
      <c r="K1997" s="17">
        <f t="shared" si="3"/>
        <v>1</v>
      </c>
      <c r="L1997" s="18"/>
    </row>
    <row r="1998">
      <c r="A1998" s="2">
        <f>IFERROR(__xludf.DUMMYFUNCTION("""COMPUTED_VALUE"""),23681.0)</f>
        <v>23681</v>
      </c>
      <c r="B1998" s="2">
        <f>IFERROR(__xludf.DUMMYFUNCTION("""COMPUTED_VALUE"""),1.0)</f>
        <v>1</v>
      </c>
      <c r="C1998" s="2">
        <f>IFERROR(__xludf.DUMMYFUNCTION("""COMPUTED_VALUE"""),748.0)</f>
        <v>748</v>
      </c>
      <c r="D1998" s="3">
        <f>IFERROR(__xludf.DUMMYFUNCTION("""COMPUTED_VALUE"""),469.0)</f>
        <v>469</v>
      </c>
      <c r="E1998" s="1" t="str">
        <f t="array" ref="E1998">_xlfn.XLOOKUP(A1998,Product!A:A,Product!B:B,"Bulunamadı")</f>
        <v>Arts</v>
      </c>
      <c r="F1998" s="1" t="str">
        <f t="array" ref="F1998">_xlfn.XLOOKUP(A1998,Product!A:A,Product!C:C,"Bulunamadı")</f>
        <v>Stress Management</v>
      </c>
      <c r="G1998" s="2" t="str">
        <f t="array" ref="G1998">_xlfn.XLOOKUP(A1999,Product!A:A,Product!D:D,"Bulunamadı")</f>
        <v>Riverstone Press</v>
      </c>
      <c r="H1998" s="2">
        <f t="array" ref="H1998">_xlfn.XLOOKUP(A2000,Product!A:A,Product!E:E,"Bulunamadı")</f>
        <v>1.66</v>
      </c>
      <c r="I1998" s="2" t="str">
        <f t="shared" si="1"/>
        <v>23681 - Arts - Stress Management</v>
      </c>
      <c r="J1998" s="2">
        <f t="shared" si="2"/>
        <v>778.54</v>
      </c>
      <c r="K1998" s="17">
        <f t="shared" si="3"/>
        <v>1</v>
      </c>
      <c r="L1998" s="18"/>
    </row>
    <row r="1999">
      <c r="A1999" s="2">
        <f>IFERROR(__xludf.DUMMYFUNCTION("""COMPUTED_VALUE"""),89564.0)</f>
        <v>89564</v>
      </c>
      <c r="B1999" s="2">
        <f>IFERROR(__xludf.DUMMYFUNCTION("""COMPUTED_VALUE"""),1.0)</f>
        <v>1</v>
      </c>
      <c r="C1999" s="2">
        <f>IFERROR(__xludf.DUMMYFUNCTION("""COMPUTED_VALUE"""),151.0)</f>
        <v>151</v>
      </c>
      <c r="D1999" s="3">
        <f>IFERROR(__xludf.DUMMYFUNCTION("""COMPUTED_VALUE"""),101.0)</f>
        <v>101</v>
      </c>
      <c r="E1999" s="1" t="str">
        <f t="array" ref="E1999">_xlfn.XLOOKUP(A1999,Product!A:A,Product!B:B,"Bulunamadı")</f>
        <v>Arts</v>
      </c>
      <c r="F1999" s="1" t="str">
        <f t="array" ref="F1999">_xlfn.XLOOKUP(A1999,Product!A:A,Product!C:C,"Bulunamadı")</f>
        <v>Stress Management</v>
      </c>
      <c r="G1999" s="2" t="str">
        <f t="array" ref="G1999">_xlfn.XLOOKUP(A2000,Product!A:A,Product!D:D,"Bulunamadı")</f>
        <v>Riverstone Press</v>
      </c>
      <c r="H1999" s="2">
        <f t="array" ref="H1999">_xlfn.XLOOKUP(A2001,Product!A:A,Product!E:E,"Bulunamadı")</f>
        <v>3.37</v>
      </c>
      <c r="I1999" s="2" t="str">
        <f t="shared" si="1"/>
        <v>89564 - Arts - Stress Management</v>
      </c>
      <c r="J1999" s="2">
        <f t="shared" si="2"/>
        <v>340.37</v>
      </c>
      <c r="K1999" s="17">
        <f t="shared" si="3"/>
        <v>1</v>
      </c>
      <c r="L1999" s="18"/>
    </row>
    <row r="2000">
      <c r="A2000" s="2">
        <f>IFERROR(__xludf.DUMMYFUNCTION("""COMPUTED_VALUE"""),111962.0)</f>
        <v>111962</v>
      </c>
      <c r="B2000" s="2">
        <f>IFERROR(__xludf.DUMMYFUNCTION("""COMPUTED_VALUE"""),0.0)</f>
        <v>0</v>
      </c>
      <c r="C2000" s="2">
        <f>IFERROR(__xludf.DUMMYFUNCTION("""COMPUTED_VALUE"""),644.0)</f>
        <v>644</v>
      </c>
      <c r="D2000" s="3">
        <f>IFERROR(__xludf.DUMMYFUNCTION("""COMPUTED_VALUE"""),619.0)</f>
        <v>619</v>
      </c>
      <c r="E2000" s="1" t="str">
        <f t="array" ref="E2000">_xlfn.XLOOKUP(A2000,Product!A:A,Product!B:B,"Bulunamadı")</f>
        <v>Arts</v>
      </c>
      <c r="F2000" s="1" t="str">
        <f t="array" ref="F2000">_xlfn.XLOOKUP(A2000,Product!A:A,Product!C:C,"Bulunamadı")</f>
        <v>Stress Management</v>
      </c>
      <c r="G2000" s="2" t="str">
        <f t="array" ref="G2000">_xlfn.XLOOKUP(A2001,Product!A:A,Product!D:D,"Bulunamadı")</f>
        <v>Riverstone Press</v>
      </c>
      <c r="H2000" s="2">
        <f t="array" ref="H2000">_xlfn.XLOOKUP(A2002,Product!A:A,Product!E:E,"Bulunamadı")</f>
        <v>1.51</v>
      </c>
      <c r="I2000" s="2" t="str">
        <f t="shared" si="1"/>
        <v>111962 - Arts - Stress Management</v>
      </c>
      <c r="J2000" s="2">
        <f t="shared" si="2"/>
        <v>934.69</v>
      </c>
      <c r="K2000" s="17">
        <f t="shared" si="3"/>
        <v>1</v>
      </c>
      <c r="L2000" s="18"/>
    </row>
    <row r="2001">
      <c r="A2001" s="2">
        <f>IFERROR(__xludf.DUMMYFUNCTION("""COMPUTED_VALUE"""),124771.0)</f>
        <v>124771</v>
      </c>
      <c r="B2001" s="2">
        <f>IFERROR(__xludf.DUMMYFUNCTION("""COMPUTED_VALUE"""),1.0)</f>
        <v>1</v>
      </c>
      <c r="C2001" s="2">
        <f>IFERROR(__xludf.DUMMYFUNCTION("""COMPUTED_VALUE"""),70.0)</f>
        <v>70</v>
      </c>
      <c r="D2001" s="3">
        <f>IFERROR(__xludf.DUMMYFUNCTION("""COMPUTED_VALUE"""),31.0)</f>
        <v>31</v>
      </c>
      <c r="E2001" s="1" t="str">
        <f t="array" ref="E2001">_xlfn.XLOOKUP(A2001,Product!A:A,Product!B:B,"Bulunamadı")</f>
        <v>Arts</v>
      </c>
      <c r="F2001" s="1" t="str">
        <f t="array" ref="F2001">_xlfn.XLOOKUP(A2001,Product!A:A,Product!C:C,"Bulunamadı")</f>
        <v>Stress Management</v>
      </c>
      <c r="G2001" s="2" t="str">
        <f t="array" ref="G2001">_xlfn.XLOOKUP(A2002,Product!A:A,Product!D:D,"Bulunamadı")</f>
        <v>Riverstone Press</v>
      </c>
      <c r="H2001" s="2">
        <f t="array" ref="H2001">_xlfn.XLOOKUP(A2003,Product!A:A,Product!E:E,"Bulunamadı")</f>
        <v>0.68</v>
      </c>
      <c r="I2001" s="2" t="str">
        <f t="shared" si="1"/>
        <v>124771 - Arts - Stress Management</v>
      </c>
      <c r="J2001" s="2">
        <f t="shared" si="2"/>
        <v>21.08</v>
      </c>
      <c r="K2001" s="17">
        <f t="shared" si="3"/>
        <v>1</v>
      </c>
      <c r="L2001" s="18"/>
    </row>
    <row r="2002">
      <c r="A2002" s="2">
        <f>IFERROR(__xludf.DUMMYFUNCTION("""COMPUTED_VALUE"""),120446.0)</f>
        <v>120446</v>
      </c>
      <c r="B2002" s="2">
        <f>IFERROR(__xludf.DUMMYFUNCTION("""COMPUTED_VALUE"""),1.0)</f>
        <v>1</v>
      </c>
      <c r="C2002" s="2">
        <f>IFERROR(__xludf.DUMMYFUNCTION("""COMPUTED_VALUE"""),811.0)</f>
        <v>811</v>
      </c>
      <c r="D2002" s="3">
        <f>IFERROR(__xludf.DUMMYFUNCTION("""COMPUTED_VALUE"""),398.0)</f>
        <v>398</v>
      </c>
      <c r="E2002" s="1" t="str">
        <f t="array" ref="E2002">_xlfn.XLOOKUP(A2002,Product!A:A,Product!B:B,"Bulunamadı")</f>
        <v>Arts</v>
      </c>
      <c r="F2002" s="1" t="str">
        <f t="array" ref="F2002">_xlfn.XLOOKUP(A2002,Product!A:A,Product!C:C,"Bulunamadı")</f>
        <v>Stress Management</v>
      </c>
      <c r="G2002" s="2" t="str">
        <f t="array" ref="G2002">_xlfn.XLOOKUP(A2003,Product!A:A,Product!D:D,"Bulunamadı")</f>
        <v>Riverstone Press</v>
      </c>
      <c r="H2002" s="2">
        <f t="array" ref="H2002">_xlfn.XLOOKUP(A2004,Product!A:A,Product!E:E,"Bulunamadı")</f>
        <v>1.53</v>
      </c>
      <c r="I2002" s="2" t="str">
        <f t="shared" si="1"/>
        <v>120446 - Arts - Stress Management</v>
      </c>
      <c r="J2002" s="2">
        <f t="shared" si="2"/>
        <v>608.94</v>
      </c>
      <c r="K2002" s="17">
        <f t="shared" si="3"/>
        <v>1</v>
      </c>
      <c r="L2002" s="18"/>
    </row>
    <row r="2003">
      <c r="A2003" s="2">
        <f>IFERROR(__xludf.DUMMYFUNCTION("""COMPUTED_VALUE"""),111973.0)</f>
        <v>111973</v>
      </c>
      <c r="B2003" s="2">
        <f>IFERROR(__xludf.DUMMYFUNCTION("""COMPUTED_VALUE"""),1.0)</f>
        <v>1</v>
      </c>
      <c r="C2003" s="2">
        <f>IFERROR(__xludf.DUMMYFUNCTION("""COMPUTED_VALUE"""),570.0)</f>
        <v>570</v>
      </c>
      <c r="D2003" s="3">
        <f>IFERROR(__xludf.DUMMYFUNCTION("""COMPUTED_VALUE"""),381.0)</f>
        <v>381</v>
      </c>
      <c r="E2003" s="1" t="str">
        <f t="array" ref="E2003">_xlfn.XLOOKUP(A2003,Product!A:A,Product!B:B,"Bulunamadı")</f>
        <v>Arts</v>
      </c>
      <c r="F2003" s="1" t="str">
        <f t="array" ref="F2003">_xlfn.XLOOKUP(A2003,Product!A:A,Product!C:C,"Bulunamadı")</f>
        <v>Stress Management</v>
      </c>
      <c r="G2003" s="2" t="str">
        <f t="array" ref="G2003">_xlfn.XLOOKUP(A2004,Product!A:A,Product!D:D,"Bulunamadı")</f>
        <v>Riverstone Press</v>
      </c>
      <c r="H2003" s="2">
        <f t="array" ref="H2003">_xlfn.XLOOKUP(A2005,Product!A:A,Product!E:E,"Bulunamadı")</f>
        <v>1.89</v>
      </c>
      <c r="I2003" s="2" t="str">
        <f t="shared" si="1"/>
        <v>111973 - Arts - Stress Management</v>
      </c>
      <c r="J2003" s="2">
        <f t="shared" si="2"/>
        <v>720.09</v>
      </c>
      <c r="K2003" s="17">
        <f t="shared" si="3"/>
        <v>1</v>
      </c>
      <c r="L2003" s="18"/>
    </row>
    <row r="2004">
      <c r="A2004" s="2">
        <f>IFERROR(__xludf.DUMMYFUNCTION("""COMPUTED_VALUE"""),120437.0)</f>
        <v>120437</v>
      </c>
      <c r="B2004" s="2">
        <f>IFERROR(__xludf.DUMMYFUNCTION("""COMPUTED_VALUE"""),0.0)</f>
        <v>0</v>
      </c>
      <c r="C2004" s="2">
        <f>IFERROR(__xludf.DUMMYFUNCTION("""COMPUTED_VALUE"""),121.0)</f>
        <v>121</v>
      </c>
      <c r="D2004" s="3">
        <f>IFERROR(__xludf.DUMMYFUNCTION("""COMPUTED_VALUE"""),43.0)</f>
        <v>43</v>
      </c>
      <c r="E2004" s="1" t="str">
        <f t="array" ref="E2004">_xlfn.XLOOKUP(A2004,Product!A:A,Product!B:B,"Bulunamadı")</f>
        <v>Arts</v>
      </c>
      <c r="F2004" s="1" t="str">
        <f t="array" ref="F2004">_xlfn.XLOOKUP(A2004,Product!A:A,Product!C:C,"Bulunamadı")</f>
        <v>Stress Management</v>
      </c>
      <c r="G2004" s="2" t="str">
        <f t="array" ref="G2004">_xlfn.XLOOKUP(A2005,Product!A:A,Product!D:D,"Bulunamadı")</f>
        <v>Riverstone Press</v>
      </c>
      <c r="H2004" s="2">
        <f t="array" ref="H2004">_xlfn.XLOOKUP(A2006,Product!A:A,Product!E:E,"Bulunamadı")</f>
        <v>0.97</v>
      </c>
      <c r="I2004" s="2" t="str">
        <f t="shared" si="1"/>
        <v>120437 - Arts - Stress Management</v>
      </c>
      <c r="J2004" s="2">
        <f t="shared" si="2"/>
        <v>41.71</v>
      </c>
      <c r="K2004" s="17">
        <f t="shared" si="3"/>
        <v>1</v>
      </c>
      <c r="L2004" s="18"/>
    </row>
    <row r="2005">
      <c r="A2005" s="2">
        <f>IFERROR(__xludf.DUMMYFUNCTION("""COMPUTED_VALUE"""),124769.0)</f>
        <v>124769</v>
      </c>
      <c r="B2005" s="2">
        <f>IFERROR(__xludf.DUMMYFUNCTION("""COMPUTED_VALUE"""),1.0)</f>
        <v>1</v>
      </c>
      <c r="C2005" s="2">
        <f>IFERROR(__xludf.DUMMYFUNCTION("""COMPUTED_VALUE"""),410.0)</f>
        <v>410</v>
      </c>
      <c r="D2005" s="3">
        <f>IFERROR(__xludf.DUMMYFUNCTION("""COMPUTED_VALUE"""),127.0)</f>
        <v>127</v>
      </c>
      <c r="E2005" s="1" t="str">
        <f t="array" ref="E2005">_xlfn.XLOOKUP(A2005,Product!A:A,Product!B:B,"Bulunamadı")</f>
        <v>Arts</v>
      </c>
      <c r="F2005" s="1" t="str">
        <f t="array" ref="F2005">_xlfn.XLOOKUP(A2005,Product!A:A,Product!C:C,"Bulunamadı")</f>
        <v>Stress Management</v>
      </c>
      <c r="G2005" s="2" t="str">
        <f t="array" ref="G2005">_xlfn.XLOOKUP(A2006,Product!A:A,Product!D:D,"Bulunamadı")</f>
        <v>Riverstone Press</v>
      </c>
      <c r="H2005" s="2">
        <f t="array" ref="H2005">_xlfn.XLOOKUP(A2007,Product!A:A,Product!E:E,"Bulunamadı")</f>
        <v>1.26</v>
      </c>
      <c r="I2005" s="2" t="str">
        <f t="shared" si="1"/>
        <v>124769 - Arts - Stress Management</v>
      </c>
      <c r="J2005" s="2">
        <f t="shared" si="2"/>
        <v>160.02</v>
      </c>
      <c r="K2005" s="17">
        <f t="shared" si="3"/>
        <v>1</v>
      </c>
      <c r="L2005" s="18"/>
    </row>
    <row r="2006">
      <c r="A2006" s="2">
        <f>IFERROR(__xludf.DUMMYFUNCTION("""COMPUTED_VALUE"""),111972.0)</f>
        <v>111972</v>
      </c>
      <c r="B2006" s="2">
        <f>IFERROR(__xludf.DUMMYFUNCTION("""COMPUTED_VALUE"""),0.0)</f>
        <v>0</v>
      </c>
      <c r="C2006" s="2">
        <f>IFERROR(__xludf.DUMMYFUNCTION("""COMPUTED_VALUE"""),132.0)</f>
        <v>132</v>
      </c>
      <c r="D2006" s="3">
        <f>IFERROR(__xludf.DUMMYFUNCTION("""COMPUTED_VALUE"""),105.0)</f>
        <v>105</v>
      </c>
      <c r="E2006" s="1" t="str">
        <f t="array" ref="E2006">_xlfn.XLOOKUP(A2006,Product!A:A,Product!B:B,"Bulunamadı")</f>
        <v>Arts</v>
      </c>
      <c r="F2006" s="1" t="str">
        <f t="array" ref="F2006">_xlfn.XLOOKUP(A2006,Product!A:A,Product!C:C,"Bulunamadı")</f>
        <v>Stress Management</v>
      </c>
      <c r="G2006" s="2" t="str">
        <f t="array" ref="G2006">_xlfn.XLOOKUP(A2007,Product!A:A,Product!D:D,"Bulunamadı")</f>
        <v>Ironstone Publishing</v>
      </c>
      <c r="H2006" s="2">
        <f t="array" ref="H2006">_xlfn.XLOOKUP(A2008,Product!A:A,Product!E:E,"Bulunamadı")</f>
        <v>2.78</v>
      </c>
      <c r="I2006" s="2" t="str">
        <f t="shared" si="1"/>
        <v>111972 - Arts - Stress Management</v>
      </c>
      <c r="J2006" s="2">
        <f t="shared" si="2"/>
        <v>291.9</v>
      </c>
      <c r="K2006" s="17">
        <f t="shared" si="3"/>
        <v>1</v>
      </c>
      <c r="L2006" s="18"/>
    </row>
    <row r="2007">
      <c r="A2007" s="2">
        <f>IFERROR(__xludf.DUMMYFUNCTION("""COMPUTED_VALUE"""),47390.0)</f>
        <v>47390</v>
      </c>
      <c r="B2007" s="2">
        <f>IFERROR(__xludf.DUMMYFUNCTION("""COMPUTED_VALUE"""),0.0)</f>
        <v>0</v>
      </c>
      <c r="C2007" s="2">
        <f>IFERROR(__xludf.DUMMYFUNCTION("""COMPUTED_VALUE"""),961.0)</f>
        <v>961</v>
      </c>
      <c r="D2007" s="3">
        <f>IFERROR(__xludf.DUMMYFUNCTION("""COMPUTED_VALUE"""),119.0)</f>
        <v>119</v>
      </c>
      <c r="E2007" s="1" t="str">
        <f t="array" ref="E2007">_xlfn.XLOOKUP(A2007,Product!A:A,Product!B:B,"Bulunamadı")</f>
        <v>Arts</v>
      </c>
      <c r="F2007" s="1" t="str">
        <f t="array" ref="F2007">_xlfn.XLOOKUP(A2007,Product!A:A,Product!C:C,"Bulunamadı")</f>
        <v>Stress Management</v>
      </c>
      <c r="G2007" s="2" t="str">
        <f t="array" ref="G2007">_xlfn.XLOOKUP(A2008,Product!A:A,Product!D:D,"Bulunamadı")</f>
        <v>Silverridge Books</v>
      </c>
      <c r="H2007" s="2">
        <f t="array" ref="H2007">_xlfn.XLOOKUP(A2009,Product!A:A,Product!E:E,"Bulunamadı")</f>
        <v>3.49</v>
      </c>
      <c r="I2007" s="2" t="str">
        <f t="shared" si="1"/>
        <v>47390 - Arts - Stress Management</v>
      </c>
      <c r="J2007" s="2">
        <f t="shared" si="2"/>
        <v>415.31</v>
      </c>
      <c r="K2007" s="17">
        <f t="shared" si="3"/>
        <v>1</v>
      </c>
      <c r="L2007" s="18"/>
    </row>
    <row r="2008">
      <c r="A2008" s="2">
        <f>IFERROR(__xludf.DUMMYFUNCTION("""COMPUTED_VALUE"""),27047.0)</f>
        <v>27047</v>
      </c>
      <c r="B2008" s="2">
        <f>IFERROR(__xludf.DUMMYFUNCTION("""COMPUTED_VALUE"""),0.0)</f>
        <v>0</v>
      </c>
      <c r="C2008" s="2">
        <f>IFERROR(__xludf.DUMMYFUNCTION("""COMPUTED_VALUE"""),347.0)</f>
        <v>347</v>
      </c>
      <c r="D2008" s="3">
        <f>IFERROR(__xludf.DUMMYFUNCTION("""COMPUTED_VALUE"""),66.0)</f>
        <v>66</v>
      </c>
      <c r="E2008" s="1" t="str">
        <f t="array" ref="E2008">_xlfn.XLOOKUP(A2008,Product!A:A,Product!B:B,"Bulunamadı")</f>
        <v>Arts</v>
      </c>
      <c r="F2008" s="1" t="str">
        <f t="array" ref="F2008">_xlfn.XLOOKUP(A2008,Product!A:A,Product!C:C,"Bulunamadı")</f>
        <v>Stress Management</v>
      </c>
      <c r="G2008" s="2" t="str">
        <f t="array" ref="G2008">_xlfn.XLOOKUP(A2009,Product!A:A,Product!D:D,"Bulunamadı")</f>
        <v>Silverridge Books</v>
      </c>
      <c r="H2008" s="2">
        <f t="array" ref="H2008">_xlfn.XLOOKUP(A2010,Product!A:A,Product!E:E,"Bulunamadı")</f>
        <v>1.91</v>
      </c>
      <c r="I2008" s="2" t="str">
        <f t="shared" si="1"/>
        <v>27047 - Arts - Stress Management</v>
      </c>
      <c r="J2008" s="2">
        <f t="shared" si="2"/>
        <v>126.06</v>
      </c>
      <c r="K2008" s="17">
        <f t="shared" si="3"/>
        <v>1</v>
      </c>
      <c r="L2008" s="18"/>
    </row>
    <row r="2009">
      <c r="A2009" s="2">
        <f>IFERROR(__xludf.DUMMYFUNCTION("""COMPUTED_VALUE"""),68713.0)</f>
        <v>68713</v>
      </c>
      <c r="B2009" s="2">
        <f>IFERROR(__xludf.DUMMYFUNCTION("""COMPUTED_VALUE"""),1.0)</f>
        <v>1</v>
      </c>
      <c r="C2009" s="2">
        <f>IFERROR(__xludf.DUMMYFUNCTION("""COMPUTED_VALUE"""),581.0)</f>
        <v>581</v>
      </c>
      <c r="D2009" s="3">
        <f>IFERROR(__xludf.DUMMYFUNCTION("""COMPUTED_VALUE"""),534.0)</f>
        <v>534</v>
      </c>
      <c r="E2009" s="1" t="str">
        <f t="array" ref="E2009">_xlfn.XLOOKUP(A2009,Product!A:A,Product!B:B,"Bulunamadı")</f>
        <v>Arts</v>
      </c>
      <c r="F2009" s="1" t="str">
        <f t="array" ref="F2009">_xlfn.XLOOKUP(A2009,Product!A:A,Product!C:C,"Bulunamadı")</f>
        <v>Stress Management</v>
      </c>
      <c r="G2009" s="2" t="str">
        <f t="array" ref="G2009">_xlfn.XLOOKUP(A2010,Product!A:A,Product!D:D,"Bulunamadı")</f>
        <v>Northridge Press</v>
      </c>
      <c r="H2009" s="2">
        <f t="array" ref="H2009">_xlfn.XLOOKUP(A2011,Product!A:A,Product!E:E,"Bulunamadı")</f>
        <v>1.76</v>
      </c>
      <c r="I2009" s="2" t="str">
        <f t="shared" si="1"/>
        <v>68713 - Arts - Stress Management</v>
      </c>
      <c r="J2009" s="2">
        <f t="shared" si="2"/>
        <v>939.84</v>
      </c>
      <c r="K2009" s="17">
        <f t="shared" si="3"/>
        <v>1</v>
      </c>
      <c r="L2009" s="18"/>
    </row>
    <row r="2010">
      <c r="A2010" s="2">
        <f>IFERROR(__xludf.DUMMYFUNCTION("""COMPUTED_VALUE"""),120568.0)</f>
        <v>120568</v>
      </c>
      <c r="B2010" s="2">
        <f>IFERROR(__xludf.DUMMYFUNCTION("""COMPUTED_VALUE"""),1.0)</f>
        <v>1</v>
      </c>
      <c r="C2010" s="2">
        <f>IFERROR(__xludf.DUMMYFUNCTION("""COMPUTED_VALUE"""),948.0)</f>
        <v>948</v>
      </c>
      <c r="D2010" s="3">
        <f>IFERROR(__xludf.DUMMYFUNCTION("""COMPUTED_VALUE"""),38.0)</f>
        <v>38</v>
      </c>
      <c r="E2010" s="1" t="str">
        <f t="array" ref="E2010">_xlfn.XLOOKUP(A2010,Product!A:A,Product!B:B,"Bulunamadı")</f>
        <v>Arts</v>
      </c>
      <c r="F2010" s="1" t="str">
        <f t="array" ref="F2010">_xlfn.XLOOKUP(A2010,Product!A:A,Product!C:C,"Bulunamadı")</f>
        <v>Stress Management</v>
      </c>
      <c r="G2010" s="2" t="str">
        <f t="array" ref="G2010">_xlfn.XLOOKUP(A2011,Product!A:A,Product!D:D,"Bulunamadı")</f>
        <v>Northridge Press</v>
      </c>
      <c r="H2010" s="2">
        <f t="array" ref="H2010">_xlfn.XLOOKUP(A2012,Product!A:A,Product!E:E,"Bulunamadı")</f>
        <v>1.47</v>
      </c>
      <c r="I2010" s="2" t="str">
        <f t="shared" si="1"/>
        <v>120568 - Arts - Stress Management</v>
      </c>
      <c r="J2010" s="2">
        <f t="shared" si="2"/>
        <v>55.86</v>
      </c>
      <c r="K2010" s="17">
        <f t="shared" si="3"/>
        <v>1</v>
      </c>
      <c r="L2010" s="18"/>
    </row>
    <row r="2011">
      <c r="A2011" s="2">
        <f>IFERROR(__xludf.DUMMYFUNCTION("""COMPUTED_VALUE"""),120567.0)</f>
        <v>120567</v>
      </c>
      <c r="B2011" s="2">
        <f>IFERROR(__xludf.DUMMYFUNCTION("""COMPUTED_VALUE"""),1.0)</f>
        <v>1</v>
      </c>
      <c r="C2011" s="2">
        <f>IFERROR(__xludf.DUMMYFUNCTION("""COMPUTED_VALUE"""),682.0)</f>
        <v>682</v>
      </c>
      <c r="D2011" s="3">
        <f>IFERROR(__xludf.DUMMYFUNCTION("""COMPUTED_VALUE"""),46.0)</f>
        <v>46</v>
      </c>
      <c r="E2011" s="1" t="str">
        <f t="array" ref="E2011">_xlfn.XLOOKUP(A2011,Product!A:A,Product!B:B,"Bulunamadı")</f>
        <v>Arts</v>
      </c>
      <c r="F2011" s="1" t="str">
        <f t="array" ref="F2011">_xlfn.XLOOKUP(A2011,Product!A:A,Product!C:C,"Bulunamadı")</f>
        <v>Stress Management</v>
      </c>
      <c r="G2011" s="2" t="str">
        <f t="array" ref="G2011">_xlfn.XLOOKUP(A2012,Product!A:A,Product!D:D,"Bulunamadı")</f>
        <v>Northridge Press</v>
      </c>
      <c r="H2011" s="2">
        <f t="array" ref="H2011">_xlfn.XLOOKUP(A2013,Product!A:A,Product!E:E,"Bulunamadı")</f>
        <v>2.17</v>
      </c>
      <c r="I2011" s="2" t="str">
        <f t="shared" si="1"/>
        <v>120567 - Arts - Stress Management</v>
      </c>
      <c r="J2011" s="2">
        <f t="shared" si="2"/>
        <v>99.82</v>
      </c>
      <c r="K2011" s="17">
        <f t="shared" si="3"/>
        <v>1</v>
      </c>
      <c r="L2011" s="18"/>
    </row>
    <row r="2012">
      <c r="A2012" s="2">
        <f>IFERROR(__xludf.DUMMYFUNCTION("""COMPUTED_VALUE"""),77038.0)</f>
        <v>77038</v>
      </c>
      <c r="B2012" s="2">
        <f>IFERROR(__xludf.DUMMYFUNCTION("""COMPUTED_VALUE"""),1.0)</f>
        <v>1</v>
      </c>
      <c r="C2012" s="2">
        <f>IFERROR(__xludf.DUMMYFUNCTION("""COMPUTED_VALUE"""),579.0)</f>
        <v>579</v>
      </c>
      <c r="D2012" s="3">
        <f>IFERROR(__xludf.DUMMYFUNCTION("""COMPUTED_VALUE"""),468.0)</f>
        <v>468</v>
      </c>
      <c r="E2012" s="1" t="str">
        <f t="array" ref="E2012">_xlfn.XLOOKUP(A2012,Product!A:A,Product!B:B,"Bulunamadı")</f>
        <v>Arts</v>
      </c>
      <c r="F2012" s="1" t="str">
        <f t="array" ref="F2012">_xlfn.XLOOKUP(A2012,Product!A:A,Product!C:C,"Bulunamadı")</f>
        <v>Stress Management</v>
      </c>
      <c r="G2012" s="2" t="str">
        <f t="array" ref="G2012">_xlfn.XLOOKUP(A2013,Product!A:A,Product!D:D,"Bulunamadı")</f>
        <v>Harborridge Publishing</v>
      </c>
      <c r="H2012" s="2">
        <f t="array" ref="H2012">_xlfn.XLOOKUP(A2014,Product!A:A,Product!E:E,"Bulunamadı")</f>
        <v>1.6</v>
      </c>
      <c r="I2012" s="2" t="str">
        <f t="shared" si="1"/>
        <v>77038 - Arts - Stress Management</v>
      </c>
      <c r="J2012" s="2">
        <f t="shared" si="2"/>
        <v>748.8</v>
      </c>
      <c r="K2012" s="17">
        <f t="shared" si="3"/>
        <v>1</v>
      </c>
      <c r="L2012" s="18"/>
    </row>
    <row r="2013" hidden="1">
      <c r="A2013" s="2">
        <f>IFERROR(__xludf.DUMMYFUNCTION("""COMPUTED_VALUE"""),87760.0)</f>
        <v>87760</v>
      </c>
      <c r="B2013" s="2">
        <f>IFERROR(__xludf.DUMMYFUNCTION("""COMPUTED_VALUE"""),1.0)</f>
        <v>1</v>
      </c>
      <c r="C2013" s="2">
        <f>IFERROR(__xludf.DUMMYFUNCTION("""COMPUTED_VALUE"""),892.0)</f>
        <v>892</v>
      </c>
      <c r="D2013" s="3">
        <f>IFERROR(__xludf.DUMMYFUNCTION("""COMPUTED_VALUE"""),338.0)</f>
        <v>338</v>
      </c>
      <c r="E2013" s="1" t="str">
        <f t="array" ref="E2013">_xlfn.XLOOKUP(A2013,Product!A:A,Product!B:B,"Bulunamadı")</f>
        <v>Tech</v>
      </c>
      <c r="F2013" s="1" t="str">
        <f t="array" ref="F2013">_xlfn.XLOOKUP(A2013,Product!A:A,Product!C:C,"Bulunamadı")</f>
        <v>Communication Skills</v>
      </c>
      <c r="G2013" s="2" t="str">
        <f t="array" ref="G2013">_xlfn.XLOOKUP(A2014,Product!A:A,Product!D:D,"Bulunamadı")</f>
        <v>Harborridge Publishing</v>
      </c>
      <c r="H2013" s="2">
        <f t="array" ref="H2013">_xlfn.XLOOKUP(A2015,Product!A:A,Product!E:E,"Bulunamadı")</f>
        <v>3.35</v>
      </c>
      <c r="I2013" s="2" t="str">
        <f t="shared" si="1"/>
        <v>87760 - Tech - Communication Skills</v>
      </c>
      <c r="J2013" s="2">
        <f t="shared" si="2"/>
        <v>1132.3</v>
      </c>
      <c r="K2013" s="17">
        <f t="shared" si="3"/>
        <v>1</v>
      </c>
      <c r="L2013" s="18"/>
    </row>
    <row r="2014" hidden="1">
      <c r="A2014" s="2">
        <f>IFERROR(__xludf.DUMMYFUNCTION("""COMPUTED_VALUE"""),122612.0)</f>
        <v>122612</v>
      </c>
      <c r="B2014" s="2">
        <f>IFERROR(__xludf.DUMMYFUNCTION("""COMPUTED_VALUE"""),0.0)</f>
        <v>0</v>
      </c>
      <c r="C2014" s="2">
        <f>IFERROR(__xludf.DUMMYFUNCTION("""COMPUTED_VALUE"""),482.0)</f>
        <v>482</v>
      </c>
      <c r="D2014" s="3">
        <f>IFERROR(__xludf.DUMMYFUNCTION("""COMPUTED_VALUE"""),235.0)</f>
        <v>235</v>
      </c>
      <c r="E2014" s="1" t="str">
        <f t="array" ref="E2014">_xlfn.XLOOKUP(A2014,Product!A:A,Product!B:B,"Bulunamadı")</f>
        <v>Tech</v>
      </c>
      <c r="F2014" s="1" t="str">
        <f t="array" ref="F2014">_xlfn.XLOOKUP(A2014,Product!A:A,Product!C:C,"Bulunamadı")</f>
        <v>Communication Skills</v>
      </c>
      <c r="G2014" s="2" t="str">
        <f t="array" ref="G2014">_xlfn.XLOOKUP(A2015,Product!A:A,Product!D:D,"Bulunamadı")</f>
        <v>Harborridge Publishing</v>
      </c>
      <c r="H2014" s="2">
        <f t="array" ref="H2014">_xlfn.XLOOKUP(A2016,Product!A:A,Product!E:E,"Bulunamadı")</f>
        <v>2.18</v>
      </c>
      <c r="I2014" s="2" t="str">
        <f t="shared" si="1"/>
        <v>122612 - Tech - Communication Skills</v>
      </c>
      <c r="J2014" s="2">
        <f t="shared" si="2"/>
        <v>512.3</v>
      </c>
      <c r="K2014" s="17">
        <f t="shared" si="3"/>
        <v>1</v>
      </c>
      <c r="L2014" s="18"/>
    </row>
    <row r="2015" hidden="1">
      <c r="A2015" s="2">
        <f>IFERROR(__xludf.DUMMYFUNCTION("""COMPUTED_VALUE"""),110655.0)</f>
        <v>110655</v>
      </c>
      <c r="B2015" s="2">
        <f>IFERROR(__xludf.DUMMYFUNCTION("""COMPUTED_VALUE"""),1.0)</f>
        <v>1</v>
      </c>
      <c r="C2015" s="2">
        <f>IFERROR(__xludf.DUMMYFUNCTION("""COMPUTED_VALUE"""),191.0)</f>
        <v>191</v>
      </c>
      <c r="D2015" s="3">
        <f>IFERROR(__xludf.DUMMYFUNCTION("""COMPUTED_VALUE"""),183.0)</f>
        <v>183</v>
      </c>
      <c r="E2015" s="1" t="str">
        <f t="array" ref="E2015">_xlfn.XLOOKUP(A2015,Product!A:A,Product!B:B,"Bulunamadı")</f>
        <v>Tech</v>
      </c>
      <c r="F2015" s="1" t="str">
        <f t="array" ref="F2015">_xlfn.XLOOKUP(A2015,Product!A:A,Product!C:C,"Bulunamadı")</f>
        <v>Communication Skills</v>
      </c>
      <c r="G2015" s="2" t="str">
        <f t="array" ref="G2015">_xlfn.XLOOKUP(A2016,Product!A:A,Product!D:D,"Bulunamadı")</f>
        <v>Harborridge Publishing</v>
      </c>
      <c r="H2015" s="2">
        <f t="array" ref="H2015">_xlfn.XLOOKUP(A2017,Product!A:A,Product!E:E,"Bulunamadı")</f>
        <v>2.78</v>
      </c>
      <c r="I2015" s="2" t="str">
        <f t="shared" si="1"/>
        <v>110655 - Tech - Communication Skills</v>
      </c>
      <c r="J2015" s="2">
        <f t="shared" si="2"/>
        <v>508.74</v>
      </c>
      <c r="K2015" s="17">
        <f t="shared" si="3"/>
        <v>1</v>
      </c>
      <c r="L2015" s="18"/>
    </row>
    <row r="2016" hidden="1">
      <c r="A2016" s="2">
        <f>IFERROR(__xludf.DUMMYFUNCTION("""COMPUTED_VALUE"""),87785.0)</f>
        <v>87785</v>
      </c>
      <c r="B2016" s="2">
        <f>IFERROR(__xludf.DUMMYFUNCTION("""COMPUTED_VALUE"""),0.0)</f>
        <v>0</v>
      </c>
      <c r="C2016" s="2">
        <f>IFERROR(__xludf.DUMMYFUNCTION("""COMPUTED_VALUE"""),314.0)</f>
        <v>314</v>
      </c>
      <c r="D2016" s="3">
        <f>IFERROR(__xludf.DUMMYFUNCTION("""COMPUTED_VALUE"""),256.0)</f>
        <v>256</v>
      </c>
      <c r="E2016" s="1" t="str">
        <f t="array" ref="E2016">_xlfn.XLOOKUP(A2016,Product!A:A,Product!B:B,"Bulunamadı")</f>
        <v>Tech</v>
      </c>
      <c r="F2016" s="1" t="str">
        <f t="array" ref="F2016">_xlfn.XLOOKUP(A2016,Product!A:A,Product!C:C,"Bulunamadı")</f>
        <v>Communication Skills</v>
      </c>
      <c r="G2016" s="2" t="str">
        <f t="array" ref="G2016">_xlfn.XLOOKUP(A2017,Product!A:A,Product!D:D,"Bulunamadı")</f>
        <v>Harborridge Publishing</v>
      </c>
      <c r="H2016" s="2">
        <f t="array" ref="H2016">_xlfn.XLOOKUP(A2018,Product!A:A,Product!E:E,"Bulunamadı")</f>
        <v>1.43</v>
      </c>
      <c r="I2016" s="2" t="str">
        <f t="shared" si="1"/>
        <v>87785 - Tech - Communication Skills</v>
      </c>
      <c r="J2016" s="2">
        <f t="shared" si="2"/>
        <v>366.08</v>
      </c>
      <c r="K2016" s="17">
        <f t="shared" si="3"/>
        <v>1</v>
      </c>
      <c r="L2016" s="18"/>
    </row>
    <row r="2017" hidden="1">
      <c r="A2017" s="2">
        <f>IFERROR(__xludf.DUMMYFUNCTION("""COMPUTED_VALUE"""),122629.0)</f>
        <v>122629</v>
      </c>
      <c r="B2017" s="2">
        <f>IFERROR(__xludf.DUMMYFUNCTION("""COMPUTED_VALUE"""),1.0)</f>
        <v>1</v>
      </c>
      <c r="C2017" s="2">
        <f>IFERROR(__xludf.DUMMYFUNCTION("""COMPUTED_VALUE"""),150.0)</f>
        <v>150</v>
      </c>
      <c r="D2017" s="3">
        <f>IFERROR(__xludf.DUMMYFUNCTION("""COMPUTED_VALUE"""),147.0)</f>
        <v>147</v>
      </c>
      <c r="E2017" s="1" t="str">
        <f t="array" ref="E2017">_xlfn.XLOOKUP(A2017,Product!A:A,Product!B:B,"Bulunamadı")</f>
        <v>Tech</v>
      </c>
      <c r="F2017" s="1" t="str">
        <f t="array" ref="F2017">_xlfn.XLOOKUP(A2017,Product!A:A,Product!C:C,"Bulunamadı")</f>
        <v>Communication Skills</v>
      </c>
      <c r="G2017" s="2" t="str">
        <f t="array" ref="G2017">_xlfn.XLOOKUP(A2018,Product!A:A,Product!D:D,"Bulunamadı")</f>
        <v>Harborridge Publishing</v>
      </c>
      <c r="H2017" s="2">
        <f t="array" ref="H2017">_xlfn.XLOOKUP(A2019,Product!A:A,Product!E:E,"Bulunamadı")</f>
        <v>2.64</v>
      </c>
      <c r="I2017" s="2" t="str">
        <f t="shared" si="1"/>
        <v>122629 - Tech - Communication Skills</v>
      </c>
      <c r="J2017" s="2">
        <f t="shared" si="2"/>
        <v>388.08</v>
      </c>
      <c r="K2017" s="17">
        <f t="shared" si="3"/>
        <v>1</v>
      </c>
      <c r="L2017" s="18"/>
    </row>
    <row r="2018" hidden="1">
      <c r="A2018" s="2">
        <f>IFERROR(__xludf.DUMMYFUNCTION("""COMPUTED_VALUE"""),122614.0)</f>
        <v>122614</v>
      </c>
      <c r="B2018" s="2">
        <f>IFERROR(__xludf.DUMMYFUNCTION("""COMPUTED_VALUE"""),1.0)</f>
        <v>1</v>
      </c>
      <c r="C2018" s="2">
        <f>IFERROR(__xludf.DUMMYFUNCTION("""COMPUTED_VALUE"""),904.0)</f>
        <v>904</v>
      </c>
      <c r="D2018" s="3">
        <f>IFERROR(__xludf.DUMMYFUNCTION("""COMPUTED_VALUE"""),671.0)</f>
        <v>671</v>
      </c>
      <c r="E2018" s="1" t="str">
        <f t="array" ref="E2018">_xlfn.XLOOKUP(A2018,Product!A:A,Product!B:B,"Bulunamadı")</f>
        <v>Tech</v>
      </c>
      <c r="F2018" s="1" t="str">
        <f t="array" ref="F2018">_xlfn.XLOOKUP(A2018,Product!A:A,Product!C:C,"Bulunamadı")</f>
        <v>Communication Skills</v>
      </c>
      <c r="G2018" s="2" t="str">
        <f t="array" ref="G2018">_xlfn.XLOOKUP(A2019,Product!A:A,Product!D:D,"Bulunamadı")</f>
        <v>Harborridge Publishing</v>
      </c>
      <c r="H2018" s="2">
        <f t="array" ref="H2018">_xlfn.XLOOKUP(A2020,Product!A:A,Product!E:E,"Bulunamadı")</f>
        <v>3.61</v>
      </c>
      <c r="I2018" s="2" t="str">
        <f t="shared" si="1"/>
        <v>122614 - Tech - Communication Skills</v>
      </c>
      <c r="J2018" s="2">
        <f t="shared" si="2"/>
        <v>2422.31</v>
      </c>
      <c r="K2018" s="17">
        <f t="shared" si="3"/>
        <v>1</v>
      </c>
      <c r="L2018" s="18"/>
    </row>
    <row r="2019" hidden="1">
      <c r="A2019" s="2">
        <f>IFERROR(__xludf.DUMMYFUNCTION("""COMPUTED_VALUE"""),122788.0)</f>
        <v>122788</v>
      </c>
      <c r="B2019" s="2">
        <f>IFERROR(__xludf.DUMMYFUNCTION("""COMPUTED_VALUE"""),1.0)</f>
        <v>1</v>
      </c>
      <c r="C2019" s="2">
        <f>IFERROR(__xludf.DUMMYFUNCTION("""COMPUTED_VALUE"""),158.0)</f>
        <v>158</v>
      </c>
      <c r="D2019" s="3">
        <f>IFERROR(__xludf.DUMMYFUNCTION("""COMPUTED_VALUE"""),148.0)</f>
        <v>148</v>
      </c>
      <c r="E2019" s="1" t="str">
        <f t="array" ref="E2019">_xlfn.XLOOKUP(A2019,Product!A:A,Product!B:B,"Bulunamadı")</f>
        <v>Tech</v>
      </c>
      <c r="F2019" s="1" t="str">
        <f t="array" ref="F2019">_xlfn.XLOOKUP(A2019,Product!A:A,Product!C:C,"Bulunamadı")</f>
        <v>Communication Skills</v>
      </c>
      <c r="G2019" s="2" t="str">
        <f t="array" ref="G2019">_xlfn.XLOOKUP(A2020,Product!A:A,Product!D:D,"Bulunamadı")</f>
        <v>Harborridge Publishing</v>
      </c>
      <c r="H2019" s="2">
        <f t="array" ref="H2019">_xlfn.XLOOKUP(A2021,Product!A:A,Product!E:E,"Bulunamadı")</f>
        <v>3.35</v>
      </c>
      <c r="I2019" s="2" t="str">
        <f t="shared" si="1"/>
        <v>122788 - Tech - Communication Skills</v>
      </c>
      <c r="J2019" s="2">
        <f t="shared" si="2"/>
        <v>495.8</v>
      </c>
      <c r="K2019" s="17">
        <f t="shared" si="3"/>
        <v>1</v>
      </c>
      <c r="L2019" s="18"/>
    </row>
    <row r="2020" hidden="1">
      <c r="A2020" s="2">
        <f>IFERROR(__xludf.DUMMYFUNCTION("""COMPUTED_VALUE"""),20226.0)</f>
        <v>20226</v>
      </c>
      <c r="B2020" s="2">
        <f>IFERROR(__xludf.DUMMYFUNCTION("""COMPUTED_VALUE"""),1.0)</f>
        <v>1</v>
      </c>
      <c r="C2020" s="2">
        <f>IFERROR(__xludf.DUMMYFUNCTION("""COMPUTED_VALUE"""),167.0)</f>
        <v>167</v>
      </c>
      <c r="D2020" s="3">
        <f>IFERROR(__xludf.DUMMYFUNCTION("""COMPUTED_VALUE"""),29.0)</f>
        <v>29</v>
      </c>
      <c r="E2020" s="1" t="str">
        <f t="array" ref="E2020">_xlfn.XLOOKUP(A2020,Product!A:A,Product!B:B,"Bulunamadı")</f>
        <v>Tech</v>
      </c>
      <c r="F2020" s="1" t="str">
        <f t="array" ref="F2020">_xlfn.XLOOKUP(A2020,Product!A:A,Product!C:C,"Bulunamadı")</f>
        <v>Communication Skills</v>
      </c>
      <c r="G2020" s="2" t="str">
        <f t="array" ref="G2020">_xlfn.XLOOKUP(A2021,Product!A:A,Product!D:D,"Bulunamadı")</f>
        <v>Harborridge Publishing</v>
      </c>
      <c r="H2020" s="2">
        <f t="array" ref="H2020">_xlfn.XLOOKUP(A2022,Product!A:A,Product!E:E,"Bulunamadı")</f>
        <v>2.05</v>
      </c>
      <c r="I2020" s="2" t="str">
        <f t="shared" si="1"/>
        <v>20226 - Tech - Communication Skills</v>
      </c>
      <c r="J2020" s="2">
        <f t="shared" si="2"/>
        <v>59.45</v>
      </c>
      <c r="K2020" s="17">
        <f t="shared" si="3"/>
        <v>1</v>
      </c>
      <c r="L2020" s="18"/>
    </row>
    <row r="2021" hidden="1">
      <c r="A2021" s="2">
        <f>IFERROR(__xludf.DUMMYFUNCTION("""COMPUTED_VALUE"""),120894.0)</f>
        <v>120894</v>
      </c>
      <c r="B2021" s="2">
        <f>IFERROR(__xludf.DUMMYFUNCTION("""COMPUTED_VALUE"""),1.0)</f>
        <v>1</v>
      </c>
      <c r="C2021" s="2">
        <f>IFERROR(__xludf.DUMMYFUNCTION("""COMPUTED_VALUE"""),59.0)</f>
        <v>59</v>
      </c>
      <c r="D2021" s="3">
        <f>IFERROR(__xludf.DUMMYFUNCTION("""COMPUTED_VALUE"""),10.0)</f>
        <v>10</v>
      </c>
      <c r="E2021" s="1" t="str">
        <f t="array" ref="E2021">_xlfn.XLOOKUP(A2021,Product!A:A,Product!B:B,"Bulunamadı")</f>
        <v>Tech</v>
      </c>
      <c r="F2021" s="1" t="str">
        <f t="array" ref="F2021">_xlfn.XLOOKUP(A2021,Product!A:A,Product!C:C,"Bulunamadı")</f>
        <v>Communication Skills</v>
      </c>
      <c r="G2021" s="2" t="str">
        <f t="array" ref="G2021">_xlfn.XLOOKUP(A2022,Product!A:A,Product!D:D,"Bulunamadı")</f>
        <v>Harborridge Publishing</v>
      </c>
      <c r="H2021" s="2">
        <f t="array" ref="H2021">_xlfn.XLOOKUP(A2023,Product!A:A,Product!E:E,"Bulunamadı")</f>
        <v>2.91</v>
      </c>
      <c r="I2021" s="2" t="str">
        <f t="shared" si="1"/>
        <v>120894 - Tech - Communication Skills</v>
      </c>
      <c r="J2021" s="2">
        <f t="shared" si="2"/>
        <v>29.1</v>
      </c>
      <c r="K2021" s="17">
        <f t="shared" si="3"/>
        <v>1</v>
      </c>
      <c r="L2021" s="18"/>
    </row>
    <row r="2022" hidden="1">
      <c r="A2022" s="2">
        <f>IFERROR(__xludf.DUMMYFUNCTION("""COMPUTED_VALUE"""),46762.0)</f>
        <v>46762</v>
      </c>
      <c r="B2022" s="2">
        <f>IFERROR(__xludf.DUMMYFUNCTION("""COMPUTED_VALUE"""),0.0)</f>
        <v>0</v>
      </c>
      <c r="C2022" s="2">
        <f>IFERROR(__xludf.DUMMYFUNCTION("""COMPUTED_VALUE"""),653.0)</f>
        <v>653</v>
      </c>
      <c r="D2022" s="3">
        <f>IFERROR(__xludf.DUMMYFUNCTION("""COMPUTED_VALUE"""),38.0)</f>
        <v>38</v>
      </c>
      <c r="E2022" s="1" t="str">
        <f t="array" ref="E2022">_xlfn.XLOOKUP(A2022,Product!A:A,Product!B:B,"Bulunamadı")</f>
        <v>Tech</v>
      </c>
      <c r="F2022" s="1" t="str">
        <f t="array" ref="F2022">_xlfn.XLOOKUP(A2022,Product!A:A,Product!C:C,"Bulunamadı")</f>
        <v>Communication Skills</v>
      </c>
      <c r="G2022" s="2" t="str">
        <f t="array" ref="G2022">_xlfn.XLOOKUP(A2023,Product!A:A,Product!D:D,"Bulunamadı")</f>
        <v>Harborridge Publishing</v>
      </c>
      <c r="H2022" s="2">
        <f t="array" ref="H2022">_xlfn.XLOOKUP(A2024,Product!A:A,Product!E:E,"Bulunamadı")</f>
        <v>2.21</v>
      </c>
      <c r="I2022" s="2" t="str">
        <f t="shared" si="1"/>
        <v>46762 - Tech - Communication Skills</v>
      </c>
      <c r="J2022" s="2">
        <f t="shared" si="2"/>
        <v>83.98</v>
      </c>
      <c r="K2022" s="17">
        <f t="shared" si="3"/>
        <v>1</v>
      </c>
      <c r="L2022" s="18"/>
    </row>
    <row r="2023" hidden="1">
      <c r="A2023" s="2">
        <f>IFERROR(__xludf.DUMMYFUNCTION("""COMPUTED_VALUE"""),118212.0)</f>
        <v>118212</v>
      </c>
      <c r="B2023" s="2">
        <f>IFERROR(__xludf.DUMMYFUNCTION("""COMPUTED_VALUE"""),0.0)</f>
        <v>0</v>
      </c>
      <c r="C2023" s="2">
        <f>IFERROR(__xludf.DUMMYFUNCTION("""COMPUTED_VALUE"""),704.0)</f>
        <v>704</v>
      </c>
      <c r="D2023" s="3">
        <f>IFERROR(__xludf.DUMMYFUNCTION("""COMPUTED_VALUE"""),310.0)</f>
        <v>310</v>
      </c>
      <c r="E2023" s="1" t="str">
        <f t="array" ref="E2023">_xlfn.XLOOKUP(A2023,Product!A:A,Product!B:B,"Bulunamadı")</f>
        <v>Tech</v>
      </c>
      <c r="F2023" s="1" t="str">
        <f t="array" ref="F2023">_xlfn.XLOOKUP(A2023,Product!A:A,Product!C:C,"Bulunamadı")</f>
        <v>Communication Skills</v>
      </c>
      <c r="G2023" s="2" t="str">
        <f t="array" ref="G2023">_xlfn.XLOOKUP(A2024,Product!A:A,Product!D:D,"Bulunamadı")</f>
        <v>Harborridge Publishing</v>
      </c>
      <c r="H2023" s="2">
        <f t="array" ref="H2023">_xlfn.XLOOKUP(A2025,Product!A:A,Product!E:E,"Bulunamadı")</f>
        <v>1.85</v>
      </c>
      <c r="I2023" s="2" t="str">
        <f t="shared" si="1"/>
        <v>118212 - Tech - Communication Skills</v>
      </c>
      <c r="J2023" s="2">
        <f t="shared" si="2"/>
        <v>573.5</v>
      </c>
      <c r="K2023" s="17">
        <f t="shared" si="3"/>
        <v>1</v>
      </c>
      <c r="L2023" s="18"/>
    </row>
    <row r="2024" hidden="1">
      <c r="A2024" s="2">
        <f>IFERROR(__xludf.DUMMYFUNCTION("""COMPUTED_VALUE"""),150950.0)</f>
        <v>150950</v>
      </c>
      <c r="B2024" s="2">
        <f>IFERROR(__xludf.DUMMYFUNCTION("""COMPUTED_VALUE"""),1.0)</f>
        <v>1</v>
      </c>
      <c r="C2024" s="2">
        <f>IFERROR(__xludf.DUMMYFUNCTION("""COMPUTED_VALUE"""),138.0)</f>
        <v>138</v>
      </c>
      <c r="D2024" s="3">
        <f>IFERROR(__xludf.DUMMYFUNCTION("""COMPUTED_VALUE"""),68.0)</f>
        <v>68</v>
      </c>
      <c r="E2024" s="1" t="str">
        <f t="array" ref="E2024">_xlfn.XLOOKUP(A2024,Product!A:A,Product!B:B,"Bulunamadı")</f>
        <v>Tech</v>
      </c>
      <c r="F2024" s="1" t="str">
        <f t="array" ref="F2024">_xlfn.XLOOKUP(A2024,Product!A:A,Product!C:C,"Bulunamadı")</f>
        <v>Communication Skills</v>
      </c>
      <c r="G2024" s="2" t="str">
        <f t="array" ref="G2024">_xlfn.XLOOKUP(A2025,Product!A:A,Product!D:D,"Bulunamadı")</f>
        <v>Harborridge Publishing</v>
      </c>
      <c r="H2024" s="2">
        <f t="array" ref="H2024">_xlfn.XLOOKUP(A2026,Product!A:A,Product!E:E,"Bulunamadı")</f>
        <v>2</v>
      </c>
      <c r="I2024" s="2" t="str">
        <f t="shared" si="1"/>
        <v>150950 - Tech - Communication Skills</v>
      </c>
      <c r="J2024" s="2">
        <f t="shared" si="2"/>
        <v>136</v>
      </c>
      <c r="K2024" s="17">
        <f t="shared" si="3"/>
        <v>1</v>
      </c>
      <c r="L2024" s="18"/>
    </row>
    <row r="2025" hidden="1">
      <c r="A2025" s="2">
        <f>IFERROR(__xludf.DUMMYFUNCTION("""COMPUTED_VALUE"""),190106.0)</f>
        <v>190106</v>
      </c>
      <c r="B2025" s="2">
        <f>IFERROR(__xludf.DUMMYFUNCTION("""COMPUTED_VALUE"""),1.0)</f>
        <v>1</v>
      </c>
      <c r="C2025" s="2">
        <f>IFERROR(__xludf.DUMMYFUNCTION("""COMPUTED_VALUE"""),833.0)</f>
        <v>833</v>
      </c>
      <c r="D2025" s="3">
        <f>IFERROR(__xludf.DUMMYFUNCTION("""COMPUTED_VALUE"""),200.0)</f>
        <v>200</v>
      </c>
      <c r="E2025" s="1" t="str">
        <f t="array" ref="E2025">_xlfn.XLOOKUP(A2025,Product!A:A,Product!B:B,"Bulunamadı")</f>
        <v>Tech</v>
      </c>
      <c r="F2025" s="1" t="str">
        <f t="array" ref="F2025">_xlfn.XLOOKUP(A2025,Product!A:A,Product!C:C,"Bulunamadı")</f>
        <v>Communication Skills</v>
      </c>
      <c r="G2025" s="2" t="str">
        <f t="array" ref="G2025">_xlfn.XLOOKUP(A2026,Product!A:A,Product!D:D,"Bulunamadı")</f>
        <v>Harborridge Publishing</v>
      </c>
      <c r="H2025" s="2">
        <f t="array" ref="H2025">_xlfn.XLOOKUP(A2027,Product!A:A,Product!E:E,"Bulunamadı")</f>
        <v>2.04</v>
      </c>
      <c r="I2025" s="2" t="str">
        <f t="shared" si="1"/>
        <v>190106 - Tech - Communication Skills</v>
      </c>
      <c r="J2025" s="2">
        <f t="shared" si="2"/>
        <v>408</v>
      </c>
      <c r="K2025" s="17">
        <f t="shared" si="3"/>
        <v>1</v>
      </c>
      <c r="L2025" s="18"/>
    </row>
    <row r="2026" hidden="1">
      <c r="A2026" s="2">
        <f>IFERROR(__xludf.DUMMYFUNCTION("""COMPUTED_VALUE"""),79810.0)</f>
        <v>79810</v>
      </c>
      <c r="B2026" s="2">
        <f>IFERROR(__xludf.DUMMYFUNCTION("""COMPUTED_VALUE"""),1.0)</f>
        <v>1</v>
      </c>
      <c r="C2026" s="2">
        <f>IFERROR(__xludf.DUMMYFUNCTION("""COMPUTED_VALUE"""),31.0)</f>
        <v>31</v>
      </c>
      <c r="D2026" s="3">
        <f>IFERROR(__xludf.DUMMYFUNCTION("""COMPUTED_VALUE"""),14.0)</f>
        <v>14</v>
      </c>
      <c r="E2026" s="1" t="str">
        <f t="array" ref="E2026">_xlfn.XLOOKUP(A2026,Product!A:A,Product!B:B,"Bulunamadı")</f>
        <v>Tech</v>
      </c>
      <c r="F2026" s="1" t="str">
        <f t="array" ref="F2026">_xlfn.XLOOKUP(A2026,Product!A:A,Product!C:C,"Bulunamadı")</f>
        <v>Communication Skills</v>
      </c>
      <c r="G2026" s="2" t="str">
        <f t="array" ref="G2026">_xlfn.XLOOKUP(A2027,Product!A:A,Product!D:D,"Bulunamadı")</f>
        <v>Harborridge Publishing</v>
      </c>
      <c r="H2026" s="2">
        <f t="array" ref="H2026">_xlfn.XLOOKUP(A2028,Product!A:A,Product!E:E,"Bulunamadı")</f>
        <v>2.87</v>
      </c>
      <c r="I2026" s="2" t="str">
        <f t="shared" si="1"/>
        <v>79810 - Tech - Communication Skills</v>
      </c>
      <c r="J2026" s="2">
        <f t="shared" si="2"/>
        <v>40.18</v>
      </c>
      <c r="K2026" s="17">
        <f t="shared" si="3"/>
        <v>1</v>
      </c>
      <c r="L2026" s="18"/>
    </row>
    <row r="2027" hidden="1">
      <c r="A2027" s="2">
        <f>IFERROR(__xludf.DUMMYFUNCTION("""COMPUTED_VALUE"""),82459.0)</f>
        <v>82459</v>
      </c>
      <c r="B2027" s="2">
        <f>IFERROR(__xludf.DUMMYFUNCTION("""COMPUTED_VALUE"""),0.0)</f>
        <v>0</v>
      </c>
      <c r="C2027" s="2">
        <f>IFERROR(__xludf.DUMMYFUNCTION("""COMPUTED_VALUE"""),704.0)</f>
        <v>704</v>
      </c>
      <c r="D2027" s="3">
        <f>IFERROR(__xludf.DUMMYFUNCTION("""COMPUTED_VALUE"""),567.0)</f>
        <v>567</v>
      </c>
      <c r="E2027" s="1" t="str">
        <f t="array" ref="E2027">_xlfn.XLOOKUP(A2027,Product!A:A,Product!B:B,"Bulunamadı")</f>
        <v>Tech</v>
      </c>
      <c r="F2027" s="1" t="str">
        <f t="array" ref="F2027">_xlfn.XLOOKUP(A2027,Product!A:A,Product!C:C,"Bulunamadı")</f>
        <v>Communication Skills</v>
      </c>
      <c r="G2027" s="2" t="str">
        <f t="array" ref="G2027">_xlfn.XLOOKUP(A2028,Product!A:A,Product!D:D,"Bulunamadı")</f>
        <v>Harborridge Publishing</v>
      </c>
      <c r="H2027" s="2">
        <f t="array" ref="H2027">_xlfn.XLOOKUP(A2029,Product!A:A,Product!E:E,"Bulunamadı")</f>
        <v>2.48</v>
      </c>
      <c r="I2027" s="2" t="str">
        <f t="shared" si="1"/>
        <v>82459 - Tech - Communication Skills</v>
      </c>
      <c r="J2027" s="2">
        <f t="shared" si="2"/>
        <v>1406.16</v>
      </c>
      <c r="K2027" s="17">
        <f t="shared" si="3"/>
        <v>1</v>
      </c>
      <c r="L2027" s="18"/>
    </row>
    <row r="2028" hidden="1">
      <c r="A2028" s="2">
        <f>IFERROR(__xludf.DUMMYFUNCTION("""COMPUTED_VALUE"""),49360.0)</f>
        <v>49360</v>
      </c>
      <c r="B2028" s="2">
        <f>IFERROR(__xludf.DUMMYFUNCTION("""COMPUTED_VALUE"""),1.0)</f>
        <v>1</v>
      </c>
      <c r="C2028" s="2">
        <f>IFERROR(__xludf.DUMMYFUNCTION("""COMPUTED_VALUE"""),804.0)</f>
        <v>804</v>
      </c>
      <c r="D2028" s="3">
        <f>IFERROR(__xludf.DUMMYFUNCTION("""COMPUTED_VALUE"""),234.0)</f>
        <v>234</v>
      </c>
      <c r="E2028" s="1" t="str">
        <f t="array" ref="E2028">_xlfn.XLOOKUP(A2028,Product!A:A,Product!B:B,"Bulunamadı")</f>
        <v>Tech</v>
      </c>
      <c r="F2028" s="1" t="str">
        <f t="array" ref="F2028">_xlfn.XLOOKUP(A2028,Product!A:A,Product!C:C,"Bulunamadı")</f>
        <v>Communication Skills</v>
      </c>
      <c r="G2028" s="2" t="str">
        <f t="array" ref="G2028">_xlfn.XLOOKUP(A2029,Product!A:A,Product!D:D,"Bulunamadı")</f>
        <v>Harborridge Publishing</v>
      </c>
      <c r="H2028" s="2">
        <f t="array" ref="H2028">_xlfn.XLOOKUP(A2030,Product!A:A,Product!E:E,"Bulunamadı")</f>
        <v>1.82</v>
      </c>
      <c r="I2028" s="2" t="str">
        <f t="shared" si="1"/>
        <v>49360 - Tech - Communication Skills</v>
      </c>
      <c r="J2028" s="2">
        <f t="shared" si="2"/>
        <v>425.88</v>
      </c>
      <c r="K2028" s="17">
        <f t="shared" si="3"/>
        <v>1</v>
      </c>
      <c r="L2028" s="18"/>
    </row>
    <row r="2029" hidden="1">
      <c r="A2029" s="2">
        <f>IFERROR(__xludf.DUMMYFUNCTION("""COMPUTED_VALUE"""),194507.0)</f>
        <v>194507</v>
      </c>
      <c r="B2029" s="2">
        <f>IFERROR(__xludf.DUMMYFUNCTION("""COMPUTED_VALUE"""),0.0)</f>
        <v>0</v>
      </c>
      <c r="C2029" s="2">
        <f>IFERROR(__xludf.DUMMYFUNCTION("""COMPUTED_VALUE"""),384.0)</f>
        <v>384</v>
      </c>
      <c r="D2029" s="3">
        <f>IFERROR(__xludf.DUMMYFUNCTION("""COMPUTED_VALUE"""),113.0)</f>
        <v>113</v>
      </c>
      <c r="E2029" s="1" t="str">
        <f t="array" ref="E2029">_xlfn.XLOOKUP(A2029,Product!A:A,Product!B:B,"Bulunamadı")</f>
        <v>Tech</v>
      </c>
      <c r="F2029" s="1" t="str">
        <f t="array" ref="F2029">_xlfn.XLOOKUP(A2029,Product!A:A,Product!C:C,"Bulunamadı")</f>
        <v>Communication Skills</v>
      </c>
      <c r="G2029" s="2" t="str">
        <f t="array" ref="G2029">_xlfn.XLOOKUP(A2030,Product!A:A,Product!D:D,"Bulunamadı")</f>
        <v>Harborridge Publishing</v>
      </c>
      <c r="H2029" s="2">
        <f t="array" ref="H2029">_xlfn.XLOOKUP(A2031,Product!A:A,Product!E:E,"Bulunamadı")</f>
        <v>1.86</v>
      </c>
      <c r="I2029" s="2" t="str">
        <f t="shared" si="1"/>
        <v>194507 - Tech - Communication Skills</v>
      </c>
      <c r="J2029" s="2">
        <f t="shared" si="2"/>
        <v>210.18</v>
      </c>
      <c r="K2029" s="17">
        <f t="shared" si="3"/>
        <v>1</v>
      </c>
      <c r="L2029" s="18"/>
    </row>
    <row r="2030" hidden="1">
      <c r="A2030" s="2">
        <f>IFERROR(__xludf.DUMMYFUNCTION("""COMPUTED_VALUE"""),82453.0)</f>
        <v>82453</v>
      </c>
      <c r="B2030" s="2">
        <f>IFERROR(__xludf.DUMMYFUNCTION("""COMPUTED_VALUE"""),1.0)</f>
        <v>1</v>
      </c>
      <c r="C2030" s="2">
        <f>IFERROR(__xludf.DUMMYFUNCTION("""COMPUTED_VALUE"""),381.0)</f>
        <v>381</v>
      </c>
      <c r="D2030" s="3">
        <f>IFERROR(__xludf.DUMMYFUNCTION("""COMPUTED_VALUE"""),269.0)</f>
        <v>269</v>
      </c>
      <c r="E2030" s="1" t="str">
        <f t="array" ref="E2030">_xlfn.XLOOKUP(A2030,Product!A:A,Product!B:B,"Bulunamadı")</f>
        <v>Tech</v>
      </c>
      <c r="F2030" s="1" t="str">
        <f t="array" ref="F2030">_xlfn.XLOOKUP(A2030,Product!A:A,Product!C:C,"Bulunamadı")</f>
        <v>Communication Skills</v>
      </c>
      <c r="G2030" s="2" t="str">
        <f t="array" ref="G2030">_xlfn.XLOOKUP(A2031,Product!A:A,Product!D:D,"Bulunamadı")</f>
        <v>Harborridge Publishing</v>
      </c>
      <c r="H2030" s="2">
        <f t="array" ref="H2030">_xlfn.XLOOKUP(A2032,Product!A:A,Product!E:E,"Bulunamadı")</f>
        <v>1.02</v>
      </c>
      <c r="I2030" s="2" t="str">
        <f t="shared" si="1"/>
        <v>82453 - Tech - Communication Skills</v>
      </c>
      <c r="J2030" s="2">
        <f t="shared" si="2"/>
        <v>274.38</v>
      </c>
      <c r="K2030" s="17">
        <f t="shared" si="3"/>
        <v>1</v>
      </c>
      <c r="L2030" s="18"/>
    </row>
    <row r="2031" hidden="1">
      <c r="A2031" s="2">
        <f>IFERROR(__xludf.DUMMYFUNCTION("""COMPUTED_VALUE"""),79669.0)</f>
        <v>79669</v>
      </c>
      <c r="B2031" s="2">
        <f>IFERROR(__xludf.DUMMYFUNCTION("""COMPUTED_VALUE"""),1.0)</f>
        <v>1</v>
      </c>
      <c r="C2031" s="2">
        <f>IFERROR(__xludf.DUMMYFUNCTION("""COMPUTED_VALUE"""),498.0)</f>
        <v>498</v>
      </c>
      <c r="D2031" s="3">
        <f>IFERROR(__xludf.DUMMYFUNCTION("""COMPUTED_VALUE"""),394.0)</f>
        <v>394</v>
      </c>
      <c r="E2031" s="1" t="str">
        <f t="array" ref="E2031">_xlfn.XLOOKUP(A2031,Product!A:A,Product!B:B,"Bulunamadı")</f>
        <v>Tech</v>
      </c>
      <c r="F2031" s="1" t="str">
        <f t="array" ref="F2031">_xlfn.XLOOKUP(A2031,Product!A:A,Product!C:C,"Bulunamadı")</f>
        <v>Communication Skills</v>
      </c>
      <c r="G2031" s="2" t="str">
        <f t="array" ref="G2031">_xlfn.XLOOKUP(A2032,Product!A:A,Product!D:D,"Bulunamadı")</f>
        <v>Harborridge Publishing</v>
      </c>
      <c r="H2031" s="2">
        <f t="array" ref="H2031">_xlfn.XLOOKUP(A2033,Product!A:A,Product!E:E,"Bulunamadı")</f>
        <v>0.77</v>
      </c>
      <c r="I2031" s="2" t="str">
        <f t="shared" si="1"/>
        <v>79669 - Tech - Communication Skills</v>
      </c>
      <c r="J2031" s="2">
        <f t="shared" si="2"/>
        <v>303.38</v>
      </c>
      <c r="K2031" s="17">
        <f t="shared" si="3"/>
        <v>1</v>
      </c>
      <c r="L2031" s="18"/>
    </row>
    <row r="2032" hidden="1">
      <c r="A2032" s="2">
        <f>IFERROR(__xludf.DUMMYFUNCTION("""COMPUTED_VALUE"""),122294.0)</f>
        <v>122294</v>
      </c>
      <c r="B2032" s="2">
        <f>IFERROR(__xludf.DUMMYFUNCTION("""COMPUTED_VALUE"""),0.0)</f>
        <v>0</v>
      </c>
      <c r="C2032" s="2">
        <f>IFERROR(__xludf.DUMMYFUNCTION("""COMPUTED_VALUE"""),859.0)</f>
        <v>859</v>
      </c>
      <c r="D2032" s="3">
        <f>IFERROR(__xludf.DUMMYFUNCTION("""COMPUTED_VALUE"""),797.0)</f>
        <v>797</v>
      </c>
      <c r="E2032" s="1" t="str">
        <f t="array" ref="E2032">_xlfn.XLOOKUP(A2032,Product!A:A,Product!B:B,"Bulunamadı")</f>
        <v>Tech</v>
      </c>
      <c r="F2032" s="1" t="str">
        <f t="array" ref="F2032">_xlfn.XLOOKUP(A2032,Product!A:A,Product!C:C,"Bulunamadı")</f>
        <v>Communication Skills</v>
      </c>
      <c r="G2032" s="2" t="str">
        <f t="array" ref="G2032">_xlfn.XLOOKUP(A2033,Product!A:A,Product!D:D,"Bulunamadı")</f>
        <v>Harborridge Publishing</v>
      </c>
      <c r="H2032" s="2">
        <f t="array" ref="H2032">_xlfn.XLOOKUP(A2034,Product!A:A,Product!E:E,"Bulunamadı")</f>
        <v>1.82</v>
      </c>
      <c r="I2032" s="2" t="str">
        <f t="shared" si="1"/>
        <v>122294 - Tech - Communication Skills</v>
      </c>
      <c r="J2032" s="2">
        <f t="shared" si="2"/>
        <v>1450.54</v>
      </c>
      <c r="K2032" s="17">
        <f t="shared" si="3"/>
        <v>1</v>
      </c>
      <c r="L2032" s="18"/>
    </row>
    <row r="2033" hidden="1">
      <c r="A2033" s="2">
        <f>IFERROR(__xludf.DUMMYFUNCTION("""COMPUTED_VALUE"""),73245.0)</f>
        <v>73245</v>
      </c>
      <c r="B2033" s="2">
        <f>IFERROR(__xludf.DUMMYFUNCTION("""COMPUTED_VALUE"""),0.0)</f>
        <v>0</v>
      </c>
      <c r="C2033" s="2">
        <f>IFERROR(__xludf.DUMMYFUNCTION("""COMPUTED_VALUE"""),44.0)</f>
        <v>44</v>
      </c>
      <c r="D2033" s="3">
        <f>IFERROR(__xludf.DUMMYFUNCTION("""COMPUTED_VALUE"""),44.0)</f>
        <v>44</v>
      </c>
      <c r="E2033" s="1" t="str">
        <f t="array" ref="E2033">_xlfn.XLOOKUP(A2033,Product!A:A,Product!B:B,"Bulunamadı")</f>
        <v>Tech</v>
      </c>
      <c r="F2033" s="1" t="str">
        <f t="array" ref="F2033">_xlfn.XLOOKUP(A2033,Product!A:A,Product!C:C,"Bulunamadı")</f>
        <v>Communication Skills</v>
      </c>
      <c r="G2033" s="2" t="str">
        <f t="array" ref="G2033">_xlfn.XLOOKUP(A2034,Product!A:A,Product!D:D,"Bulunamadı")</f>
        <v>Harborridge Publishing</v>
      </c>
      <c r="H2033" s="2">
        <f t="array" ref="H2033">_xlfn.XLOOKUP(A2035,Product!A:A,Product!E:E,"Bulunamadı")</f>
        <v>2.78</v>
      </c>
      <c r="I2033" s="2" t="str">
        <f t="shared" si="1"/>
        <v>73245 - Tech - Communication Skills</v>
      </c>
      <c r="J2033" s="2">
        <f t="shared" si="2"/>
        <v>122.32</v>
      </c>
      <c r="K2033" s="17">
        <f t="shared" si="3"/>
        <v>1</v>
      </c>
      <c r="L2033" s="18"/>
    </row>
    <row r="2034" hidden="1">
      <c r="A2034" s="2">
        <f>IFERROR(__xludf.DUMMYFUNCTION("""COMPUTED_VALUE"""),122082.0)</f>
        <v>122082</v>
      </c>
      <c r="B2034" s="2">
        <f>IFERROR(__xludf.DUMMYFUNCTION("""COMPUTED_VALUE"""),0.0)</f>
        <v>0</v>
      </c>
      <c r="C2034" s="2">
        <f>IFERROR(__xludf.DUMMYFUNCTION("""COMPUTED_VALUE"""),684.0)</f>
        <v>684</v>
      </c>
      <c r="D2034" s="3">
        <f>IFERROR(__xludf.DUMMYFUNCTION("""COMPUTED_VALUE"""),273.0)</f>
        <v>273</v>
      </c>
      <c r="E2034" s="1" t="str">
        <f t="array" ref="E2034">_xlfn.XLOOKUP(A2034,Product!A:A,Product!B:B,"Bulunamadı")</f>
        <v>Tech</v>
      </c>
      <c r="F2034" s="1" t="str">
        <f t="array" ref="F2034">_xlfn.XLOOKUP(A2034,Product!A:A,Product!C:C,"Bulunamadı")</f>
        <v>Communication Skills</v>
      </c>
      <c r="G2034" s="2" t="str">
        <f t="array" ref="G2034">_xlfn.XLOOKUP(A2035,Product!A:A,Product!D:D,"Bulunamadı")</f>
        <v>Harborridge Publishing</v>
      </c>
      <c r="H2034" s="2">
        <f t="array" ref="H2034">_xlfn.XLOOKUP(A2036,Product!A:A,Product!E:E,"Bulunamadı")</f>
        <v>2.08</v>
      </c>
      <c r="I2034" s="2" t="str">
        <f t="shared" si="1"/>
        <v>122082 - Tech - Communication Skills</v>
      </c>
      <c r="J2034" s="2">
        <f t="shared" si="2"/>
        <v>567.84</v>
      </c>
      <c r="K2034" s="17">
        <f t="shared" si="3"/>
        <v>1</v>
      </c>
      <c r="L2034" s="18"/>
    </row>
    <row r="2035" hidden="1">
      <c r="A2035" s="2">
        <f>IFERROR(__xludf.DUMMYFUNCTION("""COMPUTED_VALUE"""),194501.0)</f>
        <v>194501</v>
      </c>
      <c r="B2035" s="2">
        <f>IFERROR(__xludf.DUMMYFUNCTION("""COMPUTED_VALUE"""),0.0)</f>
        <v>0</v>
      </c>
      <c r="C2035" s="2">
        <f>IFERROR(__xludf.DUMMYFUNCTION("""COMPUTED_VALUE"""),372.0)</f>
        <v>372</v>
      </c>
      <c r="D2035" s="3">
        <f>IFERROR(__xludf.DUMMYFUNCTION("""COMPUTED_VALUE"""),148.0)</f>
        <v>148</v>
      </c>
      <c r="E2035" s="1" t="str">
        <f t="array" ref="E2035">_xlfn.XLOOKUP(A2035,Product!A:A,Product!B:B,"Bulunamadı")</f>
        <v>Tech</v>
      </c>
      <c r="F2035" s="1" t="str">
        <f t="array" ref="F2035">_xlfn.XLOOKUP(A2035,Product!A:A,Product!C:C,"Bulunamadı")</f>
        <v>Communication Skills</v>
      </c>
      <c r="G2035" s="2" t="str">
        <f t="array" ref="G2035">_xlfn.XLOOKUP(A2036,Product!A:A,Product!D:D,"Bulunamadı")</f>
        <v>Harborridge Publishing</v>
      </c>
      <c r="H2035" s="2">
        <f t="array" ref="H2035">_xlfn.XLOOKUP(A2037,Product!A:A,Product!E:E,"Bulunamadı")</f>
        <v>2.26</v>
      </c>
      <c r="I2035" s="2" t="str">
        <f t="shared" si="1"/>
        <v>194501 - Tech - Communication Skills</v>
      </c>
      <c r="J2035" s="2">
        <f t="shared" si="2"/>
        <v>334.48</v>
      </c>
      <c r="K2035" s="17">
        <f t="shared" si="3"/>
        <v>1</v>
      </c>
      <c r="L2035" s="18"/>
    </row>
    <row r="2036" hidden="1">
      <c r="A2036" s="2">
        <f>IFERROR(__xludf.DUMMYFUNCTION("""COMPUTED_VALUE"""),79105.0)</f>
        <v>79105</v>
      </c>
      <c r="B2036" s="2">
        <f>IFERROR(__xludf.DUMMYFUNCTION("""COMPUTED_VALUE"""),1.0)</f>
        <v>1</v>
      </c>
      <c r="C2036" s="2">
        <f>IFERROR(__xludf.DUMMYFUNCTION("""COMPUTED_VALUE"""),785.0)</f>
        <v>785</v>
      </c>
      <c r="D2036" s="3">
        <f>IFERROR(__xludf.DUMMYFUNCTION("""COMPUTED_VALUE"""),90.0)</f>
        <v>90</v>
      </c>
      <c r="E2036" s="1" t="str">
        <f t="array" ref="E2036">_xlfn.XLOOKUP(A2036,Product!A:A,Product!B:B,"Bulunamadı")</f>
        <v>Tech</v>
      </c>
      <c r="F2036" s="1" t="str">
        <f t="array" ref="F2036">_xlfn.XLOOKUP(A2036,Product!A:A,Product!C:C,"Bulunamadı")</f>
        <v>Communication Skills</v>
      </c>
      <c r="G2036" s="2" t="str">
        <f t="array" ref="G2036">_xlfn.XLOOKUP(A2037,Product!A:A,Product!D:D,"Bulunamadı")</f>
        <v>Harborridge Publishing</v>
      </c>
      <c r="H2036" s="2">
        <f t="array" ref="H2036">_xlfn.XLOOKUP(A2038,Product!A:A,Product!E:E,"Bulunamadı")</f>
        <v>2.12</v>
      </c>
      <c r="I2036" s="2" t="str">
        <f t="shared" si="1"/>
        <v>79105 - Tech - Communication Skills</v>
      </c>
      <c r="J2036" s="2">
        <f t="shared" si="2"/>
        <v>190.8</v>
      </c>
      <c r="K2036" s="17">
        <f t="shared" si="3"/>
        <v>1</v>
      </c>
      <c r="L2036" s="18"/>
    </row>
    <row r="2037" hidden="1">
      <c r="A2037" s="2">
        <f>IFERROR(__xludf.DUMMYFUNCTION("""COMPUTED_VALUE"""),87769.0)</f>
        <v>87769</v>
      </c>
      <c r="B2037" s="2">
        <f>IFERROR(__xludf.DUMMYFUNCTION("""COMPUTED_VALUE"""),1.0)</f>
        <v>1</v>
      </c>
      <c r="C2037" s="2">
        <f>IFERROR(__xludf.DUMMYFUNCTION("""COMPUTED_VALUE"""),603.0)</f>
        <v>603</v>
      </c>
      <c r="D2037" s="3">
        <f>IFERROR(__xludf.DUMMYFUNCTION("""COMPUTED_VALUE"""),82.0)</f>
        <v>82</v>
      </c>
      <c r="E2037" s="1" t="str">
        <f t="array" ref="E2037">_xlfn.XLOOKUP(A2037,Product!A:A,Product!B:B,"Bulunamadı")</f>
        <v>Tech</v>
      </c>
      <c r="F2037" s="1" t="str">
        <f t="array" ref="F2037">_xlfn.XLOOKUP(A2037,Product!A:A,Product!C:C,"Bulunamadı")</f>
        <v>Communication Skills</v>
      </c>
      <c r="G2037" s="2" t="str">
        <f t="array" ref="G2037">_xlfn.XLOOKUP(A2038,Product!A:A,Product!D:D,"Bulunamadı")</f>
        <v>Harborridge Publishing</v>
      </c>
      <c r="H2037" s="2">
        <f t="array" ref="H2037">_xlfn.XLOOKUP(A2039,Product!A:A,Product!E:E,"Bulunamadı")</f>
        <v>2.46</v>
      </c>
      <c r="I2037" s="2" t="str">
        <f t="shared" si="1"/>
        <v>87769 - Tech - Communication Skills</v>
      </c>
      <c r="J2037" s="2">
        <f t="shared" si="2"/>
        <v>201.72</v>
      </c>
      <c r="K2037" s="17">
        <f t="shared" si="3"/>
        <v>1</v>
      </c>
      <c r="L2037" s="18"/>
    </row>
    <row r="2038" hidden="1">
      <c r="A2038" s="2">
        <f>IFERROR(__xludf.DUMMYFUNCTION("""COMPUTED_VALUE"""),9734.0)</f>
        <v>9734</v>
      </c>
      <c r="B2038" s="2">
        <f>IFERROR(__xludf.DUMMYFUNCTION("""COMPUTED_VALUE"""),0.0)</f>
        <v>0</v>
      </c>
      <c r="C2038" s="2">
        <f>IFERROR(__xludf.DUMMYFUNCTION("""COMPUTED_VALUE"""),997.0)</f>
        <v>997</v>
      </c>
      <c r="D2038" s="3">
        <f>IFERROR(__xludf.DUMMYFUNCTION("""COMPUTED_VALUE"""),970.0)</f>
        <v>970</v>
      </c>
      <c r="E2038" s="1" t="str">
        <f t="array" ref="E2038">_xlfn.XLOOKUP(A2038,Product!A:A,Product!B:B,"Bulunamadı")</f>
        <v>Tech</v>
      </c>
      <c r="F2038" s="1" t="str">
        <f t="array" ref="F2038">_xlfn.XLOOKUP(A2038,Product!A:A,Product!C:C,"Bulunamadı")</f>
        <v>Communication Skills</v>
      </c>
      <c r="G2038" s="2" t="str">
        <f t="array" ref="G2038">_xlfn.XLOOKUP(A2039,Product!A:A,Product!D:D,"Bulunamadı")</f>
        <v>Harborridge Publishing</v>
      </c>
      <c r="H2038" s="2">
        <f t="array" ref="H2038">_xlfn.XLOOKUP(A2040,Product!A:A,Product!E:E,"Bulunamadı")</f>
        <v>2.14</v>
      </c>
      <c r="I2038" s="2" t="str">
        <f t="shared" si="1"/>
        <v>9734 - Tech - Communication Skills</v>
      </c>
      <c r="J2038" s="2">
        <f t="shared" si="2"/>
        <v>2075.8</v>
      </c>
      <c r="K2038" s="17">
        <f t="shared" si="3"/>
        <v>1</v>
      </c>
      <c r="L2038" s="18"/>
    </row>
    <row r="2039" hidden="1">
      <c r="A2039" s="2">
        <f>IFERROR(__xludf.DUMMYFUNCTION("""COMPUTED_VALUE"""),149615.0)</f>
        <v>149615</v>
      </c>
      <c r="B2039" s="2">
        <f>IFERROR(__xludf.DUMMYFUNCTION("""COMPUTED_VALUE"""),1.0)</f>
        <v>1</v>
      </c>
      <c r="C2039" s="2">
        <f>IFERROR(__xludf.DUMMYFUNCTION("""COMPUTED_VALUE"""),847.0)</f>
        <v>847</v>
      </c>
      <c r="D2039" s="3">
        <f>IFERROR(__xludf.DUMMYFUNCTION("""COMPUTED_VALUE"""),309.0)</f>
        <v>309</v>
      </c>
      <c r="E2039" s="1" t="str">
        <f t="array" ref="E2039">_xlfn.XLOOKUP(A2039,Product!A:A,Product!B:B,"Bulunamadı")</f>
        <v>Tech</v>
      </c>
      <c r="F2039" s="1" t="str">
        <f t="array" ref="F2039">_xlfn.XLOOKUP(A2039,Product!A:A,Product!C:C,"Bulunamadı")</f>
        <v>Communication Skills</v>
      </c>
      <c r="G2039" s="2" t="str">
        <f t="array" ref="G2039">_xlfn.XLOOKUP(A2040,Product!A:A,Product!D:D,"Bulunamadı")</f>
        <v>Harborridge Publishing</v>
      </c>
      <c r="H2039" s="2">
        <f t="array" ref="H2039">_xlfn.XLOOKUP(A2041,Product!A:A,Product!E:E,"Bulunamadı")</f>
        <v>2.16</v>
      </c>
      <c r="I2039" s="2" t="str">
        <f t="shared" si="1"/>
        <v>149615 - Tech - Communication Skills</v>
      </c>
      <c r="J2039" s="2">
        <f t="shared" si="2"/>
        <v>667.44</v>
      </c>
      <c r="K2039" s="17">
        <f t="shared" si="3"/>
        <v>1</v>
      </c>
      <c r="L2039" s="18"/>
    </row>
    <row r="2040" hidden="1">
      <c r="A2040" s="2">
        <f>IFERROR(__xludf.DUMMYFUNCTION("""COMPUTED_VALUE"""),108966.0)</f>
        <v>108966</v>
      </c>
      <c r="B2040" s="2">
        <f>IFERROR(__xludf.DUMMYFUNCTION("""COMPUTED_VALUE"""),1.0)</f>
        <v>1</v>
      </c>
      <c r="C2040" s="2">
        <f>IFERROR(__xludf.DUMMYFUNCTION("""COMPUTED_VALUE"""),882.0)</f>
        <v>882</v>
      </c>
      <c r="D2040" s="3">
        <f>IFERROR(__xludf.DUMMYFUNCTION("""COMPUTED_VALUE"""),178.0)</f>
        <v>178</v>
      </c>
      <c r="E2040" s="1" t="str">
        <f t="array" ref="E2040">_xlfn.XLOOKUP(A2040,Product!A:A,Product!B:B,"Bulunamadı")</f>
        <v>Tech</v>
      </c>
      <c r="F2040" s="1" t="str">
        <f t="array" ref="F2040">_xlfn.XLOOKUP(A2040,Product!A:A,Product!C:C,"Bulunamadı")</f>
        <v>Communication Skills</v>
      </c>
      <c r="G2040" s="2" t="str">
        <f t="array" ref="G2040">_xlfn.XLOOKUP(A2041,Product!A:A,Product!D:D,"Bulunamadı")</f>
        <v>Harborridge Publishing</v>
      </c>
      <c r="H2040" s="2">
        <f t="array" ref="H2040">_xlfn.XLOOKUP(A2042,Product!A:A,Product!E:E,"Bulunamadı")</f>
        <v>2.09</v>
      </c>
      <c r="I2040" s="2" t="str">
        <f t="shared" si="1"/>
        <v>108966 - Tech - Communication Skills</v>
      </c>
      <c r="J2040" s="2">
        <f t="shared" si="2"/>
        <v>372.02</v>
      </c>
      <c r="K2040" s="17">
        <f t="shared" si="3"/>
        <v>1</v>
      </c>
      <c r="L2040" s="18"/>
    </row>
    <row r="2041" hidden="1">
      <c r="A2041" s="2">
        <f>IFERROR(__xludf.DUMMYFUNCTION("""COMPUTED_VALUE"""),116943.0)</f>
        <v>116943</v>
      </c>
      <c r="B2041" s="2">
        <f>IFERROR(__xludf.DUMMYFUNCTION("""COMPUTED_VALUE"""),1.0)</f>
        <v>1</v>
      </c>
      <c r="C2041" s="2">
        <f>IFERROR(__xludf.DUMMYFUNCTION("""COMPUTED_VALUE"""),283.0)</f>
        <v>283</v>
      </c>
      <c r="D2041" s="3">
        <f>IFERROR(__xludf.DUMMYFUNCTION("""COMPUTED_VALUE"""),126.0)</f>
        <v>126</v>
      </c>
      <c r="E2041" s="1" t="str">
        <f t="array" ref="E2041">_xlfn.XLOOKUP(A2041,Product!A:A,Product!B:B,"Bulunamadı")</f>
        <v>Tech</v>
      </c>
      <c r="F2041" s="1" t="str">
        <f t="array" ref="F2041">_xlfn.XLOOKUP(A2041,Product!A:A,Product!C:C,"Bulunamadı")</f>
        <v>Communication Skills</v>
      </c>
      <c r="G2041" s="2" t="str">
        <f t="array" ref="G2041">_xlfn.XLOOKUP(A2042,Product!A:A,Product!D:D,"Bulunamadı")</f>
        <v>Harborridge Publishing</v>
      </c>
      <c r="H2041" s="2">
        <f t="array" ref="H2041">_xlfn.XLOOKUP(A2043,Product!A:A,Product!E:E,"Bulunamadı")</f>
        <v>2.26</v>
      </c>
      <c r="I2041" s="2" t="str">
        <f t="shared" si="1"/>
        <v>116943 - Tech - Communication Skills</v>
      </c>
      <c r="J2041" s="2">
        <f t="shared" si="2"/>
        <v>284.76</v>
      </c>
      <c r="K2041" s="17">
        <f t="shared" si="3"/>
        <v>1</v>
      </c>
      <c r="L2041" s="18"/>
    </row>
    <row r="2042" hidden="1">
      <c r="A2042" s="2">
        <f>IFERROR(__xludf.DUMMYFUNCTION("""COMPUTED_VALUE"""),46769.0)</f>
        <v>46769</v>
      </c>
      <c r="B2042" s="2">
        <f>IFERROR(__xludf.DUMMYFUNCTION("""COMPUTED_VALUE"""),0.0)</f>
        <v>0</v>
      </c>
      <c r="C2042" s="2">
        <f>IFERROR(__xludf.DUMMYFUNCTION("""COMPUTED_VALUE"""),273.0)</f>
        <v>273</v>
      </c>
      <c r="D2042" s="3">
        <f>IFERROR(__xludf.DUMMYFUNCTION("""COMPUTED_VALUE"""),129.0)</f>
        <v>129</v>
      </c>
      <c r="E2042" s="1" t="str">
        <f t="array" ref="E2042">_xlfn.XLOOKUP(A2042,Product!A:A,Product!B:B,"Bulunamadı")</f>
        <v>Tech</v>
      </c>
      <c r="F2042" s="1" t="str">
        <f t="array" ref="F2042">_xlfn.XLOOKUP(A2042,Product!A:A,Product!C:C,"Bulunamadı")</f>
        <v>Communication Skills</v>
      </c>
      <c r="G2042" s="2" t="str">
        <f t="array" ref="G2042">_xlfn.XLOOKUP(A2043,Product!A:A,Product!D:D,"Bulunamadı")</f>
        <v>Harborridge Publishing</v>
      </c>
      <c r="H2042" s="2">
        <f t="array" ref="H2042">_xlfn.XLOOKUP(A2044,Product!A:A,Product!E:E,"Bulunamadı")</f>
        <v>1.9</v>
      </c>
      <c r="I2042" s="2" t="str">
        <f t="shared" si="1"/>
        <v>46769 - Tech - Communication Skills</v>
      </c>
      <c r="J2042" s="2">
        <f t="shared" si="2"/>
        <v>245.1</v>
      </c>
      <c r="K2042" s="17">
        <f t="shared" si="3"/>
        <v>1</v>
      </c>
      <c r="L2042" s="18"/>
    </row>
    <row r="2043" hidden="1">
      <c r="A2043" s="2">
        <f>IFERROR(__xludf.DUMMYFUNCTION("""COMPUTED_VALUE"""),87766.0)</f>
        <v>87766</v>
      </c>
      <c r="B2043" s="2">
        <f>IFERROR(__xludf.DUMMYFUNCTION("""COMPUTED_VALUE"""),1.0)</f>
        <v>1</v>
      </c>
      <c r="C2043" s="2">
        <f>IFERROR(__xludf.DUMMYFUNCTION("""COMPUTED_VALUE"""),636.0)</f>
        <v>636</v>
      </c>
      <c r="D2043" s="3">
        <f>IFERROR(__xludf.DUMMYFUNCTION("""COMPUTED_VALUE"""),52.0)</f>
        <v>52</v>
      </c>
      <c r="E2043" s="1" t="str">
        <f t="array" ref="E2043">_xlfn.XLOOKUP(A2043,Product!A:A,Product!B:B,"Bulunamadı")</f>
        <v>Tech</v>
      </c>
      <c r="F2043" s="1" t="str">
        <f t="array" ref="F2043">_xlfn.XLOOKUP(A2043,Product!A:A,Product!C:C,"Bulunamadı")</f>
        <v>Communication Skills</v>
      </c>
      <c r="G2043" s="2" t="str">
        <f t="array" ref="G2043">_xlfn.XLOOKUP(A2044,Product!A:A,Product!D:D,"Bulunamadı")</f>
        <v>Harborridge Publishing</v>
      </c>
      <c r="H2043" s="2">
        <f t="array" ref="H2043">_xlfn.XLOOKUP(A2045,Product!A:A,Product!E:E,"Bulunamadı")</f>
        <v>2.32</v>
      </c>
      <c r="I2043" s="2" t="str">
        <f t="shared" si="1"/>
        <v>87766 - Tech - Communication Skills</v>
      </c>
      <c r="J2043" s="2">
        <f t="shared" si="2"/>
        <v>120.64</v>
      </c>
      <c r="K2043" s="17">
        <f t="shared" si="3"/>
        <v>1</v>
      </c>
      <c r="L2043" s="18"/>
    </row>
    <row r="2044" hidden="1">
      <c r="A2044" s="2">
        <f>IFERROR(__xludf.DUMMYFUNCTION("""COMPUTED_VALUE"""),110701.0)</f>
        <v>110701</v>
      </c>
      <c r="B2044" s="2">
        <f>IFERROR(__xludf.DUMMYFUNCTION("""COMPUTED_VALUE"""),1.0)</f>
        <v>1</v>
      </c>
      <c r="C2044" s="2">
        <f>IFERROR(__xludf.DUMMYFUNCTION("""COMPUTED_VALUE"""),641.0)</f>
        <v>641</v>
      </c>
      <c r="D2044" s="3">
        <f>IFERROR(__xludf.DUMMYFUNCTION("""COMPUTED_VALUE"""),46.0)</f>
        <v>46</v>
      </c>
      <c r="E2044" s="1" t="str">
        <f t="array" ref="E2044">_xlfn.XLOOKUP(A2044,Product!A:A,Product!B:B,"Bulunamadı")</f>
        <v>Tech</v>
      </c>
      <c r="F2044" s="1" t="str">
        <f t="array" ref="F2044">_xlfn.XLOOKUP(A2044,Product!A:A,Product!C:C,"Bulunamadı")</f>
        <v>Communication Skills</v>
      </c>
      <c r="G2044" s="2" t="str">
        <f t="array" ref="G2044">_xlfn.XLOOKUP(A2045,Product!A:A,Product!D:D,"Bulunamadı")</f>
        <v>Harborridge Publishing</v>
      </c>
      <c r="H2044" s="2">
        <f t="array" ref="H2044">_xlfn.XLOOKUP(A2046,Product!A:A,Product!E:E,"Bulunamadı")</f>
        <v>1.55</v>
      </c>
      <c r="I2044" s="2" t="str">
        <f t="shared" si="1"/>
        <v>110701 - Tech - Communication Skills</v>
      </c>
      <c r="J2044" s="2">
        <f t="shared" si="2"/>
        <v>71.3</v>
      </c>
      <c r="K2044" s="17">
        <f t="shared" si="3"/>
        <v>1</v>
      </c>
      <c r="L2044" s="18"/>
    </row>
    <row r="2045" hidden="1">
      <c r="A2045" s="2">
        <f>IFERROR(__xludf.DUMMYFUNCTION("""COMPUTED_VALUE"""),4205.0)</f>
        <v>4205</v>
      </c>
      <c r="B2045" s="2">
        <f>IFERROR(__xludf.DUMMYFUNCTION("""COMPUTED_VALUE"""),1.0)</f>
        <v>1</v>
      </c>
      <c r="C2045" s="2">
        <f>IFERROR(__xludf.DUMMYFUNCTION("""COMPUTED_VALUE"""),202.0)</f>
        <v>202</v>
      </c>
      <c r="D2045" s="3">
        <f>IFERROR(__xludf.DUMMYFUNCTION("""COMPUTED_VALUE"""),172.0)</f>
        <v>172</v>
      </c>
      <c r="E2045" s="1" t="str">
        <f t="array" ref="E2045">_xlfn.XLOOKUP(A2045,Product!A:A,Product!B:B,"Bulunamadı")</f>
        <v>Tech</v>
      </c>
      <c r="F2045" s="1" t="str">
        <f t="array" ref="F2045">_xlfn.XLOOKUP(A2045,Product!A:A,Product!C:C,"Bulunamadı")</f>
        <v>Communication Skills</v>
      </c>
      <c r="G2045" s="2" t="str">
        <f t="array" ref="G2045">_xlfn.XLOOKUP(A2046,Product!A:A,Product!D:D,"Bulunamadı")</f>
        <v>Harborridge Publishing</v>
      </c>
      <c r="H2045" s="2">
        <f t="array" ref="H2045">_xlfn.XLOOKUP(A2047,Product!A:A,Product!E:E,"Bulunamadı")</f>
        <v>2.28</v>
      </c>
      <c r="I2045" s="2" t="str">
        <f t="shared" si="1"/>
        <v>4205 - Tech - Communication Skills</v>
      </c>
      <c r="J2045" s="2">
        <f t="shared" si="2"/>
        <v>392.16</v>
      </c>
      <c r="K2045" s="17">
        <f t="shared" si="3"/>
        <v>1</v>
      </c>
      <c r="L2045" s="18"/>
    </row>
    <row r="2046" hidden="1">
      <c r="A2046" s="2">
        <f>IFERROR(__xludf.DUMMYFUNCTION("""COMPUTED_VALUE"""),122615.0)</f>
        <v>122615</v>
      </c>
      <c r="B2046" s="2">
        <f>IFERROR(__xludf.DUMMYFUNCTION("""COMPUTED_VALUE"""),0.0)</f>
        <v>0</v>
      </c>
      <c r="C2046" s="2">
        <f>IFERROR(__xludf.DUMMYFUNCTION("""COMPUTED_VALUE"""),349.0)</f>
        <v>349</v>
      </c>
      <c r="D2046" s="3">
        <f>IFERROR(__xludf.DUMMYFUNCTION("""COMPUTED_VALUE"""),271.0)</f>
        <v>271</v>
      </c>
      <c r="E2046" s="1" t="str">
        <f t="array" ref="E2046">_xlfn.XLOOKUP(A2046,Product!A:A,Product!B:B,"Bulunamadı")</f>
        <v>Tech</v>
      </c>
      <c r="F2046" s="1" t="str">
        <f t="array" ref="F2046">_xlfn.XLOOKUP(A2046,Product!A:A,Product!C:C,"Bulunamadı")</f>
        <v>Communication Skills</v>
      </c>
      <c r="G2046" s="2" t="str">
        <f t="array" ref="G2046">_xlfn.XLOOKUP(A2047,Product!A:A,Product!D:D,"Bulunamadı")</f>
        <v>Harborridge Publishing</v>
      </c>
      <c r="H2046" s="2">
        <f t="array" ref="H2046">_xlfn.XLOOKUP(A2048,Product!A:A,Product!E:E,"Bulunamadı")</f>
        <v>2.18</v>
      </c>
      <c r="I2046" s="2" t="str">
        <f t="shared" si="1"/>
        <v>122615 - Tech - Communication Skills</v>
      </c>
      <c r="J2046" s="2">
        <f t="shared" si="2"/>
        <v>590.78</v>
      </c>
      <c r="K2046" s="17">
        <f t="shared" si="3"/>
        <v>1</v>
      </c>
      <c r="L2046" s="18"/>
    </row>
    <row r="2047" hidden="1">
      <c r="A2047" s="2">
        <f>IFERROR(__xludf.DUMMYFUNCTION("""COMPUTED_VALUE"""),87800.0)</f>
        <v>87800</v>
      </c>
      <c r="B2047" s="2">
        <f>IFERROR(__xludf.DUMMYFUNCTION("""COMPUTED_VALUE"""),1.0)</f>
        <v>1</v>
      </c>
      <c r="C2047" s="2">
        <f>IFERROR(__xludf.DUMMYFUNCTION("""COMPUTED_VALUE"""),918.0)</f>
        <v>918</v>
      </c>
      <c r="D2047" s="3">
        <f>IFERROR(__xludf.DUMMYFUNCTION("""COMPUTED_VALUE"""),369.0)</f>
        <v>369</v>
      </c>
      <c r="E2047" s="1" t="str">
        <f t="array" ref="E2047">_xlfn.XLOOKUP(A2047,Product!A:A,Product!B:B,"Bulunamadı")</f>
        <v>Tech</v>
      </c>
      <c r="F2047" s="1" t="str">
        <f t="array" ref="F2047">_xlfn.XLOOKUP(A2047,Product!A:A,Product!C:C,"Bulunamadı")</f>
        <v>Communication Skills</v>
      </c>
      <c r="G2047" s="2" t="str">
        <f t="array" ref="G2047">_xlfn.XLOOKUP(A2048,Product!A:A,Product!D:D,"Bulunamadı")</f>
        <v>Harborridge Publishing</v>
      </c>
      <c r="H2047" s="2">
        <f t="array" ref="H2047">_xlfn.XLOOKUP(A2049,Product!A:A,Product!E:E,"Bulunamadı")</f>
        <v>2.04</v>
      </c>
      <c r="I2047" s="2" t="str">
        <f t="shared" si="1"/>
        <v>87800 - Tech - Communication Skills</v>
      </c>
      <c r="J2047" s="2">
        <f t="shared" si="2"/>
        <v>752.76</v>
      </c>
      <c r="K2047" s="17">
        <f t="shared" si="3"/>
        <v>1</v>
      </c>
      <c r="L2047" s="18"/>
    </row>
    <row r="2048" hidden="1">
      <c r="A2048" s="2">
        <f>IFERROR(__xludf.DUMMYFUNCTION("""COMPUTED_VALUE"""),87801.0)</f>
        <v>87801</v>
      </c>
      <c r="B2048" s="2">
        <f>IFERROR(__xludf.DUMMYFUNCTION("""COMPUTED_VALUE"""),1.0)</f>
        <v>1</v>
      </c>
      <c r="C2048" s="2">
        <f>IFERROR(__xludf.DUMMYFUNCTION("""COMPUTED_VALUE"""),271.0)</f>
        <v>271</v>
      </c>
      <c r="D2048" s="3">
        <f>IFERROR(__xludf.DUMMYFUNCTION("""COMPUTED_VALUE"""),248.0)</f>
        <v>248</v>
      </c>
      <c r="E2048" s="1" t="str">
        <f t="array" ref="E2048">_xlfn.XLOOKUP(A2048,Product!A:A,Product!B:B,"Bulunamadı")</f>
        <v>Tech</v>
      </c>
      <c r="F2048" s="1" t="str">
        <f t="array" ref="F2048">_xlfn.XLOOKUP(A2048,Product!A:A,Product!C:C,"Bulunamadı")</f>
        <v>Communication Skills</v>
      </c>
      <c r="G2048" s="2" t="str">
        <f t="array" ref="G2048">_xlfn.XLOOKUP(A2049,Product!A:A,Product!D:D,"Bulunamadı")</f>
        <v>Harborridge Publishing</v>
      </c>
      <c r="H2048" s="2">
        <f t="array" ref="H2048">_xlfn.XLOOKUP(A2050,Product!A:A,Product!E:E,"Bulunamadı")</f>
        <v>2.07</v>
      </c>
      <c r="I2048" s="2" t="str">
        <f t="shared" si="1"/>
        <v>87801 - Tech - Communication Skills</v>
      </c>
      <c r="J2048" s="2">
        <f t="shared" si="2"/>
        <v>513.36</v>
      </c>
      <c r="K2048" s="17">
        <f t="shared" si="3"/>
        <v>1</v>
      </c>
      <c r="L2048" s="18"/>
    </row>
    <row r="2049" hidden="1">
      <c r="A2049" s="2">
        <f>IFERROR(__xludf.DUMMYFUNCTION("""COMPUTED_VALUE"""),87767.0)</f>
        <v>87767</v>
      </c>
      <c r="B2049" s="2">
        <f>IFERROR(__xludf.DUMMYFUNCTION("""COMPUTED_VALUE"""),0.0)</f>
        <v>0</v>
      </c>
      <c r="C2049" s="2">
        <f>IFERROR(__xludf.DUMMYFUNCTION("""COMPUTED_VALUE"""),513.0)</f>
        <v>513</v>
      </c>
      <c r="D2049" s="3">
        <f>IFERROR(__xludf.DUMMYFUNCTION("""COMPUTED_VALUE"""),168.0)</f>
        <v>168</v>
      </c>
      <c r="E2049" s="1" t="str">
        <f t="array" ref="E2049">_xlfn.XLOOKUP(A2049,Product!A:A,Product!B:B,"Bulunamadı")</f>
        <v>Tech</v>
      </c>
      <c r="F2049" s="1" t="str">
        <f t="array" ref="F2049">_xlfn.XLOOKUP(A2049,Product!A:A,Product!C:C,"Bulunamadı")</f>
        <v>Communication Skills</v>
      </c>
      <c r="G2049" s="2" t="str">
        <f t="array" ref="G2049">_xlfn.XLOOKUP(A2050,Product!A:A,Product!D:D,"Bulunamadı")</f>
        <v>Harborridge Publishing</v>
      </c>
      <c r="H2049" s="2">
        <f t="array" ref="H2049">_xlfn.XLOOKUP(A2051,Product!A:A,Product!E:E,"Bulunamadı")</f>
        <v>2.81</v>
      </c>
      <c r="I2049" s="2" t="str">
        <f t="shared" si="1"/>
        <v>87767 - Tech - Communication Skills</v>
      </c>
      <c r="J2049" s="2">
        <f t="shared" si="2"/>
        <v>472.08</v>
      </c>
      <c r="K2049" s="17">
        <f t="shared" si="3"/>
        <v>1</v>
      </c>
      <c r="L2049" s="18"/>
    </row>
    <row r="2050" hidden="1">
      <c r="A2050" s="2">
        <f>IFERROR(__xludf.DUMMYFUNCTION("""COMPUTED_VALUE"""),82454.0)</f>
        <v>82454</v>
      </c>
      <c r="B2050" s="2">
        <f>IFERROR(__xludf.DUMMYFUNCTION("""COMPUTED_VALUE"""),1.0)</f>
        <v>1</v>
      </c>
      <c r="C2050" s="2">
        <f>IFERROR(__xludf.DUMMYFUNCTION("""COMPUTED_VALUE"""),259.0)</f>
        <v>259</v>
      </c>
      <c r="D2050" s="3">
        <f>IFERROR(__xludf.DUMMYFUNCTION("""COMPUTED_VALUE"""),233.0)</f>
        <v>233</v>
      </c>
      <c r="E2050" s="1" t="str">
        <f t="array" ref="E2050">_xlfn.XLOOKUP(A2050,Product!A:A,Product!B:B,"Bulunamadı")</f>
        <v>Tech</v>
      </c>
      <c r="F2050" s="1" t="str">
        <f t="array" ref="F2050">_xlfn.XLOOKUP(A2050,Product!A:A,Product!C:C,"Bulunamadı")</f>
        <v>Communication Skills</v>
      </c>
      <c r="G2050" s="2" t="str">
        <f t="array" ref="G2050">_xlfn.XLOOKUP(A2051,Product!A:A,Product!D:D,"Bulunamadı")</f>
        <v>Harborridge Publishing</v>
      </c>
      <c r="H2050" s="2">
        <f t="array" ref="H2050">_xlfn.XLOOKUP(A2052,Product!A:A,Product!E:E,"Bulunamadı")</f>
        <v>2.42</v>
      </c>
      <c r="I2050" s="2" t="str">
        <f t="shared" si="1"/>
        <v>82454 - Tech - Communication Skills</v>
      </c>
      <c r="J2050" s="2">
        <f t="shared" si="2"/>
        <v>563.86</v>
      </c>
      <c r="K2050" s="17">
        <f t="shared" si="3"/>
        <v>1</v>
      </c>
      <c r="L2050" s="18"/>
    </row>
    <row r="2051" hidden="1">
      <c r="A2051" s="2">
        <f>IFERROR(__xludf.DUMMYFUNCTION("""COMPUTED_VALUE"""),194506.0)</f>
        <v>194506</v>
      </c>
      <c r="B2051" s="2">
        <f>IFERROR(__xludf.DUMMYFUNCTION("""COMPUTED_VALUE"""),1.0)</f>
        <v>1</v>
      </c>
      <c r="C2051" s="2">
        <f>IFERROR(__xludf.DUMMYFUNCTION("""COMPUTED_VALUE"""),256.0)</f>
        <v>256</v>
      </c>
      <c r="D2051" s="3">
        <f>IFERROR(__xludf.DUMMYFUNCTION("""COMPUTED_VALUE"""),16.0)</f>
        <v>16</v>
      </c>
      <c r="E2051" s="1" t="str">
        <f t="array" ref="E2051">_xlfn.XLOOKUP(A2051,Product!A:A,Product!B:B,"Bulunamadı")</f>
        <v>Tech</v>
      </c>
      <c r="F2051" s="1" t="str">
        <f t="array" ref="F2051">_xlfn.XLOOKUP(A2051,Product!A:A,Product!C:C,"Bulunamadı")</f>
        <v>Communication Skills</v>
      </c>
      <c r="G2051" s="2" t="str">
        <f t="array" ref="G2051">_xlfn.XLOOKUP(A2052,Product!A:A,Product!D:D,"Bulunamadı")</f>
        <v>Harborridge Publishing</v>
      </c>
      <c r="H2051" s="2">
        <f t="array" ref="H2051">_xlfn.XLOOKUP(A2053,Product!A:A,Product!E:E,"Bulunamadı")</f>
        <v>2.82</v>
      </c>
      <c r="I2051" s="2" t="str">
        <f t="shared" si="1"/>
        <v>194506 - Tech - Communication Skills</v>
      </c>
      <c r="J2051" s="2">
        <f t="shared" si="2"/>
        <v>45.12</v>
      </c>
      <c r="K2051" s="17">
        <f t="shared" si="3"/>
        <v>1</v>
      </c>
      <c r="L2051" s="18"/>
    </row>
    <row r="2052" hidden="1">
      <c r="A2052" s="2">
        <f>IFERROR(__xludf.DUMMYFUNCTION("""COMPUTED_VALUE"""),16240.0)</f>
        <v>16240</v>
      </c>
      <c r="B2052" s="2">
        <f>IFERROR(__xludf.DUMMYFUNCTION("""COMPUTED_VALUE"""),1.0)</f>
        <v>1</v>
      </c>
      <c r="C2052" s="2">
        <f>IFERROR(__xludf.DUMMYFUNCTION("""COMPUTED_VALUE"""),82.0)</f>
        <v>82</v>
      </c>
      <c r="D2052" s="3">
        <f>IFERROR(__xludf.DUMMYFUNCTION("""COMPUTED_VALUE"""),17.0)</f>
        <v>17</v>
      </c>
      <c r="E2052" s="1" t="str">
        <f t="array" ref="E2052">_xlfn.XLOOKUP(A2052,Product!A:A,Product!B:B,"Bulunamadı")</f>
        <v>Tech</v>
      </c>
      <c r="F2052" s="1" t="str">
        <f t="array" ref="F2052">_xlfn.XLOOKUP(A2052,Product!A:A,Product!C:C,"Bulunamadı")</f>
        <v>Communication Skills</v>
      </c>
      <c r="G2052" s="2" t="str">
        <f t="array" ref="G2052">_xlfn.XLOOKUP(A2053,Product!A:A,Product!D:D,"Bulunamadı")</f>
        <v>Harborridge Publishing</v>
      </c>
      <c r="H2052" s="2">
        <f t="array" ref="H2052">_xlfn.XLOOKUP(A2054,Product!A:A,Product!E:E,"Bulunamadı")</f>
        <v>3.06</v>
      </c>
      <c r="I2052" s="2" t="str">
        <f t="shared" si="1"/>
        <v>16240 - Tech - Communication Skills</v>
      </c>
      <c r="J2052" s="2">
        <f t="shared" si="2"/>
        <v>52.02</v>
      </c>
      <c r="K2052" s="17">
        <f t="shared" si="3"/>
        <v>1</v>
      </c>
      <c r="L2052" s="18"/>
    </row>
    <row r="2053" hidden="1">
      <c r="A2053" s="2">
        <f>IFERROR(__xludf.DUMMYFUNCTION("""COMPUTED_VALUE"""),16237.0)</f>
        <v>16237</v>
      </c>
      <c r="B2053" s="2">
        <f>IFERROR(__xludf.DUMMYFUNCTION("""COMPUTED_VALUE"""),0.0)</f>
        <v>0</v>
      </c>
      <c r="C2053" s="2">
        <f>IFERROR(__xludf.DUMMYFUNCTION("""COMPUTED_VALUE"""),870.0)</f>
        <v>870</v>
      </c>
      <c r="D2053" s="3">
        <f>IFERROR(__xludf.DUMMYFUNCTION("""COMPUTED_VALUE"""),170.0)</f>
        <v>170</v>
      </c>
      <c r="E2053" s="1" t="str">
        <f t="array" ref="E2053">_xlfn.XLOOKUP(A2053,Product!A:A,Product!B:B,"Bulunamadı")</f>
        <v>Tech</v>
      </c>
      <c r="F2053" s="1" t="str">
        <f t="array" ref="F2053">_xlfn.XLOOKUP(A2053,Product!A:A,Product!C:C,"Bulunamadı")</f>
        <v>Communication Skills</v>
      </c>
      <c r="G2053" s="2" t="str">
        <f t="array" ref="G2053">_xlfn.XLOOKUP(A2054,Product!A:A,Product!D:D,"Bulunamadı")</f>
        <v>Harborridge Publishing</v>
      </c>
      <c r="H2053" s="2">
        <f t="array" ref="H2053">_xlfn.XLOOKUP(A2055,Product!A:A,Product!E:E,"Bulunamadı")</f>
        <v>2.97</v>
      </c>
      <c r="I2053" s="2" t="str">
        <f t="shared" si="1"/>
        <v>16237 - Tech - Communication Skills</v>
      </c>
      <c r="J2053" s="2">
        <f t="shared" si="2"/>
        <v>504.9</v>
      </c>
      <c r="K2053" s="17">
        <f t="shared" si="3"/>
        <v>1</v>
      </c>
      <c r="L2053" s="18"/>
    </row>
    <row r="2054" hidden="1">
      <c r="A2054" s="2">
        <f>IFERROR(__xludf.DUMMYFUNCTION("""COMPUTED_VALUE"""),122760.0)</f>
        <v>122760</v>
      </c>
      <c r="B2054" s="2">
        <f>IFERROR(__xludf.DUMMYFUNCTION("""COMPUTED_VALUE"""),1.0)</f>
        <v>1</v>
      </c>
      <c r="C2054" s="2">
        <f>IFERROR(__xludf.DUMMYFUNCTION("""COMPUTED_VALUE"""),352.0)</f>
        <v>352</v>
      </c>
      <c r="D2054" s="3">
        <f>IFERROR(__xludf.DUMMYFUNCTION("""COMPUTED_VALUE"""),218.0)</f>
        <v>218</v>
      </c>
      <c r="E2054" s="1" t="str">
        <f t="array" ref="E2054">_xlfn.XLOOKUP(A2054,Product!A:A,Product!B:B,"Bulunamadı")</f>
        <v>Tech</v>
      </c>
      <c r="F2054" s="1" t="str">
        <f t="array" ref="F2054">_xlfn.XLOOKUP(A2054,Product!A:A,Product!C:C,"Bulunamadı")</f>
        <v>Communication Skills</v>
      </c>
      <c r="G2054" s="2" t="str">
        <f t="array" ref="G2054">_xlfn.XLOOKUP(A2055,Product!A:A,Product!D:D,"Bulunamadı")</f>
        <v>Harborridge Publishing</v>
      </c>
      <c r="H2054" s="2">
        <f t="array" ref="H2054">_xlfn.XLOOKUP(A2056,Product!A:A,Product!E:E,"Bulunamadı")</f>
        <v>1.35</v>
      </c>
      <c r="I2054" s="2" t="str">
        <f t="shared" si="1"/>
        <v>122760 - Tech - Communication Skills</v>
      </c>
      <c r="J2054" s="2">
        <f t="shared" si="2"/>
        <v>294.3</v>
      </c>
      <c r="K2054" s="17">
        <f t="shared" si="3"/>
        <v>1</v>
      </c>
      <c r="L2054" s="18"/>
    </row>
    <row r="2055" hidden="1">
      <c r="A2055" s="2">
        <f>IFERROR(__xludf.DUMMYFUNCTION("""COMPUTED_VALUE"""),82446.0)</f>
        <v>82446</v>
      </c>
      <c r="B2055" s="2">
        <f>IFERROR(__xludf.DUMMYFUNCTION("""COMPUTED_VALUE"""),0.0)</f>
        <v>0</v>
      </c>
      <c r="C2055" s="2">
        <f>IFERROR(__xludf.DUMMYFUNCTION("""COMPUTED_VALUE"""),101.0)</f>
        <v>101</v>
      </c>
      <c r="D2055" s="3">
        <f>IFERROR(__xludf.DUMMYFUNCTION("""COMPUTED_VALUE"""),97.0)</f>
        <v>97</v>
      </c>
      <c r="E2055" s="1" t="str">
        <f t="array" ref="E2055">_xlfn.XLOOKUP(A2055,Product!A:A,Product!B:B,"Bulunamadı")</f>
        <v>Tech</v>
      </c>
      <c r="F2055" s="1" t="str">
        <f t="array" ref="F2055">_xlfn.XLOOKUP(A2055,Product!A:A,Product!C:C,"Bulunamadı")</f>
        <v>Communication Skills</v>
      </c>
      <c r="G2055" s="2" t="str">
        <f t="array" ref="G2055">_xlfn.XLOOKUP(A2056,Product!A:A,Product!D:D,"Bulunamadı")</f>
        <v>Harborridge Publishing</v>
      </c>
      <c r="H2055" s="2">
        <f t="array" ref="H2055">_xlfn.XLOOKUP(A2057,Product!A:A,Product!E:E,"Bulunamadı")</f>
        <v>2.67</v>
      </c>
      <c r="I2055" s="2" t="str">
        <f t="shared" si="1"/>
        <v>82446 - Tech - Communication Skills</v>
      </c>
      <c r="J2055" s="2">
        <f t="shared" si="2"/>
        <v>258.99</v>
      </c>
      <c r="K2055" s="17">
        <f t="shared" si="3"/>
        <v>1</v>
      </c>
      <c r="L2055" s="18"/>
    </row>
    <row r="2056" hidden="1">
      <c r="A2056" s="2">
        <f>IFERROR(__xludf.DUMMYFUNCTION("""COMPUTED_VALUE"""),118333.0)</f>
        <v>118333</v>
      </c>
      <c r="B2056" s="2">
        <f>IFERROR(__xludf.DUMMYFUNCTION("""COMPUTED_VALUE"""),0.0)</f>
        <v>0</v>
      </c>
      <c r="C2056" s="2">
        <f>IFERROR(__xludf.DUMMYFUNCTION("""COMPUTED_VALUE"""),34.0)</f>
        <v>34</v>
      </c>
      <c r="D2056" s="3">
        <f>IFERROR(__xludf.DUMMYFUNCTION("""COMPUTED_VALUE"""),1.0)</f>
        <v>1</v>
      </c>
      <c r="E2056" s="1" t="str">
        <f t="array" ref="E2056">_xlfn.XLOOKUP(A2056,Product!A:A,Product!B:B,"Bulunamadı")</f>
        <v>Tech</v>
      </c>
      <c r="F2056" s="1" t="str">
        <f t="array" ref="F2056">_xlfn.XLOOKUP(A2056,Product!A:A,Product!C:C,"Bulunamadı")</f>
        <v>Communication Skills</v>
      </c>
      <c r="G2056" s="2" t="str">
        <f t="array" ref="G2056">_xlfn.XLOOKUP(A2057,Product!A:A,Product!D:D,"Bulunamadı")</f>
        <v>Harborridge Publishing</v>
      </c>
      <c r="H2056" s="2">
        <f t="array" ref="H2056">_xlfn.XLOOKUP(A2058,Product!A:A,Product!E:E,"Bulunamadı")</f>
        <v>2.33</v>
      </c>
      <c r="I2056" s="2" t="str">
        <f t="shared" si="1"/>
        <v>118333 - Tech - Communication Skills</v>
      </c>
      <c r="J2056" s="2">
        <f t="shared" si="2"/>
        <v>2.33</v>
      </c>
      <c r="K2056" s="17">
        <f t="shared" si="3"/>
        <v>1</v>
      </c>
      <c r="L2056" s="18"/>
    </row>
    <row r="2057" hidden="1">
      <c r="A2057" s="2">
        <f>IFERROR(__xludf.DUMMYFUNCTION("""COMPUTED_VALUE"""),122774.0)</f>
        <v>122774</v>
      </c>
      <c r="B2057" s="2">
        <f>IFERROR(__xludf.DUMMYFUNCTION("""COMPUTED_VALUE"""),0.0)</f>
        <v>0</v>
      </c>
      <c r="C2057" s="2">
        <f>IFERROR(__xludf.DUMMYFUNCTION("""COMPUTED_VALUE"""),627.0)</f>
        <v>627</v>
      </c>
      <c r="D2057" s="3">
        <f>IFERROR(__xludf.DUMMYFUNCTION("""COMPUTED_VALUE"""),210.0)</f>
        <v>210</v>
      </c>
      <c r="E2057" s="1" t="str">
        <f t="array" ref="E2057">_xlfn.XLOOKUP(A2057,Product!A:A,Product!B:B,"Bulunamadı")</f>
        <v>Tech</v>
      </c>
      <c r="F2057" s="1" t="str">
        <f t="array" ref="F2057">_xlfn.XLOOKUP(A2057,Product!A:A,Product!C:C,"Bulunamadı")</f>
        <v>Communication Skills</v>
      </c>
      <c r="G2057" s="2" t="str">
        <f t="array" ref="G2057">_xlfn.XLOOKUP(A2058,Product!A:A,Product!D:D,"Bulunamadı")</f>
        <v>Harborridge Publishing</v>
      </c>
      <c r="H2057" s="2">
        <f t="array" ref="H2057">_xlfn.XLOOKUP(A2059,Product!A:A,Product!E:E,"Bulunamadı")</f>
        <v>3.25</v>
      </c>
      <c r="I2057" s="2" t="str">
        <f t="shared" si="1"/>
        <v>122774 - Tech - Communication Skills</v>
      </c>
      <c r="J2057" s="2">
        <f t="shared" si="2"/>
        <v>682.5</v>
      </c>
      <c r="K2057" s="17">
        <f t="shared" si="3"/>
        <v>1</v>
      </c>
      <c r="L2057" s="18"/>
    </row>
    <row r="2058" hidden="1">
      <c r="A2058" s="2">
        <f>IFERROR(__xludf.DUMMYFUNCTION("""COMPUTED_VALUE"""),87789.0)</f>
        <v>87789</v>
      </c>
      <c r="B2058" s="2">
        <f>IFERROR(__xludf.DUMMYFUNCTION("""COMPUTED_VALUE"""),0.0)</f>
        <v>0</v>
      </c>
      <c r="C2058" s="2">
        <f>IFERROR(__xludf.DUMMYFUNCTION("""COMPUTED_VALUE"""),448.0)</f>
        <v>448</v>
      </c>
      <c r="D2058" s="3">
        <f>IFERROR(__xludf.DUMMYFUNCTION("""COMPUTED_VALUE"""),310.0)</f>
        <v>310</v>
      </c>
      <c r="E2058" s="1" t="str">
        <f t="array" ref="E2058">_xlfn.XLOOKUP(A2058,Product!A:A,Product!B:B,"Bulunamadı")</f>
        <v>Tech</v>
      </c>
      <c r="F2058" s="1" t="str">
        <f t="array" ref="F2058">_xlfn.XLOOKUP(A2058,Product!A:A,Product!C:C,"Bulunamadı")</f>
        <v>Communication Skills</v>
      </c>
      <c r="G2058" s="2" t="str">
        <f t="array" ref="G2058">_xlfn.XLOOKUP(A2059,Product!A:A,Product!D:D,"Bulunamadı")</f>
        <v>Harborridge Publishing</v>
      </c>
      <c r="H2058" s="2">
        <f t="array" ref="H2058">_xlfn.XLOOKUP(A2060,Product!A:A,Product!E:E,"Bulunamadı")</f>
        <v>2.61</v>
      </c>
      <c r="I2058" s="2" t="str">
        <f t="shared" si="1"/>
        <v>87789 - Tech - Communication Skills</v>
      </c>
      <c r="J2058" s="2">
        <f t="shared" si="2"/>
        <v>809.1</v>
      </c>
      <c r="K2058" s="17">
        <f t="shared" si="3"/>
        <v>1</v>
      </c>
      <c r="L2058" s="18"/>
    </row>
    <row r="2059" hidden="1">
      <c r="A2059" s="2">
        <f>IFERROR(__xludf.DUMMYFUNCTION("""COMPUTED_VALUE"""),111159.0)</f>
        <v>111159</v>
      </c>
      <c r="B2059" s="2">
        <f>IFERROR(__xludf.DUMMYFUNCTION("""COMPUTED_VALUE"""),0.0)</f>
        <v>0</v>
      </c>
      <c r="C2059" s="2">
        <f>IFERROR(__xludf.DUMMYFUNCTION("""COMPUTED_VALUE"""),396.0)</f>
        <v>396</v>
      </c>
      <c r="D2059" s="3">
        <f>IFERROR(__xludf.DUMMYFUNCTION("""COMPUTED_VALUE"""),219.0)</f>
        <v>219</v>
      </c>
      <c r="E2059" s="1" t="str">
        <f t="array" ref="E2059">_xlfn.XLOOKUP(A2059,Product!A:A,Product!B:B,"Bulunamadı")</f>
        <v>Tech</v>
      </c>
      <c r="F2059" s="1" t="str">
        <f t="array" ref="F2059">_xlfn.XLOOKUP(A2059,Product!A:A,Product!C:C,"Bulunamadı")</f>
        <v>Communication Skills</v>
      </c>
      <c r="G2059" s="2" t="str">
        <f t="array" ref="G2059">_xlfn.XLOOKUP(A2060,Product!A:A,Product!D:D,"Bulunamadı")</f>
        <v>Harborridge Publishing</v>
      </c>
      <c r="H2059" s="2">
        <f t="array" ref="H2059">_xlfn.XLOOKUP(A2061,Product!A:A,Product!E:E,"Bulunamadı")</f>
        <v>3.18</v>
      </c>
      <c r="I2059" s="2" t="str">
        <f t="shared" si="1"/>
        <v>111159 - Tech - Communication Skills</v>
      </c>
      <c r="J2059" s="2">
        <f t="shared" si="2"/>
        <v>696.42</v>
      </c>
      <c r="K2059" s="17">
        <f t="shared" si="3"/>
        <v>1</v>
      </c>
      <c r="L2059" s="18"/>
    </row>
    <row r="2060" hidden="1">
      <c r="A2060" s="2">
        <f>IFERROR(__xludf.DUMMYFUNCTION("""COMPUTED_VALUE"""),194500.0)</f>
        <v>194500</v>
      </c>
      <c r="B2060" s="2">
        <f>IFERROR(__xludf.DUMMYFUNCTION("""COMPUTED_VALUE"""),1.0)</f>
        <v>1</v>
      </c>
      <c r="C2060" s="2">
        <f>IFERROR(__xludf.DUMMYFUNCTION("""COMPUTED_VALUE"""),458.0)</f>
        <v>458</v>
      </c>
      <c r="D2060" s="3">
        <f>IFERROR(__xludf.DUMMYFUNCTION("""COMPUTED_VALUE"""),384.0)</f>
        <v>384</v>
      </c>
      <c r="E2060" s="1" t="str">
        <f t="array" ref="E2060">_xlfn.XLOOKUP(A2060,Product!A:A,Product!B:B,"Bulunamadı")</f>
        <v>Tech</v>
      </c>
      <c r="F2060" s="1" t="str">
        <f t="array" ref="F2060">_xlfn.XLOOKUP(A2060,Product!A:A,Product!C:C,"Bulunamadı")</f>
        <v>Communication Skills</v>
      </c>
      <c r="G2060" s="2" t="str">
        <f t="array" ref="G2060">_xlfn.XLOOKUP(A2061,Product!A:A,Product!D:D,"Bulunamadı")</f>
        <v>Harborridge Publishing</v>
      </c>
      <c r="H2060" s="2">
        <f t="array" ref="H2060">_xlfn.XLOOKUP(A2062,Product!A:A,Product!E:E,"Bulunamadı")</f>
        <v>3.52</v>
      </c>
      <c r="I2060" s="2" t="str">
        <f t="shared" si="1"/>
        <v>194500 - Tech - Communication Skills</v>
      </c>
      <c r="J2060" s="2">
        <f t="shared" si="2"/>
        <v>1351.68</v>
      </c>
      <c r="K2060" s="17">
        <f t="shared" si="3"/>
        <v>1</v>
      </c>
      <c r="L2060" s="18"/>
    </row>
    <row r="2061" hidden="1">
      <c r="A2061" s="2">
        <f>IFERROR(__xludf.DUMMYFUNCTION("""COMPUTED_VALUE"""),80432.0)</f>
        <v>80432</v>
      </c>
      <c r="B2061" s="2">
        <f>IFERROR(__xludf.DUMMYFUNCTION("""COMPUTED_VALUE"""),0.0)</f>
        <v>0</v>
      </c>
      <c r="C2061" s="2">
        <f>IFERROR(__xludf.DUMMYFUNCTION("""COMPUTED_VALUE"""),17.0)</f>
        <v>17</v>
      </c>
      <c r="D2061" s="3">
        <f>IFERROR(__xludf.DUMMYFUNCTION("""COMPUTED_VALUE"""),9.0)</f>
        <v>9</v>
      </c>
      <c r="E2061" s="1" t="str">
        <f t="array" ref="E2061">_xlfn.XLOOKUP(A2061,Product!A:A,Product!B:B,"Bulunamadı")</f>
        <v>Tech</v>
      </c>
      <c r="F2061" s="1" t="str">
        <f t="array" ref="F2061">_xlfn.XLOOKUP(A2061,Product!A:A,Product!C:C,"Bulunamadı")</f>
        <v>Communication Skills</v>
      </c>
      <c r="G2061" s="2" t="str">
        <f t="array" ref="G2061">_xlfn.XLOOKUP(A2062,Product!A:A,Product!D:D,"Bulunamadı")</f>
        <v>Harborridge Publishing</v>
      </c>
      <c r="H2061" s="2">
        <f t="array" ref="H2061">_xlfn.XLOOKUP(A2063,Product!A:A,Product!E:E,"Bulunamadı")</f>
        <v>1.56</v>
      </c>
      <c r="I2061" s="2" t="str">
        <f t="shared" si="1"/>
        <v>80432 - Tech - Communication Skills</v>
      </c>
      <c r="J2061" s="2">
        <f t="shared" si="2"/>
        <v>14.04</v>
      </c>
      <c r="K2061" s="17">
        <f t="shared" si="3"/>
        <v>1</v>
      </c>
      <c r="L2061" s="18"/>
    </row>
    <row r="2062" hidden="1">
      <c r="A2062" s="2">
        <f>IFERROR(__xludf.DUMMYFUNCTION("""COMPUTED_VALUE"""),122636.0)</f>
        <v>122636</v>
      </c>
      <c r="B2062" s="2">
        <f>IFERROR(__xludf.DUMMYFUNCTION("""COMPUTED_VALUE"""),1.0)</f>
        <v>1</v>
      </c>
      <c r="C2062" s="2">
        <f>IFERROR(__xludf.DUMMYFUNCTION("""COMPUTED_VALUE"""),157.0)</f>
        <v>157</v>
      </c>
      <c r="D2062" s="3">
        <f>IFERROR(__xludf.DUMMYFUNCTION("""COMPUTED_VALUE"""),139.0)</f>
        <v>139</v>
      </c>
      <c r="E2062" s="1" t="str">
        <f t="array" ref="E2062">_xlfn.XLOOKUP(A2062,Product!A:A,Product!B:B,"Bulunamadı")</f>
        <v>Tech</v>
      </c>
      <c r="F2062" s="1" t="str">
        <f t="array" ref="F2062">_xlfn.XLOOKUP(A2062,Product!A:A,Product!C:C,"Bulunamadı")</f>
        <v>Communication Skills</v>
      </c>
      <c r="G2062" s="2" t="str">
        <f t="array" ref="G2062">_xlfn.XLOOKUP(A2063,Product!A:A,Product!D:D,"Bulunamadı")</f>
        <v>Harborridge Publishing</v>
      </c>
      <c r="H2062" s="2">
        <f t="array" ref="H2062">_xlfn.XLOOKUP(A2064,Product!A:A,Product!E:E,"Bulunamadı")</f>
        <v>4.52</v>
      </c>
      <c r="I2062" s="2" t="str">
        <f t="shared" si="1"/>
        <v>122636 - Tech - Communication Skills</v>
      </c>
      <c r="J2062" s="2">
        <f t="shared" si="2"/>
        <v>628.28</v>
      </c>
      <c r="K2062" s="17">
        <f t="shared" si="3"/>
        <v>1</v>
      </c>
      <c r="L2062" s="18"/>
    </row>
    <row r="2063" hidden="1">
      <c r="A2063" s="2">
        <f>IFERROR(__xludf.DUMMYFUNCTION("""COMPUTED_VALUE"""),110697.0)</f>
        <v>110697</v>
      </c>
      <c r="B2063" s="2">
        <f>IFERROR(__xludf.DUMMYFUNCTION("""COMPUTED_VALUE"""),0.0)</f>
        <v>0</v>
      </c>
      <c r="C2063" s="2">
        <f>IFERROR(__xludf.DUMMYFUNCTION("""COMPUTED_VALUE"""),904.0)</f>
        <v>904</v>
      </c>
      <c r="D2063" s="3">
        <f>IFERROR(__xludf.DUMMYFUNCTION("""COMPUTED_VALUE"""),894.0)</f>
        <v>894</v>
      </c>
      <c r="E2063" s="1" t="str">
        <f t="array" ref="E2063">_xlfn.XLOOKUP(A2063,Product!A:A,Product!B:B,"Bulunamadı")</f>
        <v>Tech</v>
      </c>
      <c r="F2063" s="1" t="str">
        <f t="array" ref="F2063">_xlfn.XLOOKUP(A2063,Product!A:A,Product!C:C,"Bulunamadı")</f>
        <v>Communication Skills</v>
      </c>
      <c r="G2063" s="2" t="str">
        <f t="array" ref="G2063">_xlfn.XLOOKUP(A2064,Product!A:A,Product!D:D,"Bulunamadı")</f>
        <v>Harborridge Publishing</v>
      </c>
      <c r="H2063" s="2">
        <f t="array" ref="H2063">_xlfn.XLOOKUP(A2065,Product!A:A,Product!E:E,"Bulunamadı")</f>
        <v>3.22</v>
      </c>
      <c r="I2063" s="2" t="str">
        <f t="shared" si="1"/>
        <v>110697 - Tech - Communication Skills</v>
      </c>
      <c r="J2063" s="2">
        <f t="shared" si="2"/>
        <v>2878.68</v>
      </c>
      <c r="K2063" s="17">
        <f t="shared" si="3"/>
        <v>1</v>
      </c>
      <c r="L2063" s="18"/>
    </row>
    <row r="2064" hidden="1">
      <c r="A2064" s="2">
        <f>IFERROR(__xludf.DUMMYFUNCTION("""COMPUTED_VALUE"""),117966.0)</f>
        <v>117966</v>
      </c>
      <c r="B2064" s="2">
        <f>IFERROR(__xludf.DUMMYFUNCTION("""COMPUTED_VALUE"""),0.0)</f>
        <v>0</v>
      </c>
      <c r="C2064" s="2">
        <f>IFERROR(__xludf.DUMMYFUNCTION("""COMPUTED_VALUE"""),936.0)</f>
        <v>936</v>
      </c>
      <c r="D2064" s="3">
        <f>IFERROR(__xludf.DUMMYFUNCTION("""COMPUTED_VALUE"""),632.0)</f>
        <v>632</v>
      </c>
      <c r="E2064" s="1" t="str">
        <f t="array" ref="E2064">_xlfn.XLOOKUP(A2064,Product!A:A,Product!B:B,"Bulunamadı")</f>
        <v>Tech</v>
      </c>
      <c r="F2064" s="1" t="str">
        <f t="array" ref="F2064">_xlfn.XLOOKUP(A2064,Product!A:A,Product!C:C,"Bulunamadı")</f>
        <v>Communication Skills</v>
      </c>
      <c r="G2064" s="2" t="str">
        <f t="array" ref="G2064">_xlfn.XLOOKUP(A2065,Product!A:A,Product!D:D,"Bulunamadı")</f>
        <v>Harborridge Publishing</v>
      </c>
      <c r="H2064" s="2">
        <f t="array" ref="H2064">_xlfn.XLOOKUP(A2066,Product!A:A,Product!E:E,"Bulunamadı")</f>
        <v>3.11</v>
      </c>
      <c r="I2064" s="2" t="str">
        <f t="shared" si="1"/>
        <v>117966 - Tech - Communication Skills</v>
      </c>
      <c r="J2064" s="2">
        <f t="shared" si="2"/>
        <v>1965.52</v>
      </c>
      <c r="K2064" s="17">
        <f t="shared" si="3"/>
        <v>1</v>
      </c>
      <c r="L2064" s="18"/>
    </row>
    <row r="2065" hidden="1">
      <c r="A2065" s="2">
        <f>IFERROR(__xludf.DUMMYFUNCTION("""COMPUTED_VALUE"""),122782.0)</f>
        <v>122782</v>
      </c>
      <c r="B2065" s="2">
        <f>IFERROR(__xludf.DUMMYFUNCTION("""COMPUTED_VALUE"""),0.0)</f>
        <v>0</v>
      </c>
      <c r="C2065" s="2">
        <f>IFERROR(__xludf.DUMMYFUNCTION("""COMPUTED_VALUE"""),742.0)</f>
        <v>742</v>
      </c>
      <c r="D2065" s="3">
        <f>IFERROR(__xludf.DUMMYFUNCTION("""COMPUTED_VALUE"""),58.0)</f>
        <v>58</v>
      </c>
      <c r="E2065" s="1" t="str">
        <f t="array" ref="E2065">_xlfn.XLOOKUP(A2065,Product!A:A,Product!B:B,"Bulunamadı")</f>
        <v>Tech</v>
      </c>
      <c r="F2065" s="1" t="str">
        <f t="array" ref="F2065">_xlfn.XLOOKUP(A2065,Product!A:A,Product!C:C,"Bulunamadı")</f>
        <v>Communication Skills</v>
      </c>
      <c r="G2065" s="2" t="str">
        <f t="array" ref="G2065">_xlfn.XLOOKUP(A2066,Product!A:A,Product!D:D,"Bulunamadı")</f>
        <v>Harborridge Publishing</v>
      </c>
      <c r="H2065" s="2">
        <f t="array" ref="H2065">_xlfn.XLOOKUP(A2067,Product!A:A,Product!E:E,"Bulunamadı")</f>
        <v>1.37</v>
      </c>
      <c r="I2065" s="2" t="str">
        <f t="shared" si="1"/>
        <v>122782 - Tech - Communication Skills</v>
      </c>
      <c r="J2065" s="2">
        <f t="shared" si="2"/>
        <v>79.46</v>
      </c>
      <c r="K2065" s="17">
        <f t="shared" si="3"/>
        <v>1</v>
      </c>
      <c r="L2065" s="18"/>
    </row>
    <row r="2066" hidden="1">
      <c r="A2066" s="2">
        <f>IFERROR(__xludf.DUMMYFUNCTION("""COMPUTED_VALUE"""),49358.0)</f>
        <v>49358</v>
      </c>
      <c r="B2066" s="2">
        <f>IFERROR(__xludf.DUMMYFUNCTION("""COMPUTED_VALUE"""),1.0)</f>
        <v>1</v>
      </c>
      <c r="C2066" s="2">
        <f>IFERROR(__xludf.DUMMYFUNCTION("""COMPUTED_VALUE"""),352.0)</f>
        <v>352</v>
      </c>
      <c r="D2066" s="3">
        <f>IFERROR(__xludf.DUMMYFUNCTION("""COMPUTED_VALUE"""),126.0)</f>
        <v>126</v>
      </c>
      <c r="E2066" s="1" t="str">
        <f t="array" ref="E2066">_xlfn.XLOOKUP(A2066,Product!A:A,Product!B:B,"Bulunamadı")</f>
        <v>Tech</v>
      </c>
      <c r="F2066" s="1" t="str">
        <f t="array" ref="F2066">_xlfn.XLOOKUP(A2066,Product!A:A,Product!C:C,"Bulunamadı")</f>
        <v>Communication Skills</v>
      </c>
      <c r="G2066" s="2" t="str">
        <f t="array" ref="G2066">_xlfn.XLOOKUP(A2067,Product!A:A,Product!D:D,"Bulunamadı")</f>
        <v>Harborridge Publishing</v>
      </c>
      <c r="H2066" s="2">
        <f t="array" ref="H2066">_xlfn.XLOOKUP(A2068,Product!A:A,Product!E:E,"Bulunamadı")</f>
        <v>1.03</v>
      </c>
      <c r="I2066" s="2" t="str">
        <f t="shared" si="1"/>
        <v>49358 - Tech - Communication Skills</v>
      </c>
      <c r="J2066" s="2">
        <f t="shared" si="2"/>
        <v>129.78</v>
      </c>
      <c r="K2066" s="17">
        <f t="shared" si="3"/>
        <v>1</v>
      </c>
      <c r="L2066" s="18"/>
    </row>
    <row r="2067" hidden="1">
      <c r="A2067" s="2">
        <f>IFERROR(__xludf.DUMMYFUNCTION("""COMPUTED_VALUE"""),190250.0)</f>
        <v>190250</v>
      </c>
      <c r="B2067" s="2">
        <f>IFERROR(__xludf.DUMMYFUNCTION("""COMPUTED_VALUE"""),0.0)</f>
        <v>0</v>
      </c>
      <c r="C2067" s="2">
        <f>IFERROR(__xludf.DUMMYFUNCTION("""COMPUTED_VALUE"""),175.0)</f>
        <v>175</v>
      </c>
      <c r="D2067" s="3">
        <f>IFERROR(__xludf.DUMMYFUNCTION("""COMPUTED_VALUE"""),90.0)</f>
        <v>90</v>
      </c>
      <c r="E2067" s="1" t="str">
        <f t="array" ref="E2067">_xlfn.XLOOKUP(A2067,Product!A:A,Product!B:B,"Bulunamadı")</f>
        <v>Tech</v>
      </c>
      <c r="F2067" s="1" t="str">
        <f t="array" ref="F2067">_xlfn.XLOOKUP(A2067,Product!A:A,Product!C:C,"Bulunamadı")</f>
        <v>Communication Skills</v>
      </c>
      <c r="G2067" s="2" t="str">
        <f t="array" ref="G2067">_xlfn.XLOOKUP(A2068,Product!A:A,Product!D:D,"Bulunamadı")</f>
        <v>Harborridge Publishing</v>
      </c>
      <c r="H2067" s="2">
        <f t="array" ref="H2067">_xlfn.XLOOKUP(A2069,Product!A:A,Product!E:E,"Bulunamadı")</f>
        <v>2.24</v>
      </c>
      <c r="I2067" s="2" t="str">
        <f t="shared" si="1"/>
        <v>190250 - Tech - Communication Skills</v>
      </c>
      <c r="J2067" s="2">
        <f t="shared" si="2"/>
        <v>201.6</v>
      </c>
      <c r="K2067" s="17">
        <f t="shared" si="3"/>
        <v>1</v>
      </c>
      <c r="L2067" s="18"/>
    </row>
    <row r="2068" hidden="1">
      <c r="A2068" s="2">
        <f>IFERROR(__xludf.DUMMYFUNCTION("""COMPUTED_VALUE"""),100243.0)</f>
        <v>100243</v>
      </c>
      <c r="B2068" s="2">
        <f>IFERROR(__xludf.DUMMYFUNCTION("""COMPUTED_VALUE"""),1.0)</f>
        <v>1</v>
      </c>
      <c r="C2068" s="2">
        <f>IFERROR(__xludf.DUMMYFUNCTION("""COMPUTED_VALUE"""),573.0)</f>
        <v>573</v>
      </c>
      <c r="D2068" s="3">
        <f>IFERROR(__xludf.DUMMYFUNCTION("""COMPUTED_VALUE"""),188.0)</f>
        <v>188</v>
      </c>
      <c r="E2068" s="1" t="str">
        <f t="array" ref="E2068">_xlfn.XLOOKUP(A2068,Product!A:A,Product!B:B,"Bulunamadı")</f>
        <v>Tech</v>
      </c>
      <c r="F2068" s="1" t="str">
        <f t="array" ref="F2068">_xlfn.XLOOKUP(A2068,Product!A:A,Product!C:C,"Bulunamadı")</f>
        <v>Communication Skills</v>
      </c>
      <c r="G2068" s="2" t="str">
        <f t="array" ref="G2068">_xlfn.XLOOKUP(A2069,Product!A:A,Product!D:D,"Bulunamadı")</f>
        <v>Harborridge Publishing</v>
      </c>
      <c r="H2068" s="2">
        <f t="array" ref="H2068">_xlfn.XLOOKUP(A2070,Product!A:A,Product!E:E,"Bulunamadı")</f>
        <v>1.88</v>
      </c>
      <c r="I2068" s="2" t="str">
        <f t="shared" si="1"/>
        <v>100243 - Tech - Communication Skills</v>
      </c>
      <c r="J2068" s="2">
        <f t="shared" si="2"/>
        <v>353.44</v>
      </c>
      <c r="K2068" s="17">
        <f t="shared" si="3"/>
        <v>1</v>
      </c>
      <c r="L2068" s="18"/>
    </row>
    <row r="2069" hidden="1">
      <c r="A2069" s="2">
        <f>IFERROR(__xludf.DUMMYFUNCTION("""COMPUTED_VALUE"""),87773.0)</f>
        <v>87773</v>
      </c>
      <c r="B2069" s="2">
        <f>IFERROR(__xludf.DUMMYFUNCTION("""COMPUTED_VALUE"""),1.0)</f>
        <v>1</v>
      </c>
      <c r="C2069" s="2">
        <f>IFERROR(__xludf.DUMMYFUNCTION("""COMPUTED_VALUE"""),946.0)</f>
        <v>946</v>
      </c>
      <c r="D2069" s="3">
        <f>IFERROR(__xludf.DUMMYFUNCTION("""COMPUTED_VALUE"""),743.0)</f>
        <v>743</v>
      </c>
      <c r="E2069" s="1" t="str">
        <f t="array" ref="E2069">_xlfn.XLOOKUP(A2069,Product!A:A,Product!B:B,"Bulunamadı")</f>
        <v>Tech</v>
      </c>
      <c r="F2069" s="1" t="str">
        <f t="array" ref="F2069">_xlfn.XLOOKUP(A2069,Product!A:A,Product!C:C,"Bulunamadı")</f>
        <v>Communication Skills</v>
      </c>
      <c r="G2069" s="2" t="str">
        <f t="array" ref="G2069">_xlfn.XLOOKUP(A2070,Product!A:A,Product!D:D,"Bulunamadı")</f>
        <v>Harborridge Publishing</v>
      </c>
      <c r="H2069" s="2">
        <f t="array" ref="H2069">_xlfn.XLOOKUP(A2071,Product!A:A,Product!E:E,"Bulunamadı")</f>
        <v>2.39</v>
      </c>
      <c r="I2069" s="2" t="str">
        <f t="shared" si="1"/>
        <v>87773 - Tech - Communication Skills</v>
      </c>
      <c r="J2069" s="2">
        <f t="shared" si="2"/>
        <v>1775.77</v>
      </c>
      <c r="K2069" s="17">
        <f t="shared" si="3"/>
        <v>1</v>
      </c>
      <c r="L2069" s="18"/>
    </row>
    <row r="2070" hidden="1">
      <c r="A2070" s="2">
        <f>IFERROR(__xludf.DUMMYFUNCTION("""COMPUTED_VALUE"""),79103.0)</f>
        <v>79103</v>
      </c>
      <c r="B2070" s="2">
        <f>IFERROR(__xludf.DUMMYFUNCTION("""COMPUTED_VALUE"""),0.0)</f>
        <v>0</v>
      </c>
      <c r="C2070" s="2">
        <f>IFERROR(__xludf.DUMMYFUNCTION("""COMPUTED_VALUE"""),77.0)</f>
        <v>77</v>
      </c>
      <c r="D2070" s="3">
        <f>IFERROR(__xludf.DUMMYFUNCTION("""COMPUTED_VALUE"""),28.0)</f>
        <v>28</v>
      </c>
      <c r="E2070" s="1" t="str">
        <f t="array" ref="E2070">_xlfn.XLOOKUP(A2070,Product!A:A,Product!B:B,"Bulunamadı")</f>
        <v>Tech</v>
      </c>
      <c r="F2070" s="1" t="str">
        <f t="array" ref="F2070">_xlfn.XLOOKUP(A2070,Product!A:A,Product!C:C,"Bulunamadı")</f>
        <v>Communication Skills</v>
      </c>
      <c r="G2070" s="2" t="str">
        <f t="array" ref="G2070">_xlfn.XLOOKUP(A2071,Product!A:A,Product!D:D,"Bulunamadı")</f>
        <v>Harborridge Publishing</v>
      </c>
      <c r="H2070" s="2">
        <f t="array" ref="H2070">_xlfn.XLOOKUP(A2072,Product!A:A,Product!E:E,"Bulunamadı")</f>
        <v>1.74</v>
      </c>
      <c r="I2070" s="2" t="str">
        <f t="shared" si="1"/>
        <v>79103 - Tech - Communication Skills</v>
      </c>
      <c r="J2070" s="2">
        <f t="shared" si="2"/>
        <v>48.72</v>
      </c>
      <c r="K2070" s="17">
        <f t="shared" si="3"/>
        <v>1</v>
      </c>
      <c r="L2070" s="18"/>
    </row>
    <row r="2071" hidden="1">
      <c r="A2071" s="2">
        <f>IFERROR(__xludf.DUMMYFUNCTION("""COMPUTED_VALUE"""),87759.0)</f>
        <v>87759</v>
      </c>
      <c r="B2071" s="2">
        <f>IFERROR(__xludf.DUMMYFUNCTION("""COMPUTED_VALUE"""),1.0)</f>
        <v>1</v>
      </c>
      <c r="C2071" s="2">
        <f>IFERROR(__xludf.DUMMYFUNCTION("""COMPUTED_VALUE"""),26.0)</f>
        <v>26</v>
      </c>
      <c r="D2071" s="3">
        <f>IFERROR(__xludf.DUMMYFUNCTION("""COMPUTED_VALUE"""),18.0)</f>
        <v>18</v>
      </c>
      <c r="E2071" s="1" t="str">
        <f t="array" ref="E2071">_xlfn.XLOOKUP(A2071,Product!A:A,Product!B:B,"Bulunamadı")</f>
        <v>Tech</v>
      </c>
      <c r="F2071" s="1" t="str">
        <f t="array" ref="F2071">_xlfn.XLOOKUP(A2071,Product!A:A,Product!C:C,"Bulunamadı")</f>
        <v>Communication Skills</v>
      </c>
      <c r="G2071" s="2" t="str">
        <f t="array" ref="G2071">_xlfn.XLOOKUP(A2072,Product!A:A,Product!D:D,"Bulunamadı")</f>
        <v>Harborridge Publishing</v>
      </c>
      <c r="H2071" s="2">
        <f t="array" ref="H2071">_xlfn.XLOOKUP(A2073,Product!A:A,Product!E:E,"Bulunamadı")</f>
        <v>1.55</v>
      </c>
      <c r="I2071" s="2" t="str">
        <f t="shared" si="1"/>
        <v>87759 - Tech - Communication Skills</v>
      </c>
      <c r="J2071" s="2">
        <f t="shared" si="2"/>
        <v>27.9</v>
      </c>
      <c r="K2071" s="17">
        <f t="shared" si="3"/>
        <v>1</v>
      </c>
      <c r="L2071" s="18"/>
    </row>
    <row r="2072" hidden="1">
      <c r="A2072" s="2">
        <f>IFERROR(__xludf.DUMMYFUNCTION("""COMPUTED_VALUE"""),82461.0)</f>
        <v>82461</v>
      </c>
      <c r="B2072" s="2">
        <f>IFERROR(__xludf.DUMMYFUNCTION("""COMPUTED_VALUE"""),1.0)</f>
        <v>1</v>
      </c>
      <c r="C2072" s="2">
        <f>IFERROR(__xludf.DUMMYFUNCTION("""COMPUTED_VALUE"""),425.0)</f>
        <v>425</v>
      </c>
      <c r="D2072" s="3">
        <f>IFERROR(__xludf.DUMMYFUNCTION("""COMPUTED_VALUE"""),159.0)</f>
        <v>159</v>
      </c>
      <c r="E2072" s="1" t="str">
        <f t="array" ref="E2072">_xlfn.XLOOKUP(A2072,Product!A:A,Product!B:B,"Bulunamadı")</f>
        <v>Tech</v>
      </c>
      <c r="F2072" s="1" t="str">
        <f t="array" ref="F2072">_xlfn.XLOOKUP(A2072,Product!A:A,Product!C:C,"Bulunamadı")</f>
        <v>Communication Skills</v>
      </c>
      <c r="G2072" s="2" t="str">
        <f t="array" ref="G2072">_xlfn.XLOOKUP(A2073,Product!A:A,Product!D:D,"Bulunamadı")</f>
        <v>Harborridge Publishing</v>
      </c>
      <c r="H2072" s="2">
        <f t="array" ref="H2072">_xlfn.XLOOKUP(A2074,Product!A:A,Product!E:E,"Bulunamadı")</f>
        <v>2.64</v>
      </c>
      <c r="I2072" s="2" t="str">
        <f t="shared" si="1"/>
        <v>82461 - Tech - Communication Skills</v>
      </c>
      <c r="J2072" s="2">
        <f t="shared" si="2"/>
        <v>419.76</v>
      </c>
      <c r="K2072" s="17">
        <f t="shared" si="3"/>
        <v>1</v>
      </c>
      <c r="L2072" s="18"/>
    </row>
    <row r="2073" hidden="1">
      <c r="A2073" s="2">
        <f>IFERROR(__xludf.DUMMYFUNCTION("""COMPUTED_VALUE"""),122613.0)</f>
        <v>122613</v>
      </c>
      <c r="B2073" s="2">
        <f>IFERROR(__xludf.DUMMYFUNCTION("""COMPUTED_VALUE"""),0.0)</f>
        <v>0</v>
      </c>
      <c r="C2073" s="2">
        <f>IFERROR(__xludf.DUMMYFUNCTION("""COMPUTED_VALUE"""),322.0)</f>
        <v>322</v>
      </c>
      <c r="D2073" s="3">
        <f>IFERROR(__xludf.DUMMYFUNCTION("""COMPUTED_VALUE"""),196.0)</f>
        <v>196</v>
      </c>
      <c r="E2073" s="1" t="str">
        <f t="array" ref="E2073">_xlfn.XLOOKUP(A2073,Product!A:A,Product!B:B,"Bulunamadı")</f>
        <v>Tech</v>
      </c>
      <c r="F2073" s="1" t="str">
        <f t="array" ref="F2073">_xlfn.XLOOKUP(A2073,Product!A:A,Product!C:C,"Bulunamadı")</f>
        <v>Communication Skills</v>
      </c>
      <c r="G2073" s="2" t="str">
        <f t="array" ref="G2073">_xlfn.XLOOKUP(A2074,Product!A:A,Product!D:D,"Bulunamadı")</f>
        <v>Harborridge Publishing</v>
      </c>
      <c r="H2073" s="2">
        <f t="array" ref="H2073">_xlfn.XLOOKUP(A2075,Product!A:A,Product!E:E,"Bulunamadı")</f>
        <v>2.29</v>
      </c>
      <c r="I2073" s="2" t="str">
        <f t="shared" si="1"/>
        <v>122613 - Tech - Communication Skills</v>
      </c>
      <c r="J2073" s="2">
        <f t="shared" si="2"/>
        <v>448.84</v>
      </c>
      <c r="K2073" s="17">
        <f t="shared" si="3"/>
        <v>1</v>
      </c>
      <c r="L2073" s="18"/>
    </row>
    <row r="2074" hidden="1">
      <c r="A2074" s="2">
        <f>IFERROR(__xludf.DUMMYFUNCTION("""COMPUTED_VALUE"""),79746.0)</f>
        <v>79746</v>
      </c>
      <c r="B2074" s="2">
        <f>IFERROR(__xludf.DUMMYFUNCTION("""COMPUTED_VALUE"""),0.0)</f>
        <v>0</v>
      </c>
      <c r="C2074" s="2">
        <f>IFERROR(__xludf.DUMMYFUNCTION("""COMPUTED_VALUE"""),264.0)</f>
        <v>264</v>
      </c>
      <c r="D2074" s="3">
        <f>IFERROR(__xludf.DUMMYFUNCTION("""COMPUTED_VALUE"""),155.0)</f>
        <v>155</v>
      </c>
      <c r="E2074" s="1" t="str">
        <f t="array" ref="E2074">_xlfn.XLOOKUP(A2074,Product!A:A,Product!B:B,"Bulunamadı")</f>
        <v>Tech</v>
      </c>
      <c r="F2074" s="1" t="str">
        <f t="array" ref="F2074">_xlfn.XLOOKUP(A2074,Product!A:A,Product!C:C,"Bulunamadı")</f>
        <v>Communication Skills</v>
      </c>
      <c r="G2074" s="2" t="str">
        <f t="array" ref="G2074">_xlfn.XLOOKUP(A2075,Product!A:A,Product!D:D,"Bulunamadı")</f>
        <v>Harborridge Publishing</v>
      </c>
      <c r="H2074" s="2">
        <f t="array" ref="H2074">_xlfn.XLOOKUP(A2076,Product!A:A,Product!E:E,"Bulunamadı")</f>
        <v>2.83</v>
      </c>
      <c r="I2074" s="2" t="str">
        <f t="shared" si="1"/>
        <v>79746 - Tech - Communication Skills</v>
      </c>
      <c r="J2074" s="2">
        <f t="shared" si="2"/>
        <v>438.65</v>
      </c>
      <c r="K2074" s="17">
        <f t="shared" si="3"/>
        <v>1</v>
      </c>
      <c r="L2074" s="18"/>
    </row>
    <row r="2075" hidden="1">
      <c r="A2075" s="2">
        <f>IFERROR(__xludf.DUMMYFUNCTION("""COMPUTED_VALUE"""),110860.0)</f>
        <v>110860</v>
      </c>
      <c r="B2075" s="2">
        <f>IFERROR(__xludf.DUMMYFUNCTION("""COMPUTED_VALUE"""),1.0)</f>
        <v>1</v>
      </c>
      <c r="C2075" s="2">
        <f>IFERROR(__xludf.DUMMYFUNCTION("""COMPUTED_VALUE"""),275.0)</f>
        <v>275</v>
      </c>
      <c r="D2075" s="3">
        <f>IFERROR(__xludf.DUMMYFUNCTION("""COMPUTED_VALUE"""),205.0)</f>
        <v>205</v>
      </c>
      <c r="E2075" s="1" t="str">
        <f t="array" ref="E2075">_xlfn.XLOOKUP(A2075,Product!A:A,Product!B:B,"Bulunamadı")</f>
        <v>Tech</v>
      </c>
      <c r="F2075" s="1" t="str">
        <f t="array" ref="F2075">_xlfn.XLOOKUP(A2075,Product!A:A,Product!C:C,"Bulunamadı")</f>
        <v>Communication Skills</v>
      </c>
      <c r="G2075" s="2" t="str">
        <f t="array" ref="G2075">_xlfn.XLOOKUP(A2076,Product!A:A,Product!D:D,"Bulunamadı")</f>
        <v>Harborridge Publishing</v>
      </c>
      <c r="H2075" s="2">
        <f t="array" ref="H2075">_xlfn.XLOOKUP(A2077,Product!A:A,Product!E:E,"Bulunamadı")</f>
        <v>2.72</v>
      </c>
      <c r="I2075" s="2" t="str">
        <f t="shared" si="1"/>
        <v>110860 - Tech - Communication Skills</v>
      </c>
      <c r="J2075" s="2">
        <f t="shared" si="2"/>
        <v>557.6</v>
      </c>
      <c r="K2075" s="17">
        <f t="shared" si="3"/>
        <v>1</v>
      </c>
      <c r="L2075" s="18"/>
    </row>
    <row r="2076" hidden="1">
      <c r="A2076" s="2">
        <f>IFERROR(__xludf.DUMMYFUNCTION("""COMPUTED_VALUE"""),49355.0)</f>
        <v>49355</v>
      </c>
      <c r="B2076" s="2">
        <f>IFERROR(__xludf.DUMMYFUNCTION("""COMPUTED_VALUE"""),0.0)</f>
        <v>0</v>
      </c>
      <c r="C2076" s="2">
        <f>IFERROR(__xludf.DUMMYFUNCTION("""COMPUTED_VALUE"""),384.0)</f>
        <v>384</v>
      </c>
      <c r="D2076" s="3">
        <f>IFERROR(__xludf.DUMMYFUNCTION("""COMPUTED_VALUE"""),141.0)</f>
        <v>141</v>
      </c>
      <c r="E2076" s="1" t="str">
        <f t="array" ref="E2076">_xlfn.XLOOKUP(A2076,Product!A:A,Product!B:B,"Bulunamadı")</f>
        <v>Tech</v>
      </c>
      <c r="F2076" s="1" t="str">
        <f t="array" ref="F2076">_xlfn.XLOOKUP(A2076,Product!A:A,Product!C:C,"Bulunamadı")</f>
        <v>Communication Skills</v>
      </c>
      <c r="G2076" s="2" t="str">
        <f t="array" ref="G2076">_xlfn.XLOOKUP(A2077,Product!A:A,Product!D:D,"Bulunamadı")</f>
        <v>Harborridge Publishing</v>
      </c>
      <c r="H2076" s="2">
        <f t="array" ref="H2076">_xlfn.XLOOKUP(A2078,Product!A:A,Product!E:E,"Bulunamadı")</f>
        <v>2.34</v>
      </c>
      <c r="I2076" s="2" t="str">
        <f t="shared" si="1"/>
        <v>49355 - Tech - Communication Skills</v>
      </c>
      <c r="J2076" s="2">
        <f t="shared" si="2"/>
        <v>329.94</v>
      </c>
      <c r="K2076" s="17">
        <f t="shared" si="3"/>
        <v>1</v>
      </c>
      <c r="L2076" s="18"/>
    </row>
    <row r="2077" hidden="1">
      <c r="A2077" s="2">
        <f>IFERROR(__xludf.DUMMYFUNCTION("""COMPUTED_VALUE"""),93520.0)</f>
        <v>93520</v>
      </c>
      <c r="B2077" s="2">
        <f>IFERROR(__xludf.DUMMYFUNCTION("""COMPUTED_VALUE"""),1.0)</f>
        <v>1</v>
      </c>
      <c r="C2077" s="2">
        <f>IFERROR(__xludf.DUMMYFUNCTION("""COMPUTED_VALUE"""),453.0)</f>
        <v>453</v>
      </c>
      <c r="D2077" s="3">
        <f>IFERROR(__xludf.DUMMYFUNCTION("""COMPUTED_VALUE"""),156.0)</f>
        <v>156</v>
      </c>
      <c r="E2077" s="1" t="str">
        <f t="array" ref="E2077">_xlfn.XLOOKUP(A2077,Product!A:A,Product!B:B,"Bulunamadı")</f>
        <v>Tech</v>
      </c>
      <c r="F2077" s="1" t="str">
        <f t="array" ref="F2077">_xlfn.XLOOKUP(A2077,Product!A:A,Product!C:C,"Bulunamadı")</f>
        <v>Communication Skills</v>
      </c>
      <c r="G2077" s="2" t="str">
        <f t="array" ref="G2077">_xlfn.XLOOKUP(A2078,Product!A:A,Product!D:D,"Bulunamadı")</f>
        <v>Harborridge Publishing</v>
      </c>
      <c r="H2077" s="2">
        <f t="array" ref="H2077">_xlfn.XLOOKUP(A2079,Product!A:A,Product!E:E,"Bulunamadı")</f>
        <v>1.89</v>
      </c>
      <c r="I2077" s="2" t="str">
        <f t="shared" si="1"/>
        <v>93520 - Tech - Communication Skills</v>
      </c>
      <c r="J2077" s="2">
        <f t="shared" si="2"/>
        <v>294.84</v>
      </c>
      <c r="K2077" s="17">
        <f t="shared" si="3"/>
        <v>1</v>
      </c>
      <c r="L2077" s="18"/>
    </row>
    <row r="2078" hidden="1">
      <c r="A2078" s="2">
        <f>IFERROR(__xludf.DUMMYFUNCTION("""COMPUTED_VALUE"""),87765.0)</f>
        <v>87765</v>
      </c>
      <c r="B2078" s="2">
        <f>IFERROR(__xludf.DUMMYFUNCTION("""COMPUTED_VALUE"""),0.0)</f>
        <v>0</v>
      </c>
      <c r="C2078" s="2">
        <f>IFERROR(__xludf.DUMMYFUNCTION("""COMPUTED_VALUE"""),26.0)</f>
        <v>26</v>
      </c>
      <c r="D2078" s="3">
        <f>IFERROR(__xludf.DUMMYFUNCTION("""COMPUTED_VALUE"""),10.0)</f>
        <v>10</v>
      </c>
      <c r="E2078" s="1" t="str">
        <f t="array" ref="E2078">_xlfn.XLOOKUP(A2078,Product!A:A,Product!B:B,"Bulunamadı")</f>
        <v>Tech</v>
      </c>
      <c r="F2078" s="1" t="str">
        <f t="array" ref="F2078">_xlfn.XLOOKUP(A2078,Product!A:A,Product!C:C,"Bulunamadı")</f>
        <v>Communication Skills</v>
      </c>
      <c r="G2078" s="2" t="str">
        <f t="array" ref="G2078">_xlfn.XLOOKUP(A2079,Product!A:A,Product!D:D,"Bulunamadı")</f>
        <v>Harborridge Publishing</v>
      </c>
      <c r="H2078" s="2">
        <f t="array" ref="H2078">_xlfn.XLOOKUP(A2080,Product!A:A,Product!E:E,"Bulunamadı")</f>
        <v>2.79</v>
      </c>
      <c r="I2078" s="2" t="str">
        <f t="shared" si="1"/>
        <v>87765 - Tech - Communication Skills</v>
      </c>
      <c r="J2078" s="2">
        <f t="shared" si="2"/>
        <v>27.9</v>
      </c>
      <c r="K2078" s="17">
        <f t="shared" si="3"/>
        <v>1</v>
      </c>
      <c r="L2078" s="18"/>
    </row>
    <row r="2079" hidden="1">
      <c r="A2079" s="2">
        <f>IFERROR(__xludf.DUMMYFUNCTION("""COMPUTED_VALUE"""),110863.0)</f>
        <v>110863</v>
      </c>
      <c r="B2079" s="2">
        <f>IFERROR(__xludf.DUMMYFUNCTION("""COMPUTED_VALUE"""),1.0)</f>
        <v>1</v>
      </c>
      <c r="C2079" s="2">
        <f>IFERROR(__xludf.DUMMYFUNCTION("""COMPUTED_VALUE"""),551.0)</f>
        <v>551</v>
      </c>
      <c r="D2079" s="3">
        <f>IFERROR(__xludf.DUMMYFUNCTION("""COMPUTED_VALUE"""),296.0)</f>
        <v>296</v>
      </c>
      <c r="E2079" s="1" t="str">
        <f t="array" ref="E2079">_xlfn.XLOOKUP(A2079,Product!A:A,Product!B:B,"Bulunamadı")</f>
        <v>Tech</v>
      </c>
      <c r="F2079" s="1" t="str">
        <f t="array" ref="F2079">_xlfn.XLOOKUP(A2079,Product!A:A,Product!C:C,"Bulunamadı")</f>
        <v>Communication Skills</v>
      </c>
      <c r="G2079" s="2" t="str">
        <f t="array" ref="G2079">_xlfn.XLOOKUP(A2080,Product!A:A,Product!D:D,"Bulunamadı")</f>
        <v>Harborridge Publishing</v>
      </c>
      <c r="H2079" s="2">
        <f t="array" ref="H2079">_xlfn.XLOOKUP(A2081,Product!A:A,Product!E:E,"Bulunamadı")</f>
        <v>3.34</v>
      </c>
      <c r="I2079" s="2" t="str">
        <f t="shared" si="1"/>
        <v>110863 - Tech - Communication Skills</v>
      </c>
      <c r="J2079" s="2">
        <f t="shared" si="2"/>
        <v>988.64</v>
      </c>
      <c r="K2079" s="17">
        <f t="shared" si="3"/>
        <v>1</v>
      </c>
      <c r="L2079" s="18"/>
    </row>
    <row r="2080" hidden="1">
      <c r="A2080" s="2">
        <f>IFERROR(__xludf.DUMMYFUNCTION("""COMPUTED_VALUE"""),16238.0)</f>
        <v>16238</v>
      </c>
      <c r="B2080" s="2">
        <f>IFERROR(__xludf.DUMMYFUNCTION("""COMPUTED_VALUE"""),1.0)</f>
        <v>1</v>
      </c>
      <c r="C2080" s="2">
        <f>IFERROR(__xludf.DUMMYFUNCTION("""COMPUTED_VALUE"""),863.0)</f>
        <v>863</v>
      </c>
      <c r="D2080" s="3">
        <f>IFERROR(__xludf.DUMMYFUNCTION("""COMPUTED_VALUE"""),253.0)</f>
        <v>253</v>
      </c>
      <c r="E2080" s="1" t="str">
        <f t="array" ref="E2080">_xlfn.XLOOKUP(A2080,Product!A:A,Product!B:B,"Bulunamadı")</f>
        <v>Tech</v>
      </c>
      <c r="F2080" s="1" t="str">
        <f t="array" ref="F2080">_xlfn.XLOOKUP(A2080,Product!A:A,Product!C:C,"Bulunamadı")</f>
        <v>Communication Skills</v>
      </c>
      <c r="G2080" s="2" t="str">
        <f t="array" ref="G2080">_xlfn.XLOOKUP(A2081,Product!A:A,Product!D:D,"Bulunamadı")</f>
        <v>Harborridge Publishing</v>
      </c>
      <c r="H2080" s="2">
        <f t="array" ref="H2080">_xlfn.XLOOKUP(A2082,Product!A:A,Product!E:E,"Bulunamadı")</f>
        <v>1.73</v>
      </c>
      <c r="I2080" s="2" t="str">
        <f t="shared" si="1"/>
        <v>16238 - Tech - Communication Skills</v>
      </c>
      <c r="J2080" s="2">
        <f t="shared" si="2"/>
        <v>437.69</v>
      </c>
      <c r="K2080" s="17">
        <f t="shared" si="3"/>
        <v>1</v>
      </c>
      <c r="L2080" s="18"/>
    </row>
    <row r="2081" hidden="1">
      <c r="A2081" s="2">
        <f>IFERROR(__xludf.DUMMYFUNCTION("""COMPUTED_VALUE"""),122643.0)</f>
        <v>122643</v>
      </c>
      <c r="B2081" s="2">
        <f>IFERROR(__xludf.DUMMYFUNCTION("""COMPUTED_VALUE"""),0.0)</f>
        <v>0</v>
      </c>
      <c r="C2081" s="2">
        <f>IFERROR(__xludf.DUMMYFUNCTION("""COMPUTED_VALUE"""),934.0)</f>
        <v>934</v>
      </c>
      <c r="D2081" s="3">
        <f>IFERROR(__xludf.DUMMYFUNCTION("""COMPUTED_VALUE"""),651.0)</f>
        <v>651</v>
      </c>
      <c r="E2081" s="1" t="str">
        <f t="array" ref="E2081">_xlfn.XLOOKUP(A2081,Product!A:A,Product!B:B,"Bulunamadı")</f>
        <v>Tech</v>
      </c>
      <c r="F2081" s="1" t="str">
        <f t="array" ref="F2081">_xlfn.XLOOKUP(A2081,Product!A:A,Product!C:C,"Bulunamadı")</f>
        <v>Communication Skills</v>
      </c>
      <c r="G2081" s="2" t="str">
        <f t="array" ref="G2081">_xlfn.XLOOKUP(A2082,Product!A:A,Product!D:D,"Bulunamadı")</f>
        <v>Harborridge Publishing</v>
      </c>
      <c r="H2081" s="2">
        <f t="array" ref="H2081">_xlfn.XLOOKUP(A2083,Product!A:A,Product!E:E,"Bulunamadı")</f>
        <v>2.69</v>
      </c>
      <c r="I2081" s="2" t="str">
        <f t="shared" si="1"/>
        <v>122643 - Tech - Communication Skills</v>
      </c>
      <c r="J2081" s="2">
        <f t="shared" si="2"/>
        <v>1751.19</v>
      </c>
      <c r="K2081" s="17">
        <f t="shared" si="3"/>
        <v>1</v>
      </c>
      <c r="L2081" s="18"/>
    </row>
    <row r="2082" hidden="1">
      <c r="A2082" s="2">
        <f>IFERROR(__xludf.DUMMYFUNCTION("""COMPUTED_VALUE"""),82452.0)</f>
        <v>82452</v>
      </c>
      <c r="B2082" s="2">
        <f>IFERROR(__xludf.DUMMYFUNCTION("""COMPUTED_VALUE"""),1.0)</f>
        <v>1</v>
      </c>
      <c r="C2082" s="2">
        <f>IFERROR(__xludf.DUMMYFUNCTION("""COMPUTED_VALUE"""),423.0)</f>
        <v>423</v>
      </c>
      <c r="D2082" s="3">
        <f>IFERROR(__xludf.DUMMYFUNCTION("""COMPUTED_VALUE"""),422.0)</f>
        <v>422</v>
      </c>
      <c r="E2082" s="1" t="str">
        <f t="array" ref="E2082">_xlfn.XLOOKUP(A2082,Product!A:A,Product!B:B,"Bulunamadı")</f>
        <v>Tech</v>
      </c>
      <c r="F2082" s="1" t="str">
        <f t="array" ref="F2082">_xlfn.XLOOKUP(A2082,Product!A:A,Product!C:C,"Bulunamadı")</f>
        <v>Communication Skills</v>
      </c>
      <c r="G2082" s="2" t="str">
        <f t="array" ref="G2082">_xlfn.XLOOKUP(A2083,Product!A:A,Product!D:D,"Bulunamadı")</f>
        <v>Harborridge Publishing</v>
      </c>
      <c r="H2082" s="2">
        <f t="array" ref="H2082">_xlfn.XLOOKUP(A2084,Product!A:A,Product!E:E,"Bulunamadı")</f>
        <v>0.69</v>
      </c>
      <c r="I2082" s="2" t="str">
        <f t="shared" si="1"/>
        <v>82452 - Tech - Communication Skills</v>
      </c>
      <c r="J2082" s="2">
        <f t="shared" si="2"/>
        <v>291.18</v>
      </c>
      <c r="K2082" s="17">
        <f t="shared" si="3"/>
        <v>1</v>
      </c>
      <c r="L2082" s="18"/>
    </row>
    <row r="2083" hidden="1">
      <c r="A2083" s="2">
        <f>IFERROR(__xludf.DUMMYFUNCTION("""COMPUTED_VALUE"""),122775.0)</f>
        <v>122775</v>
      </c>
      <c r="B2083" s="2">
        <f>IFERROR(__xludf.DUMMYFUNCTION("""COMPUTED_VALUE"""),0.0)</f>
        <v>0</v>
      </c>
      <c r="C2083" s="2">
        <f>IFERROR(__xludf.DUMMYFUNCTION("""COMPUTED_VALUE"""),472.0)</f>
        <v>472</v>
      </c>
      <c r="D2083" s="3">
        <f>IFERROR(__xludf.DUMMYFUNCTION("""COMPUTED_VALUE"""),192.0)</f>
        <v>192</v>
      </c>
      <c r="E2083" s="1" t="str">
        <f t="array" ref="E2083">_xlfn.XLOOKUP(A2083,Product!A:A,Product!B:B,"Bulunamadı")</f>
        <v>Tech</v>
      </c>
      <c r="F2083" s="1" t="str">
        <f t="array" ref="F2083">_xlfn.XLOOKUP(A2083,Product!A:A,Product!C:C,"Bulunamadı")</f>
        <v>Communication Skills</v>
      </c>
      <c r="G2083" s="2" t="str">
        <f t="array" ref="G2083">_xlfn.XLOOKUP(A2084,Product!A:A,Product!D:D,"Bulunamadı")</f>
        <v>Harborridge Publishing</v>
      </c>
      <c r="H2083" s="2">
        <f t="array" ref="H2083">_xlfn.XLOOKUP(A2085,Product!A:A,Product!E:E,"Bulunamadı")</f>
        <v>2.03</v>
      </c>
      <c r="I2083" s="2" t="str">
        <f t="shared" si="1"/>
        <v>122775 - Tech - Communication Skills</v>
      </c>
      <c r="J2083" s="2">
        <f t="shared" si="2"/>
        <v>389.76</v>
      </c>
      <c r="K2083" s="17">
        <f t="shared" si="3"/>
        <v>1</v>
      </c>
      <c r="L2083" s="18"/>
    </row>
    <row r="2084" hidden="1">
      <c r="A2084" s="2">
        <f>IFERROR(__xludf.DUMMYFUNCTION("""COMPUTED_VALUE"""),100240.0)</f>
        <v>100240</v>
      </c>
      <c r="B2084" s="2">
        <f>IFERROR(__xludf.DUMMYFUNCTION("""COMPUTED_VALUE"""),0.0)</f>
        <v>0</v>
      </c>
      <c r="C2084" s="2">
        <f>IFERROR(__xludf.DUMMYFUNCTION("""COMPUTED_VALUE"""),950.0)</f>
        <v>950</v>
      </c>
      <c r="D2084" s="3">
        <f>IFERROR(__xludf.DUMMYFUNCTION("""COMPUTED_VALUE"""),779.0)</f>
        <v>779</v>
      </c>
      <c r="E2084" s="1" t="str">
        <f t="array" ref="E2084">_xlfn.XLOOKUP(A2084,Product!A:A,Product!B:B,"Bulunamadı")</f>
        <v>Tech</v>
      </c>
      <c r="F2084" s="1" t="str">
        <f t="array" ref="F2084">_xlfn.XLOOKUP(A2084,Product!A:A,Product!C:C,"Bulunamadı")</f>
        <v>Communication Skills</v>
      </c>
      <c r="G2084" s="2" t="str">
        <f t="array" ref="G2084">_xlfn.XLOOKUP(A2085,Product!A:A,Product!D:D,"Bulunamadı")</f>
        <v>Harborridge Publishing</v>
      </c>
      <c r="H2084" s="2">
        <f t="array" ref="H2084">_xlfn.XLOOKUP(A2086,Product!A:A,Product!E:E,"Bulunamadı")</f>
        <v>1.21</v>
      </c>
      <c r="I2084" s="2" t="str">
        <f t="shared" si="1"/>
        <v>100240 - Tech - Communication Skills</v>
      </c>
      <c r="J2084" s="2">
        <f t="shared" si="2"/>
        <v>942.59</v>
      </c>
      <c r="K2084" s="17">
        <f t="shared" si="3"/>
        <v>1</v>
      </c>
      <c r="L2084" s="18"/>
    </row>
    <row r="2085" hidden="1">
      <c r="A2085" s="2">
        <f>IFERROR(__xludf.DUMMYFUNCTION("""COMPUTED_VALUE"""),87758.0)</f>
        <v>87758</v>
      </c>
      <c r="B2085" s="2">
        <f>IFERROR(__xludf.DUMMYFUNCTION("""COMPUTED_VALUE"""),0.0)</f>
        <v>0</v>
      </c>
      <c r="C2085" s="2">
        <f>IFERROR(__xludf.DUMMYFUNCTION("""COMPUTED_VALUE"""),752.0)</f>
        <v>752</v>
      </c>
      <c r="D2085" s="3">
        <f>IFERROR(__xludf.DUMMYFUNCTION("""COMPUTED_VALUE"""),472.0)</f>
        <v>472</v>
      </c>
      <c r="E2085" s="1" t="str">
        <f t="array" ref="E2085">_xlfn.XLOOKUP(A2085,Product!A:A,Product!B:B,"Bulunamadı")</f>
        <v>Tech</v>
      </c>
      <c r="F2085" s="1" t="str">
        <f t="array" ref="F2085">_xlfn.XLOOKUP(A2085,Product!A:A,Product!C:C,"Bulunamadı")</f>
        <v>Communication Skills</v>
      </c>
      <c r="G2085" s="2" t="str">
        <f t="array" ref="G2085">_xlfn.XLOOKUP(A2086,Product!A:A,Product!D:D,"Bulunamadı")</f>
        <v>Harborridge Publishing</v>
      </c>
      <c r="H2085" s="2">
        <f t="array" ref="H2085">_xlfn.XLOOKUP(A2087,Product!A:A,Product!E:E,"Bulunamadı")</f>
        <v>2.44</v>
      </c>
      <c r="I2085" s="2" t="str">
        <f t="shared" si="1"/>
        <v>87758 - Tech - Communication Skills</v>
      </c>
      <c r="J2085" s="2">
        <f t="shared" si="2"/>
        <v>1151.68</v>
      </c>
      <c r="K2085" s="17">
        <f t="shared" si="3"/>
        <v>1</v>
      </c>
      <c r="L2085" s="18"/>
    </row>
    <row r="2086" hidden="1">
      <c r="A2086" s="2">
        <f>IFERROR(__xludf.DUMMYFUNCTION("""COMPUTED_VALUE"""),110689.0)</f>
        <v>110689</v>
      </c>
      <c r="B2086" s="2">
        <f>IFERROR(__xludf.DUMMYFUNCTION("""COMPUTED_VALUE"""),0.0)</f>
        <v>0</v>
      </c>
      <c r="C2086" s="2">
        <f>IFERROR(__xludf.DUMMYFUNCTION("""COMPUTED_VALUE"""),624.0)</f>
        <v>624</v>
      </c>
      <c r="D2086" s="3">
        <f>IFERROR(__xludf.DUMMYFUNCTION("""COMPUTED_VALUE"""),198.0)</f>
        <v>198</v>
      </c>
      <c r="E2086" s="1" t="str">
        <f t="array" ref="E2086">_xlfn.XLOOKUP(A2086,Product!A:A,Product!B:B,"Bulunamadı")</f>
        <v>Tech</v>
      </c>
      <c r="F2086" s="1" t="str">
        <f t="array" ref="F2086">_xlfn.XLOOKUP(A2086,Product!A:A,Product!C:C,"Bulunamadı")</f>
        <v>Communication Skills</v>
      </c>
      <c r="G2086" s="2" t="str">
        <f t="array" ref="G2086">_xlfn.XLOOKUP(A2087,Product!A:A,Product!D:D,"Bulunamadı")</f>
        <v>Harborridge Publishing</v>
      </c>
      <c r="H2086" s="2">
        <f t="array" ref="H2086">_xlfn.XLOOKUP(A2088,Product!A:A,Product!E:E,"Bulunamadı")</f>
        <v>1.83</v>
      </c>
      <c r="I2086" s="2" t="str">
        <f t="shared" si="1"/>
        <v>110689 - Tech - Communication Skills</v>
      </c>
      <c r="J2086" s="2">
        <f t="shared" si="2"/>
        <v>362.34</v>
      </c>
      <c r="K2086" s="17">
        <f t="shared" si="3"/>
        <v>1</v>
      </c>
      <c r="L2086" s="18"/>
    </row>
    <row r="2087" hidden="1">
      <c r="A2087" s="2">
        <f>IFERROR(__xludf.DUMMYFUNCTION("""COMPUTED_VALUE"""),110704.0)</f>
        <v>110704</v>
      </c>
      <c r="B2087" s="2">
        <f>IFERROR(__xludf.DUMMYFUNCTION("""COMPUTED_VALUE"""),0.0)</f>
        <v>0</v>
      </c>
      <c r="C2087" s="2">
        <f>IFERROR(__xludf.DUMMYFUNCTION("""COMPUTED_VALUE"""),929.0)</f>
        <v>929</v>
      </c>
      <c r="D2087" s="3">
        <f>IFERROR(__xludf.DUMMYFUNCTION("""COMPUTED_VALUE"""),879.0)</f>
        <v>879</v>
      </c>
      <c r="E2087" s="1" t="str">
        <f t="array" ref="E2087">_xlfn.XLOOKUP(A2087,Product!A:A,Product!B:B,"Bulunamadı")</f>
        <v>Tech</v>
      </c>
      <c r="F2087" s="1" t="str">
        <f t="array" ref="F2087">_xlfn.XLOOKUP(A2087,Product!A:A,Product!C:C,"Bulunamadı")</f>
        <v>Communication Skills</v>
      </c>
      <c r="G2087" s="2" t="str">
        <f t="array" ref="G2087">_xlfn.XLOOKUP(A2088,Product!A:A,Product!D:D,"Bulunamadı")</f>
        <v>Harborridge Publishing</v>
      </c>
      <c r="H2087" s="2">
        <f t="array" ref="H2087">_xlfn.XLOOKUP(A2089,Product!A:A,Product!E:E,"Bulunamadı")</f>
        <v>2.7</v>
      </c>
      <c r="I2087" s="2" t="str">
        <f t="shared" si="1"/>
        <v>110704 - Tech - Communication Skills</v>
      </c>
      <c r="J2087" s="2">
        <f t="shared" si="2"/>
        <v>2373.3</v>
      </c>
      <c r="K2087" s="17">
        <f t="shared" si="3"/>
        <v>1</v>
      </c>
      <c r="L2087" s="18"/>
    </row>
    <row r="2088" hidden="1">
      <c r="A2088" s="2">
        <f>IFERROR(__xludf.DUMMYFUNCTION("""COMPUTED_VALUE"""),82455.0)</f>
        <v>82455</v>
      </c>
      <c r="B2088" s="2">
        <f>IFERROR(__xludf.DUMMYFUNCTION("""COMPUTED_VALUE"""),1.0)</f>
        <v>1</v>
      </c>
      <c r="C2088" s="2">
        <f>IFERROR(__xludf.DUMMYFUNCTION("""COMPUTED_VALUE"""),396.0)</f>
        <v>396</v>
      </c>
      <c r="D2088" s="3">
        <f>IFERROR(__xludf.DUMMYFUNCTION("""COMPUTED_VALUE"""),244.0)</f>
        <v>244</v>
      </c>
      <c r="E2088" s="1" t="str">
        <f t="array" ref="E2088">_xlfn.XLOOKUP(A2088,Product!A:A,Product!B:B,"Bulunamadı")</f>
        <v>Tech</v>
      </c>
      <c r="F2088" s="1" t="str">
        <f t="array" ref="F2088">_xlfn.XLOOKUP(A2088,Product!A:A,Product!C:C,"Bulunamadı")</f>
        <v>Communication Skills</v>
      </c>
      <c r="G2088" s="2" t="str">
        <f t="array" ref="G2088">_xlfn.XLOOKUP(A2089,Product!A:A,Product!D:D,"Bulunamadı")</f>
        <v>Harborridge Publishing</v>
      </c>
      <c r="H2088" s="2">
        <f t="array" ref="H2088">_xlfn.XLOOKUP(A2090,Product!A:A,Product!E:E,"Bulunamadı")</f>
        <v>2.88</v>
      </c>
      <c r="I2088" s="2" t="str">
        <f t="shared" si="1"/>
        <v>82455 - Tech - Communication Skills</v>
      </c>
      <c r="J2088" s="2">
        <f t="shared" si="2"/>
        <v>702.72</v>
      </c>
      <c r="K2088" s="17">
        <f t="shared" si="3"/>
        <v>1</v>
      </c>
      <c r="L2088" s="18"/>
    </row>
    <row r="2089" hidden="1">
      <c r="A2089" s="2">
        <f>IFERROR(__xludf.DUMMYFUNCTION("""COMPUTED_VALUE"""),127013.0)</f>
        <v>127013</v>
      </c>
      <c r="B2089" s="2">
        <f>IFERROR(__xludf.DUMMYFUNCTION("""COMPUTED_VALUE"""),1.0)</f>
        <v>1</v>
      </c>
      <c r="C2089" s="2">
        <f>IFERROR(__xludf.DUMMYFUNCTION("""COMPUTED_VALUE"""),166.0)</f>
        <v>166</v>
      </c>
      <c r="D2089" s="3">
        <f>IFERROR(__xludf.DUMMYFUNCTION("""COMPUTED_VALUE"""),66.0)</f>
        <v>66</v>
      </c>
      <c r="E2089" s="1" t="str">
        <f t="array" ref="E2089">_xlfn.XLOOKUP(A2089,Product!A:A,Product!B:B,"Bulunamadı")</f>
        <v>Tech</v>
      </c>
      <c r="F2089" s="1" t="str">
        <f t="array" ref="F2089">_xlfn.XLOOKUP(A2089,Product!A:A,Product!C:C,"Bulunamadı")</f>
        <v>Communication Skills</v>
      </c>
      <c r="G2089" s="2" t="str">
        <f t="array" ref="G2089">_xlfn.XLOOKUP(A2090,Product!A:A,Product!D:D,"Bulunamadı")</f>
        <v>Harborridge Publishing</v>
      </c>
      <c r="H2089" s="2">
        <f t="array" ref="H2089">_xlfn.XLOOKUP(A2091,Product!A:A,Product!E:E,"Bulunamadı")</f>
        <v>3.84</v>
      </c>
      <c r="I2089" s="2" t="str">
        <f t="shared" si="1"/>
        <v>127013 - Tech - Communication Skills</v>
      </c>
      <c r="J2089" s="2">
        <f t="shared" si="2"/>
        <v>253.44</v>
      </c>
      <c r="K2089" s="17">
        <f t="shared" si="3"/>
        <v>1</v>
      </c>
      <c r="L2089" s="18"/>
    </row>
    <row r="2090" hidden="1">
      <c r="A2090" s="2">
        <f>IFERROR(__xludf.DUMMYFUNCTION("""COMPUTED_VALUE"""),113063.0)</f>
        <v>113063</v>
      </c>
      <c r="B2090" s="2">
        <f>IFERROR(__xludf.DUMMYFUNCTION("""COMPUTED_VALUE"""),1.0)</f>
        <v>1</v>
      </c>
      <c r="C2090" s="2">
        <f>IFERROR(__xludf.DUMMYFUNCTION("""COMPUTED_VALUE"""),855.0)</f>
        <v>855</v>
      </c>
      <c r="D2090" s="3">
        <f>IFERROR(__xludf.DUMMYFUNCTION("""COMPUTED_VALUE"""),157.0)</f>
        <v>157</v>
      </c>
      <c r="E2090" s="1" t="str">
        <f t="array" ref="E2090">_xlfn.XLOOKUP(A2090,Product!A:A,Product!B:B,"Bulunamadı")</f>
        <v>Tech</v>
      </c>
      <c r="F2090" s="1" t="str">
        <f t="array" ref="F2090">_xlfn.XLOOKUP(A2090,Product!A:A,Product!C:C,"Bulunamadı")</f>
        <v>Communication Skills</v>
      </c>
      <c r="G2090" s="2" t="str">
        <f t="array" ref="G2090">_xlfn.XLOOKUP(A2091,Product!A:A,Product!D:D,"Bulunamadı")</f>
        <v>Harborridge Publishing</v>
      </c>
      <c r="H2090" s="2">
        <f t="array" ref="H2090">_xlfn.XLOOKUP(A2092,Product!A:A,Product!E:E,"Bulunamadı")</f>
        <v>3.63</v>
      </c>
      <c r="I2090" s="2" t="str">
        <f t="shared" si="1"/>
        <v>113063 - Tech - Communication Skills</v>
      </c>
      <c r="J2090" s="2">
        <f t="shared" si="2"/>
        <v>569.91</v>
      </c>
      <c r="K2090" s="17">
        <f t="shared" si="3"/>
        <v>1</v>
      </c>
      <c r="L2090" s="18"/>
    </row>
    <row r="2091" hidden="1">
      <c r="A2091" s="2">
        <f>IFERROR(__xludf.DUMMYFUNCTION("""COMPUTED_VALUE"""),11296.0)</f>
        <v>11296</v>
      </c>
      <c r="B2091" s="2">
        <f>IFERROR(__xludf.DUMMYFUNCTION("""COMPUTED_VALUE"""),0.0)</f>
        <v>0</v>
      </c>
      <c r="C2091" s="2">
        <f>IFERROR(__xludf.DUMMYFUNCTION("""COMPUTED_VALUE"""),349.0)</f>
        <v>349</v>
      </c>
      <c r="D2091" s="3">
        <f>IFERROR(__xludf.DUMMYFUNCTION("""COMPUTED_VALUE"""),75.0)</f>
        <v>75</v>
      </c>
      <c r="E2091" s="1" t="str">
        <f t="array" ref="E2091">_xlfn.XLOOKUP(A2091,Product!A:A,Product!B:B,"Bulunamadı")</f>
        <v>Tech</v>
      </c>
      <c r="F2091" s="1" t="str">
        <f t="array" ref="F2091">_xlfn.XLOOKUP(A2091,Product!A:A,Product!C:C,"Bulunamadı")</f>
        <v>Communication Skills</v>
      </c>
      <c r="G2091" s="2" t="str">
        <f t="array" ref="G2091">_xlfn.XLOOKUP(A2092,Product!A:A,Product!D:D,"Bulunamadı")</f>
        <v>Harborridge Publishing</v>
      </c>
      <c r="H2091" s="2">
        <f t="array" ref="H2091">_xlfn.XLOOKUP(A2093,Product!A:A,Product!E:E,"Bulunamadı")</f>
        <v>0.85</v>
      </c>
      <c r="I2091" s="2" t="str">
        <f t="shared" si="1"/>
        <v>11296 - Tech - Communication Skills</v>
      </c>
      <c r="J2091" s="2">
        <f t="shared" si="2"/>
        <v>63.75</v>
      </c>
      <c r="K2091" s="17">
        <f t="shared" si="3"/>
        <v>1</v>
      </c>
      <c r="L2091" s="18"/>
    </row>
    <row r="2092" hidden="1">
      <c r="A2092" s="2">
        <f>IFERROR(__xludf.DUMMYFUNCTION("""COMPUTED_VALUE"""),105305.0)</f>
        <v>105305</v>
      </c>
      <c r="B2092" s="2">
        <f>IFERROR(__xludf.DUMMYFUNCTION("""COMPUTED_VALUE"""),1.0)</f>
        <v>1</v>
      </c>
      <c r="C2092" s="2">
        <f>IFERROR(__xludf.DUMMYFUNCTION("""COMPUTED_VALUE"""),196.0)</f>
        <v>196</v>
      </c>
      <c r="D2092" s="3">
        <f>IFERROR(__xludf.DUMMYFUNCTION("""COMPUTED_VALUE"""),169.0)</f>
        <v>169</v>
      </c>
      <c r="E2092" s="1" t="str">
        <f t="array" ref="E2092">_xlfn.XLOOKUP(A2092,Product!A:A,Product!B:B,"Bulunamadı")</f>
        <v>Tech</v>
      </c>
      <c r="F2092" s="1" t="str">
        <f t="array" ref="F2092">_xlfn.XLOOKUP(A2092,Product!A:A,Product!C:C,"Bulunamadı")</f>
        <v>Communication Skills</v>
      </c>
      <c r="G2092" s="2" t="str">
        <f t="array" ref="G2092">_xlfn.XLOOKUP(A2093,Product!A:A,Product!D:D,"Bulunamadı")</f>
        <v>Harborridge Publishing</v>
      </c>
      <c r="H2092" s="2">
        <f t="array" ref="H2092">_xlfn.XLOOKUP(A2094,Product!A:A,Product!E:E,"Bulunamadı")</f>
        <v>1.79</v>
      </c>
      <c r="I2092" s="2" t="str">
        <f t="shared" si="1"/>
        <v>105305 - Tech - Communication Skills</v>
      </c>
      <c r="J2092" s="2">
        <f t="shared" si="2"/>
        <v>302.51</v>
      </c>
      <c r="K2092" s="17">
        <f t="shared" si="3"/>
        <v>1</v>
      </c>
      <c r="L2092" s="18"/>
    </row>
    <row r="2093" hidden="1">
      <c r="A2093" s="2">
        <f>IFERROR(__xludf.DUMMYFUNCTION("""COMPUTED_VALUE"""),73244.0)</f>
        <v>73244</v>
      </c>
      <c r="B2093" s="2">
        <f>IFERROR(__xludf.DUMMYFUNCTION("""COMPUTED_VALUE"""),1.0)</f>
        <v>1</v>
      </c>
      <c r="C2093" s="2">
        <f>IFERROR(__xludf.DUMMYFUNCTION("""COMPUTED_VALUE"""),133.0)</f>
        <v>133</v>
      </c>
      <c r="D2093" s="3">
        <f>IFERROR(__xludf.DUMMYFUNCTION("""COMPUTED_VALUE"""),68.0)</f>
        <v>68</v>
      </c>
      <c r="E2093" s="1" t="str">
        <f t="array" ref="E2093">_xlfn.XLOOKUP(A2093,Product!A:A,Product!B:B,"Bulunamadı")</f>
        <v>Tech</v>
      </c>
      <c r="F2093" s="1" t="str">
        <f t="array" ref="F2093">_xlfn.XLOOKUP(A2093,Product!A:A,Product!C:C,"Bulunamadı")</f>
        <v>Communication Skills</v>
      </c>
      <c r="G2093" s="2" t="str">
        <f t="array" ref="G2093">_xlfn.XLOOKUP(A2094,Product!A:A,Product!D:D,"Bulunamadı")</f>
        <v>Harborridge Publishing</v>
      </c>
      <c r="H2093" s="2">
        <f t="array" ref="H2093">_xlfn.XLOOKUP(A2095,Product!A:A,Product!E:E,"Bulunamadı")</f>
        <v>2.46</v>
      </c>
      <c r="I2093" s="2" t="str">
        <f t="shared" si="1"/>
        <v>73244 - Tech - Communication Skills</v>
      </c>
      <c r="J2093" s="2">
        <f t="shared" si="2"/>
        <v>167.28</v>
      </c>
      <c r="K2093" s="17">
        <f t="shared" si="3"/>
        <v>1</v>
      </c>
      <c r="L2093" s="18"/>
    </row>
    <row r="2094" hidden="1">
      <c r="A2094" s="2">
        <f>IFERROR(__xludf.DUMMYFUNCTION("""COMPUTED_VALUE"""),82458.0)</f>
        <v>82458</v>
      </c>
      <c r="B2094" s="2">
        <f>IFERROR(__xludf.DUMMYFUNCTION("""COMPUTED_VALUE"""),1.0)</f>
        <v>1</v>
      </c>
      <c r="C2094" s="2">
        <f>IFERROR(__xludf.DUMMYFUNCTION("""COMPUTED_VALUE"""),-8.0)</f>
        <v>-8</v>
      </c>
      <c r="D2094" s="3">
        <f>IFERROR(__xludf.DUMMYFUNCTION("""COMPUTED_VALUE"""),-8.0)</f>
        <v>-8</v>
      </c>
      <c r="E2094" s="1" t="str">
        <f t="array" ref="E2094">_xlfn.XLOOKUP(A2094,Product!A:A,Product!B:B,"Bulunamadı")</f>
        <v>Tech</v>
      </c>
      <c r="F2094" s="1" t="str">
        <f t="array" ref="F2094">_xlfn.XLOOKUP(A2094,Product!A:A,Product!C:C,"Bulunamadı")</f>
        <v>Communication Skills</v>
      </c>
      <c r="G2094" s="2" t="str">
        <f t="array" ref="G2094">_xlfn.XLOOKUP(A2095,Product!A:A,Product!D:D,"Bulunamadı")</f>
        <v>Harborridge Publishing</v>
      </c>
      <c r="H2094" s="2">
        <f t="array" ref="H2094">_xlfn.XLOOKUP(A2096,Product!A:A,Product!E:E,"Bulunamadı")</f>
        <v>1.47</v>
      </c>
      <c r="I2094" s="2" t="str">
        <f t="shared" si="1"/>
        <v>82458 - Tech - Communication Skills</v>
      </c>
      <c r="J2094" s="2">
        <f t="shared" si="2"/>
        <v>-11.76</v>
      </c>
      <c r="K2094" s="17">
        <f t="shared" si="3"/>
        <v>0</v>
      </c>
      <c r="L2094" s="18"/>
    </row>
    <row r="2095" hidden="1">
      <c r="A2095" s="2">
        <f>IFERROR(__xludf.DUMMYFUNCTION("""COMPUTED_VALUE"""),105302.0)</f>
        <v>105302</v>
      </c>
      <c r="B2095" s="2">
        <f>IFERROR(__xludf.DUMMYFUNCTION("""COMPUTED_VALUE"""),1.0)</f>
        <v>1</v>
      </c>
      <c r="C2095" s="2">
        <f>IFERROR(__xludf.DUMMYFUNCTION("""COMPUTED_VALUE"""),99.0)</f>
        <v>99</v>
      </c>
      <c r="D2095" s="3">
        <f>IFERROR(__xludf.DUMMYFUNCTION("""COMPUTED_VALUE"""),90.0)</f>
        <v>90</v>
      </c>
      <c r="E2095" s="1" t="str">
        <f t="array" ref="E2095">_xlfn.XLOOKUP(A2095,Product!A:A,Product!B:B,"Bulunamadı")</f>
        <v>Tech</v>
      </c>
      <c r="F2095" s="1" t="str">
        <f t="array" ref="F2095">_xlfn.XLOOKUP(A2095,Product!A:A,Product!C:C,"Bulunamadı")</f>
        <v>Communication Skills</v>
      </c>
      <c r="G2095" s="2" t="str">
        <f t="array" ref="G2095">_xlfn.XLOOKUP(A2096,Product!A:A,Product!D:D,"Bulunamadı")</f>
        <v>Harborridge Publishing</v>
      </c>
      <c r="H2095" s="2">
        <f t="array" ref="H2095">_xlfn.XLOOKUP(A2097,Product!A:A,Product!E:E,"Bulunamadı")</f>
        <v>3.99</v>
      </c>
      <c r="I2095" s="2" t="str">
        <f t="shared" si="1"/>
        <v>105302 - Tech - Communication Skills</v>
      </c>
      <c r="J2095" s="2">
        <f t="shared" si="2"/>
        <v>359.1</v>
      </c>
      <c r="K2095" s="17">
        <f t="shared" si="3"/>
        <v>1</v>
      </c>
      <c r="L2095" s="18"/>
    </row>
    <row r="2096" hidden="1">
      <c r="A2096" s="2">
        <f>IFERROR(__xludf.DUMMYFUNCTION("""COMPUTED_VALUE"""),150951.0)</f>
        <v>150951</v>
      </c>
      <c r="B2096" s="2">
        <f>IFERROR(__xludf.DUMMYFUNCTION("""COMPUTED_VALUE"""),1.0)</f>
        <v>1</v>
      </c>
      <c r="C2096" s="2">
        <f>IFERROR(__xludf.DUMMYFUNCTION("""COMPUTED_VALUE"""),479.0)</f>
        <v>479</v>
      </c>
      <c r="D2096" s="3">
        <f>IFERROR(__xludf.DUMMYFUNCTION("""COMPUTED_VALUE"""),81.0)</f>
        <v>81</v>
      </c>
      <c r="E2096" s="1" t="str">
        <f t="array" ref="E2096">_xlfn.XLOOKUP(A2096,Product!A:A,Product!B:B,"Bulunamadı")</f>
        <v>Tech</v>
      </c>
      <c r="F2096" s="1" t="str">
        <f t="array" ref="F2096">_xlfn.XLOOKUP(A2096,Product!A:A,Product!C:C,"Bulunamadı")</f>
        <v>Communication Skills</v>
      </c>
      <c r="G2096" s="2" t="str">
        <f t="array" ref="G2096">_xlfn.XLOOKUP(A2097,Product!A:A,Product!D:D,"Bulunamadı")</f>
        <v>Cedarridge Books</v>
      </c>
      <c r="H2096" s="2">
        <f t="array" ref="H2096">_xlfn.XLOOKUP(A2098,Product!A:A,Product!E:E,"Bulunamadı")</f>
        <v>4.02</v>
      </c>
      <c r="I2096" s="2" t="str">
        <f t="shared" si="1"/>
        <v>150951 - Tech - Communication Skills</v>
      </c>
      <c r="J2096" s="2">
        <f t="shared" si="2"/>
        <v>325.62</v>
      </c>
      <c r="K2096" s="17">
        <f t="shared" si="3"/>
        <v>1</v>
      </c>
      <c r="L2096" s="18"/>
    </row>
    <row r="2097" hidden="1">
      <c r="A2097" s="2">
        <f>IFERROR(__xludf.DUMMYFUNCTION("""COMPUTED_VALUE"""),122492.0)</f>
        <v>122492</v>
      </c>
      <c r="B2097" s="2">
        <f>IFERROR(__xludf.DUMMYFUNCTION("""COMPUTED_VALUE"""),1.0)</f>
        <v>1</v>
      </c>
      <c r="C2097" s="2">
        <f>IFERROR(__xludf.DUMMYFUNCTION("""COMPUTED_VALUE"""),847.0)</f>
        <v>847</v>
      </c>
      <c r="D2097" s="3">
        <f>IFERROR(__xludf.DUMMYFUNCTION("""COMPUTED_VALUE"""),515.0)</f>
        <v>515</v>
      </c>
      <c r="E2097" s="1" t="str">
        <f t="array" ref="E2097">_xlfn.XLOOKUP(A2097,Product!A:A,Product!B:B,"Bulunamadı")</f>
        <v>Tech</v>
      </c>
      <c r="F2097" s="1" t="str">
        <f t="array" ref="F2097">_xlfn.XLOOKUP(A2097,Product!A:A,Product!C:C,"Bulunamadı")</f>
        <v>Communication Skills</v>
      </c>
      <c r="G2097" s="2" t="str">
        <f t="array" ref="G2097">_xlfn.XLOOKUP(A2098,Product!A:A,Product!D:D,"Bulunamadı")</f>
        <v>Cedarridge Books</v>
      </c>
      <c r="H2097" s="2">
        <f t="array" ref="H2097">_xlfn.XLOOKUP(A2099,Product!A:A,Product!E:E,"Bulunamadı")</f>
        <v>6.43</v>
      </c>
      <c r="I2097" s="2" t="str">
        <f t="shared" si="1"/>
        <v>122492 - Tech - Communication Skills</v>
      </c>
      <c r="J2097" s="2">
        <f t="shared" si="2"/>
        <v>3311.45</v>
      </c>
      <c r="K2097" s="17">
        <f t="shared" si="3"/>
        <v>1</v>
      </c>
      <c r="L2097" s="18"/>
    </row>
    <row r="2098" hidden="1">
      <c r="A2098" s="2">
        <f>IFERROR(__xludf.DUMMYFUNCTION("""COMPUTED_VALUE"""),110436.0)</f>
        <v>110436</v>
      </c>
      <c r="B2098" s="2">
        <f>IFERROR(__xludf.DUMMYFUNCTION("""COMPUTED_VALUE"""),0.0)</f>
        <v>0</v>
      </c>
      <c r="C2098" s="2">
        <f>IFERROR(__xludf.DUMMYFUNCTION("""COMPUTED_VALUE"""),59.0)</f>
        <v>59</v>
      </c>
      <c r="D2098" s="3">
        <f>IFERROR(__xludf.DUMMYFUNCTION("""COMPUTED_VALUE"""),36.0)</f>
        <v>36</v>
      </c>
      <c r="E2098" s="1" t="str">
        <f t="array" ref="E2098">_xlfn.XLOOKUP(A2098,Product!A:A,Product!B:B,"Bulunamadı")</f>
        <v>Tech</v>
      </c>
      <c r="F2098" s="1" t="str">
        <f t="array" ref="F2098">_xlfn.XLOOKUP(A2098,Product!A:A,Product!C:C,"Bulunamadı")</f>
        <v>Communication Skills</v>
      </c>
      <c r="G2098" s="2" t="str">
        <f t="array" ref="G2098">_xlfn.XLOOKUP(A2099,Product!A:A,Product!D:D,"Bulunamadı")</f>
        <v>Cedarridge Books</v>
      </c>
      <c r="H2098" s="2">
        <f t="array" ref="H2098">_xlfn.XLOOKUP(A2100,Product!A:A,Product!E:E,"Bulunamadı")</f>
        <v>6</v>
      </c>
      <c r="I2098" s="2" t="str">
        <f t="shared" si="1"/>
        <v>110436 - Tech - Communication Skills</v>
      </c>
      <c r="J2098" s="2">
        <f t="shared" si="2"/>
        <v>216</v>
      </c>
      <c r="K2098" s="17">
        <f t="shared" si="3"/>
        <v>1</v>
      </c>
      <c r="L2098" s="18"/>
    </row>
    <row r="2099" hidden="1">
      <c r="A2099" s="2">
        <f>IFERROR(__xludf.DUMMYFUNCTION("""COMPUTED_VALUE"""),10674.0)</f>
        <v>10674</v>
      </c>
      <c r="B2099" s="2">
        <f>IFERROR(__xludf.DUMMYFUNCTION("""COMPUTED_VALUE"""),1.0)</f>
        <v>1</v>
      </c>
      <c r="C2099" s="2">
        <f>IFERROR(__xludf.DUMMYFUNCTION("""COMPUTED_VALUE"""),275.0)</f>
        <v>275</v>
      </c>
      <c r="D2099" s="3">
        <f>IFERROR(__xludf.DUMMYFUNCTION("""COMPUTED_VALUE"""),255.0)</f>
        <v>255</v>
      </c>
      <c r="E2099" s="1" t="str">
        <f t="array" ref="E2099">_xlfn.XLOOKUP(A2099,Product!A:A,Product!B:B,"Bulunamadı")</f>
        <v>Tech</v>
      </c>
      <c r="F2099" s="1" t="str">
        <f t="array" ref="F2099">_xlfn.XLOOKUP(A2099,Product!A:A,Product!C:C,"Bulunamadı")</f>
        <v>Communication Skills</v>
      </c>
      <c r="G2099" s="2" t="str">
        <f t="array" ref="G2099">_xlfn.XLOOKUP(A2100,Product!A:A,Product!D:D,"Bulunamadı")</f>
        <v>Cedarridge Books</v>
      </c>
      <c r="H2099" s="2">
        <f t="array" ref="H2099">_xlfn.XLOOKUP(A2101,Product!A:A,Product!E:E,"Bulunamadı")</f>
        <v>2.7</v>
      </c>
      <c r="I2099" s="2" t="str">
        <f t="shared" si="1"/>
        <v>10674 - Tech - Communication Skills</v>
      </c>
      <c r="J2099" s="2">
        <f t="shared" si="2"/>
        <v>688.5</v>
      </c>
      <c r="K2099" s="17">
        <f t="shared" si="3"/>
        <v>1</v>
      </c>
      <c r="L2099" s="18"/>
    </row>
    <row r="2100" hidden="1">
      <c r="A2100" s="2">
        <f>IFERROR(__xludf.DUMMYFUNCTION("""COMPUTED_VALUE"""),117166.0)</f>
        <v>117166</v>
      </c>
      <c r="B2100" s="2">
        <f>IFERROR(__xludf.DUMMYFUNCTION("""COMPUTED_VALUE"""),1.0)</f>
        <v>1</v>
      </c>
      <c r="C2100" s="2">
        <f>IFERROR(__xludf.DUMMYFUNCTION("""COMPUTED_VALUE"""),481.0)</f>
        <v>481</v>
      </c>
      <c r="D2100" s="3">
        <f>IFERROR(__xludf.DUMMYFUNCTION("""COMPUTED_VALUE"""),97.0)</f>
        <v>97</v>
      </c>
      <c r="E2100" s="1" t="str">
        <f t="array" ref="E2100">_xlfn.XLOOKUP(A2100,Product!A:A,Product!B:B,"Bulunamadı")</f>
        <v>Tech</v>
      </c>
      <c r="F2100" s="1" t="str">
        <f t="array" ref="F2100">_xlfn.XLOOKUP(A2100,Product!A:A,Product!C:C,"Bulunamadı")</f>
        <v>Communication Skills</v>
      </c>
      <c r="G2100" s="2" t="str">
        <f t="array" ref="G2100">_xlfn.XLOOKUP(A2101,Product!A:A,Product!D:D,"Bulunamadı")</f>
        <v>Cedarridge Books</v>
      </c>
      <c r="H2100" s="2">
        <f t="array" ref="H2100">_xlfn.XLOOKUP(A2102,Product!A:A,Product!E:E,"Bulunamadı")</f>
        <v>23.63</v>
      </c>
      <c r="I2100" s="2" t="str">
        <f t="shared" si="1"/>
        <v>117166 - Tech - Communication Skills</v>
      </c>
      <c r="J2100" s="2">
        <f t="shared" si="2"/>
        <v>2292.11</v>
      </c>
      <c r="K2100" s="17">
        <f t="shared" si="3"/>
        <v>1</v>
      </c>
      <c r="L2100" s="18"/>
    </row>
    <row r="2101" hidden="1">
      <c r="A2101" s="2">
        <f>IFERROR(__xludf.DUMMYFUNCTION("""COMPUTED_VALUE"""),111776.0)</f>
        <v>111776</v>
      </c>
      <c r="B2101" s="2">
        <f>IFERROR(__xludf.DUMMYFUNCTION("""COMPUTED_VALUE"""),0.0)</f>
        <v>0</v>
      </c>
      <c r="C2101" s="2">
        <f>IFERROR(__xludf.DUMMYFUNCTION("""COMPUTED_VALUE"""),791.0)</f>
        <v>791</v>
      </c>
      <c r="D2101" s="3">
        <f>IFERROR(__xludf.DUMMYFUNCTION("""COMPUTED_VALUE"""),616.0)</f>
        <v>616</v>
      </c>
      <c r="E2101" s="1" t="str">
        <f t="array" ref="E2101">_xlfn.XLOOKUP(A2101,Product!A:A,Product!B:B,"Bulunamadı")</f>
        <v>Tech</v>
      </c>
      <c r="F2101" s="1" t="str">
        <f t="array" ref="F2101">_xlfn.XLOOKUP(A2101,Product!A:A,Product!C:C,"Bulunamadı")</f>
        <v>Communication Skills</v>
      </c>
      <c r="G2101" s="2" t="str">
        <f t="array" ref="G2101">_xlfn.XLOOKUP(A2102,Product!A:A,Product!D:D,"Bulunamadı")</f>
        <v>Cedarridge Books</v>
      </c>
      <c r="H2101" s="2">
        <f t="array" ref="H2101">_xlfn.XLOOKUP(A2103,Product!A:A,Product!E:E,"Bulunamadı")</f>
        <v>6.62</v>
      </c>
      <c r="I2101" s="2" t="str">
        <f t="shared" si="1"/>
        <v>111776 - Tech - Communication Skills</v>
      </c>
      <c r="J2101" s="2">
        <f t="shared" si="2"/>
        <v>4077.92</v>
      </c>
      <c r="K2101" s="17">
        <f t="shared" si="3"/>
        <v>1</v>
      </c>
      <c r="L2101" s="18"/>
    </row>
    <row r="2102" hidden="1">
      <c r="A2102" s="2">
        <f>IFERROR(__xludf.DUMMYFUNCTION("""COMPUTED_VALUE"""),122388.0)</f>
        <v>122388</v>
      </c>
      <c r="B2102" s="2">
        <f>IFERROR(__xludf.DUMMYFUNCTION("""COMPUTED_VALUE"""),1.0)</f>
        <v>1</v>
      </c>
      <c r="C2102" s="2">
        <f>IFERROR(__xludf.DUMMYFUNCTION("""COMPUTED_VALUE"""),418.0)</f>
        <v>418</v>
      </c>
      <c r="D2102" s="3">
        <f>IFERROR(__xludf.DUMMYFUNCTION("""COMPUTED_VALUE"""),197.0)</f>
        <v>197</v>
      </c>
      <c r="E2102" s="1" t="str">
        <f t="array" ref="E2102">_xlfn.XLOOKUP(A2102,Product!A:A,Product!B:B,"Bulunamadı")</f>
        <v>Tech</v>
      </c>
      <c r="F2102" s="1" t="str">
        <f t="array" ref="F2102">_xlfn.XLOOKUP(A2102,Product!A:A,Product!C:C,"Bulunamadı")</f>
        <v>Communication Skills</v>
      </c>
      <c r="G2102" s="2" t="str">
        <f t="array" ref="G2102">_xlfn.XLOOKUP(A2103,Product!A:A,Product!D:D,"Bulunamadı")</f>
        <v>Cedarridge Books</v>
      </c>
      <c r="H2102" s="2">
        <f t="array" ref="H2102">_xlfn.XLOOKUP(A2104,Product!A:A,Product!E:E,"Bulunamadı")</f>
        <v>5.99</v>
      </c>
      <c r="I2102" s="2" t="str">
        <f t="shared" si="1"/>
        <v>122388 - Tech - Communication Skills</v>
      </c>
      <c r="J2102" s="2">
        <f t="shared" si="2"/>
        <v>1180.03</v>
      </c>
      <c r="K2102" s="17">
        <f t="shared" si="3"/>
        <v>1</v>
      </c>
      <c r="L2102" s="18"/>
    </row>
    <row r="2103" hidden="1">
      <c r="A2103" s="2">
        <f>IFERROR(__xludf.DUMMYFUNCTION("""COMPUTED_VALUE"""),117160.0)</f>
        <v>117160</v>
      </c>
      <c r="B2103" s="2">
        <f>IFERROR(__xludf.DUMMYFUNCTION("""COMPUTED_VALUE"""),0.0)</f>
        <v>0</v>
      </c>
      <c r="C2103" s="2">
        <f>IFERROR(__xludf.DUMMYFUNCTION("""COMPUTED_VALUE"""),121.0)</f>
        <v>121</v>
      </c>
      <c r="D2103" s="3">
        <f>IFERROR(__xludf.DUMMYFUNCTION("""COMPUTED_VALUE"""),48.0)</f>
        <v>48</v>
      </c>
      <c r="E2103" s="1" t="str">
        <f t="array" ref="E2103">_xlfn.XLOOKUP(A2103,Product!A:A,Product!B:B,"Bulunamadı")</f>
        <v>Tech</v>
      </c>
      <c r="F2103" s="1" t="str">
        <f t="array" ref="F2103">_xlfn.XLOOKUP(A2103,Product!A:A,Product!C:C,"Bulunamadı")</f>
        <v>Communication Skills</v>
      </c>
      <c r="G2103" s="2" t="str">
        <f t="array" ref="G2103">_xlfn.XLOOKUP(A2104,Product!A:A,Product!D:D,"Bulunamadı")</f>
        <v>Cedarridge Books</v>
      </c>
      <c r="H2103" s="2">
        <f t="array" ref="H2103">_xlfn.XLOOKUP(A2105,Product!A:A,Product!E:E,"Bulunamadı")</f>
        <v>6.77</v>
      </c>
      <c r="I2103" s="2" t="str">
        <f t="shared" si="1"/>
        <v>117160 - Tech - Communication Skills</v>
      </c>
      <c r="J2103" s="2">
        <f t="shared" si="2"/>
        <v>324.96</v>
      </c>
      <c r="K2103" s="17">
        <f t="shared" si="3"/>
        <v>1</v>
      </c>
      <c r="L2103" s="18"/>
    </row>
    <row r="2104" hidden="1">
      <c r="A2104" s="2">
        <f>IFERROR(__xludf.DUMMYFUNCTION("""COMPUTED_VALUE"""),98795.0)</f>
        <v>98795</v>
      </c>
      <c r="B2104" s="2">
        <f>IFERROR(__xludf.DUMMYFUNCTION("""COMPUTED_VALUE"""),1.0)</f>
        <v>1</v>
      </c>
      <c r="C2104" s="2">
        <f>IFERROR(__xludf.DUMMYFUNCTION("""COMPUTED_VALUE"""),516.0)</f>
        <v>516</v>
      </c>
      <c r="D2104" s="3">
        <f>IFERROR(__xludf.DUMMYFUNCTION("""COMPUTED_VALUE"""),398.0)</f>
        <v>398</v>
      </c>
      <c r="E2104" s="1" t="str">
        <f t="array" ref="E2104">_xlfn.XLOOKUP(A2104,Product!A:A,Product!B:B,"Bulunamadı")</f>
        <v>Tech</v>
      </c>
      <c r="F2104" s="1" t="str">
        <f t="array" ref="F2104">_xlfn.XLOOKUP(A2104,Product!A:A,Product!C:C,"Bulunamadı")</f>
        <v>Communication Skills</v>
      </c>
      <c r="G2104" s="2" t="str">
        <f t="array" ref="G2104">_xlfn.XLOOKUP(A2105,Product!A:A,Product!D:D,"Bulunamadı")</f>
        <v>Cedarridge Books</v>
      </c>
      <c r="H2104" s="2">
        <f t="array" ref="H2104">_xlfn.XLOOKUP(A2106,Product!A:A,Product!E:E,"Bulunamadı")</f>
        <v>2.02</v>
      </c>
      <c r="I2104" s="2" t="str">
        <f t="shared" si="1"/>
        <v>98795 - Tech - Communication Skills</v>
      </c>
      <c r="J2104" s="2">
        <f t="shared" si="2"/>
        <v>803.96</v>
      </c>
      <c r="K2104" s="17">
        <f t="shared" si="3"/>
        <v>1</v>
      </c>
      <c r="L2104" s="18"/>
    </row>
    <row r="2105" hidden="1">
      <c r="A2105" s="2">
        <f>IFERROR(__xludf.DUMMYFUNCTION("""COMPUTED_VALUE"""),117150.0)</f>
        <v>117150</v>
      </c>
      <c r="B2105" s="2">
        <f>IFERROR(__xludf.DUMMYFUNCTION("""COMPUTED_VALUE"""),0.0)</f>
        <v>0</v>
      </c>
      <c r="C2105" s="2">
        <f>IFERROR(__xludf.DUMMYFUNCTION("""COMPUTED_VALUE"""),247.0)</f>
        <v>247</v>
      </c>
      <c r="D2105" s="3">
        <f>IFERROR(__xludf.DUMMYFUNCTION("""COMPUTED_VALUE"""),155.0)</f>
        <v>155</v>
      </c>
      <c r="E2105" s="1" t="str">
        <f t="array" ref="E2105">_xlfn.XLOOKUP(A2105,Product!A:A,Product!B:B,"Bulunamadı")</f>
        <v>Tech</v>
      </c>
      <c r="F2105" s="1" t="str">
        <f t="array" ref="F2105">_xlfn.XLOOKUP(A2105,Product!A:A,Product!C:C,"Bulunamadı")</f>
        <v>Communication Skills</v>
      </c>
      <c r="G2105" s="2" t="str">
        <f t="array" ref="G2105">_xlfn.XLOOKUP(A2106,Product!A:A,Product!D:D,"Bulunamadı")</f>
        <v>Cedarridge Books</v>
      </c>
      <c r="H2105" s="2">
        <f t="array" ref="H2105">_xlfn.XLOOKUP(A2107,Product!A:A,Product!E:E,"Bulunamadı")</f>
        <v>11.3</v>
      </c>
      <c r="I2105" s="2" t="str">
        <f t="shared" si="1"/>
        <v>117150 - Tech - Communication Skills</v>
      </c>
      <c r="J2105" s="2">
        <f t="shared" si="2"/>
        <v>1751.5</v>
      </c>
      <c r="K2105" s="17">
        <f t="shared" si="3"/>
        <v>1</v>
      </c>
      <c r="L2105" s="18"/>
    </row>
    <row r="2106" hidden="1">
      <c r="A2106" s="2">
        <f>IFERROR(__xludf.DUMMYFUNCTION("""COMPUTED_VALUE"""),109416.0)</f>
        <v>109416</v>
      </c>
      <c r="B2106" s="2">
        <f>IFERROR(__xludf.DUMMYFUNCTION("""COMPUTED_VALUE"""),1.0)</f>
        <v>1</v>
      </c>
      <c r="C2106" s="2">
        <f>IFERROR(__xludf.DUMMYFUNCTION("""COMPUTED_VALUE"""),577.0)</f>
        <v>577</v>
      </c>
      <c r="D2106" s="3">
        <f>IFERROR(__xludf.DUMMYFUNCTION("""COMPUTED_VALUE"""),21.0)</f>
        <v>21</v>
      </c>
      <c r="E2106" s="1" t="str">
        <f t="array" ref="E2106">_xlfn.XLOOKUP(A2106,Product!A:A,Product!B:B,"Bulunamadı")</f>
        <v>Tech</v>
      </c>
      <c r="F2106" s="1" t="str">
        <f t="array" ref="F2106">_xlfn.XLOOKUP(A2106,Product!A:A,Product!C:C,"Bulunamadı")</f>
        <v>Communication Skills</v>
      </c>
      <c r="G2106" s="2" t="str">
        <f t="array" ref="G2106">_xlfn.XLOOKUP(A2107,Product!A:A,Product!D:D,"Bulunamadı")</f>
        <v>Cedarridge Books</v>
      </c>
      <c r="H2106" s="2">
        <f t="array" ref="H2106">_xlfn.XLOOKUP(A2108,Product!A:A,Product!E:E,"Bulunamadı")</f>
        <v>5.37</v>
      </c>
      <c r="I2106" s="2" t="str">
        <f t="shared" si="1"/>
        <v>109416 - Tech - Communication Skills</v>
      </c>
      <c r="J2106" s="2">
        <f t="shared" si="2"/>
        <v>112.77</v>
      </c>
      <c r="K2106" s="17">
        <f t="shared" si="3"/>
        <v>1</v>
      </c>
      <c r="L2106" s="18"/>
    </row>
    <row r="2107" hidden="1">
      <c r="A2107" s="2">
        <f>IFERROR(__xludf.DUMMYFUNCTION("""COMPUTED_VALUE"""),122291.0)</f>
        <v>122291</v>
      </c>
      <c r="B2107" s="2">
        <f>IFERROR(__xludf.DUMMYFUNCTION("""COMPUTED_VALUE"""),0.0)</f>
        <v>0</v>
      </c>
      <c r="C2107" s="2">
        <f>IFERROR(__xludf.DUMMYFUNCTION("""COMPUTED_VALUE"""),473.0)</f>
        <v>473</v>
      </c>
      <c r="D2107" s="3">
        <f>IFERROR(__xludf.DUMMYFUNCTION("""COMPUTED_VALUE"""),404.0)</f>
        <v>404</v>
      </c>
      <c r="E2107" s="1" t="str">
        <f t="array" ref="E2107">_xlfn.XLOOKUP(A2107,Product!A:A,Product!B:B,"Bulunamadı")</f>
        <v>Tech</v>
      </c>
      <c r="F2107" s="1" t="str">
        <f t="array" ref="F2107">_xlfn.XLOOKUP(A2107,Product!A:A,Product!C:C,"Bulunamadı")</f>
        <v>Communication Skills</v>
      </c>
      <c r="G2107" s="2" t="str">
        <f t="array" ref="G2107">_xlfn.XLOOKUP(A2108,Product!A:A,Product!D:D,"Bulunamadı")</f>
        <v>Cedarridge Books</v>
      </c>
      <c r="H2107" s="2">
        <f t="array" ref="H2107">_xlfn.XLOOKUP(A2109,Product!A:A,Product!E:E,"Bulunamadı")</f>
        <v>6.23</v>
      </c>
      <c r="I2107" s="2" t="str">
        <f t="shared" si="1"/>
        <v>122291 - Tech - Communication Skills</v>
      </c>
      <c r="J2107" s="2">
        <f t="shared" si="2"/>
        <v>2516.92</v>
      </c>
      <c r="K2107" s="17">
        <f t="shared" si="3"/>
        <v>1</v>
      </c>
      <c r="L2107" s="18"/>
    </row>
    <row r="2108" hidden="1">
      <c r="A2108" s="2">
        <f>IFERROR(__xludf.DUMMYFUNCTION("""COMPUTED_VALUE"""),21820.0)</f>
        <v>21820</v>
      </c>
      <c r="B2108" s="2">
        <f>IFERROR(__xludf.DUMMYFUNCTION("""COMPUTED_VALUE"""),0.0)</f>
        <v>0</v>
      </c>
      <c r="C2108" s="2">
        <f>IFERROR(__xludf.DUMMYFUNCTION("""COMPUTED_VALUE"""),17.0)</f>
        <v>17</v>
      </c>
      <c r="D2108" s="3">
        <f>IFERROR(__xludf.DUMMYFUNCTION("""COMPUTED_VALUE"""),8.0)</f>
        <v>8</v>
      </c>
      <c r="E2108" s="1" t="str">
        <f t="array" ref="E2108">_xlfn.XLOOKUP(A2108,Product!A:A,Product!B:B,"Bulunamadı")</f>
        <v>Tech</v>
      </c>
      <c r="F2108" s="1" t="str">
        <f t="array" ref="F2108">_xlfn.XLOOKUP(A2108,Product!A:A,Product!C:C,"Bulunamadı")</f>
        <v>Communication Skills</v>
      </c>
      <c r="G2108" s="2" t="str">
        <f t="array" ref="G2108">_xlfn.XLOOKUP(A2109,Product!A:A,Product!D:D,"Bulunamadı")</f>
        <v>Cedarridge Books</v>
      </c>
      <c r="H2108" s="2">
        <f t="array" ref="H2108">_xlfn.XLOOKUP(A2110,Product!A:A,Product!E:E,"Bulunamadı")</f>
        <v>5.78</v>
      </c>
      <c r="I2108" s="2" t="str">
        <f t="shared" si="1"/>
        <v>21820 - Tech - Communication Skills</v>
      </c>
      <c r="J2108" s="2">
        <f t="shared" si="2"/>
        <v>46.24</v>
      </c>
      <c r="K2108" s="17">
        <f t="shared" si="3"/>
        <v>1</v>
      </c>
      <c r="L2108" s="18"/>
    </row>
    <row r="2109" hidden="1">
      <c r="A2109" s="2">
        <f>IFERROR(__xludf.DUMMYFUNCTION("""COMPUTED_VALUE"""),150105.0)</f>
        <v>150105</v>
      </c>
      <c r="B2109" s="2">
        <f>IFERROR(__xludf.DUMMYFUNCTION("""COMPUTED_VALUE"""),0.0)</f>
        <v>0</v>
      </c>
      <c r="C2109" s="2">
        <f>IFERROR(__xludf.DUMMYFUNCTION("""COMPUTED_VALUE"""),326.0)</f>
        <v>326</v>
      </c>
      <c r="D2109" s="3">
        <f>IFERROR(__xludf.DUMMYFUNCTION("""COMPUTED_VALUE"""),164.0)</f>
        <v>164</v>
      </c>
      <c r="E2109" s="1" t="str">
        <f t="array" ref="E2109">_xlfn.XLOOKUP(A2109,Product!A:A,Product!B:B,"Bulunamadı")</f>
        <v>Tech</v>
      </c>
      <c r="F2109" s="1" t="str">
        <f t="array" ref="F2109">_xlfn.XLOOKUP(A2109,Product!A:A,Product!C:C,"Bulunamadı")</f>
        <v>Communication Skills</v>
      </c>
      <c r="G2109" s="2" t="str">
        <f t="array" ref="G2109">_xlfn.XLOOKUP(A2110,Product!A:A,Product!D:D,"Bulunamadı")</f>
        <v>Cedarridge Books</v>
      </c>
      <c r="H2109" s="2">
        <f t="array" ref="H2109">_xlfn.XLOOKUP(A2111,Product!A:A,Product!E:E,"Bulunamadı")</f>
        <v>4.54</v>
      </c>
      <c r="I2109" s="2" t="str">
        <f t="shared" si="1"/>
        <v>150105 - Tech - Communication Skills</v>
      </c>
      <c r="J2109" s="2">
        <f t="shared" si="2"/>
        <v>744.56</v>
      </c>
      <c r="K2109" s="17">
        <f t="shared" si="3"/>
        <v>1</v>
      </c>
      <c r="L2109" s="18"/>
    </row>
    <row r="2110" hidden="1">
      <c r="A2110" s="2">
        <f>IFERROR(__xludf.DUMMYFUNCTION("""COMPUTED_VALUE"""),46474.0)</f>
        <v>46474</v>
      </c>
      <c r="B2110" s="2">
        <f>IFERROR(__xludf.DUMMYFUNCTION("""COMPUTED_VALUE"""),1.0)</f>
        <v>1</v>
      </c>
      <c r="C2110" s="2">
        <f>IFERROR(__xludf.DUMMYFUNCTION("""COMPUTED_VALUE"""),431.0)</f>
        <v>431</v>
      </c>
      <c r="D2110" s="3">
        <f>IFERROR(__xludf.DUMMYFUNCTION("""COMPUTED_VALUE"""),73.0)</f>
        <v>73</v>
      </c>
      <c r="E2110" s="1" t="str">
        <f t="array" ref="E2110">_xlfn.XLOOKUP(A2110,Product!A:A,Product!B:B,"Bulunamadı")</f>
        <v>Tech</v>
      </c>
      <c r="F2110" s="1" t="str">
        <f t="array" ref="F2110">_xlfn.XLOOKUP(A2110,Product!A:A,Product!C:C,"Bulunamadı")</f>
        <v>Communication Skills</v>
      </c>
      <c r="G2110" s="2" t="str">
        <f t="array" ref="G2110">_xlfn.XLOOKUP(A2111,Product!A:A,Product!D:D,"Bulunamadı")</f>
        <v>Cedarridge Books</v>
      </c>
      <c r="H2110" s="2">
        <f t="array" ref="H2110">_xlfn.XLOOKUP(A2112,Product!A:A,Product!E:E,"Bulunamadı")</f>
        <v>5.13</v>
      </c>
      <c r="I2110" s="2" t="str">
        <f t="shared" si="1"/>
        <v>46474 - Tech - Communication Skills</v>
      </c>
      <c r="J2110" s="2">
        <f t="shared" si="2"/>
        <v>374.49</v>
      </c>
      <c r="K2110" s="17">
        <f t="shared" si="3"/>
        <v>1</v>
      </c>
      <c r="L2110" s="18"/>
    </row>
    <row r="2111" hidden="1">
      <c r="A2111" s="2">
        <f>IFERROR(__xludf.DUMMYFUNCTION("""COMPUTED_VALUE"""),118207.0)</f>
        <v>118207</v>
      </c>
      <c r="B2111" s="2">
        <f>IFERROR(__xludf.DUMMYFUNCTION("""COMPUTED_VALUE"""),1.0)</f>
        <v>1</v>
      </c>
      <c r="C2111" s="2">
        <f>IFERROR(__xludf.DUMMYFUNCTION("""COMPUTED_VALUE"""),927.0)</f>
        <v>927</v>
      </c>
      <c r="D2111" s="3">
        <f>IFERROR(__xludf.DUMMYFUNCTION("""COMPUTED_VALUE"""),610.0)</f>
        <v>610</v>
      </c>
      <c r="E2111" s="1" t="str">
        <f t="array" ref="E2111">_xlfn.XLOOKUP(A2111,Product!A:A,Product!B:B,"Bulunamadı")</f>
        <v>Tech</v>
      </c>
      <c r="F2111" s="1" t="str">
        <f t="array" ref="F2111">_xlfn.XLOOKUP(A2111,Product!A:A,Product!C:C,"Bulunamadı")</f>
        <v>Communication Skills</v>
      </c>
      <c r="G2111" s="2" t="str">
        <f t="array" ref="G2111">_xlfn.XLOOKUP(A2112,Product!A:A,Product!D:D,"Bulunamadı")</f>
        <v>Cedarridge Books</v>
      </c>
      <c r="H2111" s="2">
        <f t="array" ref="H2111">_xlfn.XLOOKUP(A2113,Product!A:A,Product!E:E,"Bulunamadı")</f>
        <v>4.36</v>
      </c>
      <c r="I2111" s="2" t="str">
        <f t="shared" si="1"/>
        <v>118207 - Tech - Communication Skills</v>
      </c>
      <c r="J2111" s="2">
        <f t="shared" si="2"/>
        <v>2659.6</v>
      </c>
      <c r="K2111" s="17">
        <f t="shared" si="3"/>
        <v>1</v>
      </c>
      <c r="L2111" s="18"/>
    </row>
    <row r="2112" hidden="1">
      <c r="A2112" s="2">
        <f>IFERROR(__xludf.DUMMYFUNCTION("""COMPUTED_VALUE"""),111007.0)</f>
        <v>111007</v>
      </c>
      <c r="B2112" s="2">
        <f>IFERROR(__xludf.DUMMYFUNCTION("""COMPUTED_VALUE"""),1.0)</f>
        <v>1</v>
      </c>
      <c r="C2112" s="2">
        <f>IFERROR(__xludf.DUMMYFUNCTION("""COMPUTED_VALUE"""),371.0)</f>
        <v>371</v>
      </c>
      <c r="D2112" s="3">
        <f>IFERROR(__xludf.DUMMYFUNCTION("""COMPUTED_VALUE"""),370.0)</f>
        <v>370</v>
      </c>
      <c r="E2112" s="1" t="str">
        <f t="array" ref="E2112">_xlfn.XLOOKUP(A2112,Product!A:A,Product!B:B,"Bulunamadı")</f>
        <v>Tech</v>
      </c>
      <c r="F2112" s="1" t="str">
        <f t="array" ref="F2112">_xlfn.XLOOKUP(A2112,Product!A:A,Product!C:C,"Bulunamadı")</f>
        <v>Communication Skills</v>
      </c>
      <c r="G2112" s="2" t="str">
        <f t="array" ref="G2112">_xlfn.XLOOKUP(A2113,Product!A:A,Product!D:D,"Bulunamadı")</f>
        <v>Cedarridge Books</v>
      </c>
      <c r="H2112" s="2">
        <f t="array" ref="H2112">_xlfn.XLOOKUP(A2114,Product!A:A,Product!E:E,"Bulunamadı")</f>
        <v>4.23</v>
      </c>
      <c r="I2112" s="2" t="str">
        <f t="shared" si="1"/>
        <v>111007 - Tech - Communication Skills</v>
      </c>
      <c r="J2112" s="2">
        <f t="shared" si="2"/>
        <v>1565.1</v>
      </c>
      <c r="K2112" s="17">
        <f t="shared" si="3"/>
        <v>1</v>
      </c>
      <c r="L2112" s="18"/>
    </row>
    <row r="2113" hidden="1">
      <c r="A2113" s="2">
        <f>IFERROR(__xludf.DUMMYFUNCTION("""COMPUTED_VALUE"""),9727.0)</f>
        <v>9727</v>
      </c>
      <c r="B2113" s="2">
        <f>IFERROR(__xludf.DUMMYFUNCTION("""COMPUTED_VALUE"""),1.0)</f>
        <v>1</v>
      </c>
      <c r="C2113" s="2">
        <f>IFERROR(__xludf.DUMMYFUNCTION("""COMPUTED_VALUE"""),782.0)</f>
        <v>782</v>
      </c>
      <c r="D2113" s="3">
        <f>IFERROR(__xludf.DUMMYFUNCTION("""COMPUTED_VALUE"""),728.0)</f>
        <v>728</v>
      </c>
      <c r="E2113" s="1" t="str">
        <f t="array" ref="E2113">_xlfn.XLOOKUP(A2113,Product!A:A,Product!B:B,"Bulunamadı")</f>
        <v>Tech</v>
      </c>
      <c r="F2113" s="1" t="str">
        <f t="array" ref="F2113">_xlfn.XLOOKUP(A2113,Product!A:A,Product!C:C,"Bulunamadı")</f>
        <v>Communication Skills</v>
      </c>
      <c r="G2113" s="2" t="str">
        <f t="array" ref="G2113">_xlfn.XLOOKUP(A2114,Product!A:A,Product!D:D,"Bulunamadı")</f>
        <v>Cedarridge Books</v>
      </c>
      <c r="H2113" s="2">
        <f t="array" ref="H2113">_xlfn.XLOOKUP(A2115,Product!A:A,Product!E:E,"Bulunamadı")</f>
        <v>6.27</v>
      </c>
      <c r="I2113" s="2" t="str">
        <f t="shared" si="1"/>
        <v>9727 - Tech - Communication Skills</v>
      </c>
      <c r="J2113" s="2">
        <f t="shared" si="2"/>
        <v>4564.56</v>
      </c>
      <c r="K2113" s="17">
        <f t="shared" si="3"/>
        <v>1</v>
      </c>
      <c r="L2113" s="18"/>
    </row>
    <row r="2114" hidden="1">
      <c r="A2114" s="2">
        <f>IFERROR(__xludf.DUMMYFUNCTION("""COMPUTED_VALUE"""),72321.0)</f>
        <v>72321</v>
      </c>
      <c r="B2114" s="2">
        <f>IFERROR(__xludf.DUMMYFUNCTION("""COMPUTED_VALUE"""),1.0)</f>
        <v>1</v>
      </c>
      <c r="C2114" s="2">
        <f>IFERROR(__xludf.DUMMYFUNCTION("""COMPUTED_VALUE"""),635.0)</f>
        <v>635</v>
      </c>
      <c r="D2114" s="3">
        <f>IFERROR(__xludf.DUMMYFUNCTION("""COMPUTED_VALUE"""),431.0)</f>
        <v>431</v>
      </c>
      <c r="E2114" s="1" t="str">
        <f t="array" ref="E2114">_xlfn.XLOOKUP(A2114,Product!A:A,Product!B:B,"Bulunamadı")</f>
        <v>Tech</v>
      </c>
      <c r="F2114" s="1" t="str">
        <f t="array" ref="F2114">_xlfn.XLOOKUP(A2114,Product!A:A,Product!C:C,"Bulunamadı")</f>
        <v>Communication Skills</v>
      </c>
      <c r="G2114" s="2" t="str">
        <f t="array" ref="G2114">_xlfn.XLOOKUP(A2115,Product!A:A,Product!D:D,"Bulunamadı")</f>
        <v>Cedarridge Books</v>
      </c>
      <c r="H2114" s="2">
        <f t="array" ref="H2114">_xlfn.XLOOKUP(A2116,Product!A:A,Product!E:E,"Bulunamadı")</f>
        <v>4</v>
      </c>
      <c r="I2114" s="2" t="str">
        <f t="shared" si="1"/>
        <v>72321 - Tech - Communication Skills</v>
      </c>
      <c r="J2114" s="2">
        <f t="shared" si="2"/>
        <v>1724</v>
      </c>
      <c r="K2114" s="17">
        <f t="shared" si="3"/>
        <v>1</v>
      </c>
      <c r="L2114" s="18"/>
    </row>
    <row r="2115" hidden="1">
      <c r="A2115" s="2">
        <f>IFERROR(__xludf.DUMMYFUNCTION("""COMPUTED_VALUE"""),100063.0)</f>
        <v>100063</v>
      </c>
      <c r="B2115" s="2">
        <f>IFERROR(__xludf.DUMMYFUNCTION("""COMPUTED_VALUE"""),0.0)</f>
        <v>0</v>
      </c>
      <c r="C2115" s="2">
        <f>IFERROR(__xludf.DUMMYFUNCTION("""COMPUTED_VALUE"""),955.0)</f>
        <v>955</v>
      </c>
      <c r="D2115" s="3">
        <f>IFERROR(__xludf.DUMMYFUNCTION("""COMPUTED_VALUE"""),521.0)</f>
        <v>521</v>
      </c>
      <c r="E2115" s="1" t="str">
        <f t="array" ref="E2115">_xlfn.XLOOKUP(A2115,Product!A:A,Product!B:B,"Bulunamadı")</f>
        <v>Tech</v>
      </c>
      <c r="F2115" s="1" t="str">
        <f t="array" ref="F2115">_xlfn.XLOOKUP(A2115,Product!A:A,Product!C:C,"Bulunamadı")</f>
        <v>Communication Skills</v>
      </c>
      <c r="G2115" s="2" t="str">
        <f t="array" ref="G2115">_xlfn.XLOOKUP(A2116,Product!A:A,Product!D:D,"Bulunamadı")</f>
        <v>Cedarridge Books</v>
      </c>
      <c r="H2115" s="2">
        <f t="array" ref="H2115">_xlfn.XLOOKUP(A2117,Product!A:A,Product!E:E,"Bulunamadı")</f>
        <v>5.86</v>
      </c>
      <c r="I2115" s="2" t="str">
        <f t="shared" si="1"/>
        <v>100063 - Tech - Communication Skills</v>
      </c>
      <c r="J2115" s="2">
        <f t="shared" si="2"/>
        <v>3053.06</v>
      </c>
      <c r="K2115" s="17">
        <f t="shared" si="3"/>
        <v>1</v>
      </c>
      <c r="L2115" s="18"/>
    </row>
    <row r="2116" hidden="1">
      <c r="A2116" s="2">
        <f>IFERROR(__xludf.DUMMYFUNCTION("""COMPUTED_VALUE"""),79818.0)</f>
        <v>79818</v>
      </c>
      <c r="B2116" s="2">
        <f>IFERROR(__xludf.DUMMYFUNCTION("""COMPUTED_VALUE"""),0.0)</f>
        <v>0</v>
      </c>
      <c r="C2116" s="2">
        <f>IFERROR(__xludf.DUMMYFUNCTION("""COMPUTED_VALUE"""),768.0)</f>
        <v>768</v>
      </c>
      <c r="D2116" s="3">
        <f>IFERROR(__xludf.DUMMYFUNCTION("""COMPUTED_VALUE"""),151.0)</f>
        <v>151</v>
      </c>
      <c r="E2116" s="1" t="str">
        <f t="array" ref="E2116">_xlfn.XLOOKUP(A2116,Product!A:A,Product!B:B,"Bulunamadı")</f>
        <v>Tech</v>
      </c>
      <c r="F2116" s="1" t="str">
        <f t="array" ref="F2116">_xlfn.XLOOKUP(A2116,Product!A:A,Product!C:C,"Bulunamadı")</f>
        <v>Communication Skills</v>
      </c>
      <c r="G2116" s="2" t="str">
        <f t="array" ref="G2116">_xlfn.XLOOKUP(A2117,Product!A:A,Product!D:D,"Bulunamadı")</f>
        <v>Cedarridge Books</v>
      </c>
      <c r="H2116" s="2">
        <f t="array" ref="H2116">_xlfn.XLOOKUP(A2118,Product!A:A,Product!E:E,"Bulunamadı")</f>
        <v>5.17</v>
      </c>
      <c r="I2116" s="2" t="str">
        <f t="shared" si="1"/>
        <v>79818 - Tech - Communication Skills</v>
      </c>
      <c r="J2116" s="2">
        <f t="shared" si="2"/>
        <v>780.67</v>
      </c>
      <c r="K2116" s="17">
        <f t="shared" si="3"/>
        <v>1</v>
      </c>
      <c r="L2116" s="18"/>
    </row>
    <row r="2117" hidden="1">
      <c r="A2117" s="2">
        <f>IFERROR(__xludf.DUMMYFUNCTION("""COMPUTED_VALUE"""),121731.0)</f>
        <v>121731</v>
      </c>
      <c r="B2117" s="2">
        <f>IFERROR(__xludf.DUMMYFUNCTION("""COMPUTED_VALUE"""),0.0)</f>
        <v>0</v>
      </c>
      <c r="C2117" s="2">
        <f>IFERROR(__xludf.DUMMYFUNCTION("""COMPUTED_VALUE"""),726.0)</f>
        <v>726</v>
      </c>
      <c r="D2117" s="3">
        <f>IFERROR(__xludf.DUMMYFUNCTION("""COMPUTED_VALUE"""),267.0)</f>
        <v>267</v>
      </c>
      <c r="E2117" s="1" t="str">
        <f t="array" ref="E2117">_xlfn.XLOOKUP(A2117,Product!A:A,Product!B:B,"Bulunamadı")</f>
        <v>Tech</v>
      </c>
      <c r="F2117" s="1" t="str">
        <f t="array" ref="F2117">_xlfn.XLOOKUP(A2117,Product!A:A,Product!C:C,"Bulunamadı")</f>
        <v>Communication Skills</v>
      </c>
      <c r="G2117" s="2" t="str">
        <f t="array" ref="G2117">_xlfn.XLOOKUP(A2118,Product!A:A,Product!D:D,"Bulunamadı")</f>
        <v>Cedarridge Books</v>
      </c>
      <c r="H2117" s="2">
        <f t="array" ref="H2117">_xlfn.XLOOKUP(A2119,Product!A:A,Product!E:E,"Bulunamadı")</f>
        <v>3.99</v>
      </c>
      <c r="I2117" s="2" t="str">
        <f t="shared" si="1"/>
        <v>121731 - Tech - Communication Skills</v>
      </c>
      <c r="J2117" s="2">
        <f t="shared" si="2"/>
        <v>1065.33</v>
      </c>
      <c r="K2117" s="17">
        <f t="shared" si="3"/>
        <v>1</v>
      </c>
      <c r="L2117" s="18"/>
    </row>
    <row r="2118" hidden="1">
      <c r="A2118" s="2">
        <f>IFERROR(__xludf.DUMMYFUNCTION("""COMPUTED_VALUE"""),200584.0)</f>
        <v>200584</v>
      </c>
      <c r="B2118" s="2">
        <f>IFERROR(__xludf.DUMMYFUNCTION("""COMPUTED_VALUE"""),1.0)</f>
        <v>1</v>
      </c>
      <c r="C2118" s="2">
        <f>IFERROR(__xludf.DUMMYFUNCTION("""COMPUTED_VALUE"""),309.0)</f>
        <v>309</v>
      </c>
      <c r="D2118" s="3">
        <f>IFERROR(__xludf.DUMMYFUNCTION("""COMPUTED_VALUE"""),41.0)</f>
        <v>41</v>
      </c>
      <c r="E2118" s="1" t="str">
        <f t="array" ref="E2118">_xlfn.XLOOKUP(A2118,Product!A:A,Product!B:B,"Bulunamadı")</f>
        <v>Tech</v>
      </c>
      <c r="F2118" s="1" t="str">
        <f t="array" ref="F2118">_xlfn.XLOOKUP(A2118,Product!A:A,Product!C:C,"Bulunamadı")</f>
        <v>Communication Skills</v>
      </c>
      <c r="G2118" s="2" t="str">
        <f t="array" ref="G2118">_xlfn.XLOOKUP(A2119,Product!A:A,Product!D:D,"Bulunamadı")</f>
        <v>Cedarridge Books</v>
      </c>
      <c r="H2118" s="2">
        <f t="array" ref="H2118">_xlfn.XLOOKUP(A2120,Product!A:A,Product!E:E,"Bulunamadı")</f>
        <v>5.65</v>
      </c>
      <c r="I2118" s="2" t="str">
        <f t="shared" si="1"/>
        <v>200584 - Tech - Communication Skills</v>
      </c>
      <c r="J2118" s="2">
        <f t="shared" si="2"/>
        <v>231.65</v>
      </c>
      <c r="K2118" s="17">
        <f t="shared" si="3"/>
        <v>1</v>
      </c>
      <c r="L2118" s="18"/>
    </row>
    <row r="2119" hidden="1">
      <c r="A2119" s="2">
        <f>IFERROR(__xludf.DUMMYFUNCTION("""COMPUTED_VALUE"""),68600.0)</f>
        <v>68600</v>
      </c>
      <c r="B2119" s="2">
        <f>IFERROR(__xludf.DUMMYFUNCTION("""COMPUTED_VALUE"""),0.0)</f>
        <v>0</v>
      </c>
      <c r="C2119" s="2">
        <f>IFERROR(__xludf.DUMMYFUNCTION("""COMPUTED_VALUE"""),272.0)</f>
        <v>272</v>
      </c>
      <c r="D2119" s="3">
        <f>IFERROR(__xludf.DUMMYFUNCTION("""COMPUTED_VALUE"""),270.0)</f>
        <v>270</v>
      </c>
      <c r="E2119" s="1" t="str">
        <f t="array" ref="E2119">_xlfn.XLOOKUP(A2119,Product!A:A,Product!B:B,"Bulunamadı")</f>
        <v>Tech</v>
      </c>
      <c r="F2119" s="1" t="str">
        <f t="array" ref="F2119">_xlfn.XLOOKUP(A2119,Product!A:A,Product!C:C,"Bulunamadı")</f>
        <v>Communication Skills</v>
      </c>
      <c r="G2119" s="2" t="str">
        <f t="array" ref="G2119">_xlfn.XLOOKUP(A2120,Product!A:A,Product!D:D,"Bulunamadı")</f>
        <v>Cedarridge Books</v>
      </c>
      <c r="H2119" s="2">
        <f t="array" ref="H2119">_xlfn.XLOOKUP(A2121,Product!A:A,Product!E:E,"Bulunamadı")</f>
        <v>23.34</v>
      </c>
      <c r="I2119" s="2" t="str">
        <f t="shared" si="1"/>
        <v>68600 - Tech - Communication Skills</v>
      </c>
      <c r="J2119" s="2">
        <f t="shared" si="2"/>
        <v>6301.8</v>
      </c>
      <c r="K2119" s="17">
        <f t="shared" si="3"/>
        <v>1</v>
      </c>
      <c r="L2119" s="18"/>
    </row>
    <row r="2120" hidden="1">
      <c r="A2120" s="2">
        <f>IFERROR(__xludf.DUMMYFUNCTION("""COMPUTED_VALUE"""),98788.0)</f>
        <v>98788</v>
      </c>
      <c r="B2120" s="2">
        <f>IFERROR(__xludf.DUMMYFUNCTION("""COMPUTED_VALUE"""),1.0)</f>
        <v>1</v>
      </c>
      <c r="C2120" s="2">
        <f>IFERROR(__xludf.DUMMYFUNCTION("""COMPUTED_VALUE"""),740.0)</f>
        <v>740</v>
      </c>
      <c r="D2120" s="3">
        <f>IFERROR(__xludf.DUMMYFUNCTION("""COMPUTED_VALUE"""),261.0)</f>
        <v>261</v>
      </c>
      <c r="E2120" s="1" t="str">
        <f t="array" ref="E2120">_xlfn.XLOOKUP(A2120,Product!A:A,Product!B:B,"Bulunamadı")</f>
        <v>Tech</v>
      </c>
      <c r="F2120" s="1" t="str">
        <f t="array" ref="F2120">_xlfn.XLOOKUP(A2120,Product!A:A,Product!C:C,"Bulunamadı")</f>
        <v>Communication Skills</v>
      </c>
      <c r="G2120" s="2" t="str">
        <f t="array" ref="G2120">_xlfn.XLOOKUP(A2121,Product!A:A,Product!D:D,"Bulunamadı")</f>
        <v>Cedarridge Books</v>
      </c>
      <c r="H2120" s="2">
        <f t="array" ref="H2120">_xlfn.XLOOKUP(A2122,Product!A:A,Product!E:E,"Bulunamadı")</f>
        <v>5.81</v>
      </c>
      <c r="I2120" s="2" t="str">
        <f t="shared" si="1"/>
        <v>98788 - Tech - Communication Skills</v>
      </c>
      <c r="J2120" s="2">
        <f t="shared" si="2"/>
        <v>1516.41</v>
      </c>
      <c r="K2120" s="17">
        <f t="shared" si="3"/>
        <v>1</v>
      </c>
      <c r="L2120" s="18"/>
    </row>
    <row r="2121" hidden="1">
      <c r="A2121" s="2">
        <f>IFERROR(__xludf.DUMMYFUNCTION("""COMPUTED_VALUE"""),122390.0)</f>
        <v>122390</v>
      </c>
      <c r="B2121" s="2">
        <f>IFERROR(__xludf.DUMMYFUNCTION("""COMPUTED_VALUE"""),0.0)</f>
        <v>0</v>
      </c>
      <c r="C2121" s="2">
        <f>IFERROR(__xludf.DUMMYFUNCTION("""COMPUTED_VALUE"""),556.0)</f>
        <v>556</v>
      </c>
      <c r="D2121" s="3">
        <f>IFERROR(__xludf.DUMMYFUNCTION("""COMPUTED_VALUE"""),389.0)</f>
        <v>389</v>
      </c>
      <c r="E2121" s="1" t="str">
        <f t="array" ref="E2121">_xlfn.XLOOKUP(A2121,Product!A:A,Product!B:B,"Bulunamadı")</f>
        <v>Tech</v>
      </c>
      <c r="F2121" s="1" t="str">
        <f t="array" ref="F2121">_xlfn.XLOOKUP(A2121,Product!A:A,Product!C:C,"Bulunamadı")</f>
        <v>Communication Skills</v>
      </c>
      <c r="G2121" s="2" t="str">
        <f t="array" ref="G2121">_xlfn.XLOOKUP(A2122,Product!A:A,Product!D:D,"Bulunamadı")</f>
        <v>Cedarridge Books</v>
      </c>
      <c r="H2121" s="2">
        <f t="array" ref="H2121">_xlfn.XLOOKUP(A2123,Product!A:A,Product!E:E,"Bulunamadı")</f>
        <v>6.26</v>
      </c>
      <c r="I2121" s="2" t="str">
        <f t="shared" si="1"/>
        <v>122390 - Tech - Communication Skills</v>
      </c>
      <c r="J2121" s="2">
        <f t="shared" si="2"/>
        <v>2435.14</v>
      </c>
      <c r="K2121" s="17">
        <f t="shared" si="3"/>
        <v>1</v>
      </c>
      <c r="L2121" s="18"/>
    </row>
    <row r="2122" hidden="1">
      <c r="A2122" s="2">
        <f>IFERROR(__xludf.DUMMYFUNCTION("""COMPUTED_VALUE"""),109930.0)</f>
        <v>109930</v>
      </c>
      <c r="B2122" s="2">
        <f>IFERROR(__xludf.DUMMYFUNCTION("""COMPUTED_VALUE"""),0.0)</f>
        <v>0</v>
      </c>
      <c r="C2122" s="2">
        <f>IFERROR(__xludf.DUMMYFUNCTION("""COMPUTED_VALUE"""),139.0)</f>
        <v>139</v>
      </c>
      <c r="D2122" s="3">
        <f>IFERROR(__xludf.DUMMYFUNCTION("""COMPUTED_VALUE"""),13.0)</f>
        <v>13</v>
      </c>
      <c r="E2122" s="1" t="str">
        <f t="array" ref="E2122">_xlfn.XLOOKUP(A2122,Product!A:A,Product!B:B,"Bulunamadı")</f>
        <v>Tech</v>
      </c>
      <c r="F2122" s="1" t="str">
        <f t="array" ref="F2122">_xlfn.XLOOKUP(A2122,Product!A:A,Product!C:C,"Bulunamadı")</f>
        <v>Communication Skills</v>
      </c>
      <c r="G2122" s="2" t="str">
        <f t="array" ref="G2122">_xlfn.XLOOKUP(A2123,Product!A:A,Product!D:D,"Bulunamadı")</f>
        <v>Cedarridge Books</v>
      </c>
      <c r="H2122" s="2">
        <f t="array" ref="H2122">_xlfn.XLOOKUP(A2124,Product!A:A,Product!E:E,"Bulunamadı")</f>
        <v>3.97</v>
      </c>
      <c r="I2122" s="2" t="str">
        <f t="shared" si="1"/>
        <v>109930 - Tech - Communication Skills</v>
      </c>
      <c r="J2122" s="2">
        <f t="shared" si="2"/>
        <v>51.61</v>
      </c>
      <c r="K2122" s="17">
        <f t="shared" si="3"/>
        <v>1</v>
      </c>
      <c r="L2122" s="18"/>
    </row>
    <row r="2123" hidden="1">
      <c r="A2123" s="2">
        <f>IFERROR(__xludf.DUMMYFUNCTION("""COMPUTED_VALUE"""),118299.0)</f>
        <v>118299</v>
      </c>
      <c r="B2123" s="2">
        <f>IFERROR(__xludf.DUMMYFUNCTION("""COMPUTED_VALUE"""),0.0)</f>
        <v>0</v>
      </c>
      <c r="C2123" s="2">
        <f>IFERROR(__xludf.DUMMYFUNCTION("""COMPUTED_VALUE"""),718.0)</f>
        <v>718</v>
      </c>
      <c r="D2123" s="3">
        <f>IFERROR(__xludf.DUMMYFUNCTION("""COMPUTED_VALUE"""),583.0)</f>
        <v>583</v>
      </c>
      <c r="E2123" s="1" t="str">
        <f t="array" ref="E2123">_xlfn.XLOOKUP(A2123,Product!A:A,Product!B:B,"Bulunamadı")</f>
        <v>Tech</v>
      </c>
      <c r="F2123" s="1" t="str">
        <f t="array" ref="F2123">_xlfn.XLOOKUP(A2123,Product!A:A,Product!C:C,"Bulunamadı")</f>
        <v>Communication Skills</v>
      </c>
      <c r="G2123" s="2" t="str">
        <f t="array" ref="G2123">_xlfn.XLOOKUP(A2124,Product!A:A,Product!D:D,"Bulunamadı")</f>
        <v>Cedarridge Books</v>
      </c>
      <c r="H2123" s="2">
        <f t="array" ref="H2123">_xlfn.XLOOKUP(A2125,Product!A:A,Product!E:E,"Bulunamadı")</f>
        <v>6.08</v>
      </c>
      <c r="I2123" s="2" t="str">
        <f t="shared" si="1"/>
        <v>118299 - Tech - Communication Skills</v>
      </c>
      <c r="J2123" s="2">
        <f t="shared" si="2"/>
        <v>3544.64</v>
      </c>
      <c r="K2123" s="17">
        <f t="shared" si="3"/>
        <v>1</v>
      </c>
      <c r="L2123" s="18"/>
    </row>
    <row r="2124" hidden="1">
      <c r="A2124" s="2">
        <f>IFERROR(__xludf.DUMMYFUNCTION("""COMPUTED_VALUE"""),72320.0)</f>
        <v>72320</v>
      </c>
      <c r="B2124" s="2">
        <f>IFERROR(__xludf.DUMMYFUNCTION("""COMPUTED_VALUE"""),1.0)</f>
        <v>1</v>
      </c>
      <c r="C2124" s="2">
        <f>IFERROR(__xludf.DUMMYFUNCTION("""COMPUTED_VALUE"""),732.0)</f>
        <v>732</v>
      </c>
      <c r="D2124" s="3">
        <f>IFERROR(__xludf.DUMMYFUNCTION("""COMPUTED_VALUE"""),440.0)</f>
        <v>440</v>
      </c>
      <c r="E2124" s="1" t="str">
        <f t="array" ref="E2124">_xlfn.XLOOKUP(A2124,Product!A:A,Product!B:B,"Bulunamadı")</f>
        <v>Tech</v>
      </c>
      <c r="F2124" s="1" t="str">
        <f t="array" ref="F2124">_xlfn.XLOOKUP(A2124,Product!A:A,Product!C:C,"Bulunamadı")</f>
        <v>Communication Skills</v>
      </c>
      <c r="G2124" s="2" t="str">
        <f t="array" ref="G2124">_xlfn.XLOOKUP(A2125,Product!A:A,Product!D:D,"Bulunamadı")</f>
        <v>Cedarridge Books</v>
      </c>
      <c r="H2124" s="2">
        <f t="array" ref="H2124">_xlfn.XLOOKUP(A2126,Product!A:A,Product!E:E,"Bulunamadı")</f>
        <v>4.57</v>
      </c>
      <c r="I2124" s="2" t="str">
        <f t="shared" si="1"/>
        <v>72320 - Tech - Communication Skills</v>
      </c>
      <c r="J2124" s="2">
        <f t="shared" si="2"/>
        <v>2010.8</v>
      </c>
      <c r="K2124" s="17">
        <f t="shared" si="3"/>
        <v>1</v>
      </c>
      <c r="L2124" s="18"/>
    </row>
    <row r="2125" hidden="1">
      <c r="A2125" s="2">
        <f>IFERROR(__xludf.DUMMYFUNCTION("""COMPUTED_VALUE"""),87839.0)</f>
        <v>87839</v>
      </c>
      <c r="B2125" s="2">
        <f>IFERROR(__xludf.DUMMYFUNCTION("""COMPUTED_VALUE"""),1.0)</f>
        <v>1</v>
      </c>
      <c r="C2125" s="2">
        <f>IFERROR(__xludf.DUMMYFUNCTION("""COMPUTED_VALUE"""),822.0)</f>
        <v>822</v>
      </c>
      <c r="D2125" s="3">
        <f>IFERROR(__xludf.DUMMYFUNCTION("""COMPUTED_VALUE"""),677.0)</f>
        <v>677</v>
      </c>
      <c r="E2125" s="1" t="str">
        <f t="array" ref="E2125">_xlfn.XLOOKUP(A2125,Product!A:A,Product!B:B,"Bulunamadı")</f>
        <v>Tech</v>
      </c>
      <c r="F2125" s="1" t="str">
        <f t="array" ref="F2125">_xlfn.XLOOKUP(A2125,Product!A:A,Product!C:C,"Bulunamadı")</f>
        <v>Communication Skills</v>
      </c>
      <c r="G2125" s="2" t="str">
        <f t="array" ref="G2125">_xlfn.XLOOKUP(A2126,Product!A:A,Product!D:D,"Bulunamadı")</f>
        <v>Cedarridge Books</v>
      </c>
      <c r="H2125" s="2">
        <f t="array" ref="H2125">_xlfn.XLOOKUP(A2127,Product!A:A,Product!E:E,"Bulunamadı")</f>
        <v>6.19</v>
      </c>
      <c r="I2125" s="2" t="str">
        <f t="shared" si="1"/>
        <v>87839 - Tech - Communication Skills</v>
      </c>
      <c r="J2125" s="2">
        <f t="shared" si="2"/>
        <v>4190.63</v>
      </c>
      <c r="K2125" s="17">
        <f t="shared" si="3"/>
        <v>1</v>
      </c>
      <c r="L2125" s="18"/>
    </row>
    <row r="2126" hidden="1">
      <c r="A2126" s="2">
        <f>IFERROR(__xludf.DUMMYFUNCTION("""COMPUTED_VALUE"""),79819.0)</f>
        <v>79819</v>
      </c>
      <c r="B2126" s="2">
        <f>IFERROR(__xludf.DUMMYFUNCTION("""COMPUTED_VALUE"""),0.0)</f>
        <v>0</v>
      </c>
      <c r="C2126" s="2">
        <f>IFERROR(__xludf.DUMMYFUNCTION("""COMPUTED_VALUE"""),715.0)</f>
        <v>715</v>
      </c>
      <c r="D2126" s="3">
        <f>IFERROR(__xludf.DUMMYFUNCTION("""COMPUTED_VALUE"""),368.0)</f>
        <v>368</v>
      </c>
      <c r="E2126" s="1" t="str">
        <f t="array" ref="E2126">_xlfn.XLOOKUP(A2126,Product!A:A,Product!B:B,"Bulunamadı")</f>
        <v>Tech</v>
      </c>
      <c r="F2126" s="1" t="str">
        <f t="array" ref="F2126">_xlfn.XLOOKUP(A2126,Product!A:A,Product!C:C,"Bulunamadı")</f>
        <v>Communication Skills</v>
      </c>
      <c r="G2126" s="2" t="str">
        <f t="array" ref="G2126">_xlfn.XLOOKUP(A2127,Product!A:A,Product!D:D,"Bulunamadı")</f>
        <v>Cedarridge Books</v>
      </c>
      <c r="H2126" s="2">
        <f t="array" ref="H2126">_xlfn.XLOOKUP(A2128,Product!A:A,Product!E:E,"Bulunamadı")</f>
        <v>5.3</v>
      </c>
      <c r="I2126" s="2" t="str">
        <f t="shared" si="1"/>
        <v>79819 - Tech - Communication Skills</v>
      </c>
      <c r="J2126" s="2">
        <f t="shared" si="2"/>
        <v>1950.4</v>
      </c>
      <c r="K2126" s="17">
        <f t="shared" si="3"/>
        <v>1</v>
      </c>
      <c r="L2126" s="18"/>
    </row>
    <row r="2127" hidden="1">
      <c r="A2127" s="2">
        <f>IFERROR(__xludf.DUMMYFUNCTION("""COMPUTED_VALUE"""),117169.0)</f>
        <v>117169</v>
      </c>
      <c r="B2127" s="2">
        <f>IFERROR(__xludf.DUMMYFUNCTION("""COMPUTED_VALUE"""),1.0)</f>
        <v>1</v>
      </c>
      <c r="C2127" s="2">
        <f>IFERROR(__xludf.DUMMYFUNCTION("""COMPUTED_VALUE"""),402.0)</f>
        <v>402</v>
      </c>
      <c r="D2127" s="3">
        <f>IFERROR(__xludf.DUMMYFUNCTION("""COMPUTED_VALUE"""),82.0)</f>
        <v>82</v>
      </c>
      <c r="E2127" s="1" t="str">
        <f t="array" ref="E2127">_xlfn.XLOOKUP(A2127,Product!A:A,Product!B:B,"Bulunamadı")</f>
        <v>Tech</v>
      </c>
      <c r="F2127" s="1" t="str">
        <f t="array" ref="F2127">_xlfn.XLOOKUP(A2127,Product!A:A,Product!C:C,"Bulunamadı")</f>
        <v>Communication Skills</v>
      </c>
      <c r="G2127" s="2" t="str">
        <f t="array" ref="G2127">_xlfn.XLOOKUP(A2128,Product!A:A,Product!D:D,"Bulunamadı")</f>
        <v>Cedarridge Books</v>
      </c>
      <c r="H2127" s="2">
        <f t="array" ref="H2127">_xlfn.XLOOKUP(A2129,Product!A:A,Product!E:E,"Bulunamadı")</f>
        <v>21.57</v>
      </c>
      <c r="I2127" s="2" t="str">
        <f t="shared" si="1"/>
        <v>117169 - Tech - Communication Skills</v>
      </c>
      <c r="J2127" s="2">
        <f t="shared" si="2"/>
        <v>1768.74</v>
      </c>
      <c r="K2127" s="17">
        <f t="shared" si="3"/>
        <v>1</v>
      </c>
      <c r="L2127" s="18"/>
    </row>
    <row r="2128" hidden="1">
      <c r="A2128" s="2">
        <f>IFERROR(__xludf.DUMMYFUNCTION("""COMPUTED_VALUE"""),200585.0)</f>
        <v>200585</v>
      </c>
      <c r="B2128" s="2">
        <f>IFERROR(__xludf.DUMMYFUNCTION("""COMPUTED_VALUE"""),0.0)</f>
        <v>0</v>
      </c>
      <c r="C2128" s="2">
        <f>IFERROR(__xludf.DUMMYFUNCTION("""COMPUTED_VALUE"""),100.0)</f>
        <v>100</v>
      </c>
      <c r="D2128" s="3">
        <f>IFERROR(__xludf.DUMMYFUNCTION("""COMPUTED_VALUE"""),2.0)</f>
        <v>2</v>
      </c>
      <c r="E2128" s="1" t="str">
        <f t="array" ref="E2128">_xlfn.XLOOKUP(A2128,Product!A:A,Product!B:B,"Bulunamadı")</f>
        <v>Tech</v>
      </c>
      <c r="F2128" s="1" t="str">
        <f t="array" ref="F2128">_xlfn.XLOOKUP(A2128,Product!A:A,Product!C:C,"Bulunamadı")</f>
        <v>Communication Skills</v>
      </c>
      <c r="G2128" s="2" t="str">
        <f t="array" ref="G2128">_xlfn.XLOOKUP(A2129,Product!A:A,Product!D:D,"Bulunamadı")</f>
        <v>Cedarridge Books</v>
      </c>
      <c r="H2128" s="2">
        <f t="array" ref="H2128">_xlfn.XLOOKUP(A2130,Product!A:A,Product!E:E,"Bulunamadı")</f>
        <v>6.56</v>
      </c>
      <c r="I2128" s="2" t="str">
        <f t="shared" si="1"/>
        <v>200585 - Tech - Communication Skills</v>
      </c>
      <c r="J2128" s="2">
        <f t="shared" si="2"/>
        <v>13.12</v>
      </c>
      <c r="K2128" s="17">
        <f t="shared" si="3"/>
        <v>1</v>
      </c>
      <c r="L2128" s="18"/>
    </row>
    <row r="2129" hidden="1">
      <c r="A2129" s="2">
        <f>IFERROR(__xludf.DUMMYFUNCTION("""COMPUTED_VALUE"""),70339.0)</f>
        <v>70339</v>
      </c>
      <c r="B2129" s="2">
        <f>IFERROR(__xludf.DUMMYFUNCTION("""COMPUTED_VALUE"""),0.0)</f>
        <v>0</v>
      </c>
      <c r="C2129" s="2">
        <f>IFERROR(__xludf.DUMMYFUNCTION("""COMPUTED_VALUE"""),246.0)</f>
        <v>246</v>
      </c>
      <c r="D2129" s="3">
        <f>IFERROR(__xludf.DUMMYFUNCTION("""COMPUTED_VALUE"""),189.0)</f>
        <v>189</v>
      </c>
      <c r="E2129" s="1" t="str">
        <f t="array" ref="E2129">_xlfn.XLOOKUP(A2129,Product!A:A,Product!B:B,"Bulunamadı")</f>
        <v>Tech</v>
      </c>
      <c r="F2129" s="1" t="str">
        <f t="array" ref="F2129">_xlfn.XLOOKUP(A2129,Product!A:A,Product!C:C,"Bulunamadı")</f>
        <v>Communication Skills</v>
      </c>
      <c r="G2129" s="2" t="str">
        <f t="array" ref="G2129">_xlfn.XLOOKUP(A2130,Product!A:A,Product!D:D,"Bulunamadı")</f>
        <v>Cedarridge Books</v>
      </c>
      <c r="H2129" s="2">
        <f t="array" ref="H2129">_xlfn.XLOOKUP(A2131,Product!A:A,Product!E:E,"Bulunamadı")</f>
        <v>6.51</v>
      </c>
      <c r="I2129" s="2" t="str">
        <f t="shared" si="1"/>
        <v>70339 - Tech - Communication Skills</v>
      </c>
      <c r="J2129" s="2">
        <f t="shared" si="2"/>
        <v>1230.39</v>
      </c>
      <c r="K2129" s="17">
        <f t="shared" si="3"/>
        <v>1</v>
      </c>
      <c r="L2129" s="18"/>
    </row>
    <row r="2130" hidden="1">
      <c r="A2130" s="2">
        <f>IFERROR(__xludf.DUMMYFUNCTION("""COMPUTED_VALUE"""),45597.0)</f>
        <v>45597</v>
      </c>
      <c r="B2130" s="2">
        <f>IFERROR(__xludf.DUMMYFUNCTION("""COMPUTED_VALUE"""),1.0)</f>
        <v>1</v>
      </c>
      <c r="C2130" s="2">
        <f>IFERROR(__xludf.DUMMYFUNCTION("""COMPUTED_VALUE"""),48.0)</f>
        <v>48</v>
      </c>
      <c r="D2130" s="3">
        <f>IFERROR(__xludf.DUMMYFUNCTION("""COMPUTED_VALUE"""),31.0)</f>
        <v>31</v>
      </c>
      <c r="E2130" s="1" t="str">
        <f t="array" ref="E2130">_xlfn.XLOOKUP(A2130,Product!A:A,Product!B:B,"Bulunamadı")</f>
        <v>Tech</v>
      </c>
      <c r="F2130" s="1" t="str">
        <f t="array" ref="F2130">_xlfn.XLOOKUP(A2130,Product!A:A,Product!C:C,"Bulunamadı")</f>
        <v>Communication Skills</v>
      </c>
      <c r="G2130" s="2" t="str">
        <f t="array" ref="G2130">_xlfn.XLOOKUP(A2131,Product!A:A,Product!D:D,"Bulunamadı")</f>
        <v>Cedarridge Books</v>
      </c>
      <c r="H2130" s="2">
        <f t="array" ref="H2130">_xlfn.XLOOKUP(A2132,Product!A:A,Product!E:E,"Bulunamadı")</f>
        <v>7.93</v>
      </c>
      <c r="I2130" s="2" t="str">
        <f t="shared" si="1"/>
        <v>45597 - Tech - Communication Skills</v>
      </c>
      <c r="J2130" s="2">
        <f t="shared" si="2"/>
        <v>245.83</v>
      </c>
      <c r="K2130" s="17">
        <f t="shared" si="3"/>
        <v>1</v>
      </c>
      <c r="L2130" s="18"/>
    </row>
    <row r="2131" hidden="1">
      <c r="A2131" s="2">
        <f>IFERROR(__xludf.DUMMYFUNCTION("""COMPUTED_VALUE"""),117147.0)</f>
        <v>117147</v>
      </c>
      <c r="B2131" s="2">
        <f>IFERROR(__xludf.DUMMYFUNCTION("""COMPUTED_VALUE"""),1.0)</f>
        <v>1</v>
      </c>
      <c r="C2131" s="2">
        <f>IFERROR(__xludf.DUMMYFUNCTION("""COMPUTED_VALUE"""),755.0)</f>
        <v>755</v>
      </c>
      <c r="D2131" s="3">
        <f>IFERROR(__xludf.DUMMYFUNCTION("""COMPUTED_VALUE"""),576.0)</f>
        <v>576</v>
      </c>
      <c r="E2131" s="1" t="str">
        <f t="array" ref="E2131">_xlfn.XLOOKUP(A2131,Product!A:A,Product!B:B,"Bulunamadı")</f>
        <v>Tech</v>
      </c>
      <c r="F2131" s="1" t="str">
        <f t="array" ref="F2131">_xlfn.XLOOKUP(A2131,Product!A:A,Product!C:C,"Bulunamadı")</f>
        <v>Communication Skills</v>
      </c>
      <c r="G2131" s="2" t="str">
        <f t="array" ref="G2131">_xlfn.XLOOKUP(A2132,Product!A:A,Product!D:D,"Bulunamadı")</f>
        <v>Cedarridge Books</v>
      </c>
      <c r="H2131" s="2">
        <f t="array" ref="H2131">_xlfn.XLOOKUP(A2133,Product!A:A,Product!E:E,"Bulunamadı")</f>
        <v>6.47</v>
      </c>
      <c r="I2131" s="2" t="str">
        <f t="shared" si="1"/>
        <v>117147 - Tech - Communication Skills</v>
      </c>
      <c r="J2131" s="2">
        <f t="shared" si="2"/>
        <v>3726.72</v>
      </c>
      <c r="K2131" s="17">
        <f t="shared" si="3"/>
        <v>1</v>
      </c>
      <c r="L2131" s="18"/>
    </row>
    <row r="2132" hidden="1">
      <c r="A2132" s="2">
        <f>IFERROR(__xludf.DUMMYFUNCTION("""COMPUTED_VALUE"""),46309.0)</f>
        <v>46309</v>
      </c>
      <c r="B2132" s="2">
        <f>IFERROR(__xludf.DUMMYFUNCTION("""COMPUTED_VALUE"""),0.0)</f>
        <v>0</v>
      </c>
      <c r="C2132" s="2">
        <f>IFERROR(__xludf.DUMMYFUNCTION("""COMPUTED_VALUE"""),148.0)</f>
        <v>148</v>
      </c>
      <c r="D2132" s="3">
        <f>IFERROR(__xludf.DUMMYFUNCTION("""COMPUTED_VALUE"""),103.0)</f>
        <v>103</v>
      </c>
      <c r="E2132" s="1" t="str">
        <f t="array" ref="E2132">_xlfn.XLOOKUP(A2132,Product!A:A,Product!B:B,"Bulunamadı")</f>
        <v>Tech</v>
      </c>
      <c r="F2132" s="1" t="str">
        <f t="array" ref="F2132">_xlfn.XLOOKUP(A2132,Product!A:A,Product!C:C,"Bulunamadı")</f>
        <v>Communication Skills</v>
      </c>
      <c r="G2132" s="2" t="str">
        <f t="array" ref="G2132">_xlfn.XLOOKUP(A2133,Product!A:A,Product!D:D,"Bulunamadı")</f>
        <v>Cedarridge Books</v>
      </c>
      <c r="H2132" s="2">
        <f t="array" ref="H2132">_xlfn.XLOOKUP(A2134,Product!A:A,Product!E:E,"Bulunamadı")</f>
        <v>5.42</v>
      </c>
      <c r="I2132" s="2" t="str">
        <f t="shared" si="1"/>
        <v>46309 - Tech - Communication Skills</v>
      </c>
      <c r="J2132" s="2">
        <f t="shared" si="2"/>
        <v>558.26</v>
      </c>
      <c r="K2132" s="17">
        <f t="shared" si="3"/>
        <v>1</v>
      </c>
      <c r="L2132" s="18"/>
    </row>
    <row r="2133" hidden="1">
      <c r="A2133" s="2">
        <f>IFERROR(__xludf.DUMMYFUNCTION("""COMPUTED_VALUE"""),45595.0)</f>
        <v>45595</v>
      </c>
      <c r="B2133" s="2">
        <f>IFERROR(__xludf.DUMMYFUNCTION("""COMPUTED_VALUE"""),1.0)</f>
        <v>1</v>
      </c>
      <c r="C2133" s="2">
        <f>IFERROR(__xludf.DUMMYFUNCTION("""COMPUTED_VALUE"""),206.0)</f>
        <v>206</v>
      </c>
      <c r="D2133" s="3">
        <f>IFERROR(__xludf.DUMMYFUNCTION("""COMPUTED_VALUE"""),119.0)</f>
        <v>119</v>
      </c>
      <c r="E2133" s="1" t="str">
        <f t="array" ref="E2133">_xlfn.XLOOKUP(A2133,Product!A:A,Product!B:B,"Bulunamadı")</f>
        <v>Tech</v>
      </c>
      <c r="F2133" s="1" t="str">
        <f t="array" ref="F2133">_xlfn.XLOOKUP(A2133,Product!A:A,Product!C:C,"Bulunamadı")</f>
        <v>Communication Skills</v>
      </c>
      <c r="G2133" s="2" t="str">
        <f t="array" ref="G2133">_xlfn.XLOOKUP(A2134,Product!A:A,Product!D:D,"Bulunamadı")</f>
        <v>Cedarridge Books</v>
      </c>
      <c r="H2133" s="2">
        <f t="array" ref="H2133">_xlfn.XLOOKUP(A2135,Product!A:A,Product!E:E,"Bulunamadı")</f>
        <v>4.36</v>
      </c>
      <c r="I2133" s="2" t="str">
        <f t="shared" si="1"/>
        <v>45595 - Tech - Communication Skills</v>
      </c>
      <c r="J2133" s="2">
        <f t="shared" si="2"/>
        <v>518.84</v>
      </c>
      <c r="K2133" s="17">
        <f t="shared" si="3"/>
        <v>1</v>
      </c>
      <c r="L2133" s="18"/>
    </row>
    <row r="2134" hidden="1">
      <c r="A2134" s="2">
        <f>IFERROR(__xludf.DUMMYFUNCTION("""COMPUTED_VALUE"""),100311.0)</f>
        <v>100311</v>
      </c>
      <c r="B2134" s="2">
        <f>IFERROR(__xludf.DUMMYFUNCTION("""COMPUTED_VALUE"""),1.0)</f>
        <v>1</v>
      </c>
      <c r="C2134" s="2">
        <f>IFERROR(__xludf.DUMMYFUNCTION("""COMPUTED_VALUE"""),11.0)</f>
        <v>11</v>
      </c>
      <c r="D2134" s="3">
        <f>IFERROR(__xludf.DUMMYFUNCTION("""COMPUTED_VALUE"""),0.0)</f>
        <v>0</v>
      </c>
      <c r="E2134" s="1" t="str">
        <f t="array" ref="E2134">_xlfn.XLOOKUP(A2134,Product!A:A,Product!B:B,"Bulunamadı")</f>
        <v>Tech</v>
      </c>
      <c r="F2134" s="1" t="str">
        <f t="array" ref="F2134">_xlfn.XLOOKUP(A2134,Product!A:A,Product!C:C,"Bulunamadı")</f>
        <v>Communication Skills</v>
      </c>
      <c r="G2134" s="2" t="str">
        <f t="array" ref="G2134">_xlfn.XLOOKUP(A2135,Product!A:A,Product!D:D,"Bulunamadı")</f>
        <v>Cedarridge Books</v>
      </c>
      <c r="H2134" s="2">
        <f t="array" ref="H2134">_xlfn.XLOOKUP(A2136,Product!A:A,Product!E:E,"Bulunamadı")</f>
        <v>4.2</v>
      </c>
      <c r="I2134" s="2" t="str">
        <f t="shared" si="1"/>
        <v>100311 - Tech - Communication Skills</v>
      </c>
      <c r="J2134" s="2">
        <f t="shared" si="2"/>
        <v>0</v>
      </c>
      <c r="K2134" s="17">
        <f t="shared" si="3"/>
        <v>0</v>
      </c>
      <c r="L2134" s="18"/>
    </row>
    <row r="2135" hidden="1">
      <c r="A2135" s="2">
        <f>IFERROR(__xludf.DUMMYFUNCTION("""COMPUTED_VALUE"""),122491.0)</f>
        <v>122491</v>
      </c>
      <c r="B2135" s="2">
        <f>IFERROR(__xludf.DUMMYFUNCTION("""COMPUTED_VALUE"""),1.0)</f>
        <v>1</v>
      </c>
      <c r="C2135" s="2">
        <f>IFERROR(__xludf.DUMMYFUNCTION("""COMPUTED_VALUE"""),331.0)</f>
        <v>331</v>
      </c>
      <c r="D2135" s="3">
        <f>IFERROR(__xludf.DUMMYFUNCTION("""COMPUTED_VALUE"""),230.0)</f>
        <v>230</v>
      </c>
      <c r="E2135" s="1" t="str">
        <f t="array" ref="E2135">_xlfn.XLOOKUP(A2135,Product!A:A,Product!B:B,"Bulunamadı")</f>
        <v>Tech</v>
      </c>
      <c r="F2135" s="1" t="str">
        <f t="array" ref="F2135">_xlfn.XLOOKUP(A2135,Product!A:A,Product!C:C,"Bulunamadı")</f>
        <v>Communication Skills</v>
      </c>
      <c r="G2135" s="2" t="str">
        <f t="array" ref="G2135">_xlfn.XLOOKUP(A2136,Product!A:A,Product!D:D,"Bulunamadı")</f>
        <v>Cedarridge Books</v>
      </c>
      <c r="H2135" s="2">
        <f t="array" ref="H2135">_xlfn.XLOOKUP(A2137,Product!A:A,Product!E:E,"Bulunamadı")</f>
        <v>24.29</v>
      </c>
      <c r="I2135" s="2" t="str">
        <f t="shared" si="1"/>
        <v>122491 - Tech - Communication Skills</v>
      </c>
      <c r="J2135" s="2">
        <f t="shared" si="2"/>
        <v>5586.7</v>
      </c>
      <c r="K2135" s="17">
        <f t="shared" si="3"/>
        <v>1</v>
      </c>
      <c r="L2135" s="18"/>
    </row>
    <row r="2136" hidden="1">
      <c r="A2136" s="2">
        <f>IFERROR(__xludf.DUMMYFUNCTION("""COMPUTED_VALUE"""),117466.0)</f>
        <v>117466</v>
      </c>
      <c r="B2136" s="2">
        <f>IFERROR(__xludf.DUMMYFUNCTION("""COMPUTED_VALUE"""),1.0)</f>
        <v>1</v>
      </c>
      <c r="C2136" s="2">
        <f>IFERROR(__xludf.DUMMYFUNCTION("""COMPUTED_VALUE"""),326.0)</f>
        <v>326</v>
      </c>
      <c r="D2136" s="3">
        <f>IFERROR(__xludf.DUMMYFUNCTION("""COMPUTED_VALUE"""),232.0)</f>
        <v>232</v>
      </c>
      <c r="E2136" s="1" t="str">
        <f t="array" ref="E2136">_xlfn.XLOOKUP(A2136,Product!A:A,Product!B:B,"Bulunamadı")</f>
        <v>Tech</v>
      </c>
      <c r="F2136" s="1" t="str">
        <f t="array" ref="F2136">_xlfn.XLOOKUP(A2136,Product!A:A,Product!C:C,"Bulunamadı")</f>
        <v>Communication Skills</v>
      </c>
      <c r="G2136" s="2" t="str">
        <f t="array" ref="G2136">_xlfn.XLOOKUP(A2137,Product!A:A,Product!D:D,"Bulunamadı")</f>
        <v>Cedarridge Books</v>
      </c>
      <c r="H2136" s="2">
        <f t="array" ref="H2136">_xlfn.XLOOKUP(A2138,Product!A:A,Product!E:E,"Bulunamadı")</f>
        <v>6.35</v>
      </c>
      <c r="I2136" s="2" t="str">
        <f t="shared" si="1"/>
        <v>117466 - Tech - Communication Skills</v>
      </c>
      <c r="J2136" s="2">
        <f t="shared" si="2"/>
        <v>1473.2</v>
      </c>
      <c r="K2136" s="17">
        <f t="shared" si="3"/>
        <v>1</v>
      </c>
      <c r="L2136" s="18"/>
    </row>
    <row r="2137" hidden="1">
      <c r="A2137" s="2">
        <f>IFERROR(__xludf.DUMMYFUNCTION("""COMPUTED_VALUE"""),85107.0)</f>
        <v>85107</v>
      </c>
      <c r="B2137" s="2">
        <f>IFERROR(__xludf.DUMMYFUNCTION("""COMPUTED_VALUE"""),0.0)</f>
        <v>0</v>
      </c>
      <c r="C2137" s="2">
        <f>IFERROR(__xludf.DUMMYFUNCTION("""COMPUTED_VALUE"""),641.0)</f>
        <v>641</v>
      </c>
      <c r="D2137" s="3">
        <f>IFERROR(__xludf.DUMMYFUNCTION("""COMPUTED_VALUE"""),24.0)</f>
        <v>24</v>
      </c>
      <c r="E2137" s="1" t="str">
        <f t="array" ref="E2137">_xlfn.XLOOKUP(A2137,Product!A:A,Product!B:B,"Bulunamadı")</f>
        <v>Tech</v>
      </c>
      <c r="F2137" s="1" t="str">
        <f t="array" ref="F2137">_xlfn.XLOOKUP(A2137,Product!A:A,Product!C:C,"Bulunamadı")</f>
        <v>Communication Skills</v>
      </c>
      <c r="G2137" s="2" t="str">
        <f t="array" ref="G2137">_xlfn.XLOOKUP(A2138,Product!A:A,Product!D:D,"Bulunamadı")</f>
        <v>Cedarridge Books</v>
      </c>
      <c r="H2137" s="2">
        <f t="array" ref="H2137">_xlfn.XLOOKUP(A2139,Product!A:A,Product!E:E,"Bulunamadı")</f>
        <v>6.58</v>
      </c>
      <c r="I2137" s="2" t="str">
        <f t="shared" si="1"/>
        <v>85107 - Tech - Communication Skills</v>
      </c>
      <c r="J2137" s="2">
        <f t="shared" si="2"/>
        <v>157.92</v>
      </c>
      <c r="K2137" s="17">
        <f t="shared" si="3"/>
        <v>1</v>
      </c>
      <c r="L2137" s="18"/>
    </row>
    <row r="2138" hidden="1">
      <c r="A2138" s="2">
        <f>IFERROR(__xludf.DUMMYFUNCTION("""COMPUTED_VALUE"""),45594.0)</f>
        <v>45594</v>
      </c>
      <c r="B2138" s="2">
        <f>IFERROR(__xludf.DUMMYFUNCTION("""COMPUTED_VALUE"""),1.0)</f>
        <v>1</v>
      </c>
      <c r="C2138" s="2">
        <f>IFERROR(__xludf.DUMMYFUNCTION("""COMPUTED_VALUE"""),376.0)</f>
        <v>376</v>
      </c>
      <c r="D2138" s="3">
        <f>IFERROR(__xludf.DUMMYFUNCTION("""COMPUTED_VALUE"""),357.0)</f>
        <v>357</v>
      </c>
      <c r="E2138" s="1" t="str">
        <f t="array" ref="E2138">_xlfn.XLOOKUP(A2138,Product!A:A,Product!B:B,"Bulunamadı")</f>
        <v>Tech</v>
      </c>
      <c r="F2138" s="1" t="str">
        <f t="array" ref="F2138">_xlfn.XLOOKUP(A2138,Product!A:A,Product!C:C,"Bulunamadı")</f>
        <v>Communication Skills</v>
      </c>
      <c r="G2138" s="2" t="str">
        <f t="array" ref="G2138">_xlfn.XLOOKUP(A2139,Product!A:A,Product!D:D,"Bulunamadı")</f>
        <v>Cedarridge Books</v>
      </c>
      <c r="H2138" s="2">
        <f t="array" ref="H2138">_xlfn.XLOOKUP(A2140,Product!A:A,Product!E:E,"Bulunamadı")</f>
        <v>4.02</v>
      </c>
      <c r="I2138" s="2" t="str">
        <f t="shared" si="1"/>
        <v>45594 - Tech - Communication Skills</v>
      </c>
      <c r="J2138" s="2">
        <f t="shared" si="2"/>
        <v>1435.14</v>
      </c>
      <c r="K2138" s="17">
        <f t="shared" si="3"/>
        <v>1</v>
      </c>
      <c r="L2138" s="18"/>
    </row>
    <row r="2139" hidden="1">
      <c r="A2139" s="2">
        <f>IFERROR(__xludf.DUMMYFUNCTION("""COMPUTED_VALUE"""),118298.0)</f>
        <v>118298</v>
      </c>
      <c r="B2139" s="2">
        <f>IFERROR(__xludf.DUMMYFUNCTION("""COMPUTED_VALUE"""),0.0)</f>
        <v>0</v>
      </c>
      <c r="C2139" s="2">
        <f>IFERROR(__xludf.DUMMYFUNCTION("""COMPUTED_VALUE"""),848.0)</f>
        <v>848</v>
      </c>
      <c r="D2139" s="3">
        <f>IFERROR(__xludf.DUMMYFUNCTION("""COMPUTED_VALUE"""),505.0)</f>
        <v>505</v>
      </c>
      <c r="E2139" s="1" t="str">
        <f t="array" ref="E2139">_xlfn.XLOOKUP(A2139,Product!A:A,Product!B:B,"Bulunamadı")</f>
        <v>Tech</v>
      </c>
      <c r="F2139" s="1" t="str">
        <f t="array" ref="F2139">_xlfn.XLOOKUP(A2139,Product!A:A,Product!C:C,"Bulunamadı")</f>
        <v>Communication Skills</v>
      </c>
      <c r="G2139" s="2" t="str">
        <f t="array" ref="G2139">_xlfn.XLOOKUP(A2140,Product!A:A,Product!D:D,"Bulunamadı")</f>
        <v>Cedarridge Books</v>
      </c>
      <c r="H2139" s="2">
        <f t="array" ref="H2139">_xlfn.XLOOKUP(A2141,Product!A:A,Product!E:E,"Bulunamadı")</f>
        <v>3.47</v>
      </c>
      <c r="I2139" s="2" t="str">
        <f t="shared" si="1"/>
        <v>118298 - Tech - Communication Skills</v>
      </c>
      <c r="J2139" s="2">
        <f t="shared" si="2"/>
        <v>1752.35</v>
      </c>
      <c r="K2139" s="17">
        <f t="shared" si="3"/>
        <v>1</v>
      </c>
      <c r="L2139" s="18"/>
    </row>
    <row r="2140" hidden="1">
      <c r="A2140" s="2">
        <f>IFERROR(__xludf.DUMMYFUNCTION("""COMPUTED_VALUE"""),98802.0)</f>
        <v>98802</v>
      </c>
      <c r="B2140" s="2">
        <f>IFERROR(__xludf.DUMMYFUNCTION("""COMPUTED_VALUE"""),0.0)</f>
        <v>0</v>
      </c>
      <c r="C2140" s="2">
        <f>IFERROR(__xludf.DUMMYFUNCTION("""COMPUTED_VALUE"""),105.0)</f>
        <v>105</v>
      </c>
      <c r="D2140" s="3">
        <f>IFERROR(__xludf.DUMMYFUNCTION("""COMPUTED_VALUE"""),8.0)</f>
        <v>8</v>
      </c>
      <c r="E2140" s="1" t="str">
        <f t="array" ref="E2140">_xlfn.XLOOKUP(A2140,Product!A:A,Product!B:B,"Bulunamadı")</f>
        <v>Tech</v>
      </c>
      <c r="F2140" s="1" t="str">
        <f t="array" ref="F2140">_xlfn.XLOOKUP(A2140,Product!A:A,Product!C:C,"Bulunamadı")</f>
        <v>Communication Skills</v>
      </c>
      <c r="G2140" s="2" t="str">
        <f t="array" ref="G2140">_xlfn.XLOOKUP(A2141,Product!A:A,Product!D:D,"Bulunamadı")</f>
        <v>Cedarridge Books</v>
      </c>
      <c r="H2140" s="2">
        <f t="array" ref="H2140">_xlfn.XLOOKUP(A2142,Product!A:A,Product!E:E,"Bulunamadı")</f>
        <v>6.06</v>
      </c>
      <c r="I2140" s="2" t="str">
        <f t="shared" si="1"/>
        <v>98802 - Tech - Communication Skills</v>
      </c>
      <c r="J2140" s="2">
        <f t="shared" si="2"/>
        <v>48.48</v>
      </c>
      <c r="K2140" s="17">
        <f t="shared" si="3"/>
        <v>1</v>
      </c>
      <c r="L2140" s="18"/>
    </row>
    <row r="2141" hidden="1">
      <c r="A2141" s="2">
        <f>IFERROR(__xludf.DUMMYFUNCTION("""COMPUTED_VALUE"""),46985.0)</f>
        <v>46985</v>
      </c>
      <c r="B2141" s="2">
        <f>IFERROR(__xludf.DUMMYFUNCTION("""COMPUTED_VALUE"""),0.0)</f>
        <v>0</v>
      </c>
      <c r="C2141" s="2">
        <f>IFERROR(__xludf.DUMMYFUNCTION("""COMPUTED_VALUE"""),847.0)</f>
        <v>847</v>
      </c>
      <c r="D2141" s="3">
        <f>IFERROR(__xludf.DUMMYFUNCTION("""COMPUTED_VALUE"""),844.0)</f>
        <v>844</v>
      </c>
      <c r="E2141" s="1" t="str">
        <f t="array" ref="E2141">_xlfn.XLOOKUP(A2141,Product!A:A,Product!B:B,"Bulunamadı")</f>
        <v>Tech</v>
      </c>
      <c r="F2141" s="1" t="str">
        <f t="array" ref="F2141">_xlfn.XLOOKUP(A2141,Product!A:A,Product!C:C,"Bulunamadı")</f>
        <v>Communication Skills</v>
      </c>
      <c r="G2141" s="2" t="str">
        <f t="array" ref="G2141">_xlfn.XLOOKUP(A2142,Product!A:A,Product!D:D,"Bulunamadı")</f>
        <v>Cedarridge Books</v>
      </c>
      <c r="H2141" s="2">
        <f t="array" ref="H2141">_xlfn.XLOOKUP(A2143,Product!A:A,Product!E:E,"Bulunamadı")</f>
        <v>4.97</v>
      </c>
      <c r="I2141" s="2" t="str">
        <f t="shared" si="1"/>
        <v>46985 - Tech - Communication Skills</v>
      </c>
      <c r="J2141" s="2">
        <f t="shared" si="2"/>
        <v>4194.68</v>
      </c>
      <c r="K2141" s="17">
        <f t="shared" si="3"/>
        <v>1</v>
      </c>
      <c r="L2141" s="18"/>
    </row>
    <row r="2142" hidden="1">
      <c r="A2142" s="2">
        <f>IFERROR(__xludf.DUMMYFUNCTION("""COMPUTED_VALUE"""),46476.0)</f>
        <v>46476</v>
      </c>
      <c r="B2142" s="2">
        <f>IFERROR(__xludf.DUMMYFUNCTION("""COMPUTED_VALUE"""),1.0)</f>
        <v>1</v>
      </c>
      <c r="C2142" s="2">
        <f>IFERROR(__xludf.DUMMYFUNCTION("""COMPUTED_VALUE"""),626.0)</f>
        <v>626</v>
      </c>
      <c r="D2142" s="3">
        <f>IFERROR(__xludf.DUMMYFUNCTION("""COMPUTED_VALUE"""),259.0)</f>
        <v>259</v>
      </c>
      <c r="E2142" s="1" t="str">
        <f t="array" ref="E2142">_xlfn.XLOOKUP(A2142,Product!A:A,Product!B:B,"Bulunamadı")</f>
        <v>Tech</v>
      </c>
      <c r="F2142" s="1" t="str">
        <f t="array" ref="F2142">_xlfn.XLOOKUP(A2142,Product!A:A,Product!C:C,"Bulunamadı")</f>
        <v>Communication Skills</v>
      </c>
      <c r="G2142" s="2" t="str">
        <f t="array" ref="G2142">_xlfn.XLOOKUP(A2143,Product!A:A,Product!D:D,"Bulunamadı")</f>
        <v>Cedarridge Books</v>
      </c>
      <c r="H2142" s="2">
        <f t="array" ref="H2142">_xlfn.XLOOKUP(A2144,Product!A:A,Product!E:E,"Bulunamadı")</f>
        <v>5.15</v>
      </c>
      <c r="I2142" s="2" t="str">
        <f t="shared" si="1"/>
        <v>46476 - Tech - Communication Skills</v>
      </c>
      <c r="J2142" s="2">
        <f t="shared" si="2"/>
        <v>1333.85</v>
      </c>
      <c r="K2142" s="17">
        <f t="shared" si="3"/>
        <v>1</v>
      </c>
      <c r="L2142" s="18"/>
    </row>
    <row r="2143" hidden="1">
      <c r="A2143" s="2">
        <f>IFERROR(__xludf.DUMMYFUNCTION("""COMPUTED_VALUE"""),110187.0)</f>
        <v>110187</v>
      </c>
      <c r="B2143" s="2">
        <f>IFERROR(__xludf.DUMMYFUNCTION("""COMPUTED_VALUE"""),0.0)</f>
        <v>0</v>
      </c>
      <c r="C2143" s="2">
        <f>IFERROR(__xludf.DUMMYFUNCTION("""COMPUTED_VALUE"""),731.0)</f>
        <v>731</v>
      </c>
      <c r="D2143" s="3">
        <f>IFERROR(__xludf.DUMMYFUNCTION("""COMPUTED_VALUE"""),493.0)</f>
        <v>493</v>
      </c>
      <c r="E2143" s="1" t="str">
        <f t="array" ref="E2143">_xlfn.XLOOKUP(A2143,Product!A:A,Product!B:B,"Bulunamadı")</f>
        <v>Tech</v>
      </c>
      <c r="F2143" s="1" t="str">
        <f t="array" ref="F2143">_xlfn.XLOOKUP(A2143,Product!A:A,Product!C:C,"Bulunamadı")</f>
        <v>Communication Skills</v>
      </c>
      <c r="G2143" s="2" t="str">
        <f t="array" ref="G2143">_xlfn.XLOOKUP(A2144,Product!A:A,Product!D:D,"Bulunamadı")</f>
        <v>Cedarridge Books</v>
      </c>
      <c r="H2143" s="2">
        <f t="array" ref="H2143">_xlfn.XLOOKUP(A2145,Product!A:A,Product!E:E,"Bulunamadı")</f>
        <v>7.29</v>
      </c>
      <c r="I2143" s="2" t="str">
        <f t="shared" si="1"/>
        <v>110187 - Tech - Communication Skills</v>
      </c>
      <c r="J2143" s="2">
        <f t="shared" si="2"/>
        <v>3593.97</v>
      </c>
      <c r="K2143" s="17">
        <f t="shared" si="3"/>
        <v>1</v>
      </c>
      <c r="L2143" s="18"/>
    </row>
    <row r="2144" hidden="1">
      <c r="A2144" s="2">
        <f>IFERROR(__xludf.DUMMYFUNCTION("""COMPUTED_VALUE"""),79988.0)</f>
        <v>79988</v>
      </c>
      <c r="B2144" s="2">
        <f>IFERROR(__xludf.DUMMYFUNCTION("""COMPUTED_VALUE"""),1.0)</f>
        <v>1</v>
      </c>
      <c r="C2144" s="2">
        <f>IFERROR(__xludf.DUMMYFUNCTION("""COMPUTED_VALUE"""),506.0)</f>
        <v>506</v>
      </c>
      <c r="D2144" s="3">
        <f>IFERROR(__xludf.DUMMYFUNCTION("""COMPUTED_VALUE"""),74.0)</f>
        <v>74</v>
      </c>
      <c r="E2144" s="1" t="str">
        <f t="array" ref="E2144">_xlfn.XLOOKUP(A2144,Product!A:A,Product!B:B,"Bulunamadı")</f>
        <v>Tech</v>
      </c>
      <c r="F2144" s="1" t="str">
        <f t="array" ref="F2144">_xlfn.XLOOKUP(A2144,Product!A:A,Product!C:C,"Bulunamadı")</f>
        <v>Communication Skills</v>
      </c>
      <c r="G2144" s="2" t="str">
        <f t="array" ref="G2144">_xlfn.XLOOKUP(A2145,Product!A:A,Product!D:D,"Bulunamadı")</f>
        <v>Cedarridge Books</v>
      </c>
      <c r="H2144" s="2">
        <f t="array" ref="H2144">_xlfn.XLOOKUP(A2146,Product!A:A,Product!E:E,"Bulunamadı")</f>
        <v>7.46</v>
      </c>
      <c r="I2144" s="2" t="str">
        <f t="shared" si="1"/>
        <v>79988 - Tech - Communication Skills</v>
      </c>
      <c r="J2144" s="2">
        <f t="shared" si="2"/>
        <v>552.04</v>
      </c>
      <c r="K2144" s="17">
        <f t="shared" si="3"/>
        <v>1</v>
      </c>
      <c r="L2144" s="18"/>
    </row>
    <row r="2145" hidden="1">
      <c r="A2145" s="2">
        <f>IFERROR(__xludf.DUMMYFUNCTION("""COMPUTED_VALUE"""),46970.0)</f>
        <v>46970</v>
      </c>
      <c r="B2145" s="2">
        <f>IFERROR(__xludf.DUMMYFUNCTION("""COMPUTED_VALUE"""),1.0)</f>
        <v>1</v>
      </c>
      <c r="C2145" s="2">
        <f>IFERROR(__xludf.DUMMYFUNCTION("""COMPUTED_VALUE"""),227.0)</f>
        <v>227</v>
      </c>
      <c r="D2145" s="3">
        <f>IFERROR(__xludf.DUMMYFUNCTION("""COMPUTED_VALUE"""),134.0)</f>
        <v>134</v>
      </c>
      <c r="E2145" s="1" t="str">
        <f t="array" ref="E2145">_xlfn.XLOOKUP(A2145,Product!A:A,Product!B:B,"Bulunamadı")</f>
        <v>Tech</v>
      </c>
      <c r="F2145" s="1" t="str">
        <f t="array" ref="F2145">_xlfn.XLOOKUP(A2145,Product!A:A,Product!C:C,"Bulunamadı")</f>
        <v>Communication Skills</v>
      </c>
      <c r="G2145" s="2" t="str">
        <f t="array" ref="G2145">_xlfn.XLOOKUP(A2146,Product!A:A,Product!D:D,"Bulunamadı")</f>
        <v>Cedarridge Books</v>
      </c>
      <c r="H2145" s="2">
        <f t="array" ref="H2145">_xlfn.XLOOKUP(A2147,Product!A:A,Product!E:E,"Bulunamadı")</f>
        <v>4.46</v>
      </c>
      <c r="I2145" s="2" t="str">
        <f t="shared" si="1"/>
        <v>46970 - Tech - Communication Skills</v>
      </c>
      <c r="J2145" s="2">
        <f t="shared" si="2"/>
        <v>597.64</v>
      </c>
      <c r="K2145" s="17">
        <f t="shared" si="3"/>
        <v>1</v>
      </c>
      <c r="L2145" s="18"/>
    </row>
    <row r="2146" hidden="1">
      <c r="A2146" s="2">
        <f>IFERROR(__xludf.DUMMYFUNCTION("""COMPUTED_VALUE"""),6519.0)</f>
        <v>6519</v>
      </c>
      <c r="B2146" s="2">
        <f>IFERROR(__xludf.DUMMYFUNCTION("""COMPUTED_VALUE"""),0.0)</f>
        <v>0</v>
      </c>
      <c r="C2146" s="2">
        <f>IFERROR(__xludf.DUMMYFUNCTION("""COMPUTED_VALUE"""),777.0)</f>
        <v>777</v>
      </c>
      <c r="D2146" s="3">
        <f>IFERROR(__xludf.DUMMYFUNCTION("""COMPUTED_VALUE"""),548.0)</f>
        <v>548</v>
      </c>
      <c r="E2146" s="1" t="str">
        <f t="array" ref="E2146">_xlfn.XLOOKUP(A2146,Product!A:A,Product!B:B,"Bulunamadı")</f>
        <v>Tech</v>
      </c>
      <c r="F2146" s="1" t="str">
        <f t="array" ref="F2146">_xlfn.XLOOKUP(A2146,Product!A:A,Product!C:C,"Bulunamadı")</f>
        <v>Communication Skills</v>
      </c>
      <c r="G2146" s="2" t="str">
        <f t="array" ref="G2146">_xlfn.XLOOKUP(A2147,Product!A:A,Product!D:D,"Bulunamadı")</f>
        <v>Cedarridge Books</v>
      </c>
      <c r="H2146" s="2">
        <f t="array" ref="H2146">_xlfn.XLOOKUP(A2148,Product!A:A,Product!E:E,"Bulunamadı")</f>
        <v>2.16</v>
      </c>
      <c r="I2146" s="2" t="str">
        <f t="shared" si="1"/>
        <v>6519 - Tech - Communication Skills</v>
      </c>
      <c r="J2146" s="2">
        <f t="shared" si="2"/>
        <v>1183.68</v>
      </c>
      <c r="K2146" s="17">
        <f t="shared" si="3"/>
        <v>1</v>
      </c>
      <c r="L2146" s="18"/>
    </row>
    <row r="2147" hidden="1">
      <c r="A2147" s="2">
        <f>IFERROR(__xludf.DUMMYFUNCTION("""COMPUTED_VALUE"""),118205.0)</f>
        <v>118205</v>
      </c>
      <c r="B2147" s="2">
        <f>IFERROR(__xludf.DUMMYFUNCTION("""COMPUTED_VALUE"""),1.0)</f>
        <v>1</v>
      </c>
      <c r="C2147" s="2">
        <f>IFERROR(__xludf.DUMMYFUNCTION("""COMPUTED_VALUE"""),328.0)</f>
        <v>328</v>
      </c>
      <c r="D2147" s="3">
        <f>IFERROR(__xludf.DUMMYFUNCTION("""COMPUTED_VALUE"""),60.0)</f>
        <v>60</v>
      </c>
      <c r="E2147" s="1" t="str">
        <f t="array" ref="E2147">_xlfn.XLOOKUP(A2147,Product!A:A,Product!B:B,"Bulunamadı")</f>
        <v>Tech</v>
      </c>
      <c r="F2147" s="1" t="str">
        <f t="array" ref="F2147">_xlfn.XLOOKUP(A2147,Product!A:A,Product!C:C,"Bulunamadı")</f>
        <v>Communication Skills</v>
      </c>
      <c r="G2147" s="2" t="str">
        <f t="array" ref="G2147">_xlfn.XLOOKUP(A2148,Product!A:A,Product!D:D,"Bulunamadı")</f>
        <v>Cedarridge Books</v>
      </c>
      <c r="H2147" s="2">
        <f t="array" ref="H2147">_xlfn.XLOOKUP(A2149,Product!A:A,Product!E:E,"Bulunamadı")</f>
        <v>3.29</v>
      </c>
      <c r="I2147" s="2" t="str">
        <f t="shared" si="1"/>
        <v>118205 - Tech - Communication Skills</v>
      </c>
      <c r="J2147" s="2">
        <f t="shared" si="2"/>
        <v>197.4</v>
      </c>
      <c r="K2147" s="17">
        <f t="shared" si="3"/>
        <v>1</v>
      </c>
      <c r="L2147" s="18"/>
    </row>
    <row r="2148" hidden="1">
      <c r="A2148" s="2">
        <f>IFERROR(__xludf.DUMMYFUNCTION("""COMPUTED_VALUE"""),109412.0)</f>
        <v>109412</v>
      </c>
      <c r="B2148" s="2">
        <f>IFERROR(__xludf.DUMMYFUNCTION("""COMPUTED_VALUE"""),1.0)</f>
        <v>1</v>
      </c>
      <c r="C2148" s="2">
        <f>IFERROR(__xludf.DUMMYFUNCTION("""COMPUTED_VALUE"""),383.0)</f>
        <v>383</v>
      </c>
      <c r="D2148" s="3">
        <f>IFERROR(__xludf.DUMMYFUNCTION("""COMPUTED_VALUE"""),75.0)</f>
        <v>75</v>
      </c>
      <c r="E2148" s="1" t="str">
        <f t="array" ref="E2148">_xlfn.XLOOKUP(A2148,Product!A:A,Product!B:B,"Bulunamadı")</f>
        <v>Tech</v>
      </c>
      <c r="F2148" s="1" t="str">
        <f t="array" ref="F2148">_xlfn.XLOOKUP(A2148,Product!A:A,Product!C:C,"Bulunamadı")</f>
        <v>Communication Skills</v>
      </c>
      <c r="G2148" s="2" t="str">
        <f t="array" ref="G2148">_xlfn.XLOOKUP(A2149,Product!A:A,Product!D:D,"Bulunamadı")</f>
        <v>Cedarridge Books</v>
      </c>
      <c r="H2148" s="2">
        <f t="array" ref="H2148">_xlfn.XLOOKUP(A2150,Product!A:A,Product!E:E,"Bulunamadı")</f>
        <v>2.83</v>
      </c>
      <c r="I2148" s="2" t="str">
        <f t="shared" si="1"/>
        <v>109412 - Tech - Communication Skills</v>
      </c>
      <c r="J2148" s="2">
        <f t="shared" si="2"/>
        <v>212.25</v>
      </c>
      <c r="K2148" s="17">
        <f t="shared" si="3"/>
        <v>1</v>
      </c>
      <c r="L2148" s="18"/>
    </row>
    <row r="2149" hidden="1">
      <c r="A2149" s="2">
        <f>IFERROR(__xludf.DUMMYFUNCTION("""COMPUTED_VALUE"""),117931.0)</f>
        <v>117931</v>
      </c>
      <c r="B2149" s="2">
        <f>IFERROR(__xludf.DUMMYFUNCTION("""COMPUTED_VALUE"""),0.0)</f>
        <v>0</v>
      </c>
      <c r="C2149" s="2">
        <f>IFERROR(__xludf.DUMMYFUNCTION("""COMPUTED_VALUE"""),29.0)</f>
        <v>29</v>
      </c>
      <c r="D2149" s="3">
        <f>IFERROR(__xludf.DUMMYFUNCTION("""COMPUTED_VALUE"""),8.0)</f>
        <v>8</v>
      </c>
      <c r="E2149" s="1" t="str">
        <f t="array" ref="E2149">_xlfn.XLOOKUP(A2149,Product!A:A,Product!B:B,"Bulunamadı")</f>
        <v>Tech</v>
      </c>
      <c r="F2149" s="1" t="str">
        <f t="array" ref="F2149">_xlfn.XLOOKUP(A2149,Product!A:A,Product!C:C,"Bulunamadı")</f>
        <v>Communication Skills</v>
      </c>
      <c r="G2149" s="2" t="str">
        <f t="array" ref="G2149">_xlfn.XLOOKUP(A2150,Product!A:A,Product!D:D,"Bulunamadı")</f>
        <v>Cedarridge Books</v>
      </c>
      <c r="H2149" s="2">
        <f t="array" ref="H2149">_xlfn.XLOOKUP(A2151,Product!A:A,Product!E:E,"Bulunamadı")</f>
        <v>2.07</v>
      </c>
      <c r="I2149" s="2" t="str">
        <f t="shared" si="1"/>
        <v>117931 - Tech - Communication Skills</v>
      </c>
      <c r="J2149" s="2">
        <f t="shared" si="2"/>
        <v>16.56</v>
      </c>
      <c r="K2149" s="17">
        <f t="shared" si="3"/>
        <v>1</v>
      </c>
      <c r="L2149" s="18"/>
    </row>
    <row r="2150" hidden="1">
      <c r="A2150" s="2">
        <f>IFERROR(__xludf.DUMMYFUNCTION("""COMPUTED_VALUE"""),70042.0)</f>
        <v>70042</v>
      </c>
      <c r="B2150" s="2">
        <f>IFERROR(__xludf.DUMMYFUNCTION("""COMPUTED_VALUE"""),0.0)</f>
        <v>0</v>
      </c>
      <c r="C2150" s="2">
        <f>IFERROR(__xludf.DUMMYFUNCTION("""COMPUTED_VALUE"""),424.0)</f>
        <v>424</v>
      </c>
      <c r="D2150" s="3">
        <f>IFERROR(__xludf.DUMMYFUNCTION("""COMPUTED_VALUE"""),363.0)</f>
        <v>363</v>
      </c>
      <c r="E2150" s="1" t="str">
        <f t="array" ref="E2150">_xlfn.XLOOKUP(A2150,Product!A:A,Product!B:B,"Bulunamadı")</f>
        <v>Tech</v>
      </c>
      <c r="F2150" s="1" t="str">
        <f t="array" ref="F2150">_xlfn.XLOOKUP(A2150,Product!A:A,Product!C:C,"Bulunamadı")</f>
        <v>Communication Skills</v>
      </c>
      <c r="G2150" s="2" t="str">
        <f t="array" ref="G2150">_xlfn.XLOOKUP(A2151,Product!A:A,Product!D:D,"Bulunamadı")</f>
        <v>Cedarridge Books</v>
      </c>
      <c r="H2150" s="2">
        <f t="array" ref="H2150">_xlfn.XLOOKUP(A2152,Product!A:A,Product!E:E,"Bulunamadı")</f>
        <v>6.56</v>
      </c>
      <c r="I2150" s="2" t="str">
        <f t="shared" si="1"/>
        <v>70042 - Tech - Communication Skills</v>
      </c>
      <c r="J2150" s="2">
        <f t="shared" si="2"/>
        <v>2381.28</v>
      </c>
      <c r="K2150" s="17">
        <f t="shared" si="3"/>
        <v>1</v>
      </c>
      <c r="L2150" s="18"/>
    </row>
    <row r="2151" hidden="1">
      <c r="A2151" s="2">
        <f>IFERROR(__xludf.DUMMYFUNCTION("""COMPUTED_VALUE"""),150104.0)</f>
        <v>150104</v>
      </c>
      <c r="B2151" s="2">
        <f>IFERROR(__xludf.DUMMYFUNCTION("""COMPUTED_VALUE"""),0.0)</f>
        <v>0</v>
      </c>
      <c r="C2151" s="2">
        <f>IFERROR(__xludf.DUMMYFUNCTION("""COMPUTED_VALUE"""),147.0)</f>
        <v>147</v>
      </c>
      <c r="D2151" s="3">
        <f>IFERROR(__xludf.DUMMYFUNCTION("""COMPUTED_VALUE"""),33.0)</f>
        <v>33</v>
      </c>
      <c r="E2151" s="1" t="str">
        <f t="array" ref="E2151">_xlfn.XLOOKUP(A2151,Product!A:A,Product!B:B,"Bulunamadı")</f>
        <v>Tech</v>
      </c>
      <c r="F2151" s="1" t="str">
        <f t="array" ref="F2151">_xlfn.XLOOKUP(A2151,Product!A:A,Product!C:C,"Bulunamadı")</f>
        <v>Communication Skills</v>
      </c>
      <c r="G2151" s="2" t="str">
        <f t="array" ref="G2151">_xlfn.XLOOKUP(A2152,Product!A:A,Product!D:D,"Bulunamadı")</f>
        <v>Cedarridge Books</v>
      </c>
      <c r="H2151" s="2">
        <f t="array" ref="H2151">_xlfn.XLOOKUP(A2153,Product!A:A,Product!E:E,"Bulunamadı")</f>
        <v>6.55</v>
      </c>
      <c r="I2151" s="2" t="str">
        <f t="shared" si="1"/>
        <v>150104 - Tech - Communication Skills</v>
      </c>
      <c r="J2151" s="2">
        <f t="shared" si="2"/>
        <v>216.15</v>
      </c>
      <c r="K2151" s="17">
        <f t="shared" si="3"/>
        <v>1</v>
      </c>
      <c r="L2151" s="18"/>
    </row>
    <row r="2152" hidden="1">
      <c r="A2152" s="2">
        <f>IFERROR(__xludf.DUMMYFUNCTION("""COMPUTED_VALUE"""),72319.0)</f>
        <v>72319</v>
      </c>
      <c r="B2152" s="2">
        <f>IFERROR(__xludf.DUMMYFUNCTION("""COMPUTED_VALUE"""),1.0)</f>
        <v>1</v>
      </c>
      <c r="C2152" s="2">
        <f>IFERROR(__xludf.DUMMYFUNCTION("""COMPUTED_VALUE"""),421.0)</f>
        <v>421</v>
      </c>
      <c r="D2152" s="3">
        <f>IFERROR(__xludf.DUMMYFUNCTION("""COMPUTED_VALUE"""),181.0)</f>
        <v>181</v>
      </c>
      <c r="E2152" s="1" t="str">
        <f t="array" ref="E2152">_xlfn.XLOOKUP(A2152,Product!A:A,Product!B:B,"Bulunamadı")</f>
        <v>Tech</v>
      </c>
      <c r="F2152" s="1" t="str">
        <f t="array" ref="F2152">_xlfn.XLOOKUP(A2152,Product!A:A,Product!C:C,"Bulunamadı")</f>
        <v>Communication Skills</v>
      </c>
      <c r="G2152" s="2" t="str">
        <f t="array" ref="G2152">_xlfn.XLOOKUP(A2153,Product!A:A,Product!D:D,"Bulunamadı")</f>
        <v>Cedarridge Books</v>
      </c>
      <c r="H2152" s="2">
        <f t="array" ref="H2152">_xlfn.XLOOKUP(A2154,Product!A:A,Product!E:E,"Bulunamadı")</f>
        <v>6.68</v>
      </c>
      <c r="I2152" s="2" t="str">
        <f t="shared" si="1"/>
        <v>72319 - Tech - Communication Skills</v>
      </c>
      <c r="J2152" s="2">
        <f t="shared" si="2"/>
        <v>1209.08</v>
      </c>
      <c r="K2152" s="17">
        <f t="shared" si="3"/>
        <v>1</v>
      </c>
      <c r="L2152" s="18"/>
    </row>
    <row r="2153" hidden="1">
      <c r="A2153" s="2">
        <f>IFERROR(__xludf.DUMMYFUNCTION("""COMPUTED_VALUE"""),100060.0)</f>
        <v>100060</v>
      </c>
      <c r="B2153" s="2">
        <f>IFERROR(__xludf.DUMMYFUNCTION("""COMPUTED_VALUE"""),0.0)</f>
        <v>0</v>
      </c>
      <c r="C2153" s="2">
        <f>IFERROR(__xludf.DUMMYFUNCTION("""COMPUTED_VALUE"""),884.0)</f>
        <v>884</v>
      </c>
      <c r="D2153" s="3">
        <f>IFERROR(__xludf.DUMMYFUNCTION("""COMPUTED_VALUE"""),821.0)</f>
        <v>821</v>
      </c>
      <c r="E2153" s="1" t="str">
        <f t="array" ref="E2153">_xlfn.XLOOKUP(A2153,Product!A:A,Product!B:B,"Bulunamadı")</f>
        <v>Tech</v>
      </c>
      <c r="F2153" s="1" t="str">
        <f t="array" ref="F2153">_xlfn.XLOOKUP(A2153,Product!A:A,Product!C:C,"Bulunamadı")</f>
        <v>Communication Skills</v>
      </c>
      <c r="G2153" s="2" t="str">
        <f t="array" ref="G2153">_xlfn.XLOOKUP(A2154,Product!A:A,Product!D:D,"Bulunamadı")</f>
        <v>Cedarridge Books</v>
      </c>
      <c r="H2153" s="2">
        <f t="array" ref="H2153">_xlfn.XLOOKUP(A2155,Product!A:A,Product!E:E,"Bulunamadı")</f>
        <v>6.42</v>
      </c>
      <c r="I2153" s="2" t="str">
        <f t="shared" si="1"/>
        <v>100060 - Tech - Communication Skills</v>
      </c>
      <c r="J2153" s="2">
        <f t="shared" si="2"/>
        <v>5270.82</v>
      </c>
      <c r="K2153" s="17">
        <f t="shared" si="3"/>
        <v>1</v>
      </c>
      <c r="L2153" s="18"/>
    </row>
    <row r="2154" hidden="1">
      <c r="A2154" s="2">
        <f>IFERROR(__xludf.DUMMYFUNCTION("""COMPUTED_VALUE"""),6521.0)</f>
        <v>6521</v>
      </c>
      <c r="B2154" s="2">
        <f>IFERROR(__xludf.DUMMYFUNCTION("""COMPUTED_VALUE"""),1.0)</f>
        <v>1</v>
      </c>
      <c r="C2154" s="2">
        <f>IFERROR(__xludf.DUMMYFUNCTION("""COMPUTED_VALUE"""),474.0)</f>
        <v>474</v>
      </c>
      <c r="D2154" s="3">
        <f>IFERROR(__xludf.DUMMYFUNCTION("""COMPUTED_VALUE"""),407.0)</f>
        <v>407</v>
      </c>
      <c r="E2154" s="1" t="str">
        <f t="array" ref="E2154">_xlfn.XLOOKUP(A2154,Product!A:A,Product!B:B,"Bulunamadı")</f>
        <v>Tech</v>
      </c>
      <c r="F2154" s="1" t="str">
        <f t="array" ref="F2154">_xlfn.XLOOKUP(A2154,Product!A:A,Product!C:C,"Bulunamadı")</f>
        <v>Communication Skills</v>
      </c>
      <c r="G2154" s="2" t="str">
        <f t="array" ref="G2154">_xlfn.XLOOKUP(A2155,Product!A:A,Product!D:D,"Bulunamadı")</f>
        <v>Cedarridge Books</v>
      </c>
      <c r="H2154" s="2">
        <f t="array" ref="H2154">_xlfn.XLOOKUP(A2156,Product!A:A,Product!E:E,"Bulunamadı")</f>
        <v>6.33</v>
      </c>
      <c r="I2154" s="2" t="str">
        <f t="shared" si="1"/>
        <v>6521 - Tech - Communication Skills</v>
      </c>
      <c r="J2154" s="2">
        <f t="shared" si="2"/>
        <v>2576.31</v>
      </c>
      <c r="K2154" s="17">
        <f t="shared" si="3"/>
        <v>1</v>
      </c>
      <c r="L2154" s="18"/>
    </row>
    <row r="2155" hidden="1">
      <c r="A2155" s="2">
        <f>IFERROR(__xludf.DUMMYFUNCTION("""COMPUTED_VALUE"""),45058.0)</f>
        <v>45058</v>
      </c>
      <c r="B2155" s="2">
        <f>IFERROR(__xludf.DUMMYFUNCTION("""COMPUTED_VALUE"""),0.0)</f>
        <v>0</v>
      </c>
      <c r="C2155" s="2">
        <f>IFERROR(__xludf.DUMMYFUNCTION("""COMPUTED_VALUE"""),513.0)</f>
        <v>513</v>
      </c>
      <c r="D2155" s="3">
        <f>IFERROR(__xludf.DUMMYFUNCTION("""COMPUTED_VALUE"""),411.0)</f>
        <v>411</v>
      </c>
      <c r="E2155" s="1" t="str">
        <f t="array" ref="E2155">_xlfn.XLOOKUP(A2155,Product!A:A,Product!B:B,"Bulunamadı")</f>
        <v>Tech</v>
      </c>
      <c r="F2155" s="1" t="str">
        <f t="array" ref="F2155">_xlfn.XLOOKUP(A2155,Product!A:A,Product!C:C,"Bulunamadı")</f>
        <v>Communication Skills</v>
      </c>
      <c r="G2155" s="2" t="str">
        <f t="array" ref="G2155">_xlfn.XLOOKUP(A2156,Product!A:A,Product!D:D,"Bulunamadı")</f>
        <v>Cedarridge Books</v>
      </c>
      <c r="H2155" s="2">
        <f t="array" ref="H2155">_xlfn.XLOOKUP(A2157,Product!A:A,Product!E:E,"Bulunamadı")</f>
        <v>6.33</v>
      </c>
      <c r="I2155" s="2" t="str">
        <f t="shared" si="1"/>
        <v>45058 - Tech - Communication Skills</v>
      </c>
      <c r="J2155" s="2">
        <f t="shared" si="2"/>
        <v>2601.63</v>
      </c>
      <c r="K2155" s="17">
        <f t="shared" si="3"/>
        <v>1</v>
      </c>
      <c r="L2155" s="18"/>
    </row>
    <row r="2156" hidden="1">
      <c r="A2156" s="2">
        <f>IFERROR(__xludf.DUMMYFUNCTION("""COMPUTED_VALUE"""),117139.0)</f>
        <v>117139</v>
      </c>
      <c r="B2156" s="2">
        <f>IFERROR(__xludf.DUMMYFUNCTION("""COMPUTED_VALUE"""),1.0)</f>
        <v>1</v>
      </c>
      <c r="C2156" s="2">
        <f>IFERROR(__xludf.DUMMYFUNCTION("""COMPUTED_VALUE"""),395.0)</f>
        <v>395</v>
      </c>
      <c r="D2156" s="3">
        <f>IFERROR(__xludf.DUMMYFUNCTION("""COMPUTED_VALUE"""),176.0)</f>
        <v>176</v>
      </c>
      <c r="E2156" s="1" t="str">
        <f t="array" ref="E2156">_xlfn.XLOOKUP(A2156,Product!A:A,Product!B:B,"Bulunamadı")</f>
        <v>Tech</v>
      </c>
      <c r="F2156" s="1" t="str">
        <f t="array" ref="F2156">_xlfn.XLOOKUP(A2156,Product!A:A,Product!C:C,"Bulunamadı")</f>
        <v>Communication Skills</v>
      </c>
      <c r="G2156" s="2" t="str">
        <f t="array" ref="G2156">_xlfn.XLOOKUP(A2157,Product!A:A,Product!D:D,"Bulunamadı")</f>
        <v>Cedarridge Books</v>
      </c>
      <c r="H2156" s="2">
        <f t="array" ref="H2156">_xlfn.XLOOKUP(A2158,Product!A:A,Product!E:E,"Bulunamadı")</f>
        <v>2.99</v>
      </c>
      <c r="I2156" s="2" t="str">
        <f t="shared" si="1"/>
        <v>117139 - Tech - Communication Skills</v>
      </c>
      <c r="J2156" s="2">
        <f t="shared" si="2"/>
        <v>526.24</v>
      </c>
      <c r="K2156" s="17">
        <f t="shared" si="3"/>
        <v>1</v>
      </c>
      <c r="L2156" s="18"/>
    </row>
    <row r="2157" hidden="1">
      <c r="A2157" s="2">
        <f>IFERROR(__xludf.DUMMYFUNCTION("""COMPUTED_VALUE"""),117464.0)</f>
        <v>117464</v>
      </c>
      <c r="B2157" s="2">
        <f>IFERROR(__xludf.DUMMYFUNCTION("""COMPUTED_VALUE"""),0.0)</f>
        <v>0</v>
      </c>
      <c r="C2157" s="2">
        <f>IFERROR(__xludf.DUMMYFUNCTION("""COMPUTED_VALUE"""),926.0)</f>
        <v>926</v>
      </c>
      <c r="D2157" s="3">
        <f>IFERROR(__xludf.DUMMYFUNCTION("""COMPUTED_VALUE"""),465.0)</f>
        <v>465</v>
      </c>
      <c r="E2157" s="1" t="str">
        <f t="array" ref="E2157">_xlfn.XLOOKUP(A2157,Product!A:A,Product!B:B,"Bulunamadı")</f>
        <v>Tech</v>
      </c>
      <c r="F2157" s="1" t="str">
        <f t="array" ref="F2157">_xlfn.XLOOKUP(A2157,Product!A:A,Product!C:C,"Bulunamadı")</f>
        <v>Communication Skills</v>
      </c>
      <c r="G2157" s="2" t="str">
        <f t="array" ref="G2157">_xlfn.XLOOKUP(A2158,Product!A:A,Product!D:D,"Bulunamadı")</f>
        <v>Cedarridge Books</v>
      </c>
      <c r="H2157" s="2">
        <f t="array" ref="H2157">_xlfn.XLOOKUP(A2159,Product!A:A,Product!E:E,"Bulunamadı")</f>
        <v>15.29</v>
      </c>
      <c r="I2157" s="2" t="str">
        <f t="shared" si="1"/>
        <v>117464 - Tech - Communication Skills</v>
      </c>
      <c r="J2157" s="2">
        <f t="shared" si="2"/>
        <v>7109.85</v>
      </c>
      <c r="K2157" s="17">
        <f t="shared" si="3"/>
        <v>1</v>
      </c>
      <c r="L2157" s="18"/>
    </row>
    <row r="2158" hidden="1">
      <c r="A2158" s="2">
        <f>IFERROR(__xludf.DUMMYFUNCTION("""COMPUTED_VALUE"""),111777.0)</f>
        <v>111777</v>
      </c>
      <c r="B2158" s="2">
        <f>IFERROR(__xludf.DUMMYFUNCTION("""COMPUTED_VALUE"""),1.0)</f>
        <v>1</v>
      </c>
      <c r="C2158" s="2">
        <f>IFERROR(__xludf.DUMMYFUNCTION("""COMPUTED_VALUE"""),132.0)</f>
        <v>132</v>
      </c>
      <c r="D2158" s="3">
        <f>IFERROR(__xludf.DUMMYFUNCTION("""COMPUTED_VALUE"""),46.0)</f>
        <v>46</v>
      </c>
      <c r="E2158" s="1" t="str">
        <f t="array" ref="E2158">_xlfn.XLOOKUP(A2158,Product!A:A,Product!B:B,"Bulunamadı")</f>
        <v>Tech</v>
      </c>
      <c r="F2158" s="1" t="str">
        <f t="array" ref="F2158">_xlfn.XLOOKUP(A2158,Product!A:A,Product!C:C,"Bulunamadı")</f>
        <v>Communication Skills</v>
      </c>
      <c r="G2158" s="2" t="str">
        <f t="array" ref="G2158">_xlfn.XLOOKUP(A2159,Product!A:A,Product!D:D,"Bulunamadı")</f>
        <v>Brightridge Press</v>
      </c>
      <c r="H2158" s="2">
        <f t="array" ref="H2158">_xlfn.XLOOKUP(A2160,Product!A:A,Product!E:E,"Bulunamadı")</f>
        <v>18.25</v>
      </c>
      <c r="I2158" s="2" t="str">
        <f t="shared" si="1"/>
        <v>111777 - Tech - Communication Skills</v>
      </c>
      <c r="J2158" s="2">
        <f t="shared" si="2"/>
        <v>839.5</v>
      </c>
      <c r="K2158" s="17">
        <f t="shared" si="3"/>
        <v>1</v>
      </c>
      <c r="L2158" s="18"/>
    </row>
    <row r="2159" hidden="1">
      <c r="A2159" s="2">
        <f>IFERROR(__xludf.DUMMYFUNCTION("""COMPUTED_VALUE"""),122375.0)</f>
        <v>122375</v>
      </c>
      <c r="B2159" s="2">
        <f>IFERROR(__xludf.DUMMYFUNCTION("""COMPUTED_VALUE"""),1.0)</f>
        <v>1</v>
      </c>
      <c r="C2159" s="2">
        <f>IFERROR(__xludf.DUMMYFUNCTION("""COMPUTED_VALUE"""),301.0)</f>
        <v>301</v>
      </c>
      <c r="D2159" s="3">
        <f>IFERROR(__xludf.DUMMYFUNCTION("""COMPUTED_VALUE"""),23.0)</f>
        <v>23</v>
      </c>
      <c r="E2159" s="1" t="str">
        <f t="array" ref="E2159">_xlfn.XLOOKUP(A2159,Product!A:A,Product!B:B,"Bulunamadı")</f>
        <v>Tech</v>
      </c>
      <c r="F2159" s="1" t="str">
        <f t="array" ref="F2159">_xlfn.XLOOKUP(A2159,Product!A:A,Product!C:C,"Bulunamadı")</f>
        <v>Communication Skills</v>
      </c>
      <c r="G2159" s="2" t="str">
        <f t="array" ref="G2159">_xlfn.XLOOKUP(A2160,Product!A:A,Product!D:D,"Bulunamadı")</f>
        <v>Brightridge Press</v>
      </c>
      <c r="H2159" s="2">
        <f t="array" ref="H2159">_xlfn.XLOOKUP(A2161,Product!A:A,Product!E:E,"Bulunamadı")</f>
        <v>5.12</v>
      </c>
      <c r="I2159" s="2" t="str">
        <f t="shared" si="1"/>
        <v>122375 - Tech - Communication Skills</v>
      </c>
      <c r="J2159" s="2">
        <f t="shared" si="2"/>
        <v>117.76</v>
      </c>
      <c r="K2159" s="17">
        <f t="shared" si="3"/>
        <v>1</v>
      </c>
      <c r="L2159" s="18"/>
    </row>
    <row r="2160" hidden="1">
      <c r="A2160" s="2">
        <f>IFERROR(__xludf.DUMMYFUNCTION("""COMPUTED_VALUE"""),122282.0)</f>
        <v>122282</v>
      </c>
      <c r="B2160" s="2">
        <f>IFERROR(__xludf.DUMMYFUNCTION("""COMPUTED_VALUE"""),0.0)</f>
        <v>0</v>
      </c>
      <c r="C2160" s="2">
        <f>IFERROR(__xludf.DUMMYFUNCTION("""COMPUTED_VALUE"""),199.0)</f>
        <v>199</v>
      </c>
      <c r="D2160" s="3">
        <f>IFERROR(__xludf.DUMMYFUNCTION("""COMPUTED_VALUE"""),43.0)</f>
        <v>43</v>
      </c>
      <c r="E2160" s="1" t="str">
        <f t="array" ref="E2160">_xlfn.XLOOKUP(A2160,Product!A:A,Product!B:B,"Bulunamadı")</f>
        <v>Tech</v>
      </c>
      <c r="F2160" s="1" t="str">
        <f t="array" ref="F2160">_xlfn.XLOOKUP(A2160,Product!A:A,Product!C:C,"Bulunamadı")</f>
        <v>Communication Skills</v>
      </c>
      <c r="G2160" s="2" t="str">
        <f t="array" ref="G2160">_xlfn.XLOOKUP(A2161,Product!A:A,Product!D:D,"Bulunamadı")</f>
        <v>Brightridge Press</v>
      </c>
      <c r="H2160" s="2">
        <f t="array" ref="H2160">_xlfn.XLOOKUP(A2162,Product!A:A,Product!E:E,"Bulunamadı")</f>
        <v>2.45</v>
      </c>
      <c r="I2160" s="2" t="str">
        <f t="shared" si="1"/>
        <v>122282 - Tech - Communication Skills</v>
      </c>
      <c r="J2160" s="2">
        <f t="shared" si="2"/>
        <v>105.35</v>
      </c>
      <c r="K2160" s="17">
        <f t="shared" si="3"/>
        <v>1</v>
      </c>
      <c r="L2160" s="18"/>
    </row>
    <row r="2161" hidden="1">
      <c r="A2161" s="2">
        <f>IFERROR(__xludf.DUMMYFUNCTION("""COMPUTED_VALUE"""),47161.0)</f>
        <v>47161</v>
      </c>
      <c r="B2161" s="2">
        <f>IFERROR(__xludf.DUMMYFUNCTION("""COMPUTED_VALUE"""),1.0)</f>
        <v>1</v>
      </c>
      <c r="C2161" s="2">
        <f>IFERROR(__xludf.DUMMYFUNCTION("""COMPUTED_VALUE"""),262.0)</f>
        <v>262</v>
      </c>
      <c r="D2161" s="3">
        <f>IFERROR(__xludf.DUMMYFUNCTION("""COMPUTED_VALUE"""),51.0)</f>
        <v>51</v>
      </c>
      <c r="E2161" s="1" t="str">
        <f t="array" ref="E2161">_xlfn.XLOOKUP(A2161,Product!A:A,Product!B:B,"Bulunamadı")</f>
        <v>Tech</v>
      </c>
      <c r="F2161" s="1" t="str">
        <f t="array" ref="F2161">_xlfn.XLOOKUP(A2161,Product!A:A,Product!C:C,"Bulunamadı")</f>
        <v>Communication Skills</v>
      </c>
      <c r="G2161" s="2" t="str">
        <f t="array" ref="G2161">_xlfn.XLOOKUP(A2162,Product!A:A,Product!D:D,"Bulunamadı")</f>
        <v>Brightridge Press</v>
      </c>
      <c r="H2161" s="2">
        <f t="array" ref="H2161">_xlfn.XLOOKUP(A2163,Product!A:A,Product!E:E,"Bulunamadı")</f>
        <v>21.88</v>
      </c>
      <c r="I2161" s="2" t="str">
        <f t="shared" si="1"/>
        <v>47161 - Tech - Communication Skills</v>
      </c>
      <c r="J2161" s="2">
        <f t="shared" si="2"/>
        <v>1115.88</v>
      </c>
      <c r="K2161" s="17">
        <f t="shared" si="3"/>
        <v>1</v>
      </c>
      <c r="L2161" s="18"/>
    </row>
    <row r="2162" hidden="1">
      <c r="A2162" s="2">
        <f>IFERROR(__xludf.DUMMYFUNCTION("""COMPUTED_VALUE"""),47159.0)</f>
        <v>47159</v>
      </c>
      <c r="B2162" s="2">
        <f>IFERROR(__xludf.DUMMYFUNCTION("""COMPUTED_VALUE"""),0.0)</f>
        <v>0</v>
      </c>
      <c r="C2162" s="2">
        <f>IFERROR(__xludf.DUMMYFUNCTION("""COMPUTED_VALUE"""),778.0)</f>
        <v>778</v>
      </c>
      <c r="D2162" s="3">
        <f>IFERROR(__xludf.DUMMYFUNCTION("""COMPUTED_VALUE"""),615.0)</f>
        <v>615</v>
      </c>
      <c r="E2162" s="1" t="str">
        <f t="array" ref="E2162">_xlfn.XLOOKUP(A2162,Product!A:A,Product!B:B,"Bulunamadı")</f>
        <v>Tech</v>
      </c>
      <c r="F2162" s="1" t="str">
        <f t="array" ref="F2162">_xlfn.XLOOKUP(A2162,Product!A:A,Product!C:C,"Bulunamadı")</f>
        <v>Communication Skills</v>
      </c>
      <c r="G2162" s="2" t="str">
        <f t="array" ref="G2162">_xlfn.XLOOKUP(A2163,Product!A:A,Product!D:D,"Bulunamadı")</f>
        <v>Brightridge Press</v>
      </c>
      <c r="H2162" s="2">
        <f t="array" ref="H2162">_xlfn.XLOOKUP(A2164,Product!A:A,Product!E:E,"Bulunamadı")</f>
        <v>2.17</v>
      </c>
      <c r="I2162" s="2" t="str">
        <f t="shared" si="1"/>
        <v>47159 - Tech - Communication Skills</v>
      </c>
      <c r="J2162" s="2">
        <f t="shared" si="2"/>
        <v>1334.55</v>
      </c>
      <c r="K2162" s="17">
        <f t="shared" si="3"/>
        <v>1</v>
      </c>
      <c r="L2162" s="18"/>
    </row>
    <row r="2163" hidden="1">
      <c r="A2163" s="2">
        <f>IFERROR(__xludf.DUMMYFUNCTION("""COMPUTED_VALUE"""),71327.0)</f>
        <v>71327</v>
      </c>
      <c r="B2163" s="2">
        <f>IFERROR(__xludf.DUMMYFUNCTION("""COMPUTED_VALUE"""),0.0)</f>
        <v>0</v>
      </c>
      <c r="C2163" s="2">
        <f>IFERROR(__xludf.DUMMYFUNCTION("""COMPUTED_VALUE"""),96.0)</f>
        <v>96</v>
      </c>
      <c r="D2163" s="3">
        <f>IFERROR(__xludf.DUMMYFUNCTION("""COMPUTED_VALUE"""),49.0)</f>
        <v>49</v>
      </c>
      <c r="E2163" s="1" t="str">
        <f t="array" ref="E2163">_xlfn.XLOOKUP(A2163,Product!A:A,Product!B:B,"Bulunamadı")</f>
        <v>Tech</v>
      </c>
      <c r="F2163" s="1" t="str">
        <f t="array" ref="F2163">_xlfn.XLOOKUP(A2163,Product!A:A,Product!C:C,"Bulunamadı")</f>
        <v>Communication Skills</v>
      </c>
      <c r="G2163" s="2" t="str">
        <f t="array" ref="G2163">_xlfn.XLOOKUP(A2164,Product!A:A,Product!D:D,"Bulunamadı")</f>
        <v>Brightridge Press</v>
      </c>
      <c r="H2163" s="2">
        <f t="array" ref="H2163">_xlfn.XLOOKUP(A2165,Product!A:A,Product!E:E,"Bulunamadı")</f>
        <v>2.95</v>
      </c>
      <c r="I2163" s="2" t="str">
        <f t="shared" si="1"/>
        <v>71327 - Tech - Communication Skills</v>
      </c>
      <c r="J2163" s="2">
        <f t="shared" si="2"/>
        <v>144.55</v>
      </c>
      <c r="K2163" s="17">
        <f t="shared" si="3"/>
        <v>1</v>
      </c>
      <c r="L2163" s="18"/>
    </row>
    <row r="2164" hidden="1">
      <c r="A2164" s="2">
        <f>IFERROR(__xludf.DUMMYFUNCTION("""COMPUTED_VALUE"""),122276.0)</f>
        <v>122276</v>
      </c>
      <c r="B2164" s="2">
        <f>IFERROR(__xludf.DUMMYFUNCTION("""COMPUTED_VALUE"""),0.0)</f>
        <v>0</v>
      </c>
      <c r="C2164" s="2">
        <f>IFERROR(__xludf.DUMMYFUNCTION("""COMPUTED_VALUE"""),53.0)</f>
        <v>53</v>
      </c>
      <c r="D2164" s="3">
        <f>IFERROR(__xludf.DUMMYFUNCTION("""COMPUTED_VALUE"""),5.0)</f>
        <v>5</v>
      </c>
      <c r="E2164" s="1" t="str">
        <f t="array" ref="E2164">_xlfn.XLOOKUP(A2164,Product!A:A,Product!B:B,"Bulunamadı")</f>
        <v>Tech</v>
      </c>
      <c r="F2164" s="1" t="str">
        <f t="array" ref="F2164">_xlfn.XLOOKUP(A2164,Product!A:A,Product!C:C,"Bulunamadı")</f>
        <v>Communication Skills</v>
      </c>
      <c r="G2164" s="2" t="str">
        <f t="array" ref="G2164">_xlfn.XLOOKUP(A2165,Product!A:A,Product!D:D,"Bulunamadı")</f>
        <v>Brightridge Press</v>
      </c>
      <c r="H2164" s="2">
        <f t="array" ref="H2164">_xlfn.XLOOKUP(A2166,Product!A:A,Product!E:E,"Bulunamadı")</f>
        <v>5.4</v>
      </c>
      <c r="I2164" s="2" t="str">
        <f t="shared" si="1"/>
        <v>122276 - Tech - Communication Skills</v>
      </c>
      <c r="J2164" s="2">
        <f t="shared" si="2"/>
        <v>27</v>
      </c>
      <c r="K2164" s="17">
        <f t="shared" si="3"/>
        <v>1</v>
      </c>
      <c r="L2164" s="18"/>
    </row>
    <row r="2165" hidden="1">
      <c r="A2165" s="2">
        <f>IFERROR(__xludf.DUMMYFUNCTION("""COMPUTED_VALUE"""),72806.0)</f>
        <v>72806</v>
      </c>
      <c r="B2165" s="2">
        <f>IFERROR(__xludf.DUMMYFUNCTION("""COMPUTED_VALUE"""),1.0)</f>
        <v>1</v>
      </c>
      <c r="C2165" s="2">
        <f>IFERROR(__xludf.DUMMYFUNCTION("""COMPUTED_VALUE"""),762.0)</f>
        <v>762</v>
      </c>
      <c r="D2165" s="3">
        <f>IFERROR(__xludf.DUMMYFUNCTION("""COMPUTED_VALUE"""),712.0)</f>
        <v>712</v>
      </c>
      <c r="E2165" s="1" t="str">
        <f t="array" ref="E2165">_xlfn.XLOOKUP(A2165,Product!A:A,Product!B:B,"Bulunamadı")</f>
        <v>Tech</v>
      </c>
      <c r="F2165" s="1" t="str">
        <f t="array" ref="F2165">_xlfn.XLOOKUP(A2165,Product!A:A,Product!C:C,"Bulunamadı")</f>
        <v>Communication Skills</v>
      </c>
      <c r="G2165" s="2" t="str">
        <f t="array" ref="G2165">_xlfn.XLOOKUP(A2166,Product!A:A,Product!D:D,"Bulunamadı")</f>
        <v>Brightridge Press</v>
      </c>
      <c r="H2165" s="2">
        <f t="array" ref="H2165">_xlfn.XLOOKUP(A2167,Product!A:A,Product!E:E,"Bulunamadı")</f>
        <v>4.05</v>
      </c>
      <c r="I2165" s="2" t="str">
        <f t="shared" si="1"/>
        <v>72806 - Tech - Communication Skills</v>
      </c>
      <c r="J2165" s="2">
        <f t="shared" si="2"/>
        <v>2883.6</v>
      </c>
      <c r="K2165" s="17">
        <f t="shared" si="3"/>
        <v>1</v>
      </c>
      <c r="L2165" s="18"/>
    </row>
    <row r="2166" hidden="1">
      <c r="A2166" s="2">
        <f>IFERROR(__xludf.DUMMYFUNCTION("""COMPUTED_VALUE"""),100248.0)</f>
        <v>100248</v>
      </c>
      <c r="B2166" s="2">
        <f>IFERROR(__xludf.DUMMYFUNCTION("""COMPUTED_VALUE"""),0.0)</f>
        <v>0</v>
      </c>
      <c r="C2166" s="2">
        <f>IFERROR(__xludf.DUMMYFUNCTION("""COMPUTED_VALUE"""),447.0)</f>
        <v>447</v>
      </c>
      <c r="D2166" s="3">
        <f>IFERROR(__xludf.DUMMYFUNCTION("""COMPUTED_VALUE"""),38.0)</f>
        <v>38</v>
      </c>
      <c r="E2166" s="1" t="str">
        <f t="array" ref="E2166">_xlfn.XLOOKUP(A2166,Product!A:A,Product!B:B,"Bulunamadı")</f>
        <v>Tech</v>
      </c>
      <c r="F2166" s="1" t="str">
        <f t="array" ref="F2166">_xlfn.XLOOKUP(A2166,Product!A:A,Product!C:C,"Bulunamadı")</f>
        <v>Communication Skills</v>
      </c>
      <c r="G2166" s="2" t="str">
        <f t="array" ref="G2166">_xlfn.XLOOKUP(A2167,Product!A:A,Product!D:D,"Bulunamadı")</f>
        <v>Brightridge Press</v>
      </c>
      <c r="H2166" s="2">
        <f t="array" ref="H2166">_xlfn.XLOOKUP(A2168,Product!A:A,Product!E:E,"Bulunamadı")</f>
        <v>6.81</v>
      </c>
      <c r="I2166" s="2" t="str">
        <f t="shared" si="1"/>
        <v>100248 - Tech - Communication Skills</v>
      </c>
      <c r="J2166" s="2">
        <f t="shared" si="2"/>
        <v>258.78</v>
      </c>
      <c r="K2166" s="17">
        <f t="shared" si="3"/>
        <v>1</v>
      </c>
      <c r="L2166" s="18"/>
    </row>
    <row r="2167" hidden="1">
      <c r="A2167" s="2">
        <f>IFERROR(__xludf.DUMMYFUNCTION("""COMPUTED_VALUE"""),122378.0)</f>
        <v>122378</v>
      </c>
      <c r="B2167" s="2">
        <f>IFERROR(__xludf.DUMMYFUNCTION("""COMPUTED_VALUE"""),1.0)</f>
        <v>1</v>
      </c>
      <c r="C2167" s="2">
        <f>IFERROR(__xludf.DUMMYFUNCTION("""COMPUTED_VALUE"""),165.0)</f>
        <v>165</v>
      </c>
      <c r="D2167" s="3">
        <f>IFERROR(__xludf.DUMMYFUNCTION("""COMPUTED_VALUE"""),46.0)</f>
        <v>46</v>
      </c>
      <c r="E2167" s="1" t="str">
        <f t="array" ref="E2167">_xlfn.XLOOKUP(A2167,Product!A:A,Product!B:B,"Bulunamadı")</f>
        <v>Tech</v>
      </c>
      <c r="F2167" s="1" t="str">
        <f t="array" ref="F2167">_xlfn.XLOOKUP(A2167,Product!A:A,Product!C:C,"Bulunamadı")</f>
        <v>Communication Skills</v>
      </c>
      <c r="G2167" s="2" t="str">
        <f t="array" ref="G2167">_xlfn.XLOOKUP(A2168,Product!A:A,Product!D:D,"Bulunamadı")</f>
        <v>Brightridge Press</v>
      </c>
      <c r="H2167" s="2">
        <f t="array" ref="H2167">_xlfn.XLOOKUP(A2169,Product!A:A,Product!E:E,"Bulunamadı")</f>
        <v>2.28</v>
      </c>
      <c r="I2167" s="2" t="str">
        <f t="shared" si="1"/>
        <v>122378 - Tech - Communication Skills</v>
      </c>
      <c r="J2167" s="2">
        <f t="shared" si="2"/>
        <v>104.88</v>
      </c>
      <c r="K2167" s="17">
        <f t="shared" si="3"/>
        <v>1</v>
      </c>
      <c r="L2167" s="18"/>
    </row>
    <row r="2168" hidden="1">
      <c r="A2168" s="2">
        <f>IFERROR(__xludf.DUMMYFUNCTION("""COMPUTED_VALUE"""),44762.0)</f>
        <v>44762</v>
      </c>
      <c r="B2168" s="2">
        <f>IFERROR(__xludf.DUMMYFUNCTION("""COMPUTED_VALUE"""),0.0)</f>
        <v>0</v>
      </c>
      <c r="C2168" s="2">
        <f>IFERROR(__xludf.DUMMYFUNCTION("""COMPUTED_VALUE"""),90.0)</f>
        <v>90</v>
      </c>
      <c r="D2168" s="3">
        <f>IFERROR(__xludf.DUMMYFUNCTION("""COMPUTED_VALUE"""),27.0)</f>
        <v>27</v>
      </c>
      <c r="E2168" s="1" t="str">
        <f t="array" ref="E2168">_xlfn.XLOOKUP(A2168,Product!A:A,Product!B:B,"Bulunamadı")</f>
        <v>Tech</v>
      </c>
      <c r="F2168" s="1" t="str">
        <f t="array" ref="F2168">_xlfn.XLOOKUP(A2168,Product!A:A,Product!C:C,"Bulunamadı")</f>
        <v>Communication Skills</v>
      </c>
      <c r="G2168" s="2" t="str">
        <f t="array" ref="G2168">_xlfn.XLOOKUP(A2169,Product!A:A,Product!D:D,"Bulunamadı")</f>
        <v>Brightridge Press</v>
      </c>
      <c r="H2168" s="2">
        <f t="array" ref="H2168">_xlfn.XLOOKUP(A2170,Product!A:A,Product!E:E,"Bulunamadı")</f>
        <v>4.97</v>
      </c>
      <c r="I2168" s="2" t="str">
        <f t="shared" si="1"/>
        <v>44762 - Tech - Communication Skills</v>
      </c>
      <c r="J2168" s="2">
        <f t="shared" si="2"/>
        <v>134.19</v>
      </c>
      <c r="K2168" s="17">
        <f t="shared" si="3"/>
        <v>1</v>
      </c>
      <c r="L2168" s="18"/>
    </row>
    <row r="2169" hidden="1">
      <c r="A2169" s="2">
        <f>IFERROR(__xludf.DUMMYFUNCTION("""COMPUTED_VALUE"""),100247.0)</f>
        <v>100247</v>
      </c>
      <c r="B2169" s="2">
        <f>IFERROR(__xludf.DUMMYFUNCTION("""COMPUTED_VALUE"""),0.0)</f>
        <v>0</v>
      </c>
      <c r="C2169" s="2">
        <f>IFERROR(__xludf.DUMMYFUNCTION("""COMPUTED_VALUE"""),88.0)</f>
        <v>88</v>
      </c>
      <c r="D2169" s="3">
        <f>IFERROR(__xludf.DUMMYFUNCTION("""COMPUTED_VALUE"""),19.0)</f>
        <v>19</v>
      </c>
      <c r="E2169" s="1" t="str">
        <f t="array" ref="E2169">_xlfn.XLOOKUP(A2169,Product!A:A,Product!B:B,"Bulunamadı")</f>
        <v>Tech</v>
      </c>
      <c r="F2169" s="1" t="str">
        <f t="array" ref="F2169">_xlfn.XLOOKUP(A2169,Product!A:A,Product!C:C,"Bulunamadı")</f>
        <v>Communication Skills</v>
      </c>
      <c r="G2169" s="2" t="str">
        <f t="array" ref="G2169">_xlfn.XLOOKUP(A2170,Product!A:A,Product!D:D,"Bulunamadı")</f>
        <v>Brightridge Press</v>
      </c>
      <c r="H2169" s="2">
        <f t="array" ref="H2169">_xlfn.XLOOKUP(A2171,Product!A:A,Product!E:E,"Bulunamadı")</f>
        <v>7.27</v>
      </c>
      <c r="I2169" s="2" t="str">
        <f t="shared" si="1"/>
        <v>100247 - Tech - Communication Skills</v>
      </c>
      <c r="J2169" s="2">
        <f t="shared" si="2"/>
        <v>138.13</v>
      </c>
      <c r="K2169" s="17">
        <f t="shared" si="3"/>
        <v>1</v>
      </c>
      <c r="L2169" s="18"/>
    </row>
    <row r="2170" hidden="1">
      <c r="A2170" s="2">
        <f>IFERROR(__xludf.DUMMYFUNCTION("""COMPUTED_VALUE"""),182272.0)</f>
        <v>182272</v>
      </c>
      <c r="B2170" s="2">
        <f>IFERROR(__xludf.DUMMYFUNCTION("""COMPUTED_VALUE"""),1.0)</f>
        <v>1</v>
      </c>
      <c r="C2170" s="2">
        <f>IFERROR(__xludf.DUMMYFUNCTION("""COMPUTED_VALUE"""),223.0)</f>
        <v>223</v>
      </c>
      <c r="D2170" s="3">
        <f>IFERROR(__xludf.DUMMYFUNCTION("""COMPUTED_VALUE"""),58.0)</f>
        <v>58</v>
      </c>
      <c r="E2170" s="1" t="str">
        <f t="array" ref="E2170">_xlfn.XLOOKUP(A2170,Product!A:A,Product!B:B,"Bulunamadı")</f>
        <v>Tech</v>
      </c>
      <c r="F2170" s="1" t="str">
        <f t="array" ref="F2170">_xlfn.XLOOKUP(A2170,Product!A:A,Product!C:C,"Bulunamadı")</f>
        <v>Communication Skills</v>
      </c>
      <c r="G2170" s="2" t="str">
        <f t="array" ref="G2170">_xlfn.XLOOKUP(A2171,Product!A:A,Product!D:D,"Bulunamadı")</f>
        <v>Brightridge Press</v>
      </c>
      <c r="H2170" s="2">
        <f t="array" ref="H2170">_xlfn.XLOOKUP(A2172,Product!A:A,Product!E:E,"Bulunamadı")</f>
        <v>5.18</v>
      </c>
      <c r="I2170" s="2" t="str">
        <f t="shared" si="1"/>
        <v>182272 - Tech - Communication Skills</v>
      </c>
      <c r="J2170" s="2">
        <f t="shared" si="2"/>
        <v>300.44</v>
      </c>
      <c r="K2170" s="17">
        <f t="shared" si="3"/>
        <v>1</v>
      </c>
      <c r="L2170" s="18"/>
    </row>
    <row r="2171" hidden="1">
      <c r="A2171" s="2">
        <f>IFERROR(__xludf.DUMMYFUNCTION("""COMPUTED_VALUE"""),128297.0)</f>
        <v>128297</v>
      </c>
      <c r="B2171" s="2">
        <f>IFERROR(__xludf.DUMMYFUNCTION("""COMPUTED_VALUE"""),1.0)</f>
        <v>1</v>
      </c>
      <c r="C2171" s="2">
        <f>IFERROR(__xludf.DUMMYFUNCTION("""COMPUTED_VALUE"""),633.0)</f>
        <v>633</v>
      </c>
      <c r="D2171" s="3">
        <f>IFERROR(__xludf.DUMMYFUNCTION("""COMPUTED_VALUE"""),627.0)</f>
        <v>627</v>
      </c>
      <c r="E2171" s="1" t="str">
        <f t="array" ref="E2171">_xlfn.XLOOKUP(A2171,Product!A:A,Product!B:B,"Bulunamadı")</f>
        <v>Tech</v>
      </c>
      <c r="F2171" s="1" t="str">
        <f t="array" ref="F2171">_xlfn.XLOOKUP(A2171,Product!A:A,Product!C:C,"Bulunamadı")</f>
        <v>Communication Skills</v>
      </c>
      <c r="G2171" s="2" t="str">
        <f t="array" ref="G2171">_xlfn.XLOOKUP(A2172,Product!A:A,Product!D:D,"Bulunamadı")</f>
        <v>Brightridge Press</v>
      </c>
      <c r="H2171" s="2">
        <f t="array" ref="H2171">_xlfn.XLOOKUP(A2173,Product!A:A,Product!E:E,"Bulunamadı")</f>
        <v>6.75</v>
      </c>
      <c r="I2171" s="2" t="str">
        <f t="shared" si="1"/>
        <v>128297 - Tech - Communication Skills</v>
      </c>
      <c r="J2171" s="2">
        <f t="shared" si="2"/>
        <v>4232.25</v>
      </c>
      <c r="K2171" s="17">
        <f t="shared" si="3"/>
        <v>1</v>
      </c>
      <c r="L2171" s="18"/>
    </row>
    <row r="2172" hidden="1">
      <c r="A2172" s="2">
        <f>IFERROR(__xludf.DUMMYFUNCTION("""COMPUTED_VALUE"""),10673.0)</f>
        <v>10673</v>
      </c>
      <c r="B2172" s="2">
        <f>IFERROR(__xludf.DUMMYFUNCTION("""COMPUTED_VALUE"""),0.0)</f>
        <v>0</v>
      </c>
      <c r="C2172" s="2">
        <f>IFERROR(__xludf.DUMMYFUNCTION("""COMPUTED_VALUE"""),336.0)</f>
        <v>336</v>
      </c>
      <c r="D2172" s="3">
        <f>IFERROR(__xludf.DUMMYFUNCTION("""COMPUTED_VALUE"""),11.0)</f>
        <v>11</v>
      </c>
      <c r="E2172" s="1" t="str">
        <f t="array" ref="E2172">_xlfn.XLOOKUP(A2172,Product!A:A,Product!B:B,"Bulunamadı")</f>
        <v>Tech</v>
      </c>
      <c r="F2172" s="1" t="str">
        <f t="array" ref="F2172">_xlfn.XLOOKUP(A2172,Product!A:A,Product!C:C,"Bulunamadı")</f>
        <v>Communication Skills</v>
      </c>
      <c r="G2172" s="2" t="str">
        <f t="array" ref="G2172">_xlfn.XLOOKUP(A2173,Product!A:A,Product!D:D,"Bulunamadı")</f>
        <v>Brightridge Press</v>
      </c>
      <c r="H2172" s="2">
        <f t="array" ref="H2172">_xlfn.XLOOKUP(A2174,Product!A:A,Product!E:E,"Bulunamadı")</f>
        <v>2.54</v>
      </c>
      <c r="I2172" s="2" t="str">
        <f t="shared" si="1"/>
        <v>10673 - Tech - Communication Skills</v>
      </c>
      <c r="J2172" s="2">
        <f t="shared" si="2"/>
        <v>27.94</v>
      </c>
      <c r="K2172" s="17">
        <f t="shared" si="3"/>
        <v>1</v>
      </c>
      <c r="L2172" s="18"/>
    </row>
    <row r="2173" hidden="1">
      <c r="A2173" s="2">
        <f>IFERROR(__xludf.DUMMYFUNCTION("""COMPUTED_VALUE"""),69332.0)</f>
        <v>69332</v>
      </c>
      <c r="B2173" s="2">
        <f>IFERROR(__xludf.DUMMYFUNCTION("""COMPUTED_VALUE"""),0.0)</f>
        <v>0</v>
      </c>
      <c r="C2173" s="2">
        <f>IFERROR(__xludf.DUMMYFUNCTION("""COMPUTED_VALUE"""),671.0)</f>
        <v>671</v>
      </c>
      <c r="D2173" s="3">
        <f>IFERROR(__xludf.DUMMYFUNCTION("""COMPUTED_VALUE"""),131.0)</f>
        <v>131</v>
      </c>
      <c r="E2173" s="1" t="str">
        <f t="array" ref="E2173">_xlfn.XLOOKUP(A2173,Product!A:A,Product!B:B,"Bulunamadı")</f>
        <v>Tech</v>
      </c>
      <c r="F2173" s="1" t="str">
        <f t="array" ref="F2173">_xlfn.XLOOKUP(A2173,Product!A:A,Product!C:C,"Bulunamadı")</f>
        <v>Communication Skills</v>
      </c>
      <c r="G2173" s="2" t="str">
        <f t="array" ref="G2173">_xlfn.XLOOKUP(A2174,Product!A:A,Product!D:D,"Bulunamadı")</f>
        <v>Brightridge Press</v>
      </c>
      <c r="H2173" s="2">
        <f t="array" ref="H2173">_xlfn.XLOOKUP(A2175,Product!A:A,Product!E:E,"Bulunamadı")</f>
        <v>4.84</v>
      </c>
      <c r="I2173" s="2" t="str">
        <f t="shared" si="1"/>
        <v>69332 - Tech - Communication Skills</v>
      </c>
      <c r="J2173" s="2">
        <f t="shared" si="2"/>
        <v>634.04</v>
      </c>
      <c r="K2173" s="17">
        <f t="shared" si="3"/>
        <v>1</v>
      </c>
      <c r="L2173" s="18"/>
    </row>
    <row r="2174" hidden="1">
      <c r="A2174" s="2">
        <f>IFERROR(__xludf.DUMMYFUNCTION("""COMPUTED_VALUE"""),151239.0)</f>
        <v>151239</v>
      </c>
      <c r="B2174" s="2">
        <f>IFERROR(__xludf.DUMMYFUNCTION("""COMPUTED_VALUE"""),1.0)</f>
        <v>1</v>
      </c>
      <c r="C2174" s="2">
        <f>IFERROR(__xludf.DUMMYFUNCTION("""COMPUTED_VALUE"""),51.0)</f>
        <v>51</v>
      </c>
      <c r="D2174" s="3">
        <f>IFERROR(__xludf.DUMMYFUNCTION("""COMPUTED_VALUE"""),41.0)</f>
        <v>41</v>
      </c>
      <c r="E2174" s="1" t="str">
        <f t="array" ref="E2174">_xlfn.XLOOKUP(A2174,Product!A:A,Product!B:B,"Bulunamadı")</f>
        <v>Tech</v>
      </c>
      <c r="F2174" s="1" t="str">
        <f t="array" ref="F2174">_xlfn.XLOOKUP(A2174,Product!A:A,Product!C:C,"Bulunamadı")</f>
        <v>Communication Skills</v>
      </c>
      <c r="G2174" s="2" t="str">
        <f t="array" ref="G2174">_xlfn.XLOOKUP(A2175,Product!A:A,Product!D:D,"Bulunamadı")</f>
        <v>Brightridge Press</v>
      </c>
      <c r="H2174" s="2">
        <f t="array" ref="H2174">_xlfn.XLOOKUP(A2176,Product!A:A,Product!E:E,"Bulunamadı")</f>
        <v>6.1</v>
      </c>
      <c r="I2174" s="2" t="str">
        <f t="shared" si="1"/>
        <v>151239 - Tech - Communication Skills</v>
      </c>
      <c r="J2174" s="2">
        <f t="shared" si="2"/>
        <v>250.1</v>
      </c>
      <c r="K2174" s="17">
        <f t="shared" si="3"/>
        <v>1</v>
      </c>
      <c r="L2174" s="18"/>
    </row>
    <row r="2175" hidden="1">
      <c r="A2175" s="2">
        <f>IFERROR(__xludf.DUMMYFUNCTION("""COMPUTED_VALUE"""),116667.0)</f>
        <v>116667</v>
      </c>
      <c r="B2175" s="2">
        <f>IFERROR(__xludf.DUMMYFUNCTION("""COMPUTED_VALUE"""),0.0)</f>
        <v>0</v>
      </c>
      <c r="C2175" s="2">
        <f>IFERROR(__xludf.DUMMYFUNCTION("""COMPUTED_VALUE"""),371.0)</f>
        <v>371</v>
      </c>
      <c r="D2175" s="3">
        <f>IFERROR(__xludf.DUMMYFUNCTION("""COMPUTED_VALUE"""),88.0)</f>
        <v>88</v>
      </c>
      <c r="E2175" s="1" t="str">
        <f t="array" ref="E2175">_xlfn.XLOOKUP(A2175,Product!A:A,Product!B:B,"Bulunamadı")</f>
        <v>Tech</v>
      </c>
      <c r="F2175" s="1" t="str">
        <f t="array" ref="F2175">_xlfn.XLOOKUP(A2175,Product!A:A,Product!C:C,"Bulunamadı")</f>
        <v>Communication Skills</v>
      </c>
      <c r="G2175" s="2" t="str">
        <f t="array" ref="G2175">_xlfn.XLOOKUP(A2176,Product!A:A,Product!D:D,"Bulunamadı")</f>
        <v>Brightridge Press</v>
      </c>
      <c r="H2175" s="2">
        <f t="array" ref="H2175">_xlfn.XLOOKUP(A2177,Product!A:A,Product!E:E,"Bulunamadı")</f>
        <v>4.45</v>
      </c>
      <c r="I2175" s="2" t="str">
        <f t="shared" si="1"/>
        <v>116667 - Tech - Communication Skills</v>
      </c>
      <c r="J2175" s="2">
        <f t="shared" si="2"/>
        <v>391.6</v>
      </c>
      <c r="K2175" s="17">
        <f t="shared" si="3"/>
        <v>1</v>
      </c>
      <c r="L2175" s="18"/>
    </row>
    <row r="2176" hidden="1">
      <c r="A2176" s="2">
        <f>IFERROR(__xludf.DUMMYFUNCTION("""COMPUTED_VALUE"""),72809.0)</f>
        <v>72809</v>
      </c>
      <c r="B2176" s="2">
        <f>IFERROR(__xludf.DUMMYFUNCTION("""COMPUTED_VALUE"""),1.0)</f>
        <v>1</v>
      </c>
      <c r="C2176" s="2">
        <f>IFERROR(__xludf.DUMMYFUNCTION("""COMPUTED_VALUE"""),890.0)</f>
        <v>890</v>
      </c>
      <c r="D2176" s="3">
        <f>IFERROR(__xludf.DUMMYFUNCTION("""COMPUTED_VALUE"""),244.0)</f>
        <v>244</v>
      </c>
      <c r="E2176" s="1" t="str">
        <f t="array" ref="E2176">_xlfn.XLOOKUP(A2176,Product!A:A,Product!B:B,"Bulunamadı")</f>
        <v>Tech</v>
      </c>
      <c r="F2176" s="1" t="str">
        <f t="array" ref="F2176">_xlfn.XLOOKUP(A2176,Product!A:A,Product!C:C,"Bulunamadı")</f>
        <v>Communication Skills</v>
      </c>
      <c r="G2176" s="2" t="str">
        <f t="array" ref="G2176">_xlfn.XLOOKUP(A2177,Product!A:A,Product!D:D,"Bulunamadı")</f>
        <v>Brightridge Press</v>
      </c>
      <c r="H2176" s="2">
        <f t="array" ref="H2176">_xlfn.XLOOKUP(A2178,Product!A:A,Product!E:E,"Bulunamadı")</f>
        <v>4.15</v>
      </c>
      <c r="I2176" s="2" t="str">
        <f t="shared" si="1"/>
        <v>72809 - Tech - Communication Skills</v>
      </c>
      <c r="J2176" s="2">
        <f t="shared" si="2"/>
        <v>1012.6</v>
      </c>
      <c r="K2176" s="17">
        <f t="shared" si="3"/>
        <v>1</v>
      </c>
      <c r="L2176" s="18"/>
    </row>
    <row r="2177" hidden="1">
      <c r="A2177" s="2">
        <f>IFERROR(__xludf.DUMMYFUNCTION("""COMPUTED_VALUE"""),165917.0)</f>
        <v>165917</v>
      </c>
      <c r="B2177" s="2">
        <f>IFERROR(__xludf.DUMMYFUNCTION("""COMPUTED_VALUE"""),0.0)</f>
        <v>0</v>
      </c>
      <c r="C2177" s="2">
        <f>IFERROR(__xludf.DUMMYFUNCTION("""COMPUTED_VALUE"""),7.0)</f>
        <v>7</v>
      </c>
      <c r="D2177" s="3">
        <f>IFERROR(__xludf.DUMMYFUNCTION("""COMPUTED_VALUE"""),7.0)</f>
        <v>7</v>
      </c>
      <c r="E2177" s="1" t="str">
        <f t="array" ref="E2177">_xlfn.XLOOKUP(A2177,Product!A:A,Product!B:B,"Bulunamadı")</f>
        <v>Tech</v>
      </c>
      <c r="F2177" s="1" t="str">
        <f t="array" ref="F2177">_xlfn.XLOOKUP(A2177,Product!A:A,Product!C:C,"Bulunamadı")</f>
        <v>Communication Skills</v>
      </c>
      <c r="G2177" s="2" t="str">
        <f t="array" ref="G2177">_xlfn.XLOOKUP(A2178,Product!A:A,Product!D:D,"Bulunamadı")</f>
        <v>Brightridge Press</v>
      </c>
      <c r="H2177" s="2">
        <f t="array" ref="H2177">_xlfn.XLOOKUP(A2179,Product!A:A,Product!E:E,"Bulunamadı")</f>
        <v>4.27</v>
      </c>
      <c r="I2177" s="2" t="str">
        <f t="shared" si="1"/>
        <v>165917 - Tech - Communication Skills</v>
      </c>
      <c r="J2177" s="2">
        <f t="shared" si="2"/>
        <v>29.89</v>
      </c>
      <c r="K2177" s="17">
        <f t="shared" si="3"/>
        <v>1</v>
      </c>
      <c r="L2177" s="18"/>
    </row>
    <row r="2178" hidden="1">
      <c r="A2178" s="2">
        <f>IFERROR(__xludf.DUMMYFUNCTION("""COMPUTED_VALUE"""),8746.0)</f>
        <v>8746</v>
      </c>
      <c r="B2178" s="2">
        <f>IFERROR(__xludf.DUMMYFUNCTION("""COMPUTED_VALUE"""),1.0)</f>
        <v>1</v>
      </c>
      <c r="C2178" s="2">
        <f>IFERROR(__xludf.DUMMYFUNCTION("""COMPUTED_VALUE"""),-13.0)</f>
        <v>-13</v>
      </c>
      <c r="D2178" s="3">
        <f>IFERROR(__xludf.DUMMYFUNCTION("""COMPUTED_VALUE"""),0.0)</f>
        <v>0</v>
      </c>
      <c r="E2178" s="1" t="str">
        <f t="array" ref="E2178">_xlfn.XLOOKUP(A2178,Product!A:A,Product!B:B,"Bulunamadı")</f>
        <v>Tech</v>
      </c>
      <c r="F2178" s="1" t="str">
        <f t="array" ref="F2178">_xlfn.XLOOKUP(A2178,Product!A:A,Product!C:C,"Bulunamadı")</f>
        <v>Communication Skills</v>
      </c>
      <c r="G2178" s="2" t="str">
        <f t="array" ref="G2178">_xlfn.XLOOKUP(A2179,Product!A:A,Product!D:D,"Bulunamadı")</f>
        <v>Brightridge Press</v>
      </c>
      <c r="H2178" s="2">
        <f t="array" ref="H2178">_xlfn.XLOOKUP(A2180,Product!A:A,Product!E:E,"Bulunamadı")</f>
        <v>2.35</v>
      </c>
      <c r="I2178" s="2" t="str">
        <f t="shared" si="1"/>
        <v>8746 - Tech - Communication Skills</v>
      </c>
      <c r="J2178" s="2">
        <f t="shared" si="2"/>
        <v>0</v>
      </c>
      <c r="K2178" s="17">
        <f t="shared" si="3"/>
        <v>0</v>
      </c>
      <c r="L2178" s="18"/>
    </row>
    <row r="2179" hidden="1">
      <c r="A2179" s="2">
        <f>IFERROR(__xludf.DUMMYFUNCTION("""COMPUTED_VALUE"""),122374.0)</f>
        <v>122374</v>
      </c>
      <c r="B2179" s="2">
        <f>IFERROR(__xludf.DUMMYFUNCTION("""COMPUTED_VALUE"""),0.0)</f>
        <v>0</v>
      </c>
      <c r="C2179" s="2">
        <f>IFERROR(__xludf.DUMMYFUNCTION("""COMPUTED_VALUE"""),733.0)</f>
        <v>733</v>
      </c>
      <c r="D2179" s="3">
        <f>IFERROR(__xludf.DUMMYFUNCTION("""COMPUTED_VALUE"""),682.0)</f>
        <v>682</v>
      </c>
      <c r="E2179" s="1" t="str">
        <f t="array" ref="E2179">_xlfn.XLOOKUP(A2179,Product!A:A,Product!B:B,"Bulunamadı")</f>
        <v>Tech</v>
      </c>
      <c r="F2179" s="1" t="str">
        <f t="array" ref="F2179">_xlfn.XLOOKUP(A2179,Product!A:A,Product!C:C,"Bulunamadı")</f>
        <v>Communication Skills</v>
      </c>
      <c r="G2179" s="2" t="str">
        <f t="array" ref="G2179">_xlfn.XLOOKUP(A2180,Product!A:A,Product!D:D,"Bulunamadı")</f>
        <v>Brightridge Press</v>
      </c>
      <c r="H2179" s="2">
        <f t="array" ref="H2179">_xlfn.XLOOKUP(A2181,Product!A:A,Product!E:E,"Bulunamadı")</f>
        <v>5.57</v>
      </c>
      <c r="I2179" s="2" t="str">
        <f t="shared" si="1"/>
        <v>122374 - Tech - Communication Skills</v>
      </c>
      <c r="J2179" s="2">
        <f t="shared" si="2"/>
        <v>3798.74</v>
      </c>
      <c r="K2179" s="17">
        <f t="shared" si="3"/>
        <v>1</v>
      </c>
      <c r="L2179" s="18"/>
    </row>
    <row r="2180" hidden="1">
      <c r="A2180" s="2">
        <f>IFERROR(__xludf.DUMMYFUNCTION("""COMPUTED_VALUE"""),118166.0)</f>
        <v>118166</v>
      </c>
      <c r="B2180" s="2">
        <f>IFERROR(__xludf.DUMMYFUNCTION("""COMPUTED_VALUE"""),0.0)</f>
        <v>0</v>
      </c>
      <c r="C2180" s="2">
        <f>IFERROR(__xludf.DUMMYFUNCTION("""COMPUTED_VALUE"""),204.0)</f>
        <v>204</v>
      </c>
      <c r="D2180" s="3">
        <f>IFERROR(__xludf.DUMMYFUNCTION("""COMPUTED_VALUE"""),108.0)</f>
        <v>108</v>
      </c>
      <c r="E2180" s="1" t="str">
        <f t="array" ref="E2180">_xlfn.XLOOKUP(A2180,Product!A:A,Product!B:B,"Bulunamadı")</f>
        <v>Tech</v>
      </c>
      <c r="F2180" s="1" t="str">
        <f t="array" ref="F2180">_xlfn.XLOOKUP(A2180,Product!A:A,Product!C:C,"Bulunamadı")</f>
        <v>Communication Skills</v>
      </c>
      <c r="G2180" s="2" t="str">
        <f t="array" ref="G2180">_xlfn.XLOOKUP(A2181,Product!A:A,Product!D:D,"Bulunamadı")</f>
        <v>Brightridge Press</v>
      </c>
      <c r="H2180" s="2">
        <f t="array" ref="H2180">_xlfn.XLOOKUP(A2182,Product!A:A,Product!E:E,"Bulunamadı")</f>
        <v>4.81</v>
      </c>
      <c r="I2180" s="2" t="str">
        <f t="shared" si="1"/>
        <v>118166 - Tech - Communication Skills</v>
      </c>
      <c r="J2180" s="2">
        <f t="shared" si="2"/>
        <v>519.48</v>
      </c>
      <c r="K2180" s="17">
        <f t="shared" si="3"/>
        <v>1</v>
      </c>
      <c r="L2180" s="18"/>
    </row>
    <row r="2181" hidden="1">
      <c r="A2181" s="2">
        <f>IFERROR(__xludf.DUMMYFUNCTION("""COMPUTED_VALUE"""),42729.0)</f>
        <v>42729</v>
      </c>
      <c r="B2181" s="2">
        <f>IFERROR(__xludf.DUMMYFUNCTION("""COMPUTED_VALUE"""),0.0)</f>
        <v>0</v>
      </c>
      <c r="C2181" s="2">
        <f>IFERROR(__xludf.DUMMYFUNCTION("""COMPUTED_VALUE"""),374.0)</f>
        <v>374</v>
      </c>
      <c r="D2181" s="3">
        <f>IFERROR(__xludf.DUMMYFUNCTION("""COMPUTED_VALUE"""),58.0)</f>
        <v>58</v>
      </c>
      <c r="E2181" s="1" t="str">
        <f t="array" ref="E2181">_xlfn.XLOOKUP(A2181,Product!A:A,Product!B:B,"Bulunamadı")</f>
        <v>Tech</v>
      </c>
      <c r="F2181" s="1" t="str">
        <f t="array" ref="F2181">_xlfn.XLOOKUP(A2181,Product!A:A,Product!C:C,"Bulunamadı")</f>
        <v>Communication Skills</v>
      </c>
      <c r="G2181" s="2" t="str">
        <f t="array" ref="G2181">_xlfn.XLOOKUP(A2182,Product!A:A,Product!D:D,"Bulunamadı")</f>
        <v>Brightridge Press</v>
      </c>
      <c r="H2181" s="2">
        <f t="array" ref="H2181">_xlfn.XLOOKUP(A2183,Product!A:A,Product!E:E,"Bulunamadı")</f>
        <v>2.64</v>
      </c>
      <c r="I2181" s="2" t="str">
        <f t="shared" si="1"/>
        <v>42729 - Tech - Communication Skills</v>
      </c>
      <c r="J2181" s="2">
        <f t="shared" si="2"/>
        <v>153.12</v>
      </c>
      <c r="K2181" s="17">
        <f t="shared" si="3"/>
        <v>1</v>
      </c>
      <c r="L2181" s="18"/>
    </row>
    <row r="2182" hidden="1">
      <c r="A2182" s="2">
        <f>IFERROR(__xludf.DUMMYFUNCTION("""COMPUTED_VALUE"""),182271.0)</f>
        <v>182271</v>
      </c>
      <c r="B2182" s="2">
        <f>IFERROR(__xludf.DUMMYFUNCTION("""COMPUTED_VALUE"""),1.0)</f>
        <v>1</v>
      </c>
      <c r="C2182" s="2">
        <f>IFERROR(__xludf.DUMMYFUNCTION("""COMPUTED_VALUE"""),856.0)</f>
        <v>856</v>
      </c>
      <c r="D2182" s="3">
        <f>IFERROR(__xludf.DUMMYFUNCTION("""COMPUTED_VALUE"""),554.0)</f>
        <v>554</v>
      </c>
      <c r="E2182" s="1" t="str">
        <f t="array" ref="E2182">_xlfn.XLOOKUP(A2182,Product!A:A,Product!B:B,"Bulunamadı")</f>
        <v>Tech</v>
      </c>
      <c r="F2182" s="1" t="str">
        <f t="array" ref="F2182">_xlfn.XLOOKUP(A2182,Product!A:A,Product!C:C,"Bulunamadı")</f>
        <v>Communication Skills</v>
      </c>
      <c r="G2182" s="2" t="str">
        <f t="array" ref="G2182">_xlfn.XLOOKUP(A2183,Product!A:A,Product!D:D,"Bulunamadı")</f>
        <v>Brightridge Press</v>
      </c>
      <c r="H2182" s="2">
        <f t="array" ref="H2182">_xlfn.XLOOKUP(A2184,Product!A:A,Product!E:E,"Bulunamadı")</f>
        <v>10.84</v>
      </c>
      <c r="I2182" s="2" t="str">
        <f t="shared" si="1"/>
        <v>182271 - Tech - Communication Skills</v>
      </c>
      <c r="J2182" s="2">
        <f t="shared" si="2"/>
        <v>6005.36</v>
      </c>
      <c r="K2182" s="17">
        <f t="shared" si="3"/>
        <v>1</v>
      </c>
      <c r="L2182" s="18"/>
    </row>
    <row r="2183" hidden="1">
      <c r="A2183" s="2">
        <f>IFERROR(__xludf.DUMMYFUNCTION("""COMPUTED_VALUE"""),109211.0)</f>
        <v>109211</v>
      </c>
      <c r="B2183" s="2">
        <f>IFERROR(__xludf.DUMMYFUNCTION("""COMPUTED_VALUE"""),0.0)</f>
        <v>0</v>
      </c>
      <c r="C2183" s="2">
        <f>IFERROR(__xludf.DUMMYFUNCTION("""COMPUTED_VALUE"""),359.0)</f>
        <v>359</v>
      </c>
      <c r="D2183" s="3">
        <f>IFERROR(__xludf.DUMMYFUNCTION("""COMPUTED_VALUE"""),269.0)</f>
        <v>269</v>
      </c>
      <c r="E2183" s="1" t="str">
        <f t="array" ref="E2183">_xlfn.XLOOKUP(A2183,Product!A:A,Product!B:B,"Bulunamadı")</f>
        <v>Tech</v>
      </c>
      <c r="F2183" s="1" t="str">
        <f t="array" ref="F2183">_xlfn.XLOOKUP(A2183,Product!A:A,Product!C:C,"Bulunamadı")</f>
        <v>Communication Skills</v>
      </c>
      <c r="G2183" s="2" t="str">
        <f t="array" ref="G2183">_xlfn.XLOOKUP(A2184,Product!A:A,Product!D:D,"Bulunamadı")</f>
        <v>Brightridge Press</v>
      </c>
      <c r="H2183" s="2">
        <f t="array" ref="H2183">_xlfn.XLOOKUP(A2185,Product!A:A,Product!E:E,"Bulunamadı")</f>
        <v>15.16</v>
      </c>
      <c r="I2183" s="2" t="str">
        <f t="shared" si="1"/>
        <v>109211 - Tech - Communication Skills</v>
      </c>
      <c r="J2183" s="2">
        <f t="shared" si="2"/>
        <v>4078.04</v>
      </c>
      <c r="K2183" s="17">
        <f t="shared" si="3"/>
        <v>1</v>
      </c>
      <c r="L2183" s="18"/>
    </row>
    <row r="2184" hidden="1">
      <c r="A2184" s="2">
        <f>IFERROR(__xludf.DUMMYFUNCTION("""COMPUTED_VALUE"""),192901.0)</f>
        <v>192901</v>
      </c>
      <c r="B2184" s="2">
        <f>IFERROR(__xludf.DUMMYFUNCTION("""COMPUTED_VALUE"""),1.0)</f>
        <v>1</v>
      </c>
      <c r="C2184" s="2">
        <f>IFERROR(__xludf.DUMMYFUNCTION("""COMPUTED_VALUE"""),25.0)</f>
        <v>25</v>
      </c>
      <c r="D2184" s="3">
        <f>IFERROR(__xludf.DUMMYFUNCTION("""COMPUTED_VALUE"""),7.0)</f>
        <v>7</v>
      </c>
      <c r="E2184" s="1" t="str">
        <f t="array" ref="E2184">_xlfn.XLOOKUP(A2184,Product!A:A,Product!B:B,"Bulunamadı")</f>
        <v>Tech</v>
      </c>
      <c r="F2184" s="1" t="str">
        <f t="array" ref="F2184">_xlfn.XLOOKUP(A2184,Product!A:A,Product!C:C,"Bulunamadı")</f>
        <v>Communication Skills</v>
      </c>
      <c r="G2184" s="2" t="str">
        <f t="array" ref="G2184">_xlfn.XLOOKUP(A2185,Product!A:A,Product!D:D,"Bulunamadı")</f>
        <v>Brightridge Press</v>
      </c>
      <c r="H2184" s="2">
        <f t="array" ref="H2184">_xlfn.XLOOKUP(A2186,Product!A:A,Product!E:E,"Bulunamadı")</f>
        <v>4.58</v>
      </c>
      <c r="I2184" s="2" t="str">
        <f t="shared" si="1"/>
        <v>192901 - Tech - Communication Skills</v>
      </c>
      <c r="J2184" s="2">
        <f t="shared" si="2"/>
        <v>32.06</v>
      </c>
      <c r="K2184" s="17">
        <f t="shared" si="3"/>
        <v>1</v>
      </c>
      <c r="L2184" s="18"/>
    </row>
    <row r="2185" hidden="1">
      <c r="A2185" s="2">
        <f>IFERROR(__xludf.DUMMYFUNCTION("""COMPUTED_VALUE"""),122379.0)</f>
        <v>122379</v>
      </c>
      <c r="B2185" s="2">
        <f>IFERROR(__xludf.DUMMYFUNCTION("""COMPUTED_VALUE"""),1.0)</f>
        <v>1</v>
      </c>
      <c r="C2185" s="2">
        <f>IFERROR(__xludf.DUMMYFUNCTION("""COMPUTED_VALUE"""),361.0)</f>
        <v>361</v>
      </c>
      <c r="D2185" s="3">
        <f>IFERROR(__xludf.DUMMYFUNCTION("""COMPUTED_VALUE"""),119.0)</f>
        <v>119</v>
      </c>
      <c r="E2185" s="1" t="str">
        <f t="array" ref="E2185">_xlfn.XLOOKUP(A2185,Product!A:A,Product!B:B,"Bulunamadı")</f>
        <v>Tech</v>
      </c>
      <c r="F2185" s="1" t="str">
        <f t="array" ref="F2185">_xlfn.XLOOKUP(A2185,Product!A:A,Product!C:C,"Bulunamadı")</f>
        <v>Communication Skills</v>
      </c>
      <c r="G2185" s="2" t="str">
        <f t="array" ref="G2185">_xlfn.XLOOKUP(A2186,Product!A:A,Product!D:D,"Bulunamadı")</f>
        <v>Oakridge Publishing</v>
      </c>
      <c r="H2185" s="2">
        <f t="array" ref="H2185">_xlfn.XLOOKUP(A2187,Product!A:A,Product!E:E,"Bulunamadı")</f>
        <v>1.1</v>
      </c>
      <c r="I2185" s="2" t="str">
        <f t="shared" si="1"/>
        <v>122379 - Tech - Communication Skills</v>
      </c>
      <c r="J2185" s="2">
        <f t="shared" si="2"/>
        <v>130.9</v>
      </c>
      <c r="K2185" s="17">
        <f t="shared" si="3"/>
        <v>1</v>
      </c>
      <c r="L2185" s="18"/>
    </row>
    <row r="2186" hidden="1">
      <c r="A2186" s="2">
        <f>IFERROR(__xludf.DUMMYFUNCTION("""COMPUTED_VALUE"""),109891.0)</f>
        <v>109891</v>
      </c>
      <c r="B2186" s="2">
        <f>IFERROR(__xludf.DUMMYFUNCTION("""COMPUTED_VALUE"""),0.0)</f>
        <v>0</v>
      </c>
      <c r="C2186" s="2">
        <f>IFERROR(__xludf.DUMMYFUNCTION("""COMPUTED_VALUE"""),106.0)</f>
        <v>106</v>
      </c>
      <c r="D2186" s="3">
        <f>IFERROR(__xludf.DUMMYFUNCTION("""COMPUTED_VALUE"""),7.0)</f>
        <v>7</v>
      </c>
      <c r="E2186" s="1" t="str">
        <f t="array" ref="E2186">_xlfn.XLOOKUP(A2186,Product!A:A,Product!B:B,"Bulunamadı")</f>
        <v>Tech</v>
      </c>
      <c r="F2186" s="1" t="str">
        <f t="array" ref="F2186">_xlfn.XLOOKUP(A2186,Product!A:A,Product!C:C,"Bulunamadı")</f>
        <v>Communication Skills</v>
      </c>
      <c r="G2186" s="2" t="str">
        <f t="array" ref="G2186">_xlfn.XLOOKUP(A2187,Product!A:A,Product!D:D,"Bulunamadı")</f>
        <v>Oakridge Publishing</v>
      </c>
      <c r="H2186" s="2">
        <f t="array" ref="H2186">_xlfn.XLOOKUP(A2188,Product!A:A,Product!E:E,"Bulunamadı")</f>
        <v>2.84</v>
      </c>
      <c r="I2186" s="2" t="str">
        <f t="shared" si="1"/>
        <v>109891 - Tech - Communication Skills</v>
      </c>
      <c r="J2186" s="2">
        <f t="shared" si="2"/>
        <v>19.88</v>
      </c>
      <c r="K2186" s="17">
        <f t="shared" si="3"/>
        <v>1</v>
      </c>
      <c r="L2186" s="18"/>
    </row>
    <row r="2187" hidden="1">
      <c r="A2187" s="2">
        <f>IFERROR(__xludf.DUMMYFUNCTION("""COMPUTED_VALUE"""),125688.0)</f>
        <v>125688</v>
      </c>
      <c r="B2187" s="2">
        <f>IFERROR(__xludf.DUMMYFUNCTION("""COMPUTED_VALUE"""),1.0)</f>
        <v>1</v>
      </c>
      <c r="C2187" s="2">
        <f>IFERROR(__xludf.DUMMYFUNCTION("""COMPUTED_VALUE"""),272.0)</f>
        <v>272</v>
      </c>
      <c r="D2187" s="3">
        <f>IFERROR(__xludf.DUMMYFUNCTION("""COMPUTED_VALUE"""),54.0)</f>
        <v>54</v>
      </c>
      <c r="E2187" s="1" t="str">
        <f t="array" ref="E2187">_xlfn.XLOOKUP(A2187,Product!A:A,Product!B:B,"Bulunamadı")</f>
        <v>Tech</v>
      </c>
      <c r="F2187" s="1" t="str">
        <f t="array" ref="F2187">_xlfn.XLOOKUP(A2187,Product!A:A,Product!C:C,"Bulunamadı")</f>
        <v>Communication Skills</v>
      </c>
      <c r="G2187" s="2" t="str">
        <f t="array" ref="G2187">_xlfn.XLOOKUP(A2188,Product!A:A,Product!D:D,"Bulunamadı")</f>
        <v>Riverridge Books</v>
      </c>
      <c r="H2187" s="2">
        <f t="array" ref="H2187">_xlfn.XLOOKUP(A2189,Product!A:A,Product!E:E,"Bulunamadı")</f>
        <v>6.83</v>
      </c>
      <c r="I2187" s="2" t="str">
        <f t="shared" si="1"/>
        <v>125688 - Tech - Communication Skills</v>
      </c>
      <c r="J2187" s="2">
        <f t="shared" si="2"/>
        <v>368.82</v>
      </c>
      <c r="K2187" s="17">
        <f t="shared" si="3"/>
        <v>1</v>
      </c>
      <c r="L2187" s="18"/>
    </row>
    <row r="2188" hidden="1">
      <c r="A2188" s="2">
        <f>IFERROR(__xludf.DUMMYFUNCTION("""COMPUTED_VALUE"""),68599.0)</f>
        <v>68599</v>
      </c>
      <c r="B2188" s="2">
        <f>IFERROR(__xludf.DUMMYFUNCTION("""COMPUTED_VALUE"""),1.0)</f>
        <v>1</v>
      </c>
      <c r="C2188" s="2">
        <f>IFERROR(__xludf.DUMMYFUNCTION("""COMPUTED_VALUE"""),216.0)</f>
        <v>216</v>
      </c>
      <c r="D2188" s="3">
        <f>IFERROR(__xludf.DUMMYFUNCTION("""COMPUTED_VALUE"""),207.0)</f>
        <v>207</v>
      </c>
      <c r="E2188" s="1" t="str">
        <f t="array" ref="E2188">_xlfn.XLOOKUP(A2188,Product!A:A,Product!B:B,"Bulunamadı")</f>
        <v>Tech</v>
      </c>
      <c r="F2188" s="1" t="str">
        <f t="array" ref="F2188">_xlfn.XLOOKUP(A2188,Product!A:A,Product!C:C,"Bulunamadı")</f>
        <v>Communication Skills</v>
      </c>
      <c r="G2188" s="2" t="str">
        <f t="array" ref="G2188">_xlfn.XLOOKUP(A2189,Product!A:A,Product!D:D,"Bulunamadı")</f>
        <v>Riverridge Books</v>
      </c>
      <c r="H2188" s="2">
        <f t="array" ref="H2188">_xlfn.XLOOKUP(A2190,Product!A:A,Product!E:E,"Bulunamadı")</f>
        <v>9.47</v>
      </c>
      <c r="I2188" s="2" t="str">
        <f t="shared" si="1"/>
        <v>68599 - Tech - Communication Skills</v>
      </c>
      <c r="J2188" s="2">
        <f t="shared" si="2"/>
        <v>1960.29</v>
      </c>
      <c r="K2188" s="17">
        <f t="shared" si="3"/>
        <v>1</v>
      </c>
      <c r="L2188" s="18"/>
    </row>
    <row r="2189" hidden="1">
      <c r="A2189" s="2">
        <f>IFERROR(__xludf.DUMMYFUNCTION("""COMPUTED_VALUE"""),104841.0)</f>
        <v>104841</v>
      </c>
      <c r="B2189" s="2">
        <f>IFERROR(__xludf.DUMMYFUNCTION("""COMPUTED_VALUE"""),0.0)</f>
        <v>0</v>
      </c>
      <c r="C2189" s="2">
        <f>IFERROR(__xludf.DUMMYFUNCTION("""COMPUTED_VALUE"""),956.0)</f>
        <v>956</v>
      </c>
      <c r="D2189" s="3">
        <f>IFERROR(__xludf.DUMMYFUNCTION("""COMPUTED_VALUE"""),640.0)</f>
        <v>640</v>
      </c>
      <c r="E2189" s="1" t="str">
        <f t="array" ref="E2189">_xlfn.XLOOKUP(A2189,Product!A:A,Product!B:B,"Bulunamadı")</f>
        <v>Tech</v>
      </c>
      <c r="F2189" s="1" t="str">
        <f t="array" ref="F2189">_xlfn.XLOOKUP(A2189,Product!A:A,Product!C:C,"Bulunamadı")</f>
        <v>Communication Skills</v>
      </c>
      <c r="G2189" s="2" t="str">
        <f t="array" ref="G2189">_xlfn.XLOOKUP(A2190,Product!A:A,Product!D:D,"Bulunamadı")</f>
        <v>Riverridge Books</v>
      </c>
      <c r="H2189" s="2">
        <f t="array" ref="H2189">_xlfn.XLOOKUP(A2191,Product!A:A,Product!E:E,"Bulunamadı")</f>
        <v>3.1</v>
      </c>
      <c r="I2189" s="2" t="str">
        <f t="shared" si="1"/>
        <v>104841 - Tech - Communication Skills</v>
      </c>
      <c r="J2189" s="2">
        <f t="shared" si="2"/>
        <v>1984</v>
      </c>
      <c r="K2189" s="17">
        <f t="shared" si="3"/>
        <v>1</v>
      </c>
      <c r="L2189" s="18"/>
    </row>
    <row r="2190" hidden="1">
      <c r="A2190" s="2">
        <f>IFERROR(__xludf.DUMMYFUNCTION("""COMPUTED_VALUE"""),20243.0)</f>
        <v>20243</v>
      </c>
      <c r="B2190" s="2">
        <f>IFERROR(__xludf.DUMMYFUNCTION("""COMPUTED_VALUE"""),0.0)</f>
        <v>0</v>
      </c>
      <c r="C2190" s="2">
        <f>IFERROR(__xludf.DUMMYFUNCTION("""COMPUTED_VALUE"""),951.0)</f>
        <v>951</v>
      </c>
      <c r="D2190" s="3">
        <f>IFERROR(__xludf.DUMMYFUNCTION("""COMPUTED_VALUE"""),516.0)</f>
        <v>516</v>
      </c>
      <c r="E2190" s="1" t="str">
        <f t="array" ref="E2190">_xlfn.XLOOKUP(A2190,Product!A:A,Product!B:B,"Bulunamadı")</f>
        <v>Tech</v>
      </c>
      <c r="F2190" s="1" t="str">
        <f t="array" ref="F2190">_xlfn.XLOOKUP(A2190,Product!A:A,Product!C:C,"Bulunamadı")</f>
        <v>Communication Skills</v>
      </c>
      <c r="G2190" s="2" t="str">
        <f t="array" ref="G2190">_xlfn.XLOOKUP(A2191,Product!A:A,Product!D:D,"Bulunamadı")</f>
        <v>Ironridge Press</v>
      </c>
      <c r="H2190" s="2">
        <f t="array" ref="H2190">_xlfn.XLOOKUP(A2192,Product!A:A,Product!E:E,"Bulunamadı")</f>
        <v>3.72</v>
      </c>
      <c r="I2190" s="2" t="str">
        <f t="shared" si="1"/>
        <v>20243 - Tech - Communication Skills</v>
      </c>
      <c r="J2190" s="2">
        <f t="shared" si="2"/>
        <v>1919.52</v>
      </c>
      <c r="K2190" s="17">
        <f t="shared" si="3"/>
        <v>1</v>
      </c>
      <c r="L2190" s="18"/>
    </row>
    <row r="2191" hidden="1">
      <c r="A2191" s="2">
        <f>IFERROR(__xludf.DUMMYFUNCTION("""COMPUTED_VALUE"""),10332.0)</f>
        <v>10332</v>
      </c>
      <c r="B2191" s="2">
        <f>IFERROR(__xludf.DUMMYFUNCTION("""COMPUTED_VALUE"""),0.0)</f>
        <v>0</v>
      </c>
      <c r="C2191" s="2">
        <f>IFERROR(__xludf.DUMMYFUNCTION("""COMPUTED_VALUE"""),954.0)</f>
        <v>954</v>
      </c>
      <c r="D2191" s="3">
        <f>IFERROR(__xludf.DUMMYFUNCTION("""COMPUTED_VALUE"""),936.0)</f>
        <v>936</v>
      </c>
      <c r="E2191" s="1" t="str">
        <f t="array" ref="E2191">_xlfn.XLOOKUP(A2191,Product!A:A,Product!B:B,"Bulunamadı")</f>
        <v>Tech</v>
      </c>
      <c r="F2191" s="1" t="str">
        <f t="array" ref="F2191">_xlfn.XLOOKUP(A2191,Product!A:A,Product!C:C,"Bulunamadı")</f>
        <v>Communication Skills</v>
      </c>
      <c r="G2191" s="2" t="str">
        <f t="array" ref="G2191">_xlfn.XLOOKUP(A2192,Product!A:A,Product!D:D,"Bulunamadı")</f>
        <v>Ironridge Press</v>
      </c>
      <c r="H2191" s="2">
        <f t="array" ref="H2191">_xlfn.XLOOKUP(A2193,Product!A:A,Product!E:E,"Bulunamadı")</f>
        <v>3.5</v>
      </c>
      <c r="I2191" s="2" t="str">
        <f t="shared" si="1"/>
        <v>10332 - Tech - Communication Skills</v>
      </c>
      <c r="J2191" s="2">
        <f t="shared" si="2"/>
        <v>3276</v>
      </c>
      <c r="K2191" s="17">
        <f t="shared" si="3"/>
        <v>1</v>
      </c>
      <c r="L2191" s="18"/>
    </row>
    <row r="2192" hidden="1">
      <c r="A2192" s="2">
        <f>IFERROR(__xludf.DUMMYFUNCTION("""COMPUTED_VALUE"""),7361.0)</f>
        <v>7361</v>
      </c>
      <c r="B2192" s="2">
        <f>IFERROR(__xludf.DUMMYFUNCTION("""COMPUTED_VALUE"""),1.0)</f>
        <v>1</v>
      </c>
      <c r="C2192" s="2">
        <f>IFERROR(__xludf.DUMMYFUNCTION("""COMPUTED_VALUE"""),102.0)</f>
        <v>102</v>
      </c>
      <c r="D2192" s="3">
        <f>IFERROR(__xludf.DUMMYFUNCTION("""COMPUTED_VALUE"""),100.0)</f>
        <v>100</v>
      </c>
      <c r="E2192" s="1" t="str">
        <f t="array" ref="E2192">_xlfn.XLOOKUP(A2192,Product!A:A,Product!B:B,"Bulunamadı")</f>
        <v>Tech</v>
      </c>
      <c r="F2192" s="1" t="str">
        <f t="array" ref="F2192">_xlfn.XLOOKUP(A2192,Product!A:A,Product!C:C,"Bulunamadı")</f>
        <v>Communication Skills</v>
      </c>
      <c r="G2192" s="2" t="str">
        <f t="array" ref="G2192">_xlfn.XLOOKUP(A2193,Product!A:A,Product!D:D,"Bulunamadı")</f>
        <v>Ironridge Press</v>
      </c>
      <c r="H2192" s="2">
        <f t="array" ref="H2192">_xlfn.XLOOKUP(A2194,Product!A:A,Product!E:E,"Bulunamadı")</f>
        <v>7.96</v>
      </c>
      <c r="I2192" s="2" t="str">
        <f t="shared" si="1"/>
        <v>7361 - Tech - Communication Skills</v>
      </c>
      <c r="J2192" s="2">
        <f t="shared" si="2"/>
        <v>796</v>
      </c>
      <c r="K2192" s="17">
        <f t="shared" si="3"/>
        <v>1</v>
      </c>
      <c r="L2192" s="18"/>
    </row>
    <row r="2193" hidden="1">
      <c r="A2193" s="2">
        <f>IFERROR(__xludf.DUMMYFUNCTION("""COMPUTED_VALUE"""),21320.0)</f>
        <v>21320</v>
      </c>
      <c r="B2193" s="2">
        <f>IFERROR(__xludf.DUMMYFUNCTION("""COMPUTED_VALUE"""),1.0)</f>
        <v>1</v>
      </c>
      <c r="C2193" s="2">
        <f>IFERROR(__xludf.DUMMYFUNCTION("""COMPUTED_VALUE"""),461.0)</f>
        <v>461</v>
      </c>
      <c r="D2193" s="3">
        <f>IFERROR(__xludf.DUMMYFUNCTION("""COMPUTED_VALUE"""),204.0)</f>
        <v>204</v>
      </c>
      <c r="E2193" s="1" t="str">
        <f t="array" ref="E2193">_xlfn.XLOOKUP(A2193,Product!A:A,Product!B:B,"Bulunamadı")</f>
        <v>Tech</v>
      </c>
      <c r="F2193" s="1" t="str">
        <f t="array" ref="F2193">_xlfn.XLOOKUP(A2193,Product!A:A,Product!C:C,"Bulunamadı")</f>
        <v>Communication Skills</v>
      </c>
      <c r="G2193" s="2" t="str">
        <f t="array" ref="G2193">_xlfn.XLOOKUP(A2194,Product!A:A,Product!D:D,"Bulunamadı")</f>
        <v>Ironridge Press</v>
      </c>
      <c r="H2193" s="2">
        <f t="array" ref="H2193">_xlfn.XLOOKUP(A2195,Product!A:A,Product!E:E,"Bulunamadı")</f>
        <v>8.66</v>
      </c>
      <c r="I2193" s="2" t="str">
        <f t="shared" si="1"/>
        <v>21320 - Tech - Communication Skills</v>
      </c>
      <c r="J2193" s="2">
        <f t="shared" si="2"/>
        <v>1766.64</v>
      </c>
      <c r="K2193" s="17">
        <f t="shared" si="3"/>
        <v>1</v>
      </c>
      <c r="L2193" s="18"/>
    </row>
    <row r="2194" hidden="1">
      <c r="A2194" s="2">
        <f>IFERROR(__xludf.DUMMYFUNCTION("""COMPUTED_VALUE"""),7365.0)</f>
        <v>7365</v>
      </c>
      <c r="B2194" s="2">
        <f>IFERROR(__xludf.DUMMYFUNCTION("""COMPUTED_VALUE"""),0.0)</f>
        <v>0</v>
      </c>
      <c r="C2194" s="2">
        <f>IFERROR(__xludf.DUMMYFUNCTION("""COMPUTED_VALUE"""),719.0)</f>
        <v>719</v>
      </c>
      <c r="D2194" s="3">
        <f>IFERROR(__xludf.DUMMYFUNCTION("""COMPUTED_VALUE"""),661.0)</f>
        <v>661</v>
      </c>
      <c r="E2194" s="1" t="str">
        <f t="array" ref="E2194">_xlfn.XLOOKUP(A2194,Product!A:A,Product!B:B,"Bulunamadı")</f>
        <v>Tech</v>
      </c>
      <c r="F2194" s="1" t="str">
        <f t="array" ref="F2194">_xlfn.XLOOKUP(A2194,Product!A:A,Product!C:C,"Bulunamadı")</f>
        <v>Communication Skills</v>
      </c>
      <c r="G2194" s="2" t="str">
        <f t="array" ref="G2194">_xlfn.XLOOKUP(A2195,Product!A:A,Product!D:D,"Bulunamadı")</f>
        <v>Ironridge Press</v>
      </c>
      <c r="H2194" s="2">
        <f t="array" ref="H2194">_xlfn.XLOOKUP(A2196,Product!A:A,Product!E:E,"Bulunamadı")</f>
        <v>6.12</v>
      </c>
      <c r="I2194" s="2" t="str">
        <f t="shared" si="1"/>
        <v>7365 - Tech - Communication Skills</v>
      </c>
      <c r="J2194" s="2">
        <f t="shared" si="2"/>
        <v>4045.32</v>
      </c>
      <c r="K2194" s="17">
        <f t="shared" si="3"/>
        <v>1</v>
      </c>
      <c r="L2194" s="18"/>
    </row>
    <row r="2195" hidden="1">
      <c r="A2195" s="2">
        <f>IFERROR(__xludf.DUMMYFUNCTION("""COMPUTED_VALUE"""),7364.0)</f>
        <v>7364</v>
      </c>
      <c r="B2195" s="2">
        <f>IFERROR(__xludf.DUMMYFUNCTION("""COMPUTED_VALUE"""),0.0)</f>
        <v>0</v>
      </c>
      <c r="C2195" s="2">
        <f>IFERROR(__xludf.DUMMYFUNCTION("""COMPUTED_VALUE"""),699.0)</f>
        <v>699</v>
      </c>
      <c r="D2195" s="3">
        <f>IFERROR(__xludf.DUMMYFUNCTION("""COMPUTED_VALUE"""),282.0)</f>
        <v>282</v>
      </c>
      <c r="E2195" s="1" t="str">
        <f t="array" ref="E2195">_xlfn.XLOOKUP(A2195,Product!A:A,Product!B:B,"Bulunamadı")</f>
        <v>Tech</v>
      </c>
      <c r="F2195" s="1" t="str">
        <f t="array" ref="F2195">_xlfn.XLOOKUP(A2195,Product!A:A,Product!C:C,"Bulunamadı")</f>
        <v>Communication Skills</v>
      </c>
      <c r="G2195" s="2" t="str">
        <f t="array" ref="G2195">_xlfn.XLOOKUP(A2196,Product!A:A,Product!D:D,"Bulunamadı")</f>
        <v>Ironridge Press</v>
      </c>
      <c r="H2195" s="2">
        <f t="array" ref="H2195">_xlfn.XLOOKUP(A2197,Product!A:A,Product!E:E,"Bulunamadı")</f>
        <v>3.05</v>
      </c>
      <c r="I2195" s="2" t="str">
        <f t="shared" si="1"/>
        <v>7364 - Tech - Communication Skills</v>
      </c>
      <c r="J2195" s="2">
        <f t="shared" si="2"/>
        <v>860.1</v>
      </c>
      <c r="K2195" s="17">
        <f t="shared" si="3"/>
        <v>1</v>
      </c>
      <c r="L2195" s="18"/>
    </row>
    <row r="2196" hidden="1">
      <c r="A2196" s="2">
        <f>IFERROR(__xludf.DUMMYFUNCTION("""COMPUTED_VALUE"""),7362.0)</f>
        <v>7362</v>
      </c>
      <c r="B2196" s="2">
        <f>IFERROR(__xludf.DUMMYFUNCTION("""COMPUTED_VALUE"""),0.0)</f>
        <v>0</v>
      </c>
      <c r="C2196" s="2">
        <f>IFERROR(__xludf.DUMMYFUNCTION("""COMPUTED_VALUE"""),826.0)</f>
        <v>826</v>
      </c>
      <c r="D2196" s="3">
        <f>IFERROR(__xludf.DUMMYFUNCTION("""COMPUTED_VALUE"""),764.0)</f>
        <v>764</v>
      </c>
      <c r="E2196" s="1" t="str">
        <f t="array" ref="E2196">_xlfn.XLOOKUP(A2196,Product!A:A,Product!B:B,"Bulunamadı")</f>
        <v>Tech</v>
      </c>
      <c r="F2196" s="1" t="str">
        <f t="array" ref="F2196">_xlfn.XLOOKUP(A2196,Product!A:A,Product!C:C,"Bulunamadı")</f>
        <v>Communication Skills</v>
      </c>
      <c r="G2196" s="2" t="str">
        <f t="array" ref="G2196">_xlfn.XLOOKUP(A2197,Product!A:A,Product!D:D,"Bulunamadı")</f>
        <v/>
      </c>
      <c r="H2196" s="2">
        <f t="array" ref="H2196">_xlfn.XLOOKUP(A2198,Product!A:A,Product!E:E,"Bulunamadı")</f>
        <v>4.13</v>
      </c>
      <c r="I2196" s="2" t="str">
        <f t="shared" si="1"/>
        <v>7362 - Tech - Communication Skills</v>
      </c>
      <c r="J2196" s="2">
        <f t="shared" si="2"/>
        <v>3155.32</v>
      </c>
      <c r="K2196" s="17">
        <f t="shared" si="3"/>
        <v>1</v>
      </c>
      <c r="L2196" s="18"/>
    </row>
    <row r="2197" hidden="1">
      <c r="A2197" s="2">
        <f>IFERROR(__xludf.DUMMYFUNCTION("""COMPUTED_VALUE"""),117237.0)</f>
        <v>117237</v>
      </c>
      <c r="B2197" s="2">
        <f>IFERROR(__xludf.DUMMYFUNCTION("""COMPUTED_VALUE"""),0.0)</f>
        <v>0</v>
      </c>
      <c r="C2197" s="2">
        <f>IFERROR(__xludf.DUMMYFUNCTION("""COMPUTED_VALUE"""),236.0)</f>
        <v>236</v>
      </c>
      <c r="D2197" s="3">
        <f>IFERROR(__xludf.DUMMYFUNCTION("""COMPUTED_VALUE"""),118.0)</f>
        <v>118</v>
      </c>
      <c r="E2197" s="1" t="str">
        <f t="array" ref="E2197">_xlfn.XLOOKUP(A2197,Product!A:A,Product!B:B,"Bulunamadı")</f>
        <v>History</v>
      </c>
      <c r="F2197" s="1" t="str">
        <f t="array" ref="F2197">_xlfn.XLOOKUP(A2197,Product!A:A,Product!C:C,"Bulunamadı")</f>
        <v>Leadership</v>
      </c>
      <c r="G2197" s="2" t="str">
        <f t="array" ref="G2197">_xlfn.XLOOKUP(A2198,Product!A:A,Product!D:D,"Bulunamadı")</f>
        <v/>
      </c>
      <c r="H2197" s="2">
        <f t="array" ref="H2197">_xlfn.XLOOKUP(A2199,Product!A:A,Product!E:E,"Bulunamadı")</f>
        <v>3.77</v>
      </c>
      <c r="I2197" s="2" t="str">
        <f t="shared" si="1"/>
        <v>117237 - History - Leadership</v>
      </c>
      <c r="J2197" s="2">
        <f t="shared" si="2"/>
        <v>444.86</v>
      </c>
      <c r="K2197" s="17">
        <f t="shared" si="3"/>
        <v>1</v>
      </c>
      <c r="L2197" s="18"/>
    </row>
    <row r="2198" hidden="1">
      <c r="A2198" s="2">
        <f>IFERROR(__xludf.DUMMYFUNCTION("""COMPUTED_VALUE"""),19784.0)</f>
        <v>19784</v>
      </c>
      <c r="B2198" s="2">
        <f>IFERROR(__xludf.DUMMYFUNCTION("""COMPUTED_VALUE"""),0.0)</f>
        <v>0</v>
      </c>
      <c r="C2198" s="2">
        <f>IFERROR(__xludf.DUMMYFUNCTION("""COMPUTED_VALUE"""),886.0)</f>
        <v>886</v>
      </c>
      <c r="D2198" s="3">
        <f>IFERROR(__xludf.DUMMYFUNCTION("""COMPUTED_VALUE"""),766.0)</f>
        <v>766</v>
      </c>
      <c r="E2198" s="1" t="str">
        <f t="array" ref="E2198">_xlfn.XLOOKUP(A2198,Product!A:A,Product!B:B,"Bulunamadı")</f>
        <v>History</v>
      </c>
      <c r="F2198" s="1" t="str">
        <f t="array" ref="F2198">_xlfn.XLOOKUP(A2198,Product!A:A,Product!C:C,"Bulunamadı")</f>
        <v>Leadership</v>
      </c>
      <c r="G2198" s="2" t="str">
        <f t="array" ref="G2198">_xlfn.XLOOKUP(A2199,Product!A:A,Product!D:D,"Bulunamadı")</f>
        <v/>
      </c>
      <c r="H2198" s="2">
        <f t="array" ref="H2198">_xlfn.XLOOKUP(A2200,Product!A:A,Product!E:E,"Bulunamadı")</f>
        <v>42.45</v>
      </c>
      <c r="I2198" s="2" t="str">
        <f t="shared" si="1"/>
        <v>19784 - History - Leadership</v>
      </c>
      <c r="J2198" s="2">
        <f t="shared" si="2"/>
        <v>32516.7</v>
      </c>
      <c r="K2198" s="17">
        <f t="shared" si="3"/>
        <v>1</v>
      </c>
      <c r="L2198" s="18"/>
    </row>
    <row r="2199" hidden="1">
      <c r="A2199" s="2">
        <f>IFERROR(__xludf.DUMMYFUNCTION("""COMPUTED_VALUE"""),9329.0)</f>
        <v>9329</v>
      </c>
      <c r="B2199" s="2">
        <f>IFERROR(__xludf.DUMMYFUNCTION("""COMPUTED_VALUE"""),1.0)</f>
        <v>1</v>
      </c>
      <c r="C2199" s="2">
        <f>IFERROR(__xludf.DUMMYFUNCTION("""COMPUTED_VALUE"""),270.0)</f>
        <v>270</v>
      </c>
      <c r="D2199" s="3">
        <f>IFERROR(__xludf.DUMMYFUNCTION("""COMPUTED_VALUE"""),145.0)</f>
        <v>145</v>
      </c>
      <c r="E2199" s="1" t="str">
        <f t="array" ref="E2199">_xlfn.XLOOKUP(A2199,Product!A:A,Product!B:B,"Bulunamadı")</f>
        <v>History</v>
      </c>
      <c r="F2199" s="1" t="str">
        <f t="array" ref="F2199">_xlfn.XLOOKUP(A2199,Product!A:A,Product!C:C,"Bulunamadı")</f>
        <v>Leadership</v>
      </c>
      <c r="G2199" s="2" t="str">
        <f t="array" ref="G2199">_xlfn.XLOOKUP(A2200,Product!A:A,Product!D:D,"Bulunamadı")</f>
        <v>Silverpeak Publishing</v>
      </c>
      <c r="H2199" s="2">
        <f t="array" ref="H2199">_xlfn.XLOOKUP(A2201,Product!A:A,Product!E:E,"Bulunamadı")</f>
        <v>2.83</v>
      </c>
      <c r="I2199" s="2" t="str">
        <f t="shared" si="1"/>
        <v>9329 - History - Leadership</v>
      </c>
      <c r="J2199" s="2">
        <f t="shared" si="2"/>
        <v>410.35</v>
      </c>
      <c r="K2199" s="17">
        <f t="shared" si="3"/>
        <v>1</v>
      </c>
      <c r="L2199" s="18"/>
    </row>
    <row r="2200" hidden="1">
      <c r="A2200" s="2">
        <f>IFERROR(__xludf.DUMMYFUNCTION("""COMPUTED_VALUE"""),10859.0)</f>
        <v>10859</v>
      </c>
      <c r="B2200" s="2">
        <f>IFERROR(__xludf.DUMMYFUNCTION("""COMPUTED_VALUE"""),1.0)</f>
        <v>1</v>
      </c>
      <c r="C2200" s="2">
        <f>IFERROR(__xludf.DUMMYFUNCTION("""COMPUTED_VALUE"""),977.0)</f>
        <v>977</v>
      </c>
      <c r="D2200" s="3">
        <f>IFERROR(__xludf.DUMMYFUNCTION("""COMPUTED_VALUE"""),151.0)</f>
        <v>151</v>
      </c>
      <c r="E2200" s="1" t="str">
        <f t="array" ref="E2200">_xlfn.XLOOKUP(A2200,Product!A:A,Product!B:B,"Bulunamadı")</f>
        <v>Fiction</v>
      </c>
      <c r="F2200" s="1" t="str">
        <f t="array" ref="F2200">_xlfn.XLOOKUP(A2200,Product!A:A,Product!C:C,"Bulunamadı")</f>
        <v>Decision Making</v>
      </c>
      <c r="G2200" s="2" t="str">
        <f t="array" ref="G2200">_xlfn.XLOOKUP(A2201,Product!A:A,Product!D:D,"Bulunamadı")</f>
        <v>Northpeak Books</v>
      </c>
      <c r="H2200" s="2">
        <f t="array" ref="H2200">_xlfn.XLOOKUP(A2202,Product!A:A,Product!E:E,"Bulunamadı")</f>
        <v>2.97</v>
      </c>
      <c r="I2200" s="2" t="str">
        <f t="shared" si="1"/>
        <v>10859 - Fiction - Decision Making</v>
      </c>
      <c r="J2200" s="2">
        <f t="shared" si="2"/>
        <v>448.47</v>
      </c>
      <c r="K2200" s="17">
        <f t="shared" si="3"/>
        <v>1</v>
      </c>
      <c r="L2200" s="18"/>
    </row>
    <row r="2201" hidden="1">
      <c r="A2201" s="2">
        <f>IFERROR(__xludf.DUMMYFUNCTION("""COMPUTED_VALUE"""),118329.0)</f>
        <v>118329</v>
      </c>
      <c r="B2201" s="2">
        <f>IFERROR(__xludf.DUMMYFUNCTION("""COMPUTED_VALUE"""),0.0)</f>
        <v>0</v>
      </c>
      <c r="C2201" s="2">
        <f>IFERROR(__xludf.DUMMYFUNCTION("""COMPUTED_VALUE"""),706.0)</f>
        <v>706</v>
      </c>
      <c r="D2201" s="3">
        <f>IFERROR(__xludf.DUMMYFUNCTION("""COMPUTED_VALUE"""),91.0)</f>
        <v>91</v>
      </c>
      <c r="E2201" s="1" t="str">
        <f t="array" ref="E2201">_xlfn.XLOOKUP(A2201,Product!A:A,Product!B:B,"Bulunamadı")</f>
        <v>Fiction</v>
      </c>
      <c r="F2201" s="1" t="str">
        <f t="array" ref="F2201">_xlfn.XLOOKUP(A2201,Product!A:A,Product!C:C,"Bulunamadı")</f>
        <v>Decision Making</v>
      </c>
      <c r="G2201" s="2" t="str">
        <f t="array" ref="G2201">_xlfn.XLOOKUP(A2202,Product!A:A,Product!D:D,"Bulunamadı")</f>
        <v>Northpeak Books</v>
      </c>
      <c r="H2201" s="2">
        <f t="array" ref="H2201">_xlfn.XLOOKUP(A2203,Product!A:A,Product!E:E,"Bulunamadı")</f>
        <v>11.52</v>
      </c>
      <c r="I2201" s="2" t="str">
        <f t="shared" si="1"/>
        <v>118329 - Fiction - Decision Making</v>
      </c>
      <c r="J2201" s="2">
        <f t="shared" si="2"/>
        <v>1048.32</v>
      </c>
      <c r="K2201" s="17">
        <f t="shared" si="3"/>
        <v>1</v>
      </c>
      <c r="L2201" s="18"/>
    </row>
    <row r="2202" hidden="1">
      <c r="A2202" s="2">
        <f>IFERROR(__xludf.DUMMYFUNCTION("""COMPUTED_VALUE"""),105169.0)</f>
        <v>105169</v>
      </c>
      <c r="B2202" s="2">
        <f>IFERROR(__xludf.DUMMYFUNCTION("""COMPUTED_VALUE"""),1.0)</f>
        <v>1</v>
      </c>
      <c r="C2202" s="2">
        <f>IFERROR(__xludf.DUMMYFUNCTION("""COMPUTED_VALUE"""),682.0)</f>
        <v>682</v>
      </c>
      <c r="D2202" s="3">
        <f>IFERROR(__xludf.DUMMYFUNCTION("""COMPUTED_VALUE"""),214.0)</f>
        <v>214</v>
      </c>
      <c r="E2202" s="1" t="str">
        <f t="array" ref="E2202">_xlfn.XLOOKUP(A2202,Product!A:A,Product!B:B,"Bulunamadı")</f>
        <v>Fiction</v>
      </c>
      <c r="F2202" s="1" t="str">
        <f t="array" ref="F2202">_xlfn.XLOOKUP(A2202,Product!A:A,Product!C:C,"Bulunamadı")</f>
        <v>Decision Making</v>
      </c>
      <c r="G2202" s="2" t="str">
        <f t="array" ref="G2202">_xlfn.XLOOKUP(A2203,Product!A:A,Product!D:D,"Bulunamadı")</f>
        <v>Northpeak Books</v>
      </c>
      <c r="H2202" s="2">
        <f t="array" ref="H2202">_xlfn.XLOOKUP(A2204,Product!A:A,Product!E:E,"Bulunamadı")</f>
        <v>1.28</v>
      </c>
      <c r="I2202" s="2" t="str">
        <f t="shared" si="1"/>
        <v>105169 - Fiction - Decision Making</v>
      </c>
      <c r="J2202" s="2">
        <f t="shared" si="2"/>
        <v>273.92</v>
      </c>
      <c r="K2202" s="17">
        <f t="shared" si="3"/>
        <v>1</v>
      </c>
      <c r="L2202" s="18"/>
    </row>
    <row r="2203" hidden="1">
      <c r="A2203" s="2">
        <f>IFERROR(__xludf.DUMMYFUNCTION("""COMPUTED_VALUE"""),90567.0)</f>
        <v>90567</v>
      </c>
      <c r="B2203" s="2">
        <f>IFERROR(__xludf.DUMMYFUNCTION("""COMPUTED_VALUE"""),1.0)</f>
        <v>1</v>
      </c>
      <c r="C2203" s="2">
        <f>IFERROR(__xludf.DUMMYFUNCTION("""COMPUTED_VALUE"""),575.0)</f>
        <v>575</v>
      </c>
      <c r="D2203" s="3">
        <f>IFERROR(__xludf.DUMMYFUNCTION("""COMPUTED_VALUE"""),356.0)</f>
        <v>356</v>
      </c>
      <c r="E2203" s="1" t="str">
        <f t="array" ref="E2203">_xlfn.XLOOKUP(A2203,Product!A:A,Product!B:B,"Bulunamadı")</f>
        <v>Fiction</v>
      </c>
      <c r="F2203" s="1" t="str">
        <f t="array" ref="F2203">_xlfn.XLOOKUP(A2203,Product!A:A,Product!C:C,"Bulunamadı")</f>
        <v>Decision Making</v>
      </c>
      <c r="G2203" s="2" t="str">
        <f t="array" ref="G2203">_xlfn.XLOOKUP(A2204,Product!A:A,Product!D:D,"Bulunamadı")</f>
        <v>Harborpeak Press</v>
      </c>
      <c r="H2203" s="2">
        <f t="array" ref="H2203">_xlfn.XLOOKUP(A2205,Product!A:A,Product!E:E,"Bulunamadı")</f>
        <v>2.44</v>
      </c>
      <c r="I2203" s="2" t="str">
        <f t="shared" si="1"/>
        <v>90567 - Fiction - Decision Making</v>
      </c>
      <c r="J2203" s="2">
        <f t="shared" si="2"/>
        <v>868.64</v>
      </c>
      <c r="K2203" s="17">
        <f t="shared" si="3"/>
        <v>1</v>
      </c>
      <c r="L2203" s="18"/>
    </row>
    <row r="2204" hidden="1">
      <c r="A2204" s="2">
        <f>IFERROR(__xludf.DUMMYFUNCTION("""COMPUTED_VALUE"""),46672.0)</f>
        <v>46672</v>
      </c>
      <c r="B2204" s="2">
        <f>IFERROR(__xludf.DUMMYFUNCTION("""COMPUTED_VALUE"""),0.0)</f>
        <v>0</v>
      </c>
      <c r="C2204" s="2">
        <f>IFERROR(__xludf.DUMMYFUNCTION("""COMPUTED_VALUE"""),79.0)</f>
        <v>79</v>
      </c>
      <c r="D2204" s="3">
        <f>IFERROR(__xludf.DUMMYFUNCTION("""COMPUTED_VALUE"""),11.0)</f>
        <v>11</v>
      </c>
      <c r="E2204" s="1" t="str">
        <f t="array" ref="E2204">_xlfn.XLOOKUP(A2204,Product!A:A,Product!B:B,"Bulunamadı")</f>
        <v>Fiction</v>
      </c>
      <c r="F2204" s="1" t="str">
        <f t="array" ref="F2204">_xlfn.XLOOKUP(A2204,Product!A:A,Product!C:C,"Bulunamadı")</f>
        <v>Decision Making</v>
      </c>
      <c r="G2204" s="2" t="str">
        <f t="array" ref="G2204">_xlfn.XLOOKUP(A2205,Product!A:A,Product!D:D,"Bulunamadı")</f>
        <v>Cedarpeak Publishing</v>
      </c>
      <c r="H2204" s="2">
        <f t="array" ref="H2204">_xlfn.XLOOKUP(A2206,Product!A:A,Product!E:E,"Bulunamadı")</f>
        <v>2.84</v>
      </c>
      <c r="I2204" s="2" t="str">
        <f t="shared" si="1"/>
        <v>46672 - Fiction - Decision Making</v>
      </c>
      <c r="J2204" s="2">
        <f t="shared" si="2"/>
        <v>31.24</v>
      </c>
      <c r="K2204" s="17">
        <f t="shared" si="3"/>
        <v>1</v>
      </c>
      <c r="L2204" s="18"/>
    </row>
    <row r="2205" hidden="1">
      <c r="A2205" s="2">
        <f>IFERROR(__xludf.DUMMYFUNCTION("""COMPUTED_VALUE"""),118229.0)</f>
        <v>118229</v>
      </c>
      <c r="B2205" s="2">
        <f>IFERROR(__xludf.DUMMYFUNCTION("""COMPUTED_VALUE"""),1.0)</f>
        <v>1</v>
      </c>
      <c r="C2205" s="2">
        <f>IFERROR(__xludf.DUMMYFUNCTION("""COMPUTED_VALUE"""),658.0)</f>
        <v>658</v>
      </c>
      <c r="D2205" s="3">
        <f>IFERROR(__xludf.DUMMYFUNCTION("""COMPUTED_VALUE"""),60.0)</f>
        <v>60</v>
      </c>
      <c r="E2205" s="1" t="str">
        <f t="array" ref="E2205">_xlfn.XLOOKUP(A2205,Product!A:A,Product!B:B,"Bulunamadı")</f>
        <v>Fiction</v>
      </c>
      <c r="F2205" s="1" t="str">
        <f t="array" ref="F2205">_xlfn.XLOOKUP(A2205,Product!A:A,Product!C:C,"Bulunamadı")</f>
        <v>Decision Making</v>
      </c>
      <c r="G2205" s="2" t="str">
        <f t="array" ref="G2205">_xlfn.XLOOKUP(A2206,Product!A:A,Product!D:D,"Bulunamadı")</f>
        <v>Cedarpeak Publishing</v>
      </c>
      <c r="H2205" s="2">
        <f t="array" ref="H2205">_xlfn.XLOOKUP(A2207,Product!A:A,Product!E:E,"Bulunamadı")</f>
        <v>3.02</v>
      </c>
      <c r="I2205" s="2" t="str">
        <f t="shared" si="1"/>
        <v>118229 - Fiction - Decision Making</v>
      </c>
      <c r="J2205" s="2">
        <f t="shared" si="2"/>
        <v>181.2</v>
      </c>
      <c r="K2205" s="17">
        <f t="shared" si="3"/>
        <v>1</v>
      </c>
      <c r="L2205" s="18"/>
    </row>
    <row r="2206" hidden="1">
      <c r="A2206" s="2">
        <f>IFERROR(__xludf.DUMMYFUNCTION("""COMPUTED_VALUE"""),193230.0)</f>
        <v>193230</v>
      </c>
      <c r="B2206" s="2">
        <f>IFERROR(__xludf.DUMMYFUNCTION("""COMPUTED_VALUE"""),1.0)</f>
        <v>1</v>
      </c>
      <c r="C2206" s="2">
        <f>IFERROR(__xludf.DUMMYFUNCTION("""COMPUTED_VALUE"""),696.0)</f>
        <v>696</v>
      </c>
      <c r="D2206" s="3">
        <f>IFERROR(__xludf.DUMMYFUNCTION("""COMPUTED_VALUE"""),165.0)</f>
        <v>165</v>
      </c>
      <c r="E2206" s="1" t="str">
        <f t="array" ref="E2206">_xlfn.XLOOKUP(A2206,Product!A:A,Product!B:B,"Bulunamadı")</f>
        <v>Fiction</v>
      </c>
      <c r="F2206" s="1" t="str">
        <f t="array" ref="F2206">_xlfn.XLOOKUP(A2206,Product!A:A,Product!C:C,"Bulunamadı")</f>
        <v>Decision Making</v>
      </c>
      <c r="G2206" s="2" t="str">
        <f t="array" ref="G2206">_xlfn.XLOOKUP(A2207,Product!A:A,Product!D:D,"Bulunamadı")</f>
        <v>Cedarpeak Publishing</v>
      </c>
      <c r="H2206" s="2">
        <f t="array" ref="H2206">_xlfn.XLOOKUP(A2208,Product!A:A,Product!E:E,"Bulunamadı")</f>
        <v>1.3</v>
      </c>
      <c r="I2206" s="2" t="str">
        <f t="shared" si="1"/>
        <v>193230 - Fiction - Decision Making</v>
      </c>
      <c r="J2206" s="2">
        <f t="shared" si="2"/>
        <v>214.5</v>
      </c>
      <c r="K2206" s="17">
        <f t="shared" si="3"/>
        <v>1</v>
      </c>
      <c r="L2206" s="18"/>
    </row>
    <row r="2207" hidden="1">
      <c r="A2207" s="2">
        <f>IFERROR(__xludf.DUMMYFUNCTION("""COMPUTED_VALUE"""),193254.0)</f>
        <v>193254</v>
      </c>
      <c r="B2207" s="2">
        <f>IFERROR(__xludf.DUMMYFUNCTION("""COMPUTED_VALUE"""),0.0)</f>
        <v>0</v>
      </c>
      <c r="C2207" s="2">
        <f>IFERROR(__xludf.DUMMYFUNCTION("""COMPUTED_VALUE"""),325.0)</f>
        <v>325</v>
      </c>
      <c r="D2207" s="3">
        <f>IFERROR(__xludf.DUMMYFUNCTION("""COMPUTED_VALUE"""),35.0)</f>
        <v>35</v>
      </c>
      <c r="E2207" s="1" t="str">
        <f t="array" ref="E2207">_xlfn.XLOOKUP(A2207,Product!A:A,Product!B:B,"Bulunamadı")</f>
        <v>Fiction</v>
      </c>
      <c r="F2207" s="1" t="str">
        <f t="array" ref="F2207">_xlfn.XLOOKUP(A2207,Product!A:A,Product!C:C,"Bulunamadı")</f>
        <v>Decision Making</v>
      </c>
      <c r="G2207" s="2" t="str">
        <f t="array" ref="G2207">_xlfn.XLOOKUP(A2208,Product!A:A,Product!D:D,"Bulunamadı")</f>
        <v>Cedarpeak Publishing</v>
      </c>
      <c r="H2207" s="2">
        <f t="array" ref="H2207">_xlfn.XLOOKUP(A2209,Product!A:A,Product!E:E,"Bulunamadı")</f>
        <v>3.01</v>
      </c>
      <c r="I2207" s="2" t="str">
        <f t="shared" si="1"/>
        <v>193254 - Fiction - Decision Making</v>
      </c>
      <c r="J2207" s="2">
        <f t="shared" si="2"/>
        <v>105.35</v>
      </c>
      <c r="K2207" s="17">
        <f t="shared" si="3"/>
        <v>1</v>
      </c>
      <c r="L2207" s="18"/>
    </row>
    <row r="2208" hidden="1">
      <c r="A2208" s="2">
        <f>IFERROR(__xludf.DUMMYFUNCTION("""COMPUTED_VALUE"""),113228.0)</f>
        <v>113228</v>
      </c>
      <c r="B2208" s="2">
        <f>IFERROR(__xludf.DUMMYFUNCTION("""COMPUTED_VALUE"""),1.0)</f>
        <v>1</v>
      </c>
      <c r="C2208" s="2">
        <f>IFERROR(__xludf.DUMMYFUNCTION("""COMPUTED_VALUE"""),664.0)</f>
        <v>664</v>
      </c>
      <c r="D2208" s="3">
        <f>IFERROR(__xludf.DUMMYFUNCTION("""COMPUTED_VALUE"""),592.0)</f>
        <v>592</v>
      </c>
      <c r="E2208" s="1" t="str">
        <f t="array" ref="E2208">_xlfn.XLOOKUP(A2208,Product!A:A,Product!B:B,"Bulunamadı")</f>
        <v>Fiction</v>
      </c>
      <c r="F2208" s="1" t="str">
        <f t="array" ref="F2208">_xlfn.XLOOKUP(A2208,Product!A:A,Product!C:C,"Bulunamadı")</f>
        <v>Decision Making</v>
      </c>
      <c r="G2208" s="2" t="str">
        <f t="array" ref="G2208">_xlfn.XLOOKUP(A2209,Product!A:A,Product!D:D,"Bulunamadı")</f>
        <v>Cedarpeak Publishing</v>
      </c>
      <c r="H2208" s="2">
        <f t="array" ref="H2208">_xlfn.XLOOKUP(A2210,Product!A:A,Product!E:E,"Bulunamadı")</f>
        <v>1.48</v>
      </c>
      <c r="I2208" s="2" t="str">
        <f t="shared" si="1"/>
        <v>113228 - Fiction - Decision Making</v>
      </c>
      <c r="J2208" s="2">
        <f t="shared" si="2"/>
        <v>876.16</v>
      </c>
      <c r="K2208" s="17">
        <f t="shared" si="3"/>
        <v>1</v>
      </c>
      <c r="L2208" s="18"/>
    </row>
    <row r="2209" hidden="1">
      <c r="A2209" s="2">
        <f>IFERROR(__xludf.DUMMYFUNCTION("""COMPUTED_VALUE"""),193193.0)</f>
        <v>193193</v>
      </c>
      <c r="B2209" s="2">
        <f>IFERROR(__xludf.DUMMYFUNCTION("""COMPUTED_VALUE"""),1.0)</f>
        <v>1</v>
      </c>
      <c r="C2209" s="2">
        <f>IFERROR(__xludf.DUMMYFUNCTION("""COMPUTED_VALUE"""),912.0)</f>
        <v>912</v>
      </c>
      <c r="D2209" s="3">
        <f>IFERROR(__xludf.DUMMYFUNCTION("""COMPUTED_VALUE"""),115.0)</f>
        <v>115</v>
      </c>
      <c r="E2209" s="1" t="str">
        <f t="array" ref="E2209">_xlfn.XLOOKUP(A2209,Product!A:A,Product!B:B,"Bulunamadı")</f>
        <v>Fiction</v>
      </c>
      <c r="F2209" s="1" t="str">
        <f t="array" ref="F2209">_xlfn.XLOOKUP(A2209,Product!A:A,Product!C:C,"Bulunamadı")</f>
        <v>Decision Making</v>
      </c>
      <c r="G2209" s="2" t="str">
        <f t="array" ref="G2209">_xlfn.XLOOKUP(A2210,Product!A:A,Product!D:D,"Bulunamadı")</f>
        <v>Cedarpeak Publishing</v>
      </c>
      <c r="H2209" s="2">
        <f t="array" ref="H2209">_xlfn.XLOOKUP(A2211,Product!A:A,Product!E:E,"Bulunamadı")</f>
        <v>1.54</v>
      </c>
      <c r="I2209" s="2" t="str">
        <f t="shared" si="1"/>
        <v>193193 - Fiction - Decision Making</v>
      </c>
      <c r="J2209" s="2">
        <f t="shared" si="2"/>
        <v>177.1</v>
      </c>
      <c r="K2209" s="17">
        <f t="shared" si="3"/>
        <v>1</v>
      </c>
      <c r="L2209" s="18"/>
    </row>
    <row r="2210" hidden="1">
      <c r="A2210" s="2">
        <f>IFERROR(__xludf.DUMMYFUNCTION("""COMPUTED_VALUE"""),113223.0)</f>
        <v>113223</v>
      </c>
      <c r="B2210" s="2">
        <f>IFERROR(__xludf.DUMMYFUNCTION("""COMPUTED_VALUE"""),0.0)</f>
        <v>0</v>
      </c>
      <c r="C2210" s="2">
        <f>IFERROR(__xludf.DUMMYFUNCTION("""COMPUTED_VALUE"""),319.0)</f>
        <v>319</v>
      </c>
      <c r="D2210" s="3">
        <f>IFERROR(__xludf.DUMMYFUNCTION("""COMPUTED_VALUE"""),209.0)</f>
        <v>209</v>
      </c>
      <c r="E2210" s="1" t="str">
        <f t="array" ref="E2210">_xlfn.XLOOKUP(A2210,Product!A:A,Product!B:B,"Bulunamadı")</f>
        <v>Fiction</v>
      </c>
      <c r="F2210" s="1" t="str">
        <f t="array" ref="F2210">_xlfn.XLOOKUP(A2210,Product!A:A,Product!C:C,"Bulunamadı")</f>
        <v>Decision Making</v>
      </c>
      <c r="G2210" s="2" t="str">
        <f t="array" ref="G2210">_xlfn.XLOOKUP(A2211,Product!A:A,Product!D:D,"Bulunamadı")</f>
        <v>Cedarpeak Publishing</v>
      </c>
      <c r="H2210" s="2">
        <f t="array" ref="H2210">_xlfn.XLOOKUP(A2212,Product!A:A,Product!E:E,"Bulunamadı")</f>
        <v>0.86</v>
      </c>
      <c r="I2210" s="2" t="str">
        <f t="shared" si="1"/>
        <v>113223 - Fiction - Decision Making</v>
      </c>
      <c r="J2210" s="2">
        <f t="shared" si="2"/>
        <v>179.74</v>
      </c>
      <c r="K2210" s="17">
        <f t="shared" si="3"/>
        <v>1</v>
      </c>
      <c r="L2210" s="18"/>
    </row>
    <row r="2211" hidden="1">
      <c r="A2211" s="2">
        <f>IFERROR(__xludf.DUMMYFUNCTION("""COMPUTED_VALUE"""),113227.0)</f>
        <v>113227</v>
      </c>
      <c r="B2211" s="2">
        <f>IFERROR(__xludf.DUMMYFUNCTION("""COMPUTED_VALUE"""),0.0)</f>
        <v>0</v>
      </c>
      <c r="C2211" s="2">
        <f>IFERROR(__xludf.DUMMYFUNCTION("""COMPUTED_VALUE"""),384.0)</f>
        <v>384</v>
      </c>
      <c r="D2211" s="3">
        <f>IFERROR(__xludf.DUMMYFUNCTION("""COMPUTED_VALUE"""),125.0)</f>
        <v>125</v>
      </c>
      <c r="E2211" s="1" t="str">
        <f t="array" ref="E2211">_xlfn.XLOOKUP(A2211,Product!A:A,Product!B:B,"Bulunamadı")</f>
        <v>Fiction</v>
      </c>
      <c r="F2211" s="1" t="str">
        <f t="array" ref="F2211">_xlfn.XLOOKUP(A2211,Product!A:A,Product!C:C,"Bulunamadı")</f>
        <v>Decision Making</v>
      </c>
      <c r="G2211" s="2" t="str">
        <f t="array" ref="G2211">_xlfn.XLOOKUP(A2212,Product!A:A,Product!D:D,"Bulunamadı")</f>
        <v>Cedarpeak Publishing</v>
      </c>
      <c r="H2211" s="2">
        <f t="array" ref="H2211">_xlfn.XLOOKUP(A2213,Product!A:A,Product!E:E,"Bulunamadı")</f>
        <v>1.51</v>
      </c>
      <c r="I2211" s="2" t="str">
        <f t="shared" si="1"/>
        <v>113227 - Fiction - Decision Making</v>
      </c>
      <c r="J2211" s="2">
        <f t="shared" si="2"/>
        <v>188.75</v>
      </c>
      <c r="K2211" s="17">
        <f t="shared" si="3"/>
        <v>1</v>
      </c>
      <c r="L2211" s="18"/>
    </row>
    <row r="2212" hidden="1">
      <c r="A2212" s="2">
        <f>IFERROR(__xludf.DUMMYFUNCTION("""COMPUTED_VALUE"""),114198.0)</f>
        <v>114198</v>
      </c>
      <c r="B2212" s="2">
        <f>IFERROR(__xludf.DUMMYFUNCTION("""COMPUTED_VALUE"""),0.0)</f>
        <v>0</v>
      </c>
      <c r="C2212" s="2">
        <f>IFERROR(__xludf.DUMMYFUNCTION("""COMPUTED_VALUE"""),432.0)</f>
        <v>432</v>
      </c>
      <c r="D2212" s="3">
        <f>IFERROR(__xludf.DUMMYFUNCTION("""COMPUTED_VALUE"""),105.0)</f>
        <v>105</v>
      </c>
      <c r="E2212" s="1" t="str">
        <f t="array" ref="E2212">_xlfn.XLOOKUP(A2212,Product!A:A,Product!B:B,"Bulunamadı")</f>
        <v>Fiction</v>
      </c>
      <c r="F2212" s="1" t="str">
        <f t="array" ref="F2212">_xlfn.XLOOKUP(A2212,Product!A:A,Product!C:C,"Bulunamadı")</f>
        <v>Decision Making</v>
      </c>
      <c r="G2212" s="2" t="str">
        <f t="array" ref="G2212">_xlfn.XLOOKUP(A2213,Product!A:A,Product!D:D,"Bulunamadı")</f>
        <v>Cedarpeak Publishing</v>
      </c>
      <c r="H2212" s="2">
        <f t="array" ref="H2212">_xlfn.XLOOKUP(A2214,Product!A:A,Product!E:E,"Bulunamadı")</f>
        <v>0.92</v>
      </c>
      <c r="I2212" s="2" t="str">
        <f t="shared" si="1"/>
        <v>114198 - Fiction - Decision Making</v>
      </c>
      <c r="J2212" s="2">
        <f t="shared" si="2"/>
        <v>96.6</v>
      </c>
      <c r="K2212" s="17">
        <f t="shared" si="3"/>
        <v>1</v>
      </c>
      <c r="L2212" s="18"/>
    </row>
    <row r="2213" hidden="1">
      <c r="A2213" s="2">
        <f>IFERROR(__xludf.DUMMYFUNCTION("""COMPUTED_VALUE"""),100451.0)</f>
        <v>100451</v>
      </c>
      <c r="B2213" s="2">
        <f>IFERROR(__xludf.DUMMYFUNCTION("""COMPUTED_VALUE"""),0.0)</f>
        <v>0</v>
      </c>
      <c r="C2213" s="2">
        <f>IFERROR(__xludf.DUMMYFUNCTION("""COMPUTED_VALUE"""),296.0)</f>
        <v>296</v>
      </c>
      <c r="D2213" s="3">
        <f>IFERROR(__xludf.DUMMYFUNCTION("""COMPUTED_VALUE"""),287.0)</f>
        <v>287</v>
      </c>
      <c r="E2213" s="1" t="str">
        <f t="array" ref="E2213">_xlfn.XLOOKUP(A2213,Product!A:A,Product!B:B,"Bulunamadı")</f>
        <v>Fiction</v>
      </c>
      <c r="F2213" s="1" t="str">
        <f t="array" ref="F2213">_xlfn.XLOOKUP(A2213,Product!A:A,Product!C:C,"Bulunamadı")</f>
        <v>Decision Making</v>
      </c>
      <c r="G2213" s="2" t="str">
        <f t="array" ref="G2213">_xlfn.XLOOKUP(A2214,Product!A:A,Product!D:D,"Bulunamadı")</f>
        <v>Cedarpeak Publishing</v>
      </c>
      <c r="H2213" s="2">
        <f t="array" ref="H2213">_xlfn.XLOOKUP(A2215,Product!A:A,Product!E:E,"Bulunamadı")</f>
        <v>3.39</v>
      </c>
      <c r="I2213" s="2" t="str">
        <f t="shared" si="1"/>
        <v>100451 - Fiction - Decision Making</v>
      </c>
      <c r="J2213" s="2">
        <f t="shared" si="2"/>
        <v>972.93</v>
      </c>
      <c r="K2213" s="17">
        <f t="shared" si="3"/>
        <v>1</v>
      </c>
      <c r="L2213" s="18"/>
    </row>
    <row r="2214" hidden="1">
      <c r="A2214" s="2">
        <f>IFERROR(__xludf.DUMMYFUNCTION("""COMPUTED_VALUE"""),100446.0)</f>
        <v>100446</v>
      </c>
      <c r="B2214" s="2">
        <f>IFERROR(__xludf.DUMMYFUNCTION("""COMPUTED_VALUE"""),1.0)</f>
        <v>1</v>
      </c>
      <c r="C2214" s="2">
        <f>IFERROR(__xludf.DUMMYFUNCTION("""COMPUTED_VALUE"""),749.0)</f>
        <v>749</v>
      </c>
      <c r="D2214" s="3">
        <f>IFERROR(__xludf.DUMMYFUNCTION("""COMPUTED_VALUE"""),626.0)</f>
        <v>626</v>
      </c>
      <c r="E2214" s="1" t="str">
        <f t="array" ref="E2214">_xlfn.XLOOKUP(A2214,Product!A:A,Product!B:B,"Bulunamadı")</f>
        <v>Fiction</v>
      </c>
      <c r="F2214" s="1" t="str">
        <f t="array" ref="F2214">_xlfn.XLOOKUP(A2214,Product!A:A,Product!C:C,"Bulunamadı")</f>
        <v>Decision Making</v>
      </c>
      <c r="G2214" s="2" t="str">
        <f t="array" ref="G2214">_xlfn.XLOOKUP(A2215,Product!A:A,Product!D:D,"Bulunamadı")</f>
        <v>Cedarpeak Publishing</v>
      </c>
      <c r="H2214" s="2">
        <f t="array" ref="H2214">_xlfn.XLOOKUP(A2216,Product!A:A,Product!E:E,"Bulunamadı")</f>
        <v>1.65</v>
      </c>
      <c r="I2214" s="2" t="str">
        <f t="shared" si="1"/>
        <v>100446 - Fiction - Decision Making</v>
      </c>
      <c r="J2214" s="2">
        <f t="shared" si="2"/>
        <v>1032.9</v>
      </c>
      <c r="K2214" s="17">
        <f t="shared" si="3"/>
        <v>1</v>
      </c>
      <c r="L2214" s="18"/>
    </row>
    <row r="2215" hidden="1">
      <c r="A2215" s="2">
        <f>IFERROR(__xludf.DUMMYFUNCTION("""COMPUTED_VALUE"""),193253.0)</f>
        <v>193253</v>
      </c>
      <c r="B2215" s="2">
        <f>IFERROR(__xludf.DUMMYFUNCTION("""COMPUTED_VALUE"""),1.0)</f>
        <v>1</v>
      </c>
      <c r="C2215" s="2">
        <f>IFERROR(__xludf.DUMMYFUNCTION("""COMPUTED_VALUE"""),915.0)</f>
        <v>915</v>
      </c>
      <c r="D2215" s="3">
        <f>IFERROR(__xludf.DUMMYFUNCTION("""COMPUTED_VALUE"""),279.0)</f>
        <v>279</v>
      </c>
      <c r="E2215" s="1" t="str">
        <f t="array" ref="E2215">_xlfn.XLOOKUP(A2215,Product!A:A,Product!B:B,"Bulunamadı")</f>
        <v>Fiction</v>
      </c>
      <c r="F2215" s="1" t="str">
        <f t="array" ref="F2215">_xlfn.XLOOKUP(A2215,Product!A:A,Product!C:C,"Bulunamadı")</f>
        <v>Decision Making</v>
      </c>
      <c r="G2215" s="2" t="str">
        <f t="array" ref="G2215">_xlfn.XLOOKUP(A2216,Product!A:A,Product!D:D,"Bulunamadı")</f>
        <v>Cedarpeak Publishing</v>
      </c>
      <c r="H2215" s="2">
        <f t="array" ref="H2215">_xlfn.XLOOKUP(A2217,Product!A:A,Product!E:E,"Bulunamadı")</f>
        <v>12.29</v>
      </c>
      <c r="I2215" s="2" t="str">
        <f t="shared" si="1"/>
        <v>193253 - Fiction - Decision Making</v>
      </c>
      <c r="J2215" s="2">
        <f t="shared" si="2"/>
        <v>3428.91</v>
      </c>
      <c r="K2215" s="17">
        <f t="shared" si="3"/>
        <v>1</v>
      </c>
      <c r="L2215" s="18"/>
    </row>
    <row r="2216" hidden="1">
      <c r="A2216" s="2">
        <f>IFERROR(__xludf.DUMMYFUNCTION("""COMPUTED_VALUE"""),82432.0)</f>
        <v>82432</v>
      </c>
      <c r="B2216" s="2">
        <f>IFERROR(__xludf.DUMMYFUNCTION("""COMPUTED_VALUE"""),1.0)</f>
        <v>1</v>
      </c>
      <c r="C2216" s="2">
        <f>IFERROR(__xludf.DUMMYFUNCTION("""COMPUTED_VALUE"""),673.0)</f>
        <v>673</v>
      </c>
      <c r="D2216" s="3">
        <f>IFERROR(__xludf.DUMMYFUNCTION("""COMPUTED_VALUE"""),670.0)</f>
        <v>670</v>
      </c>
      <c r="E2216" s="1" t="str">
        <f t="array" ref="E2216">_xlfn.XLOOKUP(A2216,Product!A:A,Product!B:B,"Bulunamadı")</f>
        <v>Fiction</v>
      </c>
      <c r="F2216" s="1" t="str">
        <f t="array" ref="F2216">_xlfn.XLOOKUP(A2216,Product!A:A,Product!C:C,"Bulunamadı")</f>
        <v>Decision Making</v>
      </c>
      <c r="G2216" s="2" t="str">
        <f t="array" ref="G2216">_xlfn.XLOOKUP(A2217,Product!A:A,Product!D:D,"Bulunamadı")</f>
        <v>Brightpeak Books</v>
      </c>
      <c r="H2216" s="2">
        <f t="array" ref="H2216">_xlfn.XLOOKUP(A2218,Product!A:A,Product!E:E,"Bulunamadı")</f>
        <v>11.17</v>
      </c>
      <c r="I2216" s="2" t="str">
        <f t="shared" si="1"/>
        <v>82432 - Fiction - Decision Making</v>
      </c>
      <c r="J2216" s="2">
        <f t="shared" si="2"/>
        <v>7483.9</v>
      </c>
      <c r="K2216" s="17">
        <f t="shared" si="3"/>
        <v>1</v>
      </c>
      <c r="L2216" s="18"/>
    </row>
    <row r="2217" hidden="1">
      <c r="A2217" s="2">
        <f>IFERROR(__xludf.DUMMYFUNCTION("""COMPUTED_VALUE"""),122703.0)</f>
        <v>122703</v>
      </c>
      <c r="B2217" s="2">
        <f>IFERROR(__xludf.DUMMYFUNCTION("""COMPUTED_VALUE"""),0.0)</f>
        <v>0</v>
      </c>
      <c r="C2217" s="2">
        <f>IFERROR(__xludf.DUMMYFUNCTION("""COMPUTED_VALUE"""),812.0)</f>
        <v>812</v>
      </c>
      <c r="D2217" s="3">
        <f>IFERROR(__xludf.DUMMYFUNCTION("""COMPUTED_VALUE"""),75.0)</f>
        <v>75</v>
      </c>
      <c r="E2217" s="1" t="str">
        <f t="array" ref="E2217">_xlfn.XLOOKUP(A2217,Product!A:A,Product!B:B,"Bulunamadı")</f>
        <v>Tech</v>
      </c>
      <c r="F2217" s="1" t="str">
        <f t="array" ref="F2217">_xlfn.XLOOKUP(A2217,Product!A:A,Product!C:C,"Bulunamadı")</f>
        <v>Emotional Intelligence</v>
      </c>
      <c r="G2217" s="2" t="str">
        <f t="array" ref="G2217">_xlfn.XLOOKUP(A2218,Product!A:A,Product!D:D,"Bulunamadı")</f>
        <v>Brightpeak Books</v>
      </c>
      <c r="H2217" s="2">
        <f t="array" ref="H2217">_xlfn.XLOOKUP(A2219,Product!A:A,Product!E:E,"Bulunamadı")</f>
        <v>5.13</v>
      </c>
      <c r="I2217" s="2" t="str">
        <f t="shared" si="1"/>
        <v>122703 - Tech - Emotional Intelligence</v>
      </c>
      <c r="J2217" s="2">
        <f t="shared" si="2"/>
        <v>384.75</v>
      </c>
      <c r="K2217" s="17">
        <f t="shared" si="3"/>
        <v>1</v>
      </c>
      <c r="L2217" s="18"/>
    </row>
    <row r="2218" hidden="1">
      <c r="A2218" s="2">
        <f>IFERROR(__xludf.DUMMYFUNCTION("""COMPUTED_VALUE"""),129410.0)</f>
        <v>129410</v>
      </c>
      <c r="B2218" s="2">
        <f>IFERROR(__xludf.DUMMYFUNCTION("""COMPUTED_VALUE"""),0.0)</f>
        <v>0</v>
      </c>
      <c r="C2218" s="2">
        <f>IFERROR(__xludf.DUMMYFUNCTION("""COMPUTED_VALUE"""),413.0)</f>
        <v>413</v>
      </c>
      <c r="D2218" s="3">
        <f>IFERROR(__xludf.DUMMYFUNCTION("""COMPUTED_VALUE"""),306.0)</f>
        <v>306</v>
      </c>
      <c r="E2218" s="1" t="str">
        <f t="array" ref="E2218">_xlfn.XLOOKUP(A2218,Product!A:A,Product!B:B,"Bulunamadı")</f>
        <v>Tech</v>
      </c>
      <c r="F2218" s="1" t="str">
        <f t="array" ref="F2218">_xlfn.XLOOKUP(A2218,Product!A:A,Product!C:C,"Bulunamadı")</f>
        <v>Emotional Intelligence</v>
      </c>
      <c r="G2218" s="2" t="str">
        <f t="array" ref="G2218">_xlfn.XLOOKUP(A2219,Product!A:A,Product!D:D,"Bulunamadı")</f>
        <v>Oakpeak Press</v>
      </c>
      <c r="H2218" s="2">
        <f t="array" ref="H2218">_xlfn.XLOOKUP(A2220,Product!A:A,Product!E:E,"Bulunamadı")</f>
        <v>7.61</v>
      </c>
      <c r="I2218" s="2" t="str">
        <f t="shared" si="1"/>
        <v>129410 - Tech - Emotional Intelligence</v>
      </c>
      <c r="J2218" s="2">
        <f t="shared" si="2"/>
        <v>2328.66</v>
      </c>
      <c r="K2218" s="17">
        <f t="shared" si="3"/>
        <v>1</v>
      </c>
      <c r="L2218" s="18"/>
    </row>
    <row r="2219" hidden="1">
      <c r="A2219" s="2">
        <f>IFERROR(__xludf.DUMMYFUNCTION("""COMPUTED_VALUE"""),103236.0)</f>
        <v>103236</v>
      </c>
      <c r="B2219" s="2">
        <f>IFERROR(__xludf.DUMMYFUNCTION("""COMPUTED_VALUE"""),1.0)</f>
        <v>1</v>
      </c>
      <c r="C2219" s="2">
        <f>IFERROR(__xludf.DUMMYFUNCTION("""COMPUTED_VALUE"""),760.0)</f>
        <v>760</v>
      </c>
      <c r="D2219" s="3">
        <f>IFERROR(__xludf.DUMMYFUNCTION("""COMPUTED_VALUE"""),680.0)</f>
        <v>680</v>
      </c>
      <c r="E2219" s="1" t="str">
        <f t="array" ref="E2219">_xlfn.XLOOKUP(A2219,Product!A:A,Product!B:B,"Bulunamadı")</f>
        <v>Tech</v>
      </c>
      <c r="F2219" s="1" t="str">
        <f t="array" ref="F2219">_xlfn.XLOOKUP(A2219,Product!A:A,Product!C:C,"Bulunamadı")</f>
        <v>Career Development</v>
      </c>
      <c r="G2219" s="2" t="str">
        <f t="array" ref="G2219">_xlfn.XLOOKUP(A2220,Product!A:A,Product!D:D,"Bulunamadı")</f>
        <v>Oakpeak Press</v>
      </c>
      <c r="H2219" s="2">
        <f t="array" ref="H2219">_xlfn.XLOOKUP(A2221,Product!A:A,Product!E:E,"Bulunamadı")</f>
        <v>12.75</v>
      </c>
      <c r="I2219" s="2" t="str">
        <f t="shared" si="1"/>
        <v>103236 - Tech - Career Development</v>
      </c>
      <c r="J2219" s="2">
        <f t="shared" si="2"/>
        <v>8670</v>
      </c>
      <c r="K2219" s="17">
        <f t="shared" si="3"/>
        <v>1</v>
      </c>
      <c r="L2219" s="18"/>
    </row>
    <row r="2220" hidden="1">
      <c r="A2220" s="2">
        <f>IFERROR(__xludf.DUMMYFUNCTION("""COMPUTED_VALUE"""),127534.0)</f>
        <v>127534</v>
      </c>
      <c r="B2220" s="2">
        <f>IFERROR(__xludf.DUMMYFUNCTION("""COMPUTED_VALUE"""),1.0)</f>
        <v>1</v>
      </c>
      <c r="C2220" s="2">
        <f>IFERROR(__xludf.DUMMYFUNCTION("""COMPUTED_VALUE"""),342.0)</f>
        <v>342</v>
      </c>
      <c r="D2220" s="3">
        <f>IFERROR(__xludf.DUMMYFUNCTION("""COMPUTED_VALUE"""),52.0)</f>
        <v>52</v>
      </c>
      <c r="E2220" s="1" t="str">
        <f t="array" ref="E2220">_xlfn.XLOOKUP(A2220,Product!A:A,Product!B:B,"Bulunamadı")</f>
        <v>Tech</v>
      </c>
      <c r="F2220" s="1" t="str">
        <f t="array" ref="F2220">_xlfn.XLOOKUP(A2220,Product!A:A,Product!C:C,"Bulunamadı")</f>
        <v>Career Development</v>
      </c>
      <c r="G2220" s="2" t="str">
        <f t="array" ref="G2220">_xlfn.XLOOKUP(A2221,Product!A:A,Product!D:D,"Bulunamadı")</f>
        <v>Riverpeak Publishing</v>
      </c>
      <c r="H2220" s="2">
        <f t="array" ref="H2220">_xlfn.XLOOKUP(A2222,Product!A:A,Product!E:E,"Bulunamadı")</f>
        <v>18.19</v>
      </c>
      <c r="I2220" s="2" t="str">
        <f t="shared" si="1"/>
        <v>127534 - Tech - Career Development</v>
      </c>
      <c r="J2220" s="2">
        <f t="shared" si="2"/>
        <v>945.88</v>
      </c>
      <c r="K2220" s="17">
        <f t="shared" si="3"/>
        <v>1</v>
      </c>
      <c r="L2220" s="18"/>
    </row>
    <row r="2221" hidden="1">
      <c r="A2221" s="2">
        <f>IFERROR(__xludf.DUMMYFUNCTION("""COMPUTED_VALUE"""),100906.0)</f>
        <v>100906</v>
      </c>
      <c r="B2221" s="2">
        <f>IFERROR(__xludf.DUMMYFUNCTION("""COMPUTED_VALUE"""),1.0)</f>
        <v>1</v>
      </c>
      <c r="C2221" s="2">
        <f>IFERROR(__xludf.DUMMYFUNCTION("""COMPUTED_VALUE"""),695.0)</f>
        <v>695</v>
      </c>
      <c r="D2221" s="3">
        <f>IFERROR(__xludf.DUMMYFUNCTION("""COMPUTED_VALUE"""),687.0)</f>
        <v>687</v>
      </c>
      <c r="E2221" s="1" t="str">
        <f t="array" ref="E2221">_xlfn.XLOOKUP(A2221,Product!A:A,Product!B:B,"Bulunamadı")</f>
        <v>Tech</v>
      </c>
      <c r="F2221" s="1" t="str">
        <f t="array" ref="F2221">_xlfn.XLOOKUP(A2221,Product!A:A,Product!C:C,"Bulunamadı")</f>
        <v>Career Development</v>
      </c>
      <c r="G2221" s="2" t="str">
        <f t="array" ref="G2221">_xlfn.XLOOKUP(A2222,Product!A:A,Product!D:D,"Bulunamadı")</f>
        <v>Riverpeak Publishing</v>
      </c>
      <c r="H2221" s="2">
        <f t="array" ref="H2221">_xlfn.XLOOKUP(A2223,Product!A:A,Product!E:E,"Bulunamadı")</f>
        <v>11.2</v>
      </c>
      <c r="I2221" s="2" t="str">
        <f t="shared" si="1"/>
        <v>100906 - Tech - Career Development</v>
      </c>
      <c r="J2221" s="2">
        <f t="shared" si="2"/>
        <v>7694.4</v>
      </c>
      <c r="K2221" s="17">
        <f t="shared" si="3"/>
        <v>1</v>
      </c>
      <c r="L2221" s="18"/>
    </row>
    <row r="2222" hidden="1">
      <c r="A2222" s="2">
        <f>IFERROR(__xludf.DUMMYFUNCTION("""COMPUTED_VALUE"""),109098.0)</f>
        <v>109098</v>
      </c>
      <c r="B2222" s="2">
        <f>IFERROR(__xludf.DUMMYFUNCTION("""COMPUTED_VALUE"""),0.0)</f>
        <v>0</v>
      </c>
      <c r="C2222" s="2">
        <f>IFERROR(__xludf.DUMMYFUNCTION("""COMPUTED_VALUE"""),565.0)</f>
        <v>565</v>
      </c>
      <c r="D2222" s="3">
        <f>IFERROR(__xludf.DUMMYFUNCTION("""COMPUTED_VALUE"""),97.0)</f>
        <v>97</v>
      </c>
      <c r="E2222" s="1" t="str">
        <f t="array" ref="E2222">_xlfn.XLOOKUP(A2222,Product!A:A,Product!B:B,"Bulunamadı")</f>
        <v>Tech</v>
      </c>
      <c r="F2222" s="1" t="str">
        <f t="array" ref="F2222">_xlfn.XLOOKUP(A2222,Product!A:A,Product!C:C,"Bulunamadı")</f>
        <v>Career Development</v>
      </c>
      <c r="G2222" s="2" t="str">
        <f t="array" ref="G2222">_xlfn.XLOOKUP(A2223,Product!A:A,Product!D:D,"Bulunamadı")</f>
        <v>Riverpeak Publishing</v>
      </c>
      <c r="H2222" s="2">
        <f t="array" ref="H2222">_xlfn.XLOOKUP(A2224,Product!A:A,Product!E:E,"Bulunamadı")</f>
        <v>12.54</v>
      </c>
      <c r="I2222" s="2" t="str">
        <f t="shared" si="1"/>
        <v>109098 - Tech - Career Development</v>
      </c>
      <c r="J2222" s="2">
        <f t="shared" si="2"/>
        <v>1216.38</v>
      </c>
      <c r="K2222" s="17">
        <f t="shared" si="3"/>
        <v>1</v>
      </c>
      <c r="L2222" s="18"/>
    </row>
    <row r="2223" hidden="1">
      <c r="A2223" s="2">
        <f>IFERROR(__xludf.DUMMYFUNCTION("""COMPUTED_VALUE"""),155864.0)</f>
        <v>155864</v>
      </c>
      <c r="B2223" s="2">
        <f>IFERROR(__xludf.DUMMYFUNCTION("""COMPUTED_VALUE"""),1.0)</f>
        <v>1</v>
      </c>
      <c r="C2223" s="2">
        <f>IFERROR(__xludf.DUMMYFUNCTION("""COMPUTED_VALUE"""),348.0)</f>
        <v>348</v>
      </c>
      <c r="D2223" s="3">
        <f>IFERROR(__xludf.DUMMYFUNCTION("""COMPUTED_VALUE"""),221.0)</f>
        <v>221</v>
      </c>
      <c r="E2223" s="1" t="str">
        <f t="array" ref="E2223">_xlfn.XLOOKUP(A2223,Product!A:A,Product!B:B,"Bulunamadı")</f>
        <v>Tech</v>
      </c>
      <c r="F2223" s="1" t="str">
        <f t="array" ref="F2223">_xlfn.XLOOKUP(A2223,Product!A:A,Product!C:C,"Bulunamadı")</f>
        <v>Career Development</v>
      </c>
      <c r="G2223" s="2" t="str">
        <f t="array" ref="G2223">_xlfn.XLOOKUP(A2224,Product!A:A,Product!D:D,"Bulunamadı")</f>
        <v>Riverpeak Publishing</v>
      </c>
      <c r="H2223" s="2">
        <f t="array" ref="H2223">_xlfn.XLOOKUP(A2225,Product!A:A,Product!E:E,"Bulunamadı")</f>
        <v>3.37</v>
      </c>
      <c r="I2223" s="2" t="str">
        <f t="shared" si="1"/>
        <v>155864 - Tech - Career Development</v>
      </c>
      <c r="J2223" s="2">
        <f t="shared" si="2"/>
        <v>744.77</v>
      </c>
      <c r="K2223" s="17">
        <f t="shared" si="3"/>
        <v>1</v>
      </c>
      <c r="L2223" s="18"/>
    </row>
    <row r="2224" hidden="1">
      <c r="A2224" s="2">
        <f>IFERROR(__xludf.DUMMYFUNCTION("""COMPUTED_VALUE"""),120314.0)</f>
        <v>120314</v>
      </c>
      <c r="B2224" s="2">
        <f>IFERROR(__xludf.DUMMYFUNCTION("""COMPUTED_VALUE"""),1.0)</f>
        <v>1</v>
      </c>
      <c r="C2224" s="2">
        <f>IFERROR(__xludf.DUMMYFUNCTION("""COMPUTED_VALUE"""),56.0)</f>
        <v>56</v>
      </c>
      <c r="D2224" s="3">
        <f>IFERROR(__xludf.DUMMYFUNCTION("""COMPUTED_VALUE"""),2.0)</f>
        <v>2</v>
      </c>
      <c r="E2224" s="1" t="str">
        <f t="array" ref="E2224">_xlfn.XLOOKUP(A2224,Product!A:A,Product!B:B,"Bulunamadı")</f>
        <v>Tech</v>
      </c>
      <c r="F2224" s="1" t="str">
        <f t="array" ref="F2224">_xlfn.XLOOKUP(A2224,Product!A:A,Product!C:C,"Bulunamadı")</f>
        <v>Career Development</v>
      </c>
      <c r="G2224" s="2" t="str">
        <f t="array" ref="G2224">_xlfn.XLOOKUP(A2225,Product!A:A,Product!D:D,"Bulunamadı")</f>
        <v>Ironpeak Books</v>
      </c>
      <c r="H2224" s="2">
        <f t="array" ref="H2224">_xlfn.XLOOKUP(A2226,Product!A:A,Product!E:E,"Bulunamadı")</f>
        <v>4.24</v>
      </c>
      <c r="I2224" s="2" t="str">
        <f t="shared" si="1"/>
        <v>120314 - Tech - Career Development</v>
      </c>
      <c r="J2224" s="2">
        <f t="shared" si="2"/>
        <v>8.48</v>
      </c>
      <c r="K2224" s="17">
        <f t="shared" si="3"/>
        <v>1</v>
      </c>
      <c r="L2224" s="18"/>
    </row>
    <row r="2225" hidden="1">
      <c r="A2225" s="2">
        <f>IFERROR(__xludf.DUMMYFUNCTION("""COMPUTED_VALUE"""),199547.0)</f>
        <v>199547</v>
      </c>
      <c r="B2225" s="2">
        <f>IFERROR(__xludf.DUMMYFUNCTION("""COMPUTED_VALUE"""),0.0)</f>
        <v>0</v>
      </c>
      <c r="C2225" s="2">
        <f>IFERROR(__xludf.DUMMYFUNCTION("""COMPUTED_VALUE"""),566.0)</f>
        <v>566</v>
      </c>
      <c r="D2225" s="3">
        <f>IFERROR(__xludf.DUMMYFUNCTION("""COMPUTED_VALUE"""),382.0)</f>
        <v>382</v>
      </c>
      <c r="E2225" s="1" t="str">
        <f t="array" ref="E2225">_xlfn.XLOOKUP(A2225,Product!A:A,Product!B:B,"Bulunamadı")</f>
        <v>Tech</v>
      </c>
      <c r="F2225" s="1" t="str">
        <f t="array" ref="F2225">_xlfn.XLOOKUP(A2225,Product!A:A,Product!C:C,"Bulunamadı")</f>
        <v>Career Development</v>
      </c>
      <c r="G2225" s="2" t="str">
        <f t="array" ref="G2225">_xlfn.XLOOKUP(A2226,Product!A:A,Product!D:D,"Bulunamadı")</f>
        <v>Ironpeak Books</v>
      </c>
      <c r="H2225" s="2">
        <f t="array" ref="H2225">_xlfn.XLOOKUP(A2227,Product!A:A,Product!E:E,"Bulunamadı")</f>
        <v>7.96</v>
      </c>
      <c r="I2225" s="2" t="str">
        <f t="shared" si="1"/>
        <v>199547 - Tech - Career Development</v>
      </c>
      <c r="J2225" s="2">
        <f t="shared" si="2"/>
        <v>3040.72</v>
      </c>
      <c r="K2225" s="17">
        <f t="shared" si="3"/>
        <v>1</v>
      </c>
      <c r="L2225" s="18"/>
    </row>
    <row r="2226" hidden="1">
      <c r="A2226" s="2">
        <f>IFERROR(__xludf.DUMMYFUNCTION("""COMPUTED_VALUE"""),110540.0)</f>
        <v>110540</v>
      </c>
      <c r="B2226" s="2">
        <f>IFERROR(__xludf.DUMMYFUNCTION("""COMPUTED_VALUE"""),0.0)</f>
        <v>0</v>
      </c>
      <c r="C2226" s="2">
        <f>IFERROR(__xludf.DUMMYFUNCTION("""COMPUTED_VALUE"""),959.0)</f>
        <v>959</v>
      </c>
      <c r="D2226" s="3">
        <f>IFERROR(__xludf.DUMMYFUNCTION("""COMPUTED_VALUE"""),480.0)</f>
        <v>480</v>
      </c>
      <c r="E2226" s="1" t="str">
        <f t="array" ref="E2226">_xlfn.XLOOKUP(A2226,Product!A:A,Product!B:B,"Bulunamadı")</f>
        <v>Tech</v>
      </c>
      <c r="F2226" s="1" t="str">
        <f t="array" ref="F2226">_xlfn.XLOOKUP(A2226,Product!A:A,Product!C:C,"Bulunamadı")</f>
        <v>Career Development</v>
      </c>
      <c r="G2226" s="2" t="str">
        <f t="array" ref="G2226">_xlfn.XLOOKUP(A2227,Product!A:A,Product!D:D,"Bulunamadı")</f>
        <v>Ironpeak Books</v>
      </c>
      <c r="H2226" s="2">
        <f t="array" ref="H2226">_xlfn.XLOOKUP(A2228,Product!A:A,Product!E:E,"Bulunamadı")</f>
        <v>5.93</v>
      </c>
      <c r="I2226" s="2" t="str">
        <f t="shared" si="1"/>
        <v>110540 - Tech - Career Development</v>
      </c>
      <c r="J2226" s="2">
        <f t="shared" si="2"/>
        <v>2846.4</v>
      </c>
      <c r="K2226" s="17">
        <f t="shared" si="3"/>
        <v>1</v>
      </c>
      <c r="L2226" s="18"/>
    </row>
    <row r="2227" hidden="1">
      <c r="A2227" s="2">
        <f>IFERROR(__xludf.DUMMYFUNCTION("""COMPUTED_VALUE"""),182190.0)</f>
        <v>182190</v>
      </c>
      <c r="B2227" s="2">
        <f>IFERROR(__xludf.DUMMYFUNCTION("""COMPUTED_VALUE"""),1.0)</f>
        <v>1</v>
      </c>
      <c r="C2227" s="2">
        <f>IFERROR(__xludf.DUMMYFUNCTION("""COMPUTED_VALUE"""),511.0)</f>
        <v>511</v>
      </c>
      <c r="D2227" s="3">
        <f>IFERROR(__xludf.DUMMYFUNCTION("""COMPUTED_VALUE"""),53.0)</f>
        <v>53</v>
      </c>
      <c r="E2227" s="1" t="str">
        <f t="array" ref="E2227">_xlfn.XLOOKUP(A2227,Product!A:A,Product!B:B,"Bulunamadı")</f>
        <v>Tech</v>
      </c>
      <c r="F2227" s="1" t="str">
        <f t="array" ref="F2227">_xlfn.XLOOKUP(A2227,Product!A:A,Product!C:C,"Bulunamadı")</f>
        <v>Career Development</v>
      </c>
      <c r="G2227" s="2" t="str">
        <f t="array" ref="G2227">_xlfn.XLOOKUP(A2228,Product!A:A,Product!D:D,"Bulunamadı")</f>
        <v>Ironpeak Books</v>
      </c>
      <c r="H2227" s="2">
        <f t="array" ref="H2227">_xlfn.XLOOKUP(A2229,Product!A:A,Product!E:E,"Bulunamadı")</f>
        <v>4.81</v>
      </c>
      <c r="I2227" s="2" t="str">
        <f t="shared" si="1"/>
        <v>182190 - Tech - Career Development</v>
      </c>
      <c r="J2227" s="2">
        <f t="shared" si="2"/>
        <v>254.93</v>
      </c>
      <c r="K2227" s="17">
        <f t="shared" si="3"/>
        <v>1</v>
      </c>
      <c r="L2227" s="18"/>
    </row>
    <row r="2228" hidden="1">
      <c r="A2228" s="2">
        <f>IFERROR(__xludf.DUMMYFUNCTION("""COMPUTED_VALUE"""),79341.0)</f>
        <v>79341</v>
      </c>
      <c r="B2228" s="2">
        <f>IFERROR(__xludf.DUMMYFUNCTION("""COMPUTED_VALUE"""),0.0)</f>
        <v>0</v>
      </c>
      <c r="C2228" s="2">
        <f>IFERROR(__xludf.DUMMYFUNCTION("""COMPUTED_VALUE"""),319.0)</f>
        <v>319</v>
      </c>
      <c r="D2228" s="3">
        <f>IFERROR(__xludf.DUMMYFUNCTION("""COMPUTED_VALUE"""),300.0)</f>
        <v>300</v>
      </c>
      <c r="E2228" s="1" t="str">
        <f t="array" ref="E2228">_xlfn.XLOOKUP(A2228,Product!A:A,Product!B:B,"Bulunamadı")</f>
        <v>Tech</v>
      </c>
      <c r="F2228" s="1" t="str">
        <f t="array" ref="F2228">_xlfn.XLOOKUP(A2228,Product!A:A,Product!C:C,"Bulunamadı")</f>
        <v>Career Development</v>
      </c>
      <c r="G2228" s="2" t="str">
        <f t="array" ref="G2228">_xlfn.XLOOKUP(A2229,Product!A:A,Product!D:D,"Bulunamadı")</f>
        <v>Ironpeak Books</v>
      </c>
      <c r="H2228" s="2">
        <f t="array" ref="H2228">_xlfn.XLOOKUP(A2230,Product!A:A,Product!E:E,"Bulunamadı")</f>
        <v>5.72</v>
      </c>
      <c r="I2228" s="2" t="str">
        <f t="shared" si="1"/>
        <v>79341 - Tech - Career Development</v>
      </c>
      <c r="J2228" s="2">
        <f t="shared" si="2"/>
        <v>1716</v>
      </c>
      <c r="K2228" s="17">
        <f t="shared" si="3"/>
        <v>1</v>
      </c>
      <c r="L2228" s="18"/>
    </row>
    <row r="2229" hidden="1">
      <c r="A2229" s="2">
        <f>IFERROR(__xludf.DUMMYFUNCTION("""COMPUTED_VALUE"""),108969.0)</f>
        <v>108969</v>
      </c>
      <c r="B2229" s="2">
        <f>IFERROR(__xludf.DUMMYFUNCTION("""COMPUTED_VALUE"""),1.0)</f>
        <v>1</v>
      </c>
      <c r="C2229" s="2">
        <f>IFERROR(__xludf.DUMMYFUNCTION("""COMPUTED_VALUE"""),823.0)</f>
        <v>823</v>
      </c>
      <c r="D2229" s="3">
        <f>IFERROR(__xludf.DUMMYFUNCTION("""COMPUTED_VALUE"""),569.0)</f>
        <v>569</v>
      </c>
      <c r="E2229" s="1" t="str">
        <f t="array" ref="E2229">_xlfn.XLOOKUP(A2229,Product!A:A,Product!B:B,"Bulunamadı")</f>
        <v>Tech</v>
      </c>
      <c r="F2229" s="1" t="str">
        <f t="array" ref="F2229">_xlfn.XLOOKUP(A2229,Product!A:A,Product!C:C,"Bulunamadı")</f>
        <v>Career Development</v>
      </c>
      <c r="G2229" s="2" t="str">
        <f t="array" ref="G2229">_xlfn.XLOOKUP(A2230,Product!A:A,Product!D:D,"Bulunamadı")</f>
        <v>Ironpeak Books</v>
      </c>
      <c r="H2229" s="2">
        <f t="array" ref="H2229">_xlfn.XLOOKUP(A2231,Product!A:A,Product!E:E,"Bulunamadı")</f>
        <v>9.71</v>
      </c>
      <c r="I2229" s="2" t="str">
        <f t="shared" si="1"/>
        <v>108969 - Tech - Career Development</v>
      </c>
      <c r="J2229" s="2">
        <f t="shared" si="2"/>
        <v>5524.99</v>
      </c>
      <c r="K2229" s="17">
        <f t="shared" si="3"/>
        <v>1</v>
      </c>
      <c r="L2229" s="18"/>
    </row>
    <row r="2230" hidden="1">
      <c r="A2230" s="2">
        <f>IFERROR(__xludf.DUMMYFUNCTION("""COMPUTED_VALUE"""),79939.0)</f>
        <v>79939</v>
      </c>
      <c r="B2230" s="2">
        <f>IFERROR(__xludf.DUMMYFUNCTION("""COMPUTED_VALUE"""),1.0)</f>
        <v>1</v>
      </c>
      <c r="C2230" s="2">
        <f>IFERROR(__xludf.DUMMYFUNCTION("""COMPUTED_VALUE"""),515.0)</f>
        <v>515</v>
      </c>
      <c r="D2230" s="3">
        <f>IFERROR(__xludf.DUMMYFUNCTION("""COMPUTED_VALUE"""),258.0)</f>
        <v>258</v>
      </c>
      <c r="E2230" s="1" t="str">
        <f t="array" ref="E2230">_xlfn.XLOOKUP(A2230,Product!A:A,Product!B:B,"Bulunamadı")</f>
        <v>Tech</v>
      </c>
      <c r="F2230" s="1" t="str">
        <f t="array" ref="F2230">_xlfn.XLOOKUP(A2230,Product!A:A,Product!C:C,"Bulunamadı")</f>
        <v>Career Development</v>
      </c>
      <c r="G2230" s="2" t="str">
        <f t="array" ref="G2230">_xlfn.XLOOKUP(A2231,Product!A:A,Product!D:D,"Bulunamadı")</f>
        <v>Ironpeak Books</v>
      </c>
      <c r="H2230" s="2">
        <f t="array" ref="H2230">_xlfn.XLOOKUP(A2232,Product!A:A,Product!E:E,"Bulunamadı")</f>
        <v>4.39</v>
      </c>
      <c r="I2230" s="2" t="str">
        <f t="shared" si="1"/>
        <v>79939 - Tech - Career Development</v>
      </c>
      <c r="J2230" s="2">
        <f t="shared" si="2"/>
        <v>1132.62</v>
      </c>
      <c r="K2230" s="17">
        <f t="shared" si="3"/>
        <v>1</v>
      </c>
      <c r="L2230" s="18"/>
    </row>
    <row r="2231" hidden="1">
      <c r="A2231" s="2">
        <f>IFERROR(__xludf.DUMMYFUNCTION("""COMPUTED_VALUE"""),11733.0)</f>
        <v>11733</v>
      </c>
      <c r="B2231" s="2">
        <f>IFERROR(__xludf.DUMMYFUNCTION("""COMPUTED_VALUE"""),1.0)</f>
        <v>1</v>
      </c>
      <c r="C2231" s="2">
        <f>IFERROR(__xludf.DUMMYFUNCTION("""COMPUTED_VALUE"""),934.0)</f>
        <v>934</v>
      </c>
      <c r="D2231" s="3">
        <f>IFERROR(__xludf.DUMMYFUNCTION("""COMPUTED_VALUE"""),757.0)</f>
        <v>757</v>
      </c>
      <c r="E2231" s="1" t="str">
        <f t="array" ref="E2231">_xlfn.XLOOKUP(A2231,Product!A:A,Product!B:B,"Bulunamadı")</f>
        <v>Tech</v>
      </c>
      <c r="F2231" s="1" t="str">
        <f t="array" ref="F2231">_xlfn.XLOOKUP(A2231,Product!A:A,Product!C:C,"Bulunamadı")</f>
        <v>Career Development</v>
      </c>
      <c r="G2231" s="2" t="str">
        <f t="array" ref="G2231">_xlfn.XLOOKUP(A2232,Product!A:A,Product!D:D,"Bulunamadı")</f>
        <v>Ironpeak Books</v>
      </c>
      <c r="H2231" s="2">
        <f t="array" ref="H2231">_xlfn.XLOOKUP(A2233,Product!A:A,Product!E:E,"Bulunamadı")</f>
        <v>6.72</v>
      </c>
      <c r="I2231" s="2" t="str">
        <f t="shared" si="1"/>
        <v>11733 - Tech - Career Development</v>
      </c>
      <c r="J2231" s="2">
        <f t="shared" si="2"/>
        <v>5087.04</v>
      </c>
      <c r="K2231" s="17">
        <f t="shared" si="3"/>
        <v>1</v>
      </c>
      <c r="L2231" s="18"/>
    </row>
    <row r="2232" hidden="1">
      <c r="A2232" s="2">
        <f>IFERROR(__xludf.DUMMYFUNCTION("""COMPUTED_VALUE"""),12647.0)</f>
        <v>12647</v>
      </c>
      <c r="B2232" s="2">
        <f>IFERROR(__xludf.DUMMYFUNCTION("""COMPUTED_VALUE"""),1.0)</f>
        <v>1</v>
      </c>
      <c r="C2232" s="2">
        <f>IFERROR(__xludf.DUMMYFUNCTION("""COMPUTED_VALUE"""),330.0)</f>
        <v>330</v>
      </c>
      <c r="D2232" s="3">
        <f>IFERROR(__xludf.DUMMYFUNCTION("""COMPUTED_VALUE"""),147.0)</f>
        <v>147</v>
      </c>
      <c r="E2232" s="1" t="str">
        <f t="array" ref="E2232">_xlfn.XLOOKUP(A2232,Product!A:A,Product!B:B,"Bulunamadı")</f>
        <v>Tech</v>
      </c>
      <c r="F2232" s="1" t="str">
        <f t="array" ref="F2232">_xlfn.XLOOKUP(A2232,Product!A:A,Product!C:C,"Bulunamadı")</f>
        <v>Career Development</v>
      </c>
      <c r="G2232" s="2" t="str">
        <f t="array" ref="G2232">_xlfn.XLOOKUP(A2233,Product!A:A,Product!D:D,"Bulunamadı")</f>
        <v>Ironpeak Books</v>
      </c>
      <c r="H2232" s="2">
        <f t="array" ref="H2232">_xlfn.XLOOKUP(A2234,Product!A:A,Product!E:E,"Bulunamadı")</f>
        <v>9.32</v>
      </c>
      <c r="I2232" s="2" t="str">
        <f t="shared" si="1"/>
        <v>12647 - Tech - Career Development</v>
      </c>
      <c r="J2232" s="2">
        <f t="shared" si="2"/>
        <v>1370.04</v>
      </c>
      <c r="K2232" s="17">
        <f t="shared" si="3"/>
        <v>1</v>
      </c>
      <c r="L2232" s="18"/>
    </row>
    <row r="2233" hidden="1">
      <c r="A2233" s="2">
        <f>IFERROR(__xludf.DUMMYFUNCTION("""COMPUTED_VALUE"""),122292.0)</f>
        <v>122292</v>
      </c>
      <c r="B2233" s="2">
        <f>IFERROR(__xludf.DUMMYFUNCTION("""COMPUTED_VALUE"""),1.0)</f>
        <v>1</v>
      </c>
      <c r="C2233" s="2">
        <f>IFERROR(__xludf.DUMMYFUNCTION("""COMPUTED_VALUE"""),918.0)</f>
        <v>918</v>
      </c>
      <c r="D2233" s="3">
        <f>IFERROR(__xludf.DUMMYFUNCTION("""COMPUTED_VALUE"""),316.0)</f>
        <v>316</v>
      </c>
      <c r="E2233" s="1" t="str">
        <f t="array" ref="E2233">_xlfn.XLOOKUP(A2233,Product!A:A,Product!B:B,"Bulunamadı")</f>
        <v>Tech</v>
      </c>
      <c r="F2233" s="1" t="str">
        <f t="array" ref="F2233">_xlfn.XLOOKUP(A2233,Product!A:A,Product!C:C,"Bulunamadı")</f>
        <v>Career Development</v>
      </c>
      <c r="G2233" s="2" t="str">
        <f t="array" ref="G2233">_xlfn.XLOOKUP(A2234,Product!A:A,Product!D:D,"Bulunamadı")</f>
        <v>Ironpeak Books</v>
      </c>
      <c r="H2233" s="2">
        <f t="array" ref="H2233">_xlfn.XLOOKUP(A2235,Product!A:A,Product!E:E,"Bulunamadı")</f>
        <v>6.81</v>
      </c>
      <c r="I2233" s="2" t="str">
        <f t="shared" si="1"/>
        <v>122292 - Tech - Career Development</v>
      </c>
      <c r="J2233" s="2">
        <f t="shared" si="2"/>
        <v>2151.96</v>
      </c>
      <c r="K2233" s="17">
        <f t="shared" si="3"/>
        <v>1</v>
      </c>
      <c r="L2233" s="18"/>
    </row>
    <row r="2234" hidden="1">
      <c r="A2234" s="2">
        <f>IFERROR(__xludf.DUMMYFUNCTION("""COMPUTED_VALUE"""),117433.0)</f>
        <v>117433</v>
      </c>
      <c r="B2234" s="2">
        <f>IFERROR(__xludf.DUMMYFUNCTION("""COMPUTED_VALUE"""),0.0)</f>
        <v>0</v>
      </c>
      <c r="C2234" s="2">
        <f>IFERROR(__xludf.DUMMYFUNCTION("""COMPUTED_VALUE"""),788.0)</f>
        <v>788</v>
      </c>
      <c r="D2234" s="3">
        <f>IFERROR(__xludf.DUMMYFUNCTION("""COMPUTED_VALUE"""),523.0)</f>
        <v>523</v>
      </c>
      <c r="E2234" s="1" t="str">
        <f t="array" ref="E2234">_xlfn.XLOOKUP(A2234,Product!A:A,Product!B:B,"Bulunamadı")</f>
        <v>Tech</v>
      </c>
      <c r="F2234" s="1" t="str">
        <f t="array" ref="F2234">_xlfn.XLOOKUP(A2234,Product!A:A,Product!C:C,"Bulunamadı")</f>
        <v>Career Development</v>
      </c>
      <c r="G2234" s="2" t="str">
        <f t="array" ref="G2234">_xlfn.XLOOKUP(A2235,Product!A:A,Product!D:D,"Bulunamadı")</f>
        <v>Ironpeak Books</v>
      </c>
      <c r="H2234" s="2">
        <f t="array" ref="H2234">_xlfn.XLOOKUP(A2236,Product!A:A,Product!E:E,"Bulunamadı")</f>
        <v>6.31</v>
      </c>
      <c r="I2234" s="2" t="str">
        <f t="shared" si="1"/>
        <v>117433 - Tech - Career Development</v>
      </c>
      <c r="J2234" s="2">
        <f t="shared" si="2"/>
        <v>3300.13</v>
      </c>
      <c r="K2234" s="17">
        <f t="shared" si="3"/>
        <v>1</v>
      </c>
      <c r="L2234" s="18"/>
    </row>
    <row r="2235" hidden="1">
      <c r="A2235" s="2">
        <f>IFERROR(__xludf.DUMMYFUNCTION("""COMPUTED_VALUE"""),127018.0)</f>
        <v>127018</v>
      </c>
      <c r="B2235" s="2">
        <f>IFERROR(__xludf.DUMMYFUNCTION("""COMPUTED_VALUE"""),1.0)</f>
        <v>1</v>
      </c>
      <c r="C2235" s="2">
        <f>IFERROR(__xludf.DUMMYFUNCTION("""COMPUTED_VALUE"""),657.0)</f>
        <v>657</v>
      </c>
      <c r="D2235" s="3">
        <f>IFERROR(__xludf.DUMMYFUNCTION("""COMPUTED_VALUE"""),384.0)</f>
        <v>384</v>
      </c>
      <c r="E2235" s="1" t="str">
        <f t="array" ref="E2235">_xlfn.XLOOKUP(A2235,Product!A:A,Product!B:B,"Bulunamadı")</f>
        <v>Tech</v>
      </c>
      <c r="F2235" s="1" t="str">
        <f t="array" ref="F2235">_xlfn.XLOOKUP(A2235,Product!A:A,Product!C:C,"Bulunamadı")</f>
        <v>Career Development</v>
      </c>
      <c r="G2235" s="2" t="str">
        <f t="array" ref="G2235">_xlfn.XLOOKUP(A2236,Product!A:A,Product!D:D,"Bulunamadı")</f>
        <v>Ironpeak Books</v>
      </c>
      <c r="H2235" s="2">
        <f t="array" ref="H2235">_xlfn.XLOOKUP(A2237,Product!A:A,Product!E:E,"Bulunamadı")</f>
        <v>6.17</v>
      </c>
      <c r="I2235" s="2" t="str">
        <f t="shared" si="1"/>
        <v>127018 - Tech - Career Development</v>
      </c>
      <c r="J2235" s="2">
        <f t="shared" si="2"/>
        <v>2369.28</v>
      </c>
      <c r="K2235" s="17">
        <f t="shared" si="3"/>
        <v>1</v>
      </c>
      <c r="L2235" s="18"/>
    </row>
    <row r="2236" hidden="1">
      <c r="A2236" s="2">
        <f>IFERROR(__xludf.DUMMYFUNCTION("""COMPUTED_VALUE"""),9705.0)</f>
        <v>9705</v>
      </c>
      <c r="B2236" s="2">
        <f>IFERROR(__xludf.DUMMYFUNCTION("""COMPUTED_VALUE"""),0.0)</f>
        <v>0</v>
      </c>
      <c r="C2236" s="2">
        <f>IFERROR(__xludf.DUMMYFUNCTION("""COMPUTED_VALUE"""),567.0)</f>
        <v>567</v>
      </c>
      <c r="D2236" s="3">
        <f>IFERROR(__xludf.DUMMYFUNCTION("""COMPUTED_VALUE"""),29.0)</f>
        <v>29</v>
      </c>
      <c r="E2236" s="1" t="str">
        <f t="array" ref="E2236">_xlfn.XLOOKUP(A2236,Product!A:A,Product!B:B,"Bulunamadı")</f>
        <v>Tech</v>
      </c>
      <c r="F2236" s="1" t="str">
        <f t="array" ref="F2236">_xlfn.XLOOKUP(A2236,Product!A:A,Product!C:C,"Bulunamadı")</f>
        <v>Career Development</v>
      </c>
      <c r="G2236" s="2" t="str">
        <f t="array" ref="G2236">_xlfn.XLOOKUP(A2237,Product!A:A,Product!D:D,"Bulunamadı")</f>
        <v>Ironpeak Books</v>
      </c>
      <c r="H2236" s="2">
        <f t="array" ref="H2236">_xlfn.XLOOKUP(A2238,Product!A:A,Product!E:E,"Bulunamadı")</f>
        <v>3.42</v>
      </c>
      <c r="I2236" s="2" t="str">
        <f t="shared" si="1"/>
        <v>9705 - Tech - Career Development</v>
      </c>
      <c r="J2236" s="2">
        <f t="shared" si="2"/>
        <v>99.18</v>
      </c>
      <c r="K2236" s="17">
        <f t="shared" si="3"/>
        <v>1</v>
      </c>
      <c r="L2236" s="18"/>
    </row>
    <row r="2237" hidden="1">
      <c r="A2237" s="2">
        <f>IFERROR(__xludf.DUMMYFUNCTION("""COMPUTED_VALUE"""),9703.0)</f>
        <v>9703</v>
      </c>
      <c r="B2237" s="2">
        <f>IFERROR(__xludf.DUMMYFUNCTION("""COMPUTED_VALUE"""),1.0)</f>
        <v>1</v>
      </c>
      <c r="C2237" s="2">
        <f>IFERROR(__xludf.DUMMYFUNCTION("""COMPUTED_VALUE"""),880.0)</f>
        <v>880</v>
      </c>
      <c r="D2237" s="3">
        <f>IFERROR(__xludf.DUMMYFUNCTION("""COMPUTED_VALUE"""),415.0)</f>
        <v>415</v>
      </c>
      <c r="E2237" s="1" t="str">
        <f t="array" ref="E2237">_xlfn.XLOOKUP(A2237,Product!A:A,Product!B:B,"Bulunamadı")</f>
        <v>Tech</v>
      </c>
      <c r="F2237" s="1" t="str">
        <f t="array" ref="F2237">_xlfn.XLOOKUP(A2237,Product!A:A,Product!C:C,"Bulunamadı")</f>
        <v>Career Development</v>
      </c>
      <c r="G2237" s="2" t="str">
        <f t="array" ref="G2237">_xlfn.XLOOKUP(A2238,Product!A:A,Product!D:D,"Bulunamadı")</f>
        <v>Ironpeak Books</v>
      </c>
      <c r="H2237" s="2">
        <f t="array" ref="H2237">_xlfn.XLOOKUP(A2239,Product!A:A,Product!E:E,"Bulunamadı")</f>
        <v>6.34</v>
      </c>
      <c r="I2237" s="2" t="str">
        <f t="shared" si="1"/>
        <v>9703 - Tech - Career Development</v>
      </c>
      <c r="J2237" s="2">
        <f t="shared" si="2"/>
        <v>2631.1</v>
      </c>
      <c r="K2237" s="17">
        <f t="shared" si="3"/>
        <v>1</v>
      </c>
      <c r="L2237" s="18"/>
    </row>
    <row r="2238" hidden="1">
      <c r="A2238" s="2">
        <f>IFERROR(__xludf.DUMMYFUNCTION("""COMPUTED_VALUE"""),86005.0)</f>
        <v>86005</v>
      </c>
      <c r="B2238" s="2">
        <f>IFERROR(__xludf.DUMMYFUNCTION("""COMPUTED_VALUE"""),0.0)</f>
        <v>0</v>
      </c>
      <c r="C2238" s="2">
        <f>IFERROR(__xludf.DUMMYFUNCTION("""COMPUTED_VALUE"""),-6.0)</f>
        <v>-6</v>
      </c>
      <c r="D2238" s="3">
        <f>IFERROR(__xludf.DUMMYFUNCTION("""COMPUTED_VALUE"""),0.0)</f>
        <v>0</v>
      </c>
      <c r="E2238" s="1" t="str">
        <f t="array" ref="E2238">_xlfn.XLOOKUP(A2238,Product!A:A,Product!B:B,"Bulunamadı")</f>
        <v>Tech</v>
      </c>
      <c r="F2238" s="1" t="str">
        <f t="array" ref="F2238">_xlfn.XLOOKUP(A2238,Product!A:A,Product!C:C,"Bulunamadı")</f>
        <v>Career Development</v>
      </c>
      <c r="G2238" s="2" t="str">
        <f t="array" ref="G2238">_xlfn.XLOOKUP(A2239,Product!A:A,Product!D:D,"Bulunamadı")</f>
        <v>Ironpeak Books</v>
      </c>
      <c r="H2238" s="2">
        <f t="array" ref="H2238">_xlfn.XLOOKUP(A2240,Product!A:A,Product!E:E,"Bulunamadı")</f>
        <v>5.69</v>
      </c>
      <c r="I2238" s="2" t="str">
        <f t="shared" si="1"/>
        <v>86005 - Tech - Career Development</v>
      </c>
      <c r="J2238" s="2">
        <f t="shared" si="2"/>
        <v>0</v>
      </c>
      <c r="K2238" s="17">
        <f t="shared" si="3"/>
        <v>0</v>
      </c>
      <c r="L2238" s="18"/>
    </row>
    <row r="2239" hidden="1">
      <c r="A2239" s="2">
        <f>IFERROR(__xludf.DUMMYFUNCTION("""COMPUTED_VALUE"""),9704.0)</f>
        <v>9704</v>
      </c>
      <c r="B2239" s="2">
        <f>IFERROR(__xludf.DUMMYFUNCTION("""COMPUTED_VALUE"""),0.0)</f>
        <v>0</v>
      </c>
      <c r="C2239" s="2">
        <f>IFERROR(__xludf.DUMMYFUNCTION("""COMPUTED_VALUE"""),762.0)</f>
        <v>762</v>
      </c>
      <c r="D2239" s="3">
        <f>IFERROR(__xludf.DUMMYFUNCTION("""COMPUTED_VALUE"""),598.0)</f>
        <v>598</v>
      </c>
      <c r="E2239" s="1" t="str">
        <f t="array" ref="E2239">_xlfn.XLOOKUP(A2239,Product!A:A,Product!B:B,"Bulunamadı")</f>
        <v>Tech</v>
      </c>
      <c r="F2239" s="1" t="str">
        <f t="array" ref="F2239">_xlfn.XLOOKUP(A2239,Product!A:A,Product!C:C,"Bulunamadı")</f>
        <v>Career Development</v>
      </c>
      <c r="G2239" s="2" t="str">
        <f t="array" ref="G2239">_xlfn.XLOOKUP(A2240,Product!A:A,Product!D:D,"Bulunamadı")</f>
        <v>Ironpeak Books</v>
      </c>
      <c r="H2239" s="2">
        <f t="array" ref="H2239">_xlfn.XLOOKUP(A2241,Product!A:A,Product!E:E,"Bulunamadı")</f>
        <v>4.17</v>
      </c>
      <c r="I2239" s="2" t="str">
        <f t="shared" si="1"/>
        <v>9704 - Tech - Career Development</v>
      </c>
      <c r="J2239" s="2">
        <f t="shared" si="2"/>
        <v>2493.66</v>
      </c>
      <c r="K2239" s="17">
        <f t="shared" si="3"/>
        <v>1</v>
      </c>
      <c r="L2239" s="18"/>
    </row>
    <row r="2240" hidden="1">
      <c r="A2240" s="2">
        <f>IFERROR(__xludf.DUMMYFUNCTION("""COMPUTED_VALUE"""),182189.0)</f>
        <v>182189</v>
      </c>
      <c r="B2240" s="2">
        <f>IFERROR(__xludf.DUMMYFUNCTION("""COMPUTED_VALUE"""),1.0)</f>
        <v>1</v>
      </c>
      <c r="C2240" s="2">
        <f>IFERROR(__xludf.DUMMYFUNCTION("""COMPUTED_VALUE"""),513.0)</f>
        <v>513</v>
      </c>
      <c r="D2240" s="3">
        <f>IFERROR(__xludf.DUMMYFUNCTION("""COMPUTED_VALUE"""),152.0)</f>
        <v>152</v>
      </c>
      <c r="E2240" s="1" t="str">
        <f t="array" ref="E2240">_xlfn.XLOOKUP(A2240,Product!A:A,Product!B:B,"Bulunamadı")</f>
        <v>Tech</v>
      </c>
      <c r="F2240" s="1" t="str">
        <f t="array" ref="F2240">_xlfn.XLOOKUP(A2240,Product!A:A,Product!C:C,"Bulunamadı")</f>
        <v>Career Development</v>
      </c>
      <c r="G2240" s="2" t="str">
        <f t="array" ref="G2240">_xlfn.XLOOKUP(A2241,Product!A:A,Product!D:D,"Bulunamadı")</f>
        <v>Ironpeak Books</v>
      </c>
      <c r="H2240" s="2">
        <f t="array" ref="H2240">_xlfn.XLOOKUP(A2242,Product!A:A,Product!E:E,"Bulunamadı")</f>
        <v>9.78</v>
      </c>
      <c r="I2240" s="2" t="str">
        <f t="shared" si="1"/>
        <v>182189 - Tech - Career Development</v>
      </c>
      <c r="J2240" s="2">
        <f t="shared" si="2"/>
        <v>1486.56</v>
      </c>
      <c r="K2240" s="17">
        <f t="shared" si="3"/>
        <v>1</v>
      </c>
      <c r="L2240" s="18"/>
    </row>
    <row r="2241" hidden="1">
      <c r="A2241" s="2">
        <f>IFERROR(__xludf.DUMMYFUNCTION("""COMPUTED_VALUE"""),29452.0)</f>
        <v>29452</v>
      </c>
      <c r="B2241" s="2">
        <f>IFERROR(__xludf.DUMMYFUNCTION("""COMPUTED_VALUE"""),1.0)</f>
        <v>1</v>
      </c>
      <c r="C2241" s="2">
        <f>IFERROR(__xludf.DUMMYFUNCTION("""COMPUTED_VALUE"""),384.0)</f>
        <v>384</v>
      </c>
      <c r="D2241" s="3">
        <f>IFERROR(__xludf.DUMMYFUNCTION("""COMPUTED_VALUE"""),122.0)</f>
        <v>122</v>
      </c>
      <c r="E2241" s="1" t="str">
        <f t="array" ref="E2241">_xlfn.XLOOKUP(A2241,Product!A:A,Product!B:B,"Bulunamadı")</f>
        <v>Tech</v>
      </c>
      <c r="F2241" s="1" t="str">
        <f t="array" ref="F2241">_xlfn.XLOOKUP(A2241,Product!A:A,Product!C:C,"Bulunamadı")</f>
        <v>Career Development</v>
      </c>
      <c r="G2241" s="2" t="str">
        <f t="array" ref="G2241">_xlfn.XLOOKUP(A2242,Product!A:A,Product!D:D,"Bulunamadı")</f>
        <v>Ironpeak Books</v>
      </c>
      <c r="H2241" s="2">
        <f t="array" ref="H2241">_xlfn.XLOOKUP(A2243,Product!A:A,Product!E:E,"Bulunamadı")</f>
        <v>6.3</v>
      </c>
      <c r="I2241" s="2" t="str">
        <f t="shared" si="1"/>
        <v>29452 - Tech - Career Development</v>
      </c>
      <c r="J2241" s="2">
        <f t="shared" si="2"/>
        <v>768.6</v>
      </c>
      <c r="K2241" s="17">
        <f t="shared" si="3"/>
        <v>1</v>
      </c>
      <c r="L2241" s="18"/>
    </row>
    <row r="2242" hidden="1">
      <c r="A2242" s="2">
        <f>IFERROR(__xludf.DUMMYFUNCTION("""COMPUTED_VALUE"""),122485.0)</f>
        <v>122485</v>
      </c>
      <c r="B2242" s="2">
        <f>IFERROR(__xludf.DUMMYFUNCTION("""COMPUTED_VALUE"""),0.0)</f>
        <v>0</v>
      </c>
      <c r="C2242" s="2">
        <f>IFERROR(__xludf.DUMMYFUNCTION("""COMPUTED_VALUE"""),678.0)</f>
        <v>678</v>
      </c>
      <c r="D2242" s="3">
        <f>IFERROR(__xludf.DUMMYFUNCTION("""COMPUTED_VALUE"""),224.0)</f>
        <v>224</v>
      </c>
      <c r="E2242" s="1" t="str">
        <f t="array" ref="E2242">_xlfn.XLOOKUP(A2242,Product!A:A,Product!B:B,"Bulunamadı")</f>
        <v>Tech</v>
      </c>
      <c r="F2242" s="1" t="str">
        <f t="array" ref="F2242">_xlfn.XLOOKUP(A2242,Product!A:A,Product!C:C,"Bulunamadı")</f>
        <v>Career Development</v>
      </c>
      <c r="G2242" s="2" t="str">
        <f t="array" ref="G2242">_xlfn.XLOOKUP(A2243,Product!A:A,Product!D:D,"Bulunamadı")</f>
        <v>Ironpeak Books</v>
      </c>
      <c r="H2242" s="2">
        <f t="array" ref="H2242">_xlfn.XLOOKUP(A2244,Product!A:A,Product!E:E,"Bulunamadı")</f>
        <v>6.06</v>
      </c>
      <c r="I2242" s="2" t="str">
        <f t="shared" si="1"/>
        <v>122485 - Tech - Career Development</v>
      </c>
      <c r="J2242" s="2">
        <f t="shared" si="2"/>
        <v>1357.44</v>
      </c>
      <c r="K2242" s="17">
        <f t="shared" si="3"/>
        <v>1</v>
      </c>
      <c r="L2242" s="18"/>
    </row>
    <row r="2243" hidden="1">
      <c r="A2243" s="2">
        <f>IFERROR(__xludf.DUMMYFUNCTION("""COMPUTED_VALUE"""),9706.0)</f>
        <v>9706</v>
      </c>
      <c r="B2243" s="2">
        <f>IFERROR(__xludf.DUMMYFUNCTION("""COMPUTED_VALUE"""),1.0)</f>
        <v>1</v>
      </c>
      <c r="C2243" s="2">
        <f>IFERROR(__xludf.DUMMYFUNCTION("""COMPUTED_VALUE"""),301.0)</f>
        <v>301</v>
      </c>
      <c r="D2243" s="3">
        <f>IFERROR(__xludf.DUMMYFUNCTION("""COMPUTED_VALUE"""),37.0)</f>
        <v>37</v>
      </c>
      <c r="E2243" s="1" t="str">
        <f t="array" ref="E2243">_xlfn.XLOOKUP(A2243,Product!A:A,Product!B:B,"Bulunamadı")</f>
        <v>Tech</v>
      </c>
      <c r="F2243" s="1" t="str">
        <f t="array" ref="F2243">_xlfn.XLOOKUP(A2243,Product!A:A,Product!C:C,"Bulunamadı")</f>
        <v>Career Development</v>
      </c>
      <c r="G2243" s="2" t="str">
        <f t="array" ref="G2243">_xlfn.XLOOKUP(A2244,Product!A:A,Product!D:D,"Bulunamadı")</f>
        <v>Ironpeak Books</v>
      </c>
      <c r="H2243" s="2">
        <f t="array" ref="H2243">_xlfn.XLOOKUP(A2245,Product!A:A,Product!E:E,"Bulunamadı")</f>
        <v>1.82</v>
      </c>
      <c r="I2243" s="2" t="str">
        <f t="shared" si="1"/>
        <v>9706 - Tech - Career Development</v>
      </c>
      <c r="J2243" s="2">
        <f t="shared" si="2"/>
        <v>67.34</v>
      </c>
      <c r="K2243" s="17">
        <f t="shared" si="3"/>
        <v>1</v>
      </c>
      <c r="L2243" s="18"/>
    </row>
    <row r="2244" hidden="1">
      <c r="A2244" s="2">
        <f>IFERROR(__xludf.DUMMYFUNCTION("""COMPUTED_VALUE"""),12648.0)</f>
        <v>12648</v>
      </c>
      <c r="B2244" s="2">
        <f>IFERROR(__xludf.DUMMYFUNCTION("""COMPUTED_VALUE"""),1.0)</f>
        <v>1</v>
      </c>
      <c r="C2244" s="2">
        <f>IFERROR(__xludf.DUMMYFUNCTION("""COMPUTED_VALUE"""),286.0)</f>
        <v>286</v>
      </c>
      <c r="D2244" s="3">
        <f>IFERROR(__xludf.DUMMYFUNCTION("""COMPUTED_VALUE"""),128.0)</f>
        <v>128</v>
      </c>
      <c r="E2244" s="1" t="str">
        <f t="array" ref="E2244">_xlfn.XLOOKUP(A2244,Product!A:A,Product!B:B,"Bulunamadı")</f>
        <v>Tech</v>
      </c>
      <c r="F2244" s="1" t="str">
        <f t="array" ref="F2244">_xlfn.XLOOKUP(A2244,Product!A:A,Product!C:C,"Bulunamadı")</f>
        <v>Career Development</v>
      </c>
      <c r="G2244" s="2" t="str">
        <f t="array" ref="G2244">_xlfn.XLOOKUP(A2245,Product!A:A,Product!D:D,"Bulunamadı")</f>
        <v>Silvertrail Press</v>
      </c>
      <c r="H2244" s="2">
        <f t="array" ref="H2244">_xlfn.XLOOKUP(A2246,Product!A:A,Product!E:E,"Bulunamadı")</f>
        <v>2.5</v>
      </c>
      <c r="I2244" s="2" t="str">
        <f t="shared" si="1"/>
        <v>12648 - Tech - Career Development</v>
      </c>
      <c r="J2244" s="2">
        <f t="shared" si="2"/>
        <v>320</v>
      </c>
      <c r="K2244" s="17">
        <f t="shared" si="3"/>
        <v>1</v>
      </c>
      <c r="L2244" s="18"/>
    </row>
    <row r="2245" hidden="1">
      <c r="A2245" s="2">
        <f>IFERROR(__xludf.DUMMYFUNCTION("""COMPUTED_VALUE"""),93899.0)</f>
        <v>93899</v>
      </c>
      <c r="B2245" s="2">
        <f>IFERROR(__xludf.DUMMYFUNCTION("""COMPUTED_VALUE"""),1.0)</f>
        <v>1</v>
      </c>
      <c r="C2245" s="2">
        <f>IFERROR(__xludf.DUMMYFUNCTION("""COMPUTED_VALUE"""),44.0)</f>
        <v>44</v>
      </c>
      <c r="D2245" s="3">
        <f>IFERROR(__xludf.DUMMYFUNCTION("""COMPUTED_VALUE"""),15.0)</f>
        <v>15</v>
      </c>
      <c r="E2245" s="1" t="str">
        <f t="array" ref="E2245">_xlfn.XLOOKUP(A2245,Product!A:A,Product!B:B,"Bulunamadı")</f>
        <v>Tech</v>
      </c>
      <c r="F2245" s="1" t="str">
        <f t="array" ref="F2245">_xlfn.XLOOKUP(A2245,Product!A:A,Product!C:C,"Bulunamadı")</f>
        <v>Career Development</v>
      </c>
      <c r="G2245" s="2" t="str">
        <f t="array" ref="G2245">_xlfn.XLOOKUP(A2246,Product!A:A,Product!D:D,"Bulunamadı")</f>
        <v>Silvertrail Press</v>
      </c>
      <c r="H2245" s="2">
        <f t="array" ref="H2245">_xlfn.XLOOKUP(A2247,Product!A:A,Product!E:E,"Bulunamadı")</f>
        <v>3.04</v>
      </c>
      <c r="I2245" s="2" t="str">
        <f t="shared" si="1"/>
        <v>93899 - Tech - Career Development</v>
      </c>
      <c r="J2245" s="2">
        <f t="shared" si="2"/>
        <v>45.6</v>
      </c>
      <c r="K2245" s="17">
        <f t="shared" si="3"/>
        <v>1</v>
      </c>
      <c r="L2245" s="18"/>
    </row>
    <row r="2246" hidden="1">
      <c r="A2246" s="2">
        <f>IFERROR(__xludf.DUMMYFUNCTION("""COMPUTED_VALUE"""),28890.0)</f>
        <v>28890</v>
      </c>
      <c r="B2246" s="2">
        <f>IFERROR(__xludf.DUMMYFUNCTION("""COMPUTED_VALUE"""),1.0)</f>
        <v>1</v>
      </c>
      <c r="C2246" s="2">
        <f>IFERROR(__xludf.DUMMYFUNCTION("""COMPUTED_VALUE"""),518.0)</f>
        <v>518</v>
      </c>
      <c r="D2246" s="3">
        <f>IFERROR(__xludf.DUMMYFUNCTION("""COMPUTED_VALUE"""),504.0)</f>
        <v>504</v>
      </c>
      <c r="E2246" s="1" t="str">
        <f t="array" ref="E2246">_xlfn.XLOOKUP(A2246,Product!A:A,Product!B:B,"Bulunamadı")</f>
        <v>Tech</v>
      </c>
      <c r="F2246" s="1" t="str">
        <f t="array" ref="F2246">_xlfn.XLOOKUP(A2246,Product!A:A,Product!C:C,"Bulunamadı")</f>
        <v>Career Development</v>
      </c>
      <c r="G2246" s="2" t="str">
        <f t="array" ref="G2246">_xlfn.XLOOKUP(A2247,Product!A:A,Product!D:D,"Bulunamadı")</f>
        <v>Silvertrail Press</v>
      </c>
      <c r="H2246" s="2">
        <f t="array" ref="H2246">_xlfn.XLOOKUP(A2248,Product!A:A,Product!E:E,"Bulunamadı")</f>
        <v>2.55</v>
      </c>
      <c r="I2246" s="2" t="str">
        <f t="shared" si="1"/>
        <v>28890 - Tech - Career Development</v>
      </c>
      <c r="J2246" s="2">
        <f t="shared" si="2"/>
        <v>1285.2</v>
      </c>
      <c r="K2246" s="17">
        <f t="shared" si="3"/>
        <v>1</v>
      </c>
      <c r="L2246" s="18"/>
    </row>
    <row r="2247" hidden="1">
      <c r="A2247" s="2">
        <f>IFERROR(__xludf.DUMMYFUNCTION("""COMPUTED_VALUE"""),17638.0)</f>
        <v>17638</v>
      </c>
      <c r="B2247" s="2">
        <f>IFERROR(__xludf.DUMMYFUNCTION("""COMPUTED_VALUE"""),1.0)</f>
        <v>1</v>
      </c>
      <c r="C2247" s="2">
        <f>IFERROR(__xludf.DUMMYFUNCTION("""COMPUTED_VALUE"""),922.0)</f>
        <v>922</v>
      </c>
      <c r="D2247" s="3">
        <f>IFERROR(__xludf.DUMMYFUNCTION("""COMPUTED_VALUE"""),199.0)</f>
        <v>199</v>
      </c>
      <c r="E2247" s="1" t="str">
        <f t="array" ref="E2247">_xlfn.XLOOKUP(A2247,Product!A:A,Product!B:B,"Bulunamadı")</f>
        <v>Tech</v>
      </c>
      <c r="F2247" s="1" t="str">
        <f t="array" ref="F2247">_xlfn.XLOOKUP(A2247,Product!A:A,Product!C:C,"Bulunamadı")</f>
        <v>Career Development</v>
      </c>
      <c r="G2247" s="2" t="str">
        <f t="array" ref="G2247">_xlfn.XLOOKUP(A2248,Product!A:A,Product!D:D,"Bulunamadı")</f>
        <v>Silvertrail Press</v>
      </c>
      <c r="H2247" s="2">
        <f t="array" ref="H2247">_xlfn.XLOOKUP(A2249,Product!A:A,Product!E:E,"Bulunamadı")</f>
        <v>3.18</v>
      </c>
      <c r="I2247" s="2" t="str">
        <f t="shared" si="1"/>
        <v>17638 - Tech - Career Development</v>
      </c>
      <c r="J2247" s="2">
        <f t="shared" si="2"/>
        <v>632.82</v>
      </c>
      <c r="K2247" s="17">
        <f t="shared" si="3"/>
        <v>1</v>
      </c>
      <c r="L2247" s="18"/>
    </row>
    <row r="2248" hidden="1">
      <c r="A2248" s="2">
        <f>IFERROR(__xludf.DUMMYFUNCTION("""COMPUTED_VALUE"""),28888.0)</f>
        <v>28888</v>
      </c>
      <c r="B2248" s="2">
        <f>IFERROR(__xludf.DUMMYFUNCTION("""COMPUTED_VALUE"""),1.0)</f>
        <v>1</v>
      </c>
      <c r="C2248" s="2">
        <f>IFERROR(__xludf.DUMMYFUNCTION("""COMPUTED_VALUE"""),818.0)</f>
        <v>818</v>
      </c>
      <c r="D2248" s="3">
        <f>IFERROR(__xludf.DUMMYFUNCTION("""COMPUTED_VALUE"""),709.0)</f>
        <v>709</v>
      </c>
      <c r="E2248" s="1" t="str">
        <f t="array" ref="E2248">_xlfn.XLOOKUP(A2248,Product!A:A,Product!B:B,"Bulunamadı")</f>
        <v>Tech</v>
      </c>
      <c r="F2248" s="1" t="str">
        <f t="array" ref="F2248">_xlfn.XLOOKUP(A2248,Product!A:A,Product!C:C,"Bulunamadı")</f>
        <v>Career Development</v>
      </c>
      <c r="G2248" s="2" t="str">
        <f t="array" ref="G2248">_xlfn.XLOOKUP(A2249,Product!A:A,Product!D:D,"Bulunamadı")</f>
        <v>Silvertrail Press</v>
      </c>
      <c r="H2248" s="2">
        <f t="array" ref="H2248">_xlfn.XLOOKUP(A2250,Product!A:A,Product!E:E,"Bulunamadı")</f>
        <v>1.85</v>
      </c>
      <c r="I2248" s="2" t="str">
        <f t="shared" si="1"/>
        <v>28888 - Tech - Career Development</v>
      </c>
      <c r="J2248" s="2">
        <f t="shared" si="2"/>
        <v>1311.65</v>
      </c>
      <c r="K2248" s="17">
        <f t="shared" si="3"/>
        <v>1</v>
      </c>
      <c r="L2248" s="18"/>
    </row>
    <row r="2249" hidden="1">
      <c r="A2249" s="2">
        <f>IFERROR(__xludf.DUMMYFUNCTION("""COMPUTED_VALUE"""),29455.0)</f>
        <v>29455</v>
      </c>
      <c r="B2249" s="2">
        <f>IFERROR(__xludf.DUMMYFUNCTION("""COMPUTED_VALUE"""),0.0)</f>
        <v>0</v>
      </c>
      <c r="C2249" s="2">
        <f>IFERROR(__xludf.DUMMYFUNCTION("""COMPUTED_VALUE"""),827.0)</f>
        <v>827</v>
      </c>
      <c r="D2249" s="3">
        <f>IFERROR(__xludf.DUMMYFUNCTION("""COMPUTED_VALUE"""),816.0)</f>
        <v>816</v>
      </c>
      <c r="E2249" s="1" t="str">
        <f t="array" ref="E2249">_xlfn.XLOOKUP(A2249,Product!A:A,Product!B:B,"Bulunamadı")</f>
        <v>Tech</v>
      </c>
      <c r="F2249" s="1" t="str">
        <f t="array" ref="F2249">_xlfn.XLOOKUP(A2249,Product!A:A,Product!C:C,"Bulunamadı")</f>
        <v>Career Development</v>
      </c>
      <c r="G2249" s="2" t="str">
        <f t="array" ref="G2249">_xlfn.XLOOKUP(A2250,Product!A:A,Product!D:D,"Bulunamadı")</f>
        <v>Silvertrail Press</v>
      </c>
      <c r="H2249" s="2">
        <f t="array" ref="H2249">_xlfn.XLOOKUP(A2251,Product!A:A,Product!E:E,"Bulunamadı")</f>
        <v>3.29</v>
      </c>
      <c r="I2249" s="2" t="str">
        <f t="shared" si="1"/>
        <v>29455 - Tech - Career Development</v>
      </c>
      <c r="J2249" s="2">
        <f t="shared" si="2"/>
        <v>2684.64</v>
      </c>
      <c r="K2249" s="17">
        <f t="shared" si="3"/>
        <v>1</v>
      </c>
      <c r="L2249" s="18"/>
    </row>
    <row r="2250" hidden="1">
      <c r="A2250" s="2">
        <f>IFERROR(__xludf.DUMMYFUNCTION("""COMPUTED_VALUE"""),93895.0)</f>
        <v>93895</v>
      </c>
      <c r="B2250" s="2">
        <f>IFERROR(__xludf.DUMMYFUNCTION("""COMPUTED_VALUE"""),1.0)</f>
        <v>1</v>
      </c>
      <c r="C2250" s="2">
        <f>IFERROR(__xludf.DUMMYFUNCTION("""COMPUTED_VALUE"""),68.0)</f>
        <v>68</v>
      </c>
      <c r="D2250" s="3">
        <f>IFERROR(__xludf.DUMMYFUNCTION("""COMPUTED_VALUE"""),52.0)</f>
        <v>52</v>
      </c>
      <c r="E2250" s="1" t="str">
        <f t="array" ref="E2250">_xlfn.XLOOKUP(A2250,Product!A:A,Product!B:B,"Bulunamadı")</f>
        <v>Tech</v>
      </c>
      <c r="F2250" s="1" t="str">
        <f t="array" ref="F2250">_xlfn.XLOOKUP(A2250,Product!A:A,Product!C:C,"Bulunamadı")</f>
        <v>Career Development</v>
      </c>
      <c r="G2250" s="2" t="str">
        <f t="array" ref="G2250">_xlfn.XLOOKUP(A2251,Product!A:A,Product!D:D,"Bulunamadı")</f>
        <v>Silvertrail Press</v>
      </c>
      <c r="H2250" s="2">
        <f t="array" ref="H2250">_xlfn.XLOOKUP(A2252,Product!A:A,Product!E:E,"Bulunamadı")</f>
        <v>3.19</v>
      </c>
      <c r="I2250" s="2" t="str">
        <f t="shared" si="1"/>
        <v>93895 - Tech - Career Development</v>
      </c>
      <c r="J2250" s="2">
        <f t="shared" si="2"/>
        <v>165.88</v>
      </c>
      <c r="K2250" s="17">
        <f t="shared" si="3"/>
        <v>1</v>
      </c>
      <c r="L2250" s="18"/>
    </row>
    <row r="2251" hidden="1">
      <c r="A2251" s="2">
        <f>IFERROR(__xludf.DUMMYFUNCTION("""COMPUTED_VALUE"""),116417.0)</f>
        <v>116417</v>
      </c>
      <c r="B2251" s="2">
        <f>IFERROR(__xludf.DUMMYFUNCTION("""COMPUTED_VALUE"""),1.0)</f>
        <v>1</v>
      </c>
      <c r="C2251" s="2">
        <f>IFERROR(__xludf.DUMMYFUNCTION("""COMPUTED_VALUE"""),81.0)</f>
        <v>81</v>
      </c>
      <c r="D2251" s="3">
        <f>IFERROR(__xludf.DUMMYFUNCTION("""COMPUTED_VALUE"""),21.0)</f>
        <v>21</v>
      </c>
      <c r="E2251" s="1" t="str">
        <f t="array" ref="E2251">_xlfn.XLOOKUP(A2251,Product!A:A,Product!B:B,"Bulunamadı")</f>
        <v>Tech</v>
      </c>
      <c r="F2251" s="1" t="str">
        <f t="array" ref="F2251">_xlfn.XLOOKUP(A2251,Product!A:A,Product!C:C,"Bulunamadı")</f>
        <v>Career Development</v>
      </c>
      <c r="G2251" s="2" t="str">
        <f t="array" ref="G2251">_xlfn.XLOOKUP(A2252,Product!A:A,Product!D:D,"Bulunamadı")</f>
        <v>Silvertrail Press</v>
      </c>
      <c r="H2251" s="2">
        <f t="array" ref="H2251">_xlfn.XLOOKUP(A2253,Product!A:A,Product!E:E,"Bulunamadı")</f>
        <v>4.67</v>
      </c>
      <c r="I2251" s="2" t="str">
        <f t="shared" si="1"/>
        <v>116417 - Tech - Career Development</v>
      </c>
      <c r="J2251" s="2">
        <f t="shared" si="2"/>
        <v>98.07</v>
      </c>
      <c r="K2251" s="17">
        <f t="shared" si="3"/>
        <v>1</v>
      </c>
      <c r="L2251" s="18"/>
    </row>
    <row r="2252" hidden="1">
      <c r="A2252" s="2">
        <f>IFERROR(__xludf.DUMMYFUNCTION("""COMPUTED_VALUE"""),1971.0)</f>
        <v>1971</v>
      </c>
      <c r="B2252" s="2">
        <f>IFERROR(__xludf.DUMMYFUNCTION("""COMPUTED_VALUE"""),1.0)</f>
        <v>1</v>
      </c>
      <c r="C2252" s="2">
        <f>IFERROR(__xludf.DUMMYFUNCTION("""COMPUTED_VALUE"""),611.0)</f>
        <v>611</v>
      </c>
      <c r="D2252" s="3">
        <f>IFERROR(__xludf.DUMMYFUNCTION("""COMPUTED_VALUE"""),41.0)</f>
        <v>41</v>
      </c>
      <c r="E2252" s="1" t="str">
        <f t="array" ref="E2252">_xlfn.XLOOKUP(A2252,Product!A:A,Product!B:B,"Bulunamadı")</f>
        <v>Tech</v>
      </c>
      <c r="F2252" s="1" t="str">
        <f t="array" ref="F2252">_xlfn.XLOOKUP(A2252,Product!A:A,Product!C:C,"Bulunamadı")</f>
        <v>Career Development</v>
      </c>
      <c r="G2252" s="2" t="str">
        <f t="array" ref="G2252">_xlfn.XLOOKUP(A2253,Product!A:A,Product!D:D,"Bulunamadı")</f>
        <v>Silvertrail Press</v>
      </c>
      <c r="H2252" s="2">
        <f t="array" ref="H2252">_xlfn.XLOOKUP(A2254,Product!A:A,Product!E:E,"Bulunamadı")</f>
        <v>2.16</v>
      </c>
      <c r="I2252" s="2" t="str">
        <f t="shared" si="1"/>
        <v>1971 - Tech - Career Development</v>
      </c>
      <c r="J2252" s="2">
        <f t="shared" si="2"/>
        <v>88.56</v>
      </c>
      <c r="K2252" s="17">
        <f t="shared" si="3"/>
        <v>1</v>
      </c>
      <c r="L2252" s="18"/>
    </row>
    <row r="2253" hidden="1">
      <c r="A2253" s="2">
        <f>IFERROR(__xludf.DUMMYFUNCTION("""COMPUTED_VALUE"""),12649.0)</f>
        <v>12649</v>
      </c>
      <c r="B2253" s="2">
        <f>IFERROR(__xludf.DUMMYFUNCTION("""COMPUTED_VALUE"""),0.0)</f>
        <v>0</v>
      </c>
      <c r="C2253" s="2">
        <f>IFERROR(__xludf.DUMMYFUNCTION("""COMPUTED_VALUE"""),287.0)</f>
        <v>287</v>
      </c>
      <c r="D2253" s="3">
        <f>IFERROR(__xludf.DUMMYFUNCTION("""COMPUTED_VALUE"""),132.0)</f>
        <v>132</v>
      </c>
      <c r="E2253" s="1" t="str">
        <f t="array" ref="E2253">_xlfn.XLOOKUP(A2253,Product!A:A,Product!B:B,"Bulunamadı")</f>
        <v>Tech</v>
      </c>
      <c r="F2253" s="1" t="str">
        <f t="array" ref="F2253">_xlfn.XLOOKUP(A2253,Product!A:A,Product!C:C,"Bulunamadı")</f>
        <v>Career Development</v>
      </c>
      <c r="G2253" s="2" t="str">
        <f t="array" ref="G2253">_xlfn.XLOOKUP(A2254,Product!A:A,Product!D:D,"Bulunamadı")</f>
        <v>Silvertrail Press</v>
      </c>
      <c r="H2253" s="2">
        <f t="array" ref="H2253">_xlfn.XLOOKUP(A2255,Product!A:A,Product!E:E,"Bulunamadı")</f>
        <v>3.81</v>
      </c>
      <c r="I2253" s="2" t="str">
        <f t="shared" si="1"/>
        <v>12649 - Tech - Career Development</v>
      </c>
      <c r="J2253" s="2">
        <f t="shared" si="2"/>
        <v>502.92</v>
      </c>
      <c r="K2253" s="17">
        <f t="shared" si="3"/>
        <v>1</v>
      </c>
      <c r="L2253" s="18"/>
    </row>
    <row r="2254" hidden="1">
      <c r="A2254" s="2">
        <f>IFERROR(__xludf.DUMMYFUNCTION("""COMPUTED_VALUE"""),93896.0)</f>
        <v>93896</v>
      </c>
      <c r="B2254" s="2">
        <f>IFERROR(__xludf.DUMMYFUNCTION("""COMPUTED_VALUE"""),0.0)</f>
        <v>0</v>
      </c>
      <c r="C2254" s="2">
        <f>IFERROR(__xludf.DUMMYFUNCTION("""COMPUTED_VALUE"""),557.0)</f>
        <v>557</v>
      </c>
      <c r="D2254" s="3">
        <f>IFERROR(__xludf.DUMMYFUNCTION("""COMPUTED_VALUE"""),116.0)</f>
        <v>116</v>
      </c>
      <c r="E2254" s="1" t="str">
        <f t="array" ref="E2254">_xlfn.XLOOKUP(A2254,Product!A:A,Product!B:B,"Bulunamadı")</f>
        <v>Tech</v>
      </c>
      <c r="F2254" s="1" t="str">
        <f t="array" ref="F2254">_xlfn.XLOOKUP(A2254,Product!A:A,Product!C:C,"Bulunamadı")</f>
        <v>Career Development</v>
      </c>
      <c r="G2254" s="2" t="str">
        <f t="array" ref="G2254">_xlfn.XLOOKUP(A2255,Product!A:A,Product!D:D,"Bulunamadı")</f>
        <v>Silvertrail Press</v>
      </c>
      <c r="H2254" s="2">
        <f t="array" ref="H2254">_xlfn.XLOOKUP(A2256,Product!A:A,Product!E:E,"Bulunamadı")</f>
        <v>2.92</v>
      </c>
      <c r="I2254" s="2" t="str">
        <f t="shared" si="1"/>
        <v>93896 - Tech - Career Development</v>
      </c>
      <c r="J2254" s="2">
        <f t="shared" si="2"/>
        <v>338.72</v>
      </c>
      <c r="K2254" s="17">
        <f t="shared" si="3"/>
        <v>1</v>
      </c>
      <c r="L2254" s="18"/>
    </row>
    <row r="2255" hidden="1">
      <c r="A2255" s="2">
        <f>IFERROR(__xludf.DUMMYFUNCTION("""COMPUTED_VALUE"""),44386.0)</f>
        <v>44386</v>
      </c>
      <c r="B2255" s="2">
        <f>IFERROR(__xludf.DUMMYFUNCTION("""COMPUTED_VALUE"""),0.0)</f>
        <v>0</v>
      </c>
      <c r="C2255" s="2">
        <f>IFERROR(__xludf.DUMMYFUNCTION("""COMPUTED_VALUE"""),304.0)</f>
        <v>304</v>
      </c>
      <c r="D2255" s="3">
        <f>IFERROR(__xludf.DUMMYFUNCTION("""COMPUTED_VALUE"""),83.0)</f>
        <v>83</v>
      </c>
      <c r="E2255" s="1" t="str">
        <f t="array" ref="E2255">_xlfn.XLOOKUP(A2255,Product!A:A,Product!B:B,"Bulunamadı")</f>
        <v>Tech</v>
      </c>
      <c r="F2255" s="1" t="str">
        <f t="array" ref="F2255">_xlfn.XLOOKUP(A2255,Product!A:A,Product!C:C,"Bulunamadı")</f>
        <v>Career Development</v>
      </c>
      <c r="G2255" s="2" t="str">
        <f t="array" ref="G2255">_xlfn.XLOOKUP(A2256,Product!A:A,Product!D:D,"Bulunamadı")</f>
        <v>Silvertrail Press</v>
      </c>
      <c r="H2255" s="2">
        <f t="array" ref="H2255">_xlfn.XLOOKUP(A2257,Product!A:A,Product!E:E,"Bulunamadı")</f>
        <v>1.24</v>
      </c>
      <c r="I2255" s="2" t="str">
        <f t="shared" si="1"/>
        <v>44386 - Tech - Career Development</v>
      </c>
      <c r="J2255" s="2">
        <f t="shared" si="2"/>
        <v>102.92</v>
      </c>
      <c r="K2255" s="17">
        <f t="shared" si="3"/>
        <v>1</v>
      </c>
      <c r="L2255" s="18"/>
    </row>
    <row r="2256" hidden="1">
      <c r="A2256" s="2">
        <f>IFERROR(__xludf.DUMMYFUNCTION("""COMPUTED_VALUE"""),188156.0)</f>
        <v>188156</v>
      </c>
      <c r="B2256" s="2">
        <f>IFERROR(__xludf.DUMMYFUNCTION("""COMPUTED_VALUE"""),0.0)</f>
        <v>0</v>
      </c>
      <c r="C2256" s="2">
        <f>IFERROR(__xludf.DUMMYFUNCTION("""COMPUTED_VALUE"""),59.0)</f>
        <v>59</v>
      </c>
      <c r="D2256" s="3">
        <f>IFERROR(__xludf.DUMMYFUNCTION("""COMPUTED_VALUE"""),3.0)</f>
        <v>3</v>
      </c>
      <c r="E2256" s="1" t="str">
        <f t="array" ref="E2256">_xlfn.XLOOKUP(A2256,Product!A:A,Product!B:B,"Bulunamadı")</f>
        <v>Tech</v>
      </c>
      <c r="F2256" s="1" t="str">
        <f t="array" ref="F2256">_xlfn.XLOOKUP(A2256,Product!A:A,Product!C:C,"Bulunamadı")</f>
        <v>Career Development</v>
      </c>
      <c r="G2256" s="2" t="str">
        <f t="array" ref="G2256">_xlfn.XLOOKUP(A2257,Product!A:A,Product!D:D,"Bulunamadı")</f>
        <v>Silvertrail Press</v>
      </c>
      <c r="H2256" s="2">
        <f t="array" ref="H2256">_xlfn.XLOOKUP(A2258,Product!A:A,Product!E:E,"Bulunamadı")</f>
        <v>4.92</v>
      </c>
      <c r="I2256" s="2" t="str">
        <f t="shared" si="1"/>
        <v>188156 - Tech - Career Development</v>
      </c>
      <c r="J2256" s="2">
        <f t="shared" si="2"/>
        <v>14.76</v>
      </c>
      <c r="K2256" s="17">
        <f t="shared" si="3"/>
        <v>1</v>
      </c>
      <c r="L2256" s="18"/>
    </row>
    <row r="2257" hidden="1">
      <c r="A2257" s="2">
        <f>IFERROR(__xludf.DUMMYFUNCTION("""COMPUTED_VALUE"""),7360.0)</f>
        <v>7360</v>
      </c>
      <c r="B2257" s="2">
        <f>IFERROR(__xludf.DUMMYFUNCTION("""COMPUTED_VALUE"""),1.0)</f>
        <v>1</v>
      </c>
      <c r="C2257" s="2">
        <f>IFERROR(__xludf.DUMMYFUNCTION("""COMPUTED_VALUE"""),486.0)</f>
        <v>486</v>
      </c>
      <c r="D2257" s="3">
        <f>IFERROR(__xludf.DUMMYFUNCTION("""COMPUTED_VALUE"""),298.0)</f>
        <v>298</v>
      </c>
      <c r="E2257" s="1" t="str">
        <f t="array" ref="E2257">_xlfn.XLOOKUP(A2257,Product!A:A,Product!B:B,"Bulunamadı")</f>
        <v>Tech</v>
      </c>
      <c r="F2257" s="1" t="str">
        <f t="array" ref="F2257">_xlfn.XLOOKUP(A2257,Product!A:A,Product!C:C,"Bulunamadı")</f>
        <v>Career Development</v>
      </c>
      <c r="G2257" s="2" t="str">
        <f t="array" ref="G2257">_xlfn.XLOOKUP(A2258,Product!A:A,Product!D:D,"Bulunamadı")</f>
        <v>Northtrail Publishing</v>
      </c>
      <c r="H2257" s="2">
        <f t="array" ref="H2257">_xlfn.XLOOKUP(A2259,Product!A:A,Product!E:E,"Bulunamadı")</f>
        <v>2.25</v>
      </c>
      <c r="I2257" s="2" t="str">
        <f t="shared" si="1"/>
        <v>7360 - Tech - Career Development</v>
      </c>
      <c r="J2257" s="2">
        <f t="shared" si="2"/>
        <v>670.5</v>
      </c>
      <c r="K2257" s="17">
        <f t="shared" si="3"/>
        <v>1</v>
      </c>
      <c r="L2257" s="18"/>
    </row>
    <row r="2258" hidden="1">
      <c r="A2258" s="2">
        <f>IFERROR(__xludf.DUMMYFUNCTION("""COMPUTED_VALUE"""),79323.0)</f>
        <v>79323</v>
      </c>
      <c r="B2258" s="2">
        <f>IFERROR(__xludf.DUMMYFUNCTION("""COMPUTED_VALUE"""),0.0)</f>
        <v>0</v>
      </c>
      <c r="C2258" s="2">
        <f>IFERROR(__xludf.DUMMYFUNCTION("""COMPUTED_VALUE"""),566.0)</f>
        <v>566</v>
      </c>
      <c r="D2258" s="3">
        <f>IFERROR(__xludf.DUMMYFUNCTION("""COMPUTED_VALUE"""),489.0)</f>
        <v>489</v>
      </c>
      <c r="E2258" s="1" t="str">
        <f t="array" ref="E2258">_xlfn.XLOOKUP(A2258,Product!A:A,Product!B:B,"Bulunamadı")</f>
        <v>Tech</v>
      </c>
      <c r="F2258" s="1" t="str">
        <f t="array" ref="F2258">_xlfn.XLOOKUP(A2258,Product!A:A,Product!C:C,"Bulunamadı")</f>
        <v>Career Development</v>
      </c>
      <c r="G2258" s="2" t="str">
        <f t="array" ref="G2258">_xlfn.XLOOKUP(A2259,Product!A:A,Product!D:D,"Bulunamadı")</f>
        <v>Northtrail Publishing</v>
      </c>
      <c r="H2258" s="2">
        <f t="array" ref="H2258">_xlfn.XLOOKUP(A2260,Product!A:A,Product!E:E,"Bulunamadı")</f>
        <v>3.46</v>
      </c>
      <c r="I2258" s="2" t="str">
        <f t="shared" si="1"/>
        <v>79323 - Tech - Career Development</v>
      </c>
      <c r="J2258" s="2">
        <f t="shared" si="2"/>
        <v>1691.94</v>
      </c>
      <c r="K2258" s="17">
        <f t="shared" si="3"/>
        <v>1</v>
      </c>
      <c r="L2258" s="18"/>
    </row>
    <row r="2259" hidden="1">
      <c r="A2259" s="2">
        <f>IFERROR(__xludf.DUMMYFUNCTION("""COMPUTED_VALUE"""),72015.0)</f>
        <v>72015</v>
      </c>
      <c r="B2259" s="2">
        <f>IFERROR(__xludf.DUMMYFUNCTION("""COMPUTED_VALUE"""),0.0)</f>
        <v>0</v>
      </c>
      <c r="C2259" s="2">
        <f>IFERROR(__xludf.DUMMYFUNCTION("""COMPUTED_VALUE"""),901.0)</f>
        <v>901</v>
      </c>
      <c r="D2259" s="3">
        <f>IFERROR(__xludf.DUMMYFUNCTION("""COMPUTED_VALUE"""),535.0)</f>
        <v>535</v>
      </c>
      <c r="E2259" s="1" t="str">
        <f t="array" ref="E2259">_xlfn.XLOOKUP(A2259,Product!A:A,Product!B:B,"Bulunamadı")</f>
        <v>Tech</v>
      </c>
      <c r="F2259" s="1" t="str">
        <f t="array" ref="F2259">_xlfn.XLOOKUP(A2259,Product!A:A,Product!C:C,"Bulunamadı")</f>
        <v>Career Development</v>
      </c>
      <c r="G2259" s="2" t="str">
        <f t="array" ref="G2259">_xlfn.XLOOKUP(A2260,Product!A:A,Product!D:D,"Bulunamadı")</f>
        <v>Northtrail Publishing</v>
      </c>
      <c r="H2259" s="2">
        <f t="array" ref="H2259">_xlfn.XLOOKUP(A2261,Product!A:A,Product!E:E,"Bulunamadı")</f>
        <v>6.59</v>
      </c>
      <c r="I2259" s="2" t="str">
        <f t="shared" si="1"/>
        <v>72015 - Tech - Career Development</v>
      </c>
      <c r="J2259" s="2">
        <f t="shared" si="2"/>
        <v>3525.65</v>
      </c>
      <c r="K2259" s="17">
        <f t="shared" si="3"/>
        <v>1</v>
      </c>
      <c r="L2259" s="18"/>
    </row>
    <row r="2260" hidden="1">
      <c r="A2260" s="2">
        <f>IFERROR(__xludf.DUMMYFUNCTION("""COMPUTED_VALUE"""),44310.0)</f>
        <v>44310</v>
      </c>
      <c r="B2260" s="2">
        <f>IFERROR(__xludf.DUMMYFUNCTION("""COMPUTED_VALUE"""),1.0)</f>
        <v>1</v>
      </c>
      <c r="C2260" s="2">
        <f>IFERROR(__xludf.DUMMYFUNCTION("""COMPUTED_VALUE"""),948.0)</f>
        <v>948</v>
      </c>
      <c r="D2260" s="3">
        <f>IFERROR(__xludf.DUMMYFUNCTION("""COMPUTED_VALUE"""),542.0)</f>
        <v>542</v>
      </c>
      <c r="E2260" s="1" t="str">
        <f t="array" ref="E2260">_xlfn.XLOOKUP(A2260,Product!A:A,Product!B:B,"Bulunamadı")</f>
        <v>Tech</v>
      </c>
      <c r="F2260" s="1" t="str">
        <f t="array" ref="F2260">_xlfn.XLOOKUP(A2260,Product!A:A,Product!C:C,"Bulunamadı")</f>
        <v>Career Development</v>
      </c>
      <c r="G2260" s="2" t="str">
        <f t="array" ref="G2260">_xlfn.XLOOKUP(A2261,Product!A:A,Product!D:D,"Bulunamadı")</f>
        <v>Northtrail Publishing</v>
      </c>
      <c r="H2260" s="2">
        <f t="array" ref="H2260">_xlfn.XLOOKUP(A2262,Product!A:A,Product!E:E,"Bulunamadı")</f>
        <v>5.54</v>
      </c>
      <c r="I2260" s="2" t="str">
        <f t="shared" si="1"/>
        <v>44310 - Tech - Career Development</v>
      </c>
      <c r="J2260" s="2">
        <f t="shared" si="2"/>
        <v>3002.68</v>
      </c>
      <c r="K2260" s="17">
        <f t="shared" si="3"/>
        <v>1</v>
      </c>
      <c r="L2260" s="18"/>
    </row>
    <row r="2261" hidden="1">
      <c r="A2261" s="2">
        <f>IFERROR(__xludf.DUMMYFUNCTION("""COMPUTED_VALUE"""),77044.0)</f>
        <v>77044</v>
      </c>
      <c r="B2261" s="2">
        <f>IFERROR(__xludf.DUMMYFUNCTION("""COMPUTED_VALUE"""),0.0)</f>
        <v>0</v>
      </c>
      <c r="C2261" s="2">
        <f>IFERROR(__xludf.DUMMYFUNCTION("""COMPUTED_VALUE"""),179.0)</f>
        <v>179</v>
      </c>
      <c r="D2261" s="3">
        <f>IFERROR(__xludf.DUMMYFUNCTION("""COMPUTED_VALUE"""),137.0)</f>
        <v>137</v>
      </c>
      <c r="E2261" s="1" t="str">
        <f t="array" ref="E2261">_xlfn.XLOOKUP(A2261,Product!A:A,Product!B:B,"Bulunamadı")</f>
        <v>Tech</v>
      </c>
      <c r="F2261" s="1" t="str">
        <f t="array" ref="F2261">_xlfn.XLOOKUP(A2261,Product!A:A,Product!C:C,"Bulunamadı")</f>
        <v>Career Development</v>
      </c>
      <c r="G2261" s="2" t="str">
        <f t="array" ref="G2261">_xlfn.XLOOKUP(A2262,Product!A:A,Product!D:D,"Bulunamadı")</f>
        <v>Northtrail Publishing</v>
      </c>
      <c r="H2261" s="2">
        <f t="array" ref="H2261">_xlfn.XLOOKUP(A2263,Product!A:A,Product!E:E,"Bulunamadı")</f>
        <v>3.34</v>
      </c>
      <c r="I2261" s="2" t="str">
        <f t="shared" si="1"/>
        <v>77044 - Tech - Career Development</v>
      </c>
      <c r="J2261" s="2">
        <f t="shared" si="2"/>
        <v>457.58</v>
      </c>
      <c r="K2261" s="17">
        <f t="shared" si="3"/>
        <v>1</v>
      </c>
      <c r="L2261" s="18"/>
    </row>
    <row r="2262" hidden="1">
      <c r="A2262" s="2">
        <f>IFERROR(__xludf.DUMMYFUNCTION("""COMPUTED_VALUE"""),120636.0)</f>
        <v>120636</v>
      </c>
      <c r="B2262" s="2">
        <f>IFERROR(__xludf.DUMMYFUNCTION("""COMPUTED_VALUE"""),1.0)</f>
        <v>1</v>
      </c>
      <c r="C2262" s="2">
        <f>IFERROR(__xludf.DUMMYFUNCTION("""COMPUTED_VALUE"""),759.0)</f>
        <v>759</v>
      </c>
      <c r="D2262" s="3">
        <f>IFERROR(__xludf.DUMMYFUNCTION("""COMPUTED_VALUE"""),432.0)</f>
        <v>432</v>
      </c>
      <c r="E2262" s="1" t="str">
        <f t="array" ref="E2262">_xlfn.XLOOKUP(A2262,Product!A:A,Product!B:B,"Bulunamadı")</f>
        <v>Tech</v>
      </c>
      <c r="F2262" s="1" t="str">
        <f t="array" ref="F2262">_xlfn.XLOOKUP(A2262,Product!A:A,Product!C:C,"Bulunamadı")</f>
        <v>Career Development</v>
      </c>
      <c r="G2262" s="2" t="str">
        <f t="array" ref="G2262">_xlfn.XLOOKUP(A2263,Product!A:A,Product!D:D,"Bulunamadı")</f>
        <v>Northtrail Publishing</v>
      </c>
      <c r="H2262" s="2">
        <f t="array" ref="H2262">_xlfn.XLOOKUP(A2264,Product!A:A,Product!E:E,"Bulunamadı")</f>
        <v>3.4</v>
      </c>
      <c r="I2262" s="2" t="str">
        <f t="shared" si="1"/>
        <v>120636 - Tech - Career Development</v>
      </c>
      <c r="J2262" s="2">
        <f t="shared" si="2"/>
        <v>1468.8</v>
      </c>
      <c r="K2262" s="17">
        <f t="shared" si="3"/>
        <v>1</v>
      </c>
      <c r="L2262" s="18"/>
    </row>
    <row r="2263" hidden="1">
      <c r="A2263" s="2">
        <f>IFERROR(__xludf.DUMMYFUNCTION("""COMPUTED_VALUE"""),92662.0)</f>
        <v>92662</v>
      </c>
      <c r="B2263" s="2">
        <f>IFERROR(__xludf.DUMMYFUNCTION("""COMPUTED_VALUE"""),0.0)</f>
        <v>0</v>
      </c>
      <c r="C2263" s="2">
        <f>IFERROR(__xludf.DUMMYFUNCTION("""COMPUTED_VALUE"""),482.0)</f>
        <v>482</v>
      </c>
      <c r="D2263" s="3">
        <f>IFERROR(__xludf.DUMMYFUNCTION("""COMPUTED_VALUE"""),460.0)</f>
        <v>460</v>
      </c>
      <c r="E2263" s="1" t="str">
        <f t="array" ref="E2263">_xlfn.XLOOKUP(A2263,Product!A:A,Product!B:B,"Bulunamadı")</f>
        <v>Tech</v>
      </c>
      <c r="F2263" s="1" t="str">
        <f t="array" ref="F2263">_xlfn.XLOOKUP(A2263,Product!A:A,Product!C:C,"Bulunamadı")</f>
        <v>Career Development</v>
      </c>
      <c r="G2263" s="2" t="str">
        <f t="array" ref="G2263">_xlfn.XLOOKUP(A2264,Product!A:A,Product!D:D,"Bulunamadı")</f>
        <v>Harbortrail Books</v>
      </c>
      <c r="H2263" s="2">
        <f t="array" ref="H2263">_xlfn.XLOOKUP(A2265,Product!A:A,Product!E:E,"Bulunamadı")</f>
        <v>3.63</v>
      </c>
      <c r="I2263" s="2" t="str">
        <f t="shared" si="1"/>
        <v>92662 - Tech - Career Development</v>
      </c>
      <c r="J2263" s="2">
        <f t="shared" si="2"/>
        <v>1669.8</v>
      </c>
      <c r="K2263" s="17">
        <f t="shared" si="3"/>
        <v>1</v>
      </c>
      <c r="L2263" s="18"/>
    </row>
    <row r="2264" hidden="1">
      <c r="A2264" s="2">
        <f>IFERROR(__xludf.DUMMYFUNCTION("""COMPUTED_VALUE"""),117263.0)</f>
        <v>117263</v>
      </c>
      <c r="B2264" s="2">
        <f>IFERROR(__xludf.DUMMYFUNCTION("""COMPUTED_VALUE"""),1.0)</f>
        <v>1</v>
      </c>
      <c r="C2264" s="2">
        <f>IFERROR(__xludf.DUMMYFUNCTION("""COMPUTED_VALUE"""),624.0)</f>
        <v>624</v>
      </c>
      <c r="D2264" s="3">
        <f>IFERROR(__xludf.DUMMYFUNCTION("""COMPUTED_VALUE"""),73.0)</f>
        <v>73</v>
      </c>
      <c r="E2264" s="1" t="str">
        <f t="array" ref="E2264">_xlfn.XLOOKUP(A2264,Product!A:A,Product!B:B,"Bulunamadı")</f>
        <v>Tech</v>
      </c>
      <c r="F2264" s="1" t="str">
        <f t="array" ref="F2264">_xlfn.XLOOKUP(A2264,Product!A:A,Product!C:C,"Bulunamadı")</f>
        <v>Career Development</v>
      </c>
      <c r="G2264" s="2" t="str">
        <f t="array" ref="G2264">_xlfn.XLOOKUP(A2265,Product!A:A,Product!D:D,"Bulunamadı")</f>
        <v>Harbortrail Books</v>
      </c>
      <c r="H2264" s="2">
        <f t="array" ref="H2264">_xlfn.XLOOKUP(A2266,Product!A:A,Product!E:E,"Bulunamadı")</f>
        <v>13.75</v>
      </c>
      <c r="I2264" s="2" t="str">
        <f t="shared" si="1"/>
        <v>117263 - Tech - Career Development</v>
      </c>
      <c r="J2264" s="2">
        <f t="shared" si="2"/>
        <v>1003.75</v>
      </c>
      <c r="K2264" s="17">
        <f t="shared" si="3"/>
        <v>1</v>
      </c>
      <c r="L2264" s="18"/>
    </row>
    <row r="2265" hidden="1">
      <c r="A2265" s="2">
        <f>IFERROR(__xludf.DUMMYFUNCTION("""COMPUTED_VALUE"""),117261.0)</f>
        <v>117261</v>
      </c>
      <c r="B2265" s="2">
        <f>IFERROR(__xludf.DUMMYFUNCTION("""COMPUTED_VALUE"""),0.0)</f>
        <v>0</v>
      </c>
      <c r="C2265" s="2">
        <f>IFERROR(__xludf.DUMMYFUNCTION("""COMPUTED_VALUE"""),517.0)</f>
        <v>517</v>
      </c>
      <c r="D2265" s="3">
        <f>IFERROR(__xludf.DUMMYFUNCTION("""COMPUTED_VALUE"""),155.0)</f>
        <v>155</v>
      </c>
      <c r="E2265" s="1" t="str">
        <f t="array" ref="E2265">_xlfn.XLOOKUP(A2265,Product!A:A,Product!B:B,"Bulunamadı")</f>
        <v>Tech</v>
      </c>
      <c r="F2265" s="1" t="str">
        <f t="array" ref="F2265">_xlfn.XLOOKUP(A2265,Product!A:A,Product!C:C,"Bulunamadı")</f>
        <v>Career Development</v>
      </c>
      <c r="G2265" s="2" t="str">
        <f t="array" ref="G2265">_xlfn.XLOOKUP(A2266,Product!A:A,Product!D:D,"Bulunamadı")</f>
        <v>Harbortrail Books</v>
      </c>
      <c r="H2265" s="2">
        <f t="array" ref="H2265">_xlfn.XLOOKUP(A2267,Product!A:A,Product!E:E,"Bulunamadı")</f>
        <v>2.83</v>
      </c>
      <c r="I2265" s="2" t="str">
        <f t="shared" si="1"/>
        <v>117261 - Tech - Career Development</v>
      </c>
      <c r="J2265" s="2">
        <f t="shared" si="2"/>
        <v>438.65</v>
      </c>
      <c r="K2265" s="17">
        <f t="shared" si="3"/>
        <v>1</v>
      </c>
      <c r="L2265" s="18"/>
    </row>
    <row r="2266" hidden="1">
      <c r="A2266" s="2">
        <f>IFERROR(__xludf.DUMMYFUNCTION("""COMPUTED_VALUE"""),10644.0)</f>
        <v>10644</v>
      </c>
      <c r="B2266" s="2">
        <f>IFERROR(__xludf.DUMMYFUNCTION("""COMPUTED_VALUE"""),1.0)</f>
        <v>1</v>
      </c>
      <c r="C2266" s="2">
        <f>IFERROR(__xludf.DUMMYFUNCTION("""COMPUTED_VALUE"""),266.0)</f>
        <v>266</v>
      </c>
      <c r="D2266" s="3">
        <f>IFERROR(__xludf.DUMMYFUNCTION("""COMPUTED_VALUE"""),50.0)</f>
        <v>50</v>
      </c>
      <c r="E2266" s="1" t="str">
        <f t="array" ref="E2266">_xlfn.XLOOKUP(A2266,Product!A:A,Product!B:B,"Bulunamadı")</f>
        <v>Tech</v>
      </c>
      <c r="F2266" s="1" t="str">
        <f t="array" ref="F2266">_xlfn.XLOOKUP(A2266,Product!A:A,Product!C:C,"Bulunamadı")</f>
        <v>Career Development</v>
      </c>
      <c r="G2266" s="2" t="str">
        <f t="array" ref="G2266">_xlfn.XLOOKUP(A2267,Product!A:A,Product!D:D,"Bulunamadı")</f>
        <v>Cedartrail Press</v>
      </c>
      <c r="H2266" s="2">
        <f t="array" ref="H2266">_xlfn.XLOOKUP(A2268,Product!A:A,Product!E:E,"Bulunamadı")</f>
        <v>7.3</v>
      </c>
      <c r="I2266" s="2" t="str">
        <f t="shared" si="1"/>
        <v>10644 - Tech - Career Development</v>
      </c>
      <c r="J2266" s="2">
        <f t="shared" si="2"/>
        <v>365</v>
      </c>
      <c r="K2266" s="17">
        <f t="shared" si="3"/>
        <v>1</v>
      </c>
      <c r="L2266" s="18"/>
    </row>
    <row r="2267" hidden="1">
      <c r="A2267" s="2">
        <f>IFERROR(__xludf.DUMMYFUNCTION("""COMPUTED_VALUE"""),102457.0)</f>
        <v>102457</v>
      </c>
      <c r="B2267" s="2">
        <f>IFERROR(__xludf.DUMMYFUNCTION("""COMPUTED_VALUE"""),1.0)</f>
        <v>1</v>
      </c>
      <c r="C2267" s="2">
        <f>IFERROR(__xludf.DUMMYFUNCTION("""COMPUTED_VALUE"""),677.0)</f>
        <v>677</v>
      </c>
      <c r="D2267" s="3">
        <f>IFERROR(__xludf.DUMMYFUNCTION("""COMPUTED_VALUE"""),497.0)</f>
        <v>497</v>
      </c>
      <c r="E2267" s="1" t="str">
        <f t="array" ref="E2267">_xlfn.XLOOKUP(A2267,Product!A:A,Product!B:B,"Bulunamadı")</f>
        <v>Tech</v>
      </c>
      <c r="F2267" s="1" t="str">
        <f t="array" ref="F2267">_xlfn.XLOOKUP(A2267,Product!A:A,Product!C:C,"Bulunamadı")</f>
        <v>Career Development</v>
      </c>
      <c r="G2267" s="2" t="str">
        <f t="array" ref="G2267">_xlfn.XLOOKUP(A2268,Product!A:A,Product!D:D,"Bulunamadı")</f>
        <v>Cedartrail Press</v>
      </c>
      <c r="H2267" s="2">
        <f t="array" ref="H2267">_xlfn.XLOOKUP(A2269,Product!A:A,Product!E:E,"Bulunamadı")</f>
        <v>6.71</v>
      </c>
      <c r="I2267" s="2" t="str">
        <f t="shared" si="1"/>
        <v>102457 - Tech - Career Development</v>
      </c>
      <c r="J2267" s="2">
        <f t="shared" si="2"/>
        <v>3334.87</v>
      </c>
      <c r="K2267" s="17">
        <f t="shared" si="3"/>
        <v>1</v>
      </c>
      <c r="L2267" s="18"/>
    </row>
    <row r="2268" hidden="1">
      <c r="A2268" s="2">
        <f>IFERROR(__xludf.DUMMYFUNCTION("""COMPUTED_VALUE"""),117419.0)</f>
        <v>117419</v>
      </c>
      <c r="B2268" s="2">
        <f>IFERROR(__xludf.DUMMYFUNCTION("""COMPUTED_VALUE"""),1.0)</f>
        <v>1</v>
      </c>
      <c r="C2268" s="2">
        <f>IFERROR(__xludf.DUMMYFUNCTION("""COMPUTED_VALUE"""),785.0)</f>
        <v>785</v>
      </c>
      <c r="D2268" s="3">
        <f>IFERROR(__xludf.DUMMYFUNCTION("""COMPUTED_VALUE"""),287.0)</f>
        <v>287</v>
      </c>
      <c r="E2268" s="1" t="str">
        <f t="array" ref="E2268">_xlfn.XLOOKUP(A2268,Product!A:A,Product!B:B,"Bulunamadı")</f>
        <v>Tech</v>
      </c>
      <c r="F2268" s="1" t="str">
        <f t="array" ref="F2268">_xlfn.XLOOKUP(A2268,Product!A:A,Product!C:C,"Bulunamadı")</f>
        <v>Career Development</v>
      </c>
      <c r="G2268" s="2" t="str">
        <f t="array" ref="G2268">_xlfn.XLOOKUP(A2269,Product!A:A,Product!D:D,"Bulunamadı")</f>
        <v>Cedartrail Press</v>
      </c>
      <c r="H2268" s="2">
        <f t="array" ref="H2268">_xlfn.XLOOKUP(A2270,Product!A:A,Product!E:E,"Bulunamadı")</f>
        <v>4.36</v>
      </c>
      <c r="I2268" s="2" t="str">
        <f t="shared" si="1"/>
        <v>117419 - Tech - Career Development</v>
      </c>
      <c r="J2268" s="2">
        <f t="shared" si="2"/>
        <v>1251.32</v>
      </c>
      <c r="K2268" s="17">
        <f t="shared" si="3"/>
        <v>1</v>
      </c>
      <c r="L2268" s="18"/>
    </row>
    <row r="2269" hidden="1">
      <c r="A2269" s="2">
        <f>IFERROR(__xludf.DUMMYFUNCTION("""COMPUTED_VALUE"""),150939.0)</f>
        <v>150939</v>
      </c>
      <c r="B2269" s="2">
        <f>IFERROR(__xludf.DUMMYFUNCTION("""COMPUTED_VALUE"""),1.0)</f>
        <v>1</v>
      </c>
      <c r="C2269" s="2">
        <f>IFERROR(__xludf.DUMMYFUNCTION("""COMPUTED_VALUE"""),723.0)</f>
        <v>723</v>
      </c>
      <c r="D2269" s="3">
        <f>IFERROR(__xludf.DUMMYFUNCTION("""COMPUTED_VALUE"""),235.0)</f>
        <v>235</v>
      </c>
      <c r="E2269" s="1" t="str">
        <f t="array" ref="E2269">_xlfn.XLOOKUP(A2269,Product!A:A,Product!B:B,"Bulunamadı")</f>
        <v>Tech</v>
      </c>
      <c r="F2269" s="1" t="str">
        <f t="array" ref="F2269">_xlfn.XLOOKUP(A2269,Product!A:A,Product!C:C,"Bulunamadı")</f>
        <v>Career Development</v>
      </c>
      <c r="G2269" s="2" t="str">
        <f t="array" ref="G2269">_xlfn.XLOOKUP(A2270,Product!A:A,Product!D:D,"Bulunamadı")</f>
        <v>Cedartrail Press</v>
      </c>
      <c r="H2269" s="2">
        <f t="array" ref="H2269">_xlfn.XLOOKUP(A2271,Product!A:A,Product!E:E,"Bulunamadı")</f>
        <v>2.25</v>
      </c>
      <c r="I2269" s="2" t="str">
        <f t="shared" si="1"/>
        <v>150939 - Tech - Career Development</v>
      </c>
      <c r="J2269" s="2">
        <f t="shared" si="2"/>
        <v>528.75</v>
      </c>
      <c r="K2269" s="17">
        <f t="shared" si="3"/>
        <v>1</v>
      </c>
      <c r="L2269" s="18"/>
    </row>
    <row r="2270" hidden="1">
      <c r="A2270" s="2">
        <f>IFERROR(__xludf.DUMMYFUNCTION("""COMPUTED_VALUE"""),10517.0)</f>
        <v>10517</v>
      </c>
      <c r="B2270" s="2">
        <f>IFERROR(__xludf.DUMMYFUNCTION("""COMPUTED_VALUE"""),1.0)</f>
        <v>1</v>
      </c>
      <c r="C2270" s="2">
        <f>IFERROR(__xludf.DUMMYFUNCTION("""COMPUTED_VALUE"""),84.0)</f>
        <v>84</v>
      </c>
      <c r="D2270" s="3">
        <f>IFERROR(__xludf.DUMMYFUNCTION("""COMPUTED_VALUE"""),20.0)</f>
        <v>20</v>
      </c>
      <c r="E2270" s="1" t="str">
        <f t="array" ref="E2270">_xlfn.XLOOKUP(A2270,Product!A:A,Product!B:B,"Bulunamadı")</f>
        <v>Tech</v>
      </c>
      <c r="F2270" s="1" t="str">
        <f t="array" ref="F2270">_xlfn.XLOOKUP(A2270,Product!A:A,Product!C:C,"Bulunamadı")</f>
        <v>Career Development</v>
      </c>
      <c r="G2270" s="2" t="str">
        <f t="array" ref="G2270">_xlfn.XLOOKUP(A2271,Product!A:A,Product!D:D,"Bulunamadı")</f>
        <v>Cedartrail Press</v>
      </c>
      <c r="H2270" s="2">
        <f t="array" ref="H2270">_xlfn.XLOOKUP(A2272,Product!A:A,Product!E:E,"Bulunamadı")</f>
        <v>4.32</v>
      </c>
      <c r="I2270" s="2" t="str">
        <f t="shared" si="1"/>
        <v>10517 - Tech - Career Development</v>
      </c>
      <c r="J2270" s="2">
        <f t="shared" si="2"/>
        <v>86.4</v>
      </c>
      <c r="K2270" s="17">
        <f t="shared" si="3"/>
        <v>1</v>
      </c>
      <c r="L2270" s="18"/>
    </row>
    <row r="2271" hidden="1">
      <c r="A2271" s="2">
        <f>IFERROR(__xludf.DUMMYFUNCTION("""COMPUTED_VALUE"""),79109.0)</f>
        <v>79109</v>
      </c>
      <c r="B2271" s="2">
        <f>IFERROR(__xludf.DUMMYFUNCTION("""COMPUTED_VALUE"""),1.0)</f>
        <v>1</v>
      </c>
      <c r="C2271" s="2">
        <f>IFERROR(__xludf.DUMMYFUNCTION("""COMPUTED_VALUE"""),399.0)</f>
        <v>399</v>
      </c>
      <c r="D2271" s="3">
        <f>IFERROR(__xludf.DUMMYFUNCTION("""COMPUTED_VALUE"""),142.0)</f>
        <v>142</v>
      </c>
      <c r="E2271" s="1" t="str">
        <f t="array" ref="E2271">_xlfn.XLOOKUP(A2271,Product!A:A,Product!B:B,"Bulunamadı")</f>
        <v>Tech</v>
      </c>
      <c r="F2271" s="1" t="str">
        <f t="array" ref="F2271">_xlfn.XLOOKUP(A2271,Product!A:A,Product!C:C,"Bulunamadı")</f>
        <v>Career Development</v>
      </c>
      <c r="G2271" s="2" t="str">
        <f t="array" ref="G2271">_xlfn.XLOOKUP(A2272,Product!A:A,Product!D:D,"Bulunamadı")</f>
        <v>Cedartrail Press</v>
      </c>
      <c r="H2271" s="2">
        <f t="array" ref="H2271">_xlfn.XLOOKUP(A2273,Product!A:A,Product!E:E,"Bulunamadı")</f>
        <v>2.65</v>
      </c>
      <c r="I2271" s="2" t="str">
        <f t="shared" si="1"/>
        <v>79109 - Tech - Career Development</v>
      </c>
      <c r="J2271" s="2">
        <f t="shared" si="2"/>
        <v>376.3</v>
      </c>
      <c r="K2271" s="17">
        <f t="shared" si="3"/>
        <v>1</v>
      </c>
      <c r="L2271" s="18"/>
    </row>
    <row r="2272" hidden="1">
      <c r="A2272" s="2">
        <f>IFERROR(__xludf.DUMMYFUNCTION("""COMPUTED_VALUE"""),118918.0)</f>
        <v>118918</v>
      </c>
      <c r="B2272" s="2">
        <f>IFERROR(__xludf.DUMMYFUNCTION("""COMPUTED_VALUE"""),1.0)</f>
        <v>1</v>
      </c>
      <c r="C2272" s="2">
        <f>IFERROR(__xludf.DUMMYFUNCTION("""COMPUTED_VALUE"""),577.0)</f>
        <v>577</v>
      </c>
      <c r="D2272" s="3">
        <f>IFERROR(__xludf.DUMMYFUNCTION("""COMPUTED_VALUE"""),376.0)</f>
        <v>376</v>
      </c>
      <c r="E2272" s="1" t="str">
        <f t="array" ref="E2272">_xlfn.XLOOKUP(A2272,Product!A:A,Product!B:B,"Bulunamadı")</f>
        <v>Tech</v>
      </c>
      <c r="F2272" s="1" t="str">
        <f t="array" ref="F2272">_xlfn.XLOOKUP(A2272,Product!A:A,Product!C:C,"Bulunamadı")</f>
        <v>Career Development</v>
      </c>
      <c r="G2272" s="2" t="str">
        <f t="array" ref="G2272">_xlfn.XLOOKUP(A2273,Product!A:A,Product!D:D,"Bulunamadı")</f>
        <v>Cedartrail Press</v>
      </c>
      <c r="H2272" s="2">
        <f t="array" ref="H2272">_xlfn.XLOOKUP(A2274,Product!A:A,Product!E:E,"Bulunamadı")</f>
        <v>15.42</v>
      </c>
      <c r="I2272" s="2" t="str">
        <f t="shared" si="1"/>
        <v>118918 - Tech - Career Development</v>
      </c>
      <c r="J2272" s="2">
        <f t="shared" si="2"/>
        <v>5797.92</v>
      </c>
      <c r="K2272" s="17">
        <f t="shared" si="3"/>
        <v>1</v>
      </c>
      <c r="L2272" s="18"/>
    </row>
    <row r="2273" hidden="1">
      <c r="A2273" s="2">
        <f>IFERROR(__xludf.DUMMYFUNCTION("""COMPUTED_VALUE"""),102456.0)</f>
        <v>102456</v>
      </c>
      <c r="B2273" s="2">
        <f>IFERROR(__xludf.DUMMYFUNCTION("""COMPUTED_VALUE"""),1.0)</f>
        <v>1</v>
      </c>
      <c r="C2273" s="2">
        <f>IFERROR(__xludf.DUMMYFUNCTION("""COMPUTED_VALUE"""),30.0)</f>
        <v>30</v>
      </c>
      <c r="D2273" s="3">
        <f>IFERROR(__xludf.DUMMYFUNCTION("""COMPUTED_VALUE"""),14.0)</f>
        <v>14</v>
      </c>
      <c r="E2273" s="1" t="str">
        <f t="array" ref="E2273">_xlfn.XLOOKUP(A2273,Product!A:A,Product!B:B,"Bulunamadı")</f>
        <v>Tech</v>
      </c>
      <c r="F2273" s="1" t="str">
        <f t="array" ref="F2273">_xlfn.XLOOKUP(A2273,Product!A:A,Product!C:C,"Bulunamadı")</f>
        <v>Career Development</v>
      </c>
      <c r="G2273" s="2" t="str">
        <f t="array" ref="G2273">_xlfn.XLOOKUP(A2274,Product!A:A,Product!D:D,"Bulunamadı")</f>
        <v>Cedartrail Press</v>
      </c>
      <c r="H2273" s="2">
        <f t="array" ref="H2273">_xlfn.XLOOKUP(A2275,Product!A:A,Product!E:E,"Bulunamadı")</f>
        <v>5.52</v>
      </c>
      <c r="I2273" s="2" t="str">
        <f t="shared" si="1"/>
        <v>102456 - Tech - Career Development</v>
      </c>
      <c r="J2273" s="2">
        <f t="shared" si="2"/>
        <v>77.28</v>
      </c>
      <c r="K2273" s="17">
        <f t="shared" si="3"/>
        <v>1</v>
      </c>
      <c r="L2273" s="18"/>
    </row>
    <row r="2274" hidden="1">
      <c r="A2274" s="2">
        <f>IFERROR(__xludf.DUMMYFUNCTION("""COMPUTED_VALUE"""),155865.0)</f>
        <v>155865</v>
      </c>
      <c r="B2274" s="2">
        <f>IFERROR(__xludf.DUMMYFUNCTION("""COMPUTED_VALUE"""),0.0)</f>
        <v>0</v>
      </c>
      <c r="C2274" s="2">
        <f>IFERROR(__xludf.DUMMYFUNCTION("""COMPUTED_VALUE"""),85.0)</f>
        <v>85</v>
      </c>
      <c r="D2274" s="3">
        <f>IFERROR(__xludf.DUMMYFUNCTION("""COMPUTED_VALUE"""),34.0)</f>
        <v>34</v>
      </c>
      <c r="E2274" s="1" t="str">
        <f t="array" ref="E2274">_xlfn.XLOOKUP(A2274,Product!A:A,Product!B:B,"Bulunamadı")</f>
        <v>Tech</v>
      </c>
      <c r="F2274" s="1" t="str">
        <f t="array" ref="F2274">_xlfn.XLOOKUP(A2274,Product!A:A,Product!C:C,"Bulunamadı")</f>
        <v>Career Development</v>
      </c>
      <c r="G2274" s="2" t="str">
        <f t="array" ref="G2274">_xlfn.XLOOKUP(A2275,Product!A:A,Product!D:D,"Bulunamadı")</f>
        <v>Cedartrail Press</v>
      </c>
      <c r="H2274" s="2">
        <f t="array" ref="H2274">_xlfn.XLOOKUP(A2276,Product!A:A,Product!E:E,"Bulunamadı")</f>
        <v>3.25</v>
      </c>
      <c r="I2274" s="2" t="str">
        <f t="shared" si="1"/>
        <v>155865 - Tech - Career Development</v>
      </c>
      <c r="J2274" s="2">
        <f t="shared" si="2"/>
        <v>110.5</v>
      </c>
      <c r="K2274" s="17">
        <f t="shared" si="3"/>
        <v>1</v>
      </c>
      <c r="L2274" s="18"/>
    </row>
    <row r="2275" hidden="1">
      <c r="A2275" s="2">
        <f>IFERROR(__xludf.DUMMYFUNCTION("""COMPUTED_VALUE"""),100443.0)</f>
        <v>100443</v>
      </c>
      <c r="B2275" s="2">
        <f>IFERROR(__xludf.DUMMYFUNCTION("""COMPUTED_VALUE"""),0.0)</f>
        <v>0</v>
      </c>
      <c r="C2275" s="2">
        <f>IFERROR(__xludf.DUMMYFUNCTION("""COMPUTED_VALUE"""),311.0)</f>
        <v>311</v>
      </c>
      <c r="D2275" s="3">
        <f>IFERROR(__xludf.DUMMYFUNCTION("""COMPUTED_VALUE"""),254.0)</f>
        <v>254</v>
      </c>
      <c r="E2275" s="1" t="str">
        <f t="array" ref="E2275">_xlfn.XLOOKUP(A2275,Product!A:A,Product!B:B,"Bulunamadı")</f>
        <v>Tech</v>
      </c>
      <c r="F2275" s="1" t="str">
        <f t="array" ref="F2275">_xlfn.XLOOKUP(A2275,Product!A:A,Product!C:C,"Bulunamadı")</f>
        <v>Career Development</v>
      </c>
      <c r="G2275" s="2" t="str">
        <f t="array" ref="G2275">_xlfn.XLOOKUP(A2276,Product!A:A,Product!D:D,"Bulunamadı")</f>
        <v>Cedartrail Press</v>
      </c>
      <c r="H2275" s="2">
        <f t="array" ref="H2275">_xlfn.XLOOKUP(A2277,Product!A:A,Product!E:E,"Bulunamadı")</f>
        <v>6.56</v>
      </c>
      <c r="I2275" s="2" t="str">
        <f t="shared" si="1"/>
        <v>100443 - Tech - Career Development</v>
      </c>
      <c r="J2275" s="2">
        <f t="shared" si="2"/>
        <v>1666.24</v>
      </c>
      <c r="K2275" s="17">
        <f t="shared" si="3"/>
        <v>1</v>
      </c>
      <c r="L2275" s="18"/>
    </row>
    <row r="2276" hidden="1">
      <c r="A2276" s="2">
        <f>IFERROR(__xludf.DUMMYFUNCTION("""COMPUTED_VALUE"""),93833.0)</f>
        <v>93833</v>
      </c>
      <c r="B2276" s="2">
        <f>IFERROR(__xludf.DUMMYFUNCTION("""COMPUTED_VALUE"""),0.0)</f>
        <v>0</v>
      </c>
      <c r="C2276" s="2">
        <f>IFERROR(__xludf.DUMMYFUNCTION("""COMPUTED_VALUE"""),381.0)</f>
        <v>381</v>
      </c>
      <c r="D2276" s="3">
        <f>IFERROR(__xludf.DUMMYFUNCTION("""COMPUTED_VALUE"""),110.0)</f>
        <v>110</v>
      </c>
      <c r="E2276" s="1" t="str">
        <f t="array" ref="E2276">_xlfn.XLOOKUP(A2276,Product!A:A,Product!B:B,"Bulunamadı")</f>
        <v>Tech</v>
      </c>
      <c r="F2276" s="1" t="str">
        <f t="array" ref="F2276">_xlfn.XLOOKUP(A2276,Product!A:A,Product!C:C,"Bulunamadı")</f>
        <v>Career Development</v>
      </c>
      <c r="G2276" s="2" t="str">
        <f t="array" ref="G2276">_xlfn.XLOOKUP(A2277,Product!A:A,Product!D:D,"Bulunamadı")</f>
        <v>Cedartrail Press</v>
      </c>
      <c r="H2276" s="2">
        <f t="array" ref="H2276">_xlfn.XLOOKUP(A2278,Product!A:A,Product!E:E,"Bulunamadı")</f>
        <v>5.81</v>
      </c>
      <c r="I2276" s="2" t="str">
        <f t="shared" si="1"/>
        <v>93833 - Tech - Career Development</v>
      </c>
      <c r="J2276" s="2">
        <f t="shared" si="2"/>
        <v>639.1</v>
      </c>
      <c r="K2276" s="17">
        <f t="shared" si="3"/>
        <v>1</v>
      </c>
      <c r="L2276" s="18"/>
    </row>
    <row r="2277" hidden="1">
      <c r="A2277" s="2">
        <f>IFERROR(__xludf.DUMMYFUNCTION("""COMPUTED_VALUE"""),76693.0)</f>
        <v>76693</v>
      </c>
      <c r="B2277" s="2">
        <f>IFERROR(__xludf.DUMMYFUNCTION("""COMPUTED_VALUE"""),1.0)</f>
        <v>1</v>
      </c>
      <c r="C2277" s="2">
        <f>IFERROR(__xludf.DUMMYFUNCTION("""COMPUTED_VALUE"""),9.0)</f>
        <v>9</v>
      </c>
      <c r="D2277" s="3">
        <f>IFERROR(__xludf.DUMMYFUNCTION("""COMPUTED_VALUE"""),2.0)</f>
        <v>2</v>
      </c>
      <c r="E2277" s="1" t="str">
        <f t="array" ref="E2277">_xlfn.XLOOKUP(A2277,Product!A:A,Product!B:B,"Bulunamadı")</f>
        <v>Tech</v>
      </c>
      <c r="F2277" s="1" t="str">
        <f t="array" ref="F2277">_xlfn.XLOOKUP(A2277,Product!A:A,Product!C:C,"Bulunamadı")</f>
        <v>Career Development</v>
      </c>
      <c r="G2277" s="2" t="str">
        <f t="array" ref="G2277">_xlfn.XLOOKUP(A2278,Product!A:A,Product!D:D,"Bulunamadı")</f>
        <v>Cedartrail Press</v>
      </c>
      <c r="H2277" s="2">
        <f t="array" ref="H2277">_xlfn.XLOOKUP(A2279,Product!A:A,Product!E:E,"Bulunamadı")</f>
        <v>6.21</v>
      </c>
      <c r="I2277" s="2" t="str">
        <f t="shared" si="1"/>
        <v>76693 - Tech - Career Development</v>
      </c>
      <c r="J2277" s="2">
        <f t="shared" si="2"/>
        <v>12.42</v>
      </c>
      <c r="K2277" s="17">
        <f t="shared" si="3"/>
        <v>1</v>
      </c>
      <c r="L2277" s="18"/>
    </row>
    <row r="2278" hidden="1">
      <c r="A2278" s="2">
        <f>IFERROR(__xludf.DUMMYFUNCTION("""COMPUTED_VALUE"""),100441.0)</f>
        <v>100441</v>
      </c>
      <c r="B2278" s="2">
        <f>IFERROR(__xludf.DUMMYFUNCTION("""COMPUTED_VALUE"""),0.0)</f>
        <v>0</v>
      </c>
      <c r="C2278" s="2">
        <f>IFERROR(__xludf.DUMMYFUNCTION("""COMPUTED_VALUE"""),913.0)</f>
        <v>913</v>
      </c>
      <c r="D2278" s="3">
        <f>IFERROR(__xludf.DUMMYFUNCTION("""COMPUTED_VALUE"""),119.0)</f>
        <v>119</v>
      </c>
      <c r="E2278" s="1" t="str">
        <f t="array" ref="E2278">_xlfn.XLOOKUP(A2278,Product!A:A,Product!B:B,"Bulunamadı")</f>
        <v>Tech</v>
      </c>
      <c r="F2278" s="1" t="str">
        <f t="array" ref="F2278">_xlfn.XLOOKUP(A2278,Product!A:A,Product!C:C,"Bulunamadı")</f>
        <v>Career Development</v>
      </c>
      <c r="G2278" s="2" t="str">
        <f t="array" ref="G2278">_xlfn.XLOOKUP(A2279,Product!A:A,Product!D:D,"Bulunamadı")</f>
        <v>Cedartrail Press</v>
      </c>
      <c r="H2278" s="2">
        <f t="array" ref="H2278">_xlfn.XLOOKUP(A2280,Product!A:A,Product!E:E,"Bulunamadı")</f>
        <v>8.2</v>
      </c>
      <c r="I2278" s="2" t="str">
        <f t="shared" si="1"/>
        <v>100441 - Tech - Career Development</v>
      </c>
      <c r="J2278" s="2">
        <f t="shared" si="2"/>
        <v>975.8</v>
      </c>
      <c r="K2278" s="17">
        <f t="shared" si="3"/>
        <v>1</v>
      </c>
      <c r="L2278" s="18"/>
    </row>
    <row r="2279" hidden="1">
      <c r="A2279" s="2">
        <f>IFERROR(__xludf.DUMMYFUNCTION("""COMPUTED_VALUE"""),103230.0)</f>
        <v>103230</v>
      </c>
      <c r="B2279" s="2">
        <f>IFERROR(__xludf.DUMMYFUNCTION("""COMPUTED_VALUE"""),1.0)</f>
        <v>1</v>
      </c>
      <c r="C2279" s="2">
        <f>IFERROR(__xludf.DUMMYFUNCTION("""COMPUTED_VALUE"""),808.0)</f>
        <v>808</v>
      </c>
      <c r="D2279" s="3">
        <f>IFERROR(__xludf.DUMMYFUNCTION("""COMPUTED_VALUE"""),468.0)</f>
        <v>468</v>
      </c>
      <c r="E2279" s="1" t="str">
        <f t="array" ref="E2279">_xlfn.XLOOKUP(A2279,Product!A:A,Product!B:B,"Bulunamadı")</f>
        <v>Tech</v>
      </c>
      <c r="F2279" s="1" t="str">
        <f t="array" ref="F2279">_xlfn.XLOOKUP(A2279,Product!A:A,Product!C:C,"Bulunamadı")</f>
        <v>Career Development</v>
      </c>
      <c r="G2279" s="2" t="str">
        <f t="array" ref="G2279">_xlfn.XLOOKUP(A2280,Product!A:A,Product!D:D,"Bulunamadı")</f>
        <v>Brighttrail Publishing</v>
      </c>
      <c r="H2279" s="2">
        <f t="array" ref="H2279">_xlfn.XLOOKUP(A2281,Product!A:A,Product!E:E,"Bulunamadı")</f>
        <v>1.4</v>
      </c>
      <c r="I2279" s="2" t="str">
        <f t="shared" si="1"/>
        <v>103230 - Tech - Career Development</v>
      </c>
      <c r="J2279" s="2">
        <f t="shared" si="2"/>
        <v>655.2</v>
      </c>
      <c r="K2279" s="17">
        <f t="shared" si="3"/>
        <v>1</v>
      </c>
      <c r="L2279" s="18"/>
    </row>
    <row r="2280" hidden="1">
      <c r="A2280" s="2">
        <f>IFERROR(__xludf.DUMMYFUNCTION("""COMPUTED_VALUE"""),117902.0)</f>
        <v>117902</v>
      </c>
      <c r="B2280" s="2">
        <f>IFERROR(__xludf.DUMMYFUNCTION("""COMPUTED_VALUE"""),1.0)</f>
        <v>1</v>
      </c>
      <c r="C2280" s="2">
        <f>IFERROR(__xludf.DUMMYFUNCTION("""COMPUTED_VALUE"""),142.0)</f>
        <v>142</v>
      </c>
      <c r="D2280" s="3">
        <f>IFERROR(__xludf.DUMMYFUNCTION("""COMPUTED_VALUE"""),51.0)</f>
        <v>51</v>
      </c>
      <c r="E2280" s="1" t="str">
        <f t="array" ref="E2280">_xlfn.XLOOKUP(A2280,Product!A:A,Product!B:B,"Bulunamadı")</f>
        <v>Fiction</v>
      </c>
      <c r="F2280" s="1" t="str">
        <f t="array" ref="F2280">_xlfn.XLOOKUP(A2280,Product!A:A,Product!C:C,"Bulunamadı")</f>
        <v>Life Planning</v>
      </c>
      <c r="G2280" s="2" t="str">
        <f t="array" ref="G2280">_xlfn.XLOOKUP(A2281,Product!A:A,Product!D:D,"Bulunamadı")</f>
        <v>Oaktrail Books</v>
      </c>
      <c r="H2280" s="2">
        <f t="array" ref="H2280">_xlfn.XLOOKUP(A2282,Product!A:A,Product!E:E,"Bulunamadı")</f>
        <v>5.87</v>
      </c>
      <c r="I2280" s="2" t="str">
        <f t="shared" si="1"/>
        <v>117902 - Fiction - Life Planning</v>
      </c>
      <c r="J2280" s="2">
        <f t="shared" si="2"/>
        <v>299.37</v>
      </c>
      <c r="K2280" s="17">
        <f t="shared" si="3"/>
        <v>1</v>
      </c>
      <c r="L2280" s="18"/>
    </row>
    <row r="2281" hidden="1">
      <c r="A2281" s="2">
        <f>IFERROR(__xludf.DUMMYFUNCTION("""COMPUTED_VALUE"""),105745.0)</f>
        <v>105745</v>
      </c>
      <c r="B2281" s="2">
        <f>IFERROR(__xludf.DUMMYFUNCTION("""COMPUTED_VALUE"""),0.0)</f>
        <v>0</v>
      </c>
      <c r="C2281" s="2">
        <f>IFERROR(__xludf.DUMMYFUNCTION("""COMPUTED_VALUE"""),721.0)</f>
        <v>721</v>
      </c>
      <c r="D2281" s="3">
        <f>IFERROR(__xludf.DUMMYFUNCTION("""COMPUTED_VALUE"""),180.0)</f>
        <v>180</v>
      </c>
      <c r="E2281" s="1" t="str">
        <f t="array" ref="E2281">_xlfn.XLOOKUP(A2281,Product!A:A,Product!B:B,"Bulunamadı")</f>
        <v>Fiction</v>
      </c>
      <c r="F2281" s="1" t="str">
        <f t="array" ref="F2281">_xlfn.XLOOKUP(A2281,Product!A:A,Product!C:C,"Bulunamadı")</f>
        <v>Life Planning</v>
      </c>
      <c r="G2281" s="2" t="str">
        <f t="array" ref="G2281">_xlfn.XLOOKUP(A2282,Product!A:A,Product!D:D,"Bulunamadı")</f>
        <v>Oaktrail Books</v>
      </c>
      <c r="H2281" s="2">
        <f t="array" ref="H2281">_xlfn.XLOOKUP(A2283,Product!A:A,Product!E:E,"Bulunamadı")</f>
        <v>4.18</v>
      </c>
      <c r="I2281" s="2" t="str">
        <f t="shared" si="1"/>
        <v>105745 - Fiction - Life Planning</v>
      </c>
      <c r="J2281" s="2">
        <f t="shared" si="2"/>
        <v>752.4</v>
      </c>
      <c r="K2281" s="17">
        <f t="shared" si="3"/>
        <v>1</v>
      </c>
      <c r="L2281" s="18"/>
    </row>
    <row r="2282" hidden="1">
      <c r="A2282" s="2">
        <f>IFERROR(__xludf.DUMMYFUNCTION("""COMPUTED_VALUE"""),100811.0)</f>
        <v>100811</v>
      </c>
      <c r="B2282" s="2">
        <f>IFERROR(__xludf.DUMMYFUNCTION("""COMPUTED_VALUE"""),0.0)</f>
        <v>0</v>
      </c>
      <c r="C2282" s="2">
        <f>IFERROR(__xludf.DUMMYFUNCTION("""COMPUTED_VALUE"""),790.0)</f>
        <v>790</v>
      </c>
      <c r="D2282" s="3">
        <f>IFERROR(__xludf.DUMMYFUNCTION("""COMPUTED_VALUE"""),457.0)</f>
        <v>457</v>
      </c>
      <c r="E2282" s="1" t="str">
        <f t="array" ref="E2282">_xlfn.XLOOKUP(A2282,Product!A:A,Product!B:B,"Bulunamadı")</f>
        <v>Fiction</v>
      </c>
      <c r="F2282" s="1" t="str">
        <f t="array" ref="F2282">_xlfn.XLOOKUP(A2282,Product!A:A,Product!C:C,"Bulunamadı")</f>
        <v>Life Planning</v>
      </c>
      <c r="G2282" s="2" t="str">
        <f t="array" ref="G2282">_xlfn.XLOOKUP(A2283,Product!A:A,Product!D:D,"Bulunamadı")</f>
        <v>Rivertrail Press</v>
      </c>
      <c r="H2282" s="2">
        <f t="array" ref="H2282">_xlfn.XLOOKUP(A2284,Product!A:A,Product!E:E,"Bulunamadı")</f>
        <v>2.12</v>
      </c>
      <c r="I2282" s="2" t="str">
        <f t="shared" si="1"/>
        <v>100811 - Fiction - Life Planning</v>
      </c>
      <c r="J2282" s="2">
        <f t="shared" si="2"/>
        <v>968.84</v>
      </c>
      <c r="K2282" s="17">
        <f t="shared" si="3"/>
        <v>1</v>
      </c>
      <c r="L2282" s="18"/>
    </row>
    <row r="2283" hidden="1">
      <c r="A2283" s="2">
        <f>IFERROR(__xludf.DUMMYFUNCTION("""COMPUTED_VALUE"""),102505.0)</f>
        <v>102505</v>
      </c>
      <c r="B2283" s="2">
        <f>IFERROR(__xludf.DUMMYFUNCTION("""COMPUTED_VALUE"""),0.0)</f>
        <v>0</v>
      </c>
      <c r="C2283" s="2">
        <f>IFERROR(__xludf.DUMMYFUNCTION("""COMPUTED_VALUE"""),880.0)</f>
        <v>880</v>
      </c>
      <c r="D2283" s="3">
        <f>IFERROR(__xludf.DUMMYFUNCTION("""COMPUTED_VALUE"""),859.0)</f>
        <v>859</v>
      </c>
      <c r="E2283" s="1" t="str">
        <f t="array" ref="E2283">_xlfn.XLOOKUP(A2283,Product!A:A,Product!B:B,"Bulunamadı")</f>
        <v>Fiction</v>
      </c>
      <c r="F2283" s="1" t="str">
        <f t="array" ref="F2283">_xlfn.XLOOKUP(A2283,Product!A:A,Product!C:C,"Bulunamadı")</f>
        <v>Life Planning</v>
      </c>
      <c r="G2283" s="2" t="str">
        <f t="array" ref="G2283">_xlfn.XLOOKUP(A2284,Product!A:A,Product!D:D,"Bulunamadı")</f>
        <v>Rivertrail Press</v>
      </c>
      <c r="H2283" s="2">
        <f t="array" ref="H2283">_xlfn.XLOOKUP(A2285,Product!A:A,Product!E:E,"Bulunamadı")</f>
        <v>2.27</v>
      </c>
      <c r="I2283" s="2" t="str">
        <f t="shared" si="1"/>
        <v>102505 - Fiction - Life Planning</v>
      </c>
      <c r="J2283" s="2">
        <f t="shared" si="2"/>
        <v>1949.93</v>
      </c>
      <c r="K2283" s="17">
        <f t="shared" si="3"/>
        <v>1</v>
      </c>
      <c r="L2283" s="18"/>
    </row>
    <row r="2284" hidden="1">
      <c r="A2284" s="2">
        <f>IFERROR(__xludf.DUMMYFUNCTION("""COMPUTED_VALUE"""),121317.0)</f>
        <v>121317</v>
      </c>
      <c r="B2284" s="2">
        <f>IFERROR(__xludf.DUMMYFUNCTION("""COMPUTED_VALUE"""),0.0)</f>
        <v>0</v>
      </c>
      <c r="C2284" s="2">
        <f>IFERROR(__xludf.DUMMYFUNCTION("""COMPUTED_VALUE"""),426.0)</f>
        <v>426</v>
      </c>
      <c r="D2284" s="3">
        <f>IFERROR(__xludf.DUMMYFUNCTION("""COMPUTED_VALUE"""),217.0)</f>
        <v>217</v>
      </c>
      <c r="E2284" s="1" t="str">
        <f t="array" ref="E2284">_xlfn.XLOOKUP(A2284,Product!A:A,Product!B:B,"Bulunamadı")</f>
        <v>Fiction</v>
      </c>
      <c r="F2284" s="1" t="str">
        <f t="array" ref="F2284">_xlfn.XLOOKUP(A2284,Product!A:A,Product!C:C,"Bulunamadı")</f>
        <v>Life Planning</v>
      </c>
      <c r="G2284" s="2" t="str">
        <f t="array" ref="G2284">_xlfn.XLOOKUP(A2285,Product!A:A,Product!D:D,"Bulunamadı")</f>
        <v>Rivertrail Press</v>
      </c>
      <c r="H2284" s="2">
        <f t="array" ref="H2284">_xlfn.XLOOKUP(A2286,Product!A:A,Product!E:E,"Bulunamadı")</f>
        <v>1.29</v>
      </c>
      <c r="I2284" s="2" t="str">
        <f t="shared" si="1"/>
        <v>121317 - Fiction - Life Planning</v>
      </c>
      <c r="J2284" s="2">
        <f t="shared" si="2"/>
        <v>279.93</v>
      </c>
      <c r="K2284" s="17">
        <f t="shared" si="3"/>
        <v>1</v>
      </c>
      <c r="L2284" s="18"/>
    </row>
    <row r="2285" hidden="1">
      <c r="A2285" s="2">
        <f>IFERROR(__xludf.DUMMYFUNCTION("""COMPUTED_VALUE"""),121318.0)</f>
        <v>121318</v>
      </c>
      <c r="B2285" s="2">
        <f>IFERROR(__xludf.DUMMYFUNCTION("""COMPUTED_VALUE"""),1.0)</f>
        <v>1</v>
      </c>
      <c r="C2285" s="2">
        <f>IFERROR(__xludf.DUMMYFUNCTION("""COMPUTED_VALUE"""),280.0)</f>
        <v>280</v>
      </c>
      <c r="D2285" s="3">
        <f>IFERROR(__xludf.DUMMYFUNCTION("""COMPUTED_VALUE"""),137.0)</f>
        <v>137</v>
      </c>
      <c r="E2285" s="1" t="str">
        <f t="array" ref="E2285">_xlfn.XLOOKUP(A2285,Product!A:A,Product!B:B,"Bulunamadı")</f>
        <v>Fiction</v>
      </c>
      <c r="F2285" s="1" t="str">
        <f t="array" ref="F2285">_xlfn.XLOOKUP(A2285,Product!A:A,Product!C:C,"Bulunamadı")</f>
        <v>Life Planning</v>
      </c>
      <c r="G2285" s="2" t="str">
        <f t="array" ref="G2285">_xlfn.XLOOKUP(A2286,Product!A:A,Product!D:D,"Bulunamadı")</f>
        <v>Irontrail Publishing</v>
      </c>
      <c r="H2285" s="2">
        <f t="array" ref="H2285">_xlfn.XLOOKUP(A2287,Product!A:A,Product!E:E,"Bulunamadı")</f>
        <v>1.77</v>
      </c>
      <c r="I2285" s="2" t="str">
        <f t="shared" si="1"/>
        <v>121318 - Fiction - Life Planning</v>
      </c>
      <c r="J2285" s="2">
        <f t="shared" si="2"/>
        <v>242.49</v>
      </c>
      <c r="K2285" s="17">
        <f t="shared" si="3"/>
        <v>1</v>
      </c>
      <c r="L2285" s="18"/>
    </row>
    <row r="2286" hidden="1">
      <c r="A2286" s="2">
        <f>IFERROR(__xludf.DUMMYFUNCTION("""COMPUTED_VALUE"""),95155.0)</f>
        <v>95155</v>
      </c>
      <c r="B2286" s="2">
        <f>IFERROR(__xludf.DUMMYFUNCTION("""COMPUTED_VALUE"""),1.0)</f>
        <v>1</v>
      </c>
      <c r="C2286" s="2">
        <f>IFERROR(__xludf.DUMMYFUNCTION("""COMPUTED_VALUE"""),626.0)</f>
        <v>626</v>
      </c>
      <c r="D2286" s="3">
        <f>IFERROR(__xludf.DUMMYFUNCTION("""COMPUTED_VALUE"""),376.0)</f>
        <v>376</v>
      </c>
      <c r="E2286" s="1" t="str">
        <f t="array" ref="E2286">_xlfn.XLOOKUP(A2286,Product!A:A,Product!B:B,"Bulunamadı")</f>
        <v>Fiction</v>
      </c>
      <c r="F2286" s="1" t="str">
        <f t="array" ref="F2286">_xlfn.XLOOKUP(A2286,Product!A:A,Product!C:C,"Bulunamadı")</f>
        <v>Life Planning</v>
      </c>
      <c r="G2286" s="2" t="str">
        <f t="array" ref="G2286">_xlfn.XLOOKUP(A2287,Product!A:A,Product!D:D,"Bulunamadı")</f>
        <v>Irontrail Publishing</v>
      </c>
      <c r="H2286" s="2">
        <f t="array" ref="H2286">_xlfn.XLOOKUP(A2288,Product!A:A,Product!E:E,"Bulunamadı")</f>
        <v>5.94</v>
      </c>
      <c r="I2286" s="2" t="str">
        <f t="shared" si="1"/>
        <v>95155 - Fiction - Life Planning</v>
      </c>
      <c r="J2286" s="2">
        <f t="shared" si="2"/>
        <v>2233.44</v>
      </c>
      <c r="K2286" s="17">
        <f t="shared" si="3"/>
        <v>1</v>
      </c>
      <c r="L2286" s="18"/>
    </row>
    <row r="2287" hidden="1">
      <c r="A2287" s="2">
        <f>IFERROR(__xludf.DUMMYFUNCTION("""COMPUTED_VALUE"""),25199.0)</f>
        <v>25199</v>
      </c>
      <c r="B2287" s="2">
        <f>IFERROR(__xludf.DUMMYFUNCTION("""COMPUTED_VALUE"""),0.0)</f>
        <v>0</v>
      </c>
      <c r="C2287" s="2">
        <f>IFERROR(__xludf.DUMMYFUNCTION("""COMPUTED_VALUE"""),82.0)</f>
        <v>82</v>
      </c>
      <c r="D2287" s="3">
        <f>IFERROR(__xludf.DUMMYFUNCTION("""COMPUTED_VALUE"""),11.0)</f>
        <v>11</v>
      </c>
      <c r="E2287" s="1" t="str">
        <f t="array" ref="E2287">_xlfn.XLOOKUP(A2287,Product!A:A,Product!B:B,"Bulunamadı")</f>
        <v>Fiction</v>
      </c>
      <c r="F2287" s="1" t="str">
        <f t="array" ref="F2287">_xlfn.XLOOKUP(A2287,Product!A:A,Product!C:C,"Bulunamadı")</f>
        <v>Life Planning</v>
      </c>
      <c r="G2287" s="2" t="str">
        <f t="array" ref="G2287">_xlfn.XLOOKUP(A2288,Product!A:A,Product!D:D,"Bulunamadı")</f>
        <v>Irontrail Publishing</v>
      </c>
      <c r="H2287" s="2">
        <f t="array" ref="H2287">_xlfn.XLOOKUP(A2289,Product!A:A,Product!E:E,"Bulunamadı")</f>
        <v>1.82</v>
      </c>
      <c r="I2287" s="2" t="str">
        <f t="shared" si="1"/>
        <v>25199 - Fiction - Life Planning</v>
      </c>
      <c r="J2287" s="2">
        <f t="shared" si="2"/>
        <v>20.02</v>
      </c>
      <c r="K2287" s="17">
        <f t="shared" si="3"/>
        <v>1</v>
      </c>
      <c r="L2287" s="18"/>
    </row>
    <row r="2288" hidden="1">
      <c r="A2288" s="2">
        <f>IFERROR(__xludf.DUMMYFUNCTION("""COMPUTED_VALUE"""),156020.0)</f>
        <v>156020</v>
      </c>
      <c r="B2288" s="2">
        <f>IFERROR(__xludf.DUMMYFUNCTION("""COMPUTED_VALUE"""),1.0)</f>
        <v>1</v>
      </c>
      <c r="C2288" s="2">
        <f>IFERROR(__xludf.DUMMYFUNCTION("""COMPUTED_VALUE"""),404.0)</f>
        <v>404</v>
      </c>
      <c r="D2288" s="3">
        <f>IFERROR(__xludf.DUMMYFUNCTION("""COMPUTED_VALUE"""),99.0)</f>
        <v>99</v>
      </c>
      <c r="E2288" s="1" t="str">
        <f t="array" ref="E2288">_xlfn.XLOOKUP(A2288,Product!A:A,Product!B:B,"Bulunamadı")</f>
        <v>Fiction</v>
      </c>
      <c r="F2288" s="1" t="str">
        <f t="array" ref="F2288">_xlfn.XLOOKUP(A2288,Product!A:A,Product!C:C,"Bulunamadı")</f>
        <v>Life Planning</v>
      </c>
      <c r="G2288" s="2" t="str">
        <f t="array" ref="G2288">_xlfn.XLOOKUP(A2289,Product!A:A,Product!D:D,"Bulunamadı")</f>
        <v>Irontrail Publishing</v>
      </c>
      <c r="H2288" s="2">
        <f t="array" ref="H2288">_xlfn.XLOOKUP(A2290,Product!A:A,Product!E:E,"Bulunamadı")</f>
        <v>1.02</v>
      </c>
      <c r="I2288" s="2" t="str">
        <f t="shared" si="1"/>
        <v>156020 - Fiction - Life Planning</v>
      </c>
      <c r="J2288" s="2">
        <f t="shared" si="2"/>
        <v>100.98</v>
      </c>
      <c r="K2288" s="17">
        <f t="shared" si="3"/>
        <v>1</v>
      </c>
      <c r="L2288" s="18"/>
    </row>
    <row r="2289" hidden="1">
      <c r="A2289" s="2">
        <f>IFERROR(__xludf.DUMMYFUNCTION("""COMPUTED_VALUE"""),28587.0)</f>
        <v>28587</v>
      </c>
      <c r="B2289" s="2">
        <f>IFERROR(__xludf.DUMMYFUNCTION("""COMPUTED_VALUE"""),0.0)</f>
        <v>0</v>
      </c>
      <c r="C2289" s="2">
        <f>IFERROR(__xludf.DUMMYFUNCTION("""COMPUTED_VALUE"""),818.0)</f>
        <v>818</v>
      </c>
      <c r="D2289" s="3">
        <f>IFERROR(__xludf.DUMMYFUNCTION("""COMPUTED_VALUE"""),609.0)</f>
        <v>609</v>
      </c>
      <c r="E2289" s="1" t="str">
        <f t="array" ref="E2289">_xlfn.XLOOKUP(A2289,Product!A:A,Product!B:B,"Bulunamadı")</f>
        <v>Fiction</v>
      </c>
      <c r="F2289" s="1" t="str">
        <f t="array" ref="F2289">_xlfn.XLOOKUP(A2289,Product!A:A,Product!C:C,"Bulunamadı")</f>
        <v>Life Planning</v>
      </c>
      <c r="G2289" s="2" t="str">
        <f t="array" ref="G2289">_xlfn.XLOOKUP(A2290,Product!A:A,Product!D:D,"Bulunamadı")</f>
        <v>Irontrail Publishing</v>
      </c>
      <c r="H2289" s="2">
        <f t="array" ref="H2289">_xlfn.XLOOKUP(A2291,Product!A:A,Product!E:E,"Bulunamadı")</f>
        <v>1.25</v>
      </c>
      <c r="I2289" s="2" t="str">
        <f t="shared" si="1"/>
        <v>28587 - Fiction - Life Planning</v>
      </c>
      <c r="J2289" s="2">
        <f t="shared" si="2"/>
        <v>761.25</v>
      </c>
      <c r="K2289" s="17">
        <f t="shared" si="3"/>
        <v>1</v>
      </c>
      <c r="L2289" s="18"/>
    </row>
    <row r="2290" hidden="1">
      <c r="A2290" s="2">
        <f>IFERROR(__xludf.DUMMYFUNCTION("""COMPUTED_VALUE"""),16050.0)</f>
        <v>16050</v>
      </c>
      <c r="B2290" s="2">
        <f>IFERROR(__xludf.DUMMYFUNCTION("""COMPUTED_VALUE"""),0.0)</f>
        <v>0</v>
      </c>
      <c r="C2290" s="2">
        <f>IFERROR(__xludf.DUMMYFUNCTION("""COMPUTED_VALUE"""),611.0)</f>
        <v>611</v>
      </c>
      <c r="D2290" s="3">
        <f>IFERROR(__xludf.DUMMYFUNCTION("""COMPUTED_VALUE"""),437.0)</f>
        <v>437</v>
      </c>
      <c r="E2290" s="1" t="str">
        <f t="array" ref="E2290">_xlfn.XLOOKUP(A2290,Product!A:A,Product!B:B,"Bulunamadı")</f>
        <v>Fiction</v>
      </c>
      <c r="F2290" s="1" t="str">
        <f t="array" ref="F2290">_xlfn.XLOOKUP(A2290,Product!A:A,Product!C:C,"Bulunamadı")</f>
        <v>Life Planning</v>
      </c>
      <c r="G2290" s="2" t="str">
        <f t="array" ref="G2290">_xlfn.XLOOKUP(A2291,Product!A:A,Product!D:D,"Bulunamadı")</f>
        <v>Irontrail Publishing</v>
      </c>
      <c r="H2290" s="2">
        <f t="array" ref="H2290">_xlfn.XLOOKUP(A2292,Product!A:A,Product!E:E,"Bulunamadı")</f>
        <v>0.88</v>
      </c>
      <c r="I2290" s="2" t="str">
        <f t="shared" si="1"/>
        <v>16050 - Fiction - Life Planning</v>
      </c>
      <c r="J2290" s="2">
        <f t="shared" si="2"/>
        <v>384.56</v>
      </c>
      <c r="K2290" s="17">
        <f t="shared" si="3"/>
        <v>1</v>
      </c>
      <c r="L2290" s="18"/>
    </row>
    <row r="2291" hidden="1">
      <c r="A2291" s="2">
        <f>IFERROR(__xludf.DUMMYFUNCTION("""COMPUTED_VALUE"""),119453.0)</f>
        <v>119453</v>
      </c>
      <c r="B2291" s="2">
        <f>IFERROR(__xludf.DUMMYFUNCTION("""COMPUTED_VALUE"""),1.0)</f>
        <v>1</v>
      </c>
      <c r="C2291" s="2">
        <f>IFERROR(__xludf.DUMMYFUNCTION("""COMPUTED_VALUE"""),635.0)</f>
        <v>635</v>
      </c>
      <c r="D2291" s="3">
        <f>IFERROR(__xludf.DUMMYFUNCTION("""COMPUTED_VALUE"""),199.0)</f>
        <v>199</v>
      </c>
      <c r="E2291" s="1" t="str">
        <f t="array" ref="E2291">_xlfn.XLOOKUP(A2291,Product!A:A,Product!B:B,"Bulunamadı")</f>
        <v>Fiction</v>
      </c>
      <c r="F2291" s="1" t="str">
        <f t="array" ref="F2291">_xlfn.XLOOKUP(A2291,Product!A:A,Product!C:C,"Bulunamadı")</f>
        <v>Life Planning</v>
      </c>
      <c r="G2291" s="2" t="str">
        <f t="array" ref="G2291">_xlfn.XLOOKUP(A2292,Product!A:A,Product!D:D,"Bulunamadı")</f>
        <v>Silverfield Books</v>
      </c>
      <c r="H2291" s="2">
        <f t="array" ref="H2291">_xlfn.XLOOKUP(A2293,Product!A:A,Product!E:E,"Bulunamadı")</f>
        <v>1.03</v>
      </c>
      <c r="I2291" s="2" t="str">
        <f t="shared" si="1"/>
        <v>119453 - Fiction - Life Planning</v>
      </c>
      <c r="J2291" s="2">
        <f t="shared" si="2"/>
        <v>204.97</v>
      </c>
      <c r="K2291" s="17">
        <f t="shared" si="3"/>
        <v>1</v>
      </c>
      <c r="L2291" s="18"/>
    </row>
    <row r="2292" hidden="1">
      <c r="A2292" s="2">
        <f>IFERROR(__xludf.DUMMYFUNCTION("""COMPUTED_VALUE"""),113070.0)</f>
        <v>113070</v>
      </c>
      <c r="B2292" s="2">
        <f>IFERROR(__xludf.DUMMYFUNCTION("""COMPUTED_VALUE"""),0.0)</f>
        <v>0</v>
      </c>
      <c r="C2292" s="2">
        <f>IFERROR(__xludf.DUMMYFUNCTION("""COMPUTED_VALUE"""),371.0)</f>
        <v>371</v>
      </c>
      <c r="D2292" s="3">
        <f>IFERROR(__xludf.DUMMYFUNCTION("""COMPUTED_VALUE"""),183.0)</f>
        <v>183</v>
      </c>
      <c r="E2292" s="1" t="str">
        <f t="array" ref="E2292">_xlfn.XLOOKUP(A2292,Product!A:A,Product!B:B,"Bulunamadı")</f>
        <v>Fiction</v>
      </c>
      <c r="F2292" s="1" t="str">
        <f t="array" ref="F2292">_xlfn.XLOOKUP(A2292,Product!A:A,Product!C:C,"Bulunamadı")</f>
        <v>Life Planning</v>
      </c>
      <c r="G2292" s="2" t="str">
        <f t="array" ref="G2292">_xlfn.XLOOKUP(A2293,Product!A:A,Product!D:D,"Bulunamadı")</f>
        <v>Silverfield Books</v>
      </c>
      <c r="H2292" s="2">
        <f t="array" ref="H2292">_xlfn.XLOOKUP(A2294,Product!A:A,Product!E:E,"Bulunamadı")</f>
        <v>0.99</v>
      </c>
      <c r="I2292" s="2" t="str">
        <f t="shared" si="1"/>
        <v>113070 - Fiction - Life Planning</v>
      </c>
      <c r="J2292" s="2">
        <f t="shared" si="2"/>
        <v>181.17</v>
      </c>
      <c r="K2292" s="17">
        <f t="shared" si="3"/>
        <v>1</v>
      </c>
      <c r="L2292" s="18"/>
    </row>
    <row r="2293" hidden="1">
      <c r="A2293" s="2">
        <f>IFERROR(__xludf.DUMMYFUNCTION("""COMPUTED_VALUE"""),99097.0)</f>
        <v>99097</v>
      </c>
      <c r="B2293" s="2">
        <f>IFERROR(__xludf.DUMMYFUNCTION("""COMPUTED_VALUE"""),0.0)</f>
        <v>0</v>
      </c>
      <c r="C2293" s="2">
        <f>IFERROR(__xludf.DUMMYFUNCTION("""COMPUTED_VALUE"""),301.0)</f>
        <v>301</v>
      </c>
      <c r="D2293" s="3">
        <f>IFERROR(__xludf.DUMMYFUNCTION("""COMPUTED_VALUE"""),65.0)</f>
        <v>65</v>
      </c>
      <c r="E2293" s="1" t="str">
        <f t="array" ref="E2293">_xlfn.XLOOKUP(A2293,Product!A:A,Product!B:B,"Bulunamadı")</f>
        <v>Fiction</v>
      </c>
      <c r="F2293" s="1" t="str">
        <f t="array" ref="F2293">_xlfn.XLOOKUP(A2293,Product!A:A,Product!C:C,"Bulunamadı")</f>
        <v>Life Planning</v>
      </c>
      <c r="G2293" s="2" t="str">
        <f t="array" ref="G2293">_xlfn.XLOOKUP(A2294,Product!A:A,Product!D:D,"Bulunamadı")</f>
        <v>Silverfield Books</v>
      </c>
      <c r="H2293" s="2">
        <f t="array" ref="H2293">_xlfn.XLOOKUP(A2295,Product!A:A,Product!E:E,"Bulunamadı")</f>
        <v>2.88</v>
      </c>
      <c r="I2293" s="2" t="str">
        <f t="shared" si="1"/>
        <v>99097 - Fiction - Life Planning</v>
      </c>
      <c r="J2293" s="2">
        <f t="shared" si="2"/>
        <v>187.2</v>
      </c>
      <c r="K2293" s="17">
        <f t="shared" si="3"/>
        <v>1</v>
      </c>
      <c r="L2293" s="18"/>
    </row>
    <row r="2294" hidden="1">
      <c r="A2294" s="2">
        <f>IFERROR(__xludf.DUMMYFUNCTION("""COMPUTED_VALUE"""),99099.0)</f>
        <v>99099</v>
      </c>
      <c r="B2294" s="2">
        <f>IFERROR(__xludf.DUMMYFUNCTION("""COMPUTED_VALUE"""),1.0)</f>
        <v>1</v>
      </c>
      <c r="C2294" s="2">
        <f>IFERROR(__xludf.DUMMYFUNCTION("""COMPUTED_VALUE"""),351.0)</f>
        <v>351</v>
      </c>
      <c r="D2294" s="3">
        <f>IFERROR(__xludf.DUMMYFUNCTION("""COMPUTED_VALUE"""),11.0)</f>
        <v>11</v>
      </c>
      <c r="E2294" s="1" t="str">
        <f t="array" ref="E2294">_xlfn.XLOOKUP(A2294,Product!A:A,Product!B:B,"Bulunamadı")</f>
        <v>Fiction</v>
      </c>
      <c r="F2294" s="1" t="str">
        <f t="array" ref="F2294">_xlfn.XLOOKUP(A2294,Product!A:A,Product!C:C,"Bulunamadı")</f>
        <v>Life Planning</v>
      </c>
      <c r="G2294" s="2" t="str">
        <f t="array" ref="G2294">_xlfn.XLOOKUP(A2295,Product!A:A,Product!D:D,"Bulunamadı")</f>
        <v/>
      </c>
      <c r="H2294" s="2">
        <f t="array" ref="H2294">_xlfn.XLOOKUP(A2296,Product!A:A,Product!E:E,"Bulunamadı")</f>
        <v>3.48</v>
      </c>
      <c r="I2294" s="2" t="str">
        <f t="shared" si="1"/>
        <v>99099 - Fiction - Life Planning</v>
      </c>
      <c r="J2294" s="2">
        <f t="shared" si="2"/>
        <v>38.28</v>
      </c>
      <c r="K2294" s="17">
        <f t="shared" si="3"/>
        <v>1</v>
      </c>
      <c r="L2294" s="18"/>
    </row>
    <row r="2295" hidden="1">
      <c r="A2295" s="2">
        <f>IFERROR(__xludf.DUMMYFUNCTION("""COMPUTED_VALUE"""),104998.0)</f>
        <v>104998</v>
      </c>
      <c r="B2295" s="2">
        <f>IFERROR(__xludf.DUMMYFUNCTION("""COMPUTED_VALUE"""),1.0)</f>
        <v>1</v>
      </c>
      <c r="C2295" s="2">
        <f>IFERROR(__xludf.DUMMYFUNCTION("""COMPUTED_VALUE"""),15.0)</f>
        <v>15</v>
      </c>
      <c r="D2295" s="3">
        <f>IFERROR(__xludf.DUMMYFUNCTION("""COMPUTED_VALUE"""),2.0)</f>
        <v>2</v>
      </c>
      <c r="E2295" s="1" t="str">
        <f t="array" ref="E2295">_xlfn.XLOOKUP(A2295,Product!A:A,Product!B:B,"Bulunamadı")</f>
        <v>History</v>
      </c>
      <c r="F2295" s="1" t="str">
        <f t="array" ref="F2295">_xlfn.XLOOKUP(A2295,Product!A:A,Product!C:C,"Bulunamadı")</f>
        <v>Confidence Building</v>
      </c>
      <c r="G2295" s="2" t="str">
        <f t="array" ref="G2295">_xlfn.XLOOKUP(A2296,Product!A:A,Product!D:D,"Bulunamadı")</f>
        <v/>
      </c>
      <c r="H2295" s="2">
        <f t="array" ref="H2295">_xlfn.XLOOKUP(A2297,Product!A:A,Product!E:E,"Bulunamadı")</f>
        <v>214.5</v>
      </c>
      <c r="I2295" s="2" t="str">
        <f t="shared" si="1"/>
        <v>104998 - History - Confidence Building</v>
      </c>
      <c r="J2295" s="2">
        <f t="shared" si="2"/>
        <v>429</v>
      </c>
      <c r="K2295" s="17">
        <f t="shared" si="3"/>
        <v>1</v>
      </c>
      <c r="L2295" s="18"/>
    </row>
    <row r="2296" hidden="1">
      <c r="A2296" s="2">
        <f>IFERROR(__xludf.DUMMYFUNCTION("""COMPUTED_VALUE"""),110524.0)</f>
        <v>110524</v>
      </c>
      <c r="B2296" s="2">
        <f>IFERROR(__xludf.DUMMYFUNCTION("""COMPUTED_VALUE"""),1.0)</f>
        <v>1</v>
      </c>
      <c r="C2296" s="2">
        <f>IFERROR(__xludf.DUMMYFUNCTION("""COMPUTED_VALUE"""),563.0)</f>
        <v>563</v>
      </c>
      <c r="D2296" s="3">
        <f>IFERROR(__xludf.DUMMYFUNCTION("""COMPUTED_VALUE"""),234.0)</f>
        <v>234</v>
      </c>
      <c r="E2296" s="1" t="str">
        <f t="array" ref="E2296">_xlfn.XLOOKUP(A2296,Product!A:A,Product!B:B,"Bulunamadı")</f>
        <v>History</v>
      </c>
      <c r="F2296" s="1" t="str">
        <f t="array" ref="F2296">_xlfn.XLOOKUP(A2296,Product!A:A,Product!C:C,"Bulunamadı")</f>
        <v>Confidence Building</v>
      </c>
      <c r="G2296" s="2" t="str">
        <f t="array" ref="G2296">_xlfn.XLOOKUP(A2297,Product!A:A,Product!D:D,"Bulunamadı")</f>
        <v>Northfield Press</v>
      </c>
      <c r="H2296" s="2">
        <f t="array" ref="H2296">_xlfn.XLOOKUP(A2298,Product!A:A,Product!E:E,"Bulunamadı")</f>
        <v>31.32</v>
      </c>
      <c r="I2296" s="2" t="str">
        <f t="shared" si="1"/>
        <v>110524 - History - Confidence Building</v>
      </c>
      <c r="J2296" s="2">
        <f t="shared" si="2"/>
        <v>7328.88</v>
      </c>
      <c r="K2296" s="17">
        <f t="shared" si="3"/>
        <v>1</v>
      </c>
      <c r="L2296" s="18"/>
    </row>
    <row r="2297" hidden="1">
      <c r="A2297" s="2">
        <f>IFERROR(__xludf.DUMMYFUNCTION("""COMPUTED_VALUE"""),117133.0)</f>
        <v>117133</v>
      </c>
      <c r="B2297" s="2">
        <f>IFERROR(__xludf.DUMMYFUNCTION("""COMPUTED_VALUE"""),0.0)</f>
        <v>0</v>
      </c>
      <c r="C2297" s="2">
        <f>IFERROR(__xludf.DUMMYFUNCTION("""COMPUTED_VALUE"""),530.0)</f>
        <v>530</v>
      </c>
      <c r="D2297" s="3">
        <f>IFERROR(__xludf.DUMMYFUNCTION("""COMPUTED_VALUE"""),438.0)</f>
        <v>438</v>
      </c>
      <c r="E2297" s="1" t="str">
        <f t="array" ref="E2297">_xlfn.XLOOKUP(A2297,Product!A:A,Product!B:B,"Bulunamadı")</f>
        <v>Fiction</v>
      </c>
      <c r="F2297" s="1" t="str">
        <f t="array" ref="F2297">_xlfn.XLOOKUP(A2297,Product!A:A,Product!C:C,"Bulunamadı")</f>
        <v>Football</v>
      </c>
      <c r="G2297" s="2" t="str">
        <f t="array" ref="G2297">_xlfn.XLOOKUP(A2298,Product!A:A,Product!D:D,"Bulunamadı")</f>
        <v>Northfield Press</v>
      </c>
      <c r="H2297" s="2">
        <f t="array" ref="H2297">_xlfn.XLOOKUP(A2299,Product!A:A,Product!E:E,"Bulunamadı")</f>
        <v>11.61</v>
      </c>
      <c r="I2297" s="2" t="str">
        <f t="shared" si="1"/>
        <v>117133 - Fiction - Football</v>
      </c>
      <c r="J2297" s="2">
        <f t="shared" si="2"/>
        <v>5085.18</v>
      </c>
      <c r="K2297" s="17">
        <f t="shared" si="3"/>
        <v>1</v>
      </c>
      <c r="L2297" s="18"/>
    </row>
    <row r="2298" hidden="1">
      <c r="A2298" s="2">
        <f>IFERROR(__xludf.DUMMYFUNCTION("""COMPUTED_VALUE"""),70696.0)</f>
        <v>70696</v>
      </c>
      <c r="B2298" s="2">
        <f>IFERROR(__xludf.DUMMYFUNCTION("""COMPUTED_VALUE"""),0.0)</f>
        <v>0</v>
      </c>
      <c r="C2298" s="2">
        <f>IFERROR(__xludf.DUMMYFUNCTION("""COMPUTED_VALUE"""),279.0)</f>
        <v>279</v>
      </c>
      <c r="D2298" s="3">
        <f>IFERROR(__xludf.DUMMYFUNCTION("""COMPUTED_VALUE"""),111.0)</f>
        <v>111</v>
      </c>
      <c r="E2298" s="1" t="str">
        <f t="array" ref="E2298">_xlfn.XLOOKUP(A2298,Product!A:A,Product!B:B,"Bulunamadı")</f>
        <v>Fiction</v>
      </c>
      <c r="F2298" s="1" t="str">
        <f t="array" ref="F2298">_xlfn.XLOOKUP(A2298,Product!A:A,Product!C:C,"Bulunamadı")</f>
        <v>Football</v>
      </c>
      <c r="G2298" s="2" t="str">
        <f t="array" ref="G2298">_xlfn.XLOOKUP(A2299,Product!A:A,Product!D:D,"Bulunamadı")</f>
        <v>Harborfield Publishing</v>
      </c>
      <c r="H2298" s="2">
        <f t="array" ref="H2298">_xlfn.XLOOKUP(A2300,Product!A:A,Product!E:E,"Bulunamadı")</f>
        <v>2.64</v>
      </c>
      <c r="I2298" s="2" t="str">
        <f t="shared" si="1"/>
        <v>70696 - Fiction - Football</v>
      </c>
      <c r="J2298" s="2">
        <f t="shared" si="2"/>
        <v>293.04</v>
      </c>
      <c r="K2298" s="17">
        <f t="shared" si="3"/>
        <v>1</v>
      </c>
      <c r="L2298" s="18"/>
    </row>
    <row r="2299" hidden="1">
      <c r="A2299" s="2">
        <f>IFERROR(__xludf.DUMMYFUNCTION("""COMPUTED_VALUE"""),121278.0)</f>
        <v>121278</v>
      </c>
      <c r="B2299" s="2">
        <f>IFERROR(__xludf.DUMMYFUNCTION("""COMPUTED_VALUE"""),0.0)</f>
        <v>0</v>
      </c>
      <c r="C2299" s="2">
        <f>IFERROR(__xludf.DUMMYFUNCTION("""COMPUTED_VALUE"""),82.0)</f>
        <v>82</v>
      </c>
      <c r="D2299" s="3">
        <f>IFERROR(__xludf.DUMMYFUNCTION("""COMPUTED_VALUE"""),10.0)</f>
        <v>10</v>
      </c>
      <c r="E2299" s="1" t="str">
        <f t="array" ref="E2299">_xlfn.XLOOKUP(A2299,Product!A:A,Product!B:B,"Bulunamadı")</f>
        <v>Fiction</v>
      </c>
      <c r="F2299" s="1" t="str">
        <f t="array" ref="F2299">_xlfn.XLOOKUP(A2299,Product!A:A,Product!C:C,"Bulunamadı")</f>
        <v>Football</v>
      </c>
      <c r="G2299" s="2" t="str">
        <f t="array" ref="G2299">_xlfn.XLOOKUP(A2300,Product!A:A,Product!D:D,"Bulunamadı")</f>
        <v>Cedarfield Books</v>
      </c>
      <c r="H2299" s="2">
        <f t="array" ref="H2299">_xlfn.XLOOKUP(A2301,Product!A:A,Product!E:E,"Bulunamadı")</f>
        <v>9.78</v>
      </c>
      <c r="I2299" s="2" t="str">
        <f t="shared" si="1"/>
        <v>121278 - Fiction - Football</v>
      </c>
      <c r="J2299" s="2">
        <f t="shared" si="2"/>
        <v>97.8</v>
      </c>
      <c r="K2299" s="17">
        <f t="shared" si="3"/>
        <v>1</v>
      </c>
      <c r="L2299" s="18"/>
    </row>
    <row r="2300" hidden="1">
      <c r="A2300" s="2">
        <f>IFERROR(__xludf.DUMMYFUNCTION("""COMPUTED_VALUE"""),74382.0)</f>
        <v>74382</v>
      </c>
      <c r="B2300" s="2">
        <f>IFERROR(__xludf.DUMMYFUNCTION("""COMPUTED_VALUE"""),1.0)</f>
        <v>1</v>
      </c>
      <c r="C2300" s="2">
        <f>IFERROR(__xludf.DUMMYFUNCTION("""COMPUTED_VALUE"""),555.0)</f>
        <v>555</v>
      </c>
      <c r="D2300" s="3">
        <f>IFERROR(__xludf.DUMMYFUNCTION("""COMPUTED_VALUE"""),58.0)</f>
        <v>58</v>
      </c>
      <c r="E2300" s="1" t="str">
        <f t="array" ref="E2300">_xlfn.XLOOKUP(A2300,Product!A:A,Product!B:B,"Bulunamadı")</f>
        <v>History</v>
      </c>
      <c r="F2300" s="1" t="str">
        <f t="array" ref="F2300">_xlfn.XLOOKUP(A2300,Product!A:A,Product!C:C,"Bulunamadı")</f>
        <v>Basketball</v>
      </c>
      <c r="G2300" s="2" t="str">
        <f t="array" ref="G2300">_xlfn.XLOOKUP(A2301,Product!A:A,Product!D:D,"Bulunamadı")</f>
        <v>Brightfield Press</v>
      </c>
      <c r="H2300" s="2">
        <f t="array" ref="H2300">_xlfn.XLOOKUP(A2302,Product!A:A,Product!E:E,"Bulunamadı")</f>
        <v>1.44</v>
      </c>
      <c r="I2300" s="2" t="str">
        <f t="shared" si="1"/>
        <v>74382 - History - Basketball</v>
      </c>
      <c r="J2300" s="2">
        <f t="shared" si="2"/>
        <v>83.52</v>
      </c>
      <c r="K2300" s="17">
        <f t="shared" si="3"/>
        <v>1</v>
      </c>
      <c r="L2300" s="18"/>
    </row>
    <row r="2301" hidden="1">
      <c r="A2301" s="2">
        <f>IFERROR(__xludf.DUMMYFUNCTION("""COMPUTED_VALUE"""),121921.0)</f>
        <v>121921</v>
      </c>
      <c r="B2301" s="2">
        <f>IFERROR(__xludf.DUMMYFUNCTION("""COMPUTED_VALUE"""),1.0)</f>
        <v>1</v>
      </c>
      <c r="C2301" s="2">
        <f>IFERROR(__xludf.DUMMYFUNCTION("""COMPUTED_VALUE"""),58.0)</f>
        <v>58</v>
      </c>
      <c r="D2301" s="3">
        <f>IFERROR(__xludf.DUMMYFUNCTION("""COMPUTED_VALUE"""),30.0)</f>
        <v>30</v>
      </c>
      <c r="E2301" s="1" t="str">
        <f t="array" ref="E2301">_xlfn.XLOOKUP(A2301,Product!A:A,Product!B:B,"Bulunamadı")</f>
        <v>History</v>
      </c>
      <c r="F2301" s="1" t="str">
        <f t="array" ref="F2301">_xlfn.XLOOKUP(A2301,Product!A:A,Product!C:C,"Bulunamadı")</f>
        <v>Basketball</v>
      </c>
      <c r="G2301" s="2" t="str">
        <f t="array" ref="G2301">_xlfn.XLOOKUP(A2302,Product!A:A,Product!D:D,"Bulunamadı")</f>
        <v>Oakfield Publishing</v>
      </c>
      <c r="H2301" s="2">
        <f t="array" ref="H2301">_xlfn.XLOOKUP(A2303,Product!A:A,Product!E:E,"Bulunamadı")</f>
        <v>2.36</v>
      </c>
      <c r="I2301" s="2" t="str">
        <f t="shared" si="1"/>
        <v>121921 - History - Basketball</v>
      </c>
      <c r="J2301" s="2">
        <f t="shared" si="2"/>
        <v>70.8</v>
      </c>
      <c r="K2301" s="17">
        <f t="shared" si="3"/>
        <v>1</v>
      </c>
      <c r="L2301" s="18"/>
    </row>
    <row r="2302" hidden="1">
      <c r="A2302" s="2">
        <f>IFERROR(__xludf.DUMMYFUNCTION("""COMPUTED_VALUE"""),83853.0)</f>
        <v>83853</v>
      </c>
      <c r="B2302" s="2">
        <f>IFERROR(__xludf.DUMMYFUNCTION("""COMPUTED_VALUE"""),1.0)</f>
        <v>1</v>
      </c>
      <c r="C2302" s="2">
        <f>IFERROR(__xludf.DUMMYFUNCTION("""COMPUTED_VALUE"""),518.0)</f>
        <v>518</v>
      </c>
      <c r="D2302" s="3">
        <f>IFERROR(__xludf.DUMMYFUNCTION("""COMPUTED_VALUE"""),278.0)</f>
        <v>278</v>
      </c>
      <c r="E2302" s="1" t="str">
        <f t="array" ref="E2302">_xlfn.XLOOKUP(A2302,Product!A:A,Product!B:B,"Bulunamadı")</f>
        <v>History</v>
      </c>
      <c r="F2302" s="1" t="str">
        <f t="array" ref="F2302">_xlfn.XLOOKUP(A2302,Product!A:A,Product!C:C,"Bulunamadı")</f>
        <v>Basketball</v>
      </c>
      <c r="G2302" s="2" t="str">
        <f t="array" ref="G2302">_xlfn.XLOOKUP(A2303,Product!A:A,Product!D:D,"Bulunamadı")</f>
        <v>Oakfield Publishing</v>
      </c>
      <c r="H2302" s="2">
        <f t="array" ref="H2302">_xlfn.XLOOKUP(A2304,Product!A:A,Product!E:E,"Bulunamadı")</f>
        <v>1.6</v>
      </c>
      <c r="I2302" s="2" t="str">
        <f t="shared" si="1"/>
        <v>83853 - History - Basketball</v>
      </c>
      <c r="J2302" s="2">
        <f t="shared" si="2"/>
        <v>444.8</v>
      </c>
      <c r="K2302" s="17">
        <f t="shared" si="3"/>
        <v>1</v>
      </c>
      <c r="L2302" s="18"/>
    </row>
    <row r="2303" hidden="1">
      <c r="A2303" s="2">
        <f>IFERROR(__xludf.DUMMYFUNCTION("""COMPUTED_VALUE"""),111706.0)</f>
        <v>111706</v>
      </c>
      <c r="B2303" s="2">
        <f>IFERROR(__xludf.DUMMYFUNCTION("""COMPUTED_VALUE"""),0.0)</f>
        <v>0</v>
      </c>
      <c r="C2303" s="2">
        <f>IFERROR(__xludf.DUMMYFUNCTION("""COMPUTED_VALUE"""),391.0)</f>
        <v>391</v>
      </c>
      <c r="D2303" s="3">
        <f>IFERROR(__xludf.DUMMYFUNCTION("""COMPUTED_VALUE"""),257.0)</f>
        <v>257</v>
      </c>
      <c r="E2303" s="1" t="str">
        <f t="array" ref="E2303">_xlfn.XLOOKUP(A2303,Product!A:A,Product!B:B,"Bulunamadı")</f>
        <v>History</v>
      </c>
      <c r="F2303" s="1" t="str">
        <f t="array" ref="F2303">_xlfn.XLOOKUP(A2303,Product!A:A,Product!C:C,"Bulunamadı")</f>
        <v>Basketball</v>
      </c>
      <c r="G2303" s="2" t="str">
        <f t="array" ref="G2303">_xlfn.XLOOKUP(A2304,Product!A:A,Product!D:D,"Bulunamadı")</f>
        <v>Riverfield Books</v>
      </c>
      <c r="H2303" s="2">
        <f t="array" ref="H2303">_xlfn.XLOOKUP(A2305,Product!A:A,Product!E:E,"Bulunamadı")</f>
        <v>2.25</v>
      </c>
      <c r="I2303" s="2" t="str">
        <f t="shared" si="1"/>
        <v>111706 - History - Basketball</v>
      </c>
      <c r="J2303" s="2">
        <f t="shared" si="2"/>
        <v>578.25</v>
      </c>
      <c r="K2303" s="17">
        <f t="shared" si="3"/>
        <v>1</v>
      </c>
      <c r="L2303" s="18"/>
    </row>
    <row r="2304" hidden="1">
      <c r="A2304" s="2">
        <f>IFERROR(__xludf.DUMMYFUNCTION("""COMPUTED_VALUE"""),15062.0)</f>
        <v>15062</v>
      </c>
      <c r="B2304" s="2">
        <f>IFERROR(__xludf.DUMMYFUNCTION("""COMPUTED_VALUE"""),1.0)</f>
        <v>1</v>
      </c>
      <c r="C2304" s="2">
        <f>IFERROR(__xludf.DUMMYFUNCTION("""COMPUTED_VALUE"""),44.0)</f>
        <v>44</v>
      </c>
      <c r="D2304" s="3">
        <f>IFERROR(__xludf.DUMMYFUNCTION("""COMPUTED_VALUE"""),12.0)</f>
        <v>12</v>
      </c>
      <c r="E2304" s="1" t="str">
        <f t="array" ref="E2304">_xlfn.XLOOKUP(A2304,Product!A:A,Product!B:B,"Bulunamadı")</f>
        <v>History</v>
      </c>
      <c r="F2304" s="1" t="str">
        <f t="array" ref="F2304">_xlfn.XLOOKUP(A2304,Product!A:A,Product!C:C,"Bulunamadı")</f>
        <v>Basketball</v>
      </c>
      <c r="G2304" s="2" t="str">
        <f t="array" ref="G2304">_xlfn.XLOOKUP(A2305,Product!A:A,Product!D:D,"Bulunamadı")</f>
        <v>Riverfield Books</v>
      </c>
      <c r="H2304" s="2">
        <f t="array" ref="H2304">_xlfn.XLOOKUP(A2306,Product!A:A,Product!E:E,"Bulunamadı")</f>
        <v>1.16</v>
      </c>
      <c r="I2304" s="2" t="str">
        <f t="shared" si="1"/>
        <v>15062 - History - Basketball</v>
      </c>
      <c r="J2304" s="2">
        <f t="shared" si="2"/>
        <v>13.92</v>
      </c>
      <c r="K2304" s="17">
        <f t="shared" si="3"/>
        <v>1</v>
      </c>
      <c r="L2304" s="18"/>
    </row>
    <row r="2305" hidden="1">
      <c r="A2305" s="2">
        <f>IFERROR(__xludf.DUMMYFUNCTION("""COMPUTED_VALUE"""),79948.0)</f>
        <v>79948</v>
      </c>
      <c r="B2305" s="2">
        <f>IFERROR(__xludf.DUMMYFUNCTION("""COMPUTED_VALUE"""),0.0)</f>
        <v>0</v>
      </c>
      <c r="C2305" s="2">
        <f>IFERROR(__xludf.DUMMYFUNCTION("""COMPUTED_VALUE"""),817.0)</f>
        <v>817</v>
      </c>
      <c r="D2305" s="3">
        <f>IFERROR(__xludf.DUMMYFUNCTION("""COMPUTED_VALUE"""),9.0)</f>
        <v>9</v>
      </c>
      <c r="E2305" s="1" t="str">
        <f t="array" ref="E2305">_xlfn.XLOOKUP(A2305,Product!A:A,Product!B:B,"Bulunamadı")</f>
        <v>History</v>
      </c>
      <c r="F2305" s="1" t="str">
        <f t="array" ref="F2305">_xlfn.XLOOKUP(A2305,Product!A:A,Product!C:C,"Bulunamadı")</f>
        <v>Basketball</v>
      </c>
      <c r="G2305" s="2" t="str">
        <f t="array" ref="G2305">_xlfn.XLOOKUP(A2306,Product!A:A,Product!D:D,"Bulunamadı")</f>
        <v>Riverfield Books</v>
      </c>
      <c r="H2305" s="2">
        <f t="array" ref="H2305">_xlfn.XLOOKUP(A2307,Product!A:A,Product!E:E,"Bulunamadı")</f>
        <v>2.82</v>
      </c>
      <c r="I2305" s="2" t="str">
        <f t="shared" si="1"/>
        <v>79948 - History - Basketball</v>
      </c>
      <c r="J2305" s="2">
        <f t="shared" si="2"/>
        <v>25.38</v>
      </c>
      <c r="K2305" s="17">
        <f t="shared" si="3"/>
        <v>1</v>
      </c>
      <c r="L2305" s="18"/>
    </row>
    <row r="2306" hidden="1">
      <c r="A2306" s="2">
        <f>IFERROR(__xludf.DUMMYFUNCTION("""COMPUTED_VALUE"""),84400.0)</f>
        <v>84400</v>
      </c>
      <c r="B2306" s="2">
        <f>IFERROR(__xludf.DUMMYFUNCTION("""COMPUTED_VALUE"""),1.0)</f>
        <v>1</v>
      </c>
      <c r="C2306" s="2">
        <f>IFERROR(__xludf.DUMMYFUNCTION("""COMPUTED_VALUE"""),178.0)</f>
        <v>178</v>
      </c>
      <c r="D2306" s="3">
        <f>IFERROR(__xludf.DUMMYFUNCTION("""COMPUTED_VALUE"""),87.0)</f>
        <v>87</v>
      </c>
      <c r="E2306" s="1" t="str">
        <f t="array" ref="E2306">_xlfn.XLOOKUP(A2306,Product!A:A,Product!B:B,"Bulunamadı")</f>
        <v>History</v>
      </c>
      <c r="F2306" s="1" t="str">
        <f t="array" ref="F2306">_xlfn.XLOOKUP(A2306,Product!A:A,Product!C:C,"Bulunamadı")</f>
        <v>Basketball</v>
      </c>
      <c r="G2306" s="2" t="str">
        <f t="array" ref="G2306">_xlfn.XLOOKUP(A2307,Product!A:A,Product!D:D,"Bulunamadı")</f>
        <v>Riverfield Books</v>
      </c>
      <c r="H2306" s="2">
        <f t="array" ref="H2306">_xlfn.XLOOKUP(A2308,Product!A:A,Product!E:E,"Bulunamadı")</f>
        <v>1.82</v>
      </c>
      <c r="I2306" s="2" t="str">
        <f t="shared" si="1"/>
        <v>84400 - History - Basketball</v>
      </c>
      <c r="J2306" s="2">
        <f t="shared" si="2"/>
        <v>158.34</v>
      </c>
      <c r="K2306" s="17">
        <f t="shared" si="3"/>
        <v>1</v>
      </c>
      <c r="L2306" s="18"/>
    </row>
    <row r="2307" hidden="1">
      <c r="A2307" s="2">
        <f>IFERROR(__xludf.DUMMYFUNCTION("""COMPUTED_VALUE"""),79299.0)</f>
        <v>79299</v>
      </c>
      <c r="B2307" s="2">
        <f>IFERROR(__xludf.DUMMYFUNCTION("""COMPUTED_VALUE"""),1.0)</f>
        <v>1</v>
      </c>
      <c r="C2307" s="2">
        <f>IFERROR(__xludf.DUMMYFUNCTION("""COMPUTED_VALUE"""),181.0)</f>
        <v>181</v>
      </c>
      <c r="D2307" s="3">
        <f>IFERROR(__xludf.DUMMYFUNCTION("""COMPUTED_VALUE"""),73.0)</f>
        <v>73</v>
      </c>
      <c r="E2307" s="1" t="str">
        <f t="array" ref="E2307">_xlfn.XLOOKUP(A2307,Product!A:A,Product!B:B,"Bulunamadı")</f>
        <v>History</v>
      </c>
      <c r="F2307" s="1" t="str">
        <f t="array" ref="F2307">_xlfn.XLOOKUP(A2307,Product!A:A,Product!C:C,"Bulunamadı")</f>
        <v>Basketball</v>
      </c>
      <c r="G2307" s="2" t="str">
        <f t="array" ref="G2307">_xlfn.XLOOKUP(A2308,Product!A:A,Product!D:D,"Bulunamadı")</f>
        <v>Riverfield Books</v>
      </c>
      <c r="H2307" s="2">
        <f t="array" ref="H2307">_xlfn.XLOOKUP(A2309,Product!A:A,Product!E:E,"Bulunamadı")</f>
        <v>2.9</v>
      </c>
      <c r="I2307" s="2" t="str">
        <f t="shared" si="1"/>
        <v>79299 - History - Basketball</v>
      </c>
      <c r="J2307" s="2">
        <f t="shared" si="2"/>
        <v>211.7</v>
      </c>
      <c r="K2307" s="17">
        <f t="shared" si="3"/>
        <v>1</v>
      </c>
      <c r="L2307" s="18"/>
    </row>
    <row r="2308" hidden="1">
      <c r="A2308" s="2">
        <f>IFERROR(__xludf.DUMMYFUNCTION("""COMPUTED_VALUE"""),19776.0)</f>
        <v>19776</v>
      </c>
      <c r="B2308" s="2">
        <f>IFERROR(__xludf.DUMMYFUNCTION("""COMPUTED_VALUE"""),1.0)</f>
        <v>1</v>
      </c>
      <c r="C2308" s="2">
        <f>IFERROR(__xludf.DUMMYFUNCTION("""COMPUTED_VALUE"""),912.0)</f>
        <v>912</v>
      </c>
      <c r="D2308" s="3">
        <f>IFERROR(__xludf.DUMMYFUNCTION("""COMPUTED_VALUE"""),153.0)</f>
        <v>153</v>
      </c>
      <c r="E2308" s="1" t="str">
        <f t="array" ref="E2308">_xlfn.XLOOKUP(A2308,Product!A:A,Product!B:B,"Bulunamadı")</f>
        <v>History</v>
      </c>
      <c r="F2308" s="1" t="str">
        <f t="array" ref="F2308">_xlfn.XLOOKUP(A2308,Product!A:A,Product!C:C,"Bulunamadı")</f>
        <v>Basketball</v>
      </c>
      <c r="G2308" s="2" t="str">
        <f t="array" ref="G2308">_xlfn.XLOOKUP(A2309,Product!A:A,Product!D:D,"Bulunamadı")</f>
        <v>Ironfield Press</v>
      </c>
      <c r="H2308" s="2">
        <f t="array" ref="H2308">_xlfn.XLOOKUP(A2310,Product!A:A,Product!E:E,"Bulunamadı")</f>
        <v>2.19</v>
      </c>
      <c r="I2308" s="2" t="str">
        <f t="shared" si="1"/>
        <v>19776 - History - Basketball</v>
      </c>
      <c r="J2308" s="2">
        <f t="shared" si="2"/>
        <v>335.07</v>
      </c>
      <c r="K2308" s="17">
        <f t="shared" si="3"/>
        <v>1</v>
      </c>
      <c r="L2308" s="18"/>
    </row>
    <row r="2309" hidden="1">
      <c r="A2309" s="2">
        <f>IFERROR(__xludf.DUMMYFUNCTION("""COMPUTED_VALUE"""),74392.0)</f>
        <v>74392</v>
      </c>
      <c r="B2309" s="2">
        <f>IFERROR(__xludf.DUMMYFUNCTION("""COMPUTED_VALUE"""),1.0)</f>
        <v>1</v>
      </c>
      <c r="C2309" s="2">
        <f>IFERROR(__xludf.DUMMYFUNCTION("""COMPUTED_VALUE"""),674.0)</f>
        <v>674</v>
      </c>
      <c r="D2309" s="3">
        <f>IFERROR(__xludf.DUMMYFUNCTION("""COMPUTED_VALUE"""),102.0)</f>
        <v>102</v>
      </c>
      <c r="E2309" s="1" t="str">
        <f t="array" ref="E2309">_xlfn.XLOOKUP(A2309,Product!A:A,Product!B:B,"Bulunamadı")</f>
        <v>History</v>
      </c>
      <c r="F2309" s="1" t="str">
        <f t="array" ref="F2309">_xlfn.XLOOKUP(A2309,Product!A:A,Product!C:C,"Bulunamadı")</f>
        <v>Basketball</v>
      </c>
      <c r="G2309" s="2" t="str">
        <f t="array" ref="G2309">_xlfn.XLOOKUP(A2310,Product!A:A,Product!D:D,"Bulunamadı")</f>
        <v>Ironfield Press</v>
      </c>
      <c r="H2309" s="2">
        <f t="array" ref="H2309">_xlfn.XLOOKUP(A2311,Product!A:A,Product!E:E,"Bulunamadı")</f>
        <v>2.72</v>
      </c>
      <c r="I2309" s="2" t="str">
        <f t="shared" si="1"/>
        <v>74392 - History - Basketball</v>
      </c>
      <c r="J2309" s="2">
        <f t="shared" si="2"/>
        <v>277.44</v>
      </c>
      <c r="K2309" s="17">
        <f t="shared" si="3"/>
        <v>1</v>
      </c>
      <c r="L2309" s="18"/>
    </row>
    <row r="2310" hidden="1">
      <c r="A2310" s="2">
        <f>IFERROR(__xludf.DUMMYFUNCTION("""COMPUTED_VALUE"""),83399.0)</f>
        <v>83399</v>
      </c>
      <c r="B2310" s="2">
        <f>IFERROR(__xludf.DUMMYFUNCTION("""COMPUTED_VALUE"""),0.0)</f>
        <v>0</v>
      </c>
      <c r="C2310" s="2">
        <f>IFERROR(__xludf.DUMMYFUNCTION("""COMPUTED_VALUE"""),521.0)</f>
        <v>521</v>
      </c>
      <c r="D2310" s="3">
        <f>IFERROR(__xludf.DUMMYFUNCTION("""COMPUTED_VALUE"""),241.0)</f>
        <v>241</v>
      </c>
      <c r="E2310" s="1" t="str">
        <f t="array" ref="E2310">_xlfn.XLOOKUP(A2310,Product!A:A,Product!B:B,"Bulunamadı")</f>
        <v>History</v>
      </c>
      <c r="F2310" s="1" t="str">
        <f t="array" ref="F2310">_xlfn.XLOOKUP(A2310,Product!A:A,Product!C:C,"Bulunamadı")</f>
        <v>Basketball</v>
      </c>
      <c r="G2310" s="2" t="str">
        <f t="array" ref="G2310">_xlfn.XLOOKUP(A2311,Product!A:A,Product!D:D,"Bulunamadı")</f>
        <v>Ironfield Press</v>
      </c>
      <c r="H2310" s="2">
        <f t="array" ref="H2310">_xlfn.XLOOKUP(A2312,Product!A:A,Product!E:E,"Bulunamadı")</f>
        <v>2.8</v>
      </c>
      <c r="I2310" s="2" t="str">
        <f t="shared" si="1"/>
        <v>83399 - History - Basketball</v>
      </c>
      <c r="J2310" s="2">
        <f t="shared" si="2"/>
        <v>674.8</v>
      </c>
      <c r="K2310" s="17">
        <f t="shared" si="3"/>
        <v>1</v>
      </c>
      <c r="L2310" s="18"/>
    </row>
    <row r="2311" hidden="1">
      <c r="A2311" s="2">
        <f>IFERROR(__xludf.DUMMYFUNCTION("""COMPUTED_VALUE"""),74383.0)</f>
        <v>74383</v>
      </c>
      <c r="B2311" s="2">
        <f>IFERROR(__xludf.DUMMYFUNCTION("""COMPUTED_VALUE"""),0.0)</f>
        <v>0</v>
      </c>
      <c r="C2311" s="2">
        <f>IFERROR(__xludf.DUMMYFUNCTION("""COMPUTED_VALUE"""),621.0)</f>
        <v>621</v>
      </c>
      <c r="D2311" s="3">
        <f>IFERROR(__xludf.DUMMYFUNCTION("""COMPUTED_VALUE"""),427.0)</f>
        <v>427</v>
      </c>
      <c r="E2311" s="1" t="str">
        <f t="array" ref="E2311">_xlfn.XLOOKUP(A2311,Product!A:A,Product!B:B,"Bulunamadı")</f>
        <v>History</v>
      </c>
      <c r="F2311" s="1" t="str">
        <f t="array" ref="F2311">_xlfn.XLOOKUP(A2311,Product!A:A,Product!C:C,"Bulunamadı")</f>
        <v>Basketball</v>
      </c>
      <c r="G2311" s="2" t="str">
        <f t="array" ref="G2311">_xlfn.XLOOKUP(A2312,Product!A:A,Product!D:D,"Bulunamadı")</f>
        <v>Ironfield Press</v>
      </c>
      <c r="H2311" s="2">
        <f t="array" ref="H2311">_xlfn.XLOOKUP(A2313,Product!A:A,Product!E:E,"Bulunamadı")</f>
        <v>3.25</v>
      </c>
      <c r="I2311" s="2" t="str">
        <f t="shared" si="1"/>
        <v>74383 - History - Basketball</v>
      </c>
      <c r="J2311" s="2">
        <f t="shared" si="2"/>
        <v>1387.75</v>
      </c>
      <c r="K2311" s="17">
        <f t="shared" si="3"/>
        <v>1</v>
      </c>
      <c r="L2311" s="18"/>
    </row>
    <row r="2312" hidden="1">
      <c r="A2312" s="2">
        <f>IFERROR(__xludf.DUMMYFUNCTION("""COMPUTED_VALUE"""),100819.0)</f>
        <v>100819</v>
      </c>
      <c r="B2312" s="2">
        <f>IFERROR(__xludf.DUMMYFUNCTION("""COMPUTED_VALUE"""),1.0)</f>
        <v>1</v>
      </c>
      <c r="C2312" s="2">
        <f>IFERROR(__xludf.DUMMYFUNCTION("""COMPUTED_VALUE"""),790.0)</f>
        <v>790</v>
      </c>
      <c r="D2312" s="3">
        <f>IFERROR(__xludf.DUMMYFUNCTION("""COMPUTED_VALUE"""),150.0)</f>
        <v>150</v>
      </c>
      <c r="E2312" s="1" t="str">
        <f t="array" ref="E2312">_xlfn.XLOOKUP(A2312,Product!A:A,Product!B:B,"Bulunamadı")</f>
        <v>History</v>
      </c>
      <c r="F2312" s="1" t="str">
        <f t="array" ref="F2312">_xlfn.XLOOKUP(A2312,Product!A:A,Product!C:C,"Bulunamadı")</f>
        <v>Basketball</v>
      </c>
      <c r="G2312" s="2" t="str">
        <f t="array" ref="G2312">_xlfn.XLOOKUP(A2313,Product!A:A,Product!D:D,"Bulunamadı")</f>
        <v>Ironfield Press</v>
      </c>
      <c r="H2312" s="2">
        <f t="array" ref="H2312">_xlfn.XLOOKUP(A2314,Product!A:A,Product!E:E,"Bulunamadı")</f>
        <v>2.64</v>
      </c>
      <c r="I2312" s="2" t="str">
        <f t="shared" si="1"/>
        <v>100819 - History - Basketball</v>
      </c>
      <c r="J2312" s="2">
        <f t="shared" si="2"/>
        <v>396</v>
      </c>
      <c r="K2312" s="17">
        <f t="shared" si="3"/>
        <v>1</v>
      </c>
      <c r="L2312" s="18"/>
    </row>
    <row r="2313" hidden="1">
      <c r="A2313" s="2">
        <f>IFERROR(__xludf.DUMMYFUNCTION("""COMPUTED_VALUE"""),190857.0)</f>
        <v>190857</v>
      </c>
      <c r="B2313" s="2">
        <f>IFERROR(__xludf.DUMMYFUNCTION("""COMPUTED_VALUE"""),0.0)</f>
        <v>0</v>
      </c>
      <c r="C2313" s="2">
        <f>IFERROR(__xludf.DUMMYFUNCTION("""COMPUTED_VALUE"""),677.0)</f>
        <v>677</v>
      </c>
      <c r="D2313" s="3">
        <f>IFERROR(__xludf.DUMMYFUNCTION("""COMPUTED_VALUE"""),494.0)</f>
        <v>494</v>
      </c>
      <c r="E2313" s="1" t="str">
        <f t="array" ref="E2313">_xlfn.XLOOKUP(A2313,Product!A:A,Product!B:B,"Bulunamadı")</f>
        <v>History</v>
      </c>
      <c r="F2313" s="1" t="str">
        <f t="array" ref="F2313">_xlfn.XLOOKUP(A2313,Product!A:A,Product!C:C,"Bulunamadı")</f>
        <v>Basketball</v>
      </c>
      <c r="G2313" s="2" t="str">
        <f t="array" ref="G2313">_xlfn.XLOOKUP(A2314,Product!A:A,Product!D:D,"Bulunamadı")</f>
        <v>Ironfield Press</v>
      </c>
      <c r="H2313" s="2">
        <f t="array" ref="H2313">_xlfn.XLOOKUP(A2315,Product!A:A,Product!E:E,"Bulunamadı")</f>
        <v>2.66</v>
      </c>
      <c r="I2313" s="2" t="str">
        <f t="shared" si="1"/>
        <v>190857 - History - Basketball</v>
      </c>
      <c r="J2313" s="2">
        <f t="shared" si="2"/>
        <v>1314.04</v>
      </c>
      <c r="K2313" s="17">
        <f t="shared" si="3"/>
        <v>1</v>
      </c>
      <c r="L2313" s="18"/>
    </row>
    <row r="2314" hidden="1">
      <c r="A2314" s="2">
        <f>IFERROR(__xludf.DUMMYFUNCTION("""COMPUTED_VALUE"""),120331.0)</f>
        <v>120331</v>
      </c>
      <c r="B2314" s="2">
        <f>IFERROR(__xludf.DUMMYFUNCTION("""COMPUTED_VALUE"""),1.0)</f>
        <v>1</v>
      </c>
      <c r="C2314" s="2">
        <f>IFERROR(__xludf.DUMMYFUNCTION("""COMPUTED_VALUE"""),892.0)</f>
        <v>892</v>
      </c>
      <c r="D2314" s="3">
        <f>IFERROR(__xludf.DUMMYFUNCTION("""COMPUTED_VALUE"""),152.0)</f>
        <v>152</v>
      </c>
      <c r="E2314" s="1" t="str">
        <f t="array" ref="E2314">_xlfn.XLOOKUP(A2314,Product!A:A,Product!B:B,"Bulunamadı")</f>
        <v>History</v>
      </c>
      <c r="F2314" s="1" t="str">
        <f t="array" ref="F2314">_xlfn.XLOOKUP(A2314,Product!A:A,Product!C:C,"Bulunamadı")</f>
        <v>Basketball</v>
      </c>
      <c r="G2314" s="2" t="str">
        <f t="array" ref="G2314">_xlfn.XLOOKUP(A2315,Product!A:A,Product!D:D,"Bulunamadı")</f>
        <v>Ironfield Press</v>
      </c>
      <c r="H2314" s="2">
        <f t="array" ref="H2314">_xlfn.XLOOKUP(A2316,Product!A:A,Product!E:E,"Bulunamadı")</f>
        <v>2.51</v>
      </c>
      <c r="I2314" s="2" t="str">
        <f t="shared" si="1"/>
        <v>120331 - History - Basketball</v>
      </c>
      <c r="J2314" s="2">
        <f t="shared" si="2"/>
        <v>381.52</v>
      </c>
      <c r="K2314" s="17">
        <f t="shared" si="3"/>
        <v>1</v>
      </c>
      <c r="L2314" s="18"/>
    </row>
    <row r="2315" hidden="1">
      <c r="A2315" s="2">
        <f>IFERROR(__xludf.DUMMYFUNCTION("""COMPUTED_VALUE"""),87580.0)</f>
        <v>87580</v>
      </c>
      <c r="B2315" s="2">
        <f>IFERROR(__xludf.DUMMYFUNCTION("""COMPUTED_VALUE"""),1.0)</f>
        <v>1</v>
      </c>
      <c r="C2315" s="2">
        <f>IFERROR(__xludf.DUMMYFUNCTION("""COMPUTED_VALUE"""),944.0)</f>
        <v>944</v>
      </c>
      <c r="D2315" s="3">
        <f>IFERROR(__xludf.DUMMYFUNCTION("""COMPUTED_VALUE"""),130.0)</f>
        <v>130</v>
      </c>
      <c r="E2315" s="1" t="str">
        <f t="array" ref="E2315">_xlfn.XLOOKUP(A2315,Product!A:A,Product!B:B,"Bulunamadı")</f>
        <v>History</v>
      </c>
      <c r="F2315" s="1" t="str">
        <f t="array" ref="F2315">_xlfn.XLOOKUP(A2315,Product!A:A,Product!C:C,"Bulunamadı")</f>
        <v>Basketball</v>
      </c>
      <c r="G2315" s="2" t="str">
        <f t="array" ref="G2315">_xlfn.XLOOKUP(A2316,Product!A:A,Product!D:D,"Bulunamadı")</f>
        <v>Ironfield Press</v>
      </c>
      <c r="H2315" s="2">
        <f t="array" ref="H2315">_xlfn.XLOOKUP(A2317,Product!A:A,Product!E:E,"Bulunamadı")</f>
        <v>2.74</v>
      </c>
      <c r="I2315" s="2" t="str">
        <f t="shared" si="1"/>
        <v>87580 - History - Basketball</v>
      </c>
      <c r="J2315" s="2">
        <f t="shared" si="2"/>
        <v>356.2</v>
      </c>
      <c r="K2315" s="17">
        <f t="shared" si="3"/>
        <v>1</v>
      </c>
      <c r="L2315" s="18"/>
    </row>
    <row r="2316" hidden="1">
      <c r="A2316" s="2">
        <f>IFERROR(__xludf.DUMMYFUNCTION("""COMPUTED_VALUE"""),79300.0)</f>
        <v>79300</v>
      </c>
      <c r="B2316" s="2">
        <f>IFERROR(__xludf.DUMMYFUNCTION("""COMPUTED_VALUE"""),0.0)</f>
        <v>0</v>
      </c>
      <c r="C2316" s="2">
        <f>IFERROR(__xludf.DUMMYFUNCTION("""COMPUTED_VALUE"""),974.0)</f>
        <v>974</v>
      </c>
      <c r="D2316" s="3">
        <f>IFERROR(__xludf.DUMMYFUNCTION("""COMPUTED_VALUE"""),107.0)</f>
        <v>107</v>
      </c>
      <c r="E2316" s="1" t="str">
        <f t="array" ref="E2316">_xlfn.XLOOKUP(A2316,Product!A:A,Product!B:B,"Bulunamadı")</f>
        <v>History</v>
      </c>
      <c r="F2316" s="1" t="str">
        <f t="array" ref="F2316">_xlfn.XLOOKUP(A2316,Product!A:A,Product!C:C,"Bulunamadı")</f>
        <v>Basketball</v>
      </c>
      <c r="G2316" s="2" t="str">
        <f t="array" ref="G2316">_xlfn.XLOOKUP(A2317,Product!A:A,Product!D:D,"Bulunamadı")</f>
        <v>Silverlane Publishing</v>
      </c>
      <c r="H2316" s="2">
        <f t="array" ref="H2316">_xlfn.XLOOKUP(A2318,Product!A:A,Product!E:E,"Bulunamadı")</f>
        <v>1.2</v>
      </c>
      <c r="I2316" s="2" t="str">
        <f t="shared" si="1"/>
        <v>79300 - History - Basketball</v>
      </c>
      <c r="J2316" s="2">
        <f t="shared" si="2"/>
        <v>128.4</v>
      </c>
      <c r="K2316" s="17">
        <f t="shared" si="3"/>
        <v>1</v>
      </c>
      <c r="L2316" s="18"/>
    </row>
    <row r="2317" hidden="1">
      <c r="A2317" s="2">
        <f>IFERROR(__xludf.DUMMYFUNCTION("""COMPUTED_VALUE"""),79950.0)</f>
        <v>79950</v>
      </c>
      <c r="B2317" s="2">
        <f>IFERROR(__xludf.DUMMYFUNCTION("""COMPUTED_VALUE"""),1.0)</f>
        <v>1</v>
      </c>
      <c r="C2317" s="2">
        <f>IFERROR(__xludf.DUMMYFUNCTION("""COMPUTED_VALUE"""),442.0)</f>
        <v>442</v>
      </c>
      <c r="D2317" s="3">
        <f>IFERROR(__xludf.DUMMYFUNCTION("""COMPUTED_VALUE"""),62.0)</f>
        <v>62</v>
      </c>
      <c r="E2317" s="1" t="str">
        <f t="array" ref="E2317">_xlfn.XLOOKUP(A2317,Product!A:A,Product!B:B,"Bulunamadı")</f>
        <v>History</v>
      </c>
      <c r="F2317" s="1" t="str">
        <f t="array" ref="F2317">_xlfn.XLOOKUP(A2317,Product!A:A,Product!C:C,"Bulunamadı")</f>
        <v>Basketball</v>
      </c>
      <c r="G2317" s="2" t="str">
        <f t="array" ref="G2317">_xlfn.XLOOKUP(A2318,Product!A:A,Product!D:D,"Bulunamadı")</f>
        <v>Silverlane Publishing</v>
      </c>
      <c r="H2317" s="2">
        <f t="array" ref="H2317">_xlfn.XLOOKUP(A2319,Product!A:A,Product!E:E,"Bulunamadı")</f>
        <v>2.5</v>
      </c>
      <c r="I2317" s="2" t="str">
        <f t="shared" si="1"/>
        <v>79950 - History - Basketball</v>
      </c>
      <c r="J2317" s="2">
        <f t="shared" si="2"/>
        <v>155</v>
      </c>
      <c r="K2317" s="17">
        <f t="shared" si="3"/>
        <v>1</v>
      </c>
      <c r="L2317" s="18"/>
    </row>
    <row r="2318" hidden="1">
      <c r="A2318" s="2">
        <f>IFERROR(__xludf.DUMMYFUNCTION("""COMPUTED_VALUE"""),84402.0)</f>
        <v>84402</v>
      </c>
      <c r="B2318" s="2">
        <f>IFERROR(__xludf.DUMMYFUNCTION("""COMPUTED_VALUE"""),1.0)</f>
        <v>1</v>
      </c>
      <c r="C2318" s="2">
        <f>IFERROR(__xludf.DUMMYFUNCTION("""COMPUTED_VALUE"""),763.0)</f>
        <v>763</v>
      </c>
      <c r="D2318" s="3">
        <f>IFERROR(__xludf.DUMMYFUNCTION("""COMPUTED_VALUE"""),484.0)</f>
        <v>484</v>
      </c>
      <c r="E2318" s="1" t="str">
        <f t="array" ref="E2318">_xlfn.XLOOKUP(A2318,Product!A:A,Product!B:B,"Bulunamadı")</f>
        <v>History</v>
      </c>
      <c r="F2318" s="1" t="str">
        <f t="array" ref="F2318">_xlfn.XLOOKUP(A2318,Product!A:A,Product!C:C,"Bulunamadı")</f>
        <v>Basketball</v>
      </c>
      <c r="G2318" s="2" t="str">
        <f t="array" ref="G2318">_xlfn.XLOOKUP(A2319,Product!A:A,Product!D:D,"Bulunamadı")</f>
        <v>Silverlane Publishing</v>
      </c>
      <c r="H2318" s="2">
        <f t="array" ref="H2318">_xlfn.XLOOKUP(A2320,Product!A:A,Product!E:E,"Bulunamadı")</f>
        <v>4.85</v>
      </c>
      <c r="I2318" s="2" t="str">
        <f t="shared" si="1"/>
        <v>84402 - History - Basketball</v>
      </c>
      <c r="J2318" s="2">
        <f t="shared" si="2"/>
        <v>2347.4</v>
      </c>
      <c r="K2318" s="17">
        <f t="shared" si="3"/>
        <v>1</v>
      </c>
      <c r="L2318" s="18"/>
    </row>
    <row r="2319" hidden="1">
      <c r="A2319" s="2">
        <f>IFERROR(__xludf.DUMMYFUNCTION("""COMPUTED_VALUE"""),79298.0)</f>
        <v>79298</v>
      </c>
      <c r="B2319" s="2">
        <f>IFERROR(__xludf.DUMMYFUNCTION("""COMPUTED_VALUE"""),1.0)</f>
        <v>1</v>
      </c>
      <c r="C2319" s="2">
        <f>IFERROR(__xludf.DUMMYFUNCTION("""COMPUTED_VALUE"""),924.0)</f>
        <v>924</v>
      </c>
      <c r="D2319" s="3">
        <f>IFERROR(__xludf.DUMMYFUNCTION("""COMPUTED_VALUE"""),214.0)</f>
        <v>214</v>
      </c>
      <c r="E2319" s="1" t="str">
        <f t="array" ref="E2319">_xlfn.XLOOKUP(A2319,Product!A:A,Product!B:B,"Bulunamadı")</f>
        <v>History</v>
      </c>
      <c r="F2319" s="1" t="str">
        <f t="array" ref="F2319">_xlfn.XLOOKUP(A2319,Product!A:A,Product!C:C,"Bulunamadı")</f>
        <v>Basketball</v>
      </c>
      <c r="G2319" s="2" t="str">
        <f t="array" ref="G2319">_xlfn.XLOOKUP(A2320,Product!A:A,Product!D:D,"Bulunamadı")</f>
        <v>Northlane Books</v>
      </c>
      <c r="H2319" s="2">
        <f t="array" ref="H2319">_xlfn.XLOOKUP(A2321,Product!A:A,Product!E:E,"Bulunamadı")</f>
        <v>6.37</v>
      </c>
      <c r="I2319" s="2" t="str">
        <f t="shared" si="1"/>
        <v>79298 - History - Basketball</v>
      </c>
      <c r="J2319" s="2">
        <f t="shared" si="2"/>
        <v>1363.18</v>
      </c>
      <c r="K2319" s="17">
        <f t="shared" si="3"/>
        <v>1</v>
      </c>
      <c r="L2319" s="18"/>
    </row>
    <row r="2320" hidden="1">
      <c r="A2320" s="2">
        <f>IFERROR(__xludf.DUMMYFUNCTION("""COMPUTED_VALUE"""),145105.0)</f>
        <v>145105</v>
      </c>
      <c r="B2320" s="2">
        <f>IFERROR(__xludf.DUMMYFUNCTION("""COMPUTED_VALUE"""),0.0)</f>
        <v>0</v>
      </c>
      <c r="C2320" s="2">
        <f>IFERROR(__xludf.DUMMYFUNCTION("""COMPUTED_VALUE"""),773.0)</f>
        <v>773</v>
      </c>
      <c r="D2320" s="3">
        <f>IFERROR(__xludf.DUMMYFUNCTION("""COMPUTED_VALUE"""),354.0)</f>
        <v>354</v>
      </c>
      <c r="E2320" s="1" t="str">
        <f t="array" ref="E2320">_xlfn.XLOOKUP(A2320,Product!A:A,Product!B:B,"Bulunamadı")</f>
        <v>Fiction</v>
      </c>
      <c r="F2320" s="1" t="str">
        <f t="array" ref="F2320">_xlfn.XLOOKUP(A2320,Product!A:A,Product!C:C,"Bulunamadı")</f>
        <v>Tennis</v>
      </c>
      <c r="G2320" s="2" t="str">
        <f t="array" ref="G2320">_xlfn.XLOOKUP(A2321,Product!A:A,Product!D:D,"Bulunamadı")</f>
        <v>Harborlane Press</v>
      </c>
      <c r="H2320" s="2">
        <f t="array" ref="H2320">_xlfn.XLOOKUP(A2322,Product!A:A,Product!E:E,"Bulunamadı")</f>
        <v>9.72</v>
      </c>
      <c r="I2320" s="2" t="str">
        <f t="shared" si="1"/>
        <v>145105 - Fiction - Tennis</v>
      </c>
      <c r="J2320" s="2">
        <f t="shared" si="2"/>
        <v>3440.88</v>
      </c>
      <c r="K2320" s="17">
        <f t="shared" si="3"/>
        <v>1</v>
      </c>
      <c r="L2320" s="18"/>
    </row>
    <row r="2321" hidden="1">
      <c r="A2321" s="2">
        <f>IFERROR(__xludf.DUMMYFUNCTION("""COMPUTED_VALUE"""),92313.0)</f>
        <v>92313</v>
      </c>
      <c r="B2321" s="2">
        <f>IFERROR(__xludf.DUMMYFUNCTION("""COMPUTED_VALUE"""),0.0)</f>
        <v>0</v>
      </c>
      <c r="C2321" s="2">
        <f>IFERROR(__xludf.DUMMYFUNCTION("""COMPUTED_VALUE"""),556.0)</f>
        <v>556</v>
      </c>
      <c r="D2321" s="3">
        <f>IFERROR(__xludf.DUMMYFUNCTION("""COMPUTED_VALUE"""),427.0)</f>
        <v>427</v>
      </c>
      <c r="E2321" s="1" t="str">
        <f t="array" ref="E2321">_xlfn.XLOOKUP(A2321,Product!A:A,Product!B:B,"Bulunamadı")</f>
        <v>Fiction</v>
      </c>
      <c r="F2321" s="1" t="str">
        <f t="array" ref="F2321">_xlfn.XLOOKUP(A2321,Product!A:A,Product!C:C,"Bulunamadı")</f>
        <v>Tennis</v>
      </c>
      <c r="G2321" s="2" t="str">
        <f t="array" ref="G2321">_xlfn.XLOOKUP(A2322,Product!A:A,Product!D:D,"Bulunamadı")</f>
        <v>Cedarlane Publishing</v>
      </c>
      <c r="H2321" s="2">
        <f t="array" ref="H2321">_xlfn.XLOOKUP(A2323,Product!A:A,Product!E:E,"Bulunamadı")</f>
        <v>1.91</v>
      </c>
      <c r="I2321" s="2" t="str">
        <f t="shared" si="1"/>
        <v>92313 - Fiction - Tennis</v>
      </c>
      <c r="J2321" s="2">
        <f t="shared" si="2"/>
        <v>815.57</v>
      </c>
      <c r="K2321" s="17">
        <f t="shared" si="3"/>
        <v>1</v>
      </c>
      <c r="L2321" s="18"/>
    </row>
    <row r="2322" hidden="1">
      <c r="A2322" s="2">
        <f>IFERROR(__xludf.DUMMYFUNCTION("""COMPUTED_VALUE"""),121735.0)</f>
        <v>121735</v>
      </c>
      <c r="B2322" s="2">
        <f>IFERROR(__xludf.DUMMYFUNCTION("""COMPUTED_VALUE"""),1.0)</f>
        <v>1</v>
      </c>
      <c r="C2322" s="2">
        <f>IFERROR(__xludf.DUMMYFUNCTION("""COMPUTED_VALUE"""),198.0)</f>
        <v>198</v>
      </c>
      <c r="D2322" s="3">
        <f>IFERROR(__xludf.DUMMYFUNCTION("""COMPUTED_VALUE"""),182.0)</f>
        <v>182</v>
      </c>
      <c r="E2322" s="1" t="str">
        <f t="array" ref="E2322">_xlfn.XLOOKUP(A2322,Product!A:A,Product!B:B,"Bulunamadı")</f>
        <v>Fiction</v>
      </c>
      <c r="F2322" s="1" t="str">
        <f t="array" ref="F2322">_xlfn.XLOOKUP(A2322,Product!A:A,Product!C:C,"Bulunamadı")</f>
        <v>Tennis</v>
      </c>
      <c r="G2322" s="2" t="str">
        <f t="array" ref="G2322">_xlfn.XLOOKUP(A2323,Product!A:A,Product!D:D,"Bulunamadı")</f>
        <v>Brightlane Books</v>
      </c>
      <c r="H2322" s="2">
        <f t="array" ref="H2322">_xlfn.XLOOKUP(A2324,Product!A:A,Product!E:E,"Bulunamadı")</f>
        <v>2.13</v>
      </c>
      <c r="I2322" s="2" t="str">
        <f t="shared" si="1"/>
        <v>121735 - Fiction - Tennis</v>
      </c>
      <c r="J2322" s="2">
        <f t="shared" si="2"/>
        <v>387.66</v>
      </c>
      <c r="K2322" s="17">
        <f t="shared" si="3"/>
        <v>1</v>
      </c>
      <c r="L2322" s="18"/>
    </row>
    <row r="2323" hidden="1">
      <c r="A2323" s="2">
        <f>IFERROR(__xludf.DUMMYFUNCTION("""COMPUTED_VALUE"""),47545.0)</f>
        <v>47545</v>
      </c>
      <c r="B2323" s="2">
        <f>IFERROR(__xludf.DUMMYFUNCTION("""COMPUTED_VALUE"""),1.0)</f>
        <v>1</v>
      </c>
      <c r="C2323" s="2">
        <f>IFERROR(__xludf.DUMMYFUNCTION("""COMPUTED_VALUE"""),504.0)</f>
        <v>504</v>
      </c>
      <c r="D2323" s="3">
        <f>IFERROR(__xludf.DUMMYFUNCTION("""COMPUTED_VALUE"""),299.0)</f>
        <v>299</v>
      </c>
      <c r="E2323" s="1" t="str">
        <f t="array" ref="E2323">_xlfn.XLOOKUP(A2323,Product!A:A,Product!B:B,"Bulunamadı")</f>
        <v>Law</v>
      </c>
      <c r="F2323" s="1" t="str">
        <f t="array" ref="F2323">_xlfn.XLOOKUP(A2323,Product!A:A,Product!C:C,"Bulunamadı")</f>
        <v>Athletics</v>
      </c>
      <c r="G2323" s="2" t="str">
        <f t="array" ref="G2323">_xlfn.XLOOKUP(A2324,Product!A:A,Product!D:D,"Bulunamadı")</f>
        <v>Oaklane Press</v>
      </c>
      <c r="H2323" s="2">
        <f t="array" ref="H2323">_xlfn.XLOOKUP(A2325,Product!A:A,Product!E:E,"Bulunamadı")</f>
        <v>1.99</v>
      </c>
      <c r="I2323" s="2" t="str">
        <f t="shared" si="1"/>
        <v>47545 - Law - Athletics</v>
      </c>
      <c r="J2323" s="2">
        <f t="shared" si="2"/>
        <v>595.01</v>
      </c>
      <c r="K2323" s="17">
        <f t="shared" si="3"/>
        <v>1</v>
      </c>
      <c r="L2323" s="18"/>
    </row>
    <row r="2324" hidden="1">
      <c r="A2324" s="2">
        <f>IFERROR(__xludf.DUMMYFUNCTION("""COMPUTED_VALUE"""),122630.0)</f>
        <v>122630</v>
      </c>
      <c r="B2324" s="2">
        <f>IFERROR(__xludf.DUMMYFUNCTION("""COMPUTED_VALUE"""),0.0)</f>
        <v>0</v>
      </c>
      <c r="C2324" s="2">
        <f>IFERROR(__xludf.DUMMYFUNCTION("""COMPUTED_VALUE"""),642.0)</f>
        <v>642</v>
      </c>
      <c r="D2324" s="3">
        <f>IFERROR(__xludf.DUMMYFUNCTION("""COMPUTED_VALUE"""),295.0)</f>
        <v>295</v>
      </c>
      <c r="E2324" s="1" t="str">
        <f t="array" ref="E2324">_xlfn.XLOOKUP(A2324,Product!A:A,Product!B:B,"Bulunamadı")</f>
        <v>Law</v>
      </c>
      <c r="F2324" s="1" t="str">
        <f t="array" ref="F2324">_xlfn.XLOOKUP(A2324,Product!A:A,Product!C:C,"Bulunamadı")</f>
        <v>Athletics</v>
      </c>
      <c r="G2324" s="2" t="str">
        <f t="array" ref="G2324">_xlfn.XLOOKUP(A2325,Product!A:A,Product!D:D,"Bulunamadı")</f>
        <v>Oaklane Press</v>
      </c>
      <c r="H2324" s="2">
        <f t="array" ref="H2324">_xlfn.XLOOKUP(A2326,Product!A:A,Product!E:E,"Bulunamadı")</f>
        <v>4.53</v>
      </c>
      <c r="I2324" s="2" t="str">
        <f t="shared" si="1"/>
        <v>122630 - Law - Athletics</v>
      </c>
      <c r="J2324" s="2">
        <f t="shared" si="2"/>
        <v>1336.35</v>
      </c>
      <c r="K2324" s="17">
        <f t="shared" si="3"/>
        <v>1</v>
      </c>
      <c r="L2324" s="18"/>
    </row>
    <row r="2325" hidden="1">
      <c r="A2325" s="2">
        <f>IFERROR(__xludf.DUMMYFUNCTION("""COMPUTED_VALUE"""),159490.0)</f>
        <v>159490</v>
      </c>
      <c r="B2325" s="2">
        <f>IFERROR(__xludf.DUMMYFUNCTION("""COMPUTED_VALUE"""),0.0)</f>
        <v>0</v>
      </c>
      <c r="C2325" s="2">
        <f>IFERROR(__xludf.DUMMYFUNCTION("""COMPUTED_VALUE"""),970.0)</f>
        <v>970</v>
      </c>
      <c r="D2325" s="3">
        <f>IFERROR(__xludf.DUMMYFUNCTION("""COMPUTED_VALUE"""),342.0)</f>
        <v>342</v>
      </c>
      <c r="E2325" s="1" t="str">
        <f t="array" ref="E2325">_xlfn.XLOOKUP(A2325,Product!A:A,Product!B:B,"Bulunamadı")</f>
        <v>Law</v>
      </c>
      <c r="F2325" s="1" t="str">
        <f t="array" ref="F2325">_xlfn.XLOOKUP(A2325,Product!A:A,Product!C:C,"Bulunamadı")</f>
        <v>Athletics</v>
      </c>
      <c r="G2325" s="2" t="str">
        <f t="array" ref="G2325">_xlfn.XLOOKUP(A2326,Product!A:A,Product!D:D,"Bulunamadı")</f>
        <v>Oaklane Press</v>
      </c>
      <c r="H2325" s="2">
        <f t="array" ref="H2325">_xlfn.XLOOKUP(A2327,Product!A:A,Product!E:E,"Bulunamadı")</f>
        <v>2.15</v>
      </c>
      <c r="I2325" s="2" t="str">
        <f t="shared" si="1"/>
        <v>159490 - Law - Athletics</v>
      </c>
      <c r="J2325" s="2">
        <f t="shared" si="2"/>
        <v>735.3</v>
      </c>
      <c r="K2325" s="17">
        <f t="shared" si="3"/>
        <v>1</v>
      </c>
      <c r="L2325" s="18"/>
    </row>
    <row r="2326" hidden="1">
      <c r="A2326" s="2">
        <f>IFERROR(__xludf.DUMMYFUNCTION("""COMPUTED_VALUE"""),120519.0)</f>
        <v>120519</v>
      </c>
      <c r="B2326" s="2">
        <f>IFERROR(__xludf.DUMMYFUNCTION("""COMPUTED_VALUE"""),0.0)</f>
        <v>0</v>
      </c>
      <c r="C2326" s="2">
        <f>IFERROR(__xludf.DUMMYFUNCTION("""COMPUTED_VALUE"""),-14.0)</f>
        <v>-14</v>
      </c>
      <c r="D2326" s="3">
        <f>IFERROR(__xludf.DUMMYFUNCTION("""COMPUTED_VALUE"""),-7.0)</f>
        <v>-7</v>
      </c>
      <c r="E2326" s="1" t="str">
        <f t="array" ref="E2326">_xlfn.XLOOKUP(A2326,Product!A:A,Product!B:B,"Bulunamadı")</f>
        <v>Law</v>
      </c>
      <c r="F2326" s="1" t="str">
        <f t="array" ref="F2326">_xlfn.XLOOKUP(A2326,Product!A:A,Product!C:C,"Bulunamadı")</f>
        <v>Athletics</v>
      </c>
      <c r="G2326" s="2" t="str">
        <f t="array" ref="G2326">_xlfn.XLOOKUP(A2327,Product!A:A,Product!D:D,"Bulunamadı")</f>
        <v>Oaklane Press</v>
      </c>
      <c r="H2326" s="2">
        <f t="array" ref="H2326">_xlfn.XLOOKUP(A2328,Product!A:A,Product!E:E,"Bulunamadı")</f>
        <v>2.33</v>
      </c>
      <c r="I2326" s="2" t="str">
        <f t="shared" si="1"/>
        <v>120519 - Law - Athletics</v>
      </c>
      <c r="J2326" s="2">
        <f t="shared" si="2"/>
        <v>-16.31</v>
      </c>
      <c r="K2326" s="17">
        <f t="shared" si="3"/>
        <v>0</v>
      </c>
      <c r="L2326" s="18"/>
    </row>
    <row r="2327" hidden="1">
      <c r="A2327" s="2">
        <f>IFERROR(__xludf.DUMMYFUNCTION("""COMPUTED_VALUE"""),159403.0)</f>
        <v>159403</v>
      </c>
      <c r="B2327" s="2">
        <f>IFERROR(__xludf.DUMMYFUNCTION("""COMPUTED_VALUE"""),0.0)</f>
        <v>0</v>
      </c>
      <c r="C2327" s="2">
        <f>IFERROR(__xludf.DUMMYFUNCTION("""COMPUTED_VALUE"""),394.0)</f>
        <v>394</v>
      </c>
      <c r="D2327" s="3">
        <f>IFERROR(__xludf.DUMMYFUNCTION("""COMPUTED_VALUE"""),0.0)</f>
        <v>0</v>
      </c>
      <c r="E2327" s="1" t="str">
        <f t="array" ref="E2327">_xlfn.XLOOKUP(A2327,Product!A:A,Product!B:B,"Bulunamadı")</f>
        <v>Law</v>
      </c>
      <c r="F2327" s="1" t="str">
        <f t="array" ref="F2327">_xlfn.XLOOKUP(A2327,Product!A:A,Product!C:C,"Bulunamadı")</f>
        <v>Athletics</v>
      </c>
      <c r="G2327" s="2" t="str">
        <f t="array" ref="G2327">_xlfn.XLOOKUP(A2328,Product!A:A,Product!D:D,"Bulunamadı")</f>
        <v>Oaklane Press</v>
      </c>
      <c r="H2327" s="2">
        <f t="array" ref="H2327">_xlfn.XLOOKUP(A2329,Product!A:A,Product!E:E,"Bulunamadı")</f>
        <v>1.66</v>
      </c>
      <c r="I2327" s="2" t="str">
        <f t="shared" si="1"/>
        <v>159403 - Law - Athletics</v>
      </c>
      <c r="J2327" s="2">
        <f t="shared" si="2"/>
        <v>0</v>
      </c>
      <c r="K2327" s="17">
        <f t="shared" si="3"/>
        <v>0</v>
      </c>
      <c r="L2327" s="18"/>
    </row>
    <row r="2328" hidden="1">
      <c r="A2328" s="2">
        <f>IFERROR(__xludf.DUMMYFUNCTION("""COMPUTED_VALUE"""),159617.0)</f>
        <v>159617</v>
      </c>
      <c r="B2328" s="2">
        <f>IFERROR(__xludf.DUMMYFUNCTION("""COMPUTED_VALUE"""),1.0)</f>
        <v>1</v>
      </c>
      <c r="C2328" s="2">
        <f>IFERROR(__xludf.DUMMYFUNCTION("""COMPUTED_VALUE"""),416.0)</f>
        <v>416</v>
      </c>
      <c r="D2328" s="3">
        <f>IFERROR(__xludf.DUMMYFUNCTION("""COMPUTED_VALUE"""),262.0)</f>
        <v>262</v>
      </c>
      <c r="E2328" s="1" t="str">
        <f t="array" ref="E2328">_xlfn.XLOOKUP(A2328,Product!A:A,Product!B:B,"Bulunamadı")</f>
        <v>Law</v>
      </c>
      <c r="F2328" s="1" t="str">
        <f t="array" ref="F2328">_xlfn.XLOOKUP(A2328,Product!A:A,Product!C:C,"Bulunamadı")</f>
        <v>Athletics</v>
      </c>
      <c r="G2328" s="2" t="str">
        <f t="array" ref="G2328">_xlfn.XLOOKUP(A2329,Product!A:A,Product!D:D,"Bulunamadı")</f>
        <v>Oaklane Press</v>
      </c>
      <c r="H2328" s="2">
        <f t="array" ref="H2328">_xlfn.XLOOKUP(A2330,Product!A:A,Product!E:E,"Bulunamadı")</f>
        <v>1.74</v>
      </c>
      <c r="I2328" s="2" t="str">
        <f t="shared" si="1"/>
        <v>159617 - Law - Athletics</v>
      </c>
      <c r="J2328" s="2">
        <f t="shared" si="2"/>
        <v>455.88</v>
      </c>
      <c r="K2328" s="17">
        <f t="shared" si="3"/>
        <v>1</v>
      </c>
      <c r="L2328" s="18"/>
    </row>
    <row r="2329" hidden="1">
      <c r="A2329" s="2">
        <f>IFERROR(__xludf.DUMMYFUNCTION("""COMPUTED_VALUE"""),85839.0)</f>
        <v>85839</v>
      </c>
      <c r="B2329" s="2">
        <f>IFERROR(__xludf.DUMMYFUNCTION("""COMPUTED_VALUE"""),1.0)</f>
        <v>1</v>
      </c>
      <c r="C2329" s="2">
        <f>IFERROR(__xludf.DUMMYFUNCTION("""COMPUTED_VALUE"""),86.0)</f>
        <v>86</v>
      </c>
      <c r="D2329" s="3">
        <f>IFERROR(__xludf.DUMMYFUNCTION("""COMPUTED_VALUE"""),77.0)</f>
        <v>77</v>
      </c>
      <c r="E2329" s="1" t="str">
        <f t="array" ref="E2329">_xlfn.XLOOKUP(A2329,Product!A:A,Product!B:B,"Bulunamadı")</f>
        <v>Law</v>
      </c>
      <c r="F2329" s="1" t="str">
        <f t="array" ref="F2329">_xlfn.XLOOKUP(A2329,Product!A:A,Product!C:C,"Bulunamadı")</f>
        <v>Athletics</v>
      </c>
      <c r="G2329" s="2" t="str">
        <f t="array" ref="G2329">_xlfn.XLOOKUP(A2330,Product!A:A,Product!D:D,"Bulunamadı")</f>
        <v>Oaklane Press</v>
      </c>
      <c r="H2329" s="2">
        <f t="array" ref="H2329">_xlfn.XLOOKUP(A2331,Product!A:A,Product!E:E,"Bulunamadı")</f>
        <v>3.51</v>
      </c>
      <c r="I2329" s="2" t="str">
        <f t="shared" si="1"/>
        <v>85839 - Law - Athletics</v>
      </c>
      <c r="J2329" s="2">
        <f t="shared" si="2"/>
        <v>270.27</v>
      </c>
      <c r="K2329" s="17">
        <f t="shared" si="3"/>
        <v>1</v>
      </c>
      <c r="L2329" s="18"/>
    </row>
    <row r="2330" hidden="1">
      <c r="A2330" s="2">
        <f>IFERROR(__xludf.DUMMYFUNCTION("""COMPUTED_VALUE"""),85838.0)</f>
        <v>85838</v>
      </c>
      <c r="B2330" s="2">
        <f>IFERROR(__xludf.DUMMYFUNCTION("""COMPUTED_VALUE"""),1.0)</f>
        <v>1</v>
      </c>
      <c r="C2330" s="2">
        <f>IFERROR(__xludf.DUMMYFUNCTION("""COMPUTED_VALUE"""),265.0)</f>
        <v>265</v>
      </c>
      <c r="D2330" s="3">
        <f>IFERROR(__xludf.DUMMYFUNCTION("""COMPUTED_VALUE"""),11.0)</f>
        <v>11</v>
      </c>
      <c r="E2330" s="1" t="str">
        <f t="array" ref="E2330">_xlfn.XLOOKUP(A2330,Product!A:A,Product!B:B,"Bulunamadı")</f>
        <v>Law</v>
      </c>
      <c r="F2330" s="1" t="str">
        <f t="array" ref="F2330">_xlfn.XLOOKUP(A2330,Product!A:A,Product!C:C,"Bulunamadı")</f>
        <v>Athletics</v>
      </c>
      <c r="G2330" s="2" t="str">
        <f t="array" ref="G2330">_xlfn.XLOOKUP(A2331,Product!A:A,Product!D:D,"Bulunamadı")</f>
        <v>Oaklane Press</v>
      </c>
      <c r="H2330" s="2">
        <f t="array" ref="H2330">_xlfn.XLOOKUP(A2332,Product!A:A,Product!E:E,"Bulunamadı")</f>
        <v>1.47</v>
      </c>
      <c r="I2330" s="2" t="str">
        <f t="shared" si="1"/>
        <v>85838 - Law - Athletics</v>
      </c>
      <c r="J2330" s="2">
        <f t="shared" si="2"/>
        <v>16.17</v>
      </c>
      <c r="K2330" s="17">
        <f t="shared" si="3"/>
        <v>1</v>
      </c>
      <c r="L2330" s="18"/>
    </row>
    <row r="2331" hidden="1">
      <c r="A2331" s="2">
        <f>IFERROR(__xludf.DUMMYFUNCTION("""COMPUTED_VALUE"""),8868.0)</f>
        <v>8868</v>
      </c>
      <c r="B2331" s="2">
        <f>IFERROR(__xludf.DUMMYFUNCTION("""COMPUTED_VALUE"""),0.0)</f>
        <v>0</v>
      </c>
      <c r="C2331" s="2">
        <f>IFERROR(__xludf.DUMMYFUNCTION("""COMPUTED_VALUE"""),193.0)</f>
        <v>193</v>
      </c>
      <c r="D2331" s="3">
        <f>IFERROR(__xludf.DUMMYFUNCTION("""COMPUTED_VALUE"""),135.0)</f>
        <v>135</v>
      </c>
      <c r="E2331" s="1" t="str">
        <f t="array" ref="E2331">_xlfn.XLOOKUP(A2331,Product!A:A,Product!B:B,"Bulunamadı")</f>
        <v>Law</v>
      </c>
      <c r="F2331" s="1" t="str">
        <f t="array" ref="F2331">_xlfn.XLOOKUP(A2331,Product!A:A,Product!C:C,"Bulunamadı")</f>
        <v>Athletics</v>
      </c>
      <c r="G2331" s="2" t="str">
        <f t="array" ref="G2331">_xlfn.XLOOKUP(A2332,Product!A:A,Product!D:D,"Bulunamadı")</f>
        <v>Riverlane Publishing</v>
      </c>
      <c r="H2331" s="2">
        <f t="array" ref="H2331">_xlfn.XLOOKUP(A2333,Product!A:A,Product!E:E,"Bulunamadı")</f>
        <v>1.42</v>
      </c>
      <c r="I2331" s="2" t="str">
        <f t="shared" si="1"/>
        <v>8868 - Law - Athletics</v>
      </c>
      <c r="J2331" s="2">
        <f t="shared" si="2"/>
        <v>191.7</v>
      </c>
      <c r="K2331" s="17">
        <f t="shared" si="3"/>
        <v>1</v>
      </c>
      <c r="L2331" s="18"/>
    </row>
    <row r="2332" hidden="1">
      <c r="A2332" s="2">
        <f>IFERROR(__xludf.DUMMYFUNCTION("""COMPUTED_VALUE"""),116191.0)</f>
        <v>116191</v>
      </c>
      <c r="B2332" s="2">
        <f>IFERROR(__xludf.DUMMYFUNCTION("""COMPUTED_VALUE"""),0.0)</f>
        <v>0</v>
      </c>
      <c r="C2332" s="2">
        <f>IFERROR(__xludf.DUMMYFUNCTION("""COMPUTED_VALUE"""),505.0)</f>
        <v>505</v>
      </c>
      <c r="D2332" s="3">
        <f>IFERROR(__xludf.DUMMYFUNCTION("""COMPUTED_VALUE"""),169.0)</f>
        <v>169</v>
      </c>
      <c r="E2332" s="1" t="str">
        <f t="array" ref="E2332">_xlfn.XLOOKUP(A2332,Product!A:A,Product!B:B,"Bulunamadı")</f>
        <v>Law</v>
      </c>
      <c r="F2332" s="1" t="str">
        <f t="array" ref="F2332">_xlfn.XLOOKUP(A2332,Product!A:A,Product!C:C,"Bulunamadı")</f>
        <v>Athletics</v>
      </c>
      <c r="G2332" s="2" t="str">
        <f t="array" ref="G2332">_xlfn.XLOOKUP(A2333,Product!A:A,Product!D:D,"Bulunamadı")</f>
        <v>Ironlane Books</v>
      </c>
      <c r="H2332" s="2">
        <f t="array" ref="H2332">_xlfn.XLOOKUP(A2334,Product!A:A,Product!E:E,"Bulunamadı")</f>
        <v>2.56</v>
      </c>
      <c r="I2332" s="2" t="str">
        <f t="shared" si="1"/>
        <v>116191 - Law - Athletics</v>
      </c>
      <c r="J2332" s="2">
        <f t="shared" si="2"/>
        <v>432.64</v>
      </c>
      <c r="K2332" s="17">
        <f t="shared" si="3"/>
        <v>1</v>
      </c>
      <c r="L2332" s="18"/>
    </row>
    <row r="2333" hidden="1">
      <c r="A2333" s="2">
        <f>IFERROR(__xludf.DUMMYFUNCTION("""COMPUTED_VALUE"""),90828.0)</f>
        <v>90828</v>
      </c>
      <c r="B2333" s="2">
        <f>IFERROR(__xludf.DUMMYFUNCTION("""COMPUTED_VALUE"""),1.0)</f>
        <v>1</v>
      </c>
      <c r="C2333" s="2">
        <f>IFERROR(__xludf.DUMMYFUNCTION("""COMPUTED_VALUE"""),122.0)</f>
        <v>122</v>
      </c>
      <c r="D2333" s="3">
        <f>IFERROR(__xludf.DUMMYFUNCTION("""COMPUTED_VALUE"""),88.0)</f>
        <v>88</v>
      </c>
      <c r="E2333" s="1" t="str">
        <f t="array" ref="E2333">_xlfn.XLOOKUP(A2333,Product!A:A,Product!B:B,"Bulunamadı")</f>
        <v>Law</v>
      </c>
      <c r="F2333" s="1" t="str">
        <f t="array" ref="F2333">_xlfn.XLOOKUP(A2333,Product!A:A,Product!C:C,"Bulunamadı")</f>
        <v>Athletics</v>
      </c>
      <c r="G2333" s="2" t="str">
        <f t="array" ref="G2333">_xlfn.XLOOKUP(A2334,Product!A:A,Product!D:D,"Bulunamadı")</f>
        <v>Ironlane Books</v>
      </c>
      <c r="H2333" s="2">
        <f t="array" ref="H2333">_xlfn.XLOOKUP(A2335,Product!A:A,Product!E:E,"Bulunamadı")</f>
        <v>2.2</v>
      </c>
      <c r="I2333" s="2" t="str">
        <f t="shared" si="1"/>
        <v>90828 - Law - Athletics</v>
      </c>
      <c r="J2333" s="2">
        <f t="shared" si="2"/>
        <v>193.6</v>
      </c>
      <c r="K2333" s="17">
        <f t="shared" si="3"/>
        <v>1</v>
      </c>
      <c r="L2333" s="18"/>
    </row>
    <row r="2334" hidden="1">
      <c r="A2334" s="2">
        <f>IFERROR(__xludf.DUMMYFUNCTION("""COMPUTED_VALUE"""),26276.0)</f>
        <v>26276</v>
      </c>
      <c r="B2334" s="2">
        <f>IFERROR(__xludf.DUMMYFUNCTION("""COMPUTED_VALUE"""),1.0)</f>
        <v>1</v>
      </c>
      <c r="C2334" s="2">
        <f>IFERROR(__xludf.DUMMYFUNCTION("""COMPUTED_VALUE"""),-10.0)</f>
        <v>-10</v>
      </c>
      <c r="D2334" s="3">
        <f>IFERROR(__xludf.DUMMYFUNCTION("""COMPUTED_VALUE"""),0.0)</f>
        <v>0</v>
      </c>
      <c r="E2334" s="1" t="str">
        <f t="array" ref="E2334">_xlfn.XLOOKUP(A2334,Product!A:A,Product!B:B,"Bulunamadı")</f>
        <v>Law</v>
      </c>
      <c r="F2334" s="1" t="str">
        <f t="array" ref="F2334">_xlfn.XLOOKUP(A2334,Product!A:A,Product!C:C,"Bulunamadı")</f>
        <v>Athletics</v>
      </c>
      <c r="G2334" s="2" t="str">
        <f t="array" ref="G2334">_xlfn.XLOOKUP(A2335,Product!A:A,Product!D:D,"Bulunamadı")</f>
        <v>Ironlane Books</v>
      </c>
      <c r="H2334" s="2">
        <f t="array" ref="H2334">_xlfn.XLOOKUP(A2336,Product!A:A,Product!E:E,"Bulunamadı")</f>
        <v>1.55</v>
      </c>
      <c r="I2334" s="2" t="str">
        <f t="shared" si="1"/>
        <v>26276 - Law - Athletics</v>
      </c>
      <c r="J2334" s="2">
        <f t="shared" si="2"/>
        <v>0</v>
      </c>
      <c r="K2334" s="17">
        <f t="shared" si="3"/>
        <v>0</v>
      </c>
      <c r="L2334" s="18"/>
    </row>
    <row r="2335" hidden="1">
      <c r="A2335" s="2">
        <f>IFERROR(__xludf.DUMMYFUNCTION("""COMPUTED_VALUE"""),29022.0)</f>
        <v>29022</v>
      </c>
      <c r="B2335" s="2">
        <f>IFERROR(__xludf.DUMMYFUNCTION("""COMPUTED_VALUE"""),1.0)</f>
        <v>1</v>
      </c>
      <c r="C2335" s="2">
        <f>IFERROR(__xludf.DUMMYFUNCTION("""COMPUTED_VALUE"""),886.0)</f>
        <v>886</v>
      </c>
      <c r="D2335" s="3">
        <f>IFERROR(__xludf.DUMMYFUNCTION("""COMPUTED_VALUE"""),533.0)</f>
        <v>533</v>
      </c>
      <c r="E2335" s="1" t="str">
        <f t="array" ref="E2335">_xlfn.XLOOKUP(A2335,Product!A:A,Product!B:B,"Bulunamadı")</f>
        <v>Law</v>
      </c>
      <c r="F2335" s="1" t="str">
        <f t="array" ref="F2335">_xlfn.XLOOKUP(A2335,Product!A:A,Product!C:C,"Bulunamadı")</f>
        <v>Athletics</v>
      </c>
      <c r="G2335" s="2" t="str">
        <f t="array" ref="G2335">_xlfn.XLOOKUP(A2336,Product!A:A,Product!D:D,"Bulunamadı")</f>
        <v>Ironlane Books</v>
      </c>
      <c r="H2335" s="2">
        <f t="array" ref="H2335">_xlfn.XLOOKUP(A2337,Product!A:A,Product!E:E,"Bulunamadı")</f>
        <v>2.39</v>
      </c>
      <c r="I2335" s="2" t="str">
        <f t="shared" si="1"/>
        <v>29022 - Law - Athletics</v>
      </c>
      <c r="J2335" s="2">
        <f t="shared" si="2"/>
        <v>1273.87</v>
      </c>
      <c r="K2335" s="17">
        <f t="shared" si="3"/>
        <v>1</v>
      </c>
      <c r="L2335" s="18"/>
    </row>
    <row r="2336" hidden="1">
      <c r="A2336" s="2">
        <f>IFERROR(__xludf.DUMMYFUNCTION("""COMPUTED_VALUE"""),111081.0)</f>
        <v>111081</v>
      </c>
      <c r="B2336" s="2">
        <f>IFERROR(__xludf.DUMMYFUNCTION("""COMPUTED_VALUE"""),1.0)</f>
        <v>1</v>
      </c>
      <c r="C2336" s="2">
        <f>IFERROR(__xludf.DUMMYFUNCTION("""COMPUTED_VALUE"""),761.0)</f>
        <v>761</v>
      </c>
      <c r="D2336" s="3">
        <f>IFERROR(__xludf.DUMMYFUNCTION("""COMPUTED_VALUE"""),230.0)</f>
        <v>230</v>
      </c>
      <c r="E2336" s="1" t="str">
        <f t="array" ref="E2336">_xlfn.XLOOKUP(A2336,Product!A:A,Product!B:B,"Bulunamadı")</f>
        <v>Law</v>
      </c>
      <c r="F2336" s="1" t="str">
        <f t="array" ref="F2336">_xlfn.XLOOKUP(A2336,Product!A:A,Product!C:C,"Bulunamadı")</f>
        <v>Athletics</v>
      </c>
      <c r="G2336" s="2" t="str">
        <f t="array" ref="G2336">_xlfn.XLOOKUP(A2337,Product!A:A,Product!D:D,"Bulunamadı")</f>
        <v>Ironlane Books</v>
      </c>
      <c r="H2336" s="2">
        <f t="array" ref="H2336">_xlfn.XLOOKUP(A2338,Product!A:A,Product!E:E,"Bulunamadı")</f>
        <v>1.89</v>
      </c>
      <c r="I2336" s="2" t="str">
        <f t="shared" si="1"/>
        <v>111081 - Law - Athletics</v>
      </c>
      <c r="J2336" s="2">
        <f t="shared" si="2"/>
        <v>434.7</v>
      </c>
      <c r="K2336" s="17">
        <f t="shared" si="3"/>
        <v>1</v>
      </c>
      <c r="L2336" s="18"/>
    </row>
    <row r="2337" hidden="1">
      <c r="A2337" s="2">
        <f>IFERROR(__xludf.DUMMYFUNCTION("""COMPUTED_VALUE"""),26277.0)</f>
        <v>26277</v>
      </c>
      <c r="B2337" s="2">
        <f>IFERROR(__xludf.DUMMYFUNCTION("""COMPUTED_VALUE"""),1.0)</f>
        <v>1</v>
      </c>
      <c r="C2337" s="2">
        <f>IFERROR(__xludf.DUMMYFUNCTION("""COMPUTED_VALUE"""),344.0)</f>
        <v>344</v>
      </c>
      <c r="D2337" s="3">
        <f>IFERROR(__xludf.DUMMYFUNCTION("""COMPUTED_VALUE"""),286.0)</f>
        <v>286</v>
      </c>
      <c r="E2337" s="1" t="str">
        <f t="array" ref="E2337">_xlfn.XLOOKUP(A2337,Product!A:A,Product!B:B,"Bulunamadı")</f>
        <v>Law</v>
      </c>
      <c r="F2337" s="1" t="str">
        <f t="array" ref="F2337">_xlfn.XLOOKUP(A2337,Product!A:A,Product!C:C,"Bulunamadı")</f>
        <v>Athletics</v>
      </c>
      <c r="G2337" s="2" t="str">
        <f t="array" ref="G2337">_xlfn.XLOOKUP(A2338,Product!A:A,Product!D:D,"Bulunamadı")</f>
        <v>Ironlane Books</v>
      </c>
      <c r="H2337" s="2">
        <f t="array" ref="H2337">_xlfn.XLOOKUP(A2339,Product!A:A,Product!E:E,"Bulunamadı")</f>
        <v>2.35</v>
      </c>
      <c r="I2337" s="2" t="str">
        <f t="shared" si="1"/>
        <v>26277 - Law - Athletics</v>
      </c>
      <c r="J2337" s="2">
        <f t="shared" si="2"/>
        <v>672.1</v>
      </c>
      <c r="K2337" s="17">
        <f t="shared" si="3"/>
        <v>1</v>
      </c>
      <c r="L2337" s="18"/>
    </row>
    <row r="2338" hidden="1">
      <c r="A2338" s="2">
        <f>IFERROR(__xludf.DUMMYFUNCTION("""COMPUTED_VALUE"""),100251.0)</f>
        <v>100251</v>
      </c>
      <c r="B2338" s="2">
        <f>IFERROR(__xludf.DUMMYFUNCTION("""COMPUTED_VALUE"""),1.0)</f>
        <v>1</v>
      </c>
      <c r="C2338" s="2">
        <f>IFERROR(__xludf.DUMMYFUNCTION("""COMPUTED_VALUE"""),816.0)</f>
        <v>816</v>
      </c>
      <c r="D2338" s="3">
        <f>IFERROR(__xludf.DUMMYFUNCTION("""COMPUTED_VALUE"""),767.0)</f>
        <v>767</v>
      </c>
      <c r="E2338" s="1" t="str">
        <f t="array" ref="E2338">_xlfn.XLOOKUP(A2338,Product!A:A,Product!B:B,"Bulunamadı")</f>
        <v>Law</v>
      </c>
      <c r="F2338" s="1" t="str">
        <f t="array" ref="F2338">_xlfn.XLOOKUP(A2338,Product!A:A,Product!C:C,"Bulunamadı")</f>
        <v>Athletics</v>
      </c>
      <c r="G2338" s="2" t="str">
        <f t="array" ref="G2338">_xlfn.XLOOKUP(A2339,Product!A:A,Product!D:D,"Bulunamadı")</f>
        <v>Ironlane Books</v>
      </c>
      <c r="H2338" s="2">
        <f t="array" ref="H2338">_xlfn.XLOOKUP(A2340,Product!A:A,Product!E:E,"Bulunamadı")</f>
        <v>2.61</v>
      </c>
      <c r="I2338" s="2" t="str">
        <f t="shared" si="1"/>
        <v>100251 - Law - Athletics</v>
      </c>
      <c r="J2338" s="2">
        <f t="shared" si="2"/>
        <v>2001.87</v>
      </c>
      <c r="K2338" s="17">
        <f t="shared" si="3"/>
        <v>1</v>
      </c>
      <c r="L2338" s="18"/>
    </row>
    <row r="2339" hidden="1">
      <c r="A2339" s="2">
        <f>IFERROR(__xludf.DUMMYFUNCTION("""COMPUTED_VALUE"""),87885.0)</f>
        <v>87885</v>
      </c>
      <c r="B2339" s="2">
        <f>IFERROR(__xludf.DUMMYFUNCTION("""COMPUTED_VALUE"""),1.0)</f>
        <v>1</v>
      </c>
      <c r="C2339" s="2">
        <f>IFERROR(__xludf.DUMMYFUNCTION("""COMPUTED_VALUE"""),242.0)</f>
        <v>242</v>
      </c>
      <c r="D2339" s="3">
        <f>IFERROR(__xludf.DUMMYFUNCTION("""COMPUTED_VALUE"""),107.0)</f>
        <v>107</v>
      </c>
      <c r="E2339" s="1" t="str">
        <f t="array" ref="E2339">_xlfn.XLOOKUP(A2339,Product!A:A,Product!B:B,"Bulunamadı")</f>
        <v>Law</v>
      </c>
      <c r="F2339" s="1" t="str">
        <f t="array" ref="F2339">_xlfn.XLOOKUP(A2339,Product!A:A,Product!C:C,"Bulunamadı")</f>
        <v>Athletics</v>
      </c>
      <c r="G2339" s="2" t="str">
        <f t="array" ref="G2339">_xlfn.XLOOKUP(A2340,Product!A:A,Product!D:D,"Bulunamadı")</f>
        <v>Ironlane Books</v>
      </c>
      <c r="H2339" s="2">
        <f t="array" ref="H2339">_xlfn.XLOOKUP(A2341,Product!A:A,Product!E:E,"Bulunamadı")</f>
        <v>1.77</v>
      </c>
      <c r="I2339" s="2" t="str">
        <f t="shared" si="1"/>
        <v>87885 - Law - Athletics</v>
      </c>
      <c r="J2339" s="2">
        <f t="shared" si="2"/>
        <v>189.39</v>
      </c>
      <c r="K2339" s="17">
        <f t="shared" si="3"/>
        <v>1</v>
      </c>
      <c r="L2339" s="18"/>
    </row>
    <row r="2340" hidden="1">
      <c r="A2340" s="2">
        <f>IFERROR(__xludf.DUMMYFUNCTION("""COMPUTED_VALUE"""),29023.0)</f>
        <v>29023</v>
      </c>
      <c r="B2340" s="2">
        <f>IFERROR(__xludf.DUMMYFUNCTION("""COMPUTED_VALUE"""),1.0)</f>
        <v>1</v>
      </c>
      <c r="C2340" s="2">
        <f>IFERROR(__xludf.DUMMYFUNCTION("""COMPUTED_VALUE"""),255.0)</f>
        <v>255</v>
      </c>
      <c r="D2340" s="3">
        <f>IFERROR(__xludf.DUMMYFUNCTION("""COMPUTED_VALUE"""),55.0)</f>
        <v>55</v>
      </c>
      <c r="E2340" s="1" t="str">
        <f t="array" ref="E2340">_xlfn.XLOOKUP(A2340,Product!A:A,Product!B:B,"Bulunamadı")</f>
        <v>Law</v>
      </c>
      <c r="F2340" s="1" t="str">
        <f t="array" ref="F2340">_xlfn.XLOOKUP(A2340,Product!A:A,Product!C:C,"Bulunamadı")</f>
        <v>Athletics</v>
      </c>
      <c r="G2340" s="2" t="str">
        <f t="array" ref="G2340">_xlfn.XLOOKUP(A2341,Product!A:A,Product!D:D,"Bulunamadı")</f>
        <v>Ironlane Books</v>
      </c>
      <c r="H2340" s="2">
        <f t="array" ref="H2340">_xlfn.XLOOKUP(A2342,Product!A:A,Product!E:E,"Bulunamadı")</f>
        <v>1.64</v>
      </c>
      <c r="I2340" s="2" t="str">
        <f t="shared" si="1"/>
        <v>29023 - Law - Athletics</v>
      </c>
      <c r="J2340" s="2">
        <f t="shared" si="2"/>
        <v>90.2</v>
      </c>
      <c r="K2340" s="17">
        <f t="shared" si="3"/>
        <v>1</v>
      </c>
      <c r="L2340" s="18"/>
    </row>
    <row r="2341" hidden="1">
      <c r="A2341" s="2">
        <f>IFERROR(__xludf.DUMMYFUNCTION("""COMPUTED_VALUE"""),100250.0)</f>
        <v>100250</v>
      </c>
      <c r="B2341" s="2">
        <f>IFERROR(__xludf.DUMMYFUNCTION("""COMPUTED_VALUE"""),1.0)</f>
        <v>1</v>
      </c>
      <c r="C2341" s="2">
        <f>IFERROR(__xludf.DUMMYFUNCTION("""COMPUTED_VALUE"""),336.0)</f>
        <v>336</v>
      </c>
      <c r="D2341" s="3">
        <f>IFERROR(__xludf.DUMMYFUNCTION("""COMPUTED_VALUE"""),312.0)</f>
        <v>312</v>
      </c>
      <c r="E2341" s="1" t="str">
        <f t="array" ref="E2341">_xlfn.XLOOKUP(A2341,Product!A:A,Product!B:B,"Bulunamadı")</f>
        <v>Law</v>
      </c>
      <c r="F2341" s="1" t="str">
        <f t="array" ref="F2341">_xlfn.XLOOKUP(A2341,Product!A:A,Product!C:C,"Bulunamadı")</f>
        <v>Athletics</v>
      </c>
      <c r="G2341" s="2" t="str">
        <f t="array" ref="G2341">_xlfn.XLOOKUP(A2342,Product!A:A,Product!D:D,"Bulunamadı")</f>
        <v>Ironlane Books</v>
      </c>
      <c r="H2341" s="2">
        <f t="array" ref="H2341">_xlfn.XLOOKUP(A2343,Product!A:A,Product!E:E,"Bulunamadı")</f>
        <v>9.41</v>
      </c>
      <c r="I2341" s="2" t="str">
        <f t="shared" si="1"/>
        <v>100250 - Law - Athletics</v>
      </c>
      <c r="J2341" s="2">
        <f t="shared" si="2"/>
        <v>2935.92</v>
      </c>
      <c r="K2341" s="17">
        <f t="shared" si="3"/>
        <v>1</v>
      </c>
      <c r="L2341" s="18"/>
    </row>
    <row r="2342" hidden="1">
      <c r="A2342" s="2">
        <f>IFERROR(__xludf.DUMMYFUNCTION("""COMPUTED_VALUE"""),116320.0)</f>
        <v>116320</v>
      </c>
      <c r="B2342" s="2">
        <f>IFERROR(__xludf.DUMMYFUNCTION("""COMPUTED_VALUE"""),0.0)</f>
        <v>0</v>
      </c>
      <c r="C2342" s="2">
        <f>IFERROR(__xludf.DUMMYFUNCTION("""COMPUTED_VALUE"""),199.0)</f>
        <v>199</v>
      </c>
      <c r="D2342" s="3">
        <f>IFERROR(__xludf.DUMMYFUNCTION("""COMPUTED_VALUE"""),198.0)</f>
        <v>198</v>
      </c>
      <c r="E2342" s="1" t="str">
        <f t="array" ref="E2342">_xlfn.XLOOKUP(A2342,Product!A:A,Product!B:B,"Bulunamadı")</f>
        <v>Law</v>
      </c>
      <c r="F2342" s="1" t="str">
        <f t="array" ref="F2342">_xlfn.XLOOKUP(A2342,Product!A:A,Product!C:C,"Bulunamadı")</f>
        <v>Athletics</v>
      </c>
      <c r="G2342" s="2" t="str">
        <f t="array" ref="G2342">_xlfn.XLOOKUP(A2343,Product!A:A,Product!D:D,"Bulunamadı")</f>
        <v>Silverway Press</v>
      </c>
      <c r="H2342" s="2">
        <f t="array" ref="H2342">_xlfn.XLOOKUP(A2344,Product!A:A,Product!E:E,"Bulunamadı")</f>
        <v>3.8</v>
      </c>
      <c r="I2342" s="2" t="str">
        <f t="shared" si="1"/>
        <v>116320 - Law - Athletics</v>
      </c>
      <c r="J2342" s="2">
        <f t="shared" si="2"/>
        <v>752.4</v>
      </c>
      <c r="K2342" s="17">
        <f t="shared" si="3"/>
        <v>1</v>
      </c>
      <c r="L2342" s="18"/>
    </row>
    <row r="2343" hidden="1">
      <c r="A2343" s="2">
        <f>IFERROR(__xludf.DUMMYFUNCTION("""COMPUTED_VALUE"""),122149.0)</f>
        <v>122149</v>
      </c>
      <c r="B2343" s="2">
        <f>IFERROR(__xludf.DUMMYFUNCTION("""COMPUTED_VALUE"""),1.0)</f>
        <v>1</v>
      </c>
      <c r="C2343" s="2">
        <f>IFERROR(__xludf.DUMMYFUNCTION("""COMPUTED_VALUE"""),770.0)</f>
        <v>770</v>
      </c>
      <c r="D2343" s="3">
        <f>IFERROR(__xludf.DUMMYFUNCTION("""COMPUTED_VALUE"""),561.0)</f>
        <v>561</v>
      </c>
      <c r="E2343" s="1" t="str">
        <f t="array" ref="E2343">_xlfn.XLOOKUP(A2343,Product!A:A,Product!B:B,"Bulunamadı")</f>
        <v>Law</v>
      </c>
      <c r="F2343" s="1" t="str">
        <f t="array" ref="F2343">_xlfn.XLOOKUP(A2343,Product!A:A,Product!C:C,"Bulunamadı")</f>
        <v>Athletics</v>
      </c>
      <c r="G2343" s="2" t="str">
        <f t="array" ref="G2343">_xlfn.XLOOKUP(A2344,Product!A:A,Product!D:D,"Bulunamadı")</f>
        <v>Silverway Press</v>
      </c>
      <c r="H2343" s="2">
        <f t="array" ref="H2343">_xlfn.XLOOKUP(A2345,Product!A:A,Product!E:E,"Bulunamadı")</f>
        <v>9.32</v>
      </c>
      <c r="I2343" s="2" t="str">
        <f t="shared" si="1"/>
        <v>122149 - Law - Athletics</v>
      </c>
      <c r="J2343" s="2">
        <f t="shared" si="2"/>
        <v>5228.52</v>
      </c>
      <c r="K2343" s="17">
        <f t="shared" si="3"/>
        <v>1</v>
      </c>
      <c r="L2343" s="18"/>
    </row>
    <row r="2344" hidden="1">
      <c r="A2344" s="2">
        <f>IFERROR(__xludf.DUMMYFUNCTION("""COMPUTED_VALUE"""),107220.0)</f>
        <v>107220</v>
      </c>
      <c r="B2344" s="2">
        <f>IFERROR(__xludf.DUMMYFUNCTION("""COMPUTED_VALUE"""),0.0)</f>
        <v>0</v>
      </c>
      <c r="C2344" s="2">
        <f>IFERROR(__xludf.DUMMYFUNCTION("""COMPUTED_VALUE"""),790.0)</f>
        <v>790</v>
      </c>
      <c r="D2344" s="3">
        <f>IFERROR(__xludf.DUMMYFUNCTION("""COMPUTED_VALUE"""),573.0)</f>
        <v>573</v>
      </c>
      <c r="E2344" s="1" t="str">
        <f t="array" ref="E2344">_xlfn.XLOOKUP(A2344,Product!A:A,Product!B:B,"Bulunamadı")</f>
        <v>Law</v>
      </c>
      <c r="F2344" s="1" t="str">
        <f t="array" ref="F2344">_xlfn.XLOOKUP(A2344,Product!A:A,Product!C:C,"Bulunamadı")</f>
        <v>Athletics</v>
      </c>
      <c r="G2344" s="2" t="str">
        <f t="array" ref="G2344">_xlfn.XLOOKUP(A2345,Product!A:A,Product!D:D,"Bulunamadı")</f>
        <v>Silverway Press</v>
      </c>
      <c r="H2344" s="2">
        <f t="array" ref="H2344">_xlfn.XLOOKUP(A2346,Product!A:A,Product!E:E,"Bulunamadı")</f>
        <v>1.86</v>
      </c>
      <c r="I2344" s="2" t="str">
        <f t="shared" si="1"/>
        <v>107220 - Law - Athletics</v>
      </c>
      <c r="J2344" s="2">
        <f t="shared" si="2"/>
        <v>1065.78</v>
      </c>
      <c r="K2344" s="17">
        <f t="shared" si="3"/>
        <v>1</v>
      </c>
      <c r="L2344" s="18"/>
    </row>
    <row r="2345" hidden="1">
      <c r="A2345" s="2">
        <f>IFERROR(__xludf.DUMMYFUNCTION("""COMPUTED_VALUE"""),122151.0)</f>
        <v>122151</v>
      </c>
      <c r="B2345" s="2">
        <f>IFERROR(__xludf.DUMMYFUNCTION("""COMPUTED_VALUE"""),0.0)</f>
        <v>0</v>
      </c>
      <c r="C2345" s="2">
        <f>IFERROR(__xludf.DUMMYFUNCTION("""COMPUTED_VALUE"""),649.0)</f>
        <v>649</v>
      </c>
      <c r="D2345" s="3">
        <f>IFERROR(__xludf.DUMMYFUNCTION("""COMPUTED_VALUE"""),172.0)</f>
        <v>172</v>
      </c>
      <c r="E2345" s="1" t="str">
        <f t="array" ref="E2345">_xlfn.XLOOKUP(A2345,Product!A:A,Product!B:B,"Bulunamadı")</f>
        <v>Law</v>
      </c>
      <c r="F2345" s="1" t="str">
        <f t="array" ref="F2345">_xlfn.XLOOKUP(A2345,Product!A:A,Product!C:C,"Bulunamadı")</f>
        <v>Athletics</v>
      </c>
      <c r="G2345" s="2" t="str">
        <f t="array" ref="G2345">_xlfn.XLOOKUP(A2346,Product!A:A,Product!D:D,"Bulunamadı")</f>
        <v>Silverway Press</v>
      </c>
      <c r="H2345" s="2">
        <f t="array" ref="H2345">_xlfn.XLOOKUP(A2347,Product!A:A,Product!E:E,"Bulunamadı")</f>
        <v>5.52</v>
      </c>
      <c r="I2345" s="2" t="str">
        <f t="shared" si="1"/>
        <v>122151 - Law - Athletics</v>
      </c>
      <c r="J2345" s="2">
        <f t="shared" si="2"/>
        <v>949.44</v>
      </c>
      <c r="K2345" s="17">
        <f t="shared" si="3"/>
        <v>1</v>
      </c>
      <c r="L2345" s="18"/>
    </row>
    <row r="2346" hidden="1">
      <c r="A2346" s="2">
        <f>IFERROR(__xludf.DUMMYFUNCTION("""COMPUTED_VALUE"""),115766.0)</f>
        <v>115766</v>
      </c>
      <c r="B2346" s="2">
        <f>IFERROR(__xludf.DUMMYFUNCTION("""COMPUTED_VALUE"""),1.0)</f>
        <v>1</v>
      </c>
      <c r="C2346" s="2">
        <f>IFERROR(__xludf.DUMMYFUNCTION("""COMPUTED_VALUE"""),557.0)</f>
        <v>557</v>
      </c>
      <c r="D2346" s="3">
        <f>IFERROR(__xludf.DUMMYFUNCTION("""COMPUTED_VALUE"""),141.0)</f>
        <v>141</v>
      </c>
      <c r="E2346" s="1" t="str">
        <f t="array" ref="E2346">_xlfn.XLOOKUP(A2346,Product!A:A,Product!B:B,"Bulunamadı")</f>
        <v>Law</v>
      </c>
      <c r="F2346" s="1" t="str">
        <f t="array" ref="F2346">_xlfn.XLOOKUP(A2346,Product!A:A,Product!C:C,"Bulunamadı")</f>
        <v>Athletics</v>
      </c>
      <c r="G2346" s="2" t="str">
        <f t="array" ref="G2346">_xlfn.XLOOKUP(A2347,Product!A:A,Product!D:D,"Bulunamadı")</f>
        <v>Silverway Press</v>
      </c>
      <c r="H2346" s="2">
        <f t="array" ref="H2346">_xlfn.XLOOKUP(A2348,Product!A:A,Product!E:E,"Bulunamadı")</f>
        <v>3.58</v>
      </c>
      <c r="I2346" s="2" t="str">
        <f t="shared" si="1"/>
        <v>115766 - Law - Athletics</v>
      </c>
      <c r="J2346" s="2">
        <f t="shared" si="2"/>
        <v>504.78</v>
      </c>
      <c r="K2346" s="17">
        <f t="shared" si="3"/>
        <v>1</v>
      </c>
      <c r="L2346" s="18"/>
    </row>
    <row r="2347" hidden="1">
      <c r="A2347" s="2">
        <f>IFERROR(__xludf.DUMMYFUNCTION("""COMPUTED_VALUE"""),114033.0)</f>
        <v>114033</v>
      </c>
      <c r="B2347" s="2">
        <f>IFERROR(__xludf.DUMMYFUNCTION("""COMPUTED_VALUE"""),1.0)</f>
        <v>1</v>
      </c>
      <c r="C2347" s="2">
        <f>IFERROR(__xludf.DUMMYFUNCTION("""COMPUTED_VALUE"""),95.0)</f>
        <v>95</v>
      </c>
      <c r="D2347" s="3">
        <f>IFERROR(__xludf.DUMMYFUNCTION("""COMPUTED_VALUE"""),56.0)</f>
        <v>56</v>
      </c>
      <c r="E2347" s="1" t="str">
        <f t="array" ref="E2347">_xlfn.XLOOKUP(A2347,Product!A:A,Product!B:B,"Bulunamadı")</f>
        <v>Law</v>
      </c>
      <c r="F2347" s="1" t="str">
        <f t="array" ref="F2347">_xlfn.XLOOKUP(A2347,Product!A:A,Product!C:C,"Bulunamadı")</f>
        <v>Athletics</v>
      </c>
      <c r="G2347" s="2" t="str">
        <f t="array" ref="G2347">_xlfn.XLOOKUP(A2348,Product!A:A,Product!D:D,"Bulunamadı")</f>
        <v>Silverway Press</v>
      </c>
      <c r="H2347" s="2">
        <f t="array" ref="H2347">_xlfn.XLOOKUP(A2349,Product!A:A,Product!E:E,"Bulunamadı")</f>
        <v>1.82</v>
      </c>
      <c r="I2347" s="2" t="str">
        <f t="shared" si="1"/>
        <v>114033 - Law - Athletics</v>
      </c>
      <c r="J2347" s="2">
        <f t="shared" si="2"/>
        <v>101.92</v>
      </c>
      <c r="K2347" s="17">
        <f t="shared" si="3"/>
        <v>1</v>
      </c>
      <c r="L2347" s="18"/>
    </row>
    <row r="2348" hidden="1">
      <c r="A2348" s="2">
        <f>IFERROR(__xludf.DUMMYFUNCTION("""COMPUTED_VALUE"""),149508.0)</f>
        <v>149508</v>
      </c>
      <c r="B2348" s="2">
        <f>IFERROR(__xludf.DUMMYFUNCTION("""COMPUTED_VALUE"""),1.0)</f>
        <v>1</v>
      </c>
      <c r="C2348" s="2">
        <f>IFERROR(__xludf.DUMMYFUNCTION("""COMPUTED_VALUE"""),307.0)</f>
        <v>307</v>
      </c>
      <c r="D2348" s="3">
        <f>IFERROR(__xludf.DUMMYFUNCTION("""COMPUTED_VALUE"""),186.0)</f>
        <v>186</v>
      </c>
      <c r="E2348" s="1" t="str">
        <f t="array" ref="E2348">_xlfn.XLOOKUP(A2348,Product!A:A,Product!B:B,"Bulunamadı")</f>
        <v>Law</v>
      </c>
      <c r="F2348" s="1" t="str">
        <f t="array" ref="F2348">_xlfn.XLOOKUP(A2348,Product!A:A,Product!C:C,"Bulunamadı")</f>
        <v>Athletics</v>
      </c>
      <c r="G2348" s="2" t="str">
        <f t="array" ref="G2348">_xlfn.XLOOKUP(A2349,Product!A:A,Product!D:D,"Bulunamadı")</f>
        <v>Silverway Press</v>
      </c>
      <c r="H2348" s="2">
        <f t="array" ref="H2348">_xlfn.XLOOKUP(A2350,Product!A:A,Product!E:E,"Bulunamadı")</f>
        <v>5.56</v>
      </c>
      <c r="I2348" s="2" t="str">
        <f t="shared" si="1"/>
        <v>149508 - Law - Athletics</v>
      </c>
      <c r="J2348" s="2">
        <f t="shared" si="2"/>
        <v>1034.16</v>
      </c>
      <c r="K2348" s="17">
        <f t="shared" si="3"/>
        <v>1</v>
      </c>
      <c r="L2348" s="18"/>
    </row>
    <row r="2349" hidden="1">
      <c r="A2349" s="2">
        <f>IFERROR(__xludf.DUMMYFUNCTION("""COMPUTED_VALUE"""),107256.0)</f>
        <v>107256</v>
      </c>
      <c r="B2349" s="2">
        <f>IFERROR(__xludf.DUMMYFUNCTION("""COMPUTED_VALUE"""),0.0)</f>
        <v>0</v>
      </c>
      <c r="C2349" s="2">
        <f>IFERROR(__xludf.DUMMYFUNCTION("""COMPUTED_VALUE"""),153.0)</f>
        <v>153</v>
      </c>
      <c r="D2349" s="3">
        <f>IFERROR(__xludf.DUMMYFUNCTION("""COMPUTED_VALUE"""),110.0)</f>
        <v>110</v>
      </c>
      <c r="E2349" s="1" t="str">
        <f t="array" ref="E2349">_xlfn.XLOOKUP(A2349,Product!A:A,Product!B:B,"Bulunamadı")</f>
        <v>Law</v>
      </c>
      <c r="F2349" s="1" t="str">
        <f t="array" ref="F2349">_xlfn.XLOOKUP(A2349,Product!A:A,Product!C:C,"Bulunamadı")</f>
        <v>Athletics</v>
      </c>
      <c r="G2349" s="2" t="str">
        <f t="array" ref="G2349">_xlfn.XLOOKUP(A2350,Product!A:A,Product!D:D,"Bulunamadı")</f>
        <v>Silverway Press</v>
      </c>
      <c r="H2349" s="2">
        <f t="array" ref="H2349">_xlfn.XLOOKUP(A2351,Product!A:A,Product!E:E,"Bulunamadı")</f>
        <v>3.69</v>
      </c>
      <c r="I2349" s="2" t="str">
        <f t="shared" si="1"/>
        <v>107256 - Law - Athletics</v>
      </c>
      <c r="J2349" s="2">
        <f t="shared" si="2"/>
        <v>405.9</v>
      </c>
      <c r="K2349" s="17">
        <f t="shared" si="3"/>
        <v>1</v>
      </c>
      <c r="L2349" s="18"/>
    </row>
    <row r="2350" hidden="1">
      <c r="A2350" s="2">
        <f>IFERROR(__xludf.DUMMYFUNCTION("""COMPUTED_VALUE"""),121615.0)</f>
        <v>121615</v>
      </c>
      <c r="B2350" s="2">
        <f>IFERROR(__xludf.DUMMYFUNCTION("""COMPUTED_VALUE"""),1.0)</f>
        <v>1</v>
      </c>
      <c r="C2350" s="2">
        <f>IFERROR(__xludf.DUMMYFUNCTION("""COMPUTED_VALUE"""),868.0)</f>
        <v>868</v>
      </c>
      <c r="D2350" s="3">
        <f>IFERROR(__xludf.DUMMYFUNCTION("""COMPUTED_VALUE"""),490.0)</f>
        <v>490</v>
      </c>
      <c r="E2350" s="1" t="str">
        <f t="array" ref="E2350">_xlfn.XLOOKUP(A2350,Product!A:A,Product!B:B,"Bulunamadı")</f>
        <v>Law</v>
      </c>
      <c r="F2350" s="1" t="str">
        <f t="array" ref="F2350">_xlfn.XLOOKUP(A2350,Product!A:A,Product!C:C,"Bulunamadı")</f>
        <v>Athletics</v>
      </c>
      <c r="G2350" s="2" t="str">
        <f t="array" ref="G2350">_xlfn.XLOOKUP(A2351,Product!A:A,Product!D:D,"Bulunamadı")</f>
        <v>Silverway Press</v>
      </c>
      <c r="H2350" s="2">
        <f t="array" ref="H2350">_xlfn.XLOOKUP(A2352,Product!A:A,Product!E:E,"Bulunamadı")</f>
        <v>6.08</v>
      </c>
      <c r="I2350" s="2" t="str">
        <f t="shared" si="1"/>
        <v>121615 - Law - Athletics</v>
      </c>
      <c r="J2350" s="2">
        <f t="shared" si="2"/>
        <v>2979.2</v>
      </c>
      <c r="K2350" s="17">
        <f t="shared" si="3"/>
        <v>1</v>
      </c>
      <c r="L2350" s="18"/>
    </row>
    <row r="2351" hidden="1">
      <c r="A2351" s="2">
        <f>IFERROR(__xludf.DUMMYFUNCTION("""COMPUTED_VALUE"""),107226.0)</f>
        <v>107226</v>
      </c>
      <c r="B2351" s="2">
        <f>IFERROR(__xludf.DUMMYFUNCTION("""COMPUTED_VALUE"""),0.0)</f>
        <v>0</v>
      </c>
      <c r="C2351" s="2">
        <f>IFERROR(__xludf.DUMMYFUNCTION("""COMPUTED_VALUE"""),281.0)</f>
        <v>281</v>
      </c>
      <c r="D2351" s="3">
        <f>IFERROR(__xludf.DUMMYFUNCTION("""COMPUTED_VALUE"""),85.0)</f>
        <v>85</v>
      </c>
      <c r="E2351" s="1" t="str">
        <f t="array" ref="E2351">_xlfn.XLOOKUP(A2351,Product!A:A,Product!B:B,"Bulunamadı")</f>
        <v>Law</v>
      </c>
      <c r="F2351" s="1" t="str">
        <f t="array" ref="F2351">_xlfn.XLOOKUP(A2351,Product!A:A,Product!C:C,"Bulunamadı")</f>
        <v>Athletics</v>
      </c>
      <c r="G2351" s="2" t="str">
        <f t="array" ref="G2351">_xlfn.XLOOKUP(A2352,Product!A:A,Product!D:D,"Bulunamadı")</f>
        <v>Silverway Press</v>
      </c>
      <c r="H2351" s="2">
        <f t="array" ref="H2351">_xlfn.XLOOKUP(A2353,Product!A:A,Product!E:E,"Bulunamadı")</f>
        <v>6.31</v>
      </c>
      <c r="I2351" s="2" t="str">
        <f t="shared" si="1"/>
        <v>107226 - Law - Athletics</v>
      </c>
      <c r="J2351" s="2">
        <f t="shared" si="2"/>
        <v>536.35</v>
      </c>
      <c r="K2351" s="17">
        <f t="shared" si="3"/>
        <v>1</v>
      </c>
      <c r="L2351" s="18"/>
    </row>
    <row r="2352" hidden="1">
      <c r="A2352" s="2">
        <f>IFERROR(__xludf.DUMMYFUNCTION("""COMPUTED_VALUE"""),120188.0)</f>
        <v>120188</v>
      </c>
      <c r="B2352" s="2">
        <f>IFERROR(__xludf.DUMMYFUNCTION("""COMPUTED_VALUE"""),0.0)</f>
        <v>0</v>
      </c>
      <c r="C2352" s="2">
        <f>IFERROR(__xludf.DUMMYFUNCTION("""COMPUTED_VALUE"""),556.0)</f>
        <v>556</v>
      </c>
      <c r="D2352" s="3">
        <f>IFERROR(__xludf.DUMMYFUNCTION("""COMPUTED_VALUE"""),133.0)</f>
        <v>133</v>
      </c>
      <c r="E2352" s="1" t="str">
        <f t="array" ref="E2352">_xlfn.XLOOKUP(A2352,Product!A:A,Product!B:B,"Bulunamadı")</f>
        <v>Law</v>
      </c>
      <c r="F2352" s="1" t="str">
        <f t="array" ref="F2352">_xlfn.XLOOKUP(A2352,Product!A:A,Product!C:C,"Bulunamadı")</f>
        <v>Athletics</v>
      </c>
      <c r="G2352" s="2" t="str">
        <f t="array" ref="G2352">_xlfn.XLOOKUP(A2353,Product!A:A,Product!D:D,"Bulunamadı")</f>
        <v>Silverway Press</v>
      </c>
      <c r="H2352" s="2">
        <f t="array" ref="H2352">_xlfn.XLOOKUP(A2354,Product!A:A,Product!E:E,"Bulunamadı")</f>
        <v>4.84</v>
      </c>
      <c r="I2352" s="2" t="str">
        <f t="shared" si="1"/>
        <v>120188 - Law - Athletics</v>
      </c>
      <c r="J2352" s="2">
        <f t="shared" si="2"/>
        <v>643.72</v>
      </c>
      <c r="K2352" s="17">
        <f t="shared" si="3"/>
        <v>1</v>
      </c>
      <c r="L2352" s="18"/>
    </row>
    <row r="2353" hidden="1">
      <c r="A2353" s="2">
        <f>IFERROR(__xludf.DUMMYFUNCTION("""COMPUTED_VALUE"""),107944.0)</f>
        <v>107944</v>
      </c>
      <c r="B2353" s="2">
        <f>IFERROR(__xludf.DUMMYFUNCTION("""COMPUTED_VALUE"""),1.0)</f>
        <v>1</v>
      </c>
      <c r="C2353" s="2">
        <f>IFERROR(__xludf.DUMMYFUNCTION("""COMPUTED_VALUE"""),777.0)</f>
        <v>777</v>
      </c>
      <c r="D2353" s="3">
        <f>IFERROR(__xludf.DUMMYFUNCTION("""COMPUTED_VALUE"""),224.0)</f>
        <v>224</v>
      </c>
      <c r="E2353" s="1" t="str">
        <f t="array" ref="E2353">_xlfn.XLOOKUP(A2353,Product!A:A,Product!B:B,"Bulunamadı")</f>
        <v>Law</v>
      </c>
      <c r="F2353" s="1" t="str">
        <f t="array" ref="F2353">_xlfn.XLOOKUP(A2353,Product!A:A,Product!C:C,"Bulunamadı")</f>
        <v>Athletics</v>
      </c>
      <c r="G2353" s="2" t="str">
        <f t="array" ref="G2353">_xlfn.XLOOKUP(A2354,Product!A:A,Product!D:D,"Bulunamadı")</f>
        <v>Silverway Press</v>
      </c>
      <c r="H2353" s="2">
        <f t="array" ref="H2353">_xlfn.XLOOKUP(A2355,Product!A:A,Product!E:E,"Bulunamadı")</f>
        <v>3.94</v>
      </c>
      <c r="I2353" s="2" t="str">
        <f t="shared" si="1"/>
        <v>107944 - Law - Athletics</v>
      </c>
      <c r="J2353" s="2">
        <f t="shared" si="2"/>
        <v>882.56</v>
      </c>
      <c r="K2353" s="17">
        <f t="shared" si="3"/>
        <v>1</v>
      </c>
      <c r="L2353" s="18"/>
    </row>
    <row r="2354" hidden="1">
      <c r="A2354" s="2">
        <f>IFERROR(__xludf.DUMMYFUNCTION("""COMPUTED_VALUE"""),70243.0)</f>
        <v>70243</v>
      </c>
      <c r="B2354" s="2">
        <f>IFERROR(__xludf.DUMMYFUNCTION("""COMPUTED_VALUE"""),1.0)</f>
        <v>1</v>
      </c>
      <c r="C2354" s="2">
        <f>IFERROR(__xludf.DUMMYFUNCTION("""COMPUTED_VALUE"""),794.0)</f>
        <v>794</v>
      </c>
      <c r="D2354" s="3">
        <f>IFERROR(__xludf.DUMMYFUNCTION("""COMPUTED_VALUE"""),400.0)</f>
        <v>400</v>
      </c>
      <c r="E2354" s="1" t="str">
        <f t="array" ref="E2354">_xlfn.XLOOKUP(A2354,Product!A:A,Product!B:B,"Bulunamadı")</f>
        <v>Law</v>
      </c>
      <c r="F2354" s="1" t="str">
        <f t="array" ref="F2354">_xlfn.XLOOKUP(A2354,Product!A:A,Product!C:C,"Bulunamadı")</f>
        <v>Athletics</v>
      </c>
      <c r="G2354" s="2" t="str">
        <f t="array" ref="G2354">_xlfn.XLOOKUP(A2355,Product!A:A,Product!D:D,"Bulunamadı")</f>
        <v>Silverway Press</v>
      </c>
      <c r="H2354" s="2">
        <f t="array" ref="H2354">_xlfn.XLOOKUP(A2356,Product!A:A,Product!E:E,"Bulunamadı")</f>
        <v>5.5</v>
      </c>
      <c r="I2354" s="2" t="str">
        <f t="shared" si="1"/>
        <v>70243 - Law - Athletics</v>
      </c>
      <c r="J2354" s="2">
        <f t="shared" si="2"/>
        <v>2200</v>
      </c>
      <c r="K2354" s="17">
        <f t="shared" si="3"/>
        <v>1</v>
      </c>
      <c r="L2354" s="18"/>
    </row>
    <row r="2355" hidden="1">
      <c r="A2355" s="2">
        <f>IFERROR(__xludf.DUMMYFUNCTION("""COMPUTED_VALUE"""),149505.0)</f>
        <v>149505</v>
      </c>
      <c r="B2355" s="2">
        <f>IFERROR(__xludf.DUMMYFUNCTION("""COMPUTED_VALUE"""),1.0)</f>
        <v>1</v>
      </c>
      <c r="C2355" s="2">
        <f>IFERROR(__xludf.DUMMYFUNCTION("""COMPUTED_VALUE"""),437.0)</f>
        <v>437</v>
      </c>
      <c r="D2355" s="3">
        <f>IFERROR(__xludf.DUMMYFUNCTION("""COMPUTED_VALUE"""),122.0)</f>
        <v>122</v>
      </c>
      <c r="E2355" s="1" t="str">
        <f t="array" ref="E2355">_xlfn.XLOOKUP(A2355,Product!A:A,Product!B:B,"Bulunamadı")</f>
        <v>Law</v>
      </c>
      <c r="F2355" s="1" t="str">
        <f t="array" ref="F2355">_xlfn.XLOOKUP(A2355,Product!A:A,Product!C:C,"Bulunamadı")</f>
        <v>Athletics</v>
      </c>
      <c r="G2355" s="2" t="str">
        <f t="array" ref="G2355">_xlfn.XLOOKUP(A2356,Product!A:A,Product!D:D,"Bulunamadı")</f>
        <v>Silverway Press</v>
      </c>
      <c r="H2355" s="2">
        <f t="array" ref="H2355">_xlfn.XLOOKUP(A2357,Product!A:A,Product!E:E,"Bulunamadı")</f>
        <v>1.68</v>
      </c>
      <c r="I2355" s="2" t="str">
        <f t="shared" si="1"/>
        <v>149505 - Law - Athletics</v>
      </c>
      <c r="J2355" s="2">
        <f t="shared" si="2"/>
        <v>204.96</v>
      </c>
      <c r="K2355" s="17">
        <f t="shared" si="3"/>
        <v>1</v>
      </c>
      <c r="L2355" s="18"/>
    </row>
    <row r="2356" hidden="1">
      <c r="A2356" s="2">
        <f>IFERROR(__xludf.DUMMYFUNCTION("""COMPUTED_VALUE"""),101428.0)</f>
        <v>101428</v>
      </c>
      <c r="B2356" s="2">
        <f>IFERROR(__xludf.DUMMYFUNCTION("""COMPUTED_VALUE"""),0.0)</f>
        <v>0</v>
      </c>
      <c r="C2356" s="2">
        <f>IFERROR(__xludf.DUMMYFUNCTION("""COMPUTED_VALUE"""),957.0)</f>
        <v>957</v>
      </c>
      <c r="D2356" s="3">
        <f>IFERROR(__xludf.DUMMYFUNCTION("""COMPUTED_VALUE"""),394.0)</f>
        <v>394</v>
      </c>
      <c r="E2356" s="1" t="str">
        <f t="array" ref="E2356">_xlfn.XLOOKUP(A2356,Product!A:A,Product!B:B,"Bulunamadı")</f>
        <v>Law</v>
      </c>
      <c r="F2356" s="1" t="str">
        <f t="array" ref="F2356">_xlfn.XLOOKUP(A2356,Product!A:A,Product!C:C,"Bulunamadı")</f>
        <v>Athletics</v>
      </c>
      <c r="G2356" s="2" t="str">
        <f t="array" ref="G2356">_xlfn.XLOOKUP(A2357,Product!A:A,Product!D:D,"Bulunamadı")</f>
        <v>Northway Publishing</v>
      </c>
      <c r="H2356" s="2">
        <f t="array" ref="H2356">_xlfn.XLOOKUP(A2358,Product!A:A,Product!E:E,"Bulunamadı")</f>
        <v>3.42</v>
      </c>
      <c r="I2356" s="2" t="str">
        <f t="shared" si="1"/>
        <v>101428 - Law - Athletics</v>
      </c>
      <c r="J2356" s="2">
        <f t="shared" si="2"/>
        <v>1347.48</v>
      </c>
      <c r="K2356" s="17">
        <f t="shared" si="3"/>
        <v>1</v>
      </c>
      <c r="L2356" s="18"/>
    </row>
    <row r="2357" hidden="1">
      <c r="A2357" s="2">
        <f>IFERROR(__xludf.DUMMYFUNCTION("""COMPUTED_VALUE"""),121798.0)</f>
        <v>121798</v>
      </c>
      <c r="B2357" s="2">
        <f>IFERROR(__xludf.DUMMYFUNCTION("""COMPUTED_VALUE"""),0.0)</f>
        <v>0</v>
      </c>
      <c r="C2357" s="2">
        <f>IFERROR(__xludf.DUMMYFUNCTION("""COMPUTED_VALUE"""),269.0)</f>
        <v>269</v>
      </c>
      <c r="D2357" s="3">
        <f>IFERROR(__xludf.DUMMYFUNCTION("""COMPUTED_VALUE"""),45.0)</f>
        <v>45</v>
      </c>
      <c r="E2357" s="1" t="str">
        <f t="array" ref="E2357">_xlfn.XLOOKUP(A2357,Product!A:A,Product!B:B,"Bulunamadı")</f>
        <v>Law</v>
      </c>
      <c r="F2357" s="1" t="str">
        <f t="array" ref="F2357">_xlfn.XLOOKUP(A2357,Product!A:A,Product!C:C,"Bulunamadı")</f>
        <v>Athletics</v>
      </c>
      <c r="G2357" s="2" t="str">
        <f t="array" ref="G2357">_xlfn.XLOOKUP(A2358,Product!A:A,Product!D:D,"Bulunamadı")</f>
        <v>Northway Publishing</v>
      </c>
      <c r="H2357" s="2">
        <f t="array" ref="H2357">_xlfn.XLOOKUP(A2359,Product!A:A,Product!E:E,"Bulunamadı")</f>
        <v>1.57</v>
      </c>
      <c r="I2357" s="2" t="str">
        <f t="shared" si="1"/>
        <v>121798 - Law - Athletics</v>
      </c>
      <c r="J2357" s="2">
        <f t="shared" si="2"/>
        <v>70.65</v>
      </c>
      <c r="K2357" s="17">
        <f t="shared" si="3"/>
        <v>1</v>
      </c>
      <c r="L2357" s="18"/>
    </row>
    <row r="2358" hidden="1">
      <c r="A2358" s="2">
        <f>IFERROR(__xludf.DUMMYFUNCTION("""COMPUTED_VALUE"""),88636.0)</f>
        <v>88636</v>
      </c>
      <c r="B2358" s="2">
        <f>IFERROR(__xludf.DUMMYFUNCTION("""COMPUTED_VALUE"""),0.0)</f>
        <v>0</v>
      </c>
      <c r="C2358" s="2">
        <f>IFERROR(__xludf.DUMMYFUNCTION("""COMPUTED_VALUE"""),962.0)</f>
        <v>962</v>
      </c>
      <c r="D2358" s="3">
        <f>IFERROR(__xludf.DUMMYFUNCTION("""COMPUTED_VALUE"""),272.0)</f>
        <v>272</v>
      </c>
      <c r="E2358" s="1" t="str">
        <f t="array" ref="E2358">_xlfn.XLOOKUP(A2358,Product!A:A,Product!B:B,"Bulunamadı")</f>
        <v>Law</v>
      </c>
      <c r="F2358" s="1" t="str">
        <f t="array" ref="F2358">_xlfn.XLOOKUP(A2358,Product!A:A,Product!C:C,"Bulunamadı")</f>
        <v>Athletics</v>
      </c>
      <c r="G2358" s="2" t="str">
        <f t="array" ref="G2358">_xlfn.XLOOKUP(A2359,Product!A:A,Product!D:D,"Bulunamadı")</f>
        <v>Northway Publishing</v>
      </c>
      <c r="H2358" s="2">
        <f t="array" ref="H2358">_xlfn.XLOOKUP(A2360,Product!A:A,Product!E:E,"Bulunamadı")</f>
        <v>2.47</v>
      </c>
      <c r="I2358" s="2" t="str">
        <f t="shared" si="1"/>
        <v>88636 - Law - Athletics</v>
      </c>
      <c r="J2358" s="2">
        <f t="shared" si="2"/>
        <v>671.84</v>
      </c>
      <c r="K2358" s="17">
        <f t="shared" si="3"/>
        <v>1</v>
      </c>
      <c r="L2358" s="18"/>
    </row>
    <row r="2359" hidden="1">
      <c r="A2359" s="2">
        <f>IFERROR(__xludf.DUMMYFUNCTION("""COMPUTED_VALUE"""),111038.0)</f>
        <v>111038</v>
      </c>
      <c r="B2359" s="2">
        <f>IFERROR(__xludf.DUMMYFUNCTION("""COMPUTED_VALUE"""),0.0)</f>
        <v>0</v>
      </c>
      <c r="C2359" s="2">
        <f>IFERROR(__xludf.DUMMYFUNCTION("""COMPUTED_VALUE"""),707.0)</f>
        <v>707</v>
      </c>
      <c r="D2359" s="3">
        <f>IFERROR(__xludf.DUMMYFUNCTION("""COMPUTED_VALUE"""),533.0)</f>
        <v>533</v>
      </c>
      <c r="E2359" s="1" t="str">
        <f t="array" ref="E2359">_xlfn.XLOOKUP(A2359,Product!A:A,Product!B:B,"Bulunamadı")</f>
        <v>Law</v>
      </c>
      <c r="F2359" s="1" t="str">
        <f t="array" ref="F2359">_xlfn.XLOOKUP(A2359,Product!A:A,Product!C:C,"Bulunamadı")</f>
        <v>Athletics</v>
      </c>
      <c r="G2359" s="2" t="str">
        <f t="array" ref="G2359">_xlfn.XLOOKUP(A2360,Product!A:A,Product!D:D,"Bulunamadı")</f>
        <v>Northway Publishing</v>
      </c>
      <c r="H2359" s="2">
        <f t="array" ref="H2359">_xlfn.XLOOKUP(A2361,Product!A:A,Product!E:E,"Bulunamadı")</f>
        <v>2.39</v>
      </c>
      <c r="I2359" s="2" t="str">
        <f t="shared" si="1"/>
        <v>111038 - Law - Athletics</v>
      </c>
      <c r="J2359" s="2">
        <f t="shared" si="2"/>
        <v>1273.87</v>
      </c>
      <c r="K2359" s="17">
        <f t="shared" si="3"/>
        <v>1</v>
      </c>
      <c r="L2359" s="18"/>
    </row>
    <row r="2360" hidden="1">
      <c r="A2360" s="2">
        <f>IFERROR(__xludf.DUMMYFUNCTION("""COMPUTED_VALUE"""),75032.0)</f>
        <v>75032</v>
      </c>
      <c r="B2360" s="2">
        <f>IFERROR(__xludf.DUMMYFUNCTION("""COMPUTED_VALUE"""),1.0)</f>
        <v>1</v>
      </c>
      <c r="C2360" s="2">
        <f>IFERROR(__xludf.DUMMYFUNCTION("""COMPUTED_VALUE"""),417.0)</f>
        <v>417</v>
      </c>
      <c r="D2360" s="3">
        <f>IFERROR(__xludf.DUMMYFUNCTION("""COMPUTED_VALUE"""),41.0)</f>
        <v>41</v>
      </c>
      <c r="E2360" s="1" t="str">
        <f t="array" ref="E2360">_xlfn.XLOOKUP(A2360,Product!A:A,Product!B:B,"Bulunamadı")</f>
        <v>Law</v>
      </c>
      <c r="F2360" s="1" t="str">
        <f t="array" ref="F2360">_xlfn.XLOOKUP(A2360,Product!A:A,Product!C:C,"Bulunamadı")</f>
        <v>Athletics</v>
      </c>
      <c r="G2360" s="2" t="str">
        <f t="array" ref="G2360">_xlfn.XLOOKUP(A2361,Product!A:A,Product!D:D,"Bulunamadı")</f>
        <v>Northway Publishing</v>
      </c>
      <c r="H2360" s="2">
        <f t="array" ref="H2360">_xlfn.XLOOKUP(A2362,Product!A:A,Product!E:E,"Bulunamadı")</f>
        <v>2.4</v>
      </c>
      <c r="I2360" s="2" t="str">
        <f t="shared" si="1"/>
        <v>75032 - Law - Athletics</v>
      </c>
      <c r="J2360" s="2">
        <f t="shared" si="2"/>
        <v>98.4</v>
      </c>
      <c r="K2360" s="17">
        <f t="shared" si="3"/>
        <v>1</v>
      </c>
      <c r="L2360" s="18"/>
    </row>
    <row r="2361" hidden="1">
      <c r="A2361" s="2">
        <f>IFERROR(__xludf.DUMMYFUNCTION("""COMPUTED_VALUE"""),70187.0)</f>
        <v>70187</v>
      </c>
      <c r="B2361" s="2">
        <f>IFERROR(__xludf.DUMMYFUNCTION("""COMPUTED_VALUE"""),1.0)</f>
        <v>1</v>
      </c>
      <c r="C2361" s="2">
        <f>IFERROR(__xludf.DUMMYFUNCTION("""COMPUTED_VALUE"""),795.0)</f>
        <v>795</v>
      </c>
      <c r="D2361" s="3">
        <f>IFERROR(__xludf.DUMMYFUNCTION("""COMPUTED_VALUE"""),475.0)</f>
        <v>475</v>
      </c>
      <c r="E2361" s="1" t="str">
        <f t="array" ref="E2361">_xlfn.XLOOKUP(A2361,Product!A:A,Product!B:B,"Bulunamadı")</f>
        <v>Law</v>
      </c>
      <c r="F2361" s="1" t="str">
        <f t="array" ref="F2361">_xlfn.XLOOKUP(A2361,Product!A:A,Product!C:C,"Bulunamadı")</f>
        <v>Athletics</v>
      </c>
      <c r="G2361" s="2" t="str">
        <f t="array" ref="G2361">_xlfn.XLOOKUP(A2362,Product!A:A,Product!D:D,"Bulunamadı")</f>
        <v>Northway Publishing</v>
      </c>
      <c r="H2361" s="2">
        <f t="array" ref="H2361">_xlfn.XLOOKUP(A2363,Product!A:A,Product!E:E,"Bulunamadı")</f>
        <v>2.3</v>
      </c>
      <c r="I2361" s="2" t="str">
        <f t="shared" si="1"/>
        <v>70187 - Law - Athletics</v>
      </c>
      <c r="J2361" s="2">
        <f t="shared" si="2"/>
        <v>1092.5</v>
      </c>
      <c r="K2361" s="17">
        <f t="shared" si="3"/>
        <v>1</v>
      </c>
      <c r="L2361" s="18"/>
    </row>
    <row r="2362" hidden="1">
      <c r="A2362" s="2">
        <f>IFERROR(__xludf.DUMMYFUNCTION("""COMPUTED_VALUE"""),147278.0)</f>
        <v>147278</v>
      </c>
      <c r="B2362" s="2">
        <f>IFERROR(__xludf.DUMMYFUNCTION("""COMPUTED_VALUE"""),0.0)</f>
        <v>0</v>
      </c>
      <c r="C2362" s="2">
        <f>IFERROR(__xludf.DUMMYFUNCTION("""COMPUTED_VALUE"""),177.0)</f>
        <v>177</v>
      </c>
      <c r="D2362" s="3">
        <f>IFERROR(__xludf.DUMMYFUNCTION("""COMPUTED_VALUE"""),163.0)</f>
        <v>163</v>
      </c>
      <c r="E2362" s="1" t="str">
        <f t="array" ref="E2362">_xlfn.XLOOKUP(A2362,Product!A:A,Product!B:B,"Bulunamadı")</f>
        <v>Law</v>
      </c>
      <c r="F2362" s="1" t="str">
        <f t="array" ref="F2362">_xlfn.XLOOKUP(A2362,Product!A:A,Product!C:C,"Bulunamadı")</f>
        <v>Athletics</v>
      </c>
      <c r="G2362" s="2" t="str">
        <f t="array" ref="G2362">_xlfn.XLOOKUP(A2363,Product!A:A,Product!D:D,"Bulunamadı")</f>
        <v>Northway Publishing</v>
      </c>
      <c r="H2362" s="2">
        <f t="array" ref="H2362">_xlfn.XLOOKUP(A2364,Product!A:A,Product!E:E,"Bulunamadı")</f>
        <v>2.2</v>
      </c>
      <c r="I2362" s="2" t="str">
        <f t="shared" si="1"/>
        <v>147278 - Law - Athletics</v>
      </c>
      <c r="J2362" s="2">
        <f t="shared" si="2"/>
        <v>358.6</v>
      </c>
      <c r="K2362" s="17">
        <f t="shared" si="3"/>
        <v>1</v>
      </c>
      <c r="L2362" s="18"/>
    </row>
    <row r="2363" hidden="1">
      <c r="A2363" s="2">
        <f>IFERROR(__xludf.DUMMYFUNCTION("""COMPUTED_VALUE"""),114972.0)</f>
        <v>114972</v>
      </c>
      <c r="B2363" s="2">
        <f>IFERROR(__xludf.DUMMYFUNCTION("""COMPUTED_VALUE"""),1.0)</f>
        <v>1</v>
      </c>
      <c r="C2363" s="2">
        <f>IFERROR(__xludf.DUMMYFUNCTION("""COMPUTED_VALUE"""),672.0)</f>
        <v>672</v>
      </c>
      <c r="D2363" s="3">
        <f>IFERROR(__xludf.DUMMYFUNCTION("""COMPUTED_VALUE"""),230.0)</f>
        <v>230</v>
      </c>
      <c r="E2363" s="1" t="str">
        <f t="array" ref="E2363">_xlfn.XLOOKUP(A2363,Product!A:A,Product!B:B,"Bulunamadı")</f>
        <v>Law</v>
      </c>
      <c r="F2363" s="1" t="str">
        <f t="array" ref="F2363">_xlfn.XLOOKUP(A2363,Product!A:A,Product!C:C,"Bulunamadı")</f>
        <v>Athletics</v>
      </c>
      <c r="G2363" s="2" t="str">
        <f t="array" ref="G2363">_xlfn.XLOOKUP(A2364,Product!A:A,Product!D:D,"Bulunamadı")</f>
        <v>Northway Publishing</v>
      </c>
      <c r="H2363" s="2">
        <f t="array" ref="H2363">_xlfn.XLOOKUP(A2365,Product!A:A,Product!E:E,"Bulunamadı")</f>
        <v>1.88</v>
      </c>
      <c r="I2363" s="2" t="str">
        <f t="shared" si="1"/>
        <v>114972 - Law - Athletics</v>
      </c>
      <c r="J2363" s="2">
        <f t="shared" si="2"/>
        <v>432.4</v>
      </c>
      <c r="K2363" s="17">
        <f t="shared" si="3"/>
        <v>1</v>
      </c>
      <c r="L2363" s="18"/>
    </row>
    <row r="2364" hidden="1">
      <c r="A2364" s="2">
        <f>IFERROR(__xludf.DUMMYFUNCTION("""COMPUTED_VALUE"""),75072.0)</f>
        <v>75072</v>
      </c>
      <c r="B2364" s="2">
        <f>IFERROR(__xludf.DUMMYFUNCTION("""COMPUTED_VALUE"""),1.0)</f>
        <v>1</v>
      </c>
      <c r="C2364" s="2">
        <f>IFERROR(__xludf.DUMMYFUNCTION("""COMPUTED_VALUE"""),759.0)</f>
        <v>759</v>
      </c>
      <c r="D2364" s="3">
        <f>IFERROR(__xludf.DUMMYFUNCTION("""COMPUTED_VALUE"""),79.0)</f>
        <v>79</v>
      </c>
      <c r="E2364" s="1" t="str">
        <f t="array" ref="E2364">_xlfn.XLOOKUP(A2364,Product!A:A,Product!B:B,"Bulunamadı")</f>
        <v>Law</v>
      </c>
      <c r="F2364" s="1" t="str">
        <f t="array" ref="F2364">_xlfn.XLOOKUP(A2364,Product!A:A,Product!C:C,"Bulunamadı")</f>
        <v>Athletics</v>
      </c>
      <c r="G2364" s="2" t="str">
        <f t="array" ref="G2364">_xlfn.XLOOKUP(A2365,Product!A:A,Product!D:D,"Bulunamadı")</f>
        <v>Northway Publishing</v>
      </c>
      <c r="H2364" s="2">
        <f t="array" ref="H2364">_xlfn.XLOOKUP(A2366,Product!A:A,Product!E:E,"Bulunamadı")</f>
        <v>1.67</v>
      </c>
      <c r="I2364" s="2" t="str">
        <f t="shared" si="1"/>
        <v>75072 - Law - Athletics</v>
      </c>
      <c r="J2364" s="2">
        <f t="shared" si="2"/>
        <v>131.93</v>
      </c>
      <c r="K2364" s="17">
        <f t="shared" si="3"/>
        <v>1</v>
      </c>
      <c r="L2364" s="18"/>
    </row>
    <row r="2365" hidden="1">
      <c r="A2365" s="2">
        <f>IFERROR(__xludf.DUMMYFUNCTION("""COMPUTED_VALUE"""),114971.0)</f>
        <v>114971</v>
      </c>
      <c r="B2365" s="2">
        <f>IFERROR(__xludf.DUMMYFUNCTION("""COMPUTED_VALUE"""),0.0)</f>
        <v>0</v>
      </c>
      <c r="C2365" s="2">
        <f>IFERROR(__xludf.DUMMYFUNCTION("""COMPUTED_VALUE"""),259.0)</f>
        <v>259</v>
      </c>
      <c r="D2365" s="3">
        <f>IFERROR(__xludf.DUMMYFUNCTION("""COMPUTED_VALUE"""),145.0)</f>
        <v>145</v>
      </c>
      <c r="E2365" s="1" t="str">
        <f t="array" ref="E2365">_xlfn.XLOOKUP(A2365,Product!A:A,Product!B:B,"Bulunamadı")</f>
        <v>Law</v>
      </c>
      <c r="F2365" s="1" t="str">
        <f t="array" ref="F2365">_xlfn.XLOOKUP(A2365,Product!A:A,Product!C:C,"Bulunamadı")</f>
        <v>Athletics</v>
      </c>
      <c r="G2365" s="2" t="str">
        <f t="array" ref="G2365">_xlfn.XLOOKUP(A2366,Product!A:A,Product!D:D,"Bulunamadı")</f>
        <v>Northway Publishing</v>
      </c>
      <c r="H2365" s="2">
        <f t="array" ref="H2365">_xlfn.XLOOKUP(A2367,Product!A:A,Product!E:E,"Bulunamadı")</f>
        <v>1.91</v>
      </c>
      <c r="I2365" s="2" t="str">
        <f t="shared" si="1"/>
        <v>114971 - Law - Athletics</v>
      </c>
      <c r="J2365" s="2">
        <f t="shared" si="2"/>
        <v>276.95</v>
      </c>
      <c r="K2365" s="17">
        <f t="shared" si="3"/>
        <v>1</v>
      </c>
      <c r="L2365" s="18"/>
    </row>
    <row r="2366" hidden="1">
      <c r="A2366" s="2">
        <f>IFERROR(__xludf.DUMMYFUNCTION("""COMPUTED_VALUE"""),99981.0)</f>
        <v>99981</v>
      </c>
      <c r="B2366" s="2">
        <f>IFERROR(__xludf.DUMMYFUNCTION("""COMPUTED_VALUE"""),0.0)</f>
        <v>0</v>
      </c>
      <c r="C2366" s="2">
        <f>IFERROR(__xludf.DUMMYFUNCTION("""COMPUTED_VALUE"""),417.0)</f>
        <v>417</v>
      </c>
      <c r="D2366" s="3">
        <f>IFERROR(__xludf.DUMMYFUNCTION("""COMPUTED_VALUE"""),376.0)</f>
        <v>376</v>
      </c>
      <c r="E2366" s="1" t="str">
        <f t="array" ref="E2366">_xlfn.XLOOKUP(A2366,Product!A:A,Product!B:B,"Bulunamadı")</f>
        <v>Law</v>
      </c>
      <c r="F2366" s="1" t="str">
        <f t="array" ref="F2366">_xlfn.XLOOKUP(A2366,Product!A:A,Product!C:C,"Bulunamadı")</f>
        <v>Athletics</v>
      </c>
      <c r="G2366" s="2" t="str">
        <f t="array" ref="G2366">_xlfn.XLOOKUP(A2367,Product!A:A,Product!D:D,"Bulunamadı")</f>
        <v>Northway Publishing</v>
      </c>
      <c r="H2366" s="2">
        <f t="array" ref="H2366">_xlfn.XLOOKUP(A2368,Product!A:A,Product!E:E,"Bulunamadı")</f>
        <v>2.35</v>
      </c>
      <c r="I2366" s="2" t="str">
        <f t="shared" si="1"/>
        <v>99981 - Law - Athletics</v>
      </c>
      <c r="J2366" s="2">
        <f t="shared" si="2"/>
        <v>883.6</v>
      </c>
      <c r="K2366" s="17">
        <f t="shared" si="3"/>
        <v>1</v>
      </c>
      <c r="L2366" s="18"/>
    </row>
    <row r="2367" hidden="1">
      <c r="A2367" s="2">
        <f>IFERROR(__xludf.DUMMYFUNCTION("""COMPUTED_VALUE"""),86383.0)</f>
        <v>86383</v>
      </c>
      <c r="B2367" s="2">
        <f>IFERROR(__xludf.DUMMYFUNCTION("""COMPUTED_VALUE"""),0.0)</f>
        <v>0</v>
      </c>
      <c r="C2367" s="2">
        <f>IFERROR(__xludf.DUMMYFUNCTION("""COMPUTED_VALUE"""),514.0)</f>
        <v>514</v>
      </c>
      <c r="D2367" s="3">
        <f>IFERROR(__xludf.DUMMYFUNCTION("""COMPUTED_VALUE"""),432.0)</f>
        <v>432</v>
      </c>
      <c r="E2367" s="1" t="str">
        <f t="array" ref="E2367">_xlfn.XLOOKUP(A2367,Product!A:A,Product!B:B,"Bulunamadı")</f>
        <v>Law</v>
      </c>
      <c r="F2367" s="1" t="str">
        <f t="array" ref="F2367">_xlfn.XLOOKUP(A2367,Product!A:A,Product!C:C,"Bulunamadı")</f>
        <v>Athletics</v>
      </c>
      <c r="G2367" s="2" t="str">
        <f t="array" ref="G2367">_xlfn.XLOOKUP(A2368,Product!A:A,Product!D:D,"Bulunamadı")</f>
        <v>Northway Publishing</v>
      </c>
      <c r="H2367" s="2">
        <f t="array" ref="H2367">_xlfn.XLOOKUP(A2369,Product!A:A,Product!E:E,"Bulunamadı")</f>
        <v>2.21</v>
      </c>
      <c r="I2367" s="2" t="str">
        <f t="shared" si="1"/>
        <v>86383 - Law - Athletics</v>
      </c>
      <c r="J2367" s="2">
        <f t="shared" si="2"/>
        <v>954.72</v>
      </c>
      <c r="K2367" s="17">
        <f t="shared" si="3"/>
        <v>1</v>
      </c>
      <c r="L2367" s="18"/>
    </row>
    <row r="2368" hidden="1">
      <c r="A2368" s="2">
        <f>IFERROR(__xludf.DUMMYFUNCTION("""COMPUTED_VALUE"""),89587.0)</f>
        <v>89587</v>
      </c>
      <c r="B2368" s="2">
        <f>IFERROR(__xludf.DUMMYFUNCTION("""COMPUTED_VALUE"""),1.0)</f>
        <v>1</v>
      </c>
      <c r="C2368" s="2">
        <f>IFERROR(__xludf.DUMMYFUNCTION("""COMPUTED_VALUE"""),26.0)</f>
        <v>26</v>
      </c>
      <c r="D2368" s="3">
        <f>IFERROR(__xludf.DUMMYFUNCTION("""COMPUTED_VALUE"""),8.0)</f>
        <v>8</v>
      </c>
      <c r="E2368" s="1" t="str">
        <f t="array" ref="E2368">_xlfn.XLOOKUP(A2368,Product!A:A,Product!B:B,"Bulunamadı")</f>
        <v>Law</v>
      </c>
      <c r="F2368" s="1" t="str">
        <f t="array" ref="F2368">_xlfn.XLOOKUP(A2368,Product!A:A,Product!C:C,"Bulunamadı")</f>
        <v>Athletics</v>
      </c>
      <c r="G2368" s="2" t="str">
        <f t="array" ref="G2368">_xlfn.XLOOKUP(A2369,Product!A:A,Product!D:D,"Bulunamadı")</f>
        <v>Northway Publishing</v>
      </c>
      <c r="H2368" s="2">
        <f t="array" ref="H2368">_xlfn.XLOOKUP(A2370,Product!A:A,Product!E:E,"Bulunamadı")</f>
        <v>2.06</v>
      </c>
      <c r="I2368" s="2" t="str">
        <f t="shared" si="1"/>
        <v>89587 - Law - Athletics</v>
      </c>
      <c r="J2368" s="2">
        <f t="shared" si="2"/>
        <v>16.48</v>
      </c>
      <c r="K2368" s="17">
        <f t="shared" si="3"/>
        <v>1</v>
      </c>
      <c r="L2368" s="18"/>
    </row>
    <row r="2369" hidden="1">
      <c r="A2369" s="2">
        <f>IFERROR(__xludf.DUMMYFUNCTION("""COMPUTED_VALUE"""),89516.0)</f>
        <v>89516</v>
      </c>
      <c r="B2369" s="2">
        <f>IFERROR(__xludf.DUMMYFUNCTION("""COMPUTED_VALUE"""),1.0)</f>
        <v>1</v>
      </c>
      <c r="C2369" s="2">
        <f>IFERROR(__xludf.DUMMYFUNCTION("""COMPUTED_VALUE"""),316.0)</f>
        <v>316</v>
      </c>
      <c r="D2369" s="3">
        <f>IFERROR(__xludf.DUMMYFUNCTION("""COMPUTED_VALUE"""),162.0)</f>
        <v>162</v>
      </c>
      <c r="E2369" s="1" t="str">
        <f t="array" ref="E2369">_xlfn.XLOOKUP(A2369,Product!A:A,Product!B:B,"Bulunamadı")</f>
        <v>Law</v>
      </c>
      <c r="F2369" s="1" t="str">
        <f t="array" ref="F2369">_xlfn.XLOOKUP(A2369,Product!A:A,Product!C:C,"Bulunamadı")</f>
        <v>Athletics</v>
      </c>
      <c r="G2369" s="2" t="str">
        <f t="array" ref="G2369">_xlfn.XLOOKUP(A2370,Product!A:A,Product!D:D,"Bulunamadı")</f>
        <v>Northway Publishing</v>
      </c>
      <c r="H2369" s="2">
        <f t="array" ref="H2369">_xlfn.XLOOKUP(A2371,Product!A:A,Product!E:E,"Bulunamadı")</f>
        <v>1.96</v>
      </c>
      <c r="I2369" s="2" t="str">
        <f t="shared" si="1"/>
        <v>89516 - Law - Athletics</v>
      </c>
      <c r="J2369" s="2">
        <f t="shared" si="2"/>
        <v>317.52</v>
      </c>
      <c r="K2369" s="17">
        <f t="shared" si="3"/>
        <v>1</v>
      </c>
      <c r="L2369" s="18"/>
    </row>
    <row r="2370" hidden="1">
      <c r="A2370" s="2">
        <f>IFERROR(__xludf.DUMMYFUNCTION("""COMPUTED_VALUE"""),89519.0)</f>
        <v>89519</v>
      </c>
      <c r="B2370" s="2">
        <f>IFERROR(__xludf.DUMMYFUNCTION("""COMPUTED_VALUE"""),1.0)</f>
        <v>1</v>
      </c>
      <c r="C2370" s="2">
        <f>IFERROR(__xludf.DUMMYFUNCTION("""COMPUTED_VALUE"""),225.0)</f>
        <v>225</v>
      </c>
      <c r="D2370" s="3">
        <f>IFERROR(__xludf.DUMMYFUNCTION("""COMPUTED_VALUE"""),120.0)</f>
        <v>120</v>
      </c>
      <c r="E2370" s="1" t="str">
        <f t="array" ref="E2370">_xlfn.XLOOKUP(A2370,Product!A:A,Product!B:B,"Bulunamadı")</f>
        <v>Law</v>
      </c>
      <c r="F2370" s="1" t="str">
        <f t="array" ref="F2370">_xlfn.XLOOKUP(A2370,Product!A:A,Product!C:C,"Bulunamadı")</f>
        <v>Athletics</v>
      </c>
      <c r="G2370" s="2" t="str">
        <f t="array" ref="G2370">_xlfn.XLOOKUP(A2371,Product!A:A,Product!D:D,"Bulunamadı")</f>
        <v>Northway Publishing</v>
      </c>
      <c r="H2370" s="2">
        <f t="array" ref="H2370">_xlfn.XLOOKUP(A2372,Product!A:A,Product!E:E,"Bulunamadı")</f>
        <v>1.03</v>
      </c>
      <c r="I2370" s="2" t="str">
        <f t="shared" si="1"/>
        <v>89519 - Law - Athletics</v>
      </c>
      <c r="J2370" s="2">
        <f t="shared" si="2"/>
        <v>123.6</v>
      </c>
      <c r="K2370" s="17">
        <f t="shared" si="3"/>
        <v>1</v>
      </c>
      <c r="L2370" s="18"/>
    </row>
    <row r="2371" hidden="1">
      <c r="A2371" s="2">
        <f>IFERROR(__xludf.DUMMYFUNCTION("""COMPUTED_VALUE"""),75060.0)</f>
        <v>75060</v>
      </c>
      <c r="B2371" s="2">
        <f>IFERROR(__xludf.DUMMYFUNCTION("""COMPUTED_VALUE"""),1.0)</f>
        <v>1</v>
      </c>
      <c r="C2371" s="2">
        <f>IFERROR(__xludf.DUMMYFUNCTION("""COMPUTED_VALUE"""),46.0)</f>
        <v>46</v>
      </c>
      <c r="D2371" s="3">
        <f>IFERROR(__xludf.DUMMYFUNCTION("""COMPUTED_VALUE"""),14.0)</f>
        <v>14</v>
      </c>
      <c r="E2371" s="1" t="str">
        <f t="array" ref="E2371">_xlfn.XLOOKUP(A2371,Product!A:A,Product!B:B,"Bulunamadı")</f>
        <v>Law</v>
      </c>
      <c r="F2371" s="1" t="str">
        <f t="array" ref="F2371">_xlfn.XLOOKUP(A2371,Product!A:A,Product!C:C,"Bulunamadı")</f>
        <v>Athletics</v>
      </c>
      <c r="G2371" s="2" t="str">
        <f t="array" ref="G2371">_xlfn.XLOOKUP(A2372,Product!A:A,Product!D:D,"Bulunamadı")</f>
        <v>Northway Publishing</v>
      </c>
      <c r="H2371" s="2">
        <f t="array" ref="H2371">_xlfn.XLOOKUP(A2373,Product!A:A,Product!E:E,"Bulunamadı")</f>
        <v>3.77</v>
      </c>
      <c r="I2371" s="2" t="str">
        <f t="shared" si="1"/>
        <v>75060 - Law - Athletics</v>
      </c>
      <c r="J2371" s="2">
        <f t="shared" si="2"/>
        <v>52.78</v>
      </c>
      <c r="K2371" s="17">
        <f t="shared" si="3"/>
        <v>1</v>
      </c>
      <c r="L2371" s="18"/>
    </row>
    <row r="2372" hidden="1">
      <c r="A2372" s="2">
        <f>IFERROR(__xludf.DUMMYFUNCTION("""COMPUTED_VALUE"""),111745.0)</f>
        <v>111745</v>
      </c>
      <c r="B2372" s="2">
        <f>IFERROR(__xludf.DUMMYFUNCTION("""COMPUTED_VALUE"""),0.0)</f>
        <v>0</v>
      </c>
      <c r="C2372" s="2">
        <f>IFERROR(__xludf.DUMMYFUNCTION("""COMPUTED_VALUE"""),676.0)</f>
        <v>676</v>
      </c>
      <c r="D2372" s="3">
        <f>IFERROR(__xludf.DUMMYFUNCTION("""COMPUTED_VALUE"""),16.0)</f>
        <v>16</v>
      </c>
      <c r="E2372" s="1" t="str">
        <f t="array" ref="E2372">_xlfn.XLOOKUP(A2372,Product!A:A,Product!B:B,"Bulunamadı")</f>
        <v>Law</v>
      </c>
      <c r="F2372" s="1" t="str">
        <f t="array" ref="F2372">_xlfn.XLOOKUP(A2372,Product!A:A,Product!C:C,"Bulunamadı")</f>
        <v>Athletics</v>
      </c>
      <c r="G2372" s="2" t="str">
        <f t="array" ref="G2372">_xlfn.XLOOKUP(A2373,Product!A:A,Product!D:D,"Bulunamadı")</f>
        <v>Northway Publishing</v>
      </c>
      <c r="H2372" s="2">
        <f t="array" ref="H2372">_xlfn.XLOOKUP(A2374,Product!A:A,Product!E:E,"Bulunamadı")</f>
        <v>1.96</v>
      </c>
      <c r="I2372" s="2" t="str">
        <f t="shared" si="1"/>
        <v>111745 - Law - Athletics</v>
      </c>
      <c r="J2372" s="2">
        <f t="shared" si="2"/>
        <v>31.36</v>
      </c>
      <c r="K2372" s="17">
        <f t="shared" si="3"/>
        <v>1</v>
      </c>
      <c r="L2372" s="18"/>
    </row>
    <row r="2373" hidden="1">
      <c r="A2373" s="2">
        <f>IFERROR(__xludf.DUMMYFUNCTION("""COMPUTED_VALUE"""),70242.0)</f>
        <v>70242</v>
      </c>
      <c r="B2373" s="2">
        <f>IFERROR(__xludf.DUMMYFUNCTION("""COMPUTED_VALUE"""),1.0)</f>
        <v>1</v>
      </c>
      <c r="C2373" s="2">
        <f>IFERROR(__xludf.DUMMYFUNCTION("""COMPUTED_VALUE"""),309.0)</f>
        <v>309</v>
      </c>
      <c r="D2373" s="3">
        <f>IFERROR(__xludf.DUMMYFUNCTION("""COMPUTED_VALUE"""),200.0)</f>
        <v>200</v>
      </c>
      <c r="E2373" s="1" t="str">
        <f t="array" ref="E2373">_xlfn.XLOOKUP(A2373,Product!A:A,Product!B:B,"Bulunamadı")</f>
        <v>Law</v>
      </c>
      <c r="F2373" s="1" t="str">
        <f t="array" ref="F2373">_xlfn.XLOOKUP(A2373,Product!A:A,Product!C:C,"Bulunamadı")</f>
        <v>Athletics</v>
      </c>
      <c r="G2373" s="2" t="str">
        <f t="array" ref="G2373">_xlfn.XLOOKUP(A2374,Product!A:A,Product!D:D,"Bulunamadı")</f>
        <v>Northway Publishing</v>
      </c>
      <c r="H2373" s="2">
        <f t="array" ref="H2373">_xlfn.XLOOKUP(A2375,Product!A:A,Product!E:E,"Bulunamadı")</f>
        <v>3.33</v>
      </c>
      <c r="I2373" s="2" t="str">
        <f t="shared" si="1"/>
        <v>70242 - Law - Athletics</v>
      </c>
      <c r="J2373" s="2">
        <f t="shared" si="2"/>
        <v>666</v>
      </c>
      <c r="K2373" s="17">
        <f t="shared" si="3"/>
        <v>1</v>
      </c>
      <c r="L2373" s="18"/>
    </row>
    <row r="2374" hidden="1">
      <c r="A2374" s="2">
        <f>IFERROR(__xludf.DUMMYFUNCTION("""COMPUTED_VALUE"""),75061.0)</f>
        <v>75061</v>
      </c>
      <c r="B2374" s="2">
        <f>IFERROR(__xludf.DUMMYFUNCTION("""COMPUTED_VALUE"""),1.0)</f>
        <v>1</v>
      </c>
      <c r="C2374" s="2">
        <f>IFERROR(__xludf.DUMMYFUNCTION("""COMPUTED_VALUE"""),109.0)</f>
        <v>109</v>
      </c>
      <c r="D2374" s="3">
        <f>IFERROR(__xludf.DUMMYFUNCTION("""COMPUTED_VALUE"""),74.0)</f>
        <v>74</v>
      </c>
      <c r="E2374" s="1" t="str">
        <f t="array" ref="E2374">_xlfn.XLOOKUP(A2374,Product!A:A,Product!B:B,"Bulunamadı")</f>
        <v>Law</v>
      </c>
      <c r="F2374" s="1" t="str">
        <f t="array" ref="F2374">_xlfn.XLOOKUP(A2374,Product!A:A,Product!C:C,"Bulunamadı")</f>
        <v>Athletics</v>
      </c>
      <c r="G2374" s="2" t="str">
        <f t="array" ref="G2374">_xlfn.XLOOKUP(A2375,Product!A:A,Product!D:D,"Bulunamadı")</f>
        <v>Northway Publishing</v>
      </c>
      <c r="H2374" s="2">
        <f t="array" ref="H2374">_xlfn.XLOOKUP(A2376,Product!A:A,Product!E:E,"Bulunamadı")</f>
        <v>2.47</v>
      </c>
      <c r="I2374" s="2" t="str">
        <f t="shared" si="1"/>
        <v>75061 - Law - Athletics</v>
      </c>
      <c r="J2374" s="2">
        <f t="shared" si="2"/>
        <v>182.78</v>
      </c>
      <c r="K2374" s="17">
        <f t="shared" si="3"/>
        <v>1</v>
      </c>
      <c r="L2374" s="18"/>
    </row>
    <row r="2375" hidden="1">
      <c r="A2375" s="2">
        <f>IFERROR(__xludf.DUMMYFUNCTION("""COMPUTED_VALUE"""),69467.0)</f>
        <v>69467</v>
      </c>
      <c r="B2375" s="2">
        <f>IFERROR(__xludf.DUMMYFUNCTION("""COMPUTED_VALUE"""),0.0)</f>
        <v>0</v>
      </c>
      <c r="C2375" s="2">
        <f>IFERROR(__xludf.DUMMYFUNCTION("""COMPUTED_VALUE"""),712.0)</f>
        <v>712</v>
      </c>
      <c r="D2375" s="3">
        <f>IFERROR(__xludf.DUMMYFUNCTION("""COMPUTED_VALUE"""),502.0)</f>
        <v>502</v>
      </c>
      <c r="E2375" s="1" t="str">
        <f t="array" ref="E2375">_xlfn.XLOOKUP(A2375,Product!A:A,Product!B:B,"Bulunamadı")</f>
        <v>Law</v>
      </c>
      <c r="F2375" s="1" t="str">
        <f t="array" ref="F2375">_xlfn.XLOOKUP(A2375,Product!A:A,Product!C:C,"Bulunamadı")</f>
        <v>Athletics</v>
      </c>
      <c r="G2375" s="2" t="str">
        <f t="array" ref="G2375">_xlfn.XLOOKUP(A2376,Product!A:A,Product!D:D,"Bulunamadı")</f>
        <v>Northway Publishing</v>
      </c>
      <c r="H2375" s="2">
        <f t="array" ref="H2375">_xlfn.XLOOKUP(A2377,Product!A:A,Product!E:E,"Bulunamadı")</f>
        <v>2</v>
      </c>
      <c r="I2375" s="2" t="str">
        <f t="shared" si="1"/>
        <v>69467 - Law - Athletics</v>
      </c>
      <c r="J2375" s="2">
        <f t="shared" si="2"/>
        <v>1004</v>
      </c>
      <c r="K2375" s="17">
        <f t="shared" si="3"/>
        <v>1</v>
      </c>
      <c r="L2375" s="18"/>
    </row>
    <row r="2376" hidden="1">
      <c r="A2376" s="2">
        <f>IFERROR(__xludf.DUMMYFUNCTION("""COMPUTED_VALUE"""),121800.0)</f>
        <v>121800</v>
      </c>
      <c r="B2376" s="2">
        <f>IFERROR(__xludf.DUMMYFUNCTION("""COMPUTED_VALUE"""),1.0)</f>
        <v>1</v>
      </c>
      <c r="C2376" s="2">
        <f>IFERROR(__xludf.DUMMYFUNCTION("""COMPUTED_VALUE"""),932.0)</f>
        <v>932</v>
      </c>
      <c r="D2376" s="3">
        <f>IFERROR(__xludf.DUMMYFUNCTION("""COMPUTED_VALUE"""),560.0)</f>
        <v>560</v>
      </c>
      <c r="E2376" s="1" t="str">
        <f t="array" ref="E2376">_xlfn.XLOOKUP(A2376,Product!A:A,Product!B:B,"Bulunamadı")</f>
        <v>Law</v>
      </c>
      <c r="F2376" s="1" t="str">
        <f t="array" ref="F2376">_xlfn.XLOOKUP(A2376,Product!A:A,Product!C:C,"Bulunamadı")</f>
        <v>Athletics</v>
      </c>
      <c r="G2376" s="2" t="str">
        <f t="array" ref="G2376">_xlfn.XLOOKUP(A2377,Product!A:A,Product!D:D,"Bulunamadı")</f>
        <v>Northway Publishing</v>
      </c>
      <c r="H2376" s="2">
        <f t="array" ref="H2376">_xlfn.XLOOKUP(A2378,Product!A:A,Product!E:E,"Bulunamadı")</f>
        <v>2.21</v>
      </c>
      <c r="I2376" s="2" t="str">
        <f t="shared" si="1"/>
        <v>121800 - Law - Athletics</v>
      </c>
      <c r="J2376" s="2">
        <f t="shared" si="2"/>
        <v>1237.6</v>
      </c>
      <c r="K2376" s="17">
        <f t="shared" si="3"/>
        <v>1</v>
      </c>
      <c r="L2376" s="18"/>
    </row>
    <row r="2377" hidden="1">
      <c r="A2377" s="2">
        <f>IFERROR(__xludf.DUMMYFUNCTION("""COMPUTED_VALUE"""),110974.0)</f>
        <v>110974</v>
      </c>
      <c r="B2377" s="2">
        <f>IFERROR(__xludf.DUMMYFUNCTION("""COMPUTED_VALUE"""),0.0)</f>
        <v>0</v>
      </c>
      <c r="C2377" s="2">
        <f>IFERROR(__xludf.DUMMYFUNCTION("""COMPUTED_VALUE"""),41.0)</f>
        <v>41</v>
      </c>
      <c r="D2377" s="3">
        <f>IFERROR(__xludf.DUMMYFUNCTION("""COMPUTED_VALUE"""),14.0)</f>
        <v>14</v>
      </c>
      <c r="E2377" s="1" t="str">
        <f t="array" ref="E2377">_xlfn.XLOOKUP(A2377,Product!A:A,Product!B:B,"Bulunamadı")</f>
        <v>Law</v>
      </c>
      <c r="F2377" s="1" t="str">
        <f t="array" ref="F2377">_xlfn.XLOOKUP(A2377,Product!A:A,Product!C:C,"Bulunamadı")</f>
        <v>Athletics</v>
      </c>
      <c r="G2377" s="2" t="str">
        <f t="array" ref="G2377">_xlfn.XLOOKUP(A2378,Product!A:A,Product!D:D,"Bulunamadı")</f>
        <v>Northway Publishing</v>
      </c>
      <c r="H2377" s="2">
        <f t="array" ref="H2377">_xlfn.XLOOKUP(A2379,Product!A:A,Product!E:E,"Bulunamadı")</f>
        <v>1.55</v>
      </c>
      <c r="I2377" s="2" t="str">
        <f t="shared" si="1"/>
        <v>110974 - Law - Athletics</v>
      </c>
      <c r="J2377" s="2">
        <f t="shared" si="2"/>
        <v>21.7</v>
      </c>
      <c r="K2377" s="17">
        <f t="shared" si="3"/>
        <v>1</v>
      </c>
      <c r="L2377" s="18"/>
    </row>
    <row r="2378" hidden="1">
      <c r="A2378" s="2">
        <f>IFERROR(__xludf.DUMMYFUNCTION("""COMPUTED_VALUE"""),114969.0)</f>
        <v>114969</v>
      </c>
      <c r="B2378" s="2">
        <f>IFERROR(__xludf.DUMMYFUNCTION("""COMPUTED_VALUE"""),0.0)</f>
        <v>0</v>
      </c>
      <c r="C2378" s="2">
        <f>IFERROR(__xludf.DUMMYFUNCTION("""COMPUTED_VALUE"""),795.0)</f>
        <v>795</v>
      </c>
      <c r="D2378" s="3">
        <f>IFERROR(__xludf.DUMMYFUNCTION("""COMPUTED_VALUE"""),586.0)</f>
        <v>586</v>
      </c>
      <c r="E2378" s="1" t="str">
        <f t="array" ref="E2378">_xlfn.XLOOKUP(A2378,Product!A:A,Product!B:B,"Bulunamadı")</f>
        <v>Law</v>
      </c>
      <c r="F2378" s="1" t="str">
        <f t="array" ref="F2378">_xlfn.XLOOKUP(A2378,Product!A:A,Product!C:C,"Bulunamadı")</f>
        <v>Athletics</v>
      </c>
      <c r="G2378" s="2" t="str">
        <f t="array" ref="G2378">_xlfn.XLOOKUP(A2379,Product!A:A,Product!D:D,"Bulunamadı")</f>
        <v>Northway Publishing</v>
      </c>
      <c r="H2378" s="2">
        <f t="array" ref="H2378">_xlfn.XLOOKUP(A2380,Product!A:A,Product!E:E,"Bulunamadı")</f>
        <v>1.75</v>
      </c>
      <c r="I2378" s="2" t="str">
        <f t="shared" si="1"/>
        <v>114969 - Law - Athletics</v>
      </c>
      <c r="J2378" s="2">
        <f t="shared" si="2"/>
        <v>1025.5</v>
      </c>
      <c r="K2378" s="17">
        <f t="shared" si="3"/>
        <v>1</v>
      </c>
      <c r="L2378" s="18"/>
    </row>
    <row r="2379" hidden="1">
      <c r="A2379" s="2">
        <f>IFERROR(__xludf.DUMMYFUNCTION("""COMPUTED_VALUE"""),111041.0)</f>
        <v>111041</v>
      </c>
      <c r="B2379" s="2">
        <f>IFERROR(__xludf.DUMMYFUNCTION("""COMPUTED_VALUE"""),1.0)</f>
        <v>1</v>
      </c>
      <c r="C2379" s="2">
        <f>IFERROR(__xludf.DUMMYFUNCTION("""COMPUTED_VALUE"""),949.0)</f>
        <v>949</v>
      </c>
      <c r="D2379" s="3">
        <f>IFERROR(__xludf.DUMMYFUNCTION("""COMPUTED_VALUE"""),478.0)</f>
        <v>478</v>
      </c>
      <c r="E2379" s="1" t="str">
        <f t="array" ref="E2379">_xlfn.XLOOKUP(A2379,Product!A:A,Product!B:B,"Bulunamadı")</f>
        <v>Law</v>
      </c>
      <c r="F2379" s="1" t="str">
        <f t="array" ref="F2379">_xlfn.XLOOKUP(A2379,Product!A:A,Product!C:C,"Bulunamadı")</f>
        <v>Athletics</v>
      </c>
      <c r="G2379" s="2" t="str">
        <f t="array" ref="G2379">_xlfn.XLOOKUP(A2380,Product!A:A,Product!D:D,"Bulunamadı")</f>
        <v>Northway Publishing</v>
      </c>
      <c r="H2379" s="2">
        <f t="array" ref="H2379">_xlfn.XLOOKUP(A2381,Product!A:A,Product!E:E,"Bulunamadı")</f>
        <v>2.66</v>
      </c>
      <c r="I2379" s="2" t="str">
        <f t="shared" si="1"/>
        <v>111041 - Law - Athletics</v>
      </c>
      <c r="J2379" s="2">
        <f t="shared" si="2"/>
        <v>1271.48</v>
      </c>
      <c r="K2379" s="17">
        <f t="shared" si="3"/>
        <v>1</v>
      </c>
      <c r="L2379" s="18"/>
    </row>
    <row r="2380" hidden="1">
      <c r="A2380" s="2">
        <f>IFERROR(__xludf.DUMMYFUNCTION("""COMPUTED_VALUE"""),82382.0)</f>
        <v>82382</v>
      </c>
      <c r="B2380" s="2">
        <f>IFERROR(__xludf.DUMMYFUNCTION("""COMPUTED_VALUE"""),1.0)</f>
        <v>1</v>
      </c>
      <c r="C2380" s="2">
        <f>IFERROR(__xludf.DUMMYFUNCTION("""COMPUTED_VALUE"""),361.0)</f>
        <v>361</v>
      </c>
      <c r="D2380" s="3">
        <f>IFERROR(__xludf.DUMMYFUNCTION("""COMPUTED_VALUE"""),139.0)</f>
        <v>139</v>
      </c>
      <c r="E2380" s="1" t="str">
        <f t="array" ref="E2380">_xlfn.XLOOKUP(A2380,Product!A:A,Product!B:B,"Bulunamadı")</f>
        <v>Law</v>
      </c>
      <c r="F2380" s="1" t="str">
        <f t="array" ref="F2380">_xlfn.XLOOKUP(A2380,Product!A:A,Product!C:C,"Bulunamadı")</f>
        <v>Athletics</v>
      </c>
      <c r="G2380" s="2" t="str">
        <f t="array" ref="G2380">_xlfn.XLOOKUP(A2381,Product!A:A,Product!D:D,"Bulunamadı")</f>
        <v>Northway Publishing</v>
      </c>
      <c r="H2380" s="2">
        <f t="array" ref="H2380">_xlfn.XLOOKUP(A2382,Product!A:A,Product!E:E,"Bulunamadı")</f>
        <v>1.74</v>
      </c>
      <c r="I2380" s="2" t="str">
        <f t="shared" si="1"/>
        <v>82382 - Law - Athletics</v>
      </c>
      <c r="J2380" s="2">
        <f t="shared" si="2"/>
        <v>241.86</v>
      </c>
      <c r="K2380" s="17">
        <f t="shared" si="3"/>
        <v>1</v>
      </c>
      <c r="L2380" s="18"/>
    </row>
    <row r="2381" hidden="1">
      <c r="A2381" s="2">
        <f>IFERROR(__xludf.DUMMYFUNCTION("""COMPUTED_VALUE"""),89634.0)</f>
        <v>89634</v>
      </c>
      <c r="B2381" s="2">
        <f>IFERROR(__xludf.DUMMYFUNCTION("""COMPUTED_VALUE"""),1.0)</f>
        <v>1</v>
      </c>
      <c r="C2381" s="2">
        <f>IFERROR(__xludf.DUMMYFUNCTION("""COMPUTED_VALUE"""),796.0)</f>
        <v>796</v>
      </c>
      <c r="D2381" s="3">
        <f>IFERROR(__xludf.DUMMYFUNCTION("""COMPUTED_VALUE"""),422.0)</f>
        <v>422</v>
      </c>
      <c r="E2381" s="1" t="str">
        <f t="array" ref="E2381">_xlfn.XLOOKUP(A2381,Product!A:A,Product!B:B,"Bulunamadı")</f>
        <v>Law</v>
      </c>
      <c r="F2381" s="1" t="str">
        <f t="array" ref="F2381">_xlfn.XLOOKUP(A2381,Product!A:A,Product!C:C,"Bulunamadı")</f>
        <v>Athletics</v>
      </c>
      <c r="G2381" s="2" t="str">
        <f t="array" ref="G2381">_xlfn.XLOOKUP(A2382,Product!A:A,Product!D:D,"Bulunamadı")</f>
        <v>Northway Publishing</v>
      </c>
      <c r="H2381" s="2">
        <f t="array" ref="H2381">_xlfn.XLOOKUP(A2383,Product!A:A,Product!E:E,"Bulunamadı")</f>
        <v>2.28</v>
      </c>
      <c r="I2381" s="2" t="str">
        <f t="shared" si="1"/>
        <v>89634 - Law - Athletics</v>
      </c>
      <c r="J2381" s="2">
        <f t="shared" si="2"/>
        <v>962.16</v>
      </c>
      <c r="K2381" s="17">
        <f t="shared" si="3"/>
        <v>1</v>
      </c>
      <c r="L2381" s="18"/>
    </row>
    <row r="2382" hidden="1">
      <c r="A2382" s="2">
        <f>IFERROR(__xludf.DUMMYFUNCTION("""COMPUTED_VALUE"""),82381.0)</f>
        <v>82381</v>
      </c>
      <c r="B2382" s="2">
        <f>IFERROR(__xludf.DUMMYFUNCTION("""COMPUTED_VALUE"""),1.0)</f>
        <v>1</v>
      </c>
      <c r="C2382" s="2">
        <f>IFERROR(__xludf.DUMMYFUNCTION("""COMPUTED_VALUE"""),295.0)</f>
        <v>295</v>
      </c>
      <c r="D2382" s="3">
        <f>IFERROR(__xludf.DUMMYFUNCTION("""COMPUTED_VALUE"""),138.0)</f>
        <v>138</v>
      </c>
      <c r="E2382" s="1" t="str">
        <f t="array" ref="E2382">_xlfn.XLOOKUP(A2382,Product!A:A,Product!B:B,"Bulunamadı")</f>
        <v>Law</v>
      </c>
      <c r="F2382" s="1" t="str">
        <f t="array" ref="F2382">_xlfn.XLOOKUP(A2382,Product!A:A,Product!C:C,"Bulunamadı")</f>
        <v>Athletics</v>
      </c>
      <c r="G2382" s="2" t="str">
        <f t="array" ref="G2382">_xlfn.XLOOKUP(A2383,Product!A:A,Product!D:D,"Bulunamadı")</f>
        <v>Northway Publishing</v>
      </c>
      <c r="H2382" s="2">
        <f t="array" ref="H2382">_xlfn.XLOOKUP(A2384,Product!A:A,Product!E:E,"Bulunamadı")</f>
        <v>1.82</v>
      </c>
      <c r="I2382" s="2" t="str">
        <f t="shared" si="1"/>
        <v>82381 - Law - Athletics</v>
      </c>
      <c r="J2382" s="2">
        <f t="shared" si="2"/>
        <v>251.16</v>
      </c>
      <c r="K2382" s="17">
        <f t="shared" si="3"/>
        <v>1</v>
      </c>
      <c r="L2382" s="18"/>
    </row>
    <row r="2383" hidden="1">
      <c r="A2383" s="2">
        <f>IFERROR(__xludf.DUMMYFUNCTION("""COMPUTED_VALUE"""),107232.0)</f>
        <v>107232</v>
      </c>
      <c r="B2383" s="2">
        <f>IFERROR(__xludf.DUMMYFUNCTION("""COMPUTED_VALUE"""),0.0)</f>
        <v>0</v>
      </c>
      <c r="C2383" s="2">
        <f>IFERROR(__xludf.DUMMYFUNCTION("""COMPUTED_VALUE"""),592.0)</f>
        <v>592</v>
      </c>
      <c r="D2383" s="3">
        <f>IFERROR(__xludf.DUMMYFUNCTION("""COMPUTED_VALUE"""),63.0)</f>
        <v>63</v>
      </c>
      <c r="E2383" s="1" t="str">
        <f t="array" ref="E2383">_xlfn.XLOOKUP(A2383,Product!A:A,Product!B:B,"Bulunamadı")</f>
        <v>Law</v>
      </c>
      <c r="F2383" s="1" t="str">
        <f t="array" ref="F2383">_xlfn.XLOOKUP(A2383,Product!A:A,Product!C:C,"Bulunamadı")</f>
        <v>Athletics</v>
      </c>
      <c r="G2383" s="2" t="str">
        <f t="array" ref="G2383">_xlfn.XLOOKUP(A2384,Product!A:A,Product!D:D,"Bulunamadı")</f>
        <v>Northway Publishing</v>
      </c>
      <c r="H2383" s="2">
        <f t="array" ref="H2383">_xlfn.XLOOKUP(A2385,Product!A:A,Product!E:E,"Bulunamadı")</f>
        <v>2.03</v>
      </c>
      <c r="I2383" s="2" t="str">
        <f t="shared" si="1"/>
        <v>107232 - Law - Athletics</v>
      </c>
      <c r="J2383" s="2">
        <f t="shared" si="2"/>
        <v>127.89</v>
      </c>
      <c r="K2383" s="17">
        <f t="shared" si="3"/>
        <v>1</v>
      </c>
      <c r="L2383" s="18"/>
    </row>
    <row r="2384" hidden="1">
      <c r="A2384" s="2">
        <f>IFERROR(__xludf.DUMMYFUNCTION("""COMPUTED_VALUE"""),70247.0)</f>
        <v>70247</v>
      </c>
      <c r="B2384" s="2">
        <f>IFERROR(__xludf.DUMMYFUNCTION("""COMPUTED_VALUE"""),0.0)</f>
        <v>0</v>
      </c>
      <c r="C2384" s="2">
        <f>IFERROR(__xludf.DUMMYFUNCTION("""COMPUTED_VALUE"""),378.0)</f>
        <v>378</v>
      </c>
      <c r="D2384" s="3">
        <f>IFERROR(__xludf.DUMMYFUNCTION("""COMPUTED_VALUE"""),127.0)</f>
        <v>127</v>
      </c>
      <c r="E2384" s="1" t="str">
        <f t="array" ref="E2384">_xlfn.XLOOKUP(A2384,Product!A:A,Product!B:B,"Bulunamadı")</f>
        <v>Law</v>
      </c>
      <c r="F2384" s="1" t="str">
        <f t="array" ref="F2384">_xlfn.XLOOKUP(A2384,Product!A:A,Product!C:C,"Bulunamadı")</f>
        <v>Athletics</v>
      </c>
      <c r="G2384" s="2" t="str">
        <f t="array" ref="G2384">_xlfn.XLOOKUP(A2385,Product!A:A,Product!D:D,"Bulunamadı")</f>
        <v>Northway Publishing</v>
      </c>
      <c r="H2384" s="2">
        <f t="array" ref="H2384">_xlfn.XLOOKUP(A2386,Product!A:A,Product!E:E,"Bulunamadı")</f>
        <v>1.31</v>
      </c>
      <c r="I2384" s="2" t="str">
        <f t="shared" si="1"/>
        <v>70247 - Law - Athletics</v>
      </c>
      <c r="J2384" s="2">
        <f t="shared" si="2"/>
        <v>166.37</v>
      </c>
      <c r="K2384" s="17">
        <f t="shared" si="3"/>
        <v>1</v>
      </c>
      <c r="L2384" s="18"/>
    </row>
    <row r="2385" hidden="1">
      <c r="A2385" s="2">
        <f>IFERROR(__xludf.DUMMYFUNCTION("""COMPUTED_VALUE"""),107253.0)</f>
        <v>107253</v>
      </c>
      <c r="B2385" s="2">
        <f>IFERROR(__xludf.DUMMYFUNCTION("""COMPUTED_VALUE"""),1.0)</f>
        <v>1</v>
      </c>
      <c r="C2385" s="2">
        <f>IFERROR(__xludf.DUMMYFUNCTION("""COMPUTED_VALUE"""),72.0)</f>
        <v>72</v>
      </c>
      <c r="D2385" s="3">
        <f>IFERROR(__xludf.DUMMYFUNCTION("""COMPUTED_VALUE"""),56.0)</f>
        <v>56</v>
      </c>
      <c r="E2385" s="1" t="str">
        <f t="array" ref="E2385">_xlfn.XLOOKUP(A2385,Product!A:A,Product!B:B,"Bulunamadı")</f>
        <v>Law</v>
      </c>
      <c r="F2385" s="1" t="str">
        <f t="array" ref="F2385">_xlfn.XLOOKUP(A2385,Product!A:A,Product!C:C,"Bulunamadı")</f>
        <v>Athletics</v>
      </c>
      <c r="G2385" s="2" t="str">
        <f t="array" ref="G2385">_xlfn.XLOOKUP(A2386,Product!A:A,Product!D:D,"Bulunamadı")</f>
        <v>Northway Publishing</v>
      </c>
      <c r="H2385" s="2">
        <f t="array" ref="H2385">_xlfn.XLOOKUP(A2387,Product!A:A,Product!E:E,"Bulunamadı")</f>
        <v>2.32</v>
      </c>
      <c r="I2385" s="2" t="str">
        <f t="shared" si="1"/>
        <v>107253 - Law - Athletics</v>
      </c>
      <c r="J2385" s="2">
        <f t="shared" si="2"/>
        <v>129.92</v>
      </c>
      <c r="K2385" s="17">
        <f t="shared" si="3"/>
        <v>1</v>
      </c>
      <c r="L2385" s="18"/>
    </row>
    <row r="2386" hidden="1">
      <c r="A2386" s="2">
        <f>IFERROR(__xludf.DUMMYFUNCTION("""COMPUTED_VALUE"""),102709.0)</f>
        <v>102709</v>
      </c>
      <c r="B2386" s="2">
        <f>IFERROR(__xludf.DUMMYFUNCTION("""COMPUTED_VALUE"""),0.0)</f>
        <v>0</v>
      </c>
      <c r="C2386" s="2">
        <f>IFERROR(__xludf.DUMMYFUNCTION("""COMPUTED_VALUE"""),851.0)</f>
        <v>851</v>
      </c>
      <c r="D2386" s="3">
        <f>IFERROR(__xludf.DUMMYFUNCTION("""COMPUTED_VALUE"""),805.0)</f>
        <v>805</v>
      </c>
      <c r="E2386" s="1" t="str">
        <f t="array" ref="E2386">_xlfn.XLOOKUP(A2386,Product!A:A,Product!B:B,"Bulunamadı")</f>
        <v>Law</v>
      </c>
      <c r="F2386" s="1" t="str">
        <f t="array" ref="F2386">_xlfn.XLOOKUP(A2386,Product!A:A,Product!C:C,"Bulunamadı")</f>
        <v>Athletics</v>
      </c>
      <c r="G2386" s="2" t="str">
        <f t="array" ref="G2386">_xlfn.XLOOKUP(A2387,Product!A:A,Product!D:D,"Bulunamadı")</f>
        <v>Northway Publishing</v>
      </c>
      <c r="H2386" s="2">
        <f t="array" ref="H2386">_xlfn.XLOOKUP(A2388,Product!A:A,Product!E:E,"Bulunamadı")</f>
        <v>1.75</v>
      </c>
      <c r="I2386" s="2" t="str">
        <f t="shared" si="1"/>
        <v>102709 - Law - Athletics</v>
      </c>
      <c r="J2386" s="2">
        <f t="shared" si="2"/>
        <v>1408.75</v>
      </c>
      <c r="K2386" s="17">
        <f t="shared" si="3"/>
        <v>1</v>
      </c>
      <c r="L2386" s="18"/>
    </row>
    <row r="2387" hidden="1">
      <c r="A2387" s="2">
        <f>IFERROR(__xludf.DUMMYFUNCTION("""COMPUTED_VALUE"""),75050.0)</f>
        <v>75050</v>
      </c>
      <c r="B2387" s="2">
        <f>IFERROR(__xludf.DUMMYFUNCTION("""COMPUTED_VALUE"""),0.0)</f>
        <v>0</v>
      </c>
      <c r="C2387" s="2">
        <f>IFERROR(__xludf.DUMMYFUNCTION("""COMPUTED_VALUE"""),43.0)</f>
        <v>43</v>
      </c>
      <c r="D2387" s="3">
        <f>IFERROR(__xludf.DUMMYFUNCTION("""COMPUTED_VALUE"""),29.0)</f>
        <v>29</v>
      </c>
      <c r="E2387" s="1" t="str">
        <f t="array" ref="E2387">_xlfn.XLOOKUP(A2387,Product!A:A,Product!B:B,"Bulunamadı")</f>
        <v>Law</v>
      </c>
      <c r="F2387" s="1" t="str">
        <f t="array" ref="F2387">_xlfn.XLOOKUP(A2387,Product!A:A,Product!C:C,"Bulunamadı")</f>
        <v>Athletics</v>
      </c>
      <c r="G2387" s="2" t="str">
        <f t="array" ref="G2387">_xlfn.XLOOKUP(A2388,Product!A:A,Product!D:D,"Bulunamadı")</f>
        <v>Northway Publishing</v>
      </c>
      <c r="H2387" s="2">
        <f t="array" ref="H2387">_xlfn.XLOOKUP(A2389,Product!A:A,Product!E:E,"Bulunamadı")</f>
        <v>14.89</v>
      </c>
      <c r="I2387" s="2" t="str">
        <f t="shared" si="1"/>
        <v>75050 - Law - Athletics</v>
      </c>
      <c r="J2387" s="2">
        <f t="shared" si="2"/>
        <v>431.81</v>
      </c>
      <c r="K2387" s="17">
        <f t="shared" si="3"/>
        <v>1</v>
      </c>
      <c r="L2387" s="18"/>
    </row>
    <row r="2388" hidden="1">
      <c r="A2388" s="2">
        <f>IFERROR(__xludf.DUMMYFUNCTION("""COMPUTED_VALUE"""),111014.0)</f>
        <v>111014</v>
      </c>
      <c r="B2388" s="2">
        <f>IFERROR(__xludf.DUMMYFUNCTION("""COMPUTED_VALUE"""),1.0)</f>
        <v>1</v>
      </c>
      <c r="C2388" s="2">
        <f>IFERROR(__xludf.DUMMYFUNCTION("""COMPUTED_VALUE"""),619.0)</f>
        <v>619</v>
      </c>
      <c r="D2388" s="3">
        <f>IFERROR(__xludf.DUMMYFUNCTION("""COMPUTED_VALUE"""),512.0)</f>
        <v>512</v>
      </c>
      <c r="E2388" s="1" t="str">
        <f t="array" ref="E2388">_xlfn.XLOOKUP(A2388,Product!A:A,Product!B:B,"Bulunamadı")</f>
        <v>Law</v>
      </c>
      <c r="F2388" s="1" t="str">
        <f t="array" ref="F2388">_xlfn.XLOOKUP(A2388,Product!A:A,Product!C:C,"Bulunamadı")</f>
        <v>Athletics</v>
      </c>
      <c r="G2388" s="2" t="str">
        <f t="array" ref="G2388">_xlfn.XLOOKUP(A2389,Product!A:A,Product!D:D,"Bulunamadı")</f>
        <v>Harborway Books</v>
      </c>
      <c r="H2388" s="2">
        <f t="array" ref="H2388">_xlfn.XLOOKUP(A2390,Product!A:A,Product!E:E,"Bulunamadı")</f>
        <v>12.15</v>
      </c>
      <c r="I2388" s="2" t="str">
        <f t="shared" si="1"/>
        <v>111014 - Law - Athletics</v>
      </c>
      <c r="J2388" s="2">
        <f t="shared" si="2"/>
        <v>6220.8</v>
      </c>
      <c r="K2388" s="17">
        <f t="shared" si="3"/>
        <v>1</v>
      </c>
      <c r="L2388" s="18"/>
    </row>
    <row r="2389" hidden="1">
      <c r="A2389" s="2">
        <f>IFERROR(__xludf.DUMMYFUNCTION("""COMPUTED_VALUE"""),120282.0)</f>
        <v>120282</v>
      </c>
      <c r="B2389" s="2">
        <f>IFERROR(__xludf.DUMMYFUNCTION("""COMPUTED_VALUE"""),1.0)</f>
        <v>1</v>
      </c>
      <c r="C2389" s="2">
        <f>IFERROR(__xludf.DUMMYFUNCTION("""COMPUTED_VALUE"""),389.0)</f>
        <v>389</v>
      </c>
      <c r="D2389" s="3">
        <f>IFERROR(__xludf.DUMMYFUNCTION("""COMPUTED_VALUE"""),173.0)</f>
        <v>173</v>
      </c>
      <c r="E2389" s="1" t="str">
        <f t="array" ref="E2389">_xlfn.XLOOKUP(A2389,Product!A:A,Product!B:B,"Bulunamadı")</f>
        <v>Tech</v>
      </c>
      <c r="F2389" s="1" t="str">
        <f t="array" ref="F2389">_xlfn.XLOOKUP(A2389,Product!A:A,Product!C:C,"Bulunamadı")</f>
        <v>Cycling</v>
      </c>
      <c r="G2389" s="2" t="str">
        <f t="array" ref="G2389">_xlfn.XLOOKUP(A2390,Product!A:A,Product!D:D,"Bulunamadı")</f>
        <v>Harborway Books</v>
      </c>
      <c r="H2389" s="2">
        <f t="array" ref="H2389">_xlfn.XLOOKUP(A2391,Product!A:A,Product!E:E,"Bulunamadı")</f>
        <v>2.77</v>
      </c>
      <c r="I2389" s="2" t="str">
        <f t="shared" si="1"/>
        <v>120282 - Tech - Cycling</v>
      </c>
      <c r="J2389" s="2">
        <f t="shared" si="2"/>
        <v>479.21</v>
      </c>
      <c r="K2389" s="17">
        <f t="shared" si="3"/>
        <v>1</v>
      </c>
      <c r="L2389" s="18"/>
    </row>
    <row r="2390" hidden="1">
      <c r="A2390" s="2">
        <f>IFERROR(__xludf.DUMMYFUNCTION("""COMPUTED_VALUE"""),84512.0)</f>
        <v>84512</v>
      </c>
      <c r="B2390" s="2">
        <f>IFERROR(__xludf.DUMMYFUNCTION("""COMPUTED_VALUE"""),0.0)</f>
        <v>0</v>
      </c>
      <c r="C2390" s="2">
        <f>IFERROR(__xludf.DUMMYFUNCTION("""COMPUTED_VALUE"""),372.0)</f>
        <v>372</v>
      </c>
      <c r="D2390" s="3">
        <f>IFERROR(__xludf.DUMMYFUNCTION("""COMPUTED_VALUE"""),300.0)</f>
        <v>300</v>
      </c>
      <c r="E2390" s="1" t="str">
        <f t="array" ref="E2390">_xlfn.XLOOKUP(A2390,Product!A:A,Product!B:B,"Bulunamadı")</f>
        <v>Tech</v>
      </c>
      <c r="F2390" s="1" t="str">
        <f t="array" ref="F2390">_xlfn.XLOOKUP(A2390,Product!A:A,Product!C:C,"Bulunamadı")</f>
        <v>Cycling</v>
      </c>
      <c r="G2390" s="2" t="str">
        <f t="array" ref="G2390">_xlfn.XLOOKUP(A2391,Product!A:A,Product!D:D,"Bulunamadı")</f>
        <v>Cedarway Press</v>
      </c>
      <c r="H2390" s="2">
        <f t="array" ref="H2390">_xlfn.XLOOKUP(A2392,Product!A:A,Product!E:E,"Bulunamadı")</f>
        <v>1.44</v>
      </c>
      <c r="I2390" s="2" t="str">
        <f t="shared" si="1"/>
        <v>84512 - Tech - Cycling</v>
      </c>
      <c r="J2390" s="2">
        <f t="shared" si="2"/>
        <v>432</v>
      </c>
      <c r="K2390" s="17">
        <f t="shared" si="3"/>
        <v>1</v>
      </c>
      <c r="L2390" s="18"/>
    </row>
    <row r="2391" hidden="1">
      <c r="A2391" s="2">
        <f>IFERROR(__xludf.DUMMYFUNCTION("""COMPUTED_VALUE"""),77197.0)</f>
        <v>77197</v>
      </c>
      <c r="B2391" s="2">
        <f>IFERROR(__xludf.DUMMYFUNCTION("""COMPUTED_VALUE"""),0.0)</f>
        <v>0</v>
      </c>
      <c r="C2391" s="2">
        <f>IFERROR(__xludf.DUMMYFUNCTION("""COMPUTED_VALUE"""),536.0)</f>
        <v>536</v>
      </c>
      <c r="D2391" s="3">
        <f>IFERROR(__xludf.DUMMYFUNCTION("""COMPUTED_VALUE"""),510.0)</f>
        <v>510</v>
      </c>
      <c r="E2391" s="1" t="str">
        <f t="array" ref="E2391">_xlfn.XLOOKUP(A2391,Product!A:A,Product!B:B,"Bulunamadı")</f>
        <v>Tech</v>
      </c>
      <c r="F2391" s="1" t="str">
        <f t="array" ref="F2391">_xlfn.XLOOKUP(A2391,Product!A:A,Product!C:C,"Bulunamadı")</f>
        <v>Cycling</v>
      </c>
      <c r="G2391" s="2" t="str">
        <f t="array" ref="G2391">_xlfn.XLOOKUP(A2392,Product!A:A,Product!D:D,"Bulunamadı")</f>
        <v>Cedarway Press</v>
      </c>
      <c r="H2391" s="2">
        <f t="array" ref="H2391">_xlfn.XLOOKUP(A2393,Product!A:A,Product!E:E,"Bulunamadı")</f>
        <v>3.08</v>
      </c>
      <c r="I2391" s="2" t="str">
        <f t="shared" si="1"/>
        <v>77197 - Tech - Cycling</v>
      </c>
      <c r="J2391" s="2">
        <f t="shared" si="2"/>
        <v>1570.8</v>
      </c>
      <c r="K2391" s="17">
        <f t="shared" si="3"/>
        <v>1</v>
      </c>
      <c r="L2391" s="18"/>
    </row>
    <row r="2392" hidden="1">
      <c r="A2392" s="2">
        <f>IFERROR(__xludf.DUMMYFUNCTION("""COMPUTED_VALUE"""),29650.0)</f>
        <v>29650</v>
      </c>
      <c r="B2392" s="2">
        <f>IFERROR(__xludf.DUMMYFUNCTION("""COMPUTED_VALUE"""),0.0)</f>
        <v>0</v>
      </c>
      <c r="C2392" s="2">
        <f>IFERROR(__xludf.DUMMYFUNCTION("""COMPUTED_VALUE"""),23.0)</f>
        <v>23</v>
      </c>
      <c r="D2392" s="3">
        <f>IFERROR(__xludf.DUMMYFUNCTION("""COMPUTED_VALUE"""),12.0)</f>
        <v>12</v>
      </c>
      <c r="E2392" s="1" t="str">
        <f t="array" ref="E2392">_xlfn.XLOOKUP(A2392,Product!A:A,Product!B:B,"Bulunamadı")</f>
        <v>Tech</v>
      </c>
      <c r="F2392" s="1" t="str">
        <f t="array" ref="F2392">_xlfn.XLOOKUP(A2392,Product!A:A,Product!C:C,"Bulunamadı")</f>
        <v>Cycling</v>
      </c>
      <c r="G2392" s="2" t="str">
        <f t="array" ref="G2392">_xlfn.XLOOKUP(A2393,Product!A:A,Product!D:D,"Bulunamadı")</f>
        <v>Cedarway Press</v>
      </c>
      <c r="H2392" s="2">
        <f t="array" ref="H2392">_xlfn.XLOOKUP(A2394,Product!A:A,Product!E:E,"Bulunamadı")</f>
        <v>2.34</v>
      </c>
      <c r="I2392" s="2" t="str">
        <f t="shared" si="1"/>
        <v>29650 - Tech - Cycling</v>
      </c>
      <c r="J2392" s="2">
        <f t="shared" si="2"/>
        <v>28.08</v>
      </c>
      <c r="K2392" s="17">
        <f t="shared" si="3"/>
        <v>1</v>
      </c>
      <c r="L2392" s="18"/>
    </row>
    <row r="2393" hidden="1">
      <c r="A2393" s="2">
        <f>IFERROR(__xludf.DUMMYFUNCTION("""COMPUTED_VALUE"""),4162.0)</f>
        <v>4162</v>
      </c>
      <c r="B2393" s="2">
        <f>IFERROR(__xludf.DUMMYFUNCTION("""COMPUTED_VALUE"""),0.0)</f>
        <v>0</v>
      </c>
      <c r="C2393" s="2">
        <f>IFERROR(__xludf.DUMMYFUNCTION("""COMPUTED_VALUE"""),166.0)</f>
        <v>166</v>
      </c>
      <c r="D2393" s="3">
        <f>IFERROR(__xludf.DUMMYFUNCTION("""COMPUTED_VALUE"""),85.0)</f>
        <v>85</v>
      </c>
      <c r="E2393" s="1" t="str">
        <f t="array" ref="E2393">_xlfn.XLOOKUP(A2393,Product!A:A,Product!B:B,"Bulunamadı")</f>
        <v>Tech</v>
      </c>
      <c r="F2393" s="1" t="str">
        <f t="array" ref="F2393">_xlfn.XLOOKUP(A2393,Product!A:A,Product!C:C,"Bulunamadı")</f>
        <v>Cycling</v>
      </c>
      <c r="G2393" s="2" t="str">
        <f t="array" ref="G2393">_xlfn.XLOOKUP(A2394,Product!A:A,Product!D:D,"Bulunamadı")</f>
        <v>Cedarway Press</v>
      </c>
      <c r="H2393" s="2">
        <f t="array" ref="H2393">_xlfn.XLOOKUP(A2395,Product!A:A,Product!E:E,"Bulunamadı")</f>
        <v>1.09</v>
      </c>
      <c r="I2393" s="2" t="str">
        <f t="shared" si="1"/>
        <v>4162 - Tech - Cycling</v>
      </c>
      <c r="J2393" s="2">
        <f t="shared" si="2"/>
        <v>92.65</v>
      </c>
      <c r="K2393" s="17">
        <f t="shared" si="3"/>
        <v>1</v>
      </c>
      <c r="L2393" s="18"/>
    </row>
    <row r="2394" hidden="1">
      <c r="A2394" s="2">
        <f>IFERROR(__xludf.DUMMYFUNCTION("""COMPUTED_VALUE"""),88214.0)</f>
        <v>88214</v>
      </c>
      <c r="B2394" s="2">
        <f>IFERROR(__xludf.DUMMYFUNCTION("""COMPUTED_VALUE"""),1.0)</f>
        <v>1</v>
      </c>
      <c r="C2394" s="2">
        <f>IFERROR(__xludf.DUMMYFUNCTION("""COMPUTED_VALUE"""),854.0)</f>
        <v>854</v>
      </c>
      <c r="D2394" s="3">
        <f>IFERROR(__xludf.DUMMYFUNCTION("""COMPUTED_VALUE"""),839.0)</f>
        <v>839</v>
      </c>
      <c r="E2394" s="1" t="str">
        <f t="array" ref="E2394">_xlfn.XLOOKUP(A2394,Product!A:A,Product!B:B,"Bulunamadı")</f>
        <v>Tech</v>
      </c>
      <c r="F2394" s="1" t="str">
        <f t="array" ref="F2394">_xlfn.XLOOKUP(A2394,Product!A:A,Product!C:C,"Bulunamadı")</f>
        <v>Cycling</v>
      </c>
      <c r="G2394" s="2" t="str">
        <f t="array" ref="G2394">_xlfn.XLOOKUP(A2395,Product!A:A,Product!D:D,"Bulunamadı")</f>
        <v>Cedarway Press</v>
      </c>
      <c r="H2394" s="2">
        <f t="array" ref="H2394">_xlfn.XLOOKUP(A2396,Product!A:A,Product!E:E,"Bulunamadı")</f>
        <v>3.87</v>
      </c>
      <c r="I2394" s="2" t="str">
        <f t="shared" si="1"/>
        <v>88214 - Tech - Cycling</v>
      </c>
      <c r="J2394" s="2">
        <f t="shared" si="2"/>
        <v>3246.93</v>
      </c>
      <c r="K2394" s="17">
        <f t="shared" si="3"/>
        <v>1</v>
      </c>
      <c r="L2394" s="18"/>
    </row>
    <row r="2395" hidden="1">
      <c r="A2395" s="2">
        <f>IFERROR(__xludf.DUMMYFUNCTION("""COMPUTED_VALUE"""),73254.0)</f>
        <v>73254</v>
      </c>
      <c r="B2395" s="2">
        <f>IFERROR(__xludf.DUMMYFUNCTION("""COMPUTED_VALUE"""),0.0)</f>
        <v>0</v>
      </c>
      <c r="C2395" s="2">
        <f>IFERROR(__xludf.DUMMYFUNCTION("""COMPUTED_VALUE"""),169.0)</f>
        <v>169</v>
      </c>
      <c r="D2395" s="3">
        <f>IFERROR(__xludf.DUMMYFUNCTION("""COMPUTED_VALUE"""),1.0)</f>
        <v>1</v>
      </c>
      <c r="E2395" s="1" t="str">
        <f t="array" ref="E2395">_xlfn.XLOOKUP(A2395,Product!A:A,Product!B:B,"Bulunamadı")</f>
        <v>Tech</v>
      </c>
      <c r="F2395" s="1" t="str">
        <f t="array" ref="F2395">_xlfn.XLOOKUP(A2395,Product!A:A,Product!C:C,"Bulunamadı")</f>
        <v>Cycling</v>
      </c>
      <c r="G2395" s="2" t="str">
        <f t="array" ref="G2395">_xlfn.XLOOKUP(A2396,Product!A:A,Product!D:D,"Bulunamadı")</f>
        <v>Cedarway Press</v>
      </c>
      <c r="H2395" s="2">
        <f t="array" ref="H2395">_xlfn.XLOOKUP(A2397,Product!A:A,Product!E:E,"Bulunamadı")</f>
        <v>1.65</v>
      </c>
      <c r="I2395" s="2" t="str">
        <f t="shared" si="1"/>
        <v>73254 - Tech - Cycling</v>
      </c>
      <c r="J2395" s="2">
        <f t="shared" si="2"/>
        <v>1.65</v>
      </c>
      <c r="K2395" s="17">
        <f t="shared" si="3"/>
        <v>1</v>
      </c>
      <c r="L2395" s="18"/>
    </row>
    <row r="2396" hidden="1">
      <c r="A2396" s="2">
        <f>IFERROR(__xludf.DUMMYFUNCTION("""COMPUTED_VALUE"""),108204.0)</f>
        <v>108204</v>
      </c>
      <c r="B2396" s="2">
        <f>IFERROR(__xludf.DUMMYFUNCTION("""COMPUTED_VALUE"""),1.0)</f>
        <v>1</v>
      </c>
      <c r="C2396" s="2">
        <f>IFERROR(__xludf.DUMMYFUNCTION("""COMPUTED_VALUE"""),751.0)</f>
        <v>751</v>
      </c>
      <c r="D2396" s="3">
        <f>IFERROR(__xludf.DUMMYFUNCTION("""COMPUTED_VALUE"""),436.0)</f>
        <v>436</v>
      </c>
      <c r="E2396" s="1" t="str">
        <f t="array" ref="E2396">_xlfn.XLOOKUP(A2396,Product!A:A,Product!B:B,"Bulunamadı")</f>
        <v>Tech</v>
      </c>
      <c r="F2396" s="1" t="str">
        <f t="array" ref="F2396">_xlfn.XLOOKUP(A2396,Product!A:A,Product!C:C,"Bulunamadı")</f>
        <v>Cycling</v>
      </c>
      <c r="G2396" s="2" t="str">
        <f t="array" ref="G2396">_xlfn.XLOOKUP(A2397,Product!A:A,Product!D:D,"Bulunamadı")</f>
        <v>Cedarway Press</v>
      </c>
      <c r="H2396" s="2">
        <f t="array" ref="H2396">_xlfn.XLOOKUP(A2398,Product!A:A,Product!E:E,"Bulunamadı")</f>
        <v>3.87</v>
      </c>
      <c r="I2396" s="2" t="str">
        <f t="shared" si="1"/>
        <v>108204 - Tech - Cycling</v>
      </c>
      <c r="J2396" s="2">
        <f t="shared" si="2"/>
        <v>1687.32</v>
      </c>
      <c r="K2396" s="17">
        <f t="shared" si="3"/>
        <v>1</v>
      </c>
      <c r="L2396" s="18"/>
    </row>
    <row r="2397" hidden="1">
      <c r="A2397" s="2">
        <f>IFERROR(__xludf.DUMMYFUNCTION("""COMPUTED_VALUE"""),9676.0)</f>
        <v>9676</v>
      </c>
      <c r="B2397" s="2">
        <f>IFERROR(__xludf.DUMMYFUNCTION("""COMPUTED_VALUE"""),0.0)</f>
        <v>0</v>
      </c>
      <c r="C2397" s="2">
        <f>IFERROR(__xludf.DUMMYFUNCTION("""COMPUTED_VALUE"""),94.0)</f>
        <v>94</v>
      </c>
      <c r="D2397" s="3">
        <f>IFERROR(__xludf.DUMMYFUNCTION("""COMPUTED_VALUE"""),4.0)</f>
        <v>4</v>
      </c>
      <c r="E2397" s="1" t="str">
        <f t="array" ref="E2397">_xlfn.XLOOKUP(A2397,Product!A:A,Product!B:B,"Bulunamadı")</f>
        <v>Tech</v>
      </c>
      <c r="F2397" s="1" t="str">
        <f t="array" ref="F2397">_xlfn.XLOOKUP(A2397,Product!A:A,Product!C:C,"Bulunamadı")</f>
        <v>Cycling</v>
      </c>
      <c r="G2397" s="2" t="str">
        <f t="array" ref="G2397">_xlfn.XLOOKUP(A2398,Product!A:A,Product!D:D,"Bulunamadı")</f>
        <v>Cedarway Press</v>
      </c>
      <c r="H2397" s="2">
        <f t="array" ref="H2397">_xlfn.XLOOKUP(A2399,Product!A:A,Product!E:E,"Bulunamadı")</f>
        <v>0.88</v>
      </c>
      <c r="I2397" s="2" t="str">
        <f t="shared" si="1"/>
        <v>9676 - Tech - Cycling</v>
      </c>
      <c r="J2397" s="2">
        <f t="shared" si="2"/>
        <v>3.52</v>
      </c>
      <c r="K2397" s="17">
        <f t="shared" si="3"/>
        <v>1</v>
      </c>
      <c r="L2397" s="18"/>
    </row>
    <row r="2398" hidden="1">
      <c r="A2398" s="2">
        <f>IFERROR(__xludf.DUMMYFUNCTION("""COMPUTED_VALUE"""),44412.0)</f>
        <v>44412</v>
      </c>
      <c r="B2398" s="2">
        <f>IFERROR(__xludf.DUMMYFUNCTION("""COMPUTED_VALUE"""),1.0)</f>
        <v>1</v>
      </c>
      <c r="C2398" s="2">
        <f>IFERROR(__xludf.DUMMYFUNCTION("""COMPUTED_VALUE"""),278.0)</f>
        <v>278</v>
      </c>
      <c r="D2398" s="3">
        <f>IFERROR(__xludf.DUMMYFUNCTION("""COMPUTED_VALUE"""),111.0)</f>
        <v>111</v>
      </c>
      <c r="E2398" s="1" t="str">
        <f t="array" ref="E2398">_xlfn.XLOOKUP(A2398,Product!A:A,Product!B:B,"Bulunamadı")</f>
        <v>Tech</v>
      </c>
      <c r="F2398" s="1" t="str">
        <f t="array" ref="F2398">_xlfn.XLOOKUP(A2398,Product!A:A,Product!C:C,"Bulunamadı")</f>
        <v>Cycling</v>
      </c>
      <c r="G2398" s="2" t="str">
        <f t="array" ref="G2398">_xlfn.XLOOKUP(A2399,Product!A:A,Product!D:D,"Bulunamadı")</f>
        <v>Cedarway Press</v>
      </c>
      <c r="H2398" s="2">
        <f t="array" ref="H2398">_xlfn.XLOOKUP(A2400,Product!A:A,Product!E:E,"Bulunamadı")</f>
        <v>4.9</v>
      </c>
      <c r="I2398" s="2" t="str">
        <f t="shared" si="1"/>
        <v>44412 - Tech - Cycling</v>
      </c>
      <c r="J2398" s="2">
        <f t="shared" si="2"/>
        <v>543.9</v>
      </c>
      <c r="K2398" s="17">
        <f t="shared" si="3"/>
        <v>1</v>
      </c>
      <c r="L2398" s="18"/>
    </row>
    <row r="2399" hidden="1">
      <c r="A2399" s="2">
        <f>IFERROR(__xludf.DUMMYFUNCTION("""COMPUTED_VALUE"""),73253.0)</f>
        <v>73253</v>
      </c>
      <c r="B2399" s="2">
        <f>IFERROR(__xludf.DUMMYFUNCTION("""COMPUTED_VALUE"""),1.0)</f>
        <v>1</v>
      </c>
      <c r="C2399" s="2">
        <f>IFERROR(__xludf.DUMMYFUNCTION("""COMPUTED_VALUE"""),156.0)</f>
        <v>156</v>
      </c>
      <c r="D2399" s="3">
        <f>IFERROR(__xludf.DUMMYFUNCTION("""COMPUTED_VALUE"""),94.0)</f>
        <v>94</v>
      </c>
      <c r="E2399" s="1" t="str">
        <f t="array" ref="E2399">_xlfn.XLOOKUP(A2399,Product!A:A,Product!B:B,"Bulunamadı")</f>
        <v>Tech</v>
      </c>
      <c r="F2399" s="1" t="str">
        <f t="array" ref="F2399">_xlfn.XLOOKUP(A2399,Product!A:A,Product!C:C,"Bulunamadı")</f>
        <v>Cycling</v>
      </c>
      <c r="G2399" s="2" t="str">
        <f t="array" ref="G2399">_xlfn.XLOOKUP(A2400,Product!A:A,Product!D:D,"Bulunamadı")</f>
        <v>Cedarway Press</v>
      </c>
      <c r="H2399" s="2">
        <f t="array" ref="H2399">_xlfn.XLOOKUP(A2401,Product!A:A,Product!E:E,"Bulunamadı")</f>
        <v>3.44</v>
      </c>
      <c r="I2399" s="2" t="str">
        <f t="shared" si="1"/>
        <v>73253 - Tech - Cycling</v>
      </c>
      <c r="J2399" s="2">
        <f t="shared" si="2"/>
        <v>323.36</v>
      </c>
      <c r="K2399" s="17">
        <f t="shared" si="3"/>
        <v>1</v>
      </c>
      <c r="L2399" s="18"/>
    </row>
    <row r="2400" hidden="1">
      <c r="A2400" s="2">
        <f>IFERROR(__xludf.DUMMYFUNCTION("""COMPUTED_VALUE"""),122516.0)</f>
        <v>122516</v>
      </c>
      <c r="B2400" s="2">
        <f>IFERROR(__xludf.DUMMYFUNCTION("""COMPUTED_VALUE"""),1.0)</f>
        <v>1</v>
      </c>
      <c r="C2400" s="2">
        <f>IFERROR(__xludf.DUMMYFUNCTION("""COMPUTED_VALUE"""),874.0)</f>
        <v>874</v>
      </c>
      <c r="D2400" s="3">
        <f>IFERROR(__xludf.DUMMYFUNCTION("""COMPUTED_VALUE"""),560.0)</f>
        <v>560</v>
      </c>
      <c r="E2400" s="1" t="str">
        <f t="array" ref="E2400">_xlfn.XLOOKUP(A2400,Product!A:A,Product!B:B,"Bulunamadı")</f>
        <v>Tech</v>
      </c>
      <c r="F2400" s="1" t="str">
        <f t="array" ref="F2400">_xlfn.XLOOKUP(A2400,Product!A:A,Product!C:C,"Bulunamadı")</f>
        <v>Cycling</v>
      </c>
      <c r="G2400" s="2" t="str">
        <f t="array" ref="G2400">_xlfn.XLOOKUP(A2401,Product!A:A,Product!D:D,"Bulunamadı")</f>
        <v>Cedarway Press</v>
      </c>
      <c r="H2400" s="2">
        <f t="array" ref="H2400">_xlfn.XLOOKUP(A2402,Product!A:A,Product!E:E,"Bulunamadı")</f>
        <v>2.59</v>
      </c>
      <c r="I2400" s="2" t="str">
        <f t="shared" si="1"/>
        <v>122516 - Tech - Cycling</v>
      </c>
      <c r="J2400" s="2">
        <f t="shared" si="2"/>
        <v>1450.4</v>
      </c>
      <c r="K2400" s="17">
        <f t="shared" si="3"/>
        <v>1</v>
      </c>
      <c r="L2400" s="18"/>
    </row>
    <row r="2401" hidden="1">
      <c r="A2401" s="2">
        <f>IFERROR(__xludf.DUMMYFUNCTION("""COMPUTED_VALUE"""),70314.0)</f>
        <v>70314</v>
      </c>
      <c r="B2401" s="2">
        <f>IFERROR(__xludf.DUMMYFUNCTION("""COMPUTED_VALUE"""),1.0)</f>
        <v>1</v>
      </c>
      <c r="C2401" s="2">
        <f>IFERROR(__xludf.DUMMYFUNCTION("""COMPUTED_VALUE"""),488.0)</f>
        <v>488</v>
      </c>
      <c r="D2401" s="3">
        <f>IFERROR(__xludf.DUMMYFUNCTION("""COMPUTED_VALUE"""),467.0)</f>
        <v>467</v>
      </c>
      <c r="E2401" s="1" t="str">
        <f t="array" ref="E2401">_xlfn.XLOOKUP(A2401,Product!A:A,Product!B:B,"Bulunamadı")</f>
        <v>Tech</v>
      </c>
      <c r="F2401" s="1" t="str">
        <f t="array" ref="F2401">_xlfn.XLOOKUP(A2401,Product!A:A,Product!C:C,"Bulunamadı")</f>
        <v>Cycling</v>
      </c>
      <c r="G2401" s="2" t="str">
        <f t="array" ref="G2401">_xlfn.XLOOKUP(A2402,Product!A:A,Product!D:D,"Bulunamadı")</f>
        <v>Brightway Publishing</v>
      </c>
      <c r="H2401" s="2">
        <f t="array" ref="H2401">_xlfn.XLOOKUP(A2403,Product!A:A,Product!E:E,"Bulunamadı")</f>
        <v>5.26</v>
      </c>
      <c r="I2401" s="2" t="str">
        <f t="shared" si="1"/>
        <v>70314 - Tech - Cycling</v>
      </c>
      <c r="J2401" s="2">
        <f t="shared" si="2"/>
        <v>2456.42</v>
      </c>
      <c r="K2401" s="17">
        <f t="shared" si="3"/>
        <v>1</v>
      </c>
      <c r="L2401" s="18"/>
    </row>
    <row r="2402" hidden="1">
      <c r="A2402" s="2">
        <f>IFERROR(__xludf.DUMMYFUNCTION("""COMPUTED_VALUE"""),17644.0)</f>
        <v>17644</v>
      </c>
      <c r="B2402" s="2">
        <f>IFERROR(__xludf.DUMMYFUNCTION("""COMPUTED_VALUE"""),0.0)</f>
        <v>0</v>
      </c>
      <c r="C2402" s="2">
        <f>IFERROR(__xludf.DUMMYFUNCTION("""COMPUTED_VALUE"""),107.0)</f>
        <v>107</v>
      </c>
      <c r="D2402" s="3">
        <f>IFERROR(__xludf.DUMMYFUNCTION("""COMPUTED_VALUE"""),35.0)</f>
        <v>35</v>
      </c>
      <c r="E2402" s="1" t="str">
        <f t="array" ref="E2402">_xlfn.XLOOKUP(A2402,Product!A:A,Product!B:B,"Bulunamadı")</f>
        <v>Tech</v>
      </c>
      <c r="F2402" s="1" t="str">
        <f t="array" ref="F2402">_xlfn.XLOOKUP(A2402,Product!A:A,Product!C:C,"Bulunamadı")</f>
        <v>Cycling</v>
      </c>
      <c r="G2402" s="2" t="str">
        <f t="array" ref="G2402">_xlfn.XLOOKUP(A2403,Product!A:A,Product!D:D,"Bulunamadı")</f>
        <v>Brightway Publishing</v>
      </c>
      <c r="H2402" s="2">
        <f t="array" ref="H2402">_xlfn.XLOOKUP(A2404,Product!A:A,Product!E:E,"Bulunamadı")</f>
        <v>3.96</v>
      </c>
      <c r="I2402" s="2" t="str">
        <f t="shared" si="1"/>
        <v>17644 - Tech - Cycling</v>
      </c>
      <c r="J2402" s="2">
        <f t="shared" si="2"/>
        <v>138.6</v>
      </c>
      <c r="K2402" s="17">
        <f t="shared" si="3"/>
        <v>1</v>
      </c>
      <c r="L2402" s="18"/>
    </row>
    <row r="2403" hidden="1">
      <c r="A2403" s="2">
        <f>IFERROR(__xludf.DUMMYFUNCTION("""COMPUTED_VALUE"""),118996.0)</f>
        <v>118996</v>
      </c>
      <c r="B2403" s="2">
        <f>IFERROR(__xludf.DUMMYFUNCTION("""COMPUTED_VALUE"""),0.0)</f>
        <v>0</v>
      </c>
      <c r="C2403" s="2">
        <f>IFERROR(__xludf.DUMMYFUNCTION("""COMPUTED_VALUE"""),251.0)</f>
        <v>251</v>
      </c>
      <c r="D2403" s="3">
        <f>IFERROR(__xludf.DUMMYFUNCTION("""COMPUTED_VALUE"""),187.0)</f>
        <v>187</v>
      </c>
      <c r="E2403" s="1" t="str">
        <f t="array" ref="E2403">_xlfn.XLOOKUP(A2403,Product!A:A,Product!B:B,"Bulunamadı")</f>
        <v>Tech</v>
      </c>
      <c r="F2403" s="1" t="str">
        <f t="array" ref="F2403">_xlfn.XLOOKUP(A2403,Product!A:A,Product!C:C,"Bulunamadı")</f>
        <v>Cycling</v>
      </c>
      <c r="G2403" s="2" t="str">
        <f t="array" ref="G2403">_xlfn.XLOOKUP(A2404,Product!A:A,Product!D:D,"Bulunamadı")</f>
        <v>Brightway Publishing</v>
      </c>
      <c r="H2403" s="2">
        <f t="array" ref="H2403">_xlfn.XLOOKUP(A2405,Product!A:A,Product!E:E,"Bulunamadı")</f>
        <v>3.01</v>
      </c>
      <c r="I2403" s="2" t="str">
        <f t="shared" si="1"/>
        <v>118996 - Tech - Cycling</v>
      </c>
      <c r="J2403" s="2">
        <f t="shared" si="2"/>
        <v>562.87</v>
      </c>
      <c r="K2403" s="17">
        <f t="shared" si="3"/>
        <v>1</v>
      </c>
      <c r="L2403" s="18"/>
    </row>
    <row r="2404" hidden="1">
      <c r="A2404" s="2">
        <f>IFERROR(__xludf.DUMMYFUNCTION("""COMPUTED_VALUE"""),79199.0)</f>
        <v>79199</v>
      </c>
      <c r="B2404" s="2">
        <f>IFERROR(__xludf.DUMMYFUNCTION("""COMPUTED_VALUE"""),0.0)</f>
        <v>0</v>
      </c>
      <c r="C2404" s="2">
        <f>IFERROR(__xludf.DUMMYFUNCTION("""COMPUTED_VALUE"""),556.0)</f>
        <v>556</v>
      </c>
      <c r="D2404" s="3">
        <f>IFERROR(__xludf.DUMMYFUNCTION("""COMPUTED_VALUE"""),338.0)</f>
        <v>338</v>
      </c>
      <c r="E2404" s="1" t="str">
        <f t="array" ref="E2404">_xlfn.XLOOKUP(A2404,Product!A:A,Product!B:B,"Bulunamadı")</f>
        <v>Tech</v>
      </c>
      <c r="F2404" s="1" t="str">
        <f t="array" ref="F2404">_xlfn.XLOOKUP(A2404,Product!A:A,Product!C:C,"Bulunamadı")</f>
        <v>Cycling</v>
      </c>
      <c r="G2404" s="2" t="str">
        <f t="array" ref="G2404">_xlfn.XLOOKUP(A2405,Product!A:A,Product!D:D,"Bulunamadı")</f>
        <v>Brightway Publishing</v>
      </c>
      <c r="H2404" s="2">
        <f t="array" ref="H2404">_xlfn.XLOOKUP(A2406,Product!A:A,Product!E:E,"Bulunamadı")</f>
        <v>10</v>
      </c>
      <c r="I2404" s="2" t="str">
        <f t="shared" si="1"/>
        <v>79199 - Tech - Cycling</v>
      </c>
      <c r="J2404" s="2">
        <f t="shared" si="2"/>
        <v>3380</v>
      </c>
      <c r="K2404" s="17">
        <f t="shared" si="3"/>
        <v>1</v>
      </c>
      <c r="L2404" s="18"/>
    </row>
    <row r="2405" hidden="1">
      <c r="A2405" s="2">
        <f>IFERROR(__xludf.DUMMYFUNCTION("""COMPUTED_VALUE"""),128316.0)</f>
        <v>128316</v>
      </c>
      <c r="B2405" s="2">
        <f>IFERROR(__xludf.DUMMYFUNCTION("""COMPUTED_VALUE"""),1.0)</f>
        <v>1</v>
      </c>
      <c r="C2405" s="2">
        <f>IFERROR(__xludf.DUMMYFUNCTION("""COMPUTED_VALUE"""),332.0)</f>
        <v>332</v>
      </c>
      <c r="D2405" s="3">
        <f>IFERROR(__xludf.DUMMYFUNCTION("""COMPUTED_VALUE"""),55.0)</f>
        <v>55</v>
      </c>
      <c r="E2405" s="1" t="str">
        <f t="array" ref="E2405">_xlfn.XLOOKUP(A2405,Product!A:A,Product!B:B,"Bulunamadı")</f>
        <v>Tech</v>
      </c>
      <c r="F2405" s="1" t="str">
        <f t="array" ref="F2405">_xlfn.XLOOKUP(A2405,Product!A:A,Product!C:C,"Bulunamadı")</f>
        <v>Cycling</v>
      </c>
      <c r="G2405" s="2" t="str">
        <f t="array" ref="G2405">_xlfn.XLOOKUP(A2406,Product!A:A,Product!D:D,"Bulunamadı")</f>
        <v>Oakway Books</v>
      </c>
      <c r="H2405" s="2">
        <f t="array" ref="H2405">_xlfn.XLOOKUP(A2407,Product!A:A,Product!E:E,"Bulunamadı")</f>
        <v>6.3</v>
      </c>
      <c r="I2405" s="2" t="str">
        <f t="shared" si="1"/>
        <v>128316 - Tech - Cycling</v>
      </c>
      <c r="J2405" s="2">
        <f t="shared" si="2"/>
        <v>346.5</v>
      </c>
      <c r="K2405" s="17">
        <f t="shared" si="3"/>
        <v>1</v>
      </c>
      <c r="L2405" s="18"/>
    </row>
    <row r="2406" hidden="1">
      <c r="A2406" s="2">
        <f>IFERROR(__xludf.DUMMYFUNCTION("""COMPUTED_VALUE"""),7933.0)</f>
        <v>7933</v>
      </c>
      <c r="B2406" s="2">
        <f>IFERROR(__xludf.DUMMYFUNCTION("""COMPUTED_VALUE"""),1.0)</f>
        <v>1</v>
      </c>
      <c r="C2406" s="2">
        <f>IFERROR(__xludf.DUMMYFUNCTION("""COMPUTED_VALUE"""),734.0)</f>
        <v>734</v>
      </c>
      <c r="D2406" s="3">
        <f>IFERROR(__xludf.DUMMYFUNCTION("""COMPUTED_VALUE"""),517.0)</f>
        <v>517</v>
      </c>
      <c r="E2406" s="1" t="str">
        <f t="array" ref="E2406">_xlfn.XLOOKUP(A2406,Product!A:A,Product!B:B,"Bulunamadı")</f>
        <v>Tech</v>
      </c>
      <c r="F2406" s="1" t="str">
        <f t="array" ref="F2406">_xlfn.XLOOKUP(A2406,Product!A:A,Product!C:C,"Bulunamadı")</f>
        <v>Cycling</v>
      </c>
      <c r="G2406" s="2" t="str">
        <f t="array" ref="G2406">_xlfn.XLOOKUP(A2407,Product!A:A,Product!D:D,"Bulunamadı")</f>
        <v>Oakway Books</v>
      </c>
      <c r="H2406" s="2">
        <f t="array" ref="H2406">_xlfn.XLOOKUP(A2408,Product!A:A,Product!E:E,"Bulunamadı")</f>
        <v>3.44</v>
      </c>
      <c r="I2406" s="2" t="str">
        <f t="shared" si="1"/>
        <v>7933 - Tech - Cycling</v>
      </c>
      <c r="J2406" s="2">
        <f t="shared" si="2"/>
        <v>1778.48</v>
      </c>
      <c r="K2406" s="17">
        <f t="shared" si="3"/>
        <v>1</v>
      </c>
      <c r="L2406" s="18"/>
    </row>
    <row r="2407" hidden="1">
      <c r="A2407" s="2">
        <f>IFERROR(__xludf.DUMMYFUNCTION("""COMPUTED_VALUE"""),85944.0)</f>
        <v>85944</v>
      </c>
      <c r="B2407" s="2">
        <f>IFERROR(__xludf.DUMMYFUNCTION("""COMPUTED_VALUE"""),1.0)</f>
        <v>1</v>
      </c>
      <c r="C2407" s="2">
        <f>IFERROR(__xludf.DUMMYFUNCTION("""COMPUTED_VALUE"""),398.0)</f>
        <v>398</v>
      </c>
      <c r="D2407" s="3">
        <f>IFERROR(__xludf.DUMMYFUNCTION("""COMPUTED_VALUE"""),250.0)</f>
        <v>250</v>
      </c>
      <c r="E2407" s="1" t="str">
        <f t="array" ref="E2407">_xlfn.XLOOKUP(A2407,Product!A:A,Product!B:B,"Bulunamadı")</f>
        <v>Tech</v>
      </c>
      <c r="F2407" s="1" t="str">
        <f t="array" ref="F2407">_xlfn.XLOOKUP(A2407,Product!A:A,Product!C:C,"Bulunamadı")</f>
        <v>Cycling</v>
      </c>
      <c r="G2407" s="2" t="str">
        <f t="array" ref="G2407">_xlfn.XLOOKUP(A2408,Product!A:A,Product!D:D,"Bulunamadı")</f>
        <v>Oakway Books</v>
      </c>
      <c r="H2407" s="2">
        <f t="array" ref="H2407">_xlfn.XLOOKUP(A2409,Product!A:A,Product!E:E,"Bulunamadı")</f>
        <v>6.11</v>
      </c>
      <c r="I2407" s="2" t="str">
        <f t="shared" si="1"/>
        <v>85944 - Tech - Cycling</v>
      </c>
      <c r="J2407" s="2">
        <f t="shared" si="2"/>
        <v>1527.5</v>
      </c>
      <c r="K2407" s="17">
        <f t="shared" si="3"/>
        <v>1</v>
      </c>
      <c r="L2407" s="18"/>
    </row>
    <row r="2408" hidden="1">
      <c r="A2408" s="2">
        <f>IFERROR(__xludf.DUMMYFUNCTION("""COMPUTED_VALUE"""),76665.0)</f>
        <v>76665</v>
      </c>
      <c r="B2408" s="2">
        <f>IFERROR(__xludf.DUMMYFUNCTION("""COMPUTED_VALUE"""),1.0)</f>
        <v>1</v>
      </c>
      <c r="C2408" s="2">
        <f>IFERROR(__xludf.DUMMYFUNCTION("""COMPUTED_VALUE"""),467.0)</f>
        <v>467</v>
      </c>
      <c r="D2408" s="3">
        <f>IFERROR(__xludf.DUMMYFUNCTION("""COMPUTED_VALUE"""),284.0)</f>
        <v>284</v>
      </c>
      <c r="E2408" s="1" t="str">
        <f t="array" ref="E2408">_xlfn.XLOOKUP(A2408,Product!A:A,Product!B:B,"Bulunamadı")</f>
        <v>Tech</v>
      </c>
      <c r="F2408" s="1" t="str">
        <f t="array" ref="F2408">_xlfn.XLOOKUP(A2408,Product!A:A,Product!C:C,"Bulunamadı")</f>
        <v>Cycling</v>
      </c>
      <c r="G2408" s="2" t="str">
        <f t="array" ref="G2408">_xlfn.XLOOKUP(A2409,Product!A:A,Product!D:D,"Bulunamadı")</f>
        <v>Oakway Books</v>
      </c>
      <c r="H2408" s="2">
        <f t="array" ref="H2408">_xlfn.XLOOKUP(A2410,Product!A:A,Product!E:E,"Bulunamadı")</f>
        <v>11.11</v>
      </c>
      <c r="I2408" s="2" t="str">
        <f t="shared" si="1"/>
        <v>76665 - Tech - Cycling</v>
      </c>
      <c r="J2408" s="2">
        <f t="shared" si="2"/>
        <v>3155.24</v>
      </c>
      <c r="K2408" s="17">
        <f t="shared" si="3"/>
        <v>1</v>
      </c>
      <c r="L2408" s="18"/>
    </row>
    <row r="2409" hidden="1">
      <c r="A2409" s="2">
        <f>IFERROR(__xludf.DUMMYFUNCTION("""COMPUTED_VALUE"""),102286.0)</f>
        <v>102286</v>
      </c>
      <c r="B2409" s="2">
        <f>IFERROR(__xludf.DUMMYFUNCTION("""COMPUTED_VALUE"""),1.0)</f>
        <v>1</v>
      </c>
      <c r="C2409" s="2">
        <f>IFERROR(__xludf.DUMMYFUNCTION("""COMPUTED_VALUE"""),745.0)</f>
        <v>745</v>
      </c>
      <c r="D2409" s="3">
        <f>IFERROR(__xludf.DUMMYFUNCTION("""COMPUTED_VALUE"""),689.0)</f>
        <v>689</v>
      </c>
      <c r="E2409" s="1" t="str">
        <f t="array" ref="E2409">_xlfn.XLOOKUP(A2409,Product!A:A,Product!B:B,"Bulunamadı")</f>
        <v>Tech</v>
      </c>
      <c r="F2409" s="1" t="str">
        <f t="array" ref="F2409">_xlfn.XLOOKUP(A2409,Product!A:A,Product!C:C,"Bulunamadı")</f>
        <v>Cycling</v>
      </c>
      <c r="G2409" s="2" t="str">
        <f t="array" ref="G2409">_xlfn.XLOOKUP(A2410,Product!A:A,Product!D:D,"Bulunamadı")</f>
        <v>Oakway Books</v>
      </c>
      <c r="H2409" s="2">
        <f t="array" ref="H2409">_xlfn.XLOOKUP(A2411,Product!A:A,Product!E:E,"Bulunamadı")</f>
        <v>7.64</v>
      </c>
      <c r="I2409" s="2" t="str">
        <f t="shared" si="1"/>
        <v>102286 - Tech - Cycling</v>
      </c>
      <c r="J2409" s="2">
        <f t="shared" si="2"/>
        <v>5263.96</v>
      </c>
      <c r="K2409" s="17">
        <f t="shared" si="3"/>
        <v>1</v>
      </c>
      <c r="L2409" s="18"/>
    </row>
    <row r="2410" hidden="1">
      <c r="A2410" s="2">
        <f>IFERROR(__xludf.DUMMYFUNCTION("""COMPUTED_VALUE"""),77199.0)</f>
        <v>77199</v>
      </c>
      <c r="B2410" s="2">
        <f>IFERROR(__xludf.DUMMYFUNCTION("""COMPUTED_VALUE"""),1.0)</f>
        <v>1</v>
      </c>
      <c r="C2410" s="2">
        <f>IFERROR(__xludf.DUMMYFUNCTION("""COMPUTED_VALUE"""),496.0)</f>
        <v>496</v>
      </c>
      <c r="D2410" s="3">
        <f>IFERROR(__xludf.DUMMYFUNCTION("""COMPUTED_VALUE"""),217.0)</f>
        <v>217</v>
      </c>
      <c r="E2410" s="1" t="str">
        <f t="array" ref="E2410">_xlfn.XLOOKUP(A2410,Product!A:A,Product!B:B,"Bulunamadı")</f>
        <v>Tech</v>
      </c>
      <c r="F2410" s="1" t="str">
        <f t="array" ref="F2410">_xlfn.XLOOKUP(A2410,Product!A:A,Product!C:C,"Bulunamadı")</f>
        <v>Cycling</v>
      </c>
      <c r="G2410" s="2" t="str">
        <f t="array" ref="G2410">_xlfn.XLOOKUP(A2411,Product!A:A,Product!D:D,"Bulunamadı")</f>
        <v>Oakway Books</v>
      </c>
      <c r="H2410" s="2">
        <f t="array" ref="H2410">_xlfn.XLOOKUP(A2412,Product!A:A,Product!E:E,"Bulunamadı")</f>
        <v>6.01</v>
      </c>
      <c r="I2410" s="2" t="str">
        <f t="shared" si="1"/>
        <v>77199 - Tech - Cycling</v>
      </c>
      <c r="J2410" s="2">
        <f t="shared" si="2"/>
        <v>1304.17</v>
      </c>
      <c r="K2410" s="17">
        <f t="shared" si="3"/>
        <v>1</v>
      </c>
      <c r="L2410" s="18"/>
    </row>
    <row r="2411" hidden="1">
      <c r="A2411" s="2">
        <f>IFERROR(__xludf.DUMMYFUNCTION("""COMPUTED_VALUE"""),11722.0)</f>
        <v>11722</v>
      </c>
      <c r="B2411" s="2">
        <f>IFERROR(__xludf.DUMMYFUNCTION("""COMPUTED_VALUE"""),0.0)</f>
        <v>0</v>
      </c>
      <c r="C2411" s="2">
        <f>IFERROR(__xludf.DUMMYFUNCTION("""COMPUTED_VALUE"""),547.0)</f>
        <v>547</v>
      </c>
      <c r="D2411" s="3">
        <f>IFERROR(__xludf.DUMMYFUNCTION("""COMPUTED_VALUE"""),133.0)</f>
        <v>133</v>
      </c>
      <c r="E2411" s="1" t="str">
        <f t="array" ref="E2411">_xlfn.XLOOKUP(A2411,Product!A:A,Product!B:B,"Bulunamadı")</f>
        <v>Tech</v>
      </c>
      <c r="F2411" s="1" t="str">
        <f t="array" ref="F2411">_xlfn.XLOOKUP(A2411,Product!A:A,Product!C:C,"Bulunamadı")</f>
        <v>Cycling</v>
      </c>
      <c r="G2411" s="2" t="str">
        <f t="array" ref="G2411">_xlfn.XLOOKUP(A2412,Product!A:A,Product!D:D,"Bulunamadı")</f>
        <v>Oakway Books</v>
      </c>
      <c r="H2411" s="2">
        <f t="array" ref="H2411">_xlfn.XLOOKUP(A2413,Product!A:A,Product!E:E,"Bulunamadı")</f>
        <v>3.62</v>
      </c>
      <c r="I2411" s="2" t="str">
        <f t="shared" si="1"/>
        <v>11722 - Tech - Cycling</v>
      </c>
      <c r="J2411" s="2">
        <f t="shared" si="2"/>
        <v>481.46</v>
      </c>
      <c r="K2411" s="17">
        <f t="shared" si="3"/>
        <v>1</v>
      </c>
      <c r="L2411" s="18"/>
    </row>
    <row r="2412" hidden="1">
      <c r="A2412" s="2">
        <f>IFERROR(__xludf.DUMMYFUNCTION("""COMPUTED_VALUE"""),97949.0)</f>
        <v>97949</v>
      </c>
      <c r="B2412" s="2">
        <f>IFERROR(__xludf.DUMMYFUNCTION("""COMPUTED_VALUE"""),1.0)</f>
        <v>1</v>
      </c>
      <c r="C2412" s="2">
        <f>IFERROR(__xludf.DUMMYFUNCTION("""COMPUTED_VALUE"""),336.0)</f>
        <v>336</v>
      </c>
      <c r="D2412" s="3">
        <f>IFERROR(__xludf.DUMMYFUNCTION("""COMPUTED_VALUE"""),87.0)</f>
        <v>87</v>
      </c>
      <c r="E2412" s="1" t="str">
        <f t="array" ref="E2412">_xlfn.XLOOKUP(A2412,Product!A:A,Product!B:B,"Bulunamadı")</f>
        <v>Tech</v>
      </c>
      <c r="F2412" s="1" t="str">
        <f t="array" ref="F2412">_xlfn.XLOOKUP(A2412,Product!A:A,Product!C:C,"Bulunamadı")</f>
        <v>Cycling</v>
      </c>
      <c r="G2412" s="2" t="str">
        <f t="array" ref="G2412">_xlfn.XLOOKUP(A2413,Product!A:A,Product!D:D,"Bulunamadı")</f>
        <v>Riverway Press</v>
      </c>
      <c r="H2412" s="2">
        <f t="array" ref="H2412">_xlfn.XLOOKUP(A2414,Product!A:A,Product!E:E,"Bulunamadı")</f>
        <v>4.21</v>
      </c>
      <c r="I2412" s="2" t="str">
        <f t="shared" si="1"/>
        <v>97949 - Tech - Cycling</v>
      </c>
      <c r="J2412" s="2">
        <f t="shared" si="2"/>
        <v>366.27</v>
      </c>
      <c r="K2412" s="17">
        <f t="shared" si="3"/>
        <v>1</v>
      </c>
      <c r="L2412" s="18"/>
    </row>
    <row r="2413" hidden="1">
      <c r="A2413" s="2">
        <f>IFERROR(__xludf.DUMMYFUNCTION("""COMPUTED_VALUE"""),9701.0)</f>
        <v>9701</v>
      </c>
      <c r="B2413" s="2">
        <f>IFERROR(__xludf.DUMMYFUNCTION("""COMPUTED_VALUE"""),1.0)</f>
        <v>1</v>
      </c>
      <c r="C2413" s="2">
        <f>IFERROR(__xludf.DUMMYFUNCTION("""COMPUTED_VALUE"""),571.0)</f>
        <v>571</v>
      </c>
      <c r="D2413" s="3">
        <f>IFERROR(__xludf.DUMMYFUNCTION("""COMPUTED_VALUE"""),554.0)</f>
        <v>554</v>
      </c>
      <c r="E2413" s="1" t="str">
        <f t="array" ref="E2413">_xlfn.XLOOKUP(A2413,Product!A:A,Product!B:B,"Bulunamadı")</f>
        <v>Tech</v>
      </c>
      <c r="F2413" s="1" t="str">
        <f t="array" ref="F2413">_xlfn.XLOOKUP(A2413,Product!A:A,Product!C:C,"Bulunamadı")</f>
        <v>Cycling</v>
      </c>
      <c r="G2413" s="2" t="str">
        <f t="array" ref="G2413">_xlfn.XLOOKUP(A2414,Product!A:A,Product!D:D,"Bulunamadı")</f>
        <v>Riverway Press</v>
      </c>
      <c r="H2413" s="2">
        <f t="array" ref="H2413">_xlfn.XLOOKUP(A2415,Product!A:A,Product!E:E,"Bulunamadı")</f>
        <v>1.92</v>
      </c>
      <c r="I2413" s="2" t="str">
        <f t="shared" si="1"/>
        <v>9701 - Tech - Cycling</v>
      </c>
      <c r="J2413" s="2">
        <f t="shared" si="2"/>
        <v>1063.68</v>
      </c>
      <c r="K2413" s="17">
        <f t="shared" si="3"/>
        <v>1</v>
      </c>
      <c r="L2413" s="18"/>
    </row>
    <row r="2414" hidden="1">
      <c r="A2414" s="2">
        <f>IFERROR(__xludf.DUMMYFUNCTION("""COMPUTED_VALUE"""),117615.0)</f>
        <v>117615</v>
      </c>
      <c r="B2414" s="2">
        <f>IFERROR(__xludf.DUMMYFUNCTION("""COMPUTED_VALUE"""),1.0)</f>
        <v>1</v>
      </c>
      <c r="C2414" s="2">
        <f>IFERROR(__xludf.DUMMYFUNCTION("""COMPUTED_VALUE"""),768.0)</f>
        <v>768</v>
      </c>
      <c r="D2414" s="3">
        <f>IFERROR(__xludf.DUMMYFUNCTION("""COMPUTED_VALUE"""),276.0)</f>
        <v>276</v>
      </c>
      <c r="E2414" s="1" t="str">
        <f t="array" ref="E2414">_xlfn.XLOOKUP(A2414,Product!A:A,Product!B:B,"Bulunamadı")</f>
        <v>Tech</v>
      </c>
      <c r="F2414" s="1" t="str">
        <f t="array" ref="F2414">_xlfn.XLOOKUP(A2414,Product!A:A,Product!C:C,"Bulunamadı")</f>
        <v>Cycling</v>
      </c>
      <c r="G2414" s="2" t="str">
        <f t="array" ref="G2414">_xlfn.XLOOKUP(A2415,Product!A:A,Product!D:D,"Bulunamadı")</f>
        <v>Riverway Press</v>
      </c>
      <c r="H2414" s="2">
        <f t="array" ref="H2414">_xlfn.XLOOKUP(A2416,Product!A:A,Product!E:E,"Bulunamadı")</f>
        <v>13.83</v>
      </c>
      <c r="I2414" s="2" t="str">
        <f t="shared" si="1"/>
        <v>117615 - Tech - Cycling</v>
      </c>
      <c r="J2414" s="2">
        <f t="shared" si="2"/>
        <v>3817.08</v>
      </c>
      <c r="K2414" s="17">
        <f t="shared" si="3"/>
        <v>1</v>
      </c>
      <c r="L2414" s="18"/>
    </row>
    <row r="2415" hidden="1">
      <c r="A2415" s="2">
        <f>IFERROR(__xludf.DUMMYFUNCTION("""COMPUTED_VALUE"""),10076.0)</f>
        <v>10076</v>
      </c>
      <c r="B2415" s="2">
        <f>IFERROR(__xludf.DUMMYFUNCTION("""COMPUTED_VALUE"""),1.0)</f>
        <v>1</v>
      </c>
      <c r="C2415" s="2">
        <f>IFERROR(__xludf.DUMMYFUNCTION("""COMPUTED_VALUE"""),223.0)</f>
        <v>223</v>
      </c>
      <c r="D2415" s="3">
        <f>IFERROR(__xludf.DUMMYFUNCTION("""COMPUTED_VALUE"""),199.0)</f>
        <v>199</v>
      </c>
      <c r="E2415" s="1" t="str">
        <f t="array" ref="E2415">_xlfn.XLOOKUP(A2415,Product!A:A,Product!B:B,"Bulunamadı")</f>
        <v>Tech</v>
      </c>
      <c r="F2415" s="1" t="str">
        <f t="array" ref="F2415">_xlfn.XLOOKUP(A2415,Product!A:A,Product!C:C,"Bulunamadı")</f>
        <v>Cycling</v>
      </c>
      <c r="G2415" s="2" t="str">
        <f t="array" ref="G2415">_xlfn.XLOOKUP(A2416,Product!A:A,Product!D:D,"Bulunamadı")</f>
        <v>Riverway Press</v>
      </c>
      <c r="H2415" s="2">
        <f t="array" ref="H2415">_xlfn.XLOOKUP(A2417,Product!A:A,Product!E:E,"Bulunamadı")</f>
        <v>2.17</v>
      </c>
      <c r="I2415" s="2" t="str">
        <f t="shared" si="1"/>
        <v>10076 - Tech - Cycling</v>
      </c>
      <c r="J2415" s="2">
        <f t="shared" si="2"/>
        <v>431.83</v>
      </c>
      <c r="K2415" s="17">
        <f t="shared" si="3"/>
        <v>1</v>
      </c>
      <c r="L2415" s="18"/>
    </row>
    <row r="2416" hidden="1">
      <c r="A2416" s="2">
        <f>IFERROR(__xludf.DUMMYFUNCTION("""COMPUTED_VALUE"""),106572.0)</f>
        <v>106572</v>
      </c>
      <c r="B2416" s="2">
        <f>IFERROR(__xludf.DUMMYFUNCTION("""COMPUTED_VALUE"""),0.0)</f>
        <v>0</v>
      </c>
      <c r="C2416" s="2">
        <f>IFERROR(__xludf.DUMMYFUNCTION("""COMPUTED_VALUE"""),685.0)</f>
        <v>685</v>
      </c>
      <c r="D2416" s="3">
        <f>IFERROR(__xludf.DUMMYFUNCTION("""COMPUTED_VALUE"""),261.0)</f>
        <v>261</v>
      </c>
      <c r="E2416" s="1" t="str">
        <f t="array" ref="E2416">_xlfn.XLOOKUP(A2416,Product!A:A,Product!B:B,"Bulunamadı")</f>
        <v>Tech</v>
      </c>
      <c r="F2416" s="1" t="str">
        <f t="array" ref="F2416">_xlfn.XLOOKUP(A2416,Product!A:A,Product!C:C,"Bulunamadı")</f>
        <v>Cycling</v>
      </c>
      <c r="G2416" s="2" t="str">
        <f t="array" ref="G2416">_xlfn.XLOOKUP(A2417,Product!A:A,Product!D:D,"Bulunamadı")</f>
        <v>Riverway Press</v>
      </c>
      <c r="H2416" s="2">
        <f t="array" ref="H2416">_xlfn.XLOOKUP(A2418,Product!A:A,Product!E:E,"Bulunamadı")</f>
        <v>2.8</v>
      </c>
      <c r="I2416" s="2" t="str">
        <f t="shared" si="1"/>
        <v>106572 - Tech - Cycling</v>
      </c>
      <c r="J2416" s="2">
        <f t="shared" si="2"/>
        <v>730.8</v>
      </c>
      <c r="K2416" s="17">
        <f t="shared" si="3"/>
        <v>1</v>
      </c>
      <c r="L2416" s="18"/>
    </row>
    <row r="2417" hidden="1">
      <c r="A2417" s="2">
        <f>IFERROR(__xludf.DUMMYFUNCTION("""COMPUTED_VALUE"""),10081.0)</f>
        <v>10081</v>
      </c>
      <c r="B2417" s="2">
        <f>IFERROR(__xludf.DUMMYFUNCTION("""COMPUTED_VALUE"""),0.0)</f>
        <v>0</v>
      </c>
      <c r="C2417" s="2">
        <f>IFERROR(__xludf.DUMMYFUNCTION("""COMPUTED_VALUE"""),664.0)</f>
        <v>664</v>
      </c>
      <c r="D2417" s="3">
        <f>IFERROR(__xludf.DUMMYFUNCTION("""COMPUTED_VALUE"""),516.0)</f>
        <v>516</v>
      </c>
      <c r="E2417" s="1" t="str">
        <f t="array" ref="E2417">_xlfn.XLOOKUP(A2417,Product!A:A,Product!B:B,"Bulunamadı")</f>
        <v>Tech</v>
      </c>
      <c r="F2417" s="1" t="str">
        <f t="array" ref="F2417">_xlfn.XLOOKUP(A2417,Product!A:A,Product!C:C,"Bulunamadı")</f>
        <v>Cycling</v>
      </c>
      <c r="G2417" s="2" t="str">
        <f t="array" ref="G2417">_xlfn.XLOOKUP(A2418,Product!A:A,Product!D:D,"Bulunamadı")</f>
        <v>Riverway Press</v>
      </c>
      <c r="H2417" s="2">
        <f t="array" ref="H2417">_xlfn.XLOOKUP(A2419,Product!A:A,Product!E:E,"Bulunamadı")</f>
        <v>4.29</v>
      </c>
      <c r="I2417" s="2" t="str">
        <f t="shared" si="1"/>
        <v>10081 - Tech - Cycling</v>
      </c>
      <c r="J2417" s="2">
        <f t="shared" si="2"/>
        <v>2213.64</v>
      </c>
      <c r="K2417" s="17">
        <f t="shared" si="3"/>
        <v>1</v>
      </c>
      <c r="L2417" s="18"/>
    </row>
    <row r="2418" hidden="1">
      <c r="A2418" s="2">
        <f>IFERROR(__xludf.DUMMYFUNCTION("""COMPUTED_VALUE"""),46424.0)</f>
        <v>46424</v>
      </c>
      <c r="B2418" s="2">
        <f>IFERROR(__xludf.DUMMYFUNCTION("""COMPUTED_VALUE"""),1.0)</f>
        <v>1</v>
      </c>
      <c r="C2418" s="2">
        <f>IFERROR(__xludf.DUMMYFUNCTION("""COMPUTED_VALUE"""),722.0)</f>
        <v>722</v>
      </c>
      <c r="D2418" s="3">
        <f>IFERROR(__xludf.DUMMYFUNCTION("""COMPUTED_VALUE"""),493.0)</f>
        <v>493</v>
      </c>
      <c r="E2418" s="1" t="str">
        <f t="array" ref="E2418">_xlfn.XLOOKUP(A2418,Product!A:A,Product!B:B,"Bulunamadı")</f>
        <v>Tech</v>
      </c>
      <c r="F2418" s="1" t="str">
        <f t="array" ref="F2418">_xlfn.XLOOKUP(A2418,Product!A:A,Product!C:C,"Bulunamadı")</f>
        <v>Cycling</v>
      </c>
      <c r="G2418" s="2" t="str">
        <f t="array" ref="G2418">_xlfn.XLOOKUP(A2419,Product!A:A,Product!D:D,"Bulunamadı")</f>
        <v>Riverway Press</v>
      </c>
      <c r="H2418" s="2">
        <f t="array" ref="H2418">_xlfn.XLOOKUP(A2420,Product!A:A,Product!E:E,"Bulunamadı")</f>
        <v>2.1</v>
      </c>
      <c r="I2418" s="2" t="str">
        <f t="shared" si="1"/>
        <v>46424 - Tech - Cycling</v>
      </c>
      <c r="J2418" s="2">
        <f t="shared" si="2"/>
        <v>1035.3</v>
      </c>
      <c r="K2418" s="17">
        <f t="shared" si="3"/>
        <v>1</v>
      </c>
      <c r="L2418" s="18"/>
    </row>
    <row r="2419" hidden="1">
      <c r="A2419" s="2">
        <f>IFERROR(__xludf.DUMMYFUNCTION("""COMPUTED_VALUE"""),118931.0)</f>
        <v>118931</v>
      </c>
      <c r="B2419" s="2">
        <f>IFERROR(__xludf.DUMMYFUNCTION("""COMPUTED_VALUE"""),0.0)</f>
        <v>0</v>
      </c>
      <c r="C2419" s="2">
        <f>IFERROR(__xludf.DUMMYFUNCTION("""COMPUTED_VALUE"""),40.0)</f>
        <v>40</v>
      </c>
      <c r="D2419" s="3">
        <f>IFERROR(__xludf.DUMMYFUNCTION("""COMPUTED_VALUE"""),25.0)</f>
        <v>25</v>
      </c>
      <c r="E2419" s="1" t="str">
        <f t="array" ref="E2419">_xlfn.XLOOKUP(A2419,Product!A:A,Product!B:B,"Bulunamadı")</f>
        <v>Tech</v>
      </c>
      <c r="F2419" s="1" t="str">
        <f t="array" ref="F2419">_xlfn.XLOOKUP(A2419,Product!A:A,Product!C:C,"Bulunamadı")</f>
        <v>Cycling</v>
      </c>
      <c r="G2419" s="2" t="str">
        <f t="array" ref="G2419">_xlfn.XLOOKUP(A2420,Product!A:A,Product!D:D,"Bulunamadı")</f>
        <v>Riverway Press</v>
      </c>
      <c r="H2419" s="2">
        <f t="array" ref="H2419">_xlfn.XLOOKUP(A2421,Product!A:A,Product!E:E,"Bulunamadı")</f>
        <v>8.46</v>
      </c>
      <c r="I2419" s="2" t="str">
        <f t="shared" si="1"/>
        <v>118931 - Tech - Cycling</v>
      </c>
      <c r="J2419" s="2">
        <f t="shared" si="2"/>
        <v>211.5</v>
      </c>
      <c r="K2419" s="17">
        <f t="shared" si="3"/>
        <v>1</v>
      </c>
      <c r="L2419" s="18"/>
    </row>
    <row r="2420" hidden="1">
      <c r="A2420" s="2">
        <f>IFERROR(__xludf.DUMMYFUNCTION("""COMPUTED_VALUE"""),10078.0)</f>
        <v>10078</v>
      </c>
      <c r="B2420" s="2">
        <f>IFERROR(__xludf.DUMMYFUNCTION("""COMPUTED_VALUE"""),0.0)</f>
        <v>0</v>
      </c>
      <c r="C2420" s="2">
        <f>IFERROR(__xludf.DUMMYFUNCTION("""COMPUTED_VALUE"""),216.0)</f>
        <v>216</v>
      </c>
      <c r="D2420" s="3">
        <f>IFERROR(__xludf.DUMMYFUNCTION("""COMPUTED_VALUE"""),68.0)</f>
        <v>68</v>
      </c>
      <c r="E2420" s="1" t="str">
        <f t="array" ref="E2420">_xlfn.XLOOKUP(A2420,Product!A:A,Product!B:B,"Bulunamadı")</f>
        <v>Tech</v>
      </c>
      <c r="F2420" s="1" t="str">
        <f t="array" ref="F2420">_xlfn.XLOOKUP(A2420,Product!A:A,Product!C:C,"Bulunamadı")</f>
        <v>Cycling</v>
      </c>
      <c r="G2420" s="2" t="str">
        <f t="array" ref="G2420">_xlfn.XLOOKUP(A2421,Product!A:A,Product!D:D,"Bulunamadı")</f>
        <v>Riverway Press</v>
      </c>
      <c r="H2420" s="2">
        <f t="array" ref="H2420">_xlfn.XLOOKUP(A2422,Product!A:A,Product!E:E,"Bulunamadı")</f>
        <v>7.52</v>
      </c>
      <c r="I2420" s="2" t="str">
        <f t="shared" si="1"/>
        <v>10078 - Tech - Cycling</v>
      </c>
      <c r="J2420" s="2">
        <f t="shared" si="2"/>
        <v>511.36</v>
      </c>
      <c r="K2420" s="17">
        <f t="shared" si="3"/>
        <v>1</v>
      </c>
      <c r="L2420" s="18"/>
    </row>
    <row r="2421" hidden="1">
      <c r="A2421" s="2">
        <f>IFERROR(__xludf.DUMMYFUNCTION("""COMPUTED_VALUE"""),75824.0)</f>
        <v>75824</v>
      </c>
      <c r="B2421" s="2">
        <f>IFERROR(__xludf.DUMMYFUNCTION("""COMPUTED_VALUE"""),1.0)</f>
        <v>1</v>
      </c>
      <c r="C2421" s="2">
        <f>IFERROR(__xludf.DUMMYFUNCTION("""COMPUTED_VALUE"""),649.0)</f>
        <v>649</v>
      </c>
      <c r="D2421" s="3">
        <f>IFERROR(__xludf.DUMMYFUNCTION("""COMPUTED_VALUE"""),68.0)</f>
        <v>68</v>
      </c>
      <c r="E2421" s="1" t="str">
        <f t="array" ref="E2421">_xlfn.XLOOKUP(A2421,Product!A:A,Product!B:B,"Bulunamadı")</f>
        <v>Tech</v>
      </c>
      <c r="F2421" s="1" t="str">
        <f t="array" ref="F2421">_xlfn.XLOOKUP(A2421,Product!A:A,Product!C:C,"Bulunamadı")</f>
        <v>Cycling</v>
      </c>
      <c r="G2421" s="2" t="str">
        <f t="array" ref="G2421">_xlfn.XLOOKUP(A2422,Product!A:A,Product!D:D,"Bulunamadı")</f>
        <v>Riverway Press</v>
      </c>
      <c r="H2421" s="2">
        <f t="array" ref="H2421">_xlfn.XLOOKUP(A2423,Product!A:A,Product!E:E,"Bulunamadı")</f>
        <v>13.17</v>
      </c>
      <c r="I2421" s="2" t="str">
        <f t="shared" si="1"/>
        <v>75824 - Tech - Cycling</v>
      </c>
      <c r="J2421" s="2">
        <f t="shared" si="2"/>
        <v>895.56</v>
      </c>
      <c r="K2421" s="17">
        <f t="shared" si="3"/>
        <v>1</v>
      </c>
      <c r="L2421" s="18"/>
    </row>
    <row r="2422" hidden="1">
      <c r="A2422" s="2">
        <f>IFERROR(__xludf.DUMMYFUNCTION("""COMPUTED_VALUE"""),80433.0)</f>
        <v>80433</v>
      </c>
      <c r="B2422" s="2">
        <f>IFERROR(__xludf.DUMMYFUNCTION("""COMPUTED_VALUE"""),1.0)</f>
        <v>1</v>
      </c>
      <c r="C2422" s="2">
        <f>IFERROR(__xludf.DUMMYFUNCTION("""COMPUTED_VALUE"""),26.0)</f>
        <v>26</v>
      </c>
      <c r="D2422" s="3">
        <f>IFERROR(__xludf.DUMMYFUNCTION("""COMPUTED_VALUE"""),21.0)</f>
        <v>21</v>
      </c>
      <c r="E2422" s="1" t="str">
        <f t="array" ref="E2422">_xlfn.XLOOKUP(A2422,Product!A:A,Product!B:B,"Bulunamadı")</f>
        <v>Tech</v>
      </c>
      <c r="F2422" s="1" t="str">
        <f t="array" ref="F2422">_xlfn.XLOOKUP(A2422,Product!A:A,Product!C:C,"Bulunamadı")</f>
        <v>Cycling</v>
      </c>
      <c r="G2422" s="2" t="str">
        <f t="array" ref="G2422">_xlfn.XLOOKUP(A2423,Product!A:A,Product!D:D,"Bulunamadı")</f>
        <v>Riverway Press</v>
      </c>
      <c r="H2422" s="2">
        <f t="array" ref="H2422">_xlfn.XLOOKUP(A2424,Product!A:A,Product!E:E,"Bulunamadı")</f>
        <v>3.08</v>
      </c>
      <c r="I2422" s="2" t="str">
        <f t="shared" si="1"/>
        <v>80433 - Tech - Cycling</v>
      </c>
      <c r="J2422" s="2">
        <f t="shared" si="2"/>
        <v>64.68</v>
      </c>
      <c r="K2422" s="17">
        <f t="shared" si="3"/>
        <v>1</v>
      </c>
      <c r="L2422" s="18"/>
    </row>
    <row r="2423" hidden="1">
      <c r="A2423" s="2">
        <f>IFERROR(__xludf.DUMMYFUNCTION("""COMPUTED_VALUE"""),106566.0)</f>
        <v>106566</v>
      </c>
      <c r="B2423" s="2">
        <f>IFERROR(__xludf.DUMMYFUNCTION("""COMPUTED_VALUE"""),1.0)</f>
        <v>1</v>
      </c>
      <c r="C2423" s="2">
        <f>IFERROR(__xludf.DUMMYFUNCTION("""COMPUTED_VALUE"""),869.0)</f>
        <v>869</v>
      </c>
      <c r="D2423" s="3">
        <f>IFERROR(__xludf.DUMMYFUNCTION("""COMPUTED_VALUE"""),164.0)</f>
        <v>164</v>
      </c>
      <c r="E2423" s="1" t="str">
        <f t="array" ref="E2423">_xlfn.XLOOKUP(A2423,Product!A:A,Product!B:B,"Bulunamadı")</f>
        <v>Tech</v>
      </c>
      <c r="F2423" s="1" t="str">
        <f t="array" ref="F2423">_xlfn.XLOOKUP(A2423,Product!A:A,Product!C:C,"Bulunamadı")</f>
        <v>Cycling</v>
      </c>
      <c r="G2423" s="2" t="str">
        <f t="array" ref="G2423">_xlfn.XLOOKUP(A2424,Product!A:A,Product!D:D,"Bulunamadı")</f>
        <v>Riverway Press</v>
      </c>
      <c r="H2423" s="2">
        <f t="array" ref="H2423">_xlfn.XLOOKUP(A2425,Product!A:A,Product!E:E,"Bulunamadı")</f>
        <v>7.61</v>
      </c>
      <c r="I2423" s="2" t="str">
        <f t="shared" si="1"/>
        <v>106566 - Tech - Cycling</v>
      </c>
      <c r="J2423" s="2">
        <f t="shared" si="2"/>
        <v>1248.04</v>
      </c>
      <c r="K2423" s="17">
        <f t="shared" si="3"/>
        <v>1</v>
      </c>
      <c r="L2423" s="18"/>
    </row>
    <row r="2424" hidden="1">
      <c r="A2424" s="2">
        <f>IFERROR(__xludf.DUMMYFUNCTION("""COMPUTED_VALUE"""),9702.0)</f>
        <v>9702</v>
      </c>
      <c r="B2424" s="2">
        <f>IFERROR(__xludf.DUMMYFUNCTION("""COMPUTED_VALUE"""),0.0)</f>
        <v>0</v>
      </c>
      <c r="C2424" s="2">
        <f>IFERROR(__xludf.DUMMYFUNCTION("""COMPUTED_VALUE"""),383.0)</f>
        <v>383</v>
      </c>
      <c r="D2424" s="3">
        <f>IFERROR(__xludf.DUMMYFUNCTION("""COMPUTED_VALUE"""),89.0)</f>
        <v>89</v>
      </c>
      <c r="E2424" s="1" t="str">
        <f t="array" ref="E2424">_xlfn.XLOOKUP(A2424,Product!A:A,Product!B:B,"Bulunamadı")</f>
        <v>Tech</v>
      </c>
      <c r="F2424" s="1" t="str">
        <f t="array" ref="F2424">_xlfn.XLOOKUP(A2424,Product!A:A,Product!C:C,"Bulunamadı")</f>
        <v>Cycling</v>
      </c>
      <c r="G2424" s="2" t="str">
        <f t="array" ref="G2424">_xlfn.XLOOKUP(A2425,Product!A:A,Product!D:D,"Bulunamadı")</f>
        <v>Riverway Press</v>
      </c>
      <c r="H2424" s="2">
        <f t="array" ref="H2424">_xlfn.XLOOKUP(A2426,Product!A:A,Product!E:E,"Bulunamadı")</f>
        <v>6.02</v>
      </c>
      <c r="I2424" s="2" t="str">
        <f t="shared" si="1"/>
        <v>9702 - Tech - Cycling</v>
      </c>
      <c r="J2424" s="2">
        <f t="shared" si="2"/>
        <v>535.78</v>
      </c>
      <c r="K2424" s="17">
        <f t="shared" si="3"/>
        <v>1</v>
      </c>
      <c r="L2424" s="18"/>
    </row>
    <row r="2425" hidden="1">
      <c r="A2425" s="2">
        <f>IFERROR(__xludf.DUMMYFUNCTION("""COMPUTED_VALUE"""),122445.0)</f>
        <v>122445</v>
      </c>
      <c r="B2425" s="2">
        <f>IFERROR(__xludf.DUMMYFUNCTION("""COMPUTED_VALUE"""),0.0)</f>
        <v>0</v>
      </c>
      <c r="C2425" s="2">
        <f>IFERROR(__xludf.DUMMYFUNCTION("""COMPUTED_VALUE"""),135.0)</f>
        <v>135</v>
      </c>
      <c r="D2425" s="3">
        <f>IFERROR(__xludf.DUMMYFUNCTION("""COMPUTED_VALUE"""),14.0)</f>
        <v>14</v>
      </c>
      <c r="E2425" s="1" t="str">
        <f t="array" ref="E2425">_xlfn.XLOOKUP(A2425,Product!A:A,Product!B:B,"Bulunamadı")</f>
        <v>Tech</v>
      </c>
      <c r="F2425" s="1" t="str">
        <f t="array" ref="F2425">_xlfn.XLOOKUP(A2425,Product!A:A,Product!C:C,"Bulunamadı")</f>
        <v>Cycling</v>
      </c>
      <c r="G2425" s="2" t="str">
        <f t="array" ref="G2425">_xlfn.XLOOKUP(A2426,Product!A:A,Product!D:D,"Bulunamadı")</f>
        <v>Riverway Press</v>
      </c>
      <c r="H2425" s="2">
        <f t="array" ref="H2425">_xlfn.XLOOKUP(A2427,Product!A:A,Product!E:E,"Bulunamadı")</f>
        <v>2.22</v>
      </c>
      <c r="I2425" s="2" t="str">
        <f t="shared" si="1"/>
        <v>122445 - Tech - Cycling</v>
      </c>
      <c r="J2425" s="2">
        <f t="shared" si="2"/>
        <v>31.08</v>
      </c>
      <c r="K2425" s="17">
        <f t="shared" si="3"/>
        <v>1</v>
      </c>
      <c r="L2425" s="18"/>
    </row>
    <row r="2426" hidden="1">
      <c r="A2426" s="2">
        <f>IFERROR(__xludf.DUMMYFUNCTION("""COMPUTED_VALUE"""),77178.0)</f>
        <v>77178</v>
      </c>
      <c r="B2426" s="2">
        <f>IFERROR(__xludf.DUMMYFUNCTION("""COMPUTED_VALUE"""),0.0)</f>
        <v>0</v>
      </c>
      <c r="C2426" s="2">
        <f>IFERROR(__xludf.DUMMYFUNCTION("""COMPUTED_VALUE"""),772.0)</f>
        <v>772</v>
      </c>
      <c r="D2426" s="3">
        <f>IFERROR(__xludf.DUMMYFUNCTION("""COMPUTED_VALUE"""),496.0)</f>
        <v>496</v>
      </c>
      <c r="E2426" s="1" t="str">
        <f t="array" ref="E2426">_xlfn.XLOOKUP(A2426,Product!A:A,Product!B:B,"Bulunamadı")</f>
        <v>Tech</v>
      </c>
      <c r="F2426" s="1" t="str">
        <f t="array" ref="F2426">_xlfn.XLOOKUP(A2426,Product!A:A,Product!C:C,"Bulunamadı")</f>
        <v>Cycling</v>
      </c>
      <c r="G2426" s="2" t="str">
        <f t="array" ref="G2426">_xlfn.XLOOKUP(A2427,Product!A:A,Product!D:D,"Bulunamadı")</f>
        <v>Riverway Press</v>
      </c>
      <c r="H2426" s="2">
        <f t="array" ref="H2426">_xlfn.XLOOKUP(A2428,Product!A:A,Product!E:E,"Bulunamadı")</f>
        <v>2.36</v>
      </c>
      <c r="I2426" s="2" t="str">
        <f t="shared" si="1"/>
        <v>77178 - Tech - Cycling</v>
      </c>
      <c r="J2426" s="2">
        <f t="shared" si="2"/>
        <v>1170.56</v>
      </c>
      <c r="K2426" s="17">
        <f t="shared" si="3"/>
        <v>1</v>
      </c>
      <c r="L2426" s="18"/>
    </row>
    <row r="2427" hidden="1">
      <c r="A2427" s="2">
        <f>IFERROR(__xludf.DUMMYFUNCTION("""COMPUTED_VALUE"""),10075.0)</f>
        <v>10075</v>
      </c>
      <c r="B2427" s="2">
        <f>IFERROR(__xludf.DUMMYFUNCTION("""COMPUTED_VALUE"""),0.0)</f>
        <v>0</v>
      </c>
      <c r="C2427" s="2">
        <f>IFERROR(__xludf.DUMMYFUNCTION("""COMPUTED_VALUE"""),134.0)</f>
        <v>134</v>
      </c>
      <c r="D2427" s="3">
        <f>IFERROR(__xludf.DUMMYFUNCTION("""COMPUTED_VALUE"""),30.0)</f>
        <v>30</v>
      </c>
      <c r="E2427" s="1" t="str">
        <f t="array" ref="E2427">_xlfn.XLOOKUP(A2427,Product!A:A,Product!B:B,"Bulunamadı")</f>
        <v>Tech</v>
      </c>
      <c r="F2427" s="1" t="str">
        <f t="array" ref="F2427">_xlfn.XLOOKUP(A2427,Product!A:A,Product!C:C,"Bulunamadı")</f>
        <v>Cycling</v>
      </c>
      <c r="G2427" s="2" t="str">
        <f t="array" ref="G2427">_xlfn.XLOOKUP(A2428,Product!A:A,Product!D:D,"Bulunamadı")</f>
        <v>Riverway Press</v>
      </c>
      <c r="H2427" s="2">
        <f t="array" ref="H2427">_xlfn.XLOOKUP(A2429,Product!A:A,Product!E:E,"Bulunamadı")</f>
        <v>7.91</v>
      </c>
      <c r="I2427" s="2" t="str">
        <f t="shared" si="1"/>
        <v>10075 - Tech - Cycling</v>
      </c>
      <c r="J2427" s="2">
        <f t="shared" si="2"/>
        <v>237.3</v>
      </c>
      <c r="K2427" s="17">
        <f t="shared" si="3"/>
        <v>1</v>
      </c>
      <c r="L2427" s="18"/>
    </row>
    <row r="2428" hidden="1">
      <c r="A2428" s="2">
        <f>IFERROR(__xludf.DUMMYFUNCTION("""COMPUTED_VALUE"""),10079.0)</f>
        <v>10079</v>
      </c>
      <c r="B2428" s="2">
        <f>IFERROR(__xludf.DUMMYFUNCTION("""COMPUTED_VALUE"""),1.0)</f>
        <v>1</v>
      </c>
      <c r="C2428" s="2">
        <f>IFERROR(__xludf.DUMMYFUNCTION("""COMPUTED_VALUE"""),895.0)</f>
        <v>895</v>
      </c>
      <c r="D2428" s="3">
        <f>IFERROR(__xludf.DUMMYFUNCTION("""COMPUTED_VALUE"""),428.0)</f>
        <v>428</v>
      </c>
      <c r="E2428" s="1" t="str">
        <f t="array" ref="E2428">_xlfn.XLOOKUP(A2428,Product!A:A,Product!B:B,"Bulunamadı")</f>
        <v>Tech</v>
      </c>
      <c r="F2428" s="1" t="str">
        <f t="array" ref="F2428">_xlfn.XLOOKUP(A2428,Product!A:A,Product!C:C,"Bulunamadı")</f>
        <v>Cycling</v>
      </c>
      <c r="G2428" s="2" t="str">
        <f t="array" ref="G2428">_xlfn.XLOOKUP(A2429,Product!A:A,Product!D:D,"Bulunamadı")</f>
        <v>Riverway Press</v>
      </c>
      <c r="H2428" s="2">
        <f t="array" ref="H2428">_xlfn.XLOOKUP(A2430,Product!A:A,Product!E:E,"Bulunamadı")</f>
        <v>7.82</v>
      </c>
      <c r="I2428" s="2" t="str">
        <f t="shared" si="1"/>
        <v>10079 - Tech - Cycling</v>
      </c>
      <c r="J2428" s="2">
        <f t="shared" si="2"/>
        <v>3346.96</v>
      </c>
      <c r="K2428" s="17">
        <f t="shared" si="3"/>
        <v>1</v>
      </c>
      <c r="L2428" s="18"/>
    </row>
    <row r="2429" hidden="1">
      <c r="A2429" s="2">
        <f>IFERROR(__xludf.DUMMYFUNCTION("""COMPUTED_VALUE"""),111469.0)</f>
        <v>111469</v>
      </c>
      <c r="B2429" s="2">
        <f>IFERROR(__xludf.DUMMYFUNCTION("""COMPUTED_VALUE"""),0.0)</f>
        <v>0</v>
      </c>
      <c r="C2429" s="2">
        <f>IFERROR(__xludf.DUMMYFUNCTION("""COMPUTED_VALUE"""),867.0)</f>
        <v>867</v>
      </c>
      <c r="D2429" s="3">
        <f>IFERROR(__xludf.DUMMYFUNCTION("""COMPUTED_VALUE"""),231.0)</f>
        <v>231</v>
      </c>
      <c r="E2429" s="1" t="str">
        <f t="array" ref="E2429">_xlfn.XLOOKUP(A2429,Product!A:A,Product!B:B,"Bulunamadı")</f>
        <v>Tech</v>
      </c>
      <c r="F2429" s="1" t="str">
        <f t="array" ref="F2429">_xlfn.XLOOKUP(A2429,Product!A:A,Product!C:C,"Bulunamadı")</f>
        <v>Cycling</v>
      </c>
      <c r="G2429" s="2" t="str">
        <f t="array" ref="G2429">_xlfn.XLOOKUP(A2430,Product!A:A,Product!D:D,"Bulunamadı")</f>
        <v>Ironway Publishing</v>
      </c>
      <c r="H2429" s="2">
        <f t="array" ref="H2429">_xlfn.XLOOKUP(A2431,Product!A:A,Product!E:E,"Bulunamadı")</f>
        <v>12.27</v>
      </c>
      <c r="I2429" s="2" t="str">
        <f t="shared" si="1"/>
        <v>111469 - Tech - Cycling</v>
      </c>
      <c r="J2429" s="2">
        <f t="shared" si="2"/>
        <v>2834.37</v>
      </c>
      <c r="K2429" s="17">
        <f t="shared" si="3"/>
        <v>1</v>
      </c>
      <c r="L2429" s="18"/>
    </row>
    <row r="2430" hidden="1">
      <c r="A2430" s="2">
        <f>IFERROR(__xludf.DUMMYFUNCTION("""COMPUTED_VALUE"""),166324.0)</f>
        <v>166324</v>
      </c>
      <c r="B2430" s="2">
        <f>IFERROR(__xludf.DUMMYFUNCTION("""COMPUTED_VALUE"""),1.0)</f>
        <v>1</v>
      </c>
      <c r="C2430" s="2">
        <f>IFERROR(__xludf.DUMMYFUNCTION("""COMPUTED_VALUE"""),180.0)</f>
        <v>180</v>
      </c>
      <c r="D2430" s="3">
        <f>IFERROR(__xludf.DUMMYFUNCTION("""COMPUTED_VALUE"""),48.0)</f>
        <v>48</v>
      </c>
      <c r="E2430" s="1" t="str">
        <f t="array" ref="E2430">_xlfn.XLOOKUP(A2430,Product!A:A,Product!B:B,"Bulunamadı")</f>
        <v>Tech</v>
      </c>
      <c r="F2430" s="1" t="str">
        <f t="array" ref="F2430">_xlfn.XLOOKUP(A2430,Product!A:A,Product!C:C,"Bulunamadı")</f>
        <v>Cycling</v>
      </c>
      <c r="G2430" s="2" t="str">
        <f t="array" ref="G2430">_xlfn.XLOOKUP(A2431,Product!A:A,Product!D:D,"Bulunamadı")</f>
        <v>Ironway Publishing</v>
      </c>
      <c r="H2430" s="2">
        <f t="array" ref="H2430">_xlfn.XLOOKUP(A2432,Product!A:A,Product!E:E,"Bulunamadı")</f>
        <v>14.94</v>
      </c>
      <c r="I2430" s="2" t="str">
        <f t="shared" si="1"/>
        <v>166324 - Tech - Cycling</v>
      </c>
      <c r="J2430" s="2">
        <f t="shared" si="2"/>
        <v>717.12</v>
      </c>
      <c r="K2430" s="17">
        <f t="shared" si="3"/>
        <v>1</v>
      </c>
      <c r="L2430" s="18"/>
    </row>
    <row r="2431" hidden="1">
      <c r="A2431" s="2">
        <f>IFERROR(__xludf.DUMMYFUNCTION("""COMPUTED_VALUE"""),7829.0)</f>
        <v>7829</v>
      </c>
      <c r="B2431" s="2">
        <f>IFERROR(__xludf.DUMMYFUNCTION("""COMPUTED_VALUE"""),1.0)</f>
        <v>1</v>
      </c>
      <c r="C2431" s="2">
        <f>IFERROR(__xludf.DUMMYFUNCTION("""COMPUTED_VALUE"""),90.0)</f>
        <v>90</v>
      </c>
      <c r="D2431" s="3">
        <f>IFERROR(__xludf.DUMMYFUNCTION("""COMPUTED_VALUE"""),76.0)</f>
        <v>76</v>
      </c>
      <c r="E2431" s="1" t="str">
        <f t="array" ref="E2431">_xlfn.XLOOKUP(A2431,Product!A:A,Product!B:B,"Bulunamadı")</f>
        <v>Tech</v>
      </c>
      <c r="F2431" s="1" t="str">
        <f t="array" ref="F2431">_xlfn.XLOOKUP(A2431,Product!A:A,Product!C:C,"Bulunamadı")</f>
        <v>Cycling</v>
      </c>
      <c r="G2431" s="2" t="str">
        <f t="array" ref="G2431">_xlfn.XLOOKUP(A2432,Product!A:A,Product!D:D,"Bulunamadı")</f>
        <v>Ironway Publishing</v>
      </c>
      <c r="H2431" s="2">
        <f t="array" ref="H2431">_xlfn.XLOOKUP(A2433,Product!A:A,Product!E:E,"Bulunamadı")</f>
        <v>11.97</v>
      </c>
      <c r="I2431" s="2" t="str">
        <f t="shared" si="1"/>
        <v>7829 - Tech - Cycling</v>
      </c>
      <c r="J2431" s="2">
        <f t="shared" si="2"/>
        <v>909.72</v>
      </c>
      <c r="K2431" s="17">
        <f t="shared" si="3"/>
        <v>1</v>
      </c>
      <c r="L2431" s="18"/>
    </row>
    <row r="2432" hidden="1">
      <c r="A2432" s="2">
        <f>IFERROR(__xludf.DUMMYFUNCTION("""COMPUTED_VALUE"""),105507.0)</f>
        <v>105507</v>
      </c>
      <c r="B2432" s="2">
        <f>IFERROR(__xludf.DUMMYFUNCTION("""COMPUTED_VALUE"""),1.0)</f>
        <v>1</v>
      </c>
      <c r="C2432" s="2">
        <f>IFERROR(__xludf.DUMMYFUNCTION("""COMPUTED_VALUE"""),357.0)</f>
        <v>357</v>
      </c>
      <c r="D2432" s="3">
        <f>IFERROR(__xludf.DUMMYFUNCTION("""COMPUTED_VALUE"""),164.0)</f>
        <v>164</v>
      </c>
      <c r="E2432" s="1" t="str">
        <f t="array" ref="E2432">_xlfn.XLOOKUP(A2432,Product!A:A,Product!B:B,"Bulunamadı")</f>
        <v>Tech</v>
      </c>
      <c r="F2432" s="1" t="str">
        <f t="array" ref="F2432">_xlfn.XLOOKUP(A2432,Product!A:A,Product!C:C,"Bulunamadı")</f>
        <v>Cycling</v>
      </c>
      <c r="G2432" s="2" t="str">
        <f t="array" ref="G2432">_xlfn.XLOOKUP(A2433,Product!A:A,Product!D:D,"Bulunamadı")</f>
        <v>Ironway Publishing</v>
      </c>
      <c r="H2432" s="2">
        <f t="array" ref="H2432">_xlfn.XLOOKUP(A2434,Product!A:A,Product!E:E,"Bulunamadı")</f>
        <v>12.57</v>
      </c>
      <c r="I2432" s="2" t="str">
        <f t="shared" si="1"/>
        <v>105507 - Tech - Cycling</v>
      </c>
      <c r="J2432" s="2">
        <f t="shared" si="2"/>
        <v>2061.48</v>
      </c>
      <c r="K2432" s="17">
        <f t="shared" si="3"/>
        <v>1</v>
      </c>
      <c r="L2432" s="18"/>
    </row>
    <row r="2433" hidden="1">
      <c r="A2433" s="2">
        <f>IFERROR(__xludf.DUMMYFUNCTION("""COMPUTED_VALUE"""),12834.0)</f>
        <v>12834</v>
      </c>
      <c r="B2433" s="2">
        <f>IFERROR(__xludf.DUMMYFUNCTION("""COMPUTED_VALUE"""),1.0)</f>
        <v>1</v>
      </c>
      <c r="C2433" s="2">
        <f>IFERROR(__xludf.DUMMYFUNCTION("""COMPUTED_VALUE"""),354.0)</f>
        <v>354</v>
      </c>
      <c r="D2433" s="3">
        <f>IFERROR(__xludf.DUMMYFUNCTION("""COMPUTED_VALUE"""),68.0)</f>
        <v>68</v>
      </c>
      <c r="E2433" s="1" t="str">
        <f t="array" ref="E2433">_xlfn.XLOOKUP(A2433,Product!A:A,Product!B:B,"Bulunamadı")</f>
        <v>Tech</v>
      </c>
      <c r="F2433" s="1" t="str">
        <f t="array" ref="F2433">_xlfn.XLOOKUP(A2433,Product!A:A,Product!C:C,"Bulunamadı")</f>
        <v>Cycling</v>
      </c>
      <c r="G2433" s="2" t="str">
        <f t="array" ref="G2433">_xlfn.XLOOKUP(A2434,Product!A:A,Product!D:D,"Bulunamadı")</f>
        <v>Ironway Publishing</v>
      </c>
      <c r="H2433" s="2">
        <f t="array" ref="H2433">_xlfn.XLOOKUP(A2435,Product!A:A,Product!E:E,"Bulunamadı")</f>
        <v>4.13</v>
      </c>
      <c r="I2433" s="2" t="str">
        <f t="shared" si="1"/>
        <v>12834 - Tech - Cycling</v>
      </c>
      <c r="J2433" s="2">
        <f t="shared" si="2"/>
        <v>280.84</v>
      </c>
      <c r="K2433" s="17">
        <f t="shared" si="3"/>
        <v>1</v>
      </c>
      <c r="L2433" s="18"/>
    </row>
    <row r="2434" hidden="1">
      <c r="A2434" s="2">
        <f>IFERROR(__xludf.DUMMYFUNCTION("""COMPUTED_VALUE"""),27984.0)</f>
        <v>27984</v>
      </c>
      <c r="B2434" s="2">
        <f>IFERROR(__xludf.DUMMYFUNCTION("""COMPUTED_VALUE"""),0.0)</f>
        <v>0</v>
      </c>
      <c r="C2434" s="2">
        <f>IFERROR(__xludf.DUMMYFUNCTION("""COMPUTED_VALUE"""),128.0)</f>
        <v>128</v>
      </c>
      <c r="D2434" s="3">
        <f>IFERROR(__xludf.DUMMYFUNCTION("""COMPUTED_VALUE"""),106.0)</f>
        <v>106</v>
      </c>
      <c r="E2434" s="1" t="str">
        <f t="array" ref="E2434">_xlfn.XLOOKUP(A2434,Product!A:A,Product!B:B,"Bulunamadı")</f>
        <v>Tech</v>
      </c>
      <c r="F2434" s="1" t="str">
        <f t="array" ref="F2434">_xlfn.XLOOKUP(A2434,Product!A:A,Product!C:C,"Bulunamadı")</f>
        <v>Cycling</v>
      </c>
      <c r="G2434" s="2" t="str">
        <f t="array" ref="G2434">_xlfn.XLOOKUP(A2435,Product!A:A,Product!D:D,"Bulunamadı")</f>
        <v>Ironway Publishing</v>
      </c>
      <c r="H2434" s="2">
        <f t="array" ref="H2434">_xlfn.XLOOKUP(A2436,Product!A:A,Product!E:E,"Bulunamadı")</f>
        <v>15.5</v>
      </c>
      <c r="I2434" s="2" t="str">
        <f t="shared" si="1"/>
        <v>27984 - Tech - Cycling</v>
      </c>
      <c r="J2434" s="2">
        <f t="shared" si="2"/>
        <v>1643</v>
      </c>
      <c r="K2434" s="17">
        <f t="shared" si="3"/>
        <v>1</v>
      </c>
      <c r="L2434" s="18"/>
    </row>
    <row r="2435" hidden="1">
      <c r="A2435" s="2">
        <f>IFERROR(__xludf.DUMMYFUNCTION("""COMPUTED_VALUE"""),29444.0)</f>
        <v>29444</v>
      </c>
      <c r="B2435" s="2">
        <f>IFERROR(__xludf.DUMMYFUNCTION("""COMPUTED_VALUE"""),0.0)</f>
        <v>0</v>
      </c>
      <c r="C2435" s="2">
        <f>IFERROR(__xludf.DUMMYFUNCTION("""COMPUTED_VALUE"""),66.0)</f>
        <v>66</v>
      </c>
      <c r="D2435" s="3">
        <f>IFERROR(__xludf.DUMMYFUNCTION("""COMPUTED_VALUE"""),39.0)</f>
        <v>39</v>
      </c>
      <c r="E2435" s="1" t="str">
        <f t="array" ref="E2435">_xlfn.XLOOKUP(A2435,Product!A:A,Product!B:B,"Bulunamadı")</f>
        <v>Tech</v>
      </c>
      <c r="F2435" s="1" t="str">
        <f t="array" ref="F2435">_xlfn.XLOOKUP(A2435,Product!A:A,Product!C:C,"Bulunamadı")</f>
        <v>Cycling</v>
      </c>
      <c r="G2435" s="2" t="str">
        <f t="array" ref="G2435">_xlfn.XLOOKUP(A2436,Product!A:A,Product!D:D,"Bulunamadı")</f>
        <v>Ironway Publishing</v>
      </c>
      <c r="H2435" s="2">
        <f t="array" ref="H2435">_xlfn.XLOOKUP(A2437,Product!A:A,Product!E:E,"Bulunamadı")</f>
        <v>19.41</v>
      </c>
      <c r="I2435" s="2" t="str">
        <f t="shared" si="1"/>
        <v>29444 - Tech - Cycling</v>
      </c>
      <c r="J2435" s="2">
        <f t="shared" si="2"/>
        <v>756.99</v>
      </c>
      <c r="K2435" s="17">
        <f t="shared" si="3"/>
        <v>1</v>
      </c>
      <c r="L2435" s="18"/>
    </row>
    <row r="2436" hidden="1">
      <c r="A2436" s="2">
        <f>IFERROR(__xludf.DUMMYFUNCTION("""COMPUTED_VALUE"""),107878.0)</f>
        <v>107878</v>
      </c>
      <c r="B2436" s="2">
        <f>IFERROR(__xludf.DUMMYFUNCTION("""COMPUTED_VALUE"""),1.0)</f>
        <v>1</v>
      </c>
      <c r="C2436" s="2">
        <f>IFERROR(__xludf.DUMMYFUNCTION("""COMPUTED_VALUE"""),479.0)</f>
        <v>479</v>
      </c>
      <c r="D2436" s="3">
        <f>IFERROR(__xludf.DUMMYFUNCTION("""COMPUTED_VALUE"""),305.0)</f>
        <v>305</v>
      </c>
      <c r="E2436" s="1" t="str">
        <f t="array" ref="E2436">_xlfn.XLOOKUP(A2436,Product!A:A,Product!B:B,"Bulunamadı")</f>
        <v>Tech</v>
      </c>
      <c r="F2436" s="1" t="str">
        <f t="array" ref="F2436">_xlfn.XLOOKUP(A2436,Product!A:A,Product!C:C,"Bulunamadı")</f>
        <v>Cycling</v>
      </c>
      <c r="G2436" s="2" t="str">
        <f t="array" ref="G2436">_xlfn.XLOOKUP(A2437,Product!A:A,Product!D:D,"Bulunamadı")</f>
        <v>Ironway Publishing</v>
      </c>
      <c r="H2436" s="2">
        <f t="array" ref="H2436">_xlfn.XLOOKUP(A2438,Product!A:A,Product!E:E,"Bulunamadı")</f>
        <v>5.59</v>
      </c>
      <c r="I2436" s="2" t="str">
        <f t="shared" si="1"/>
        <v>107878 - Tech - Cycling</v>
      </c>
      <c r="J2436" s="2">
        <f t="shared" si="2"/>
        <v>1704.95</v>
      </c>
      <c r="K2436" s="17">
        <f t="shared" si="3"/>
        <v>1</v>
      </c>
      <c r="L2436" s="18"/>
    </row>
    <row r="2437" hidden="1">
      <c r="A2437" s="2">
        <f>IFERROR(__xludf.DUMMYFUNCTION("""COMPUTED_VALUE"""),122416.0)</f>
        <v>122416</v>
      </c>
      <c r="B2437" s="2">
        <f>IFERROR(__xludf.DUMMYFUNCTION("""COMPUTED_VALUE"""),1.0)</f>
        <v>1</v>
      </c>
      <c r="C2437" s="2">
        <f>IFERROR(__xludf.DUMMYFUNCTION("""COMPUTED_VALUE"""),441.0)</f>
        <v>441</v>
      </c>
      <c r="D2437" s="3">
        <f>IFERROR(__xludf.DUMMYFUNCTION("""COMPUTED_VALUE"""),59.0)</f>
        <v>59</v>
      </c>
      <c r="E2437" s="1" t="str">
        <f t="array" ref="E2437">_xlfn.XLOOKUP(A2437,Product!A:A,Product!B:B,"Bulunamadı")</f>
        <v>Tech</v>
      </c>
      <c r="F2437" s="1" t="str">
        <f t="array" ref="F2437">_xlfn.XLOOKUP(A2437,Product!A:A,Product!C:C,"Bulunamadı")</f>
        <v>Cycling</v>
      </c>
      <c r="G2437" s="2" t="str">
        <f t="array" ref="G2437">_xlfn.XLOOKUP(A2438,Product!A:A,Product!D:D,"Bulunamadı")</f>
        <v>Ironway Publishing</v>
      </c>
      <c r="H2437" s="2">
        <f t="array" ref="H2437">_xlfn.XLOOKUP(A2439,Product!A:A,Product!E:E,"Bulunamadı")</f>
        <v>11.25</v>
      </c>
      <c r="I2437" s="2" t="str">
        <f t="shared" si="1"/>
        <v>122416 - Tech - Cycling</v>
      </c>
      <c r="J2437" s="2">
        <f t="shared" si="2"/>
        <v>663.75</v>
      </c>
      <c r="K2437" s="17">
        <f t="shared" si="3"/>
        <v>1</v>
      </c>
      <c r="L2437" s="18"/>
    </row>
    <row r="2438" hidden="1">
      <c r="A2438" s="2">
        <f>IFERROR(__xludf.DUMMYFUNCTION("""COMPUTED_VALUE"""),95628.0)</f>
        <v>95628</v>
      </c>
      <c r="B2438" s="2">
        <f>IFERROR(__xludf.DUMMYFUNCTION("""COMPUTED_VALUE"""),1.0)</f>
        <v>1</v>
      </c>
      <c r="C2438" s="2">
        <f>IFERROR(__xludf.DUMMYFUNCTION("""COMPUTED_VALUE"""),509.0)</f>
        <v>509</v>
      </c>
      <c r="D2438" s="3">
        <f>IFERROR(__xludf.DUMMYFUNCTION("""COMPUTED_VALUE"""),18.0)</f>
        <v>18</v>
      </c>
      <c r="E2438" s="1" t="str">
        <f t="array" ref="E2438">_xlfn.XLOOKUP(A2438,Product!A:A,Product!B:B,"Bulunamadı")</f>
        <v>Tech</v>
      </c>
      <c r="F2438" s="1" t="str">
        <f t="array" ref="F2438">_xlfn.XLOOKUP(A2438,Product!A:A,Product!C:C,"Bulunamadı")</f>
        <v>Cycling</v>
      </c>
      <c r="G2438" s="2" t="str">
        <f t="array" ref="G2438">_xlfn.XLOOKUP(A2439,Product!A:A,Product!D:D,"Bulunamadı")</f>
        <v>Ironway Publishing</v>
      </c>
      <c r="H2438" s="2">
        <f t="array" ref="H2438">_xlfn.XLOOKUP(A2440,Product!A:A,Product!E:E,"Bulunamadı")</f>
        <v>12.21</v>
      </c>
      <c r="I2438" s="2" t="str">
        <f t="shared" si="1"/>
        <v>95628 - Tech - Cycling</v>
      </c>
      <c r="J2438" s="2">
        <f t="shared" si="2"/>
        <v>219.78</v>
      </c>
      <c r="K2438" s="17">
        <f t="shared" si="3"/>
        <v>1</v>
      </c>
      <c r="L2438" s="18"/>
    </row>
    <row r="2439" hidden="1">
      <c r="A2439" s="2">
        <f>IFERROR(__xludf.DUMMYFUNCTION("""COMPUTED_VALUE"""),9654.0)</f>
        <v>9654</v>
      </c>
      <c r="B2439" s="2">
        <f>IFERROR(__xludf.DUMMYFUNCTION("""COMPUTED_VALUE"""),0.0)</f>
        <v>0</v>
      </c>
      <c r="C2439" s="2">
        <f>IFERROR(__xludf.DUMMYFUNCTION("""COMPUTED_VALUE"""),336.0)</f>
        <v>336</v>
      </c>
      <c r="D2439" s="3">
        <f>IFERROR(__xludf.DUMMYFUNCTION("""COMPUTED_VALUE"""),321.0)</f>
        <v>321</v>
      </c>
      <c r="E2439" s="1" t="str">
        <f t="array" ref="E2439">_xlfn.XLOOKUP(A2439,Product!A:A,Product!B:B,"Bulunamadı")</f>
        <v>Tech</v>
      </c>
      <c r="F2439" s="1" t="str">
        <f t="array" ref="F2439">_xlfn.XLOOKUP(A2439,Product!A:A,Product!C:C,"Bulunamadı")</f>
        <v>Cycling</v>
      </c>
      <c r="G2439" s="2" t="str">
        <f t="array" ref="G2439">_xlfn.XLOOKUP(A2440,Product!A:A,Product!D:D,"Bulunamadı")</f>
        <v>Ironway Publishing</v>
      </c>
      <c r="H2439" s="2">
        <f t="array" ref="H2439">_xlfn.XLOOKUP(A2441,Product!A:A,Product!E:E,"Bulunamadı")</f>
        <v>5.4</v>
      </c>
      <c r="I2439" s="2" t="str">
        <f t="shared" si="1"/>
        <v>9654 - Tech - Cycling</v>
      </c>
      <c r="J2439" s="2">
        <f t="shared" si="2"/>
        <v>1733.4</v>
      </c>
      <c r="K2439" s="17">
        <f t="shared" si="3"/>
        <v>1</v>
      </c>
      <c r="L2439" s="18"/>
    </row>
    <row r="2440" hidden="1">
      <c r="A2440" s="2">
        <f>IFERROR(__xludf.DUMMYFUNCTION("""COMPUTED_VALUE"""),105609.0)</f>
        <v>105609</v>
      </c>
      <c r="B2440" s="2">
        <f>IFERROR(__xludf.DUMMYFUNCTION("""COMPUTED_VALUE"""),1.0)</f>
        <v>1</v>
      </c>
      <c r="C2440" s="2">
        <f>IFERROR(__xludf.DUMMYFUNCTION("""COMPUTED_VALUE"""),496.0)</f>
        <v>496</v>
      </c>
      <c r="D2440" s="3">
        <f>IFERROR(__xludf.DUMMYFUNCTION("""COMPUTED_VALUE"""),407.0)</f>
        <v>407</v>
      </c>
      <c r="E2440" s="1" t="str">
        <f t="array" ref="E2440">_xlfn.XLOOKUP(A2440,Product!A:A,Product!B:B,"Bulunamadı")</f>
        <v>Tech</v>
      </c>
      <c r="F2440" s="1" t="str">
        <f t="array" ref="F2440">_xlfn.XLOOKUP(A2440,Product!A:A,Product!C:C,"Bulunamadı")</f>
        <v>Cycling</v>
      </c>
      <c r="G2440" s="2" t="str">
        <f t="array" ref="G2440">_xlfn.XLOOKUP(A2441,Product!A:A,Product!D:D,"Bulunamadı")</f>
        <v>Ironway Publishing</v>
      </c>
      <c r="H2440" s="2">
        <f t="array" ref="H2440">_xlfn.XLOOKUP(A2442,Product!A:A,Product!E:E,"Bulunamadı")</f>
        <v>8.11</v>
      </c>
      <c r="I2440" s="2" t="str">
        <f t="shared" si="1"/>
        <v>105609 - Tech - Cycling</v>
      </c>
      <c r="J2440" s="2">
        <f t="shared" si="2"/>
        <v>3300.77</v>
      </c>
      <c r="K2440" s="17">
        <f t="shared" si="3"/>
        <v>1</v>
      </c>
      <c r="L2440" s="18"/>
    </row>
    <row r="2441" hidden="1">
      <c r="A2441" s="2">
        <f>IFERROR(__xludf.DUMMYFUNCTION("""COMPUTED_VALUE"""),118932.0)</f>
        <v>118932</v>
      </c>
      <c r="B2441" s="2">
        <f>IFERROR(__xludf.DUMMYFUNCTION("""COMPUTED_VALUE"""),0.0)</f>
        <v>0</v>
      </c>
      <c r="C2441" s="2">
        <f>IFERROR(__xludf.DUMMYFUNCTION("""COMPUTED_VALUE"""),619.0)</f>
        <v>619</v>
      </c>
      <c r="D2441" s="3">
        <f>IFERROR(__xludf.DUMMYFUNCTION("""COMPUTED_VALUE"""),427.0)</f>
        <v>427</v>
      </c>
      <c r="E2441" s="1" t="str">
        <f t="array" ref="E2441">_xlfn.XLOOKUP(A2441,Product!A:A,Product!B:B,"Bulunamadı")</f>
        <v>Tech</v>
      </c>
      <c r="F2441" s="1" t="str">
        <f t="array" ref="F2441">_xlfn.XLOOKUP(A2441,Product!A:A,Product!C:C,"Bulunamadı")</f>
        <v>Cycling</v>
      </c>
      <c r="G2441" s="2" t="str">
        <f t="array" ref="G2441">_xlfn.XLOOKUP(A2442,Product!A:A,Product!D:D,"Bulunamadı")</f>
        <v>Ironway Publishing</v>
      </c>
      <c r="H2441" s="2">
        <f t="array" ref="H2441">_xlfn.XLOOKUP(A2443,Product!A:A,Product!E:E,"Bulunamadı")</f>
        <v>25.94</v>
      </c>
      <c r="I2441" s="2" t="str">
        <f t="shared" si="1"/>
        <v>118932 - Tech - Cycling</v>
      </c>
      <c r="J2441" s="2">
        <f t="shared" si="2"/>
        <v>11076.38</v>
      </c>
      <c r="K2441" s="17">
        <f t="shared" si="3"/>
        <v>1</v>
      </c>
      <c r="L2441" s="18"/>
    </row>
    <row r="2442" hidden="1">
      <c r="A2442" s="2">
        <f>IFERROR(__xludf.DUMMYFUNCTION("""COMPUTED_VALUE"""),103976.0)</f>
        <v>103976</v>
      </c>
      <c r="B2442" s="2">
        <f>IFERROR(__xludf.DUMMYFUNCTION("""COMPUTED_VALUE"""),0.0)</f>
        <v>0</v>
      </c>
      <c r="C2442" s="2">
        <f>IFERROR(__xludf.DUMMYFUNCTION("""COMPUTED_VALUE"""),584.0)</f>
        <v>584</v>
      </c>
      <c r="D2442" s="3">
        <f>IFERROR(__xludf.DUMMYFUNCTION("""COMPUTED_VALUE"""),14.0)</f>
        <v>14</v>
      </c>
      <c r="E2442" s="1" t="str">
        <f t="array" ref="E2442">_xlfn.XLOOKUP(A2442,Product!A:A,Product!B:B,"Bulunamadı")</f>
        <v>Tech</v>
      </c>
      <c r="F2442" s="1" t="str">
        <f t="array" ref="F2442">_xlfn.XLOOKUP(A2442,Product!A:A,Product!C:C,"Bulunamadı")</f>
        <v>Cycling</v>
      </c>
      <c r="G2442" s="2" t="str">
        <f t="array" ref="G2442">_xlfn.XLOOKUP(A2443,Product!A:A,Product!D:D,"Bulunamadı")</f>
        <v>Ironway Publishing</v>
      </c>
      <c r="H2442" s="2">
        <f t="array" ref="H2442">_xlfn.XLOOKUP(A2444,Product!A:A,Product!E:E,"Bulunamadı")</f>
        <v>12.84</v>
      </c>
      <c r="I2442" s="2" t="str">
        <f t="shared" si="1"/>
        <v>103976 - Tech - Cycling</v>
      </c>
      <c r="J2442" s="2">
        <f t="shared" si="2"/>
        <v>179.76</v>
      </c>
      <c r="K2442" s="17">
        <f t="shared" si="3"/>
        <v>1</v>
      </c>
      <c r="L2442" s="18"/>
    </row>
    <row r="2443" hidden="1">
      <c r="A2443" s="2">
        <f>IFERROR(__xludf.DUMMYFUNCTION("""COMPUTED_VALUE"""),107881.0)</f>
        <v>107881</v>
      </c>
      <c r="B2443" s="2">
        <f>IFERROR(__xludf.DUMMYFUNCTION("""COMPUTED_VALUE"""),0.0)</f>
        <v>0</v>
      </c>
      <c r="C2443" s="2">
        <f>IFERROR(__xludf.DUMMYFUNCTION("""COMPUTED_VALUE"""),688.0)</f>
        <v>688</v>
      </c>
      <c r="D2443" s="3">
        <f>IFERROR(__xludf.DUMMYFUNCTION("""COMPUTED_VALUE"""),300.0)</f>
        <v>300</v>
      </c>
      <c r="E2443" s="1" t="str">
        <f t="array" ref="E2443">_xlfn.XLOOKUP(A2443,Product!A:A,Product!B:B,"Bulunamadı")</f>
        <v>Tech</v>
      </c>
      <c r="F2443" s="1" t="str">
        <f t="array" ref="F2443">_xlfn.XLOOKUP(A2443,Product!A:A,Product!C:C,"Bulunamadı")</f>
        <v>Cycling</v>
      </c>
      <c r="G2443" s="2" t="str">
        <f t="array" ref="G2443">_xlfn.XLOOKUP(A2444,Product!A:A,Product!D:D,"Bulunamadı")</f>
        <v>Ironway Publishing</v>
      </c>
      <c r="H2443" s="2">
        <f t="array" ref="H2443">_xlfn.XLOOKUP(A2445,Product!A:A,Product!E:E,"Bulunamadı")</f>
        <v>18.24</v>
      </c>
      <c r="I2443" s="2" t="str">
        <f t="shared" si="1"/>
        <v>107881 - Tech - Cycling</v>
      </c>
      <c r="J2443" s="2">
        <f t="shared" si="2"/>
        <v>5472</v>
      </c>
      <c r="K2443" s="17">
        <f t="shared" si="3"/>
        <v>1</v>
      </c>
      <c r="L2443" s="18"/>
    </row>
    <row r="2444" hidden="1">
      <c r="A2444" s="2">
        <f>IFERROR(__xludf.DUMMYFUNCTION("""COMPUTED_VALUE"""),7830.0)</f>
        <v>7830</v>
      </c>
      <c r="B2444" s="2">
        <f>IFERROR(__xludf.DUMMYFUNCTION("""COMPUTED_VALUE"""),1.0)</f>
        <v>1</v>
      </c>
      <c r="C2444" s="2">
        <f>IFERROR(__xludf.DUMMYFUNCTION("""COMPUTED_VALUE"""),431.0)</f>
        <v>431</v>
      </c>
      <c r="D2444" s="3">
        <f>IFERROR(__xludf.DUMMYFUNCTION("""COMPUTED_VALUE"""),219.0)</f>
        <v>219</v>
      </c>
      <c r="E2444" s="1" t="str">
        <f t="array" ref="E2444">_xlfn.XLOOKUP(A2444,Product!A:A,Product!B:B,"Bulunamadı")</f>
        <v>Tech</v>
      </c>
      <c r="F2444" s="1" t="str">
        <f t="array" ref="F2444">_xlfn.XLOOKUP(A2444,Product!A:A,Product!C:C,"Bulunamadı")</f>
        <v>Cycling</v>
      </c>
      <c r="G2444" s="2" t="str">
        <f t="array" ref="G2444">_xlfn.XLOOKUP(A2445,Product!A:A,Product!D:D,"Bulunamadı")</f>
        <v>Ironway Publishing</v>
      </c>
      <c r="H2444" s="2">
        <f t="array" ref="H2444">_xlfn.XLOOKUP(A2446,Product!A:A,Product!E:E,"Bulunamadı")</f>
        <v>8.64</v>
      </c>
      <c r="I2444" s="2" t="str">
        <f t="shared" si="1"/>
        <v>7830 - Tech - Cycling</v>
      </c>
      <c r="J2444" s="2">
        <f t="shared" si="2"/>
        <v>1892.16</v>
      </c>
      <c r="K2444" s="17">
        <f t="shared" si="3"/>
        <v>1</v>
      </c>
      <c r="L2444" s="18"/>
    </row>
    <row r="2445" hidden="1">
      <c r="A2445" s="2">
        <f>IFERROR(__xludf.DUMMYFUNCTION("""COMPUTED_VALUE"""),159717.0)</f>
        <v>159717</v>
      </c>
      <c r="B2445" s="2">
        <f>IFERROR(__xludf.DUMMYFUNCTION("""COMPUTED_VALUE"""),1.0)</f>
        <v>1</v>
      </c>
      <c r="C2445" s="2">
        <f>IFERROR(__xludf.DUMMYFUNCTION("""COMPUTED_VALUE"""),345.0)</f>
        <v>345</v>
      </c>
      <c r="D2445" s="3">
        <f>IFERROR(__xludf.DUMMYFUNCTION("""COMPUTED_VALUE"""),265.0)</f>
        <v>265</v>
      </c>
      <c r="E2445" s="1" t="str">
        <f t="array" ref="E2445">_xlfn.XLOOKUP(A2445,Product!A:A,Product!B:B,"Bulunamadı")</f>
        <v>Tech</v>
      </c>
      <c r="F2445" s="1" t="str">
        <f t="array" ref="F2445">_xlfn.XLOOKUP(A2445,Product!A:A,Product!C:C,"Bulunamadı")</f>
        <v>Cycling</v>
      </c>
      <c r="G2445" s="2" t="str">
        <f t="array" ref="G2445">_xlfn.XLOOKUP(A2446,Product!A:A,Product!D:D,"Bulunamadı")</f>
        <v>Ironway Publishing</v>
      </c>
      <c r="H2445" s="2">
        <f t="array" ref="H2445">_xlfn.XLOOKUP(A2447,Product!A:A,Product!E:E,"Bulunamadı")</f>
        <v>8.03</v>
      </c>
      <c r="I2445" s="2" t="str">
        <f t="shared" si="1"/>
        <v>159717 - Tech - Cycling</v>
      </c>
      <c r="J2445" s="2">
        <f t="shared" si="2"/>
        <v>2127.95</v>
      </c>
      <c r="K2445" s="17">
        <f t="shared" si="3"/>
        <v>1</v>
      </c>
      <c r="L2445" s="18"/>
    </row>
    <row r="2446" hidden="1">
      <c r="A2446" s="2">
        <f>IFERROR(__xludf.DUMMYFUNCTION("""COMPUTED_VALUE"""),113449.0)</f>
        <v>113449</v>
      </c>
      <c r="B2446" s="2">
        <f>IFERROR(__xludf.DUMMYFUNCTION("""COMPUTED_VALUE"""),0.0)</f>
        <v>0</v>
      </c>
      <c r="C2446" s="2">
        <f>IFERROR(__xludf.DUMMYFUNCTION("""COMPUTED_VALUE"""),659.0)</f>
        <v>659</v>
      </c>
      <c r="D2446" s="3">
        <f>IFERROR(__xludf.DUMMYFUNCTION("""COMPUTED_VALUE"""),367.0)</f>
        <v>367</v>
      </c>
      <c r="E2446" s="1" t="str">
        <f t="array" ref="E2446">_xlfn.XLOOKUP(A2446,Product!A:A,Product!B:B,"Bulunamadı")</f>
        <v>Tech</v>
      </c>
      <c r="F2446" s="1" t="str">
        <f t="array" ref="F2446">_xlfn.XLOOKUP(A2446,Product!A:A,Product!C:C,"Bulunamadı")</f>
        <v>Cycling</v>
      </c>
      <c r="G2446" s="2" t="str">
        <f t="array" ref="G2446">_xlfn.XLOOKUP(A2447,Product!A:A,Product!D:D,"Bulunamadı")</f>
        <v>Ironway Publishing</v>
      </c>
      <c r="H2446" s="2">
        <f t="array" ref="H2446">_xlfn.XLOOKUP(A2448,Product!A:A,Product!E:E,"Bulunamadı")</f>
        <v>3.86</v>
      </c>
      <c r="I2446" s="2" t="str">
        <f t="shared" si="1"/>
        <v>113449 - Tech - Cycling</v>
      </c>
      <c r="J2446" s="2">
        <f t="shared" si="2"/>
        <v>1416.62</v>
      </c>
      <c r="K2446" s="17">
        <f t="shared" si="3"/>
        <v>1</v>
      </c>
      <c r="L2446" s="18"/>
    </row>
    <row r="2447" hidden="1">
      <c r="A2447" s="2">
        <f>IFERROR(__xludf.DUMMYFUNCTION("""COMPUTED_VALUE"""),79942.0)</f>
        <v>79942</v>
      </c>
      <c r="B2447" s="2">
        <f>IFERROR(__xludf.DUMMYFUNCTION("""COMPUTED_VALUE"""),0.0)</f>
        <v>0</v>
      </c>
      <c r="C2447" s="2">
        <f>IFERROR(__xludf.DUMMYFUNCTION("""COMPUTED_VALUE"""),666.0)</f>
        <v>666</v>
      </c>
      <c r="D2447" s="3">
        <f>IFERROR(__xludf.DUMMYFUNCTION("""COMPUTED_VALUE"""),103.0)</f>
        <v>103</v>
      </c>
      <c r="E2447" s="1" t="str">
        <f t="array" ref="E2447">_xlfn.XLOOKUP(A2447,Product!A:A,Product!B:B,"Bulunamadı")</f>
        <v>Tech</v>
      </c>
      <c r="F2447" s="1" t="str">
        <f t="array" ref="F2447">_xlfn.XLOOKUP(A2447,Product!A:A,Product!C:C,"Bulunamadı")</f>
        <v>Cycling</v>
      </c>
      <c r="G2447" s="2" t="str">
        <f t="array" ref="G2447">_xlfn.XLOOKUP(A2448,Product!A:A,Product!D:D,"Bulunamadı")</f>
        <v>Ironway Publishing</v>
      </c>
      <c r="H2447" s="2">
        <f t="array" ref="H2447">_xlfn.XLOOKUP(A2449,Product!A:A,Product!E:E,"Bulunamadı")</f>
        <v>12.42</v>
      </c>
      <c r="I2447" s="2" t="str">
        <f t="shared" si="1"/>
        <v>79942 - Tech - Cycling</v>
      </c>
      <c r="J2447" s="2">
        <f t="shared" si="2"/>
        <v>1279.26</v>
      </c>
      <c r="K2447" s="17">
        <f t="shared" si="3"/>
        <v>1</v>
      </c>
      <c r="L2447" s="18"/>
    </row>
    <row r="2448" hidden="1">
      <c r="A2448" s="2">
        <f>IFERROR(__xludf.DUMMYFUNCTION("""COMPUTED_VALUE"""),29437.0)</f>
        <v>29437</v>
      </c>
      <c r="B2448" s="2">
        <f>IFERROR(__xludf.DUMMYFUNCTION("""COMPUTED_VALUE"""),0.0)</f>
        <v>0</v>
      </c>
      <c r="C2448" s="2">
        <f>IFERROR(__xludf.DUMMYFUNCTION("""COMPUTED_VALUE"""),91.0)</f>
        <v>91</v>
      </c>
      <c r="D2448" s="3">
        <f>IFERROR(__xludf.DUMMYFUNCTION("""COMPUTED_VALUE"""),75.0)</f>
        <v>75</v>
      </c>
      <c r="E2448" s="1" t="str">
        <f t="array" ref="E2448">_xlfn.XLOOKUP(A2448,Product!A:A,Product!B:B,"Bulunamadı")</f>
        <v>Tech</v>
      </c>
      <c r="F2448" s="1" t="str">
        <f t="array" ref="F2448">_xlfn.XLOOKUP(A2448,Product!A:A,Product!C:C,"Bulunamadı")</f>
        <v>Cycling</v>
      </c>
      <c r="G2448" s="2" t="str">
        <f t="array" ref="G2448">_xlfn.XLOOKUP(A2449,Product!A:A,Product!D:D,"Bulunamadı")</f>
        <v>Ironway Publishing</v>
      </c>
      <c r="H2448" s="2">
        <f t="array" ref="H2448">_xlfn.XLOOKUP(A2450,Product!A:A,Product!E:E,"Bulunamadı")</f>
        <v>8.89</v>
      </c>
      <c r="I2448" s="2" t="str">
        <f t="shared" si="1"/>
        <v>29437 - Tech - Cycling</v>
      </c>
      <c r="J2448" s="2">
        <f t="shared" si="2"/>
        <v>666.75</v>
      </c>
      <c r="K2448" s="17">
        <f t="shared" si="3"/>
        <v>1</v>
      </c>
      <c r="L2448" s="18"/>
    </row>
    <row r="2449" hidden="1">
      <c r="A2449" s="2">
        <f>IFERROR(__xludf.DUMMYFUNCTION("""COMPUTED_VALUE"""),99234.0)</f>
        <v>99234</v>
      </c>
      <c r="B2449" s="2">
        <f>IFERROR(__xludf.DUMMYFUNCTION("""COMPUTED_VALUE"""),1.0)</f>
        <v>1</v>
      </c>
      <c r="C2449" s="2">
        <f>IFERROR(__xludf.DUMMYFUNCTION("""COMPUTED_VALUE"""),385.0)</f>
        <v>385</v>
      </c>
      <c r="D2449" s="3">
        <f>IFERROR(__xludf.DUMMYFUNCTION("""COMPUTED_VALUE"""),124.0)</f>
        <v>124</v>
      </c>
      <c r="E2449" s="1" t="str">
        <f t="array" ref="E2449">_xlfn.XLOOKUP(A2449,Product!A:A,Product!B:B,"Bulunamadı")</f>
        <v>Tech</v>
      </c>
      <c r="F2449" s="1" t="str">
        <f t="array" ref="F2449">_xlfn.XLOOKUP(A2449,Product!A:A,Product!C:C,"Bulunamadı")</f>
        <v>Cycling</v>
      </c>
      <c r="G2449" s="2" t="str">
        <f t="array" ref="G2449">_xlfn.XLOOKUP(A2450,Product!A:A,Product!D:D,"Bulunamadı")</f>
        <v>Ironway Publishing</v>
      </c>
      <c r="H2449" s="2">
        <f t="array" ref="H2449">_xlfn.XLOOKUP(A2451,Product!A:A,Product!E:E,"Bulunamadı")</f>
        <v>6.03</v>
      </c>
      <c r="I2449" s="2" t="str">
        <f t="shared" si="1"/>
        <v>99234 - Tech - Cycling</v>
      </c>
      <c r="J2449" s="2">
        <f t="shared" si="2"/>
        <v>747.72</v>
      </c>
      <c r="K2449" s="17">
        <f t="shared" si="3"/>
        <v>1</v>
      </c>
      <c r="L2449" s="18"/>
    </row>
    <row r="2450" hidden="1">
      <c r="A2450" s="2">
        <f>IFERROR(__xludf.DUMMYFUNCTION("""COMPUTED_VALUE"""),103985.0)</f>
        <v>103985</v>
      </c>
      <c r="B2450" s="2">
        <f>IFERROR(__xludf.DUMMYFUNCTION("""COMPUTED_VALUE"""),1.0)</f>
        <v>1</v>
      </c>
      <c r="C2450" s="2">
        <f>IFERROR(__xludf.DUMMYFUNCTION("""COMPUTED_VALUE"""),582.0)</f>
        <v>582</v>
      </c>
      <c r="D2450" s="3">
        <f>IFERROR(__xludf.DUMMYFUNCTION("""COMPUTED_VALUE"""),513.0)</f>
        <v>513</v>
      </c>
      <c r="E2450" s="1" t="str">
        <f t="array" ref="E2450">_xlfn.XLOOKUP(A2450,Product!A:A,Product!B:B,"Bulunamadı")</f>
        <v>Tech</v>
      </c>
      <c r="F2450" s="1" t="str">
        <f t="array" ref="F2450">_xlfn.XLOOKUP(A2450,Product!A:A,Product!C:C,"Bulunamadı")</f>
        <v>Cycling</v>
      </c>
      <c r="G2450" s="2" t="str">
        <f t="array" ref="G2450">_xlfn.XLOOKUP(A2451,Product!A:A,Product!D:D,"Bulunamadı")</f>
        <v>Ironway Publishing</v>
      </c>
      <c r="H2450" s="2">
        <f t="array" ref="H2450">_xlfn.XLOOKUP(A2452,Product!A:A,Product!E:E,"Bulunamadı")</f>
        <v>13</v>
      </c>
      <c r="I2450" s="2" t="str">
        <f t="shared" si="1"/>
        <v>103985 - Tech - Cycling</v>
      </c>
      <c r="J2450" s="2">
        <f t="shared" si="2"/>
        <v>6669</v>
      </c>
      <c r="K2450" s="17">
        <f t="shared" si="3"/>
        <v>1</v>
      </c>
      <c r="L2450" s="18"/>
    </row>
    <row r="2451" hidden="1">
      <c r="A2451" s="2">
        <f>IFERROR(__xludf.DUMMYFUNCTION("""COMPUTED_VALUE"""),97947.0)</f>
        <v>97947</v>
      </c>
      <c r="B2451" s="2">
        <f>IFERROR(__xludf.DUMMYFUNCTION("""COMPUTED_VALUE"""),1.0)</f>
        <v>1</v>
      </c>
      <c r="C2451" s="2">
        <f>IFERROR(__xludf.DUMMYFUNCTION("""COMPUTED_VALUE"""),134.0)</f>
        <v>134</v>
      </c>
      <c r="D2451" s="3">
        <f>IFERROR(__xludf.DUMMYFUNCTION("""COMPUTED_VALUE"""),129.0)</f>
        <v>129</v>
      </c>
      <c r="E2451" s="1" t="str">
        <f t="array" ref="E2451">_xlfn.XLOOKUP(A2451,Product!A:A,Product!B:B,"Bulunamadı")</f>
        <v>Tech</v>
      </c>
      <c r="F2451" s="1" t="str">
        <f t="array" ref="F2451">_xlfn.XLOOKUP(A2451,Product!A:A,Product!C:C,"Bulunamadı")</f>
        <v>Cycling</v>
      </c>
      <c r="G2451" s="2" t="str">
        <f t="array" ref="G2451">_xlfn.XLOOKUP(A2452,Product!A:A,Product!D:D,"Bulunamadı")</f>
        <v>Ironway Publishing</v>
      </c>
      <c r="H2451" s="2">
        <f t="array" ref="H2451">_xlfn.XLOOKUP(A2453,Product!A:A,Product!E:E,"Bulunamadı")</f>
        <v>1.9</v>
      </c>
      <c r="I2451" s="2" t="str">
        <f t="shared" si="1"/>
        <v>97947 - Tech - Cycling</v>
      </c>
      <c r="J2451" s="2">
        <f t="shared" si="2"/>
        <v>245.1</v>
      </c>
      <c r="K2451" s="17">
        <f t="shared" si="3"/>
        <v>1</v>
      </c>
      <c r="L2451" s="18"/>
    </row>
    <row r="2452" hidden="1">
      <c r="A2452" s="2">
        <f>IFERROR(__xludf.DUMMYFUNCTION("""COMPUTED_VALUE"""),101083.0)</f>
        <v>101083</v>
      </c>
      <c r="B2452" s="2">
        <f>IFERROR(__xludf.DUMMYFUNCTION("""COMPUTED_VALUE"""),1.0)</f>
        <v>1</v>
      </c>
      <c r="C2452" s="2">
        <f>IFERROR(__xludf.DUMMYFUNCTION("""COMPUTED_VALUE"""),896.0)</f>
        <v>896</v>
      </c>
      <c r="D2452" s="3">
        <f>IFERROR(__xludf.DUMMYFUNCTION("""COMPUTED_VALUE"""),428.0)</f>
        <v>428</v>
      </c>
      <c r="E2452" s="1" t="str">
        <f t="array" ref="E2452">_xlfn.XLOOKUP(A2452,Product!A:A,Product!B:B,"Bulunamadı")</f>
        <v>Tech</v>
      </c>
      <c r="F2452" s="1" t="str">
        <f t="array" ref="F2452">_xlfn.XLOOKUP(A2452,Product!A:A,Product!C:C,"Bulunamadı")</f>
        <v>Cycling</v>
      </c>
      <c r="G2452" s="2" t="str">
        <f t="array" ref="G2452">_xlfn.XLOOKUP(A2453,Product!A:A,Product!D:D,"Bulunamadı")</f>
        <v>Silverbridge Books</v>
      </c>
      <c r="H2452" s="2">
        <f t="array" ref="H2452">_xlfn.XLOOKUP(A2454,Product!A:A,Product!E:E,"Bulunamadı")</f>
        <v>7.3</v>
      </c>
      <c r="I2452" s="2" t="str">
        <f t="shared" si="1"/>
        <v>101083 - Tech - Cycling</v>
      </c>
      <c r="J2452" s="2">
        <f t="shared" si="2"/>
        <v>3124.4</v>
      </c>
      <c r="K2452" s="17">
        <f t="shared" si="3"/>
        <v>1</v>
      </c>
      <c r="L2452" s="18"/>
    </row>
    <row r="2453" hidden="1">
      <c r="A2453" s="2">
        <f>IFERROR(__xludf.DUMMYFUNCTION("""COMPUTED_VALUE"""),111287.0)</f>
        <v>111287</v>
      </c>
      <c r="B2453" s="2">
        <f>IFERROR(__xludf.DUMMYFUNCTION("""COMPUTED_VALUE"""),0.0)</f>
        <v>0</v>
      </c>
      <c r="C2453" s="2">
        <f>IFERROR(__xludf.DUMMYFUNCTION("""COMPUTED_VALUE"""),863.0)</f>
        <v>863</v>
      </c>
      <c r="D2453" s="3">
        <f>IFERROR(__xludf.DUMMYFUNCTION("""COMPUTED_VALUE"""),709.0)</f>
        <v>709</v>
      </c>
      <c r="E2453" s="1" t="str">
        <f t="array" ref="E2453">_xlfn.XLOOKUP(A2453,Product!A:A,Product!B:B,"Bulunamadı")</f>
        <v>Tech</v>
      </c>
      <c r="F2453" s="1" t="str">
        <f t="array" ref="F2453">_xlfn.XLOOKUP(A2453,Product!A:A,Product!C:C,"Bulunamadı")</f>
        <v>Cycling</v>
      </c>
      <c r="G2453" s="2" t="str">
        <f t="array" ref="G2453">_xlfn.XLOOKUP(A2454,Product!A:A,Product!D:D,"Bulunamadı")</f>
        <v>Silverbridge Books</v>
      </c>
      <c r="H2453" s="2">
        <f t="array" ref="H2453">_xlfn.XLOOKUP(A2455,Product!A:A,Product!E:E,"Bulunamadı")</f>
        <v>1.51</v>
      </c>
      <c r="I2453" s="2" t="str">
        <f t="shared" si="1"/>
        <v>111287 - Tech - Cycling</v>
      </c>
      <c r="J2453" s="2">
        <f t="shared" si="2"/>
        <v>1070.59</v>
      </c>
      <c r="K2453" s="17">
        <f t="shared" si="3"/>
        <v>1</v>
      </c>
      <c r="L2453" s="18"/>
    </row>
    <row r="2454" hidden="1">
      <c r="A2454" s="2">
        <f>IFERROR(__xludf.DUMMYFUNCTION("""COMPUTED_VALUE"""),11728.0)</f>
        <v>11728</v>
      </c>
      <c r="B2454" s="2">
        <f>IFERROR(__xludf.DUMMYFUNCTION("""COMPUTED_VALUE"""),1.0)</f>
        <v>1</v>
      </c>
      <c r="C2454" s="2">
        <f>IFERROR(__xludf.DUMMYFUNCTION("""COMPUTED_VALUE"""),394.0)</f>
        <v>394</v>
      </c>
      <c r="D2454" s="3">
        <f>IFERROR(__xludf.DUMMYFUNCTION("""COMPUTED_VALUE"""),331.0)</f>
        <v>331</v>
      </c>
      <c r="E2454" s="1" t="str">
        <f t="array" ref="E2454">_xlfn.XLOOKUP(A2454,Product!A:A,Product!B:B,"Bulunamadı")</f>
        <v>Tech</v>
      </c>
      <c r="F2454" s="1" t="str">
        <f t="array" ref="F2454">_xlfn.XLOOKUP(A2454,Product!A:A,Product!C:C,"Bulunamadı")</f>
        <v>Cycling</v>
      </c>
      <c r="G2454" s="2" t="str">
        <f t="array" ref="G2454">_xlfn.XLOOKUP(A2455,Product!A:A,Product!D:D,"Bulunamadı")</f>
        <v>Silverbridge Books</v>
      </c>
      <c r="H2454" s="2">
        <f t="array" ref="H2454">_xlfn.XLOOKUP(A2456,Product!A:A,Product!E:E,"Bulunamadı")</f>
        <v>3.83</v>
      </c>
      <c r="I2454" s="2" t="str">
        <f t="shared" si="1"/>
        <v>11728 - Tech - Cycling</v>
      </c>
      <c r="J2454" s="2">
        <f t="shared" si="2"/>
        <v>1267.73</v>
      </c>
      <c r="K2454" s="17">
        <f t="shared" si="3"/>
        <v>1</v>
      </c>
      <c r="L2454" s="18"/>
    </row>
    <row r="2455" hidden="1">
      <c r="A2455" s="2">
        <f>IFERROR(__xludf.DUMMYFUNCTION("""COMPUTED_VALUE"""),111286.0)</f>
        <v>111286</v>
      </c>
      <c r="B2455" s="2">
        <f>IFERROR(__xludf.DUMMYFUNCTION("""COMPUTED_VALUE"""),1.0)</f>
        <v>1</v>
      </c>
      <c r="C2455" s="2">
        <f>IFERROR(__xludf.DUMMYFUNCTION("""COMPUTED_VALUE"""),50.0)</f>
        <v>50</v>
      </c>
      <c r="D2455" s="3">
        <f>IFERROR(__xludf.DUMMYFUNCTION("""COMPUTED_VALUE"""),9.0)</f>
        <v>9</v>
      </c>
      <c r="E2455" s="1" t="str">
        <f t="array" ref="E2455">_xlfn.XLOOKUP(A2455,Product!A:A,Product!B:B,"Bulunamadı")</f>
        <v>Tech</v>
      </c>
      <c r="F2455" s="1" t="str">
        <f t="array" ref="F2455">_xlfn.XLOOKUP(A2455,Product!A:A,Product!C:C,"Bulunamadı")</f>
        <v>Cycling</v>
      </c>
      <c r="G2455" s="2" t="str">
        <f t="array" ref="G2455">_xlfn.XLOOKUP(A2456,Product!A:A,Product!D:D,"Bulunamadı")</f>
        <v>Silverbridge Books</v>
      </c>
      <c r="H2455" s="2">
        <f t="array" ref="H2455">_xlfn.XLOOKUP(A2457,Product!A:A,Product!E:E,"Bulunamadı")</f>
        <v>12.88</v>
      </c>
      <c r="I2455" s="2" t="str">
        <f t="shared" si="1"/>
        <v>111286 - Tech - Cycling</v>
      </c>
      <c r="J2455" s="2">
        <f t="shared" si="2"/>
        <v>115.92</v>
      </c>
      <c r="K2455" s="17">
        <f t="shared" si="3"/>
        <v>1</v>
      </c>
      <c r="L2455" s="18"/>
    </row>
    <row r="2456" hidden="1">
      <c r="A2456" s="2">
        <f>IFERROR(__xludf.DUMMYFUNCTION("""COMPUTED_VALUE"""),29426.0)</f>
        <v>29426</v>
      </c>
      <c r="B2456" s="2">
        <f>IFERROR(__xludf.DUMMYFUNCTION("""COMPUTED_VALUE"""),0.0)</f>
        <v>0</v>
      </c>
      <c r="C2456" s="2">
        <f>IFERROR(__xludf.DUMMYFUNCTION("""COMPUTED_VALUE"""),353.0)</f>
        <v>353</v>
      </c>
      <c r="D2456" s="3">
        <f>IFERROR(__xludf.DUMMYFUNCTION("""COMPUTED_VALUE"""),139.0)</f>
        <v>139</v>
      </c>
      <c r="E2456" s="1" t="str">
        <f t="array" ref="E2456">_xlfn.XLOOKUP(A2456,Product!A:A,Product!B:B,"Bulunamadı")</f>
        <v>Tech</v>
      </c>
      <c r="F2456" s="1" t="str">
        <f t="array" ref="F2456">_xlfn.XLOOKUP(A2456,Product!A:A,Product!C:C,"Bulunamadı")</f>
        <v>Cycling</v>
      </c>
      <c r="G2456" s="2" t="str">
        <f t="array" ref="G2456">_xlfn.XLOOKUP(A2457,Product!A:A,Product!D:D,"Bulunamadı")</f>
        <v>Silverbridge Books</v>
      </c>
      <c r="H2456" s="2">
        <f t="array" ref="H2456">_xlfn.XLOOKUP(A2458,Product!A:A,Product!E:E,"Bulunamadı")</f>
        <v>22.33</v>
      </c>
      <c r="I2456" s="2" t="str">
        <f t="shared" si="1"/>
        <v>29426 - Tech - Cycling</v>
      </c>
      <c r="J2456" s="2">
        <f t="shared" si="2"/>
        <v>3103.87</v>
      </c>
      <c r="K2456" s="17">
        <f t="shared" si="3"/>
        <v>1</v>
      </c>
      <c r="L2456" s="18"/>
    </row>
    <row r="2457" hidden="1">
      <c r="A2457" s="2">
        <f>IFERROR(__xludf.DUMMYFUNCTION("""COMPUTED_VALUE"""),93419.0)</f>
        <v>93419</v>
      </c>
      <c r="B2457" s="2">
        <f>IFERROR(__xludf.DUMMYFUNCTION("""COMPUTED_VALUE"""),1.0)</f>
        <v>1</v>
      </c>
      <c r="C2457" s="2">
        <f>IFERROR(__xludf.DUMMYFUNCTION("""COMPUTED_VALUE"""),250.0)</f>
        <v>250</v>
      </c>
      <c r="D2457" s="3">
        <f>IFERROR(__xludf.DUMMYFUNCTION("""COMPUTED_VALUE"""),138.0)</f>
        <v>138</v>
      </c>
      <c r="E2457" s="1" t="str">
        <f t="array" ref="E2457">_xlfn.XLOOKUP(A2457,Product!A:A,Product!B:B,"Bulunamadı")</f>
        <v>Tech</v>
      </c>
      <c r="F2457" s="1" t="str">
        <f t="array" ref="F2457">_xlfn.XLOOKUP(A2457,Product!A:A,Product!C:C,"Bulunamadı")</f>
        <v>Cycling</v>
      </c>
      <c r="G2457" s="2" t="str">
        <f t="array" ref="G2457">_xlfn.XLOOKUP(A2458,Product!A:A,Product!D:D,"Bulunamadı")</f>
        <v>Silverbridge Books</v>
      </c>
      <c r="H2457" s="2">
        <f t="array" ref="H2457">_xlfn.XLOOKUP(A2459,Product!A:A,Product!E:E,"Bulunamadı")</f>
        <v>4.75</v>
      </c>
      <c r="I2457" s="2" t="str">
        <f t="shared" si="1"/>
        <v>93419 - Tech - Cycling</v>
      </c>
      <c r="J2457" s="2">
        <f t="shared" si="2"/>
        <v>655.5</v>
      </c>
      <c r="K2457" s="17">
        <f t="shared" si="3"/>
        <v>1</v>
      </c>
      <c r="L2457" s="18"/>
    </row>
    <row r="2458" hidden="1">
      <c r="A2458" s="2">
        <f>IFERROR(__xludf.DUMMYFUNCTION("""COMPUTED_VALUE"""),93418.0)</f>
        <v>93418</v>
      </c>
      <c r="B2458" s="2">
        <f>IFERROR(__xludf.DUMMYFUNCTION("""COMPUTED_VALUE"""),1.0)</f>
        <v>1</v>
      </c>
      <c r="C2458" s="2">
        <f>IFERROR(__xludf.DUMMYFUNCTION("""COMPUTED_VALUE"""),681.0)</f>
        <v>681</v>
      </c>
      <c r="D2458" s="3">
        <f>IFERROR(__xludf.DUMMYFUNCTION("""COMPUTED_VALUE"""),262.0)</f>
        <v>262</v>
      </c>
      <c r="E2458" s="1" t="str">
        <f t="array" ref="E2458">_xlfn.XLOOKUP(A2458,Product!A:A,Product!B:B,"Bulunamadı")</f>
        <v>Tech</v>
      </c>
      <c r="F2458" s="1" t="str">
        <f t="array" ref="F2458">_xlfn.XLOOKUP(A2458,Product!A:A,Product!C:C,"Bulunamadı")</f>
        <v>Cycling</v>
      </c>
      <c r="G2458" s="2" t="str">
        <f t="array" ref="G2458">_xlfn.XLOOKUP(A2459,Product!A:A,Product!D:D,"Bulunamadı")</f>
        <v>Silverbridge Books</v>
      </c>
      <c r="H2458" s="2">
        <f t="array" ref="H2458">_xlfn.XLOOKUP(A2460,Product!A:A,Product!E:E,"Bulunamadı")</f>
        <v>7.39</v>
      </c>
      <c r="I2458" s="2" t="str">
        <f t="shared" si="1"/>
        <v>93418 - Tech - Cycling</v>
      </c>
      <c r="J2458" s="2">
        <f t="shared" si="2"/>
        <v>1936.18</v>
      </c>
      <c r="K2458" s="17">
        <f t="shared" si="3"/>
        <v>1</v>
      </c>
      <c r="L2458" s="18"/>
    </row>
    <row r="2459" hidden="1">
      <c r="A2459" s="2">
        <f>IFERROR(__xludf.DUMMYFUNCTION("""COMPUTED_VALUE"""),79198.0)</f>
        <v>79198</v>
      </c>
      <c r="B2459" s="2">
        <f>IFERROR(__xludf.DUMMYFUNCTION("""COMPUTED_VALUE"""),0.0)</f>
        <v>0</v>
      </c>
      <c r="C2459" s="2">
        <f>IFERROR(__xludf.DUMMYFUNCTION("""COMPUTED_VALUE"""),122.0)</f>
        <v>122</v>
      </c>
      <c r="D2459" s="3">
        <f>IFERROR(__xludf.DUMMYFUNCTION("""COMPUTED_VALUE"""),99.0)</f>
        <v>99</v>
      </c>
      <c r="E2459" s="1" t="str">
        <f t="array" ref="E2459">_xlfn.XLOOKUP(A2459,Product!A:A,Product!B:B,"Bulunamadı")</f>
        <v>Tech</v>
      </c>
      <c r="F2459" s="1" t="str">
        <f t="array" ref="F2459">_xlfn.XLOOKUP(A2459,Product!A:A,Product!C:C,"Bulunamadı")</f>
        <v>Cycling</v>
      </c>
      <c r="G2459" s="2" t="str">
        <f t="array" ref="G2459">_xlfn.XLOOKUP(A2460,Product!A:A,Product!D:D,"Bulunamadı")</f>
        <v>Silverbridge Books</v>
      </c>
      <c r="H2459" s="2">
        <f t="array" ref="H2459">_xlfn.XLOOKUP(A2461,Product!A:A,Product!E:E,"Bulunamadı")</f>
        <v>8.02</v>
      </c>
      <c r="I2459" s="2" t="str">
        <f t="shared" si="1"/>
        <v>79198 - Tech - Cycling</v>
      </c>
      <c r="J2459" s="2">
        <f t="shared" si="2"/>
        <v>793.98</v>
      </c>
      <c r="K2459" s="17">
        <f t="shared" si="3"/>
        <v>1</v>
      </c>
      <c r="L2459" s="18"/>
    </row>
    <row r="2460" hidden="1">
      <c r="A2460" s="2">
        <f>IFERROR(__xludf.DUMMYFUNCTION("""COMPUTED_VALUE"""),11720.0)</f>
        <v>11720</v>
      </c>
      <c r="B2460" s="2">
        <f>IFERROR(__xludf.DUMMYFUNCTION("""COMPUTED_VALUE"""),1.0)</f>
        <v>1</v>
      </c>
      <c r="C2460" s="2">
        <f>IFERROR(__xludf.DUMMYFUNCTION("""COMPUTED_VALUE"""),197.0)</f>
        <v>197</v>
      </c>
      <c r="D2460" s="3">
        <f>IFERROR(__xludf.DUMMYFUNCTION("""COMPUTED_VALUE"""),141.0)</f>
        <v>141</v>
      </c>
      <c r="E2460" s="1" t="str">
        <f t="array" ref="E2460">_xlfn.XLOOKUP(A2460,Product!A:A,Product!B:B,"Bulunamadı")</f>
        <v>Tech</v>
      </c>
      <c r="F2460" s="1" t="str">
        <f t="array" ref="F2460">_xlfn.XLOOKUP(A2460,Product!A:A,Product!C:C,"Bulunamadı")</f>
        <v>Cycling</v>
      </c>
      <c r="G2460" s="2" t="str">
        <f t="array" ref="G2460">_xlfn.XLOOKUP(A2461,Product!A:A,Product!D:D,"Bulunamadı")</f>
        <v>Silverbridge Books</v>
      </c>
      <c r="H2460" s="2">
        <f t="array" ref="H2460">_xlfn.XLOOKUP(A2462,Product!A:A,Product!E:E,"Bulunamadı")</f>
        <v>8.2</v>
      </c>
      <c r="I2460" s="2" t="str">
        <f t="shared" si="1"/>
        <v>11720 - Tech - Cycling</v>
      </c>
      <c r="J2460" s="2">
        <f t="shared" si="2"/>
        <v>1156.2</v>
      </c>
      <c r="K2460" s="17">
        <f t="shared" si="3"/>
        <v>1</v>
      </c>
      <c r="L2460" s="18"/>
    </row>
    <row r="2461" hidden="1">
      <c r="A2461" s="2">
        <f>IFERROR(__xludf.DUMMYFUNCTION("""COMPUTED_VALUE"""),122534.0)</f>
        <v>122534</v>
      </c>
      <c r="B2461" s="2">
        <f>IFERROR(__xludf.DUMMYFUNCTION("""COMPUTED_VALUE"""),1.0)</f>
        <v>1</v>
      </c>
      <c r="C2461" s="2">
        <f>IFERROR(__xludf.DUMMYFUNCTION("""COMPUTED_VALUE"""),71.0)</f>
        <v>71</v>
      </c>
      <c r="D2461" s="3">
        <f>IFERROR(__xludf.DUMMYFUNCTION("""COMPUTED_VALUE"""),18.0)</f>
        <v>18</v>
      </c>
      <c r="E2461" s="1" t="str">
        <f t="array" ref="E2461">_xlfn.XLOOKUP(A2461,Product!A:A,Product!B:B,"Bulunamadı")</f>
        <v>Tech</v>
      </c>
      <c r="F2461" s="1" t="str">
        <f t="array" ref="F2461">_xlfn.XLOOKUP(A2461,Product!A:A,Product!C:C,"Bulunamadı")</f>
        <v>Cycling</v>
      </c>
      <c r="G2461" s="2" t="str">
        <f t="array" ref="G2461">_xlfn.XLOOKUP(A2462,Product!A:A,Product!D:D,"Bulunamadı")</f>
        <v>Silverbridge Books</v>
      </c>
      <c r="H2461" s="2">
        <f t="array" ref="H2461">_xlfn.XLOOKUP(A2463,Product!A:A,Product!E:E,"Bulunamadı")</f>
        <v>20.31</v>
      </c>
      <c r="I2461" s="2" t="str">
        <f t="shared" si="1"/>
        <v>122534 - Tech - Cycling</v>
      </c>
      <c r="J2461" s="2">
        <f t="shared" si="2"/>
        <v>365.58</v>
      </c>
      <c r="K2461" s="17">
        <f t="shared" si="3"/>
        <v>1</v>
      </c>
      <c r="L2461" s="18"/>
    </row>
    <row r="2462" hidden="1">
      <c r="A2462" s="2">
        <f>IFERROR(__xludf.DUMMYFUNCTION("""COMPUTED_VALUE"""),92209.0)</f>
        <v>92209</v>
      </c>
      <c r="B2462" s="2">
        <f>IFERROR(__xludf.DUMMYFUNCTION("""COMPUTED_VALUE"""),0.0)</f>
        <v>0</v>
      </c>
      <c r="C2462" s="2">
        <f>IFERROR(__xludf.DUMMYFUNCTION("""COMPUTED_VALUE"""),591.0)</f>
        <v>591</v>
      </c>
      <c r="D2462" s="3">
        <f>IFERROR(__xludf.DUMMYFUNCTION("""COMPUTED_VALUE"""),220.0)</f>
        <v>220</v>
      </c>
      <c r="E2462" s="1" t="str">
        <f t="array" ref="E2462">_xlfn.XLOOKUP(A2462,Product!A:A,Product!B:B,"Bulunamadı")</f>
        <v>Tech</v>
      </c>
      <c r="F2462" s="1" t="str">
        <f t="array" ref="F2462">_xlfn.XLOOKUP(A2462,Product!A:A,Product!C:C,"Bulunamadı")</f>
        <v>Cycling</v>
      </c>
      <c r="G2462" s="2" t="str">
        <f t="array" ref="G2462">_xlfn.XLOOKUP(A2463,Product!A:A,Product!D:D,"Bulunamadı")</f>
        <v>Silverbridge Books</v>
      </c>
      <c r="H2462" s="2">
        <f t="array" ref="H2462">_xlfn.XLOOKUP(A2464,Product!A:A,Product!E:E,"Bulunamadı")</f>
        <v>23.34</v>
      </c>
      <c r="I2462" s="2" t="str">
        <f t="shared" si="1"/>
        <v>92209 - Tech - Cycling</v>
      </c>
      <c r="J2462" s="2">
        <f t="shared" si="2"/>
        <v>5134.8</v>
      </c>
      <c r="K2462" s="17">
        <f t="shared" si="3"/>
        <v>1</v>
      </c>
      <c r="L2462" s="18"/>
    </row>
    <row r="2463" hidden="1">
      <c r="A2463" s="2">
        <f>IFERROR(__xludf.DUMMYFUNCTION("""COMPUTED_VALUE"""),93417.0)</f>
        <v>93417</v>
      </c>
      <c r="B2463" s="2">
        <f>IFERROR(__xludf.DUMMYFUNCTION("""COMPUTED_VALUE"""),0.0)</f>
        <v>0</v>
      </c>
      <c r="C2463" s="2">
        <f>IFERROR(__xludf.DUMMYFUNCTION("""COMPUTED_VALUE"""),182.0)</f>
        <v>182</v>
      </c>
      <c r="D2463" s="3">
        <f>IFERROR(__xludf.DUMMYFUNCTION("""COMPUTED_VALUE"""),110.0)</f>
        <v>110</v>
      </c>
      <c r="E2463" s="1" t="str">
        <f t="array" ref="E2463">_xlfn.XLOOKUP(A2463,Product!A:A,Product!B:B,"Bulunamadı")</f>
        <v>Tech</v>
      </c>
      <c r="F2463" s="1" t="str">
        <f t="array" ref="F2463">_xlfn.XLOOKUP(A2463,Product!A:A,Product!C:C,"Bulunamadı")</f>
        <v>Cycling</v>
      </c>
      <c r="G2463" s="2" t="str">
        <f t="array" ref="G2463">_xlfn.XLOOKUP(A2464,Product!A:A,Product!D:D,"Bulunamadı")</f>
        <v>Silverbridge Books</v>
      </c>
      <c r="H2463" s="2">
        <f t="array" ref="H2463">_xlfn.XLOOKUP(A2465,Product!A:A,Product!E:E,"Bulunamadı")</f>
        <v>4.14</v>
      </c>
      <c r="I2463" s="2" t="str">
        <f t="shared" si="1"/>
        <v>93417 - Tech - Cycling</v>
      </c>
      <c r="J2463" s="2">
        <f t="shared" si="2"/>
        <v>455.4</v>
      </c>
      <c r="K2463" s="17">
        <f t="shared" si="3"/>
        <v>1</v>
      </c>
      <c r="L2463" s="18"/>
    </row>
    <row r="2464" hidden="1">
      <c r="A2464" s="2">
        <f>IFERROR(__xludf.DUMMYFUNCTION("""COMPUTED_VALUE"""),103197.0)</f>
        <v>103197</v>
      </c>
      <c r="B2464" s="2">
        <f>IFERROR(__xludf.DUMMYFUNCTION("""COMPUTED_VALUE"""),1.0)</f>
        <v>1</v>
      </c>
      <c r="C2464" s="2">
        <f>IFERROR(__xludf.DUMMYFUNCTION("""COMPUTED_VALUE"""),224.0)</f>
        <v>224</v>
      </c>
      <c r="D2464" s="3">
        <f>IFERROR(__xludf.DUMMYFUNCTION("""COMPUTED_VALUE"""),118.0)</f>
        <v>118</v>
      </c>
      <c r="E2464" s="1" t="str">
        <f t="array" ref="E2464">_xlfn.XLOOKUP(A2464,Product!A:A,Product!B:B,"Bulunamadı")</f>
        <v>Tech</v>
      </c>
      <c r="F2464" s="1" t="str">
        <f t="array" ref="F2464">_xlfn.XLOOKUP(A2464,Product!A:A,Product!C:C,"Bulunamadı")</f>
        <v>Cycling</v>
      </c>
      <c r="G2464" s="2" t="str">
        <f t="array" ref="G2464">_xlfn.XLOOKUP(A2465,Product!A:A,Product!D:D,"Bulunamadı")</f>
        <v>Silverbridge Books</v>
      </c>
      <c r="H2464" s="2">
        <f t="array" ref="H2464">_xlfn.XLOOKUP(A2466,Product!A:A,Product!E:E,"Bulunamadı")</f>
        <v>11.25</v>
      </c>
      <c r="I2464" s="2" t="str">
        <f t="shared" si="1"/>
        <v>103197 - Tech - Cycling</v>
      </c>
      <c r="J2464" s="2">
        <f t="shared" si="2"/>
        <v>1327.5</v>
      </c>
      <c r="K2464" s="17">
        <f t="shared" si="3"/>
        <v>1</v>
      </c>
      <c r="L2464" s="18"/>
    </row>
    <row r="2465" hidden="1">
      <c r="A2465" s="2">
        <f>IFERROR(__xludf.DUMMYFUNCTION("""COMPUTED_VALUE"""),118930.0)</f>
        <v>118930</v>
      </c>
      <c r="B2465" s="2">
        <f>IFERROR(__xludf.DUMMYFUNCTION("""COMPUTED_VALUE"""),0.0)</f>
        <v>0</v>
      </c>
      <c r="C2465" s="2">
        <f>IFERROR(__xludf.DUMMYFUNCTION("""COMPUTED_VALUE"""),841.0)</f>
        <v>841</v>
      </c>
      <c r="D2465" s="3">
        <f>IFERROR(__xludf.DUMMYFUNCTION("""COMPUTED_VALUE"""),385.0)</f>
        <v>385</v>
      </c>
      <c r="E2465" s="1" t="str">
        <f t="array" ref="E2465">_xlfn.XLOOKUP(A2465,Product!A:A,Product!B:B,"Bulunamadı")</f>
        <v>Tech</v>
      </c>
      <c r="F2465" s="1" t="str">
        <f t="array" ref="F2465">_xlfn.XLOOKUP(A2465,Product!A:A,Product!C:C,"Bulunamadı")</f>
        <v>Cycling</v>
      </c>
      <c r="G2465" s="2" t="str">
        <f t="array" ref="G2465">_xlfn.XLOOKUP(A2466,Product!A:A,Product!D:D,"Bulunamadı")</f>
        <v>Silverbridge Books</v>
      </c>
      <c r="H2465" s="2">
        <f t="array" ref="H2465">_xlfn.XLOOKUP(A2467,Product!A:A,Product!E:E,"Bulunamadı")</f>
        <v>3.1</v>
      </c>
      <c r="I2465" s="2" t="str">
        <f t="shared" si="1"/>
        <v>118930 - Tech - Cycling</v>
      </c>
      <c r="J2465" s="2">
        <f t="shared" si="2"/>
        <v>1193.5</v>
      </c>
      <c r="K2465" s="17">
        <f t="shared" si="3"/>
        <v>1</v>
      </c>
      <c r="L2465" s="18"/>
    </row>
    <row r="2466" hidden="1">
      <c r="A2466" s="2">
        <f>IFERROR(__xludf.DUMMYFUNCTION("""COMPUTED_VALUE"""),92199.0)</f>
        <v>92199</v>
      </c>
      <c r="B2466" s="2">
        <f>IFERROR(__xludf.DUMMYFUNCTION("""COMPUTED_VALUE"""),1.0)</f>
        <v>1</v>
      </c>
      <c r="C2466" s="2">
        <f>IFERROR(__xludf.DUMMYFUNCTION("""COMPUTED_VALUE"""),708.0)</f>
        <v>708</v>
      </c>
      <c r="D2466" s="3">
        <f>IFERROR(__xludf.DUMMYFUNCTION("""COMPUTED_VALUE"""),264.0)</f>
        <v>264</v>
      </c>
      <c r="E2466" s="1" t="str">
        <f t="array" ref="E2466">_xlfn.XLOOKUP(A2466,Product!A:A,Product!B:B,"Bulunamadı")</f>
        <v>Tech</v>
      </c>
      <c r="F2466" s="1" t="str">
        <f t="array" ref="F2466">_xlfn.XLOOKUP(A2466,Product!A:A,Product!C:C,"Bulunamadı")</f>
        <v>Cycling</v>
      </c>
      <c r="G2466" s="2" t="str">
        <f t="array" ref="G2466">_xlfn.XLOOKUP(A2467,Product!A:A,Product!D:D,"Bulunamadı")</f>
        <v>Silverbridge Books</v>
      </c>
      <c r="H2466" s="2">
        <f t="array" ref="H2466">_xlfn.XLOOKUP(A2468,Product!A:A,Product!E:E,"Bulunamadı")</f>
        <v>6.78</v>
      </c>
      <c r="I2466" s="2" t="str">
        <f t="shared" si="1"/>
        <v>92199 - Tech - Cycling</v>
      </c>
      <c r="J2466" s="2">
        <f t="shared" si="2"/>
        <v>1789.92</v>
      </c>
      <c r="K2466" s="17">
        <f t="shared" si="3"/>
        <v>1</v>
      </c>
      <c r="L2466" s="18"/>
    </row>
    <row r="2467" hidden="1">
      <c r="A2467" s="2">
        <f>IFERROR(__xludf.DUMMYFUNCTION("""COMPUTED_VALUE"""),29647.0)</f>
        <v>29647</v>
      </c>
      <c r="B2467" s="2">
        <f>IFERROR(__xludf.DUMMYFUNCTION("""COMPUTED_VALUE"""),1.0)</f>
        <v>1</v>
      </c>
      <c r="C2467" s="2">
        <f>IFERROR(__xludf.DUMMYFUNCTION("""COMPUTED_VALUE"""),584.0)</f>
        <v>584</v>
      </c>
      <c r="D2467" s="3">
        <f>IFERROR(__xludf.DUMMYFUNCTION("""COMPUTED_VALUE"""),509.0)</f>
        <v>509</v>
      </c>
      <c r="E2467" s="1" t="str">
        <f t="array" ref="E2467">_xlfn.XLOOKUP(A2467,Product!A:A,Product!B:B,"Bulunamadı")</f>
        <v>Tech</v>
      </c>
      <c r="F2467" s="1" t="str">
        <f t="array" ref="F2467">_xlfn.XLOOKUP(A2467,Product!A:A,Product!C:C,"Bulunamadı")</f>
        <v>Cycling</v>
      </c>
      <c r="G2467" s="2" t="str">
        <f t="array" ref="G2467">_xlfn.XLOOKUP(A2468,Product!A:A,Product!D:D,"Bulunamadı")</f>
        <v>Northbridge Press</v>
      </c>
      <c r="H2467" s="2">
        <f t="array" ref="H2467">_xlfn.XLOOKUP(A2469,Product!A:A,Product!E:E,"Bulunamadı")</f>
        <v>3.95</v>
      </c>
      <c r="I2467" s="2" t="str">
        <f t="shared" si="1"/>
        <v>29647 - Tech - Cycling</v>
      </c>
      <c r="J2467" s="2">
        <f t="shared" si="2"/>
        <v>2010.55</v>
      </c>
      <c r="K2467" s="17">
        <f t="shared" si="3"/>
        <v>1</v>
      </c>
      <c r="L2467" s="18"/>
    </row>
    <row r="2468" hidden="1">
      <c r="A2468" s="2">
        <f>IFERROR(__xludf.DUMMYFUNCTION("""COMPUTED_VALUE"""),121857.0)</f>
        <v>121857</v>
      </c>
      <c r="B2468" s="2">
        <f>IFERROR(__xludf.DUMMYFUNCTION("""COMPUTED_VALUE"""),0.0)</f>
        <v>0</v>
      </c>
      <c r="C2468" s="2">
        <f>IFERROR(__xludf.DUMMYFUNCTION("""COMPUTED_VALUE"""),989.0)</f>
        <v>989</v>
      </c>
      <c r="D2468" s="3">
        <f>IFERROR(__xludf.DUMMYFUNCTION("""COMPUTED_VALUE"""),896.0)</f>
        <v>896</v>
      </c>
      <c r="E2468" s="1" t="str">
        <f t="array" ref="E2468">_xlfn.XLOOKUP(A2468,Product!A:A,Product!B:B,"Bulunamadı")</f>
        <v>Tech</v>
      </c>
      <c r="F2468" s="1" t="str">
        <f t="array" ref="F2468">_xlfn.XLOOKUP(A2468,Product!A:A,Product!C:C,"Bulunamadı")</f>
        <v>Cycling</v>
      </c>
      <c r="G2468" s="2" t="str">
        <f t="array" ref="G2468">_xlfn.XLOOKUP(A2469,Product!A:A,Product!D:D,"Bulunamadı")</f>
        <v>Northbridge Press</v>
      </c>
      <c r="H2468" s="2">
        <f t="array" ref="H2468">_xlfn.XLOOKUP(A2470,Product!A:A,Product!E:E,"Bulunamadı")</f>
        <v>2.86</v>
      </c>
      <c r="I2468" s="2" t="str">
        <f t="shared" si="1"/>
        <v>121857 - Tech - Cycling</v>
      </c>
      <c r="J2468" s="2">
        <f t="shared" si="2"/>
        <v>2562.56</v>
      </c>
      <c r="K2468" s="17">
        <f t="shared" si="3"/>
        <v>1</v>
      </c>
      <c r="L2468" s="18"/>
    </row>
    <row r="2469" hidden="1">
      <c r="A2469" s="2">
        <f>IFERROR(__xludf.DUMMYFUNCTION("""COMPUTED_VALUE"""),129484.0)</f>
        <v>129484</v>
      </c>
      <c r="B2469" s="2">
        <f>IFERROR(__xludf.DUMMYFUNCTION("""COMPUTED_VALUE"""),0.0)</f>
        <v>0</v>
      </c>
      <c r="C2469" s="2">
        <f>IFERROR(__xludf.DUMMYFUNCTION("""COMPUTED_VALUE"""),651.0)</f>
        <v>651</v>
      </c>
      <c r="D2469" s="3">
        <f>IFERROR(__xludf.DUMMYFUNCTION("""COMPUTED_VALUE"""),142.0)</f>
        <v>142</v>
      </c>
      <c r="E2469" s="1" t="str">
        <f t="array" ref="E2469">_xlfn.XLOOKUP(A2469,Product!A:A,Product!B:B,"Bulunamadı")</f>
        <v>Tech</v>
      </c>
      <c r="F2469" s="1" t="str">
        <f t="array" ref="F2469">_xlfn.XLOOKUP(A2469,Product!A:A,Product!C:C,"Bulunamadı")</f>
        <v>Cycling</v>
      </c>
      <c r="G2469" s="2" t="str">
        <f t="array" ref="G2469">_xlfn.XLOOKUP(A2470,Product!A:A,Product!D:D,"Bulunamadı")</f>
        <v>Northbridge Press</v>
      </c>
      <c r="H2469" s="2">
        <f t="array" ref="H2469">_xlfn.XLOOKUP(A2471,Product!A:A,Product!E:E,"Bulunamadı")</f>
        <v>7.05</v>
      </c>
      <c r="I2469" s="2" t="str">
        <f t="shared" si="1"/>
        <v>129484 - Tech - Cycling</v>
      </c>
      <c r="J2469" s="2">
        <f t="shared" si="2"/>
        <v>1001.1</v>
      </c>
      <c r="K2469" s="17">
        <f t="shared" si="3"/>
        <v>1</v>
      </c>
      <c r="L2469" s="18"/>
    </row>
    <row r="2470" hidden="1">
      <c r="A2470" s="2">
        <f>IFERROR(__xludf.DUMMYFUNCTION("""COMPUTED_VALUE"""),122405.0)</f>
        <v>122405</v>
      </c>
      <c r="B2470" s="2">
        <f>IFERROR(__xludf.DUMMYFUNCTION("""COMPUTED_VALUE"""),0.0)</f>
        <v>0</v>
      </c>
      <c r="C2470" s="2">
        <f>IFERROR(__xludf.DUMMYFUNCTION("""COMPUTED_VALUE"""),46.0)</f>
        <v>46</v>
      </c>
      <c r="D2470" s="3">
        <f>IFERROR(__xludf.DUMMYFUNCTION("""COMPUTED_VALUE"""),10.0)</f>
        <v>10</v>
      </c>
      <c r="E2470" s="1" t="str">
        <f t="array" ref="E2470">_xlfn.XLOOKUP(A2470,Product!A:A,Product!B:B,"Bulunamadı")</f>
        <v>Tech</v>
      </c>
      <c r="F2470" s="1" t="str">
        <f t="array" ref="F2470">_xlfn.XLOOKUP(A2470,Product!A:A,Product!C:C,"Bulunamadı")</f>
        <v>Cycling</v>
      </c>
      <c r="G2470" s="2" t="str">
        <f t="array" ref="G2470">_xlfn.XLOOKUP(A2471,Product!A:A,Product!D:D,"Bulunamadı")</f>
        <v>Northbridge Press</v>
      </c>
      <c r="H2470" s="2">
        <f t="array" ref="H2470">_xlfn.XLOOKUP(A2472,Product!A:A,Product!E:E,"Bulunamadı")</f>
        <v>5.26</v>
      </c>
      <c r="I2470" s="2" t="str">
        <f t="shared" si="1"/>
        <v>122405 - Tech - Cycling</v>
      </c>
      <c r="J2470" s="2">
        <f t="shared" si="2"/>
        <v>52.6</v>
      </c>
      <c r="K2470" s="17">
        <f t="shared" si="3"/>
        <v>1</v>
      </c>
      <c r="L2470" s="18"/>
    </row>
    <row r="2471" hidden="1">
      <c r="A2471" s="2">
        <f>IFERROR(__xludf.DUMMYFUNCTION("""COMPUTED_VALUE"""),108690.0)</f>
        <v>108690</v>
      </c>
      <c r="B2471" s="2">
        <f>IFERROR(__xludf.DUMMYFUNCTION("""COMPUTED_VALUE"""),1.0)</f>
        <v>1</v>
      </c>
      <c r="C2471" s="2">
        <f>IFERROR(__xludf.DUMMYFUNCTION("""COMPUTED_VALUE"""),482.0)</f>
        <v>482</v>
      </c>
      <c r="D2471" s="3">
        <f>IFERROR(__xludf.DUMMYFUNCTION("""COMPUTED_VALUE"""),121.0)</f>
        <v>121</v>
      </c>
      <c r="E2471" s="1" t="str">
        <f t="array" ref="E2471">_xlfn.XLOOKUP(A2471,Product!A:A,Product!B:B,"Bulunamadı")</f>
        <v>Tech</v>
      </c>
      <c r="F2471" s="1" t="str">
        <f t="array" ref="F2471">_xlfn.XLOOKUP(A2471,Product!A:A,Product!C:C,"Bulunamadı")</f>
        <v>Cycling</v>
      </c>
      <c r="G2471" s="2" t="str">
        <f t="array" ref="G2471">_xlfn.XLOOKUP(A2472,Product!A:A,Product!D:D,"Bulunamadı")</f>
        <v>Northbridge Press</v>
      </c>
      <c r="H2471" s="2">
        <f t="array" ref="H2471">_xlfn.XLOOKUP(A2473,Product!A:A,Product!E:E,"Bulunamadı")</f>
        <v>4.17</v>
      </c>
      <c r="I2471" s="2" t="str">
        <f t="shared" si="1"/>
        <v>108690 - Tech - Cycling</v>
      </c>
      <c r="J2471" s="2">
        <f t="shared" si="2"/>
        <v>504.57</v>
      </c>
      <c r="K2471" s="17">
        <f t="shared" si="3"/>
        <v>1</v>
      </c>
      <c r="L2471" s="18"/>
    </row>
    <row r="2472" hidden="1">
      <c r="A2472" s="2">
        <f>IFERROR(__xludf.DUMMYFUNCTION("""COMPUTED_VALUE"""),11726.0)</f>
        <v>11726</v>
      </c>
      <c r="B2472" s="2">
        <f>IFERROR(__xludf.DUMMYFUNCTION("""COMPUTED_VALUE"""),0.0)</f>
        <v>0</v>
      </c>
      <c r="C2472" s="2">
        <f>IFERROR(__xludf.DUMMYFUNCTION("""COMPUTED_VALUE"""),294.0)</f>
        <v>294</v>
      </c>
      <c r="D2472" s="3">
        <f>IFERROR(__xludf.DUMMYFUNCTION("""COMPUTED_VALUE"""),288.0)</f>
        <v>288</v>
      </c>
      <c r="E2472" s="1" t="str">
        <f t="array" ref="E2472">_xlfn.XLOOKUP(A2472,Product!A:A,Product!B:B,"Bulunamadı")</f>
        <v>Tech</v>
      </c>
      <c r="F2472" s="1" t="str">
        <f t="array" ref="F2472">_xlfn.XLOOKUP(A2472,Product!A:A,Product!C:C,"Bulunamadı")</f>
        <v>Cycling</v>
      </c>
      <c r="G2472" s="2" t="str">
        <f t="array" ref="G2472">_xlfn.XLOOKUP(A2473,Product!A:A,Product!D:D,"Bulunamadı")</f>
        <v>Northbridge Press</v>
      </c>
      <c r="H2472" s="2">
        <f t="array" ref="H2472">_xlfn.XLOOKUP(A2474,Product!A:A,Product!E:E,"Bulunamadı")</f>
        <v>9.19</v>
      </c>
      <c r="I2472" s="2" t="str">
        <f t="shared" si="1"/>
        <v>11726 - Tech - Cycling</v>
      </c>
      <c r="J2472" s="2">
        <f t="shared" si="2"/>
        <v>2646.72</v>
      </c>
      <c r="K2472" s="17">
        <f t="shared" si="3"/>
        <v>1</v>
      </c>
      <c r="L2472" s="18"/>
    </row>
    <row r="2473" hidden="1">
      <c r="A2473" s="2">
        <f>IFERROR(__xludf.DUMMYFUNCTION("""COMPUTED_VALUE"""),109074.0)</f>
        <v>109074</v>
      </c>
      <c r="B2473" s="2">
        <f>IFERROR(__xludf.DUMMYFUNCTION("""COMPUTED_VALUE"""),0.0)</f>
        <v>0</v>
      </c>
      <c r="C2473" s="2">
        <f>IFERROR(__xludf.DUMMYFUNCTION("""COMPUTED_VALUE"""),955.0)</f>
        <v>955</v>
      </c>
      <c r="D2473" s="3">
        <f>IFERROR(__xludf.DUMMYFUNCTION("""COMPUTED_VALUE"""),312.0)</f>
        <v>312</v>
      </c>
      <c r="E2473" s="1" t="str">
        <f t="array" ref="E2473">_xlfn.XLOOKUP(A2473,Product!A:A,Product!B:B,"Bulunamadı")</f>
        <v>Tech</v>
      </c>
      <c r="F2473" s="1" t="str">
        <f t="array" ref="F2473">_xlfn.XLOOKUP(A2473,Product!A:A,Product!C:C,"Bulunamadı")</f>
        <v>Cycling</v>
      </c>
      <c r="G2473" s="2" t="str">
        <f t="array" ref="G2473">_xlfn.XLOOKUP(A2474,Product!A:A,Product!D:D,"Bulunamadı")</f>
        <v>Northbridge Press</v>
      </c>
      <c r="H2473" s="2">
        <f t="array" ref="H2473">_xlfn.XLOOKUP(A2475,Product!A:A,Product!E:E,"Bulunamadı")</f>
        <v>4.25</v>
      </c>
      <c r="I2473" s="2" t="str">
        <f t="shared" si="1"/>
        <v>109074 - Tech - Cycling</v>
      </c>
      <c r="J2473" s="2">
        <f t="shared" si="2"/>
        <v>1326</v>
      </c>
      <c r="K2473" s="17">
        <f t="shared" si="3"/>
        <v>1</v>
      </c>
      <c r="L2473" s="18"/>
    </row>
    <row r="2474" hidden="1">
      <c r="A2474" s="2">
        <f>IFERROR(__xludf.DUMMYFUNCTION("""COMPUTED_VALUE"""),75818.0)</f>
        <v>75818</v>
      </c>
      <c r="B2474" s="2">
        <f>IFERROR(__xludf.DUMMYFUNCTION("""COMPUTED_VALUE"""),1.0)</f>
        <v>1</v>
      </c>
      <c r="C2474" s="2">
        <f>IFERROR(__xludf.DUMMYFUNCTION("""COMPUTED_VALUE"""),569.0)</f>
        <v>569</v>
      </c>
      <c r="D2474" s="3">
        <f>IFERROR(__xludf.DUMMYFUNCTION("""COMPUTED_VALUE"""),140.0)</f>
        <v>140</v>
      </c>
      <c r="E2474" s="1" t="str">
        <f t="array" ref="E2474">_xlfn.XLOOKUP(A2474,Product!A:A,Product!B:B,"Bulunamadı")</f>
        <v>Tech</v>
      </c>
      <c r="F2474" s="1" t="str">
        <f t="array" ref="F2474">_xlfn.XLOOKUP(A2474,Product!A:A,Product!C:C,"Bulunamadı")</f>
        <v>Cycling</v>
      </c>
      <c r="G2474" s="2" t="str">
        <f t="array" ref="G2474">_xlfn.XLOOKUP(A2475,Product!A:A,Product!D:D,"Bulunamadı")</f>
        <v>Northbridge Press</v>
      </c>
      <c r="H2474" s="2">
        <f t="array" ref="H2474">_xlfn.XLOOKUP(A2476,Product!A:A,Product!E:E,"Bulunamadı")</f>
        <v>5.27</v>
      </c>
      <c r="I2474" s="2" t="str">
        <f t="shared" si="1"/>
        <v>75818 - Tech - Cycling</v>
      </c>
      <c r="J2474" s="2">
        <f t="shared" si="2"/>
        <v>737.8</v>
      </c>
      <c r="K2474" s="17">
        <f t="shared" si="3"/>
        <v>1</v>
      </c>
      <c r="L2474" s="18"/>
    </row>
    <row r="2475" hidden="1">
      <c r="A2475" s="2">
        <f>IFERROR(__xludf.DUMMYFUNCTION("""COMPUTED_VALUE"""),10663.0)</f>
        <v>10663</v>
      </c>
      <c r="B2475" s="2">
        <f>IFERROR(__xludf.DUMMYFUNCTION("""COMPUTED_VALUE"""),0.0)</f>
        <v>0</v>
      </c>
      <c r="C2475" s="2">
        <f>IFERROR(__xludf.DUMMYFUNCTION("""COMPUTED_VALUE"""),737.0)</f>
        <v>737</v>
      </c>
      <c r="D2475" s="3">
        <f>IFERROR(__xludf.DUMMYFUNCTION("""COMPUTED_VALUE"""),236.0)</f>
        <v>236</v>
      </c>
      <c r="E2475" s="1" t="str">
        <f t="array" ref="E2475">_xlfn.XLOOKUP(A2475,Product!A:A,Product!B:B,"Bulunamadı")</f>
        <v>Tech</v>
      </c>
      <c r="F2475" s="1" t="str">
        <f t="array" ref="F2475">_xlfn.XLOOKUP(A2475,Product!A:A,Product!C:C,"Bulunamadı")</f>
        <v>Cycling</v>
      </c>
      <c r="G2475" s="2" t="str">
        <f t="array" ref="G2475">_xlfn.XLOOKUP(A2476,Product!A:A,Product!D:D,"Bulunamadı")</f>
        <v>Northbridge Press</v>
      </c>
      <c r="H2475" s="2">
        <f t="array" ref="H2475">_xlfn.XLOOKUP(A2477,Product!A:A,Product!E:E,"Bulunamadı")</f>
        <v>4.18</v>
      </c>
      <c r="I2475" s="2" t="str">
        <f t="shared" si="1"/>
        <v>10663 - Tech - Cycling</v>
      </c>
      <c r="J2475" s="2">
        <f t="shared" si="2"/>
        <v>986.48</v>
      </c>
      <c r="K2475" s="17">
        <f t="shared" si="3"/>
        <v>1</v>
      </c>
      <c r="L2475" s="18"/>
    </row>
    <row r="2476" hidden="1">
      <c r="A2476" s="2">
        <f>IFERROR(__xludf.DUMMYFUNCTION("""COMPUTED_VALUE"""),9667.0)</f>
        <v>9667</v>
      </c>
      <c r="B2476" s="2">
        <f>IFERROR(__xludf.DUMMYFUNCTION("""COMPUTED_VALUE"""),0.0)</f>
        <v>0</v>
      </c>
      <c r="C2476" s="2">
        <f>IFERROR(__xludf.DUMMYFUNCTION("""COMPUTED_VALUE"""),432.0)</f>
        <v>432</v>
      </c>
      <c r="D2476" s="3">
        <f>IFERROR(__xludf.DUMMYFUNCTION("""COMPUTED_VALUE"""),69.0)</f>
        <v>69</v>
      </c>
      <c r="E2476" s="1" t="str">
        <f t="array" ref="E2476">_xlfn.XLOOKUP(A2476,Product!A:A,Product!B:B,"Bulunamadı")</f>
        <v>Tech</v>
      </c>
      <c r="F2476" s="1" t="str">
        <f t="array" ref="F2476">_xlfn.XLOOKUP(A2476,Product!A:A,Product!C:C,"Bulunamadı")</f>
        <v>Cycling</v>
      </c>
      <c r="G2476" s="2" t="str">
        <f t="array" ref="G2476">_xlfn.XLOOKUP(A2477,Product!A:A,Product!D:D,"Bulunamadı")</f>
        <v>Northbridge Press</v>
      </c>
      <c r="H2476" s="2">
        <f t="array" ref="H2476">_xlfn.XLOOKUP(A2478,Product!A:A,Product!E:E,"Bulunamadı")</f>
        <v>5.88</v>
      </c>
      <c r="I2476" s="2" t="str">
        <f t="shared" si="1"/>
        <v>9667 - Tech - Cycling</v>
      </c>
      <c r="J2476" s="2">
        <f t="shared" si="2"/>
        <v>405.72</v>
      </c>
      <c r="K2476" s="17">
        <f t="shared" si="3"/>
        <v>1</v>
      </c>
      <c r="L2476" s="18"/>
    </row>
    <row r="2477" hidden="1">
      <c r="A2477" s="2">
        <f>IFERROR(__xludf.DUMMYFUNCTION("""COMPUTED_VALUE"""),109073.0)</f>
        <v>109073</v>
      </c>
      <c r="B2477" s="2">
        <f>IFERROR(__xludf.DUMMYFUNCTION("""COMPUTED_VALUE"""),0.0)</f>
        <v>0</v>
      </c>
      <c r="C2477" s="2">
        <f>IFERROR(__xludf.DUMMYFUNCTION("""COMPUTED_VALUE"""),152.0)</f>
        <v>152</v>
      </c>
      <c r="D2477" s="3">
        <f>IFERROR(__xludf.DUMMYFUNCTION("""COMPUTED_VALUE"""),85.0)</f>
        <v>85</v>
      </c>
      <c r="E2477" s="1" t="str">
        <f t="array" ref="E2477">_xlfn.XLOOKUP(A2477,Product!A:A,Product!B:B,"Bulunamadı")</f>
        <v>Tech</v>
      </c>
      <c r="F2477" s="1" t="str">
        <f t="array" ref="F2477">_xlfn.XLOOKUP(A2477,Product!A:A,Product!C:C,"Bulunamadı")</f>
        <v>Cycling</v>
      </c>
      <c r="G2477" s="2" t="str">
        <f t="array" ref="G2477">_xlfn.XLOOKUP(A2478,Product!A:A,Product!D:D,"Bulunamadı")</f>
        <v>Northbridge Press</v>
      </c>
      <c r="H2477" s="2">
        <f t="array" ref="H2477">_xlfn.XLOOKUP(A2479,Product!A:A,Product!E:E,"Bulunamadı")</f>
        <v>5.45</v>
      </c>
      <c r="I2477" s="2" t="str">
        <f t="shared" si="1"/>
        <v>109073 - Tech - Cycling</v>
      </c>
      <c r="J2477" s="2">
        <f t="shared" si="2"/>
        <v>463.25</v>
      </c>
      <c r="K2477" s="17">
        <f t="shared" si="3"/>
        <v>1</v>
      </c>
      <c r="L2477" s="18"/>
    </row>
    <row r="2478" hidden="1">
      <c r="A2478" s="2">
        <f>IFERROR(__xludf.DUMMYFUNCTION("""COMPUTED_VALUE"""),11731.0)</f>
        <v>11731</v>
      </c>
      <c r="B2478" s="2">
        <f>IFERROR(__xludf.DUMMYFUNCTION("""COMPUTED_VALUE"""),0.0)</f>
        <v>0</v>
      </c>
      <c r="C2478" s="2">
        <f>IFERROR(__xludf.DUMMYFUNCTION("""COMPUTED_VALUE"""),384.0)</f>
        <v>384</v>
      </c>
      <c r="D2478" s="3">
        <f>IFERROR(__xludf.DUMMYFUNCTION("""COMPUTED_VALUE"""),113.0)</f>
        <v>113</v>
      </c>
      <c r="E2478" s="1" t="str">
        <f t="array" ref="E2478">_xlfn.XLOOKUP(A2478,Product!A:A,Product!B:B,"Bulunamadı")</f>
        <v>Tech</v>
      </c>
      <c r="F2478" s="1" t="str">
        <f t="array" ref="F2478">_xlfn.XLOOKUP(A2478,Product!A:A,Product!C:C,"Bulunamadı")</f>
        <v>Cycling</v>
      </c>
      <c r="G2478" s="2" t="str">
        <f t="array" ref="G2478">_xlfn.XLOOKUP(A2479,Product!A:A,Product!D:D,"Bulunamadı")</f>
        <v>Northbridge Press</v>
      </c>
      <c r="H2478" s="2">
        <f t="array" ref="H2478">_xlfn.XLOOKUP(A2480,Product!A:A,Product!E:E,"Bulunamadı")</f>
        <v>4.84</v>
      </c>
      <c r="I2478" s="2" t="str">
        <f t="shared" si="1"/>
        <v>11731 - Tech - Cycling</v>
      </c>
      <c r="J2478" s="2">
        <f t="shared" si="2"/>
        <v>546.92</v>
      </c>
      <c r="K2478" s="17">
        <f t="shared" si="3"/>
        <v>1</v>
      </c>
      <c r="L2478" s="18"/>
    </row>
    <row r="2479" hidden="1">
      <c r="A2479" s="2">
        <f>IFERROR(__xludf.DUMMYFUNCTION("""COMPUTED_VALUE"""),155869.0)</f>
        <v>155869</v>
      </c>
      <c r="B2479" s="2">
        <f>IFERROR(__xludf.DUMMYFUNCTION("""COMPUTED_VALUE"""),1.0)</f>
        <v>1</v>
      </c>
      <c r="C2479" s="2">
        <f>IFERROR(__xludf.DUMMYFUNCTION("""COMPUTED_VALUE"""),975.0)</f>
        <v>975</v>
      </c>
      <c r="D2479" s="3">
        <f>IFERROR(__xludf.DUMMYFUNCTION("""COMPUTED_VALUE"""),615.0)</f>
        <v>615</v>
      </c>
      <c r="E2479" s="1" t="str">
        <f t="array" ref="E2479">_xlfn.XLOOKUP(A2479,Product!A:A,Product!B:B,"Bulunamadı")</f>
        <v>Tech</v>
      </c>
      <c r="F2479" s="1" t="str">
        <f t="array" ref="F2479">_xlfn.XLOOKUP(A2479,Product!A:A,Product!C:C,"Bulunamadı")</f>
        <v>Cycling</v>
      </c>
      <c r="G2479" s="2" t="str">
        <f t="array" ref="G2479">_xlfn.XLOOKUP(A2480,Product!A:A,Product!D:D,"Bulunamadı")</f>
        <v>Northbridge Press</v>
      </c>
      <c r="H2479" s="2">
        <f t="array" ref="H2479">_xlfn.XLOOKUP(A2481,Product!A:A,Product!E:E,"Bulunamadı")</f>
        <v>3.21</v>
      </c>
      <c r="I2479" s="2" t="str">
        <f t="shared" si="1"/>
        <v>155869 - Tech - Cycling</v>
      </c>
      <c r="J2479" s="2">
        <f t="shared" si="2"/>
        <v>1974.15</v>
      </c>
      <c r="K2479" s="17">
        <f t="shared" si="3"/>
        <v>1</v>
      </c>
      <c r="L2479" s="18"/>
    </row>
    <row r="2480" hidden="1">
      <c r="A2480" s="2">
        <f>IFERROR(__xludf.DUMMYFUNCTION("""COMPUTED_VALUE"""),118982.0)</f>
        <v>118982</v>
      </c>
      <c r="B2480" s="2">
        <f>IFERROR(__xludf.DUMMYFUNCTION("""COMPUTED_VALUE"""),1.0)</f>
        <v>1</v>
      </c>
      <c r="C2480" s="2">
        <f>IFERROR(__xludf.DUMMYFUNCTION("""COMPUTED_VALUE"""),254.0)</f>
        <v>254</v>
      </c>
      <c r="D2480" s="3">
        <f>IFERROR(__xludf.DUMMYFUNCTION("""COMPUTED_VALUE"""),35.0)</f>
        <v>35</v>
      </c>
      <c r="E2480" s="1" t="str">
        <f t="array" ref="E2480">_xlfn.XLOOKUP(A2480,Product!A:A,Product!B:B,"Bulunamadı")</f>
        <v>Tech</v>
      </c>
      <c r="F2480" s="1" t="str">
        <f t="array" ref="F2480">_xlfn.XLOOKUP(A2480,Product!A:A,Product!C:C,"Bulunamadı")</f>
        <v>Cycling</v>
      </c>
      <c r="G2480" s="2" t="str">
        <f t="array" ref="G2480">_xlfn.XLOOKUP(A2481,Product!A:A,Product!D:D,"Bulunamadı")</f>
        <v>Northbridge Press</v>
      </c>
      <c r="H2480" s="2">
        <f t="array" ref="H2480">_xlfn.XLOOKUP(A2482,Product!A:A,Product!E:E,"Bulunamadı")</f>
        <v>2.89</v>
      </c>
      <c r="I2480" s="2" t="str">
        <f t="shared" si="1"/>
        <v>118982 - Tech - Cycling</v>
      </c>
      <c r="J2480" s="2">
        <f t="shared" si="2"/>
        <v>101.15</v>
      </c>
      <c r="K2480" s="17">
        <f t="shared" si="3"/>
        <v>1</v>
      </c>
      <c r="L2480" s="18"/>
    </row>
    <row r="2481" hidden="1">
      <c r="A2481" s="2">
        <f>IFERROR(__xludf.DUMMYFUNCTION("""COMPUTED_VALUE"""),29642.0)</f>
        <v>29642</v>
      </c>
      <c r="B2481" s="2">
        <f>IFERROR(__xludf.DUMMYFUNCTION("""COMPUTED_VALUE"""),0.0)</f>
        <v>0</v>
      </c>
      <c r="C2481" s="2">
        <f>IFERROR(__xludf.DUMMYFUNCTION("""COMPUTED_VALUE"""),167.0)</f>
        <v>167</v>
      </c>
      <c r="D2481" s="3">
        <f>IFERROR(__xludf.DUMMYFUNCTION("""COMPUTED_VALUE"""),113.0)</f>
        <v>113</v>
      </c>
      <c r="E2481" s="1" t="str">
        <f t="array" ref="E2481">_xlfn.XLOOKUP(A2481,Product!A:A,Product!B:B,"Bulunamadı")</f>
        <v>Tech</v>
      </c>
      <c r="F2481" s="1" t="str">
        <f t="array" ref="F2481">_xlfn.XLOOKUP(A2481,Product!A:A,Product!C:C,"Bulunamadı")</f>
        <v>Cycling</v>
      </c>
      <c r="G2481" s="2" t="str">
        <f t="array" ref="G2481">_xlfn.XLOOKUP(A2482,Product!A:A,Product!D:D,"Bulunamadı")</f>
        <v>Northbridge Press</v>
      </c>
      <c r="H2481" s="2">
        <f t="array" ref="H2481">_xlfn.XLOOKUP(A2483,Product!A:A,Product!E:E,"Bulunamadı")</f>
        <v>4.25</v>
      </c>
      <c r="I2481" s="2" t="str">
        <f t="shared" si="1"/>
        <v>29642 - Tech - Cycling</v>
      </c>
      <c r="J2481" s="2">
        <f t="shared" si="2"/>
        <v>480.25</v>
      </c>
      <c r="K2481" s="17">
        <f t="shared" si="3"/>
        <v>1</v>
      </c>
      <c r="L2481" s="18"/>
    </row>
    <row r="2482" hidden="1">
      <c r="A2482" s="2">
        <f>IFERROR(__xludf.DUMMYFUNCTION("""COMPUTED_VALUE"""),111774.0)</f>
        <v>111774</v>
      </c>
      <c r="B2482" s="2">
        <f>IFERROR(__xludf.DUMMYFUNCTION("""COMPUTED_VALUE"""),0.0)</f>
        <v>0</v>
      </c>
      <c r="C2482" s="2">
        <f>IFERROR(__xludf.DUMMYFUNCTION("""COMPUTED_VALUE"""),991.0)</f>
        <v>991</v>
      </c>
      <c r="D2482" s="3">
        <f>IFERROR(__xludf.DUMMYFUNCTION("""COMPUTED_VALUE"""),463.0)</f>
        <v>463</v>
      </c>
      <c r="E2482" s="1" t="str">
        <f t="array" ref="E2482">_xlfn.XLOOKUP(A2482,Product!A:A,Product!B:B,"Bulunamadı")</f>
        <v>Tech</v>
      </c>
      <c r="F2482" s="1" t="str">
        <f t="array" ref="F2482">_xlfn.XLOOKUP(A2482,Product!A:A,Product!C:C,"Bulunamadı")</f>
        <v>Cycling</v>
      </c>
      <c r="G2482" s="2" t="str">
        <f t="array" ref="G2482">_xlfn.XLOOKUP(A2483,Product!A:A,Product!D:D,"Bulunamadı")</f>
        <v>Northbridge Press</v>
      </c>
      <c r="H2482" s="2">
        <f t="array" ref="H2482">_xlfn.XLOOKUP(A2484,Product!A:A,Product!E:E,"Bulunamadı")</f>
        <v>7.61</v>
      </c>
      <c r="I2482" s="2" t="str">
        <f t="shared" si="1"/>
        <v>111774 - Tech - Cycling</v>
      </c>
      <c r="J2482" s="2">
        <f t="shared" si="2"/>
        <v>3523.43</v>
      </c>
      <c r="K2482" s="17">
        <f t="shared" si="3"/>
        <v>1</v>
      </c>
      <c r="L2482" s="18"/>
    </row>
    <row r="2483" hidden="1">
      <c r="A2483" s="2">
        <f>IFERROR(__xludf.DUMMYFUNCTION("""COMPUTED_VALUE"""),117290.0)</f>
        <v>117290</v>
      </c>
      <c r="B2483" s="2">
        <f>IFERROR(__xludf.DUMMYFUNCTION("""COMPUTED_VALUE"""),1.0)</f>
        <v>1</v>
      </c>
      <c r="C2483" s="2">
        <f>IFERROR(__xludf.DUMMYFUNCTION("""COMPUTED_VALUE"""),211.0)</f>
        <v>211</v>
      </c>
      <c r="D2483" s="3">
        <f>IFERROR(__xludf.DUMMYFUNCTION("""COMPUTED_VALUE"""),51.0)</f>
        <v>51</v>
      </c>
      <c r="E2483" s="1" t="str">
        <f t="array" ref="E2483">_xlfn.XLOOKUP(A2483,Product!A:A,Product!B:B,"Bulunamadı")</f>
        <v>Tech</v>
      </c>
      <c r="F2483" s="1" t="str">
        <f t="array" ref="F2483">_xlfn.XLOOKUP(A2483,Product!A:A,Product!C:C,"Bulunamadı")</f>
        <v>Cycling</v>
      </c>
      <c r="G2483" s="2" t="str">
        <f t="array" ref="G2483">_xlfn.XLOOKUP(A2484,Product!A:A,Product!D:D,"Bulunamadı")</f>
        <v>Northbridge Press</v>
      </c>
      <c r="H2483" s="2">
        <f t="array" ref="H2483">_xlfn.XLOOKUP(A2485,Product!A:A,Product!E:E,"Bulunamadı")</f>
        <v>5.4</v>
      </c>
      <c r="I2483" s="2" t="str">
        <f t="shared" si="1"/>
        <v>117290 - Tech - Cycling</v>
      </c>
      <c r="J2483" s="2">
        <f t="shared" si="2"/>
        <v>275.4</v>
      </c>
      <c r="K2483" s="17">
        <f t="shared" si="3"/>
        <v>1</v>
      </c>
      <c r="L2483" s="18"/>
    </row>
    <row r="2484" hidden="1">
      <c r="A2484" s="2">
        <f>IFERROR(__xludf.DUMMYFUNCTION("""COMPUTED_VALUE"""),105593.0)</f>
        <v>105593</v>
      </c>
      <c r="B2484" s="2">
        <f>IFERROR(__xludf.DUMMYFUNCTION("""COMPUTED_VALUE"""),0.0)</f>
        <v>0</v>
      </c>
      <c r="C2484" s="2">
        <f>IFERROR(__xludf.DUMMYFUNCTION("""COMPUTED_VALUE"""),328.0)</f>
        <v>328</v>
      </c>
      <c r="D2484" s="3">
        <f>IFERROR(__xludf.DUMMYFUNCTION("""COMPUTED_VALUE"""),324.0)</f>
        <v>324</v>
      </c>
      <c r="E2484" s="1" t="str">
        <f t="array" ref="E2484">_xlfn.XLOOKUP(A2484,Product!A:A,Product!B:B,"Bulunamadı")</f>
        <v>Tech</v>
      </c>
      <c r="F2484" s="1" t="str">
        <f t="array" ref="F2484">_xlfn.XLOOKUP(A2484,Product!A:A,Product!C:C,"Bulunamadı")</f>
        <v>Cycling</v>
      </c>
      <c r="G2484" s="2" t="str">
        <f t="array" ref="G2484">_xlfn.XLOOKUP(A2485,Product!A:A,Product!D:D,"Bulunamadı")</f>
        <v>Northbridge Press</v>
      </c>
      <c r="H2484" s="2">
        <f t="array" ref="H2484">_xlfn.XLOOKUP(A2486,Product!A:A,Product!E:E,"Bulunamadı")</f>
        <v>5.28</v>
      </c>
      <c r="I2484" s="2" t="str">
        <f t="shared" si="1"/>
        <v>105593 - Tech - Cycling</v>
      </c>
      <c r="J2484" s="2">
        <f t="shared" si="2"/>
        <v>1710.72</v>
      </c>
      <c r="K2484" s="17">
        <f t="shared" si="3"/>
        <v>1</v>
      </c>
      <c r="L2484" s="18"/>
    </row>
    <row r="2485" hidden="1">
      <c r="A2485" s="2">
        <f>IFERROR(__xludf.DUMMYFUNCTION("""COMPUTED_VALUE"""),70751.0)</f>
        <v>70751</v>
      </c>
      <c r="B2485" s="2">
        <f>IFERROR(__xludf.DUMMYFUNCTION("""COMPUTED_VALUE"""),0.0)</f>
        <v>0</v>
      </c>
      <c r="C2485" s="2">
        <f>IFERROR(__xludf.DUMMYFUNCTION("""COMPUTED_VALUE"""),932.0)</f>
        <v>932</v>
      </c>
      <c r="D2485" s="3">
        <f>IFERROR(__xludf.DUMMYFUNCTION("""COMPUTED_VALUE"""),820.0)</f>
        <v>820</v>
      </c>
      <c r="E2485" s="1" t="str">
        <f t="array" ref="E2485">_xlfn.XLOOKUP(A2485,Product!A:A,Product!B:B,"Bulunamadı")</f>
        <v>Tech</v>
      </c>
      <c r="F2485" s="1" t="str">
        <f t="array" ref="F2485">_xlfn.XLOOKUP(A2485,Product!A:A,Product!C:C,"Bulunamadı")</f>
        <v>Cycling</v>
      </c>
      <c r="G2485" s="2" t="str">
        <f t="array" ref="G2485">_xlfn.XLOOKUP(A2486,Product!A:A,Product!D:D,"Bulunamadı")</f>
        <v>Northbridge Press</v>
      </c>
      <c r="H2485" s="2">
        <f t="array" ref="H2485">_xlfn.XLOOKUP(A2487,Product!A:A,Product!E:E,"Bulunamadı")</f>
        <v>5.48</v>
      </c>
      <c r="I2485" s="2" t="str">
        <f t="shared" si="1"/>
        <v>70751 - Tech - Cycling</v>
      </c>
      <c r="J2485" s="2">
        <f t="shared" si="2"/>
        <v>4493.6</v>
      </c>
      <c r="K2485" s="17">
        <f t="shared" si="3"/>
        <v>1</v>
      </c>
      <c r="L2485" s="18"/>
    </row>
    <row r="2486" hidden="1">
      <c r="A2486" s="2">
        <f>IFERROR(__xludf.DUMMYFUNCTION("""COMPUTED_VALUE"""),118929.0)</f>
        <v>118929</v>
      </c>
      <c r="B2486" s="2">
        <f>IFERROR(__xludf.DUMMYFUNCTION("""COMPUTED_VALUE"""),0.0)</f>
        <v>0</v>
      </c>
      <c r="C2486" s="2">
        <f>IFERROR(__xludf.DUMMYFUNCTION("""COMPUTED_VALUE"""),846.0)</f>
        <v>846</v>
      </c>
      <c r="D2486" s="3">
        <f>IFERROR(__xludf.DUMMYFUNCTION("""COMPUTED_VALUE"""),610.0)</f>
        <v>610</v>
      </c>
      <c r="E2486" s="1" t="str">
        <f t="array" ref="E2486">_xlfn.XLOOKUP(A2486,Product!A:A,Product!B:B,"Bulunamadı")</f>
        <v>Tech</v>
      </c>
      <c r="F2486" s="1" t="str">
        <f t="array" ref="F2486">_xlfn.XLOOKUP(A2486,Product!A:A,Product!C:C,"Bulunamadı")</f>
        <v>Cycling</v>
      </c>
      <c r="G2486" s="2" t="str">
        <f t="array" ref="G2486">_xlfn.XLOOKUP(A2487,Product!A:A,Product!D:D,"Bulunamadı")</f>
        <v>Northbridge Press</v>
      </c>
      <c r="H2486" s="2">
        <f t="array" ref="H2486">_xlfn.XLOOKUP(A2488,Product!A:A,Product!E:E,"Bulunamadı")</f>
        <v>3.44</v>
      </c>
      <c r="I2486" s="2" t="str">
        <f t="shared" si="1"/>
        <v>118929 - Tech - Cycling</v>
      </c>
      <c r="J2486" s="2">
        <f t="shared" si="2"/>
        <v>2098.4</v>
      </c>
      <c r="K2486" s="17">
        <f t="shared" si="3"/>
        <v>1</v>
      </c>
      <c r="L2486" s="18"/>
    </row>
    <row r="2487" hidden="1">
      <c r="A2487" s="2">
        <f>IFERROR(__xludf.DUMMYFUNCTION("""COMPUTED_VALUE"""),70594.0)</f>
        <v>70594</v>
      </c>
      <c r="B2487" s="2">
        <f>IFERROR(__xludf.DUMMYFUNCTION("""COMPUTED_VALUE"""),1.0)</f>
        <v>1</v>
      </c>
      <c r="C2487" s="2">
        <f>IFERROR(__xludf.DUMMYFUNCTION("""COMPUTED_VALUE"""),16.0)</f>
        <v>16</v>
      </c>
      <c r="D2487" s="3">
        <f>IFERROR(__xludf.DUMMYFUNCTION("""COMPUTED_VALUE"""),0.0)</f>
        <v>0</v>
      </c>
      <c r="E2487" s="1" t="str">
        <f t="array" ref="E2487">_xlfn.XLOOKUP(A2487,Product!A:A,Product!B:B,"Bulunamadı")</f>
        <v>Tech</v>
      </c>
      <c r="F2487" s="1" t="str">
        <f t="array" ref="F2487">_xlfn.XLOOKUP(A2487,Product!A:A,Product!C:C,"Bulunamadı")</f>
        <v>Cycling</v>
      </c>
      <c r="G2487" s="2" t="str">
        <f t="array" ref="G2487">_xlfn.XLOOKUP(A2488,Product!A:A,Product!D:D,"Bulunamadı")</f>
        <v>Northbridge Press</v>
      </c>
      <c r="H2487" s="2">
        <f t="array" ref="H2487">_xlfn.XLOOKUP(A2489,Product!A:A,Product!E:E,"Bulunamadı")</f>
        <v>8.55</v>
      </c>
      <c r="I2487" s="2" t="str">
        <f t="shared" si="1"/>
        <v>70594 - Tech - Cycling</v>
      </c>
      <c r="J2487" s="2">
        <f t="shared" si="2"/>
        <v>0</v>
      </c>
      <c r="K2487" s="17">
        <f t="shared" si="3"/>
        <v>0</v>
      </c>
      <c r="L2487" s="18"/>
    </row>
    <row r="2488" hidden="1">
      <c r="A2488" s="2">
        <f>IFERROR(__xludf.DUMMYFUNCTION("""COMPUTED_VALUE"""),118270.0)</f>
        <v>118270</v>
      </c>
      <c r="B2488" s="2">
        <f>IFERROR(__xludf.DUMMYFUNCTION("""COMPUTED_VALUE"""),0.0)</f>
        <v>0</v>
      </c>
      <c r="C2488" s="2">
        <f>IFERROR(__xludf.DUMMYFUNCTION("""COMPUTED_VALUE"""),488.0)</f>
        <v>488</v>
      </c>
      <c r="D2488" s="3">
        <f>IFERROR(__xludf.DUMMYFUNCTION("""COMPUTED_VALUE"""),275.0)</f>
        <v>275</v>
      </c>
      <c r="E2488" s="1" t="str">
        <f t="array" ref="E2488">_xlfn.XLOOKUP(A2488,Product!A:A,Product!B:B,"Bulunamadı")</f>
        <v>Tech</v>
      </c>
      <c r="F2488" s="1" t="str">
        <f t="array" ref="F2488">_xlfn.XLOOKUP(A2488,Product!A:A,Product!C:C,"Bulunamadı")</f>
        <v>Cycling</v>
      </c>
      <c r="G2488" s="2" t="str">
        <f t="array" ref="G2488">_xlfn.XLOOKUP(A2489,Product!A:A,Product!D:D,"Bulunamadı")</f>
        <v>Northbridge Press</v>
      </c>
      <c r="H2488" s="2">
        <f t="array" ref="H2488">_xlfn.XLOOKUP(A2490,Product!A:A,Product!E:E,"Bulunamadı")</f>
        <v>4</v>
      </c>
      <c r="I2488" s="2" t="str">
        <f t="shared" si="1"/>
        <v>118270 - Tech - Cycling</v>
      </c>
      <c r="J2488" s="2">
        <f t="shared" si="2"/>
        <v>1100</v>
      </c>
      <c r="K2488" s="17">
        <f t="shared" si="3"/>
        <v>1</v>
      </c>
      <c r="L2488" s="18"/>
    </row>
    <row r="2489" hidden="1">
      <c r="A2489" s="2">
        <f>IFERROR(__xludf.DUMMYFUNCTION("""COMPUTED_VALUE"""),20584.0)</f>
        <v>20584</v>
      </c>
      <c r="B2489" s="2">
        <f>IFERROR(__xludf.DUMMYFUNCTION("""COMPUTED_VALUE"""),0.0)</f>
        <v>0</v>
      </c>
      <c r="C2489" s="2">
        <f>IFERROR(__xludf.DUMMYFUNCTION("""COMPUTED_VALUE"""),877.0)</f>
        <v>877</v>
      </c>
      <c r="D2489" s="3">
        <f>IFERROR(__xludf.DUMMYFUNCTION("""COMPUTED_VALUE"""),638.0)</f>
        <v>638</v>
      </c>
      <c r="E2489" s="1" t="str">
        <f t="array" ref="E2489">_xlfn.XLOOKUP(A2489,Product!A:A,Product!B:B,"Bulunamadı")</f>
        <v>Tech</v>
      </c>
      <c r="F2489" s="1" t="str">
        <f t="array" ref="F2489">_xlfn.XLOOKUP(A2489,Product!A:A,Product!C:C,"Bulunamadı")</f>
        <v>Cycling</v>
      </c>
      <c r="G2489" s="2" t="str">
        <f t="array" ref="G2489">_xlfn.XLOOKUP(A2490,Product!A:A,Product!D:D,"Bulunamadı")</f>
        <v>Northbridge Press</v>
      </c>
      <c r="H2489" s="2">
        <f t="array" ref="H2489">_xlfn.XLOOKUP(A2491,Product!A:A,Product!E:E,"Bulunamadı")</f>
        <v>5.17</v>
      </c>
      <c r="I2489" s="2" t="str">
        <f t="shared" si="1"/>
        <v>20584 - Tech - Cycling</v>
      </c>
      <c r="J2489" s="2">
        <f t="shared" si="2"/>
        <v>3298.46</v>
      </c>
      <c r="K2489" s="17">
        <f t="shared" si="3"/>
        <v>1</v>
      </c>
      <c r="L2489" s="18"/>
    </row>
    <row r="2490" hidden="1">
      <c r="A2490" s="2">
        <f>IFERROR(__xludf.DUMMYFUNCTION("""COMPUTED_VALUE"""),150541.0)</f>
        <v>150541</v>
      </c>
      <c r="B2490" s="2">
        <f>IFERROR(__xludf.DUMMYFUNCTION("""COMPUTED_VALUE"""),0.0)</f>
        <v>0</v>
      </c>
      <c r="C2490" s="2">
        <f>IFERROR(__xludf.DUMMYFUNCTION("""COMPUTED_VALUE"""),164.0)</f>
        <v>164</v>
      </c>
      <c r="D2490" s="3">
        <f>IFERROR(__xludf.DUMMYFUNCTION("""COMPUTED_VALUE"""),95.0)</f>
        <v>95</v>
      </c>
      <c r="E2490" s="1" t="str">
        <f t="array" ref="E2490">_xlfn.XLOOKUP(A2490,Product!A:A,Product!B:B,"Bulunamadı")</f>
        <v>Tech</v>
      </c>
      <c r="F2490" s="1" t="str">
        <f t="array" ref="F2490">_xlfn.XLOOKUP(A2490,Product!A:A,Product!C:C,"Bulunamadı")</f>
        <v>Cycling</v>
      </c>
      <c r="G2490" s="2" t="str">
        <f t="array" ref="G2490">_xlfn.XLOOKUP(A2491,Product!A:A,Product!D:D,"Bulunamadı")</f>
        <v>Northbridge Press</v>
      </c>
      <c r="H2490" s="2">
        <f t="array" ref="H2490">_xlfn.XLOOKUP(A2492,Product!A:A,Product!E:E,"Bulunamadı")</f>
        <v>4.01</v>
      </c>
      <c r="I2490" s="2" t="str">
        <f t="shared" si="1"/>
        <v>150541 - Tech - Cycling</v>
      </c>
      <c r="J2490" s="2">
        <f t="shared" si="2"/>
        <v>380.95</v>
      </c>
      <c r="K2490" s="17">
        <f t="shared" si="3"/>
        <v>1</v>
      </c>
      <c r="L2490" s="18"/>
    </row>
    <row r="2491" hidden="1">
      <c r="A2491" s="2">
        <f>IFERROR(__xludf.DUMMYFUNCTION("""COMPUTED_VALUE"""),12633.0)</f>
        <v>12633</v>
      </c>
      <c r="B2491" s="2">
        <f>IFERROR(__xludf.DUMMYFUNCTION("""COMPUTED_VALUE"""),0.0)</f>
        <v>0</v>
      </c>
      <c r="C2491" s="2">
        <f>IFERROR(__xludf.DUMMYFUNCTION("""COMPUTED_VALUE"""),195.0)</f>
        <v>195</v>
      </c>
      <c r="D2491" s="3">
        <f>IFERROR(__xludf.DUMMYFUNCTION("""COMPUTED_VALUE"""),159.0)</f>
        <v>159</v>
      </c>
      <c r="E2491" s="1" t="str">
        <f t="array" ref="E2491">_xlfn.XLOOKUP(A2491,Product!A:A,Product!B:B,"Bulunamadı")</f>
        <v>Tech</v>
      </c>
      <c r="F2491" s="1" t="str">
        <f t="array" ref="F2491">_xlfn.XLOOKUP(A2491,Product!A:A,Product!C:C,"Bulunamadı")</f>
        <v>Cycling</v>
      </c>
      <c r="G2491" s="2" t="str">
        <f t="array" ref="G2491">_xlfn.XLOOKUP(A2492,Product!A:A,Product!D:D,"Bulunamadı")</f>
        <v>Northbridge Press</v>
      </c>
      <c r="H2491" s="2">
        <f t="array" ref="H2491">_xlfn.XLOOKUP(A2493,Product!A:A,Product!E:E,"Bulunamadı")</f>
        <v>2.54</v>
      </c>
      <c r="I2491" s="2" t="str">
        <f t="shared" si="1"/>
        <v>12633 - Tech - Cycling</v>
      </c>
      <c r="J2491" s="2">
        <f t="shared" si="2"/>
        <v>403.86</v>
      </c>
      <c r="K2491" s="17">
        <f t="shared" si="3"/>
        <v>1</v>
      </c>
      <c r="L2491" s="18"/>
    </row>
    <row r="2492" hidden="1">
      <c r="A2492" s="2">
        <f>IFERROR(__xludf.DUMMYFUNCTION("""COMPUTED_VALUE"""),9666.0)</f>
        <v>9666</v>
      </c>
      <c r="B2492" s="2">
        <f>IFERROR(__xludf.DUMMYFUNCTION("""COMPUTED_VALUE"""),0.0)</f>
        <v>0</v>
      </c>
      <c r="C2492" s="2">
        <f>IFERROR(__xludf.DUMMYFUNCTION("""COMPUTED_VALUE"""),488.0)</f>
        <v>488</v>
      </c>
      <c r="D2492" s="3">
        <f>IFERROR(__xludf.DUMMYFUNCTION("""COMPUTED_VALUE"""),159.0)</f>
        <v>159</v>
      </c>
      <c r="E2492" s="1" t="str">
        <f t="array" ref="E2492">_xlfn.XLOOKUP(A2492,Product!A:A,Product!B:B,"Bulunamadı")</f>
        <v>Tech</v>
      </c>
      <c r="F2492" s="1" t="str">
        <f t="array" ref="F2492">_xlfn.XLOOKUP(A2492,Product!A:A,Product!C:C,"Bulunamadı")</f>
        <v>Cycling</v>
      </c>
      <c r="G2492" s="2" t="str">
        <f t="array" ref="G2492">_xlfn.XLOOKUP(A2493,Product!A:A,Product!D:D,"Bulunamadı")</f>
        <v>Northbridge Press</v>
      </c>
      <c r="H2492" s="2">
        <f t="array" ref="H2492">_xlfn.XLOOKUP(A2494,Product!A:A,Product!E:E,"Bulunamadı")</f>
        <v>6</v>
      </c>
      <c r="I2492" s="2" t="str">
        <f t="shared" si="1"/>
        <v>9666 - Tech - Cycling</v>
      </c>
      <c r="J2492" s="2">
        <f t="shared" si="2"/>
        <v>954</v>
      </c>
      <c r="K2492" s="17">
        <f t="shared" si="3"/>
        <v>1</v>
      </c>
      <c r="L2492" s="18"/>
    </row>
    <row r="2493" hidden="1">
      <c r="A2493" s="2">
        <f>IFERROR(__xludf.DUMMYFUNCTION("""COMPUTED_VALUE"""),79940.0)</f>
        <v>79940</v>
      </c>
      <c r="B2493" s="2">
        <f>IFERROR(__xludf.DUMMYFUNCTION("""COMPUTED_VALUE"""),1.0)</f>
        <v>1</v>
      </c>
      <c r="C2493" s="2">
        <f>IFERROR(__xludf.DUMMYFUNCTION("""COMPUTED_VALUE"""),199.0)</f>
        <v>199</v>
      </c>
      <c r="D2493" s="3">
        <f>IFERROR(__xludf.DUMMYFUNCTION("""COMPUTED_VALUE"""),33.0)</f>
        <v>33</v>
      </c>
      <c r="E2493" s="1" t="str">
        <f t="array" ref="E2493">_xlfn.XLOOKUP(A2493,Product!A:A,Product!B:B,"Bulunamadı")</f>
        <v>Tech</v>
      </c>
      <c r="F2493" s="1" t="str">
        <f t="array" ref="F2493">_xlfn.XLOOKUP(A2493,Product!A:A,Product!C:C,"Bulunamadı")</f>
        <v>Cycling</v>
      </c>
      <c r="G2493" s="2" t="str">
        <f t="array" ref="G2493">_xlfn.XLOOKUP(A2494,Product!A:A,Product!D:D,"Bulunamadı")</f>
        <v>Northbridge Press</v>
      </c>
      <c r="H2493" s="2">
        <f t="array" ref="H2493">_xlfn.XLOOKUP(A2495,Product!A:A,Product!E:E,"Bulunamadı")</f>
        <v>3.5</v>
      </c>
      <c r="I2493" s="2" t="str">
        <f t="shared" si="1"/>
        <v>79940 - Tech - Cycling</v>
      </c>
      <c r="J2493" s="2">
        <f t="shared" si="2"/>
        <v>115.5</v>
      </c>
      <c r="K2493" s="17">
        <f t="shared" si="3"/>
        <v>1</v>
      </c>
      <c r="L2493" s="18"/>
    </row>
    <row r="2494" hidden="1">
      <c r="A2494" s="2">
        <f>IFERROR(__xludf.DUMMYFUNCTION("""COMPUTED_VALUE"""),201198.0)</f>
        <v>201198</v>
      </c>
      <c r="B2494" s="2">
        <f>IFERROR(__xludf.DUMMYFUNCTION("""COMPUTED_VALUE"""),0.0)</f>
        <v>0</v>
      </c>
      <c r="C2494" s="2">
        <f>IFERROR(__xludf.DUMMYFUNCTION("""COMPUTED_VALUE"""),72.0)</f>
        <v>72</v>
      </c>
      <c r="D2494" s="3">
        <f>IFERROR(__xludf.DUMMYFUNCTION("""COMPUTED_VALUE"""),2.0)</f>
        <v>2</v>
      </c>
      <c r="E2494" s="1" t="str">
        <f t="array" ref="E2494">_xlfn.XLOOKUP(A2494,Product!A:A,Product!B:B,"Bulunamadı")</f>
        <v>Tech</v>
      </c>
      <c r="F2494" s="1" t="str">
        <f t="array" ref="F2494">_xlfn.XLOOKUP(A2494,Product!A:A,Product!C:C,"Bulunamadı")</f>
        <v>Cycling</v>
      </c>
      <c r="G2494" s="2" t="str">
        <f t="array" ref="G2494">_xlfn.XLOOKUP(A2495,Product!A:A,Product!D:D,"Bulunamadı")</f>
        <v>Northbridge Press</v>
      </c>
      <c r="H2494" s="2">
        <f t="array" ref="H2494">_xlfn.XLOOKUP(A2496,Product!A:A,Product!E:E,"Bulunamadı")</f>
        <v>6.05</v>
      </c>
      <c r="I2494" s="2" t="str">
        <f t="shared" si="1"/>
        <v>201198 - Tech - Cycling</v>
      </c>
      <c r="J2494" s="2">
        <f t="shared" si="2"/>
        <v>12.1</v>
      </c>
      <c r="K2494" s="17">
        <f t="shared" si="3"/>
        <v>1</v>
      </c>
      <c r="L2494" s="18"/>
    </row>
    <row r="2495" hidden="1">
      <c r="A2495" s="2">
        <f>IFERROR(__xludf.DUMMYFUNCTION("""COMPUTED_VALUE"""),117268.0)</f>
        <v>117268</v>
      </c>
      <c r="B2495" s="2">
        <f>IFERROR(__xludf.DUMMYFUNCTION("""COMPUTED_VALUE"""),1.0)</f>
        <v>1</v>
      </c>
      <c r="C2495" s="2">
        <f>IFERROR(__xludf.DUMMYFUNCTION("""COMPUTED_VALUE"""),759.0)</f>
        <v>759</v>
      </c>
      <c r="D2495" s="3">
        <f>IFERROR(__xludf.DUMMYFUNCTION("""COMPUTED_VALUE"""),478.0)</f>
        <v>478</v>
      </c>
      <c r="E2495" s="1" t="str">
        <f t="array" ref="E2495">_xlfn.XLOOKUP(A2495,Product!A:A,Product!B:B,"Bulunamadı")</f>
        <v>Tech</v>
      </c>
      <c r="F2495" s="1" t="str">
        <f t="array" ref="F2495">_xlfn.XLOOKUP(A2495,Product!A:A,Product!C:C,"Bulunamadı")</f>
        <v>Cycling</v>
      </c>
      <c r="G2495" s="2" t="str">
        <f t="array" ref="G2495">_xlfn.XLOOKUP(A2496,Product!A:A,Product!D:D,"Bulunamadı")</f>
        <v>Northbridge Press</v>
      </c>
      <c r="H2495" s="2">
        <f t="array" ref="H2495">_xlfn.XLOOKUP(A2497,Product!A:A,Product!E:E,"Bulunamadı")</f>
        <v>3.36</v>
      </c>
      <c r="I2495" s="2" t="str">
        <f t="shared" si="1"/>
        <v>117268 - Tech - Cycling</v>
      </c>
      <c r="J2495" s="2">
        <f t="shared" si="2"/>
        <v>1606.08</v>
      </c>
      <c r="K2495" s="17">
        <f t="shared" si="3"/>
        <v>1</v>
      </c>
      <c r="L2495" s="18"/>
    </row>
    <row r="2496" hidden="1">
      <c r="A2496" s="2">
        <f>IFERROR(__xludf.DUMMYFUNCTION("""COMPUTED_VALUE"""),80623.0)</f>
        <v>80623</v>
      </c>
      <c r="B2496" s="2">
        <f>IFERROR(__xludf.DUMMYFUNCTION("""COMPUTED_VALUE"""),1.0)</f>
        <v>1</v>
      </c>
      <c r="C2496" s="2">
        <f>IFERROR(__xludf.DUMMYFUNCTION("""COMPUTED_VALUE"""),852.0)</f>
        <v>852</v>
      </c>
      <c r="D2496" s="3">
        <f>IFERROR(__xludf.DUMMYFUNCTION("""COMPUTED_VALUE"""),769.0)</f>
        <v>769</v>
      </c>
      <c r="E2496" s="1" t="str">
        <f t="array" ref="E2496">_xlfn.XLOOKUP(A2496,Product!A:A,Product!B:B,"Bulunamadı")</f>
        <v>Tech</v>
      </c>
      <c r="F2496" s="1" t="str">
        <f t="array" ref="F2496">_xlfn.XLOOKUP(A2496,Product!A:A,Product!C:C,"Bulunamadı")</f>
        <v>Cycling</v>
      </c>
      <c r="G2496" s="2" t="str">
        <f t="array" ref="G2496">_xlfn.XLOOKUP(A2497,Product!A:A,Product!D:D,"Bulunamadı")</f>
        <v>Northbridge Press</v>
      </c>
      <c r="H2496" s="2">
        <f t="array" ref="H2496">_xlfn.XLOOKUP(A2498,Product!A:A,Product!E:E,"Bulunamadı")</f>
        <v>2.41</v>
      </c>
      <c r="I2496" s="2" t="str">
        <f t="shared" si="1"/>
        <v>80623 - Tech - Cycling</v>
      </c>
      <c r="J2496" s="2">
        <f t="shared" si="2"/>
        <v>1853.29</v>
      </c>
      <c r="K2496" s="17">
        <f t="shared" si="3"/>
        <v>1</v>
      </c>
      <c r="L2496" s="18"/>
    </row>
    <row r="2497" hidden="1">
      <c r="A2497" s="2">
        <f>IFERROR(__xludf.DUMMYFUNCTION("""COMPUTED_VALUE"""),9698.0)</f>
        <v>9698</v>
      </c>
      <c r="B2497" s="2">
        <f>IFERROR(__xludf.DUMMYFUNCTION("""COMPUTED_VALUE"""),0.0)</f>
        <v>0</v>
      </c>
      <c r="C2497" s="2">
        <f>IFERROR(__xludf.DUMMYFUNCTION("""COMPUTED_VALUE"""),454.0)</f>
        <v>454</v>
      </c>
      <c r="D2497" s="3">
        <f>IFERROR(__xludf.DUMMYFUNCTION("""COMPUTED_VALUE"""),237.0)</f>
        <v>237</v>
      </c>
      <c r="E2497" s="1" t="str">
        <f t="array" ref="E2497">_xlfn.XLOOKUP(A2497,Product!A:A,Product!B:B,"Bulunamadı")</f>
        <v>Tech</v>
      </c>
      <c r="F2497" s="1" t="str">
        <f t="array" ref="F2497">_xlfn.XLOOKUP(A2497,Product!A:A,Product!C:C,"Bulunamadı")</f>
        <v>Cycling</v>
      </c>
      <c r="G2497" s="2" t="str">
        <f t="array" ref="G2497">_xlfn.XLOOKUP(A2498,Product!A:A,Product!D:D,"Bulunamadı")</f>
        <v>Northbridge Press</v>
      </c>
      <c r="H2497" s="2">
        <f t="array" ref="H2497">_xlfn.XLOOKUP(A2499,Product!A:A,Product!E:E,"Bulunamadı")</f>
        <v>3.6</v>
      </c>
      <c r="I2497" s="2" t="str">
        <f t="shared" si="1"/>
        <v>9698 - Tech - Cycling</v>
      </c>
      <c r="J2497" s="2">
        <f t="shared" si="2"/>
        <v>853.2</v>
      </c>
      <c r="K2497" s="17">
        <f t="shared" si="3"/>
        <v>1</v>
      </c>
      <c r="L2497" s="18"/>
    </row>
    <row r="2498" hidden="1">
      <c r="A2498" s="2">
        <f>IFERROR(__xludf.DUMMYFUNCTION("""COMPUTED_VALUE"""),83102.0)</f>
        <v>83102</v>
      </c>
      <c r="B2498" s="2">
        <f>IFERROR(__xludf.DUMMYFUNCTION("""COMPUTED_VALUE"""),1.0)</f>
        <v>1</v>
      </c>
      <c r="C2498" s="2">
        <f>IFERROR(__xludf.DUMMYFUNCTION("""COMPUTED_VALUE"""),816.0)</f>
        <v>816</v>
      </c>
      <c r="D2498" s="3">
        <f>IFERROR(__xludf.DUMMYFUNCTION("""COMPUTED_VALUE"""),645.0)</f>
        <v>645</v>
      </c>
      <c r="E2498" s="1" t="str">
        <f t="array" ref="E2498">_xlfn.XLOOKUP(A2498,Product!A:A,Product!B:B,"Bulunamadı")</f>
        <v>Tech</v>
      </c>
      <c r="F2498" s="1" t="str">
        <f t="array" ref="F2498">_xlfn.XLOOKUP(A2498,Product!A:A,Product!C:C,"Bulunamadı")</f>
        <v>Cycling</v>
      </c>
      <c r="G2498" s="2" t="str">
        <f t="array" ref="G2498">_xlfn.XLOOKUP(A2499,Product!A:A,Product!D:D,"Bulunamadı")</f>
        <v>Northbridge Press</v>
      </c>
      <c r="H2498" s="2">
        <f t="array" ref="H2498">_xlfn.XLOOKUP(A2500,Product!A:A,Product!E:E,"Bulunamadı")</f>
        <v>5.21</v>
      </c>
      <c r="I2498" s="2" t="str">
        <f t="shared" si="1"/>
        <v>83102 - Tech - Cycling</v>
      </c>
      <c r="J2498" s="2">
        <f t="shared" si="2"/>
        <v>3360.45</v>
      </c>
      <c r="K2498" s="17">
        <f t="shared" si="3"/>
        <v>1</v>
      </c>
      <c r="L2498" s="18"/>
    </row>
    <row r="2499" hidden="1">
      <c r="A2499" s="2">
        <f>IFERROR(__xludf.DUMMYFUNCTION("""COMPUTED_VALUE"""),118271.0)</f>
        <v>118271</v>
      </c>
      <c r="B2499" s="2">
        <f>IFERROR(__xludf.DUMMYFUNCTION("""COMPUTED_VALUE"""),0.0)</f>
        <v>0</v>
      </c>
      <c r="C2499" s="2">
        <f>IFERROR(__xludf.DUMMYFUNCTION("""COMPUTED_VALUE"""),530.0)</f>
        <v>530</v>
      </c>
      <c r="D2499" s="3">
        <f>IFERROR(__xludf.DUMMYFUNCTION("""COMPUTED_VALUE"""),23.0)</f>
        <v>23</v>
      </c>
      <c r="E2499" s="1" t="str">
        <f t="array" ref="E2499">_xlfn.XLOOKUP(A2499,Product!A:A,Product!B:B,"Bulunamadı")</f>
        <v>Tech</v>
      </c>
      <c r="F2499" s="1" t="str">
        <f t="array" ref="F2499">_xlfn.XLOOKUP(A2499,Product!A:A,Product!C:C,"Bulunamadı")</f>
        <v>Cycling</v>
      </c>
      <c r="G2499" s="2" t="str">
        <f t="array" ref="G2499">_xlfn.XLOOKUP(A2500,Product!A:A,Product!D:D,"Bulunamadı")</f>
        <v>Northbridge Press</v>
      </c>
      <c r="H2499" s="2">
        <f t="array" ref="H2499">_xlfn.XLOOKUP(A2501,Product!A:A,Product!E:E,"Bulunamadı")</f>
        <v>3.46</v>
      </c>
      <c r="I2499" s="2" t="str">
        <f t="shared" si="1"/>
        <v>118271 - Tech - Cycling</v>
      </c>
      <c r="J2499" s="2">
        <f t="shared" si="2"/>
        <v>79.58</v>
      </c>
      <c r="K2499" s="17">
        <f t="shared" si="3"/>
        <v>1</v>
      </c>
      <c r="L2499" s="18"/>
    </row>
    <row r="2500" hidden="1">
      <c r="A2500" s="2">
        <f>IFERROR(__xludf.DUMMYFUNCTION("""COMPUTED_VALUE"""),41659.0)</f>
        <v>41659</v>
      </c>
      <c r="B2500" s="2">
        <f>IFERROR(__xludf.DUMMYFUNCTION("""COMPUTED_VALUE"""),0.0)</f>
        <v>0</v>
      </c>
      <c r="C2500" s="2">
        <f>IFERROR(__xludf.DUMMYFUNCTION("""COMPUTED_VALUE"""),169.0)</f>
        <v>169</v>
      </c>
      <c r="D2500" s="3">
        <f>IFERROR(__xludf.DUMMYFUNCTION("""COMPUTED_VALUE"""),10.0)</f>
        <v>10</v>
      </c>
      <c r="E2500" s="1" t="str">
        <f t="array" ref="E2500">_xlfn.XLOOKUP(A2500,Product!A:A,Product!B:B,"Bulunamadı")</f>
        <v>Tech</v>
      </c>
      <c r="F2500" s="1" t="str">
        <f t="array" ref="F2500">_xlfn.XLOOKUP(A2500,Product!A:A,Product!C:C,"Bulunamadı")</f>
        <v>Cycling</v>
      </c>
      <c r="G2500" s="2" t="str">
        <f t="array" ref="G2500">_xlfn.XLOOKUP(A2501,Product!A:A,Product!D:D,"Bulunamadı")</f>
        <v>Northbridge Press</v>
      </c>
      <c r="H2500" s="2">
        <f t="array" ref="H2500">_xlfn.XLOOKUP(A2502,Product!A:A,Product!E:E,"Bulunamadı")</f>
        <v>5.16</v>
      </c>
      <c r="I2500" s="2" t="str">
        <f t="shared" si="1"/>
        <v>41659 - Tech - Cycling</v>
      </c>
      <c r="J2500" s="2">
        <f t="shared" si="2"/>
        <v>51.6</v>
      </c>
      <c r="K2500" s="17">
        <f t="shared" si="3"/>
        <v>1</v>
      </c>
      <c r="L2500" s="18"/>
    </row>
    <row r="2501" hidden="1">
      <c r="A2501" s="2">
        <f>IFERROR(__xludf.DUMMYFUNCTION("""COMPUTED_VALUE"""),81564.0)</f>
        <v>81564</v>
      </c>
      <c r="B2501" s="2">
        <f>IFERROR(__xludf.DUMMYFUNCTION("""COMPUTED_VALUE"""),0.0)</f>
        <v>0</v>
      </c>
      <c r="C2501" s="2">
        <f>IFERROR(__xludf.DUMMYFUNCTION("""COMPUTED_VALUE"""),355.0)</f>
        <v>355</v>
      </c>
      <c r="D2501" s="3">
        <f>IFERROR(__xludf.DUMMYFUNCTION("""COMPUTED_VALUE"""),209.0)</f>
        <v>209</v>
      </c>
      <c r="E2501" s="1" t="str">
        <f t="array" ref="E2501">_xlfn.XLOOKUP(A2501,Product!A:A,Product!B:B,"Bulunamadı")</f>
        <v>Tech</v>
      </c>
      <c r="F2501" s="1" t="str">
        <f t="array" ref="F2501">_xlfn.XLOOKUP(A2501,Product!A:A,Product!C:C,"Bulunamadı")</f>
        <v>Cycling</v>
      </c>
      <c r="G2501" s="2" t="str">
        <f t="array" ref="G2501">_xlfn.XLOOKUP(A2502,Product!A:A,Product!D:D,"Bulunamadı")</f>
        <v>Northbridge Press</v>
      </c>
      <c r="H2501" s="2">
        <f t="array" ref="H2501">_xlfn.XLOOKUP(A2503,Product!A:A,Product!E:E,"Bulunamadı")</f>
        <v>2.36</v>
      </c>
      <c r="I2501" s="2" t="str">
        <f t="shared" si="1"/>
        <v>81564 - Tech - Cycling</v>
      </c>
      <c r="J2501" s="2">
        <f t="shared" si="2"/>
        <v>493.24</v>
      </c>
      <c r="K2501" s="17">
        <f t="shared" si="3"/>
        <v>1</v>
      </c>
      <c r="L2501" s="18"/>
    </row>
    <row r="2502" hidden="1">
      <c r="A2502" s="2">
        <f>IFERROR(__xludf.DUMMYFUNCTION("""COMPUTED_VALUE"""),110132.0)</f>
        <v>110132</v>
      </c>
      <c r="B2502" s="2">
        <f>IFERROR(__xludf.DUMMYFUNCTION("""COMPUTED_VALUE"""),0.0)</f>
        <v>0</v>
      </c>
      <c r="C2502" s="2">
        <f>IFERROR(__xludf.DUMMYFUNCTION("""COMPUTED_VALUE"""),317.0)</f>
        <v>317</v>
      </c>
      <c r="D2502" s="3">
        <f>IFERROR(__xludf.DUMMYFUNCTION("""COMPUTED_VALUE"""),148.0)</f>
        <v>148</v>
      </c>
      <c r="E2502" s="1" t="str">
        <f t="array" ref="E2502">_xlfn.XLOOKUP(A2502,Product!A:A,Product!B:B,"Bulunamadı")</f>
        <v>Tech</v>
      </c>
      <c r="F2502" s="1" t="str">
        <f t="array" ref="F2502">_xlfn.XLOOKUP(A2502,Product!A:A,Product!C:C,"Bulunamadı")</f>
        <v>Cycling</v>
      </c>
      <c r="G2502" s="2" t="str">
        <f t="array" ref="G2502">_xlfn.XLOOKUP(A2503,Product!A:A,Product!D:D,"Bulunamadı")</f>
        <v>Northbridge Press</v>
      </c>
      <c r="H2502" s="2">
        <f t="array" ref="H2502">_xlfn.XLOOKUP(A2504,Product!A:A,Product!E:E,"Bulunamadı")</f>
        <v>4.76</v>
      </c>
      <c r="I2502" s="2" t="str">
        <f t="shared" si="1"/>
        <v>110132 - Tech - Cycling</v>
      </c>
      <c r="J2502" s="2">
        <f t="shared" si="2"/>
        <v>704.48</v>
      </c>
      <c r="K2502" s="17">
        <f t="shared" si="3"/>
        <v>1</v>
      </c>
      <c r="L2502" s="18"/>
    </row>
    <row r="2503" hidden="1">
      <c r="A2503" s="2">
        <f>IFERROR(__xludf.DUMMYFUNCTION("""COMPUTED_VALUE"""),17639.0)</f>
        <v>17639</v>
      </c>
      <c r="B2503" s="2">
        <f>IFERROR(__xludf.DUMMYFUNCTION("""COMPUTED_VALUE"""),1.0)</f>
        <v>1</v>
      </c>
      <c r="C2503" s="2">
        <f>IFERROR(__xludf.DUMMYFUNCTION("""COMPUTED_VALUE"""),39.0)</f>
        <v>39</v>
      </c>
      <c r="D2503" s="3">
        <f>IFERROR(__xludf.DUMMYFUNCTION("""COMPUTED_VALUE"""),6.0)</f>
        <v>6</v>
      </c>
      <c r="E2503" s="1" t="str">
        <f t="array" ref="E2503">_xlfn.XLOOKUP(A2503,Product!A:A,Product!B:B,"Bulunamadı")</f>
        <v>Tech</v>
      </c>
      <c r="F2503" s="1" t="str">
        <f t="array" ref="F2503">_xlfn.XLOOKUP(A2503,Product!A:A,Product!C:C,"Bulunamadı")</f>
        <v>Cycling</v>
      </c>
      <c r="G2503" s="2" t="str">
        <f t="array" ref="G2503">_xlfn.XLOOKUP(A2504,Product!A:A,Product!D:D,"Bulunamadı")</f>
        <v>Northbridge Press</v>
      </c>
      <c r="H2503" s="2">
        <f t="array" ref="H2503">_xlfn.XLOOKUP(A2505,Product!A:A,Product!E:E,"Bulunamadı")</f>
        <v>5.32</v>
      </c>
      <c r="I2503" s="2" t="str">
        <f t="shared" si="1"/>
        <v>17639 - Tech - Cycling</v>
      </c>
      <c r="J2503" s="2">
        <f t="shared" si="2"/>
        <v>31.92</v>
      </c>
      <c r="K2503" s="17">
        <f t="shared" si="3"/>
        <v>1</v>
      </c>
      <c r="L2503" s="18"/>
    </row>
    <row r="2504" hidden="1">
      <c r="A2504" s="2">
        <f>IFERROR(__xludf.DUMMYFUNCTION("""COMPUTED_VALUE"""),201025.0)</f>
        <v>201025</v>
      </c>
      <c r="B2504" s="2">
        <f>IFERROR(__xludf.DUMMYFUNCTION("""COMPUTED_VALUE"""),0.0)</f>
        <v>0</v>
      </c>
      <c r="C2504" s="2">
        <f>IFERROR(__xludf.DUMMYFUNCTION("""COMPUTED_VALUE"""),229.0)</f>
        <v>229</v>
      </c>
      <c r="D2504" s="3">
        <f>IFERROR(__xludf.DUMMYFUNCTION("""COMPUTED_VALUE"""),26.0)</f>
        <v>26</v>
      </c>
      <c r="E2504" s="1" t="str">
        <f t="array" ref="E2504">_xlfn.XLOOKUP(A2504,Product!A:A,Product!B:B,"Bulunamadı")</f>
        <v>Tech</v>
      </c>
      <c r="F2504" s="1" t="str">
        <f t="array" ref="F2504">_xlfn.XLOOKUP(A2504,Product!A:A,Product!C:C,"Bulunamadı")</f>
        <v>Cycling</v>
      </c>
      <c r="G2504" s="2" t="str">
        <f t="array" ref="G2504">_xlfn.XLOOKUP(A2505,Product!A:A,Product!D:D,"Bulunamadı")</f>
        <v>Northbridge Press</v>
      </c>
      <c r="H2504" s="2">
        <f t="array" ref="H2504">_xlfn.XLOOKUP(A2506,Product!A:A,Product!E:E,"Bulunamadı")</f>
        <v>6.2</v>
      </c>
      <c r="I2504" s="2" t="str">
        <f t="shared" si="1"/>
        <v>201025 - Tech - Cycling</v>
      </c>
      <c r="J2504" s="2">
        <f t="shared" si="2"/>
        <v>161.2</v>
      </c>
      <c r="K2504" s="17">
        <f t="shared" si="3"/>
        <v>1</v>
      </c>
      <c r="L2504" s="18"/>
    </row>
    <row r="2505" hidden="1">
      <c r="A2505" s="2">
        <f>IFERROR(__xludf.DUMMYFUNCTION("""COMPUTED_VALUE"""),70589.0)</f>
        <v>70589</v>
      </c>
      <c r="B2505" s="2">
        <f>IFERROR(__xludf.DUMMYFUNCTION("""COMPUTED_VALUE"""),1.0)</f>
        <v>1</v>
      </c>
      <c r="C2505" s="2">
        <f>IFERROR(__xludf.DUMMYFUNCTION("""COMPUTED_VALUE"""),480.0)</f>
        <v>480</v>
      </c>
      <c r="D2505" s="3">
        <f>IFERROR(__xludf.DUMMYFUNCTION("""COMPUTED_VALUE"""),103.0)</f>
        <v>103</v>
      </c>
      <c r="E2505" s="1" t="str">
        <f t="array" ref="E2505">_xlfn.XLOOKUP(A2505,Product!A:A,Product!B:B,"Bulunamadı")</f>
        <v>Tech</v>
      </c>
      <c r="F2505" s="1" t="str">
        <f t="array" ref="F2505">_xlfn.XLOOKUP(A2505,Product!A:A,Product!C:C,"Bulunamadı")</f>
        <v>Cycling</v>
      </c>
      <c r="G2505" s="2" t="str">
        <f t="array" ref="G2505">_xlfn.XLOOKUP(A2506,Product!A:A,Product!D:D,"Bulunamadı")</f>
        <v>Northbridge Press</v>
      </c>
      <c r="H2505" s="2">
        <f t="array" ref="H2505">_xlfn.XLOOKUP(A2507,Product!A:A,Product!E:E,"Bulunamadı")</f>
        <v>2.65</v>
      </c>
      <c r="I2505" s="2" t="str">
        <f t="shared" si="1"/>
        <v>70589 - Tech - Cycling</v>
      </c>
      <c r="J2505" s="2">
        <f t="shared" si="2"/>
        <v>272.95</v>
      </c>
      <c r="K2505" s="17">
        <f t="shared" si="3"/>
        <v>1</v>
      </c>
      <c r="L2505" s="18"/>
    </row>
    <row r="2506" hidden="1">
      <c r="A2506" s="2">
        <f>IFERROR(__xludf.DUMMYFUNCTION("""COMPUTED_VALUE"""),75825.0)</f>
        <v>75825</v>
      </c>
      <c r="B2506" s="2">
        <f>IFERROR(__xludf.DUMMYFUNCTION("""COMPUTED_VALUE"""),1.0)</f>
        <v>1</v>
      </c>
      <c r="C2506" s="2">
        <f>IFERROR(__xludf.DUMMYFUNCTION("""COMPUTED_VALUE"""),552.0)</f>
        <v>552</v>
      </c>
      <c r="D2506" s="3">
        <f>IFERROR(__xludf.DUMMYFUNCTION("""COMPUTED_VALUE"""),204.0)</f>
        <v>204</v>
      </c>
      <c r="E2506" s="1" t="str">
        <f t="array" ref="E2506">_xlfn.XLOOKUP(A2506,Product!A:A,Product!B:B,"Bulunamadı")</f>
        <v>Tech</v>
      </c>
      <c r="F2506" s="1" t="str">
        <f t="array" ref="F2506">_xlfn.XLOOKUP(A2506,Product!A:A,Product!C:C,"Bulunamadı")</f>
        <v>Cycling</v>
      </c>
      <c r="G2506" s="2" t="str">
        <f t="array" ref="G2506">_xlfn.XLOOKUP(A2507,Product!A:A,Product!D:D,"Bulunamadı")</f>
        <v>Northbridge Press</v>
      </c>
      <c r="H2506" s="2">
        <f t="array" ref="H2506">_xlfn.XLOOKUP(A2508,Product!A:A,Product!E:E,"Bulunamadı")</f>
        <v>6.25</v>
      </c>
      <c r="I2506" s="2" t="str">
        <f t="shared" si="1"/>
        <v>75825 - Tech - Cycling</v>
      </c>
      <c r="J2506" s="2">
        <f t="shared" si="2"/>
        <v>1275</v>
      </c>
      <c r="K2506" s="17">
        <f t="shared" si="3"/>
        <v>1</v>
      </c>
      <c r="L2506" s="18"/>
    </row>
    <row r="2507" hidden="1">
      <c r="A2507" s="2">
        <f>IFERROR(__xludf.DUMMYFUNCTION("""COMPUTED_VALUE"""),9699.0)</f>
        <v>9699</v>
      </c>
      <c r="B2507" s="2">
        <f>IFERROR(__xludf.DUMMYFUNCTION("""COMPUTED_VALUE"""),1.0)</f>
        <v>1</v>
      </c>
      <c r="C2507" s="2">
        <f>IFERROR(__xludf.DUMMYFUNCTION("""COMPUTED_VALUE"""),855.0)</f>
        <v>855</v>
      </c>
      <c r="D2507" s="3">
        <f>IFERROR(__xludf.DUMMYFUNCTION("""COMPUTED_VALUE"""),292.0)</f>
        <v>292</v>
      </c>
      <c r="E2507" s="1" t="str">
        <f t="array" ref="E2507">_xlfn.XLOOKUP(A2507,Product!A:A,Product!B:B,"Bulunamadı")</f>
        <v>Tech</v>
      </c>
      <c r="F2507" s="1" t="str">
        <f t="array" ref="F2507">_xlfn.XLOOKUP(A2507,Product!A:A,Product!C:C,"Bulunamadı")</f>
        <v>Cycling</v>
      </c>
      <c r="G2507" s="2" t="str">
        <f t="array" ref="G2507">_xlfn.XLOOKUP(A2508,Product!A:A,Product!D:D,"Bulunamadı")</f>
        <v>Northbridge Press</v>
      </c>
      <c r="H2507" s="2">
        <f t="array" ref="H2507">_xlfn.XLOOKUP(A2509,Product!A:A,Product!E:E,"Bulunamadı")</f>
        <v>10.82</v>
      </c>
      <c r="I2507" s="2" t="str">
        <f t="shared" si="1"/>
        <v>9699 - Tech - Cycling</v>
      </c>
      <c r="J2507" s="2">
        <f t="shared" si="2"/>
        <v>3159.44</v>
      </c>
      <c r="K2507" s="17">
        <f t="shared" si="3"/>
        <v>1</v>
      </c>
      <c r="L2507" s="18"/>
    </row>
    <row r="2508" hidden="1">
      <c r="A2508" s="2">
        <f>IFERROR(__xludf.DUMMYFUNCTION("""COMPUTED_VALUE"""),122448.0)</f>
        <v>122448</v>
      </c>
      <c r="B2508" s="2">
        <f>IFERROR(__xludf.DUMMYFUNCTION("""COMPUTED_VALUE"""),1.0)</f>
        <v>1</v>
      </c>
      <c r="C2508" s="2">
        <f>IFERROR(__xludf.DUMMYFUNCTION("""COMPUTED_VALUE"""),158.0)</f>
        <v>158</v>
      </c>
      <c r="D2508" s="3">
        <f>IFERROR(__xludf.DUMMYFUNCTION("""COMPUTED_VALUE"""),86.0)</f>
        <v>86</v>
      </c>
      <c r="E2508" s="1" t="str">
        <f t="array" ref="E2508">_xlfn.XLOOKUP(A2508,Product!A:A,Product!B:B,"Bulunamadı")</f>
        <v>Tech</v>
      </c>
      <c r="F2508" s="1" t="str">
        <f t="array" ref="F2508">_xlfn.XLOOKUP(A2508,Product!A:A,Product!C:C,"Bulunamadı")</f>
        <v>Cycling</v>
      </c>
      <c r="G2508" s="2" t="str">
        <f t="array" ref="G2508">_xlfn.XLOOKUP(A2509,Product!A:A,Product!D:D,"Bulunamadı")</f>
        <v>Harborbridge Publishing</v>
      </c>
      <c r="H2508" s="2">
        <f t="array" ref="H2508">_xlfn.XLOOKUP(A2510,Product!A:A,Product!E:E,"Bulunamadı")</f>
        <v>3.97</v>
      </c>
      <c r="I2508" s="2" t="str">
        <f t="shared" si="1"/>
        <v>122448 - Tech - Cycling</v>
      </c>
      <c r="J2508" s="2">
        <f t="shared" si="2"/>
        <v>341.42</v>
      </c>
      <c r="K2508" s="17">
        <f t="shared" si="3"/>
        <v>1</v>
      </c>
      <c r="L2508" s="18"/>
    </row>
    <row r="2509" hidden="1">
      <c r="A2509" s="2">
        <f>IFERROR(__xludf.DUMMYFUNCTION("""COMPUTED_VALUE"""),105506.0)</f>
        <v>105506</v>
      </c>
      <c r="B2509" s="2">
        <f>IFERROR(__xludf.DUMMYFUNCTION("""COMPUTED_VALUE"""),1.0)</f>
        <v>1</v>
      </c>
      <c r="C2509" s="2">
        <f>IFERROR(__xludf.DUMMYFUNCTION("""COMPUTED_VALUE"""),490.0)</f>
        <v>490</v>
      </c>
      <c r="D2509" s="3">
        <f>IFERROR(__xludf.DUMMYFUNCTION("""COMPUTED_VALUE"""),332.0)</f>
        <v>332</v>
      </c>
      <c r="E2509" s="1" t="str">
        <f t="array" ref="E2509">_xlfn.XLOOKUP(A2509,Product!A:A,Product!B:B,"Bulunamadı")</f>
        <v>Tech</v>
      </c>
      <c r="F2509" s="1" t="str">
        <f t="array" ref="F2509">_xlfn.XLOOKUP(A2509,Product!A:A,Product!C:C,"Bulunamadı")</f>
        <v>Cycling</v>
      </c>
      <c r="G2509" s="2" t="str">
        <f t="array" ref="G2509">_xlfn.XLOOKUP(A2510,Product!A:A,Product!D:D,"Bulunamadı")</f>
        <v>Harborbridge Publishing</v>
      </c>
      <c r="H2509" s="2">
        <f t="array" ref="H2509">_xlfn.XLOOKUP(A2511,Product!A:A,Product!E:E,"Bulunamadı")</f>
        <v>10.47</v>
      </c>
      <c r="I2509" s="2" t="str">
        <f t="shared" si="1"/>
        <v>105506 - Tech - Cycling</v>
      </c>
      <c r="J2509" s="2">
        <f t="shared" si="2"/>
        <v>3476.04</v>
      </c>
      <c r="K2509" s="17">
        <f t="shared" si="3"/>
        <v>1</v>
      </c>
      <c r="L2509" s="18"/>
    </row>
    <row r="2510" hidden="1">
      <c r="A2510" s="2">
        <f>IFERROR(__xludf.DUMMYFUNCTION("""COMPUTED_VALUE"""),142304.0)</f>
        <v>142304</v>
      </c>
      <c r="B2510" s="2">
        <f>IFERROR(__xludf.DUMMYFUNCTION("""COMPUTED_VALUE"""),0.0)</f>
        <v>0</v>
      </c>
      <c r="C2510" s="2">
        <f>IFERROR(__xludf.DUMMYFUNCTION("""COMPUTED_VALUE"""),174.0)</f>
        <v>174</v>
      </c>
      <c r="D2510" s="3">
        <f>IFERROR(__xludf.DUMMYFUNCTION("""COMPUTED_VALUE"""),103.0)</f>
        <v>103</v>
      </c>
      <c r="E2510" s="1" t="str">
        <f t="array" ref="E2510">_xlfn.XLOOKUP(A2510,Product!A:A,Product!B:B,"Bulunamadı")</f>
        <v>Tech</v>
      </c>
      <c r="F2510" s="1" t="str">
        <f t="array" ref="F2510">_xlfn.XLOOKUP(A2510,Product!A:A,Product!C:C,"Bulunamadı")</f>
        <v>Cycling</v>
      </c>
      <c r="G2510" s="2" t="str">
        <f t="array" ref="G2510">_xlfn.XLOOKUP(A2511,Product!A:A,Product!D:D,"Bulunamadı")</f>
        <v>Harborbridge Publishing</v>
      </c>
      <c r="H2510" s="2">
        <f t="array" ref="H2510">_xlfn.XLOOKUP(A2512,Product!A:A,Product!E:E,"Bulunamadı")</f>
        <v>7.88</v>
      </c>
      <c r="I2510" s="2" t="str">
        <f t="shared" si="1"/>
        <v>142304 - Tech - Cycling</v>
      </c>
      <c r="J2510" s="2">
        <f t="shared" si="2"/>
        <v>811.64</v>
      </c>
      <c r="K2510" s="17">
        <f t="shared" si="3"/>
        <v>1</v>
      </c>
      <c r="L2510" s="18"/>
    </row>
    <row r="2511" hidden="1">
      <c r="A2511" s="2">
        <f>IFERROR(__xludf.DUMMYFUNCTION("""COMPUTED_VALUE"""),105505.0)</f>
        <v>105505</v>
      </c>
      <c r="B2511" s="2">
        <f>IFERROR(__xludf.DUMMYFUNCTION("""COMPUTED_VALUE"""),1.0)</f>
        <v>1</v>
      </c>
      <c r="C2511" s="2">
        <f>IFERROR(__xludf.DUMMYFUNCTION("""COMPUTED_VALUE"""),535.0)</f>
        <v>535</v>
      </c>
      <c r="D2511" s="3">
        <f>IFERROR(__xludf.DUMMYFUNCTION("""COMPUTED_VALUE"""),293.0)</f>
        <v>293</v>
      </c>
      <c r="E2511" s="1" t="str">
        <f t="array" ref="E2511">_xlfn.XLOOKUP(A2511,Product!A:A,Product!B:B,"Bulunamadı")</f>
        <v>Tech</v>
      </c>
      <c r="F2511" s="1" t="str">
        <f t="array" ref="F2511">_xlfn.XLOOKUP(A2511,Product!A:A,Product!C:C,"Bulunamadı")</f>
        <v>Cycling</v>
      </c>
      <c r="G2511" s="2" t="str">
        <f t="array" ref="G2511">_xlfn.XLOOKUP(A2512,Product!A:A,Product!D:D,"Bulunamadı")</f>
        <v>Harborbridge Publishing</v>
      </c>
      <c r="H2511" s="2">
        <f t="array" ref="H2511">_xlfn.XLOOKUP(A2513,Product!A:A,Product!E:E,"Bulunamadı")</f>
        <v>6.66</v>
      </c>
      <c r="I2511" s="2" t="str">
        <f t="shared" si="1"/>
        <v>105505 - Tech - Cycling</v>
      </c>
      <c r="J2511" s="2">
        <f t="shared" si="2"/>
        <v>1951.38</v>
      </c>
      <c r="K2511" s="17">
        <f t="shared" si="3"/>
        <v>1</v>
      </c>
      <c r="L2511" s="18"/>
    </row>
    <row r="2512" hidden="1">
      <c r="A2512" s="2">
        <f>IFERROR(__xludf.DUMMYFUNCTION("""COMPUTED_VALUE"""),122502.0)</f>
        <v>122502</v>
      </c>
      <c r="B2512" s="2">
        <f>IFERROR(__xludf.DUMMYFUNCTION("""COMPUTED_VALUE"""),1.0)</f>
        <v>1</v>
      </c>
      <c r="C2512" s="2">
        <f>IFERROR(__xludf.DUMMYFUNCTION("""COMPUTED_VALUE"""),762.0)</f>
        <v>762</v>
      </c>
      <c r="D2512" s="3">
        <f>IFERROR(__xludf.DUMMYFUNCTION("""COMPUTED_VALUE"""),188.0)</f>
        <v>188</v>
      </c>
      <c r="E2512" s="1" t="str">
        <f t="array" ref="E2512">_xlfn.XLOOKUP(A2512,Product!A:A,Product!B:B,"Bulunamadı")</f>
        <v>Tech</v>
      </c>
      <c r="F2512" s="1" t="str">
        <f t="array" ref="F2512">_xlfn.XLOOKUP(A2512,Product!A:A,Product!C:C,"Bulunamadı")</f>
        <v>Cycling</v>
      </c>
      <c r="G2512" s="2" t="str">
        <f t="array" ref="G2512">_xlfn.XLOOKUP(A2513,Product!A:A,Product!D:D,"Bulunamadı")</f>
        <v>Harborbridge Publishing</v>
      </c>
      <c r="H2512" s="2">
        <f t="array" ref="H2512">_xlfn.XLOOKUP(A2514,Product!A:A,Product!E:E,"Bulunamadı")</f>
        <v>2.41</v>
      </c>
      <c r="I2512" s="2" t="str">
        <f t="shared" si="1"/>
        <v>122502 - Tech - Cycling</v>
      </c>
      <c r="J2512" s="2">
        <f t="shared" si="2"/>
        <v>453.08</v>
      </c>
      <c r="K2512" s="17">
        <f t="shared" si="3"/>
        <v>1</v>
      </c>
      <c r="L2512" s="18"/>
    </row>
    <row r="2513" hidden="1">
      <c r="A2513" s="2">
        <f>IFERROR(__xludf.DUMMYFUNCTION("""COMPUTED_VALUE"""),118264.0)</f>
        <v>118264</v>
      </c>
      <c r="B2513" s="2">
        <f>IFERROR(__xludf.DUMMYFUNCTION("""COMPUTED_VALUE"""),0.0)</f>
        <v>0</v>
      </c>
      <c r="C2513" s="2">
        <f>IFERROR(__xludf.DUMMYFUNCTION("""COMPUTED_VALUE"""),655.0)</f>
        <v>655</v>
      </c>
      <c r="D2513" s="3">
        <f>IFERROR(__xludf.DUMMYFUNCTION("""COMPUTED_VALUE"""),171.0)</f>
        <v>171</v>
      </c>
      <c r="E2513" s="1" t="str">
        <f t="array" ref="E2513">_xlfn.XLOOKUP(A2513,Product!A:A,Product!B:B,"Bulunamadı")</f>
        <v>Tech</v>
      </c>
      <c r="F2513" s="1" t="str">
        <f t="array" ref="F2513">_xlfn.XLOOKUP(A2513,Product!A:A,Product!C:C,"Bulunamadı")</f>
        <v>Cycling</v>
      </c>
      <c r="G2513" s="2" t="str">
        <f t="array" ref="G2513">_xlfn.XLOOKUP(A2514,Product!A:A,Product!D:D,"Bulunamadı")</f>
        <v>Harborbridge Publishing</v>
      </c>
      <c r="H2513" s="2">
        <f t="array" ref="H2513">_xlfn.XLOOKUP(A2515,Product!A:A,Product!E:E,"Bulunamadı")</f>
        <v>4.39</v>
      </c>
      <c r="I2513" s="2" t="str">
        <f t="shared" si="1"/>
        <v>118264 - Tech - Cycling</v>
      </c>
      <c r="J2513" s="2">
        <f t="shared" si="2"/>
        <v>750.69</v>
      </c>
      <c r="K2513" s="17">
        <f t="shared" si="3"/>
        <v>1</v>
      </c>
      <c r="L2513" s="18"/>
    </row>
    <row r="2514" hidden="1">
      <c r="A2514" s="2">
        <f>IFERROR(__xludf.DUMMYFUNCTION("""COMPUTED_VALUE"""),17632.0)</f>
        <v>17632</v>
      </c>
      <c r="B2514" s="2">
        <f>IFERROR(__xludf.DUMMYFUNCTION("""COMPUTED_VALUE"""),0.0)</f>
        <v>0</v>
      </c>
      <c r="C2514" s="2">
        <f>IFERROR(__xludf.DUMMYFUNCTION("""COMPUTED_VALUE"""),333.0)</f>
        <v>333</v>
      </c>
      <c r="D2514" s="3">
        <f>IFERROR(__xludf.DUMMYFUNCTION("""COMPUTED_VALUE"""),130.0)</f>
        <v>130</v>
      </c>
      <c r="E2514" s="1" t="str">
        <f t="array" ref="E2514">_xlfn.XLOOKUP(A2514,Product!A:A,Product!B:B,"Bulunamadı")</f>
        <v>Tech</v>
      </c>
      <c r="F2514" s="1" t="str">
        <f t="array" ref="F2514">_xlfn.XLOOKUP(A2514,Product!A:A,Product!C:C,"Bulunamadı")</f>
        <v>Cycling</v>
      </c>
      <c r="G2514" s="2" t="str">
        <f t="array" ref="G2514">_xlfn.XLOOKUP(A2515,Product!A:A,Product!D:D,"Bulunamadı")</f>
        <v>Harborbridge Publishing</v>
      </c>
      <c r="H2514" s="2">
        <f t="array" ref="H2514">_xlfn.XLOOKUP(A2516,Product!A:A,Product!E:E,"Bulunamadı")</f>
        <v>12.65</v>
      </c>
      <c r="I2514" s="2" t="str">
        <f t="shared" si="1"/>
        <v>17632 - Tech - Cycling</v>
      </c>
      <c r="J2514" s="2">
        <f t="shared" si="2"/>
        <v>1644.5</v>
      </c>
      <c r="K2514" s="17">
        <f t="shared" si="3"/>
        <v>1</v>
      </c>
      <c r="L2514" s="18"/>
    </row>
    <row r="2515" hidden="1">
      <c r="A2515" s="2">
        <f>IFERROR(__xludf.DUMMYFUNCTION("""COMPUTED_VALUE"""),108790.0)</f>
        <v>108790</v>
      </c>
      <c r="B2515" s="2">
        <f>IFERROR(__xludf.DUMMYFUNCTION("""COMPUTED_VALUE"""),1.0)</f>
        <v>1</v>
      </c>
      <c r="C2515" s="2">
        <f>IFERROR(__xludf.DUMMYFUNCTION("""COMPUTED_VALUE"""),607.0)</f>
        <v>607</v>
      </c>
      <c r="D2515" s="3">
        <f>IFERROR(__xludf.DUMMYFUNCTION("""COMPUTED_VALUE"""),291.0)</f>
        <v>291</v>
      </c>
      <c r="E2515" s="1" t="str">
        <f t="array" ref="E2515">_xlfn.XLOOKUP(A2515,Product!A:A,Product!B:B,"Bulunamadı")</f>
        <v>Tech</v>
      </c>
      <c r="F2515" s="1" t="str">
        <f t="array" ref="F2515">_xlfn.XLOOKUP(A2515,Product!A:A,Product!C:C,"Bulunamadı")</f>
        <v>Cycling</v>
      </c>
      <c r="G2515" s="2" t="str">
        <f t="array" ref="G2515">_xlfn.XLOOKUP(A2516,Product!A:A,Product!D:D,"Bulunamadı")</f>
        <v>Harborbridge Publishing</v>
      </c>
      <c r="H2515" s="2">
        <f t="array" ref="H2515">_xlfn.XLOOKUP(A2517,Product!A:A,Product!E:E,"Bulunamadı")</f>
        <v>2.28</v>
      </c>
      <c r="I2515" s="2" t="str">
        <f t="shared" si="1"/>
        <v>108790 - Tech - Cycling</v>
      </c>
      <c r="J2515" s="2">
        <f t="shared" si="2"/>
        <v>663.48</v>
      </c>
      <c r="K2515" s="17">
        <f t="shared" si="3"/>
        <v>1</v>
      </c>
      <c r="L2515" s="18"/>
    </row>
    <row r="2516" hidden="1">
      <c r="A2516" s="2">
        <f>IFERROR(__xludf.DUMMYFUNCTION("""COMPUTED_VALUE"""),92200.0)</f>
        <v>92200</v>
      </c>
      <c r="B2516" s="2">
        <f>IFERROR(__xludf.DUMMYFUNCTION("""COMPUTED_VALUE"""),1.0)</f>
        <v>1</v>
      </c>
      <c r="C2516" s="2">
        <f>IFERROR(__xludf.DUMMYFUNCTION("""COMPUTED_VALUE"""),332.0)</f>
        <v>332</v>
      </c>
      <c r="D2516" s="3">
        <f>IFERROR(__xludf.DUMMYFUNCTION("""COMPUTED_VALUE"""),317.0)</f>
        <v>317</v>
      </c>
      <c r="E2516" s="1" t="str">
        <f t="array" ref="E2516">_xlfn.XLOOKUP(A2516,Product!A:A,Product!B:B,"Bulunamadı")</f>
        <v>Tech</v>
      </c>
      <c r="F2516" s="1" t="str">
        <f t="array" ref="F2516">_xlfn.XLOOKUP(A2516,Product!A:A,Product!C:C,"Bulunamadı")</f>
        <v>Cycling</v>
      </c>
      <c r="G2516" s="2" t="str">
        <f t="array" ref="G2516">_xlfn.XLOOKUP(A2517,Product!A:A,Product!D:D,"Bulunamadı")</f>
        <v>Harborbridge Publishing</v>
      </c>
      <c r="H2516" s="2">
        <f t="array" ref="H2516">_xlfn.XLOOKUP(A2518,Product!A:A,Product!E:E,"Bulunamadı")</f>
        <v>6.98</v>
      </c>
      <c r="I2516" s="2" t="str">
        <f t="shared" si="1"/>
        <v>92200 - Tech - Cycling</v>
      </c>
      <c r="J2516" s="2">
        <f t="shared" si="2"/>
        <v>2212.66</v>
      </c>
      <c r="K2516" s="17">
        <f t="shared" si="3"/>
        <v>1</v>
      </c>
      <c r="L2516" s="18"/>
    </row>
    <row r="2517" hidden="1">
      <c r="A2517" s="2">
        <f>IFERROR(__xludf.DUMMYFUNCTION("""COMPUTED_VALUE"""),17634.0)</f>
        <v>17634</v>
      </c>
      <c r="B2517" s="2">
        <f>IFERROR(__xludf.DUMMYFUNCTION("""COMPUTED_VALUE"""),0.0)</f>
        <v>0</v>
      </c>
      <c r="C2517" s="2">
        <f>IFERROR(__xludf.DUMMYFUNCTION("""COMPUTED_VALUE"""),549.0)</f>
        <v>549</v>
      </c>
      <c r="D2517" s="3">
        <f>IFERROR(__xludf.DUMMYFUNCTION("""COMPUTED_VALUE"""),149.0)</f>
        <v>149</v>
      </c>
      <c r="E2517" s="1" t="str">
        <f t="array" ref="E2517">_xlfn.XLOOKUP(A2517,Product!A:A,Product!B:B,"Bulunamadı")</f>
        <v>Tech</v>
      </c>
      <c r="F2517" s="1" t="str">
        <f t="array" ref="F2517">_xlfn.XLOOKUP(A2517,Product!A:A,Product!C:C,"Bulunamadı")</f>
        <v>Cycling</v>
      </c>
      <c r="G2517" s="2" t="str">
        <f t="array" ref="G2517">_xlfn.XLOOKUP(A2518,Product!A:A,Product!D:D,"Bulunamadı")</f>
        <v>Harborbridge Publishing</v>
      </c>
      <c r="H2517" s="2">
        <f t="array" ref="H2517">_xlfn.XLOOKUP(A2519,Product!A:A,Product!E:E,"Bulunamadı")</f>
        <v>7.47</v>
      </c>
      <c r="I2517" s="2" t="str">
        <f t="shared" si="1"/>
        <v>17634 - Tech - Cycling</v>
      </c>
      <c r="J2517" s="2">
        <f t="shared" si="2"/>
        <v>1113.03</v>
      </c>
      <c r="K2517" s="17">
        <f t="shared" si="3"/>
        <v>1</v>
      </c>
      <c r="L2517" s="18"/>
    </row>
    <row r="2518" hidden="1">
      <c r="A2518" s="2">
        <f>IFERROR(__xludf.DUMMYFUNCTION("""COMPUTED_VALUE"""),122522.0)</f>
        <v>122522</v>
      </c>
      <c r="B2518" s="2">
        <f>IFERROR(__xludf.DUMMYFUNCTION("""COMPUTED_VALUE"""),1.0)</f>
        <v>1</v>
      </c>
      <c r="C2518" s="2">
        <f>IFERROR(__xludf.DUMMYFUNCTION("""COMPUTED_VALUE"""),274.0)</f>
        <v>274</v>
      </c>
      <c r="D2518" s="3">
        <f>IFERROR(__xludf.DUMMYFUNCTION("""COMPUTED_VALUE"""),28.0)</f>
        <v>28</v>
      </c>
      <c r="E2518" s="1" t="str">
        <f t="array" ref="E2518">_xlfn.XLOOKUP(A2518,Product!A:A,Product!B:B,"Bulunamadı")</f>
        <v>Tech</v>
      </c>
      <c r="F2518" s="1" t="str">
        <f t="array" ref="F2518">_xlfn.XLOOKUP(A2518,Product!A:A,Product!C:C,"Bulunamadı")</f>
        <v>Cycling</v>
      </c>
      <c r="G2518" s="2" t="str">
        <f t="array" ref="G2518">_xlfn.XLOOKUP(A2519,Product!A:A,Product!D:D,"Bulunamadı")</f>
        <v>Harborbridge Publishing</v>
      </c>
      <c r="H2518" s="2">
        <f t="array" ref="H2518">_xlfn.XLOOKUP(A2520,Product!A:A,Product!E:E,"Bulunamadı")</f>
        <v>20.37</v>
      </c>
      <c r="I2518" s="2" t="str">
        <f t="shared" si="1"/>
        <v>122522 - Tech - Cycling</v>
      </c>
      <c r="J2518" s="2">
        <f t="shared" si="2"/>
        <v>570.36</v>
      </c>
      <c r="K2518" s="17">
        <f t="shared" si="3"/>
        <v>1</v>
      </c>
      <c r="L2518" s="18"/>
    </row>
    <row r="2519" hidden="1">
      <c r="A2519" s="2">
        <f>IFERROR(__xludf.DUMMYFUNCTION("""COMPUTED_VALUE"""),122505.0)</f>
        <v>122505</v>
      </c>
      <c r="B2519" s="2">
        <f>IFERROR(__xludf.DUMMYFUNCTION("""COMPUTED_VALUE"""),0.0)</f>
        <v>0</v>
      </c>
      <c r="C2519" s="2">
        <f>IFERROR(__xludf.DUMMYFUNCTION("""COMPUTED_VALUE"""),887.0)</f>
        <v>887</v>
      </c>
      <c r="D2519" s="3">
        <f>IFERROR(__xludf.DUMMYFUNCTION("""COMPUTED_VALUE"""),135.0)</f>
        <v>135</v>
      </c>
      <c r="E2519" s="1" t="str">
        <f t="array" ref="E2519">_xlfn.XLOOKUP(A2519,Product!A:A,Product!B:B,"Bulunamadı")</f>
        <v>Tech</v>
      </c>
      <c r="F2519" s="1" t="str">
        <f t="array" ref="F2519">_xlfn.XLOOKUP(A2519,Product!A:A,Product!C:C,"Bulunamadı")</f>
        <v>Cycling</v>
      </c>
      <c r="G2519" s="2" t="str">
        <f t="array" ref="G2519">_xlfn.XLOOKUP(A2520,Product!A:A,Product!D:D,"Bulunamadı")</f>
        <v>Harborbridge Publishing</v>
      </c>
      <c r="H2519" s="2">
        <f t="array" ref="H2519">_xlfn.XLOOKUP(A2521,Product!A:A,Product!E:E,"Bulunamadı")</f>
        <v>26.88</v>
      </c>
      <c r="I2519" s="2" t="str">
        <f t="shared" si="1"/>
        <v>122505 - Tech - Cycling</v>
      </c>
      <c r="J2519" s="2">
        <f t="shared" si="2"/>
        <v>3628.8</v>
      </c>
      <c r="K2519" s="17">
        <f t="shared" si="3"/>
        <v>1</v>
      </c>
      <c r="L2519" s="18"/>
    </row>
    <row r="2520" hidden="1">
      <c r="A2520" s="2">
        <f>IFERROR(__xludf.DUMMYFUNCTION("""COMPUTED_VALUE"""),93416.0)</f>
        <v>93416</v>
      </c>
      <c r="B2520" s="2">
        <f>IFERROR(__xludf.DUMMYFUNCTION("""COMPUTED_VALUE"""),0.0)</f>
        <v>0</v>
      </c>
      <c r="C2520" s="2">
        <f>IFERROR(__xludf.DUMMYFUNCTION("""COMPUTED_VALUE"""),351.0)</f>
        <v>351</v>
      </c>
      <c r="D2520" s="3">
        <f>IFERROR(__xludf.DUMMYFUNCTION("""COMPUTED_VALUE"""),60.0)</f>
        <v>60</v>
      </c>
      <c r="E2520" s="1" t="str">
        <f t="array" ref="E2520">_xlfn.XLOOKUP(A2520,Product!A:A,Product!B:B,"Bulunamadı")</f>
        <v>Tech</v>
      </c>
      <c r="F2520" s="1" t="str">
        <f t="array" ref="F2520">_xlfn.XLOOKUP(A2520,Product!A:A,Product!C:C,"Bulunamadı")</f>
        <v>Cycling</v>
      </c>
      <c r="G2520" s="2" t="str">
        <f t="array" ref="G2520">_xlfn.XLOOKUP(A2521,Product!A:A,Product!D:D,"Bulunamadı")</f>
        <v>Harborbridge Publishing</v>
      </c>
      <c r="H2520" s="2">
        <f t="array" ref="H2520">_xlfn.XLOOKUP(A2522,Product!A:A,Product!E:E,"Bulunamadı")</f>
        <v>3.09</v>
      </c>
      <c r="I2520" s="2" t="str">
        <f t="shared" si="1"/>
        <v>93416 - Tech - Cycling</v>
      </c>
      <c r="J2520" s="2">
        <f t="shared" si="2"/>
        <v>185.4</v>
      </c>
      <c r="K2520" s="17">
        <f t="shared" si="3"/>
        <v>1</v>
      </c>
      <c r="L2520" s="18"/>
    </row>
    <row r="2521" hidden="1">
      <c r="A2521" s="2">
        <f>IFERROR(__xludf.DUMMYFUNCTION("""COMPUTED_VALUE"""),93406.0)</f>
        <v>93406</v>
      </c>
      <c r="B2521" s="2">
        <f>IFERROR(__xludf.DUMMYFUNCTION("""COMPUTED_VALUE"""),0.0)</f>
        <v>0</v>
      </c>
      <c r="C2521" s="2">
        <f>IFERROR(__xludf.DUMMYFUNCTION("""COMPUTED_VALUE"""),523.0)</f>
        <v>523</v>
      </c>
      <c r="D2521" s="3">
        <f>IFERROR(__xludf.DUMMYFUNCTION("""COMPUTED_VALUE"""),253.0)</f>
        <v>253</v>
      </c>
      <c r="E2521" s="1" t="str">
        <f t="array" ref="E2521">_xlfn.XLOOKUP(A2521,Product!A:A,Product!B:B,"Bulunamadı")</f>
        <v>Tech</v>
      </c>
      <c r="F2521" s="1" t="str">
        <f t="array" ref="F2521">_xlfn.XLOOKUP(A2521,Product!A:A,Product!C:C,"Bulunamadı")</f>
        <v>Cycling</v>
      </c>
      <c r="G2521" s="2" t="str">
        <f t="array" ref="G2521">_xlfn.XLOOKUP(A2522,Product!A:A,Product!D:D,"Bulunamadı")</f>
        <v>Harborbridge Publishing</v>
      </c>
      <c r="H2521" s="2">
        <f t="array" ref="H2521">_xlfn.XLOOKUP(A2523,Product!A:A,Product!E:E,"Bulunamadı")</f>
        <v>6.35</v>
      </c>
      <c r="I2521" s="2" t="str">
        <f t="shared" si="1"/>
        <v>93406 - Tech - Cycling</v>
      </c>
      <c r="J2521" s="2">
        <f t="shared" si="2"/>
        <v>1606.55</v>
      </c>
      <c r="K2521" s="17">
        <f t="shared" si="3"/>
        <v>1</v>
      </c>
      <c r="L2521" s="18"/>
    </row>
    <row r="2522" hidden="1">
      <c r="A2522" s="2">
        <f>IFERROR(__xludf.DUMMYFUNCTION("""COMPUTED_VALUE"""),69329.0)</f>
        <v>69329</v>
      </c>
      <c r="B2522" s="2">
        <f>IFERROR(__xludf.DUMMYFUNCTION("""COMPUTED_VALUE"""),1.0)</f>
        <v>1</v>
      </c>
      <c r="C2522" s="2">
        <f>IFERROR(__xludf.DUMMYFUNCTION("""COMPUTED_VALUE"""),712.0)</f>
        <v>712</v>
      </c>
      <c r="D2522" s="3">
        <f>IFERROR(__xludf.DUMMYFUNCTION("""COMPUTED_VALUE"""),408.0)</f>
        <v>408</v>
      </c>
      <c r="E2522" s="1" t="str">
        <f t="array" ref="E2522">_xlfn.XLOOKUP(A2522,Product!A:A,Product!B:B,"Bulunamadı")</f>
        <v>Tech</v>
      </c>
      <c r="F2522" s="1" t="str">
        <f t="array" ref="F2522">_xlfn.XLOOKUP(A2522,Product!A:A,Product!C:C,"Bulunamadı")</f>
        <v>Cycling</v>
      </c>
      <c r="G2522" s="2" t="str">
        <f t="array" ref="G2522">_xlfn.XLOOKUP(A2523,Product!A:A,Product!D:D,"Bulunamadı")</f>
        <v>Harborbridge Publishing</v>
      </c>
      <c r="H2522" s="2">
        <f t="array" ref="H2522">_xlfn.XLOOKUP(A2524,Product!A:A,Product!E:E,"Bulunamadı")</f>
        <v>7.71</v>
      </c>
      <c r="I2522" s="2" t="str">
        <f t="shared" si="1"/>
        <v>69329 - Tech - Cycling</v>
      </c>
      <c r="J2522" s="2">
        <f t="shared" si="2"/>
        <v>3145.68</v>
      </c>
      <c r="K2522" s="17">
        <f t="shared" si="3"/>
        <v>1</v>
      </c>
      <c r="L2522" s="18"/>
    </row>
    <row r="2523" hidden="1">
      <c r="A2523" s="2">
        <f>IFERROR(__xludf.DUMMYFUNCTION("""COMPUTED_VALUE"""),155953.0)</f>
        <v>155953</v>
      </c>
      <c r="B2523" s="2">
        <f>IFERROR(__xludf.DUMMYFUNCTION("""COMPUTED_VALUE"""),0.0)</f>
        <v>0</v>
      </c>
      <c r="C2523" s="2">
        <f>IFERROR(__xludf.DUMMYFUNCTION("""COMPUTED_VALUE"""),462.0)</f>
        <v>462</v>
      </c>
      <c r="D2523" s="3">
        <f>IFERROR(__xludf.DUMMYFUNCTION("""COMPUTED_VALUE"""),359.0)</f>
        <v>359</v>
      </c>
      <c r="E2523" s="1" t="str">
        <f t="array" ref="E2523">_xlfn.XLOOKUP(A2523,Product!A:A,Product!B:B,"Bulunamadı")</f>
        <v>Tech</v>
      </c>
      <c r="F2523" s="1" t="str">
        <f t="array" ref="F2523">_xlfn.XLOOKUP(A2523,Product!A:A,Product!C:C,"Bulunamadı")</f>
        <v>Cycling</v>
      </c>
      <c r="G2523" s="2" t="str">
        <f t="array" ref="G2523">_xlfn.XLOOKUP(A2524,Product!A:A,Product!D:D,"Bulunamadı")</f>
        <v>Harborbridge Publishing</v>
      </c>
      <c r="H2523" s="2">
        <f t="array" ref="H2523">_xlfn.XLOOKUP(A2525,Product!A:A,Product!E:E,"Bulunamadı")</f>
        <v>6.77</v>
      </c>
      <c r="I2523" s="2" t="str">
        <f t="shared" si="1"/>
        <v>155953 - Tech - Cycling</v>
      </c>
      <c r="J2523" s="2">
        <f t="shared" si="2"/>
        <v>2430.43</v>
      </c>
      <c r="K2523" s="17">
        <f t="shared" si="3"/>
        <v>1</v>
      </c>
      <c r="L2523" s="18"/>
    </row>
    <row r="2524" hidden="1">
      <c r="A2524" s="2">
        <f>IFERROR(__xludf.DUMMYFUNCTION("""COMPUTED_VALUE"""),11721.0)</f>
        <v>11721</v>
      </c>
      <c r="B2524" s="2">
        <f>IFERROR(__xludf.DUMMYFUNCTION("""COMPUTED_VALUE"""),1.0)</f>
        <v>1</v>
      </c>
      <c r="C2524" s="2">
        <f>IFERROR(__xludf.DUMMYFUNCTION("""COMPUTED_VALUE"""),298.0)</f>
        <v>298</v>
      </c>
      <c r="D2524" s="3">
        <f>IFERROR(__xludf.DUMMYFUNCTION("""COMPUTED_VALUE"""),182.0)</f>
        <v>182</v>
      </c>
      <c r="E2524" s="1" t="str">
        <f t="array" ref="E2524">_xlfn.XLOOKUP(A2524,Product!A:A,Product!B:B,"Bulunamadı")</f>
        <v>Tech</v>
      </c>
      <c r="F2524" s="1" t="str">
        <f t="array" ref="F2524">_xlfn.XLOOKUP(A2524,Product!A:A,Product!C:C,"Bulunamadı")</f>
        <v>Cycling</v>
      </c>
      <c r="G2524" s="2" t="str">
        <f t="array" ref="G2524">_xlfn.XLOOKUP(A2525,Product!A:A,Product!D:D,"Bulunamadı")</f>
        <v>Harborbridge Publishing</v>
      </c>
      <c r="H2524" s="2">
        <f t="array" ref="H2524">_xlfn.XLOOKUP(A2526,Product!A:A,Product!E:E,"Bulunamadı")</f>
        <v>11.53</v>
      </c>
      <c r="I2524" s="2" t="str">
        <f t="shared" si="1"/>
        <v>11721 - Tech - Cycling</v>
      </c>
      <c r="J2524" s="2">
        <f t="shared" si="2"/>
        <v>2098.46</v>
      </c>
      <c r="K2524" s="17">
        <f t="shared" si="3"/>
        <v>1</v>
      </c>
      <c r="L2524" s="18"/>
    </row>
    <row r="2525" hidden="1">
      <c r="A2525" s="2">
        <f>IFERROR(__xludf.DUMMYFUNCTION("""COMPUTED_VALUE"""),41654.0)</f>
        <v>41654</v>
      </c>
      <c r="B2525" s="2">
        <f>IFERROR(__xludf.DUMMYFUNCTION("""COMPUTED_VALUE"""),1.0)</f>
        <v>1</v>
      </c>
      <c r="C2525" s="2">
        <f>IFERROR(__xludf.DUMMYFUNCTION("""COMPUTED_VALUE"""),212.0)</f>
        <v>212</v>
      </c>
      <c r="D2525" s="3">
        <f>IFERROR(__xludf.DUMMYFUNCTION("""COMPUTED_VALUE"""),166.0)</f>
        <v>166</v>
      </c>
      <c r="E2525" s="1" t="str">
        <f t="array" ref="E2525">_xlfn.XLOOKUP(A2525,Product!A:A,Product!B:B,"Bulunamadı")</f>
        <v>Tech</v>
      </c>
      <c r="F2525" s="1" t="str">
        <f t="array" ref="F2525">_xlfn.XLOOKUP(A2525,Product!A:A,Product!C:C,"Bulunamadı")</f>
        <v>Cycling</v>
      </c>
      <c r="G2525" s="2" t="str">
        <f t="array" ref="G2525">_xlfn.XLOOKUP(A2526,Product!A:A,Product!D:D,"Bulunamadı")</f>
        <v>Harborbridge Publishing</v>
      </c>
      <c r="H2525" s="2">
        <f t="array" ref="H2525">_xlfn.XLOOKUP(A2527,Product!A:A,Product!E:E,"Bulunamadı")</f>
        <v>10.04</v>
      </c>
      <c r="I2525" s="2" t="str">
        <f t="shared" si="1"/>
        <v>41654 - Tech - Cycling</v>
      </c>
      <c r="J2525" s="2">
        <f t="shared" si="2"/>
        <v>1666.64</v>
      </c>
      <c r="K2525" s="17">
        <f t="shared" si="3"/>
        <v>1</v>
      </c>
      <c r="L2525" s="18"/>
    </row>
    <row r="2526" hidden="1">
      <c r="A2526" s="2">
        <f>IFERROR(__xludf.DUMMYFUNCTION("""COMPUTED_VALUE"""),92204.0)</f>
        <v>92204</v>
      </c>
      <c r="B2526" s="2">
        <f>IFERROR(__xludf.DUMMYFUNCTION("""COMPUTED_VALUE"""),0.0)</f>
        <v>0</v>
      </c>
      <c r="C2526" s="2">
        <f>IFERROR(__xludf.DUMMYFUNCTION("""COMPUTED_VALUE"""),469.0)</f>
        <v>469</v>
      </c>
      <c r="D2526" s="3">
        <f>IFERROR(__xludf.DUMMYFUNCTION("""COMPUTED_VALUE"""),225.0)</f>
        <v>225</v>
      </c>
      <c r="E2526" s="1" t="str">
        <f t="array" ref="E2526">_xlfn.XLOOKUP(A2526,Product!A:A,Product!B:B,"Bulunamadı")</f>
        <v>Tech</v>
      </c>
      <c r="F2526" s="1" t="str">
        <f t="array" ref="F2526">_xlfn.XLOOKUP(A2526,Product!A:A,Product!C:C,"Bulunamadı")</f>
        <v>Cycling</v>
      </c>
      <c r="G2526" s="2" t="str">
        <f t="array" ref="G2526">_xlfn.XLOOKUP(A2527,Product!A:A,Product!D:D,"Bulunamadı")</f>
        <v>Harborbridge Publishing</v>
      </c>
      <c r="H2526" s="2">
        <f t="array" ref="H2526">_xlfn.XLOOKUP(A2528,Product!A:A,Product!E:E,"Bulunamadı")</f>
        <v>9.34</v>
      </c>
      <c r="I2526" s="2" t="str">
        <f t="shared" si="1"/>
        <v>92204 - Tech - Cycling</v>
      </c>
      <c r="J2526" s="2">
        <f t="shared" si="2"/>
        <v>2101.5</v>
      </c>
      <c r="K2526" s="17">
        <f t="shared" si="3"/>
        <v>1</v>
      </c>
      <c r="L2526" s="18"/>
    </row>
    <row r="2527" hidden="1">
      <c r="A2527" s="2">
        <f>IFERROR(__xludf.DUMMYFUNCTION("""COMPUTED_VALUE"""),105572.0)</f>
        <v>105572</v>
      </c>
      <c r="B2527" s="2">
        <f>IFERROR(__xludf.DUMMYFUNCTION("""COMPUTED_VALUE"""),1.0)</f>
        <v>1</v>
      </c>
      <c r="C2527" s="2">
        <f>IFERROR(__xludf.DUMMYFUNCTION("""COMPUTED_VALUE"""),137.0)</f>
        <v>137</v>
      </c>
      <c r="D2527" s="3">
        <f>IFERROR(__xludf.DUMMYFUNCTION("""COMPUTED_VALUE"""),33.0)</f>
        <v>33</v>
      </c>
      <c r="E2527" s="1" t="str">
        <f t="array" ref="E2527">_xlfn.XLOOKUP(A2527,Product!A:A,Product!B:B,"Bulunamadı")</f>
        <v>Tech</v>
      </c>
      <c r="F2527" s="1" t="str">
        <f t="array" ref="F2527">_xlfn.XLOOKUP(A2527,Product!A:A,Product!C:C,"Bulunamadı")</f>
        <v>Cycling</v>
      </c>
      <c r="G2527" s="2" t="str">
        <f t="array" ref="G2527">_xlfn.XLOOKUP(A2528,Product!A:A,Product!D:D,"Bulunamadı")</f>
        <v>Harborbridge Publishing</v>
      </c>
      <c r="H2527" s="2">
        <f t="array" ref="H2527">_xlfn.XLOOKUP(A2529,Product!A:A,Product!E:E,"Bulunamadı")</f>
        <v>4.31</v>
      </c>
      <c r="I2527" s="2" t="str">
        <f t="shared" si="1"/>
        <v>105572 - Tech - Cycling</v>
      </c>
      <c r="J2527" s="2">
        <f t="shared" si="2"/>
        <v>142.23</v>
      </c>
      <c r="K2527" s="17">
        <f t="shared" si="3"/>
        <v>1</v>
      </c>
      <c r="L2527" s="18"/>
    </row>
    <row r="2528" hidden="1">
      <c r="A2528" s="2">
        <f>IFERROR(__xludf.DUMMYFUNCTION("""COMPUTED_VALUE"""),110141.0)</f>
        <v>110141</v>
      </c>
      <c r="B2528" s="2">
        <f>IFERROR(__xludf.DUMMYFUNCTION("""COMPUTED_VALUE"""),1.0)</f>
        <v>1</v>
      </c>
      <c r="C2528" s="2">
        <f>IFERROR(__xludf.DUMMYFUNCTION("""COMPUTED_VALUE"""),423.0)</f>
        <v>423</v>
      </c>
      <c r="D2528" s="3">
        <f>IFERROR(__xludf.DUMMYFUNCTION("""COMPUTED_VALUE"""),21.0)</f>
        <v>21</v>
      </c>
      <c r="E2528" s="1" t="str">
        <f t="array" ref="E2528">_xlfn.XLOOKUP(A2528,Product!A:A,Product!B:B,"Bulunamadı")</f>
        <v>Tech</v>
      </c>
      <c r="F2528" s="1" t="str">
        <f t="array" ref="F2528">_xlfn.XLOOKUP(A2528,Product!A:A,Product!C:C,"Bulunamadı")</f>
        <v>Cycling</v>
      </c>
      <c r="G2528" s="2" t="str">
        <f t="array" ref="G2528">_xlfn.XLOOKUP(A2529,Product!A:A,Product!D:D,"Bulunamadı")</f>
        <v>Harborbridge Publishing</v>
      </c>
      <c r="H2528" s="2">
        <f t="array" ref="H2528">_xlfn.XLOOKUP(A2530,Product!A:A,Product!E:E,"Bulunamadı")</f>
        <v>2.05</v>
      </c>
      <c r="I2528" s="2" t="str">
        <f t="shared" si="1"/>
        <v>110141 - Tech - Cycling</v>
      </c>
      <c r="J2528" s="2">
        <f t="shared" si="2"/>
        <v>43.05</v>
      </c>
      <c r="K2528" s="17">
        <f t="shared" si="3"/>
        <v>1</v>
      </c>
      <c r="L2528" s="18"/>
    </row>
    <row r="2529" hidden="1">
      <c r="A2529" s="2">
        <f>IFERROR(__xludf.DUMMYFUNCTION("""COMPUTED_VALUE"""),158471.0)</f>
        <v>158471</v>
      </c>
      <c r="B2529" s="2">
        <f>IFERROR(__xludf.DUMMYFUNCTION("""COMPUTED_VALUE"""),1.0)</f>
        <v>1</v>
      </c>
      <c r="C2529" s="2">
        <f>IFERROR(__xludf.DUMMYFUNCTION("""COMPUTED_VALUE"""),385.0)</f>
        <v>385</v>
      </c>
      <c r="D2529" s="3">
        <f>IFERROR(__xludf.DUMMYFUNCTION("""COMPUTED_VALUE"""),98.0)</f>
        <v>98</v>
      </c>
      <c r="E2529" s="1" t="str">
        <f t="array" ref="E2529">_xlfn.XLOOKUP(A2529,Product!A:A,Product!B:B,"Bulunamadı")</f>
        <v>Tech</v>
      </c>
      <c r="F2529" s="1" t="str">
        <f t="array" ref="F2529">_xlfn.XLOOKUP(A2529,Product!A:A,Product!C:C,"Bulunamadı")</f>
        <v>Cycling</v>
      </c>
      <c r="G2529" s="2" t="str">
        <f t="array" ref="G2529">_xlfn.XLOOKUP(A2530,Product!A:A,Product!D:D,"Bulunamadı")</f>
        <v>Cedarbridge Books</v>
      </c>
      <c r="H2529" s="2">
        <f t="array" ref="H2529">_xlfn.XLOOKUP(A2531,Product!A:A,Product!E:E,"Bulunamadı")</f>
        <v>1.75</v>
      </c>
      <c r="I2529" s="2" t="str">
        <f t="shared" si="1"/>
        <v>158471 - Tech - Cycling</v>
      </c>
      <c r="J2529" s="2">
        <f t="shared" si="2"/>
        <v>171.5</v>
      </c>
      <c r="K2529" s="17">
        <f t="shared" si="3"/>
        <v>1</v>
      </c>
      <c r="L2529" s="18"/>
    </row>
    <row r="2530" hidden="1">
      <c r="A2530" s="2">
        <f>IFERROR(__xludf.DUMMYFUNCTION("""COMPUTED_VALUE"""),120876.0)</f>
        <v>120876</v>
      </c>
      <c r="B2530" s="2">
        <f>IFERROR(__xludf.DUMMYFUNCTION("""COMPUTED_VALUE"""),0.0)</f>
        <v>0</v>
      </c>
      <c r="C2530" s="2">
        <f>IFERROR(__xludf.DUMMYFUNCTION("""COMPUTED_VALUE"""),519.0)</f>
        <v>519</v>
      </c>
      <c r="D2530" s="3">
        <f>IFERROR(__xludf.DUMMYFUNCTION("""COMPUTED_VALUE"""),145.0)</f>
        <v>145</v>
      </c>
      <c r="E2530" s="1" t="str">
        <f t="array" ref="E2530">_xlfn.XLOOKUP(A2530,Product!A:A,Product!B:B,"Bulunamadı")</f>
        <v>Law</v>
      </c>
      <c r="F2530" s="1" t="str">
        <f t="array" ref="F2530">_xlfn.XLOOKUP(A2530,Product!A:A,Product!C:C,"Bulunamadı")</f>
        <v>Swimming</v>
      </c>
      <c r="G2530" s="2" t="str">
        <f t="array" ref="G2530">_xlfn.XLOOKUP(A2531,Product!A:A,Product!D:D,"Bulunamadı")</f>
        <v>Cedarbridge Books</v>
      </c>
      <c r="H2530" s="2">
        <f t="array" ref="H2530">_xlfn.XLOOKUP(A2532,Product!A:A,Product!E:E,"Bulunamadı")</f>
        <v>1.32</v>
      </c>
      <c r="I2530" s="2" t="str">
        <f t="shared" si="1"/>
        <v>120876 - Law - Swimming</v>
      </c>
      <c r="J2530" s="2">
        <f t="shared" si="2"/>
        <v>191.4</v>
      </c>
      <c r="K2530" s="17">
        <f t="shared" si="3"/>
        <v>1</v>
      </c>
      <c r="L2530" s="18"/>
    </row>
    <row r="2531" hidden="1">
      <c r="A2531" s="2">
        <f>IFERROR(__xludf.DUMMYFUNCTION("""COMPUTED_VALUE"""),87437.0)</f>
        <v>87437</v>
      </c>
      <c r="B2531" s="2">
        <f>IFERROR(__xludf.DUMMYFUNCTION("""COMPUTED_VALUE"""),1.0)</f>
        <v>1</v>
      </c>
      <c r="C2531" s="2">
        <f>IFERROR(__xludf.DUMMYFUNCTION("""COMPUTED_VALUE"""),277.0)</f>
        <v>277</v>
      </c>
      <c r="D2531" s="3">
        <f>IFERROR(__xludf.DUMMYFUNCTION("""COMPUTED_VALUE"""),147.0)</f>
        <v>147</v>
      </c>
      <c r="E2531" s="1" t="str">
        <f t="array" ref="E2531">_xlfn.XLOOKUP(A2531,Product!A:A,Product!B:B,"Bulunamadı")</f>
        <v>Law</v>
      </c>
      <c r="F2531" s="1" t="str">
        <f t="array" ref="F2531">_xlfn.XLOOKUP(A2531,Product!A:A,Product!C:C,"Bulunamadı")</f>
        <v>Swimming</v>
      </c>
      <c r="G2531" s="2" t="str">
        <f t="array" ref="G2531">_xlfn.XLOOKUP(A2532,Product!A:A,Product!D:D,"Bulunamadı")</f>
        <v>Cedarbridge Books</v>
      </c>
      <c r="H2531" s="2">
        <f t="array" ref="H2531">_xlfn.XLOOKUP(A2533,Product!A:A,Product!E:E,"Bulunamadı")</f>
        <v>1.08</v>
      </c>
      <c r="I2531" s="2" t="str">
        <f t="shared" si="1"/>
        <v>87437 - Law - Swimming</v>
      </c>
      <c r="J2531" s="2">
        <f t="shared" si="2"/>
        <v>158.76</v>
      </c>
      <c r="K2531" s="17">
        <f t="shared" si="3"/>
        <v>1</v>
      </c>
      <c r="L2531" s="18"/>
    </row>
    <row r="2532" hidden="1">
      <c r="A2532" s="2">
        <f>IFERROR(__xludf.DUMMYFUNCTION("""COMPUTED_VALUE"""),121462.0)</f>
        <v>121462</v>
      </c>
      <c r="B2532" s="2">
        <f>IFERROR(__xludf.DUMMYFUNCTION("""COMPUTED_VALUE"""),1.0)</f>
        <v>1</v>
      </c>
      <c r="C2532" s="2">
        <f>IFERROR(__xludf.DUMMYFUNCTION("""COMPUTED_VALUE"""),933.0)</f>
        <v>933</v>
      </c>
      <c r="D2532" s="3">
        <f>IFERROR(__xludf.DUMMYFUNCTION("""COMPUTED_VALUE"""),537.0)</f>
        <v>537</v>
      </c>
      <c r="E2532" s="1" t="str">
        <f t="array" ref="E2532">_xlfn.XLOOKUP(A2532,Product!A:A,Product!B:B,"Bulunamadı")</f>
        <v>Law</v>
      </c>
      <c r="F2532" s="1" t="str">
        <f t="array" ref="F2532">_xlfn.XLOOKUP(A2532,Product!A:A,Product!C:C,"Bulunamadı")</f>
        <v>Swimming</v>
      </c>
      <c r="G2532" s="2" t="str">
        <f t="array" ref="G2532">_xlfn.XLOOKUP(A2533,Product!A:A,Product!D:D,"Bulunamadı")</f>
        <v>Cedarbridge Books</v>
      </c>
      <c r="H2532" s="2">
        <f t="array" ref="H2532">_xlfn.XLOOKUP(A2534,Product!A:A,Product!E:E,"Bulunamadı")</f>
        <v>3.54</v>
      </c>
      <c r="I2532" s="2" t="str">
        <f t="shared" si="1"/>
        <v>121462 - Law - Swimming</v>
      </c>
      <c r="J2532" s="2">
        <f t="shared" si="2"/>
        <v>1900.98</v>
      </c>
      <c r="K2532" s="17">
        <f t="shared" si="3"/>
        <v>1</v>
      </c>
      <c r="L2532" s="18"/>
    </row>
    <row r="2533" hidden="1">
      <c r="A2533" s="2">
        <f>IFERROR(__xludf.DUMMYFUNCTION("""COMPUTED_VALUE"""),69471.0)</f>
        <v>69471</v>
      </c>
      <c r="B2533" s="2">
        <f>IFERROR(__xludf.DUMMYFUNCTION("""COMPUTED_VALUE"""),0.0)</f>
        <v>0</v>
      </c>
      <c r="C2533" s="2">
        <f>IFERROR(__xludf.DUMMYFUNCTION("""COMPUTED_VALUE"""),600.0)</f>
        <v>600</v>
      </c>
      <c r="D2533" s="3">
        <f>IFERROR(__xludf.DUMMYFUNCTION("""COMPUTED_VALUE"""),391.0)</f>
        <v>391</v>
      </c>
      <c r="E2533" s="1" t="str">
        <f t="array" ref="E2533">_xlfn.XLOOKUP(A2533,Product!A:A,Product!B:B,"Bulunamadı")</f>
        <v>Law</v>
      </c>
      <c r="F2533" s="1" t="str">
        <f t="array" ref="F2533">_xlfn.XLOOKUP(A2533,Product!A:A,Product!C:C,"Bulunamadı")</f>
        <v>Swimming</v>
      </c>
      <c r="G2533" s="2" t="str">
        <f t="array" ref="G2533">_xlfn.XLOOKUP(A2534,Product!A:A,Product!D:D,"Bulunamadı")</f>
        <v>Cedarbridge Books</v>
      </c>
      <c r="H2533" s="2">
        <f t="array" ref="H2533">_xlfn.XLOOKUP(A2535,Product!A:A,Product!E:E,"Bulunamadı")</f>
        <v>1.98</v>
      </c>
      <c r="I2533" s="2" t="str">
        <f t="shared" si="1"/>
        <v>69471 - Law - Swimming</v>
      </c>
      <c r="J2533" s="2">
        <f t="shared" si="2"/>
        <v>774.18</v>
      </c>
      <c r="K2533" s="17">
        <f t="shared" si="3"/>
        <v>1</v>
      </c>
      <c r="L2533" s="18"/>
    </row>
    <row r="2534" hidden="1">
      <c r="A2534" s="2">
        <f>IFERROR(__xludf.DUMMYFUNCTION("""COMPUTED_VALUE"""),114904.0)</f>
        <v>114904</v>
      </c>
      <c r="B2534" s="2">
        <f>IFERROR(__xludf.DUMMYFUNCTION("""COMPUTED_VALUE"""),0.0)</f>
        <v>0</v>
      </c>
      <c r="C2534" s="2">
        <f>IFERROR(__xludf.DUMMYFUNCTION("""COMPUTED_VALUE"""),726.0)</f>
        <v>726</v>
      </c>
      <c r="D2534" s="3">
        <f>IFERROR(__xludf.DUMMYFUNCTION("""COMPUTED_VALUE"""),635.0)</f>
        <v>635</v>
      </c>
      <c r="E2534" s="1" t="str">
        <f t="array" ref="E2534">_xlfn.XLOOKUP(A2534,Product!A:A,Product!B:B,"Bulunamadı")</f>
        <v>Law</v>
      </c>
      <c r="F2534" s="1" t="str">
        <f t="array" ref="F2534">_xlfn.XLOOKUP(A2534,Product!A:A,Product!C:C,"Bulunamadı")</f>
        <v>Swimming</v>
      </c>
      <c r="G2534" s="2" t="str">
        <f t="array" ref="G2534">_xlfn.XLOOKUP(A2535,Product!A:A,Product!D:D,"Bulunamadı")</f>
        <v>Cedarbridge Books</v>
      </c>
      <c r="H2534" s="2">
        <f t="array" ref="H2534">_xlfn.XLOOKUP(A2536,Product!A:A,Product!E:E,"Bulunamadı")</f>
        <v>6.86</v>
      </c>
      <c r="I2534" s="2" t="str">
        <f t="shared" si="1"/>
        <v>114904 - Law - Swimming</v>
      </c>
      <c r="J2534" s="2">
        <f t="shared" si="2"/>
        <v>4356.1</v>
      </c>
      <c r="K2534" s="17">
        <f t="shared" si="3"/>
        <v>1</v>
      </c>
      <c r="L2534" s="18"/>
    </row>
    <row r="2535" hidden="1">
      <c r="A2535" s="2">
        <f>IFERROR(__xludf.DUMMYFUNCTION("""COMPUTED_VALUE"""),113910.0)</f>
        <v>113910</v>
      </c>
      <c r="B2535" s="2">
        <f>IFERROR(__xludf.DUMMYFUNCTION("""COMPUTED_VALUE"""),0.0)</f>
        <v>0</v>
      </c>
      <c r="C2535" s="2">
        <f>IFERROR(__xludf.DUMMYFUNCTION("""COMPUTED_VALUE"""),453.0)</f>
        <v>453</v>
      </c>
      <c r="D2535" s="3">
        <f>IFERROR(__xludf.DUMMYFUNCTION("""COMPUTED_VALUE"""),258.0)</f>
        <v>258</v>
      </c>
      <c r="E2535" s="1" t="str">
        <f t="array" ref="E2535">_xlfn.XLOOKUP(A2535,Product!A:A,Product!B:B,"Bulunamadı")</f>
        <v>Law</v>
      </c>
      <c r="F2535" s="1" t="str">
        <f t="array" ref="F2535">_xlfn.XLOOKUP(A2535,Product!A:A,Product!C:C,"Bulunamadı")</f>
        <v>Swimming</v>
      </c>
      <c r="G2535" s="2" t="str">
        <f t="array" ref="G2535">_xlfn.XLOOKUP(A2536,Product!A:A,Product!D:D,"Bulunamadı")</f>
        <v>Cedarbridge Books</v>
      </c>
      <c r="H2535" s="2">
        <f t="array" ref="H2535">_xlfn.XLOOKUP(A2537,Product!A:A,Product!E:E,"Bulunamadı")</f>
        <v>1.3</v>
      </c>
      <c r="I2535" s="2" t="str">
        <f t="shared" si="1"/>
        <v>113910 - Law - Swimming</v>
      </c>
      <c r="J2535" s="2">
        <f t="shared" si="2"/>
        <v>335.4</v>
      </c>
      <c r="K2535" s="17">
        <f t="shared" si="3"/>
        <v>1</v>
      </c>
      <c r="L2535" s="18"/>
    </row>
    <row r="2536" hidden="1">
      <c r="A2536" s="2">
        <f>IFERROR(__xludf.DUMMYFUNCTION("""COMPUTED_VALUE"""),18100.0)</f>
        <v>18100</v>
      </c>
      <c r="B2536" s="2">
        <f>IFERROR(__xludf.DUMMYFUNCTION("""COMPUTED_VALUE"""),1.0)</f>
        <v>1</v>
      </c>
      <c r="C2536" s="2">
        <f>IFERROR(__xludf.DUMMYFUNCTION("""COMPUTED_VALUE"""),520.0)</f>
        <v>520</v>
      </c>
      <c r="D2536" s="3">
        <f>IFERROR(__xludf.DUMMYFUNCTION("""COMPUTED_VALUE"""),228.0)</f>
        <v>228</v>
      </c>
      <c r="E2536" s="1" t="str">
        <f t="array" ref="E2536">_xlfn.XLOOKUP(A2536,Product!A:A,Product!B:B,"Bulunamadı")</f>
        <v>Law</v>
      </c>
      <c r="F2536" s="1" t="str">
        <f t="array" ref="F2536">_xlfn.XLOOKUP(A2536,Product!A:A,Product!C:C,"Bulunamadı")</f>
        <v>Swimming</v>
      </c>
      <c r="G2536" s="2" t="str">
        <f t="array" ref="G2536">_xlfn.XLOOKUP(A2537,Product!A:A,Product!D:D,"Bulunamadı")</f>
        <v>Cedarbridge Books</v>
      </c>
      <c r="H2536" s="2">
        <f t="array" ref="H2536">_xlfn.XLOOKUP(A2538,Product!A:A,Product!E:E,"Bulunamadı")</f>
        <v>1.34</v>
      </c>
      <c r="I2536" s="2" t="str">
        <f t="shared" si="1"/>
        <v>18100 - Law - Swimming</v>
      </c>
      <c r="J2536" s="2">
        <f t="shared" si="2"/>
        <v>305.52</v>
      </c>
      <c r="K2536" s="17">
        <f t="shared" si="3"/>
        <v>1</v>
      </c>
      <c r="L2536" s="18"/>
    </row>
    <row r="2537" hidden="1">
      <c r="A2537" s="2">
        <f>IFERROR(__xludf.DUMMYFUNCTION("""COMPUTED_VALUE"""),114963.0)</f>
        <v>114963</v>
      </c>
      <c r="B2537" s="2">
        <f>IFERROR(__xludf.DUMMYFUNCTION("""COMPUTED_VALUE"""),0.0)</f>
        <v>0</v>
      </c>
      <c r="C2537" s="2">
        <f>IFERROR(__xludf.DUMMYFUNCTION("""COMPUTED_VALUE"""),186.0)</f>
        <v>186</v>
      </c>
      <c r="D2537" s="3">
        <f>IFERROR(__xludf.DUMMYFUNCTION("""COMPUTED_VALUE"""),56.0)</f>
        <v>56</v>
      </c>
      <c r="E2537" s="1" t="str">
        <f t="array" ref="E2537">_xlfn.XLOOKUP(A2537,Product!A:A,Product!B:B,"Bulunamadı")</f>
        <v>Law</v>
      </c>
      <c r="F2537" s="1" t="str">
        <f t="array" ref="F2537">_xlfn.XLOOKUP(A2537,Product!A:A,Product!C:C,"Bulunamadı")</f>
        <v>Swimming</v>
      </c>
      <c r="G2537" s="2" t="str">
        <f t="array" ref="G2537">_xlfn.XLOOKUP(A2538,Product!A:A,Product!D:D,"Bulunamadı")</f>
        <v>Cedarbridge Books</v>
      </c>
      <c r="H2537" s="2">
        <f t="array" ref="H2537">_xlfn.XLOOKUP(A2539,Product!A:A,Product!E:E,"Bulunamadı")</f>
        <v>3.81</v>
      </c>
      <c r="I2537" s="2" t="str">
        <f t="shared" si="1"/>
        <v>114963 - Law - Swimming</v>
      </c>
      <c r="J2537" s="2">
        <f t="shared" si="2"/>
        <v>213.36</v>
      </c>
      <c r="K2537" s="17">
        <f t="shared" si="3"/>
        <v>1</v>
      </c>
      <c r="L2537" s="18"/>
    </row>
    <row r="2538" hidden="1">
      <c r="A2538" s="2">
        <f>IFERROR(__xludf.DUMMYFUNCTION("""COMPUTED_VALUE"""),121495.0)</f>
        <v>121495</v>
      </c>
      <c r="B2538" s="2">
        <f>IFERROR(__xludf.DUMMYFUNCTION("""COMPUTED_VALUE"""),1.0)</f>
        <v>1</v>
      </c>
      <c r="C2538" s="2">
        <f>IFERROR(__xludf.DUMMYFUNCTION("""COMPUTED_VALUE"""),944.0)</f>
        <v>944</v>
      </c>
      <c r="D2538" s="3">
        <f>IFERROR(__xludf.DUMMYFUNCTION("""COMPUTED_VALUE"""),852.0)</f>
        <v>852</v>
      </c>
      <c r="E2538" s="1" t="str">
        <f t="array" ref="E2538">_xlfn.XLOOKUP(A2538,Product!A:A,Product!B:B,"Bulunamadı")</f>
        <v>Law</v>
      </c>
      <c r="F2538" s="1" t="str">
        <f t="array" ref="F2538">_xlfn.XLOOKUP(A2538,Product!A:A,Product!C:C,"Bulunamadı")</f>
        <v>Swimming</v>
      </c>
      <c r="G2538" s="2" t="str">
        <f t="array" ref="G2538">_xlfn.XLOOKUP(A2539,Product!A:A,Product!D:D,"Bulunamadı")</f>
        <v>Cedarbridge Books</v>
      </c>
      <c r="H2538" s="2">
        <f t="array" ref="H2538">_xlfn.XLOOKUP(A2540,Product!A:A,Product!E:E,"Bulunamadı")</f>
        <v>0.73</v>
      </c>
      <c r="I2538" s="2" t="str">
        <f t="shared" si="1"/>
        <v>121495 - Law - Swimming</v>
      </c>
      <c r="J2538" s="2">
        <f t="shared" si="2"/>
        <v>621.96</v>
      </c>
      <c r="K2538" s="17">
        <f t="shared" si="3"/>
        <v>1</v>
      </c>
      <c r="L2538" s="18"/>
    </row>
    <row r="2539" hidden="1">
      <c r="A2539" s="2">
        <f>IFERROR(__xludf.DUMMYFUNCTION("""COMPUTED_VALUE"""),83041.0)</f>
        <v>83041</v>
      </c>
      <c r="B2539" s="2">
        <f>IFERROR(__xludf.DUMMYFUNCTION("""COMPUTED_VALUE"""),1.0)</f>
        <v>1</v>
      </c>
      <c r="C2539" s="2">
        <f>IFERROR(__xludf.DUMMYFUNCTION("""COMPUTED_VALUE"""),972.0)</f>
        <v>972</v>
      </c>
      <c r="D2539" s="3">
        <f>IFERROR(__xludf.DUMMYFUNCTION("""COMPUTED_VALUE"""),955.0)</f>
        <v>955</v>
      </c>
      <c r="E2539" s="1" t="str">
        <f t="array" ref="E2539">_xlfn.XLOOKUP(A2539,Product!A:A,Product!B:B,"Bulunamadı")</f>
        <v>Law</v>
      </c>
      <c r="F2539" s="1" t="str">
        <f t="array" ref="F2539">_xlfn.XLOOKUP(A2539,Product!A:A,Product!C:C,"Bulunamadı")</f>
        <v>Swimming</v>
      </c>
      <c r="G2539" s="2" t="str">
        <f t="array" ref="G2539">_xlfn.XLOOKUP(A2540,Product!A:A,Product!D:D,"Bulunamadı")</f>
        <v>Cedarbridge Books</v>
      </c>
      <c r="H2539" s="2">
        <f t="array" ref="H2539">_xlfn.XLOOKUP(A2541,Product!A:A,Product!E:E,"Bulunamadı")</f>
        <v>5.38</v>
      </c>
      <c r="I2539" s="2" t="str">
        <f t="shared" si="1"/>
        <v>83041 - Law - Swimming</v>
      </c>
      <c r="J2539" s="2">
        <f t="shared" si="2"/>
        <v>5137.9</v>
      </c>
      <c r="K2539" s="17">
        <f t="shared" si="3"/>
        <v>1</v>
      </c>
      <c r="L2539" s="18"/>
    </row>
    <row r="2540" hidden="1">
      <c r="A2540" s="2">
        <f>IFERROR(__xludf.DUMMYFUNCTION("""COMPUTED_VALUE"""),121499.0)</f>
        <v>121499</v>
      </c>
      <c r="B2540" s="2">
        <f>IFERROR(__xludf.DUMMYFUNCTION("""COMPUTED_VALUE"""),1.0)</f>
        <v>1</v>
      </c>
      <c r="C2540" s="2">
        <f>IFERROR(__xludf.DUMMYFUNCTION("""COMPUTED_VALUE"""),562.0)</f>
        <v>562</v>
      </c>
      <c r="D2540" s="3">
        <f>IFERROR(__xludf.DUMMYFUNCTION("""COMPUTED_VALUE"""),28.0)</f>
        <v>28</v>
      </c>
      <c r="E2540" s="1" t="str">
        <f t="array" ref="E2540">_xlfn.XLOOKUP(A2540,Product!A:A,Product!B:B,"Bulunamadı")</f>
        <v>Law</v>
      </c>
      <c r="F2540" s="1" t="str">
        <f t="array" ref="F2540">_xlfn.XLOOKUP(A2540,Product!A:A,Product!C:C,"Bulunamadı")</f>
        <v>Swimming</v>
      </c>
      <c r="G2540" s="2" t="str">
        <f t="array" ref="G2540">_xlfn.XLOOKUP(A2541,Product!A:A,Product!D:D,"Bulunamadı")</f>
        <v>Cedarbridge Books</v>
      </c>
      <c r="H2540" s="2">
        <f t="array" ref="H2540">_xlfn.XLOOKUP(A2542,Product!A:A,Product!E:E,"Bulunamadı")</f>
        <v>1.72</v>
      </c>
      <c r="I2540" s="2" t="str">
        <f t="shared" si="1"/>
        <v>121499 - Law - Swimming</v>
      </c>
      <c r="J2540" s="2">
        <f t="shared" si="2"/>
        <v>48.16</v>
      </c>
      <c r="K2540" s="17">
        <f t="shared" si="3"/>
        <v>1</v>
      </c>
      <c r="L2540" s="18"/>
    </row>
    <row r="2541" hidden="1">
      <c r="A2541" s="2">
        <f>IFERROR(__xludf.DUMMYFUNCTION("""COMPUTED_VALUE"""),108528.0)</f>
        <v>108528</v>
      </c>
      <c r="B2541" s="2">
        <f>IFERROR(__xludf.DUMMYFUNCTION("""COMPUTED_VALUE"""),0.0)</f>
        <v>0</v>
      </c>
      <c r="C2541" s="2">
        <f>IFERROR(__xludf.DUMMYFUNCTION("""COMPUTED_VALUE"""),112.0)</f>
        <v>112</v>
      </c>
      <c r="D2541" s="3">
        <f>IFERROR(__xludf.DUMMYFUNCTION("""COMPUTED_VALUE"""),21.0)</f>
        <v>21</v>
      </c>
      <c r="E2541" s="1" t="str">
        <f t="array" ref="E2541">_xlfn.XLOOKUP(A2541,Product!A:A,Product!B:B,"Bulunamadı")</f>
        <v>Law</v>
      </c>
      <c r="F2541" s="1" t="str">
        <f t="array" ref="F2541">_xlfn.XLOOKUP(A2541,Product!A:A,Product!C:C,"Bulunamadı")</f>
        <v>Swimming</v>
      </c>
      <c r="G2541" s="2" t="str">
        <f t="array" ref="G2541">_xlfn.XLOOKUP(A2542,Product!A:A,Product!D:D,"Bulunamadı")</f>
        <v>Cedarbridge Books</v>
      </c>
      <c r="H2541" s="2">
        <f t="array" ref="H2541">_xlfn.XLOOKUP(A2543,Product!A:A,Product!E:E,"Bulunamadı")</f>
        <v>8.43</v>
      </c>
      <c r="I2541" s="2" t="str">
        <f t="shared" si="1"/>
        <v>108528 - Law - Swimming</v>
      </c>
      <c r="J2541" s="2">
        <f t="shared" si="2"/>
        <v>177.03</v>
      </c>
      <c r="K2541" s="17">
        <f t="shared" si="3"/>
        <v>1</v>
      </c>
      <c r="L2541" s="18"/>
    </row>
    <row r="2542" hidden="1">
      <c r="A2542" s="2">
        <f>IFERROR(__xludf.DUMMYFUNCTION("""COMPUTED_VALUE"""),69547.0)</f>
        <v>69547</v>
      </c>
      <c r="B2542" s="2">
        <f>IFERROR(__xludf.DUMMYFUNCTION("""COMPUTED_VALUE"""),1.0)</f>
        <v>1</v>
      </c>
      <c r="C2542" s="2">
        <f>IFERROR(__xludf.DUMMYFUNCTION("""COMPUTED_VALUE"""),879.0)</f>
        <v>879</v>
      </c>
      <c r="D2542" s="3">
        <f>IFERROR(__xludf.DUMMYFUNCTION("""COMPUTED_VALUE"""),309.0)</f>
        <v>309</v>
      </c>
      <c r="E2542" s="1" t="str">
        <f t="array" ref="E2542">_xlfn.XLOOKUP(A2542,Product!A:A,Product!B:B,"Bulunamadı")</f>
        <v>Law</v>
      </c>
      <c r="F2542" s="1" t="str">
        <f t="array" ref="F2542">_xlfn.XLOOKUP(A2542,Product!A:A,Product!C:C,"Bulunamadı")</f>
        <v>Swimming</v>
      </c>
      <c r="G2542" s="2" t="str">
        <f t="array" ref="G2542">_xlfn.XLOOKUP(A2543,Product!A:A,Product!D:D,"Bulunamadı")</f>
        <v>Cedarbridge Books</v>
      </c>
      <c r="H2542" s="2">
        <f t="array" ref="H2542">_xlfn.XLOOKUP(A2544,Product!A:A,Product!E:E,"Bulunamadı")</f>
        <v>2.08</v>
      </c>
      <c r="I2542" s="2" t="str">
        <f t="shared" si="1"/>
        <v>69547 - Law - Swimming</v>
      </c>
      <c r="J2542" s="2">
        <f t="shared" si="2"/>
        <v>642.72</v>
      </c>
      <c r="K2542" s="17">
        <f t="shared" si="3"/>
        <v>1</v>
      </c>
      <c r="L2542" s="18"/>
    </row>
    <row r="2543" hidden="1">
      <c r="A2543" s="2">
        <f>IFERROR(__xludf.DUMMYFUNCTION("""COMPUTED_VALUE"""),18126.0)</f>
        <v>18126</v>
      </c>
      <c r="B2543" s="2">
        <f>IFERROR(__xludf.DUMMYFUNCTION("""COMPUTED_VALUE"""),0.0)</f>
        <v>0</v>
      </c>
      <c r="C2543" s="2">
        <f>IFERROR(__xludf.DUMMYFUNCTION("""COMPUTED_VALUE"""),832.0)</f>
        <v>832</v>
      </c>
      <c r="D2543" s="3">
        <f>IFERROR(__xludf.DUMMYFUNCTION("""COMPUTED_VALUE"""),95.0)</f>
        <v>95</v>
      </c>
      <c r="E2543" s="1" t="str">
        <f t="array" ref="E2543">_xlfn.XLOOKUP(A2543,Product!A:A,Product!B:B,"Bulunamadı")</f>
        <v>Law</v>
      </c>
      <c r="F2543" s="1" t="str">
        <f t="array" ref="F2543">_xlfn.XLOOKUP(A2543,Product!A:A,Product!C:C,"Bulunamadı")</f>
        <v>Swimming</v>
      </c>
      <c r="G2543" s="2" t="str">
        <f t="array" ref="G2543">_xlfn.XLOOKUP(A2544,Product!A:A,Product!D:D,"Bulunamadı")</f>
        <v>Cedarbridge Books</v>
      </c>
      <c r="H2543" s="2">
        <f t="array" ref="H2543">_xlfn.XLOOKUP(A2545,Product!A:A,Product!E:E,"Bulunamadı")</f>
        <v>1.26</v>
      </c>
      <c r="I2543" s="2" t="str">
        <f t="shared" si="1"/>
        <v>18126 - Law - Swimming</v>
      </c>
      <c r="J2543" s="2">
        <f t="shared" si="2"/>
        <v>119.7</v>
      </c>
      <c r="K2543" s="17">
        <f t="shared" si="3"/>
        <v>1</v>
      </c>
      <c r="L2543" s="18"/>
    </row>
    <row r="2544" hidden="1">
      <c r="A2544" s="2">
        <f>IFERROR(__xludf.DUMMYFUNCTION("""COMPUTED_VALUE"""),121812.0)</f>
        <v>121812</v>
      </c>
      <c r="B2544" s="2">
        <f>IFERROR(__xludf.DUMMYFUNCTION("""COMPUTED_VALUE"""),0.0)</f>
        <v>0</v>
      </c>
      <c r="C2544" s="2">
        <f>IFERROR(__xludf.DUMMYFUNCTION("""COMPUTED_VALUE"""),672.0)</f>
        <v>672</v>
      </c>
      <c r="D2544" s="3">
        <f>IFERROR(__xludf.DUMMYFUNCTION("""COMPUTED_VALUE"""),160.0)</f>
        <v>160</v>
      </c>
      <c r="E2544" s="1" t="str">
        <f t="array" ref="E2544">_xlfn.XLOOKUP(A2544,Product!A:A,Product!B:B,"Bulunamadı")</f>
        <v>Law</v>
      </c>
      <c r="F2544" s="1" t="str">
        <f t="array" ref="F2544">_xlfn.XLOOKUP(A2544,Product!A:A,Product!C:C,"Bulunamadı")</f>
        <v>Swimming</v>
      </c>
      <c r="G2544" s="2" t="str">
        <f t="array" ref="G2544">_xlfn.XLOOKUP(A2545,Product!A:A,Product!D:D,"Bulunamadı")</f>
        <v>Cedarbridge Books</v>
      </c>
      <c r="H2544" s="2">
        <f t="array" ref="H2544">_xlfn.XLOOKUP(A2546,Product!A:A,Product!E:E,"Bulunamadı")</f>
        <v>1.15</v>
      </c>
      <c r="I2544" s="2" t="str">
        <f t="shared" si="1"/>
        <v>121812 - Law - Swimming</v>
      </c>
      <c r="J2544" s="2">
        <f t="shared" si="2"/>
        <v>184</v>
      </c>
      <c r="K2544" s="17">
        <f t="shared" si="3"/>
        <v>1</v>
      </c>
      <c r="L2544" s="18"/>
    </row>
    <row r="2545" hidden="1">
      <c r="A2545" s="2">
        <f>IFERROR(__xludf.DUMMYFUNCTION("""COMPUTED_VALUE"""),81497.0)</f>
        <v>81497</v>
      </c>
      <c r="B2545" s="2">
        <f>IFERROR(__xludf.DUMMYFUNCTION("""COMPUTED_VALUE"""),0.0)</f>
        <v>0</v>
      </c>
      <c r="C2545" s="2">
        <f>IFERROR(__xludf.DUMMYFUNCTION("""COMPUTED_VALUE"""),279.0)</f>
        <v>279</v>
      </c>
      <c r="D2545" s="3">
        <f>IFERROR(__xludf.DUMMYFUNCTION("""COMPUTED_VALUE"""),241.0)</f>
        <v>241</v>
      </c>
      <c r="E2545" s="1" t="str">
        <f t="array" ref="E2545">_xlfn.XLOOKUP(A2545,Product!A:A,Product!B:B,"Bulunamadı")</f>
        <v>Law</v>
      </c>
      <c r="F2545" s="1" t="str">
        <f t="array" ref="F2545">_xlfn.XLOOKUP(A2545,Product!A:A,Product!C:C,"Bulunamadı")</f>
        <v>Swimming</v>
      </c>
      <c r="G2545" s="2" t="str">
        <f t="array" ref="G2545">_xlfn.XLOOKUP(A2546,Product!A:A,Product!D:D,"Bulunamadı")</f>
        <v>Cedarbridge Books</v>
      </c>
      <c r="H2545" s="2">
        <f t="array" ref="H2545">_xlfn.XLOOKUP(A2547,Product!A:A,Product!E:E,"Bulunamadı")</f>
        <v>3.73</v>
      </c>
      <c r="I2545" s="2" t="str">
        <f t="shared" si="1"/>
        <v>81497 - Law - Swimming</v>
      </c>
      <c r="J2545" s="2">
        <f t="shared" si="2"/>
        <v>898.93</v>
      </c>
      <c r="K2545" s="17">
        <f t="shared" si="3"/>
        <v>1</v>
      </c>
      <c r="L2545" s="18"/>
    </row>
    <row r="2546" hidden="1">
      <c r="A2546" s="2">
        <f>IFERROR(__xludf.DUMMYFUNCTION("""COMPUTED_VALUE"""),121500.0)</f>
        <v>121500</v>
      </c>
      <c r="B2546" s="2">
        <f>IFERROR(__xludf.DUMMYFUNCTION("""COMPUTED_VALUE"""),0.0)</f>
        <v>0</v>
      </c>
      <c r="C2546" s="2">
        <f>IFERROR(__xludf.DUMMYFUNCTION("""COMPUTED_VALUE"""),690.0)</f>
        <v>690</v>
      </c>
      <c r="D2546" s="3">
        <f>IFERROR(__xludf.DUMMYFUNCTION("""COMPUTED_VALUE"""),96.0)</f>
        <v>96</v>
      </c>
      <c r="E2546" s="1" t="str">
        <f t="array" ref="E2546">_xlfn.XLOOKUP(A2546,Product!A:A,Product!B:B,"Bulunamadı")</f>
        <v>Law</v>
      </c>
      <c r="F2546" s="1" t="str">
        <f t="array" ref="F2546">_xlfn.XLOOKUP(A2546,Product!A:A,Product!C:C,"Bulunamadı")</f>
        <v>Swimming</v>
      </c>
      <c r="G2546" s="2" t="str">
        <f t="array" ref="G2546">_xlfn.XLOOKUP(A2547,Product!A:A,Product!D:D,"Bulunamadı")</f>
        <v>Cedarbridge Books</v>
      </c>
      <c r="H2546" s="2">
        <f t="array" ref="H2546">_xlfn.XLOOKUP(A2548,Product!A:A,Product!E:E,"Bulunamadı")</f>
        <v>1.53</v>
      </c>
      <c r="I2546" s="2" t="str">
        <f t="shared" si="1"/>
        <v>121500 - Law - Swimming</v>
      </c>
      <c r="J2546" s="2">
        <f t="shared" si="2"/>
        <v>146.88</v>
      </c>
      <c r="K2546" s="17">
        <f t="shared" si="3"/>
        <v>1</v>
      </c>
      <c r="L2546" s="18"/>
    </row>
    <row r="2547" hidden="1">
      <c r="A2547" s="2">
        <f>IFERROR(__xludf.DUMMYFUNCTION("""COMPUTED_VALUE"""),45903.0)</f>
        <v>45903</v>
      </c>
      <c r="B2547" s="2">
        <f>IFERROR(__xludf.DUMMYFUNCTION("""COMPUTED_VALUE"""),0.0)</f>
        <v>0</v>
      </c>
      <c r="C2547" s="2">
        <f>IFERROR(__xludf.DUMMYFUNCTION("""COMPUTED_VALUE"""),792.0)</f>
        <v>792</v>
      </c>
      <c r="D2547" s="3">
        <f>IFERROR(__xludf.DUMMYFUNCTION("""COMPUTED_VALUE"""),335.0)</f>
        <v>335</v>
      </c>
      <c r="E2547" s="1" t="str">
        <f t="array" ref="E2547">_xlfn.XLOOKUP(A2547,Product!A:A,Product!B:B,"Bulunamadı")</f>
        <v>Law</v>
      </c>
      <c r="F2547" s="1" t="str">
        <f t="array" ref="F2547">_xlfn.XLOOKUP(A2547,Product!A:A,Product!C:C,"Bulunamadı")</f>
        <v>Swimming</v>
      </c>
      <c r="G2547" s="2" t="str">
        <f t="array" ref="G2547">_xlfn.XLOOKUP(A2548,Product!A:A,Product!D:D,"Bulunamadı")</f>
        <v>Cedarbridge Books</v>
      </c>
      <c r="H2547" s="2">
        <f t="array" ref="H2547">_xlfn.XLOOKUP(A2549,Product!A:A,Product!E:E,"Bulunamadı")</f>
        <v>4.68</v>
      </c>
      <c r="I2547" s="2" t="str">
        <f t="shared" si="1"/>
        <v>45903 - Law - Swimming</v>
      </c>
      <c r="J2547" s="2">
        <f t="shared" si="2"/>
        <v>1567.8</v>
      </c>
      <c r="K2547" s="17">
        <f t="shared" si="3"/>
        <v>1</v>
      </c>
      <c r="L2547" s="18"/>
    </row>
    <row r="2548" hidden="1">
      <c r="A2548" s="2">
        <f>IFERROR(__xludf.DUMMYFUNCTION("""COMPUTED_VALUE"""),121813.0)</f>
        <v>121813</v>
      </c>
      <c r="B2548" s="2">
        <f>IFERROR(__xludf.DUMMYFUNCTION("""COMPUTED_VALUE"""),0.0)</f>
        <v>0</v>
      </c>
      <c r="C2548" s="2">
        <f>IFERROR(__xludf.DUMMYFUNCTION("""COMPUTED_VALUE"""),259.0)</f>
        <v>259</v>
      </c>
      <c r="D2548" s="3">
        <f>IFERROR(__xludf.DUMMYFUNCTION("""COMPUTED_VALUE"""),131.0)</f>
        <v>131</v>
      </c>
      <c r="E2548" s="1" t="str">
        <f t="array" ref="E2548">_xlfn.XLOOKUP(A2548,Product!A:A,Product!B:B,"Bulunamadı")</f>
        <v>Law</v>
      </c>
      <c r="F2548" s="1" t="str">
        <f t="array" ref="F2548">_xlfn.XLOOKUP(A2548,Product!A:A,Product!C:C,"Bulunamadı")</f>
        <v>Swimming</v>
      </c>
      <c r="G2548" s="2" t="str">
        <f t="array" ref="G2548">_xlfn.XLOOKUP(A2549,Product!A:A,Product!D:D,"Bulunamadı")</f>
        <v>Cedarbridge Books</v>
      </c>
      <c r="H2548" s="2">
        <f t="array" ref="H2548">_xlfn.XLOOKUP(A2550,Product!A:A,Product!E:E,"Bulunamadı")</f>
        <v>1.69</v>
      </c>
      <c r="I2548" s="2" t="str">
        <f t="shared" si="1"/>
        <v>121813 - Law - Swimming</v>
      </c>
      <c r="J2548" s="2">
        <f t="shared" si="2"/>
        <v>221.39</v>
      </c>
      <c r="K2548" s="17">
        <f t="shared" si="3"/>
        <v>1</v>
      </c>
      <c r="L2548" s="18"/>
    </row>
    <row r="2549" hidden="1">
      <c r="A2549" s="2">
        <f>IFERROR(__xludf.DUMMYFUNCTION("""COMPUTED_VALUE"""),108512.0)</f>
        <v>108512</v>
      </c>
      <c r="B2549" s="2">
        <f>IFERROR(__xludf.DUMMYFUNCTION("""COMPUTED_VALUE"""),0.0)</f>
        <v>0</v>
      </c>
      <c r="C2549" s="2">
        <f>IFERROR(__xludf.DUMMYFUNCTION("""COMPUTED_VALUE"""),272.0)</f>
        <v>272</v>
      </c>
      <c r="D2549" s="3">
        <f>IFERROR(__xludf.DUMMYFUNCTION("""COMPUTED_VALUE"""),17.0)</f>
        <v>17</v>
      </c>
      <c r="E2549" s="1" t="str">
        <f t="array" ref="E2549">_xlfn.XLOOKUP(A2549,Product!A:A,Product!B:B,"Bulunamadı")</f>
        <v>Law</v>
      </c>
      <c r="F2549" s="1" t="str">
        <f t="array" ref="F2549">_xlfn.XLOOKUP(A2549,Product!A:A,Product!C:C,"Bulunamadı")</f>
        <v>Swimming</v>
      </c>
      <c r="G2549" s="2" t="str">
        <f t="array" ref="G2549">_xlfn.XLOOKUP(A2550,Product!A:A,Product!D:D,"Bulunamadı")</f>
        <v>Cedarbridge Books</v>
      </c>
      <c r="H2549" s="2">
        <f t="array" ref="H2549">_xlfn.XLOOKUP(A2551,Product!A:A,Product!E:E,"Bulunamadı")</f>
        <v>2.38</v>
      </c>
      <c r="I2549" s="2" t="str">
        <f t="shared" si="1"/>
        <v>108512 - Law - Swimming</v>
      </c>
      <c r="J2549" s="2">
        <f t="shared" si="2"/>
        <v>40.46</v>
      </c>
      <c r="K2549" s="17">
        <f t="shared" si="3"/>
        <v>1</v>
      </c>
      <c r="L2549" s="18"/>
    </row>
    <row r="2550" hidden="1">
      <c r="A2550" s="2">
        <f>IFERROR(__xludf.DUMMYFUNCTION("""COMPUTED_VALUE"""),70189.0)</f>
        <v>70189</v>
      </c>
      <c r="B2550" s="2">
        <f>IFERROR(__xludf.DUMMYFUNCTION("""COMPUTED_VALUE"""),1.0)</f>
        <v>1</v>
      </c>
      <c r="C2550" s="2">
        <f>IFERROR(__xludf.DUMMYFUNCTION("""COMPUTED_VALUE"""),668.0)</f>
        <v>668</v>
      </c>
      <c r="D2550" s="3">
        <f>IFERROR(__xludf.DUMMYFUNCTION("""COMPUTED_VALUE"""),309.0)</f>
        <v>309</v>
      </c>
      <c r="E2550" s="1" t="str">
        <f t="array" ref="E2550">_xlfn.XLOOKUP(A2550,Product!A:A,Product!B:B,"Bulunamadı")</f>
        <v>Law</v>
      </c>
      <c r="F2550" s="1" t="str">
        <f t="array" ref="F2550">_xlfn.XLOOKUP(A2550,Product!A:A,Product!C:C,"Bulunamadı")</f>
        <v>Swimming</v>
      </c>
      <c r="G2550" s="2" t="str">
        <f t="array" ref="G2550">_xlfn.XLOOKUP(A2551,Product!A:A,Product!D:D,"Bulunamadı")</f>
        <v>Cedarbridge Books</v>
      </c>
      <c r="H2550" s="2">
        <f t="array" ref="H2550">_xlfn.XLOOKUP(A2552,Product!A:A,Product!E:E,"Bulunamadı")</f>
        <v>0.44</v>
      </c>
      <c r="I2550" s="2" t="str">
        <f t="shared" si="1"/>
        <v>70189 - Law - Swimming</v>
      </c>
      <c r="J2550" s="2">
        <f t="shared" si="2"/>
        <v>135.96</v>
      </c>
      <c r="K2550" s="17">
        <f t="shared" si="3"/>
        <v>1</v>
      </c>
      <c r="L2550" s="18"/>
    </row>
    <row r="2551" hidden="1">
      <c r="A2551" s="2">
        <f>IFERROR(__xludf.DUMMYFUNCTION("""COMPUTED_VALUE"""),194057.0)</f>
        <v>194057</v>
      </c>
      <c r="B2551" s="2">
        <f>IFERROR(__xludf.DUMMYFUNCTION("""COMPUTED_VALUE"""),0.0)</f>
        <v>0</v>
      </c>
      <c r="C2551" s="2">
        <f>IFERROR(__xludf.DUMMYFUNCTION("""COMPUTED_VALUE"""),719.0)</f>
        <v>719</v>
      </c>
      <c r="D2551" s="3">
        <f>IFERROR(__xludf.DUMMYFUNCTION("""COMPUTED_VALUE"""),163.0)</f>
        <v>163</v>
      </c>
      <c r="E2551" s="1" t="str">
        <f t="array" ref="E2551">_xlfn.XLOOKUP(A2551,Product!A:A,Product!B:B,"Bulunamadı")</f>
        <v>Law</v>
      </c>
      <c r="F2551" s="1" t="str">
        <f t="array" ref="F2551">_xlfn.XLOOKUP(A2551,Product!A:A,Product!C:C,"Bulunamadı")</f>
        <v>Swimming</v>
      </c>
      <c r="G2551" s="2" t="str">
        <f t="array" ref="G2551">_xlfn.XLOOKUP(A2552,Product!A:A,Product!D:D,"Bulunamadı")</f>
        <v>Cedarbridge Books</v>
      </c>
      <c r="H2551" s="2">
        <f t="array" ref="H2551">_xlfn.XLOOKUP(A2553,Product!A:A,Product!E:E,"Bulunamadı")</f>
        <v>3.42</v>
      </c>
      <c r="I2551" s="2" t="str">
        <f t="shared" si="1"/>
        <v>194057 - Law - Swimming</v>
      </c>
      <c r="J2551" s="2">
        <f t="shared" si="2"/>
        <v>557.46</v>
      </c>
      <c r="K2551" s="17">
        <f t="shared" si="3"/>
        <v>1</v>
      </c>
      <c r="L2551" s="18"/>
    </row>
    <row r="2552" hidden="1">
      <c r="A2552" s="2">
        <f>IFERROR(__xludf.DUMMYFUNCTION("""COMPUTED_VALUE"""),121460.0)</f>
        <v>121460</v>
      </c>
      <c r="B2552" s="2">
        <f>IFERROR(__xludf.DUMMYFUNCTION("""COMPUTED_VALUE"""),0.0)</f>
        <v>0</v>
      </c>
      <c r="C2552" s="2">
        <f>IFERROR(__xludf.DUMMYFUNCTION("""COMPUTED_VALUE"""),76.0)</f>
        <v>76</v>
      </c>
      <c r="D2552" s="3">
        <f>IFERROR(__xludf.DUMMYFUNCTION("""COMPUTED_VALUE"""),76.0)</f>
        <v>76</v>
      </c>
      <c r="E2552" s="1" t="str">
        <f t="array" ref="E2552">_xlfn.XLOOKUP(A2552,Product!A:A,Product!B:B,"Bulunamadı")</f>
        <v>Law</v>
      </c>
      <c r="F2552" s="1" t="str">
        <f t="array" ref="F2552">_xlfn.XLOOKUP(A2552,Product!A:A,Product!C:C,"Bulunamadı")</f>
        <v>Swimming</v>
      </c>
      <c r="G2552" s="2" t="str">
        <f t="array" ref="G2552">_xlfn.XLOOKUP(A2553,Product!A:A,Product!D:D,"Bulunamadı")</f>
        <v>Cedarbridge Books</v>
      </c>
      <c r="H2552" s="2">
        <f t="array" ref="H2552">_xlfn.XLOOKUP(A2554,Product!A:A,Product!E:E,"Bulunamadı")</f>
        <v>1.16</v>
      </c>
      <c r="I2552" s="2" t="str">
        <f t="shared" si="1"/>
        <v>121460 - Law - Swimming</v>
      </c>
      <c r="J2552" s="2">
        <f t="shared" si="2"/>
        <v>88.16</v>
      </c>
      <c r="K2552" s="17">
        <f t="shared" si="3"/>
        <v>1</v>
      </c>
      <c r="L2552" s="18"/>
    </row>
    <row r="2553" hidden="1">
      <c r="A2553" s="2">
        <f>IFERROR(__xludf.DUMMYFUNCTION("""COMPUTED_VALUE"""),121950.0)</f>
        <v>121950</v>
      </c>
      <c r="B2553" s="2">
        <f>IFERROR(__xludf.DUMMYFUNCTION("""COMPUTED_VALUE"""),1.0)</f>
        <v>1</v>
      </c>
      <c r="C2553" s="2">
        <f>IFERROR(__xludf.DUMMYFUNCTION("""COMPUTED_VALUE"""),662.0)</f>
        <v>662</v>
      </c>
      <c r="D2553" s="3">
        <f>IFERROR(__xludf.DUMMYFUNCTION("""COMPUTED_VALUE"""),104.0)</f>
        <v>104</v>
      </c>
      <c r="E2553" s="1" t="str">
        <f t="array" ref="E2553">_xlfn.XLOOKUP(A2553,Product!A:A,Product!B:B,"Bulunamadı")</f>
        <v>Law</v>
      </c>
      <c r="F2553" s="1" t="str">
        <f t="array" ref="F2553">_xlfn.XLOOKUP(A2553,Product!A:A,Product!C:C,"Bulunamadı")</f>
        <v>Swimming</v>
      </c>
      <c r="G2553" s="2" t="str">
        <f t="array" ref="G2553">_xlfn.XLOOKUP(A2554,Product!A:A,Product!D:D,"Bulunamadı")</f>
        <v>Cedarbridge Books</v>
      </c>
      <c r="H2553" s="2">
        <f t="array" ref="H2553">_xlfn.XLOOKUP(A2555,Product!A:A,Product!E:E,"Bulunamadı")</f>
        <v>1.18</v>
      </c>
      <c r="I2553" s="2" t="str">
        <f t="shared" si="1"/>
        <v>121950 - Law - Swimming</v>
      </c>
      <c r="J2553" s="2">
        <f t="shared" si="2"/>
        <v>122.72</v>
      </c>
      <c r="K2553" s="17">
        <f t="shared" si="3"/>
        <v>1</v>
      </c>
      <c r="L2553" s="18"/>
    </row>
    <row r="2554" hidden="1">
      <c r="A2554" s="2">
        <f>IFERROR(__xludf.DUMMYFUNCTION("""COMPUTED_VALUE"""),121811.0)</f>
        <v>121811</v>
      </c>
      <c r="B2554" s="2">
        <f>IFERROR(__xludf.DUMMYFUNCTION("""COMPUTED_VALUE"""),0.0)</f>
        <v>0</v>
      </c>
      <c r="C2554" s="2">
        <f>IFERROR(__xludf.DUMMYFUNCTION("""COMPUTED_VALUE"""),546.0)</f>
        <v>546</v>
      </c>
      <c r="D2554" s="3">
        <f>IFERROR(__xludf.DUMMYFUNCTION("""COMPUTED_VALUE"""),8.0)</f>
        <v>8</v>
      </c>
      <c r="E2554" s="1" t="str">
        <f t="array" ref="E2554">_xlfn.XLOOKUP(A2554,Product!A:A,Product!B:B,"Bulunamadı")</f>
        <v>Law</v>
      </c>
      <c r="F2554" s="1" t="str">
        <f t="array" ref="F2554">_xlfn.XLOOKUP(A2554,Product!A:A,Product!C:C,"Bulunamadı")</f>
        <v>Swimming</v>
      </c>
      <c r="G2554" s="2" t="str">
        <f t="array" ref="G2554">_xlfn.XLOOKUP(A2555,Product!A:A,Product!D:D,"Bulunamadı")</f>
        <v>Cedarbridge Books</v>
      </c>
      <c r="H2554" s="2">
        <f t="array" ref="H2554">_xlfn.XLOOKUP(A2556,Product!A:A,Product!E:E,"Bulunamadı")</f>
        <v>2.58</v>
      </c>
      <c r="I2554" s="2" t="str">
        <f t="shared" si="1"/>
        <v>121811 - Law - Swimming</v>
      </c>
      <c r="J2554" s="2">
        <f t="shared" si="2"/>
        <v>20.64</v>
      </c>
      <c r="K2554" s="17">
        <f t="shared" si="3"/>
        <v>1</v>
      </c>
      <c r="L2554" s="18"/>
    </row>
    <row r="2555" hidden="1">
      <c r="A2555" s="2">
        <f>IFERROR(__xludf.DUMMYFUNCTION("""COMPUTED_VALUE"""),86400.0)</f>
        <v>86400</v>
      </c>
      <c r="B2555" s="2">
        <f>IFERROR(__xludf.DUMMYFUNCTION("""COMPUTED_VALUE"""),1.0)</f>
        <v>1</v>
      </c>
      <c r="C2555" s="2">
        <f>IFERROR(__xludf.DUMMYFUNCTION("""COMPUTED_VALUE"""),272.0)</f>
        <v>272</v>
      </c>
      <c r="D2555" s="3">
        <f>IFERROR(__xludf.DUMMYFUNCTION("""COMPUTED_VALUE"""),44.0)</f>
        <v>44</v>
      </c>
      <c r="E2555" s="1" t="str">
        <f t="array" ref="E2555">_xlfn.XLOOKUP(A2555,Product!A:A,Product!B:B,"Bulunamadı")</f>
        <v>Law</v>
      </c>
      <c r="F2555" s="1" t="str">
        <f t="array" ref="F2555">_xlfn.XLOOKUP(A2555,Product!A:A,Product!C:C,"Bulunamadı")</f>
        <v>Swimming</v>
      </c>
      <c r="G2555" s="2" t="str">
        <f t="array" ref="G2555">_xlfn.XLOOKUP(A2556,Product!A:A,Product!D:D,"Bulunamadı")</f>
        <v>Cedarbridge Books</v>
      </c>
      <c r="H2555" s="2">
        <f t="array" ref="H2555">_xlfn.XLOOKUP(A2557,Product!A:A,Product!E:E,"Bulunamadı")</f>
        <v>1.73</v>
      </c>
      <c r="I2555" s="2" t="str">
        <f t="shared" si="1"/>
        <v>86400 - Law - Swimming</v>
      </c>
      <c r="J2555" s="2">
        <f t="shared" si="2"/>
        <v>76.12</v>
      </c>
      <c r="K2555" s="17">
        <f t="shared" si="3"/>
        <v>1</v>
      </c>
      <c r="L2555" s="18"/>
    </row>
    <row r="2556" hidden="1">
      <c r="A2556" s="2">
        <f>IFERROR(__xludf.DUMMYFUNCTION("""COMPUTED_VALUE"""),108527.0)</f>
        <v>108527</v>
      </c>
      <c r="B2556" s="2">
        <f>IFERROR(__xludf.DUMMYFUNCTION("""COMPUTED_VALUE"""),0.0)</f>
        <v>0</v>
      </c>
      <c r="C2556" s="2">
        <f>IFERROR(__xludf.DUMMYFUNCTION("""COMPUTED_VALUE"""),660.0)</f>
        <v>660</v>
      </c>
      <c r="D2556" s="3">
        <f>IFERROR(__xludf.DUMMYFUNCTION("""COMPUTED_VALUE"""),374.0)</f>
        <v>374</v>
      </c>
      <c r="E2556" s="1" t="str">
        <f t="array" ref="E2556">_xlfn.XLOOKUP(A2556,Product!A:A,Product!B:B,"Bulunamadı")</f>
        <v>Law</v>
      </c>
      <c r="F2556" s="1" t="str">
        <f t="array" ref="F2556">_xlfn.XLOOKUP(A2556,Product!A:A,Product!C:C,"Bulunamadı")</f>
        <v>Swimming</v>
      </c>
      <c r="G2556" s="2" t="str">
        <f t="array" ref="G2556">_xlfn.XLOOKUP(A2557,Product!A:A,Product!D:D,"Bulunamadı")</f>
        <v>Cedarbridge Books</v>
      </c>
      <c r="H2556" s="2">
        <f t="array" ref="H2556">_xlfn.XLOOKUP(A2558,Product!A:A,Product!E:E,"Bulunamadı")</f>
        <v>1.2</v>
      </c>
      <c r="I2556" s="2" t="str">
        <f t="shared" si="1"/>
        <v>108527 - Law - Swimming</v>
      </c>
      <c r="J2556" s="2">
        <f t="shared" si="2"/>
        <v>448.8</v>
      </c>
      <c r="K2556" s="17">
        <f t="shared" si="3"/>
        <v>1</v>
      </c>
      <c r="L2556" s="18"/>
    </row>
    <row r="2557" hidden="1">
      <c r="A2557" s="2">
        <f>IFERROR(__xludf.DUMMYFUNCTION("""COMPUTED_VALUE"""),88622.0)</f>
        <v>88622</v>
      </c>
      <c r="B2557" s="2">
        <f>IFERROR(__xludf.DUMMYFUNCTION("""COMPUTED_VALUE"""),1.0)</f>
        <v>1</v>
      </c>
      <c r="C2557" s="2">
        <f>IFERROR(__xludf.DUMMYFUNCTION("""COMPUTED_VALUE"""),516.0)</f>
        <v>516</v>
      </c>
      <c r="D2557" s="3">
        <f>IFERROR(__xludf.DUMMYFUNCTION("""COMPUTED_VALUE"""),24.0)</f>
        <v>24</v>
      </c>
      <c r="E2557" s="1" t="str">
        <f t="array" ref="E2557">_xlfn.XLOOKUP(A2557,Product!A:A,Product!B:B,"Bulunamadı")</f>
        <v>Law</v>
      </c>
      <c r="F2557" s="1" t="str">
        <f t="array" ref="F2557">_xlfn.XLOOKUP(A2557,Product!A:A,Product!C:C,"Bulunamadı")</f>
        <v>Swimming</v>
      </c>
      <c r="G2557" s="2" t="str">
        <f t="array" ref="G2557">_xlfn.XLOOKUP(A2558,Product!A:A,Product!D:D,"Bulunamadı")</f>
        <v>Cedarbridge Books</v>
      </c>
      <c r="H2557" s="2">
        <f t="array" ref="H2557">_xlfn.XLOOKUP(A2559,Product!A:A,Product!E:E,"Bulunamadı")</f>
        <v>1.63</v>
      </c>
      <c r="I2557" s="2" t="str">
        <f t="shared" si="1"/>
        <v>88622 - Law - Swimming</v>
      </c>
      <c r="J2557" s="2">
        <f t="shared" si="2"/>
        <v>39.12</v>
      </c>
      <c r="K2557" s="17">
        <f t="shared" si="3"/>
        <v>1</v>
      </c>
      <c r="L2557" s="18"/>
    </row>
    <row r="2558" hidden="1">
      <c r="A2558" s="2">
        <f>IFERROR(__xludf.DUMMYFUNCTION("""COMPUTED_VALUE"""),121803.0)</f>
        <v>121803</v>
      </c>
      <c r="B2558" s="2">
        <f>IFERROR(__xludf.DUMMYFUNCTION("""COMPUTED_VALUE"""),0.0)</f>
        <v>0</v>
      </c>
      <c r="C2558" s="2">
        <f>IFERROR(__xludf.DUMMYFUNCTION("""COMPUTED_VALUE"""),467.0)</f>
        <v>467</v>
      </c>
      <c r="D2558" s="3">
        <f>IFERROR(__xludf.DUMMYFUNCTION("""COMPUTED_VALUE"""),304.0)</f>
        <v>304</v>
      </c>
      <c r="E2558" s="1" t="str">
        <f t="array" ref="E2558">_xlfn.XLOOKUP(A2558,Product!A:A,Product!B:B,"Bulunamadı")</f>
        <v>Law</v>
      </c>
      <c r="F2558" s="1" t="str">
        <f t="array" ref="F2558">_xlfn.XLOOKUP(A2558,Product!A:A,Product!C:C,"Bulunamadı")</f>
        <v>Swimming</v>
      </c>
      <c r="G2558" s="2" t="str">
        <f t="array" ref="G2558">_xlfn.XLOOKUP(A2559,Product!A:A,Product!D:D,"Bulunamadı")</f>
        <v>Cedarbridge Books</v>
      </c>
      <c r="H2558" s="2">
        <f t="array" ref="H2558">_xlfn.XLOOKUP(A2560,Product!A:A,Product!E:E,"Bulunamadı")</f>
        <v>1.77</v>
      </c>
      <c r="I2558" s="2" t="str">
        <f t="shared" si="1"/>
        <v>121803 - Law - Swimming</v>
      </c>
      <c r="J2558" s="2">
        <f t="shared" si="2"/>
        <v>538.08</v>
      </c>
      <c r="K2558" s="17">
        <f t="shared" si="3"/>
        <v>1</v>
      </c>
      <c r="L2558" s="18"/>
    </row>
    <row r="2559" hidden="1">
      <c r="A2559" s="2">
        <f>IFERROR(__xludf.DUMMYFUNCTION("""COMPUTED_VALUE"""),87418.0)</f>
        <v>87418</v>
      </c>
      <c r="B2559" s="2">
        <f>IFERROR(__xludf.DUMMYFUNCTION("""COMPUTED_VALUE"""),1.0)</f>
        <v>1</v>
      </c>
      <c r="C2559" s="2">
        <f>IFERROR(__xludf.DUMMYFUNCTION("""COMPUTED_VALUE"""),787.0)</f>
        <v>787</v>
      </c>
      <c r="D2559" s="3">
        <f>IFERROR(__xludf.DUMMYFUNCTION("""COMPUTED_VALUE"""),380.0)</f>
        <v>380</v>
      </c>
      <c r="E2559" s="1" t="str">
        <f t="array" ref="E2559">_xlfn.XLOOKUP(A2559,Product!A:A,Product!B:B,"Bulunamadı")</f>
        <v>Law</v>
      </c>
      <c r="F2559" s="1" t="str">
        <f t="array" ref="F2559">_xlfn.XLOOKUP(A2559,Product!A:A,Product!C:C,"Bulunamadı")</f>
        <v>Swimming</v>
      </c>
      <c r="G2559" s="2" t="str">
        <f t="array" ref="G2559">_xlfn.XLOOKUP(A2560,Product!A:A,Product!D:D,"Bulunamadı")</f>
        <v>Cedarbridge Books</v>
      </c>
      <c r="H2559" s="2">
        <f t="array" ref="H2559">_xlfn.XLOOKUP(A2561,Product!A:A,Product!E:E,"Bulunamadı")</f>
        <v>2.24</v>
      </c>
      <c r="I2559" s="2" t="str">
        <f t="shared" si="1"/>
        <v>87418 - Law - Swimming</v>
      </c>
      <c r="J2559" s="2">
        <f t="shared" si="2"/>
        <v>851.2</v>
      </c>
      <c r="K2559" s="17">
        <f t="shared" si="3"/>
        <v>1</v>
      </c>
      <c r="L2559" s="18"/>
    </row>
    <row r="2560" hidden="1">
      <c r="A2560" s="2">
        <f>IFERROR(__xludf.DUMMYFUNCTION("""COMPUTED_VALUE"""),26275.0)</f>
        <v>26275</v>
      </c>
      <c r="B2560" s="2">
        <f>IFERROR(__xludf.DUMMYFUNCTION("""COMPUTED_VALUE"""),0.0)</f>
        <v>0</v>
      </c>
      <c r="C2560" s="2">
        <f>IFERROR(__xludf.DUMMYFUNCTION("""COMPUTED_VALUE"""),162.0)</f>
        <v>162</v>
      </c>
      <c r="D2560" s="3">
        <f>IFERROR(__xludf.DUMMYFUNCTION("""COMPUTED_VALUE"""),25.0)</f>
        <v>25</v>
      </c>
      <c r="E2560" s="1" t="str">
        <f t="array" ref="E2560">_xlfn.XLOOKUP(A2560,Product!A:A,Product!B:B,"Bulunamadı")</f>
        <v>Law</v>
      </c>
      <c r="F2560" s="1" t="str">
        <f t="array" ref="F2560">_xlfn.XLOOKUP(A2560,Product!A:A,Product!C:C,"Bulunamadı")</f>
        <v>Swimming</v>
      </c>
      <c r="G2560" s="2" t="str">
        <f t="array" ref="G2560">_xlfn.XLOOKUP(A2561,Product!A:A,Product!D:D,"Bulunamadı")</f>
        <v>Cedarbridge Books</v>
      </c>
      <c r="H2560" s="2">
        <f t="array" ref="H2560">_xlfn.XLOOKUP(A2562,Product!A:A,Product!E:E,"Bulunamadı")</f>
        <v>4.73</v>
      </c>
      <c r="I2560" s="2" t="str">
        <f t="shared" si="1"/>
        <v>26275 - Law - Swimming</v>
      </c>
      <c r="J2560" s="2">
        <f t="shared" si="2"/>
        <v>118.25</v>
      </c>
      <c r="K2560" s="17">
        <f t="shared" si="3"/>
        <v>1</v>
      </c>
      <c r="L2560" s="18"/>
    </row>
    <row r="2561" hidden="1">
      <c r="A2561" s="2">
        <f>IFERROR(__xludf.DUMMYFUNCTION("""COMPUTED_VALUE"""),119229.0)</f>
        <v>119229</v>
      </c>
      <c r="B2561" s="2">
        <f>IFERROR(__xludf.DUMMYFUNCTION("""COMPUTED_VALUE"""),1.0)</f>
        <v>1</v>
      </c>
      <c r="C2561" s="2">
        <f>IFERROR(__xludf.DUMMYFUNCTION("""COMPUTED_VALUE"""),230.0)</f>
        <v>230</v>
      </c>
      <c r="D2561" s="3">
        <f>IFERROR(__xludf.DUMMYFUNCTION("""COMPUTED_VALUE"""),108.0)</f>
        <v>108</v>
      </c>
      <c r="E2561" s="1" t="str">
        <f t="array" ref="E2561">_xlfn.XLOOKUP(A2561,Product!A:A,Product!B:B,"Bulunamadı")</f>
        <v>Law</v>
      </c>
      <c r="F2561" s="1" t="str">
        <f t="array" ref="F2561">_xlfn.XLOOKUP(A2561,Product!A:A,Product!C:C,"Bulunamadı")</f>
        <v>Swimming</v>
      </c>
      <c r="G2561" s="2" t="str">
        <f t="array" ref="G2561">_xlfn.XLOOKUP(A2562,Product!A:A,Product!D:D,"Bulunamadı")</f>
        <v>Cedarbridge Books</v>
      </c>
      <c r="H2561" s="2">
        <f t="array" ref="H2561">_xlfn.XLOOKUP(A2563,Product!A:A,Product!E:E,"Bulunamadı")</f>
        <v>1.37</v>
      </c>
      <c r="I2561" s="2" t="str">
        <f t="shared" si="1"/>
        <v>119229 - Law - Swimming</v>
      </c>
      <c r="J2561" s="2">
        <f t="shared" si="2"/>
        <v>147.96</v>
      </c>
      <c r="K2561" s="17">
        <f t="shared" si="3"/>
        <v>1</v>
      </c>
      <c r="L2561" s="18"/>
    </row>
    <row r="2562" hidden="1">
      <c r="A2562" s="2">
        <f>IFERROR(__xludf.DUMMYFUNCTION("""COMPUTED_VALUE"""),74881.0)</f>
        <v>74881</v>
      </c>
      <c r="B2562" s="2">
        <f>IFERROR(__xludf.DUMMYFUNCTION("""COMPUTED_VALUE"""),1.0)</f>
        <v>1</v>
      </c>
      <c r="C2562" s="2">
        <f>IFERROR(__xludf.DUMMYFUNCTION("""COMPUTED_VALUE"""),70.0)</f>
        <v>70</v>
      </c>
      <c r="D2562" s="3">
        <f>IFERROR(__xludf.DUMMYFUNCTION("""COMPUTED_VALUE"""),40.0)</f>
        <v>40</v>
      </c>
      <c r="E2562" s="1" t="str">
        <f t="array" ref="E2562">_xlfn.XLOOKUP(A2562,Product!A:A,Product!B:B,"Bulunamadı")</f>
        <v>Law</v>
      </c>
      <c r="F2562" s="1" t="str">
        <f t="array" ref="F2562">_xlfn.XLOOKUP(A2562,Product!A:A,Product!C:C,"Bulunamadı")</f>
        <v>Swimming</v>
      </c>
      <c r="G2562" s="2" t="str">
        <f t="array" ref="G2562">_xlfn.XLOOKUP(A2563,Product!A:A,Product!D:D,"Bulunamadı")</f>
        <v>Cedarbridge Books</v>
      </c>
      <c r="H2562" s="2">
        <f t="array" ref="H2562">_xlfn.XLOOKUP(A2564,Product!A:A,Product!E:E,"Bulunamadı")</f>
        <v>0.76</v>
      </c>
      <c r="I2562" s="2" t="str">
        <f t="shared" si="1"/>
        <v>74881 - Law - Swimming</v>
      </c>
      <c r="J2562" s="2">
        <f t="shared" si="2"/>
        <v>30.4</v>
      </c>
      <c r="K2562" s="17">
        <f t="shared" si="3"/>
        <v>1</v>
      </c>
      <c r="L2562" s="18"/>
    </row>
    <row r="2563" hidden="1">
      <c r="A2563" s="2">
        <f>IFERROR(__xludf.DUMMYFUNCTION("""COMPUTED_VALUE"""),86469.0)</f>
        <v>86469</v>
      </c>
      <c r="B2563" s="2">
        <f>IFERROR(__xludf.DUMMYFUNCTION("""COMPUTED_VALUE"""),1.0)</f>
        <v>1</v>
      </c>
      <c r="C2563" s="2">
        <f>IFERROR(__xludf.DUMMYFUNCTION("""COMPUTED_VALUE"""),56.0)</f>
        <v>56</v>
      </c>
      <c r="D2563" s="3">
        <f>IFERROR(__xludf.DUMMYFUNCTION("""COMPUTED_VALUE"""),27.0)</f>
        <v>27</v>
      </c>
      <c r="E2563" s="1" t="str">
        <f t="array" ref="E2563">_xlfn.XLOOKUP(A2563,Product!A:A,Product!B:B,"Bulunamadı")</f>
        <v>Law</v>
      </c>
      <c r="F2563" s="1" t="str">
        <f t="array" ref="F2563">_xlfn.XLOOKUP(A2563,Product!A:A,Product!C:C,"Bulunamadı")</f>
        <v>Swimming</v>
      </c>
      <c r="G2563" s="2" t="str">
        <f t="array" ref="G2563">_xlfn.XLOOKUP(A2564,Product!A:A,Product!D:D,"Bulunamadı")</f>
        <v>Cedarbridge Books</v>
      </c>
      <c r="H2563" s="2">
        <f t="array" ref="H2563">_xlfn.XLOOKUP(A2565,Product!A:A,Product!E:E,"Bulunamadı")</f>
        <v>1.25</v>
      </c>
      <c r="I2563" s="2" t="str">
        <f t="shared" si="1"/>
        <v>86469 - Law - Swimming</v>
      </c>
      <c r="J2563" s="2">
        <f t="shared" si="2"/>
        <v>33.75</v>
      </c>
      <c r="K2563" s="17">
        <f t="shared" si="3"/>
        <v>1</v>
      </c>
      <c r="L2563" s="18"/>
    </row>
    <row r="2564" hidden="1">
      <c r="A2564" s="2">
        <f>IFERROR(__xludf.DUMMYFUNCTION("""COMPUTED_VALUE"""),120798.0)</f>
        <v>120798</v>
      </c>
      <c r="B2564" s="2">
        <f>IFERROR(__xludf.DUMMYFUNCTION("""COMPUTED_VALUE"""),0.0)</f>
        <v>0</v>
      </c>
      <c r="C2564" s="2">
        <f>IFERROR(__xludf.DUMMYFUNCTION("""COMPUTED_VALUE"""),165.0)</f>
        <v>165</v>
      </c>
      <c r="D2564" s="3">
        <f>IFERROR(__xludf.DUMMYFUNCTION("""COMPUTED_VALUE"""),159.0)</f>
        <v>159</v>
      </c>
      <c r="E2564" s="1" t="str">
        <f t="array" ref="E2564">_xlfn.XLOOKUP(A2564,Product!A:A,Product!B:B,"Bulunamadı")</f>
        <v>Law</v>
      </c>
      <c r="F2564" s="1" t="str">
        <f t="array" ref="F2564">_xlfn.XLOOKUP(A2564,Product!A:A,Product!C:C,"Bulunamadı")</f>
        <v>Swimming</v>
      </c>
      <c r="G2564" s="2" t="str">
        <f t="array" ref="G2564">_xlfn.XLOOKUP(A2565,Product!A:A,Product!D:D,"Bulunamadı")</f>
        <v>Cedarbridge Books</v>
      </c>
      <c r="H2564" s="2">
        <f t="array" ref="H2564">_xlfn.XLOOKUP(A2566,Product!A:A,Product!E:E,"Bulunamadı")</f>
        <v>0.89</v>
      </c>
      <c r="I2564" s="2" t="str">
        <f t="shared" si="1"/>
        <v>120798 - Law - Swimming</v>
      </c>
      <c r="J2564" s="2">
        <f t="shared" si="2"/>
        <v>141.51</v>
      </c>
      <c r="K2564" s="17">
        <f t="shared" si="3"/>
        <v>1</v>
      </c>
      <c r="L2564" s="18"/>
    </row>
    <row r="2565" hidden="1">
      <c r="A2565" s="2">
        <f>IFERROR(__xludf.DUMMYFUNCTION("""COMPUTED_VALUE"""),86479.0)</f>
        <v>86479</v>
      </c>
      <c r="B2565" s="2">
        <f>IFERROR(__xludf.DUMMYFUNCTION("""COMPUTED_VALUE"""),0.0)</f>
        <v>0</v>
      </c>
      <c r="C2565" s="2">
        <f>IFERROR(__xludf.DUMMYFUNCTION("""COMPUTED_VALUE"""),850.0)</f>
        <v>850</v>
      </c>
      <c r="D2565" s="3">
        <f>IFERROR(__xludf.DUMMYFUNCTION("""COMPUTED_VALUE"""),25.0)</f>
        <v>25</v>
      </c>
      <c r="E2565" s="1" t="str">
        <f t="array" ref="E2565">_xlfn.XLOOKUP(A2565,Product!A:A,Product!B:B,"Bulunamadı")</f>
        <v>Law</v>
      </c>
      <c r="F2565" s="1" t="str">
        <f t="array" ref="F2565">_xlfn.XLOOKUP(A2565,Product!A:A,Product!C:C,"Bulunamadı")</f>
        <v>Swimming</v>
      </c>
      <c r="G2565" s="2" t="str">
        <f t="array" ref="G2565">_xlfn.XLOOKUP(A2566,Product!A:A,Product!D:D,"Bulunamadı")</f>
        <v>Cedarbridge Books</v>
      </c>
      <c r="H2565" s="2">
        <f t="array" ref="H2565">_xlfn.XLOOKUP(A2567,Product!A:A,Product!E:E,"Bulunamadı")</f>
        <v>0.52</v>
      </c>
      <c r="I2565" s="2" t="str">
        <f t="shared" si="1"/>
        <v>86479 - Law - Swimming</v>
      </c>
      <c r="J2565" s="2">
        <f t="shared" si="2"/>
        <v>13</v>
      </c>
      <c r="K2565" s="17">
        <f t="shared" si="3"/>
        <v>1</v>
      </c>
      <c r="L2565" s="18"/>
    </row>
    <row r="2566" hidden="1">
      <c r="A2566" s="2">
        <f>IFERROR(__xludf.DUMMYFUNCTION("""COMPUTED_VALUE"""),80411.0)</f>
        <v>80411</v>
      </c>
      <c r="B2566" s="2">
        <f>IFERROR(__xludf.DUMMYFUNCTION("""COMPUTED_VALUE"""),0.0)</f>
        <v>0</v>
      </c>
      <c r="C2566" s="2">
        <f>IFERROR(__xludf.DUMMYFUNCTION("""COMPUTED_VALUE"""),417.0)</f>
        <v>417</v>
      </c>
      <c r="D2566" s="3">
        <f>IFERROR(__xludf.DUMMYFUNCTION("""COMPUTED_VALUE"""),28.0)</f>
        <v>28</v>
      </c>
      <c r="E2566" s="1" t="str">
        <f t="array" ref="E2566">_xlfn.XLOOKUP(A2566,Product!A:A,Product!B:B,"Bulunamadı")</f>
        <v>Law</v>
      </c>
      <c r="F2566" s="1" t="str">
        <f t="array" ref="F2566">_xlfn.XLOOKUP(A2566,Product!A:A,Product!C:C,"Bulunamadı")</f>
        <v>Swimming</v>
      </c>
      <c r="G2566" s="2" t="str">
        <f t="array" ref="G2566">_xlfn.XLOOKUP(A2567,Product!A:A,Product!D:D,"Bulunamadı")</f>
        <v>Cedarbridge Books</v>
      </c>
      <c r="H2566" s="2">
        <f t="array" ref="H2566">_xlfn.XLOOKUP(A2568,Product!A:A,Product!E:E,"Bulunamadı")</f>
        <v>1.19</v>
      </c>
      <c r="I2566" s="2" t="str">
        <f t="shared" si="1"/>
        <v>80411 - Law - Swimming</v>
      </c>
      <c r="J2566" s="2">
        <f t="shared" si="2"/>
        <v>33.32</v>
      </c>
      <c r="K2566" s="17">
        <f t="shared" si="3"/>
        <v>1</v>
      </c>
      <c r="L2566" s="18"/>
    </row>
    <row r="2567" hidden="1">
      <c r="A2567" s="2">
        <f>IFERROR(__xludf.DUMMYFUNCTION("""COMPUTED_VALUE"""),120797.0)</f>
        <v>120797</v>
      </c>
      <c r="B2567" s="2">
        <f>IFERROR(__xludf.DUMMYFUNCTION("""COMPUTED_VALUE"""),0.0)</f>
        <v>0</v>
      </c>
      <c r="C2567" s="2">
        <f>IFERROR(__xludf.DUMMYFUNCTION("""COMPUTED_VALUE"""),43.0)</f>
        <v>43</v>
      </c>
      <c r="D2567" s="3">
        <f>IFERROR(__xludf.DUMMYFUNCTION("""COMPUTED_VALUE"""),1.0)</f>
        <v>1</v>
      </c>
      <c r="E2567" s="1" t="str">
        <f t="array" ref="E2567">_xlfn.XLOOKUP(A2567,Product!A:A,Product!B:B,"Bulunamadı")</f>
        <v>Law</v>
      </c>
      <c r="F2567" s="1" t="str">
        <f t="array" ref="F2567">_xlfn.XLOOKUP(A2567,Product!A:A,Product!C:C,"Bulunamadı")</f>
        <v>Swimming</v>
      </c>
      <c r="G2567" s="2" t="str">
        <f t="array" ref="G2567">_xlfn.XLOOKUP(A2568,Product!A:A,Product!D:D,"Bulunamadı")</f>
        <v>Cedarbridge Books</v>
      </c>
      <c r="H2567" s="2">
        <f t="array" ref="H2567">_xlfn.XLOOKUP(A2569,Product!A:A,Product!E:E,"Bulunamadı")</f>
        <v>1.27</v>
      </c>
      <c r="I2567" s="2" t="str">
        <f t="shared" si="1"/>
        <v>120797 - Law - Swimming</v>
      </c>
      <c r="J2567" s="2">
        <f t="shared" si="2"/>
        <v>1.27</v>
      </c>
      <c r="K2567" s="17">
        <f t="shared" si="3"/>
        <v>1</v>
      </c>
      <c r="L2567" s="18"/>
    </row>
    <row r="2568" hidden="1">
      <c r="A2568" s="2">
        <f>IFERROR(__xludf.DUMMYFUNCTION("""COMPUTED_VALUE"""),86480.0)</f>
        <v>86480</v>
      </c>
      <c r="B2568" s="2">
        <f>IFERROR(__xludf.DUMMYFUNCTION("""COMPUTED_VALUE"""),1.0)</f>
        <v>1</v>
      </c>
      <c r="C2568" s="2">
        <f>IFERROR(__xludf.DUMMYFUNCTION("""COMPUTED_VALUE"""),464.0)</f>
        <v>464</v>
      </c>
      <c r="D2568" s="3">
        <f>IFERROR(__xludf.DUMMYFUNCTION("""COMPUTED_VALUE"""),212.0)</f>
        <v>212</v>
      </c>
      <c r="E2568" s="1" t="str">
        <f t="array" ref="E2568">_xlfn.XLOOKUP(A2568,Product!A:A,Product!B:B,"Bulunamadı")</f>
        <v>Law</v>
      </c>
      <c r="F2568" s="1" t="str">
        <f t="array" ref="F2568">_xlfn.XLOOKUP(A2568,Product!A:A,Product!C:C,"Bulunamadı")</f>
        <v>Swimming</v>
      </c>
      <c r="G2568" s="2" t="str">
        <f t="array" ref="G2568">_xlfn.XLOOKUP(A2569,Product!A:A,Product!D:D,"Bulunamadı")</f>
        <v>Cedarbridge Books</v>
      </c>
      <c r="H2568" s="2">
        <f t="array" ref="H2568">_xlfn.XLOOKUP(A2570,Product!A:A,Product!E:E,"Bulunamadı")</f>
        <v>2.45</v>
      </c>
      <c r="I2568" s="2" t="str">
        <f t="shared" si="1"/>
        <v>86480 - Law - Swimming</v>
      </c>
      <c r="J2568" s="2">
        <f t="shared" si="2"/>
        <v>519.4</v>
      </c>
      <c r="K2568" s="17">
        <f t="shared" si="3"/>
        <v>1</v>
      </c>
      <c r="L2568" s="18"/>
    </row>
    <row r="2569" hidden="1">
      <c r="A2569" s="2">
        <f>IFERROR(__xludf.DUMMYFUNCTION("""COMPUTED_VALUE"""),86478.0)</f>
        <v>86478</v>
      </c>
      <c r="B2569" s="2">
        <f>IFERROR(__xludf.DUMMYFUNCTION("""COMPUTED_VALUE"""),1.0)</f>
        <v>1</v>
      </c>
      <c r="C2569" s="2">
        <f>IFERROR(__xludf.DUMMYFUNCTION("""COMPUTED_VALUE"""),35.0)</f>
        <v>35</v>
      </c>
      <c r="D2569" s="3">
        <f>IFERROR(__xludf.DUMMYFUNCTION("""COMPUTED_VALUE"""),8.0)</f>
        <v>8</v>
      </c>
      <c r="E2569" s="1" t="str">
        <f t="array" ref="E2569">_xlfn.XLOOKUP(A2569,Product!A:A,Product!B:B,"Bulunamadı")</f>
        <v>Law</v>
      </c>
      <c r="F2569" s="1" t="str">
        <f t="array" ref="F2569">_xlfn.XLOOKUP(A2569,Product!A:A,Product!C:C,"Bulunamadı")</f>
        <v>Swimming</v>
      </c>
      <c r="G2569" s="2" t="str">
        <f t="array" ref="G2569">_xlfn.XLOOKUP(A2570,Product!A:A,Product!D:D,"Bulunamadı")</f>
        <v>Cedarbridge Books</v>
      </c>
      <c r="H2569" s="2">
        <f t="array" ref="H2569">_xlfn.XLOOKUP(A2571,Product!A:A,Product!E:E,"Bulunamadı")</f>
        <v>1.17</v>
      </c>
      <c r="I2569" s="2" t="str">
        <f t="shared" si="1"/>
        <v>86478 - Law - Swimming</v>
      </c>
      <c r="J2569" s="2">
        <f t="shared" si="2"/>
        <v>9.36</v>
      </c>
      <c r="K2569" s="17">
        <f t="shared" si="3"/>
        <v>1</v>
      </c>
      <c r="L2569" s="18"/>
    </row>
    <row r="2570" hidden="1">
      <c r="A2570" s="2">
        <f>IFERROR(__xludf.DUMMYFUNCTION("""COMPUTED_VALUE"""),118887.0)</f>
        <v>118887</v>
      </c>
      <c r="B2570" s="2">
        <f>IFERROR(__xludf.DUMMYFUNCTION("""COMPUTED_VALUE"""),1.0)</f>
        <v>1</v>
      </c>
      <c r="C2570" s="2">
        <f>IFERROR(__xludf.DUMMYFUNCTION("""COMPUTED_VALUE"""),979.0)</f>
        <v>979</v>
      </c>
      <c r="D2570" s="3">
        <f>IFERROR(__xludf.DUMMYFUNCTION("""COMPUTED_VALUE"""),528.0)</f>
        <v>528</v>
      </c>
      <c r="E2570" s="1" t="str">
        <f t="array" ref="E2570">_xlfn.XLOOKUP(A2570,Product!A:A,Product!B:B,"Bulunamadı")</f>
        <v>Law</v>
      </c>
      <c r="F2570" s="1" t="str">
        <f t="array" ref="F2570">_xlfn.XLOOKUP(A2570,Product!A:A,Product!C:C,"Bulunamadı")</f>
        <v>Swimming</v>
      </c>
      <c r="G2570" s="2" t="str">
        <f t="array" ref="G2570">_xlfn.XLOOKUP(A2571,Product!A:A,Product!D:D,"Bulunamadı")</f>
        <v>Cedarbridge Books</v>
      </c>
      <c r="H2570" s="2">
        <f t="array" ref="H2570">_xlfn.XLOOKUP(A2572,Product!A:A,Product!E:E,"Bulunamadı")</f>
        <v>1.01</v>
      </c>
      <c r="I2570" s="2" t="str">
        <f t="shared" si="1"/>
        <v>118887 - Law - Swimming</v>
      </c>
      <c r="J2570" s="2">
        <f t="shared" si="2"/>
        <v>533.28</v>
      </c>
      <c r="K2570" s="17">
        <f t="shared" si="3"/>
        <v>1</v>
      </c>
      <c r="L2570" s="18"/>
    </row>
    <row r="2571" hidden="1">
      <c r="A2571" s="2">
        <f>IFERROR(__xludf.DUMMYFUNCTION("""COMPUTED_VALUE"""),121802.0)</f>
        <v>121802</v>
      </c>
      <c r="B2571" s="2">
        <f>IFERROR(__xludf.DUMMYFUNCTION("""COMPUTED_VALUE"""),0.0)</f>
        <v>0</v>
      </c>
      <c r="C2571" s="2">
        <f>IFERROR(__xludf.DUMMYFUNCTION("""COMPUTED_VALUE"""),634.0)</f>
        <v>634</v>
      </c>
      <c r="D2571" s="3">
        <f>IFERROR(__xludf.DUMMYFUNCTION("""COMPUTED_VALUE"""),547.0)</f>
        <v>547</v>
      </c>
      <c r="E2571" s="1" t="str">
        <f t="array" ref="E2571">_xlfn.XLOOKUP(A2571,Product!A:A,Product!B:B,"Bulunamadı")</f>
        <v>Law</v>
      </c>
      <c r="F2571" s="1" t="str">
        <f t="array" ref="F2571">_xlfn.XLOOKUP(A2571,Product!A:A,Product!C:C,"Bulunamadı")</f>
        <v>Swimming</v>
      </c>
      <c r="G2571" s="2" t="str">
        <f t="array" ref="G2571">_xlfn.XLOOKUP(A2572,Product!A:A,Product!D:D,"Bulunamadı")</f>
        <v>Cedarbridge Books</v>
      </c>
      <c r="H2571" s="2">
        <f t="array" ref="H2571">_xlfn.XLOOKUP(A2573,Product!A:A,Product!E:E,"Bulunamadı")</f>
        <v>1.26</v>
      </c>
      <c r="I2571" s="2" t="str">
        <f t="shared" si="1"/>
        <v>121802 - Law - Swimming</v>
      </c>
      <c r="J2571" s="2">
        <f t="shared" si="2"/>
        <v>689.22</v>
      </c>
      <c r="K2571" s="17">
        <f t="shared" si="3"/>
        <v>1</v>
      </c>
      <c r="L2571" s="18"/>
    </row>
    <row r="2572" hidden="1">
      <c r="A2572" s="2">
        <f>IFERROR(__xludf.DUMMYFUNCTION("""COMPUTED_VALUE"""),87440.0)</f>
        <v>87440</v>
      </c>
      <c r="B2572" s="2">
        <f>IFERROR(__xludf.DUMMYFUNCTION("""COMPUTED_VALUE"""),0.0)</f>
        <v>0</v>
      </c>
      <c r="C2572" s="2">
        <f>IFERROR(__xludf.DUMMYFUNCTION("""COMPUTED_VALUE"""),476.0)</f>
        <v>476</v>
      </c>
      <c r="D2572" s="3">
        <f>IFERROR(__xludf.DUMMYFUNCTION("""COMPUTED_VALUE"""),87.0)</f>
        <v>87</v>
      </c>
      <c r="E2572" s="1" t="str">
        <f t="array" ref="E2572">_xlfn.XLOOKUP(A2572,Product!A:A,Product!B:B,"Bulunamadı")</f>
        <v>Law</v>
      </c>
      <c r="F2572" s="1" t="str">
        <f t="array" ref="F2572">_xlfn.XLOOKUP(A2572,Product!A:A,Product!C:C,"Bulunamadı")</f>
        <v>Swimming</v>
      </c>
      <c r="G2572" s="2" t="str">
        <f t="array" ref="G2572">_xlfn.XLOOKUP(A2573,Product!A:A,Product!D:D,"Bulunamadı")</f>
        <v>Cedarbridge Books</v>
      </c>
      <c r="H2572" s="2">
        <f t="array" ref="H2572">_xlfn.XLOOKUP(A2574,Product!A:A,Product!E:E,"Bulunamadı")</f>
        <v>6.03</v>
      </c>
      <c r="I2572" s="2" t="str">
        <f t="shared" si="1"/>
        <v>87440 - Law - Swimming</v>
      </c>
      <c r="J2572" s="2">
        <f t="shared" si="2"/>
        <v>524.61</v>
      </c>
      <c r="K2572" s="17">
        <f t="shared" si="3"/>
        <v>1</v>
      </c>
      <c r="L2572" s="18"/>
    </row>
    <row r="2573" hidden="1">
      <c r="A2573" s="2">
        <f>IFERROR(__xludf.DUMMYFUNCTION("""COMPUTED_VALUE"""),86477.0)</f>
        <v>86477</v>
      </c>
      <c r="B2573" s="2">
        <f>IFERROR(__xludf.DUMMYFUNCTION("""COMPUTED_VALUE"""),0.0)</f>
        <v>0</v>
      </c>
      <c r="C2573" s="2">
        <f>IFERROR(__xludf.DUMMYFUNCTION("""COMPUTED_VALUE"""),39.0)</f>
        <v>39</v>
      </c>
      <c r="D2573" s="3">
        <f>IFERROR(__xludf.DUMMYFUNCTION("""COMPUTED_VALUE"""),8.0)</f>
        <v>8</v>
      </c>
      <c r="E2573" s="1" t="str">
        <f t="array" ref="E2573">_xlfn.XLOOKUP(A2573,Product!A:A,Product!B:B,"Bulunamadı")</f>
        <v>Law</v>
      </c>
      <c r="F2573" s="1" t="str">
        <f t="array" ref="F2573">_xlfn.XLOOKUP(A2573,Product!A:A,Product!C:C,"Bulunamadı")</f>
        <v>Swimming</v>
      </c>
      <c r="G2573" s="2" t="str">
        <f t="array" ref="G2573">_xlfn.XLOOKUP(A2574,Product!A:A,Product!D:D,"Bulunamadı")</f>
        <v>Cedarbridge Books</v>
      </c>
      <c r="H2573" s="2">
        <f t="array" ref="H2573">_xlfn.XLOOKUP(A2575,Product!A:A,Product!E:E,"Bulunamadı")</f>
        <v>1.6</v>
      </c>
      <c r="I2573" s="2" t="str">
        <f t="shared" si="1"/>
        <v>86477 - Law - Swimming</v>
      </c>
      <c r="J2573" s="2">
        <f t="shared" si="2"/>
        <v>12.8</v>
      </c>
      <c r="K2573" s="17">
        <f t="shared" si="3"/>
        <v>1</v>
      </c>
      <c r="L2573" s="18"/>
    </row>
    <row r="2574" hidden="1">
      <c r="A2574" s="2">
        <f>IFERROR(__xludf.DUMMYFUNCTION("""COMPUTED_VALUE"""),83059.0)</f>
        <v>83059</v>
      </c>
      <c r="B2574" s="2">
        <f>IFERROR(__xludf.DUMMYFUNCTION("""COMPUTED_VALUE"""),0.0)</f>
        <v>0</v>
      </c>
      <c r="C2574" s="2">
        <f>IFERROR(__xludf.DUMMYFUNCTION("""COMPUTED_VALUE"""),318.0)</f>
        <v>318</v>
      </c>
      <c r="D2574" s="3">
        <f>IFERROR(__xludf.DUMMYFUNCTION("""COMPUTED_VALUE"""),240.0)</f>
        <v>240</v>
      </c>
      <c r="E2574" s="1" t="str">
        <f t="array" ref="E2574">_xlfn.XLOOKUP(A2574,Product!A:A,Product!B:B,"Bulunamadı")</f>
        <v>Law</v>
      </c>
      <c r="F2574" s="1" t="str">
        <f t="array" ref="F2574">_xlfn.XLOOKUP(A2574,Product!A:A,Product!C:C,"Bulunamadı")</f>
        <v>Swimming</v>
      </c>
      <c r="G2574" s="2" t="str">
        <f t="array" ref="G2574">_xlfn.XLOOKUP(A2575,Product!A:A,Product!D:D,"Bulunamadı")</f>
        <v>Cedarbridge Books</v>
      </c>
      <c r="H2574" s="2">
        <f t="array" ref="H2574">_xlfn.XLOOKUP(A2576,Product!A:A,Product!E:E,"Bulunamadı")</f>
        <v>1.51</v>
      </c>
      <c r="I2574" s="2" t="str">
        <f t="shared" si="1"/>
        <v>83059 - Law - Swimming</v>
      </c>
      <c r="J2574" s="2">
        <f t="shared" si="2"/>
        <v>362.4</v>
      </c>
      <c r="K2574" s="17">
        <f t="shared" si="3"/>
        <v>1</v>
      </c>
      <c r="L2574" s="18"/>
    </row>
    <row r="2575" hidden="1">
      <c r="A2575" s="2">
        <f>IFERROR(__xludf.DUMMYFUNCTION("""COMPUTED_VALUE"""),86449.0)</f>
        <v>86449</v>
      </c>
      <c r="B2575" s="2">
        <f>IFERROR(__xludf.DUMMYFUNCTION("""COMPUTED_VALUE"""),1.0)</f>
        <v>1</v>
      </c>
      <c r="C2575" s="2">
        <f>IFERROR(__xludf.DUMMYFUNCTION("""COMPUTED_VALUE"""),17.0)</f>
        <v>17</v>
      </c>
      <c r="D2575" s="3">
        <f>IFERROR(__xludf.DUMMYFUNCTION("""COMPUTED_VALUE"""),4.0)</f>
        <v>4</v>
      </c>
      <c r="E2575" s="1" t="str">
        <f t="array" ref="E2575">_xlfn.XLOOKUP(A2575,Product!A:A,Product!B:B,"Bulunamadı")</f>
        <v>Law</v>
      </c>
      <c r="F2575" s="1" t="str">
        <f t="array" ref="F2575">_xlfn.XLOOKUP(A2575,Product!A:A,Product!C:C,"Bulunamadı")</f>
        <v>Swimming</v>
      </c>
      <c r="G2575" s="2" t="str">
        <f t="array" ref="G2575">_xlfn.XLOOKUP(A2576,Product!A:A,Product!D:D,"Bulunamadı")</f>
        <v>Cedarbridge Books</v>
      </c>
      <c r="H2575" s="2">
        <f t="array" ref="H2575">_xlfn.XLOOKUP(A2577,Product!A:A,Product!E:E,"Bulunamadı")</f>
        <v>10.3</v>
      </c>
      <c r="I2575" s="2" t="str">
        <f t="shared" si="1"/>
        <v>86449 - Law - Swimming</v>
      </c>
      <c r="J2575" s="2">
        <f t="shared" si="2"/>
        <v>41.2</v>
      </c>
      <c r="K2575" s="17">
        <f t="shared" si="3"/>
        <v>1</v>
      </c>
      <c r="L2575" s="18"/>
    </row>
    <row r="2576" hidden="1">
      <c r="A2576" s="2">
        <f>IFERROR(__xludf.DUMMYFUNCTION("""COMPUTED_VALUE"""),86416.0)</f>
        <v>86416</v>
      </c>
      <c r="B2576" s="2">
        <f>IFERROR(__xludf.DUMMYFUNCTION("""COMPUTED_VALUE"""),0.0)</f>
        <v>0</v>
      </c>
      <c r="C2576" s="2">
        <f>IFERROR(__xludf.DUMMYFUNCTION("""COMPUTED_VALUE"""),618.0)</f>
        <v>618</v>
      </c>
      <c r="D2576" s="3">
        <f>IFERROR(__xludf.DUMMYFUNCTION("""COMPUTED_VALUE"""),174.0)</f>
        <v>174</v>
      </c>
      <c r="E2576" s="1" t="str">
        <f t="array" ref="E2576">_xlfn.XLOOKUP(A2576,Product!A:A,Product!B:B,"Bulunamadı")</f>
        <v>Law</v>
      </c>
      <c r="F2576" s="1" t="str">
        <f t="array" ref="F2576">_xlfn.XLOOKUP(A2576,Product!A:A,Product!C:C,"Bulunamadı")</f>
        <v>Swimming</v>
      </c>
      <c r="G2576" s="2" t="str">
        <f t="array" ref="G2576">_xlfn.XLOOKUP(A2577,Product!A:A,Product!D:D,"Bulunamadı")</f>
        <v>Cedarbridge Books</v>
      </c>
      <c r="H2576" s="2">
        <f t="array" ref="H2576">_xlfn.XLOOKUP(A2578,Product!A:A,Product!E:E,"Bulunamadı")</f>
        <v>2.24</v>
      </c>
      <c r="I2576" s="2" t="str">
        <f t="shared" si="1"/>
        <v>86416 - Law - Swimming</v>
      </c>
      <c r="J2576" s="2">
        <f t="shared" si="2"/>
        <v>389.76</v>
      </c>
      <c r="K2576" s="17">
        <f t="shared" si="3"/>
        <v>1</v>
      </c>
      <c r="L2576" s="18"/>
    </row>
    <row r="2577" hidden="1">
      <c r="A2577" s="2">
        <f>IFERROR(__xludf.DUMMYFUNCTION("""COMPUTED_VALUE"""),83064.0)</f>
        <v>83064</v>
      </c>
      <c r="B2577" s="2">
        <f>IFERROR(__xludf.DUMMYFUNCTION("""COMPUTED_VALUE"""),0.0)</f>
        <v>0</v>
      </c>
      <c r="C2577" s="2">
        <f>IFERROR(__xludf.DUMMYFUNCTION("""COMPUTED_VALUE"""),20.0)</f>
        <v>20</v>
      </c>
      <c r="D2577" s="3">
        <f>IFERROR(__xludf.DUMMYFUNCTION("""COMPUTED_VALUE"""),1.0)</f>
        <v>1</v>
      </c>
      <c r="E2577" s="1" t="str">
        <f t="array" ref="E2577">_xlfn.XLOOKUP(A2577,Product!A:A,Product!B:B,"Bulunamadı")</f>
        <v>Law</v>
      </c>
      <c r="F2577" s="1" t="str">
        <f t="array" ref="F2577">_xlfn.XLOOKUP(A2577,Product!A:A,Product!C:C,"Bulunamadı")</f>
        <v>Swimming</v>
      </c>
      <c r="G2577" s="2" t="str">
        <f t="array" ref="G2577">_xlfn.XLOOKUP(A2578,Product!A:A,Product!D:D,"Bulunamadı")</f>
        <v>Cedarbridge Books</v>
      </c>
      <c r="H2577" s="2">
        <f t="array" ref="H2577">_xlfn.XLOOKUP(A2579,Product!A:A,Product!E:E,"Bulunamadı")</f>
        <v>3.32</v>
      </c>
      <c r="I2577" s="2" t="str">
        <f t="shared" si="1"/>
        <v>83064 - Law - Swimming</v>
      </c>
      <c r="J2577" s="2">
        <f t="shared" si="2"/>
        <v>3.32</v>
      </c>
      <c r="K2577" s="17">
        <f t="shared" si="3"/>
        <v>1</v>
      </c>
      <c r="L2577" s="18"/>
    </row>
    <row r="2578" hidden="1">
      <c r="A2578" s="2">
        <f>IFERROR(__xludf.DUMMYFUNCTION("""COMPUTED_VALUE"""),108514.0)</f>
        <v>108514</v>
      </c>
      <c r="B2578" s="2">
        <f>IFERROR(__xludf.DUMMYFUNCTION("""COMPUTED_VALUE"""),0.0)</f>
        <v>0</v>
      </c>
      <c r="C2578" s="2">
        <f>IFERROR(__xludf.DUMMYFUNCTION("""COMPUTED_VALUE"""),133.0)</f>
        <v>133</v>
      </c>
      <c r="D2578" s="3">
        <f>IFERROR(__xludf.DUMMYFUNCTION("""COMPUTED_VALUE"""),70.0)</f>
        <v>70</v>
      </c>
      <c r="E2578" s="1" t="str">
        <f t="array" ref="E2578">_xlfn.XLOOKUP(A2578,Product!A:A,Product!B:B,"Bulunamadı")</f>
        <v>Law</v>
      </c>
      <c r="F2578" s="1" t="str">
        <f t="array" ref="F2578">_xlfn.XLOOKUP(A2578,Product!A:A,Product!C:C,"Bulunamadı")</f>
        <v>Swimming</v>
      </c>
      <c r="G2578" s="2" t="str">
        <f t="array" ref="G2578">_xlfn.XLOOKUP(A2579,Product!A:A,Product!D:D,"Bulunamadı")</f>
        <v>Cedarbridge Books</v>
      </c>
      <c r="H2578" s="2">
        <f t="array" ref="H2578">_xlfn.XLOOKUP(A2580,Product!A:A,Product!E:E,"Bulunamadı")</f>
        <v>1.66</v>
      </c>
      <c r="I2578" s="2" t="str">
        <f t="shared" si="1"/>
        <v>108514 - Law - Swimming</v>
      </c>
      <c r="J2578" s="2">
        <f t="shared" si="2"/>
        <v>116.2</v>
      </c>
      <c r="K2578" s="17">
        <f t="shared" si="3"/>
        <v>1</v>
      </c>
      <c r="L2578" s="18"/>
    </row>
    <row r="2579" hidden="1">
      <c r="A2579" s="2">
        <f>IFERROR(__xludf.DUMMYFUNCTION("""COMPUTED_VALUE"""),86454.0)</f>
        <v>86454</v>
      </c>
      <c r="B2579" s="2">
        <f>IFERROR(__xludf.DUMMYFUNCTION("""COMPUTED_VALUE"""),0.0)</f>
        <v>0</v>
      </c>
      <c r="C2579" s="2">
        <f>IFERROR(__xludf.DUMMYFUNCTION("""COMPUTED_VALUE"""),108.0)</f>
        <v>108</v>
      </c>
      <c r="D2579" s="3">
        <f>IFERROR(__xludf.DUMMYFUNCTION("""COMPUTED_VALUE"""),99.0)</f>
        <v>99</v>
      </c>
      <c r="E2579" s="1" t="str">
        <f t="array" ref="E2579">_xlfn.XLOOKUP(A2579,Product!A:A,Product!B:B,"Bulunamadı")</f>
        <v>Law</v>
      </c>
      <c r="F2579" s="1" t="str">
        <f t="array" ref="F2579">_xlfn.XLOOKUP(A2579,Product!A:A,Product!C:C,"Bulunamadı")</f>
        <v>Swimming</v>
      </c>
      <c r="G2579" s="2" t="str">
        <f t="array" ref="G2579">_xlfn.XLOOKUP(A2580,Product!A:A,Product!D:D,"Bulunamadı")</f>
        <v>Cedarbridge Books</v>
      </c>
      <c r="H2579" s="2">
        <f t="array" ref="H2579">_xlfn.XLOOKUP(A2581,Product!A:A,Product!E:E,"Bulunamadı")</f>
        <v>6.09</v>
      </c>
      <c r="I2579" s="2" t="str">
        <f t="shared" si="1"/>
        <v>86454 - Law - Swimming</v>
      </c>
      <c r="J2579" s="2">
        <f t="shared" si="2"/>
        <v>602.91</v>
      </c>
      <c r="K2579" s="17">
        <f t="shared" si="3"/>
        <v>1</v>
      </c>
      <c r="L2579" s="18"/>
    </row>
    <row r="2580" hidden="1">
      <c r="A2580" s="2">
        <f>IFERROR(__xludf.DUMMYFUNCTION("""COMPUTED_VALUE"""),143238.0)</f>
        <v>143238</v>
      </c>
      <c r="B2580" s="2">
        <f>IFERROR(__xludf.DUMMYFUNCTION("""COMPUTED_VALUE"""),0.0)</f>
        <v>0</v>
      </c>
      <c r="C2580" s="2">
        <f>IFERROR(__xludf.DUMMYFUNCTION("""COMPUTED_VALUE"""),331.0)</f>
        <v>331</v>
      </c>
      <c r="D2580" s="3">
        <f>IFERROR(__xludf.DUMMYFUNCTION("""COMPUTED_VALUE"""),222.0)</f>
        <v>222</v>
      </c>
      <c r="E2580" s="1" t="str">
        <f t="array" ref="E2580">_xlfn.XLOOKUP(A2580,Product!A:A,Product!B:B,"Bulunamadı")</f>
        <v>Law</v>
      </c>
      <c r="F2580" s="1" t="str">
        <f t="array" ref="F2580">_xlfn.XLOOKUP(A2580,Product!A:A,Product!C:C,"Bulunamadı")</f>
        <v>Swimming</v>
      </c>
      <c r="G2580" s="2" t="str">
        <f t="array" ref="G2580">_xlfn.XLOOKUP(A2581,Product!A:A,Product!D:D,"Bulunamadı")</f>
        <v>Cedarbridge Books</v>
      </c>
      <c r="H2580" s="2">
        <f t="array" ref="H2580">_xlfn.XLOOKUP(A2582,Product!A:A,Product!E:E,"Bulunamadı")</f>
        <v>3.25</v>
      </c>
      <c r="I2580" s="2" t="str">
        <f t="shared" si="1"/>
        <v>143238 - Law - Swimming</v>
      </c>
      <c r="J2580" s="2">
        <f t="shared" si="2"/>
        <v>721.5</v>
      </c>
      <c r="K2580" s="17">
        <f t="shared" si="3"/>
        <v>1</v>
      </c>
      <c r="L2580" s="18"/>
    </row>
    <row r="2581" hidden="1">
      <c r="A2581" s="2">
        <f>IFERROR(__xludf.DUMMYFUNCTION("""COMPUTED_VALUE"""),107070.0)</f>
        <v>107070</v>
      </c>
      <c r="B2581" s="2">
        <f>IFERROR(__xludf.DUMMYFUNCTION("""COMPUTED_VALUE"""),0.0)</f>
        <v>0</v>
      </c>
      <c r="C2581" s="2">
        <f>IFERROR(__xludf.DUMMYFUNCTION("""COMPUTED_VALUE"""),934.0)</f>
        <v>934</v>
      </c>
      <c r="D2581" s="3">
        <f>IFERROR(__xludf.DUMMYFUNCTION("""COMPUTED_VALUE"""),930.0)</f>
        <v>930</v>
      </c>
      <c r="E2581" s="1" t="str">
        <f t="array" ref="E2581">_xlfn.XLOOKUP(A2581,Product!A:A,Product!B:B,"Bulunamadı")</f>
        <v>Law</v>
      </c>
      <c r="F2581" s="1" t="str">
        <f t="array" ref="F2581">_xlfn.XLOOKUP(A2581,Product!A:A,Product!C:C,"Bulunamadı")</f>
        <v>Swimming</v>
      </c>
      <c r="G2581" s="2" t="str">
        <f t="array" ref="G2581">_xlfn.XLOOKUP(A2582,Product!A:A,Product!D:D,"Bulunamadı")</f>
        <v>Cedarbridge Books</v>
      </c>
      <c r="H2581" s="2">
        <f t="array" ref="H2581">_xlfn.XLOOKUP(A2583,Product!A:A,Product!E:E,"Bulunamadı")</f>
        <v>2.17</v>
      </c>
      <c r="I2581" s="2" t="str">
        <f t="shared" si="1"/>
        <v>107070 - Law - Swimming</v>
      </c>
      <c r="J2581" s="2">
        <f t="shared" si="2"/>
        <v>2018.1</v>
      </c>
      <c r="K2581" s="17">
        <f t="shared" si="3"/>
        <v>1</v>
      </c>
      <c r="L2581" s="18"/>
    </row>
    <row r="2582" hidden="1">
      <c r="A2582" s="2">
        <f>IFERROR(__xludf.DUMMYFUNCTION("""COMPUTED_VALUE"""),114467.0)</f>
        <v>114467</v>
      </c>
      <c r="B2582" s="2">
        <f>IFERROR(__xludf.DUMMYFUNCTION("""COMPUTED_VALUE"""),1.0)</f>
        <v>1</v>
      </c>
      <c r="C2582" s="2">
        <f>IFERROR(__xludf.DUMMYFUNCTION("""COMPUTED_VALUE"""),233.0)</f>
        <v>233</v>
      </c>
      <c r="D2582" s="3">
        <f>IFERROR(__xludf.DUMMYFUNCTION("""COMPUTED_VALUE"""),58.0)</f>
        <v>58</v>
      </c>
      <c r="E2582" s="1" t="str">
        <f t="array" ref="E2582">_xlfn.XLOOKUP(A2582,Product!A:A,Product!B:B,"Bulunamadı")</f>
        <v>Law</v>
      </c>
      <c r="F2582" s="1" t="str">
        <f t="array" ref="F2582">_xlfn.XLOOKUP(A2582,Product!A:A,Product!C:C,"Bulunamadı")</f>
        <v>Swimming</v>
      </c>
      <c r="G2582" s="2" t="str">
        <f t="array" ref="G2582">_xlfn.XLOOKUP(A2583,Product!A:A,Product!D:D,"Bulunamadı")</f>
        <v>Cedarbridge Books</v>
      </c>
      <c r="H2582" s="2">
        <f t="array" ref="H2582">_xlfn.XLOOKUP(A2584,Product!A:A,Product!E:E,"Bulunamadı")</f>
        <v>1.62</v>
      </c>
      <c r="I2582" s="2" t="str">
        <f t="shared" si="1"/>
        <v>114467 - Law - Swimming</v>
      </c>
      <c r="J2582" s="2">
        <f t="shared" si="2"/>
        <v>93.96</v>
      </c>
      <c r="K2582" s="17">
        <f t="shared" si="3"/>
        <v>1</v>
      </c>
      <c r="L2582" s="18"/>
    </row>
    <row r="2583" hidden="1">
      <c r="A2583" s="2">
        <f>IFERROR(__xludf.DUMMYFUNCTION("""COMPUTED_VALUE"""),143237.0)</f>
        <v>143237</v>
      </c>
      <c r="B2583" s="2">
        <f>IFERROR(__xludf.DUMMYFUNCTION("""COMPUTED_VALUE"""),0.0)</f>
        <v>0</v>
      </c>
      <c r="C2583" s="2">
        <f>IFERROR(__xludf.DUMMYFUNCTION("""COMPUTED_VALUE"""),540.0)</f>
        <v>540</v>
      </c>
      <c r="D2583" s="3">
        <f>IFERROR(__xludf.DUMMYFUNCTION("""COMPUTED_VALUE"""),96.0)</f>
        <v>96</v>
      </c>
      <c r="E2583" s="1" t="str">
        <f t="array" ref="E2583">_xlfn.XLOOKUP(A2583,Product!A:A,Product!B:B,"Bulunamadı")</f>
        <v>Law</v>
      </c>
      <c r="F2583" s="1" t="str">
        <f t="array" ref="F2583">_xlfn.XLOOKUP(A2583,Product!A:A,Product!C:C,"Bulunamadı")</f>
        <v>Swimming</v>
      </c>
      <c r="G2583" s="2" t="str">
        <f t="array" ref="G2583">_xlfn.XLOOKUP(A2584,Product!A:A,Product!D:D,"Bulunamadı")</f>
        <v>Cedarbridge Books</v>
      </c>
      <c r="H2583" s="2">
        <f t="array" ref="H2583">_xlfn.XLOOKUP(A2585,Product!A:A,Product!E:E,"Bulunamadı")</f>
        <v>0.59</v>
      </c>
      <c r="I2583" s="2" t="str">
        <f t="shared" si="1"/>
        <v>143237 - Law - Swimming</v>
      </c>
      <c r="J2583" s="2">
        <f t="shared" si="2"/>
        <v>56.64</v>
      </c>
      <c r="K2583" s="17">
        <f t="shared" si="3"/>
        <v>1</v>
      </c>
      <c r="L2583" s="18"/>
    </row>
    <row r="2584" hidden="1">
      <c r="A2584" s="2">
        <f>IFERROR(__xludf.DUMMYFUNCTION("""COMPUTED_VALUE"""),86417.0)</f>
        <v>86417</v>
      </c>
      <c r="B2584" s="2">
        <f>IFERROR(__xludf.DUMMYFUNCTION("""COMPUTED_VALUE"""),1.0)</f>
        <v>1</v>
      </c>
      <c r="C2584" s="2">
        <f>IFERROR(__xludf.DUMMYFUNCTION("""COMPUTED_VALUE"""),305.0)</f>
        <v>305</v>
      </c>
      <c r="D2584" s="3">
        <f>IFERROR(__xludf.DUMMYFUNCTION("""COMPUTED_VALUE"""),261.0)</f>
        <v>261</v>
      </c>
      <c r="E2584" s="1" t="str">
        <f t="array" ref="E2584">_xlfn.XLOOKUP(A2584,Product!A:A,Product!B:B,"Bulunamadı")</f>
        <v>Law</v>
      </c>
      <c r="F2584" s="1" t="str">
        <f t="array" ref="F2584">_xlfn.XLOOKUP(A2584,Product!A:A,Product!C:C,"Bulunamadı")</f>
        <v>Swimming</v>
      </c>
      <c r="G2584" s="2" t="str">
        <f t="array" ref="G2584">_xlfn.XLOOKUP(A2585,Product!A:A,Product!D:D,"Bulunamadı")</f>
        <v>Cedarbridge Books</v>
      </c>
      <c r="H2584" s="2">
        <f t="array" ref="H2584">_xlfn.XLOOKUP(A2586,Product!A:A,Product!E:E,"Bulunamadı")</f>
        <v>1.63</v>
      </c>
      <c r="I2584" s="2" t="str">
        <f t="shared" si="1"/>
        <v>86417 - Law - Swimming</v>
      </c>
      <c r="J2584" s="2">
        <f t="shared" si="2"/>
        <v>425.43</v>
      </c>
      <c r="K2584" s="17">
        <f t="shared" si="3"/>
        <v>1</v>
      </c>
      <c r="L2584" s="18"/>
    </row>
    <row r="2585" hidden="1">
      <c r="A2585" s="2">
        <f>IFERROR(__xludf.DUMMYFUNCTION("""COMPUTED_VALUE"""),147317.0)</f>
        <v>147317</v>
      </c>
      <c r="B2585" s="2">
        <f>IFERROR(__xludf.DUMMYFUNCTION("""COMPUTED_VALUE"""),0.0)</f>
        <v>0</v>
      </c>
      <c r="C2585" s="2">
        <f>IFERROR(__xludf.DUMMYFUNCTION("""COMPUTED_VALUE"""),671.0)</f>
        <v>671</v>
      </c>
      <c r="D2585" s="3">
        <f>IFERROR(__xludf.DUMMYFUNCTION("""COMPUTED_VALUE"""),218.0)</f>
        <v>218</v>
      </c>
      <c r="E2585" s="1" t="str">
        <f t="array" ref="E2585">_xlfn.XLOOKUP(A2585,Product!A:A,Product!B:B,"Bulunamadı")</f>
        <v>Law</v>
      </c>
      <c r="F2585" s="1" t="str">
        <f t="array" ref="F2585">_xlfn.XLOOKUP(A2585,Product!A:A,Product!C:C,"Bulunamadı")</f>
        <v>Swimming</v>
      </c>
      <c r="G2585" s="2" t="str">
        <f t="array" ref="G2585">_xlfn.XLOOKUP(A2586,Product!A:A,Product!D:D,"Bulunamadı")</f>
        <v>Cedarbridge Books</v>
      </c>
      <c r="H2585" s="2">
        <f t="array" ref="H2585">_xlfn.XLOOKUP(A2587,Product!A:A,Product!E:E,"Bulunamadı")</f>
        <v>5.3</v>
      </c>
      <c r="I2585" s="2" t="str">
        <f t="shared" si="1"/>
        <v>147317 - Law - Swimming</v>
      </c>
      <c r="J2585" s="2">
        <f t="shared" si="2"/>
        <v>1155.4</v>
      </c>
      <c r="K2585" s="17">
        <f t="shared" si="3"/>
        <v>1</v>
      </c>
      <c r="L2585" s="18"/>
    </row>
    <row r="2586" hidden="1">
      <c r="A2586" s="2">
        <f>IFERROR(__xludf.DUMMYFUNCTION("""COMPUTED_VALUE"""),122177.0)</f>
        <v>122177</v>
      </c>
      <c r="B2586" s="2">
        <f>IFERROR(__xludf.DUMMYFUNCTION("""COMPUTED_VALUE"""),0.0)</f>
        <v>0</v>
      </c>
      <c r="C2586" s="2">
        <f>IFERROR(__xludf.DUMMYFUNCTION("""COMPUTED_VALUE"""),485.0)</f>
        <v>485</v>
      </c>
      <c r="D2586" s="3">
        <f>IFERROR(__xludf.DUMMYFUNCTION("""COMPUTED_VALUE"""),221.0)</f>
        <v>221</v>
      </c>
      <c r="E2586" s="1" t="str">
        <f t="array" ref="E2586">_xlfn.XLOOKUP(A2586,Product!A:A,Product!B:B,"Bulunamadı")</f>
        <v>Law</v>
      </c>
      <c r="F2586" s="1" t="str">
        <f t="array" ref="F2586">_xlfn.XLOOKUP(A2586,Product!A:A,Product!C:C,"Bulunamadı")</f>
        <v>Swimming</v>
      </c>
      <c r="G2586" s="2" t="str">
        <f t="array" ref="G2586">_xlfn.XLOOKUP(A2587,Product!A:A,Product!D:D,"Bulunamadı")</f>
        <v>Cedarbridge Books</v>
      </c>
      <c r="H2586" s="2">
        <f t="array" ref="H2586">_xlfn.XLOOKUP(A2588,Product!A:A,Product!E:E,"Bulunamadı")</f>
        <v>2.3</v>
      </c>
      <c r="I2586" s="2" t="str">
        <f t="shared" si="1"/>
        <v>122177 - Law - Swimming</v>
      </c>
      <c r="J2586" s="2">
        <f t="shared" si="2"/>
        <v>508.3</v>
      </c>
      <c r="K2586" s="17">
        <f t="shared" si="3"/>
        <v>1</v>
      </c>
      <c r="L2586" s="18"/>
    </row>
    <row r="2587" hidden="1">
      <c r="A2587" s="2">
        <f>IFERROR(__xludf.DUMMYFUNCTION("""COMPUTED_VALUE"""),114909.0)</f>
        <v>114909</v>
      </c>
      <c r="B2587" s="2">
        <f>IFERROR(__xludf.DUMMYFUNCTION("""COMPUTED_VALUE"""),0.0)</f>
        <v>0</v>
      </c>
      <c r="C2587" s="2">
        <f>IFERROR(__xludf.DUMMYFUNCTION("""COMPUTED_VALUE"""),960.0)</f>
        <v>960</v>
      </c>
      <c r="D2587" s="3">
        <f>IFERROR(__xludf.DUMMYFUNCTION("""COMPUTED_VALUE"""),76.0)</f>
        <v>76</v>
      </c>
      <c r="E2587" s="1" t="str">
        <f t="array" ref="E2587">_xlfn.XLOOKUP(A2587,Product!A:A,Product!B:B,"Bulunamadı")</f>
        <v>Law</v>
      </c>
      <c r="F2587" s="1" t="str">
        <f t="array" ref="F2587">_xlfn.XLOOKUP(A2587,Product!A:A,Product!C:C,"Bulunamadı")</f>
        <v>Swimming</v>
      </c>
      <c r="G2587" s="2" t="str">
        <f t="array" ref="G2587">_xlfn.XLOOKUP(A2588,Product!A:A,Product!D:D,"Bulunamadı")</f>
        <v>Cedarbridge Books</v>
      </c>
      <c r="H2587" s="2">
        <f t="array" ref="H2587">_xlfn.XLOOKUP(A2589,Product!A:A,Product!E:E,"Bulunamadı")</f>
        <v>2.29</v>
      </c>
      <c r="I2587" s="2" t="str">
        <f t="shared" si="1"/>
        <v>114909 - Law - Swimming</v>
      </c>
      <c r="J2587" s="2">
        <f t="shared" si="2"/>
        <v>174.04</v>
      </c>
      <c r="K2587" s="17">
        <f t="shared" si="3"/>
        <v>1</v>
      </c>
      <c r="L2587" s="18"/>
    </row>
    <row r="2588" hidden="1">
      <c r="A2588" s="2">
        <f>IFERROR(__xludf.DUMMYFUNCTION("""COMPUTED_VALUE"""),119230.0)</f>
        <v>119230</v>
      </c>
      <c r="B2588" s="2">
        <f>IFERROR(__xludf.DUMMYFUNCTION("""COMPUTED_VALUE"""),0.0)</f>
        <v>0</v>
      </c>
      <c r="C2588" s="2">
        <f>IFERROR(__xludf.DUMMYFUNCTION("""COMPUTED_VALUE"""),715.0)</f>
        <v>715</v>
      </c>
      <c r="D2588" s="3">
        <f>IFERROR(__xludf.DUMMYFUNCTION("""COMPUTED_VALUE"""),382.0)</f>
        <v>382</v>
      </c>
      <c r="E2588" s="1" t="str">
        <f t="array" ref="E2588">_xlfn.XLOOKUP(A2588,Product!A:A,Product!B:B,"Bulunamadı")</f>
        <v>Law</v>
      </c>
      <c r="F2588" s="1" t="str">
        <f t="array" ref="F2588">_xlfn.XLOOKUP(A2588,Product!A:A,Product!C:C,"Bulunamadı")</f>
        <v>Swimming</v>
      </c>
      <c r="G2588" s="2" t="str">
        <f t="array" ref="G2588">_xlfn.XLOOKUP(A2589,Product!A:A,Product!D:D,"Bulunamadı")</f>
        <v>Cedarbridge Books</v>
      </c>
      <c r="H2588" s="2">
        <f t="array" ref="H2588">_xlfn.XLOOKUP(A2590,Product!A:A,Product!E:E,"Bulunamadı")</f>
        <v>0.94</v>
      </c>
      <c r="I2588" s="2" t="str">
        <f t="shared" si="1"/>
        <v>119230 - Law - Swimming</v>
      </c>
      <c r="J2588" s="2">
        <f t="shared" si="2"/>
        <v>359.08</v>
      </c>
      <c r="K2588" s="17">
        <f t="shared" si="3"/>
        <v>1</v>
      </c>
      <c r="L2588" s="18"/>
    </row>
    <row r="2589" hidden="1">
      <c r="A2589" s="2">
        <f>IFERROR(__xludf.DUMMYFUNCTION("""COMPUTED_VALUE"""),107109.0)</f>
        <v>107109</v>
      </c>
      <c r="B2589" s="2">
        <f>IFERROR(__xludf.DUMMYFUNCTION("""COMPUTED_VALUE"""),0.0)</f>
        <v>0</v>
      </c>
      <c r="C2589" s="2">
        <f>IFERROR(__xludf.DUMMYFUNCTION("""COMPUTED_VALUE"""),779.0)</f>
        <v>779</v>
      </c>
      <c r="D2589" s="3">
        <f>IFERROR(__xludf.DUMMYFUNCTION("""COMPUTED_VALUE"""),76.0)</f>
        <v>76</v>
      </c>
      <c r="E2589" s="1" t="str">
        <f t="array" ref="E2589">_xlfn.XLOOKUP(A2589,Product!A:A,Product!B:B,"Bulunamadı")</f>
        <v>Law</v>
      </c>
      <c r="F2589" s="1" t="str">
        <f t="array" ref="F2589">_xlfn.XLOOKUP(A2589,Product!A:A,Product!C:C,"Bulunamadı")</f>
        <v>Swimming</v>
      </c>
      <c r="G2589" s="2" t="str">
        <f t="array" ref="G2589">_xlfn.XLOOKUP(A2590,Product!A:A,Product!D:D,"Bulunamadı")</f>
        <v>Cedarbridge Books</v>
      </c>
      <c r="H2589" s="2">
        <f t="array" ref="H2589">_xlfn.XLOOKUP(A2591,Product!A:A,Product!E:E,"Bulunamadı")</f>
        <v>1.89</v>
      </c>
      <c r="I2589" s="2" t="str">
        <f t="shared" si="1"/>
        <v>107109 - Law - Swimming</v>
      </c>
      <c r="J2589" s="2">
        <f t="shared" si="2"/>
        <v>143.64</v>
      </c>
      <c r="K2589" s="17">
        <f t="shared" si="3"/>
        <v>1</v>
      </c>
      <c r="L2589" s="18"/>
    </row>
    <row r="2590" hidden="1">
      <c r="A2590" s="2">
        <f>IFERROR(__xludf.DUMMYFUNCTION("""COMPUTED_VALUE"""),121461.0)</f>
        <v>121461</v>
      </c>
      <c r="B2590" s="2">
        <f>IFERROR(__xludf.DUMMYFUNCTION("""COMPUTED_VALUE"""),0.0)</f>
        <v>0</v>
      </c>
      <c r="C2590" s="2">
        <f>IFERROR(__xludf.DUMMYFUNCTION("""COMPUTED_VALUE"""),551.0)</f>
        <v>551</v>
      </c>
      <c r="D2590" s="3">
        <f>IFERROR(__xludf.DUMMYFUNCTION("""COMPUTED_VALUE"""),62.0)</f>
        <v>62</v>
      </c>
      <c r="E2590" s="1" t="str">
        <f t="array" ref="E2590">_xlfn.XLOOKUP(A2590,Product!A:A,Product!B:B,"Bulunamadı")</f>
        <v>Law</v>
      </c>
      <c r="F2590" s="1" t="str">
        <f t="array" ref="F2590">_xlfn.XLOOKUP(A2590,Product!A:A,Product!C:C,"Bulunamadı")</f>
        <v>Swimming</v>
      </c>
      <c r="G2590" s="2" t="str">
        <f t="array" ref="G2590">_xlfn.XLOOKUP(A2591,Product!A:A,Product!D:D,"Bulunamadı")</f>
        <v>Cedarbridge Books</v>
      </c>
      <c r="H2590" s="2">
        <f t="array" ref="H2590">_xlfn.XLOOKUP(A2592,Product!A:A,Product!E:E,"Bulunamadı")</f>
        <v>2.16</v>
      </c>
      <c r="I2590" s="2" t="str">
        <f t="shared" si="1"/>
        <v>121461 - Law - Swimming</v>
      </c>
      <c r="J2590" s="2">
        <f t="shared" si="2"/>
        <v>133.92</v>
      </c>
      <c r="K2590" s="17">
        <f t="shared" si="3"/>
        <v>1</v>
      </c>
      <c r="L2590" s="18"/>
    </row>
    <row r="2591" hidden="1">
      <c r="A2591" s="2">
        <f>IFERROR(__xludf.DUMMYFUNCTION("""COMPUTED_VALUE"""),86413.0)</f>
        <v>86413</v>
      </c>
      <c r="B2591" s="2">
        <f>IFERROR(__xludf.DUMMYFUNCTION("""COMPUTED_VALUE"""),1.0)</f>
        <v>1</v>
      </c>
      <c r="C2591" s="2">
        <f>IFERROR(__xludf.DUMMYFUNCTION("""COMPUTED_VALUE"""),665.0)</f>
        <v>665</v>
      </c>
      <c r="D2591" s="3">
        <f>IFERROR(__xludf.DUMMYFUNCTION("""COMPUTED_VALUE"""),299.0)</f>
        <v>299</v>
      </c>
      <c r="E2591" s="1" t="str">
        <f t="array" ref="E2591">_xlfn.XLOOKUP(A2591,Product!A:A,Product!B:B,"Bulunamadı")</f>
        <v>Law</v>
      </c>
      <c r="F2591" s="1" t="str">
        <f t="array" ref="F2591">_xlfn.XLOOKUP(A2591,Product!A:A,Product!C:C,"Bulunamadı")</f>
        <v>Swimming</v>
      </c>
      <c r="G2591" s="2" t="str">
        <f t="array" ref="G2591">_xlfn.XLOOKUP(A2592,Product!A:A,Product!D:D,"Bulunamadı")</f>
        <v>Cedarbridge Books</v>
      </c>
      <c r="H2591" s="2">
        <f t="array" ref="H2591">_xlfn.XLOOKUP(A2593,Product!A:A,Product!E:E,"Bulunamadı")</f>
        <v>2.05</v>
      </c>
      <c r="I2591" s="2" t="str">
        <f t="shared" si="1"/>
        <v>86413 - Law - Swimming</v>
      </c>
      <c r="J2591" s="2">
        <f t="shared" si="2"/>
        <v>612.95</v>
      </c>
      <c r="K2591" s="17">
        <f t="shared" si="3"/>
        <v>1</v>
      </c>
      <c r="L2591" s="18"/>
    </row>
    <row r="2592" hidden="1">
      <c r="A2592" s="2">
        <f>IFERROR(__xludf.DUMMYFUNCTION("""COMPUTED_VALUE"""),108511.0)</f>
        <v>108511</v>
      </c>
      <c r="B2592" s="2">
        <f>IFERROR(__xludf.DUMMYFUNCTION("""COMPUTED_VALUE"""),1.0)</f>
        <v>1</v>
      </c>
      <c r="C2592" s="2">
        <f>IFERROR(__xludf.DUMMYFUNCTION("""COMPUTED_VALUE"""),134.0)</f>
        <v>134</v>
      </c>
      <c r="D2592" s="3">
        <f>IFERROR(__xludf.DUMMYFUNCTION("""COMPUTED_VALUE"""),92.0)</f>
        <v>92</v>
      </c>
      <c r="E2592" s="1" t="str">
        <f t="array" ref="E2592">_xlfn.XLOOKUP(A2592,Product!A:A,Product!B:B,"Bulunamadı")</f>
        <v>Law</v>
      </c>
      <c r="F2592" s="1" t="str">
        <f t="array" ref="F2592">_xlfn.XLOOKUP(A2592,Product!A:A,Product!C:C,"Bulunamadı")</f>
        <v>Swimming</v>
      </c>
      <c r="G2592" s="2" t="str">
        <f t="array" ref="G2592">_xlfn.XLOOKUP(A2593,Product!A:A,Product!D:D,"Bulunamadı")</f>
        <v>Cedarbridge Books</v>
      </c>
      <c r="H2592" s="2">
        <f t="array" ref="H2592">_xlfn.XLOOKUP(A2594,Product!A:A,Product!E:E,"Bulunamadı")</f>
        <v>2.01</v>
      </c>
      <c r="I2592" s="2" t="str">
        <f t="shared" si="1"/>
        <v>108511 - Law - Swimming</v>
      </c>
      <c r="J2592" s="2">
        <f t="shared" si="2"/>
        <v>184.92</v>
      </c>
      <c r="K2592" s="17">
        <f t="shared" si="3"/>
        <v>1</v>
      </c>
      <c r="L2592" s="18"/>
    </row>
    <row r="2593" hidden="1">
      <c r="A2593" s="2">
        <f>IFERROR(__xludf.DUMMYFUNCTION("""COMPUTED_VALUE"""),120877.0)</f>
        <v>120877</v>
      </c>
      <c r="B2593" s="2">
        <f>IFERROR(__xludf.DUMMYFUNCTION("""COMPUTED_VALUE"""),1.0)</f>
        <v>1</v>
      </c>
      <c r="C2593" s="2">
        <f>IFERROR(__xludf.DUMMYFUNCTION("""COMPUTED_VALUE"""),579.0)</f>
        <v>579</v>
      </c>
      <c r="D2593" s="3">
        <f>IFERROR(__xludf.DUMMYFUNCTION("""COMPUTED_VALUE"""),564.0)</f>
        <v>564</v>
      </c>
      <c r="E2593" s="1" t="str">
        <f t="array" ref="E2593">_xlfn.XLOOKUP(A2593,Product!A:A,Product!B:B,"Bulunamadı")</f>
        <v>Law</v>
      </c>
      <c r="F2593" s="1" t="str">
        <f t="array" ref="F2593">_xlfn.XLOOKUP(A2593,Product!A:A,Product!C:C,"Bulunamadı")</f>
        <v>Swimming</v>
      </c>
      <c r="G2593" s="2" t="str">
        <f t="array" ref="G2593">_xlfn.XLOOKUP(A2594,Product!A:A,Product!D:D,"Bulunamadı")</f>
        <v>Cedarbridge Books</v>
      </c>
      <c r="H2593" s="2">
        <f t="array" ref="H2593">_xlfn.XLOOKUP(A2595,Product!A:A,Product!E:E,"Bulunamadı")</f>
        <v>1.98</v>
      </c>
      <c r="I2593" s="2" t="str">
        <f t="shared" si="1"/>
        <v>120877 - Law - Swimming</v>
      </c>
      <c r="J2593" s="2">
        <f t="shared" si="2"/>
        <v>1116.72</v>
      </c>
      <c r="K2593" s="17">
        <f t="shared" si="3"/>
        <v>1</v>
      </c>
      <c r="L2593" s="18"/>
    </row>
    <row r="2594" hidden="1">
      <c r="A2594" s="2">
        <f>IFERROR(__xludf.DUMMYFUNCTION("""COMPUTED_VALUE"""),194052.0)</f>
        <v>194052</v>
      </c>
      <c r="B2594" s="2">
        <f>IFERROR(__xludf.DUMMYFUNCTION("""COMPUTED_VALUE"""),0.0)</f>
        <v>0</v>
      </c>
      <c r="C2594" s="2">
        <f>IFERROR(__xludf.DUMMYFUNCTION("""COMPUTED_VALUE"""),848.0)</f>
        <v>848</v>
      </c>
      <c r="D2594" s="3">
        <f>IFERROR(__xludf.DUMMYFUNCTION("""COMPUTED_VALUE"""),259.0)</f>
        <v>259</v>
      </c>
      <c r="E2594" s="1" t="str">
        <f t="array" ref="E2594">_xlfn.XLOOKUP(A2594,Product!A:A,Product!B:B,"Bulunamadı")</f>
        <v>Law</v>
      </c>
      <c r="F2594" s="1" t="str">
        <f t="array" ref="F2594">_xlfn.XLOOKUP(A2594,Product!A:A,Product!C:C,"Bulunamadı")</f>
        <v>Swimming</v>
      </c>
      <c r="G2594" s="2" t="str">
        <f t="array" ref="G2594">_xlfn.XLOOKUP(A2595,Product!A:A,Product!D:D,"Bulunamadı")</f>
        <v>Cedarbridge Books</v>
      </c>
      <c r="H2594" s="2">
        <f t="array" ref="H2594">_xlfn.XLOOKUP(A2596,Product!A:A,Product!E:E,"Bulunamadı")</f>
        <v>1.3</v>
      </c>
      <c r="I2594" s="2" t="str">
        <f t="shared" si="1"/>
        <v>194052 - Law - Swimming</v>
      </c>
      <c r="J2594" s="2">
        <f t="shared" si="2"/>
        <v>336.7</v>
      </c>
      <c r="K2594" s="17">
        <f t="shared" si="3"/>
        <v>1</v>
      </c>
      <c r="L2594" s="18"/>
    </row>
    <row r="2595" hidden="1">
      <c r="A2595" s="2">
        <f>IFERROR(__xludf.DUMMYFUNCTION("""COMPUTED_VALUE"""),121493.0)</f>
        <v>121493</v>
      </c>
      <c r="B2595" s="2">
        <f>IFERROR(__xludf.DUMMYFUNCTION("""COMPUTED_VALUE"""),1.0)</f>
        <v>1</v>
      </c>
      <c r="C2595" s="2">
        <f>IFERROR(__xludf.DUMMYFUNCTION("""COMPUTED_VALUE"""),405.0)</f>
        <v>405</v>
      </c>
      <c r="D2595" s="3">
        <f>IFERROR(__xludf.DUMMYFUNCTION("""COMPUTED_VALUE"""),350.0)</f>
        <v>350</v>
      </c>
      <c r="E2595" s="1" t="str">
        <f t="array" ref="E2595">_xlfn.XLOOKUP(A2595,Product!A:A,Product!B:B,"Bulunamadı")</f>
        <v>Law</v>
      </c>
      <c r="F2595" s="1" t="str">
        <f t="array" ref="F2595">_xlfn.XLOOKUP(A2595,Product!A:A,Product!C:C,"Bulunamadı")</f>
        <v>Swimming</v>
      </c>
      <c r="G2595" s="2" t="str">
        <f t="array" ref="G2595">_xlfn.XLOOKUP(A2596,Product!A:A,Product!D:D,"Bulunamadı")</f>
        <v>Cedarbridge Books</v>
      </c>
      <c r="H2595" s="2">
        <f t="array" ref="H2595">_xlfn.XLOOKUP(A2597,Product!A:A,Product!E:E,"Bulunamadı")</f>
        <v>1.19</v>
      </c>
      <c r="I2595" s="2" t="str">
        <f t="shared" si="1"/>
        <v>121493 - Law - Swimming</v>
      </c>
      <c r="J2595" s="2">
        <f t="shared" si="2"/>
        <v>416.5</v>
      </c>
      <c r="K2595" s="17">
        <f t="shared" si="3"/>
        <v>1</v>
      </c>
      <c r="L2595" s="18"/>
    </row>
    <row r="2596" hidden="1">
      <c r="A2596" s="2">
        <f>IFERROR(__xludf.DUMMYFUNCTION("""COMPUTED_VALUE"""),121479.0)</f>
        <v>121479</v>
      </c>
      <c r="B2596" s="2">
        <f>IFERROR(__xludf.DUMMYFUNCTION("""COMPUTED_VALUE"""),1.0)</f>
        <v>1</v>
      </c>
      <c r="C2596" s="2">
        <f>IFERROR(__xludf.DUMMYFUNCTION("""COMPUTED_VALUE"""),407.0)</f>
        <v>407</v>
      </c>
      <c r="D2596" s="3">
        <f>IFERROR(__xludf.DUMMYFUNCTION("""COMPUTED_VALUE"""),101.0)</f>
        <v>101</v>
      </c>
      <c r="E2596" s="1" t="str">
        <f t="array" ref="E2596">_xlfn.XLOOKUP(A2596,Product!A:A,Product!B:B,"Bulunamadı")</f>
        <v>Law</v>
      </c>
      <c r="F2596" s="1" t="str">
        <f t="array" ref="F2596">_xlfn.XLOOKUP(A2596,Product!A:A,Product!C:C,"Bulunamadı")</f>
        <v>Swimming</v>
      </c>
      <c r="G2596" s="2" t="str">
        <f t="array" ref="G2596">_xlfn.XLOOKUP(A2597,Product!A:A,Product!D:D,"Bulunamadı")</f>
        <v>Cedarbridge Books</v>
      </c>
      <c r="H2596" s="2">
        <f t="array" ref="H2596">_xlfn.XLOOKUP(A2598,Product!A:A,Product!E:E,"Bulunamadı")</f>
        <v>1.05</v>
      </c>
      <c r="I2596" s="2" t="str">
        <f t="shared" si="1"/>
        <v>121479 - Law - Swimming</v>
      </c>
      <c r="J2596" s="2">
        <f t="shared" si="2"/>
        <v>106.05</v>
      </c>
      <c r="K2596" s="17">
        <f t="shared" si="3"/>
        <v>1</v>
      </c>
      <c r="L2596" s="18"/>
    </row>
    <row r="2597" hidden="1">
      <c r="A2597" s="2">
        <f>IFERROR(__xludf.DUMMYFUNCTION("""COMPUTED_VALUE"""),79011.0)</f>
        <v>79011</v>
      </c>
      <c r="B2597" s="2">
        <f>IFERROR(__xludf.DUMMYFUNCTION("""COMPUTED_VALUE"""),1.0)</f>
        <v>1</v>
      </c>
      <c r="C2597" s="2">
        <f>IFERROR(__xludf.DUMMYFUNCTION("""COMPUTED_VALUE"""),916.0)</f>
        <v>916</v>
      </c>
      <c r="D2597" s="3">
        <f>IFERROR(__xludf.DUMMYFUNCTION("""COMPUTED_VALUE"""),731.0)</f>
        <v>731</v>
      </c>
      <c r="E2597" s="1" t="str">
        <f t="array" ref="E2597">_xlfn.XLOOKUP(A2597,Product!A:A,Product!B:B,"Bulunamadı")</f>
        <v>Law</v>
      </c>
      <c r="F2597" s="1" t="str">
        <f t="array" ref="F2597">_xlfn.XLOOKUP(A2597,Product!A:A,Product!C:C,"Bulunamadı")</f>
        <v>Swimming</v>
      </c>
      <c r="G2597" s="2" t="str">
        <f t="array" ref="G2597">_xlfn.XLOOKUP(A2598,Product!A:A,Product!D:D,"Bulunamadı")</f>
        <v>Cedarbridge Books</v>
      </c>
      <c r="H2597" s="2">
        <f t="array" ref="H2597">_xlfn.XLOOKUP(A2599,Product!A:A,Product!E:E,"Bulunamadı")</f>
        <v>3.15</v>
      </c>
      <c r="I2597" s="2" t="str">
        <f t="shared" si="1"/>
        <v>79011 - Law - Swimming</v>
      </c>
      <c r="J2597" s="2">
        <f t="shared" si="2"/>
        <v>2302.65</v>
      </c>
      <c r="K2597" s="17">
        <f t="shared" si="3"/>
        <v>1</v>
      </c>
      <c r="L2597" s="18"/>
    </row>
    <row r="2598" hidden="1">
      <c r="A2598" s="2">
        <f>IFERROR(__xludf.DUMMYFUNCTION("""COMPUTED_VALUE"""),86470.0)</f>
        <v>86470</v>
      </c>
      <c r="B2598" s="2">
        <f>IFERROR(__xludf.DUMMYFUNCTION("""COMPUTED_VALUE"""),1.0)</f>
        <v>1</v>
      </c>
      <c r="C2598" s="2">
        <f>IFERROR(__xludf.DUMMYFUNCTION("""COMPUTED_VALUE"""),46.0)</f>
        <v>46</v>
      </c>
      <c r="D2598" s="3">
        <f>IFERROR(__xludf.DUMMYFUNCTION("""COMPUTED_VALUE"""),45.0)</f>
        <v>45</v>
      </c>
      <c r="E2598" s="1" t="str">
        <f t="array" ref="E2598">_xlfn.XLOOKUP(A2598,Product!A:A,Product!B:B,"Bulunamadı")</f>
        <v>Law</v>
      </c>
      <c r="F2598" s="1" t="str">
        <f t="array" ref="F2598">_xlfn.XLOOKUP(A2598,Product!A:A,Product!C:C,"Bulunamadı")</f>
        <v>Swimming</v>
      </c>
      <c r="G2598" s="2" t="str">
        <f t="array" ref="G2598">_xlfn.XLOOKUP(A2599,Product!A:A,Product!D:D,"Bulunamadı")</f>
        <v>Cedarbridge Books</v>
      </c>
      <c r="H2598" s="2">
        <f t="array" ref="H2598">_xlfn.XLOOKUP(A2600,Product!A:A,Product!E:E,"Bulunamadı")</f>
        <v>4.47</v>
      </c>
      <c r="I2598" s="2" t="str">
        <f t="shared" si="1"/>
        <v>86470 - Law - Swimming</v>
      </c>
      <c r="J2598" s="2">
        <f t="shared" si="2"/>
        <v>201.15</v>
      </c>
      <c r="K2598" s="17">
        <f t="shared" si="3"/>
        <v>1</v>
      </c>
      <c r="L2598" s="18"/>
    </row>
    <row r="2599" hidden="1">
      <c r="A2599" s="2">
        <f>IFERROR(__xludf.DUMMYFUNCTION("""COMPUTED_VALUE"""),194997.0)</f>
        <v>194997</v>
      </c>
      <c r="B2599" s="2">
        <f>IFERROR(__xludf.DUMMYFUNCTION("""COMPUTED_VALUE"""),0.0)</f>
        <v>0</v>
      </c>
      <c r="C2599" s="2">
        <f>IFERROR(__xludf.DUMMYFUNCTION("""COMPUTED_VALUE"""),529.0)</f>
        <v>529</v>
      </c>
      <c r="D2599" s="3">
        <f>IFERROR(__xludf.DUMMYFUNCTION("""COMPUTED_VALUE"""),244.0)</f>
        <v>244</v>
      </c>
      <c r="E2599" s="1" t="str">
        <f t="array" ref="E2599">_xlfn.XLOOKUP(A2599,Product!A:A,Product!B:B,"Bulunamadı")</f>
        <v>Law</v>
      </c>
      <c r="F2599" s="1" t="str">
        <f t="array" ref="F2599">_xlfn.XLOOKUP(A2599,Product!A:A,Product!C:C,"Bulunamadı")</f>
        <v>Swimming</v>
      </c>
      <c r="G2599" s="2" t="str">
        <f t="array" ref="G2599">_xlfn.XLOOKUP(A2600,Product!A:A,Product!D:D,"Bulunamadı")</f>
        <v>Cedarbridge Books</v>
      </c>
      <c r="H2599" s="2">
        <f t="array" ref="H2599">_xlfn.XLOOKUP(A2601,Product!A:A,Product!E:E,"Bulunamadı")</f>
        <v>1.51</v>
      </c>
      <c r="I2599" s="2" t="str">
        <f t="shared" si="1"/>
        <v>194997 - Law - Swimming</v>
      </c>
      <c r="J2599" s="2">
        <f t="shared" si="2"/>
        <v>368.44</v>
      </c>
      <c r="K2599" s="17">
        <f t="shared" si="3"/>
        <v>1</v>
      </c>
      <c r="L2599" s="18"/>
    </row>
    <row r="2600" hidden="1">
      <c r="A2600" s="2">
        <f>IFERROR(__xludf.DUMMYFUNCTION("""COMPUTED_VALUE"""),108515.0)</f>
        <v>108515</v>
      </c>
      <c r="B2600" s="2">
        <f>IFERROR(__xludf.DUMMYFUNCTION("""COMPUTED_VALUE"""),0.0)</f>
        <v>0</v>
      </c>
      <c r="C2600" s="2">
        <f>IFERROR(__xludf.DUMMYFUNCTION("""COMPUTED_VALUE"""),24.0)</f>
        <v>24</v>
      </c>
      <c r="D2600" s="3">
        <f>IFERROR(__xludf.DUMMYFUNCTION("""COMPUTED_VALUE"""),9.0)</f>
        <v>9</v>
      </c>
      <c r="E2600" s="1" t="str">
        <f t="array" ref="E2600">_xlfn.XLOOKUP(A2600,Product!A:A,Product!B:B,"Bulunamadı")</f>
        <v>Law</v>
      </c>
      <c r="F2600" s="1" t="str">
        <f t="array" ref="F2600">_xlfn.XLOOKUP(A2600,Product!A:A,Product!C:C,"Bulunamadı")</f>
        <v>Swimming</v>
      </c>
      <c r="G2600" s="2" t="str">
        <f t="array" ref="G2600">_xlfn.XLOOKUP(A2601,Product!A:A,Product!D:D,"Bulunamadı")</f>
        <v>Cedarbridge Books</v>
      </c>
      <c r="H2600" s="2">
        <f t="array" ref="H2600">_xlfn.XLOOKUP(A2602,Product!A:A,Product!E:E,"Bulunamadı")</f>
        <v>3.15</v>
      </c>
      <c r="I2600" s="2" t="str">
        <f t="shared" si="1"/>
        <v>108515 - Law - Swimming</v>
      </c>
      <c r="J2600" s="2">
        <f t="shared" si="2"/>
        <v>28.35</v>
      </c>
      <c r="K2600" s="17">
        <f t="shared" si="3"/>
        <v>1</v>
      </c>
      <c r="L2600" s="18"/>
    </row>
    <row r="2601" hidden="1">
      <c r="A2601" s="2">
        <f>IFERROR(__xludf.DUMMYFUNCTION("""COMPUTED_VALUE"""),69346.0)</f>
        <v>69346</v>
      </c>
      <c r="B2601" s="2">
        <f>IFERROR(__xludf.DUMMYFUNCTION("""COMPUTED_VALUE"""),1.0)</f>
        <v>1</v>
      </c>
      <c r="C2601" s="2">
        <f>IFERROR(__xludf.DUMMYFUNCTION("""COMPUTED_VALUE"""),108.0)</f>
        <v>108</v>
      </c>
      <c r="D2601" s="3">
        <f>IFERROR(__xludf.DUMMYFUNCTION("""COMPUTED_VALUE"""),89.0)</f>
        <v>89</v>
      </c>
      <c r="E2601" s="1" t="str">
        <f t="array" ref="E2601">_xlfn.XLOOKUP(A2601,Product!A:A,Product!B:B,"Bulunamadı")</f>
        <v>Law</v>
      </c>
      <c r="F2601" s="1" t="str">
        <f t="array" ref="F2601">_xlfn.XLOOKUP(A2601,Product!A:A,Product!C:C,"Bulunamadı")</f>
        <v>Swimming</v>
      </c>
      <c r="G2601" s="2" t="str">
        <f t="array" ref="G2601">_xlfn.XLOOKUP(A2602,Product!A:A,Product!D:D,"Bulunamadı")</f>
        <v>Cedarbridge Books</v>
      </c>
      <c r="H2601" s="2">
        <f t="array" ref="H2601">_xlfn.XLOOKUP(A2603,Product!A:A,Product!E:E,"Bulunamadı")</f>
        <v>1.25</v>
      </c>
      <c r="I2601" s="2" t="str">
        <f t="shared" si="1"/>
        <v>69346 - Law - Swimming</v>
      </c>
      <c r="J2601" s="2">
        <f t="shared" si="2"/>
        <v>111.25</v>
      </c>
      <c r="K2601" s="17">
        <f t="shared" si="3"/>
        <v>1</v>
      </c>
      <c r="L2601" s="18"/>
    </row>
    <row r="2602" hidden="1">
      <c r="A2602" s="2">
        <f>IFERROR(__xludf.DUMMYFUNCTION("""COMPUTED_VALUE"""),119971.0)</f>
        <v>119971</v>
      </c>
      <c r="B2602" s="2">
        <f>IFERROR(__xludf.DUMMYFUNCTION("""COMPUTED_VALUE"""),0.0)</f>
        <v>0</v>
      </c>
      <c r="C2602" s="2">
        <f>IFERROR(__xludf.DUMMYFUNCTION("""COMPUTED_VALUE"""),165.0)</f>
        <v>165</v>
      </c>
      <c r="D2602" s="3">
        <f>IFERROR(__xludf.DUMMYFUNCTION("""COMPUTED_VALUE"""),62.0)</f>
        <v>62</v>
      </c>
      <c r="E2602" s="1" t="str">
        <f t="array" ref="E2602">_xlfn.XLOOKUP(A2602,Product!A:A,Product!B:B,"Bulunamadı")</f>
        <v>Law</v>
      </c>
      <c r="F2602" s="1" t="str">
        <f t="array" ref="F2602">_xlfn.XLOOKUP(A2602,Product!A:A,Product!C:C,"Bulunamadı")</f>
        <v>Swimming</v>
      </c>
      <c r="G2602" s="2" t="str">
        <f t="array" ref="G2602">_xlfn.XLOOKUP(A2603,Product!A:A,Product!D:D,"Bulunamadı")</f>
        <v>Cedarbridge Books</v>
      </c>
      <c r="H2602" s="2">
        <f t="array" ref="H2602">_xlfn.XLOOKUP(A2604,Product!A:A,Product!E:E,"Bulunamadı")</f>
        <v>1.77</v>
      </c>
      <c r="I2602" s="2" t="str">
        <f t="shared" si="1"/>
        <v>119971 - Law - Swimming</v>
      </c>
      <c r="J2602" s="2">
        <f t="shared" si="2"/>
        <v>109.74</v>
      </c>
      <c r="K2602" s="17">
        <f t="shared" si="3"/>
        <v>1</v>
      </c>
      <c r="L2602" s="18"/>
    </row>
    <row r="2603" hidden="1">
      <c r="A2603" s="2">
        <f>IFERROR(__xludf.DUMMYFUNCTION("""COMPUTED_VALUE"""),107274.0)</f>
        <v>107274</v>
      </c>
      <c r="B2603" s="2">
        <f>IFERROR(__xludf.DUMMYFUNCTION("""COMPUTED_VALUE"""),0.0)</f>
        <v>0</v>
      </c>
      <c r="C2603" s="2">
        <f>IFERROR(__xludf.DUMMYFUNCTION("""COMPUTED_VALUE"""),571.0)</f>
        <v>571</v>
      </c>
      <c r="D2603" s="3">
        <f>IFERROR(__xludf.DUMMYFUNCTION("""COMPUTED_VALUE"""),40.0)</f>
        <v>40</v>
      </c>
      <c r="E2603" s="1" t="str">
        <f t="array" ref="E2603">_xlfn.XLOOKUP(A2603,Product!A:A,Product!B:B,"Bulunamadı")</f>
        <v>Law</v>
      </c>
      <c r="F2603" s="1" t="str">
        <f t="array" ref="F2603">_xlfn.XLOOKUP(A2603,Product!A:A,Product!C:C,"Bulunamadı")</f>
        <v>Swimming</v>
      </c>
      <c r="G2603" s="2" t="str">
        <f t="array" ref="G2603">_xlfn.XLOOKUP(A2604,Product!A:A,Product!D:D,"Bulunamadı")</f>
        <v>Cedarbridge Books</v>
      </c>
      <c r="H2603" s="2">
        <f t="array" ref="H2603">_xlfn.XLOOKUP(A2605,Product!A:A,Product!E:E,"Bulunamadı")</f>
        <v>1.72</v>
      </c>
      <c r="I2603" s="2" t="str">
        <f t="shared" si="1"/>
        <v>107274 - Law - Swimming</v>
      </c>
      <c r="J2603" s="2">
        <f t="shared" si="2"/>
        <v>68.8</v>
      </c>
      <c r="K2603" s="17">
        <f t="shared" si="3"/>
        <v>1</v>
      </c>
      <c r="L2603" s="18"/>
    </row>
    <row r="2604" hidden="1">
      <c r="A2604" s="2">
        <f>IFERROR(__xludf.DUMMYFUNCTION("""COMPUTED_VALUE"""),69451.0)</f>
        <v>69451</v>
      </c>
      <c r="B2604" s="2">
        <f>IFERROR(__xludf.DUMMYFUNCTION("""COMPUTED_VALUE"""),0.0)</f>
        <v>0</v>
      </c>
      <c r="C2604" s="2">
        <f>IFERROR(__xludf.DUMMYFUNCTION("""COMPUTED_VALUE"""),478.0)</f>
        <v>478</v>
      </c>
      <c r="D2604" s="3">
        <f>IFERROR(__xludf.DUMMYFUNCTION("""COMPUTED_VALUE"""),406.0)</f>
        <v>406</v>
      </c>
      <c r="E2604" s="1" t="str">
        <f t="array" ref="E2604">_xlfn.XLOOKUP(A2604,Product!A:A,Product!B:B,"Bulunamadı")</f>
        <v>Law</v>
      </c>
      <c r="F2604" s="1" t="str">
        <f t="array" ref="F2604">_xlfn.XLOOKUP(A2604,Product!A:A,Product!C:C,"Bulunamadı")</f>
        <v>Swimming</v>
      </c>
      <c r="G2604" s="2" t="str">
        <f t="array" ref="G2604">_xlfn.XLOOKUP(A2605,Product!A:A,Product!D:D,"Bulunamadı")</f>
        <v>Cedarbridge Books</v>
      </c>
      <c r="H2604" s="2">
        <f t="array" ref="H2604">_xlfn.XLOOKUP(A2606,Product!A:A,Product!E:E,"Bulunamadı")</f>
        <v>0.66</v>
      </c>
      <c r="I2604" s="2" t="str">
        <f t="shared" si="1"/>
        <v>69451 - Law - Swimming</v>
      </c>
      <c r="J2604" s="2">
        <f t="shared" si="2"/>
        <v>267.96</v>
      </c>
      <c r="K2604" s="17">
        <f t="shared" si="3"/>
        <v>1</v>
      </c>
      <c r="L2604" s="18"/>
    </row>
    <row r="2605" hidden="1">
      <c r="A2605" s="2">
        <f>IFERROR(__xludf.DUMMYFUNCTION("""COMPUTED_VALUE"""),87416.0)</f>
        <v>87416</v>
      </c>
      <c r="B2605" s="2">
        <f>IFERROR(__xludf.DUMMYFUNCTION("""COMPUTED_VALUE"""),1.0)</f>
        <v>1</v>
      </c>
      <c r="C2605" s="2">
        <f>IFERROR(__xludf.DUMMYFUNCTION("""COMPUTED_VALUE"""),876.0)</f>
        <v>876</v>
      </c>
      <c r="D2605" s="3">
        <f>IFERROR(__xludf.DUMMYFUNCTION("""COMPUTED_VALUE"""),359.0)</f>
        <v>359</v>
      </c>
      <c r="E2605" s="1" t="str">
        <f t="array" ref="E2605">_xlfn.XLOOKUP(A2605,Product!A:A,Product!B:B,"Bulunamadı")</f>
        <v>Law</v>
      </c>
      <c r="F2605" s="1" t="str">
        <f t="array" ref="F2605">_xlfn.XLOOKUP(A2605,Product!A:A,Product!C:C,"Bulunamadı")</f>
        <v>Swimming</v>
      </c>
      <c r="G2605" s="2" t="str">
        <f t="array" ref="G2605">_xlfn.XLOOKUP(A2606,Product!A:A,Product!D:D,"Bulunamadı")</f>
        <v>Brightbridge Press</v>
      </c>
      <c r="H2605" s="2">
        <f t="array" ref="H2605">_xlfn.XLOOKUP(A2607,Product!A:A,Product!E:E,"Bulunamadı")</f>
        <v>0.61</v>
      </c>
      <c r="I2605" s="2" t="str">
        <f t="shared" si="1"/>
        <v>87416 - Law - Swimming</v>
      </c>
      <c r="J2605" s="2">
        <f t="shared" si="2"/>
        <v>218.99</v>
      </c>
      <c r="K2605" s="17">
        <f t="shared" si="3"/>
        <v>1</v>
      </c>
      <c r="L2605" s="18"/>
    </row>
    <row r="2606" hidden="1">
      <c r="A2606" s="2">
        <f>IFERROR(__xludf.DUMMYFUNCTION("""COMPUTED_VALUE"""),23667.0)</f>
        <v>23667</v>
      </c>
      <c r="B2606" s="2">
        <f>IFERROR(__xludf.DUMMYFUNCTION("""COMPUTED_VALUE"""),0.0)</f>
        <v>0</v>
      </c>
      <c r="C2606" s="2">
        <f>IFERROR(__xludf.DUMMYFUNCTION("""COMPUTED_VALUE"""),528.0)</f>
        <v>528</v>
      </c>
      <c r="D2606" s="3">
        <f>IFERROR(__xludf.DUMMYFUNCTION("""COMPUTED_VALUE"""),447.0)</f>
        <v>447</v>
      </c>
      <c r="E2606" s="1" t="str">
        <f t="array" ref="E2606">_xlfn.XLOOKUP(A2606,Product!A:A,Product!B:B,"Bulunamadı")</f>
        <v>Law</v>
      </c>
      <c r="F2606" s="1" t="str">
        <f t="array" ref="F2606">_xlfn.XLOOKUP(A2606,Product!A:A,Product!C:C,"Bulunamadı")</f>
        <v>Swimming</v>
      </c>
      <c r="G2606" s="2" t="str">
        <f t="array" ref="G2606">_xlfn.XLOOKUP(A2607,Product!A:A,Product!D:D,"Bulunamadı")</f>
        <v>Brightbridge Press</v>
      </c>
      <c r="H2606" s="2">
        <f t="array" ref="H2606">_xlfn.XLOOKUP(A2608,Product!A:A,Product!E:E,"Bulunamadı")</f>
        <v>1.5</v>
      </c>
      <c r="I2606" s="2" t="str">
        <f t="shared" si="1"/>
        <v>23667 - Law - Swimming</v>
      </c>
      <c r="J2606" s="2">
        <f t="shared" si="2"/>
        <v>670.5</v>
      </c>
      <c r="K2606" s="17">
        <f t="shared" si="3"/>
        <v>1</v>
      </c>
      <c r="L2606" s="18"/>
    </row>
    <row r="2607" hidden="1">
      <c r="A2607" s="2">
        <f>IFERROR(__xludf.DUMMYFUNCTION("""COMPUTED_VALUE"""),112770.0)</f>
        <v>112770</v>
      </c>
      <c r="B2607" s="2">
        <f>IFERROR(__xludf.DUMMYFUNCTION("""COMPUTED_VALUE"""),1.0)</f>
        <v>1</v>
      </c>
      <c r="C2607" s="2">
        <f>IFERROR(__xludf.DUMMYFUNCTION("""COMPUTED_VALUE"""),765.0)</f>
        <v>765</v>
      </c>
      <c r="D2607" s="3">
        <f>IFERROR(__xludf.DUMMYFUNCTION("""COMPUTED_VALUE"""),540.0)</f>
        <v>540</v>
      </c>
      <c r="E2607" s="1" t="str">
        <f t="array" ref="E2607">_xlfn.XLOOKUP(A2607,Product!A:A,Product!B:B,"Bulunamadı")</f>
        <v>Law</v>
      </c>
      <c r="F2607" s="1" t="str">
        <f t="array" ref="F2607">_xlfn.XLOOKUP(A2607,Product!A:A,Product!C:C,"Bulunamadı")</f>
        <v>Swimming</v>
      </c>
      <c r="G2607" s="2" t="str">
        <f t="array" ref="G2607">_xlfn.XLOOKUP(A2608,Product!A:A,Product!D:D,"Bulunamadı")</f>
        <v>Brightbridge Press</v>
      </c>
      <c r="H2607" s="2">
        <f t="array" ref="H2607">_xlfn.XLOOKUP(A2609,Product!A:A,Product!E:E,"Bulunamadı")</f>
        <v>0.59</v>
      </c>
      <c r="I2607" s="2" t="str">
        <f t="shared" si="1"/>
        <v>112770 - Law - Swimming</v>
      </c>
      <c r="J2607" s="2">
        <f t="shared" si="2"/>
        <v>318.6</v>
      </c>
      <c r="K2607" s="17">
        <f t="shared" si="3"/>
        <v>1</v>
      </c>
      <c r="L2607" s="18"/>
    </row>
    <row r="2608" hidden="1">
      <c r="A2608" s="2">
        <f>IFERROR(__xludf.DUMMYFUNCTION("""COMPUTED_VALUE"""),116186.0)</f>
        <v>116186</v>
      </c>
      <c r="B2608" s="2">
        <f>IFERROR(__xludf.DUMMYFUNCTION("""COMPUTED_VALUE"""),1.0)</f>
        <v>1</v>
      </c>
      <c r="C2608" s="2">
        <f>IFERROR(__xludf.DUMMYFUNCTION("""COMPUTED_VALUE"""),115.0)</f>
        <v>115</v>
      </c>
      <c r="D2608" s="3">
        <f>IFERROR(__xludf.DUMMYFUNCTION("""COMPUTED_VALUE"""),97.0)</f>
        <v>97</v>
      </c>
      <c r="E2608" s="1" t="str">
        <f t="array" ref="E2608">_xlfn.XLOOKUP(A2608,Product!A:A,Product!B:B,"Bulunamadı")</f>
        <v>Law</v>
      </c>
      <c r="F2608" s="1" t="str">
        <f t="array" ref="F2608">_xlfn.XLOOKUP(A2608,Product!A:A,Product!C:C,"Bulunamadı")</f>
        <v>Swimming</v>
      </c>
      <c r="G2608" s="2" t="str">
        <f t="array" ref="G2608">_xlfn.XLOOKUP(A2609,Product!A:A,Product!D:D,"Bulunamadı")</f>
        <v>Brightbridge Press</v>
      </c>
      <c r="H2608" s="2">
        <f t="array" ref="H2608">_xlfn.XLOOKUP(A2610,Product!A:A,Product!E:E,"Bulunamadı")</f>
        <v>1.41</v>
      </c>
      <c r="I2608" s="2" t="str">
        <f t="shared" si="1"/>
        <v>116186 - Law - Swimming</v>
      </c>
      <c r="J2608" s="2">
        <f t="shared" si="2"/>
        <v>136.77</v>
      </c>
      <c r="K2608" s="17">
        <f t="shared" si="3"/>
        <v>1</v>
      </c>
      <c r="L2608" s="18"/>
    </row>
    <row r="2609" hidden="1">
      <c r="A2609" s="2">
        <f>IFERROR(__xludf.DUMMYFUNCTION("""COMPUTED_VALUE"""),95413.0)</f>
        <v>95413</v>
      </c>
      <c r="B2609" s="2">
        <f>IFERROR(__xludf.DUMMYFUNCTION("""COMPUTED_VALUE"""),0.0)</f>
        <v>0</v>
      </c>
      <c r="C2609" s="2">
        <f>IFERROR(__xludf.DUMMYFUNCTION("""COMPUTED_VALUE"""),273.0)</f>
        <v>273</v>
      </c>
      <c r="D2609" s="3">
        <f>IFERROR(__xludf.DUMMYFUNCTION("""COMPUTED_VALUE"""),2.0)</f>
        <v>2</v>
      </c>
      <c r="E2609" s="1" t="str">
        <f t="array" ref="E2609">_xlfn.XLOOKUP(A2609,Product!A:A,Product!B:B,"Bulunamadı")</f>
        <v>Law</v>
      </c>
      <c r="F2609" s="1" t="str">
        <f t="array" ref="F2609">_xlfn.XLOOKUP(A2609,Product!A:A,Product!C:C,"Bulunamadı")</f>
        <v>Swimming</v>
      </c>
      <c r="G2609" s="2" t="str">
        <f t="array" ref="G2609">_xlfn.XLOOKUP(A2610,Product!A:A,Product!D:D,"Bulunamadı")</f>
        <v>Brightbridge Press</v>
      </c>
      <c r="H2609" s="2">
        <f t="array" ref="H2609">_xlfn.XLOOKUP(A2611,Product!A:A,Product!E:E,"Bulunamadı")</f>
        <v>0.74</v>
      </c>
      <c r="I2609" s="2" t="str">
        <f t="shared" si="1"/>
        <v>95413 - Law - Swimming</v>
      </c>
      <c r="J2609" s="2">
        <f t="shared" si="2"/>
        <v>1.48</v>
      </c>
      <c r="K2609" s="17">
        <f t="shared" si="3"/>
        <v>1</v>
      </c>
      <c r="L2609" s="18"/>
    </row>
    <row r="2610" hidden="1">
      <c r="A2610" s="2">
        <f>IFERROR(__xludf.DUMMYFUNCTION("""COMPUTED_VALUE"""),116184.0)</f>
        <v>116184</v>
      </c>
      <c r="B2610" s="2">
        <f>IFERROR(__xludf.DUMMYFUNCTION("""COMPUTED_VALUE"""),0.0)</f>
        <v>0</v>
      </c>
      <c r="C2610" s="2">
        <f>IFERROR(__xludf.DUMMYFUNCTION("""COMPUTED_VALUE"""),633.0)</f>
        <v>633</v>
      </c>
      <c r="D2610" s="3">
        <f>IFERROR(__xludf.DUMMYFUNCTION("""COMPUTED_VALUE"""),439.0)</f>
        <v>439</v>
      </c>
      <c r="E2610" s="1" t="str">
        <f t="array" ref="E2610">_xlfn.XLOOKUP(A2610,Product!A:A,Product!B:B,"Bulunamadı")</f>
        <v>Law</v>
      </c>
      <c r="F2610" s="1" t="str">
        <f t="array" ref="F2610">_xlfn.XLOOKUP(A2610,Product!A:A,Product!C:C,"Bulunamadı")</f>
        <v>Swimming</v>
      </c>
      <c r="G2610" s="2" t="str">
        <f t="array" ref="G2610">_xlfn.XLOOKUP(A2611,Product!A:A,Product!D:D,"Bulunamadı")</f>
        <v>Brightbridge Press</v>
      </c>
      <c r="H2610" s="2">
        <f t="array" ref="H2610">_xlfn.XLOOKUP(A2612,Product!A:A,Product!E:E,"Bulunamadı")</f>
        <v>0.91</v>
      </c>
      <c r="I2610" s="2" t="str">
        <f t="shared" si="1"/>
        <v>116184 - Law - Swimming</v>
      </c>
      <c r="J2610" s="2">
        <f t="shared" si="2"/>
        <v>399.49</v>
      </c>
      <c r="K2610" s="17">
        <f t="shared" si="3"/>
        <v>1</v>
      </c>
      <c r="L2610" s="18"/>
    </row>
    <row r="2611" hidden="1">
      <c r="A2611" s="2">
        <f>IFERROR(__xludf.DUMMYFUNCTION("""COMPUTED_VALUE"""),95412.0)</f>
        <v>95412</v>
      </c>
      <c r="B2611" s="2">
        <f>IFERROR(__xludf.DUMMYFUNCTION("""COMPUTED_VALUE"""),0.0)</f>
        <v>0</v>
      </c>
      <c r="C2611" s="2">
        <f>IFERROR(__xludf.DUMMYFUNCTION("""COMPUTED_VALUE"""),23.0)</f>
        <v>23</v>
      </c>
      <c r="D2611" s="3">
        <f>IFERROR(__xludf.DUMMYFUNCTION("""COMPUTED_VALUE"""),13.0)</f>
        <v>13</v>
      </c>
      <c r="E2611" s="1" t="str">
        <f t="array" ref="E2611">_xlfn.XLOOKUP(A2611,Product!A:A,Product!B:B,"Bulunamadı")</f>
        <v>Law</v>
      </c>
      <c r="F2611" s="1" t="str">
        <f t="array" ref="F2611">_xlfn.XLOOKUP(A2611,Product!A:A,Product!C:C,"Bulunamadı")</f>
        <v>Swimming</v>
      </c>
      <c r="G2611" s="2" t="str">
        <f t="array" ref="G2611">_xlfn.XLOOKUP(A2612,Product!A:A,Product!D:D,"Bulunamadı")</f>
        <v>Brightbridge Press</v>
      </c>
      <c r="H2611" s="2">
        <f t="array" ref="H2611">_xlfn.XLOOKUP(A2613,Product!A:A,Product!E:E,"Bulunamadı")</f>
        <v>1.89</v>
      </c>
      <c r="I2611" s="2" t="str">
        <f t="shared" si="1"/>
        <v>95412 - Law - Swimming</v>
      </c>
      <c r="J2611" s="2">
        <f t="shared" si="2"/>
        <v>24.57</v>
      </c>
      <c r="K2611" s="17">
        <f t="shared" si="3"/>
        <v>1</v>
      </c>
      <c r="L2611" s="18"/>
    </row>
    <row r="2612" hidden="1">
      <c r="A2612" s="2">
        <f>IFERROR(__xludf.DUMMYFUNCTION("""COMPUTED_VALUE"""),95414.0)</f>
        <v>95414</v>
      </c>
      <c r="B2612" s="2">
        <f>IFERROR(__xludf.DUMMYFUNCTION("""COMPUTED_VALUE"""),1.0)</f>
        <v>1</v>
      </c>
      <c r="C2612" s="2">
        <f>IFERROR(__xludf.DUMMYFUNCTION("""COMPUTED_VALUE"""),289.0)</f>
        <v>289</v>
      </c>
      <c r="D2612" s="3">
        <f>IFERROR(__xludf.DUMMYFUNCTION("""COMPUTED_VALUE"""),123.0)</f>
        <v>123</v>
      </c>
      <c r="E2612" s="1" t="str">
        <f t="array" ref="E2612">_xlfn.XLOOKUP(A2612,Product!A:A,Product!B:B,"Bulunamadı")</f>
        <v>Law</v>
      </c>
      <c r="F2612" s="1" t="str">
        <f t="array" ref="F2612">_xlfn.XLOOKUP(A2612,Product!A:A,Product!C:C,"Bulunamadı")</f>
        <v>Swimming</v>
      </c>
      <c r="G2612" s="2" t="str">
        <f t="array" ref="G2612">_xlfn.XLOOKUP(A2613,Product!A:A,Product!D:D,"Bulunamadı")</f>
        <v>Brightbridge Press</v>
      </c>
      <c r="H2612" s="2">
        <f t="array" ref="H2612">_xlfn.XLOOKUP(A2614,Product!A:A,Product!E:E,"Bulunamadı")</f>
        <v>1.68</v>
      </c>
      <c r="I2612" s="2" t="str">
        <f t="shared" si="1"/>
        <v>95414 - Law - Swimming</v>
      </c>
      <c r="J2612" s="2">
        <f t="shared" si="2"/>
        <v>206.64</v>
      </c>
      <c r="K2612" s="17">
        <f t="shared" si="3"/>
        <v>1</v>
      </c>
      <c r="L2612" s="18"/>
    </row>
    <row r="2613" hidden="1">
      <c r="A2613" s="2">
        <f>IFERROR(__xludf.DUMMYFUNCTION("""COMPUTED_VALUE"""),24088.0)</f>
        <v>24088</v>
      </c>
      <c r="B2613" s="2">
        <f>IFERROR(__xludf.DUMMYFUNCTION("""COMPUTED_VALUE"""),1.0)</f>
        <v>1</v>
      </c>
      <c r="C2613" s="2">
        <f>IFERROR(__xludf.DUMMYFUNCTION("""COMPUTED_VALUE"""),162.0)</f>
        <v>162</v>
      </c>
      <c r="D2613" s="3">
        <f>IFERROR(__xludf.DUMMYFUNCTION("""COMPUTED_VALUE"""),54.0)</f>
        <v>54</v>
      </c>
      <c r="E2613" s="1" t="str">
        <f t="array" ref="E2613">_xlfn.XLOOKUP(A2613,Product!A:A,Product!B:B,"Bulunamadı")</f>
        <v>Law</v>
      </c>
      <c r="F2613" s="1" t="str">
        <f t="array" ref="F2613">_xlfn.XLOOKUP(A2613,Product!A:A,Product!C:C,"Bulunamadı")</f>
        <v>Swimming</v>
      </c>
      <c r="G2613" s="2" t="str">
        <f t="array" ref="G2613">_xlfn.XLOOKUP(A2614,Product!A:A,Product!D:D,"Bulunamadı")</f>
        <v>Brightbridge Press</v>
      </c>
      <c r="H2613" s="2">
        <f t="array" ref="H2613">_xlfn.XLOOKUP(A2615,Product!A:A,Product!E:E,"Bulunamadı")</f>
        <v>1.32</v>
      </c>
      <c r="I2613" s="2" t="str">
        <f t="shared" si="1"/>
        <v>24088 - Law - Swimming</v>
      </c>
      <c r="J2613" s="2">
        <f t="shared" si="2"/>
        <v>71.28</v>
      </c>
      <c r="K2613" s="17">
        <f t="shared" si="3"/>
        <v>1</v>
      </c>
      <c r="L2613" s="18"/>
    </row>
    <row r="2614" hidden="1">
      <c r="A2614" s="2">
        <f>IFERROR(__xludf.DUMMYFUNCTION("""COMPUTED_VALUE"""),75156.0)</f>
        <v>75156</v>
      </c>
      <c r="B2614" s="2">
        <f>IFERROR(__xludf.DUMMYFUNCTION("""COMPUTED_VALUE"""),1.0)</f>
        <v>1</v>
      </c>
      <c r="C2614" s="2">
        <f>IFERROR(__xludf.DUMMYFUNCTION("""COMPUTED_VALUE"""),663.0)</f>
        <v>663</v>
      </c>
      <c r="D2614" s="3">
        <f>IFERROR(__xludf.DUMMYFUNCTION("""COMPUTED_VALUE"""),222.0)</f>
        <v>222</v>
      </c>
      <c r="E2614" s="1" t="str">
        <f t="array" ref="E2614">_xlfn.XLOOKUP(A2614,Product!A:A,Product!B:B,"Bulunamadı")</f>
        <v>Law</v>
      </c>
      <c r="F2614" s="1" t="str">
        <f t="array" ref="F2614">_xlfn.XLOOKUP(A2614,Product!A:A,Product!C:C,"Bulunamadı")</f>
        <v>Swimming</v>
      </c>
      <c r="G2614" s="2" t="str">
        <f t="array" ref="G2614">_xlfn.XLOOKUP(A2615,Product!A:A,Product!D:D,"Bulunamadı")</f>
        <v>Brightbridge Press</v>
      </c>
      <c r="H2614" s="2">
        <f t="array" ref="H2614">_xlfn.XLOOKUP(A2616,Product!A:A,Product!E:E,"Bulunamadı")</f>
        <v>3.36</v>
      </c>
      <c r="I2614" s="2" t="str">
        <f t="shared" si="1"/>
        <v>75156 - Law - Swimming</v>
      </c>
      <c r="J2614" s="2">
        <f t="shared" si="2"/>
        <v>745.92</v>
      </c>
      <c r="K2614" s="17">
        <f t="shared" si="3"/>
        <v>1</v>
      </c>
      <c r="L2614" s="18"/>
    </row>
    <row r="2615" hidden="1">
      <c r="A2615" s="2">
        <f>IFERROR(__xludf.DUMMYFUNCTION("""COMPUTED_VALUE"""),6216.0)</f>
        <v>6216</v>
      </c>
      <c r="B2615" s="2">
        <f>IFERROR(__xludf.DUMMYFUNCTION("""COMPUTED_VALUE"""),1.0)</f>
        <v>1</v>
      </c>
      <c r="C2615" s="2">
        <f>IFERROR(__xludf.DUMMYFUNCTION("""COMPUTED_VALUE"""),367.0)</f>
        <v>367</v>
      </c>
      <c r="D2615" s="3">
        <f>IFERROR(__xludf.DUMMYFUNCTION("""COMPUTED_VALUE"""),3.0)</f>
        <v>3</v>
      </c>
      <c r="E2615" s="1" t="str">
        <f t="array" ref="E2615">_xlfn.XLOOKUP(A2615,Product!A:A,Product!B:B,"Bulunamadı")</f>
        <v>Law</v>
      </c>
      <c r="F2615" s="1" t="str">
        <f t="array" ref="F2615">_xlfn.XLOOKUP(A2615,Product!A:A,Product!C:C,"Bulunamadı")</f>
        <v>Swimming</v>
      </c>
      <c r="G2615" s="2" t="str">
        <f t="array" ref="G2615">_xlfn.XLOOKUP(A2616,Product!A:A,Product!D:D,"Bulunamadı")</f>
        <v>Brightbridge Press</v>
      </c>
      <c r="H2615" s="2">
        <f t="array" ref="H2615">_xlfn.XLOOKUP(A2617,Product!A:A,Product!E:E,"Bulunamadı")</f>
        <v>0.86</v>
      </c>
      <c r="I2615" s="2" t="str">
        <f t="shared" si="1"/>
        <v>6216 - Law - Swimming</v>
      </c>
      <c r="J2615" s="2">
        <f t="shared" si="2"/>
        <v>2.58</v>
      </c>
      <c r="K2615" s="17">
        <f t="shared" si="3"/>
        <v>1</v>
      </c>
      <c r="L2615" s="18"/>
    </row>
    <row r="2616" hidden="1">
      <c r="A2616" s="2">
        <f>IFERROR(__xludf.DUMMYFUNCTION("""COMPUTED_VALUE"""),149867.0)</f>
        <v>149867</v>
      </c>
      <c r="B2616" s="2">
        <f>IFERROR(__xludf.DUMMYFUNCTION("""COMPUTED_VALUE"""),1.0)</f>
        <v>1</v>
      </c>
      <c r="C2616" s="2">
        <f>IFERROR(__xludf.DUMMYFUNCTION("""COMPUTED_VALUE"""),216.0)</f>
        <v>216</v>
      </c>
      <c r="D2616" s="3">
        <f>IFERROR(__xludf.DUMMYFUNCTION("""COMPUTED_VALUE"""),156.0)</f>
        <v>156</v>
      </c>
      <c r="E2616" s="1" t="str">
        <f t="array" ref="E2616">_xlfn.XLOOKUP(A2616,Product!A:A,Product!B:B,"Bulunamadı")</f>
        <v>Law</v>
      </c>
      <c r="F2616" s="1" t="str">
        <f t="array" ref="F2616">_xlfn.XLOOKUP(A2616,Product!A:A,Product!C:C,"Bulunamadı")</f>
        <v>Swimming</v>
      </c>
      <c r="G2616" s="2" t="str">
        <f t="array" ref="G2616">_xlfn.XLOOKUP(A2617,Product!A:A,Product!D:D,"Bulunamadı")</f>
        <v>Brightbridge Press</v>
      </c>
      <c r="H2616" s="2">
        <f t="array" ref="H2616">_xlfn.XLOOKUP(A2618,Product!A:A,Product!E:E,"Bulunamadı")</f>
        <v>0.82</v>
      </c>
      <c r="I2616" s="2" t="str">
        <f t="shared" si="1"/>
        <v>149867 - Law - Swimming</v>
      </c>
      <c r="J2616" s="2">
        <f t="shared" si="2"/>
        <v>127.92</v>
      </c>
      <c r="K2616" s="17">
        <f t="shared" si="3"/>
        <v>1</v>
      </c>
      <c r="L2616" s="18"/>
    </row>
    <row r="2617" hidden="1">
      <c r="A2617" s="2">
        <f>IFERROR(__xludf.DUMMYFUNCTION("""COMPUTED_VALUE"""),44037.0)</f>
        <v>44037</v>
      </c>
      <c r="B2617" s="2">
        <f>IFERROR(__xludf.DUMMYFUNCTION("""COMPUTED_VALUE"""),1.0)</f>
        <v>1</v>
      </c>
      <c r="C2617" s="2">
        <f>IFERROR(__xludf.DUMMYFUNCTION("""COMPUTED_VALUE"""),52.0)</f>
        <v>52</v>
      </c>
      <c r="D2617" s="3">
        <f>IFERROR(__xludf.DUMMYFUNCTION("""COMPUTED_VALUE"""),43.0)</f>
        <v>43</v>
      </c>
      <c r="E2617" s="1" t="str">
        <f t="array" ref="E2617">_xlfn.XLOOKUP(A2617,Product!A:A,Product!B:B,"Bulunamadı")</f>
        <v>Law</v>
      </c>
      <c r="F2617" s="1" t="str">
        <f t="array" ref="F2617">_xlfn.XLOOKUP(A2617,Product!A:A,Product!C:C,"Bulunamadı")</f>
        <v>Swimming</v>
      </c>
      <c r="G2617" s="2" t="str">
        <f t="array" ref="G2617">_xlfn.XLOOKUP(A2618,Product!A:A,Product!D:D,"Bulunamadı")</f>
        <v>Brightbridge Press</v>
      </c>
      <c r="H2617" s="2">
        <f t="array" ref="H2617">_xlfn.XLOOKUP(A2619,Product!A:A,Product!E:E,"Bulunamadı")</f>
        <v>1.64</v>
      </c>
      <c r="I2617" s="2" t="str">
        <f t="shared" si="1"/>
        <v>44037 - Law - Swimming</v>
      </c>
      <c r="J2617" s="2">
        <f t="shared" si="2"/>
        <v>70.52</v>
      </c>
      <c r="K2617" s="17">
        <f t="shared" si="3"/>
        <v>1</v>
      </c>
      <c r="L2617" s="18"/>
    </row>
    <row r="2618" hidden="1">
      <c r="A2618" s="2">
        <f>IFERROR(__xludf.DUMMYFUNCTION("""COMPUTED_VALUE"""),83029.0)</f>
        <v>83029</v>
      </c>
      <c r="B2618" s="2">
        <f>IFERROR(__xludf.DUMMYFUNCTION("""COMPUTED_VALUE"""),0.0)</f>
        <v>0</v>
      </c>
      <c r="C2618" s="2">
        <f>IFERROR(__xludf.DUMMYFUNCTION("""COMPUTED_VALUE"""),216.0)</f>
        <v>216</v>
      </c>
      <c r="D2618" s="3">
        <f>IFERROR(__xludf.DUMMYFUNCTION("""COMPUTED_VALUE"""),35.0)</f>
        <v>35</v>
      </c>
      <c r="E2618" s="1" t="str">
        <f t="array" ref="E2618">_xlfn.XLOOKUP(A2618,Product!A:A,Product!B:B,"Bulunamadı")</f>
        <v>Law</v>
      </c>
      <c r="F2618" s="1" t="str">
        <f t="array" ref="F2618">_xlfn.XLOOKUP(A2618,Product!A:A,Product!C:C,"Bulunamadı")</f>
        <v>Swimming</v>
      </c>
      <c r="G2618" s="2" t="str">
        <f t="array" ref="G2618">_xlfn.XLOOKUP(A2619,Product!A:A,Product!D:D,"Bulunamadı")</f>
        <v>Brightbridge Press</v>
      </c>
      <c r="H2618" s="2">
        <f t="array" ref="H2618">_xlfn.XLOOKUP(A2620,Product!A:A,Product!E:E,"Bulunamadı")</f>
        <v>0.54</v>
      </c>
      <c r="I2618" s="2" t="str">
        <f t="shared" si="1"/>
        <v>83029 - Law - Swimming</v>
      </c>
      <c r="J2618" s="2">
        <f t="shared" si="2"/>
        <v>18.9</v>
      </c>
      <c r="K2618" s="17">
        <f t="shared" si="3"/>
        <v>1</v>
      </c>
      <c r="L2618" s="18"/>
    </row>
    <row r="2619" hidden="1">
      <c r="A2619" s="2">
        <f>IFERROR(__xludf.DUMMYFUNCTION("""COMPUTED_VALUE"""),100395.0)</f>
        <v>100395</v>
      </c>
      <c r="B2619" s="2">
        <f>IFERROR(__xludf.DUMMYFUNCTION("""COMPUTED_VALUE"""),1.0)</f>
        <v>1</v>
      </c>
      <c r="C2619" s="2">
        <f>IFERROR(__xludf.DUMMYFUNCTION("""COMPUTED_VALUE"""),727.0)</f>
        <v>727</v>
      </c>
      <c r="D2619" s="3">
        <f>IFERROR(__xludf.DUMMYFUNCTION("""COMPUTED_VALUE"""),182.0)</f>
        <v>182</v>
      </c>
      <c r="E2619" s="1" t="str">
        <f t="array" ref="E2619">_xlfn.XLOOKUP(A2619,Product!A:A,Product!B:B,"Bulunamadı")</f>
        <v>Law</v>
      </c>
      <c r="F2619" s="1" t="str">
        <f t="array" ref="F2619">_xlfn.XLOOKUP(A2619,Product!A:A,Product!C:C,"Bulunamadı")</f>
        <v>Swimming</v>
      </c>
      <c r="G2619" s="2" t="str">
        <f t="array" ref="G2619">_xlfn.XLOOKUP(A2620,Product!A:A,Product!D:D,"Bulunamadı")</f>
        <v>Brightbridge Press</v>
      </c>
      <c r="H2619" s="2">
        <f t="array" ref="H2619">_xlfn.XLOOKUP(A2621,Product!A:A,Product!E:E,"Bulunamadı")</f>
        <v>1.22</v>
      </c>
      <c r="I2619" s="2" t="str">
        <f t="shared" si="1"/>
        <v>100395 - Law - Swimming</v>
      </c>
      <c r="J2619" s="2">
        <f t="shared" si="2"/>
        <v>222.04</v>
      </c>
      <c r="K2619" s="17">
        <f t="shared" si="3"/>
        <v>1</v>
      </c>
      <c r="L2619" s="18"/>
    </row>
    <row r="2620" hidden="1">
      <c r="A2620" s="2">
        <f>IFERROR(__xludf.DUMMYFUNCTION("""COMPUTED_VALUE"""),110437.0)</f>
        <v>110437</v>
      </c>
      <c r="B2620" s="2">
        <f>IFERROR(__xludf.DUMMYFUNCTION("""COMPUTED_VALUE"""),1.0)</f>
        <v>1</v>
      </c>
      <c r="C2620" s="2">
        <f>IFERROR(__xludf.DUMMYFUNCTION("""COMPUTED_VALUE"""),724.0)</f>
        <v>724</v>
      </c>
      <c r="D2620" s="3">
        <f>IFERROR(__xludf.DUMMYFUNCTION("""COMPUTED_VALUE"""),79.0)</f>
        <v>79</v>
      </c>
      <c r="E2620" s="1" t="str">
        <f t="array" ref="E2620">_xlfn.XLOOKUP(A2620,Product!A:A,Product!B:B,"Bulunamadı")</f>
        <v>Law</v>
      </c>
      <c r="F2620" s="1" t="str">
        <f t="array" ref="F2620">_xlfn.XLOOKUP(A2620,Product!A:A,Product!C:C,"Bulunamadı")</f>
        <v>Swimming</v>
      </c>
      <c r="G2620" s="2" t="str">
        <f t="array" ref="G2620">_xlfn.XLOOKUP(A2621,Product!A:A,Product!D:D,"Bulunamadı")</f>
        <v>Brightbridge Press</v>
      </c>
      <c r="H2620" s="2">
        <f t="array" ref="H2620">_xlfn.XLOOKUP(A2622,Product!A:A,Product!E:E,"Bulunamadı")</f>
        <v>0.96</v>
      </c>
      <c r="I2620" s="2" t="str">
        <f t="shared" si="1"/>
        <v>110437 - Law - Swimming</v>
      </c>
      <c r="J2620" s="2">
        <f t="shared" si="2"/>
        <v>75.84</v>
      </c>
      <c r="K2620" s="17">
        <f t="shared" si="3"/>
        <v>1</v>
      </c>
      <c r="L2620" s="18"/>
    </row>
    <row r="2621" hidden="1">
      <c r="A2621" s="2">
        <f>IFERROR(__xludf.DUMMYFUNCTION("""COMPUTED_VALUE"""),29430.0)</f>
        <v>29430</v>
      </c>
      <c r="B2621" s="2">
        <f>IFERROR(__xludf.DUMMYFUNCTION("""COMPUTED_VALUE"""),0.0)</f>
        <v>0</v>
      </c>
      <c r="C2621" s="2">
        <f>IFERROR(__xludf.DUMMYFUNCTION("""COMPUTED_VALUE"""),836.0)</f>
        <v>836</v>
      </c>
      <c r="D2621" s="3">
        <f>IFERROR(__xludf.DUMMYFUNCTION("""COMPUTED_VALUE"""),301.0)</f>
        <v>301</v>
      </c>
      <c r="E2621" s="1" t="str">
        <f t="array" ref="E2621">_xlfn.XLOOKUP(A2621,Product!A:A,Product!B:B,"Bulunamadı")</f>
        <v>Law</v>
      </c>
      <c r="F2621" s="1" t="str">
        <f t="array" ref="F2621">_xlfn.XLOOKUP(A2621,Product!A:A,Product!C:C,"Bulunamadı")</f>
        <v>Swimming</v>
      </c>
      <c r="G2621" s="2" t="str">
        <f t="array" ref="G2621">_xlfn.XLOOKUP(A2622,Product!A:A,Product!D:D,"Bulunamadı")</f>
        <v>Brightbridge Press</v>
      </c>
      <c r="H2621" s="2">
        <f t="array" ref="H2621">_xlfn.XLOOKUP(A2623,Product!A:A,Product!E:E,"Bulunamadı")</f>
        <v>2.71</v>
      </c>
      <c r="I2621" s="2" t="str">
        <f t="shared" si="1"/>
        <v>29430 - Law - Swimming</v>
      </c>
      <c r="J2621" s="2">
        <f t="shared" si="2"/>
        <v>815.71</v>
      </c>
      <c r="K2621" s="17">
        <f t="shared" si="3"/>
        <v>1</v>
      </c>
      <c r="L2621" s="18"/>
    </row>
    <row r="2622" hidden="1">
      <c r="A2622" s="2">
        <f>IFERROR(__xludf.DUMMYFUNCTION("""COMPUTED_VALUE"""),95416.0)</f>
        <v>95416</v>
      </c>
      <c r="B2622" s="2">
        <f>IFERROR(__xludf.DUMMYFUNCTION("""COMPUTED_VALUE"""),1.0)</f>
        <v>1</v>
      </c>
      <c r="C2622" s="2">
        <f>IFERROR(__xludf.DUMMYFUNCTION("""COMPUTED_VALUE"""),877.0)</f>
        <v>877</v>
      </c>
      <c r="D2622" s="3">
        <f>IFERROR(__xludf.DUMMYFUNCTION("""COMPUTED_VALUE"""),311.0)</f>
        <v>311</v>
      </c>
      <c r="E2622" s="1" t="str">
        <f t="array" ref="E2622">_xlfn.XLOOKUP(A2622,Product!A:A,Product!B:B,"Bulunamadı")</f>
        <v>Law</v>
      </c>
      <c r="F2622" s="1" t="str">
        <f t="array" ref="F2622">_xlfn.XLOOKUP(A2622,Product!A:A,Product!C:C,"Bulunamadı")</f>
        <v>Swimming</v>
      </c>
      <c r="G2622" s="2" t="str">
        <f t="array" ref="G2622">_xlfn.XLOOKUP(A2623,Product!A:A,Product!D:D,"Bulunamadı")</f>
        <v>Brightbridge Press</v>
      </c>
      <c r="H2622" s="2">
        <f t="array" ref="H2622">_xlfn.XLOOKUP(A2624,Product!A:A,Product!E:E,"Bulunamadı")</f>
        <v>1.95</v>
      </c>
      <c r="I2622" s="2" t="str">
        <f t="shared" si="1"/>
        <v>95416 - Law - Swimming</v>
      </c>
      <c r="J2622" s="2">
        <f t="shared" si="2"/>
        <v>606.45</v>
      </c>
      <c r="K2622" s="17">
        <f t="shared" si="3"/>
        <v>1</v>
      </c>
      <c r="L2622" s="18"/>
    </row>
    <row r="2623" hidden="1">
      <c r="A2623" s="2">
        <f>IFERROR(__xludf.DUMMYFUNCTION("""COMPUTED_VALUE"""),108493.0)</f>
        <v>108493</v>
      </c>
      <c r="B2623" s="2">
        <f>IFERROR(__xludf.DUMMYFUNCTION("""COMPUTED_VALUE"""),0.0)</f>
        <v>0</v>
      </c>
      <c r="C2623" s="2">
        <f>IFERROR(__xludf.DUMMYFUNCTION("""COMPUTED_VALUE"""),911.0)</f>
        <v>911</v>
      </c>
      <c r="D2623" s="3">
        <f>IFERROR(__xludf.DUMMYFUNCTION("""COMPUTED_VALUE"""),866.0)</f>
        <v>866</v>
      </c>
      <c r="E2623" s="1" t="str">
        <f t="array" ref="E2623">_xlfn.XLOOKUP(A2623,Product!A:A,Product!B:B,"Bulunamadı")</f>
        <v>Law</v>
      </c>
      <c r="F2623" s="1" t="str">
        <f t="array" ref="F2623">_xlfn.XLOOKUP(A2623,Product!A:A,Product!C:C,"Bulunamadı")</f>
        <v>Swimming</v>
      </c>
      <c r="G2623" s="2" t="str">
        <f t="array" ref="G2623">_xlfn.XLOOKUP(A2624,Product!A:A,Product!D:D,"Bulunamadı")</f>
        <v>Brightbridge Press</v>
      </c>
      <c r="H2623" s="2">
        <f t="array" ref="H2623">_xlfn.XLOOKUP(A2625,Product!A:A,Product!E:E,"Bulunamadı")</f>
        <v>3.17</v>
      </c>
      <c r="I2623" s="2" t="str">
        <f t="shared" si="1"/>
        <v>108493 - Law - Swimming</v>
      </c>
      <c r="J2623" s="2">
        <f t="shared" si="2"/>
        <v>2745.22</v>
      </c>
      <c r="K2623" s="17">
        <f t="shared" si="3"/>
        <v>1</v>
      </c>
      <c r="L2623" s="18"/>
    </row>
    <row r="2624" hidden="1">
      <c r="A2624" s="2">
        <f>IFERROR(__xludf.DUMMYFUNCTION("""COMPUTED_VALUE"""),109293.0)</f>
        <v>109293</v>
      </c>
      <c r="B2624" s="2">
        <f>IFERROR(__xludf.DUMMYFUNCTION("""COMPUTED_VALUE"""),0.0)</f>
        <v>0</v>
      </c>
      <c r="C2624" s="2">
        <f>IFERROR(__xludf.DUMMYFUNCTION("""COMPUTED_VALUE"""),134.0)</f>
        <v>134</v>
      </c>
      <c r="D2624" s="3">
        <f>IFERROR(__xludf.DUMMYFUNCTION("""COMPUTED_VALUE"""),27.0)</f>
        <v>27</v>
      </c>
      <c r="E2624" s="1" t="str">
        <f t="array" ref="E2624">_xlfn.XLOOKUP(A2624,Product!A:A,Product!B:B,"Bulunamadı")</f>
        <v>Law</v>
      </c>
      <c r="F2624" s="1" t="str">
        <f t="array" ref="F2624">_xlfn.XLOOKUP(A2624,Product!A:A,Product!C:C,"Bulunamadı")</f>
        <v>Swimming</v>
      </c>
      <c r="G2624" s="2" t="str">
        <f t="array" ref="G2624">_xlfn.XLOOKUP(A2625,Product!A:A,Product!D:D,"Bulunamadı")</f>
        <v>Brightbridge Press</v>
      </c>
      <c r="H2624" s="2">
        <f t="array" ref="H2624">_xlfn.XLOOKUP(A2626,Product!A:A,Product!E:E,"Bulunamadı")</f>
        <v>1.17</v>
      </c>
      <c r="I2624" s="2" t="str">
        <f t="shared" si="1"/>
        <v>109293 - Law - Swimming</v>
      </c>
      <c r="J2624" s="2">
        <f t="shared" si="2"/>
        <v>31.59</v>
      </c>
      <c r="K2624" s="17">
        <f t="shared" si="3"/>
        <v>1</v>
      </c>
      <c r="L2624" s="18"/>
    </row>
    <row r="2625" hidden="1">
      <c r="A2625" s="2">
        <f>IFERROR(__xludf.DUMMYFUNCTION("""COMPUTED_VALUE"""),73581.0)</f>
        <v>73581</v>
      </c>
      <c r="B2625" s="2">
        <f>IFERROR(__xludf.DUMMYFUNCTION("""COMPUTED_VALUE"""),0.0)</f>
        <v>0</v>
      </c>
      <c r="C2625" s="2">
        <f>IFERROR(__xludf.DUMMYFUNCTION("""COMPUTED_VALUE"""),316.0)</f>
        <v>316</v>
      </c>
      <c r="D2625" s="3">
        <f>IFERROR(__xludf.DUMMYFUNCTION("""COMPUTED_VALUE"""),291.0)</f>
        <v>291</v>
      </c>
      <c r="E2625" s="1" t="str">
        <f t="array" ref="E2625">_xlfn.XLOOKUP(A2625,Product!A:A,Product!B:B,"Bulunamadı")</f>
        <v>Law</v>
      </c>
      <c r="F2625" s="1" t="str">
        <f t="array" ref="F2625">_xlfn.XLOOKUP(A2625,Product!A:A,Product!C:C,"Bulunamadı")</f>
        <v>Swimming</v>
      </c>
      <c r="G2625" s="2" t="str">
        <f t="array" ref="G2625">_xlfn.XLOOKUP(A2626,Product!A:A,Product!D:D,"Bulunamadı")</f>
        <v>Brightbridge Press</v>
      </c>
      <c r="H2625" s="2">
        <f t="array" ref="H2625">_xlfn.XLOOKUP(A2627,Product!A:A,Product!E:E,"Bulunamadı")</f>
        <v>1.96</v>
      </c>
      <c r="I2625" s="2" t="str">
        <f t="shared" si="1"/>
        <v>73581 - Law - Swimming</v>
      </c>
      <c r="J2625" s="2">
        <f t="shared" si="2"/>
        <v>570.36</v>
      </c>
      <c r="K2625" s="17">
        <f t="shared" si="3"/>
        <v>1</v>
      </c>
      <c r="L2625" s="18"/>
    </row>
    <row r="2626" hidden="1">
      <c r="A2626" s="2">
        <f>IFERROR(__xludf.DUMMYFUNCTION("""COMPUTED_VALUE"""),100396.0)</f>
        <v>100396</v>
      </c>
      <c r="B2626" s="2">
        <f>IFERROR(__xludf.DUMMYFUNCTION("""COMPUTED_VALUE"""),1.0)</f>
        <v>1</v>
      </c>
      <c r="C2626" s="2">
        <f>IFERROR(__xludf.DUMMYFUNCTION("""COMPUTED_VALUE"""),452.0)</f>
        <v>452</v>
      </c>
      <c r="D2626" s="3">
        <f>IFERROR(__xludf.DUMMYFUNCTION("""COMPUTED_VALUE"""),314.0)</f>
        <v>314</v>
      </c>
      <c r="E2626" s="1" t="str">
        <f t="array" ref="E2626">_xlfn.XLOOKUP(A2626,Product!A:A,Product!B:B,"Bulunamadı")</f>
        <v>Law</v>
      </c>
      <c r="F2626" s="1" t="str">
        <f t="array" ref="F2626">_xlfn.XLOOKUP(A2626,Product!A:A,Product!C:C,"Bulunamadı")</f>
        <v>Swimming</v>
      </c>
      <c r="G2626" s="2" t="str">
        <f t="array" ref="G2626">_xlfn.XLOOKUP(A2627,Product!A:A,Product!D:D,"Bulunamadı")</f>
        <v>Brightbridge Press</v>
      </c>
      <c r="H2626" s="2">
        <f t="array" ref="H2626">_xlfn.XLOOKUP(A2628,Product!A:A,Product!E:E,"Bulunamadı")</f>
        <v>1.42</v>
      </c>
      <c r="I2626" s="2" t="str">
        <f t="shared" si="1"/>
        <v>100396 - Law - Swimming</v>
      </c>
      <c r="J2626" s="2">
        <f t="shared" si="2"/>
        <v>445.88</v>
      </c>
      <c r="K2626" s="17">
        <f t="shared" si="3"/>
        <v>1</v>
      </c>
      <c r="L2626" s="18"/>
    </row>
    <row r="2627" hidden="1">
      <c r="A2627" s="2">
        <f>IFERROR(__xludf.DUMMYFUNCTION("""COMPUTED_VALUE"""),45917.0)</f>
        <v>45917</v>
      </c>
      <c r="B2627" s="2">
        <f>IFERROR(__xludf.DUMMYFUNCTION("""COMPUTED_VALUE"""),0.0)</f>
        <v>0</v>
      </c>
      <c r="C2627" s="2">
        <f>IFERROR(__xludf.DUMMYFUNCTION("""COMPUTED_VALUE"""),0.0)</f>
        <v>0</v>
      </c>
      <c r="D2627" s="3">
        <f>IFERROR(__xludf.DUMMYFUNCTION("""COMPUTED_VALUE"""),0.0)</f>
        <v>0</v>
      </c>
      <c r="E2627" s="1" t="str">
        <f t="array" ref="E2627">_xlfn.XLOOKUP(A2627,Product!A:A,Product!B:B,"Bulunamadı")</f>
        <v>Law</v>
      </c>
      <c r="F2627" s="1" t="str">
        <f t="array" ref="F2627">_xlfn.XLOOKUP(A2627,Product!A:A,Product!C:C,"Bulunamadı")</f>
        <v>Swimming</v>
      </c>
      <c r="G2627" s="2" t="str">
        <f t="array" ref="G2627">_xlfn.XLOOKUP(A2628,Product!A:A,Product!D:D,"Bulunamadı")</f>
        <v>Brightbridge Press</v>
      </c>
      <c r="H2627" s="2">
        <f t="array" ref="H2627">_xlfn.XLOOKUP(A2629,Product!A:A,Product!E:E,"Bulunamadı")</f>
        <v>2.6</v>
      </c>
      <c r="I2627" s="2" t="str">
        <f t="shared" si="1"/>
        <v>45917 - Law - Swimming</v>
      </c>
      <c r="J2627" s="2">
        <f t="shared" si="2"/>
        <v>0</v>
      </c>
      <c r="K2627" s="17">
        <f t="shared" si="3"/>
        <v>0</v>
      </c>
      <c r="L2627" s="18"/>
    </row>
    <row r="2628" hidden="1">
      <c r="A2628" s="2">
        <f>IFERROR(__xludf.DUMMYFUNCTION("""COMPUTED_VALUE"""),83420.0)</f>
        <v>83420</v>
      </c>
      <c r="B2628" s="2">
        <f>IFERROR(__xludf.DUMMYFUNCTION("""COMPUTED_VALUE"""),0.0)</f>
        <v>0</v>
      </c>
      <c r="C2628" s="2">
        <f>IFERROR(__xludf.DUMMYFUNCTION("""COMPUTED_VALUE"""),306.0)</f>
        <v>306</v>
      </c>
      <c r="D2628" s="3">
        <f>IFERROR(__xludf.DUMMYFUNCTION("""COMPUTED_VALUE"""),195.0)</f>
        <v>195</v>
      </c>
      <c r="E2628" s="1" t="str">
        <f t="array" ref="E2628">_xlfn.XLOOKUP(A2628,Product!A:A,Product!B:B,"Bulunamadı")</f>
        <v>Law</v>
      </c>
      <c r="F2628" s="1" t="str">
        <f t="array" ref="F2628">_xlfn.XLOOKUP(A2628,Product!A:A,Product!C:C,"Bulunamadı")</f>
        <v>Swimming</v>
      </c>
      <c r="G2628" s="2" t="str">
        <f t="array" ref="G2628">_xlfn.XLOOKUP(A2629,Product!A:A,Product!D:D,"Bulunamadı")</f>
        <v>Brightbridge Press</v>
      </c>
      <c r="H2628" s="2">
        <f t="array" ref="H2628">_xlfn.XLOOKUP(A2630,Product!A:A,Product!E:E,"Bulunamadı")</f>
        <v>0.99</v>
      </c>
      <c r="I2628" s="2" t="str">
        <f t="shared" si="1"/>
        <v>83420 - Law - Swimming</v>
      </c>
      <c r="J2628" s="2">
        <f t="shared" si="2"/>
        <v>193.05</v>
      </c>
      <c r="K2628" s="17">
        <f t="shared" si="3"/>
        <v>1</v>
      </c>
      <c r="L2628" s="18"/>
    </row>
    <row r="2629" hidden="1">
      <c r="A2629" s="2">
        <f>IFERROR(__xludf.DUMMYFUNCTION("""COMPUTED_VALUE"""),101591.0)</f>
        <v>101591</v>
      </c>
      <c r="B2629" s="2">
        <f>IFERROR(__xludf.DUMMYFUNCTION("""COMPUTED_VALUE"""),0.0)</f>
        <v>0</v>
      </c>
      <c r="C2629" s="2">
        <f>IFERROR(__xludf.DUMMYFUNCTION("""COMPUTED_VALUE"""),131.0)</f>
        <v>131</v>
      </c>
      <c r="D2629" s="3">
        <f>IFERROR(__xludf.DUMMYFUNCTION("""COMPUTED_VALUE"""),96.0)</f>
        <v>96</v>
      </c>
      <c r="E2629" s="1" t="str">
        <f t="array" ref="E2629">_xlfn.XLOOKUP(A2629,Product!A:A,Product!B:B,"Bulunamadı")</f>
        <v>Law</v>
      </c>
      <c r="F2629" s="1" t="str">
        <f t="array" ref="F2629">_xlfn.XLOOKUP(A2629,Product!A:A,Product!C:C,"Bulunamadı")</f>
        <v>Swimming</v>
      </c>
      <c r="G2629" s="2" t="str">
        <f t="array" ref="G2629">_xlfn.XLOOKUP(A2630,Product!A:A,Product!D:D,"Bulunamadı")</f>
        <v>Brightbridge Press</v>
      </c>
      <c r="H2629" s="2">
        <f t="array" ref="H2629">_xlfn.XLOOKUP(A2631,Product!A:A,Product!E:E,"Bulunamadı")</f>
        <v>0.84</v>
      </c>
      <c r="I2629" s="2" t="str">
        <f t="shared" si="1"/>
        <v>101591 - Law - Swimming</v>
      </c>
      <c r="J2629" s="2">
        <f t="shared" si="2"/>
        <v>80.64</v>
      </c>
      <c r="K2629" s="17">
        <f t="shared" si="3"/>
        <v>1</v>
      </c>
      <c r="L2629" s="18"/>
    </row>
    <row r="2630" hidden="1">
      <c r="A2630" s="2">
        <f>IFERROR(__xludf.DUMMYFUNCTION("""COMPUTED_VALUE"""),116181.0)</f>
        <v>116181</v>
      </c>
      <c r="B2630" s="2">
        <f>IFERROR(__xludf.DUMMYFUNCTION("""COMPUTED_VALUE"""),1.0)</f>
        <v>1</v>
      </c>
      <c r="C2630" s="2">
        <f>IFERROR(__xludf.DUMMYFUNCTION("""COMPUTED_VALUE"""),362.0)</f>
        <v>362</v>
      </c>
      <c r="D2630" s="3">
        <f>IFERROR(__xludf.DUMMYFUNCTION("""COMPUTED_VALUE"""),347.0)</f>
        <v>347</v>
      </c>
      <c r="E2630" s="1" t="str">
        <f t="array" ref="E2630">_xlfn.XLOOKUP(A2630,Product!A:A,Product!B:B,"Bulunamadı")</f>
        <v>Law</v>
      </c>
      <c r="F2630" s="1" t="str">
        <f t="array" ref="F2630">_xlfn.XLOOKUP(A2630,Product!A:A,Product!C:C,"Bulunamadı")</f>
        <v>Swimming</v>
      </c>
      <c r="G2630" s="2" t="str">
        <f t="array" ref="G2630">_xlfn.XLOOKUP(A2631,Product!A:A,Product!D:D,"Bulunamadı")</f>
        <v>Brightbridge Press</v>
      </c>
      <c r="H2630" s="2">
        <f t="array" ref="H2630">_xlfn.XLOOKUP(A2632,Product!A:A,Product!E:E,"Bulunamadı")</f>
        <v>0.44</v>
      </c>
      <c r="I2630" s="2" t="str">
        <f t="shared" si="1"/>
        <v>116181 - Law - Swimming</v>
      </c>
      <c r="J2630" s="2">
        <f t="shared" si="2"/>
        <v>152.68</v>
      </c>
      <c r="K2630" s="17">
        <f t="shared" si="3"/>
        <v>1</v>
      </c>
      <c r="L2630" s="18"/>
    </row>
    <row r="2631" hidden="1">
      <c r="A2631" s="2">
        <f>IFERROR(__xludf.DUMMYFUNCTION("""COMPUTED_VALUE"""),109300.0)</f>
        <v>109300</v>
      </c>
      <c r="B2631" s="2">
        <f>IFERROR(__xludf.DUMMYFUNCTION("""COMPUTED_VALUE"""),0.0)</f>
        <v>0</v>
      </c>
      <c r="C2631" s="2">
        <f>IFERROR(__xludf.DUMMYFUNCTION("""COMPUTED_VALUE"""),827.0)</f>
        <v>827</v>
      </c>
      <c r="D2631" s="3">
        <f>IFERROR(__xludf.DUMMYFUNCTION("""COMPUTED_VALUE"""),642.0)</f>
        <v>642</v>
      </c>
      <c r="E2631" s="1" t="str">
        <f t="array" ref="E2631">_xlfn.XLOOKUP(A2631,Product!A:A,Product!B:B,"Bulunamadı")</f>
        <v>Law</v>
      </c>
      <c r="F2631" s="1" t="str">
        <f t="array" ref="F2631">_xlfn.XLOOKUP(A2631,Product!A:A,Product!C:C,"Bulunamadı")</f>
        <v>Swimming</v>
      </c>
      <c r="G2631" s="2" t="str">
        <f t="array" ref="G2631">_xlfn.XLOOKUP(A2632,Product!A:A,Product!D:D,"Bulunamadı")</f>
        <v>Brightbridge Press</v>
      </c>
      <c r="H2631" s="2">
        <f t="array" ref="H2631">_xlfn.XLOOKUP(A2633,Product!A:A,Product!E:E,"Bulunamadı")</f>
        <v>0.99</v>
      </c>
      <c r="I2631" s="2" t="str">
        <f t="shared" si="1"/>
        <v>109300 - Law - Swimming</v>
      </c>
      <c r="J2631" s="2">
        <f t="shared" si="2"/>
        <v>635.58</v>
      </c>
      <c r="K2631" s="17">
        <f t="shared" si="3"/>
        <v>1</v>
      </c>
      <c r="L2631" s="18"/>
    </row>
    <row r="2632" hidden="1">
      <c r="A2632" s="2">
        <f>IFERROR(__xludf.DUMMYFUNCTION("""COMPUTED_VALUE"""),46160.0)</f>
        <v>46160</v>
      </c>
      <c r="B2632" s="2">
        <f>IFERROR(__xludf.DUMMYFUNCTION("""COMPUTED_VALUE"""),1.0)</f>
        <v>1</v>
      </c>
      <c r="C2632" s="2">
        <f>IFERROR(__xludf.DUMMYFUNCTION("""COMPUTED_VALUE"""),445.0)</f>
        <v>445</v>
      </c>
      <c r="D2632" s="3">
        <f>IFERROR(__xludf.DUMMYFUNCTION("""COMPUTED_VALUE"""),43.0)</f>
        <v>43</v>
      </c>
      <c r="E2632" s="1" t="str">
        <f t="array" ref="E2632">_xlfn.XLOOKUP(A2632,Product!A:A,Product!B:B,"Bulunamadı")</f>
        <v>Law</v>
      </c>
      <c r="F2632" s="1" t="str">
        <f t="array" ref="F2632">_xlfn.XLOOKUP(A2632,Product!A:A,Product!C:C,"Bulunamadı")</f>
        <v>Swimming</v>
      </c>
      <c r="G2632" s="2" t="str">
        <f t="array" ref="G2632">_xlfn.XLOOKUP(A2633,Product!A:A,Product!D:D,"Bulunamadı")</f>
        <v>Brightbridge Press</v>
      </c>
      <c r="H2632" s="2">
        <f t="array" ref="H2632">_xlfn.XLOOKUP(A2634,Product!A:A,Product!E:E,"Bulunamadı")</f>
        <v>0.84</v>
      </c>
      <c r="I2632" s="2" t="str">
        <f t="shared" si="1"/>
        <v>46160 - Law - Swimming</v>
      </c>
      <c r="J2632" s="2">
        <f t="shared" si="2"/>
        <v>36.12</v>
      </c>
      <c r="K2632" s="17">
        <f t="shared" si="3"/>
        <v>1</v>
      </c>
      <c r="L2632" s="18"/>
    </row>
    <row r="2633" hidden="1">
      <c r="A2633" s="2">
        <f>IFERROR(__xludf.DUMMYFUNCTION("""COMPUTED_VALUE"""),116202.0)</f>
        <v>116202</v>
      </c>
      <c r="B2633" s="2">
        <f>IFERROR(__xludf.DUMMYFUNCTION("""COMPUTED_VALUE"""),0.0)</f>
        <v>0</v>
      </c>
      <c r="C2633" s="2">
        <f>IFERROR(__xludf.DUMMYFUNCTION("""COMPUTED_VALUE"""),845.0)</f>
        <v>845</v>
      </c>
      <c r="D2633" s="3">
        <f>IFERROR(__xludf.DUMMYFUNCTION("""COMPUTED_VALUE"""),561.0)</f>
        <v>561</v>
      </c>
      <c r="E2633" s="1" t="str">
        <f t="array" ref="E2633">_xlfn.XLOOKUP(A2633,Product!A:A,Product!B:B,"Bulunamadı")</f>
        <v>Law</v>
      </c>
      <c r="F2633" s="1" t="str">
        <f t="array" ref="F2633">_xlfn.XLOOKUP(A2633,Product!A:A,Product!C:C,"Bulunamadı")</f>
        <v>Swimming</v>
      </c>
      <c r="G2633" s="2" t="str">
        <f t="array" ref="G2633">_xlfn.XLOOKUP(A2634,Product!A:A,Product!D:D,"Bulunamadı")</f>
        <v>Brightbridge Press</v>
      </c>
      <c r="H2633" s="2">
        <f t="array" ref="H2633">_xlfn.XLOOKUP(A2635,Product!A:A,Product!E:E,"Bulunamadı")</f>
        <v>3.53</v>
      </c>
      <c r="I2633" s="2" t="str">
        <f t="shared" si="1"/>
        <v>116202 - Law - Swimming</v>
      </c>
      <c r="J2633" s="2">
        <f t="shared" si="2"/>
        <v>1980.33</v>
      </c>
      <c r="K2633" s="17">
        <f t="shared" si="3"/>
        <v>1</v>
      </c>
      <c r="L2633" s="18"/>
    </row>
    <row r="2634" hidden="1">
      <c r="A2634" s="2">
        <f>IFERROR(__xludf.DUMMYFUNCTION("""COMPUTED_VALUE"""),106884.0)</f>
        <v>106884</v>
      </c>
      <c r="B2634" s="2">
        <f>IFERROR(__xludf.DUMMYFUNCTION("""COMPUTED_VALUE"""),0.0)</f>
        <v>0</v>
      </c>
      <c r="C2634" s="2">
        <f>IFERROR(__xludf.DUMMYFUNCTION("""COMPUTED_VALUE"""),60.0)</f>
        <v>60</v>
      </c>
      <c r="D2634" s="3">
        <f>IFERROR(__xludf.DUMMYFUNCTION("""COMPUTED_VALUE"""),29.0)</f>
        <v>29</v>
      </c>
      <c r="E2634" s="1" t="str">
        <f t="array" ref="E2634">_xlfn.XLOOKUP(A2634,Product!A:A,Product!B:B,"Bulunamadı")</f>
        <v>Law</v>
      </c>
      <c r="F2634" s="1" t="str">
        <f t="array" ref="F2634">_xlfn.XLOOKUP(A2634,Product!A:A,Product!C:C,"Bulunamadı")</f>
        <v>Swimming</v>
      </c>
      <c r="G2634" s="2" t="str">
        <f t="array" ref="G2634">_xlfn.XLOOKUP(A2635,Product!A:A,Product!D:D,"Bulunamadı")</f>
        <v>Brightbridge Press</v>
      </c>
      <c r="H2634" s="2">
        <f t="array" ref="H2634">_xlfn.XLOOKUP(A2636,Product!A:A,Product!E:E,"Bulunamadı")</f>
        <v>1.31</v>
      </c>
      <c r="I2634" s="2" t="str">
        <f t="shared" si="1"/>
        <v>106884 - Law - Swimming</v>
      </c>
      <c r="J2634" s="2">
        <f t="shared" si="2"/>
        <v>37.99</v>
      </c>
      <c r="K2634" s="17">
        <f t="shared" si="3"/>
        <v>1</v>
      </c>
      <c r="L2634" s="18"/>
    </row>
    <row r="2635" hidden="1">
      <c r="A2635" s="2">
        <f>IFERROR(__xludf.DUMMYFUNCTION("""COMPUTED_VALUE"""),98598.0)</f>
        <v>98598</v>
      </c>
      <c r="B2635" s="2">
        <f>IFERROR(__xludf.DUMMYFUNCTION("""COMPUTED_VALUE"""),0.0)</f>
        <v>0</v>
      </c>
      <c r="C2635" s="2">
        <f>IFERROR(__xludf.DUMMYFUNCTION("""COMPUTED_VALUE"""),963.0)</f>
        <v>963</v>
      </c>
      <c r="D2635" s="3">
        <f>IFERROR(__xludf.DUMMYFUNCTION("""COMPUTED_VALUE"""),370.0)</f>
        <v>370</v>
      </c>
      <c r="E2635" s="1" t="str">
        <f t="array" ref="E2635">_xlfn.XLOOKUP(A2635,Product!A:A,Product!B:B,"Bulunamadı")</f>
        <v>Law</v>
      </c>
      <c r="F2635" s="1" t="str">
        <f t="array" ref="F2635">_xlfn.XLOOKUP(A2635,Product!A:A,Product!C:C,"Bulunamadı")</f>
        <v>Swimming</v>
      </c>
      <c r="G2635" s="2" t="str">
        <f t="array" ref="G2635">_xlfn.XLOOKUP(A2636,Product!A:A,Product!D:D,"Bulunamadı")</f>
        <v>Brightbridge Press</v>
      </c>
      <c r="H2635" s="2">
        <f t="array" ref="H2635">_xlfn.XLOOKUP(A2637,Product!A:A,Product!E:E,"Bulunamadı")</f>
        <v>0.5</v>
      </c>
      <c r="I2635" s="2" t="str">
        <f t="shared" si="1"/>
        <v>98598 - Law - Swimming</v>
      </c>
      <c r="J2635" s="2">
        <f t="shared" si="2"/>
        <v>185</v>
      </c>
      <c r="K2635" s="17">
        <f t="shared" si="3"/>
        <v>1</v>
      </c>
      <c r="L2635" s="18"/>
    </row>
    <row r="2636" hidden="1">
      <c r="A2636" s="2">
        <f>IFERROR(__xludf.DUMMYFUNCTION("""COMPUTED_VALUE"""),78515.0)</f>
        <v>78515</v>
      </c>
      <c r="B2636" s="2">
        <f>IFERROR(__xludf.DUMMYFUNCTION("""COMPUTED_VALUE"""),0.0)</f>
        <v>0</v>
      </c>
      <c r="C2636" s="2">
        <f>IFERROR(__xludf.DUMMYFUNCTION("""COMPUTED_VALUE"""),941.0)</f>
        <v>941</v>
      </c>
      <c r="D2636" s="3">
        <f>IFERROR(__xludf.DUMMYFUNCTION("""COMPUTED_VALUE"""),726.0)</f>
        <v>726</v>
      </c>
      <c r="E2636" s="1" t="str">
        <f t="array" ref="E2636">_xlfn.XLOOKUP(A2636,Product!A:A,Product!B:B,"Bulunamadı")</f>
        <v>Law</v>
      </c>
      <c r="F2636" s="1" t="str">
        <f t="array" ref="F2636">_xlfn.XLOOKUP(A2636,Product!A:A,Product!C:C,"Bulunamadı")</f>
        <v>Swimming</v>
      </c>
      <c r="G2636" s="2" t="str">
        <f t="array" ref="G2636">_xlfn.XLOOKUP(A2637,Product!A:A,Product!D:D,"Bulunamadı")</f>
        <v>Brightbridge Press</v>
      </c>
      <c r="H2636" s="2">
        <f t="array" ref="H2636">_xlfn.XLOOKUP(A2638,Product!A:A,Product!E:E,"Bulunamadı")</f>
        <v>0.49</v>
      </c>
      <c r="I2636" s="2" t="str">
        <f t="shared" si="1"/>
        <v>78515 - Law - Swimming</v>
      </c>
      <c r="J2636" s="2">
        <f t="shared" si="2"/>
        <v>355.74</v>
      </c>
      <c r="K2636" s="17">
        <f t="shared" si="3"/>
        <v>1</v>
      </c>
      <c r="L2636" s="18"/>
    </row>
    <row r="2637" hidden="1">
      <c r="A2637" s="2">
        <f>IFERROR(__xludf.DUMMYFUNCTION("""COMPUTED_VALUE"""),46154.0)</f>
        <v>46154</v>
      </c>
      <c r="B2637" s="2">
        <f>IFERROR(__xludf.DUMMYFUNCTION("""COMPUTED_VALUE"""),0.0)</f>
        <v>0</v>
      </c>
      <c r="C2637" s="2">
        <f>IFERROR(__xludf.DUMMYFUNCTION("""COMPUTED_VALUE"""),175.0)</f>
        <v>175</v>
      </c>
      <c r="D2637" s="3">
        <f>IFERROR(__xludf.DUMMYFUNCTION("""COMPUTED_VALUE"""),154.0)</f>
        <v>154</v>
      </c>
      <c r="E2637" s="1" t="str">
        <f t="array" ref="E2637">_xlfn.XLOOKUP(A2637,Product!A:A,Product!B:B,"Bulunamadı")</f>
        <v>Law</v>
      </c>
      <c r="F2637" s="1" t="str">
        <f t="array" ref="F2637">_xlfn.XLOOKUP(A2637,Product!A:A,Product!C:C,"Bulunamadı")</f>
        <v>Swimming</v>
      </c>
      <c r="G2637" s="2" t="str">
        <f t="array" ref="G2637">_xlfn.XLOOKUP(A2638,Product!A:A,Product!D:D,"Bulunamadı")</f>
        <v>Brightbridge Press</v>
      </c>
      <c r="H2637" s="2">
        <f t="array" ref="H2637">_xlfn.XLOOKUP(A2639,Product!A:A,Product!E:E,"Bulunamadı")</f>
        <v>2.17</v>
      </c>
      <c r="I2637" s="2" t="str">
        <f t="shared" si="1"/>
        <v>46154 - Law - Swimming</v>
      </c>
      <c r="J2637" s="2">
        <f t="shared" si="2"/>
        <v>334.18</v>
      </c>
      <c r="K2637" s="17">
        <f t="shared" si="3"/>
        <v>1</v>
      </c>
      <c r="L2637" s="18"/>
    </row>
    <row r="2638" hidden="1">
      <c r="A2638" s="2">
        <f>IFERROR(__xludf.DUMMYFUNCTION("""COMPUTED_VALUE"""),23668.0)</f>
        <v>23668</v>
      </c>
      <c r="B2638" s="2">
        <f>IFERROR(__xludf.DUMMYFUNCTION("""COMPUTED_VALUE"""),1.0)</f>
        <v>1</v>
      </c>
      <c r="C2638" s="2">
        <f>IFERROR(__xludf.DUMMYFUNCTION("""COMPUTED_VALUE"""),697.0)</f>
        <v>697</v>
      </c>
      <c r="D2638" s="3">
        <f>IFERROR(__xludf.DUMMYFUNCTION("""COMPUTED_VALUE"""),583.0)</f>
        <v>583</v>
      </c>
      <c r="E2638" s="1" t="str">
        <f t="array" ref="E2638">_xlfn.XLOOKUP(A2638,Product!A:A,Product!B:B,"Bulunamadı")</f>
        <v>Law</v>
      </c>
      <c r="F2638" s="1" t="str">
        <f t="array" ref="F2638">_xlfn.XLOOKUP(A2638,Product!A:A,Product!C:C,"Bulunamadı")</f>
        <v>Swimming</v>
      </c>
      <c r="G2638" s="2" t="str">
        <f t="array" ref="G2638">_xlfn.XLOOKUP(A2639,Product!A:A,Product!D:D,"Bulunamadı")</f>
        <v>Oakbridge Publishing</v>
      </c>
      <c r="H2638" s="2">
        <f t="array" ref="H2638">_xlfn.XLOOKUP(A2640,Product!A:A,Product!E:E,"Bulunamadı")</f>
        <v>5.06</v>
      </c>
      <c r="I2638" s="2" t="str">
        <f t="shared" si="1"/>
        <v>23668 - Law - Swimming</v>
      </c>
      <c r="J2638" s="2">
        <f t="shared" si="2"/>
        <v>2949.98</v>
      </c>
      <c r="K2638" s="17">
        <f t="shared" si="3"/>
        <v>1</v>
      </c>
      <c r="L2638" s="18"/>
    </row>
    <row r="2639" hidden="1">
      <c r="A2639" s="2">
        <f>IFERROR(__xludf.DUMMYFUNCTION("""COMPUTED_VALUE"""),107900.0)</f>
        <v>107900</v>
      </c>
      <c r="B2639" s="2">
        <f>IFERROR(__xludf.DUMMYFUNCTION("""COMPUTED_VALUE"""),1.0)</f>
        <v>1</v>
      </c>
      <c r="C2639" s="2">
        <f>IFERROR(__xludf.DUMMYFUNCTION("""COMPUTED_VALUE"""),771.0)</f>
        <v>771</v>
      </c>
      <c r="D2639" s="3">
        <f>IFERROR(__xludf.DUMMYFUNCTION("""COMPUTED_VALUE"""),317.0)</f>
        <v>317</v>
      </c>
      <c r="E2639" s="1" t="str">
        <f t="array" ref="E2639">_xlfn.XLOOKUP(A2639,Product!A:A,Product!B:B,"Bulunamadı")</f>
        <v>History</v>
      </c>
      <c r="F2639" s="1" t="str">
        <f t="array" ref="F2639">_xlfn.XLOOKUP(A2639,Product!A:A,Product!C:C,"Bulunamadı")</f>
        <v>Running</v>
      </c>
      <c r="G2639" s="2" t="str">
        <f t="array" ref="G2639">_xlfn.XLOOKUP(A2640,Product!A:A,Product!D:D,"Bulunamadı")</f>
        <v>Oakbridge Publishing</v>
      </c>
      <c r="H2639" s="2">
        <f t="array" ref="H2639">_xlfn.XLOOKUP(A2641,Product!A:A,Product!E:E,"Bulunamadı")</f>
        <v>5.1</v>
      </c>
      <c r="I2639" s="2" t="str">
        <f t="shared" si="1"/>
        <v>107900 - History - Running</v>
      </c>
      <c r="J2639" s="2">
        <f t="shared" si="2"/>
        <v>1616.7</v>
      </c>
      <c r="K2639" s="17">
        <f t="shared" si="3"/>
        <v>1</v>
      </c>
      <c r="L2639" s="18"/>
    </row>
    <row r="2640" hidden="1">
      <c r="A2640" s="2">
        <f>IFERROR(__xludf.DUMMYFUNCTION("""COMPUTED_VALUE"""),85037.0)</f>
        <v>85037</v>
      </c>
      <c r="B2640" s="2">
        <f>IFERROR(__xludf.DUMMYFUNCTION("""COMPUTED_VALUE"""),0.0)</f>
        <v>0</v>
      </c>
      <c r="C2640" s="2">
        <f>IFERROR(__xludf.DUMMYFUNCTION("""COMPUTED_VALUE"""),915.0)</f>
        <v>915</v>
      </c>
      <c r="D2640" s="3">
        <f>IFERROR(__xludf.DUMMYFUNCTION("""COMPUTED_VALUE"""),50.0)</f>
        <v>50</v>
      </c>
      <c r="E2640" s="1" t="str">
        <f t="array" ref="E2640">_xlfn.XLOOKUP(A2640,Product!A:A,Product!B:B,"Bulunamadı")</f>
        <v>History</v>
      </c>
      <c r="F2640" s="1" t="str">
        <f t="array" ref="F2640">_xlfn.XLOOKUP(A2640,Product!A:A,Product!C:C,"Bulunamadı")</f>
        <v>Running</v>
      </c>
      <c r="G2640" s="2" t="str">
        <f t="array" ref="G2640">_xlfn.XLOOKUP(A2641,Product!A:A,Product!D:D,"Bulunamadı")</f>
        <v>Oakbridge Publishing</v>
      </c>
      <c r="H2640" s="2">
        <f t="array" ref="H2640">_xlfn.XLOOKUP(A2642,Product!A:A,Product!E:E,"Bulunamadı")</f>
        <v>2.18</v>
      </c>
      <c r="I2640" s="2" t="str">
        <f t="shared" si="1"/>
        <v>85037 - History - Running</v>
      </c>
      <c r="J2640" s="2">
        <f t="shared" si="2"/>
        <v>109</v>
      </c>
      <c r="K2640" s="17">
        <f t="shared" si="3"/>
        <v>1</v>
      </c>
      <c r="L2640" s="18"/>
    </row>
    <row r="2641" hidden="1">
      <c r="A2641" s="2">
        <f>IFERROR(__xludf.DUMMYFUNCTION("""COMPUTED_VALUE"""),49182.0)</f>
        <v>49182</v>
      </c>
      <c r="B2641" s="2">
        <f>IFERROR(__xludf.DUMMYFUNCTION("""COMPUTED_VALUE"""),1.0)</f>
        <v>1</v>
      </c>
      <c r="C2641" s="2">
        <f>IFERROR(__xludf.DUMMYFUNCTION("""COMPUTED_VALUE"""),145.0)</f>
        <v>145</v>
      </c>
      <c r="D2641" s="3">
        <f>IFERROR(__xludf.DUMMYFUNCTION("""COMPUTED_VALUE"""),15.0)</f>
        <v>15</v>
      </c>
      <c r="E2641" s="1" t="str">
        <f t="array" ref="E2641">_xlfn.XLOOKUP(A2641,Product!A:A,Product!B:B,"Bulunamadı")</f>
        <v>History</v>
      </c>
      <c r="F2641" s="1" t="str">
        <f t="array" ref="F2641">_xlfn.XLOOKUP(A2641,Product!A:A,Product!C:C,"Bulunamadı")</f>
        <v>Running</v>
      </c>
      <c r="G2641" s="2" t="str">
        <f t="array" ref="G2641">_xlfn.XLOOKUP(A2642,Product!A:A,Product!D:D,"Bulunamadı")</f>
        <v>Riverbridge Books</v>
      </c>
      <c r="H2641" s="2">
        <f t="array" ref="H2641">_xlfn.XLOOKUP(A2643,Product!A:A,Product!E:E,"Bulunamadı")</f>
        <v>2.2</v>
      </c>
      <c r="I2641" s="2" t="str">
        <f t="shared" si="1"/>
        <v>49182 - History - Running</v>
      </c>
      <c r="J2641" s="2">
        <f t="shared" si="2"/>
        <v>33</v>
      </c>
      <c r="K2641" s="17">
        <f t="shared" si="3"/>
        <v>1</v>
      </c>
      <c r="L2641" s="18"/>
    </row>
    <row r="2642" hidden="1">
      <c r="A2642" s="2">
        <f>IFERROR(__xludf.DUMMYFUNCTION("""COMPUTED_VALUE"""),69111.0)</f>
        <v>69111</v>
      </c>
      <c r="B2642" s="2">
        <f>IFERROR(__xludf.DUMMYFUNCTION("""COMPUTED_VALUE"""),1.0)</f>
        <v>1</v>
      </c>
      <c r="C2642" s="2">
        <f>IFERROR(__xludf.DUMMYFUNCTION("""COMPUTED_VALUE"""),226.0)</f>
        <v>226</v>
      </c>
      <c r="D2642" s="3">
        <f>IFERROR(__xludf.DUMMYFUNCTION("""COMPUTED_VALUE"""),55.0)</f>
        <v>55</v>
      </c>
      <c r="E2642" s="1" t="str">
        <f t="array" ref="E2642">_xlfn.XLOOKUP(A2642,Product!A:A,Product!B:B,"Bulunamadı")</f>
        <v>History</v>
      </c>
      <c r="F2642" s="1" t="str">
        <f t="array" ref="F2642">_xlfn.XLOOKUP(A2642,Product!A:A,Product!C:C,"Bulunamadı")</f>
        <v>Running</v>
      </c>
      <c r="G2642" s="2" t="str">
        <f t="array" ref="G2642">_xlfn.XLOOKUP(A2643,Product!A:A,Product!D:D,"Bulunamadı")</f>
        <v>Riverbridge Books</v>
      </c>
      <c r="H2642" s="2">
        <f t="array" ref="H2642">_xlfn.XLOOKUP(A2644,Product!A:A,Product!E:E,"Bulunamadı")</f>
        <v>2.35</v>
      </c>
      <c r="I2642" s="2" t="str">
        <f t="shared" si="1"/>
        <v>69111 - History - Running</v>
      </c>
      <c r="J2642" s="2">
        <f t="shared" si="2"/>
        <v>129.25</v>
      </c>
      <c r="K2642" s="17">
        <f t="shared" si="3"/>
        <v>1</v>
      </c>
      <c r="L2642" s="18"/>
    </row>
    <row r="2643" hidden="1">
      <c r="A2643" s="2">
        <f>IFERROR(__xludf.DUMMYFUNCTION("""COMPUTED_VALUE"""),80054.0)</f>
        <v>80054</v>
      </c>
      <c r="B2643" s="2">
        <f>IFERROR(__xludf.DUMMYFUNCTION("""COMPUTED_VALUE"""),1.0)</f>
        <v>1</v>
      </c>
      <c r="C2643" s="2">
        <f>IFERROR(__xludf.DUMMYFUNCTION("""COMPUTED_VALUE"""),402.0)</f>
        <v>402</v>
      </c>
      <c r="D2643" s="3">
        <f>IFERROR(__xludf.DUMMYFUNCTION("""COMPUTED_VALUE"""),157.0)</f>
        <v>157</v>
      </c>
      <c r="E2643" s="1" t="str">
        <f t="array" ref="E2643">_xlfn.XLOOKUP(A2643,Product!A:A,Product!B:B,"Bulunamadı")</f>
        <v>History</v>
      </c>
      <c r="F2643" s="1" t="str">
        <f t="array" ref="F2643">_xlfn.XLOOKUP(A2643,Product!A:A,Product!C:C,"Bulunamadı")</f>
        <v>Running</v>
      </c>
      <c r="G2643" s="2" t="str">
        <f t="array" ref="G2643">_xlfn.XLOOKUP(A2644,Product!A:A,Product!D:D,"Bulunamadı")</f>
        <v>Riverbridge Books</v>
      </c>
      <c r="H2643" s="2">
        <f t="array" ref="H2643">_xlfn.XLOOKUP(A2645,Product!A:A,Product!E:E,"Bulunamadı")</f>
        <v>2.03</v>
      </c>
      <c r="I2643" s="2" t="str">
        <f t="shared" si="1"/>
        <v>80054 - History - Running</v>
      </c>
      <c r="J2643" s="2">
        <f t="shared" si="2"/>
        <v>318.71</v>
      </c>
      <c r="K2643" s="17">
        <f t="shared" si="3"/>
        <v>1</v>
      </c>
      <c r="L2643" s="18"/>
    </row>
    <row r="2644" hidden="1">
      <c r="A2644" s="2">
        <f>IFERROR(__xludf.DUMMYFUNCTION("""COMPUTED_VALUE"""),79782.0)</f>
        <v>79782</v>
      </c>
      <c r="B2644" s="2">
        <f>IFERROR(__xludf.DUMMYFUNCTION("""COMPUTED_VALUE"""),1.0)</f>
        <v>1</v>
      </c>
      <c r="C2644" s="2">
        <f>IFERROR(__xludf.DUMMYFUNCTION("""COMPUTED_VALUE"""),426.0)</f>
        <v>426</v>
      </c>
      <c r="D2644" s="3">
        <f>IFERROR(__xludf.DUMMYFUNCTION("""COMPUTED_VALUE"""),252.0)</f>
        <v>252</v>
      </c>
      <c r="E2644" s="1" t="str">
        <f t="array" ref="E2644">_xlfn.XLOOKUP(A2644,Product!A:A,Product!B:B,"Bulunamadı")</f>
        <v>History</v>
      </c>
      <c r="F2644" s="1" t="str">
        <f t="array" ref="F2644">_xlfn.XLOOKUP(A2644,Product!A:A,Product!C:C,"Bulunamadı")</f>
        <v>Running</v>
      </c>
      <c r="G2644" s="2" t="str">
        <f t="array" ref="G2644">_xlfn.XLOOKUP(A2645,Product!A:A,Product!D:D,"Bulunamadı")</f>
        <v>Riverbridge Books</v>
      </c>
      <c r="H2644" s="2">
        <f t="array" ref="H2644">_xlfn.XLOOKUP(A2646,Product!A:A,Product!E:E,"Bulunamadı")</f>
        <v>2.05</v>
      </c>
      <c r="I2644" s="2" t="str">
        <f t="shared" si="1"/>
        <v>79782 - History - Running</v>
      </c>
      <c r="J2644" s="2">
        <f t="shared" si="2"/>
        <v>516.6</v>
      </c>
      <c r="K2644" s="17">
        <f t="shared" si="3"/>
        <v>1</v>
      </c>
      <c r="L2644" s="18"/>
    </row>
    <row r="2645" hidden="1">
      <c r="A2645" s="2">
        <f>IFERROR(__xludf.DUMMYFUNCTION("""COMPUTED_VALUE"""),80045.0)</f>
        <v>80045</v>
      </c>
      <c r="B2645" s="2">
        <f>IFERROR(__xludf.DUMMYFUNCTION("""COMPUTED_VALUE"""),1.0)</f>
        <v>1</v>
      </c>
      <c r="C2645" s="2">
        <f>IFERROR(__xludf.DUMMYFUNCTION("""COMPUTED_VALUE"""),75.0)</f>
        <v>75</v>
      </c>
      <c r="D2645" s="3">
        <f>IFERROR(__xludf.DUMMYFUNCTION("""COMPUTED_VALUE"""),7.0)</f>
        <v>7</v>
      </c>
      <c r="E2645" s="1" t="str">
        <f t="array" ref="E2645">_xlfn.XLOOKUP(A2645,Product!A:A,Product!B:B,"Bulunamadı")</f>
        <v>History</v>
      </c>
      <c r="F2645" s="1" t="str">
        <f t="array" ref="F2645">_xlfn.XLOOKUP(A2645,Product!A:A,Product!C:C,"Bulunamadı")</f>
        <v>Running</v>
      </c>
      <c r="G2645" s="2" t="str">
        <f t="array" ref="G2645">_xlfn.XLOOKUP(A2646,Product!A:A,Product!D:D,"Bulunamadı")</f>
        <v>Riverbridge Books</v>
      </c>
      <c r="H2645" s="2">
        <f t="array" ref="H2645">_xlfn.XLOOKUP(A2647,Product!A:A,Product!E:E,"Bulunamadı")</f>
        <v>1.87</v>
      </c>
      <c r="I2645" s="2" t="str">
        <f t="shared" si="1"/>
        <v>80045 - History - Running</v>
      </c>
      <c r="J2645" s="2">
        <f t="shared" si="2"/>
        <v>13.09</v>
      </c>
      <c r="K2645" s="17">
        <f t="shared" si="3"/>
        <v>1</v>
      </c>
      <c r="L2645" s="18"/>
    </row>
    <row r="2646" hidden="1">
      <c r="A2646" s="2">
        <f>IFERROR(__xludf.DUMMYFUNCTION("""COMPUTED_VALUE"""),69108.0)</f>
        <v>69108</v>
      </c>
      <c r="B2646" s="2">
        <f>IFERROR(__xludf.DUMMYFUNCTION("""COMPUTED_VALUE"""),0.0)</f>
        <v>0</v>
      </c>
      <c r="C2646" s="2">
        <f>IFERROR(__xludf.DUMMYFUNCTION("""COMPUTED_VALUE"""),572.0)</f>
        <v>572</v>
      </c>
      <c r="D2646" s="3">
        <f>IFERROR(__xludf.DUMMYFUNCTION("""COMPUTED_VALUE"""),4.0)</f>
        <v>4</v>
      </c>
      <c r="E2646" s="1" t="str">
        <f t="array" ref="E2646">_xlfn.XLOOKUP(A2646,Product!A:A,Product!B:B,"Bulunamadı")</f>
        <v>History</v>
      </c>
      <c r="F2646" s="1" t="str">
        <f t="array" ref="F2646">_xlfn.XLOOKUP(A2646,Product!A:A,Product!C:C,"Bulunamadı")</f>
        <v>Running</v>
      </c>
      <c r="G2646" s="2" t="str">
        <f t="array" ref="G2646">_xlfn.XLOOKUP(A2647,Product!A:A,Product!D:D,"Bulunamadı")</f>
        <v>Riverbridge Books</v>
      </c>
      <c r="H2646" s="2">
        <f t="array" ref="H2646">_xlfn.XLOOKUP(A2648,Product!A:A,Product!E:E,"Bulunamadı")</f>
        <v>2.13</v>
      </c>
      <c r="I2646" s="2" t="str">
        <f t="shared" si="1"/>
        <v>69108 - History - Running</v>
      </c>
      <c r="J2646" s="2">
        <f t="shared" si="2"/>
        <v>8.52</v>
      </c>
      <c r="K2646" s="17">
        <f t="shared" si="3"/>
        <v>1</v>
      </c>
      <c r="L2646" s="18"/>
    </row>
    <row r="2647" hidden="1">
      <c r="A2647" s="2">
        <f>IFERROR(__xludf.DUMMYFUNCTION("""COMPUTED_VALUE"""),69112.0)</f>
        <v>69112</v>
      </c>
      <c r="B2647" s="2">
        <f>IFERROR(__xludf.DUMMYFUNCTION("""COMPUTED_VALUE"""),1.0)</f>
        <v>1</v>
      </c>
      <c r="C2647" s="2">
        <f>IFERROR(__xludf.DUMMYFUNCTION("""COMPUTED_VALUE"""),139.0)</f>
        <v>139</v>
      </c>
      <c r="D2647" s="3">
        <f>IFERROR(__xludf.DUMMYFUNCTION("""COMPUTED_VALUE"""),94.0)</f>
        <v>94</v>
      </c>
      <c r="E2647" s="1" t="str">
        <f t="array" ref="E2647">_xlfn.XLOOKUP(A2647,Product!A:A,Product!B:B,"Bulunamadı")</f>
        <v>History</v>
      </c>
      <c r="F2647" s="1" t="str">
        <f t="array" ref="F2647">_xlfn.XLOOKUP(A2647,Product!A:A,Product!C:C,"Bulunamadı")</f>
        <v>Running</v>
      </c>
      <c r="G2647" s="2" t="str">
        <f t="array" ref="G2647">_xlfn.XLOOKUP(A2648,Product!A:A,Product!D:D,"Bulunamadı")</f>
        <v>Riverbridge Books</v>
      </c>
      <c r="H2647" s="2">
        <f t="array" ref="H2647">_xlfn.XLOOKUP(A2649,Product!A:A,Product!E:E,"Bulunamadı")</f>
        <v>2.54</v>
      </c>
      <c r="I2647" s="2" t="str">
        <f t="shared" si="1"/>
        <v>69112 - History - Running</v>
      </c>
      <c r="J2647" s="2">
        <f t="shared" si="2"/>
        <v>238.76</v>
      </c>
      <c r="K2647" s="17">
        <f t="shared" si="3"/>
        <v>1</v>
      </c>
      <c r="L2647" s="18"/>
    </row>
    <row r="2648" hidden="1">
      <c r="A2648" s="2">
        <f>IFERROR(__xludf.DUMMYFUNCTION("""COMPUTED_VALUE"""),121992.0)</f>
        <v>121992</v>
      </c>
      <c r="B2648" s="2">
        <f>IFERROR(__xludf.DUMMYFUNCTION("""COMPUTED_VALUE"""),0.0)</f>
        <v>0</v>
      </c>
      <c r="C2648" s="2">
        <f>IFERROR(__xludf.DUMMYFUNCTION("""COMPUTED_VALUE"""),822.0)</f>
        <v>822</v>
      </c>
      <c r="D2648" s="3">
        <f>IFERROR(__xludf.DUMMYFUNCTION("""COMPUTED_VALUE"""),378.0)</f>
        <v>378</v>
      </c>
      <c r="E2648" s="1" t="str">
        <f t="array" ref="E2648">_xlfn.XLOOKUP(A2648,Product!A:A,Product!B:B,"Bulunamadı")</f>
        <v>History</v>
      </c>
      <c r="F2648" s="1" t="str">
        <f t="array" ref="F2648">_xlfn.XLOOKUP(A2648,Product!A:A,Product!C:C,"Bulunamadı")</f>
        <v>Running</v>
      </c>
      <c r="G2648" s="2" t="str">
        <f t="array" ref="G2648">_xlfn.XLOOKUP(A2649,Product!A:A,Product!D:D,"Bulunamadı")</f>
        <v>Riverbridge Books</v>
      </c>
      <c r="H2648" s="2">
        <f t="array" ref="H2648">_xlfn.XLOOKUP(A2650,Product!A:A,Product!E:E,"Bulunamadı")</f>
        <v>2.15</v>
      </c>
      <c r="I2648" s="2" t="str">
        <f t="shared" si="1"/>
        <v>121992 - History - Running</v>
      </c>
      <c r="J2648" s="2">
        <f t="shared" si="2"/>
        <v>812.7</v>
      </c>
      <c r="K2648" s="17">
        <f t="shared" si="3"/>
        <v>1</v>
      </c>
      <c r="L2648" s="18"/>
    </row>
    <row r="2649" hidden="1">
      <c r="A2649" s="2">
        <f>IFERROR(__xludf.DUMMYFUNCTION("""COMPUTED_VALUE"""),80048.0)</f>
        <v>80048</v>
      </c>
      <c r="B2649" s="2">
        <f>IFERROR(__xludf.DUMMYFUNCTION("""COMPUTED_VALUE"""),0.0)</f>
        <v>0</v>
      </c>
      <c r="C2649" s="2">
        <f>IFERROR(__xludf.DUMMYFUNCTION("""COMPUTED_VALUE"""),834.0)</f>
        <v>834</v>
      </c>
      <c r="D2649" s="3">
        <f>IFERROR(__xludf.DUMMYFUNCTION("""COMPUTED_VALUE"""),734.0)</f>
        <v>734</v>
      </c>
      <c r="E2649" s="1" t="str">
        <f t="array" ref="E2649">_xlfn.XLOOKUP(A2649,Product!A:A,Product!B:B,"Bulunamadı")</f>
        <v>History</v>
      </c>
      <c r="F2649" s="1" t="str">
        <f t="array" ref="F2649">_xlfn.XLOOKUP(A2649,Product!A:A,Product!C:C,"Bulunamadı")</f>
        <v>Running</v>
      </c>
      <c r="G2649" s="2" t="str">
        <f t="array" ref="G2649">_xlfn.XLOOKUP(A2650,Product!A:A,Product!D:D,"Bulunamadı")</f>
        <v>Riverbridge Books</v>
      </c>
      <c r="H2649" s="2">
        <f t="array" ref="H2649">_xlfn.XLOOKUP(A2651,Product!A:A,Product!E:E,"Bulunamadı")</f>
        <v>1.89</v>
      </c>
      <c r="I2649" s="2" t="str">
        <f t="shared" si="1"/>
        <v>80048 - History - Running</v>
      </c>
      <c r="J2649" s="2">
        <f t="shared" si="2"/>
        <v>1387.26</v>
      </c>
      <c r="K2649" s="17">
        <f t="shared" si="3"/>
        <v>1</v>
      </c>
      <c r="L2649" s="18"/>
    </row>
    <row r="2650" hidden="1">
      <c r="A2650" s="2">
        <f>IFERROR(__xludf.DUMMYFUNCTION("""COMPUTED_VALUE"""),121982.0)</f>
        <v>121982</v>
      </c>
      <c r="B2650" s="2">
        <f>IFERROR(__xludf.DUMMYFUNCTION("""COMPUTED_VALUE"""),0.0)</f>
        <v>0</v>
      </c>
      <c r="C2650" s="2">
        <f>IFERROR(__xludf.DUMMYFUNCTION("""COMPUTED_VALUE"""),443.0)</f>
        <v>443</v>
      </c>
      <c r="D2650" s="3">
        <f>IFERROR(__xludf.DUMMYFUNCTION("""COMPUTED_VALUE"""),13.0)</f>
        <v>13</v>
      </c>
      <c r="E2650" s="1" t="str">
        <f t="array" ref="E2650">_xlfn.XLOOKUP(A2650,Product!A:A,Product!B:B,"Bulunamadı")</f>
        <v>History</v>
      </c>
      <c r="F2650" s="1" t="str">
        <f t="array" ref="F2650">_xlfn.XLOOKUP(A2650,Product!A:A,Product!C:C,"Bulunamadı")</f>
        <v>Running</v>
      </c>
      <c r="G2650" s="2" t="str">
        <f t="array" ref="G2650">_xlfn.XLOOKUP(A2651,Product!A:A,Product!D:D,"Bulunamadı")</f>
        <v>Riverbridge Books</v>
      </c>
      <c r="H2650" s="2">
        <f t="array" ref="H2650">_xlfn.XLOOKUP(A2652,Product!A:A,Product!E:E,"Bulunamadı")</f>
        <v>1.85</v>
      </c>
      <c r="I2650" s="2" t="str">
        <f t="shared" si="1"/>
        <v>121982 - History - Running</v>
      </c>
      <c r="J2650" s="2">
        <f t="shared" si="2"/>
        <v>24.05</v>
      </c>
      <c r="K2650" s="17">
        <f t="shared" si="3"/>
        <v>1</v>
      </c>
      <c r="L2650" s="18"/>
    </row>
    <row r="2651" hidden="1">
      <c r="A2651" s="2">
        <f>IFERROR(__xludf.DUMMYFUNCTION("""COMPUTED_VALUE"""),121974.0)</f>
        <v>121974</v>
      </c>
      <c r="B2651" s="2">
        <f>IFERROR(__xludf.DUMMYFUNCTION("""COMPUTED_VALUE"""),1.0)</f>
        <v>1</v>
      </c>
      <c r="C2651" s="2">
        <f>IFERROR(__xludf.DUMMYFUNCTION("""COMPUTED_VALUE"""),5.0)</f>
        <v>5</v>
      </c>
      <c r="D2651" s="3">
        <f>IFERROR(__xludf.DUMMYFUNCTION("""COMPUTED_VALUE"""),1.0)</f>
        <v>1</v>
      </c>
      <c r="E2651" s="1" t="str">
        <f t="array" ref="E2651">_xlfn.XLOOKUP(A2651,Product!A:A,Product!B:B,"Bulunamadı")</f>
        <v>History</v>
      </c>
      <c r="F2651" s="1" t="str">
        <f t="array" ref="F2651">_xlfn.XLOOKUP(A2651,Product!A:A,Product!C:C,"Bulunamadı")</f>
        <v>Running</v>
      </c>
      <c r="G2651" s="2" t="str">
        <f t="array" ref="G2651">_xlfn.XLOOKUP(A2652,Product!A:A,Product!D:D,"Bulunamadı")</f>
        <v>Riverbridge Books</v>
      </c>
      <c r="H2651" s="2">
        <f t="array" ref="H2651">_xlfn.XLOOKUP(A2653,Product!A:A,Product!E:E,"Bulunamadı")</f>
        <v>2.53</v>
      </c>
      <c r="I2651" s="2" t="str">
        <f t="shared" si="1"/>
        <v>121974 - History - Running</v>
      </c>
      <c r="J2651" s="2">
        <f t="shared" si="2"/>
        <v>2.53</v>
      </c>
      <c r="K2651" s="17">
        <f t="shared" si="3"/>
        <v>1</v>
      </c>
      <c r="L2651" s="18"/>
    </row>
    <row r="2652" hidden="1">
      <c r="A2652" s="2">
        <f>IFERROR(__xludf.DUMMYFUNCTION("""COMPUTED_VALUE"""),69110.0)</f>
        <v>69110</v>
      </c>
      <c r="B2652" s="2">
        <f>IFERROR(__xludf.DUMMYFUNCTION("""COMPUTED_VALUE"""),0.0)</f>
        <v>0</v>
      </c>
      <c r="C2652" s="2">
        <f>IFERROR(__xludf.DUMMYFUNCTION("""COMPUTED_VALUE"""),235.0)</f>
        <v>235</v>
      </c>
      <c r="D2652" s="3">
        <f>IFERROR(__xludf.DUMMYFUNCTION("""COMPUTED_VALUE"""),54.0)</f>
        <v>54</v>
      </c>
      <c r="E2652" s="1" t="str">
        <f t="array" ref="E2652">_xlfn.XLOOKUP(A2652,Product!A:A,Product!B:B,"Bulunamadı")</f>
        <v>History</v>
      </c>
      <c r="F2652" s="1" t="str">
        <f t="array" ref="F2652">_xlfn.XLOOKUP(A2652,Product!A:A,Product!C:C,"Bulunamadı")</f>
        <v>Running</v>
      </c>
      <c r="G2652" s="2" t="str">
        <f t="array" ref="G2652">_xlfn.XLOOKUP(A2653,Product!A:A,Product!D:D,"Bulunamadı")</f>
        <v>Riverbridge Books</v>
      </c>
      <c r="H2652" s="2">
        <f t="array" ref="H2652">_xlfn.XLOOKUP(A2654,Product!A:A,Product!E:E,"Bulunamadı")</f>
        <v>1.97</v>
      </c>
      <c r="I2652" s="2" t="str">
        <f t="shared" si="1"/>
        <v>69110 - History - Running</v>
      </c>
      <c r="J2652" s="2">
        <f t="shared" si="2"/>
        <v>106.38</v>
      </c>
      <c r="K2652" s="17">
        <f t="shared" si="3"/>
        <v>1</v>
      </c>
      <c r="L2652" s="18"/>
    </row>
    <row r="2653" hidden="1">
      <c r="A2653" s="2">
        <f>IFERROR(__xludf.DUMMYFUNCTION("""COMPUTED_VALUE"""),23540.0)</f>
        <v>23540</v>
      </c>
      <c r="B2653" s="2">
        <f>IFERROR(__xludf.DUMMYFUNCTION("""COMPUTED_VALUE"""),0.0)</f>
        <v>0</v>
      </c>
      <c r="C2653" s="2">
        <f>IFERROR(__xludf.DUMMYFUNCTION("""COMPUTED_VALUE"""),718.0)</f>
        <v>718</v>
      </c>
      <c r="D2653" s="3">
        <f>IFERROR(__xludf.DUMMYFUNCTION("""COMPUTED_VALUE"""),225.0)</f>
        <v>225</v>
      </c>
      <c r="E2653" s="1" t="str">
        <f t="array" ref="E2653">_xlfn.XLOOKUP(A2653,Product!A:A,Product!B:B,"Bulunamadı")</f>
        <v>History</v>
      </c>
      <c r="F2653" s="1" t="str">
        <f t="array" ref="F2653">_xlfn.XLOOKUP(A2653,Product!A:A,Product!C:C,"Bulunamadı")</f>
        <v>Running</v>
      </c>
      <c r="G2653" s="2" t="str">
        <f t="array" ref="G2653">_xlfn.XLOOKUP(A2654,Product!A:A,Product!D:D,"Bulunamadı")</f>
        <v>Riverbridge Books</v>
      </c>
      <c r="H2653" s="2">
        <f t="array" ref="H2653">_xlfn.XLOOKUP(A2655,Product!A:A,Product!E:E,"Bulunamadı")</f>
        <v>1.96</v>
      </c>
      <c r="I2653" s="2" t="str">
        <f t="shared" si="1"/>
        <v>23540 - History - Running</v>
      </c>
      <c r="J2653" s="2">
        <f t="shared" si="2"/>
        <v>441</v>
      </c>
      <c r="K2653" s="17">
        <f t="shared" si="3"/>
        <v>1</v>
      </c>
      <c r="L2653" s="18"/>
    </row>
    <row r="2654" hidden="1">
      <c r="A2654" s="2">
        <f>IFERROR(__xludf.DUMMYFUNCTION("""COMPUTED_VALUE"""),69123.0)</f>
        <v>69123</v>
      </c>
      <c r="B2654" s="2">
        <f>IFERROR(__xludf.DUMMYFUNCTION("""COMPUTED_VALUE"""),1.0)</f>
        <v>1</v>
      </c>
      <c r="C2654" s="2">
        <f>IFERROR(__xludf.DUMMYFUNCTION("""COMPUTED_VALUE"""),740.0)</f>
        <v>740</v>
      </c>
      <c r="D2654" s="3">
        <f>IFERROR(__xludf.DUMMYFUNCTION("""COMPUTED_VALUE"""),9.0)</f>
        <v>9</v>
      </c>
      <c r="E2654" s="1" t="str">
        <f t="array" ref="E2654">_xlfn.XLOOKUP(A2654,Product!A:A,Product!B:B,"Bulunamadı")</f>
        <v>History</v>
      </c>
      <c r="F2654" s="1" t="str">
        <f t="array" ref="F2654">_xlfn.XLOOKUP(A2654,Product!A:A,Product!C:C,"Bulunamadı")</f>
        <v>Running</v>
      </c>
      <c r="G2654" s="2" t="str">
        <f t="array" ref="G2654">_xlfn.XLOOKUP(A2655,Product!A:A,Product!D:D,"Bulunamadı")</f>
        <v>Riverbridge Books</v>
      </c>
      <c r="H2654" s="2">
        <f t="array" ref="H2654">_xlfn.XLOOKUP(A2656,Product!A:A,Product!E:E,"Bulunamadı")</f>
        <v>2.15</v>
      </c>
      <c r="I2654" s="2" t="str">
        <f t="shared" si="1"/>
        <v>69123 - History - Running</v>
      </c>
      <c r="J2654" s="2">
        <f t="shared" si="2"/>
        <v>19.35</v>
      </c>
      <c r="K2654" s="17">
        <f t="shared" si="3"/>
        <v>1</v>
      </c>
      <c r="L2654" s="18"/>
    </row>
    <row r="2655" hidden="1">
      <c r="A2655" s="2">
        <f>IFERROR(__xludf.DUMMYFUNCTION("""COMPUTED_VALUE"""),121984.0)</f>
        <v>121984</v>
      </c>
      <c r="B2655" s="2">
        <f>IFERROR(__xludf.DUMMYFUNCTION("""COMPUTED_VALUE"""),1.0)</f>
        <v>1</v>
      </c>
      <c r="C2655" s="2">
        <f>IFERROR(__xludf.DUMMYFUNCTION("""COMPUTED_VALUE"""),457.0)</f>
        <v>457</v>
      </c>
      <c r="D2655" s="3">
        <f>IFERROR(__xludf.DUMMYFUNCTION("""COMPUTED_VALUE"""),109.0)</f>
        <v>109</v>
      </c>
      <c r="E2655" s="1" t="str">
        <f t="array" ref="E2655">_xlfn.XLOOKUP(A2655,Product!A:A,Product!B:B,"Bulunamadı")</f>
        <v>History</v>
      </c>
      <c r="F2655" s="1" t="str">
        <f t="array" ref="F2655">_xlfn.XLOOKUP(A2655,Product!A:A,Product!C:C,"Bulunamadı")</f>
        <v>Running</v>
      </c>
      <c r="G2655" s="2" t="str">
        <f t="array" ref="G2655">_xlfn.XLOOKUP(A2656,Product!A:A,Product!D:D,"Bulunamadı")</f>
        <v>Riverbridge Books</v>
      </c>
      <c r="H2655" s="2">
        <f t="array" ref="H2655">_xlfn.XLOOKUP(A2657,Product!A:A,Product!E:E,"Bulunamadı")</f>
        <v>2.47</v>
      </c>
      <c r="I2655" s="2" t="str">
        <f t="shared" si="1"/>
        <v>121984 - History - Running</v>
      </c>
      <c r="J2655" s="2">
        <f t="shared" si="2"/>
        <v>269.23</v>
      </c>
      <c r="K2655" s="17">
        <f t="shared" si="3"/>
        <v>1</v>
      </c>
      <c r="L2655" s="18"/>
    </row>
    <row r="2656" hidden="1">
      <c r="A2656" s="2">
        <f>IFERROR(__xludf.DUMMYFUNCTION("""COMPUTED_VALUE"""),121979.0)</f>
        <v>121979</v>
      </c>
      <c r="B2656" s="2">
        <f>IFERROR(__xludf.DUMMYFUNCTION("""COMPUTED_VALUE"""),0.0)</f>
        <v>0</v>
      </c>
      <c r="C2656" s="2">
        <f>IFERROR(__xludf.DUMMYFUNCTION("""COMPUTED_VALUE"""),723.0)</f>
        <v>723</v>
      </c>
      <c r="D2656" s="3">
        <f>IFERROR(__xludf.DUMMYFUNCTION("""COMPUTED_VALUE"""),258.0)</f>
        <v>258</v>
      </c>
      <c r="E2656" s="1" t="str">
        <f t="array" ref="E2656">_xlfn.XLOOKUP(A2656,Product!A:A,Product!B:B,"Bulunamadı")</f>
        <v>History</v>
      </c>
      <c r="F2656" s="1" t="str">
        <f t="array" ref="F2656">_xlfn.XLOOKUP(A2656,Product!A:A,Product!C:C,"Bulunamadı")</f>
        <v>Running</v>
      </c>
      <c r="G2656" s="2" t="str">
        <f t="array" ref="G2656">_xlfn.XLOOKUP(A2657,Product!A:A,Product!D:D,"Bulunamadı")</f>
        <v>Riverbridge Books</v>
      </c>
      <c r="H2656" s="2">
        <f t="array" ref="H2656">_xlfn.XLOOKUP(A2658,Product!A:A,Product!E:E,"Bulunamadı")</f>
        <v>2.29</v>
      </c>
      <c r="I2656" s="2" t="str">
        <f t="shared" si="1"/>
        <v>121979 - History - Running</v>
      </c>
      <c r="J2656" s="2">
        <f t="shared" si="2"/>
        <v>590.82</v>
      </c>
      <c r="K2656" s="17">
        <f t="shared" si="3"/>
        <v>1</v>
      </c>
      <c r="L2656" s="18"/>
    </row>
    <row r="2657" hidden="1">
      <c r="A2657" s="2">
        <f>IFERROR(__xludf.DUMMYFUNCTION("""COMPUTED_VALUE"""),80043.0)</f>
        <v>80043</v>
      </c>
      <c r="B2657" s="2">
        <f>IFERROR(__xludf.DUMMYFUNCTION("""COMPUTED_VALUE"""),1.0)</f>
        <v>1</v>
      </c>
      <c r="C2657" s="2">
        <f>IFERROR(__xludf.DUMMYFUNCTION("""COMPUTED_VALUE"""),391.0)</f>
        <v>391</v>
      </c>
      <c r="D2657" s="3">
        <f>IFERROR(__xludf.DUMMYFUNCTION("""COMPUTED_VALUE"""),173.0)</f>
        <v>173</v>
      </c>
      <c r="E2657" s="1" t="str">
        <f t="array" ref="E2657">_xlfn.XLOOKUP(A2657,Product!A:A,Product!B:B,"Bulunamadı")</f>
        <v>History</v>
      </c>
      <c r="F2657" s="1" t="str">
        <f t="array" ref="F2657">_xlfn.XLOOKUP(A2657,Product!A:A,Product!C:C,"Bulunamadı")</f>
        <v>Running</v>
      </c>
      <c r="G2657" s="2" t="str">
        <f t="array" ref="G2657">_xlfn.XLOOKUP(A2658,Product!A:A,Product!D:D,"Bulunamadı")</f>
        <v>Riverbridge Books</v>
      </c>
      <c r="H2657" s="2">
        <f t="array" ref="H2657">_xlfn.XLOOKUP(A2659,Product!A:A,Product!E:E,"Bulunamadı")</f>
        <v>2.21</v>
      </c>
      <c r="I2657" s="2" t="str">
        <f t="shared" si="1"/>
        <v>80043 - History - Running</v>
      </c>
      <c r="J2657" s="2">
        <f t="shared" si="2"/>
        <v>382.33</v>
      </c>
      <c r="K2657" s="17">
        <f t="shared" si="3"/>
        <v>1</v>
      </c>
      <c r="L2657" s="18"/>
    </row>
    <row r="2658" hidden="1">
      <c r="A2658" s="2">
        <f>IFERROR(__xludf.DUMMYFUNCTION("""COMPUTED_VALUE"""),100326.0)</f>
        <v>100326</v>
      </c>
      <c r="B2658" s="2">
        <f>IFERROR(__xludf.DUMMYFUNCTION("""COMPUTED_VALUE"""),1.0)</f>
        <v>1</v>
      </c>
      <c r="C2658" s="2">
        <f>IFERROR(__xludf.DUMMYFUNCTION("""COMPUTED_VALUE"""),592.0)</f>
        <v>592</v>
      </c>
      <c r="D2658" s="3">
        <f>IFERROR(__xludf.DUMMYFUNCTION("""COMPUTED_VALUE"""),208.0)</f>
        <v>208</v>
      </c>
      <c r="E2658" s="1" t="str">
        <f t="array" ref="E2658">_xlfn.XLOOKUP(A2658,Product!A:A,Product!B:B,"Bulunamadı")</f>
        <v>History</v>
      </c>
      <c r="F2658" s="1" t="str">
        <f t="array" ref="F2658">_xlfn.XLOOKUP(A2658,Product!A:A,Product!C:C,"Bulunamadı")</f>
        <v>Running</v>
      </c>
      <c r="G2658" s="2" t="str">
        <f t="array" ref="G2658">_xlfn.XLOOKUP(A2659,Product!A:A,Product!D:D,"Bulunamadı")</f>
        <v>Riverbridge Books</v>
      </c>
      <c r="H2658" s="2">
        <f t="array" ref="H2658">_xlfn.XLOOKUP(A2660,Product!A:A,Product!E:E,"Bulunamadı")</f>
        <v>2.56</v>
      </c>
      <c r="I2658" s="2" t="str">
        <f t="shared" si="1"/>
        <v>100326 - History - Running</v>
      </c>
      <c r="J2658" s="2">
        <f t="shared" si="2"/>
        <v>532.48</v>
      </c>
      <c r="K2658" s="17">
        <f t="shared" si="3"/>
        <v>1</v>
      </c>
      <c r="L2658" s="18"/>
    </row>
    <row r="2659" hidden="1">
      <c r="A2659" s="2">
        <f>IFERROR(__xludf.DUMMYFUNCTION("""COMPUTED_VALUE"""),69117.0)</f>
        <v>69117</v>
      </c>
      <c r="B2659" s="2">
        <f>IFERROR(__xludf.DUMMYFUNCTION("""COMPUTED_VALUE"""),0.0)</f>
        <v>0</v>
      </c>
      <c r="C2659" s="2">
        <f>IFERROR(__xludf.DUMMYFUNCTION("""COMPUTED_VALUE"""),510.0)</f>
        <v>510</v>
      </c>
      <c r="D2659" s="3">
        <f>IFERROR(__xludf.DUMMYFUNCTION("""COMPUTED_VALUE"""),208.0)</f>
        <v>208</v>
      </c>
      <c r="E2659" s="1" t="str">
        <f t="array" ref="E2659">_xlfn.XLOOKUP(A2659,Product!A:A,Product!B:B,"Bulunamadı")</f>
        <v>History</v>
      </c>
      <c r="F2659" s="1" t="str">
        <f t="array" ref="F2659">_xlfn.XLOOKUP(A2659,Product!A:A,Product!C:C,"Bulunamadı")</f>
        <v>Running</v>
      </c>
      <c r="G2659" s="2" t="str">
        <f t="array" ref="G2659">_xlfn.XLOOKUP(A2660,Product!A:A,Product!D:D,"Bulunamadı")</f>
        <v>Riverbridge Books</v>
      </c>
      <c r="H2659" s="2">
        <f t="array" ref="H2659">_xlfn.XLOOKUP(A2661,Product!A:A,Product!E:E,"Bulunamadı")</f>
        <v>1.96</v>
      </c>
      <c r="I2659" s="2" t="str">
        <f t="shared" si="1"/>
        <v>69117 - History - Running</v>
      </c>
      <c r="J2659" s="2">
        <f t="shared" si="2"/>
        <v>407.68</v>
      </c>
      <c r="K2659" s="17">
        <f t="shared" si="3"/>
        <v>1</v>
      </c>
      <c r="L2659" s="18"/>
    </row>
    <row r="2660" hidden="1">
      <c r="A2660" s="2">
        <f>IFERROR(__xludf.DUMMYFUNCTION("""COMPUTED_VALUE"""),100334.0)</f>
        <v>100334</v>
      </c>
      <c r="B2660" s="2">
        <f>IFERROR(__xludf.DUMMYFUNCTION("""COMPUTED_VALUE"""),1.0)</f>
        <v>1</v>
      </c>
      <c r="C2660" s="2">
        <f>IFERROR(__xludf.DUMMYFUNCTION("""COMPUTED_VALUE"""),347.0)</f>
        <v>347</v>
      </c>
      <c r="D2660" s="3">
        <f>IFERROR(__xludf.DUMMYFUNCTION("""COMPUTED_VALUE"""),132.0)</f>
        <v>132</v>
      </c>
      <c r="E2660" s="1" t="str">
        <f t="array" ref="E2660">_xlfn.XLOOKUP(A2660,Product!A:A,Product!B:B,"Bulunamadı")</f>
        <v>History</v>
      </c>
      <c r="F2660" s="1" t="str">
        <f t="array" ref="F2660">_xlfn.XLOOKUP(A2660,Product!A:A,Product!C:C,"Bulunamadı")</f>
        <v>Running</v>
      </c>
      <c r="G2660" s="2" t="str">
        <f t="array" ref="G2660">_xlfn.XLOOKUP(A2661,Product!A:A,Product!D:D,"Bulunamadı")</f>
        <v>Riverbridge Books</v>
      </c>
      <c r="H2660" s="2">
        <f t="array" ref="H2660">_xlfn.XLOOKUP(A2662,Product!A:A,Product!E:E,"Bulunamadı")</f>
        <v>1.9</v>
      </c>
      <c r="I2660" s="2" t="str">
        <f t="shared" si="1"/>
        <v>100334 - History - Running</v>
      </c>
      <c r="J2660" s="2">
        <f t="shared" si="2"/>
        <v>250.8</v>
      </c>
      <c r="K2660" s="17">
        <f t="shared" si="3"/>
        <v>1</v>
      </c>
      <c r="L2660" s="18"/>
    </row>
    <row r="2661" hidden="1">
      <c r="A2661" s="2">
        <f>IFERROR(__xludf.DUMMYFUNCTION("""COMPUTED_VALUE"""),69120.0)</f>
        <v>69120</v>
      </c>
      <c r="B2661" s="2">
        <f>IFERROR(__xludf.DUMMYFUNCTION("""COMPUTED_VALUE"""),0.0)</f>
        <v>0</v>
      </c>
      <c r="C2661" s="2">
        <f>IFERROR(__xludf.DUMMYFUNCTION("""COMPUTED_VALUE"""),710.0)</f>
        <v>710</v>
      </c>
      <c r="D2661" s="3">
        <f>IFERROR(__xludf.DUMMYFUNCTION("""COMPUTED_VALUE"""),638.0)</f>
        <v>638</v>
      </c>
      <c r="E2661" s="1" t="str">
        <f t="array" ref="E2661">_xlfn.XLOOKUP(A2661,Product!A:A,Product!B:B,"Bulunamadı")</f>
        <v>History</v>
      </c>
      <c r="F2661" s="1" t="str">
        <f t="array" ref="F2661">_xlfn.XLOOKUP(A2661,Product!A:A,Product!C:C,"Bulunamadı")</f>
        <v>Running</v>
      </c>
      <c r="G2661" s="2" t="str">
        <f t="array" ref="G2661">_xlfn.XLOOKUP(A2662,Product!A:A,Product!D:D,"Bulunamadı")</f>
        <v>Riverbridge Books</v>
      </c>
      <c r="H2661" s="2">
        <f t="array" ref="H2661">_xlfn.XLOOKUP(A2663,Product!A:A,Product!E:E,"Bulunamadı")</f>
        <v>2.19</v>
      </c>
      <c r="I2661" s="2" t="str">
        <f t="shared" si="1"/>
        <v>69120 - History - Running</v>
      </c>
      <c r="J2661" s="2">
        <f t="shared" si="2"/>
        <v>1397.22</v>
      </c>
      <c r="K2661" s="17">
        <f t="shared" si="3"/>
        <v>1</v>
      </c>
      <c r="L2661" s="18"/>
    </row>
    <row r="2662" hidden="1">
      <c r="A2662" s="2">
        <f>IFERROR(__xludf.DUMMYFUNCTION("""COMPUTED_VALUE"""),69119.0)</f>
        <v>69119</v>
      </c>
      <c r="B2662" s="2">
        <f>IFERROR(__xludf.DUMMYFUNCTION("""COMPUTED_VALUE"""),0.0)</f>
        <v>0</v>
      </c>
      <c r="C2662" s="2">
        <f>IFERROR(__xludf.DUMMYFUNCTION("""COMPUTED_VALUE"""),781.0)</f>
        <v>781</v>
      </c>
      <c r="D2662" s="3">
        <f>IFERROR(__xludf.DUMMYFUNCTION("""COMPUTED_VALUE"""),131.0)</f>
        <v>131</v>
      </c>
      <c r="E2662" s="1" t="str">
        <f t="array" ref="E2662">_xlfn.XLOOKUP(A2662,Product!A:A,Product!B:B,"Bulunamadı")</f>
        <v>History</v>
      </c>
      <c r="F2662" s="1" t="str">
        <f t="array" ref="F2662">_xlfn.XLOOKUP(A2662,Product!A:A,Product!C:C,"Bulunamadı")</f>
        <v>Running</v>
      </c>
      <c r="G2662" s="2" t="str">
        <f t="array" ref="G2662">_xlfn.XLOOKUP(A2663,Product!A:A,Product!D:D,"Bulunamadı")</f>
        <v>Riverbridge Books</v>
      </c>
      <c r="H2662" s="2">
        <f t="array" ref="H2662">_xlfn.XLOOKUP(A2664,Product!A:A,Product!E:E,"Bulunamadı")</f>
        <v>2.48</v>
      </c>
      <c r="I2662" s="2" t="str">
        <f t="shared" si="1"/>
        <v>69119 - History - Running</v>
      </c>
      <c r="J2662" s="2">
        <f t="shared" si="2"/>
        <v>324.88</v>
      </c>
      <c r="K2662" s="17">
        <f t="shared" si="3"/>
        <v>1</v>
      </c>
      <c r="L2662" s="18"/>
    </row>
    <row r="2663" hidden="1">
      <c r="A2663" s="2">
        <f>IFERROR(__xludf.DUMMYFUNCTION("""COMPUTED_VALUE"""),69118.0)</f>
        <v>69118</v>
      </c>
      <c r="B2663" s="2">
        <f>IFERROR(__xludf.DUMMYFUNCTION("""COMPUTED_VALUE"""),1.0)</f>
        <v>1</v>
      </c>
      <c r="C2663" s="2">
        <f>IFERROR(__xludf.DUMMYFUNCTION("""COMPUTED_VALUE"""),385.0)</f>
        <v>385</v>
      </c>
      <c r="D2663" s="3">
        <f>IFERROR(__xludf.DUMMYFUNCTION("""COMPUTED_VALUE"""),164.0)</f>
        <v>164</v>
      </c>
      <c r="E2663" s="1" t="str">
        <f t="array" ref="E2663">_xlfn.XLOOKUP(A2663,Product!A:A,Product!B:B,"Bulunamadı")</f>
        <v>History</v>
      </c>
      <c r="F2663" s="1" t="str">
        <f t="array" ref="F2663">_xlfn.XLOOKUP(A2663,Product!A:A,Product!C:C,"Bulunamadı")</f>
        <v>Running</v>
      </c>
      <c r="G2663" s="2" t="str">
        <f t="array" ref="G2663">_xlfn.XLOOKUP(A2664,Product!A:A,Product!D:D,"Bulunamadı")</f>
        <v>Riverbridge Books</v>
      </c>
      <c r="H2663" s="2">
        <f t="array" ref="H2663">_xlfn.XLOOKUP(A2665,Product!A:A,Product!E:E,"Bulunamadı")</f>
        <v>2.53</v>
      </c>
      <c r="I2663" s="2" t="str">
        <f t="shared" si="1"/>
        <v>69118 - History - Running</v>
      </c>
      <c r="J2663" s="2">
        <f t="shared" si="2"/>
        <v>414.92</v>
      </c>
      <c r="K2663" s="17">
        <f t="shared" si="3"/>
        <v>1</v>
      </c>
      <c r="L2663" s="18"/>
    </row>
    <row r="2664" hidden="1">
      <c r="A2664" s="2">
        <f>IFERROR(__xludf.DUMMYFUNCTION("""COMPUTED_VALUE"""),80044.0)</f>
        <v>80044</v>
      </c>
      <c r="B2664" s="2">
        <f>IFERROR(__xludf.DUMMYFUNCTION("""COMPUTED_VALUE"""),0.0)</f>
        <v>0</v>
      </c>
      <c r="C2664" s="2">
        <f>IFERROR(__xludf.DUMMYFUNCTION("""COMPUTED_VALUE"""),197.0)</f>
        <v>197</v>
      </c>
      <c r="D2664" s="3">
        <f>IFERROR(__xludf.DUMMYFUNCTION("""COMPUTED_VALUE"""),125.0)</f>
        <v>125</v>
      </c>
      <c r="E2664" s="1" t="str">
        <f t="array" ref="E2664">_xlfn.XLOOKUP(A2664,Product!A:A,Product!B:B,"Bulunamadı")</f>
        <v>History</v>
      </c>
      <c r="F2664" s="1" t="str">
        <f t="array" ref="F2664">_xlfn.XLOOKUP(A2664,Product!A:A,Product!C:C,"Bulunamadı")</f>
        <v>Running</v>
      </c>
      <c r="G2664" s="2" t="str">
        <f t="array" ref="G2664">_xlfn.XLOOKUP(A2665,Product!A:A,Product!D:D,"Bulunamadı")</f>
        <v>Riverbridge Books</v>
      </c>
      <c r="H2664" s="2">
        <f t="array" ref="H2664">_xlfn.XLOOKUP(A2666,Product!A:A,Product!E:E,"Bulunamadı")</f>
        <v>2.18</v>
      </c>
      <c r="I2664" s="2" t="str">
        <f t="shared" si="1"/>
        <v>80044 - History - Running</v>
      </c>
      <c r="J2664" s="2">
        <f t="shared" si="2"/>
        <v>272.5</v>
      </c>
      <c r="K2664" s="17">
        <f t="shared" si="3"/>
        <v>1</v>
      </c>
      <c r="L2664" s="18"/>
    </row>
    <row r="2665" hidden="1">
      <c r="A2665" s="2">
        <f>IFERROR(__xludf.DUMMYFUNCTION("""COMPUTED_VALUE"""),23556.0)</f>
        <v>23556</v>
      </c>
      <c r="B2665" s="2">
        <f>IFERROR(__xludf.DUMMYFUNCTION("""COMPUTED_VALUE"""),0.0)</f>
        <v>0</v>
      </c>
      <c r="C2665" s="2">
        <f>IFERROR(__xludf.DUMMYFUNCTION("""COMPUTED_VALUE"""),-14.0)</f>
        <v>-14</v>
      </c>
      <c r="D2665" s="3">
        <f>IFERROR(__xludf.DUMMYFUNCTION("""COMPUTED_VALUE"""),0.0)</f>
        <v>0</v>
      </c>
      <c r="E2665" s="1" t="str">
        <f t="array" ref="E2665">_xlfn.XLOOKUP(A2665,Product!A:A,Product!B:B,"Bulunamadı")</f>
        <v>History</v>
      </c>
      <c r="F2665" s="1" t="str">
        <f t="array" ref="F2665">_xlfn.XLOOKUP(A2665,Product!A:A,Product!C:C,"Bulunamadı")</f>
        <v>Running</v>
      </c>
      <c r="G2665" s="2" t="str">
        <f t="array" ref="G2665">_xlfn.XLOOKUP(A2666,Product!A:A,Product!D:D,"Bulunamadı")</f>
        <v>Riverbridge Books</v>
      </c>
      <c r="H2665" s="2">
        <f t="array" ref="H2665">_xlfn.XLOOKUP(A2667,Product!A:A,Product!E:E,"Bulunamadı")</f>
        <v>2.59</v>
      </c>
      <c r="I2665" s="2" t="str">
        <f t="shared" si="1"/>
        <v>23556 - History - Running</v>
      </c>
      <c r="J2665" s="2">
        <f t="shared" si="2"/>
        <v>0</v>
      </c>
      <c r="K2665" s="17">
        <f t="shared" si="3"/>
        <v>0</v>
      </c>
      <c r="L2665" s="18"/>
    </row>
    <row r="2666" hidden="1">
      <c r="A2666" s="2">
        <f>IFERROR(__xludf.DUMMYFUNCTION("""COMPUTED_VALUE"""),69114.0)</f>
        <v>69114</v>
      </c>
      <c r="B2666" s="2">
        <f>IFERROR(__xludf.DUMMYFUNCTION("""COMPUTED_VALUE"""),0.0)</f>
        <v>0</v>
      </c>
      <c r="C2666" s="2">
        <f>IFERROR(__xludf.DUMMYFUNCTION("""COMPUTED_VALUE"""),322.0)</f>
        <v>322</v>
      </c>
      <c r="D2666" s="3">
        <f>IFERROR(__xludf.DUMMYFUNCTION("""COMPUTED_VALUE"""),118.0)</f>
        <v>118</v>
      </c>
      <c r="E2666" s="1" t="str">
        <f t="array" ref="E2666">_xlfn.XLOOKUP(A2666,Product!A:A,Product!B:B,"Bulunamadı")</f>
        <v>History</v>
      </c>
      <c r="F2666" s="1" t="str">
        <f t="array" ref="F2666">_xlfn.XLOOKUP(A2666,Product!A:A,Product!C:C,"Bulunamadı")</f>
        <v>Running</v>
      </c>
      <c r="G2666" s="2" t="str">
        <f t="array" ref="G2666">_xlfn.XLOOKUP(A2667,Product!A:A,Product!D:D,"Bulunamadı")</f>
        <v>Riverbridge Books</v>
      </c>
      <c r="H2666" s="2">
        <f t="array" ref="H2666">_xlfn.XLOOKUP(A2668,Product!A:A,Product!E:E,"Bulunamadı")</f>
        <v>2.41</v>
      </c>
      <c r="I2666" s="2" t="str">
        <f t="shared" si="1"/>
        <v>69114 - History - Running</v>
      </c>
      <c r="J2666" s="2">
        <f t="shared" si="2"/>
        <v>284.38</v>
      </c>
      <c r="K2666" s="17">
        <f t="shared" si="3"/>
        <v>1</v>
      </c>
      <c r="L2666" s="18"/>
    </row>
    <row r="2667" hidden="1">
      <c r="A2667" s="2">
        <f>IFERROR(__xludf.DUMMYFUNCTION("""COMPUTED_VALUE"""),79778.0)</f>
        <v>79778</v>
      </c>
      <c r="B2667" s="2">
        <f>IFERROR(__xludf.DUMMYFUNCTION("""COMPUTED_VALUE"""),0.0)</f>
        <v>0</v>
      </c>
      <c r="C2667" s="2">
        <f>IFERROR(__xludf.DUMMYFUNCTION("""COMPUTED_VALUE"""),488.0)</f>
        <v>488</v>
      </c>
      <c r="D2667" s="3">
        <f>IFERROR(__xludf.DUMMYFUNCTION("""COMPUTED_VALUE"""),37.0)</f>
        <v>37</v>
      </c>
      <c r="E2667" s="1" t="str">
        <f t="array" ref="E2667">_xlfn.XLOOKUP(A2667,Product!A:A,Product!B:B,"Bulunamadı")</f>
        <v>History</v>
      </c>
      <c r="F2667" s="1" t="str">
        <f t="array" ref="F2667">_xlfn.XLOOKUP(A2667,Product!A:A,Product!C:C,"Bulunamadı")</f>
        <v>Running</v>
      </c>
      <c r="G2667" s="2" t="str">
        <f t="array" ref="G2667">_xlfn.XLOOKUP(A2668,Product!A:A,Product!D:D,"Bulunamadı")</f>
        <v>Riverbridge Books</v>
      </c>
      <c r="H2667" s="2">
        <f t="array" ref="H2667">_xlfn.XLOOKUP(A2669,Product!A:A,Product!E:E,"Bulunamadı")</f>
        <v>2.06</v>
      </c>
      <c r="I2667" s="2" t="str">
        <f t="shared" si="1"/>
        <v>79778 - History - Running</v>
      </c>
      <c r="J2667" s="2">
        <f t="shared" si="2"/>
        <v>76.22</v>
      </c>
      <c r="K2667" s="17">
        <f t="shared" si="3"/>
        <v>1</v>
      </c>
      <c r="L2667" s="18"/>
    </row>
    <row r="2668" hidden="1">
      <c r="A2668" s="2">
        <f>IFERROR(__xludf.DUMMYFUNCTION("""COMPUTED_VALUE"""),100323.0)</f>
        <v>100323</v>
      </c>
      <c r="B2668" s="2">
        <f>IFERROR(__xludf.DUMMYFUNCTION("""COMPUTED_VALUE"""),1.0)</f>
        <v>1</v>
      </c>
      <c r="C2668" s="2">
        <f>IFERROR(__xludf.DUMMYFUNCTION("""COMPUTED_VALUE"""),471.0)</f>
        <v>471</v>
      </c>
      <c r="D2668" s="3">
        <f>IFERROR(__xludf.DUMMYFUNCTION("""COMPUTED_VALUE"""),12.0)</f>
        <v>12</v>
      </c>
      <c r="E2668" s="1" t="str">
        <f t="array" ref="E2668">_xlfn.XLOOKUP(A2668,Product!A:A,Product!B:B,"Bulunamadı")</f>
        <v>History</v>
      </c>
      <c r="F2668" s="1" t="str">
        <f t="array" ref="F2668">_xlfn.XLOOKUP(A2668,Product!A:A,Product!C:C,"Bulunamadı")</f>
        <v>Running</v>
      </c>
      <c r="G2668" s="2" t="str">
        <f t="array" ref="G2668">_xlfn.XLOOKUP(A2669,Product!A:A,Product!D:D,"Bulunamadı")</f>
        <v>Riverbridge Books</v>
      </c>
      <c r="H2668" s="2">
        <f t="array" ref="H2668">_xlfn.XLOOKUP(A2670,Product!A:A,Product!E:E,"Bulunamadı")</f>
        <v>2.28</v>
      </c>
      <c r="I2668" s="2" t="str">
        <f t="shared" si="1"/>
        <v>100323 - History - Running</v>
      </c>
      <c r="J2668" s="2">
        <f t="shared" si="2"/>
        <v>27.36</v>
      </c>
      <c r="K2668" s="17">
        <f t="shared" si="3"/>
        <v>1</v>
      </c>
      <c r="L2668" s="18"/>
    </row>
    <row r="2669" hidden="1">
      <c r="A2669" s="2">
        <f>IFERROR(__xludf.DUMMYFUNCTION("""COMPUTED_VALUE"""),69116.0)</f>
        <v>69116</v>
      </c>
      <c r="B2669" s="2">
        <f>IFERROR(__xludf.DUMMYFUNCTION("""COMPUTED_VALUE"""),0.0)</f>
        <v>0</v>
      </c>
      <c r="C2669" s="2">
        <f>IFERROR(__xludf.DUMMYFUNCTION("""COMPUTED_VALUE"""),254.0)</f>
        <v>254</v>
      </c>
      <c r="D2669" s="3">
        <f>IFERROR(__xludf.DUMMYFUNCTION("""COMPUTED_VALUE"""),212.0)</f>
        <v>212</v>
      </c>
      <c r="E2669" s="1" t="str">
        <f t="array" ref="E2669">_xlfn.XLOOKUP(A2669,Product!A:A,Product!B:B,"Bulunamadı")</f>
        <v>History</v>
      </c>
      <c r="F2669" s="1" t="str">
        <f t="array" ref="F2669">_xlfn.XLOOKUP(A2669,Product!A:A,Product!C:C,"Bulunamadı")</f>
        <v>Running</v>
      </c>
      <c r="G2669" s="2" t="str">
        <f t="array" ref="G2669">_xlfn.XLOOKUP(A2670,Product!A:A,Product!D:D,"Bulunamadı")</f>
        <v>Riverbridge Books</v>
      </c>
      <c r="H2669" s="2">
        <f t="array" ref="H2669">_xlfn.XLOOKUP(A2671,Product!A:A,Product!E:E,"Bulunamadı")</f>
        <v>1.8</v>
      </c>
      <c r="I2669" s="2" t="str">
        <f t="shared" si="1"/>
        <v>69116 - History - Running</v>
      </c>
      <c r="J2669" s="2">
        <f t="shared" si="2"/>
        <v>381.6</v>
      </c>
      <c r="K2669" s="17">
        <f t="shared" si="3"/>
        <v>1</v>
      </c>
      <c r="L2669" s="18"/>
    </row>
    <row r="2670" hidden="1">
      <c r="A2670" s="2">
        <f>IFERROR(__xludf.DUMMYFUNCTION("""COMPUTED_VALUE"""),68938.0)</f>
        <v>68938</v>
      </c>
      <c r="B2670" s="2">
        <f>IFERROR(__xludf.DUMMYFUNCTION("""COMPUTED_VALUE"""),1.0)</f>
        <v>1</v>
      </c>
      <c r="C2670" s="2">
        <f>IFERROR(__xludf.DUMMYFUNCTION("""COMPUTED_VALUE"""),858.0)</f>
        <v>858</v>
      </c>
      <c r="D2670" s="3">
        <f>IFERROR(__xludf.DUMMYFUNCTION("""COMPUTED_VALUE"""),818.0)</f>
        <v>818</v>
      </c>
      <c r="E2670" s="1" t="str">
        <f t="array" ref="E2670">_xlfn.XLOOKUP(A2670,Product!A:A,Product!B:B,"Bulunamadı")</f>
        <v>History</v>
      </c>
      <c r="F2670" s="1" t="str">
        <f t="array" ref="F2670">_xlfn.XLOOKUP(A2670,Product!A:A,Product!C:C,"Bulunamadı")</f>
        <v>Running</v>
      </c>
      <c r="G2670" s="2" t="str">
        <f t="array" ref="G2670">_xlfn.XLOOKUP(A2671,Product!A:A,Product!D:D,"Bulunamadı")</f>
        <v>Riverbridge Books</v>
      </c>
      <c r="H2670" s="2">
        <f t="array" ref="H2670">_xlfn.XLOOKUP(A2672,Product!A:A,Product!E:E,"Bulunamadı")</f>
        <v>2.21</v>
      </c>
      <c r="I2670" s="2" t="str">
        <f t="shared" si="1"/>
        <v>68938 - History - Running</v>
      </c>
      <c r="J2670" s="2">
        <f t="shared" si="2"/>
        <v>1807.78</v>
      </c>
      <c r="K2670" s="17">
        <f t="shared" si="3"/>
        <v>1</v>
      </c>
      <c r="L2670" s="18"/>
    </row>
    <row r="2671" hidden="1">
      <c r="A2671" s="2">
        <f>IFERROR(__xludf.DUMMYFUNCTION("""COMPUTED_VALUE"""),121987.0)</f>
        <v>121987</v>
      </c>
      <c r="B2671" s="2">
        <f>IFERROR(__xludf.DUMMYFUNCTION("""COMPUTED_VALUE"""),0.0)</f>
        <v>0</v>
      </c>
      <c r="C2671" s="2">
        <f>IFERROR(__xludf.DUMMYFUNCTION("""COMPUTED_VALUE"""),785.0)</f>
        <v>785</v>
      </c>
      <c r="D2671" s="3">
        <f>IFERROR(__xludf.DUMMYFUNCTION("""COMPUTED_VALUE"""),65.0)</f>
        <v>65</v>
      </c>
      <c r="E2671" s="1" t="str">
        <f t="array" ref="E2671">_xlfn.XLOOKUP(A2671,Product!A:A,Product!B:B,"Bulunamadı")</f>
        <v>History</v>
      </c>
      <c r="F2671" s="1" t="str">
        <f t="array" ref="F2671">_xlfn.XLOOKUP(A2671,Product!A:A,Product!C:C,"Bulunamadı")</f>
        <v>Running</v>
      </c>
      <c r="G2671" s="2" t="str">
        <f t="array" ref="G2671">_xlfn.XLOOKUP(A2672,Product!A:A,Product!D:D,"Bulunamadı")</f>
        <v>Riverbridge Books</v>
      </c>
      <c r="H2671" s="2">
        <f t="array" ref="H2671">_xlfn.XLOOKUP(A2673,Product!A:A,Product!E:E,"Bulunamadı")</f>
        <v>2.62</v>
      </c>
      <c r="I2671" s="2" t="str">
        <f t="shared" si="1"/>
        <v>121987 - History - Running</v>
      </c>
      <c r="J2671" s="2">
        <f t="shared" si="2"/>
        <v>170.3</v>
      </c>
      <c r="K2671" s="17">
        <f t="shared" si="3"/>
        <v>1</v>
      </c>
      <c r="L2671" s="18"/>
    </row>
    <row r="2672" hidden="1">
      <c r="A2672" s="2">
        <f>IFERROR(__xludf.DUMMYFUNCTION("""COMPUTED_VALUE"""),69113.0)</f>
        <v>69113</v>
      </c>
      <c r="B2672" s="2">
        <f>IFERROR(__xludf.DUMMYFUNCTION("""COMPUTED_VALUE"""),1.0)</f>
        <v>1</v>
      </c>
      <c r="C2672" s="2">
        <f>IFERROR(__xludf.DUMMYFUNCTION("""COMPUTED_VALUE"""),13.0)</f>
        <v>13</v>
      </c>
      <c r="D2672" s="3">
        <f>IFERROR(__xludf.DUMMYFUNCTION("""COMPUTED_VALUE"""),6.0)</f>
        <v>6</v>
      </c>
      <c r="E2672" s="1" t="str">
        <f t="array" ref="E2672">_xlfn.XLOOKUP(A2672,Product!A:A,Product!B:B,"Bulunamadı")</f>
        <v>History</v>
      </c>
      <c r="F2672" s="1" t="str">
        <f t="array" ref="F2672">_xlfn.XLOOKUP(A2672,Product!A:A,Product!C:C,"Bulunamadı")</f>
        <v>Running</v>
      </c>
      <c r="G2672" s="2" t="str">
        <f t="array" ref="G2672">_xlfn.XLOOKUP(A2673,Product!A:A,Product!D:D,"Bulunamadı")</f>
        <v>Riverbridge Books</v>
      </c>
      <c r="H2672" s="2">
        <f t="array" ref="H2672">_xlfn.XLOOKUP(A2674,Product!A:A,Product!E:E,"Bulunamadı")</f>
        <v>2.08</v>
      </c>
      <c r="I2672" s="2" t="str">
        <f t="shared" si="1"/>
        <v>69113 - History - Running</v>
      </c>
      <c r="J2672" s="2">
        <f t="shared" si="2"/>
        <v>12.48</v>
      </c>
      <c r="K2672" s="17">
        <f t="shared" si="3"/>
        <v>1</v>
      </c>
      <c r="L2672" s="18"/>
    </row>
    <row r="2673" hidden="1">
      <c r="A2673" s="2">
        <f>IFERROR(__xludf.DUMMYFUNCTION("""COMPUTED_VALUE"""),80053.0)</f>
        <v>80053</v>
      </c>
      <c r="B2673" s="2">
        <f>IFERROR(__xludf.DUMMYFUNCTION("""COMPUTED_VALUE"""),1.0)</f>
        <v>1</v>
      </c>
      <c r="C2673" s="2">
        <f>IFERROR(__xludf.DUMMYFUNCTION("""COMPUTED_VALUE"""),593.0)</f>
        <v>593</v>
      </c>
      <c r="D2673" s="3">
        <f>IFERROR(__xludf.DUMMYFUNCTION("""COMPUTED_VALUE"""),403.0)</f>
        <v>403</v>
      </c>
      <c r="E2673" s="1" t="str">
        <f t="array" ref="E2673">_xlfn.XLOOKUP(A2673,Product!A:A,Product!B:B,"Bulunamadı")</f>
        <v>History</v>
      </c>
      <c r="F2673" s="1" t="str">
        <f t="array" ref="F2673">_xlfn.XLOOKUP(A2673,Product!A:A,Product!C:C,"Bulunamadı")</f>
        <v>Running</v>
      </c>
      <c r="G2673" s="2" t="str">
        <f t="array" ref="G2673">_xlfn.XLOOKUP(A2674,Product!A:A,Product!D:D,"Bulunamadı")</f>
        <v>Riverbridge Books</v>
      </c>
      <c r="H2673" s="2">
        <f t="array" ref="H2673">_xlfn.XLOOKUP(A2675,Product!A:A,Product!E:E,"Bulunamadı")</f>
        <v>2</v>
      </c>
      <c r="I2673" s="2" t="str">
        <f t="shared" si="1"/>
        <v>80053 - History - Running</v>
      </c>
      <c r="J2673" s="2">
        <f t="shared" si="2"/>
        <v>806</v>
      </c>
      <c r="K2673" s="17">
        <f t="shared" si="3"/>
        <v>1</v>
      </c>
      <c r="L2673" s="18"/>
    </row>
    <row r="2674" hidden="1">
      <c r="A2674" s="2">
        <f>IFERROR(__xludf.DUMMYFUNCTION("""COMPUTED_VALUE"""),121986.0)</f>
        <v>121986</v>
      </c>
      <c r="B2674" s="2">
        <f>IFERROR(__xludf.DUMMYFUNCTION("""COMPUTED_VALUE"""),0.0)</f>
        <v>0</v>
      </c>
      <c r="C2674" s="2">
        <f>IFERROR(__xludf.DUMMYFUNCTION("""COMPUTED_VALUE"""),397.0)</f>
        <v>397</v>
      </c>
      <c r="D2674" s="3">
        <f>IFERROR(__xludf.DUMMYFUNCTION("""COMPUTED_VALUE"""),5.0)</f>
        <v>5</v>
      </c>
      <c r="E2674" s="1" t="str">
        <f t="array" ref="E2674">_xlfn.XLOOKUP(A2674,Product!A:A,Product!B:B,"Bulunamadı")</f>
        <v>History</v>
      </c>
      <c r="F2674" s="1" t="str">
        <f t="array" ref="F2674">_xlfn.XLOOKUP(A2674,Product!A:A,Product!C:C,"Bulunamadı")</f>
        <v>Running</v>
      </c>
      <c r="G2674" s="2" t="str">
        <f t="array" ref="G2674">_xlfn.XLOOKUP(A2675,Product!A:A,Product!D:D,"Bulunamadı")</f>
        <v>Riverbridge Books</v>
      </c>
      <c r="H2674" s="2">
        <f t="array" ref="H2674">_xlfn.XLOOKUP(A2676,Product!A:A,Product!E:E,"Bulunamadı")</f>
        <v>1.94</v>
      </c>
      <c r="I2674" s="2" t="str">
        <f t="shared" si="1"/>
        <v>121986 - History - Running</v>
      </c>
      <c r="J2674" s="2">
        <f t="shared" si="2"/>
        <v>9.7</v>
      </c>
      <c r="K2674" s="17">
        <f t="shared" si="3"/>
        <v>1</v>
      </c>
      <c r="L2674" s="18"/>
    </row>
    <row r="2675" hidden="1">
      <c r="A2675" s="2">
        <f>IFERROR(__xludf.DUMMYFUNCTION("""COMPUTED_VALUE"""),121988.0)</f>
        <v>121988</v>
      </c>
      <c r="B2675" s="2">
        <f>IFERROR(__xludf.DUMMYFUNCTION("""COMPUTED_VALUE"""),0.0)</f>
        <v>0</v>
      </c>
      <c r="C2675" s="2">
        <f>IFERROR(__xludf.DUMMYFUNCTION("""COMPUTED_VALUE"""),57.0)</f>
        <v>57</v>
      </c>
      <c r="D2675" s="3">
        <f>IFERROR(__xludf.DUMMYFUNCTION("""COMPUTED_VALUE"""),29.0)</f>
        <v>29</v>
      </c>
      <c r="E2675" s="1" t="str">
        <f t="array" ref="E2675">_xlfn.XLOOKUP(A2675,Product!A:A,Product!B:B,"Bulunamadı")</f>
        <v>History</v>
      </c>
      <c r="F2675" s="1" t="str">
        <f t="array" ref="F2675">_xlfn.XLOOKUP(A2675,Product!A:A,Product!C:C,"Bulunamadı")</f>
        <v>Running</v>
      </c>
      <c r="G2675" s="2" t="str">
        <f t="array" ref="G2675">_xlfn.XLOOKUP(A2676,Product!A:A,Product!D:D,"Bulunamadı")</f>
        <v>Riverbridge Books</v>
      </c>
      <c r="H2675" s="2">
        <f t="array" ref="H2675">_xlfn.XLOOKUP(A2677,Product!A:A,Product!E:E,"Bulunamadı")</f>
        <v>1.81</v>
      </c>
      <c r="I2675" s="2" t="str">
        <f t="shared" si="1"/>
        <v>121988 - History - Running</v>
      </c>
      <c r="J2675" s="2">
        <f t="shared" si="2"/>
        <v>52.49</v>
      </c>
      <c r="K2675" s="17">
        <f t="shared" si="3"/>
        <v>1</v>
      </c>
      <c r="L2675" s="18"/>
    </row>
    <row r="2676" hidden="1">
      <c r="A2676" s="2">
        <f>IFERROR(__xludf.DUMMYFUNCTION("""COMPUTED_VALUE"""),121990.0)</f>
        <v>121990</v>
      </c>
      <c r="B2676" s="2">
        <f>IFERROR(__xludf.DUMMYFUNCTION("""COMPUTED_VALUE"""),0.0)</f>
        <v>0</v>
      </c>
      <c r="C2676" s="2">
        <f>IFERROR(__xludf.DUMMYFUNCTION("""COMPUTED_VALUE"""),672.0)</f>
        <v>672</v>
      </c>
      <c r="D2676" s="3">
        <f>IFERROR(__xludf.DUMMYFUNCTION("""COMPUTED_VALUE"""),69.0)</f>
        <v>69</v>
      </c>
      <c r="E2676" s="1" t="str">
        <f t="array" ref="E2676">_xlfn.XLOOKUP(A2676,Product!A:A,Product!B:B,"Bulunamadı")</f>
        <v>History</v>
      </c>
      <c r="F2676" s="1" t="str">
        <f t="array" ref="F2676">_xlfn.XLOOKUP(A2676,Product!A:A,Product!C:C,"Bulunamadı")</f>
        <v>Running</v>
      </c>
      <c r="G2676" s="2" t="str">
        <f t="array" ref="G2676">_xlfn.XLOOKUP(A2677,Product!A:A,Product!D:D,"Bulunamadı")</f>
        <v>Riverbridge Books</v>
      </c>
      <c r="H2676" s="2">
        <f t="array" ref="H2676">_xlfn.XLOOKUP(A2678,Product!A:A,Product!E:E,"Bulunamadı")</f>
        <v>1.78</v>
      </c>
      <c r="I2676" s="2" t="str">
        <f t="shared" si="1"/>
        <v>121990 - History - Running</v>
      </c>
      <c r="J2676" s="2">
        <f t="shared" si="2"/>
        <v>122.82</v>
      </c>
      <c r="K2676" s="17">
        <f t="shared" si="3"/>
        <v>1</v>
      </c>
      <c r="L2676" s="18"/>
    </row>
    <row r="2677" hidden="1">
      <c r="A2677" s="2">
        <f>IFERROR(__xludf.DUMMYFUNCTION("""COMPUTED_VALUE"""),68941.0)</f>
        <v>68941</v>
      </c>
      <c r="B2677" s="2">
        <f>IFERROR(__xludf.DUMMYFUNCTION("""COMPUTED_VALUE"""),0.0)</f>
        <v>0</v>
      </c>
      <c r="C2677" s="2">
        <f>IFERROR(__xludf.DUMMYFUNCTION("""COMPUTED_VALUE"""),495.0)</f>
        <v>495</v>
      </c>
      <c r="D2677" s="3">
        <f>IFERROR(__xludf.DUMMYFUNCTION("""COMPUTED_VALUE"""),451.0)</f>
        <v>451</v>
      </c>
      <c r="E2677" s="1" t="str">
        <f t="array" ref="E2677">_xlfn.XLOOKUP(A2677,Product!A:A,Product!B:B,"Bulunamadı")</f>
        <v>History</v>
      </c>
      <c r="F2677" s="1" t="str">
        <f t="array" ref="F2677">_xlfn.XLOOKUP(A2677,Product!A:A,Product!C:C,"Bulunamadı")</f>
        <v>Running</v>
      </c>
      <c r="G2677" s="2" t="str">
        <f t="array" ref="G2677">_xlfn.XLOOKUP(A2678,Product!A:A,Product!D:D,"Bulunamadı")</f>
        <v>Riverbridge Books</v>
      </c>
      <c r="H2677" s="2">
        <f t="array" ref="H2677">_xlfn.XLOOKUP(A2679,Product!A:A,Product!E:E,"Bulunamadı")</f>
        <v>2.38</v>
      </c>
      <c r="I2677" s="2" t="str">
        <f t="shared" si="1"/>
        <v>68941 - History - Running</v>
      </c>
      <c r="J2677" s="2">
        <f t="shared" si="2"/>
        <v>1073.38</v>
      </c>
      <c r="K2677" s="17">
        <f t="shared" si="3"/>
        <v>1</v>
      </c>
      <c r="L2677" s="18"/>
    </row>
    <row r="2678" hidden="1">
      <c r="A2678" s="2">
        <f>IFERROR(__xludf.DUMMYFUNCTION("""COMPUTED_VALUE"""),69122.0)</f>
        <v>69122</v>
      </c>
      <c r="B2678" s="2">
        <f>IFERROR(__xludf.DUMMYFUNCTION("""COMPUTED_VALUE"""),0.0)</f>
        <v>0</v>
      </c>
      <c r="C2678" s="2">
        <f>IFERROR(__xludf.DUMMYFUNCTION("""COMPUTED_VALUE"""),258.0)</f>
        <v>258</v>
      </c>
      <c r="D2678" s="3">
        <f>IFERROR(__xludf.DUMMYFUNCTION("""COMPUTED_VALUE"""),235.0)</f>
        <v>235</v>
      </c>
      <c r="E2678" s="1" t="str">
        <f t="array" ref="E2678">_xlfn.XLOOKUP(A2678,Product!A:A,Product!B:B,"Bulunamadı")</f>
        <v>History</v>
      </c>
      <c r="F2678" s="1" t="str">
        <f t="array" ref="F2678">_xlfn.XLOOKUP(A2678,Product!A:A,Product!C:C,"Bulunamadı")</f>
        <v>Running</v>
      </c>
      <c r="G2678" s="2" t="str">
        <f t="array" ref="G2678">_xlfn.XLOOKUP(A2679,Product!A:A,Product!D:D,"Bulunamadı")</f>
        <v>Riverbridge Books</v>
      </c>
      <c r="H2678" s="2">
        <f t="array" ref="H2678">_xlfn.XLOOKUP(A2680,Product!A:A,Product!E:E,"Bulunamadı")</f>
        <v>3.31</v>
      </c>
      <c r="I2678" s="2" t="str">
        <f t="shared" si="1"/>
        <v>69122 - History - Running</v>
      </c>
      <c r="J2678" s="2">
        <f t="shared" si="2"/>
        <v>777.85</v>
      </c>
      <c r="K2678" s="17">
        <f t="shared" si="3"/>
        <v>1</v>
      </c>
      <c r="L2678" s="18"/>
    </row>
    <row r="2679" hidden="1">
      <c r="A2679" s="2">
        <f>IFERROR(__xludf.DUMMYFUNCTION("""COMPUTED_VALUE"""),80049.0)</f>
        <v>80049</v>
      </c>
      <c r="B2679" s="2">
        <f>IFERROR(__xludf.DUMMYFUNCTION("""COMPUTED_VALUE"""),0.0)</f>
        <v>0</v>
      </c>
      <c r="C2679" s="2">
        <f>IFERROR(__xludf.DUMMYFUNCTION("""COMPUTED_VALUE"""),76.0)</f>
        <v>76</v>
      </c>
      <c r="D2679" s="3">
        <f>IFERROR(__xludf.DUMMYFUNCTION("""COMPUTED_VALUE"""),17.0)</f>
        <v>17</v>
      </c>
      <c r="E2679" s="1" t="str">
        <f t="array" ref="E2679">_xlfn.XLOOKUP(A2679,Product!A:A,Product!B:B,"Bulunamadı")</f>
        <v>History</v>
      </c>
      <c r="F2679" s="1" t="str">
        <f t="array" ref="F2679">_xlfn.XLOOKUP(A2679,Product!A:A,Product!C:C,"Bulunamadı")</f>
        <v>Running</v>
      </c>
      <c r="G2679" s="2" t="str">
        <f t="array" ref="G2679">_xlfn.XLOOKUP(A2680,Product!A:A,Product!D:D,"Bulunamadı")</f>
        <v>Riverbridge Books</v>
      </c>
      <c r="H2679" s="2">
        <f t="array" ref="H2679">_xlfn.XLOOKUP(A2681,Product!A:A,Product!E:E,"Bulunamadı")</f>
        <v>2.14</v>
      </c>
      <c r="I2679" s="2" t="str">
        <f t="shared" si="1"/>
        <v>80049 - History - Running</v>
      </c>
      <c r="J2679" s="2">
        <f t="shared" si="2"/>
        <v>36.38</v>
      </c>
      <c r="K2679" s="17">
        <f t="shared" si="3"/>
        <v>1</v>
      </c>
      <c r="L2679" s="18"/>
    </row>
    <row r="2680" hidden="1">
      <c r="A2680" s="2">
        <f>IFERROR(__xludf.DUMMYFUNCTION("""COMPUTED_VALUE"""),121971.0)</f>
        <v>121971</v>
      </c>
      <c r="B2680" s="2">
        <f>IFERROR(__xludf.DUMMYFUNCTION("""COMPUTED_VALUE"""),1.0)</f>
        <v>1</v>
      </c>
      <c r="C2680" s="2">
        <f>IFERROR(__xludf.DUMMYFUNCTION("""COMPUTED_VALUE"""),652.0)</f>
        <v>652</v>
      </c>
      <c r="D2680" s="3">
        <f>IFERROR(__xludf.DUMMYFUNCTION("""COMPUTED_VALUE"""),527.0)</f>
        <v>527</v>
      </c>
      <c r="E2680" s="1" t="str">
        <f t="array" ref="E2680">_xlfn.XLOOKUP(A2680,Product!A:A,Product!B:B,"Bulunamadı")</f>
        <v>History</v>
      </c>
      <c r="F2680" s="1" t="str">
        <f t="array" ref="F2680">_xlfn.XLOOKUP(A2680,Product!A:A,Product!C:C,"Bulunamadı")</f>
        <v>Running</v>
      </c>
      <c r="G2680" s="2" t="str">
        <f t="array" ref="G2680">_xlfn.XLOOKUP(A2681,Product!A:A,Product!D:D,"Bulunamadı")</f>
        <v>Riverbridge Books</v>
      </c>
      <c r="H2680" s="2">
        <f t="array" ref="H2680">_xlfn.XLOOKUP(A2682,Product!A:A,Product!E:E,"Bulunamadı")</f>
        <v>2.24</v>
      </c>
      <c r="I2680" s="2" t="str">
        <f t="shared" si="1"/>
        <v>121971 - History - Running</v>
      </c>
      <c r="J2680" s="2">
        <f t="shared" si="2"/>
        <v>1180.48</v>
      </c>
      <c r="K2680" s="17">
        <f t="shared" si="3"/>
        <v>1</v>
      </c>
      <c r="L2680" s="18"/>
    </row>
    <row r="2681" hidden="1">
      <c r="A2681" s="2">
        <f>IFERROR(__xludf.DUMMYFUNCTION("""COMPUTED_VALUE"""),68945.0)</f>
        <v>68945</v>
      </c>
      <c r="B2681" s="2">
        <f>IFERROR(__xludf.DUMMYFUNCTION("""COMPUTED_VALUE"""),1.0)</f>
        <v>1</v>
      </c>
      <c r="C2681" s="2">
        <f>IFERROR(__xludf.DUMMYFUNCTION("""COMPUTED_VALUE"""),415.0)</f>
        <v>415</v>
      </c>
      <c r="D2681" s="3">
        <f>IFERROR(__xludf.DUMMYFUNCTION("""COMPUTED_VALUE"""),193.0)</f>
        <v>193</v>
      </c>
      <c r="E2681" s="1" t="str">
        <f t="array" ref="E2681">_xlfn.XLOOKUP(A2681,Product!A:A,Product!B:B,"Bulunamadı")</f>
        <v>History</v>
      </c>
      <c r="F2681" s="1" t="str">
        <f t="array" ref="F2681">_xlfn.XLOOKUP(A2681,Product!A:A,Product!C:C,"Bulunamadı")</f>
        <v>Running</v>
      </c>
      <c r="G2681" s="2" t="str">
        <f t="array" ref="G2681">_xlfn.XLOOKUP(A2682,Product!A:A,Product!D:D,"Bulunamadı")</f>
        <v>Riverbridge Books</v>
      </c>
      <c r="H2681" s="2">
        <f t="array" ref="H2681">_xlfn.XLOOKUP(A2683,Product!A:A,Product!E:E,"Bulunamadı")</f>
        <v>2.52</v>
      </c>
      <c r="I2681" s="2" t="str">
        <f t="shared" si="1"/>
        <v>68945 - History - Running</v>
      </c>
      <c r="J2681" s="2">
        <f t="shared" si="2"/>
        <v>486.36</v>
      </c>
      <c r="K2681" s="17">
        <f t="shared" si="3"/>
        <v>1</v>
      </c>
      <c r="L2681" s="18"/>
    </row>
    <row r="2682" hidden="1">
      <c r="A2682" s="2">
        <f>IFERROR(__xludf.DUMMYFUNCTION("""COMPUTED_VALUE"""),79780.0)</f>
        <v>79780</v>
      </c>
      <c r="B2682" s="2">
        <f>IFERROR(__xludf.DUMMYFUNCTION("""COMPUTED_VALUE"""),1.0)</f>
        <v>1</v>
      </c>
      <c r="C2682" s="2">
        <f>IFERROR(__xludf.DUMMYFUNCTION("""COMPUTED_VALUE"""),823.0)</f>
        <v>823</v>
      </c>
      <c r="D2682" s="3">
        <f>IFERROR(__xludf.DUMMYFUNCTION("""COMPUTED_VALUE"""),265.0)</f>
        <v>265</v>
      </c>
      <c r="E2682" s="1" t="str">
        <f t="array" ref="E2682">_xlfn.XLOOKUP(A2682,Product!A:A,Product!B:B,"Bulunamadı")</f>
        <v>History</v>
      </c>
      <c r="F2682" s="1" t="str">
        <f t="array" ref="F2682">_xlfn.XLOOKUP(A2682,Product!A:A,Product!C:C,"Bulunamadı")</f>
        <v>Running</v>
      </c>
      <c r="G2682" s="2" t="str">
        <f t="array" ref="G2682">_xlfn.XLOOKUP(A2683,Product!A:A,Product!D:D,"Bulunamadı")</f>
        <v>Riverbridge Books</v>
      </c>
      <c r="H2682" s="2">
        <f t="array" ref="H2682">_xlfn.XLOOKUP(A2684,Product!A:A,Product!E:E,"Bulunamadı")</f>
        <v>2.4</v>
      </c>
      <c r="I2682" s="2" t="str">
        <f t="shared" si="1"/>
        <v>79780 - History - Running</v>
      </c>
      <c r="J2682" s="2">
        <f t="shared" si="2"/>
        <v>636</v>
      </c>
      <c r="K2682" s="17">
        <f t="shared" si="3"/>
        <v>1</v>
      </c>
      <c r="L2682" s="18"/>
    </row>
    <row r="2683" hidden="1">
      <c r="A2683" s="2">
        <f>IFERROR(__xludf.DUMMYFUNCTION("""COMPUTED_VALUE"""),80056.0)</f>
        <v>80056</v>
      </c>
      <c r="B2683" s="2">
        <f>IFERROR(__xludf.DUMMYFUNCTION("""COMPUTED_VALUE"""),0.0)</f>
        <v>0</v>
      </c>
      <c r="C2683" s="2">
        <f>IFERROR(__xludf.DUMMYFUNCTION("""COMPUTED_VALUE"""),427.0)</f>
        <v>427</v>
      </c>
      <c r="D2683" s="3">
        <f>IFERROR(__xludf.DUMMYFUNCTION("""COMPUTED_VALUE"""),344.0)</f>
        <v>344</v>
      </c>
      <c r="E2683" s="1" t="str">
        <f t="array" ref="E2683">_xlfn.XLOOKUP(A2683,Product!A:A,Product!B:B,"Bulunamadı")</f>
        <v>History</v>
      </c>
      <c r="F2683" s="1" t="str">
        <f t="array" ref="F2683">_xlfn.XLOOKUP(A2683,Product!A:A,Product!C:C,"Bulunamadı")</f>
        <v>Running</v>
      </c>
      <c r="G2683" s="2" t="str">
        <f t="array" ref="G2683">_xlfn.XLOOKUP(A2684,Product!A:A,Product!D:D,"Bulunamadı")</f>
        <v>Riverbridge Books</v>
      </c>
      <c r="H2683" s="2">
        <f t="array" ref="H2683">_xlfn.XLOOKUP(A2685,Product!A:A,Product!E:E,"Bulunamadı")</f>
        <v>3.06</v>
      </c>
      <c r="I2683" s="2" t="str">
        <f t="shared" si="1"/>
        <v>80056 - History - Running</v>
      </c>
      <c r="J2683" s="2">
        <f t="shared" si="2"/>
        <v>1052.64</v>
      </c>
      <c r="K2683" s="17">
        <f t="shared" si="3"/>
        <v>1</v>
      </c>
      <c r="L2683" s="18"/>
    </row>
    <row r="2684" hidden="1">
      <c r="A2684" s="2">
        <f>IFERROR(__xludf.DUMMYFUNCTION("""COMPUTED_VALUE"""),80040.0)</f>
        <v>80040</v>
      </c>
      <c r="B2684" s="2">
        <f>IFERROR(__xludf.DUMMYFUNCTION("""COMPUTED_VALUE"""),1.0)</f>
        <v>1</v>
      </c>
      <c r="C2684" s="2">
        <f>IFERROR(__xludf.DUMMYFUNCTION("""COMPUTED_VALUE"""),828.0)</f>
        <v>828</v>
      </c>
      <c r="D2684" s="3">
        <f>IFERROR(__xludf.DUMMYFUNCTION("""COMPUTED_VALUE"""),716.0)</f>
        <v>716</v>
      </c>
      <c r="E2684" s="1" t="str">
        <f t="array" ref="E2684">_xlfn.XLOOKUP(A2684,Product!A:A,Product!B:B,"Bulunamadı")</f>
        <v>History</v>
      </c>
      <c r="F2684" s="1" t="str">
        <f t="array" ref="F2684">_xlfn.XLOOKUP(A2684,Product!A:A,Product!C:C,"Bulunamadı")</f>
        <v>Running</v>
      </c>
      <c r="G2684" s="2" t="str">
        <f t="array" ref="G2684">_xlfn.XLOOKUP(A2685,Product!A:A,Product!D:D,"Bulunamadı")</f>
        <v>Riverbridge Books</v>
      </c>
      <c r="H2684" s="2">
        <f t="array" ref="H2684">_xlfn.XLOOKUP(A2686,Product!A:A,Product!E:E,"Bulunamadı")</f>
        <v>2.56</v>
      </c>
      <c r="I2684" s="2" t="str">
        <f t="shared" si="1"/>
        <v>80040 - History - Running</v>
      </c>
      <c r="J2684" s="2">
        <f t="shared" si="2"/>
        <v>1832.96</v>
      </c>
      <c r="K2684" s="17">
        <f t="shared" si="3"/>
        <v>1</v>
      </c>
      <c r="L2684" s="18"/>
    </row>
    <row r="2685" hidden="1">
      <c r="A2685" s="2">
        <f>IFERROR(__xludf.DUMMYFUNCTION("""COMPUTED_VALUE"""),114480.0)</f>
        <v>114480</v>
      </c>
      <c r="B2685" s="2">
        <f>IFERROR(__xludf.DUMMYFUNCTION("""COMPUTED_VALUE"""),0.0)</f>
        <v>0</v>
      </c>
      <c r="C2685" s="2">
        <f>IFERROR(__xludf.DUMMYFUNCTION("""COMPUTED_VALUE"""),26.0)</f>
        <v>26</v>
      </c>
      <c r="D2685" s="3">
        <f>IFERROR(__xludf.DUMMYFUNCTION("""COMPUTED_VALUE"""),26.0)</f>
        <v>26</v>
      </c>
      <c r="E2685" s="1" t="str">
        <f t="array" ref="E2685">_xlfn.XLOOKUP(A2685,Product!A:A,Product!B:B,"Bulunamadı")</f>
        <v>History</v>
      </c>
      <c r="F2685" s="1" t="str">
        <f t="array" ref="F2685">_xlfn.XLOOKUP(A2685,Product!A:A,Product!C:C,"Bulunamadı")</f>
        <v>Running</v>
      </c>
      <c r="G2685" s="2" t="str">
        <f t="array" ref="G2685">_xlfn.XLOOKUP(A2686,Product!A:A,Product!D:D,"Bulunamadı")</f>
        <v>Riverbridge Books</v>
      </c>
      <c r="H2685" s="2">
        <f t="array" ref="H2685">_xlfn.XLOOKUP(A2687,Product!A:A,Product!E:E,"Bulunamadı")</f>
        <v>2.48</v>
      </c>
      <c r="I2685" s="2" t="str">
        <f t="shared" si="1"/>
        <v>114480 - History - Running</v>
      </c>
      <c r="J2685" s="2">
        <f t="shared" si="2"/>
        <v>64.48</v>
      </c>
      <c r="K2685" s="17">
        <f t="shared" si="3"/>
        <v>1</v>
      </c>
      <c r="L2685" s="18"/>
    </row>
    <row r="2686" hidden="1">
      <c r="A2686" s="2">
        <f>IFERROR(__xludf.DUMMYFUNCTION("""COMPUTED_VALUE"""),111922.0)</f>
        <v>111922</v>
      </c>
      <c r="B2686" s="2">
        <f>IFERROR(__xludf.DUMMYFUNCTION("""COMPUTED_VALUE"""),1.0)</f>
        <v>1</v>
      </c>
      <c r="C2686" s="2">
        <f>IFERROR(__xludf.DUMMYFUNCTION("""COMPUTED_VALUE"""),107.0)</f>
        <v>107</v>
      </c>
      <c r="D2686" s="3">
        <f>IFERROR(__xludf.DUMMYFUNCTION("""COMPUTED_VALUE"""),68.0)</f>
        <v>68</v>
      </c>
      <c r="E2686" s="1" t="str">
        <f t="array" ref="E2686">_xlfn.XLOOKUP(A2686,Product!A:A,Product!B:B,"Bulunamadı")</f>
        <v>History</v>
      </c>
      <c r="F2686" s="1" t="str">
        <f t="array" ref="F2686">_xlfn.XLOOKUP(A2686,Product!A:A,Product!C:C,"Bulunamadı")</f>
        <v>Running</v>
      </c>
      <c r="G2686" s="2" t="str">
        <f t="array" ref="G2686">_xlfn.XLOOKUP(A2687,Product!A:A,Product!D:D,"Bulunamadı")</f>
        <v>Riverbridge Books</v>
      </c>
      <c r="H2686" s="2">
        <f t="array" ref="H2686">_xlfn.XLOOKUP(A2688,Product!A:A,Product!E:E,"Bulunamadı")</f>
        <v>2.34</v>
      </c>
      <c r="I2686" s="2" t="str">
        <f t="shared" si="1"/>
        <v>111922 - History - Running</v>
      </c>
      <c r="J2686" s="2">
        <f t="shared" si="2"/>
        <v>159.12</v>
      </c>
      <c r="K2686" s="17">
        <f t="shared" si="3"/>
        <v>1</v>
      </c>
      <c r="L2686" s="18"/>
    </row>
    <row r="2687" hidden="1">
      <c r="A2687" s="2">
        <f>IFERROR(__xludf.DUMMYFUNCTION("""COMPUTED_VALUE"""),111924.0)</f>
        <v>111924</v>
      </c>
      <c r="B2687" s="2">
        <f>IFERROR(__xludf.DUMMYFUNCTION("""COMPUTED_VALUE"""),0.0)</f>
        <v>0</v>
      </c>
      <c r="C2687" s="2">
        <f>IFERROR(__xludf.DUMMYFUNCTION("""COMPUTED_VALUE"""),202.0)</f>
        <v>202</v>
      </c>
      <c r="D2687" s="3">
        <f>IFERROR(__xludf.DUMMYFUNCTION("""COMPUTED_VALUE"""),155.0)</f>
        <v>155</v>
      </c>
      <c r="E2687" s="1" t="str">
        <f t="array" ref="E2687">_xlfn.XLOOKUP(A2687,Product!A:A,Product!B:B,"Bulunamadı")</f>
        <v>History</v>
      </c>
      <c r="F2687" s="1" t="str">
        <f t="array" ref="F2687">_xlfn.XLOOKUP(A2687,Product!A:A,Product!C:C,"Bulunamadı")</f>
        <v>Running</v>
      </c>
      <c r="G2687" s="2" t="str">
        <f t="array" ref="G2687">_xlfn.XLOOKUP(A2688,Product!A:A,Product!D:D,"Bulunamadı")</f>
        <v>Riverbridge Books</v>
      </c>
      <c r="H2687" s="2">
        <f t="array" ref="H2687">_xlfn.XLOOKUP(A2689,Product!A:A,Product!E:E,"Bulunamadı")</f>
        <v>1.9</v>
      </c>
      <c r="I2687" s="2" t="str">
        <f t="shared" si="1"/>
        <v>111924 - History - Running</v>
      </c>
      <c r="J2687" s="2">
        <f t="shared" si="2"/>
        <v>294.5</v>
      </c>
      <c r="K2687" s="17">
        <f t="shared" si="3"/>
        <v>1</v>
      </c>
      <c r="L2687" s="18"/>
    </row>
    <row r="2688" hidden="1">
      <c r="A2688" s="2">
        <f>IFERROR(__xludf.DUMMYFUNCTION("""COMPUTED_VALUE"""),80047.0)</f>
        <v>80047</v>
      </c>
      <c r="B2688" s="2">
        <f>IFERROR(__xludf.DUMMYFUNCTION("""COMPUTED_VALUE"""),0.0)</f>
        <v>0</v>
      </c>
      <c r="C2688" s="2">
        <f>IFERROR(__xludf.DUMMYFUNCTION("""COMPUTED_VALUE"""),687.0)</f>
        <v>687</v>
      </c>
      <c r="D2688" s="3">
        <f>IFERROR(__xludf.DUMMYFUNCTION("""COMPUTED_VALUE"""),504.0)</f>
        <v>504</v>
      </c>
      <c r="E2688" s="1" t="str">
        <f t="array" ref="E2688">_xlfn.XLOOKUP(A2688,Product!A:A,Product!B:B,"Bulunamadı")</f>
        <v>History</v>
      </c>
      <c r="F2688" s="1" t="str">
        <f t="array" ref="F2688">_xlfn.XLOOKUP(A2688,Product!A:A,Product!C:C,"Bulunamadı")</f>
        <v>Running</v>
      </c>
      <c r="G2688" s="2" t="str">
        <f t="array" ref="G2688">_xlfn.XLOOKUP(A2689,Product!A:A,Product!D:D,"Bulunamadı")</f>
        <v>Riverbridge Books</v>
      </c>
      <c r="H2688" s="2">
        <f t="array" ref="H2688">_xlfn.XLOOKUP(A2690,Product!A:A,Product!E:E,"Bulunamadı")</f>
        <v>1.86</v>
      </c>
      <c r="I2688" s="2" t="str">
        <f t="shared" si="1"/>
        <v>80047 - History - Running</v>
      </c>
      <c r="J2688" s="2">
        <f t="shared" si="2"/>
        <v>937.44</v>
      </c>
      <c r="K2688" s="17">
        <f t="shared" si="3"/>
        <v>1</v>
      </c>
      <c r="L2688" s="18"/>
    </row>
    <row r="2689" hidden="1">
      <c r="A2689" s="2">
        <f>IFERROR(__xludf.DUMMYFUNCTION("""COMPUTED_VALUE"""),69121.0)</f>
        <v>69121</v>
      </c>
      <c r="B2689" s="2">
        <f>IFERROR(__xludf.DUMMYFUNCTION("""COMPUTED_VALUE"""),0.0)</f>
        <v>0</v>
      </c>
      <c r="C2689" s="2">
        <f>IFERROR(__xludf.DUMMYFUNCTION("""COMPUTED_VALUE"""),126.0)</f>
        <v>126</v>
      </c>
      <c r="D2689" s="3">
        <f>IFERROR(__xludf.DUMMYFUNCTION("""COMPUTED_VALUE"""),79.0)</f>
        <v>79</v>
      </c>
      <c r="E2689" s="1" t="str">
        <f t="array" ref="E2689">_xlfn.XLOOKUP(A2689,Product!A:A,Product!B:B,"Bulunamadı")</f>
        <v>History</v>
      </c>
      <c r="F2689" s="1" t="str">
        <f t="array" ref="F2689">_xlfn.XLOOKUP(A2689,Product!A:A,Product!C:C,"Bulunamadı")</f>
        <v>Running</v>
      </c>
      <c r="G2689" s="2" t="str">
        <f t="array" ref="G2689">_xlfn.XLOOKUP(A2690,Product!A:A,Product!D:D,"Bulunamadı")</f>
        <v>Riverbridge Books</v>
      </c>
      <c r="H2689" s="2">
        <f t="array" ref="H2689">_xlfn.XLOOKUP(A2691,Product!A:A,Product!E:E,"Bulunamadı")</f>
        <v>1.85</v>
      </c>
      <c r="I2689" s="2" t="str">
        <f t="shared" si="1"/>
        <v>69121 - History - Running</v>
      </c>
      <c r="J2689" s="2">
        <f t="shared" si="2"/>
        <v>146.15</v>
      </c>
      <c r="K2689" s="17">
        <f t="shared" si="3"/>
        <v>1</v>
      </c>
      <c r="L2689" s="18"/>
    </row>
    <row r="2690" hidden="1">
      <c r="A2690" s="2">
        <f>IFERROR(__xludf.DUMMYFUNCTION("""COMPUTED_VALUE"""),68939.0)</f>
        <v>68939</v>
      </c>
      <c r="B2690" s="2">
        <f>IFERROR(__xludf.DUMMYFUNCTION("""COMPUTED_VALUE"""),1.0)</f>
        <v>1</v>
      </c>
      <c r="C2690" s="2">
        <f>IFERROR(__xludf.DUMMYFUNCTION("""COMPUTED_VALUE"""),821.0)</f>
        <v>821</v>
      </c>
      <c r="D2690" s="3">
        <f>IFERROR(__xludf.DUMMYFUNCTION("""COMPUTED_VALUE"""),55.0)</f>
        <v>55</v>
      </c>
      <c r="E2690" s="1" t="str">
        <f t="array" ref="E2690">_xlfn.XLOOKUP(A2690,Product!A:A,Product!B:B,"Bulunamadı")</f>
        <v>History</v>
      </c>
      <c r="F2690" s="1" t="str">
        <f t="array" ref="F2690">_xlfn.XLOOKUP(A2690,Product!A:A,Product!C:C,"Bulunamadı")</f>
        <v>Running</v>
      </c>
      <c r="G2690" s="2" t="str">
        <f t="array" ref="G2690">_xlfn.XLOOKUP(A2691,Product!A:A,Product!D:D,"Bulunamadı")</f>
        <v>Riverbridge Books</v>
      </c>
      <c r="H2690" s="2">
        <f t="array" ref="H2690">_xlfn.XLOOKUP(A2692,Product!A:A,Product!E:E,"Bulunamadı")</f>
        <v>2.54</v>
      </c>
      <c r="I2690" s="2" t="str">
        <f t="shared" si="1"/>
        <v>68939 - History - Running</v>
      </c>
      <c r="J2690" s="2">
        <f t="shared" si="2"/>
        <v>139.7</v>
      </c>
      <c r="K2690" s="17">
        <f t="shared" si="3"/>
        <v>1</v>
      </c>
      <c r="L2690" s="18"/>
    </row>
    <row r="2691" hidden="1">
      <c r="A2691" s="2">
        <f>IFERROR(__xludf.DUMMYFUNCTION("""COMPUTED_VALUE"""),69124.0)</f>
        <v>69124</v>
      </c>
      <c r="B2691" s="2">
        <f>IFERROR(__xludf.DUMMYFUNCTION("""COMPUTED_VALUE"""),0.0)</f>
        <v>0</v>
      </c>
      <c r="C2691" s="2">
        <f>IFERROR(__xludf.DUMMYFUNCTION("""COMPUTED_VALUE"""),966.0)</f>
        <v>966</v>
      </c>
      <c r="D2691" s="3">
        <f>IFERROR(__xludf.DUMMYFUNCTION("""COMPUTED_VALUE"""),696.0)</f>
        <v>696</v>
      </c>
      <c r="E2691" s="1" t="str">
        <f t="array" ref="E2691">_xlfn.XLOOKUP(A2691,Product!A:A,Product!B:B,"Bulunamadı")</f>
        <v>History</v>
      </c>
      <c r="F2691" s="1" t="str">
        <f t="array" ref="F2691">_xlfn.XLOOKUP(A2691,Product!A:A,Product!C:C,"Bulunamadı")</f>
        <v>Running</v>
      </c>
      <c r="G2691" s="2" t="str">
        <f t="array" ref="G2691">_xlfn.XLOOKUP(A2692,Product!A:A,Product!D:D,"Bulunamadı")</f>
        <v>Riverbridge Books</v>
      </c>
      <c r="H2691" s="2">
        <f t="array" ref="H2691">_xlfn.XLOOKUP(A2693,Product!A:A,Product!E:E,"Bulunamadı")</f>
        <v>2.14</v>
      </c>
      <c r="I2691" s="2" t="str">
        <f t="shared" si="1"/>
        <v>69124 - History - Running</v>
      </c>
      <c r="J2691" s="2">
        <f t="shared" si="2"/>
        <v>1489.44</v>
      </c>
      <c r="K2691" s="17">
        <f t="shared" si="3"/>
        <v>1</v>
      </c>
      <c r="L2691" s="18"/>
    </row>
    <row r="2692" hidden="1">
      <c r="A2692" s="2">
        <f>IFERROR(__xludf.DUMMYFUNCTION("""COMPUTED_VALUE"""),23552.0)</f>
        <v>23552</v>
      </c>
      <c r="B2692" s="2">
        <f>IFERROR(__xludf.DUMMYFUNCTION("""COMPUTED_VALUE"""),1.0)</f>
        <v>1</v>
      </c>
      <c r="C2692" s="2">
        <f>IFERROR(__xludf.DUMMYFUNCTION("""COMPUTED_VALUE"""),251.0)</f>
        <v>251</v>
      </c>
      <c r="D2692" s="3">
        <f>IFERROR(__xludf.DUMMYFUNCTION("""COMPUTED_VALUE"""),1.0)</f>
        <v>1</v>
      </c>
      <c r="E2692" s="1" t="str">
        <f t="array" ref="E2692">_xlfn.XLOOKUP(A2692,Product!A:A,Product!B:B,"Bulunamadı")</f>
        <v>History</v>
      </c>
      <c r="F2692" s="1" t="str">
        <f t="array" ref="F2692">_xlfn.XLOOKUP(A2692,Product!A:A,Product!C:C,"Bulunamadı")</f>
        <v>Running</v>
      </c>
      <c r="G2692" s="2" t="str">
        <f t="array" ref="G2692">_xlfn.XLOOKUP(A2693,Product!A:A,Product!D:D,"Bulunamadı")</f>
        <v>Riverbridge Books</v>
      </c>
      <c r="H2692" s="2">
        <f t="array" ref="H2692">_xlfn.XLOOKUP(A2694,Product!A:A,Product!E:E,"Bulunamadı")</f>
        <v>2.21</v>
      </c>
      <c r="I2692" s="2" t="str">
        <f t="shared" si="1"/>
        <v>23552 - History - Running</v>
      </c>
      <c r="J2692" s="2">
        <f t="shared" si="2"/>
        <v>2.21</v>
      </c>
      <c r="K2692" s="17">
        <f t="shared" si="3"/>
        <v>1</v>
      </c>
      <c r="L2692" s="18"/>
    </row>
    <row r="2693" hidden="1">
      <c r="A2693" s="2">
        <f>IFERROR(__xludf.DUMMYFUNCTION("""COMPUTED_VALUE"""),68943.0)</f>
        <v>68943</v>
      </c>
      <c r="B2693" s="2">
        <f>IFERROR(__xludf.DUMMYFUNCTION("""COMPUTED_VALUE"""),1.0)</f>
        <v>1</v>
      </c>
      <c r="C2693" s="2">
        <f>IFERROR(__xludf.DUMMYFUNCTION("""COMPUTED_VALUE"""),684.0)</f>
        <v>684</v>
      </c>
      <c r="D2693" s="3">
        <f>IFERROR(__xludf.DUMMYFUNCTION("""COMPUTED_VALUE"""),474.0)</f>
        <v>474</v>
      </c>
      <c r="E2693" s="1" t="str">
        <f t="array" ref="E2693">_xlfn.XLOOKUP(A2693,Product!A:A,Product!B:B,"Bulunamadı")</f>
        <v>History</v>
      </c>
      <c r="F2693" s="1" t="str">
        <f t="array" ref="F2693">_xlfn.XLOOKUP(A2693,Product!A:A,Product!C:C,"Bulunamadı")</f>
        <v>Running</v>
      </c>
      <c r="G2693" s="2" t="str">
        <f t="array" ref="G2693">_xlfn.XLOOKUP(A2694,Product!A:A,Product!D:D,"Bulunamadı")</f>
        <v>Riverbridge Books</v>
      </c>
      <c r="H2693" s="2">
        <f t="array" ref="H2693">_xlfn.XLOOKUP(A2695,Product!A:A,Product!E:E,"Bulunamadı")</f>
        <v>2.08</v>
      </c>
      <c r="I2693" s="2" t="str">
        <f t="shared" si="1"/>
        <v>68943 - History - Running</v>
      </c>
      <c r="J2693" s="2">
        <f t="shared" si="2"/>
        <v>985.92</v>
      </c>
      <c r="K2693" s="17">
        <f t="shared" si="3"/>
        <v>1</v>
      </c>
      <c r="L2693" s="18"/>
    </row>
    <row r="2694" hidden="1">
      <c r="A2694" s="2">
        <f>IFERROR(__xludf.DUMMYFUNCTION("""COMPUTED_VALUE"""),69115.0)</f>
        <v>69115</v>
      </c>
      <c r="B2694" s="2">
        <f>IFERROR(__xludf.DUMMYFUNCTION("""COMPUTED_VALUE"""),0.0)</f>
        <v>0</v>
      </c>
      <c r="C2694" s="2">
        <f>IFERROR(__xludf.DUMMYFUNCTION("""COMPUTED_VALUE"""),367.0)</f>
        <v>367</v>
      </c>
      <c r="D2694" s="3">
        <f>IFERROR(__xludf.DUMMYFUNCTION("""COMPUTED_VALUE"""),270.0)</f>
        <v>270</v>
      </c>
      <c r="E2694" s="1" t="str">
        <f t="array" ref="E2694">_xlfn.XLOOKUP(A2694,Product!A:A,Product!B:B,"Bulunamadı")</f>
        <v>History</v>
      </c>
      <c r="F2694" s="1" t="str">
        <f t="array" ref="F2694">_xlfn.XLOOKUP(A2694,Product!A:A,Product!C:C,"Bulunamadı")</f>
        <v>Running</v>
      </c>
      <c r="G2694" s="2" t="str">
        <f t="array" ref="G2694">_xlfn.XLOOKUP(A2695,Product!A:A,Product!D:D,"Bulunamadı")</f>
        <v>Ironbridge Press</v>
      </c>
      <c r="H2694" s="2">
        <f t="array" ref="H2694">_xlfn.XLOOKUP(A2696,Product!A:A,Product!E:E,"Bulunamadı")</f>
        <v>1.85</v>
      </c>
      <c r="I2694" s="2" t="str">
        <f t="shared" si="1"/>
        <v>69115 - History - Running</v>
      </c>
      <c r="J2694" s="2">
        <f t="shared" si="2"/>
        <v>499.5</v>
      </c>
      <c r="K2694" s="17">
        <f t="shared" si="3"/>
        <v>1</v>
      </c>
      <c r="L2694" s="18"/>
    </row>
    <row r="2695" hidden="1">
      <c r="A2695" s="2">
        <f>IFERROR(__xludf.DUMMYFUNCTION("""COMPUTED_VALUE"""),81122.0)</f>
        <v>81122</v>
      </c>
      <c r="B2695" s="2">
        <f>IFERROR(__xludf.DUMMYFUNCTION("""COMPUTED_VALUE"""),1.0)</f>
        <v>1</v>
      </c>
      <c r="C2695" s="2">
        <f>IFERROR(__xludf.DUMMYFUNCTION("""COMPUTED_VALUE"""),423.0)</f>
        <v>423</v>
      </c>
      <c r="D2695" s="3">
        <f>IFERROR(__xludf.DUMMYFUNCTION("""COMPUTED_VALUE"""),422.0)</f>
        <v>422</v>
      </c>
      <c r="E2695" s="1" t="str">
        <f t="array" ref="E2695">_xlfn.XLOOKUP(A2695,Product!A:A,Product!B:B,"Bulunamadı")</f>
        <v>History</v>
      </c>
      <c r="F2695" s="1" t="str">
        <f t="array" ref="F2695">_xlfn.XLOOKUP(A2695,Product!A:A,Product!C:C,"Bulunamadı")</f>
        <v>Running</v>
      </c>
      <c r="G2695" s="2" t="str">
        <f t="array" ref="G2695">_xlfn.XLOOKUP(A2696,Product!A:A,Product!D:D,"Bulunamadı")</f>
        <v>Ironbridge Press</v>
      </c>
      <c r="H2695" s="2">
        <f t="array" ref="H2695">_xlfn.XLOOKUP(A2697,Product!A:A,Product!E:E,"Bulunamadı")</f>
        <v>3.66</v>
      </c>
      <c r="I2695" s="2" t="str">
        <f t="shared" si="1"/>
        <v>81122 - History - Running</v>
      </c>
      <c r="J2695" s="2">
        <f t="shared" si="2"/>
        <v>1544.52</v>
      </c>
      <c r="K2695" s="17">
        <f t="shared" si="3"/>
        <v>1</v>
      </c>
      <c r="L2695" s="18"/>
    </row>
    <row r="2696" hidden="1">
      <c r="A2696" s="2">
        <f>IFERROR(__xludf.DUMMYFUNCTION("""COMPUTED_VALUE"""),84672.0)</f>
        <v>84672</v>
      </c>
      <c r="B2696" s="2">
        <f>IFERROR(__xludf.DUMMYFUNCTION("""COMPUTED_VALUE"""),1.0)</f>
        <v>1</v>
      </c>
      <c r="C2696" s="2">
        <f>IFERROR(__xludf.DUMMYFUNCTION("""COMPUTED_VALUE"""),166.0)</f>
        <v>166</v>
      </c>
      <c r="D2696" s="3">
        <f>IFERROR(__xludf.DUMMYFUNCTION("""COMPUTED_VALUE"""),116.0)</f>
        <v>116</v>
      </c>
      <c r="E2696" s="1" t="str">
        <f t="array" ref="E2696">_xlfn.XLOOKUP(A2696,Product!A:A,Product!B:B,"Bulunamadı")</f>
        <v>History</v>
      </c>
      <c r="F2696" s="1" t="str">
        <f t="array" ref="F2696">_xlfn.XLOOKUP(A2696,Product!A:A,Product!C:C,"Bulunamadı")</f>
        <v>Running</v>
      </c>
      <c r="G2696" s="2" t="str">
        <f t="array" ref="G2696">_xlfn.XLOOKUP(A2697,Product!A:A,Product!D:D,"Bulunamadı")</f>
        <v>Ironbridge Press</v>
      </c>
      <c r="H2696" s="2">
        <f t="array" ref="H2696">_xlfn.XLOOKUP(A2698,Product!A:A,Product!E:E,"Bulunamadı")</f>
        <v>2.22</v>
      </c>
      <c r="I2696" s="2" t="str">
        <f t="shared" si="1"/>
        <v>84672 - History - Running</v>
      </c>
      <c r="J2696" s="2">
        <f t="shared" si="2"/>
        <v>257.52</v>
      </c>
      <c r="K2696" s="17">
        <f t="shared" si="3"/>
        <v>1</v>
      </c>
      <c r="L2696" s="18"/>
    </row>
    <row r="2697" hidden="1">
      <c r="A2697" s="2">
        <f>IFERROR(__xludf.DUMMYFUNCTION("""COMPUTED_VALUE"""),81127.0)</f>
        <v>81127</v>
      </c>
      <c r="B2697" s="2">
        <f>IFERROR(__xludf.DUMMYFUNCTION("""COMPUTED_VALUE"""),0.0)</f>
        <v>0</v>
      </c>
      <c r="C2697" s="2">
        <f>IFERROR(__xludf.DUMMYFUNCTION("""COMPUTED_VALUE"""),785.0)</f>
        <v>785</v>
      </c>
      <c r="D2697" s="3">
        <f>IFERROR(__xludf.DUMMYFUNCTION("""COMPUTED_VALUE"""),447.0)</f>
        <v>447</v>
      </c>
      <c r="E2697" s="1" t="str">
        <f t="array" ref="E2697">_xlfn.XLOOKUP(A2697,Product!A:A,Product!B:B,"Bulunamadı")</f>
        <v>History</v>
      </c>
      <c r="F2697" s="1" t="str">
        <f t="array" ref="F2697">_xlfn.XLOOKUP(A2697,Product!A:A,Product!C:C,"Bulunamadı")</f>
        <v>Running</v>
      </c>
      <c r="G2697" s="2" t="str">
        <f t="array" ref="G2697">_xlfn.XLOOKUP(A2698,Product!A:A,Product!D:D,"Bulunamadı")</f>
        <v>Ironbridge Press</v>
      </c>
      <c r="H2697" s="2">
        <f t="array" ref="H2697">_xlfn.XLOOKUP(A2699,Product!A:A,Product!E:E,"Bulunamadı")</f>
        <v>1.81</v>
      </c>
      <c r="I2697" s="2" t="str">
        <f t="shared" si="1"/>
        <v>81127 - History - Running</v>
      </c>
      <c r="J2697" s="2">
        <f t="shared" si="2"/>
        <v>809.07</v>
      </c>
      <c r="K2697" s="17">
        <f t="shared" si="3"/>
        <v>1</v>
      </c>
      <c r="L2697" s="18"/>
    </row>
    <row r="2698" hidden="1">
      <c r="A2698" s="2">
        <f>IFERROR(__xludf.DUMMYFUNCTION("""COMPUTED_VALUE"""),87858.0)</f>
        <v>87858</v>
      </c>
      <c r="B2698" s="2">
        <f>IFERROR(__xludf.DUMMYFUNCTION("""COMPUTED_VALUE"""),0.0)</f>
        <v>0</v>
      </c>
      <c r="C2698" s="2">
        <f>IFERROR(__xludf.DUMMYFUNCTION("""COMPUTED_VALUE"""),60.0)</f>
        <v>60</v>
      </c>
      <c r="D2698" s="3">
        <f>IFERROR(__xludf.DUMMYFUNCTION("""COMPUTED_VALUE"""),20.0)</f>
        <v>20</v>
      </c>
      <c r="E2698" s="1" t="str">
        <f t="array" ref="E2698">_xlfn.XLOOKUP(A2698,Product!A:A,Product!B:B,"Bulunamadı")</f>
        <v>History</v>
      </c>
      <c r="F2698" s="1" t="str">
        <f t="array" ref="F2698">_xlfn.XLOOKUP(A2698,Product!A:A,Product!C:C,"Bulunamadı")</f>
        <v>Running</v>
      </c>
      <c r="G2698" s="2" t="str">
        <f t="array" ref="G2698">_xlfn.XLOOKUP(A2699,Product!A:A,Product!D:D,"Bulunamadı")</f>
        <v>Ironbridge Press</v>
      </c>
      <c r="H2698" s="2">
        <f t="array" ref="H2698">_xlfn.XLOOKUP(A2700,Product!A:A,Product!E:E,"Bulunamadı")</f>
        <v>3.36</v>
      </c>
      <c r="I2698" s="2" t="str">
        <f t="shared" si="1"/>
        <v>87858 - History - Running</v>
      </c>
      <c r="J2698" s="2">
        <f t="shared" si="2"/>
        <v>67.2</v>
      </c>
      <c r="K2698" s="17">
        <f t="shared" si="3"/>
        <v>1</v>
      </c>
      <c r="L2698" s="18"/>
    </row>
    <row r="2699" hidden="1">
      <c r="A2699" s="2">
        <f>IFERROR(__xludf.DUMMYFUNCTION("""COMPUTED_VALUE"""),84673.0)</f>
        <v>84673</v>
      </c>
      <c r="B2699" s="2">
        <f>IFERROR(__xludf.DUMMYFUNCTION("""COMPUTED_VALUE"""),0.0)</f>
        <v>0</v>
      </c>
      <c r="C2699" s="2">
        <f>IFERROR(__xludf.DUMMYFUNCTION("""COMPUTED_VALUE"""),125.0)</f>
        <v>125</v>
      </c>
      <c r="D2699" s="3">
        <f>IFERROR(__xludf.DUMMYFUNCTION("""COMPUTED_VALUE"""),64.0)</f>
        <v>64</v>
      </c>
      <c r="E2699" s="1" t="str">
        <f t="array" ref="E2699">_xlfn.XLOOKUP(A2699,Product!A:A,Product!B:B,"Bulunamadı")</f>
        <v>History</v>
      </c>
      <c r="F2699" s="1" t="str">
        <f t="array" ref="F2699">_xlfn.XLOOKUP(A2699,Product!A:A,Product!C:C,"Bulunamadı")</f>
        <v>Running</v>
      </c>
      <c r="G2699" s="2" t="str">
        <f t="array" ref="G2699">_xlfn.XLOOKUP(A2700,Product!A:A,Product!D:D,"Bulunamadı")</f>
        <v>Ironbridge Press</v>
      </c>
      <c r="H2699" s="2">
        <f t="array" ref="H2699">_xlfn.XLOOKUP(A2701,Product!A:A,Product!E:E,"Bulunamadı")</f>
        <v>2.93</v>
      </c>
      <c r="I2699" s="2" t="str">
        <f t="shared" si="1"/>
        <v>84673 - History - Running</v>
      </c>
      <c r="J2699" s="2">
        <f t="shared" si="2"/>
        <v>187.52</v>
      </c>
      <c r="K2699" s="17">
        <f t="shared" si="3"/>
        <v>1</v>
      </c>
      <c r="L2699" s="18"/>
    </row>
    <row r="2700" hidden="1">
      <c r="A2700" s="2">
        <f>IFERROR(__xludf.DUMMYFUNCTION("""COMPUTED_VALUE"""),81064.0)</f>
        <v>81064</v>
      </c>
      <c r="B2700" s="2">
        <f>IFERROR(__xludf.DUMMYFUNCTION("""COMPUTED_VALUE"""),1.0)</f>
        <v>1</v>
      </c>
      <c r="C2700" s="2">
        <f>IFERROR(__xludf.DUMMYFUNCTION("""COMPUTED_VALUE"""),425.0)</f>
        <v>425</v>
      </c>
      <c r="D2700" s="3">
        <f>IFERROR(__xludf.DUMMYFUNCTION("""COMPUTED_VALUE"""),381.0)</f>
        <v>381</v>
      </c>
      <c r="E2700" s="1" t="str">
        <f t="array" ref="E2700">_xlfn.XLOOKUP(A2700,Product!A:A,Product!B:B,"Bulunamadı")</f>
        <v>History</v>
      </c>
      <c r="F2700" s="1" t="str">
        <f t="array" ref="F2700">_xlfn.XLOOKUP(A2700,Product!A:A,Product!C:C,"Bulunamadı")</f>
        <v>Running</v>
      </c>
      <c r="G2700" s="2" t="str">
        <f t="array" ref="G2700">_xlfn.XLOOKUP(A2701,Product!A:A,Product!D:D,"Bulunamadı")</f>
        <v>Ironbridge Press</v>
      </c>
      <c r="H2700" s="2">
        <f t="array" ref="H2700">_xlfn.XLOOKUP(A2702,Product!A:A,Product!E:E,"Bulunamadı")</f>
        <v>2.26</v>
      </c>
      <c r="I2700" s="2" t="str">
        <f t="shared" si="1"/>
        <v>81064 - History - Running</v>
      </c>
      <c r="J2700" s="2">
        <f t="shared" si="2"/>
        <v>861.06</v>
      </c>
      <c r="K2700" s="17">
        <f t="shared" si="3"/>
        <v>1</v>
      </c>
      <c r="L2700" s="18"/>
    </row>
    <row r="2701" hidden="1">
      <c r="A2701" s="2">
        <f>IFERROR(__xludf.DUMMYFUNCTION("""COMPUTED_VALUE"""),81139.0)</f>
        <v>81139</v>
      </c>
      <c r="B2701" s="2">
        <f>IFERROR(__xludf.DUMMYFUNCTION("""COMPUTED_VALUE"""),1.0)</f>
        <v>1</v>
      </c>
      <c r="C2701" s="2">
        <f>IFERROR(__xludf.DUMMYFUNCTION("""COMPUTED_VALUE"""),227.0)</f>
        <v>227</v>
      </c>
      <c r="D2701" s="3">
        <f>IFERROR(__xludf.DUMMYFUNCTION("""COMPUTED_VALUE"""),4.0)</f>
        <v>4</v>
      </c>
      <c r="E2701" s="1" t="str">
        <f t="array" ref="E2701">_xlfn.XLOOKUP(A2701,Product!A:A,Product!B:B,"Bulunamadı")</f>
        <v>History</v>
      </c>
      <c r="F2701" s="1" t="str">
        <f t="array" ref="F2701">_xlfn.XLOOKUP(A2701,Product!A:A,Product!C:C,"Bulunamadı")</f>
        <v>Running</v>
      </c>
      <c r="G2701" s="2" t="str">
        <f t="array" ref="G2701">_xlfn.XLOOKUP(A2702,Product!A:A,Product!D:D,"Bulunamadı")</f>
        <v>Ironbridge Press</v>
      </c>
      <c r="H2701" s="2">
        <f t="array" ref="H2701">_xlfn.XLOOKUP(A2703,Product!A:A,Product!E:E,"Bulunamadı")</f>
        <v>1.75</v>
      </c>
      <c r="I2701" s="2" t="str">
        <f t="shared" si="1"/>
        <v>81139 - History - Running</v>
      </c>
      <c r="J2701" s="2">
        <f t="shared" si="2"/>
        <v>7</v>
      </c>
      <c r="K2701" s="17">
        <f t="shared" si="3"/>
        <v>1</v>
      </c>
      <c r="L2701" s="18"/>
    </row>
    <row r="2702" hidden="1">
      <c r="A2702" s="2">
        <f>IFERROR(__xludf.DUMMYFUNCTION("""COMPUTED_VALUE"""),81141.0)</f>
        <v>81141</v>
      </c>
      <c r="B2702" s="2">
        <f>IFERROR(__xludf.DUMMYFUNCTION("""COMPUTED_VALUE"""),1.0)</f>
        <v>1</v>
      </c>
      <c r="C2702" s="2">
        <f>IFERROR(__xludf.DUMMYFUNCTION("""COMPUTED_VALUE"""),268.0)</f>
        <v>268</v>
      </c>
      <c r="D2702" s="3">
        <f>IFERROR(__xludf.DUMMYFUNCTION("""COMPUTED_VALUE"""),251.0)</f>
        <v>251</v>
      </c>
      <c r="E2702" s="1" t="str">
        <f t="array" ref="E2702">_xlfn.XLOOKUP(A2702,Product!A:A,Product!B:B,"Bulunamadı")</f>
        <v>History</v>
      </c>
      <c r="F2702" s="1" t="str">
        <f t="array" ref="F2702">_xlfn.XLOOKUP(A2702,Product!A:A,Product!C:C,"Bulunamadı")</f>
        <v>Running</v>
      </c>
      <c r="G2702" s="2" t="str">
        <f t="array" ref="G2702">_xlfn.XLOOKUP(A2703,Product!A:A,Product!D:D,"Bulunamadı")</f>
        <v>Ironbridge Press</v>
      </c>
      <c r="H2702" s="2">
        <f t="array" ref="H2702">_xlfn.XLOOKUP(A2704,Product!A:A,Product!E:E,"Bulunamadı")</f>
        <v>3.84</v>
      </c>
      <c r="I2702" s="2" t="str">
        <f t="shared" si="1"/>
        <v>81141 - History - Running</v>
      </c>
      <c r="J2702" s="2">
        <f t="shared" si="2"/>
        <v>963.84</v>
      </c>
      <c r="K2702" s="17">
        <f t="shared" si="3"/>
        <v>1</v>
      </c>
      <c r="L2702" s="18"/>
    </row>
    <row r="2703" hidden="1">
      <c r="A2703" s="2">
        <f>IFERROR(__xludf.DUMMYFUNCTION("""COMPUTED_VALUE"""),81054.0)</f>
        <v>81054</v>
      </c>
      <c r="B2703" s="2">
        <f>IFERROR(__xludf.DUMMYFUNCTION("""COMPUTED_VALUE"""),1.0)</f>
        <v>1</v>
      </c>
      <c r="C2703" s="2">
        <f>IFERROR(__xludf.DUMMYFUNCTION("""COMPUTED_VALUE"""),676.0)</f>
        <v>676</v>
      </c>
      <c r="D2703" s="3">
        <f>IFERROR(__xludf.DUMMYFUNCTION("""COMPUTED_VALUE"""),487.0)</f>
        <v>487</v>
      </c>
      <c r="E2703" s="1" t="str">
        <f t="array" ref="E2703">_xlfn.XLOOKUP(A2703,Product!A:A,Product!B:B,"Bulunamadı")</f>
        <v>History</v>
      </c>
      <c r="F2703" s="1" t="str">
        <f t="array" ref="F2703">_xlfn.XLOOKUP(A2703,Product!A:A,Product!C:C,"Bulunamadı")</f>
        <v>Running</v>
      </c>
      <c r="G2703" s="2" t="str">
        <f t="array" ref="G2703">_xlfn.XLOOKUP(A2704,Product!A:A,Product!D:D,"Bulunamadı")</f>
        <v>Ironbridge Press</v>
      </c>
      <c r="H2703" s="2">
        <f t="array" ref="H2703">_xlfn.XLOOKUP(A2705,Product!A:A,Product!E:E,"Bulunamadı")</f>
        <v>4.24</v>
      </c>
      <c r="I2703" s="2" t="str">
        <f t="shared" si="1"/>
        <v>81054 - History - Running</v>
      </c>
      <c r="J2703" s="2">
        <f t="shared" si="2"/>
        <v>2064.88</v>
      </c>
      <c r="K2703" s="17">
        <f t="shared" si="3"/>
        <v>1</v>
      </c>
      <c r="L2703" s="18"/>
    </row>
    <row r="2704" hidden="1">
      <c r="A2704" s="2">
        <f>IFERROR(__xludf.DUMMYFUNCTION("""COMPUTED_VALUE"""),118352.0)</f>
        <v>118352</v>
      </c>
      <c r="B2704" s="2">
        <f>IFERROR(__xludf.DUMMYFUNCTION("""COMPUTED_VALUE"""),0.0)</f>
        <v>0</v>
      </c>
      <c r="C2704" s="2">
        <f>IFERROR(__xludf.DUMMYFUNCTION("""COMPUTED_VALUE"""),478.0)</f>
        <v>478</v>
      </c>
      <c r="D2704" s="3">
        <f>IFERROR(__xludf.DUMMYFUNCTION("""COMPUTED_VALUE"""),112.0)</f>
        <v>112</v>
      </c>
      <c r="E2704" s="1" t="str">
        <f t="array" ref="E2704">_xlfn.XLOOKUP(A2704,Product!A:A,Product!B:B,"Bulunamadı")</f>
        <v>History</v>
      </c>
      <c r="F2704" s="1" t="str">
        <f t="array" ref="F2704">_xlfn.XLOOKUP(A2704,Product!A:A,Product!C:C,"Bulunamadı")</f>
        <v>Running</v>
      </c>
      <c r="G2704" s="2" t="str">
        <f t="array" ref="G2704">_xlfn.XLOOKUP(A2705,Product!A:A,Product!D:D,"Bulunamadı")</f>
        <v>Ironbridge Press</v>
      </c>
      <c r="H2704" s="2">
        <f t="array" ref="H2704">_xlfn.XLOOKUP(A2706,Product!A:A,Product!E:E,"Bulunamadı")</f>
        <v>1.8</v>
      </c>
      <c r="I2704" s="2" t="str">
        <f t="shared" si="1"/>
        <v>118352 - History - Running</v>
      </c>
      <c r="J2704" s="2">
        <f t="shared" si="2"/>
        <v>201.6</v>
      </c>
      <c r="K2704" s="17">
        <f t="shared" si="3"/>
        <v>1</v>
      </c>
      <c r="L2704" s="18"/>
    </row>
    <row r="2705" hidden="1">
      <c r="A2705" s="2">
        <f>IFERROR(__xludf.DUMMYFUNCTION("""COMPUTED_VALUE"""),81091.0)</f>
        <v>81091</v>
      </c>
      <c r="B2705" s="2">
        <f>IFERROR(__xludf.DUMMYFUNCTION("""COMPUTED_VALUE"""),0.0)</f>
        <v>0</v>
      </c>
      <c r="C2705" s="2">
        <f>IFERROR(__xludf.DUMMYFUNCTION("""COMPUTED_VALUE"""),387.0)</f>
        <v>387</v>
      </c>
      <c r="D2705" s="3">
        <f>IFERROR(__xludf.DUMMYFUNCTION("""COMPUTED_VALUE"""),210.0)</f>
        <v>210</v>
      </c>
      <c r="E2705" s="1" t="str">
        <f t="array" ref="E2705">_xlfn.XLOOKUP(A2705,Product!A:A,Product!B:B,"Bulunamadı")</f>
        <v>History</v>
      </c>
      <c r="F2705" s="1" t="str">
        <f t="array" ref="F2705">_xlfn.XLOOKUP(A2705,Product!A:A,Product!C:C,"Bulunamadı")</f>
        <v>Running</v>
      </c>
      <c r="G2705" s="2" t="str">
        <f t="array" ref="G2705">_xlfn.XLOOKUP(A2706,Product!A:A,Product!D:D,"Bulunamadı")</f>
        <v>Ironbridge Press</v>
      </c>
      <c r="H2705" s="2">
        <f t="array" ref="H2705">_xlfn.XLOOKUP(A2707,Product!A:A,Product!E:E,"Bulunamadı")</f>
        <v>2.31</v>
      </c>
      <c r="I2705" s="2" t="str">
        <f t="shared" si="1"/>
        <v>81091 - History - Running</v>
      </c>
      <c r="J2705" s="2">
        <f t="shared" si="2"/>
        <v>485.1</v>
      </c>
      <c r="K2705" s="17">
        <f t="shared" si="3"/>
        <v>1</v>
      </c>
      <c r="L2705" s="18"/>
    </row>
    <row r="2706" hidden="1">
      <c r="A2706" s="2">
        <f>IFERROR(__xludf.DUMMYFUNCTION("""COMPUTED_VALUE"""),81025.0)</f>
        <v>81025</v>
      </c>
      <c r="B2706" s="2">
        <f>IFERROR(__xludf.DUMMYFUNCTION("""COMPUTED_VALUE"""),0.0)</f>
        <v>0</v>
      </c>
      <c r="C2706" s="2">
        <f>IFERROR(__xludf.DUMMYFUNCTION("""COMPUTED_VALUE"""),370.0)</f>
        <v>370</v>
      </c>
      <c r="D2706" s="3">
        <f>IFERROR(__xludf.DUMMYFUNCTION("""COMPUTED_VALUE"""),250.0)</f>
        <v>250</v>
      </c>
      <c r="E2706" s="1" t="str">
        <f t="array" ref="E2706">_xlfn.XLOOKUP(A2706,Product!A:A,Product!B:B,"Bulunamadı")</f>
        <v>History</v>
      </c>
      <c r="F2706" s="1" t="str">
        <f t="array" ref="F2706">_xlfn.XLOOKUP(A2706,Product!A:A,Product!C:C,"Bulunamadı")</f>
        <v>Running</v>
      </c>
      <c r="G2706" s="2" t="str">
        <f t="array" ref="G2706">_xlfn.XLOOKUP(A2707,Product!A:A,Product!D:D,"Bulunamadı")</f>
        <v>Ironbridge Press</v>
      </c>
      <c r="H2706" s="2">
        <f t="array" ref="H2706">_xlfn.XLOOKUP(A2708,Product!A:A,Product!E:E,"Bulunamadı")</f>
        <v>1.57</v>
      </c>
      <c r="I2706" s="2" t="str">
        <f t="shared" si="1"/>
        <v>81025 - History - Running</v>
      </c>
      <c r="J2706" s="2">
        <f t="shared" si="2"/>
        <v>392.5</v>
      </c>
      <c r="K2706" s="17">
        <f t="shared" si="3"/>
        <v>1</v>
      </c>
      <c r="L2706" s="18"/>
    </row>
    <row r="2707" hidden="1">
      <c r="A2707" s="2">
        <f>IFERROR(__xludf.DUMMYFUNCTION("""COMPUTED_VALUE"""),81129.0)</f>
        <v>81129</v>
      </c>
      <c r="B2707" s="2">
        <f>IFERROR(__xludf.DUMMYFUNCTION("""COMPUTED_VALUE"""),0.0)</f>
        <v>0</v>
      </c>
      <c r="C2707" s="2">
        <f>IFERROR(__xludf.DUMMYFUNCTION("""COMPUTED_VALUE"""),746.0)</f>
        <v>746</v>
      </c>
      <c r="D2707" s="3">
        <f>IFERROR(__xludf.DUMMYFUNCTION("""COMPUTED_VALUE"""),581.0)</f>
        <v>581</v>
      </c>
      <c r="E2707" s="1" t="str">
        <f t="array" ref="E2707">_xlfn.XLOOKUP(A2707,Product!A:A,Product!B:B,"Bulunamadı")</f>
        <v>History</v>
      </c>
      <c r="F2707" s="1" t="str">
        <f t="array" ref="F2707">_xlfn.XLOOKUP(A2707,Product!A:A,Product!C:C,"Bulunamadı")</f>
        <v>Running</v>
      </c>
      <c r="G2707" s="2" t="str">
        <f t="array" ref="G2707">_xlfn.XLOOKUP(A2708,Product!A:A,Product!D:D,"Bulunamadı")</f>
        <v>Ironbridge Press</v>
      </c>
      <c r="H2707" s="2">
        <f t="array" ref="H2707">_xlfn.XLOOKUP(A2709,Product!A:A,Product!E:E,"Bulunamadı")</f>
        <v>2.36</v>
      </c>
      <c r="I2707" s="2" t="str">
        <f t="shared" si="1"/>
        <v>81129 - History - Running</v>
      </c>
      <c r="J2707" s="2">
        <f t="shared" si="2"/>
        <v>1371.16</v>
      </c>
      <c r="K2707" s="17">
        <f t="shared" si="3"/>
        <v>1</v>
      </c>
      <c r="L2707" s="18"/>
    </row>
    <row r="2708" hidden="1">
      <c r="A2708" s="2">
        <f>IFERROR(__xludf.DUMMYFUNCTION("""COMPUTED_VALUE"""),81043.0)</f>
        <v>81043</v>
      </c>
      <c r="B2708" s="2">
        <f>IFERROR(__xludf.DUMMYFUNCTION("""COMPUTED_VALUE"""),0.0)</f>
        <v>0</v>
      </c>
      <c r="C2708" s="2">
        <f>IFERROR(__xludf.DUMMYFUNCTION("""COMPUTED_VALUE"""),90.0)</f>
        <v>90</v>
      </c>
      <c r="D2708" s="3">
        <f>IFERROR(__xludf.DUMMYFUNCTION("""COMPUTED_VALUE"""),33.0)</f>
        <v>33</v>
      </c>
      <c r="E2708" s="1" t="str">
        <f t="array" ref="E2708">_xlfn.XLOOKUP(A2708,Product!A:A,Product!B:B,"Bulunamadı")</f>
        <v>History</v>
      </c>
      <c r="F2708" s="1" t="str">
        <f t="array" ref="F2708">_xlfn.XLOOKUP(A2708,Product!A:A,Product!C:C,"Bulunamadı")</f>
        <v>Running</v>
      </c>
      <c r="G2708" s="2" t="str">
        <f t="array" ref="G2708">_xlfn.XLOOKUP(A2709,Product!A:A,Product!D:D,"Bulunamadı")</f>
        <v>Ironbridge Press</v>
      </c>
      <c r="H2708" s="2">
        <f t="array" ref="H2708">_xlfn.XLOOKUP(A2710,Product!A:A,Product!E:E,"Bulunamadı")</f>
        <v>2</v>
      </c>
      <c r="I2708" s="2" t="str">
        <f t="shared" si="1"/>
        <v>81043 - History - Running</v>
      </c>
      <c r="J2708" s="2">
        <f t="shared" si="2"/>
        <v>66</v>
      </c>
      <c r="K2708" s="17">
        <f t="shared" si="3"/>
        <v>1</v>
      </c>
      <c r="L2708" s="18"/>
    </row>
    <row r="2709" hidden="1">
      <c r="A2709" s="2">
        <f>IFERROR(__xludf.DUMMYFUNCTION("""COMPUTED_VALUE"""),81120.0)</f>
        <v>81120</v>
      </c>
      <c r="B2709" s="2">
        <f>IFERROR(__xludf.DUMMYFUNCTION("""COMPUTED_VALUE"""),1.0)</f>
        <v>1</v>
      </c>
      <c r="C2709" s="2">
        <f>IFERROR(__xludf.DUMMYFUNCTION("""COMPUTED_VALUE"""),261.0)</f>
        <v>261</v>
      </c>
      <c r="D2709" s="3">
        <f>IFERROR(__xludf.DUMMYFUNCTION("""COMPUTED_VALUE"""),232.0)</f>
        <v>232</v>
      </c>
      <c r="E2709" s="1" t="str">
        <f t="array" ref="E2709">_xlfn.XLOOKUP(A2709,Product!A:A,Product!B:B,"Bulunamadı")</f>
        <v>History</v>
      </c>
      <c r="F2709" s="1" t="str">
        <f t="array" ref="F2709">_xlfn.XLOOKUP(A2709,Product!A:A,Product!C:C,"Bulunamadı")</f>
        <v>Running</v>
      </c>
      <c r="G2709" s="2" t="str">
        <f t="array" ref="G2709">_xlfn.XLOOKUP(A2710,Product!A:A,Product!D:D,"Bulunamadı")</f>
        <v>Ironbridge Press</v>
      </c>
      <c r="H2709" s="2">
        <f t="array" ref="H2709">_xlfn.XLOOKUP(A2711,Product!A:A,Product!E:E,"Bulunamadı")</f>
        <v>1.82</v>
      </c>
      <c r="I2709" s="2" t="str">
        <f t="shared" si="1"/>
        <v>81120 - History - Running</v>
      </c>
      <c r="J2709" s="2">
        <f t="shared" si="2"/>
        <v>422.24</v>
      </c>
      <c r="K2709" s="17">
        <f t="shared" si="3"/>
        <v>1</v>
      </c>
      <c r="L2709" s="18"/>
    </row>
    <row r="2710" hidden="1">
      <c r="A2710" s="2">
        <f>IFERROR(__xludf.DUMMYFUNCTION("""COMPUTED_VALUE"""),81109.0)</f>
        <v>81109</v>
      </c>
      <c r="B2710" s="2">
        <f>IFERROR(__xludf.DUMMYFUNCTION("""COMPUTED_VALUE"""),1.0)</f>
        <v>1</v>
      </c>
      <c r="C2710" s="2">
        <f>IFERROR(__xludf.DUMMYFUNCTION("""COMPUTED_VALUE"""),743.0)</f>
        <v>743</v>
      </c>
      <c r="D2710" s="3">
        <f>IFERROR(__xludf.DUMMYFUNCTION("""COMPUTED_VALUE"""),413.0)</f>
        <v>413</v>
      </c>
      <c r="E2710" s="1" t="str">
        <f t="array" ref="E2710">_xlfn.XLOOKUP(A2710,Product!A:A,Product!B:B,"Bulunamadı")</f>
        <v>History</v>
      </c>
      <c r="F2710" s="1" t="str">
        <f t="array" ref="F2710">_xlfn.XLOOKUP(A2710,Product!A:A,Product!C:C,"Bulunamadı")</f>
        <v>Running</v>
      </c>
      <c r="G2710" s="2" t="str">
        <f t="array" ref="G2710">_xlfn.XLOOKUP(A2711,Product!A:A,Product!D:D,"Bulunamadı")</f>
        <v>Ironbridge Press</v>
      </c>
      <c r="H2710" s="2">
        <f t="array" ref="H2710">_xlfn.XLOOKUP(A2712,Product!A:A,Product!E:E,"Bulunamadı")</f>
        <v>2.2</v>
      </c>
      <c r="I2710" s="2" t="str">
        <f t="shared" si="1"/>
        <v>81109 - History - Running</v>
      </c>
      <c r="J2710" s="2">
        <f t="shared" si="2"/>
        <v>908.6</v>
      </c>
      <c r="K2710" s="17">
        <f t="shared" si="3"/>
        <v>1</v>
      </c>
      <c r="L2710" s="18"/>
    </row>
    <row r="2711" hidden="1">
      <c r="A2711" s="2">
        <f>IFERROR(__xludf.DUMMYFUNCTION("""COMPUTED_VALUE"""),81082.0)</f>
        <v>81082</v>
      </c>
      <c r="B2711" s="2">
        <f>IFERROR(__xludf.DUMMYFUNCTION("""COMPUTED_VALUE"""),1.0)</f>
        <v>1</v>
      </c>
      <c r="C2711" s="2">
        <f>IFERROR(__xludf.DUMMYFUNCTION("""COMPUTED_VALUE"""),-3.0)</f>
        <v>-3</v>
      </c>
      <c r="D2711" s="3">
        <f>IFERROR(__xludf.DUMMYFUNCTION("""COMPUTED_VALUE"""),0.0)</f>
        <v>0</v>
      </c>
      <c r="E2711" s="1" t="str">
        <f t="array" ref="E2711">_xlfn.XLOOKUP(A2711,Product!A:A,Product!B:B,"Bulunamadı")</f>
        <v>History</v>
      </c>
      <c r="F2711" s="1" t="str">
        <f t="array" ref="F2711">_xlfn.XLOOKUP(A2711,Product!A:A,Product!C:C,"Bulunamadı")</f>
        <v>Running</v>
      </c>
      <c r="G2711" s="2" t="str">
        <f t="array" ref="G2711">_xlfn.XLOOKUP(A2712,Product!A:A,Product!D:D,"Bulunamadı")</f>
        <v>Ironbridge Press</v>
      </c>
      <c r="H2711" s="2">
        <f t="array" ref="H2711">_xlfn.XLOOKUP(A2713,Product!A:A,Product!E:E,"Bulunamadı")</f>
        <v>1.53</v>
      </c>
      <c r="I2711" s="2" t="str">
        <f t="shared" si="1"/>
        <v>81082 - History - Running</v>
      </c>
      <c r="J2711" s="2">
        <f t="shared" si="2"/>
        <v>0</v>
      </c>
      <c r="K2711" s="17">
        <f t="shared" si="3"/>
        <v>0</v>
      </c>
      <c r="L2711" s="18"/>
    </row>
    <row r="2712" hidden="1">
      <c r="A2712" s="2">
        <f>IFERROR(__xludf.DUMMYFUNCTION("""COMPUTED_VALUE"""),81036.0)</f>
        <v>81036</v>
      </c>
      <c r="B2712" s="2">
        <f>IFERROR(__xludf.DUMMYFUNCTION("""COMPUTED_VALUE"""),1.0)</f>
        <v>1</v>
      </c>
      <c r="C2712" s="2">
        <f>IFERROR(__xludf.DUMMYFUNCTION("""COMPUTED_VALUE"""),383.0)</f>
        <v>383</v>
      </c>
      <c r="D2712" s="3">
        <f>IFERROR(__xludf.DUMMYFUNCTION("""COMPUTED_VALUE"""),359.0)</f>
        <v>359</v>
      </c>
      <c r="E2712" s="1" t="str">
        <f t="array" ref="E2712">_xlfn.XLOOKUP(A2712,Product!A:A,Product!B:B,"Bulunamadı")</f>
        <v>History</v>
      </c>
      <c r="F2712" s="1" t="str">
        <f t="array" ref="F2712">_xlfn.XLOOKUP(A2712,Product!A:A,Product!C:C,"Bulunamadı")</f>
        <v>Running</v>
      </c>
      <c r="G2712" s="2" t="str">
        <f t="array" ref="G2712">_xlfn.XLOOKUP(A2713,Product!A:A,Product!D:D,"Bulunamadı")</f>
        <v>Ironbridge Press</v>
      </c>
      <c r="H2712" s="2">
        <f t="array" ref="H2712">_xlfn.XLOOKUP(A2714,Product!A:A,Product!E:E,"Bulunamadı")</f>
        <v>2.03</v>
      </c>
      <c r="I2712" s="2" t="str">
        <f t="shared" si="1"/>
        <v>81036 - History - Running</v>
      </c>
      <c r="J2712" s="2">
        <f t="shared" si="2"/>
        <v>728.77</v>
      </c>
      <c r="K2712" s="17">
        <f t="shared" si="3"/>
        <v>1</v>
      </c>
      <c r="L2712" s="18"/>
    </row>
    <row r="2713" hidden="1">
      <c r="A2713" s="2">
        <f>IFERROR(__xludf.DUMMYFUNCTION("""COMPUTED_VALUE"""),81690.0)</f>
        <v>81690</v>
      </c>
      <c r="B2713" s="2">
        <f>IFERROR(__xludf.DUMMYFUNCTION("""COMPUTED_VALUE"""),1.0)</f>
        <v>1</v>
      </c>
      <c r="C2713" s="2">
        <f>IFERROR(__xludf.DUMMYFUNCTION("""COMPUTED_VALUE"""),428.0)</f>
        <v>428</v>
      </c>
      <c r="D2713" s="3">
        <f>IFERROR(__xludf.DUMMYFUNCTION("""COMPUTED_VALUE"""),98.0)</f>
        <v>98</v>
      </c>
      <c r="E2713" s="1" t="str">
        <f t="array" ref="E2713">_xlfn.XLOOKUP(A2713,Product!A:A,Product!B:B,"Bulunamadı")</f>
        <v>History</v>
      </c>
      <c r="F2713" s="1" t="str">
        <f t="array" ref="F2713">_xlfn.XLOOKUP(A2713,Product!A:A,Product!C:C,"Bulunamadı")</f>
        <v>Running</v>
      </c>
      <c r="G2713" s="2" t="str">
        <f t="array" ref="G2713">_xlfn.XLOOKUP(A2714,Product!A:A,Product!D:D,"Bulunamadı")</f>
        <v>Ironbridge Press</v>
      </c>
      <c r="H2713" s="2">
        <f t="array" ref="H2713">_xlfn.XLOOKUP(A2715,Product!A:A,Product!E:E,"Bulunamadı")</f>
        <v>2.49</v>
      </c>
      <c r="I2713" s="2" t="str">
        <f t="shared" si="1"/>
        <v>81690 - History - Running</v>
      </c>
      <c r="J2713" s="2">
        <f t="shared" si="2"/>
        <v>244.02</v>
      </c>
      <c r="K2713" s="17">
        <f t="shared" si="3"/>
        <v>1</v>
      </c>
      <c r="L2713" s="18"/>
    </row>
    <row r="2714" hidden="1">
      <c r="A2714" s="2">
        <f>IFERROR(__xludf.DUMMYFUNCTION("""COMPUTED_VALUE"""),87849.0)</f>
        <v>87849</v>
      </c>
      <c r="B2714" s="2">
        <f>IFERROR(__xludf.DUMMYFUNCTION("""COMPUTED_VALUE"""),1.0)</f>
        <v>1</v>
      </c>
      <c r="C2714" s="2">
        <f>IFERROR(__xludf.DUMMYFUNCTION("""COMPUTED_VALUE"""),804.0)</f>
        <v>804</v>
      </c>
      <c r="D2714" s="3">
        <f>IFERROR(__xludf.DUMMYFUNCTION("""COMPUTED_VALUE"""),722.0)</f>
        <v>722</v>
      </c>
      <c r="E2714" s="1" t="str">
        <f t="array" ref="E2714">_xlfn.XLOOKUP(A2714,Product!A:A,Product!B:B,"Bulunamadı")</f>
        <v>History</v>
      </c>
      <c r="F2714" s="1" t="str">
        <f t="array" ref="F2714">_xlfn.XLOOKUP(A2714,Product!A:A,Product!C:C,"Bulunamadı")</f>
        <v>Running</v>
      </c>
      <c r="G2714" s="2" t="str">
        <f t="array" ref="G2714">_xlfn.XLOOKUP(A2715,Product!A:A,Product!D:D,"Bulunamadı")</f>
        <v>Ironbridge Press</v>
      </c>
      <c r="H2714" s="2">
        <f t="array" ref="H2714">_xlfn.XLOOKUP(A2716,Product!A:A,Product!E:E,"Bulunamadı")</f>
        <v>6.89</v>
      </c>
      <c r="I2714" s="2" t="str">
        <f t="shared" si="1"/>
        <v>87849 - History - Running</v>
      </c>
      <c r="J2714" s="2">
        <f t="shared" si="2"/>
        <v>4974.58</v>
      </c>
      <c r="K2714" s="17">
        <f t="shared" si="3"/>
        <v>1</v>
      </c>
      <c r="L2714" s="18"/>
    </row>
    <row r="2715" hidden="1">
      <c r="A2715" s="2">
        <f>IFERROR(__xludf.DUMMYFUNCTION("""COMPUTED_VALUE"""),81094.0)</f>
        <v>81094</v>
      </c>
      <c r="B2715" s="2">
        <f>IFERROR(__xludf.DUMMYFUNCTION("""COMPUTED_VALUE"""),0.0)</f>
        <v>0</v>
      </c>
      <c r="C2715" s="2">
        <f>IFERROR(__xludf.DUMMYFUNCTION("""COMPUTED_VALUE"""),85.0)</f>
        <v>85</v>
      </c>
      <c r="D2715" s="3">
        <f>IFERROR(__xludf.DUMMYFUNCTION("""COMPUTED_VALUE"""),76.0)</f>
        <v>76</v>
      </c>
      <c r="E2715" s="1" t="str">
        <f t="array" ref="E2715">_xlfn.XLOOKUP(A2715,Product!A:A,Product!B:B,"Bulunamadı")</f>
        <v>History</v>
      </c>
      <c r="F2715" s="1" t="str">
        <f t="array" ref="F2715">_xlfn.XLOOKUP(A2715,Product!A:A,Product!C:C,"Bulunamadı")</f>
        <v>Running</v>
      </c>
      <c r="G2715" s="2" t="str">
        <f t="array" ref="G2715">_xlfn.XLOOKUP(A2716,Product!A:A,Product!D:D,"Bulunamadı")</f>
        <v>Silvergrove Publishing</v>
      </c>
      <c r="H2715" s="2">
        <f t="array" ref="H2715">_xlfn.XLOOKUP(A2717,Product!A:A,Product!E:E,"Bulunamadı")</f>
        <v>1.91</v>
      </c>
      <c r="I2715" s="2" t="str">
        <f t="shared" si="1"/>
        <v>81094 - History - Running</v>
      </c>
      <c r="J2715" s="2">
        <f t="shared" si="2"/>
        <v>145.16</v>
      </c>
      <c r="K2715" s="17">
        <f t="shared" si="3"/>
        <v>1</v>
      </c>
      <c r="L2715" s="18"/>
    </row>
    <row r="2716" hidden="1">
      <c r="A2716" s="2">
        <f>IFERROR(__xludf.DUMMYFUNCTION("""COMPUTED_VALUE"""),202726.0)</f>
        <v>202726</v>
      </c>
      <c r="B2716" s="2">
        <f>IFERROR(__xludf.DUMMYFUNCTION("""COMPUTED_VALUE"""),0.0)</f>
        <v>0</v>
      </c>
      <c r="C2716" s="2">
        <f>IFERROR(__xludf.DUMMYFUNCTION("""COMPUTED_VALUE"""),374.0)</f>
        <v>374</v>
      </c>
      <c r="D2716" s="3">
        <f>IFERROR(__xludf.DUMMYFUNCTION("""COMPUTED_VALUE"""),4.0)</f>
        <v>4</v>
      </c>
      <c r="E2716" s="1" t="str">
        <f t="array" ref="E2716">_xlfn.XLOOKUP(A2716,Product!A:A,Product!B:B,"Bulunamadı")</f>
        <v>History</v>
      </c>
      <c r="F2716" s="1" t="str">
        <f t="array" ref="F2716">_xlfn.XLOOKUP(A2716,Product!A:A,Product!C:C,"Bulunamadı")</f>
        <v>Running</v>
      </c>
      <c r="G2716" s="2" t="str">
        <f t="array" ref="G2716">_xlfn.XLOOKUP(A2717,Product!A:A,Product!D:D,"Bulunamadı")</f>
        <v>Silvergrove Publishing</v>
      </c>
      <c r="H2716" s="2">
        <f t="array" ref="H2716">_xlfn.XLOOKUP(A2718,Product!A:A,Product!E:E,"Bulunamadı")</f>
        <v>2.25</v>
      </c>
      <c r="I2716" s="2" t="str">
        <f t="shared" si="1"/>
        <v>202726 - History - Running</v>
      </c>
      <c r="J2716" s="2">
        <f t="shared" si="2"/>
        <v>9</v>
      </c>
      <c r="K2716" s="17">
        <f t="shared" si="3"/>
        <v>1</v>
      </c>
      <c r="L2716" s="18"/>
    </row>
    <row r="2717" hidden="1">
      <c r="A2717" s="2">
        <f>IFERROR(__xludf.DUMMYFUNCTION("""COMPUTED_VALUE"""),101516.0)</f>
        <v>101516</v>
      </c>
      <c r="B2717" s="2">
        <f>IFERROR(__xludf.DUMMYFUNCTION("""COMPUTED_VALUE"""),1.0)</f>
        <v>1</v>
      </c>
      <c r="C2717" s="2">
        <f>IFERROR(__xludf.DUMMYFUNCTION("""COMPUTED_VALUE"""),594.0)</f>
        <v>594</v>
      </c>
      <c r="D2717" s="3">
        <f>IFERROR(__xludf.DUMMYFUNCTION("""COMPUTED_VALUE"""),296.0)</f>
        <v>296</v>
      </c>
      <c r="E2717" s="1" t="str">
        <f t="array" ref="E2717">_xlfn.XLOOKUP(A2717,Product!A:A,Product!B:B,"Bulunamadı")</f>
        <v>History</v>
      </c>
      <c r="F2717" s="1" t="str">
        <f t="array" ref="F2717">_xlfn.XLOOKUP(A2717,Product!A:A,Product!C:C,"Bulunamadı")</f>
        <v>Running</v>
      </c>
      <c r="G2717" s="2" t="str">
        <f t="array" ref="G2717">_xlfn.XLOOKUP(A2718,Product!A:A,Product!D:D,"Bulunamadı")</f>
        <v>Silvergrove Publishing</v>
      </c>
      <c r="H2717" s="2">
        <f t="array" ref="H2717">_xlfn.XLOOKUP(A2719,Product!A:A,Product!E:E,"Bulunamadı")</f>
        <v>4.12</v>
      </c>
      <c r="I2717" s="2" t="str">
        <f t="shared" si="1"/>
        <v>101516 - History - Running</v>
      </c>
      <c r="J2717" s="2">
        <f t="shared" si="2"/>
        <v>1219.52</v>
      </c>
      <c r="K2717" s="17">
        <f t="shared" si="3"/>
        <v>1</v>
      </c>
      <c r="L2717" s="18"/>
    </row>
    <row r="2718" hidden="1">
      <c r="A2718" s="2">
        <f>IFERROR(__xludf.DUMMYFUNCTION("""COMPUTED_VALUE"""),84332.0)</f>
        <v>84332</v>
      </c>
      <c r="B2718" s="2">
        <f>IFERROR(__xludf.DUMMYFUNCTION("""COMPUTED_VALUE"""),0.0)</f>
        <v>0</v>
      </c>
      <c r="C2718" s="2">
        <f>IFERROR(__xludf.DUMMYFUNCTION("""COMPUTED_VALUE"""),337.0)</f>
        <v>337</v>
      </c>
      <c r="D2718" s="3">
        <f>IFERROR(__xludf.DUMMYFUNCTION("""COMPUTED_VALUE"""),39.0)</f>
        <v>39</v>
      </c>
      <c r="E2718" s="1" t="str">
        <f t="array" ref="E2718">_xlfn.XLOOKUP(A2718,Product!A:A,Product!B:B,"Bulunamadı")</f>
        <v>History</v>
      </c>
      <c r="F2718" s="1" t="str">
        <f t="array" ref="F2718">_xlfn.XLOOKUP(A2718,Product!A:A,Product!C:C,"Bulunamadı")</f>
        <v>Running</v>
      </c>
      <c r="G2718" s="2" t="str">
        <f t="array" ref="G2718">_xlfn.XLOOKUP(A2719,Product!A:A,Product!D:D,"Bulunamadı")</f>
        <v>Silvergrove Publishing</v>
      </c>
      <c r="H2718" s="2">
        <f t="array" ref="H2718">_xlfn.XLOOKUP(A2720,Product!A:A,Product!E:E,"Bulunamadı")</f>
        <v>1.94</v>
      </c>
      <c r="I2718" s="2" t="str">
        <f t="shared" si="1"/>
        <v>84332 - History - Running</v>
      </c>
      <c r="J2718" s="2">
        <f t="shared" si="2"/>
        <v>75.66</v>
      </c>
      <c r="K2718" s="17">
        <f t="shared" si="3"/>
        <v>1</v>
      </c>
      <c r="L2718" s="18"/>
    </row>
    <row r="2719" hidden="1">
      <c r="A2719" s="2">
        <f>IFERROR(__xludf.DUMMYFUNCTION("""COMPUTED_VALUE"""),16959.0)</f>
        <v>16959</v>
      </c>
      <c r="B2719" s="2">
        <f>IFERROR(__xludf.DUMMYFUNCTION("""COMPUTED_VALUE"""),1.0)</f>
        <v>1</v>
      </c>
      <c r="C2719" s="2">
        <f>IFERROR(__xludf.DUMMYFUNCTION("""COMPUTED_VALUE"""),410.0)</f>
        <v>410</v>
      </c>
      <c r="D2719" s="3">
        <f>IFERROR(__xludf.DUMMYFUNCTION("""COMPUTED_VALUE"""),18.0)</f>
        <v>18</v>
      </c>
      <c r="E2719" s="1" t="str">
        <f t="array" ref="E2719">_xlfn.XLOOKUP(A2719,Product!A:A,Product!B:B,"Bulunamadı")</f>
        <v>History</v>
      </c>
      <c r="F2719" s="1" t="str">
        <f t="array" ref="F2719">_xlfn.XLOOKUP(A2719,Product!A:A,Product!C:C,"Bulunamadı")</f>
        <v>Running</v>
      </c>
      <c r="G2719" s="2" t="str">
        <f t="array" ref="G2719">_xlfn.XLOOKUP(A2720,Product!A:A,Product!D:D,"Bulunamadı")</f>
        <v>Silvergrove Publishing</v>
      </c>
      <c r="H2719" s="2">
        <f t="array" ref="H2719">_xlfn.XLOOKUP(A2721,Product!A:A,Product!E:E,"Bulunamadı")</f>
        <v>3.71</v>
      </c>
      <c r="I2719" s="2" t="str">
        <f t="shared" si="1"/>
        <v>16959 - History - Running</v>
      </c>
      <c r="J2719" s="2">
        <f t="shared" si="2"/>
        <v>66.78</v>
      </c>
      <c r="K2719" s="17">
        <f t="shared" si="3"/>
        <v>1</v>
      </c>
      <c r="L2719" s="18"/>
    </row>
    <row r="2720" hidden="1">
      <c r="A2720" s="2">
        <f>IFERROR(__xludf.DUMMYFUNCTION("""COMPUTED_VALUE"""),87762.0)</f>
        <v>87762</v>
      </c>
      <c r="B2720" s="2">
        <f>IFERROR(__xludf.DUMMYFUNCTION("""COMPUTED_VALUE"""),1.0)</f>
        <v>1</v>
      </c>
      <c r="C2720" s="2">
        <f>IFERROR(__xludf.DUMMYFUNCTION("""COMPUTED_VALUE"""),776.0)</f>
        <v>776</v>
      </c>
      <c r="D2720" s="3">
        <f>IFERROR(__xludf.DUMMYFUNCTION("""COMPUTED_VALUE"""),159.0)</f>
        <v>159</v>
      </c>
      <c r="E2720" s="1" t="str">
        <f t="array" ref="E2720">_xlfn.XLOOKUP(A2720,Product!A:A,Product!B:B,"Bulunamadı")</f>
        <v>History</v>
      </c>
      <c r="F2720" s="1" t="str">
        <f t="array" ref="F2720">_xlfn.XLOOKUP(A2720,Product!A:A,Product!C:C,"Bulunamadı")</f>
        <v>Running</v>
      </c>
      <c r="G2720" s="2" t="str">
        <f t="array" ref="G2720">_xlfn.XLOOKUP(A2721,Product!A:A,Product!D:D,"Bulunamadı")</f>
        <v>Silvergrove Publishing</v>
      </c>
      <c r="H2720" s="2">
        <f t="array" ref="H2720">_xlfn.XLOOKUP(A2722,Product!A:A,Product!E:E,"Bulunamadı")</f>
        <v>3.86</v>
      </c>
      <c r="I2720" s="2" t="str">
        <f t="shared" si="1"/>
        <v>87762 - History - Running</v>
      </c>
      <c r="J2720" s="2">
        <f t="shared" si="2"/>
        <v>613.74</v>
      </c>
      <c r="K2720" s="17">
        <f t="shared" si="3"/>
        <v>1</v>
      </c>
      <c r="L2720" s="18"/>
    </row>
    <row r="2721" hidden="1">
      <c r="A2721" s="2">
        <f>IFERROR(__xludf.DUMMYFUNCTION("""COMPUTED_VALUE"""),16952.0)</f>
        <v>16952</v>
      </c>
      <c r="B2721" s="2">
        <f>IFERROR(__xludf.DUMMYFUNCTION("""COMPUTED_VALUE"""),1.0)</f>
        <v>1</v>
      </c>
      <c r="C2721" s="2">
        <f>IFERROR(__xludf.DUMMYFUNCTION("""COMPUTED_VALUE"""),117.0)</f>
        <v>117</v>
      </c>
      <c r="D2721" s="3">
        <f>IFERROR(__xludf.DUMMYFUNCTION("""COMPUTED_VALUE"""),3.0)</f>
        <v>3</v>
      </c>
      <c r="E2721" s="1" t="str">
        <f t="array" ref="E2721">_xlfn.XLOOKUP(A2721,Product!A:A,Product!B:B,"Bulunamadı")</f>
        <v>History</v>
      </c>
      <c r="F2721" s="1" t="str">
        <f t="array" ref="F2721">_xlfn.XLOOKUP(A2721,Product!A:A,Product!C:C,"Bulunamadı")</f>
        <v>Running</v>
      </c>
      <c r="G2721" s="2" t="str">
        <f t="array" ref="G2721">_xlfn.XLOOKUP(A2722,Product!A:A,Product!D:D,"Bulunamadı")</f>
        <v>Silvergrove Publishing</v>
      </c>
      <c r="H2721" s="2">
        <f t="array" ref="H2721">_xlfn.XLOOKUP(A2723,Product!A:A,Product!E:E,"Bulunamadı")</f>
        <v>3.62</v>
      </c>
      <c r="I2721" s="2" t="str">
        <f t="shared" si="1"/>
        <v>16952 - History - Running</v>
      </c>
      <c r="J2721" s="2">
        <f t="shared" si="2"/>
        <v>10.86</v>
      </c>
      <c r="K2721" s="17">
        <f t="shared" si="3"/>
        <v>1</v>
      </c>
      <c r="L2721" s="18"/>
    </row>
    <row r="2722" hidden="1">
      <c r="A2722" s="2">
        <f>IFERROR(__xludf.DUMMYFUNCTION("""COMPUTED_VALUE"""),16958.0)</f>
        <v>16958</v>
      </c>
      <c r="B2722" s="2">
        <f>IFERROR(__xludf.DUMMYFUNCTION("""COMPUTED_VALUE"""),1.0)</f>
        <v>1</v>
      </c>
      <c r="C2722" s="2">
        <f>IFERROR(__xludf.DUMMYFUNCTION("""COMPUTED_VALUE"""),217.0)</f>
        <v>217</v>
      </c>
      <c r="D2722" s="3">
        <f>IFERROR(__xludf.DUMMYFUNCTION("""COMPUTED_VALUE"""),143.0)</f>
        <v>143</v>
      </c>
      <c r="E2722" s="1" t="str">
        <f t="array" ref="E2722">_xlfn.XLOOKUP(A2722,Product!A:A,Product!B:B,"Bulunamadı")</f>
        <v>History</v>
      </c>
      <c r="F2722" s="1" t="str">
        <f t="array" ref="F2722">_xlfn.XLOOKUP(A2722,Product!A:A,Product!C:C,"Bulunamadı")</f>
        <v>Running</v>
      </c>
      <c r="G2722" s="2" t="str">
        <f t="array" ref="G2722">_xlfn.XLOOKUP(A2723,Product!A:A,Product!D:D,"Bulunamadı")</f>
        <v>Silvergrove Publishing</v>
      </c>
      <c r="H2722" s="2">
        <f t="array" ref="H2722">_xlfn.XLOOKUP(A2724,Product!A:A,Product!E:E,"Bulunamadı")</f>
        <v>2.46</v>
      </c>
      <c r="I2722" s="2" t="str">
        <f t="shared" si="1"/>
        <v>16958 - History - Running</v>
      </c>
      <c r="J2722" s="2">
        <f t="shared" si="2"/>
        <v>351.78</v>
      </c>
      <c r="K2722" s="17">
        <f t="shared" si="3"/>
        <v>1</v>
      </c>
      <c r="L2722" s="18"/>
    </row>
    <row r="2723" hidden="1">
      <c r="A2723" s="2">
        <f>IFERROR(__xludf.DUMMYFUNCTION("""COMPUTED_VALUE"""),16950.0)</f>
        <v>16950</v>
      </c>
      <c r="B2723" s="2">
        <f>IFERROR(__xludf.DUMMYFUNCTION("""COMPUTED_VALUE"""),0.0)</f>
        <v>0</v>
      </c>
      <c r="C2723" s="2">
        <f>IFERROR(__xludf.DUMMYFUNCTION("""COMPUTED_VALUE"""),143.0)</f>
        <v>143</v>
      </c>
      <c r="D2723" s="3">
        <f>IFERROR(__xludf.DUMMYFUNCTION("""COMPUTED_VALUE"""),131.0)</f>
        <v>131</v>
      </c>
      <c r="E2723" s="1" t="str">
        <f t="array" ref="E2723">_xlfn.XLOOKUP(A2723,Product!A:A,Product!B:B,"Bulunamadı")</f>
        <v>History</v>
      </c>
      <c r="F2723" s="1" t="str">
        <f t="array" ref="F2723">_xlfn.XLOOKUP(A2723,Product!A:A,Product!C:C,"Bulunamadı")</f>
        <v>Running</v>
      </c>
      <c r="G2723" s="2" t="str">
        <f t="array" ref="G2723">_xlfn.XLOOKUP(A2724,Product!A:A,Product!D:D,"Bulunamadı")</f>
        <v>Silvergrove Publishing</v>
      </c>
      <c r="H2723" s="2">
        <f t="array" ref="H2723">_xlfn.XLOOKUP(A2725,Product!A:A,Product!E:E,"Bulunamadı")</f>
        <v>7.24</v>
      </c>
      <c r="I2723" s="2" t="str">
        <f t="shared" si="1"/>
        <v>16950 - History - Running</v>
      </c>
      <c r="J2723" s="2">
        <f t="shared" si="2"/>
        <v>948.44</v>
      </c>
      <c r="K2723" s="17">
        <f t="shared" si="3"/>
        <v>1</v>
      </c>
      <c r="L2723" s="18"/>
    </row>
    <row r="2724" hidden="1">
      <c r="A2724" s="2">
        <f>IFERROR(__xludf.DUMMYFUNCTION("""COMPUTED_VALUE"""),102266.0)</f>
        <v>102266</v>
      </c>
      <c r="B2724" s="2">
        <f>IFERROR(__xludf.DUMMYFUNCTION("""COMPUTED_VALUE"""),1.0)</f>
        <v>1</v>
      </c>
      <c r="C2724" s="2">
        <f>IFERROR(__xludf.DUMMYFUNCTION("""COMPUTED_VALUE"""),505.0)</f>
        <v>505</v>
      </c>
      <c r="D2724" s="3">
        <f>IFERROR(__xludf.DUMMYFUNCTION("""COMPUTED_VALUE"""),419.0)</f>
        <v>419</v>
      </c>
      <c r="E2724" s="1" t="str">
        <f t="array" ref="E2724">_xlfn.XLOOKUP(A2724,Product!A:A,Product!B:B,"Bulunamadı")</f>
        <v>History</v>
      </c>
      <c r="F2724" s="1" t="str">
        <f t="array" ref="F2724">_xlfn.XLOOKUP(A2724,Product!A:A,Product!C:C,"Bulunamadı")</f>
        <v>Running</v>
      </c>
      <c r="G2724" s="2" t="str">
        <f t="array" ref="G2724">_xlfn.XLOOKUP(A2725,Product!A:A,Product!D:D,"Bulunamadı")</f>
        <v>Silvergrove Publishing</v>
      </c>
      <c r="H2724" s="2">
        <f t="array" ref="H2724">_xlfn.XLOOKUP(A2726,Product!A:A,Product!E:E,"Bulunamadı")</f>
        <v>1.99</v>
      </c>
      <c r="I2724" s="2" t="str">
        <f t="shared" si="1"/>
        <v>102266 - History - Running</v>
      </c>
      <c r="J2724" s="2">
        <f t="shared" si="2"/>
        <v>833.81</v>
      </c>
      <c r="K2724" s="17">
        <f t="shared" si="3"/>
        <v>1</v>
      </c>
      <c r="L2724" s="18"/>
    </row>
    <row r="2725" hidden="1">
      <c r="A2725" s="2">
        <f>IFERROR(__xludf.DUMMYFUNCTION("""COMPUTED_VALUE"""),202746.0)</f>
        <v>202746</v>
      </c>
      <c r="B2725" s="2">
        <f>IFERROR(__xludf.DUMMYFUNCTION("""COMPUTED_VALUE"""),0.0)</f>
        <v>0</v>
      </c>
      <c r="C2725" s="2">
        <f>IFERROR(__xludf.DUMMYFUNCTION("""COMPUTED_VALUE"""),496.0)</f>
        <v>496</v>
      </c>
      <c r="D2725" s="3">
        <f>IFERROR(__xludf.DUMMYFUNCTION("""COMPUTED_VALUE"""),482.0)</f>
        <v>482</v>
      </c>
      <c r="E2725" s="1" t="str">
        <f t="array" ref="E2725">_xlfn.XLOOKUP(A2725,Product!A:A,Product!B:B,"Bulunamadı")</f>
        <v>History</v>
      </c>
      <c r="F2725" s="1" t="str">
        <f t="array" ref="F2725">_xlfn.XLOOKUP(A2725,Product!A:A,Product!C:C,"Bulunamadı")</f>
        <v>Running</v>
      </c>
      <c r="G2725" s="2" t="str">
        <f t="array" ref="G2725">_xlfn.XLOOKUP(A2726,Product!A:A,Product!D:D,"Bulunamadı")</f>
        <v>Silvergrove Publishing</v>
      </c>
      <c r="H2725" s="2">
        <f t="array" ref="H2725">_xlfn.XLOOKUP(A2727,Product!A:A,Product!E:E,"Bulunamadı")</f>
        <v>1.55</v>
      </c>
      <c r="I2725" s="2" t="str">
        <f t="shared" si="1"/>
        <v>202746 - History - Running</v>
      </c>
      <c r="J2725" s="2">
        <f t="shared" si="2"/>
        <v>747.1</v>
      </c>
      <c r="K2725" s="17">
        <f t="shared" si="3"/>
        <v>1</v>
      </c>
      <c r="L2725" s="18"/>
    </row>
    <row r="2726" hidden="1">
      <c r="A2726" s="2">
        <f>IFERROR(__xludf.DUMMYFUNCTION("""COMPUTED_VALUE"""),101519.0)</f>
        <v>101519</v>
      </c>
      <c r="B2726" s="2">
        <f>IFERROR(__xludf.DUMMYFUNCTION("""COMPUTED_VALUE"""),1.0)</f>
        <v>1</v>
      </c>
      <c r="C2726" s="2">
        <f>IFERROR(__xludf.DUMMYFUNCTION("""COMPUTED_VALUE"""),600.0)</f>
        <v>600</v>
      </c>
      <c r="D2726" s="3">
        <f>IFERROR(__xludf.DUMMYFUNCTION("""COMPUTED_VALUE"""),504.0)</f>
        <v>504</v>
      </c>
      <c r="E2726" s="1" t="str">
        <f t="array" ref="E2726">_xlfn.XLOOKUP(A2726,Product!A:A,Product!B:B,"Bulunamadı")</f>
        <v>History</v>
      </c>
      <c r="F2726" s="1" t="str">
        <f t="array" ref="F2726">_xlfn.XLOOKUP(A2726,Product!A:A,Product!C:C,"Bulunamadı")</f>
        <v>Running</v>
      </c>
      <c r="G2726" s="2" t="str">
        <f t="array" ref="G2726">_xlfn.XLOOKUP(A2727,Product!A:A,Product!D:D,"Bulunamadı")</f>
        <v>Silvergrove Publishing</v>
      </c>
      <c r="H2726" s="2">
        <f t="array" ref="H2726">_xlfn.XLOOKUP(A2728,Product!A:A,Product!E:E,"Bulunamadı")</f>
        <v>2.24</v>
      </c>
      <c r="I2726" s="2" t="str">
        <f t="shared" si="1"/>
        <v>101519 - History - Running</v>
      </c>
      <c r="J2726" s="2">
        <f t="shared" si="2"/>
        <v>1128.96</v>
      </c>
      <c r="K2726" s="17">
        <f t="shared" si="3"/>
        <v>1</v>
      </c>
      <c r="L2726" s="18"/>
    </row>
    <row r="2727" hidden="1">
      <c r="A2727" s="2">
        <f>IFERROR(__xludf.DUMMYFUNCTION("""COMPUTED_VALUE"""),81688.0)</f>
        <v>81688</v>
      </c>
      <c r="B2727" s="2">
        <f>IFERROR(__xludf.DUMMYFUNCTION("""COMPUTED_VALUE"""),1.0)</f>
        <v>1</v>
      </c>
      <c r="C2727" s="2">
        <f>IFERROR(__xludf.DUMMYFUNCTION("""COMPUTED_VALUE"""),539.0)</f>
        <v>539</v>
      </c>
      <c r="D2727" s="3">
        <f>IFERROR(__xludf.DUMMYFUNCTION("""COMPUTED_VALUE"""),307.0)</f>
        <v>307</v>
      </c>
      <c r="E2727" s="1" t="str">
        <f t="array" ref="E2727">_xlfn.XLOOKUP(A2727,Product!A:A,Product!B:B,"Bulunamadı")</f>
        <v>History</v>
      </c>
      <c r="F2727" s="1" t="str">
        <f t="array" ref="F2727">_xlfn.XLOOKUP(A2727,Product!A:A,Product!C:C,"Bulunamadı")</f>
        <v>Running</v>
      </c>
      <c r="G2727" s="2" t="str">
        <f t="array" ref="G2727">_xlfn.XLOOKUP(A2728,Product!A:A,Product!D:D,"Bulunamadı")</f>
        <v>Silvergrove Publishing</v>
      </c>
      <c r="H2727" s="2">
        <f t="array" ref="H2727">_xlfn.XLOOKUP(A2729,Product!A:A,Product!E:E,"Bulunamadı")</f>
        <v>3.8</v>
      </c>
      <c r="I2727" s="2" t="str">
        <f t="shared" si="1"/>
        <v>81688 - History - Running</v>
      </c>
      <c r="J2727" s="2">
        <f t="shared" si="2"/>
        <v>1166.6</v>
      </c>
      <c r="K2727" s="17">
        <f t="shared" si="3"/>
        <v>1</v>
      </c>
      <c r="L2727" s="18"/>
    </row>
    <row r="2728" hidden="1">
      <c r="A2728" s="2">
        <f>IFERROR(__xludf.DUMMYFUNCTION("""COMPUTED_VALUE"""),120365.0)</f>
        <v>120365</v>
      </c>
      <c r="B2728" s="2">
        <f>IFERROR(__xludf.DUMMYFUNCTION("""COMPUTED_VALUE"""),1.0)</f>
        <v>1</v>
      </c>
      <c r="C2728" s="2">
        <f>IFERROR(__xludf.DUMMYFUNCTION("""COMPUTED_VALUE"""),279.0)</f>
        <v>279</v>
      </c>
      <c r="D2728" s="3">
        <f>IFERROR(__xludf.DUMMYFUNCTION("""COMPUTED_VALUE"""),141.0)</f>
        <v>141</v>
      </c>
      <c r="E2728" s="1" t="str">
        <f t="array" ref="E2728">_xlfn.XLOOKUP(A2728,Product!A:A,Product!B:B,"Bulunamadı")</f>
        <v>History</v>
      </c>
      <c r="F2728" s="1" t="str">
        <f t="array" ref="F2728">_xlfn.XLOOKUP(A2728,Product!A:A,Product!C:C,"Bulunamadı")</f>
        <v>Running</v>
      </c>
      <c r="G2728" s="2" t="str">
        <f t="array" ref="G2728">_xlfn.XLOOKUP(A2729,Product!A:A,Product!D:D,"Bulunamadı")</f>
        <v>Silvergrove Publishing</v>
      </c>
      <c r="H2728" s="2">
        <f t="array" ref="H2728">_xlfn.XLOOKUP(A2730,Product!A:A,Product!E:E,"Bulunamadı")</f>
        <v>1.94</v>
      </c>
      <c r="I2728" s="2" t="str">
        <f t="shared" si="1"/>
        <v>120365 - History - Running</v>
      </c>
      <c r="J2728" s="2">
        <f t="shared" si="2"/>
        <v>273.54</v>
      </c>
      <c r="K2728" s="17">
        <f t="shared" si="3"/>
        <v>1</v>
      </c>
      <c r="L2728" s="18"/>
    </row>
    <row r="2729" hidden="1">
      <c r="A2729" s="2">
        <f>IFERROR(__xludf.DUMMYFUNCTION("""COMPUTED_VALUE"""),3438.0)</f>
        <v>3438</v>
      </c>
      <c r="B2729" s="2">
        <f>IFERROR(__xludf.DUMMYFUNCTION("""COMPUTED_VALUE"""),1.0)</f>
        <v>1</v>
      </c>
      <c r="C2729" s="2">
        <f>IFERROR(__xludf.DUMMYFUNCTION("""COMPUTED_VALUE"""),724.0)</f>
        <v>724</v>
      </c>
      <c r="D2729" s="3">
        <f>IFERROR(__xludf.DUMMYFUNCTION("""COMPUTED_VALUE"""),668.0)</f>
        <v>668</v>
      </c>
      <c r="E2729" s="1" t="str">
        <f t="array" ref="E2729">_xlfn.XLOOKUP(A2729,Product!A:A,Product!B:B,"Bulunamadı")</f>
        <v>History</v>
      </c>
      <c r="F2729" s="1" t="str">
        <f t="array" ref="F2729">_xlfn.XLOOKUP(A2729,Product!A:A,Product!C:C,"Bulunamadı")</f>
        <v>Running</v>
      </c>
      <c r="G2729" s="2" t="str">
        <f t="array" ref="G2729">_xlfn.XLOOKUP(A2730,Product!A:A,Product!D:D,"Bulunamadı")</f>
        <v>Silvergrove Publishing</v>
      </c>
      <c r="H2729" s="2">
        <f t="array" ref="H2729">_xlfn.XLOOKUP(A2731,Product!A:A,Product!E:E,"Bulunamadı")</f>
        <v>2.08</v>
      </c>
      <c r="I2729" s="2" t="str">
        <f t="shared" si="1"/>
        <v>3438 - History - Running</v>
      </c>
      <c r="J2729" s="2">
        <f t="shared" si="2"/>
        <v>1389.44</v>
      </c>
      <c r="K2729" s="17">
        <f t="shared" si="3"/>
        <v>1</v>
      </c>
      <c r="L2729" s="18"/>
    </row>
    <row r="2730" hidden="1">
      <c r="A2730" s="2">
        <f>IFERROR(__xludf.DUMMYFUNCTION("""COMPUTED_VALUE"""),102262.0)</f>
        <v>102262</v>
      </c>
      <c r="B2730" s="2">
        <f>IFERROR(__xludf.DUMMYFUNCTION("""COMPUTED_VALUE"""),1.0)</f>
        <v>1</v>
      </c>
      <c r="C2730" s="2">
        <f>IFERROR(__xludf.DUMMYFUNCTION("""COMPUTED_VALUE"""),252.0)</f>
        <v>252</v>
      </c>
      <c r="D2730" s="3">
        <f>IFERROR(__xludf.DUMMYFUNCTION("""COMPUTED_VALUE"""),101.0)</f>
        <v>101</v>
      </c>
      <c r="E2730" s="1" t="str">
        <f t="array" ref="E2730">_xlfn.XLOOKUP(A2730,Product!A:A,Product!B:B,"Bulunamadı")</f>
        <v>History</v>
      </c>
      <c r="F2730" s="1" t="str">
        <f t="array" ref="F2730">_xlfn.XLOOKUP(A2730,Product!A:A,Product!C:C,"Bulunamadı")</f>
        <v>Running</v>
      </c>
      <c r="G2730" s="2" t="str">
        <f t="array" ref="G2730">_xlfn.XLOOKUP(A2731,Product!A:A,Product!D:D,"Bulunamadı")</f>
        <v>Silvergrove Publishing</v>
      </c>
      <c r="H2730" s="2">
        <f t="array" ref="H2730">_xlfn.XLOOKUP(A2732,Product!A:A,Product!E:E,"Bulunamadı")</f>
        <v>3.38</v>
      </c>
      <c r="I2730" s="2" t="str">
        <f t="shared" si="1"/>
        <v>102262 - History - Running</v>
      </c>
      <c r="J2730" s="2">
        <f t="shared" si="2"/>
        <v>341.38</v>
      </c>
      <c r="K2730" s="17">
        <f t="shared" si="3"/>
        <v>1</v>
      </c>
      <c r="L2730" s="18"/>
    </row>
    <row r="2731" hidden="1">
      <c r="A2731" s="2">
        <f>IFERROR(__xludf.DUMMYFUNCTION("""COMPUTED_VALUE"""),87764.0)</f>
        <v>87764</v>
      </c>
      <c r="B2731" s="2">
        <f>IFERROR(__xludf.DUMMYFUNCTION("""COMPUTED_VALUE"""),0.0)</f>
        <v>0</v>
      </c>
      <c r="C2731" s="2">
        <f>IFERROR(__xludf.DUMMYFUNCTION("""COMPUTED_VALUE"""),618.0)</f>
        <v>618</v>
      </c>
      <c r="D2731" s="3">
        <f>IFERROR(__xludf.DUMMYFUNCTION("""COMPUTED_VALUE"""),280.0)</f>
        <v>280</v>
      </c>
      <c r="E2731" s="1" t="str">
        <f t="array" ref="E2731">_xlfn.XLOOKUP(A2731,Product!A:A,Product!B:B,"Bulunamadı")</f>
        <v>History</v>
      </c>
      <c r="F2731" s="1" t="str">
        <f t="array" ref="F2731">_xlfn.XLOOKUP(A2731,Product!A:A,Product!C:C,"Bulunamadı")</f>
        <v>Running</v>
      </c>
      <c r="G2731" s="2" t="str">
        <f t="array" ref="G2731">_xlfn.XLOOKUP(A2732,Product!A:A,Product!D:D,"Bulunamadı")</f>
        <v>Silvergrove Publishing</v>
      </c>
      <c r="H2731" s="2">
        <f t="array" ref="H2731">_xlfn.XLOOKUP(A2733,Product!A:A,Product!E:E,"Bulunamadı")</f>
        <v>3.55</v>
      </c>
      <c r="I2731" s="2" t="str">
        <f t="shared" si="1"/>
        <v>87764 - History - Running</v>
      </c>
      <c r="J2731" s="2">
        <f t="shared" si="2"/>
        <v>994</v>
      </c>
      <c r="K2731" s="17">
        <f t="shared" si="3"/>
        <v>1</v>
      </c>
      <c r="L2731" s="18"/>
    </row>
    <row r="2732" hidden="1">
      <c r="A2732" s="2">
        <f>IFERROR(__xludf.DUMMYFUNCTION("""COMPUTED_VALUE"""),3437.0)</f>
        <v>3437</v>
      </c>
      <c r="B2732" s="2">
        <f>IFERROR(__xludf.DUMMYFUNCTION("""COMPUTED_VALUE"""),0.0)</f>
        <v>0</v>
      </c>
      <c r="C2732" s="2">
        <f>IFERROR(__xludf.DUMMYFUNCTION("""COMPUTED_VALUE"""),867.0)</f>
        <v>867</v>
      </c>
      <c r="D2732" s="3">
        <f>IFERROR(__xludf.DUMMYFUNCTION("""COMPUTED_VALUE"""),674.0)</f>
        <v>674</v>
      </c>
      <c r="E2732" s="1" t="str">
        <f t="array" ref="E2732">_xlfn.XLOOKUP(A2732,Product!A:A,Product!B:B,"Bulunamadı")</f>
        <v>History</v>
      </c>
      <c r="F2732" s="1" t="str">
        <f t="array" ref="F2732">_xlfn.XLOOKUP(A2732,Product!A:A,Product!C:C,"Bulunamadı")</f>
        <v>Running</v>
      </c>
      <c r="G2732" s="2" t="str">
        <f t="array" ref="G2732">_xlfn.XLOOKUP(A2733,Product!A:A,Product!D:D,"Bulunamadı")</f>
        <v>Silvergrove Publishing</v>
      </c>
      <c r="H2732" s="2">
        <f t="array" ref="H2732">_xlfn.XLOOKUP(A2734,Product!A:A,Product!E:E,"Bulunamadı")</f>
        <v>2.09</v>
      </c>
      <c r="I2732" s="2" t="str">
        <f t="shared" si="1"/>
        <v>3437 - History - Running</v>
      </c>
      <c r="J2732" s="2">
        <f t="shared" si="2"/>
        <v>1408.66</v>
      </c>
      <c r="K2732" s="17">
        <f t="shared" si="3"/>
        <v>1</v>
      </c>
      <c r="L2732" s="18"/>
    </row>
    <row r="2733" hidden="1">
      <c r="A2733" s="2">
        <f>IFERROR(__xludf.DUMMYFUNCTION("""COMPUTED_VALUE"""),111017.0)</f>
        <v>111017</v>
      </c>
      <c r="B2733" s="2">
        <f>IFERROR(__xludf.DUMMYFUNCTION("""COMPUTED_VALUE"""),1.0)</f>
        <v>1</v>
      </c>
      <c r="C2733" s="2">
        <f>IFERROR(__xludf.DUMMYFUNCTION("""COMPUTED_VALUE"""),139.0)</f>
        <v>139</v>
      </c>
      <c r="D2733" s="3">
        <f>IFERROR(__xludf.DUMMYFUNCTION("""COMPUTED_VALUE"""),110.0)</f>
        <v>110</v>
      </c>
      <c r="E2733" s="1" t="str">
        <f t="array" ref="E2733">_xlfn.XLOOKUP(A2733,Product!A:A,Product!B:B,"Bulunamadı")</f>
        <v>History</v>
      </c>
      <c r="F2733" s="1" t="str">
        <f t="array" ref="F2733">_xlfn.XLOOKUP(A2733,Product!A:A,Product!C:C,"Bulunamadı")</f>
        <v>Running</v>
      </c>
      <c r="G2733" s="2" t="str">
        <f t="array" ref="G2733">_xlfn.XLOOKUP(A2734,Product!A:A,Product!D:D,"Bulunamadı")</f>
        <v>Silvergrove Publishing</v>
      </c>
      <c r="H2733" s="2">
        <f t="array" ref="H2733">_xlfn.XLOOKUP(A2735,Product!A:A,Product!E:E,"Bulunamadı")</f>
        <v>3.03</v>
      </c>
      <c r="I2733" s="2" t="str">
        <f t="shared" si="1"/>
        <v>111017 - History - Running</v>
      </c>
      <c r="J2733" s="2">
        <f t="shared" si="2"/>
        <v>333.3</v>
      </c>
      <c r="K2733" s="17">
        <f t="shared" si="3"/>
        <v>1</v>
      </c>
      <c r="L2733" s="18"/>
    </row>
    <row r="2734" hidden="1">
      <c r="A2734" s="2">
        <f>IFERROR(__xludf.DUMMYFUNCTION("""COMPUTED_VALUE"""),102264.0)</f>
        <v>102264</v>
      </c>
      <c r="B2734" s="2">
        <f>IFERROR(__xludf.DUMMYFUNCTION("""COMPUTED_VALUE"""),1.0)</f>
        <v>1</v>
      </c>
      <c r="C2734" s="2">
        <f>IFERROR(__xludf.DUMMYFUNCTION("""COMPUTED_VALUE"""),802.0)</f>
        <v>802</v>
      </c>
      <c r="D2734" s="3">
        <f>IFERROR(__xludf.DUMMYFUNCTION("""COMPUTED_VALUE"""),163.0)</f>
        <v>163</v>
      </c>
      <c r="E2734" s="1" t="str">
        <f t="array" ref="E2734">_xlfn.XLOOKUP(A2734,Product!A:A,Product!B:B,"Bulunamadı")</f>
        <v>History</v>
      </c>
      <c r="F2734" s="1" t="str">
        <f t="array" ref="F2734">_xlfn.XLOOKUP(A2734,Product!A:A,Product!C:C,"Bulunamadı")</f>
        <v>Running</v>
      </c>
      <c r="G2734" s="2" t="str">
        <f t="array" ref="G2734">_xlfn.XLOOKUP(A2735,Product!A:A,Product!D:D,"Bulunamadı")</f>
        <v>Silvergrove Publishing</v>
      </c>
      <c r="H2734" s="2">
        <f t="array" ref="H2734">_xlfn.XLOOKUP(A2736,Product!A:A,Product!E:E,"Bulunamadı")</f>
        <v>2.34</v>
      </c>
      <c r="I2734" s="2" t="str">
        <f t="shared" si="1"/>
        <v>102264 - History - Running</v>
      </c>
      <c r="J2734" s="2">
        <f t="shared" si="2"/>
        <v>381.42</v>
      </c>
      <c r="K2734" s="17">
        <f t="shared" si="3"/>
        <v>1</v>
      </c>
      <c r="L2734" s="18"/>
    </row>
    <row r="2735" hidden="1">
      <c r="A2735" s="2">
        <f>IFERROR(__xludf.DUMMYFUNCTION("""COMPUTED_VALUE"""),18088.0)</f>
        <v>18088</v>
      </c>
      <c r="B2735" s="2">
        <f>IFERROR(__xludf.DUMMYFUNCTION("""COMPUTED_VALUE"""),1.0)</f>
        <v>1</v>
      </c>
      <c r="C2735" s="2">
        <f>IFERROR(__xludf.DUMMYFUNCTION("""COMPUTED_VALUE"""),259.0)</f>
        <v>259</v>
      </c>
      <c r="D2735" s="3">
        <f>IFERROR(__xludf.DUMMYFUNCTION("""COMPUTED_VALUE"""),1.0)</f>
        <v>1</v>
      </c>
      <c r="E2735" s="1" t="str">
        <f t="array" ref="E2735">_xlfn.XLOOKUP(A2735,Product!A:A,Product!B:B,"Bulunamadı")</f>
        <v>History</v>
      </c>
      <c r="F2735" s="1" t="str">
        <f t="array" ref="F2735">_xlfn.XLOOKUP(A2735,Product!A:A,Product!C:C,"Bulunamadı")</f>
        <v>Running</v>
      </c>
      <c r="G2735" s="2" t="str">
        <f t="array" ref="G2735">_xlfn.XLOOKUP(A2736,Product!A:A,Product!D:D,"Bulunamadı")</f>
        <v>Silvergrove Publishing</v>
      </c>
      <c r="H2735" s="2">
        <f t="array" ref="H2735">_xlfn.XLOOKUP(A2737,Product!A:A,Product!E:E,"Bulunamadı")</f>
        <v>2</v>
      </c>
      <c r="I2735" s="2" t="str">
        <f t="shared" si="1"/>
        <v>18088 - History - Running</v>
      </c>
      <c r="J2735" s="2">
        <f t="shared" si="2"/>
        <v>2</v>
      </c>
      <c r="K2735" s="17">
        <f t="shared" si="3"/>
        <v>1</v>
      </c>
      <c r="L2735" s="18"/>
    </row>
    <row r="2736" hidden="1">
      <c r="A2736" s="2">
        <f>IFERROR(__xludf.DUMMYFUNCTION("""COMPUTED_VALUE"""),87836.0)</f>
        <v>87836</v>
      </c>
      <c r="B2736" s="2">
        <f>IFERROR(__xludf.DUMMYFUNCTION("""COMPUTED_VALUE"""),1.0)</f>
        <v>1</v>
      </c>
      <c r="C2736" s="2">
        <f>IFERROR(__xludf.DUMMYFUNCTION("""COMPUTED_VALUE"""),827.0)</f>
        <v>827</v>
      </c>
      <c r="D2736" s="3">
        <f>IFERROR(__xludf.DUMMYFUNCTION("""COMPUTED_VALUE"""),808.0)</f>
        <v>808</v>
      </c>
      <c r="E2736" s="1" t="str">
        <f t="array" ref="E2736">_xlfn.XLOOKUP(A2736,Product!A:A,Product!B:B,"Bulunamadı")</f>
        <v>History</v>
      </c>
      <c r="F2736" s="1" t="str">
        <f t="array" ref="F2736">_xlfn.XLOOKUP(A2736,Product!A:A,Product!C:C,"Bulunamadı")</f>
        <v>Running</v>
      </c>
      <c r="G2736" s="2" t="str">
        <f t="array" ref="G2736">_xlfn.XLOOKUP(A2737,Product!A:A,Product!D:D,"Bulunamadı")</f>
        <v>Silvergrove Publishing</v>
      </c>
      <c r="H2736" s="2">
        <f t="array" ref="H2736">_xlfn.XLOOKUP(A2738,Product!A:A,Product!E:E,"Bulunamadı")</f>
        <v>22.1</v>
      </c>
      <c r="I2736" s="2" t="str">
        <f t="shared" si="1"/>
        <v>87836 - History - Running</v>
      </c>
      <c r="J2736" s="2">
        <f t="shared" si="2"/>
        <v>17856.8</v>
      </c>
      <c r="K2736" s="17">
        <f t="shared" si="3"/>
        <v>1</v>
      </c>
      <c r="L2736" s="18"/>
    </row>
    <row r="2737" hidden="1">
      <c r="A2737" s="2">
        <f>IFERROR(__xludf.DUMMYFUNCTION("""COMPUTED_VALUE"""),87804.0)</f>
        <v>87804</v>
      </c>
      <c r="B2737" s="2">
        <f>IFERROR(__xludf.DUMMYFUNCTION("""COMPUTED_VALUE"""),0.0)</f>
        <v>0</v>
      </c>
      <c r="C2737" s="2">
        <f>IFERROR(__xludf.DUMMYFUNCTION("""COMPUTED_VALUE"""),719.0)</f>
        <v>719</v>
      </c>
      <c r="D2737" s="3">
        <f>IFERROR(__xludf.DUMMYFUNCTION("""COMPUTED_VALUE"""),157.0)</f>
        <v>157</v>
      </c>
      <c r="E2737" s="1" t="str">
        <f t="array" ref="E2737">_xlfn.XLOOKUP(A2737,Product!A:A,Product!B:B,"Bulunamadı")</f>
        <v>History</v>
      </c>
      <c r="F2737" s="1" t="str">
        <f t="array" ref="F2737">_xlfn.XLOOKUP(A2737,Product!A:A,Product!C:C,"Bulunamadı")</f>
        <v>Running</v>
      </c>
      <c r="G2737" s="2" t="str">
        <f t="array" ref="G2737">_xlfn.XLOOKUP(A2738,Product!A:A,Product!D:D,"Bulunamadı")</f>
        <v>Northgrove Books</v>
      </c>
      <c r="H2737" s="2">
        <f t="array" ref="H2737">_xlfn.XLOOKUP(A2739,Product!A:A,Product!E:E,"Bulunamadı")</f>
        <v>62.95</v>
      </c>
      <c r="I2737" s="2" t="str">
        <f t="shared" si="1"/>
        <v>87804 - History - Running</v>
      </c>
      <c r="J2737" s="2">
        <f t="shared" si="2"/>
        <v>9883.15</v>
      </c>
      <c r="K2737" s="17">
        <f t="shared" si="3"/>
        <v>1</v>
      </c>
      <c r="L2737" s="18"/>
    </row>
    <row r="2738" hidden="1">
      <c r="A2738" s="2">
        <f>IFERROR(__xludf.DUMMYFUNCTION("""COMPUTED_VALUE"""),108207.0)</f>
        <v>108207</v>
      </c>
      <c r="B2738" s="2">
        <f>IFERROR(__xludf.DUMMYFUNCTION("""COMPUTED_VALUE"""),1.0)</f>
        <v>1</v>
      </c>
      <c r="C2738" s="2">
        <f>IFERROR(__xludf.DUMMYFUNCTION("""COMPUTED_VALUE"""),533.0)</f>
        <v>533</v>
      </c>
      <c r="D2738" s="3">
        <f>IFERROR(__xludf.DUMMYFUNCTION("""COMPUTED_VALUE"""),209.0)</f>
        <v>209</v>
      </c>
      <c r="E2738" s="1" t="str">
        <f t="array" ref="E2738">_xlfn.XLOOKUP(A2738,Product!A:A,Product!B:B,"Bulunamadı")</f>
        <v>Finance</v>
      </c>
      <c r="F2738" s="1" t="str">
        <f t="array" ref="F2738">_xlfn.XLOOKUP(A2738,Product!A:A,Product!C:C,"Bulunamadı")</f>
        <v>Fitness Training</v>
      </c>
      <c r="G2738" s="2" t="str">
        <f t="array" ref="G2738">_xlfn.XLOOKUP(A2739,Product!A:A,Product!D:D,"Bulunamadı")</f>
        <v>Northgrove Books</v>
      </c>
      <c r="H2738" s="2">
        <f t="array" ref="H2738">_xlfn.XLOOKUP(A2740,Product!A:A,Product!E:E,"Bulunamadı")</f>
        <v>28.88</v>
      </c>
      <c r="I2738" s="2" t="str">
        <f t="shared" si="1"/>
        <v>108207 - Finance - Fitness Training</v>
      </c>
      <c r="J2738" s="2">
        <f t="shared" si="2"/>
        <v>6035.92</v>
      </c>
      <c r="K2738" s="17">
        <f t="shared" si="3"/>
        <v>1</v>
      </c>
      <c r="L2738" s="18"/>
    </row>
    <row r="2739" hidden="1">
      <c r="A2739" s="2">
        <f>IFERROR(__xludf.DUMMYFUNCTION("""COMPUTED_VALUE"""),111043.0)</f>
        <v>111043</v>
      </c>
      <c r="B2739" s="2">
        <f>IFERROR(__xludf.DUMMYFUNCTION("""COMPUTED_VALUE"""),0.0)</f>
        <v>0</v>
      </c>
      <c r="C2739" s="2">
        <f>IFERROR(__xludf.DUMMYFUNCTION("""COMPUTED_VALUE"""),241.0)</f>
        <v>241</v>
      </c>
      <c r="D2739" s="3">
        <f>IFERROR(__xludf.DUMMYFUNCTION("""COMPUTED_VALUE"""),226.0)</f>
        <v>226</v>
      </c>
      <c r="E2739" s="1" t="str">
        <f t="array" ref="E2739">_xlfn.XLOOKUP(A2739,Product!A:A,Product!B:B,"Bulunamadı")</f>
        <v>Finance</v>
      </c>
      <c r="F2739" s="1" t="str">
        <f t="array" ref="F2739">_xlfn.XLOOKUP(A2739,Product!A:A,Product!C:C,"Bulunamadı")</f>
        <v>Fitness Training</v>
      </c>
      <c r="G2739" s="2" t="str">
        <f t="array" ref="G2739">_xlfn.XLOOKUP(A2740,Product!A:A,Product!D:D,"Bulunamadı")</f>
        <v>Northgrove Books</v>
      </c>
      <c r="H2739" s="2">
        <f t="array" ref="H2739">_xlfn.XLOOKUP(A2741,Product!A:A,Product!E:E,"Bulunamadı")</f>
        <v>6.32</v>
      </c>
      <c r="I2739" s="2" t="str">
        <f t="shared" si="1"/>
        <v>111043 - Finance - Fitness Training</v>
      </c>
      <c r="J2739" s="2">
        <f t="shared" si="2"/>
        <v>1428.32</v>
      </c>
      <c r="K2739" s="17">
        <f t="shared" si="3"/>
        <v>1</v>
      </c>
      <c r="L2739" s="18"/>
    </row>
    <row r="2740" hidden="1">
      <c r="A2740" s="2">
        <f>IFERROR(__xludf.DUMMYFUNCTION("""COMPUTED_VALUE"""),100223.0)</f>
        <v>100223</v>
      </c>
      <c r="B2740" s="2">
        <f>IFERROR(__xludf.DUMMYFUNCTION("""COMPUTED_VALUE"""),0.0)</f>
        <v>0</v>
      </c>
      <c r="C2740" s="2">
        <f>IFERROR(__xludf.DUMMYFUNCTION("""COMPUTED_VALUE"""),419.0)</f>
        <v>419</v>
      </c>
      <c r="D2740" s="3">
        <f>IFERROR(__xludf.DUMMYFUNCTION("""COMPUTED_VALUE"""),230.0)</f>
        <v>230</v>
      </c>
      <c r="E2740" s="1" t="str">
        <f t="array" ref="E2740">_xlfn.XLOOKUP(A2740,Product!A:A,Product!B:B,"Bulunamadı")</f>
        <v>Finance</v>
      </c>
      <c r="F2740" s="1" t="str">
        <f t="array" ref="F2740">_xlfn.XLOOKUP(A2740,Product!A:A,Product!C:C,"Bulunamadı")</f>
        <v>Fitness Training</v>
      </c>
      <c r="G2740" s="2" t="str">
        <f t="array" ref="G2740">_xlfn.XLOOKUP(A2741,Product!A:A,Product!D:D,"Bulunamadı")</f>
        <v>Harborgrove Press</v>
      </c>
      <c r="H2740" s="2">
        <f t="array" ref="H2740">_xlfn.XLOOKUP(A2742,Product!A:A,Product!E:E,"Bulunamadı")</f>
        <v>6.74</v>
      </c>
      <c r="I2740" s="2" t="str">
        <f t="shared" si="1"/>
        <v>100223 - Finance - Fitness Training</v>
      </c>
      <c r="J2740" s="2">
        <f t="shared" si="2"/>
        <v>1550.2</v>
      </c>
      <c r="K2740" s="17">
        <f t="shared" si="3"/>
        <v>1</v>
      </c>
      <c r="L2740" s="18"/>
    </row>
    <row r="2741" hidden="1">
      <c r="A2741" s="2">
        <f>IFERROR(__xludf.DUMMYFUNCTION("""COMPUTED_VALUE"""),92161.0)</f>
        <v>92161</v>
      </c>
      <c r="B2741" s="2">
        <f>IFERROR(__xludf.DUMMYFUNCTION("""COMPUTED_VALUE"""),0.0)</f>
        <v>0</v>
      </c>
      <c r="C2741" s="2">
        <f>IFERROR(__xludf.DUMMYFUNCTION("""COMPUTED_VALUE"""),571.0)</f>
        <v>571</v>
      </c>
      <c r="D2741" s="3">
        <f>IFERROR(__xludf.DUMMYFUNCTION("""COMPUTED_VALUE"""),515.0)</f>
        <v>515</v>
      </c>
      <c r="E2741" s="1" t="str">
        <f t="array" ref="E2741">_xlfn.XLOOKUP(A2741,Product!A:A,Product!B:B,"Bulunamadı")</f>
        <v>Finance</v>
      </c>
      <c r="F2741" s="1" t="str">
        <f t="array" ref="F2741">_xlfn.XLOOKUP(A2741,Product!A:A,Product!C:C,"Bulunamadı")</f>
        <v>Coaching</v>
      </c>
      <c r="G2741" s="2" t="str">
        <f t="array" ref="G2741">_xlfn.XLOOKUP(A2742,Product!A:A,Product!D:D,"Bulunamadı")</f>
        <v>Cedargrove Publishing</v>
      </c>
      <c r="H2741" s="2">
        <f t="array" ref="H2741">_xlfn.XLOOKUP(A2743,Product!A:A,Product!E:E,"Bulunamadı")</f>
        <v>7.23</v>
      </c>
      <c r="I2741" s="2" t="str">
        <f t="shared" si="1"/>
        <v>92161 - Finance - Coaching</v>
      </c>
      <c r="J2741" s="2">
        <f t="shared" si="2"/>
        <v>3723.45</v>
      </c>
      <c r="K2741" s="17">
        <f t="shared" si="3"/>
        <v>1</v>
      </c>
      <c r="L2741" s="18"/>
    </row>
    <row r="2742" hidden="1">
      <c r="A2742" s="2">
        <f>IFERROR(__xludf.DUMMYFUNCTION("""COMPUTED_VALUE"""),113405.0)</f>
        <v>113405</v>
      </c>
      <c r="B2742" s="2">
        <f>IFERROR(__xludf.DUMMYFUNCTION("""COMPUTED_VALUE"""),0.0)</f>
        <v>0</v>
      </c>
      <c r="C2742" s="2">
        <f>IFERROR(__xludf.DUMMYFUNCTION("""COMPUTED_VALUE"""),128.0)</f>
        <v>128</v>
      </c>
      <c r="D2742" s="3">
        <f>IFERROR(__xludf.DUMMYFUNCTION("""COMPUTED_VALUE"""),118.0)</f>
        <v>118</v>
      </c>
      <c r="E2742" s="1" t="str">
        <f t="array" ref="E2742">_xlfn.XLOOKUP(A2742,Product!A:A,Product!B:B,"Bulunamadı")</f>
        <v>Finance</v>
      </c>
      <c r="F2742" s="1" t="str">
        <f t="array" ref="F2742">_xlfn.XLOOKUP(A2742,Product!A:A,Product!C:C,"Bulunamadı")</f>
        <v>Coaching</v>
      </c>
      <c r="G2742" s="2" t="str">
        <f t="array" ref="G2742">_xlfn.XLOOKUP(A2743,Product!A:A,Product!D:D,"Bulunamadı")</f>
        <v>Brightgrove Books</v>
      </c>
      <c r="H2742" s="2">
        <f t="array" ref="H2742">_xlfn.XLOOKUP(A2744,Product!A:A,Product!E:E,"Bulunamadı")</f>
        <v>1.21</v>
      </c>
      <c r="I2742" s="2" t="str">
        <f t="shared" si="1"/>
        <v>113405 - Finance - Coaching</v>
      </c>
      <c r="J2742" s="2">
        <f t="shared" si="2"/>
        <v>142.78</v>
      </c>
      <c r="K2742" s="17">
        <f t="shared" si="3"/>
        <v>1</v>
      </c>
      <c r="L2742" s="18"/>
    </row>
    <row r="2743" hidden="1">
      <c r="A2743" s="2">
        <f>IFERROR(__xludf.DUMMYFUNCTION("""COMPUTED_VALUE"""),120817.0)</f>
        <v>120817</v>
      </c>
      <c r="B2743" s="2">
        <f>IFERROR(__xludf.DUMMYFUNCTION("""COMPUTED_VALUE"""),0.0)</f>
        <v>0</v>
      </c>
      <c r="C2743" s="2">
        <f>IFERROR(__xludf.DUMMYFUNCTION("""COMPUTED_VALUE"""),454.0)</f>
        <v>454</v>
      </c>
      <c r="D2743" s="3">
        <f>IFERROR(__xludf.DUMMYFUNCTION("""COMPUTED_VALUE"""),110.0)</f>
        <v>110</v>
      </c>
      <c r="E2743" s="1" t="str">
        <f t="array" ref="E2743">_xlfn.XLOOKUP(A2743,Product!A:A,Product!B:B,"Bulunamadı")</f>
        <v>Finance</v>
      </c>
      <c r="F2743" s="1" t="str">
        <f t="array" ref="F2743">_xlfn.XLOOKUP(A2743,Product!A:A,Product!C:C,"Bulunamadı")</f>
        <v>Coaching</v>
      </c>
      <c r="G2743" s="2" t="str">
        <f t="array" ref="G2743">_xlfn.XLOOKUP(A2744,Product!A:A,Product!D:D,"Bulunamadı")</f>
        <v>Brightgrove Books</v>
      </c>
      <c r="H2743" s="2">
        <f t="array" ref="H2743">_xlfn.XLOOKUP(A2745,Product!A:A,Product!E:E,"Bulunamadı")</f>
        <v>5.87</v>
      </c>
      <c r="I2743" s="2" t="str">
        <f t="shared" si="1"/>
        <v>120817 - Finance - Coaching</v>
      </c>
      <c r="J2743" s="2">
        <f t="shared" si="2"/>
        <v>645.7</v>
      </c>
      <c r="K2743" s="17">
        <f t="shared" si="3"/>
        <v>1</v>
      </c>
      <c r="L2743" s="18"/>
    </row>
    <row r="2744" hidden="1">
      <c r="A2744" s="2">
        <f>IFERROR(__xludf.DUMMYFUNCTION("""COMPUTED_VALUE"""),14520.0)</f>
        <v>14520</v>
      </c>
      <c r="B2744" s="2">
        <f>IFERROR(__xludf.DUMMYFUNCTION("""COMPUTED_VALUE"""),0.0)</f>
        <v>0</v>
      </c>
      <c r="C2744" s="2">
        <f>IFERROR(__xludf.DUMMYFUNCTION("""COMPUTED_VALUE"""),225.0)</f>
        <v>225</v>
      </c>
      <c r="D2744" s="3">
        <f>IFERROR(__xludf.DUMMYFUNCTION("""COMPUTED_VALUE"""),145.0)</f>
        <v>145</v>
      </c>
      <c r="E2744" s="1" t="str">
        <f t="array" ref="E2744">_xlfn.XLOOKUP(A2744,Product!A:A,Product!B:B,"Bulunamadı")</f>
        <v>Finance</v>
      </c>
      <c r="F2744" s="1" t="str">
        <f t="array" ref="F2744">_xlfn.XLOOKUP(A2744,Product!A:A,Product!C:C,"Bulunamadı")</f>
        <v>Coaching</v>
      </c>
      <c r="G2744" s="2" t="str">
        <f t="array" ref="G2744">_xlfn.XLOOKUP(A2745,Product!A:A,Product!D:D,"Bulunamadı")</f>
        <v>Brightgrove Books</v>
      </c>
      <c r="H2744" s="2">
        <f t="array" ref="H2744">_xlfn.XLOOKUP(A2746,Product!A:A,Product!E:E,"Bulunamadı")</f>
        <v>1.2</v>
      </c>
      <c r="I2744" s="2" t="str">
        <f t="shared" si="1"/>
        <v>14520 - Finance - Coaching</v>
      </c>
      <c r="J2744" s="2">
        <f t="shared" si="2"/>
        <v>174</v>
      </c>
      <c r="K2744" s="17">
        <f t="shared" si="3"/>
        <v>1</v>
      </c>
      <c r="L2744" s="18"/>
    </row>
    <row r="2745" hidden="1">
      <c r="A2745" s="2">
        <f>IFERROR(__xludf.DUMMYFUNCTION("""COMPUTED_VALUE"""),104928.0)</f>
        <v>104928</v>
      </c>
      <c r="B2745" s="2">
        <f>IFERROR(__xludf.DUMMYFUNCTION("""COMPUTED_VALUE"""),1.0)</f>
        <v>1</v>
      </c>
      <c r="C2745" s="2">
        <f>IFERROR(__xludf.DUMMYFUNCTION("""COMPUTED_VALUE"""),-7.0)</f>
        <v>-7</v>
      </c>
      <c r="D2745" s="3">
        <f>IFERROR(__xludf.DUMMYFUNCTION("""COMPUTED_VALUE"""),-7.0)</f>
        <v>-7</v>
      </c>
      <c r="E2745" s="1" t="str">
        <f t="array" ref="E2745">_xlfn.XLOOKUP(A2745,Product!A:A,Product!B:B,"Bulunamadı")</f>
        <v>Finance</v>
      </c>
      <c r="F2745" s="1" t="str">
        <f t="array" ref="F2745">_xlfn.XLOOKUP(A2745,Product!A:A,Product!C:C,"Bulunamadı")</f>
        <v>Coaching</v>
      </c>
      <c r="G2745" s="2" t="str">
        <f t="array" ref="G2745">_xlfn.XLOOKUP(A2746,Product!A:A,Product!D:D,"Bulunamadı")</f>
        <v>Brightgrove Books</v>
      </c>
      <c r="H2745" s="2">
        <f t="array" ref="H2745">_xlfn.XLOOKUP(A2747,Product!A:A,Product!E:E,"Bulunamadı")</f>
        <v>7.43</v>
      </c>
      <c r="I2745" s="2" t="str">
        <f t="shared" si="1"/>
        <v>104928 - Finance - Coaching</v>
      </c>
      <c r="J2745" s="2">
        <f t="shared" si="2"/>
        <v>-52.01</v>
      </c>
      <c r="K2745" s="17">
        <f t="shared" si="3"/>
        <v>0</v>
      </c>
      <c r="L2745" s="18"/>
    </row>
    <row r="2746" hidden="1">
      <c r="A2746" s="2">
        <f>IFERROR(__xludf.DUMMYFUNCTION("""COMPUTED_VALUE"""),14517.0)</f>
        <v>14517</v>
      </c>
      <c r="B2746" s="2">
        <f>IFERROR(__xludf.DUMMYFUNCTION("""COMPUTED_VALUE"""),0.0)</f>
        <v>0</v>
      </c>
      <c r="C2746" s="2">
        <f>IFERROR(__xludf.DUMMYFUNCTION("""COMPUTED_VALUE"""),657.0)</f>
        <v>657</v>
      </c>
      <c r="D2746" s="3">
        <f>IFERROR(__xludf.DUMMYFUNCTION("""COMPUTED_VALUE"""),497.0)</f>
        <v>497</v>
      </c>
      <c r="E2746" s="1" t="str">
        <f t="array" ref="E2746">_xlfn.XLOOKUP(A2746,Product!A:A,Product!B:B,"Bulunamadı")</f>
        <v>Finance</v>
      </c>
      <c r="F2746" s="1" t="str">
        <f t="array" ref="F2746">_xlfn.XLOOKUP(A2746,Product!A:A,Product!C:C,"Bulunamadı")</f>
        <v>Coaching</v>
      </c>
      <c r="G2746" s="2" t="str">
        <f t="array" ref="G2746">_xlfn.XLOOKUP(A2747,Product!A:A,Product!D:D,"Bulunamadı")</f>
        <v>Brightgrove Books</v>
      </c>
      <c r="H2746" s="2">
        <f t="array" ref="H2746">_xlfn.XLOOKUP(A2748,Product!A:A,Product!E:E,"Bulunamadı")</f>
        <v>6.75</v>
      </c>
      <c r="I2746" s="2" t="str">
        <f t="shared" si="1"/>
        <v>14517 - Finance - Coaching</v>
      </c>
      <c r="J2746" s="2">
        <f t="shared" si="2"/>
        <v>3354.75</v>
      </c>
      <c r="K2746" s="17">
        <f t="shared" si="3"/>
        <v>1</v>
      </c>
      <c r="L2746" s="18"/>
    </row>
    <row r="2747" hidden="1">
      <c r="A2747" s="2">
        <f>IFERROR(__xludf.DUMMYFUNCTION("""COMPUTED_VALUE"""),122563.0)</f>
        <v>122563</v>
      </c>
      <c r="B2747" s="2">
        <f>IFERROR(__xludf.DUMMYFUNCTION("""COMPUTED_VALUE"""),0.0)</f>
        <v>0</v>
      </c>
      <c r="C2747" s="2">
        <f>IFERROR(__xludf.DUMMYFUNCTION("""COMPUTED_VALUE"""),897.0)</f>
        <v>897</v>
      </c>
      <c r="D2747" s="3">
        <f>IFERROR(__xludf.DUMMYFUNCTION("""COMPUTED_VALUE"""),866.0)</f>
        <v>866</v>
      </c>
      <c r="E2747" s="1" t="str">
        <f t="array" ref="E2747">_xlfn.XLOOKUP(A2747,Product!A:A,Product!B:B,"Bulunamadı")</f>
        <v>Finance</v>
      </c>
      <c r="F2747" s="1" t="str">
        <f t="array" ref="F2747">_xlfn.XLOOKUP(A2747,Product!A:A,Product!C:C,"Bulunamadı")</f>
        <v>Coaching</v>
      </c>
      <c r="G2747" s="2" t="str">
        <f t="array" ref="G2747">_xlfn.XLOOKUP(A2748,Product!A:A,Product!D:D,"Bulunamadı")</f>
        <v>Brightgrove Books</v>
      </c>
      <c r="H2747" s="2">
        <f t="array" ref="H2747">_xlfn.XLOOKUP(A2749,Product!A:A,Product!E:E,"Bulunamadı")</f>
        <v>5.49</v>
      </c>
      <c r="I2747" s="2" t="str">
        <f t="shared" si="1"/>
        <v>122563 - Finance - Coaching</v>
      </c>
      <c r="J2747" s="2">
        <f t="shared" si="2"/>
        <v>4754.34</v>
      </c>
      <c r="K2747" s="17">
        <f t="shared" si="3"/>
        <v>1</v>
      </c>
      <c r="L2747" s="18"/>
    </row>
    <row r="2748" hidden="1">
      <c r="A2748" s="2">
        <f>IFERROR(__xludf.DUMMYFUNCTION("""COMPUTED_VALUE"""),96404.0)</f>
        <v>96404</v>
      </c>
      <c r="B2748" s="2">
        <f>IFERROR(__xludf.DUMMYFUNCTION("""COMPUTED_VALUE"""),1.0)</f>
        <v>1</v>
      </c>
      <c r="C2748" s="2">
        <f>IFERROR(__xludf.DUMMYFUNCTION("""COMPUTED_VALUE"""),631.0)</f>
        <v>631</v>
      </c>
      <c r="D2748" s="3">
        <f>IFERROR(__xludf.DUMMYFUNCTION("""COMPUTED_VALUE"""),322.0)</f>
        <v>322</v>
      </c>
      <c r="E2748" s="1" t="str">
        <f t="array" ref="E2748">_xlfn.XLOOKUP(A2748,Product!A:A,Product!B:B,"Bulunamadı")</f>
        <v>Finance</v>
      </c>
      <c r="F2748" s="1" t="str">
        <f t="array" ref="F2748">_xlfn.XLOOKUP(A2748,Product!A:A,Product!C:C,"Bulunamadı")</f>
        <v>Coaching</v>
      </c>
      <c r="G2748" s="2" t="str">
        <f t="array" ref="G2748">_xlfn.XLOOKUP(A2749,Product!A:A,Product!D:D,"Bulunamadı")</f>
        <v>Oakgrove Press</v>
      </c>
      <c r="H2748" s="2">
        <f t="array" ref="H2748">_xlfn.XLOOKUP(A2750,Product!A:A,Product!E:E,"Bulunamadı")</f>
        <v>3.72</v>
      </c>
      <c r="I2748" s="2" t="str">
        <f t="shared" si="1"/>
        <v>96404 - Finance - Coaching</v>
      </c>
      <c r="J2748" s="2">
        <f t="shared" si="2"/>
        <v>1197.84</v>
      </c>
      <c r="K2748" s="17">
        <f t="shared" si="3"/>
        <v>1</v>
      </c>
      <c r="L2748" s="18"/>
    </row>
    <row r="2749" hidden="1">
      <c r="A2749" s="2">
        <f>IFERROR(__xludf.DUMMYFUNCTION("""COMPUTED_VALUE"""),121469.0)</f>
        <v>121469</v>
      </c>
      <c r="B2749" s="2">
        <f>IFERROR(__xludf.DUMMYFUNCTION("""COMPUTED_VALUE"""),1.0)</f>
        <v>1</v>
      </c>
      <c r="C2749" s="2">
        <f>IFERROR(__xludf.DUMMYFUNCTION("""COMPUTED_VALUE"""),457.0)</f>
        <v>457</v>
      </c>
      <c r="D2749" s="3">
        <f>IFERROR(__xludf.DUMMYFUNCTION("""COMPUTED_VALUE"""),258.0)</f>
        <v>258</v>
      </c>
      <c r="E2749" s="1" t="str">
        <f t="array" ref="E2749">_xlfn.XLOOKUP(A2749,Product!A:A,Product!B:B,"Bulunamadı")</f>
        <v>Finance</v>
      </c>
      <c r="F2749" s="1" t="str">
        <f t="array" ref="F2749">_xlfn.XLOOKUP(A2749,Product!A:A,Product!C:C,"Bulunamadı")</f>
        <v>Coaching</v>
      </c>
      <c r="G2749" s="2" t="str">
        <f t="array" ref="G2749">_xlfn.XLOOKUP(A2750,Product!A:A,Product!D:D,"Bulunamadı")</f>
        <v>Oakgrove Press</v>
      </c>
      <c r="H2749" s="2">
        <f t="array" ref="H2749">_xlfn.XLOOKUP(A2751,Product!A:A,Product!E:E,"Bulunamadı")</f>
        <v>5.49</v>
      </c>
      <c r="I2749" s="2" t="str">
        <f t="shared" si="1"/>
        <v>121469 - Finance - Coaching</v>
      </c>
      <c r="J2749" s="2">
        <f t="shared" si="2"/>
        <v>1416.42</v>
      </c>
      <c r="K2749" s="17">
        <f t="shared" si="3"/>
        <v>1</v>
      </c>
      <c r="L2749" s="18"/>
    </row>
    <row r="2750" hidden="1">
      <c r="A2750" s="2">
        <f>IFERROR(__xludf.DUMMYFUNCTION("""COMPUTED_VALUE"""),122579.0)</f>
        <v>122579</v>
      </c>
      <c r="B2750" s="2">
        <f>IFERROR(__xludf.DUMMYFUNCTION("""COMPUTED_VALUE"""),1.0)</f>
        <v>1</v>
      </c>
      <c r="C2750" s="2">
        <f>IFERROR(__xludf.DUMMYFUNCTION("""COMPUTED_VALUE"""),409.0)</f>
        <v>409</v>
      </c>
      <c r="D2750" s="3">
        <f>IFERROR(__xludf.DUMMYFUNCTION("""COMPUTED_VALUE"""),354.0)</f>
        <v>354</v>
      </c>
      <c r="E2750" s="1" t="str">
        <f t="array" ref="E2750">_xlfn.XLOOKUP(A2750,Product!A:A,Product!B:B,"Bulunamadı")</f>
        <v>Finance</v>
      </c>
      <c r="F2750" s="1" t="str">
        <f t="array" ref="F2750">_xlfn.XLOOKUP(A2750,Product!A:A,Product!C:C,"Bulunamadı")</f>
        <v>Coaching</v>
      </c>
      <c r="G2750" s="2" t="str">
        <f t="array" ref="G2750">_xlfn.XLOOKUP(A2751,Product!A:A,Product!D:D,"Bulunamadı")</f>
        <v>Oakgrove Press</v>
      </c>
      <c r="H2750" s="2">
        <f t="array" ref="H2750">_xlfn.XLOOKUP(A2752,Product!A:A,Product!E:E,"Bulunamadı")</f>
        <v>2.59</v>
      </c>
      <c r="I2750" s="2" t="str">
        <f t="shared" si="1"/>
        <v>122579 - Finance - Coaching</v>
      </c>
      <c r="J2750" s="2">
        <f t="shared" si="2"/>
        <v>916.86</v>
      </c>
      <c r="K2750" s="17">
        <f t="shared" si="3"/>
        <v>1</v>
      </c>
      <c r="L2750" s="18"/>
    </row>
    <row r="2751" hidden="1">
      <c r="A2751" s="2">
        <f>IFERROR(__xludf.DUMMYFUNCTION("""COMPUTED_VALUE"""),113407.0)</f>
        <v>113407</v>
      </c>
      <c r="B2751" s="2">
        <f>IFERROR(__xludf.DUMMYFUNCTION("""COMPUTED_VALUE"""),0.0)</f>
        <v>0</v>
      </c>
      <c r="C2751" s="2">
        <f>IFERROR(__xludf.DUMMYFUNCTION("""COMPUTED_VALUE"""),199.0)</f>
        <v>199</v>
      </c>
      <c r="D2751" s="3">
        <f>IFERROR(__xludf.DUMMYFUNCTION("""COMPUTED_VALUE"""),110.0)</f>
        <v>110</v>
      </c>
      <c r="E2751" s="1" t="str">
        <f t="array" ref="E2751">_xlfn.XLOOKUP(A2751,Product!A:A,Product!B:B,"Bulunamadı")</f>
        <v>Finance</v>
      </c>
      <c r="F2751" s="1" t="str">
        <f t="array" ref="F2751">_xlfn.XLOOKUP(A2751,Product!A:A,Product!C:C,"Bulunamadı")</f>
        <v>Coaching</v>
      </c>
      <c r="G2751" s="2" t="str">
        <f t="array" ref="G2751">_xlfn.XLOOKUP(A2752,Product!A:A,Product!D:D,"Bulunamadı")</f>
        <v>Oakgrove Press</v>
      </c>
      <c r="H2751" s="2">
        <f t="array" ref="H2751">_xlfn.XLOOKUP(A2753,Product!A:A,Product!E:E,"Bulunamadı")</f>
        <v>1.97</v>
      </c>
      <c r="I2751" s="2" t="str">
        <f t="shared" si="1"/>
        <v>113407 - Finance - Coaching</v>
      </c>
      <c r="J2751" s="2">
        <f t="shared" si="2"/>
        <v>216.7</v>
      </c>
      <c r="K2751" s="17">
        <f t="shared" si="3"/>
        <v>1</v>
      </c>
      <c r="L2751" s="18"/>
    </row>
    <row r="2752" hidden="1">
      <c r="A2752" s="2">
        <f>IFERROR(__xludf.DUMMYFUNCTION("""COMPUTED_VALUE"""),91995.0)</f>
        <v>91995</v>
      </c>
      <c r="B2752" s="2">
        <f>IFERROR(__xludf.DUMMYFUNCTION("""COMPUTED_VALUE"""),0.0)</f>
        <v>0</v>
      </c>
      <c r="C2752" s="2">
        <f>IFERROR(__xludf.DUMMYFUNCTION("""COMPUTED_VALUE"""),397.0)</f>
        <v>397</v>
      </c>
      <c r="D2752" s="3">
        <f>IFERROR(__xludf.DUMMYFUNCTION("""COMPUTED_VALUE"""),234.0)</f>
        <v>234</v>
      </c>
      <c r="E2752" s="1" t="str">
        <f t="array" ref="E2752">_xlfn.XLOOKUP(A2752,Product!A:A,Product!B:B,"Bulunamadı")</f>
        <v>Finance</v>
      </c>
      <c r="F2752" s="1" t="str">
        <f t="array" ref="F2752">_xlfn.XLOOKUP(A2752,Product!A:A,Product!C:C,"Bulunamadı")</f>
        <v>Coaching</v>
      </c>
      <c r="G2752" s="2" t="str">
        <f t="array" ref="G2752">_xlfn.XLOOKUP(A2753,Product!A:A,Product!D:D,"Bulunamadı")</f>
        <v>Rivergrove Publishing</v>
      </c>
      <c r="H2752" s="2">
        <f t="array" ref="H2752">_xlfn.XLOOKUP(A2754,Product!A:A,Product!E:E,"Bulunamadı")</f>
        <v>2.12</v>
      </c>
      <c r="I2752" s="2" t="str">
        <f t="shared" si="1"/>
        <v>91995 - Finance - Coaching</v>
      </c>
      <c r="J2752" s="2">
        <f t="shared" si="2"/>
        <v>496.08</v>
      </c>
      <c r="K2752" s="17">
        <f t="shared" si="3"/>
        <v>1</v>
      </c>
      <c r="L2752" s="18"/>
    </row>
    <row r="2753">
      <c r="A2753" s="2">
        <f>IFERROR(__xludf.DUMMYFUNCTION("""COMPUTED_VALUE"""),81178.0)</f>
        <v>81178</v>
      </c>
      <c r="B2753" s="2">
        <f>IFERROR(__xludf.DUMMYFUNCTION("""COMPUTED_VALUE"""),1.0)</f>
        <v>1</v>
      </c>
      <c r="C2753" s="2">
        <f>IFERROR(__xludf.DUMMYFUNCTION("""COMPUTED_VALUE"""),14.0)</f>
        <v>14</v>
      </c>
      <c r="D2753" s="3">
        <f>IFERROR(__xludf.DUMMYFUNCTION("""COMPUTED_VALUE"""),11.0)</f>
        <v>11</v>
      </c>
      <c r="E2753" s="1" t="str">
        <f t="array" ref="E2753">_xlfn.XLOOKUP(A2753,Product!A:A,Product!B:B,"Bulunamadı")</f>
        <v>Arts</v>
      </c>
      <c r="F2753" s="1" t="str">
        <f t="array" ref="F2753">_xlfn.XLOOKUP(A2753,Product!A:A,Product!C:C,"Bulunamadı")</f>
        <v>Sports Psychology</v>
      </c>
      <c r="G2753" s="2" t="str">
        <f t="array" ref="G2753">_xlfn.XLOOKUP(A2754,Product!A:A,Product!D:D,"Bulunamadı")</f>
        <v>Rivergrove Publishing</v>
      </c>
      <c r="H2753" s="2">
        <f t="array" ref="H2753">_xlfn.XLOOKUP(A2755,Product!A:A,Product!E:E,"Bulunamadı")</f>
        <v>2.63</v>
      </c>
      <c r="I2753" s="2" t="str">
        <f t="shared" si="1"/>
        <v>81178 - Arts - Sports Psychology</v>
      </c>
      <c r="J2753" s="2">
        <f t="shared" si="2"/>
        <v>28.93</v>
      </c>
      <c r="K2753" s="17">
        <f t="shared" si="3"/>
        <v>1</v>
      </c>
      <c r="L2753" s="18"/>
    </row>
    <row r="2754">
      <c r="A2754" s="2">
        <f>IFERROR(__xludf.DUMMYFUNCTION("""COMPUTED_VALUE"""),12918.0)</f>
        <v>12918</v>
      </c>
      <c r="B2754" s="2">
        <f>IFERROR(__xludf.DUMMYFUNCTION("""COMPUTED_VALUE"""),0.0)</f>
        <v>0</v>
      </c>
      <c r="C2754" s="2">
        <f>IFERROR(__xludf.DUMMYFUNCTION("""COMPUTED_VALUE"""),248.0)</f>
        <v>248</v>
      </c>
      <c r="D2754" s="3">
        <f>IFERROR(__xludf.DUMMYFUNCTION("""COMPUTED_VALUE"""),209.0)</f>
        <v>209</v>
      </c>
      <c r="E2754" s="1" t="str">
        <f t="array" ref="E2754">_xlfn.XLOOKUP(A2754,Product!A:A,Product!B:B,"Bulunamadı")</f>
        <v>Arts</v>
      </c>
      <c r="F2754" s="1" t="str">
        <f t="array" ref="F2754">_xlfn.XLOOKUP(A2754,Product!A:A,Product!C:C,"Bulunamadı")</f>
        <v>Sports Psychology</v>
      </c>
      <c r="G2754" s="2" t="str">
        <f t="array" ref="G2754">_xlfn.XLOOKUP(A2755,Product!A:A,Product!D:D,"Bulunamadı")</f>
        <v>Rivergrove Publishing</v>
      </c>
      <c r="H2754" s="2">
        <f t="array" ref="H2754">_xlfn.XLOOKUP(A2756,Product!A:A,Product!E:E,"Bulunamadı")</f>
        <v>1.62</v>
      </c>
      <c r="I2754" s="2" t="str">
        <f t="shared" si="1"/>
        <v>12918 - Arts - Sports Psychology</v>
      </c>
      <c r="J2754" s="2">
        <f t="shared" si="2"/>
        <v>338.58</v>
      </c>
      <c r="K2754" s="17">
        <f t="shared" si="3"/>
        <v>1</v>
      </c>
      <c r="L2754" s="18"/>
    </row>
    <row r="2755">
      <c r="A2755" s="2">
        <f>IFERROR(__xludf.DUMMYFUNCTION("""COMPUTED_VALUE"""),122411.0)</f>
        <v>122411</v>
      </c>
      <c r="B2755" s="2">
        <f>IFERROR(__xludf.DUMMYFUNCTION("""COMPUTED_VALUE"""),1.0)</f>
        <v>1</v>
      </c>
      <c r="C2755" s="2">
        <f>IFERROR(__xludf.DUMMYFUNCTION("""COMPUTED_VALUE"""),271.0)</f>
        <v>271</v>
      </c>
      <c r="D2755" s="3">
        <f>IFERROR(__xludf.DUMMYFUNCTION("""COMPUTED_VALUE"""),245.0)</f>
        <v>245</v>
      </c>
      <c r="E2755" s="1" t="str">
        <f t="array" ref="E2755">_xlfn.XLOOKUP(A2755,Product!A:A,Product!B:B,"Bulunamadı")</f>
        <v>Arts</v>
      </c>
      <c r="F2755" s="1" t="str">
        <f t="array" ref="F2755">_xlfn.XLOOKUP(A2755,Product!A:A,Product!C:C,"Bulunamadı")</f>
        <v>Sports Psychology</v>
      </c>
      <c r="G2755" s="2" t="str">
        <f t="array" ref="G2755">_xlfn.XLOOKUP(A2756,Product!A:A,Product!D:D,"Bulunamadı")</f>
        <v>Rivergrove Publishing</v>
      </c>
      <c r="H2755" s="2">
        <f t="array" ref="H2755">_xlfn.XLOOKUP(A2757,Product!A:A,Product!E:E,"Bulunamadı")</f>
        <v>4.54</v>
      </c>
      <c r="I2755" s="2" t="str">
        <f t="shared" si="1"/>
        <v>122411 - Arts - Sports Psychology</v>
      </c>
      <c r="J2755" s="2">
        <f t="shared" si="2"/>
        <v>1112.3</v>
      </c>
      <c r="K2755" s="17">
        <f t="shared" si="3"/>
        <v>1</v>
      </c>
      <c r="L2755" s="18"/>
    </row>
    <row r="2756">
      <c r="A2756" s="2">
        <f>IFERROR(__xludf.DUMMYFUNCTION("""COMPUTED_VALUE"""),81194.0)</f>
        <v>81194</v>
      </c>
      <c r="B2756" s="2">
        <f>IFERROR(__xludf.DUMMYFUNCTION("""COMPUTED_VALUE"""),0.0)</f>
        <v>0</v>
      </c>
      <c r="C2756" s="2">
        <f>IFERROR(__xludf.DUMMYFUNCTION("""COMPUTED_VALUE"""),303.0)</f>
        <v>303</v>
      </c>
      <c r="D2756" s="3">
        <f>IFERROR(__xludf.DUMMYFUNCTION("""COMPUTED_VALUE"""),249.0)</f>
        <v>249</v>
      </c>
      <c r="E2756" s="1" t="str">
        <f t="array" ref="E2756">_xlfn.XLOOKUP(A2756,Product!A:A,Product!B:B,"Bulunamadı")</f>
        <v>Arts</v>
      </c>
      <c r="F2756" s="1" t="str">
        <f t="array" ref="F2756">_xlfn.XLOOKUP(A2756,Product!A:A,Product!C:C,"Bulunamadı")</f>
        <v>Sports Psychology</v>
      </c>
      <c r="G2756" s="2" t="str">
        <f t="array" ref="G2756">_xlfn.XLOOKUP(A2757,Product!A:A,Product!D:D,"Bulunamadı")</f>
        <v>Rivergrove Publishing</v>
      </c>
      <c r="H2756" s="2">
        <f t="array" ref="H2756">_xlfn.XLOOKUP(A2758,Product!A:A,Product!E:E,"Bulunamadı")</f>
        <v>3.58</v>
      </c>
      <c r="I2756" s="2" t="str">
        <f t="shared" si="1"/>
        <v>81194 - Arts - Sports Psychology</v>
      </c>
      <c r="J2756" s="2">
        <f t="shared" si="2"/>
        <v>891.42</v>
      </c>
      <c r="K2756" s="17">
        <f t="shared" si="3"/>
        <v>1</v>
      </c>
      <c r="L2756" s="18"/>
    </row>
    <row r="2757">
      <c r="A2757" s="2">
        <f>IFERROR(__xludf.DUMMYFUNCTION("""COMPUTED_VALUE"""),71876.0)</f>
        <v>71876</v>
      </c>
      <c r="B2757" s="2">
        <f>IFERROR(__xludf.DUMMYFUNCTION("""COMPUTED_VALUE"""),0.0)</f>
        <v>0</v>
      </c>
      <c r="C2757" s="2">
        <f>IFERROR(__xludf.DUMMYFUNCTION("""COMPUTED_VALUE"""),427.0)</f>
        <v>427</v>
      </c>
      <c r="D2757" s="3">
        <f>IFERROR(__xludf.DUMMYFUNCTION("""COMPUTED_VALUE"""),94.0)</f>
        <v>94</v>
      </c>
      <c r="E2757" s="1" t="str">
        <f t="array" ref="E2757">_xlfn.XLOOKUP(A2757,Product!A:A,Product!B:B,"Bulunamadı")</f>
        <v>Arts</v>
      </c>
      <c r="F2757" s="1" t="str">
        <f t="array" ref="F2757">_xlfn.XLOOKUP(A2757,Product!A:A,Product!C:C,"Bulunamadı")</f>
        <v>Sports Psychology</v>
      </c>
      <c r="G2757" s="2" t="str">
        <f t="array" ref="G2757">_xlfn.XLOOKUP(A2758,Product!A:A,Product!D:D,"Bulunamadı")</f>
        <v>Rivergrove Publishing</v>
      </c>
      <c r="H2757" s="2">
        <f t="array" ref="H2757">_xlfn.XLOOKUP(A2759,Product!A:A,Product!E:E,"Bulunamadı")</f>
        <v>1.91</v>
      </c>
      <c r="I2757" s="2" t="str">
        <f t="shared" si="1"/>
        <v>71876 - Arts - Sports Psychology</v>
      </c>
      <c r="J2757" s="2">
        <f t="shared" si="2"/>
        <v>179.54</v>
      </c>
      <c r="K2757" s="17">
        <f t="shared" si="3"/>
        <v>1</v>
      </c>
      <c r="L2757" s="18"/>
    </row>
    <row r="2758">
      <c r="A2758" s="2">
        <f>IFERROR(__xludf.DUMMYFUNCTION("""COMPUTED_VALUE"""),129493.0)</f>
        <v>129493</v>
      </c>
      <c r="B2758" s="2">
        <f>IFERROR(__xludf.DUMMYFUNCTION("""COMPUTED_VALUE"""),1.0)</f>
        <v>1</v>
      </c>
      <c r="C2758" s="2">
        <f>IFERROR(__xludf.DUMMYFUNCTION("""COMPUTED_VALUE"""),427.0)</f>
        <v>427</v>
      </c>
      <c r="D2758" s="3">
        <f>IFERROR(__xludf.DUMMYFUNCTION("""COMPUTED_VALUE"""),5.0)</f>
        <v>5</v>
      </c>
      <c r="E2758" s="1" t="str">
        <f t="array" ref="E2758">_xlfn.XLOOKUP(A2758,Product!A:A,Product!B:B,"Bulunamadı")</f>
        <v>Arts</v>
      </c>
      <c r="F2758" s="1" t="str">
        <f t="array" ref="F2758">_xlfn.XLOOKUP(A2758,Product!A:A,Product!C:C,"Bulunamadı")</f>
        <v>Sports Psychology</v>
      </c>
      <c r="G2758" s="2" t="str">
        <f t="array" ref="G2758">_xlfn.XLOOKUP(A2759,Product!A:A,Product!D:D,"Bulunamadı")</f>
        <v>Rivergrove Publishing</v>
      </c>
      <c r="H2758" s="2">
        <f t="array" ref="H2758">_xlfn.XLOOKUP(A2760,Product!A:A,Product!E:E,"Bulunamadı")</f>
        <v>4.18</v>
      </c>
      <c r="I2758" s="2" t="str">
        <f t="shared" si="1"/>
        <v>129493 - Arts - Sports Psychology</v>
      </c>
      <c r="J2758" s="2">
        <f t="shared" si="2"/>
        <v>20.9</v>
      </c>
      <c r="K2758" s="17">
        <f t="shared" si="3"/>
        <v>1</v>
      </c>
      <c r="L2758" s="18"/>
    </row>
    <row r="2759">
      <c r="A2759" s="2">
        <f>IFERROR(__xludf.DUMMYFUNCTION("""COMPUTED_VALUE"""),81190.0)</f>
        <v>81190</v>
      </c>
      <c r="B2759" s="2">
        <f>IFERROR(__xludf.DUMMYFUNCTION("""COMPUTED_VALUE"""),0.0)</f>
        <v>0</v>
      </c>
      <c r="C2759" s="2">
        <f>IFERROR(__xludf.DUMMYFUNCTION("""COMPUTED_VALUE"""),774.0)</f>
        <v>774</v>
      </c>
      <c r="D2759" s="3">
        <f>IFERROR(__xludf.DUMMYFUNCTION("""COMPUTED_VALUE"""),218.0)</f>
        <v>218</v>
      </c>
      <c r="E2759" s="1" t="str">
        <f t="array" ref="E2759">_xlfn.XLOOKUP(A2759,Product!A:A,Product!B:B,"Bulunamadı")</f>
        <v>Arts</v>
      </c>
      <c r="F2759" s="1" t="str">
        <f t="array" ref="F2759">_xlfn.XLOOKUP(A2759,Product!A:A,Product!C:C,"Bulunamadı")</f>
        <v>Sports Psychology</v>
      </c>
      <c r="G2759" s="2" t="str">
        <f t="array" ref="G2759">_xlfn.XLOOKUP(A2760,Product!A:A,Product!D:D,"Bulunamadı")</f>
        <v>Rivergrove Publishing</v>
      </c>
      <c r="H2759" s="2">
        <f t="array" ref="H2759">_xlfn.XLOOKUP(A2761,Product!A:A,Product!E:E,"Bulunamadı")</f>
        <v>1.73</v>
      </c>
      <c r="I2759" s="2" t="str">
        <f t="shared" si="1"/>
        <v>81190 - Arts - Sports Psychology</v>
      </c>
      <c r="J2759" s="2">
        <f t="shared" si="2"/>
        <v>377.14</v>
      </c>
      <c r="K2759" s="17">
        <f t="shared" si="3"/>
        <v>1</v>
      </c>
      <c r="L2759" s="18"/>
    </row>
    <row r="2760">
      <c r="A2760" s="2">
        <f>IFERROR(__xludf.DUMMYFUNCTION("""COMPUTED_VALUE"""),71875.0)</f>
        <v>71875</v>
      </c>
      <c r="B2760" s="2">
        <f>IFERROR(__xludf.DUMMYFUNCTION("""COMPUTED_VALUE"""),0.0)</f>
        <v>0</v>
      </c>
      <c r="C2760" s="2">
        <f>IFERROR(__xludf.DUMMYFUNCTION("""COMPUTED_VALUE"""),961.0)</f>
        <v>961</v>
      </c>
      <c r="D2760" s="3">
        <f>IFERROR(__xludf.DUMMYFUNCTION("""COMPUTED_VALUE"""),787.0)</f>
        <v>787</v>
      </c>
      <c r="E2760" s="1" t="str">
        <f t="array" ref="E2760">_xlfn.XLOOKUP(A2760,Product!A:A,Product!B:B,"Bulunamadı")</f>
        <v>Arts</v>
      </c>
      <c r="F2760" s="1" t="str">
        <f t="array" ref="F2760">_xlfn.XLOOKUP(A2760,Product!A:A,Product!C:C,"Bulunamadı")</f>
        <v>Sports Psychology</v>
      </c>
      <c r="G2760" s="2" t="str">
        <f t="array" ref="G2760">_xlfn.XLOOKUP(A2761,Product!A:A,Product!D:D,"Bulunamadı")</f>
        <v>Rivergrove Publishing</v>
      </c>
      <c r="H2760" s="2">
        <f t="array" ref="H2760">_xlfn.XLOOKUP(A2762,Product!A:A,Product!E:E,"Bulunamadı")</f>
        <v>1.72</v>
      </c>
      <c r="I2760" s="2" t="str">
        <f t="shared" si="1"/>
        <v>71875 - Arts - Sports Psychology</v>
      </c>
      <c r="J2760" s="2">
        <f t="shared" si="2"/>
        <v>1353.64</v>
      </c>
      <c r="K2760" s="17">
        <f t="shared" si="3"/>
        <v>1</v>
      </c>
      <c r="L2760" s="18"/>
    </row>
    <row r="2761">
      <c r="A2761" s="2">
        <f>IFERROR(__xludf.DUMMYFUNCTION("""COMPUTED_VALUE"""),81198.0)</f>
        <v>81198</v>
      </c>
      <c r="B2761" s="2">
        <f>IFERROR(__xludf.DUMMYFUNCTION("""COMPUTED_VALUE"""),0.0)</f>
        <v>0</v>
      </c>
      <c r="C2761" s="2">
        <f>IFERROR(__xludf.DUMMYFUNCTION("""COMPUTED_VALUE"""),487.0)</f>
        <v>487</v>
      </c>
      <c r="D2761" s="3">
        <f>IFERROR(__xludf.DUMMYFUNCTION("""COMPUTED_VALUE"""),85.0)</f>
        <v>85</v>
      </c>
      <c r="E2761" s="1" t="str">
        <f t="array" ref="E2761">_xlfn.XLOOKUP(A2761,Product!A:A,Product!B:B,"Bulunamadı")</f>
        <v>Arts</v>
      </c>
      <c r="F2761" s="1" t="str">
        <f t="array" ref="F2761">_xlfn.XLOOKUP(A2761,Product!A:A,Product!C:C,"Bulunamadı")</f>
        <v>Sports Psychology</v>
      </c>
      <c r="G2761" s="2" t="str">
        <f t="array" ref="G2761">_xlfn.XLOOKUP(A2762,Product!A:A,Product!D:D,"Bulunamadı")</f>
        <v>Rivergrove Publishing</v>
      </c>
      <c r="H2761" s="2">
        <f t="array" ref="H2761">_xlfn.XLOOKUP(A2763,Product!A:A,Product!E:E,"Bulunamadı")</f>
        <v>3</v>
      </c>
      <c r="I2761" s="2" t="str">
        <f t="shared" si="1"/>
        <v>81198 - Arts - Sports Psychology</v>
      </c>
      <c r="J2761" s="2">
        <f t="shared" si="2"/>
        <v>255</v>
      </c>
      <c r="K2761" s="17">
        <f t="shared" si="3"/>
        <v>1</v>
      </c>
      <c r="L2761" s="18"/>
    </row>
    <row r="2762">
      <c r="A2762" s="2">
        <f>IFERROR(__xludf.DUMMYFUNCTION("""COMPUTED_VALUE"""),188723.0)</f>
        <v>188723</v>
      </c>
      <c r="B2762" s="2">
        <f>IFERROR(__xludf.DUMMYFUNCTION("""COMPUTED_VALUE"""),0.0)</f>
        <v>0</v>
      </c>
      <c r="C2762" s="2">
        <f>IFERROR(__xludf.DUMMYFUNCTION("""COMPUTED_VALUE"""),655.0)</f>
        <v>655</v>
      </c>
      <c r="D2762" s="3">
        <f>IFERROR(__xludf.DUMMYFUNCTION("""COMPUTED_VALUE"""),245.0)</f>
        <v>245</v>
      </c>
      <c r="E2762" s="1" t="str">
        <f t="array" ref="E2762">_xlfn.XLOOKUP(A2762,Product!A:A,Product!B:B,"Bulunamadı")</f>
        <v>Arts</v>
      </c>
      <c r="F2762" s="1" t="str">
        <f t="array" ref="F2762">_xlfn.XLOOKUP(A2762,Product!A:A,Product!C:C,"Bulunamadı")</f>
        <v>Sports Psychology</v>
      </c>
      <c r="G2762" s="2" t="str">
        <f t="array" ref="G2762">_xlfn.XLOOKUP(A2763,Product!A:A,Product!D:D,"Bulunamadı")</f>
        <v>Rivergrove Publishing</v>
      </c>
      <c r="H2762" s="2">
        <f t="array" ref="H2762">_xlfn.XLOOKUP(A2764,Product!A:A,Product!E:E,"Bulunamadı")</f>
        <v>2.69</v>
      </c>
      <c r="I2762" s="2" t="str">
        <f t="shared" si="1"/>
        <v>188723 - Arts - Sports Psychology</v>
      </c>
      <c r="J2762" s="2">
        <f t="shared" si="2"/>
        <v>659.05</v>
      </c>
      <c r="K2762" s="17">
        <f t="shared" si="3"/>
        <v>1</v>
      </c>
      <c r="L2762" s="18"/>
    </row>
    <row r="2763">
      <c r="A2763" s="2">
        <f>IFERROR(__xludf.DUMMYFUNCTION("""COMPUTED_VALUE"""),115053.0)</f>
        <v>115053</v>
      </c>
      <c r="B2763" s="2">
        <f>IFERROR(__xludf.DUMMYFUNCTION("""COMPUTED_VALUE"""),1.0)</f>
        <v>1</v>
      </c>
      <c r="C2763" s="2">
        <f>IFERROR(__xludf.DUMMYFUNCTION("""COMPUTED_VALUE"""),926.0)</f>
        <v>926</v>
      </c>
      <c r="D2763" s="3">
        <f>IFERROR(__xludf.DUMMYFUNCTION("""COMPUTED_VALUE"""),828.0)</f>
        <v>828</v>
      </c>
      <c r="E2763" s="1" t="str">
        <f t="array" ref="E2763">_xlfn.XLOOKUP(A2763,Product!A:A,Product!B:B,"Bulunamadı")</f>
        <v>Arts</v>
      </c>
      <c r="F2763" s="1" t="str">
        <f t="array" ref="F2763">_xlfn.XLOOKUP(A2763,Product!A:A,Product!C:C,"Bulunamadı")</f>
        <v>Sports Psychology</v>
      </c>
      <c r="G2763" s="2" t="str">
        <f t="array" ref="G2763">_xlfn.XLOOKUP(A2764,Product!A:A,Product!D:D,"Bulunamadı")</f>
        <v>Rivergrove Publishing</v>
      </c>
      <c r="H2763" s="2">
        <f t="array" ref="H2763">_xlfn.XLOOKUP(A2765,Product!A:A,Product!E:E,"Bulunamadı")</f>
        <v>2.36</v>
      </c>
      <c r="I2763" s="2" t="str">
        <f t="shared" si="1"/>
        <v>115053 - Arts - Sports Psychology</v>
      </c>
      <c r="J2763" s="2">
        <f t="shared" si="2"/>
        <v>1954.08</v>
      </c>
      <c r="K2763" s="17">
        <f t="shared" si="3"/>
        <v>1</v>
      </c>
      <c r="L2763" s="18"/>
    </row>
    <row r="2764">
      <c r="A2764" s="2">
        <f>IFERROR(__xludf.DUMMYFUNCTION("""COMPUTED_VALUE"""),104609.0)</f>
        <v>104609</v>
      </c>
      <c r="B2764" s="2">
        <f>IFERROR(__xludf.DUMMYFUNCTION("""COMPUTED_VALUE"""),0.0)</f>
        <v>0</v>
      </c>
      <c r="C2764" s="2">
        <f>IFERROR(__xludf.DUMMYFUNCTION("""COMPUTED_VALUE"""),607.0)</f>
        <v>607</v>
      </c>
      <c r="D2764" s="3">
        <f>IFERROR(__xludf.DUMMYFUNCTION("""COMPUTED_VALUE"""),1.0)</f>
        <v>1</v>
      </c>
      <c r="E2764" s="1" t="str">
        <f t="array" ref="E2764">_xlfn.XLOOKUP(A2764,Product!A:A,Product!B:B,"Bulunamadı")</f>
        <v>Arts</v>
      </c>
      <c r="F2764" s="1" t="str">
        <f t="array" ref="F2764">_xlfn.XLOOKUP(A2764,Product!A:A,Product!C:C,"Bulunamadı")</f>
        <v>Sports Psychology</v>
      </c>
      <c r="G2764" s="2" t="str">
        <f t="array" ref="G2764">_xlfn.XLOOKUP(A2765,Product!A:A,Product!D:D,"Bulunamadı")</f>
        <v>Rivergrove Publishing</v>
      </c>
      <c r="H2764" s="2">
        <f t="array" ref="H2764">_xlfn.XLOOKUP(A2766,Product!A:A,Product!E:E,"Bulunamadı")</f>
        <v>2.83</v>
      </c>
      <c r="I2764" s="2" t="str">
        <f t="shared" si="1"/>
        <v>104609 - Arts - Sports Psychology</v>
      </c>
      <c r="J2764" s="2">
        <f t="shared" si="2"/>
        <v>2.83</v>
      </c>
      <c r="K2764" s="17">
        <f t="shared" si="3"/>
        <v>1</v>
      </c>
      <c r="L2764" s="18"/>
    </row>
    <row r="2765">
      <c r="A2765" s="2">
        <f>IFERROR(__xludf.DUMMYFUNCTION("""COMPUTED_VALUE"""),12916.0)</f>
        <v>12916</v>
      </c>
      <c r="B2765" s="2">
        <f>IFERROR(__xludf.DUMMYFUNCTION("""COMPUTED_VALUE"""),0.0)</f>
        <v>0</v>
      </c>
      <c r="C2765" s="2">
        <f>IFERROR(__xludf.DUMMYFUNCTION("""COMPUTED_VALUE"""),618.0)</f>
        <v>618</v>
      </c>
      <c r="D2765" s="3">
        <f>IFERROR(__xludf.DUMMYFUNCTION("""COMPUTED_VALUE"""),41.0)</f>
        <v>41</v>
      </c>
      <c r="E2765" s="1" t="str">
        <f t="array" ref="E2765">_xlfn.XLOOKUP(A2765,Product!A:A,Product!B:B,"Bulunamadı")</f>
        <v>Arts</v>
      </c>
      <c r="F2765" s="1" t="str">
        <f t="array" ref="F2765">_xlfn.XLOOKUP(A2765,Product!A:A,Product!C:C,"Bulunamadı")</f>
        <v>Sports Psychology</v>
      </c>
      <c r="G2765" s="2" t="str">
        <f t="array" ref="G2765">_xlfn.XLOOKUP(A2766,Product!A:A,Product!D:D,"Bulunamadı")</f>
        <v>Rivergrove Publishing</v>
      </c>
      <c r="H2765" s="2">
        <f t="array" ref="H2765">_xlfn.XLOOKUP(A2767,Product!A:A,Product!E:E,"Bulunamadı")</f>
        <v>2.02</v>
      </c>
      <c r="I2765" s="2" t="str">
        <f t="shared" si="1"/>
        <v>12916 - Arts - Sports Psychology</v>
      </c>
      <c r="J2765" s="2">
        <f t="shared" si="2"/>
        <v>82.82</v>
      </c>
      <c r="K2765" s="17">
        <f t="shared" si="3"/>
        <v>1</v>
      </c>
      <c r="L2765" s="18"/>
    </row>
    <row r="2766">
      <c r="A2766" s="2">
        <f>IFERROR(__xludf.DUMMYFUNCTION("""COMPUTED_VALUE"""),129488.0)</f>
        <v>129488</v>
      </c>
      <c r="B2766" s="2">
        <f>IFERROR(__xludf.DUMMYFUNCTION("""COMPUTED_VALUE"""),0.0)</f>
        <v>0</v>
      </c>
      <c r="C2766" s="2">
        <f>IFERROR(__xludf.DUMMYFUNCTION("""COMPUTED_VALUE"""),570.0)</f>
        <v>570</v>
      </c>
      <c r="D2766" s="3">
        <f>IFERROR(__xludf.DUMMYFUNCTION("""COMPUTED_VALUE"""),130.0)</f>
        <v>130</v>
      </c>
      <c r="E2766" s="1" t="str">
        <f t="array" ref="E2766">_xlfn.XLOOKUP(A2766,Product!A:A,Product!B:B,"Bulunamadı")</f>
        <v>Arts</v>
      </c>
      <c r="F2766" s="1" t="str">
        <f t="array" ref="F2766">_xlfn.XLOOKUP(A2766,Product!A:A,Product!C:C,"Bulunamadı")</f>
        <v>Sports Psychology</v>
      </c>
      <c r="G2766" s="2" t="str">
        <f t="array" ref="G2766">_xlfn.XLOOKUP(A2767,Product!A:A,Product!D:D,"Bulunamadı")</f>
        <v>Rivergrove Publishing</v>
      </c>
      <c r="H2766" s="2">
        <f t="array" ref="H2766">_xlfn.XLOOKUP(A2768,Product!A:A,Product!E:E,"Bulunamadı")</f>
        <v>2.66</v>
      </c>
      <c r="I2766" s="2" t="str">
        <f t="shared" si="1"/>
        <v>129488 - Arts - Sports Psychology</v>
      </c>
      <c r="J2766" s="2">
        <f t="shared" si="2"/>
        <v>345.8</v>
      </c>
      <c r="K2766" s="17">
        <f t="shared" si="3"/>
        <v>1</v>
      </c>
      <c r="L2766" s="18"/>
    </row>
    <row r="2767">
      <c r="A2767" s="2">
        <f>IFERROR(__xludf.DUMMYFUNCTION("""COMPUTED_VALUE"""),78566.0)</f>
        <v>78566</v>
      </c>
      <c r="B2767" s="2">
        <f>IFERROR(__xludf.DUMMYFUNCTION("""COMPUTED_VALUE"""),1.0)</f>
        <v>1</v>
      </c>
      <c r="C2767" s="2">
        <f>IFERROR(__xludf.DUMMYFUNCTION("""COMPUTED_VALUE"""),359.0)</f>
        <v>359</v>
      </c>
      <c r="D2767" s="3">
        <f>IFERROR(__xludf.DUMMYFUNCTION("""COMPUTED_VALUE"""),116.0)</f>
        <v>116</v>
      </c>
      <c r="E2767" s="1" t="str">
        <f t="array" ref="E2767">_xlfn.XLOOKUP(A2767,Product!A:A,Product!B:B,"Bulunamadı")</f>
        <v>Arts</v>
      </c>
      <c r="F2767" s="1" t="str">
        <f t="array" ref="F2767">_xlfn.XLOOKUP(A2767,Product!A:A,Product!C:C,"Bulunamadı")</f>
        <v>Sports Psychology</v>
      </c>
      <c r="G2767" s="2" t="str">
        <f t="array" ref="G2767">_xlfn.XLOOKUP(A2768,Product!A:A,Product!D:D,"Bulunamadı")</f>
        <v>Rivergrove Publishing</v>
      </c>
      <c r="H2767" s="2">
        <f t="array" ref="H2767">_xlfn.XLOOKUP(A2769,Product!A:A,Product!E:E,"Bulunamadı")</f>
        <v>1.97</v>
      </c>
      <c r="I2767" s="2" t="str">
        <f t="shared" si="1"/>
        <v>78566 - Arts - Sports Psychology</v>
      </c>
      <c r="J2767" s="2">
        <f t="shared" si="2"/>
        <v>228.52</v>
      </c>
      <c r="K2767" s="17">
        <f t="shared" si="3"/>
        <v>1</v>
      </c>
      <c r="L2767" s="18"/>
    </row>
    <row r="2768">
      <c r="A2768" s="2">
        <f>IFERROR(__xludf.DUMMYFUNCTION("""COMPUTED_VALUE"""),15090.0)</f>
        <v>15090</v>
      </c>
      <c r="B2768" s="2">
        <f>IFERROR(__xludf.DUMMYFUNCTION("""COMPUTED_VALUE"""),1.0)</f>
        <v>1</v>
      </c>
      <c r="C2768" s="2">
        <f>IFERROR(__xludf.DUMMYFUNCTION("""COMPUTED_VALUE"""),494.0)</f>
        <v>494</v>
      </c>
      <c r="D2768" s="3">
        <f>IFERROR(__xludf.DUMMYFUNCTION("""COMPUTED_VALUE"""),347.0)</f>
        <v>347</v>
      </c>
      <c r="E2768" s="1" t="str">
        <f t="array" ref="E2768">_xlfn.XLOOKUP(A2768,Product!A:A,Product!B:B,"Bulunamadı")</f>
        <v>Arts</v>
      </c>
      <c r="F2768" s="1" t="str">
        <f t="array" ref="F2768">_xlfn.XLOOKUP(A2768,Product!A:A,Product!C:C,"Bulunamadı")</f>
        <v>Sports Psychology</v>
      </c>
      <c r="G2768" s="2" t="str">
        <f t="array" ref="G2768">_xlfn.XLOOKUP(A2769,Product!A:A,Product!D:D,"Bulunamadı")</f>
        <v>Rivergrove Publishing</v>
      </c>
      <c r="H2768" s="2">
        <f t="array" ref="H2768">_xlfn.XLOOKUP(A2770,Product!A:A,Product!E:E,"Bulunamadı")</f>
        <v>2.3</v>
      </c>
      <c r="I2768" s="2" t="str">
        <f t="shared" si="1"/>
        <v>15090 - Arts - Sports Psychology</v>
      </c>
      <c r="J2768" s="2">
        <f t="shared" si="2"/>
        <v>798.1</v>
      </c>
      <c r="K2768" s="17">
        <f t="shared" si="3"/>
        <v>1</v>
      </c>
      <c r="L2768" s="18"/>
    </row>
    <row r="2769">
      <c r="A2769" s="2">
        <f>IFERROR(__xludf.DUMMYFUNCTION("""COMPUTED_VALUE"""),81209.0)</f>
        <v>81209</v>
      </c>
      <c r="B2769" s="2">
        <f>IFERROR(__xludf.DUMMYFUNCTION("""COMPUTED_VALUE"""),0.0)</f>
        <v>0</v>
      </c>
      <c r="C2769" s="2">
        <f>IFERROR(__xludf.DUMMYFUNCTION("""COMPUTED_VALUE"""),609.0)</f>
        <v>609</v>
      </c>
      <c r="D2769" s="3">
        <f>IFERROR(__xludf.DUMMYFUNCTION("""COMPUTED_VALUE"""),144.0)</f>
        <v>144</v>
      </c>
      <c r="E2769" s="1" t="str">
        <f t="array" ref="E2769">_xlfn.XLOOKUP(A2769,Product!A:A,Product!B:B,"Bulunamadı")</f>
        <v>Arts</v>
      </c>
      <c r="F2769" s="1" t="str">
        <f t="array" ref="F2769">_xlfn.XLOOKUP(A2769,Product!A:A,Product!C:C,"Bulunamadı")</f>
        <v>Sports Psychology</v>
      </c>
      <c r="G2769" s="2" t="str">
        <f t="array" ref="G2769">_xlfn.XLOOKUP(A2770,Product!A:A,Product!D:D,"Bulunamadı")</f>
        <v>Rivergrove Publishing</v>
      </c>
      <c r="H2769" s="2">
        <f t="array" ref="H2769">_xlfn.XLOOKUP(A2771,Product!A:A,Product!E:E,"Bulunamadı")</f>
        <v>2.11</v>
      </c>
      <c r="I2769" s="2" t="str">
        <f t="shared" si="1"/>
        <v>81209 - Arts - Sports Psychology</v>
      </c>
      <c r="J2769" s="2">
        <f t="shared" si="2"/>
        <v>303.84</v>
      </c>
      <c r="K2769" s="17">
        <f t="shared" si="3"/>
        <v>1</v>
      </c>
      <c r="L2769" s="18"/>
    </row>
    <row r="2770">
      <c r="A2770" s="2">
        <f>IFERROR(__xludf.DUMMYFUNCTION("""COMPUTED_VALUE"""),108141.0)</f>
        <v>108141</v>
      </c>
      <c r="B2770" s="2">
        <f>IFERROR(__xludf.DUMMYFUNCTION("""COMPUTED_VALUE"""),1.0)</f>
        <v>1</v>
      </c>
      <c r="C2770" s="2">
        <f>IFERROR(__xludf.DUMMYFUNCTION("""COMPUTED_VALUE"""),780.0)</f>
        <v>780</v>
      </c>
      <c r="D2770" s="3">
        <f>IFERROR(__xludf.DUMMYFUNCTION("""COMPUTED_VALUE"""),78.0)</f>
        <v>78</v>
      </c>
      <c r="E2770" s="1" t="str">
        <f t="array" ref="E2770">_xlfn.XLOOKUP(A2770,Product!A:A,Product!B:B,"Bulunamadı")</f>
        <v>Arts</v>
      </c>
      <c r="F2770" s="1" t="str">
        <f t="array" ref="F2770">_xlfn.XLOOKUP(A2770,Product!A:A,Product!C:C,"Bulunamadı")</f>
        <v>Sports Psychology</v>
      </c>
      <c r="G2770" s="2" t="str">
        <f t="array" ref="G2770">_xlfn.XLOOKUP(A2771,Product!A:A,Product!D:D,"Bulunamadı")</f>
        <v>Rivergrove Publishing</v>
      </c>
      <c r="H2770" s="2">
        <f t="array" ref="H2770">_xlfn.XLOOKUP(A2772,Product!A:A,Product!E:E,"Bulunamadı")</f>
        <v>3.44</v>
      </c>
      <c r="I2770" s="2" t="str">
        <f t="shared" si="1"/>
        <v>108141 - Arts - Sports Psychology</v>
      </c>
      <c r="J2770" s="2">
        <f t="shared" si="2"/>
        <v>268.32</v>
      </c>
      <c r="K2770" s="17">
        <f t="shared" si="3"/>
        <v>1</v>
      </c>
      <c r="L2770" s="18"/>
    </row>
    <row r="2771">
      <c r="A2771" s="2">
        <f>IFERROR(__xludf.DUMMYFUNCTION("""COMPUTED_VALUE"""),12914.0)</f>
        <v>12914</v>
      </c>
      <c r="B2771" s="2">
        <f>IFERROR(__xludf.DUMMYFUNCTION("""COMPUTED_VALUE"""),0.0)</f>
        <v>0</v>
      </c>
      <c r="C2771" s="2">
        <f>IFERROR(__xludf.DUMMYFUNCTION("""COMPUTED_VALUE"""),528.0)</f>
        <v>528</v>
      </c>
      <c r="D2771" s="3">
        <f>IFERROR(__xludf.DUMMYFUNCTION("""COMPUTED_VALUE"""),447.0)</f>
        <v>447</v>
      </c>
      <c r="E2771" s="1" t="str">
        <f t="array" ref="E2771">_xlfn.XLOOKUP(A2771,Product!A:A,Product!B:B,"Bulunamadı")</f>
        <v>Arts</v>
      </c>
      <c r="F2771" s="1" t="str">
        <f t="array" ref="F2771">_xlfn.XLOOKUP(A2771,Product!A:A,Product!C:C,"Bulunamadı")</f>
        <v>Sports Psychology</v>
      </c>
      <c r="G2771" s="2" t="str">
        <f t="array" ref="G2771">_xlfn.XLOOKUP(A2772,Product!A:A,Product!D:D,"Bulunamadı")</f>
        <v>Rivergrove Publishing</v>
      </c>
      <c r="H2771" s="2">
        <f t="array" ref="H2771">_xlfn.XLOOKUP(A2773,Product!A:A,Product!E:E,"Bulunamadı")</f>
        <v>2.79</v>
      </c>
      <c r="I2771" s="2" t="str">
        <f t="shared" si="1"/>
        <v>12914 - Arts - Sports Psychology</v>
      </c>
      <c r="J2771" s="2">
        <f t="shared" si="2"/>
        <v>1247.13</v>
      </c>
      <c r="K2771" s="17">
        <f t="shared" si="3"/>
        <v>1</v>
      </c>
      <c r="L2771" s="18"/>
    </row>
    <row r="2772">
      <c r="A2772" s="2">
        <f>IFERROR(__xludf.DUMMYFUNCTION("""COMPUTED_VALUE"""),129492.0)</f>
        <v>129492</v>
      </c>
      <c r="B2772" s="2">
        <f>IFERROR(__xludf.DUMMYFUNCTION("""COMPUTED_VALUE"""),1.0)</f>
        <v>1</v>
      </c>
      <c r="C2772" s="2">
        <f>IFERROR(__xludf.DUMMYFUNCTION("""COMPUTED_VALUE"""),252.0)</f>
        <v>252</v>
      </c>
      <c r="D2772" s="3">
        <f>IFERROR(__xludf.DUMMYFUNCTION("""COMPUTED_VALUE"""),140.0)</f>
        <v>140</v>
      </c>
      <c r="E2772" s="1" t="str">
        <f t="array" ref="E2772">_xlfn.XLOOKUP(A2772,Product!A:A,Product!B:B,"Bulunamadı")</f>
        <v>Arts</v>
      </c>
      <c r="F2772" s="1" t="str">
        <f t="array" ref="F2772">_xlfn.XLOOKUP(A2772,Product!A:A,Product!C:C,"Bulunamadı")</f>
        <v>Sports Psychology</v>
      </c>
      <c r="G2772" s="2" t="str">
        <f t="array" ref="G2772">_xlfn.XLOOKUP(A2773,Product!A:A,Product!D:D,"Bulunamadı")</f>
        <v>Rivergrove Publishing</v>
      </c>
      <c r="H2772" s="2">
        <f t="array" ref="H2772">_xlfn.XLOOKUP(A2774,Product!A:A,Product!E:E,"Bulunamadı")</f>
        <v>2.13</v>
      </c>
      <c r="I2772" s="2" t="str">
        <f t="shared" si="1"/>
        <v>129492 - Arts - Sports Psychology</v>
      </c>
      <c r="J2772" s="2">
        <f t="shared" si="2"/>
        <v>298.2</v>
      </c>
      <c r="K2772" s="17">
        <f t="shared" si="3"/>
        <v>1</v>
      </c>
      <c r="L2772" s="18"/>
    </row>
    <row r="2773">
      <c r="A2773" s="2">
        <f>IFERROR(__xludf.DUMMYFUNCTION("""COMPUTED_VALUE"""),120473.0)</f>
        <v>120473</v>
      </c>
      <c r="B2773" s="2">
        <f>IFERROR(__xludf.DUMMYFUNCTION("""COMPUTED_VALUE"""),0.0)</f>
        <v>0</v>
      </c>
      <c r="C2773" s="2">
        <f>IFERROR(__xludf.DUMMYFUNCTION("""COMPUTED_VALUE"""),21.0)</f>
        <v>21</v>
      </c>
      <c r="D2773" s="3">
        <f>IFERROR(__xludf.DUMMYFUNCTION("""COMPUTED_VALUE"""),1.0)</f>
        <v>1</v>
      </c>
      <c r="E2773" s="1" t="str">
        <f t="array" ref="E2773">_xlfn.XLOOKUP(A2773,Product!A:A,Product!B:B,"Bulunamadı")</f>
        <v>Arts</v>
      </c>
      <c r="F2773" s="1" t="str">
        <f t="array" ref="F2773">_xlfn.XLOOKUP(A2773,Product!A:A,Product!C:C,"Bulunamadı")</f>
        <v>Sports Psychology</v>
      </c>
      <c r="G2773" s="2" t="str">
        <f t="array" ref="G2773">_xlfn.XLOOKUP(A2774,Product!A:A,Product!D:D,"Bulunamadı")</f>
        <v>Rivergrove Publishing</v>
      </c>
      <c r="H2773" s="2">
        <f t="array" ref="H2773">_xlfn.XLOOKUP(A2775,Product!A:A,Product!E:E,"Bulunamadı")</f>
        <v>2.14</v>
      </c>
      <c r="I2773" s="2" t="str">
        <f t="shared" si="1"/>
        <v>120473 - Arts - Sports Psychology</v>
      </c>
      <c r="J2773" s="2">
        <f t="shared" si="2"/>
        <v>2.14</v>
      </c>
      <c r="K2773" s="17">
        <f t="shared" si="3"/>
        <v>1</v>
      </c>
      <c r="L2773" s="18"/>
    </row>
    <row r="2774">
      <c r="A2774" s="2">
        <f>IFERROR(__xludf.DUMMYFUNCTION("""COMPUTED_VALUE"""),12924.0)</f>
        <v>12924</v>
      </c>
      <c r="B2774" s="2">
        <f>IFERROR(__xludf.DUMMYFUNCTION("""COMPUTED_VALUE"""),0.0)</f>
        <v>0</v>
      </c>
      <c r="C2774" s="2">
        <f>IFERROR(__xludf.DUMMYFUNCTION("""COMPUTED_VALUE"""),798.0)</f>
        <v>798</v>
      </c>
      <c r="D2774" s="3">
        <f>IFERROR(__xludf.DUMMYFUNCTION("""COMPUTED_VALUE"""),408.0)</f>
        <v>408</v>
      </c>
      <c r="E2774" s="1" t="str">
        <f t="array" ref="E2774">_xlfn.XLOOKUP(A2774,Product!A:A,Product!B:B,"Bulunamadı")</f>
        <v>Arts</v>
      </c>
      <c r="F2774" s="1" t="str">
        <f t="array" ref="F2774">_xlfn.XLOOKUP(A2774,Product!A:A,Product!C:C,"Bulunamadı")</f>
        <v>Sports Psychology</v>
      </c>
      <c r="G2774" s="2" t="str">
        <f t="array" ref="G2774">_xlfn.XLOOKUP(A2775,Product!A:A,Product!D:D,"Bulunamadı")</f>
        <v>Rivergrove Publishing</v>
      </c>
      <c r="H2774" s="2">
        <f t="array" ref="H2774">_xlfn.XLOOKUP(A2776,Product!A:A,Product!E:E,"Bulunamadı")</f>
        <v>1.66</v>
      </c>
      <c r="I2774" s="2" t="str">
        <f t="shared" si="1"/>
        <v>12924 - Arts - Sports Psychology</v>
      </c>
      <c r="J2774" s="2">
        <f t="shared" si="2"/>
        <v>677.28</v>
      </c>
      <c r="K2774" s="17">
        <f t="shared" si="3"/>
        <v>1</v>
      </c>
      <c r="L2774" s="18"/>
    </row>
    <row r="2775">
      <c r="A2775" s="2">
        <f>IFERROR(__xludf.DUMMYFUNCTION("""COMPUTED_VALUE"""),12920.0)</f>
        <v>12920</v>
      </c>
      <c r="B2775" s="2">
        <f>IFERROR(__xludf.DUMMYFUNCTION("""COMPUTED_VALUE"""),0.0)</f>
        <v>0</v>
      </c>
      <c r="C2775" s="2">
        <f>IFERROR(__xludf.DUMMYFUNCTION("""COMPUTED_VALUE"""),140.0)</f>
        <v>140</v>
      </c>
      <c r="D2775" s="3">
        <f>IFERROR(__xludf.DUMMYFUNCTION("""COMPUTED_VALUE"""),78.0)</f>
        <v>78</v>
      </c>
      <c r="E2775" s="1" t="str">
        <f t="array" ref="E2775">_xlfn.XLOOKUP(A2775,Product!A:A,Product!B:B,"Bulunamadı")</f>
        <v>Arts</v>
      </c>
      <c r="F2775" s="1" t="str">
        <f t="array" ref="F2775">_xlfn.XLOOKUP(A2775,Product!A:A,Product!C:C,"Bulunamadı")</f>
        <v>Sports Psychology</v>
      </c>
      <c r="G2775" s="2" t="str">
        <f t="array" ref="G2775">_xlfn.XLOOKUP(A2776,Product!A:A,Product!D:D,"Bulunamadı")</f>
        <v>Rivergrove Publishing</v>
      </c>
      <c r="H2775" s="2">
        <f t="array" ref="H2775">_xlfn.XLOOKUP(A2777,Product!A:A,Product!E:E,"Bulunamadı")</f>
        <v>2.3</v>
      </c>
      <c r="I2775" s="2" t="str">
        <f t="shared" si="1"/>
        <v>12920 - Arts - Sports Psychology</v>
      </c>
      <c r="J2775" s="2">
        <f t="shared" si="2"/>
        <v>179.4</v>
      </c>
      <c r="K2775" s="17">
        <f t="shared" si="3"/>
        <v>1</v>
      </c>
      <c r="L2775" s="18"/>
    </row>
    <row r="2776">
      <c r="A2776" s="2">
        <f>IFERROR(__xludf.DUMMYFUNCTION("""COMPUTED_VALUE"""),81200.0)</f>
        <v>81200</v>
      </c>
      <c r="B2776" s="2">
        <f>IFERROR(__xludf.DUMMYFUNCTION("""COMPUTED_VALUE"""),1.0)</f>
        <v>1</v>
      </c>
      <c r="C2776" s="2">
        <f>IFERROR(__xludf.DUMMYFUNCTION("""COMPUTED_VALUE"""),965.0)</f>
        <v>965</v>
      </c>
      <c r="D2776" s="3">
        <f>IFERROR(__xludf.DUMMYFUNCTION("""COMPUTED_VALUE"""),189.0)</f>
        <v>189</v>
      </c>
      <c r="E2776" s="1" t="str">
        <f t="array" ref="E2776">_xlfn.XLOOKUP(A2776,Product!A:A,Product!B:B,"Bulunamadı")</f>
        <v>Arts</v>
      </c>
      <c r="F2776" s="1" t="str">
        <f t="array" ref="F2776">_xlfn.XLOOKUP(A2776,Product!A:A,Product!C:C,"Bulunamadı")</f>
        <v>Sports Psychology</v>
      </c>
      <c r="G2776" s="2" t="str">
        <f t="array" ref="G2776">_xlfn.XLOOKUP(A2777,Product!A:A,Product!D:D,"Bulunamadı")</f>
        <v>Rivergrove Publishing</v>
      </c>
      <c r="H2776" s="2">
        <f t="array" ref="H2776">_xlfn.XLOOKUP(A2778,Product!A:A,Product!E:E,"Bulunamadı")</f>
        <v>3.53</v>
      </c>
      <c r="I2776" s="2" t="str">
        <f t="shared" si="1"/>
        <v>81200 - Arts - Sports Psychology</v>
      </c>
      <c r="J2776" s="2">
        <f t="shared" si="2"/>
        <v>667.17</v>
      </c>
      <c r="K2776" s="17">
        <f t="shared" si="3"/>
        <v>1</v>
      </c>
      <c r="L2776" s="18"/>
    </row>
    <row r="2777">
      <c r="A2777" s="2">
        <f>IFERROR(__xludf.DUMMYFUNCTION("""COMPUTED_VALUE"""),122410.0)</f>
        <v>122410</v>
      </c>
      <c r="B2777" s="2">
        <f>IFERROR(__xludf.DUMMYFUNCTION("""COMPUTED_VALUE"""),1.0)</f>
        <v>1</v>
      </c>
      <c r="C2777" s="2">
        <f>IFERROR(__xludf.DUMMYFUNCTION("""COMPUTED_VALUE"""),183.0)</f>
        <v>183</v>
      </c>
      <c r="D2777" s="3">
        <f>IFERROR(__xludf.DUMMYFUNCTION("""COMPUTED_VALUE"""),109.0)</f>
        <v>109</v>
      </c>
      <c r="E2777" s="1" t="str">
        <f t="array" ref="E2777">_xlfn.XLOOKUP(A2777,Product!A:A,Product!B:B,"Bulunamadı")</f>
        <v>Arts</v>
      </c>
      <c r="F2777" s="1" t="str">
        <f t="array" ref="F2777">_xlfn.XLOOKUP(A2777,Product!A:A,Product!C:C,"Bulunamadı")</f>
        <v>Sports Psychology</v>
      </c>
      <c r="G2777" s="2" t="str">
        <f t="array" ref="G2777">_xlfn.XLOOKUP(A2778,Product!A:A,Product!D:D,"Bulunamadı")</f>
        <v>Rivergrove Publishing</v>
      </c>
      <c r="H2777" s="2">
        <f t="array" ref="H2777">_xlfn.XLOOKUP(A2779,Product!A:A,Product!E:E,"Bulunamadı")</f>
        <v>2.36</v>
      </c>
      <c r="I2777" s="2" t="str">
        <f t="shared" si="1"/>
        <v>122410 - Arts - Sports Psychology</v>
      </c>
      <c r="J2777" s="2">
        <f t="shared" si="2"/>
        <v>257.24</v>
      </c>
      <c r="K2777" s="17">
        <f t="shared" si="3"/>
        <v>1</v>
      </c>
      <c r="L2777" s="18"/>
    </row>
    <row r="2778">
      <c r="A2778" s="2">
        <f>IFERROR(__xludf.DUMMYFUNCTION("""COMPUTED_VALUE"""),81720.0)</f>
        <v>81720</v>
      </c>
      <c r="B2778" s="2">
        <f>IFERROR(__xludf.DUMMYFUNCTION("""COMPUTED_VALUE"""),0.0)</f>
        <v>0</v>
      </c>
      <c r="C2778" s="2">
        <f>IFERROR(__xludf.DUMMYFUNCTION("""COMPUTED_VALUE"""),977.0)</f>
        <v>977</v>
      </c>
      <c r="D2778" s="3">
        <f>IFERROR(__xludf.DUMMYFUNCTION("""COMPUTED_VALUE"""),951.0)</f>
        <v>951</v>
      </c>
      <c r="E2778" s="1" t="str">
        <f t="array" ref="E2778">_xlfn.XLOOKUP(A2778,Product!A:A,Product!B:B,"Bulunamadı")</f>
        <v>Arts</v>
      </c>
      <c r="F2778" s="1" t="str">
        <f t="array" ref="F2778">_xlfn.XLOOKUP(A2778,Product!A:A,Product!C:C,"Bulunamadı")</f>
        <v>Sports Psychology</v>
      </c>
      <c r="G2778" s="2" t="str">
        <f t="array" ref="G2778">_xlfn.XLOOKUP(A2779,Product!A:A,Product!D:D,"Bulunamadı")</f>
        <v>Rivergrove Publishing</v>
      </c>
      <c r="H2778" s="2">
        <f t="array" ref="H2778">_xlfn.XLOOKUP(A2780,Product!A:A,Product!E:E,"Bulunamadı")</f>
        <v>1.9</v>
      </c>
      <c r="I2778" s="2" t="str">
        <f t="shared" si="1"/>
        <v>81720 - Arts - Sports Psychology</v>
      </c>
      <c r="J2778" s="2">
        <f t="shared" si="2"/>
        <v>1806.9</v>
      </c>
      <c r="K2778" s="17">
        <f t="shared" si="3"/>
        <v>1</v>
      </c>
      <c r="L2778" s="18"/>
    </row>
    <row r="2779">
      <c r="A2779" s="2">
        <f>IFERROR(__xludf.DUMMYFUNCTION("""COMPUTED_VALUE"""),12923.0)</f>
        <v>12923</v>
      </c>
      <c r="B2779" s="2">
        <f>IFERROR(__xludf.DUMMYFUNCTION("""COMPUTED_VALUE"""),0.0)</f>
        <v>0</v>
      </c>
      <c r="C2779" s="2">
        <f>IFERROR(__xludf.DUMMYFUNCTION("""COMPUTED_VALUE"""),263.0)</f>
        <v>263</v>
      </c>
      <c r="D2779" s="3">
        <f>IFERROR(__xludf.DUMMYFUNCTION("""COMPUTED_VALUE"""),40.0)</f>
        <v>40</v>
      </c>
      <c r="E2779" s="1" t="str">
        <f t="array" ref="E2779">_xlfn.XLOOKUP(A2779,Product!A:A,Product!B:B,"Bulunamadı")</f>
        <v>Arts</v>
      </c>
      <c r="F2779" s="1" t="str">
        <f t="array" ref="F2779">_xlfn.XLOOKUP(A2779,Product!A:A,Product!C:C,"Bulunamadı")</f>
        <v>Sports Psychology</v>
      </c>
      <c r="G2779" s="2" t="str">
        <f t="array" ref="G2779">_xlfn.XLOOKUP(A2780,Product!A:A,Product!D:D,"Bulunamadı")</f>
        <v>Rivergrove Publishing</v>
      </c>
      <c r="H2779" s="2">
        <f t="array" ref="H2779">_xlfn.XLOOKUP(A2781,Product!A:A,Product!E:E,"Bulunamadı")</f>
        <v>1.88</v>
      </c>
      <c r="I2779" s="2" t="str">
        <f t="shared" si="1"/>
        <v>12923 - Arts - Sports Psychology</v>
      </c>
      <c r="J2779" s="2">
        <f t="shared" si="2"/>
        <v>75.2</v>
      </c>
      <c r="K2779" s="17">
        <f t="shared" si="3"/>
        <v>1</v>
      </c>
      <c r="L2779" s="18"/>
    </row>
    <row r="2780">
      <c r="A2780" s="2">
        <f>IFERROR(__xludf.DUMMYFUNCTION("""COMPUTED_VALUE"""),81173.0)</f>
        <v>81173</v>
      </c>
      <c r="B2780" s="2">
        <f>IFERROR(__xludf.DUMMYFUNCTION("""COMPUTED_VALUE"""),1.0)</f>
        <v>1</v>
      </c>
      <c r="C2780" s="2">
        <f>IFERROR(__xludf.DUMMYFUNCTION("""COMPUTED_VALUE"""),851.0)</f>
        <v>851</v>
      </c>
      <c r="D2780" s="3">
        <f>IFERROR(__xludf.DUMMYFUNCTION("""COMPUTED_VALUE"""),331.0)</f>
        <v>331</v>
      </c>
      <c r="E2780" s="1" t="str">
        <f t="array" ref="E2780">_xlfn.XLOOKUP(A2780,Product!A:A,Product!B:B,"Bulunamadı")</f>
        <v>Arts</v>
      </c>
      <c r="F2780" s="1" t="str">
        <f t="array" ref="F2780">_xlfn.XLOOKUP(A2780,Product!A:A,Product!C:C,"Bulunamadı")</f>
        <v>Sports Psychology</v>
      </c>
      <c r="G2780" s="2" t="str">
        <f t="array" ref="G2780">_xlfn.XLOOKUP(A2781,Product!A:A,Product!D:D,"Bulunamadı")</f>
        <v>Rivergrove Publishing</v>
      </c>
      <c r="H2780" s="2">
        <f t="array" ref="H2780">_xlfn.XLOOKUP(A2782,Product!A:A,Product!E:E,"Bulunamadı")</f>
        <v>1.98</v>
      </c>
      <c r="I2780" s="2" t="str">
        <f t="shared" si="1"/>
        <v>81173 - Arts - Sports Psychology</v>
      </c>
      <c r="J2780" s="2">
        <f t="shared" si="2"/>
        <v>655.38</v>
      </c>
      <c r="K2780" s="17">
        <f t="shared" si="3"/>
        <v>1</v>
      </c>
      <c r="L2780" s="18"/>
    </row>
    <row r="2781">
      <c r="A2781" s="2">
        <f>IFERROR(__xludf.DUMMYFUNCTION("""COMPUTED_VALUE"""),12910.0)</f>
        <v>12910</v>
      </c>
      <c r="B2781" s="2">
        <f>IFERROR(__xludf.DUMMYFUNCTION("""COMPUTED_VALUE"""),1.0)</f>
        <v>1</v>
      </c>
      <c r="C2781" s="2">
        <f>IFERROR(__xludf.DUMMYFUNCTION("""COMPUTED_VALUE"""),736.0)</f>
        <v>736</v>
      </c>
      <c r="D2781" s="3">
        <f>IFERROR(__xludf.DUMMYFUNCTION("""COMPUTED_VALUE"""),373.0)</f>
        <v>373</v>
      </c>
      <c r="E2781" s="1" t="str">
        <f t="array" ref="E2781">_xlfn.XLOOKUP(A2781,Product!A:A,Product!B:B,"Bulunamadı")</f>
        <v>Arts</v>
      </c>
      <c r="F2781" s="1" t="str">
        <f t="array" ref="F2781">_xlfn.XLOOKUP(A2781,Product!A:A,Product!C:C,"Bulunamadı")</f>
        <v>Sports Psychology</v>
      </c>
      <c r="G2781" s="2" t="str">
        <f t="array" ref="G2781">_xlfn.XLOOKUP(A2782,Product!A:A,Product!D:D,"Bulunamadı")</f>
        <v>Rivergrove Publishing</v>
      </c>
      <c r="H2781" s="2">
        <f t="array" ref="H2781">_xlfn.XLOOKUP(A2783,Product!A:A,Product!E:E,"Bulunamadı")</f>
        <v>2.32</v>
      </c>
      <c r="I2781" s="2" t="str">
        <f t="shared" si="1"/>
        <v>12910 - Arts - Sports Psychology</v>
      </c>
      <c r="J2781" s="2">
        <f t="shared" si="2"/>
        <v>865.36</v>
      </c>
      <c r="K2781" s="17">
        <f t="shared" si="3"/>
        <v>1</v>
      </c>
      <c r="L2781" s="18"/>
    </row>
    <row r="2782">
      <c r="A2782" s="2">
        <f>IFERROR(__xludf.DUMMYFUNCTION("""COMPUTED_VALUE"""),81193.0)</f>
        <v>81193</v>
      </c>
      <c r="B2782" s="2">
        <f>IFERROR(__xludf.DUMMYFUNCTION("""COMPUTED_VALUE"""),1.0)</f>
        <v>1</v>
      </c>
      <c r="C2782" s="2">
        <f>IFERROR(__xludf.DUMMYFUNCTION("""COMPUTED_VALUE"""),132.0)</f>
        <v>132</v>
      </c>
      <c r="D2782" s="3">
        <f>IFERROR(__xludf.DUMMYFUNCTION("""COMPUTED_VALUE"""),23.0)</f>
        <v>23</v>
      </c>
      <c r="E2782" s="1" t="str">
        <f t="array" ref="E2782">_xlfn.XLOOKUP(A2782,Product!A:A,Product!B:B,"Bulunamadı")</f>
        <v>Arts</v>
      </c>
      <c r="F2782" s="1" t="str">
        <f t="array" ref="F2782">_xlfn.XLOOKUP(A2782,Product!A:A,Product!C:C,"Bulunamadı")</f>
        <v>Sports Psychology</v>
      </c>
      <c r="G2782" s="2" t="str">
        <f t="array" ref="G2782">_xlfn.XLOOKUP(A2783,Product!A:A,Product!D:D,"Bulunamadı")</f>
        <v>Rivergrove Publishing</v>
      </c>
      <c r="H2782" s="2">
        <f t="array" ref="H2782">_xlfn.XLOOKUP(A2784,Product!A:A,Product!E:E,"Bulunamadı")</f>
        <v>2.55</v>
      </c>
      <c r="I2782" s="2" t="str">
        <f t="shared" si="1"/>
        <v>81193 - Arts - Sports Psychology</v>
      </c>
      <c r="J2782" s="2">
        <f t="shared" si="2"/>
        <v>58.65</v>
      </c>
      <c r="K2782" s="17">
        <f t="shared" si="3"/>
        <v>1</v>
      </c>
      <c r="L2782" s="18"/>
    </row>
    <row r="2783">
      <c r="A2783" s="2">
        <f>IFERROR(__xludf.DUMMYFUNCTION("""COMPUTED_VALUE"""),12917.0)</f>
        <v>12917</v>
      </c>
      <c r="B2783" s="2">
        <f>IFERROR(__xludf.DUMMYFUNCTION("""COMPUTED_VALUE"""),0.0)</f>
        <v>0</v>
      </c>
      <c r="C2783" s="2">
        <f>IFERROR(__xludf.DUMMYFUNCTION("""COMPUTED_VALUE"""),308.0)</f>
        <v>308</v>
      </c>
      <c r="D2783" s="3">
        <f>IFERROR(__xludf.DUMMYFUNCTION("""COMPUTED_VALUE"""),188.0)</f>
        <v>188</v>
      </c>
      <c r="E2783" s="1" t="str">
        <f t="array" ref="E2783">_xlfn.XLOOKUP(A2783,Product!A:A,Product!B:B,"Bulunamadı")</f>
        <v>Arts</v>
      </c>
      <c r="F2783" s="1" t="str">
        <f t="array" ref="F2783">_xlfn.XLOOKUP(A2783,Product!A:A,Product!C:C,"Bulunamadı")</f>
        <v>Sports Psychology</v>
      </c>
      <c r="G2783" s="2" t="str">
        <f t="array" ref="G2783">_xlfn.XLOOKUP(A2784,Product!A:A,Product!D:D,"Bulunamadı")</f>
        <v>Rivergrove Publishing</v>
      </c>
      <c r="H2783" s="2">
        <f t="array" ref="H2783">_xlfn.XLOOKUP(A2785,Product!A:A,Product!E:E,"Bulunamadı")</f>
        <v>2.19</v>
      </c>
      <c r="I2783" s="2" t="str">
        <f t="shared" si="1"/>
        <v>12917 - Arts - Sports Psychology</v>
      </c>
      <c r="J2783" s="2">
        <f t="shared" si="2"/>
        <v>411.72</v>
      </c>
      <c r="K2783" s="17">
        <f t="shared" si="3"/>
        <v>1</v>
      </c>
      <c r="L2783" s="18"/>
    </row>
    <row r="2784">
      <c r="A2784" s="2">
        <f>IFERROR(__xludf.DUMMYFUNCTION("""COMPUTED_VALUE"""),129491.0)</f>
        <v>129491</v>
      </c>
      <c r="B2784" s="2">
        <f>IFERROR(__xludf.DUMMYFUNCTION("""COMPUTED_VALUE"""),0.0)</f>
        <v>0</v>
      </c>
      <c r="C2784" s="2">
        <f>IFERROR(__xludf.DUMMYFUNCTION("""COMPUTED_VALUE"""),911.0)</f>
        <v>911</v>
      </c>
      <c r="D2784" s="3">
        <f>IFERROR(__xludf.DUMMYFUNCTION("""COMPUTED_VALUE"""),232.0)</f>
        <v>232</v>
      </c>
      <c r="E2784" s="1" t="str">
        <f t="array" ref="E2784">_xlfn.XLOOKUP(A2784,Product!A:A,Product!B:B,"Bulunamadı")</f>
        <v>Arts</v>
      </c>
      <c r="F2784" s="1" t="str">
        <f t="array" ref="F2784">_xlfn.XLOOKUP(A2784,Product!A:A,Product!C:C,"Bulunamadı")</f>
        <v>Sports Psychology</v>
      </c>
      <c r="G2784" s="2" t="str">
        <f t="array" ref="G2784">_xlfn.XLOOKUP(A2785,Product!A:A,Product!D:D,"Bulunamadı")</f>
        <v>Rivergrove Publishing</v>
      </c>
      <c r="H2784" s="2">
        <f t="array" ref="H2784">_xlfn.XLOOKUP(A2786,Product!A:A,Product!E:E,"Bulunamadı")</f>
        <v>2.72</v>
      </c>
      <c r="I2784" s="2" t="str">
        <f t="shared" si="1"/>
        <v>129491 - Arts - Sports Psychology</v>
      </c>
      <c r="J2784" s="2">
        <f t="shared" si="2"/>
        <v>631.04</v>
      </c>
      <c r="K2784" s="17">
        <f t="shared" si="3"/>
        <v>1</v>
      </c>
      <c r="L2784" s="18"/>
    </row>
    <row r="2785">
      <c r="A2785" s="2">
        <f>IFERROR(__xludf.DUMMYFUNCTION("""COMPUTED_VALUE"""),15104.0)</f>
        <v>15104</v>
      </c>
      <c r="B2785" s="2">
        <f>IFERROR(__xludf.DUMMYFUNCTION("""COMPUTED_VALUE"""),1.0)</f>
        <v>1</v>
      </c>
      <c r="C2785" s="2">
        <f>IFERROR(__xludf.DUMMYFUNCTION("""COMPUTED_VALUE"""),213.0)</f>
        <v>213</v>
      </c>
      <c r="D2785" s="3">
        <f>IFERROR(__xludf.DUMMYFUNCTION("""COMPUTED_VALUE"""),212.0)</f>
        <v>212</v>
      </c>
      <c r="E2785" s="1" t="str">
        <f t="array" ref="E2785">_xlfn.XLOOKUP(A2785,Product!A:A,Product!B:B,"Bulunamadı")</f>
        <v>Arts</v>
      </c>
      <c r="F2785" s="1" t="str">
        <f t="array" ref="F2785">_xlfn.XLOOKUP(A2785,Product!A:A,Product!C:C,"Bulunamadı")</f>
        <v>Sports Psychology</v>
      </c>
      <c r="G2785" s="2" t="str">
        <f t="array" ref="G2785">_xlfn.XLOOKUP(A2786,Product!A:A,Product!D:D,"Bulunamadı")</f>
        <v>Rivergrove Publishing</v>
      </c>
      <c r="H2785" s="2">
        <f t="array" ref="H2785">_xlfn.XLOOKUP(A2787,Product!A:A,Product!E:E,"Bulunamadı")</f>
        <v>2.02</v>
      </c>
      <c r="I2785" s="2" t="str">
        <f t="shared" si="1"/>
        <v>15104 - Arts - Sports Psychology</v>
      </c>
      <c r="J2785" s="2">
        <f t="shared" si="2"/>
        <v>428.24</v>
      </c>
      <c r="K2785" s="17">
        <f t="shared" si="3"/>
        <v>1</v>
      </c>
      <c r="L2785" s="18"/>
    </row>
    <row r="2786">
      <c r="A2786" s="2">
        <f>IFERROR(__xludf.DUMMYFUNCTION("""COMPUTED_VALUE"""),122407.0)</f>
        <v>122407</v>
      </c>
      <c r="B2786" s="2">
        <f>IFERROR(__xludf.DUMMYFUNCTION("""COMPUTED_VALUE"""),1.0)</f>
        <v>1</v>
      </c>
      <c r="C2786" s="2">
        <f>IFERROR(__xludf.DUMMYFUNCTION("""COMPUTED_VALUE"""),130.0)</f>
        <v>130</v>
      </c>
      <c r="D2786" s="3">
        <f>IFERROR(__xludf.DUMMYFUNCTION("""COMPUTED_VALUE"""),8.0)</f>
        <v>8</v>
      </c>
      <c r="E2786" s="1" t="str">
        <f t="array" ref="E2786">_xlfn.XLOOKUP(A2786,Product!A:A,Product!B:B,"Bulunamadı")</f>
        <v>Arts</v>
      </c>
      <c r="F2786" s="1" t="str">
        <f t="array" ref="F2786">_xlfn.XLOOKUP(A2786,Product!A:A,Product!C:C,"Bulunamadı")</f>
        <v>Sports Psychology</v>
      </c>
      <c r="G2786" s="2" t="str">
        <f t="array" ref="G2786">_xlfn.XLOOKUP(A2787,Product!A:A,Product!D:D,"Bulunamadı")</f>
        <v>Rivergrove Publishing</v>
      </c>
      <c r="H2786" s="2">
        <f t="array" ref="H2786">_xlfn.XLOOKUP(A2788,Product!A:A,Product!E:E,"Bulunamadı")</f>
        <v>1.31</v>
      </c>
      <c r="I2786" s="2" t="str">
        <f t="shared" si="1"/>
        <v>122407 - Arts - Sports Psychology</v>
      </c>
      <c r="J2786" s="2">
        <f t="shared" si="2"/>
        <v>10.48</v>
      </c>
      <c r="K2786" s="17">
        <f t="shared" si="3"/>
        <v>1</v>
      </c>
      <c r="L2786" s="18"/>
    </row>
    <row r="2787">
      <c r="A2787" s="2">
        <f>IFERROR(__xludf.DUMMYFUNCTION("""COMPUTED_VALUE"""),81191.0)</f>
        <v>81191</v>
      </c>
      <c r="B2787" s="2">
        <f>IFERROR(__xludf.DUMMYFUNCTION("""COMPUTED_VALUE"""),0.0)</f>
        <v>0</v>
      </c>
      <c r="C2787" s="2">
        <f>IFERROR(__xludf.DUMMYFUNCTION("""COMPUTED_VALUE"""),84.0)</f>
        <v>84</v>
      </c>
      <c r="D2787" s="3">
        <f>IFERROR(__xludf.DUMMYFUNCTION("""COMPUTED_VALUE"""),14.0)</f>
        <v>14</v>
      </c>
      <c r="E2787" s="1" t="str">
        <f t="array" ref="E2787">_xlfn.XLOOKUP(A2787,Product!A:A,Product!B:B,"Bulunamadı")</f>
        <v>Arts</v>
      </c>
      <c r="F2787" s="1" t="str">
        <f t="array" ref="F2787">_xlfn.XLOOKUP(A2787,Product!A:A,Product!C:C,"Bulunamadı")</f>
        <v>Sports Psychology</v>
      </c>
      <c r="G2787" s="2" t="str">
        <f t="array" ref="G2787">_xlfn.XLOOKUP(A2788,Product!A:A,Product!D:D,"Bulunamadı")</f>
        <v>Rivergrove Publishing</v>
      </c>
      <c r="H2787" s="2">
        <f t="array" ref="H2787">_xlfn.XLOOKUP(A2789,Product!A:A,Product!E:E,"Bulunamadı")</f>
        <v>1.58</v>
      </c>
      <c r="I2787" s="2" t="str">
        <f t="shared" si="1"/>
        <v>81191 - Arts - Sports Psychology</v>
      </c>
      <c r="J2787" s="2">
        <f t="shared" si="2"/>
        <v>22.12</v>
      </c>
      <c r="K2787" s="17">
        <f t="shared" si="3"/>
        <v>1</v>
      </c>
      <c r="L2787" s="18"/>
    </row>
    <row r="2788">
      <c r="A2788" s="2">
        <f>IFERROR(__xludf.DUMMYFUNCTION("""COMPUTED_VALUE"""),188725.0)</f>
        <v>188725</v>
      </c>
      <c r="B2788" s="2">
        <f>IFERROR(__xludf.DUMMYFUNCTION("""COMPUTED_VALUE"""),1.0)</f>
        <v>1</v>
      </c>
      <c r="C2788" s="2">
        <f>IFERROR(__xludf.DUMMYFUNCTION("""COMPUTED_VALUE"""),189.0)</f>
        <v>189</v>
      </c>
      <c r="D2788" s="3">
        <f>IFERROR(__xludf.DUMMYFUNCTION("""COMPUTED_VALUE"""),27.0)</f>
        <v>27</v>
      </c>
      <c r="E2788" s="1" t="str">
        <f t="array" ref="E2788">_xlfn.XLOOKUP(A2788,Product!A:A,Product!B:B,"Bulunamadı")</f>
        <v>Arts</v>
      </c>
      <c r="F2788" s="1" t="str">
        <f t="array" ref="F2788">_xlfn.XLOOKUP(A2788,Product!A:A,Product!C:C,"Bulunamadı")</f>
        <v>Sports Psychology</v>
      </c>
      <c r="G2788" s="2" t="str">
        <f t="array" ref="G2788">_xlfn.XLOOKUP(A2789,Product!A:A,Product!D:D,"Bulunamadı")</f>
        <v>Rivergrove Publishing</v>
      </c>
      <c r="H2788" s="2">
        <f t="array" ref="H2788">_xlfn.XLOOKUP(A2790,Product!A:A,Product!E:E,"Bulunamadı")</f>
        <v>2.39</v>
      </c>
      <c r="I2788" s="2" t="str">
        <f t="shared" si="1"/>
        <v>188725 - Arts - Sports Psychology</v>
      </c>
      <c r="J2788" s="2">
        <f t="shared" si="2"/>
        <v>64.53</v>
      </c>
      <c r="K2788" s="17">
        <f t="shared" si="3"/>
        <v>1</v>
      </c>
      <c r="L2788" s="18"/>
    </row>
    <row r="2789">
      <c r="A2789" s="2">
        <f>IFERROR(__xludf.DUMMYFUNCTION("""COMPUTED_VALUE"""),188724.0)</f>
        <v>188724</v>
      </c>
      <c r="B2789" s="2">
        <f>IFERROR(__xludf.DUMMYFUNCTION("""COMPUTED_VALUE"""),0.0)</f>
        <v>0</v>
      </c>
      <c r="C2789" s="2">
        <f>IFERROR(__xludf.DUMMYFUNCTION("""COMPUTED_VALUE"""),906.0)</f>
        <v>906</v>
      </c>
      <c r="D2789" s="3">
        <f>IFERROR(__xludf.DUMMYFUNCTION("""COMPUTED_VALUE"""),507.0)</f>
        <v>507</v>
      </c>
      <c r="E2789" s="1" t="str">
        <f t="array" ref="E2789">_xlfn.XLOOKUP(A2789,Product!A:A,Product!B:B,"Bulunamadı")</f>
        <v>Arts</v>
      </c>
      <c r="F2789" s="1" t="str">
        <f t="array" ref="F2789">_xlfn.XLOOKUP(A2789,Product!A:A,Product!C:C,"Bulunamadı")</f>
        <v>Sports Psychology</v>
      </c>
      <c r="G2789" s="2" t="str">
        <f t="array" ref="G2789">_xlfn.XLOOKUP(A2790,Product!A:A,Product!D:D,"Bulunamadı")</f>
        <v>Rivergrove Publishing</v>
      </c>
      <c r="H2789" s="2">
        <f t="array" ref="H2789">_xlfn.XLOOKUP(A2791,Product!A:A,Product!E:E,"Bulunamadı")</f>
        <v>3.55</v>
      </c>
      <c r="I2789" s="2" t="str">
        <f t="shared" si="1"/>
        <v>188724 - Arts - Sports Psychology</v>
      </c>
      <c r="J2789" s="2">
        <f t="shared" si="2"/>
        <v>1799.85</v>
      </c>
      <c r="K2789" s="17">
        <f t="shared" si="3"/>
        <v>1</v>
      </c>
      <c r="L2789" s="18"/>
    </row>
    <row r="2790">
      <c r="A2790" s="2">
        <f>IFERROR(__xludf.DUMMYFUNCTION("""COMPUTED_VALUE"""),12911.0)</f>
        <v>12911</v>
      </c>
      <c r="B2790" s="2">
        <f>IFERROR(__xludf.DUMMYFUNCTION("""COMPUTED_VALUE"""),1.0)</f>
        <v>1</v>
      </c>
      <c r="C2790" s="2">
        <f>IFERROR(__xludf.DUMMYFUNCTION("""COMPUTED_VALUE"""),126.0)</f>
        <v>126</v>
      </c>
      <c r="D2790" s="3">
        <f>IFERROR(__xludf.DUMMYFUNCTION("""COMPUTED_VALUE"""),111.0)</f>
        <v>111</v>
      </c>
      <c r="E2790" s="1" t="str">
        <f t="array" ref="E2790">_xlfn.XLOOKUP(A2790,Product!A:A,Product!B:B,"Bulunamadı")</f>
        <v>Arts</v>
      </c>
      <c r="F2790" s="1" t="str">
        <f t="array" ref="F2790">_xlfn.XLOOKUP(A2790,Product!A:A,Product!C:C,"Bulunamadı")</f>
        <v>Sports Psychology</v>
      </c>
      <c r="G2790" s="2" t="str">
        <f t="array" ref="G2790">_xlfn.XLOOKUP(A2791,Product!A:A,Product!D:D,"Bulunamadı")</f>
        <v>Rivergrove Publishing</v>
      </c>
      <c r="H2790" s="2">
        <f t="array" ref="H2790">_xlfn.XLOOKUP(A2792,Product!A:A,Product!E:E,"Bulunamadı")</f>
        <v>3.35</v>
      </c>
      <c r="I2790" s="2" t="str">
        <f t="shared" si="1"/>
        <v>12911 - Arts - Sports Psychology</v>
      </c>
      <c r="J2790" s="2">
        <f t="shared" si="2"/>
        <v>371.85</v>
      </c>
      <c r="K2790" s="17">
        <f t="shared" si="3"/>
        <v>1</v>
      </c>
      <c r="L2790" s="18"/>
    </row>
    <row r="2791">
      <c r="A2791" s="2">
        <f>IFERROR(__xludf.DUMMYFUNCTION("""COMPUTED_VALUE"""),21612.0)</f>
        <v>21612</v>
      </c>
      <c r="B2791" s="2">
        <f>IFERROR(__xludf.DUMMYFUNCTION("""COMPUTED_VALUE"""),1.0)</f>
        <v>1</v>
      </c>
      <c r="C2791" s="2">
        <f>IFERROR(__xludf.DUMMYFUNCTION("""COMPUTED_VALUE"""),591.0)</f>
        <v>591</v>
      </c>
      <c r="D2791" s="3">
        <f>IFERROR(__xludf.DUMMYFUNCTION("""COMPUTED_VALUE"""),367.0)</f>
        <v>367</v>
      </c>
      <c r="E2791" s="1" t="str">
        <f t="array" ref="E2791">_xlfn.XLOOKUP(A2791,Product!A:A,Product!B:B,"Bulunamadı")</f>
        <v>Arts</v>
      </c>
      <c r="F2791" s="1" t="str">
        <f t="array" ref="F2791">_xlfn.XLOOKUP(A2791,Product!A:A,Product!C:C,"Bulunamadı")</f>
        <v>Sports Psychology</v>
      </c>
      <c r="G2791" s="2" t="str">
        <f t="array" ref="G2791">_xlfn.XLOOKUP(A2792,Product!A:A,Product!D:D,"Bulunamadı")</f>
        <v>Rivergrove Publishing</v>
      </c>
      <c r="H2791" s="2">
        <f t="array" ref="H2791">_xlfn.XLOOKUP(A2793,Product!A:A,Product!E:E,"Bulunamadı")</f>
        <v>3.27</v>
      </c>
      <c r="I2791" s="2" t="str">
        <f t="shared" si="1"/>
        <v>21612 - Arts - Sports Psychology</v>
      </c>
      <c r="J2791" s="2">
        <f t="shared" si="2"/>
        <v>1200.09</v>
      </c>
      <c r="K2791" s="17">
        <f t="shared" si="3"/>
        <v>1</v>
      </c>
      <c r="L2791" s="18"/>
    </row>
    <row r="2792">
      <c r="A2792" s="2">
        <f>IFERROR(__xludf.DUMMYFUNCTION("""COMPUTED_VALUE"""),21603.0)</f>
        <v>21603</v>
      </c>
      <c r="B2792" s="2">
        <f>IFERROR(__xludf.DUMMYFUNCTION("""COMPUTED_VALUE"""),1.0)</f>
        <v>1</v>
      </c>
      <c r="C2792" s="2">
        <f>IFERROR(__xludf.DUMMYFUNCTION("""COMPUTED_VALUE"""),349.0)</f>
        <v>349</v>
      </c>
      <c r="D2792" s="3">
        <f>IFERROR(__xludf.DUMMYFUNCTION("""COMPUTED_VALUE"""),42.0)</f>
        <v>42</v>
      </c>
      <c r="E2792" s="1" t="str">
        <f t="array" ref="E2792">_xlfn.XLOOKUP(A2792,Product!A:A,Product!B:B,"Bulunamadı")</f>
        <v>Arts</v>
      </c>
      <c r="F2792" s="1" t="str">
        <f t="array" ref="F2792">_xlfn.XLOOKUP(A2792,Product!A:A,Product!C:C,"Bulunamadı")</f>
        <v>Sports Psychology</v>
      </c>
      <c r="G2792" s="2" t="str">
        <f t="array" ref="G2792">_xlfn.XLOOKUP(A2793,Product!A:A,Product!D:D,"Bulunamadı")</f>
        <v>Irongrove Books</v>
      </c>
      <c r="H2792" s="2">
        <f t="array" ref="H2792">_xlfn.XLOOKUP(A2794,Product!A:A,Product!E:E,"Bulunamadı")</f>
        <v>5.98</v>
      </c>
      <c r="I2792" s="2" t="str">
        <f t="shared" si="1"/>
        <v>21603 - Arts - Sports Psychology</v>
      </c>
      <c r="J2792" s="2">
        <f t="shared" si="2"/>
        <v>251.16</v>
      </c>
      <c r="K2792" s="17">
        <f t="shared" si="3"/>
        <v>1</v>
      </c>
      <c r="L2792" s="18"/>
    </row>
    <row r="2793">
      <c r="A2793" s="2">
        <f>IFERROR(__xludf.DUMMYFUNCTION("""COMPUTED_VALUE"""),81218.0)</f>
        <v>81218</v>
      </c>
      <c r="B2793" s="2">
        <f>IFERROR(__xludf.DUMMYFUNCTION("""COMPUTED_VALUE"""),0.0)</f>
        <v>0</v>
      </c>
      <c r="C2793" s="2">
        <f>IFERROR(__xludf.DUMMYFUNCTION("""COMPUTED_VALUE"""),723.0)</f>
        <v>723</v>
      </c>
      <c r="D2793" s="3">
        <f>IFERROR(__xludf.DUMMYFUNCTION("""COMPUTED_VALUE"""),432.0)</f>
        <v>432</v>
      </c>
      <c r="E2793" s="1" t="str">
        <f t="array" ref="E2793">_xlfn.XLOOKUP(A2793,Product!A:A,Product!B:B,"Bulunamadı")</f>
        <v>Arts</v>
      </c>
      <c r="F2793" s="1" t="str">
        <f t="array" ref="F2793">_xlfn.XLOOKUP(A2793,Product!A:A,Product!C:C,"Bulunamadı")</f>
        <v>Sports Psychology</v>
      </c>
      <c r="G2793" s="2" t="str">
        <f t="array" ref="G2793">_xlfn.XLOOKUP(A2794,Product!A:A,Product!D:D,"Bulunamadı")</f>
        <v>Irongrove Books</v>
      </c>
      <c r="H2793" s="2">
        <f t="array" ref="H2793">_xlfn.XLOOKUP(A2795,Product!A:A,Product!E:E,"Bulunamadı")</f>
        <v>5.16</v>
      </c>
      <c r="I2793" s="2" t="str">
        <f t="shared" si="1"/>
        <v>81218 - Arts - Sports Psychology</v>
      </c>
      <c r="J2793" s="2">
        <f t="shared" si="2"/>
        <v>2229.12</v>
      </c>
      <c r="K2793" s="17">
        <f t="shared" si="3"/>
        <v>1</v>
      </c>
      <c r="L2793" s="18"/>
    </row>
    <row r="2794">
      <c r="A2794" s="2">
        <f>IFERROR(__xludf.DUMMYFUNCTION("""COMPUTED_VALUE"""),70543.0)</f>
        <v>70543</v>
      </c>
      <c r="B2794" s="2">
        <f>IFERROR(__xludf.DUMMYFUNCTION("""COMPUTED_VALUE"""),0.0)</f>
        <v>0</v>
      </c>
      <c r="C2794" s="2">
        <f>IFERROR(__xludf.DUMMYFUNCTION("""COMPUTED_VALUE"""),665.0)</f>
        <v>665</v>
      </c>
      <c r="D2794" s="3">
        <f>IFERROR(__xludf.DUMMYFUNCTION("""COMPUTED_VALUE"""),480.0)</f>
        <v>480</v>
      </c>
      <c r="E2794" s="1" t="str">
        <f t="array" ref="E2794">_xlfn.XLOOKUP(A2794,Product!A:A,Product!B:B,"Bulunamadı")</f>
        <v>Arts</v>
      </c>
      <c r="F2794" s="1" t="str">
        <f t="array" ref="F2794">_xlfn.XLOOKUP(A2794,Product!A:A,Product!C:C,"Bulunamadı")</f>
        <v>Sports Psychology</v>
      </c>
      <c r="G2794" s="2" t="str">
        <f t="array" ref="G2794">_xlfn.XLOOKUP(A2795,Product!A:A,Product!D:D,"Bulunamadı")</f>
        <v>Irongrove Books</v>
      </c>
      <c r="H2794" s="2">
        <f t="array" ref="H2794">_xlfn.XLOOKUP(A2796,Product!A:A,Product!E:E,"Bulunamadı")</f>
        <v>10.96</v>
      </c>
      <c r="I2794" s="2" t="str">
        <f t="shared" si="1"/>
        <v>70543 - Arts - Sports Psychology</v>
      </c>
      <c r="J2794" s="2">
        <f t="shared" si="2"/>
        <v>5260.8</v>
      </c>
      <c r="K2794" s="17">
        <f t="shared" si="3"/>
        <v>1</v>
      </c>
      <c r="L2794" s="18"/>
    </row>
    <row r="2795">
      <c r="A2795" s="2">
        <f>IFERROR(__xludf.DUMMYFUNCTION("""COMPUTED_VALUE"""),80549.0)</f>
        <v>80549</v>
      </c>
      <c r="B2795" s="2">
        <f>IFERROR(__xludf.DUMMYFUNCTION("""COMPUTED_VALUE"""),0.0)</f>
        <v>0</v>
      </c>
      <c r="C2795" s="2">
        <f>IFERROR(__xludf.DUMMYFUNCTION("""COMPUTED_VALUE"""),184.0)</f>
        <v>184</v>
      </c>
      <c r="D2795" s="3">
        <f>IFERROR(__xludf.DUMMYFUNCTION("""COMPUTED_VALUE"""),129.0)</f>
        <v>129</v>
      </c>
      <c r="E2795" s="1" t="str">
        <f t="array" ref="E2795">_xlfn.XLOOKUP(A2795,Product!A:A,Product!B:B,"Bulunamadı")</f>
        <v>Arts</v>
      </c>
      <c r="F2795" s="1" t="str">
        <f t="array" ref="F2795">_xlfn.XLOOKUP(A2795,Product!A:A,Product!C:C,"Bulunamadı")</f>
        <v>Sports Psychology</v>
      </c>
      <c r="G2795" s="2" t="str">
        <f t="array" ref="G2795">_xlfn.XLOOKUP(A2796,Product!A:A,Product!D:D,"Bulunamadı")</f>
        <v>Irongrove Books</v>
      </c>
      <c r="H2795" s="2">
        <f t="array" ref="H2795">_xlfn.XLOOKUP(A2797,Product!A:A,Product!E:E,"Bulunamadı")</f>
        <v>6.19</v>
      </c>
      <c r="I2795" s="2" t="str">
        <f t="shared" si="1"/>
        <v>80549 - Arts - Sports Psychology</v>
      </c>
      <c r="J2795" s="2">
        <f t="shared" si="2"/>
        <v>798.51</v>
      </c>
      <c r="K2795" s="17">
        <f t="shared" si="3"/>
        <v>1</v>
      </c>
      <c r="L2795" s="18"/>
    </row>
    <row r="2796">
      <c r="A2796" s="2">
        <f>IFERROR(__xludf.DUMMYFUNCTION("""COMPUTED_VALUE"""),79404.0)</f>
        <v>79404</v>
      </c>
      <c r="B2796" s="2">
        <f>IFERROR(__xludf.DUMMYFUNCTION("""COMPUTED_VALUE"""),0.0)</f>
        <v>0</v>
      </c>
      <c r="C2796" s="2">
        <f>IFERROR(__xludf.DUMMYFUNCTION("""COMPUTED_VALUE"""),673.0)</f>
        <v>673</v>
      </c>
      <c r="D2796" s="3">
        <f>IFERROR(__xludf.DUMMYFUNCTION("""COMPUTED_VALUE"""),448.0)</f>
        <v>448</v>
      </c>
      <c r="E2796" s="1" t="str">
        <f t="array" ref="E2796">_xlfn.XLOOKUP(A2796,Product!A:A,Product!B:B,"Bulunamadı")</f>
        <v>Arts</v>
      </c>
      <c r="F2796" s="1" t="str">
        <f t="array" ref="F2796">_xlfn.XLOOKUP(A2796,Product!A:A,Product!C:C,"Bulunamadı")</f>
        <v>Sports Psychology</v>
      </c>
      <c r="G2796" s="2" t="str">
        <f t="array" ref="G2796">_xlfn.XLOOKUP(A2797,Product!A:A,Product!D:D,"Bulunamadı")</f>
        <v>Irongrove Books</v>
      </c>
      <c r="H2796" s="2">
        <f t="array" ref="H2796">_xlfn.XLOOKUP(A2798,Product!A:A,Product!E:E,"Bulunamadı")</f>
        <v>6.31</v>
      </c>
      <c r="I2796" s="2" t="str">
        <f t="shared" si="1"/>
        <v>79404 - Arts - Sports Psychology</v>
      </c>
      <c r="J2796" s="2">
        <f t="shared" si="2"/>
        <v>2826.88</v>
      </c>
      <c r="K2796" s="17">
        <f t="shared" si="3"/>
        <v>1</v>
      </c>
      <c r="L2796" s="18"/>
    </row>
    <row r="2797">
      <c r="A2797" s="2">
        <f>IFERROR(__xludf.DUMMYFUNCTION("""COMPUTED_VALUE"""),110596.0)</f>
        <v>110596</v>
      </c>
      <c r="B2797" s="2">
        <f>IFERROR(__xludf.DUMMYFUNCTION("""COMPUTED_VALUE"""),0.0)</f>
        <v>0</v>
      </c>
      <c r="C2797" s="2">
        <f>IFERROR(__xludf.DUMMYFUNCTION("""COMPUTED_VALUE"""),519.0)</f>
        <v>519</v>
      </c>
      <c r="D2797" s="3">
        <f>IFERROR(__xludf.DUMMYFUNCTION("""COMPUTED_VALUE"""),78.0)</f>
        <v>78</v>
      </c>
      <c r="E2797" s="1" t="str">
        <f t="array" ref="E2797">_xlfn.XLOOKUP(A2797,Product!A:A,Product!B:B,"Bulunamadı")</f>
        <v>Arts</v>
      </c>
      <c r="F2797" s="1" t="str">
        <f t="array" ref="F2797">_xlfn.XLOOKUP(A2797,Product!A:A,Product!C:C,"Bulunamadı")</f>
        <v>Sports Psychology</v>
      </c>
      <c r="G2797" s="2" t="str">
        <f t="array" ref="G2797">_xlfn.XLOOKUP(A2798,Product!A:A,Product!D:D,"Bulunamadı")</f>
        <v>Irongrove Books</v>
      </c>
      <c r="H2797" s="2">
        <f t="array" ref="H2797">_xlfn.XLOOKUP(A2799,Product!A:A,Product!E:E,"Bulunamadı")</f>
        <v>5.39</v>
      </c>
      <c r="I2797" s="2" t="str">
        <f t="shared" si="1"/>
        <v>110596 - Arts - Sports Psychology</v>
      </c>
      <c r="J2797" s="2">
        <f t="shared" si="2"/>
        <v>420.42</v>
      </c>
      <c r="K2797" s="17">
        <f t="shared" si="3"/>
        <v>1</v>
      </c>
      <c r="L2797" s="18"/>
    </row>
    <row r="2798">
      <c r="A2798" s="2">
        <f>IFERROR(__xludf.DUMMYFUNCTION("""COMPUTED_VALUE"""),70547.0)</f>
        <v>70547</v>
      </c>
      <c r="B2798" s="2">
        <f>IFERROR(__xludf.DUMMYFUNCTION("""COMPUTED_VALUE"""),1.0)</f>
        <v>1</v>
      </c>
      <c r="C2798" s="2">
        <f>IFERROR(__xludf.DUMMYFUNCTION("""COMPUTED_VALUE"""),966.0)</f>
        <v>966</v>
      </c>
      <c r="D2798" s="3">
        <f>IFERROR(__xludf.DUMMYFUNCTION("""COMPUTED_VALUE"""),551.0)</f>
        <v>551</v>
      </c>
      <c r="E2798" s="1" t="str">
        <f t="array" ref="E2798">_xlfn.XLOOKUP(A2798,Product!A:A,Product!B:B,"Bulunamadı")</f>
        <v>Arts</v>
      </c>
      <c r="F2798" s="1" t="str">
        <f t="array" ref="F2798">_xlfn.XLOOKUP(A2798,Product!A:A,Product!C:C,"Bulunamadı")</f>
        <v>Sports Psychology</v>
      </c>
      <c r="G2798" s="2" t="str">
        <f t="array" ref="G2798">_xlfn.XLOOKUP(A2799,Product!A:A,Product!D:D,"Bulunamadı")</f>
        <v>Irongrove Books</v>
      </c>
      <c r="H2798" s="2">
        <f t="array" ref="H2798">_xlfn.XLOOKUP(A2800,Product!A:A,Product!E:E,"Bulunamadı")</f>
        <v>7.76</v>
      </c>
      <c r="I2798" s="2" t="str">
        <f t="shared" si="1"/>
        <v>70547 - Arts - Sports Psychology</v>
      </c>
      <c r="J2798" s="2">
        <f t="shared" si="2"/>
        <v>4275.76</v>
      </c>
      <c r="K2798" s="17">
        <f t="shared" si="3"/>
        <v>1</v>
      </c>
      <c r="L2798" s="18"/>
    </row>
    <row r="2799">
      <c r="A2799" s="2">
        <f>IFERROR(__xludf.DUMMYFUNCTION("""COMPUTED_VALUE"""),11410.0)</f>
        <v>11410</v>
      </c>
      <c r="B2799" s="2">
        <f>IFERROR(__xludf.DUMMYFUNCTION("""COMPUTED_VALUE"""),1.0)</f>
        <v>1</v>
      </c>
      <c r="C2799" s="2">
        <f>IFERROR(__xludf.DUMMYFUNCTION("""COMPUTED_VALUE"""),507.0)</f>
        <v>507</v>
      </c>
      <c r="D2799" s="3">
        <f>IFERROR(__xludf.DUMMYFUNCTION("""COMPUTED_VALUE"""),437.0)</f>
        <v>437</v>
      </c>
      <c r="E2799" s="1" t="str">
        <f t="array" ref="E2799">_xlfn.XLOOKUP(A2799,Product!A:A,Product!B:B,"Bulunamadı")</f>
        <v>Arts</v>
      </c>
      <c r="F2799" s="1" t="str">
        <f t="array" ref="F2799">_xlfn.XLOOKUP(A2799,Product!A:A,Product!C:C,"Bulunamadı")</f>
        <v>Sports Psychology</v>
      </c>
      <c r="G2799" s="2" t="str">
        <f t="array" ref="G2799">_xlfn.XLOOKUP(A2800,Product!A:A,Product!D:D,"Bulunamadı")</f>
        <v>Irongrove Books</v>
      </c>
      <c r="H2799" s="2">
        <f t="array" ref="H2799">_xlfn.XLOOKUP(A2801,Product!A:A,Product!E:E,"Bulunamadı")</f>
        <v>5.19</v>
      </c>
      <c r="I2799" s="2" t="str">
        <f t="shared" si="1"/>
        <v>11410 - Arts - Sports Psychology</v>
      </c>
      <c r="J2799" s="2">
        <f t="shared" si="2"/>
        <v>2268.03</v>
      </c>
      <c r="K2799" s="17">
        <f t="shared" si="3"/>
        <v>1</v>
      </c>
      <c r="L2799" s="18"/>
    </row>
    <row r="2800">
      <c r="A2800" s="2">
        <f>IFERROR(__xludf.DUMMYFUNCTION("""COMPUTED_VALUE"""),116632.0)</f>
        <v>116632</v>
      </c>
      <c r="B2800" s="2">
        <f>IFERROR(__xludf.DUMMYFUNCTION("""COMPUTED_VALUE"""),0.0)</f>
        <v>0</v>
      </c>
      <c r="C2800" s="2">
        <f>IFERROR(__xludf.DUMMYFUNCTION("""COMPUTED_VALUE"""),614.0)</f>
        <v>614</v>
      </c>
      <c r="D2800" s="3">
        <f>IFERROR(__xludf.DUMMYFUNCTION("""COMPUTED_VALUE"""),250.0)</f>
        <v>250</v>
      </c>
      <c r="E2800" s="1" t="str">
        <f t="array" ref="E2800">_xlfn.XLOOKUP(A2800,Product!A:A,Product!B:B,"Bulunamadı")</f>
        <v>Arts</v>
      </c>
      <c r="F2800" s="1" t="str">
        <f t="array" ref="F2800">_xlfn.XLOOKUP(A2800,Product!A:A,Product!C:C,"Bulunamadı")</f>
        <v>Sports Psychology</v>
      </c>
      <c r="G2800" s="2" t="str">
        <f t="array" ref="G2800">_xlfn.XLOOKUP(A2801,Product!A:A,Product!D:D,"Bulunamadı")</f>
        <v>Irongrove Books</v>
      </c>
      <c r="H2800" s="2">
        <f t="array" ref="H2800">_xlfn.XLOOKUP(A2802,Product!A:A,Product!E:E,"Bulunamadı")</f>
        <v>5.75</v>
      </c>
      <c r="I2800" s="2" t="str">
        <f t="shared" si="1"/>
        <v>116632 - Arts - Sports Psychology</v>
      </c>
      <c r="J2800" s="2">
        <f t="shared" si="2"/>
        <v>1437.5</v>
      </c>
      <c r="K2800" s="17">
        <f t="shared" si="3"/>
        <v>1</v>
      </c>
      <c r="L2800" s="18"/>
    </row>
    <row r="2801">
      <c r="A2801" s="2">
        <f>IFERROR(__xludf.DUMMYFUNCTION("""COMPUTED_VALUE"""),80546.0)</f>
        <v>80546</v>
      </c>
      <c r="B2801" s="2">
        <f>IFERROR(__xludf.DUMMYFUNCTION("""COMPUTED_VALUE"""),1.0)</f>
        <v>1</v>
      </c>
      <c r="C2801" s="2">
        <f>IFERROR(__xludf.DUMMYFUNCTION("""COMPUTED_VALUE"""),157.0)</f>
        <v>157</v>
      </c>
      <c r="D2801" s="3">
        <f>IFERROR(__xludf.DUMMYFUNCTION("""COMPUTED_VALUE"""),128.0)</f>
        <v>128</v>
      </c>
      <c r="E2801" s="1" t="str">
        <f t="array" ref="E2801">_xlfn.XLOOKUP(A2801,Product!A:A,Product!B:B,"Bulunamadı")</f>
        <v>Arts</v>
      </c>
      <c r="F2801" s="1" t="str">
        <f t="array" ref="F2801">_xlfn.XLOOKUP(A2801,Product!A:A,Product!C:C,"Bulunamadı")</f>
        <v>Sports Psychology</v>
      </c>
      <c r="G2801" s="2" t="str">
        <f t="array" ref="G2801">_xlfn.XLOOKUP(A2802,Product!A:A,Product!D:D,"Bulunamadı")</f>
        <v>Irongrove Books</v>
      </c>
      <c r="H2801" s="2">
        <f t="array" ref="H2801">_xlfn.XLOOKUP(A2803,Product!A:A,Product!E:E,"Bulunamadı")</f>
        <v>10.72</v>
      </c>
      <c r="I2801" s="2" t="str">
        <f t="shared" si="1"/>
        <v>80546 - Arts - Sports Psychology</v>
      </c>
      <c r="J2801" s="2">
        <f t="shared" si="2"/>
        <v>1372.16</v>
      </c>
      <c r="K2801" s="17">
        <f t="shared" si="3"/>
        <v>1</v>
      </c>
      <c r="L2801" s="18"/>
    </row>
    <row r="2802">
      <c r="A2802" s="2">
        <f>IFERROR(__xludf.DUMMYFUNCTION("""COMPUTED_VALUE"""),80572.0)</f>
        <v>80572</v>
      </c>
      <c r="B2802" s="2">
        <f>IFERROR(__xludf.DUMMYFUNCTION("""COMPUTED_VALUE"""),1.0)</f>
        <v>1</v>
      </c>
      <c r="C2802" s="2">
        <f>IFERROR(__xludf.DUMMYFUNCTION("""COMPUTED_VALUE"""),715.0)</f>
        <v>715</v>
      </c>
      <c r="D2802" s="3">
        <f>IFERROR(__xludf.DUMMYFUNCTION("""COMPUTED_VALUE"""),493.0)</f>
        <v>493</v>
      </c>
      <c r="E2802" s="1" t="str">
        <f t="array" ref="E2802">_xlfn.XLOOKUP(A2802,Product!A:A,Product!B:B,"Bulunamadı")</f>
        <v>Arts</v>
      </c>
      <c r="F2802" s="1" t="str">
        <f t="array" ref="F2802">_xlfn.XLOOKUP(A2802,Product!A:A,Product!C:C,"Bulunamadı")</f>
        <v>Sports Psychology</v>
      </c>
      <c r="G2802" s="2" t="str">
        <f t="array" ref="G2802">_xlfn.XLOOKUP(A2803,Product!A:A,Product!D:D,"Bulunamadı")</f>
        <v>Irongrove Books</v>
      </c>
      <c r="H2802" s="2">
        <f t="array" ref="H2802">_xlfn.XLOOKUP(A2804,Product!A:A,Product!E:E,"Bulunamadı")</f>
        <v>11.66</v>
      </c>
      <c r="I2802" s="2" t="str">
        <f t="shared" si="1"/>
        <v>80572 - Arts - Sports Psychology</v>
      </c>
      <c r="J2802" s="2">
        <f t="shared" si="2"/>
        <v>5748.38</v>
      </c>
      <c r="K2802" s="17">
        <f t="shared" si="3"/>
        <v>1</v>
      </c>
      <c r="L2802" s="18"/>
    </row>
    <row r="2803">
      <c r="A2803" s="2">
        <f>IFERROR(__xludf.DUMMYFUNCTION("""COMPUTED_VALUE"""),70558.0)</f>
        <v>70558</v>
      </c>
      <c r="B2803" s="2">
        <f>IFERROR(__xludf.DUMMYFUNCTION("""COMPUTED_VALUE"""),1.0)</f>
        <v>1</v>
      </c>
      <c r="C2803" s="2">
        <f>IFERROR(__xludf.DUMMYFUNCTION("""COMPUTED_VALUE"""),601.0)</f>
        <v>601</v>
      </c>
      <c r="D2803" s="3">
        <f>IFERROR(__xludf.DUMMYFUNCTION("""COMPUTED_VALUE"""),59.0)</f>
        <v>59</v>
      </c>
      <c r="E2803" s="1" t="str">
        <f t="array" ref="E2803">_xlfn.XLOOKUP(A2803,Product!A:A,Product!B:B,"Bulunamadı")</f>
        <v>Arts</v>
      </c>
      <c r="F2803" s="1" t="str">
        <f t="array" ref="F2803">_xlfn.XLOOKUP(A2803,Product!A:A,Product!C:C,"Bulunamadı")</f>
        <v>Sports Psychology</v>
      </c>
      <c r="G2803" s="2" t="str">
        <f t="array" ref="G2803">_xlfn.XLOOKUP(A2804,Product!A:A,Product!D:D,"Bulunamadı")</f>
        <v>Irongrove Books</v>
      </c>
      <c r="H2803" s="2">
        <f t="array" ref="H2803">_xlfn.XLOOKUP(A2805,Product!A:A,Product!E:E,"Bulunamadı")</f>
        <v>9.71</v>
      </c>
      <c r="I2803" s="2" t="str">
        <f t="shared" si="1"/>
        <v>70558 - Arts - Sports Psychology</v>
      </c>
      <c r="J2803" s="2">
        <f t="shared" si="2"/>
        <v>572.89</v>
      </c>
      <c r="K2803" s="17">
        <f t="shared" si="3"/>
        <v>1</v>
      </c>
      <c r="L2803" s="18"/>
    </row>
    <row r="2804">
      <c r="A2804" s="2">
        <f>IFERROR(__xludf.DUMMYFUNCTION("""COMPUTED_VALUE"""),79405.0)</f>
        <v>79405</v>
      </c>
      <c r="B2804" s="2">
        <f>IFERROR(__xludf.DUMMYFUNCTION("""COMPUTED_VALUE"""),1.0)</f>
        <v>1</v>
      </c>
      <c r="C2804" s="2">
        <f>IFERROR(__xludf.DUMMYFUNCTION("""COMPUTED_VALUE"""),866.0)</f>
        <v>866</v>
      </c>
      <c r="D2804" s="3">
        <f>IFERROR(__xludf.DUMMYFUNCTION("""COMPUTED_VALUE"""),208.0)</f>
        <v>208</v>
      </c>
      <c r="E2804" s="1" t="str">
        <f t="array" ref="E2804">_xlfn.XLOOKUP(A2804,Product!A:A,Product!B:B,"Bulunamadı")</f>
        <v>Arts</v>
      </c>
      <c r="F2804" s="1" t="str">
        <f t="array" ref="F2804">_xlfn.XLOOKUP(A2804,Product!A:A,Product!C:C,"Bulunamadı")</f>
        <v>Sports Psychology</v>
      </c>
      <c r="G2804" s="2" t="str">
        <f t="array" ref="G2804">_xlfn.XLOOKUP(A2805,Product!A:A,Product!D:D,"Bulunamadı")</f>
        <v>Irongrove Books</v>
      </c>
      <c r="H2804" s="2">
        <f t="array" ref="H2804">_xlfn.XLOOKUP(A2806,Product!A:A,Product!E:E,"Bulunamadı")</f>
        <v>12.73</v>
      </c>
      <c r="I2804" s="2" t="str">
        <f t="shared" si="1"/>
        <v>79405 - Arts - Sports Psychology</v>
      </c>
      <c r="J2804" s="2">
        <f t="shared" si="2"/>
        <v>2647.84</v>
      </c>
      <c r="K2804" s="17">
        <f t="shared" si="3"/>
        <v>1</v>
      </c>
      <c r="L2804" s="18"/>
    </row>
    <row r="2805">
      <c r="A2805" s="2">
        <f>IFERROR(__xludf.DUMMYFUNCTION("""COMPUTED_VALUE"""),80543.0)</f>
        <v>80543</v>
      </c>
      <c r="B2805" s="2">
        <f>IFERROR(__xludf.DUMMYFUNCTION("""COMPUTED_VALUE"""),1.0)</f>
        <v>1</v>
      </c>
      <c r="C2805" s="2">
        <f>IFERROR(__xludf.DUMMYFUNCTION("""COMPUTED_VALUE"""),665.0)</f>
        <v>665</v>
      </c>
      <c r="D2805" s="3">
        <f>IFERROR(__xludf.DUMMYFUNCTION("""COMPUTED_VALUE"""),180.0)</f>
        <v>180</v>
      </c>
      <c r="E2805" s="1" t="str">
        <f t="array" ref="E2805">_xlfn.XLOOKUP(A2805,Product!A:A,Product!B:B,"Bulunamadı")</f>
        <v>Arts</v>
      </c>
      <c r="F2805" s="1" t="str">
        <f t="array" ref="F2805">_xlfn.XLOOKUP(A2805,Product!A:A,Product!C:C,"Bulunamadı")</f>
        <v>Sports Psychology</v>
      </c>
      <c r="G2805" s="2" t="str">
        <f t="array" ref="G2805">_xlfn.XLOOKUP(A2806,Product!A:A,Product!D:D,"Bulunamadı")</f>
        <v>Irongrove Books</v>
      </c>
      <c r="H2805" s="2">
        <f t="array" ref="H2805">_xlfn.XLOOKUP(A2807,Product!A:A,Product!E:E,"Bulunamadı")</f>
        <v>7.92</v>
      </c>
      <c r="I2805" s="2" t="str">
        <f t="shared" si="1"/>
        <v>80543 - Arts - Sports Psychology</v>
      </c>
      <c r="J2805" s="2">
        <f t="shared" si="2"/>
        <v>1425.6</v>
      </c>
      <c r="K2805" s="17">
        <f t="shared" si="3"/>
        <v>1</v>
      </c>
      <c r="L2805" s="18"/>
    </row>
    <row r="2806">
      <c r="A2806" s="2">
        <f>IFERROR(__xludf.DUMMYFUNCTION("""COMPUTED_VALUE"""),14041.0)</f>
        <v>14041</v>
      </c>
      <c r="B2806" s="2">
        <f>IFERROR(__xludf.DUMMYFUNCTION("""COMPUTED_VALUE"""),0.0)</f>
        <v>0</v>
      </c>
      <c r="C2806" s="2">
        <f>IFERROR(__xludf.DUMMYFUNCTION("""COMPUTED_VALUE"""),536.0)</f>
        <v>536</v>
      </c>
      <c r="D2806" s="3">
        <f>IFERROR(__xludf.DUMMYFUNCTION("""COMPUTED_VALUE"""),434.0)</f>
        <v>434</v>
      </c>
      <c r="E2806" s="1" t="str">
        <f t="array" ref="E2806">_xlfn.XLOOKUP(A2806,Product!A:A,Product!B:B,"Bulunamadı")</f>
        <v>Arts</v>
      </c>
      <c r="F2806" s="1" t="str">
        <f t="array" ref="F2806">_xlfn.XLOOKUP(A2806,Product!A:A,Product!C:C,"Bulunamadı")</f>
        <v>Sports Psychology</v>
      </c>
      <c r="G2806" s="2" t="str">
        <f t="array" ref="G2806">_xlfn.XLOOKUP(A2807,Product!A:A,Product!D:D,"Bulunamadı")</f>
        <v>Irongrove Books</v>
      </c>
      <c r="H2806" s="2">
        <f t="array" ref="H2806">_xlfn.XLOOKUP(A2808,Product!A:A,Product!E:E,"Bulunamadı")</f>
        <v>9.34</v>
      </c>
      <c r="I2806" s="2" t="str">
        <f t="shared" si="1"/>
        <v>14041 - Arts - Sports Psychology</v>
      </c>
      <c r="J2806" s="2">
        <f t="shared" si="2"/>
        <v>4053.56</v>
      </c>
      <c r="K2806" s="17">
        <f t="shared" si="3"/>
        <v>1</v>
      </c>
      <c r="L2806" s="18"/>
    </row>
    <row r="2807">
      <c r="A2807" s="2">
        <f>IFERROR(__xludf.DUMMYFUNCTION("""COMPUTED_VALUE"""),70559.0)</f>
        <v>70559</v>
      </c>
      <c r="B2807" s="2">
        <f>IFERROR(__xludf.DUMMYFUNCTION("""COMPUTED_VALUE"""),1.0)</f>
        <v>1</v>
      </c>
      <c r="C2807" s="2">
        <f>IFERROR(__xludf.DUMMYFUNCTION("""COMPUTED_VALUE"""),816.0)</f>
        <v>816</v>
      </c>
      <c r="D2807" s="3">
        <f>IFERROR(__xludf.DUMMYFUNCTION("""COMPUTED_VALUE"""),314.0)</f>
        <v>314</v>
      </c>
      <c r="E2807" s="1" t="str">
        <f t="array" ref="E2807">_xlfn.XLOOKUP(A2807,Product!A:A,Product!B:B,"Bulunamadı")</f>
        <v>Arts</v>
      </c>
      <c r="F2807" s="1" t="str">
        <f t="array" ref="F2807">_xlfn.XLOOKUP(A2807,Product!A:A,Product!C:C,"Bulunamadı")</f>
        <v>Sports Psychology</v>
      </c>
      <c r="G2807" s="2" t="str">
        <f t="array" ref="G2807">_xlfn.XLOOKUP(A2808,Product!A:A,Product!D:D,"Bulunamadı")</f>
        <v>Irongrove Books</v>
      </c>
      <c r="H2807" s="2">
        <f t="array" ref="H2807">_xlfn.XLOOKUP(A2809,Product!A:A,Product!E:E,"Bulunamadı")</f>
        <v>7.05</v>
      </c>
      <c r="I2807" s="2" t="str">
        <f t="shared" si="1"/>
        <v>70559 - Arts - Sports Psychology</v>
      </c>
      <c r="J2807" s="2">
        <f t="shared" si="2"/>
        <v>2213.7</v>
      </c>
      <c r="K2807" s="17">
        <f t="shared" si="3"/>
        <v>1</v>
      </c>
      <c r="L2807" s="18"/>
    </row>
    <row r="2808">
      <c r="A2808" s="2">
        <f>IFERROR(__xludf.DUMMYFUNCTION("""COMPUTED_VALUE"""),80582.0)</f>
        <v>80582</v>
      </c>
      <c r="B2808" s="2">
        <f>IFERROR(__xludf.DUMMYFUNCTION("""COMPUTED_VALUE"""),0.0)</f>
        <v>0</v>
      </c>
      <c r="C2808" s="2">
        <f>IFERROR(__xludf.DUMMYFUNCTION("""COMPUTED_VALUE"""),674.0)</f>
        <v>674</v>
      </c>
      <c r="D2808" s="3">
        <f>IFERROR(__xludf.DUMMYFUNCTION("""COMPUTED_VALUE"""),97.0)</f>
        <v>97</v>
      </c>
      <c r="E2808" s="1" t="str">
        <f t="array" ref="E2808">_xlfn.XLOOKUP(A2808,Product!A:A,Product!B:B,"Bulunamadı")</f>
        <v>Arts</v>
      </c>
      <c r="F2808" s="1" t="str">
        <f t="array" ref="F2808">_xlfn.XLOOKUP(A2808,Product!A:A,Product!C:C,"Bulunamadı")</f>
        <v>Sports Psychology</v>
      </c>
      <c r="G2808" s="2" t="str">
        <f t="array" ref="G2808">_xlfn.XLOOKUP(A2809,Product!A:A,Product!D:D,"Bulunamadı")</f>
        <v>Irongrove Books</v>
      </c>
      <c r="H2808" s="2">
        <f t="array" ref="H2808">_xlfn.XLOOKUP(A2810,Product!A:A,Product!E:E,"Bulunamadı")</f>
        <v>3.37</v>
      </c>
      <c r="I2808" s="2" t="str">
        <f t="shared" si="1"/>
        <v>80582 - Arts - Sports Psychology</v>
      </c>
      <c r="J2808" s="2">
        <f t="shared" si="2"/>
        <v>326.89</v>
      </c>
      <c r="K2808" s="17">
        <f t="shared" si="3"/>
        <v>1</v>
      </c>
      <c r="L2808" s="18"/>
    </row>
    <row r="2809">
      <c r="A2809" s="2">
        <f>IFERROR(__xludf.DUMMYFUNCTION("""COMPUTED_VALUE"""),90004.0)</f>
        <v>90004</v>
      </c>
      <c r="B2809" s="2">
        <f>IFERROR(__xludf.DUMMYFUNCTION("""COMPUTED_VALUE"""),1.0)</f>
        <v>1</v>
      </c>
      <c r="C2809" s="2">
        <f>IFERROR(__xludf.DUMMYFUNCTION("""COMPUTED_VALUE"""),773.0)</f>
        <v>773</v>
      </c>
      <c r="D2809" s="3">
        <f>IFERROR(__xludf.DUMMYFUNCTION("""COMPUTED_VALUE"""),18.0)</f>
        <v>18</v>
      </c>
      <c r="E2809" s="1" t="str">
        <f t="array" ref="E2809">_xlfn.XLOOKUP(A2809,Product!A:A,Product!B:B,"Bulunamadı")</f>
        <v>Arts</v>
      </c>
      <c r="F2809" s="1" t="str">
        <f t="array" ref="F2809">_xlfn.XLOOKUP(A2809,Product!A:A,Product!C:C,"Bulunamadı")</f>
        <v>Sports Psychology</v>
      </c>
      <c r="G2809" s="2" t="str">
        <f t="array" ref="G2809">_xlfn.XLOOKUP(A2810,Product!A:A,Product!D:D,"Bulunamadı")</f>
        <v>Irongrove Books</v>
      </c>
      <c r="H2809" s="2">
        <f t="array" ref="H2809">_xlfn.XLOOKUP(A2811,Product!A:A,Product!E:E,"Bulunamadı")</f>
        <v>6.62</v>
      </c>
      <c r="I2809" s="2" t="str">
        <f t="shared" si="1"/>
        <v>90004 - Arts - Sports Psychology</v>
      </c>
      <c r="J2809" s="2">
        <f t="shared" si="2"/>
        <v>119.16</v>
      </c>
      <c r="K2809" s="17">
        <f t="shared" si="3"/>
        <v>1</v>
      </c>
      <c r="L2809" s="18"/>
    </row>
    <row r="2810">
      <c r="A2810" s="2">
        <f>IFERROR(__xludf.DUMMYFUNCTION("""COMPUTED_VALUE"""),117907.0)</f>
        <v>117907</v>
      </c>
      <c r="B2810" s="2">
        <f>IFERROR(__xludf.DUMMYFUNCTION("""COMPUTED_VALUE"""),1.0)</f>
        <v>1</v>
      </c>
      <c r="C2810" s="2">
        <f>IFERROR(__xludf.DUMMYFUNCTION("""COMPUTED_VALUE"""),457.0)</f>
        <v>457</v>
      </c>
      <c r="D2810" s="3">
        <f>IFERROR(__xludf.DUMMYFUNCTION("""COMPUTED_VALUE"""),94.0)</f>
        <v>94</v>
      </c>
      <c r="E2810" s="1" t="str">
        <f t="array" ref="E2810">_xlfn.XLOOKUP(A2810,Product!A:A,Product!B:B,"Bulunamadı")</f>
        <v>Arts</v>
      </c>
      <c r="F2810" s="1" t="str">
        <f t="array" ref="F2810">_xlfn.XLOOKUP(A2810,Product!A:A,Product!C:C,"Bulunamadı")</f>
        <v>Sports Psychology</v>
      </c>
      <c r="G2810" s="2" t="str">
        <f t="array" ref="G2810">_xlfn.XLOOKUP(A2811,Product!A:A,Product!D:D,"Bulunamadı")</f>
        <v>Irongrove Books</v>
      </c>
      <c r="H2810" s="2">
        <f t="array" ref="H2810">_xlfn.XLOOKUP(A2812,Product!A:A,Product!E:E,"Bulunamadı")</f>
        <v>2.61</v>
      </c>
      <c r="I2810" s="2" t="str">
        <f t="shared" si="1"/>
        <v>117907 - Arts - Sports Psychology</v>
      </c>
      <c r="J2810" s="2">
        <f t="shared" si="2"/>
        <v>245.34</v>
      </c>
      <c r="K2810" s="17">
        <f t="shared" si="3"/>
        <v>1</v>
      </c>
      <c r="L2810" s="18"/>
    </row>
    <row r="2811">
      <c r="A2811" s="2">
        <f>IFERROR(__xludf.DUMMYFUNCTION("""COMPUTED_VALUE"""),70542.0)</f>
        <v>70542</v>
      </c>
      <c r="B2811" s="2">
        <f>IFERROR(__xludf.DUMMYFUNCTION("""COMPUTED_VALUE"""),1.0)</f>
        <v>1</v>
      </c>
      <c r="C2811" s="2">
        <f>IFERROR(__xludf.DUMMYFUNCTION("""COMPUTED_VALUE"""),935.0)</f>
        <v>935</v>
      </c>
      <c r="D2811" s="3">
        <f>IFERROR(__xludf.DUMMYFUNCTION("""COMPUTED_VALUE"""),521.0)</f>
        <v>521</v>
      </c>
      <c r="E2811" s="1" t="str">
        <f t="array" ref="E2811">_xlfn.XLOOKUP(A2811,Product!A:A,Product!B:B,"Bulunamadı")</f>
        <v>Arts</v>
      </c>
      <c r="F2811" s="1" t="str">
        <f t="array" ref="F2811">_xlfn.XLOOKUP(A2811,Product!A:A,Product!C:C,"Bulunamadı")</f>
        <v>Sports Psychology</v>
      </c>
      <c r="G2811" s="2" t="str">
        <f t="array" ref="G2811">_xlfn.XLOOKUP(A2812,Product!A:A,Product!D:D,"Bulunamadı")</f>
        <v>Irongrove Books</v>
      </c>
      <c r="H2811" s="2">
        <f t="array" ref="H2811">_xlfn.XLOOKUP(A2813,Product!A:A,Product!E:E,"Bulunamadı")</f>
        <v>2.88</v>
      </c>
      <c r="I2811" s="2" t="str">
        <f t="shared" si="1"/>
        <v>70542 - Arts - Sports Psychology</v>
      </c>
      <c r="J2811" s="2">
        <f t="shared" si="2"/>
        <v>1500.48</v>
      </c>
      <c r="K2811" s="17">
        <f t="shared" si="3"/>
        <v>1</v>
      </c>
      <c r="L2811" s="18"/>
    </row>
    <row r="2812">
      <c r="A2812" s="2">
        <f>IFERROR(__xludf.DUMMYFUNCTION("""COMPUTED_VALUE"""),81210.0)</f>
        <v>81210</v>
      </c>
      <c r="B2812" s="2">
        <f>IFERROR(__xludf.DUMMYFUNCTION("""COMPUTED_VALUE"""),0.0)</f>
        <v>0</v>
      </c>
      <c r="C2812" s="2">
        <f>IFERROR(__xludf.DUMMYFUNCTION("""COMPUTED_VALUE"""),955.0)</f>
        <v>955</v>
      </c>
      <c r="D2812" s="3">
        <f>IFERROR(__xludf.DUMMYFUNCTION("""COMPUTED_VALUE"""),321.0)</f>
        <v>321</v>
      </c>
      <c r="E2812" s="1" t="str">
        <f t="array" ref="E2812">_xlfn.XLOOKUP(A2812,Product!A:A,Product!B:B,"Bulunamadı")</f>
        <v>Arts</v>
      </c>
      <c r="F2812" s="1" t="str">
        <f t="array" ref="F2812">_xlfn.XLOOKUP(A2812,Product!A:A,Product!C:C,"Bulunamadı")</f>
        <v>Sports Psychology</v>
      </c>
      <c r="G2812" s="2" t="str">
        <f t="array" ref="G2812">_xlfn.XLOOKUP(A2813,Product!A:A,Product!D:D,"Bulunamadı")</f>
        <v>Irongrove Books</v>
      </c>
      <c r="H2812" s="2">
        <f t="array" ref="H2812">_xlfn.XLOOKUP(A2814,Product!A:A,Product!E:E,"Bulunamadı")</f>
        <v>6.77</v>
      </c>
      <c r="I2812" s="2" t="str">
        <f t="shared" si="1"/>
        <v>81210 - Arts - Sports Psychology</v>
      </c>
      <c r="J2812" s="2">
        <f t="shared" si="2"/>
        <v>2173.17</v>
      </c>
      <c r="K2812" s="17">
        <f t="shared" si="3"/>
        <v>1</v>
      </c>
      <c r="L2812" s="18"/>
    </row>
    <row r="2813">
      <c r="A2813" s="2">
        <f>IFERROR(__xludf.DUMMYFUNCTION("""COMPUTED_VALUE"""),81211.0)</f>
        <v>81211</v>
      </c>
      <c r="B2813" s="2">
        <f>IFERROR(__xludf.DUMMYFUNCTION("""COMPUTED_VALUE"""),0.0)</f>
        <v>0</v>
      </c>
      <c r="C2813" s="2">
        <f>IFERROR(__xludf.DUMMYFUNCTION("""COMPUTED_VALUE"""),160.0)</f>
        <v>160</v>
      </c>
      <c r="D2813" s="3">
        <f>IFERROR(__xludf.DUMMYFUNCTION("""COMPUTED_VALUE"""),97.0)</f>
        <v>97</v>
      </c>
      <c r="E2813" s="1" t="str">
        <f t="array" ref="E2813">_xlfn.XLOOKUP(A2813,Product!A:A,Product!B:B,"Bulunamadı")</f>
        <v>Arts</v>
      </c>
      <c r="F2813" s="1" t="str">
        <f t="array" ref="F2813">_xlfn.XLOOKUP(A2813,Product!A:A,Product!C:C,"Bulunamadı")</f>
        <v>Sports Psychology</v>
      </c>
      <c r="G2813" s="2" t="str">
        <f t="array" ref="G2813">_xlfn.XLOOKUP(A2814,Product!A:A,Product!D:D,"Bulunamadı")</f>
        <v>Irongrove Books</v>
      </c>
      <c r="H2813" s="2">
        <f t="array" ref="H2813">_xlfn.XLOOKUP(A2815,Product!A:A,Product!E:E,"Bulunamadı")</f>
        <v>3.28</v>
      </c>
      <c r="I2813" s="2" t="str">
        <f t="shared" si="1"/>
        <v>81211 - Arts - Sports Psychology</v>
      </c>
      <c r="J2813" s="2">
        <f t="shared" si="2"/>
        <v>318.16</v>
      </c>
      <c r="K2813" s="17">
        <f t="shared" si="3"/>
        <v>1</v>
      </c>
      <c r="L2813" s="18"/>
    </row>
    <row r="2814">
      <c r="A2814" s="2">
        <f>IFERROR(__xludf.DUMMYFUNCTION("""COMPUTED_VALUE"""),80573.0)</f>
        <v>80573</v>
      </c>
      <c r="B2814" s="2">
        <f>IFERROR(__xludf.DUMMYFUNCTION("""COMPUTED_VALUE"""),1.0)</f>
        <v>1</v>
      </c>
      <c r="C2814" s="2">
        <f>IFERROR(__xludf.DUMMYFUNCTION("""COMPUTED_VALUE"""),736.0)</f>
        <v>736</v>
      </c>
      <c r="D2814" s="3">
        <f>IFERROR(__xludf.DUMMYFUNCTION("""COMPUTED_VALUE"""),696.0)</f>
        <v>696</v>
      </c>
      <c r="E2814" s="1" t="str">
        <f t="array" ref="E2814">_xlfn.XLOOKUP(A2814,Product!A:A,Product!B:B,"Bulunamadı")</f>
        <v>Arts</v>
      </c>
      <c r="F2814" s="1" t="str">
        <f t="array" ref="F2814">_xlfn.XLOOKUP(A2814,Product!A:A,Product!C:C,"Bulunamadı")</f>
        <v>Sports Psychology</v>
      </c>
      <c r="G2814" s="2" t="str">
        <f t="array" ref="G2814">_xlfn.XLOOKUP(A2815,Product!A:A,Product!D:D,"Bulunamadı")</f>
        <v>Irongrove Books</v>
      </c>
      <c r="H2814" s="2">
        <f t="array" ref="H2814">_xlfn.XLOOKUP(A2816,Product!A:A,Product!E:E,"Bulunamadı")</f>
        <v>12.38</v>
      </c>
      <c r="I2814" s="2" t="str">
        <f t="shared" si="1"/>
        <v>80573 - Arts - Sports Psychology</v>
      </c>
      <c r="J2814" s="2">
        <f t="shared" si="2"/>
        <v>8616.48</v>
      </c>
      <c r="K2814" s="17">
        <f t="shared" si="3"/>
        <v>1</v>
      </c>
      <c r="L2814" s="18"/>
    </row>
    <row r="2815">
      <c r="A2815" s="2">
        <f>IFERROR(__xludf.DUMMYFUNCTION("""COMPUTED_VALUE"""),117909.0)</f>
        <v>117909</v>
      </c>
      <c r="B2815" s="2">
        <f>IFERROR(__xludf.DUMMYFUNCTION("""COMPUTED_VALUE"""),1.0)</f>
        <v>1</v>
      </c>
      <c r="C2815" s="2">
        <f>IFERROR(__xludf.DUMMYFUNCTION("""COMPUTED_VALUE"""),330.0)</f>
        <v>330</v>
      </c>
      <c r="D2815" s="3">
        <f>IFERROR(__xludf.DUMMYFUNCTION("""COMPUTED_VALUE"""),39.0)</f>
        <v>39</v>
      </c>
      <c r="E2815" s="1" t="str">
        <f t="array" ref="E2815">_xlfn.XLOOKUP(A2815,Product!A:A,Product!B:B,"Bulunamadı")</f>
        <v>Arts</v>
      </c>
      <c r="F2815" s="1" t="str">
        <f t="array" ref="F2815">_xlfn.XLOOKUP(A2815,Product!A:A,Product!C:C,"Bulunamadı")</f>
        <v>Sports Psychology</v>
      </c>
      <c r="G2815" s="2" t="str">
        <f t="array" ref="G2815">_xlfn.XLOOKUP(A2816,Product!A:A,Product!D:D,"Bulunamadı")</f>
        <v>Irongrove Books</v>
      </c>
      <c r="H2815" s="2">
        <f t="array" ref="H2815">_xlfn.XLOOKUP(A2817,Product!A:A,Product!E:E,"Bulunamadı")</f>
        <v>7.6</v>
      </c>
      <c r="I2815" s="2" t="str">
        <f t="shared" si="1"/>
        <v>117909 - Arts - Sports Psychology</v>
      </c>
      <c r="J2815" s="2">
        <f t="shared" si="2"/>
        <v>296.4</v>
      </c>
      <c r="K2815" s="17">
        <f t="shared" si="3"/>
        <v>1</v>
      </c>
      <c r="L2815" s="18"/>
    </row>
    <row r="2816">
      <c r="A2816" s="2">
        <f>IFERROR(__xludf.DUMMYFUNCTION("""COMPUTED_VALUE"""),80584.0)</f>
        <v>80584</v>
      </c>
      <c r="B2816" s="2">
        <f>IFERROR(__xludf.DUMMYFUNCTION("""COMPUTED_VALUE"""),0.0)</f>
        <v>0</v>
      </c>
      <c r="C2816" s="2">
        <f>IFERROR(__xludf.DUMMYFUNCTION("""COMPUTED_VALUE"""),36.0)</f>
        <v>36</v>
      </c>
      <c r="D2816" s="3">
        <f>IFERROR(__xludf.DUMMYFUNCTION("""COMPUTED_VALUE"""),9.0)</f>
        <v>9</v>
      </c>
      <c r="E2816" s="1" t="str">
        <f t="array" ref="E2816">_xlfn.XLOOKUP(A2816,Product!A:A,Product!B:B,"Bulunamadı")</f>
        <v>Arts</v>
      </c>
      <c r="F2816" s="1" t="str">
        <f t="array" ref="F2816">_xlfn.XLOOKUP(A2816,Product!A:A,Product!C:C,"Bulunamadı")</f>
        <v>Sports Psychology</v>
      </c>
      <c r="G2816" s="2" t="str">
        <f t="array" ref="G2816">_xlfn.XLOOKUP(A2817,Product!A:A,Product!D:D,"Bulunamadı")</f>
        <v>Irongrove Books</v>
      </c>
      <c r="H2816" s="2">
        <f t="array" ref="H2816">_xlfn.XLOOKUP(A2818,Product!A:A,Product!E:E,"Bulunamadı")</f>
        <v>4</v>
      </c>
      <c r="I2816" s="2" t="str">
        <f t="shared" si="1"/>
        <v>80584 - Arts - Sports Psychology</v>
      </c>
      <c r="J2816" s="2">
        <f t="shared" si="2"/>
        <v>36</v>
      </c>
      <c r="K2816" s="17">
        <f t="shared" si="3"/>
        <v>1</v>
      </c>
      <c r="L2816" s="18"/>
    </row>
    <row r="2817">
      <c r="A2817" s="2">
        <f>IFERROR(__xludf.DUMMYFUNCTION("""COMPUTED_VALUE"""),80550.0)</f>
        <v>80550</v>
      </c>
      <c r="B2817" s="2">
        <f>IFERROR(__xludf.DUMMYFUNCTION("""COMPUTED_VALUE"""),1.0)</f>
        <v>1</v>
      </c>
      <c r="C2817" s="2">
        <f>IFERROR(__xludf.DUMMYFUNCTION("""COMPUTED_VALUE"""),889.0)</f>
        <v>889</v>
      </c>
      <c r="D2817" s="3">
        <f>IFERROR(__xludf.DUMMYFUNCTION("""COMPUTED_VALUE"""),873.0)</f>
        <v>873</v>
      </c>
      <c r="E2817" s="1" t="str">
        <f t="array" ref="E2817">_xlfn.XLOOKUP(A2817,Product!A:A,Product!B:B,"Bulunamadı")</f>
        <v>Arts</v>
      </c>
      <c r="F2817" s="1" t="str">
        <f t="array" ref="F2817">_xlfn.XLOOKUP(A2817,Product!A:A,Product!C:C,"Bulunamadı")</f>
        <v>Sports Psychology</v>
      </c>
      <c r="G2817" s="2" t="str">
        <f t="array" ref="G2817">_xlfn.XLOOKUP(A2818,Product!A:A,Product!D:D,"Bulunamadı")</f>
        <v>Irongrove Books</v>
      </c>
      <c r="H2817" s="2">
        <f t="array" ref="H2817">_xlfn.XLOOKUP(A2819,Product!A:A,Product!E:E,"Bulunamadı")</f>
        <v>10.17</v>
      </c>
      <c r="I2817" s="2" t="str">
        <f t="shared" si="1"/>
        <v>80550 - Arts - Sports Psychology</v>
      </c>
      <c r="J2817" s="2">
        <f t="shared" si="2"/>
        <v>8878.41</v>
      </c>
      <c r="K2817" s="17">
        <f t="shared" si="3"/>
        <v>1</v>
      </c>
      <c r="L2817" s="18"/>
    </row>
    <row r="2818">
      <c r="A2818" s="2">
        <f>IFERROR(__xludf.DUMMYFUNCTION("""COMPUTED_VALUE"""),81227.0)</f>
        <v>81227</v>
      </c>
      <c r="B2818" s="2">
        <f>IFERROR(__xludf.DUMMYFUNCTION("""COMPUTED_VALUE"""),0.0)</f>
        <v>0</v>
      </c>
      <c r="C2818" s="2">
        <f>IFERROR(__xludf.DUMMYFUNCTION("""COMPUTED_VALUE"""),162.0)</f>
        <v>162</v>
      </c>
      <c r="D2818" s="3">
        <f>IFERROR(__xludf.DUMMYFUNCTION("""COMPUTED_VALUE"""),47.0)</f>
        <v>47</v>
      </c>
      <c r="E2818" s="1" t="str">
        <f t="array" ref="E2818">_xlfn.XLOOKUP(A2818,Product!A:A,Product!B:B,"Bulunamadı")</f>
        <v>Arts</v>
      </c>
      <c r="F2818" s="1" t="str">
        <f t="array" ref="F2818">_xlfn.XLOOKUP(A2818,Product!A:A,Product!C:C,"Bulunamadı")</f>
        <v>Sports Psychology</v>
      </c>
      <c r="G2818" s="2" t="str">
        <f t="array" ref="G2818">_xlfn.XLOOKUP(A2819,Product!A:A,Product!D:D,"Bulunamadı")</f>
        <v>Irongrove Books</v>
      </c>
      <c r="H2818" s="2">
        <f t="array" ref="H2818">_xlfn.XLOOKUP(A2820,Product!A:A,Product!E:E,"Bulunamadı")</f>
        <v>5.37</v>
      </c>
      <c r="I2818" s="2" t="str">
        <f t="shared" si="1"/>
        <v>81227 - Arts - Sports Psychology</v>
      </c>
      <c r="J2818" s="2">
        <f t="shared" si="2"/>
        <v>252.39</v>
      </c>
      <c r="K2818" s="17">
        <f t="shared" si="3"/>
        <v>1</v>
      </c>
      <c r="L2818" s="18"/>
    </row>
    <row r="2819">
      <c r="A2819" s="2">
        <f>IFERROR(__xludf.DUMMYFUNCTION("""COMPUTED_VALUE"""),80578.0)</f>
        <v>80578</v>
      </c>
      <c r="B2819" s="2">
        <f>IFERROR(__xludf.DUMMYFUNCTION("""COMPUTED_VALUE"""),0.0)</f>
        <v>0</v>
      </c>
      <c r="C2819" s="2">
        <f>IFERROR(__xludf.DUMMYFUNCTION("""COMPUTED_VALUE"""),27.0)</f>
        <v>27</v>
      </c>
      <c r="D2819" s="3">
        <f>IFERROR(__xludf.DUMMYFUNCTION("""COMPUTED_VALUE"""),24.0)</f>
        <v>24</v>
      </c>
      <c r="E2819" s="1" t="str">
        <f t="array" ref="E2819">_xlfn.XLOOKUP(A2819,Product!A:A,Product!B:B,"Bulunamadı")</f>
        <v>Arts</v>
      </c>
      <c r="F2819" s="1" t="str">
        <f t="array" ref="F2819">_xlfn.XLOOKUP(A2819,Product!A:A,Product!C:C,"Bulunamadı")</f>
        <v>Sports Psychology</v>
      </c>
      <c r="G2819" s="2" t="str">
        <f t="array" ref="G2819">_xlfn.XLOOKUP(A2820,Product!A:A,Product!D:D,"Bulunamadı")</f>
        <v>Irongrove Books</v>
      </c>
      <c r="H2819" s="2">
        <f t="array" ref="H2819">_xlfn.XLOOKUP(A2821,Product!A:A,Product!E:E,"Bulunamadı")</f>
        <v>10.74</v>
      </c>
      <c r="I2819" s="2" t="str">
        <f t="shared" si="1"/>
        <v>80578 - Arts - Sports Psychology</v>
      </c>
      <c r="J2819" s="2">
        <f t="shared" si="2"/>
        <v>257.76</v>
      </c>
      <c r="K2819" s="17">
        <f t="shared" si="3"/>
        <v>1</v>
      </c>
      <c r="L2819" s="18"/>
    </row>
    <row r="2820">
      <c r="A2820" s="2">
        <f>IFERROR(__xludf.DUMMYFUNCTION("""COMPUTED_VALUE"""),110595.0)</f>
        <v>110595</v>
      </c>
      <c r="B2820" s="2">
        <f>IFERROR(__xludf.DUMMYFUNCTION("""COMPUTED_VALUE"""),0.0)</f>
        <v>0</v>
      </c>
      <c r="C2820" s="2">
        <f>IFERROR(__xludf.DUMMYFUNCTION("""COMPUTED_VALUE"""),965.0)</f>
        <v>965</v>
      </c>
      <c r="D2820" s="3">
        <f>IFERROR(__xludf.DUMMYFUNCTION("""COMPUTED_VALUE"""),898.0)</f>
        <v>898</v>
      </c>
      <c r="E2820" s="1" t="str">
        <f t="array" ref="E2820">_xlfn.XLOOKUP(A2820,Product!A:A,Product!B:B,"Bulunamadı")</f>
        <v>Arts</v>
      </c>
      <c r="F2820" s="1" t="str">
        <f t="array" ref="F2820">_xlfn.XLOOKUP(A2820,Product!A:A,Product!C:C,"Bulunamadı")</f>
        <v>Sports Psychology</v>
      </c>
      <c r="G2820" s="2" t="str">
        <f t="array" ref="G2820">_xlfn.XLOOKUP(A2821,Product!A:A,Product!D:D,"Bulunamadı")</f>
        <v>Irongrove Books</v>
      </c>
      <c r="H2820" s="2">
        <f t="array" ref="H2820">_xlfn.XLOOKUP(A2822,Product!A:A,Product!E:E,"Bulunamadı")</f>
        <v>6.1</v>
      </c>
      <c r="I2820" s="2" t="str">
        <f t="shared" si="1"/>
        <v>110595 - Arts - Sports Psychology</v>
      </c>
      <c r="J2820" s="2">
        <f t="shared" si="2"/>
        <v>5477.8</v>
      </c>
      <c r="K2820" s="17">
        <f t="shared" si="3"/>
        <v>1</v>
      </c>
      <c r="L2820" s="18"/>
    </row>
    <row r="2821">
      <c r="A2821" s="2">
        <f>IFERROR(__xludf.DUMMYFUNCTION("""COMPUTED_VALUE"""),70557.0)</f>
        <v>70557</v>
      </c>
      <c r="B2821" s="2">
        <f>IFERROR(__xludf.DUMMYFUNCTION("""COMPUTED_VALUE"""),0.0)</f>
        <v>0</v>
      </c>
      <c r="C2821" s="2">
        <f>IFERROR(__xludf.DUMMYFUNCTION("""COMPUTED_VALUE"""),291.0)</f>
        <v>291</v>
      </c>
      <c r="D2821" s="3">
        <f>IFERROR(__xludf.DUMMYFUNCTION("""COMPUTED_VALUE"""),269.0)</f>
        <v>269</v>
      </c>
      <c r="E2821" s="1" t="str">
        <f t="array" ref="E2821">_xlfn.XLOOKUP(A2821,Product!A:A,Product!B:B,"Bulunamadı")</f>
        <v>Arts</v>
      </c>
      <c r="F2821" s="1" t="str">
        <f t="array" ref="F2821">_xlfn.XLOOKUP(A2821,Product!A:A,Product!C:C,"Bulunamadı")</f>
        <v>Sports Psychology</v>
      </c>
      <c r="G2821" s="2" t="str">
        <f t="array" ref="G2821">_xlfn.XLOOKUP(A2822,Product!A:A,Product!D:D,"Bulunamadı")</f>
        <v>Irongrove Books</v>
      </c>
      <c r="H2821" s="2">
        <f t="array" ref="H2821">_xlfn.XLOOKUP(A2823,Product!A:A,Product!E:E,"Bulunamadı")</f>
        <v>7.11</v>
      </c>
      <c r="I2821" s="2" t="str">
        <f t="shared" si="1"/>
        <v>70557 - Arts - Sports Psychology</v>
      </c>
      <c r="J2821" s="2">
        <f t="shared" si="2"/>
        <v>1912.59</v>
      </c>
      <c r="K2821" s="17">
        <f t="shared" si="3"/>
        <v>1</v>
      </c>
      <c r="L2821" s="18"/>
    </row>
    <row r="2822">
      <c r="A2822" s="2">
        <f>IFERROR(__xludf.DUMMYFUNCTION("""COMPUTED_VALUE"""),147284.0)</f>
        <v>147284</v>
      </c>
      <c r="B2822" s="2">
        <f>IFERROR(__xludf.DUMMYFUNCTION("""COMPUTED_VALUE"""),1.0)</f>
        <v>1</v>
      </c>
      <c r="C2822" s="2">
        <f>IFERROR(__xludf.DUMMYFUNCTION("""COMPUTED_VALUE"""),744.0)</f>
        <v>744</v>
      </c>
      <c r="D2822" s="3">
        <f>IFERROR(__xludf.DUMMYFUNCTION("""COMPUTED_VALUE"""),89.0)</f>
        <v>89</v>
      </c>
      <c r="E2822" s="1" t="str">
        <f t="array" ref="E2822">_xlfn.XLOOKUP(A2822,Product!A:A,Product!B:B,"Bulunamadı")</f>
        <v>Arts</v>
      </c>
      <c r="F2822" s="1" t="str">
        <f t="array" ref="F2822">_xlfn.XLOOKUP(A2822,Product!A:A,Product!C:C,"Bulunamadı")</f>
        <v>Sports Psychology</v>
      </c>
      <c r="G2822" s="2" t="str">
        <f t="array" ref="G2822">_xlfn.XLOOKUP(A2823,Product!A:A,Product!D:D,"Bulunamadı")</f>
        <v>Irongrove Books</v>
      </c>
      <c r="H2822" s="2">
        <f t="array" ref="H2822">_xlfn.XLOOKUP(A2824,Product!A:A,Product!E:E,"Bulunamadı")</f>
        <v>3.2</v>
      </c>
      <c r="I2822" s="2" t="str">
        <f t="shared" si="1"/>
        <v>147284 - Arts - Sports Psychology</v>
      </c>
      <c r="J2822" s="2">
        <f t="shared" si="2"/>
        <v>284.8</v>
      </c>
      <c r="K2822" s="17">
        <f t="shared" si="3"/>
        <v>1</v>
      </c>
      <c r="L2822" s="18"/>
    </row>
    <row r="2823">
      <c r="A2823" s="2">
        <f>IFERROR(__xludf.DUMMYFUNCTION("""COMPUTED_VALUE"""),70553.0)</f>
        <v>70553</v>
      </c>
      <c r="B2823" s="2">
        <f>IFERROR(__xludf.DUMMYFUNCTION("""COMPUTED_VALUE"""),0.0)</f>
        <v>0</v>
      </c>
      <c r="C2823" s="2">
        <f>IFERROR(__xludf.DUMMYFUNCTION("""COMPUTED_VALUE"""),319.0)</f>
        <v>319</v>
      </c>
      <c r="D2823" s="3">
        <f>IFERROR(__xludf.DUMMYFUNCTION("""COMPUTED_VALUE"""),314.0)</f>
        <v>314</v>
      </c>
      <c r="E2823" s="1" t="str">
        <f t="array" ref="E2823">_xlfn.XLOOKUP(A2823,Product!A:A,Product!B:B,"Bulunamadı")</f>
        <v>Arts</v>
      </c>
      <c r="F2823" s="1" t="str">
        <f t="array" ref="F2823">_xlfn.XLOOKUP(A2823,Product!A:A,Product!C:C,"Bulunamadı")</f>
        <v>Sports Psychology</v>
      </c>
      <c r="G2823" s="2" t="str">
        <f t="array" ref="G2823">_xlfn.XLOOKUP(A2824,Product!A:A,Product!D:D,"Bulunamadı")</f>
        <v>Irongrove Books</v>
      </c>
      <c r="H2823" s="2">
        <f t="array" ref="H2823">_xlfn.XLOOKUP(A2825,Product!A:A,Product!E:E,"Bulunamadı")</f>
        <v>2.75</v>
      </c>
      <c r="I2823" s="2" t="str">
        <f t="shared" si="1"/>
        <v>70553 - Arts - Sports Psychology</v>
      </c>
      <c r="J2823" s="2">
        <f t="shared" si="2"/>
        <v>863.5</v>
      </c>
      <c r="K2823" s="17">
        <f t="shared" si="3"/>
        <v>1</v>
      </c>
      <c r="L2823" s="18"/>
    </row>
    <row r="2824">
      <c r="A2824" s="2">
        <f>IFERROR(__xludf.DUMMYFUNCTION("""COMPUTED_VALUE"""),81212.0)</f>
        <v>81212</v>
      </c>
      <c r="B2824" s="2">
        <f>IFERROR(__xludf.DUMMYFUNCTION("""COMPUTED_VALUE"""),0.0)</f>
        <v>0</v>
      </c>
      <c r="C2824" s="2">
        <f>IFERROR(__xludf.DUMMYFUNCTION("""COMPUTED_VALUE"""),234.0)</f>
        <v>234</v>
      </c>
      <c r="D2824" s="3">
        <f>IFERROR(__xludf.DUMMYFUNCTION("""COMPUTED_VALUE"""),10.0)</f>
        <v>10</v>
      </c>
      <c r="E2824" s="1" t="str">
        <f t="array" ref="E2824">_xlfn.XLOOKUP(A2824,Product!A:A,Product!B:B,"Bulunamadı")</f>
        <v>Arts</v>
      </c>
      <c r="F2824" s="1" t="str">
        <f t="array" ref="F2824">_xlfn.XLOOKUP(A2824,Product!A:A,Product!C:C,"Bulunamadı")</f>
        <v>Sports Psychology</v>
      </c>
      <c r="G2824" s="2" t="str">
        <f t="array" ref="G2824">_xlfn.XLOOKUP(A2825,Product!A:A,Product!D:D,"Bulunamadı")</f>
        <v>Irongrove Books</v>
      </c>
      <c r="H2824" s="2">
        <f t="array" ref="H2824">_xlfn.XLOOKUP(A2826,Product!A:A,Product!E:E,"Bulunamadı")</f>
        <v>1.43</v>
      </c>
      <c r="I2824" s="2" t="str">
        <f t="shared" si="1"/>
        <v>81212 - Arts - Sports Psychology</v>
      </c>
      <c r="J2824" s="2">
        <f t="shared" si="2"/>
        <v>14.3</v>
      </c>
      <c r="K2824" s="17">
        <f t="shared" si="3"/>
        <v>1</v>
      </c>
      <c r="L2824" s="18"/>
    </row>
    <row r="2825">
      <c r="A2825" s="2">
        <f>IFERROR(__xludf.DUMMYFUNCTION("""COMPUTED_VALUE"""),120427.0)</f>
        <v>120427</v>
      </c>
      <c r="B2825" s="2">
        <f>IFERROR(__xludf.DUMMYFUNCTION("""COMPUTED_VALUE"""),1.0)</f>
        <v>1</v>
      </c>
      <c r="C2825" s="2">
        <f>IFERROR(__xludf.DUMMYFUNCTION("""COMPUTED_VALUE"""),701.0)</f>
        <v>701</v>
      </c>
      <c r="D2825" s="3">
        <f>IFERROR(__xludf.DUMMYFUNCTION("""COMPUTED_VALUE"""),565.0)</f>
        <v>565</v>
      </c>
      <c r="E2825" s="1" t="str">
        <f t="array" ref="E2825">_xlfn.XLOOKUP(A2825,Product!A:A,Product!B:B,"Bulunamadı")</f>
        <v>Arts</v>
      </c>
      <c r="F2825" s="1" t="str">
        <f t="array" ref="F2825">_xlfn.XLOOKUP(A2825,Product!A:A,Product!C:C,"Bulunamadı")</f>
        <v>Sports Psychology</v>
      </c>
      <c r="G2825" s="2" t="str">
        <f t="array" ref="G2825">_xlfn.XLOOKUP(A2826,Product!A:A,Product!D:D,"Bulunamadı")</f>
        <v>Silverhill Press</v>
      </c>
      <c r="H2825" s="2">
        <f t="array" ref="H2825">_xlfn.XLOOKUP(A2827,Product!A:A,Product!E:E,"Bulunamadı")</f>
        <v>2.33</v>
      </c>
      <c r="I2825" s="2" t="str">
        <f t="shared" si="1"/>
        <v>120427 - Arts - Sports Psychology</v>
      </c>
      <c r="J2825" s="2">
        <f t="shared" si="2"/>
        <v>1316.45</v>
      </c>
      <c r="K2825" s="17">
        <f t="shared" si="3"/>
        <v>1</v>
      </c>
      <c r="L2825" s="18"/>
    </row>
    <row r="2826" hidden="1">
      <c r="A2826" s="2">
        <f>IFERROR(__xludf.DUMMYFUNCTION("""COMPUTED_VALUE"""),46049.0)</f>
        <v>46049</v>
      </c>
      <c r="B2826" s="2">
        <f>IFERROR(__xludf.DUMMYFUNCTION("""COMPUTED_VALUE"""),1.0)</f>
        <v>1</v>
      </c>
      <c r="C2826" s="2">
        <f>IFERROR(__xludf.DUMMYFUNCTION("""COMPUTED_VALUE"""),830.0)</f>
        <v>830</v>
      </c>
      <c r="D2826" s="3">
        <f>IFERROR(__xludf.DUMMYFUNCTION("""COMPUTED_VALUE"""),608.0)</f>
        <v>608</v>
      </c>
      <c r="E2826" s="1" t="str">
        <f t="array" ref="E2826">_xlfn.XLOOKUP(A2826,Product!A:A,Product!B:B,"Bulunamadı")</f>
        <v>Law</v>
      </c>
      <c r="F2826" s="1" t="str">
        <f t="array" ref="F2826">_xlfn.XLOOKUP(A2826,Product!A:A,Product!C:C,"Bulunamadı")</f>
        <v>Sports Nutrition</v>
      </c>
      <c r="G2826" s="2" t="str">
        <f t="array" ref="G2826">_xlfn.XLOOKUP(A2827,Product!A:A,Product!D:D,"Bulunamadı")</f>
        <v>Silverhill Press</v>
      </c>
      <c r="H2826" s="2">
        <f t="array" ref="H2826">_xlfn.XLOOKUP(A2828,Product!A:A,Product!E:E,"Bulunamadı")</f>
        <v>2.24</v>
      </c>
      <c r="I2826" s="2" t="str">
        <f t="shared" si="1"/>
        <v>46049 - Law - Sports Nutrition</v>
      </c>
      <c r="J2826" s="2">
        <f t="shared" si="2"/>
        <v>1361.92</v>
      </c>
      <c r="K2826" s="17">
        <f t="shared" si="3"/>
        <v>1</v>
      </c>
      <c r="L2826" s="18"/>
    </row>
    <row r="2827" hidden="1">
      <c r="A2827" s="2">
        <f>IFERROR(__xludf.DUMMYFUNCTION("""COMPUTED_VALUE"""),46039.0)</f>
        <v>46039</v>
      </c>
      <c r="B2827" s="2">
        <f>IFERROR(__xludf.DUMMYFUNCTION("""COMPUTED_VALUE"""),1.0)</f>
        <v>1</v>
      </c>
      <c r="C2827" s="2">
        <f>IFERROR(__xludf.DUMMYFUNCTION("""COMPUTED_VALUE"""),408.0)</f>
        <v>408</v>
      </c>
      <c r="D2827" s="3">
        <f>IFERROR(__xludf.DUMMYFUNCTION("""COMPUTED_VALUE"""),248.0)</f>
        <v>248</v>
      </c>
      <c r="E2827" s="1" t="str">
        <f t="array" ref="E2827">_xlfn.XLOOKUP(A2827,Product!A:A,Product!B:B,"Bulunamadı")</f>
        <v>Law</v>
      </c>
      <c r="F2827" s="1" t="str">
        <f t="array" ref="F2827">_xlfn.XLOOKUP(A2827,Product!A:A,Product!C:C,"Bulunamadı")</f>
        <v>Sports Nutrition</v>
      </c>
      <c r="G2827" s="2" t="str">
        <f t="array" ref="G2827">_xlfn.XLOOKUP(A2828,Product!A:A,Product!D:D,"Bulunamadı")</f>
        <v>Silverhill Press</v>
      </c>
      <c r="H2827" s="2">
        <f t="array" ref="H2827">_xlfn.XLOOKUP(A2829,Product!A:A,Product!E:E,"Bulunamadı")</f>
        <v>3.18</v>
      </c>
      <c r="I2827" s="2" t="str">
        <f t="shared" si="1"/>
        <v>46039 - Law - Sports Nutrition</v>
      </c>
      <c r="J2827" s="2">
        <f t="shared" si="2"/>
        <v>788.64</v>
      </c>
      <c r="K2827" s="17">
        <f t="shared" si="3"/>
        <v>1</v>
      </c>
      <c r="L2827" s="18"/>
    </row>
    <row r="2828" hidden="1">
      <c r="A2828" s="2">
        <f>IFERROR(__xludf.DUMMYFUNCTION("""COMPUTED_VALUE"""),46037.0)</f>
        <v>46037</v>
      </c>
      <c r="B2828" s="2">
        <f>IFERROR(__xludf.DUMMYFUNCTION("""COMPUTED_VALUE"""),0.0)</f>
        <v>0</v>
      </c>
      <c r="C2828" s="2">
        <f>IFERROR(__xludf.DUMMYFUNCTION("""COMPUTED_VALUE"""),825.0)</f>
        <v>825</v>
      </c>
      <c r="D2828" s="3">
        <f>IFERROR(__xludf.DUMMYFUNCTION("""COMPUTED_VALUE"""),597.0)</f>
        <v>597</v>
      </c>
      <c r="E2828" s="1" t="str">
        <f t="array" ref="E2828">_xlfn.XLOOKUP(A2828,Product!A:A,Product!B:B,"Bulunamadı")</f>
        <v>Law</v>
      </c>
      <c r="F2828" s="1" t="str">
        <f t="array" ref="F2828">_xlfn.XLOOKUP(A2828,Product!A:A,Product!C:C,"Bulunamadı")</f>
        <v>Sports Nutrition</v>
      </c>
      <c r="G2828" s="2" t="str">
        <f t="array" ref="G2828">_xlfn.XLOOKUP(A2829,Product!A:A,Product!D:D,"Bulunamadı")</f>
        <v>Silverhill Press</v>
      </c>
      <c r="H2828" s="2">
        <f t="array" ref="H2828">_xlfn.XLOOKUP(A2830,Product!A:A,Product!E:E,"Bulunamadı")</f>
        <v>3.75</v>
      </c>
      <c r="I2828" s="2" t="str">
        <f t="shared" si="1"/>
        <v>46037 - Law - Sports Nutrition</v>
      </c>
      <c r="J2828" s="2">
        <f t="shared" si="2"/>
        <v>2238.75</v>
      </c>
      <c r="K2828" s="17">
        <f t="shared" si="3"/>
        <v>1</v>
      </c>
      <c r="L2828" s="18"/>
    </row>
    <row r="2829" hidden="1">
      <c r="A2829" s="2">
        <f>IFERROR(__xludf.DUMMYFUNCTION("""COMPUTED_VALUE"""),88965.0)</f>
        <v>88965</v>
      </c>
      <c r="B2829" s="2">
        <f>IFERROR(__xludf.DUMMYFUNCTION("""COMPUTED_VALUE"""),1.0)</f>
        <v>1</v>
      </c>
      <c r="C2829" s="2">
        <f>IFERROR(__xludf.DUMMYFUNCTION("""COMPUTED_VALUE"""),905.0)</f>
        <v>905</v>
      </c>
      <c r="D2829" s="3">
        <f>IFERROR(__xludf.DUMMYFUNCTION("""COMPUTED_VALUE"""),664.0)</f>
        <v>664</v>
      </c>
      <c r="E2829" s="1" t="str">
        <f t="array" ref="E2829">_xlfn.XLOOKUP(A2829,Product!A:A,Product!B:B,"Bulunamadı")</f>
        <v>Law</v>
      </c>
      <c r="F2829" s="1" t="str">
        <f t="array" ref="F2829">_xlfn.XLOOKUP(A2829,Product!A:A,Product!C:C,"Bulunamadı")</f>
        <v>Sports Nutrition</v>
      </c>
      <c r="G2829" s="2" t="str">
        <f t="array" ref="G2829">_xlfn.XLOOKUP(A2830,Product!A:A,Product!D:D,"Bulunamadı")</f>
        <v>Silverhill Press</v>
      </c>
      <c r="H2829" s="2">
        <f t="array" ref="H2829">_xlfn.XLOOKUP(A2831,Product!A:A,Product!E:E,"Bulunamadı")</f>
        <v>1.86</v>
      </c>
      <c r="I2829" s="2" t="str">
        <f t="shared" si="1"/>
        <v>88965 - Law - Sports Nutrition</v>
      </c>
      <c r="J2829" s="2">
        <f t="shared" si="2"/>
        <v>1235.04</v>
      </c>
      <c r="K2829" s="17">
        <f t="shared" si="3"/>
        <v>1</v>
      </c>
      <c r="L2829" s="18"/>
    </row>
    <row r="2830" hidden="1">
      <c r="A2830" s="2">
        <f>IFERROR(__xludf.DUMMYFUNCTION("""COMPUTED_VALUE"""),102614.0)</f>
        <v>102614</v>
      </c>
      <c r="B2830" s="2">
        <f>IFERROR(__xludf.DUMMYFUNCTION("""COMPUTED_VALUE"""),0.0)</f>
        <v>0</v>
      </c>
      <c r="C2830" s="2">
        <f>IFERROR(__xludf.DUMMYFUNCTION("""COMPUTED_VALUE"""),781.0)</f>
        <v>781</v>
      </c>
      <c r="D2830" s="3">
        <f>IFERROR(__xludf.DUMMYFUNCTION("""COMPUTED_VALUE"""),133.0)</f>
        <v>133</v>
      </c>
      <c r="E2830" s="1" t="str">
        <f t="array" ref="E2830">_xlfn.XLOOKUP(A2830,Product!A:A,Product!B:B,"Bulunamadı")</f>
        <v>Law</v>
      </c>
      <c r="F2830" s="1" t="str">
        <f t="array" ref="F2830">_xlfn.XLOOKUP(A2830,Product!A:A,Product!C:C,"Bulunamadı")</f>
        <v>Sports Nutrition</v>
      </c>
      <c r="G2830" s="2" t="str">
        <f t="array" ref="G2830">_xlfn.XLOOKUP(A2831,Product!A:A,Product!D:D,"Bulunamadı")</f>
        <v>Silverhill Press</v>
      </c>
      <c r="H2830" s="2">
        <f t="array" ref="H2830">_xlfn.XLOOKUP(A2832,Product!A:A,Product!E:E,"Bulunamadı")</f>
        <v>2.07</v>
      </c>
      <c r="I2830" s="2" t="str">
        <f t="shared" si="1"/>
        <v>102614 - Law - Sports Nutrition</v>
      </c>
      <c r="J2830" s="2">
        <f t="shared" si="2"/>
        <v>275.31</v>
      </c>
      <c r="K2830" s="17">
        <f t="shared" si="3"/>
        <v>1</v>
      </c>
      <c r="L2830" s="18"/>
    </row>
    <row r="2831" hidden="1">
      <c r="A2831" s="2">
        <f>IFERROR(__xludf.DUMMYFUNCTION("""COMPUTED_VALUE"""),122704.0)</f>
        <v>122704</v>
      </c>
      <c r="B2831" s="2">
        <f>IFERROR(__xludf.DUMMYFUNCTION("""COMPUTED_VALUE"""),0.0)</f>
        <v>0</v>
      </c>
      <c r="C2831" s="2">
        <f>IFERROR(__xludf.DUMMYFUNCTION("""COMPUTED_VALUE"""),415.0)</f>
        <v>415</v>
      </c>
      <c r="D2831" s="3">
        <f>IFERROR(__xludf.DUMMYFUNCTION("""COMPUTED_VALUE"""),409.0)</f>
        <v>409</v>
      </c>
      <c r="E2831" s="1" t="str">
        <f t="array" ref="E2831">_xlfn.XLOOKUP(A2831,Product!A:A,Product!B:B,"Bulunamadı")</f>
        <v>Law</v>
      </c>
      <c r="F2831" s="1" t="str">
        <f t="array" ref="F2831">_xlfn.XLOOKUP(A2831,Product!A:A,Product!C:C,"Bulunamadı")</f>
        <v>Sports Nutrition</v>
      </c>
      <c r="G2831" s="2" t="str">
        <f t="array" ref="G2831">_xlfn.XLOOKUP(A2832,Product!A:A,Product!D:D,"Bulunamadı")</f>
        <v>Silverhill Press</v>
      </c>
      <c r="H2831" s="2">
        <f t="array" ref="H2831">_xlfn.XLOOKUP(A2833,Product!A:A,Product!E:E,"Bulunamadı")</f>
        <v>1.76</v>
      </c>
      <c r="I2831" s="2" t="str">
        <f t="shared" si="1"/>
        <v>122704 - Law - Sports Nutrition</v>
      </c>
      <c r="J2831" s="2">
        <f t="shared" si="2"/>
        <v>719.84</v>
      </c>
      <c r="K2831" s="17">
        <f t="shared" si="3"/>
        <v>1</v>
      </c>
      <c r="L2831" s="18"/>
    </row>
    <row r="2832" hidden="1">
      <c r="A2832" s="2">
        <f>IFERROR(__xludf.DUMMYFUNCTION("""COMPUTED_VALUE"""),164902.0)</f>
        <v>164902</v>
      </c>
      <c r="B2832" s="2">
        <f>IFERROR(__xludf.DUMMYFUNCTION("""COMPUTED_VALUE"""),0.0)</f>
        <v>0</v>
      </c>
      <c r="C2832" s="2">
        <f>IFERROR(__xludf.DUMMYFUNCTION("""COMPUTED_VALUE"""),123.0)</f>
        <v>123</v>
      </c>
      <c r="D2832" s="3">
        <f>IFERROR(__xludf.DUMMYFUNCTION("""COMPUTED_VALUE"""),98.0)</f>
        <v>98</v>
      </c>
      <c r="E2832" s="1" t="str">
        <f t="array" ref="E2832">_xlfn.XLOOKUP(A2832,Product!A:A,Product!B:B,"Bulunamadı")</f>
        <v>Law</v>
      </c>
      <c r="F2832" s="1" t="str">
        <f t="array" ref="F2832">_xlfn.XLOOKUP(A2832,Product!A:A,Product!C:C,"Bulunamadı")</f>
        <v>Sports Nutrition</v>
      </c>
      <c r="G2832" s="2" t="str">
        <f t="array" ref="G2832">_xlfn.XLOOKUP(A2833,Product!A:A,Product!D:D,"Bulunamadı")</f>
        <v>Silverhill Press</v>
      </c>
      <c r="H2832" s="2">
        <f t="array" ref="H2832">_xlfn.XLOOKUP(A2834,Product!A:A,Product!E:E,"Bulunamadı")</f>
        <v>1.6</v>
      </c>
      <c r="I2832" s="2" t="str">
        <f t="shared" si="1"/>
        <v>164902 - Law - Sports Nutrition</v>
      </c>
      <c r="J2832" s="2">
        <f t="shared" si="2"/>
        <v>156.8</v>
      </c>
      <c r="K2832" s="17">
        <f t="shared" si="3"/>
        <v>1</v>
      </c>
      <c r="L2832" s="18"/>
    </row>
    <row r="2833" hidden="1">
      <c r="A2833" s="2">
        <f>IFERROR(__xludf.DUMMYFUNCTION("""COMPUTED_VALUE"""),117783.0)</f>
        <v>117783</v>
      </c>
      <c r="B2833" s="2">
        <f>IFERROR(__xludf.DUMMYFUNCTION("""COMPUTED_VALUE"""),0.0)</f>
        <v>0</v>
      </c>
      <c r="C2833" s="2">
        <f>IFERROR(__xludf.DUMMYFUNCTION("""COMPUTED_VALUE"""),137.0)</f>
        <v>137</v>
      </c>
      <c r="D2833" s="3">
        <f>IFERROR(__xludf.DUMMYFUNCTION("""COMPUTED_VALUE"""),110.0)</f>
        <v>110</v>
      </c>
      <c r="E2833" s="1" t="str">
        <f t="array" ref="E2833">_xlfn.XLOOKUP(A2833,Product!A:A,Product!B:B,"Bulunamadı")</f>
        <v>Law</v>
      </c>
      <c r="F2833" s="1" t="str">
        <f t="array" ref="F2833">_xlfn.XLOOKUP(A2833,Product!A:A,Product!C:C,"Bulunamadı")</f>
        <v>Sports Nutrition</v>
      </c>
      <c r="G2833" s="2" t="str">
        <f t="array" ref="G2833">_xlfn.XLOOKUP(A2834,Product!A:A,Product!D:D,"Bulunamadı")</f>
        <v>Silverhill Press</v>
      </c>
      <c r="H2833" s="2">
        <f t="array" ref="H2833">_xlfn.XLOOKUP(A2835,Product!A:A,Product!E:E,"Bulunamadı")</f>
        <v>2.78</v>
      </c>
      <c r="I2833" s="2" t="str">
        <f t="shared" si="1"/>
        <v>117783 - Law - Sports Nutrition</v>
      </c>
      <c r="J2833" s="2">
        <f t="shared" si="2"/>
        <v>305.8</v>
      </c>
      <c r="K2833" s="17">
        <f t="shared" si="3"/>
        <v>1</v>
      </c>
      <c r="L2833" s="18"/>
    </row>
    <row r="2834" hidden="1">
      <c r="A2834" s="2">
        <f>IFERROR(__xludf.DUMMYFUNCTION("""COMPUTED_VALUE"""),114278.0)</f>
        <v>114278</v>
      </c>
      <c r="B2834" s="2">
        <f>IFERROR(__xludf.DUMMYFUNCTION("""COMPUTED_VALUE"""),0.0)</f>
        <v>0</v>
      </c>
      <c r="C2834" s="2">
        <f>IFERROR(__xludf.DUMMYFUNCTION("""COMPUTED_VALUE"""),418.0)</f>
        <v>418</v>
      </c>
      <c r="D2834" s="3">
        <f>IFERROR(__xludf.DUMMYFUNCTION("""COMPUTED_VALUE"""),199.0)</f>
        <v>199</v>
      </c>
      <c r="E2834" s="1" t="str">
        <f t="array" ref="E2834">_xlfn.XLOOKUP(A2834,Product!A:A,Product!B:B,"Bulunamadı")</f>
        <v>Law</v>
      </c>
      <c r="F2834" s="1" t="str">
        <f t="array" ref="F2834">_xlfn.XLOOKUP(A2834,Product!A:A,Product!C:C,"Bulunamadı")</f>
        <v>Sports Nutrition</v>
      </c>
      <c r="G2834" s="2" t="str">
        <f t="array" ref="G2834">_xlfn.XLOOKUP(A2835,Product!A:A,Product!D:D,"Bulunamadı")</f>
        <v>Silverhill Press</v>
      </c>
      <c r="H2834" s="2">
        <f t="array" ref="H2834">_xlfn.XLOOKUP(A2836,Product!A:A,Product!E:E,"Bulunamadı")</f>
        <v>2.67</v>
      </c>
      <c r="I2834" s="2" t="str">
        <f t="shared" si="1"/>
        <v>114278 - Law - Sports Nutrition</v>
      </c>
      <c r="J2834" s="2">
        <f t="shared" si="2"/>
        <v>531.33</v>
      </c>
      <c r="K2834" s="17">
        <f t="shared" si="3"/>
        <v>1</v>
      </c>
      <c r="L2834" s="18"/>
    </row>
    <row r="2835" hidden="1">
      <c r="A2835" s="2">
        <f>IFERROR(__xludf.DUMMYFUNCTION("""COMPUTED_VALUE"""),46056.0)</f>
        <v>46056</v>
      </c>
      <c r="B2835" s="2">
        <f>IFERROR(__xludf.DUMMYFUNCTION("""COMPUTED_VALUE"""),0.0)</f>
        <v>0</v>
      </c>
      <c r="C2835" s="2">
        <f>IFERROR(__xludf.DUMMYFUNCTION("""COMPUTED_VALUE"""),259.0)</f>
        <v>259</v>
      </c>
      <c r="D2835" s="3">
        <f>IFERROR(__xludf.DUMMYFUNCTION("""COMPUTED_VALUE"""),197.0)</f>
        <v>197</v>
      </c>
      <c r="E2835" s="1" t="str">
        <f t="array" ref="E2835">_xlfn.XLOOKUP(A2835,Product!A:A,Product!B:B,"Bulunamadı")</f>
        <v>Law</v>
      </c>
      <c r="F2835" s="1" t="str">
        <f t="array" ref="F2835">_xlfn.XLOOKUP(A2835,Product!A:A,Product!C:C,"Bulunamadı")</f>
        <v>Sports Nutrition</v>
      </c>
      <c r="G2835" s="2" t="str">
        <f t="array" ref="G2835">_xlfn.XLOOKUP(A2836,Product!A:A,Product!D:D,"Bulunamadı")</f>
        <v>Silverhill Press</v>
      </c>
      <c r="H2835" s="2">
        <f t="array" ref="H2835">_xlfn.XLOOKUP(A2837,Product!A:A,Product!E:E,"Bulunamadı")</f>
        <v>4.37</v>
      </c>
      <c r="I2835" s="2" t="str">
        <f t="shared" si="1"/>
        <v>46056 - Law - Sports Nutrition</v>
      </c>
      <c r="J2835" s="2">
        <f t="shared" si="2"/>
        <v>860.89</v>
      </c>
      <c r="K2835" s="17">
        <f t="shared" si="3"/>
        <v>1</v>
      </c>
      <c r="L2835" s="18"/>
    </row>
    <row r="2836" hidden="1">
      <c r="A2836" s="2">
        <f>IFERROR(__xludf.DUMMYFUNCTION("""COMPUTED_VALUE"""),5703.0)</f>
        <v>5703</v>
      </c>
      <c r="B2836" s="2">
        <f>IFERROR(__xludf.DUMMYFUNCTION("""COMPUTED_VALUE"""),1.0)</f>
        <v>1</v>
      </c>
      <c r="C2836" s="2">
        <f>IFERROR(__xludf.DUMMYFUNCTION("""COMPUTED_VALUE"""),25.0)</f>
        <v>25</v>
      </c>
      <c r="D2836" s="3">
        <f>IFERROR(__xludf.DUMMYFUNCTION("""COMPUTED_VALUE"""),20.0)</f>
        <v>20</v>
      </c>
      <c r="E2836" s="1" t="str">
        <f t="array" ref="E2836">_xlfn.XLOOKUP(A2836,Product!A:A,Product!B:B,"Bulunamadı")</f>
        <v>Law</v>
      </c>
      <c r="F2836" s="1" t="str">
        <f t="array" ref="F2836">_xlfn.XLOOKUP(A2836,Product!A:A,Product!C:C,"Bulunamadı")</f>
        <v>Sports Nutrition</v>
      </c>
      <c r="G2836" s="2" t="str">
        <f t="array" ref="G2836">_xlfn.XLOOKUP(A2837,Product!A:A,Product!D:D,"Bulunamadı")</f>
        <v>Silverhill Press</v>
      </c>
      <c r="H2836" s="2">
        <f t="array" ref="H2836">_xlfn.XLOOKUP(A2838,Product!A:A,Product!E:E,"Bulunamadı")</f>
        <v>1.5</v>
      </c>
      <c r="I2836" s="2" t="str">
        <f t="shared" si="1"/>
        <v>5703 - Law - Sports Nutrition</v>
      </c>
      <c r="J2836" s="2">
        <f t="shared" si="2"/>
        <v>30</v>
      </c>
      <c r="K2836" s="17">
        <f t="shared" si="3"/>
        <v>1</v>
      </c>
      <c r="L2836" s="18"/>
    </row>
    <row r="2837" hidden="1">
      <c r="A2837" s="2">
        <f>IFERROR(__xludf.DUMMYFUNCTION("""COMPUTED_VALUE"""),102607.0)</f>
        <v>102607</v>
      </c>
      <c r="B2837" s="2">
        <f>IFERROR(__xludf.DUMMYFUNCTION("""COMPUTED_VALUE"""),0.0)</f>
        <v>0</v>
      </c>
      <c r="C2837" s="2">
        <f>IFERROR(__xludf.DUMMYFUNCTION("""COMPUTED_VALUE"""),133.0)</f>
        <v>133</v>
      </c>
      <c r="D2837" s="3">
        <f>IFERROR(__xludf.DUMMYFUNCTION("""COMPUTED_VALUE"""),16.0)</f>
        <v>16</v>
      </c>
      <c r="E2837" s="1" t="str">
        <f t="array" ref="E2837">_xlfn.XLOOKUP(A2837,Product!A:A,Product!B:B,"Bulunamadı")</f>
        <v>Law</v>
      </c>
      <c r="F2837" s="1" t="str">
        <f t="array" ref="F2837">_xlfn.XLOOKUP(A2837,Product!A:A,Product!C:C,"Bulunamadı")</f>
        <v>Sports Nutrition</v>
      </c>
      <c r="G2837" s="2" t="str">
        <f t="array" ref="G2837">_xlfn.XLOOKUP(A2838,Product!A:A,Product!D:D,"Bulunamadı")</f>
        <v>Silverhill Press</v>
      </c>
      <c r="H2837" s="2">
        <f t="array" ref="H2837">_xlfn.XLOOKUP(A2839,Product!A:A,Product!E:E,"Bulunamadı")</f>
        <v>0.98</v>
      </c>
      <c r="I2837" s="2" t="str">
        <f t="shared" si="1"/>
        <v>102607 - Law - Sports Nutrition</v>
      </c>
      <c r="J2837" s="2">
        <f t="shared" si="2"/>
        <v>15.68</v>
      </c>
      <c r="K2837" s="17">
        <f t="shared" si="3"/>
        <v>1</v>
      </c>
      <c r="L2837" s="18"/>
    </row>
    <row r="2838" hidden="1">
      <c r="A2838" s="2">
        <f>IFERROR(__xludf.DUMMYFUNCTION("""COMPUTED_VALUE"""),87913.0)</f>
        <v>87913</v>
      </c>
      <c r="B2838" s="2">
        <f>IFERROR(__xludf.DUMMYFUNCTION("""COMPUTED_VALUE"""),1.0)</f>
        <v>1</v>
      </c>
      <c r="C2838" s="2">
        <f>IFERROR(__xludf.DUMMYFUNCTION("""COMPUTED_VALUE"""),221.0)</f>
        <v>221</v>
      </c>
      <c r="D2838" s="3">
        <f>IFERROR(__xludf.DUMMYFUNCTION("""COMPUTED_VALUE"""),174.0)</f>
        <v>174</v>
      </c>
      <c r="E2838" s="1" t="str">
        <f t="array" ref="E2838">_xlfn.XLOOKUP(A2838,Product!A:A,Product!B:B,"Bulunamadı")</f>
        <v>Law</v>
      </c>
      <c r="F2838" s="1" t="str">
        <f t="array" ref="F2838">_xlfn.XLOOKUP(A2838,Product!A:A,Product!C:C,"Bulunamadı")</f>
        <v>Sports Nutrition</v>
      </c>
      <c r="G2838" s="2" t="str">
        <f t="array" ref="G2838">_xlfn.XLOOKUP(A2839,Product!A:A,Product!D:D,"Bulunamadı")</f>
        <v>Silverhill Press</v>
      </c>
      <c r="H2838" s="2">
        <f t="array" ref="H2838">_xlfn.XLOOKUP(A2840,Product!A:A,Product!E:E,"Bulunamadı")</f>
        <v>1</v>
      </c>
      <c r="I2838" s="2" t="str">
        <f t="shared" si="1"/>
        <v>87913 - Law - Sports Nutrition</v>
      </c>
      <c r="J2838" s="2">
        <f t="shared" si="2"/>
        <v>174</v>
      </c>
      <c r="K2838" s="17">
        <f t="shared" si="3"/>
        <v>1</v>
      </c>
      <c r="L2838" s="18"/>
    </row>
    <row r="2839" hidden="1">
      <c r="A2839" s="2">
        <f>IFERROR(__xludf.DUMMYFUNCTION("""COMPUTED_VALUE"""),149513.0)</f>
        <v>149513</v>
      </c>
      <c r="B2839" s="2">
        <f>IFERROR(__xludf.DUMMYFUNCTION("""COMPUTED_VALUE"""),1.0)</f>
        <v>1</v>
      </c>
      <c r="C2839" s="2">
        <f>IFERROR(__xludf.DUMMYFUNCTION("""COMPUTED_VALUE"""),359.0)</f>
        <v>359</v>
      </c>
      <c r="D2839" s="3">
        <f>IFERROR(__xludf.DUMMYFUNCTION("""COMPUTED_VALUE"""),151.0)</f>
        <v>151</v>
      </c>
      <c r="E2839" s="1" t="str">
        <f t="array" ref="E2839">_xlfn.XLOOKUP(A2839,Product!A:A,Product!B:B,"Bulunamadı")</f>
        <v>Law</v>
      </c>
      <c r="F2839" s="1" t="str">
        <f t="array" ref="F2839">_xlfn.XLOOKUP(A2839,Product!A:A,Product!C:C,"Bulunamadı")</f>
        <v>Sports Nutrition</v>
      </c>
      <c r="G2839" s="2" t="str">
        <f t="array" ref="G2839">_xlfn.XLOOKUP(A2840,Product!A:A,Product!D:D,"Bulunamadı")</f>
        <v>Silverhill Press</v>
      </c>
      <c r="H2839" s="2">
        <f t="array" ref="H2839">_xlfn.XLOOKUP(A2841,Product!A:A,Product!E:E,"Bulunamadı")</f>
        <v>2.48</v>
      </c>
      <c r="I2839" s="2" t="str">
        <f t="shared" si="1"/>
        <v>149513 - Law - Sports Nutrition</v>
      </c>
      <c r="J2839" s="2">
        <f t="shared" si="2"/>
        <v>374.48</v>
      </c>
      <c r="K2839" s="17">
        <f t="shared" si="3"/>
        <v>1</v>
      </c>
      <c r="L2839" s="18"/>
    </row>
    <row r="2840" hidden="1">
      <c r="A2840" s="2">
        <f>IFERROR(__xludf.DUMMYFUNCTION("""COMPUTED_VALUE"""),87909.0)</f>
        <v>87909</v>
      </c>
      <c r="B2840" s="2">
        <f>IFERROR(__xludf.DUMMYFUNCTION("""COMPUTED_VALUE"""),1.0)</f>
        <v>1</v>
      </c>
      <c r="C2840" s="2">
        <f>IFERROR(__xludf.DUMMYFUNCTION("""COMPUTED_VALUE"""),668.0)</f>
        <v>668</v>
      </c>
      <c r="D2840" s="3">
        <f>IFERROR(__xludf.DUMMYFUNCTION("""COMPUTED_VALUE"""),256.0)</f>
        <v>256</v>
      </c>
      <c r="E2840" s="1" t="str">
        <f t="array" ref="E2840">_xlfn.XLOOKUP(A2840,Product!A:A,Product!B:B,"Bulunamadı")</f>
        <v>Law</v>
      </c>
      <c r="F2840" s="1" t="str">
        <f t="array" ref="F2840">_xlfn.XLOOKUP(A2840,Product!A:A,Product!C:C,"Bulunamadı")</f>
        <v>Sports Nutrition</v>
      </c>
      <c r="G2840" s="2" t="str">
        <f t="array" ref="G2840">_xlfn.XLOOKUP(A2841,Product!A:A,Product!D:D,"Bulunamadı")</f>
        <v>Silverhill Press</v>
      </c>
      <c r="H2840" s="2">
        <f t="array" ref="H2840">_xlfn.XLOOKUP(A2842,Product!A:A,Product!E:E,"Bulunamadı")</f>
        <v>1.82</v>
      </c>
      <c r="I2840" s="2" t="str">
        <f t="shared" si="1"/>
        <v>87909 - Law - Sports Nutrition</v>
      </c>
      <c r="J2840" s="2">
        <f t="shared" si="2"/>
        <v>465.92</v>
      </c>
      <c r="K2840" s="17">
        <f t="shared" si="3"/>
        <v>1</v>
      </c>
      <c r="L2840" s="18"/>
    </row>
    <row r="2841" hidden="1">
      <c r="A2841" s="2">
        <f>IFERROR(__xludf.DUMMYFUNCTION("""COMPUTED_VALUE"""),101897.0)</f>
        <v>101897</v>
      </c>
      <c r="B2841" s="2">
        <f>IFERROR(__xludf.DUMMYFUNCTION("""COMPUTED_VALUE"""),0.0)</f>
        <v>0</v>
      </c>
      <c r="C2841" s="2">
        <f>IFERROR(__xludf.DUMMYFUNCTION("""COMPUTED_VALUE"""),68.0)</f>
        <v>68</v>
      </c>
      <c r="D2841" s="3">
        <f>IFERROR(__xludf.DUMMYFUNCTION("""COMPUTED_VALUE"""),37.0)</f>
        <v>37</v>
      </c>
      <c r="E2841" s="1" t="str">
        <f t="array" ref="E2841">_xlfn.XLOOKUP(A2841,Product!A:A,Product!B:B,"Bulunamadı")</f>
        <v>Law</v>
      </c>
      <c r="F2841" s="1" t="str">
        <f t="array" ref="F2841">_xlfn.XLOOKUP(A2841,Product!A:A,Product!C:C,"Bulunamadı")</f>
        <v>Sports Nutrition</v>
      </c>
      <c r="G2841" s="2" t="str">
        <f t="array" ref="G2841">_xlfn.XLOOKUP(A2842,Product!A:A,Product!D:D,"Bulunamadı")</f>
        <v>Silverhill Press</v>
      </c>
      <c r="H2841" s="2">
        <f t="array" ref="H2841">_xlfn.XLOOKUP(A2843,Product!A:A,Product!E:E,"Bulunamadı")</f>
        <v>1.14</v>
      </c>
      <c r="I2841" s="2" t="str">
        <f t="shared" si="1"/>
        <v>101897 - Law - Sports Nutrition</v>
      </c>
      <c r="J2841" s="2">
        <f t="shared" si="2"/>
        <v>42.18</v>
      </c>
      <c r="K2841" s="17">
        <f t="shared" si="3"/>
        <v>1</v>
      </c>
      <c r="L2841" s="18"/>
    </row>
    <row r="2842" hidden="1">
      <c r="A2842" s="2">
        <f>IFERROR(__xludf.DUMMYFUNCTION("""COMPUTED_VALUE"""),121675.0)</f>
        <v>121675</v>
      </c>
      <c r="B2842" s="2">
        <f>IFERROR(__xludf.DUMMYFUNCTION("""COMPUTED_VALUE"""),0.0)</f>
        <v>0</v>
      </c>
      <c r="C2842" s="2">
        <f>IFERROR(__xludf.DUMMYFUNCTION("""COMPUTED_VALUE"""),549.0)</f>
        <v>549</v>
      </c>
      <c r="D2842" s="3">
        <f>IFERROR(__xludf.DUMMYFUNCTION("""COMPUTED_VALUE"""),255.0)</f>
        <v>255</v>
      </c>
      <c r="E2842" s="1" t="str">
        <f t="array" ref="E2842">_xlfn.XLOOKUP(A2842,Product!A:A,Product!B:B,"Bulunamadı")</f>
        <v>Law</v>
      </c>
      <c r="F2842" s="1" t="str">
        <f t="array" ref="F2842">_xlfn.XLOOKUP(A2842,Product!A:A,Product!C:C,"Bulunamadı")</f>
        <v>Sports Nutrition</v>
      </c>
      <c r="G2842" s="2" t="str">
        <f t="array" ref="G2842">_xlfn.XLOOKUP(A2843,Product!A:A,Product!D:D,"Bulunamadı")</f>
        <v>Silverhill Press</v>
      </c>
      <c r="H2842" s="2">
        <f t="array" ref="H2842">_xlfn.XLOOKUP(A2844,Product!A:A,Product!E:E,"Bulunamadı")</f>
        <v>1.42</v>
      </c>
      <c r="I2842" s="2" t="str">
        <f t="shared" si="1"/>
        <v>121675 - Law - Sports Nutrition</v>
      </c>
      <c r="J2842" s="2">
        <f t="shared" si="2"/>
        <v>362.1</v>
      </c>
      <c r="K2842" s="17">
        <f t="shared" si="3"/>
        <v>1</v>
      </c>
      <c r="L2842" s="18"/>
    </row>
    <row r="2843" hidden="1">
      <c r="A2843" s="2">
        <f>IFERROR(__xludf.DUMMYFUNCTION("""COMPUTED_VALUE"""),99349.0)</f>
        <v>99349</v>
      </c>
      <c r="B2843" s="2">
        <f>IFERROR(__xludf.DUMMYFUNCTION("""COMPUTED_VALUE"""),1.0)</f>
        <v>1</v>
      </c>
      <c r="C2843" s="2">
        <f>IFERROR(__xludf.DUMMYFUNCTION("""COMPUTED_VALUE"""),425.0)</f>
        <v>425</v>
      </c>
      <c r="D2843" s="3">
        <f>IFERROR(__xludf.DUMMYFUNCTION("""COMPUTED_VALUE"""),357.0)</f>
        <v>357</v>
      </c>
      <c r="E2843" s="1" t="str">
        <f t="array" ref="E2843">_xlfn.XLOOKUP(A2843,Product!A:A,Product!B:B,"Bulunamadı")</f>
        <v>Law</v>
      </c>
      <c r="F2843" s="1" t="str">
        <f t="array" ref="F2843">_xlfn.XLOOKUP(A2843,Product!A:A,Product!C:C,"Bulunamadı")</f>
        <v>Sports Nutrition</v>
      </c>
      <c r="G2843" s="2" t="str">
        <f t="array" ref="G2843">_xlfn.XLOOKUP(A2844,Product!A:A,Product!D:D,"Bulunamadı")</f>
        <v>Silverhill Press</v>
      </c>
      <c r="H2843" s="2">
        <f t="array" ref="H2843">_xlfn.XLOOKUP(A2845,Product!A:A,Product!E:E,"Bulunamadı")</f>
        <v>1.28</v>
      </c>
      <c r="I2843" s="2" t="str">
        <f t="shared" si="1"/>
        <v>99349 - Law - Sports Nutrition</v>
      </c>
      <c r="J2843" s="2">
        <f t="shared" si="2"/>
        <v>456.96</v>
      </c>
      <c r="K2843" s="17">
        <f t="shared" si="3"/>
        <v>1</v>
      </c>
      <c r="L2843" s="18"/>
    </row>
    <row r="2844" hidden="1">
      <c r="A2844" s="2">
        <f>IFERROR(__xludf.DUMMYFUNCTION("""COMPUTED_VALUE"""),117785.0)</f>
        <v>117785</v>
      </c>
      <c r="B2844" s="2">
        <f>IFERROR(__xludf.DUMMYFUNCTION("""COMPUTED_VALUE"""),1.0)</f>
        <v>1</v>
      </c>
      <c r="C2844" s="2">
        <f>IFERROR(__xludf.DUMMYFUNCTION("""COMPUTED_VALUE"""),523.0)</f>
        <v>523</v>
      </c>
      <c r="D2844" s="3">
        <f>IFERROR(__xludf.DUMMYFUNCTION("""COMPUTED_VALUE"""),216.0)</f>
        <v>216</v>
      </c>
      <c r="E2844" s="1" t="str">
        <f t="array" ref="E2844">_xlfn.XLOOKUP(A2844,Product!A:A,Product!B:B,"Bulunamadı")</f>
        <v>Law</v>
      </c>
      <c r="F2844" s="1" t="str">
        <f t="array" ref="F2844">_xlfn.XLOOKUP(A2844,Product!A:A,Product!C:C,"Bulunamadı")</f>
        <v>Sports Nutrition</v>
      </c>
      <c r="G2844" s="2" t="str">
        <f t="array" ref="G2844">_xlfn.XLOOKUP(A2845,Product!A:A,Product!D:D,"Bulunamadı")</f>
        <v>Silverhill Press</v>
      </c>
      <c r="H2844" s="2">
        <f t="array" ref="H2844">_xlfn.XLOOKUP(A2846,Product!A:A,Product!E:E,"Bulunamadı")</f>
        <v>1.05</v>
      </c>
      <c r="I2844" s="2" t="str">
        <f t="shared" si="1"/>
        <v>117785 - Law - Sports Nutrition</v>
      </c>
      <c r="J2844" s="2">
        <f t="shared" si="2"/>
        <v>226.8</v>
      </c>
      <c r="K2844" s="17">
        <f t="shared" si="3"/>
        <v>1</v>
      </c>
      <c r="L2844" s="18"/>
    </row>
    <row r="2845" hidden="1">
      <c r="A2845" s="2">
        <f>IFERROR(__xludf.DUMMYFUNCTION("""COMPUTED_VALUE"""),120558.0)</f>
        <v>120558</v>
      </c>
      <c r="B2845" s="2">
        <f>IFERROR(__xludf.DUMMYFUNCTION("""COMPUTED_VALUE"""),0.0)</f>
        <v>0</v>
      </c>
      <c r="C2845" s="2">
        <f>IFERROR(__xludf.DUMMYFUNCTION("""COMPUTED_VALUE"""),784.0)</f>
        <v>784</v>
      </c>
      <c r="D2845" s="3">
        <f>IFERROR(__xludf.DUMMYFUNCTION("""COMPUTED_VALUE"""),617.0)</f>
        <v>617</v>
      </c>
      <c r="E2845" s="1" t="str">
        <f t="array" ref="E2845">_xlfn.XLOOKUP(A2845,Product!A:A,Product!B:B,"Bulunamadı")</f>
        <v>Law</v>
      </c>
      <c r="F2845" s="1" t="str">
        <f t="array" ref="F2845">_xlfn.XLOOKUP(A2845,Product!A:A,Product!C:C,"Bulunamadı")</f>
        <v>Sports Nutrition</v>
      </c>
      <c r="G2845" s="2" t="str">
        <f t="array" ref="G2845">_xlfn.XLOOKUP(A2846,Product!A:A,Product!D:D,"Bulunamadı")</f>
        <v>Silverhill Press</v>
      </c>
      <c r="H2845" s="2">
        <f t="array" ref="H2845">_xlfn.XLOOKUP(A2847,Product!A:A,Product!E:E,"Bulunamadı")</f>
        <v>2.43</v>
      </c>
      <c r="I2845" s="2" t="str">
        <f t="shared" si="1"/>
        <v>120558 - Law - Sports Nutrition</v>
      </c>
      <c r="J2845" s="2">
        <f t="shared" si="2"/>
        <v>1499.31</v>
      </c>
      <c r="K2845" s="17">
        <f t="shared" si="3"/>
        <v>1</v>
      </c>
      <c r="L2845" s="18"/>
    </row>
    <row r="2846" hidden="1">
      <c r="A2846" s="2">
        <f>IFERROR(__xludf.DUMMYFUNCTION("""COMPUTED_VALUE"""),99351.0)</f>
        <v>99351</v>
      </c>
      <c r="B2846" s="2">
        <f>IFERROR(__xludf.DUMMYFUNCTION("""COMPUTED_VALUE"""),0.0)</f>
        <v>0</v>
      </c>
      <c r="C2846" s="2">
        <f>IFERROR(__xludf.DUMMYFUNCTION("""COMPUTED_VALUE"""),721.0)</f>
        <v>721</v>
      </c>
      <c r="D2846" s="3">
        <f>IFERROR(__xludf.DUMMYFUNCTION("""COMPUTED_VALUE"""),400.0)</f>
        <v>400</v>
      </c>
      <c r="E2846" s="1" t="str">
        <f t="array" ref="E2846">_xlfn.XLOOKUP(A2846,Product!A:A,Product!B:B,"Bulunamadı")</f>
        <v>Law</v>
      </c>
      <c r="F2846" s="1" t="str">
        <f t="array" ref="F2846">_xlfn.XLOOKUP(A2846,Product!A:A,Product!C:C,"Bulunamadı")</f>
        <v>Sports Nutrition</v>
      </c>
      <c r="G2846" s="2" t="str">
        <f t="array" ref="G2846">_xlfn.XLOOKUP(A2847,Product!A:A,Product!D:D,"Bulunamadı")</f>
        <v>Silverhill Press</v>
      </c>
      <c r="H2846" s="2">
        <f t="array" ref="H2846">_xlfn.XLOOKUP(A2848,Product!A:A,Product!E:E,"Bulunamadı")</f>
        <v>0.97</v>
      </c>
      <c r="I2846" s="2" t="str">
        <f t="shared" si="1"/>
        <v>99351 - Law - Sports Nutrition</v>
      </c>
      <c r="J2846" s="2">
        <f t="shared" si="2"/>
        <v>388</v>
      </c>
      <c r="K2846" s="17">
        <f t="shared" si="3"/>
        <v>1</v>
      </c>
      <c r="L2846" s="18"/>
    </row>
    <row r="2847" hidden="1">
      <c r="A2847" s="2">
        <f>IFERROR(__xludf.DUMMYFUNCTION("""COMPUTED_VALUE"""),113058.0)</f>
        <v>113058</v>
      </c>
      <c r="B2847" s="2">
        <f>IFERROR(__xludf.DUMMYFUNCTION("""COMPUTED_VALUE"""),1.0)</f>
        <v>1</v>
      </c>
      <c r="C2847" s="2">
        <f>IFERROR(__xludf.DUMMYFUNCTION("""COMPUTED_VALUE"""),0.0)</f>
        <v>0</v>
      </c>
      <c r="D2847" s="3">
        <f>IFERROR(__xludf.DUMMYFUNCTION("""COMPUTED_VALUE"""),0.0)</f>
        <v>0</v>
      </c>
      <c r="E2847" s="1" t="str">
        <f t="array" ref="E2847">_xlfn.XLOOKUP(A2847,Product!A:A,Product!B:B,"Bulunamadı")</f>
        <v>Law</v>
      </c>
      <c r="F2847" s="1" t="str">
        <f t="array" ref="F2847">_xlfn.XLOOKUP(A2847,Product!A:A,Product!C:C,"Bulunamadı")</f>
        <v>Sports Nutrition</v>
      </c>
      <c r="G2847" s="2" t="str">
        <f t="array" ref="G2847">_xlfn.XLOOKUP(A2848,Product!A:A,Product!D:D,"Bulunamadı")</f>
        <v>Silverhill Press</v>
      </c>
      <c r="H2847" s="2">
        <f t="array" ref="H2847">_xlfn.XLOOKUP(A2849,Product!A:A,Product!E:E,"Bulunamadı")</f>
        <v>2.01</v>
      </c>
      <c r="I2847" s="2" t="str">
        <f t="shared" si="1"/>
        <v>113058 - Law - Sports Nutrition</v>
      </c>
      <c r="J2847" s="2">
        <f t="shared" si="2"/>
        <v>0</v>
      </c>
      <c r="K2847" s="17">
        <f t="shared" si="3"/>
        <v>0</v>
      </c>
      <c r="L2847" s="18"/>
    </row>
    <row r="2848" hidden="1">
      <c r="A2848" s="2">
        <f>IFERROR(__xludf.DUMMYFUNCTION("""COMPUTED_VALUE"""),118917.0)</f>
        <v>118917</v>
      </c>
      <c r="B2848" s="2">
        <f>IFERROR(__xludf.DUMMYFUNCTION("""COMPUTED_VALUE"""),1.0)</f>
        <v>1</v>
      </c>
      <c r="C2848" s="2">
        <f>IFERROR(__xludf.DUMMYFUNCTION("""COMPUTED_VALUE"""),374.0)</f>
        <v>374</v>
      </c>
      <c r="D2848" s="3">
        <f>IFERROR(__xludf.DUMMYFUNCTION("""COMPUTED_VALUE"""),208.0)</f>
        <v>208</v>
      </c>
      <c r="E2848" s="1" t="str">
        <f t="array" ref="E2848">_xlfn.XLOOKUP(A2848,Product!A:A,Product!B:B,"Bulunamadı")</f>
        <v>Law</v>
      </c>
      <c r="F2848" s="1" t="str">
        <f t="array" ref="F2848">_xlfn.XLOOKUP(A2848,Product!A:A,Product!C:C,"Bulunamadı")</f>
        <v>Sports Nutrition</v>
      </c>
      <c r="G2848" s="2" t="str">
        <f t="array" ref="G2848">_xlfn.XLOOKUP(A2849,Product!A:A,Product!D:D,"Bulunamadı")</f>
        <v>Silverhill Press</v>
      </c>
      <c r="H2848" s="2">
        <f t="array" ref="H2848">_xlfn.XLOOKUP(A2850,Product!A:A,Product!E:E,"Bulunamadı")</f>
        <v>2.87</v>
      </c>
      <c r="I2848" s="2" t="str">
        <f t="shared" si="1"/>
        <v>118917 - Law - Sports Nutrition</v>
      </c>
      <c r="J2848" s="2">
        <f t="shared" si="2"/>
        <v>596.96</v>
      </c>
      <c r="K2848" s="17">
        <f t="shared" si="3"/>
        <v>1</v>
      </c>
      <c r="L2848" s="18"/>
    </row>
    <row r="2849" hidden="1">
      <c r="A2849" s="2">
        <f>IFERROR(__xludf.DUMMYFUNCTION("""COMPUTED_VALUE"""),164891.0)</f>
        <v>164891</v>
      </c>
      <c r="B2849" s="2">
        <f>IFERROR(__xludf.DUMMYFUNCTION("""COMPUTED_VALUE"""),0.0)</f>
        <v>0</v>
      </c>
      <c r="C2849" s="2">
        <f>IFERROR(__xludf.DUMMYFUNCTION("""COMPUTED_VALUE"""),322.0)</f>
        <v>322</v>
      </c>
      <c r="D2849" s="3">
        <f>IFERROR(__xludf.DUMMYFUNCTION("""COMPUTED_VALUE"""),219.0)</f>
        <v>219</v>
      </c>
      <c r="E2849" s="1" t="str">
        <f t="array" ref="E2849">_xlfn.XLOOKUP(A2849,Product!A:A,Product!B:B,"Bulunamadı")</f>
        <v>Law</v>
      </c>
      <c r="F2849" s="1" t="str">
        <f t="array" ref="F2849">_xlfn.XLOOKUP(A2849,Product!A:A,Product!C:C,"Bulunamadı")</f>
        <v>Sports Nutrition</v>
      </c>
      <c r="G2849" s="2" t="str">
        <f t="array" ref="G2849">_xlfn.XLOOKUP(A2850,Product!A:A,Product!D:D,"Bulunamadı")</f>
        <v>Silverhill Press</v>
      </c>
      <c r="H2849" s="2">
        <f t="array" ref="H2849">_xlfn.XLOOKUP(A2851,Product!A:A,Product!E:E,"Bulunamadı")</f>
        <v>2.46</v>
      </c>
      <c r="I2849" s="2" t="str">
        <f t="shared" si="1"/>
        <v>164891 - Law - Sports Nutrition</v>
      </c>
      <c r="J2849" s="2">
        <f t="shared" si="2"/>
        <v>538.74</v>
      </c>
      <c r="K2849" s="17">
        <f t="shared" si="3"/>
        <v>1</v>
      </c>
      <c r="L2849" s="18"/>
    </row>
    <row r="2850" hidden="1">
      <c r="A2850" s="2">
        <f>IFERROR(__xludf.DUMMYFUNCTION("""COMPUTED_VALUE"""),101901.0)</f>
        <v>101901</v>
      </c>
      <c r="B2850" s="2">
        <f>IFERROR(__xludf.DUMMYFUNCTION("""COMPUTED_VALUE"""),1.0)</f>
        <v>1</v>
      </c>
      <c r="C2850" s="2">
        <f>IFERROR(__xludf.DUMMYFUNCTION("""COMPUTED_VALUE"""),646.0)</f>
        <v>646</v>
      </c>
      <c r="D2850" s="3">
        <f>IFERROR(__xludf.DUMMYFUNCTION("""COMPUTED_VALUE"""),589.0)</f>
        <v>589</v>
      </c>
      <c r="E2850" s="1" t="str">
        <f t="array" ref="E2850">_xlfn.XLOOKUP(A2850,Product!A:A,Product!B:B,"Bulunamadı")</f>
        <v>Law</v>
      </c>
      <c r="F2850" s="1" t="str">
        <f t="array" ref="F2850">_xlfn.XLOOKUP(A2850,Product!A:A,Product!C:C,"Bulunamadı")</f>
        <v>Sports Nutrition</v>
      </c>
      <c r="G2850" s="2" t="str">
        <f t="array" ref="G2850">_xlfn.XLOOKUP(A2851,Product!A:A,Product!D:D,"Bulunamadı")</f>
        <v>Silverhill Press</v>
      </c>
      <c r="H2850" s="2">
        <f t="array" ref="H2850">_xlfn.XLOOKUP(A2852,Product!A:A,Product!E:E,"Bulunamadı")</f>
        <v>2.32</v>
      </c>
      <c r="I2850" s="2" t="str">
        <f t="shared" si="1"/>
        <v>101901 - Law - Sports Nutrition</v>
      </c>
      <c r="J2850" s="2">
        <f t="shared" si="2"/>
        <v>1366.48</v>
      </c>
      <c r="K2850" s="17">
        <f t="shared" si="3"/>
        <v>1</v>
      </c>
      <c r="L2850" s="18"/>
    </row>
    <row r="2851" hidden="1">
      <c r="A2851" s="2">
        <f>IFERROR(__xludf.DUMMYFUNCTION("""COMPUTED_VALUE"""),197164.0)</f>
        <v>197164</v>
      </c>
      <c r="B2851" s="2">
        <f>IFERROR(__xludf.DUMMYFUNCTION("""COMPUTED_VALUE"""),1.0)</f>
        <v>1</v>
      </c>
      <c r="C2851" s="2">
        <f>IFERROR(__xludf.DUMMYFUNCTION("""COMPUTED_VALUE"""),762.0)</f>
        <v>762</v>
      </c>
      <c r="D2851" s="3">
        <f>IFERROR(__xludf.DUMMYFUNCTION("""COMPUTED_VALUE"""),79.0)</f>
        <v>79</v>
      </c>
      <c r="E2851" s="1" t="str">
        <f t="array" ref="E2851">_xlfn.XLOOKUP(A2851,Product!A:A,Product!B:B,"Bulunamadı")</f>
        <v>Law</v>
      </c>
      <c r="F2851" s="1" t="str">
        <f t="array" ref="F2851">_xlfn.XLOOKUP(A2851,Product!A:A,Product!C:C,"Bulunamadı")</f>
        <v>Sports Nutrition</v>
      </c>
      <c r="G2851" s="2" t="str">
        <f t="array" ref="G2851">_xlfn.XLOOKUP(A2852,Product!A:A,Product!D:D,"Bulunamadı")</f>
        <v>Silverhill Press</v>
      </c>
      <c r="H2851" s="2">
        <f t="array" ref="H2851">_xlfn.XLOOKUP(A2853,Product!A:A,Product!E:E,"Bulunamadı")</f>
        <v>1.36</v>
      </c>
      <c r="I2851" s="2" t="str">
        <f t="shared" si="1"/>
        <v>197164 - Law - Sports Nutrition</v>
      </c>
      <c r="J2851" s="2">
        <f t="shared" si="2"/>
        <v>107.44</v>
      </c>
      <c r="K2851" s="17">
        <f t="shared" si="3"/>
        <v>1</v>
      </c>
      <c r="L2851" s="18"/>
    </row>
    <row r="2852" hidden="1">
      <c r="A2852" s="2">
        <f>IFERROR(__xludf.DUMMYFUNCTION("""COMPUTED_VALUE"""),114277.0)</f>
        <v>114277</v>
      </c>
      <c r="B2852" s="2">
        <f>IFERROR(__xludf.DUMMYFUNCTION("""COMPUTED_VALUE"""),1.0)</f>
        <v>1</v>
      </c>
      <c r="C2852" s="2">
        <f>IFERROR(__xludf.DUMMYFUNCTION("""COMPUTED_VALUE"""),626.0)</f>
        <v>626</v>
      </c>
      <c r="D2852" s="3">
        <f>IFERROR(__xludf.DUMMYFUNCTION("""COMPUTED_VALUE"""),117.0)</f>
        <v>117</v>
      </c>
      <c r="E2852" s="1" t="str">
        <f t="array" ref="E2852">_xlfn.XLOOKUP(A2852,Product!A:A,Product!B:B,"Bulunamadı")</f>
        <v>Law</v>
      </c>
      <c r="F2852" s="1" t="str">
        <f t="array" ref="F2852">_xlfn.XLOOKUP(A2852,Product!A:A,Product!C:C,"Bulunamadı")</f>
        <v>Sports Nutrition</v>
      </c>
      <c r="G2852" s="2" t="str">
        <f t="array" ref="G2852">_xlfn.XLOOKUP(A2853,Product!A:A,Product!D:D,"Bulunamadı")</f>
        <v>Silverhill Press</v>
      </c>
      <c r="H2852" s="2">
        <f t="array" ref="H2852">_xlfn.XLOOKUP(A2854,Product!A:A,Product!E:E,"Bulunamadı")</f>
        <v>2.26</v>
      </c>
      <c r="I2852" s="2" t="str">
        <f t="shared" si="1"/>
        <v>114277 - Law - Sports Nutrition</v>
      </c>
      <c r="J2852" s="2">
        <f t="shared" si="2"/>
        <v>264.42</v>
      </c>
      <c r="K2852" s="17">
        <f t="shared" si="3"/>
        <v>1</v>
      </c>
      <c r="L2852" s="18"/>
    </row>
    <row r="2853" hidden="1">
      <c r="A2853" s="2">
        <f>IFERROR(__xludf.DUMMYFUNCTION("""COMPUTED_VALUE"""),86913.0)</f>
        <v>86913</v>
      </c>
      <c r="B2853" s="2">
        <f>IFERROR(__xludf.DUMMYFUNCTION("""COMPUTED_VALUE"""),0.0)</f>
        <v>0</v>
      </c>
      <c r="C2853" s="2">
        <f>IFERROR(__xludf.DUMMYFUNCTION("""COMPUTED_VALUE"""),697.0)</f>
        <v>697</v>
      </c>
      <c r="D2853" s="3">
        <f>IFERROR(__xludf.DUMMYFUNCTION("""COMPUTED_VALUE"""),219.0)</f>
        <v>219</v>
      </c>
      <c r="E2853" s="1" t="str">
        <f t="array" ref="E2853">_xlfn.XLOOKUP(A2853,Product!A:A,Product!B:B,"Bulunamadı")</f>
        <v>Law</v>
      </c>
      <c r="F2853" s="1" t="str">
        <f t="array" ref="F2853">_xlfn.XLOOKUP(A2853,Product!A:A,Product!C:C,"Bulunamadı")</f>
        <v>Sports Nutrition</v>
      </c>
      <c r="G2853" s="2" t="str">
        <f t="array" ref="G2853">_xlfn.XLOOKUP(A2854,Product!A:A,Product!D:D,"Bulunamadı")</f>
        <v>Silverhill Press</v>
      </c>
      <c r="H2853" s="2">
        <f t="array" ref="H2853">_xlfn.XLOOKUP(A2855,Product!A:A,Product!E:E,"Bulunamadı")</f>
        <v>3.26</v>
      </c>
      <c r="I2853" s="2" t="str">
        <f t="shared" si="1"/>
        <v>86913 - Law - Sports Nutrition</v>
      </c>
      <c r="J2853" s="2">
        <f t="shared" si="2"/>
        <v>713.94</v>
      </c>
      <c r="K2853" s="17">
        <f t="shared" si="3"/>
        <v>1</v>
      </c>
      <c r="L2853" s="18"/>
    </row>
    <row r="2854" hidden="1">
      <c r="A2854" s="2">
        <f>IFERROR(__xludf.DUMMYFUNCTION("""COMPUTED_VALUE"""),88971.0)</f>
        <v>88971</v>
      </c>
      <c r="B2854" s="2">
        <f>IFERROR(__xludf.DUMMYFUNCTION("""COMPUTED_VALUE"""),0.0)</f>
        <v>0</v>
      </c>
      <c r="C2854" s="2">
        <f>IFERROR(__xludf.DUMMYFUNCTION("""COMPUTED_VALUE"""),928.0)</f>
        <v>928</v>
      </c>
      <c r="D2854" s="3">
        <f>IFERROR(__xludf.DUMMYFUNCTION("""COMPUTED_VALUE"""),519.0)</f>
        <v>519</v>
      </c>
      <c r="E2854" s="1" t="str">
        <f t="array" ref="E2854">_xlfn.XLOOKUP(A2854,Product!A:A,Product!B:B,"Bulunamadı")</f>
        <v>Law</v>
      </c>
      <c r="F2854" s="1" t="str">
        <f t="array" ref="F2854">_xlfn.XLOOKUP(A2854,Product!A:A,Product!C:C,"Bulunamadı")</f>
        <v>Sports Nutrition</v>
      </c>
      <c r="G2854" s="2" t="str">
        <f t="array" ref="G2854">_xlfn.XLOOKUP(A2855,Product!A:A,Product!D:D,"Bulunamadı")</f>
        <v>Silverhill Press</v>
      </c>
      <c r="H2854" s="2">
        <f t="array" ref="H2854">_xlfn.XLOOKUP(A2856,Product!A:A,Product!E:E,"Bulunamadı")</f>
        <v>2.53</v>
      </c>
      <c r="I2854" s="2" t="str">
        <f t="shared" si="1"/>
        <v>88971 - Law - Sports Nutrition</v>
      </c>
      <c r="J2854" s="2">
        <f t="shared" si="2"/>
        <v>1313.07</v>
      </c>
      <c r="K2854" s="17">
        <f t="shared" si="3"/>
        <v>1</v>
      </c>
      <c r="L2854" s="18"/>
    </row>
    <row r="2855" hidden="1">
      <c r="A2855" s="2">
        <f>IFERROR(__xludf.DUMMYFUNCTION("""COMPUTED_VALUE"""),188840.0)</f>
        <v>188840</v>
      </c>
      <c r="B2855" s="2">
        <f>IFERROR(__xludf.DUMMYFUNCTION("""COMPUTED_VALUE"""),1.0)</f>
        <v>1</v>
      </c>
      <c r="C2855" s="2">
        <f>IFERROR(__xludf.DUMMYFUNCTION("""COMPUTED_VALUE"""),734.0)</f>
        <v>734</v>
      </c>
      <c r="D2855" s="3">
        <f>IFERROR(__xludf.DUMMYFUNCTION("""COMPUTED_VALUE"""),539.0)</f>
        <v>539</v>
      </c>
      <c r="E2855" s="1" t="str">
        <f t="array" ref="E2855">_xlfn.XLOOKUP(A2855,Product!A:A,Product!B:B,"Bulunamadı")</f>
        <v>Law</v>
      </c>
      <c r="F2855" s="1" t="str">
        <f t="array" ref="F2855">_xlfn.XLOOKUP(A2855,Product!A:A,Product!C:C,"Bulunamadı")</f>
        <v>Sports Nutrition</v>
      </c>
      <c r="G2855" s="2" t="str">
        <f t="array" ref="G2855">_xlfn.XLOOKUP(A2856,Product!A:A,Product!D:D,"Bulunamadı")</f>
        <v>Silverhill Press</v>
      </c>
      <c r="H2855" s="2">
        <f t="array" ref="H2855">_xlfn.XLOOKUP(A2857,Product!A:A,Product!E:E,"Bulunamadı")</f>
        <v>3.1</v>
      </c>
      <c r="I2855" s="2" t="str">
        <f t="shared" si="1"/>
        <v>188840 - Law - Sports Nutrition</v>
      </c>
      <c r="J2855" s="2">
        <f t="shared" si="2"/>
        <v>1670.9</v>
      </c>
      <c r="K2855" s="17">
        <f t="shared" si="3"/>
        <v>1</v>
      </c>
      <c r="L2855" s="18"/>
    </row>
    <row r="2856" hidden="1">
      <c r="A2856" s="2">
        <f>IFERROR(__xludf.DUMMYFUNCTION("""COMPUTED_VALUE"""),95652.0)</f>
        <v>95652</v>
      </c>
      <c r="B2856" s="2">
        <f>IFERROR(__xludf.DUMMYFUNCTION("""COMPUTED_VALUE"""),1.0)</f>
        <v>1</v>
      </c>
      <c r="C2856" s="2">
        <f>IFERROR(__xludf.DUMMYFUNCTION("""COMPUTED_VALUE"""),711.0)</f>
        <v>711</v>
      </c>
      <c r="D2856" s="3">
        <f>IFERROR(__xludf.DUMMYFUNCTION("""COMPUTED_VALUE"""),322.0)</f>
        <v>322</v>
      </c>
      <c r="E2856" s="1" t="str">
        <f t="array" ref="E2856">_xlfn.XLOOKUP(A2856,Product!A:A,Product!B:B,"Bulunamadı")</f>
        <v>Law</v>
      </c>
      <c r="F2856" s="1" t="str">
        <f t="array" ref="F2856">_xlfn.XLOOKUP(A2856,Product!A:A,Product!C:C,"Bulunamadı")</f>
        <v>Sports Nutrition</v>
      </c>
      <c r="G2856" s="2" t="str">
        <f t="array" ref="G2856">_xlfn.XLOOKUP(A2857,Product!A:A,Product!D:D,"Bulunamadı")</f>
        <v>Silverhill Press</v>
      </c>
      <c r="H2856" s="2">
        <f t="array" ref="H2856">_xlfn.XLOOKUP(A2858,Product!A:A,Product!E:E,"Bulunamadı")</f>
        <v>2.86</v>
      </c>
      <c r="I2856" s="2" t="str">
        <f t="shared" si="1"/>
        <v>95652 - Law - Sports Nutrition</v>
      </c>
      <c r="J2856" s="2">
        <f t="shared" si="2"/>
        <v>920.92</v>
      </c>
      <c r="K2856" s="17">
        <f t="shared" si="3"/>
        <v>1</v>
      </c>
      <c r="L2856" s="18"/>
    </row>
    <row r="2857" hidden="1">
      <c r="A2857" s="2">
        <f>IFERROR(__xludf.DUMMYFUNCTION("""COMPUTED_VALUE"""),68627.0)</f>
        <v>68627</v>
      </c>
      <c r="B2857" s="2">
        <f>IFERROR(__xludf.DUMMYFUNCTION("""COMPUTED_VALUE"""),0.0)</f>
        <v>0</v>
      </c>
      <c r="C2857" s="2">
        <f>IFERROR(__xludf.DUMMYFUNCTION("""COMPUTED_VALUE"""),732.0)</f>
        <v>732</v>
      </c>
      <c r="D2857" s="3">
        <f>IFERROR(__xludf.DUMMYFUNCTION("""COMPUTED_VALUE"""),49.0)</f>
        <v>49</v>
      </c>
      <c r="E2857" s="1" t="str">
        <f t="array" ref="E2857">_xlfn.XLOOKUP(A2857,Product!A:A,Product!B:B,"Bulunamadı")</f>
        <v>Law</v>
      </c>
      <c r="F2857" s="1" t="str">
        <f t="array" ref="F2857">_xlfn.XLOOKUP(A2857,Product!A:A,Product!C:C,"Bulunamadı")</f>
        <v>Sports Nutrition</v>
      </c>
      <c r="G2857" s="2" t="str">
        <f t="array" ref="G2857">_xlfn.XLOOKUP(A2858,Product!A:A,Product!D:D,"Bulunamadı")</f>
        <v>Silverhill Press</v>
      </c>
      <c r="H2857" s="2">
        <f t="array" ref="H2857">_xlfn.XLOOKUP(A2859,Product!A:A,Product!E:E,"Bulunamadı")</f>
        <v>1.85</v>
      </c>
      <c r="I2857" s="2" t="str">
        <f t="shared" si="1"/>
        <v>68627 - Law - Sports Nutrition</v>
      </c>
      <c r="J2857" s="2">
        <f t="shared" si="2"/>
        <v>90.65</v>
      </c>
      <c r="K2857" s="17">
        <f t="shared" si="3"/>
        <v>1</v>
      </c>
      <c r="L2857" s="18"/>
    </row>
    <row r="2858" hidden="1">
      <c r="A2858" s="2">
        <f>IFERROR(__xludf.DUMMYFUNCTION("""COMPUTED_VALUE"""),46043.0)</f>
        <v>46043</v>
      </c>
      <c r="B2858" s="2">
        <f>IFERROR(__xludf.DUMMYFUNCTION("""COMPUTED_VALUE"""),1.0)</f>
        <v>1</v>
      </c>
      <c r="C2858" s="2">
        <f>IFERROR(__xludf.DUMMYFUNCTION("""COMPUTED_VALUE"""),266.0)</f>
        <v>266</v>
      </c>
      <c r="D2858" s="3">
        <f>IFERROR(__xludf.DUMMYFUNCTION("""COMPUTED_VALUE"""),35.0)</f>
        <v>35</v>
      </c>
      <c r="E2858" s="1" t="str">
        <f t="array" ref="E2858">_xlfn.XLOOKUP(A2858,Product!A:A,Product!B:B,"Bulunamadı")</f>
        <v>Law</v>
      </c>
      <c r="F2858" s="1" t="str">
        <f t="array" ref="F2858">_xlfn.XLOOKUP(A2858,Product!A:A,Product!C:C,"Bulunamadı")</f>
        <v>Sports Nutrition</v>
      </c>
      <c r="G2858" s="2" t="str">
        <f t="array" ref="G2858">_xlfn.XLOOKUP(A2859,Product!A:A,Product!D:D,"Bulunamadı")</f>
        <v>Silverhill Press</v>
      </c>
      <c r="H2858" s="2">
        <f t="array" ref="H2858">_xlfn.XLOOKUP(A2860,Product!A:A,Product!E:E,"Bulunamadı")</f>
        <v>0.97</v>
      </c>
      <c r="I2858" s="2" t="str">
        <f t="shared" si="1"/>
        <v>46043 - Law - Sports Nutrition</v>
      </c>
      <c r="J2858" s="2">
        <f t="shared" si="2"/>
        <v>33.95</v>
      </c>
      <c r="K2858" s="17">
        <f t="shared" si="3"/>
        <v>1</v>
      </c>
      <c r="L2858" s="18"/>
    </row>
    <row r="2859" hidden="1">
      <c r="A2859" s="2">
        <f>IFERROR(__xludf.DUMMYFUNCTION("""COMPUTED_VALUE"""),60592.0)</f>
        <v>60592</v>
      </c>
      <c r="B2859" s="2">
        <f>IFERROR(__xludf.DUMMYFUNCTION("""COMPUTED_VALUE"""),0.0)</f>
        <v>0</v>
      </c>
      <c r="C2859" s="2">
        <f>IFERROR(__xludf.DUMMYFUNCTION("""COMPUTED_VALUE"""),213.0)</f>
        <v>213</v>
      </c>
      <c r="D2859" s="3">
        <f>IFERROR(__xludf.DUMMYFUNCTION("""COMPUTED_VALUE"""),190.0)</f>
        <v>190</v>
      </c>
      <c r="E2859" s="1" t="str">
        <f t="array" ref="E2859">_xlfn.XLOOKUP(A2859,Product!A:A,Product!B:B,"Bulunamadı")</f>
        <v>Law</v>
      </c>
      <c r="F2859" s="1" t="str">
        <f t="array" ref="F2859">_xlfn.XLOOKUP(A2859,Product!A:A,Product!C:C,"Bulunamadı")</f>
        <v>Sports Nutrition</v>
      </c>
      <c r="G2859" s="2" t="str">
        <f t="array" ref="G2859">_xlfn.XLOOKUP(A2860,Product!A:A,Product!D:D,"Bulunamadı")</f>
        <v>Silverhill Press</v>
      </c>
      <c r="H2859" s="2">
        <f t="array" ref="H2859">_xlfn.XLOOKUP(A2861,Product!A:A,Product!E:E,"Bulunamadı")</f>
        <v>2.09</v>
      </c>
      <c r="I2859" s="2" t="str">
        <f t="shared" si="1"/>
        <v>60592 - Law - Sports Nutrition</v>
      </c>
      <c r="J2859" s="2">
        <f t="shared" si="2"/>
        <v>397.1</v>
      </c>
      <c r="K2859" s="17">
        <f t="shared" si="3"/>
        <v>1</v>
      </c>
      <c r="L2859" s="18"/>
    </row>
    <row r="2860" hidden="1">
      <c r="A2860" s="2">
        <f>IFERROR(__xludf.DUMMYFUNCTION("""COMPUTED_VALUE"""),99350.0)</f>
        <v>99350</v>
      </c>
      <c r="B2860" s="2">
        <f>IFERROR(__xludf.DUMMYFUNCTION("""COMPUTED_VALUE"""),0.0)</f>
        <v>0</v>
      </c>
      <c r="C2860" s="2">
        <f>IFERROR(__xludf.DUMMYFUNCTION("""COMPUTED_VALUE"""),452.0)</f>
        <v>452</v>
      </c>
      <c r="D2860" s="3">
        <f>IFERROR(__xludf.DUMMYFUNCTION("""COMPUTED_VALUE"""),180.0)</f>
        <v>180</v>
      </c>
      <c r="E2860" s="1" t="str">
        <f t="array" ref="E2860">_xlfn.XLOOKUP(A2860,Product!A:A,Product!B:B,"Bulunamadı")</f>
        <v>Law</v>
      </c>
      <c r="F2860" s="1" t="str">
        <f t="array" ref="F2860">_xlfn.XLOOKUP(A2860,Product!A:A,Product!C:C,"Bulunamadı")</f>
        <v>Sports Nutrition</v>
      </c>
      <c r="G2860" s="2" t="str">
        <f t="array" ref="G2860">_xlfn.XLOOKUP(A2861,Product!A:A,Product!D:D,"Bulunamadı")</f>
        <v>Silverhill Press</v>
      </c>
      <c r="H2860" s="2">
        <f t="array" ref="H2860">_xlfn.XLOOKUP(A2862,Product!A:A,Product!E:E,"Bulunamadı")</f>
        <v>2.07</v>
      </c>
      <c r="I2860" s="2" t="str">
        <f t="shared" si="1"/>
        <v>99350 - Law - Sports Nutrition</v>
      </c>
      <c r="J2860" s="2">
        <f t="shared" si="2"/>
        <v>372.6</v>
      </c>
      <c r="K2860" s="17">
        <f t="shared" si="3"/>
        <v>1</v>
      </c>
      <c r="L2860" s="18"/>
    </row>
    <row r="2861" hidden="1">
      <c r="A2861" s="2">
        <f>IFERROR(__xludf.DUMMYFUNCTION("""COMPUTED_VALUE"""),78983.0)</f>
        <v>78983</v>
      </c>
      <c r="B2861" s="2">
        <f>IFERROR(__xludf.DUMMYFUNCTION("""COMPUTED_VALUE"""),0.0)</f>
        <v>0</v>
      </c>
      <c r="C2861" s="2">
        <f>IFERROR(__xludf.DUMMYFUNCTION("""COMPUTED_VALUE"""),401.0)</f>
        <v>401</v>
      </c>
      <c r="D2861" s="3">
        <f>IFERROR(__xludf.DUMMYFUNCTION("""COMPUTED_VALUE"""),134.0)</f>
        <v>134</v>
      </c>
      <c r="E2861" s="1" t="str">
        <f t="array" ref="E2861">_xlfn.XLOOKUP(A2861,Product!A:A,Product!B:B,"Bulunamadı")</f>
        <v>Law</v>
      </c>
      <c r="F2861" s="1" t="str">
        <f t="array" ref="F2861">_xlfn.XLOOKUP(A2861,Product!A:A,Product!C:C,"Bulunamadı")</f>
        <v>Sports Nutrition</v>
      </c>
      <c r="G2861" s="2" t="str">
        <f t="array" ref="G2861">_xlfn.XLOOKUP(A2862,Product!A:A,Product!D:D,"Bulunamadı")</f>
        <v>Silverhill Press</v>
      </c>
      <c r="H2861" s="2">
        <f t="array" ref="H2861">_xlfn.XLOOKUP(A2863,Product!A:A,Product!E:E,"Bulunamadı")</f>
        <v>1.29</v>
      </c>
      <c r="I2861" s="2" t="str">
        <f t="shared" si="1"/>
        <v>78983 - Law - Sports Nutrition</v>
      </c>
      <c r="J2861" s="2">
        <f t="shared" si="2"/>
        <v>172.86</v>
      </c>
      <c r="K2861" s="17">
        <f t="shared" si="3"/>
        <v>1</v>
      </c>
      <c r="L2861" s="18"/>
    </row>
    <row r="2862" hidden="1">
      <c r="A2862" s="2">
        <f>IFERROR(__xludf.DUMMYFUNCTION("""COMPUTED_VALUE"""),188845.0)</f>
        <v>188845</v>
      </c>
      <c r="B2862" s="2">
        <f>IFERROR(__xludf.DUMMYFUNCTION("""COMPUTED_VALUE"""),0.0)</f>
        <v>0</v>
      </c>
      <c r="C2862" s="2">
        <f>IFERROR(__xludf.DUMMYFUNCTION("""COMPUTED_VALUE"""),644.0)</f>
        <v>644</v>
      </c>
      <c r="D2862" s="3">
        <f>IFERROR(__xludf.DUMMYFUNCTION("""COMPUTED_VALUE"""),123.0)</f>
        <v>123</v>
      </c>
      <c r="E2862" s="1" t="str">
        <f t="array" ref="E2862">_xlfn.XLOOKUP(A2862,Product!A:A,Product!B:B,"Bulunamadı")</f>
        <v>Law</v>
      </c>
      <c r="F2862" s="1" t="str">
        <f t="array" ref="F2862">_xlfn.XLOOKUP(A2862,Product!A:A,Product!C:C,"Bulunamadı")</f>
        <v>Sports Nutrition</v>
      </c>
      <c r="G2862" s="2" t="str">
        <f t="array" ref="G2862">_xlfn.XLOOKUP(A2863,Product!A:A,Product!D:D,"Bulunamadı")</f>
        <v>Silverhill Press</v>
      </c>
      <c r="H2862" s="2">
        <f t="array" ref="H2862">_xlfn.XLOOKUP(A2864,Product!A:A,Product!E:E,"Bulunamadı")</f>
        <v>2.56</v>
      </c>
      <c r="I2862" s="2" t="str">
        <f t="shared" si="1"/>
        <v>188845 - Law - Sports Nutrition</v>
      </c>
      <c r="J2862" s="2">
        <f t="shared" si="2"/>
        <v>314.88</v>
      </c>
      <c r="K2862" s="17">
        <f t="shared" si="3"/>
        <v>1</v>
      </c>
      <c r="L2862" s="18"/>
    </row>
    <row r="2863" hidden="1">
      <c r="A2863" s="2">
        <f>IFERROR(__xludf.DUMMYFUNCTION("""COMPUTED_VALUE"""),117787.0)</f>
        <v>117787</v>
      </c>
      <c r="B2863" s="2">
        <f>IFERROR(__xludf.DUMMYFUNCTION("""COMPUTED_VALUE"""),0.0)</f>
        <v>0</v>
      </c>
      <c r="C2863" s="2">
        <f>IFERROR(__xludf.DUMMYFUNCTION("""COMPUTED_VALUE"""),109.0)</f>
        <v>109</v>
      </c>
      <c r="D2863" s="3">
        <f>IFERROR(__xludf.DUMMYFUNCTION("""COMPUTED_VALUE"""),100.0)</f>
        <v>100</v>
      </c>
      <c r="E2863" s="1" t="str">
        <f t="array" ref="E2863">_xlfn.XLOOKUP(A2863,Product!A:A,Product!B:B,"Bulunamadı")</f>
        <v>Law</v>
      </c>
      <c r="F2863" s="1" t="str">
        <f t="array" ref="F2863">_xlfn.XLOOKUP(A2863,Product!A:A,Product!C:C,"Bulunamadı")</f>
        <v>Sports Nutrition</v>
      </c>
      <c r="G2863" s="2" t="str">
        <f t="array" ref="G2863">_xlfn.XLOOKUP(A2864,Product!A:A,Product!D:D,"Bulunamadı")</f>
        <v>Silverhill Press</v>
      </c>
      <c r="H2863" s="2">
        <f t="array" ref="H2863">_xlfn.XLOOKUP(A2865,Product!A:A,Product!E:E,"Bulunamadı")</f>
        <v>2.46</v>
      </c>
      <c r="I2863" s="2" t="str">
        <f t="shared" si="1"/>
        <v>117787 - Law - Sports Nutrition</v>
      </c>
      <c r="J2863" s="2">
        <f t="shared" si="2"/>
        <v>246</v>
      </c>
      <c r="K2863" s="17">
        <f t="shared" si="3"/>
        <v>1</v>
      </c>
      <c r="L2863" s="18"/>
    </row>
    <row r="2864" hidden="1">
      <c r="A2864" s="2">
        <f>IFERROR(__xludf.DUMMYFUNCTION("""COMPUTED_VALUE"""),119986.0)</f>
        <v>119986</v>
      </c>
      <c r="B2864" s="2">
        <f>IFERROR(__xludf.DUMMYFUNCTION("""COMPUTED_VALUE"""),1.0)</f>
        <v>1</v>
      </c>
      <c r="C2864" s="2">
        <f>IFERROR(__xludf.DUMMYFUNCTION("""COMPUTED_VALUE"""),767.0)</f>
        <v>767</v>
      </c>
      <c r="D2864" s="3">
        <f>IFERROR(__xludf.DUMMYFUNCTION("""COMPUTED_VALUE"""),650.0)</f>
        <v>650</v>
      </c>
      <c r="E2864" s="1" t="str">
        <f t="array" ref="E2864">_xlfn.XLOOKUP(A2864,Product!A:A,Product!B:B,"Bulunamadı")</f>
        <v>Law</v>
      </c>
      <c r="F2864" s="1" t="str">
        <f t="array" ref="F2864">_xlfn.XLOOKUP(A2864,Product!A:A,Product!C:C,"Bulunamadı")</f>
        <v>Sports Nutrition</v>
      </c>
      <c r="G2864" s="2" t="str">
        <f t="array" ref="G2864">_xlfn.XLOOKUP(A2865,Product!A:A,Product!D:D,"Bulunamadı")</f>
        <v>Silverhill Press</v>
      </c>
      <c r="H2864" s="2">
        <f t="array" ref="H2864">_xlfn.XLOOKUP(A2866,Product!A:A,Product!E:E,"Bulunamadı")</f>
        <v>0.88</v>
      </c>
      <c r="I2864" s="2" t="str">
        <f t="shared" si="1"/>
        <v>119986 - Law - Sports Nutrition</v>
      </c>
      <c r="J2864" s="2">
        <f t="shared" si="2"/>
        <v>572</v>
      </c>
      <c r="K2864" s="17">
        <f t="shared" si="3"/>
        <v>1</v>
      </c>
      <c r="L2864" s="18"/>
    </row>
    <row r="2865" hidden="1">
      <c r="A2865" s="2">
        <f>IFERROR(__xludf.DUMMYFUNCTION("""COMPUTED_VALUE"""),188841.0)</f>
        <v>188841</v>
      </c>
      <c r="B2865" s="2">
        <f>IFERROR(__xludf.DUMMYFUNCTION("""COMPUTED_VALUE"""),1.0)</f>
        <v>1</v>
      </c>
      <c r="C2865" s="2">
        <f>IFERROR(__xludf.DUMMYFUNCTION("""COMPUTED_VALUE"""),169.0)</f>
        <v>169</v>
      </c>
      <c r="D2865" s="3">
        <f>IFERROR(__xludf.DUMMYFUNCTION("""COMPUTED_VALUE"""),44.0)</f>
        <v>44</v>
      </c>
      <c r="E2865" s="1" t="str">
        <f t="array" ref="E2865">_xlfn.XLOOKUP(A2865,Product!A:A,Product!B:B,"Bulunamadı")</f>
        <v>Law</v>
      </c>
      <c r="F2865" s="1" t="str">
        <f t="array" ref="F2865">_xlfn.XLOOKUP(A2865,Product!A:A,Product!C:C,"Bulunamadı")</f>
        <v>Sports Nutrition</v>
      </c>
      <c r="G2865" s="2" t="str">
        <f t="array" ref="G2865">_xlfn.XLOOKUP(A2866,Product!A:A,Product!D:D,"Bulunamadı")</f>
        <v>Silverhill Press</v>
      </c>
      <c r="H2865" s="2">
        <f t="array" ref="H2865">_xlfn.XLOOKUP(A2867,Product!A:A,Product!E:E,"Bulunamadı")</f>
        <v>2.44</v>
      </c>
      <c r="I2865" s="2" t="str">
        <f t="shared" si="1"/>
        <v>188841 - Law - Sports Nutrition</v>
      </c>
      <c r="J2865" s="2">
        <f t="shared" si="2"/>
        <v>107.36</v>
      </c>
      <c r="K2865" s="17">
        <f t="shared" si="3"/>
        <v>1</v>
      </c>
      <c r="L2865" s="18"/>
    </row>
    <row r="2866" hidden="1">
      <c r="A2866" s="2">
        <f>IFERROR(__xludf.DUMMYFUNCTION("""COMPUTED_VALUE"""),99348.0)</f>
        <v>99348</v>
      </c>
      <c r="B2866" s="2">
        <f>IFERROR(__xludf.DUMMYFUNCTION("""COMPUTED_VALUE"""),1.0)</f>
        <v>1</v>
      </c>
      <c r="C2866" s="2">
        <f>IFERROR(__xludf.DUMMYFUNCTION("""COMPUTED_VALUE"""),0.0)</f>
        <v>0</v>
      </c>
      <c r="D2866" s="3">
        <f>IFERROR(__xludf.DUMMYFUNCTION("""COMPUTED_VALUE"""),0.0)</f>
        <v>0</v>
      </c>
      <c r="E2866" s="1" t="str">
        <f t="array" ref="E2866">_xlfn.XLOOKUP(A2866,Product!A:A,Product!B:B,"Bulunamadı")</f>
        <v>Law</v>
      </c>
      <c r="F2866" s="1" t="str">
        <f t="array" ref="F2866">_xlfn.XLOOKUP(A2866,Product!A:A,Product!C:C,"Bulunamadı")</f>
        <v>Sports Nutrition</v>
      </c>
      <c r="G2866" s="2" t="str">
        <f t="array" ref="G2866">_xlfn.XLOOKUP(A2867,Product!A:A,Product!D:D,"Bulunamadı")</f>
        <v>Silverhill Press</v>
      </c>
      <c r="H2866" s="2">
        <f t="array" ref="H2866">_xlfn.XLOOKUP(A2868,Product!A:A,Product!E:E,"Bulunamadı")</f>
        <v>1.57</v>
      </c>
      <c r="I2866" s="2" t="str">
        <f t="shared" si="1"/>
        <v>99348 - Law - Sports Nutrition</v>
      </c>
      <c r="J2866" s="2">
        <f t="shared" si="2"/>
        <v>0</v>
      </c>
      <c r="K2866" s="17">
        <f t="shared" si="3"/>
        <v>0</v>
      </c>
      <c r="L2866" s="18"/>
    </row>
    <row r="2867" hidden="1">
      <c r="A2867" s="2">
        <f>IFERROR(__xludf.DUMMYFUNCTION("""COMPUTED_VALUE"""),78978.0)</f>
        <v>78978</v>
      </c>
      <c r="B2867" s="2">
        <f>IFERROR(__xludf.DUMMYFUNCTION("""COMPUTED_VALUE"""),0.0)</f>
        <v>0</v>
      </c>
      <c r="C2867" s="2">
        <f>IFERROR(__xludf.DUMMYFUNCTION("""COMPUTED_VALUE"""),221.0)</f>
        <v>221</v>
      </c>
      <c r="D2867" s="3">
        <f>IFERROR(__xludf.DUMMYFUNCTION("""COMPUTED_VALUE"""),194.0)</f>
        <v>194</v>
      </c>
      <c r="E2867" s="1" t="str">
        <f t="array" ref="E2867">_xlfn.XLOOKUP(A2867,Product!A:A,Product!B:B,"Bulunamadı")</f>
        <v>Law</v>
      </c>
      <c r="F2867" s="1" t="str">
        <f t="array" ref="F2867">_xlfn.XLOOKUP(A2867,Product!A:A,Product!C:C,"Bulunamadı")</f>
        <v>Sports Nutrition</v>
      </c>
      <c r="G2867" s="2" t="str">
        <f t="array" ref="G2867">_xlfn.XLOOKUP(A2868,Product!A:A,Product!D:D,"Bulunamadı")</f>
        <v>Silverhill Press</v>
      </c>
      <c r="H2867" s="2">
        <f t="array" ref="H2867">_xlfn.XLOOKUP(A2869,Product!A:A,Product!E:E,"Bulunamadı")</f>
        <v>1.33</v>
      </c>
      <c r="I2867" s="2" t="str">
        <f t="shared" si="1"/>
        <v>78978 - Law - Sports Nutrition</v>
      </c>
      <c r="J2867" s="2">
        <f t="shared" si="2"/>
        <v>258.02</v>
      </c>
      <c r="K2867" s="17">
        <f t="shared" si="3"/>
        <v>1</v>
      </c>
      <c r="L2867" s="18"/>
    </row>
    <row r="2868" hidden="1">
      <c r="A2868" s="2">
        <f>IFERROR(__xludf.DUMMYFUNCTION("""COMPUTED_VALUE"""),120556.0)</f>
        <v>120556</v>
      </c>
      <c r="B2868" s="2">
        <f>IFERROR(__xludf.DUMMYFUNCTION("""COMPUTED_VALUE"""),1.0)</f>
        <v>1</v>
      </c>
      <c r="C2868" s="2">
        <f>IFERROR(__xludf.DUMMYFUNCTION("""COMPUTED_VALUE"""),348.0)</f>
        <v>348</v>
      </c>
      <c r="D2868" s="3">
        <f>IFERROR(__xludf.DUMMYFUNCTION("""COMPUTED_VALUE"""),308.0)</f>
        <v>308</v>
      </c>
      <c r="E2868" s="1" t="str">
        <f t="array" ref="E2868">_xlfn.XLOOKUP(A2868,Product!A:A,Product!B:B,"Bulunamadı")</f>
        <v>Law</v>
      </c>
      <c r="F2868" s="1" t="str">
        <f t="array" ref="F2868">_xlfn.XLOOKUP(A2868,Product!A:A,Product!C:C,"Bulunamadı")</f>
        <v>Sports Nutrition</v>
      </c>
      <c r="G2868" s="2" t="str">
        <f t="array" ref="G2868">_xlfn.XLOOKUP(A2869,Product!A:A,Product!D:D,"Bulunamadı")</f>
        <v>Silverhill Press</v>
      </c>
      <c r="H2868" s="2">
        <f t="array" ref="H2868">_xlfn.XLOOKUP(A2870,Product!A:A,Product!E:E,"Bulunamadı")</f>
        <v>4.42</v>
      </c>
      <c r="I2868" s="2" t="str">
        <f t="shared" si="1"/>
        <v>120556 - Law - Sports Nutrition</v>
      </c>
      <c r="J2868" s="2">
        <f t="shared" si="2"/>
        <v>1361.36</v>
      </c>
      <c r="K2868" s="17">
        <f t="shared" si="3"/>
        <v>1</v>
      </c>
      <c r="L2868" s="18"/>
    </row>
    <row r="2869" hidden="1">
      <c r="A2869" s="2">
        <f>IFERROR(__xludf.DUMMYFUNCTION("""COMPUTED_VALUE"""),80254.0)</f>
        <v>80254</v>
      </c>
      <c r="B2869" s="2">
        <f>IFERROR(__xludf.DUMMYFUNCTION("""COMPUTED_VALUE"""),0.0)</f>
        <v>0</v>
      </c>
      <c r="C2869" s="2">
        <f>IFERROR(__xludf.DUMMYFUNCTION("""COMPUTED_VALUE"""),302.0)</f>
        <v>302</v>
      </c>
      <c r="D2869" s="3">
        <f>IFERROR(__xludf.DUMMYFUNCTION("""COMPUTED_VALUE"""),121.0)</f>
        <v>121</v>
      </c>
      <c r="E2869" s="1" t="str">
        <f t="array" ref="E2869">_xlfn.XLOOKUP(A2869,Product!A:A,Product!B:B,"Bulunamadı")</f>
        <v>Law</v>
      </c>
      <c r="F2869" s="1" t="str">
        <f t="array" ref="F2869">_xlfn.XLOOKUP(A2869,Product!A:A,Product!C:C,"Bulunamadı")</f>
        <v>Sports Nutrition</v>
      </c>
      <c r="G2869" s="2" t="str">
        <f t="array" ref="G2869">_xlfn.XLOOKUP(A2870,Product!A:A,Product!D:D,"Bulunamadı")</f>
        <v>Northhill Publishing</v>
      </c>
      <c r="H2869" s="2">
        <f t="array" ref="H2869">_xlfn.XLOOKUP(A2871,Product!A:A,Product!E:E,"Bulunamadı")</f>
        <v>3</v>
      </c>
      <c r="I2869" s="2" t="str">
        <f t="shared" si="1"/>
        <v>80254 - Law - Sports Nutrition</v>
      </c>
      <c r="J2869" s="2">
        <f t="shared" si="2"/>
        <v>363</v>
      </c>
      <c r="K2869" s="17">
        <f t="shared" si="3"/>
        <v>1</v>
      </c>
      <c r="L2869" s="18"/>
    </row>
    <row r="2870">
      <c r="A2870" s="2">
        <f>IFERROR(__xludf.DUMMYFUNCTION("""COMPUTED_VALUE"""),121911.0)</f>
        <v>121911</v>
      </c>
      <c r="B2870" s="2">
        <f>IFERROR(__xludf.DUMMYFUNCTION("""COMPUTED_VALUE"""),1.0)</f>
        <v>1</v>
      </c>
      <c r="C2870" s="2">
        <f>IFERROR(__xludf.DUMMYFUNCTION("""COMPUTED_VALUE"""),324.0)</f>
        <v>324</v>
      </c>
      <c r="D2870" s="3">
        <f>IFERROR(__xludf.DUMMYFUNCTION("""COMPUTED_VALUE"""),109.0)</f>
        <v>109</v>
      </c>
      <c r="E2870" s="1" t="str">
        <f t="array" ref="E2870">_xlfn.XLOOKUP(A2870,Product!A:A,Product!B:B,"Bulunamadı")</f>
        <v>Arts</v>
      </c>
      <c r="F2870" s="1" t="str">
        <f t="array" ref="F2870">_xlfn.XLOOKUP(A2870,Product!A:A,Product!C:C,"Bulunamadı")</f>
        <v>Extreme Sports</v>
      </c>
      <c r="G2870" s="2" t="str">
        <f t="array" ref="G2870">_xlfn.XLOOKUP(A2871,Product!A:A,Product!D:D,"Bulunamadı")</f>
        <v>Northhill Publishing</v>
      </c>
      <c r="H2870" s="2">
        <f t="array" ref="H2870">_xlfn.XLOOKUP(A2872,Product!A:A,Product!E:E,"Bulunamadı")</f>
        <v>2.85</v>
      </c>
      <c r="I2870" s="2" t="str">
        <f t="shared" si="1"/>
        <v>121911 - Arts - Extreme Sports</v>
      </c>
      <c r="J2870" s="2">
        <f t="shared" si="2"/>
        <v>310.65</v>
      </c>
      <c r="K2870" s="17">
        <f t="shared" si="3"/>
        <v>1</v>
      </c>
      <c r="L2870" s="18"/>
    </row>
    <row r="2871">
      <c r="A2871" s="2">
        <f>IFERROR(__xludf.DUMMYFUNCTION("""COMPUTED_VALUE"""),120328.0)</f>
        <v>120328</v>
      </c>
      <c r="B2871" s="2">
        <f>IFERROR(__xludf.DUMMYFUNCTION("""COMPUTED_VALUE"""),1.0)</f>
        <v>1</v>
      </c>
      <c r="C2871" s="2">
        <f>IFERROR(__xludf.DUMMYFUNCTION("""COMPUTED_VALUE"""),783.0)</f>
        <v>783</v>
      </c>
      <c r="D2871" s="3">
        <f>IFERROR(__xludf.DUMMYFUNCTION("""COMPUTED_VALUE"""),768.0)</f>
        <v>768</v>
      </c>
      <c r="E2871" s="1" t="str">
        <f t="array" ref="E2871">_xlfn.XLOOKUP(A2871,Product!A:A,Product!B:B,"Bulunamadı")</f>
        <v>Arts</v>
      </c>
      <c r="F2871" s="1" t="str">
        <f t="array" ref="F2871">_xlfn.XLOOKUP(A2871,Product!A:A,Product!C:C,"Bulunamadı")</f>
        <v>Extreme Sports</v>
      </c>
      <c r="G2871" s="2" t="str">
        <f t="array" ref="G2871">_xlfn.XLOOKUP(A2872,Product!A:A,Product!D:D,"Bulunamadı")</f>
        <v>Northhill Publishing</v>
      </c>
      <c r="H2871" s="2">
        <f t="array" ref="H2871">_xlfn.XLOOKUP(A2873,Product!A:A,Product!E:E,"Bulunamadı")</f>
        <v>3.13</v>
      </c>
      <c r="I2871" s="2" t="str">
        <f t="shared" si="1"/>
        <v>120328 - Arts - Extreme Sports</v>
      </c>
      <c r="J2871" s="2">
        <f t="shared" si="2"/>
        <v>2403.84</v>
      </c>
      <c r="K2871" s="17">
        <f t="shared" si="3"/>
        <v>1</v>
      </c>
      <c r="L2871" s="18"/>
    </row>
    <row r="2872">
      <c r="A2872" s="2">
        <f>IFERROR(__xludf.DUMMYFUNCTION("""COMPUTED_VALUE"""),122702.0)</f>
        <v>122702</v>
      </c>
      <c r="B2872" s="2">
        <f>IFERROR(__xludf.DUMMYFUNCTION("""COMPUTED_VALUE"""),0.0)</f>
        <v>0</v>
      </c>
      <c r="C2872" s="2">
        <f>IFERROR(__xludf.DUMMYFUNCTION("""COMPUTED_VALUE"""),276.0)</f>
        <v>276</v>
      </c>
      <c r="D2872" s="3">
        <f>IFERROR(__xludf.DUMMYFUNCTION("""COMPUTED_VALUE"""),224.0)</f>
        <v>224</v>
      </c>
      <c r="E2872" s="1" t="str">
        <f t="array" ref="E2872">_xlfn.XLOOKUP(A2872,Product!A:A,Product!B:B,"Bulunamadı")</f>
        <v>Arts</v>
      </c>
      <c r="F2872" s="1" t="str">
        <f t="array" ref="F2872">_xlfn.XLOOKUP(A2872,Product!A:A,Product!C:C,"Bulunamadı")</f>
        <v>Extreme Sports</v>
      </c>
      <c r="G2872" s="2" t="str">
        <f t="array" ref="G2872">_xlfn.XLOOKUP(A2873,Product!A:A,Product!D:D,"Bulunamadı")</f>
        <v>Northhill Publishing</v>
      </c>
      <c r="H2872" s="2">
        <f t="array" ref="H2872">_xlfn.XLOOKUP(A2874,Product!A:A,Product!E:E,"Bulunamadı")</f>
        <v>3.74</v>
      </c>
      <c r="I2872" s="2" t="str">
        <f t="shared" si="1"/>
        <v>122702 - Arts - Extreme Sports</v>
      </c>
      <c r="J2872" s="2">
        <f t="shared" si="2"/>
        <v>837.76</v>
      </c>
      <c r="K2872" s="17">
        <f t="shared" si="3"/>
        <v>1</v>
      </c>
      <c r="L2872" s="18"/>
    </row>
    <row r="2873">
      <c r="A2873" s="2">
        <f>IFERROR(__xludf.DUMMYFUNCTION("""COMPUTED_VALUE"""),92542.0)</f>
        <v>92542</v>
      </c>
      <c r="B2873" s="2">
        <f>IFERROR(__xludf.DUMMYFUNCTION("""COMPUTED_VALUE"""),0.0)</f>
        <v>0</v>
      </c>
      <c r="C2873" s="2">
        <f>IFERROR(__xludf.DUMMYFUNCTION("""COMPUTED_VALUE"""),248.0)</f>
        <v>248</v>
      </c>
      <c r="D2873" s="3">
        <f>IFERROR(__xludf.DUMMYFUNCTION("""COMPUTED_VALUE"""),44.0)</f>
        <v>44</v>
      </c>
      <c r="E2873" s="1" t="str">
        <f t="array" ref="E2873">_xlfn.XLOOKUP(A2873,Product!A:A,Product!B:B,"Bulunamadı")</f>
        <v>Arts</v>
      </c>
      <c r="F2873" s="1" t="str">
        <f t="array" ref="F2873">_xlfn.XLOOKUP(A2873,Product!A:A,Product!C:C,"Bulunamadı")</f>
        <v>Extreme Sports</v>
      </c>
      <c r="G2873" s="2" t="str">
        <f t="array" ref="G2873">_xlfn.XLOOKUP(A2874,Product!A:A,Product!D:D,"Bulunamadı")</f>
        <v>Northhill Publishing</v>
      </c>
      <c r="H2873" s="2">
        <f t="array" ref="H2873">_xlfn.XLOOKUP(A2875,Product!A:A,Product!E:E,"Bulunamadı")</f>
        <v>4.6</v>
      </c>
      <c r="I2873" s="2" t="str">
        <f t="shared" si="1"/>
        <v>92542 - Arts - Extreme Sports</v>
      </c>
      <c r="J2873" s="2">
        <f t="shared" si="2"/>
        <v>202.4</v>
      </c>
      <c r="K2873" s="17">
        <f t="shared" si="3"/>
        <v>1</v>
      </c>
      <c r="L2873" s="18"/>
    </row>
    <row r="2874">
      <c r="A2874" s="2">
        <f>IFERROR(__xludf.DUMMYFUNCTION("""COMPUTED_VALUE"""),15423.0)</f>
        <v>15423</v>
      </c>
      <c r="B2874" s="2">
        <f>IFERROR(__xludf.DUMMYFUNCTION("""COMPUTED_VALUE"""),1.0)</f>
        <v>1</v>
      </c>
      <c r="C2874" s="2">
        <f>IFERROR(__xludf.DUMMYFUNCTION("""COMPUTED_VALUE"""),862.0)</f>
        <v>862</v>
      </c>
      <c r="D2874" s="3">
        <f>IFERROR(__xludf.DUMMYFUNCTION("""COMPUTED_VALUE"""),390.0)</f>
        <v>390</v>
      </c>
      <c r="E2874" s="1" t="str">
        <f t="array" ref="E2874">_xlfn.XLOOKUP(A2874,Product!A:A,Product!B:B,"Bulunamadı")</f>
        <v>Arts</v>
      </c>
      <c r="F2874" s="1" t="str">
        <f t="array" ref="F2874">_xlfn.XLOOKUP(A2874,Product!A:A,Product!C:C,"Bulunamadı")</f>
        <v>Extreme Sports</v>
      </c>
      <c r="G2874" s="2" t="str">
        <f t="array" ref="G2874">_xlfn.XLOOKUP(A2875,Product!A:A,Product!D:D,"Bulunamadı")</f>
        <v>Northhill Publishing</v>
      </c>
      <c r="H2874" s="2">
        <f t="array" ref="H2874">_xlfn.XLOOKUP(A2876,Product!A:A,Product!E:E,"Bulunamadı")</f>
        <v>3.17</v>
      </c>
      <c r="I2874" s="2" t="str">
        <f t="shared" si="1"/>
        <v>15423 - Arts - Extreme Sports</v>
      </c>
      <c r="J2874" s="2">
        <f t="shared" si="2"/>
        <v>1236.3</v>
      </c>
      <c r="K2874" s="17">
        <f t="shared" si="3"/>
        <v>1</v>
      </c>
      <c r="L2874" s="18"/>
    </row>
    <row r="2875">
      <c r="A2875" s="2">
        <f>IFERROR(__xludf.DUMMYFUNCTION("""COMPUTED_VALUE"""),111797.0)</f>
        <v>111797</v>
      </c>
      <c r="B2875" s="2">
        <f>IFERROR(__xludf.DUMMYFUNCTION("""COMPUTED_VALUE"""),1.0)</f>
        <v>1</v>
      </c>
      <c r="C2875" s="2">
        <f>IFERROR(__xludf.DUMMYFUNCTION("""COMPUTED_VALUE"""),37.0)</f>
        <v>37</v>
      </c>
      <c r="D2875" s="3">
        <f>IFERROR(__xludf.DUMMYFUNCTION("""COMPUTED_VALUE"""),37.0)</f>
        <v>37</v>
      </c>
      <c r="E2875" s="1" t="str">
        <f t="array" ref="E2875">_xlfn.XLOOKUP(A2875,Product!A:A,Product!B:B,"Bulunamadı")</f>
        <v>Arts</v>
      </c>
      <c r="F2875" s="1" t="str">
        <f t="array" ref="F2875">_xlfn.XLOOKUP(A2875,Product!A:A,Product!C:C,"Bulunamadı")</f>
        <v>Extreme Sports</v>
      </c>
      <c r="G2875" s="2" t="str">
        <f t="array" ref="G2875">_xlfn.XLOOKUP(A2876,Product!A:A,Product!D:D,"Bulunamadı")</f>
        <v>Northhill Publishing</v>
      </c>
      <c r="H2875" s="2">
        <f t="array" ref="H2875">_xlfn.XLOOKUP(A2877,Product!A:A,Product!E:E,"Bulunamadı")</f>
        <v>2.44</v>
      </c>
      <c r="I2875" s="2" t="str">
        <f t="shared" si="1"/>
        <v>111797 - Arts - Extreme Sports</v>
      </c>
      <c r="J2875" s="2">
        <f t="shared" si="2"/>
        <v>90.28</v>
      </c>
      <c r="K2875" s="17">
        <f t="shared" si="3"/>
        <v>1</v>
      </c>
      <c r="L2875" s="18"/>
    </row>
    <row r="2876">
      <c r="A2876" s="2">
        <f>IFERROR(__xludf.DUMMYFUNCTION("""COMPUTED_VALUE"""),112626.0)</f>
        <v>112626</v>
      </c>
      <c r="B2876" s="2">
        <f>IFERROR(__xludf.DUMMYFUNCTION("""COMPUTED_VALUE"""),1.0)</f>
        <v>1</v>
      </c>
      <c r="C2876" s="2">
        <f>IFERROR(__xludf.DUMMYFUNCTION("""COMPUTED_VALUE"""),496.0)</f>
        <v>496</v>
      </c>
      <c r="D2876" s="3">
        <f>IFERROR(__xludf.DUMMYFUNCTION("""COMPUTED_VALUE"""),54.0)</f>
        <v>54</v>
      </c>
      <c r="E2876" s="1" t="str">
        <f t="array" ref="E2876">_xlfn.XLOOKUP(A2876,Product!A:A,Product!B:B,"Bulunamadı")</f>
        <v>Arts</v>
      </c>
      <c r="F2876" s="1" t="str">
        <f t="array" ref="F2876">_xlfn.XLOOKUP(A2876,Product!A:A,Product!C:C,"Bulunamadı")</f>
        <v>Extreme Sports</v>
      </c>
      <c r="G2876" s="2" t="str">
        <f t="array" ref="G2876">_xlfn.XLOOKUP(A2877,Product!A:A,Product!D:D,"Bulunamadı")</f>
        <v>Northhill Publishing</v>
      </c>
      <c r="H2876" s="2">
        <f t="array" ref="H2876">_xlfn.XLOOKUP(A2878,Product!A:A,Product!E:E,"Bulunamadı")</f>
        <v>2.97</v>
      </c>
      <c r="I2876" s="2" t="str">
        <f t="shared" si="1"/>
        <v>112626 - Arts - Extreme Sports</v>
      </c>
      <c r="J2876" s="2">
        <f t="shared" si="2"/>
        <v>160.38</v>
      </c>
      <c r="K2876" s="17">
        <f t="shared" si="3"/>
        <v>1</v>
      </c>
      <c r="L2876" s="18"/>
    </row>
    <row r="2877">
      <c r="A2877" s="2">
        <f>IFERROR(__xludf.DUMMYFUNCTION("""COMPUTED_VALUE"""),12925.0)</f>
        <v>12925</v>
      </c>
      <c r="B2877" s="2">
        <f>IFERROR(__xludf.DUMMYFUNCTION("""COMPUTED_VALUE"""),1.0)</f>
        <v>1</v>
      </c>
      <c r="C2877" s="2">
        <f>IFERROR(__xludf.DUMMYFUNCTION("""COMPUTED_VALUE"""),586.0)</f>
        <v>586</v>
      </c>
      <c r="D2877" s="3">
        <f>IFERROR(__xludf.DUMMYFUNCTION("""COMPUTED_VALUE"""),23.0)</f>
        <v>23</v>
      </c>
      <c r="E2877" s="1" t="str">
        <f t="array" ref="E2877">_xlfn.XLOOKUP(A2877,Product!A:A,Product!B:B,"Bulunamadı")</f>
        <v>Arts</v>
      </c>
      <c r="F2877" s="1" t="str">
        <f t="array" ref="F2877">_xlfn.XLOOKUP(A2877,Product!A:A,Product!C:C,"Bulunamadı")</f>
        <v>Extreme Sports</v>
      </c>
      <c r="G2877" s="2" t="str">
        <f t="array" ref="G2877">_xlfn.XLOOKUP(A2878,Product!A:A,Product!D:D,"Bulunamadı")</f>
        <v>Northhill Publishing</v>
      </c>
      <c r="H2877" s="2">
        <f t="array" ref="H2877">_xlfn.XLOOKUP(A2879,Product!A:A,Product!E:E,"Bulunamadı")</f>
        <v>3.15</v>
      </c>
      <c r="I2877" s="2" t="str">
        <f t="shared" si="1"/>
        <v>12925 - Arts - Extreme Sports</v>
      </c>
      <c r="J2877" s="2">
        <f t="shared" si="2"/>
        <v>72.45</v>
      </c>
      <c r="K2877" s="17">
        <f t="shared" si="3"/>
        <v>1</v>
      </c>
      <c r="L2877" s="18"/>
    </row>
    <row r="2878">
      <c r="A2878" s="2">
        <f>IFERROR(__xludf.DUMMYFUNCTION("""COMPUTED_VALUE"""),107034.0)</f>
        <v>107034</v>
      </c>
      <c r="B2878" s="2">
        <f>IFERROR(__xludf.DUMMYFUNCTION("""COMPUTED_VALUE"""),0.0)</f>
        <v>0</v>
      </c>
      <c r="C2878" s="2">
        <f>IFERROR(__xludf.DUMMYFUNCTION("""COMPUTED_VALUE"""),804.0)</f>
        <v>804</v>
      </c>
      <c r="D2878" s="3">
        <f>IFERROR(__xludf.DUMMYFUNCTION("""COMPUTED_VALUE"""),15.0)</f>
        <v>15</v>
      </c>
      <c r="E2878" s="1" t="str">
        <f t="array" ref="E2878">_xlfn.XLOOKUP(A2878,Product!A:A,Product!B:B,"Bulunamadı")</f>
        <v>Arts</v>
      </c>
      <c r="F2878" s="1" t="str">
        <f t="array" ref="F2878">_xlfn.XLOOKUP(A2878,Product!A:A,Product!C:C,"Bulunamadı")</f>
        <v>Extreme Sports</v>
      </c>
      <c r="G2878" s="2" t="str">
        <f t="array" ref="G2878">_xlfn.XLOOKUP(A2879,Product!A:A,Product!D:D,"Bulunamadı")</f>
        <v>Northhill Publishing</v>
      </c>
      <c r="H2878" s="2">
        <f t="array" ref="H2878">_xlfn.XLOOKUP(A2880,Product!A:A,Product!E:E,"Bulunamadı")</f>
        <v>1.76</v>
      </c>
      <c r="I2878" s="2" t="str">
        <f t="shared" si="1"/>
        <v>107034 - Arts - Extreme Sports</v>
      </c>
      <c r="J2878" s="2">
        <f t="shared" si="2"/>
        <v>26.4</v>
      </c>
      <c r="K2878" s="17">
        <f t="shared" si="3"/>
        <v>1</v>
      </c>
      <c r="L2878" s="18"/>
    </row>
    <row r="2879">
      <c r="A2879" s="2">
        <f>IFERROR(__xludf.DUMMYFUNCTION("""COMPUTED_VALUE"""),88319.0)</f>
        <v>88319</v>
      </c>
      <c r="B2879" s="2">
        <f>IFERROR(__xludf.DUMMYFUNCTION("""COMPUTED_VALUE"""),1.0)</f>
        <v>1</v>
      </c>
      <c r="C2879" s="2">
        <f>IFERROR(__xludf.DUMMYFUNCTION("""COMPUTED_VALUE"""),555.0)</f>
        <v>555</v>
      </c>
      <c r="D2879" s="3">
        <f>IFERROR(__xludf.DUMMYFUNCTION("""COMPUTED_VALUE"""),286.0)</f>
        <v>286</v>
      </c>
      <c r="E2879" s="1" t="str">
        <f t="array" ref="E2879">_xlfn.XLOOKUP(A2879,Product!A:A,Product!B:B,"Bulunamadı")</f>
        <v>Arts</v>
      </c>
      <c r="F2879" s="1" t="str">
        <f t="array" ref="F2879">_xlfn.XLOOKUP(A2879,Product!A:A,Product!C:C,"Bulunamadı")</f>
        <v>Extreme Sports</v>
      </c>
      <c r="G2879" s="2" t="str">
        <f t="array" ref="G2879">_xlfn.XLOOKUP(A2880,Product!A:A,Product!D:D,"Bulunamadı")</f>
        <v>Northhill Publishing</v>
      </c>
      <c r="H2879" s="2">
        <f t="array" ref="H2879">_xlfn.XLOOKUP(A2881,Product!A:A,Product!E:E,"Bulunamadı")</f>
        <v>5.12</v>
      </c>
      <c r="I2879" s="2" t="str">
        <f t="shared" si="1"/>
        <v>88319 - Arts - Extreme Sports</v>
      </c>
      <c r="J2879" s="2">
        <f t="shared" si="2"/>
        <v>1464.32</v>
      </c>
      <c r="K2879" s="17">
        <f t="shared" si="3"/>
        <v>1</v>
      </c>
      <c r="L2879" s="18"/>
    </row>
    <row r="2880">
      <c r="A2880" s="2">
        <f>IFERROR(__xludf.DUMMYFUNCTION("""COMPUTED_VALUE"""),3453.0)</f>
        <v>3453</v>
      </c>
      <c r="B2880" s="2">
        <f>IFERROR(__xludf.DUMMYFUNCTION("""COMPUTED_VALUE"""),1.0)</f>
        <v>1</v>
      </c>
      <c r="C2880" s="2">
        <f>IFERROR(__xludf.DUMMYFUNCTION("""COMPUTED_VALUE"""),432.0)</f>
        <v>432</v>
      </c>
      <c r="D2880" s="3">
        <f>IFERROR(__xludf.DUMMYFUNCTION("""COMPUTED_VALUE"""),25.0)</f>
        <v>25</v>
      </c>
      <c r="E2880" s="1" t="str">
        <f t="array" ref="E2880">_xlfn.XLOOKUP(A2880,Product!A:A,Product!B:B,"Bulunamadı")</f>
        <v>Arts</v>
      </c>
      <c r="F2880" s="1" t="str">
        <f t="array" ref="F2880">_xlfn.XLOOKUP(A2880,Product!A:A,Product!C:C,"Bulunamadı")</f>
        <v>Extreme Sports</v>
      </c>
      <c r="G2880" s="2" t="str">
        <f t="array" ref="G2880">_xlfn.XLOOKUP(A2881,Product!A:A,Product!D:D,"Bulunamadı")</f>
        <v>Harborhill Books</v>
      </c>
      <c r="H2880" s="2">
        <f t="array" ref="H2880">_xlfn.XLOOKUP(A2882,Product!A:A,Product!E:E,"Bulunamadı")</f>
        <v>5.35</v>
      </c>
      <c r="I2880" s="2" t="str">
        <f t="shared" si="1"/>
        <v>3453 - Arts - Extreme Sports</v>
      </c>
      <c r="J2880" s="2">
        <f t="shared" si="2"/>
        <v>133.75</v>
      </c>
      <c r="K2880" s="17">
        <f t="shared" si="3"/>
        <v>1</v>
      </c>
      <c r="L2880" s="18"/>
    </row>
    <row r="2881">
      <c r="A2881" s="2">
        <f>IFERROR(__xludf.DUMMYFUNCTION("""COMPUTED_VALUE"""),121425.0)</f>
        <v>121425</v>
      </c>
      <c r="B2881" s="2">
        <f>IFERROR(__xludf.DUMMYFUNCTION("""COMPUTED_VALUE"""),0.0)</f>
        <v>0</v>
      </c>
      <c r="C2881" s="2">
        <f>IFERROR(__xludf.DUMMYFUNCTION("""COMPUTED_VALUE"""),384.0)</f>
        <v>384</v>
      </c>
      <c r="D2881" s="3">
        <f>IFERROR(__xludf.DUMMYFUNCTION("""COMPUTED_VALUE"""),81.0)</f>
        <v>81</v>
      </c>
      <c r="E2881" s="1" t="str">
        <f t="array" ref="E2881">_xlfn.XLOOKUP(A2881,Product!A:A,Product!B:B,"Bulunamadı")</f>
        <v>Arts</v>
      </c>
      <c r="F2881" s="1" t="str">
        <f t="array" ref="F2881">_xlfn.XLOOKUP(A2881,Product!A:A,Product!C:C,"Bulunamadı")</f>
        <v>Extreme Sports</v>
      </c>
      <c r="G2881" s="2" t="str">
        <f t="array" ref="G2881">_xlfn.XLOOKUP(A2882,Product!A:A,Product!D:D,"Bulunamadı")</f>
        <v>Harborhill Books</v>
      </c>
      <c r="H2881" s="2">
        <f t="array" ref="H2881">_xlfn.XLOOKUP(A2883,Product!A:A,Product!E:E,"Bulunamadı")</f>
        <v>4.67</v>
      </c>
      <c r="I2881" s="2" t="str">
        <f t="shared" si="1"/>
        <v>121425 - Arts - Extreme Sports</v>
      </c>
      <c r="J2881" s="2">
        <f t="shared" si="2"/>
        <v>378.27</v>
      </c>
      <c r="K2881" s="17">
        <f t="shared" si="3"/>
        <v>1</v>
      </c>
      <c r="L2881" s="18"/>
    </row>
    <row r="2882">
      <c r="A2882" s="2">
        <f>IFERROR(__xludf.DUMMYFUNCTION("""COMPUTED_VALUE"""),10561.0)</f>
        <v>10561</v>
      </c>
      <c r="B2882" s="2">
        <f>IFERROR(__xludf.DUMMYFUNCTION("""COMPUTED_VALUE"""),0.0)</f>
        <v>0</v>
      </c>
      <c r="C2882" s="2">
        <f>IFERROR(__xludf.DUMMYFUNCTION("""COMPUTED_VALUE"""),654.0)</f>
        <v>654</v>
      </c>
      <c r="D2882" s="3">
        <f>IFERROR(__xludf.DUMMYFUNCTION("""COMPUTED_VALUE"""),208.0)</f>
        <v>208</v>
      </c>
      <c r="E2882" s="1" t="str">
        <f t="array" ref="E2882">_xlfn.XLOOKUP(A2882,Product!A:A,Product!B:B,"Bulunamadı")</f>
        <v>Arts</v>
      </c>
      <c r="F2882" s="1" t="str">
        <f t="array" ref="F2882">_xlfn.XLOOKUP(A2882,Product!A:A,Product!C:C,"Bulunamadı")</f>
        <v>Extreme Sports</v>
      </c>
      <c r="G2882" s="2" t="str">
        <f t="array" ref="G2882">_xlfn.XLOOKUP(A2883,Product!A:A,Product!D:D,"Bulunamadı")</f>
        <v>Harborhill Books</v>
      </c>
      <c r="H2882" s="2">
        <f t="array" ref="H2882">_xlfn.XLOOKUP(A2884,Product!A:A,Product!E:E,"Bulunamadı")</f>
        <v>8.94</v>
      </c>
      <c r="I2882" s="2" t="str">
        <f t="shared" si="1"/>
        <v>10561 - Arts - Extreme Sports</v>
      </c>
      <c r="J2882" s="2">
        <f t="shared" si="2"/>
        <v>1859.52</v>
      </c>
      <c r="K2882" s="17">
        <f t="shared" si="3"/>
        <v>1</v>
      </c>
      <c r="L2882" s="18"/>
    </row>
    <row r="2883">
      <c r="A2883" s="2">
        <f>IFERROR(__xludf.DUMMYFUNCTION("""COMPUTED_VALUE"""),90294.0)</f>
        <v>90294</v>
      </c>
      <c r="B2883" s="2">
        <f>IFERROR(__xludf.DUMMYFUNCTION("""COMPUTED_VALUE"""),0.0)</f>
        <v>0</v>
      </c>
      <c r="C2883" s="2">
        <f>IFERROR(__xludf.DUMMYFUNCTION("""COMPUTED_VALUE"""),933.0)</f>
        <v>933</v>
      </c>
      <c r="D2883" s="3">
        <f>IFERROR(__xludf.DUMMYFUNCTION("""COMPUTED_VALUE"""),544.0)</f>
        <v>544</v>
      </c>
      <c r="E2883" s="1" t="str">
        <f t="array" ref="E2883">_xlfn.XLOOKUP(A2883,Product!A:A,Product!B:B,"Bulunamadı")</f>
        <v>Arts</v>
      </c>
      <c r="F2883" s="1" t="str">
        <f t="array" ref="F2883">_xlfn.XLOOKUP(A2883,Product!A:A,Product!C:C,"Bulunamadı")</f>
        <v>Extreme Sports</v>
      </c>
      <c r="G2883" s="2" t="str">
        <f t="array" ref="G2883">_xlfn.XLOOKUP(A2884,Product!A:A,Product!D:D,"Bulunamadı")</f>
        <v>Harborhill Books</v>
      </c>
      <c r="H2883" s="2">
        <f t="array" ref="H2883">_xlfn.XLOOKUP(A2885,Product!A:A,Product!E:E,"Bulunamadı")</f>
        <v>2.44</v>
      </c>
      <c r="I2883" s="2" t="str">
        <f t="shared" si="1"/>
        <v>90294 - Arts - Extreme Sports</v>
      </c>
      <c r="J2883" s="2">
        <f t="shared" si="2"/>
        <v>1327.36</v>
      </c>
      <c r="K2883" s="17">
        <f t="shared" si="3"/>
        <v>1</v>
      </c>
      <c r="L2883" s="18"/>
    </row>
    <row r="2884">
      <c r="A2884" s="2">
        <f>IFERROR(__xludf.DUMMYFUNCTION("""COMPUTED_VALUE"""),70804.0)</f>
        <v>70804</v>
      </c>
      <c r="B2884" s="2">
        <f>IFERROR(__xludf.DUMMYFUNCTION("""COMPUTED_VALUE"""),0.0)</f>
        <v>0</v>
      </c>
      <c r="C2884" s="2">
        <f>IFERROR(__xludf.DUMMYFUNCTION("""COMPUTED_VALUE"""),718.0)</f>
        <v>718</v>
      </c>
      <c r="D2884" s="3">
        <f>IFERROR(__xludf.DUMMYFUNCTION("""COMPUTED_VALUE"""),5.0)</f>
        <v>5</v>
      </c>
      <c r="E2884" s="1" t="str">
        <f t="array" ref="E2884">_xlfn.XLOOKUP(A2884,Product!A:A,Product!B:B,"Bulunamadı")</f>
        <v>Arts</v>
      </c>
      <c r="F2884" s="1" t="str">
        <f t="array" ref="F2884">_xlfn.XLOOKUP(A2884,Product!A:A,Product!C:C,"Bulunamadı")</f>
        <v>Extreme Sports</v>
      </c>
      <c r="G2884" s="2" t="str">
        <f t="array" ref="G2884">_xlfn.XLOOKUP(A2885,Product!A:A,Product!D:D,"Bulunamadı")</f>
        <v>Harborhill Books</v>
      </c>
      <c r="H2884" s="2">
        <f t="array" ref="H2884">_xlfn.XLOOKUP(A2886,Product!A:A,Product!E:E,"Bulunamadı")</f>
        <v>7.67</v>
      </c>
      <c r="I2884" s="2" t="str">
        <f t="shared" si="1"/>
        <v>70804 - Arts - Extreme Sports</v>
      </c>
      <c r="J2884" s="2">
        <f t="shared" si="2"/>
        <v>38.35</v>
      </c>
      <c r="K2884" s="17">
        <f t="shared" si="3"/>
        <v>1</v>
      </c>
      <c r="L2884" s="18"/>
    </row>
    <row r="2885">
      <c r="A2885" s="2">
        <f>IFERROR(__xludf.DUMMYFUNCTION("""COMPUTED_VALUE"""),81237.0)</f>
        <v>81237</v>
      </c>
      <c r="B2885" s="2">
        <f>IFERROR(__xludf.DUMMYFUNCTION("""COMPUTED_VALUE"""),1.0)</f>
        <v>1</v>
      </c>
      <c r="C2885" s="2">
        <f>IFERROR(__xludf.DUMMYFUNCTION("""COMPUTED_VALUE"""),284.0)</f>
        <v>284</v>
      </c>
      <c r="D2885" s="3">
        <f>IFERROR(__xludf.DUMMYFUNCTION("""COMPUTED_VALUE"""),44.0)</f>
        <v>44</v>
      </c>
      <c r="E2885" s="1" t="str">
        <f t="array" ref="E2885">_xlfn.XLOOKUP(A2885,Product!A:A,Product!B:B,"Bulunamadı")</f>
        <v>Arts</v>
      </c>
      <c r="F2885" s="1" t="str">
        <f t="array" ref="F2885">_xlfn.XLOOKUP(A2885,Product!A:A,Product!C:C,"Bulunamadı")</f>
        <v>Extreme Sports</v>
      </c>
      <c r="G2885" s="2" t="str">
        <f t="array" ref="G2885">_xlfn.XLOOKUP(A2886,Product!A:A,Product!D:D,"Bulunamadı")</f>
        <v>Harborhill Books</v>
      </c>
      <c r="H2885" s="2">
        <f t="array" ref="H2885">_xlfn.XLOOKUP(A2887,Product!A:A,Product!E:E,"Bulunamadı")</f>
        <v>11.19</v>
      </c>
      <c r="I2885" s="2" t="str">
        <f t="shared" si="1"/>
        <v>81237 - Arts - Extreme Sports</v>
      </c>
      <c r="J2885" s="2">
        <f t="shared" si="2"/>
        <v>492.36</v>
      </c>
      <c r="K2885" s="17">
        <f t="shared" si="3"/>
        <v>1</v>
      </c>
      <c r="L2885" s="18"/>
    </row>
    <row r="2886">
      <c r="A2886" s="2">
        <f>IFERROR(__xludf.DUMMYFUNCTION("""COMPUTED_VALUE"""),47564.0)</f>
        <v>47564</v>
      </c>
      <c r="B2886" s="2">
        <f>IFERROR(__xludf.DUMMYFUNCTION("""COMPUTED_VALUE"""),1.0)</f>
        <v>1</v>
      </c>
      <c r="C2886" s="2">
        <f>IFERROR(__xludf.DUMMYFUNCTION("""COMPUTED_VALUE"""),548.0)</f>
        <v>548</v>
      </c>
      <c r="D2886" s="3">
        <f>IFERROR(__xludf.DUMMYFUNCTION("""COMPUTED_VALUE"""),387.0)</f>
        <v>387</v>
      </c>
      <c r="E2886" s="1" t="str">
        <f t="array" ref="E2886">_xlfn.XLOOKUP(A2886,Product!A:A,Product!B:B,"Bulunamadı")</f>
        <v>Arts</v>
      </c>
      <c r="F2886" s="1" t="str">
        <f t="array" ref="F2886">_xlfn.XLOOKUP(A2886,Product!A:A,Product!C:C,"Bulunamadı")</f>
        <v>Extreme Sports</v>
      </c>
      <c r="G2886" s="2" t="str">
        <f t="array" ref="G2886">_xlfn.XLOOKUP(A2887,Product!A:A,Product!D:D,"Bulunamadı")</f>
        <v>Harborhill Books</v>
      </c>
      <c r="H2886" s="2">
        <f t="array" ref="H2886">_xlfn.XLOOKUP(A2888,Product!A:A,Product!E:E,"Bulunamadı")</f>
        <v>8.87</v>
      </c>
      <c r="I2886" s="2" t="str">
        <f t="shared" si="1"/>
        <v>47564 - Arts - Extreme Sports</v>
      </c>
      <c r="J2886" s="2">
        <f t="shared" si="2"/>
        <v>3432.69</v>
      </c>
      <c r="K2886" s="17">
        <f t="shared" si="3"/>
        <v>1</v>
      </c>
      <c r="L2886" s="18"/>
    </row>
    <row r="2887">
      <c r="A2887" s="2">
        <f>IFERROR(__xludf.DUMMYFUNCTION("""COMPUTED_VALUE"""),24055.0)</f>
        <v>24055</v>
      </c>
      <c r="B2887" s="2">
        <f>IFERROR(__xludf.DUMMYFUNCTION("""COMPUTED_VALUE"""),1.0)</f>
        <v>1</v>
      </c>
      <c r="C2887" s="2">
        <f>IFERROR(__xludf.DUMMYFUNCTION("""COMPUTED_VALUE"""),164.0)</f>
        <v>164</v>
      </c>
      <c r="D2887" s="3">
        <f>IFERROR(__xludf.DUMMYFUNCTION("""COMPUTED_VALUE"""),125.0)</f>
        <v>125</v>
      </c>
      <c r="E2887" s="1" t="str">
        <f t="array" ref="E2887">_xlfn.XLOOKUP(A2887,Product!A:A,Product!B:B,"Bulunamadı")</f>
        <v>Arts</v>
      </c>
      <c r="F2887" s="1" t="str">
        <f t="array" ref="F2887">_xlfn.XLOOKUP(A2887,Product!A:A,Product!C:C,"Bulunamadı")</f>
        <v>Extreme Sports</v>
      </c>
      <c r="G2887" s="2" t="str">
        <f t="array" ref="G2887">_xlfn.XLOOKUP(A2888,Product!A:A,Product!D:D,"Bulunamadı")</f>
        <v>Cedarhill Press</v>
      </c>
      <c r="H2887" s="2">
        <f t="array" ref="H2887">_xlfn.XLOOKUP(A2889,Product!A:A,Product!E:E,"Bulunamadı")</f>
        <v>6.25</v>
      </c>
      <c r="I2887" s="2" t="str">
        <f t="shared" si="1"/>
        <v>24055 - Arts - Extreme Sports</v>
      </c>
      <c r="J2887" s="2">
        <f t="shared" si="2"/>
        <v>781.25</v>
      </c>
      <c r="K2887" s="17">
        <f t="shared" si="3"/>
        <v>1</v>
      </c>
      <c r="L2887" s="18"/>
    </row>
    <row r="2888">
      <c r="A2888" s="2">
        <f>IFERROR(__xludf.DUMMYFUNCTION("""COMPUTED_VALUE"""),48637.0)</f>
        <v>48637</v>
      </c>
      <c r="B2888" s="2">
        <f>IFERROR(__xludf.DUMMYFUNCTION("""COMPUTED_VALUE"""),1.0)</f>
        <v>1</v>
      </c>
      <c r="C2888" s="2">
        <f>IFERROR(__xludf.DUMMYFUNCTION("""COMPUTED_VALUE"""),900.0)</f>
        <v>900</v>
      </c>
      <c r="D2888" s="3">
        <f>IFERROR(__xludf.DUMMYFUNCTION("""COMPUTED_VALUE"""),438.0)</f>
        <v>438</v>
      </c>
      <c r="E2888" s="1" t="str">
        <f t="array" ref="E2888">_xlfn.XLOOKUP(A2888,Product!A:A,Product!B:B,"Bulunamadı")</f>
        <v>Arts</v>
      </c>
      <c r="F2888" s="1" t="str">
        <f t="array" ref="F2888">_xlfn.XLOOKUP(A2888,Product!A:A,Product!C:C,"Bulunamadı")</f>
        <v>Extreme Sports</v>
      </c>
      <c r="G2888" s="2" t="str">
        <f t="array" ref="G2888">_xlfn.XLOOKUP(A2889,Product!A:A,Product!D:D,"Bulunamadı")</f>
        <v>Cedarhill Press</v>
      </c>
      <c r="H2888" s="2">
        <f t="array" ref="H2888">_xlfn.XLOOKUP(A2890,Product!A:A,Product!E:E,"Bulunamadı")</f>
        <v>6.81</v>
      </c>
      <c r="I2888" s="2" t="str">
        <f t="shared" si="1"/>
        <v>48637 - Arts - Extreme Sports</v>
      </c>
      <c r="J2888" s="2">
        <f t="shared" si="2"/>
        <v>2982.78</v>
      </c>
      <c r="K2888" s="17">
        <f t="shared" si="3"/>
        <v>1</v>
      </c>
      <c r="L2888" s="18"/>
    </row>
    <row r="2889">
      <c r="A2889" s="2">
        <f>IFERROR(__xludf.DUMMYFUNCTION("""COMPUTED_VALUE"""),3447.0)</f>
        <v>3447</v>
      </c>
      <c r="B2889" s="2">
        <f>IFERROR(__xludf.DUMMYFUNCTION("""COMPUTED_VALUE"""),1.0)</f>
        <v>1</v>
      </c>
      <c r="C2889" s="2">
        <f>IFERROR(__xludf.DUMMYFUNCTION("""COMPUTED_VALUE"""),39.0)</f>
        <v>39</v>
      </c>
      <c r="D2889" s="3">
        <f>IFERROR(__xludf.DUMMYFUNCTION("""COMPUTED_VALUE"""),35.0)</f>
        <v>35</v>
      </c>
      <c r="E2889" s="1" t="str">
        <f t="array" ref="E2889">_xlfn.XLOOKUP(A2889,Product!A:A,Product!B:B,"Bulunamadı")</f>
        <v>Arts</v>
      </c>
      <c r="F2889" s="1" t="str">
        <f t="array" ref="F2889">_xlfn.XLOOKUP(A2889,Product!A:A,Product!C:C,"Bulunamadı")</f>
        <v>Extreme Sports</v>
      </c>
      <c r="G2889" s="2" t="str">
        <f t="array" ref="G2889">_xlfn.XLOOKUP(A2890,Product!A:A,Product!D:D,"Bulunamadı")</f>
        <v>Cedarhill Press</v>
      </c>
      <c r="H2889" s="2">
        <f t="array" ref="H2889">_xlfn.XLOOKUP(A2891,Product!A:A,Product!E:E,"Bulunamadı")</f>
        <v>2.33</v>
      </c>
      <c r="I2889" s="2" t="str">
        <f t="shared" si="1"/>
        <v>3447 - Arts - Extreme Sports</v>
      </c>
      <c r="J2889" s="2">
        <f t="shared" si="2"/>
        <v>81.55</v>
      </c>
      <c r="K2889" s="17">
        <f t="shared" si="3"/>
        <v>1</v>
      </c>
      <c r="L2889" s="18"/>
    </row>
    <row r="2890">
      <c r="A2890" s="2">
        <f>IFERROR(__xludf.DUMMYFUNCTION("""COMPUTED_VALUE"""),117921.0)</f>
        <v>117921</v>
      </c>
      <c r="B2890" s="2">
        <f>IFERROR(__xludf.DUMMYFUNCTION("""COMPUTED_VALUE"""),0.0)</f>
        <v>0</v>
      </c>
      <c r="C2890" s="2">
        <f>IFERROR(__xludf.DUMMYFUNCTION("""COMPUTED_VALUE"""),334.0)</f>
        <v>334</v>
      </c>
      <c r="D2890" s="3">
        <f>IFERROR(__xludf.DUMMYFUNCTION("""COMPUTED_VALUE"""),147.0)</f>
        <v>147</v>
      </c>
      <c r="E2890" s="1" t="str">
        <f t="array" ref="E2890">_xlfn.XLOOKUP(A2890,Product!A:A,Product!B:B,"Bulunamadı")</f>
        <v>Arts</v>
      </c>
      <c r="F2890" s="1" t="str">
        <f t="array" ref="F2890">_xlfn.XLOOKUP(A2890,Product!A:A,Product!C:C,"Bulunamadı")</f>
        <v>Extreme Sports</v>
      </c>
      <c r="G2890" s="2" t="str">
        <f t="array" ref="G2890">_xlfn.XLOOKUP(A2891,Product!A:A,Product!D:D,"Bulunamadı")</f>
        <v>Cedarhill Press</v>
      </c>
      <c r="H2890" s="2">
        <f t="array" ref="H2890">_xlfn.XLOOKUP(A2892,Product!A:A,Product!E:E,"Bulunamadı")</f>
        <v>4.58</v>
      </c>
      <c r="I2890" s="2" t="str">
        <f t="shared" si="1"/>
        <v>117921 - Arts - Extreme Sports</v>
      </c>
      <c r="J2890" s="2">
        <f t="shared" si="2"/>
        <v>673.26</v>
      </c>
      <c r="K2890" s="17">
        <f t="shared" si="3"/>
        <v>1</v>
      </c>
      <c r="L2890" s="18"/>
    </row>
    <row r="2891">
      <c r="A2891" s="2">
        <f>IFERROR(__xludf.DUMMYFUNCTION("""COMPUTED_VALUE"""),128322.0)</f>
        <v>128322</v>
      </c>
      <c r="B2891" s="2">
        <f>IFERROR(__xludf.DUMMYFUNCTION("""COMPUTED_VALUE"""),0.0)</f>
        <v>0</v>
      </c>
      <c r="C2891" s="2">
        <f>IFERROR(__xludf.DUMMYFUNCTION("""COMPUTED_VALUE"""),947.0)</f>
        <v>947</v>
      </c>
      <c r="D2891" s="3">
        <f>IFERROR(__xludf.DUMMYFUNCTION("""COMPUTED_VALUE"""),252.0)</f>
        <v>252</v>
      </c>
      <c r="E2891" s="1" t="str">
        <f t="array" ref="E2891">_xlfn.XLOOKUP(A2891,Product!A:A,Product!B:B,"Bulunamadı")</f>
        <v>Arts</v>
      </c>
      <c r="F2891" s="1" t="str">
        <f t="array" ref="F2891">_xlfn.XLOOKUP(A2891,Product!A:A,Product!C:C,"Bulunamadı")</f>
        <v>Extreme Sports</v>
      </c>
      <c r="G2891" s="2" t="str">
        <f t="array" ref="G2891">_xlfn.XLOOKUP(A2892,Product!A:A,Product!D:D,"Bulunamadı")</f>
        <v>Cedarhill Press</v>
      </c>
      <c r="H2891" s="2">
        <f t="array" ref="H2891">_xlfn.XLOOKUP(A2893,Product!A:A,Product!E:E,"Bulunamadı")</f>
        <v>3.97</v>
      </c>
      <c r="I2891" s="2" t="str">
        <f t="shared" si="1"/>
        <v>128322 - Arts - Extreme Sports</v>
      </c>
      <c r="J2891" s="2">
        <f t="shared" si="2"/>
        <v>1000.44</v>
      </c>
      <c r="K2891" s="17">
        <f t="shared" si="3"/>
        <v>1</v>
      </c>
      <c r="L2891" s="18"/>
    </row>
    <row r="2892">
      <c r="A2892" s="2">
        <f>IFERROR(__xludf.DUMMYFUNCTION("""COMPUTED_VALUE"""),42207.0)</f>
        <v>42207</v>
      </c>
      <c r="B2892" s="2">
        <f>IFERROR(__xludf.DUMMYFUNCTION("""COMPUTED_VALUE"""),1.0)</f>
        <v>1</v>
      </c>
      <c r="C2892" s="2">
        <f>IFERROR(__xludf.DUMMYFUNCTION("""COMPUTED_VALUE"""),661.0)</f>
        <v>661</v>
      </c>
      <c r="D2892" s="3">
        <f>IFERROR(__xludf.DUMMYFUNCTION("""COMPUTED_VALUE"""),330.0)</f>
        <v>330</v>
      </c>
      <c r="E2892" s="1" t="str">
        <f t="array" ref="E2892">_xlfn.XLOOKUP(A2892,Product!A:A,Product!B:B,"Bulunamadı")</f>
        <v>Arts</v>
      </c>
      <c r="F2892" s="1" t="str">
        <f t="array" ref="F2892">_xlfn.XLOOKUP(A2892,Product!A:A,Product!C:C,"Bulunamadı")</f>
        <v>Extreme Sports</v>
      </c>
      <c r="G2892" s="2" t="str">
        <f t="array" ref="G2892">_xlfn.XLOOKUP(A2893,Product!A:A,Product!D:D,"Bulunamadı")</f>
        <v>Cedarhill Press</v>
      </c>
      <c r="H2892" s="2">
        <f t="array" ref="H2892">_xlfn.XLOOKUP(A2894,Product!A:A,Product!E:E,"Bulunamadı")</f>
        <v>4.49</v>
      </c>
      <c r="I2892" s="2" t="str">
        <f t="shared" si="1"/>
        <v>42207 - Arts - Extreme Sports</v>
      </c>
      <c r="J2892" s="2">
        <f t="shared" si="2"/>
        <v>1481.7</v>
      </c>
      <c r="K2892" s="17">
        <f t="shared" si="3"/>
        <v>1</v>
      </c>
      <c r="L2892" s="18"/>
    </row>
    <row r="2893">
      <c r="A2893" s="2">
        <f>IFERROR(__xludf.DUMMYFUNCTION("""COMPUTED_VALUE"""),108394.0)</f>
        <v>108394</v>
      </c>
      <c r="B2893" s="2">
        <f>IFERROR(__xludf.DUMMYFUNCTION("""COMPUTED_VALUE"""),1.0)</f>
        <v>1</v>
      </c>
      <c r="C2893" s="2">
        <f>IFERROR(__xludf.DUMMYFUNCTION("""COMPUTED_VALUE"""),492.0)</f>
        <v>492</v>
      </c>
      <c r="D2893" s="3">
        <f>IFERROR(__xludf.DUMMYFUNCTION("""COMPUTED_VALUE"""),197.0)</f>
        <v>197</v>
      </c>
      <c r="E2893" s="1" t="str">
        <f t="array" ref="E2893">_xlfn.XLOOKUP(A2893,Product!A:A,Product!B:B,"Bulunamadı")</f>
        <v>Arts</v>
      </c>
      <c r="F2893" s="1" t="str">
        <f t="array" ref="F2893">_xlfn.XLOOKUP(A2893,Product!A:A,Product!C:C,"Bulunamadı")</f>
        <v>Extreme Sports</v>
      </c>
      <c r="G2893" s="2" t="str">
        <f t="array" ref="G2893">_xlfn.XLOOKUP(A2894,Product!A:A,Product!D:D,"Bulunamadı")</f>
        <v>Cedarhill Press</v>
      </c>
      <c r="H2893" s="2">
        <f t="array" ref="H2893">_xlfn.XLOOKUP(A2895,Product!A:A,Product!E:E,"Bulunamadı")</f>
        <v>4.58</v>
      </c>
      <c r="I2893" s="2" t="str">
        <f t="shared" si="1"/>
        <v>108394 - Arts - Extreme Sports</v>
      </c>
      <c r="J2893" s="2">
        <f t="shared" si="2"/>
        <v>902.26</v>
      </c>
      <c r="K2893" s="17">
        <f t="shared" si="3"/>
        <v>1</v>
      </c>
      <c r="L2893" s="18"/>
    </row>
    <row r="2894">
      <c r="A2894" s="2">
        <f>IFERROR(__xludf.DUMMYFUNCTION("""COMPUTED_VALUE"""),119967.0)</f>
        <v>119967</v>
      </c>
      <c r="B2894" s="2">
        <f>IFERROR(__xludf.DUMMYFUNCTION("""COMPUTED_VALUE"""),1.0)</f>
        <v>1</v>
      </c>
      <c r="C2894" s="2">
        <f>IFERROR(__xludf.DUMMYFUNCTION("""COMPUTED_VALUE"""),813.0)</f>
        <v>813</v>
      </c>
      <c r="D2894" s="3">
        <f>IFERROR(__xludf.DUMMYFUNCTION("""COMPUTED_VALUE"""),366.0)</f>
        <v>366</v>
      </c>
      <c r="E2894" s="1" t="str">
        <f t="array" ref="E2894">_xlfn.XLOOKUP(A2894,Product!A:A,Product!B:B,"Bulunamadı")</f>
        <v>Arts</v>
      </c>
      <c r="F2894" s="1" t="str">
        <f t="array" ref="F2894">_xlfn.XLOOKUP(A2894,Product!A:A,Product!C:C,"Bulunamadı")</f>
        <v>Extreme Sports</v>
      </c>
      <c r="G2894" s="2" t="str">
        <f t="array" ref="G2894">_xlfn.XLOOKUP(A2895,Product!A:A,Product!D:D,"Bulunamadı")</f>
        <v>Cedarhill Press</v>
      </c>
      <c r="H2894" s="2">
        <f t="array" ref="H2894">_xlfn.XLOOKUP(A2896,Product!A:A,Product!E:E,"Bulunamadı")</f>
        <v>9.36</v>
      </c>
      <c r="I2894" s="2" t="str">
        <f t="shared" si="1"/>
        <v>119967 - Arts - Extreme Sports</v>
      </c>
      <c r="J2894" s="2">
        <f t="shared" si="2"/>
        <v>3425.76</v>
      </c>
      <c r="K2894" s="17">
        <f t="shared" si="3"/>
        <v>1</v>
      </c>
      <c r="L2894" s="18"/>
    </row>
    <row r="2895">
      <c r="A2895" s="2">
        <f>IFERROR(__xludf.DUMMYFUNCTION("""COMPUTED_VALUE"""),81235.0)</f>
        <v>81235</v>
      </c>
      <c r="B2895" s="2">
        <f>IFERROR(__xludf.DUMMYFUNCTION("""COMPUTED_VALUE"""),0.0)</f>
        <v>0</v>
      </c>
      <c r="C2895" s="2">
        <f>IFERROR(__xludf.DUMMYFUNCTION("""COMPUTED_VALUE"""),910.0)</f>
        <v>910</v>
      </c>
      <c r="D2895" s="3">
        <f>IFERROR(__xludf.DUMMYFUNCTION("""COMPUTED_VALUE"""),111.0)</f>
        <v>111</v>
      </c>
      <c r="E2895" s="1" t="str">
        <f t="array" ref="E2895">_xlfn.XLOOKUP(A2895,Product!A:A,Product!B:B,"Bulunamadı")</f>
        <v>Arts</v>
      </c>
      <c r="F2895" s="1" t="str">
        <f t="array" ref="F2895">_xlfn.XLOOKUP(A2895,Product!A:A,Product!C:C,"Bulunamadı")</f>
        <v>Extreme Sports</v>
      </c>
      <c r="G2895" s="2" t="str">
        <f t="array" ref="G2895">_xlfn.XLOOKUP(A2896,Product!A:A,Product!D:D,"Bulunamadı")</f>
        <v>Cedarhill Press</v>
      </c>
      <c r="H2895" s="2">
        <f t="array" ref="H2895">_xlfn.XLOOKUP(A2897,Product!A:A,Product!E:E,"Bulunamadı")</f>
        <v>3.63</v>
      </c>
      <c r="I2895" s="2" t="str">
        <f t="shared" si="1"/>
        <v>81235 - Arts - Extreme Sports</v>
      </c>
      <c r="J2895" s="2">
        <f t="shared" si="2"/>
        <v>402.93</v>
      </c>
      <c r="K2895" s="17">
        <f t="shared" si="3"/>
        <v>1</v>
      </c>
      <c r="L2895" s="18"/>
    </row>
    <row r="2896">
      <c r="A2896" s="2">
        <f>IFERROR(__xludf.DUMMYFUNCTION("""COMPUTED_VALUE"""),24053.0)</f>
        <v>24053</v>
      </c>
      <c r="B2896" s="2">
        <f>IFERROR(__xludf.DUMMYFUNCTION("""COMPUTED_VALUE"""),1.0)</f>
        <v>1</v>
      </c>
      <c r="C2896" s="2">
        <f>IFERROR(__xludf.DUMMYFUNCTION("""COMPUTED_VALUE"""),93.0)</f>
        <v>93</v>
      </c>
      <c r="D2896" s="3">
        <f>IFERROR(__xludf.DUMMYFUNCTION("""COMPUTED_VALUE"""),34.0)</f>
        <v>34</v>
      </c>
      <c r="E2896" s="1" t="str">
        <f t="array" ref="E2896">_xlfn.XLOOKUP(A2896,Product!A:A,Product!B:B,"Bulunamadı")</f>
        <v>Arts</v>
      </c>
      <c r="F2896" s="1" t="str">
        <f t="array" ref="F2896">_xlfn.XLOOKUP(A2896,Product!A:A,Product!C:C,"Bulunamadı")</f>
        <v>Extreme Sports</v>
      </c>
      <c r="G2896" s="2" t="str">
        <f t="array" ref="G2896">_xlfn.XLOOKUP(A2897,Product!A:A,Product!D:D,"Bulunamadı")</f>
        <v>Cedarhill Press</v>
      </c>
      <c r="H2896" s="2">
        <f t="array" ref="H2896">_xlfn.XLOOKUP(A2898,Product!A:A,Product!E:E,"Bulunamadı")</f>
        <v>4.93</v>
      </c>
      <c r="I2896" s="2" t="str">
        <f t="shared" si="1"/>
        <v>24053 - Arts - Extreme Sports</v>
      </c>
      <c r="J2896" s="2">
        <f t="shared" si="2"/>
        <v>167.62</v>
      </c>
      <c r="K2896" s="17">
        <f t="shared" si="3"/>
        <v>1</v>
      </c>
      <c r="L2896" s="18"/>
    </row>
    <row r="2897">
      <c r="A2897" s="2">
        <f>IFERROR(__xludf.DUMMYFUNCTION("""COMPUTED_VALUE"""),116936.0)</f>
        <v>116936</v>
      </c>
      <c r="B2897" s="2">
        <f>IFERROR(__xludf.DUMMYFUNCTION("""COMPUTED_VALUE"""),0.0)</f>
        <v>0</v>
      </c>
      <c r="C2897" s="2">
        <f>IFERROR(__xludf.DUMMYFUNCTION("""COMPUTED_VALUE"""),560.0)</f>
        <v>560</v>
      </c>
      <c r="D2897" s="3">
        <f>IFERROR(__xludf.DUMMYFUNCTION("""COMPUTED_VALUE"""),142.0)</f>
        <v>142</v>
      </c>
      <c r="E2897" s="1" t="str">
        <f t="array" ref="E2897">_xlfn.XLOOKUP(A2897,Product!A:A,Product!B:B,"Bulunamadı")</f>
        <v>Arts</v>
      </c>
      <c r="F2897" s="1" t="str">
        <f t="array" ref="F2897">_xlfn.XLOOKUP(A2897,Product!A:A,Product!C:C,"Bulunamadı")</f>
        <v>Extreme Sports</v>
      </c>
      <c r="G2897" s="2" t="str">
        <f t="array" ref="G2897">_xlfn.XLOOKUP(A2898,Product!A:A,Product!D:D,"Bulunamadı")</f>
        <v>Cedarhill Press</v>
      </c>
      <c r="H2897" s="2">
        <f t="array" ref="H2897">_xlfn.XLOOKUP(A2899,Product!A:A,Product!E:E,"Bulunamadı")</f>
        <v>2.72</v>
      </c>
      <c r="I2897" s="2" t="str">
        <f t="shared" si="1"/>
        <v>116936 - Arts - Extreme Sports</v>
      </c>
      <c r="J2897" s="2">
        <f t="shared" si="2"/>
        <v>386.24</v>
      </c>
      <c r="K2897" s="17">
        <f t="shared" si="3"/>
        <v>1</v>
      </c>
      <c r="L2897" s="18"/>
    </row>
    <row r="2898">
      <c r="A2898" s="2">
        <f>IFERROR(__xludf.DUMMYFUNCTION("""COMPUTED_VALUE"""),44268.0)</f>
        <v>44268</v>
      </c>
      <c r="B2898" s="2">
        <f>IFERROR(__xludf.DUMMYFUNCTION("""COMPUTED_VALUE"""),1.0)</f>
        <v>1</v>
      </c>
      <c r="C2898" s="2">
        <f>IFERROR(__xludf.DUMMYFUNCTION("""COMPUTED_VALUE"""),96.0)</f>
        <v>96</v>
      </c>
      <c r="D2898" s="3">
        <f>IFERROR(__xludf.DUMMYFUNCTION("""COMPUTED_VALUE"""),17.0)</f>
        <v>17</v>
      </c>
      <c r="E2898" s="1" t="str">
        <f t="array" ref="E2898">_xlfn.XLOOKUP(A2898,Product!A:A,Product!B:B,"Bulunamadı")</f>
        <v>Arts</v>
      </c>
      <c r="F2898" s="1" t="str">
        <f t="array" ref="F2898">_xlfn.XLOOKUP(A2898,Product!A:A,Product!C:C,"Bulunamadı")</f>
        <v>Extreme Sports</v>
      </c>
      <c r="G2898" s="2" t="str">
        <f t="array" ref="G2898">_xlfn.XLOOKUP(A2899,Product!A:A,Product!D:D,"Bulunamadı")</f>
        <v>Cedarhill Press</v>
      </c>
      <c r="H2898" s="2">
        <f t="array" ref="H2898">_xlfn.XLOOKUP(A2900,Product!A:A,Product!E:E,"Bulunamadı")</f>
        <v>2.44</v>
      </c>
      <c r="I2898" s="2" t="str">
        <f t="shared" si="1"/>
        <v>44268 - Arts - Extreme Sports</v>
      </c>
      <c r="J2898" s="2">
        <f t="shared" si="2"/>
        <v>41.48</v>
      </c>
      <c r="K2898" s="17">
        <f t="shared" si="3"/>
        <v>1</v>
      </c>
      <c r="L2898" s="18"/>
    </row>
    <row r="2899">
      <c r="A2899" s="2">
        <f>IFERROR(__xludf.DUMMYFUNCTION("""COMPUTED_VALUE"""),111946.0)</f>
        <v>111946</v>
      </c>
      <c r="B2899" s="2">
        <f>IFERROR(__xludf.DUMMYFUNCTION("""COMPUTED_VALUE"""),1.0)</f>
        <v>1</v>
      </c>
      <c r="C2899" s="2">
        <f>IFERROR(__xludf.DUMMYFUNCTION("""COMPUTED_VALUE"""),431.0)</f>
        <v>431</v>
      </c>
      <c r="D2899" s="3">
        <f>IFERROR(__xludf.DUMMYFUNCTION("""COMPUTED_VALUE"""),419.0)</f>
        <v>419</v>
      </c>
      <c r="E2899" s="1" t="str">
        <f t="array" ref="E2899">_xlfn.XLOOKUP(A2899,Product!A:A,Product!B:B,"Bulunamadı")</f>
        <v>Arts</v>
      </c>
      <c r="F2899" s="1" t="str">
        <f t="array" ref="F2899">_xlfn.XLOOKUP(A2899,Product!A:A,Product!C:C,"Bulunamadı")</f>
        <v>Extreme Sports</v>
      </c>
      <c r="G2899" s="2" t="str">
        <f t="array" ref="G2899">_xlfn.XLOOKUP(A2900,Product!A:A,Product!D:D,"Bulunamadı")</f>
        <v>Cedarhill Press</v>
      </c>
      <c r="H2899" s="2">
        <f t="array" ref="H2899">_xlfn.XLOOKUP(A2901,Product!A:A,Product!E:E,"Bulunamadı")</f>
        <v>9.87</v>
      </c>
      <c r="I2899" s="2" t="str">
        <f t="shared" si="1"/>
        <v>111946 - Arts - Extreme Sports</v>
      </c>
      <c r="J2899" s="2">
        <f t="shared" si="2"/>
        <v>4135.53</v>
      </c>
      <c r="K2899" s="17">
        <f t="shared" si="3"/>
        <v>1</v>
      </c>
      <c r="L2899" s="18"/>
    </row>
    <row r="2900">
      <c r="A2900" s="2">
        <f>IFERROR(__xludf.DUMMYFUNCTION("""COMPUTED_VALUE"""),81234.0)</f>
        <v>81234</v>
      </c>
      <c r="B2900" s="2">
        <f>IFERROR(__xludf.DUMMYFUNCTION("""COMPUTED_VALUE"""),1.0)</f>
        <v>1</v>
      </c>
      <c r="C2900" s="2">
        <f>IFERROR(__xludf.DUMMYFUNCTION("""COMPUTED_VALUE"""),327.0)</f>
        <v>327</v>
      </c>
      <c r="D2900" s="3">
        <f>IFERROR(__xludf.DUMMYFUNCTION("""COMPUTED_VALUE"""),131.0)</f>
        <v>131</v>
      </c>
      <c r="E2900" s="1" t="str">
        <f t="array" ref="E2900">_xlfn.XLOOKUP(A2900,Product!A:A,Product!B:B,"Bulunamadı")</f>
        <v>Arts</v>
      </c>
      <c r="F2900" s="1" t="str">
        <f t="array" ref="F2900">_xlfn.XLOOKUP(A2900,Product!A:A,Product!C:C,"Bulunamadı")</f>
        <v>Extreme Sports</v>
      </c>
      <c r="G2900" s="2" t="str">
        <f t="array" ref="G2900">_xlfn.XLOOKUP(A2901,Product!A:A,Product!D:D,"Bulunamadı")</f>
        <v>Cedarhill Press</v>
      </c>
      <c r="H2900" s="2">
        <f t="array" ref="H2900">_xlfn.XLOOKUP(A2902,Product!A:A,Product!E:E,"Bulunamadı")</f>
        <v>5.4</v>
      </c>
      <c r="I2900" s="2" t="str">
        <f t="shared" si="1"/>
        <v>81234 - Arts - Extreme Sports</v>
      </c>
      <c r="J2900" s="2">
        <f t="shared" si="2"/>
        <v>707.4</v>
      </c>
      <c r="K2900" s="17">
        <f t="shared" si="3"/>
        <v>1</v>
      </c>
      <c r="L2900" s="18"/>
    </row>
    <row r="2901">
      <c r="A2901" s="2">
        <f>IFERROR(__xludf.DUMMYFUNCTION("""COMPUTED_VALUE"""),24038.0)</f>
        <v>24038</v>
      </c>
      <c r="B2901" s="2">
        <f>IFERROR(__xludf.DUMMYFUNCTION("""COMPUTED_VALUE"""),0.0)</f>
        <v>0</v>
      </c>
      <c r="C2901" s="2">
        <f>IFERROR(__xludf.DUMMYFUNCTION("""COMPUTED_VALUE"""),205.0)</f>
        <v>205</v>
      </c>
      <c r="D2901" s="3">
        <f>IFERROR(__xludf.DUMMYFUNCTION("""COMPUTED_VALUE"""),73.0)</f>
        <v>73</v>
      </c>
      <c r="E2901" s="1" t="str">
        <f t="array" ref="E2901">_xlfn.XLOOKUP(A2901,Product!A:A,Product!B:B,"Bulunamadı")</f>
        <v>Arts</v>
      </c>
      <c r="F2901" s="1" t="str">
        <f t="array" ref="F2901">_xlfn.XLOOKUP(A2901,Product!A:A,Product!C:C,"Bulunamadı")</f>
        <v>Extreme Sports</v>
      </c>
      <c r="G2901" s="2" t="str">
        <f t="array" ref="G2901">_xlfn.XLOOKUP(A2902,Product!A:A,Product!D:D,"Bulunamadı")</f>
        <v>Brighthill Publishing</v>
      </c>
      <c r="H2901" s="2">
        <f t="array" ref="H2901">_xlfn.XLOOKUP(A2903,Product!A:A,Product!E:E,"Bulunamadı")</f>
        <v>5.25</v>
      </c>
      <c r="I2901" s="2" t="str">
        <f t="shared" si="1"/>
        <v>24038 - Arts - Extreme Sports</v>
      </c>
      <c r="J2901" s="2">
        <f t="shared" si="2"/>
        <v>383.25</v>
      </c>
      <c r="K2901" s="17">
        <f t="shared" si="3"/>
        <v>1</v>
      </c>
      <c r="L2901" s="18"/>
    </row>
    <row r="2902">
      <c r="A2902" s="2">
        <f>IFERROR(__xludf.DUMMYFUNCTION("""COMPUTED_VALUE"""),44882.0)</f>
        <v>44882</v>
      </c>
      <c r="B2902" s="2">
        <f>IFERROR(__xludf.DUMMYFUNCTION("""COMPUTED_VALUE"""),0.0)</f>
        <v>0</v>
      </c>
      <c r="C2902" s="2">
        <f>IFERROR(__xludf.DUMMYFUNCTION("""COMPUTED_VALUE"""),254.0)</f>
        <v>254</v>
      </c>
      <c r="D2902" s="3">
        <f>IFERROR(__xludf.DUMMYFUNCTION("""COMPUTED_VALUE"""),242.0)</f>
        <v>242</v>
      </c>
      <c r="E2902" s="1" t="str">
        <f t="array" ref="E2902">_xlfn.XLOOKUP(A2902,Product!A:A,Product!B:B,"Bulunamadı")</f>
        <v>Arts</v>
      </c>
      <c r="F2902" s="1" t="str">
        <f t="array" ref="F2902">_xlfn.XLOOKUP(A2902,Product!A:A,Product!C:C,"Bulunamadı")</f>
        <v>Extreme Sports</v>
      </c>
      <c r="G2902" s="2" t="str">
        <f t="array" ref="G2902">_xlfn.XLOOKUP(A2903,Product!A:A,Product!D:D,"Bulunamadı")</f>
        <v>Brighthill Publishing</v>
      </c>
      <c r="H2902" s="2">
        <f t="array" ref="H2902">_xlfn.XLOOKUP(A2904,Product!A:A,Product!E:E,"Bulunamadı")</f>
        <v>2.28</v>
      </c>
      <c r="I2902" s="2" t="str">
        <f t="shared" si="1"/>
        <v>44882 - Arts - Extreme Sports</v>
      </c>
      <c r="J2902" s="2">
        <f t="shared" si="2"/>
        <v>551.76</v>
      </c>
      <c r="K2902" s="17">
        <f t="shared" si="3"/>
        <v>1</v>
      </c>
      <c r="L2902" s="18"/>
    </row>
    <row r="2903">
      <c r="A2903" s="2">
        <f>IFERROR(__xludf.DUMMYFUNCTION("""COMPUTED_VALUE"""),44266.0)</f>
        <v>44266</v>
      </c>
      <c r="B2903" s="2">
        <f>IFERROR(__xludf.DUMMYFUNCTION("""COMPUTED_VALUE"""),0.0)</f>
        <v>0</v>
      </c>
      <c r="C2903" s="2">
        <f>IFERROR(__xludf.DUMMYFUNCTION("""COMPUTED_VALUE"""),30.0)</f>
        <v>30</v>
      </c>
      <c r="D2903" s="3">
        <f>IFERROR(__xludf.DUMMYFUNCTION("""COMPUTED_VALUE"""),9.0)</f>
        <v>9</v>
      </c>
      <c r="E2903" s="1" t="str">
        <f t="array" ref="E2903">_xlfn.XLOOKUP(A2903,Product!A:A,Product!B:B,"Bulunamadı")</f>
        <v>Arts</v>
      </c>
      <c r="F2903" s="1" t="str">
        <f t="array" ref="F2903">_xlfn.XLOOKUP(A2903,Product!A:A,Product!C:C,"Bulunamadı")</f>
        <v>Extreme Sports</v>
      </c>
      <c r="G2903" s="2" t="str">
        <f t="array" ref="G2903">_xlfn.XLOOKUP(A2904,Product!A:A,Product!D:D,"Bulunamadı")</f>
        <v>Brighthill Publishing</v>
      </c>
      <c r="H2903" s="2">
        <f t="array" ref="H2903">_xlfn.XLOOKUP(A2905,Product!A:A,Product!E:E,"Bulunamadı")</f>
        <v>3.95</v>
      </c>
      <c r="I2903" s="2" t="str">
        <f t="shared" si="1"/>
        <v>44266 - Arts - Extreme Sports</v>
      </c>
      <c r="J2903" s="2">
        <f t="shared" si="2"/>
        <v>35.55</v>
      </c>
      <c r="K2903" s="17">
        <f t="shared" si="3"/>
        <v>1</v>
      </c>
      <c r="L2903" s="18"/>
    </row>
    <row r="2904">
      <c r="A2904" s="2">
        <f>IFERROR(__xludf.DUMMYFUNCTION("""COMPUTED_VALUE"""),3452.0)</f>
        <v>3452</v>
      </c>
      <c r="B2904" s="2">
        <f>IFERROR(__xludf.DUMMYFUNCTION("""COMPUTED_VALUE"""),1.0)</f>
        <v>1</v>
      </c>
      <c r="C2904" s="2">
        <f>IFERROR(__xludf.DUMMYFUNCTION("""COMPUTED_VALUE"""),448.0)</f>
        <v>448</v>
      </c>
      <c r="D2904" s="3">
        <f>IFERROR(__xludf.DUMMYFUNCTION("""COMPUTED_VALUE"""),331.0)</f>
        <v>331</v>
      </c>
      <c r="E2904" s="1" t="str">
        <f t="array" ref="E2904">_xlfn.XLOOKUP(A2904,Product!A:A,Product!B:B,"Bulunamadı")</f>
        <v>Arts</v>
      </c>
      <c r="F2904" s="1" t="str">
        <f t="array" ref="F2904">_xlfn.XLOOKUP(A2904,Product!A:A,Product!C:C,"Bulunamadı")</f>
        <v>Extreme Sports</v>
      </c>
      <c r="G2904" s="2" t="str">
        <f t="array" ref="G2904">_xlfn.XLOOKUP(A2905,Product!A:A,Product!D:D,"Bulunamadı")</f>
        <v>Brighthill Publishing</v>
      </c>
      <c r="H2904" s="2">
        <f t="array" ref="H2904">_xlfn.XLOOKUP(A2906,Product!A:A,Product!E:E,"Bulunamadı")</f>
        <v>2.07</v>
      </c>
      <c r="I2904" s="2" t="str">
        <f t="shared" si="1"/>
        <v>3452 - Arts - Extreme Sports</v>
      </c>
      <c r="J2904" s="2">
        <f t="shared" si="2"/>
        <v>685.17</v>
      </c>
      <c r="K2904" s="17">
        <f t="shared" si="3"/>
        <v>1</v>
      </c>
      <c r="L2904" s="18"/>
    </row>
    <row r="2905">
      <c r="A2905" s="2">
        <f>IFERROR(__xludf.DUMMYFUNCTION("""COMPUTED_VALUE"""),118569.0)</f>
        <v>118569</v>
      </c>
      <c r="B2905" s="2">
        <f>IFERROR(__xludf.DUMMYFUNCTION("""COMPUTED_VALUE"""),0.0)</f>
        <v>0</v>
      </c>
      <c r="C2905" s="2">
        <f>IFERROR(__xludf.DUMMYFUNCTION("""COMPUTED_VALUE"""),936.0)</f>
        <v>936</v>
      </c>
      <c r="D2905" s="3">
        <f>IFERROR(__xludf.DUMMYFUNCTION("""COMPUTED_VALUE"""),629.0)</f>
        <v>629</v>
      </c>
      <c r="E2905" s="1" t="str">
        <f t="array" ref="E2905">_xlfn.XLOOKUP(A2905,Product!A:A,Product!B:B,"Bulunamadı")</f>
        <v>Arts</v>
      </c>
      <c r="F2905" s="1" t="str">
        <f t="array" ref="F2905">_xlfn.XLOOKUP(A2905,Product!A:A,Product!C:C,"Bulunamadı")</f>
        <v>Extreme Sports</v>
      </c>
      <c r="G2905" s="2" t="str">
        <f t="array" ref="G2905">_xlfn.XLOOKUP(A2906,Product!A:A,Product!D:D,"Bulunamadı")</f>
        <v>Oakhill Books</v>
      </c>
      <c r="H2905" s="2">
        <f t="array" ref="H2905">_xlfn.XLOOKUP(A2907,Product!A:A,Product!E:E,"Bulunamadı")</f>
        <v>3.86</v>
      </c>
      <c r="I2905" s="2" t="str">
        <f t="shared" si="1"/>
        <v>118569 - Arts - Extreme Sports</v>
      </c>
      <c r="J2905" s="2">
        <f t="shared" si="2"/>
        <v>2427.94</v>
      </c>
      <c r="K2905" s="17">
        <f t="shared" si="3"/>
        <v>1</v>
      </c>
      <c r="L2905" s="18"/>
    </row>
    <row r="2906">
      <c r="A2906" s="2">
        <f>IFERROR(__xludf.DUMMYFUNCTION("""COMPUTED_VALUE"""),84378.0)</f>
        <v>84378</v>
      </c>
      <c r="B2906" s="2">
        <f>IFERROR(__xludf.DUMMYFUNCTION("""COMPUTED_VALUE"""),0.0)</f>
        <v>0</v>
      </c>
      <c r="C2906" s="2">
        <f>IFERROR(__xludf.DUMMYFUNCTION("""COMPUTED_VALUE"""),511.0)</f>
        <v>511</v>
      </c>
      <c r="D2906" s="3">
        <f>IFERROR(__xludf.DUMMYFUNCTION("""COMPUTED_VALUE"""),56.0)</f>
        <v>56</v>
      </c>
      <c r="E2906" s="1" t="str">
        <f t="array" ref="E2906">_xlfn.XLOOKUP(A2906,Product!A:A,Product!B:B,"Bulunamadı")</f>
        <v>Arts</v>
      </c>
      <c r="F2906" s="1" t="str">
        <f t="array" ref="F2906">_xlfn.XLOOKUP(A2906,Product!A:A,Product!C:C,"Bulunamadı")</f>
        <v>Extreme Sports</v>
      </c>
      <c r="G2906" s="2" t="str">
        <f t="array" ref="G2906">_xlfn.XLOOKUP(A2907,Product!A:A,Product!D:D,"Bulunamadı")</f>
        <v>Oakhill Books</v>
      </c>
      <c r="H2906" s="2">
        <f t="array" ref="H2906">_xlfn.XLOOKUP(A2908,Product!A:A,Product!E:E,"Bulunamadı")</f>
        <v>3.36</v>
      </c>
      <c r="I2906" s="2" t="str">
        <f t="shared" si="1"/>
        <v>84378 - Arts - Extreme Sports</v>
      </c>
      <c r="J2906" s="2">
        <f t="shared" si="2"/>
        <v>188.16</v>
      </c>
      <c r="K2906" s="17">
        <f t="shared" si="3"/>
        <v>1</v>
      </c>
      <c r="L2906" s="18"/>
    </row>
    <row r="2907">
      <c r="A2907" s="2">
        <f>IFERROR(__xludf.DUMMYFUNCTION("""COMPUTED_VALUE"""),112731.0)</f>
        <v>112731</v>
      </c>
      <c r="B2907" s="2">
        <f>IFERROR(__xludf.DUMMYFUNCTION("""COMPUTED_VALUE"""),0.0)</f>
        <v>0</v>
      </c>
      <c r="C2907" s="2">
        <f>IFERROR(__xludf.DUMMYFUNCTION("""COMPUTED_VALUE"""),860.0)</f>
        <v>860</v>
      </c>
      <c r="D2907" s="3">
        <f>IFERROR(__xludf.DUMMYFUNCTION("""COMPUTED_VALUE"""),542.0)</f>
        <v>542</v>
      </c>
      <c r="E2907" s="1" t="str">
        <f t="array" ref="E2907">_xlfn.XLOOKUP(A2907,Product!A:A,Product!B:B,"Bulunamadı")</f>
        <v>Arts</v>
      </c>
      <c r="F2907" s="1" t="str">
        <f t="array" ref="F2907">_xlfn.XLOOKUP(A2907,Product!A:A,Product!C:C,"Bulunamadı")</f>
        <v>Extreme Sports</v>
      </c>
      <c r="G2907" s="2" t="str">
        <f t="array" ref="G2907">_xlfn.XLOOKUP(A2908,Product!A:A,Product!D:D,"Bulunamadı")</f>
        <v>Riverhill Press</v>
      </c>
      <c r="H2907" s="2">
        <f t="array" ref="H2907">_xlfn.XLOOKUP(A2909,Product!A:A,Product!E:E,"Bulunamadı")</f>
        <v>7.46</v>
      </c>
      <c r="I2907" s="2" t="str">
        <f t="shared" si="1"/>
        <v>112731 - Arts - Extreme Sports</v>
      </c>
      <c r="J2907" s="2">
        <f t="shared" si="2"/>
        <v>4043.32</v>
      </c>
      <c r="K2907" s="17">
        <f t="shared" si="3"/>
        <v>1</v>
      </c>
      <c r="L2907" s="18"/>
    </row>
    <row r="2908" hidden="1">
      <c r="A2908" s="2">
        <f>IFERROR(__xludf.DUMMYFUNCTION("""COMPUTED_VALUE"""),166201.0)</f>
        <v>166201</v>
      </c>
      <c r="B2908" s="2">
        <f>IFERROR(__xludf.DUMMYFUNCTION("""COMPUTED_VALUE"""),1.0)</f>
        <v>1</v>
      </c>
      <c r="C2908" s="2">
        <f>IFERROR(__xludf.DUMMYFUNCTION("""COMPUTED_VALUE"""),795.0)</f>
        <v>795</v>
      </c>
      <c r="D2908" s="3">
        <f>IFERROR(__xludf.DUMMYFUNCTION("""COMPUTED_VALUE"""),108.0)</f>
        <v>108</v>
      </c>
      <c r="E2908" s="1" t="str">
        <f t="array" ref="E2908">_xlfn.XLOOKUP(A2908,Product!A:A,Product!B:B,"Bulunamadı")</f>
        <v>Tech</v>
      </c>
      <c r="F2908" s="1" t="str">
        <f t="array" ref="F2908">_xlfn.XLOOKUP(A2908,Product!A:A,Product!C:C,"Bulunamadı")</f>
        <v>Winter Sports</v>
      </c>
      <c r="G2908" s="2" t="str">
        <f t="array" ref="G2908">_xlfn.XLOOKUP(A2909,Product!A:A,Product!D:D,"Bulunamadı")</f>
        <v>Riverhill Press</v>
      </c>
      <c r="H2908" s="2">
        <f t="array" ref="H2908">_xlfn.XLOOKUP(A2910,Product!A:A,Product!E:E,"Bulunamadı")</f>
        <v>7.07</v>
      </c>
      <c r="I2908" s="2" t="str">
        <f t="shared" si="1"/>
        <v>166201 - Tech - Winter Sports</v>
      </c>
      <c r="J2908" s="2">
        <f t="shared" si="2"/>
        <v>763.56</v>
      </c>
      <c r="K2908" s="17">
        <f t="shared" si="3"/>
        <v>1</v>
      </c>
      <c r="L2908" s="18"/>
    </row>
    <row r="2909" hidden="1">
      <c r="A2909" s="2">
        <f>IFERROR(__xludf.DUMMYFUNCTION("""COMPUTED_VALUE"""),48495.0)</f>
        <v>48495</v>
      </c>
      <c r="B2909" s="2">
        <f>IFERROR(__xludf.DUMMYFUNCTION("""COMPUTED_VALUE"""),0.0)</f>
        <v>0</v>
      </c>
      <c r="C2909" s="2">
        <f>IFERROR(__xludf.DUMMYFUNCTION("""COMPUTED_VALUE"""),895.0)</f>
        <v>895</v>
      </c>
      <c r="D2909" s="3">
        <f>IFERROR(__xludf.DUMMYFUNCTION("""COMPUTED_VALUE"""),610.0)</f>
        <v>610</v>
      </c>
      <c r="E2909" s="1" t="str">
        <f t="array" ref="E2909">_xlfn.XLOOKUP(A2909,Product!A:A,Product!B:B,"Bulunamadı")</f>
        <v>Tech</v>
      </c>
      <c r="F2909" s="1" t="str">
        <f t="array" ref="F2909">_xlfn.XLOOKUP(A2909,Product!A:A,Product!C:C,"Bulunamadı")</f>
        <v>Winter Sports</v>
      </c>
      <c r="G2909" s="2" t="str">
        <f t="array" ref="G2909">_xlfn.XLOOKUP(A2910,Product!A:A,Product!D:D,"Bulunamadı")</f>
        <v>Riverhill Press</v>
      </c>
      <c r="H2909" s="2">
        <f t="array" ref="H2909">_xlfn.XLOOKUP(A2911,Product!A:A,Product!E:E,"Bulunamadı")</f>
        <v>3.78</v>
      </c>
      <c r="I2909" s="2" t="str">
        <f t="shared" si="1"/>
        <v>48495 - Tech - Winter Sports</v>
      </c>
      <c r="J2909" s="2">
        <f t="shared" si="2"/>
        <v>2305.8</v>
      </c>
      <c r="K2909" s="17">
        <f t="shared" si="3"/>
        <v>1</v>
      </c>
      <c r="L2909" s="18"/>
    </row>
    <row r="2910" hidden="1">
      <c r="A2910" s="2">
        <f>IFERROR(__xludf.DUMMYFUNCTION("""COMPUTED_VALUE"""),10383.0)</f>
        <v>10383</v>
      </c>
      <c r="B2910" s="2">
        <f>IFERROR(__xludf.DUMMYFUNCTION("""COMPUTED_VALUE"""),1.0)</f>
        <v>1</v>
      </c>
      <c r="C2910" s="2">
        <f>IFERROR(__xludf.DUMMYFUNCTION("""COMPUTED_VALUE"""),511.0)</f>
        <v>511</v>
      </c>
      <c r="D2910" s="3">
        <f>IFERROR(__xludf.DUMMYFUNCTION("""COMPUTED_VALUE"""),58.0)</f>
        <v>58</v>
      </c>
      <c r="E2910" s="1" t="str">
        <f t="array" ref="E2910">_xlfn.XLOOKUP(A2910,Product!A:A,Product!B:B,"Bulunamadı")</f>
        <v>Tech</v>
      </c>
      <c r="F2910" s="1" t="str">
        <f t="array" ref="F2910">_xlfn.XLOOKUP(A2910,Product!A:A,Product!C:C,"Bulunamadı")</f>
        <v>Winter Sports</v>
      </c>
      <c r="G2910" s="2" t="str">
        <f t="array" ref="G2910">_xlfn.XLOOKUP(A2911,Product!A:A,Product!D:D,"Bulunamadı")</f>
        <v>Riverhill Press</v>
      </c>
      <c r="H2910" s="2">
        <f t="array" ref="H2910">_xlfn.XLOOKUP(A2912,Product!A:A,Product!E:E,"Bulunamadı")</f>
        <v>4.09</v>
      </c>
      <c r="I2910" s="2" t="str">
        <f t="shared" si="1"/>
        <v>10383 - Tech - Winter Sports</v>
      </c>
      <c r="J2910" s="2">
        <f t="shared" si="2"/>
        <v>237.22</v>
      </c>
      <c r="K2910" s="17">
        <f t="shared" si="3"/>
        <v>1</v>
      </c>
      <c r="L2910" s="18"/>
    </row>
    <row r="2911" hidden="1">
      <c r="A2911" s="2">
        <f>IFERROR(__xludf.DUMMYFUNCTION("""COMPUTED_VALUE"""),116284.0)</f>
        <v>116284</v>
      </c>
      <c r="B2911" s="2">
        <f>IFERROR(__xludf.DUMMYFUNCTION("""COMPUTED_VALUE"""),1.0)</f>
        <v>1</v>
      </c>
      <c r="C2911" s="2">
        <f>IFERROR(__xludf.DUMMYFUNCTION("""COMPUTED_VALUE"""),919.0)</f>
        <v>919</v>
      </c>
      <c r="D2911" s="3">
        <f>IFERROR(__xludf.DUMMYFUNCTION("""COMPUTED_VALUE"""),895.0)</f>
        <v>895</v>
      </c>
      <c r="E2911" s="1" t="str">
        <f t="array" ref="E2911">_xlfn.XLOOKUP(A2911,Product!A:A,Product!B:B,"Bulunamadı")</f>
        <v>Tech</v>
      </c>
      <c r="F2911" s="1" t="str">
        <f t="array" ref="F2911">_xlfn.XLOOKUP(A2911,Product!A:A,Product!C:C,"Bulunamadı")</f>
        <v>Winter Sports</v>
      </c>
      <c r="G2911" s="2" t="str">
        <f t="array" ref="G2911">_xlfn.XLOOKUP(A2912,Product!A:A,Product!D:D,"Bulunamadı")</f>
        <v>Riverhill Press</v>
      </c>
      <c r="H2911" s="2">
        <f t="array" ref="H2911">_xlfn.XLOOKUP(A2913,Product!A:A,Product!E:E,"Bulunamadı")</f>
        <v>6.22</v>
      </c>
      <c r="I2911" s="2" t="str">
        <f t="shared" si="1"/>
        <v>116284 - Tech - Winter Sports</v>
      </c>
      <c r="J2911" s="2">
        <f t="shared" si="2"/>
        <v>5566.9</v>
      </c>
      <c r="K2911" s="17">
        <f t="shared" si="3"/>
        <v>1</v>
      </c>
      <c r="L2911" s="18"/>
    </row>
    <row r="2912" hidden="1">
      <c r="A2912" s="2">
        <f>IFERROR(__xludf.DUMMYFUNCTION("""COMPUTED_VALUE"""),86543.0)</f>
        <v>86543</v>
      </c>
      <c r="B2912" s="2">
        <f>IFERROR(__xludf.DUMMYFUNCTION("""COMPUTED_VALUE"""),1.0)</f>
        <v>1</v>
      </c>
      <c r="C2912" s="2">
        <f>IFERROR(__xludf.DUMMYFUNCTION("""COMPUTED_VALUE"""),675.0)</f>
        <v>675</v>
      </c>
      <c r="D2912" s="3">
        <f>IFERROR(__xludf.DUMMYFUNCTION("""COMPUTED_VALUE"""),406.0)</f>
        <v>406</v>
      </c>
      <c r="E2912" s="1" t="str">
        <f t="array" ref="E2912">_xlfn.XLOOKUP(A2912,Product!A:A,Product!B:B,"Bulunamadı")</f>
        <v>Tech</v>
      </c>
      <c r="F2912" s="1" t="str">
        <f t="array" ref="F2912">_xlfn.XLOOKUP(A2912,Product!A:A,Product!C:C,"Bulunamadı")</f>
        <v>Winter Sports</v>
      </c>
      <c r="G2912" s="2" t="str">
        <f t="array" ref="G2912">_xlfn.XLOOKUP(A2913,Product!A:A,Product!D:D,"Bulunamadı")</f>
        <v>Riverhill Press</v>
      </c>
      <c r="H2912" s="2">
        <f t="array" ref="H2912">_xlfn.XLOOKUP(A2914,Product!A:A,Product!E:E,"Bulunamadı")</f>
        <v>2.54</v>
      </c>
      <c r="I2912" s="2" t="str">
        <f t="shared" si="1"/>
        <v>86543 - Tech - Winter Sports</v>
      </c>
      <c r="J2912" s="2">
        <f t="shared" si="2"/>
        <v>1031.24</v>
      </c>
      <c r="K2912" s="17">
        <f t="shared" si="3"/>
        <v>1</v>
      </c>
      <c r="L2912" s="18"/>
    </row>
    <row r="2913" hidden="1">
      <c r="A2913" s="2">
        <f>IFERROR(__xludf.DUMMYFUNCTION("""COMPUTED_VALUE"""),21165.0)</f>
        <v>21165</v>
      </c>
      <c r="B2913" s="2">
        <f>IFERROR(__xludf.DUMMYFUNCTION("""COMPUTED_VALUE"""),1.0)</f>
        <v>1</v>
      </c>
      <c r="C2913" s="2">
        <f>IFERROR(__xludf.DUMMYFUNCTION("""COMPUTED_VALUE"""),226.0)</f>
        <v>226</v>
      </c>
      <c r="D2913" s="3">
        <f>IFERROR(__xludf.DUMMYFUNCTION("""COMPUTED_VALUE"""),157.0)</f>
        <v>157</v>
      </c>
      <c r="E2913" s="1" t="str">
        <f t="array" ref="E2913">_xlfn.XLOOKUP(A2913,Product!A:A,Product!B:B,"Bulunamadı")</f>
        <v>Tech</v>
      </c>
      <c r="F2913" s="1" t="str">
        <f t="array" ref="F2913">_xlfn.XLOOKUP(A2913,Product!A:A,Product!C:C,"Bulunamadı")</f>
        <v>Winter Sports</v>
      </c>
      <c r="G2913" s="2" t="str">
        <f t="array" ref="G2913">_xlfn.XLOOKUP(A2914,Product!A:A,Product!D:D,"Bulunamadı")</f>
        <v>Riverhill Press</v>
      </c>
      <c r="H2913" s="2">
        <f t="array" ref="H2913">_xlfn.XLOOKUP(A2915,Product!A:A,Product!E:E,"Bulunamadı")</f>
        <v>3.97</v>
      </c>
      <c r="I2913" s="2" t="str">
        <f t="shared" si="1"/>
        <v>21165 - Tech - Winter Sports</v>
      </c>
      <c r="J2913" s="2">
        <f t="shared" si="2"/>
        <v>623.29</v>
      </c>
      <c r="K2913" s="17">
        <f t="shared" si="3"/>
        <v>1</v>
      </c>
      <c r="L2913" s="18"/>
    </row>
    <row r="2914" hidden="1">
      <c r="A2914" s="2">
        <f>IFERROR(__xludf.DUMMYFUNCTION("""COMPUTED_VALUE"""),10309.0)</f>
        <v>10309</v>
      </c>
      <c r="B2914" s="2">
        <f>IFERROR(__xludf.DUMMYFUNCTION("""COMPUTED_VALUE"""),0.0)</f>
        <v>0</v>
      </c>
      <c r="C2914" s="2">
        <f>IFERROR(__xludf.DUMMYFUNCTION("""COMPUTED_VALUE"""),380.0)</f>
        <v>380</v>
      </c>
      <c r="D2914" s="3">
        <f>IFERROR(__xludf.DUMMYFUNCTION("""COMPUTED_VALUE"""),186.0)</f>
        <v>186</v>
      </c>
      <c r="E2914" s="1" t="str">
        <f t="array" ref="E2914">_xlfn.XLOOKUP(A2914,Product!A:A,Product!B:B,"Bulunamadı")</f>
        <v>Tech</v>
      </c>
      <c r="F2914" s="1" t="str">
        <f t="array" ref="F2914">_xlfn.XLOOKUP(A2914,Product!A:A,Product!C:C,"Bulunamadı")</f>
        <v>Winter Sports</v>
      </c>
      <c r="G2914" s="2" t="str">
        <f t="array" ref="G2914">_xlfn.XLOOKUP(A2915,Product!A:A,Product!D:D,"Bulunamadı")</f>
        <v>Riverhill Press</v>
      </c>
      <c r="H2914" s="2">
        <f t="array" ref="H2914">_xlfn.XLOOKUP(A2916,Product!A:A,Product!E:E,"Bulunamadı")</f>
        <v>5.31</v>
      </c>
      <c r="I2914" s="2" t="str">
        <f t="shared" si="1"/>
        <v>10309 - Tech - Winter Sports</v>
      </c>
      <c r="J2914" s="2">
        <f t="shared" si="2"/>
        <v>987.66</v>
      </c>
      <c r="K2914" s="17">
        <f t="shared" si="3"/>
        <v>1</v>
      </c>
      <c r="L2914" s="18"/>
    </row>
    <row r="2915" hidden="1">
      <c r="A2915" s="2">
        <f>IFERROR(__xludf.DUMMYFUNCTION("""COMPUTED_VALUE"""),10367.0)</f>
        <v>10367</v>
      </c>
      <c r="B2915" s="2">
        <f>IFERROR(__xludf.DUMMYFUNCTION("""COMPUTED_VALUE"""),1.0)</f>
        <v>1</v>
      </c>
      <c r="C2915" s="2">
        <f>IFERROR(__xludf.DUMMYFUNCTION("""COMPUTED_VALUE"""),940.0)</f>
        <v>940</v>
      </c>
      <c r="D2915" s="3">
        <f>IFERROR(__xludf.DUMMYFUNCTION("""COMPUTED_VALUE"""),476.0)</f>
        <v>476</v>
      </c>
      <c r="E2915" s="1" t="str">
        <f t="array" ref="E2915">_xlfn.XLOOKUP(A2915,Product!A:A,Product!B:B,"Bulunamadı")</f>
        <v>Tech</v>
      </c>
      <c r="F2915" s="1" t="str">
        <f t="array" ref="F2915">_xlfn.XLOOKUP(A2915,Product!A:A,Product!C:C,"Bulunamadı")</f>
        <v>Winter Sports</v>
      </c>
      <c r="G2915" s="2" t="str">
        <f t="array" ref="G2915">_xlfn.XLOOKUP(A2916,Product!A:A,Product!D:D,"Bulunamadı")</f>
        <v>Riverhill Press</v>
      </c>
      <c r="H2915" s="2">
        <f t="array" ref="H2915">_xlfn.XLOOKUP(A2917,Product!A:A,Product!E:E,"Bulunamadı")</f>
        <v>5.87</v>
      </c>
      <c r="I2915" s="2" t="str">
        <f t="shared" si="1"/>
        <v>10367 - Tech - Winter Sports</v>
      </c>
      <c r="J2915" s="2">
        <f t="shared" si="2"/>
        <v>2794.12</v>
      </c>
      <c r="K2915" s="17">
        <f t="shared" si="3"/>
        <v>1</v>
      </c>
      <c r="L2915" s="18"/>
    </row>
    <row r="2916" hidden="1">
      <c r="A2916" s="2">
        <f>IFERROR(__xludf.DUMMYFUNCTION("""COMPUTED_VALUE"""),86545.0)</f>
        <v>86545</v>
      </c>
      <c r="B2916" s="2">
        <f>IFERROR(__xludf.DUMMYFUNCTION("""COMPUTED_VALUE"""),1.0)</f>
        <v>1</v>
      </c>
      <c r="C2916" s="2">
        <f>IFERROR(__xludf.DUMMYFUNCTION("""COMPUTED_VALUE"""),842.0)</f>
        <v>842</v>
      </c>
      <c r="D2916" s="3">
        <f>IFERROR(__xludf.DUMMYFUNCTION("""COMPUTED_VALUE"""),21.0)</f>
        <v>21</v>
      </c>
      <c r="E2916" s="1" t="str">
        <f t="array" ref="E2916">_xlfn.XLOOKUP(A2916,Product!A:A,Product!B:B,"Bulunamadı")</f>
        <v>Tech</v>
      </c>
      <c r="F2916" s="1" t="str">
        <f t="array" ref="F2916">_xlfn.XLOOKUP(A2916,Product!A:A,Product!C:C,"Bulunamadı")</f>
        <v>Winter Sports</v>
      </c>
      <c r="G2916" s="2" t="str">
        <f t="array" ref="G2916">_xlfn.XLOOKUP(A2917,Product!A:A,Product!D:D,"Bulunamadı")</f>
        <v>Riverhill Press</v>
      </c>
      <c r="H2916" s="2">
        <f t="array" ref="H2916">_xlfn.XLOOKUP(A2918,Product!A:A,Product!E:E,"Bulunamadı")</f>
        <v>7.12</v>
      </c>
      <c r="I2916" s="2" t="str">
        <f t="shared" si="1"/>
        <v>86545 - Tech - Winter Sports</v>
      </c>
      <c r="J2916" s="2">
        <f t="shared" si="2"/>
        <v>149.52</v>
      </c>
      <c r="K2916" s="17">
        <f t="shared" si="3"/>
        <v>1</v>
      </c>
      <c r="L2916" s="18"/>
    </row>
    <row r="2917" hidden="1">
      <c r="A2917" s="2">
        <f>IFERROR(__xludf.DUMMYFUNCTION("""COMPUTED_VALUE"""),86544.0)</f>
        <v>86544</v>
      </c>
      <c r="B2917" s="2">
        <f>IFERROR(__xludf.DUMMYFUNCTION("""COMPUTED_VALUE"""),1.0)</f>
        <v>1</v>
      </c>
      <c r="C2917" s="2">
        <f>IFERROR(__xludf.DUMMYFUNCTION("""COMPUTED_VALUE"""),648.0)</f>
        <v>648</v>
      </c>
      <c r="D2917" s="3">
        <f>IFERROR(__xludf.DUMMYFUNCTION("""COMPUTED_VALUE"""),220.0)</f>
        <v>220</v>
      </c>
      <c r="E2917" s="1" t="str">
        <f t="array" ref="E2917">_xlfn.XLOOKUP(A2917,Product!A:A,Product!B:B,"Bulunamadı")</f>
        <v>Tech</v>
      </c>
      <c r="F2917" s="1" t="str">
        <f t="array" ref="F2917">_xlfn.XLOOKUP(A2917,Product!A:A,Product!C:C,"Bulunamadı")</f>
        <v>Winter Sports</v>
      </c>
      <c r="G2917" s="2" t="str">
        <f t="array" ref="G2917">_xlfn.XLOOKUP(A2918,Product!A:A,Product!D:D,"Bulunamadı")</f>
        <v>Riverhill Press</v>
      </c>
      <c r="H2917" s="2">
        <f t="array" ref="H2917">_xlfn.XLOOKUP(A2919,Product!A:A,Product!E:E,"Bulunamadı")</f>
        <v>4.77</v>
      </c>
      <c r="I2917" s="2" t="str">
        <f t="shared" si="1"/>
        <v>86544 - Tech - Winter Sports</v>
      </c>
      <c r="J2917" s="2">
        <f t="shared" si="2"/>
        <v>1049.4</v>
      </c>
      <c r="K2917" s="17">
        <f t="shared" si="3"/>
        <v>1</v>
      </c>
      <c r="L2917" s="18"/>
    </row>
    <row r="2918" hidden="1">
      <c r="A2918" s="2">
        <f>IFERROR(__xludf.DUMMYFUNCTION("""COMPUTED_VALUE"""),10384.0)</f>
        <v>10384</v>
      </c>
      <c r="B2918" s="2">
        <f>IFERROR(__xludf.DUMMYFUNCTION("""COMPUTED_VALUE"""),0.0)</f>
        <v>0</v>
      </c>
      <c r="C2918" s="2">
        <f>IFERROR(__xludf.DUMMYFUNCTION("""COMPUTED_VALUE"""),31.0)</f>
        <v>31</v>
      </c>
      <c r="D2918" s="3">
        <f>IFERROR(__xludf.DUMMYFUNCTION("""COMPUTED_VALUE"""),10.0)</f>
        <v>10</v>
      </c>
      <c r="E2918" s="1" t="str">
        <f t="array" ref="E2918">_xlfn.XLOOKUP(A2918,Product!A:A,Product!B:B,"Bulunamadı")</f>
        <v>Tech</v>
      </c>
      <c r="F2918" s="1" t="str">
        <f t="array" ref="F2918">_xlfn.XLOOKUP(A2918,Product!A:A,Product!C:C,"Bulunamadı")</f>
        <v>Winter Sports</v>
      </c>
      <c r="G2918" s="2" t="str">
        <f t="array" ref="G2918">_xlfn.XLOOKUP(A2919,Product!A:A,Product!D:D,"Bulunamadı")</f>
        <v>Ironhill Publishing</v>
      </c>
      <c r="H2918" s="2">
        <f t="array" ref="H2918">_xlfn.XLOOKUP(A2920,Product!A:A,Product!E:E,"Bulunamadı")</f>
        <v>4.84</v>
      </c>
      <c r="I2918" s="2" t="str">
        <f t="shared" si="1"/>
        <v>10384 - Tech - Winter Sports</v>
      </c>
      <c r="J2918" s="2">
        <f t="shared" si="2"/>
        <v>48.4</v>
      </c>
      <c r="K2918" s="17">
        <f t="shared" si="3"/>
        <v>1</v>
      </c>
      <c r="L2918" s="18"/>
    </row>
    <row r="2919" hidden="1">
      <c r="A2919" s="2">
        <f>IFERROR(__xludf.DUMMYFUNCTION("""COMPUTED_VALUE"""),79314.0)</f>
        <v>79314</v>
      </c>
      <c r="B2919" s="2">
        <f>IFERROR(__xludf.DUMMYFUNCTION("""COMPUTED_VALUE"""),1.0)</f>
        <v>1</v>
      </c>
      <c r="C2919" s="2">
        <f>IFERROR(__xludf.DUMMYFUNCTION("""COMPUTED_VALUE"""),219.0)</f>
        <v>219</v>
      </c>
      <c r="D2919" s="3">
        <f>IFERROR(__xludf.DUMMYFUNCTION("""COMPUTED_VALUE"""),180.0)</f>
        <v>180</v>
      </c>
      <c r="E2919" s="1" t="str">
        <f t="array" ref="E2919">_xlfn.XLOOKUP(A2919,Product!A:A,Product!B:B,"Bulunamadı")</f>
        <v>Tech</v>
      </c>
      <c r="F2919" s="1" t="str">
        <f t="array" ref="F2919">_xlfn.XLOOKUP(A2919,Product!A:A,Product!C:C,"Bulunamadı")</f>
        <v>Winter Sports</v>
      </c>
      <c r="G2919" s="2" t="str">
        <f t="array" ref="G2919">_xlfn.XLOOKUP(A2920,Product!A:A,Product!D:D,"Bulunamadı")</f>
        <v>Ironhill Publishing</v>
      </c>
      <c r="H2919" s="2">
        <f t="array" ref="H2919">_xlfn.XLOOKUP(A2921,Product!A:A,Product!E:E,"Bulunamadı")</f>
        <v>3.07</v>
      </c>
      <c r="I2919" s="2" t="str">
        <f t="shared" si="1"/>
        <v>79314 - Tech - Winter Sports</v>
      </c>
      <c r="J2919" s="2">
        <f t="shared" si="2"/>
        <v>552.6</v>
      </c>
      <c r="K2919" s="17">
        <f t="shared" si="3"/>
        <v>1</v>
      </c>
      <c r="L2919" s="18"/>
    </row>
    <row r="2920" hidden="1">
      <c r="A2920" s="2">
        <f>IFERROR(__xludf.DUMMYFUNCTION("""COMPUTED_VALUE"""),79311.0)</f>
        <v>79311</v>
      </c>
      <c r="B2920" s="2">
        <f>IFERROR(__xludf.DUMMYFUNCTION("""COMPUTED_VALUE"""),0.0)</f>
        <v>0</v>
      </c>
      <c r="C2920" s="2">
        <f>IFERROR(__xludf.DUMMYFUNCTION("""COMPUTED_VALUE"""),778.0)</f>
        <v>778</v>
      </c>
      <c r="D2920" s="3">
        <f>IFERROR(__xludf.DUMMYFUNCTION("""COMPUTED_VALUE"""),515.0)</f>
        <v>515</v>
      </c>
      <c r="E2920" s="1" t="str">
        <f t="array" ref="E2920">_xlfn.XLOOKUP(A2920,Product!A:A,Product!B:B,"Bulunamadı")</f>
        <v>Tech</v>
      </c>
      <c r="F2920" s="1" t="str">
        <f t="array" ref="F2920">_xlfn.XLOOKUP(A2920,Product!A:A,Product!C:C,"Bulunamadı")</f>
        <v>Winter Sports</v>
      </c>
      <c r="G2920" s="2" t="str">
        <f t="array" ref="G2920">_xlfn.XLOOKUP(A2921,Product!A:A,Product!D:D,"Bulunamadı")</f>
        <v>Ironhill Publishing</v>
      </c>
      <c r="H2920" s="2">
        <f t="array" ref="H2920">_xlfn.XLOOKUP(A2922,Product!A:A,Product!E:E,"Bulunamadı")</f>
        <v>4.57</v>
      </c>
      <c r="I2920" s="2" t="str">
        <f t="shared" si="1"/>
        <v>79311 - Tech - Winter Sports</v>
      </c>
      <c r="J2920" s="2">
        <f t="shared" si="2"/>
        <v>2353.55</v>
      </c>
      <c r="K2920" s="17">
        <f t="shared" si="3"/>
        <v>1</v>
      </c>
      <c r="L2920" s="18"/>
    </row>
    <row r="2921" hidden="1">
      <c r="A2921" s="2">
        <f>IFERROR(__xludf.DUMMYFUNCTION("""COMPUTED_VALUE"""),118249.0)</f>
        <v>118249</v>
      </c>
      <c r="B2921" s="2">
        <f>IFERROR(__xludf.DUMMYFUNCTION("""COMPUTED_VALUE"""),1.0)</f>
        <v>1</v>
      </c>
      <c r="C2921" s="2">
        <f>IFERROR(__xludf.DUMMYFUNCTION("""COMPUTED_VALUE"""),769.0)</f>
        <v>769</v>
      </c>
      <c r="D2921" s="3">
        <f>IFERROR(__xludf.DUMMYFUNCTION("""COMPUTED_VALUE"""),159.0)</f>
        <v>159</v>
      </c>
      <c r="E2921" s="1" t="str">
        <f t="array" ref="E2921">_xlfn.XLOOKUP(A2921,Product!A:A,Product!B:B,"Bulunamadı")</f>
        <v>Tech</v>
      </c>
      <c r="F2921" s="1" t="str">
        <f t="array" ref="F2921">_xlfn.XLOOKUP(A2921,Product!A:A,Product!C:C,"Bulunamadı")</f>
        <v>Winter Sports</v>
      </c>
      <c r="G2921" s="2" t="str">
        <f t="array" ref="G2921">_xlfn.XLOOKUP(A2922,Product!A:A,Product!D:D,"Bulunamadı")</f>
        <v>Ironhill Publishing</v>
      </c>
      <c r="H2921" s="2">
        <f t="array" ref="H2921">_xlfn.XLOOKUP(A2923,Product!A:A,Product!E:E,"Bulunamadı")</f>
        <v>4.94</v>
      </c>
      <c r="I2921" s="2" t="str">
        <f t="shared" si="1"/>
        <v>118249 - Tech - Winter Sports</v>
      </c>
      <c r="J2921" s="2">
        <f t="shared" si="2"/>
        <v>785.46</v>
      </c>
      <c r="K2921" s="17">
        <f t="shared" si="3"/>
        <v>1</v>
      </c>
      <c r="L2921" s="18"/>
    </row>
    <row r="2922" hidden="1">
      <c r="A2922" s="2">
        <f>IFERROR(__xludf.DUMMYFUNCTION("""COMPUTED_VALUE"""),128420.0)</f>
        <v>128420</v>
      </c>
      <c r="B2922" s="2">
        <f>IFERROR(__xludf.DUMMYFUNCTION("""COMPUTED_VALUE"""),0.0)</f>
        <v>0</v>
      </c>
      <c r="C2922" s="2">
        <f>IFERROR(__xludf.DUMMYFUNCTION("""COMPUTED_VALUE"""),906.0)</f>
        <v>906</v>
      </c>
      <c r="D2922" s="3">
        <f>IFERROR(__xludf.DUMMYFUNCTION("""COMPUTED_VALUE"""),335.0)</f>
        <v>335</v>
      </c>
      <c r="E2922" s="1" t="str">
        <f t="array" ref="E2922">_xlfn.XLOOKUP(A2922,Product!A:A,Product!B:B,"Bulunamadı")</f>
        <v>Tech</v>
      </c>
      <c r="F2922" s="1" t="str">
        <f t="array" ref="F2922">_xlfn.XLOOKUP(A2922,Product!A:A,Product!C:C,"Bulunamadı")</f>
        <v>Winter Sports</v>
      </c>
      <c r="G2922" s="2" t="str">
        <f t="array" ref="G2922">_xlfn.XLOOKUP(A2923,Product!A:A,Product!D:D,"Bulunamadı")</f>
        <v>Ironhill Publishing</v>
      </c>
      <c r="H2922" s="2">
        <f t="array" ref="H2922">_xlfn.XLOOKUP(A2924,Product!A:A,Product!E:E,"Bulunamadı")</f>
        <v>9.68</v>
      </c>
      <c r="I2922" s="2" t="str">
        <f t="shared" si="1"/>
        <v>128420 - Tech - Winter Sports</v>
      </c>
      <c r="J2922" s="2">
        <f t="shared" si="2"/>
        <v>3242.8</v>
      </c>
      <c r="K2922" s="17">
        <f t="shared" si="3"/>
        <v>1</v>
      </c>
      <c r="L2922" s="18"/>
    </row>
    <row r="2923" hidden="1">
      <c r="A2923" s="2">
        <f>IFERROR(__xludf.DUMMYFUNCTION("""COMPUTED_VALUE"""),120692.0)</f>
        <v>120692</v>
      </c>
      <c r="B2923" s="2">
        <f>IFERROR(__xludf.DUMMYFUNCTION("""COMPUTED_VALUE"""),0.0)</f>
        <v>0</v>
      </c>
      <c r="C2923" s="2">
        <f>IFERROR(__xludf.DUMMYFUNCTION("""COMPUTED_VALUE"""),864.0)</f>
        <v>864</v>
      </c>
      <c r="D2923" s="3">
        <f>IFERROR(__xludf.DUMMYFUNCTION("""COMPUTED_VALUE"""),111.0)</f>
        <v>111</v>
      </c>
      <c r="E2923" s="1" t="str">
        <f t="array" ref="E2923">_xlfn.XLOOKUP(A2923,Product!A:A,Product!B:B,"Bulunamadı")</f>
        <v>Tech</v>
      </c>
      <c r="F2923" s="1" t="str">
        <f t="array" ref="F2923">_xlfn.XLOOKUP(A2923,Product!A:A,Product!C:C,"Bulunamadı")</f>
        <v>Winter Sports</v>
      </c>
      <c r="G2923" s="2" t="str">
        <f t="array" ref="G2923">_xlfn.XLOOKUP(A2924,Product!A:A,Product!D:D,"Bulunamadı")</f>
        <v>Ironhill Publishing</v>
      </c>
      <c r="H2923" s="2">
        <f t="array" ref="H2923">_xlfn.XLOOKUP(A2925,Product!A:A,Product!E:E,"Bulunamadı")</f>
        <v>7.36</v>
      </c>
      <c r="I2923" s="2" t="str">
        <f t="shared" si="1"/>
        <v>120692 - Tech - Winter Sports</v>
      </c>
      <c r="J2923" s="2">
        <f t="shared" si="2"/>
        <v>816.96</v>
      </c>
      <c r="K2923" s="17">
        <f t="shared" si="3"/>
        <v>1</v>
      </c>
      <c r="L2923" s="18"/>
    </row>
    <row r="2924" hidden="1">
      <c r="A2924" s="2">
        <f>IFERROR(__xludf.DUMMYFUNCTION("""COMPUTED_VALUE"""),122464.0)</f>
        <v>122464</v>
      </c>
      <c r="B2924" s="2">
        <f>IFERROR(__xludf.DUMMYFUNCTION("""COMPUTED_VALUE"""),1.0)</f>
        <v>1</v>
      </c>
      <c r="C2924" s="2">
        <f>IFERROR(__xludf.DUMMYFUNCTION("""COMPUTED_VALUE"""),709.0)</f>
        <v>709</v>
      </c>
      <c r="D2924" s="3">
        <f>IFERROR(__xludf.DUMMYFUNCTION("""COMPUTED_VALUE"""),436.0)</f>
        <v>436</v>
      </c>
      <c r="E2924" s="1" t="str">
        <f t="array" ref="E2924">_xlfn.XLOOKUP(A2924,Product!A:A,Product!B:B,"Bulunamadı")</f>
        <v>Tech</v>
      </c>
      <c r="F2924" s="1" t="str">
        <f t="array" ref="F2924">_xlfn.XLOOKUP(A2924,Product!A:A,Product!C:C,"Bulunamadı")</f>
        <v>Winter Sports</v>
      </c>
      <c r="G2924" s="2" t="str">
        <f t="array" ref="G2924">_xlfn.XLOOKUP(A2925,Product!A:A,Product!D:D,"Bulunamadı")</f>
        <v>Ironhill Publishing</v>
      </c>
      <c r="H2924" s="2">
        <f t="array" ref="H2924">_xlfn.XLOOKUP(A2926,Product!A:A,Product!E:E,"Bulunamadı")</f>
        <v>5.35</v>
      </c>
      <c r="I2924" s="2" t="str">
        <f t="shared" si="1"/>
        <v>122464 - Tech - Winter Sports</v>
      </c>
      <c r="J2924" s="2">
        <f t="shared" si="2"/>
        <v>2332.6</v>
      </c>
      <c r="K2924" s="17">
        <f t="shared" si="3"/>
        <v>1</v>
      </c>
      <c r="L2924" s="18"/>
    </row>
    <row r="2925" hidden="1">
      <c r="A2925" s="2">
        <f>IFERROR(__xludf.DUMMYFUNCTION("""COMPUTED_VALUE"""),79762.0)</f>
        <v>79762</v>
      </c>
      <c r="B2925" s="2">
        <f>IFERROR(__xludf.DUMMYFUNCTION("""COMPUTED_VALUE"""),1.0)</f>
        <v>1</v>
      </c>
      <c r="C2925" s="2">
        <f>IFERROR(__xludf.DUMMYFUNCTION("""COMPUTED_VALUE"""),534.0)</f>
        <v>534</v>
      </c>
      <c r="D2925" s="3">
        <f>IFERROR(__xludf.DUMMYFUNCTION("""COMPUTED_VALUE"""),86.0)</f>
        <v>86</v>
      </c>
      <c r="E2925" s="1" t="str">
        <f t="array" ref="E2925">_xlfn.XLOOKUP(A2925,Product!A:A,Product!B:B,"Bulunamadı")</f>
        <v>Tech</v>
      </c>
      <c r="F2925" s="1" t="str">
        <f t="array" ref="F2925">_xlfn.XLOOKUP(A2925,Product!A:A,Product!C:C,"Bulunamadı")</f>
        <v>Winter Sports</v>
      </c>
      <c r="G2925" s="2" t="str">
        <f t="array" ref="G2925">_xlfn.XLOOKUP(A2926,Product!A:A,Product!D:D,"Bulunamadı")</f>
        <v>Ironhill Publishing</v>
      </c>
      <c r="H2925" s="2">
        <f t="array" ref="H2925">_xlfn.XLOOKUP(A2927,Product!A:A,Product!E:E,"Bulunamadı")</f>
        <v>6.93</v>
      </c>
      <c r="I2925" s="2" t="str">
        <f t="shared" si="1"/>
        <v>79762 - Tech - Winter Sports</v>
      </c>
      <c r="J2925" s="2">
        <f t="shared" si="2"/>
        <v>595.98</v>
      </c>
      <c r="K2925" s="17">
        <f t="shared" si="3"/>
        <v>1</v>
      </c>
      <c r="L2925" s="18"/>
    </row>
    <row r="2926" hidden="1">
      <c r="A2926" s="2">
        <f>IFERROR(__xludf.DUMMYFUNCTION("""COMPUTED_VALUE"""),79315.0)</f>
        <v>79315</v>
      </c>
      <c r="B2926" s="2">
        <f>IFERROR(__xludf.DUMMYFUNCTION("""COMPUTED_VALUE"""),1.0)</f>
        <v>1</v>
      </c>
      <c r="C2926" s="2">
        <f>IFERROR(__xludf.DUMMYFUNCTION("""COMPUTED_VALUE"""),75.0)</f>
        <v>75</v>
      </c>
      <c r="D2926" s="3">
        <f>IFERROR(__xludf.DUMMYFUNCTION("""COMPUTED_VALUE"""),49.0)</f>
        <v>49</v>
      </c>
      <c r="E2926" s="1" t="str">
        <f t="array" ref="E2926">_xlfn.XLOOKUP(A2926,Product!A:A,Product!B:B,"Bulunamadı")</f>
        <v>Tech</v>
      </c>
      <c r="F2926" s="1" t="str">
        <f t="array" ref="F2926">_xlfn.XLOOKUP(A2926,Product!A:A,Product!C:C,"Bulunamadı")</f>
        <v>Winter Sports</v>
      </c>
      <c r="G2926" s="2" t="str">
        <f t="array" ref="G2926">_xlfn.XLOOKUP(A2927,Product!A:A,Product!D:D,"Bulunamadı")</f>
        <v>Ironhill Publishing</v>
      </c>
      <c r="H2926" s="2">
        <f t="array" ref="H2926">_xlfn.XLOOKUP(A2928,Product!A:A,Product!E:E,"Bulunamadı")</f>
        <v>3.09</v>
      </c>
      <c r="I2926" s="2" t="str">
        <f t="shared" si="1"/>
        <v>79315 - Tech - Winter Sports</v>
      </c>
      <c r="J2926" s="2">
        <f t="shared" si="2"/>
        <v>151.41</v>
      </c>
      <c r="K2926" s="17">
        <f t="shared" si="3"/>
        <v>1</v>
      </c>
      <c r="L2926" s="18"/>
    </row>
    <row r="2927" hidden="1">
      <c r="A2927" s="2">
        <f>IFERROR(__xludf.DUMMYFUNCTION("""COMPUTED_VALUE"""),98941.0)</f>
        <v>98941</v>
      </c>
      <c r="B2927" s="2">
        <f>IFERROR(__xludf.DUMMYFUNCTION("""COMPUTED_VALUE"""),1.0)</f>
        <v>1</v>
      </c>
      <c r="C2927" s="2">
        <f>IFERROR(__xludf.DUMMYFUNCTION("""COMPUTED_VALUE"""),221.0)</f>
        <v>221</v>
      </c>
      <c r="D2927" s="3">
        <f>IFERROR(__xludf.DUMMYFUNCTION("""COMPUTED_VALUE"""),30.0)</f>
        <v>30</v>
      </c>
      <c r="E2927" s="1" t="str">
        <f t="array" ref="E2927">_xlfn.XLOOKUP(A2927,Product!A:A,Product!B:B,"Bulunamadı")</f>
        <v>Tech</v>
      </c>
      <c r="F2927" s="1" t="str">
        <f t="array" ref="F2927">_xlfn.XLOOKUP(A2927,Product!A:A,Product!C:C,"Bulunamadı")</f>
        <v>Winter Sports</v>
      </c>
      <c r="G2927" s="2" t="str">
        <f t="array" ref="G2927">_xlfn.XLOOKUP(A2928,Product!A:A,Product!D:D,"Bulunamadı")</f>
        <v>Ironhill Publishing</v>
      </c>
      <c r="H2927" s="2">
        <f t="array" ref="H2927">_xlfn.XLOOKUP(A2929,Product!A:A,Product!E:E,"Bulunamadı")</f>
        <v>8.92</v>
      </c>
      <c r="I2927" s="2" t="str">
        <f t="shared" si="1"/>
        <v>98941 - Tech - Winter Sports</v>
      </c>
      <c r="J2927" s="2">
        <f t="shared" si="2"/>
        <v>267.6</v>
      </c>
      <c r="K2927" s="17">
        <f t="shared" si="3"/>
        <v>1</v>
      </c>
      <c r="L2927" s="18"/>
    </row>
    <row r="2928" hidden="1">
      <c r="A2928" s="2">
        <f>IFERROR(__xludf.DUMMYFUNCTION("""COMPUTED_VALUE"""),118245.0)</f>
        <v>118245</v>
      </c>
      <c r="B2928" s="2">
        <f>IFERROR(__xludf.DUMMYFUNCTION("""COMPUTED_VALUE"""),0.0)</f>
        <v>0</v>
      </c>
      <c r="C2928" s="2">
        <f>IFERROR(__xludf.DUMMYFUNCTION("""COMPUTED_VALUE"""),645.0)</f>
        <v>645</v>
      </c>
      <c r="D2928" s="3">
        <f>IFERROR(__xludf.DUMMYFUNCTION("""COMPUTED_VALUE"""),583.0)</f>
        <v>583</v>
      </c>
      <c r="E2928" s="1" t="str">
        <f t="array" ref="E2928">_xlfn.XLOOKUP(A2928,Product!A:A,Product!B:B,"Bulunamadı")</f>
        <v>Tech</v>
      </c>
      <c r="F2928" s="1" t="str">
        <f t="array" ref="F2928">_xlfn.XLOOKUP(A2928,Product!A:A,Product!C:C,"Bulunamadı")</f>
        <v>Winter Sports</v>
      </c>
      <c r="G2928" s="2" t="str">
        <f t="array" ref="G2928">_xlfn.XLOOKUP(A2929,Product!A:A,Product!D:D,"Bulunamadı")</f>
        <v>Ironhill Publishing</v>
      </c>
      <c r="H2928" s="2">
        <f t="array" ref="H2928">_xlfn.XLOOKUP(A2930,Product!A:A,Product!E:E,"Bulunamadı")</f>
        <v>7.11</v>
      </c>
      <c r="I2928" s="2" t="str">
        <f t="shared" si="1"/>
        <v>118245 - Tech - Winter Sports</v>
      </c>
      <c r="J2928" s="2">
        <f t="shared" si="2"/>
        <v>4145.13</v>
      </c>
      <c r="K2928" s="17">
        <f t="shared" si="3"/>
        <v>1</v>
      </c>
      <c r="L2928" s="18"/>
    </row>
    <row r="2929" hidden="1">
      <c r="A2929" s="2">
        <f>IFERROR(__xludf.DUMMYFUNCTION("""COMPUTED_VALUE"""),122333.0)</f>
        <v>122333</v>
      </c>
      <c r="B2929" s="2">
        <f>IFERROR(__xludf.DUMMYFUNCTION("""COMPUTED_VALUE"""),0.0)</f>
        <v>0</v>
      </c>
      <c r="C2929" s="2">
        <f>IFERROR(__xludf.DUMMYFUNCTION("""COMPUTED_VALUE"""),910.0)</f>
        <v>910</v>
      </c>
      <c r="D2929" s="3">
        <f>IFERROR(__xludf.DUMMYFUNCTION("""COMPUTED_VALUE"""),709.0)</f>
        <v>709</v>
      </c>
      <c r="E2929" s="1" t="str">
        <f t="array" ref="E2929">_xlfn.XLOOKUP(A2929,Product!A:A,Product!B:B,"Bulunamadı")</f>
        <v>Tech</v>
      </c>
      <c r="F2929" s="1" t="str">
        <f t="array" ref="F2929">_xlfn.XLOOKUP(A2929,Product!A:A,Product!C:C,"Bulunamadı")</f>
        <v>Winter Sports</v>
      </c>
      <c r="G2929" s="2" t="str">
        <f t="array" ref="G2929">_xlfn.XLOOKUP(A2930,Product!A:A,Product!D:D,"Bulunamadı")</f>
        <v>Ironhill Publishing</v>
      </c>
      <c r="H2929" s="2">
        <f t="array" ref="H2929">_xlfn.XLOOKUP(A2931,Product!A:A,Product!E:E,"Bulunamadı")</f>
        <v>5.74</v>
      </c>
      <c r="I2929" s="2" t="str">
        <f t="shared" si="1"/>
        <v>122333 - Tech - Winter Sports</v>
      </c>
      <c r="J2929" s="2">
        <f t="shared" si="2"/>
        <v>4069.66</v>
      </c>
      <c r="K2929" s="17">
        <f t="shared" si="3"/>
        <v>1</v>
      </c>
      <c r="L2929" s="18"/>
    </row>
    <row r="2930" hidden="1">
      <c r="A2930" s="2">
        <f>IFERROR(__xludf.DUMMYFUNCTION("""COMPUTED_VALUE"""),121901.0)</f>
        <v>121901</v>
      </c>
      <c r="B2930" s="2">
        <f>IFERROR(__xludf.DUMMYFUNCTION("""COMPUTED_VALUE"""),0.0)</f>
        <v>0</v>
      </c>
      <c r="C2930" s="2">
        <f>IFERROR(__xludf.DUMMYFUNCTION("""COMPUTED_VALUE"""),761.0)</f>
        <v>761</v>
      </c>
      <c r="D2930" s="3">
        <f>IFERROR(__xludf.DUMMYFUNCTION("""COMPUTED_VALUE"""),270.0)</f>
        <v>270</v>
      </c>
      <c r="E2930" s="1" t="str">
        <f t="array" ref="E2930">_xlfn.XLOOKUP(A2930,Product!A:A,Product!B:B,"Bulunamadı")</f>
        <v>Tech</v>
      </c>
      <c r="F2930" s="1" t="str">
        <f t="array" ref="F2930">_xlfn.XLOOKUP(A2930,Product!A:A,Product!C:C,"Bulunamadı")</f>
        <v>Winter Sports</v>
      </c>
      <c r="G2930" s="2" t="str">
        <f t="array" ref="G2930">_xlfn.XLOOKUP(A2931,Product!A:A,Product!D:D,"Bulunamadı")</f>
        <v>Ironhill Publishing</v>
      </c>
      <c r="H2930" s="2">
        <f t="array" ref="H2930">_xlfn.XLOOKUP(A2932,Product!A:A,Product!E:E,"Bulunamadı")</f>
        <v>3.51</v>
      </c>
      <c r="I2930" s="2" t="str">
        <f t="shared" si="1"/>
        <v>121901 - Tech - Winter Sports</v>
      </c>
      <c r="J2930" s="2">
        <f t="shared" si="2"/>
        <v>947.7</v>
      </c>
      <c r="K2930" s="17">
        <f t="shared" si="3"/>
        <v>1</v>
      </c>
      <c r="L2930" s="18"/>
    </row>
    <row r="2931" hidden="1">
      <c r="A2931" s="2">
        <f>IFERROR(__xludf.DUMMYFUNCTION("""COMPUTED_VALUE"""),79316.0)</f>
        <v>79316</v>
      </c>
      <c r="B2931" s="2">
        <f>IFERROR(__xludf.DUMMYFUNCTION("""COMPUTED_VALUE"""),1.0)</f>
        <v>1</v>
      </c>
      <c r="C2931" s="2">
        <f>IFERROR(__xludf.DUMMYFUNCTION("""COMPUTED_VALUE"""),707.0)</f>
        <v>707</v>
      </c>
      <c r="D2931" s="3">
        <f>IFERROR(__xludf.DUMMYFUNCTION("""COMPUTED_VALUE"""),0.0)</f>
        <v>0</v>
      </c>
      <c r="E2931" s="1" t="str">
        <f t="array" ref="E2931">_xlfn.XLOOKUP(A2931,Product!A:A,Product!B:B,"Bulunamadı")</f>
        <v>Tech</v>
      </c>
      <c r="F2931" s="1" t="str">
        <f t="array" ref="F2931">_xlfn.XLOOKUP(A2931,Product!A:A,Product!C:C,"Bulunamadı")</f>
        <v>Winter Sports</v>
      </c>
      <c r="G2931" s="2" t="str">
        <f t="array" ref="G2931">_xlfn.XLOOKUP(A2932,Product!A:A,Product!D:D,"Bulunamadı")</f>
        <v>Ironhill Publishing</v>
      </c>
      <c r="H2931" s="2">
        <f t="array" ref="H2931">_xlfn.XLOOKUP(A2933,Product!A:A,Product!E:E,"Bulunamadı")</f>
        <v>5.73</v>
      </c>
      <c r="I2931" s="2" t="str">
        <f t="shared" si="1"/>
        <v>79316 - Tech - Winter Sports</v>
      </c>
      <c r="J2931" s="2">
        <f t="shared" si="2"/>
        <v>0</v>
      </c>
      <c r="K2931" s="17">
        <f t="shared" si="3"/>
        <v>0</v>
      </c>
      <c r="L2931" s="18"/>
    </row>
    <row r="2932" hidden="1">
      <c r="A2932" s="2">
        <f>IFERROR(__xludf.DUMMYFUNCTION("""COMPUTED_VALUE"""),109899.0)</f>
        <v>109899</v>
      </c>
      <c r="B2932" s="2">
        <f>IFERROR(__xludf.DUMMYFUNCTION("""COMPUTED_VALUE"""),1.0)</f>
        <v>1</v>
      </c>
      <c r="C2932" s="2">
        <f>IFERROR(__xludf.DUMMYFUNCTION("""COMPUTED_VALUE"""),703.0)</f>
        <v>703</v>
      </c>
      <c r="D2932" s="3">
        <f>IFERROR(__xludf.DUMMYFUNCTION("""COMPUTED_VALUE"""),555.0)</f>
        <v>555</v>
      </c>
      <c r="E2932" s="1" t="str">
        <f t="array" ref="E2932">_xlfn.XLOOKUP(A2932,Product!A:A,Product!B:B,"Bulunamadı")</f>
        <v>Tech</v>
      </c>
      <c r="F2932" s="1" t="str">
        <f t="array" ref="F2932">_xlfn.XLOOKUP(A2932,Product!A:A,Product!C:C,"Bulunamadı")</f>
        <v>Winter Sports</v>
      </c>
      <c r="G2932" s="2" t="str">
        <f t="array" ref="G2932">_xlfn.XLOOKUP(A2933,Product!A:A,Product!D:D,"Bulunamadı")</f>
        <v>Ironhill Publishing</v>
      </c>
      <c r="H2932" s="2">
        <f t="array" ref="H2932">_xlfn.XLOOKUP(A2934,Product!A:A,Product!E:E,"Bulunamadı")</f>
        <v>6.04</v>
      </c>
      <c r="I2932" s="2" t="str">
        <f t="shared" si="1"/>
        <v>109899 - Tech - Winter Sports</v>
      </c>
      <c r="J2932" s="2">
        <f t="shared" si="2"/>
        <v>3352.2</v>
      </c>
      <c r="K2932" s="17">
        <f t="shared" si="3"/>
        <v>1</v>
      </c>
      <c r="L2932" s="18"/>
    </row>
    <row r="2933" hidden="1">
      <c r="A2933" s="2">
        <f>IFERROR(__xludf.DUMMYFUNCTION("""COMPUTED_VALUE"""),70570.0)</f>
        <v>70570</v>
      </c>
      <c r="B2933" s="2">
        <f>IFERROR(__xludf.DUMMYFUNCTION("""COMPUTED_VALUE"""),1.0)</f>
        <v>1</v>
      </c>
      <c r="C2933" s="2">
        <f>IFERROR(__xludf.DUMMYFUNCTION("""COMPUTED_VALUE"""),929.0)</f>
        <v>929</v>
      </c>
      <c r="D2933" s="3">
        <f>IFERROR(__xludf.DUMMYFUNCTION("""COMPUTED_VALUE"""),240.0)</f>
        <v>240</v>
      </c>
      <c r="E2933" s="1" t="str">
        <f t="array" ref="E2933">_xlfn.XLOOKUP(A2933,Product!A:A,Product!B:B,"Bulunamadı")</f>
        <v>Tech</v>
      </c>
      <c r="F2933" s="1" t="str">
        <f t="array" ref="F2933">_xlfn.XLOOKUP(A2933,Product!A:A,Product!C:C,"Bulunamadı")</f>
        <v>Winter Sports</v>
      </c>
      <c r="G2933" s="2" t="str">
        <f t="array" ref="G2933">_xlfn.XLOOKUP(A2934,Product!A:A,Product!D:D,"Bulunamadı")</f>
        <v>Ironhill Publishing</v>
      </c>
      <c r="H2933" s="2">
        <f t="array" ref="H2933">_xlfn.XLOOKUP(A2935,Product!A:A,Product!E:E,"Bulunamadı")</f>
        <v>7.52</v>
      </c>
      <c r="I2933" s="2" t="str">
        <f t="shared" si="1"/>
        <v>70570 - Tech - Winter Sports</v>
      </c>
      <c r="J2933" s="2">
        <f t="shared" si="2"/>
        <v>1804.8</v>
      </c>
      <c r="K2933" s="17">
        <f t="shared" si="3"/>
        <v>1</v>
      </c>
      <c r="L2933" s="18"/>
    </row>
    <row r="2934" hidden="1">
      <c r="A2934" s="2">
        <f>IFERROR(__xludf.DUMMYFUNCTION("""COMPUTED_VALUE"""),79364.0)</f>
        <v>79364</v>
      </c>
      <c r="B2934" s="2">
        <f>IFERROR(__xludf.DUMMYFUNCTION("""COMPUTED_VALUE"""),0.0)</f>
        <v>0</v>
      </c>
      <c r="C2934" s="2">
        <f>IFERROR(__xludf.DUMMYFUNCTION("""COMPUTED_VALUE"""),122.0)</f>
        <v>122</v>
      </c>
      <c r="D2934" s="3">
        <f>IFERROR(__xludf.DUMMYFUNCTION("""COMPUTED_VALUE"""),86.0)</f>
        <v>86</v>
      </c>
      <c r="E2934" s="1" t="str">
        <f t="array" ref="E2934">_xlfn.XLOOKUP(A2934,Product!A:A,Product!B:B,"Bulunamadı")</f>
        <v>Tech</v>
      </c>
      <c r="F2934" s="1" t="str">
        <f t="array" ref="F2934">_xlfn.XLOOKUP(A2934,Product!A:A,Product!C:C,"Bulunamadı")</f>
        <v>Winter Sports</v>
      </c>
      <c r="G2934" s="2" t="str">
        <f t="array" ref="G2934">_xlfn.XLOOKUP(A2935,Product!A:A,Product!D:D,"Bulunamadı")</f>
        <v>Ironhill Publishing</v>
      </c>
      <c r="H2934" s="2">
        <f t="array" ref="H2934">_xlfn.XLOOKUP(A2936,Product!A:A,Product!E:E,"Bulunamadı")</f>
        <v>4.45</v>
      </c>
      <c r="I2934" s="2" t="str">
        <f t="shared" si="1"/>
        <v>79364 - Tech - Winter Sports</v>
      </c>
      <c r="J2934" s="2">
        <f t="shared" si="2"/>
        <v>382.7</v>
      </c>
      <c r="K2934" s="17">
        <f t="shared" si="3"/>
        <v>1</v>
      </c>
      <c r="L2934" s="18"/>
    </row>
    <row r="2935" hidden="1">
      <c r="A2935" s="2">
        <f>IFERROR(__xludf.DUMMYFUNCTION("""COMPUTED_VALUE"""),113103.0)</f>
        <v>113103</v>
      </c>
      <c r="B2935" s="2">
        <f>IFERROR(__xludf.DUMMYFUNCTION("""COMPUTED_VALUE"""),1.0)</f>
        <v>1</v>
      </c>
      <c r="C2935" s="2">
        <f>IFERROR(__xludf.DUMMYFUNCTION("""COMPUTED_VALUE"""),502.0)</f>
        <v>502</v>
      </c>
      <c r="D2935" s="3">
        <f>IFERROR(__xludf.DUMMYFUNCTION("""COMPUTED_VALUE"""),118.0)</f>
        <v>118</v>
      </c>
      <c r="E2935" s="1" t="str">
        <f t="array" ref="E2935">_xlfn.XLOOKUP(A2935,Product!A:A,Product!B:B,"Bulunamadı")</f>
        <v>Tech</v>
      </c>
      <c r="F2935" s="1" t="str">
        <f t="array" ref="F2935">_xlfn.XLOOKUP(A2935,Product!A:A,Product!C:C,"Bulunamadı")</f>
        <v>Winter Sports</v>
      </c>
      <c r="G2935" s="2" t="str">
        <f t="array" ref="G2935">_xlfn.XLOOKUP(A2936,Product!A:A,Product!D:D,"Bulunamadı")</f>
        <v>Ironhill Publishing</v>
      </c>
      <c r="H2935" s="2">
        <f t="array" ref="H2935">_xlfn.XLOOKUP(A2937,Product!A:A,Product!E:E,"Bulunamadı")</f>
        <v>4.3</v>
      </c>
      <c r="I2935" s="2" t="str">
        <f t="shared" si="1"/>
        <v>113103 - Tech - Winter Sports</v>
      </c>
      <c r="J2935" s="2">
        <f t="shared" si="2"/>
        <v>507.4</v>
      </c>
      <c r="K2935" s="17">
        <f t="shared" si="3"/>
        <v>1</v>
      </c>
      <c r="L2935" s="18"/>
    </row>
    <row r="2936" hidden="1">
      <c r="A2936" s="2">
        <f>IFERROR(__xludf.DUMMYFUNCTION("""COMPUTED_VALUE"""),200581.0)</f>
        <v>200581</v>
      </c>
      <c r="B2936" s="2">
        <f>IFERROR(__xludf.DUMMYFUNCTION("""COMPUTED_VALUE"""),0.0)</f>
        <v>0</v>
      </c>
      <c r="C2936" s="2">
        <f>IFERROR(__xludf.DUMMYFUNCTION("""COMPUTED_VALUE"""),290.0)</f>
        <v>290</v>
      </c>
      <c r="D2936" s="3">
        <f>IFERROR(__xludf.DUMMYFUNCTION("""COMPUTED_VALUE"""),79.0)</f>
        <v>79</v>
      </c>
      <c r="E2936" s="1" t="str">
        <f t="array" ref="E2936">_xlfn.XLOOKUP(A2936,Product!A:A,Product!B:B,"Bulunamadı")</f>
        <v>Tech</v>
      </c>
      <c r="F2936" s="1" t="str">
        <f t="array" ref="F2936">_xlfn.XLOOKUP(A2936,Product!A:A,Product!C:C,"Bulunamadı")</f>
        <v>Winter Sports</v>
      </c>
      <c r="G2936" s="2" t="str">
        <f t="array" ref="G2936">_xlfn.XLOOKUP(A2937,Product!A:A,Product!D:D,"Bulunamadı")</f>
        <v>Ironhill Publishing</v>
      </c>
      <c r="H2936" s="2">
        <f t="array" ref="H2936">_xlfn.XLOOKUP(A2938,Product!A:A,Product!E:E,"Bulunamadı")</f>
        <v>6.08</v>
      </c>
      <c r="I2936" s="2" t="str">
        <f t="shared" si="1"/>
        <v>200581 - Tech - Winter Sports</v>
      </c>
      <c r="J2936" s="2">
        <f t="shared" si="2"/>
        <v>480.32</v>
      </c>
      <c r="K2936" s="17">
        <f t="shared" si="3"/>
        <v>1</v>
      </c>
      <c r="L2936" s="18"/>
    </row>
    <row r="2937" hidden="1">
      <c r="A2937" s="2">
        <f>IFERROR(__xludf.DUMMYFUNCTION("""COMPUTED_VALUE"""),91490.0)</f>
        <v>91490</v>
      </c>
      <c r="B2937" s="2">
        <f>IFERROR(__xludf.DUMMYFUNCTION("""COMPUTED_VALUE"""),0.0)</f>
        <v>0</v>
      </c>
      <c r="C2937" s="2">
        <f>IFERROR(__xludf.DUMMYFUNCTION("""COMPUTED_VALUE"""),567.0)</f>
        <v>567</v>
      </c>
      <c r="D2937" s="3">
        <f>IFERROR(__xludf.DUMMYFUNCTION("""COMPUTED_VALUE"""),197.0)</f>
        <v>197</v>
      </c>
      <c r="E2937" s="1" t="str">
        <f t="array" ref="E2937">_xlfn.XLOOKUP(A2937,Product!A:A,Product!B:B,"Bulunamadı")</f>
        <v>Tech</v>
      </c>
      <c r="F2937" s="1" t="str">
        <f t="array" ref="F2937">_xlfn.XLOOKUP(A2937,Product!A:A,Product!C:C,"Bulunamadı")</f>
        <v>Winter Sports</v>
      </c>
      <c r="G2937" s="2" t="str">
        <f t="array" ref="G2937">_xlfn.XLOOKUP(A2938,Product!A:A,Product!D:D,"Bulunamadı")</f>
        <v>Ironhill Publishing</v>
      </c>
      <c r="H2937" s="2">
        <f t="array" ref="H2937">_xlfn.XLOOKUP(A2939,Product!A:A,Product!E:E,"Bulunamadı")</f>
        <v>9.01</v>
      </c>
      <c r="I2937" s="2" t="str">
        <f t="shared" si="1"/>
        <v>91490 - Tech - Winter Sports</v>
      </c>
      <c r="J2937" s="2">
        <f t="shared" si="2"/>
        <v>1774.97</v>
      </c>
      <c r="K2937" s="17">
        <f t="shared" si="3"/>
        <v>1</v>
      </c>
      <c r="L2937" s="18"/>
    </row>
    <row r="2938" hidden="1">
      <c r="A2938" s="2">
        <f>IFERROR(__xludf.DUMMYFUNCTION("""COMPUTED_VALUE"""),79320.0)</f>
        <v>79320</v>
      </c>
      <c r="B2938" s="2">
        <f>IFERROR(__xludf.DUMMYFUNCTION("""COMPUTED_VALUE"""),1.0)</f>
        <v>1</v>
      </c>
      <c r="C2938" s="2">
        <f>IFERROR(__xludf.DUMMYFUNCTION("""COMPUTED_VALUE"""),560.0)</f>
        <v>560</v>
      </c>
      <c r="D2938" s="3">
        <f>IFERROR(__xludf.DUMMYFUNCTION("""COMPUTED_VALUE"""),70.0)</f>
        <v>70</v>
      </c>
      <c r="E2938" s="1" t="str">
        <f t="array" ref="E2938">_xlfn.XLOOKUP(A2938,Product!A:A,Product!B:B,"Bulunamadı")</f>
        <v>Tech</v>
      </c>
      <c r="F2938" s="1" t="str">
        <f t="array" ref="F2938">_xlfn.XLOOKUP(A2938,Product!A:A,Product!C:C,"Bulunamadı")</f>
        <v>Winter Sports</v>
      </c>
      <c r="G2938" s="2" t="str">
        <f t="array" ref="G2938">_xlfn.XLOOKUP(A2939,Product!A:A,Product!D:D,"Bulunamadı")</f>
        <v>Ironhill Publishing</v>
      </c>
      <c r="H2938" s="2">
        <f t="array" ref="H2938">_xlfn.XLOOKUP(A2940,Product!A:A,Product!E:E,"Bulunamadı")</f>
        <v>6.9</v>
      </c>
      <c r="I2938" s="2" t="str">
        <f t="shared" si="1"/>
        <v>79320 - Tech - Winter Sports</v>
      </c>
      <c r="J2938" s="2">
        <f t="shared" si="2"/>
        <v>483</v>
      </c>
      <c r="K2938" s="17">
        <f t="shared" si="3"/>
        <v>1</v>
      </c>
      <c r="L2938" s="18"/>
    </row>
    <row r="2939" hidden="1">
      <c r="A2939" s="2">
        <f>IFERROR(__xludf.DUMMYFUNCTION("""COMPUTED_VALUE"""),122331.0)</f>
        <v>122331</v>
      </c>
      <c r="B2939" s="2">
        <f>IFERROR(__xludf.DUMMYFUNCTION("""COMPUTED_VALUE"""),0.0)</f>
        <v>0</v>
      </c>
      <c r="C2939" s="2">
        <f>IFERROR(__xludf.DUMMYFUNCTION("""COMPUTED_VALUE"""),614.0)</f>
        <v>614</v>
      </c>
      <c r="D2939" s="3">
        <f>IFERROR(__xludf.DUMMYFUNCTION("""COMPUTED_VALUE"""),356.0)</f>
        <v>356</v>
      </c>
      <c r="E2939" s="1" t="str">
        <f t="array" ref="E2939">_xlfn.XLOOKUP(A2939,Product!A:A,Product!B:B,"Bulunamadı")</f>
        <v>Tech</v>
      </c>
      <c r="F2939" s="1" t="str">
        <f t="array" ref="F2939">_xlfn.XLOOKUP(A2939,Product!A:A,Product!C:C,"Bulunamadı")</f>
        <v>Winter Sports</v>
      </c>
      <c r="G2939" s="2" t="str">
        <f t="array" ref="G2939">_xlfn.XLOOKUP(A2940,Product!A:A,Product!D:D,"Bulunamadı")</f>
        <v>Ironhill Publishing</v>
      </c>
      <c r="H2939" s="2">
        <f t="array" ref="H2939">_xlfn.XLOOKUP(A2941,Product!A:A,Product!E:E,"Bulunamadı")</f>
        <v>9.29</v>
      </c>
      <c r="I2939" s="2" t="str">
        <f t="shared" si="1"/>
        <v>122331 - Tech - Winter Sports</v>
      </c>
      <c r="J2939" s="2">
        <f t="shared" si="2"/>
        <v>3307.24</v>
      </c>
      <c r="K2939" s="17">
        <f t="shared" si="3"/>
        <v>1</v>
      </c>
      <c r="L2939" s="18"/>
    </row>
    <row r="2940" hidden="1">
      <c r="A2940" s="2">
        <f>IFERROR(__xludf.DUMMYFUNCTION("""COMPUTED_VALUE"""),79921.0)</f>
        <v>79921</v>
      </c>
      <c r="B2940" s="2">
        <f>IFERROR(__xludf.DUMMYFUNCTION("""COMPUTED_VALUE"""),0.0)</f>
        <v>0</v>
      </c>
      <c r="C2940" s="2">
        <f>IFERROR(__xludf.DUMMYFUNCTION("""COMPUTED_VALUE"""),371.0)</f>
        <v>371</v>
      </c>
      <c r="D2940" s="3">
        <f>IFERROR(__xludf.DUMMYFUNCTION("""COMPUTED_VALUE"""),248.0)</f>
        <v>248</v>
      </c>
      <c r="E2940" s="1" t="str">
        <f t="array" ref="E2940">_xlfn.XLOOKUP(A2940,Product!A:A,Product!B:B,"Bulunamadı")</f>
        <v>Tech</v>
      </c>
      <c r="F2940" s="1" t="str">
        <f t="array" ref="F2940">_xlfn.XLOOKUP(A2940,Product!A:A,Product!C:C,"Bulunamadı")</f>
        <v>Winter Sports</v>
      </c>
      <c r="G2940" s="2" t="str">
        <f t="array" ref="G2940">_xlfn.XLOOKUP(A2941,Product!A:A,Product!D:D,"Bulunamadı")</f>
        <v>Ironhill Publishing</v>
      </c>
      <c r="H2940" s="2">
        <f t="array" ref="H2940">_xlfn.XLOOKUP(A2942,Product!A:A,Product!E:E,"Bulunamadı")</f>
        <v>5.76</v>
      </c>
      <c r="I2940" s="2" t="str">
        <f t="shared" si="1"/>
        <v>79921 - Tech - Winter Sports</v>
      </c>
      <c r="J2940" s="2">
        <f t="shared" si="2"/>
        <v>1428.48</v>
      </c>
      <c r="K2940" s="17">
        <f t="shared" si="3"/>
        <v>1</v>
      </c>
      <c r="L2940" s="18"/>
    </row>
    <row r="2941" hidden="1">
      <c r="A2941" s="2">
        <f>IFERROR(__xludf.DUMMYFUNCTION("""COMPUTED_VALUE"""),128421.0)</f>
        <v>128421</v>
      </c>
      <c r="B2941" s="2">
        <f>IFERROR(__xludf.DUMMYFUNCTION("""COMPUTED_VALUE"""),1.0)</f>
        <v>1</v>
      </c>
      <c r="C2941" s="2">
        <f>IFERROR(__xludf.DUMMYFUNCTION("""COMPUTED_VALUE"""),526.0)</f>
        <v>526</v>
      </c>
      <c r="D2941" s="3">
        <f>IFERROR(__xludf.DUMMYFUNCTION("""COMPUTED_VALUE"""),43.0)</f>
        <v>43</v>
      </c>
      <c r="E2941" s="1" t="str">
        <f t="array" ref="E2941">_xlfn.XLOOKUP(A2941,Product!A:A,Product!B:B,"Bulunamadı")</f>
        <v>Tech</v>
      </c>
      <c r="F2941" s="1" t="str">
        <f t="array" ref="F2941">_xlfn.XLOOKUP(A2941,Product!A:A,Product!C:C,"Bulunamadı")</f>
        <v>Winter Sports</v>
      </c>
      <c r="G2941" s="2" t="str">
        <f t="array" ref="G2941">_xlfn.XLOOKUP(A2942,Product!A:A,Product!D:D,"Bulunamadı")</f>
        <v>Ironhill Publishing</v>
      </c>
      <c r="H2941" s="2">
        <f t="array" ref="H2941">_xlfn.XLOOKUP(A2943,Product!A:A,Product!E:E,"Bulunamadı")</f>
        <v>3.79</v>
      </c>
      <c r="I2941" s="2" t="str">
        <f t="shared" si="1"/>
        <v>128421 - Tech - Winter Sports</v>
      </c>
      <c r="J2941" s="2">
        <f t="shared" si="2"/>
        <v>162.97</v>
      </c>
      <c r="K2941" s="17">
        <f t="shared" si="3"/>
        <v>1</v>
      </c>
      <c r="L2941" s="18"/>
    </row>
    <row r="2942" hidden="1">
      <c r="A2942" s="2">
        <f>IFERROR(__xludf.DUMMYFUNCTION("""COMPUTED_VALUE"""),80421.0)</f>
        <v>80421</v>
      </c>
      <c r="B2942" s="2">
        <f>IFERROR(__xludf.DUMMYFUNCTION("""COMPUTED_VALUE"""),1.0)</f>
        <v>1</v>
      </c>
      <c r="C2942" s="2">
        <f>IFERROR(__xludf.DUMMYFUNCTION("""COMPUTED_VALUE"""),312.0)</f>
        <v>312</v>
      </c>
      <c r="D2942" s="3">
        <f>IFERROR(__xludf.DUMMYFUNCTION("""COMPUTED_VALUE"""),212.0)</f>
        <v>212</v>
      </c>
      <c r="E2942" s="1" t="str">
        <f t="array" ref="E2942">_xlfn.XLOOKUP(A2942,Product!A:A,Product!B:B,"Bulunamadı")</f>
        <v>Tech</v>
      </c>
      <c r="F2942" s="1" t="str">
        <f t="array" ref="F2942">_xlfn.XLOOKUP(A2942,Product!A:A,Product!C:C,"Bulunamadı")</f>
        <v>Winter Sports</v>
      </c>
      <c r="G2942" s="2" t="str">
        <f t="array" ref="G2942">_xlfn.XLOOKUP(A2943,Product!A:A,Product!D:D,"Bulunamadı")</f>
        <v>Ironhill Publishing</v>
      </c>
      <c r="H2942" s="2">
        <f t="array" ref="H2942">_xlfn.XLOOKUP(A2944,Product!A:A,Product!E:E,"Bulunamadı")</f>
        <v>3.54</v>
      </c>
      <c r="I2942" s="2" t="str">
        <f t="shared" si="1"/>
        <v>80421 - Tech - Winter Sports</v>
      </c>
      <c r="J2942" s="2">
        <f t="shared" si="2"/>
        <v>750.48</v>
      </c>
      <c r="K2942" s="17">
        <f t="shared" si="3"/>
        <v>1</v>
      </c>
      <c r="L2942" s="18"/>
    </row>
    <row r="2943" hidden="1">
      <c r="A2943" s="2">
        <f>IFERROR(__xludf.DUMMYFUNCTION("""COMPUTED_VALUE"""),121867.0)</f>
        <v>121867</v>
      </c>
      <c r="B2943" s="2">
        <f>IFERROR(__xludf.DUMMYFUNCTION("""COMPUTED_VALUE"""),0.0)</f>
        <v>0</v>
      </c>
      <c r="C2943" s="2">
        <f>IFERROR(__xludf.DUMMYFUNCTION("""COMPUTED_VALUE"""),520.0)</f>
        <v>520</v>
      </c>
      <c r="D2943" s="3">
        <f>IFERROR(__xludf.DUMMYFUNCTION("""COMPUTED_VALUE"""),237.0)</f>
        <v>237</v>
      </c>
      <c r="E2943" s="1" t="str">
        <f t="array" ref="E2943">_xlfn.XLOOKUP(A2943,Product!A:A,Product!B:B,"Bulunamadı")</f>
        <v>Tech</v>
      </c>
      <c r="F2943" s="1" t="str">
        <f t="array" ref="F2943">_xlfn.XLOOKUP(A2943,Product!A:A,Product!C:C,"Bulunamadı")</f>
        <v>Winter Sports</v>
      </c>
      <c r="G2943" s="2" t="str">
        <f t="array" ref="G2943">_xlfn.XLOOKUP(A2944,Product!A:A,Product!D:D,"Bulunamadı")</f>
        <v>Ironhill Publishing</v>
      </c>
      <c r="H2943" s="2">
        <f t="array" ref="H2943">_xlfn.XLOOKUP(A2945,Product!A:A,Product!E:E,"Bulunamadı")</f>
        <v>7.16</v>
      </c>
      <c r="I2943" s="2" t="str">
        <f t="shared" si="1"/>
        <v>121867 - Tech - Winter Sports</v>
      </c>
      <c r="J2943" s="2">
        <f t="shared" si="2"/>
        <v>1696.92</v>
      </c>
      <c r="K2943" s="17">
        <f t="shared" si="3"/>
        <v>1</v>
      </c>
      <c r="L2943" s="18"/>
    </row>
    <row r="2944" hidden="1">
      <c r="A2944" s="2">
        <f>IFERROR(__xludf.DUMMYFUNCTION("""COMPUTED_VALUE"""),122501.0)</f>
        <v>122501</v>
      </c>
      <c r="B2944" s="2">
        <f>IFERROR(__xludf.DUMMYFUNCTION("""COMPUTED_VALUE"""),0.0)</f>
        <v>0</v>
      </c>
      <c r="C2944" s="2">
        <f>IFERROR(__xludf.DUMMYFUNCTION("""COMPUTED_VALUE"""),981.0)</f>
        <v>981</v>
      </c>
      <c r="D2944" s="3">
        <f>IFERROR(__xludf.DUMMYFUNCTION("""COMPUTED_VALUE"""),79.0)</f>
        <v>79</v>
      </c>
      <c r="E2944" s="1" t="str">
        <f t="array" ref="E2944">_xlfn.XLOOKUP(A2944,Product!A:A,Product!B:B,"Bulunamadı")</f>
        <v>Tech</v>
      </c>
      <c r="F2944" s="1" t="str">
        <f t="array" ref="F2944">_xlfn.XLOOKUP(A2944,Product!A:A,Product!C:C,"Bulunamadı")</f>
        <v>Winter Sports</v>
      </c>
      <c r="G2944" s="2" t="str">
        <f t="array" ref="G2944">_xlfn.XLOOKUP(A2945,Product!A:A,Product!D:D,"Bulunamadı")</f>
        <v>Ironhill Publishing</v>
      </c>
      <c r="H2944" s="2">
        <f t="array" ref="H2944">_xlfn.XLOOKUP(A2946,Product!A:A,Product!E:E,"Bulunamadı")</f>
        <v>4.46</v>
      </c>
      <c r="I2944" s="2" t="str">
        <f t="shared" si="1"/>
        <v>122501 - Tech - Winter Sports</v>
      </c>
      <c r="J2944" s="2">
        <f t="shared" si="2"/>
        <v>352.34</v>
      </c>
      <c r="K2944" s="17">
        <f t="shared" si="3"/>
        <v>1</v>
      </c>
      <c r="L2944" s="18"/>
    </row>
    <row r="2945" hidden="1">
      <c r="A2945" s="2">
        <f>IFERROR(__xludf.DUMMYFUNCTION("""COMPUTED_VALUE"""),44531.0)</f>
        <v>44531</v>
      </c>
      <c r="B2945" s="2">
        <f>IFERROR(__xludf.DUMMYFUNCTION("""COMPUTED_VALUE"""),1.0)</f>
        <v>1</v>
      </c>
      <c r="C2945" s="2">
        <f>IFERROR(__xludf.DUMMYFUNCTION("""COMPUTED_VALUE"""),540.0)</f>
        <v>540</v>
      </c>
      <c r="D2945" s="3">
        <f>IFERROR(__xludf.DUMMYFUNCTION("""COMPUTED_VALUE"""),342.0)</f>
        <v>342</v>
      </c>
      <c r="E2945" s="1" t="str">
        <f t="array" ref="E2945">_xlfn.XLOOKUP(A2945,Product!A:A,Product!B:B,"Bulunamadı")</f>
        <v>Tech</v>
      </c>
      <c r="F2945" s="1" t="str">
        <f t="array" ref="F2945">_xlfn.XLOOKUP(A2945,Product!A:A,Product!C:C,"Bulunamadı")</f>
        <v>Winter Sports</v>
      </c>
      <c r="G2945" s="2" t="str">
        <f t="array" ref="G2945">_xlfn.XLOOKUP(A2946,Product!A:A,Product!D:D,"Bulunamadı")</f>
        <v>Ironhill Publishing</v>
      </c>
      <c r="H2945" s="2">
        <f t="array" ref="H2945">_xlfn.XLOOKUP(A2947,Product!A:A,Product!E:E,"Bulunamadı")</f>
        <v>2.7</v>
      </c>
      <c r="I2945" s="2" t="str">
        <f t="shared" si="1"/>
        <v>44531 - Tech - Winter Sports</v>
      </c>
      <c r="J2945" s="2">
        <f t="shared" si="2"/>
        <v>923.4</v>
      </c>
      <c r="K2945" s="17">
        <f t="shared" si="3"/>
        <v>1</v>
      </c>
      <c r="L2945" s="18"/>
    </row>
    <row r="2946" hidden="1">
      <c r="A2946" s="2">
        <f>IFERROR(__xludf.DUMMYFUNCTION("""COMPUTED_VALUE"""),118153.0)</f>
        <v>118153</v>
      </c>
      <c r="B2946" s="2">
        <f>IFERROR(__xludf.DUMMYFUNCTION("""COMPUTED_VALUE"""),1.0)</f>
        <v>1</v>
      </c>
      <c r="C2946" s="2">
        <f>IFERROR(__xludf.DUMMYFUNCTION("""COMPUTED_VALUE"""),529.0)</f>
        <v>529</v>
      </c>
      <c r="D2946" s="3">
        <f>IFERROR(__xludf.DUMMYFUNCTION("""COMPUTED_VALUE"""),95.0)</f>
        <v>95</v>
      </c>
      <c r="E2946" s="1" t="str">
        <f t="array" ref="E2946">_xlfn.XLOOKUP(A2946,Product!A:A,Product!B:B,"Bulunamadı")</f>
        <v>Tech</v>
      </c>
      <c r="F2946" s="1" t="str">
        <f t="array" ref="F2946">_xlfn.XLOOKUP(A2946,Product!A:A,Product!C:C,"Bulunamadı")</f>
        <v>Winter Sports</v>
      </c>
      <c r="G2946" s="2" t="str">
        <f t="array" ref="G2946">_xlfn.XLOOKUP(A2947,Product!A:A,Product!D:D,"Bulunamadı")</f>
        <v>Ironhill Publishing</v>
      </c>
      <c r="H2946" s="2">
        <f t="array" ref="H2946">_xlfn.XLOOKUP(A2948,Product!A:A,Product!E:E,"Bulunamadı")</f>
        <v>4.95</v>
      </c>
      <c r="I2946" s="2" t="str">
        <f t="shared" si="1"/>
        <v>118153 - Tech - Winter Sports</v>
      </c>
      <c r="J2946" s="2">
        <f t="shared" si="2"/>
        <v>470.25</v>
      </c>
      <c r="K2946" s="17">
        <f t="shared" si="3"/>
        <v>1</v>
      </c>
      <c r="L2946" s="18"/>
    </row>
    <row r="2947" hidden="1">
      <c r="A2947" s="2">
        <f>IFERROR(__xludf.DUMMYFUNCTION("""COMPUTED_VALUE"""),118244.0)</f>
        <v>118244</v>
      </c>
      <c r="B2947" s="2">
        <f>IFERROR(__xludf.DUMMYFUNCTION("""COMPUTED_VALUE"""),1.0)</f>
        <v>1</v>
      </c>
      <c r="C2947" s="2">
        <f>IFERROR(__xludf.DUMMYFUNCTION("""COMPUTED_VALUE"""),468.0)</f>
        <v>468</v>
      </c>
      <c r="D2947" s="3">
        <f>IFERROR(__xludf.DUMMYFUNCTION("""COMPUTED_VALUE"""),100.0)</f>
        <v>100</v>
      </c>
      <c r="E2947" s="1" t="str">
        <f t="array" ref="E2947">_xlfn.XLOOKUP(A2947,Product!A:A,Product!B:B,"Bulunamadı")</f>
        <v>Tech</v>
      </c>
      <c r="F2947" s="1" t="str">
        <f t="array" ref="F2947">_xlfn.XLOOKUP(A2947,Product!A:A,Product!C:C,"Bulunamadı")</f>
        <v>Winter Sports</v>
      </c>
      <c r="G2947" s="2" t="str">
        <f t="array" ref="G2947">_xlfn.XLOOKUP(A2948,Product!A:A,Product!D:D,"Bulunamadı")</f>
        <v>Ironhill Publishing</v>
      </c>
      <c r="H2947" s="2">
        <f t="array" ref="H2947">_xlfn.XLOOKUP(A2949,Product!A:A,Product!E:E,"Bulunamadı")</f>
        <v>4.43</v>
      </c>
      <c r="I2947" s="2" t="str">
        <f t="shared" si="1"/>
        <v>118244 - Tech - Winter Sports</v>
      </c>
      <c r="J2947" s="2">
        <f t="shared" si="2"/>
        <v>443</v>
      </c>
      <c r="K2947" s="17">
        <f t="shared" si="3"/>
        <v>1</v>
      </c>
      <c r="L2947" s="18"/>
    </row>
    <row r="2948" hidden="1">
      <c r="A2948" s="2">
        <f>IFERROR(__xludf.DUMMYFUNCTION("""COMPUTED_VALUE"""),46974.0)</f>
        <v>46974</v>
      </c>
      <c r="B2948" s="2">
        <f>IFERROR(__xludf.DUMMYFUNCTION("""COMPUTED_VALUE"""),0.0)</f>
        <v>0</v>
      </c>
      <c r="C2948" s="2">
        <f>IFERROR(__xludf.DUMMYFUNCTION("""COMPUTED_VALUE"""),525.0)</f>
        <v>525</v>
      </c>
      <c r="D2948" s="3">
        <f>IFERROR(__xludf.DUMMYFUNCTION("""COMPUTED_VALUE"""),270.0)</f>
        <v>270</v>
      </c>
      <c r="E2948" s="1" t="str">
        <f t="array" ref="E2948">_xlfn.XLOOKUP(A2948,Product!A:A,Product!B:B,"Bulunamadı")</f>
        <v>Tech</v>
      </c>
      <c r="F2948" s="1" t="str">
        <f t="array" ref="F2948">_xlfn.XLOOKUP(A2948,Product!A:A,Product!C:C,"Bulunamadı")</f>
        <v>Winter Sports</v>
      </c>
      <c r="G2948" s="2" t="str">
        <f t="array" ref="G2948">_xlfn.XLOOKUP(A2949,Product!A:A,Product!D:D,"Bulunamadı")</f>
        <v>Ironhill Publishing</v>
      </c>
      <c r="H2948" s="2">
        <f t="array" ref="H2948">_xlfn.XLOOKUP(A2950,Product!A:A,Product!E:E,"Bulunamadı")</f>
        <v>6.42</v>
      </c>
      <c r="I2948" s="2" t="str">
        <f t="shared" si="1"/>
        <v>46974 - Tech - Winter Sports</v>
      </c>
      <c r="J2948" s="2">
        <f t="shared" si="2"/>
        <v>1733.4</v>
      </c>
      <c r="K2948" s="17">
        <f t="shared" si="3"/>
        <v>1</v>
      </c>
      <c r="L2948" s="18"/>
    </row>
    <row r="2949" hidden="1">
      <c r="A2949" s="2">
        <f>IFERROR(__xludf.DUMMYFUNCTION("""COMPUTED_VALUE"""),69232.0)</f>
        <v>69232</v>
      </c>
      <c r="B2949" s="2">
        <f>IFERROR(__xludf.DUMMYFUNCTION("""COMPUTED_VALUE"""),1.0)</f>
        <v>1</v>
      </c>
      <c r="C2949" s="2">
        <f>IFERROR(__xludf.DUMMYFUNCTION("""COMPUTED_VALUE"""),449.0)</f>
        <v>449</v>
      </c>
      <c r="D2949" s="3">
        <f>IFERROR(__xludf.DUMMYFUNCTION("""COMPUTED_VALUE"""),44.0)</f>
        <v>44</v>
      </c>
      <c r="E2949" s="1" t="str">
        <f t="array" ref="E2949">_xlfn.XLOOKUP(A2949,Product!A:A,Product!B:B,"Bulunamadı")</f>
        <v>Tech</v>
      </c>
      <c r="F2949" s="1" t="str">
        <f t="array" ref="F2949">_xlfn.XLOOKUP(A2949,Product!A:A,Product!C:C,"Bulunamadı")</f>
        <v>Winter Sports</v>
      </c>
      <c r="G2949" s="2" t="str">
        <f t="array" ref="G2949">_xlfn.XLOOKUP(A2950,Product!A:A,Product!D:D,"Bulunamadı")</f>
        <v>Ironhill Publishing</v>
      </c>
      <c r="H2949" s="2">
        <f t="array" ref="H2949">_xlfn.XLOOKUP(A2951,Product!A:A,Product!E:E,"Bulunamadı")</f>
        <v>5.29</v>
      </c>
      <c r="I2949" s="2" t="str">
        <f t="shared" si="1"/>
        <v>69232 - Tech - Winter Sports</v>
      </c>
      <c r="J2949" s="2">
        <f t="shared" si="2"/>
        <v>232.76</v>
      </c>
      <c r="K2949" s="17">
        <f t="shared" si="3"/>
        <v>1</v>
      </c>
      <c r="L2949" s="18"/>
    </row>
    <row r="2950" hidden="1">
      <c r="A2950" s="2">
        <f>IFERROR(__xludf.DUMMYFUNCTION("""COMPUTED_VALUE"""),117461.0)</f>
        <v>117461</v>
      </c>
      <c r="B2950" s="2">
        <f>IFERROR(__xludf.DUMMYFUNCTION("""COMPUTED_VALUE"""),0.0)</f>
        <v>0</v>
      </c>
      <c r="C2950" s="2">
        <f>IFERROR(__xludf.DUMMYFUNCTION("""COMPUTED_VALUE"""),540.0)</f>
        <v>540</v>
      </c>
      <c r="D2950" s="3">
        <f>IFERROR(__xludf.DUMMYFUNCTION("""COMPUTED_VALUE"""),514.0)</f>
        <v>514</v>
      </c>
      <c r="E2950" s="1" t="str">
        <f t="array" ref="E2950">_xlfn.XLOOKUP(A2950,Product!A:A,Product!B:B,"Bulunamadı")</f>
        <v>Tech</v>
      </c>
      <c r="F2950" s="1" t="str">
        <f t="array" ref="F2950">_xlfn.XLOOKUP(A2950,Product!A:A,Product!C:C,"Bulunamadı")</f>
        <v>Winter Sports</v>
      </c>
      <c r="G2950" s="2" t="str">
        <f t="array" ref="G2950">_xlfn.XLOOKUP(A2951,Product!A:A,Product!D:D,"Bulunamadı")</f>
        <v>Ironhill Publishing</v>
      </c>
      <c r="H2950" s="2">
        <f t="array" ref="H2950">_xlfn.XLOOKUP(A2952,Product!A:A,Product!E:E,"Bulunamadı")</f>
        <v>8.31</v>
      </c>
      <c r="I2950" s="2" t="str">
        <f t="shared" si="1"/>
        <v>117461 - Tech - Winter Sports</v>
      </c>
      <c r="J2950" s="2">
        <f t="shared" si="2"/>
        <v>4271.34</v>
      </c>
      <c r="K2950" s="17">
        <f t="shared" si="3"/>
        <v>1</v>
      </c>
      <c r="L2950" s="18"/>
    </row>
    <row r="2951" hidden="1">
      <c r="A2951" s="2">
        <f>IFERROR(__xludf.DUMMYFUNCTION("""COMPUTED_VALUE"""),122324.0)</f>
        <v>122324</v>
      </c>
      <c r="B2951" s="2">
        <f>IFERROR(__xludf.DUMMYFUNCTION("""COMPUTED_VALUE"""),0.0)</f>
        <v>0</v>
      </c>
      <c r="C2951" s="2">
        <f>IFERROR(__xludf.DUMMYFUNCTION("""COMPUTED_VALUE"""),654.0)</f>
        <v>654</v>
      </c>
      <c r="D2951" s="3">
        <f>IFERROR(__xludf.DUMMYFUNCTION("""COMPUTED_VALUE"""),168.0)</f>
        <v>168</v>
      </c>
      <c r="E2951" s="1" t="str">
        <f t="array" ref="E2951">_xlfn.XLOOKUP(A2951,Product!A:A,Product!B:B,"Bulunamadı")</f>
        <v>Tech</v>
      </c>
      <c r="F2951" s="1" t="str">
        <f t="array" ref="F2951">_xlfn.XLOOKUP(A2951,Product!A:A,Product!C:C,"Bulunamadı")</f>
        <v>Winter Sports</v>
      </c>
      <c r="G2951" s="2" t="str">
        <f t="array" ref="G2951">_xlfn.XLOOKUP(A2952,Product!A:A,Product!D:D,"Bulunamadı")</f>
        <v>Ironhill Publishing</v>
      </c>
      <c r="H2951" s="2">
        <f t="array" ref="H2951">_xlfn.XLOOKUP(A2953,Product!A:A,Product!E:E,"Bulunamadı")</f>
        <v>8.98</v>
      </c>
      <c r="I2951" s="2" t="str">
        <f t="shared" si="1"/>
        <v>122324 - Tech - Winter Sports</v>
      </c>
      <c r="J2951" s="2">
        <f t="shared" si="2"/>
        <v>1508.64</v>
      </c>
      <c r="K2951" s="17">
        <f t="shared" si="3"/>
        <v>1</v>
      </c>
      <c r="L2951" s="18"/>
    </row>
    <row r="2952" hidden="1">
      <c r="A2952" s="2">
        <f>IFERROR(__xludf.DUMMYFUNCTION("""COMPUTED_VALUE"""),119023.0)</f>
        <v>119023</v>
      </c>
      <c r="B2952" s="2">
        <f>IFERROR(__xludf.DUMMYFUNCTION("""COMPUTED_VALUE"""),0.0)</f>
        <v>0</v>
      </c>
      <c r="C2952" s="2">
        <f>IFERROR(__xludf.DUMMYFUNCTION("""COMPUTED_VALUE"""),375.0)</f>
        <v>375</v>
      </c>
      <c r="D2952" s="3">
        <f>IFERROR(__xludf.DUMMYFUNCTION("""COMPUTED_VALUE"""),12.0)</f>
        <v>12</v>
      </c>
      <c r="E2952" s="1" t="str">
        <f t="array" ref="E2952">_xlfn.XLOOKUP(A2952,Product!A:A,Product!B:B,"Bulunamadı")</f>
        <v>Tech</v>
      </c>
      <c r="F2952" s="1" t="str">
        <f t="array" ref="F2952">_xlfn.XLOOKUP(A2952,Product!A:A,Product!C:C,"Bulunamadı")</f>
        <v>Winter Sports</v>
      </c>
      <c r="G2952" s="2" t="str">
        <f t="array" ref="G2952">_xlfn.XLOOKUP(A2953,Product!A:A,Product!D:D,"Bulunamadı")</f>
        <v>Ironhill Publishing</v>
      </c>
      <c r="H2952" s="2">
        <f t="array" ref="H2952">_xlfn.XLOOKUP(A2954,Product!A:A,Product!E:E,"Bulunamadı")</f>
        <v>5.23</v>
      </c>
      <c r="I2952" s="2" t="str">
        <f t="shared" si="1"/>
        <v>119023 - Tech - Winter Sports</v>
      </c>
      <c r="J2952" s="2">
        <f t="shared" si="2"/>
        <v>62.76</v>
      </c>
      <c r="K2952" s="17">
        <f t="shared" si="3"/>
        <v>1</v>
      </c>
      <c r="L2952" s="18"/>
    </row>
    <row r="2953" hidden="1">
      <c r="A2953" s="2">
        <f>IFERROR(__xludf.DUMMYFUNCTION("""COMPUTED_VALUE"""),70600.0)</f>
        <v>70600</v>
      </c>
      <c r="B2953" s="2">
        <f>IFERROR(__xludf.DUMMYFUNCTION("""COMPUTED_VALUE"""),1.0)</f>
        <v>1</v>
      </c>
      <c r="C2953" s="2">
        <f>IFERROR(__xludf.DUMMYFUNCTION("""COMPUTED_VALUE"""),642.0)</f>
        <v>642</v>
      </c>
      <c r="D2953" s="3">
        <f>IFERROR(__xludf.DUMMYFUNCTION("""COMPUTED_VALUE"""),591.0)</f>
        <v>591</v>
      </c>
      <c r="E2953" s="1" t="str">
        <f t="array" ref="E2953">_xlfn.XLOOKUP(A2953,Product!A:A,Product!B:B,"Bulunamadı")</f>
        <v>Tech</v>
      </c>
      <c r="F2953" s="1" t="str">
        <f t="array" ref="F2953">_xlfn.XLOOKUP(A2953,Product!A:A,Product!C:C,"Bulunamadı")</f>
        <v>Winter Sports</v>
      </c>
      <c r="G2953" s="2" t="str">
        <f t="array" ref="G2953">_xlfn.XLOOKUP(A2954,Product!A:A,Product!D:D,"Bulunamadı")</f>
        <v>Ironhill Publishing</v>
      </c>
      <c r="H2953" s="2">
        <f t="array" ref="H2953">_xlfn.XLOOKUP(A2955,Product!A:A,Product!E:E,"Bulunamadı")</f>
        <v>4.21</v>
      </c>
      <c r="I2953" s="2" t="str">
        <f t="shared" si="1"/>
        <v>70600 - Tech - Winter Sports</v>
      </c>
      <c r="J2953" s="2">
        <f t="shared" si="2"/>
        <v>2488.11</v>
      </c>
      <c r="K2953" s="17">
        <f t="shared" si="3"/>
        <v>1</v>
      </c>
      <c r="L2953" s="18"/>
    </row>
    <row r="2954" hidden="1">
      <c r="A2954" s="2">
        <f>IFERROR(__xludf.DUMMYFUNCTION("""COMPUTED_VALUE"""),10689.0)</f>
        <v>10689</v>
      </c>
      <c r="B2954" s="2">
        <f>IFERROR(__xludf.DUMMYFUNCTION("""COMPUTED_VALUE"""),0.0)</f>
        <v>0</v>
      </c>
      <c r="C2954" s="2">
        <f>IFERROR(__xludf.DUMMYFUNCTION("""COMPUTED_VALUE"""),507.0)</f>
        <v>507</v>
      </c>
      <c r="D2954" s="3">
        <f>IFERROR(__xludf.DUMMYFUNCTION("""COMPUTED_VALUE"""),235.0)</f>
        <v>235</v>
      </c>
      <c r="E2954" s="1" t="str">
        <f t="array" ref="E2954">_xlfn.XLOOKUP(A2954,Product!A:A,Product!B:B,"Bulunamadı")</f>
        <v>Tech</v>
      </c>
      <c r="F2954" s="1" t="str">
        <f t="array" ref="F2954">_xlfn.XLOOKUP(A2954,Product!A:A,Product!C:C,"Bulunamadı")</f>
        <v>Winter Sports</v>
      </c>
      <c r="G2954" s="2" t="str">
        <f t="array" ref="G2954">_xlfn.XLOOKUP(A2955,Product!A:A,Product!D:D,"Bulunamadı")</f>
        <v>Ironhill Publishing</v>
      </c>
      <c r="H2954" s="2">
        <f t="array" ref="H2954">_xlfn.XLOOKUP(A2956,Product!A:A,Product!E:E,"Bulunamadı")</f>
        <v>9.76</v>
      </c>
      <c r="I2954" s="2" t="str">
        <f t="shared" si="1"/>
        <v>10689 - Tech - Winter Sports</v>
      </c>
      <c r="J2954" s="2">
        <f t="shared" si="2"/>
        <v>2293.6</v>
      </c>
      <c r="K2954" s="17">
        <f t="shared" si="3"/>
        <v>1</v>
      </c>
      <c r="L2954" s="18"/>
    </row>
    <row r="2955" hidden="1">
      <c r="A2955" s="2">
        <f>IFERROR(__xludf.DUMMYFUNCTION("""COMPUTED_VALUE"""),158427.0)</f>
        <v>158427</v>
      </c>
      <c r="B2955" s="2">
        <f>IFERROR(__xludf.DUMMYFUNCTION("""COMPUTED_VALUE"""),1.0)</f>
        <v>1</v>
      </c>
      <c r="C2955" s="2">
        <f>IFERROR(__xludf.DUMMYFUNCTION("""COMPUTED_VALUE"""),868.0)</f>
        <v>868</v>
      </c>
      <c r="D2955" s="3">
        <f>IFERROR(__xludf.DUMMYFUNCTION("""COMPUTED_VALUE"""),0.0)</f>
        <v>0</v>
      </c>
      <c r="E2955" s="1" t="str">
        <f t="array" ref="E2955">_xlfn.XLOOKUP(A2955,Product!A:A,Product!B:B,"Bulunamadı")</f>
        <v>Tech</v>
      </c>
      <c r="F2955" s="1" t="str">
        <f t="array" ref="F2955">_xlfn.XLOOKUP(A2955,Product!A:A,Product!C:C,"Bulunamadı")</f>
        <v>Winter Sports</v>
      </c>
      <c r="G2955" s="2" t="str">
        <f t="array" ref="G2955">_xlfn.XLOOKUP(A2956,Product!A:A,Product!D:D,"Bulunamadı")</f>
        <v>Ironhill Publishing</v>
      </c>
      <c r="H2955" s="2">
        <f t="array" ref="H2955">_xlfn.XLOOKUP(A2957,Product!A:A,Product!E:E,"Bulunamadı")</f>
        <v>6.1</v>
      </c>
      <c r="I2955" s="2" t="str">
        <f t="shared" si="1"/>
        <v>158427 - Tech - Winter Sports</v>
      </c>
      <c r="J2955" s="2">
        <f t="shared" si="2"/>
        <v>0</v>
      </c>
      <c r="K2955" s="17">
        <f t="shared" si="3"/>
        <v>0</v>
      </c>
      <c r="L2955" s="18"/>
    </row>
    <row r="2956" hidden="1">
      <c r="A2956" s="2">
        <f>IFERROR(__xludf.DUMMYFUNCTION("""COMPUTED_VALUE"""),122462.0)</f>
        <v>122462</v>
      </c>
      <c r="B2956" s="2">
        <f>IFERROR(__xludf.DUMMYFUNCTION("""COMPUTED_VALUE"""),1.0)</f>
        <v>1</v>
      </c>
      <c r="C2956" s="2">
        <f>IFERROR(__xludf.DUMMYFUNCTION("""COMPUTED_VALUE"""),533.0)</f>
        <v>533</v>
      </c>
      <c r="D2956" s="3">
        <f>IFERROR(__xludf.DUMMYFUNCTION("""COMPUTED_VALUE"""),69.0)</f>
        <v>69</v>
      </c>
      <c r="E2956" s="1" t="str">
        <f t="array" ref="E2956">_xlfn.XLOOKUP(A2956,Product!A:A,Product!B:B,"Bulunamadı")</f>
        <v>Tech</v>
      </c>
      <c r="F2956" s="1" t="str">
        <f t="array" ref="F2956">_xlfn.XLOOKUP(A2956,Product!A:A,Product!C:C,"Bulunamadı")</f>
        <v>Winter Sports</v>
      </c>
      <c r="G2956" s="2" t="str">
        <f t="array" ref="G2956">_xlfn.XLOOKUP(A2957,Product!A:A,Product!D:D,"Bulunamadı")</f>
        <v>Ironhill Publishing</v>
      </c>
      <c r="H2956" s="2">
        <f t="array" ref="H2956">_xlfn.XLOOKUP(A2958,Product!A:A,Product!E:E,"Bulunamadı")</f>
        <v>5.8</v>
      </c>
      <c r="I2956" s="2" t="str">
        <f t="shared" si="1"/>
        <v>122462 - Tech - Winter Sports</v>
      </c>
      <c r="J2956" s="2">
        <f t="shared" si="2"/>
        <v>400.2</v>
      </c>
      <c r="K2956" s="17">
        <f t="shared" si="3"/>
        <v>1</v>
      </c>
      <c r="L2956" s="18"/>
    </row>
    <row r="2957" hidden="1">
      <c r="A2957" s="2">
        <f>IFERROR(__xludf.DUMMYFUNCTION("""COMPUTED_VALUE"""),155951.0)</f>
        <v>155951</v>
      </c>
      <c r="B2957" s="2">
        <f>IFERROR(__xludf.DUMMYFUNCTION("""COMPUTED_VALUE"""),0.0)</f>
        <v>0</v>
      </c>
      <c r="C2957" s="2">
        <f>IFERROR(__xludf.DUMMYFUNCTION("""COMPUTED_VALUE"""),598.0)</f>
        <v>598</v>
      </c>
      <c r="D2957" s="3">
        <f>IFERROR(__xludf.DUMMYFUNCTION("""COMPUTED_VALUE"""),247.0)</f>
        <v>247</v>
      </c>
      <c r="E2957" s="1" t="str">
        <f t="array" ref="E2957">_xlfn.XLOOKUP(A2957,Product!A:A,Product!B:B,"Bulunamadı")</f>
        <v>Tech</v>
      </c>
      <c r="F2957" s="1" t="str">
        <f t="array" ref="F2957">_xlfn.XLOOKUP(A2957,Product!A:A,Product!C:C,"Bulunamadı")</f>
        <v>Winter Sports</v>
      </c>
      <c r="G2957" s="2" t="str">
        <f t="array" ref="G2957">_xlfn.XLOOKUP(A2958,Product!A:A,Product!D:D,"Bulunamadı")</f>
        <v>Ironhill Publishing</v>
      </c>
      <c r="H2957" s="2">
        <f t="array" ref="H2957">_xlfn.XLOOKUP(A2959,Product!A:A,Product!E:E,"Bulunamadı")</f>
        <v>5.13</v>
      </c>
      <c r="I2957" s="2" t="str">
        <f t="shared" si="1"/>
        <v>155951 - Tech - Winter Sports</v>
      </c>
      <c r="J2957" s="2">
        <f t="shared" si="2"/>
        <v>1267.11</v>
      </c>
      <c r="K2957" s="17">
        <f t="shared" si="3"/>
        <v>1</v>
      </c>
      <c r="L2957" s="18"/>
    </row>
    <row r="2958" hidden="1">
      <c r="A2958" s="2">
        <f>IFERROR(__xludf.DUMMYFUNCTION("""COMPUTED_VALUE"""),79338.0)</f>
        <v>79338</v>
      </c>
      <c r="B2958" s="2">
        <f>IFERROR(__xludf.DUMMYFUNCTION("""COMPUTED_VALUE"""),0.0)</f>
        <v>0</v>
      </c>
      <c r="C2958" s="2">
        <f>IFERROR(__xludf.DUMMYFUNCTION("""COMPUTED_VALUE"""),775.0)</f>
        <v>775</v>
      </c>
      <c r="D2958" s="3">
        <f>IFERROR(__xludf.DUMMYFUNCTION("""COMPUTED_VALUE"""),189.0)</f>
        <v>189</v>
      </c>
      <c r="E2958" s="1" t="str">
        <f t="array" ref="E2958">_xlfn.XLOOKUP(A2958,Product!A:A,Product!B:B,"Bulunamadı")</f>
        <v>Tech</v>
      </c>
      <c r="F2958" s="1" t="str">
        <f t="array" ref="F2958">_xlfn.XLOOKUP(A2958,Product!A:A,Product!C:C,"Bulunamadı")</f>
        <v>Winter Sports</v>
      </c>
      <c r="G2958" s="2" t="str">
        <f t="array" ref="G2958">_xlfn.XLOOKUP(A2959,Product!A:A,Product!D:D,"Bulunamadı")</f>
        <v>Ironhill Publishing</v>
      </c>
      <c r="H2958" s="2">
        <f t="array" ref="H2958">_xlfn.XLOOKUP(A2960,Product!A:A,Product!E:E,"Bulunamadı")</f>
        <v>7.95</v>
      </c>
      <c r="I2958" s="2" t="str">
        <f t="shared" si="1"/>
        <v>79338 - Tech - Winter Sports</v>
      </c>
      <c r="J2958" s="2">
        <f t="shared" si="2"/>
        <v>1502.55</v>
      </c>
      <c r="K2958" s="17">
        <f t="shared" si="3"/>
        <v>1</v>
      </c>
      <c r="L2958" s="18"/>
    </row>
    <row r="2959" hidden="1">
      <c r="A2959" s="2">
        <f>IFERROR(__xludf.DUMMYFUNCTION("""COMPUTED_VALUE"""),79919.0)</f>
        <v>79919</v>
      </c>
      <c r="B2959" s="2">
        <f>IFERROR(__xludf.DUMMYFUNCTION("""COMPUTED_VALUE"""),1.0)</f>
        <v>1</v>
      </c>
      <c r="C2959" s="2">
        <f>IFERROR(__xludf.DUMMYFUNCTION("""COMPUTED_VALUE"""),848.0)</f>
        <v>848</v>
      </c>
      <c r="D2959" s="3">
        <f>IFERROR(__xludf.DUMMYFUNCTION("""COMPUTED_VALUE"""),755.0)</f>
        <v>755</v>
      </c>
      <c r="E2959" s="1" t="str">
        <f t="array" ref="E2959">_xlfn.XLOOKUP(A2959,Product!A:A,Product!B:B,"Bulunamadı")</f>
        <v>Tech</v>
      </c>
      <c r="F2959" s="1" t="str">
        <f t="array" ref="F2959">_xlfn.XLOOKUP(A2959,Product!A:A,Product!C:C,"Bulunamadı")</f>
        <v>Winter Sports</v>
      </c>
      <c r="G2959" s="2" t="str">
        <f t="array" ref="G2959">_xlfn.XLOOKUP(A2960,Product!A:A,Product!D:D,"Bulunamadı")</f>
        <v>Ironhill Publishing</v>
      </c>
      <c r="H2959" s="2">
        <f t="array" ref="H2959">_xlfn.XLOOKUP(A2961,Product!A:A,Product!E:E,"Bulunamadı")</f>
        <v>9.11</v>
      </c>
      <c r="I2959" s="2" t="str">
        <f t="shared" si="1"/>
        <v>79919 - Tech - Winter Sports</v>
      </c>
      <c r="J2959" s="2">
        <f t="shared" si="2"/>
        <v>6878.05</v>
      </c>
      <c r="K2959" s="17">
        <f t="shared" si="3"/>
        <v>1</v>
      </c>
      <c r="L2959" s="18"/>
    </row>
    <row r="2960" hidden="1">
      <c r="A2960" s="2">
        <f>IFERROR(__xludf.DUMMYFUNCTION("""COMPUTED_VALUE"""),117057.0)</f>
        <v>117057</v>
      </c>
      <c r="B2960" s="2">
        <f>IFERROR(__xludf.DUMMYFUNCTION("""COMPUTED_VALUE"""),0.0)</f>
        <v>0</v>
      </c>
      <c r="C2960" s="2">
        <f>IFERROR(__xludf.DUMMYFUNCTION("""COMPUTED_VALUE"""),442.0)</f>
        <v>442</v>
      </c>
      <c r="D2960" s="3">
        <f>IFERROR(__xludf.DUMMYFUNCTION("""COMPUTED_VALUE"""),420.0)</f>
        <v>420</v>
      </c>
      <c r="E2960" s="1" t="str">
        <f t="array" ref="E2960">_xlfn.XLOOKUP(A2960,Product!A:A,Product!B:B,"Bulunamadı")</f>
        <v>Tech</v>
      </c>
      <c r="F2960" s="1" t="str">
        <f t="array" ref="F2960">_xlfn.XLOOKUP(A2960,Product!A:A,Product!C:C,"Bulunamadı")</f>
        <v>Winter Sports</v>
      </c>
      <c r="G2960" s="2" t="str">
        <f t="array" ref="G2960">_xlfn.XLOOKUP(A2961,Product!A:A,Product!D:D,"Bulunamadı")</f>
        <v>Ironhill Publishing</v>
      </c>
      <c r="H2960" s="2">
        <f t="array" ref="H2960">_xlfn.XLOOKUP(A2962,Product!A:A,Product!E:E,"Bulunamadı")</f>
        <v>4.29</v>
      </c>
      <c r="I2960" s="2" t="str">
        <f t="shared" si="1"/>
        <v>117057 - Tech - Winter Sports</v>
      </c>
      <c r="J2960" s="2">
        <f t="shared" si="2"/>
        <v>1801.8</v>
      </c>
      <c r="K2960" s="17">
        <f t="shared" si="3"/>
        <v>1</v>
      </c>
      <c r="L2960" s="18"/>
    </row>
    <row r="2961" hidden="1">
      <c r="A2961" s="2">
        <f>IFERROR(__xludf.DUMMYFUNCTION("""COMPUTED_VALUE"""),122334.0)</f>
        <v>122334</v>
      </c>
      <c r="B2961" s="2">
        <f>IFERROR(__xludf.DUMMYFUNCTION("""COMPUTED_VALUE"""),0.0)</f>
        <v>0</v>
      </c>
      <c r="C2961" s="2">
        <f>IFERROR(__xludf.DUMMYFUNCTION("""COMPUTED_VALUE"""),702.0)</f>
        <v>702</v>
      </c>
      <c r="D2961" s="3">
        <f>IFERROR(__xludf.DUMMYFUNCTION("""COMPUTED_VALUE"""),86.0)</f>
        <v>86</v>
      </c>
      <c r="E2961" s="1" t="str">
        <f t="array" ref="E2961">_xlfn.XLOOKUP(A2961,Product!A:A,Product!B:B,"Bulunamadı")</f>
        <v>Tech</v>
      </c>
      <c r="F2961" s="1" t="str">
        <f t="array" ref="F2961">_xlfn.XLOOKUP(A2961,Product!A:A,Product!C:C,"Bulunamadı")</f>
        <v>Winter Sports</v>
      </c>
      <c r="G2961" s="2" t="str">
        <f t="array" ref="G2961">_xlfn.XLOOKUP(A2962,Product!A:A,Product!D:D,"Bulunamadı")</f>
        <v>Ironhill Publishing</v>
      </c>
      <c r="H2961" s="2">
        <f t="array" ref="H2961">_xlfn.XLOOKUP(A2963,Product!A:A,Product!E:E,"Bulunamadı")</f>
        <v>4.48</v>
      </c>
      <c r="I2961" s="2" t="str">
        <f t="shared" si="1"/>
        <v>122334 - Tech - Winter Sports</v>
      </c>
      <c r="J2961" s="2">
        <f t="shared" si="2"/>
        <v>385.28</v>
      </c>
      <c r="K2961" s="17">
        <f t="shared" si="3"/>
        <v>1</v>
      </c>
      <c r="L2961" s="18"/>
    </row>
    <row r="2962" hidden="1">
      <c r="A2962" s="2">
        <f>IFERROR(__xludf.DUMMYFUNCTION("""COMPUTED_VALUE"""),122648.0)</f>
        <v>122648</v>
      </c>
      <c r="B2962" s="2">
        <f>IFERROR(__xludf.DUMMYFUNCTION("""COMPUTED_VALUE"""),0.0)</f>
        <v>0</v>
      </c>
      <c r="C2962" s="2">
        <f>IFERROR(__xludf.DUMMYFUNCTION("""COMPUTED_VALUE"""),655.0)</f>
        <v>655</v>
      </c>
      <c r="D2962" s="3">
        <f>IFERROR(__xludf.DUMMYFUNCTION("""COMPUTED_VALUE"""),528.0)</f>
        <v>528</v>
      </c>
      <c r="E2962" s="1" t="str">
        <f t="array" ref="E2962">_xlfn.XLOOKUP(A2962,Product!A:A,Product!B:B,"Bulunamadı")</f>
        <v>Tech</v>
      </c>
      <c r="F2962" s="1" t="str">
        <f t="array" ref="F2962">_xlfn.XLOOKUP(A2962,Product!A:A,Product!C:C,"Bulunamadı")</f>
        <v>Winter Sports</v>
      </c>
      <c r="G2962" s="2" t="str">
        <f t="array" ref="G2962">_xlfn.XLOOKUP(A2963,Product!A:A,Product!D:D,"Bulunamadı")</f>
        <v>Ironhill Publishing</v>
      </c>
      <c r="H2962" s="2">
        <f t="array" ref="H2962">_xlfn.XLOOKUP(A2964,Product!A:A,Product!E:E,"Bulunamadı")</f>
        <v>3.5</v>
      </c>
      <c r="I2962" s="2" t="str">
        <f t="shared" si="1"/>
        <v>122648 - Tech - Winter Sports</v>
      </c>
      <c r="J2962" s="2">
        <f t="shared" si="2"/>
        <v>1848</v>
      </c>
      <c r="K2962" s="17">
        <f t="shared" si="3"/>
        <v>1</v>
      </c>
      <c r="L2962" s="18"/>
    </row>
    <row r="2963" hidden="1">
      <c r="A2963" s="2">
        <f>IFERROR(__xludf.DUMMYFUNCTION("""COMPUTED_VALUE"""),128418.0)</f>
        <v>128418</v>
      </c>
      <c r="B2963" s="2">
        <f>IFERROR(__xludf.DUMMYFUNCTION("""COMPUTED_VALUE"""),0.0)</f>
        <v>0</v>
      </c>
      <c r="C2963" s="2">
        <f>IFERROR(__xludf.DUMMYFUNCTION("""COMPUTED_VALUE"""),643.0)</f>
        <v>643</v>
      </c>
      <c r="D2963" s="3">
        <f>IFERROR(__xludf.DUMMYFUNCTION("""COMPUTED_VALUE"""),491.0)</f>
        <v>491</v>
      </c>
      <c r="E2963" s="1" t="str">
        <f t="array" ref="E2963">_xlfn.XLOOKUP(A2963,Product!A:A,Product!B:B,"Bulunamadı")</f>
        <v>Tech</v>
      </c>
      <c r="F2963" s="1" t="str">
        <f t="array" ref="F2963">_xlfn.XLOOKUP(A2963,Product!A:A,Product!C:C,"Bulunamadı")</f>
        <v>Winter Sports</v>
      </c>
      <c r="G2963" s="2" t="str">
        <f t="array" ref="G2963">_xlfn.XLOOKUP(A2964,Product!A:A,Product!D:D,"Bulunamadı")</f>
        <v>Ironhill Publishing</v>
      </c>
      <c r="H2963" s="2">
        <f t="array" ref="H2963">_xlfn.XLOOKUP(A2965,Product!A:A,Product!E:E,"Bulunamadı")</f>
        <v>5.96</v>
      </c>
      <c r="I2963" s="2" t="str">
        <f t="shared" si="1"/>
        <v>128418 - Tech - Winter Sports</v>
      </c>
      <c r="J2963" s="2">
        <f t="shared" si="2"/>
        <v>2926.36</v>
      </c>
      <c r="K2963" s="17">
        <f t="shared" si="3"/>
        <v>1</v>
      </c>
      <c r="L2963" s="18"/>
    </row>
    <row r="2964" hidden="1">
      <c r="A2964" s="2">
        <f>IFERROR(__xludf.DUMMYFUNCTION("""COMPUTED_VALUE"""),109883.0)</f>
        <v>109883</v>
      </c>
      <c r="B2964" s="2">
        <f>IFERROR(__xludf.DUMMYFUNCTION("""COMPUTED_VALUE"""),1.0)</f>
        <v>1</v>
      </c>
      <c r="C2964" s="2">
        <f>IFERROR(__xludf.DUMMYFUNCTION("""COMPUTED_VALUE"""),579.0)</f>
        <v>579</v>
      </c>
      <c r="D2964" s="3">
        <f>IFERROR(__xludf.DUMMYFUNCTION("""COMPUTED_VALUE"""),299.0)</f>
        <v>299</v>
      </c>
      <c r="E2964" s="1" t="str">
        <f t="array" ref="E2964">_xlfn.XLOOKUP(A2964,Product!A:A,Product!B:B,"Bulunamadı")</f>
        <v>Tech</v>
      </c>
      <c r="F2964" s="1" t="str">
        <f t="array" ref="F2964">_xlfn.XLOOKUP(A2964,Product!A:A,Product!C:C,"Bulunamadı")</f>
        <v>Winter Sports</v>
      </c>
      <c r="G2964" s="2" t="str">
        <f t="array" ref="G2964">_xlfn.XLOOKUP(A2965,Product!A:A,Product!D:D,"Bulunamadı")</f>
        <v>Ironhill Publishing</v>
      </c>
      <c r="H2964" s="2">
        <f t="array" ref="H2964">_xlfn.XLOOKUP(A2966,Product!A:A,Product!E:E,"Bulunamadı")</f>
        <v>5.79</v>
      </c>
      <c r="I2964" s="2" t="str">
        <f t="shared" si="1"/>
        <v>109883 - Tech - Winter Sports</v>
      </c>
      <c r="J2964" s="2">
        <f t="shared" si="2"/>
        <v>1731.21</v>
      </c>
      <c r="K2964" s="17">
        <f t="shared" si="3"/>
        <v>1</v>
      </c>
      <c r="L2964" s="18"/>
    </row>
    <row r="2965" hidden="1">
      <c r="A2965" s="2">
        <f>IFERROR(__xludf.DUMMYFUNCTION("""COMPUTED_VALUE"""),119027.0)</f>
        <v>119027</v>
      </c>
      <c r="B2965" s="2">
        <f>IFERROR(__xludf.DUMMYFUNCTION("""COMPUTED_VALUE"""),0.0)</f>
        <v>0</v>
      </c>
      <c r="C2965" s="2">
        <f>IFERROR(__xludf.DUMMYFUNCTION("""COMPUTED_VALUE"""),973.0)</f>
        <v>973</v>
      </c>
      <c r="D2965" s="3">
        <f>IFERROR(__xludf.DUMMYFUNCTION("""COMPUTED_VALUE"""),775.0)</f>
        <v>775</v>
      </c>
      <c r="E2965" s="1" t="str">
        <f t="array" ref="E2965">_xlfn.XLOOKUP(A2965,Product!A:A,Product!B:B,"Bulunamadı")</f>
        <v>Tech</v>
      </c>
      <c r="F2965" s="1" t="str">
        <f t="array" ref="F2965">_xlfn.XLOOKUP(A2965,Product!A:A,Product!C:C,"Bulunamadı")</f>
        <v>Winter Sports</v>
      </c>
      <c r="G2965" s="2" t="str">
        <f t="array" ref="G2965">_xlfn.XLOOKUP(A2966,Product!A:A,Product!D:D,"Bulunamadı")</f>
        <v>Ironhill Publishing</v>
      </c>
      <c r="H2965" s="2">
        <f t="array" ref="H2965">_xlfn.XLOOKUP(A2967,Product!A:A,Product!E:E,"Bulunamadı")</f>
        <v>4.29</v>
      </c>
      <c r="I2965" s="2" t="str">
        <f t="shared" si="1"/>
        <v>119027 - Tech - Winter Sports</v>
      </c>
      <c r="J2965" s="2">
        <f t="shared" si="2"/>
        <v>3324.75</v>
      </c>
      <c r="K2965" s="17">
        <f t="shared" si="3"/>
        <v>1</v>
      </c>
      <c r="L2965" s="18"/>
    </row>
    <row r="2966" hidden="1">
      <c r="A2966" s="2">
        <f>IFERROR(__xludf.DUMMYFUNCTION("""COMPUTED_VALUE"""),30522.0)</f>
        <v>30522</v>
      </c>
      <c r="B2966" s="2">
        <f>IFERROR(__xludf.DUMMYFUNCTION("""COMPUTED_VALUE"""),1.0)</f>
        <v>1</v>
      </c>
      <c r="C2966" s="2">
        <f>IFERROR(__xludf.DUMMYFUNCTION("""COMPUTED_VALUE"""),961.0)</f>
        <v>961</v>
      </c>
      <c r="D2966" s="3">
        <f>IFERROR(__xludf.DUMMYFUNCTION("""COMPUTED_VALUE"""),105.0)</f>
        <v>105</v>
      </c>
      <c r="E2966" s="1" t="str">
        <f t="array" ref="E2966">_xlfn.XLOOKUP(A2966,Product!A:A,Product!B:B,"Bulunamadı")</f>
        <v>Tech</v>
      </c>
      <c r="F2966" s="1" t="str">
        <f t="array" ref="F2966">_xlfn.XLOOKUP(A2966,Product!A:A,Product!C:C,"Bulunamadı")</f>
        <v>Winter Sports</v>
      </c>
      <c r="G2966" s="2" t="str">
        <f t="array" ref="G2966">_xlfn.XLOOKUP(A2967,Product!A:A,Product!D:D,"Bulunamadı")</f>
        <v>Ironhill Publishing</v>
      </c>
      <c r="H2966" s="2">
        <f t="array" ref="H2966">_xlfn.XLOOKUP(A2968,Product!A:A,Product!E:E,"Bulunamadı")</f>
        <v>3.82</v>
      </c>
      <c r="I2966" s="2" t="str">
        <f t="shared" si="1"/>
        <v>30522 - Tech - Winter Sports</v>
      </c>
      <c r="J2966" s="2">
        <f t="shared" si="2"/>
        <v>401.1</v>
      </c>
      <c r="K2966" s="17">
        <f t="shared" si="3"/>
        <v>1</v>
      </c>
      <c r="L2966" s="18"/>
    </row>
    <row r="2967" hidden="1">
      <c r="A2967" s="2">
        <f>IFERROR(__xludf.DUMMYFUNCTION("""COMPUTED_VALUE"""),118155.0)</f>
        <v>118155</v>
      </c>
      <c r="B2967" s="2">
        <f>IFERROR(__xludf.DUMMYFUNCTION("""COMPUTED_VALUE"""),1.0)</f>
        <v>1</v>
      </c>
      <c r="C2967" s="2">
        <f>IFERROR(__xludf.DUMMYFUNCTION("""COMPUTED_VALUE"""),246.0)</f>
        <v>246</v>
      </c>
      <c r="D2967" s="3">
        <f>IFERROR(__xludf.DUMMYFUNCTION("""COMPUTED_VALUE"""),136.0)</f>
        <v>136</v>
      </c>
      <c r="E2967" s="1" t="str">
        <f t="array" ref="E2967">_xlfn.XLOOKUP(A2967,Product!A:A,Product!B:B,"Bulunamadı")</f>
        <v>Tech</v>
      </c>
      <c r="F2967" s="1" t="str">
        <f t="array" ref="F2967">_xlfn.XLOOKUP(A2967,Product!A:A,Product!C:C,"Bulunamadı")</f>
        <v>Winter Sports</v>
      </c>
      <c r="G2967" s="2" t="str">
        <f t="array" ref="G2967">_xlfn.XLOOKUP(A2968,Product!A:A,Product!D:D,"Bulunamadı")</f>
        <v>Ironhill Publishing</v>
      </c>
      <c r="H2967" s="2">
        <f t="array" ref="H2967">_xlfn.XLOOKUP(A2969,Product!A:A,Product!E:E,"Bulunamadı")</f>
        <v>3.46</v>
      </c>
      <c r="I2967" s="2" t="str">
        <f t="shared" si="1"/>
        <v>118155 - Tech - Winter Sports</v>
      </c>
      <c r="J2967" s="2">
        <f t="shared" si="2"/>
        <v>470.56</v>
      </c>
      <c r="K2967" s="17">
        <f t="shared" si="3"/>
        <v>1</v>
      </c>
      <c r="L2967" s="18"/>
    </row>
    <row r="2968" hidden="1">
      <c r="A2968" s="2">
        <f>IFERROR(__xludf.DUMMYFUNCTION("""COMPUTED_VALUE"""),188068.0)</f>
        <v>188068</v>
      </c>
      <c r="B2968" s="2">
        <f>IFERROR(__xludf.DUMMYFUNCTION("""COMPUTED_VALUE"""),0.0)</f>
        <v>0</v>
      </c>
      <c r="C2968" s="2">
        <f>IFERROR(__xludf.DUMMYFUNCTION("""COMPUTED_VALUE"""),795.0)</f>
        <v>795</v>
      </c>
      <c r="D2968" s="3">
        <f>IFERROR(__xludf.DUMMYFUNCTION("""COMPUTED_VALUE"""),454.0)</f>
        <v>454</v>
      </c>
      <c r="E2968" s="1" t="str">
        <f t="array" ref="E2968">_xlfn.XLOOKUP(A2968,Product!A:A,Product!B:B,"Bulunamadı")</f>
        <v>Tech</v>
      </c>
      <c r="F2968" s="1" t="str">
        <f t="array" ref="F2968">_xlfn.XLOOKUP(A2968,Product!A:A,Product!C:C,"Bulunamadı")</f>
        <v>Winter Sports</v>
      </c>
      <c r="G2968" s="2" t="str">
        <f t="array" ref="G2968">_xlfn.XLOOKUP(A2969,Product!A:A,Product!D:D,"Bulunamadı")</f>
        <v>Ironhill Publishing</v>
      </c>
      <c r="H2968" s="2">
        <f t="array" ref="H2968">_xlfn.XLOOKUP(A2970,Product!A:A,Product!E:E,"Bulunamadı")</f>
        <v>4.93</v>
      </c>
      <c r="I2968" s="2" t="str">
        <f t="shared" si="1"/>
        <v>188068 - Tech - Winter Sports</v>
      </c>
      <c r="J2968" s="2">
        <f t="shared" si="2"/>
        <v>2238.22</v>
      </c>
      <c r="K2968" s="17">
        <f t="shared" si="3"/>
        <v>1</v>
      </c>
      <c r="L2968" s="18"/>
    </row>
    <row r="2969" hidden="1">
      <c r="A2969" s="2">
        <f>IFERROR(__xludf.DUMMYFUNCTION("""COMPUTED_VALUE"""),92613.0)</f>
        <v>92613</v>
      </c>
      <c r="B2969" s="2">
        <f>IFERROR(__xludf.DUMMYFUNCTION("""COMPUTED_VALUE"""),1.0)</f>
        <v>1</v>
      </c>
      <c r="C2969" s="2">
        <f>IFERROR(__xludf.DUMMYFUNCTION("""COMPUTED_VALUE"""),780.0)</f>
        <v>780</v>
      </c>
      <c r="D2969" s="3">
        <f>IFERROR(__xludf.DUMMYFUNCTION("""COMPUTED_VALUE"""),198.0)</f>
        <v>198</v>
      </c>
      <c r="E2969" s="1" t="str">
        <f t="array" ref="E2969">_xlfn.XLOOKUP(A2969,Product!A:A,Product!B:B,"Bulunamadı")</f>
        <v>Tech</v>
      </c>
      <c r="F2969" s="1" t="str">
        <f t="array" ref="F2969">_xlfn.XLOOKUP(A2969,Product!A:A,Product!C:C,"Bulunamadı")</f>
        <v>Winter Sports</v>
      </c>
      <c r="G2969" s="2" t="str">
        <f t="array" ref="G2969">_xlfn.XLOOKUP(A2970,Product!A:A,Product!D:D,"Bulunamadı")</f>
        <v>Ironhill Publishing</v>
      </c>
      <c r="H2969" s="2">
        <f t="array" ref="H2969">_xlfn.XLOOKUP(A2971,Product!A:A,Product!E:E,"Bulunamadı")</f>
        <v>4.81</v>
      </c>
      <c r="I2969" s="2" t="str">
        <f t="shared" si="1"/>
        <v>92613 - Tech - Winter Sports</v>
      </c>
      <c r="J2969" s="2">
        <f t="shared" si="2"/>
        <v>952.38</v>
      </c>
      <c r="K2969" s="17">
        <f t="shared" si="3"/>
        <v>1</v>
      </c>
      <c r="L2969" s="18"/>
    </row>
    <row r="2970" hidden="1">
      <c r="A2970" s="2">
        <f>IFERROR(__xludf.DUMMYFUNCTION("""COMPUTED_VALUE"""),69234.0)</f>
        <v>69234</v>
      </c>
      <c r="B2970" s="2">
        <f>IFERROR(__xludf.DUMMYFUNCTION("""COMPUTED_VALUE"""),0.0)</f>
        <v>0</v>
      </c>
      <c r="C2970" s="2">
        <f>IFERROR(__xludf.DUMMYFUNCTION("""COMPUTED_VALUE"""),324.0)</f>
        <v>324</v>
      </c>
      <c r="D2970" s="3">
        <f>IFERROR(__xludf.DUMMYFUNCTION("""COMPUTED_VALUE"""),115.0)</f>
        <v>115</v>
      </c>
      <c r="E2970" s="1" t="str">
        <f t="array" ref="E2970">_xlfn.XLOOKUP(A2970,Product!A:A,Product!B:B,"Bulunamadı")</f>
        <v>Tech</v>
      </c>
      <c r="F2970" s="1" t="str">
        <f t="array" ref="F2970">_xlfn.XLOOKUP(A2970,Product!A:A,Product!C:C,"Bulunamadı")</f>
        <v>Winter Sports</v>
      </c>
      <c r="G2970" s="2" t="str">
        <f t="array" ref="G2970">_xlfn.XLOOKUP(A2971,Product!A:A,Product!D:D,"Bulunamadı")</f>
        <v>Ironhill Publishing</v>
      </c>
      <c r="H2970" s="2">
        <f t="array" ref="H2970">_xlfn.XLOOKUP(A2972,Product!A:A,Product!E:E,"Bulunamadı")</f>
        <v>3.98</v>
      </c>
      <c r="I2970" s="2" t="str">
        <f t="shared" si="1"/>
        <v>69234 - Tech - Winter Sports</v>
      </c>
      <c r="J2970" s="2">
        <f t="shared" si="2"/>
        <v>457.7</v>
      </c>
      <c r="K2970" s="17">
        <f t="shared" si="3"/>
        <v>1</v>
      </c>
      <c r="L2970" s="18"/>
    </row>
    <row r="2971" hidden="1">
      <c r="A2971" s="2">
        <f>IFERROR(__xludf.DUMMYFUNCTION("""COMPUTED_VALUE"""),109938.0)</f>
        <v>109938</v>
      </c>
      <c r="B2971" s="2">
        <f>IFERROR(__xludf.DUMMYFUNCTION("""COMPUTED_VALUE"""),1.0)</f>
        <v>1</v>
      </c>
      <c r="C2971" s="2">
        <f>IFERROR(__xludf.DUMMYFUNCTION("""COMPUTED_VALUE"""),632.0)</f>
        <v>632</v>
      </c>
      <c r="D2971" s="3">
        <f>IFERROR(__xludf.DUMMYFUNCTION("""COMPUTED_VALUE"""),391.0)</f>
        <v>391</v>
      </c>
      <c r="E2971" s="1" t="str">
        <f t="array" ref="E2971">_xlfn.XLOOKUP(A2971,Product!A:A,Product!B:B,"Bulunamadı")</f>
        <v>Tech</v>
      </c>
      <c r="F2971" s="1" t="str">
        <f t="array" ref="F2971">_xlfn.XLOOKUP(A2971,Product!A:A,Product!C:C,"Bulunamadı")</f>
        <v>Winter Sports</v>
      </c>
      <c r="G2971" s="2" t="str">
        <f t="array" ref="G2971">_xlfn.XLOOKUP(A2972,Product!A:A,Product!D:D,"Bulunamadı")</f>
        <v>Ironhill Publishing</v>
      </c>
      <c r="H2971" s="2">
        <f t="array" ref="H2971">_xlfn.XLOOKUP(A2973,Product!A:A,Product!E:E,"Bulunamadı")</f>
        <v>5.1</v>
      </c>
      <c r="I2971" s="2" t="str">
        <f t="shared" si="1"/>
        <v>109938 - Tech - Winter Sports</v>
      </c>
      <c r="J2971" s="2">
        <f t="shared" si="2"/>
        <v>1994.1</v>
      </c>
      <c r="K2971" s="17">
        <f t="shared" si="3"/>
        <v>1</v>
      </c>
      <c r="L2971" s="18"/>
    </row>
    <row r="2972" hidden="1">
      <c r="A2972" s="2">
        <f>IFERROR(__xludf.DUMMYFUNCTION("""COMPUTED_VALUE"""),120307.0)</f>
        <v>120307</v>
      </c>
      <c r="B2972" s="2">
        <f>IFERROR(__xludf.DUMMYFUNCTION("""COMPUTED_VALUE"""),0.0)</f>
        <v>0</v>
      </c>
      <c r="C2972" s="2">
        <f>IFERROR(__xludf.DUMMYFUNCTION("""COMPUTED_VALUE"""),429.0)</f>
        <v>429</v>
      </c>
      <c r="D2972" s="3">
        <f>IFERROR(__xludf.DUMMYFUNCTION("""COMPUTED_VALUE"""),313.0)</f>
        <v>313</v>
      </c>
      <c r="E2972" s="1" t="str">
        <f t="array" ref="E2972">_xlfn.XLOOKUP(A2972,Product!A:A,Product!B:B,"Bulunamadı")</f>
        <v>Tech</v>
      </c>
      <c r="F2972" s="1" t="str">
        <f t="array" ref="F2972">_xlfn.XLOOKUP(A2972,Product!A:A,Product!C:C,"Bulunamadı")</f>
        <v>Winter Sports</v>
      </c>
      <c r="G2972" s="2" t="str">
        <f t="array" ref="G2972">_xlfn.XLOOKUP(A2973,Product!A:A,Product!D:D,"Bulunamadı")</f>
        <v>Ironhill Publishing</v>
      </c>
      <c r="H2972" s="2">
        <f t="array" ref="H2972">_xlfn.XLOOKUP(A2974,Product!A:A,Product!E:E,"Bulunamadı")</f>
        <v>2.98</v>
      </c>
      <c r="I2972" s="2" t="str">
        <f t="shared" si="1"/>
        <v>120307 - Tech - Winter Sports</v>
      </c>
      <c r="J2972" s="2">
        <f t="shared" si="2"/>
        <v>932.74</v>
      </c>
      <c r="K2972" s="17">
        <f t="shared" si="3"/>
        <v>1</v>
      </c>
      <c r="L2972" s="18"/>
    </row>
    <row r="2973" hidden="1">
      <c r="A2973" s="2">
        <f>IFERROR(__xludf.DUMMYFUNCTION("""COMPUTED_VALUE"""),118906.0)</f>
        <v>118906</v>
      </c>
      <c r="B2973" s="2">
        <f>IFERROR(__xludf.DUMMYFUNCTION("""COMPUTED_VALUE"""),0.0)</f>
        <v>0</v>
      </c>
      <c r="C2973" s="2">
        <f>IFERROR(__xludf.DUMMYFUNCTION("""COMPUTED_VALUE"""),544.0)</f>
        <v>544</v>
      </c>
      <c r="D2973" s="3">
        <f>IFERROR(__xludf.DUMMYFUNCTION("""COMPUTED_VALUE"""),516.0)</f>
        <v>516</v>
      </c>
      <c r="E2973" s="1" t="str">
        <f t="array" ref="E2973">_xlfn.XLOOKUP(A2973,Product!A:A,Product!B:B,"Bulunamadı")</f>
        <v>Tech</v>
      </c>
      <c r="F2973" s="1" t="str">
        <f t="array" ref="F2973">_xlfn.XLOOKUP(A2973,Product!A:A,Product!C:C,"Bulunamadı")</f>
        <v>Winter Sports</v>
      </c>
      <c r="G2973" s="2" t="str">
        <f t="array" ref="G2973">_xlfn.XLOOKUP(A2974,Product!A:A,Product!D:D,"Bulunamadı")</f>
        <v>Silverpoint Books</v>
      </c>
      <c r="H2973" s="2">
        <f t="array" ref="H2973">_xlfn.XLOOKUP(A2975,Product!A:A,Product!E:E,"Bulunamadı")</f>
        <v>5.76</v>
      </c>
      <c r="I2973" s="2" t="str">
        <f t="shared" si="1"/>
        <v>118906 - Tech - Winter Sports</v>
      </c>
      <c r="J2973" s="2">
        <f t="shared" si="2"/>
        <v>2972.16</v>
      </c>
      <c r="K2973" s="17">
        <f t="shared" si="3"/>
        <v>1</v>
      </c>
      <c r="L2973" s="18"/>
    </row>
    <row r="2974" hidden="1">
      <c r="A2974" s="2">
        <f>IFERROR(__xludf.DUMMYFUNCTION("""COMPUTED_VALUE"""),128309.0)</f>
        <v>128309</v>
      </c>
      <c r="B2974" s="2">
        <f>IFERROR(__xludf.DUMMYFUNCTION("""COMPUTED_VALUE"""),0.0)</f>
        <v>0</v>
      </c>
      <c r="C2974" s="2">
        <f>IFERROR(__xludf.DUMMYFUNCTION("""COMPUTED_VALUE"""),914.0)</f>
        <v>914</v>
      </c>
      <c r="D2974" s="3">
        <f>IFERROR(__xludf.DUMMYFUNCTION("""COMPUTED_VALUE"""),393.0)</f>
        <v>393</v>
      </c>
      <c r="E2974" s="1" t="str">
        <f t="array" ref="E2974">_xlfn.XLOOKUP(A2974,Product!A:A,Product!B:B,"Bulunamadı")</f>
        <v>Tech</v>
      </c>
      <c r="F2974" s="1" t="str">
        <f t="array" ref="F2974">_xlfn.XLOOKUP(A2974,Product!A:A,Product!C:C,"Bulunamadı")</f>
        <v>Winter Sports</v>
      </c>
      <c r="G2974" s="2" t="str">
        <f t="array" ref="G2974">_xlfn.XLOOKUP(A2975,Product!A:A,Product!D:D,"Bulunamadı")</f>
        <v>Silverpoint Books</v>
      </c>
      <c r="H2974" s="2">
        <f t="array" ref="H2974">_xlfn.XLOOKUP(A2976,Product!A:A,Product!E:E,"Bulunamadı")</f>
        <v>12.18</v>
      </c>
      <c r="I2974" s="2" t="str">
        <f t="shared" si="1"/>
        <v>128309 - Tech - Winter Sports</v>
      </c>
      <c r="J2974" s="2">
        <f t="shared" si="2"/>
        <v>4786.74</v>
      </c>
      <c r="K2974" s="17">
        <f t="shared" si="3"/>
        <v>1</v>
      </c>
      <c r="L2974" s="18"/>
    </row>
    <row r="2975" hidden="1">
      <c r="A2975" s="2">
        <f>IFERROR(__xludf.DUMMYFUNCTION("""COMPUTED_VALUE"""),1986.0)</f>
        <v>1986</v>
      </c>
      <c r="B2975" s="2">
        <f>IFERROR(__xludf.DUMMYFUNCTION("""COMPUTED_VALUE"""),0.0)</f>
        <v>0</v>
      </c>
      <c r="C2975" s="2">
        <f>IFERROR(__xludf.DUMMYFUNCTION("""COMPUTED_VALUE"""),587.0)</f>
        <v>587</v>
      </c>
      <c r="D2975" s="3">
        <f>IFERROR(__xludf.DUMMYFUNCTION("""COMPUTED_VALUE"""),25.0)</f>
        <v>25</v>
      </c>
      <c r="E2975" s="1" t="str">
        <f t="array" ref="E2975">_xlfn.XLOOKUP(A2975,Product!A:A,Product!B:B,"Bulunamadı")</f>
        <v>Tech</v>
      </c>
      <c r="F2975" s="1" t="str">
        <f t="array" ref="F2975">_xlfn.XLOOKUP(A2975,Product!A:A,Product!C:C,"Bulunamadı")</f>
        <v>Winter Sports</v>
      </c>
      <c r="G2975" s="2" t="str">
        <f t="array" ref="G2975">_xlfn.XLOOKUP(A2976,Product!A:A,Product!D:D,"Bulunamadı")</f>
        <v>Silverpoint Books</v>
      </c>
      <c r="H2975" s="2">
        <f t="array" ref="H2975">_xlfn.XLOOKUP(A2977,Product!A:A,Product!E:E,"Bulunamadı")</f>
        <v>9.22</v>
      </c>
      <c r="I2975" s="2" t="str">
        <f t="shared" si="1"/>
        <v>1986 - Tech - Winter Sports</v>
      </c>
      <c r="J2975" s="2">
        <f t="shared" si="2"/>
        <v>230.5</v>
      </c>
      <c r="K2975" s="17">
        <f t="shared" si="3"/>
        <v>1</v>
      </c>
      <c r="L2975" s="18"/>
    </row>
    <row r="2976" hidden="1">
      <c r="A2976" s="2">
        <f>IFERROR(__xludf.DUMMYFUNCTION("""COMPUTED_VALUE"""),117749.0)</f>
        <v>117749</v>
      </c>
      <c r="B2976" s="2">
        <f>IFERROR(__xludf.DUMMYFUNCTION("""COMPUTED_VALUE"""),1.0)</f>
        <v>1</v>
      </c>
      <c r="C2976" s="2">
        <f>IFERROR(__xludf.DUMMYFUNCTION("""COMPUTED_VALUE"""),295.0)</f>
        <v>295</v>
      </c>
      <c r="D2976" s="3">
        <f>IFERROR(__xludf.DUMMYFUNCTION("""COMPUTED_VALUE"""),22.0)</f>
        <v>22</v>
      </c>
      <c r="E2976" s="1" t="str">
        <f t="array" ref="E2976">_xlfn.XLOOKUP(A2976,Product!A:A,Product!B:B,"Bulunamadı")</f>
        <v>Tech</v>
      </c>
      <c r="F2976" s="1" t="str">
        <f t="array" ref="F2976">_xlfn.XLOOKUP(A2976,Product!A:A,Product!C:C,"Bulunamadı")</f>
        <v>Winter Sports</v>
      </c>
      <c r="G2976" s="2" t="str">
        <f t="array" ref="G2976">_xlfn.XLOOKUP(A2977,Product!A:A,Product!D:D,"Bulunamadı")</f>
        <v>Silverpoint Books</v>
      </c>
      <c r="H2976" s="2">
        <f t="array" ref="H2976">_xlfn.XLOOKUP(A2978,Product!A:A,Product!E:E,"Bulunamadı")</f>
        <v>3.41</v>
      </c>
      <c r="I2976" s="2" t="str">
        <f t="shared" si="1"/>
        <v>117749 - Tech - Winter Sports</v>
      </c>
      <c r="J2976" s="2">
        <f t="shared" si="2"/>
        <v>75.02</v>
      </c>
      <c r="K2976" s="17">
        <f t="shared" si="3"/>
        <v>1</v>
      </c>
      <c r="L2976" s="18"/>
    </row>
    <row r="2977" hidden="1">
      <c r="A2977" s="2">
        <f>IFERROR(__xludf.DUMMYFUNCTION("""COMPUTED_VALUE"""),117748.0)</f>
        <v>117748</v>
      </c>
      <c r="B2977" s="2">
        <f>IFERROR(__xludf.DUMMYFUNCTION("""COMPUTED_VALUE"""),1.0)</f>
        <v>1</v>
      </c>
      <c r="C2977" s="2">
        <f>IFERROR(__xludf.DUMMYFUNCTION("""COMPUTED_VALUE"""),562.0)</f>
        <v>562</v>
      </c>
      <c r="D2977" s="3">
        <f>IFERROR(__xludf.DUMMYFUNCTION("""COMPUTED_VALUE"""),394.0)</f>
        <v>394</v>
      </c>
      <c r="E2977" s="1" t="str">
        <f t="array" ref="E2977">_xlfn.XLOOKUP(A2977,Product!A:A,Product!B:B,"Bulunamadı")</f>
        <v>Tech</v>
      </c>
      <c r="F2977" s="1" t="str">
        <f t="array" ref="F2977">_xlfn.XLOOKUP(A2977,Product!A:A,Product!C:C,"Bulunamadı")</f>
        <v>Winter Sports</v>
      </c>
      <c r="G2977" s="2" t="str">
        <f t="array" ref="G2977">_xlfn.XLOOKUP(A2978,Product!A:A,Product!D:D,"Bulunamadı")</f>
        <v>Silverpoint Books</v>
      </c>
      <c r="H2977" s="2">
        <f t="array" ref="H2977">_xlfn.XLOOKUP(A2979,Product!A:A,Product!E:E,"Bulunamadı")</f>
        <v>3.57</v>
      </c>
      <c r="I2977" s="2" t="str">
        <f t="shared" si="1"/>
        <v>117748 - Tech - Winter Sports</v>
      </c>
      <c r="J2977" s="2">
        <f t="shared" si="2"/>
        <v>1406.58</v>
      </c>
      <c r="K2977" s="17">
        <f t="shared" si="3"/>
        <v>1</v>
      </c>
      <c r="L2977" s="18"/>
    </row>
    <row r="2978" hidden="1">
      <c r="A2978" s="2">
        <f>IFERROR(__xludf.DUMMYFUNCTION("""COMPUTED_VALUE"""),1962.0)</f>
        <v>1962</v>
      </c>
      <c r="B2978" s="2">
        <f>IFERROR(__xludf.DUMMYFUNCTION("""COMPUTED_VALUE"""),0.0)</f>
        <v>0</v>
      </c>
      <c r="C2978" s="2">
        <f>IFERROR(__xludf.DUMMYFUNCTION("""COMPUTED_VALUE"""),148.0)</f>
        <v>148</v>
      </c>
      <c r="D2978" s="3">
        <f>IFERROR(__xludf.DUMMYFUNCTION("""COMPUTED_VALUE"""),62.0)</f>
        <v>62</v>
      </c>
      <c r="E2978" s="1" t="str">
        <f t="array" ref="E2978">_xlfn.XLOOKUP(A2978,Product!A:A,Product!B:B,"Bulunamadı")</f>
        <v>Tech</v>
      </c>
      <c r="F2978" s="1" t="str">
        <f t="array" ref="F2978">_xlfn.XLOOKUP(A2978,Product!A:A,Product!C:C,"Bulunamadı")</f>
        <v>Winter Sports</v>
      </c>
      <c r="G2978" s="2" t="str">
        <f t="array" ref="G2978">_xlfn.XLOOKUP(A2979,Product!A:A,Product!D:D,"Bulunamadı")</f>
        <v>Silverpoint Books</v>
      </c>
      <c r="H2978" s="2">
        <f t="array" ref="H2978">_xlfn.XLOOKUP(A2980,Product!A:A,Product!E:E,"Bulunamadı")</f>
        <v>5.12</v>
      </c>
      <c r="I2978" s="2" t="str">
        <f t="shared" si="1"/>
        <v>1962 - Tech - Winter Sports</v>
      </c>
      <c r="J2978" s="2">
        <f t="shared" si="2"/>
        <v>317.44</v>
      </c>
      <c r="K2978" s="17">
        <f t="shared" si="3"/>
        <v>1</v>
      </c>
      <c r="L2978" s="18"/>
    </row>
    <row r="2979" hidden="1">
      <c r="A2979" s="2">
        <f>IFERROR(__xludf.DUMMYFUNCTION("""COMPUTED_VALUE"""),109994.0)</f>
        <v>109994</v>
      </c>
      <c r="B2979" s="2">
        <f>IFERROR(__xludf.DUMMYFUNCTION("""COMPUTED_VALUE"""),0.0)</f>
        <v>0</v>
      </c>
      <c r="C2979" s="2">
        <f>IFERROR(__xludf.DUMMYFUNCTION("""COMPUTED_VALUE"""),719.0)</f>
        <v>719</v>
      </c>
      <c r="D2979" s="3">
        <f>IFERROR(__xludf.DUMMYFUNCTION("""COMPUTED_VALUE"""),596.0)</f>
        <v>596</v>
      </c>
      <c r="E2979" s="1" t="str">
        <f t="array" ref="E2979">_xlfn.XLOOKUP(A2979,Product!A:A,Product!B:B,"Bulunamadı")</f>
        <v>Tech</v>
      </c>
      <c r="F2979" s="1" t="str">
        <f t="array" ref="F2979">_xlfn.XLOOKUP(A2979,Product!A:A,Product!C:C,"Bulunamadı")</f>
        <v>Winter Sports</v>
      </c>
      <c r="G2979" s="2" t="str">
        <f t="array" ref="G2979">_xlfn.XLOOKUP(A2980,Product!A:A,Product!D:D,"Bulunamadı")</f>
        <v>Silverpoint Books</v>
      </c>
      <c r="H2979" s="2">
        <f t="array" ref="H2979">_xlfn.XLOOKUP(A2981,Product!A:A,Product!E:E,"Bulunamadı")</f>
        <v>3</v>
      </c>
      <c r="I2979" s="2" t="str">
        <f t="shared" si="1"/>
        <v>109994 - Tech - Winter Sports</v>
      </c>
      <c r="J2979" s="2">
        <f t="shared" si="2"/>
        <v>1788</v>
      </c>
      <c r="K2979" s="17">
        <f t="shared" si="3"/>
        <v>1</v>
      </c>
      <c r="L2979" s="18"/>
    </row>
    <row r="2980" hidden="1">
      <c r="A2980" s="2">
        <f>IFERROR(__xludf.DUMMYFUNCTION("""COMPUTED_VALUE"""),69364.0)</f>
        <v>69364</v>
      </c>
      <c r="B2980" s="2">
        <f>IFERROR(__xludf.DUMMYFUNCTION("""COMPUTED_VALUE"""),1.0)</f>
        <v>1</v>
      </c>
      <c r="C2980" s="2">
        <f>IFERROR(__xludf.DUMMYFUNCTION("""COMPUTED_VALUE"""),232.0)</f>
        <v>232</v>
      </c>
      <c r="D2980" s="3">
        <f>IFERROR(__xludf.DUMMYFUNCTION("""COMPUTED_VALUE"""),55.0)</f>
        <v>55</v>
      </c>
      <c r="E2980" s="1" t="str">
        <f t="array" ref="E2980">_xlfn.XLOOKUP(A2980,Product!A:A,Product!B:B,"Bulunamadı")</f>
        <v>Tech</v>
      </c>
      <c r="F2980" s="1" t="str">
        <f t="array" ref="F2980">_xlfn.XLOOKUP(A2980,Product!A:A,Product!C:C,"Bulunamadı")</f>
        <v>Winter Sports</v>
      </c>
      <c r="G2980" s="2" t="str">
        <f t="array" ref="G2980">_xlfn.XLOOKUP(A2981,Product!A:A,Product!D:D,"Bulunamadı")</f>
        <v>Silverpoint Books</v>
      </c>
      <c r="H2980" s="2">
        <f t="array" ref="H2980">_xlfn.XLOOKUP(A2982,Product!A:A,Product!E:E,"Bulunamadı")</f>
        <v>3.72</v>
      </c>
      <c r="I2980" s="2" t="str">
        <f t="shared" si="1"/>
        <v>69364 - Tech - Winter Sports</v>
      </c>
      <c r="J2980" s="2">
        <f t="shared" si="2"/>
        <v>204.6</v>
      </c>
      <c r="K2980" s="17">
        <f t="shared" si="3"/>
        <v>1</v>
      </c>
      <c r="L2980" s="18"/>
    </row>
    <row r="2981" hidden="1">
      <c r="A2981" s="2">
        <f>IFERROR(__xludf.DUMMYFUNCTION("""COMPUTED_VALUE"""),69365.0)</f>
        <v>69365</v>
      </c>
      <c r="B2981" s="2">
        <f>IFERROR(__xludf.DUMMYFUNCTION("""COMPUTED_VALUE"""),1.0)</f>
        <v>1</v>
      </c>
      <c r="C2981" s="2">
        <f>IFERROR(__xludf.DUMMYFUNCTION("""COMPUTED_VALUE"""),472.0)</f>
        <v>472</v>
      </c>
      <c r="D2981" s="3">
        <f>IFERROR(__xludf.DUMMYFUNCTION("""COMPUTED_VALUE"""),455.0)</f>
        <v>455</v>
      </c>
      <c r="E2981" s="1" t="str">
        <f t="array" ref="E2981">_xlfn.XLOOKUP(A2981,Product!A:A,Product!B:B,"Bulunamadı")</f>
        <v>Tech</v>
      </c>
      <c r="F2981" s="1" t="str">
        <f t="array" ref="F2981">_xlfn.XLOOKUP(A2981,Product!A:A,Product!C:C,"Bulunamadı")</f>
        <v>Winter Sports</v>
      </c>
      <c r="G2981" s="2" t="str">
        <f t="array" ref="G2981">_xlfn.XLOOKUP(A2982,Product!A:A,Product!D:D,"Bulunamadı")</f>
        <v>Silverpoint Books</v>
      </c>
      <c r="H2981" s="2">
        <f t="array" ref="H2981">_xlfn.XLOOKUP(A2983,Product!A:A,Product!E:E,"Bulunamadı")</f>
        <v>7.8</v>
      </c>
      <c r="I2981" s="2" t="str">
        <f t="shared" si="1"/>
        <v>69365 - Tech - Winter Sports</v>
      </c>
      <c r="J2981" s="2">
        <f t="shared" si="2"/>
        <v>3549</v>
      </c>
      <c r="K2981" s="17">
        <f t="shared" si="3"/>
        <v>1</v>
      </c>
      <c r="L2981" s="18"/>
    </row>
    <row r="2982" hidden="1">
      <c r="A2982" s="2">
        <f>IFERROR(__xludf.DUMMYFUNCTION("""COMPUTED_VALUE"""),46990.0)</f>
        <v>46990</v>
      </c>
      <c r="B2982" s="2">
        <f>IFERROR(__xludf.DUMMYFUNCTION("""COMPUTED_VALUE"""),0.0)</f>
        <v>0</v>
      </c>
      <c r="C2982" s="2">
        <f>IFERROR(__xludf.DUMMYFUNCTION("""COMPUTED_VALUE"""),758.0)</f>
        <v>758</v>
      </c>
      <c r="D2982" s="3">
        <f>IFERROR(__xludf.DUMMYFUNCTION("""COMPUTED_VALUE"""),10.0)</f>
        <v>10</v>
      </c>
      <c r="E2982" s="1" t="str">
        <f t="array" ref="E2982">_xlfn.XLOOKUP(A2982,Product!A:A,Product!B:B,"Bulunamadı")</f>
        <v>Tech</v>
      </c>
      <c r="F2982" s="1" t="str">
        <f t="array" ref="F2982">_xlfn.XLOOKUP(A2982,Product!A:A,Product!C:C,"Bulunamadı")</f>
        <v>Winter Sports</v>
      </c>
      <c r="G2982" s="2" t="str">
        <f t="array" ref="G2982">_xlfn.XLOOKUP(A2983,Product!A:A,Product!D:D,"Bulunamadı")</f>
        <v>Silverpoint Books</v>
      </c>
      <c r="H2982" s="2">
        <f t="array" ref="H2982">_xlfn.XLOOKUP(A2984,Product!A:A,Product!E:E,"Bulunamadı")</f>
        <v>4.26</v>
      </c>
      <c r="I2982" s="2" t="str">
        <f t="shared" si="1"/>
        <v>46990 - Tech - Winter Sports</v>
      </c>
      <c r="J2982" s="2">
        <f t="shared" si="2"/>
        <v>42.6</v>
      </c>
      <c r="K2982" s="17">
        <f t="shared" si="3"/>
        <v>1</v>
      </c>
      <c r="L2982" s="18"/>
    </row>
    <row r="2983" hidden="1">
      <c r="A2983" s="2">
        <f>IFERROR(__xludf.DUMMYFUNCTION("""COMPUTED_VALUE"""),11428.0)</f>
        <v>11428</v>
      </c>
      <c r="B2983" s="2">
        <f>IFERROR(__xludf.DUMMYFUNCTION("""COMPUTED_VALUE"""),1.0)</f>
        <v>1</v>
      </c>
      <c r="C2983" s="2">
        <f>IFERROR(__xludf.DUMMYFUNCTION("""COMPUTED_VALUE"""),646.0)</f>
        <v>646</v>
      </c>
      <c r="D2983" s="3">
        <f>IFERROR(__xludf.DUMMYFUNCTION("""COMPUTED_VALUE"""),192.0)</f>
        <v>192</v>
      </c>
      <c r="E2983" s="1" t="str">
        <f t="array" ref="E2983">_xlfn.XLOOKUP(A2983,Product!A:A,Product!B:B,"Bulunamadı")</f>
        <v>Tech</v>
      </c>
      <c r="F2983" s="1" t="str">
        <f t="array" ref="F2983">_xlfn.XLOOKUP(A2983,Product!A:A,Product!C:C,"Bulunamadı")</f>
        <v>Winter Sports</v>
      </c>
      <c r="G2983" s="2" t="str">
        <f t="array" ref="G2983">_xlfn.XLOOKUP(A2984,Product!A:A,Product!D:D,"Bulunamadı")</f>
        <v>Silverpoint Books</v>
      </c>
      <c r="H2983" s="2">
        <f t="array" ref="H2983">_xlfn.XLOOKUP(A2985,Product!A:A,Product!E:E,"Bulunamadı")</f>
        <v>3.51</v>
      </c>
      <c r="I2983" s="2" t="str">
        <f t="shared" si="1"/>
        <v>11428 - Tech - Winter Sports</v>
      </c>
      <c r="J2983" s="2">
        <f t="shared" si="2"/>
        <v>673.92</v>
      </c>
      <c r="K2983" s="17">
        <f t="shared" si="3"/>
        <v>1</v>
      </c>
      <c r="L2983" s="18"/>
    </row>
    <row r="2984" hidden="1">
      <c r="A2984" s="2">
        <f>IFERROR(__xludf.DUMMYFUNCTION("""COMPUTED_VALUE"""),122318.0)</f>
        <v>122318</v>
      </c>
      <c r="B2984" s="2">
        <f>IFERROR(__xludf.DUMMYFUNCTION("""COMPUTED_VALUE"""),0.0)</f>
        <v>0</v>
      </c>
      <c r="C2984" s="2">
        <f>IFERROR(__xludf.DUMMYFUNCTION("""COMPUTED_VALUE"""),442.0)</f>
        <v>442</v>
      </c>
      <c r="D2984" s="3">
        <f>IFERROR(__xludf.DUMMYFUNCTION("""COMPUTED_VALUE"""),47.0)</f>
        <v>47</v>
      </c>
      <c r="E2984" s="1" t="str">
        <f t="array" ref="E2984">_xlfn.XLOOKUP(A2984,Product!A:A,Product!B:B,"Bulunamadı")</f>
        <v>Tech</v>
      </c>
      <c r="F2984" s="1" t="str">
        <f t="array" ref="F2984">_xlfn.XLOOKUP(A2984,Product!A:A,Product!C:C,"Bulunamadı")</f>
        <v>Winter Sports</v>
      </c>
      <c r="G2984" s="2" t="str">
        <f t="array" ref="G2984">_xlfn.XLOOKUP(A2985,Product!A:A,Product!D:D,"Bulunamadı")</f>
        <v>Silverpoint Books</v>
      </c>
      <c r="H2984" s="2">
        <f t="array" ref="H2984">_xlfn.XLOOKUP(A2986,Product!A:A,Product!E:E,"Bulunamadı")</f>
        <v>3.45</v>
      </c>
      <c r="I2984" s="2" t="str">
        <f t="shared" si="1"/>
        <v>122318 - Tech - Winter Sports</v>
      </c>
      <c r="J2984" s="2">
        <f t="shared" si="2"/>
        <v>162.15</v>
      </c>
      <c r="K2984" s="17">
        <f t="shared" si="3"/>
        <v>1</v>
      </c>
      <c r="L2984" s="18"/>
    </row>
    <row r="2985" hidden="1">
      <c r="A2985" s="2">
        <f>IFERROR(__xludf.DUMMYFUNCTION("""COMPUTED_VALUE"""),182194.0)</f>
        <v>182194</v>
      </c>
      <c r="B2985" s="2">
        <f>IFERROR(__xludf.DUMMYFUNCTION("""COMPUTED_VALUE"""),0.0)</f>
        <v>0</v>
      </c>
      <c r="C2985" s="2">
        <f>IFERROR(__xludf.DUMMYFUNCTION("""COMPUTED_VALUE"""),155.0)</f>
        <v>155</v>
      </c>
      <c r="D2985" s="3">
        <f>IFERROR(__xludf.DUMMYFUNCTION("""COMPUTED_VALUE"""),150.0)</f>
        <v>150</v>
      </c>
      <c r="E2985" s="1" t="str">
        <f t="array" ref="E2985">_xlfn.XLOOKUP(A2985,Product!A:A,Product!B:B,"Bulunamadı")</f>
        <v>Tech</v>
      </c>
      <c r="F2985" s="1" t="str">
        <f t="array" ref="F2985">_xlfn.XLOOKUP(A2985,Product!A:A,Product!C:C,"Bulunamadı")</f>
        <v>Winter Sports</v>
      </c>
      <c r="G2985" s="2" t="str">
        <f t="array" ref="G2985">_xlfn.XLOOKUP(A2986,Product!A:A,Product!D:D,"Bulunamadı")</f>
        <v>Silverpoint Books</v>
      </c>
      <c r="H2985" s="2">
        <f t="array" ref="H2985">_xlfn.XLOOKUP(A2987,Product!A:A,Product!E:E,"Bulunamadı")</f>
        <v>6.38</v>
      </c>
      <c r="I2985" s="2" t="str">
        <f t="shared" si="1"/>
        <v>182194 - Tech - Winter Sports</v>
      </c>
      <c r="J2985" s="2">
        <f t="shared" si="2"/>
        <v>957</v>
      </c>
      <c r="K2985" s="17">
        <f t="shared" si="3"/>
        <v>1</v>
      </c>
      <c r="L2985" s="18"/>
    </row>
    <row r="2986" hidden="1">
      <c r="A2986" s="2">
        <f>IFERROR(__xludf.DUMMYFUNCTION("""COMPUTED_VALUE"""),147256.0)</f>
        <v>147256</v>
      </c>
      <c r="B2986" s="2">
        <f>IFERROR(__xludf.DUMMYFUNCTION("""COMPUTED_VALUE"""),0.0)</f>
        <v>0</v>
      </c>
      <c r="C2986" s="2">
        <f>IFERROR(__xludf.DUMMYFUNCTION("""COMPUTED_VALUE"""),836.0)</f>
        <v>836</v>
      </c>
      <c r="D2986" s="3">
        <f>IFERROR(__xludf.DUMMYFUNCTION("""COMPUTED_VALUE"""),333.0)</f>
        <v>333</v>
      </c>
      <c r="E2986" s="1" t="str">
        <f t="array" ref="E2986">_xlfn.XLOOKUP(A2986,Product!A:A,Product!B:B,"Bulunamadı")</f>
        <v>Tech</v>
      </c>
      <c r="F2986" s="1" t="str">
        <f t="array" ref="F2986">_xlfn.XLOOKUP(A2986,Product!A:A,Product!C:C,"Bulunamadı")</f>
        <v>Winter Sports</v>
      </c>
      <c r="G2986" s="2" t="str">
        <f t="array" ref="G2986">_xlfn.XLOOKUP(A2987,Product!A:A,Product!D:D,"Bulunamadı")</f>
        <v>Silverpoint Books</v>
      </c>
      <c r="H2986" s="2">
        <f t="array" ref="H2986">_xlfn.XLOOKUP(A2988,Product!A:A,Product!E:E,"Bulunamadı")</f>
        <v>6.49</v>
      </c>
      <c r="I2986" s="2" t="str">
        <f t="shared" si="1"/>
        <v>147256 - Tech - Winter Sports</v>
      </c>
      <c r="J2986" s="2">
        <f t="shared" si="2"/>
        <v>2161.17</v>
      </c>
      <c r="K2986" s="17">
        <f t="shared" si="3"/>
        <v>1</v>
      </c>
      <c r="L2986" s="18"/>
    </row>
    <row r="2987" hidden="1">
      <c r="A2987" s="2">
        <f>IFERROR(__xludf.DUMMYFUNCTION("""COMPUTED_VALUE"""),5079.0)</f>
        <v>5079</v>
      </c>
      <c r="B2987" s="2">
        <f>IFERROR(__xludf.DUMMYFUNCTION("""COMPUTED_VALUE"""),1.0)</f>
        <v>1</v>
      </c>
      <c r="C2987" s="2">
        <f>IFERROR(__xludf.DUMMYFUNCTION("""COMPUTED_VALUE"""),976.0)</f>
        <v>976</v>
      </c>
      <c r="D2987" s="3">
        <f>IFERROR(__xludf.DUMMYFUNCTION("""COMPUTED_VALUE"""),884.0)</f>
        <v>884</v>
      </c>
      <c r="E2987" s="1" t="str">
        <f t="array" ref="E2987">_xlfn.XLOOKUP(A2987,Product!A:A,Product!B:B,"Bulunamadı")</f>
        <v>Tech</v>
      </c>
      <c r="F2987" s="1" t="str">
        <f t="array" ref="F2987">_xlfn.XLOOKUP(A2987,Product!A:A,Product!C:C,"Bulunamadı")</f>
        <v>Winter Sports</v>
      </c>
      <c r="G2987" s="2" t="str">
        <f t="array" ref="G2987">_xlfn.XLOOKUP(A2988,Product!A:A,Product!D:D,"Bulunamadı")</f>
        <v>Silverpoint Books</v>
      </c>
      <c r="H2987" s="2">
        <f t="array" ref="H2987">_xlfn.XLOOKUP(A2989,Product!A:A,Product!E:E,"Bulunamadı")</f>
        <v>2.95</v>
      </c>
      <c r="I2987" s="2" t="str">
        <f t="shared" si="1"/>
        <v>5079 - Tech - Winter Sports</v>
      </c>
      <c r="J2987" s="2">
        <f t="shared" si="2"/>
        <v>2607.8</v>
      </c>
      <c r="K2987" s="17">
        <f t="shared" si="3"/>
        <v>1</v>
      </c>
      <c r="L2987" s="18"/>
    </row>
    <row r="2988" hidden="1">
      <c r="A2988" s="2">
        <f>IFERROR(__xludf.DUMMYFUNCTION("""COMPUTED_VALUE"""),92621.0)</f>
        <v>92621</v>
      </c>
      <c r="B2988" s="2">
        <f>IFERROR(__xludf.DUMMYFUNCTION("""COMPUTED_VALUE"""),0.0)</f>
        <v>0</v>
      </c>
      <c r="C2988" s="2">
        <f>IFERROR(__xludf.DUMMYFUNCTION("""COMPUTED_VALUE"""),725.0)</f>
        <v>725</v>
      </c>
      <c r="D2988" s="3">
        <f>IFERROR(__xludf.DUMMYFUNCTION("""COMPUTED_VALUE"""),145.0)</f>
        <v>145</v>
      </c>
      <c r="E2988" s="1" t="str">
        <f t="array" ref="E2988">_xlfn.XLOOKUP(A2988,Product!A:A,Product!B:B,"Bulunamadı")</f>
        <v>Tech</v>
      </c>
      <c r="F2988" s="1" t="str">
        <f t="array" ref="F2988">_xlfn.XLOOKUP(A2988,Product!A:A,Product!C:C,"Bulunamadı")</f>
        <v>Winter Sports</v>
      </c>
      <c r="G2988" s="2" t="str">
        <f t="array" ref="G2988">_xlfn.XLOOKUP(A2989,Product!A:A,Product!D:D,"Bulunamadı")</f>
        <v>Silverpoint Books</v>
      </c>
      <c r="H2988" s="2">
        <f t="array" ref="H2988">_xlfn.XLOOKUP(A2990,Product!A:A,Product!E:E,"Bulunamadı")</f>
        <v>3.03</v>
      </c>
      <c r="I2988" s="2" t="str">
        <f t="shared" si="1"/>
        <v>92621 - Tech - Winter Sports</v>
      </c>
      <c r="J2988" s="2">
        <f t="shared" si="2"/>
        <v>439.35</v>
      </c>
      <c r="K2988" s="17">
        <f t="shared" si="3"/>
        <v>1</v>
      </c>
      <c r="L2988" s="18"/>
    </row>
    <row r="2989" hidden="1">
      <c r="A2989" s="2">
        <f>IFERROR(__xludf.DUMMYFUNCTION("""COMPUTED_VALUE"""),11003.0)</f>
        <v>11003</v>
      </c>
      <c r="B2989" s="2">
        <f>IFERROR(__xludf.DUMMYFUNCTION("""COMPUTED_VALUE"""),0.0)</f>
        <v>0</v>
      </c>
      <c r="C2989" s="2">
        <f>IFERROR(__xludf.DUMMYFUNCTION("""COMPUTED_VALUE"""),614.0)</f>
        <v>614</v>
      </c>
      <c r="D2989" s="3">
        <f>IFERROR(__xludf.DUMMYFUNCTION("""COMPUTED_VALUE"""),180.0)</f>
        <v>180</v>
      </c>
      <c r="E2989" s="1" t="str">
        <f t="array" ref="E2989">_xlfn.XLOOKUP(A2989,Product!A:A,Product!B:B,"Bulunamadı")</f>
        <v>Tech</v>
      </c>
      <c r="F2989" s="1" t="str">
        <f t="array" ref="F2989">_xlfn.XLOOKUP(A2989,Product!A:A,Product!C:C,"Bulunamadı")</f>
        <v>Winter Sports</v>
      </c>
      <c r="G2989" s="2" t="str">
        <f t="array" ref="G2989">_xlfn.XLOOKUP(A2990,Product!A:A,Product!D:D,"Bulunamadı")</f>
        <v>Silverpoint Books</v>
      </c>
      <c r="H2989" s="2">
        <f t="array" ref="H2989">_xlfn.XLOOKUP(A2991,Product!A:A,Product!E:E,"Bulunamadı")</f>
        <v>4.08</v>
      </c>
      <c r="I2989" s="2" t="str">
        <f t="shared" si="1"/>
        <v>11003 - Tech - Winter Sports</v>
      </c>
      <c r="J2989" s="2">
        <f t="shared" si="2"/>
        <v>734.4</v>
      </c>
      <c r="K2989" s="17">
        <f t="shared" si="3"/>
        <v>1</v>
      </c>
      <c r="L2989" s="18"/>
    </row>
    <row r="2990" hidden="1">
      <c r="A2990" s="2">
        <f>IFERROR(__xludf.DUMMYFUNCTION("""COMPUTED_VALUE"""),117560.0)</f>
        <v>117560</v>
      </c>
      <c r="B2990" s="2">
        <f>IFERROR(__xludf.DUMMYFUNCTION("""COMPUTED_VALUE"""),1.0)</f>
        <v>1</v>
      </c>
      <c r="C2990" s="2">
        <f>IFERROR(__xludf.DUMMYFUNCTION("""COMPUTED_VALUE"""),535.0)</f>
        <v>535</v>
      </c>
      <c r="D2990" s="3">
        <f>IFERROR(__xludf.DUMMYFUNCTION("""COMPUTED_VALUE"""),320.0)</f>
        <v>320</v>
      </c>
      <c r="E2990" s="1" t="str">
        <f t="array" ref="E2990">_xlfn.XLOOKUP(A2990,Product!A:A,Product!B:B,"Bulunamadı")</f>
        <v>Tech</v>
      </c>
      <c r="F2990" s="1" t="str">
        <f t="array" ref="F2990">_xlfn.XLOOKUP(A2990,Product!A:A,Product!C:C,"Bulunamadı")</f>
        <v>Winter Sports</v>
      </c>
      <c r="G2990" s="2" t="str">
        <f t="array" ref="G2990">_xlfn.XLOOKUP(A2991,Product!A:A,Product!D:D,"Bulunamadı")</f>
        <v>Silverpoint Books</v>
      </c>
      <c r="H2990" s="2">
        <f t="array" ref="H2990">_xlfn.XLOOKUP(A2992,Product!A:A,Product!E:E,"Bulunamadı")</f>
        <v>9.76</v>
      </c>
      <c r="I2990" s="2" t="str">
        <f t="shared" si="1"/>
        <v>117560 - Tech - Winter Sports</v>
      </c>
      <c r="J2990" s="2">
        <f t="shared" si="2"/>
        <v>3123.2</v>
      </c>
      <c r="K2990" s="17">
        <f t="shared" si="3"/>
        <v>1</v>
      </c>
      <c r="L2990" s="18"/>
    </row>
    <row r="2991" hidden="1">
      <c r="A2991" s="2">
        <f>IFERROR(__xludf.DUMMYFUNCTION("""COMPUTED_VALUE"""),188368.0)</f>
        <v>188368</v>
      </c>
      <c r="B2991" s="2">
        <f>IFERROR(__xludf.DUMMYFUNCTION("""COMPUTED_VALUE"""),0.0)</f>
        <v>0</v>
      </c>
      <c r="C2991" s="2">
        <f>IFERROR(__xludf.DUMMYFUNCTION("""COMPUTED_VALUE"""),193.0)</f>
        <v>193</v>
      </c>
      <c r="D2991" s="3">
        <f>IFERROR(__xludf.DUMMYFUNCTION("""COMPUTED_VALUE"""),69.0)</f>
        <v>69</v>
      </c>
      <c r="E2991" s="1" t="str">
        <f t="array" ref="E2991">_xlfn.XLOOKUP(A2991,Product!A:A,Product!B:B,"Bulunamadı")</f>
        <v>Tech</v>
      </c>
      <c r="F2991" s="1" t="str">
        <f t="array" ref="F2991">_xlfn.XLOOKUP(A2991,Product!A:A,Product!C:C,"Bulunamadı")</f>
        <v>Winter Sports</v>
      </c>
      <c r="G2991" s="2" t="str">
        <f t="array" ref="G2991">_xlfn.XLOOKUP(A2992,Product!A:A,Product!D:D,"Bulunamadı")</f>
        <v>Silverpoint Books</v>
      </c>
      <c r="H2991" s="2">
        <f t="array" ref="H2991">_xlfn.XLOOKUP(A2993,Product!A:A,Product!E:E,"Bulunamadı")</f>
        <v>5.25</v>
      </c>
      <c r="I2991" s="2" t="str">
        <f t="shared" si="1"/>
        <v>188368 - Tech - Winter Sports</v>
      </c>
      <c r="J2991" s="2">
        <f t="shared" si="2"/>
        <v>362.25</v>
      </c>
      <c r="K2991" s="17">
        <f t="shared" si="3"/>
        <v>1</v>
      </c>
      <c r="L2991" s="18"/>
    </row>
    <row r="2992" hidden="1">
      <c r="A2992" s="2">
        <f>IFERROR(__xludf.DUMMYFUNCTION("""COMPUTED_VALUE"""),124765.0)</f>
        <v>124765</v>
      </c>
      <c r="B2992" s="2">
        <f>IFERROR(__xludf.DUMMYFUNCTION("""COMPUTED_VALUE"""),0.0)</f>
        <v>0</v>
      </c>
      <c r="C2992" s="2">
        <f>IFERROR(__xludf.DUMMYFUNCTION("""COMPUTED_VALUE"""),120.0)</f>
        <v>120</v>
      </c>
      <c r="D2992" s="3">
        <f>IFERROR(__xludf.DUMMYFUNCTION("""COMPUTED_VALUE"""),62.0)</f>
        <v>62</v>
      </c>
      <c r="E2992" s="1" t="str">
        <f t="array" ref="E2992">_xlfn.XLOOKUP(A2992,Product!A:A,Product!B:B,"Bulunamadı")</f>
        <v>Tech</v>
      </c>
      <c r="F2992" s="1" t="str">
        <f t="array" ref="F2992">_xlfn.XLOOKUP(A2992,Product!A:A,Product!C:C,"Bulunamadı")</f>
        <v>Winter Sports</v>
      </c>
      <c r="G2992" s="2" t="str">
        <f t="array" ref="G2992">_xlfn.XLOOKUP(A2993,Product!A:A,Product!D:D,"Bulunamadı")</f>
        <v>Silverpoint Books</v>
      </c>
      <c r="H2992" s="2">
        <f t="array" ref="H2992">_xlfn.XLOOKUP(A2994,Product!A:A,Product!E:E,"Bulunamadı")</f>
        <v>0.72</v>
      </c>
      <c r="I2992" s="2" t="str">
        <f t="shared" si="1"/>
        <v>124765 - Tech - Winter Sports</v>
      </c>
      <c r="J2992" s="2">
        <f t="shared" si="2"/>
        <v>44.64</v>
      </c>
      <c r="K2992" s="17">
        <f t="shared" si="3"/>
        <v>1</v>
      </c>
      <c r="L2992" s="18"/>
    </row>
    <row r="2993" hidden="1">
      <c r="A2993" s="2">
        <f>IFERROR(__xludf.DUMMYFUNCTION("""COMPUTED_VALUE"""),8726.0)</f>
        <v>8726</v>
      </c>
      <c r="B2993" s="2">
        <f>IFERROR(__xludf.DUMMYFUNCTION("""COMPUTED_VALUE"""),1.0)</f>
        <v>1</v>
      </c>
      <c r="C2993" s="2">
        <f>IFERROR(__xludf.DUMMYFUNCTION("""COMPUTED_VALUE"""),252.0)</f>
        <v>252</v>
      </c>
      <c r="D2993" s="3">
        <f>IFERROR(__xludf.DUMMYFUNCTION("""COMPUTED_VALUE"""),186.0)</f>
        <v>186</v>
      </c>
      <c r="E2993" s="1" t="str">
        <f t="array" ref="E2993">_xlfn.XLOOKUP(A2993,Product!A:A,Product!B:B,"Bulunamadı")</f>
        <v>Tech</v>
      </c>
      <c r="F2993" s="1" t="str">
        <f t="array" ref="F2993">_xlfn.XLOOKUP(A2993,Product!A:A,Product!C:C,"Bulunamadı")</f>
        <v>Winter Sports</v>
      </c>
      <c r="G2993" s="2" t="str">
        <f t="array" ref="G2993">_xlfn.XLOOKUP(A2994,Product!A:A,Product!D:D,"Bulunamadı")</f>
        <v>Northpoint Press</v>
      </c>
      <c r="H2993" s="2">
        <f t="array" ref="H2993">_xlfn.XLOOKUP(A2995,Product!A:A,Product!E:E,"Bulunamadı")</f>
        <v>5.99</v>
      </c>
      <c r="I2993" s="2" t="str">
        <f t="shared" si="1"/>
        <v>8726 - Tech - Winter Sports</v>
      </c>
      <c r="J2993" s="2">
        <f t="shared" si="2"/>
        <v>1114.14</v>
      </c>
      <c r="K2993" s="17">
        <f t="shared" si="3"/>
        <v>1</v>
      </c>
      <c r="L2993" s="18"/>
    </row>
    <row r="2994" hidden="1">
      <c r="A2994" s="2">
        <f>IFERROR(__xludf.DUMMYFUNCTION("""COMPUTED_VALUE"""),118158.0)</f>
        <v>118158</v>
      </c>
      <c r="B2994" s="2">
        <f>IFERROR(__xludf.DUMMYFUNCTION("""COMPUTED_VALUE"""),0.0)</f>
        <v>0</v>
      </c>
      <c r="C2994" s="2">
        <f>IFERROR(__xludf.DUMMYFUNCTION("""COMPUTED_VALUE"""),137.0)</f>
        <v>137</v>
      </c>
      <c r="D2994" s="3">
        <f>IFERROR(__xludf.DUMMYFUNCTION("""COMPUTED_VALUE"""),100.0)</f>
        <v>100</v>
      </c>
      <c r="E2994" s="1" t="str">
        <f t="array" ref="E2994">_xlfn.XLOOKUP(A2994,Product!A:A,Product!B:B,"Bulunamadı")</f>
        <v>Tech</v>
      </c>
      <c r="F2994" s="1" t="str">
        <f t="array" ref="F2994">_xlfn.XLOOKUP(A2994,Product!A:A,Product!C:C,"Bulunamadı")</f>
        <v>Winter Sports</v>
      </c>
      <c r="G2994" s="2" t="str">
        <f t="array" ref="G2994">_xlfn.XLOOKUP(A2995,Product!A:A,Product!D:D,"Bulunamadı")</f>
        <v>Northpoint Press</v>
      </c>
      <c r="H2994" s="2">
        <f t="array" ref="H2994">_xlfn.XLOOKUP(A2996,Product!A:A,Product!E:E,"Bulunamadı")</f>
        <v>6.07</v>
      </c>
      <c r="I2994" s="2" t="str">
        <f t="shared" si="1"/>
        <v>118158 - Tech - Winter Sports</v>
      </c>
      <c r="J2994" s="2">
        <f t="shared" si="2"/>
        <v>607</v>
      </c>
      <c r="K2994" s="17">
        <f t="shared" si="3"/>
        <v>1</v>
      </c>
      <c r="L2994" s="18"/>
    </row>
    <row r="2995" hidden="1">
      <c r="A2995" s="2">
        <f>IFERROR(__xludf.DUMMYFUNCTION("""COMPUTED_VALUE"""),121871.0)</f>
        <v>121871</v>
      </c>
      <c r="B2995" s="2">
        <f>IFERROR(__xludf.DUMMYFUNCTION("""COMPUTED_VALUE"""),1.0)</f>
        <v>1</v>
      </c>
      <c r="C2995" s="2">
        <f>IFERROR(__xludf.DUMMYFUNCTION("""COMPUTED_VALUE"""),518.0)</f>
        <v>518</v>
      </c>
      <c r="D2995" s="3">
        <f>IFERROR(__xludf.DUMMYFUNCTION("""COMPUTED_VALUE"""),83.0)</f>
        <v>83</v>
      </c>
      <c r="E2995" s="1" t="str">
        <f t="array" ref="E2995">_xlfn.XLOOKUP(A2995,Product!A:A,Product!B:B,"Bulunamadı")</f>
        <v>Tech</v>
      </c>
      <c r="F2995" s="1" t="str">
        <f t="array" ref="F2995">_xlfn.XLOOKUP(A2995,Product!A:A,Product!C:C,"Bulunamadı")</f>
        <v>Winter Sports</v>
      </c>
      <c r="G2995" s="2" t="str">
        <f t="array" ref="G2995">_xlfn.XLOOKUP(A2996,Product!A:A,Product!D:D,"Bulunamadı")</f>
        <v>Northpoint Press</v>
      </c>
      <c r="H2995" s="2">
        <f t="array" ref="H2995">_xlfn.XLOOKUP(A2997,Product!A:A,Product!E:E,"Bulunamadı")</f>
        <v>5.76</v>
      </c>
      <c r="I2995" s="2" t="str">
        <f t="shared" si="1"/>
        <v>121871 - Tech - Winter Sports</v>
      </c>
      <c r="J2995" s="2">
        <f t="shared" si="2"/>
        <v>478.08</v>
      </c>
      <c r="K2995" s="17">
        <f t="shared" si="3"/>
        <v>1</v>
      </c>
      <c r="L2995" s="18"/>
    </row>
    <row r="2996" hidden="1">
      <c r="A2996" s="2">
        <f>IFERROR(__xludf.DUMMYFUNCTION("""COMPUTED_VALUE"""),121876.0)</f>
        <v>121876</v>
      </c>
      <c r="B2996" s="2">
        <f>IFERROR(__xludf.DUMMYFUNCTION("""COMPUTED_VALUE"""),1.0)</f>
        <v>1</v>
      </c>
      <c r="C2996" s="2">
        <f>IFERROR(__xludf.DUMMYFUNCTION("""COMPUTED_VALUE"""),314.0)</f>
        <v>314</v>
      </c>
      <c r="D2996" s="3">
        <f>IFERROR(__xludf.DUMMYFUNCTION("""COMPUTED_VALUE"""),148.0)</f>
        <v>148</v>
      </c>
      <c r="E2996" s="1" t="str">
        <f t="array" ref="E2996">_xlfn.XLOOKUP(A2996,Product!A:A,Product!B:B,"Bulunamadı")</f>
        <v>Tech</v>
      </c>
      <c r="F2996" s="1" t="str">
        <f t="array" ref="F2996">_xlfn.XLOOKUP(A2996,Product!A:A,Product!C:C,"Bulunamadı")</f>
        <v>Winter Sports</v>
      </c>
      <c r="G2996" s="2" t="str">
        <f t="array" ref="G2996">_xlfn.XLOOKUP(A2997,Product!A:A,Product!D:D,"Bulunamadı")</f>
        <v>Northpoint Press</v>
      </c>
      <c r="H2996" s="2">
        <f t="array" ref="H2996">_xlfn.XLOOKUP(A2998,Product!A:A,Product!E:E,"Bulunamadı")</f>
        <v>6.1</v>
      </c>
      <c r="I2996" s="2" t="str">
        <f t="shared" si="1"/>
        <v>121876 - Tech - Winter Sports</v>
      </c>
      <c r="J2996" s="2">
        <f t="shared" si="2"/>
        <v>902.8</v>
      </c>
      <c r="K2996" s="17">
        <f t="shared" si="3"/>
        <v>1</v>
      </c>
      <c r="L2996" s="18"/>
    </row>
    <row r="2997" hidden="1">
      <c r="A2997" s="2">
        <f>IFERROR(__xludf.DUMMYFUNCTION("""COMPUTED_VALUE"""),121877.0)</f>
        <v>121877</v>
      </c>
      <c r="B2997" s="2">
        <f>IFERROR(__xludf.DUMMYFUNCTION("""COMPUTED_VALUE"""),1.0)</f>
        <v>1</v>
      </c>
      <c r="C2997" s="2">
        <f>IFERROR(__xludf.DUMMYFUNCTION("""COMPUTED_VALUE"""),891.0)</f>
        <v>891</v>
      </c>
      <c r="D2997" s="3">
        <f>IFERROR(__xludf.DUMMYFUNCTION("""COMPUTED_VALUE"""),662.0)</f>
        <v>662</v>
      </c>
      <c r="E2997" s="1" t="str">
        <f t="array" ref="E2997">_xlfn.XLOOKUP(A2997,Product!A:A,Product!B:B,"Bulunamadı")</f>
        <v>Tech</v>
      </c>
      <c r="F2997" s="1" t="str">
        <f t="array" ref="F2997">_xlfn.XLOOKUP(A2997,Product!A:A,Product!C:C,"Bulunamadı")</f>
        <v>Winter Sports</v>
      </c>
      <c r="G2997" s="2" t="str">
        <f t="array" ref="G2997">_xlfn.XLOOKUP(A2998,Product!A:A,Product!D:D,"Bulunamadı")</f>
        <v>Northpoint Press</v>
      </c>
      <c r="H2997" s="2">
        <f t="array" ref="H2997">_xlfn.XLOOKUP(A2999,Product!A:A,Product!E:E,"Bulunamadı")</f>
        <v>5.92</v>
      </c>
      <c r="I2997" s="2" t="str">
        <f t="shared" si="1"/>
        <v>121877 - Tech - Winter Sports</v>
      </c>
      <c r="J2997" s="2">
        <f t="shared" si="2"/>
        <v>3919.04</v>
      </c>
      <c r="K2997" s="17">
        <f t="shared" si="3"/>
        <v>1</v>
      </c>
      <c r="L2997" s="18"/>
    </row>
    <row r="2998" hidden="1">
      <c r="A2998" s="2">
        <f>IFERROR(__xludf.DUMMYFUNCTION("""COMPUTED_VALUE"""),121879.0)</f>
        <v>121879</v>
      </c>
      <c r="B2998" s="2">
        <f>IFERROR(__xludf.DUMMYFUNCTION("""COMPUTED_VALUE"""),0.0)</f>
        <v>0</v>
      </c>
      <c r="C2998" s="2">
        <f>IFERROR(__xludf.DUMMYFUNCTION("""COMPUTED_VALUE"""),594.0)</f>
        <v>594</v>
      </c>
      <c r="D2998" s="3">
        <f>IFERROR(__xludf.DUMMYFUNCTION("""COMPUTED_VALUE"""),474.0)</f>
        <v>474</v>
      </c>
      <c r="E2998" s="1" t="str">
        <f t="array" ref="E2998">_xlfn.XLOOKUP(A2998,Product!A:A,Product!B:B,"Bulunamadı")</f>
        <v>Tech</v>
      </c>
      <c r="F2998" s="1" t="str">
        <f t="array" ref="F2998">_xlfn.XLOOKUP(A2998,Product!A:A,Product!C:C,"Bulunamadı")</f>
        <v>Winter Sports</v>
      </c>
      <c r="G2998" s="2" t="str">
        <f t="array" ref="G2998">_xlfn.XLOOKUP(A2999,Product!A:A,Product!D:D,"Bulunamadı")</f>
        <v>Northpoint Press</v>
      </c>
      <c r="H2998" s="2">
        <f t="array" ref="H2998">_xlfn.XLOOKUP(A3000,Product!A:A,Product!E:E,"Bulunamadı")</f>
        <v>6.01</v>
      </c>
      <c r="I2998" s="2" t="str">
        <f t="shared" si="1"/>
        <v>121879 - Tech - Winter Sports</v>
      </c>
      <c r="J2998" s="2">
        <f t="shared" si="2"/>
        <v>2848.74</v>
      </c>
      <c r="K2998" s="17">
        <f t="shared" si="3"/>
        <v>1</v>
      </c>
      <c r="L2998" s="18"/>
    </row>
    <row r="2999" hidden="1">
      <c r="A2999" s="2">
        <f>IFERROR(__xludf.DUMMYFUNCTION("""COMPUTED_VALUE"""),121874.0)</f>
        <v>121874</v>
      </c>
      <c r="B2999" s="2">
        <f>IFERROR(__xludf.DUMMYFUNCTION("""COMPUTED_VALUE"""),1.0)</f>
        <v>1</v>
      </c>
      <c r="C2999" s="2">
        <f>IFERROR(__xludf.DUMMYFUNCTION("""COMPUTED_VALUE"""),64.0)</f>
        <v>64</v>
      </c>
      <c r="D2999" s="3">
        <f>IFERROR(__xludf.DUMMYFUNCTION("""COMPUTED_VALUE"""),41.0)</f>
        <v>41</v>
      </c>
      <c r="E2999" s="1" t="str">
        <f t="array" ref="E2999">_xlfn.XLOOKUP(A2999,Product!A:A,Product!B:B,"Bulunamadı")</f>
        <v>Tech</v>
      </c>
      <c r="F2999" s="1" t="str">
        <f t="array" ref="F2999">_xlfn.XLOOKUP(A2999,Product!A:A,Product!C:C,"Bulunamadı")</f>
        <v>Winter Sports</v>
      </c>
      <c r="G2999" s="2" t="str">
        <f t="array" ref="G2999">_xlfn.XLOOKUP(A3000,Product!A:A,Product!D:D,"Bulunamadı")</f>
        <v>Northpoint Press</v>
      </c>
      <c r="H2999" s="2">
        <f t="array" ref="H2999">_xlfn.XLOOKUP(A3001,Product!A:A,Product!E:E,"Bulunamadı")</f>
        <v>5.66</v>
      </c>
      <c r="I2999" s="2" t="str">
        <f t="shared" si="1"/>
        <v>121874 - Tech - Winter Sports</v>
      </c>
      <c r="J2999" s="2">
        <f t="shared" si="2"/>
        <v>232.06</v>
      </c>
      <c r="K2999" s="17">
        <f t="shared" si="3"/>
        <v>1</v>
      </c>
      <c r="L2999" s="18"/>
    </row>
    <row r="3000" hidden="1">
      <c r="A3000" s="2">
        <f>IFERROR(__xludf.DUMMYFUNCTION("""COMPUTED_VALUE"""),121893.0)</f>
        <v>121893</v>
      </c>
      <c r="B3000" s="2">
        <f>IFERROR(__xludf.DUMMYFUNCTION("""COMPUTED_VALUE"""),1.0)</f>
        <v>1</v>
      </c>
      <c r="C3000" s="2">
        <f>IFERROR(__xludf.DUMMYFUNCTION("""COMPUTED_VALUE"""),8.0)</f>
        <v>8</v>
      </c>
      <c r="D3000" s="3">
        <f>IFERROR(__xludf.DUMMYFUNCTION("""COMPUTED_VALUE"""),1.0)</f>
        <v>1</v>
      </c>
      <c r="E3000" s="1" t="str">
        <f t="array" ref="E3000">_xlfn.XLOOKUP(A3000,Product!A:A,Product!B:B,"Bulunamadı")</f>
        <v>Tech</v>
      </c>
      <c r="F3000" s="1" t="str">
        <f t="array" ref="F3000">_xlfn.XLOOKUP(A3000,Product!A:A,Product!C:C,"Bulunamadı")</f>
        <v>Winter Sports</v>
      </c>
      <c r="G3000" s="2" t="str">
        <f t="array" ref="G3000">_xlfn.XLOOKUP(A3001,Product!A:A,Product!D:D,"Bulunamadı")</f>
        <v>Northpoint Press</v>
      </c>
      <c r="H3000" s="2">
        <f t="array" ref="H3000">_xlfn.XLOOKUP(A3002,Product!A:A,Product!E:E,"Bulunamadı")</f>
        <v>6.55</v>
      </c>
      <c r="I3000" s="2" t="str">
        <f t="shared" si="1"/>
        <v>121893 - Tech - Winter Sports</v>
      </c>
      <c r="J3000" s="2">
        <f t="shared" si="2"/>
        <v>6.55</v>
      </c>
      <c r="K3000" s="17">
        <f t="shared" si="3"/>
        <v>1</v>
      </c>
      <c r="L3000" s="18"/>
    </row>
    <row r="3001" hidden="1">
      <c r="A3001" s="2">
        <f>IFERROR(__xludf.DUMMYFUNCTION("""COMPUTED_VALUE"""),121892.0)</f>
        <v>121892</v>
      </c>
      <c r="B3001" s="2">
        <f>IFERROR(__xludf.DUMMYFUNCTION("""COMPUTED_VALUE"""),0.0)</f>
        <v>0</v>
      </c>
      <c r="C3001" s="2">
        <f>IFERROR(__xludf.DUMMYFUNCTION("""COMPUTED_VALUE"""),237.0)</f>
        <v>237</v>
      </c>
      <c r="D3001" s="3">
        <f>IFERROR(__xludf.DUMMYFUNCTION("""COMPUTED_VALUE"""),112.0)</f>
        <v>112</v>
      </c>
      <c r="E3001" s="1" t="str">
        <f t="array" ref="E3001">_xlfn.XLOOKUP(A3001,Product!A:A,Product!B:B,"Bulunamadı")</f>
        <v>Tech</v>
      </c>
      <c r="F3001" s="1" t="str">
        <f t="array" ref="F3001">_xlfn.XLOOKUP(A3001,Product!A:A,Product!C:C,"Bulunamadı")</f>
        <v>Winter Sports</v>
      </c>
      <c r="G3001" s="2" t="str">
        <f t="array" ref="G3001">_xlfn.XLOOKUP(A3002,Product!A:A,Product!D:D,"Bulunamadı")</f>
        <v>Northpoint Press</v>
      </c>
      <c r="H3001" s="2">
        <f t="array" ref="H3001">_xlfn.XLOOKUP(A3003,Product!A:A,Product!E:E,"Bulunamadı")</f>
        <v>5.85</v>
      </c>
      <c r="I3001" s="2" t="str">
        <f t="shared" si="1"/>
        <v>121892 - Tech - Winter Sports</v>
      </c>
      <c r="J3001" s="2">
        <f t="shared" si="2"/>
        <v>655.2</v>
      </c>
      <c r="K3001" s="17">
        <f t="shared" si="3"/>
        <v>1</v>
      </c>
      <c r="L3001" s="18"/>
    </row>
    <row r="3002" hidden="1">
      <c r="A3002" s="2">
        <f>IFERROR(__xludf.DUMMYFUNCTION("""COMPUTED_VALUE"""),102678.0)</f>
        <v>102678</v>
      </c>
      <c r="B3002" s="2">
        <f>IFERROR(__xludf.DUMMYFUNCTION("""COMPUTED_VALUE"""),0.0)</f>
        <v>0</v>
      </c>
      <c r="C3002" s="2">
        <f>IFERROR(__xludf.DUMMYFUNCTION("""COMPUTED_VALUE"""),224.0)</f>
        <v>224</v>
      </c>
      <c r="D3002" s="3">
        <f>IFERROR(__xludf.DUMMYFUNCTION("""COMPUTED_VALUE"""),9.0)</f>
        <v>9</v>
      </c>
      <c r="E3002" s="1" t="str">
        <f t="array" ref="E3002">_xlfn.XLOOKUP(A3002,Product!A:A,Product!B:B,"Bulunamadı")</f>
        <v>Tech</v>
      </c>
      <c r="F3002" s="1" t="str">
        <f t="array" ref="F3002">_xlfn.XLOOKUP(A3002,Product!A:A,Product!C:C,"Bulunamadı")</f>
        <v>Winter Sports</v>
      </c>
      <c r="G3002" s="2" t="str">
        <f t="array" ref="G3002">_xlfn.XLOOKUP(A3003,Product!A:A,Product!D:D,"Bulunamadı")</f>
        <v>Northpoint Press</v>
      </c>
      <c r="H3002" s="2">
        <f t="array" ref="H3002">_xlfn.XLOOKUP(A3004,Product!A:A,Product!E:E,"Bulunamadı")</f>
        <v>5.39</v>
      </c>
      <c r="I3002" s="2" t="str">
        <f t="shared" si="1"/>
        <v>102678 - Tech - Winter Sports</v>
      </c>
      <c r="J3002" s="2">
        <f t="shared" si="2"/>
        <v>48.51</v>
      </c>
      <c r="K3002" s="17">
        <f t="shared" si="3"/>
        <v>1</v>
      </c>
      <c r="L3002" s="18"/>
    </row>
    <row r="3003" hidden="1">
      <c r="A3003" s="2">
        <f>IFERROR(__xludf.DUMMYFUNCTION("""COMPUTED_VALUE"""),121887.0)</f>
        <v>121887</v>
      </c>
      <c r="B3003" s="2">
        <f>IFERROR(__xludf.DUMMYFUNCTION("""COMPUTED_VALUE"""),0.0)</f>
        <v>0</v>
      </c>
      <c r="C3003" s="2">
        <f>IFERROR(__xludf.DUMMYFUNCTION("""COMPUTED_VALUE"""),552.0)</f>
        <v>552</v>
      </c>
      <c r="D3003" s="3">
        <f>IFERROR(__xludf.DUMMYFUNCTION("""COMPUTED_VALUE"""),98.0)</f>
        <v>98</v>
      </c>
      <c r="E3003" s="1" t="str">
        <f t="array" ref="E3003">_xlfn.XLOOKUP(A3003,Product!A:A,Product!B:B,"Bulunamadı")</f>
        <v>Tech</v>
      </c>
      <c r="F3003" s="1" t="str">
        <f t="array" ref="F3003">_xlfn.XLOOKUP(A3003,Product!A:A,Product!C:C,"Bulunamadı")</f>
        <v>Winter Sports</v>
      </c>
      <c r="G3003" s="2" t="str">
        <f t="array" ref="G3003">_xlfn.XLOOKUP(A3004,Product!A:A,Product!D:D,"Bulunamadı")</f>
        <v>Northpoint Press</v>
      </c>
      <c r="H3003" s="2">
        <f t="array" ref="H3003">_xlfn.XLOOKUP(A3005,Product!A:A,Product!E:E,"Bulunamadı")</f>
        <v>5.8</v>
      </c>
      <c r="I3003" s="2" t="str">
        <f t="shared" si="1"/>
        <v>121887 - Tech - Winter Sports</v>
      </c>
      <c r="J3003" s="2">
        <f t="shared" si="2"/>
        <v>568.4</v>
      </c>
      <c r="K3003" s="17">
        <f t="shared" si="3"/>
        <v>1</v>
      </c>
      <c r="L3003" s="18"/>
    </row>
    <row r="3004" hidden="1">
      <c r="A3004" s="2">
        <f>IFERROR(__xludf.DUMMYFUNCTION("""COMPUTED_VALUE"""),21344.0)</f>
        <v>21344</v>
      </c>
      <c r="B3004" s="2">
        <f>IFERROR(__xludf.DUMMYFUNCTION("""COMPUTED_VALUE"""),0.0)</f>
        <v>0</v>
      </c>
      <c r="C3004" s="2">
        <f>IFERROR(__xludf.DUMMYFUNCTION("""COMPUTED_VALUE"""),833.0)</f>
        <v>833</v>
      </c>
      <c r="D3004" s="3">
        <f>IFERROR(__xludf.DUMMYFUNCTION("""COMPUTED_VALUE"""),211.0)</f>
        <v>211</v>
      </c>
      <c r="E3004" s="1" t="str">
        <f t="array" ref="E3004">_xlfn.XLOOKUP(A3004,Product!A:A,Product!B:B,"Bulunamadı")</f>
        <v>Tech</v>
      </c>
      <c r="F3004" s="1" t="str">
        <f t="array" ref="F3004">_xlfn.XLOOKUP(A3004,Product!A:A,Product!C:C,"Bulunamadı")</f>
        <v>Winter Sports</v>
      </c>
      <c r="G3004" s="2" t="str">
        <f t="array" ref="G3004">_xlfn.XLOOKUP(A3005,Product!A:A,Product!D:D,"Bulunamadı")</f>
        <v>Northpoint Press</v>
      </c>
      <c r="H3004" s="2">
        <f t="array" ref="H3004">_xlfn.XLOOKUP(A3006,Product!A:A,Product!E:E,"Bulunamadı")</f>
        <v>8.51</v>
      </c>
      <c r="I3004" s="2" t="str">
        <f t="shared" si="1"/>
        <v>21344 - Tech - Winter Sports</v>
      </c>
      <c r="J3004" s="2">
        <f t="shared" si="2"/>
        <v>1795.61</v>
      </c>
      <c r="K3004" s="17">
        <f t="shared" si="3"/>
        <v>1</v>
      </c>
      <c r="L3004" s="18"/>
    </row>
    <row r="3005" hidden="1">
      <c r="A3005" s="2">
        <f>IFERROR(__xludf.DUMMYFUNCTION("""COMPUTED_VALUE"""),121873.0)</f>
        <v>121873</v>
      </c>
      <c r="B3005" s="2">
        <f>IFERROR(__xludf.DUMMYFUNCTION("""COMPUTED_VALUE"""),0.0)</f>
        <v>0</v>
      </c>
      <c r="C3005" s="2">
        <f>IFERROR(__xludf.DUMMYFUNCTION("""COMPUTED_VALUE"""),55.0)</f>
        <v>55</v>
      </c>
      <c r="D3005" s="3">
        <f>IFERROR(__xludf.DUMMYFUNCTION("""COMPUTED_VALUE"""),11.0)</f>
        <v>11</v>
      </c>
      <c r="E3005" s="1" t="str">
        <f t="array" ref="E3005">_xlfn.XLOOKUP(A3005,Product!A:A,Product!B:B,"Bulunamadı")</f>
        <v>Tech</v>
      </c>
      <c r="F3005" s="1" t="str">
        <f t="array" ref="F3005">_xlfn.XLOOKUP(A3005,Product!A:A,Product!C:C,"Bulunamadı")</f>
        <v>Winter Sports</v>
      </c>
      <c r="G3005" s="2" t="str">
        <f t="array" ref="G3005">_xlfn.XLOOKUP(A3006,Product!A:A,Product!D:D,"Bulunamadı")</f>
        <v>Northpoint Press</v>
      </c>
      <c r="H3005" s="2">
        <f t="array" ref="H3005">_xlfn.XLOOKUP(A3007,Product!A:A,Product!E:E,"Bulunamadı")</f>
        <v>6.04</v>
      </c>
      <c r="I3005" s="2" t="str">
        <f t="shared" si="1"/>
        <v>121873 - Tech - Winter Sports</v>
      </c>
      <c r="J3005" s="2">
        <f t="shared" si="2"/>
        <v>66.44</v>
      </c>
      <c r="K3005" s="17">
        <f t="shared" si="3"/>
        <v>1</v>
      </c>
      <c r="L3005" s="18"/>
    </row>
    <row r="3006" hidden="1">
      <c r="A3006" s="2">
        <f>IFERROR(__xludf.DUMMYFUNCTION("""COMPUTED_VALUE"""),108833.0)</f>
        <v>108833</v>
      </c>
      <c r="B3006" s="2">
        <f>IFERROR(__xludf.DUMMYFUNCTION("""COMPUTED_VALUE"""),0.0)</f>
        <v>0</v>
      </c>
      <c r="C3006" s="2">
        <f>IFERROR(__xludf.DUMMYFUNCTION("""COMPUTED_VALUE"""),970.0)</f>
        <v>970</v>
      </c>
      <c r="D3006" s="3">
        <f>IFERROR(__xludf.DUMMYFUNCTION("""COMPUTED_VALUE"""),764.0)</f>
        <v>764</v>
      </c>
      <c r="E3006" s="1" t="str">
        <f t="array" ref="E3006">_xlfn.XLOOKUP(A3006,Product!A:A,Product!B:B,"Bulunamadı")</f>
        <v>Tech</v>
      </c>
      <c r="F3006" s="1" t="str">
        <f t="array" ref="F3006">_xlfn.XLOOKUP(A3006,Product!A:A,Product!C:C,"Bulunamadı")</f>
        <v>Winter Sports</v>
      </c>
      <c r="G3006" s="2" t="str">
        <f t="array" ref="G3006">_xlfn.XLOOKUP(A3007,Product!A:A,Product!D:D,"Bulunamadı")</f>
        <v>Northpoint Press</v>
      </c>
      <c r="H3006" s="2">
        <f t="array" ref="H3006">_xlfn.XLOOKUP(A3008,Product!A:A,Product!E:E,"Bulunamadı")</f>
        <v>3.32</v>
      </c>
      <c r="I3006" s="2" t="str">
        <f t="shared" si="1"/>
        <v>108833 - Tech - Winter Sports</v>
      </c>
      <c r="J3006" s="2">
        <f t="shared" si="2"/>
        <v>2536.48</v>
      </c>
      <c r="K3006" s="17">
        <f t="shared" si="3"/>
        <v>1</v>
      </c>
      <c r="L3006" s="18"/>
    </row>
    <row r="3007" hidden="1">
      <c r="A3007" s="2">
        <f>IFERROR(__xludf.DUMMYFUNCTION("""COMPUTED_VALUE"""),121882.0)</f>
        <v>121882</v>
      </c>
      <c r="B3007" s="2">
        <f>IFERROR(__xludf.DUMMYFUNCTION("""COMPUTED_VALUE"""),0.0)</f>
        <v>0</v>
      </c>
      <c r="C3007" s="2">
        <f>IFERROR(__xludf.DUMMYFUNCTION("""COMPUTED_VALUE"""),971.0)</f>
        <v>971</v>
      </c>
      <c r="D3007" s="3">
        <f>IFERROR(__xludf.DUMMYFUNCTION("""COMPUTED_VALUE"""),491.0)</f>
        <v>491</v>
      </c>
      <c r="E3007" s="1" t="str">
        <f t="array" ref="E3007">_xlfn.XLOOKUP(A3007,Product!A:A,Product!B:B,"Bulunamadı")</f>
        <v>Tech</v>
      </c>
      <c r="F3007" s="1" t="str">
        <f t="array" ref="F3007">_xlfn.XLOOKUP(A3007,Product!A:A,Product!C:C,"Bulunamadı")</f>
        <v>Winter Sports</v>
      </c>
      <c r="G3007" s="2" t="str">
        <f t="array" ref="G3007">_xlfn.XLOOKUP(A3008,Product!A:A,Product!D:D,"Bulunamadı")</f>
        <v>Northpoint Press</v>
      </c>
      <c r="H3007" s="2">
        <f t="array" ref="H3007">_xlfn.XLOOKUP(A3009,Product!A:A,Product!E:E,"Bulunamadı")</f>
        <v>6.5</v>
      </c>
      <c r="I3007" s="2" t="str">
        <f t="shared" si="1"/>
        <v>121882 - Tech - Winter Sports</v>
      </c>
      <c r="J3007" s="2">
        <f t="shared" si="2"/>
        <v>3191.5</v>
      </c>
      <c r="K3007" s="17">
        <f t="shared" si="3"/>
        <v>1</v>
      </c>
      <c r="L3007" s="18"/>
    </row>
    <row r="3008" hidden="1">
      <c r="A3008" s="2">
        <f>IFERROR(__xludf.DUMMYFUNCTION("""COMPUTED_VALUE"""),91492.0)</f>
        <v>91492</v>
      </c>
      <c r="B3008" s="2">
        <f>IFERROR(__xludf.DUMMYFUNCTION("""COMPUTED_VALUE"""),0.0)</f>
        <v>0</v>
      </c>
      <c r="C3008" s="2">
        <f>IFERROR(__xludf.DUMMYFUNCTION("""COMPUTED_VALUE"""),418.0)</f>
        <v>418</v>
      </c>
      <c r="D3008" s="3">
        <f>IFERROR(__xludf.DUMMYFUNCTION("""COMPUTED_VALUE"""),417.0)</f>
        <v>417</v>
      </c>
      <c r="E3008" s="1" t="str">
        <f t="array" ref="E3008">_xlfn.XLOOKUP(A3008,Product!A:A,Product!B:B,"Bulunamadı")</f>
        <v>Tech</v>
      </c>
      <c r="F3008" s="1" t="str">
        <f t="array" ref="F3008">_xlfn.XLOOKUP(A3008,Product!A:A,Product!C:C,"Bulunamadı")</f>
        <v>Winter Sports</v>
      </c>
      <c r="G3008" s="2" t="str">
        <f t="array" ref="G3008">_xlfn.XLOOKUP(A3009,Product!A:A,Product!D:D,"Bulunamadı")</f>
        <v>Northpoint Press</v>
      </c>
      <c r="H3008" s="2">
        <f t="array" ref="H3008">_xlfn.XLOOKUP(A3010,Product!A:A,Product!E:E,"Bulunamadı")</f>
        <v>8.85</v>
      </c>
      <c r="I3008" s="2" t="str">
        <f t="shared" si="1"/>
        <v>91492 - Tech - Winter Sports</v>
      </c>
      <c r="J3008" s="2">
        <f t="shared" si="2"/>
        <v>3690.45</v>
      </c>
      <c r="K3008" s="17">
        <f t="shared" si="3"/>
        <v>1</v>
      </c>
      <c r="L3008" s="18"/>
    </row>
    <row r="3009" hidden="1">
      <c r="A3009" s="2">
        <f>IFERROR(__xludf.DUMMYFUNCTION("""COMPUTED_VALUE"""),111392.0)</f>
        <v>111392</v>
      </c>
      <c r="B3009" s="2">
        <f>IFERROR(__xludf.DUMMYFUNCTION("""COMPUTED_VALUE"""),1.0)</f>
        <v>1</v>
      </c>
      <c r="C3009" s="2">
        <f>IFERROR(__xludf.DUMMYFUNCTION("""COMPUTED_VALUE"""),851.0)</f>
        <v>851</v>
      </c>
      <c r="D3009" s="3">
        <f>IFERROR(__xludf.DUMMYFUNCTION("""COMPUTED_VALUE"""),717.0)</f>
        <v>717</v>
      </c>
      <c r="E3009" s="1" t="str">
        <f t="array" ref="E3009">_xlfn.XLOOKUP(A3009,Product!A:A,Product!B:B,"Bulunamadı")</f>
        <v>Tech</v>
      </c>
      <c r="F3009" s="1" t="str">
        <f t="array" ref="F3009">_xlfn.XLOOKUP(A3009,Product!A:A,Product!C:C,"Bulunamadı")</f>
        <v>Winter Sports</v>
      </c>
      <c r="G3009" s="2" t="str">
        <f t="array" ref="G3009">_xlfn.XLOOKUP(A3010,Product!A:A,Product!D:D,"Bulunamadı")</f>
        <v>Northpoint Press</v>
      </c>
      <c r="H3009" s="2">
        <f t="array" ref="H3009">_xlfn.XLOOKUP(A3011,Product!A:A,Product!E:E,"Bulunamadı")</f>
        <v>5.17</v>
      </c>
      <c r="I3009" s="2" t="str">
        <f t="shared" si="1"/>
        <v>111392 - Tech - Winter Sports</v>
      </c>
      <c r="J3009" s="2">
        <f t="shared" si="2"/>
        <v>3706.89</v>
      </c>
      <c r="K3009" s="17">
        <f t="shared" si="3"/>
        <v>1</v>
      </c>
      <c r="L3009" s="18"/>
    </row>
    <row r="3010" hidden="1">
      <c r="A3010" s="2">
        <f>IFERROR(__xludf.DUMMYFUNCTION("""COMPUTED_VALUE"""),108835.0)</f>
        <v>108835</v>
      </c>
      <c r="B3010" s="2">
        <f>IFERROR(__xludf.DUMMYFUNCTION("""COMPUTED_VALUE"""),1.0)</f>
        <v>1</v>
      </c>
      <c r="C3010" s="2">
        <f>IFERROR(__xludf.DUMMYFUNCTION("""COMPUTED_VALUE"""),467.0)</f>
        <v>467</v>
      </c>
      <c r="D3010" s="3">
        <f>IFERROR(__xludf.DUMMYFUNCTION("""COMPUTED_VALUE"""),422.0)</f>
        <v>422</v>
      </c>
      <c r="E3010" s="1" t="str">
        <f t="array" ref="E3010">_xlfn.XLOOKUP(A3010,Product!A:A,Product!B:B,"Bulunamadı")</f>
        <v>Tech</v>
      </c>
      <c r="F3010" s="1" t="str">
        <f t="array" ref="F3010">_xlfn.XLOOKUP(A3010,Product!A:A,Product!C:C,"Bulunamadı")</f>
        <v>Winter Sports</v>
      </c>
      <c r="G3010" s="2" t="str">
        <f t="array" ref="G3010">_xlfn.XLOOKUP(A3011,Product!A:A,Product!D:D,"Bulunamadı")</f>
        <v>Northpoint Press</v>
      </c>
      <c r="H3010" s="2">
        <f t="array" ref="H3010">_xlfn.XLOOKUP(A3012,Product!A:A,Product!E:E,"Bulunamadı")</f>
        <v>5.76</v>
      </c>
      <c r="I3010" s="2" t="str">
        <f t="shared" si="1"/>
        <v>108835 - Tech - Winter Sports</v>
      </c>
      <c r="J3010" s="2">
        <f t="shared" si="2"/>
        <v>2430.72</v>
      </c>
      <c r="K3010" s="17">
        <f t="shared" si="3"/>
        <v>1</v>
      </c>
      <c r="L3010" s="18"/>
    </row>
    <row r="3011" hidden="1">
      <c r="A3011" s="2">
        <f>IFERROR(__xludf.DUMMYFUNCTION("""COMPUTED_VALUE"""),118111.0)</f>
        <v>118111</v>
      </c>
      <c r="B3011" s="2">
        <f>IFERROR(__xludf.DUMMYFUNCTION("""COMPUTED_VALUE"""),0.0)</f>
        <v>0</v>
      </c>
      <c r="C3011" s="2">
        <f>IFERROR(__xludf.DUMMYFUNCTION("""COMPUTED_VALUE"""),310.0)</f>
        <v>310</v>
      </c>
      <c r="D3011" s="3">
        <f>IFERROR(__xludf.DUMMYFUNCTION("""COMPUTED_VALUE"""),276.0)</f>
        <v>276</v>
      </c>
      <c r="E3011" s="1" t="str">
        <f t="array" ref="E3011">_xlfn.XLOOKUP(A3011,Product!A:A,Product!B:B,"Bulunamadı")</f>
        <v>Tech</v>
      </c>
      <c r="F3011" s="1" t="str">
        <f t="array" ref="F3011">_xlfn.XLOOKUP(A3011,Product!A:A,Product!C:C,"Bulunamadı")</f>
        <v>Winter Sports</v>
      </c>
      <c r="G3011" s="2" t="str">
        <f t="array" ref="G3011">_xlfn.XLOOKUP(A3012,Product!A:A,Product!D:D,"Bulunamadı")</f>
        <v>Northpoint Press</v>
      </c>
      <c r="H3011" s="2">
        <f t="array" ref="H3011">_xlfn.XLOOKUP(A3013,Product!A:A,Product!E:E,"Bulunamadı")</f>
        <v>8.83</v>
      </c>
      <c r="I3011" s="2" t="str">
        <f t="shared" si="1"/>
        <v>118111 - Tech - Winter Sports</v>
      </c>
      <c r="J3011" s="2">
        <f t="shared" si="2"/>
        <v>2437.08</v>
      </c>
      <c r="K3011" s="17">
        <f t="shared" si="3"/>
        <v>1</v>
      </c>
      <c r="L3011" s="18"/>
    </row>
    <row r="3012" hidden="1">
      <c r="A3012" s="2">
        <f>IFERROR(__xludf.DUMMYFUNCTION("""COMPUTED_VALUE"""),121872.0)</f>
        <v>121872</v>
      </c>
      <c r="B3012" s="2">
        <f>IFERROR(__xludf.DUMMYFUNCTION("""COMPUTED_VALUE"""),0.0)</f>
        <v>0</v>
      </c>
      <c r="C3012" s="2">
        <f>IFERROR(__xludf.DUMMYFUNCTION("""COMPUTED_VALUE"""),597.0)</f>
        <v>597</v>
      </c>
      <c r="D3012" s="3">
        <f>IFERROR(__xludf.DUMMYFUNCTION("""COMPUTED_VALUE"""),412.0)</f>
        <v>412</v>
      </c>
      <c r="E3012" s="1" t="str">
        <f t="array" ref="E3012">_xlfn.XLOOKUP(A3012,Product!A:A,Product!B:B,"Bulunamadı")</f>
        <v>Tech</v>
      </c>
      <c r="F3012" s="1" t="str">
        <f t="array" ref="F3012">_xlfn.XLOOKUP(A3012,Product!A:A,Product!C:C,"Bulunamadı")</f>
        <v>Winter Sports</v>
      </c>
      <c r="G3012" s="2" t="str">
        <f t="array" ref="G3012">_xlfn.XLOOKUP(A3013,Product!A:A,Product!D:D,"Bulunamadı")</f>
        <v>Northpoint Press</v>
      </c>
      <c r="H3012" s="2">
        <f t="array" ref="H3012">_xlfn.XLOOKUP(A3014,Product!A:A,Product!E:E,"Bulunamadı")</f>
        <v>8.9</v>
      </c>
      <c r="I3012" s="2" t="str">
        <f t="shared" si="1"/>
        <v>121872 - Tech - Winter Sports</v>
      </c>
      <c r="J3012" s="2">
        <f t="shared" si="2"/>
        <v>3666.8</v>
      </c>
      <c r="K3012" s="17">
        <f t="shared" si="3"/>
        <v>1</v>
      </c>
      <c r="L3012" s="18"/>
    </row>
    <row r="3013" hidden="1">
      <c r="A3013" s="2">
        <f>IFERROR(__xludf.DUMMYFUNCTION("""COMPUTED_VALUE"""),112885.0)</f>
        <v>112885</v>
      </c>
      <c r="B3013" s="2">
        <f>IFERROR(__xludf.DUMMYFUNCTION("""COMPUTED_VALUE"""),1.0)</f>
        <v>1</v>
      </c>
      <c r="C3013" s="2">
        <f>IFERROR(__xludf.DUMMYFUNCTION("""COMPUTED_VALUE"""),700.0)</f>
        <v>700</v>
      </c>
      <c r="D3013" s="3">
        <f>IFERROR(__xludf.DUMMYFUNCTION("""COMPUTED_VALUE"""),185.0)</f>
        <v>185</v>
      </c>
      <c r="E3013" s="1" t="str">
        <f t="array" ref="E3013">_xlfn.XLOOKUP(A3013,Product!A:A,Product!B:B,"Bulunamadı")</f>
        <v>Tech</v>
      </c>
      <c r="F3013" s="1" t="str">
        <f t="array" ref="F3013">_xlfn.XLOOKUP(A3013,Product!A:A,Product!C:C,"Bulunamadı")</f>
        <v>Winter Sports</v>
      </c>
      <c r="G3013" s="2" t="str">
        <f t="array" ref="G3013">_xlfn.XLOOKUP(A3014,Product!A:A,Product!D:D,"Bulunamadı")</f>
        <v>Northpoint Press</v>
      </c>
      <c r="H3013" s="2">
        <f t="array" ref="H3013">_xlfn.XLOOKUP(A3015,Product!A:A,Product!E:E,"Bulunamadı")</f>
        <v>5.67</v>
      </c>
      <c r="I3013" s="2" t="str">
        <f t="shared" si="1"/>
        <v>112885 - Tech - Winter Sports</v>
      </c>
      <c r="J3013" s="2">
        <f t="shared" si="2"/>
        <v>1048.95</v>
      </c>
      <c r="K3013" s="17">
        <f t="shared" si="3"/>
        <v>1</v>
      </c>
      <c r="L3013" s="18"/>
    </row>
    <row r="3014" hidden="1">
      <c r="A3014" s="2">
        <f>IFERROR(__xludf.DUMMYFUNCTION("""COMPUTED_VALUE"""),108738.0)</f>
        <v>108738</v>
      </c>
      <c r="B3014" s="2">
        <f>IFERROR(__xludf.DUMMYFUNCTION("""COMPUTED_VALUE"""),1.0)</f>
        <v>1</v>
      </c>
      <c r="C3014" s="2">
        <f>IFERROR(__xludf.DUMMYFUNCTION("""COMPUTED_VALUE"""),789.0)</f>
        <v>789</v>
      </c>
      <c r="D3014" s="3">
        <f>IFERROR(__xludf.DUMMYFUNCTION("""COMPUTED_VALUE"""),636.0)</f>
        <v>636</v>
      </c>
      <c r="E3014" s="1" t="str">
        <f t="array" ref="E3014">_xlfn.XLOOKUP(A3014,Product!A:A,Product!B:B,"Bulunamadı")</f>
        <v>Tech</v>
      </c>
      <c r="F3014" s="1" t="str">
        <f t="array" ref="F3014">_xlfn.XLOOKUP(A3014,Product!A:A,Product!C:C,"Bulunamadı")</f>
        <v>Winter Sports</v>
      </c>
      <c r="G3014" s="2" t="str">
        <f t="array" ref="G3014">_xlfn.XLOOKUP(A3015,Product!A:A,Product!D:D,"Bulunamadı")</f>
        <v>Northpoint Press</v>
      </c>
      <c r="H3014" s="2">
        <f t="array" ref="H3014">_xlfn.XLOOKUP(A3016,Product!A:A,Product!E:E,"Bulunamadı")</f>
        <v>5.68</v>
      </c>
      <c r="I3014" s="2" t="str">
        <f t="shared" si="1"/>
        <v>108738 - Tech - Winter Sports</v>
      </c>
      <c r="J3014" s="2">
        <f t="shared" si="2"/>
        <v>3612.48</v>
      </c>
      <c r="K3014" s="17">
        <f t="shared" si="3"/>
        <v>1</v>
      </c>
      <c r="L3014" s="18"/>
    </row>
    <row r="3015" hidden="1">
      <c r="A3015" s="2">
        <f>IFERROR(__xludf.DUMMYFUNCTION("""COMPUTED_VALUE"""),21338.0)</f>
        <v>21338</v>
      </c>
      <c r="B3015" s="2">
        <f>IFERROR(__xludf.DUMMYFUNCTION("""COMPUTED_VALUE"""),1.0)</f>
        <v>1</v>
      </c>
      <c r="C3015" s="2">
        <f>IFERROR(__xludf.DUMMYFUNCTION("""COMPUTED_VALUE"""),820.0)</f>
        <v>820</v>
      </c>
      <c r="D3015" s="3">
        <f>IFERROR(__xludf.DUMMYFUNCTION("""COMPUTED_VALUE"""),492.0)</f>
        <v>492</v>
      </c>
      <c r="E3015" s="1" t="str">
        <f t="array" ref="E3015">_xlfn.XLOOKUP(A3015,Product!A:A,Product!B:B,"Bulunamadı")</f>
        <v>Tech</v>
      </c>
      <c r="F3015" s="1" t="str">
        <f t="array" ref="F3015">_xlfn.XLOOKUP(A3015,Product!A:A,Product!C:C,"Bulunamadı")</f>
        <v>Winter Sports</v>
      </c>
      <c r="G3015" s="2" t="str">
        <f t="array" ref="G3015">_xlfn.XLOOKUP(A3016,Product!A:A,Product!D:D,"Bulunamadı")</f>
        <v>Northpoint Press</v>
      </c>
      <c r="H3015" s="2">
        <f t="array" ref="H3015">_xlfn.XLOOKUP(A3017,Product!A:A,Product!E:E,"Bulunamadı")</f>
        <v>6.08</v>
      </c>
      <c r="I3015" s="2" t="str">
        <f t="shared" si="1"/>
        <v>21338 - Tech - Winter Sports</v>
      </c>
      <c r="J3015" s="2">
        <f t="shared" si="2"/>
        <v>2991.36</v>
      </c>
      <c r="K3015" s="17">
        <f t="shared" si="3"/>
        <v>1</v>
      </c>
      <c r="L3015" s="18"/>
    </row>
    <row r="3016" hidden="1">
      <c r="A3016" s="2">
        <f>IFERROR(__xludf.DUMMYFUNCTION("""COMPUTED_VALUE"""),76513.0)</f>
        <v>76513</v>
      </c>
      <c r="B3016" s="2">
        <f>IFERROR(__xludf.DUMMYFUNCTION("""COMPUTED_VALUE"""),0.0)</f>
        <v>0</v>
      </c>
      <c r="C3016" s="2">
        <f>IFERROR(__xludf.DUMMYFUNCTION("""COMPUTED_VALUE"""),923.0)</f>
        <v>923</v>
      </c>
      <c r="D3016" s="3">
        <f>IFERROR(__xludf.DUMMYFUNCTION("""COMPUTED_VALUE"""),544.0)</f>
        <v>544</v>
      </c>
      <c r="E3016" s="1" t="str">
        <f t="array" ref="E3016">_xlfn.XLOOKUP(A3016,Product!A:A,Product!B:B,"Bulunamadı")</f>
        <v>Tech</v>
      </c>
      <c r="F3016" s="1" t="str">
        <f t="array" ref="F3016">_xlfn.XLOOKUP(A3016,Product!A:A,Product!C:C,"Bulunamadı")</f>
        <v>Winter Sports</v>
      </c>
      <c r="G3016" s="2" t="str">
        <f t="array" ref="G3016">_xlfn.XLOOKUP(A3017,Product!A:A,Product!D:D,"Bulunamadı")</f>
        <v>Northpoint Press</v>
      </c>
      <c r="H3016" s="2">
        <f t="array" ref="H3016">_xlfn.XLOOKUP(A3018,Product!A:A,Product!E:E,"Bulunamadı")</f>
        <v>5.59</v>
      </c>
      <c r="I3016" s="2" t="str">
        <f t="shared" si="1"/>
        <v>76513 - Tech - Winter Sports</v>
      </c>
      <c r="J3016" s="2">
        <f t="shared" si="2"/>
        <v>3040.96</v>
      </c>
      <c r="K3016" s="17">
        <f t="shared" si="3"/>
        <v>1</v>
      </c>
      <c r="L3016" s="18"/>
    </row>
    <row r="3017" hidden="1">
      <c r="A3017" s="2">
        <f>IFERROR(__xludf.DUMMYFUNCTION("""COMPUTED_VALUE"""),76514.0)</f>
        <v>76514</v>
      </c>
      <c r="B3017" s="2">
        <f>IFERROR(__xludf.DUMMYFUNCTION("""COMPUTED_VALUE"""),0.0)</f>
        <v>0</v>
      </c>
      <c r="C3017" s="2">
        <f>IFERROR(__xludf.DUMMYFUNCTION("""COMPUTED_VALUE"""),557.0)</f>
        <v>557</v>
      </c>
      <c r="D3017" s="3">
        <f>IFERROR(__xludf.DUMMYFUNCTION("""COMPUTED_VALUE"""),412.0)</f>
        <v>412</v>
      </c>
      <c r="E3017" s="1" t="str">
        <f t="array" ref="E3017">_xlfn.XLOOKUP(A3017,Product!A:A,Product!B:B,"Bulunamadı")</f>
        <v>Tech</v>
      </c>
      <c r="F3017" s="1" t="str">
        <f t="array" ref="F3017">_xlfn.XLOOKUP(A3017,Product!A:A,Product!C:C,"Bulunamadı")</f>
        <v>Winter Sports</v>
      </c>
      <c r="G3017" s="2" t="str">
        <f t="array" ref="G3017">_xlfn.XLOOKUP(A3018,Product!A:A,Product!D:D,"Bulunamadı")</f>
        <v>Northpoint Press</v>
      </c>
      <c r="H3017" s="2">
        <f t="array" ref="H3017">_xlfn.XLOOKUP(A3019,Product!A:A,Product!E:E,"Bulunamadı")</f>
        <v>6.33</v>
      </c>
      <c r="I3017" s="2" t="str">
        <f t="shared" si="1"/>
        <v>76514 - Tech - Winter Sports</v>
      </c>
      <c r="J3017" s="2">
        <f t="shared" si="2"/>
        <v>2607.96</v>
      </c>
      <c r="K3017" s="17">
        <f t="shared" si="3"/>
        <v>1</v>
      </c>
      <c r="L3017" s="18"/>
    </row>
    <row r="3018" hidden="1">
      <c r="A3018" s="2">
        <f>IFERROR(__xludf.DUMMYFUNCTION("""COMPUTED_VALUE"""),21339.0)</f>
        <v>21339</v>
      </c>
      <c r="B3018" s="2">
        <f>IFERROR(__xludf.DUMMYFUNCTION("""COMPUTED_VALUE"""),1.0)</f>
        <v>1</v>
      </c>
      <c r="C3018" s="2">
        <f>IFERROR(__xludf.DUMMYFUNCTION("""COMPUTED_VALUE"""),625.0)</f>
        <v>625</v>
      </c>
      <c r="D3018" s="3">
        <f>IFERROR(__xludf.DUMMYFUNCTION("""COMPUTED_VALUE"""),546.0)</f>
        <v>546</v>
      </c>
      <c r="E3018" s="1" t="str">
        <f t="array" ref="E3018">_xlfn.XLOOKUP(A3018,Product!A:A,Product!B:B,"Bulunamadı")</f>
        <v>Tech</v>
      </c>
      <c r="F3018" s="1" t="str">
        <f t="array" ref="F3018">_xlfn.XLOOKUP(A3018,Product!A:A,Product!C:C,"Bulunamadı")</f>
        <v>Winter Sports</v>
      </c>
      <c r="G3018" s="2" t="str">
        <f t="array" ref="G3018">_xlfn.XLOOKUP(A3019,Product!A:A,Product!D:D,"Bulunamadı")</f>
        <v>Northpoint Press</v>
      </c>
      <c r="H3018" s="2">
        <f t="array" ref="H3018">_xlfn.XLOOKUP(A3020,Product!A:A,Product!E:E,"Bulunamadı")</f>
        <v>5.86</v>
      </c>
      <c r="I3018" s="2" t="str">
        <f t="shared" si="1"/>
        <v>21339 - Tech - Winter Sports</v>
      </c>
      <c r="J3018" s="2">
        <f t="shared" si="2"/>
        <v>3199.56</v>
      </c>
      <c r="K3018" s="17">
        <f t="shared" si="3"/>
        <v>1</v>
      </c>
      <c r="L3018" s="18"/>
    </row>
    <row r="3019" hidden="1">
      <c r="A3019" s="2">
        <f>IFERROR(__xludf.DUMMYFUNCTION("""COMPUTED_VALUE"""),75436.0)</f>
        <v>75436</v>
      </c>
      <c r="B3019" s="2">
        <f>IFERROR(__xludf.DUMMYFUNCTION("""COMPUTED_VALUE"""),1.0)</f>
        <v>1</v>
      </c>
      <c r="C3019" s="2">
        <f>IFERROR(__xludf.DUMMYFUNCTION("""COMPUTED_VALUE"""),734.0)</f>
        <v>734</v>
      </c>
      <c r="D3019" s="3">
        <f>IFERROR(__xludf.DUMMYFUNCTION("""COMPUTED_VALUE"""),177.0)</f>
        <v>177</v>
      </c>
      <c r="E3019" s="1" t="str">
        <f t="array" ref="E3019">_xlfn.XLOOKUP(A3019,Product!A:A,Product!B:B,"Bulunamadı")</f>
        <v>Tech</v>
      </c>
      <c r="F3019" s="1" t="str">
        <f t="array" ref="F3019">_xlfn.XLOOKUP(A3019,Product!A:A,Product!C:C,"Bulunamadı")</f>
        <v>Winter Sports</v>
      </c>
      <c r="G3019" s="2" t="str">
        <f t="array" ref="G3019">_xlfn.XLOOKUP(A3020,Product!A:A,Product!D:D,"Bulunamadı")</f>
        <v>Northpoint Press</v>
      </c>
      <c r="H3019" s="2">
        <f t="array" ref="H3019">_xlfn.XLOOKUP(A3021,Product!A:A,Product!E:E,"Bulunamadı")</f>
        <v>6.34</v>
      </c>
      <c r="I3019" s="2" t="str">
        <f t="shared" si="1"/>
        <v>75436 - Tech - Winter Sports</v>
      </c>
      <c r="J3019" s="2">
        <f t="shared" si="2"/>
        <v>1122.18</v>
      </c>
      <c r="K3019" s="17">
        <f t="shared" si="3"/>
        <v>1</v>
      </c>
      <c r="L3019" s="18"/>
    </row>
    <row r="3020" hidden="1">
      <c r="A3020" s="2">
        <f>IFERROR(__xludf.DUMMYFUNCTION("""COMPUTED_VALUE"""),84092.0)</f>
        <v>84092</v>
      </c>
      <c r="B3020" s="2">
        <f>IFERROR(__xludf.DUMMYFUNCTION("""COMPUTED_VALUE"""),0.0)</f>
        <v>0</v>
      </c>
      <c r="C3020" s="2">
        <f>IFERROR(__xludf.DUMMYFUNCTION("""COMPUTED_VALUE"""),470.0)</f>
        <v>470</v>
      </c>
      <c r="D3020" s="3">
        <f>IFERROR(__xludf.DUMMYFUNCTION("""COMPUTED_VALUE"""),403.0)</f>
        <v>403</v>
      </c>
      <c r="E3020" s="1" t="str">
        <f t="array" ref="E3020">_xlfn.XLOOKUP(A3020,Product!A:A,Product!B:B,"Bulunamadı")</f>
        <v>Tech</v>
      </c>
      <c r="F3020" s="1" t="str">
        <f t="array" ref="F3020">_xlfn.XLOOKUP(A3020,Product!A:A,Product!C:C,"Bulunamadı")</f>
        <v>Winter Sports</v>
      </c>
      <c r="G3020" s="2" t="str">
        <f t="array" ref="G3020">_xlfn.XLOOKUP(A3021,Product!A:A,Product!D:D,"Bulunamadı")</f>
        <v>Northpoint Press</v>
      </c>
      <c r="H3020" s="2">
        <f t="array" ref="H3020">_xlfn.XLOOKUP(A3022,Product!A:A,Product!E:E,"Bulunamadı")</f>
        <v>7.21</v>
      </c>
      <c r="I3020" s="2" t="str">
        <f t="shared" si="1"/>
        <v>84092 - Tech - Winter Sports</v>
      </c>
      <c r="J3020" s="2">
        <f t="shared" si="2"/>
        <v>2905.63</v>
      </c>
      <c r="K3020" s="17">
        <f t="shared" si="3"/>
        <v>1</v>
      </c>
      <c r="L3020" s="18"/>
    </row>
    <row r="3021" hidden="1">
      <c r="A3021" s="2">
        <f>IFERROR(__xludf.DUMMYFUNCTION("""COMPUTED_VALUE"""),86943.0)</f>
        <v>86943</v>
      </c>
      <c r="B3021" s="2">
        <f>IFERROR(__xludf.DUMMYFUNCTION("""COMPUTED_VALUE"""),0.0)</f>
        <v>0</v>
      </c>
      <c r="C3021" s="2">
        <f>IFERROR(__xludf.DUMMYFUNCTION("""COMPUTED_VALUE"""),209.0)</f>
        <v>209</v>
      </c>
      <c r="D3021" s="3">
        <f>IFERROR(__xludf.DUMMYFUNCTION("""COMPUTED_VALUE"""),167.0)</f>
        <v>167</v>
      </c>
      <c r="E3021" s="1" t="str">
        <f t="array" ref="E3021">_xlfn.XLOOKUP(A3021,Product!A:A,Product!B:B,"Bulunamadı")</f>
        <v>Tech</v>
      </c>
      <c r="F3021" s="1" t="str">
        <f t="array" ref="F3021">_xlfn.XLOOKUP(A3021,Product!A:A,Product!C:C,"Bulunamadı")</f>
        <v>Winter Sports</v>
      </c>
      <c r="G3021" s="2" t="str">
        <f t="array" ref="G3021">_xlfn.XLOOKUP(A3022,Product!A:A,Product!D:D,"Bulunamadı")</f>
        <v>Harborpoint Publishing</v>
      </c>
      <c r="H3021" s="2">
        <f t="array" ref="H3021">_xlfn.XLOOKUP(A3023,Product!A:A,Product!E:E,"Bulunamadı")</f>
        <v>8.47</v>
      </c>
      <c r="I3021" s="2" t="str">
        <f t="shared" si="1"/>
        <v>86943 - Tech - Winter Sports</v>
      </c>
      <c r="J3021" s="2">
        <f t="shared" si="2"/>
        <v>1414.49</v>
      </c>
      <c r="K3021" s="17">
        <f t="shared" si="3"/>
        <v>1</v>
      </c>
      <c r="L3021" s="18"/>
    </row>
    <row r="3022" hidden="1">
      <c r="A3022" s="2">
        <f>IFERROR(__xludf.DUMMYFUNCTION("""COMPUTED_VALUE"""),8688.0)</f>
        <v>8688</v>
      </c>
      <c r="B3022" s="2">
        <f>IFERROR(__xludf.DUMMYFUNCTION("""COMPUTED_VALUE"""),1.0)</f>
        <v>1</v>
      </c>
      <c r="C3022" s="2">
        <f>IFERROR(__xludf.DUMMYFUNCTION("""COMPUTED_VALUE"""),727.0)</f>
        <v>727</v>
      </c>
      <c r="D3022" s="3">
        <f>IFERROR(__xludf.DUMMYFUNCTION("""COMPUTED_VALUE"""),539.0)</f>
        <v>539</v>
      </c>
      <c r="E3022" s="1" t="str">
        <f t="array" ref="E3022">_xlfn.XLOOKUP(A3022,Product!A:A,Product!B:B,"Bulunamadı")</f>
        <v>Tech</v>
      </c>
      <c r="F3022" s="1" t="str">
        <f t="array" ref="F3022">_xlfn.XLOOKUP(A3022,Product!A:A,Product!C:C,"Bulunamadı")</f>
        <v>Winter Sports</v>
      </c>
      <c r="G3022" s="2" t="str">
        <f t="array" ref="G3022">_xlfn.XLOOKUP(A3023,Product!A:A,Product!D:D,"Bulunamadı")</f>
        <v>Harborpoint Publishing</v>
      </c>
      <c r="H3022" s="2">
        <f t="array" ref="H3022">_xlfn.XLOOKUP(A3024,Product!A:A,Product!E:E,"Bulunamadı")</f>
        <v>2.92</v>
      </c>
      <c r="I3022" s="2" t="str">
        <f t="shared" si="1"/>
        <v>8688 - Tech - Winter Sports</v>
      </c>
      <c r="J3022" s="2">
        <f t="shared" si="2"/>
        <v>1573.88</v>
      </c>
      <c r="K3022" s="17">
        <f t="shared" si="3"/>
        <v>1</v>
      </c>
      <c r="L3022" s="18"/>
    </row>
    <row r="3023" hidden="1">
      <c r="A3023" s="2">
        <f>IFERROR(__xludf.DUMMYFUNCTION("""COMPUTED_VALUE"""),117967.0)</f>
        <v>117967</v>
      </c>
      <c r="B3023" s="2">
        <f>IFERROR(__xludf.DUMMYFUNCTION("""COMPUTED_VALUE"""),1.0)</f>
        <v>1</v>
      </c>
      <c r="C3023" s="2">
        <f>IFERROR(__xludf.DUMMYFUNCTION("""COMPUTED_VALUE"""),415.0)</f>
        <v>415</v>
      </c>
      <c r="D3023" s="3">
        <f>IFERROR(__xludf.DUMMYFUNCTION("""COMPUTED_VALUE"""),166.0)</f>
        <v>166</v>
      </c>
      <c r="E3023" s="1" t="str">
        <f t="array" ref="E3023">_xlfn.XLOOKUP(A3023,Product!A:A,Product!B:B,"Bulunamadı")</f>
        <v>Tech</v>
      </c>
      <c r="F3023" s="1" t="str">
        <f t="array" ref="F3023">_xlfn.XLOOKUP(A3023,Product!A:A,Product!C:C,"Bulunamadı")</f>
        <v>Winter Sports</v>
      </c>
      <c r="G3023" s="2" t="str">
        <f t="array" ref="G3023">_xlfn.XLOOKUP(A3024,Product!A:A,Product!D:D,"Bulunamadı")</f>
        <v>Harborpoint Publishing</v>
      </c>
      <c r="H3023" s="2">
        <f t="array" ref="H3023">_xlfn.XLOOKUP(A3025,Product!A:A,Product!E:E,"Bulunamadı")</f>
        <v>6.5</v>
      </c>
      <c r="I3023" s="2" t="str">
        <f t="shared" si="1"/>
        <v>117967 - Tech - Winter Sports</v>
      </c>
      <c r="J3023" s="2">
        <f t="shared" si="2"/>
        <v>1079</v>
      </c>
      <c r="K3023" s="17">
        <f t="shared" si="3"/>
        <v>1</v>
      </c>
      <c r="L3023" s="18"/>
    </row>
    <row r="3024" hidden="1">
      <c r="A3024" s="2">
        <f>IFERROR(__xludf.DUMMYFUNCTION("""COMPUTED_VALUE"""),23061.0)</f>
        <v>23061</v>
      </c>
      <c r="B3024" s="2">
        <f>IFERROR(__xludf.DUMMYFUNCTION("""COMPUTED_VALUE"""),0.0)</f>
        <v>0</v>
      </c>
      <c r="C3024" s="2">
        <f>IFERROR(__xludf.DUMMYFUNCTION("""COMPUTED_VALUE"""),207.0)</f>
        <v>207</v>
      </c>
      <c r="D3024" s="3">
        <f>IFERROR(__xludf.DUMMYFUNCTION("""COMPUTED_VALUE"""),6.0)</f>
        <v>6</v>
      </c>
      <c r="E3024" s="1" t="str">
        <f t="array" ref="E3024">_xlfn.XLOOKUP(A3024,Product!A:A,Product!B:B,"Bulunamadı")</f>
        <v>Tech</v>
      </c>
      <c r="F3024" s="1" t="str">
        <f t="array" ref="F3024">_xlfn.XLOOKUP(A3024,Product!A:A,Product!C:C,"Bulunamadı")</f>
        <v>Winter Sports</v>
      </c>
      <c r="G3024" s="2" t="str">
        <f t="array" ref="G3024">_xlfn.XLOOKUP(A3025,Product!A:A,Product!D:D,"Bulunamadı")</f>
        <v>Harborpoint Publishing</v>
      </c>
      <c r="H3024" s="2">
        <f t="array" ref="H3024">_xlfn.XLOOKUP(A3026,Product!A:A,Product!E:E,"Bulunamadı")</f>
        <v>7.44</v>
      </c>
      <c r="I3024" s="2" t="str">
        <f t="shared" si="1"/>
        <v>23061 - Tech - Winter Sports</v>
      </c>
      <c r="J3024" s="2">
        <f t="shared" si="2"/>
        <v>44.64</v>
      </c>
      <c r="K3024" s="17">
        <f t="shared" si="3"/>
        <v>1</v>
      </c>
      <c r="L3024" s="18"/>
    </row>
    <row r="3025" hidden="1">
      <c r="A3025" s="2">
        <f>IFERROR(__xludf.DUMMYFUNCTION("""COMPUTED_VALUE"""),10688.0)</f>
        <v>10688</v>
      </c>
      <c r="B3025" s="2">
        <f>IFERROR(__xludf.DUMMYFUNCTION("""COMPUTED_VALUE"""),1.0)</f>
        <v>1</v>
      </c>
      <c r="C3025" s="2">
        <f>IFERROR(__xludf.DUMMYFUNCTION("""COMPUTED_VALUE"""),617.0)</f>
        <v>617</v>
      </c>
      <c r="D3025" s="3">
        <f>IFERROR(__xludf.DUMMYFUNCTION("""COMPUTED_VALUE"""),419.0)</f>
        <v>419</v>
      </c>
      <c r="E3025" s="1" t="str">
        <f t="array" ref="E3025">_xlfn.XLOOKUP(A3025,Product!A:A,Product!B:B,"Bulunamadı")</f>
        <v>Tech</v>
      </c>
      <c r="F3025" s="1" t="str">
        <f t="array" ref="F3025">_xlfn.XLOOKUP(A3025,Product!A:A,Product!C:C,"Bulunamadı")</f>
        <v>Winter Sports</v>
      </c>
      <c r="G3025" s="2" t="str">
        <f t="array" ref="G3025">_xlfn.XLOOKUP(A3026,Product!A:A,Product!D:D,"Bulunamadı")</f>
        <v>Harborpoint Publishing</v>
      </c>
      <c r="H3025" s="2">
        <f t="array" ref="H3025">_xlfn.XLOOKUP(A3027,Product!A:A,Product!E:E,"Bulunamadı")</f>
        <v>4.44</v>
      </c>
      <c r="I3025" s="2" t="str">
        <f t="shared" si="1"/>
        <v>10688 - Tech - Winter Sports</v>
      </c>
      <c r="J3025" s="2">
        <f t="shared" si="2"/>
        <v>1860.36</v>
      </c>
      <c r="K3025" s="17">
        <f t="shared" si="3"/>
        <v>1</v>
      </c>
      <c r="L3025" s="18"/>
    </row>
    <row r="3026" hidden="1">
      <c r="A3026" s="2">
        <f>IFERROR(__xludf.DUMMYFUNCTION("""COMPUTED_VALUE"""),8690.0)</f>
        <v>8690</v>
      </c>
      <c r="B3026" s="2">
        <f>IFERROR(__xludf.DUMMYFUNCTION("""COMPUTED_VALUE"""),1.0)</f>
        <v>1</v>
      </c>
      <c r="C3026" s="2">
        <f>IFERROR(__xludf.DUMMYFUNCTION("""COMPUTED_VALUE"""),122.0)</f>
        <v>122</v>
      </c>
      <c r="D3026" s="3">
        <f>IFERROR(__xludf.DUMMYFUNCTION("""COMPUTED_VALUE"""),96.0)</f>
        <v>96</v>
      </c>
      <c r="E3026" s="1" t="str">
        <f t="array" ref="E3026">_xlfn.XLOOKUP(A3026,Product!A:A,Product!B:B,"Bulunamadı")</f>
        <v>Tech</v>
      </c>
      <c r="F3026" s="1" t="str">
        <f t="array" ref="F3026">_xlfn.XLOOKUP(A3026,Product!A:A,Product!C:C,"Bulunamadı")</f>
        <v>Winter Sports</v>
      </c>
      <c r="G3026" s="2" t="str">
        <f t="array" ref="G3026">_xlfn.XLOOKUP(A3027,Product!A:A,Product!D:D,"Bulunamadı")</f>
        <v>Cedarpoint Books</v>
      </c>
      <c r="H3026" s="2">
        <f t="array" ref="H3026">_xlfn.XLOOKUP(A3028,Product!A:A,Product!E:E,"Bulunamadı")</f>
        <v>6.45</v>
      </c>
      <c r="I3026" s="2" t="str">
        <f t="shared" si="1"/>
        <v>8690 - Tech - Winter Sports</v>
      </c>
      <c r="J3026" s="2">
        <f t="shared" si="2"/>
        <v>619.2</v>
      </c>
      <c r="K3026" s="17">
        <f t="shared" si="3"/>
        <v>1</v>
      </c>
      <c r="L3026" s="18"/>
    </row>
    <row r="3027" hidden="1">
      <c r="A3027" s="2">
        <f>IFERROR(__xludf.DUMMYFUNCTION("""COMPUTED_VALUE"""),79808.0)</f>
        <v>79808</v>
      </c>
      <c r="B3027" s="2">
        <f>IFERROR(__xludf.DUMMYFUNCTION("""COMPUTED_VALUE"""),1.0)</f>
        <v>1</v>
      </c>
      <c r="C3027" s="2">
        <f>IFERROR(__xludf.DUMMYFUNCTION("""COMPUTED_VALUE"""),28.0)</f>
        <v>28</v>
      </c>
      <c r="D3027" s="3">
        <f>IFERROR(__xludf.DUMMYFUNCTION("""COMPUTED_VALUE"""),18.0)</f>
        <v>18</v>
      </c>
      <c r="E3027" s="1" t="str">
        <f t="array" ref="E3027">_xlfn.XLOOKUP(A3027,Product!A:A,Product!B:B,"Bulunamadı")</f>
        <v>Tech</v>
      </c>
      <c r="F3027" s="1" t="str">
        <f t="array" ref="F3027">_xlfn.XLOOKUP(A3027,Product!A:A,Product!C:C,"Bulunamadı")</f>
        <v>Winter Sports</v>
      </c>
      <c r="G3027" s="2" t="str">
        <f t="array" ref="G3027">_xlfn.XLOOKUP(A3028,Product!A:A,Product!D:D,"Bulunamadı")</f>
        <v>Cedarpoint Books</v>
      </c>
      <c r="H3027" s="2">
        <f t="array" ref="H3027">_xlfn.XLOOKUP(A3029,Product!A:A,Product!E:E,"Bulunamadı")</f>
        <v>4.63</v>
      </c>
      <c r="I3027" s="2" t="str">
        <f t="shared" si="1"/>
        <v>79808 - Tech - Winter Sports</v>
      </c>
      <c r="J3027" s="2">
        <f t="shared" si="2"/>
        <v>83.34</v>
      </c>
      <c r="K3027" s="17">
        <f t="shared" si="3"/>
        <v>1</v>
      </c>
      <c r="L3027" s="18"/>
    </row>
    <row r="3028" hidden="1">
      <c r="A3028" s="2">
        <f>IFERROR(__xludf.DUMMYFUNCTION("""COMPUTED_VALUE"""),44797.0)</f>
        <v>44797</v>
      </c>
      <c r="B3028" s="2">
        <f>IFERROR(__xludf.DUMMYFUNCTION("""COMPUTED_VALUE"""),1.0)</f>
        <v>1</v>
      </c>
      <c r="C3028" s="2">
        <f>IFERROR(__xludf.DUMMYFUNCTION("""COMPUTED_VALUE"""),335.0)</f>
        <v>335</v>
      </c>
      <c r="D3028" s="3">
        <f>IFERROR(__xludf.DUMMYFUNCTION("""COMPUTED_VALUE"""),305.0)</f>
        <v>305</v>
      </c>
      <c r="E3028" s="1" t="str">
        <f t="array" ref="E3028">_xlfn.XLOOKUP(A3028,Product!A:A,Product!B:B,"Bulunamadı")</f>
        <v>Tech</v>
      </c>
      <c r="F3028" s="1" t="str">
        <f t="array" ref="F3028">_xlfn.XLOOKUP(A3028,Product!A:A,Product!C:C,"Bulunamadı")</f>
        <v>Winter Sports</v>
      </c>
      <c r="G3028" s="2" t="str">
        <f t="array" ref="G3028">_xlfn.XLOOKUP(A3029,Product!A:A,Product!D:D,"Bulunamadı")</f>
        <v>Cedarpoint Books</v>
      </c>
      <c r="H3028" s="2">
        <f t="array" ref="H3028">_xlfn.XLOOKUP(A3030,Product!A:A,Product!E:E,"Bulunamadı")</f>
        <v>7.77</v>
      </c>
      <c r="I3028" s="2" t="str">
        <f t="shared" si="1"/>
        <v>44797 - Tech - Winter Sports</v>
      </c>
      <c r="J3028" s="2">
        <f t="shared" si="2"/>
        <v>2369.85</v>
      </c>
      <c r="K3028" s="17">
        <f t="shared" si="3"/>
        <v>1</v>
      </c>
      <c r="L3028" s="18"/>
    </row>
    <row r="3029" hidden="1">
      <c r="A3029" s="2">
        <f>IFERROR(__xludf.DUMMYFUNCTION("""COMPUTED_VALUE"""),79807.0)</f>
        <v>79807</v>
      </c>
      <c r="B3029" s="2">
        <f>IFERROR(__xludf.DUMMYFUNCTION("""COMPUTED_VALUE"""),0.0)</f>
        <v>0</v>
      </c>
      <c r="C3029" s="2">
        <f>IFERROR(__xludf.DUMMYFUNCTION("""COMPUTED_VALUE"""),25.0)</f>
        <v>25</v>
      </c>
      <c r="D3029" s="3">
        <f>IFERROR(__xludf.DUMMYFUNCTION("""COMPUTED_VALUE"""),5.0)</f>
        <v>5</v>
      </c>
      <c r="E3029" s="1" t="str">
        <f t="array" ref="E3029">_xlfn.XLOOKUP(A3029,Product!A:A,Product!B:B,"Bulunamadı")</f>
        <v>Tech</v>
      </c>
      <c r="F3029" s="1" t="str">
        <f t="array" ref="F3029">_xlfn.XLOOKUP(A3029,Product!A:A,Product!C:C,"Bulunamadı")</f>
        <v>Winter Sports</v>
      </c>
      <c r="G3029" s="2" t="str">
        <f t="array" ref="G3029">_xlfn.XLOOKUP(A3030,Product!A:A,Product!D:D,"Bulunamadı")</f>
        <v>Cedarpoint Books</v>
      </c>
      <c r="H3029" s="2">
        <f t="array" ref="H3029">_xlfn.XLOOKUP(A3031,Product!A:A,Product!E:E,"Bulunamadı")</f>
        <v>6.61</v>
      </c>
      <c r="I3029" s="2" t="str">
        <f t="shared" si="1"/>
        <v>79807 - Tech - Winter Sports</v>
      </c>
      <c r="J3029" s="2">
        <f t="shared" si="2"/>
        <v>33.05</v>
      </c>
      <c r="K3029" s="17">
        <f t="shared" si="3"/>
        <v>1</v>
      </c>
      <c r="L3029" s="18"/>
    </row>
    <row r="3030" hidden="1">
      <c r="A3030" s="2">
        <f>IFERROR(__xludf.DUMMYFUNCTION("""COMPUTED_VALUE"""),11426.0)</f>
        <v>11426</v>
      </c>
      <c r="B3030" s="2">
        <f>IFERROR(__xludf.DUMMYFUNCTION("""COMPUTED_VALUE"""),0.0)</f>
        <v>0</v>
      </c>
      <c r="C3030" s="2">
        <f>IFERROR(__xludf.DUMMYFUNCTION("""COMPUTED_VALUE"""),540.0)</f>
        <v>540</v>
      </c>
      <c r="D3030" s="3">
        <f>IFERROR(__xludf.DUMMYFUNCTION("""COMPUTED_VALUE"""),204.0)</f>
        <v>204</v>
      </c>
      <c r="E3030" s="1" t="str">
        <f t="array" ref="E3030">_xlfn.XLOOKUP(A3030,Product!A:A,Product!B:B,"Bulunamadı")</f>
        <v>Tech</v>
      </c>
      <c r="F3030" s="1" t="str">
        <f t="array" ref="F3030">_xlfn.XLOOKUP(A3030,Product!A:A,Product!C:C,"Bulunamadı")</f>
        <v>Winter Sports</v>
      </c>
      <c r="G3030" s="2" t="str">
        <f t="array" ref="G3030">_xlfn.XLOOKUP(A3031,Product!A:A,Product!D:D,"Bulunamadı")</f>
        <v>Cedarpoint Books</v>
      </c>
      <c r="H3030" s="2">
        <f t="array" ref="H3030">_xlfn.XLOOKUP(A3032,Product!A:A,Product!E:E,"Bulunamadı")</f>
        <v>5.38</v>
      </c>
      <c r="I3030" s="2" t="str">
        <f t="shared" si="1"/>
        <v>11426 - Tech - Winter Sports</v>
      </c>
      <c r="J3030" s="2">
        <f t="shared" si="2"/>
        <v>1097.52</v>
      </c>
      <c r="K3030" s="17">
        <f t="shared" si="3"/>
        <v>1</v>
      </c>
      <c r="L3030" s="18"/>
    </row>
    <row r="3031" hidden="1">
      <c r="A3031" s="2">
        <f>IFERROR(__xludf.DUMMYFUNCTION("""COMPUTED_VALUE"""),45059.0)</f>
        <v>45059</v>
      </c>
      <c r="B3031" s="2">
        <f>IFERROR(__xludf.DUMMYFUNCTION("""COMPUTED_VALUE"""),1.0)</f>
        <v>1</v>
      </c>
      <c r="C3031" s="2">
        <f>IFERROR(__xludf.DUMMYFUNCTION("""COMPUTED_VALUE"""),270.0)</f>
        <v>270</v>
      </c>
      <c r="D3031" s="3">
        <f>IFERROR(__xludf.DUMMYFUNCTION("""COMPUTED_VALUE"""),244.0)</f>
        <v>244</v>
      </c>
      <c r="E3031" s="1" t="str">
        <f t="array" ref="E3031">_xlfn.XLOOKUP(A3031,Product!A:A,Product!B:B,"Bulunamadı")</f>
        <v>Tech</v>
      </c>
      <c r="F3031" s="1" t="str">
        <f t="array" ref="F3031">_xlfn.XLOOKUP(A3031,Product!A:A,Product!C:C,"Bulunamadı")</f>
        <v>Winter Sports</v>
      </c>
      <c r="G3031" s="2" t="str">
        <f t="array" ref="G3031">_xlfn.XLOOKUP(A3032,Product!A:A,Product!D:D,"Bulunamadı")</f>
        <v>Cedarpoint Books</v>
      </c>
      <c r="H3031" s="2">
        <f t="array" ref="H3031">_xlfn.XLOOKUP(A3033,Product!A:A,Product!E:E,"Bulunamadı")</f>
        <v>6.64</v>
      </c>
      <c r="I3031" s="2" t="str">
        <f t="shared" si="1"/>
        <v>45059 - Tech - Winter Sports</v>
      </c>
      <c r="J3031" s="2">
        <f t="shared" si="2"/>
        <v>1620.16</v>
      </c>
      <c r="K3031" s="17">
        <f t="shared" si="3"/>
        <v>1</v>
      </c>
      <c r="L3031" s="18"/>
    </row>
    <row r="3032" hidden="1">
      <c r="A3032" s="2">
        <f>IFERROR(__xludf.DUMMYFUNCTION("""COMPUTED_VALUE"""),200582.0)</f>
        <v>200582</v>
      </c>
      <c r="B3032" s="2">
        <f>IFERROR(__xludf.DUMMYFUNCTION("""COMPUTED_VALUE"""),1.0)</f>
        <v>1</v>
      </c>
      <c r="C3032" s="2">
        <f>IFERROR(__xludf.DUMMYFUNCTION("""COMPUTED_VALUE"""),287.0)</f>
        <v>287</v>
      </c>
      <c r="D3032" s="3">
        <f>IFERROR(__xludf.DUMMYFUNCTION("""COMPUTED_VALUE"""),214.0)</f>
        <v>214</v>
      </c>
      <c r="E3032" s="1" t="str">
        <f t="array" ref="E3032">_xlfn.XLOOKUP(A3032,Product!A:A,Product!B:B,"Bulunamadı")</f>
        <v>Tech</v>
      </c>
      <c r="F3032" s="1" t="str">
        <f t="array" ref="F3032">_xlfn.XLOOKUP(A3032,Product!A:A,Product!C:C,"Bulunamadı")</f>
        <v>Winter Sports</v>
      </c>
      <c r="G3032" s="2" t="str">
        <f t="array" ref="G3032">_xlfn.XLOOKUP(A3033,Product!A:A,Product!D:D,"Bulunamadı")</f>
        <v>Cedarpoint Books</v>
      </c>
      <c r="H3032" s="2">
        <f t="array" ref="H3032">_xlfn.XLOOKUP(A3034,Product!A:A,Product!E:E,"Bulunamadı")</f>
        <v>4.54</v>
      </c>
      <c r="I3032" s="2" t="str">
        <f t="shared" si="1"/>
        <v>200582 - Tech - Winter Sports</v>
      </c>
      <c r="J3032" s="2">
        <f t="shared" si="2"/>
        <v>971.56</v>
      </c>
      <c r="K3032" s="17">
        <f t="shared" si="3"/>
        <v>1</v>
      </c>
      <c r="L3032" s="18"/>
    </row>
    <row r="3033" hidden="1">
      <c r="A3033" s="2">
        <f>IFERROR(__xludf.DUMMYFUNCTION("""COMPUTED_VALUE"""),143825.0)</f>
        <v>143825</v>
      </c>
      <c r="B3033" s="2">
        <f>IFERROR(__xludf.DUMMYFUNCTION("""COMPUTED_VALUE"""),0.0)</f>
        <v>0</v>
      </c>
      <c r="C3033" s="2">
        <f>IFERROR(__xludf.DUMMYFUNCTION("""COMPUTED_VALUE"""),385.0)</f>
        <v>385</v>
      </c>
      <c r="D3033" s="3">
        <f>IFERROR(__xludf.DUMMYFUNCTION("""COMPUTED_VALUE"""),303.0)</f>
        <v>303</v>
      </c>
      <c r="E3033" s="1" t="str">
        <f t="array" ref="E3033">_xlfn.XLOOKUP(A3033,Product!A:A,Product!B:B,"Bulunamadı")</f>
        <v>Tech</v>
      </c>
      <c r="F3033" s="1" t="str">
        <f t="array" ref="F3033">_xlfn.XLOOKUP(A3033,Product!A:A,Product!C:C,"Bulunamadı")</f>
        <v>Winter Sports</v>
      </c>
      <c r="G3033" s="2" t="str">
        <f t="array" ref="G3033">_xlfn.XLOOKUP(A3034,Product!A:A,Product!D:D,"Bulunamadı")</f>
        <v>Cedarpoint Books</v>
      </c>
      <c r="H3033" s="2">
        <f t="array" ref="H3033">_xlfn.XLOOKUP(A3035,Product!A:A,Product!E:E,"Bulunamadı")</f>
        <v>4.34</v>
      </c>
      <c r="I3033" s="2" t="str">
        <f t="shared" si="1"/>
        <v>143825 - Tech - Winter Sports</v>
      </c>
      <c r="J3033" s="2">
        <f t="shared" si="2"/>
        <v>1315.02</v>
      </c>
      <c r="K3033" s="17">
        <f t="shared" si="3"/>
        <v>1</v>
      </c>
      <c r="L3033" s="18"/>
    </row>
    <row r="3034" hidden="1">
      <c r="A3034" s="2">
        <f>IFERROR(__xludf.DUMMYFUNCTION("""COMPUTED_VALUE"""),85232.0)</f>
        <v>85232</v>
      </c>
      <c r="B3034" s="2">
        <f>IFERROR(__xludf.DUMMYFUNCTION("""COMPUTED_VALUE"""),0.0)</f>
        <v>0</v>
      </c>
      <c r="C3034" s="2">
        <f>IFERROR(__xludf.DUMMYFUNCTION("""COMPUTED_VALUE"""),314.0)</f>
        <v>314</v>
      </c>
      <c r="D3034" s="3">
        <f>IFERROR(__xludf.DUMMYFUNCTION("""COMPUTED_VALUE"""),119.0)</f>
        <v>119</v>
      </c>
      <c r="E3034" s="1" t="str">
        <f t="array" ref="E3034">_xlfn.XLOOKUP(A3034,Product!A:A,Product!B:B,"Bulunamadı")</f>
        <v>Tech</v>
      </c>
      <c r="F3034" s="1" t="str">
        <f t="array" ref="F3034">_xlfn.XLOOKUP(A3034,Product!A:A,Product!C:C,"Bulunamadı")</f>
        <v>Winter Sports</v>
      </c>
      <c r="G3034" s="2" t="str">
        <f t="array" ref="G3034">_xlfn.XLOOKUP(A3035,Product!A:A,Product!D:D,"Bulunamadı")</f>
        <v>Cedarpoint Books</v>
      </c>
      <c r="H3034" s="2">
        <f t="array" ref="H3034">_xlfn.XLOOKUP(A3036,Product!A:A,Product!E:E,"Bulunamadı")</f>
        <v>3.78</v>
      </c>
      <c r="I3034" s="2" t="str">
        <f t="shared" si="1"/>
        <v>85232 - Tech - Winter Sports</v>
      </c>
      <c r="J3034" s="2">
        <f t="shared" si="2"/>
        <v>449.82</v>
      </c>
      <c r="K3034" s="17">
        <f t="shared" si="3"/>
        <v>1</v>
      </c>
      <c r="L3034" s="18"/>
    </row>
    <row r="3035" hidden="1">
      <c r="A3035" s="2">
        <f>IFERROR(__xludf.DUMMYFUNCTION("""COMPUTED_VALUE"""),79806.0)</f>
        <v>79806</v>
      </c>
      <c r="B3035" s="2">
        <f>IFERROR(__xludf.DUMMYFUNCTION("""COMPUTED_VALUE"""),0.0)</f>
        <v>0</v>
      </c>
      <c r="C3035" s="2">
        <f>IFERROR(__xludf.DUMMYFUNCTION("""COMPUTED_VALUE"""),773.0)</f>
        <v>773</v>
      </c>
      <c r="D3035" s="3">
        <f>IFERROR(__xludf.DUMMYFUNCTION("""COMPUTED_VALUE"""),456.0)</f>
        <v>456</v>
      </c>
      <c r="E3035" s="1" t="str">
        <f t="array" ref="E3035">_xlfn.XLOOKUP(A3035,Product!A:A,Product!B:B,"Bulunamadı")</f>
        <v>Tech</v>
      </c>
      <c r="F3035" s="1" t="str">
        <f t="array" ref="F3035">_xlfn.XLOOKUP(A3035,Product!A:A,Product!C:C,"Bulunamadı")</f>
        <v>Winter Sports</v>
      </c>
      <c r="G3035" s="2" t="str">
        <f t="array" ref="G3035">_xlfn.XLOOKUP(A3036,Product!A:A,Product!D:D,"Bulunamadı")</f>
        <v>Cedarpoint Books</v>
      </c>
      <c r="H3035" s="2">
        <f t="array" ref="H3035">_xlfn.XLOOKUP(A3037,Product!A:A,Product!E:E,"Bulunamadı")</f>
        <v>5.88</v>
      </c>
      <c r="I3035" s="2" t="str">
        <f t="shared" si="1"/>
        <v>79806 - Tech - Winter Sports</v>
      </c>
      <c r="J3035" s="2">
        <f t="shared" si="2"/>
        <v>2681.28</v>
      </c>
      <c r="K3035" s="17">
        <f t="shared" si="3"/>
        <v>1</v>
      </c>
      <c r="L3035" s="18"/>
    </row>
    <row r="3036" hidden="1">
      <c r="A3036" s="2">
        <f>IFERROR(__xludf.DUMMYFUNCTION("""COMPUTED_VALUE"""),46991.0)</f>
        <v>46991</v>
      </c>
      <c r="B3036" s="2">
        <f>IFERROR(__xludf.DUMMYFUNCTION("""COMPUTED_VALUE"""),0.0)</f>
        <v>0</v>
      </c>
      <c r="C3036" s="2">
        <f>IFERROR(__xludf.DUMMYFUNCTION("""COMPUTED_VALUE"""),106.0)</f>
        <v>106</v>
      </c>
      <c r="D3036" s="3">
        <f>IFERROR(__xludf.DUMMYFUNCTION("""COMPUTED_VALUE"""),37.0)</f>
        <v>37</v>
      </c>
      <c r="E3036" s="1" t="str">
        <f t="array" ref="E3036">_xlfn.XLOOKUP(A3036,Product!A:A,Product!B:B,"Bulunamadı")</f>
        <v>Tech</v>
      </c>
      <c r="F3036" s="1" t="str">
        <f t="array" ref="F3036">_xlfn.XLOOKUP(A3036,Product!A:A,Product!C:C,"Bulunamadı")</f>
        <v>Winter Sports</v>
      </c>
      <c r="G3036" s="2" t="str">
        <f t="array" ref="G3036">_xlfn.XLOOKUP(A3037,Product!A:A,Product!D:D,"Bulunamadı")</f>
        <v>Cedarpoint Books</v>
      </c>
      <c r="H3036" s="2">
        <f t="array" ref="H3036">_xlfn.XLOOKUP(A3038,Product!A:A,Product!E:E,"Bulunamadı")</f>
        <v>4.18</v>
      </c>
      <c r="I3036" s="2" t="str">
        <f t="shared" si="1"/>
        <v>46991 - Tech - Winter Sports</v>
      </c>
      <c r="J3036" s="2">
        <f t="shared" si="2"/>
        <v>154.66</v>
      </c>
      <c r="K3036" s="17">
        <f t="shared" si="3"/>
        <v>1</v>
      </c>
      <c r="L3036" s="18"/>
    </row>
    <row r="3037" hidden="1">
      <c r="A3037" s="2">
        <f>IFERROR(__xludf.DUMMYFUNCTION("""COMPUTED_VALUE"""),69360.0)</f>
        <v>69360</v>
      </c>
      <c r="B3037" s="2">
        <f>IFERROR(__xludf.DUMMYFUNCTION("""COMPUTED_VALUE"""),1.0)</f>
        <v>1</v>
      </c>
      <c r="C3037" s="2">
        <f>IFERROR(__xludf.DUMMYFUNCTION("""COMPUTED_VALUE"""),375.0)</f>
        <v>375</v>
      </c>
      <c r="D3037" s="3">
        <f>IFERROR(__xludf.DUMMYFUNCTION("""COMPUTED_VALUE"""),32.0)</f>
        <v>32</v>
      </c>
      <c r="E3037" s="1" t="str">
        <f t="array" ref="E3037">_xlfn.XLOOKUP(A3037,Product!A:A,Product!B:B,"Bulunamadı")</f>
        <v>Tech</v>
      </c>
      <c r="F3037" s="1" t="str">
        <f t="array" ref="F3037">_xlfn.XLOOKUP(A3037,Product!A:A,Product!C:C,"Bulunamadı")</f>
        <v>Winter Sports</v>
      </c>
      <c r="G3037" s="2" t="str">
        <f t="array" ref="G3037">_xlfn.XLOOKUP(A3038,Product!A:A,Product!D:D,"Bulunamadı")</f>
        <v>Cedarpoint Books</v>
      </c>
      <c r="H3037" s="2">
        <f t="array" ref="H3037">_xlfn.XLOOKUP(A3039,Product!A:A,Product!E:E,"Bulunamadı")</f>
        <v>3.13</v>
      </c>
      <c r="I3037" s="2" t="str">
        <f t="shared" si="1"/>
        <v>69360 - Tech - Winter Sports</v>
      </c>
      <c r="J3037" s="2">
        <f t="shared" si="2"/>
        <v>100.16</v>
      </c>
      <c r="K3037" s="17">
        <f t="shared" si="3"/>
        <v>1</v>
      </c>
      <c r="L3037" s="18"/>
    </row>
    <row r="3038" hidden="1">
      <c r="A3038" s="2">
        <f>IFERROR(__xludf.DUMMYFUNCTION("""COMPUTED_VALUE"""),110441.0)</f>
        <v>110441</v>
      </c>
      <c r="B3038" s="2">
        <f>IFERROR(__xludf.DUMMYFUNCTION("""COMPUTED_VALUE"""),1.0)</f>
        <v>1</v>
      </c>
      <c r="C3038" s="2">
        <f>IFERROR(__xludf.DUMMYFUNCTION("""COMPUTED_VALUE"""),606.0)</f>
        <v>606</v>
      </c>
      <c r="D3038" s="3">
        <f>IFERROR(__xludf.DUMMYFUNCTION("""COMPUTED_VALUE"""),56.0)</f>
        <v>56</v>
      </c>
      <c r="E3038" s="1" t="str">
        <f t="array" ref="E3038">_xlfn.XLOOKUP(A3038,Product!A:A,Product!B:B,"Bulunamadı")</f>
        <v>Tech</v>
      </c>
      <c r="F3038" s="1" t="str">
        <f t="array" ref="F3038">_xlfn.XLOOKUP(A3038,Product!A:A,Product!C:C,"Bulunamadı")</f>
        <v>Winter Sports</v>
      </c>
      <c r="G3038" s="2" t="str">
        <f t="array" ref="G3038">_xlfn.XLOOKUP(A3039,Product!A:A,Product!D:D,"Bulunamadı")</f>
        <v>Cedarpoint Books</v>
      </c>
      <c r="H3038" s="2">
        <f t="array" ref="H3038">_xlfn.XLOOKUP(A3040,Product!A:A,Product!E:E,"Bulunamadı")</f>
        <v>4.19</v>
      </c>
      <c r="I3038" s="2" t="str">
        <f t="shared" si="1"/>
        <v>110441 - Tech - Winter Sports</v>
      </c>
      <c r="J3038" s="2">
        <f t="shared" si="2"/>
        <v>234.64</v>
      </c>
      <c r="K3038" s="17">
        <f t="shared" si="3"/>
        <v>1</v>
      </c>
      <c r="L3038" s="18"/>
    </row>
    <row r="3039" hidden="1">
      <c r="A3039" s="2">
        <f>IFERROR(__xludf.DUMMYFUNCTION("""COMPUTED_VALUE"""),120781.0)</f>
        <v>120781</v>
      </c>
      <c r="B3039" s="2">
        <f>IFERROR(__xludf.DUMMYFUNCTION("""COMPUTED_VALUE"""),1.0)</f>
        <v>1</v>
      </c>
      <c r="C3039" s="2">
        <f>IFERROR(__xludf.DUMMYFUNCTION("""COMPUTED_VALUE"""),708.0)</f>
        <v>708</v>
      </c>
      <c r="D3039" s="3">
        <f>IFERROR(__xludf.DUMMYFUNCTION("""COMPUTED_VALUE"""),331.0)</f>
        <v>331</v>
      </c>
      <c r="E3039" s="1" t="str">
        <f t="array" ref="E3039">_xlfn.XLOOKUP(A3039,Product!A:A,Product!B:B,"Bulunamadı")</f>
        <v>Tech</v>
      </c>
      <c r="F3039" s="1" t="str">
        <f t="array" ref="F3039">_xlfn.XLOOKUP(A3039,Product!A:A,Product!C:C,"Bulunamadı")</f>
        <v>Winter Sports</v>
      </c>
      <c r="G3039" s="2" t="str">
        <f t="array" ref="G3039">_xlfn.XLOOKUP(A3040,Product!A:A,Product!D:D,"Bulunamadı")</f>
        <v>Cedarpoint Books</v>
      </c>
      <c r="H3039" s="2">
        <f t="array" ref="H3039">_xlfn.XLOOKUP(A3041,Product!A:A,Product!E:E,"Bulunamadı")</f>
        <v>6.64</v>
      </c>
      <c r="I3039" s="2" t="str">
        <f t="shared" si="1"/>
        <v>120781 - Tech - Winter Sports</v>
      </c>
      <c r="J3039" s="2">
        <f t="shared" si="2"/>
        <v>2197.84</v>
      </c>
      <c r="K3039" s="17">
        <f t="shared" si="3"/>
        <v>1</v>
      </c>
      <c r="L3039" s="18"/>
    </row>
    <row r="3040" hidden="1">
      <c r="A3040" s="2">
        <f>IFERROR(__xludf.DUMMYFUNCTION("""COMPUTED_VALUE"""),79809.0)</f>
        <v>79809</v>
      </c>
      <c r="B3040" s="2">
        <f>IFERROR(__xludf.DUMMYFUNCTION("""COMPUTED_VALUE"""),1.0)</f>
        <v>1</v>
      </c>
      <c r="C3040" s="2">
        <f>IFERROR(__xludf.DUMMYFUNCTION("""COMPUTED_VALUE"""),287.0)</f>
        <v>287</v>
      </c>
      <c r="D3040" s="3">
        <f>IFERROR(__xludf.DUMMYFUNCTION("""COMPUTED_VALUE"""),152.0)</f>
        <v>152</v>
      </c>
      <c r="E3040" s="1" t="str">
        <f t="array" ref="E3040">_xlfn.XLOOKUP(A3040,Product!A:A,Product!B:B,"Bulunamadı")</f>
        <v>Tech</v>
      </c>
      <c r="F3040" s="1" t="str">
        <f t="array" ref="F3040">_xlfn.XLOOKUP(A3040,Product!A:A,Product!C:C,"Bulunamadı")</f>
        <v>Winter Sports</v>
      </c>
      <c r="G3040" s="2" t="str">
        <f t="array" ref="G3040">_xlfn.XLOOKUP(A3041,Product!A:A,Product!D:D,"Bulunamadı")</f>
        <v>Cedarpoint Books</v>
      </c>
      <c r="H3040" s="2">
        <f t="array" ref="H3040">_xlfn.XLOOKUP(A3042,Product!A:A,Product!E:E,"Bulunamadı")</f>
        <v>4.49</v>
      </c>
      <c r="I3040" s="2" t="str">
        <f t="shared" si="1"/>
        <v>79809 - Tech - Winter Sports</v>
      </c>
      <c r="J3040" s="2">
        <f t="shared" si="2"/>
        <v>682.48</v>
      </c>
      <c r="K3040" s="17">
        <f t="shared" si="3"/>
        <v>1</v>
      </c>
      <c r="L3040" s="18"/>
    </row>
    <row r="3041" hidden="1">
      <c r="A3041" s="2">
        <f>IFERROR(__xludf.DUMMYFUNCTION("""COMPUTED_VALUE"""),45057.0)</f>
        <v>45057</v>
      </c>
      <c r="B3041" s="2">
        <f>IFERROR(__xludf.DUMMYFUNCTION("""COMPUTED_VALUE"""),1.0)</f>
        <v>1</v>
      </c>
      <c r="C3041" s="2">
        <f>IFERROR(__xludf.DUMMYFUNCTION("""COMPUTED_VALUE"""),892.0)</f>
        <v>892</v>
      </c>
      <c r="D3041" s="3">
        <f>IFERROR(__xludf.DUMMYFUNCTION("""COMPUTED_VALUE"""),676.0)</f>
        <v>676</v>
      </c>
      <c r="E3041" s="1" t="str">
        <f t="array" ref="E3041">_xlfn.XLOOKUP(A3041,Product!A:A,Product!B:B,"Bulunamadı")</f>
        <v>Tech</v>
      </c>
      <c r="F3041" s="1" t="str">
        <f t="array" ref="F3041">_xlfn.XLOOKUP(A3041,Product!A:A,Product!C:C,"Bulunamadı")</f>
        <v>Winter Sports</v>
      </c>
      <c r="G3041" s="2" t="str">
        <f t="array" ref="G3041">_xlfn.XLOOKUP(A3042,Product!A:A,Product!D:D,"Bulunamadı")</f>
        <v>Cedarpoint Books</v>
      </c>
      <c r="H3041" s="2">
        <f t="array" ref="H3041">_xlfn.XLOOKUP(A3043,Product!A:A,Product!E:E,"Bulunamadı")</f>
        <v>6.72</v>
      </c>
      <c r="I3041" s="2" t="str">
        <f t="shared" si="1"/>
        <v>45057 - Tech - Winter Sports</v>
      </c>
      <c r="J3041" s="2">
        <f t="shared" si="2"/>
        <v>4542.72</v>
      </c>
      <c r="K3041" s="17">
        <f t="shared" si="3"/>
        <v>1</v>
      </c>
      <c r="L3041" s="18"/>
    </row>
    <row r="3042" hidden="1">
      <c r="A3042" s="2">
        <f>IFERROR(__xludf.DUMMYFUNCTION("""COMPUTED_VALUE"""),79805.0)</f>
        <v>79805</v>
      </c>
      <c r="B3042" s="2">
        <f>IFERROR(__xludf.DUMMYFUNCTION("""COMPUTED_VALUE"""),1.0)</f>
        <v>1</v>
      </c>
      <c r="C3042" s="2">
        <f>IFERROR(__xludf.DUMMYFUNCTION("""COMPUTED_VALUE"""),227.0)</f>
        <v>227</v>
      </c>
      <c r="D3042" s="3">
        <f>IFERROR(__xludf.DUMMYFUNCTION("""COMPUTED_VALUE"""),194.0)</f>
        <v>194</v>
      </c>
      <c r="E3042" s="1" t="str">
        <f t="array" ref="E3042">_xlfn.XLOOKUP(A3042,Product!A:A,Product!B:B,"Bulunamadı")</f>
        <v>Tech</v>
      </c>
      <c r="F3042" s="1" t="str">
        <f t="array" ref="F3042">_xlfn.XLOOKUP(A3042,Product!A:A,Product!C:C,"Bulunamadı")</f>
        <v>Winter Sports</v>
      </c>
      <c r="G3042" s="2" t="str">
        <f t="array" ref="G3042">_xlfn.XLOOKUP(A3043,Product!A:A,Product!D:D,"Bulunamadı")</f>
        <v>Cedarpoint Books</v>
      </c>
      <c r="H3042" s="2">
        <f t="array" ref="H3042">_xlfn.XLOOKUP(A3044,Product!A:A,Product!E:E,"Bulunamadı")</f>
        <v>3.17</v>
      </c>
      <c r="I3042" s="2" t="str">
        <f t="shared" si="1"/>
        <v>79805 - Tech - Winter Sports</v>
      </c>
      <c r="J3042" s="2">
        <f t="shared" si="2"/>
        <v>614.98</v>
      </c>
      <c r="K3042" s="17">
        <f t="shared" si="3"/>
        <v>1</v>
      </c>
      <c r="L3042" s="18"/>
    </row>
    <row r="3043" hidden="1">
      <c r="A3043" s="2">
        <f>IFERROR(__xludf.DUMMYFUNCTION("""COMPUTED_VALUE"""),45707.0)</f>
        <v>45707</v>
      </c>
      <c r="B3043" s="2">
        <f>IFERROR(__xludf.DUMMYFUNCTION("""COMPUTED_VALUE"""),1.0)</f>
        <v>1</v>
      </c>
      <c r="C3043" s="2">
        <f>IFERROR(__xludf.DUMMYFUNCTION("""COMPUTED_VALUE"""),222.0)</f>
        <v>222</v>
      </c>
      <c r="D3043" s="3">
        <f>IFERROR(__xludf.DUMMYFUNCTION("""COMPUTED_VALUE"""),90.0)</f>
        <v>90</v>
      </c>
      <c r="E3043" s="1" t="str">
        <f t="array" ref="E3043">_xlfn.XLOOKUP(A3043,Product!A:A,Product!B:B,"Bulunamadı")</f>
        <v>Tech</v>
      </c>
      <c r="F3043" s="1" t="str">
        <f t="array" ref="F3043">_xlfn.XLOOKUP(A3043,Product!A:A,Product!C:C,"Bulunamadı")</f>
        <v>Winter Sports</v>
      </c>
      <c r="G3043" s="2" t="str">
        <f t="array" ref="G3043">_xlfn.XLOOKUP(A3044,Product!A:A,Product!D:D,"Bulunamadı")</f>
        <v>Brightpoint Press</v>
      </c>
      <c r="H3043" s="2">
        <f t="array" ref="H3043">_xlfn.XLOOKUP(A3045,Product!A:A,Product!E:E,"Bulunamadı")</f>
        <v>5.22</v>
      </c>
      <c r="I3043" s="2" t="str">
        <f t="shared" si="1"/>
        <v>45707 - Tech - Winter Sports</v>
      </c>
      <c r="J3043" s="2">
        <f t="shared" si="2"/>
        <v>469.8</v>
      </c>
      <c r="K3043" s="17">
        <f t="shared" si="3"/>
        <v>1</v>
      </c>
      <c r="L3043" s="18"/>
    </row>
    <row r="3044" hidden="1">
      <c r="A3044" s="2">
        <f>IFERROR(__xludf.DUMMYFUNCTION("""COMPUTED_VALUE"""),117282.0)</f>
        <v>117282</v>
      </c>
      <c r="B3044" s="2">
        <f>IFERROR(__xludf.DUMMYFUNCTION("""COMPUTED_VALUE"""),1.0)</f>
        <v>1</v>
      </c>
      <c r="C3044" s="2">
        <f>IFERROR(__xludf.DUMMYFUNCTION("""COMPUTED_VALUE"""),227.0)</f>
        <v>227</v>
      </c>
      <c r="D3044" s="3">
        <f>IFERROR(__xludf.DUMMYFUNCTION("""COMPUTED_VALUE"""),155.0)</f>
        <v>155</v>
      </c>
      <c r="E3044" s="1" t="str">
        <f t="array" ref="E3044">_xlfn.XLOOKUP(A3044,Product!A:A,Product!B:B,"Bulunamadı")</f>
        <v>Tech</v>
      </c>
      <c r="F3044" s="1" t="str">
        <f t="array" ref="F3044">_xlfn.XLOOKUP(A3044,Product!A:A,Product!C:C,"Bulunamadı")</f>
        <v>Winter Sports</v>
      </c>
      <c r="G3044" s="2" t="str">
        <f t="array" ref="G3044">_xlfn.XLOOKUP(A3045,Product!A:A,Product!D:D,"Bulunamadı")</f>
        <v>Brightpoint Press</v>
      </c>
      <c r="H3044" s="2">
        <f t="array" ref="H3044">_xlfn.XLOOKUP(A3046,Product!A:A,Product!E:E,"Bulunamadı")</f>
        <v>3.83</v>
      </c>
      <c r="I3044" s="2" t="str">
        <f t="shared" si="1"/>
        <v>117282 - Tech - Winter Sports</v>
      </c>
      <c r="J3044" s="2">
        <f t="shared" si="2"/>
        <v>593.65</v>
      </c>
      <c r="K3044" s="17">
        <f t="shared" si="3"/>
        <v>1</v>
      </c>
      <c r="L3044" s="18"/>
    </row>
    <row r="3045" hidden="1">
      <c r="A3045" s="2">
        <f>IFERROR(__xludf.DUMMYFUNCTION("""COMPUTED_VALUE"""),30503.0)</f>
        <v>30503</v>
      </c>
      <c r="B3045" s="2">
        <f>IFERROR(__xludf.DUMMYFUNCTION("""COMPUTED_VALUE"""),1.0)</f>
        <v>1</v>
      </c>
      <c r="C3045" s="2">
        <f>IFERROR(__xludf.DUMMYFUNCTION("""COMPUTED_VALUE"""),767.0)</f>
        <v>767</v>
      </c>
      <c r="D3045" s="3">
        <f>IFERROR(__xludf.DUMMYFUNCTION("""COMPUTED_VALUE"""),36.0)</f>
        <v>36</v>
      </c>
      <c r="E3045" s="1" t="str">
        <f t="array" ref="E3045">_xlfn.XLOOKUP(A3045,Product!A:A,Product!B:B,"Bulunamadı")</f>
        <v>Tech</v>
      </c>
      <c r="F3045" s="1" t="str">
        <f t="array" ref="F3045">_xlfn.XLOOKUP(A3045,Product!A:A,Product!C:C,"Bulunamadı")</f>
        <v>Winter Sports</v>
      </c>
      <c r="G3045" s="2" t="str">
        <f t="array" ref="G3045">_xlfn.XLOOKUP(A3046,Product!A:A,Product!D:D,"Bulunamadı")</f>
        <v>Brightpoint Press</v>
      </c>
      <c r="H3045" s="2">
        <f t="array" ref="H3045">_xlfn.XLOOKUP(A3047,Product!A:A,Product!E:E,"Bulunamadı")</f>
        <v>2.76</v>
      </c>
      <c r="I3045" s="2" t="str">
        <f t="shared" si="1"/>
        <v>30503 - Tech - Winter Sports</v>
      </c>
      <c r="J3045" s="2">
        <f t="shared" si="2"/>
        <v>99.36</v>
      </c>
      <c r="K3045" s="17">
        <f t="shared" si="3"/>
        <v>1</v>
      </c>
      <c r="L3045" s="18"/>
    </row>
    <row r="3046" hidden="1">
      <c r="A3046" s="2">
        <f>IFERROR(__xludf.DUMMYFUNCTION("""COMPUTED_VALUE"""),187336.0)</f>
        <v>187336</v>
      </c>
      <c r="B3046" s="2">
        <f>IFERROR(__xludf.DUMMYFUNCTION("""COMPUTED_VALUE"""),1.0)</f>
        <v>1</v>
      </c>
      <c r="C3046" s="2">
        <f>IFERROR(__xludf.DUMMYFUNCTION("""COMPUTED_VALUE"""),111.0)</f>
        <v>111</v>
      </c>
      <c r="D3046" s="3">
        <f>IFERROR(__xludf.DUMMYFUNCTION("""COMPUTED_VALUE"""),4.0)</f>
        <v>4</v>
      </c>
      <c r="E3046" s="1" t="str">
        <f t="array" ref="E3046">_xlfn.XLOOKUP(A3046,Product!A:A,Product!B:B,"Bulunamadı")</f>
        <v>Tech</v>
      </c>
      <c r="F3046" s="1" t="str">
        <f t="array" ref="F3046">_xlfn.XLOOKUP(A3046,Product!A:A,Product!C:C,"Bulunamadı")</f>
        <v>Winter Sports</v>
      </c>
      <c r="G3046" s="2" t="str">
        <f t="array" ref="G3046">_xlfn.XLOOKUP(A3047,Product!A:A,Product!D:D,"Bulunamadı")</f>
        <v>Brightpoint Press</v>
      </c>
      <c r="H3046" s="2">
        <f t="array" ref="H3046">_xlfn.XLOOKUP(A3048,Product!A:A,Product!E:E,"Bulunamadı")</f>
        <v>2.9</v>
      </c>
      <c r="I3046" s="2" t="str">
        <f t="shared" si="1"/>
        <v>187336 - Tech - Winter Sports</v>
      </c>
      <c r="J3046" s="2">
        <f t="shared" si="2"/>
        <v>11.6</v>
      </c>
      <c r="K3046" s="17">
        <f t="shared" si="3"/>
        <v>1</v>
      </c>
      <c r="L3046" s="18"/>
    </row>
    <row r="3047" hidden="1">
      <c r="A3047" s="2">
        <f>IFERROR(__xludf.DUMMYFUNCTION("""COMPUTED_VALUE"""),82427.0)</f>
        <v>82427</v>
      </c>
      <c r="B3047" s="2">
        <f>IFERROR(__xludf.DUMMYFUNCTION("""COMPUTED_VALUE"""),1.0)</f>
        <v>1</v>
      </c>
      <c r="C3047" s="2">
        <f>IFERROR(__xludf.DUMMYFUNCTION("""COMPUTED_VALUE"""),399.0)</f>
        <v>399</v>
      </c>
      <c r="D3047" s="3">
        <f>IFERROR(__xludf.DUMMYFUNCTION("""COMPUTED_VALUE"""),88.0)</f>
        <v>88</v>
      </c>
      <c r="E3047" s="1" t="str">
        <f t="array" ref="E3047">_xlfn.XLOOKUP(A3047,Product!A:A,Product!B:B,"Bulunamadı")</f>
        <v>Tech</v>
      </c>
      <c r="F3047" s="1" t="str">
        <f t="array" ref="F3047">_xlfn.XLOOKUP(A3047,Product!A:A,Product!C:C,"Bulunamadı")</f>
        <v>Winter Sports</v>
      </c>
      <c r="G3047" s="2" t="str">
        <f t="array" ref="G3047">_xlfn.XLOOKUP(A3048,Product!A:A,Product!D:D,"Bulunamadı")</f>
        <v>Brightpoint Press</v>
      </c>
      <c r="H3047" s="2">
        <f t="array" ref="H3047">_xlfn.XLOOKUP(A3049,Product!A:A,Product!E:E,"Bulunamadı")</f>
        <v>4.73</v>
      </c>
      <c r="I3047" s="2" t="str">
        <f t="shared" si="1"/>
        <v>82427 - Tech - Winter Sports</v>
      </c>
      <c r="J3047" s="2">
        <f t="shared" si="2"/>
        <v>416.24</v>
      </c>
      <c r="K3047" s="17">
        <f t="shared" si="3"/>
        <v>1</v>
      </c>
      <c r="L3047" s="18"/>
    </row>
    <row r="3048" hidden="1">
      <c r="A3048" s="2">
        <f>IFERROR(__xludf.DUMMYFUNCTION("""COMPUTED_VALUE"""),11000.0)</f>
        <v>11000</v>
      </c>
      <c r="B3048" s="2">
        <f>IFERROR(__xludf.DUMMYFUNCTION("""COMPUTED_VALUE"""),0.0)</f>
        <v>0</v>
      </c>
      <c r="C3048" s="2">
        <f>IFERROR(__xludf.DUMMYFUNCTION("""COMPUTED_VALUE"""),49.0)</f>
        <v>49</v>
      </c>
      <c r="D3048" s="3">
        <f>IFERROR(__xludf.DUMMYFUNCTION("""COMPUTED_VALUE"""),6.0)</f>
        <v>6</v>
      </c>
      <c r="E3048" s="1" t="str">
        <f t="array" ref="E3048">_xlfn.XLOOKUP(A3048,Product!A:A,Product!B:B,"Bulunamadı")</f>
        <v>Tech</v>
      </c>
      <c r="F3048" s="1" t="str">
        <f t="array" ref="F3048">_xlfn.XLOOKUP(A3048,Product!A:A,Product!C:C,"Bulunamadı")</f>
        <v>Winter Sports</v>
      </c>
      <c r="G3048" s="2" t="str">
        <f t="array" ref="G3048">_xlfn.XLOOKUP(A3049,Product!A:A,Product!D:D,"Bulunamadı")</f>
        <v>Brightpoint Press</v>
      </c>
      <c r="H3048" s="2">
        <f t="array" ref="H3048">_xlfn.XLOOKUP(A3050,Product!A:A,Product!E:E,"Bulunamadı")</f>
        <v>6.5</v>
      </c>
      <c r="I3048" s="2" t="str">
        <f t="shared" si="1"/>
        <v>11000 - Tech - Winter Sports</v>
      </c>
      <c r="J3048" s="2">
        <f t="shared" si="2"/>
        <v>39</v>
      </c>
      <c r="K3048" s="17">
        <f t="shared" si="3"/>
        <v>1</v>
      </c>
      <c r="L3048" s="18"/>
    </row>
    <row r="3049" hidden="1">
      <c r="A3049" s="2">
        <f>IFERROR(__xludf.DUMMYFUNCTION("""COMPUTED_VALUE"""),117274.0)</f>
        <v>117274</v>
      </c>
      <c r="B3049" s="2">
        <f>IFERROR(__xludf.DUMMYFUNCTION("""COMPUTED_VALUE"""),0.0)</f>
        <v>0</v>
      </c>
      <c r="C3049" s="2">
        <f>IFERROR(__xludf.DUMMYFUNCTION("""COMPUTED_VALUE"""),153.0)</f>
        <v>153</v>
      </c>
      <c r="D3049" s="3">
        <f>IFERROR(__xludf.DUMMYFUNCTION("""COMPUTED_VALUE"""),62.0)</f>
        <v>62</v>
      </c>
      <c r="E3049" s="1" t="str">
        <f t="array" ref="E3049">_xlfn.XLOOKUP(A3049,Product!A:A,Product!B:B,"Bulunamadı")</f>
        <v>Tech</v>
      </c>
      <c r="F3049" s="1" t="str">
        <f t="array" ref="F3049">_xlfn.XLOOKUP(A3049,Product!A:A,Product!C:C,"Bulunamadı")</f>
        <v>Winter Sports</v>
      </c>
      <c r="G3049" s="2" t="str">
        <f t="array" ref="G3049">_xlfn.XLOOKUP(A3050,Product!A:A,Product!D:D,"Bulunamadı")</f>
        <v>Brightpoint Press</v>
      </c>
      <c r="H3049" s="2">
        <f t="array" ref="H3049">_xlfn.XLOOKUP(A3051,Product!A:A,Product!E:E,"Bulunamadı")</f>
        <v>4.47</v>
      </c>
      <c r="I3049" s="2" t="str">
        <f t="shared" si="1"/>
        <v>117274 - Tech - Winter Sports</v>
      </c>
      <c r="J3049" s="2">
        <f t="shared" si="2"/>
        <v>277.14</v>
      </c>
      <c r="K3049" s="17">
        <f t="shared" si="3"/>
        <v>1</v>
      </c>
      <c r="L3049" s="18"/>
    </row>
    <row r="3050" hidden="1">
      <c r="A3050" s="2">
        <f>IFERROR(__xludf.DUMMYFUNCTION("""COMPUTED_VALUE"""),117445.0)</f>
        <v>117445</v>
      </c>
      <c r="B3050" s="2">
        <f>IFERROR(__xludf.DUMMYFUNCTION("""COMPUTED_VALUE"""),1.0)</f>
        <v>1</v>
      </c>
      <c r="C3050" s="2">
        <f>IFERROR(__xludf.DUMMYFUNCTION("""COMPUTED_VALUE"""),735.0)</f>
        <v>735</v>
      </c>
      <c r="D3050" s="3">
        <f>IFERROR(__xludf.DUMMYFUNCTION("""COMPUTED_VALUE"""),572.0)</f>
        <v>572</v>
      </c>
      <c r="E3050" s="1" t="str">
        <f t="array" ref="E3050">_xlfn.XLOOKUP(A3050,Product!A:A,Product!B:B,"Bulunamadı")</f>
        <v>Tech</v>
      </c>
      <c r="F3050" s="1" t="str">
        <f t="array" ref="F3050">_xlfn.XLOOKUP(A3050,Product!A:A,Product!C:C,"Bulunamadı")</f>
        <v>Winter Sports</v>
      </c>
      <c r="G3050" s="2" t="str">
        <f t="array" ref="G3050">_xlfn.XLOOKUP(A3051,Product!A:A,Product!D:D,"Bulunamadı")</f>
        <v>Brightpoint Press</v>
      </c>
      <c r="H3050" s="2">
        <f t="array" ref="H3050">_xlfn.XLOOKUP(A3052,Product!A:A,Product!E:E,"Bulunamadı")</f>
        <v>6.08</v>
      </c>
      <c r="I3050" s="2" t="str">
        <f t="shared" si="1"/>
        <v>117445 - Tech - Winter Sports</v>
      </c>
      <c r="J3050" s="2">
        <f t="shared" si="2"/>
        <v>3477.76</v>
      </c>
      <c r="K3050" s="17">
        <f t="shared" si="3"/>
        <v>1</v>
      </c>
      <c r="L3050" s="18"/>
    </row>
    <row r="3051" hidden="1">
      <c r="A3051" s="2">
        <f>IFERROR(__xludf.DUMMYFUNCTION("""COMPUTED_VALUE"""),103246.0)</f>
        <v>103246</v>
      </c>
      <c r="B3051" s="2">
        <f>IFERROR(__xludf.DUMMYFUNCTION("""COMPUTED_VALUE"""),0.0)</f>
        <v>0</v>
      </c>
      <c r="C3051" s="2">
        <f>IFERROR(__xludf.DUMMYFUNCTION("""COMPUTED_VALUE"""),282.0)</f>
        <v>282</v>
      </c>
      <c r="D3051" s="3">
        <f>IFERROR(__xludf.DUMMYFUNCTION("""COMPUTED_VALUE"""),185.0)</f>
        <v>185</v>
      </c>
      <c r="E3051" s="1" t="str">
        <f t="array" ref="E3051">_xlfn.XLOOKUP(A3051,Product!A:A,Product!B:B,"Bulunamadı")</f>
        <v>Tech</v>
      </c>
      <c r="F3051" s="1" t="str">
        <f t="array" ref="F3051">_xlfn.XLOOKUP(A3051,Product!A:A,Product!C:C,"Bulunamadı")</f>
        <v>Winter Sports</v>
      </c>
      <c r="G3051" s="2" t="str">
        <f t="array" ref="G3051">_xlfn.XLOOKUP(A3052,Product!A:A,Product!D:D,"Bulunamadı")</f>
        <v>Brightpoint Press</v>
      </c>
      <c r="H3051" s="2">
        <f t="array" ref="H3051">_xlfn.XLOOKUP(A3053,Product!A:A,Product!E:E,"Bulunamadı")</f>
        <v>4.62</v>
      </c>
      <c r="I3051" s="2" t="str">
        <f t="shared" si="1"/>
        <v>103246 - Tech - Winter Sports</v>
      </c>
      <c r="J3051" s="2">
        <f t="shared" si="2"/>
        <v>854.7</v>
      </c>
      <c r="K3051" s="17">
        <f t="shared" si="3"/>
        <v>1</v>
      </c>
      <c r="L3051" s="18"/>
    </row>
    <row r="3052" hidden="1">
      <c r="A3052" s="2">
        <f>IFERROR(__xludf.DUMMYFUNCTION("""COMPUTED_VALUE"""),92626.0)</f>
        <v>92626</v>
      </c>
      <c r="B3052" s="2">
        <f>IFERROR(__xludf.DUMMYFUNCTION("""COMPUTED_VALUE"""),1.0)</f>
        <v>1</v>
      </c>
      <c r="C3052" s="2">
        <f>IFERROR(__xludf.DUMMYFUNCTION("""COMPUTED_VALUE"""),151.0)</f>
        <v>151</v>
      </c>
      <c r="D3052" s="3">
        <f>IFERROR(__xludf.DUMMYFUNCTION("""COMPUTED_VALUE"""),138.0)</f>
        <v>138</v>
      </c>
      <c r="E3052" s="1" t="str">
        <f t="array" ref="E3052">_xlfn.XLOOKUP(A3052,Product!A:A,Product!B:B,"Bulunamadı")</f>
        <v>Tech</v>
      </c>
      <c r="F3052" s="1" t="str">
        <f t="array" ref="F3052">_xlfn.XLOOKUP(A3052,Product!A:A,Product!C:C,"Bulunamadı")</f>
        <v>Winter Sports</v>
      </c>
      <c r="G3052" s="2" t="str">
        <f t="array" ref="G3052">_xlfn.XLOOKUP(A3053,Product!A:A,Product!D:D,"Bulunamadı")</f>
        <v>Brightpoint Press</v>
      </c>
      <c r="H3052" s="2">
        <f t="array" ref="H3052">_xlfn.XLOOKUP(A3054,Product!A:A,Product!E:E,"Bulunamadı")</f>
        <v>2.66</v>
      </c>
      <c r="I3052" s="2" t="str">
        <f t="shared" si="1"/>
        <v>92626 - Tech - Winter Sports</v>
      </c>
      <c r="J3052" s="2">
        <f t="shared" si="2"/>
        <v>367.08</v>
      </c>
      <c r="K3052" s="17">
        <f t="shared" si="3"/>
        <v>1</v>
      </c>
      <c r="L3052" s="18"/>
    </row>
    <row r="3053" hidden="1">
      <c r="A3053" s="2">
        <f>IFERROR(__xludf.DUMMYFUNCTION("""COMPUTED_VALUE"""),79352.0)</f>
        <v>79352</v>
      </c>
      <c r="B3053" s="2">
        <f>IFERROR(__xludf.DUMMYFUNCTION("""COMPUTED_VALUE"""),0.0)</f>
        <v>0</v>
      </c>
      <c r="C3053" s="2">
        <f>IFERROR(__xludf.DUMMYFUNCTION("""COMPUTED_VALUE"""),9.0)</f>
        <v>9</v>
      </c>
      <c r="D3053" s="3">
        <f>IFERROR(__xludf.DUMMYFUNCTION("""COMPUTED_VALUE"""),4.0)</f>
        <v>4</v>
      </c>
      <c r="E3053" s="1" t="str">
        <f t="array" ref="E3053">_xlfn.XLOOKUP(A3053,Product!A:A,Product!B:B,"Bulunamadı")</f>
        <v>Tech</v>
      </c>
      <c r="F3053" s="1" t="str">
        <f t="array" ref="F3053">_xlfn.XLOOKUP(A3053,Product!A:A,Product!C:C,"Bulunamadı")</f>
        <v>Winter Sports</v>
      </c>
      <c r="G3053" s="2" t="str">
        <f t="array" ref="G3053">_xlfn.XLOOKUP(A3054,Product!A:A,Product!D:D,"Bulunamadı")</f>
        <v>Brightpoint Press</v>
      </c>
      <c r="H3053" s="2">
        <f t="array" ref="H3053">_xlfn.XLOOKUP(A3055,Product!A:A,Product!E:E,"Bulunamadı")</f>
        <v>4.74</v>
      </c>
      <c r="I3053" s="2" t="str">
        <f t="shared" si="1"/>
        <v>79352 - Tech - Winter Sports</v>
      </c>
      <c r="J3053" s="2">
        <f t="shared" si="2"/>
        <v>18.96</v>
      </c>
      <c r="K3053" s="17">
        <f t="shared" si="3"/>
        <v>1</v>
      </c>
      <c r="L3053" s="18"/>
    </row>
    <row r="3054" hidden="1">
      <c r="A3054" s="2">
        <f>IFERROR(__xludf.DUMMYFUNCTION("""COMPUTED_VALUE"""),128315.0)</f>
        <v>128315</v>
      </c>
      <c r="B3054" s="2">
        <f>IFERROR(__xludf.DUMMYFUNCTION("""COMPUTED_VALUE"""),1.0)</f>
        <v>1</v>
      </c>
      <c r="C3054" s="2">
        <f>IFERROR(__xludf.DUMMYFUNCTION("""COMPUTED_VALUE"""),506.0)</f>
        <v>506</v>
      </c>
      <c r="D3054" s="3">
        <f>IFERROR(__xludf.DUMMYFUNCTION("""COMPUTED_VALUE"""),97.0)</f>
        <v>97</v>
      </c>
      <c r="E3054" s="1" t="str">
        <f t="array" ref="E3054">_xlfn.XLOOKUP(A3054,Product!A:A,Product!B:B,"Bulunamadı")</f>
        <v>Tech</v>
      </c>
      <c r="F3054" s="1" t="str">
        <f t="array" ref="F3054">_xlfn.XLOOKUP(A3054,Product!A:A,Product!C:C,"Bulunamadı")</f>
        <v>Winter Sports</v>
      </c>
      <c r="G3054" s="2" t="str">
        <f t="array" ref="G3054">_xlfn.XLOOKUP(A3055,Product!A:A,Product!D:D,"Bulunamadı")</f>
        <v>Brightpoint Press</v>
      </c>
      <c r="H3054" s="2">
        <f t="array" ref="H3054">_xlfn.XLOOKUP(A3056,Product!A:A,Product!E:E,"Bulunamadı")</f>
        <v>2.66</v>
      </c>
      <c r="I3054" s="2" t="str">
        <f t="shared" si="1"/>
        <v>128315 - Tech - Winter Sports</v>
      </c>
      <c r="J3054" s="2">
        <f t="shared" si="2"/>
        <v>258.02</v>
      </c>
      <c r="K3054" s="17">
        <f t="shared" si="3"/>
        <v>1</v>
      </c>
      <c r="L3054" s="18"/>
    </row>
    <row r="3055" hidden="1">
      <c r="A3055" s="2">
        <f>IFERROR(__xludf.DUMMYFUNCTION("""COMPUTED_VALUE"""),117272.0)</f>
        <v>117272</v>
      </c>
      <c r="B3055" s="2">
        <f>IFERROR(__xludf.DUMMYFUNCTION("""COMPUTED_VALUE"""),1.0)</f>
        <v>1</v>
      </c>
      <c r="C3055" s="2">
        <f>IFERROR(__xludf.DUMMYFUNCTION("""COMPUTED_VALUE"""),783.0)</f>
        <v>783</v>
      </c>
      <c r="D3055" s="3">
        <f>IFERROR(__xludf.DUMMYFUNCTION("""COMPUTED_VALUE"""),402.0)</f>
        <v>402</v>
      </c>
      <c r="E3055" s="1" t="str">
        <f t="array" ref="E3055">_xlfn.XLOOKUP(A3055,Product!A:A,Product!B:B,"Bulunamadı")</f>
        <v>Tech</v>
      </c>
      <c r="F3055" s="1" t="str">
        <f t="array" ref="F3055">_xlfn.XLOOKUP(A3055,Product!A:A,Product!C:C,"Bulunamadı")</f>
        <v>Winter Sports</v>
      </c>
      <c r="G3055" s="2" t="str">
        <f t="array" ref="G3055">_xlfn.XLOOKUP(A3056,Product!A:A,Product!D:D,"Bulunamadı")</f>
        <v>Brightpoint Press</v>
      </c>
      <c r="H3055" s="2">
        <f t="array" ref="H3055">_xlfn.XLOOKUP(A3057,Product!A:A,Product!E:E,"Bulunamadı")</f>
        <v>5</v>
      </c>
      <c r="I3055" s="2" t="str">
        <f t="shared" si="1"/>
        <v>117272 - Tech - Winter Sports</v>
      </c>
      <c r="J3055" s="2">
        <f t="shared" si="2"/>
        <v>2010</v>
      </c>
      <c r="K3055" s="17">
        <f t="shared" si="3"/>
        <v>1</v>
      </c>
      <c r="L3055" s="18"/>
    </row>
    <row r="3056" hidden="1">
      <c r="A3056" s="2">
        <f>IFERROR(__xludf.DUMMYFUNCTION("""COMPUTED_VALUE"""),116770.0)</f>
        <v>116770</v>
      </c>
      <c r="B3056" s="2">
        <f>IFERROR(__xludf.DUMMYFUNCTION("""COMPUTED_VALUE"""),1.0)</f>
        <v>1</v>
      </c>
      <c r="C3056" s="2">
        <f>IFERROR(__xludf.DUMMYFUNCTION("""COMPUTED_VALUE"""),354.0)</f>
        <v>354</v>
      </c>
      <c r="D3056" s="3">
        <f>IFERROR(__xludf.DUMMYFUNCTION("""COMPUTED_VALUE"""),124.0)</f>
        <v>124</v>
      </c>
      <c r="E3056" s="1" t="str">
        <f t="array" ref="E3056">_xlfn.XLOOKUP(A3056,Product!A:A,Product!B:B,"Bulunamadı")</f>
        <v>Tech</v>
      </c>
      <c r="F3056" s="1" t="str">
        <f t="array" ref="F3056">_xlfn.XLOOKUP(A3056,Product!A:A,Product!C:C,"Bulunamadı")</f>
        <v>Winter Sports</v>
      </c>
      <c r="G3056" s="2" t="str">
        <f t="array" ref="G3056">_xlfn.XLOOKUP(A3057,Product!A:A,Product!D:D,"Bulunamadı")</f>
        <v>Brightpoint Press</v>
      </c>
      <c r="H3056" s="2">
        <f t="array" ref="H3056">_xlfn.XLOOKUP(A3058,Product!A:A,Product!E:E,"Bulunamadı")</f>
        <v>4.19</v>
      </c>
      <c r="I3056" s="2" t="str">
        <f t="shared" si="1"/>
        <v>116770 - Tech - Winter Sports</v>
      </c>
      <c r="J3056" s="2">
        <f t="shared" si="2"/>
        <v>519.56</v>
      </c>
      <c r="K3056" s="17">
        <f t="shared" si="3"/>
        <v>1</v>
      </c>
      <c r="L3056" s="18"/>
    </row>
    <row r="3057" hidden="1">
      <c r="A3057" s="2">
        <f>IFERROR(__xludf.DUMMYFUNCTION("""COMPUTED_VALUE"""),118012.0)</f>
        <v>118012</v>
      </c>
      <c r="B3057" s="2">
        <f>IFERROR(__xludf.DUMMYFUNCTION("""COMPUTED_VALUE"""),1.0)</f>
        <v>1</v>
      </c>
      <c r="C3057" s="2">
        <f>IFERROR(__xludf.DUMMYFUNCTION("""COMPUTED_VALUE"""),513.0)</f>
        <v>513</v>
      </c>
      <c r="D3057" s="3">
        <f>IFERROR(__xludf.DUMMYFUNCTION("""COMPUTED_VALUE"""),375.0)</f>
        <v>375</v>
      </c>
      <c r="E3057" s="1" t="str">
        <f t="array" ref="E3057">_xlfn.XLOOKUP(A3057,Product!A:A,Product!B:B,"Bulunamadı")</f>
        <v>Tech</v>
      </c>
      <c r="F3057" s="1" t="str">
        <f t="array" ref="F3057">_xlfn.XLOOKUP(A3057,Product!A:A,Product!C:C,"Bulunamadı")</f>
        <v>Winter Sports</v>
      </c>
      <c r="G3057" s="2" t="str">
        <f t="array" ref="G3057">_xlfn.XLOOKUP(A3058,Product!A:A,Product!D:D,"Bulunamadı")</f>
        <v>Brightpoint Press</v>
      </c>
      <c r="H3057" s="2">
        <f t="array" ref="H3057">_xlfn.XLOOKUP(A3059,Product!A:A,Product!E:E,"Bulunamadı")</f>
        <v>6.9</v>
      </c>
      <c r="I3057" s="2" t="str">
        <f t="shared" si="1"/>
        <v>118012 - Tech - Winter Sports</v>
      </c>
      <c r="J3057" s="2">
        <f t="shared" si="2"/>
        <v>2587.5</v>
      </c>
      <c r="K3057" s="17">
        <f t="shared" si="3"/>
        <v>1</v>
      </c>
      <c r="L3057" s="18"/>
    </row>
    <row r="3058" hidden="1">
      <c r="A3058" s="2">
        <f>IFERROR(__xludf.DUMMYFUNCTION("""COMPUTED_VALUE"""),117306.0)</f>
        <v>117306</v>
      </c>
      <c r="B3058" s="2">
        <f>IFERROR(__xludf.DUMMYFUNCTION("""COMPUTED_VALUE"""),0.0)</f>
        <v>0</v>
      </c>
      <c r="C3058" s="2">
        <f>IFERROR(__xludf.DUMMYFUNCTION("""COMPUTED_VALUE"""),820.0)</f>
        <v>820</v>
      </c>
      <c r="D3058" s="3">
        <f>IFERROR(__xludf.DUMMYFUNCTION("""COMPUTED_VALUE"""),438.0)</f>
        <v>438</v>
      </c>
      <c r="E3058" s="1" t="str">
        <f t="array" ref="E3058">_xlfn.XLOOKUP(A3058,Product!A:A,Product!B:B,"Bulunamadı")</f>
        <v>Tech</v>
      </c>
      <c r="F3058" s="1" t="str">
        <f t="array" ref="F3058">_xlfn.XLOOKUP(A3058,Product!A:A,Product!C:C,"Bulunamadı")</f>
        <v>Winter Sports</v>
      </c>
      <c r="G3058" s="2" t="str">
        <f t="array" ref="G3058">_xlfn.XLOOKUP(A3059,Product!A:A,Product!D:D,"Bulunamadı")</f>
        <v>Brightpoint Press</v>
      </c>
      <c r="H3058" s="2">
        <f t="array" ref="H3058">_xlfn.XLOOKUP(A3060,Product!A:A,Product!E:E,"Bulunamadı")</f>
        <v>6.38</v>
      </c>
      <c r="I3058" s="2" t="str">
        <f t="shared" si="1"/>
        <v>117306 - Tech - Winter Sports</v>
      </c>
      <c r="J3058" s="2">
        <f t="shared" si="2"/>
        <v>2794.44</v>
      </c>
      <c r="K3058" s="17">
        <f t="shared" si="3"/>
        <v>1</v>
      </c>
      <c r="L3058" s="18"/>
    </row>
    <row r="3059" hidden="1">
      <c r="A3059" s="2">
        <f>IFERROR(__xludf.DUMMYFUNCTION("""COMPUTED_VALUE"""),117056.0)</f>
        <v>117056</v>
      </c>
      <c r="B3059" s="2">
        <f>IFERROR(__xludf.DUMMYFUNCTION("""COMPUTED_VALUE"""),1.0)</f>
        <v>1</v>
      </c>
      <c r="C3059" s="2">
        <f>IFERROR(__xludf.DUMMYFUNCTION("""COMPUTED_VALUE"""),407.0)</f>
        <v>407</v>
      </c>
      <c r="D3059" s="3">
        <f>IFERROR(__xludf.DUMMYFUNCTION("""COMPUTED_VALUE"""),342.0)</f>
        <v>342</v>
      </c>
      <c r="E3059" s="1" t="str">
        <f t="array" ref="E3059">_xlfn.XLOOKUP(A3059,Product!A:A,Product!B:B,"Bulunamadı")</f>
        <v>Tech</v>
      </c>
      <c r="F3059" s="1" t="str">
        <f t="array" ref="F3059">_xlfn.XLOOKUP(A3059,Product!A:A,Product!C:C,"Bulunamadı")</f>
        <v>Winter Sports</v>
      </c>
      <c r="G3059" s="2" t="str">
        <f t="array" ref="G3059">_xlfn.XLOOKUP(A3060,Product!A:A,Product!D:D,"Bulunamadı")</f>
        <v>Brightpoint Press</v>
      </c>
      <c r="H3059" s="2">
        <f t="array" ref="H3059">_xlfn.XLOOKUP(A3061,Product!A:A,Product!E:E,"Bulunamadı")</f>
        <v>5.27</v>
      </c>
      <c r="I3059" s="2" t="str">
        <f t="shared" si="1"/>
        <v>117056 - Tech - Winter Sports</v>
      </c>
      <c r="J3059" s="2">
        <f t="shared" si="2"/>
        <v>1802.34</v>
      </c>
      <c r="K3059" s="17">
        <f t="shared" si="3"/>
        <v>1</v>
      </c>
      <c r="L3059" s="18"/>
    </row>
    <row r="3060" hidden="1">
      <c r="A3060" s="2">
        <f>IFERROR(__xludf.DUMMYFUNCTION("""COMPUTED_VALUE"""),188066.0)</f>
        <v>188066</v>
      </c>
      <c r="B3060" s="2">
        <f>IFERROR(__xludf.DUMMYFUNCTION("""COMPUTED_VALUE"""),1.0)</f>
        <v>1</v>
      </c>
      <c r="C3060" s="2">
        <f>IFERROR(__xludf.DUMMYFUNCTION("""COMPUTED_VALUE"""),329.0)</f>
        <v>329</v>
      </c>
      <c r="D3060" s="3">
        <f>IFERROR(__xludf.DUMMYFUNCTION("""COMPUTED_VALUE"""),214.0)</f>
        <v>214</v>
      </c>
      <c r="E3060" s="1" t="str">
        <f t="array" ref="E3060">_xlfn.XLOOKUP(A3060,Product!A:A,Product!B:B,"Bulunamadı")</f>
        <v>Tech</v>
      </c>
      <c r="F3060" s="1" t="str">
        <f t="array" ref="F3060">_xlfn.XLOOKUP(A3060,Product!A:A,Product!C:C,"Bulunamadı")</f>
        <v>Winter Sports</v>
      </c>
      <c r="G3060" s="2" t="str">
        <f t="array" ref="G3060">_xlfn.XLOOKUP(A3061,Product!A:A,Product!D:D,"Bulunamadı")</f>
        <v>Brightpoint Press</v>
      </c>
      <c r="H3060" s="2">
        <f t="array" ref="H3060">_xlfn.XLOOKUP(A3062,Product!A:A,Product!E:E,"Bulunamadı")</f>
        <v>4.18</v>
      </c>
      <c r="I3060" s="2" t="str">
        <f t="shared" si="1"/>
        <v>188066 - Tech - Winter Sports</v>
      </c>
      <c r="J3060" s="2">
        <f t="shared" si="2"/>
        <v>894.52</v>
      </c>
      <c r="K3060" s="17">
        <f t="shared" si="3"/>
        <v>1</v>
      </c>
      <c r="L3060" s="18"/>
    </row>
    <row r="3061" hidden="1">
      <c r="A3061" s="2">
        <f>IFERROR(__xludf.DUMMYFUNCTION("""COMPUTED_VALUE"""),181147.0)</f>
        <v>181147</v>
      </c>
      <c r="B3061" s="2">
        <f>IFERROR(__xludf.DUMMYFUNCTION("""COMPUTED_VALUE"""),1.0)</f>
        <v>1</v>
      </c>
      <c r="C3061" s="2">
        <f>IFERROR(__xludf.DUMMYFUNCTION("""COMPUTED_VALUE"""),426.0)</f>
        <v>426</v>
      </c>
      <c r="D3061" s="3">
        <f>IFERROR(__xludf.DUMMYFUNCTION("""COMPUTED_VALUE"""),97.0)</f>
        <v>97</v>
      </c>
      <c r="E3061" s="1" t="str">
        <f t="array" ref="E3061">_xlfn.XLOOKUP(A3061,Product!A:A,Product!B:B,"Bulunamadı")</f>
        <v>Tech</v>
      </c>
      <c r="F3061" s="1" t="str">
        <f t="array" ref="F3061">_xlfn.XLOOKUP(A3061,Product!A:A,Product!C:C,"Bulunamadı")</f>
        <v>Winter Sports</v>
      </c>
      <c r="G3061" s="2" t="str">
        <f t="array" ref="G3061">_xlfn.XLOOKUP(A3062,Product!A:A,Product!D:D,"Bulunamadı")</f>
        <v>Brightpoint Press</v>
      </c>
      <c r="H3061" s="2">
        <f t="array" ref="H3061">_xlfn.XLOOKUP(A3063,Product!A:A,Product!E:E,"Bulunamadı")</f>
        <v>3.73</v>
      </c>
      <c r="I3061" s="2" t="str">
        <f t="shared" si="1"/>
        <v>181147 - Tech - Winter Sports</v>
      </c>
      <c r="J3061" s="2">
        <f t="shared" si="2"/>
        <v>361.81</v>
      </c>
      <c r="K3061" s="17">
        <f t="shared" si="3"/>
        <v>1</v>
      </c>
      <c r="L3061" s="18"/>
    </row>
    <row r="3062" hidden="1">
      <c r="A3062" s="2">
        <f>IFERROR(__xludf.DUMMYFUNCTION("""COMPUTED_VALUE"""),79917.0)</f>
        <v>79917</v>
      </c>
      <c r="B3062" s="2">
        <f>IFERROR(__xludf.DUMMYFUNCTION("""COMPUTED_VALUE"""),1.0)</f>
        <v>1</v>
      </c>
      <c r="C3062" s="2">
        <f>IFERROR(__xludf.DUMMYFUNCTION("""COMPUTED_VALUE"""),434.0)</f>
        <v>434</v>
      </c>
      <c r="D3062" s="3">
        <f>IFERROR(__xludf.DUMMYFUNCTION("""COMPUTED_VALUE"""),268.0)</f>
        <v>268</v>
      </c>
      <c r="E3062" s="1" t="str">
        <f t="array" ref="E3062">_xlfn.XLOOKUP(A3062,Product!A:A,Product!B:B,"Bulunamadı")</f>
        <v>Tech</v>
      </c>
      <c r="F3062" s="1" t="str">
        <f t="array" ref="F3062">_xlfn.XLOOKUP(A3062,Product!A:A,Product!C:C,"Bulunamadı")</f>
        <v>Winter Sports</v>
      </c>
      <c r="G3062" s="2" t="str">
        <f t="array" ref="G3062">_xlfn.XLOOKUP(A3063,Product!A:A,Product!D:D,"Bulunamadı")</f>
        <v>Brightpoint Press</v>
      </c>
      <c r="H3062" s="2">
        <f t="array" ref="H3062">_xlfn.XLOOKUP(A3064,Product!A:A,Product!E:E,"Bulunamadı")</f>
        <v>5.85</v>
      </c>
      <c r="I3062" s="2" t="str">
        <f t="shared" si="1"/>
        <v>79917 - Tech - Winter Sports</v>
      </c>
      <c r="J3062" s="2">
        <f t="shared" si="2"/>
        <v>1567.8</v>
      </c>
      <c r="K3062" s="17">
        <f t="shared" si="3"/>
        <v>1</v>
      </c>
      <c r="L3062" s="18"/>
    </row>
    <row r="3063" hidden="1">
      <c r="A3063" s="2">
        <f>IFERROR(__xludf.DUMMYFUNCTION("""COMPUTED_VALUE"""),110282.0)</f>
        <v>110282</v>
      </c>
      <c r="B3063" s="2">
        <f>IFERROR(__xludf.DUMMYFUNCTION("""COMPUTED_VALUE"""),0.0)</f>
        <v>0</v>
      </c>
      <c r="C3063" s="2">
        <f>IFERROR(__xludf.DUMMYFUNCTION("""COMPUTED_VALUE"""),85.0)</f>
        <v>85</v>
      </c>
      <c r="D3063" s="3">
        <f>IFERROR(__xludf.DUMMYFUNCTION("""COMPUTED_VALUE"""),31.0)</f>
        <v>31</v>
      </c>
      <c r="E3063" s="1" t="str">
        <f t="array" ref="E3063">_xlfn.XLOOKUP(A3063,Product!A:A,Product!B:B,"Bulunamadı")</f>
        <v>Tech</v>
      </c>
      <c r="F3063" s="1" t="str">
        <f t="array" ref="F3063">_xlfn.XLOOKUP(A3063,Product!A:A,Product!C:C,"Bulunamadı")</f>
        <v>Winter Sports</v>
      </c>
      <c r="G3063" s="2" t="str">
        <f t="array" ref="G3063">_xlfn.XLOOKUP(A3064,Product!A:A,Product!D:D,"Bulunamadı")</f>
        <v>Brightpoint Press</v>
      </c>
      <c r="H3063" s="2">
        <f t="array" ref="H3063">_xlfn.XLOOKUP(A3065,Product!A:A,Product!E:E,"Bulunamadı")</f>
        <v>4.22</v>
      </c>
      <c r="I3063" s="2" t="str">
        <f t="shared" si="1"/>
        <v>110282 - Tech - Winter Sports</v>
      </c>
      <c r="J3063" s="2">
        <f t="shared" si="2"/>
        <v>130.82</v>
      </c>
      <c r="K3063" s="17">
        <f t="shared" si="3"/>
        <v>1</v>
      </c>
      <c r="L3063" s="18"/>
    </row>
    <row r="3064" hidden="1">
      <c r="A3064" s="2">
        <f>IFERROR(__xludf.DUMMYFUNCTION("""COMPUTED_VALUE"""),200526.0)</f>
        <v>200526</v>
      </c>
      <c r="B3064" s="2">
        <f>IFERROR(__xludf.DUMMYFUNCTION("""COMPUTED_VALUE"""),1.0)</f>
        <v>1</v>
      </c>
      <c r="C3064" s="2">
        <f>IFERROR(__xludf.DUMMYFUNCTION("""COMPUTED_VALUE"""),35.0)</f>
        <v>35</v>
      </c>
      <c r="D3064" s="3">
        <f>IFERROR(__xludf.DUMMYFUNCTION("""COMPUTED_VALUE"""),5.0)</f>
        <v>5</v>
      </c>
      <c r="E3064" s="1" t="str">
        <f t="array" ref="E3064">_xlfn.XLOOKUP(A3064,Product!A:A,Product!B:B,"Bulunamadı")</f>
        <v>Tech</v>
      </c>
      <c r="F3064" s="1" t="str">
        <f t="array" ref="F3064">_xlfn.XLOOKUP(A3064,Product!A:A,Product!C:C,"Bulunamadı")</f>
        <v>Winter Sports</v>
      </c>
      <c r="G3064" s="2" t="str">
        <f t="array" ref="G3064">_xlfn.XLOOKUP(A3065,Product!A:A,Product!D:D,"Bulunamadı")</f>
        <v>Brightpoint Press</v>
      </c>
      <c r="H3064" s="2">
        <f t="array" ref="H3064">_xlfn.XLOOKUP(A3066,Product!A:A,Product!E:E,"Bulunamadı")</f>
        <v>4.05</v>
      </c>
      <c r="I3064" s="2" t="str">
        <f t="shared" si="1"/>
        <v>200526 - Tech - Winter Sports</v>
      </c>
      <c r="J3064" s="2">
        <f t="shared" si="2"/>
        <v>20.25</v>
      </c>
      <c r="K3064" s="17">
        <f t="shared" si="3"/>
        <v>1</v>
      </c>
      <c r="L3064" s="18"/>
    </row>
    <row r="3065" hidden="1">
      <c r="A3065" s="2">
        <f>IFERROR(__xludf.DUMMYFUNCTION("""COMPUTED_VALUE"""),193197.0)</f>
        <v>193197</v>
      </c>
      <c r="B3065" s="2">
        <f>IFERROR(__xludf.DUMMYFUNCTION("""COMPUTED_VALUE"""),0.0)</f>
        <v>0</v>
      </c>
      <c r="C3065" s="2">
        <f>IFERROR(__xludf.DUMMYFUNCTION("""COMPUTED_VALUE"""),51.0)</f>
        <v>51</v>
      </c>
      <c r="D3065" s="3">
        <f>IFERROR(__xludf.DUMMYFUNCTION("""COMPUTED_VALUE"""),32.0)</f>
        <v>32</v>
      </c>
      <c r="E3065" s="1" t="str">
        <f t="array" ref="E3065">_xlfn.XLOOKUP(A3065,Product!A:A,Product!B:B,"Bulunamadı")</f>
        <v>Tech</v>
      </c>
      <c r="F3065" s="1" t="str">
        <f t="array" ref="F3065">_xlfn.XLOOKUP(A3065,Product!A:A,Product!C:C,"Bulunamadı")</f>
        <v>Winter Sports</v>
      </c>
      <c r="G3065" s="2" t="str">
        <f t="array" ref="G3065">_xlfn.XLOOKUP(A3066,Product!A:A,Product!D:D,"Bulunamadı")</f>
        <v>Brightpoint Press</v>
      </c>
      <c r="H3065" s="2">
        <f t="array" ref="H3065">_xlfn.XLOOKUP(A3067,Product!A:A,Product!E:E,"Bulunamadı")</f>
        <v>4.17</v>
      </c>
      <c r="I3065" s="2" t="str">
        <f t="shared" si="1"/>
        <v>193197 - Tech - Winter Sports</v>
      </c>
      <c r="J3065" s="2">
        <f t="shared" si="2"/>
        <v>133.44</v>
      </c>
      <c r="K3065" s="17">
        <f t="shared" si="3"/>
        <v>1</v>
      </c>
      <c r="L3065" s="18"/>
    </row>
    <row r="3066" hidden="1">
      <c r="A3066" s="2">
        <f>IFERROR(__xludf.DUMMYFUNCTION("""COMPUTED_VALUE"""),79820.0)</f>
        <v>79820</v>
      </c>
      <c r="B3066" s="2">
        <f>IFERROR(__xludf.DUMMYFUNCTION("""COMPUTED_VALUE"""),1.0)</f>
        <v>1</v>
      </c>
      <c r="C3066" s="2">
        <f>IFERROR(__xludf.DUMMYFUNCTION("""COMPUTED_VALUE"""),882.0)</f>
        <v>882</v>
      </c>
      <c r="D3066" s="3">
        <f>IFERROR(__xludf.DUMMYFUNCTION("""COMPUTED_VALUE"""),280.0)</f>
        <v>280</v>
      </c>
      <c r="E3066" s="1" t="str">
        <f t="array" ref="E3066">_xlfn.XLOOKUP(A3066,Product!A:A,Product!B:B,"Bulunamadı")</f>
        <v>Tech</v>
      </c>
      <c r="F3066" s="1" t="str">
        <f t="array" ref="F3066">_xlfn.XLOOKUP(A3066,Product!A:A,Product!C:C,"Bulunamadı")</f>
        <v>Winter Sports</v>
      </c>
      <c r="G3066" s="2" t="str">
        <f t="array" ref="G3066">_xlfn.XLOOKUP(A3067,Product!A:A,Product!D:D,"Bulunamadı")</f>
        <v>Brightpoint Press</v>
      </c>
      <c r="H3066" s="2">
        <f t="array" ref="H3066">_xlfn.XLOOKUP(A3068,Product!A:A,Product!E:E,"Bulunamadı")</f>
        <v>6.89</v>
      </c>
      <c r="I3066" s="2" t="str">
        <f t="shared" si="1"/>
        <v>79820 - Tech - Winter Sports</v>
      </c>
      <c r="J3066" s="2">
        <f t="shared" si="2"/>
        <v>1929.2</v>
      </c>
      <c r="K3066" s="17">
        <f t="shared" si="3"/>
        <v>1</v>
      </c>
      <c r="L3066" s="18"/>
    </row>
    <row r="3067" hidden="1">
      <c r="A3067" s="2">
        <f>IFERROR(__xludf.DUMMYFUNCTION("""COMPUTED_VALUE"""),122327.0)</f>
        <v>122327</v>
      </c>
      <c r="B3067" s="2">
        <f>IFERROR(__xludf.DUMMYFUNCTION("""COMPUTED_VALUE"""),1.0)</f>
        <v>1</v>
      </c>
      <c r="C3067" s="2">
        <f>IFERROR(__xludf.DUMMYFUNCTION("""COMPUTED_VALUE"""),545.0)</f>
        <v>545</v>
      </c>
      <c r="D3067" s="3">
        <f>IFERROR(__xludf.DUMMYFUNCTION("""COMPUTED_VALUE"""),326.0)</f>
        <v>326</v>
      </c>
      <c r="E3067" s="1" t="str">
        <f t="array" ref="E3067">_xlfn.XLOOKUP(A3067,Product!A:A,Product!B:B,"Bulunamadı")</f>
        <v>Tech</v>
      </c>
      <c r="F3067" s="1" t="str">
        <f t="array" ref="F3067">_xlfn.XLOOKUP(A3067,Product!A:A,Product!C:C,"Bulunamadı")</f>
        <v>Winter Sports</v>
      </c>
      <c r="G3067" s="2" t="str">
        <f t="array" ref="G3067">_xlfn.XLOOKUP(A3068,Product!A:A,Product!D:D,"Bulunamadı")</f>
        <v>Brightpoint Press</v>
      </c>
      <c r="H3067" s="2">
        <f t="array" ref="H3067">_xlfn.XLOOKUP(A3069,Product!A:A,Product!E:E,"Bulunamadı")</f>
        <v>3.8</v>
      </c>
      <c r="I3067" s="2" t="str">
        <f t="shared" si="1"/>
        <v>122327 - Tech - Winter Sports</v>
      </c>
      <c r="J3067" s="2">
        <f t="shared" si="2"/>
        <v>1238.8</v>
      </c>
      <c r="K3067" s="17">
        <f t="shared" si="3"/>
        <v>1</v>
      </c>
      <c r="L3067" s="18"/>
    </row>
    <row r="3068" hidden="1">
      <c r="A3068" s="2">
        <f>IFERROR(__xludf.DUMMYFUNCTION("""COMPUTED_VALUE"""),117956.0)</f>
        <v>117956</v>
      </c>
      <c r="B3068" s="2">
        <f>IFERROR(__xludf.DUMMYFUNCTION("""COMPUTED_VALUE"""),0.0)</f>
        <v>0</v>
      </c>
      <c r="C3068" s="2">
        <f>IFERROR(__xludf.DUMMYFUNCTION("""COMPUTED_VALUE"""),37.0)</f>
        <v>37</v>
      </c>
      <c r="D3068" s="3">
        <f>IFERROR(__xludf.DUMMYFUNCTION("""COMPUTED_VALUE"""),31.0)</f>
        <v>31</v>
      </c>
      <c r="E3068" s="1" t="str">
        <f t="array" ref="E3068">_xlfn.XLOOKUP(A3068,Product!A:A,Product!B:B,"Bulunamadı")</f>
        <v>Tech</v>
      </c>
      <c r="F3068" s="1" t="str">
        <f t="array" ref="F3068">_xlfn.XLOOKUP(A3068,Product!A:A,Product!C:C,"Bulunamadı")</f>
        <v>Winter Sports</v>
      </c>
      <c r="G3068" s="2" t="str">
        <f t="array" ref="G3068">_xlfn.XLOOKUP(A3069,Product!A:A,Product!D:D,"Bulunamadı")</f>
        <v>Brightpoint Press</v>
      </c>
      <c r="H3068" s="2">
        <f t="array" ref="H3068">_xlfn.XLOOKUP(A3070,Product!A:A,Product!E:E,"Bulunamadı")</f>
        <v>3.52</v>
      </c>
      <c r="I3068" s="2" t="str">
        <f t="shared" si="1"/>
        <v>117956 - Tech - Winter Sports</v>
      </c>
      <c r="J3068" s="2">
        <f t="shared" si="2"/>
        <v>109.12</v>
      </c>
      <c r="K3068" s="17">
        <f t="shared" si="3"/>
        <v>1</v>
      </c>
      <c r="L3068" s="18"/>
    </row>
    <row r="3069" hidden="1">
      <c r="A3069" s="2">
        <f>IFERROR(__xludf.DUMMYFUNCTION("""COMPUTED_VALUE"""),86182.0)</f>
        <v>86182</v>
      </c>
      <c r="B3069" s="2">
        <f>IFERROR(__xludf.DUMMYFUNCTION("""COMPUTED_VALUE"""),1.0)</f>
        <v>1</v>
      </c>
      <c r="C3069" s="2">
        <f>IFERROR(__xludf.DUMMYFUNCTION("""COMPUTED_VALUE"""),387.0)</f>
        <v>387</v>
      </c>
      <c r="D3069" s="3">
        <f>IFERROR(__xludf.DUMMYFUNCTION("""COMPUTED_VALUE"""),177.0)</f>
        <v>177</v>
      </c>
      <c r="E3069" s="1" t="str">
        <f t="array" ref="E3069">_xlfn.XLOOKUP(A3069,Product!A:A,Product!B:B,"Bulunamadı")</f>
        <v>Tech</v>
      </c>
      <c r="F3069" s="1" t="str">
        <f t="array" ref="F3069">_xlfn.XLOOKUP(A3069,Product!A:A,Product!C:C,"Bulunamadı")</f>
        <v>Winter Sports</v>
      </c>
      <c r="G3069" s="2" t="str">
        <f t="array" ref="G3069">_xlfn.XLOOKUP(A3070,Product!A:A,Product!D:D,"Bulunamadı")</f>
        <v>Brightpoint Press</v>
      </c>
      <c r="H3069" s="2">
        <f t="array" ref="H3069">_xlfn.XLOOKUP(A3071,Product!A:A,Product!E:E,"Bulunamadı")</f>
        <v>7.05</v>
      </c>
      <c r="I3069" s="2" t="str">
        <f t="shared" si="1"/>
        <v>86182 - Tech - Winter Sports</v>
      </c>
      <c r="J3069" s="2">
        <f t="shared" si="2"/>
        <v>1247.85</v>
      </c>
      <c r="K3069" s="17">
        <f t="shared" si="3"/>
        <v>1</v>
      </c>
      <c r="L3069" s="18"/>
    </row>
    <row r="3070" hidden="1">
      <c r="A3070" s="2">
        <f>IFERROR(__xludf.DUMMYFUNCTION("""COMPUTED_VALUE"""),46989.0)</f>
        <v>46989</v>
      </c>
      <c r="B3070" s="2">
        <f>IFERROR(__xludf.DUMMYFUNCTION("""COMPUTED_VALUE"""),1.0)</f>
        <v>1</v>
      </c>
      <c r="C3070" s="2">
        <f>IFERROR(__xludf.DUMMYFUNCTION("""COMPUTED_VALUE"""),799.0)</f>
        <v>799</v>
      </c>
      <c r="D3070" s="3">
        <f>IFERROR(__xludf.DUMMYFUNCTION("""COMPUTED_VALUE"""),55.0)</f>
        <v>55</v>
      </c>
      <c r="E3070" s="1" t="str">
        <f t="array" ref="E3070">_xlfn.XLOOKUP(A3070,Product!A:A,Product!B:B,"Bulunamadı")</f>
        <v>Tech</v>
      </c>
      <c r="F3070" s="1" t="str">
        <f t="array" ref="F3070">_xlfn.XLOOKUP(A3070,Product!A:A,Product!C:C,"Bulunamadı")</f>
        <v>Winter Sports</v>
      </c>
      <c r="G3070" s="2" t="str">
        <f t="array" ref="G3070">_xlfn.XLOOKUP(A3071,Product!A:A,Product!D:D,"Bulunamadı")</f>
        <v>Brightpoint Press</v>
      </c>
      <c r="H3070" s="2">
        <f t="array" ref="H3070">_xlfn.XLOOKUP(A3072,Product!A:A,Product!E:E,"Bulunamadı")</f>
        <v>4.57</v>
      </c>
      <c r="I3070" s="2" t="str">
        <f t="shared" si="1"/>
        <v>46989 - Tech - Winter Sports</v>
      </c>
      <c r="J3070" s="2">
        <f t="shared" si="2"/>
        <v>251.35</v>
      </c>
      <c r="K3070" s="17">
        <f t="shared" si="3"/>
        <v>1</v>
      </c>
      <c r="L3070" s="18"/>
    </row>
    <row r="3071" hidden="1">
      <c r="A3071" s="2">
        <f>IFERROR(__xludf.DUMMYFUNCTION("""COMPUTED_VALUE"""),46976.0)</f>
        <v>46976</v>
      </c>
      <c r="B3071" s="2">
        <f>IFERROR(__xludf.DUMMYFUNCTION("""COMPUTED_VALUE"""),0.0)</f>
        <v>0</v>
      </c>
      <c r="C3071" s="2">
        <f>IFERROR(__xludf.DUMMYFUNCTION("""COMPUTED_VALUE"""),333.0)</f>
        <v>333</v>
      </c>
      <c r="D3071" s="3">
        <f>IFERROR(__xludf.DUMMYFUNCTION("""COMPUTED_VALUE"""),274.0)</f>
        <v>274</v>
      </c>
      <c r="E3071" s="1" t="str">
        <f t="array" ref="E3071">_xlfn.XLOOKUP(A3071,Product!A:A,Product!B:B,"Bulunamadı")</f>
        <v>Tech</v>
      </c>
      <c r="F3071" s="1" t="str">
        <f t="array" ref="F3071">_xlfn.XLOOKUP(A3071,Product!A:A,Product!C:C,"Bulunamadı")</f>
        <v>Winter Sports</v>
      </c>
      <c r="G3071" s="2" t="str">
        <f t="array" ref="G3071">_xlfn.XLOOKUP(A3072,Product!A:A,Product!D:D,"Bulunamadı")</f>
        <v>Brightpoint Press</v>
      </c>
      <c r="H3071" s="2">
        <f t="array" ref="H3071">_xlfn.XLOOKUP(A3073,Product!A:A,Product!E:E,"Bulunamadı")</f>
        <v>3.06</v>
      </c>
      <c r="I3071" s="2" t="str">
        <f t="shared" si="1"/>
        <v>46976 - Tech - Winter Sports</v>
      </c>
      <c r="J3071" s="2">
        <f t="shared" si="2"/>
        <v>838.44</v>
      </c>
      <c r="K3071" s="17">
        <f t="shared" si="3"/>
        <v>1</v>
      </c>
      <c r="L3071" s="18"/>
    </row>
    <row r="3072" hidden="1">
      <c r="A3072" s="2">
        <f>IFERROR(__xludf.DUMMYFUNCTION("""COMPUTED_VALUE"""),79354.0)</f>
        <v>79354</v>
      </c>
      <c r="B3072" s="2">
        <f>IFERROR(__xludf.DUMMYFUNCTION("""COMPUTED_VALUE"""),0.0)</f>
        <v>0</v>
      </c>
      <c r="C3072" s="2">
        <f>IFERROR(__xludf.DUMMYFUNCTION("""COMPUTED_VALUE"""),302.0)</f>
        <v>302</v>
      </c>
      <c r="D3072" s="3">
        <f>IFERROR(__xludf.DUMMYFUNCTION("""COMPUTED_VALUE"""),88.0)</f>
        <v>88</v>
      </c>
      <c r="E3072" s="1" t="str">
        <f t="array" ref="E3072">_xlfn.XLOOKUP(A3072,Product!A:A,Product!B:B,"Bulunamadı")</f>
        <v>Tech</v>
      </c>
      <c r="F3072" s="1" t="str">
        <f t="array" ref="F3072">_xlfn.XLOOKUP(A3072,Product!A:A,Product!C:C,"Bulunamadı")</f>
        <v>Winter Sports</v>
      </c>
      <c r="G3072" s="2" t="str">
        <f t="array" ref="G3072">_xlfn.XLOOKUP(A3073,Product!A:A,Product!D:D,"Bulunamadı")</f>
        <v>Brightpoint Press</v>
      </c>
      <c r="H3072" s="2">
        <f t="array" ref="H3072">_xlfn.XLOOKUP(A3074,Product!A:A,Product!E:E,"Bulunamadı")</f>
        <v>5.99</v>
      </c>
      <c r="I3072" s="2" t="str">
        <f t="shared" si="1"/>
        <v>79354 - Tech - Winter Sports</v>
      </c>
      <c r="J3072" s="2">
        <f t="shared" si="2"/>
        <v>527.12</v>
      </c>
      <c r="K3072" s="17">
        <f t="shared" si="3"/>
        <v>1</v>
      </c>
      <c r="L3072" s="18"/>
    </row>
    <row r="3073" hidden="1">
      <c r="A3073" s="2">
        <f>IFERROR(__xludf.DUMMYFUNCTION("""COMPUTED_VALUE"""),114268.0)</f>
        <v>114268</v>
      </c>
      <c r="B3073" s="2">
        <f>IFERROR(__xludf.DUMMYFUNCTION("""COMPUTED_VALUE"""),1.0)</f>
        <v>1</v>
      </c>
      <c r="C3073" s="2">
        <f>IFERROR(__xludf.DUMMYFUNCTION("""COMPUTED_VALUE"""),203.0)</f>
        <v>203</v>
      </c>
      <c r="D3073" s="3">
        <f>IFERROR(__xludf.DUMMYFUNCTION("""COMPUTED_VALUE"""),133.0)</f>
        <v>133</v>
      </c>
      <c r="E3073" s="1" t="str">
        <f t="array" ref="E3073">_xlfn.XLOOKUP(A3073,Product!A:A,Product!B:B,"Bulunamadı")</f>
        <v>Tech</v>
      </c>
      <c r="F3073" s="1" t="str">
        <f t="array" ref="F3073">_xlfn.XLOOKUP(A3073,Product!A:A,Product!C:C,"Bulunamadı")</f>
        <v>Winter Sports</v>
      </c>
      <c r="G3073" s="2" t="str">
        <f t="array" ref="G3073">_xlfn.XLOOKUP(A3074,Product!A:A,Product!D:D,"Bulunamadı")</f>
        <v>Brightpoint Press</v>
      </c>
      <c r="H3073" s="2">
        <f t="array" ref="H3073">_xlfn.XLOOKUP(A3075,Product!A:A,Product!E:E,"Bulunamadı")</f>
        <v>4.41</v>
      </c>
      <c r="I3073" s="2" t="str">
        <f t="shared" si="1"/>
        <v>114268 - Tech - Winter Sports</v>
      </c>
      <c r="J3073" s="2">
        <f t="shared" si="2"/>
        <v>586.53</v>
      </c>
      <c r="K3073" s="17">
        <f t="shared" si="3"/>
        <v>1</v>
      </c>
      <c r="L3073" s="18"/>
    </row>
    <row r="3074" hidden="1">
      <c r="A3074" s="2">
        <f>IFERROR(__xludf.DUMMYFUNCTION("""COMPUTED_VALUE"""),10685.0)</f>
        <v>10685</v>
      </c>
      <c r="B3074" s="2">
        <f>IFERROR(__xludf.DUMMYFUNCTION("""COMPUTED_VALUE"""),0.0)</f>
        <v>0</v>
      </c>
      <c r="C3074" s="2">
        <f>IFERROR(__xludf.DUMMYFUNCTION("""COMPUTED_VALUE"""),162.0)</f>
        <v>162</v>
      </c>
      <c r="D3074" s="3">
        <f>IFERROR(__xludf.DUMMYFUNCTION("""COMPUTED_VALUE"""),24.0)</f>
        <v>24</v>
      </c>
      <c r="E3074" s="1" t="str">
        <f t="array" ref="E3074">_xlfn.XLOOKUP(A3074,Product!A:A,Product!B:B,"Bulunamadı")</f>
        <v>Tech</v>
      </c>
      <c r="F3074" s="1" t="str">
        <f t="array" ref="F3074">_xlfn.XLOOKUP(A3074,Product!A:A,Product!C:C,"Bulunamadı")</f>
        <v>Winter Sports</v>
      </c>
      <c r="G3074" s="2" t="str">
        <f t="array" ref="G3074">_xlfn.XLOOKUP(A3075,Product!A:A,Product!D:D,"Bulunamadı")</f>
        <v>Brightpoint Press</v>
      </c>
      <c r="H3074" s="2">
        <f t="array" ref="H3074">_xlfn.XLOOKUP(A3076,Product!A:A,Product!E:E,"Bulunamadı")</f>
        <v>4.68</v>
      </c>
      <c r="I3074" s="2" t="str">
        <f t="shared" si="1"/>
        <v>10685 - Tech - Winter Sports</v>
      </c>
      <c r="J3074" s="2">
        <f t="shared" si="2"/>
        <v>112.32</v>
      </c>
      <c r="K3074" s="17">
        <f t="shared" si="3"/>
        <v>1</v>
      </c>
      <c r="L3074" s="18"/>
    </row>
    <row r="3075" hidden="1">
      <c r="A3075" s="2">
        <f>IFERROR(__xludf.DUMMYFUNCTION("""COMPUTED_VALUE"""),118157.0)</f>
        <v>118157</v>
      </c>
      <c r="B3075" s="2">
        <f>IFERROR(__xludf.DUMMYFUNCTION("""COMPUTED_VALUE"""),1.0)</f>
        <v>1</v>
      </c>
      <c r="C3075" s="2">
        <f>IFERROR(__xludf.DUMMYFUNCTION("""COMPUTED_VALUE"""),861.0)</f>
        <v>861</v>
      </c>
      <c r="D3075" s="3">
        <f>IFERROR(__xludf.DUMMYFUNCTION("""COMPUTED_VALUE"""),157.0)</f>
        <v>157</v>
      </c>
      <c r="E3075" s="1" t="str">
        <f t="array" ref="E3075">_xlfn.XLOOKUP(A3075,Product!A:A,Product!B:B,"Bulunamadı")</f>
        <v>Tech</v>
      </c>
      <c r="F3075" s="1" t="str">
        <f t="array" ref="F3075">_xlfn.XLOOKUP(A3075,Product!A:A,Product!C:C,"Bulunamadı")</f>
        <v>Winter Sports</v>
      </c>
      <c r="G3075" s="2" t="str">
        <f t="array" ref="G3075">_xlfn.XLOOKUP(A3076,Product!A:A,Product!D:D,"Bulunamadı")</f>
        <v>Brightpoint Press</v>
      </c>
      <c r="H3075" s="2">
        <f t="array" ref="H3075">_xlfn.XLOOKUP(A3077,Product!A:A,Product!E:E,"Bulunamadı")</f>
        <v>6.24</v>
      </c>
      <c r="I3075" s="2" t="str">
        <f t="shared" si="1"/>
        <v>118157 - Tech - Winter Sports</v>
      </c>
      <c r="J3075" s="2">
        <f t="shared" si="2"/>
        <v>979.68</v>
      </c>
      <c r="K3075" s="17">
        <f t="shared" si="3"/>
        <v>1</v>
      </c>
      <c r="L3075" s="18"/>
    </row>
    <row r="3076" hidden="1">
      <c r="A3076" s="2">
        <f>IFERROR(__xludf.DUMMYFUNCTION("""COMPUTED_VALUE"""),122322.0)</f>
        <v>122322</v>
      </c>
      <c r="B3076" s="2">
        <f>IFERROR(__xludf.DUMMYFUNCTION("""COMPUTED_VALUE"""),0.0)</f>
        <v>0</v>
      </c>
      <c r="C3076" s="2">
        <f>IFERROR(__xludf.DUMMYFUNCTION("""COMPUTED_VALUE"""),78.0)</f>
        <v>78</v>
      </c>
      <c r="D3076" s="3">
        <f>IFERROR(__xludf.DUMMYFUNCTION("""COMPUTED_VALUE"""),13.0)</f>
        <v>13</v>
      </c>
      <c r="E3076" s="1" t="str">
        <f t="array" ref="E3076">_xlfn.XLOOKUP(A3076,Product!A:A,Product!B:B,"Bulunamadı")</f>
        <v>Tech</v>
      </c>
      <c r="F3076" s="1" t="str">
        <f t="array" ref="F3076">_xlfn.XLOOKUP(A3076,Product!A:A,Product!C:C,"Bulunamadı")</f>
        <v>Winter Sports</v>
      </c>
      <c r="G3076" s="2" t="str">
        <f t="array" ref="G3076">_xlfn.XLOOKUP(A3077,Product!A:A,Product!D:D,"Bulunamadı")</f>
        <v>Brightpoint Press</v>
      </c>
      <c r="H3076" s="2">
        <f t="array" ref="H3076">_xlfn.XLOOKUP(A3078,Product!A:A,Product!E:E,"Bulunamadı")</f>
        <v>5.66</v>
      </c>
      <c r="I3076" s="2" t="str">
        <f t="shared" si="1"/>
        <v>122322 - Tech - Winter Sports</v>
      </c>
      <c r="J3076" s="2">
        <f t="shared" si="2"/>
        <v>73.58</v>
      </c>
      <c r="K3076" s="17">
        <f t="shared" si="3"/>
        <v>1</v>
      </c>
      <c r="L3076" s="18"/>
    </row>
    <row r="3077" hidden="1">
      <c r="A3077" s="2">
        <f>IFERROR(__xludf.DUMMYFUNCTION("""COMPUTED_VALUE"""),27509.0)</f>
        <v>27509</v>
      </c>
      <c r="B3077" s="2">
        <f>IFERROR(__xludf.DUMMYFUNCTION("""COMPUTED_VALUE"""),1.0)</f>
        <v>1</v>
      </c>
      <c r="C3077" s="2">
        <f>IFERROR(__xludf.DUMMYFUNCTION("""COMPUTED_VALUE"""),658.0)</f>
        <v>658</v>
      </c>
      <c r="D3077" s="3">
        <f>IFERROR(__xludf.DUMMYFUNCTION("""COMPUTED_VALUE"""),136.0)</f>
        <v>136</v>
      </c>
      <c r="E3077" s="1" t="str">
        <f t="array" ref="E3077">_xlfn.XLOOKUP(A3077,Product!A:A,Product!B:B,"Bulunamadı")</f>
        <v>Tech</v>
      </c>
      <c r="F3077" s="1" t="str">
        <f t="array" ref="F3077">_xlfn.XLOOKUP(A3077,Product!A:A,Product!C:C,"Bulunamadı")</f>
        <v>Winter Sports</v>
      </c>
      <c r="G3077" s="2" t="str">
        <f t="array" ref="G3077">_xlfn.XLOOKUP(A3078,Product!A:A,Product!D:D,"Bulunamadı")</f>
        <v>Brightpoint Press</v>
      </c>
      <c r="H3077" s="2">
        <f t="array" ref="H3077">_xlfn.XLOOKUP(A3079,Product!A:A,Product!E:E,"Bulunamadı")</f>
        <v>2.93</v>
      </c>
      <c r="I3077" s="2" t="str">
        <f t="shared" si="1"/>
        <v>27509 - Tech - Winter Sports</v>
      </c>
      <c r="J3077" s="2">
        <f t="shared" si="2"/>
        <v>398.48</v>
      </c>
      <c r="K3077" s="17">
        <f t="shared" si="3"/>
        <v>1</v>
      </c>
      <c r="L3077" s="18"/>
    </row>
    <row r="3078" hidden="1">
      <c r="A3078" s="2">
        <f>IFERROR(__xludf.DUMMYFUNCTION("""COMPUTED_VALUE"""),110852.0)</f>
        <v>110852</v>
      </c>
      <c r="B3078" s="2">
        <f>IFERROR(__xludf.DUMMYFUNCTION("""COMPUTED_VALUE"""),1.0)</f>
        <v>1</v>
      </c>
      <c r="C3078" s="2">
        <f>IFERROR(__xludf.DUMMYFUNCTION("""COMPUTED_VALUE"""),98.0)</f>
        <v>98</v>
      </c>
      <c r="D3078" s="3">
        <f>IFERROR(__xludf.DUMMYFUNCTION("""COMPUTED_VALUE"""),64.0)</f>
        <v>64</v>
      </c>
      <c r="E3078" s="1" t="str">
        <f t="array" ref="E3078">_xlfn.XLOOKUP(A3078,Product!A:A,Product!B:B,"Bulunamadı")</f>
        <v>Tech</v>
      </c>
      <c r="F3078" s="1" t="str">
        <f t="array" ref="F3078">_xlfn.XLOOKUP(A3078,Product!A:A,Product!C:C,"Bulunamadı")</f>
        <v>Winter Sports</v>
      </c>
      <c r="G3078" s="2" t="str">
        <f t="array" ref="G3078">_xlfn.XLOOKUP(A3079,Product!A:A,Product!D:D,"Bulunamadı")</f>
        <v>Brightpoint Press</v>
      </c>
      <c r="H3078" s="2">
        <f t="array" ref="H3078">_xlfn.XLOOKUP(A3080,Product!A:A,Product!E:E,"Bulunamadı")</f>
        <v>5.18</v>
      </c>
      <c r="I3078" s="2" t="str">
        <f t="shared" si="1"/>
        <v>110852 - Tech - Winter Sports</v>
      </c>
      <c r="J3078" s="2">
        <f t="shared" si="2"/>
        <v>331.52</v>
      </c>
      <c r="K3078" s="17">
        <f t="shared" si="3"/>
        <v>1</v>
      </c>
      <c r="L3078" s="18"/>
    </row>
    <row r="3079" hidden="1">
      <c r="A3079" s="2">
        <f>IFERROR(__xludf.DUMMYFUNCTION("""COMPUTED_VALUE"""),128312.0)</f>
        <v>128312</v>
      </c>
      <c r="B3079" s="2">
        <f>IFERROR(__xludf.DUMMYFUNCTION("""COMPUTED_VALUE"""),0.0)</f>
        <v>0</v>
      </c>
      <c r="C3079" s="2">
        <f>IFERROR(__xludf.DUMMYFUNCTION("""COMPUTED_VALUE"""),576.0)</f>
        <v>576</v>
      </c>
      <c r="D3079" s="3">
        <f>IFERROR(__xludf.DUMMYFUNCTION("""COMPUTED_VALUE"""),484.0)</f>
        <v>484</v>
      </c>
      <c r="E3079" s="1" t="str">
        <f t="array" ref="E3079">_xlfn.XLOOKUP(A3079,Product!A:A,Product!B:B,"Bulunamadı")</f>
        <v>Tech</v>
      </c>
      <c r="F3079" s="1" t="str">
        <f t="array" ref="F3079">_xlfn.XLOOKUP(A3079,Product!A:A,Product!C:C,"Bulunamadı")</f>
        <v>Winter Sports</v>
      </c>
      <c r="G3079" s="2" t="str">
        <f t="array" ref="G3079">_xlfn.XLOOKUP(A3080,Product!A:A,Product!D:D,"Bulunamadı")</f>
        <v>Brightpoint Press</v>
      </c>
      <c r="H3079" s="2">
        <f t="array" ref="H3079">_xlfn.XLOOKUP(A3081,Product!A:A,Product!E:E,"Bulunamadı")</f>
        <v>3.49</v>
      </c>
      <c r="I3079" s="2" t="str">
        <f t="shared" si="1"/>
        <v>128312 - Tech - Winter Sports</v>
      </c>
      <c r="J3079" s="2">
        <f t="shared" si="2"/>
        <v>1689.16</v>
      </c>
      <c r="K3079" s="17">
        <f t="shared" si="3"/>
        <v>1</v>
      </c>
      <c r="L3079" s="18"/>
    </row>
    <row r="3080" hidden="1">
      <c r="A3080" s="2">
        <f>IFERROR(__xludf.DUMMYFUNCTION("""COMPUTED_VALUE"""),79355.0)</f>
        <v>79355</v>
      </c>
      <c r="B3080" s="2">
        <f>IFERROR(__xludf.DUMMYFUNCTION("""COMPUTED_VALUE"""),1.0)</f>
        <v>1</v>
      </c>
      <c r="C3080" s="2">
        <f>IFERROR(__xludf.DUMMYFUNCTION("""COMPUTED_VALUE"""),492.0)</f>
        <v>492</v>
      </c>
      <c r="D3080" s="3">
        <f>IFERROR(__xludf.DUMMYFUNCTION("""COMPUTED_VALUE"""),144.0)</f>
        <v>144</v>
      </c>
      <c r="E3080" s="1" t="str">
        <f t="array" ref="E3080">_xlfn.XLOOKUP(A3080,Product!A:A,Product!B:B,"Bulunamadı")</f>
        <v>Tech</v>
      </c>
      <c r="F3080" s="1" t="str">
        <f t="array" ref="F3080">_xlfn.XLOOKUP(A3080,Product!A:A,Product!C:C,"Bulunamadı")</f>
        <v>Winter Sports</v>
      </c>
      <c r="G3080" s="2" t="str">
        <f t="array" ref="G3080">_xlfn.XLOOKUP(A3081,Product!A:A,Product!D:D,"Bulunamadı")</f>
        <v>Brightpoint Press</v>
      </c>
      <c r="H3080" s="2">
        <f t="array" ref="H3080">_xlfn.XLOOKUP(A3082,Product!A:A,Product!E:E,"Bulunamadı")</f>
        <v>6</v>
      </c>
      <c r="I3080" s="2" t="str">
        <f t="shared" si="1"/>
        <v>79355 - Tech - Winter Sports</v>
      </c>
      <c r="J3080" s="2">
        <f t="shared" si="2"/>
        <v>864</v>
      </c>
      <c r="K3080" s="17">
        <f t="shared" si="3"/>
        <v>1</v>
      </c>
      <c r="L3080" s="18"/>
    </row>
    <row r="3081" hidden="1">
      <c r="A3081" s="2">
        <f>IFERROR(__xludf.DUMMYFUNCTION("""COMPUTED_VALUE"""),86185.0)</f>
        <v>86185</v>
      </c>
      <c r="B3081" s="2">
        <f>IFERROR(__xludf.DUMMYFUNCTION("""COMPUTED_VALUE"""),0.0)</f>
        <v>0</v>
      </c>
      <c r="C3081" s="2">
        <f>IFERROR(__xludf.DUMMYFUNCTION("""COMPUTED_VALUE"""),289.0)</f>
        <v>289</v>
      </c>
      <c r="D3081" s="3">
        <f>IFERROR(__xludf.DUMMYFUNCTION("""COMPUTED_VALUE"""),128.0)</f>
        <v>128</v>
      </c>
      <c r="E3081" s="1" t="str">
        <f t="array" ref="E3081">_xlfn.XLOOKUP(A3081,Product!A:A,Product!B:B,"Bulunamadı")</f>
        <v>Tech</v>
      </c>
      <c r="F3081" s="1" t="str">
        <f t="array" ref="F3081">_xlfn.XLOOKUP(A3081,Product!A:A,Product!C:C,"Bulunamadı")</f>
        <v>Winter Sports</v>
      </c>
      <c r="G3081" s="2" t="str">
        <f t="array" ref="G3081">_xlfn.XLOOKUP(A3082,Product!A:A,Product!D:D,"Bulunamadı")</f>
        <v>Brightpoint Press</v>
      </c>
      <c r="H3081" s="2">
        <f t="array" ref="H3081">_xlfn.XLOOKUP(A3083,Product!A:A,Product!E:E,"Bulunamadı")</f>
        <v>4.05</v>
      </c>
      <c r="I3081" s="2" t="str">
        <f t="shared" si="1"/>
        <v>86185 - Tech - Winter Sports</v>
      </c>
      <c r="J3081" s="2">
        <f t="shared" si="2"/>
        <v>518.4</v>
      </c>
      <c r="K3081" s="17">
        <f t="shared" si="3"/>
        <v>1</v>
      </c>
      <c r="L3081" s="18"/>
    </row>
    <row r="3082" hidden="1">
      <c r="A3082" s="2">
        <f>IFERROR(__xludf.DUMMYFUNCTION("""COMPUTED_VALUE"""),77138.0)</f>
        <v>77138</v>
      </c>
      <c r="B3082" s="2">
        <f>IFERROR(__xludf.DUMMYFUNCTION("""COMPUTED_VALUE"""),0.0)</f>
        <v>0</v>
      </c>
      <c r="C3082" s="2">
        <f>IFERROR(__xludf.DUMMYFUNCTION("""COMPUTED_VALUE"""),171.0)</f>
        <v>171</v>
      </c>
      <c r="D3082" s="3">
        <f>IFERROR(__xludf.DUMMYFUNCTION("""COMPUTED_VALUE"""),109.0)</f>
        <v>109</v>
      </c>
      <c r="E3082" s="1" t="str">
        <f t="array" ref="E3082">_xlfn.XLOOKUP(A3082,Product!A:A,Product!B:B,"Bulunamadı")</f>
        <v>Tech</v>
      </c>
      <c r="F3082" s="1" t="str">
        <f t="array" ref="F3082">_xlfn.XLOOKUP(A3082,Product!A:A,Product!C:C,"Bulunamadı")</f>
        <v>Winter Sports</v>
      </c>
      <c r="G3082" s="2" t="str">
        <f t="array" ref="G3082">_xlfn.XLOOKUP(A3083,Product!A:A,Product!D:D,"Bulunamadı")</f>
        <v>Brightpoint Press</v>
      </c>
      <c r="H3082" s="2">
        <f t="array" ref="H3082">_xlfn.XLOOKUP(A3084,Product!A:A,Product!E:E,"Bulunamadı")</f>
        <v>4.27</v>
      </c>
      <c r="I3082" s="2" t="str">
        <f t="shared" si="1"/>
        <v>77138 - Tech - Winter Sports</v>
      </c>
      <c r="J3082" s="2">
        <f t="shared" si="2"/>
        <v>465.43</v>
      </c>
      <c r="K3082" s="17">
        <f t="shared" si="3"/>
        <v>1</v>
      </c>
      <c r="L3082" s="18"/>
    </row>
    <row r="3083" hidden="1">
      <c r="A3083" s="2">
        <f>IFERROR(__xludf.DUMMYFUNCTION("""COMPUTED_VALUE"""),86183.0)</f>
        <v>86183</v>
      </c>
      <c r="B3083" s="2">
        <f>IFERROR(__xludf.DUMMYFUNCTION("""COMPUTED_VALUE"""),0.0)</f>
        <v>0</v>
      </c>
      <c r="C3083" s="2">
        <f>IFERROR(__xludf.DUMMYFUNCTION("""COMPUTED_VALUE"""),873.0)</f>
        <v>873</v>
      </c>
      <c r="D3083" s="3">
        <f>IFERROR(__xludf.DUMMYFUNCTION("""COMPUTED_VALUE"""),151.0)</f>
        <v>151</v>
      </c>
      <c r="E3083" s="1" t="str">
        <f t="array" ref="E3083">_xlfn.XLOOKUP(A3083,Product!A:A,Product!B:B,"Bulunamadı")</f>
        <v>Tech</v>
      </c>
      <c r="F3083" s="1" t="str">
        <f t="array" ref="F3083">_xlfn.XLOOKUP(A3083,Product!A:A,Product!C:C,"Bulunamadı")</f>
        <v>Winter Sports</v>
      </c>
      <c r="G3083" s="2" t="str">
        <f t="array" ref="G3083">_xlfn.XLOOKUP(A3084,Product!A:A,Product!D:D,"Bulunamadı")</f>
        <v>Brightpoint Press</v>
      </c>
      <c r="H3083" s="2">
        <f t="array" ref="H3083">_xlfn.XLOOKUP(A3085,Product!A:A,Product!E:E,"Bulunamadı")</f>
        <v>6.62</v>
      </c>
      <c r="I3083" s="2" t="str">
        <f t="shared" si="1"/>
        <v>86183 - Tech - Winter Sports</v>
      </c>
      <c r="J3083" s="2">
        <f t="shared" si="2"/>
        <v>999.62</v>
      </c>
      <c r="K3083" s="17">
        <f t="shared" si="3"/>
        <v>1</v>
      </c>
      <c r="L3083" s="18"/>
    </row>
    <row r="3084" hidden="1">
      <c r="A3084" s="2">
        <f>IFERROR(__xludf.DUMMYFUNCTION("""COMPUTED_VALUE"""),122595.0)</f>
        <v>122595</v>
      </c>
      <c r="B3084" s="2">
        <f>IFERROR(__xludf.DUMMYFUNCTION("""COMPUTED_VALUE"""),1.0)</f>
        <v>1</v>
      </c>
      <c r="C3084" s="2">
        <f>IFERROR(__xludf.DUMMYFUNCTION("""COMPUTED_VALUE"""),668.0)</f>
        <v>668</v>
      </c>
      <c r="D3084" s="3">
        <f>IFERROR(__xludf.DUMMYFUNCTION("""COMPUTED_VALUE"""),58.0)</f>
        <v>58</v>
      </c>
      <c r="E3084" s="1" t="str">
        <f t="array" ref="E3084">_xlfn.XLOOKUP(A3084,Product!A:A,Product!B:B,"Bulunamadı")</f>
        <v>Tech</v>
      </c>
      <c r="F3084" s="1" t="str">
        <f t="array" ref="F3084">_xlfn.XLOOKUP(A3084,Product!A:A,Product!C:C,"Bulunamadı")</f>
        <v>Winter Sports</v>
      </c>
      <c r="G3084" s="2" t="str">
        <f t="array" ref="G3084">_xlfn.XLOOKUP(A3085,Product!A:A,Product!D:D,"Bulunamadı")</f>
        <v>Brightpoint Press</v>
      </c>
      <c r="H3084" s="2">
        <f t="array" ref="H3084">_xlfn.XLOOKUP(A3086,Product!A:A,Product!E:E,"Bulunamadı")</f>
        <v>3.19</v>
      </c>
      <c r="I3084" s="2" t="str">
        <f t="shared" si="1"/>
        <v>122595 - Tech - Winter Sports</v>
      </c>
      <c r="J3084" s="2">
        <f t="shared" si="2"/>
        <v>185.02</v>
      </c>
      <c r="K3084" s="17">
        <f t="shared" si="3"/>
        <v>1</v>
      </c>
      <c r="L3084" s="18"/>
    </row>
    <row r="3085" hidden="1">
      <c r="A3085" s="2">
        <f>IFERROR(__xludf.DUMMYFUNCTION("""COMPUTED_VALUE"""),70338.0)</f>
        <v>70338</v>
      </c>
      <c r="B3085" s="2">
        <f>IFERROR(__xludf.DUMMYFUNCTION("""COMPUTED_VALUE"""),1.0)</f>
        <v>1</v>
      </c>
      <c r="C3085" s="2">
        <f>IFERROR(__xludf.DUMMYFUNCTION("""COMPUTED_VALUE"""),985.0)</f>
        <v>985</v>
      </c>
      <c r="D3085" s="3">
        <f>IFERROR(__xludf.DUMMYFUNCTION("""COMPUTED_VALUE"""),377.0)</f>
        <v>377</v>
      </c>
      <c r="E3085" s="1" t="str">
        <f t="array" ref="E3085">_xlfn.XLOOKUP(A3085,Product!A:A,Product!B:B,"Bulunamadı")</f>
        <v>Tech</v>
      </c>
      <c r="F3085" s="1" t="str">
        <f t="array" ref="F3085">_xlfn.XLOOKUP(A3085,Product!A:A,Product!C:C,"Bulunamadı")</f>
        <v>Winter Sports</v>
      </c>
      <c r="G3085" s="2" t="str">
        <f t="array" ref="G3085">_xlfn.XLOOKUP(A3086,Product!A:A,Product!D:D,"Bulunamadı")</f>
        <v>Brightpoint Press</v>
      </c>
      <c r="H3085" s="2">
        <f t="array" ref="H3085">_xlfn.XLOOKUP(A3087,Product!A:A,Product!E:E,"Bulunamadı")</f>
        <v>5.36</v>
      </c>
      <c r="I3085" s="2" t="str">
        <f t="shared" si="1"/>
        <v>70338 - Tech - Winter Sports</v>
      </c>
      <c r="J3085" s="2">
        <f t="shared" si="2"/>
        <v>2020.72</v>
      </c>
      <c r="K3085" s="17">
        <f t="shared" si="3"/>
        <v>1</v>
      </c>
      <c r="L3085" s="18"/>
    </row>
    <row r="3086" hidden="1">
      <c r="A3086" s="2">
        <f>IFERROR(__xludf.DUMMYFUNCTION("""COMPUTED_VALUE"""),114273.0)</f>
        <v>114273</v>
      </c>
      <c r="B3086" s="2">
        <f>IFERROR(__xludf.DUMMYFUNCTION("""COMPUTED_VALUE"""),1.0)</f>
        <v>1</v>
      </c>
      <c r="C3086" s="2">
        <f>IFERROR(__xludf.DUMMYFUNCTION("""COMPUTED_VALUE"""),53.0)</f>
        <v>53</v>
      </c>
      <c r="D3086" s="3">
        <f>IFERROR(__xludf.DUMMYFUNCTION("""COMPUTED_VALUE"""),3.0)</f>
        <v>3</v>
      </c>
      <c r="E3086" s="1" t="str">
        <f t="array" ref="E3086">_xlfn.XLOOKUP(A3086,Product!A:A,Product!B:B,"Bulunamadı")</f>
        <v>Tech</v>
      </c>
      <c r="F3086" s="1" t="str">
        <f t="array" ref="F3086">_xlfn.XLOOKUP(A3086,Product!A:A,Product!C:C,"Bulunamadı")</f>
        <v>Winter Sports</v>
      </c>
      <c r="G3086" s="2" t="str">
        <f t="array" ref="G3086">_xlfn.XLOOKUP(A3087,Product!A:A,Product!D:D,"Bulunamadı")</f>
        <v>Brightpoint Press</v>
      </c>
      <c r="H3086" s="2">
        <f t="array" ref="H3086">_xlfn.XLOOKUP(A3088,Product!A:A,Product!E:E,"Bulunamadı")</f>
        <v>6.33</v>
      </c>
      <c r="I3086" s="2" t="str">
        <f t="shared" si="1"/>
        <v>114273 - Tech - Winter Sports</v>
      </c>
      <c r="J3086" s="2">
        <f t="shared" si="2"/>
        <v>18.99</v>
      </c>
      <c r="K3086" s="17">
        <f t="shared" si="3"/>
        <v>1</v>
      </c>
      <c r="L3086" s="18"/>
    </row>
    <row r="3087" hidden="1">
      <c r="A3087" s="2">
        <f>IFERROR(__xludf.DUMMYFUNCTION("""COMPUTED_VALUE"""),110849.0)</f>
        <v>110849</v>
      </c>
      <c r="B3087" s="2">
        <f>IFERROR(__xludf.DUMMYFUNCTION("""COMPUTED_VALUE"""),1.0)</f>
        <v>1</v>
      </c>
      <c r="C3087" s="2">
        <f>IFERROR(__xludf.DUMMYFUNCTION("""COMPUTED_VALUE"""),560.0)</f>
        <v>560</v>
      </c>
      <c r="D3087" s="3">
        <f>IFERROR(__xludf.DUMMYFUNCTION("""COMPUTED_VALUE"""),499.0)</f>
        <v>499</v>
      </c>
      <c r="E3087" s="1" t="str">
        <f t="array" ref="E3087">_xlfn.XLOOKUP(A3087,Product!A:A,Product!B:B,"Bulunamadı")</f>
        <v>Tech</v>
      </c>
      <c r="F3087" s="1" t="str">
        <f t="array" ref="F3087">_xlfn.XLOOKUP(A3087,Product!A:A,Product!C:C,"Bulunamadı")</f>
        <v>Winter Sports</v>
      </c>
      <c r="G3087" s="2" t="str">
        <f t="array" ref="G3087">_xlfn.XLOOKUP(A3088,Product!A:A,Product!D:D,"Bulunamadı")</f>
        <v>Brightpoint Press</v>
      </c>
      <c r="H3087" s="2">
        <f t="array" ref="H3087">_xlfn.XLOOKUP(A3089,Product!A:A,Product!E:E,"Bulunamadı")</f>
        <v>6.39</v>
      </c>
      <c r="I3087" s="2" t="str">
        <f t="shared" si="1"/>
        <v>110849 - Tech - Winter Sports</v>
      </c>
      <c r="J3087" s="2">
        <f t="shared" si="2"/>
        <v>3188.61</v>
      </c>
      <c r="K3087" s="17">
        <f t="shared" si="3"/>
        <v>1</v>
      </c>
      <c r="L3087" s="18"/>
    </row>
    <row r="3088" hidden="1">
      <c r="A3088" s="2">
        <f>IFERROR(__xludf.DUMMYFUNCTION("""COMPUTED_VALUE"""),45056.0)</f>
        <v>45056</v>
      </c>
      <c r="B3088" s="2">
        <f>IFERROR(__xludf.DUMMYFUNCTION("""COMPUTED_VALUE"""),1.0)</f>
        <v>1</v>
      </c>
      <c r="C3088" s="2">
        <f>IFERROR(__xludf.DUMMYFUNCTION("""COMPUTED_VALUE"""),932.0)</f>
        <v>932</v>
      </c>
      <c r="D3088" s="3">
        <f>IFERROR(__xludf.DUMMYFUNCTION("""COMPUTED_VALUE"""),70.0)</f>
        <v>70</v>
      </c>
      <c r="E3088" s="1" t="str">
        <f t="array" ref="E3088">_xlfn.XLOOKUP(A3088,Product!A:A,Product!B:B,"Bulunamadı")</f>
        <v>Tech</v>
      </c>
      <c r="F3088" s="1" t="str">
        <f t="array" ref="F3088">_xlfn.XLOOKUP(A3088,Product!A:A,Product!C:C,"Bulunamadı")</f>
        <v>Winter Sports</v>
      </c>
      <c r="G3088" s="2" t="str">
        <f t="array" ref="G3088">_xlfn.XLOOKUP(A3089,Product!A:A,Product!D:D,"Bulunamadı")</f>
        <v>Brightpoint Press</v>
      </c>
      <c r="H3088" s="2">
        <f t="array" ref="H3088">_xlfn.XLOOKUP(A3090,Product!A:A,Product!E:E,"Bulunamadı")</f>
        <v>3.65</v>
      </c>
      <c r="I3088" s="2" t="str">
        <f t="shared" si="1"/>
        <v>45056 - Tech - Winter Sports</v>
      </c>
      <c r="J3088" s="2">
        <f t="shared" si="2"/>
        <v>255.5</v>
      </c>
      <c r="K3088" s="17">
        <f t="shared" si="3"/>
        <v>1</v>
      </c>
      <c r="L3088" s="18"/>
    </row>
    <row r="3089" hidden="1">
      <c r="A3089" s="2">
        <f>IFERROR(__xludf.DUMMYFUNCTION("""COMPUTED_VALUE"""),92633.0)</f>
        <v>92633</v>
      </c>
      <c r="B3089" s="2">
        <f>IFERROR(__xludf.DUMMYFUNCTION("""COMPUTED_VALUE"""),1.0)</f>
        <v>1</v>
      </c>
      <c r="C3089" s="2">
        <f>IFERROR(__xludf.DUMMYFUNCTION("""COMPUTED_VALUE"""),330.0)</f>
        <v>330</v>
      </c>
      <c r="D3089" s="3">
        <f>IFERROR(__xludf.DUMMYFUNCTION("""COMPUTED_VALUE"""),251.0)</f>
        <v>251</v>
      </c>
      <c r="E3089" s="1" t="str">
        <f t="array" ref="E3089">_xlfn.XLOOKUP(A3089,Product!A:A,Product!B:B,"Bulunamadı")</f>
        <v>Tech</v>
      </c>
      <c r="F3089" s="1" t="str">
        <f t="array" ref="F3089">_xlfn.XLOOKUP(A3089,Product!A:A,Product!C:C,"Bulunamadı")</f>
        <v>Winter Sports</v>
      </c>
      <c r="G3089" s="2" t="str">
        <f t="array" ref="G3089">_xlfn.XLOOKUP(A3090,Product!A:A,Product!D:D,"Bulunamadı")</f>
        <v>Brightpoint Press</v>
      </c>
      <c r="H3089" s="2">
        <f t="array" ref="H3089">_xlfn.XLOOKUP(A3091,Product!A:A,Product!E:E,"Bulunamadı")</f>
        <v>2.97</v>
      </c>
      <c r="I3089" s="2" t="str">
        <f t="shared" si="1"/>
        <v>92633 - Tech - Winter Sports</v>
      </c>
      <c r="J3089" s="2">
        <f t="shared" si="2"/>
        <v>745.47</v>
      </c>
      <c r="K3089" s="17">
        <f t="shared" si="3"/>
        <v>1</v>
      </c>
      <c r="L3089" s="18"/>
    </row>
    <row r="3090" hidden="1">
      <c r="A3090" s="2">
        <f>IFERROR(__xludf.DUMMYFUNCTION("""COMPUTED_VALUE"""),111011.0)</f>
        <v>111011</v>
      </c>
      <c r="B3090" s="2">
        <f>IFERROR(__xludf.DUMMYFUNCTION("""COMPUTED_VALUE"""),0.0)</f>
        <v>0</v>
      </c>
      <c r="C3090" s="2">
        <f>IFERROR(__xludf.DUMMYFUNCTION("""COMPUTED_VALUE"""),896.0)</f>
        <v>896</v>
      </c>
      <c r="D3090" s="3">
        <f>IFERROR(__xludf.DUMMYFUNCTION("""COMPUTED_VALUE"""),241.0)</f>
        <v>241</v>
      </c>
      <c r="E3090" s="1" t="str">
        <f t="array" ref="E3090">_xlfn.XLOOKUP(A3090,Product!A:A,Product!B:B,"Bulunamadı")</f>
        <v>Tech</v>
      </c>
      <c r="F3090" s="1" t="str">
        <f t="array" ref="F3090">_xlfn.XLOOKUP(A3090,Product!A:A,Product!C:C,"Bulunamadı")</f>
        <v>Winter Sports</v>
      </c>
      <c r="G3090" s="2" t="str">
        <f t="array" ref="G3090">_xlfn.XLOOKUP(A3091,Product!A:A,Product!D:D,"Bulunamadı")</f>
        <v>Brightpoint Press</v>
      </c>
      <c r="H3090" s="2">
        <f t="array" ref="H3090">_xlfn.XLOOKUP(A3092,Product!A:A,Product!E:E,"Bulunamadı")</f>
        <v>4</v>
      </c>
      <c r="I3090" s="2" t="str">
        <f t="shared" si="1"/>
        <v>111011 - Tech - Winter Sports</v>
      </c>
      <c r="J3090" s="2">
        <f t="shared" si="2"/>
        <v>964</v>
      </c>
      <c r="K3090" s="17">
        <f t="shared" si="3"/>
        <v>1</v>
      </c>
      <c r="L3090" s="18"/>
    </row>
    <row r="3091" hidden="1">
      <c r="A3091" s="2">
        <f>IFERROR(__xludf.DUMMYFUNCTION("""COMPUTED_VALUE"""),11002.0)</f>
        <v>11002</v>
      </c>
      <c r="B3091" s="2">
        <f>IFERROR(__xludf.DUMMYFUNCTION("""COMPUTED_VALUE"""),0.0)</f>
        <v>0</v>
      </c>
      <c r="C3091" s="2">
        <f>IFERROR(__xludf.DUMMYFUNCTION("""COMPUTED_VALUE"""),724.0)</f>
        <v>724</v>
      </c>
      <c r="D3091" s="3">
        <f>IFERROR(__xludf.DUMMYFUNCTION("""COMPUTED_VALUE"""),451.0)</f>
        <v>451</v>
      </c>
      <c r="E3091" s="1" t="str">
        <f t="array" ref="E3091">_xlfn.XLOOKUP(A3091,Product!A:A,Product!B:B,"Bulunamadı")</f>
        <v>Tech</v>
      </c>
      <c r="F3091" s="1" t="str">
        <f t="array" ref="F3091">_xlfn.XLOOKUP(A3091,Product!A:A,Product!C:C,"Bulunamadı")</f>
        <v>Winter Sports</v>
      </c>
      <c r="G3091" s="2" t="str">
        <f t="array" ref="G3091">_xlfn.XLOOKUP(A3092,Product!A:A,Product!D:D,"Bulunamadı")</f>
        <v>Brightpoint Press</v>
      </c>
      <c r="H3091" s="2">
        <f t="array" ref="H3091">_xlfn.XLOOKUP(A3093,Product!A:A,Product!E:E,"Bulunamadı")</f>
        <v>2.68</v>
      </c>
      <c r="I3091" s="2" t="str">
        <f t="shared" si="1"/>
        <v>11002 - Tech - Winter Sports</v>
      </c>
      <c r="J3091" s="2">
        <f t="shared" si="2"/>
        <v>1208.68</v>
      </c>
      <c r="K3091" s="17">
        <f t="shared" si="3"/>
        <v>1</v>
      </c>
      <c r="L3091" s="18"/>
    </row>
    <row r="3092" hidden="1">
      <c r="A3092" s="2">
        <f>IFERROR(__xludf.DUMMYFUNCTION("""COMPUTED_VALUE"""),80661.0)</f>
        <v>80661</v>
      </c>
      <c r="B3092" s="2">
        <f>IFERROR(__xludf.DUMMYFUNCTION("""COMPUTED_VALUE"""),1.0)</f>
        <v>1</v>
      </c>
      <c r="C3092" s="2">
        <f>IFERROR(__xludf.DUMMYFUNCTION("""COMPUTED_VALUE"""),842.0)</f>
        <v>842</v>
      </c>
      <c r="D3092" s="3">
        <f>IFERROR(__xludf.DUMMYFUNCTION("""COMPUTED_VALUE"""),446.0)</f>
        <v>446</v>
      </c>
      <c r="E3092" s="1" t="str">
        <f t="array" ref="E3092">_xlfn.XLOOKUP(A3092,Product!A:A,Product!B:B,"Bulunamadı")</f>
        <v>Tech</v>
      </c>
      <c r="F3092" s="1" t="str">
        <f t="array" ref="F3092">_xlfn.XLOOKUP(A3092,Product!A:A,Product!C:C,"Bulunamadı")</f>
        <v>Winter Sports</v>
      </c>
      <c r="G3092" s="2" t="str">
        <f t="array" ref="G3092">_xlfn.XLOOKUP(A3093,Product!A:A,Product!D:D,"Bulunamadı")</f>
        <v>Brightpoint Press</v>
      </c>
      <c r="H3092" s="2">
        <f t="array" ref="H3092">_xlfn.XLOOKUP(A3094,Product!A:A,Product!E:E,"Bulunamadı")</f>
        <v>3.68</v>
      </c>
      <c r="I3092" s="2" t="str">
        <f t="shared" si="1"/>
        <v>80661 - Tech - Winter Sports</v>
      </c>
      <c r="J3092" s="2">
        <f t="shared" si="2"/>
        <v>1641.28</v>
      </c>
      <c r="K3092" s="17">
        <f t="shared" si="3"/>
        <v>1</v>
      </c>
      <c r="L3092" s="18"/>
    </row>
    <row r="3093" hidden="1">
      <c r="A3093" s="2">
        <f>IFERROR(__xludf.DUMMYFUNCTION("""COMPUTED_VALUE"""),128310.0)</f>
        <v>128310</v>
      </c>
      <c r="B3093" s="2">
        <f>IFERROR(__xludf.DUMMYFUNCTION("""COMPUTED_VALUE"""),0.0)</f>
        <v>0</v>
      </c>
      <c r="C3093" s="2">
        <f>IFERROR(__xludf.DUMMYFUNCTION("""COMPUTED_VALUE"""),541.0)</f>
        <v>541</v>
      </c>
      <c r="D3093" s="3">
        <f>IFERROR(__xludf.DUMMYFUNCTION("""COMPUTED_VALUE"""),221.0)</f>
        <v>221</v>
      </c>
      <c r="E3093" s="1" t="str">
        <f t="array" ref="E3093">_xlfn.XLOOKUP(A3093,Product!A:A,Product!B:B,"Bulunamadı")</f>
        <v>Tech</v>
      </c>
      <c r="F3093" s="1" t="str">
        <f t="array" ref="F3093">_xlfn.XLOOKUP(A3093,Product!A:A,Product!C:C,"Bulunamadı")</f>
        <v>Winter Sports</v>
      </c>
      <c r="G3093" s="2" t="str">
        <f t="array" ref="G3093">_xlfn.XLOOKUP(A3094,Product!A:A,Product!D:D,"Bulunamadı")</f>
        <v>Brightpoint Press</v>
      </c>
      <c r="H3093" s="2">
        <f t="array" ref="H3093">_xlfn.XLOOKUP(A3095,Product!A:A,Product!E:E,"Bulunamadı")</f>
        <v>2.89</v>
      </c>
      <c r="I3093" s="2" t="str">
        <f t="shared" si="1"/>
        <v>128310 - Tech - Winter Sports</v>
      </c>
      <c r="J3093" s="2">
        <f t="shared" si="2"/>
        <v>638.69</v>
      </c>
      <c r="K3093" s="17">
        <f t="shared" si="3"/>
        <v>1</v>
      </c>
      <c r="L3093" s="18"/>
    </row>
    <row r="3094" hidden="1">
      <c r="A3094" s="2">
        <f>IFERROR(__xludf.DUMMYFUNCTION("""COMPUTED_VALUE"""),182193.0)</f>
        <v>182193</v>
      </c>
      <c r="B3094" s="2">
        <f>IFERROR(__xludf.DUMMYFUNCTION("""COMPUTED_VALUE"""),1.0)</f>
        <v>1</v>
      </c>
      <c r="C3094" s="2">
        <f>IFERROR(__xludf.DUMMYFUNCTION("""COMPUTED_VALUE"""),339.0)</f>
        <v>339</v>
      </c>
      <c r="D3094" s="3">
        <f>IFERROR(__xludf.DUMMYFUNCTION("""COMPUTED_VALUE"""),286.0)</f>
        <v>286</v>
      </c>
      <c r="E3094" s="1" t="str">
        <f t="array" ref="E3094">_xlfn.XLOOKUP(A3094,Product!A:A,Product!B:B,"Bulunamadı")</f>
        <v>Tech</v>
      </c>
      <c r="F3094" s="1" t="str">
        <f t="array" ref="F3094">_xlfn.XLOOKUP(A3094,Product!A:A,Product!C:C,"Bulunamadı")</f>
        <v>Winter Sports</v>
      </c>
      <c r="G3094" s="2" t="str">
        <f t="array" ref="G3094">_xlfn.XLOOKUP(A3095,Product!A:A,Product!D:D,"Bulunamadı")</f>
        <v>Brightpoint Press</v>
      </c>
      <c r="H3094" s="2">
        <f t="array" ref="H3094">_xlfn.XLOOKUP(A3096,Product!A:A,Product!E:E,"Bulunamadı")</f>
        <v>4.2</v>
      </c>
      <c r="I3094" s="2" t="str">
        <f t="shared" si="1"/>
        <v>182193 - Tech - Winter Sports</v>
      </c>
      <c r="J3094" s="2">
        <f t="shared" si="2"/>
        <v>1201.2</v>
      </c>
      <c r="K3094" s="17">
        <f t="shared" si="3"/>
        <v>1</v>
      </c>
      <c r="L3094" s="18"/>
    </row>
    <row r="3095" hidden="1">
      <c r="A3095" s="2">
        <f>IFERROR(__xludf.DUMMYFUNCTION("""COMPUTED_VALUE"""),116771.0)</f>
        <v>116771</v>
      </c>
      <c r="B3095" s="2">
        <f>IFERROR(__xludf.DUMMYFUNCTION("""COMPUTED_VALUE"""),1.0)</f>
        <v>1</v>
      </c>
      <c r="C3095" s="2">
        <f>IFERROR(__xludf.DUMMYFUNCTION("""COMPUTED_VALUE"""),0.0)</f>
        <v>0</v>
      </c>
      <c r="D3095" s="3">
        <f>IFERROR(__xludf.DUMMYFUNCTION("""COMPUTED_VALUE"""),0.0)</f>
        <v>0</v>
      </c>
      <c r="E3095" s="1" t="str">
        <f t="array" ref="E3095">_xlfn.XLOOKUP(A3095,Product!A:A,Product!B:B,"Bulunamadı")</f>
        <v>Tech</v>
      </c>
      <c r="F3095" s="1" t="str">
        <f t="array" ref="F3095">_xlfn.XLOOKUP(A3095,Product!A:A,Product!C:C,"Bulunamadı")</f>
        <v>Winter Sports</v>
      </c>
      <c r="G3095" s="2" t="str">
        <f t="array" ref="G3095">_xlfn.XLOOKUP(A3096,Product!A:A,Product!D:D,"Bulunamadı")</f>
        <v>Brightpoint Press</v>
      </c>
      <c r="H3095" s="2">
        <f t="array" ref="H3095">_xlfn.XLOOKUP(A3097,Product!A:A,Product!E:E,"Bulunamadı")</f>
        <v>3.68</v>
      </c>
      <c r="I3095" s="2" t="str">
        <f t="shared" si="1"/>
        <v>116771 - Tech - Winter Sports</v>
      </c>
      <c r="J3095" s="2">
        <f t="shared" si="2"/>
        <v>0</v>
      </c>
      <c r="K3095" s="17">
        <f t="shared" si="3"/>
        <v>0</v>
      </c>
      <c r="L3095" s="18"/>
    </row>
    <row r="3096" hidden="1">
      <c r="A3096" s="2">
        <f>IFERROR(__xludf.DUMMYFUNCTION("""COMPUTED_VALUE"""),103245.0)</f>
        <v>103245</v>
      </c>
      <c r="B3096" s="2">
        <f>IFERROR(__xludf.DUMMYFUNCTION("""COMPUTED_VALUE"""),0.0)</f>
        <v>0</v>
      </c>
      <c r="C3096" s="2">
        <f>IFERROR(__xludf.DUMMYFUNCTION("""COMPUTED_VALUE"""),327.0)</f>
        <v>327</v>
      </c>
      <c r="D3096" s="3">
        <f>IFERROR(__xludf.DUMMYFUNCTION("""COMPUTED_VALUE"""),126.0)</f>
        <v>126</v>
      </c>
      <c r="E3096" s="1" t="str">
        <f t="array" ref="E3096">_xlfn.XLOOKUP(A3096,Product!A:A,Product!B:B,"Bulunamadı")</f>
        <v>Tech</v>
      </c>
      <c r="F3096" s="1" t="str">
        <f t="array" ref="F3096">_xlfn.XLOOKUP(A3096,Product!A:A,Product!C:C,"Bulunamadı")</f>
        <v>Winter Sports</v>
      </c>
      <c r="G3096" s="2" t="str">
        <f t="array" ref="G3096">_xlfn.XLOOKUP(A3097,Product!A:A,Product!D:D,"Bulunamadı")</f>
        <v>Brightpoint Press</v>
      </c>
      <c r="H3096" s="2">
        <f t="array" ref="H3096">_xlfn.XLOOKUP(A3098,Product!A:A,Product!E:E,"Bulunamadı")</f>
        <v>2.53</v>
      </c>
      <c r="I3096" s="2" t="str">
        <f t="shared" si="1"/>
        <v>103245 - Tech - Winter Sports</v>
      </c>
      <c r="J3096" s="2">
        <f t="shared" si="2"/>
        <v>318.78</v>
      </c>
      <c r="K3096" s="17">
        <f t="shared" si="3"/>
        <v>1</v>
      </c>
      <c r="L3096" s="18"/>
    </row>
    <row r="3097" hidden="1">
      <c r="A3097" s="2">
        <f>IFERROR(__xludf.DUMMYFUNCTION("""COMPUTED_VALUE"""),1961.0)</f>
        <v>1961</v>
      </c>
      <c r="B3097" s="2">
        <f>IFERROR(__xludf.DUMMYFUNCTION("""COMPUTED_VALUE"""),0.0)</f>
        <v>0</v>
      </c>
      <c r="C3097" s="2">
        <f>IFERROR(__xludf.DUMMYFUNCTION("""COMPUTED_VALUE"""),371.0)</f>
        <v>371</v>
      </c>
      <c r="D3097" s="3">
        <f>IFERROR(__xludf.DUMMYFUNCTION("""COMPUTED_VALUE"""),85.0)</f>
        <v>85</v>
      </c>
      <c r="E3097" s="1" t="str">
        <f t="array" ref="E3097">_xlfn.XLOOKUP(A3097,Product!A:A,Product!B:B,"Bulunamadı")</f>
        <v>Tech</v>
      </c>
      <c r="F3097" s="1" t="str">
        <f t="array" ref="F3097">_xlfn.XLOOKUP(A3097,Product!A:A,Product!C:C,"Bulunamadı")</f>
        <v>Winter Sports</v>
      </c>
      <c r="G3097" s="2" t="str">
        <f t="array" ref="G3097">_xlfn.XLOOKUP(A3098,Product!A:A,Product!D:D,"Bulunamadı")</f>
        <v>Brightpoint Press</v>
      </c>
      <c r="H3097" s="2">
        <f t="array" ref="H3097">_xlfn.XLOOKUP(A3099,Product!A:A,Product!E:E,"Bulunamadı")</f>
        <v>6.5</v>
      </c>
      <c r="I3097" s="2" t="str">
        <f t="shared" si="1"/>
        <v>1961 - Tech - Winter Sports</v>
      </c>
      <c r="J3097" s="2">
        <f t="shared" si="2"/>
        <v>552.5</v>
      </c>
      <c r="K3097" s="17">
        <f t="shared" si="3"/>
        <v>1</v>
      </c>
      <c r="L3097" s="18"/>
    </row>
    <row r="3098" hidden="1">
      <c r="A3098" s="2">
        <f>IFERROR(__xludf.DUMMYFUNCTION("""COMPUTED_VALUE"""),128314.0)</f>
        <v>128314</v>
      </c>
      <c r="B3098" s="2">
        <f>IFERROR(__xludf.DUMMYFUNCTION("""COMPUTED_VALUE"""),1.0)</f>
        <v>1</v>
      </c>
      <c r="C3098" s="2">
        <f>IFERROR(__xludf.DUMMYFUNCTION("""COMPUTED_VALUE"""),475.0)</f>
        <v>475</v>
      </c>
      <c r="D3098" s="3">
        <f>IFERROR(__xludf.DUMMYFUNCTION("""COMPUTED_VALUE"""),296.0)</f>
        <v>296</v>
      </c>
      <c r="E3098" s="1" t="str">
        <f t="array" ref="E3098">_xlfn.XLOOKUP(A3098,Product!A:A,Product!B:B,"Bulunamadı")</f>
        <v>Tech</v>
      </c>
      <c r="F3098" s="1" t="str">
        <f t="array" ref="F3098">_xlfn.XLOOKUP(A3098,Product!A:A,Product!C:C,"Bulunamadı")</f>
        <v>Winter Sports</v>
      </c>
      <c r="G3098" s="2" t="str">
        <f t="array" ref="G3098">_xlfn.XLOOKUP(A3099,Product!A:A,Product!D:D,"Bulunamadı")</f>
        <v>Brightpoint Press</v>
      </c>
      <c r="H3098" s="2">
        <f t="array" ref="H3098">_xlfn.XLOOKUP(A3100,Product!A:A,Product!E:E,"Bulunamadı")</f>
        <v>4.63</v>
      </c>
      <c r="I3098" s="2" t="str">
        <f t="shared" si="1"/>
        <v>128314 - Tech - Winter Sports</v>
      </c>
      <c r="J3098" s="2">
        <f t="shared" si="2"/>
        <v>1370.48</v>
      </c>
      <c r="K3098" s="17">
        <f t="shared" si="3"/>
        <v>1</v>
      </c>
      <c r="L3098" s="18"/>
    </row>
    <row r="3099" hidden="1">
      <c r="A3099" s="2">
        <f>IFERROR(__xludf.DUMMYFUNCTION("""COMPUTED_VALUE"""),109993.0)</f>
        <v>109993</v>
      </c>
      <c r="B3099" s="2">
        <f>IFERROR(__xludf.DUMMYFUNCTION("""COMPUTED_VALUE"""),0.0)</f>
        <v>0</v>
      </c>
      <c r="C3099" s="2">
        <f>IFERROR(__xludf.DUMMYFUNCTION("""COMPUTED_VALUE"""),2.0)</f>
        <v>2</v>
      </c>
      <c r="D3099" s="3">
        <f>IFERROR(__xludf.DUMMYFUNCTION("""COMPUTED_VALUE"""),0.0)</f>
        <v>0</v>
      </c>
      <c r="E3099" s="1" t="str">
        <f t="array" ref="E3099">_xlfn.XLOOKUP(A3099,Product!A:A,Product!B:B,"Bulunamadı")</f>
        <v>Tech</v>
      </c>
      <c r="F3099" s="1" t="str">
        <f t="array" ref="F3099">_xlfn.XLOOKUP(A3099,Product!A:A,Product!C:C,"Bulunamadı")</f>
        <v>Winter Sports</v>
      </c>
      <c r="G3099" s="2" t="str">
        <f t="array" ref="G3099">_xlfn.XLOOKUP(A3100,Product!A:A,Product!D:D,"Bulunamadı")</f>
        <v>Brightpoint Press</v>
      </c>
      <c r="H3099" s="2">
        <f t="array" ref="H3099">_xlfn.XLOOKUP(A3101,Product!A:A,Product!E:E,"Bulunamadı")</f>
        <v>5.39</v>
      </c>
      <c r="I3099" s="2" t="str">
        <f t="shared" si="1"/>
        <v>109993 - Tech - Winter Sports</v>
      </c>
      <c r="J3099" s="2">
        <f t="shared" si="2"/>
        <v>0</v>
      </c>
      <c r="K3099" s="17">
        <f t="shared" si="3"/>
        <v>0</v>
      </c>
      <c r="L3099" s="18"/>
    </row>
    <row r="3100" hidden="1">
      <c r="A3100" s="2">
        <f>IFERROR(__xludf.DUMMYFUNCTION("""COMPUTED_VALUE"""),117270.0)</f>
        <v>117270</v>
      </c>
      <c r="B3100" s="2">
        <f>IFERROR(__xludf.DUMMYFUNCTION("""COMPUTED_VALUE"""),1.0)</f>
        <v>1</v>
      </c>
      <c r="C3100" s="2">
        <f>IFERROR(__xludf.DUMMYFUNCTION("""COMPUTED_VALUE"""),186.0)</f>
        <v>186</v>
      </c>
      <c r="D3100" s="3">
        <f>IFERROR(__xludf.DUMMYFUNCTION("""COMPUTED_VALUE"""),168.0)</f>
        <v>168</v>
      </c>
      <c r="E3100" s="1" t="str">
        <f t="array" ref="E3100">_xlfn.XLOOKUP(A3100,Product!A:A,Product!B:B,"Bulunamadı")</f>
        <v>Tech</v>
      </c>
      <c r="F3100" s="1" t="str">
        <f t="array" ref="F3100">_xlfn.XLOOKUP(A3100,Product!A:A,Product!C:C,"Bulunamadı")</f>
        <v>Winter Sports</v>
      </c>
      <c r="G3100" s="2" t="str">
        <f t="array" ref="G3100">_xlfn.XLOOKUP(A3101,Product!A:A,Product!D:D,"Bulunamadı")</f>
        <v>Brightpoint Press</v>
      </c>
      <c r="H3100" s="2">
        <f t="array" ref="H3100">_xlfn.XLOOKUP(A3102,Product!A:A,Product!E:E,"Bulunamadı")</f>
        <v>19.99</v>
      </c>
      <c r="I3100" s="2" t="str">
        <f t="shared" si="1"/>
        <v>117270 - Tech - Winter Sports</v>
      </c>
      <c r="J3100" s="2">
        <f t="shared" si="2"/>
        <v>3358.32</v>
      </c>
      <c r="K3100" s="17">
        <f t="shared" si="3"/>
        <v>1</v>
      </c>
      <c r="L3100" s="18"/>
    </row>
    <row r="3101" hidden="1">
      <c r="A3101" s="2">
        <f>IFERROR(__xludf.DUMMYFUNCTION("""COMPUTED_VALUE"""),42748.0)</f>
        <v>42748</v>
      </c>
      <c r="B3101" s="2">
        <f>IFERROR(__xludf.DUMMYFUNCTION("""COMPUTED_VALUE"""),1.0)</f>
        <v>1</v>
      </c>
      <c r="C3101" s="2">
        <f>IFERROR(__xludf.DUMMYFUNCTION("""COMPUTED_VALUE"""),207.0)</f>
        <v>207</v>
      </c>
      <c r="D3101" s="3">
        <f>IFERROR(__xludf.DUMMYFUNCTION("""COMPUTED_VALUE"""),82.0)</f>
        <v>82</v>
      </c>
      <c r="E3101" s="1" t="str">
        <f t="array" ref="E3101">_xlfn.XLOOKUP(A3101,Product!A:A,Product!B:B,"Bulunamadı")</f>
        <v>Tech</v>
      </c>
      <c r="F3101" s="1" t="str">
        <f t="array" ref="F3101">_xlfn.XLOOKUP(A3101,Product!A:A,Product!C:C,"Bulunamadı")</f>
        <v>Winter Sports</v>
      </c>
      <c r="G3101" s="2" t="str">
        <f t="array" ref="G3101">_xlfn.XLOOKUP(A3102,Product!A:A,Product!D:D,"Bulunamadı")</f>
        <v>Brightpoint Press</v>
      </c>
      <c r="H3101" s="2">
        <f t="array" ref="H3101">_xlfn.XLOOKUP(A3103,Product!A:A,Product!E:E,"Bulunamadı")</f>
        <v>5.36</v>
      </c>
      <c r="I3101" s="2" t="str">
        <f t="shared" si="1"/>
        <v>42748 - Tech - Winter Sports</v>
      </c>
      <c r="J3101" s="2">
        <f t="shared" si="2"/>
        <v>439.52</v>
      </c>
      <c r="K3101" s="17">
        <f t="shared" si="3"/>
        <v>1</v>
      </c>
      <c r="L3101" s="18"/>
    </row>
    <row r="3102" hidden="1">
      <c r="A3102" s="2">
        <f>IFERROR(__xludf.DUMMYFUNCTION("""COMPUTED_VALUE"""),110447.0)</f>
        <v>110447</v>
      </c>
      <c r="B3102" s="2">
        <f>IFERROR(__xludf.DUMMYFUNCTION("""COMPUTED_VALUE"""),1.0)</f>
        <v>1</v>
      </c>
      <c r="C3102" s="2">
        <f>IFERROR(__xludf.DUMMYFUNCTION("""COMPUTED_VALUE"""),468.0)</f>
        <v>468</v>
      </c>
      <c r="D3102" s="3">
        <f>IFERROR(__xludf.DUMMYFUNCTION("""COMPUTED_VALUE"""),255.0)</f>
        <v>255</v>
      </c>
      <c r="E3102" s="1" t="str">
        <f t="array" ref="E3102">_xlfn.XLOOKUP(A3102,Product!A:A,Product!B:B,"Bulunamadı")</f>
        <v>Tech</v>
      </c>
      <c r="F3102" s="1" t="str">
        <f t="array" ref="F3102">_xlfn.XLOOKUP(A3102,Product!A:A,Product!C:C,"Bulunamadı")</f>
        <v>Winter Sports</v>
      </c>
      <c r="G3102" s="2" t="str">
        <f t="array" ref="G3102">_xlfn.XLOOKUP(A3103,Product!A:A,Product!D:D,"Bulunamadı")</f>
        <v>Brightpoint Press</v>
      </c>
      <c r="H3102" s="2">
        <f t="array" ref="H3102">_xlfn.XLOOKUP(A3104,Product!A:A,Product!E:E,"Bulunamadı")</f>
        <v>5.5</v>
      </c>
      <c r="I3102" s="2" t="str">
        <f t="shared" si="1"/>
        <v>110447 - Tech - Winter Sports</v>
      </c>
      <c r="J3102" s="2">
        <f t="shared" si="2"/>
        <v>1402.5</v>
      </c>
      <c r="K3102" s="17">
        <f t="shared" si="3"/>
        <v>1</v>
      </c>
      <c r="L3102" s="18"/>
    </row>
    <row r="3103" hidden="1">
      <c r="A3103" s="2">
        <f>IFERROR(__xludf.DUMMYFUNCTION("""COMPUTED_VALUE"""),46979.0)</f>
        <v>46979</v>
      </c>
      <c r="B3103" s="2">
        <f>IFERROR(__xludf.DUMMYFUNCTION("""COMPUTED_VALUE"""),1.0)</f>
        <v>1</v>
      </c>
      <c r="C3103" s="2">
        <f>IFERROR(__xludf.DUMMYFUNCTION("""COMPUTED_VALUE"""),937.0)</f>
        <v>937</v>
      </c>
      <c r="D3103" s="3">
        <f>IFERROR(__xludf.DUMMYFUNCTION("""COMPUTED_VALUE"""),352.0)</f>
        <v>352</v>
      </c>
      <c r="E3103" s="1" t="str">
        <f t="array" ref="E3103">_xlfn.XLOOKUP(A3103,Product!A:A,Product!B:B,"Bulunamadı")</f>
        <v>Tech</v>
      </c>
      <c r="F3103" s="1" t="str">
        <f t="array" ref="F3103">_xlfn.XLOOKUP(A3103,Product!A:A,Product!C:C,"Bulunamadı")</f>
        <v>Winter Sports</v>
      </c>
      <c r="G3103" s="2" t="str">
        <f t="array" ref="G3103">_xlfn.XLOOKUP(A3104,Product!A:A,Product!D:D,"Bulunamadı")</f>
        <v>Brightpoint Press</v>
      </c>
      <c r="H3103" s="2">
        <f t="array" ref="H3103">_xlfn.XLOOKUP(A3105,Product!A:A,Product!E:E,"Bulunamadı")</f>
        <v>3.73</v>
      </c>
      <c r="I3103" s="2" t="str">
        <f t="shared" si="1"/>
        <v>46979 - Tech - Winter Sports</v>
      </c>
      <c r="J3103" s="2">
        <f t="shared" si="2"/>
        <v>1312.96</v>
      </c>
      <c r="K3103" s="17">
        <f t="shared" si="3"/>
        <v>1</v>
      </c>
      <c r="L3103" s="18"/>
    </row>
    <row r="3104" hidden="1">
      <c r="A3104" s="2">
        <f>IFERROR(__xludf.DUMMYFUNCTION("""COMPUTED_VALUE"""),1296.0)</f>
        <v>1296</v>
      </c>
      <c r="B3104" s="2">
        <f>IFERROR(__xludf.DUMMYFUNCTION("""COMPUTED_VALUE"""),1.0)</f>
        <v>1</v>
      </c>
      <c r="C3104" s="2">
        <f>IFERROR(__xludf.DUMMYFUNCTION("""COMPUTED_VALUE"""),922.0)</f>
        <v>922</v>
      </c>
      <c r="D3104" s="3">
        <f>IFERROR(__xludf.DUMMYFUNCTION("""COMPUTED_VALUE"""),690.0)</f>
        <v>690</v>
      </c>
      <c r="E3104" s="1" t="str">
        <f t="array" ref="E3104">_xlfn.XLOOKUP(A3104,Product!A:A,Product!B:B,"Bulunamadı")</f>
        <v>Tech</v>
      </c>
      <c r="F3104" s="1" t="str">
        <f t="array" ref="F3104">_xlfn.XLOOKUP(A3104,Product!A:A,Product!C:C,"Bulunamadı")</f>
        <v>Winter Sports</v>
      </c>
      <c r="G3104" s="2" t="str">
        <f t="array" ref="G3104">_xlfn.XLOOKUP(A3105,Product!A:A,Product!D:D,"Bulunamadı")</f>
        <v>Brightpoint Press</v>
      </c>
      <c r="H3104" s="2">
        <f t="array" ref="H3104">_xlfn.XLOOKUP(A3106,Product!A:A,Product!E:E,"Bulunamadı")</f>
        <v>5.39</v>
      </c>
      <c r="I3104" s="2" t="str">
        <f t="shared" si="1"/>
        <v>1296 - Tech - Winter Sports</v>
      </c>
      <c r="J3104" s="2">
        <f t="shared" si="2"/>
        <v>3719.1</v>
      </c>
      <c r="K3104" s="17">
        <f t="shared" si="3"/>
        <v>1</v>
      </c>
      <c r="L3104" s="18"/>
    </row>
    <row r="3105" hidden="1">
      <c r="A3105" s="2">
        <f>IFERROR(__xludf.DUMMYFUNCTION("""COMPUTED_VALUE"""),109973.0)</f>
        <v>109973</v>
      </c>
      <c r="B3105" s="2">
        <f>IFERROR(__xludf.DUMMYFUNCTION("""COMPUTED_VALUE"""),0.0)</f>
        <v>0</v>
      </c>
      <c r="C3105" s="2">
        <f>IFERROR(__xludf.DUMMYFUNCTION("""COMPUTED_VALUE"""),532.0)</f>
        <v>532</v>
      </c>
      <c r="D3105" s="3">
        <f>IFERROR(__xludf.DUMMYFUNCTION("""COMPUTED_VALUE"""),114.0)</f>
        <v>114</v>
      </c>
      <c r="E3105" s="1" t="str">
        <f t="array" ref="E3105">_xlfn.XLOOKUP(A3105,Product!A:A,Product!B:B,"Bulunamadı")</f>
        <v>Tech</v>
      </c>
      <c r="F3105" s="1" t="str">
        <f t="array" ref="F3105">_xlfn.XLOOKUP(A3105,Product!A:A,Product!C:C,"Bulunamadı")</f>
        <v>Winter Sports</v>
      </c>
      <c r="G3105" s="2" t="str">
        <f t="array" ref="G3105">_xlfn.XLOOKUP(A3106,Product!A:A,Product!D:D,"Bulunamadı")</f>
        <v>Brightpoint Press</v>
      </c>
      <c r="H3105" s="2">
        <f t="array" ref="H3105">_xlfn.XLOOKUP(A3107,Product!A:A,Product!E:E,"Bulunamadı")</f>
        <v>6.42</v>
      </c>
      <c r="I3105" s="2" t="str">
        <f t="shared" si="1"/>
        <v>109973 - Tech - Winter Sports</v>
      </c>
      <c r="J3105" s="2">
        <f t="shared" si="2"/>
        <v>731.88</v>
      </c>
      <c r="K3105" s="17">
        <f t="shared" si="3"/>
        <v>1</v>
      </c>
      <c r="L3105" s="18"/>
    </row>
    <row r="3106" hidden="1">
      <c r="A3106" s="2">
        <f>IFERROR(__xludf.DUMMYFUNCTION("""COMPUTED_VALUE"""),155949.0)</f>
        <v>155949</v>
      </c>
      <c r="B3106" s="2">
        <f>IFERROR(__xludf.DUMMYFUNCTION("""COMPUTED_VALUE"""),1.0)</f>
        <v>1</v>
      </c>
      <c r="C3106" s="2">
        <f>IFERROR(__xludf.DUMMYFUNCTION("""COMPUTED_VALUE"""),637.0)</f>
        <v>637</v>
      </c>
      <c r="D3106" s="3">
        <f>IFERROR(__xludf.DUMMYFUNCTION("""COMPUTED_VALUE"""),455.0)</f>
        <v>455</v>
      </c>
      <c r="E3106" s="1" t="str">
        <f t="array" ref="E3106">_xlfn.XLOOKUP(A3106,Product!A:A,Product!B:B,"Bulunamadı")</f>
        <v>Tech</v>
      </c>
      <c r="F3106" s="1" t="str">
        <f t="array" ref="F3106">_xlfn.XLOOKUP(A3106,Product!A:A,Product!C:C,"Bulunamadı")</f>
        <v>Winter Sports</v>
      </c>
      <c r="G3106" s="2" t="str">
        <f t="array" ref="G3106">_xlfn.XLOOKUP(A3107,Product!A:A,Product!D:D,"Bulunamadı")</f>
        <v>Brightpoint Press</v>
      </c>
      <c r="H3106" s="2">
        <f t="array" ref="H3106">_xlfn.XLOOKUP(A3108,Product!A:A,Product!E:E,"Bulunamadı")</f>
        <v>7.19</v>
      </c>
      <c r="I3106" s="2" t="str">
        <f t="shared" si="1"/>
        <v>155949 - Tech - Winter Sports</v>
      </c>
      <c r="J3106" s="2">
        <f t="shared" si="2"/>
        <v>3271.45</v>
      </c>
      <c r="K3106" s="17">
        <f t="shared" si="3"/>
        <v>1</v>
      </c>
      <c r="L3106" s="18"/>
    </row>
    <row r="3107" hidden="1">
      <c r="A3107" s="2">
        <f>IFERROR(__xludf.DUMMYFUNCTION("""COMPUTED_VALUE"""),187346.0)</f>
        <v>187346</v>
      </c>
      <c r="B3107" s="2">
        <f>IFERROR(__xludf.DUMMYFUNCTION("""COMPUTED_VALUE"""),1.0)</f>
        <v>1</v>
      </c>
      <c r="C3107" s="2">
        <f>IFERROR(__xludf.DUMMYFUNCTION("""COMPUTED_VALUE"""),845.0)</f>
        <v>845</v>
      </c>
      <c r="D3107" s="3">
        <f>IFERROR(__xludf.DUMMYFUNCTION("""COMPUTED_VALUE"""),331.0)</f>
        <v>331</v>
      </c>
      <c r="E3107" s="1" t="str">
        <f t="array" ref="E3107">_xlfn.XLOOKUP(A3107,Product!A:A,Product!B:B,"Bulunamadı")</f>
        <v>Tech</v>
      </c>
      <c r="F3107" s="1" t="str">
        <f t="array" ref="F3107">_xlfn.XLOOKUP(A3107,Product!A:A,Product!C:C,"Bulunamadı")</f>
        <v>Winter Sports</v>
      </c>
      <c r="G3107" s="2" t="str">
        <f t="array" ref="G3107">_xlfn.XLOOKUP(A3108,Product!A:A,Product!D:D,"Bulunamadı")</f>
        <v>Brightpoint Press</v>
      </c>
      <c r="H3107" s="2">
        <f t="array" ref="H3107">_xlfn.XLOOKUP(A3109,Product!A:A,Product!E:E,"Bulunamadı")</f>
        <v>3.65</v>
      </c>
      <c r="I3107" s="2" t="str">
        <f t="shared" si="1"/>
        <v>187346 - Tech - Winter Sports</v>
      </c>
      <c r="J3107" s="2">
        <f t="shared" si="2"/>
        <v>1208.15</v>
      </c>
      <c r="K3107" s="17">
        <f t="shared" si="3"/>
        <v>1</v>
      </c>
      <c r="L3107" s="18"/>
    </row>
    <row r="3108" hidden="1">
      <c r="A3108" s="2">
        <f>IFERROR(__xludf.DUMMYFUNCTION("""COMPUTED_VALUE"""),46978.0)</f>
        <v>46978</v>
      </c>
      <c r="B3108" s="2">
        <f>IFERROR(__xludf.DUMMYFUNCTION("""COMPUTED_VALUE"""),1.0)</f>
        <v>1</v>
      </c>
      <c r="C3108" s="2">
        <f>IFERROR(__xludf.DUMMYFUNCTION("""COMPUTED_VALUE"""),958.0)</f>
        <v>958</v>
      </c>
      <c r="D3108" s="3">
        <f>IFERROR(__xludf.DUMMYFUNCTION("""COMPUTED_VALUE"""),272.0)</f>
        <v>272</v>
      </c>
      <c r="E3108" s="1" t="str">
        <f t="array" ref="E3108">_xlfn.XLOOKUP(A3108,Product!A:A,Product!B:B,"Bulunamadı")</f>
        <v>Tech</v>
      </c>
      <c r="F3108" s="1" t="str">
        <f t="array" ref="F3108">_xlfn.XLOOKUP(A3108,Product!A:A,Product!C:C,"Bulunamadı")</f>
        <v>Winter Sports</v>
      </c>
      <c r="G3108" s="2" t="str">
        <f t="array" ref="G3108">_xlfn.XLOOKUP(A3109,Product!A:A,Product!D:D,"Bulunamadı")</f>
        <v>Brightpoint Press</v>
      </c>
      <c r="H3108" s="2">
        <f t="array" ref="H3108">_xlfn.XLOOKUP(A3110,Product!A:A,Product!E:E,"Bulunamadı")</f>
        <v>3.32</v>
      </c>
      <c r="I3108" s="2" t="str">
        <f t="shared" si="1"/>
        <v>46978 - Tech - Winter Sports</v>
      </c>
      <c r="J3108" s="2">
        <f t="shared" si="2"/>
        <v>903.04</v>
      </c>
      <c r="K3108" s="17">
        <f t="shared" si="3"/>
        <v>1</v>
      </c>
      <c r="L3108" s="18"/>
    </row>
    <row r="3109" hidden="1">
      <c r="A3109" s="2">
        <f>IFERROR(__xludf.DUMMYFUNCTION("""COMPUTED_VALUE"""),110283.0)</f>
        <v>110283</v>
      </c>
      <c r="B3109" s="2">
        <f>IFERROR(__xludf.DUMMYFUNCTION("""COMPUTED_VALUE"""),1.0)</f>
        <v>1</v>
      </c>
      <c r="C3109" s="2">
        <f>IFERROR(__xludf.DUMMYFUNCTION("""COMPUTED_VALUE"""),731.0)</f>
        <v>731</v>
      </c>
      <c r="D3109" s="3">
        <f>IFERROR(__xludf.DUMMYFUNCTION("""COMPUTED_VALUE"""),646.0)</f>
        <v>646</v>
      </c>
      <c r="E3109" s="1" t="str">
        <f t="array" ref="E3109">_xlfn.XLOOKUP(A3109,Product!A:A,Product!B:B,"Bulunamadı")</f>
        <v>Tech</v>
      </c>
      <c r="F3109" s="1" t="str">
        <f t="array" ref="F3109">_xlfn.XLOOKUP(A3109,Product!A:A,Product!C:C,"Bulunamadı")</f>
        <v>Winter Sports</v>
      </c>
      <c r="G3109" s="2" t="str">
        <f t="array" ref="G3109">_xlfn.XLOOKUP(A3110,Product!A:A,Product!D:D,"Bulunamadı")</f>
        <v>Brightpoint Press</v>
      </c>
      <c r="H3109" s="2">
        <f t="array" ref="H3109">_xlfn.XLOOKUP(A3111,Product!A:A,Product!E:E,"Bulunamadı")</f>
        <v>3.52</v>
      </c>
      <c r="I3109" s="2" t="str">
        <f t="shared" si="1"/>
        <v>110283 - Tech - Winter Sports</v>
      </c>
      <c r="J3109" s="2">
        <f t="shared" si="2"/>
        <v>2273.92</v>
      </c>
      <c r="K3109" s="17">
        <f t="shared" si="3"/>
        <v>1</v>
      </c>
      <c r="L3109" s="18"/>
    </row>
    <row r="3110" hidden="1">
      <c r="A3110" s="2">
        <f>IFERROR(__xludf.DUMMYFUNCTION("""COMPUTED_VALUE"""),147257.0)</f>
        <v>147257</v>
      </c>
      <c r="B3110" s="2">
        <f>IFERROR(__xludf.DUMMYFUNCTION("""COMPUTED_VALUE"""),1.0)</f>
        <v>1</v>
      </c>
      <c r="C3110" s="2">
        <f>IFERROR(__xludf.DUMMYFUNCTION("""COMPUTED_VALUE"""),642.0)</f>
        <v>642</v>
      </c>
      <c r="D3110" s="3">
        <f>IFERROR(__xludf.DUMMYFUNCTION("""COMPUTED_VALUE"""),491.0)</f>
        <v>491</v>
      </c>
      <c r="E3110" s="1" t="str">
        <f t="array" ref="E3110">_xlfn.XLOOKUP(A3110,Product!A:A,Product!B:B,"Bulunamadı")</f>
        <v>Tech</v>
      </c>
      <c r="F3110" s="1" t="str">
        <f t="array" ref="F3110">_xlfn.XLOOKUP(A3110,Product!A:A,Product!C:C,"Bulunamadı")</f>
        <v>Winter Sports</v>
      </c>
      <c r="G3110" s="2" t="str">
        <f t="array" ref="G3110">_xlfn.XLOOKUP(A3111,Product!A:A,Product!D:D,"Bulunamadı")</f>
        <v>Brightpoint Press</v>
      </c>
      <c r="H3110" s="2">
        <f t="array" ref="H3110">_xlfn.XLOOKUP(A3112,Product!A:A,Product!E:E,"Bulunamadı")</f>
        <v>3.61</v>
      </c>
      <c r="I3110" s="2" t="str">
        <f t="shared" si="1"/>
        <v>147257 - Tech - Winter Sports</v>
      </c>
      <c r="J3110" s="2">
        <f t="shared" si="2"/>
        <v>1772.51</v>
      </c>
      <c r="K3110" s="17">
        <f t="shared" si="3"/>
        <v>1</v>
      </c>
      <c r="L3110" s="18"/>
    </row>
    <row r="3111" hidden="1">
      <c r="A3111" s="2">
        <f>IFERROR(__xludf.DUMMYFUNCTION("""COMPUTED_VALUE"""),182191.0)</f>
        <v>182191</v>
      </c>
      <c r="B3111" s="2">
        <f>IFERROR(__xludf.DUMMYFUNCTION("""COMPUTED_VALUE"""),0.0)</f>
        <v>0</v>
      </c>
      <c r="C3111" s="2">
        <f>IFERROR(__xludf.DUMMYFUNCTION("""COMPUTED_VALUE"""),99.0)</f>
        <v>99</v>
      </c>
      <c r="D3111" s="3">
        <f>IFERROR(__xludf.DUMMYFUNCTION("""COMPUTED_VALUE"""),23.0)</f>
        <v>23</v>
      </c>
      <c r="E3111" s="1" t="str">
        <f t="array" ref="E3111">_xlfn.XLOOKUP(A3111,Product!A:A,Product!B:B,"Bulunamadı")</f>
        <v>Tech</v>
      </c>
      <c r="F3111" s="1" t="str">
        <f t="array" ref="F3111">_xlfn.XLOOKUP(A3111,Product!A:A,Product!C:C,"Bulunamadı")</f>
        <v>Winter Sports</v>
      </c>
      <c r="G3111" s="2" t="str">
        <f t="array" ref="G3111">_xlfn.XLOOKUP(A3112,Product!A:A,Product!D:D,"Bulunamadı")</f>
        <v>Brightpoint Press</v>
      </c>
      <c r="H3111" s="2">
        <f t="array" ref="H3111">_xlfn.XLOOKUP(A3113,Product!A:A,Product!E:E,"Bulunamadı")</f>
        <v>9.4</v>
      </c>
      <c r="I3111" s="2" t="str">
        <f t="shared" si="1"/>
        <v>182191 - Tech - Winter Sports</v>
      </c>
      <c r="J3111" s="2">
        <f t="shared" si="2"/>
        <v>216.2</v>
      </c>
      <c r="K3111" s="17">
        <f t="shared" si="3"/>
        <v>1</v>
      </c>
      <c r="L3111" s="18"/>
    </row>
    <row r="3112" hidden="1">
      <c r="A3112" s="2">
        <f>IFERROR(__xludf.DUMMYFUNCTION("""COMPUTED_VALUE"""),9722.0)</f>
        <v>9722</v>
      </c>
      <c r="B3112" s="2">
        <f>IFERROR(__xludf.DUMMYFUNCTION("""COMPUTED_VALUE"""),1.0)</f>
        <v>1</v>
      </c>
      <c r="C3112" s="2">
        <f>IFERROR(__xludf.DUMMYFUNCTION("""COMPUTED_VALUE"""),815.0)</f>
        <v>815</v>
      </c>
      <c r="D3112" s="3">
        <f>IFERROR(__xludf.DUMMYFUNCTION("""COMPUTED_VALUE"""),651.0)</f>
        <v>651</v>
      </c>
      <c r="E3112" s="1" t="str">
        <f t="array" ref="E3112">_xlfn.XLOOKUP(A3112,Product!A:A,Product!B:B,"Bulunamadı")</f>
        <v>Tech</v>
      </c>
      <c r="F3112" s="1" t="str">
        <f t="array" ref="F3112">_xlfn.XLOOKUP(A3112,Product!A:A,Product!C:C,"Bulunamadı")</f>
        <v>Winter Sports</v>
      </c>
      <c r="G3112" s="2" t="str">
        <f t="array" ref="G3112">_xlfn.XLOOKUP(A3113,Product!A:A,Product!D:D,"Bulunamadı")</f>
        <v>Brightpoint Press</v>
      </c>
      <c r="H3112" s="2">
        <f t="array" ref="H3112">_xlfn.XLOOKUP(A3114,Product!A:A,Product!E:E,"Bulunamadı")</f>
        <v>5.63</v>
      </c>
      <c r="I3112" s="2" t="str">
        <f t="shared" si="1"/>
        <v>9722 - Tech - Winter Sports</v>
      </c>
      <c r="J3112" s="2">
        <f t="shared" si="2"/>
        <v>3665.13</v>
      </c>
      <c r="K3112" s="17">
        <f t="shared" si="3"/>
        <v>1</v>
      </c>
      <c r="L3112" s="18"/>
    </row>
    <row r="3113" hidden="1">
      <c r="A3113" s="2">
        <f>IFERROR(__xludf.DUMMYFUNCTION("""COMPUTED_VALUE"""),124772.0)</f>
        <v>124772</v>
      </c>
      <c r="B3113" s="2">
        <f>IFERROR(__xludf.DUMMYFUNCTION("""COMPUTED_VALUE"""),1.0)</f>
        <v>1</v>
      </c>
      <c r="C3113" s="2">
        <f>IFERROR(__xludf.DUMMYFUNCTION("""COMPUTED_VALUE"""),206.0)</f>
        <v>206</v>
      </c>
      <c r="D3113" s="3">
        <f>IFERROR(__xludf.DUMMYFUNCTION("""COMPUTED_VALUE"""),92.0)</f>
        <v>92</v>
      </c>
      <c r="E3113" s="1" t="str">
        <f t="array" ref="E3113">_xlfn.XLOOKUP(A3113,Product!A:A,Product!B:B,"Bulunamadı")</f>
        <v>Tech</v>
      </c>
      <c r="F3113" s="1" t="str">
        <f t="array" ref="F3113">_xlfn.XLOOKUP(A3113,Product!A:A,Product!C:C,"Bulunamadı")</f>
        <v>Winter Sports</v>
      </c>
      <c r="G3113" s="2" t="str">
        <f t="array" ref="G3113">_xlfn.XLOOKUP(A3114,Product!A:A,Product!D:D,"Bulunamadı")</f>
        <v>Brightpoint Press</v>
      </c>
      <c r="H3113" s="2">
        <f t="array" ref="H3113">_xlfn.XLOOKUP(A3115,Product!A:A,Product!E:E,"Bulunamadı")</f>
        <v>6.67</v>
      </c>
      <c r="I3113" s="2" t="str">
        <f t="shared" si="1"/>
        <v>124772 - Tech - Winter Sports</v>
      </c>
      <c r="J3113" s="2">
        <f t="shared" si="2"/>
        <v>613.64</v>
      </c>
      <c r="K3113" s="17">
        <f t="shared" si="3"/>
        <v>1</v>
      </c>
      <c r="L3113" s="18"/>
    </row>
    <row r="3114" hidden="1">
      <c r="A3114" s="2">
        <f>IFERROR(__xludf.DUMMYFUNCTION("""COMPUTED_VALUE"""),8681.0)</f>
        <v>8681</v>
      </c>
      <c r="B3114" s="2">
        <f>IFERROR(__xludf.DUMMYFUNCTION("""COMPUTED_VALUE"""),0.0)</f>
        <v>0</v>
      </c>
      <c r="C3114" s="2">
        <f>IFERROR(__xludf.DUMMYFUNCTION("""COMPUTED_VALUE"""),947.0)</f>
        <v>947</v>
      </c>
      <c r="D3114" s="3">
        <f>IFERROR(__xludf.DUMMYFUNCTION("""COMPUTED_VALUE"""),275.0)</f>
        <v>275</v>
      </c>
      <c r="E3114" s="1" t="str">
        <f t="array" ref="E3114">_xlfn.XLOOKUP(A3114,Product!A:A,Product!B:B,"Bulunamadı")</f>
        <v>Tech</v>
      </c>
      <c r="F3114" s="1" t="str">
        <f t="array" ref="F3114">_xlfn.XLOOKUP(A3114,Product!A:A,Product!C:C,"Bulunamadı")</f>
        <v>Winter Sports</v>
      </c>
      <c r="G3114" s="2" t="str">
        <f t="array" ref="G3114">_xlfn.XLOOKUP(A3115,Product!A:A,Product!D:D,"Bulunamadı")</f>
        <v>Brightpoint Press</v>
      </c>
      <c r="H3114" s="2">
        <f t="array" ref="H3114">_xlfn.XLOOKUP(A3116,Product!A:A,Product!E:E,"Bulunamadı")</f>
        <v>5.58</v>
      </c>
      <c r="I3114" s="2" t="str">
        <f t="shared" si="1"/>
        <v>8681 - Tech - Winter Sports</v>
      </c>
      <c r="J3114" s="2">
        <f t="shared" si="2"/>
        <v>1534.5</v>
      </c>
      <c r="K3114" s="17">
        <f t="shared" si="3"/>
        <v>1</v>
      </c>
      <c r="L3114" s="18"/>
    </row>
    <row r="3115" hidden="1">
      <c r="A3115" s="2">
        <f>IFERROR(__xludf.DUMMYFUNCTION("""COMPUTED_VALUE"""),5077.0)</f>
        <v>5077</v>
      </c>
      <c r="B3115" s="2">
        <f>IFERROR(__xludf.DUMMYFUNCTION("""COMPUTED_VALUE"""),0.0)</f>
        <v>0</v>
      </c>
      <c r="C3115" s="2">
        <f>IFERROR(__xludf.DUMMYFUNCTION("""COMPUTED_VALUE"""),842.0)</f>
        <v>842</v>
      </c>
      <c r="D3115" s="3">
        <f>IFERROR(__xludf.DUMMYFUNCTION("""COMPUTED_VALUE"""),496.0)</f>
        <v>496</v>
      </c>
      <c r="E3115" s="1" t="str">
        <f t="array" ref="E3115">_xlfn.XLOOKUP(A3115,Product!A:A,Product!B:B,"Bulunamadı")</f>
        <v>Tech</v>
      </c>
      <c r="F3115" s="1" t="str">
        <f t="array" ref="F3115">_xlfn.XLOOKUP(A3115,Product!A:A,Product!C:C,"Bulunamadı")</f>
        <v>Winter Sports</v>
      </c>
      <c r="G3115" s="2" t="str">
        <f t="array" ref="G3115">_xlfn.XLOOKUP(A3116,Product!A:A,Product!D:D,"Bulunamadı")</f>
        <v>Brightpoint Press</v>
      </c>
      <c r="H3115" s="2">
        <f t="array" ref="H3115">_xlfn.XLOOKUP(A3117,Product!A:A,Product!E:E,"Bulunamadı")</f>
        <v>5.69</v>
      </c>
      <c r="I3115" s="2" t="str">
        <f t="shared" si="1"/>
        <v>5077 - Tech - Winter Sports</v>
      </c>
      <c r="J3115" s="2">
        <f t="shared" si="2"/>
        <v>2822.24</v>
      </c>
      <c r="K3115" s="17">
        <f t="shared" si="3"/>
        <v>1</v>
      </c>
      <c r="L3115" s="18"/>
    </row>
    <row r="3116" hidden="1">
      <c r="A3116" s="2">
        <f>IFERROR(__xludf.DUMMYFUNCTION("""COMPUTED_VALUE"""),114274.0)</f>
        <v>114274</v>
      </c>
      <c r="B3116" s="2">
        <f>IFERROR(__xludf.DUMMYFUNCTION("""COMPUTED_VALUE"""),1.0)</f>
        <v>1</v>
      </c>
      <c r="C3116" s="2">
        <f>IFERROR(__xludf.DUMMYFUNCTION("""COMPUTED_VALUE"""),660.0)</f>
        <v>660</v>
      </c>
      <c r="D3116" s="3">
        <f>IFERROR(__xludf.DUMMYFUNCTION("""COMPUTED_VALUE"""),266.0)</f>
        <v>266</v>
      </c>
      <c r="E3116" s="1" t="str">
        <f t="array" ref="E3116">_xlfn.XLOOKUP(A3116,Product!A:A,Product!B:B,"Bulunamadı")</f>
        <v>Tech</v>
      </c>
      <c r="F3116" s="1" t="str">
        <f t="array" ref="F3116">_xlfn.XLOOKUP(A3116,Product!A:A,Product!C:C,"Bulunamadı")</f>
        <v>Winter Sports</v>
      </c>
      <c r="G3116" s="2" t="str">
        <f t="array" ref="G3116">_xlfn.XLOOKUP(A3117,Product!A:A,Product!D:D,"Bulunamadı")</f>
        <v>Brightpoint Press</v>
      </c>
      <c r="H3116" s="2">
        <f t="array" ref="H3116">_xlfn.XLOOKUP(A3118,Product!A:A,Product!E:E,"Bulunamadı")</f>
        <v>3.59</v>
      </c>
      <c r="I3116" s="2" t="str">
        <f t="shared" si="1"/>
        <v>114274 - Tech - Winter Sports</v>
      </c>
      <c r="J3116" s="2">
        <f t="shared" si="2"/>
        <v>954.94</v>
      </c>
      <c r="K3116" s="17">
        <f t="shared" si="3"/>
        <v>1</v>
      </c>
      <c r="L3116" s="18"/>
    </row>
    <row r="3117" hidden="1">
      <c r="A3117" s="2">
        <f>IFERROR(__xludf.DUMMYFUNCTION("""COMPUTED_VALUE"""),1297.0)</f>
        <v>1297</v>
      </c>
      <c r="B3117" s="2">
        <f>IFERROR(__xludf.DUMMYFUNCTION("""COMPUTED_VALUE"""),1.0)</f>
        <v>1</v>
      </c>
      <c r="C3117" s="2">
        <f>IFERROR(__xludf.DUMMYFUNCTION("""COMPUTED_VALUE"""),582.0)</f>
        <v>582</v>
      </c>
      <c r="D3117" s="3">
        <f>IFERROR(__xludf.DUMMYFUNCTION("""COMPUTED_VALUE"""),202.0)</f>
        <v>202</v>
      </c>
      <c r="E3117" s="1" t="str">
        <f t="array" ref="E3117">_xlfn.XLOOKUP(A3117,Product!A:A,Product!B:B,"Bulunamadı")</f>
        <v>Tech</v>
      </c>
      <c r="F3117" s="1" t="str">
        <f t="array" ref="F3117">_xlfn.XLOOKUP(A3117,Product!A:A,Product!C:C,"Bulunamadı")</f>
        <v>Winter Sports</v>
      </c>
      <c r="G3117" s="2" t="str">
        <f t="array" ref="G3117">_xlfn.XLOOKUP(A3118,Product!A:A,Product!D:D,"Bulunamadı")</f>
        <v>Brightpoint Press</v>
      </c>
      <c r="H3117" s="2">
        <f t="array" ref="H3117">_xlfn.XLOOKUP(A3119,Product!A:A,Product!E:E,"Bulunamadı")</f>
        <v>6.05</v>
      </c>
      <c r="I3117" s="2" t="str">
        <f t="shared" si="1"/>
        <v>1297 - Tech - Winter Sports</v>
      </c>
      <c r="J3117" s="2">
        <f t="shared" si="2"/>
        <v>1222.1</v>
      </c>
      <c r="K3117" s="17">
        <f t="shared" si="3"/>
        <v>1</v>
      </c>
      <c r="L3117" s="18"/>
    </row>
    <row r="3118" hidden="1">
      <c r="A3118" s="2">
        <f>IFERROR(__xludf.DUMMYFUNCTION("""COMPUTED_VALUE"""),46988.0)</f>
        <v>46988</v>
      </c>
      <c r="B3118" s="2">
        <f>IFERROR(__xludf.DUMMYFUNCTION("""COMPUTED_VALUE"""),0.0)</f>
        <v>0</v>
      </c>
      <c r="C3118" s="2">
        <f>IFERROR(__xludf.DUMMYFUNCTION("""COMPUTED_VALUE"""),880.0)</f>
        <v>880</v>
      </c>
      <c r="D3118" s="3">
        <f>IFERROR(__xludf.DUMMYFUNCTION("""COMPUTED_VALUE"""),333.0)</f>
        <v>333</v>
      </c>
      <c r="E3118" s="1" t="str">
        <f t="array" ref="E3118">_xlfn.XLOOKUP(A3118,Product!A:A,Product!B:B,"Bulunamadı")</f>
        <v>Tech</v>
      </c>
      <c r="F3118" s="1" t="str">
        <f t="array" ref="F3118">_xlfn.XLOOKUP(A3118,Product!A:A,Product!C:C,"Bulunamadı")</f>
        <v>Winter Sports</v>
      </c>
      <c r="G3118" s="2" t="str">
        <f t="array" ref="G3118">_xlfn.XLOOKUP(A3119,Product!A:A,Product!D:D,"Bulunamadı")</f>
        <v>Brightpoint Press</v>
      </c>
      <c r="H3118" s="2">
        <f t="array" ref="H3118">_xlfn.XLOOKUP(A3120,Product!A:A,Product!E:E,"Bulunamadı")</f>
        <v>5.72</v>
      </c>
      <c r="I3118" s="2" t="str">
        <f t="shared" si="1"/>
        <v>46988 - Tech - Winter Sports</v>
      </c>
      <c r="J3118" s="2">
        <f t="shared" si="2"/>
        <v>1904.76</v>
      </c>
      <c r="K3118" s="17">
        <f t="shared" si="3"/>
        <v>1</v>
      </c>
      <c r="L3118" s="18"/>
    </row>
    <row r="3119" hidden="1">
      <c r="A3119" s="2">
        <f>IFERROR(__xludf.DUMMYFUNCTION("""COMPUTED_VALUE"""),92623.0)</f>
        <v>92623</v>
      </c>
      <c r="B3119" s="2">
        <f>IFERROR(__xludf.DUMMYFUNCTION("""COMPUTED_VALUE"""),1.0)</f>
        <v>1</v>
      </c>
      <c r="C3119" s="2">
        <f>IFERROR(__xludf.DUMMYFUNCTION("""COMPUTED_VALUE"""),701.0)</f>
        <v>701</v>
      </c>
      <c r="D3119" s="3">
        <f>IFERROR(__xludf.DUMMYFUNCTION("""COMPUTED_VALUE"""),486.0)</f>
        <v>486</v>
      </c>
      <c r="E3119" s="1" t="str">
        <f t="array" ref="E3119">_xlfn.XLOOKUP(A3119,Product!A:A,Product!B:B,"Bulunamadı")</f>
        <v>Tech</v>
      </c>
      <c r="F3119" s="1" t="str">
        <f t="array" ref="F3119">_xlfn.XLOOKUP(A3119,Product!A:A,Product!C:C,"Bulunamadı")</f>
        <v>Winter Sports</v>
      </c>
      <c r="G3119" s="2" t="str">
        <f t="array" ref="G3119">_xlfn.XLOOKUP(A3120,Product!A:A,Product!D:D,"Bulunamadı")</f>
        <v>Brightpoint Press</v>
      </c>
      <c r="H3119" s="2">
        <f t="array" ref="H3119">_xlfn.XLOOKUP(A3121,Product!A:A,Product!E:E,"Bulunamadı")</f>
        <v>3.21</v>
      </c>
      <c r="I3119" s="2" t="str">
        <f t="shared" si="1"/>
        <v>92623 - Tech - Winter Sports</v>
      </c>
      <c r="J3119" s="2">
        <f t="shared" si="2"/>
        <v>1560.06</v>
      </c>
      <c r="K3119" s="17">
        <f t="shared" si="3"/>
        <v>1</v>
      </c>
      <c r="L3119" s="18"/>
    </row>
    <row r="3120" hidden="1">
      <c r="A3120" s="2">
        <f>IFERROR(__xludf.DUMMYFUNCTION("""COMPUTED_VALUE"""),79761.0)</f>
        <v>79761</v>
      </c>
      <c r="B3120" s="2">
        <f>IFERROR(__xludf.DUMMYFUNCTION("""COMPUTED_VALUE"""),1.0)</f>
        <v>1</v>
      </c>
      <c r="C3120" s="2">
        <f>IFERROR(__xludf.DUMMYFUNCTION("""COMPUTED_VALUE"""),527.0)</f>
        <v>527</v>
      </c>
      <c r="D3120" s="3">
        <f>IFERROR(__xludf.DUMMYFUNCTION("""COMPUTED_VALUE"""),41.0)</f>
        <v>41</v>
      </c>
      <c r="E3120" s="1" t="str">
        <f t="array" ref="E3120">_xlfn.XLOOKUP(A3120,Product!A:A,Product!B:B,"Bulunamadı")</f>
        <v>Tech</v>
      </c>
      <c r="F3120" s="1" t="str">
        <f t="array" ref="F3120">_xlfn.XLOOKUP(A3120,Product!A:A,Product!C:C,"Bulunamadı")</f>
        <v>Winter Sports</v>
      </c>
      <c r="G3120" s="2" t="str">
        <f t="array" ref="G3120">_xlfn.XLOOKUP(A3121,Product!A:A,Product!D:D,"Bulunamadı")</f>
        <v>Brightpoint Press</v>
      </c>
      <c r="H3120" s="2">
        <f t="array" ref="H3120">_xlfn.XLOOKUP(A3122,Product!A:A,Product!E:E,"Bulunamadı")</f>
        <v>7</v>
      </c>
      <c r="I3120" s="2" t="str">
        <f t="shared" si="1"/>
        <v>79761 - Tech - Winter Sports</v>
      </c>
      <c r="J3120" s="2">
        <f t="shared" si="2"/>
        <v>287</v>
      </c>
      <c r="K3120" s="17">
        <f t="shared" si="3"/>
        <v>1</v>
      </c>
      <c r="L3120" s="18"/>
    </row>
    <row r="3121" hidden="1">
      <c r="A3121" s="2">
        <f>IFERROR(__xludf.DUMMYFUNCTION("""COMPUTED_VALUE"""),11001.0)</f>
        <v>11001</v>
      </c>
      <c r="B3121" s="2">
        <f>IFERROR(__xludf.DUMMYFUNCTION("""COMPUTED_VALUE"""),1.0)</f>
        <v>1</v>
      </c>
      <c r="C3121" s="2">
        <f>IFERROR(__xludf.DUMMYFUNCTION("""COMPUTED_VALUE"""),618.0)</f>
        <v>618</v>
      </c>
      <c r="D3121" s="3">
        <f>IFERROR(__xludf.DUMMYFUNCTION("""COMPUTED_VALUE"""),211.0)</f>
        <v>211</v>
      </c>
      <c r="E3121" s="1" t="str">
        <f t="array" ref="E3121">_xlfn.XLOOKUP(A3121,Product!A:A,Product!B:B,"Bulunamadı")</f>
        <v>Tech</v>
      </c>
      <c r="F3121" s="1" t="str">
        <f t="array" ref="F3121">_xlfn.XLOOKUP(A3121,Product!A:A,Product!C:C,"Bulunamadı")</f>
        <v>Winter Sports</v>
      </c>
      <c r="G3121" s="2" t="str">
        <f t="array" ref="G3121">_xlfn.XLOOKUP(A3122,Product!A:A,Product!D:D,"Bulunamadı")</f>
        <v>Oakpoint Publishing</v>
      </c>
      <c r="H3121" s="2">
        <f t="array" ref="H3121">_xlfn.XLOOKUP(A3123,Product!A:A,Product!E:E,"Bulunamadı")</f>
        <v>6.04</v>
      </c>
      <c r="I3121" s="2" t="str">
        <f t="shared" si="1"/>
        <v>11001 - Tech - Winter Sports</v>
      </c>
      <c r="J3121" s="2">
        <f t="shared" si="2"/>
        <v>1274.44</v>
      </c>
      <c r="K3121" s="17">
        <f t="shared" si="3"/>
        <v>1</v>
      </c>
      <c r="L3121" s="18"/>
    </row>
    <row r="3122" hidden="1">
      <c r="A3122" s="2">
        <f>IFERROR(__xludf.DUMMYFUNCTION("""COMPUTED_VALUE"""),9731.0)</f>
        <v>9731</v>
      </c>
      <c r="B3122" s="2">
        <f>IFERROR(__xludf.DUMMYFUNCTION("""COMPUTED_VALUE"""),0.0)</f>
        <v>0</v>
      </c>
      <c r="C3122" s="2">
        <f>IFERROR(__xludf.DUMMYFUNCTION("""COMPUTED_VALUE"""),649.0)</f>
        <v>649</v>
      </c>
      <c r="D3122" s="3">
        <f>IFERROR(__xludf.DUMMYFUNCTION("""COMPUTED_VALUE"""),609.0)</f>
        <v>609</v>
      </c>
      <c r="E3122" s="1" t="str">
        <f t="array" ref="E3122">_xlfn.XLOOKUP(A3122,Product!A:A,Product!B:B,"Bulunamadı")</f>
        <v>Tech</v>
      </c>
      <c r="F3122" s="1" t="str">
        <f t="array" ref="F3122">_xlfn.XLOOKUP(A3122,Product!A:A,Product!C:C,"Bulunamadı")</f>
        <v>Winter Sports</v>
      </c>
      <c r="G3122" s="2" t="str">
        <f t="array" ref="G3122">_xlfn.XLOOKUP(A3123,Product!A:A,Product!D:D,"Bulunamadı")</f>
        <v>Oakpoint Publishing</v>
      </c>
      <c r="H3122" s="2">
        <f t="array" ref="H3122">_xlfn.XLOOKUP(A3124,Product!A:A,Product!E:E,"Bulunamadı")</f>
        <v>3.63</v>
      </c>
      <c r="I3122" s="2" t="str">
        <f t="shared" si="1"/>
        <v>9731 - Tech - Winter Sports</v>
      </c>
      <c r="J3122" s="2">
        <f t="shared" si="2"/>
        <v>2210.67</v>
      </c>
      <c r="K3122" s="17">
        <f t="shared" si="3"/>
        <v>1</v>
      </c>
      <c r="L3122" s="18"/>
    </row>
    <row r="3123" hidden="1">
      <c r="A3123" s="2">
        <f>IFERROR(__xludf.DUMMYFUNCTION("""COMPUTED_VALUE"""),122316.0)</f>
        <v>122316</v>
      </c>
      <c r="B3123" s="2">
        <f>IFERROR(__xludf.DUMMYFUNCTION("""COMPUTED_VALUE"""),1.0)</f>
        <v>1</v>
      </c>
      <c r="C3123" s="2">
        <f>IFERROR(__xludf.DUMMYFUNCTION("""COMPUTED_VALUE"""),757.0)</f>
        <v>757</v>
      </c>
      <c r="D3123" s="3">
        <f>IFERROR(__xludf.DUMMYFUNCTION("""COMPUTED_VALUE"""),140.0)</f>
        <v>140</v>
      </c>
      <c r="E3123" s="1" t="str">
        <f t="array" ref="E3123">_xlfn.XLOOKUP(A3123,Product!A:A,Product!B:B,"Bulunamadı")</f>
        <v>Tech</v>
      </c>
      <c r="F3123" s="1" t="str">
        <f t="array" ref="F3123">_xlfn.XLOOKUP(A3123,Product!A:A,Product!C:C,"Bulunamadı")</f>
        <v>Winter Sports</v>
      </c>
      <c r="G3123" s="2" t="str">
        <f t="array" ref="G3123">_xlfn.XLOOKUP(A3124,Product!A:A,Product!D:D,"Bulunamadı")</f>
        <v>Oakpoint Publishing</v>
      </c>
      <c r="H3123" s="2">
        <f t="array" ref="H3123">_xlfn.XLOOKUP(A3125,Product!A:A,Product!E:E,"Bulunamadı")</f>
        <v>7.56</v>
      </c>
      <c r="I3123" s="2" t="str">
        <f t="shared" si="1"/>
        <v>122316 - Tech - Winter Sports</v>
      </c>
      <c r="J3123" s="2">
        <f t="shared" si="2"/>
        <v>1058.4</v>
      </c>
      <c r="K3123" s="17">
        <f t="shared" si="3"/>
        <v>1</v>
      </c>
      <c r="L3123" s="18"/>
    </row>
    <row r="3124" hidden="1">
      <c r="A3124" s="2">
        <f>IFERROR(__xludf.DUMMYFUNCTION("""COMPUTED_VALUE"""),147255.0)</f>
        <v>147255</v>
      </c>
      <c r="B3124" s="2">
        <f>IFERROR(__xludf.DUMMYFUNCTION("""COMPUTED_VALUE"""),1.0)</f>
        <v>1</v>
      </c>
      <c r="C3124" s="2">
        <f>IFERROR(__xludf.DUMMYFUNCTION("""COMPUTED_VALUE"""),623.0)</f>
        <v>623</v>
      </c>
      <c r="D3124" s="3">
        <f>IFERROR(__xludf.DUMMYFUNCTION("""COMPUTED_VALUE"""),61.0)</f>
        <v>61</v>
      </c>
      <c r="E3124" s="1" t="str">
        <f t="array" ref="E3124">_xlfn.XLOOKUP(A3124,Product!A:A,Product!B:B,"Bulunamadı")</f>
        <v>Tech</v>
      </c>
      <c r="F3124" s="1" t="str">
        <f t="array" ref="F3124">_xlfn.XLOOKUP(A3124,Product!A:A,Product!C:C,"Bulunamadı")</f>
        <v>Winter Sports</v>
      </c>
      <c r="G3124" s="2" t="str">
        <f t="array" ref="G3124">_xlfn.XLOOKUP(A3125,Product!A:A,Product!D:D,"Bulunamadı")</f>
        <v>Oakpoint Publishing</v>
      </c>
      <c r="H3124" s="2">
        <f t="array" ref="H3124">_xlfn.XLOOKUP(A3126,Product!A:A,Product!E:E,"Bulunamadı")</f>
        <v>6.17</v>
      </c>
      <c r="I3124" s="2" t="str">
        <f t="shared" si="1"/>
        <v>147255 - Tech - Winter Sports</v>
      </c>
      <c r="J3124" s="2">
        <f t="shared" si="2"/>
        <v>376.37</v>
      </c>
      <c r="K3124" s="17">
        <f t="shared" si="3"/>
        <v>1</v>
      </c>
      <c r="L3124" s="18"/>
    </row>
    <row r="3125" hidden="1">
      <c r="A3125" s="2">
        <f>IFERROR(__xludf.DUMMYFUNCTION("""COMPUTED_VALUE"""),8675.0)</f>
        <v>8675</v>
      </c>
      <c r="B3125" s="2">
        <f>IFERROR(__xludf.DUMMYFUNCTION("""COMPUTED_VALUE"""),0.0)</f>
        <v>0</v>
      </c>
      <c r="C3125" s="2">
        <f>IFERROR(__xludf.DUMMYFUNCTION("""COMPUTED_VALUE"""),376.0)</f>
        <v>376</v>
      </c>
      <c r="D3125" s="3">
        <f>IFERROR(__xludf.DUMMYFUNCTION("""COMPUTED_VALUE"""),23.0)</f>
        <v>23</v>
      </c>
      <c r="E3125" s="1" t="str">
        <f t="array" ref="E3125">_xlfn.XLOOKUP(A3125,Product!A:A,Product!B:B,"Bulunamadı")</f>
        <v>Tech</v>
      </c>
      <c r="F3125" s="1" t="str">
        <f t="array" ref="F3125">_xlfn.XLOOKUP(A3125,Product!A:A,Product!C:C,"Bulunamadı")</f>
        <v>Winter Sports</v>
      </c>
      <c r="G3125" s="2" t="str">
        <f t="array" ref="G3125">_xlfn.XLOOKUP(A3126,Product!A:A,Product!D:D,"Bulunamadı")</f>
        <v>Oakpoint Publishing</v>
      </c>
      <c r="H3125" s="2">
        <f t="array" ref="H3125">_xlfn.XLOOKUP(A3127,Product!A:A,Product!E:E,"Bulunamadı")</f>
        <v>9.38</v>
      </c>
      <c r="I3125" s="2" t="str">
        <f t="shared" si="1"/>
        <v>8675 - Tech - Winter Sports</v>
      </c>
      <c r="J3125" s="2">
        <f t="shared" si="2"/>
        <v>215.74</v>
      </c>
      <c r="K3125" s="17">
        <f t="shared" si="3"/>
        <v>1</v>
      </c>
      <c r="L3125" s="18"/>
    </row>
    <row r="3126" hidden="1">
      <c r="A3126" s="2">
        <f>IFERROR(__xludf.DUMMYFUNCTION("""COMPUTED_VALUE"""),121900.0)</f>
        <v>121900</v>
      </c>
      <c r="B3126" s="2">
        <f>IFERROR(__xludf.DUMMYFUNCTION("""COMPUTED_VALUE"""),1.0)</f>
        <v>1</v>
      </c>
      <c r="C3126" s="2">
        <f>IFERROR(__xludf.DUMMYFUNCTION("""COMPUTED_VALUE"""),657.0)</f>
        <v>657</v>
      </c>
      <c r="D3126" s="3">
        <f>IFERROR(__xludf.DUMMYFUNCTION("""COMPUTED_VALUE"""),376.0)</f>
        <v>376</v>
      </c>
      <c r="E3126" s="1" t="str">
        <f t="array" ref="E3126">_xlfn.XLOOKUP(A3126,Product!A:A,Product!B:B,"Bulunamadı")</f>
        <v>Tech</v>
      </c>
      <c r="F3126" s="1" t="str">
        <f t="array" ref="F3126">_xlfn.XLOOKUP(A3126,Product!A:A,Product!C:C,"Bulunamadı")</f>
        <v>Winter Sports</v>
      </c>
      <c r="G3126" s="2" t="str">
        <f t="array" ref="G3126">_xlfn.XLOOKUP(A3127,Product!A:A,Product!D:D,"Bulunamadı")</f>
        <v>Oakpoint Publishing</v>
      </c>
      <c r="H3126" s="2">
        <f t="array" ref="H3126">_xlfn.XLOOKUP(A3128,Product!A:A,Product!E:E,"Bulunamadı")</f>
        <v>9.42</v>
      </c>
      <c r="I3126" s="2" t="str">
        <f t="shared" si="1"/>
        <v>121900 - Tech - Winter Sports</v>
      </c>
      <c r="J3126" s="2">
        <f t="shared" si="2"/>
        <v>3541.92</v>
      </c>
      <c r="K3126" s="17">
        <f t="shared" si="3"/>
        <v>1</v>
      </c>
      <c r="L3126" s="18"/>
    </row>
    <row r="3127" hidden="1">
      <c r="A3127" s="2">
        <f>IFERROR(__xludf.DUMMYFUNCTION("""COMPUTED_VALUE"""),124764.0)</f>
        <v>124764</v>
      </c>
      <c r="B3127" s="2">
        <f>IFERROR(__xludf.DUMMYFUNCTION("""COMPUTED_VALUE"""),1.0)</f>
        <v>1</v>
      </c>
      <c r="C3127" s="2">
        <f>IFERROR(__xludf.DUMMYFUNCTION("""COMPUTED_VALUE"""),865.0)</f>
        <v>865</v>
      </c>
      <c r="D3127" s="3">
        <f>IFERROR(__xludf.DUMMYFUNCTION("""COMPUTED_VALUE"""),221.0)</f>
        <v>221</v>
      </c>
      <c r="E3127" s="1" t="str">
        <f t="array" ref="E3127">_xlfn.XLOOKUP(A3127,Product!A:A,Product!B:B,"Bulunamadı")</f>
        <v>Tech</v>
      </c>
      <c r="F3127" s="1" t="str">
        <f t="array" ref="F3127">_xlfn.XLOOKUP(A3127,Product!A:A,Product!C:C,"Bulunamadı")</f>
        <v>Winter Sports</v>
      </c>
      <c r="G3127" s="2" t="str">
        <f t="array" ref="G3127">_xlfn.XLOOKUP(A3128,Product!A:A,Product!D:D,"Bulunamadı")</f>
        <v>Oakpoint Publishing</v>
      </c>
      <c r="H3127" s="2">
        <f t="array" ref="H3127">_xlfn.XLOOKUP(A3129,Product!A:A,Product!E:E,"Bulunamadı")</f>
        <v>4.64</v>
      </c>
      <c r="I3127" s="2" t="str">
        <f t="shared" si="1"/>
        <v>124764 - Tech - Winter Sports</v>
      </c>
      <c r="J3127" s="2">
        <f t="shared" si="2"/>
        <v>1025.44</v>
      </c>
      <c r="K3127" s="17">
        <f t="shared" si="3"/>
        <v>1</v>
      </c>
      <c r="L3127" s="18"/>
    </row>
    <row r="3128" hidden="1">
      <c r="A3128" s="2">
        <f>IFERROR(__xludf.DUMMYFUNCTION("""COMPUTED_VALUE"""),124774.0)</f>
        <v>124774</v>
      </c>
      <c r="B3128" s="2">
        <f>IFERROR(__xludf.DUMMYFUNCTION("""COMPUTED_VALUE"""),0.0)</f>
        <v>0</v>
      </c>
      <c r="C3128" s="2">
        <f>IFERROR(__xludf.DUMMYFUNCTION("""COMPUTED_VALUE"""),181.0)</f>
        <v>181</v>
      </c>
      <c r="D3128" s="3">
        <f>IFERROR(__xludf.DUMMYFUNCTION("""COMPUTED_VALUE"""),124.0)</f>
        <v>124</v>
      </c>
      <c r="E3128" s="1" t="str">
        <f t="array" ref="E3128">_xlfn.XLOOKUP(A3128,Product!A:A,Product!B:B,"Bulunamadı")</f>
        <v>Tech</v>
      </c>
      <c r="F3128" s="1" t="str">
        <f t="array" ref="F3128">_xlfn.XLOOKUP(A3128,Product!A:A,Product!C:C,"Bulunamadı")</f>
        <v>Winter Sports</v>
      </c>
      <c r="G3128" s="2" t="str">
        <f t="array" ref="G3128">_xlfn.XLOOKUP(A3129,Product!A:A,Product!D:D,"Bulunamadı")</f>
        <v>Oakpoint Publishing</v>
      </c>
      <c r="H3128" s="2">
        <f t="array" ref="H3128">_xlfn.XLOOKUP(A3130,Product!A:A,Product!E:E,"Bulunamadı")</f>
        <v>7.98</v>
      </c>
      <c r="I3128" s="2" t="str">
        <f t="shared" si="1"/>
        <v>124774 - Tech - Winter Sports</v>
      </c>
      <c r="J3128" s="2">
        <f t="shared" si="2"/>
        <v>989.52</v>
      </c>
      <c r="K3128" s="17">
        <f t="shared" si="3"/>
        <v>1</v>
      </c>
      <c r="L3128" s="18"/>
    </row>
    <row r="3129" hidden="1">
      <c r="A3129" s="2">
        <f>IFERROR(__xludf.DUMMYFUNCTION("""COMPUTED_VALUE"""),79353.0)</f>
        <v>79353</v>
      </c>
      <c r="B3129" s="2">
        <f>IFERROR(__xludf.DUMMYFUNCTION("""COMPUTED_VALUE"""),1.0)</f>
        <v>1</v>
      </c>
      <c r="C3129" s="2">
        <f>IFERROR(__xludf.DUMMYFUNCTION("""COMPUTED_VALUE"""),92.0)</f>
        <v>92</v>
      </c>
      <c r="D3129" s="3">
        <f>IFERROR(__xludf.DUMMYFUNCTION("""COMPUTED_VALUE"""),5.0)</f>
        <v>5</v>
      </c>
      <c r="E3129" s="1" t="str">
        <f t="array" ref="E3129">_xlfn.XLOOKUP(A3129,Product!A:A,Product!B:B,"Bulunamadı")</f>
        <v>Tech</v>
      </c>
      <c r="F3129" s="1" t="str">
        <f t="array" ref="F3129">_xlfn.XLOOKUP(A3129,Product!A:A,Product!C:C,"Bulunamadı")</f>
        <v>Winter Sports</v>
      </c>
      <c r="G3129" s="2" t="str">
        <f t="array" ref="G3129">_xlfn.XLOOKUP(A3130,Product!A:A,Product!D:D,"Bulunamadı")</f>
        <v>Oakpoint Publishing</v>
      </c>
      <c r="H3129" s="2">
        <f t="array" ref="H3129">_xlfn.XLOOKUP(A3131,Product!A:A,Product!E:E,"Bulunamadı")</f>
        <v>5.73</v>
      </c>
      <c r="I3129" s="2" t="str">
        <f t="shared" si="1"/>
        <v>79353 - Tech - Winter Sports</v>
      </c>
      <c r="J3129" s="2">
        <f t="shared" si="2"/>
        <v>28.65</v>
      </c>
      <c r="K3129" s="17">
        <f t="shared" si="3"/>
        <v>1</v>
      </c>
      <c r="L3129" s="18"/>
    </row>
    <row r="3130" hidden="1">
      <c r="A3130" s="2">
        <f>IFERROR(__xludf.DUMMYFUNCTION("""COMPUTED_VALUE"""),82703.0)</f>
        <v>82703</v>
      </c>
      <c r="B3130" s="2">
        <f>IFERROR(__xludf.DUMMYFUNCTION("""COMPUTED_VALUE"""),0.0)</f>
        <v>0</v>
      </c>
      <c r="C3130" s="2">
        <f>IFERROR(__xludf.DUMMYFUNCTION("""COMPUTED_VALUE"""),964.0)</f>
        <v>964</v>
      </c>
      <c r="D3130" s="3">
        <f>IFERROR(__xludf.DUMMYFUNCTION("""COMPUTED_VALUE"""),186.0)</f>
        <v>186</v>
      </c>
      <c r="E3130" s="1" t="str">
        <f t="array" ref="E3130">_xlfn.XLOOKUP(A3130,Product!A:A,Product!B:B,"Bulunamadı")</f>
        <v>Tech</v>
      </c>
      <c r="F3130" s="1" t="str">
        <f t="array" ref="F3130">_xlfn.XLOOKUP(A3130,Product!A:A,Product!C:C,"Bulunamadı")</f>
        <v>Winter Sports</v>
      </c>
      <c r="G3130" s="2" t="str">
        <f t="array" ref="G3130">_xlfn.XLOOKUP(A3131,Product!A:A,Product!D:D,"Bulunamadı")</f>
        <v>Oakpoint Publishing</v>
      </c>
      <c r="H3130" s="2">
        <f t="array" ref="H3130">_xlfn.XLOOKUP(A3132,Product!A:A,Product!E:E,"Bulunamadı")</f>
        <v>2.96</v>
      </c>
      <c r="I3130" s="2" t="str">
        <f t="shared" si="1"/>
        <v>82703 - Tech - Winter Sports</v>
      </c>
      <c r="J3130" s="2">
        <f t="shared" si="2"/>
        <v>550.56</v>
      </c>
      <c r="K3130" s="17">
        <f t="shared" si="3"/>
        <v>1</v>
      </c>
      <c r="L3130" s="18"/>
    </row>
    <row r="3131" hidden="1">
      <c r="A3131" s="2">
        <f>IFERROR(__xludf.DUMMYFUNCTION("""COMPUTED_VALUE"""),71820.0)</f>
        <v>71820</v>
      </c>
      <c r="B3131" s="2">
        <f>IFERROR(__xludf.DUMMYFUNCTION("""COMPUTED_VALUE"""),1.0)</f>
        <v>1</v>
      </c>
      <c r="C3131" s="2">
        <f>IFERROR(__xludf.DUMMYFUNCTION("""COMPUTED_VALUE"""),597.0)</f>
        <v>597</v>
      </c>
      <c r="D3131" s="3">
        <f>IFERROR(__xludf.DUMMYFUNCTION("""COMPUTED_VALUE"""),127.0)</f>
        <v>127</v>
      </c>
      <c r="E3131" s="1" t="str">
        <f t="array" ref="E3131">_xlfn.XLOOKUP(A3131,Product!A:A,Product!B:B,"Bulunamadı")</f>
        <v>Tech</v>
      </c>
      <c r="F3131" s="1" t="str">
        <f t="array" ref="F3131">_xlfn.XLOOKUP(A3131,Product!A:A,Product!C:C,"Bulunamadı")</f>
        <v>Winter Sports</v>
      </c>
      <c r="G3131" s="2" t="str">
        <f t="array" ref="G3131">_xlfn.XLOOKUP(A3132,Product!A:A,Product!D:D,"Bulunamadı")</f>
        <v>Oakpoint Publishing</v>
      </c>
      <c r="H3131" s="2">
        <f t="array" ref="H3131">_xlfn.XLOOKUP(A3133,Product!A:A,Product!E:E,"Bulunamadı")</f>
        <v>5.96</v>
      </c>
      <c r="I3131" s="2" t="str">
        <f t="shared" si="1"/>
        <v>71820 - Tech - Winter Sports</v>
      </c>
      <c r="J3131" s="2">
        <f t="shared" si="2"/>
        <v>756.92</v>
      </c>
      <c r="K3131" s="17">
        <f t="shared" si="3"/>
        <v>1</v>
      </c>
      <c r="L3131" s="18"/>
    </row>
    <row r="3132" hidden="1">
      <c r="A3132" s="2">
        <f>IFERROR(__xludf.DUMMYFUNCTION("""COMPUTED_VALUE"""),128311.0)</f>
        <v>128311</v>
      </c>
      <c r="B3132" s="2">
        <f>IFERROR(__xludf.DUMMYFUNCTION("""COMPUTED_VALUE"""),0.0)</f>
        <v>0</v>
      </c>
      <c r="C3132" s="2">
        <f>IFERROR(__xludf.DUMMYFUNCTION("""COMPUTED_VALUE"""),376.0)</f>
        <v>376</v>
      </c>
      <c r="D3132" s="3">
        <f>IFERROR(__xludf.DUMMYFUNCTION("""COMPUTED_VALUE"""),113.0)</f>
        <v>113</v>
      </c>
      <c r="E3132" s="1" t="str">
        <f t="array" ref="E3132">_xlfn.XLOOKUP(A3132,Product!A:A,Product!B:B,"Bulunamadı")</f>
        <v>Tech</v>
      </c>
      <c r="F3132" s="1" t="str">
        <f t="array" ref="F3132">_xlfn.XLOOKUP(A3132,Product!A:A,Product!C:C,"Bulunamadı")</f>
        <v>Winter Sports</v>
      </c>
      <c r="G3132" s="2" t="str">
        <f t="array" ref="G3132">_xlfn.XLOOKUP(A3133,Product!A:A,Product!D:D,"Bulunamadı")</f>
        <v>Oakpoint Publishing</v>
      </c>
      <c r="H3132" s="2">
        <f t="array" ref="H3132">_xlfn.XLOOKUP(A3134,Product!A:A,Product!E:E,"Bulunamadı")</f>
        <v>5.49</v>
      </c>
      <c r="I3132" s="2" t="str">
        <f t="shared" si="1"/>
        <v>128311 - Tech - Winter Sports</v>
      </c>
      <c r="J3132" s="2">
        <f t="shared" si="2"/>
        <v>620.37</v>
      </c>
      <c r="K3132" s="17">
        <f t="shared" si="3"/>
        <v>1</v>
      </c>
      <c r="L3132" s="18"/>
    </row>
    <row r="3133" hidden="1">
      <c r="A3133" s="2">
        <f>IFERROR(__xludf.DUMMYFUNCTION("""COMPUTED_VALUE"""),70595.0)</f>
        <v>70595</v>
      </c>
      <c r="B3133" s="2">
        <f>IFERROR(__xludf.DUMMYFUNCTION("""COMPUTED_VALUE"""),1.0)</f>
        <v>1</v>
      </c>
      <c r="C3133" s="2">
        <f>IFERROR(__xludf.DUMMYFUNCTION("""COMPUTED_VALUE"""),857.0)</f>
        <v>857</v>
      </c>
      <c r="D3133" s="3">
        <f>IFERROR(__xludf.DUMMYFUNCTION("""COMPUTED_VALUE"""),38.0)</f>
        <v>38</v>
      </c>
      <c r="E3133" s="1" t="str">
        <f t="array" ref="E3133">_xlfn.XLOOKUP(A3133,Product!A:A,Product!B:B,"Bulunamadı")</f>
        <v>Tech</v>
      </c>
      <c r="F3133" s="1" t="str">
        <f t="array" ref="F3133">_xlfn.XLOOKUP(A3133,Product!A:A,Product!C:C,"Bulunamadı")</f>
        <v>Winter Sports</v>
      </c>
      <c r="G3133" s="2" t="str">
        <f t="array" ref="G3133">_xlfn.XLOOKUP(A3134,Product!A:A,Product!D:D,"Bulunamadı")</f>
        <v>Oakpoint Publishing</v>
      </c>
      <c r="H3133" s="2">
        <f t="array" ref="H3133">_xlfn.XLOOKUP(A3135,Product!A:A,Product!E:E,"Bulunamadı")</f>
        <v>2.86</v>
      </c>
      <c r="I3133" s="2" t="str">
        <f t="shared" si="1"/>
        <v>70595 - Tech - Winter Sports</v>
      </c>
      <c r="J3133" s="2">
        <f t="shared" si="2"/>
        <v>108.68</v>
      </c>
      <c r="K3133" s="17">
        <f t="shared" si="3"/>
        <v>1</v>
      </c>
      <c r="L3133" s="18"/>
    </row>
    <row r="3134" hidden="1">
      <c r="A3134" s="2">
        <f>IFERROR(__xludf.DUMMYFUNCTION("""COMPUTED_VALUE"""),8676.0)</f>
        <v>8676</v>
      </c>
      <c r="B3134" s="2">
        <f>IFERROR(__xludf.DUMMYFUNCTION("""COMPUTED_VALUE"""),0.0)</f>
        <v>0</v>
      </c>
      <c r="C3134" s="2">
        <f>IFERROR(__xludf.DUMMYFUNCTION("""COMPUTED_VALUE"""),286.0)</f>
        <v>286</v>
      </c>
      <c r="D3134" s="3">
        <f>IFERROR(__xludf.DUMMYFUNCTION("""COMPUTED_VALUE"""),118.0)</f>
        <v>118</v>
      </c>
      <c r="E3134" s="1" t="str">
        <f t="array" ref="E3134">_xlfn.XLOOKUP(A3134,Product!A:A,Product!B:B,"Bulunamadı")</f>
        <v>Tech</v>
      </c>
      <c r="F3134" s="1" t="str">
        <f t="array" ref="F3134">_xlfn.XLOOKUP(A3134,Product!A:A,Product!C:C,"Bulunamadı")</f>
        <v>Winter Sports</v>
      </c>
      <c r="G3134" s="2" t="str">
        <f t="array" ref="G3134">_xlfn.XLOOKUP(A3135,Product!A:A,Product!D:D,"Bulunamadı")</f>
        <v>Oakpoint Publishing</v>
      </c>
      <c r="H3134" s="2">
        <f t="array" ref="H3134">_xlfn.XLOOKUP(A3136,Product!A:A,Product!E:E,"Bulunamadı")</f>
        <v>2.07</v>
      </c>
      <c r="I3134" s="2" t="str">
        <f t="shared" si="1"/>
        <v>8676 - Tech - Winter Sports</v>
      </c>
      <c r="J3134" s="2">
        <f t="shared" si="2"/>
        <v>244.26</v>
      </c>
      <c r="K3134" s="17">
        <f t="shared" si="3"/>
        <v>1</v>
      </c>
      <c r="L3134" s="18"/>
    </row>
    <row r="3135" hidden="1">
      <c r="A3135" s="2">
        <f>IFERROR(__xludf.DUMMYFUNCTION("""COMPUTED_VALUE"""),128313.0)</f>
        <v>128313</v>
      </c>
      <c r="B3135" s="2">
        <f>IFERROR(__xludf.DUMMYFUNCTION("""COMPUTED_VALUE"""),0.0)</f>
        <v>0</v>
      </c>
      <c r="C3135" s="2">
        <f>IFERROR(__xludf.DUMMYFUNCTION("""COMPUTED_VALUE"""),14.0)</f>
        <v>14</v>
      </c>
      <c r="D3135" s="3">
        <f>IFERROR(__xludf.DUMMYFUNCTION("""COMPUTED_VALUE"""),11.0)</f>
        <v>11</v>
      </c>
      <c r="E3135" s="1" t="str">
        <f t="array" ref="E3135">_xlfn.XLOOKUP(A3135,Product!A:A,Product!B:B,"Bulunamadı")</f>
        <v>Tech</v>
      </c>
      <c r="F3135" s="1" t="str">
        <f t="array" ref="F3135">_xlfn.XLOOKUP(A3135,Product!A:A,Product!C:C,"Bulunamadı")</f>
        <v>Winter Sports</v>
      </c>
      <c r="G3135" s="2" t="str">
        <f t="array" ref="G3135">_xlfn.XLOOKUP(A3136,Product!A:A,Product!D:D,"Bulunamadı")</f>
        <v>Riverpoint Books</v>
      </c>
      <c r="H3135" s="2">
        <f t="array" ref="H3135">_xlfn.XLOOKUP(A3137,Product!A:A,Product!E:E,"Bulunamadı")</f>
        <v>5.44</v>
      </c>
      <c r="I3135" s="2" t="str">
        <f t="shared" si="1"/>
        <v>128313 - Tech - Winter Sports</v>
      </c>
      <c r="J3135" s="2">
        <f t="shared" si="2"/>
        <v>59.84</v>
      </c>
      <c r="K3135" s="17">
        <f t="shared" si="3"/>
        <v>1</v>
      </c>
      <c r="L3135" s="18"/>
    </row>
    <row r="3136" hidden="1">
      <c r="A3136" s="2">
        <f>IFERROR(__xludf.DUMMYFUNCTION("""COMPUTED_VALUE"""),45479.0)</f>
        <v>45479</v>
      </c>
      <c r="B3136" s="2">
        <f>IFERROR(__xludf.DUMMYFUNCTION("""COMPUTED_VALUE"""),0.0)</f>
        <v>0</v>
      </c>
      <c r="C3136" s="2">
        <f>IFERROR(__xludf.DUMMYFUNCTION("""COMPUTED_VALUE"""),800.0)</f>
        <v>800</v>
      </c>
      <c r="D3136" s="3">
        <f>IFERROR(__xludf.DUMMYFUNCTION("""COMPUTED_VALUE"""),305.0)</f>
        <v>305</v>
      </c>
      <c r="E3136" s="1" t="str">
        <f t="array" ref="E3136">_xlfn.XLOOKUP(A3136,Product!A:A,Product!B:B,"Bulunamadı")</f>
        <v>Tech</v>
      </c>
      <c r="F3136" s="1" t="str">
        <f t="array" ref="F3136">_xlfn.XLOOKUP(A3136,Product!A:A,Product!C:C,"Bulunamadı")</f>
        <v>Constitutional Law</v>
      </c>
      <c r="G3136" s="2" t="str">
        <f t="array" ref="G3136">_xlfn.XLOOKUP(A3137,Product!A:A,Product!D:D,"Bulunamadı")</f>
        <v>Riverpoint Books</v>
      </c>
      <c r="H3136" s="2">
        <f t="array" ref="H3136">_xlfn.XLOOKUP(A3138,Product!A:A,Product!E:E,"Bulunamadı")</f>
        <v>3.08</v>
      </c>
      <c r="I3136" s="2" t="str">
        <f t="shared" si="1"/>
        <v>45479 - Tech - Constitutional Law</v>
      </c>
      <c r="J3136" s="2">
        <f t="shared" si="2"/>
        <v>939.4</v>
      </c>
      <c r="K3136" s="17">
        <f t="shared" si="3"/>
        <v>1</v>
      </c>
      <c r="L3136" s="18"/>
    </row>
    <row r="3137" hidden="1">
      <c r="A3137" s="2">
        <f>IFERROR(__xludf.DUMMYFUNCTION("""COMPUTED_VALUE"""),45481.0)</f>
        <v>45481</v>
      </c>
      <c r="B3137" s="2">
        <f>IFERROR(__xludf.DUMMYFUNCTION("""COMPUTED_VALUE"""),1.0)</f>
        <v>1</v>
      </c>
      <c r="C3137" s="2">
        <f>IFERROR(__xludf.DUMMYFUNCTION("""COMPUTED_VALUE"""),571.0)</f>
        <v>571</v>
      </c>
      <c r="D3137" s="3">
        <f>IFERROR(__xludf.DUMMYFUNCTION("""COMPUTED_VALUE"""),494.0)</f>
        <v>494</v>
      </c>
      <c r="E3137" s="1" t="str">
        <f t="array" ref="E3137">_xlfn.XLOOKUP(A3137,Product!A:A,Product!B:B,"Bulunamadı")</f>
        <v>Tech</v>
      </c>
      <c r="F3137" s="1" t="str">
        <f t="array" ref="F3137">_xlfn.XLOOKUP(A3137,Product!A:A,Product!C:C,"Bulunamadı")</f>
        <v>Constitutional Law</v>
      </c>
      <c r="G3137" s="2" t="str">
        <f t="array" ref="G3137">_xlfn.XLOOKUP(A3138,Product!A:A,Product!D:D,"Bulunamadı")</f>
        <v>Riverpoint Books</v>
      </c>
      <c r="H3137" s="2">
        <f t="array" ref="H3137">_xlfn.XLOOKUP(A3139,Product!A:A,Product!E:E,"Bulunamadı")</f>
        <v>2.26</v>
      </c>
      <c r="I3137" s="2" t="str">
        <f t="shared" si="1"/>
        <v>45481 - Tech - Constitutional Law</v>
      </c>
      <c r="J3137" s="2">
        <f t="shared" si="2"/>
        <v>1116.44</v>
      </c>
      <c r="K3137" s="17">
        <f t="shared" si="3"/>
        <v>1</v>
      </c>
      <c r="L3137" s="18"/>
    </row>
    <row r="3138" hidden="1">
      <c r="A3138" s="2">
        <f>IFERROR(__xludf.DUMMYFUNCTION("""COMPUTED_VALUE"""),80001.0)</f>
        <v>80001</v>
      </c>
      <c r="B3138" s="2">
        <f>IFERROR(__xludf.DUMMYFUNCTION("""COMPUTED_VALUE"""),0.0)</f>
        <v>0</v>
      </c>
      <c r="C3138" s="2">
        <f>IFERROR(__xludf.DUMMYFUNCTION("""COMPUTED_VALUE"""),637.0)</f>
        <v>637</v>
      </c>
      <c r="D3138" s="3">
        <f>IFERROR(__xludf.DUMMYFUNCTION("""COMPUTED_VALUE"""),61.0)</f>
        <v>61</v>
      </c>
      <c r="E3138" s="1" t="str">
        <f t="array" ref="E3138">_xlfn.XLOOKUP(A3138,Product!A:A,Product!B:B,"Bulunamadı")</f>
        <v>Tech</v>
      </c>
      <c r="F3138" s="1" t="str">
        <f t="array" ref="F3138">_xlfn.XLOOKUP(A3138,Product!A:A,Product!C:C,"Bulunamadı")</f>
        <v>Constitutional Law</v>
      </c>
      <c r="G3138" s="2" t="str">
        <f t="array" ref="G3138">_xlfn.XLOOKUP(A3139,Product!A:A,Product!D:D,"Bulunamadı")</f>
        <v>Riverpoint Books</v>
      </c>
      <c r="H3138" s="2">
        <f t="array" ref="H3138">_xlfn.XLOOKUP(A3140,Product!A:A,Product!E:E,"Bulunamadı")</f>
        <v>4.29</v>
      </c>
      <c r="I3138" s="2" t="str">
        <f t="shared" si="1"/>
        <v>80001 - Tech - Constitutional Law</v>
      </c>
      <c r="J3138" s="2">
        <f t="shared" si="2"/>
        <v>261.69</v>
      </c>
      <c r="K3138" s="17">
        <f t="shared" si="3"/>
        <v>1</v>
      </c>
      <c r="L3138" s="18"/>
    </row>
    <row r="3139" hidden="1">
      <c r="A3139" s="2">
        <f>IFERROR(__xludf.DUMMYFUNCTION("""COMPUTED_VALUE"""),10068.0)</f>
        <v>10068</v>
      </c>
      <c r="B3139" s="2">
        <f>IFERROR(__xludf.DUMMYFUNCTION("""COMPUTED_VALUE"""),0.0)</f>
        <v>0</v>
      </c>
      <c r="C3139" s="2">
        <f>IFERROR(__xludf.DUMMYFUNCTION("""COMPUTED_VALUE"""),505.0)</f>
        <v>505</v>
      </c>
      <c r="D3139" s="3">
        <f>IFERROR(__xludf.DUMMYFUNCTION("""COMPUTED_VALUE"""),191.0)</f>
        <v>191</v>
      </c>
      <c r="E3139" s="1" t="str">
        <f t="array" ref="E3139">_xlfn.XLOOKUP(A3139,Product!A:A,Product!B:B,"Bulunamadı")</f>
        <v>Tech</v>
      </c>
      <c r="F3139" s="1" t="str">
        <f t="array" ref="F3139">_xlfn.XLOOKUP(A3139,Product!A:A,Product!C:C,"Bulunamadı")</f>
        <v>Constitutional Law</v>
      </c>
      <c r="G3139" s="2" t="str">
        <f t="array" ref="G3139">_xlfn.XLOOKUP(A3140,Product!A:A,Product!D:D,"Bulunamadı")</f>
        <v>Riverpoint Books</v>
      </c>
      <c r="H3139" s="2">
        <f t="array" ref="H3139">_xlfn.XLOOKUP(A3141,Product!A:A,Product!E:E,"Bulunamadı")</f>
        <v>2.58</v>
      </c>
      <c r="I3139" s="2" t="str">
        <f t="shared" si="1"/>
        <v>10068 - Tech - Constitutional Law</v>
      </c>
      <c r="J3139" s="2">
        <f t="shared" si="2"/>
        <v>492.78</v>
      </c>
      <c r="K3139" s="17">
        <f t="shared" si="3"/>
        <v>1</v>
      </c>
      <c r="L3139" s="18"/>
    </row>
    <row r="3140" hidden="1">
      <c r="A3140" s="2">
        <f>IFERROR(__xludf.DUMMYFUNCTION("""COMPUTED_VALUE"""),10054.0)</f>
        <v>10054</v>
      </c>
      <c r="B3140" s="2">
        <f>IFERROR(__xludf.DUMMYFUNCTION("""COMPUTED_VALUE"""),0.0)</f>
        <v>0</v>
      </c>
      <c r="C3140" s="2">
        <f>IFERROR(__xludf.DUMMYFUNCTION("""COMPUTED_VALUE"""),550.0)</f>
        <v>550</v>
      </c>
      <c r="D3140" s="3">
        <f>IFERROR(__xludf.DUMMYFUNCTION("""COMPUTED_VALUE"""),403.0)</f>
        <v>403</v>
      </c>
      <c r="E3140" s="1" t="str">
        <f t="array" ref="E3140">_xlfn.XLOOKUP(A3140,Product!A:A,Product!B:B,"Bulunamadı")</f>
        <v>Tech</v>
      </c>
      <c r="F3140" s="1" t="str">
        <f t="array" ref="F3140">_xlfn.XLOOKUP(A3140,Product!A:A,Product!C:C,"Bulunamadı")</f>
        <v>Constitutional Law</v>
      </c>
      <c r="G3140" s="2" t="str">
        <f t="array" ref="G3140">_xlfn.XLOOKUP(A3141,Product!A:A,Product!D:D,"Bulunamadı")</f>
        <v>Riverpoint Books</v>
      </c>
      <c r="H3140" s="2">
        <f t="array" ref="H3140">_xlfn.XLOOKUP(A3142,Product!A:A,Product!E:E,"Bulunamadı")</f>
        <v>2.57</v>
      </c>
      <c r="I3140" s="2" t="str">
        <f t="shared" si="1"/>
        <v>10054 - Tech - Constitutional Law</v>
      </c>
      <c r="J3140" s="2">
        <f t="shared" si="2"/>
        <v>1035.71</v>
      </c>
      <c r="K3140" s="17">
        <f t="shared" si="3"/>
        <v>1</v>
      </c>
      <c r="L3140" s="18"/>
    </row>
    <row r="3141" hidden="1">
      <c r="A3141" s="2">
        <f>IFERROR(__xludf.DUMMYFUNCTION("""COMPUTED_VALUE"""),10070.0)</f>
        <v>10070</v>
      </c>
      <c r="B3141" s="2">
        <f>IFERROR(__xludf.DUMMYFUNCTION("""COMPUTED_VALUE"""),0.0)</f>
        <v>0</v>
      </c>
      <c r="C3141" s="2">
        <f>IFERROR(__xludf.DUMMYFUNCTION("""COMPUTED_VALUE"""),721.0)</f>
        <v>721</v>
      </c>
      <c r="D3141" s="3">
        <f>IFERROR(__xludf.DUMMYFUNCTION("""COMPUTED_VALUE"""),82.0)</f>
        <v>82</v>
      </c>
      <c r="E3141" s="1" t="str">
        <f t="array" ref="E3141">_xlfn.XLOOKUP(A3141,Product!A:A,Product!B:B,"Bulunamadı")</f>
        <v>Tech</v>
      </c>
      <c r="F3141" s="1" t="str">
        <f t="array" ref="F3141">_xlfn.XLOOKUP(A3141,Product!A:A,Product!C:C,"Bulunamadı")</f>
        <v>Constitutional Law</v>
      </c>
      <c r="G3141" s="2" t="str">
        <f t="array" ref="G3141">_xlfn.XLOOKUP(A3142,Product!A:A,Product!D:D,"Bulunamadı")</f>
        <v>Riverpoint Books</v>
      </c>
      <c r="H3141" s="2">
        <f t="array" ref="H3141">_xlfn.XLOOKUP(A3143,Product!A:A,Product!E:E,"Bulunamadı")</f>
        <v>1.91</v>
      </c>
      <c r="I3141" s="2" t="str">
        <f t="shared" si="1"/>
        <v>10070 - Tech - Constitutional Law</v>
      </c>
      <c r="J3141" s="2">
        <f t="shared" si="2"/>
        <v>156.62</v>
      </c>
      <c r="K3141" s="17">
        <f t="shared" si="3"/>
        <v>1</v>
      </c>
      <c r="L3141" s="18"/>
    </row>
    <row r="3142" hidden="1">
      <c r="A3142" s="2">
        <f>IFERROR(__xludf.DUMMYFUNCTION("""COMPUTED_VALUE"""),45480.0)</f>
        <v>45480</v>
      </c>
      <c r="B3142" s="2">
        <f>IFERROR(__xludf.DUMMYFUNCTION("""COMPUTED_VALUE"""),1.0)</f>
        <v>1</v>
      </c>
      <c r="C3142" s="2">
        <f>IFERROR(__xludf.DUMMYFUNCTION("""COMPUTED_VALUE"""),50.0)</f>
        <v>50</v>
      </c>
      <c r="D3142" s="3">
        <f>IFERROR(__xludf.DUMMYFUNCTION("""COMPUTED_VALUE"""),1.0)</f>
        <v>1</v>
      </c>
      <c r="E3142" s="1" t="str">
        <f t="array" ref="E3142">_xlfn.XLOOKUP(A3142,Product!A:A,Product!B:B,"Bulunamadı")</f>
        <v>Tech</v>
      </c>
      <c r="F3142" s="1" t="str">
        <f t="array" ref="F3142">_xlfn.XLOOKUP(A3142,Product!A:A,Product!C:C,"Bulunamadı")</f>
        <v>Constitutional Law</v>
      </c>
      <c r="G3142" s="2" t="str">
        <f t="array" ref="G3142">_xlfn.XLOOKUP(A3143,Product!A:A,Product!D:D,"Bulunamadı")</f>
        <v>Riverpoint Books</v>
      </c>
      <c r="H3142" s="2">
        <f t="array" ref="H3142">_xlfn.XLOOKUP(A3144,Product!A:A,Product!E:E,"Bulunamadı")</f>
        <v>2.47</v>
      </c>
      <c r="I3142" s="2" t="str">
        <f t="shared" si="1"/>
        <v>45480 - Tech - Constitutional Law</v>
      </c>
      <c r="J3142" s="2">
        <f t="shared" si="2"/>
        <v>2.47</v>
      </c>
      <c r="K3142" s="17">
        <f t="shared" si="3"/>
        <v>1</v>
      </c>
      <c r="L3142" s="18"/>
    </row>
    <row r="3143" hidden="1">
      <c r="A3143" s="2">
        <f>IFERROR(__xludf.DUMMYFUNCTION("""COMPUTED_VALUE"""),92791.0)</f>
        <v>92791</v>
      </c>
      <c r="B3143" s="2">
        <f>IFERROR(__xludf.DUMMYFUNCTION("""COMPUTED_VALUE"""),0.0)</f>
        <v>0</v>
      </c>
      <c r="C3143" s="2">
        <f>IFERROR(__xludf.DUMMYFUNCTION("""COMPUTED_VALUE"""),289.0)</f>
        <v>289</v>
      </c>
      <c r="D3143" s="3">
        <f>IFERROR(__xludf.DUMMYFUNCTION("""COMPUTED_VALUE"""),5.0)</f>
        <v>5</v>
      </c>
      <c r="E3143" s="1" t="str">
        <f t="array" ref="E3143">_xlfn.XLOOKUP(A3143,Product!A:A,Product!B:B,"Bulunamadı")</f>
        <v>Tech</v>
      </c>
      <c r="F3143" s="1" t="str">
        <f t="array" ref="F3143">_xlfn.XLOOKUP(A3143,Product!A:A,Product!C:C,"Bulunamadı")</f>
        <v>Constitutional Law</v>
      </c>
      <c r="G3143" s="2" t="str">
        <f t="array" ref="G3143">_xlfn.XLOOKUP(A3144,Product!A:A,Product!D:D,"Bulunamadı")</f>
        <v>Ironpoint Press</v>
      </c>
      <c r="H3143" s="2">
        <f t="array" ref="H3143">_xlfn.XLOOKUP(A3145,Product!A:A,Product!E:E,"Bulunamadı")</f>
        <v>4.28</v>
      </c>
      <c r="I3143" s="2" t="str">
        <f t="shared" si="1"/>
        <v>92791 - Tech - Constitutional Law</v>
      </c>
      <c r="J3143" s="2">
        <f t="shared" si="2"/>
        <v>21.4</v>
      </c>
      <c r="K3143" s="17">
        <f t="shared" si="3"/>
        <v>1</v>
      </c>
      <c r="L3143" s="18"/>
    </row>
    <row r="3144" hidden="1">
      <c r="A3144" s="2">
        <f>IFERROR(__xludf.DUMMYFUNCTION("""COMPUTED_VALUE"""),188722.0)</f>
        <v>188722</v>
      </c>
      <c r="B3144" s="2">
        <f>IFERROR(__xludf.DUMMYFUNCTION("""COMPUTED_VALUE"""),1.0)</f>
        <v>1</v>
      </c>
      <c r="C3144" s="2">
        <f>IFERROR(__xludf.DUMMYFUNCTION("""COMPUTED_VALUE"""),281.0)</f>
        <v>281</v>
      </c>
      <c r="D3144" s="3">
        <f>IFERROR(__xludf.DUMMYFUNCTION("""COMPUTED_VALUE"""),281.0)</f>
        <v>281</v>
      </c>
      <c r="E3144" s="1" t="str">
        <f t="array" ref="E3144">_xlfn.XLOOKUP(A3144,Product!A:A,Product!B:B,"Bulunamadı")</f>
        <v>Tech</v>
      </c>
      <c r="F3144" s="1" t="str">
        <f t="array" ref="F3144">_xlfn.XLOOKUP(A3144,Product!A:A,Product!C:C,"Bulunamadı")</f>
        <v>Constitutional Law</v>
      </c>
      <c r="G3144" s="2" t="str">
        <f t="array" ref="G3144">_xlfn.XLOOKUP(A3145,Product!A:A,Product!D:D,"Bulunamadı")</f>
        <v>Ironpoint Press</v>
      </c>
      <c r="H3144" s="2">
        <f t="array" ref="H3144">_xlfn.XLOOKUP(A3146,Product!A:A,Product!E:E,"Bulunamadı")</f>
        <v>2.21</v>
      </c>
      <c r="I3144" s="2" t="str">
        <f t="shared" si="1"/>
        <v>188722 - Tech - Constitutional Law</v>
      </c>
      <c r="J3144" s="2">
        <f t="shared" si="2"/>
        <v>621.01</v>
      </c>
      <c r="K3144" s="17">
        <f t="shared" si="3"/>
        <v>1</v>
      </c>
      <c r="L3144" s="18"/>
    </row>
    <row r="3145" hidden="1">
      <c r="A3145" s="2">
        <f>IFERROR(__xludf.DUMMYFUNCTION("""COMPUTED_VALUE"""),10061.0)</f>
        <v>10061</v>
      </c>
      <c r="B3145" s="2">
        <f>IFERROR(__xludf.DUMMYFUNCTION("""COMPUTED_VALUE"""),0.0)</f>
        <v>0</v>
      </c>
      <c r="C3145" s="2">
        <f>IFERROR(__xludf.DUMMYFUNCTION("""COMPUTED_VALUE"""),752.0)</f>
        <v>752</v>
      </c>
      <c r="D3145" s="3">
        <f>IFERROR(__xludf.DUMMYFUNCTION("""COMPUTED_VALUE"""),148.0)</f>
        <v>148</v>
      </c>
      <c r="E3145" s="1" t="str">
        <f t="array" ref="E3145">_xlfn.XLOOKUP(A3145,Product!A:A,Product!B:B,"Bulunamadı")</f>
        <v>Tech</v>
      </c>
      <c r="F3145" s="1" t="str">
        <f t="array" ref="F3145">_xlfn.XLOOKUP(A3145,Product!A:A,Product!C:C,"Bulunamadı")</f>
        <v>Constitutional Law</v>
      </c>
      <c r="G3145" s="2" t="str">
        <f t="array" ref="G3145">_xlfn.XLOOKUP(A3146,Product!A:A,Product!D:D,"Bulunamadı")</f>
        <v>Ironpoint Press</v>
      </c>
      <c r="H3145" s="2">
        <f t="array" ref="H3145">_xlfn.XLOOKUP(A3147,Product!A:A,Product!E:E,"Bulunamadı")</f>
        <v>2.86</v>
      </c>
      <c r="I3145" s="2" t="str">
        <f t="shared" si="1"/>
        <v>10061 - Tech - Constitutional Law</v>
      </c>
      <c r="J3145" s="2">
        <f t="shared" si="2"/>
        <v>423.28</v>
      </c>
      <c r="K3145" s="17">
        <f t="shared" si="3"/>
        <v>1</v>
      </c>
      <c r="L3145" s="18"/>
    </row>
    <row r="3146" hidden="1">
      <c r="A3146" s="2">
        <f>IFERROR(__xludf.DUMMYFUNCTION("""COMPUTED_VALUE"""),188708.0)</f>
        <v>188708</v>
      </c>
      <c r="B3146" s="2">
        <f>IFERROR(__xludf.DUMMYFUNCTION("""COMPUTED_VALUE"""),1.0)</f>
        <v>1</v>
      </c>
      <c r="C3146" s="2">
        <f>IFERROR(__xludf.DUMMYFUNCTION("""COMPUTED_VALUE"""),720.0)</f>
        <v>720</v>
      </c>
      <c r="D3146" s="3">
        <f>IFERROR(__xludf.DUMMYFUNCTION("""COMPUTED_VALUE"""),600.0)</f>
        <v>600</v>
      </c>
      <c r="E3146" s="1" t="str">
        <f t="array" ref="E3146">_xlfn.XLOOKUP(A3146,Product!A:A,Product!B:B,"Bulunamadı")</f>
        <v>Tech</v>
      </c>
      <c r="F3146" s="1" t="str">
        <f t="array" ref="F3146">_xlfn.XLOOKUP(A3146,Product!A:A,Product!C:C,"Bulunamadı")</f>
        <v>Constitutional Law</v>
      </c>
      <c r="G3146" s="2" t="str">
        <f t="array" ref="G3146">_xlfn.XLOOKUP(A3147,Product!A:A,Product!D:D,"Bulunamadı")</f>
        <v>Ironpoint Press</v>
      </c>
      <c r="H3146" s="2">
        <f t="array" ref="H3146">_xlfn.XLOOKUP(A3148,Product!A:A,Product!E:E,"Bulunamadı")</f>
        <v>1.16</v>
      </c>
      <c r="I3146" s="2" t="str">
        <f t="shared" si="1"/>
        <v>188708 - Tech - Constitutional Law</v>
      </c>
      <c r="J3146" s="2">
        <f t="shared" si="2"/>
        <v>696</v>
      </c>
      <c r="K3146" s="17">
        <f t="shared" si="3"/>
        <v>1</v>
      </c>
      <c r="L3146" s="18"/>
    </row>
    <row r="3147" hidden="1">
      <c r="A3147" s="2">
        <f>IFERROR(__xludf.DUMMYFUNCTION("""COMPUTED_VALUE"""),110927.0)</f>
        <v>110927</v>
      </c>
      <c r="B3147" s="2">
        <f>IFERROR(__xludf.DUMMYFUNCTION("""COMPUTED_VALUE"""),1.0)</f>
        <v>1</v>
      </c>
      <c r="C3147" s="2">
        <f>IFERROR(__xludf.DUMMYFUNCTION("""COMPUTED_VALUE"""),603.0)</f>
        <v>603</v>
      </c>
      <c r="D3147" s="3">
        <f>IFERROR(__xludf.DUMMYFUNCTION("""COMPUTED_VALUE"""),50.0)</f>
        <v>50</v>
      </c>
      <c r="E3147" s="1" t="str">
        <f t="array" ref="E3147">_xlfn.XLOOKUP(A3147,Product!A:A,Product!B:B,"Bulunamadı")</f>
        <v>Tech</v>
      </c>
      <c r="F3147" s="1" t="str">
        <f t="array" ref="F3147">_xlfn.XLOOKUP(A3147,Product!A:A,Product!C:C,"Bulunamadı")</f>
        <v>Constitutional Law</v>
      </c>
      <c r="G3147" s="2" t="str">
        <f t="array" ref="G3147">_xlfn.XLOOKUP(A3148,Product!A:A,Product!D:D,"Bulunamadı")</f>
        <v>Ironpoint Press</v>
      </c>
      <c r="H3147" s="2">
        <f t="array" ref="H3147">_xlfn.XLOOKUP(A3149,Product!A:A,Product!E:E,"Bulunamadı")</f>
        <v>6.03</v>
      </c>
      <c r="I3147" s="2" t="str">
        <f t="shared" si="1"/>
        <v>110927 - Tech - Constitutional Law</v>
      </c>
      <c r="J3147" s="2">
        <f t="shared" si="2"/>
        <v>301.5</v>
      </c>
      <c r="K3147" s="17">
        <f t="shared" si="3"/>
        <v>1</v>
      </c>
      <c r="L3147" s="18"/>
    </row>
    <row r="3148" hidden="1">
      <c r="A3148" s="2">
        <f>IFERROR(__xludf.DUMMYFUNCTION("""COMPUTED_VALUE"""),188729.0)</f>
        <v>188729</v>
      </c>
      <c r="B3148" s="2">
        <f>IFERROR(__xludf.DUMMYFUNCTION("""COMPUTED_VALUE"""),1.0)</f>
        <v>1</v>
      </c>
      <c r="C3148" s="2">
        <f>IFERROR(__xludf.DUMMYFUNCTION("""COMPUTED_VALUE"""),219.0)</f>
        <v>219</v>
      </c>
      <c r="D3148" s="3">
        <f>IFERROR(__xludf.DUMMYFUNCTION("""COMPUTED_VALUE"""),179.0)</f>
        <v>179</v>
      </c>
      <c r="E3148" s="1" t="str">
        <f t="array" ref="E3148">_xlfn.XLOOKUP(A3148,Product!A:A,Product!B:B,"Bulunamadı")</f>
        <v>Tech</v>
      </c>
      <c r="F3148" s="1" t="str">
        <f t="array" ref="F3148">_xlfn.XLOOKUP(A3148,Product!A:A,Product!C:C,"Bulunamadı")</f>
        <v>Constitutional Law</v>
      </c>
      <c r="G3148" s="2" t="str">
        <f t="array" ref="G3148">_xlfn.XLOOKUP(A3149,Product!A:A,Product!D:D,"Bulunamadı")</f>
        <v>Ironpoint Press</v>
      </c>
      <c r="H3148" s="2">
        <f t="array" ref="H3148">_xlfn.XLOOKUP(A3150,Product!A:A,Product!E:E,"Bulunamadı")</f>
        <v>0.82</v>
      </c>
      <c r="I3148" s="2" t="str">
        <f t="shared" si="1"/>
        <v>188729 - Tech - Constitutional Law</v>
      </c>
      <c r="J3148" s="2">
        <f t="shared" si="2"/>
        <v>146.78</v>
      </c>
      <c r="K3148" s="17">
        <f t="shared" si="3"/>
        <v>1</v>
      </c>
      <c r="L3148" s="18"/>
    </row>
    <row r="3149" hidden="1">
      <c r="A3149" s="2">
        <f>IFERROR(__xludf.DUMMYFUNCTION("""COMPUTED_VALUE"""),120969.0)</f>
        <v>120969</v>
      </c>
      <c r="B3149" s="2">
        <f>IFERROR(__xludf.DUMMYFUNCTION("""COMPUTED_VALUE"""),0.0)</f>
        <v>0</v>
      </c>
      <c r="C3149" s="2">
        <f>IFERROR(__xludf.DUMMYFUNCTION("""COMPUTED_VALUE"""),136.0)</f>
        <v>136</v>
      </c>
      <c r="D3149" s="3">
        <f>IFERROR(__xludf.DUMMYFUNCTION("""COMPUTED_VALUE"""),47.0)</f>
        <v>47</v>
      </c>
      <c r="E3149" s="1" t="str">
        <f t="array" ref="E3149">_xlfn.XLOOKUP(A3149,Product!A:A,Product!B:B,"Bulunamadı")</f>
        <v>Tech</v>
      </c>
      <c r="F3149" s="1" t="str">
        <f t="array" ref="F3149">_xlfn.XLOOKUP(A3149,Product!A:A,Product!C:C,"Bulunamadı")</f>
        <v>Constitutional Law</v>
      </c>
      <c r="G3149" s="2" t="str">
        <f t="array" ref="G3149">_xlfn.XLOOKUP(A3150,Product!A:A,Product!D:D,"Bulunamadı")</f>
        <v>Ironpoint Press</v>
      </c>
      <c r="H3149" s="2">
        <f t="array" ref="H3149">_xlfn.XLOOKUP(A3151,Product!A:A,Product!E:E,"Bulunamadı")</f>
        <v>2.74</v>
      </c>
      <c r="I3149" s="2" t="str">
        <f t="shared" si="1"/>
        <v>120969 - Tech - Constitutional Law</v>
      </c>
      <c r="J3149" s="2">
        <f t="shared" si="2"/>
        <v>128.78</v>
      </c>
      <c r="K3149" s="17">
        <f t="shared" si="3"/>
        <v>1</v>
      </c>
      <c r="L3149" s="18"/>
    </row>
    <row r="3150" hidden="1">
      <c r="A3150" s="2">
        <f>IFERROR(__xludf.DUMMYFUNCTION("""COMPUTED_VALUE"""),188728.0)</f>
        <v>188728</v>
      </c>
      <c r="B3150" s="2">
        <f>IFERROR(__xludf.DUMMYFUNCTION("""COMPUTED_VALUE"""),1.0)</f>
        <v>1</v>
      </c>
      <c r="C3150" s="2">
        <f>IFERROR(__xludf.DUMMYFUNCTION("""COMPUTED_VALUE"""),676.0)</f>
        <v>676</v>
      </c>
      <c r="D3150" s="3">
        <f>IFERROR(__xludf.DUMMYFUNCTION("""COMPUTED_VALUE"""),477.0)</f>
        <v>477</v>
      </c>
      <c r="E3150" s="1" t="str">
        <f t="array" ref="E3150">_xlfn.XLOOKUP(A3150,Product!A:A,Product!B:B,"Bulunamadı")</f>
        <v>Tech</v>
      </c>
      <c r="F3150" s="1" t="str">
        <f t="array" ref="F3150">_xlfn.XLOOKUP(A3150,Product!A:A,Product!C:C,"Bulunamadı")</f>
        <v>Constitutional Law</v>
      </c>
      <c r="G3150" s="2" t="str">
        <f t="array" ref="G3150">_xlfn.XLOOKUP(A3151,Product!A:A,Product!D:D,"Bulunamadı")</f>
        <v>Ironpoint Press</v>
      </c>
      <c r="H3150" s="2">
        <f t="array" ref="H3150">_xlfn.XLOOKUP(A3152,Product!A:A,Product!E:E,"Bulunamadı")</f>
        <v>1.25</v>
      </c>
      <c r="I3150" s="2" t="str">
        <f t="shared" si="1"/>
        <v>188728 - Tech - Constitutional Law</v>
      </c>
      <c r="J3150" s="2">
        <f t="shared" si="2"/>
        <v>596.25</v>
      </c>
      <c r="K3150" s="17">
        <f t="shared" si="3"/>
        <v>1</v>
      </c>
      <c r="L3150" s="18"/>
    </row>
    <row r="3151" hidden="1">
      <c r="A3151" s="2">
        <f>IFERROR(__xludf.DUMMYFUNCTION("""COMPUTED_VALUE"""),188663.0)</f>
        <v>188663</v>
      </c>
      <c r="B3151" s="2">
        <f>IFERROR(__xludf.DUMMYFUNCTION("""COMPUTED_VALUE"""),0.0)</f>
        <v>0</v>
      </c>
      <c r="C3151" s="2">
        <f>IFERROR(__xludf.DUMMYFUNCTION("""COMPUTED_VALUE"""),289.0)</f>
        <v>289</v>
      </c>
      <c r="D3151" s="3">
        <f>IFERROR(__xludf.DUMMYFUNCTION("""COMPUTED_VALUE"""),175.0)</f>
        <v>175</v>
      </c>
      <c r="E3151" s="1" t="str">
        <f t="array" ref="E3151">_xlfn.XLOOKUP(A3151,Product!A:A,Product!B:B,"Bulunamadı")</f>
        <v>Tech</v>
      </c>
      <c r="F3151" s="1" t="str">
        <f t="array" ref="F3151">_xlfn.XLOOKUP(A3151,Product!A:A,Product!C:C,"Bulunamadı")</f>
        <v>Constitutional Law</v>
      </c>
      <c r="G3151" s="2" t="str">
        <f t="array" ref="G3151">_xlfn.XLOOKUP(A3152,Product!A:A,Product!D:D,"Bulunamadı")</f>
        <v>Ironpoint Press</v>
      </c>
      <c r="H3151" s="2">
        <f t="array" ref="H3151">_xlfn.XLOOKUP(A3153,Product!A:A,Product!E:E,"Bulunamadı")</f>
        <v>3.48</v>
      </c>
      <c r="I3151" s="2" t="str">
        <f t="shared" si="1"/>
        <v>188663 - Tech - Constitutional Law</v>
      </c>
      <c r="J3151" s="2">
        <f t="shared" si="2"/>
        <v>609</v>
      </c>
      <c r="K3151" s="17">
        <f t="shared" si="3"/>
        <v>1</v>
      </c>
      <c r="L3151" s="18"/>
    </row>
    <row r="3152" hidden="1">
      <c r="A3152" s="2">
        <f>IFERROR(__xludf.DUMMYFUNCTION("""COMPUTED_VALUE"""),188727.0)</f>
        <v>188727</v>
      </c>
      <c r="B3152" s="2">
        <f>IFERROR(__xludf.DUMMYFUNCTION("""COMPUTED_VALUE"""),0.0)</f>
        <v>0</v>
      </c>
      <c r="C3152" s="2">
        <f>IFERROR(__xludf.DUMMYFUNCTION("""COMPUTED_VALUE"""),417.0)</f>
        <v>417</v>
      </c>
      <c r="D3152" s="3">
        <f>IFERROR(__xludf.DUMMYFUNCTION("""COMPUTED_VALUE"""),131.0)</f>
        <v>131</v>
      </c>
      <c r="E3152" s="1" t="str">
        <f t="array" ref="E3152">_xlfn.XLOOKUP(A3152,Product!A:A,Product!B:B,"Bulunamadı")</f>
        <v>Tech</v>
      </c>
      <c r="F3152" s="1" t="str">
        <f t="array" ref="F3152">_xlfn.XLOOKUP(A3152,Product!A:A,Product!C:C,"Bulunamadı")</f>
        <v>Constitutional Law</v>
      </c>
      <c r="G3152" s="2" t="str">
        <f t="array" ref="G3152">_xlfn.XLOOKUP(A3153,Product!A:A,Product!D:D,"Bulunamadı")</f>
        <v>Ironpoint Press</v>
      </c>
      <c r="H3152" s="2">
        <f t="array" ref="H3152">_xlfn.XLOOKUP(A3154,Product!A:A,Product!E:E,"Bulunamadı")</f>
        <v>1.7</v>
      </c>
      <c r="I3152" s="2" t="str">
        <f t="shared" si="1"/>
        <v>188727 - Tech - Constitutional Law</v>
      </c>
      <c r="J3152" s="2">
        <f t="shared" si="2"/>
        <v>222.7</v>
      </c>
      <c r="K3152" s="17">
        <f t="shared" si="3"/>
        <v>1</v>
      </c>
      <c r="L3152" s="18"/>
    </row>
    <row r="3153" hidden="1">
      <c r="A3153" s="2">
        <f>IFERROR(__xludf.DUMMYFUNCTION("""COMPUTED_VALUE"""),9741.0)</f>
        <v>9741</v>
      </c>
      <c r="B3153" s="2">
        <f>IFERROR(__xludf.DUMMYFUNCTION("""COMPUTED_VALUE"""),1.0)</f>
        <v>1</v>
      </c>
      <c r="C3153" s="2">
        <f>IFERROR(__xludf.DUMMYFUNCTION("""COMPUTED_VALUE"""),800.0)</f>
        <v>800</v>
      </c>
      <c r="D3153" s="3">
        <f>IFERROR(__xludf.DUMMYFUNCTION("""COMPUTED_VALUE"""),492.0)</f>
        <v>492</v>
      </c>
      <c r="E3153" s="1" t="str">
        <f t="array" ref="E3153">_xlfn.XLOOKUP(A3153,Product!A:A,Product!B:B,"Bulunamadı")</f>
        <v>Tech</v>
      </c>
      <c r="F3153" s="1" t="str">
        <f t="array" ref="F3153">_xlfn.XLOOKUP(A3153,Product!A:A,Product!C:C,"Bulunamadı")</f>
        <v>Constitutional Law</v>
      </c>
      <c r="G3153" s="2" t="str">
        <f t="array" ref="G3153">_xlfn.XLOOKUP(A3154,Product!A:A,Product!D:D,"Bulunamadı")</f>
        <v>Silverlight Publishing</v>
      </c>
      <c r="H3153" s="2">
        <f t="array" ref="H3153">_xlfn.XLOOKUP(A3155,Product!A:A,Product!E:E,"Bulunamadı")</f>
        <v>1.36</v>
      </c>
      <c r="I3153" s="2" t="str">
        <f t="shared" si="1"/>
        <v>9741 - Tech - Constitutional Law</v>
      </c>
      <c r="J3153" s="2">
        <f t="shared" si="2"/>
        <v>669.12</v>
      </c>
      <c r="K3153" s="17">
        <f t="shared" si="3"/>
        <v>1</v>
      </c>
      <c r="L3153" s="18"/>
    </row>
    <row r="3154" hidden="1">
      <c r="A3154" s="2">
        <f>IFERROR(__xludf.DUMMYFUNCTION("""COMPUTED_VALUE"""),70406.0)</f>
        <v>70406</v>
      </c>
      <c r="B3154" s="2">
        <f>IFERROR(__xludf.DUMMYFUNCTION("""COMPUTED_VALUE"""),1.0)</f>
        <v>1</v>
      </c>
      <c r="C3154" s="2">
        <f>IFERROR(__xludf.DUMMYFUNCTION("""COMPUTED_VALUE"""),784.0)</f>
        <v>784</v>
      </c>
      <c r="D3154" s="3">
        <f>IFERROR(__xludf.DUMMYFUNCTION("""COMPUTED_VALUE"""),333.0)</f>
        <v>333</v>
      </c>
      <c r="E3154" s="1" t="str">
        <f t="array" ref="E3154">_xlfn.XLOOKUP(A3154,Product!A:A,Product!B:B,"Bulunamadı")</f>
        <v>Medical</v>
      </c>
      <c r="F3154" s="1" t="str">
        <f t="array" ref="F3154">_xlfn.XLOOKUP(A3154,Product!A:A,Product!C:C,"Bulunamadı")</f>
        <v>Criminal Law</v>
      </c>
      <c r="G3154" s="2" t="str">
        <f t="array" ref="G3154">_xlfn.XLOOKUP(A3155,Product!A:A,Product!D:D,"Bulunamadı")</f>
        <v>Silverlight Publishing</v>
      </c>
      <c r="H3154" s="2">
        <f t="array" ref="H3154">_xlfn.XLOOKUP(A3156,Product!A:A,Product!E:E,"Bulunamadı")</f>
        <v>1.25</v>
      </c>
      <c r="I3154" s="2" t="str">
        <f t="shared" si="1"/>
        <v>70406 - Medical - Criminal Law</v>
      </c>
      <c r="J3154" s="2">
        <f t="shared" si="2"/>
        <v>416.25</v>
      </c>
      <c r="K3154" s="17">
        <f t="shared" si="3"/>
        <v>1</v>
      </c>
      <c r="L3154" s="18"/>
    </row>
    <row r="3155" hidden="1">
      <c r="A3155" s="2">
        <f>IFERROR(__xludf.DUMMYFUNCTION("""COMPUTED_VALUE"""),112114.0)</f>
        <v>112114</v>
      </c>
      <c r="B3155" s="2">
        <f>IFERROR(__xludf.DUMMYFUNCTION("""COMPUTED_VALUE"""),0.0)</f>
        <v>0</v>
      </c>
      <c r="C3155" s="2">
        <f>IFERROR(__xludf.DUMMYFUNCTION("""COMPUTED_VALUE"""),383.0)</f>
        <v>383</v>
      </c>
      <c r="D3155" s="3">
        <f>IFERROR(__xludf.DUMMYFUNCTION("""COMPUTED_VALUE"""),206.0)</f>
        <v>206</v>
      </c>
      <c r="E3155" s="1" t="str">
        <f t="array" ref="E3155">_xlfn.XLOOKUP(A3155,Product!A:A,Product!B:B,"Bulunamadı")</f>
        <v>Medical</v>
      </c>
      <c r="F3155" s="1" t="str">
        <f t="array" ref="F3155">_xlfn.XLOOKUP(A3155,Product!A:A,Product!C:C,"Bulunamadı")</f>
        <v>Criminal Law</v>
      </c>
      <c r="G3155" s="2" t="str">
        <f t="array" ref="G3155">_xlfn.XLOOKUP(A3156,Product!A:A,Product!D:D,"Bulunamadı")</f>
        <v>Silverlight Publishing</v>
      </c>
      <c r="H3155" s="2">
        <f t="array" ref="H3155">_xlfn.XLOOKUP(A3157,Product!A:A,Product!E:E,"Bulunamadı")</f>
        <v>2.06</v>
      </c>
      <c r="I3155" s="2" t="str">
        <f t="shared" si="1"/>
        <v>112114 - Medical - Criminal Law</v>
      </c>
      <c r="J3155" s="2">
        <f t="shared" si="2"/>
        <v>424.36</v>
      </c>
      <c r="K3155" s="17">
        <f t="shared" si="3"/>
        <v>1</v>
      </c>
      <c r="L3155" s="18"/>
    </row>
    <row r="3156" hidden="1">
      <c r="A3156" s="2">
        <f>IFERROR(__xludf.DUMMYFUNCTION("""COMPUTED_VALUE"""),70405.0)</f>
        <v>70405</v>
      </c>
      <c r="B3156" s="2">
        <f>IFERROR(__xludf.DUMMYFUNCTION("""COMPUTED_VALUE"""),0.0)</f>
        <v>0</v>
      </c>
      <c r="C3156" s="2">
        <f>IFERROR(__xludf.DUMMYFUNCTION("""COMPUTED_VALUE"""),900.0)</f>
        <v>900</v>
      </c>
      <c r="D3156" s="3">
        <f>IFERROR(__xludf.DUMMYFUNCTION("""COMPUTED_VALUE"""),523.0)</f>
        <v>523</v>
      </c>
      <c r="E3156" s="1" t="str">
        <f t="array" ref="E3156">_xlfn.XLOOKUP(A3156,Product!A:A,Product!B:B,"Bulunamadı")</f>
        <v>Medical</v>
      </c>
      <c r="F3156" s="1" t="str">
        <f t="array" ref="F3156">_xlfn.XLOOKUP(A3156,Product!A:A,Product!C:C,"Bulunamadı")</f>
        <v>Criminal Law</v>
      </c>
      <c r="G3156" s="2" t="str">
        <f t="array" ref="G3156">_xlfn.XLOOKUP(A3157,Product!A:A,Product!D:D,"Bulunamadı")</f>
        <v>Northlight Books</v>
      </c>
      <c r="H3156" s="2">
        <f t="array" ref="H3156">_xlfn.XLOOKUP(A3158,Product!A:A,Product!E:E,"Bulunamadı")</f>
        <v>6.42</v>
      </c>
      <c r="I3156" s="2" t="str">
        <f t="shared" si="1"/>
        <v>70405 - Medical - Criminal Law</v>
      </c>
      <c r="J3156" s="2">
        <f t="shared" si="2"/>
        <v>3357.66</v>
      </c>
      <c r="K3156" s="17">
        <f t="shared" si="3"/>
        <v>1</v>
      </c>
      <c r="L3156" s="18"/>
    </row>
    <row r="3157" hidden="1">
      <c r="A3157" s="2">
        <f>IFERROR(__xludf.DUMMYFUNCTION("""COMPUTED_VALUE"""),20405.0)</f>
        <v>20405</v>
      </c>
      <c r="B3157" s="2">
        <f>IFERROR(__xludf.DUMMYFUNCTION("""COMPUTED_VALUE"""),1.0)</f>
        <v>1</v>
      </c>
      <c r="C3157" s="2">
        <f>IFERROR(__xludf.DUMMYFUNCTION("""COMPUTED_VALUE"""),523.0)</f>
        <v>523</v>
      </c>
      <c r="D3157" s="3">
        <f>IFERROR(__xludf.DUMMYFUNCTION("""COMPUTED_VALUE"""),226.0)</f>
        <v>226</v>
      </c>
      <c r="E3157" s="1" t="str">
        <f t="array" ref="E3157">_xlfn.XLOOKUP(A3157,Product!A:A,Product!B:B,"Bulunamadı")</f>
        <v>Medical</v>
      </c>
      <c r="F3157" s="1" t="str">
        <f t="array" ref="F3157">_xlfn.XLOOKUP(A3157,Product!A:A,Product!C:C,"Bulunamadı")</f>
        <v>Criminal Law</v>
      </c>
      <c r="G3157" s="2" t="str">
        <f t="array" ref="G3157">_xlfn.XLOOKUP(A3158,Product!A:A,Product!D:D,"Bulunamadı")</f>
        <v>Harborlight Press</v>
      </c>
      <c r="H3157" s="2">
        <f t="array" ref="H3157">_xlfn.XLOOKUP(A3159,Product!A:A,Product!E:E,"Bulunamadı")</f>
        <v>7.63</v>
      </c>
      <c r="I3157" s="2" t="str">
        <f t="shared" si="1"/>
        <v>20405 - Medical - Criminal Law</v>
      </c>
      <c r="J3157" s="2">
        <f t="shared" si="2"/>
        <v>1724.38</v>
      </c>
      <c r="K3157" s="17">
        <f t="shared" si="3"/>
        <v>1</v>
      </c>
      <c r="L3157" s="18"/>
    </row>
    <row r="3158" hidden="1">
      <c r="A3158" s="2">
        <f>IFERROR(__xludf.DUMMYFUNCTION("""COMPUTED_VALUE"""),121308.0)</f>
        <v>121308</v>
      </c>
      <c r="B3158" s="2">
        <f>IFERROR(__xludf.DUMMYFUNCTION("""COMPUTED_VALUE"""),1.0)</f>
        <v>1</v>
      </c>
      <c r="C3158" s="2">
        <f>IFERROR(__xludf.DUMMYFUNCTION("""COMPUTED_VALUE"""),10.0)</f>
        <v>10</v>
      </c>
      <c r="D3158" s="3">
        <f>IFERROR(__xludf.DUMMYFUNCTION("""COMPUTED_VALUE"""),5.0)</f>
        <v>5</v>
      </c>
      <c r="E3158" s="1" t="str">
        <f t="array" ref="E3158">_xlfn.XLOOKUP(A3158,Product!A:A,Product!B:B,"Bulunamadı")</f>
        <v>Self-Help</v>
      </c>
      <c r="F3158" s="1" t="str">
        <f t="array" ref="F3158">_xlfn.XLOOKUP(A3158,Product!A:A,Product!C:C,"Bulunamadı")</f>
        <v>Civil Law</v>
      </c>
      <c r="G3158" s="2" t="str">
        <f t="array" ref="G3158">_xlfn.XLOOKUP(A3159,Product!A:A,Product!D:D,"Bulunamadı")</f>
        <v>Harborlight Press</v>
      </c>
      <c r="H3158" s="2">
        <f t="array" ref="H3158">_xlfn.XLOOKUP(A3160,Product!A:A,Product!E:E,"Bulunamadı")</f>
        <v>5.59</v>
      </c>
      <c r="I3158" s="2" t="str">
        <f t="shared" si="1"/>
        <v>121308 - Self-Help - Civil Law</v>
      </c>
      <c r="J3158" s="2">
        <f t="shared" si="2"/>
        <v>27.95</v>
      </c>
      <c r="K3158" s="17">
        <f t="shared" si="3"/>
        <v>1</v>
      </c>
      <c r="L3158" s="18"/>
    </row>
    <row r="3159" hidden="1">
      <c r="A3159" s="2">
        <f>IFERROR(__xludf.DUMMYFUNCTION("""COMPUTED_VALUE"""),121311.0)</f>
        <v>121311</v>
      </c>
      <c r="B3159" s="2">
        <f>IFERROR(__xludf.DUMMYFUNCTION("""COMPUTED_VALUE"""),0.0)</f>
        <v>0</v>
      </c>
      <c r="C3159" s="2">
        <f>IFERROR(__xludf.DUMMYFUNCTION("""COMPUTED_VALUE"""),393.0)</f>
        <v>393</v>
      </c>
      <c r="D3159" s="3">
        <f>IFERROR(__xludf.DUMMYFUNCTION("""COMPUTED_VALUE"""),256.0)</f>
        <v>256</v>
      </c>
      <c r="E3159" s="1" t="str">
        <f t="array" ref="E3159">_xlfn.XLOOKUP(A3159,Product!A:A,Product!B:B,"Bulunamadı")</f>
        <v>Self-Help</v>
      </c>
      <c r="F3159" s="1" t="str">
        <f t="array" ref="F3159">_xlfn.XLOOKUP(A3159,Product!A:A,Product!C:C,"Bulunamadı")</f>
        <v>Civil Law</v>
      </c>
      <c r="G3159" s="2" t="str">
        <f t="array" ref="G3159">_xlfn.XLOOKUP(A3160,Product!A:A,Product!D:D,"Bulunamadı")</f>
        <v>Cedarlight Publishing</v>
      </c>
      <c r="H3159" s="2">
        <f t="array" ref="H3159">_xlfn.XLOOKUP(A3161,Product!A:A,Product!E:E,"Bulunamadı")</f>
        <v>2.38</v>
      </c>
      <c r="I3159" s="2" t="str">
        <f t="shared" si="1"/>
        <v>121311 - Self-Help - Civil Law</v>
      </c>
      <c r="J3159" s="2">
        <f t="shared" si="2"/>
        <v>609.28</v>
      </c>
      <c r="K3159" s="17">
        <f t="shared" si="3"/>
        <v>1</v>
      </c>
      <c r="L3159" s="18"/>
    </row>
    <row r="3160">
      <c r="A3160" s="2">
        <f>IFERROR(__xludf.DUMMYFUNCTION("""COMPUTED_VALUE"""),124748.0)</f>
        <v>124748</v>
      </c>
      <c r="B3160" s="2">
        <f>IFERROR(__xludf.DUMMYFUNCTION("""COMPUTED_VALUE"""),0.0)</f>
        <v>0</v>
      </c>
      <c r="C3160" s="2">
        <f>IFERROR(__xludf.DUMMYFUNCTION("""COMPUTED_VALUE"""),748.0)</f>
        <v>748</v>
      </c>
      <c r="D3160" s="3">
        <f>IFERROR(__xludf.DUMMYFUNCTION("""COMPUTED_VALUE"""),511.0)</f>
        <v>511</v>
      </c>
      <c r="E3160" s="1" t="str">
        <f t="array" ref="E3160">_xlfn.XLOOKUP(A3160,Product!A:A,Product!B:B,"Bulunamadı")</f>
        <v>Arts</v>
      </c>
      <c r="F3160" s="1" t="str">
        <f t="array" ref="F3160">_xlfn.XLOOKUP(A3160,Product!A:A,Product!C:C,"Bulunamadı")</f>
        <v>Commercial Law</v>
      </c>
      <c r="G3160" s="2" t="str">
        <f t="array" ref="G3160">_xlfn.XLOOKUP(A3161,Product!A:A,Product!D:D,"Bulunamadı")</f>
        <v>Cedarlight Publishing</v>
      </c>
      <c r="H3160" s="2">
        <f t="array" ref="H3160">_xlfn.XLOOKUP(A3162,Product!A:A,Product!E:E,"Bulunamadı")</f>
        <v>2.52</v>
      </c>
      <c r="I3160" s="2" t="str">
        <f t="shared" si="1"/>
        <v>124748 - Arts - Commercial Law</v>
      </c>
      <c r="J3160" s="2">
        <f t="shared" si="2"/>
        <v>1287.72</v>
      </c>
      <c r="K3160" s="17">
        <f t="shared" si="3"/>
        <v>1</v>
      </c>
      <c r="L3160" s="18"/>
    </row>
    <row r="3161">
      <c r="A3161" s="2">
        <f>IFERROR(__xludf.DUMMYFUNCTION("""COMPUTED_VALUE"""),104315.0)</f>
        <v>104315</v>
      </c>
      <c r="B3161" s="2">
        <f>IFERROR(__xludf.DUMMYFUNCTION("""COMPUTED_VALUE"""),0.0)</f>
        <v>0</v>
      </c>
      <c r="C3161" s="2">
        <f>IFERROR(__xludf.DUMMYFUNCTION("""COMPUTED_VALUE"""),36.0)</f>
        <v>36</v>
      </c>
      <c r="D3161" s="3">
        <f>IFERROR(__xludf.DUMMYFUNCTION("""COMPUTED_VALUE"""),18.0)</f>
        <v>18</v>
      </c>
      <c r="E3161" s="1" t="str">
        <f t="array" ref="E3161">_xlfn.XLOOKUP(A3161,Product!A:A,Product!B:B,"Bulunamadı")</f>
        <v>Arts</v>
      </c>
      <c r="F3161" s="1" t="str">
        <f t="array" ref="F3161">_xlfn.XLOOKUP(A3161,Product!A:A,Product!C:C,"Bulunamadı")</f>
        <v>Commercial Law</v>
      </c>
      <c r="G3161" s="2" t="str">
        <f t="array" ref="G3161">_xlfn.XLOOKUP(A3162,Product!A:A,Product!D:D,"Bulunamadı")</f>
        <v>Cedarlight Publishing</v>
      </c>
      <c r="H3161" s="2">
        <f t="array" ref="H3161">_xlfn.XLOOKUP(A3163,Product!A:A,Product!E:E,"Bulunamadı")</f>
        <v>2.37</v>
      </c>
      <c r="I3161" s="2" t="str">
        <f t="shared" si="1"/>
        <v>104315 - Arts - Commercial Law</v>
      </c>
      <c r="J3161" s="2">
        <f t="shared" si="2"/>
        <v>42.66</v>
      </c>
      <c r="K3161" s="17">
        <f t="shared" si="3"/>
        <v>1</v>
      </c>
      <c r="L3161" s="18"/>
    </row>
    <row r="3162">
      <c r="A3162" s="2">
        <f>IFERROR(__xludf.DUMMYFUNCTION("""COMPUTED_VALUE"""),104314.0)</f>
        <v>104314</v>
      </c>
      <c r="B3162" s="2">
        <f>IFERROR(__xludf.DUMMYFUNCTION("""COMPUTED_VALUE"""),1.0)</f>
        <v>1</v>
      </c>
      <c r="C3162" s="2">
        <f>IFERROR(__xludf.DUMMYFUNCTION("""COMPUTED_VALUE"""),984.0)</f>
        <v>984</v>
      </c>
      <c r="D3162" s="3">
        <f>IFERROR(__xludf.DUMMYFUNCTION("""COMPUTED_VALUE"""),602.0)</f>
        <v>602</v>
      </c>
      <c r="E3162" s="1" t="str">
        <f t="array" ref="E3162">_xlfn.XLOOKUP(A3162,Product!A:A,Product!B:B,"Bulunamadı")</f>
        <v>Arts</v>
      </c>
      <c r="F3162" s="1" t="str">
        <f t="array" ref="F3162">_xlfn.XLOOKUP(A3162,Product!A:A,Product!C:C,"Bulunamadı")</f>
        <v>Commercial Law</v>
      </c>
      <c r="G3162" s="2" t="str">
        <f t="array" ref="G3162">_xlfn.XLOOKUP(A3163,Product!A:A,Product!D:D,"Bulunamadı")</f>
        <v>Cedarlight Publishing</v>
      </c>
      <c r="H3162" s="2">
        <f t="array" ref="H3162">_xlfn.XLOOKUP(A3164,Product!A:A,Product!E:E,"Bulunamadı")</f>
        <v>1.85</v>
      </c>
      <c r="I3162" s="2" t="str">
        <f t="shared" si="1"/>
        <v>104314 - Arts - Commercial Law</v>
      </c>
      <c r="J3162" s="2">
        <f t="shared" si="2"/>
        <v>1113.7</v>
      </c>
      <c r="K3162" s="17">
        <f t="shared" si="3"/>
        <v>1</v>
      </c>
      <c r="L3162" s="18"/>
    </row>
    <row r="3163">
      <c r="A3163" s="2">
        <f>IFERROR(__xludf.DUMMYFUNCTION("""COMPUTED_VALUE"""),69287.0)</f>
        <v>69287</v>
      </c>
      <c r="B3163" s="2">
        <f>IFERROR(__xludf.DUMMYFUNCTION("""COMPUTED_VALUE"""),0.0)</f>
        <v>0</v>
      </c>
      <c r="C3163" s="2">
        <f>IFERROR(__xludf.DUMMYFUNCTION("""COMPUTED_VALUE"""),903.0)</f>
        <v>903</v>
      </c>
      <c r="D3163" s="3">
        <f>IFERROR(__xludf.DUMMYFUNCTION("""COMPUTED_VALUE"""),363.0)</f>
        <v>363</v>
      </c>
      <c r="E3163" s="1" t="str">
        <f t="array" ref="E3163">_xlfn.XLOOKUP(A3163,Product!A:A,Product!B:B,"Bulunamadı")</f>
        <v>Arts</v>
      </c>
      <c r="F3163" s="1" t="str">
        <f t="array" ref="F3163">_xlfn.XLOOKUP(A3163,Product!A:A,Product!C:C,"Bulunamadı")</f>
        <v>Commercial Law</v>
      </c>
      <c r="G3163" s="2" t="str">
        <f t="array" ref="G3163">_xlfn.XLOOKUP(A3164,Product!A:A,Product!D:D,"Bulunamadı")</f>
        <v>Cedarlight Publishing</v>
      </c>
      <c r="H3163" s="2">
        <f t="array" ref="H3163">_xlfn.XLOOKUP(A3165,Product!A:A,Product!E:E,"Bulunamadı")</f>
        <v>0.32</v>
      </c>
      <c r="I3163" s="2" t="str">
        <f t="shared" si="1"/>
        <v>69287 - Arts - Commercial Law</v>
      </c>
      <c r="J3163" s="2">
        <f t="shared" si="2"/>
        <v>116.16</v>
      </c>
      <c r="K3163" s="17">
        <f t="shared" si="3"/>
        <v>1</v>
      </c>
      <c r="L3163" s="18"/>
    </row>
    <row r="3164">
      <c r="A3164" s="2">
        <f>IFERROR(__xludf.DUMMYFUNCTION("""COMPUTED_VALUE"""),5789.0)</f>
        <v>5789</v>
      </c>
      <c r="B3164" s="2">
        <f>IFERROR(__xludf.DUMMYFUNCTION("""COMPUTED_VALUE"""),1.0)</f>
        <v>1</v>
      </c>
      <c r="C3164" s="2">
        <f>IFERROR(__xludf.DUMMYFUNCTION("""COMPUTED_VALUE"""),255.0)</f>
        <v>255</v>
      </c>
      <c r="D3164" s="3">
        <f>IFERROR(__xludf.DUMMYFUNCTION("""COMPUTED_VALUE"""),116.0)</f>
        <v>116</v>
      </c>
      <c r="E3164" s="1" t="str">
        <f t="array" ref="E3164">_xlfn.XLOOKUP(A3164,Product!A:A,Product!B:B,"Bulunamadı")</f>
        <v>Arts</v>
      </c>
      <c r="F3164" s="1" t="str">
        <f t="array" ref="F3164">_xlfn.XLOOKUP(A3164,Product!A:A,Product!C:C,"Bulunamadı")</f>
        <v>Commercial Law</v>
      </c>
      <c r="G3164" s="2" t="str">
        <f t="array" ref="G3164">_xlfn.XLOOKUP(A3165,Product!A:A,Product!D:D,"Bulunamadı")</f>
        <v>Cedarlight Publishing</v>
      </c>
      <c r="H3164" s="2">
        <f t="array" ref="H3164">_xlfn.XLOOKUP(A3166,Product!A:A,Product!E:E,"Bulunamadı")</f>
        <v>1.9</v>
      </c>
      <c r="I3164" s="2" t="str">
        <f t="shared" si="1"/>
        <v>5789 - Arts - Commercial Law</v>
      </c>
      <c r="J3164" s="2">
        <f t="shared" si="2"/>
        <v>220.4</v>
      </c>
      <c r="K3164" s="17">
        <f t="shared" si="3"/>
        <v>1</v>
      </c>
      <c r="L3164" s="18"/>
    </row>
    <row r="3165">
      <c r="A3165" s="2">
        <f>IFERROR(__xludf.DUMMYFUNCTION("""COMPUTED_VALUE"""),14013.0)</f>
        <v>14013</v>
      </c>
      <c r="B3165" s="2">
        <f>IFERROR(__xludf.DUMMYFUNCTION("""COMPUTED_VALUE"""),1.0)</f>
        <v>1</v>
      </c>
      <c r="C3165" s="2">
        <f>IFERROR(__xludf.DUMMYFUNCTION("""COMPUTED_VALUE"""),750.0)</f>
        <v>750</v>
      </c>
      <c r="D3165" s="3">
        <f>IFERROR(__xludf.DUMMYFUNCTION("""COMPUTED_VALUE"""),503.0)</f>
        <v>503</v>
      </c>
      <c r="E3165" s="1" t="str">
        <f t="array" ref="E3165">_xlfn.XLOOKUP(A3165,Product!A:A,Product!B:B,"Bulunamadı")</f>
        <v>Arts</v>
      </c>
      <c r="F3165" s="1" t="str">
        <f t="array" ref="F3165">_xlfn.XLOOKUP(A3165,Product!A:A,Product!C:C,"Bulunamadı")</f>
        <v>Commercial Law</v>
      </c>
      <c r="G3165" s="2" t="str">
        <f t="array" ref="G3165">_xlfn.XLOOKUP(A3166,Product!A:A,Product!D:D,"Bulunamadı")</f>
        <v>Cedarlight Publishing</v>
      </c>
      <c r="H3165" s="2">
        <f t="array" ref="H3165">_xlfn.XLOOKUP(A3167,Product!A:A,Product!E:E,"Bulunamadı")</f>
        <v>2.49</v>
      </c>
      <c r="I3165" s="2" t="str">
        <f t="shared" si="1"/>
        <v>14013 - Arts - Commercial Law</v>
      </c>
      <c r="J3165" s="2">
        <f t="shared" si="2"/>
        <v>1252.47</v>
      </c>
      <c r="K3165" s="17">
        <f t="shared" si="3"/>
        <v>1</v>
      </c>
      <c r="L3165" s="18"/>
    </row>
    <row r="3166">
      <c r="A3166" s="2">
        <f>IFERROR(__xludf.DUMMYFUNCTION("""COMPUTED_VALUE"""),14015.0)</f>
        <v>14015</v>
      </c>
      <c r="B3166" s="2">
        <f>IFERROR(__xludf.DUMMYFUNCTION("""COMPUTED_VALUE"""),1.0)</f>
        <v>1</v>
      </c>
      <c r="C3166" s="2">
        <f>IFERROR(__xludf.DUMMYFUNCTION("""COMPUTED_VALUE"""),36.0)</f>
        <v>36</v>
      </c>
      <c r="D3166" s="3">
        <f>IFERROR(__xludf.DUMMYFUNCTION("""COMPUTED_VALUE"""),30.0)</f>
        <v>30</v>
      </c>
      <c r="E3166" s="1" t="str">
        <f t="array" ref="E3166">_xlfn.XLOOKUP(A3166,Product!A:A,Product!B:B,"Bulunamadı")</f>
        <v>Arts</v>
      </c>
      <c r="F3166" s="1" t="str">
        <f t="array" ref="F3166">_xlfn.XLOOKUP(A3166,Product!A:A,Product!C:C,"Bulunamadı")</f>
        <v>Commercial Law</v>
      </c>
      <c r="G3166" s="2" t="str">
        <f t="array" ref="G3166">_xlfn.XLOOKUP(A3167,Product!A:A,Product!D:D,"Bulunamadı")</f>
        <v>Cedarlight Publishing</v>
      </c>
      <c r="H3166" s="2">
        <f t="array" ref="H3166">_xlfn.XLOOKUP(A3168,Product!A:A,Product!E:E,"Bulunamadı")</f>
        <v>1.5</v>
      </c>
      <c r="I3166" s="2" t="str">
        <f t="shared" si="1"/>
        <v>14015 - Arts - Commercial Law</v>
      </c>
      <c r="J3166" s="2">
        <f t="shared" si="2"/>
        <v>45</v>
      </c>
      <c r="K3166" s="17">
        <f t="shared" si="3"/>
        <v>1</v>
      </c>
      <c r="L3166" s="18"/>
    </row>
    <row r="3167">
      <c r="A3167" s="2">
        <f>IFERROR(__xludf.DUMMYFUNCTION("""COMPUTED_VALUE"""),69291.0)</f>
        <v>69291</v>
      </c>
      <c r="B3167" s="2">
        <f>IFERROR(__xludf.DUMMYFUNCTION("""COMPUTED_VALUE"""),1.0)</f>
        <v>1</v>
      </c>
      <c r="C3167" s="2">
        <f>IFERROR(__xludf.DUMMYFUNCTION("""COMPUTED_VALUE"""),59.0)</f>
        <v>59</v>
      </c>
      <c r="D3167" s="3">
        <f>IFERROR(__xludf.DUMMYFUNCTION("""COMPUTED_VALUE"""),42.0)</f>
        <v>42</v>
      </c>
      <c r="E3167" s="1" t="str">
        <f t="array" ref="E3167">_xlfn.XLOOKUP(A3167,Product!A:A,Product!B:B,"Bulunamadı")</f>
        <v>Arts</v>
      </c>
      <c r="F3167" s="1" t="str">
        <f t="array" ref="F3167">_xlfn.XLOOKUP(A3167,Product!A:A,Product!C:C,"Bulunamadı")</f>
        <v>Commercial Law</v>
      </c>
      <c r="G3167" s="2" t="str">
        <f t="array" ref="G3167">_xlfn.XLOOKUP(A3168,Product!A:A,Product!D:D,"Bulunamadı")</f>
        <v>Brightlight Books</v>
      </c>
      <c r="H3167" s="2">
        <f t="array" ref="H3167">_xlfn.XLOOKUP(A3169,Product!A:A,Product!E:E,"Bulunamadı")</f>
        <v>1.76</v>
      </c>
      <c r="I3167" s="2" t="str">
        <f t="shared" si="1"/>
        <v>69291 - Arts - Commercial Law</v>
      </c>
      <c r="J3167" s="2">
        <f t="shared" si="2"/>
        <v>73.92</v>
      </c>
      <c r="K3167" s="17">
        <f t="shared" si="3"/>
        <v>1</v>
      </c>
      <c r="L3167" s="18"/>
    </row>
    <row r="3168">
      <c r="A3168" s="2">
        <f>IFERROR(__xludf.DUMMYFUNCTION("""COMPUTED_VALUE"""),26057.0)</f>
        <v>26057</v>
      </c>
      <c r="B3168" s="2">
        <f>IFERROR(__xludf.DUMMYFUNCTION("""COMPUTED_VALUE"""),1.0)</f>
        <v>1</v>
      </c>
      <c r="C3168" s="2">
        <f>IFERROR(__xludf.DUMMYFUNCTION("""COMPUTED_VALUE"""),547.0)</f>
        <v>547</v>
      </c>
      <c r="D3168" s="3">
        <f>IFERROR(__xludf.DUMMYFUNCTION("""COMPUTED_VALUE"""),65.0)</f>
        <v>65</v>
      </c>
      <c r="E3168" s="1" t="str">
        <f t="array" ref="E3168">_xlfn.XLOOKUP(A3168,Product!A:A,Product!B:B,"Bulunamadı")</f>
        <v>Arts</v>
      </c>
      <c r="F3168" s="1" t="str">
        <f t="array" ref="F3168">_xlfn.XLOOKUP(A3168,Product!A:A,Product!C:C,"Bulunamadı")</f>
        <v>Commercial Law</v>
      </c>
      <c r="G3168" s="2" t="str">
        <f t="array" ref="G3168">_xlfn.XLOOKUP(A3169,Product!A:A,Product!D:D,"Bulunamadı")</f>
        <v>Brightlight Books</v>
      </c>
      <c r="H3168" s="2">
        <f t="array" ref="H3168">_xlfn.XLOOKUP(A3170,Product!A:A,Product!E:E,"Bulunamadı")</f>
        <v>2.45</v>
      </c>
      <c r="I3168" s="2" t="str">
        <f t="shared" si="1"/>
        <v>26057 - Arts - Commercial Law</v>
      </c>
      <c r="J3168" s="2">
        <f t="shared" si="2"/>
        <v>159.25</v>
      </c>
      <c r="K3168" s="17">
        <f t="shared" si="3"/>
        <v>1</v>
      </c>
      <c r="L3168" s="18"/>
    </row>
    <row r="3169">
      <c r="A3169" s="2">
        <f>IFERROR(__xludf.DUMMYFUNCTION("""COMPUTED_VALUE"""),14022.0)</f>
        <v>14022</v>
      </c>
      <c r="B3169" s="2">
        <f>IFERROR(__xludf.DUMMYFUNCTION("""COMPUTED_VALUE"""),0.0)</f>
        <v>0</v>
      </c>
      <c r="C3169" s="2">
        <f>IFERROR(__xludf.DUMMYFUNCTION("""COMPUTED_VALUE"""),503.0)</f>
        <v>503</v>
      </c>
      <c r="D3169" s="3">
        <f>IFERROR(__xludf.DUMMYFUNCTION("""COMPUTED_VALUE"""),121.0)</f>
        <v>121</v>
      </c>
      <c r="E3169" s="1" t="str">
        <f t="array" ref="E3169">_xlfn.XLOOKUP(A3169,Product!A:A,Product!B:B,"Bulunamadı")</f>
        <v>Arts</v>
      </c>
      <c r="F3169" s="1" t="str">
        <f t="array" ref="F3169">_xlfn.XLOOKUP(A3169,Product!A:A,Product!C:C,"Bulunamadı")</f>
        <v>Commercial Law</v>
      </c>
      <c r="G3169" s="2" t="str">
        <f t="array" ref="G3169">_xlfn.XLOOKUP(A3170,Product!A:A,Product!D:D,"Bulunamadı")</f>
        <v>Brightlight Books</v>
      </c>
      <c r="H3169" s="2">
        <f t="array" ref="H3169">_xlfn.XLOOKUP(A3171,Product!A:A,Product!E:E,"Bulunamadı")</f>
        <v>1.46</v>
      </c>
      <c r="I3169" s="2" t="str">
        <f t="shared" si="1"/>
        <v>14022 - Arts - Commercial Law</v>
      </c>
      <c r="J3169" s="2">
        <f t="shared" si="2"/>
        <v>176.66</v>
      </c>
      <c r="K3169" s="17">
        <f t="shared" si="3"/>
        <v>1</v>
      </c>
      <c r="L3169" s="18"/>
    </row>
    <row r="3170">
      <c r="A3170" s="2">
        <f>IFERROR(__xludf.DUMMYFUNCTION("""COMPUTED_VALUE"""),80109.0)</f>
        <v>80109</v>
      </c>
      <c r="B3170" s="2">
        <f>IFERROR(__xludf.DUMMYFUNCTION("""COMPUTED_VALUE"""),1.0)</f>
        <v>1</v>
      </c>
      <c r="C3170" s="2">
        <f>IFERROR(__xludf.DUMMYFUNCTION("""COMPUTED_VALUE"""),42.0)</f>
        <v>42</v>
      </c>
      <c r="D3170" s="3">
        <f>IFERROR(__xludf.DUMMYFUNCTION("""COMPUTED_VALUE"""),16.0)</f>
        <v>16</v>
      </c>
      <c r="E3170" s="1" t="str">
        <f t="array" ref="E3170">_xlfn.XLOOKUP(A3170,Product!A:A,Product!B:B,"Bulunamadı")</f>
        <v>Arts</v>
      </c>
      <c r="F3170" s="1" t="str">
        <f t="array" ref="F3170">_xlfn.XLOOKUP(A3170,Product!A:A,Product!C:C,"Bulunamadı")</f>
        <v>Commercial Law</v>
      </c>
      <c r="G3170" s="2" t="str">
        <f t="array" ref="G3170">_xlfn.XLOOKUP(A3171,Product!A:A,Product!D:D,"Bulunamadı")</f>
        <v>Brightlight Books</v>
      </c>
      <c r="H3170" s="2">
        <f t="array" ref="H3170">_xlfn.XLOOKUP(A3172,Product!A:A,Product!E:E,"Bulunamadı")</f>
        <v>2.18</v>
      </c>
      <c r="I3170" s="2" t="str">
        <f t="shared" si="1"/>
        <v>80109 - Arts - Commercial Law</v>
      </c>
      <c r="J3170" s="2">
        <f t="shared" si="2"/>
        <v>34.88</v>
      </c>
      <c r="K3170" s="17">
        <f t="shared" si="3"/>
        <v>1</v>
      </c>
      <c r="L3170" s="18"/>
    </row>
    <row r="3171">
      <c r="A3171" s="2">
        <f>IFERROR(__xludf.DUMMYFUNCTION("""COMPUTED_VALUE"""),121686.0)</f>
        <v>121686</v>
      </c>
      <c r="B3171" s="2">
        <f>IFERROR(__xludf.DUMMYFUNCTION("""COMPUTED_VALUE"""),0.0)</f>
        <v>0</v>
      </c>
      <c r="C3171" s="2">
        <f>IFERROR(__xludf.DUMMYFUNCTION("""COMPUTED_VALUE"""),866.0)</f>
        <v>866</v>
      </c>
      <c r="D3171" s="3">
        <f>IFERROR(__xludf.DUMMYFUNCTION("""COMPUTED_VALUE"""),637.0)</f>
        <v>637</v>
      </c>
      <c r="E3171" s="1" t="str">
        <f t="array" ref="E3171">_xlfn.XLOOKUP(A3171,Product!A:A,Product!B:B,"Bulunamadı")</f>
        <v>Arts</v>
      </c>
      <c r="F3171" s="1" t="str">
        <f t="array" ref="F3171">_xlfn.XLOOKUP(A3171,Product!A:A,Product!C:C,"Bulunamadı")</f>
        <v>Commercial Law</v>
      </c>
      <c r="G3171" s="2" t="str">
        <f t="array" ref="G3171">_xlfn.XLOOKUP(A3172,Product!A:A,Product!D:D,"Bulunamadı")</f>
        <v>Brightlight Books</v>
      </c>
      <c r="H3171" s="2">
        <f t="array" ref="H3171">_xlfn.XLOOKUP(A3173,Product!A:A,Product!E:E,"Bulunamadı")</f>
        <v>1.28</v>
      </c>
      <c r="I3171" s="2" t="str">
        <f t="shared" si="1"/>
        <v>121686 - Arts - Commercial Law</v>
      </c>
      <c r="J3171" s="2">
        <f t="shared" si="2"/>
        <v>815.36</v>
      </c>
      <c r="K3171" s="17">
        <f t="shared" si="3"/>
        <v>1</v>
      </c>
      <c r="L3171" s="18"/>
    </row>
    <row r="3172">
      <c r="A3172" s="2">
        <f>IFERROR(__xludf.DUMMYFUNCTION("""COMPUTED_VALUE"""),60365.0)</f>
        <v>60365</v>
      </c>
      <c r="B3172" s="2">
        <f>IFERROR(__xludf.DUMMYFUNCTION("""COMPUTED_VALUE"""),0.0)</f>
        <v>0</v>
      </c>
      <c r="C3172" s="2">
        <f>IFERROR(__xludf.DUMMYFUNCTION("""COMPUTED_VALUE"""),26.0)</f>
        <v>26</v>
      </c>
      <c r="D3172" s="3">
        <f>IFERROR(__xludf.DUMMYFUNCTION("""COMPUTED_VALUE"""),8.0)</f>
        <v>8</v>
      </c>
      <c r="E3172" s="1" t="str">
        <f t="array" ref="E3172">_xlfn.XLOOKUP(A3172,Product!A:A,Product!B:B,"Bulunamadı")</f>
        <v>Arts</v>
      </c>
      <c r="F3172" s="1" t="str">
        <f t="array" ref="F3172">_xlfn.XLOOKUP(A3172,Product!A:A,Product!C:C,"Bulunamadı")</f>
        <v>Commercial Law</v>
      </c>
      <c r="G3172" s="2" t="str">
        <f t="array" ref="G3172">_xlfn.XLOOKUP(A3173,Product!A:A,Product!D:D,"Bulunamadı")</f>
        <v>Brightlight Books</v>
      </c>
      <c r="H3172" s="2">
        <f t="array" ref="H3172">_xlfn.XLOOKUP(A3174,Product!A:A,Product!E:E,"Bulunamadı")</f>
        <v>1.58</v>
      </c>
      <c r="I3172" s="2" t="str">
        <f t="shared" si="1"/>
        <v>60365 - Arts - Commercial Law</v>
      </c>
      <c r="J3172" s="2">
        <f t="shared" si="2"/>
        <v>12.64</v>
      </c>
      <c r="K3172" s="17">
        <f t="shared" si="3"/>
        <v>1</v>
      </c>
      <c r="L3172" s="18"/>
    </row>
    <row r="3173">
      <c r="A3173" s="2">
        <f>IFERROR(__xludf.DUMMYFUNCTION("""COMPUTED_VALUE"""),86488.0)</f>
        <v>86488</v>
      </c>
      <c r="B3173" s="2">
        <f>IFERROR(__xludf.DUMMYFUNCTION("""COMPUTED_VALUE"""),0.0)</f>
        <v>0</v>
      </c>
      <c r="C3173" s="2">
        <f>IFERROR(__xludf.DUMMYFUNCTION("""COMPUTED_VALUE"""),356.0)</f>
        <v>356</v>
      </c>
      <c r="D3173" s="3">
        <f>IFERROR(__xludf.DUMMYFUNCTION("""COMPUTED_VALUE"""),258.0)</f>
        <v>258</v>
      </c>
      <c r="E3173" s="1" t="str">
        <f t="array" ref="E3173">_xlfn.XLOOKUP(A3173,Product!A:A,Product!B:B,"Bulunamadı")</f>
        <v>Arts</v>
      </c>
      <c r="F3173" s="1" t="str">
        <f t="array" ref="F3173">_xlfn.XLOOKUP(A3173,Product!A:A,Product!C:C,"Bulunamadı")</f>
        <v>Commercial Law</v>
      </c>
      <c r="G3173" s="2" t="str">
        <f t="array" ref="G3173">_xlfn.XLOOKUP(A3174,Product!A:A,Product!D:D,"Bulunamadı")</f>
        <v>Brightlight Books</v>
      </c>
      <c r="H3173" s="2">
        <f t="array" ref="H3173">_xlfn.XLOOKUP(A3175,Product!A:A,Product!E:E,"Bulunamadı")</f>
        <v>1.07</v>
      </c>
      <c r="I3173" s="2" t="str">
        <f t="shared" si="1"/>
        <v>86488 - Arts - Commercial Law</v>
      </c>
      <c r="J3173" s="2">
        <f t="shared" si="2"/>
        <v>276.06</v>
      </c>
      <c r="K3173" s="17">
        <f t="shared" si="3"/>
        <v>1</v>
      </c>
      <c r="L3173" s="18"/>
    </row>
    <row r="3174">
      <c r="A3174" s="2">
        <f>IFERROR(__xludf.DUMMYFUNCTION("""COMPUTED_VALUE"""),122530.0)</f>
        <v>122530</v>
      </c>
      <c r="B3174" s="2">
        <f>IFERROR(__xludf.DUMMYFUNCTION("""COMPUTED_VALUE"""),1.0)</f>
        <v>1</v>
      </c>
      <c r="C3174" s="2">
        <f>IFERROR(__xludf.DUMMYFUNCTION("""COMPUTED_VALUE"""),24.0)</f>
        <v>24</v>
      </c>
      <c r="D3174" s="3">
        <f>IFERROR(__xludf.DUMMYFUNCTION("""COMPUTED_VALUE"""),2.0)</f>
        <v>2</v>
      </c>
      <c r="E3174" s="1" t="str">
        <f t="array" ref="E3174">_xlfn.XLOOKUP(A3174,Product!A:A,Product!B:B,"Bulunamadı")</f>
        <v>Arts</v>
      </c>
      <c r="F3174" s="1" t="str">
        <f t="array" ref="F3174">_xlfn.XLOOKUP(A3174,Product!A:A,Product!C:C,"Bulunamadı")</f>
        <v>Commercial Law</v>
      </c>
      <c r="G3174" s="2" t="str">
        <f t="array" ref="G3174">_xlfn.XLOOKUP(A3175,Product!A:A,Product!D:D,"Bulunamadı")</f>
        <v>Brightlight Books</v>
      </c>
      <c r="H3174" s="2">
        <f t="array" ref="H3174">_xlfn.XLOOKUP(A3176,Product!A:A,Product!E:E,"Bulunamadı")</f>
        <v>1.19</v>
      </c>
      <c r="I3174" s="2" t="str">
        <f t="shared" si="1"/>
        <v>122530 - Arts - Commercial Law</v>
      </c>
      <c r="J3174" s="2">
        <f t="shared" si="2"/>
        <v>2.38</v>
      </c>
      <c r="K3174" s="17">
        <f t="shared" si="3"/>
        <v>1</v>
      </c>
      <c r="L3174" s="18"/>
    </row>
    <row r="3175">
      <c r="A3175" s="2">
        <f>IFERROR(__xludf.DUMMYFUNCTION("""COMPUTED_VALUE"""),60526.0)</f>
        <v>60526</v>
      </c>
      <c r="B3175" s="2">
        <f>IFERROR(__xludf.DUMMYFUNCTION("""COMPUTED_VALUE"""),0.0)</f>
        <v>0</v>
      </c>
      <c r="C3175" s="2">
        <f>IFERROR(__xludf.DUMMYFUNCTION("""COMPUTED_VALUE"""),35.0)</f>
        <v>35</v>
      </c>
      <c r="D3175" s="3">
        <f>IFERROR(__xludf.DUMMYFUNCTION("""COMPUTED_VALUE"""),20.0)</f>
        <v>20</v>
      </c>
      <c r="E3175" s="1" t="str">
        <f t="array" ref="E3175">_xlfn.XLOOKUP(A3175,Product!A:A,Product!B:B,"Bulunamadı")</f>
        <v>Arts</v>
      </c>
      <c r="F3175" s="1" t="str">
        <f t="array" ref="F3175">_xlfn.XLOOKUP(A3175,Product!A:A,Product!C:C,"Bulunamadı")</f>
        <v>Commercial Law</v>
      </c>
      <c r="G3175" s="2" t="str">
        <f t="array" ref="G3175">_xlfn.XLOOKUP(A3176,Product!A:A,Product!D:D,"Bulunamadı")</f>
        <v>Brightlight Books</v>
      </c>
      <c r="H3175" s="2">
        <f t="array" ref="H3175">_xlfn.XLOOKUP(A3177,Product!A:A,Product!E:E,"Bulunamadı")</f>
        <v>1.59</v>
      </c>
      <c r="I3175" s="2" t="str">
        <f t="shared" si="1"/>
        <v>60526 - Arts - Commercial Law</v>
      </c>
      <c r="J3175" s="2">
        <f t="shared" si="2"/>
        <v>31.8</v>
      </c>
      <c r="K3175" s="17">
        <f t="shared" si="3"/>
        <v>1</v>
      </c>
      <c r="L3175" s="18"/>
    </row>
    <row r="3176">
      <c r="A3176" s="2">
        <f>IFERROR(__xludf.DUMMYFUNCTION("""COMPUTED_VALUE"""),116807.0)</f>
        <v>116807</v>
      </c>
      <c r="B3176" s="2">
        <f>IFERROR(__xludf.DUMMYFUNCTION("""COMPUTED_VALUE"""),0.0)</f>
        <v>0</v>
      </c>
      <c r="C3176" s="2">
        <f>IFERROR(__xludf.DUMMYFUNCTION("""COMPUTED_VALUE"""),669.0)</f>
        <v>669</v>
      </c>
      <c r="D3176" s="3">
        <f>IFERROR(__xludf.DUMMYFUNCTION("""COMPUTED_VALUE"""),408.0)</f>
        <v>408</v>
      </c>
      <c r="E3176" s="1" t="str">
        <f t="array" ref="E3176">_xlfn.XLOOKUP(A3176,Product!A:A,Product!B:B,"Bulunamadı")</f>
        <v>Arts</v>
      </c>
      <c r="F3176" s="1" t="str">
        <f t="array" ref="F3176">_xlfn.XLOOKUP(A3176,Product!A:A,Product!C:C,"Bulunamadı")</f>
        <v>Commercial Law</v>
      </c>
      <c r="G3176" s="2" t="str">
        <f t="array" ref="G3176">_xlfn.XLOOKUP(A3177,Product!A:A,Product!D:D,"Bulunamadı")</f>
        <v>Brightlight Books</v>
      </c>
      <c r="H3176" s="2">
        <f t="array" ref="H3176">_xlfn.XLOOKUP(A3178,Product!A:A,Product!E:E,"Bulunamadı")</f>
        <v>1.65</v>
      </c>
      <c r="I3176" s="2" t="str">
        <f t="shared" si="1"/>
        <v>116807 - Arts - Commercial Law</v>
      </c>
      <c r="J3176" s="2">
        <f t="shared" si="2"/>
        <v>673.2</v>
      </c>
      <c r="K3176" s="17">
        <f t="shared" si="3"/>
        <v>1</v>
      </c>
      <c r="L3176" s="18"/>
    </row>
    <row r="3177">
      <c r="A3177" s="2">
        <f>IFERROR(__xludf.DUMMYFUNCTION("""COMPUTED_VALUE"""),80030.0)</f>
        <v>80030</v>
      </c>
      <c r="B3177" s="2">
        <f>IFERROR(__xludf.DUMMYFUNCTION("""COMPUTED_VALUE"""),1.0)</f>
        <v>1</v>
      </c>
      <c r="C3177" s="2">
        <f>IFERROR(__xludf.DUMMYFUNCTION("""COMPUTED_VALUE"""),576.0)</f>
        <v>576</v>
      </c>
      <c r="D3177" s="3">
        <f>IFERROR(__xludf.DUMMYFUNCTION("""COMPUTED_VALUE"""),535.0)</f>
        <v>535</v>
      </c>
      <c r="E3177" s="1" t="str">
        <f t="array" ref="E3177">_xlfn.XLOOKUP(A3177,Product!A:A,Product!B:B,"Bulunamadı")</f>
        <v>Arts</v>
      </c>
      <c r="F3177" s="1" t="str">
        <f t="array" ref="F3177">_xlfn.XLOOKUP(A3177,Product!A:A,Product!C:C,"Bulunamadı")</f>
        <v>Commercial Law</v>
      </c>
      <c r="G3177" s="2" t="str">
        <f t="array" ref="G3177">_xlfn.XLOOKUP(A3178,Product!A:A,Product!D:D,"Bulunamadı")</f>
        <v>Brightlight Books</v>
      </c>
      <c r="H3177" s="2">
        <f t="array" ref="H3177">_xlfn.XLOOKUP(A3179,Product!A:A,Product!E:E,"Bulunamadı")</f>
        <v>1.58</v>
      </c>
      <c r="I3177" s="2" t="str">
        <f t="shared" si="1"/>
        <v>80030 - Arts - Commercial Law</v>
      </c>
      <c r="J3177" s="2">
        <f t="shared" si="2"/>
        <v>845.3</v>
      </c>
      <c r="K3177" s="17">
        <f t="shared" si="3"/>
        <v>1</v>
      </c>
      <c r="L3177" s="18"/>
    </row>
    <row r="3178">
      <c r="A3178" s="2">
        <f>IFERROR(__xludf.DUMMYFUNCTION("""COMPUTED_VALUE"""),122529.0)</f>
        <v>122529</v>
      </c>
      <c r="B3178" s="2">
        <f>IFERROR(__xludf.DUMMYFUNCTION("""COMPUTED_VALUE"""),0.0)</f>
        <v>0</v>
      </c>
      <c r="C3178" s="2">
        <f>IFERROR(__xludf.DUMMYFUNCTION("""COMPUTED_VALUE"""),679.0)</f>
        <v>679</v>
      </c>
      <c r="D3178" s="3">
        <f>IFERROR(__xludf.DUMMYFUNCTION("""COMPUTED_VALUE"""),537.0)</f>
        <v>537</v>
      </c>
      <c r="E3178" s="1" t="str">
        <f t="array" ref="E3178">_xlfn.XLOOKUP(A3178,Product!A:A,Product!B:B,"Bulunamadı")</f>
        <v>Arts</v>
      </c>
      <c r="F3178" s="1" t="str">
        <f t="array" ref="F3178">_xlfn.XLOOKUP(A3178,Product!A:A,Product!C:C,"Bulunamadı")</f>
        <v>Commercial Law</v>
      </c>
      <c r="G3178" s="2" t="str">
        <f t="array" ref="G3178">_xlfn.XLOOKUP(A3179,Product!A:A,Product!D:D,"Bulunamadı")</f>
        <v>Brightlight Books</v>
      </c>
      <c r="H3178" s="2">
        <f t="array" ref="H3178">_xlfn.XLOOKUP(A3180,Product!A:A,Product!E:E,"Bulunamadı")</f>
        <v>1.94</v>
      </c>
      <c r="I3178" s="2" t="str">
        <f t="shared" si="1"/>
        <v>122529 - Arts - Commercial Law</v>
      </c>
      <c r="J3178" s="2">
        <f t="shared" si="2"/>
        <v>1041.78</v>
      </c>
      <c r="K3178" s="17">
        <f t="shared" si="3"/>
        <v>1</v>
      </c>
      <c r="L3178" s="18"/>
    </row>
    <row r="3179">
      <c r="A3179" s="2">
        <f>IFERROR(__xludf.DUMMYFUNCTION("""COMPUTED_VALUE"""),14042.0)</f>
        <v>14042</v>
      </c>
      <c r="B3179" s="2">
        <f>IFERROR(__xludf.DUMMYFUNCTION("""COMPUTED_VALUE"""),1.0)</f>
        <v>1</v>
      </c>
      <c r="C3179" s="2">
        <f>IFERROR(__xludf.DUMMYFUNCTION("""COMPUTED_VALUE"""),728.0)</f>
        <v>728</v>
      </c>
      <c r="D3179" s="3">
        <f>IFERROR(__xludf.DUMMYFUNCTION("""COMPUTED_VALUE"""),81.0)</f>
        <v>81</v>
      </c>
      <c r="E3179" s="1" t="str">
        <f t="array" ref="E3179">_xlfn.XLOOKUP(A3179,Product!A:A,Product!B:B,"Bulunamadı")</f>
        <v>Arts</v>
      </c>
      <c r="F3179" s="1" t="str">
        <f t="array" ref="F3179">_xlfn.XLOOKUP(A3179,Product!A:A,Product!C:C,"Bulunamadı")</f>
        <v>Commercial Law</v>
      </c>
      <c r="G3179" s="2" t="str">
        <f t="array" ref="G3179">_xlfn.XLOOKUP(A3180,Product!A:A,Product!D:D,"Bulunamadı")</f>
        <v>Brightlight Books</v>
      </c>
      <c r="H3179" s="2">
        <f t="array" ref="H3179">_xlfn.XLOOKUP(A3181,Product!A:A,Product!E:E,"Bulunamadı")</f>
        <v>1.57</v>
      </c>
      <c r="I3179" s="2" t="str">
        <f t="shared" si="1"/>
        <v>14042 - Arts - Commercial Law</v>
      </c>
      <c r="J3179" s="2">
        <f t="shared" si="2"/>
        <v>127.17</v>
      </c>
      <c r="K3179" s="17">
        <f t="shared" si="3"/>
        <v>1</v>
      </c>
      <c r="L3179" s="18"/>
    </row>
    <row r="3180">
      <c r="A3180" s="2">
        <f>IFERROR(__xludf.DUMMYFUNCTION("""COMPUTED_VALUE"""),14043.0)</f>
        <v>14043</v>
      </c>
      <c r="B3180" s="2">
        <f>IFERROR(__xludf.DUMMYFUNCTION("""COMPUTED_VALUE"""),0.0)</f>
        <v>0</v>
      </c>
      <c r="C3180" s="2">
        <f>IFERROR(__xludf.DUMMYFUNCTION("""COMPUTED_VALUE"""),627.0)</f>
        <v>627</v>
      </c>
      <c r="D3180" s="3">
        <f>IFERROR(__xludf.DUMMYFUNCTION("""COMPUTED_VALUE"""),72.0)</f>
        <v>72</v>
      </c>
      <c r="E3180" s="1" t="str">
        <f t="array" ref="E3180">_xlfn.XLOOKUP(A3180,Product!A:A,Product!B:B,"Bulunamadı")</f>
        <v>Arts</v>
      </c>
      <c r="F3180" s="1" t="str">
        <f t="array" ref="F3180">_xlfn.XLOOKUP(A3180,Product!A:A,Product!C:C,"Bulunamadı")</f>
        <v>Commercial Law</v>
      </c>
      <c r="G3180" s="2" t="str">
        <f t="array" ref="G3180">_xlfn.XLOOKUP(A3181,Product!A:A,Product!D:D,"Bulunamadı")</f>
        <v>Oaklight Press</v>
      </c>
      <c r="H3180" s="2">
        <f t="array" ref="H3180">_xlfn.XLOOKUP(A3182,Product!A:A,Product!E:E,"Bulunamadı")</f>
        <v>1.48</v>
      </c>
      <c r="I3180" s="2" t="str">
        <f t="shared" si="1"/>
        <v>14043 - Arts - Commercial Law</v>
      </c>
      <c r="J3180" s="2">
        <f t="shared" si="2"/>
        <v>106.56</v>
      </c>
      <c r="K3180" s="17">
        <f t="shared" si="3"/>
        <v>1</v>
      </c>
      <c r="L3180" s="18"/>
    </row>
    <row r="3181">
      <c r="A3181" s="2">
        <f>IFERROR(__xludf.DUMMYFUNCTION("""COMPUTED_VALUE"""),9157.0)</f>
        <v>9157</v>
      </c>
      <c r="B3181" s="2">
        <f>IFERROR(__xludf.DUMMYFUNCTION("""COMPUTED_VALUE"""),1.0)</f>
        <v>1</v>
      </c>
      <c r="C3181" s="2">
        <f>IFERROR(__xludf.DUMMYFUNCTION("""COMPUTED_VALUE"""),781.0)</f>
        <v>781</v>
      </c>
      <c r="D3181" s="3">
        <f>IFERROR(__xludf.DUMMYFUNCTION("""COMPUTED_VALUE"""),216.0)</f>
        <v>216</v>
      </c>
      <c r="E3181" s="1" t="str">
        <f t="array" ref="E3181">_xlfn.XLOOKUP(A3181,Product!A:A,Product!B:B,"Bulunamadı")</f>
        <v>Arts</v>
      </c>
      <c r="F3181" s="1" t="str">
        <f t="array" ref="F3181">_xlfn.XLOOKUP(A3181,Product!A:A,Product!C:C,"Bulunamadı")</f>
        <v>Commercial Law</v>
      </c>
      <c r="G3181" s="2" t="str">
        <f t="array" ref="G3181">_xlfn.XLOOKUP(A3182,Product!A:A,Product!D:D,"Bulunamadı")</f>
        <v>Oaklight Press</v>
      </c>
      <c r="H3181" s="2">
        <f t="array" ref="H3181">_xlfn.XLOOKUP(A3183,Product!A:A,Product!E:E,"Bulunamadı")</f>
        <v>1.69</v>
      </c>
      <c r="I3181" s="2" t="str">
        <f t="shared" si="1"/>
        <v>9157 - Arts - Commercial Law</v>
      </c>
      <c r="J3181" s="2">
        <f t="shared" si="2"/>
        <v>365.04</v>
      </c>
      <c r="K3181" s="17">
        <f t="shared" si="3"/>
        <v>1</v>
      </c>
      <c r="L3181" s="18"/>
    </row>
    <row r="3182">
      <c r="A3182" s="2">
        <f>IFERROR(__xludf.DUMMYFUNCTION("""COMPUTED_VALUE"""),149968.0)</f>
        <v>149968</v>
      </c>
      <c r="B3182" s="2">
        <f>IFERROR(__xludf.DUMMYFUNCTION("""COMPUTED_VALUE"""),0.0)</f>
        <v>0</v>
      </c>
      <c r="C3182" s="2">
        <f>IFERROR(__xludf.DUMMYFUNCTION("""COMPUTED_VALUE"""),92.0)</f>
        <v>92</v>
      </c>
      <c r="D3182" s="3">
        <f>IFERROR(__xludf.DUMMYFUNCTION("""COMPUTED_VALUE"""),88.0)</f>
        <v>88</v>
      </c>
      <c r="E3182" s="1" t="str">
        <f t="array" ref="E3182">_xlfn.XLOOKUP(A3182,Product!A:A,Product!B:B,"Bulunamadı")</f>
        <v>Arts</v>
      </c>
      <c r="F3182" s="1" t="str">
        <f t="array" ref="F3182">_xlfn.XLOOKUP(A3182,Product!A:A,Product!C:C,"Bulunamadı")</f>
        <v>Commercial Law</v>
      </c>
      <c r="G3182" s="2" t="str">
        <f t="array" ref="G3182">_xlfn.XLOOKUP(A3183,Product!A:A,Product!D:D,"Bulunamadı")</f>
        <v>Oaklight Press</v>
      </c>
      <c r="H3182" s="2">
        <f t="array" ref="H3182">_xlfn.XLOOKUP(A3184,Product!A:A,Product!E:E,"Bulunamadı")</f>
        <v>2.05</v>
      </c>
      <c r="I3182" s="2" t="str">
        <f t="shared" si="1"/>
        <v>149968 - Arts - Commercial Law</v>
      </c>
      <c r="J3182" s="2">
        <f t="shared" si="2"/>
        <v>180.4</v>
      </c>
      <c r="K3182" s="17">
        <f t="shared" si="3"/>
        <v>1</v>
      </c>
      <c r="L3182" s="18"/>
    </row>
    <row r="3183">
      <c r="A3183" s="2">
        <f>IFERROR(__xludf.DUMMYFUNCTION("""COMPUTED_VALUE"""),47299.0)</f>
        <v>47299</v>
      </c>
      <c r="B3183" s="2">
        <f>IFERROR(__xludf.DUMMYFUNCTION("""COMPUTED_VALUE"""),0.0)</f>
        <v>0</v>
      </c>
      <c r="C3183" s="2">
        <f>IFERROR(__xludf.DUMMYFUNCTION("""COMPUTED_VALUE"""),834.0)</f>
        <v>834</v>
      </c>
      <c r="D3183" s="3">
        <f>IFERROR(__xludf.DUMMYFUNCTION("""COMPUTED_VALUE"""),496.0)</f>
        <v>496</v>
      </c>
      <c r="E3183" s="1" t="str">
        <f t="array" ref="E3183">_xlfn.XLOOKUP(A3183,Product!A:A,Product!B:B,"Bulunamadı")</f>
        <v>Arts</v>
      </c>
      <c r="F3183" s="1" t="str">
        <f t="array" ref="F3183">_xlfn.XLOOKUP(A3183,Product!A:A,Product!C:C,"Bulunamadı")</f>
        <v>Commercial Law</v>
      </c>
      <c r="G3183" s="2" t="str">
        <f t="array" ref="G3183">_xlfn.XLOOKUP(A3184,Product!A:A,Product!D:D,"Bulunamadı")</f>
        <v>Oaklight Press</v>
      </c>
      <c r="H3183" s="2">
        <f t="array" ref="H3183">_xlfn.XLOOKUP(A3185,Product!A:A,Product!E:E,"Bulunamadı")</f>
        <v>1.44</v>
      </c>
      <c r="I3183" s="2" t="str">
        <f t="shared" si="1"/>
        <v>47299 - Arts - Commercial Law</v>
      </c>
      <c r="J3183" s="2">
        <f t="shared" si="2"/>
        <v>714.24</v>
      </c>
      <c r="K3183" s="17">
        <f t="shared" si="3"/>
        <v>1</v>
      </c>
      <c r="L3183" s="18"/>
    </row>
    <row r="3184">
      <c r="A3184" s="2">
        <f>IFERROR(__xludf.DUMMYFUNCTION("""COMPUTED_VALUE"""),109275.0)</f>
        <v>109275</v>
      </c>
      <c r="B3184" s="2">
        <f>IFERROR(__xludf.DUMMYFUNCTION("""COMPUTED_VALUE"""),0.0)</f>
        <v>0</v>
      </c>
      <c r="C3184" s="2">
        <f>IFERROR(__xludf.DUMMYFUNCTION("""COMPUTED_VALUE"""),288.0)</f>
        <v>288</v>
      </c>
      <c r="D3184" s="3">
        <f>IFERROR(__xludf.DUMMYFUNCTION("""COMPUTED_VALUE"""),244.0)</f>
        <v>244</v>
      </c>
      <c r="E3184" s="1" t="str">
        <f t="array" ref="E3184">_xlfn.XLOOKUP(A3184,Product!A:A,Product!B:B,"Bulunamadı")</f>
        <v>Arts</v>
      </c>
      <c r="F3184" s="1" t="str">
        <f t="array" ref="F3184">_xlfn.XLOOKUP(A3184,Product!A:A,Product!C:C,"Bulunamadı")</f>
        <v>Commercial Law</v>
      </c>
      <c r="G3184" s="2" t="str">
        <f t="array" ref="G3184">_xlfn.XLOOKUP(A3185,Product!A:A,Product!D:D,"Bulunamadı")</f>
        <v>Oaklight Press</v>
      </c>
      <c r="H3184" s="2">
        <f t="array" ref="H3184">_xlfn.XLOOKUP(A3186,Product!A:A,Product!E:E,"Bulunamadı")</f>
        <v>2.7</v>
      </c>
      <c r="I3184" s="2" t="str">
        <f t="shared" si="1"/>
        <v>109275 - Arts - Commercial Law</v>
      </c>
      <c r="J3184" s="2">
        <f t="shared" si="2"/>
        <v>658.8</v>
      </c>
      <c r="K3184" s="17">
        <f t="shared" si="3"/>
        <v>1</v>
      </c>
      <c r="L3184" s="18"/>
    </row>
    <row r="3185">
      <c r="A3185" s="2">
        <f>IFERROR(__xludf.DUMMYFUNCTION("""COMPUTED_VALUE"""),122768.0)</f>
        <v>122768</v>
      </c>
      <c r="B3185" s="2">
        <f>IFERROR(__xludf.DUMMYFUNCTION("""COMPUTED_VALUE"""),1.0)</f>
        <v>1</v>
      </c>
      <c r="C3185" s="2">
        <f>IFERROR(__xludf.DUMMYFUNCTION("""COMPUTED_VALUE"""),916.0)</f>
        <v>916</v>
      </c>
      <c r="D3185" s="3">
        <f>IFERROR(__xludf.DUMMYFUNCTION("""COMPUTED_VALUE"""),365.0)</f>
        <v>365</v>
      </c>
      <c r="E3185" s="1" t="str">
        <f t="array" ref="E3185">_xlfn.XLOOKUP(A3185,Product!A:A,Product!B:B,"Bulunamadı")</f>
        <v>Arts</v>
      </c>
      <c r="F3185" s="1" t="str">
        <f t="array" ref="F3185">_xlfn.XLOOKUP(A3185,Product!A:A,Product!C:C,"Bulunamadı")</f>
        <v>Commercial Law</v>
      </c>
      <c r="G3185" s="2" t="str">
        <f t="array" ref="G3185">_xlfn.XLOOKUP(A3186,Product!A:A,Product!D:D,"Bulunamadı")</f>
        <v>Oaklight Press</v>
      </c>
      <c r="H3185" s="2">
        <f t="array" ref="H3185">_xlfn.XLOOKUP(A3187,Product!A:A,Product!E:E,"Bulunamadı")</f>
        <v>2.31</v>
      </c>
      <c r="I3185" s="2" t="str">
        <f t="shared" si="1"/>
        <v>122768 - Arts - Commercial Law</v>
      </c>
      <c r="J3185" s="2">
        <f t="shared" si="2"/>
        <v>843.15</v>
      </c>
      <c r="K3185" s="17">
        <f t="shared" si="3"/>
        <v>1</v>
      </c>
      <c r="L3185" s="18"/>
    </row>
    <row r="3186">
      <c r="A3186" s="2">
        <f>IFERROR(__xludf.DUMMYFUNCTION("""COMPUTED_VALUE"""),80400.0)</f>
        <v>80400</v>
      </c>
      <c r="B3186" s="2">
        <f>IFERROR(__xludf.DUMMYFUNCTION("""COMPUTED_VALUE"""),1.0)</f>
        <v>1</v>
      </c>
      <c r="C3186" s="2">
        <f>IFERROR(__xludf.DUMMYFUNCTION("""COMPUTED_VALUE"""),287.0)</f>
        <v>287</v>
      </c>
      <c r="D3186" s="3">
        <f>IFERROR(__xludf.DUMMYFUNCTION("""COMPUTED_VALUE"""),12.0)</f>
        <v>12</v>
      </c>
      <c r="E3186" s="1" t="str">
        <f t="array" ref="E3186">_xlfn.XLOOKUP(A3186,Product!A:A,Product!B:B,"Bulunamadı")</f>
        <v>Arts</v>
      </c>
      <c r="F3186" s="1" t="str">
        <f t="array" ref="F3186">_xlfn.XLOOKUP(A3186,Product!A:A,Product!C:C,"Bulunamadı")</f>
        <v>Commercial Law</v>
      </c>
      <c r="G3186" s="2" t="str">
        <f t="array" ref="G3186">_xlfn.XLOOKUP(A3187,Product!A:A,Product!D:D,"Bulunamadı")</f>
        <v>Oaklight Press</v>
      </c>
      <c r="H3186" s="2">
        <f t="array" ref="H3186">_xlfn.XLOOKUP(A3188,Product!A:A,Product!E:E,"Bulunamadı")</f>
        <v>2.4</v>
      </c>
      <c r="I3186" s="2" t="str">
        <f t="shared" si="1"/>
        <v>80400 - Arts - Commercial Law</v>
      </c>
      <c r="J3186" s="2">
        <f t="shared" si="2"/>
        <v>28.8</v>
      </c>
      <c r="K3186" s="17">
        <f t="shared" si="3"/>
        <v>1</v>
      </c>
      <c r="L3186" s="18"/>
    </row>
    <row r="3187">
      <c r="A3187" s="2">
        <f>IFERROR(__xludf.DUMMYFUNCTION("""COMPUTED_VALUE"""),8803.0)</f>
        <v>8803</v>
      </c>
      <c r="B3187" s="2">
        <f>IFERROR(__xludf.DUMMYFUNCTION("""COMPUTED_VALUE"""),0.0)</f>
        <v>0</v>
      </c>
      <c r="C3187" s="2">
        <f>IFERROR(__xludf.DUMMYFUNCTION("""COMPUTED_VALUE"""),176.0)</f>
        <v>176</v>
      </c>
      <c r="D3187" s="3">
        <f>IFERROR(__xludf.DUMMYFUNCTION("""COMPUTED_VALUE"""),32.0)</f>
        <v>32</v>
      </c>
      <c r="E3187" s="1" t="str">
        <f t="array" ref="E3187">_xlfn.XLOOKUP(A3187,Product!A:A,Product!B:B,"Bulunamadı")</f>
        <v>Arts</v>
      </c>
      <c r="F3187" s="1" t="str">
        <f t="array" ref="F3187">_xlfn.XLOOKUP(A3187,Product!A:A,Product!C:C,"Bulunamadı")</f>
        <v>Commercial Law</v>
      </c>
      <c r="G3187" s="2" t="str">
        <f t="array" ref="G3187">_xlfn.XLOOKUP(A3188,Product!A:A,Product!D:D,"Bulunamadı")</f>
        <v>Oaklight Press</v>
      </c>
      <c r="H3187" s="2">
        <f t="array" ref="H3187">_xlfn.XLOOKUP(A3189,Product!A:A,Product!E:E,"Bulunamadı")</f>
        <v>1.84</v>
      </c>
      <c r="I3187" s="2" t="str">
        <f t="shared" si="1"/>
        <v>8803 - Arts - Commercial Law</v>
      </c>
      <c r="J3187" s="2">
        <f t="shared" si="2"/>
        <v>58.88</v>
      </c>
      <c r="K3187" s="17">
        <f t="shared" si="3"/>
        <v>1</v>
      </c>
      <c r="L3187" s="18"/>
    </row>
    <row r="3188">
      <c r="A3188" s="2">
        <f>IFERROR(__xludf.DUMMYFUNCTION("""COMPUTED_VALUE"""),80085.0)</f>
        <v>80085</v>
      </c>
      <c r="B3188" s="2">
        <f>IFERROR(__xludf.DUMMYFUNCTION("""COMPUTED_VALUE"""),0.0)</f>
        <v>0</v>
      </c>
      <c r="C3188" s="2">
        <f>IFERROR(__xludf.DUMMYFUNCTION("""COMPUTED_VALUE"""),286.0)</f>
        <v>286</v>
      </c>
      <c r="D3188" s="3">
        <f>IFERROR(__xludf.DUMMYFUNCTION("""COMPUTED_VALUE"""),17.0)</f>
        <v>17</v>
      </c>
      <c r="E3188" s="1" t="str">
        <f t="array" ref="E3188">_xlfn.XLOOKUP(A3188,Product!A:A,Product!B:B,"Bulunamadı")</f>
        <v>Arts</v>
      </c>
      <c r="F3188" s="1" t="str">
        <f t="array" ref="F3188">_xlfn.XLOOKUP(A3188,Product!A:A,Product!C:C,"Bulunamadı")</f>
        <v>Commercial Law</v>
      </c>
      <c r="G3188" s="2" t="str">
        <f t="array" ref="G3188">_xlfn.XLOOKUP(A3189,Product!A:A,Product!D:D,"Bulunamadı")</f>
        <v>Oaklight Press</v>
      </c>
      <c r="H3188" s="2">
        <f t="array" ref="H3188">_xlfn.XLOOKUP(A3190,Product!A:A,Product!E:E,"Bulunamadı")</f>
        <v>2.02</v>
      </c>
      <c r="I3188" s="2" t="str">
        <f t="shared" si="1"/>
        <v>80085 - Arts - Commercial Law</v>
      </c>
      <c r="J3188" s="2">
        <f t="shared" si="2"/>
        <v>34.34</v>
      </c>
      <c r="K3188" s="17">
        <f t="shared" si="3"/>
        <v>1</v>
      </c>
      <c r="L3188" s="18"/>
    </row>
    <row r="3189">
      <c r="A3189" s="2">
        <f>IFERROR(__xludf.DUMMYFUNCTION("""COMPUTED_VALUE"""),47379.0)</f>
        <v>47379</v>
      </c>
      <c r="B3189" s="2">
        <f>IFERROR(__xludf.DUMMYFUNCTION("""COMPUTED_VALUE"""),0.0)</f>
        <v>0</v>
      </c>
      <c r="C3189" s="2">
        <f>IFERROR(__xludf.DUMMYFUNCTION("""COMPUTED_VALUE"""),263.0)</f>
        <v>263</v>
      </c>
      <c r="D3189" s="3">
        <f>IFERROR(__xludf.DUMMYFUNCTION("""COMPUTED_VALUE"""),55.0)</f>
        <v>55</v>
      </c>
      <c r="E3189" s="1" t="str">
        <f t="array" ref="E3189">_xlfn.XLOOKUP(A3189,Product!A:A,Product!B:B,"Bulunamadı")</f>
        <v>Arts</v>
      </c>
      <c r="F3189" s="1" t="str">
        <f t="array" ref="F3189">_xlfn.XLOOKUP(A3189,Product!A:A,Product!C:C,"Bulunamadı")</f>
        <v>Commercial Law</v>
      </c>
      <c r="G3189" s="2" t="str">
        <f t="array" ref="G3189">_xlfn.XLOOKUP(A3190,Product!A:A,Product!D:D,"Bulunamadı")</f>
        <v>Oaklight Press</v>
      </c>
      <c r="H3189" s="2">
        <f t="array" ref="H3189">_xlfn.XLOOKUP(A3191,Product!A:A,Product!E:E,"Bulunamadı")</f>
        <v>1.75</v>
      </c>
      <c r="I3189" s="2" t="str">
        <f t="shared" si="1"/>
        <v>47379 - Arts - Commercial Law</v>
      </c>
      <c r="J3189" s="2">
        <f t="shared" si="2"/>
        <v>96.25</v>
      </c>
      <c r="K3189" s="17">
        <f t="shared" si="3"/>
        <v>1</v>
      </c>
      <c r="L3189" s="18"/>
    </row>
    <row r="3190">
      <c r="A3190" s="2">
        <f>IFERROR(__xludf.DUMMYFUNCTION("""COMPUTED_VALUE"""),47366.0)</f>
        <v>47366</v>
      </c>
      <c r="B3190" s="2">
        <f>IFERROR(__xludf.DUMMYFUNCTION("""COMPUTED_VALUE"""),1.0)</f>
        <v>1</v>
      </c>
      <c r="C3190" s="2">
        <f>IFERROR(__xludf.DUMMYFUNCTION("""COMPUTED_VALUE"""),691.0)</f>
        <v>691</v>
      </c>
      <c r="D3190" s="3">
        <f>IFERROR(__xludf.DUMMYFUNCTION("""COMPUTED_VALUE"""),278.0)</f>
        <v>278</v>
      </c>
      <c r="E3190" s="1" t="str">
        <f t="array" ref="E3190">_xlfn.XLOOKUP(A3190,Product!A:A,Product!B:B,"Bulunamadı")</f>
        <v>Arts</v>
      </c>
      <c r="F3190" s="1" t="str">
        <f t="array" ref="F3190">_xlfn.XLOOKUP(A3190,Product!A:A,Product!C:C,"Bulunamadı")</f>
        <v>Commercial Law</v>
      </c>
      <c r="G3190" s="2" t="str">
        <f t="array" ref="G3190">_xlfn.XLOOKUP(A3191,Product!A:A,Product!D:D,"Bulunamadı")</f>
        <v>Oaklight Press</v>
      </c>
      <c r="H3190" s="2">
        <f t="array" ref="H3190">_xlfn.XLOOKUP(A3192,Product!A:A,Product!E:E,"Bulunamadı")</f>
        <v>1.99</v>
      </c>
      <c r="I3190" s="2" t="str">
        <f t="shared" si="1"/>
        <v>47366 - Arts - Commercial Law</v>
      </c>
      <c r="J3190" s="2">
        <f t="shared" si="2"/>
        <v>553.22</v>
      </c>
      <c r="K3190" s="17">
        <f t="shared" si="3"/>
        <v>1</v>
      </c>
      <c r="L3190" s="18"/>
    </row>
    <row r="3191">
      <c r="A3191" s="2">
        <f>IFERROR(__xludf.DUMMYFUNCTION("""COMPUTED_VALUE"""),47376.0)</f>
        <v>47376</v>
      </c>
      <c r="B3191" s="2">
        <f>IFERROR(__xludf.DUMMYFUNCTION("""COMPUTED_VALUE"""),0.0)</f>
        <v>0</v>
      </c>
      <c r="C3191" s="2">
        <f>IFERROR(__xludf.DUMMYFUNCTION("""COMPUTED_VALUE"""),33.0)</f>
        <v>33</v>
      </c>
      <c r="D3191" s="3">
        <f>IFERROR(__xludf.DUMMYFUNCTION("""COMPUTED_VALUE"""),2.0)</f>
        <v>2</v>
      </c>
      <c r="E3191" s="1" t="str">
        <f t="array" ref="E3191">_xlfn.XLOOKUP(A3191,Product!A:A,Product!B:B,"Bulunamadı")</f>
        <v>Arts</v>
      </c>
      <c r="F3191" s="1" t="str">
        <f t="array" ref="F3191">_xlfn.XLOOKUP(A3191,Product!A:A,Product!C:C,"Bulunamadı")</f>
        <v>Commercial Law</v>
      </c>
      <c r="G3191" s="2" t="str">
        <f t="array" ref="G3191">_xlfn.XLOOKUP(A3192,Product!A:A,Product!D:D,"Bulunamadı")</f>
        <v>Oaklight Press</v>
      </c>
      <c r="H3191" s="2">
        <f t="array" ref="H3191">_xlfn.XLOOKUP(A3193,Product!A:A,Product!E:E,"Bulunamadı")</f>
        <v>1.87</v>
      </c>
      <c r="I3191" s="2" t="str">
        <f t="shared" si="1"/>
        <v>47376 - Arts - Commercial Law</v>
      </c>
      <c r="J3191" s="2">
        <f t="shared" si="2"/>
        <v>3.74</v>
      </c>
      <c r="K3191" s="17">
        <f t="shared" si="3"/>
        <v>1</v>
      </c>
      <c r="L3191" s="18"/>
    </row>
    <row r="3192">
      <c r="A3192" s="2">
        <f>IFERROR(__xludf.DUMMYFUNCTION("""COMPUTED_VALUE"""),95799.0)</f>
        <v>95799</v>
      </c>
      <c r="B3192" s="2">
        <f>IFERROR(__xludf.DUMMYFUNCTION("""COMPUTED_VALUE"""),0.0)</f>
        <v>0</v>
      </c>
      <c r="C3192" s="2">
        <f>IFERROR(__xludf.DUMMYFUNCTION("""COMPUTED_VALUE"""),31.0)</f>
        <v>31</v>
      </c>
      <c r="D3192" s="3">
        <f>IFERROR(__xludf.DUMMYFUNCTION("""COMPUTED_VALUE"""),21.0)</f>
        <v>21</v>
      </c>
      <c r="E3192" s="1" t="str">
        <f t="array" ref="E3192">_xlfn.XLOOKUP(A3192,Product!A:A,Product!B:B,"Bulunamadı")</f>
        <v>Arts</v>
      </c>
      <c r="F3192" s="1" t="str">
        <f t="array" ref="F3192">_xlfn.XLOOKUP(A3192,Product!A:A,Product!C:C,"Bulunamadı")</f>
        <v>Commercial Law</v>
      </c>
      <c r="G3192" s="2" t="str">
        <f t="array" ref="G3192">_xlfn.XLOOKUP(A3193,Product!A:A,Product!D:D,"Bulunamadı")</f>
        <v>Oaklight Press</v>
      </c>
      <c r="H3192" s="2">
        <f t="array" ref="H3192">_xlfn.XLOOKUP(A3194,Product!A:A,Product!E:E,"Bulunamadı")</f>
        <v>2.24</v>
      </c>
      <c r="I3192" s="2" t="str">
        <f t="shared" si="1"/>
        <v>95799 - Arts - Commercial Law</v>
      </c>
      <c r="J3192" s="2">
        <f t="shared" si="2"/>
        <v>47.04</v>
      </c>
      <c r="K3192" s="17">
        <f t="shared" si="3"/>
        <v>1</v>
      </c>
      <c r="L3192" s="18"/>
    </row>
    <row r="3193">
      <c r="A3193" s="2">
        <f>IFERROR(__xludf.DUMMYFUNCTION("""COMPUTED_VALUE"""),112733.0)</f>
        <v>112733</v>
      </c>
      <c r="B3193" s="2">
        <f>IFERROR(__xludf.DUMMYFUNCTION("""COMPUTED_VALUE"""),1.0)</f>
        <v>1</v>
      </c>
      <c r="C3193" s="2">
        <f>IFERROR(__xludf.DUMMYFUNCTION("""COMPUTED_VALUE"""),630.0)</f>
        <v>630</v>
      </c>
      <c r="D3193" s="3">
        <f>IFERROR(__xludf.DUMMYFUNCTION("""COMPUTED_VALUE"""),533.0)</f>
        <v>533</v>
      </c>
      <c r="E3193" s="1" t="str">
        <f t="array" ref="E3193">_xlfn.XLOOKUP(A3193,Product!A:A,Product!B:B,"Bulunamadı")</f>
        <v>Arts</v>
      </c>
      <c r="F3193" s="1" t="str">
        <f t="array" ref="F3193">_xlfn.XLOOKUP(A3193,Product!A:A,Product!C:C,"Bulunamadı")</f>
        <v>Commercial Law</v>
      </c>
      <c r="G3193" s="2" t="str">
        <f t="array" ref="G3193">_xlfn.XLOOKUP(A3194,Product!A:A,Product!D:D,"Bulunamadı")</f>
        <v>Riverlight Publishing</v>
      </c>
      <c r="H3193" s="2">
        <f t="array" ref="H3193">_xlfn.XLOOKUP(A3195,Product!A:A,Product!E:E,"Bulunamadı")</f>
        <v>1.83</v>
      </c>
      <c r="I3193" s="2" t="str">
        <f t="shared" si="1"/>
        <v>112733 - Arts - Commercial Law</v>
      </c>
      <c r="J3193" s="2">
        <f t="shared" si="2"/>
        <v>975.39</v>
      </c>
      <c r="K3193" s="17">
        <f t="shared" si="3"/>
        <v>1</v>
      </c>
      <c r="L3193" s="18"/>
    </row>
    <row r="3194">
      <c r="A3194" s="2">
        <f>IFERROR(__xludf.DUMMYFUNCTION("""COMPUTED_VALUE"""),47050.0)</f>
        <v>47050</v>
      </c>
      <c r="B3194" s="2">
        <f>IFERROR(__xludf.DUMMYFUNCTION("""COMPUTED_VALUE"""),1.0)</f>
        <v>1</v>
      </c>
      <c r="C3194" s="2">
        <f>IFERROR(__xludf.DUMMYFUNCTION("""COMPUTED_VALUE"""),526.0)</f>
        <v>526</v>
      </c>
      <c r="D3194" s="3">
        <f>IFERROR(__xludf.DUMMYFUNCTION("""COMPUTED_VALUE"""),506.0)</f>
        <v>506</v>
      </c>
      <c r="E3194" s="1" t="str">
        <f t="array" ref="E3194">_xlfn.XLOOKUP(A3194,Product!A:A,Product!B:B,"Bulunamadı")</f>
        <v>Arts</v>
      </c>
      <c r="F3194" s="1" t="str">
        <f t="array" ref="F3194">_xlfn.XLOOKUP(A3194,Product!A:A,Product!C:C,"Bulunamadı")</f>
        <v>Commercial Law</v>
      </c>
      <c r="G3194" s="2" t="str">
        <f t="array" ref="G3194">_xlfn.XLOOKUP(A3195,Product!A:A,Product!D:D,"Bulunamadı")</f>
        <v>Riverlight Publishing</v>
      </c>
      <c r="H3194" s="2">
        <f t="array" ref="H3194">_xlfn.XLOOKUP(A3196,Product!A:A,Product!E:E,"Bulunamadı")</f>
        <v>1.8</v>
      </c>
      <c r="I3194" s="2" t="str">
        <f t="shared" si="1"/>
        <v>47050 - Arts - Commercial Law</v>
      </c>
      <c r="J3194" s="2">
        <f t="shared" si="2"/>
        <v>910.8</v>
      </c>
      <c r="K3194" s="17">
        <f t="shared" si="3"/>
        <v>1</v>
      </c>
      <c r="L3194" s="18"/>
    </row>
    <row r="3195">
      <c r="A3195" s="2">
        <f>IFERROR(__xludf.DUMMYFUNCTION("""COMPUTED_VALUE"""),112449.0)</f>
        <v>112449</v>
      </c>
      <c r="B3195" s="2">
        <f>IFERROR(__xludf.DUMMYFUNCTION("""COMPUTED_VALUE"""),0.0)</f>
        <v>0</v>
      </c>
      <c r="C3195" s="2">
        <f>IFERROR(__xludf.DUMMYFUNCTION("""COMPUTED_VALUE"""),336.0)</f>
        <v>336</v>
      </c>
      <c r="D3195" s="3">
        <f>IFERROR(__xludf.DUMMYFUNCTION("""COMPUTED_VALUE"""),38.0)</f>
        <v>38</v>
      </c>
      <c r="E3195" s="1" t="str">
        <f t="array" ref="E3195">_xlfn.XLOOKUP(A3195,Product!A:A,Product!B:B,"Bulunamadı")</f>
        <v>Arts</v>
      </c>
      <c r="F3195" s="1" t="str">
        <f t="array" ref="F3195">_xlfn.XLOOKUP(A3195,Product!A:A,Product!C:C,"Bulunamadı")</f>
        <v>Commercial Law</v>
      </c>
      <c r="G3195" s="2" t="str">
        <f t="array" ref="G3195">_xlfn.XLOOKUP(A3196,Product!A:A,Product!D:D,"Bulunamadı")</f>
        <v>Riverlight Publishing</v>
      </c>
      <c r="H3195" s="2">
        <f t="array" ref="H3195">_xlfn.XLOOKUP(A3197,Product!A:A,Product!E:E,"Bulunamadı")</f>
        <v>1.72</v>
      </c>
      <c r="I3195" s="2" t="str">
        <f t="shared" si="1"/>
        <v>112449 - Arts - Commercial Law</v>
      </c>
      <c r="J3195" s="2">
        <f t="shared" si="2"/>
        <v>65.36</v>
      </c>
      <c r="K3195" s="17">
        <f t="shared" si="3"/>
        <v>1</v>
      </c>
      <c r="L3195" s="18"/>
    </row>
    <row r="3196">
      <c r="A3196" s="2">
        <f>IFERROR(__xludf.DUMMYFUNCTION("""COMPUTED_VALUE"""),14025.0)</f>
        <v>14025</v>
      </c>
      <c r="B3196" s="2">
        <f>IFERROR(__xludf.DUMMYFUNCTION("""COMPUTED_VALUE"""),1.0)</f>
        <v>1</v>
      </c>
      <c r="C3196" s="2">
        <f>IFERROR(__xludf.DUMMYFUNCTION("""COMPUTED_VALUE"""),498.0)</f>
        <v>498</v>
      </c>
      <c r="D3196" s="3">
        <f>IFERROR(__xludf.DUMMYFUNCTION("""COMPUTED_VALUE"""),15.0)</f>
        <v>15</v>
      </c>
      <c r="E3196" s="1" t="str">
        <f t="array" ref="E3196">_xlfn.XLOOKUP(A3196,Product!A:A,Product!B:B,"Bulunamadı")</f>
        <v>Arts</v>
      </c>
      <c r="F3196" s="1" t="str">
        <f t="array" ref="F3196">_xlfn.XLOOKUP(A3196,Product!A:A,Product!C:C,"Bulunamadı")</f>
        <v>Commercial Law</v>
      </c>
      <c r="G3196" s="2" t="str">
        <f t="array" ref="G3196">_xlfn.XLOOKUP(A3197,Product!A:A,Product!D:D,"Bulunamadı")</f>
        <v>Riverlight Publishing</v>
      </c>
      <c r="H3196" s="2">
        <f t="array" ref="H3196">_xlfn.XLOOKUP(A3198,Product!A:A,Product!E:E,"Bulunamadı")</f>
        <v>2.19</v>
      </c>
      <c r="I3196" s="2" t="str">
        <f t="shared" si="1"/>
        <v>14025 - Arts - Commercial Law</v>
      </c>
      <c r="J3196" s="2">
        <f t="shared" si="2"/>
        <v>32.85</v>
      </c>
      <c r="K3196" s="17">
        <f t="shared" si="3"/>
        <v>1</v>
      </c>
      <c r="L3196" s="18"/>
    </row>
    <row r="3197">
      <c r="A3197" s="2">
        <f>IFERROR(__xludf.DUMMYFUNCTION("""COMPUTED_VALUE"""),26054.0)</f>
        <v>26054</v>
      </c>
      <c r="B3197" s="2">
        <f>IFERROR(__xludf.DUMMYFUNCTION("""COMPUTED_VALUE"""),0.0)</f>
        <v>0</v>
      </c>
      <c r="C3197" s="2">
        <f>IFERROR(__xludf.DUMMYFUNCTION("""COMPUTED_VALUE"""),776.0)</f>
        <v>776</v>
      </c>
      <c r="D3197" s="3">
        <f>IFERROR(__xludf.DUMMYFUNCTION("""COMPUTED_VALUE"""),10.0)</f>
        <v>10</v>
      </c>
      <c r="E3197" s="1" t="str">
        <f t="array" ref="E3197">_xlfn.XLOOKUP(A3197,Product!A:A,Product!B:B,"Bulunamadı")</f>
        <v>Arts</v>
      </c>
      <c r="F3197" s="1" t="str">
        <f t="array" ref="F3197">_xlfn.XLOOKUP(A3197,Product!A:A,Product!C:C,"Bulunamadı")</f>
        <v>Commercial Law</v>
      </c>
      <c r="G3197" s="2" t="str">
        <f t="array" ref="G3197">_xlfn.XLOOKUP(A3198,Product!A:A,Product!D:D,"Bulunamadı")</f>
        <v>Riverlight Publishing</v>
      </c>
      <c r="H3197" s="2">
        <f t="array" ref="H3197">_xlfn.XLOOKUP(A3199,Product!A:A,Product!E:E,"Bulunamadı")</f>
        <v>1.28</v>
      </c>
      <c r="I3197" s="2" t="str">
        <f t="shared" si="1"/>
        <v>26054 - Arts - Commercial Law</v>
      </c>
      <c r="J3197" s="2">
        <f t="shared" si="2"/>
        <v>12.8</v>
      </c>
      <c r="K3197" s="17">
        <f t="shared" si="3"/>
        <v>1</v>
      </c>
      <c r="L3197" s="18"/>
    </row>
    <row r="3198">
      <c r="A3198" s="2">
        <f>IFERROR(__xludf.DUMMYFUNCTION("""COMPUTED_VALUE"""),60366.0)</f>
        <v>60366</v>
      </c>
      <c r="B3198" s="2">
        <f>IFERROR(__xludf.DUMMYFUNCTION("""COMPUTED_VALUE"""),0.0)</f>
        <v>0</v>
      </c>
      <c r="C3198" s="2">
        <f>IFERROR(__xludf.DUMMYFUNCTION("""COMPUTED_VALUE"""),358.0)</f>
        <v>358</v>
      </c>
      <c r="D3198" s="3">
        <f>IFERROR(__xludf.DUMMYFUNCTION("""COMPUTED_VALUE"""),276.0)</f>
        <v>276</v>
      </c>
      <c r="E3198" s="1" t="str">
        <f t="array" ref="E3198">_xlfn.XLOOKUP(A3198,Product!A:A,Product!B:B,"Bulunamadı")</f>
        <v>Arts</v>
      </c>
      <c r="F3198" s="1" t="str">
        <f t="array" ref="F3198">_xlfn.XLOOKUP(A3198,Product!A:A,Product!C:C,"Bulunamadı")</f>
        <v>Commercial Law</v>
      </c>
      <c r="G3198" s="2" t="str">
        <f t="array" ref="G3198">_xlfn.XLOOKUP(A3199,Product!A:A,Product!D:D,"Bulunamadı")</f>
        <v>Riverlight Publishing</v>
      </c>
      <c r="H3198" s="2">
        <f t="array" ref="H3198">_xlfn.XLOOKUP(A3200,Product!A:A,Product!E:E,"Bulunamadı")</f>
        <v>2.42</v>
      </c>
      <c r="I3198" s="2" t="str">
        <f t="shared" si="1"/>
        <v>60366 - Arts - Commercial Law</v>
      </c>
      <c r="J3198" s="2">
        <f t="shared" si="2"/>
        <v>667.92</v>
      </c>
      <c r="K3198" s="17">
        <f t="shared" si="3"/>
        <v>1</v>
      </c>
      <c r="L3198" s="18"/>
    </row>
    <row r="3199">
      <c r="A3199" s="2">
        <f>IFERROR(__xludf.DUMMYFUNCTION("""COMPUTED_VALUE"""),116805.0)</f>
        <v>116805</v>
      </c>
      <c r="B3199" s="2">
        <f>IFERROR(__xludf.DUMMYFUNCTION("""COMPUTED_VALUE"""),1.0)</f>
        <v>1</v>
      </c>
      <c r="C3199" s="2">
        <f>IFERROR(__xludf.DUMMYFUNCTION("""COMPUTED_VALUE"""),752.0)</f>
        <v>752</v>
      </c>
      <c r="D3199" s="3">
        <f>IFERROR(__xludf.DUMMYFUNCTION("""COMPUTED_VALUE"""),141.0)</f>
        <v>141</v>
      </c>
      <c r="E3199" s="1" t="str">
        <f t="array" ref="E3199">_xlfn.XLOOKUP(A3199,Product!A:A,Product!B:B,"Bulunamadı")</f>
        <v>Arts</v>
      </c>
      <c r="F3199" s="1" t="str">
        <f t="array" ref="F3199">_xlfn.XLOOKUP(A3199,Product!A:A,Product!C:C,"Bulunamadı")</f>
        <v>Commercial Law</v>
      </c>
      <c r="G3199" s="2" t="str">
        <f t="array" ref="G3199">_xlfn.XLOOKUP(A3200,Product!A:A,Product!D:D,"Bulunamadı")</f>
        <v>Riverlight Publishing</v>
      </c>
      <c r="H3199" s="2">
        <f t="array" ref="H3199">_xlfn.XLOOKUP(A3201,Product!A:A,Product!E:E,"Bulunamadı")</f>
        <v>2.28</v>
      </c>
      <c r="I3199" s="2" t="str">
        <f t="shared" si="1"/>
        <v>116805 - Arts - Commercial Law</v>
      </c>
      <c r="J3199" s="2">
        <f t="shared" si="2"/>
        <v>321.48</v>
      </c>
      <c r="K3199" s="17">
        <f t="shared" si="3"/>
        <v>1</v>
      </c>
      <c r="L3199" s="18"/>
    </row>
    <row r="3200">
      <c r="A3200" s="2">
        <f>IFERROR(__xludf.DUMMYFUNCTION("""COMPUTED_VALUE"""),8804.0)</f>
        <v>8804</v>
      </c>
      <c r="B3200" s="2">
        <f>IFERROR(__xludf.DUMMYFUNCTION("""COMPUTED_VALUE"""),1.0)</f>
        <v>1</v>
      </c>
      <c r="C3200" s="2">
        <f>IFERROR(__xludf.DUMMYFUNCTION("""COMPUTED_VALUE"""),438.0)</f>
        <v>438</v>
      </c>
      <c r="D3200" s="3">
        <f>IFERROR(__xludf.DUMMYFUNCTION("""COMPUTED_VALUE"""),435.0)</f>
        <v>435</v>
      </c>
      <c r="E3200" s="1" t="str">
        <f t="array" ref="E3200">_xlfn.XLOOKUP(A3200,Product!A:A,Product!B:B,"Bulunamadı")</f>
        <v>Arts</v>
      </c>
      <c r="F3200" s="1" t="str">
        <f t="array" ref="F3200">_xlfn.XLOOKUP(A3200,Product!A:A,Product!C:C,"Bulunamadı")</f>
        <v>Commercial Law</v>
      </c>
      <c r="G3200" s="2" t="str">
        <f t="array" ref="G3200">_xlfn.XLOOKUP(A3201,Product!A:A,Product!D:D,"Bulunamadı")</f>
        <v>Riverlight Publishing</v>
      </c>
      <c r="H3200" s="2">
        <f t="array" ref="H3200">_xlfn.XLOOKUP(A3202,Product!A:A,Product!E:E,"Bulunamadı")</f>
        <v>1.6</v>
      </c>
      <c r="I3200" s="2" t="str">
        <f t="shared" si="1"/>
        <v>8804 - Arts - Commercial Law</v>
      </c>
      <c r="J3200" s="2">
        <f t="shared" si="2"/>
        <v>696</v>
      </c>
      <c r="K3200" s="17">
        <f t="shared" si="3"/>
        <v>1</v>
      </c>
      <c r="L3200" s="18"/>
    </row>
    <row r="3201">
      <c r="A3201" s="2">
        <f>IFERROR(__xludf.DUMMYFUNCTION("""COMPUTED_VALUE"""),48470.0)</f>
        <v>48470</v>
      </c>
      <c r="B3201" s="2">
        <f>IFERROR(__xludf.DUMMYFUNCTION("""COMPUTED_VALUE"""),1.0)</f>
        <v>1</v>
      </c>
      <c r="C3201" s="2">
        <f>IFERROR(__xludf.DUMMYFUNCTION("""COMPUTED_VALUE"""),206.0)</f>
        <v>206</v>
      </c>
      <c r="D3201" s="3">
        <f>IFERROR(__xludf.DUMMYFUNCTION("""COMPUTED_VALUE"""),193.0)</f>
        <v>193</v>
      </c>
      <c r="E3201" s="1" t="str">
        <f t="array" ref="E3201">_xlfn.XLOOKUP(A3201,Product!A:A,Product!B:B,"Bulunamadı")</f>
        <v>Arts</v>
      </c>
      <c r="F3201" s="1" t="str">
        <f t="array" ref="F3201">_xlfn.XLOOKUP(A3201,Product!A:A,Product!C:C,"Bulunamadı")</f>
        <v>Commercial Law</v>
      </c>
      <c r="G3201" s="2" t="str">
        <f t="array" ref="G3201">_xlfn.XLOOKUP(A3202,Product!A:A,Product!D:D,"Bulunamadı")</f>
        <v>Riverlight Publishing</v>
      </c>
      <c r="H3201" s="2">
        <f t="array" ref="H3201">_xlfn.XLOOKUP(A3203,Product!A:A,Product!E:E,"Bulunamadı")</f>
        <v>2.16</v>
      </c>
      <c r="I3201" s="2" t="str">
        <f t="shared" si="1"/>
        <v>48470 - Arts - Commercial Law</v>
      </c>
      <c r="J3201" s="2">
        <f t="shared" si="2"/>
        <v>416.88</v>
      </c>
      <c r="K3201" s="17">
        <f t="shared" si="3"/>
        <v>1</v>
      </c>
      <c r="L3201" s="18"/>
    </row>
    <row r="3202">
      <c r="A3202" s="2">
        <f>IFERROR(__xludf.DUMMYFUNCTION("""COMPUTED_VALUE"""),86485.0)</f>
        <v>86485</v>
      </c>
      <c r="B3202" s="2">
        <f>IFERROR(__xludf.DUMMYFUNCTION("""COMPUTED_VALUE"""),1.0)</f>
        <v>1</v>
      </c>
      <c r="C3202" s="2">
        <f>IFERROR(__xludf.DUMMYFUNCTION("""COMPUTED_VALUE"""),141.0)</f>
        <v>141</v>
      </c>
      <c r="D3202" s="3">
        <f>IFERROR(__xludf.DUMMYFUNCTION("""COMPUTED_VALUE"""),41.0)</f>
        <v>41</v>
      </c>
      <c r="E3202" s="1" t="str">
        <f t="array" ref="E3202">_xlfn.XLOOKUP(A3202,Product!A:A,Product!B:B,"Bulunamadı")</f>
        <v>Arts</v>
      </c>
      <c r="F3202" s="1" t="str">
        <f t="array" ref="F3202">_xlfn.XLOOKUP(A3202,Product!A:A,Product!C:C,"Bulunamadı")</f>
        <v>Commercial Law</v>
      </c>
      <c r="G3202" s="2" t="str">
        <f t="array" ref="G3202">_xlfn.XLOOKUP(A3203,Product!A:A,Product!D:D,"Bulunamadı")</f>
        <v>Riverlight Publishing</v>
      </c>
      <c r="H3202" s="2">
        <f t="array" ref="H3202">_xlfn.XLOOKUP(A3204,Product!A:A,Product!E:E,"Bulunamadı")</f>
        <v>2.48</v>
      </c>
      <c r="I3202" s="2" t="str">
        <f t="shared" si="1"/>
        <v>86485 - Arts - Commercial Law</v>
      </c>
      <c r="J3202" s="2">
        <f t="shared" si="2"/>
        <v>101.68</v>
      </c>
      <c r="K3202" s="17">
        <f t="shared" si="3"/>
        <v>1</v>
      </c>
      <c r="L3202" s="18"/>
    </row>
    <row r="3203">
      <c r="A3203" s="2">
        <f>IFERROR(__xludf.DUMMYFUNCTION("""COMPUTED_VALUE"""),73872.0)</f>
        <v>73872</v>
      </c>
      <c r="B3203" s="2">
        <f>IFERROR(__xludf.DUMMYFUNCTION("""COMPUTED_VALUE"""),1.0)</f>
        <v>1</v>
      </c>
      <c r="C3203" s="2">
        <f>IFERROR(__xludf.DUMMYFUNCTION("""COMPUTED_VALUE"""),46.0)</f>
        <v>46</v>
      </c>
      <c r="D3203" s="3">
        <f>IFERROR(__xludf.DUMMYFUNCTION("""COMPUTED_VALUE"""),28.0)</f>
        <v>28</v>
      </c>
      <c r="E3203" s="1" t="str">
        <f t="array" ref="E3203">_xlfn.XLOOKUP(A3203,Product!A:A,Product!B:B,"Bulunamadı")</f>
        <v>Arts</v>
      </c>
      <c r="F3203" s="1" t="str">
        <f t="array" ref="F3203">_xlfn.XLOOKUP(A3203,Product!A:A,Product!C:C,"Bulunamadı")</f>
        <v>Commercial Law</v>
      </c>
      <c r="G3203" s="2" t="str">
        <f t="array" ref="G3203">_xlfn.XLOOKUP(A3204,Product!A:A,Product!D:D,"Bulunamadı")</f>
        <v>Riverlight Publishing</v>
      </c>
      <c r="H3203" s="2">
        <f t="array" ref="H3203">_xlfn.XLOOKUP(A3205,Product!A:A,Product!E:E,"Bulunamadı")</f>
        <v>0.47</v>
      </c>
      <c r="I3203" s="2" t="str">
        <f t="shared" si="1"/>
        <v>73872 - Arts - Commercial Law</v>
      </c>
      <c r="J3203" s="2">
        <f t="shared" si="2"/>
        <v>13.16</v>
      </c>
      <c r="K3203" s="17">
        <f t="shared" si="3"/>
        <v>1</v>
      </c>
      <c r="L3203" s="18"/>
    </row>
    <row r="3204">
      <c r="A3204" s="2">
        <f>IFERROR(__xludf.DUMMYFUNCTION("""COMPUTED_VALUE"""),72852.0)</f>
        <v>72852</v>
      </c>
      <c r="B3204" s="2">
        <f>IFERROR(__xludf.DUMMYFUNCTION("""COMPUTED_VALUE"""),0.0)</f>
        <v>0</v>
      </c>
      <c r="C3204" s="2">
        <f>IFERROR(__xludf.DUMMYFUNCTION("""COMPUTED_VALUE"""),876.0)</f>
        <v>876</v>
      </c>
      <c r="D3204" s="3">
        <f>IFERROR(__xludf.DUMMYFUNCTION("""COMPUTED_VALUE"""),657.0)</f>
        <v>657</v>
      </c>
      <c r="E3204" s="1" t="str">
        <f t="array" ref="E3204">_xlfn.XLOOKUP(A3204,Product!A:A,Product!B:B,"Bulunamadı")</f>
        <v>Arts</v>
      </c>
      <c r="F3204" s="1" t="str">
        <f t="array" ref="F3204">_xlfn.XLOOKUP(A3204,Product!A:A,Product!C:C,"Bulunamadı")</f>
        <v>Commercial Law</v>
      </c>
      <c r="G3204" s="2" t="str">
        <f t="array" ref="G3204">_xlfn.XLOOKUP(A3205,Product!A:A,Product!D:D,"Bulunamadı")</f>
        <v>Riverlight Publishing</v>
      </c>
      <c r="H3204" s="2">
        <f t="array" ref="H3204">_xlfn.XLOOKUP(A3206,Product!A:A,Product!E:E,"Bulunamadı")</f>
        <v>2.37</v>
      </c>
      <c r="I3204" s="2" t="str">
        <f t="shared" si="1"/>
        <v>72852 - Arts - Commercial Law</v>
      </c>
      <c r="J3204" s="2">
        <f t="shared" si="2"/>
        <v>1557.09</v>
      </c>
      <c r="K3204" s="17">
        <f t="shared" si="3"/>
        <v>1</v>
      </c>
      <c r="L3204" s="18"/>
    </row>
    <row r="3205">
      <c r="A3205" s="2">
        <f>IFERROR(__xludf.DUMMYFUNCTION("""COMPUTED_VALUE"""),85856.0)</f>
        <v>85856</v>
      </c>
      <c r="B3205" s="2">
        <f>IFERROR(__xludf.DUMMYFUNCTION("""COMPUTED_VALUE"""),1.0)</f>
        <v>1</v>
      </c>
      <c r="C3205" s="2">
        <f>IFERROR(__xludf.DUMMYFUNCTION("""COMPUTED_VALUE"""),838.0)</f>
        <v>838</v>
      </c>
      <c r="D3205" s="3">
        <f>IFERROR(__xludf.DUMMYFUNCTION("""COMPUTED_VALUE"""),389.0)</f>
        <v>389</v>
      </c>
      <c r="E3205" s="1" t="str">
        <f t="array" ref="E3205">_xlfn.XLOOKUP(A3205,Product!A:A,Product!B:B,"Bulunamadı")</f>
        <v>Arts</v>
      </c>
      <c r="F3205" s="1" t="str">
        <f t="array" ref="F3205">_xlfn.XLOOKUP(A3205,Product!A:A,Product!C:C,"Bulunamadı")</f>
        <v>Commercial Law</v>
      </c>
      <c r="G3205" s="2" t="str">
        <f t="array" ref="G3205">_xlfn.XLOOKUP(A3206,Product!A:A,Product!D:D,"Bulunamadı")</f>
        <v>Riverlight Publishing</v>
      </c>
      <c r="H3205" s="2">
        <f t="array" ref="H3205">_xlfn.XLOOKUP(A3207,Product!A:A,Product!E:E,"Bulunamadı")</f>
        <v>1.92</v>
      </c>
      <c r="I3205" s="2" t="str">
        <f t="shared" si="1"/>
        <v>85856 - Arts - Commercial Law</v>
      </c>
      <c r="J3205" s="2">
        <f t="shared" si="2"/>
        <v>746.88</v>
      </c>
      <c r="K3205" s="17">
        <f t="shared" si="3"/>
        <v>1</v>
      </c>
      <c r="L3205" s="18"/>
    </row>
    <row r="3206">
      <c r="A3206" s="2">
        <f>IFERROR(__xludf.DUMMYFUNCTION("""COMPUTED_VALUE"""),14018.0)</f>
        <v>14018</v>
      </c>
      <c r="B3206" s="2">
        <f>IFERROR(__xludf.DUMMYFUNCTION("""COMPUTED_VALUE"""),0.0)</f>
        <v>0</v>
      </c>
      <c r="C3206" s="2">
        <f>IFERROR(__xludf.DUMMYFUNCTION("""COMPUTED_VALUE"""),213.0)</f>
        <v>213</v>
      </c>
      <c r="D3206" s="3">
        <f>IFERROR(__xludf.DUMMYFUNCTION("""COMPUTED_VALUE"""),110.0)</f>
        <v>110</v>
      </c>
      <c r="E3206" s="1" t="str">
        <f t="array" ref="E3206">_xlfn.XLOOKUP(A3206,Product!A:A,Product!B:B,"Bulunamadı")</f>
        <v>Arts</v>
      </c>
      <c r="F3206" s="1" t="str">
        <f t="array" ref="F3206">_xlfn.XLOOKUP(A3206,Product!A:A,Product!C:C,"Bulunamadı")</f>
        <v>Commercial Law</v>
      </c>
      <c r="G3206" s="2" t="str">
        <f t="array" ref="G3206">_xlfn.XLOOKUP(A3207,Product!A:A,Product!D:D,"Bulunamadı")</f>
        <v>Riverlight Publishing</v>
      </c>
      <c r="H3206" s="2">
        <f t="array" ref="H3206">_xlfn.XLOOKUP(A3208,Product!A:A,Product!E:E,"Bulunamadı")</f>
        <v>1.92</v>
      </c>
      <c r="I3206" s="2" t="str">
        <f t="shared" si="1"/>
        <v>14018 - Arts - Commercial Law</v>
      </c>
      <c r="J3206" s="2">
        <f t="shared" si="2"/>
        <v>211.2</v>
      </c>
      <c r="K3206" s="17">
        <f t="shared" si="3"/>
        <v>1</v>
      </c>
      <c r="L3206" s="18"/>
    </row>
    <row r="3207">
      <c r="A3207" s="2">
        <f>IFERROR(__xludf.DUMMYFUNCTION("""COMPUTED_VALUE"""),100262.0)</f>
        <v>100262</v>
      </c>
      <c r="B3207" s="2">
        <f>IFERROR(__xludf.DUMMYFUNCTION("""COMPUTED_VALUE"""),1.0)</f>
        <v>1</v>
      </c>
      <c r="C3207" s="2">
        <f>IFERROR(__xludf.DUMMYFUNCTION("""COMPUTED_VALUE"""),225.0)</f>
        <v>225</v>
      </c>
      <c r="D3207" s="3">
        <f>IFERROR(__xludf.DUMMYFUNCTION("""COMPUTED_VALUE"""),76.0)</f>
        <v>76</v>
      </c>
      <c r="E3207" s="1" t="str">
        <f t="array" ref="E3207">_xlfn.XLOOKUP(A3207,Product!A:A,Product!B:B,"Bulunamadı")</f>
        <v>Arts</v>
      </c>
      <c r="F3207" s="1" t="str">
        <f t="array" ref="F3207">_xlfn.XLOOKUP(A3207,Product!A:A,Product!C:C,"Bulunamadı")</f>
        <v>Commercial Law</v>
      </c>
      <c r="G3207" s="2" t="str">
        <f t="array" ref="G3207">_xlfn.XLOOKUP(A3208,Product!A:A,Product!D:D,"Bulunamadı")</f>
        <v>Riverlight Publishing</v>
      </c>
      <c r="H3207" s="2">
        <f t="array" ref="H3207">_xlfn.XLOOKUP(A3209,Product!A:A,Product!E:E,"Bulunamadı")</f>
        <v>1.54</v>
      </c>
      <c r="I3207" s="2" t="str">
        <f t="shared" si="1"/>
        <v>100262 - Arts - Commercial Law</v>
      </c>
      <c r="J3207" s="2">
        <f t="shared" si="2"/>
        <v>117.04</v>
      </c>
      <c r="K3207" s="17">
        <f t="shared" si="3"/>
        <v>1</v>
      </c>
      <c r="L3207" s="18"/>
    </row>
    <row r="3208">
      <c r="A3208" s="2">
        <f>IFERROR(__xludf.DUMMYFUNCTION("""COMPUTED_VALUE"""),114657.0)</f>
        <v>114657</v>
      </c>
      <c r="B3208" s="2">
        <f>IFERROR(__xludf.DUMMYFUNCTION("""COMPUTED_VALUE"""),1.0)</f>
        <v>1</v>
      </c>
      <c r="C3208" s="2">
        <f>IFERROR(__xludf.DUMMYFUNCTION("""COMPUTED_VALUE"""),564.0)</f>
        <v>564</v>
      </c>
      <c r="D3208" s="3">
        <f>IFERROR(__xludf.DUMMYFUNCTION("""COMPUTED_VALUE"""),389.0)</f>
        <v>389</v>
      </c>
      <c r="E3208" s="1" t="str">
        <f t="array" ref="E3208">_xlfn.XLOOKUP(A3208,Product!A:A,Product!B:B,"Bulunamadı")</f>
        <v>Arts</v>
      </c>
      <c r="F3208" s="1" t="str">
        <f t="array" ref="F3208">_xlfn.XLOOKUP(A3208,Product!A:A,Product!C:C,"Bulunamadı")</f>
        <v>Commercial Law</v>
      </c>
      <c r="G3208" s="2" t="str">
        <f t="array" ref="G3208">_xlfn.XLOOKUP(A3209,Product!A:A,Product!D:D,"Bulunamadı")</f>
        <v>Riverlight Publishing</v>
      </c>
      <c r="H3208" s="2">
        <f t="array" ref="H3208">_xlfn.XLOOKUP(A3210,Product!A:A,Product!E:E,"Bulunamadı")</f>
        <v>1.89</v>
      </c>
      <c r="I3208" s="2" t="str">
        <f t="shared" si="1"/>
        <v>114657 - Arts - Commercial Law</v>
      </c>
      <c r="J3208" s="2">
        <f t="shared" si="2"/>
        <v>735.21</v>
      </c>
      <c r="K3208" s="17">
        <f t="shared" si="3"/>
        <v>1</v>
      </c>
      <c r="L3208" s="18"/>
    </row>
    <row r="3209">
      <c r="A3209" s="2">
        <f>IFERROR(__xludf.DUMMYFUNCTION("""COMPUTED_VALUE"""),150281.0)</f>
        <v>150281</v>
      </c>
      <c r="B3209" s="2">
        <f>IFERROR(__xludf.DUMMYFUNCTION("""COMPUTED_VALUE"""),1.0)</f>
        <v>1</v>
      </c>
      <c r="C3209" s="2">
        <f>IFERROR(__xludf.DUMMYFUNCTION("""COMPUTED_VALUE"""),335.0)</f>
        <v>335</v>
      </c>
      <c r="D3209" s="3">
        <f>IFERROR(__xludf.DUMMYFUNCTION("""COMPUTED_VALUE"""),304.0)</f>
        <v>304</v>
      </c>
      <c r="E3209" s="1" t="str">
        <f t="array" ref="E3209">_xlfn.XLOOKUP(A3209,Product!A:A,Product!B:B,"Bulunamadı")</f>
        <v>Arts</v>
      </c>
      <c r="F3209" s="1" t="str">
        <f t="array" ref="F3209">_xlfn.XLOOKUP(A3209,Product!A:A,Product!C:C,"Bulunamadı")</f>
        <v>Commercial Law</v>
      </c>
      <c r="G3209" s="2" t="str">
        <f t="array" ref="G3209">_xlfn.XLOOKUP(A3210,Product!A:A,Product!D:D,"Bulunamadı")</f>
        <v>Riverlight Publishing</v>
      </c>
      <c r="H3209" s="2">
        <f t="array" ref="H3209">_xlfn.XLOOKUP(A3211,Product!A:A,Product!E:E,"Bulunamadı")</f>
        <v>1.91</v>
      </c>
      <c r="I3209" s="2" t="str">
        <f t="shared" si="1"/>
        <v>150281 - Arts - Commercial Law</v>
      </c>
      <c r="J3209" s="2">
        <f t="shared" si="2"/>
        <v>580.64</v>
      </c>
      <c r="K3209" s="17">
        <f t="shared" si="3"/>
        <v>1</v>
      </c>
      <c r="L3209" s="18"/>
    </row>
    <row r="3210">
      <c r="A3210" s="2">
        <f>IFERROR(__xludf.DUMMYFUNCTION("""COMPUTED_VALUE"""),81491.0)</f>
        <v>81491</v>
      </c>
      <c r="B3210" s="2">
        <f>IFERROR(__xludf.DUMMYFUNCTION("""COMPUTED_VALUE"""),0.0)</f>
        <v>0</v>
      </c>
      <c r="C3210" s="2">
        <f>IFERROR(__xludf.DUMMYFUNCTION("""COMPUTED_VALUE"""),225.0)</f>
        <v>225</v>
      </c>
      <c r="D3210" s="3">
        <f>IFERROR(__xludf.DUMMYFUNCTION("""COMPUTED_VALUE"""),126.0)</f>
        <v>126</v>
      </c>
      <c r="E3210" s="1" t="str">
        <f t="array" ref="E3210">_xlfn.XLOOKUP(A3210,Product!A:A,Product!B:B,"Bulunamadı")</f>
        <v>Arts</v>
      </c>
      <c r="F3210" s="1" t="str">
        <f t="array" ref="F3210">_xlfn.XLOOKUP(A3210,Product!A:A,Product!C:C,"Bulunamadı")</f>
        <v>Commercial Law</v>
      </c>
      <c r="G3210" s="2" t="str">
        <f t="array" ref="G3210">_xlfn.XLOOKUP(A3211,Product!A:A,Product!D:D,"Bulunamadı")</f>
        <v>Riverlight Publishing</v>
      </c>
      <c r="H3210" s="2">
        <f t="array" ref="H3210">_xlfn.XLOOKUP(A3212,Product!A:A,Product!E:E,"Bulunamadı")</f>
        <v>1.38</v>
      </c>
      <c r="I3210" s="2" t="str">
        <f t="shared" si="1"/>
        <v>81491 - Arts - Commercial Law</v>
      </c>
      <c r="J3210" s="2">
        <f t="shared" si="2"/>
        <v>173.88</v>
      </c>
      <c r="K3210" s="17">
        <f t="shared" si="3"/>
        <v>1</v>
      </c>
      <c r="L3210" s="18"/>
    </row>
    <row r="3211">
      <c r="A3211" s="2">
        <f>IFERROR(__xludf.DUMMYFUNCTION("""COMPUTED_VALUE"""),88519.0)</f>
        <v>88519</v>
      </c>
      <c r="B3211" s="2">
        <f>IFERROR(__xludf.DUMMYFUNCTION("""COMPUTED_VALUE"""),0.0)</f>
        <v>0</v>
      </c>
      <c r="C3211" s="2">
        <f>IFERROR(__xludf.DUMMYFUNCTION("""COMPUTED_VALUE"""),831.0)</f>
        <v>831</v>
      </c>
      <c r="D3211" s="3">
        <f>IFERROR(__xludf.DUMMYFUNCTION("""COMPUTED_VALUE"""),437.0)</f>
        <v>437</v>
      </c>
      <c r="E3211" s="1" t="str">
        <f t="array" ref="E3211">_xlfn.XLOOKUP(A3211,Product!A:A,Product!B:B,"Bulunamadı")</f>
        <v>Arts</v>
      </c>
      <c r="F3211" s="1" t="str">
        <f t="array" ref="F3211">_xlfn.XLOOKUP(A3211,Product!A:A,Product!C:C,"Bulunamadı")</f>
        <v>Commercial Law</v>
      </c>
      <c r="G3211" s="2" t="str">
        <f t="array" ref="G3211">_xlfn.XLOOKUP(A3212,Product!A:A,Product!D:D,"Bulunamadı")</f>
        <v>Riverlight Publishing</v>
      </c>
      <c r="H3211" s="2">
        <f t="array" ref="H3211">_xlfn.XLOOKUP(A3213,Product!A:A,Product!E:E,"Bulunamadı")</f>
        <v>1.38</v>
      </c>
      <c r="I3211" s="2" t="str">
        <f t="shared" si="1"/>
        <v>88519 - Arts - Commercial Law</v>
      </c>
      <c r="J3211" s="2">
        <f t="shared" si="2"/>
        <v>603.06</v>
      </c>
      <c r="K3211" s="17">
        <f t="shared" si="3"/>
        <v>1</v>
      </c>
      <c r="L3211" s="18"/>
    </row>
    <row r="3212">
      <c r="A3212" s="2">
        <f>IFERROR(__xludf.DUMMYFUNCTION("""COMPUTED_VALUE"""),116800.0)</f>
        <v>116800</v>
      </c>
      <c r="B3212" s="2">
        <f>IFERROR(__xludf.DUMMYFUNCTION("""COMPUTED_VALUE"""),0.0)</f>
        <v>0</v>
      </c>
      <c r="C3212" s="2">
        <f>IFERROR(__xludf.DUMMYFUNCTION("""COMPUTED_VALUE"""),692.0)</f>
        <v>692</v>
      </c>
      <c r="D3212" s="3">
        <f>IFERROR(__xludf.DUMMYFUNCTION("""COMPUTED_VALUE"""),26.0)</f>
        <v>26</v>
      </c>
      <c r="E3212" s="1" t="str">
        <f t="array" ref="E3212">_xlfn.XLOOKUP(A3212,Product!A:A,Product!B:B,"Bulunamadı")</f>
        <v>Arts</v>
      </c>
      <c r="F3212" s="1" t="str">
        <f t="array" ref="F3212">_xlfn.XLOOKUP(A3212,Product!A:A,Product!C:C,"Bulunamadı")</f>
        <v>Commercial Law</v>
      </c>
      <c r="G3212" s="2" t="str">
        <f t="array" ref="G3212">_xlfn.XLOOKUP(A3213,Product!A:A,Product!D:D,"Bulunamadı")</f>
        <v>Riverlight Publishing</v>
      </c>
      <c r="H3212" s="2">
        <f t="array" ref="H3212">_xlfn.XLOOKUP(A3214,Product!A:A,Product!E:E,"Bulunamadı")</f>
        <v>1.59</v>
      </c>
      <c r="I3212" s="2" t="str">
        <f t="shared" si="1"/>
        <v>116800 - Arts - Commercial Law</v>
      </c>
      <c r="J3212" s="2">
        <f t="shared" si="2"/>
        <v>41.34</v>
      </c>
      <c r="K3212" s="17">
        <f t="shared" si="3"/>
        <v>1</v>
      </c>
      <c r="L3212" s="18"/>
    </row>
    <row r="3213">
      <c r="A3213" s="2">
        <f>IFERROR(__xludf.DUMMYFUNCTION("""COMPUTED_VALUE"""),117675.0)</f>
        <v>117675</v>
      </c>
      <c r="B3213" s="2">
        <f>IFERROR(__xludf.DUMMYFUNCTION("""COMPUTED_VALUE"""),1.0)</f>
        <v>1</v>
      </c>
      <c r="C3213" s="2">
        <f>IFERROR(__xludf.DUMMYFUNCTION("""COMPUTED_VALUE"""),305.0)</f>
        <v>305</v>
      </c>
      <c r="D3213" s="3">
        <f>IFERROR(__xludf.DUMMYFUNCTION("""COMPUTED_VALUE"""),264.0)</f>
        <v>264</v>
      </c>
      <c r="E3213" s="1" t="str">
        <f t="array" ref="E3213">_xlfn.XLOOKUP(A3213,Product!A:A,Product!B:B,"Bulunamadı")</f>
        <v>Arts</v>
      </c>
      <c r="F3213" s="1" t="str">
        <f t="array" ref="F3213">_xlfn.XLOOKUP(A3213,Product!A:A,Product!C:C,"Bulunamadı")</f>
        <v>Commercial Law</v>
      </c>
      <c r="G3213" s="2" t="str">
        <f t="array" ref="G3213">_xlfn.XLOOKUP(A3214,Product!A:A,Product!D:D,"Bulunamadı")</f>
        <v>Riverlight Publishing</v>
      </c>
      <c r="H3213" s="2">
        <f t="array" ref="H3213">_xlfn.XLOOKUP(A3215,Product!A:A,Product!E:E,"Bulunamadı")</f>
        <v>2.08</v>
      </c>
      <c r="I3213" s="2" t="str">
        <f t="shared" si="1"/>
        <v>117675 - Arts - Commercial Law</v>
      </c>
      <c r="J3213" s="2">
        <f t="shared" si="2"/>
        <v>549.12</v>
      </c>
      <c r="K3213" s="17">
        <f t="shared" si="3"/>
        <v>1</v>
      </c>
      <c r="L3213" s="18"/>
    </row>
    <row r="3214">
      <c r="A3214" s="2">
        <f>IFERROR(__xludf.DUMMYFUNCTION("""COMPUTED_VALUE"""),47051.0)</f>
        <v>47051</v>
      </c>
      <c r="B3214" s="2">
        <f>IFERROR(__xludf.DUMMYFUNCTION("""COMPUTED_VALUE"""),1.0)</f>
        <v>1</v>
      </c>
      <c r="C3214" s="2">
        <f>IFERROR(__xludf.DUMMYFUNCTION("""COMPUTED_VALUE"""),94.0)</f>
        <v>94</v>
      </c>
      <c r="D3214" s="3">
        <f>IFERROR(__xludf.DUMMYFUNCTION("""COMPUTED_VALUE"""),45.0)</f>
        <v>45</v>
      </c>
      <c r="E3214" s="1" t="str">
        <f t="array" ref="E3214">_xlfn.XLOOKUP(A3214,Product!A:A,Product!B:B,"Bulunamadı")</f>
        <v>Arts</v>
      </c>
      <c r="F3214" s="1" t="str">
        <f t="array" ref="F3214">_xlfn.XLOOKUP(A3214,Product!A:A,Product!C:C,"Bulunamadı")</f>
        <v>Commercial Law</v>
      </c>
      <c r="G3214" s="2" t="str">
        <f t="array" ref="G3214">_xlfn.XLOOKUP(A3215,Product!A:A,Product!D:D,"Bulunamadı")</f>
        <v>Riverlight Publishing</v>
      </c>
      <c r="H3214" s="2">
        <f t="array" ref="H3214">_xlfn.XLOOKUP(A3216,Product!A:A,Product!E:E,"Bulunamadı")</f>
        <v>1.75</v>
      </c>
      <c r="I3214" s="2" t="str">
        <f t="shared" si="1"/>
        <v>47051 - Arts - Commercial Law</v>
      </c>
      <c r="J3214" s="2">
        <f t="shared" si="2"/>
        <v>78.75</v>
      </c>
      <c r="K3214" s="17">
        <f t="shared" si="3"/>
        <v>1</v>
      </c>
      <c r="L3214" s="18"/>
    </row>
    <row r="3215">
      <c r="A3215" s="2">
        <f>IFERROR(__xludf.DUMMYFUNCTION("""COMPUTED_VALUE"""),103171.0)</f>
        <v>103171</v>
      </c>
      <c r="B3215" s="2">
        <f>IFERROR(__xludf.DUMMYFUNCTION("""COMPUTED_VALUE"""),0.0)</f>
        <v>0</v>
      </c>
      <c r="C3215" s="2">
        <f>IFERROR(__xludf.DUMMYFUNCTION("""COMPUTED_VALUE"""),76.0)</f>
        <v>76</v>
      </c>
      <c r="D3215" s="3">
        <f>IFERROR(__xludf.DUMMYFUNCTION("""COMPUTED_VALUE"""),74.0)</f>
        <v>74</v>
      </c>
      <c r="E3215" s="1" t="str">
        <f t="array" ref="E3215">_xlfn.XLOOKUP(A3215,Product!A:A,Product!B:B,"Bulunamadı")</f>
        <v>Arts</v>
      </c>
      <c r="F3215" s="1" t="str">
        <f t="array" ref="F3215">_xlfn.XLOOKUP(A3215,Product!A:A,Product!C:C,"Bulunamadı")</f>
        <v>Commercial Law</v>
      </c>
      <c r="G3215" s="2" t="str">
        <f t="array" ref="G3215">_xlfn.XLOOKUP(A3216,Product!A:A,Product!D:D,"Bulunamadı")</f>
        <v>Riverlight Publishing</v>
      </c>
      <c r="H3215" s="2">
        <f t="array" ref="H3215">_xlfn.XLOOKUP(A3217,Product!A:A,Product!E:E,"Bulunamadı")</f>
        <v>1.81</v>
      </c>
      <c r="I3215" s="2" t="str">
        <f t="shared" si="1"/>
        <v>103171 - Arts - Commercial Law</v>
      </c>
      <c r="J3215" s="2">
        <f t="shared" si="2"/>
        <v>133.94</v>
      </c>
      <c r="K3215" s="17">
        <f t="shared" si="3"/>
        <v>1</v>
      </c>
      <c r="L3215" s="18"/>
    </row>
    <row r="3216">
      <c r="A3216" s="2">
        <f>IFERROR(__xludf.DUMMYFUNCTION("""COMPUTED_VALUE"""),47049.0)</f>
        <v>47049</v>
      </c>
      <c r="B3216" s="2">
        <f>IFERROR(__xludf.DUMMYFUNCTION("""COMPUTED_VALUE"""),1.0)</f>
        <v>1</v>
      </c>
      <c r="C3216" s="2">
        <f>IFERROR(__xludf.DUMMYFUNCTION("""COMPUTED_VALUE"""),360.0)</f>
        <v>360</v>
      </c>
      <c r="D3216" s="3">
        <f>IFERROR(__xludf.DUMMYFUNCTION("""COMPUTED_VALUE"""),54.0)</f>
        <v>54</v>
      </c>
      <c r="E3216" s="1" t="str">
        <f t="array" ref="E3216">_xlfn.XLOOKUP(A3216,Product!A:A,Product!B:B,"Bulunamadı")</f>
        <v>Arts</v>
      </c>
      <c r="F3216" s="1" t="str">
        <f t="array" ref="F3216">_xlfn.XLOOKUP(A3216,Product!A:A,Product!C:C,"Bulunamadı")</f>
        <v>Commercial Law</v>
      </c>
      <c r="G3216" s="2" t="str">
        <f t="array" ref="G3216">_xlfn.XLOOKUP(A3217,Product!A:A,Product!D:D,"Bulunamadı")</f>
        <v>Riverlight Publishing</v>
      </c>
      <c r="H3216" s="2">
        <f t="array" ref="H3216">_xlfn.XLOOKUP(A3218,Product!A:A,Product!E:E,"Bulunamadı")</f>
        <v>2.54</v>
      </c>
      <c r="I3216" s="2" t="str">
        <f t="shared" si="1"/>
        <v>47049 - Arts - Commercial Law</v>
      </c>
      <c r="J3216" s="2">
        <f t="shared" si="2"/>
        <v>137.16</v>
      </c>
      <c r="K3216" s="17">
        <f t="shared" si="3"/>
        <v>1</v>
      </c>
      <c r="L3216" s="18"/>
    </row>
    <row r="3217">
      <c r="A3217" s="2">
        <f>IFERROR(__xludf.DUMMYFUNCTION("""COMPUTED_VALUE"""),47351.0)</f>
        <v>47351</v>
      </c>
      <c r="B3217" s="2">
        <f>IFERROR(__xludf.DUMMYFUNCTION("""COMPUTED_VALUE"""),0.0)</f>
        <v>0</v>
      </c>
      <c r="C3217" s="2">
        <f>IFERROR(__xludf.DUMMYFUNCTION("""COMPUTED_VALUE"""),929.0)</f>
        <v>929</v>
      </c>
      <c r="D3217" s="3">
        <f>IFERROR(__xludf.DUMMYFUNCTION("""COMPUTED_VALUE"""),519.0)</f>
        <v>519</v>
      </c>
      <c r="E3217" s="1" t="str">
        <f t="array" ref="E3217">_xlfn.XLOOKUP(A3217,Product!A:A,Product!B:B,"Bulunamadı")</f>
        <v>Arts</v>
      </c>
      <c r="F3217" s="1" t="str">
        <f t="array" ref="F3217">_xlfn.XLOOKUP(A3217,Product!A:A,Product!C:C,"Bulunamadı")</f>
        <v>Commercial Law</v>
      </c>
      <c r="G3217" s="2" t="str">
        <f t="array" ref="G3217">_xlfn.XLOOKUP(A3218,Product!A:A,Product!D:D,"Bulunamadı")</f>
        <v>Riverlight Publishing</v>
      </c>
      <c r="H3217" s="2">
        <f t="array" ref="H3217">_xlfn.XLOOKUP(A3219,Product!A:A,Product!E:E,"Bulunamadı")</f>
        <v>2.44</v>
      </c>
      <c r="I3217" s="2" t="str">
        <f t="shared" si="1"/>
        <v>47351 - Arts - Commercial Law</v>
      </c>
      <c r="J3217" s="2">
        <f t="shared" si="2"/>
        <v>1266.36</v>
      </c>
      <c r="K3217" s="17">
        <f t="shared" si="3"/>
        <v>1</v>
      </c>
      <c r="L3217" s="18"/>
    </row>
    <row r="3218">
      <c r="A3218" s="2">
        <f>IFERROR(__xludf.DUMMYFUNCTION("""COMPUTED_VALUE"""),47575.0)</f>
        <v>47575</v>
      </c>
      <c r="B3218" s="2">
        <f>IFERROR(__xludf.DUMMYFUNCTION("""COMPUTED_VALUE"""),0.0)</f>
        <v>0</v>
      </c>
      <c r="C3218" s="2">
        <f>IFERROR(__xludf.DUMMYFUNCTION("""COMPUTED_VALUE"""),377.0)</f>
        <v>377</v>
      </c>
      <c r="D3218" s="3">
        <f>IFERROR(__xludf.DUMMYFUNCTION("""COMPUTED_VALUE"""),105.0)</f>
        <v>105</v>
      </c>
      <c r="E3218" s="1" t="str">
        <f t="array" ref="E3218">_xlfn.XLOOKUP(A3218,Product!A:A,Product!B:B,"Bulunamadı")</f>
        <v>Arts</v>
      </c>
      <c r="F3218" s="1" t="str">
        <f t="array" ref="F3218">_xlfn.XLOOKUP(A3218,Product!A:A,Product!C:C,"Bulunamadı")</f>
        <v>Commercial Law</v>
      </c>
      <c r="G3218" s="2" t="str">
        <f t="array" ref="G3218">_xlfn.XLOOKUP(A3219,Product!A:A,Product!D:D,"Bulunamadı")</f>
        <v>Riverlight Publishing</v>
      </c>
      <c r="H3218" s="2">
        <f t="array" ref="H3218">_xlfn.XLOOKUP(A3220,Product!A:A,Product!E:E,"Bulunamadı")</f>
        <v>2.09</v>
      </c>
      <c r="I3218" s="2" t="str">
        <f t="shared" si="1"/>
        <v>47575 - Arts - Commercial Law</v>
      </c>
      <c r="J3218" s="2">
        <f t="shared" si="2"/>
        <v>219.45</v>
      </c>
      <c r="K3218" s="17">
        <f t="shared" si="3"/>
        <v>1</v>
      </c>
      <c r="L3218" s="18"/>
    </row>
    <row r="3219">
      <c r="A3219" s="2">
        <f>IFERROR(__xludf.DUMMYFUNCTION("""COMPUTED_VALUE"""),80088.0)</f>
        <v>80088</v>
      </c>
      <c r="B3219" s="2">
        <f>IFERROR(__xludf.DUMMYFUNCTION("""COMPUTED_VALUE"""),1.0)</f>
        <v>1</v>
      </c>
      <c r="C3219" s="2">
        <f>IFERROR(__xludf.DUMMYFUNCTION("""COMPUTED_VALUE"""),332.0)</f>
        <v>332</v>
      </c>
      <c r="D3219" s="3">
        <f>IFERROR(__xludf.DUMMYFUNCTION("""COMPUTED_VALUE"""),24.0)</f>
        <v>24</v>
      </c>
      <c r="E3219" s="1" t="str">
        <f t="array" ref="E3219">_xlfn.XLOOKUP(A3219,Product!A:A,Product!B:B,"Bulunamadı")</f>
        <v>Arts</v>
      </c>
      <c r="F3219" s="1" t="str">
        <f t="array" ref="F3219">_xlfn.XLOOKUP(A3219,Product!A:A,Product!C:C,"Bulunamadı")</f>
        <v>Commercial Law</v>
      </c>
      <c r="G3219" s="2" t="str">
        <f t="array" ref="G3219">_xlfn.XLOOKUP(A3220,Product!A:A,Product!D:D,"Bulunamadı")</f>
        <v>Riverlight Publishing</v>
      </c>
      <c r="H3219" s="2">
        <f t="array" ref="H3219">_xlfn.XLOOKUP(A3221,Product!A:A,Product!E:E,"Bulunamadı")</f>
        <v>1.41</v>
      </c>
      <c r="I3219" s="2" t="str">
        <f t="shared" si="1"/>
        <v>80088 - Arts - Commercial Law</v>
      </c>
      <c r="J3219" s="2">
        <f t="shared" si="2"/>
        <v>33.84</v>
      </c>
      <c r="K3219" s="17">
        <f t="shared" si="3"/>
        <v>1</v>
      </c>
      <c r="L3219" s="18"/>
    </row>
    <row r="3220">
      <c r="A3220" s="2">
        <f>IFERROR(__xludf.DUMMYFUNCTION("""COMPUTED_VALUE"""),47298.0)</f>
        <v>47298</v>
      </c>
      <c r="B3220" s="2">
        <f>IFERROR(__xludf.DUMMYFUNCTION("""COMPUTED_VALUE"""),0.0)</f>
        <v>0</v>
      </c>
      <c r="C3220" s="2">
        <f>IFERROR(__xludf.DUMMYFUNCTION("""COMPUTED_VALUE"""),386.0)</f>
        <v>386</v>
      </c>
      <c r="D3220" s="3">
        <f>IFERROR(__xludf.DUMMYFUNCTION("""COMPUTED_VALUE"""),364.0)</f>
        <v>364</v>
      </c>
      <c r="E3220" s="1" t="str">
        <f t="array" ref="E3220">_xlfn.XLOOKUP(A3220,Product!A:A,Product!B:B,"Bulunamadı")</f>
        <v>Arts</v>
      </c>
      <c r="F3220" s="1" t="str">
        <f t="array" ref="F3220">_xlfn.XLOOKUP(A3220,Product!A:A,Product!C:C,"Bulunamadı")</f>
        <v>Commercial Law</v>
      </c>
      <c r="G3220" s="2" t="str">
        <f t="array" ref="G3220">_xlfn.XLOOKUP(A3221,Product!A:A,Product!D:D,"Bulunamadı")</f>
        <v>Riverlight Publishing</v>
      </c>
      <c r="H3220" s="2">
        <f t="array" ref="H3220">_xlfn.XLOOKUP(A3222,Product!A:A,Product!E:E,"Bulunamadı")</f>
        <v>1.83</v>
      </c>
      <c r="I3220" s="2" t="str">
        <f t="shared" si="1"/>
        <v>47298 - Arts - Commercial Law</v>
      </c>
      <c r="J3220" s="2">
        <f t="shared" si="2"/>
        <v>666.12</v>
      </c>
      <c r="K3220" s="17">
        <f t="shared" si="3"/>
        <v>1</v>
      </c>
      <c r="L3220" s="18"/>
    </row>
    <row r="3221">
      <c r="A3221" s="2">
        <f>IFERROR(__xludf.DUMMYFUNCTION("""COMPUTED_VALUE"""),100271.0)</f>
        <v>100271</v>
      </c>
      <c r="B3221" s="2">
        <f>IFERROR(__xludf.DUMMYFUNCTION("""COMPUTED_VALUE"""),0.0)</f>
        <v>0</v>
      </c>
      <c r="C3221" s="2">
        <f>IFERROR(__xludf.DUMMYFUNCTION("""COMPUTED_VALUE"""),556.0)</f>
        <v>556</v>
      </c>
      <c r="D3221" s="3">
        <f>IFERROR(__xludf.DUMMYFUNCTION("""COMPUTED_VALUE"""),177.0)</f>
        <v>177</v>
      </c>
      <c r="E3221" s="1" t="str">
        <f t="array" ref="E3221">_xlfn.XLOOKUP(A3221,Product!A:A,Product!B:B,"Bulunamadı")</f>
        <v>Arts</v>
      </c>
      <c r="F3221" s="1" t="str">
        <f t="array" ref="F3221">_xlfn.XLOOKUP(A3221,Product!A:A,Product!C:C,"Bulunamadı")</f>
        <v>Commercial Law</v>
      </c>
      <c r="G3221" s="2" t="str">
        <f t="array" ref="G3221">_xlfn.XLOOKUP(A3222,Product!A:A,Product!D:D,"Bulunamadı")</f>
        <v>Riverlight Publishing</v>
      </c>
      <c r="H3221" s="2">
        <f t="array" ref="H3221">_xlfn.XLOOKUP(A3223,Product!A:A,Product!E:E,"Bulunamadı")</f>
        <v>1.98</v>
      </c>
      <c r="I3221" s="2" t="str">
        <f t="shared" si="1"/>
        <v>100271 - Arts - Commercial Law</v>
      </c>
      <c r="J3221" s="2">
        <f t="shared" si="2"/>
        <v>350.46</v>
      </c>
      <c r="K3221" s="17">
        <f t="shared" si="3"/>
        <v>1</v>
      </c>
      <c r="L3221" s="18"/>
    </row>
    <row r="3222">
      <c r="A3222" s="2">
        <f>IFERROR(__xludf.DUMMYFUNCTION("""COMPUTED_VALUE"""),47621.0)</f>
        <v>47621</v>
      </c>
      <c r="B3222" s="2">
        <f>IFERROR(__xludf.DUMMYFUNCTION("""COMPUTED_VALUE"""),0.0)</f>
        <v>0</v>
      </c>
      <c r="C3222" s="2">
        <f>IFERROR(__xludf.DUMMYFUNCTION("""COMPUTED_VALUE"""),797.0)</f>
        <v>797</v>
      </c>
      <c r="D3222" s="3">
        <f>IFERROR(__xludf.DUMMYFUNCTION("""COMPUTED_VALUE"""),781.0)</f>
        <v>781</v>
      </c>
      <c r="E3222" s="1" t="str">
        <f t="array" ref="E3222">_xlfn.XLOOKUP(A3222,Product!A:A,Product!B:B,"Bulunamadı")</f>
        <v>Arts</v>
      </c>
      <c r="F3222" s="1" t="str">
        <f t="array" ref="F3222">_xlfn.XLOOKUP(A3222,Product!A:A,Product!C:C,"Bulunamadı")</f>
        <v>Commercial Law</v>
      </c>
      <c r="G3222" s="2" t="str">
        <f t="array" ref="G3222">_xlfn.XLOOKUP(A3223,Product!A:A,Product!D:D,"Bulunamadı")</f>
        <v>Riverlight Publishing</v>
      </c>
      <c r="H3222" s="2">
        <f t="array" ref="H3222">_xlfn.XLOOKUP(A3224,Product!A:A,Product!E:E,"Bulunamadı")</f>
        <v>1.95</v>
      </c>
      <c r="I3222" s="2" t="str">
        <f t="shared" si="1"/>
        <v>47621 - Arts - Commercial Law</v>
      </c>
      <c r="J3222" s="2">
        <f t="shared" si="2"/>
        <v>1522.95</v>
      </c>
      <c r="K3222" s="17">
        <f t="shared" si="3"/>
        <v>1</v>
      </c>
      <c r="L3222" s="18"/>
    </row>
    <row r="3223">
      <c r="A3223" s="2">
        <f>IFERROR(__xludf.DUMMYFUNCTION("""COMPUTED_VALUE"""),117609.0)</f>
        <v>117609</v>
      </c>
      <c r="B3223" s="2">
        <f>IFERROR(__xludf.DUMMYFUNCTION("""COMPUTED_VALUE"""),0.0)</f>
        <v>0</v>
      </c>
      <c r="C3223" s="2">
        <f>IFERROR(__xludf.DUMMYFUNCTION("""COMPUTED_VALUE"""),797.0)</f>
        <v>797</v>
      </c>
      <c r="D3223" s="3">
        <f>IFERROR(__xludf.DUMMYFUNCTION("""COMPUTED_VALUE"""),260.0)</f>
        <v>260</v>
      </c>
      <c r="E3223" s="1" t="str">
        <f t="array" ref="E3223">_xlfn.XLOOKUP(A3223,Product!A:A,Product!B:B,"Bulunamadı")</f>
        <v>Arts</v>
      </c>
      <c r="F3223" s="1" t="str">
        <f t="array" ref="F3223">_xlfn.XLOOKUP(A3223,Product!A:A,Product!C:C,"Bulunamadı")</f>
        <v>Commercial Law</v>
      </c>
      <c r="G3223" s="2" t="str">
        <f t="array" ref="G3223">_xlfn.XLOOKUP(A3224,Product!A:A,Product!D:D,"Bulunamadı")</f>
        <v>Riverlight Publishing</v>
      </c>
      <c r="H3223" s="2">
        <f t="array" ref="H3223">_xlfn.XLOOKUP(A3225,Product!A:A,Product!E:E,"Bulunamadı")</f>
        <v>1.74</v>
      </c>
      <c r="I3223" s="2" t="str">
        <f t="shared" si="1"/>
        <v>117609 - Arts - Commercial Law</v>
      </c>
      <c r="J3223" s="2">
        <f t="shared" si="2"/>
        <v>452.4</v>
      </c>
      <c r="K3223" s="17">
        <f t="shared" si="3"/>
        <v>1</v>
      </c>
      <c r="L3223" s="18"/>
    </row>
    <row r="3224">
      <c r="A3224" s="2">
        <f>IFERROR(__xludf.DUMMYFUNCTION("""COMPUTED_VALUE"""),103873.0)</f>
        <v>103873</v>
      </c>
      <c r="B3224" s="2">
        <f>IFERROR(__xludf.DUMMYFUNCTION("""COMPUTED_VALUE"""),1.0)</f>
        <v>1</v>
      </c>
      <c r="C3224" s="2">
        <f>IFERROR(__xludf.DUMMYFUNCTION("""COMPUTED_VALUE"""),498.0)</f>
        <v>498</v>
      </c>
      <c r="D3224" s="3">
        <f>IFERROR(__xludf.DUMMYFUNCTION("""COMPUTED_VALUE"""),153.0)</f>
        <v>153</v>
      </c>
      <c r="E3224" s="1" t="str">
        <f t="array" ref="E3224">_xlfn.XLOOKUP(A3224,Product!A:A,Product!B:B,"Bulunamadı")</f>
        <v>Arts</v>
      </c>
      <c r="F3224" s="1" t="str">
        <f t="array" ref="F3224">_xlfn.XLOOKUP(A3224,Product!A:A,Product!C:C,"Bulunamadı")</f>
        <v>Commercial Law</v>
      </c>
      <c r="G3224" s="2" t="str">
        <f t="array" ref="G3224">_xlfn.XLOOKUP(A3225,Product!A:A,Product!D:D,"Bulunamadı")</f>
        <v>Riverlight Publishing</v>
      </c>
      <c r="H3224" s="2">
        <f t="array" ref="H3224">_xlfn.XLOOKUP(A3226,Product!A:A,Product!E:E,"Bulunamadı")</f>
        <v>0.62</v>
      </c>
      <c r="I3224" s="2" t="str">
        <f t="shared" si="1"/>
        <v>103873 - Arts - Commercial Law</v>
      </c>
      <c r="J3224" s="2">
        <f t="shared" si="2"/>
        <v>94.86</v>
      </c>
      <c r="K3224" s="17">
        <f t="shared" si="3"/>
        <v>1</v>
      </c>
      <c r="L3224" s="18"/>
    </row>
    <row r="3225">
      <c r="A3225" s="2">
        <f>IFERROR(__xludf.DUMMYFUNCTION("""COMPUTED_VALUE"""),14026.0)</f>
        <v>14026</v>
      </c>
      <c r="B3225" s="2">
        <f>IFERROR(__xludf.DUMMYFUNCTION("""COMPUTED_VALUE"""),1.0)</f>
        <v>1</v>
      </c>
      <c r="C3225" s="2">
        <f>IFERROR(__xludf.DUMMYFUNCTION("""COMPUTED_VALUE"""),217.0)</f>
        <v>217</v>
      </c>
      <c r="D3225" s="3">
        <f>IFERROR(__xludf.DUMMYFUNCTION("""COMPUTED_VALUE"""),59.0)</f>
        <v>59</v>
      </c>
      <c r="E3225" s="1" t="str">
        <f t="array" ref="E3225">_xlfn.XLOOKUP(A3225,Product!A:A,Product!B:B,"Bulunamadı")</f>
        <v>Arts</v>
      </c>
      <c r="F3225" s="1" t="str">
        <f t="array" ref="F3225">_xlfn.XLOOKUP(A3225,Product!A:A,Product!C:C,"Bulunamadı")</f>
        <v>Commercial Law</v>
      </c>
      <c r="G3225" s="2" t="str">
        <f t="array" ref="G3225">_xlfn.XLOOKUP(A3226,Product!A:A,Product!D:D,"Bulunamadı")</f>
        <v>Riverlight Publishing</v>
      </c>
      <c r="H3225" s="2">
        <f t="array" ref="H3225">_xlfn.XLOOKUP(A3227,Product!A:A,Product!E:E,"Bulunamadı")</f>
        <v>1.35</v>
      </c>
      <c r="I3225" s="2" t="str">
        <f t="shared" si="1"/>
        <v>14026 - Arts - Commercial Law</v>
      </c>
      <c r="J3225" s="2">
        <f t="shared" si="2"/>
        <v>79.65</v>
      </c>
      <c r="K3225" s="17">
        <f t="shared" si="3"/>
        <v>1</v>
      </c>
      <c r="L3225" s="18"/>
    </row>
    <row r="3226">
      <c r="A3226" s="2">
        <f>IFERROR(__xludf.DUMMYFUNCTION("""COMPUTED_VALUE"""),95951.0)</f>
        <v>95951</v>
      </c>
      <c r="B3226" s="2">
        <f>IFERROR(__xludf.DUMMYFUNCTION("""COMPUTED_VALUE"""),0.0)</f>
        <v>0</v>
      </c>
      <c r="C3226" s="2">
        <f>IFERROR(__xludf.DUMMYFUNCTION("""COMPUTED_VALUE"""),66.0)</f>
        <v>66</v>
      </c>
      <c r="D3226" s="3">
        <f>IFERROR(__xludf.DUMMYFUNCTION("""COMPUTED_VALUE"""),59.0)</f>
        <v>59</v>
      </c>
      <c r="E3226" s="1" t="str">
        <f t="array" ref="E3226">_xlfn.XLOOKUP(A3226,Product!A:A,Product!B:B,"Bulunamadı")</f>
        <v>Arts</v>
      </c>
      <c r="F3226" s="1" t="str">
        <f t="array" ref="F3226">_xlfn.XLOOKUP(A3226,Product!A:A,Product!C:C,"Bulunamadı")</f>
        <v>Commercial Law</v>
      </c>
      <c r="G3226" s="2" t="str">
        <f t="array" ref="G3226">_xlfn.XLOOKUP(A3227,Product!A:A,Product!D:D,"Bulunamadı")</f>
        <v>Riverlight Publishing</v>
      </c>
      <c r="H3226" s="2">
        <f t="array" ref="H3226">_xlfn.XLOOKUP(A3228,Product!A:A,Product!E:E,"Bulunamadı")</f>
        <v>2.1</v>
      </c>
      <c r="I3226" s="2" t="str">
        <f t="shared" si="1"/>
        <v>95951 - Arts - Commercial Law</v>
      </c>
      <c r="J3226" s="2">
        <f t="shared" si="2"/>
        <v>123.9</v>
      </c>
      <c r="K3226" s="17">
        <f t="shared" si="3"/>
        <v>1</v>
      </c>
      <c r="L3226" s="18"/>
    </row>
    <row r="3227">
      <c r="A3227" s="2">
        <f>IFERROR(__xludf.DUMMYFUNCTION("""COMPUTED_VALUE"""),9162.0)</f>
        <v>9162</v>
      </c>
      <c r="B3227" s="2">
        <f>IFERROR(__xludf.DUMMYFUNCTION("""COMPUTED_VALUE"""),0.0)</f>
        <v>0</v>
      </c>
      <c r="C3227" s="2">
        <f>IFERROR(__xludf.DUMMYFUNCTION("""COMPUTED_VALUE"""),499.0)</f>
        <v>499</v>
      </c>
      <c r="D3227" s="3">
        <f>IFERROR(__xludf.DUMMYFUNCTION("""COMPUTED_VALUE"""),236.0)</f>
        <v>236</v>
      </c>
      <c r="E3227" s="1" t="str">
        <f t="array" ref="E3227">_xlfn.XLOOKUP(A3227,Product!A:A,Product!B:B,"Bulunamadı")</f>
        <v>Arts</v>
      </c>
      <c r="F3227" s="1" t="str">
        <f t="array" ref="F3227">_xlfn.XLOOKUP(A3227,Product!A:A,Product!C:C,"Bulunamadı")</f>
        <v>Commercial Law</v>
      </c>
      <c r="G3227" s="2" t="str">
        <f t="array" ref="G3227">_xlfn.XLOOKUP(A3228,Product!A:A,Product!D:D,"Bulunamadı")</f>
        <v>Riverlight Publishing</v>
      </c>
      <c r="H3227" s="2">
        <f t="array" ref="H3227">_xlfn.XLOOKUP(A3229,Product!A:A,Product!E:E,"Bulunamadı")</f>
        <v>1.41</v>
      </c>
      <c r="I3227" s="2" t="str">
        <f t="shared" si="1"/>
        <v>9162 - Arts - Commercial Law</v>
      </c>
      <c r="J3227" s="2">
        <f t="shared" si="2"/>
        <v>332.76</v>
      </c>
      <c r="K3227" s="17">
        <f t="shared" si="3"/>
        <v>1</v>
      </c>
      <c r="L3227" s="18"/>
    </row>
    <row r="3228">
      <c r="A3228" s="2">
        <f>IFERROR(__xludf.DUMMYFUNCTION("""COMPUTED_VALUE"""),80089.0)</f>
        <v>80089</v>
      </c>
      <c r="B3228" s="2">
        <f>IFERROR(__xludf.DUMMYFUNCTION("""COMPUTED_VALUE"""),0.0)</f>
        <v>0</v>
      </c>
      <c r="C3228" s="2">
        <f>IFERROR(__xludf.DUMMYFUNCTION("""COMPUTED_VALUE"""),876.0)</f>
        <v>876</v>
      </c>
      <c r="D3228" s="3">
        <f>IFERROR(__xludf.DUMMYFUNCTION("""COMPUTED_VALUE"""),607.0)</f>
        <v>607</v>
      </c>
      <c r="E3228" s="1" t="str">
        <f t="array" ref="E3228">_xlfn.XLOOKUP(A3228,Product!A:A,Product!B:B,"Bulunamadı")</f>
        <v>Arts</v>
      </c>
      <c r="F3228" s="1" t="str">
        <f t="array" ref="F3228">_xlfn.XLOOKUP(A3228,Product!A:A,Product!C:C,"Bulunamadı")</f>
        <v>Commercial Law</v>
      </c>
      <c r="G3228" s="2" t="str">
        <f t="array" ref="G3228">_xlfn.XLOOKUP(A3229,Product!A:A,Product!D:D,"Bulunamadı")</f>
        <v>Riverlight Publishing</v>
      </c>
      <c r="H3228" s="2">
        <f t="array" ref="H3228">_xlfn.XLOOKUP(A3230,Product!A:A,Product!E:E,"Bulunamadı")</f>
        <v>2.12</v>
      </c>
      <c r="I3228" s="2" t="str">
        <f t="shared" si="1"/>
        <v>80089 - Arts - Commercial Law</v>
      </c>
      <c r="J3228" s="2">
        <f t="shared" si="2"/>
        <v>1286.84</v>
      </c>
      <c r="K3228" s="17">
        <f t="shared" si="3"/>
        <v>1</v>
      </c>
      <c r="L3228" s="18"/>
    </row>
    <row r="3229">
      <c r="A3229" s="2">
        <f>IFERROR(__xludf.DUMMYFUNCTION("""COMPUTED_VALUE"""),122521.0)</f>
        <v>122521</v>
      </c>
      <c r="B3229" s="2">
        <f>IFERROR(__xludf.DUMMYFUNCTION("""COMPUTED_VALUE"""),1.0)</f>
        <v>1</v>
      </c>
      <c r="C3229" s="2">
        <f>IFERROR(__xludf.DUMMYFUNCTION("""COMPUTED_VALUE"""),905.0)</f>
        <v>905</v>
      </c>
      <c r="D3229" s="3">
        <f>IFERROR(__xludf.DUMMYFUNCTION("""COMPUTED_VALUE"""),782.0)</f>
        <v>782</v>
      </c>
      <c r="E3229" s="1" t="str">
        <f t="array" ref="E3229">_xlfn.XLOOKUP(A3229,Product!A:A,Product!B:B,"Bulunamadı")</f>
        <v>Arts</v>
      </c>
      <c r="F3229" s="1" t="str">
        <f t="array" ref="F3229">_xlfn.XLOOKUP(A3229,Product!A:A,Product!C:C,"Bulunamadı")</f>
        <v>Commercial Law</v>
      </c>
      <c r="G3229" s="2" t="str">
        <f t="array" ref="G3229">_xlfn.XLOOKUP(A3230,Product!A:A,Product!D:D,"Bulunamadı")</f>
        <v>Riverlight Publishing</v>
      </c>
      <c r="H3229" s="2">
        <f t="array" ref="H3229">_xlfn.XLOOKUP(A3231,Product!A:A,Product!E:E,"Bulunamadı")</f>
        <v>2.15</v>
      </c>
      <c r="I3229" s="2" t="str">
        <f t="shared" si="1"/>
        <v>122521 - Arts - Commercial Law</v>
      </c>
      <c r="J3229" s="2">
        <f t="shared" si="2"/>
        <v>1681.3</v>
      </c>
      <c r="K3229" s="17">
        <f t="shared" si="3"/>
        <v>1</v>
      </c>
      <c r="L3229" s="18"/>
    </row>
    <row r="3230">
      <c r="A3230" s="2">
        <f>IFERROR(__xludf.DUMMYFUNCTION("""COMPUTED_VALUE"""),69300.0)</f>
        <v>69300</v>
      </c>
      <c r="B3230" s="2">
        <f>IFERROR(__xludf.DUMMYFUNCTION("""COMPUTED_VALUE"""),1.0)</f>
        <v>1</v>
      </c>
      <c r="C3230" s="2">
        <f>IFERROR(__xludf.DUMMYFUNCTION("""COMPUTED_VALUE"""),335.0)</f>
        <v>335</v>
      </c>
      <c r="D3230" s="3">
        <f>IFERROR(__xludf.DUMMYFUNCTION("""COMPUTED_VALUE"""),193.0)</f>
        <v>193</v>
      </c>
      <c r="E3230" s="1" t="str">
        <f t="array" ref="E3230">_xlfn.XLOOKUP(A3230,Product!A:A,Product!B:B,"Bulunamadı")</f>
        <v>Arts</v>
      </c>
      <c r="F3230" s="1" t="str">
        <f t="array" ref="F3230">_xlfn.XLOOKUP(A3230,Product!A:A,Product!C:C,"Bulunamadı")</f>
        <v>Commercial Law</v>
      </c>
      <c r="G3230" s="2" t="str">
        <f t="array" ref="G3230">_xlfn.XLOOKUP(A3231,Product!A:A,Product!D:D,"Bulunamadı")</f>
        <v>Riverlight Publishing</v>
      </c>
      <c r="H3230" s="2">
        <f t="array" ref="H3230">_xlfn.XLOOKUP(A3232,Product!A:A,Product!E:E,"Bulunamadı")</f>
        <v>1.86</v>
      </c>
      <c r="I3230" s="2" t="str">
        <f t="shared" si="1"/>
        <v>69300 - Arts - Commercial Law</v>
      </c>
      <c r="J3230" s="2">
        <f t="shared" si="2"/>
        <v>358.98</v>
      </c>
      <c r="K3230" s="17">
        <f t="shared" si="3"/>
        <v>1</v>
      </c>
      <c r="L3230" s="18"/>
    </row>
    <row r="3231">
      <c r="A3231" s="2">
        <f>IFERROR(__xludf.DUMMYFUNCTION("""COMPUTED_VALUE"""),80417.0)</f>
        <v>80417</v>
      </c>
      <c r="B3231" s="2">
        <f>IFERROR(__xludf.DUMMYFUNCTION("""COMPUTED_VALUE"""),0.0)</f>
        <v>0</v>
      </c>
      <c r="C3231" s="2">
        <f>IFERROR(__xludf.DUMMYFUNCTION("""COMPUTED_VALUE"""),389.0)</f>
        <v>389</v>
      </c>
      <c r="D3231" s="3">
        <f>IFERROR(__xludf.DUMMYFUNCTION("""COMPUTED_VALUE"""),140.0)</f>
        <v>140</v>
      </c>
      <c r="E3231" s="1" t="str">
        <f t="array" ref="E3231">_xlfn.XLOOKUP(A3231,Product!A:A,Product!B:B,"Bulunamadı")</f>
        <v>Arts</v>
      </c>
      <c r="F3231" s="1" t="str">
        <f t="array" ref="F3231">_xlfn.XLOOKUP(A3231,Product!A:A,Product!C:C,"Bulunamadı")</f>
        <v>Commercial Law</v>
      </c>
      <c r="G3231" s="2" t="str">
        <f t="array" ref="G3231">_xlfn.XLOOKUP(A3232,Product!A:A,Product!D:D,"Bulunamadı")</f>
        <v>Riverlight Publishing</v>
      </c>
      <c r="H3231" s="2">
        <f t="array" ref="H3231">_xlfn.XLOOKUP(A3233,Product!A:A,Product!E:E,"Bulunamadı")</f>
        <v>1.18</v>
      </c>
      <c r="I3231" s="2" t="str">
        <f t="shared" si="1"/>
        <v>80417 - Arts - Commercial Law</v>
      </c>
      <c r="J3231" s="2">
        <f t="shared" si="2"/>
        <v>165.2</v>
      </c>
      <c r="K3231" s="17">
        <f t="shared" si="3"/>
        <v>1</v>
      </c>
      <c r="L3231" s="18"/>
    </row>
    <row r="3232">
      <c r="A3232" s="2">
        <f>IFERROR(__xludf.DUMMYFUNCTION("""COMPUTED_VALUE"""),128323.0)</f>
        <v>128323</v>
      </c>
      <c r="B3232" s="2">
        <f>IFERROR(__xludf.DUMMYFUNCTION("""COMPUTED_VALUE"""),0.0)</f>
        <v>0</v>
      </c>
      <c r="C3232" s="2">
        <f>IFERROR(__xludf.DUMMYFUNCTION("""COMPUTED_VALUE"""),849.0)</f>
        <v>849</v>
      </c>
      <c r="D3232" s="3">
        <f>IFERROR(__xludf.DUMMYFUNCTION("""COMPUTED_VALUE"""),53.0)</f>
        <v>53</v>
      </c>
      <c r="E3232" s="1" t="str">
        <f t="array" ref="E3232">_xlfn.XLOOKUP(A3232,Product!A:A,Product!B:B,"Bulunamadı")</f>
        <v>Arts</v>
      </c>
      <c r="F3232" s="1" t="str">
        <f t="array" ref="F3232">_xlfn.XLOOKUP(A3232,Product!A:A,Product!C:C,"Bulunamadı")</f>
        <v>Commercial Law</v>
      </c>
      <c r="G3232" s="2" t="str">
        <f t="array" ref="G3232">_xlfn.XLOOKUP(A3233,Product!A:A,Product!D:D,"Bulunamadı")</f>
        <v>Riverlight Publishing</v>
      </c>
      <c r="H3232" s="2">
        <f t="array" ref="H3232">_xlfn.XLOOKUP(A3234,Product!A:A,Product!E:E,"Bulunamadı")</f>
        <v>1.56</v>
      </c>
      <c r="I3232" s="2" t="str">
        <f t="shared" si="1"/>
        <v>128323 - Arts - Commercial Law</v>
      </c>
      <c r="J3232" s="2">
        <f t="shared" si="2"/>
        <v>82.68</v>
      </c>
      <c r="K3232" s="17">
        <f t="shared" si="3"/>
        <v>1</v>
      </c>
      <c r="L3232" s="18"/>
    </row>
    <row r="3233">
      <c r="A3233" s="2">
        <f>IFERROR(__xludf.DUMMYFUNCTION("""COMPUTED_VALUE"""),80091.0)</f>
        <v>80091</v>
      </c>
      <c r="B3233" s="2">
        <f>IFERROR(__xludf.DUMMYFUNCTION("""COMPUTED_VALUE"""),1.0)</f>
        <v>1</v>
      </c>
      <c r="C3233" s="2">
        <f>IFERROR(__xludf.DUMMYFUNCTION("""COMPUTED_VALUE"""),351.0)</f>
        <v>351</v>
      </c>
      <c r="D3233" s="3">
        <f>IFERROR(__xludf.DUMMYFUNCTION("""COMPUTED_VALUE"""),172.0)</f>
        <v>172</v>
      </c>
      <c r="E3233" s="1" t="str">
        <f t="array" ref="E3233">_xlfn.XLOOKUP(A3233,Product!A:A,Product!B:B,"Bulunamadı")</f>
        <v>Arts</v>
      </c>
      <c r="F3233" s="1" t="str">
        <f t="array" ref="F3233">_xlfn.XLOOKUP(A3233,Product!A:A,Product!C:C,"Bulunamadı")</f>
        <v>Commercial Law</v>
      </c>
      <c r="G3233" s="2" t="str">
        <f t="array" ref="G3233">_xlfn.XLOOKUP(A3234,Product!A:A,Product!D:D,"Bulunamadı")</f>
        <v>Riverlight Publishing</v>
      </c>
      <c r="H3233" s="2">
        <f t="array" ref="H3233">_xlfn.XLOOKUP(A3235,Product!A:A,Product!E:E,"Bulunamadı")</f>
        <v>1.64</v>
      </c>
      <c r="I3233" s="2" t="str">
        <f t="shared" si="1"/>
        <v>80091 - Arts - Commercial Law</v>
      </c>
      <c r="J3233" s="2">
        <f t="shared" si="2"/>
        <v>282.08</v>
      </c>
      <c r="K3233" s="17">
        <f t="shared" si="3"/>
        <v>1</v>
      </c>
      <c r="L3233" s="18"/>
    </row>
    <row r="3234">
      <c r="A3234" s="2">
        <f>IFERROR(__xludf.DUMMYFUNCTION("""COMPUTED_VALUE"""),92927.0)</f>
        <v>92927</v>
      </c>
      <c r="B3234" s="2">
        <f>IFERROR(__xludf.DUMMYFUNCTION("""COMPUTED_VALUE"""),0.0)</f>
        <v>0</v>
      </c>
      <c r="C3234" s="2">
        <f>IFERROR(__xludf.DUMMYFUNCTION("""COMPUTED_VALUE"""),176.0)</f>
        <v>176</v>
      </c>
      <c r="D3234" s="3">
        <f>IFERROR(__xludf.DUMMYFUNCTION("""COMPUTED_VALUE"""),103.0)</f>
        <v>103</v>
      </c>
      <c r="E3234" s="1" t="str">
        <f t="array" ref="E3234">_xlfn.XLOOKUP(A3234,Product!A:A,Product!B:B,"Bulunamadı")</f>
        <v>Arts</v>
      </c>
      <c r="F3234" s="1" t="str">
        <f t="array" ref="F3234">_xlfn.XLOOKUP(A3234,Product!A:A,Product!C:C,"Bulunamadı")</f>
        <v>Commercial Law</v>
      </c>
      <c r="G3234" s="2" t="str">
        <f t="array" ref="G3234">_xlfn.XLOOKUP(A3235,Product!A:A,Product!D:D,"Bulunamadı")</f>
        <v>Riverlight Publishing</v>
      </c>
      <c r="H3234" s="2">
        <f t="array" ref="H3234">_xlfn.XLOOKUP(A3236,Product!A:A,Product!E:E,"Bulunamadı")</f>
        <v>1.72</v>
      </c>
      <c r="I3234" s="2" t="str">
        <f t="shared" si="1"/>
        <v>92927 - Arts - Commercial Law</v>
      </c>
      <c r="J3234" s="2">
        <f t="shared" si="2"/>
        <v>177.16</v>
      </c>
      <c r="K3234" s="17">
        <f t="shared" si="3"/>
        <v>1</v>
      </c>
      <c r="L3234" s="18"/>
    </row>
    <row r="3235">
      <c r="A3235" s="2">
        <f>IFERROR(__xludf.DUMMYFUNCTION("""COMPUTED_VALUE"""),9158.0)</f>
        <v>9158</v>
      </c>
      <c r="B3235" s="2">
        <f>IFERROR(__xludf.DUMMYFUNCTION("""COMPUTED_VALUE"""),1.0)</f>
        <v>1</v>
      </c>
      <c r="C3235" s="2">
        <f>IFERROR(__xludf.DUMMYFUNCTION("""COMPUTED_VALUE"""),555.0)</f>
        <v>555</v>
      </c>
      <c r="D3235" s="3">
        <f>IFERROR(__xludf.DUMMYFUNCTION("""COMPUTED_VALUE"""),183.0)</f>
        <v>183</v>
      </c>
      <c r="E3235" s="1" t="str">
        <f t="array" ref="E3235">_xlfn.XLOOKUP(A3235,Product!A:A,Product!B:B,"Bulunamadı")</f>
        <v>Arts</v>
      </c>
      <c r="F3235" s="1" t="str">
        <f t="array" ref="F3235">_xlfn.XLOOKUP(A3235,Product!A:A,Product!C:C,"Bulunamadı")</f>
        <v>Commercial Law</v>
      </c>
      <c r="G3235" s="2" t="str">
        <f t="array" ref="G3235">_xlfn.XLOOKUP(A3236,Product!A:A,Product!D:D,"Bulunamadı")</f>
        <v>Riverlight Publishing</v>
      </c>
      <c r="H3235" s="2">
        <f t="array" ref="H3235">_xlfn.XLOOKUP(A3237,Product!A:A,Product!E:E,"Bulunamadı")</f>
        <v>1.2</v>
      </c>
      <c r="I3235" s="2" t="str">
        <f t="shared" si="1"/>
        <v>9158 - Arts - Commercial Law</v>
      </c>
      <c r="J3235" s="2">
        <f t="shared" si="2"/>
        <v>219.6</v>
      </c>
      <c r="K3235" s="17">
        <f t="shared" si="3"/>
        <v>1</v>
      </c>
      <c r="L3235" s="18"/>
    </row>
    <row r="3236">
      <c r="A3236" s="2">
        <f>IFERROR(__xludf.DUMMYFUNCTION("""COMPUTED_VALUE"""),103872.0)</f>
        <v>103872</v>
      </c>
      <c r="B3236" s="2">
        <f>IFERROR(__xludf.DUMMYFUNCTION("""COMPUTED_VALUE"""),1.0)</f>
        <v>1</v>
      </c>
      <c r="C3236" s="2">
        <f>IFERROR(__xludf.DUMMYFUNCTION("""COMPUTED_VALUE"""),876.0)</f>
        <v>876</v>
      </c>
      <c r="D3236" s="3">
        <f>IFERROR(__xludf.DUMMYFUNCTION("""COMPUTED_VALUE"""),702.0)</f>
        <v>702</v>
      </c>
      <c r="E3236" s="1" t="str">
        <f t="array" ref="E3236">_xlfn.XLOOKUP(A3236,Product!A:A,Product!B:B,"Bulunamadı")</f>
        <v>Arts</v>
      </c>
      <c r="F3236" s="1" t="str">
        <f t="array" ref="F3236">_xlfn.XLOOKUP(A3236,Product!A:A,Product!C:C,"Bulunamadı")</f>
        <v>Commercial Law</v>
      </c>
      <c r="G3236" s="2" t="str">
        <f t="array" ref="G3236">_xlfn.XLOOKUP(A3237,Product!A:A,Product!D:D,"Bulunamadı")</f>
        <v>Riverlight Publishing</v>
      </c>
      <c r="H3236" s="2">
        <f t="array" ref="H3236">_xlfn.XLOOKUP(A3238,Product!A:A,Product!E:E,"Bulunamadı")</f>
        <v>1.9</v>
      </c>
      <c r="I3236" s="2" t="str">
        <f t="shared" si="1"/>
        <v>103872 - Arts - Commercial Law</v>
      </c>
      <c r="J3236" s="2">
        <f t="shared" si="2"/>
        <v>1333.8</v>
      </c>
      <c r="K3236" s="17">
        <f t="shared" si="3"/>
        <v>1</v>
      </c>
      <c r="L3236" s="18"/>
    </row>
    <row r="3237">
      <c r="A3237" s="2">
        <f>IFERROR(__xludf.DUMMYFUNCTION("""COMPUTED_VALUE"""),116809.0)</f>
        <v>116809</v>
      </c>
      <c r="B3237" s="2">
        <f>IFERROR(__xludf.DUMMYFUNCTION("""COMPUTED_VALUE"""),0.0)</f>
        <v>0</v>
      </c>
      <c r="C3237" s="2">
        <f>IFERROR(__xludf.DUMMYFUNCTION("""COMPUTED_VALUE"""),73.0)</f>
        <v>73</v>
      </c>
      <c r="D3237" s="3">
        <f>IFERROR(__xludf.DUMMYFUNCTION("""COMPUTED_VALUE"""),32.0)</f>
        <v>32</v>
      </c>
      <c r="E3237" s="1" t="str">
        <f t="array" ref="E3237">_xlfn.XLOOKUP(A3237,Product!A:A,Product!B:B,"Bulunamadı")</f>
        <v>Arts</v>
      </c>
      <c r="F3237" s="1" t="str">
        <f t="array" ref="F3237">_xlfn.XLOOKUP(A3237,Product!A:A,Product!C:C,"Bulunamadı")</f>
        <v>Commercial Law</v>
      </c>
      <c r="G3237" s="2" t="str">
        <f t="array" ref="G3237">_xlfn.XLOOKUP(A3238,Product!A:A,Product!D:D,"Bulunamadı")</f>
        <v>Riverlight Publishing</v>
      </c>
      <c r="H3237" s="2">
        <f t="array" ref="H3237">_xlfn.XLOOKUP(A3239,Product!A:A,Product!E:E,"Bulunamadı")</f>
        <v>2.35</v>
      </c>
      <c r="I3237" s="2" t="str">
        <f t="shared" si="1"/>
        <v>116809 - Arts - Commercial Law</v>
      </c>
      <c r="J3237" s="2">
        <f t="shared" si="2"/>
        <v>75.2</v>
      </c>
      <c r="K3237" s="17">
        <f t="shared" si="3"/>
        <v>1</v>
      </c>
      <c r="L3237" s="18"/>
    </row>
    <row r="3238">
      <c r="A3238" s="2">
        <f>IFERROR(__xludf.DUMMYFUNCTION("""COMPUTED_VALUE"""),114655.0)</f>
        <v>114655</v>
      </c>
      <c r="B3238" s="2">
        <f>IFERROR(__xludf.DUMMYFUNCTION("""COMPUTED_VALUE"""),1.0)</f>
        <v>1</v>
      </c>
      <c r="C3238" s="2">
        <f>IFERROR(__xludf.DUMMYFUNCTION("""COMPUTED_VALUE"""),728.0)</f>
        <v>728</v>
      </c>
      <c r="D3238" s="3">
        <f>IFERROR(__xludf.DUMMYFUNCTION("""COMPUTED_VALUE"""),405.0)</f>
        <v>405</v>
      </c>
      <c r="E3238" s="1" t="str">
        <f t="array" ref="E3238">_xlfn.XLOOKUP(A3238,Product!A:A,Product!B:B,"Bulunamadı")</f>
        <v>Arts</v>
      </c>
      <c r="F3238" s="1" t="str">
        <f t="array" ref="F3238">_xlfn.XLOOKUP(A3238,Product!A:A,Product!C:C,"Bulunamadı")</f>
        <v>Commercial Law</v>
      </c>
      <c r="G3238" s="2" t="str">
        <f t="array" ref="G3238">_xlfn.XLOOKUP(A3239,Product!A:A,Product!D:D,"Bulunamadı")</f>
        <v>Riverlight Publishing</v>
      </c>
      <c r="H3238" s="2">
        <f t="array" ref="H3238">_xlfn.XLOOKUP(A3240,Product!A:A,Product!E:E,"Bulunamadı")</f>
        <v>1.85</v>
      </c>
      <c r="I3238" s="2" t="str">
        <f t="shared" si="1"/>
        <v>114655 - Arts - Commercial Law</v>
      </c>
      <c r="J3238" s="2">
        <f t="shared" si="2"/>
        <v>749.25</v>
      </c>
      <c r="K3238" s="17">
        <f t="shared" si="3"/>
        <v>1</v>
      </c>
      <c r="L3238" s="18"/>
    </row>
    <row r="3239">
      <c r="A3239" s="2">
        <f>IFERROR(__xludf.DUMMYFUNCTION("""COMPUTED_VALUE"""),80228.0)</f>
        <v>80228</v>
      </c>
      <c r="B3239" s="2">
        <f>IFERROR(__xludf.DUMMYFUNCTION("""COMPUTED_VALUE"""),0.0)</f>
        <v>0</v>
      </c>
      <c r="C3239" s="2">
        <f>IFERROR(__xludf.DUMMYFUNCTION("""COMPUTED_VALUE"""),472.0)</f>
        <v>472</v>
      </c>
      <c r="D3239" s="3">
        <f>IFERROR(__xludf.DUMMYFUNCTION("""COMPUTED_VALUE"""),98.0)</f>
        <v>98</v>
      </c>
      <c r="E3239" s="1" t="str">
        <f t="array" ref="E3239">_xlfn.XLOOKUP(A3239,Product!A:A,Product!B:B,"Bulunamadı")</f>
        <v>Arts</v>
      </c>
      <c r="F3239" s="1" t="str">
        <f t="array" ref="F3239">_xlfn.XLOOKUP(A3239,Product!A:A,Product!C:C,"Bulunamadı")</f>
        <v>Commercial Law</v>
      </c>
      <c r="G3239" s="2" t="str">
        <f t="array" ref="G3239">_xlfn.XLOOKUP(A3240,Product!A:A,Product!D:D,"Bulunamadı")</f>
        <v>Riverlight Publishing</v>
      </c>
      <c r="H3239" s="2">
        <f t="array" ref="H3239">_xlfn.XLOOKUP(A3241,Product!A:A,Product!E:E,"Bulunamadı")</f>
        <v>2.73</v>
      </c>
      <c r="I3239" s="2" t="str">
        <f t="shared" si="1"/>
        <v>80228 - Arts - Commercial Law</v>
      </c>
      <c r="J3239" s="2">
        <f t="shared" si="2"/>
        <v>267.54</v>
      </c>
      <c r="K3239" s="17">
        <f t="shared" si="3"/>
        <v>1</v>
      </c>
      <c r="L3239" s="18"/>
    </row>
    <row r="3240">
      <c r="A3240" s="2">
        <f>IFERROR(__xludf.DUMMYFUNCTION("""COMPUTED_VALUE"""),47207.0)</f>
        <v>47207</v>
      </c>
      <c r="B3240" s="2">
        <f>IFERROR(__xludf.DUMMYFUNCTION("""COMPUTED_VALUE"""),0.0)</f>
        <v>0</v>
      </c>
      <c r="C3240" s="2">
        <f>IFERROR(__xludf.DUMMYFUNCTION("""COMPUTED_VALUE"""),743.0)</f>
        <v>743</v>
      </c>
      <c r="D3240" s="3">
        <f>IFERROR(__xludf.DUMMYFUNCTION("""COMPUTED_VALUE"""),653.0)</f>
        <v>653</v>
      </c>
      <c r="E3240" s="1" t="str">
        <f t="array" ref="E3240">_xlfn.XLOOKUP(A3240,Product!A:A,Product!B:B,"Bulunamadı")</f>
        <v>Arts</v>
      </c>
      <c r="F3240" s="1" t="str">
        <f t="array" ref="F3240">_xlfn.XLOOKUP(A3240,Product!A:A,Product!C:C,"Bulunamadı")</f>
        <v>Commercial Law</v>
      </c>
      <c r="G3240" s="2" t="str">
        <f t="array" ref="G3240">_xlfn.XLOOKUP(A3241,Product!A:A,Product!D:D,"Bulunamadı")</f>
        <v>Ironlight Books</v>
      </c>
      <c r="H3240" s="2">
        <f t="array" ref="H3240">_xlfn.XLOOKUP(A3242,Product!A:A,Product!E:E,"Bulunamadı")</f>
        <v>2.82</v>
      </c>
      <c r="I3240" s="2" t="str">
        <f t="shared" si="1"/>
        <v>47207 - Arts - Commercial Law</v>
      </c>
      <c r="J3240" s="2">
        <f t="shared" si="2"/>
        <v>1841.46</v>
      </c>
      <c r="K3240" s="17">
        <f t="shared" si="3"/>
        <v>1</v>
      </c>
      <c r="L3240" s="18"/>
    </row>
    <row r="3241">
      <c r="A3241" s="2">
        <f>IFERROR(__xludf.DUMMYFUNCTION("""COMPUTED_VALUE"""),116402.0)</f>
        <v>116402</v>
      </c>
      <c r="B3241" s="2">
        <f>IFERROR(__xludf.DUMMYFUNCTION("""COMPUTED_VALUE"""),1.0)</f>
        <v>1</v>
      </c>
      <c r="C3241" s="2">
        <f>IFERROR(__xludf.DUMMYFUNCTION("""COMPUTED_VALUE"""),393.0)</f>
        <v>393</v>
      </c>
      <c r="D3241" s="3">
        <f>IFERROR(__xludf.DUMMYFUNCTION("""COMPUTED_VALUE"""),90.0)</f>
        <v>90</v>
      </c>
      <c r="E3241" s="1" t="str">
        <f t="array" ref="E3241">_xlfn.XLOOKUP(A3241,Product!A:A,Product!B:B,"Bulunamadı")</f>
        <v>Arts</v>
      </c>
      <c r="F3241" s="1" t="str">
        <f t="array" ref="F3241">_xlfn.XLOOKUP(A3241,Product!A:A,Product!C:C,"Bulunamadı")</f>
        <v>Commercial Law</v>
      </c>
      <c r="G3241" s="2" t="str">
        <f t="array" ref="G3241">_xlfn.XLOOKUP(A3242,Product!A:A,Product!D:D,"Bulunamadı")</f>
        <v>Ironlight Books</v>
      </c>
      <c r="H3241" s="2">
        <f t="array" ref="H3241">_xlfn.XLOOKUP(A3243,Product!A:A,Product!E:E,"Bulunamadı")</f>
        <v>3.38</v>
      </c>
      <c r="I3241" s="2" t="str">
        <f t="shared" si="1"/>
        <v>116402 - Arts - Commercial Law</v>
      </c>
      <c r="J3241" s="2">
        <f t="shared" si="2"/>
        <v>304.2</v>
      </c>
      <c r="K3241" s="17">
        <f t="shared" si="3"/>
        <v>1</v>
      </c>
      <c r="L3241" s="18"/>
    </row>
    <row r="3242">
      <c r="A3242" s="2">
        <f>IFERROR(__xludf.DUMMYFUNCTION("""COMPUTED_VALUE"""),116408.0)</f>
        <v>116408</v>
      </c>
      <c r="B3242" s="2">
        <f>IFERROR(__xludf.DUMMYFUNCTION("""COMPUTED_VALUE"""),0.0)</f>
        <v>0</v>
      </c>
      <c r="C3242" s="2">
        <f>IFERROR(__xludf.DUMMYFUNCTION("""COMPUTED_VALUE"""),66.0)</f>
        <v>66</v>
      </c>
      <c r="D3242" s="3">
        <f>IFERROR(__xludf.DUMMYFUNCTION("""COMPUTED_VALUE"""),6.0)</f>
        <v>6</v>
      </c>
      <c r="E3242" s="1" t="str">
        <f t="array" ref="E3242">_xlfn.XLOOKUP(A3242,Product!A:A,Product!B:B,"Bulunamadı")</f>
        <v>Arts</v>
      </c>
      <c r="F3242" s="1" t="str">
        <f t="array" ref="F3242">_xlfn.XLOOKUP(A3242,Product!A:A,Product!C:C,"Bulunamadı")</f>
        <v>Commercial Law</v>
      </c>
      <c r="G3242" s="2" t="str">
        <f t="array" ref="G3242">_xlfn.XLOOKUP(A3243,Product!A:A,Product!D:D,"Bulunamadı")</f>
        <v>Ironlight Books</v>
      </c>
      <c r="H3242" s="2">
        <f t="array" ref="H3242">_xlfn.XLOOKUP(A3244,Product!A:A,Product!E:E,"Bulunamadı")</f>
        <v>1.84</v>
      </c>
      <c r="I3242" s="2" t="str">
        <f t="shared" si="1"/>
        <v>116408 - Arts - Commercial Law</v>
      </c>
      <c r="J3242" s="2">
        <f t="shared" si="2"/>
        <v>11.04</v>
      </c>
      <c r="K3242" s="17">
        <f t="shared" si="3"/>
        <v>1</v>
      </c>
      <c r="L3242" s="18"/>
    </row>
    <row r="3243">
      <c r="A3243" s="2">
        <f>IFERROR(__xludf.DUMMYFUNCTION("""COMPUTED_VALUE"""),83592.0)</f>
        <v>83592</v>
      </c>
      <c r="B3243" s="2">
        <f>IFERROR(__xludf.DUMMYFUNCTION("""COMPUTED_VALUE"""),1.0)</f>
        <v>1</v>
      </c>
      <c r="C3243" s="2">
        <f>IFERROR(__xludf.DUMMYFUNCTION("""COMPUTED_VALUE"""),72.0)</f>
        <v>72</v>
      </c>
      <c r="D3243" s="3">
        <f>IFERROR(__xludf.DUMMYFUNCTION("""COMPUTED_VALUE"""),69.0)</f>
        <v>69</v>
      </c>
      <c r="E3243" s="1" t="str">
        <f t="array" ref="E3243">_xlfn.XLOOKUP(A3243,Product!A:A,Product!B:B,"Bulunamadı")</f>
        <v>Arts</v>
      </c>
      <c r="F3243" s="1" t="str">
        <f t="array" ref="F3243">_xlfn.XLOOKUP(A3243,Product!A:A,Product!C:C,"Bulunamadı")</f>
        <v>Commercial Law</v>
      </c>
      <c r="G3243" s="2" t="str">
        <f t="array" ref="G3243">_xlfn.XLOOKUP(A3244,Product!A:A,Product!D:D,"Bulunamadı")</f>
        <v>Ironlight Books</v>
      </c>
      <c r="H3243" s="2">
        <f t="array" ref="H3243">_xlfn.XLOOKUP(A3245,Product!A:A,Product!E:E,"Bulunamadı")</f>
        <v>3.17</v>
      </c>
      <c r="I3243" s="2" t="str">
        <f t="shared" si="1"/>
        <v>83592 - Arts - Commercial Law</v>
      </c>
      <c r="J3243" s="2">
        <f t="shared" si="2"/>
        <v>218.73</v>
      </c>
      <c r="K3243" s="17">
        <f t="shared" si="3"/>
        <v>1</v>
      </c>
      <c r="L3243" s="18"/>
    </row>
    <row r="3244">
      <c r="A3244" s="2">
        <f>IFERROR(__xludf.DUMMYFUNCTION("""COMPUTED_VALUE"""),122241.0)</f>
        <v>122241</v>
      </c>
      <c r="B3244" s="2">
        <f>IFERROR(__xludf.DUMMYFUNCTION("""COMPUTED_VALUE"""),1.0)</f>
        <v>1</v>
      </c>
      <c r="C3244" s="2">
        <f>IFERROR(__xludf.DUMMYFUNCTION("""COMPUTED_VALUE"""),761.0)</f>
        <v>761</v>
      </c>
      <c r="D3244" s="3">
        <f>IFERROR(__xludf.DUMMYFUNCTION("""COMPUTED_VALUE"""),521.0)</f>
        <v>521</v>
      </c>
      <c r="E3244" s="1" t="str">
        <f t="array" ref="E3244">_xlfn.XLOOKUP(A3244,Product!A:A,Product!B:B,"Bulunamadı")</f>
        <v>Arts</v>
      </c>
      <c r="F3244" s="1" t="str">
        <f t="array" ref="F3244">_xlfn.XLOOKUP(A3244,Product!A:A,Product!C:C,"Bulunamadı")</f>
        <v>Commercial Law</v>
      </c>
      <c r="G3244" s="2" t="str">
        <f t="array" ref="G3244">_xlfn.XLOOKUP(A3245,Product!A:A,Product!D:D,"Bulunamadı")</f>
        <v>Ironlight Books</v>
      </c>
      <c r="H3244" s="2">
        <f t="array" ref="H3244">_xlfn.XLOOKUP(A3246,Product!A:A,Product!E:E,"Bulunamadı")</f>
        <v>3.34</v>
      </c>
      <c r="I3244" s="2" t="str">
        <f t="shared" si="1"/>
        <v>122241 - Arts - Commercial Law</v>
      </c>
      <c r="J3244" s="2">
        <f t="shared" si="2"/>
        <v>1740.14</v>
      </c>
      <c r="K3244" s="17">
        <f t="shared" si="3"/>
        <v>1</v>
      </c>
      <c r="L3244" s="18"/>
    </row>
    <row r="3245">
      <c r="A3245" s="2">
        <f>IFERROR(__xludf.DUMMYFUNCTION("""COMPUTED_VALUE"""),112799.0)</f>
        <v>112799</v>
      </c>
      <c r="B3245" s="2">
        <f>IFERROR(__xludf.DUMMYFUNCTION("""COMPUTED_VALUE"""),0.0)</f>
        <v>0</v>
      </c>
      <c r="C3245" s="2">
        <f>IFERROR(__xludf.DUMMYFUNCTION("""COMPUTED_VALUE"""),473.0)</f>
        <v>473</v>
      </c>
      <c r="D3245" s="3">
        <f>IFERROR(__xludf.DUMMYFUNCTION("""COMPUTED_VALUE"""),431.0)</f>
        <v>431</v>
      </c>
      <c r="E3245" s="1" t="str">
        <f t="array" ref="E3245">_xlfn.XLOOKUP(A3245,Product!A:A,Product!B:B,"Bulunamadı")</f>
        <v>Arts</v>
      </c>
      <c r="F3245" s="1" t="str">
        <f t="array" ref="F3245">_xlfn.XLOOKUP(A3245,Product!A:A,Product!C:C,"Bulunamadı")</f>
        <v>Commercial Law</v>
      </c>
      <c r="G3245" s="2" t="str">
        <f t="array" ref="G3245">_xlfn.XLOOKUP(A3246,Product!A:A,Product!D:D,"Bulunamadı")</f>
        <v>Ironlight Books</v>
      </c>
      <c r="H3245" s="2">
        <f t="array" ref="H3245">_xlfn.XLOOKUP(A3247,Product!A:A,Product!E:E,"Bulunamadı")</f>
        <v>3.19</v>
      </c>
      <c r="I3245" s="2" t="str">
        <f t="shared" si="1"/>
        <v>112799 - Arts - Commercial Law</v>
      </c>
      <c r="J3245" s="2">
        <f t="shared" si="2"/>
        <v>1374.89</v>
      </c>
      <c r="K3245" s="17">
        <f t="shared" si="3"/>
        <v>1</v>
      </c>
      <c r="L3245" s="18"/>
    </row>
    <row r="3246">
      <c r="A3246" s="2">
        <f>IFERROR(__xludf.DUMMYFUNCTION("""COMPUTED_VALUE"""),122659.0)</f>
        <v>122659</v>
      </c>
      <c r="B3246" s="2">
        <f>IFERROR(__xludf.DUMMYFUNCTION("""COMPUTED_VALUE"""),1.0)</f>
        <v>1</v>
      </c>
      <c r="C3246" s="2">
        <f>IFERROR(__xludf.DUMMYFUNCTION("""COMPUTED_VALUE"""),230.0)</f>
        <v>230</v>
      </c>
      <c r="D3246" s="3">
        <f>IFERROR(__xludf.DUMMYFUNCTION("""COMPUTED_VALUE"""),102.0)</f>
        <v>102</v>
      </c>
      <c r="E3246" s="1" t="str">
        <f t="array" ref="E3246">_xlfn.XLOOKUP(A3246,Product!A:A,Product!B:B,"Bulunamadı")</f>
        <v>Arts</v>
      </c>
      <c r="F3246" s="1" t="str">
        <f t="array" ref="F3246">_xlfn.XLOOKUP(A3246,Product!A:A,Product!C:C,"Bulunamadı")</f>
        <v>Commercial Law</v>
      </c>
      <c r="G3246" s="2" t="str">
        <f t="array" ref="G3246">_xlfn.XLOOKUP(A3247,Product!A:A,Product!D:D,"Bulunamadı")</f>
        <v>Ironlight Books</v>
      </c>
      <c r="H3246" s="2">
        <f t="array" ref="H3246">_xlfn.XLOOKUP(A3248,Product!A:A,Product!E:E,"Bulunamadı")</f>
        <v>2.37</v>
      </c>
      <c r="I3246" s="2" t="str">
        <f t="shared" si="1"/>
        <v>122659 - Arts - Commercial Law</v>
      </c>
      <c r="J3246" s="2">
        <f t="shared" si="2"/>
        <v>241.74</v>
      </c>
      <c r="K3246" s="17">
        <f t="shared" si="3"/>
        <v>1</v>
      </c>
      <c r="L3246" s="18"/>
    </row>
    <row r="3247">
      <c r="A3247" s="2">
        <f>IFERROR(__xludf.DUMMYFUNCTION("""COMPUTED_VALUE"""),112797.0)</f>
        <v>112797</v>
      </c>
      <c r="B3247" s="2">
        <f>IFERROR(__xludf.DUMMYFUNCTION("""COMPUTED_VALUE"""),1.0)</f>
        <v>1</v>
      </c>
      <c r="C3247" s="2">
        <f>IFERROR(__xludf.DUMMYFUNCTION("""COMPUTED_VALUE"""),836.0)</f>
        <v>836</v>
      </c>
      <c r="D3247" s="3">
        <f>IFERROR(__xludf.DUMMYFUNCTION("""COMPUTED_VALUE"""),561.0)</f>
        <v>561</v>
      </c>
      <c r="E3247" s="1" t="str">
        <f t="array" ref="E3247">_xlfn.XLOOKUP(A3247,Product!A:A,Product!B:B,"Bulunamadı")</f>
        <v>Arts</v>
      </c>
      <c r="F3247" s="1" t="str">
        <f t="array" ref="F3247">_xlfn.XLOOKUP(A3247,Product!A:A,Product!C:C,"Bulunamadı")</f>
        <v>Commercial Law</v>
      </c>
      <c r="G3247" s="2" t="str">
        <f t="array" ref="G3247">_xlfn.XLOOKUP(A3248,Product!A:A,Product!D:D,"Bulunamadı")</f>
        <v>Ironlight Books</v>
      </c>
      <c r="H3247" s="2">
        <f t="array" ref="H3247">_xlfn.XLOOKUP(A3249,Product!A:A,Product!E:E,"Bulunamadı")</f>
        <v>1.09</v>
      </c>
      <c r="I3247" s="2" t="str">
        <f t="shared" si="1"/>
        <v>112797 - Arts - Commercial Law</v>
      </c>
      <c r="J3247" s="2">
        <f t="shared" si="2"/>
        <v>611.49</v>
      </c>
      <c r="K3247" s="17">
        <f t="shared" si="3"/>
        <v>1</v>
      </c>
      <c r="L3247" s="18"/>
    </row>
    <row r="3248">
      <c r="A3248" s="2">
        <f>IFERROR(__xludf.DUMMYFUNCTION("""COMPUTED_VALUE"""),122663.0)</f>
        <v>122663</v>
      </c>
      <c r="B3248" s="2">
        <f>IFERROR(__xludf.DUMMYFUNCTION("""COMPUTED_VALUE"""),0.0)</f>
        <v>0</v>
      </c>
      <c r="C3248" s="2">
        <f>IFERROR(__xludf.DUMMYFUNCTION("""COMPUTED_VALUE"""),561.0)</f>
        <v>561</v>
      </c>
      <c r="D3248" s="3">
        <f>IFERROR(__xludf.DUMMYFUNCTION("""COMPUTED_VALUE"""),374.0)</f>
        <v>374</v>
      </c>
      <c r="E3248" s="1" t="str">
        <f t="array" ref="E3248">_xlfn.XLOOKUP(A3248,Product!A:A,Product!B:B,"Bulunamadı")</f>
        <v>Arts</v>
      </c>
      <c r="F3248" s="1" t="str">
        <f t="array" ref="F3248">_xlfn.XLOOKUP(A3248,Product!A:A,Product!C:C,"Bulunamadı")</f>
        <v>Commercial Law</v>
      </c>
      <c r="G3248" s="2" t="str">
        <f t="array" ref="G3248">_xlfn.XLOOKUP(A3249,Product!A:A,Product!D:D,"Bulunamadı")</f>
        <v>Ironlight Books</v>
      </c>
      <c r="H3248" s="2">
        <f t="array" ref="H3248">_xlfn.XLOOKUP(A3250,Product!A:A,Product!E:E,"Bulunamadı")</f>
        <v>2.95</v>
      </c>
      <c r="I3248" s="2" t="str">
        <f t="shared" si="1"/>
        <v>122663 - Arts - Commercial Law</v>
      </c>
      <c r="J3248" s="2">
        <f t="shared" si="2"/>
        <v>1103.3</v>
      </c>
      <c r="K3248" s="17">
        <f t="shared" si="3"/>
        <v>1</v>
      </c>
      <c r="L3248" s="18"/>
    </row>
    <row r="3249">
      <c r="A3249" s="2">
        <f>IFERROR(__xludf.DUMMYFUNCTION("""COMPUTED_VALUE"""),112809.0)</f>
        <v>112809</v>
      </c>
      <c r="B3249" s="2">
        <f>IFERROR(__xludf.DUMMYFUNCTION("""COMPUTED_VALUE"""),1.0)</f>
        <v>1</v>
      </c>
      <c r="C3249" s="2">
        <f>IFERROR(__xludf.DUMMYFUNCTION("""COMPUTED_VALUE"""),35.0)</f>
        <v>35</v>
      </c>
      <c r="D3249" s="3">
        <f>IFERROR(__xludf.DUMMYFUNCTION("""COMPUTED_VALUE"""),22.0)</f>
        <v>22</v>
      </c>
      <c r="E3249" s="1" t="str">
        <f t="array" ref="E3249">_xlfn.XLOOKUP(A3249,Product!A:A,Product!B:B,"Bulunamadı")</f>
        <v>Arts</v>
      </c>
      <c r="F3249" s="1" t="str">
        <f t="array" ref="F3249">_xlfn.XLOOKUP(A3249,Product!A:A,Product!C:C,"Bulunamadı")</f>
        <v>Commercial Law</v>
      </c>
      <c r="G3249" s="2" t="str">
        <f t="array" ref="G3249">_xlfn.XLOOKUP(A3250,Product!A:A,Product!D:D,"Bulunamadı")</f>
        <v>Ironlight Books</v>
      </c>
      <c r="H3249" s="2">
        <f t="array" ref="H3249">_xlfn.XLOOKUP(A3251,Product!A:A,Product!E:E,"Bulunamadı")</f>
        <v>2.7</v>
      </c>
      <c r="I3249" s="2" t="str">
        <f t="shared" si="1"/>
        <v>112809 - Arts - Commercial Law</v>
      </c>
      <c r="J3249" s="2">
        <f t="shared" si="2"/>
        <v>59.4</v>
      </c>
      <c r="K3249" s="17">
        <f t="shared" si="3"/>
        <v>1</v>
      </c>
      <c r="L3249" s="18"/>
    </row>
    <row r="3250">
      <c r="A3250" s="2">
        <f>IFERROR(__xludf.DUMMYFUNCTION("""COMPUTED_VALUE"""),80220.0)</f>
        <v>80220</v>
      </c>
      <c r="B3250" s="2">
        <f>IFERROR(__xludf.DUMMYFUNCTION("""COMPUTED_VALUE"""),0.0)</f>
        <v>0</v>
      </c>
      <c r="C3250" s="2">
        <f>IFERROR(__xludf.DUMMYFUNCTION("""COMPUTED_VALUE"""),852.0)</f>
        <v>852</v>
      </c>
      <c r="D3250" s="3">
        <f>IFERROR(__xludf.DUMMYFUNCTION("""COMPUTED_VALUE"""),670.0)</f>
        <v>670</v>
      </c>
      <c r="E3250" s="1" t="str">
        <f t="array" ref="E3250">_xlfn.XLOOKUP(A3250,Product!A:A,Product!B:B,"Bulunamadı")</f>
        <v>Arts</v>
      </c>
      <c r="F3250" s="1" t="str">
        <f t="array" ref="F3250">_xlfn.XLOOKUP(A3250,Product!A:A,Product!C:C,"Bulunamadı")</f>
        <v>Commercial Law</v>
      </c>
      <c r="G3250" s="2" t="str">
        <f t="array" ref="G3250">_xlfn.XLOOKUP(A3251,Product!A:A,Product!D:D,"Bulunamadı")</f>
        <v>Ironlight Books</v>
      </c>
      <c r="H3250" s="2">
        <f t="array" ref="H3250">_xlfn.XLOOKUP(A3252,Product!A:A,Product!E:E,"Bulunamadı")</f>
        <v>2.31</v>
      </c>
      <c r="I3250" s="2" t="str">
        <f t="shared" si="1"/>
        <v>80220 - Arts - Commercial Law</v>
      </c>
      <c r="J3250" s="2">
        <f t="shared" si="2"/>
        <v>1547.7</v>
      </c>
      <c r="K3250" s="17">
        <f t="shared" si="3"/>
        <v>1</v>
      </c>
      <c r="L3250" s="18"/>
    </row>
    <row r="3251">
      <c r="A3251" s="2">
        <f>IFERROR(__xludf.DUMMYFUNCTION("""COMPUTED_VALUE"""),112732.0)</f>
        <v>112732</v>
      </c>
      <c r="B3251" s="2">
        <f>IFERROR(__xludf.DUMMYFUNCTION("""COMPUTED_VALUE"""),0.0)</f>
        <v>0</v>
      </c>
      <c r="C3251" s="2">
        <f>IFERROR(__xludf.DUMMYFUNCTION("""COMPUTED_VALUE"""),672.0)</f>
        <v>672</v>
      </c>
      <c r="D3251" s="3">
        <f>IFERROR(__xludf.DUMMYFUNCTION("""COMPUTED_VALUE"""),534.0)</f>
        <v>534</v>
      </c>
      <c r="E3251" s="1" t="str">
        <f t="array" ref="E3251">_xlfn.XLOOKUP(A3251,Product!A:A,Product!B:B,"Bulunamadı")</f>
        <v>Arts</v>
      </c>
      <c r="F3251" s="1" t="str">
        <f t="array" ref="F3251">_xlfn.XLOOKUP(A3251,Product!A:A,Product!C:C,"Bulunamadı")</f>
        <v>Commercial Law</v>
      </c>
      <c r="G3251" s="2" t="str">
        <f t="array" ref="G3251">_xlfn.XLOOKUP(A3252,Product!A:A,Product!D:D,"Bulunamadı")</f>
        <v>Ironlight Books</v>
      </c>
      <c r="H3251" s="2">
        <f t="array" ref="H3251">_xlfn.XLOOKUP(A3253,Product!A:A,Product!E:E,"Bulunamadı")</f>
        <v>2.64</v>
      </c>
      <c r="I3251" s="2" t="str">
        <f t="shared" si="1"/>
        <v>112732 - Arts - Commercial Law</v>
      </c>
      <c r="J3251" s="2">
        <f t="shared" si="2"/>
        <v>1409.76</v>
      </c>
      <c r="K3251" s="17">
        <f t="shared" si="3"/>
        <v>1</v>
      </c>
      <c r="L3251" s="18"/>
    </row>
    <row r="3252">
      <c r="A3252" s="2">
        <f>IFERROR(__xludf.DUMMYFUNCTION("""COMPUTED_VALUE"""),83354.0)</f>
        <v>83354</v>
      </c>
      <c r="B3252" s="2">
        <f>IFERROR(__xludf.DUMMYFUNCTION("""COMPUTED_VALUE"""),1.0)</f>
        <v>1</v>
      </c>
      <c r="C3252" s="2">
        <f>IFERROR(__xludf.DUMMYFUNCTION("""COMPUTED_VALUE"""),355.0)</f>
        <v>355</v>
      </c>
      <c r="D3252" s="3">
        <f>IFERROR(__xludf.DUMMYFUNCTION("""COMPUTED_VALUE"""),229.0)</f>
        <v>229</v>
      </c>
      <c r="E3252" s="1" t="str">
        <f t="array" ref="E3252">_xlfn.XLOOKUP(A3252,Product!A:A,Product!B:B,"Bulunamadı")</f>
        <v>Arts</v>
      </c>
      <c r="F3252" s="1" t="str">
        <f t="array" ref="F3252">_xlfn.XLOOKUP(A3252,Product!A:A,Product!C:C,"Bulunamadı")</f>
        <v>Commercial Law</v>
      </c>
      <c r="G3252" s="2" t="str">
        <f t="array" ref="G3252">_xlfn.XLOOKUP(A3253,Product!A:A,Product!D:D,"Bulunamadı")</f>
        <v>Ironlight Books</v>
      </c>
      <c r="H3252" s="2">
        <f t="array" ref="H3252">_xlfn.XLOOKUP(A3254,Product!A:A,Product!E:E,"Bulunamadı")</f>
        <v>1.71</v>
      </c>
      <c r="I3252" s="2" t="str">
        <f t="shared" si="1"/>
        <v>83354 - Arts - Commercial Law</v>
      </c>
      <c r="J3252" s="2">
        <f t="shared" si="2"/>
        <v>391.59</v>
      </c>
      <c r="K3252" s="17">
        <f t="shared" si="3"/>
        <v>1</v>
      </c>
      <c r="L3252" s="18"/>
    </row>
    <row r="3253">
      <c r="A3253" s="2">
        <f>IFERROR(__xludf.DUMMYFUNCTION("""COMPUTED_VALUE"""),116410.0)</f>
        <v>116410</v>
      </c>
      <c r="B3253" s="2">
        <f>IFERROR(__xludf.DUMMYFUNCTION("""COMPUTED_VALUE"""),0.0)</f>
        <v>0</v>
      </c>
      <c r="C3253" s="2">
        <f>IFERROR(__xludf.DUMMYFUNCTION("""COMPUTED_VALUE"""),101.0)</f>
        <v>101</v>
      </c>
      <c r="D3253" s="3">
        <f>IFERROR(__xludf.DUMMYFUNCTION("""COMPUTED_VALUE"""),93.0)</f>
        <v>93</v>
      </c>
      <c r="E3253" s="1" t="str">
        <f t="array" ref="E3253">_xlfn.XLOOKUP(A3253,Product!A:A,Product!B:B,"Bulunamadı")</f>
        <v>Arts</v>
      </c>
      <c r="F3253" s="1" t="str">
        <f t="array" ref="F3253">_xlfn.XLOOKUP(A3253,Product!A:A,Product!C:C,"Bulunamadı")</f>
        <v>Commercial Law</v>
      </c>
      <c r="G3253" s="2" t="str">
        <f t="array" ref="G3253">_xlfn.XLOOKUP(A3254,Product!A:A,Product!D:D,"Bulunamadı")</f>
        <v>Ironlight Books</v>
      </c>
      <c r="H3253" s="2">
        <f t="array" ref="H3253">_xlfn.XLOOKUP(A3255,Product!A:A,Product!E:E,"Bulunamadı")</f>
        <v>2.07</v>
      </c>
      <c r="I3253" s="2" t="str">
        <f t="shared" si="1"/>
        <v>116410 - Arts - Commercial Law</v>
      </c>
      <c r="J3253" s="2">
        <f t="shared" si="2"/>
        <v>192.51</v>
      </c>
      <c r="K3253" s="17">
        <f t="shared" si="3"/>
        <v>1</v>
      </c>
      <c r="L3253" s="18"/>
    </row>
    <row r="3254">
      <c r="A3254" s="2">
        <f>IFERROR(__xludf.DUMMYFUNCTION("""COMPUTED_VALUE"""),103841.0)</f>
        <v>103841</v>
      </c>
      <c r="B3254" s="2">
        <f>IFERROR(__xludf.DUMMYFUNCTION("""COMPUTED_VALUE"""),1.0)</f>
        <v>1</v>
      </c>
      <c r="C3254" s="2">
        <f>IFERROR(__xludf.DUMMYFUNCTION("""COMPUTED_VALUE"""),522.0)</f>
        <v>522</v>
      </c>
      <c r="D3254" s="3">
        <f>IFERROR(__xludf.DUMMYFUNCTION("""COMPUTED_VALUE"""),43.0)</f>
        <v>43</v>
      </c>
      <c r="E3254" s="1" t="str">
        <f t="array" ref="E3254">_xlfn.XLOOKUP(A3254,Product!A:A,Product!B:B,"Bulunamadı")</f>
        <v>Arts</v>
      </c>
      <c r="F3254" s="1" t="str">
        <f t="array" ref="F3254">_xlfn.XLOOKUP(A3254,Product!A:A,Product!C:C,"Bulunamadı")</f>
        <v>Commercial Law</v>
      </c>
      <c r="G3254" s="2" t="str">
        <f t="array" ref="G3254">_xlfn.XLOOKUP(A3255,Product!A:A,Product!D:D,"Bulunamadı")</f>
        <v>Ironlight Books</v>
      </c>
      <c r="H3254" s="2">
        <f t="array" ref="H3254">_xlfn.XLOOKUP(A3256,Product!A:A,Product!E:E,"Bulunamadı")</f>
        <v>3.01</v>
      </c>
      <c r="I3254" s="2" t="str">
        <f t="shared" si="1"/>
        <v>103841 - Arts - Commercial Law</v>
      </c>
      <c r="J3254" s="2">
        <f t="shared" si="2"/>
        <v>129.43</v>
      </c>
      <c r="K3254" s="17">
        <f t="shared" si="3"/>
        <v>1</v>
      </c>
      <c r="L3254" s="18"/>
    </row>
    <row r="3255">
      <c r="A3255" s="2">
        <f>IFERROR(__xludf.DUMMYFUNCTION("""COMPUTED_VALUE"""),116746.0)</f>
        <v>116746</v>
      </c>
      <c r="B3255" s="2">
        <f>IFERROR(__xludf.DUMMYFUNCTION("""COMPUTED_VALUE"""),1.0)</f>
        <v>1</v>
      </c>
      <c r="C3255" s="2">
        <f>IFERROR(__xludf.DUMMYFUNCTION("""COMPUTED_VALUE"""),753.0)</f>
        <v>753</v>
      </c>
      <c r="D3255" s="3">
        <f>IFERROR(__xludf.DUMMYFUNCTION("""COMPUTED_VALUE"""),458.0)</f>
        <v>458</v>
      </c>
      <c r="E3255" s="1" t="str">
        <f t="array" ref="E3255">_xlfn.XLOOKUP(A3255,Product!A:A,Product!B:B,"Bulunamadı")</f>
        <v>Arts</v>
      </c>
      <c r="F3255" s="1" t="str">
        <f t="array" ref="F3255">_xlfn.XLOOKUP(A3255,Product!A:A,Product!C:C,"Bulunamadı")</f>
        <v>Commercial Law</v>
      </c>
      <c r="G3255" s="2" t="str">
        <f t="array" ref="G3255">_xlfn.XLOOKUP(A3256,Product!A:A,Product!D:D,"Bulunamadı")</f>
        <v>Ironlight Books</v>
      </c>
      <c r="H3255" s="2">
        <f t="array" ref="H3255">_xlfn.XLOOKUP(A3257,Product!A:A,Product!E:E,"Bulunamadı")</f>
        <v>2.25</v>
      </c>
      <c r="I3255" s="2" t="str">
        <f t="shared" si="1"/>
        <v>116746 - Arts - Commercial Law</v>
      </c>
      <c r="J3255" s="2">
        <f t="shared" si="2"/>
        <v>1030.5</v>
      </c>
      <c r="K3255" s="17">
        <f t="shared" si="3"/>
        <v>1</v>
      </c>
      <c r="L3255" s="18"/>
    </row>
    <row r="3256">
      <c r="A3256" s="2">
        <f>IFERROR(__xludf.DUMMYFUNCTION("""COMPUTED_VALUE"""),116405.0)</f>
        <v>116405</v>
      </c>
      <c r="B3256" s="2">
        <f>IFERROR(__xludf.DUMMYFUNCTION("""COMPUTED_VALUE"""),0.0)</f>
        <v>0</v>
      </c>
      <c r="C3256" s="2">
        <f>IFERROR(__xludf.DUMMYFUNCTION("""COMPUTED_VALUE"""),497.0)</f>
        <v>497</v>
      </c>
      <c r="D3256" s="3">
        <f>IFERROR(__xludf.DUMMYFUNCTION("""COMPUTED_VALUE"""),166.0)</f>
        <v>166</v>
      </c>
      <c r="E3256" s="1" t="str">
        <f t="array" ref="E3256">_xlfn.XLOOKUP(A3256,Product!A:A,Product!B:B,"Bulunamadı")</f>
        <v>Arts</v>
      </c>
      <c r="F3256" s="1" t="str">
        <f t="array" ref="F3256">_xlfn.XLOOKUP(A3256,Product!A:A,Product!C:C,"Bulunamadı")</f>
        <v>Commercial Law</v>
      </c>
      <c r="G3256" s="2" t="str">
        <f t="array" ref="G3256">_xlfn.XLOOKUP(A3257,Product!A:A,Product!D:D,"Bulunamadı")</f>
        <v>Ironlight Books</v>
      </c>
      <c r="H3256" s="2">
        <f t="array" ref="H3256">_xlfn.XLOOKUP(A3258,Product!A:A,Product!E:E,"Bulunamadı")</f>
        <v>1.75</v>
      </c>
      <c r="I3256" s="2" t="str">
        <f t="shared" si="1"/>
        <v>116405 - Arts - Commercial Law</v>
      </c>
      <c r="J3256" s="2">
        <f t="shared" si="2"/>
        <v>290.5</v>
      </c>
      <c r="K3256" s="17">
        <f t="shared" si="3"/>
        <v>1</v>
      </c>
      <c r="L3256" s="18"/>
    </row>
    <row r="3257">
      <c r="A3257" s="2">
        <f>IFERROR(__xludf.DUMMYFUNCTION("""COMPUTED_VALUE"""),112810.0)</f>
        <v>112810</v>
      </c>
      <c r="B3257" s="2">
        <f>IFERROR(__xludf.DUMMYFUNCTION("""COMPUTED_VALUE"""),1.0)</f>
        <v>1</v>
      </c>
      <c r="C3257" s="2">
        <f>IFERROR(__xludf.DUMMYFUNCTION("""COMPUTED_VALUE"""),905.0)</f>
        <v>905</v>
      </c>
      <c r="D3257" s="3">
        <f>IFERROR(__xludf.DUMMYFUNCTION("""COMPUTED_VALUE"""),460.0)</f>
        <v>460</v>
      </c>
      <c r="E3257" s="1" t="str">
        <f t="array" ref="E3257">_xlfn.XLOOKUP(A3257,Product!A:A,Product!B:B,"Bulunamadı")</f>
        <v>Arts</v>
      </c>
      <c r="F3257" s="1" t="str">
        <f t="array" ref="F3257">_xlfn.XLOOKUP(A3257,Product!A:A,Product!C:C,"Bulunamadı")</f>
        <v>Commercial Law</v>
      </c>
      <c r="G3257" s="2" t="str">
        <f t="array" ref="G3257">_xlfn.XLOOKUP(A3258,Product!A:A,Product!D:D,"Bulunamadı")</f>
        <v>Silverwind Press</v>
      </c>
      <c r="H3257" s="2">
        <f t="array" ref="H3257">_xlfn.XLOOKUP(A3259,Product!A:A,Product!E:E,"Bulunamadı")</f>
        <v>2.07</v>
      </c>
      <c r="I3257" s="2" t="str">
        <f t="shared" si="1"/>
        <v>112810 - Arts - Commercial Law</v>
      </c>
      <c r="J3257" s="2">
        <f t="shared" si="2"/>
        <v>952.2</v>
      </c>
      <c r="K3257" s="17">
        <f t="shared" si="3"/>
        <v>1</v>
      </c>
      <c r="L3257" s="18"/>
    </row>
    <row r="3258">
      <c r="A3258" s="2">
        <f>IFERROR(__xludf.DUMMYFUNCTION("""COMPUTED_VALUE"""),47347.0)</f>
        <v>47347</v>
      </c>
      <c r="B3258" s="2">
        <f>IFERROR(__xludf.DUMMYFUNCTION("""COMPUTED_VALUE"""),1.0)</f>
        <v>1</v>
      </c>
      <c r="C3258" s="2">
        <f>IFERROR(__xludf.DUMMYFUNCTION("""COMPUTED_VALUE"""),369.0)</f>
        <v>369</v>
      </c>
      <c r="D3258" s="3">
        <f>IFERROR(__xludf.DUMMYFUNCTION("""COMPUTED_VALUE"""),317.0)</f>
        <v>317</v>
      </c>
      <c r="E3258" s="1" t="str">
        <f t="array" ref="E3258">_xlfn.XLOOKUP(A3258,Product!A:A,Product!B:B,"Bulunamadı")</f>
        <v>Arts</v>
      </c>
      <c r="F3258" s="1" t="str">
        <f t="array" ref="F3258">_xlfn.XLOOKUP(A3258,Product!A:A,Product!C:C,"Bulunamadı")</f>
        <v>Commercial Law</v>
      </c>
      <c r="G3258" s="2" t="str">
        <f t="array" ref="G3258">_xlfn.XLOOKUP(A3259,Product!A:A,Product!D:D,"Bulunamadı")</f>
        <v>Silverwind Press</v>
      </c>
      <c r="H3258" s="2">
        <f t="array" ref="H3258">_xlfn.XLOOKUP(A3260,Product!A:A,Product!E:E,"Bulunamadı")</f>
        <v>3.19</v>
      </c>
      <c r="I3258" s="2" t="str">
        <f t="shared" si="1"/>
        <v>47347 - Arts - Commercial Law</v>
      </c>
      <c r="J3258" s="2">
        <f t="shared" si="2"/>
        <v>1011.23</v>
      </c>
      <c r="K3258" s="17">
        <f t="shared" si="3"/>
        <v>1</v>
      </c>
      <c r="L3258" s="18"/>
    </row>
    <row r="3259">
      <c r="A3259" s="2">
        <f>IFERROR(__xludf.DUMMYFUNCTION("""COMPUTED_VALUE"""),101902.0)</f>
        <v>101902</v>
      </c>
      <c r="B3259" s="2">
        <f>IFERROR(__xludf.DUMMYFUNCTION("""COMPUTED_VALUE"""),0.0)</f>
        <v>0</v>
      </c>
      <c r="C3259" s="2">
        <f>IFERROR(__xludf.DUMMYFUNCTION("""COMPUTED_VALUE"""),425.0)</f>
        <v>425</v>
      </c>
      <c r="D3259" s="3">
        <f>IFERROR(__xludf.DUMMYFUNCTION("""COMPUTED_VALUE"""),120.0)</f>
        <v>120</v>
      </c>
      <c r="E3259" s="1" t="str">
        <f t="array" ref="E3259">_xlfn.XLOOKUP(A3259,Product!A:A,Product!B:B,"Bulunamadı")</f>
        <v>Arts</v>
      </c>
      <c r="F3259" s="1" t="str">
        <f t="array" ref="F3259">_xlfn.XLOOKUP(A3259,Product!A:A,Product!C:C,"Bulunamadı")</f>
        <v>Commercial Law</v>
      </c>
      <c r="G3259" s="2" t="str">
        <f t="array" ref="G3259">_xlfn.XLOOKUP(A3260,Product!A:A,Product!D:D,"Bulunamadı")</f>
        <v>Silverwind Press</v>
      </c>
      <c r="H3259" s="2">
        <f t="array" ref="H3259">_xlfn.XLOOKUP(A3261,Product!A:A,Product!E:E,"Bulunamadı")</f>
        <v>1.72</v>
      </c>
      <c r="I3259" s="2" t="str">
        <f t="shared" si="1"/>
        <v>101902 - Arts - Commercial Law</v>
      </c>
      <c r="J3259" s="2">
        <f t="shared" si="2"/>
        <v>206.4</v>
      </c>
      <c r="K3259" s="17">
        <f t="shared" si="3"/>
        <v>1</v>
      </c>
      <c r="L3259" s="18"/>
    </row>
    <row r="3260">
      <c r="A3260" s="2">
        <f>IFERROR(__xludf.DUMMYFUNCTION("""COMPUTED_VALUE"""),92926.0)</f>
        <v>92926</v>
      </c>
      <c r="B3260" s="2">
        <f>IFERROR(__xludf.DUMMYFUNCTION("""COMPUTED_VALUE"""),0.0)</f>
        <v>0</v>
      </c>
      <c r="C3260" s="2">
        <f>IFERROR(__xludf.DUMMYFUNCTION("""COMPUTED_VALUE"""),828.0)</f>
        <v>828</v>
      </c>
      <c r="D3260" s="3">
        <f>IFERROR(__xludf.DUMMYFUNCTION("""COMPUTED_VALUE"""),104.0)</f>
        <v>104</v>
      </c>
      <c r="E3260" s="1" t="str">
        <f t="array" ref="E3260">_xlfn.XLOOKUP(A3260,Product!A:A,Product!B:B,"Bulunamadı")</f>
        <v>Arts</v>
      </c>
      <c r="F3260" s="1" t="str">
        <f t="array" ref="F3260">_xlfn.XLOOKUP(A3260,Product!A:A,Product!C:C,"Bulunamadı")</f>
        <v>Commercial Law</v>
      </c>
      <c r="G3260" s="2" t="str">
        <f t="array" ref="G3260">_xlfn.XLOOKUP(A3261,Product!A:A,Product!D:D,"Bulunamadı")</f>
        <v>Silverwind Press</v>
      </c>
      <c r="H3260" s="2">
        <f t="array" ref="H3260">_xlfn.XLOOKUP(A3262,Product!A:A,Product!E:E,"Bulunamadı")</f>
        <v>2.61</v>
      </c>
      <c r="I3260" s="2" t="str">
        <f t="shared" si="1"/>
        <v>92926 - Arts - Commercial Law</v>
      </c>
      <c r="J3260" s="2">
        <f t="shared" si="2"/>
        <v>271.44</v>
      </c>
      <c r="K3260" s="17">
        <f t="shared" si="3"/>
        <v>1</v>
      </c>
      <c r="L3260" s="18"/>
    </row>
    <row r="3261">
      <c r="A3261" s="2">
        <f>IFERROR(__xludf.DUMMYFUNCTION("""COMPUTED_VALUE"""),47345.0)</f>
        <v>47345</v>
      </c>
      <c r="B3261" s="2">
        <f>IFERROR(__xludf.DUMMYFUNCTION("""COMPUTED_VALUE"""),0.0)</f>
        <v>0</v>
      </c>
      <c r="C3261" s="2">
        <f>IFERROR(__xludf.DUMMYFUNCTION("""COMPUTED_VALUE"""),292.0)</f>
        <v>292</v>
      </c>
      <c r="D3261" s="3">
        <f>IFERROR(__xludf.DUMMYFUNCTION("""COMPUTED_VALUE"""),262.0)</f>
        <v>262</v>
      </c>
      <c r="E3261" s="1" t="str">
        <f t="array" ref="E3261">_xlfn.XLOOKUP(A3261,Product!A:A,Product!B:B,"Bulunamadı")</f>
        <v>Arts</v>
      </c>
      <c r="F3261" s="1" t="str">
        <f t="array" ref="F3261">_xlfn.XLOOKUP(A3261,Product!A:A,Product!C:C,"Bulunamadı")</f>
        <v>Commercial Law</v>
      </c>
      <c r="G3261" s="2" t="str">
        <f t="array" ref="G3261">_xlfn.XLOOKUP(A3262,Product!A:A,Product!D:D,"Bulunamadı")</f>
        <v>Silverwind Press</v>
      </c>
      <c r="H3261" s="2">
        <f t="array" ref="H3261">_xlfn.XLOOKUP(A3263,Product!A:A,Product!E:E,"Bulunamadı")</f>
        <v>2.3</v>
      </c>
      <c r="I3261" s="2" t="str">
        <f t="shared" si="1"/>
        <v>47345 - Arts - Commercial Law</v>
      </c>
      <c r="J3261" s="2">
        <f t="shared" si="2"/>
        <v>602.6</v>
      </c>
      <c r="K3261" s="17">
        <f t="shared" si="3"/>
        <v>1</v>
      </c>
      <c r="L3261" s="18"/>
    </row>
    <row r="3262">
      <c r="A3262" s="2">
        <f>IFERROR(__xludf.DUMMYFUNCTION("""COMPUTED_VALUE"""),121611.0)</f>
        <v>121611</v>
      </c>
      <c r="B3262" s="2">
        <f>IFERROR(__xludf.DUMMYFUNCTION("""COMPUTED_VALUE"""),1.0)</f>
        <v>1</v>
      </c>
      <c r="C3262" s="2">
        <f>IFERROR(__xludf.DUMMYFUNCTION("""COMPUTED_VALUE"""),766.0)</f>
        <v>766</v>
      </c>
      <c r="D3262" s="3">
        <f>IFERROR(__xludf.DUMMYFUNCTION("""COMPUTED_VALUE"""),57.0)</f>
        <v>57</v>
      </c>
      <c r="E3262" s="1" t="str">
        <f t="array" ref="E3262">_xlfn.XLOOKUP(A3262,Product!A:A,Product!B:B,"Bulunamadı")</f>
        <v>Arts</v>
      </c>
      <c r="F3262" s="1" t="str">
        <f t="array" ref="F3262">_xlfn.XLOOKUP(A3262,Product!A:A,Product!C:C,"Bulunamadı")</f>
        <v>Commercial Law</v>
      </c>
      <c r="G3262" s="2" t="str">
        <f t="array" ref="G3262">_xlfn.XLOOKUP(A3263,Product!A:A,Product!D:D,"Bulunamadı")</f>
        <v>Silverwind Press</v>
      </c>
      <c r="H3262" s="2">
        <f t="array" ref="H3262">_xlfn.XLOOKUP(A3264,Product!A:A,Product!E:E,"Bulunamadı")</f>
        <v>2.89</v>
      </c>
      <c r="I3262" s="2" t="str">
        <f t="shared" si="1"/>
        <v>121611 - Arts - Commercial Law</v>
      </c>
      <c r="J3262" s="2">
        <f t="shared" si="2"/>
        <v>164.73</v>
      </c>
      <c r="K3262" s="17">
        <f t="shared" si="3"/>
        <v>1</v>
      </c>
      <c r="L3262" s="18"/>
    </row>
    <row r="3263">
      <c r="A3263" s="2">
        <f>IFERROR(__xludf.DUMMYFUNCTION("""COMPUTED_VALUE"""),73310.0)</f>
        <v>73310</v>
      </c>
      <c r="B3263" s="2">
        <f>IFERROR(__xludf.DUMMYFUNCTION("""COMPUTED_VALUE"""),1.0)</f>
        <v>1</v>
      </c>
      <c r="C3263" s="2">
        <f>IFERROR(__xludf.DUMMYFUNCTION("""COMPUTED_VALUE"""),186.0)</f>
        <v>186</v>
      </c>
      <c r="D3263" s="3">
        <f>IFERROR(__xludf.DUMMYFUNCTION("""COMPUTED_VALUE"""),63.0)</f>
        <v>63</v>
      </c>
      <c r="E3263" s="1" t="str">
        <f t="array" ref="E3263">_xlfn.XLOOKUP(A3263,Product!A:A,Product!B:B,"Bulunamadı")</f>
        <v>Arts</v>
      </c>
      <c r="F3263" s="1" t="str">
        <f t="array" ref="F3263">_xlfn.XLOOKUP(A3263,Product!A:A,Product!C:C,"Bulunamadı")</f>
        <v>Commercial Law</v>
      </c>
      <c r="G3263" s="2" t="str">
        <f t="array" ref="G3263">_xlfn.XLOOKUP(A3264,Product!A:A,Product!D:D,"Bulunamadı")</f>
        <v>Silverwind Press</v>
      </c>
      <c r="H3263" s="2">
        <f t="array" ref="H3263">_xlfn.XLOOKUP(A3265,Product!A:A,Product!E:E,"Bulunamadı")</f>
        <v>2.36</v>
      </c>
      <c r="I3263" s="2" t="str">
        <f t="shared" si="1"/>
        <v>73310 - Arts - Commercial Law</v>
      </c>
      <c r="J3263" s="2">
        <f t="shared" si="2"/>
        <v>148.68</v>
      </c>
      <c r="K3263" s="17">
        <f t="shared" si="3"/>
        <v>1</v>
      </c>
      <c r="L3263" s="18"/>
    </row>
    <row r="3264">
      <c r="A3264" s="2">
        <f>IFERROR(__xludf.DUMMYFUNCTION("""COMPUTED_VALUE"""),80102.0)</f>
        <v>80102</v>
      </c>
      <c r="B3264" s="2">
        <f>IFERROR(__xludf.DUMMYFUNCTION("""COMPUTED_VALUE"""),1.0)</f>
        <v>1</v>
      </c>
      <c r="C3264" s="2">
        <f>IFERROR(__xludf.DUMMYFUNCTION("""COMPUTED_VALUE"""),430.0)</f>
        <v>430</v>
      </c>
      <c r="D3264" s="3">
        <f>IFERROR(__xludf.DUMMYFUNCTION("""COMPUTED_VALUE"""),252.0)</f>
        <v>252</v>
      </c>
      <c r="E3264" s="1" t="str">
        <f t="array" ref="E3264">_xlfn.XLOOKUP(A3264,Product!A:A,Product!B:B,"Bulunamadı")</f>
        <v>Arts</v>
      </c>
      <c r="F3264" s="1" t="str">
        <f t="array" ref="F3264">_xlfn.XLOOKUP(A3264,Product!A:A,Product!C:C,"Bulunamadı")</f>
        <v>Commercial Law</v>
      </c>
      <c r="G3264" s="2" t="str">
        <f t="array" ref="G3264">_xlfn.XLOOKUP(A3265,Product!A:A,Product!D:D,"Bulunamadı")</f>
        <v>Silverwind Press</v>
      </c>
      <c r="H3264" s="2">
        <f t="array" ref="H3264">_xlfn.XLOOKUP(A3266,Product!A:A,Product!E:E,"Bulunamadı")</f>
        <v>4.32</v>
      </c>
      <c r="I3264" s="2" t="str">
        <f t="shared" si="1"/>
        <v>80102 - Arts - Commercial Law</v>
      </c>
      <c r="J3264" s="2">
        <f t="shared" si="2"/>
        <v>1088.64</v>
      </c>
      <c r="K3264" s="17">
        <f t="shared" si="3"/>
        <v>1</v>
      </c>
      <c r="L3264" s="18"/>
    </row>
    <row r="3265">
      <c r="A3265" s="2">
        <f>IFERROR(__xludf.DUMMYFUNCTION("""COMPUTED_VALUE"""),122773.0)</f>
        <v>122773</v>
      </c>
      <c r="B3265" s="2">
        <f>IFERROR(__xludf.DUMMYFUNCTION("""COMPUTED_VALUE"""),0.0)</f>
        <v>0</v>
      </c>
      <c r="C3265" s="2">
        <f>IFERROR(__xludf.DUMMYFUNCTION("""COMPUTED_VALUE"""),258.0)</f>
        <v>258</v>
      </c>
      <c r="D3265" s="3">
        <f>IFERROR(__xludf.DUMMYFUNCTION("""COMPUTED_VALUE"""),162.0)</f>
        <v>162</v>
      </c>
      <c r="E3265" s="1" t="str">
        <f t="array" ref="E3265">_xlfn.XLOOKUP(A3265,Product!A:A,Product!B:B,"Bulunamadı")</f>
        <v>Arts</v>
      </c>
      <c r="F3265" s="1" t="str">
        <f t="array" ref="F3265">_xlfn.XLOOKUP(A3265,Product!A:A,Product!C:C,"Bulunamadı")</f>
        <v>Commercial Law</v>
      </c>
      <c r="G3265" s="2" t="str">
        <f t="array" ref="G3265">_xlfn.XLOOKUP(A3266,Product!A:A,Product!D:D,"Bulunamadı")</f>
        <v>Silverwind Press</v>
      </c>
      <c r="H3265" s="2">
        <f t="array" ref="H3265">_xlfn.XLOOKUP(A3267,Product!A:A,Product!E:E,"Bulunamadı")</f>
        <v>1.83</v>
      </c>
      <c r="I3265" s="2" t="str">
        <f t="shared" si="1"/>
        <v>122773 - Arts - Commercial Law</v>
      </c>
      <c r="J3265" s="2">
        <f t="shared" si="2"/>
        <v>296.46</v>
      </c>
      <c r="K3265" s="17">
        <f t="shared" si="3"/>
        <v>1</v>
      </c>
      <c r="L3265" s="18"/>
    </row>
    <row r="3266">
      <c r="A3266" s="2">
        <f>IFERROR(__xludf.DUMMYFUNCTION("""COMPUTED_VALUE"""),119421.0)</f>
        <v>119421</v>
      </c>
      <c r="B3266" s="2">
        <f>IFERROR(__xludf.DUMMYFUNCTION("""COMPUTED_VALUE"""),1.0)</f>
        <v>1</v>
      </c>
      <c r="C3266" s="2">
        <f>IFERROR(__xludf.DUMMYFUNCTION("""COMPUTED_VALUE"""),492.0)</f>
        <v>492</v>
      </c>
      <c r="D3266" s="3">
        <f>IFERROR(__xludf.DUMMYFUNCTION("""COMPUTED_VALUE"""),313.0)</f>
        <v>313</v>
      </c>
      <c r="E3266" s="1" t="str">
        <f t="array" ref="E3266">_xlfn.XLOOKUP(A3266,Product!A:A,Product!B:B,"Bulunamadı")</f>
        <v>Arts</v>
      </c>
      <c r="F3266" s="1" t="str">
        <f t="array" ref="F3266">_xlfn.XLOOKUP(A3266,Product!A:A,Product!C:C,"Bulunamadı")</f>
        <v>Commercial Law</v>
      </c>
      <c r="G3266" s="2" t="str">
        <f t="array" ref="G3266">_xlfn.XLOOKUP(A3267,Product!A:A,Product!D:D,"Bulunamadı")</f>
        <v>Silverwind Press</v>
      </c>
      <c r="H3266" s="2">
        <f t="array" ref="H3266">_xlfn.XLOOKUP(A3268,Product!A:A,Product!E:E,"Bulunamadı")</f>
        <v>2.02</v>
      </c>
      <c r="I3266" s="2" t="str">
        <f t="shared" si="1"/>
        <v>119421 - Arts - Commercial Law</v>
      </c>
      <c r="J3266" s="2">
        <f t="shared" si="2"/>
        <v>632.26</v>
      </c>
      <c r="K3266" s="17">
        <f t="shared" si="3"/>
        <v>1</v>
      </c>
      <c r="L3266" s="18"/>
    </row>
    <row r="3267">
      <c r="A3267" s="2">
        <f>IFERROR(__xludf.DUMMYFUNCTION("""COMPUTED_VALUE"""),118276.0)</f>
        <v>118276</v>
      </c>
      <c r="B3267" s="2">
        <f>IFERROR(__xludf.DUMMYFUNCTION("""COMPUTED_VALUE"""),1.0)</f>
        <v>1</v>
      </c>
      <c r="C3267" s="2">
        <f>IFERROR(__xludf.DUMMYFUNCTION("""COMPUTED_VALUE"""),202.0)</f>
        <v>202</v>
      </c>
      <c r="D3267" s="3">
        <f>IFERROR(__xludf.DUMMYFUNCTION("""COMPUTED_VALUE"""),18.0)</f>
        <v>18</v>
      </c>
      <c r="E3267" s="1" t="str">
        <f t="array" ref="E3267">_xlfn.XLOOKUP(A3267,Product!A:A,Product!B:B,"Bulunamadı")</f>
        <v>Arts</v>
      </c>
      <c r="F3267" s="1" t="str">
        <f t="array" ref="F3267">_xlfn.XLOOKUP(A3267,Product!A:A,Product!C:C,"Bulunamadı")</f>
        <v>Commercial Law</v>
      </c>
      <c r="G3267" s="2" t="str">
        <f t="array" ref="G3267">_xlfn.XLOOKUP(A3268,Product!A:A,Product!D:D,"Bulunamadı")</f>
        <v>Silverwind Press</v>
      </c>
      <c r="H3267" s="2">
        <f t="array" ref="H3267">_xlfn.XLOOKUP(A3269,Product!A:A,Product!E:E,"Bulunamadı")</f>
        <v>2.48</v>
      </c>
      <c r="I3267" s="2" t="str">
        <f t="shared" si="1"/>
        <v>118276 - Arts - Commercial Law</v>
      </c>
      <c r="J3267" s="2">
        <f t="shared" si="2"/>
        <v>44.64</v>
      </c>
      <c r="K3267" s="17">
        <f t="shared" si="3"/>
        <v>1</v>
      </c>
      <c r="L3267" s="18"/>
    </row>
    <row r="3268">
      <c r="A3268" s="2">
        <f>IFERROR(__xludf.DUMMYFUNCTION("""COMPUTED_VALUE"""),47314.0)</f>
        <v>47314</v>
      </c>
      <c r="B3268" s="2">
        <f>IFERROR(__xludf.DUMMYFUNCTION("""COMPUTED_VALUE"""),0.0)</f>
        <v>0</v>
      </c>
      <c r="C3268" s="2">
        <f>IFERROR(__xludf.DUMMYFUNCTION("""COMPUTED_VALUE"""),629.0)</f>
        <v>629</v>
      </c>
      <c r="D3268" s="3">
        <f>IFERROR(__xludf.DUMMYFUNCTION("""COMPUTED_VALUE"""),345.0)</f>
        <v>345</v>
      </c>
      <c r="E3268" s="1" t="str">
        <f t="array" ref="E3268">_xlfn.XLOOKUP(A3268,Product!A:A,Product!B:B,"Bulunamadı")</f>
        <v>Arts</v>
      </c>
      <c r="F3268" s="1" t="str">
        <f t="array" ref="F3268">_xlfn.XLOOKUP(A3268,Product!A:A,Product!C:C,"Bulunamadı")</f>
        <v>Commercial Law</v>
      </c>
      <c r="G3268" s="2" t="str">
        <f t="array" ref="G3268">_xlfn.XLOOKUP(A3269,Product!A:A,Product!D:D,"Bulunamadı")</f>
        <v>Silverwind Press</v>
      </c>
      <c r="H3268" s="2">
        <f t="array" ref="H3268">_xlfn.XLOOKUP(A3270,Product!A:A,Product!E:E,"Bulunamadı")</f>
        <v>1.72</v>
      </c>
      <c r="I3268" s="2" t="str">
        <f t="shared" si="1"/>
        <v>47314 - Arts - Commercial Law</v>
      </c>
      <c r="J3268" s="2">
        <f t="shared" si="2"/>
        <v>593.4</v>
      </c>
      <c r="K3268" s="17">
        <f t="shared" si="3"/>
        <v>1</v>
      </c>
      <c r="L3268" s="18"/>
    </row>
    <row r="3269">
      <c r="A3269" s="2">
        <f>IFERROR(__xludf.DUMMYFUNCTION("""COMPUTED_VALUE"""),122771.0)</f>
        <v>122771</v>
      </c>
      <c r="B3269" s="2">
        <f>IFERROR(__xludf.DUMMYFUNCTION("""COMPUTED_VALUE"""),0.0)</f>
        <v>0</v>
      </c>
      <c r="C3269" s="2">
        <f>IFERROR(__xludf.DUMMYFUNCTION("""COMPUTED_VALUE"""),479.0)</f>
        <v>479</v>
      </c>
      <c r="D3269" s="3">
        <f>IFERROR(__xludf.DUMMYFUNCTION("""COMPUTED_VALUE"""),322.0)</f>
        <v>322</v>
      </c>
      <c r="E3269" s="1" t="str">
        <f t="array" ref="E3269">_xlfn.XLOOKUP(A3269,Product!A:A,Product!B:B,"Bulunamadı")</f>
        <v>Arts</v>
      </c>
      <c r="F3269" s="1" t="str">
        <f t="array" ref="F3269">_xlfn.XLOOKUP(A3269,Product!A:A,Product!C:C,"Bulunamadı")</f>
        <v>Commercial Law</v>
      </c>
      <c r="G3269" s="2" t="str">
        <f t="array" ref="G3269">_xlfn.XLOOKUP(A3270,Product!A:A,Product!D:D,"Bulunamadı")</f>
        <v>Northwind Publishing</v>
      </c>
      <c r="H3269" s="2">
        <f t="array" ref="H3269">_xlfn.XLOOKUP(A3271,Product!A:A,Product!E:E,"Bulunamadı")</f>
        <v>2.13</v>
      </c>
      <c r="I3269" s="2" t="str">
        <f t="shared" si="1"/>
        <v>122771 - Arts - Commercial Law</v>
      </c>
      <c r="J3269" s="2">
        <f t="shared" si="2"/>
        <v>685.86</v>
      </c>
      <c r="K3269" s="17">
        <f t="shared" si="3"/>
        <v>1</v>
      </c>
      <c r="L3269" s="18"/>
    </row>
    <row r="3270">
      <c r="A3270" s="2">
        <f>IFERROR(__xludf.DUMMYFUNCTION("""COMPUTED_VALUE"""),47380.0)</f>
        <v>47380</v>
      </c>
      <c r="B3270" s="2">
        <f>IFERROR(__xludf.DUMMYFUNCTION("""COMPUTED_VALUE"""),0.0)</f>
        <v>0</v>
      </c>
      <c r="C3270" s="2">
        <f>IFERROR(__xludf.DUMMYFUNCTION("""COMPUTED_VALUE"""),232.0)</f>
        <v>232</v>
      </c>
      <c r="D3270" s="3">
        <f>IFERROR(__xludf.DUMMYFUNCTION("""COMPUTED_VALUE"""),156.0)</f>
        <v>156</v>
      </c>
      <c r="E3270" s="1" t="str">
        <f t="array" ref="E3270">_xlfn.XLOOKUP(A3270,Product!A:A,Product!B:B,"Bulunamadı")</f>
        <v>Arts</v>
      </c>
      <c r="F3270" s="1" t="str">
        <f t="array" ref="F3270">_xlfn.XLOOKUP(A3270,Product!A:A,Product!C:C,"Bulunamadı")</f>
        <v>Commercial Law</v>
      </c>
      <c r="G3270" s="2" t="str">
        <f t="array" ref="G3270">_xlfn.XLOOKUP(A3271,Product!A:A,Product!D:D,"Bulunamadı")</f>
        <v>Northwind Publishing</v>
      </c>
      <c r="H3270" s="2">
        <f t="array" ref="H3270">_xlfn.XLOOKUP(A3272,Product!A:A,Product!E:E,"Bulunamadı")</f>
        <v>1.87</v>
      </c>
      <c r="I3270" s="2" t="str">
        <f t="shared" si="1"/>
        <v>47380 - Arts - Commercial Law</v>
      </c>
      <c r="J3270" s="2">
        <f t="shared" si="2"/>
        <v>291.72</v>
      </c>
      <c r="K3270" s="17">
        <f t="shared" si="3"/>
        <v>1</v>
      </c>
      <c r="L3270" s="18"/>
    </row>
    <row r="3271">
      <c r="A3271" s="2">
        <f>IFERROR(__xludf.DUMMYFUNCTION("""COMPUTED_VALUE"""),98329.0)</f>
        <v>98329</v>
      </c>
      <c r="B3271" s="2">
        <f>IFERROR(__xludf.DUMMYFUNCTION("""COMPUTED_VALUE"""),0.0)</f>
        <v>0</v>
      </c>
      <c r="C3271" s="2">
        <f>IFERROR(__xludf.DUMMYFUNCTION("""COMPUTED_VALUE"""),791.0)</f>
        <v>791</v>
      </c>
      <c r="D3271" s="3">
        <f>IFERROR(__xludf.DUMMYFUNCTION("""COMPUTED_VALUE"""),253.0)</f>
        <v>253</v>
      </c>
      <c r="E3271" s="1" t="str">
        <f t="array" ref="E3271">_xlfn.XLOOKUP(A3271,Product!A:A,Product!B:B,"Bulunamadı")</f>
        <v>Arts</v>
      </c>
      <c r="F3271" s="1" t="str">
        <f t="array" ref="F3271">_xlfn.XLOOKUP(A3271,Product!A:A,Product!C:C,"Bulunamadı")</f>
        <v>Commercial Law</v>
      </c>
      <c r="G3271" s="2" t="str">
        <f t="array" ref="G3271">_xlfn.XLOOKUP(A3272,Product!A:A,Product!D:D,"Bulunamadı")</f>
        <v>Northwind Publishing</v>
      </c>
      <c r="H3271" s="2">
        <f t="array" ref="H3271">_xlfn.XLOOKUP(A3273,Product!A:A,Product!E:E,"Bulunamadı")</f>
        <v>3.64</v>
      </c>
      <c r="I3271" s="2" t="str">
        <f t="shared" si="1"/>
        <v>98329 - Arts - Commercial Law</v>
      </c>
      <c r="J3271" s="2">
        <f t="shared" si="2"/>
        <v>920.92</v>
      </c>
      <c r="K3271" s="17">
        <f t="shared" si="3"/>
        <v>1</v>
      </c>
      <c r="L3271" s="18"/>
    </row>
    <row r="3272">
      <c r="A3272" s="2">
        <f>IFERROR(__xludf.DUMMYFUNCTION("""COMPUTED_VALUE"""),81485.0)</f>
        <v>81485</v>
      </c>
      <c r="B3272" s="2">
        <f>IFERROR(__xludf.DUMMYFUNCTION("""COMPUTED_VALUE"""),0.0)</f>
        <v>0</v>
      </c>
      <c r="C3272" s="2">
        <f>IFERROR(__xludf.DUMMYFUNCTION("""COMPUTED_VALUE"""),41.0)</f>
        <v>41</v>
      </c>
      <c r="D3272" s="3">
        <f>IFERROR(__xludf.DUMMYFUNCTION("""COMPUTED_VALUE"""),36.0)</f>
        <v>36</v>
      </c>
      <c r="E3272" s="1" t="str">
        <f t="array" ref="E3272">_xlfn.XLOOKUP(A3272,Product!A:A,Product!B:B,"Bulunamadı")</f>
        <v>Arts</v>
      </c>
      <c r="F3272" s="1" t="str">
        <f t="array" ref="F3272">_xlfn.XLOOKUP(A3272,Product!A:A,Product!C:C,"Bulunamadı")</f>
        <v>Commercial Law</v>
      </c>
      <c r="G3272" s="2" t="str">
        <f t="array" ref="G3272">_xlfn.XLOOKUP(A3273,Product!A:A,Product!D:D,"Bulunamadı")</f>
        <v>Northwind Publishing</v>
      </c>
      <c r="H3272" s="2">
        <f t="array" ref="H3272">_xlfn.XLOOKUP(A3274,Product!A:A,Product!E:E,"Bulunamadı")</f>
        <v>1.63</v>
      </c>
      <c r="I3272" s="2" t="str">
        <f t="shared" si="1"/>
        <v>81485 - Arts - Commercial Law</v>
      </c>
      <c r="J3272" s="2">
        <f t="shared" si="2"/>
        <v>58.68</v>
      </c>
      <c r="K3272" s="17">
        <f t="shared" si="3"/>
        <v>1</v>
      </c>
      <c r="L3272" s="18"/>
    </row>
    <row r="3273">
      <c r="A3273" s="2">
        <f>IFERROR(__xludf.DUMMYFUNCTION("""COMPUTED_VALUE"""),77847.0)</f>
        <v>77847</v>
      </c>
      <c r="B3273" s="2">
        <f>IFERROR(__xludf.DUMMYFUNCTION("""COMPUTED_VALUE"""),0.0)</f>
        <v>0</v>
      </c>
      <c r="C3273" s="2">
        <f>IFERROR(__xludf.DUMMYFUNCTION("""COMPUTED_VALUE"""),629.0)</f>
        <v>629</v>
      </c>
      <c r="D3273" s="3">
        <f>IFERROR(__xludf.DUMMYFUNCTION("""COMPUTED_VALUE"""),544.0)</f>
        <v>544</v>
      </c>
      <c r="E3273" s="1" t="str">
        <f t="array" ref="E3273">_xlfn.XLOOKUP(A3273,Product!A:A,Product!B:B,"Bulunamadı")</f>
        <v>Arts</v>
      </c>
      <c r="F3273" s="1" t="str">
        <f t="array" ref="F3273">_xlfn.XLOOKUP(A3273,Product!A:A,Product!C:C,"Bulunamadı")</f>
        <v>Commercial Law</v>
      </c>
      <c r="G3273" s="2" t="str">
        <f t="array" ref="G3273">_xlfn.XLOOKUP(A3274,Product!A:A,Product!D:D,"Bulunamadı")</f>
        <v>Northwind Publishing</v>
      </c>
      <c r="H3273" s="2">
        <f t="array" ref="H3273">_xlfn.XLOOKUP(A3275,Product!A:A,Product!E:E,"Bulunamadı")</f>
        <v>1.65</v>
      </c>
      <c r="I3273" s="2" t="str">
        <f t="shared" si="1"/>
        <v>77847 - Arts - Commercial Law</v>
      </c>
      <c r="J3273" s="2">
        <f t="shared" si="2"/>
        <v>897.6</v>
      </c>
      <c r="K3273" s="17">
        <f t="shared" si="3"/>
        <v>1</v>
      </c>
      <c r="L3273" s="18"/>
    </row>
    <row r="3274">
      <c r="A3274" s="2">
        <f>IFERROR(__xludf.DUMMYFUNCTION("""COMPUTED_VALUE"""),77290.0)</f>
        <v>77290</v>
      </c>
      <c r="B3274" s="2">
        <f>IFERROR(__xludf.DUMMYFUNCTION("""COMPUTED_VALUE"""),0.0)</f>
        <v>0</v>
      </c>
      <c r="C3274" s="2">
        <f>IFERROR(__xludf.DUMMYFUNCTION("""COMPUTED_VALUE"""),268.0)</f>
        <v>268</v>
      </c>
      <c r="D3274" s="3">
        <f>IFERROR(__xludf.DUMMYFUNCTION("""COMPUTED_VALUE"""),225.0)</f>
        <v>225</v>
      </c>
      <c r="E3274" s="1" t="str">
        <f t="array" ref="E3274">_xlfn.XLOOKUP(A3274,Product!A:A,Product!B:B,"Bulunamadı")</f>
        <v>Arts</v>
      </c>
      <c r="F3274" s="1" t="str">
        <f t="array" ref="F3274">_xlfn.XLOOKUP(A3274,Product!A:A,Product!C:C,"Bulunamadı")</f>
        <v>Commercial Law</v>
      </c>
      <c r="G3274" s="2" t="str">
        <f t="array" ref="G3274">_xlfn.XLOOKUP(A3275,Product!A:A,Product!D:D,"Bulunamadı")</f>
        <v>Northwind Publishing</v>
      </c>
      <c r="H3274" s="2">
        <f t="array" ref="H3274">_xlfn.XLOOKUP(A3276,Product!A:A,Product!E:E,"Bulunamadı")</f>
        <v>1.88</v>
      </c>
      <c r="I3274" s="2" t="str">
        <f t="shared" si="1"/>
        <v>77290 - Arts - Commercial Law</v>
      </c>
      <c r="J3274" s="2">
        <f t="shared" si="2"/>
        <v>423</v>
      </c>
      <c r="K3274" s="17">
        <f t="shared" si="3"/>
        <v>1</v>
      </c>
      <c r="L3274" s="18"/>
    </row>
    <row r="3275">
      <c r="A3275" s="2">
        <f>IFERROR(__xludf.DUMMYFUNCTION("""COMPUTED_VALUE"""),114656.0)</f>
        <v>114656</v>
      </c>
      <c r="B3275" s="2">
        <f>IFERROR(__xludf.DUMMYFUNCTION("""COMPUTED_VALUE"""),0.0)</f>
        <v>0</v>
      </c>
      <c r="C3275" s="2">
        <f>IFERROR(__xludf.DUMMYFUNCTION("""COMPUTED_VALUE"""),324.0)</f>
        <v>324</v>
      </c>
      <c r="D3275" s="3">
        <f>IFERROR(__xludf.DUMMYFUNCTION("""COMPUTED_VALUE"""),151.0)</f>
        <v>151</v>
      </c>
      <c r="E3275" s="1" t="str">
        <f t="array" ref="E3275">_xlfn.XLOOKUP(A3275,Product!A:A,Product!B:B,"Bulunamadı")</f>
        <v>Arts</v>
      </c>
      <c r="F3275" s="1" t="str">
        <f t="array" ref="F3275">_xlfn.XLOOKUP(A3275,Product!A:A,Product!C:C,"Bulunamadı")</f>
        <v>Commercial Law</v>
      </c>
      <c r="G3275" s="2" t="str">
        <f t="array" ref="G3275">_xlfn.XLOOKUP(A3276,Product!A:A,Product!D:D,"Bulunamadı")</f>
        <v>Northwind Publishing</v>
      </c>
      <c r="H3275" s="2">
        <f t="array" ref="H3275">_xlfn.XLOOKUP(A3277,Product!A:A,Product!E:E,"Bulunamadı")</f>
        <v>1.85</v>
      </c>
      <c r="I3275" s="2" t="str">
        <f t="shared" si="1"/>
        <v>114656 - Arts - Commercial Law</v>
      </c>
      <c r="J3275" s="2">
        <f t="shared" si="2"/>
        <v>279.35</v>
      </c>
      <c r="K3275" s="17">
        <f t="shared" si="3"/>
        <v>1</v>
      </c>
      <c r="L3275" s="18"/>
    </row>
    <row r="3276">
      <c r="A3276" s="2">
        <f>IFERROR(__xludf.DUMMYFUNCTION("""COMPUTED_VALUE"""),118486.0)</f>
        <v>118486</v>
      </c>
      <c r="B3276" s="2">
        <f>IFERROR(__xludf.DUMMYFUNCTION("""COMPUTED_VALUE"""),1.0)</f>
        <v>1</v>
      </c>
      <c r="C3276" s="2">
        <f>IFERROR(__xludf.DUMMYFUNCTION("""COMPUTED_VALUE"""),865.0)</f>
        <v>865</v>
      </c>
      <c r="D3276" s="3">
        <f>IFERROR(__xludf.DUMMYFUNCTION("""COMPUTED_VALUE"""),118.0)</f>
        <v>118</v>
      </c>
      <c r="E3276" s="1" t="str">
        <f t="array" ref="E3276">_xlfn.XLOOKUP(A3276,Product!A:A,Product!B:B,"Bulunamadı")</f>
        <v>Arts</v>
      </c>
      <c r="F3276" s="1" t="str">
        <f t="array" ref="F3276">_xlfn.XLOOKUP(A3276,Product!A:A,Product!C:C,"Bulunamadı")</f>
        <v>Commercial Law</v>
      </c>
      <c r="G3276" s="2" t="str">
        <f t="array" ref="G3276">_xlfn.XLOOKUP(A3277,Product!A:A,Product!D:D,"Bulunamadı")</f>
        <v>Northwind Publishing</v>
      </c>
      <c r="H3276" s="2">
        <f t="array" ref="H3276">_xlfn.XLOOKUP(A3278,Product!A:A,Product!E:E,"Bulunamadı")</f>
        <v>1.6</v>
      </c>
      <c r="I3276" s="2" t="str">
        <f t="shared" si="1"/>
        <v>118486 - Arts - Commercial Law</v>
      </c>
      <c r="J3276" s="2">
        <f t="shared" si="2"/>
        <v>188.8</v>
      </c>
      <c r="K3276" s="17">
        <f t="shared" si="3"/>
        <v>1</v>
      </c>
      <c r="L3276" s="18"/>
    </row>
    <row r="3277">
      <c r="A3277" s="2">
        <f>IFERROR(__xludf.DUMMYFUNCTION("""COMPUTED_VALUE"""),101889.0)</f>
        <v>101889</v>
      </c>
      <c r="B3277" s="2">
        <f>IFERROR(__xludf.DUMMYFUNCTION("""COMPUTED_VALUE"""),0.0)</f>
        <v>0</v>
      </c>
      <c r="C3277" s="2">
        <f>IFERROR(__xludf.DUMMYFUNCTION("""COMPUTED_VALUE"""),473.0)</f>
        <v>473</v>
      </c>
      <c r="D3277" s="3">
        <f>IFERROR(__xludf.DUMMYFUNCTION("""COMPUTED_VALUE"""),348.0)</f>
        <v>348</v>
      </c>
      <c r="E3277" s="1" t="str">
        <f t="array" ref="E3277">_xlfn.XLOOKUP(A3277,Product!A:A,Product!B:B,"Bulunamadı")</f>
        <v>Arts</v>
      </c>
      <c r="F3277" s="1" t="str">
        <f t="array" ref="F3277">_xlfn.XLOOKUP(A3277,Product!A:A,Product!C:C,"Bulunamadı")</f>
        <v>Commercial Law</v>
      </c>
      <c r="G3277" s="2" t="str">
        <f t="array" ref="G3277">_xlfn.XLOOKUP(A3278,Product!A:A,Product!D:D,"Bulunamadı")</f>
        <v>Northwind Publishing</v>
      </c>
      <c r="H3277" s="2">
        <f t="array" ref="H3277">_xlfn.XLOOKUP(A3279,Product!A:A,Product!E:E,"Bulunamadı")</f>
        <v>1.84</v>
      </c>
      <c r="I3277" s="2" t="str">
        <f t="shared" si="1"/>
        <v>101889 - Arts - Commercial Law</v>
      </c>
      <c r="J3277" s="2">
        <f t="shared" si="2"/>
        <v>640.32</v>
      </c>
      <c r="K3277" s="17">
        <f t="shared" si="3"/>
        <v>1</v>
      </c>
      <c r="L3277" s="18"/>
    </row>
    <row r="3278">
      <c r="A3278" s="2">
        <f>IFERROR(__xludf.DUMMYFUNCTION("""COMPUTED_VALUE"""),14030.0)</f>
        <v>14030</v>
      </c>
      <c r="B3278" s="2">
        <f>IFERROR(__xludf.DUMMYFUNCTION("""COMPUTED_VALUE"""),0.0)</f>
        <v>0</v>
      </c>
      <c r="C3278" s="2">
        <f>IFERROR(__xludf.DUMMYFUNCTION("""COMPUTED_VALUE"""),463.0)</f>
        <v>463</v>
      </c>
      <c r="D3278" s="3">
        <f>IFERROR(__xludf.DUMMYFUNCTION("""COMPUTED_VALUE"""),177.0)</f>
        <v>177</v>
      </c>
      <c r="E3278" s="1" t="str">
        <f t="array" ref="E3278">_xlfn.XLOOKUP(A3278,Product!A:A,Product!B:B,"Bulunamadı")</f>
        <v>Arts</v>
      </c>
      <c r="F3278" s="1" t="str">
        <f t="array" ref="F3278">_xlfn.XLOOKUP(A3278,Product!A:A,Product!C:C,"Bulunamadı")</f>
        <v>Commercial Law</v>
      </c>
      <c r="G3278" s="2" t="str">
        <f t="array" ref="G3278">_xlfn.XLOOKUP(A3279,Product!A:A,Product!D:D,"Bulunamadı")</f>
        <v>Northwind Publishing</v>
      </c>
      <c r="H3278" s="2">
        <f t="array" ref="H3278">_xlfn.XLOOKUP(A3280,Product!A:A,Product!E:E,"Bulunamadı")</f>
        <v>1.89</v>
      </c>
      <c r="I3278" s="2" t="str">
        <f t="shared" si="1"/>
        <v>14030 - Arts - Commercial Law</v>
      </c>
      <c r="J3278" s="2">
        <f t="shared" si="2"/>
        <v>334.53</v>
      </c>
      <c r="K3278" s="17">
        <f t="shared" si="3"/>
        <v>1</v>
      </c>
      <c r="L3278" s="18"/>
    </row>
    <row r="3279">
      <c r="A3279" s="2">
        <f>IFERROR(__xludf.DUMMYFUNCTION("""COMPUTED_VALUE"""),47381.0)</f>
        <v>47381</v>
      </c>
      <c r="B3279" s="2">
        <f>IFERROR(__xludf.DUMMYFUNCTION("""COMPUTED_VALUE"""),1.0)</f>
        <v>1</v>
      </c>
      <c r="C3279" s="2">
        <f>IFERROR(__xludf.DUMMYFUNCTION("""COMPUTED_VALUE"""),383.0)</f>
        <v>383</v>
      </c>
      <c r="D3279" s="3">
        <f>IFERROR(__xludf.DUMMYFUNCTION("""COMPUTED_VALUE"""),293.0)</f>
        <v>293</v>
      </c>
      <c r="E3279" s="1" t="str">
        <f t="array" ref="E3279">_xlfn.XLOOKUP(A3279,Product!A:A,Product!B:B,"Bulunamadı")</f>
        <v>Arts</v>
      </c>
      <c r="F3279" s="1" t="str">
        <f t="array" ref="F3279">_xlfn.XLOOKUP(A3279,Product!A:A,Product!C:C,"Bulunamadı")</f>
        <v>Commercial Law</v>
      </c>
      <c r="G3279" s="2" t="str">
        <f t="array" ref="G3279">_xlfn.XLOOKUP(A3280,Product!A:A,Product!D:D,"Bulunamadı")</f>
        <v>Northwind Publishing</v>
      </c>
      <c r="H3279" s="2">
        <f t="array" ref="H3279">_xlfn.XLOOKUP(A3281,Product!A:A,Product!E:E,"Bulunamadı")</f>
        <v>1.99</v>
      </c>
      <c r="I3279" s="2" t="str">
        <f t="shared" si="1"/>
        <v>47381 - Arts - Commercial Law</v>
      </c>
      <c r="J3279" s="2">
        <f t="shared" si="2"/>
        <v>583.07</v>
      </c>
      <c r="K3279" s="17">
        <f t="shared" si="3"/>
        <v>1</v>
      </c>
      <c r="L3279" s="18"/>
    </row>
    <row r="3280">
      <c r="A3280" s="2">
        <f>IFERROR(__xludf.DUMMYFUNCTION("""COMPUTED_VALUE"""),101888.0)</f>
        <v>101888</v>
      </c>
      <c r="B3280" s="2">
        <f>IFERROR(__xludf.DUMMYFUNCTION("""COMPUTED_VALUE"""),0.0)</f>
        <v>0</v>
      </c>
      <c r="C3280" s="2">
        <f>IFERROR(__xludf.DUMMYFUNCTION("""COMPUTED_VALUE"""),94.0)</f>
        <v>94</v>
      </c>
      <c r="D3280" s="3">
        <f>IFERROR(__xludf.DUMMYFUNCTION("""COMPUTED_VALUE"""),54.0)</f>
        <v>54</v>
      </c>
      <c r="E3280" s="1" t="str">
        <f t="array" ref="E3280">_xlfn.XLOOKUP(A3280,Product!A:A,Product!B:B,"Bulunamadı")</f>
        <v>Arts</v>
      </c>
      <c r="F3280" s="1" t="str">
        <f t="array" ref="F3280">_xlfn.XLOOKUP(A3280,Product!A:A,Product!C:C,"Bulunamadı")</f>
        <v>Commercial Law</v>
      </c>
      <c r="G3280" s="2" t="str">
        <f t="array" ref="G3280">_xlfn.XLOOKUP(A3281,Product!A:A,Product!D:D,"Bulunamadı")</f>
        <v>Northwind Publishing</v>
      </c>
      <c r="H3280" s="2">
        <f t="array" ref="H3280">_xlfn.XLOOKUP(A3282,Product!A:A,Product!E:E,"Bulunamadı")</f>
        <v>1.92</v>
      </c>
      <c r="I3280" s="2" t="str">
        <f t="shared" si="1"/>
        <v>101888 - Arts - Commercial Law</v>
      </c>
      <c r="J3280" s="2">
        <f t="shared" si="2"/>
        <v>103.68</v>
      </c>
      <c r="K3280" s="17">
        <f t="shared" si="3"/>
        <v>1</v>
      </c>
      <c r="L3280" s="18"/>
    </row>
    <row r="3281">
      <c r="A3281" s="2">
        <f>IFERROR(__xludf.DUMMYFUNCTION("""COMPUTED_VALUE"""),98328.0)</f>
        <v>98328</v>
      </c>
      <c r="B3281" s="2">
        <f>IFERROR(__xludf.DUMMYFUNCTION("""COMPUTED_VALUE"""),0.0)</f>
        <v>0</v>
      </c>
      <c r="C3281" s="2">
        <f>IFERROR(__xludf.DUMMYFUNCTION("""COMPUTED_VALUE"""),360.0)</f>
        <v>360</v>
      </c>
      <c r="D3281" s="3">
        <f>IFERROR(__xludf.DUMMYFUNCTION("""COMPUTED_VALUE"""),225.0)</f>
        <v>225</v>
      </c>
      <c r="E3281" s="1" t="str">
        <f t="array" ref="E3281">_xlfn.XLOOKUP(A3281,Product!A:A,Product!B:B,"Bulunamadı")</f>
        <v>Arts</v>
      </c>
      <c r="F3281" s="1" t="str">
        <f t="array" ref="F3281">_xlfn.XLOOKUP(A3281,Product!A:A,Product!C:C,"Bulunamadı")</f>
        <v>Commercial Law</v>
      </c>
      <c r="G3281" s="2" t="str">
        <f t="array" ref="G3281">_xlfn.XLOOKUP(A3282,Product!A:A,Product!D:D,"Bulunamadı")</f>
        <v>Harborwind Books</v>
      </c>
      <c r="H3281" s="2">
        <f t="array" ref="H3281">_xlfn.XLOOKUP(A3283,Product!A:A,Product!E:E,"Bulunamadı")</f>
        <v>1.94</v>
      </c>
      <c r="I3281" s="2" t="str">
        <f t="shared" si="1"/>
        <v>98328 - Arts - Commercial Law</v>
      </c>
      <c r="J3281" s="2">
        <f t="shared" si="2"/>
        <v>436.5</v>
      </c>
      <c r="K3281" s="17">
        <f t="shared" si="3"/>
        <v>1</v>
      </c>
      <c r="L3281" s="18"/>
    </row>
    <row r="3282">
      <c r="A3282" s="2">
        <f>IFERROR(__xludf.DUMMYFUNCTION("""COMPUTED_VALUE"""),79775.0)</f>
        <v>79775</v>
      </c>
      <c r="B3282" s="2">
        <f>IFERROR(__xludf.DUMMYFUNCTION("""COMPUTED_VALUE"""),0.0)</f>
        <v>0</v>
      </c>
      <c r="C3282" s="2">
        <f>IFERROR(__xludf.DUMMYFUNCTION("""COMPUTED_VALUE"""),902.0)</f>
        <v>902</v>
      </c>
      <c r="D3282" s="3">
        <f>IFERROR(__xludf.DUMMYFUNCTION("""COMPUTED_VALUE"""),581.0)</f>
        <v>581</v>
      </c>
      <c r="E3282" s="1" t="str">
        <f t="array" ref="E3282">_xlfn.XLOOKUP(A3282,Product!A:A,Product!B:B,"Bulunamadı")</f>
        <v>Arts</v>
      </c>
      <c r="F3282" s="1" t="str">
        <f t="array" ref="F3282">_xlfn.XLOOKUP(A3282,Product!A:A,Product!C:C,"Bulunamadı")</f>
        <v>Commercial Law</v>
      </c>
      <c r="G3282" s="2" t="str">
        <f t="array" ref="G3282">_xlfn.XLOOKUP(A3283,Product!A:A,Product!D:D,"Bulunamadı")</f>
        <v>Harborwind Books</v>
      </c>
      <c r="H3282" s="2">
        <f t="array" ref="H3282">_xlfn.XLOOKUP(A3284,Product!A:A,Product!E:E,"Bulunamadı")</f>
        <v>2.16</v>
      </c>
      <c r="I3282" s="2" t="str">
        <f t="shared" si="1"/>
        <v>79775 - Arts - Commercial Law</v>
      </c>
      <c r="J3282" s="2">
        <f t="shared" si="2"/>
        <v>1254.96</v>
      </c>
      <c r="K3282" s="17">
        <f t="shared" si="3"/>
        <v>1</v>
      </c>
      <c r="L3282" s="18"/>
    </row>
    <row r="3283">
      <c r="A3283" s="2">
        <f>IFERROR(__xludf.DUMMYFUNCTION("""COMPUTED_VALUE"""),122616.0)</f>
        <v>122616</v>
      </c>
      <c r="B3283" s="2">
        <f>IFERROR(__xludf.DUMMYFUNCTION("""COMPUTED_VALUE"""),1.0)</f>
        <v>1</v>
      </c>
      <c r="C3283" s="2">
        <f>IFERROR(__xludf.DUMMYFUNCTION("""COMPUTED_VALUE"""),122.0)</f>
        <v>122</v>
      </c>
      <c r="D3283" s="3">
        <f>IFERROR(__xludf.DUMMYFUNCTION("""COMPUTED_VALUE"""),0.0)</f>
        <v>0</v>
      </c>
      <c r="E3283" s="1" t="str">
        <f t="array" ref="E3283">_xlfn.XLOOKUP(A3283,Product!A:A,Product!B:B,"Bulunamadı")</f>
        <v>Arts</v>
      </c>
      <c r="F3283" s="1" t="str">
        <f t="array" ref="F3283">_xlfn.XLOOKUP(A3283,Product!A:A,Product!C:C,"Bulunamadı")</f>
        <v>Commercial Law</v>
      </c>
      <c r="G3283" s="2" t="str">
        <f t="array" ref="G3283">_xlfn.XLOOKUP(A3284,Product!A:A,Product!D:D,"Bulunamadı")</f>
        <v>Harborwind Books</v>
      </c>
      <c r="H3283" s="2">
        <f t="array" ref="H3283">_xlfn.XLOOKUP(A3285,Product!A:A,Product!E:E,"Bulunamadı")</f>
        <v>1.46</v>
      </c>
      <c r="I3283" s="2" t="str">
        <f t="shared" si="1"/>
        <v>122616 - Arts - Commercial Law</v>
      </c>
      <c r="J3283" s="2">
        <f t="shared" si="2"/>
        <v>0</v>
      </c>
      <c r="K3283" s="17">
        <f t="shared" si="3"/>
        <v>0</v>
      </c>
      <c r="L3283" s="18"/>
    </row>
    <row r="3284">
      <c r="A3284" s="2">
        <f>IFERROR(__xludf.DUMMYFUNCTION("""COMPUTED_VALUE"""),101950.0)</f>
        <v>101950</v>
      </c>
      <c r="B3284" s="2">
        <f>IFERROR(__xludf.DUMMYFUNCTION("""COMPUTED_VALUE"""),0.0)</f>
        <v>0</v>
      </c>
      <c r="C3284" s="2">
        <f>IFERROR(__xludf.DUMMYFUNCTION("""COMPUTED_VALUE"""),934.0)</f>
        <v>934</v>
      </c>
      <c r="D3284" s="3">
        <f>IFERROR(__xludf.DUMMYFUNCTION("""COMPUTED_VALUE"""),522.0)</f>
        <v>522</v>
      </c>
      <c r="E3284" s="1" t="str">
        <f t="array" ref="E3284">_xlfn.XLOOKUP(A3284,Product!A:A,Product!B:B,"Bulunamadı")</f>
        <v>Arts</v>
      </c>
      <c r="F3284" s="1" t="str">
        <f t="array" ref="F3284">_xlfn.XLOOKUP(A3284,Product!A:A,Product!C:C,"Bulunamadı")</f>
        <v>Commercial Law</v>
      </c>
      <c r="G3284" s="2" t="str">
        <f t="array" ref="G3284">_xlfn.XLOOKUP(A3285,Product!A:A,Product!D:D,"Bulunamadı")</f>
        <v>Harborwind Books</v>
      </c>
      <c r="H3284" s="2">
        <f t="array" ref="H3284">_xlfn.XLOOKUP(A3286,Product!A:A,Product!E:E,"Bulunamadı")</f>
        <v>1.55</v>
      </c>
      <c r="I3284" s="2" t="str">
        <f t="shared" si="1"/>
        <v>101950 - Arts - Commercial Law</v>
      </c>
      <c r="J3284" s="2">
        <f t="shared" si="2"/>
        <v>809.1</v>
      </c>
      <c r="K3284" s="17">
        <f t="shared" si="3"/>
        <v>1</v>
      </c>
      <c r="L3284" s="18"/>
    </row>
    <row r="3285">
      <c r="A3285" s="2">
        <f>IFERROR(__xludf.DUMMYFUNCTION("""COMPUTED_VALUE"""),9163.0)</f>
        <v>9163</v>
      </c>
      <c r="B3285" s="2">
        <f>IFERROR(__xludf.DUMMYFUNCTION("""COMPUTED_VALUE"""),1.0)</f>
        <v>1</v>
      </c>
      <c r="C3285" s="2">
        <f>IFERROR(__xludf.DUMMYFUNCTION("""COMPUTED_VALUE"""),601.0)</f>
        <v>601</v>
      </c>
      <c r="D3285" s="3">
        <f>IFERROR(__xludf.DUMMYFUNCTION("""COMPUTED_VALUE"""),418.0)</f>
        <v>418</v>
      </c>
      <c r="E3285" s="1" t="str">
        <f t="array" ref="E3285">_xlfn.XLOOKUP(A3285,Product!A:A,Product!B:B,"Bulunamadı")</f>
        <v>Arts</v>
      </c>
      <c r="F3285" s="1" t="str">
        <f t="array" ref="F3285">_xlfn.XLOOKUP(A3285,Product!A:A,Product!C:C,"Bulunamadı")</f>
        <v>Commercial Law</v>
      </c>
      <c r="G3285" s="2" t="str">
        <f t="array" ref="G3285">_xlfn.XLOOKUP(A3286,Product!A:A,Product!D:D,"Bulunamadı")</f>
        <v>Harborwind Books</v>
      </c>
      <c r="H3285" s="2">
        <f t="array" ref="H3285">_xlfn.XLOOKUP(A3287,Product!A:A,Product!E:E,"Bulunamadı")</f>
        <v>1.89</v>
      </c>
      <c r="I3285" s="2" t="str">
        <f t="shared" si="1"/>
        <v>9163 - Arts - Commercial Law</v>
      </c>
      <c r="J3285" s="2">
        <f t="shared" si="2"/>
        <v>790.02</v>
      </c>
      <c r="K3285" s="17">
        <f t="shared" si="3"/>
        <v>1</v>
      </c>
      <c r="L3285" s="18"/>
    </row>
    <row r="3286">
      <c r="A3286" s="2">
        <f>IFERROR(__xludf.DUMMYFUNCTION("""COMPUTED_VALUE"""),110106.0)</f>
        <v>110106</v>
      </c>
      <c r="B3286" s="2">
        <f>IFERROR(__xludf.DUMMYFUNCTION("""COMPUTED_VALUE"""),0.0)</f>
        <v>0</v>
      </c>
      <c r="C3286" s="2">
        <f>IFERROR(__xludf.DUMMYFUNCTION("""COMPUTED_VALUE"""),524.0)</f>
        <v>524</v>
      </c>
      <c r="D3286" s="3">
        <f>IFERROR(__xludf.DUMMYFUNCTION("""COMPUTED_VALUE"""),437.0)</f>
        <v>437</v>
      </c>
      <c r="E3286" s="1" t="str">
        <f t="array" ref="E3286">_xlfn.XLOOKUP(A3286,Product!A:A,Product!B:B,"Bulunamadı")</f>
        <v>Arts</v>
      </c>
      <c r="F3286" s="1" t="str">
        <f t="array" ref="F3286">_xlfn.XLOOKUP(A3286,Product!A:A,Product!C:C,"Bulunamadı")</f>
        <v>Commercial Law</v>
      </c>
      <c r="G3286" s="2" t="str">
        <f t="array" ref="G3286">_xlfn.XLOOKUP(A3287,Product!A:A,Product!D:D,"Bulunamadı")</f>
        <v>Cedarwind Press</v>
      </c>
      <c r="H3286" s="2">
        <f t="array" ref="H3286">_xlfn.XLOOKUP(A3288,Product!A:A,Product!E:E,"Bulunamadı")</f>
        <v>0.41</v>
      </c>
      <c r="I3286" s="2" t="str">
        <f t="shared" si="1"/>
        <v>110106 - Arts - Commercial Law</v>
      </c>
      <c r="J3286" s="2">
        <f t="shared" si="2"/>
        <v>179.17</v>
      </c>
      <c r="K3286" s="17">
        <f t="shared" si="3"/>
        <v>1</v>
      </c>
      <c r="L3286" s="18"/>
    </row>
    <row r="3287">
      <c r="A3287" s="2">
        <f>IFERROR(__xludf.DUMMYFUNCTION("""COMPUTED_VALUE"""),14045.0)</f>
        <v>14045</v>
      </c>
      <c r="B3287" s="2">
        <f>IFERROR(__xludf.DUMMYFUNCTION("""COMPUTED_VALUE"""),0.0)</f>
        <v>0</v>
      </c>
      <c r="C3287" s="2">
        <f>IFERROR(__xludf.DUMMYFUNCTION("""COMPUTED_VALUE"""),403.0)</f>
        <v>403</v>
      </c>
      <c r="D3287" s="3">
        <f>IFERROR(__xludf.DUMMYFUNCTION("""COMPUTED_VALUE"""),384.0)</f>
        <v>384</v>
      </c>
      <c r="E3287" s="1" t="str">
        <f t="array" ref="E3287">_xlfn.XLOOKUP(A3287,Product!A:A,Product!B:B,"Bulunamadı")</f>
        <v>Arts</v>
      </c>
      <c r="F3287" s="1" t="str">
        <f t="array" ref="F3287">_xlfn.XLOOKUP(A3287,Product!A:A,Product!C:C,"Bulunamadı")</f>
        <v>Commercial Law</v>
      </c>
      <c r="G3287" s="2" t="str">
        <f t="array" ref="G3287">_xlfn.XLOOKUP(A3288,Product!A:A,Product!D:D,"Bulunamadı")</f>
        <v>Cedarwind Press</v>
      </c>
      <c r="H3287" s="2">
        <f t="array" ref="H3287">_xlfn.XLOOKUP(A3289,Product!A:A,Product!E:E,"Bulunamadı")</f>
        <v>1.81</v>
      </c>
      <c r="I3287" s="2" t="str">
        <f t="shared" si="1"/>
        <v>14045 - Arts - Commercial Law</v>
      </c>
      <c r="J3287" s="2">
        <f t="shared" si="2"/>
        <v>695.04</v>
      </c>
      <c r="K3287" s="17">
        <f t="shared" si="3"/>
        <v>1</v>
      </c>
      <c r="L3287" s="18"/>
    </row>
    <row r="3288">
      <c r="A3288" s="2">
        <f>IFERROR(__xludf.DUMMYFUNCTION("""COMPUTED_VALUE"""),95993.0)</f>
        <v>95993</v>
      </c>
      <c r="B3288" s="2">
        <f>IFERROR(__xludf.DUMMYFUNCTION("""COMPUTED_VALUE"""),1.0)</f>
        <v>1</v>
      </c>
      <c r="C3288" s="2">
        <f>IFERROR(__xludf.DUMMYFUNCTION("""COMPUTED_VALUE"""),340.0)</f>
        <v>340</v>
      </c>
      <c r="D3288" s="3">
        <f>IFERROR(__xludf.DUMMYFUNCTION("""COMPUTED_VALUE"""),276.0)</f>
        <v>276</v>
      </c>
      <c r="E3288" s="1" t="str">
        <f t="array" ref="E3288">_xlfn.XLOOKUP(A3288,Product!A:A,Product!B:B,"Bulunamadı")</f>
        <v>Arts</v>
      </c>
      <c r="F3288" s="1" t="str">
        <f t="array" ref="F3288">_xlfn.XLOOKUP(A3288,Product!A:A,Product!C:C,"Bulunamadı")</f>
        <v>Commercial Law</v>
      </c>
      <c r="G3288" s="2" t="str">
        <f t="array" ref="G3288">_xlfn.XLOOKUP(A3289,Product!A:A,Product!D:D,"Bulunamadı")</f>
        <v>Cedarwind Press</v>
      </c>
      <c r="H3288" s="2">
        <f t="array" ref="H3288">_xlfn.XLOOKUP(A3290,Product!A:A,Product!E:E,"Bulunamadı")</f>
        <v>1.63</v>
      </c>
      <c r="I3288" s="2" t="str">
        <f t="shared" si="1"/>
        <v>95993 - Arts - Commercial Law</v>
      </c>
      <c r="J3288" s="2">
        <f t="shared" si="2"/>
        <v>449.88</v>
      </c>
      <c r="K3288" s="17">
        <f t="shared" si="3"/>
        <v>1</v>
      </c>
      <c r="L3288" s="18"/>
    </row>
    <row r="3289">
      <c r="A3289" s="2">
        <f>IFERROR(__xludf.DUMMYFUNCTION("""COMPUTED_VALUE"""),81488.0)</f>
        <v>81488</v>
      </c>
      <c r="B3289" s="2">
        <f>IFERROR(__xludf.DUMMYFUNCTION("""COMPUTED_VALUE"""),0.0)</f>
        <v>0</v>
      </c>
      <c r="C3289" s="2">
        <f>IFERROR(__xludf.DUMMYFUNCTION("""COMPUTED_VALUE"""),320.0)</f>
        <v>320</v>
      </c>
      <c r="D3289" s="3">
        <f>IFERROR(__xludf.DUMMYFUNCTION("""COMPUTED_VALUE"""),118.0)</f>
        <v>118</v>
      </c>
      <c r="E3289" s="1" t="str">
        <f t="array" ref="E3289">_xlfn.XLOOKUP(A3289,Product!A:A,Product!B:B,"Bulunamadı")</f>
        <v>Arts</v>
      </c>
      <c r="F3289" s="1" t="str">
        <f t="array" ref="F3289">_xlfn.XLOOKUP(A3289,Product!A:A,Product!C:C,"Bulunamadı")</f>
        <v>Commercial Law</v>
      </c>
      <c r="G3289" s="2" t="str">
        <f t="array" ref="G3289">_xlfn.XLOOKUP(A3290,Product!A:A,Product!D:D,"Bulunamadı")</f>
        <v>Cedarwind Press</v>
      </c>
      <c r="H3289" s="2">
        <f t="array" ref="H3289">_xlfn.XLOOKUP(A3291,Product!A:A,Product!E:E,"Bulunamadı")</f>
        <v>1.46</v>
      </c>
      <c r="I3289" s="2" t="str">
        <f t="shared" si="1"/>
        <v>81488 - Arts - Commercial Law</v>
      </c>
      <c r="J3289" s="2">
        <f t="shared" si="2"/>
        <v>172.28</v>
      </c>
      <c r="K3289" s="17">
        <f t="shared" si="3"/>
        <v>1</v>
      </c>
      <c r="L3289" s="18"/>
    </row>
    <row r="3290">
      <c r="A3290" s="2">
        <f>IFERROR(__xludf.DUMMYFUNCTION("""COMPUTED_VALUE"""),14049.0)</f>
        <v>14049</v>
      </c>
      <c r="B3290" s="2">
        <f>IFERROR(__xludf.DUMMYFUNCTION("""COMPUTED_VALUE"""),0.0)</f>
        <v>0</v>
      </c>
      <c r="C3290" s="2">
        <f>IFERROR(__xludf.DUMMYFUNCTION("""COMPUTED_VALUE"""),288.0)</f>
        <v>288</v>
      </c>
      <c r="D3290" s="3">
        <f>IFERROR(__xludf.DUMMYFUNCTION("""COMPUTED_VALUE"""),241.0)</f>
        <v>241</v>
      </c>
      <c r="E3290" s="1" t="str">
        <f t="array" ref="E3290">_xlfn.XLOOKUP(A3290,Product!A:A,Product!B:B,"Bulunamadı")</f>
        <v>Arts</v>
      </c>
      <c r="F3290" s="1" t="str">
        <f t="array" ref="F3290">_xlfn.XLOOKUP(A3290,Product!A:A,Product!C:C,"Bulunamadı")</f>
        <v>Commercial Law</v>
      </c>
      <c r="G3290" s="2" t="str">
        <f t="array" ref="G3290">_xlfn.XLOOKUP(A3291,Product!A:A,Product!D:D,"Bulunamadı")</f>
        <v>Cedarwind Press</v>
      </c>
      <c r="H3290" s="2">
        <f t="array" ref="H3290">_xlfn.XLOOKUP(A3292,Product!A:A,Product!E:E,"Bulunamadı")</f>
        <v>1.97</v>
      </c>
      <c r="I3290" s="2" t="str">
        <f t="shared" si="1"/>
        <v>14049 - Arts - Commercial Law</v>
      </c>
      <c r="J3290" s="2">
        <f t="shared" si="2"/>
        <v>474.77</v>
      </c>
      <c r="K3290" s="17">
        <f t="shared" si="3"/>
        <v>1</v>
      </c>
      <c r="L3290" s="18"/>
    </row>
    <row r="3291">
      <c r="A3291" s="2">
        <f>IFERROR(__xludf.DUMMYFUNCTION("""COMPUTED_VALUE"""),121749.0)</f>
        <v>121749</v>
      </c>
      <c r="B3291" s="2">
        <f>IFERROR(__xludf.DUMMYFUNCTION("""COMPUTED_VALUE"""),0.0)</f>
        <v>0</v>
      </c>
      <c r="C3291" s="2">
        <f>IFERROR(__xludf.DUMMYFUNCTION("""COMPUTED_VALUE"""),427.0)</f>
        <v>427</v>
      </c>
      <c r="D3291" s="3">
        <f>IFERROR(__xludf.DUMMYFUNCTION("""COMPUTED_VALUE"""),128.0)</f>
        <v>128</v>
      </c>
      <c r="E3291" s="1" t="str">
        <f t="array" ref="E3291">_xlfn.XLOOKUP(A3291,Product!A:A,Product!B:B,"Bulunamadı")</f>
        <v>Arts</v>
      </c>
      <c r="F3291" s="1" t="str">
        <f t="array" ref="F3291">_xlfn.XLOOKUP(A3291,Product!A:A,Product!C:C,"Bulunamadı")</f>
        <v>Commercial Law</v>
      </c>
      <c r="G3291" s="2" t="str">
        <f t="array" ref="G3291">_xlfn.XLOOKUP(A3292,Product!A:A,Product!D:D,"Bulunamadı")</f>
        <v>Cedarwind Press</v>
      </c>
      <c r="H3291" s="2">
        <f t="array" ref="H3291">_xlfn.XLOOKUP(A3293,Product!A:A,Product!E:E,"Bulunamadı")</f>
        <v>2.09</v>
      </c>
      <c r="I3291" s="2" t="str">
        <f t="shared" si="1"/>
        <v>121749 - Arts - Commercial Law</v>
      </c>
      <c r="J3291" s="2">
        <f t="shared" si="2"/>
        <v>267.52</v>
      </c>
      <c r="K3291" s="17">
        <f t="shared" si="3"/>
        <v>1</v>
      </c>
      <c r="L3291" s="18"/>
    </row>
    <row r="3292">
      <c r="A3292" s="2">
        <f>IFERROR(__xludf.DUMMYFUNCTION("""COMPUTED_VALUE"""),101927.0)</f>
        <v>101927</v>
      </c>
      <c r="B3292" s="2">
        <f>IFERROR(__xludf.DUMMYFUNCTION("""COMPUTED_VALUE"""),0.0)</f>
        <v>0</v>
      </c>
      <c r="C3292" s="2">
        <f>IFERROR(__xludf.DUMMYFUNCTION("""COMPUTED_VALUE"""),199.0)</f>
        <v>199</v>
      </c>
      <c r="D3292" s="3">
        <f>IFERROR(__xludf.DUMMYFUNCTION("""COMPUTED_VALUE"""),57.0)</f>
        <v>57</v>
      </c>
      <c r="E3292" s="1" t="str">
        <f t="array" ref="E3292">_xlfn.XLOOKUP(A3292,Product!A:A,Product!B:B,"Bulunamadı")</f>
        <v>Arts</v>
      </c>
      <c r="F3292" s="1" t="str">
        <f t="array" ref="F3292">_xlfn.XLOOKUP(A3292,Product!A:A,Product!C:C,"Bulunamadı")</f>
        <v>Commercial Law</v>
      </c>
      <c r="G3292" s="2" t="str">
        <f t="array" ref="G3292">_xlfn.XLOOKUP(A3293,Product!A:A,Product!D:D,"Bulunamadı")</f>
        <v>Cedarwind Press</v>
      </c>
      <c r="H3292" s="2">
        <f t="array" ref="H3292">_xlfn.XLOOKUP(A3294,Product!A:A,Product!E:E,"Bulunamadı")</f>
        <v>1.85</v>
      </c>
      <c r="I3292" s="2" t="str">
        <f t="shared" si="1"/>
        <v>101927 - Arts - Commercial Law</v>
      </c>
      <c r="J3292" s="2">
        <f t="shared" si="2"/>
        <v>105.45</v>
      </c>
      <c r="K3292" s="17">
        <f t="shared" si="3"/>
        <v>1</v>
      </c>
      <c r="L3292" s="18"/>
    </row>
    <row r="3293">
      <c r="A3293" s="2">
        <f>IFERROR(__xludf.DUMMYFUNCTION("""COMPUTED_VALUE"""),103864.0)</f>
        <v>103864</v>
      </c>
      <c r="B3293" s="2">
        <f>IFERROR(__xludf.DUMMYFUNCTION("""COMPUTED_VALUE"""),0.0)</f>
        <v>0</v>
      </c>
      <c r="C3293" s="2">
        <f>IFERROR(__xludf.DUMMYFUNCTION("""COMPUTED_VALUE"""),195.0)</f>
        <v>195</v>
      </c>
      <c r="D3293" s="3">
        <f>IFERROR(__xludf.DUMMYFUNCTION("""COMPUTED_VALUE"""),146.0)</f>
        <v>146</v>
      </c>
      <c r="E3293" s="1" t="str">
        <f t="array" ref="E3293">_xlfn.XLOOKUP(A3293,Product!A:A,Product!B:B,"Bulunamadı")</f>
        <v>Arts</v>
      </c>
      <c r="F3293" s="1" t="str">
        <f t="array" ref="F3293">_xlfn.XLOOKUP(A3293,Product!A:A,Product!C:C,"Bulunamadı")</f>
        <v>Commercial Law</v>
      </c>
      <c r="G3293" s="2" t="str">
        <f t="array" ref="G3293">_xlfn.XLOOKUP(A3294,Product!A:A,Product!D:D,"Bulunamadı")</f>
        <v>Cedarwind Press</v>
      </c>
      <c r="H3293" s="2">
        <f t="array" ref="H3293">_xlfn.XLOOKUP(A3295,Product!A:A,Product!E:E,"Bulunamadı")</f>
        <v>1.06</v>
      </c>
      <c r="I3293" s="2" t="str">
        <f t="shared" si="1"/>
        <v>103864 - Arts - Commercial Law</v>
      </c>
      <c r="J3293" s="2">
        <f t="shared" si="2"/>
        <v>154.76</v>
      </c>
      <c r="K3293" s="17">
        <f t="shared" si="3"/>
        <v>1</v>
      </c>
      <c r="L3293" s="18"/>
    </row>
    <row r="3294">
      <c r="A3294" s="2">
        <f>IFERROR(__xludf.DUMMYFUNCTION("""COMPUTED_VALUE"""),85862.0)</f>
        <v>85862</v>
      </c>
      <c r="B3294" s="2">
        <f>IFERROR(__xludf.DUMMYFUNCTION("""COMPUTED_VALUE"""),1.0)</f>
        <v>1</v>
      </c>
      <c r="C3294" s="2">
        <f>IFERROR(__xludf.DUMMYFUNCTION("""COMPUTED_VALUE"""),303.0)</f>
        <v>303</v>
      </c>
      <c r="D3294" s="3">
        <f>IFERROR(__xludf.DUMMYFUNCTION("""COMPUTED_VALUE"""),222.0)</f>
        <v>222</v>
      </c>
      <c r="E3294" s="1" t="str">
        <f t="array" ref="E3294">_xlfn.XLOOKUP(A3294,Product!A:A,Product!B:B,"Bulunamadı")</f>
        <v>Arts</v>
      </c>
      <c r="F3294" s="1" t="str">
        <f t="array" ref="F3294">_xlfn.XLOOKUP(A3294,Product!A:A,Product!C:C,"Bulunamadı")</f>
        <v>Commercial Law</v>
      </c>
      <c r="G3294" s="2" t="str">
        <f t="array" ref="G3294">_xlfn.XLOOKUP(A3295,Product!A:A,Product!D:D,"Bulunamadı")</f>
        <v>Brightwind Publishing</v>
      </c>
      <c r="H3294" s="2">
        <f t="array" ref="H3294">_xlfn.XLOOKUP(A3296,Product!A:A,Product!E:E,"Bulunamadı")</f>
        <v>1.69</v>
      </c>
      <c r="I3294" s="2" t="str">
        <f t="shared" si="1"/>
        <v>85862 - Arts - Commercial Law</v>
      </c>
      <c r="J3294" s="2">
        <f t="shared" si="2"/>
        <v>375.18</v>
      </c>
      <c r="K3294" s="17">
        <f t="shared" si="3"/>
        <v>1</v>
      </c>
      <c r="L3294" s="18"/>
    </row>
    <row r="3295" hidden="1">
      <c r="A3295" s="2">
        <f>IFERROR(__xludf.DUMMYFUNCTION("""COMPUTED_VALUE"""),46124.0)</f>
        <v>46124</v>
      </c>
      <c r="B3295" s="2">
        <f>IFERROR(__xludf.DUMMYFUNCTION("""COMPUTED_VALUE"""),1.0)</f>
        <v>1</v>
      </c>
      <c r="C3295" s="2">
        <f>IFERROR(__xludf.DUMMYFUNCTION("""COMPUTED_VALUE"""),367.0)</f>
        <v>367</v>
      </c>
      <c r="D3295" s="3">
        <f>IFERROR(__xludf.DUMMYFUNCTION("""COMPUTED_VALUE"""),136.0)</f>
        <v>136</v>
      </c>
      <c r="E3295" s="1" t="str">
        <f t="array" ref="E3295">_xlfn.XLOOKUP(A3295,Product!A:A,Product!B:B,"Bulunamadı")</f>
        <v>History</v>
      </c>
      <c r="F3295" s="1" t="str">
        <f t="array" ref="F3295">_xlfn.XLOOKUP(A3295,Product!A:A,Product!C:C,"Bulunamadı")</f>
        <v>Corporate Law</v>
      </c>
      <c r="G3295" s="2" t="str">
        <f t="array" ref="G3295">_xlfn.XLOOKUP(A3296,Product!A:A,Product!D:D,"Bulunamadı")</f>
        <v>Brightwind Publishing</v>
      </c>
      <c r="H3295" s="2">
        <f t="array" ref="H3295">_xlfn.XLOOKUP(A3297,Product!A:A,Product!E:E,"Bulunamadı")</f>
        <v>2.13</v>
      </c>
      <c r="I3295" s="2" t="str">
        <f t="shared" si="1"/>
        <v>46124 - History - Corporate Law</v>
      </c>
      <c r="J3295" s="2">
        <f t="shared" si="2"/>
        <v>289.68</v>
      </c>
      <c r="K3295" s="17">
        <f t="shared" si="3"/>
        <v>1</v>
      </c>
      <c r="L3295" s="18"/>
    </row>
    <row r="3296" hidden="1">
      <c r="A3296" s="2">
        <f>IFERROR(__xludf.DUMMYFUNCTION("""COMPUTED_VALUE"""),114346.0)</f>
        <v>114346</v>
      </c>
      <c r="B3296" s="2">
        <f>IFERROR(__xludf.DUMMYFUNCTION("""COMPUTED_VALUE"""),1.0)</f>
        <v>1</v>
      </c>
      <c r="C3296" s="2">
        <f>IFERROR(__xludf.DUMMYFUNCTION("""COMPUTED_VALUE"""),931.0)</f>
        <v>931</v>
      </c>
      <c r="D3296" s="3">
        <f>IFERROR(__xludf.DUMMYFUNCTION("""COMPUTED_VALUE"""),402.0)</f>
        <v>402</v>
      </c>
      <c r="E3296" s="1" t="str">
        <f t="array" ref="E3296">_xlfn.XLOOKUP(A3296,Product!A:A,Product!B:B,"Bulunamadı")</f>
        <v>History</v>
      </c>
      <c r="F3296" s="1" t="str">
        <f t="array" ref="F3296">_xlfn.XLOOKUP(A3296,Product!A:A,Product!C:C,"Bulunamadı")</f>
        <v>Corporate Law</v>
      </c>
      <c r="G3296" s="2" t="str">
        <f t="array" ref="G3296">_xlfn.XLOOKUP(A3297,Product!A:A,Product!D:D,"Bulunamadı")</f>
        <v>Brightwind Publishing</v>
      </c>
      <c r="H3296" s="2">
        <f t="array" ref="H3296">_xlfn.XLOOKUP(A3298,Product!A:A,Product!E:E,"Bulunamadı")</f>
        <v>2.37</v>
      </c>
      <c r="I3296" s="2" t="str">
        <f t="shared" si="1"/>
        <v>114346 - History - Corporate Law</v>
      </c>
      <c r="J3296" s="2">
        <f t="shared" si="2"/>
        <v>952.74</v>
      </c>
      <c r="K3296" s="17">
        <f t="shared" si="3"/>
        <v>1</v>
      </c>
      <c r="L3296" s="18"/>
    </row>
    <row r="3297" hidden="1">
      <c r="A3297" s="2">
        <f>IFERROR(__xludf.DUMMYFUNCTION("""COMPUTED_VALUE"""),80194.0)</f>
        <v>80194</v>
      </c>
      <c r="B3297" s="2">
        <f>IFERROR(__xludf.DUMMYFUNCTION("""COMPUTED_VALUE"""),1.0)</f>
        <v>1</v>
      </c>
      <c r="C3297" s="2">
        <f>IFERROR(__xludf.DUMMYFUNCTION("""COMPUTED_VALUE"""),236.0)</f>
        <v>236</v>
      </c>
      <c r="D3297" s="3">
        <f>IFERROR(__xludf.DUMMYFUNCTION("""COMPUTED_VALUE"""),177.0)</f>
        <v>177</v>
      </c>
      <c r="E3297" s="1" t="str">
        <f t="array" ref="E3297">_xlfn.XLOOKUP(A3297,Product!A:A,Product!B:B,"Bulunamadı")</f>
        <v>History</v>
      </c>
      <c r="F3297" s="1" t="str">
        <f t="array" ref="F3297">_xlfn.XLOOKUP(A3297,Product!A:A,Product!C:C,"Bulunamadı")</f>
        <v>Corporate Law</v>
      </c>
      <c r="G3297" s="2" t="str">
        <f t="array" ref="G3297">_xlfn.XLOOKUP(A3298,Product!A:A,Product!D:D,"Bulunamadı")</f>
        <v>Brightwind Publishing</v>
      </c>
      <c r="H3297" s="2">
        <f t="array" ref="H3297">_xlfn.XLOOKUP(A3299,Product!A:A,Product!E:E,"Bulunamadı")</f>
        <v>0.99</v>
      </c>
      <c r="I3297" s="2" t="str">
        <f t="shared" si="1"/>
        <v>80194 - History - Corporate Law</v>
      </c>
      <c r="J3297" s="2">
        <f t="shared" si="2"/>
        <v>175.23</v>
      </c>
      <c r="K3297" s="17">
        <f t="shared" si="3"/>
        <v>1</v>
      </c>
      <c r="L3297" s="18"/>
    </row>
    <row r="3298" hidden="1">
      <c r="A3298" s="2">
        <f>IFERROR(__xludf.DUMMYFUNCTION("""COMPUTED_VALUE"""),80192.0)</f>
        <v>80192</v>
      </c>
      <c r="B3298" s="2">
        <f>IFERROR(__xludf.DUMMYFUNCTION("""COMPUTED_VALUE"""),1.0)</f>
        <v>1</v>
      </c>
      <c r="C3298" s="2">
        <f>IFERROR(__xludf.DUMMYFUNCTION("""COMPUTED_VALUE"""),722.0)</f>
        <v>722</v>
      </c>
      <c r="D3298" s="3">
        <f>IFERROR(__xludf.DUMMYFUNCTION("""COMPUTED_VALUE"""),244.0)</f>
        <v>244</v>
      </c>
      <c r="E3298" s="1" t="str">
        <f t="array" ref="E3298">_xlfn.XLOOKUP(A3298,Product!A:A,Product!B:B,"Bulunamadı")</f>
        <v>History</v>
      </c>
      <c r="F3298" s="1" t="str">
        <f t="array" ref="F3298">_xlfn.XLOOKUP(A3298,Product!A:A,Product!C:C,"Bulunamadı")</f>
        <v>Corporate Law</v>
      </c>
      <c r="G3298" s="2" t="str">
        <f t="array" ref="G3298">_xlfn.XLOOKUP(A3299,Product!A:A,Product!D:D,"Bulunamadı")</f>
        <v>Brightwind Publishing</v>
      </c>
      <c r="H3298" s="2">
        <f t="array" ref="H3298">_xlfn.XLOOKUP(A3300,Product!A:A,Product!E:E,"Bulunamadı")</f>
        <v>2.36</v>
      </c>
      <c r="I3298" s="2" t="str">
        <f t="shared" si="1"/>
        <v>80192 - History - Corporate Law</v>
      </c>
      <c r="J3298" s="2">
        <f t="shared" si="2"/>
        <v>575.84</v>
      </c>
      <c r="K3298" s="17">
        <f t="shared" si="3"/>
        <v>1</v>
      </c>
      <c r="L3298" s="18"/>
    </row>
    <row r="3299" hidden="1">
      <c r="A3299" s="2">
        <f>IFERROR(__xludf.DUMMYFUNCTION("""COMPUTED_VALUE"""),46109.0)</f>
        <v>46109</v>
      </c>
      <c r="B3299" s="2">
        <f>IFERROR(__xludf.DUMMYFUNCTION("""COMPUTED_VALUE"""),1.0)</f>
        <v>1</v>
      </c>
      <c r="C3299" s="2">
        <f>IFERROR(__xludf.DUMMYFUNCTION("""COMPUTED_VALUE"""),881.0)</f>
        <v>881</v>
      </c>
      <c r="D3299" s="3">
        <f>IFERROR(__xludf.DUMMYFUNCTION("""COMPUTED_VALUE"""),147.0)</f>
        <v>147</v>
      </c>
      <c r="E3299" s="1" t="str">
        <f t="array" ref="E3299">_xlfn.XLOOKUP(A3299,Product!A:A,Product!B:B,"Bulunamadı")</f>
        <v>History</v>
      </c>
      <c r="F3299" s="1" t="str">
        <f t="array" ref="F3299">_xlfn.XLOOKUP(A3299,Product!A:A,Product!C:C,"Bulunamadı")</f>
        <v>Corporate Law</v>
      </c>
      <c r="G3299" s="2" t="str">
        <f t="array" ref="G3299">_xlfn.XLOOKUP(A3300,Product!A:A,Product!D:D,"Bulunamadı")</f>
        <v>Brightwind Publishing</v>
      </c>
      <c r="H3299" s="2">
        <f t="array" ref="H3299">_xlfn.XLOOKUP(A3301,Product!A:A,Product!E:E,"Bulunamadı")</f>
        <v>1.2</v>
      </c>
      <c r="I3299" s="2" t="str">
        <f t="shared" si="1"/>
        <v>46109 - History - Corporate Law</v>
      </c>
      <c r="J3299" s="2">
        <f t="shared" si="2"/>
        <v>176.4</v>
      </c>
      <c r="K3299" s="17">
        <f t="shared" si="3"/>
        <v>1</v>
      </c>
      <c r="L3299" s="18"/>
    </row>
    <row r="3300" hidden="1">
      <c r="A3300" s="2">
        <f>IFERROR(__xludf.DUMMYFUNCTION("""COMPUTED_VALUE"""),80196.0)</f>
        <v>80196</v>
      </c>
      <c r="B3300" s="2">
        <f>IFERROR(__xludf.DUMMYFUNCTION("""COMPUTED_VALUE"""),0.0)</f>
        <v>0</v>
      </c>
      <c r="C3300" s="2">
        <f>IFERROR(__xludf.DUMMYFUNCTION("""COMPUTED_VALUE"""),773.0)</f>
        <v>773</v>
      </c>
      <c r="D3300" s="3">
        <f>IFERROR(__xludf.DUMMYFUNCTION("""COMPUTED_VALUE"""),760.0)</f>
        <v>760</v>
      </c>
      <c r="E3300" s="1" t="str">
        <f t="array" ref="E3300">_xlfn.XLOOKUP(A3300,Product!A:A,Product!B:B,"Bulunamadı")</f>
        <v>History</v>
      </c>
      <c r="F3300" s="1" t="str">
        <f t="array" ref="F3300">_xlfn.XLOOKUP(A3300,Product!A:A,Product!C:C,"Bulunamadı")</f>
        <v>Corporate Law</v>
      </c>
      <c r="G3300" s="2" t="str">
        <f t="array" ref="G3300">_xlfn.XLOOKUP(A3301,Product!A:A,Product!D:D,"Bulunamadı")</f>
        <v>Brightwind Publishing</v>
      </c>
      <c r="H3300" s="2">
        <f t="array" ref="H3300">_xlfn.XLOOKUP(A3302,Product!A:A,Product!E:E,"Bulunamadı")</f>
        <v>0.8</v>
      </c>
      <c r="I3300" s="2" t="str">
        <f t="shared" si="1"/>
        <v>80196 - History - Corporate Law</v>
      </c>
      <c r="J3300" s="2">
        <f t="shared" si="2"/>
        <v>608</v>
      </c>
      <c r="K3300" s="17">
        <f t="shared" si="3"/>
        <v>1</v>
      </c>
      <c r="L3300" s="18"/>
    </row>
    <row r="3301" hidden="1">
      <c r="A3301" s="2">
        <f>IFERROR(__xludf.DUMMYFUNCTION("""COMPUTED_VALUE"""),149602.0)</f>
        <v>149602</v>
      </c>
      <c r="B3301" s="2">
        <f>IFERROR(__xludf.DUMMYFUNCTION("""COMPUTED_VALUE"""),0.0)</f>
        <v>0</v>
      </c>
      <c r="C3301" s="2">
        <f>IFERROR(__xludf.DUMMYFUNCTION("""COMPUTED_VALUE"""),796.0)</f>
        <v>796</v>
      </c>
      <c r="D3301" s="3">
        <f>IFERROR(__xludf.DUMMYFUNCTION("""COMPUTED_VALUE"""),103.0)</f>
        <v>103</v>
      </c>
      <c r="E3301" s="1" t="str">
        <f t="array" ref="E3301">_xlfn.XLOOKUP(A3301,Product!A:A,Product!B:B,"Bulunamadı")</f>
        <v>History</v>
      </c>
      <c r="F3301" s="1" t="str">
        <f t="array" ref="F3301">_xlfn.XLOOKUP(A3301,Product!A:A,Product!C:C,"Bulunamadı")</f>
        <v>Corporate Law</v>
      </c>
      <c r="G3301" s="2" t="str">
        <f t="array" ref="G3301">_xlfn.XLOOKUP(A3302,Product!A:A,Product!D:D,"Bulunamadı")</f>
        <v>Brightwind Publishing</v>
      </c>
      <c r="H3301" s="2">
        <f t="array" ref="H3301">_xlfn.XLOOKUP(A3303,Product!A:A,Product!E:E,"Bulunamadı")</f>
        <v>1.07</v>
      </c>
      <c r="I3301" s="2" t="str">
        <f t="shared" si="1"/>
        <v>149602 - History - Corporate Law</v>
      </c>
      <c r="J3301" s="2">
        <f t="shared" si="2"/>
        <v>110.21</v>
      </c>
      <c r="K3301" s="17">
        <f t="shared" si="3"/>
        <v>1</v>
      </c>
      <c r="L3301" s="18"/>
    </row>
    <row r="3302" hidden="1">
      <c r="A3302" s="2">
        <f>IFERROR(__xludf.DUMMYFUNCTION("""COMPUTED_VALUE"""),46123.0)</f>
        <v>46123</v>
      </c>
      <c r="B3302" s="2">
        <f>IFERROR(__xludf.DUMMYFUNCTION("""COMPUTED_VALUE"""),0.0)</f>
        <v>0</v>
      </c>
      <c r="C3302" s="2">
        <f>IFERROR(__xludf.DUMMYFUNCTION("""COMPUTED_VALUE"""),674.0)</f>
        <v>674</v>
      </c>
      <c r="D3302" s="3">
        <f>IFERROR(__xludf.DUMMYFUNCTION("""COMPUTED_VALUE"""),647.0)</f>
        <v>647</v>
      </c>
      <c r="E3302" s="1" t="str">
        <f t="array" ref="E3302">_xlfn.XLOOKUP(A3302,Product!A:A,Product!B:B,"Bulunamadı")</f>
        <v>History</v>
      </c>
      <c r="F3302" s="1" t="str">
        <f t="array" ref="F3302">_xlfn.XLOOKUP(A3302,Product!A:A,Product!C:C,"Bulunamadı")</f>
        <v>Corporate Law</v>
      </c>
      <c r="G3302" s="2" t="str">
        <f t="array" ref="G3302">_xlfn.XLOOKUP(A3303,Product!A:A,Product!D:D,"Bulunamadı")</f>
        <v>Brightwind Publishing</v>
      </c>
      <c r="H3302" s="2">
        <f t="array" ref="H3302">_xlfn.XLOOKUP(A3304,Product!A:A,Product!E:E,"Bulunamadı")</f>
        <v>1.35</v>
      </c>
      <c r="I3302" s="2" t="str">
        <f t="shared" si="1"/>
        <v>46123 - History - Corporate Law</v>
      </c>
      <c r="J3302" s="2">
        <f t="shared" si="2"/>
        <v>873.45</v>
      </c>
      <c r="K3302" s="17">
        <f t="shared" si="3"/>
        <v>1</v>
      </c>
      <c r="L3302" s="18"/>
    </row>
    <row r="3303" hidden="1">
      <c r="A3303" s="2">
        <f>IFERROR(__xludf.DUMMYFUNCTION("""COMPUTED_VALUE"""),46113.0)</f>
        <v>46113</v>
      </c>
      <c r="B3303" s="2">
        <f>IFERROR(__xludf.DUMMYFUNCTION("""COMPUTED_VALUE"""),1.0)</f>
        <v>1</v>
      </c>
      <c r="C3303" s="2">
        <f>IFERROR(__xludf.DUMMYFUNCTION("""COMPUTED_VALUE"""),53.0)</f>
        <v>53</v>
      </c>
      <c r="D3303" s="3">
        <f>IFERROR(__xludf.DUMMYFUNCTION("""COMPUTED_VALUE"""),53.0)</f>
        <v>53</v>
      </c>
      <c r="E3303" s="1" t="str">
        <f t="array" ref="E3303">_xlfn.XLOOKUP(A3303,Product!A:A,Product!B:B,"Bulunamadı")</f>
        <v>History</v>
      </c>
      <c r="F3303" s="1" t="str">
        <f t="array" ref="F3303">_xlfn.XLOOKUP(A3303,Product!A:A,Product!C:C,"Bulunamadı")</f>
        <v>Corporate Law</v>
      </c>
      <c r="G3303" s="2" t="str">
        <f t="array" ref="G3303">_xlfn.XLOOKUP(A3304,Product!A:A,Product!D:D,"Bulunamadı")</f>
        <v>Brightwind Publishing</v>
      </c>
      <c r="H3303" s="2">
        <f t="array" ref="H3303">_xlfn.XLOOKUP(A3305,Product!A:A,Product!E:E,"Bulunamadı")</f>
        <v>1.03</v>
      </c>
      <c r="I3303" s="2" t="str">
        <f t="shared" si="1"/>
        <v>46113 - History - Corporate Law</v>
      </c>
      <c r="J3303" s="2">
        <f t="shared" si="2"/>
        <v>54.59</v>
      </c>
      <c r="K3303" s="17">
        <f t="shared" si="3"/>
        <v>1</v>
      </c>
      <c r="L3303" s="18"/>
    </row>
    <row r="3304" hidden="1">
      <c r="A3304" s="2">
        <f>IFERROR(__xludf.DUMMYFUNCTION("""COMPUTED_VALUE"""),46116.0)</f>
        <v>46116</v>
      </c>
      <c r="B3304" s="2">
        <f>IFERROR(__xludf.DUMMYFUNCTION("""COMPUTED_VALUE"""),0.0)</f>
        <v>0</v>
      </c>
      <c r="C3304" s="2">
        <f>IFERROR(__xludf.DUMMYFUNCTION("""COMPUTED_VALUE"""),99.0)</f>
        <v>99</v>
      </c>
      <c r="D3304" s="3">
        <f>IFERROR(__xludf.DUMMYFUNCTION("""COMPUTED_VALUE"""),15.0)</f>
        <v>15</v>
      </c>
      <c r="E3304" s="1" t="str">
        <f t="array" ref="E3304">_xlfn.XLOOKUP(A3304,Product!A:A,Product!B:B,"Bulunamadı")</f>
        <v>History</v>
      </c>
      <c r="F3304" s="1" t="str">
        <f t="array" ref="F3304">_xlfn.XLOOKUP(A3304,Product!A:A,Product!C:C,"Bulunamadı")</f>
        <v>Corporate Law</v>
      </c>
      <c r="G3304" s="2" t="str">
        <f t="array" ref="G3304">_xlfn.XLOOKUP(A3305,Product!A:A,Product!D:D,"Bulunamadı")</f>
        <v>Brightwind Publishing</v>
      </c>
      <c r="H3304" s="2">
        <f t="array" ref="H3304">_xlfn.XLOOKUP(A3306,Product!A:A,Product!E:E,"Bulunamadı")</f>
        <v>2.09</v>
      </c>
      <c r="I3304" s="2" t="str">
        <f t="shared" si="1"/>
        <v>46116 - History - Corporate Law</v>
      </c>
      <c r="J3304" s="2">
        <f t="shared" si="2"/>
        <v>31.35</v>
      </c>
      <c r="K3304" s="17">
        <f t="shared" si="3"/>
        <v>1</v>
      </c>
      <c r="L3304" s="18"/>
    </row>
    <row r="3305" hidden="1">
      <c r="A3305" s="2">
        <f>IFERROR(__xludf.DUMMYFUNCTION("""COMPUTED_VALUE"""),46119.0)</f>
        <v>46119</v>
      </c>
      <c r="B3305" s="2">
        <f>IFERROR(__xludf.DUMMYFUNCTION("""COMPUTED_VALUE"""),1.0)</f>
        <v>1</v>
      </c>
      <c r="C3305" s="2">
        <f>IFERROR(__xludf.DUMMYFUNCTION("""COMPUTED_VALUE"""),482.0)</f>
        <v>482</v>
      </c>
      <c r="D3305" s="3">
        <f>IFERROR(__xludf.DUMMYFUNCTION("""COMPUTED_VALUE"""),465.0)</f>
        <v>465</v>
      </c>
      <c r="E3305" s="1" t="str">
        <f t="array" ref="E3305">_xlfn.XLOOKUP(A3305,Product!A:A,Product!B:B,"Bulunamadı")</f>
        <v>History</v>
      </c>
      <c r="F3305" s="1" t="str">
        <f t="array" ref="F3305">_xlfn.XLOOKUP(A3305,Product!A:A,Product!C:C,"Bulunamadı")</f>
        <v>Corporate Law</v>
      </c>
      <c r="G3305" s="2" t="str">
        <f t="array" ref="G3305">_xlfn.XLOOKUP(A3306,Product!A:A,Product!D:D,"Bulunamadı")</f>
        <v>Brightwind Publishing</v>
      </c>
      <c r="H3305" s="2">
        <f t="array" ref="H3305">_xlfn.XLOOKUP(A3307,Product!A:A,Product!E:E,"Bulunamadı")</f>
        <v>2.05</v>
      </c>
      <c r="I3305" s="2" t="str">
        <f t="shared" si="1"/>
        <v>46119 - History - Corporate Law</v>
      </c>
      <c r="J3305" s="2">
        <f t="shared" si="2"/>
        <v>953.25</v>
      </c>
      <c r="K3305" s="17">
        <f t="shared" si="3"/>
        <v>1</v>
      </c>
      <c r="L3305" s="18"/>
    </row>
    <row r="3306" hidden="1">
      <c r="A3306" s="2">
        <f>IFERROR(__xludf.DUMMYFUNCTION("""COMPUTED_VALUE"""),63867.0)</f>
        <v>63867</v>
      </c>
      <c r="B3306" s="2">
        <f>IFERROR(__xludf.DUMMYFUNCTION("""COMPUTED_VALUE"""),1.0)</f>
        <v>1</v>
      </c>
      <c r="C3306" s="2">
        <f>IFERROR(__xludf.DUMMYFUNCTION("""COMPUTED_VALUE"""),264.0)</f>
        <v>264</v>
      </c>
      <c r="D3306" s="3">
        <f>IFERROR(__xludf.DUMMYFUNCTION("""COMPUTED_VALUE"""),239.0)</f>
        <v>239</v>
      </c>
      <c r="E3306" s="1" t="str">
        <f t="array" ref="E3306">_xlfn.XLOOKUP(A3306,Product!A:A,Product!B:B,"Bulunamadı")</f>
        <v>History</v>
      </c>
      <c r="F3306" s="1" t="str">
        <f t="array" ref="F3306">_xlfn.XLOOKUP(A3306,Product!A:A,Product!C:C,"Bulunamadı")</f>
        <v>Corporate Law</v>
      </c>
      <c r="G3306" s="2" t="str">
        <f t="array" ref="G3306">_xlfn.XLOOKUP(A3307,Product!A:A,Product!D:D,"Bulunamadı")</f>
        <v>Brightwind Publishing</v>
      </c>
      <c r="H3306" s="2">
        <f t="array" ref="H3306">_xlfn.XLOOKUP(A3308,Product!A:A,Product!E:E,"Bulunamadı")</f>
        <v>10.13</v>
      </c>
      <c r="I3306" s="2" t="str">
        <f t="shared" si="1"/>
        <v>63867 - History - Corporate Law</v>
      </c>
      <c r="J3306" s="2">
        <f t="shared" si="2"/>
        <v>2421.07</v>
      </c>
      <c r="K3306" s="17">
        <f t="shared" si="3"/>
        <v>1</v>
      </c>
      <c r="L3306" s="18"/>
    </row>
    <row r="3307" hidden="1">
      <c r="A3307" s="2">
        <f>IFERROR(__xludf.DUMMYFUNCTION("""COMPUTED_VALUE"""),80190.0)</f>
        <v>80190</v>
      </c>
      <c r="B3307" s="2">
        <f>IFERROR(__xludf.DUMMYFUNCTION("""COMPUTED_VALUE"""),0.0)</f>
        <v>0</v>
      </c>
      <c r="C3307" s="2">
        <f>IFERROR(__xludf.DUMMYFUNCTION("""COMPUTED_VALUE"""),556.0)</f>
        <v>556</v>
      </c>
      <c r="D3307" s="3">
        <f>IFERROR(__xludf.DUMMYFUNCTION("""COMPUTED_VALUE"""),209.0)</f>
        <v>209</v>
      </c>
      <c r="E3307" s="1" t="str">
        <f t="array" ref="E3307">_xlfn.XLOOKUP(A3307,Product!A:A,Product!B:B,"Bulunamadı")</f>
        <v>History</v>
      </c>
      <c r="F3307" s="1" t="str">
        <f t="array" ref="F3307">_xlfn.XLOOKUP(A3307,Product!A:A,Product!C:C,"Bulunamadı")</f>
        <v>Corporate Law</v>
      </c>
      <c r="G3307" s="2" t="str">
        <f t="array" ref="G3307">_xlfn.XLOOKUP(A3308,Product!A:A,Product!D:D,"Bulunamadı")</f>
        <v>Brightwind Publishing</v>
      </c>
      <c r="H3307" s="2">
        <f t="array" ref="H3307">_xlfn.XLOOKUP(A3309,Product!A:A,Product!E:E,"Bulunamadı")</f>
        <v>1.6</v>
      </c>
      <c r="I3307" s="2" t="str">
        <f t="shared" si="1"/>
        <v>80190 - History - Corporate Law</v>
      </c>
      <c r="J3307" s="2">
        <f t="shared" si="2"/>
        <v>334.4</v>
      </c>
      <c r="K3307" s="17">
        <f t="shared" si="3"/>
        <v>1</v>
      </c>
      <c r="L3307" s="18"/>
    </row>
    <row r="3308" hidden="1">
      <c r="A3308" s="2">
        <f>IFERROR(__xludf.DUMMYFUNCTION("""COMPUTED_VALUE"""),48485.0)</f>
        <v>48485</v>
      </c>
      <c r="B3308" s="2">
        <f>IFERROR(__xludf.DUMMYFUNCTION("""COMPUTED_VALUE"""),1.0)</f>
        <v>1</v>
      </c>
      <c r="C3308" s="2">
        <f>IFERROR(__xludf.DUMMYFUNCTION("""COMPUTED_VALUE"""),837.0)</f>
        <v>837</v>
      </c>
      <c r="D3308" s="3">
        <f>IFERROR(__xludf.DUMMYFUNCTION("""COMPUTED_VALUE"""),295.0)</f>
        <v>295</v>
      </c>
      <c r="E3308" s="1" t="str">
        <f t="array" ref="E3308">_xlfn.XLOOKUP(A3308,Product!A:A,Product!B:B,"Bulunamadı")</f>
        <v>History</v>
      </c>
      <c r="F3308" s="1" t="str">
        <f t="array" ref="F3308">_xlfn.XLOOKUP(A3308,Product!A:A,Product!C:C,"Bulunamadı")</f>
        <v>Corporate Law</v>
      </c>
      <c r="G3308" s="2" t="str">
        <f t="array" ref="G3308">_xlfn.XLOOKUP(A3309,Product!A:A,Product!D:D,"Bulunamadı")</f>
        <v>Brightwind Publishing</v>
      </c>
      <c r="H3308" s="2">
        <f t="array" ref="H3308">_xlfn.XLOOKUP(A3310,Product!A:A,Product!E:E,"Bulunamadı")</f>
        <v>0.92</v>
      </c>
      <c r="I3308" s="2" t="str">
        <f t="shared" si="1"/>
        <v>48485 - History - Corporate Law</v>
      </c>
      <c r="J3308" s="2">
        <f t="shared" si="2"/>
        <v>271.4</v>
      </c>
      <c r="K3308" s="17">
        <f t="shared" si="3"/>
        <v>1</v>
      </c>
      <c r="L3308" s="18"/>
    </row>
    <row r="3309" hidden="1">
      <c r="A3309" s="2">
        <f>IFERROR(__xludf.DUMMYFUNCTION("""COMPUTED_VALUE"""),80203.0)</f>
        <v>80203</v>
      </c>
      <c r="B3309" s="2">
        <f>IFERROR(__xludf.DUMMYFUNCTION("""COMPUTED_VALUE"""),1.0)</f>
        <v>1</v>
      </c>
      <c r="C3309" s="2">
        <f>IFERROR(__xludf.DUMMYFUNCTION("""COMPUTED_VALUE"""),787.0)</f>
        <v>787</v>
      </c>
      <c r="D3309" s="3">
        <f>IFERROR(__xludf.DUMMYFUNCTION("""COMPUTED_VALUE"""),696.0)</f>
        <v>696</v>
      </c>
      <c r="E3309" s="1" t="str">
        <f t="array" ref="E3309">_xlfn.XLOOKUP(A3309,Product!A:A,Product!B:B,"Bulunamadı")</f>
        <v>History</v>
      </c>
      <c r="F3309" s="1" t="str">
        <f t="array" ref="F3309">_xlfn.XLOOKUP(A3309,Product!A:A,Product!C:C,"Bulunamadı")</f>
        <v>Corporate Law</v>
      </c>
      <c r="G3309" s="2" t="str">
        <f t="array" ref="G3309">_xlfn.XLOOKUP(A3310,Product!A:A,Product!D:D,"Bulunamadı")</f>
        <v>Brightwind Publishing</v>
      </c>
      <c r="H3309" s="2">
        <f t="array" ref="H3309">_xlfn.XLOOKUP(A3311,Product!A:A,Product!E:E,"Bulunamadı")</f>
        <v>1.2</v>
      </c>
      <c r="I3309" s="2" t="str">
        <f t="shared" si="1"/>
        <v>80203 - History - Corporate Law</v>
      </c>
      <c r="J3309" s="2">
        <f t="shared" si="2"/>
        <v>835.2</v>
      </c>
      <c r="K3309" s="17">
        <f t="shared" si="3"/>
        <v>1</v>
      </c>
      <c r="L3309" s="18"/>
    </row>
    <row r="3310" hidden="1">
      <c r="A3310" s="2">
        <f>IFERROR(__xludf.DUMMYFUNCTION("""COMPUTED_VALUE"""),100670.0)</f>
        <v>100670</v>
      </c>
      <c r="B3310" s="2">
        <f>IFERROR(__xludf.DUMMYFUNCTION("""COMPUTED_VALUE"""),1.0)</f>
        <v>1</v>
      </c>
      <c r="C3310" s="2">
        <f>IFERROR(__xludf.DUMMYFUNCTION("""COMPUTED_VALUE"""),182.0)</f>
        <v>182</v>
      </c>
      <c r="D3310" s="3">
        <f>IFERROR(__xludf.DUMMYFUNCTION("""COMPUTED_VALUE"""),10.0)</f>
        <v>10</v>
      </c>
      <c r="E3310" s="1" t="str">
        <f t="array" ref="E3310">_xlfn.XLOOKUP(A3310,Product!A:A,Product!B:B,"Bulunamadı")</f>
        <v>History</v>
      </c>
      <c r="F3310" s="1" t="str">
        <f t="array" ref="F3310">_xlfn.XLOOKUP(A3310,Product!A:A,Product!C:C,"Bulunamadı")</f>
        <v>Corporate Law</v>
      </c>
      <c r="G3310" s="2" t="str">
        <f t="array" ref="G3310">_xlfn.XLOOKUP(A3311,Product!A:A,Product!D:D,"Bulunamadı")</f>
        <v>Brightwind Publishing</v>
      </c>
      <c r="H3310" s="2">
        <f t="array" ref="H3310">_xlfn.XLOOKUP(A3312,Product!A:A,Product!E:E,"Bulunamadı")</f>
        <v>0.96</v>
      </c>
      <c r="I3310" s="2" t="str">
        <f t="shared" si="1"/>
        <v>100670 - History - Corporate Law</v>
      </c>
      <c r="J3310" s="2">
        <f t="shared" si="2"/>
        <v>9.6</v>
      </c>
      <c r="K3310" s="17">
        <f t="shared" si="3"/>
        <v>1</v>
      </c>
      <c r="L3310" s="18"/>
    </row>
    <row r="3311" hidden="1">
      <c r="A3311" s="2">
        <f>IFERROR(__xludf.DUMMYFUNCTION("""COMPUTED_VALUE"""),16546.0)</f>
        <v>16546</v>
      </c>
      <c r="B3311" s="2">
        <f>IFERROR(__xludf.DUMMYFUNCTION("""COMPUTED_VALUE"""),1.0)</f>
        <v>1</v>
      </c>
      <c r="C3311" s="2">
        <f>IFERROR(__xludf.DUMMYFUNCTION("""COMPUTED_VALUE"""),580.0)</f>
        <v>580</v>
      </c>
      <c r="D3311" s="3">
        <f>IFERROR(__xludf.DUMMYFUNCTION("""COMPUTED_VALUE"""),165.0)</f>
        <v>165</v>
      </c>
      <c r="E3311" s="1" t="str">
        <f t="array" ref="E3311">_xlfn.XLOOKUP(A3311,Product!A:A,Product!B:B,"Bulunamadı")</f>
        <v>History</v>
      </c>
      <c r="F3311" s="1" t="str">
        <f t="array" ref="F3311">_xlfn.XLOOKUP(A3311,Product!A:A,Product!C:C,"Bulunamadı")</f>
        <v>Corporate Law</v>
      </c>
      <c r="G3311" s="2" t="str">
        <f t="array" ref="G3311">_xlfn.XLOOKUP(A3312,Product!A:A,Product!D:D,"Bulunamadı")</f>
        <v>Brightwind Publishing</v>
      </c>
      <c r="H3311" s="2">
        <f t="array" ref="H3311">_xlfn.XLOOKUP(A3313,Product!A:A,Product!E:E,"Bulunamadı")</f>
        <v>0.87</v>
      </c>
      <c r="I3311" s="2" t="str">
        <f t="shared" si="1"/>
        <v>16546 - History - Corporate Law</v>
      </c>
      <c r="J3311" s="2">
        <f t="shared" si="2"/>
        <v>143.55</v>
      </c>
      <c r="K3311" s="17">
        <f t="shared" si="3"/>
        <v>1</v>
      </c>
      <c r="L3311" s="18"/>
    </row>
    <row r="3312" hidden="1">
      <c r="A3312" s="2">
        <f>IFERROR(__xludf.DUMMYFUNCTION("""COMPUTED_VALUE"""),121622.0)</f>
        <v>121622</v>
      </c>
      <c r="B3312" s="2">
        <f>IFERROR(__xludf.DUMMYFUNCTION("""COMPUTED_VALUE"""),1.0)</f>
        <v>1</v>
      </c>
      <c r="C3312" s="2">
        <f>IFERROR(__xludf.DUMMYFUNCTION("""COMPUTED_VALUE"""),192.0)</f>
        <v>192</v>
      </c>
      <c r="D3312" s="3">
        <f>IFERROR(__xludf.DUMMYFUNCTION("""COMPUTED_VALUE"""),164.0)</f>
        <v>164</v>
      </c>
      <c r="E3312" s="1" t="str">
        <f t="array" ref="E3312">_xlfn.XLOOKUP(A3312,Product!A:A,Product!B:B,"Bulunamadı")</f>
        <v>History</v>
      </c>
      <c r="F3312" s="1" t="str">
        <f t="array" ref="F3312">_xlfn.XLOOKUP(A3312,Product!A:A,Product!C:C,"Bulunamadı")</f>
        <v>Corporate Law</v>
      </c>
      <c r="G3312" s="2" t="str">
        <f t="array" ref="G3312">_xlfn.XLOOKUP(A3313,Product!A:A,Product!D:D,"Bulunamadı")</f>
        <v>Brightwind Publishing</v>
      </c>
      <c r="H3312" s="2">
        <f t="array" ref="H3312">_xlfn.XLOOKUP(A3314,Product!A:A,Product!E:E,"Bulunamadı")</f>
        <v>1.29</v>
      </c>
      <c r="I3312" s="2" t="str">
        <f t="shared" si="1"/>
        <v>121622 - History - Corporate Law</v>
      </c>
      <c r="J3312" s="2">
        <f t="shared" si="2"/>
        <v>211.56</v>
      </c>
      <c r="K3312" s="17">
        <f t="shared" si="3"/>
        <v>1</v>
      </c>
      <c r="L3312" s="18"/>
    </row>
    <row r="3313" hidden="1">
      <c r="A3313" s="2">
        <f>IFERROR(__xludf.DUMMYFUNCTION("""COMPUTED_VALUE"""),80202.0)</f>
        <v>80202</v>
      </c>
      <c r="B3313" s="2">
        <f>IFERROR(__xludf.DUMMYFUNCTION("""COMPUTED_VALUE"""),1.0)</f>
        <v>1</v>
      </c>
      <c r="C3313" s="2">
        <f>IFERROR(__xludf.DUMMYFUNCTION("""COMPUTED_VALUE"""),776.0)</f>
        <v>776</v>
      </c>
      <c r="D3313" s="3">
        <f>IFERROR(__xludf.DUMMYFUNCTION("""COMPUTED_VALUE"""),205.0)</f>
        <v>205</v>
      </c>
      <c r="E3313" s="1" t="str">
        <f t="array" ref="E3313">_xlfn.XLOOKUP(A3313,Product!A:A,Product!B:B,"Bulunamadı")</f>
        <v>History</v>
      </c>
      <c r="F3313" s="1" t="str">
        <f t="array" ref="F3313">_xlfn.XLOOKUP(A3313,Product!A:A,Product!C:C,"Bulunamadı")</f>
        <v>Corporate Law</v>
      </c>
      <c r="G3313" s="2" t="str">
        <f t="array" ref="G3313">_xlfn.XLOOKUP(A3314,Product!A:A,Product!D:D,"Bulunamadı")</f>
        <v>Brightwind Publishing</v>
      </c>
      <c r="H3313" s="2">
        <f t="array" ref="H3313">_xlfn.XLOOKUP(A3315,Product!A:A,Product!E:E,"Bulunamadı")</f>
        <v>1.68</v>
      </c>
      <c r="I3313" s="2" t="str">
        <f t="shared" si="1"/>
        <v>80202 - History - Corporate Law</v>
      </c>
      <c r="J3313" s="2">
        <f t="shared" si="2"/>
        <v>344.4</v>
      </c>
      <c r="K3313" s="17">
        <f t="shared" si="3"/>
        <v>1</v>
      </c>
      <c r="L3313" s="18"/>
    </row>
    <row r="3314" hidden="1">
      <c r="A3314" s="2">
        <f>IFERROR(__xludf.DUMMYFUNCTION("""COMPUTED_VALUE"""),24263.0)</f>
        <v>24263</v>
      </c>
      <c r="B3314" s="2">
        <f>IFERROR(__xludf.DUMMYFUNCTION("""COMPUTED_VALUE"""),0.0)</f>
        <v>0</v>
      </c>
      <c r="C3314" s="2">
        <f>IFERROR(__xludf.DUMMYFUNCTION("""COMPUTED_VALUE"""),716.0)</f>
        <v>716</v>
      </c>
      <c r="D3314" s="3">
        <f>IFERROR(__xludf.DUMMYFUNCTION("""COMPUTED_VALUE"""),606.0)</f>
        <v>606</v>
      </c>
      <c r="E3314" s="1" t="str">
        <f t="array" ref="E3314">_xlfn.XLOOKUP(A3314,Product!A:A,Product!B:B,"Bulunamadı")</f>
        <v>History</v>
      </c>
      <c r="F3314" s="1" t="str">
        <f t="array" ref="F3314">_xlfn.XLOOKUP(A3314,Product!A:A,Product!C:C,"Bulunamadı")</f>
        <v>Corporate Law</v>
      </c>
      <c r="G3314" s="2" t="str">
        <f t="array" ref="G3314">_xlfn.XLOOKUP(A3315,Product!A:A,Product!D:D,"Bulunamadı")</f>
        <v>Brightwind Publishing</v>
      </c>
      <c r="H3314" s="2">
        <f t="array" ref="H3314">_xlfn.XLOOKUP(A3316,Product!A:A,Product!E:E,"Bulunamadı")</f>
        <v>0.81</v>
      </c>
      <c r="I3314" s="2" t="str">
        <f t="shared" si="1"/>
        <v>24263 - History - Corporate Law</v>
      </c>
      <c r="J3314" s="2">
        <f t="shared" si="2"/>
        <v>490.86</v>
      </c>
      <c r="K3314" s="17">
        <f t="shared" si="3"/>
        <v>1</v>
      </c>
      <c r="L3314" s="18"/>
    </row>
    <row r="3315" hidden="1">
      <c r="A3315" s="2">
        <f>IFERROR(__xludf.DUMMYFUNCTION("""COMPUTED_VALUE"""),16552.0)</f>
        <v>16552</v>
      </c>
      <c r="B3315" s="2">
        <f>IFERROR(__xludf.DUMMYFUNCTION("""COMPUTED_VALUE"""),1.0)</f>
        <v>1</v>
      </c>
      <c r="C3315" s="2">
        <f>IFERROR(__xludf.DUMMYFUNCTION("""COMPUTED_VALUE"""),203.0)</f>
        <v>203</v>
      </c>
      <c r="D3315" s="3">
        <f>IFERROR(__xludf.DUMMYFUNCTION("""COMPUTED_VALUE"""),25.0)</f>
        <v>25</v>
      </c>
      <c r="E3315" s="1" t="str">
        <f t="array" ref="E3315">_xlfn.XLOOKUP(A3315,Product!A:A,Product!B:B,"Bulunamadı")</f>
        <v>History</v>
      </c>
      <c r="F3315" s="1" t="str">
        <f t="array" ref="F3315">_xlfn.XLOOKUP(A3315,Product!A:A,Product!C:C,"Bulunamadı")</f>
        <v>Corporate Law</v>
      </c>
      <c r="G3315" s="2" t="str">
        <f t="array" ref="G3315">_xlfn.XLOOKUP(A3316,Product!A:A,Product!D:D,"Bulunamadı")</f>
        <v>Oakwind Books</v>
      </c>
      <c r="H3315" s="2">
        <f t="array" ref="H3315">_xlfn.XLOOKUP(A3317,Product!A:A,Product!E:E,"Bulunamadı")</f>
        <v>1.01</v>
      </c>
      <c r="I3315" s="2" t="str">
        <f t="shared" si="1"/>
        <v>16552 - History - Corporate Law</v>
      </c>
      <c r="J3315" s="2">
        <f t="shared" si="2"/>
        <v>25.25</v>
      </c>
      <c r="K3315" s="17">
        <f t="shared" si="3"/>
        <v>1</v>
      </c>
      <c r="L3315" s="18"/>
    </row>
    <row r="3316" hidden="1">
      <c r="A3316" s="2">
        <f>IFERROR(__xludf.DUMMYFUNCTION("""COMPUTED_VALUE"""),112771.0)</f>
        <v>112771</v>
      </c>
      <c r="B3316" s="2">
        <f>IFERROR(__xludf.DUMMYFUNCTION("""COMPUTED_VALUE"""),1.0)</f>
        <v>1</v>
      </c>
      <c r="C3316" s="2">
        <f>IFERROR(__xludf.DUMMYFUNCTION("""COMPUTED_VALUE"""),459.0)</f>
        <v>459</v>
      </c>
      <c r="D3316" s="3">
        <f>IFERROR(__xludf.DUMMYFUNCTION("""COMPUTED_VALUE"""),111.0)</f>
        <v>111</v>
      </c>
      <c r="E3316" s="1" t="str">
        <f t="array" ref="E3316">_xlfn.XLOOKUP(A3316,Product!A:A,Product!B:B,"Bulunamadı")</f>
        <v>History</v>
      </c>
      <c r="F3316" s="1" t="str">
        <f t="array" ref="F3316">_xlfn.XLOOKUP(A3316,Product!A:A,Product!C:C,"Bulunamadı")</f>
        <v>Corporate Law</v>
      </c>
      <c r="G3316" s="2" t="str">
        <f t="array" ref="G3316">_xlfn.XLOOKUP(A3317,Product!A:A,Product!D:D,"Bulunamadı")</f>
        <v>Oakwind Books</v>
      </c>
      <c r="H3316" s="2">
        <f t="array" ref="H3316">_xlfn.XLOOKUP(A3318,Product!A:A,Product!E:E,"Bulunamadı")</f>
        <v>0.86</v>
      </c>
      <c r="I3316" s="2" t="str">
        <f t="shared" si="1"/>
        <v>112771 - History - Corporate Law</v>
      </c>
      <c r="J3316" s="2">
        <f t="shared" si="2"/>
        <v>95.46</v>
      </c>
      <c r="K3316" s="17">
        <f t="shared" si="3"/>
        <v>1</v>
      </c>
      <c r="L3316" s="18"/>
    </row>
    <row r="3317" hidden="1">
      <c r="A3317" s="2">
        <f>IFERROR(__xludf.DUMMYFUNCTION("""COMPUTED_VALUE"""),116197.0)</f>
        <v>116197</v>
      </c>
      <c r="B3317" s="2">
        <f>IFERROR(__xludf.DUMMYFUNCTION("""COMPUTED_VALUE"""),1.0)</f>
        <v>1</v>
      </c>
      <c r="C3317" s="2">
        <f>IFERROR(__xludf.DUMMYFUNCTION("""COMPUTED_VALUE"""),356.0)</f>
        <v>356</v>
      </c>
      <c r="D3317" s="3">
        <f>IFERROR(__xludf.DUMMYFUNCTION("""COMPUTED_VALUE"""),129.0)</f>
        <v>129</v>
      </c>
      <c r="E3317" s="1" t="str">
        <f t="array" ref="E3317">_xlfn.XLOOKUP(A3317,Product!A:A,Product!B:B,"Bulunamadı")</f>
        <v>History</v>
      </c>
      <c r="F3317" s="1" t="str">
        <f t="array" ref="F3317">_xlfn.XLOOKUP(A3317,Product!A:A,Product!C:C,"Bulunamadı")</f>
        <v>Corporate Law</v>
      </c>
      <c r="G3317" s="2" t="str">
        <f t="array" ref="G3317">_xlfn.XLOOKUP(A3318,Product!A:A,Product!D:D,"Bulunamadı")</f>
        <v>Oakwind Books</v>
      </c>
      <c r="H3317" s="2">
        <f t="array" ref="H3317">_xlfn.XLOOKUP(A3319,Product!A:A,Product!E:E,"Bulunamadı")</f>
        <v>1.16</v>
      </c>
      <c r="I3317" s="2" t="str">
        <f t="shared" si="1"/>
        <v>116197 - History - Corporate Law</v>
      </c>
      <c r="J3317" s="2">
        <f t="shared" si="2"/>
        <v>149.64</v>
      </c>
      <c r="K3317" s="17">
        <f t="shared" si="3"/>
        <v>1</v>
      </c>
      <c r="L3317" s="18"/>
    </row>
    <row r="3318" hidden="1">
      <c r="A3318" s="2">
        <f>IFERROR(__xludf.DUMMYFUNCTION("""COMPUTED_VALUE"""),46138.0)</f>
        <v>46138</v>
      </c>
      <c r="B3318" s="2">
        <f>IFERROR(__xludf.DUMMYFUNCTION("""COMPUTED_VALUE"""),0.0)</f>
        <v>0</v>
      </c>
      <c r="C3318" s="2">
        <f>IFERROR(__xludf.DUMMYFUNCTION("""COMPUTED_VALUE"""),873.0)</f>
        <v>873</v>
      </c>
      <c r="D3318" s="3">
        <f>IFERROR(__xludf.DUMMYFUNCTION("""COMPUTED_VALUE"""),638.0)</f>
        <v>638</v>
      </c>
      <c r="E3318" s="1" t="str">
        <f t="array" ref="E3318">_xlfn.XLOOKUP(A3318,Product!A:A,Product!B:B,"Bulunamadı")</f>
        <v>History</v>
      </c>
      <c r="F3318" s="1" t="str">
        <f t="array" ref="F3318">_xlfn.XLOOKUP(A3318,Product!A:A,Product!C:C,"Bulunamadı")</f>
        <v>Corporate Law</v>
      </c>
      <c r="G3318" s="2" t="str">
        <f t="array" ref="G3318">_xlfn.XLOOKUP(A3319,Product!A:A,Product!D:D,"Bulunamadı")</f>
        <v>Oakwind Books</v>
      </c>
      <c r="H3318" s="2">
        <f t="array" ref="H3318">_xlfn.XLOOKUP(A3320,Product!A:A,Product!E:E,"Bulunamadı")</f>
        <v>1.52</v>
      </c>
      <c r="I3318" s="2" t="str">
        <f t="shared" si="1"/>
        <v>46138 - History - Corporate Law</v>
      </c>
      <c r="J3318" s="2">
        <f t="shared" si="2"/>
        <v>969.76</v>
      </c>
      <c r="K3318" s="17">
        <f t="shared" si="3"/>
        <v>1</v>
      </c>
      <c r="L3318" s="18"/>
    </row>
    <row r="3319" hidden="1">
      <c r="A3319" s="2">
        <f>IFERROR(__xludf.DUMMYFUNCTION("""COMPUTED_VALUE"""),109546.0)</f>
        <v>109546</v>
      </c>
      <c r="B3319" s="2">
        <f>IFERROR(__xludf.DUMMYFUNCTION("""COMPUTED_VALUE"""),0.0)</f>
        <v>0</v>
      </c>
      <c r="C3319" s="2">
        <f>IFERROR(__xludf.DUMMYFUNCTION("""COMPUTED_VALUE"""),349.0)</f>
        <v>349</v>
      </c>
      <c r="D3319" s="3">
        <f>IFERROR(__xludf.DUMMYFUNCTION("""COMPUTED_VALUE"""),272.0)</f>
        <v>272</v>
      </c>
      <c r="E3319" s="1" t="str">
        <f t="array" ref="E3319">_xlfn.XLOOKUP(A3319,Product!A:A,Product!B:B,"Bulunamadı")</f>
        <v>History</v>
      </c>
      <c r="F3319" s="1" t="str">
        <f t="array" ref="F3319">_xlfn.XLOOKUP(A3319,Product!A:A,Product!C:C,"Bulunamadı")</f>
        <v>Corporate Law</v>
      </c>
      <c r="G3319" s="2" t="str">
        <f t="array" ref="G3319">_xlfn.XLOOKUP(A3320,Product!A:A,Product!D:D,"Bulunamadı")</f>
        <v>Oakwind Books</v>
      </c>
      <c r="H3319" s="2">
        <f t="array" ref="H3319">_xlfn.XLOOKUP(A3321,Product!A:A,Product!E:E,"Bulunamadı")</f>
        <v>1.55</v>
      </c>
      <c r="I3319" s="2" t="str">
        <f t="shared" si="1"/>
        <v>109546 - History - Corporate Law</v>
      </c>
      <c r="J3319" s="2">
        <f t="shared" si="2"/>
        <v>421.6</v>
      </c>
      <c r="K3319" s="17">
        <f t="shared" si="3"/>
        <v>1</v>
      </c>
      <c r="L3319" s="18"/>
    </row>
    <row r="3320" hidden="1">
      <c r="A3320" s="2">
        <f>IFERROR(__xludf.DUMMYFUNCTION("""COMPUTED_VALUE"""),199475.0)</f>
        <v>199475</v>
      </c>
      <c r="B3320" s="2">
        <f>IFERROR(__xludf.DUMMYFUNCTION("""COMPUTED_VALUE"""),0.0)</f>
        <v>0</v>
      </c>
      <c r="C3320" s="2">
        <f>IFERROR(__xludf.DUMMYFUNCTION("""COMPUTED_VALUE"""),819.0)</f>
        <v>819</v>
      </c>
      <c r="D3320" s="3">
        <f>IFERROR(__xludf.DUMMYFUNCTION("""COMPUTED_VALUE"""),330.0)</f>
        <v>330</v>
      </c>
      <c r="E3320" s="1" t="str">
        <f t="array" ref="E3320">_xlfn.XLOOKUP(A3320,Product!A:A,Product!B:B,"Bulunamadı")</f>
        <v>History</v>
      </c>
      <c r="F3320" s="1" t="str">
        <f t="array" ref="F3320">_xlfn.XLOOKUP(A3320,Product!A:A,Product!C:C,"Bulunamadı")</f>
        <v>Corporate Law</v>
      </c>
      <c r="G3320" s="2" t="str">
        <f t="array" ref="G3320">_xlfn.XLOOKUP(A3321,Product!A:A,Product!D:D,"Bulunamadı")</f>
        <v>Oakwind Books</v>
      </c>
      <c r="H3320" s="2">
        <f t="array" ref="H3320">_xlfn.XLOOKUP(A3322,Product!A:A,Product!E:E,"Bulunamadı")</f>
        <v>2.03</v>
      </c>
      <c r="I3320" s="2" t="str">
        <f t="shared" si="1"/>
        <v>199475 - History - Corporate Law</v>
      </c>
      <c r="J3320" s="2">
        <f t="shared" si="2"/>
        <v>669.9</v>
      </c>
      <c r="K3320" s="17">
        <f t="shared" si="3"/>
        <v>1</v>
      </c>
      <c r="L3320" s="18"/>
    </row>
    <row r="3321" hidden="1">
      <c r="A3321" s="2">
        <f>IFERROR(__xludf.DUMMYFUNCTION("""COMPUTED_VALUE"""),199479.0)</f>
        <v>199479</v>
      </c>
      <c r="B3321" s="2">
        <f>IFERROR(__xludf.DUMMYFUNCTION("""COMPUTED_VALUE"""),1.0)</f>
        <v>1</v>
      </c>
      <c r="C3321" s="2">
        <f>IFERROR(__xludf.DUMMYFUNCTION("""COMPUTED_VALUE"""),161.0)</f>
        <v>161</v>
      </c>
      <c r="D3321" s="3">
        <f>IFERROR(__xludf.DUMMYFUNCTION("""COMPUTED_VALUE"""),116.0)</f>
        <v>116</v>
      </c>
      <c r="E3321" s="1" t="str">
        <f t="array" ref="E3321">_xlfn.XLOOKUP(A3321,Product!A:A,Product!B:B,"Bulunamadı")</f>
        <v>History</v>
      </c>
      <c r="F3321" s="1" t="str">
        <f t="array" ref="F3321">_xlfn.XLOOKUP(A3321,Product!A:A,Product!C:C,"Bulunamadı")</f>
        <v>Corporate Law</v>
      </c>
      <c r="G3321" s="2" t="str">
        <f t="array" ref="G3321">_xlfn.XLOOKUP(A3322,Product!A:A,Product!D:D,"Bulunamadı")</f>
        <v>Riverwind Press</v>
      </c>
      <c r="H3321" s="2">
        <f t="array" ref="H3321">_xlfn.XLOOKUP(A3323,Product!A:A,Product!E:E,"Bulunamadı")</f>
        <v>1.97</v>
      </c>
      <c r="I3321" s="2" t="str">
        <f t="shared" si="1"/>
        <v>199479 - History - Corporate Law</v>
      </c>
      <c r="J3321" s="2">
        <f t="shared" si="2"/>
        <v>228.52</v>
      </c>
      <c r="K3321" s="17">
        <f t="shared" si="3"/>
        <v>1</v>
      </c>
      <c r="L3321" s="18"/>
    </row>
    <row r="3322" hidden="1">
      <c r="A3322" s="2">
        <f>IFERROR(__xludf.DUMMYFUNCTION("""COMPUTED_VALUE"""),48180.0)</f>
        <v>48180</v>
      </c>
      <c r="B3322" s="2">
        <f>IFERROR(__xludf.DUMMYFUNCTION("""COMPUTED_VALUE"""),1.0)</f>
        <v>1</v>
      </c>
      <c r="C3322" s="2">
        <f>IFERROR(__xludf.DUMMYFUNCTION("""COMPUTED_VALUE"""),136.0)</f>
        <v>136</v>
      </c>
      <c r="D3322" s="3">
        <f>IFERROR(__xludf.DUMMYFUNCTION("""COMPUTED_VALUE"""),133.0)</f>
        <v>133</v>
      </c>
      <c r="E3322" s="1" t="str">
        <f t="array" ref="E3322">_xlfn.XLOOKUP(A3322,Product!A:A,Product!B:B,"Bulunamadı")</f>
        <v>History</v>
      </c>
      <c r="F3322" s="1" t="str">
        <f t="array" ref="F3322">_xlfn.XLOOKUP(A3322,Product!A:A,Product!C:C,"Bulunamadı")</f>
        <v>Corporate Law</v>
      </c>
      <c r="G3322" s="2" t="str">
        <f t="array" ref="G3322">_xlfn.XLOOKUP(A3323,Product!A:A,Product!D:D,"Bulunamadı")</f>
        <v>Riverwind Press</v>
      </c>
      <c r="H3322" s="2">
        <f t="array" ref="H3322">_xlfn.XLOOKUP(A3324,Product!A:A,Product!E:E,"Bulunamadı")</f>
        <v>1.83</v>
      </c>
      <c r="I3322" s="2" t="str">
        <f t="shared" si="1"/>
        <v>48180 - History - Corporate Law</v>
      </c>
      <c r="J3322" s="2">
        <f t="shared" si="2"/>
        <v>243.39</v>
      </c>
      <c r="K3322" s="17">
        <f t="shared" si="3"/>
        <v>1</v>
      </c>
      <c r="L3322" s="18"/>
    </row>
    <row r="3323" hidden="1">
      <c r="A3323" s="2">
        <f>IFERROR(__xludf.DUMMYFUNCTION("""COMPUTED_VALUE"""),90374.0)</f>
        <v>90374</v>
      </c>
      <c r="B3323" s="2">
        <f>IFERROR(__xludf.DUMMYFUNCTION("""COMPUTED_VALUE"""),0.0)</f>
        <v>0</v>
      </c>
      <c r="C3323" s="2">
        <f>IFERROR(__xludf.DUMMYFUNCTION("""COMPUTED_VALUE"""),963.0)</f>
        <v>963</v>
      </c>
      <c r="D3323" s="3">
        <f>IFERROR(__xludf.DUMMYFUNCTION("""COMPUTED_VALUE"""),696.0)</f>
        <v>696</v>
      </c>
      <c r="E3323" s="1" t="str">
        <f t="array" ref="E3323">_xlfn.XLOOKUP(A3323,Product!A:A,Product!B:B,"Bulunamadı")</f>
        <v>History</v>
      </c>
      <c r="F3323" s="1" t="str">
        <f t="array" ref="F3323">_xlfn.XLOOKUP(A3323,Product!A:A,Product!C:C,"Bulunamadı")</f>
        <v>Corporate Law</v>
      </c>
      <c r="G3323" s="2" t="str">
        <f t="array" ref="G3323">_xlfn.XLOOKUP(A3324,Product!A:A,Product!D:D,"Bulunamadı")</f>
        <v>Riverwind Press</v>
      </c>
      <c r="H3323" s="2">
        <f t="array" ref="H3323">_xlfn.XLOOKUP(A3325,Product!A:A,Product!E:E,"Bulunamadı")</f>
        <v>10.31</v>
      </c>
      <c r="I3323" s="2" t="str">
        <f t="shared" si="1"/>
        <v>90374 - History - Corporate Law</v>
      </c>
      <c r="J3323" s="2">
        <f t="shared" si="2"/>
        <v>7175.76</v>
      </c>
      <c r="K3323" s="17">
        <f t="shared" si="3"/>
        <v>1</v>
      </c>
      <c r="L3323" s="18"/>
    </row>
    <row r="3324" hidden="1">
      <c r="A3324" s="2">
        <f>IFERROR(__xludf.DUMMYFUNCTION("""COMPUTED_VALUE"""),80318.0)</f>
        <v>80318</v>
      </c>
      <c r="B3324" s="2">
        <f>IFERROR(__xludf.DUMMYFUNCTION("""COMPUTED_VALUE"""),1.0)</f>
        <v>1</v>
      </c>
      <c r="C3324" s="2">
        <f>IFERROR(__xludf.DUMMYFUNCTION("""COMPUTED_VALUE"""),167.0)</f>
        <v>167</v>
      </c>
      <c r="D3324" s="3">
        <f>IFERROR(__xludf.DUMMYFUNCTION("""COMPUTED_VALUE"""),154.0)</f>
        <v>154</v>
      </c>
      <c r="E3324" s="1" t="str">
        <f t="array" ref="E3324">_xlfn.XLOOKUP(A3324,Product!A:A,Product!B:B,"Bulunamadı")</f>
        <v>History</v>
      </c>
      <c r="F3324" s="1" t="str">
        <f t="array" ref="F3324">_xlfn.XLOOKUP(A3324,Product!A:A,Product!C:C,"Bulunamadı")</f>
        <v>Corporate Law</v>
      </c>
      <c r="G3324" s="2" t="str">
        <f t="array" ref="G3324">_xlfn.XLOOKUP(A3325,Product!A:A,Product!D:D,"Bulunamadı")</f>
        <v>Riverwind Press</v>
      </c>
      <c r="H3324" s="2">
        <f t="array" ref="H3324">_xlfn.XLOOKUP(A3326,Product!A:A,Product!E:E,"Bulunamadı")</f>
        <v>1.41</v>
      </c>
      <c r="I3324" s="2" t="str">
        <f t="shared" si="1"/>
        <v>80318 - History - Corporate Law</v>
      </c>
      <c r="J3324" s="2">
        <f t="shared" si="2"/>
        <v>217.14</v>
      </c>
      <c r="K3324" s="17">
        <f t="shared" si="3"/>
        <v>1</v>
      </c>
      <c r="L3324" s="18"/>
    </row>
    <row r="3325" hidden="1">
      <c r="A3325" s="2">
        <f>IFERROR(__xludf.DUMMYFUNCTION("""COMPUTED_VALUE"""),6206.0)</f>
        <v>6206</v>
      </c>
      <c r="B3325" s="2">
        <f>IFERROR(__xludf.DUMMYFUNCTION("""COMPUTED_VALUE"""),1.0)</f>
        <v>1</v>
      </c>
      <c r="C3325" s="2">
        <f>IFERROR(__xludf.DUMMYFUNCTION("""COMPUTED_VALUE"""),394.0)</f>
        <v>394</v>
      </c>
      <c r="D3325" s="3">
        <f>IFERROR(__xludf.DUMMYFUNCTION("""COMPUTED_VALUE"""),140.0)</f>
        <v>140</v>
      </c>
      <c r="E3325" s="1" t="str">
        <f t="array" ref="E3325">_xlfn.XLOOKUP(A3325,Product!A:A,Product!B:B,"Bulunamadı")</f>
        <v>History</v>
      </c>
      <c r="F3325" s="1" t="str">
        <f t="array" ref="F3325">_xlfn.XLOOKUP(A3325,Product!A:A,Product!C:C,"Bulunamadı")</f>
        <v>Corporate Law</v>
      </c>
      <c r="G3325" s="2" t="str">
        <f t="array" ref="G3325">_xlfn.XLOOKUP(A3326,Product!A:A,Product!D:D,"Bulunamadı")</f>
        <v>Riverwind Press</v>
      </c>
      <c r="H3325" s="2">
        <f t="array" ref="H3325">_xlfn.XLOOKUP(A3327,Product!A:A,Product!E:E,"Bulunamadı")</f>
        <v>1.49</v>
      </c>
      <c r="I3325" s="2" t="str">
        <f t="shared" si="1"/>
        <v>6206 - History - Corporate Law</v>
      </c>
      <c r="J3325" s="2">
        <f t="shared" si="2"/>
        <v>208.6</v>
      </c>
      <c r="K3325" s="17">
        <f t="shared" si="3"/>
        <v>1</v>
      </c>
      <c r="L3325" s="18"/>
    </row>
    <row r="3326" hidden="1">
      <c r="A3326" s="2">
        <f>IFERROR(__xludf.DUMMYFUNCTION("""COMPUTED_VALUE"""),181492.0)</f>
        <v>181492</v>
      </c>
      <c r="B3326" s="2">
        <f>IFERROR(__xludf.DUMMYFUNCTION("""COMPUTED_VALUE"""),0.0)</f>
        <v>0</v>
      </c>
      <c r="C3326" s="2">
        <f>IFERROR(__xludf.DUMMYFUNCTION("""COMPUTED_VALUE"""),136.0)</f>
        <v>136</v>
      </c>
      <c r="D3326" s="3">
        <f>IFERROR(__xludf.DUMMYFUNCTION("""COMPUTED_VALUE"""),17.0)</f>
        <v>17</v>
      </c>
      <c r="E3326" s="1" t="str">
        <f t="array" ref="E3326">_xlfn.XLOOKUP(A3326,Product!A:A,Product!B:B,"Bulunamadı")</f>
        <v>History</v>
      </c>
      <c r="F3326" s="1" t="str">
        <f t="array" ref="F3326">_xlfn.XLOOKUP(A3326,Product!A:A,Product!C:C,"Bulunamadı")</f>
        <v>Corporate Law</v>
      </c>
      <c r="G3326" s="2" t="str">
        <f t="array" ref="G3326">_xlfn.XLOOKUP(A3327,Product!A:A,Product!D:D,"Bulunamadı")</f>
        <v>Riverwind Press</v>
      </c>
      <c r="H3326" s="2">
        <f t="array" ref="H3326">_xlfn.XLOOKUP(A3328,Product!A:A,Product!E:E,"Bulunamadı")</f>
        <v>1.24</v>
      </c>
      <c r="I3326" s="2" t="str">
        <f t="shared" si="1"/>
        <v>181492 - History - Corporate Law</v>
      </c>
      <c r="J3326" s="2">
        <f t="shared" si="2"/>
        <v>21.08</v>
      </c>
      <c r="K3326" s="17">
        <f t="shared" si="3"/>
        <v>1</v>
      </c>
      <c r="L3326" s="18"/>
    </row>
    <row r="3327" hidden="1">
      <c r="A3327" s="2">
        <f>IFERROR(__xludf.DUMMYFUNCTION("""COMPUTED_VALUE"""),148738.0)</f>
        <v>148738</v>
      </c>
      <c r="B3327" s="2">
        <f>IFERROR(__xludf.DUMMYFUNCTION("""COMPUTED_VALUE"""),0.0)</f>
        <v>0</v>
      </c>
      <c r="C3327" s="2">
        <f>IFERROR(__xludf.DUMMYFUNCTION("""COMPUTED_VALUE"""),81.0)</f>
        <v>81</v>
      </c>
      <c r="D3327" s="3">
        <f>IFERROR(__xludf.DUMMYFUNCTION("""COMPUTED_VALUE"""),21.0)</f>
        <v>21</v>
      </c>
      <c r="E3327" s="1" t="str">
        <f t="array" ref="E3327">_xlfn.XLOOKUP(A3327,Product!A:A,Product!B:B,"Bulunamadı")</f>
        <v>History</v>
      </c>
      <c r="F3327" s="1" t="str">
        <f t="array" ref="F3327">_xlfn.XLOOKUP(A3327,Product!A:A,Product!C:C,"Bulunamadı")</f>
        <v>Corporate Law</v>
      </c>
      <c r="G3327" s="2" t="str">
        <f t="array" ref="G3327">_xlfn.XLOOKUP(A3328,Product!A:A,Product!D:D,"Bulunamadı")</f>
        <v>Riverwind Press</v>
      </c>
      <c r="H3327" s="2">
        <f t="array" ref="H3327">_xlfn.XLOOKUP(A3329,Product!A:A,Product!E:E,"Bulunamadı")</f>
        <v>9.81</v>
      </c>
      <c r="I3327" s="2" t="str">
        <f t="shared" si="1"/>
        <v>148738 - History - Corporate Law</v>
      </c>
      <c r="J3327" s="2">
        <f t="shared" si="2"/>
        <v>206.01</v>
      </c>
      <c r="K3327" s="17">
        <f t="shared" si="3"/>
        <v>1</v>
      </c>
      <c r="L3327" s="18"/>
    </row>
    <row r="3328" hidden="1">
      <c r="A3328" s="2">
        <f>IFERROR(__xludf.DUMMYFUNCTION("""COMPUTED_VALUE"""),100692.0)</f>
        <v>100692</v>
      </c>
      <c r="B3328" s="2">
        <f>IFERROR(__xludf.DUMMYFUNCTION("""COMPUTED_VALUE"""),1.0)</f>
        <v>1</v>
      </c>
      <c r="C3328" s="2">
        <f>IFERROR(__xludf.DUMMYFUNCTION("""COMPUTED_VALUE"""),746.0)</f>
        <v>746</v>
      </c>
      <c r="D3328" s="3">
        <f>IFERROR(__xludf.DUMMYFUNCTION("""COMPUTED_VALUE"""),564.0)</f>
        <v>564</v>
      </c>
      <c r="E3328" s="1" t="str">
        <f t="array" ref="E3328">_xlfn.XLOOKUP(A3328,Product!A:A,Product!B:B,"Bulunamadı")</f>
        <v>History</v>
      </c>
      <c r="F3328" s="1" t="str">
        <f t="array" ref="F3328">_xlfn.XLOOKUP(A3328,Product!A:A,Product!C:C,"Bulunamadı")</f>
        <v>Corporate Law</v>
      </c>
      <c r="G3328" s="2" t="str">
        <f t="array" ref="G3328">_xlfn.XLOOKUP(A3329,Product!A:A,Product!D:D,"Bulunamadı")</f>
        <v>Ironwind Publishing</v>
      </c>
      <c r="H3328" s="2">
        <f t="array" ref="H3328">_xlfn.XLOOKUP(A3330,Product!A:A,Product!E:E,"Bulunamadı")</f>
        <v>2.1</v>
      </c>
      <c r="I3328" s="2" t="str">
        <f t="shared" si="1"/>
        <v>100692 - History - Corporate Law</v>
      </c>
      <c r="J3328" s="2">
        <f t="shared" si="2"/>
        <v>1184.4</v>
      </c>
      <c r="K3328" s="17">
        <f t="shared" si="3"/>
        <v>1</v>
      </c>
      <c r="L3328" s="18"/>
    </row>
    <row r="3329" hidden="1">
      <c r="A3329" s="2">
        <f>IFERROR(__xludf.DUMMYFUNCTION("""COMPUTED_VALUE"""),121708.0)</f>
        <v>121708</v>
      </c>
      <c r="B3329" s="2">
        <f>IFERROR(__xludf.DUMMYFUNCTION("""COMPUTED_VALUE"""),1.0)</f>
        <v>1</v>
      </c>
      <c r="C3329" s="2">
        <f>IFERROR(__xludf.DUMMYFUNCTION("""COMPUTED_VALUE"""),900.0)</f>
        <v>900</v>
      </c>
      <c r="D3329" s="3">
        <f>IFERROR(__xludf.DUMMYFUNCTION("""COMPUTED_VALUE"""),598.0)</f>
        <v>598</v>
      </c>
      <c r="E3329" s="1" t="str">
        <f t="array" ref="E3329">_xlfn.XLOOKUP(A3329,Product!A:A,Product!B:B,"Bulunamadı")</f>
        <v>History</v>
      </c>
      <c r="F3329" s="1" t="str">
        <f t="array" ref="F3329">_xlfn.XLOOKUP(A3329,Product!A:A,Product!C:C,"Bulunamadı")</f>
        <v>Corporate Law</v>
      </c>
      <c r="G3329" s="2" t="str">
        <f t="array" ref="G3329">_xlfn.XLOOKUP(A3330,Product!A:A,Product!D:D,"Bulunamadı")</f>
        <v>Ironwind Publishing</v>
      </c>
      <c r="H3329" s="2">
        <f t="array" ref="H3329">_xlfn.XLOOKUP(A3331,Product!A:A,Product!E:E,"Bulunamadı")</f>
        <v>1.86</v>
      </c>
      <c r="I3329" s="2" t="str">
        <f t="shared" si="1"/>
        <v>121708 - History - Corporate Law</v>
      </c>
      <c r="J3329" s="2">
        <f t="shared" si="2"/>
        <v>1112.28</v>
      </c>
      <c r="K3329" s="17">
        <f t="shared" si="3"/>
        <v>1</v>
      </c>
      <c r="L3329" s="18"/>
    </row>
    <row r="3330" hidden="1">
      <c r="A3330" s="2">
        <f>IFERROR(__xludf.DUMMYFUNCTION("""COMPUTED_VALUE"""),47508.0)</f>
        <v>47508</v>
      </c>
      <c r="B3330" s="2">
        <f>IFERROR(__xludf.DUMMYFUNCTION("""COMPUTED_VALUE"""),0.0)</f>
        <v>0</v>
      </c>
      <c r="C3330" s="2">
        <f>IFERROR(__xludf.DUMMYFUNCTION("""COMPUTED_VALUE"""),192.0)</f>
        <v>192</v>
      </c>
      <c r="D3330" s="3">
        <f>IFERROR(__xludf.DUMMYFUNCTION("""COMPUTED_VALUE"""),41.0)</f>
        <v>41</v>
      </c>
      <c r="E3330" s="1" t="str">
        <f t="array" ref="E3330">_xlfn.XLOOKUP(A3330,Product!A:A,Product!B:B,"Bulunamadı")</f>
        <v>History</v>
      </c>
      <c r="F3330" s="1" t="str">
        <f t="array" ref="F3330">_xlfn.XLOOKUP(A3330,Product!A:A,Product!C:C,"Bulunamadı")</f>
        <v>Corporate Law</v>
      </c>
      <c r="G3330" s="2" t="str">
        <f t="array" ref="G3330">_xlfn.XLOOKUP(A3331,Product!A:A,Product!D:D,"Bulunamadı")</f>
        <v>Ironwind Publishing</v>
      </c>
      <c r="H3330" s="2">
        <f t="array" ref="H3330">_xlfn.XLOOKUP(A3332,Product!A:A,Product!E:E,"Bulunamadı")</f>
        <v>2.12</v>
      </c>
      <c r="I3330" s="2" t="str">
        <f t="shared" si="1"/>
        <v>47508 - History - Corporate Law</v>
      </c>
      <c r="J3330" s="2">
        <f t="shared" si="2"/>
        <v>86.92</v>
      </c>
      <c r="K3330" s="17">
        <f t="shared" si="3"/>
        <v>1</v>
      </c>
      <c r="L3330" s="18"/>
    </row>
    <row r="3331" hidden="1">
      <c r="A3331" s="2">
        <f>IFERROR(__xludf.DUMMYFUNCTION("""COMPUTED_VALUE"""),89514.0)</f>
        <v>89514</v>
      </c>
      <c r="B3331" s="2">
        <f>IFERROR(__xludf.DUMMYFUNCTION("""COMPUTED_VALUE"""),1.0)</f>
        <v>1</v>
      </c>
      <c r="C3331" s="2">
        <f>IFERROR(__xludf.DUMMYFUNCTION("""COMPUTED_VALUE"""),935.0)</f>
        <v>935</v>
      </c>
      <c r="D3331" s="3">
        <f>IFERROR(__xludf.DUMMYFUNCTION("""COMPUTED_VALUE"""),131.0)</f>
        <v>131</v>
      </c>
      <c r="E3331" s="1" t="str">
        <f t="array" ref="E3331">_xlfn.XLOOKUP(A3331,Product!A:A,Product!B:B,"Bulunamadı")</f>
        <v>History</v>
      </c>
      <c r="F3331" s="1" t="str">
        <f t="array" ref="F3331">_xlfn.XLOOKUP(A3331,Product!A:A,Product!C:C,"Bulunamadı")</f>
        <v>Corporate Law</v>
      </c>
      <c r="G3331" s="2" t="str">
        <f t="array" ref="G3331">_xlfn.XLOOKUP(A3332,Product!A:A,Product!D:D,"Bulunamadı")</f>
        <v>Ironwind Publishing</v>
      </c>
      <c r="H3331" s="2">
        <f t="array" ref="H3331">_xlfn.XLOOKUP(A3333,Product!A:A,Product!E:E,"Bulunamadı")</f>
        <v>2.16</v>
      </c>
      <c r="I3331" s="2" t="str">
        <f t="shared" si="1"/>
        <v>89514 - History - Corporate Law</v>
      </c>
      <c r="J3331" s="2">
        <f t="shared" si="2"/>
        <v>282.96</v>
      </c>
      <c r="K3331" s="17">
        <f t="shared" si="3"/>
        <v>1</v>
      </c>
      <c r="L3331" s="18"/>
    </row>
    <row r="3332" hidden="1">
      <c r="A3332" s="2">
        <f>IFERROR(__xludf.DUMMYFUNCTION("""COMPUTED_VALUE"""),117918.0)</f>
        <v>117918</v>
      </c>
      <c r="B3332" s="2">
        <f>IFERROR(__xludf.DUMMYFUNCTION("""COMPUTED_VALUE"""),0.0)</f>
        <v>0</v>
      </c>
      <c r="C3332" s="2">
        <f>IFERROR(__xludf.DUMMYFUNCTION("""COMPUTED_VALUE"""),8.0)</f>
        <v>8</v>
      </c>
      <c r="D3332" s="3">
        <f>IFERROR(__xludf.DUMMYFUNCTION("""COMPUTED_VALUE"""),7.0)</f>
        <v>7</v>
      </c>
      <c r="E3332" s="1" t="str">
        <f t="array" ref="E3332">_xlfn.XLOOKUP(A3332,Product!A:A,Product!B:B,"Bulunamadı")</f>
        <v>History</v>
      </c>
      <c r="F3332" s="1" t="str">
        <f t="array" ref="F3332">_xlfn.XLOOKUP(A3332,Product!A:A,Product!C:C,"Bulunamadı")</f>
        <v>Corporate Law</v>
      </c>
      <c r="G3332" s="2" t="str">
        <f t="array" ref="G3332">_xlfn.XLOOKUP(A3333,Product!A:A,Product!D:D,"Bulunamadı")</f>
        <v>Ironwind Publishing</v>
      </c>
      <c r="H3332" s="2">
        <f t="array" ref="H3332">_xlfn.XLOOKUP(A3334,Product!A:A,Product!E:E,"Bulunamadı")</f>
        <v>1.26</v>
      </c>
      <c r="I3332" s="2" t="str">
        <f t="shared" si="1"/>
        <v>117918 - History - Corporate Law</v>
      </c>
      <c r="J3332" s="2">
        <f t="shared" si="2"/>
        <v>8.82</v>
      </c>
      <c r="K3332" s="17">
        <f t="shared" si="3"/>
        <v>1</v>
      </c>
      <c r="L3332" s="18"/>
    </row>
    <row r="3333" hidden="1">
      <c r="A3333" s="2">
        <f>IFERROR(__xludf.DUMMYFUNCTION("""COMPUTED_VALUE"""),16645.0)</f>
        <v>16645</v>
      </c>
      <c r="B3333" s="2">
        <f>IFERROR(__xludf.DUMMYFUNCTION("""COMPUTED_VALUE"""),0.0)</f>
        <v>0</v>
      </c>
      <c r="C3333" s="2">
        <f>IFERROR(__xludf.DUMMYFUNCTION("""COMPUTED_VALUE"""),521.0)</f>
        <v>521</v>
      </c>
      <c r="D3333" s="3">
        <f>IFERROR(__xludf.DUMMYFUNCTION("""COMPUTED_VALUE"""),391.0)</f>
        <v>391</v>
      </c>
      <c r="E3333" s="1" t="str">
        <f t="array" ref="E3333">_xlfn.XLOOKUP(A3333,Product!A:A,Product!B:B,"Bulunamadı")</f>
        <v>History</v>
      </c>
      <c r="F3333" s="1" t="str">
        <f t="array" ref="F3333">_xlfn.XLOOKUP(A3333,Product!A:A,Product!C:C,"Bulunamadı")</f>
        <v>Corporate Law</v>
      </c>
      <c r="G3333" s="2" t="str">
        <f t="array" ref="G3333">_xlfn.XLOOKUP(A3334,Product!A:A,Product!D:D,"Bulunamadı")</f>
        <v>Ironwind Publishing</v>
      </c>
      <c r="H3333" s="2">
        <f t="array" ref="H3333">_xlfn.XLOOKUP(A3335,Product!A:A,Product!E:E,"Bulunamadı")</f>
        <v>1.25</v>
      </c>
      <c r="I3333" s="2" t="str">
        <f t="shared" si="1"/>
        <v>16645 - History - Corporate Law</v>
      </c>
      <c r="J3333" s="2">
        <f t="shared" si="2"/>
        <v>488.75</v>
      </c>
      <c r="K3333" s="17">
        <f t="shared" si="3"/>
        <v>1</v>
      </c>
      <c r="L3333" s="18"/>
    </row>
    <row r="3334" hidden="1">
      <c r="A3334" s="2">
        <f>IFERROR(__xludf.DUMMYFUNCTION("""COMPUTED_VALUE"""),148740.0)</f>
        <v>148740</v>
      </c>
      <c r="B3334" s="2">
        <f>IFERROR(__xludf.DUMMYFUNCTION("""COMPUTED_VALUE"""),0.0)</f>
        <v>0</v>
      </c>
      <c r="C3334" s="2">
        <f>IFERROR(__xludf.DUMMYFUNCTION("""COMPUTED_VALUE"""),54.0)</f>
        <v>54</v>
      </c>
      <c r="D3334" s="3">
        <f>IFERROR(__xludf.DUMMYFUNCTION("""COMPUTED_VALUE"""),50.0)</f>
        <v>50</v>
      </c>
      <c r="E3334" s="1" t="str">
        <f t="array" ref="E3334">_xlfn.XLOOKUP(A3334,Product!A:A,Product!B:B,"Bulunamadı")</f>
        <v>History</v>
      </c>
      <c r="F3334" s="1" t="str">
        <f t="array" ref="F3334">_xlfn.XLOOKUP(A3334,Product!A:A,Product!C:C,"Bulunamadı")</f>
        <v>Corporate Law</v>
      </c>
      <c r="G3334" s="2" t="str">
        <f t="array" ref="G3334">_xlfn.XLOOKUP(A3335,Product!A:A,Product!D:D,"Bulunamadı")</f>
        <v>Ironwind Publishing</v>
      </c>
      <c r="H3334" s="2">
        <f t="array" ref="H3334">_xlfn.XLOOKUP(A3336,Product!A:A,Product!E:E,"Bulunamadı")</f>
        <v>1.38</v>
      </c>
      <c r="I3334" s="2" t="str">
        <f t="shared" si="1"/>
        <v>148740 - History - Corporate Law</v>
      </c>
      <c r="J3334" s="2">
        <f t="shared" si="2"/>
        <v>69</v>
      </c>
      <c r="K3334" s="17">
        <f t="shared" si="3"/>
        <v>1</v>
      </c>
      <c r="L3334" s="18"/>
    </row>
    <row r="3335" hidden="1">
      <c r="A3335" s="2">
        <f>IFERROR(__xludf.DUMMYFUNCTION("""COMPUTED_VALUE"""),100688.0)</f>
        <v>100688</v>
      </c>
      <c r="B3335" s="2">
        <f>IFERROR(__xludf.DUMMYFUNCTION("""COMPUTED_VALUE"""),0.0)</f>
        <v>0</v>
      </c>
      <c r="C3335" s="2">
        <f>IFERROR(__xludf.DUMMYFUNCTION("""COMPUTED_VALUE"""),21.0)</f>
        <v>21</v>
      </c>
      <c r="D3335" s="3">
        <f>IFERROR(__xludf.DUMMYFUNCTION("""COMPUTED_VALUE"""),20.0)</f>
        <v>20</v>
      </c>
      <c r="E3335" s="1" t="str">
        <f t="array" ref="E3335">_xlfn.XLOOKUP(A3335,Product!A:A,Product!B:B,"Bulunamadı")</f>
        <v>History</v>
      </c>
      <c r="F3335" s="1" t="str">
        <f t="array" ref="F3335">_xlfn.XLOOKUP(A3335,Product!A:A,Product!C:C,"Bulunamadı")</f>
        <v>Corporate Law</v>
      </c>
      <c r="G3335" s="2" t="str">
        <f t="array" ref="G3335">_xlfn.XLOOKUP(A3336,Product!A:A,Product!D:D,"Bulunamadı")</f>
        <v>Ironwind Publishing</v>
      </c>
      <c r="H3335" s="2">
        <f t="array" ref="H3335">_xlfn.XLOOKUP(A3337,Product!A:A,Product!E:E,"Bulunamadı")</f>
        <v>1.14</v>
      </c>
      <c r="I3335" s="2" t="str">
        <f t="shared" si="1"/>
        <v>100688 - History - Corporate Law</v>
      </c>
      <c r="J3335" s="2">
        <f t="shared" si="2"/>
        <v>22.8</v>
      </c>
      <c r="K3335" s="17">
        <f t="shared" si="3"/>
        <v>1</v>
      </c>
      <c r="L3335" s="18"/>
    </row>
    <row r="3336" hidden="1">
      <c r="A3336" s="2">
        <f>IFERROR(__xludf.DUMMYFUNCTION("""COMPUTED_VALUE"""),148741.0)</f>
        <v>148741</v>
      </c>
      <c r="B3336" s="2">
        <f>IFERROR(__xludf.DUMMYFUNCTION("""COMPUTED_VALUE"""),1.0)</f>
        <v>1</v>
      </c>
      <c r="C3336" s="2">
        <f>IFERROR(__xludf.DUMMYFUNCTION("""COMPUTED_VALUE"""),729.0)</f>
        <v>729</v>
      </c>
      <c r="D3336" s="3">
        <f>IFERROR(__xludf.DUMMYFUNCTION("""COMPUTED_VALUE"""),723.0)</f>
        <v>723</v>
      </c>
      <c r="E3336" s="1" t="str">
        <f t="array" ref="E3336">_xlfn.XLOOKUP(A3336,Product!A:A,Product!B:B,"Bulunamadı")</f>
        <v>History</v>
      </c>
      <c r="F3336" s="1" t="str">
        <f t="array" ref="F3336">_xlfn.XLOOKUP(A3336,Product!A:A,Product!C:C,"Bulunamadı")</f>
        <v>Corporate Law</v>
      </c>
      <c r="G3336" s="2" t="str">
        <f t="array" ref="G3336">_xlfn.XLOOKUP(A3337,Product!A:A,Product!D:D,"Bulunamadı")</f>
        <v>Ironwind Publishing</v>
      </c>
      <c r="H3336" s="2">
        <f t="array" ref="H3336">_xlfn.XLOOKUP(A3338,Product!A:A,Product!E:E,"Bulunamadı")</f>
        <v>0.88</v>
      </c>
      <c r="I3336" s="2" t="str">
        <f t="shared" si="1"/>
        <v>148741 - History - Corporate Law</v>
      </c>
      <c r="J3336" s="2">
        <f t="shared" si="2"/>
        <v>636.24</v>
      </c>
      <c r="K3336" s="17">
        <f t="shared" si="3"/>
        <v>1</v>
      </c>
      <c r="L3336" s="18"/>
    </row>
    <row r="3337" hidden="1">
      <c r="A3337" s="2">
        <f>IFERROR(__xludf.DUMMYFUNCTION("""COMPUTED_VALUE"""),109299.0)</f>
        <v>109299</v>
      </c>
      <c r="B3337" s="2">
        <f>IFERROR(__xludf.DUMMYFUNCTION("""COMPUTED_VALUE"""),1.0)</f>
        <v>1</v>
      </c>
      <c r="C3337" s="2">
        <f>IFERROR(__xludf.DUMMYFUNCTION("""COMPUTED_VALUE"""),425.0)</f>
        <v>425</v>
      </c>
      <c r="D3337" s="3">
        <f>IFERROR(__xludf.DUMMYFUNCTION("""COMPUTED_VALUE"""),173.0)</f>
        <v>173</v>
      </c>
      <c r="E3337" s="1" t="str">
        <f t="array" ref="E3337">_xlfn.XLOOKUP(A3337,Product!A:A,Product!B:B,"Bulunamadı")</f>
        <v>History</v>
      </c>
      <c r="F3337" s="1" t="str">
        <f t="array" ref="F3337">_xlfn.XLOOKUP(A3337,Product!A:A,Product!C:C,"Bulunamadı")</f>
        <v>Corporate Law</v>
      </c>
      <c r="G3337" s="2" t="str">
        <f t="array" ref="G3337">_xlfn.XLOOKUP(A3338,Product!A:A,Product!D:D,"Bulunamadı")</f>
        <v>Ironwind Publishing</v>
      </c>
      <c r="H3337" s="2">
        <f t="array" ref="H3337">_xlfn.XLOOKUP(A3339,Product!A:A,Product!E:E,"Bulunamadı")</f>
        <v>10.93</v>
      </c>
      <c r="I3337" s="2" t="str">
        <f t="shared" si="1"/>
        <v>109299 - History - Corporate Law</v>
      </c>
      <c r="J3337" s="2">
        <f t="shared" si="2"/>
        <v>1890.89</v>
      </c>
      <c r="K3337" s="17">
        <f t="shared" si="3"/>
        <v>1</v>
      </c>
      <c r="L3337" s="18"/>
    </row>
    <row r="3338" hidden="1">
      <c r="A3338" s="2">
        <f>IFERROR(__xludf.DUMMYFUNCTION("""COMPUTED_VALUE"""),196109.0)</f>
        <v>196109</v>
      </c>
      <c r="B3338" s="2">
        <f>IFERROR(__xludf.DUMMYFUNCTION("""COMPUTED_VALUE"""),0.0)</f>
        <v>0</v>
      </c>
      <c r="C3338" s="2">
        <f>IFERROR(__xludf.DUMMYFUNCTION("""COMPUTED_VALUE"""),33.0)</f>
        <v>33</v>
      </c>
      <c r="D3338" s="3">
        <f>IFERROR(__xludf.DUMMYFUNCTION("""COMPUTED_VALUE"""),17.0)</f>
        <v>17</v>
      </c>
      <c r="E3338" s="1" t="str">
        <f t="array" ref="E3338">_xlfn.XLOOKUP(A3338,Product!A:A,Product!B:B,"Bulunamadı")</f>
        <v>History</v>
      </c>
      <c r="F3338" s="1" t="str">
        <f t="array" ref="F3338">_xlfn.XLOOKUP(A3338,Product!A:A,Product!C:C,"Bulunamadı")</f>
        <v>Corporate Law</v>
      </c>
      <c r="G3338" s="2" t="str">
        <f t="array" ref="G3338">_xlfn.XLOOKUP(A3339,Product!A:A,Product!D:D,"Bulunamadı")</f>
        <v>Ironwind Publishing</v>
      </c>
      <c r="H3338" s="2">
        <f t="array" ref="H3338">_xlfn.XLOOKUP(A3340,Product!A:A,Product!E:E,"Bulunamadı")</f>
        <v>2.64</v>
      </c>
      <c r="I3338" s="2" t="str">
        <f t="shared" si="1"/>
        <v>196109 - History - Corporate Law</v>
      </c>
      <c r="J3338" s="2">
        <f t="shared" si="2"/>
        <v>44.88</v>
      </c>
      <c r="K3338" s="17">
        <f t="shared" si="3"/>
        <v>1</v>
      </c>
      <c r="L3338" s="18"/>
    </row>
    <row r="3339" hidden="1">
      <c r="A3339" s="2">
        <f>IFERROR(__xludf.DUMMYFUNCTION("""COMPUTED_VALUE"""),72155.0)</f>
        <v>72155</v>
      </c>
      <c r="B3339" s="2">
        <f>IFERROR(__xludf.DUMMYFUNCTION("""COMPUTED_VALUE"""),1.0)</f>
        <v>1</v>
      </c>
      <c r="C3339" s="2">
        <f>IFERROR(__xludf.DUMMYFUNCTION("""COMPUTED_VALUE"""),189.0)</f>
        <v>189</v>
      </c>
      <c r="D3339" s="3">
        <f>IFERROR(__xludf.DUMMYFUNCTION("""COMPUTED_VALUE"""),85.0)</f>
        <v>85</v>
      </c>
      <c r="E3339" s="1" t="str">
        <f t="array" ref="E3339">_xlfn.XLOOKUP(A3339,Product!A:A,Product!B:B,"Bulunamadı")</f>
        <v>History</v>
      </c>
      <c r="F3339" s="1" t="str">
        <f t="array" ref="F3339">_xlfn.XLOOKUP(A3339,Product!A:A,Product!C:C,"Bulunamadı")</f>
        <v>Corporate Law</v>
      </c>
      <c r="G3339" s="2" t="str">
        <f t="array" ref="G3339">_xlfn.XLOOKUP(A3340,Product!A:A,Product!D:D,"Bulunamadı")</f>
        <v>Ironwind Publishing</v>
      </c>
      <c r="H3339" s="2">
        <f t="array" ref="H3339">_xlfn.XLOOKUP(A3341,Product!A:A,Product!E:E,"Bulunamadı")</f>
        <v>3.08</v>
      </c>
      <c r="I3339" s="2" t="str">
        <f t="shared" si="1"/>
        <v>72155 - History - Corporate Law</v>
      </c>
      <c r="J3339" s="2">
        <f t="shared" si="2"/>
        <v>261.8</v>
      </c>
      <c r="K3339" s="17">
        <f t="shared" si="3"/>
        <v>1</v>
      </c>
      <c r="L3339" s="18"/>
    </row>
    <row r="3340" hidden="1">
      <c r="A3340" s="2">
        <f>IFERROR(__xludf.DUMMYFUNCTION("""COMPUTED_VALUE"""),80245.0)</f>
        <v>80245</v>
      </c>
      <c r="B3340" s="2">
        <f>IFERROR(__xludf.DUMMYFUNCTION("""COMPUTED_VALUE"""),1.0)</f>
        <v>1</v>
      </c>
      <c r="C3340" s="2">
        <f>IFERROR(__xludf.DUMMYFUNCTION("""COMPUTED_VALUE"""),313.0)</f>
        <v>313</v>
      </c>
      <c r="D3340" s="3">
        <f>IFERROR(__xludf.DUMMYFUNCTION("""COMPUTED_VALUE"""),95.0)</f>
        <v>95</v>
      </c>
      <c r="E3340" s="1" t="str">
        <f t="array" ref="E3340">_xlfn.XLOOKUP(A3340,Product!A:A,Product!B:B,"Bulunamadı")</f>
        <v>History</v>
      </c>
      <c r="F3340" s="1" t="str">
        <f t="array" ref="F3340">_xlfn.XLOOKUP(A3340,Product!A:A,Product!C:C,"Bulunamadı")</f>
        <v>Corporate Law</v>
      </c>
      <c r="G3340" s="2" t="str">
        <f t="array" ref="G3340">_xlfn.XLOOKUP(A3341,Product!A:A,Product!D:D,"Bulunamadı")</f>
        <v>Ironwind Publishing</v>
      </c>
      <c r="H3340" s="2">
        <f t="array" ref="H3340">_xlfn.XLOOKUP(A3342,Product!A:A,Product!E:E,"Bulunamadı")</f>
        <v>1.45</v>
      </c>
      <c r="I3340" s="2" t="str">
        <f t="shared" si="1"/>
        <v>80245 - History - Corporate Law</v>
      </c>
      <c r="J3340" s="2">
        <f t="shared" si="2"/>
        <v>137.75</v>
      </c>
      <c r="K3340" s="17">
        <f t="shared" si="3"/>
        <v>1</v>
      </c>
      <c r="L3340" s="18"/>
    </row>
    <row r="3341" hidden="1">
      <c r="A3341" s="2">
        <f>IFERROR(__xludf.DUMMYFUNCTION("""COMPUTED_VALUE"""),6215.0)</f>
        <v>6215</v>
      </c>
      <c r="B3341" s="2">
        <f>IFERROR(__xludf.DUMMYFUNCTION("""COMPUTED_VALUE"""),1.0)</f>
        <v>1</v>
      </c>
      <c r="C3341" s="2">
        <f>IFERROR(__xludf.DUMMYFUNCTION("""COMPUTED_VALUE"""),5.0)</f>
        <v>5</v>
      </c>
      <c r="D3341" s="3">
        <f>IFERROR(__xludf.DUMMYFUNCTION("""COMPUTED_VALUE"""),0.0)</f>
        <v>0</v>
      </c>
      <c r="E3341" s="1" t="str">
        <f t="array" ref="E3341">_xlfn.XLOOKUP(A3341,Product!A:A,Product!B:B,"Bulunamadı")</f>
        <v>History</v>
      </c>
      <c r="F3341" s="1" t="str">
        <f t="array" ref="F3341">_xlfn.XLOOKUP(A3341,Product!A:A,Product!C:C,"Bulunamadı")</f>
        <v>Corporate Law</v>
      </c>
      <c r="G3341" s="2" t="str">
        <f t="array" ref="G3341">_xlfn.XLOOKUP(A3342,Product!A:A,Product!D:D,"Bulunamadı")</f>
        <v>Ironwind Publishing</v>
      </c>
      <c r="H3341" s="2">
        <f t="array" ref="H3341">_xlfn.XLOOKUP(A3343,Product!A:A,Product!E:E,"Bulunamadı")</f>
        <v>2.07</v>
      </c>
      <c r="I3341" s="2" t="str">
        <f t="shared" si="1"/>
        <v>6215 - History - Corporate Law</v>
      </c>
      <c r="J3341" s="2">
        <f t="shared" si="2"/>
        <v>0</v>
      </c>
      <c r="K3341" s="17">
        <f t="shared" si="3"/>
        <v>0</v>
      </c>
      <c r="L3341" s="18"/>
    </row>
    <row r="3342" hidden="1">
      <c r="A3342" s="2">
        <f>IFERROR(__xludf.DUMMYFUNCTION("""COMPUTED_VALUE"""),45810.0)</f>
        <v>45810</v>
      </c>
      <c r="B3342" s="2">
        <f>IFERROR(__xludf.DUMMYFUNCTION("""COMPUTED_VALUE"""),1.0)</f>
        <v>1</v>
      </c>
      <c r="C3342" s="2">
        <f>IFERROR(__xludf.DUMMYFUNCTION("""COMPUTED_VALUE"""),71.0)</f>
        <v>71</v>
      </c>
      <c r="D3342" s="3">
        <f>IFERROR(__xludf.DUMMYFUNCTION("""COMPUTED_VALUE"""),38.0)</f>
        <v>38</v>
      </c>
      <c r="E3342" s="1" t="str">
        <f t="array" ref="E3342">_xlfn.XLOOKUP(A3342,Product!A:A,Product!B:B,"Bulunamadı")</f>
        <v>History</v>
      </c>
      <c r="F3342" s="1" t="str">
        <f t="array" ref="F3342">_xlfn.XLOOKUP(A3342,Product!A:A,Product!C:C,"Bulunamadı")</f>
        <v>Corporate Law</v>
      </c>
      <c r="G3342" s="2" t="str">
        <f t="array" ref="G3342">_xlfn.XLOOKUP(A3343,Product!A:A,Product!D:D,"Bulunamadı")</f>
        <v>Ironwind Publishing</v>
      </c>
      <c r="H3342" s="2">
        <f t="array" ref="H3342">_xlfn.XLOOKUP(A3344,Product!A:A,Product!E:E,"Bulunamadı")</f>
        <v>1.59</v>
      </c>
      <c r="I3342" s="2" t="str">
        <f t="shared" si="1"/>
        <v>45810 - History - Corporate Law</v>
      </c>
      <c r="J3342" s="2">
        <f t="shared" si="2"/>
        <v>60.42</v>
      </c>
      <c r="K3342" s="17">
        <f t="shared" si="3"/>
        <v>1</v>
      </c>
      <c r="L3342" s="18"/>
    </row>
    <row r="3343" hidden="1">
      <c r="A3343" s="2">
        <f>IFERROR(__xludf.DUMMYFUNCTION("""COMPUTED_VALUE"""),80205.0)</f>
        <v>80205</v>
      </c>
      <c r="B3343" s="2">
        <f>IFERROR(__xludf.DUMMYFUNCTION("""COMPUTED_VALUE"""),1.0)</f>
        <v>1</v>
      </c>
      <c r="C3343" s="2">
        <f>IFERROR(__xludf.DUMMYFUNCTION("""COMPUTED_VALUE"""),865.0)</f>
        <v>865</v>
      </c>
      <c r="D3343" s="3">
        <f>IFERROR(__xludf.DUMMYFUNCTION("""COMPUTED_VALUE"""),198.0)</f>
        <v>198</v>
      </c>
      <c r="E3343" s="1" t="str">
        <f t="array" ref="E3343">_xlfn.XLOOKUP(A3343,Product!A:A,Product!B:B,"Bulunamadı")</f>
        <v>History</v>
      </c>
      <c r="F3343" s="1" t="str">
        <f t="array" ref="F3343">_xlfn.XLOOKUP(A3343,Product!A:A,Product!C:C,"Bulunamadı")</f>
        <v>Corporate Law</v>
      </c>
      <c r="G3343" s="2" t="str">
        <f t="array" ref="G3343">_xlfn.XLOOKUP(A3344,Product!A:A,Product!D:D,"Bulunamadı")</f>
        <v>Ironwind Publishing</v>
      </c>
      <c r="H3343" s="2">
        <f t="array" ref="H3343">_xlfn.XLOOKUP(A3345,Product!A:A,Product!E:E,"Bulunamadı")</f>
        <v>23.63</v>
      </c>
      <c r="I3343" s="2" t="str">
        <f t="shared" si="1"/>
        <v>80205 - History - Corporate Law</v>
      </c>
      <c r="J3343" s="2">
        <f t="shared" si="2"/>
        <v>4678.74</v>
      </c>
      <c r="K3343" s="17">
        <f t="shared" si="3"/>
        <v>1</v>
      </c>
      <c r="L3343" s="18"/>
    </row>
    <row r="3344" hidden="1">
      <c r="A3344" s="2">
        <f>IFERROR(__xludf.DUMMYFUNCTION("""COMPUTED_VALUE"""),107064.0)</f>
        <v>107064</v>
      </c>
      <c r="B3344" s="2">
        <f>IFERROR(__xludf.DUMMYFUNCTION("""COMPUTED_VALUE"""),0.0)</f>
        <v>0</v>
      </c>
      <c r="C3344" s="2">
        <f>IFERROR(__xludf.DUMMYFUNCTION("""COMPUTED_VALUE"""),105.0)</f>
        <v>105</v>
      </c>
      <c r="D3344" s="3">
        <f>IFERROR(__xludf.DUMMYFUNCTION("""COMPUTED_VALUE"""),59.0)</f>
        <v>59</v>
      </c>
      <c r="E3344" s="1" t="str">
        <f t="array" ref="E3344">_xlfn.XLOOKUP(A3344,Product!A:A,Product!B:B,"Bulunamadı")</f>
        <v>History</v>
      </c>
      <c r="F3344" s="1" t="str">
        <f t="array" ref="F3344">_xlfn.XLOOKUP(A3344,Product!A:A,Product!C:C,"Bulunamadı")</f>
        <v>Corporate Law</v>
      </c>
      <c r="G3344" s="2" t="str">
        <f t="array" ref="G3344">_xlfn.XLOOKUP(A3345,Product!A:A,Product!D:D,"Bulunamadı")</f>
        <v>Ironwind Publishing</v>
      </c>
      <c r="H3344" s="2">
        <f t="array" ref="H3344">_xlfn.XLOOKUP(A3346,Product!A:A,Product!E:E,"Bulunamadı")</f>
        <v>1.94</v>
      </c>
      <c r="I3344" s="2" t="str">
        <f t="shared" si="1"/>
        <v>107064 - History - Corporate Law</v>
      </c>
      <c r="J3344" s="2">
        <f t="shared" si="2"/>
        <v>114.46</v>
      </c>
      <c r="K3344" s="17">
        <f t="shared" si="3"/>
        <v>1</v>
      </c>
      <c r="L3344" s="18"/>
    </row>
    <row r="3345" hidden="1">
      <c r="A3345" s="2">
        <f>IFERROR(__xludf.DUMMYFUNCTION("""COMPUTED_VALUE"""),6211.0)</f>
        <v>6211</v>
      </c>
      <c r="B3345" s="2">
        <f>IFERROR(__xludf.DUMMYFUNCTION("""COMPUTED_VALUE"""),0.0)</f>
        <v>0</v>
      </c>
      <c r="C3345" s="2">
        <f>IFERROR(__xludf.DUMMYFUNCTION("""COMPUTED_VALUE"""),332.0)</f>
        <v>332</v>
      </c>
      <c r="D3345" s="3">
        <f>IFERROR(__xludf.DUMMYFUNCTION("""COMPUTED_VALUE"""),75.0)</f>
        <v>75</v>
      </c>
      <c r="E3345" s="1" t="str">
        <f t="array" ref="E3345">_xlfn.XLOOKUP(A3345,Product!A:A,Product!B:B,"Bulunamadı")</f>
        <v>History</v>
      </c>
      <c r="F3345" s="1" t="str">
        <f t="array" ref="F3345">_xlfn.XLOOKUP(A3345,Product!A:A,Product!C:C,"Bulunamadı")</f>
        <v>Corporate Law</v>
      </c>
      <c r="G3345" s="2" t="str">
        <f t="array" ref="G3345">_xlfn.XLOOKUP(A3346,Product!A:A,Product!D:D,"Bulunamadı")</f>
        <v>Ironwind Publishing</v>
      </c>
      <c r="H3345" s="2">
        <f t="array" ref="H3345">_xlfn.XLOOKUP(A3347,Product!A:A,Product!E:E,"Bulunamadı")</f>
        <v>1.91</v>
      </c>
      <c r="I3345" s="2" t="str">
        <f t="shared" si="1"/>
        <v>6211 - History - Corporate Law</v>
      </c>
      <c r="J3345" s="2">
        <f t="shared" si="2"/>
        <v>143.25</v>
      </c>
      <c r="K3345" s="17">
        <f t="shared" si="3"/>
        <v>1</v>
      </c>
      <c r="L3345" s="18"/>
    </row>
    <row r="3346" hidden="1">
      <c r="A3346" s="2">
        <f>IFERROR(__xludf.DUMMYFUNCTION("""COMPUTED_VALUE"""),44036.0)</f>
        <v>44036</v>
      </c>
      <c r="B3346" s="2">
        <f>IFERROR(__xludf.DUMMYFUNCTION("""COMPUTED_VALUE"""),0.0)</f>
        <v>0</v>
      </c>
      <c r="C3346" s="2">
        <f>IFERROR(__xludf.DUMMYFUNCTION("""COMPUTED_VALUE"""),720.0)</f>
        <v>720</v>
      </c>
      <c r="D3346" s="3">
        <f>IFERROR(__xludf.DUMMYFUNCTION("""COMPUTED_VALUE"""),30.0)</f>
        <v>30</v>
      </c>
      <c r="E3346" s="1" t="str">
        <f t="array" ref="E3346">_xlfn.XLOOKUP(A3346,Product!A:A,Product!B:B,"Bulunamadı")</f>
        <v>History</v>
      </c>
      <c r="F3346" s="1" t="str">
        <f t="array" ref="F3346">_xlfn.XLOOKUP(A3346,Product!A:A,Product!C:C,"Bulunamadı")</f>
        <v>Corporate Law</v>
      </c>
      <c r="G3346" s="2" t="str">
        <f t="array" ref="G3346">_xlfn.XLOOKUP(A3347,Product!A:A,Product!D:D,"Bulunamadı")</f>
        <v>Ironwind Publishing</v>
      </c>
      <c r="H3346" s="2">
        <f t="array" ref="H3346">_xlfn.XLOOKUP(A3348,Product!A:A,Product!E:E,"Bulunamadı")</f>
        <v>13.38</v>
      </c>
      <c r="I3346" s="2" t="str">
        <f t="shared" si="1"/>
        <v>44036 - History - Corporate Law</v>
      </c>
      <c r="J3346" s="2">
        <f t="shared" si="2"/>
        <v>401.4</v>
      </c>
      <c r="K3346" s="17">
        <f t="shared" si="3"/>
        <v>1</v>
      </c>
      <c r="L3346" s="18"/>
    </row>
    <row r="3347" hidden="1">
      <c r="A3347" s="2">
        <f>IFERROR(__xludf.DUMMYFUNCTION("""COMPUTED_VALUE"""),181493.0)</f>
        <v>181493</v>
      </c>
      <c r="B3347" s="2">
        <f>IFERROR(__xludf.DUMMYFUNCTION("""COMPUTED_VALUE"""),0.0)</f>
        <v>0</v>
      </c>
      <c r="C3347" s="2">
        <f>IFERROR(__xludf.DUMMYFUNCTION("""COMPUTED_VALUE"""),944.0)</f>
        <v>944</v>
      </c>
      <c r="D3347" s="3">
        <f>IFERROR(__xludf.DUMMYFUNCTION("""COMPUTED_VALUE"""),289.0)</f>
        <v>289</v>
      </c>
      <c r="E3347" s="1" t="str">
        <f t="array" ref="E3347">_xlfn.XLOOKUP(A3347,Product!A:A,Product!B:B,"Bulunamadı")</f>
        <v>History</v>
      </c>
      <c r="F3347" s="1" t="str">
        <f t="array" ref="F3347">_xlfn.XLOOKUP(A3347,Product!A:A,Product!C:C,"Bulunamadı")</f>
        <v>Corporate Law</v>
      </c>
      <c r="G3347" s="2" t="str">
        <f t="array" ref="G3347">_xlfn.XLOOKUP(A3348,Product!A:A,Product!D:D,"Bulunamadı")</f>
        <v>Ironwind Publishing</v>
      </c>
      <c r="H3347" s="2">
        <f t="array" ref="H3347">_xlfn.XLOOKUP(A3349,Product!A:A,Product!E:E,"Bulunamadı")</f>
        <v>0.83</v>
      </c>
      <c r="I3347" s="2" t="str">
        <f t="shared" si="1"/>
        <v>181493 - History - Corporate Law</v>
      </c>
      <c r="J3347" s="2">
        <f t="shared" si="2"/>
        <v>239.87</v>
      </c>
      <c r="K3347" s="17">
        <f t="shared" si="3"/>
        <v>1</v>
      </c>
      <c r="L3347" s="18"/>
    </row>
    <row r="3348" hidden="1">
      <c r="A3348" s="2">
        <f>IFERROR(__xludf.DUMMYFUNCTION("""COMPUTED_VALUE"""),6210.0)</f>
        <v>6210</v>
      </c>
      <c r="B3348" s="2">
        <f>IFERROR(__xludf.DUMMYFUNCTION("""COMPUTED_VALUE"""),1.0)</f>
        <v>1</v>
      </c>
      <c r="C3348" s="2">
        <f>IFERROR(__xludf.DUMMYFUNCTION("""COMPUTED_VALUE"""),548.0)</f>
        <v>548</v>
      </c>
      <c r="D3348" s="3">
        <f>IFERROR(__xludf.DUMMYFUNCTION("""COMPUTED_VALUE"""),475.0)</f>
        <v>475</v>
      </c>
      <c r="E3348" s="1" t="str">
        <f t="array" ref="E3348">_xlfn.XLOOKUP(A3348,Product!A:A,Product!B:B,"Bulunamadı")</f>
        <v>History</v>
      </c>
      <c r="F3348" s="1" t="str">
        <f t="array" ref="F3348">_xlfn.XLOOKUP(A3348,Product!A:A,Product!C:C,"Bulunamadı")</f>
        <v>Corporate Law</v>
      </c>
      <c r="G3348" s="2" t="str">
        <f t="array" ref="G3348">_xlfn.XLOOKUP(A3349,Product!A:A,Product!D:D,"Bulunamadı")</f>
        <v>Silvergate Books</v>
      </c>
      <c r="H3348" s="2">
        <f t="array" ref="H3348">_xlfn.XLOOKUP(A3350,Product!A:A,Product!E:E,"Bulunamadı")</f>
        <v>1.48</v>
      </c>
      <c r="I3348" s="2" t="str">
        <f t="shared" si="1"/>
        <v>6210 - History - Corporate Law</v>
      </c>
      <c r="J3348" s="2">
        <f t="shared" si="2"/>
        <v>703</v>
      </c>
      <c r="K3348" s="17">
        <f t="shared" si="3"/>
        <v>1</v>
      </c>
      <c r="L3348" s="18"/>
    </row>
    <row r="3349" hidden="1">
      <c r="A3349" s="2">
        <f>IFERROR(__xludf.DUMMYFUNCTION("""COMPUTED_VALUE"""),110431.0)</f>
        <v>110431</v>
      </c>
      <c r="B3349" s="2">
        <f>IFERROR(__xludf.DUMMYFUNCTION("""COMPUTED_VALUE"""),1.0)</f>
        <v>1</v>
      </c>
      <c r="C3349" s="2">
        <f>IFERROR(__xludf.DUMMYFUNCTION("""COMPUTED_VALUE"""),112.0)</f>
        <v>112</v>
      </c>
      <c r="D3349" s="3">
        <f>IFERROR(__xludf.DUMMYFUNCTION("""COMPUTED_VALUE"""),51.0)</f>
        <v>51</v>
      </c>
      <c r="E3349" s="1" t="str">
        <f t="array" ref="E3349">_xlfn.XLOOKUP(A3349,Product!A:A,Product!B:B,"Bulunamadı")</f>
        <v>History</v>
      </c>
      <c r="F3349" s="1" t="str">
        <f t="array" ref="F3349">_xlfn.XLOOKUP(A3349,Product!A:A,Product!C:C,"Bulunamadı")</f>
        <v>Corporate Law</v>
      </c>
      <c r="G3349" s="2" t="str">
        <f t="array" ref="G3349">_xlfn.XLOOKUP(A3350,Product!A:A,Product!D:D,"Bulunamadı")</f>
        <v>Silvergate Books</v>
      </c>
      <c r="H3349" s="2">
        <f t="array" ref="H3349">_xlfn.XLOOKUP(A3351,Product!A:A,Product!E:E,"Bulunamadı")</f>
        <v>1.14</v>
      </c>
      <c r="I3349" s="2" t="str">
        <f t="shared" si="1"/>
        <v>110431 - History - Corporate Law</v>
      </c>
      <c r="J3349" s="2">
        <f t="shared" si="2"/>
        <v>58.14</v>
      </c>
      <c r="K3349" s="17">
        <f t="shared" si="3"/>
        <v>1</v>
      </c>
      <c r="L3349" s="18"/>
    </row>
    <row r="3350" hidden="1">
      <c r="A3350" s="2">
        <f>IFERROR(__xludf.DUMMYFUNCTION("""COMPUTED_VALUE"""),122878.0)</f>
        <v>122878</v>
      </c>
      <c r="B3350" s="2">
        <f>IFERROR(__xludf.DUMMYFUNCTION("""COMPUTED_VALUE"""),0.0)</f>
        <v>0</v>
      </c>
      <c r="C3350" s="2">
        <f>IFERROR(__xludf.DUMMYFUNCTION("""COMPUTED_VALUE"""),882.0)</f>
        <v>882</v>
      </c>
      <c r="D3350" s="3">
        <f>IFERROR(__xludf.DUMMYFUNCTION("""COMPUTED_VALUE"""),47.0)</f>
        <v>47</v>
      </c>
      <c r="E3350" s="1" t="str">
        <f t="array" ref="E3350">_xlfn.XLOOKUP(A3350,Product!A:A,Product!B:B,"Bulunamadı")</f>
        <v>History</v>
      </c>
      <c r="F3350" s="1" t="str">
        <f t="array" ref="F3350">_xlfn.XLOOKUP(A3350,Product!A:A,Product!C:C,"Bulunamadı")</f>
        <v>Corporate Law</v>
      </c>
      <c r="G3350" s="2" t="str">
        <f t="array" ref="G3350">_xlfn.XLOOKUP(A3351,Product!A:A,Product!D:D,"Bulunamadı")</f>
        <v>Silvergate Books</v>
      </c>
      <c r="H3350" s="2">
        <f t="array" ref="H3350">_xlfn.XLOOKUP(A3352,Product!A:A,Product!E:E,"Bulunamadı")</f>
        <v>0.72</v>
      </c>
      <c r="I3350" s="2" t="str">
        <f t="shared" si="1"/>
        <v>122878 - History - Corporate Law</v>
      </c>
      <c r="J3350" s="2">
        <f t="shared" si="2"/>
        <v>33.84</v>
      </c>
      <c r="K3350" s="17">
        <f t="shared" si="3"/>
        <v>1</v>
      </c>
      <c r="L3350" s="18"/>
    </row>
    <row r="3351" hidden="1">
      <c r="A3351" s="2">
        <f>IFERROR(__xludf.DUMMYFUNCTION("""COMPUTED_VALUE"""),14092.0)</f>
        <v>14092</v>
      </c>
      <c r="B3351" s="2">
        <f>IFERROR(__xludf.DUMMYFUNCTION("""COMPUTED_VALUE"""),0.0)</f>
        <v>0</v>
      </c>
      <c r="C3351" s="2">
        <f>IFERROR(__xludf.DUMMYFUNCTION("""COMPUTED_VALUE"""),567.0)</f>
        <v>567</v>
      </c>
      <c r="D3351" s="3">
        <f>IFERROR(__xludf.DUMMYFUNCTION("""COMPUTED_VALUE"""),428.0)</f>
        <v>428</v>
      </c>
      <c r="E3351" s="1" t="str">
        <f t="array" ref="E3351">_xlfn.XLOOKUP(A3351,Product!A:A,Product!B:B,"Bulunamadı")</f>
        <v>History</v>
      </c>
      <c r="F3351" s="1" t="str">
        <f t="array" ref="F3351">_xlfn.XLOOKUP(A3351,Product!A:A,Product!C:C,"Bulunamadı")</f>
        <v>Corporate Law</v>
      </c>
      <c r="G3351" s="2" t="str">
        <f t="array" ref="G3351">_xlfn.XLOOKUP(A3352,Product!A:A,Product!D:D,"Bulunamadı")</f>
        <v>Silvergate Books</v>
      </c>
      <c r="H3351" s="2">
        <f t="array" ref="H3351">_xlfn.XLOOKUP(A3353,Product!A:A,Product!E:E,"Bulunamadı")</f>
        <v>1.46</v>
      </c>
      <c r="I3351" s="2" t="str">
        <f t="shared" si="1"/>
        <v>14092 - History - Corporate Law</v>
      </c>
      <c r="J3351" s="2">
        <f t="shared" si="2"/>
        <v>624.88</v>
      </c>
      <c r="K3351" s="17">
        <f t="shared" si="3"/>
        <v>1</v>
      </c>
      <c r="L3351" s="18"/>
    </row>
    <row r="3352" hidden="1">
      <c r="A3352" s="2">
        <f>IFERROR(__xludf.DUMMYFUNCTION("""COMPUTED_VALUE"""),121621.0)</f>
        <v>121621</v>
      </c>
      <c r="B3352" s="2">
        <f>IFERROR(__xludf.DUMMYFUNCTION("""COMPUTED_VALUE"""),1.0)</f>
        <v>1</v>
      </c>
      <c r="C3352" s="2">
        <f>IFERROR(__xludf.DUMMYFUNCTION("""COMPUTED_VALUE"""),350.0)</f>
        <v>350</v>
      </c>
      <c r="D3352" s="3">
        <f>IFERROR(__xludf.DUMMYFUNCTION("""COMPUTED_VALUE"""),6.0)</f>
        <v>6</v>
      </c>
      <c r="E3352" s="1" t="str">
        <f t="array" ref="E3352">_xlfn.XLOOKUP(A3352,Product!A:A,Product!B:B,"Bulunamadı")</f>
        <v>History</v>
      </c>
      <c r="F3352" s="1" t="str">
        <f t="array" ref="F3352">_xlfn.XLOOKUP(A3352,Product!A:A,Product!C:C,"Bulunamadı")</f>
        <v>Corporate Law</v>
      </c>
      <c r="G3352" s="2" t="str">
        <f t="array" ref="G3352">_xlfn.XLOOKUP(A3353,Product!A:A,Product!D:D,"Bulunamadı")</f>
        <v>Silvergate Books</v>
      </c>
      <c r="H3352" s="2">
        <f t="array" ref="H3352">_xlfn.XLOOKUP(A3354,Product!A:A,Product!E:E,"Bulunamadı")</f>
        <v>0.87</v>
      </c>
      <c r="I3352" s="2" t="str">
        <f t="shared" si="1"/>
        <v>121621 - History - Corporate Law</v>
      </c>
      <c r="J3352" s="2">
        <f t="shared" si="2"/>
        <v>5.22</v>
      </c>
      <c r="K3352" s="17">
        <f t="shared" si="3"/>
        <v>1</v>
      </c>
      <c r="L3352" s="18"/>
    </row>
    <row r="3353" hidden="1">
      <c r="A3353" s="2">
        <f>IFERROR(__xludf.DUMMYFUNCTION("""COMPUTED_VALUE"""),120511.0)</f>
        <v>120511</v>
      </c>
      <c r="B3353" s="2">
        <f>IFERROR(__xludf.DUMMYFUNCTION("""COMPUTED_VALUE"""),1.0)</f>
        <v>1</v>
      </c>
      <c r="C3353" s="2">
        <f>IFERROR(__xludf.DUMMYFUNCTION("""COMPUTED_VALUE"""),197.0)</f>
        <v>197</v>
      </c>
      <c r="D3353" s="3">
        <f>IFERROR(__xludf.DUMMYFUNCTION("""COMPUTED_VALUE"""),132.0)</f>
        <v>132</v>
      </c>
      <c r="E3353" s="1" t="str">
        <f t="array" ref="E3353">_xlfn.XLOOKUP(A3353,Product!A:A,Product!B:B,"Bulunamadı")</f>
        <v>History</v>
      </c>
      <c r="F3353" s="1" t="str">
        <f t="array" ref="F3353">_xlfn.XLOOKUP(A3353,Product!A:A,Product!C:C,"Bulunamadı")</f>
        <v>Corporate Law</v>
      </c>
      <c r="G3353" s="2" t="str">
        <f t="array" ref="G3353">_xlfn.XLOOKUP(A3354,Product!A:A,Product!D:D,"Bulunamadı")</f>
        <v>Silvergate Books</v>
      </c>
      <c r="H3353" s="2">
        <f t="array" ref="H3353">_xlfn.XLOOKUP(A3355,Product!A:A,Product!E:E,"Bulunamadı")</f>
        <v>1.62</v>
      </c>
      <c r="I3353" s="2" t="str">
        <f t="shared" si="1"/>
        <v>120511 - History - Corporate Law</v>
      </c>
      <c r="J3353" s="2">
        <f t="shared" si="2"/>
        <v>213.84</v>
      </c>
      <c r="K3353" s="17">
        <f t="shared" si="3"/>
        <v>1</v>
      </c>
      <c r="L3353" s="18"/>
    </row>
    <row r="3354" hidden="1">
      <c r="A3354" s="2">
        <f>IFERROR(__xludf.DUMMYFUNCTION("""COMPUTED_VALUE"""),46132.0)</f>
        <v>46132</v>
      </c>
      <c r="B3354" s="2">
        <f>IFERROR(__xludf.DUMMYFUNCTION("""COMPUTED_VALUE"""),0.0)</f>
        <v>0</v>
      </c>
      <c r="C3354" s="2">
        <f>IFERROR(__xludf.DUMMYFUNCTION("""COMPUTED_VALUE"""),780.0)</f>
        <v>780</v>
      </c>
      <c r="D3354" s="3">
        <f>IFERROR(__xludf.DUMMYFUNCTION("""COMPUTED_VALUE"""),572.0)</f>
        <v>572</v>
      </c>
      <c r="E3354" s="1" t="str">
        <f t="array" ref="E3354">_xlfn.XLOOKUP(A3354,Product!A:A,Product!B:B,"Bulunamadı")</f>
        <v>History</v>
      </c>
      <c r="F3354" s="1" t="str">
        <f t="array" ref="F3354">_xlfn.XLOOKUP(A3354,Product!A:A,Product!C:C,"Bulunamadı")</f>
        <v>Corporate Law</v>
      </c>
      <c r="G3354" s="2" t="str">
        <f t="array" ref="G3354">_xlfn.XLOOKUP(A3355,Product!A:A,Product!D:D,"Bulunamadı")</f>
        <v>Silvergate Books</v>
      </c>
      <c r="H3354" s="2">
        <f t="array" ref="H3354">_xlfn.XLOOKUP(A3356,Product!A:A,Product!E:E,"Bulunamadı")</f>
        <v>1.19</v>
      </c>
      <c r="I3354" s="2" t="str">
        <f t="shared" si="1"/>
        <v>46132 - History - Corporate Law</v>
      </c>
      <c r="J3354" s="2">
        <f t="shared" si="2"/>
        <v>680.68</v>
      </c>
      <c r="K3354" s="17">
        <f t="shared" si="3"/>
        <v>1</v>
      </c>
      <c r="L3354" s="18"/>
    </row>
    <row r="3355" hidden="1">
      <c r="A3355" s="2">
        <f>IFERROR(__xludf.DUMMYFUNCTION("""COMPUTED_VALUE"""),83014.0)</f>
        <v>83014</v>
      </c>
      <c r="B3355" s="2">
        <f>IFERROR(__xludf.DUMMYFUNCTION("""COMPUTED_VALUE"""),1.0)</f>
        <v>1</v>
      </c>
      <c r="C3355" s="2">
        <f>IFERROR(__xludf.DUMMYFUNCTION("""COMPUTED_VALUE"""),704.0)</f>
        <v>704</v>
      </c>
      <c r="D3355" s="3">
        <f>IFERROR(__xludf.DUMMYFUNCTION("""COMPUTED_VALUE"""),679.0)</f>
        <v>679</v>
      </c>
      <c r="E3355" s="1" t="str">
        <f t="array" ref="E3355">_xlfn.XLOOKUP(A3355,Product!A:A,Product!B:B,"Bulunamadı")</f>
        <v>History</v>
      </c>
      <c r="F3355" s="1" t="str">
        <f t="array" ref="F3355">_xlfn.XLOOKUP(A3355,Product!A:A,Product!C:C,"Bulunamadı")</f>
        <v>Corporate Law</v>
      </c>
      <c r="G3355" s="2" t="str">
        <f t="array" ref="G3355">_xlfn.XLOOKUP(A3356,Product!A:A,Product!D:D,"Bulunamadı")</f>
        <v>Silvergate Books</v>
      </c>
      <c r="H3355" s="2">
        <f t="array" ref="H3355">_xlfn.XLOOKUP(A3357,Product!A:A,Product!E:E,"Bulunamadı")</f>
        <v>1.36</v>
      </c>
      <c r="I3355" s="2" t="str">
        <f t="shared" si="1"/>
        <v>83014 - History - Corporate Law</v>
      </c>
      <c r="J3355" s="2">
        <f t="shared" si="2"/>
        <v>923.44</v>
      </c>
      <c r="K3355" s="17">
        <f t="shared" si="3"/>
        <v>1</v>
      </c>
      <c r="L3355" s="18"/>
    </row>
    <row r="3356" hidden="1">
      <c r="A3356" s="2">
        <f>IFERROR(__xludf.DUMMYFUNCTION("""COMPUTED_VALUE"""),80199.0)</f>
        <v>80199</v>
      </c>
      <c r="B3356" s="2">
        <f>IFERROR(__xludf.DUMMYFUNCTION("""COMPUTED_VALUE"""),0.0)</f>
        <v>0</v>
      </c>
      <c r="C3356" s="2">
        <f>IFERROR(__xludf.DUMMYFUNCTION("""COMPUTED_VALUE"""),571.0)</f>
        <v>571</v>
      </c>
      <c r="D3356" s="3">
        <f>IFERROR(__xludf.DUMMYFUNCTION("""COMPUTED_VALUE"""),183.0)</f>
        <v>183</v>
      </c>
      <c r="E3356" s="1" t="str">
        <f t="array" ref="E3356">_xlfn.XLOOKUP(A3356,Product!A:A,Product!B:B,"Bulunamadı")</f>
        <v>History</v>
      </c>
      <c r="F3356" s="1" t="str">
        <f t="array" ref="F3356">_xlfn.XLOOKUP(A3356,Product!A:A,Product!C:C,"Bulunamadı")</f>
        <v>Corporate Law</v>
      </c>
      <c r="G3356" s="2" t="str">
        <f t="array" ref="G3356">_xlfn.XLOOKUP(A3357,Product!A:A,Product!D:D,"Bulunamadı")</f>
        <v>Silvergate Books</v>
      </c>
      <c r="H3356" s="2">
        <f t="array" ref="H3356">_xlfn.XLOOKUP(A3358,Product!A:A,Product!E:E,"Bulunamadı")</f>
        <v>0.96</v>
      </c>
      <c r="I3356" s="2" t="str">
        <f t="shared" si="1"/>
        <v>80199 - History - Corporate Law</v>
      </c>
      <c r="J3356" s="2">
        <f t="shared" si="2"/>
        <v>175.68</v>
      </c>
      <c r="K3356" s="17">
        <f t="shared" si="3"/>
        <v>1</v>
      </c>
      <c r="L3356" s="18"/>
    </row>
    <row r="3357" hidden="1">
      <c r="A3357" s="2">
        <f>IFERROR(__xludf.DUMMYFUNCTION("""COMPUTED_VALUE"""),80201.0)</f>
        <v>80201</v>
      </c>
      <c r="B3357" s="2">
        <f>IFERROR(__xludf.DUMMYFUNCTION("""COMPUTED_VALUE"""),0.0)</f>
        <v>0</v>
      </c>
      <c r="C3357" s="2">
        <f>IFERROR(__xludf.DUMMYFUNCTION("""COMPUTED_VALUE"""),929.0)</f>
        <v>929</v>
      </c>
      <c r="D3357" s="3">
        <f>IFERROR(__xludf.DUMMYFUNCTION("""COMPUTED_VALUE"""),510.0)</f>
        <v>510</v>
      </c>
      <c r="E3357" s="1" t="str">
        <f t="array" ref="E3357">_xlfn.XLOOKUP(A3357,Product!A:A,Product!B:B,"Bulunamadı")</f>
        <v>History</v>
      </c>
      <c r="F3357" s="1" t="str">
        <f t="array" ref="F3357">_xlfn.XLOOKUP(A3357,Product!A:A,Product!C:C,"Bulunamadı")</f>
        <v>Corporate Law</v>
      </c>
      <c r="G3357" s="2" t="str">
        <f t="array" ref="G3357">_xlfn.XLOOKUP(A3358,Product!A:A,Product!D:D,"Bulunamadı")</f>
        <v>Silvergate Books</v>
      </c>
      <c r="H3357" s="2">
        <f t="array" ref="H3357">_xlfn.XLOOKUP(A3359,Product!A:A,Product!E:E,"Bulunamadı")</f>
        <v>1.24</v>
      </c>
      <c r="I3357" s="2" t="str">
        <f t="shared" si="1"/>
        <v>80201 - History - Corporate Law</v>
      </c>
      <c r="J3357" s="2">
        <f t="shared" si="2"/>
        <v>632.4</v>
      </c>
      <c r="K3357" s="17">
        <f t="shared" si="3"/>
        <v>1</v>
      </c>
      <c r="L3357" s="18"/>
    </row>
    <row r="3358" hidden="1">
      <c r="A3358" s="2">
        <f>IFERROR(__xludf.DUMMYFUNCTION("""COMPUTED_VALUE"""),46131.0)</f>
        <v>46131</v>
      </c>
      <c r="B3358" s="2">
        <f>IFERROR(__xludf.DUMMYFUNCTION("""COMPUTED_VALUE"""),0.0)</f>
        <v>0</v>
      </c>
      <c r="C3358" s="2">
        <f>IFERROR(__xludf.DUMMYFUNCTION("""COMPUTED_VALUE"""),765.0)</f>
        <v>765</v>
      </c>
      <c r="D3358" s="3">
        <f>IFERROR(__xludf.DUMMYFUNCTION("""COMPUTED_VALUE"""),507.0)</f>
        <v>507</v>
      </c>
      <c r="E3358" s="1" t="str">
        <f t="array" ref="E3358">_xlfn.XLOOKUP(A3358,Product!A:A,Product!B:B,"Bulunamadı")</f>
        <v>History</v>
      </c>
      <c r="F3358" s="1" t="str">
        <f t="array" ref="F3358">_xlfn.XLOOKUP(A3358,Product!A:A,Product!C:C,"Bulunamadı")</f>
        <v>Corporate Law</v>
      </c>
      <c r="G3358" s="2" t="str">
        <f t="array" ref="G3358">_xlfn.XLOOKUP(A3359,Product!A:A,Product!D:D,"Bulunamadı")</f>
        <v>Silvergate Books</v>
      </c>
      <c r="H3358" s="2">
        <f t="array" ref="H3358">_xlfn.XLOOKUP(A3360,Product!A:A,Product!E:E,"Bulunamadı")</f>
        <v>2.11</v>
      </c>
      <c r="I3358" s="2" t="str">
        <f t="shared" si="1"/>
        <v>46131 - History - Corporate Law</v>
      </c>
      <c r="J3358" s="2">
        <f t="shared" si="2"/>
        <v>1069.77</v>
      </c>
      <c r="K3358" s="17">
        <f t="shared" si="3"/>
        <v>1</v>
      </c>
      <c r="L3358" s="18"/>
    </row>
    <row r="3359" hidden="1">
      <c r="A3359" s="2">
        <f>IFERROR(__xludf.DUMMYFUNCTION("""COMPUTED_VALUE"""),102346.0)</f>
        <v>102346</v>
      </c>
      <c r="B3359" s="2">
        <f>IFERROR(__xludf.DUMMYFUNCTION("""COMPUTED_VALUE"""),1.0)</f>
        <v>1</v>
      </c>
      <c r="C3359" s="2">
        <f>IFERROR(__xludf.DUMMYFUNCTION("""COMPUTED_VALUE"""),788.0)</f>
        <v>788</v>
      </c>
      <c r="D3359" s="3">
        <f>IFERROR(__xludf.DUMMYFUNCTION("""COMPUTED_VALUE"""),28.0)</f>
        <v>28</v>
      </c>
      <c r="E3359" s="1" t="str">
        <f t="array" ref="E3359">_xlfn.XLOOKUP(A3359,Product!A:A,Product!B:B,"Bulunamadı")</f>
        <v>History</v>
      </c>
      <c r="F3359" s="1" t="str">
        <f t="array" ref="F3359">_xlfn.XLOOKUP(A3359,Product!A:A,Product!C:C,"Bulunamadı")</f>
        <v>Corporate Law</v>
      </c>
      <c r="G3359" s="2" t="str">
        <f t="array" ref="G3359">_xlfn.XLOOKUP(A3360,Product!A:A,Product!D:D,"Bulunamadı")</f>
        <v>Silvergate Books</v>
      </c>
      <c r="H3359" s="2">
        <f t="array" ref="H3359">_xlfn.XLOOKUP(A3361,Product!A:A,Product!E:E,"Bulunamadı")</f>
        <v>0.88</v>
      </c>
      <c r="I3359" s="2" t="str">
        <f t="shared" si="1"/>
        <v>102346 - History - Corporate Law</v>
      </c>
      <c r="J3359" s="2">
        <f t="shared" si="2"/>
        <v>24.64</v>
      </c>
      <c r="K3359" s="17">
        <f t="shared" si="3"/>
        <v>1</v>
      </c>
      <c r="L3359" s="18"/>
    </row>
    <row r="3360" hidden="1">
      <c r="A3360" s="2">
        <f>IFERROR(__xludf.DUMMYFUNCTION("""COMPUTED_VALUE"""),14094.0)</f>
        <v>14094</v>
      </c>
      <c r="B3360" s="2">
        <f>IFERROR(__xludf.DUMMYFUNCTION("""COMPUTED_VALUE"""),1.0)</f>
        <v>1</v>
      </c>
      <c r="C3360" s="2">
        <f>IFERROR(__xludf.DUMMYFUNCTION("""COMPUTED_VALUE"""),615.0)</f>
        <v>615</v>
      </c>
      <c r="D3360" s="3">
        <f>IFERROR(__xludf.DUMMYFUNCTION("""COMPUTED_VALUE"""),562.0)</f>
        <v>562</v>
      </c>
      <c r="E3360" s="1" t="str">
        <f t="array" ref="E3360">_xlfn.XLOOKUP(A3360,Product!A:A,Product!B:B,"Bulunamadı")</f>
        <v>History</v>
      </c>
      <c r="F3360" s="1" t="str">
        <f t="array" ref="F3360">_xlfn.XLOOKUP(A3360,Product!A:A,Product!C:C,"Bulunamadı")</f>
        <v>Corporate Law</v>
      </c>
      <c r="G3360" s="2" t="str">
        <f t="array" ref="G3360">_xlfn.XLOOKUP(A3361,Product!A:A,Product!D:D,"Bulunamadı")</f>
        <v>Silvergate Books</v>
      </c>
      <c r="H3360" s="2">
        <f t="array" ref="H3360">_xlfn.XLOOKUP(A3362,Product!A:A,Product!E:E,"Bulunamadı")</f>
        <v>1.47</v>
      </c>
      <c r="I3360" s="2" t="str">
        <f t="shared" si="1"/>
        <v>14094 - History - Corporate Law</v>
      </c>
      <c r="J3360" s="2">
        <f t="shared" si="2"/>
        <v>826.14</v>
      </c>
      <c r="K3360" s="17">
        <f t="shared" si="3"/>
        <v>1</v>
      </c>
      <c r="L3360" s="18"/>
    </row>
    <row r="3361" hidden="1">
      <c r="A3361" s="2">
        <f>IFERROR(__xludf.DUMMYFUNCTION("""COMPUTED_VALUE"""),100679.0)</f>
        <v>100679</v>
      </c>
      <c r="B3361" s="2">
        <f>IFERROR(__xludf.DUMMYFUNCTION("""COMPUTED_VALUE"""),0.0)</f>
        <v>0</v>
      </c>
      <c r="C3361" s="2">
        <f>IFERROR(__xludf.DUMMYFUNCTION("""COMPUTED_VALUE"""),532.0)</f>
        <v>532</v>
      </c>
      <c r="D3361" s="3">
        <f>IFERROR(__xludf.DUMMYFUNCTION("""COMPUTED_VALUE"""),315.0)</f>
        <v>315</v>
      </c>
      <c r="E3361" s="1" t="str">
        <f t="array" ref="E3361">_xlfn.XLOOKUP(A3361,Product!A:A,Product!B:B,"Bulunamadı")</f>
        <v>History</v>
      </c>
      <c r="F3361" s="1" t="str">
        <f t="array" ref="F3361">_xlfn.XLOOKUP(A3361,Product!A:A,Product!C:C,"Bulunamadı")</f>
        <v>Corporate Law</v>
      </c>
      <c r="G3361" s="2" t="str">
        <f t="array" ref="G3361">_xlfn.XLOOKUP(A3362,Product!A:A,Product!D:D,"Bulunamadı")</f>
        <v>Silvergate Books</v>
      </c>
      <c r="H3361" s="2">
        <f t="array" ref="H3361">_xlfn.XLOOKUP(A3363,Product!A:A,Product!E:E,"Bulunamadı")</f>
        <v>0.74</v>
      </c>
      <c r="I3361" s="2" t="str">
        <f t="shared" si="1"/>
        <v>100679 - History - Corporate Law</v>
      </c>
      <c r="J3361" s="2">
        <f t="shared" si="2"/>
        <v>233.1</v>
      </c>
      <c r="K3361" s="17">
        <f t="shared" si="3"/>
        <v>1</v>
      </c>
      <c r="L3361" s="18"/>
    </row>
    <row r="3362" hidden="1">
      <c r="A3362" s="2">
        <f>IFERROR(__xludf.DUMMYFUNCTION("""COMPUTED_VALUE"""),102345.0)</f>
        <v>102345</v>
      </c>
      <c r="B3362" s="2">
        <f>IFERROR(__xludf.DUMMYFUNCTION("""COMPUTED_VALUE"""),1.0)</f>
        <v>1</v>
      </c>
      <c r="C3362" s="2">
        <f>IFERROR(__xludf.DUMMYFUNCTION("""COMPUTED_VALUE"""),742.0)</f>
        <v>742</v>
      </c>
      <c r="D3362" s="3">
        <f>IFERROR(__xludf.DUMMYFUNCTION("""COMPUTED_VALUE"""),599.0)</f>
        <v>599</v>
      </c>
      <c r="E3362" s="1" t="str">
        <f t="array" ref="E3362">_xlfn.XLOOKUP(A3362,Product!A:A,Product!B:B,"Bulunamadı")</f>
        <v>History</v>
      </c>
      <c r="F3362" s="1" t="str">
        <f t="array" ref="F3362">_xlfn.XLOOKUP(A3362,Product!A:A,Product!C:C,"Bulunamadı")</f>
        <v>Corporate Law</v>
      </c>
      <c r="G3362" s="2" t="str">
        <f t="array" ref="G3362">_xlfn.XLOOKUP(A3363,Product!A:A,Product!D:D,"Bulunamadı")</f>
        <v>Silvergate Books</v>
      </c>
      <c r="H3362" s="2">
        <f t="array" ref="H3362">_xlfn.XLOOKUP(A3364,Product!A:A,Product!E:E,"Bulunamadı")</f>
        <v>12.82</v>
      </c>
      <c r="I3362" s="2" t="str">
        <f t="shared" si="1"/>
        <v>102345 - History - Corporate Law</v>
      </c>
      <c r="J3362" s="2">
        <f t="shared" si="2"/>
        <v>7679.18</v>
      </c>
      <c r="K3362" s="17">
        <f t="shared" si="3"/>
        <v>1</v>
      </c>
      <c r="L3362" s="18"/>
    </row>
    <row r="3363" hidden="1">
      <c r="A3363" s="2">
        <f>IFERROR(__xludf.DUMMYFUNCTION("""COMPUTED_VALUE"""),121695.0)</f>
        <v>121695</v>
      </c>
      <c r="B3363" s="2">
        <f>IFERROR(__xludf.DUMMYFUNCTION("""COMPUTED_VALUE"""),0.0)</f>
        <v>0</v>
      </c>
      <c r="C3363" s="2">
        <f>IFERROR(__xludf.DUMMYFUNCTION("""COMPUTED_VALUE"""),683.0)</f>
        <v>683</v>
      </c>
      <c r="D3363" s="3">
        <f>IFERROR(__xludf.DUMMYFUNCTION("""COMPUTED_VALUE"""),340.0)</f>
        <v>340</v>
      </c>
      <c r="E3363" s="1" t="str">
        <f t="array" ref="E3363">_xlfn.XLOOKUP(A3363,Product!A:A,Product!B:B,"Bulunamadı")</f>
        <v>History</v>
      </c>
      <c r="F3363" s="1" t="str">
        <f t="array" ref="F3363">_xlfn.XLOOKUP(A3363,Product!A:A,Product!C:C,"Bulunamadı")</f>
        <v>Corporate Law</v>
      </c>
      <c r="G3363" s="2" t="str">
        <f t="array" ref="G3363">_xlfn.XLOOKUP(A3364,Product!A:A,Product!D:D,"Bulunamadı")</f>
        <v>Northgate Press</v>
      </c>
      <c r="H3363" s="2">
        <f t="array" ref="H3363">_xlfn.XLOOKUP(A3365,Product!A:A,Product!E:E,"Bulunamadı")</f>
        <v>10.77</v>
      </c>
      <c r="I3363" s="2" t="str">
        <f t="shared" si="1"/>
        <v>121695 - History - Corporate Law</v>
      </c>
      <c r="J3363" s="2">
        <f t="shared" si="2"/>
        <v>3661.8</v>
      </c>
      <c r="K3363" s="17">
        <f t="shared" si="3"/>
        <v>1</v>
      </c>
      <c r="L3363" s="18"/>
    </row>
    <row r="3364" hidden="1">
      <c r="A3364" s="2">
        <f>IFERROR(__xludf.DUMMYFUNCTION("""COMPUTED_VALUE"""),6204.0)</f>
        <v>6204</v>
      </c>
      <c r="B3364" s="2">
        <f>IFERROR(__xludf.DUMMYFUNCTION("""COMPUTED_VALUE"""),0.0)</f>
        <v>0</v>
      </c>
      <c r="C3364" s="2">
        <f>IFERROR(__xludf.DUMMYFUNCTION("""COMPUTED_VALUE"""),162.0)</f>
        <v>162</v>
      </c>
      <c r="D3364" s="3">
        <f>IFERROR(__xludf.DUMMYFUNCTION("""COMPUTED_VALUE"""),107.0)</f>
        <v>107</v>
      </c>
      <c r="E3364" s="1" t="str">
        <f t="array" ref="E3364">_xlfn.XLOOKUP(A3364,Product!A:A,Product!B:B,"Bulunamadı")</f>
        <v>History</v>
      </c>
      <c r="F3364" s="1" t="str">
        <f t="array" ref="F3364">_xlfn.XLOOKUP(A3364,Product!A:A,Product!C:C,"Bulunamadı")</f>
        <v>Corporate Law</v>
      </c>
      <c r="G3364" s="2" t="str">
        <f t="array" ref="G3364">_xlfn.XLOOKUP(A3365,Product!A:A,Product!D:D,"Bulunamadı")</f>
        <v>Northgate Press</v>
      </c>
      <c r="H3364" s="2">
        <f t="array" ref="H3364">_xlfn.XLOOKUP(A3366,Product!A:A,Product!E:E,"Bulunamadı")</f>
        <v>2.41</v>
      </c>
      <c r="I3364" s="2" t="str">
        <f t="shared" si="1"/>
        <v>6204 - History - Corporate Law</v>
      </c>
      <c r="J3364" s="2">
        <f t="shared" si="2"/>
        <v>257.87</v>
      </c>
      <c r="K3364" s="17">
        <f t="shared" si="3"/>
        <v>1</v>
      </c>
      <c r="L3364" s="18"/>
    </row>
    <row r="3365" hidden="1">
      <c r="A3365" s="2">
        <f>IFERROR(__xludf.DUMMYFUNCTION("""COMPUTED_VALUE"""),16571.0)</f>
        <v>16571</v>
      </c>
      <c r="B3365" s="2">
        <f>IFERROR(__xludf.DUMMYFUNCTION("""COMPUTED_VALUE"""),1.0)</f>
        <v>1</v>
      </c>
      <c r="C3365" s="2">
        <f>IFERROR(__xludf.DUMMYFUNCTION("""COMPUTED_VALUE"""),902.0)</f>
        <v>902</v>
      </c>
      <c r="D3365" s="3">
        <f>IFERROR(__xludf.DUMMYFUNCTION("""COMPUTED_VALUE"""),805.0)</f>
        <v>805</v>
      </c>
      <c r="E3365" s="1" t="str">
        <f t="array" ref="E3365">_xlfn.XLOOKUP(A3365,Product!A:A,Product!B:B,"Bulunamadı")</f>
        <v>History</v>
      </c>
      <c r="F3365" s="1" t="str">
        <f t="array" ref="F3365">_xlfn.XLOOKUP(A3365,Product!A:A,Product!C:C,"Bulunamadı")</f>
        <v>Corporate Law</v>
      </c>
      <c r="G3365" s="2" t="str">
        <f t="array" ref="G3365">_xlfn.XLOOKUP(A3366,Product!A:A,Product!D:D,"Bulunamadı")</f>
        <v>Northgate Press</v>
      </c>
      <c r="H3365" s="2">
        <f t="array" ref="H3365">_xlfn.XLOOKUP(A3367,Product!A:A,Product!E:E,"Bulunamadı")</f>
        <v>1.96</v>
      </c>
      <c r="I3365" s="2" t="str">
        <f t="shared" si="1"/>
        <v>16571 - History - Corporate Law</v>
      </c>
      <c r="J3365" s="2">
        <f t="shared" si="2"/>
        <v>1577.8</v>
      </c>
      <c r="K3365" s="17">
        <f t="shared" si="3"/>
        <v>1</v>
      </c>
      <c r="L3365" s="18"/>
    </row>
    <row r="3366" hidden="1">
      <c r="A3366" s="2">
        <f>IFERROR(__xludf.DUMMYFUNCTION("""COMPUTED_VALUE"""),181494.0)</f>
        <v>181494</v>
      </c>
      <c r="B3366" s="2">
        <f>IFERROR(__xludf.DUMMYFUNCTION("""COMPUTED_VALUE"""),1.0)</f>
        <v>1</v>
      </c>
      <c r="C3366" s="2">
        <f>IFERROR(__xludf.DUMMYFUNCTION("""COMPUTED_VALUE"""),892.0)</f>
        <v>892</v>
      </c>
      <c r="D3366" s="3">
        <f>IFERROR(__xludf.DUMMYFUNCTION("""COMPUTED_VALUE"""),460.0)</f>
        <v>460</v>
      </c>
      <c r="E3366" s="1" t="str">
        <f t="array" ref="E3366">_xlfn.XLOOKUP(A3366,Product!A:A,Product!B:B,"Bulunamadı")</f>
        <v>History</v>
      </c>
      <c r="F3366" s="1" t="str">
        <f t="array" ref="F3366">_xlfn.XLOOKUP(A3366,Product!A:A,Product!C:C,"Bulunamadı")</f>
        <v>Corporate Law</v>
      </c>
      <c r="G3366" s="2" t="str">
        <f t="array" ref="G3366">_xlfn.XLOOKUP(A3367,Product!A:A,Product!D:D,"Bulunamadı")</f>
        <v>Northgate Press</v>
      </c>
      <c r="H3366" s="2">
        <f t="array" ref="H3366">_xlfn.XLOOKUP(A3368,Product!A:A,Product!E:E,"Bulunamadı")</f>
        <v>1.52</v>
      </c>
      <c r="I3366" s="2" t="str">
        <f t="shared" si="1"/>
        <v>181494 - History - Corporate Law</v>
      </c>
      <c r="J3366" s="2">
        <f t="shared" si="2"/>
        <v>699.2</v>
      </c>
      <c r="K3366" s="17">
        <f t="shared" si="3"/>
        <v>1</v>
      </c>
      <c r="L3366" s="18"/>
    </row>
    <row r="3367" hidden="1">
      <c r="A3367" s="2">
        <f>IFERROR(__xludf.DUMMYFUNCTION("""COMPUTED_VALUE"""),80315.0)</f>
        <v>80315</v>
      </c>
      <c r="B3367" s="2">
        <f>IFERROR(__xludf.DUMMYFUNCTION("""COMPUTED_VALUE"""),1.0)</f>
        <v>1</v>
      </c>
      <c r="C3367" s="2">
        <f>IFERROR(__xludf.DUMMYFUNCTION("""COMPUTED_VALUE"""),309.0)</f>
        <v>309</v>
      </c>
      <c r="D3367" s="3">
        <f>IFERROR(__xludf.DUMMYFUNCTION("""COMPUTED_VALUE"""),256.0)</f>
        <v>256</v>
      </c>
      <c r="E3367" s="1" t="str">
        <f t="array" ref="E3367">_xlfn.XLOOKUP(A3367,Product!A:A,Product!B:B,"Bulunamadı")</f>
        <v>History</v>
      </c>
      <c r="F3367" s="1" t="str">
        <f t="array" ref="F3367">_xlfn.XLOOKUP(A3367,Product!A:A,Product!C:C,"Bulunamadı")</f>
        <v>Corporate Law</v>
      </c>
      <c r="G3367" s="2" t="str">
        <f t="array" ref="G3367">_xlfn.XLOOKUP(A3368,Product!A:A,Product!D:D,"Bulunamadı")</f>
        <v>Harborgate Publishing</v>
      </c>
      <c r="H3367" s="2">
        <f t="array" ref="H3367">_xlfn.XLOOKUP(A3369,Product!A:A,Product!E:E,"Bulunamadı")</f>
        <v>1.71</v>
      </c>
      <c r="I3367" s="2" t="str">
        <f t="shared" si="1"/>
        <v>80315 - History - Corporate Law</v>
      </c>
      <c r="J3367" s="2">
        <f t="shared" si="2"/>
        <v>437.76</v>
      </c>
      <c r="K3367" s="17">
        <f t="shared" si="3"/>
        <v>1</v>
      </c>
      <c r="L3367" s="18"/>
    </row>
    <row r="3368" hidden="1">
      <c r="A3368" s="2">
        <f>IFERROR(__xludf.DUMMYFUNCTION("""COMPUTED_VALUE"""),83054.0)</f>
        <v>83054</v>
      </c>
      <c r="B3368" s="2">
        <f>IFERROR(__xludf.DUMMYFUNCTION("""COMPUTED_VALUE"""),0.0)</f>
        <v>0</v>
      </c>
      <c r="C3368" s="2">
        <f>IFERROR(__xludf.DUMMYFUNCTION("""COMPUTED_VALUE"""),382.0)</f>
        <v>382</v>
      </c>
      <c r="D3368" s="3">
        <f>IFERROR(__xludf.DUMMYFUNCTION("""COMPUTED_VALUE"""),242.0)</f>
        <v>242</v>
      </c>
      <c r="E3368" s="1" t="str">
        <f t="array" ref="E3368">_xlfn.XLOOKUP(A3368,Product!A:A,Product!B:B,"Bulunamadı")</f>
        <v>History</v>
      </c>
      <c r="F3368" s="1" t="str">
        <f t="array" ref="F3368">_xlfn.XLOOKUP(A3368,Product!A:A,Product!C:C,"Bulunamadı")</f>
        <v>Corporate Law</v>
      </c>
      <c r="G3368" s="2" t="str">
        <f t="array" ref="G3368">_xlfn.XLOOKUP(A3369,Product!A:A,Product!D:D,"Bulunamadı")</f>
        <v>Harborgate Publishing</v>
      </c>
      <c r="H3368" s="2">
        <f t="array" ref="H3368">_xlfn.XLOOKUP(A3370,Product!A:A,Product!E:E,"Bulunamadı")</f>
        <v>1.45</v>
      </c>
      <c r="I3368" s="2" t="str">
        <f t="shared" si="1"/>
        <v>83054 - History - Corporate Law</v>
      </c>
      <c r="J3368" s="2">
        <f t="shared" si="2"/>
        <v>350.9</v>
      </c>
      <c r="K3368" s="17">
        <f t="shared" si="3"/>
        <v>1</v>
      </c>
      <c r="L3368" s="18"/>
    </row>
    <row r="3369" hidden="1">
      <c r="A3369" s="2">
        <f>IFERROR(__xludf.DUMMYFUNCTION("""COMPUTED_VALUE"""),83056.0)</f>
        <v>83056</v>
      </c>
      <c r="B3369" s="2">
        <f>IFERROR(__xludf.DUMMYFUNCTION("""COMPUTED_VALUE"""),0.0)</f>
        <v>0</v>
      </c>
      <c r="C3369" s="2">
        <f>IFERROR(__xludf.DUMMYFUNCTION("""COMPUTED_VALUE"""),383.0)</f>
        <v>383</v>
      </c>
      <c r="D3369" s="3">
        <f>IFERROR(__xludf.DUMMYFUNCTION("""COMPUTED_VALUE"""),233.0)</f>
        <v>233</v>
      </c>
      <c r="E3369" s="1" t="str">
        <f t="array" ref="E3369">_xlfn.XLOOKUP(A3369,Product!A:A,Product!B:B,"Bulunamadı")</f>
        <v>History</v>
      </c>
      <c r="F3369" s="1" t="str">
        <f t="array" ref="F3369">_xlfn.XLOOKUP(A3369,Product!A:A,Product!C:C,"Bulunamadı")</f>
        <v>Corporate Law</v>
      </c>
      <c r="G3369" s="2" t="str">
        <f t="array" ref="G3369">_xlfn.XLOOKUP(A3370,Product!A:A,Product!D:D,"Bulunamadı")</f>
        <v>Harborgate Publishing</v>
      </c>
      <c r="H3369" s="2">
        <f t="array" ref="H3369">_xlfn.XLOOKUP(A3371,Product!A:A,Product!E:E,"Bulunamadı")</f>
        <v>1.21</v>
      </c>
      <c r="I3369" s="2" t="str">
        <f t="shared" si="1"/>
        <v>83056 - History - Corporate Law</v>
      </c>
      <c r="J3369" s="2">
        <f t="shared" si="2"/>
        <v>281.93</v>
      </c>
      <c r="K3369" s="17">
        <f t="shared" si="3"/>
        <v>1</v>
      </c>
      <c r="L3369" s="18"/>
    </row>
    <row r="3370" hidden="1">
      <c r="A3370" s="2">
        <f>IFERROR(__xludf.DUMMYFUNCTION("""COMPUTED_VALUE"""),83055.0)</f>
        <v>83055</v>
      </c>
      <c r="B3370" s="2">
        <f>IFERROR(__xludf.DUMMYFUNCTION("""COMPUTED_VALUE"""),1.0)</f>
        <v>1</v>
      </c>
      <c r="C3370" s="2">
        <f>IFERROR(__xludf.DUMMYFUNCTION("""COMPUTED_VALUE"""),775.0)</f>
        <v>775</v>
      </c>
      <c r="D3370" s="3">
        <f>IFERROR(__xludf.DUMMYFUNCTION("""COMPUTED_VALUE"""),548.0)</f>
        <v>548</v>
      </c>
      <c r="E3370" s="1" t="str">
        <f t="array" ref="E3370">_xlfn.XLOOKUP(A3370,Product!A:A,Product!B:B,"Bulunamadı")</f>
        <v>History</v>
      </c>
      <c r="F3370" s="1" t="str">
        <f t="array" ref="F3370">_xlfn.XLOOKUP(A3370,Product!A:A,Product!C:C,"Bulunamadı")</f>
        <v>Corporate Law</v>
      </c>
      <c r="G3370" s="2" t="str">
        <f t="array" ref="G3370">_xlfn.XLOOKUP(A3371,Product!A:A,Product!D:D,"Bulunamadı")</f>
        <v>Harborgate Publishing</v>
      </c>
      <c r="H3370" s="2">
        <f t="array" ref="H3370">_xlfn.XLOOKUP(A3372,Product!A:A,Product!E:E,"Bulunamadı")</f>
        <v>1.55</v>
      </c>
      <c r="I3370" s="2" t="str">
        <f t="shared" si="1"/>
        <v>83055 - History - Corporate Law</v>
      </c>
      <c r="J3370" s="2">
        <f t="shared" si="2"/>
        <v>849.4</v>
      </c>
      <c r="K3370" s="17">
        <f t="shared" si="3"/>
        <v>1</v>
      </c>
      <c r="L3370" s="18"/>
    </row>
    <row r="3371" hidden="1">
      <c r="A3371" s="2">
        <f>IFERROR(__xludf.DUMMYFUNCTION("""COMPUTED_VALUE"""),46134.0)</f>
        <v>46134</v>
      </c>
      <c r="B3371" s="2">
        <f>IFERROR(__xludf.DUMMYFUNCTION("""COMPUTED_VALUE"""),0.0)</f>
        <v>0</v>
      </c>
      <c r="C3371" s="2">
        <f>IFERROR(__xludf.DUMMYFUNCTION("""COMPUTED_VALUE"""),39.0)</f>
        <v>39</v>
      </c>
      <c r="D3371" s="3">
        <f>IFERROR(__xludf.DUMMYFUNCTION("""COMPUTED_VALUE"""),9.0)</f>
        <v>9</v>
      </c>
      <c r="E3371" s="1" t="str">
        <f t="array" ref="E3371">_xlfn.XLOOKUP(A3371,Product!A:A,Product!B:B,"Bulunamadı")</f>
        <v>History</v>
      </c>
      <c r="F3371" s="1" t="str">
        <f t="array" ref="F3371">_xlfn.XLOOKUP(A3371,Product!A:A,Product!C:C,"Bulunamadı")</f>
        <v>Corporate Law</v>
      </c>
      <c r="G3371" s="2" t="str">
        <f t="array" ref="G3371">_xlfn.XLOOKUP(A3372,Product!A:A,Product!D:D,"Bulunamadı")</f>
        <v>Harborgate Publishing</v>
      </c>
      <c r="H3371" s="2">
        <f t="array" ref="H3371">_xlfn.XLOOKUP(A3373,Product!A:A,Product!E:E,"Bulunamadı")</f>
        <v>1.79</v>
      </c>
      <c r="I3371" s="2" t="str">
        <f t="shared" si="1"/>
        <v>46134 - History - Corporate Law</v>
      </c>
      <c r="J3371" s="2">
        <f t="shared" si="2"/>
        <v>16.11</v>
      </c>
      <c r="K3371" s="17">
        <f t="shared" si="3"/>
        <v>1</v>
      </c>
      <c r="L3371" s="18"/>
    </row>
    <row r="3372" hidden="1">
      <c r="A3372" s="2">
        <f>IFERROR(__xludf.DUMMYFUNCTION("""COMPUTED_VALUE"""),121693.0)</f>
        <v>121693</v>
      </c>
      <c r="B3372" s="2">
        <f>IFERROR(__xludf.DUMMYFUNCTION("""COMPUTED_VALUE"""),0.0)</f>
        <v>0</v>
      </c>
      <c r="C3372" s="2">
        <f>IFERROR(__xludf.DUMMYFUNCTION("""COMPUTED_VALUE"""),220.0)</f>
        <v>220</v>
      </c>
      <c r="D3372" s="3">
        <f>IFERROR(__xludf.DUMMYFUNCTION("""COMPUTED_VALUE"""),80.0)</f>
        <v>80</v>
      </c>
      <c r="E3372" s="1" t="str">
        <f t="array" ref="E3372">_xlfn.XLOOKUP(A3372,Product!A:A,Product!B:B,"Bulunamadı")</f>
        <v>History</v>
      </c>
      <c r="F3372" s="1" t="str">
        <f t="array" ref="F3372">_xlfn.XLOOKUP(A3372,Product!A:A,Product!C:C,"Bulunamadı")</f>
        <v>Corporate Law</v>
      </c>
      <c r="G3372" s="2" t="str">
        <f t="array" ref="G3372">_xlfn.XLOOKUP(A3373,Product!A:A,Product!D:D,"Bulunamadı")</f>
        <v>Cedargate Books</v>
      </c>
      <c r="H3372" s="2">
        <f t="array" ref="H3372">_xlfn.XLOOKUP(A3374,Product!A:A,Product!E:E,"Bulunamadı")</f>
        <v>0.91</v>
      </c>
      <c r="I3372" s="2" t="str">
        <f t="shared" si="1"/>
        <v>121693 - History - Corporate Law</v>
      </c>
      <c r="J3372" s="2">
        <f t="shared" si="2"/>
        <v>72.8</v>
      </c>
      <c r="K3372" s="17">
        <f t="shared" si="3"/>
        <v>1</v>
      </c>
      <c r="L3372" s="18"/>
    </row>
    <row r="3373" hidden="1">
      <c r="A3373" s="2">
        <f>IFERROR(__xludf.DUMMYFUNCTION("""COMPUTED_VALUE"""),102344.0)</f>
        <v>102344</v>
      </c>
      <c r="B3373" s="2">
        <f>IFERROR(__xludf.DUMMYFUNCTION("""COMPUTED_VALUE"""),0.0)</f>
        <v>0</v>
      </c>
      <c r="C3373" s="2">
        <f>IFERROR(__xludf.DUMMYFUNCTION("""COMPUTED_VALUE"""),192.0)</f>
        <v>192</v>
      </c>
      <c r="D3373" s="3">
        <f>IFERROR(__xludf.DUMMYFUNCTION("""COMPUTED_VALUE"""),89.0)</f>
        <v>89</v>
      </c>
      <c r="E3373" s="1" t="str">
        <f t="array" ref="E3373">_xlfn.XLOOKUP(A3373,Product!A:A,Product!B:B,"Bulunamadı")</f>
        <v>History</v>
      </c>
      <c r="F3373" s="1" t="str">
        <f t="array" ref="F3373">_xlfn.XLOOKUP(A3373,Product!A:A,Product!C:C,"Bulunamadı")</f>
        <v>Corporate Law</v>
      </c>
      <c r="G3373" s="2" t="str">
        <f t="array" ref="G3373">_xlfn.XLOOKUP(A3374,Product!A:A,Product!D:D,"Bulunamadı")</f>
        <v>Cedargate Books</v>
      </c>
      <c r="H3373" s="2">
        <f t="array" ref="H3373">_xlfn.XLOOKUP(A3375,Product!A:A,Product!E:E,"Bulunamadı")</f>
        <v>1.74</v>
      </c>
      <c r="I3373" s="2" t="str">
        <f t="shared" si="1"/>
        <v>102344 - History - Corporate Law</v>
      </c>
      <c r="J3373" s="2">
        <f t="shared" si="2"/>
        <v>154.86</v>
      </c>
      <c r="K3373" s="17">
        <f t="shared" si="3"/>
        <v>1</v>
      </c>
      <c r="L3373" s="18"/>
    </row>
    <row r="3374" hidden="1">
      <c r="A3374" s="2">
        <f>IFERROR(__xludf.DUMMYFUNCTION("""COMPUTED_VALUE"""),100687.0)</f>
        <v>100687</v>
      </c>
      <c r="B3374" s="2">
        <f>IFERROR(__xludf.DUMMYFUNCTION("""COMPUTED_VALUE"""),0.0)</f>
        <v>0</v>
      </c>
      <c r="C3374" s="2">
        <f>IFERROR(__xludf.DUMMYFUNCTION("""COMPUTED_VALUE"""),885.0)</f>
        <v>885</v>
      </c>
      <c r="D3374" s="3">
        <f>IFERROR(__xludf.DUMMYFUNCTION("""COMPUTED_VALUE"""),467.0)</f>
        <v>467</v>
      </c>
      <c r="E3374" s="1" t="str">
        <f t="array" ref="E3374">_xlfn.XLOOKUP(A3374,Product!A:A,Product!B:B,"Bulunamadı")</f>
        <v>History</v>
      </c>
      <c r="F3374" s="1" t="str">
        <f t="array" ref="F3374">_xlfn.XLOOKUP(A3374,Product!A:A,Product!C:C,"Bulunamadı")</f>
        <v>Corporate Law</v>
      </c>
      <c r="G3374" s="2" t="str">
        <f t="array" ref="G3374">_xlfn.XLOOKUP(A3375,Product!A:A,Product!D:D,"Bulunamadı")</f>
        <v>Cedargate Books</v>
      </c>
      <c r="H3374" s="2">
        <f t="array" ref="H3374">_xlfn.XLOOKUP(A3376,Product!A:A,Product!E:E,"Bulunamadı")</f>
        <v>2.06</v>
      </c>
      <c r="I3374" s="2" t="str">
        <f t="shared" si="1"/>
        <v>100687 - History - Corporate Law</v>
      </c>
      <c r="J3374" s="2">
        <f t="shared" si="2"/>
        <v>962.02</v>
      </c>
      <c r="K3374" s="17">
        <f t="shared" si="3"/>
        <v>1</v>
      </c>
      <c r="L3374" s="18"/>
    </row>
    <row r="3375" hidden="1">
      <c r="A3375" s="2">
        <f>IFERROR(__xludf.DUMMYFUNCTION("""COMPUTED_VALUE"""),70327.0)</f>
        <v>70327</v>
      </c>
      <c r="B3375" s="2">
        <f>IFERROR(__xludf.DUMMYFUNCTION("""COMPUTED_VALUE"""),1.0)</f>
        <v>1</v>
      </c>
      <c r="C3375" s="2">
        <f>IFERROR(__xludf.DUMMYFUNCTION("""COMPUTED_VALUE"""),196.0)</f>
        <v>196</v>
      </c>
      <c r="D3375" s="3">
        <f>IFERROR(__xludf.DUMMYFUNCTION("""COMPUTED_VALUE"""),170.0)</f>
        <v>170</v>
      </c>
      <c r="E3375" s="1" t="str">
        <f t="array" ref="E3375">_xlfn.XLOOKUP(A3375,Product!A:A,Product!B:B,"Bulunamadı")</f>
        <v>History</v>
      </c>
      <c r="F3375" s="1" t="str">
        <f t="array" ref="F3375">_xlfn.XLOOKUP(A3375,Product!A:A,Product!C:C,"Bulunamadı")</f>
        <v>Corporate Law</v>
      </c>
      <c r="G3375" s="2" t="str">
        <f t="array" ref="G3375">_xlfn.XLOOKUP(A3376,Product!A:A,Product!D:D,"Bulunamadı")</f>
        <v>Cedargate Books</v>
      </c>
      <c r="H3375" s="2">
        <f t="array" ref="H3375">_xlfn.XLOOKUP(A3377,Product!A:A,Product!E:E,"Bulunamadı")</f>
        <v>2.22</v>
      </c>
      <c r="I3375" s="2" t="str">
        <f t="shared" si="1"/>
        <v>70327 - History - Corporate Law</v>
      </c>
      <c r="J3375" s="2">
        <f t="shared" si="2"/>
        <v>377.4</v>
      </c>
      <c r="K3375" s="17">
        <f t="shared" si="3"/>
        <v>1</v>
      </c>
      <c r="L3375" s="18"/>
    </row>
    <row r="3376" hidden="1">
      <c r="A3376" s="2">
        <f>IFERROR(__xludf.DUMMYFUNCTION("""COMPUTED_VALUE"""),80191.0)</f>
        <v>80191</v>
      </c>
      <c r="B3376" s="2">
        <f>IFERROR(__xludf.DUMMYFUNCTION("""COMPUTED_VALUE"""),0.0)</f>
        <v>0</v>
      </c>
      <c r="C3376" s="2">
        <f>IFERROR(__xludf.DUMMYFUNCTION("""COMPUTED_VALUE"""),447.0)</f>
        <v>447</v>
      </c>
      <c r="D3376" s="3">
        <f>IFERROR(__xludf.DUMMYFUNCTION("""COMPUTED_VALUE"""),175.0)</f>
        <v>175</v>
      </c>
      <c r="E3376" s="1" t="str">
        <f t="array" ref="E3376">_xlfn.XLOOKUP(A3376,Product!A:A,Product!B:B,"Bulunamadı")</f>
        <v>History</v>
      </c>
      <c r="F3376" s="1" t="str">
        <f t="array" ref="F3376">_xlfn.XLOOKUP(A3376,Product!A:A,Product!C:C,"Bulunamadı")</f>
        <v>Corporate Law</v>
      </c>
      <c r="G3376" s="2" t="str">
        <f t="array" ref="G3376">_xlfn.XLOOKUP(A3377,Product!A:A,Product!D:D,"Bulunamadı")</f>
        <v>Cedargate Books</v>
      </c>
      <c r="H3376" s="2">
        <f t="array" ref="H3376">_xlfn.XLOOKUP(A3378,Product!A:A,Product!E:E,"Bulunamadı")</f>
        <v>12.79</v>
      </c>
      <c r="I3376" s="2" t="str">
        <f t="shared" si="1"/>
        <v>80191 - History - Corporate Law</v>
      </c>
      <c r="J3376" s="2">
        <f t="shared" si="2"/>
        <v>2238.25</v>
      </c>
      <c r="K3376" s="17">
        <f t="shared" si="3"/>
        <v>1</v>
      </c>
      <c r="L3376" s="18"/>
    </row>
    <row r="3377" hidden="1">
      <c r="A3377" s="2">
        <f>IFERROR(__xludf.DUMMYFUNCTION("""COMPUTED_VALUE"""),103037.0)</f>
        <v>103037</v>
      </c>
      <c r="B3377" s="2">
        <f>IFERROR(__xludf.DUMMYFUNCTION("""COMPUTED_VALUE"""),0.0)</f>
        <v>0</v>
      </c>
      <c r="C3377" s="2">
        <f>IFERROR(__xludf.DUMMYFUNCTION("""COMPUTED_VALUE"""),146.0)</f>
        <v>146</v>
      </c>
      <c r="D3377" s="3">
        <f>IFERROR(__xludf.DUMMYFUNCTION("""COMPUTED_VALUE"""),119.0)</f>
        <v>119</v>
      </c>
      <c r="E3377" s="1" t="str">
        <f t="array" ref="E3377">_xlfn.XLOOKUP(A3377,Product!A:A,Product!B:B,"Bulunamadı")</f>
        <v>History</v>
      </c>
      <c r="F3377" s="1" t="str">
        <f t="array" ref="F3377">_xlfn.XLOOKUP(A3377,Product!A:A,Product!C:C,"Bulunamadı")</f>
        <v>Corporate Law</v>
      </c>
      <c r="G3377" s="2" t="str">
        <f t="array" ref="G3377">_xlfn.XLOOKUP(A3378,Product!A:A,Product!D:D,"Bulunamadı")</f>
        <v>Brightgate Press</v>
      </c>
      <c r="H3377" s="2">
        <f t="array" ref="H3377">_xlfn.XLOOKUP(A3379,Product!A:A,Product!E:E,"Bulunamadı")</f>
        <v>11.19</v>
      </c>
      <c r="I3377" s="2" t="str">
        <f t="shared" si="1"/>
        <v>103037 - History - Corporate Law</v>
      </c>
      <c r="J3377" s="2">
        <f t="shared" si="2"/>
        <v>1331.61</v>
      </c>
      <c r="K3377" s="17">
        <f t="shared" si="3"/>
        <v>1</v>
      </c>
      <c r="L3377" s="18"/>
    </row>
    <row r="3378" hidden="1">
      <c r="A3378" s="2">
        <f>IFERROR(__xludf.DUMMYFUNCTION("""COMPUTED_VALUE"""),6205.0)</f>
        <v>6205</v>
      </c>
      <c r="B3378" s="2">
        <f>IFERROR(__xludf.DUMMYFUNCTION("""COMPUTED_VALUE"""),0.0)</f>
        <v>0</v>
      </c>
      <c r="C3378" s="2">
        <f>IFERROR(__xludf.DUMMYFUNCTION("""COMPUTED_VALUE"""),830.0)</f>
        <v>830</v>
      </c>
      <c r="D3378" s="3">
        <f>IFERROR(__xludf.DUMMYFUNCTION("""COMPUTED_VALUE"""),455.0)</f>
        <v>455</v>
      </c>
      <c r="E3378" s="1" t="str">
        <f t="array" ref="E3378">_xlfn.XLOOKUP(A3378,Product!A:A,Product!B:B,"Bulunamadı")</f>
        <v>History</v>
      </c>
      <c r="F3378" s="1" t="str">
        <f t="array" ref="F3378">_xlfn.XLOOKUP(A3378,Product!A:A,Product!C:C,"Bulunamadı")</f>
        <v>Corporate Law</v>
      </c>
      <c r="G3378" s="2" t="str">
        <f t="array" ref="G3378">_xlfn.XLOOKUP(A3379,Product!A:A,Product!D:D,"Bulunamadı")</f>
        <v>Brightgate Press</v>
      </c>
      <c r="H3378" s="2">
        <f t="array" ref="H3378">_xlfn.XLOOKUP(A3380,Product!A:A,Product!E:E,"Bulunamadı")</f>
        <v>1.54</v>
      </c>
      <c r="I3378" s="2" t="str">
        <f t="shared" si="1"/>
        <v>6205 - History - Corporate Law</v>
      </c>
      <c r="J3378" s="2">
        <f t="shared" si="2"/>
        <v>700.7</v>
      </c>
      <c r="K3378" s="17">
        <f t="shared" si="3"/>
        <v>1</v>
      </c>
      <c r="L3378" s="18"/>
    </row>
    <row r="3379" hidden="1">
      <c r="A3379" s="2">
        <f>IFERROR(__xludf.DUMMYFUNCTION("""COMPUTED_VALUE"""),70387.0)</f>
        <v>70387</v>
      </c>
      <c r="B3379" s="2">
        <f>IFERROR(__xludf.DUMMYFUNCTION("""COMPUTED_VALUE"""),0.0)</f>
        <v>0</v>
      </c>
      <c r="C3379" s="2">
        <f>IFERROR(__xludf.DUMMYFUNCTION("""COMPUTED_VALUE"""),18.0)</f>
        <v>18</v>
      </c>
      <c r="D3379" s="3">
        <f>IFERROR(__xludf.DUMMYFUNCTION("""COMPUTED_VALUE"""),10.0)</f>
        <v>10</v>
      </c>
      <c r="E3379" s="1" t="str">
        <f t="array" ref="E3379">_xlfn.XLOOKUP(A3379,Product!A:A,Product!B:B,"Bulunamadı")</f>
        <v>History</v>
      </c>
      <c r="F3379" s="1" t="str">
        <f t="array" ref="F3379">_xlfn.XLOOKUP(A3379,Product!A:A,Product!C:C,"Bulunamadı")</f>
        <v>Corporate Law</v>
      </c>
      <c r="G3379" s="2" t="str">
        <f t="array" ref="G3379">_xlfn.XLOOKUP(A3380,Product!A:A,Product!D:D,"Bulunamadı")</f>
        <v>Oakgate Publishing</v>
      </c>
      <c r="H3379" s="2">
        <f t="array" ref="H3379">_xlfn.XLOOKUP(A3381,Product!A:A,Product!E:E,"Bulunamadı")</f>
        <v>0.46</v>
      </c>
      <c r="I3379" s="2" t="str">
        <f t="shared" si="1"/>
        <v>70387 - History - Corporate Law</v>
      </c>
      <c r="J3379" s="2">
        <f t="shared" si="2"/>
        <v>4.6</v>
      </c>
      <c r="K3379" s="17">
        <f t="shared" si="3"/>
        <v>1</v>
      </c>
      <c r="L3379" s="18"/>
    </row>
    <row r="3380">
      <c r="A3380" s="2">
        <f>IFERROR(__xludf.DUMMYFUNCTION("""COMPUTED_VALUE"""),122278.0)</f>
        <v>122278</v>
      </c>
      <c r="B3380" s="2">
        <f>IFERROR(__xludf.DUMMYFUNCTION("""COMPUTED_VALUE"""),1.0)</f>
        <v>1</v>
      </c>
      <c r="C3380" s="2">
        <f>IFERROR(__xludf.DUMMYFUNCTION("""COMPUTED_VALUE"""),456.0)</f>
        <v>456</v>
      </c>
      <c r="D3380" s="3">
        <f>IFERROR(__xludf.DUMMYFUNCTION("""COMPUTED_VALUE"""),424.0)</f>
        <v>424</v>
      </c>
      <c r="E3380" s="1" t="str">
        <f t="array" ref="E3380">_xlfn.XLOOKUP(A3380,Product!A:A,Product!B:B,"Bulunamadı")</f>
        <v>Arts</v>
      </c>
      <c r="F3380" s="1" t="str">
        <f t="array" ref="F3380">_xlfn.XLOOKUP(A3380,Product!A:A,Product!C:C,"Bulunamadı")</f>
        <v>International Law</v>
      </c>
      <c r="G3380" s="2" t="str">
        <f t="array" ref="G3380">_xlfn.XLOOKUP(A3381,Product!A:A,Product!D:D,"Bulunamadı")</f>
        <v>Oakgate Publishing</v>
      </c>
      <c r="H3380" s="2">
        <f t="array" ref="H3380">_xlfn.XLOOKUP(A3382,Product!A:A,Product!E:E,"Bulunamadı")</f>
        <v>0.86</v>
      </c>
      <c r="I3380" s="2" t="str">
        <f t="shared" si="1"/>
        <v>122278 - Arts - International Law</v>
      </c>
      <c r="J3380" s="2">
        <f t="shared" si="2"/>
        <v>364.64</v>
      </c>
      <c r="K3380" s="17">
        <f t="shared" si="3"/>
        <v>1</v>
      </c>
      <c r="L3380" s="18"/>
    </row>
    <row r="3381">
      <c r="A3381" s="2">
        <f>IFERROR(__xludf.DUMMYFUNCTION("""COMPUTED_VALUE"""),29365.0)</f>
        <v>29365</v>
      </c>
      <c r="B3381" s="2">
        <f>IFERROR(__xludf.DUMMYFUNCTION("""COMPUTED_VALUE"""),0.0)</f>
        <v>0</v>
      </c>
      <c r="C3381" s="2">
        <f>IFERROR(__xludf.DUMMYFUNCTION("""COMPUTED_VALUE"""),852.0)</f>
        <v>852</v>
      </c>
      <c r="D3381" s="3">
        <f>IFERROR(__xludf.DUMMYFUNCTION("""COMPUTED_VALUE"""),268.0)</f>
        <v>268</v>
      </c>
      <c r="E3381" s="1" t="str">
        <f t="array" ref="E3381">_xlfn.XLOOKUP(A3381,Product!A:A,Product!B:B,"Bulunamadı")</f>
        <v>Arts</v>
      </c>
      <c r="F3381" s="1" t="str">
        <f t="array" ref="F3381">_xlfn.XLOOKUP(A3381,Product!A:A,Product!C:C,"Bulunamadı")</f>
        <v>International Law</v>
      </c>
      <c r="G3381" s="2" t="str">
        <f t="array" ref="G3381">_xlfn.XLOOKUP(A3382,Product!A:A,Product!D:D,"Bulunamadı")</f>
        <v>Oakgate Publishing</v>
      </c>
      <c r="H3381" s="2">
        <f t="array" ref="H3381">_xlfn.XLOOKUP(A3383,Product!A:A,Product!E:E,"Bulunamadı")</f>
        <v>1.29</v>
      </c>
      <c r="I3381" s="2" t="str">
        <f t="shared" si="1"/>
        <v>29365 - Arts - International Law</v>
      </c>
      <c r="J3381" s="2">
        <f t="shared" si="2"/>
        <v>345.72</v>
      </c>
      <c r="K3381" s="17">
        <f t="shared" si="3"/>
        <v>1</v>
      </c>
      <c r="L3381" s="18"/>
    </row>
    <row r="3382">
      <c r="A3382" s="2">
        <f>IFERROR(__xludf.DUMMYFUNCTION("""COMPUTED_VALUE"""),17769.0)</f>
        <v>17769</v>
      </c>
      <c r="B3382" s="2">
        <f>IFERROR(__xludf.DUMMYFUNCTION("""COMPUTED_VALUE"""),0.0)</f>
        <v>0</v>
      </c>
      <c r="C3382" s="2">
        <f>IFERROR(__xludf.DUMMYFUNCTION("""COMPUTED_VALUE"""),441.0)</f>
        <v>441</v>
      </c>
      <c r="D3382" s="3">
        <f>IFERROR(__xludf.DUMMYFUNCTION("""COMPUTED_VALUE"""),227.0)</f>
        <v>227</v>
      </c>
      <c r="E3382" s="1" t="str">
        <f t="array" ref="E3382">_xlfn.XLOOKUP(A3382,Product!A:A,Product!B:B,"Bulunamadı")</f>
        <v>Arts</v>
      </c>
      <c r="F3382" s="1" t="str">
        <f t="array" ref="F3382">_xlfn.XLOOKUP(A3382,Product!A:A,Product!C:C,"Bulunamadı")</f>
        <v>International Law</v>
      </c>
      <c r="G3382" s="2" t="str">
        <f t="array" ref="G3382">_xlfn.XLOOKUP(A3383,Product!A:A,Product!D:D,"Bulunamadı")</f>
        <v>Oakgate Publishing</v>
      </c>
      <c r="H3382" s="2">
        <f t="array" ref="H3382">_xlfn.XLOOKUP(A3384,Product!A:A,Product!E:E,"Bulunamadı")</f>
        <v>1.57</v>
      </c>
      <c r="I3382" s="2" t="str">
        <f t="shared" si="1"/>
        <v>17769 - Arts - International Law</v>
      </c>
      <c r="J3382" s="2">
        <f t="shared" si="2"/>
        <v>356.39</v>
      </c>
      <c r="K3382" s="17">
        <f t="shared" si="3"/>
        <v>1</v>
      </c>
      <c r="L3382" s="18"/>
    </row>
    <row r="3383">
      <c r="A3383" s="2">
        <f>IFERROR(__xludf.DUMMYFUNCTION("""COMPUTED_VALUE"""),23144.0)</f>
        <v>23144</v>
      </c>
      <c r="B3383" s="2">
        <f>IFERROR(__xludf.DUMMYFUNCTION("""COMPUTED_VALUE"""),1.0)</f>
        <v>1</v>
      </c>
      <c r="C3383" s="2">
        <f>IFERROR(__xludf.DUMMYFUNCTION("""COMPUTED_VALUE"""),424.0)</f>
        <v>424</v>
      </c>
      <c r="D3383" s="3">
        <f>IFERROR(__xludf.DUMMYFUNCTION("""COMPUTED_VALUE"""),375.0)</f>
        <v>375</v>
      </c>
      <c r="E3383" s="1" t="str">
        <f t="array" ref="E3383">_xlfn.XLOOKUP(A3383,Product!A:A,Product!B:B,"Bulunamadı")</f>
        <v>Arts</v>
      </c>
      <c r="F3383" s="1" t="str">
        <f t="array" ref="F3383">_xlfn.XLOOKUP(A3383,Product!A:A,Product!C:C,"Bulunamadı")</f>
        <v>International Law</v>
      </c>
      <c r="G3383" s="2" t="str">
        <f t="array" ref="G3383">_xlfn.XLOOKUP(A3384,Product!A:A,Product!D:D,"Bulunamadı")</f>
        <v>Oakgate Publishing</v>
      </c>
      <c r="H3383" s="2">
        <f t="array" ref="H3383">_xlfn.XLOOKUP(A3385,Product!A:A,Product!E:E,"Bulunamadı")</f>
        <v>0.81</v>
      </c>
      <c r="I3383" s="2" t="str">
        <f t="shared" si="1"/>
        <v>23144 - Arts - International Law</v>
      </c>
      <c r="J3383" s="2">
        <f t="shared" si="2"/>
        <v>303.75</v>
      </c>
      <c r="K3383" s="17">
        <f t="shared" si="3"/>
        <v>1</v>
      </c>
      <c r="L3383" s="18"/>
    </row>
    <row r="3384">
      <c r="A3384" s="2">
        <f>IFERROR(__xludf.DUMMYFUNCTION("""COMPUTED_VALUE"""),120115.0)</f>
        <v>120115</v>
      </c>
      <c r="B3384" s="2">
        <f>IFERROR(__xludf.DUMMYFUNCTION("""COMPUTED_VALUE"""),1.0)</f>
        <v>1</v>
      </c>
      <c r="C3384" s="2">
        <f>IFERROR(__xludf.DUMMYFUNCTION("""COMPUTED_VALUE"""),744.0)</f>
        <v>744</v>
      </c>
      <c r="D3384" s="3">
        <f>IFERROR(__xludf.DUMMYFUNCTION("""COMPUTED_VALUE"""),482.0)</f>
        <v>482</v>
      </c>
      <c r="E3384" s="1" t="str">
        <f t="array" ref="E3384">_xlfn.XLOOKUP(A3384,Product!A:A,Product!B:B,"Bulunamadı")</f>
        <v>Arts</v>
      </c>
      <c r="F3384" s="1" t="str">
        <f t="array" ref="F3384">_xlfn.XLOOKUP(A3384,Product!A:A,Product!C:C,"Bulunamadı")</f>
        <v>International Law</v>
      </c>
      <c r="G3384" s="2" t="str">
        <f t="array" ref="G3384">_xlfn.XLOOKUP(A3385,Product!A:A,Product!D:D,"Bulunamadı")</f>
        <v>Oakgate Publishing</v>
      </c>
      <c r="H3384" s="2">
        <f t="array" ref="H3384">_xlfn.XLOOKUP(A3386,Product!A:A,Product!E:E,"Bulunamadı")</f>
        <v>1.64</v>
      </c>
      <c r="I3384" s="2" t="str">
        <f t="shared" si="1"/>
        <v>120115 - Arts - International Law</v>
      </c>
      <c r="J3384" s="2">
        <f t="shared" si="2"/>
        <v>790.48</v>
      </c>
      <c r="K3384" s="17">
        <f t="shared" si="3"/>
        <v>1</v>
      </c>
      <c r="L3384" s="18"/>
    </row>
    <row r="3385">
      <c r="A3385" s="2">
        <f>IFERROR(__xludf.DUMMYFUNCTION("""COMPUTED_VALUE"""),29384.0)</f>
        <v>29384</v>
      </c>
      <c r="B3385" s="2">
        <f>IFERROR(__xludf.DUMMYFUNCTION("""COMPUTED_VALUE"""),0.0)</f>
        <v>0</v>
      </c>
      <c r="C3385" s="2">
        <f>IFERROR(__xludf.DUMMYFUNCTION("""COMPUTED_VALUE"""),502.0)</f>
        <v>502</v>
      </c>
      <c r="D3385" s="3">
        <f>IFERROR(__xludf.DUMMYFUNCTION("""COMPUTED_VALUE"""),479.0)</f>
        <v>479</v>
      </c>
      <c r="E3385" s="1" t="str">
        <f t="array" ref="E3385">_xlfn.XLOOKUP(A3385,Product!A:A,Product!B:B,"Bulunamadı")</f>
        <v>Arts</v>
      </c>
      <c r="F3385" s="1" t="str">
        <f t="array" ref="F3385">_xlfn.XLOOKUP(A3385,Product!A:A,Product!C:C,"Bulunamadı")</f>
        <v>International Law</v>
      </c>
      <c r="G3385" s="2" t="str">
        <f t="array" ref="G3385">_xlfn.XLOOKUP(A3386,Product!A:A,Product!D:D,"Bulunamadı")</f>
        <v>Oakgate Publishing</v>
      </c>
      <c r="H3385" s="2">
        <f t="array" ref="H3385">_xlfn.XLOOKUP(A3387,Product!A:A,Product!E:E,"Bulunamadı")</f>
        <v>1.55</v>
      </c>
      <c r="I3385" s="2" t="str">
        <f t="shared" si="1"/>
        <v>29384 - Arts - International Law</v>
      </c>
      <c r="J3385" s="2">
        <f t="shared" si="2"/>
        <v>742.45</v>
      </c>
      <c r="K3385" s="17">
        <f t="shared" si="3"/>
        <v>1</v>
      </c>
      <c r="L3385" s="18"/>
    </row>
    <row r="3386">
      <c r="A3386" s="2">
        <f>IFERROR(__xludf.DUMMYFUNCTION("""COMPUTED_VALUE"""),17746.0)</f>
        <v>17746</v>
      </c>
      <c r="B3386" s="2">
        <f>IFERROR(__xludf.DUMMYFUNCTION("""COMPUTED_VALUE"""),0.0)</f>
        <v>0</v>
      </c>
      <c r="C3386" s="2">
        <f>IFERROR(__xludf.DUMMYFUNCTION("""COMPUTED_VALUE"""),617.0)</f>
        <v>617</v>
      </c>
      <c r="D3386" s="3">
        <f>IFERROR(__xludf.DUMMYFUNCTION("""COMPUTED_VALUE"""),104.0)</f>
        <v>104</v>
      </c>
      <c r="E3386" s="1" t="str">
        <f t="array" ref="E3386">_xlfn.XLOOKUP(A3386,Product!A:A,Product!B:B,"Bulunamadı")</f>
        <v>Arts</v>
      </c>
      <c r="F3386" s="1" t="str">
        <f t="array" ref="F3386">_xlfn.XLOOKUP(A3386,Product!A:A,Product!C:C,"Bulunamadı")</f>
        <v>International Law</v>
      </c>
      <c r="G3386" s="2" t="str">
        <f t="array" ref="G3386">_xlfn.XLOOKUP(A3387,Product!A:A,Product!D:D,"Bulunamadı")</f>
        <v>Oakgate Publishing</v>
      </c>
      <c r="H3386" s="2">
        <f t="array" ref="H3386">_xlfn.XLOOKUP(A3388,Product!A:A,Product!E:E,"Bulunamadı")</f>
        <v>0.82</v>
      </c>
      <c r="I3386" s="2" t="str">
        <f t="shared" si="1"/>
        <v>17746 - Arts - International Law</v>
      </c>
      <c r="J3386" s="2">
        <f t="shared" si="2"/>
        <v>85.28</v>
      </c>
      <c r="K3386" s="17">
        <f t="shared" si="3"/>
        <v>1</v>
      </c>
      <c r="L3386" s="18"/>
    </row>
    <row r="3387">
      <c r="A3387" s="2">
        <f>IFERROR(__xludf.DUMMYFUNCTION("""COMPUTED_VALUE"""),121630.0)</f>
        <v>121630</v>
      </c>
      <c r="B3387" s="2">
        <f>IFERROR(__xludf.DUMMYFUNCTION("""COMPUTED_VALUE"""),0.0)</f>
        <v>0</v>
      </c>
      <c r="C3387" s="2">
        <f>IFERROR(__xludf.DUMMYFUNCTION("""COMPUTED_VALUE"""),34.0)</f>
        <v>34</v>
      </c>
      <c r="D3387" s="3">
        <f>IFERROR(__xludf.DUMMYFUNCTION("""COMPUTED_VALUE"""),22.0)</f>
        <v>22</v>
      </c>
      <c r="E3387" s="1" t="str">
        <f t="array" ref="E3387">_xlfn.XLOOKUP(A3387,Product!A:A,Product!B:B,"Bulunamadı")</f>
        <v>Arts</v>
      </c>
      <c r="F3387" s="1" t="str">
        <f t="array" ref="F3387">_xlfn.XLOOKUP(A3387,Product!A:A,Product!C:C,"Bulunamadı")</f>
        <v>International Law</v>
      </c>
      <c r="G3387" s="2" t="str">
        <f t="array" ref="G3387">_xlfn.XLOOKUP(A3388,Product!A:A,Product!D:D,"Bulunamadı")</f>
        <v>Oakgate Publishing</v>
      </c>
      <c r="H3387" s="2">
        <f t="array" ref="H3387">_xlfn.XLOOKUP(A3389,Product!A:A,Product!E:E,"Bulunamadı")</f>
        <v>1.08</v>
      </c>
      <c r="I3387" s="2" t="str">
        <f t="shared" si="1"/>
        <v>121630 - Arts - International Law</v>
      </c>
      <c r="J3387" s="2">
        <f t="shared" si="2"/>
        <v>23.76</v>
      </c>
      <c r="K3387" s="17">
        <f t="shared" si="3"/>
        <v>1</v>
      </c>
      <c r="L3387" s="18"/>
    </row>
    <row r="3388">
      <c r="A3388" s="2">
        <f>IFERROR(__xludf.DUMMYFUNCTION("""COMPUTED_VALUE"""),29385.0)</f>
        <v>29385</v>
      </c>
      <c r="B3388" s="2">
        <f>IFERROR(__xludf.DUMMYFUNCTION("""COMPUTED_VALUE"""),0.0)</f>
        <v>0</v>
      </c>
      <c r="C3388" s="2">
        <f>IFERROR(__xludf.DUMMYFUNCTION("""COMPUTED_VALUE"""),355.0)</f>
        <v>355</v>
      </c>
      <c r="D3388" s="3">
        <f>IFERROR(__xludf.DUMMYFUNCTION("""COMPUTED_VALUE"""),124.0)</f>
        <v>124</v>
      </c>
      <c r="E3388" s="1" t="str">
        <f t="array" ref="E3388">_xlfn.XLOOKUP(A3388,Product!A:A,Product!B:B,"Bulunamadı")</f>
        <v>Arts</v>
      </c>
      <c r="F3388" s="1" t="str">
        <f t="array" ref="F3388">_xlfn.XLOOKUP(A3388,Product!A:A,Product!C:C,"Bulunamadı")</f>
        <v>International Law</v>
      </c>
      <c r="G3388" s="2" t="str">
        <f t="array" ref="G3388">_xlfn.XLOOKUP(A3389,Product!A:A,Product!D:D,"Bulunamadı")</f>
        <v>Oakgate Publishing</v>
      </c>
      <c r="H3388" s="2">
        <f t="array" ref="H3388">_xlfn.XLOOKUP(A3390,Product!A:A,Product!E:E,"Bulunamadı")</f>
        <v>1.73</v>
      </c>
      <c r="I3388" s="2" t="str">
        <f t="shared" si="1"/>
        <v>29385 - Arts - International Law</v>
      </c>
      <c r="J3388" s="2">
        <f t="shared" si="2"/>
        <v>214.52</v>
      </c>
      <c r="K3388" s="17">
        <f t="shared" si="3"/>
        <v>1</v>
      </c>
      <c r="L3388" s="18"/>
    </row>
    <row r="3389">
      <c r="A3389" s="2">
        <f>IFERROR(__xludf.DUMMYFUNCTION("""COMPUTED_VALUE"""),17767.0)</f>
        <v>17767</v>
      </c>
      <c r="B3389" s="2">
        <f>IFERROR(__xludf.DUMMYFUNCTION("""COMPUTED_VALUE"""),0.0)</f>
        <v>0</v>
      </c>
      <c r="C3389" s="2">
        <f>IFERROR(__xludf.DUMMYFUNCTION("""COMPUTED_VALUE"""),797.0)</f>
        <v>797</v>
      </c>
      <c r="D3389" s="3">
        <f>IFERROR(__xludf.DUMMYFUNCTION("""COMPUTED_VALUE"""),689.0)</f>
        <v>689</v>
      </c>
      <c r="E3389" s="1" t="str">
        <f t="array" ref="E3389">_xlfn.XLOOKUP(A3389,Product!A:A,Product!B:B,"Bulunamadı")</f>
        <v>Arts</v>
      </c>
      <c r="F3389" s="1" t="str">
        <f t="array" ref="F3389">_xlfn.XLOOKUP(A3389,Product!A:A,Product!C:C,"Bulunamadı")</f>
        <v>International Law</v>
      </c>
      <c r="G3389" s="2" t="str">
        <f t="array" ref="G3389">_xlfn.XLOOKUP(A3390,Product!A:A,Product!D:D,"Bulunamadı")</f>
        <v>Oakgate Publishing</v>
      </c>
      <c r="H3389" s="2">
        <f t="array" ref="H3389">_xlfn.XLOOKUP(A3391,Product!A:A,Product!E:E,"Bulunamadı")</f>
        <v>1.7</v>
      </c>
      <c r="I3389" s="2" t="str">
        <f t="shared" si="1"/>
        <v>17767 - Arts - International Law</v>
      </c>
      <c r="J3389" s="2">
        <f t="shared" si="2"/>
        <v>1171.3</v>
      </c>
      <c r="K3389" s="17">
        <f t="shared" si="3"/>
        <v>1</v>
      </c>
      <c r="L3389" s="18"/>
    </row>
    <row r="3390">
      <c r="A3390" s="2">
        <f>IFERROR(__xludf.DUMMYFUNCTION("""COMPUTED_VALUE"""),103047.0)</f>
        <v>103047</v>
      </c>
      <c r="B3390" s="2">
        <f>IFERROR(__xludf.DUMMYFUNCTION("""COMPUTED_VALUE"""),1.0)</f>
        <v>1</v>
      </c>
      <c r="C3390" s="2">
        <f>IFERROR(__xludf.DUMMYFUNCTION("""COMPUTED_VALUE"""),160.0)</f>
        <v>160</v>
      </c>
      <c r="D3390" s="3">
        <f>IFERROR(__xludf.DUMMYFUNCTION("""COMPUTED_VALUE"""),85.0)</f>
        <v>85</v>
      </c>
      <c r="E3390" s="1" t="str">
        <f t="array" ref="E3390">_xlfn.XLOOKUP(A3390,Product!A:A,Product!B:B,"Bulunamadı")</f>
        <v>Arts</v>
      </c>
      <c r="F3390" s="1" t="str">
        <f t="array" ref="F3390">_xlfn.XLOOKUP(A3390,Product!A:A,Product!C:C,"Bulunamadı")</f>
        <v>International Law</v>
      </c>
      <c r="G3390" s="2" t="str">
        <f t="array" ref="G3390">_xlfn.XLOOKUP(A3391,Product!A:A,Product!D:D,"Bulunamadı")</f>
        <v>Oakgate Publishing</v>
      </c>
      <c r="H3390" s="2">
        <f t="array" ref="H3390">_xlfn.XLOOKUP(A3392,Product!A:A,Product!E:E,"Bulunamadı")</f>
        <v>0.66</v>
      </c>
      <c r="I3390" s="2" t="str">
        <f t="shared" si="1"/>
        <v>103047 - Arts - International Law</v>
      </c>
      <c r="J3390" s="2">
        <f t="shared" si="2"/>
        <v>56.1</v>
      </c>
      <c r="K3390" s="17">
        <f t="shared" si="3"/>
        <v>1</v>
      </c>
      <c r="L3390" s="18"/>
    </row>
    <row r="3391">
      <c r="A3391" s="2">
        <f>IFERROR(__xludf.DUMMYFUNCTION("""COMPUTED_VALUE"""),70209.0)</f>
        <v>70209</v>
      </c>
      <c r="B3391" s="2">
        <f>IFERROR(__xludf.DUMMYFUNCTION("""COMPUTED_VALUE"""),0.0)</f>
        <v>0</v>
      </c>
      <c r="C3391" s="2">
        <f>IFERROR(__xludf.DUMMYFUNCTION("""COMPUTED_VALUE"""),834.0)</f>
        <v>834</v>
      </c>
      <c r="D3391" s="3">
        <f>IFERROR(__xludf.DUMMYFUNCTION("""COMPUTED_VALUE"""),701.0)</f>
        <v>701</v>
      </c>
      <c r="E3391" s="1" t="str">
        <f t="array" ref="E3391">_xlfn.XLOOKUP(A3391,Product!A:A,Product!B:B,"Bulunamadı")</f>
        <v>Arts</v>
      </c>
      <c r="F3391" s="1" t="str">
        <f t="array" ref="F3391">_xlfn.XLOOKUP(A3391,Product!A:A,Product!C:C,"Bulunamadı")</f>
        <v>International Law</v>
      </c>
      <c r="G3391" s="2" t="str">
        <f t="array" ref="G3391">_xlfn.XLOOKUP(A3392,Product!A:A,Product!D:D,"Bulunamadı")</f>
        <v>Oakgate Publishing</v>
      </c>
      <c r="H3391" s="2">
        <f t="array" ref="H3391">_xlfn.XLOOKUP(A3393,Product!A:A,Product!E:E,"Bulunamadı")</f>
        <v>1.96</v>
      </c>
      <c r="I3391" s="2" t="str">
        <f t="shared" si="1"/>
        <v>70209 - Arts - International Law</v>
      </c>
      <c r="J3391" s="2">
        <f t="shared" si="2"/>
        <v>1373.96</v>
      </c>
      <c r="K3391" s="17">
        <f t="shared" si="3"/>
        <v>1</v>
      </c>
      <c r="L3391" s="18"/>
    </row>
    <row r="3392">
      <c r="A3392" s="2">
        <f>IFERROR(__xludf.DUMMYFUNCTION("""COMPUTED_VALUE"""),29372.0)</f>
        <v>29372</v>
      </c>
      <c r="B3392" s="2">
        <f>IFERROR(__xludf.DUMMYFUNCTION("""COMPUTED_VALUE"""),0.0)</f>
        <v>0</v>
      </c>
      <c r="C3392" s="2">
        <f>IFERROR(__xludf.DUMMYFUNCTION("""COMPUTED_VALUE"""),446.0)</f>
        <v>446</v>
      </c>
      <c r="D3392" s="3">
        <f>IFERROR(__xludf.DUMMYFUNCTION("""COMPUTED_VALUE"""),285.0)</f>
        <v>285</v>
      </c>
      <c r="E3392" s="1" t="str">
        <f t="array" ref="E3392">_xlfn.XLOOKUP(A3392,Product!A:A,Product!B:B,"Bulunamadı")</f>
        <v>Arts</v>
      </c>
      <c r="F3392" s="1" t="str">
        <f t="array" ref="F3392">_xlfn.XLOOKUP(A3392,Product!A:A,Product!C:C,"Bulunamadı")</f>
        <v>International Law</v>
      </c>
      <c r="G3392" s="2" t="str">
        <f t="array" ref="G3392">_xlfn.XLOOKUP(A3393,Product!A:A,Product!D:D,"Bulunamadı")</f>
        <v>Oakgate Publishing</v>
      </c>
      <c r="H3392" s="2">
        <f t="array" ref="H3392">_xlfn.XLOOKUP(A3394,Product!A:A,Product!E:E,"Bulunamadı")</f>
        <v>1.55</v>
      </c>
      <c r="I3392" s="2" t="str">
        <f t="shared" si="1"/>
        <v>29372 - Arts - International Law</v>
      </c>
      <c r="J3392" s="2">
        <f t="shared" si="2"/>
        <v>441.75</v>
      </c>
      <c r="K3392" s="17">
        <f t="shared" si="3"/>
        <v>1</v>
      </c>
      <c r="L3392" s="18"/>
    </row>
    <row r="3393">
      <c r="A3393" s="2">
        <f>IFERROR(__xludf.DUMMYFUNCTION("""COMPUTED_VALUE"""),120485.0)</f>
        <v>120485</v>
      </c>
      <c r="B3393" s="2">
        <f>IFERROR(__xludf.DUMMYFUNCTION("""COMPUTED_VALUE"""),0.0)</f>
        <v>0</v>
      </c>
      <c r="C3393" s="2">
        <f>IFERROR(__xludf.DUMMYFUNCTION("""COMPUTED_VALUE"""),232.0)</f>
        <v>232</v>
      </c>
      <c r="D3393" s="3">
        <f>IFERROR(__xludf.DUMMYFUNCTION("""COMPUTED_VALUE"""),91.0)</f>
        <v>91</v>
      </c>
      <c r="E3393" s="1" t="str">
        <f t="array" ref="E3393">_xlfn.XLOOKUP(A3393,Product!A:A,Product!B:B,"Bulunamadı")</f>
        <v>Arts</v>
      </c>
      <c r="F3393" s="1" t="str">
        <f t="array" ref="F3393">_xlfn.XLOOKUP(A3393,Product!A:A,Product!C:C,"Bulunamadı")</f>
        <v>International Law</v>
      </c>
      <c r="G3393" s="2" t="str">
        <f t="array" ref="G3393">_xlfn.XLOOKUP(A3394,Product!A:A,Product!D:D,"Bulunamadı")</f>
        <v>Oakgate Publishing</v>
      </c>
      <c r="H3393" s="2">
        <f t="array" ref="H3393">_xlfn.XLOOKUP(A3395,Product!A:A,Product!E:E,"Bulunamadı")</f>
        <v>5.34</v>
      </c>
      <c r="I3393" s="2" t="str">
        <f t="shared" si="1"/>
        <v>120485 - Arts - International Law</v>
      </c>
      <c r="J3393" s="2">
        <f t="shared" si="2"/>
        <v>485.94</v>
      </c>
      <c r="K3393" s="17">
        <f t="shared" si="3"/>
        <v>1</v>
      </c>
      <c r="L3393" s="18"/>
    </row>
    <row r="3394">
      <c r="A3394" s="2">
        <f>IFERROR(__xludf.DUMMYFUNCTION("""COMPUTED_VALUE"""),120486.0)</f>
        <v>120486</v>
      </c>
      <c r="B3394" s="2">
        <f>IFERROR(__xludf.DUMMYFUNCTION("""COMPUTED_VALUE"""),1.0)</f>
        <v>1</v>
      </c>
      <c r="C3394" s="2">
        <f>IFERROR(__xludf.DUMMYFUNCTION("""COMPUTED_VALUE"""),569.0)</f>
        <v>569</v>
      </c>
      <c r="D3394" s="3">
        <f>IFERROR(__xludf.DUMMYFUNCTION("""COMPUTED_VALUE"""),148.0)</f>
        <v>148</v>
      </c>
      <c r="E3394" s="1" t="str">
        <f t="array" ref="E3394">_xlfn.XLOOKUP(A3394,Product!A:A,Product!B:B,"Bulunamadı")</f>
        <v>Arts</v>
      </c>
      <c r="F3394" s="1" t="str">
        <f t="array" ref="F3394">_xlfn.XLOOKUP(A3394,Product!A:A,Product!C:C,"Bulunamadı")</f>
        <v>International Law</v>
      </c>
      <c r="G3394" s="2" t="str">
        <f t="array" ref="G3394">_xlfn.XLOOKUP(A3395,Product!A:A,Product!D:D,"Bulunamadı")</f>
        <v>Rivergate Books</v>
      </c>
      <c r="H3394" s="2">
        <f t="array" ref="H3394">_xlfn.XLOOKUP(A3396,Product!A:A,Product!E:E,"Bulunamadı")</f>
        <v>4.68</v>
      </c>
      <c r="I3394" s="2" t="str">
        <f t="shared" si="1"/>
        <v>120486 - Arts - International Law</v>
      </c>
      <c r="J3394" s="2">
        <f t="shared" si="2"/>
        <v>692.64</v>
      </c>
      <c r="K3394" s="17">
        <f t="shared" si="3"/>
        <v>1</v>
      </c>
      <c r="L3394" s="18"/>
    </row>
    <row r="3395">
      <c r="A3395" s="2">
        <f>IFERROR(__xludf.DUMMYFUNCTION("""COMPUTED_VALUE"""),70293.0)</f>
        <v>70293</v>
      </c>
      <c r="B3395" s="2">
        <f>IFERROR(__xludf.DUMMYFUNCTION("""COMPUTED_VALUE"""),1.0)</f>
        <v>1</v>
      </c>
      <c r="C3395" s="2">
        <f>IFERROR(__xludf.DUMMYFUNCTION("""COMPUTED_VALUE"""),946.0)</f>
        <v>946</v>
      </c>
      <c r="D3395" s="3">
        <f>IFERROR(__xludf.DUMMYFUNCTION("""COMPUTED_VALUE"""),427.0)</f>
        <v>427</v>
      </c>
      <c r="E3395" s="1" t="str">
        <f t="array" ref="E3395">_xlfn.XLOOKUP(A3395,Product!A:A,Product!B:B,"Bulunamadı")</f>
        <v>Arts</v>
      </c>
      <c r="F3395" s="1" t="str">
        <f t="array" ref="F3395">_xlfn.XLOOKUP(A3395,Product!A:A,Product!C:C,"Bulunamadı")</f>
        <v>International Law</v>
      </c>
      <c r="G3395" s="2" t="str">
        <f t="array" ref="G3395">_xlfn.XLOOKUP(A3396,Product!A:A,Product!D:D,"Bulunamadı")</f>
        <v>Rivergate Books</v>
      </c>
      <c r="H3395" s="2">
        <f t="array" ref="H3395">_xlfn.XLOOKUP(A3397,Product!A:A,Product!E:E,"Bulunamadı")</f>
        <v>2.02</v>
      </c>
      <c r="I3395" s="2" t="str">
        <f t="shared" si="1"/>
        <v>70293 - Arts - International Law</v>
      </c>
      <c r="J3395" s="2">
        <f t="shared" si="2"/>
        <v>862.54</v>
      </c>
      <c r="K3395" s="17">
        <f t="shared" si="3"/>
        <v>1</v>
      </c>
      <c r="L3395" s="18"/>
    </row>
    <row r="3396">
      <c r="A3396" s="2">
        <f>IFERROR(__xludf.DUMMYFUNCTION("""COMPUTED_VALUE"""),71772.0)</f>
        <v>71772</v>
      </c>
      <c r="B3396" s="2">
        <f>IFERROR(__xludf.DUMMYFUNCTION("""COMPUTED_VALUE"""),0.0)</f>
        <v>0</v>
      </c>
      <c r="C3396" s="2">
        <f>IFERROR(__xludf.DUMMYFUNCTION("""COMPUTED_VALUE"""),324.0)</f>
        <v>324</v>
      </c>
      <c r="D3396" s="3">
        <f>IFERROR(__xludf.DUMMYFUNCTION("""COMPUTED_VALUE"""),36.0)</f>
        <v>36</v>
      </c>
      <c r="E3396" s="1" t="str">
        <f t="array" ref="E3396">_xlfn.XLOOKUP(A3396,Product!A:A,Product!B:B,"Bulunamadı")</f>
        <v>Arts</v>
      </c>
      <c r="F3396" s="1" t="str">
        <f t="array" ref="F3396">_xlfn.XLOOKUP(A3396,Product!A:A,Product!C:C,"Bulunamadı")</f>
        <v>International Law</v>
      </c>
      <c r="G3396" s="2" t="str">
        <f t="array" ref="G3396">_xlfn.XLOOKUP(A3397,Product!A:A,Product!D:D,"Bulunamadı")</f>
        <v>Rivergate Books</v>
      </c>
      <c r="H3396" s="2">
        <f t="array" ref="H3396">_xlfn.XLOOKUP(A3398,Product!A:A,Product!E:E,"Bulunamadı")</f>
        <v>2.56</v>
      </c>
      <c r="I3396" s="2" t="str">
        <f t="shared" si="1"/>
        <v>71772 - Arts - International Law</v>
      </c>
      <c r="J3396" s="2">
        <f t="shared" si="2"/>
        <v>92.16</v>
      </c>
      <c r="K3396" s="17">
        <f t="shared" si="3"/>
        <v>1</v>
      </c>
      <c r="L3396" s="18"/>
    </row>
    <row r="3397">
      <c r="A3397" s="2">
        <f>IFERROR(__xludf.DUMMYFUNCTION("""COMPUTED_VALUE"""),86111.0)</f>
        <v>86111</v>
      </c>
      <c r="B3397" s="2">
        <f>IFERROR(__xludf.DUMMYFUNCTION("""COMPUTED_VALUE"""),0.0)</f>
        <v>0</v>
      </c>
      <c r="C3397" s="2">
        <f>IFERROR(__xludf.DUMMYFUNCTION("""COMPUTED_VALUE"""),148.0)</f>
        <v>148</v>
      </c>
      <c r="D3397" s="3">
        <f>IFERROR(__xludf.DUMMYFUNCTION("""COMPUTED_VALUE"""),144.0)</f>
        <v>144</v>
      </c>
      <c r="E3397" s="1" t="str">
        <f t="array" ref="E3397">_xlfn.XLOOKUP(A3397,Product!A:A,Product!B:B,"Bulunamadı")</f>
        <v>Arts</v>
      </c>
      <c r="F3397" s="1" t="str">
        <f t="array" ref="F3397">_xlfn.XLOOKUP(A3397,Product!A:A,Product!C:C,"Bulunamadı")</f>
        <v>International Law</v>
      </c>
      <c r="G3397" s="2" t="str">
        <f t="array" ref="G3397">_xlfn.XLOOKUP(A3398,Product!A:A,Product!D:D,"Bulunamadı")</f>
        <v>Rivergate Books</v>
      </c>
      <c r="H3397" s="2">
        <f t="array" ref="H3397">_xlfn.XLOOKUP(A3399,Product!A:A,Product!E:E,"Bulunamadı")</f>
        <v>5.55</v>
      </c>
      <c r="I3397" s="2" t="str">
        <f t="shared" si="1"/>
        <v>86111 - Arts - International Law</v>
      </c>
      <c r="J3397" s="2">
        <f t="shared" si="2"/>
        <v>799.2</v>
      </c>
      <c r="K3397" s="17">
        <f t="shared" si="3"/>
        <v>1</v>
      </c>
      <c r="L3397" s="18"/>
    </row>
    <row r="3398">
      <c r="A3398" s="2">
        <f>IFERROR(__xludf.DUMMYFUNCTION("""COMPUTED_VALUE"""),71840.0)</f>
        <v>71840</v>
      </c>
      <c r="B3398" s="2">
        <f>IFERROR(__xludf.DUMMYFUNCTION("""COMPUTED_VALUE"""),0.0)</f>
        <v>0</v>
      </c>
      <c r="C3398" s="2">
        <f>IFERROR(__xludf.DUMMYFUNCTION("""COMPUTED_VALUE"""),148.0)</f>
        <v>148</v>
      </c>
      <c r="D3398" s="3">
        <f>IFERROR(__xludf.DUMMYFUNCTION("""COMPUTED_VALUE"""),66.0)</f>
        <v>66</v>
      </c>
      <c r="E3398" s="1" t="str">
        <f t="array" ref="E3398">_xlfn.XLOOKUP(A3398,Product!A:A,Product!B:B,"Bulunamadı")</f>
        <v>Arts</v>
      </c>
      <c r="F3398" s="1" t="str">
        <f t="array" ref="F3398">_xlfn.XLOOKUP(A3398,Product!A:A,Product!C:C,"Bulunamadı")</f>
        <v>International Law</v>
      </c>
      <c r="G3398" s="2" t="str">
        <f t="array" ref="G3398">_xlfn.XLOOKUP(A3399,Product!A:A,Product!D:D,"Bulunamadı")</f>
        <v>Rivergate Books</v>
      </c>
      <c r="H3398" s="2">
        <f t="array" ref="H3398">_xlfn.XLOOKUP(A3400,Product!A:A,Product!E:E,"Bulunamadı")</f>
        <v>2.22</v>
      </c>
      <c r="I3398" s="2" t="str">
        <f t="shared" si="1"/>
        <v>71840 - Arts - International Law</v>
      </c>
      <c r="J3398" s="2">
        <f t="shared" si="2"/>
        <v>146.52</v>
      </c>
      <c r="K3398" s="17">
        <f t="shared" si="3"/>
        <v>1</v>
      </c>
      <c r="L3398" s="18"/>
    </row>
    <row r="3399">
      <c r="A3399" s="2">
        <f>IFERROR(__xludf.DUMMYFUNCTION("""COMPUTED_VALUE"""),28533.0)</f>
        <v>28533</v>
      </c>
      <c r="B3399" s="2">
        <f>IFERROR(__xludf.DUMMYFUNCTION("""COMPUTED_VALUE"""),0.0)</f>
        <v>0</v>
      </c>
      <c r="C3399" s="2">
        <f>IFERROR(__xludf.DUMMYFUNCTION("""COMPUTED_VALUE"""),63.0)</f>
        <v>63</v>
      </c>
      <c r="D3399" s="3">
        <f>IFERROR(__xludf.DUMMYFUNCTION("""COMPUTED_VALUE"""),54.0)</f>
        <v>54</v>
      </c>
      <c r="E3399" s="1" t="str">
        <f t="array" ref="E3399">_xlfn.XLOOKUP(A3399,Product!A:A,Product!B:B,"Bulunamadı")</f>
        <v>Arts</v>
      </c>
      <c r="F3399" s="1" t="str">
        <f t="array" ref="F3399">_xlfn.XLOOKUP(A3399,Product!A:A,Product!C:C,"Bulunamadı")</f>
        <v>International Law</v>
      </c>
      <c r="G3399" s="2" t="str">
        <f t="array" ref="G3399">_xlfn.XLOOKUP(A3400,Product!A:A,Product!D:D,"Bulunamadı")</f>
        <v>Rivergate Books</v>
      </c>
      <c r="H3399" s="2">
        <f t="array" ref="H3399">_xlfn.XLOOKUP(A3401,Product!A:A,Product!E:E,"Bulunamadı")</f>
        <v>7.34</v>
      </c>
      <c r="I3399" s="2" t="str">
        <f t="shared" si="1"/>
        <v>28533 - Arts - International Law</v>
      </c>
      <c r="J3399" s="2">
        <f t="shared" si="2"/>
        <v>396.36</v>
      </c>
      <c r="K3399" s="17">
        <f t="shared" si="3"/>
        <v>1</v>
      </c>
      <c r="L3399" s="18"/>
    </row>
    <row r="3400">
      <c r="A3400" s="2">
        <f>IFERROR(__xludf.DUMMYFUNCTION("""COMPUTED_VALUE"""),86994.0)</f>
        <v>86994</v>
      </c>
      <c r="B3400" s="2">
        <f>IFERROR(__xludf.DUMMYFUNCTION("""COMPUTED_VALUE"""),0.0)</f>
        <v>0</v>
      </c>
      <c r="C3400" s="2">
        <f>IFERROR(__xludf.DUMMYFUNCTION("""COMPUTED_VALUE"""),690.0)</f>
        <v>690</v>
      </c>
      <c r="D3400" s="3">
        <f>IFERROR(__xludf.DUMMYFUNCTION("""COMPUTED_VALUE"""),577.0)</f>
        <v>577</v>
      </c>
      <c r="E3400" s="1" t="str">
        <f t="array" ref="E3400">_xlfn.XLOOKUP(A3400,Product!A:A,Product!B:B,"Bulunamadı")</f>
        <v>Arts</v>
      </c>
      <c r="F3400" s="1" t="str">
        <f t="array" ref="F3400">_xlfn.XLOOKUP(A3400,Product!A:A,Product!C:C,"Bulunamadı")</f>
        <v>International Law</v>
      </c>
      <c r="G3400" s="2" t="str">
        <f t="array" ref="G3400">_xlfn.XLOOKUP(A3401,Product!A:A,Product!D:D,"Bulunamadı")</f>
        <v>Rivergate Books</v>
      </c>
      <c r="H3400" s="2">
        <f t="array" ref="H3400">_xlfn.XLOOKUP(A3402,Product!A:A,Product!E:E,"Bulunamadı")</f>
        <v>3.02</v>
      </c>
      <c r="I3400" s="2" t="str">
        <f t="shared" si="1"/>
        <v>86994 - Arts - International Law</v>
      </c>
      <c r="J3400" s="2">
        <f t="shared" si="2"/>
        <v>1742.54</v>
      </c>
      <c r="K3400" s="17">
        <f t="shared" si="3"/>
        <v>1</v>
      </c>
      <c r="L3400" s="18"/>
    </row>
    <row r="3401">
      <c r="A3401" s="2">
        <f>IFERROR(__xludf.DUMMYFUNCTION("""COMPUTED_VALUE"""),124881.0)</f>
        <v>124881</v>
      </c>
      <c r="B3401" s="2">
        <f>IFERROR(__xludf.DUMMYFUNCTION("""COMPUTED_VALUE"""),0.0)</f>
        <v>0</v>
      </c>
      <c r="C3401" s="2">
        <f>IFERROR(__xludf.DUMMYFUNCTION("""COMPUTED_VALUE"""),667.0)</f>
        <v>667</v>
      </c>
      <c r="D3401" s="3">
        <f>IFERROR(__xludf.DUMMYFUNCTION("""COMPUTED_VALUE"""),381.0)</f>
        <v>381</v>
      </c>
      <c r="E3401" s="1" t="str">
        <f t="array" ref="E3401">_xlfn.XLOOKUP(A3401,Product!A:A,Product!B:B,"Bulunamadı")</f>
        <v>Arts</v>
      </c>
      <c r="F3401" s="1" t="str">
        <f t="array" ref="F3401">_xlfn.XLOOKUP(A3401,Product!A:A,Product!C:C,"Bulunamadı")</f>
        <v>International Law</v>
      </c>
      <c r="G3401" s="2" t="str">
        <f t="array" ref="G3401">_xlfn.XLOOKUP(A3402,Product!A:A,Product!D:D,"Bulunamadı")</f>
        <v>Rivergate Books</v>
      </c>
      <c r="H3401" s="2">
        <f t="array" ref="H3401">_xlfn.XLOOKUP(A3403,Product!A:A,Product!E:E,"Bulunamadı")</f>
        <v>2.1</v>
      </c>
      <c r="I3401" s="2" t="str">
        <f t="shared" si="1"/>
        <v>124881 - Arts - International Law</v>
      </c>
      <c r="J3401" s="2">
        <f t="shared" si="2"/>
        <v>800.1</v>
      </c>
      <c r="K3401" s="17">
        <f t="shared" si="3"/>
        <v>1</v>
      </c>
      <c r="L3401" s="18"/>
    </row>
    <row r="3402">
      <c r="A3402" s="2">
        <f>IFERROR(__xludf.DUMMYFUNCTION("""COMPUTED_VALUE"""),119280.0)</f>
        <v>119280</v>
      </c>
      <c r="B3402" s="2">
        <f>IFERROR(__xludf.DUMMYFUNCTION("""COMPUTED_VALUE"""),0.0)</f>
        <v>0</v>
      </c>
      <c r="C3402" s="2">
        <f>IFERROR(__xludf.DUMMYFUNCTION("""COMPUTED_VALUE"""),607.0)</f>
        <v>607</v>
      </c>
      <c r="D3402" s="3">
        <f>IFERROR(__xludf.DUMMYFUNCTION("""COMPUTED_VALUE"""),124.0)</f>
        <v>124</v>
      </c>
      <c r="E3402" s="1" t="str">
        <f t="array" ref="E3402">_xlfn.XLOOKUP(A3402,Product!A:A,Product!B:B,"Bulunamadı")</f>
        <v>Arts</v>
      </c>
      <c r="F3402" s="1" t="str">
        <f t="array" ref="F3402">_xlfn.XLOOKUP(A3402,Product!A:A,Product!C:C,"Bulunamadı")</f>
        <v>International Law</v>
      </c>
      <c r="G3402" s="2" t="str">
        <f t="array" ref="G3402">_xlfn.XLOOKUP(A3403,Product!A:A,Product!D:D,"Bulunamadı")</f>
        <v>Rivergate Books</v>
      </c>
      <c r="H3402" s="2">
        <f t="array" ref="H3402">_xlfn.XLOOKUP(A3404,Product!A:A,Product!E:E,"Bulunamadı")</f>
        <v>2.94</v>
      </c>
      <c r="I3402" s="2" t="str">
        <f t="shared" si="1"/>
        <v>119280 - Arts - International Law</v>
      </c>
      <c r="J3402" s="2">
        <f t="shared" si="2"/>
        <v>364.56</v>
      </c>
      <c r="K3402" s="17">
        <f t="shared" si="3"/>
        <v>1</v>
      </c>
      <c r="L3402" s="18"/>
    </row>
    <row r="3403">
      <c r="A3403" s="2">
        <f>IFERROR(__xludf.DUMMYFUNCTION("""COMPUTED_VALUE"""),87001.0)</f>
        <v>87001</v>
      </c>
      <c r="B3403" s="2">
        <f>IFERROR(__xludf.DUMMYFUNCTION("""COMPUTED_VALUE"""),0.0)</f>
        <v>0</v>
      </c>
      <c r="C3403" s="2">
        <f>IFERROR(__xludf.DUMMYFUNCTION("""COMPUTED_VALUE"""),258.0)</f>
        <v>258</v>
      </c>
      <c r="D3403" s="3">
        <f>IFERROR(__xludf.DUMMYFUNCTION("""COMPUTED_VALUE"""),193.0)</f>
        <v>193</v>
      </c>
      <c r="E3403" s="1" t="str">
        <f t="array" ref="E3403">_xlfn.XLOOKUP(A3403,Product!A:A,Product!B:B,"Bulunamadı")</f>
        <v>Arts</v>
      </c>
      <c r="F3403" s="1" t="str">
        <f t="array" ref="F3403">_xlfn.XLOOKUP(A3403,Product!A:A,Product!C:C,"Bulunamadı")</f>
        <v>International Law</v>
      </c>
      <c r="G3403" s="2" t="str">
        <f t="array" ref="G3403">_xlfn.XLOOKUP(A3404,Product!A:A,Product!D:D,"Bulunamadı")</f>
        <v>Rivergate Books</v>
      </c>
      <c r="H3403" s="2">
        <f t="array" ref="H3403">_xlfn.XLOOKUP(A3405,Product!A:A,Product!E:E,"Bulunamadı")</f>
        <v>2.3</v>
      </c>
      <c r="I3403" s="2" t="str">
        <f t="shared" si="1"/>
        <v>87001 - Arts - International Law</v>
      </c>
      <c r="J3403" s="2">
        <f t="shared" si="2"/>
        <v>443.9</v>
      </c>
      <c r="K3403" s="17">
        <f t="shared" si="3"/>
        <v>1</v>
      </c>
      <c r="L3403" s="18"/>
    </row>
    <row r="3404">
      <c r="A3404" s="2">
        <f>IFERROR(__xludf.DUMMYFUNCTION("""COMPUTED_VALUE"""),71839.0)</f>
        <v>71839</v>
      </c>
      <c r="B3404" s="2">
        <f>IFERROR(__xludf.DUMMYFUNCTION("""COMPUTED_VALUE"""),1.0)</f>
        <v>1</v>
      </c>
      <c r="C3404" s="2">
        <f>IFERROR(__xludf.DUMMYFUNCTION("""COMPUTED_VALUE"""),143.0)</f>
        <v>143</v>
      </c>
      <c r="D3404" s="3">
        <f>IFERROR(__xludf.DUMMYFUNCTION("""COMPUTED_VALUE"""),136.0)</f>
        <v>136</v>
      </c>
      <c r="E3404" s="1" t="str">
        <f t="array" ref="E3404">_xlfn.XLOOKUP(A3404,Product!A:A,Product!B:B,"Bulunamadı")</f>
        <v>Arts</v>
      </c>
      <c r="F3404" s="1" t="str">
        <f t="array" ref="F3404">_xlfn.XLOOKUP(A3404,Product!A:A,Product!C:C,"Bulunamadı")</f>
        <v>International Law</v>
      </c>
      <c r="G3404" s="2" t="str">
        <f t="array" ref="G3404">_xlfn.XLOOKUP(A3405,Product!A:A,Product!D:D,"Bulunamadı")</f>
        <v>Rivergate Books</v>
      </c>
      <c r="H3404" s="2">
        <f t="array" ref="H3404">_xlfn.XLOOKUP(A3406,Product!A:A,Product!E:E,"Bulunamadı")</f>
        <v>4.47</v>
      </c>
      <c r="I3404" s="2" t="str">
        <f t="shared" si="1"/>
        <v>71839 - Arts - International Law</v>
      </c>
      <c r="J3404" s="2">
        <f t="shared" si="2"/>
        <v>607.92</v>
      </c>
      <c r="K3404" s="17">
        <f t="shared" si="3"/>
        <v>1</v>
      </c>
      <c r="L3404" s="18"/>
    </row>
    <row r="3405">
      <c r="A3405" s="2">
        <f>IFERROR(__xludf.DUMMYFUNCTION("""COMPUTED_VALUE"""),119288.0)</f>
        <v>119288</v>
      </c>
      <c r="B3405" s="2">
        <f>IFERROR(__xludf.DUMMYFUNCTION("""COMPUTED_VALUE"""),0.0)</f>
        <v>0</v>
      </c>
      <c r="C3405" s="2">
        <f>IFERROR(__xludf.DUMMYFUNCTION("""COMPUTED_VALUE"""),331.0)</f>
        <v>331</v>
      </c>
      <c r="D3405" s="3">
        <f>IFERROR(__xludf.DUMMYFUNCTION("""COMPUTED_VALUE"""),331.0)</f>
        <v>331</v>
      </c>
      <c r="E3405" s="1" t="str">
        <f t="array" ref="E3405">_xlfn.XLOOKUP(A3405,Product!A:A,Product!B:B,"Bulunamadı")</f>
        <v>Arts</v>
      </c>
      <c r="F3405" s="1" t="str">
        <f t="array" ref="F3405">_xlfn.XLOOKUP(A3405,Product!A:A,Product!C:C,"Bulunamadı")</f>
        <v>International Law</v>
      </c>
      <c r="G3405" s="2" t="str">
        <f t="array" ref="G3405">_xlfn.XLOOKUP(A3406,Product!A:A,Product!D:D,"Bulunamadı")</f>
        <v>Rivergate Books</v>
      </c>
      <c r="H3405" s="2">
        <f t="array" ref="H3405">_xlfn.XLOOKUP(A3407,Product!A:A,Product!E:E,"Bulunamadı")</f>
        <v>5.63</v>
      </c>
      <c r="I3405" s="2" t="str">
        <f t="shared" si="1"/>
        <v>119288 - Arts - International Law</v>
      </c>
      <c r="J3405" s="2">
        <f t="shared" si="2"/>
        <v>1863.53</v>
      </c>
      <c r="K3405" s="17">
        <f t="shared" si="3"/>
        <v>1</v>
      </c>
      <c r="L3405" s="18"/>
    </row>
    <row r="3406">
      <c r="A3406" s="2">
        <f>IFERROR(__xludf.DUMMYFUNCTION("""COMPUTED_VALUE"""),71770.0)</f>
        <v>71770</v>
      </c>
      <c r="B3406" s="2">
        <f>IFERROR(__xludf.DUMMYFUNCTION("""COMPUTED_VALUE"""),1.0)</f>
        <v>1</v>
      </c>
      <c r="C3406" s="2">
        <f>IFERROR(__xludf.DUMMYFUNCTION("""COMPUTED_VALUE"""),103.0)</f>
        <v>103</v>
      </c>
      <c r="D3406" s="3">
        <f>IFERROR(__xludf.DUMMYFUNCTION("""COMPUTED_VALUE"""),2.0)</f>
        <v>2</v>
      </c>
      <c r="E3406" s="1" t="str">
        <f t="array" ref="E3406">_xlfn.XLOOKUP(A3406,Product!A:A,Product!B:B,"Bulunamadı")</f>
        <v>Arts</v>
      </c>
      <c r="F3406" s="1" t="str">
        <f t="array" ref="F3406">_xlfn.XLOOKUP(A3406,Product!A:A,Product!C:C,"Bulunamadı")</f>
        <v>International Law</v>
      </c>
      <c r="G3406" s="2" t="str">
        <f t="array" ref="G3406">_xlfn.XLOOKUP(A3407,Product!A:A,Product!D:D,"Bulunamadı")</f>
        <v>Rivergate Books</v>
      </c>
      <c r="H3406" s="2">
        <f t="array" ref="H3406">_xlfn.XLOOKUP(A3408,Product!A:A,Product!E:E,"Bulunamadı")</f>
        <v>2.48</v>
      </c>
      <c r="I3406" s="2" t="str">
        <f t="shared" si="1"/>
        <v>71770 - Arts - International Law</v>
      </c>
      <c r="J3406" s="2">
        <f t="shared" si="2"/>
        <v>4.96</v>
      </c>
      <c r="K3406" s="17">
        <f t="shared" si="3"/>
        <v>1</v>
      </c>
      <c r="L3406" s="18"/>
    </row>
    <row r="3407">
      <c r="A3407" s="2">
        <f>IFERROR(__xludf.DUMMYFUNCTION("""COMPUTED_VALUE"""),28536.0)</f>
        <v>28536</v>
      </c>
      <c r="B3407" s="2">
        <f>IFERROR(__xludf.DUMMYFUNCTION("""COMPUTED_VALUE"""),1.0)</f>
        <v>1</v>
      </c>
      <c r="C3407" s="2">
        <f>IFERROR(__xludf.DUMMYFUNCTION("""COMPUTED_VALUE"""),33.0)</f>
        <v>33</v>
      </c>
      <c r="D3407" s="3">
        <f>IFERROR(__xludf.DUMMYFUNCTION("""COMPUTED_VALUE"""),9.0)</f>
        <v>9</v>
      </c>
      <c r="E3407" s="1" t="str">
        <f t="array" ref="E3407">_xlfn.XLOOKUP(A3407,Product!A:A,Product!B:B,"Bulunamadı")</f>
        <v>Arts</v>
      </c>
      <c r="F3407" s="1" t="str">
        <f t="array" ref="F3407">_xlfn.XLOOKUP(A3407,Product!A:A,Product!C:C,"Bulunamadı")</f>
        <v>International Law</v>
      </c>
      <c r="G3407" s="2" t="str">
        <f t="array" ref="G3407">_xlfn.XLOOKUP(A3408,Product!A:A,Product!D:D,"Bulunamadı")</f>
        <v>Rivergate Books</v>
      </c>
      <c r="H3407" s="2">
        <f t="array" ref="H3407">_xlfn.XLOOKUP(A3409,Product!A:A,Product!E:E,"Bulunamadı")</f>
        <v>2.25</v>
      </c>
      <c r="I3407" s="2" t="str">
        <f t="shared" si="1"/>
        <v>28536 - Arts - International Law</v>
      </c>
      <c r="J3407" s="2">
        <f t="shared" si="2"/>
        <v>20.25</v>
      </c>
      <c r="K3407" s="17">
        <f t="shared" si="3"/>
        <v>1</v>
      </c>
      <c r="L3407" s="18"/>
    </row>
    <row r="3408">
      <c r="A3408" s="2">
        <f>IFERROR(__xludf.DUMMYFUNCTION("""COMPUTED_VALUE"""),90007.0)</f>
        <v>90007</v>
      </c>
      <c r="B3408" s="2">
        <f>IFERROR(__xludf.DUMMYFUNCTION("""COMPUTED_VALUE"""),1.0)</f>
        <v>1</v>
      </c>
      <c r="C3408" s="2">
        <f>IFERROR(__xludf.DUMMYFUNCTION("""COMPUTED_VALUE"""),676.0)</f>
        <v>676</v>
      </c>
      <c r="D3408" s="3">
        <f>IFERROR(__xludf.DUMMYFUNCTION("""COMPUTED_VALUE"""),317.0)</f>
        <v>317</v>
      </c>
      <c r="E3408" s="1" t="str">
        <f t="array" ref="E3408">_xlfn.XLOOKUP(A3408,Product!A:A,Product!B:B,"Bulunamadı")</f>
        <v>Arts</v>
      </c>
      <c r="F3408" s="1" t="str">
        <f t="array" ref="F3408">_xlfn.XLOOKUP(A3408,Product!A:A,Product!C:C,"Bulunamadı")</f>
        <v>International Law</v>
      </c>
      <c r="G3408" s="2" t="str">
        <f t="array" ref="G3408">_xlfn.XLOOKUP(A3409,Product!A:A,Product!D:D,"Bulunamadı")</f>
        <v>Rivergate Books</v>
      </c>
      <c r="H3408" s="2">
        <f t="array" ref="H3408">_xlfn.XLOOKUP(A3410,Product!A:A,Product!E:E,"Bulunamadı")</f>
        <v>2.3</v>
      </c>
      <c r="I3408" s="2" t="str">
        <f t="shared" si="1"/>
        <v>90007 - Arts - International Law</v>
      </c>
      <c r="J3408" s="2">
        <f t="shared" si="2"/>
        <v>729.1</v>
      </c>
      <c r="K3408" s="17">
        <f t="shared" si="3"/>
        <v>1</v>
      </c>
      <c r="L3408" s="18"/>
    </row>
    <row r="3409">
      <c r="A3409" s="2">
        <f>IFERROR(__xludf.DUMMYFUNCTION("""COMPUTED_VALUE"""),71830.0)</f>
        <v>71830</v>
      </c>
      <c r="B3409" s="2">
        <f>IFERROR(__xludf.DUMMYFUNCTION("""COMPUTED_VALUE"""),1.0)</f>
        <v>1</v>
      </c>
      <c r="C3409" s="2">
        <f>IFERROR(__xludf.DUMMYFUNCTION("""COMPUTED_VALUE"""),713.0)</f>
        <v>713</v>
      </c>
      <c r="D3409" s="3">
        <f>IFERROR(__xludf.DUMMYFUNCTION("""COMPUTED_VALUE"""),580.0)</f>
        <v>580</v>
      </c>
      <c r="E3409" s="1" t="str">
        <f t="array" ref="E3409">_xlfn.XLOOKUP(A3409,Product!A:A,Product!B:B,"Bulunamadı")</f>
        <v>Arts</v>
      </c>
      <c r="F3409" s="1" t="str">
        <f t="array" ref="F3409">_xlfn.XLOOKUP(A3409,Product!A:A,Product!C:C,"Bulunamadı")</f>
        <v>International Law</v>
      </c>
      <c r="G3409" s="2" t="str">
        <f t="array" ref="G3409">_xlfn.XLOOKUP(A3410,Product!A:A,Product!D:D,"Bulunamadı")</f>
        <v>Rivergate Books</v>
      </c>
      <c r="H3409" s="2">
        <f t="array" ref="H3409">_xlfn.XLOOKUP(A3411,Product!A:A,Product!E:E,"Bulunamadı")</f>
        <v>2.16</v>
      </c>
      <c r="I3409" s="2" t="str">
        <f t="shared" si="1"/>
        <v>71830 - Arts - International Law</v>
      </c>
      <c r="J3409" s="2">
        <f t="shared" si="2"/>
        <v>1252.8</v>
      </c>
      <c r="K3409" s="17">
        <f t="shared" si="3"/>
        <v>1</v>
      </c>
      <c r="L3409" s="18"/>
    </row>
    <row r="3410">
      <c r="A3410" s="2">
        <f>IFERROR(__xludf.DUMMYFUNCTION("""COMPUTED_VALUE"""),71837.0)</f>
        <v>71837</v>
      </c>
      <c r="B3410" s="2">
        <f>IFERROR(__xludf.DUMMYFUNCTION("""COMPUTED_VALUE"""),0.0)</f>
        <v>0</v>
      </c>
      <c r="C3410" s="2">
        <f>IFERROR(__xludf.DUMMYFUNCTION("""COMPUTED_VALUE"""),207.0)</f>
        <v>207</v>
      </c>
      <c r="D3410" s="3">
        <f>IFERROR(__xludf.DUMMYFUNCTION("""COMPUTED_VALUE"""),120.0)</f>
        <v>120</v>
      </c>
      <c r="E3410" s="1" t="str">
        <f t="array" ref="E3410">_xlfn.XLOOKUP(A3410,Product!A:A,Product!B:B,"Bulunamadı")</f>
        <v>Arts</v>
      </c>
      <c r="F3410" s="1" t="str">
        <f t="array" ref="F3410">_xlfn.XLOOKUP(A3410,Product!A:A,Product!C:C,"Bulunamadı")</f>
        <v>International Law</v>
      </c>
      <c r="G3410" s="2" t="str">
        <f t="array" ref="G3410">_xlfn.XLOOKUP(A3411,Product!A:A,Product!D:D,"Bulunamadı")</f>
        <v>Rivergate Books</v>
      </c>
      <c r="H3410" s="2">
        <f t="array" ref="H3410">_xlfn.XLOOKUP(A3412,Product!A:A,Product!E:E,"Bulunamadı")</f>
        <v>8.21</v>
      </c>
      <c r="I3410" s="2" t="str">
        <f t="shared" si="1"/>
        <v>71837 - Arts - International Law</v>
      </c>
      <c r="J3410" s="2">
        <f t="shared" si="2"/>
        <v>985.2</v>
      </c>
      <c r="K3410" s="17">
        <f t="shared" si="3"/>
        <v>1</v>
      </c>
      <c r="L3410" s="18"/>
    </row>
    <row r="3411">
      <c r="A3411" s="2">
        <f>IFERROR(__xludf.DUMMYFUNCTION("""COMPUTED_VALUE"""),83640.0)</f>
        <v>83640</v>
      </c>
      <c r="B3411" s="2">
        <f>IFERROR(__xludf.DUMMYFUNCTION("""COMPUTED_VALUE"""),1.0)</f>
        <v>1</v>
      </c>
      <c r="C3411" s="2">
        <f>IFERROR(__xludf.DUMMYFUNCTION("""COMPUTED_VALUE"""),24.0)</f>
        <v>24</v>
      </c>
      <c r="D3411" s="3">
        <f>IFERROR(__xludf.DUMMYFUNCTION("""COMPUTED_VALUE"""),8.0)</f>
        <v>8</v>
      </c>
      <c r="E3411" s="1" t="str">
        <f t="array" ref="E3411">_xlfn.XLOOKUP(A3411,Product!A:A,Product!B:B,"Bulunamadı")</f>
        <v>Arts</v>
      </c>
      <c r="F3411" s="1" t="str">
        <f t="array" ref="F3411">_xlfn.XLOOKUP(A3411,Product!A:A,Product!C:C,"Bulunamadı")</f>
        <v>International Law</v>
      </c>
      <c r="G3411" s="2" t="str">
        <f t="array" ref="G3411">_xlfn.XLOOKUP(A3412,Product!A:A,Product!D:D,"Bulunamadı")</f>
        <v>Rivergate Books</v>
      </c>
      <c r="H3411" s="2">
        <f t="array" ref="H3411">_xlfn.XLOOKUP(A3413,Product!A:A,Product!E:E,"Bulunamadı")</f>
        <v>2.84</v>
      </c>
      <c r="I3411" s="2" t="str">
        <f t="shared" si="1"/>
        <v>83640 - Arts - International Law</v>
      </c>
      <c r="J3411" s="2">
        <f t="shared" si="2"/>
        <v>22.72</v>
      </c>
      <c r="K3411" s="17">
        <f t="shared" si="3"/>
        <v>1</v>
      </c>
      <c r="L3411" s="18"/>
    </row>
    <row r="3412">
      <c r="A3412" s="2">
        <f>IFERROR(__xludf.DUMMYFUNCTION("""COMPUTED_VALUE"""),111191.0)</f>
        <v>111191</v>
      </c>
      <c r="B3412" s="2">
        <f>IFERROR(__xludf.DUMMYFUNCTION("""COMPUTED_VALUE"""),0.0)</f>
        <v>0</v>
      </c>
      <c r="C3412" s="2">
        <f>IFERROR(__xludf.DUMMYFUNCTION("""COMPUTED_VALUE"""),332.0)</f>
        <v>332</v>
      </c>
      <c r="D3412" s="3">
        <f>IFERROR(__xludf.DUMMYFUNCTION("""COMPUTED_VALUE"""),61.0)</f>
        <v>61</v>
      </c>
      <c r="E3412" s="1" t="str">
        <f t="array" ref="E3412">_xlfn.XLOOKUP(A3412,Product!A:A,Product!B:B,"Bulunamadı")</f>
        <v>Arts</v>
      </c>
      <c r="F3412" s="1" t="str">
        <f t="array" ref="F3412">_xlfn.XLOOKUP(A3412,Product!A:A,Product!C:C,"Bulunamadı")</f>
        <v>International Law</v>
      </c>
      <c r="G3412" s="2" t="str">
        <f t="array" ref="G3412">_xlfn.XLOOKUP(A3413,Product!A:A,Product!D:D,"Bulunamadı")</f>
        <v>Rivergate Books</v>
      </c>
      <c r="H3412" s="2">
        <f t="array" ref="H3412">_xlfn.XLOOKUP(A3414,Product!A:A,Product!E:E,"Bulunamadı")</f>
        <v>2.05</v>
      </c>
      <c r="I3412" s="2" t="str">
        <f t="shared" si="1"/>
        <v>111191 - Arts - International Law</v>
      </c>
      <c r="J3412" s="2">
        <f t="shared" si="2"/>
        <v>125.05</v>
      </c>
      <c r="K3412" s="17">
        <f t="shared" si="3"/>
        <v>1</v>
      </c>
      <c r="L3412" s="18"/>
    </row>
    <row r="3413">
      <c r="A3413" s="2">
        <f>IFERROR(__xludf.DUMMYFUNCTION("""COMPUTED_VALUE"""),70442.0)</f>
        <v>70442</v>
      </c>
      <c r="B3413" s="2">
        <f>IFERROR(__xludf.DUMMYFUNCTION("""COMPUTED_VALUE"""),1.0)</f>
        <v>1</v>
      </c>
      <c r="C3413" s="2">
        <f>IFERROR(__xludf.DUMMYFUNCTION("""COMPUTED_VALUE"""),705.0)</f>
        <v>705</v>
      </c>
      <c r="D3413" s="3">
        <f>IFERROR(__xludf.DUMMYFUNCTION("""COMPUTED_VALUE"""),285.0)</f>
        <v>285</v>
      </c>
      <c r="E3413" s="1" t="str">
        <f t="array" ref="E3413">_xlfn.XLOOKUP(A3413,Product!A:A,Product!B:B,"Bulunamadı")</f>
        <v>Arts</v>
      </c>
      <c r="F3413" s="1" t="str">
        <f t="array" ref="F3413">_xlfn.XLOOKUP(A3413,Product!A:A,Product!C:C,"Bulunamadı")</f>
        <v>International Law</v>
      </c>
      <c r="G3413" s="2" t="str">
        <f t="array" ref="G3413">_xlfn.XLOOKUP(A3414,Product!A:A,Product!D:D,"Bulunamadı")</f>
        <v>Rivergate Books</v>
      </c>
      <c r="H3413" s="2">
        <f t="array" ref="H3413">_xlfn.XLOOKUP(A3415,Product!A:A,Product!E:E,"Bulunamadı")</f>
        <v>2.76</v>
      </c>
      <c r="I3413" s="2" t="str">
        <f t="shared" si="1"/>
        <v>70442 - Arts - International Law</v>
      </c>
      <c r="J3413" s="2">
        <f t="shared" si="2"/>
        <v>786.6</v>
      </c>
      <c r="K3413" s="17">
        <f t="shared" si="3"/>
        <v>1</v>
      </c>
      <c r="L3413" s="18"/>
    </row>
    <row r="3414">
      <c r="A3414" s="2">
        <f>IFERROR(__xludf.DUMMYFUNCTION("""COMPUTED_VALUE"""),122228.0)</f>
        <v>122228</v>
      </c>
      <c r="B3414" s="2">
        <f>IFERROR(__xludf.DUMMYFUNCTION("""COMPUTED_VALUE"""),0.0)</f>
        <v>0</v>
      </c>
      <c r="C3414" s="2">
        <f>IFERROR(__xludf.DUMMYFUNCTION("""COMPUTED_VALUE"""),470.0)</f>
        <v>470</v>
      </c>
      <c r="D3414" s="3">
        <f>IFERROR(__xludf.DUMMYFUNCTION("""COMPUTED_VALUE"""),77.0)</f>
        <v>77</v>
      </c>
      <c r="E3414" s="1" t="str">
        <f t="array" ref="E3414">_xlfn.XLOOKUP(A3414,Product!A:A,Product!B:B,"Bulunamadı")</f>
        <v>Arts</v>
      </c>
      <c r="F3414" s="1" t="str">
        <f t="array" ref="F3414">_xlfn.XLOOKUP(A3414,Product!A:A,Product!C:C,"Bulunamadı")</f>
        <v>International Law</v>
      </c>
      <c r="G3414" s="2" t="str">
        <f t="array" ref="G3414">_xlfn.XLOOKUP(A3415,Product!A:A,Product!D:D,"Bulunamadı")</f>
        <v>Rivergate Books</v>
      </c>
      <c r="H3414" s="2">
        <f t="array" ref="H3414">_xlfn.XLOOKUP(A3416,Product!A:A,Product!E:E,"Bulunamadı")</f>
        <v>3.96</v>
      </c>
      <c r="I3414" s="2" t="str">
        <f t="shared" si="1"/>
        <v>122228 - Arts - International Law</v>
      </c>
      <c r="J3414" s="2">
        <f t="shared" si="2"/>
        <v>304.92</v>
      </c>
      <c r="K3414" s="17">
        <f t="shared" si="3"/>
        <v>1</v>
      </c>
      <c r="L3414" s="18"/>
    </row>
    <row r="3415">
      <c r="A3415" s="2">
        <f>IFERROR(__xludf.DUMMYFUNCTION("""COMPUTED_VALUE"""),46822.0)</f>
        <v>46822</v>
      </c>
      <c r="B3415" s="2">
        <f>IFERROR(__xludf.DUMMYFUNCTION("""COMPUTED_VALUE"""),0.0)</f>
        <v>0</v>
      </c>
      <c r="C3415" s="2">
        <f>IFERROR(__xludf.DUMMYFUNCTION("""COMPUTED_VALUE"""),380.0)</f>
        <v>380</v>
      </c>
      <c r="D3415" s="3">
        <f>IFERROR(__xludf.DUMMYFUNCTION("""COMPUTED_VALUE"""),331.0)</f>
        <v>331</v>
      </c>
      <c r="E3415" s="1" t="str">
        <f t="array" ref="E3415">_xlfn.XLOOKUP(A3415,Product!A:A,Product!B:B,"Bulunamadı")</f>
        <v>Arts</v>
      </c>
      <c r="F3415" s="1" t="str">
        <f t="array" ref="F3415">_xlfn.XLOOKUP(A3415,Product!A:A,Product!C:C,"Bulunamadı")</f>
        <v>International Law</v>
      </c>
      <c r="G3415" s="2" t="str">
        <f t="array" ref="G3415">_xlfn.XLOOKUP(A3416,Product!A:A,Product!D:D,"Bulunamadı")</f>
        <v>Rivergate Books</v>
      </c>
      <c r="H3415" s="2">
        <f t="array" ref="H3415">_xlfn.XLOOKUP(A3417,Product!A:A,Product!E:E,"Bulunamadı")</f>
        <v>1.82</v>
      </c>
      <c r="I3415" s="2" t="str">
        <f t="shared" si="1"/>
        <v>46822 - Arts - International Law</v>
      </c>
      <c r="J3415" s="2">
        <f t="shared" si="2"/>
        <v>602.42</v>
      </c>
      <c r="K3415" s="17">
        <f t="shared" si="3"/>
        <v>1</v>
      </c>
      <c r="L3415" s="18"/>
    </row>
    <row r="3416">
      <c r="A3416" s="2">
        <f>IFERROR(__xludf.DUMMYFUNCTION("""COMPUTED_VALUE"""),71769.0)</f>
        <v>71769</v>
      </c>
      <c r="B3416" s="2">
        <f>IFERROR(__xludf.DUMMYFUNCTION("""COMPUTED_VALUE"""),0.0)</f>
        <v>0</v>
      </c>
      <c r="C3416" s="2">
        <f>IFERROR(__xludf.DUMMYFUNCTION("""COMPUTED_VALUE"""),776.0)</f>
        <v>776</v>
      </c>
      <c r="D3416" s="3">
        <f>IFERROR(__xludf.DUMMYFUNCTION("""COMPUTED_VALUE"""),366.0)</f>
        <v>366</v>
      </c>
      <c r="E3416" s="1" t="str">
        <f t="array" ref="E3416">_xlfn.XLOOKUP(A3416,Product!A:A,Product!B:B,"Bulunamadı")</f>
        <v>Arts</v>
      </c>
      <c r="F3416" s="1" t="str">
        <f t="array" ref="F3416">_xlfn.XLOOKUP(A3416,Product!A:A,Product!C:C,"Bulunamadı")</f>
        <v>International Law</v>
      </c>
      <c r="G3416" s="2" t="str">
        <f t="array" ref="G3416">_xlfn.XLOOKUP(A3417,Product!A:A,Product!D:D,"Bulunamadı")</f>
        <v>Rivergate Books</v>
      </c>
      <c r="H3416" s="2">
        <f t="array" ref="H3416">_xlfn.XLOOKUP(A3418,Product!A:A,Product!E:E,"Bulunamadı")</f>
        <v>6.41</v>
      </c>
      <c r="I3416" s="2" t="str">
        <f t="shared" si="1"/>
        <v>71769 - Arts - International Law</v>
      </c>
      <c r="J3416" s="2">
        <f t="shared" si="2"/>
        <v>2346.06</v>
      </c>
      <c r="K3416" s="17">
        <f t="shared" si="3"/>
        <v>1</v>
      </c>
      <c r="L3416" s="18"/>
    </row>
    <row r="3417">
      <c r="A3417" s="2">
        <f>IFERROR(__xludf.DUMMYFUNCTION("""COMPUTED_VALUE"""),9302.0)</f>
        <v>9302</v>
      </c>
      <c r="B3417" s="2">
        <f>IFERROR(__xludf.DUMMYFUNCTION("""COMPUTED_VALUE"""),1.0)</f>
        <v>1</v>
      </c>
      <c r="C3417" s="2">
        <f>IFERROR(__xludf.DUMMYFUNCTION("""COMPUTED_VALUE"""),940.0)</f>
        <v>940</v>
      </c>
      <c r="D3417" s="3">
        <f>IFERROR(__xludf.DUMMYFUNCTION("""COMPUTED_VALUE"""),614.0)</f>
        <v>614</v>
      </c>
      <c r="E3417" s="1" t="str">
        <f t="array" ref="E3417">_xlfn.XLOOKUP(A3417,Product!A:A,Product!B:B,"Bulunamadı")</f>
        <v>Arts</v>
      </c>
      <c r="F3417" s="1" t="str">
        <f t="array" ref="F3417">_xlfn.XLOOKUP(A3417,Product!A:A,Product!C:C,"Bulunamadı")</f>
        <v>International Law</v>
      </c>
      <c r="G3417" s="2" t="str">
        <f t="array" ref="G3417">_xlfn.XLOOKUP(A3418,Product!A:A,Product!D:D,"Bulunamadı")</f>
        <v>Rivergate Books</v>
      </c>
      <c r="H3417" s="2">
        <f t="array" ref="H3417">_xlfn.XLOOKUP(A3419,Product!A:A,Product!E:E,"Bulunamadı")</f>
        <v>2.07</v>
      </c>
      <c r="I3417" s="2" t="str">
        <f t="shared" si="1"/>
        <v>9302 - Arts - International Law</v>
      </c>
      <c r="J3417" s="2">
        <f t="shared" si="2"/>
        <v>1270.98</v>
      </c>
      <c r="K3417" s="17">
        <f t="shared" si="3"/>
        <v>1</v>
      </c>
      <c r="L3417" s="18"/>
    </row>
    <row r="3418">
      <c r="A3418" s="2">
        <f>IFERROR(__xludf.DUMMYFUNCTION("""COMPUTED_VALUE"""),90006.0)</f>
        <v>90006</v>
      </c>
      <c r="B3418" s="2">
        <f>IFERROR(__xludf.DUMMYFUNCTION("""COMPUTED_VALUE"""),1.0)</f>
        <v>1</v>
      </c>
      <c r="C3418" s="2">
        <f>IFERROR(__xludf.DUMMYFUNCTION("""COMPUTED_VALUE"""),238.0)</f>
        <v>238</v>
      </c>
      <c r="D3418" s="3">
        <f>IFERROR(__xludf.DUMMYFUNCTION("""COMPUTED_VALUE"""),122.0)</f>
        <v>122</v>
      </c>
      <c r="E3418" s="1" t="str">
        <f t="array" ref="E3418">_xlfn.XLOOKUP(A3418,Product!A:A,Product!B:B,"Bulunamadı")</f>
        <v>Arts</v>
      </c>
      <c r="F3418" s="1" t="str">
        <f t="array" ref="F3418">_xlfn.XLOOKUP(A3418,Product!A:A,Product!C:C,"Bulunamadı")</f>
        <v>International Law</v>
      </c>
      <c r="G3418" s="2" t="str">
        <f t="array" ref="G3418">_xlfn.XLOOKUP(A3419,Product!A:A,Product!D:D,"Bulunamadı")</f>
        <v>Rivergate Books</v>
      </c>
      <c r="H3418" s="2">
        <f t="array" ref="H3418">_xlfn.XLOOKUP(A3420,Product!A:A,Product!E:E,"Bulunamadı")</f>
        <v>2.26</v>
      </c>
      <c r="I3418" s="2" t="str">
        <f t="shared" si="1"/>
        <v>90006 - Arts - International Law</v>
      </c>
      <c r="J3418" s="2">
        <f t="shared" si="2"/>
        <v>275.72</v>
      </c>
      <c r="K3418" s="17">
        <f t="shared" si="3"/>
        <v>1</v>
      </c>
      <c r="L3418" s="18"/>
    </row>
    <row r="3419">
      <c r="A3419" s="2">
        <f>IFERROR(__xludf.DUMMYFUNCTION("""COMPUTED_VALUE"""),80673.0)</f>
        <v>80673</v>
      </c>
      <c r="B3419" s="2">
        <f>IFERROR(__xludf.DUMMYFUNCTION("""COMPUTED_VALUE"""),1.0)</f>
        <v>1</v>
      </c>
      <c r="C3419" s="2">
        <f>IFERROR(__xludf.DUMMYFUNCTION("""COMPUTED_VALUE"""),695.0)</f>
        <v>695</v>
      </c>
      <c r="D3419" s="3">
        <f>IFERROR(__xludf.DUMMYFUNCTION("""COMPUTED_VALUE"""),572.0)</f>
        <v>572</v>
      </c>
      <c r="E3419" s="1" t="str">
        <f t="array" ref="E3419">_xlfn.XLOOKUP(A3419,Product!A:A,Product!B:B,"Bulunamadı")</f>
        <v>Arts</v>
      </c>
      <c r="F3419" s="1" t="str">
        <f t="array" ref="F3419">_xlfn.XLOOKUP(A3419,Product!A:A,Product!C:C,"Bulunamadı")</f>
        <v>International Law</v>
      </c>
      <c r="G3419" s="2" t="str">
        <f t="array" ref="G3419">_xlfn.XLOOKUP(A3420,Product!A:A,Product!D:D,"Bulunamadı")</f>
        <v>Rivergate Books</v>
      </c>
      <c r="H3419" s="2">
        <f t="array" ref="H3419">_xlfn.XLOOKUP(A3421,Product!A:A,Product!E:E,"Bulunamadı")</f>
        <v>3.35</v>
      </c>
      <c r="I3419" s="2" t="str">
        <f t="shared" si="1"/>
        <v>80673 - Arts - International Law</v>
      </c>
      <c r="J3419" s="2">
        <f t="shared" si="2"/>
        <v>1916.2</v>
      </c>
      <c r="K3419" s="17">
        <f t="shared" si="3"/>
        <v>1</v>
      </c>
      <c r="L3419" s="18"/>
    </row>
    <row r="3420">
      <c r="A3420" s="2">
        <f>IFERROR(__xludf.DUMMYFUNCTION("""COMPUTED_VALUE"""),71834.0)</f>
        <v>71834</v>
      </c>
      <c r="B3420" s="2">
        <f>IFERROR(__xludf.DUMMYFUNCTION("""COMPUTED_VALUE"""),0.0)</f>
        <v>0</v>
      </c>
      <c r="C3420" s="2">
        <f>IFERROR(__xludf.DUMMYFUNCTION("""COMPUTED_VALUE"""),242.0)</f>
        <v>242</v>
      </c>
      <c r="D3420" s="3">
        <f>IFERROR(__xludf.DUMMYFUNCTION("""COMPUTED_VALUE"""),168.0)</f>
        <v>168</v>
      </c>
      <c r="E3420" s="1" t="str">
        <f t="array" ref="E3420">_xlfn.XLOOKUP(A3420,Product!A:A,Product!B:B,"Bulunamadı")</f>
        <v>Arts</v>
      </c>
      <c r="F3420" s="1" t="str">
        <f t="array" ref="F3420">_xlfn.XLOOKUP(A3420,Product!A:A,Product!C:C,"Bulunamadı")</f>
        <v>International Law</v>
      </c>
      <c r="G3420" s="2" t="str">
        <f t="array" ref="G3420">_xlfn.XLOOKUP(A3421,Product!A:A,Product!D:D,"Bulunamadı")</f>
        <v>Rivergate Books</v>
      </c>
      <c r="H3420" s="2">
        <f t="array" ref="H3420">_xlfn.XLOOKUP(A3422,Product!A:A,Product!E:E,"Bulunamadı")</f>
        <v>3.25</v>
      </c>
      <c r="I3420" s="2" t="str">
        <f t="shared" si="1"/>
        <v>71834 - Arts - International Law</v>
      </c>
      <c r="J3420" s="2">
        <f t="shared" si="2"/>
        <v>546</v>
      </c>
      <c r="K3420" s="17">
        <f t="shared" si="3"/>
        <v>1</v>
      </c>
      <c r="L3420" s="18"/>
    </row>
    <row r="3421">
      <c r="A3421" s="2">
        <f>IFERROR(__xludf.DUMMYFUNCTION("""COMPUTED_VALUE"""),107310.0)</f>
        <v>107310</v>
      </c>
      <c r="B3421" s="2">
        <f>IFERROR(__xludf.DUMMYFUNCTION("""COMPUTED_VALUE"""),0.0)</f>
        <v>0</v>
      </c>
      <c r="C3421" s="2">
        <f>IFERROR(__xludf.DUMMYFUNCTION("""COMPUTED_VALUE"""),200.0)</f>
        <v>200</v>
      </c>
      <c r="D3421" s="3">
        <f>IFERROR(__xludf.DUMMYFUNCTION("""COMPUTED_VALUE"""),128.0)</f>
        <v>128</v>
      </c>
      <c r="E3421" s="1" t="str">
        <f t="array" ref="E3421">_xlfn.XLOOKUP(A3421,Product!A:A,Product!B:B,"Bulunamadı")</f>
        <v>Arts</v>
      </c>
      <c r="F3421" s="1" t="str">
        <f t="array" ref="F3421">_xlfn.XLOOKUP(A3421,Product!A:A,Product!C:C,"Bulunamadı")</f>
        <v>International Law</v>
      </c>
      <c r="G3421" s="2" t="str">
        <f t="array" ref="G3421">_xlfn.XLOOKUP(A3422,Product!A:A,Product!D:D,"Bulunamadı")</f>
        <v>Rivergate Books</v>
      </c>
      <c r="H3421" s="2">
        <f t="array" ref="H3421">_xlfn.XLOOKUP(A3423,Product!A:A,Product!E:E,"Bulunamadı")</f>
        <v>2.87</v>
      </c>
      <c r="I3421" s="2" t="str">
        <f t="shared" si="1"/>
        <v>107310 - Arts - International Law</v>
      </c>
      <c r="J3421" s="2">
        <f t="shared" si="2"/>
        <v>367.36</v>
      </c>
      <c r="K3421" s="17">
        <f t="shared" si="3"/>
        <v>1</v>
      </c>
      <c r="L3421" s="18"/>
    </row>
    <row r="3422">
      <c r="A3422" s="2">
        <f>IFERROR(__xludf.DUMMYFUNCTION("""COMPUTED_VALUE"""),71843.0)</f>
        <v>71843</v>
      </c>
      <c r="B3422" s="2">
        <f>IFERROR(__xludf.DUMMYFUNCTION("""COMPUTED_VALUE"""),0.0)</f>
        <v>0</v>
      </c>
      <c r="C3422" s="2">
        <f>IFERROR(__xludf.DUMMYFUNCTION("""COMPUTED_VALUE"""),779.0)</f>
        <v>779</v>
      </c>
      <c r="D3422" s="3">
        <f>IFERROR(__xludf.DUMMYFUNCTION("""COMPUTED_VALUE"""),733.0)</f>
        <v>733</v>
      </c>
      <c r="E3422" s="1" t="str">
        <f t="array" ref="E3422">_xlfn.XLOOKUP(A3422,Product!A:A,Product!B:B,"Bulunamadı")</f>
        <v>Arts</v>
      </c>
      <c r="F3422" s="1" t="str">
        <f t="array" ref="F3422">_xlfn.XLOOKUP(A3422,Product!A:A,Product!C:C,"Bulunamadı")</f>
        <v>International Law</v>
      </c>
      <c r="G3422" s="2" t="str">
        <f t="array" ref="G3422">_xlfn.XLOOKUP(A3423,Product!A:A,Product!D:D,"Bulunamadı")</f>
        <v>Rivergate Books</v>
      </c>
      <c r="H3422" s="2">
        <f t="array" ref="H3422">_xlfn.XLOOKUP(A3424,Product!A:A,Product!E:E,"Bulunamadı")</f>
        <v>1.97</v>
      </c>
      <c r="I3422" s="2" t="str">
        <f t="shared" si="1"/>
        <v>71843 - Arts - International Law</v>
      </c>
      <c r="J3422" s="2">
        <f t="shared" si="2"/>
        <v>1444.01</v>
      </c>
      <c r="K3422" s="17">
        <f t="shared" si="3"/>
        <v>1</v>
      </c>
      <c r="L3422" s="18"/>
    </row>
    <row r="3423">
      <c r="A3423" s="2">
        <f>IFERROR(__xludf.DUMMYFUNCTION("""COMPUTED_VALUE"""),107358.0)</f>
        <v>107358</v>
      </c>
      <c r="B3423" s="2">
        <f>IFERROR(__xludf.DUMMYFUNCTION("""COMPUTED_VALUE"""),1.0)</f>
        <v>1</v>
      </c>
      <c r="C3423" s="2">
        <f>IFERROR(__xludf.DUMMYFUNCTION("""COMPUTED_VALUE"""),258.0)</f>
        <v>258</v>
      </c>
      <c r="D3423" s="3">
        <f>IFERROR(__xludf.DUMMYFUNCTION("""COMPUTED_VALUE"""),27.0)</f>
        <v>27</v>
      </c>
      <c r="E3423" s="1" t="str">
        <f t="array" ref="E3423">_xlfn.XLOOKUP(A3423,Product!A:A,Product!B:B,"Bulunamadı")</f>
        <v>Arts</v>
      </c>
      <c r="F3423" s="1" t="str">
        <f t="array" ref="F3423">_xlfn.XLOOKUP(A3423,Product!A:A,Product!C:C,"Bulunamadı")</f>
        <v>International Law</v>
      </c>
      <c r="G3423" s="2" t="str">
        <f t="array" ref="G3423">_xlfn.XLOOKUP(A3424,Product!A:A,Product!D:D,"Bulunamadı")</f>
        <v>Rivergate Books</v>
      </c>
      <c r="H3423" s="2">
        <f t="array" ref="H3423">_xlfn.XLOOKUP(A3425,Product!A:A,Product!E:E,"Bulunamadı")</f>
        <v>7.74</v>
      </c>
      <c r="I3423" s="2" t="str">
        <f t="shared" si="1"/>
        <v>107358 - Arts - International Law</v>
      </c>
      <c r="J3423" s="2">
        <f t="shared" si="2"/>
        <v>208.98</v>
      </c>
      <c r="K3423" s="17">
        <f t="shared" si="3"/>
        <v>1</v>
      </c>
      <c r="L3423" s="18"/>
    </row>
    <row r="3424">
      <c r="A3424" s="2">
        <f>IFERROR(__xludf.DUMMYFUNCTION("""COMPUTED_VALUE"""),44842.0)</f>
        <v>44842</v>
      </c>
      <c r="B3424" s="2">
        <f>IFERROR(__xludf.DUMMYFUNCTION("""COMPUTED_VALUE"""),0.0)</f>
        <v>0</v>
      </c>
      <c r="C3424" s="2">
        <f>IFERROR(__xludf.DUMMYFUNCTION("""COMPUTED_VALUE"""),395.0)</f>
        <v>395</v>
      </c>
      <c r="D3424" s="3">
        <f>IFERROR(__xludf.DUMMYFUNCTION("""COMPUTED_VALUE"""),176.0)</f>
        <v>176</v>
      </c>
      <c r="E3424" s="1" t="str">
        <f t="array" ref="E3424">_xlfn.XLOOKUP(A3424,Product!A:A,Product!B:B,"Bulunamadı")</f>
        <v>Arts</v>
      </c>
      <c r="F3424" s="1" t="str">
        <f t="array" ref="F3424">_xlfn.XLOOKUP(A3424,Product!A:A,Product!C:C,"Bulunamadı")</f>
        <v>International Law</v>
      </c>
      <c r="G3424" s="2" t="str">
        <f t="array" ref="G3424">_xlfn.XLOOKUP(A3425,Product!A:A,Product!D:D,"Bulunamadı")</f>
        <v>Rivergate Books</v>
      </c>
      <c r="H3424" s="2">
        <f t="array" ref="H3424">_xlfn.XLOOKUP(A3426,Product!A:A,Product!E:E,"Bulunamadı")</f>
        <v>4.39</v>
      </c>
      <c r="I3424" s="2" t="str">
        <f t="shared" si="1"/>
        <v>44842 - Arts - International Law</v>
      </c>
      <c r="J3424" s="2">
        <f t="shared" si="2"/>
        <v>772.64</v>
      </c>
      <c r="K3424" s="17">
        <f t="shared" si="3"/>
        <v>1</v>
      </c>
      <c r="L3424" s="18"/>
    </row>
    <row r="3425">
      <c r="A3425" s="2">
        <f>IFERROR(__xludf.DUMMYFUNCTION("""COMPUTED_VALUE"""),111181.0)</f>
        <v>111181</v>
      </c>
      <c r="B3425" s="2">
        <f>IFERROR(__xludf.DUMMYFUNCTION("""COMPUTED_VALUE"""),0.0)</f>
        <v>0</v>
      </c>
      <c r="C3425" s="2">
        <f>IFERROR(__xludf.DUMMYFUNCTION("""COMPUTED_VALUE"""),114.0)</f>
        <v>114</v>
      </c>
      <c r="D3425" s="3">
        <f>IFERROR(__xludf.DUMMYFUNCTION("""COMPUTED_VALUE"""),6.0)</f>
        <v>6</v>
      </c>
      <c r="E3425" s="1" t="str">
        <f t="array" ref="E3425">_xlfn.XLOOKUP(A3425,Product!A:A,Product!B:B,"Bulunamadı")</f>
        <v>Arts</v>
      </c>
      <c r="F3425" s="1" t="str">
        <f t="array" ref="F3425">_xlfn.XLOOKUP(A3425,Product!A:A,Product!C:C,"Bulunamadı")</f>
        <v>International Law</v>
      </c>
      <c r="G3425" s="2" t="str">
        <f t="array" ref="G3425">_xlfn.XLOOKUP(A3426,Product!A:A,Product!D:D,"Bulunamadı")</f>
        <v>Rivergate Books</v>
      </c>
      <c r="H3425" s="2">
        <f t="array" ref="H3425">_xlfn.XLOOKUP(A3427,Product!A:A,Product!E:E,"Bulunamadı")</f>
        <v>2.53</v>
      </c>
      <c r="I3425" s="2" t="str">
        <f t="shared" si="1"/>
        <v>111181 - Arts - International Law</v>
      </c>
      <c r="J3425" s="2">
        <f t="shared" si="2"/>
        <v>15.18</v>
      </c>
      <c r="K3425" s="17">
        <f t="shared" si="3"/>
        <v>1</v>
      </c>
      <c r="L3425" s="18"/>
    </row>
    <row r="3426">
      <c r="A3426" s="2">
        <f>IFERROR(__xludf.DUMMYFUNCTION("""COMPUTED_VALUE"""),71773.0)</f>
        <v>71773</v>
      </c>
      <c r="B3426" s="2">
        <f>IFERROR(__xludf.DUMMYFUNCTION("""COMPUTED_VALUE"""),1.0)</f>
        <v>1</v>
      </c>
      <c r="C3426" s="2">
        <f>IFERROR(__xludf.DUMMYFUNCTION("""COMPUTED_VALUE"""),668.0)</f>
        <v>668</v>
      </c>
      <c r="D3426" s="3">
        <f>IFERROR(__xludf.DUMMYFUNCTION("""COMPUTED_VALUE"""),160.0)</f>
        <v>160</v>
      </c>
      <c r="E3426" s="1" t="str">
        <f t="array" ref="E3426">_xlfn.XLOOKUP(A3426,Product!A:A,Product!B:B,"Bulunamadı")</f>
        <v>Arts</v>
      </c>
      <c r="F3426" s="1" t="str">
        <f t="array" ref="F3426">_xlfn.XLOOKUP(A3426,Product!A:A,Product!C:C,"Bulunamadı")</f>
        <v>International Law</v>
      </c>
      <c r="G3426" s="2" t="str">
        <f t="array" ref="G3426">_xlfn.XLOOKUP(A3427,Product!A:A,Product!D:D,"Bulunamadı")</f>
        <v>Rivergate Books</v>
      </c>
      <c r="H3426" s="2">
        <f t="array" ref="H3426">_xlfn.XLOOKUP(A3428,Product!A:A,Product!E:E,"Bulunamadı")</f>
        <v>5.03</v>
      </c>
      <c r="I3426" s="2" t="str">
        <f t="shared" si="1"/>
        <v>71773 - Arts - International Law</v>
      </c>
      <c r="J3426" s="2">
        <f t="shared" si="2"/>
        <v>804.8</v>
      </c>
      <c r="K3426" s="17">
        <f t="shared" si="3"/>
        <v>1</v>
      </c>
      <c r="L3426" s="18"/>
    </row>
    <row r="3427">
      <c r="A3427" s="2">
        <f>IFERROR(__xludf.DUMMYFUNCTION("""COMPUTED_VALUE"""),71836.0)</f>
        <v>71836</v>
      </c>
      <c r="B3427" s="2">
        <f>IFERROR(__xludf.DUMMYFUNCTION("""COMPUTED_VALUE"""),0.0)</f>
        <v>0</v>
      </c>
      <c r="C3427" s="2">
        <f>IFERROR(__xludf.DUMMYFUNCTION("""COMPUTED_VALUE"""),212.0)</f>
        <v>212</v>
      </c>
      <c r="D3427" s="3">
        <f>IFERROR(__xludf.DUMMYFUNCTION("""COMPUTED_VALUE"""),210.0)</f>
        <v>210</v>
      </c>
      <c r="E3427" s="1" t="str">
        <f t="array" ref="E3427">_xlfn.XLOOKUP(A3427,Product!A:A,Product!B:B,"Bulunamadı")</f>
        <v>Arts</v>
      </c>
      <c r="F3427" s="1" t="str">
        <f t="array" ref="F3427">_xlfn.XLOOKUP(A3427,Product!A:A,Product!C:C,"Bulunamadı")</f>
        <v>International Law</v>
      </c>
      <c r="G3427" s="2" t="str">
        <f t="array" ref="G3427">_xlfn.XLOOKUP(A3428,Product!A:A,Product!D:D,"Bulunamadı")</f>
        <v>Rivergate Books</v>
      </c>
      <c r="H3427" s="2">
        <f t="array" ref="H3427">_xlfn.XLOOKUP(A3429,Product!A:A,Product!E:E,"Bulunamadı")</f>
        <v>4.83</v>
      </c>
      <c r="I3427" s="2" t="str">
        <f t="shared" si="1"/>
        <v>71836 - Arts - International Law</v>
      </c>
      <c r="J3427" s="2">
        <f t="shared" si="2"/>
        <v>1014.3</v>
      </c>
      <c r="K3427" s="17">
        <f t="shared" si="3"/>
        <v>1</v>
      </c>
      <c r="L3427" s="18"/>
    </row>
    <row r="3428">
      <c r="A3428" s="2">
        <f>IFERROR(__xludf.DUMMYFUNCTION("""COMPUTED_VALUE"""),70276.0)</f>
        <v>70276</v>
      </c>
      <c r="B3428" s="2">
        <f>IFERROR(__xludf.DUMMYFUNCTION("""COMPUTED_VALUE"""),1.0)</f>
        <v>1</v>
      </c>
      <c r="C3428" s="2">
        <f>IFERROR(__xludf.DUMMYFUNCTION("""COMPUTED_VALUE"""),537.0)</f>
        <v>537</v>
      </c>
      <c r="D3428" s="3">
        <f>IFERROR(__xludf.DUMMYFUNCTION("""COMPUTED_VALUE"""),326.0)</f>
        <v>326</v>
      </c>
      <c r="E3428" s="1" t="str">
        <f t="array" ref="E3428">_xlfn.XLOOKUP(A3428,Product!A:A,Product!B:B,"Bulunamadı")</f>
        <v>Arts</v>
      </c>
      <c r="F3428" s="1" t="str">
        <f t="array" ref="F3428">_xlfn.XLOOKUP(A3428,Product!A:A,Product!C:C,"Bulunamadı")</f>
        <v>International Law</v>
      </c>
      <c r="G3428" s="2" t="str">
        <f t="array" ref="G3428">_xlfn.XLOOKUP(A3429,Product!A:A,Product!D:D,"Bulunamadı")</f>
        <v>Rivergate Books</v>
      </c>
      <c r="H3428" s="2">
        <f t="array" ref="H3428">_xlfn.XLOOKUP(A3430,Product!A:A,Product!E:E,"Bulunamadı")</f>
        <v>2.17</v>
      </c>
      <c r="I3428" s="2" t="str">
        <f t="shared" si="1"/>
        <v>70276 - Arts - International Law</v>
      </c>
      <c r="J3428" s="2">
        <f t="shared" si="2"/>
        <v>707.42</v>
      </c>
      <c r="K3428" s="17">
        <f t="shared" si="3"/>
        <v>1</v>
      </c>
      <c r="L3428" s="18"/>
    </row>
    <row r="3429">
      <c r="A3429" s="2">
        <f>IFERROR(__xludf.DUMMYFUNCTION("""COMPUTED_VALUE"""),71775.0)</f>
        <v>71775</v>
      </c>
      <c r="B3429" s="2">
        <f>IFERROR(__xludf.DUMMYFUNCTION("""COMPUTED_VALUE"""),0.0)</f>
        <v>0</v>
      </c>
      <c r="C3429" s="2">
        <f>IFERROR(__xludf.DUMMYFUNCTION("""COMPUTED_VALUE"""),862.0)</f>
        <v>862</v>
      </c>
      <c r="D3429" s="3">
        <f>IFERROR(__xludf.DUMMYFUNCTION("""COMPUTED_VALUE"""),307.0)</f>
        <v>307</v>
      </c>
      <c r="E3429" s="1" t="str">
        <f t="array" ref="E3429">_xlfn.XLOOKUP(A3429,Product!A:A,Product!B:B,"Bulunamadı")</f>
        <v>Arts</v>
      </c>
      <c r="F3429" s="1" t="str">
        <f t="array" ref="F3429">_xlfn.XLOOKUP(A3429,Product!A:A,Product!C:C,"Bulunamadı")</f>
        <v>International Law</v>
      </c>
      <c r="G3429" s="2" t="str">
        <f t="array" ref="G3429">_xlfn.XLOOKUP(A3430,Product!A:A,Product!D:D,"Bulunamadı")</f>
        <v>Rivergate Books</v>
      </c>
      <c r="H3429" s="2">
        <f t="array" ref="H3429">_xlfn.XLOOKUP(A3431,Product!A:A,Product!E:E,"Bulunamadı")</f>
        <v>2.89</v>
      </c>
      <c r="I3429" s="2" t="str">
        <f t="shared" si="1"/>
        <v>71775 - Arts - International Law</v>
      </c>
      <c r="J3429" s="2">
        <f t="shared" si="2"/>
        <v>887.23</v>
      </c>
      <c r="K3429" s="17">
        <f t="shared" si="3"/>
        <v>1</v>
      </c>
      <c r="L3429" s="18"/>
    </row>
    <row r="3430">
      <c r="A3430" s="2">
        <f>IFERROR(__xludf.DUMMYFUNCTION("""COMPUTED_VALUE"""),44844.0)</f>
        <v>44844</v>
      </c>
      <c r="B3430" s="2">
        <f>IFERROR(__xludf.DUMMYFUNCTION("""COMPUTED_VALUE"""),1.0)</f>
        <v>1</v>
      </c>
      <c r="C3430" s="2">
        <f>IFERROR(__xludf.DUMMYFUNCTION("""COMPUTED_VALUE"""),178.0)</f>
        <v>178</v>
      </c>
      <c r="D3430" s="3">
        <f>IFERROR(__xludf.DUMMYFUNCTION("""COMPUTED_VALUE"""),117.0)</f>
        <v>117</v>
      </c>
      <c r="E3430" s="1" t="str">
        <f t="array" ref="E3430">_xlfn.XLOOKUP(A3430,Product!A:A,Product!B:B,"Bulunamadı")</f>
        <v>Arts</v>
      </c>
      <c r="F3430" s="1" t="str">
        <f t="array" ref="F3430">_xlfn.XLOOKUP(A3430,Product!A:A,Product!C:C,"Bulunamadı")</f>
        <v>International Law</v>
      </c>
      <c r="G3430" s="2" t="str">
        <f t="array" ref="G3430">_xlfn.XLOOKUP(A3431,Product!A:A,Product!D:D,"Bulunamadı")</f>
        <v>Rivergate Books</v>
      </c>
      <c r="H3430" s="2">
        <f t="array" ref="H3430">_xlfn.XLOOKUP(A3432,Product!A:A,Product!E:E,"Bulunamadı")</f>
        <v>2.83</v>
      </c>
      <c r="I3430" s="2" t="str">
        <f t="shared" si="1"/>
        <v>44844 - Arts - International Law</v>
      </c>
      <c r="J3430" s="2">
        <f t="shared" si="2"/>
        <v>331.11</v>
      </c>
      <c r="K3430" s="17">
        <f t="shared" si="3"/>
        <v>1</v>
      </c>
      <c r="L3430" s="18"/>
    </row>
    <row r="3431">
      <c r="A3431" s="2">
        <f>IFERROR(__xludf.DUMMYFUNCTION("""COMPUTED_VALUE"""),156181.0)</f>
        <v>156181</v>
      </c>
      <c r="B3431" s="2">
        <f>IFERROR(__xludf.DUMMYFUNCTION("""COMPUTED_VALUE"""),0.0)</f>
        <v>0</v>
      </c>
      <c r="C3431" s="2">
        <f>IFERROR(__xludf.DUMMYFUNCTION("""COMPUTED_VALUE"""),96.0)</f>
        <v>96</v>
      </c>
      <c r="D3431" s="3">
        <f>IFERROR(__xludf.DUMMYFUNCTION("""COMPUTED_VALUE"""),80.0)</f>
        <v>80</v>
      </c>
      <c r="E3431" s="1" t="str">
        <f t="array" ref="E3431">_xlfn.XLOOKUP(A3431,Product!A:A,Product!B:B,"Bulunamadı")</f>
        <v>Arts</v>
      </c>
      <c r="F3431" s="1" t="str">
        <f t="array" ref="F3431">_xlfn.XLOOKUP(A3431,Product!A:A,Product!C:C,"Bulunamadı")</f>
        <v>International Law</v>
      </c>
      <c r="G3431" s="2" t="str">
        <f t="array" ref="G3431">_xlfn.XLOOKUP(A3432,Product!A:A,Product!D:D,"Bulunamadı")</f>
        <v>Rivergate Books</v>
      </c>
      <c r="H3431" s="2">
        <f t="array" ref="H3431">_xlfn.XLOOKUP(A3433,Product!A:A,Product!E:E,"Bulunamadı")</f>
        <v>1.84</v>
      </c>
      <c r="I3431" s="2" t="str">
        <f t="shared" si="1"/>
        <v>156181 - Arts - International Law</v>
      </c>
      <c r="J3431" s="2">
        <f t="shared" si="2"/>
        <v>147.2</v>
      </c>
      <c r="K3431" s="17">
        <f t="shared" si="3"/>
        <v>1</v>
      </c>
      <c r="L3431" s="18"/>
    </row>
    <row r="3432">
      <c r="A3432" s="2">
        <f>IFERROR(__xludf.DUMMYFUNCTION("""COMPUTED_VALUE"""),102898.0)</f>
        <v>102898</v>
      </c>
      <c r="B3432" s="2">
        <f>IFERROR(__xludf.DUMMYFUNCTION("""COMPUTED_VALUE"""),1.0)</f>
        <v>1</v>
      </c>
      <c r="C3432" s="2">
        <f>IFERROR(__xludf.DUMMYFUNCTION("""COMPUTED_VALUE"""),544.0)</f>
        <v>544</v>
      </c>
      <c r="D3432" s="3">
        <f>IFERROR(__xludf.DUMMYFUNCTION("""COMPUTED_VALUE"""),299.0)</f>
        <v>299</v>
      </c>
      <c r="E3432" s="1" t="str">
        <f t="array" ref="E3432">_xlfn.XLOOKUP(A3432,Product!A:A,Product!B:B,"Bulunamadı")</f>
        <v>Arts</v>
      </c>
      <c r="F3432" s="1" t="str">
        <f t="array" ref="F3432">_xlfn.XLOOKUP(A3432,Product!A:A,Product!C:C,"Bulunamadı")</f>
        <v>International Law</v>
      </c>
      <c r="G3432" s="2" t="str">
        <f t="array" ref="G3432">_xlfn.XLOOKUP(A3433,Product!A:A,Product!D:D,"Bulunamadı")</f>
        <v>Rivergate Books</v>
      </c>
      <c r="H3432" s="2">
        <f t="array" ref="H3432">_xlfn.XLOOKUP(A3434,Product!A:A,Product!E:E,"Bulunamadı")</f>
        <v>2.02</v>
      </c>
      <c r="I3432" s="2" t="str">
        <f t="shared" si="1"/>
        <v>102898 - Arts - International Law</v>
      </c>
      <c r="J3432" s="2">
        <f t="shared" si="2"/>
        <v>603.98</v>
      </c>
      <c r="K3432" s="17">
        <f t="shared" si="3"/>
        <v>1</v>
      </c>
      <c r="L3432" s="18"/>
    </row>
    <row r="3433">
      <c r="A3433" s="2">
        <f>IFERROR(__xludf.DUMMYFUNCTION("""COMPUTED_VALUE"""),47600.0)</f>
        <v>47600</v>
      </c>
      <c r="B3433" s="2">
        <f>IFERROR(__xludf.DUMMYFUNCTION("""COMPUTED_VALUE"""),1.0)</f>
        <v>1</v>
      </c>
      <c r="C3433" s="2">
        <f>IFERROR(__xludf.DUMMYFUNCTION("""COMPUTED_VALUE"""),117.0)</f>
        <v>117</v>
      </c>
      <c r="D3433" s="3">
        <f>IFERROR(__xludf.DUMMYFUNCTION("""COMPUTED_VALUE"""),20.0)</f>
        <v>20</v>
      </c>
      <c r="E3433" s="1" t="str">
        <f t="array" ref="E3433">_xlfn.XLOOKUP(A3433,Product!A:A,Product!B:B,"Bulunamadı")</f>
        <v>Arts</v>
      </c>
      <c r="F3433" s="1" t="str">
        <f t="array" ref="F3433">_xlfn.XLOOKUP(A3433,Product!A:A,Product!C:C,"Bulunamadı")</f>
        <v>International Law</v>
      </c>
      <c r="G3433" s="2" t="str">
        <f t="array" ref="G3433">_xlfn.XLOOKUP(A3434,Product!A:A,Product!D:D,"Bulunamadı")</f>
        <v>Rivergate Books</v>
      </c>
      <c r="H3433" s="2">
        <f t="array" ref="H3433">_xlfn.XLOOKUP(A3435,Product!A:A,Product!E:E,"Bulunamadı")</f>
        <v>3.76</v>
      </c>
      <c r="I3433" s="2" t="str">
        <f t="shared" si="1"/>
        <v>47600 - Arts - International Law</v>
      </c>
      <c r="J3433" s="2">
        <f t="shared" si="2"/>
        <v>75.2</v>
      </c>
      <c r="K3433" s="17">
        <f t="shared" si="3"/>
        <v>1</v>
      </c>
      <c r="L3433" s="18"/>
    </row>
    <row r="3434">
      <c r="A3434" s="2">
        <f>IFERROR(__xludf.DUMMYFUNCTION("""COMPUTED_VALUE"""),111173.0)</f>
        <v>111173</v>
      </c>
      <c r="B3434" s="2">
        <f>IFERROR(__xludf.DUMMYFUNCTION("""COMPUTED_VALUE"""),0.0)</f>
        <v>0</v>
      </c>
      <c r="C3434" s="2">
        <f>IFERROR(__xludf.DUMMYFUNCTION("""COMPUTED_VALUE"""),601.0)</f>
        <v>601</v>
      </c>
      <c r="D3434" s="3">
        <f>IFERROR(__xludf.DUMMYFUNCTION("""COMPUTED_VALUE"""),406.0)</f>
        <v>406</v>
      </c>
      <c r="E3434" s="1" t="str">
        <f t="array" ref="E3434">_xlfn.XLOOKUP(A3434,Product!A:A,Product!B:B,"Bulunamadı")</f>
        <v>Arts</v>
      </c>
      <c r="F3434" s="1" t="str">
        <f t="array" ref="F3434">_xlfn.XLOOKUP(A3434,Product!A:A,Product!C:C,"Bulunamadı")</f>
        <v>International Law</v>
      </c>
      <c r="G3434" s="2" t="str">
        <f t="array" ref="G3434">_xlfn.XLOOKUP(A3435,Product!A:A,Product!D:D,"Bulunamadı")</f>
        <v>Rivergate Books</v>
      </c>
      <c r="H3434" s="2">
        <f t="array" ref="H3434">_xlfn.XLOOKUP(A3436,Product!A:A,Product!E:E,"Bulunamadı")</f>
        <v>2.51</v>
      </c>
      <c r="I3434" s="2" t="str">
        <f t="shared" si="1"/>
        <v>111173 - Arts - International Law</v>
      </c>
      <c r="J3434" s="2">
        <f t="shared" si="2"/>
        <v>1019.06</v>
      </c>
      <c r="K3434" s="17">
        <f t="shared" si="3"/>
        <v>1</v>
      </c>
      <c r="L3434" s="18"/>
    </row>
    <row r="3435">
      <c r="A3435" s="2">
        <f>IFERROR(__xludf.DUMMYFUNCTION("""COMPUTED_VALUE"""),70201.0)</f>
        <v>70201</v>
      </c>
      <c r="B3435" s="2">
        <f>IFERROR(__xludf.DUMMYFUNCTION("""COMPUTED_VALUE"""),0.0)</f>
        <v>0</v>
      </c>
      <c r="C3435" s="2">
        <f>IFERROR(__xludf.DUMMYFUNCTION("""COMPUTED_VALUE"""),685.0)</f>
        <v>685</v>
      </c>
      <c r="D3435" s="3">
        <f>IFERROR(__xludf.DUMMYFUNCTION("""COMPUTED_VALUE"""),175.0)</f>
        <v>175</v>
      </c>
      <c r="E3435" s="1" t="str">
        <f t="array" ref="E3435">_xlfn.XLOOKUP(A3435,Product!A:A,Product!B:B,"Bulunamadı")</f>
        <v>Arts</v>
      </c>
      <c r="F3435" s="1" t="str">
        <f t="array" ref="F3435">_xlfn.XLOOKUP(A3435,Product!A:A,Product!C:C,"Bulunamadı")</f>
        <v>International Law</v>
      </c>
      <c r="G3435" s="2" t="str">
        <f t="array" ref="G3435">_xlfn.XLOOKUP(A3436,Product!A:A,Product!D:D,"Bulunamadı")</f>
        <v>Rivergate Books</v>
      </c>
      <c r="H3435" s="2">
        <f t="array" ref="H3435">_xlfn.XLOOKUP(A3437,Product!A:A,Product!E:E,"Bulunamadı")</f>
        <v>2.77</v>
      </c>
      <c r="I3435" s="2" t="str">
        <f t="shared" si="1"/>
        <v>70201 - Arts - International Law</v>
      </c>
      <c r="J3435" s="2">
        <f t="shared" si="2"/>
        <v>484.75</v>
      </c>
      <c r="K3435" s="17">
        <f t="shared" si="3"/>
        <v>1</v>
      </c>
      <c r="L3435" s="18"/>
    </row>
    <row r="3436">
      <c r="A3436" s="2">
        <f>IFERROR(__xludf.DUMMYFUNCTION("""COMPUTED_VALUE"""),71842.0)</f>
        <v>71842</v>
      </c>
      <c r="B3436" s="2">
        <f>IFERROR(__xludf.DUMMYFUNCTION("""COMPUTED_VALUE"""),1.0)</f>
        <v>1</v>
      </c>
      <c r="C3436" s="2">
        <f>IFERROR(__xludf.DUMMYFUNCTION("""COMPUTED_VALUE"""),563.0)</f>
        <v>563</v>
      </c>
      <c r="D3436" s="3">
        <f>IFERROR(__xludf.DUMMYFUNCTION("""COMPUTED_VALUE"""),218.0)</f>
        <v>218</v>
      </c>
      <c r="E3436" s="1" t="str">
        <f t="array" ref="E3436">_xlfn.XLOOKUP(A3436,Product!A:A,Product!B:B,"Bulunamadı")</f>
        <v>Arts</v>
      </c>
      <c r="F3436" s="1" t="str">
        <f t="array" ref="F3436">_xlfn.XLOOKUP(A3436,Product!A:A,Product!C:C,"Bulunamadı")</f>
        <v>International Law</v>
      </c>
      <c r="G3436" s="2" t="str">
        <f t="array" ref="G3436">_xlfn.XLOOKUP(A3437,Product!A:A,Product!D:D,"Bulunamadı")</f>
        <v>Rivergate Books</v>
      </c>
      <c r="H3436" s="2">
        <f t="array" ref="H3436">_xlfn.XLOOKUP(A3438,Product!A:A,Product!E:E,"Bulunamadı")</f>
        <v>1.91</v>
      </c>
      <c r="I3436" s="2" t="str">
        <f t="shared" si="1"/>
        <v>71842 - Arts - International Law</v>
      </c>
      <c r="J3436" s="2">
        <f t="shared" si="2"/>
        <v>416.38</v>
      </c>
      <c r="K3436" s="17">
        <f t="shared" si="3"/>
        <v>1</v>
      </c>
      <c r="L3436" s="18"/>
    </row>
    <row r="3437">
      <c r="A3437" s="2">
        <f>IFERROR(__xludf.DUMMYFUNCTION("""COMPUTED_VALUE"""),47601.0)</f>
        <v>47601</v>
      </c>
      <c r="B3437" s="2">
        <f>IFERROR(__xludf.DUMMYFUNCTION("""COMPUTED_VALUE"""),1.0)</f>
        <v>1</v>
      </c>
      <c r="C3437" s="2">
        <f>IFERROR(__xludf.DUMMYFUNCTION("""COMPUTED_VALUE"""),152.0)</f>
        <v>152</v>
      </c>
      <c r="D3437" s="3">
        <f>IFERROR(__xludf.DUMMYFUNCTION("""COMPUTED_VALUE"""),33.0)</f>
        <v>33</v>
      </c>
      <c r="E3437" s="1" t="str">
        <f t="array" ref="E3437">_xlfn.XLOOKUP(A3437,Product!A:A,Product!B:B,"Bulunamadı")</f>
        <v>Arts</v>
      </c>
      <c r="F3437" s="1" t="str">
        <f t="array" ref="F3437">_xlfn.XLOOKUP(A3437,Product!A:A,Product!C:C,"Bulunamadı")</f>
        <v>International Law</v>
      </c>
      <c r="G3437" s="2" t="str">
        <f t="array" ref="G3437">_xlfn.XLOOKUP(A3438,Product!A:A,Product!D:D,"Bulunamadı")</f>
        <v>Rivergate Books</v>
      </c>
      <c r="H3437" s="2">
        <f t="array" ref="H3437">_xlfn.XLOOKUP(A3439,Product!A:A,Product!E:E,"Bulunamadı")</f>
        <v>1.73</v>
      </c>
      <c r="I3437" s="2" t="str">
        <f t="shared" si="1"/>
        <v>47601 - Arts - International Law</v>
      </c>
      <c r="J3437" s="2">
        <f t="shared" si="2"/>
        <v>57.09</v>
      </c>
      <c r="K3437" s="17">
        <f t="shared" si="3"/>
        <v>1</v>
      </c>
      <c r="L3437" s="18"/>
    </row>
    <row r="3438">
      <c r="A3438" s="2">
        <f>IFERROR(__xludf.DUMMYFUNCTION("""COMPUTED_VALUE"""),87000.0)</f>
        <v>87000</v>
      </c>
      <c r="B3438" s="2">
        <f>IFERROR(__xludf.DUMMYFUNCTION("""COMPUTED_VALUE"""),1.0)</f>
        <v>1</v>
      </c>
      <c r="C3438" s="2">
        <f>IFERROR(__xludf.DUMMYFUNCTION("""COMPUTED_VALUE"""),514.0)</f>
        <v>514</v>
      </c>
      <c r="D3438" s="3">
        <f>IFERROR(__xludf.DUMMYFUNCTION("""COMPUTED_VALUE"""),42.0)</f>
        <v>42</v>
      </c>
      <c r="E3438" s="1" t="str">
        <f t="array" ref="E3438">_xlfn.XLOOKUP(A3438,Product!A:A,Product!B:B,"Bulunamadı")</f>
        <v>Arts</v>
      </c>
      <c r="F3438" s="1" t="str">
        <f t="array" ref="F3438">_xlfn.XLOOKUP(A3438,Product!A:A,Product!C:C,"Bulunamadı")</f>
        <v>International Law</v>
      </c>
      <c r="G3438" s="2" t="str">
        <f t="array" ref="G3438">_xlfn.XLOOKUP(A3439,Product!A:A,Product!D:D,"Bulunamadı")</f>
        <v>Rivergate Books</v>
      </c>
      <c r="H3438" s="2">
        <f t="array" ref="H3438">_xlfn.XLOOKUP(A3440,Product!A:A,Product!E:E,"Bulunamadı")</f>
        <v>2.64</v>
      </c>
      <c r="I3438" s="2" t="str">
        <f t="shared" si="1"/>
        <v>87000 - Arts - International Law</v>
      </c>
      <c r="J3438" s="2">
        <f t="shared" si="2"/>
        <v>110.88</v>
      </c>
      <c r="K3438" s="17">
        <f t="shared" si="3"/>
        <v>1</v>
      </c>
      <c r="L3438" s="18"/>
    </row>
    <row r="3439">
      <c r="A3439" s="2">
        <f>IFERROR(__xludf.DUMMYFUNCTION("""COMPUTED_VALUE"""),103457.0)</f>
        <v>103457</v>
      </c>
      <c r="B3439" s="2">
        <f>IFERROR(__xludf.DUMMYFUNCTION("""COMPUTED_VALUE"""),1.0)</f>
        <v>1</v>
      </c>
      <c r="C3439" s="2">
        <f>IFERROR(__xludf.DUMMYFUNCTION("""COMPUTED_VALUE"""),988.0)</f>
        <v>988</v>
      </c>
      <c r="D3439" s="3">
        <f>IFERROR(__xludf.DUMMYFUNCTION("""COMPUTED_VALUE"""),77.0)</f>
        <v>77</v>
      </c>
      <c r="E3439" s="1" t="str">
        <f t="array" ref="E3439">_xlfn.XLOOKUP(A3439,Product!A:A,Product!B:B,"Bulunamadı")</f>
        <v>Arts</v>
      </c>
      <c r="F3439" s="1" t="str">
        <f t="array" ref="F3439">_xlfn.XLOOKUP(A3439,Product!A:A,Product!C:C,"Bulunamadı")</f>
        <v>International Law</v>
      </c>
      <c r="G3439" s="2" t="str">
        <f t="array" ref="G3439">_xlfn.XLOOKUP(A3440,Product!A:A,Product!D:D,"Bulunamadı")</f>
        <v>Rivergate Books</v>
      </c>
      <c r="H3439" s="2">
        <f t="array" ref="H3439">_xlfn.XLOOKUP(A3441,Product!A:A,Product!E:E,"Bulunamadı")</f>
        <v>2.84</v>
      </c>
      <c r="I3439" s="2" t="str">
        <f t="shared" si="1"/>
        <v>103457 - Arts - International Law</v>
      </c>
      <c r="J3439" s="2">
        <f t="shared" si="2"/>
        <v>218.68</v>
      </c>
      <c r="K3439" s="17">
        <f t="shared" si="3"/>
        <v>1</v>
      </c>
      <c r="L3439" s="18"/>
    </row>
    <row r="3440">
      <c r="A3440" s="2">
        <f>IFERROR(__xludf.DUMMYFUNCTION("""COMPUTED_VALUE"""),42198.0)</f>
        <v>42198</v>
      </c>
      <c r="B3440" s="2">
        <f>IFERROR(__xludf.DUMMYFUNCTION("""COMPUTED_VALUE"""),1.0)</f>
        <v>1</v>
      </c>
      <c r="C3440" s="2">
        <f>IFERROR(__xludf.DUMMYFUNCTION("""COMPUTED_VALUE"""),910.0)</f>
        <v>910</v>
      </c>
      <c r="D3440" s="3">
        <f>IFERROR(__xludf.DUMMYFUNCTION("""COMPUTED_VALUE"""),345.0)</f>
        <v>345</v>
      </c>
      <c r="E3440" s="1" t="str">
        <f t="array" ref="E3440">_xlfn.XLOOKUP(A3440,Product!A:A,Product!B:B,"Bulunamadı")</f>
        <v>Arts</v>
      </c>
      <c r="F3440" s="1" t="str">
        <f t="array" ref="F3440">_xlfn.XLOOKUP(A3440,Product!A:A,Product!C:C,"Bulunamadı")</f>
        <v>International Law</v>
      </c>
      <c r="G3440" s="2" t="str">
        <f t="array" ref="G3440">_xlfn.XLOOKUP(A3441,Product!A:A,Product!D:D,"Bulunamadı")</f>
        <v>Rivergate Books</v>
      </c>
      <c r="H3440" s="2">
        <f t="array" ref="H3440">_xlfn.XLOOKUP(A3442,Product!A:A,Product!E:E,"Bulunamadı")</f>
        <v>1.76</v>
      </c>
      <c r="I3440" s="2" t="str">
        <f t="shared" si="1"/>
        <v>42198 - Arts - International Law</v>
      </c>
      <c r="J3440" s="2">
        <f t="shared" si="2"/>
        <v>607.2</v>
      </c>
      <c r="K3440" s="17">
        <f t="shared" si="3"/>
        <v>1</v>
      </c>
      <c r="L3440" s="18"/>
    </row>
    <row r="3441">
      <c r="A3441" s="2">
        <f>IFERROR(__xludf.DUMMYFUNCTION("""COMPUTED_VALUE"""),46823.0)</f>
        <v>46823</v>
      </c>
      <c r="B3441" s="2">
        <f>IFERROR(__xludf.DUMMYFUNCTION("""COMPUTED_VALUE"""),0.0)</f>
        <v>0</v>
      </c>
      <c r="C3441" s="2">
        <f>IFERROR(__xludf.DUMMYFUNCTION("""COMPUTED_VALUE"""),152.0)</f>
        <v>152</v>
      </c>
      <c r="D3441" s="3">
        <f>IFERROR(__xludf.DUMMYFUNCTION("""COMPUTED_VALUE"""),91.0)</f>
        <v>91</v>
      </c>
      <c r="E3441" s="1" t="str">
        <f t="array" ref="E3441">_xlfn.XLOOKUP(A3441,Product!A:A,Product!B:B,"Bulunamadı")</f>
        <v>Arts</v>
      </c>
      <c r="F3441" s="1" t="str">
        <f t="array" ref="F3441">_xlfn.XLOOKUP(A3441,Product!A:A,Product!C:C,"Bulunamadı")</f>
        <v>International Law</v>
      </c>
      <c r="G3441" s="2" t="str">
        <f t="array" ref="G3441">_xlfn.XLOOKUP(A3442,Product!A:A,Product!D:D,"Bulunamadı")</f>
        <v>Rivergate Books</v>
      </c>
      <c r="H3441" s="2">
        <f t="array" ref="H3441">_xlfn.XLOOKUP(A3443,Product!A:A,Product!E:E,"Bulunamadı")</f>
        <v>6.69</v>
      </c>
      <c r="I3441" s="2" t="str">
        <f t="shared" si="1"/>
        <v>46823 - Arts - International Law</v>
      </c>
      <c r="J3441" s="2">
        <f t="shared" si="2"/>
        <v>608.79</v>
      </c>
      <c r="K3441" s="17">
        <f t="shared" si="3"/>
        <v>1</v>
      </c>
      <c r="L3441" s="18"/>
    </row>
    <row r="3442">
      <c r="A3442" s="2">
        <f>IFERROR(__xludf.DUMMYFUNCTION("""COMPUTED_VALUE"""),116196.0)</f>
        <v>116196</v>
      </c>
      <c r="B3442" s="2">
        <f>IFERROR(__xludf.DUMMYFUNCTION("""COMPUTED_VALUE"""),1.0)</f>
        <v>1</v>
      </c>
      <c r="C3442" s="2">
        <f>IFERROR(__xludf.DUMMYFUNCTION("""COMPUTED_VALUE"""),858.0)</f>
        <v>858</v>
      </c>
      <c r="D3442" s="3">
        <f>IFERROR(__xludf.DUMMYFUNCTION("""COMPUTED_VALUE"""),663.0)</f>
        <v>663</v>
      </c>
      <c r="E3442" s="1" t="str">
        <f t="array" ref="E3442">_xlfn.XLOOKUP(A3442,Product!A:A,Product!B:B,"Bulunamadı")</f>
        <v>Arts</v>
      </c>
      <c r="F3442" s="1" t="str">
        <f t="array" ref="F3442">_xlfn.XLOOKUP(A3442,Product!A:A,Product!C:C,"Bulunamadı")</f>
        <v>International Law</v>
      </c>
      <c r="G3442" s="2" t="str">
        <f t="array" ref="G3442">_xlfn.XLOOKUP(A3443,Product!A:A,Product!D:D,"Bulunamadı")</f>
        <v>Rivergate Books</v>
      </c>
      <c r="H3442" s="2">
        <f t="array" ref="H3442">_xlfn.XLOOKUP(A3444,Product!A:A,Product!E:E,"Bulunamadı")</f>
        <v>5.21</v>
      </c>
      <c r="I3442" s="2" t="str">
        <f t="shared" si="1"/>
        <v>116196 - Arts - International Law</v>
      </c>
      <c r="J3442" s="2">
        <f t="shared" si="2"/>
        <v>3454.23</v>
      </c>
      <c r="K3442" s="17">
        <f t="shared" si="3"/>
        <v>1</v>
      </c>
      <c r="L3442" s="18"/>
    </row>
    <row r="3443">
      <c r="A3443" s="2">
        <f>IFERROR(__xludf.DUMMYFUNCTION("""COMPUTED_VALUE"""),111177.0)</f>
        <v>111177</v>
      </c>
      <c r="B3443" s="2">
        <f>IFERROR(__xludf.DUMMYFUNCTION("""COMPUTED_VALUE"""),0.0)</f>
        <v>0</v>
      </c>
      <c r="C3443" s="2">
        <f>IFERROR(__xludf.DUMMYFUNCTION("""COMPUTED_VALUE"""),143.0)</f>
        <v>143</v>
      </c>
      <c r="D3443" s="3">
        <f>IFERROR(__xludf.DUMMYFUNCTION("""COMPUTED_VALUE"""),2.0)</f>
        <v>2</v>
      </c>
      <c r="E3443" s="1" t="str">
        <f t="array" ref="E3443">_xlfn.XLOOKUP(A3443,Product!A:A,Product!B:B,"Bulunamadı")</f>
        <v>Arts</v>
      </c>
      <c r="F3443" s="1" t="str">
        <f t="array" ref="F3443">_xlfn.XLOOKUP(A3443,Product!A:A,Product!C:C,"Bulunamadı")</f>
        <v>International Law</v>
      </c>
      <c r="G3443" s="2" t="str">
        <f t="array" ref="G3443">_xlfn.XLOOKUP(A3444,Product!A:A,Product!D:D,"Bulunamadı")</f>
        <v>Rivergate Books</v>
      </c>
      <c r="H3443" s="2">
        <f t="array" ref="H3443">_xlfn.XLOOKUP(A3445,Product!A:A,Product!E:E,"Bulunamadı")</f>
        <v>2.75</v>
      </c>
      <c r="I3443" s="2" t="str">
        <f t="shared" si="1"/>
        <v>111177 - Arts - International Law</v>
      </c>
      <c r="J3443" s="2">
        <f t="shared" si="2"/>
        <v>5.5</v>
      </c>
      <c r="K3443" s="17">
        <f t="shared" si="3"/>
        <v>1</v>
      </c>
      <c r="L3443" s="18"/>
    </row>
    <row r="3444">
      <c r="A3444" s="2">
        <f>IFERROR(__xludf.DUMMYFUNCTION("""COMPUTED_VALUE"""),70292.0)</f>
        <v>70292</v>
      </c>
      <c r="B3444" s="2">
        <f>IFERROR(__xludf.DUMMYFUNCTION("""COMPUTED_VALUE"""),1.0)</f>
        <v>1</v>
      </c>
      <c r="C3444" s="2">
        <f>IFERROR(__xludf.DUMMYFUNCTION("""COMPUTED_VALUE"""),92.0)</f>
        <v>92</v>
      </c>
      <c r="D3444" s="3">
        <f>IFERROR(__xludf.DUMMYFUNCTION("""COMPUTED_VALUE"""),80.0)</f>
        <v>80</v>
      </c>
      <c r="E3444" s="1" t="str">
        <f t="array" ref="E3444">_xlfn.XLOOKUP(A3444,Product!A:A,Product!B:B,"Bulunamadı")</f>
        <v>Arts</v>
      </c>
      <c r="F3444" s="1" t="str">
        <f t="array" ref="F3444">_xlfn.XLOOKUP(A3444,Product!A:A,Product!C:C,"Bulunamadı")</f>
        <v>International Law</v>
      </c>
      <c r="G3444" s="2" t="str">
        <f t="array" ref="G3444">_xlfn.XLOOKUP(A3445,Product!A:A,Product!D:D,"Bulunamadı")</f>
        <v>Rivergate Books</v>
      </c>
      <c r="H3444" s="2">
        <f t="array" ref="H3444">_xlfn.XLOOKUP(A3446,Product!A:A,Product!E:E,"Bulunamadı")</f>
        <v>2.12</v>
      </c>
      <c r="I3444" s="2" t="str">
        <f t="shared" si="1"/>
        <v>70292 - Arts - International Law</v>
      </c>
      <c r="J3444" s="2">
        <f t="shared" si="2"/>
        <v>169.6</v>
      </c>
      <c r="K3444" s="17">
        <f t="shared" si="3"/>
        <v>1</v>
      </c>
      <c r="L3444" s="18"/>
    </row>
    <row r="3445">
      <c r="A3445" s="2">
        <f>IFERROR(__xludf.DUMMYFUNCTION("""COMPUTED_VALUE"""),90008.0)</f>
        <v>90008</v>
      </c>
      <c r="B3445" s="2">
        <f>IFERROR(__xludf.DUMMYFUNCTION("""COMPUTED_VALUE"""),0.0)</f>
        <v>0</v>
      </c>
      <c r="C3445" s="2">
        <f>IFERROR(__xludf.DUMMYFUNCTION("""COMPUTED_VALUE"""),695.0)</f>
        <v>695</v>
      </c>
      <c r="D3445" s="3">
        <f>IFERROR(__xludf.DUMMYFUNCTION("""COMPUTED_VALUE"""),549.0)</f>
        <v>549</v>
      </c>
      <c r="E3445" s="1" t="str">
        <f t="array" ref="E3445">_xlfn.XLOOKUP(A3445,Product!A:A,Product!B:B,"Bulunamadı")</f>
        <v>Arts</v>
      </c>
      <c r="F3445" s="1" t="str">
        <f t="array" ref="F3445">_xlfn.XLOOKUP(A3445,Product!A:A,Product!C:C,"Bulunamadı")</f>
        <v>International Law</v>
      </c>
      <c r="G3445" s="2" t="str">
        <f t="array" ref="G3445">_xlfn.XLOOKUP(A3446,Product!A:A,Product!D:D,"Bulunamadı")</f>
        <v>Rivergate Books</v>
      </c>
      <c r="H3445" s="2">
        <f t="array" ref="H3445">_xlfn.XLOOKUP(A3447,Product!A:A,Product!E:E,"Bulunamadı")</f>
        <v>2.09</v>
      </c>
      <c r="I3445" s="2" t="str">
        <f t="shared" si="1"/>
        <v>90008 - Arts - International Law</v>
      </c>
      <c r="J3445" s="2">
        <f t="shared" si="2"/>
        <v>1147.41</v>
      </c>
      <c r="K3445" s="17">
        <f t="shared" si="3"/>
        <v>1</v>
      </c>
      <c r="L3445" s="18"/>
    </row>
    <row r="3446">
      <c r="A3446" s="2">
        <f>IFERROR(__xludf.DUMMYFUNCTION("""COMPUTED_VALUE"""),71768.0)</f>
        <v>71768</v>
      </c>
      <c r="B3446" s="2">
        <f>IFERROR(__xludf.DUMMYFUNCTION("""COMPUTED_VALUE"""),1.0)</f>
        <v>1</v>
      </c>
      <c r="C3446" s="2">
        <f>IFERROR(__xludf.DUMMYFUNCTION("""COMPUTED_VALUE"""),856.0)</f>
        <v>856</v>
      </c>
      <c r="D3446" s="3">
        <f>IFERROR(__xludf.DUMMYFUNCTION("""COMPUTED_VALUE"""),472.0)</f>
        <v>472</v>
      </c>
      <c r="E3446" s="1" t="str">
        <f t="array" ref="E3446">_xlfn.XLOOKUP(A3446,Product!A:A,Product!B:B,"Bulunamadı")</f>
        <v>Arts</v>
      </c>
      <c r="F3446" s="1" t="str">
        <f t="array" ref="F3446">_xlfn.XLOOKUP(A3446,Product!A:A,Product!C:C,"Bulunamadı")</f>
        <v>International Law</v>
      </c>
      <c r="G3446" s="2" t="str">
        <f t="array" ref="G3446">_xlfn.XLOOKUP(A3447,Product!A:A,Product!D:D,"Bulunamadı")</f>
        <v>Rivergate Books</v>
      </c>
      <c r="H3446" s="2">
        <f t="array" ref="H3446">_xlfn.XLOOKUP(A3448,Product!A:A,Product!E:E,"Bulunamadı")</f>
        <v>8.55</v>
      </c>
      <c r="I3446" s="2" t="str">
        <f t="shared" si="1"/>
        <v>71768 - Arts - International Law</v>
      </c>
      <c r="J3446" s="2">
        <f t="shared" si="2"/>
        <v>4035.6</v>
      </c>
      <c r="K3446" s="17">
        <f t="shared" si="3"/>
        <v>1</v>
      </c>
      <c r="L3446" s="18"/>
    </row>
    <row r="3447">
      <c r="A3447" s="2">
        <f>IFERROR(__xludf.DUMMYFUNCTION("""COMPUTED_VALUE"""),86972.0)</f>
        <v>86972</v>
      </c>
      <c r="B3447" s="2">
        <f>IFERROR(__xludf.DUMMYFUNCTION("""COMPUTED_VALUE"""),1.0)</f>
        <v>1</v>
      </c>
      <c r="C3447" s="2">
        <f>IFERROR(__xludf.DUMMYFUNCTION("""COMPUTED_VALUE"""),554.0)</f>
        <v>554</v>
      </c>
      <c r="D3447" s="3">
        <f>IFERROR(__xludf.DUMMYFUNCTION("""COMPUTED_VALUE"""),391.0)</f>
        <v>391</v>
      </c>
      <c r="E3447" s="1" t="str">
        <f t="array" ref="E3447">_xlfn.XLOOKUP(A3447,Product!A:A,Product!B:B,"Bulunamadı")</f>
        <v>Arts</v>
      </c>
      <c r="F3447" s="1" t="str">
        <f t="array" ref="F3447">_xlfn.XLOOKUP(A3447,Product!A:A,Product!C:C,"Bulunamadı")</f>
        <v>International Law</v>
      </c>
      <c r="G3447" s="2" t="str">
        <f t="array" ref="G3447">_xlfn.XLOOKUP(A3448,Product!A:A,Product!D:D,"Bulunamadı")</f>
        <v>Rivergate Books</v>
      </c>
      <c r="H3447" s="2">
        <f t="array" ref="H3447">_xlfn.XLOOKUP(A3449,Product!A:A,Product!E:E,"Bulunamadı")</f>
        <v>1.74</v>
      </c>
      <c r="I3447" s="2" t="str">
        <f t="shared" si="1"/>
        <v>86972 - Arts - International Law</v>
      </c>
      <c r="J3447" s="2">
        <f t="shared" si="2"/>
        <v>680.34</v>
      </c>
      <c r="K3447" s="17">
        <f t="shared" si="3"/>
        <v>1</v>
      </c>
      <c r="L3447" s="18"/>
    </row>
    <row r="3448">
      <c r="A3448" s="2">
        <f>IFERROR(__xludf.DUMMYFUNCTION("""COMPUTED_VALUE"""),111179.0)</f>
        <v>111179</v>
      </c>
      <c r="B3448" s="2">
        <f>IFERROR(__xludf.DUMMYFUNCTION("""COMPUTED_VALUE"""),0.0)</f>
        <v>0</v>
      </c>
      <c r="C3448" s="2">
        <f>IFERROR(__xludf.DUMMYFUNCTION("""COMPUTED_VALUE"""),591.0)</f>
        <v>591</v>
      </c>
      <c r="D3448" s="3">
        <f>IFERROR(__xludf.DUMMYFUNCTION("""COMPUTED_VALUE"""),131.0)</f>
        <v>131</v>
      </c>
      <c r="E3448" s="1" t="str">
        <f t="array" ref="E3448">_xlfn.XLOOKUP(A3448,Product!A:A,Product!B:B,"Bulunamadı")</f>
        <v>Arts</v>
      </c>
      <c r="F3448" s="1" t="str">
        <f t="array" ref="F3448">_xlfn.XLOOKUP(A3448,Product!A:A,Product!C:C,"Bulunamadı")</f>
        <v>International Law</v>
      </c>
      <c r="G3448" s="2" t="str">
        <f t="array" ref="G3448">_xlfn.XLOOKUP(A3449,Product!A:A,Product!D:D,"Bulunamadı")</f>
        <v>Rivergate Books</v>
      </c>
      <c r="H3448" s="2">
        <f t="array" ref="H3448">_xlfn.XLOOKUP(A3450,Product!A:A,Product!E:E,"Bulunamadı")</f>
        <v>5.6</v>
      </c>
      <c r="I3448" s="2" t="str">
        <f t="shared" si="1"/>
        <v>111179 - Arts - International Law</v>
      </c>
      <c r="J3448" s="2">
        <f t="shared" si="2"/>
        <v>733.6</v>
      </c>
      <c r="K3448" s="17">
        <f t="shared" si="3"/>
        <v>1</v>
      </c>
      <c r="L3448" s="18"/>
    </row>
    <row r="3449">
      <c r="A3449" s="2">
        <f>IFERROR(__xludf.DUMMYFUNCTION("""COMPUTED_VALUE"""),81726.0)</f>
        <v>81726</v>
      </c>
      <c r="B3449" s="2">
        <f>IFERROR(__xludf.DUMMYFUNCTION("""COMPUTED_VALUE"""),0.0)</f>
        <v>0</v>
      </c>
      <c r="C3449" s="2">
        <f>IFERROR(__xludf.DUMMYFUNCTION("""COMPUTED_VALUE"""),817.0)</f>
        <v>817</v>
      </c>
      <c r="D3449" s="3">
        <f>IFERROR(__xludf.DUMMYFUNCTION("""COMPUTED_VALUE"""),81.0)</f>
        <v>81</v>
      </c>
      <c r="E3449" s="1" t="str">
        <f t="array" ref="E3449">_xlfn.XLOOKUP(A3449,Product!A:A,Product!B:B,"Bulunamadı")</f>
        <v>Arts</v>
      </c>
      <c r="F3449" s="1" t="str">
        <f t="array" ref="F3449">_xlfn.XLOOKUP(A3449,Product!A:A,Product!C:C,"Bulunamadı")</f>
        <v>International Law</v>
      </c>
      <c r="G3449" s="2" t="str">
        <f t="array" ref="G3449">_xlfn.XLOOKUP(A3450,Product!A:A,Product!D:D,"Bulunamadı")</f>
        <v>Rivergate Books</v>
      </c>
      <c r="H3449" s="2">
        <f t="array" ref="H3449">_xlfn.XLOOKUP(A3451,Product!A:A,Product!E:E,"Bulunamadı")</f>
        <v>2.14</v>
      </c>
      <c r="I3449" s="2" t="str">
        <f t="shared" si="1"/>
        <v>81726 - Arts - International Law</v>
      </c>
      <c r="J3449" s="2">
        <f t="shared" si="2"/>
        <v>173.34</v>
      </c>
      <c r="K3449" s="17">
        <f t="shared" si="3"/>
        <v>1</v>
      </c>
      <c r="L3449" s="18"/>
    </row>
    <row r="3450">
      <c r="A3450" s="2">
        <f>IFERROR(__xludf.DUMMYFUNCTION("""COMPUTED_VALUE"""),28535.0)</f>
        <v>28535</v>
      </c>
      <c r="B3450" s="2">
        <f>IFERROR(__xludf.DUMMYFUNCTION("""COMPUTED_VALUE"""),1.0)</f>
        <v>1</v>
      </c>
      <c r="C3450" s="2">
        <f>IFERROR(__xludf.DUMMYFUNCTION("""COMPUTED_VALUE"""),779.0)</f>
        <v>779</v>
      </c>
      <c r="D3450" s="3">
        <f>IFERROR(__xludf.DUMMYFUNCTION("""COMPUTED_VALUE"""),747.0)</f>
        <v>747</v>
      </c>
      <c r="E3450" s="1" t="str">
        <f t="array" ref="E3450">_xlfn.XLOOKUP(A3450,Product!A:A,Product!B:B,"Bulunamadı")</f>
        <v>Arts</v>
      </c>
      <c r="F3450" s="1" t="str">
        <f t="array" ref="F3450">_xlfn.XLOOKUP(A3450,Product!A:A,Product!C:C,"Bulunamadı")</f>
        <v>International Law</v>
      </c>
      <c r="G3450" s="2" t="str">
        <f t="array" ref="G3450">_xlfn.XLOOKUP(A3451,Product!A:A,Product!D:D,"Bulunamadı")</f>
        <v>Rivergate Books</v>
      </c>
      <c r="H3450" s="2">
        <f t="array" ref="H3450">_xlfn.XLOOKUP(A3452,Product!A:A,Product!E:E,"Bulunamadı")</f>
        <v>2.26</v>
      </c>
      <c r="I3450" s="2" t="str">
        <f t="shared" si="1"/>
        <v>28535 - Arts - International Law</v>
      </c>
      <c r="J3450" s="2">
        <f t="shared" si="2"/>
        <v>1688.22</v>
      </c>
      <c r="K3450" s="17">
        <f t="shared" si="3"/>
        <v>1</v>
      </c>
      <c r="L3450" s="18"/>
    </row>
    <row r="3451">
      <c r="A3451" s="2">
        <f>IFERROR(__xludf.DUMMYFUNCTION("""COMPUTED_VALUE"""),80682.0)</f>
        <v>80682</v>
      </c>
      <c r="B3451" s="2">
        <f>IFERROR(__xludf.DUMMYFUNCTION("""COMPUTED_VALUE"""),0.0)</f>
        <v>0</v>
      </c>
      <c r="C3451" s="2">
        <f>IFERROR(__xludf.DUMMYFUNCTION("""COMPUTED_VALUE"""),845.0)</f>
        <v>845</v>
      </c>
      <c r="D3451" s="3">
        <f>IFERROR(__xludf.DUMMYFUNCTION("""COMPUTED_VALUE"""),483.0)</f>
        <v>483</v>
      </c>
      <c r="E3451" s="1" t="str">
        <f t="array" ref="E3451">_xlfn.XLOOKUP(A3451,Product!A:A,Product!B:B,"Bulunamadı")</f>
        <v>Arts</v>
      </c>
      <c r="F3451" s="1" t="str">
        <f t="array" ref="F3451">_xlfn.XLOOKUP(A3451,Product!A:A,Product!C:C,"Bulunamadı")</f>
        <v>International Law</v>
      </c>
      <c r="G3451" s="2" t="str">
        <f t="array" ref="G3451">_xlfn.XLOOKUP(A3452,Product!A:A,Product!D:D,"Bulunamadı")</f>
        <v>Rivergate Books</v>
      </c>
      <c r="H3451" s="2">
        <f t="array" ref="H3451">_xlfn.XLOOKUP(A3453,Product!A:A,Product!E:E,"Bulunamadı")</f>
        <v>2.25</v>
      </c>
      <c r="I3451" s="2" t="str">
        <f t="shared" si="1"/>
        <v>80682 - Arts - International Law</v>
      </c>
      <c r="J3451" s="2">
        <f t="shared" si="2"/>
        <v>1086.75</v>
      </c>
      <c r="K3451" s="17">
        <f t="shared" si="3"/>
        <v>1</v>
      </c>
      <c r="L3451" s="18"/>
    </row>
    <row r="3452">
      <c r="A3452" s="2">
        <f>IFERROR(__xludf.DUMMYFUNCTION("""COMPUTED_VALUE"""),144008.0)</f>
        <v>144008</v>
      </c>
      <c r="B3452" s="2">
        <f>IFERROR(__xludf.DUMMYFUNCTION("""COMPUTED_VALUE"""),0.0)</f>
        <v>0</v>
      </c>
      <c r="C3452" s="2">
        <f>IFERROR(__xludf.DUMMYFUNCTION("""COMPUTED_VALUE"""),943.0)</f>
        <v>943</v>
      </c>
      <c r="D3452" s="3">
        <f>IFERROR(__xludf.DUMMYFUNCTION("""COMPUTED_VALUE"""),348.0)</f>
        <v>348</v>
      </c>
      <c r="E3452" s="1" t="str">
        <f t="array" ref="E3452">_xlfn.XLOOKUP(A3452,Product!A:A,Product!B:B,"Bulunamadı")</f>
        <v>Arts</v>
      </c>
      <c r="F3452" s="1" t="str">
        <f t="array" ref="F3452">_xlfn.XLOOKUP(A3452,Product!A:A,Product!C:C,"Bulunamadı")</f>
        <v>International Law</v>
      </c>
      <c r="G3452" s="2" t="str">
        <f t="array" ref="G3452">_xlfn.XLOOKUP(A3453,Product!A:A,Product!D:D,"Bulunamadı")</f>
        <v>Rivergate Books</v>
      </c>
      <c r="H3452" s="2">
        <f t="array" ref="H3452">_xlfn.XLOOKUP(A3454,Product!A:A,Product!E:E,"Bulunamadı")</f>
        <v>3.67</v>
      </c>
      <c r="I3452" s="2" t="str">
        <f t="shared" si="1"/>
        <v>144008 - Arts - International Law</v>
      </c>
      <c r="J3452" s="2">
        <f t="shared" si="2"/>
        <v>1277.16</v>
      </c>
      <c r="K3452" s="17">
        <f t="shared" si="3"/>
        <v>1</v>
      </c>
      <c r="L3452" s="18"/>
    </row>
    <row r="3453">
      <c r="A3453" s="2">
        <f>IFERROR(__xludf.DUMMYFUNCTION("""COMPUTED_VALUE"""),111129.0)</f>
        <v>111129</v>
      </c>
      <c r="B3453" s="2">
        <f>IFERROR(__xludf.DUMMYFUNCTION("""COMPUTED_VALUE"""),1.0)</f>
        <v>1</v>
      </c>
      <c r="C3453" s="2">
        <f>IFERROR(__xludf.DUMMYFUNCTION("""COMPUTED_VALUE"""),807.0)</f>
        <v>807</v>
      </c>
      <c r="D3453" s="3">
        <f>IFERROR(__xludf.DUMMYFUNCTION("""COMPUTED_VALUE"""),276.0)</f>
        <v>276</v>
      </c>
      <c r="E3453" s="1" t="str">
        <f t="array" ref="E3453">_xlfn.XLOOKUP(A3453,Product!A:A,Product!B:B,"Bulunamadı")</f>
        <v>Arts</v>
      </c>
      <c r="F3453" s="1" t="str">
        <f t="array" ref="F3453">_xlfn.XLOOKUP(A3453,Product!A:A,Product!C:C,"Bulunamadı")</f>
        <v>International Law</v>
      </c>
      <c r="G3453" s="2" t="str">
        <f t="array" ref="G3453">_xlfn.XLOOKUP(A3454,Product!A:A,Product!D:D,"Bulunamadı")</f>
        <v>Rivergate Books</v>
      </c>
      <c r="H3453" s="2">
        <f t="array" ref="H3453">_xlfn.XLOOKUP(A3455,Product!A:A,Product!E:E,"Bulunamadı")</f>
        <v>4</v>
      </c>
      <c r="I3453" s="2" t="str">
        <f t="shared" si="1"/>
        <v>111129 - Arts - International Law</v>
      </c>
      <c r="J3453" s="2">
        <f t="shared" si="2"/>
        <v>1104</v>
      </c>
      <c r="K3453" s="17">
        <f t="shared" si="3"/>
        <v>1</v>
      </c>
      <c r="L3453" s="18"/>
    </row>
    <row r="3454">
      <c r="A3454" s="2">
        <f>IFERROR(__xludf.DUMMYFUNCTION("""COMPUTED_VALUE"""),107307.0)</f>
        <v>107307</v>
      </c>
      <c r="B3454" s="2">
        <f>IFERROR(__xludf.DUMMYFUNCTION("""COMPUTED_VALUE"""),1.0)</f>
        <v>1</v>
      </c>
      <c r="C3454" s="2">
        <f>IFERROR(__xludf.DUMMYFUNCTION("""COMPUTED_VALUE"""),588.0)</f>
        <v>588</v>
      </c>
      <c r="D3454" s="3">
        <f>IFERROR(__xludf.DUMMYFUNCTION("""COMPUTED_VALUE"""),336.0)</f>
        <v>336</v>
      </c>
      <c r="E3454" s="1" t="str">
        <f t="array" ref="E3454">_xlfn.XLOOKUP(A3454,Product!A:A,Product!B:B,"Bulunamadı")</f>
        <v>Arts</v>
      </c>
      <c r="F3454" s="1" t="str">
        <f t="array" ref="F3454">_xlfn.XLOOKUP(A3454,Product!A:A,Product!C:C,"Bulunamadı")</f>
        <v>International Law</v>
      </c>
      <c r="G3454" s="2" t="str">
        <f t="array" ref="G3454">_xlfn.XLOOKUP(A3455,Product!A:A,Product!D:D,"Bulunamadı")</f>
        <v>Rivergate Books</v>
      </c>
      <c r="H3454" s="2">
        <f t="array" ref="H3454">_xlfn.XLOOKUP(A3456,Product!A:A,Product!E:E,"Bulunamadı")</f>
        <v>2.39</v>
      </c>
      <c r="I3454" s="2" t="str">
        <f t="shared" si="1"/>
        <v>107307 - Arts - International Law</v>
      </c>
      <c r="J3454" s="2">
        <f t="shared" si="2"/>
        <v>803.04</v>
      </c>
      <c r="K3454" s="17">
        <f t="shared" si="3"/>
        <v>1</v>
      </c>
      <c r="L3454" s="18"/>
    </row>
    <row r="3455">
      <c r="A3455" s="2">
        <f>IFERROR(__xludf.DUMMYFUNCTION("""COMPUTED_VALUE"""),70206.0)</f>
        <v>70206</v>
      </c>
      <c r="B3455" s="2">
        <f>IFERROR(__xludf.DUMMYFUNCTION("""COMPUTED_VALUE"""),0.0)</f>
        <v>0</v>
      </c>
      <c r="C3455" s="2">
        <f>IFERROR(__xludf.DUMMYFUNCTION("""COMPUTED_VALUE"""),852.0)</f>
        <v>852</v>
      </c>
      <c r="D3455" s="3">
        <f>IFERROR(__xludf.DUMMYFUNCTION("""COMPUTED_VALUE"""),823.0)</f>
        <v>823</v>
      </c>
      <c r="E3455" s="1" t="str">
        <f t="array" ref="E3455">_xlfn.XLOOKUP(A3455,Product!A:A,Product!B:B,"Bulunamadı")</f>
        <v>Arts</v>
      </c>
      <c r="F3455" s="1" t="str">
        <f t="array" ref="F3455">_xlfn.XLOOKUP(A3455,Product!A:A,Product!C:C,"Bulunamadı")</f>
        <v>International Law</v>
      </c>
      <c r="G3455" s="2" t="str">
        <f t="array" ref="G3455">_xlfn.XLOOKUP(A3456,Product!A:A,Product!D:D,"Bulunamadı")</f>
        <v>Rivergate Books</v>
      </c>
      <c r="H3455" s="2">
        <f t="array" ref="H3455">_xlfn.XLOOKUP(A3457,Product!A:A,Product!E:E,"Bulunamadı")</f>
        <v>2.5</v>
      </c>
      <c r="I3455" s="2" t="str">
        <f t="shared" si="1"/>
        <v>70206 - Arts - International Law</v>
      </c>
      <c r="J3455" s="2">
        <f t="shared" si="2"/>
        <v>2057.5</v>
      </c>
      <c r="K3455" s="17">
        <f t="shared" si="3"/>
        <v>1</v>
      </c>
      <c r="L3455" s="18"/>
    </row>
    <row r="3456">
      <c r="A3456" s="2">
        <f>IFERROR(__xludf.DUMMYFUNCTION("""COMPUTED_VALUE"""),107349.0)</f>
        <v>107349</v>
      </c>
      <c r="B3456" s="2">
        <f>IFERROR(__xludf.DUMMYFUNCTION("""COMPUTED_VALUE"""),0.0)</f>
        <v>0</v>
      </c>
      <c r="C3456" s="2">
        <f>IFERROR(__xludf.DUMMYFUNCTION("""COMPUTED_VALUE"""),442.0)</f>
        <v>442</v>
      </c>
      <c r="D3456" s="3">
        <f>IFERROR(__xludf.DUMMYFUNCTION("""COMPUTED_VALUE"""),139.0)</f>
        <v>139</v>
      </c>
      <c r="E3456" s="1" t="str">
        <f t="array" ref="E3456">_xlfn.XLOOKUP(A3456,Product!A:A,Product!B:B,"Bulunamadı")</f>
        <v>Arts</v>
      </c>
      <c r="F3456" s="1" t="str">
        <f t="array" ref="F3456">_xlfn.XLOOKUP(A3456,Product!A:A,Product!C:C,"Bulunamadı")</f>
        <v>International Law</v>
      </c>
      <c r="G3456" s="2" t="str">
        <f t="array" ref="G3456">_xlfn.XLOOKUP(A3457,Product!A:A,Product!D:D,"Bulunamadı")</f>
        <v>Rivergate Books</v>
      </c>
      <c r="H3456" s="2">
        <f t="array" ref="H3456">_xlfn.XLOOKUP(A3458,Product!A:A,Product!E:E,"Bulunamadı")</f>
        <v>5.37</v>
      </c>
      <c r="I3456" s="2" t="str">
        <f t="shared" si="1"/>
        <v>107349 - Arts - International Law</v>
      </c>
      <c r="J3456" s="2">
        <f t="shared" si="2"/>
        <v>746.43</v>
      </c>
      <c r="K3456" s="17">
        <f t="shared" si="3"/>
        <v>1</v>
      </c>
      <c r="L3456" s="18"/>
    </row>
    <row r="3457">
      <c r="A3457" s="2">
        <f>IFERROR(__xludf.DUMMYFUNCTION("""COMPUTED_VALUE"""),122231.0)</f>
        <v>122231</v>
      </c>
      <c r="B3457" s="2">
        <f>IFERROR(__xludf.DUMMYFUNCTION("""COMPUTED_VALUE"""),0.0)</f>
        <v>0</v>
      </c>
      <c r="C3457" s="2">
        <f>IFERROR(__xludf.DUMMYFUNCTION("""COMPUTED_VALUE"""),11.0)</f>
        <v>11</v>
      </c>
      <c r="D3457" s="3">
        <f>IFERROR(__xludf.DUMMYFUNCTION("""COMPUTED_VALUE"""),4.0)</f>
        <v>4</v>
      </c>
      <c r="E3457" s="1" t="str">
        <f t="array" ref="E3457">_xlfn.XLOOKUP(A3457,Product!A:A,Product!B:B,"Bulunamadı")</f>
        <v>Arts</v>
      </c>
      <c r="F3457" s="1" t="str">
        <f t="array" ref="F3457">_xlfn.XLOOKUP(A3457,Product!A:A,Product!C:C,"Bulunamadı")</f>
        <v>International Law</v>
      </c>
      <c r="G3457" s="2" t="str">
        <f t="array" ref="G3457">_xlfn.XLOOKUP(A3458,Product!A:A,Product!D:D,"Bulunamadı")</f>
        <v>Rivergate Books</v>
      </c>
      <c r="H3457" s="2">
        <f t="array" ref="H3457">_xlfn.XLOOKUP(A3459,Product!A:A,Product!E:E,"Bulunamadı")</f>
        <v>2.63</v>
      </c>
      <c r="I3457" s="2" t="str">
        <f t="shared" si="1"/>
        <v>122231 - Arts - International Law</v>
      </c>
      <c r="J3457" s="2">
        <f t="shared" si="2"/>
        <v>10.52</v>
      </c>
      <c r="K3457" s="17">
        <f t="shared" si="3"/>
        <v>1</v>
      </c>
      <c r="L3457" s="18"/>
    </row>
    <row r="3458">
      <c r="A3458" s="2">
        <f>IFERROR(__xludf.DUMMYFUNCTION("""COMPUTED_VALUE"""),103458.0)</f>
        <v>103458</v>
      </c>
      <c r="B3458" s="2">
        <f>IFERROR(__xludf.DUMMYFUNCTION("""COMPUTED_VALUE"""),0.0)</f>
        <v>0</v>
      </c>
      <c r="C3458" s="2">
        <f>IFERROR(__xludf.DUMMYFUNCTION("""COMPUTED_VALUE"""),978.0)</f>
        <v>978</v>
      </c>
      <c r="D3458" s="3">
        <f>IFERROR(__xludf.DUMMYFUNCTION("""COMPUTED_VALUE"""),19.0)</f>
        <v>19</v>
      </c>
      <c r="E3458" s="1" t="str">
        <f t="array" ref="E3458">_xlfn.XLOOKUP(A3458,Product!A:A,Product!B:B,"Bulunamadı")</f>
        <v>Arts</v>
      </c>
      <c r="F3458" s="1" t="str">
        <f t="array" ref="F3458">_xlfn.XLOOKUP(A3458,Product!A:A,Product!C:C,"Bulunamadı")</f>
        <v>International Law</v>
      </c>
      <c r="G3458" s="2" t="str">
        <f t="array" ref="G3458">_xlfn.XLOOKUP(A3459,Product!A:A,Product!D:D,"Bulunamadı")</f>
        <v>Rivergate Books</v>
      </c>
      <c r="H3458" s="2">
        <f t="array" ref="H3458">_xlfn.XLOOKUP(A3460,Product!A:A,Product!E:E,"Bulunamadı")</f>
        <v>2.38</v>
      </c>
      <c r="I3458" s="2" t="str">
        <f t="shared" si="1"/>
        <v>103458 - Arts - International Law</v>
      </c>
      <c r="J3458" s="2">
        <f t="shared" si="2"/>
        <v>45.22</v>
      </c>
      <c r="K3458" s="17">
        <f t="shared" si="3"/>
        <v>1</v>
      </c>
      <c r="L3458" s="18"/>
    </row>
    <row r="3459">
      <c r="A3459" s="2">
        <f>IFERROR(__xludf.DUMMYFUNCTION("""COMPUTED_VALUE"""),71838.0)</f>
        <v>71838</v>
      </c>
      <c r="B3459" s="2">
        <f>IFERROR(__xludf.DUMMYFUNCTION("""COMPUTED_VALUE"""),0.0)</f>
        <v>0</v>
      </c>
      <c r="C3459" s="2">
        <f>IFERROR(__xludf.DUMMYFUNCTION("""COMPUTED_VALUE"""),857.0)</f>
        <v>857</v>
      </c>
      <c r="D3459" s="3">
        <f>IFERROR(__xludf.DUMMYFUNCTION("""COMPUTED_VALUE"""),179.0)</f>
        <v>179</v>
      </c>
      <c r="E3459" s="1" t="str">
        <f t="array" ref="E3459">_xlfn.XLOOKUP(A3459,Product!A:A,Product!B:B,"Bulunamadı")</f>
        <v>Arts</v>
      </c>
      <c r="F3459" s="1" t="str">
        <f t="array" ref="F3459">_xlfn.XLOOKUP(A3459,Product!A:A,Product!C:C,"Bulunamadı")</f>
        <v>International Law</v>
      </c>
      <c r="G3459" s="2" t="str">
        <f t="array" ref="G3459">_xlfn.XLOOKUP(A3460,Product!A:A,Product!D:D,"Bulunamadı")</f>
        <v>Rivergate Books</v>
      </c>
      <c r="H3459" s="2">
        <f t="array" ref="H3459">_xlfn.XLOOKUP(A3461,Product!A:A,Product!E:E,"Bulunamadı")</f>
        <v>2.2</v>
      </c>
      <c r="I3459" s="2" t="str">
        <f t="shared" si="1"/>
        <v>71838 - Arts - International Law</v>
      </c>
      <c r="J3459" s="2">
        <f t="shared" si="2"/>
        <v>393.8</v>
      </c>
      <c r="K3459" s="17">
        <f t="shared" si="3"/>
        <v>1</v>
      </c>
      <c r="L3459" s="18"/>
    </row>
    <row r="3460">
      <c r="A3460" s="2">
        <f>IFERROR(__xludf.DUMMYFUNCTION("""COMPUTED_VALUE"""),104671.0)</f>
        <v>104671</v>
      </c>
      <c r="B3460" s="2">
        <f>IFERROR(__xludf.DUMMYFUNCTION("""COMPUTED_VALUE"""),1.0)</f>
        <v>1</v>
      </c>
      <c r="C3460" s="2">
        <f>IFERROR(__xludf.DUMMYFUNCTION("""COMPUTED_VALUE"""),648.0)</f>
        <v>648</v>
      </c>
      <c r="D3460" s="3">
        <f>IFERROR(__xludf.DUMMYFUNCTION("""COMPUTED_VALUE"""),42.0)</f>
        <v>42</v>
      </c>
      <c r="E3460" s="1" t="str">
        <f t="array" ref="E3460">_xlfn.XLOOKUP(A3460,Product!A:A,Product!B:B,"Bulunamadı")</f>
        <v>Arts</v>
      </c>
      <c r="F3460" s="1" t="str">
        <f t="array" ref="F3460">_xlfn.XLOOKUP(A3460,Product!A:A,Product!C:C,"Bulunamadı")</f>
        <v>International Law</v>
      </c>
      <c r="G3460" s="2" t="str">
        <f t="array" ref="G3460">_xlfn.XLOOKUP(A3461,Product!A:A,Product!D:D,"Bulunamadı")</f>
        <v>Rivergate Books</v>
      </c>
      <c r="H3460" s="2">
        <f t="array" ref="H3460">_xlfn.XLOOKUP(A3462,Product!A:A,Product!E:E,"Bulunamadı")</f>
        <v>1.64</v>
      </c>
      <c r="I3460" s="2" t="str">
        <f t="shared" si="1"/>
        <v>104671 - Arts - International Law</v>
      </c>
      <c r="J3460" s="2">
        <f t="shared" si="2"/>
        <v>68.88</v>
      </c>
      <c r="K3460" s="17">
        <f t="shared" si="3"/>
        <v>1</v>
      </c>
      <c r="L3460" s="18"/>
    </row>
    <row r="3461">
      <c r="A3461" s="2">
        <f>IFERROR(__xludf.DUMMYFUNCTION("""COMPUTED_VALUE"""),83793.0)</f>
        <v>83793</v>
      </c>
      <c r="B3461" s="2">
        <f>IFERROR(__xludf.DUMMYFUNCTION("""COMPUTED_VALUE"""),1.0)</f>
        <v>1</v>
      </c>
      <c r="C3461" s="2">
        <f>IFERROR(__xludf.DUMMYFUNCTION("""COMPUTED_VALUE"""),778.0)</f>
        <v>778</v>
      </c>
      <c r="D3461" s="3">
        <f>IFERROR(__xludf.DUMMYFUNCTION("""COMPUTED_VALUE"""),400.0)</f>
        <v>400</v>
      </c>
      <c r="E3461" s="1" t="str">
        <f t="array" ref="E3461">_xlfn.XLOOKUP(A3461,Product!A:A,Product!B:B,"Bulunamadı")</f>
        <v>Arts</v>
      </c>
      <c r="F3461" s="1" t="str">
        <f t="array" ref="F3461">_xlfn.XLOOKUP(A3461,Product!A:A,Product!C:C,"Bulunamadı")</f>
        <v>International Law</v>
      </c>
      <c r="G3461" s="2" t="str">
        <f t="array" ref="G3461">_xlfn.XLOOKUP(A3462,Product!A:A,Product!D:D,"Bulunamadı")</f>
        <v>Rivergate Books</v>
      </c>
      <c r="H3461" s="2">
        <f t="array" ref="H3461">_xlfn.XLOOKUP(A3463,Product!A:A,Product!E:E,"Bulunamadı")</f>
        <v>1.45</v>
      </c>
      <c r="I3461" s="2" t="str">
        <f t="shared" si="1"/>
        <v>83793 - Arts - International Law</v>
      </c>
      <c r="J3461" s="2">
        <f t="shared" si="2"/>
        <v>580</v>
      </c>
      <c r="K3461" s="17">
        <f t="shared" si="3"/>
        <v>1</v>
      </c>
      <c r="L3461" s="18"/>
    </row>
    <row r="3462">
      <c r="A3462" s="2">
        <f>IFERROR(__xludf.DUMMYFUNCTION("""COMPUTED_VALUE"""),50478.0)</f>
        <v>50478</v>
      </c>
      <c r="B3462" s="2">
        <f>IFERROR(__xludf.DUMMYFUNCTION("""COMPUTED_VALUE"""),0.0)</f>
        <v>0</v>
      </c>
      <c r="C3462" s="2">
        <f>IFERROR(__xludf.DUMMYFUNCTION("""COMPUTED_VALUE"""),380.0)</f>
        <v>380</v>
      </c>
      <c r="D3462" s="3">
        <f>IFERROR(__xludf.DUMMYFUNCTION("""COMPUTED_VALUE"""),49.0)</f>
        <v>49</v>
      </c>
      <c r="E3462" s="1" t="str">
        <f t="array" ref="E3462">_xlfn.XLOOKUP(A3462,Product!A:A,Product!B:B,"Bulunamadı")</f>
        <v>Arts</v>
      </c>
      <c r="F3462" s="1" t="str">
        <f t="array" ref="F3462">_xlfn.XLOOKUP(A3462,Product!A:A,Product!C:C,"Bulunamadı")</f>
        <v>International Law</v>
      </c>
      <c r="G3462" s="2" t="str">
        <f t="array" ref="G3462">_xlfn.XLOOKUP(A3463,Product!A:A,Product!D:D,"Bulunamadı")</f>
        <v>Rivergate Books</v>
      </c>
      <c r="H3462" s="2">
        <f t="array" ref="H3462">_xlfn.XLOOKUP(A3464,Product!A:A,Product!E:E,"Bulunamadı")</f>
        <v>3.33</v>
      </c>
      <c r="I3462" s="2" t="str">
        <f t="shared" si="1"/>
        <v>50478 - Arts - International Law</v>
      </c>
      <c r="J3462" s="2">
        <f t="shared" si="2"/>
        <v>163.17</v>
      </c>
      <c r="K3462" s="17">
        <f t="shared" si="3"/>
        <v>1</v>
      </c>
      <c r="L3462" s="18"/>
    </row>
    <row r="3463">
      <c r="A3463" s="2">
        <f>IFERROR(__xludf.DUMMYFUNCTION("""COMPUTED_VALUE"""),118891.0)</f>
        <v>118891</v>
      </c>
      <c r="B3463" s="2">
        <f>IFERROR(__xludf.DUMMYFUNCTION("""COMPUTED_VALUE"""),0.0)</f>
        <v>0</v>
      </c>
      <c r="C3463" s="2">
        <f>IFERROR(__xludf.DUMMYFUNCTION("""COMPUTED_VALUE"""),420.0)</f>
        <v>420</v>
      </c>
      <c r="D3463" s="3">
        <f>IFERROR(__xludf.DUMMYFUNCTION("""COMPUTED_VALUE"""),170.0)</f>
        <v>170</v>
      </c>
      <c r="E3463" s="1" t="str">
        <f t="array" ref="E3463">_xlfn.XLOOKUP(A3463,Product!A:A,Product!B:B,"Bulunamadı")</f>
        <v>Arts</v>
      </c>
      <c r="F3463" s="1" t="str">
        <f t="array" ref="F3463">_xlfn.XLOOKUP(A3463,Product!A:A,Product!C:C,"Bulunamadı")</f>
        <v>International Law</v>
      </c>
      <c r="G3463" s="2" t="str">
        <f t="array" ref="G3463">_xlfn.XLOOKUP(A3464,Product!A:A,Product!D:D,"Bulunamadı")</f>
        <v>Rivergate Books</v>
      </c>
      <c r="H3463" s="2">
        <f t="array" ref="H3463">_xlfn.XLOOKUP(A3465,Product!A:A,Product!E:E,"Bulunamadı")</f>
        <v>2.01</v>
      </c>
      <c r="I3463" s="2" t="str">
        <f t="shared" si="1"/>
        <v>118891 - Arts - International Law</v>
      </c>
      <c r="J3463" s="2">
        <f t="shared" si="2"/>
        <v>341.7</v>
      </c>
      <c r="K3463" s="17">
        <f t="shared" si="3"/>
        <v>1</v>
      </c>
      <c r="L3463" s="18"/>
    </row>
    <row r="3464">
      <c r="A3464" s="2">
        <f>IFERROR(__xludf.DUMMYFUNCTION("""COMPUTED_VALUE"""),70440.0)</f>
        <v>70440</v>
      </c>
      <c r="B3464" s="2">
        <f>IFERROR(__xludf.DUMMYFUNCTION("""COMPUTED_VALUE"""),0.0)</f>
        <v>0</v>
      </c>
      <c r="C3464" s="2">
        <f>IFERROR(__xludf.DUMMYFUNCTION("""COMPUTED_VALUE"""),361.0)</f>
        <v>361</v>
      </c>
      <c r="D3464" s="3">
        <f>IFERROR(__xludf.DUMMYFUNCTION("""COMPUTED_VALUE"""),339.0)</f>
        <v>339</v>
      </c>
      <c r="E3464" s="1" t="str">
        <f t="array" ref="E3464">_xlfn.XLOOKUP(A3464,Product!A:A,Product!B:B,"Bulunamadı")</f>
        <v>Arts</v>
      </c>
      <c r="F3464" s="1" t="str">
        <f t="array" ref="F3464">_xlfn.XLOOKUP(A3464,Product!A:A,Product!C:C,"Bulunamadı")</f>
        <v>International Law</v>
      </c>
      <c r="G3464" s="2" t="str">
        <f t="array" ref="G3464">_xlfn.XLOOKUP(A3465,Product!A:A,Product!D:D,"Bulunamadı")</f>
        <v>Rivergate Books</v>
      </c>
      <c r="H3464" s="2">
        <f t="array" ref="H3464">_xlfn.XLOOKUP(A3466,Product!A:A,Product!E:E,"Bulunamadı")</f>
        <v>3.27</v>
      </c>
      <c r="I3464" s="2" t="str">
        <f t="shared" si="1"/>
        <v>70440 - Arts - International Law</v>
      </c>
      <c r="J3464" s="2">
        <f t="shared" si="2"/>
        <v>1108.53</v>
      </c>
      <c r="K3464" s="17">
        <f t="shared" si="3"/>
        <v>1</v>
      </c>
      <c r="L3464" s="18"/>
    </row>
    <row r="3465">
      <c r="A3465" s="2">
        <f>IFERROR(__xludf.DUMMYFUNCTION("""COMPUTED_VALUE"""),44840.0)</f>
        <v>44840</v>
      </c>
      <c r="B3465" s="2">
        <f>IFERROR(__xludf.DUMMYFUNCTION("""COMPUTED_VALUE"""),1.0)</f>
        <v>1</v>
      </c>
      <c r="C3465" s="2">
        <f>IFERROR(__xludf.DUMMYFUNCTION("""COMPUTED_VALUE"""),247.0)</f>
        <v>247</v>
      </c>
      <c r="D3465" s="3">
        <f>IFERROR(__xludf.DUMMYFUNCTION("""COMPUTED_VALUE"""),188.0)</f>
        <v>188</v>
      </c>
      <c r="E3465" s="1" t="str">
        <f t="array" ref="E3465">_xlfn.XLOOKUP(A3465,Product!A:A,Product!B:B,"Bulunamadı")</f>
        <v>Arts</v>
      </c>
      <c r="F3465" s="1" t="str">
        <f t="array" ref="F3465">_xlfn.XLOOKUP(A3465,Product!A:A,Product!C:C,"Bulunamadı")</f>
        <v>International Law</v>
      </c>
      <c r="G3465" s="2" t="str">
        <f t="array" ref="G3465">_xlfn.XLOOKUP(A3466,Product!A:A,Product!D:D,"Bulunamadı")</f>
        <v>Rivergate Books</v>
      </c>
      <c r="H3465" s="2">
        <f t="array" ref="H3465">_xlfn.XLOOKUP(A3467,Product!A:A,Product!E:E,"Bulunamadı")</f>
        <v>1.77</v>
      </c>
      <c r="I3465" s="2" t="str">
        <f t="shared" si="1"/>
        <v>44840 - Arts - International Law</v>
      </c>
      <c r="J3465" s="2">
        <f t="shared" si="2"/>
        <v>332.76</v>
      </c>
      <c r="K3465" s="17">
        <f t="shared" si="3"/>
        <v>1</v>
      </c>
      <c r="L3465" s="18"/>
    </row>
    <row r="3466">
      <c r="A3466" s="2">
        <f>IFERROR(__xludf.DUMMYFUNCTION("""COMPUTED_VALUE"""),107304.0)</f>
        <v>107304</v>
      </c>
      <c r="B3466" s="2">
        <f>IFERROR(__xludf.DUMMYFUNCTION("""COMPUTED_VALUE"""),0.0)</f>
        <v>0</v>
      </c>
      <c r="C3466" s="2">
        <f>IFERROR(__xludf.DUMMYFUNCTION("""COMPUTED_VALUE"""),97.0)</f>
        <v>97</v>
      </c>
      <c r="D3466" s="3">
        <f>IFERROR(__xludf.DUMMYFUNCTION("""COMPUTED_VALUE"""),12.0)</f>
        <v>12</v>
      </c>
      <c r="E3466" s="1" t="str">
        <f t="array" ref="E3466">_xlfn.XLOOKUP(A3466,Product!A:A,Product!B:B,"Bulunamadı")</f>
        <v>Arts</v>
      </c>
      <c r="F3466" s="1" t="str">
        <f t="array" ref="F3466">_xlfn.XLOOKUP(A3466,Product!A:A,Product!C:C,"Bulunamadı")</f>
        <v>International Law</v>
      </c>
      <c r="G3466" s="2" t="str">
        <f t="array" ref="G3466">_xlfn.XLOOKUP(A3467,Product!A:A,Product!D:D,"Bulunamadı")</f>
        <v>Rivergate Books</v>
      </c>
      <c r="H3466" s="2">
        <f t="array" ref="H3466">_xlfn.XLOOKUP(A3468,Product!A:A,Product!E:E,"Bulunamadı")</f>
        <v>1.85</v>
      </c>
      <c r="I3466" s="2" t="str">
        <f t="shared" si="1"/>
        <v>107304 - Arts - International Law</v>
      </c>
      <c r="J3466" s="2">
        <f t="shared" si="2"/>
        <v>22.2</v>
      </c>
      <c r="K3466" s="17">
        <f t="shared" si="3"/>
        <v>1</v>
      </c>
      <c r="L3466" s="18"/>
    </row>
    <row r="3467">
      <c r="A3467" s="2">
        <f>IFERROR(__xludf.DUMMYFUNCTION("""COMPUTED_VALUE"""),116195.0)</f>
        <v>116195</v>
      </c>
      <c r="B3467" s="2">
        <f>IFERROR(__xludf.DUMMYFUNCTION("""COMPUTED_VALUE"""),1.0)</f>
        <v>1</v>
      </c>
      <c r="C3467" s="2">
        <f>IFERROR(__xludf.DUMMYFUNCTION("""COMPUTED_VALUE"""),432.0)</f>
        <v>432</v>
      </c>
      <c r="D3467" s="3">
        <f>IFERROR(__xludf.DUMMYFUNCTION("""COMPUTED_VALUE"""),221.0)</f>
        <v>221</v>
      </c>
      <c r="E3467" s="1" t="str">
        <f t="array" ref="E3467">_xlfn.XLOOKUP(A3467,Product!A:A,Product!B:B,"Bulunamadı")</f>
        <v>Arts</v>
      </c>
      <c r="F3467" s="1" t="str">
        <f t="array" ref="F3467">_xlfn.XLOOKUP(A3467,Product!A:A,Product!C:C,"Bulunamadı")</f>
        <v>International Law</v>
      </c>
      <c r="G3467" s="2" t="str">
        <f t="array" ref="G3467">_xlfn.XLOOKUP(A3468,Product!A:A,Product!D:D,"Bulunamadı")</f>
        <v>Rivergate Books</v>
      </c>
      <c r="H3467" s="2">
        <f t="array" ref="H3467">_xlfn.XLOOKUP(A3469,Product!A:A,Product!E:E,"Bulunamadı")</f>
        <v>2.14</v>
      </c>
      <c r="I3467" s="2" t="str">
        <f t="shared" si="1"/>
        <v>116195 - Arts - International Law</v>
      </c>
      <c r="J3467" s="2">
        <f t="shared" si="2"/>
        <v>472.94</v>
      </c>
      <c r="K3467" s="17">
        <f t="shared" si="3"/>
        <v>1</v>
      </c>
      <c r="L3467" s="18"/>
    </row>
    <row r="3468">
      <c r="A3468" s="2">
        <f>IFERROR(__xludf.DUMMYFUNCTION("""COMPUTED_VALUE"""),86980.0)</f>
        <v>86980</v>
      </c>
      <c r="B3468" s="2">
        <f>IFERROR(__xludf.DUMMYFUNCTION("""COMPUTED_VALUE"""),1.0)</f>
        <v>1</v>
      </c>
      <c r="C3468" s="2">
        <f>IFERROR(__xludf.DUMMYFUNCTION("""COMPUTED_VALUE"""),535.0)</f>
        <v>535</v>
      </c>
      <c r="D3468" s="3">
        <f>IFERROR(__xludf.DUMMYFUNCTION("""COMPUTED_VALUE"""),45.0)</f>
        <v>45</v>
      </c>
      <c r="E3468" s="1" t="str">
        <f t="array" ref="E3468">_xlfn.XLOOKUP(A3468,Product!A:A,Product!B:B,"Bulunamadı")</f>
        <v>Arts</v>
      </c>
      <c r="F3468" s="1" t="str">
        <f t="array" ref="F3468">_xlfn.XLOOKUP(A3468,Product!A:A,Product!C:C,"Bulunamadı")</f>
        <v>International Law</v>
      </c>
      <c r="G3468" s="2" t="str">
        <f t="array" ref="G3468">_xlfn.XLOOKUP(A3469,Product!A:A,Product!D:D,"Bulunamadı")</f>
        <v>Rivergate Books</v>
      </c>
      <c r="H3468" s="2">
        <f t="array" ref="H3468">_xlfn.XLOOKUP(A3470,Product!A:A,Product!E:E,"Bulunamadı")</f>
        <v>1.83</v>
      </c>
      <c r="I3468" s="2" t="str">
        <f t="shared" si="1"/>
        <v>86980 - Arts - International Law</v>
      </c>
      <c r="J3468" s="2">
        <f t="shared" si="2"/>
        <v>82.35</v>
      </c>
      <c r="K3468" s="17">
        <f t="shared" si="3"/>
        <v>1</v>
      </c>
      <c r="L3468" s="18"/>
    </row>
    <row r="3469">
      <c r="A3469" s="2">
        <f>IFERROR(__xludf.DUMMYFUNCTION("""COMPUTED_VALUE"""),122230.0)</f>
        <v>122230</v>
      </c>
      <c r="B3469" s="2">
        <f>IFERROR(__xludf.DUMMYFUNCTION("""COMPUTED_VALUE"""),0.0)</f>
        <v>0</v>
      </c>
      <c r="C3469" s="2">
        <f>IFERROR(__xludf.DUMMYFUNCTION("""COMPUTED_VALUE"""),14.0)</f>
        <v>14</v>
      </c>
      <c r="D3469" s="3">
        <f>IFERROR(__xludf.DUMMYFUNCTION("""COMPUTED_VALUE"""),2.0)</f>
        <v>2</v>
      </c>
      <c r="E3469" s="1" t="str">
        <f t="array" ref="E3469">_xlfn.XLOOKUP(A3469,Product!A:A,Product!B:B,"Bulunamadı")</f>
        <v>Arts</v>
      </c>
      <c r="F3469" s="1" t="str">
        <f t="array" ref="F3469">_xlfn.XLOOKUP(A3469,Product!A:A,Product!C:C,"Bulunamadı")</f>
        <v>International Law</v>
      </c>
      <c r="G3469" s="2" t="str">
        <f t="array" ref="G3469">_xlfn.XLOOKUP(A3470,Product!A:A,Product!D:D,"Bulunamadı")</f>
        <v>Rivergate Books</v>
      </c>
      <c r="H3469" s="2">
        <f t="array" ref="H3469">_xlfn.XLOOKUP(A3471,Product!A:A,Product!E:E,"Bulunamadı")</f>
        <v>2.01</v>
      </c>
      <c r="I3469" s="2" t="str">
        <f t="shared" si="1"/>
        <v>122230 - Arts - International Law</v>
      </c>
      <c r="J3469" s="2">
        <f t="shared" si="2"/>
        <v>4.02</v>
      </c>
      <c r="K3469" s="17">
        <f t="shared" si="3"/>
        <v>1</v>
      </c>
      <c r="L3469" s="18"/>
    </row>
    <row r="3470">
      <c r="A3470" s="2">
        <f>IFERROR(__xludf.DUMMYFUNCTION("""COMPUTED_VALUE"""),47602.0)</f>
        <v>47602</v>
      </c>
      <c r="B3470" s="2">
        <f>IFERROR(__xludf.DUMMYFUNCTION("""COMPUTED_VALUE"""),1.0)</f>
        <v>1</v>
      </c>
      <c r="C3470" s="2">
        <f>IFERROR(__xludf.DUMMYFUNCTION("""COMPUTED_VALUE"""),1.0)</f>
        <v>1</v>
      </c>
      <c r="D3470" s="3">
        <f>IFERROR(__xludf.DUMMYFUNCTION("""COMPUTED_VALUE"""),1.0)</f>
        <v>1</v>
      </c>
      <c r="E3470" s="1" t="str">
        <f t="array" ref="E3470">_xlfn.XLOOKUP(A3470,Product!A:A,Product!B:B,"Bulunamadı")</f>
        <v>Arts</v>
      </c>
      <c r="F3470" s="1" t="str">
        <f t="array" ref="F3470">_xlfn.XLOOKUP(A3470,Product!A:A,Product!C:C,"Bulunamadı")</f>
        <v>International Law</v>
      </c>
      <c r="G3470" s="2" t="str">
        <f t="array" ref="G3470">_xlfn.XLOOKUP(A3471,Product!A:A,Product!D:D,"Bulunamadı")</f>
        <v>Rivergate Books</v>
      </c>
      <c r="H3470" s="2">
        <f t="array" ref="H3470">_xlfn.XLOOKUP(A3472,Product!A:A,Product!E:E,"Bulunamadı")</f>
        <v>2.6</v>
      </c>
      <c r="I3470" s="2" t="str">
        <f t="shared" si="1"/>
        <v>47602 - Arts - International Law</v>
      </c>
      <c r="J3470" s="2">
        <f t="shared" si="2"/>
        <v>2.6</v>
      </c>
      <c r="K3470" s="17">
        <f t="shared" si="3"/>
        <v>1</v>
      </c>
      <c r="L3470" s="18"/>
    </row>
    <row r="3471">
      <c r="A3471" s="2">
        <f>IFERROR(__xludf.DUMMYFUNCTION("""COMPUTED_VALUE"""),42190.0)</f>
        <v>42190</v>
      </c>
      <c r="B3471" s="2">
        <f>IFERROR(__xludf.DUMMYFUNCTION("""COMPUTED_VALUE"""),0.0)</f>
        <v>0</v>
      </c>
      <c r="C3471" s="2">
        <f>IFERROR(__xludf.DUMMYFUNCTION("""COMPUTED_VALUE"""),390.0)</f>
        <v>390</v>
      </c>
      <c r="D3471" s="3">
        <f>IFERROR(__xludf.DUMMYFUNCTION("""COMPUTED_VALUE"""),226.0)</f>
        <v>226</v>
      </c>
      <c r="E3471" s="1" t="str">
        <f t="array" ref="E3471">_xlfn.XLOOKUP(A3471,Product!A:A,Product!B:B,"Bulunamadı")</f>
        <v>Arts</v>
      </c>
      <c r="F3471" s="1" t="str">
        <f t="array" ref="F3471">_xlfn.XLOOKUP(A3471,Product!A:A,Product!C:C,"Bulunamadı")</f>
        <v>International Law</v>
      </c>
      <c r="G3471" s="2" t="str">
        <f t="array" ref="G3471">_xlfn.XLOOKUP(A3472,Product!A:A,Product!D:D,"Bulunamadı")</f>
        <v>Rivergate Books</v>
      </c>
      <c r="H3471" s="2">
        <f t="array" ref="H3471">_xlfn.XLOOKUP(A3473,Product!A:A,Product!E:E,"Bulunamadı")</f>
        <v>3.17</v>
      </c>
      <c r="I3471" s="2" t="str">
        <f t="shared" si="1"/>
        <v>42190 - Arts - International Law</v>
      </c>
      <c r="J3471" s="2">
        <f t="shared" si="2"/>
        <v>716.42</v>
      </c>
      <c r="K3471" s="17">
        <f t="shared" si="3"/>
        <v>1</v>
      </c>
      <c r="L3471" s="18"/>
    </row>
    <row r="3472">
      <c r="A3472" s="2">
        <f>IFERROR(__xludf.DUMMYFUNCTION("""COMPUTED_VALUE"""),111130.0)</f>
        <v>111130</v>
      </c>
      <c r="B3472" s="2">
        <f>IFERROR(__xludf.DUMMYFUNCTION("""COMPUTED_VALUE"""),1.0)</f>
        <v>1</v>
      </c>
      <c r="C3472" s="2">
        <f>IFERROR(__xludf.DUMMYFUNCTION("""COMPUTED_VALUE"""),778.0)</f>
        <v>778</v>
      </c>
      <c r="D3472" s="3">
        <f>IFERROR(__xludf.DUMMYFUNCTION("""COMPUTED_VALUE"""),366.0)</f>
        <v>366</v>
      </c>
      <c r="E3472" s="1" t="str">
        <f t="array" ref="E3472">_xlfn.XLOOKUP(A3472,Product!A:A,Product!B:B,"Bulunamadı")</f>
        <v>Arts</v>
      </c>
      <c r="F3472" s="1" t="str">
        <f t="array" ref="F3472">_xlfn.XLOOKUP(A3472,Product!A:A,Product!C:C,"Bulunamadı")</f>
        <v>International Law</v>
      </c>
      <c r="G3472" s="2" t="str">
        <f t="array" ref="G3472">_xlfn.XLOOKUP(A3473,Product!A:A,Product!D:D,"Bulunamadı")</f>
        <v>Rivergate Books</v>
      </c>
      <c r="H3472" s="2">
        <f t="array" ref="H3472">_xlfn.XLOOKUP(A3474,Product!A:A,Product!E:E,"Bulunamadı")</f>
        <v>3.11</v>
      </c>
      <c r="I3472" s="2" t="str">
        <f t="shared" si="1"/>
        <v>111130 - Arts - International Law</v>
      </c>
      <c r="J3472" s="2">
        <f t="shared" si="2"/>
        <v>1138.26</v>
      </c>
      <c r="K3472" s="17">
        <f t="shared" si="3"/>
        <v>1</v>
      </c>
      <c r="L3472" s="18"/>
    </row>
    <row r="3473">
      <c r="A3473" s="2">
        <f>IFERROR(__xludf.DUMMYFUNCTION("""COMPUTED_VALUE"""),71774.0)</f>
        <v>71774</v>
      </c>
      <c r="B3473" s="2">
        <f>IFERROR(__xludf.DUMMYFUNCTION("""COMPUTED_VALUE"""),0.0)</f>
        <v>0</v>
      </c>
      <c r="C3473" s="2">
        <f>IFERROR(__xludf.DUMMYFUNCTION("""COMPUTED_VALUE"""),933.0)</f>
        <v>933</v>
      </c>
      <c r="D3473" s="3">
        <f>IFERROR(__xludf.DUMMYFUNCTION("""COMPUTED_VALUE"""),485.0)</f>
        <v>485</v>
      </c>
      <c r="E3473" s="1" t="str">
        <f t="array" ref="E3473">_xlfn.XLOOKUP(A3473,Product!A:A,Product!B:B,"Bulunamadı")</f>
        <v>Arts</v>
      </c>
      <c r="F3473" s="1" t="str">
        <f t="array" ref="F3473">_xlfn.XLOOKUP(A3473,Product!A:A,Product!C:C,"Bulunamadı")</f>
        <v>International Law</v>
      </c>
      <c r="G3473" s="2" t="str">
        <f t="array" ref="G3473">_xlfn.XLOOKUP(A3474,Product!A:A,Product!D:D,"Bulunamadı")</f>
        <v>Rivergate Books</v>
      </c>
      <c r="H3473" s="2">
        <f t="array" ref="H3473">_xlfn.XLOOKUP(A3475,Product!A:A,Product!E:E,"Bulunamadı")</f>
        <v>3.04</v>
      </c>
      <c r="I3473" s="2" t="str">
        <f t="shared" si="1"/>
        <v>71774 - Arts - International Law</v>
      </c>
      <c r="J3473" s="2">
        <f t="shared" si="2"/>
        <v>1474.4</v>
      </c>
      <c r="K3473" s="17">
        <f t="shared" si="3"/>
        <v>1</v>
      </c>
      <c r="L3473" s="18"/>
    </row>
    <row r="3474">
      <c r="A3474" s="2">
        <f>IFERROR(__xludf.DUMMYFUNCTION("""COMPUTED_VALUE"""),75010.0)</f>
        <v>75010</v>
      </c>
      <c r="B3474" s="2">
        <f>IFERROR(__xludf.DUMMYFUNCTION("""COMPUTED_VALUE"""),1.0)</f>
        <v>1</v>
      </c>
      <c r="C3474" s="2">
        <f>IFERROR(__xludf.DUMMYFUNCTION("""COMPUTED_VALUE"""),997.0)</f>
        <v>997</v>
      </c>
      <c r="D3474" s="3">
        <f>IFERROR(__xludf.DUMMYFUNCTION("""COMPUTED_VALUE"""),887.0)</f>
        <v>887</v>
      </c>
      <c r="E3474" s="1" t="str">
        <f t="array" ref="E3474">_xlfn.XLOOKUP(A3474,Product!A:A,Product!B:B,"Bulunamadı")</f>
        <v>Arts</v>
      </c>
      <c r="F3474" s="1" t="str">
        <f t="array" ref="F3474">_xlfn.XLOOKUP(A3474,Product!A:A,Product!C:C,"Bulunamadı")</f>
        <v>International Law</v>
      </c>
      <c r="G3474" s="2" t="str">
        <f t="array" ref="G3474">_xlfn.XLOOKUP(A3475,Product!A:A,Product!D:D,"Bulunamadı")</f>
        <v>Rivergate Books</v>
      </c>
      <c r="H3474" s="2">
        <f t="array" ref="H3474">_xlfn.XLOOKUP(A3476,Product!A:A,Product!E:E,"Bulunamadı")</f>
        <v>1.76</v>
      </c>
      <c r="I3474" s="2" t="str">
        <f t="shared" si="1"/>
        <v>75010 - Arts - International Law</v>
      </c>
      <c r="J3474" s="2">
        <f t="shared" si="2"/>
        <v>1561.12</v>
      </c>
      <c r="K3474" s="17">
        <f t="shared" si="3"/>
        <v>1</v>
      </c>
      <c r="L3474" s="18"/>
    </row>
    <row r="3475">
      <c r="A3475" s="2">
        <f>IFERROR(__xludf.DUMMYFUNCTION("""COMPUTED_VALUE"""),119276.0)</f>
        <v>119276</v>
      </c>
      <c r="B3475" s="2">
        <f>IFERROR(__xludf.DUMMYFUNCTION("""COMPUTED_VALUE"""),1.0)</f>
        <v>1</v>
      </c>
      <c r="C3475" s="2">
        <f>IFERROR(__xludf.DUMMYFUNCTION("""COMPUTED_VALUE"""),-1.0)</f>
        <v>-1</v>
      </c>
      <c r="D3475" s="3">
        <f>IFERROR(__xludf.DUMMYFUNCTION("""COMPUTED_VALUE"""),0.0)</f>
        <v>0</v>
      </c>
      <c r="E3475" s="1" t="str">
        <f t="array" ref="E3475">_xlfn.XLOOKUP(A3475,Product!A:A,Product!B:B,"Bulunamadı")</f>
        <v>Arts</v>
      </c>
      <c r="F3475" s="1" t="str">
        <f t="array" ref="F3475">_xlfn.XLOOKUP(A3475,Product!A:A,Product!C:C,"Bulunamadı")</f>
        <v>International Law</v>
      </c>
      <c r="G3475" s="2" t="str">
        <f t="array" ref="G3475">_xlfn.XLOOKUP(A3476,Product!A:A,Product!D:D,"Bulunamadı")</f>
        <v>Rivergate Books</v>
      </c>
      <c r="H3475" s="2">
        <f t="array" ref="H3475">_xlfn.XLOOKUP(A3477,Product!A:A,Product!E:E,"Bulunamadı")</f>
        <v>2.22</v>
      </c>
      <c r="I3475" s="2" t="str">
        <f t="shared" si="1"/>
        <v>119276 - Arts - International Law</v>
      </c>
      <c r="J3475" s="2">
        <f t="shared" si="2"/>
        <v>0</v>
      </c>
      <c r="K3475" s="17">
        <f t="shared" si="3"/>
        <v>0</v>
      </c>
      <c r="L3475" s="18"/>
    </row>
    <row r="3476">
      <c r="A3476" s="2">
        <f>IFERROR(__xludf.DUMMYFUNCTION("""COMPUTED_VALUE"""),83789.0)</f>
        <v>83789</v>
      </c>
      <c r="B3476" s="2">
        <f>IFERROR(__xludf.DUMMYFUNCTION("""COMPUTED_VALUE"""),1.0)</f>
        <v>1</v>
      </c>
      <c r="C3476" s="2">
        <f>IFERROR(__xludf.DUMMYFUNCTION("""COMPUTED_VALUE"""),119.0)</f>
        <v>119</v>
      </c>
      <c r="D3476" s="3">
        <f>IFERROR(__xludf.DUMMYFUNCTION("""COMPUTED_VALUE"""),14.0)</f>
        <v>14</v>
      </c>
      <c r="E3476" s="1" t="str">
        <f t="array" ref="E3476">_xlfn.XLOOKUP(A3476,Product!A:A,Product!B:B,"Bulunamadı")</f>
        <v>Arts</v>
      </c>
      <c r="F3476" s="1" t="str">
        <f t="array" ref="F3476">_xlfn.XLOOKUP(A3476,Product!A:A,Product!C:C,"Bulunamadı")</f>
        <v>International Law</v>
      </c>
      <c r="G3476" s="2" t="str">
        <f t="array" ref="G3476">_xlfn.XLOOKUP(A3477,Product!A:A,Product!D:D,"Bulunamadı")</f>
        <v>Rivergate Books</v>
      </c>
      <c r="H3476" s="2">
        <f t="array" ref="H3476">_xlfn.XLOOKUP(A3478,Product!A:A,Product!E:E,"Bulunamadı")</f>
        <v>1.91</v>
      </c>
      <c r="I3476" s="2" t="str">
        <f t="shared" si="1"/>
        <v>83789 - Arts - International Law</v>
      </c>
      <c r="J3476" s="2">
        <f t="shared" si="2"/>
        <v>26.74</v>
      </c>
      <c r="K3476" s="17">
        <f t="shared" si="3"/>
        <v>1</v>
      </c>
      <c r="L3476" s="18"/>
    </row>
    <row r="3477">
      <c r="A3477" s="2">
        <f>IFERROR(__xludf.DUMMYFUNCTION("""COMPUTED_VALUE"""),86999.0)</f>
        <v>86999</v>
      </c>
      <c r="B3477" s="2">
        <f>IFERROR(__xludf.DUMMYFUNCTION("""COMPUTED_VALUE"""),0.0)</f>
        <v>0</v>
      </c>
      <c r="C3477" s="2">
        <f>IFERROR(__xludf.DUMMYFUNCTION("""COMPUTED_VALUE"""),316.0)</f>
        <v>316</v>
      </c>
      <c r="D3477" s="3">
        <f>IFERROR(__xludf.DUMMYFUNCTION("""COMPUTED_VALUE"""),295.0)</f>
        <v>295</v>
      </c>
      <c r="E3477" s="1" t="str">
        <f t="array" ref="E3477">_xlfn.XLOOKUP(A3477,Product!A:A,Product!B:B,"Bulunamadı")</f>
        <v>Arts</v>
      </c>
      <c r="F3477" s="1" t="str">
        <f t="array" ref="F3477">_xlfn.XLOOKUP(A3477,Product!A:A,Product!C:C,"Bulunamadı")</f>
        <v>International Law</v>
      </c>
      <c r="G3477" s="2" t="str">
        <f t="array" ref="G3477">_xlfn.XLOOKUP(A3478,Product!A:A,Product!D:D,"Bulunamadı")</f>
        <v>Rivergate Books</v>
      </c>
      <c r="H3477" s="2">
        <f t="array" ref="H3477">_xlfn.XLOOKUP(A3479,Product!A:A,Product!E:E,"Bulunamadı")</f>
        <v>2.05</v>
      </c>
      <c r="I3477" s="2" t="str">
        <f t="shared" si="1"/>
        <v>86999 - Arts - International Law</v>
      </c>
      <c r="J3477" s="2">
        <f t="shared" si="2"/>
        <v>604.75</v>
      </c>
      <c r="K3477" s="17">
        <f t="shared" si="3"/>
        <v>1</v>
      </c>
      <c r="L3477" s="18"/>
    </row>
    <row r="3478">
      <c r="A3478" s="2">
        <f>IFERROR(__xludf.DUMMYFUNCTION("""COMPUTED_VALUE"""),80678.0)</f>
        <v>80678</v>
      </c>
      <c r="B3478" s="2">
        <f>IFERROR(__xludf.DUMMYFUNCTION("""COMPUTED_VALUE"""),1.0)</f>
        <v>1</v>
      </c>
      <c r="C3478" s="2">
        <f>IFERROR(__xludf.DUMMYFUNCTION("""COMPUTED_VALUE"""),147.0)</f>
        <v>147</v>
      </c>
      <c r="D3478" s="3">
        <f>IFERROR(__xludf.DUMMYFUNCTION("""COMPUTED_VALUE"""),15.0)</f>
        <v>15</v>
      </c>
      <c r="E3478" s="1" t="str">
        <f t="array" ref="E3478">_xlfn.XLOOKUP(A3478,Product!A:A,Product!B:B,"Bulunamadı")</f>
        <v>Arts</v>
      </c>
      <c r="F3478" s="1" t="str">
        <f t="array" ref="F3478">_xlfn.XLOOKUP(A3478,Product!A:A,Product!C:C,"Bulunamadı")</f>
        <v>International Law</v>
      </c>
      <c r="G3478" s="2" t="str">
        <f t="array" ref="G3478">_xlfn.XLOOKUP(A3479,Product!A:A,Product!D:D,"Bulunamadı")</f>
        <v>Rivergate Books</v>
      </c>
      <c r="H3478" s="2">
        <f t="array" ref="H3478">_xlfn.XLOOKUP(A3480,Product!A:A,Product!E:E,"Bulunamadı")</f>
        <v>2.49</v>
      </c>
      <c r="I3478" s="2" t="str">
        <f t="shared" si="1"/>
        <v>80678 - Arts - International Law</v>
      </c>
      <c r="J3478" s="2">
        <f t="shared" si="2"/>
        <v>37.35</v>
      </c>
      <c r="K3478" s="17">
        <f t="shared" si="3"/>
        <v>1</v>
      </c>
      <c r="L3478" s="18"/>
    </row>
    <row r="3479">
      <c r="A3479" s="2">
        <f>IFERROR(__xludf.DUMMYFUNCTION("""COMPUTED_VALUE"""),86973.0)</f>
        <v>86973</v>
      </c>
      <c r="B3479" s="2">
        <f>IFERROR(__xludf.DUMMYFUNCTION("""COMPUTED_VALUE"""),0.0)</f>
        <v>0</v>
      </c>
      <c r="C3479" s="2">
        <f>IFERROR(__xludf.DUMMYFUNCTION("""COMPUTED_VALUE"""),899.0)</f>
        <v>899</v>
      </c>
      <c r="D3479" s="3">
        <f>IFERROR(__xludf.DUMMYFUNCTION("""COMPUTED_VALUE"""),463.0)</f>
        <v>463</v>
      </c>
      <c r="E3479" s="1" t="str">
        <f t="array" ref="E3479">_xlfn.XLOOKUP(A3479,Product!A:A,Product!B:B,"Bulunamadı")</f>
        <v>Arts</v>
      </c>
      <c r="F3479" s="1" t="str">
        <f t="array" ref="F3479">_xlfn.XLOOKUP(A3479,Product!A:A,Product!C:C,"Bulunamadı")</f>
        <v>International Law</v>
      </c>
      <c r="G3479" s="2" t="str">
        <f t="array" ref="G3479">_xlfn.XLOOKUP(A3480,Product!A:A,Product!D:D,"Bulunamadı")</f>
        <v>Rivergate Books</v>
      </c>
      <c r="H3479" s="2">
        <f t="array" ref="H3479">_xlfn.XLOOKUP(A3481,Product!A:A,Product!E:E,"Bulunamadı")</f>
        <v>2.42</v>
      </c>
      <c r="I3479" s="2" t="str">
        <f t="shared" si="1"/>
        <v>86973 - Arts - International Law</v>
      </c>
      <c r="J3479" s="2">
        <f t="shared" si="2"/>
        <v>1120.46</v>
      </c>
      <c r="K3479" s="17">
        <f t="shared" si="3"/>
        <v>1</v>
      </c>
      <c r="L3479" s="18"/>
    </row>
    <row r="3480">
      <c r="A3480" s="2">
        <f>IFERROR(__xludf.DUMMYFUNCTION("""COMPUTED_VALUE"""),81724.0)</f>
        <v>81724</v>
      </c>
      <c r="B3480" s="2">
        <f>IFERROR(__xludf.DUMMYFUNCTION("""COMPUTED_VALUE"""),1.0)</f>
        <v>1</v>
      </c>
      <c r="C3480" s="2">
        <f>IFERROR(__xludf.DUMMYFUNCTION("""COMPUTED_VALUE"""),601.0)</f>
        <v>601</v>
      </c>
      <c r="D3480" s="3">
        <f>IFERROR(__xludf.DUMMYFUNCTION("""COMPUTED_VALUE"""),476.0)</f>
        <v>476</v>
      </c>
      <c r="E3480" s="1" t="str">
        <f t="array" ref="E3480">_xlfn.XLOOKUP(A3480,Product!A:A,Product!B:B,"Bulunamadı")</f>
        <v>Arts</v>
      </c>
      <c r="F3480" s="1" t="str">
        <f t="array" ref="F3480">_xlfn.XLOOKUP(A3480,Product!A:A,Product!C:C,"Bulunamadı")</f>
        <v>International Law</v>
      </c>
      <c r="G3480" s="2" t="str">
        <f t="array" ref="G3480">_xlfn.XLOOKUP(A3481,Product!A:A,Product!D:D,"Bulunamadı")</f>
        <v>Rivergate Books</v>
      </c>
      <c r="H3480" s="2">
        <f t="array" ref="H3480">_xlfn.XLOOKUP(A3482,Product!A:A,Product!E:E,"Bulunamadı")</f>
        <v>4.28</v>
      </c>
      <c r="I3480" s="2" t="str">
        <f t="shared" si="1"/>
        <v>81724 - Arts - International Law</v>
      </c>
      <c r="J3480" s="2">
        <f t="shared" si="2"/>
        <v>2037.28</v>
      </c>
      <c r="K3480" s="17">
        <f t="shared" si="3"/>
        <v>1</v>
      </c>
      <c r="L3480" s="18"/>
    </row>
    <row r="3481">
      <c r="A3481" s="2">
        <f>IFERROR(__xludf.DUMMYFUNCTION("""COMPUTED_VALUE"""),104678.0)</f>
        <v>104678</v>
      </c>
      <c r="B3481" s="2">
        <f>IFERROR(__xludf.DUMMYFUNCTION("""COMPUTED_VALUE"""),0.0)</f>
        <v>0</v>
      </c>
      <c r="C3481" s="2">
        <f>IFERROR(__xludf.DUMMYFUNCTION("""COMPUTED_VALUE"""),915.0)</f>
        <v>915</v>
      </c>
      <c r="D3481" s="3">
        <f>IFERROR(__xludf.DUMMYFUNCTION("""COMPUTED_VALUE"""),56.0)</f>
        <v>56</v>
      </c>
      <c r="E3481" s="1" t="str">
        <f t="array" ref="E3481">_xlfn.XLOOKUP(A3481,Product!A:A,Product!B:B,"Bulunamadı")</f>
        <v>Arts</v>
      </c>
      <c r="F3481" s="1" t="str">
        <f t="array" ref="F3481">_xlfn.XLOOKUP(A3481,Product!A:A,Product!C:C,"Bulunamadı")</f>
        <v>International Law</v>
      </c>
      <c r="G3481" s="2" t="str">
        <f t="array" ref="G3481">_xlfn.XLOOKUP(A3482,Product!A:A,Product!D:D,"Bulunamadı")</f>
        <v>Rivergate Books</v>
      </c>
      <c r="H3481" s="2">
        <f t="array" ref="H3481">_xlfn.XLOOKUP(A3483,Product!A:A,Product!E:E,"Bulunamadı")</f>
        <v>13.01</v>
      </c>
      <c r="I3481" s="2" t="str">
        <f t="shared" si="1"/>
        <v>104678 - Arts - International Law</v>
      </c>
      <c r="J3481" s="2">
        <f t="shared" si="2"/>
        <v>728.56</v>
      </c>
      <c r="K3481" s="17">
        <f t="shared" si="3"/>
        <v>1</v>
      </c>
      <c r="L3481" s="18"/>
    </row>
    <row r="3482">
      <c r="A3482" s="2">
        <f>IFERROR(__xludf.DUMMYFUNCTION("""COMPUTED_VALUE"""),71844.0)</f>
        <v>71844</v>
      </c>
      <c r="B3482" s="2">
        <f>IFERROR(__xludf.DUMMYFUNCTION("""COMPUTED_VALUE"""),1.0)</f>
        <v>1</v>
      </c>
      <c r="C3482" s="2">
        <f>IFERROR(__xludf.DUMMYFUNCTION("""COMPUTED_VALUE"""),155.0)</f>
        <v>155</v>
      </c>
      <c r="D3482" s="3">
        <f>IFERROR(__xludf.DUMMYFUNCTION("""COMPUTED_VALUE"""),116.0)</f>
        <v>116</v>
      </c>
      <c r="E3482" s="1" t="str">
        <f t="array" ref="E3482">_xlfn.XLOOKUP(A3482,Product!A:A,Product!B:B,"Bulunamadı")</f>
        <v>Arts</v>
      </c>
      <c r="F3482" s="1" t="str">
        <f t="array" ref="F3482">_xlfn.XLOOKUP(A3482,Product!A:A,Product!C:C,"Bulunamadı")</f>
        <v>International Law</v>
      </c>
      <c r="G3482" s="2" t="str">
        <f t="array" ref="G3482">_xlfn.XLOOKUP(A3483,Product!A:A,Product!D:D,"Bulunamadı")</f>
        <v>Irongate Press</v>
      </c>
      <c r="H3482" s="2">
        <f t="array" ref="H3482">_xlfn.XLOOKUP(A3484,Product!A:A,Product!E:E,"Bulunamadı")</f>
        <v>13.06</v>
      </c>
      <c r="I3482" s="2" t="str">
        <f t="shared" si="1"/>
        <v>71844 - Arts - International Law</v>
      </c>
      <c r="J3482" s="2">
        <f t="shared" si="2"/>
        <v>1514.96</v>
      </c>
      <c r="K3482" s="17">
        <f t="shared" si="3"/>
        <v>1</v>
      </c>
      <c r="L3482" s="18"/>
    </row>
    <row r="3483" hidden="1">
      <c r="A3483" s="2">
        <f>IFERROR(__xludf.DUMMYFUNCTION("""COMPUTED_VALUE"""),42287.0)</f>
        <v>42287</v>
      </c>
      <c r="B3483" s="2">
        <f>IFERROR(__xludf.DUMMYFUNCTION("""COMPUTED_VALUE"""),0.0)</f>
        <v>0</v>
      </c>
      <c r="C3483" s="2">
        <f>IFERROR(__xludf.DUMMYFUNCTION("""COMPUTED_VALUE"""),937.0)</f>
        <v>937</v>
      </c>
      <c r="D3483" s="3">
        <f>IFERROR(__xludf.DUMMYFUNCTION("""COMPUTED_VALUE"""),615.0)</f>
        <v>615</v>
      </c>
      <c r="E3483" s="1" t="str">
        <f t="array" ref="E3483">_xlfn.XLOOKUP(A3483,Product!A:A,Product!B:B,"Bulunamadı")</f>
        <v>Medical</v>
      </c>
      <c r="F3483" s="1" t="str">
        <f t="array" ref="F3483">_xlfn.XLOOKUP(A3483,Product!A:A,Product!C:C,"Bulunamadı")</f>
        <v>Human Rights Law</v>
      </c>
      <c r="G3483" s="2" t="str">
        <f t="array" ref="G3483">_xlfn.XLOOKUP(A3484,Product!A:A,Product!D:D,"Bulunamadı")</f>
        <v>Irongate Press</v>
      </c>
      <c r="H3483" s="2">
        <f t="array" ref="H3483">_xlfn.XLOOKUP(A3485,Product!A:A,Product!E:E,"Bulunamadı")</f>
        <v>9.28</v>
      </c>
      <c r="I3483" s="2" t="str">
        <f t="shared" si="1"/>
        <v>42287 - Medical - Human Rights Law</v>
      </c>
      <c r="J3483" s="2">
        <f t="shared" si="2"/>
        <v>5707.2</v>
      </c>
      <c r="K3483" s="17">
        <f t="shared" si="3"/>
        <v>1</v>
      </c>
      <c r="L3483" s="18"/>
    </row>
    <row r="3484" hidden="1">
      <c r="A3484" s="2">
        <f>IFERROR(__xludf.DUMMYFUNCTION("""COMPUTED_VALUE"""),116678.0)</f>
        <v>116678</v>
      </c>
      <c r="B3484" s="2">
        <f>IFERROR(__xludf.DUMMYFUNCTION("""COMPUTED_VALUE"""),1.0)</f>
        <v>1</v>
      </c>
      <c r="C3484" s="2">
        <f>IFERROR(__xludf.DUMMYFUNCTION("""COMPUTED_VALUE"""),97.0)</f>
        <v>97</v>
      </c>
      <c r="D3484" s="3">
        <f>IFERROR(__xludf.DUMMYFUNCTION("""COMPUTED_VALUE"""),49.0)</f>
        <v>49</v>
      </c>
      <c r="E3484" s="1" t="str">
        <f t="array" ref="E3484">_xlfn.XLOOKUP(A3484,Product!A:A,Product!B:B,"Bulunamadı")</f>
        <v>Medical</v>
      </c>
      <c r="F3484" s="1" t="str">
        <f t="array" ref="F3484">_xlfn.XLOOKUP(A3484,Product!A:A,Product!C:C,"Bulunamadı")</f>
        <v>Human Rights Law</v>
      </c>
      <c r="G3484" s="2" t="str">
        <f t="array" ref="G3484">_xlfn.XLOOKUP(A3485,Product!A:A,Product!D:D,"Bulunamadı")</f>
        <v>Irongate Press</v>
      </c>
      <c r="H3484" s="2">
        <f t="array" ref="H3484">_xlfn.XLOOKUP(A3486,Product!A:A,Product!E:E,"Bulunamadı")</f>
        <v>13.76</v>
      </c>
      <c r="I3484" s="2" t="str">
        <f t="shared" si="1"/>
        <v>116678 - Medical - Human Rights Law</v>
      </c>
      <c r="J3484" s="2">
        <f t="shared" si="2"/>
        <v>674.24</v>
      </c>
      <c r="K3484" s="17">
        <f t="shared" si="3"/>
        <v>1</v>
      </c>
      <c r="L3484" s="18"/>
    </row>
    <row r="3485" hidden="1">
      <c r="A3485" s="2">
        <f>IFERROR(__xludf.DUMMYFUNCTION("""COMPUTED_VALUE"""),116845.0)</f>
        <v>116845</v>
      </c>
      <c r="B3485" s="2">
        <f>IFERROR(__xludf.DUMMYFUNCTION("""COMPUTED_VALUE"""),1.0)</f>
        <v>1</v>
      </c>
      <c r="C3485" s="2">
        <f>IFERROR(__xludf.DUMMYFUNCTION("""COMPUTED_VALUE"""),516.0)</f>
        <v>516</v>
      </c>
      <c r="D3485" s="3">
        <f>IFERROR(__xludf.DUMMYFUNCTION("""COMPUTED_VALUE"""),81.0)</f>
        <v>81</v>
      </c>
      <c r="E3485" s="1" t="str">
        <f t="array" ref="E3485">_xlfn.XLOOKUP(A3485,Product!A:A,Product!B:B,"Bulunamadı")</f>
        <v>Medical</v>
      </c>
      <c r="F3485" s="1" t="str">
        <f t="array" ref="F3485">_xlfn.XLOOKUP(A3485,Product!A:A,Product!C:C,"Bulunamadı")</f>
        <v>Human Rights Law</v>
      </c>
      <c r="G3485" s="2" t="str">
        <f t="array" ref="G3485">_xlfn.XLOOKUP(A3486,Product!A:A,Product!D:D,"Bulunamadı")</f>
        <v>Irongate Press</v>
      </c>
      <c r="H3485" s="2">
        <f t="array" ref="H3485">_xlfn.XLOOKUP(A3487,Product!A:A,Product!E:E,"Bulunamadı")</f>
        <v>10.53</v>
      </c>
      <c r="I3485" s="2" t="str">
        <f t="shared" si="1"/>
        <v>116845 - Medical - Human Rights Law</v>
      </c>
      <c r="J3485" s="2">
        <f t="shared" si="2"/>
        <v>852.93</v>
      </c>
      <c r="K3485" s="17">
        <f t="shared" si="3"/>
        <v>1</v>
      </c>
      <c r="L3485" s="18"/>
    </row>
    <row r="3486" hidden="1">
      <c r="A3486" s="2">
        <f>IFERROR(__xludf.DUMMYFUNCTION("""COMPUTED_VALUE"""),114252.0)</f>
        <v>114252</v>
      </c>
      <c r="B3486" s="2">
        <f>IFERROR(__xludf.DUMMYFUNCTION("""COMPUTED_VALUE"""),1.0)</f>
        <v>1</v>
      </c>
      <c r="C3486" s="2">
        <f>IFERROR(__xludf.DUMMYFUNCTION("""COMPUTED_VALUE"""),509.0)</f>
        <v>509</v>
      </c>
      <c r="D3486" s="3">
        <f>IFERROR(__xludf.DUMMYFUNCTION("""COMPUTED_VALUE"""),148.0)</f>
        <v>148</v>
      </c>
      <c r="E3486" s="1" t="str">
        <f t="array" ref="E3486">_xlfn.XLOOKUP(A3486,Product!A:A,Product!B:B,"Bulunamadı")</f>
        <v>Medical</v>
      </c>
      <c r="F3486" s="1" t="str">
        <f t="array" ref="F3486">_xlfn.XLOOKUP(A3486,Product!A:A,Product!C:C,"Bulunamadı")</f>
        <v>Human Rights Law</v>
      </c>
      <c r="G3486" s="2" t="str">
        <f t="array" ref="G3486">_xlfn.XLOOKUP(A3487,Product!A:A,Product!D:D,"Bulunamadı")</f>
        <v>Irongate Press</v>
      </c>
      <c r="H3486" s="2">
        <f t="array" ref="H3486">_xlfn.XLOOKUP(A3488,Product!A:A,Product!E:E,"Bulunamadı")</f>
        <v>14.51</v>
      </c>
      <c r="I3486" s="2" t="str">
        <f t="shared" si="1"/>
        <v>114252 - Medical - Human Rights Law</v>
      </c>
      <c r="J3486" s="2">
        <f t="shared" si="2"/>
        <v>2147.48</v>
      </c>
      <c r="K3486" s="17">
        <f t="shared" si="3"/>
        <v>1</v>
      </c>
      <c r="L3486" s="18"/>
    </row>
    <row r="3487" hidden="1">
      <c r="A3487" s="2">
        <f>IFERROR(__xludf.DUMMYFUNCTION("""COMPUTED_VALUE"""),117595.0)</f>
        <v>117595</v>
      </c>
      <c r="B3487" s="2">
        <f>IFERROR(__xludf.DUMMYFUNCTION("""COMPUTED_VALUE"""),0.0)</f>
        <v>0</v>
      </c>
      <c r="C3487" s="2">
        <f>IFERROR(__xludf.DUMMYFUNCTION("""COMPUTED_VALUE"""),612.0)</f>
        <v>612</v>
      </c>
      <c r="D3487" s="3">
        <f>IFERROR(__xludf.DUMMYFUNCTION("""COMPUTED_VALUE"""),558.0)</f>
        <v>558</v>
      </c>
      <c r="E3487" s="1" t="str">
        <f t="array" ref="E3487">_xlfn.XLOOKUP(A3487,Product!A:A,Product!B:B,"Bulunamadı")</f>
        <v>Medical</v>
      </c>
      <c r="F3487" s="1" t="str">
        <f t="array" ref="F3487">_xlfn.XLOOKUP(A3487,Product!A:A,Product!C:C,"Bulunamadı")</f>
        <v>Human Rights Law</v>
      </c>
      <c r="G3487" s="2" t="str">
        <f t="array" ref="G3487">_xlfn.XLOOKUP(A3488,Product!A:A,Product!D:D,"Bulunamadı")</f>
        <v>Irongate Press</v>
      </c>
      <c r="H3487" s="2">
        <f t="array" ref="H3487">_xlfn.XLOOKUP(A3489,Product!A:A,Product!E:E,"Bulunamadı")</f>
        <v>4.26</v>
      </c>
      <c r="I3487" s="2" t="str">
        <f t="shared" si="1"/>
        <v>117595 - Medical - Human Rights Law</v>
      </c>
      <c r="J3487" s="2">
        <f t="shared" si="2"/>
        <v>2377.08</v>
      </c>
      <c r="K3487" s="17">
        <f t="shared" si="3"/>
        <v>1</v>
      </c>
      <c r="L3487" s="18"/>
    </row>
    <row r="3488" hidden="1">
      <c r="A3488" s="2">
        <f>IFERROR(__xludf.DUMMYFUNCTION("""COMPUTED_VALUE"""),109579.0)</f>
        <v>109579</v>
      </c>
      <c r="B3488" s="2">
        <f>IFERROR(__xludf.DUMMYFUNCTION("""COMPUTED_VALUE"""),0.0)</f>
        <v>0</v>
      </c>
      <c r="C3488" s="2">
        <f>IFERROR(__xludf.DUMMYFUNCTION("""COMPUTED_VALUE"""),869.0)</f>
        <v>869</v>
      </c>
      <c r="D3488" s="3">
        <f>IFERROR(__xludf.DUMMYFUNCTION("""COMPUTED_VALUE"""),529.0)</f>
        <v>529</v>
      </c>
      <c r="E3488" s="1" t="str">
        <f t="array" ref="E3488">_xlfn.XLOOKUP(A3488,Product!A:A,Product!B:B,"Bulunamadı")</f>
        <v>Medical</v>
      </c>
      <c r="F3488" s="1" t="str">
        <f t="array" ref="F3488">_xlfn.XLOOKUP(A3488,Product!A:A,Product!C:C,"Bulunamadı")</f>
        <v>Human Rights Law</v>
      </c>
      <c r="G3488" s="2" t="str">
        <f t="array" ref="G3488">_xlfn.XLOOKUP(A3489,Product!A:A,Product!D:D,"Bulunamadı")</f>
        <v>Irongate Press</v>
      </c>
      <c r="H3488" s="2">
        <f t="array" ref="H3488">_xlfn.XLOOKUP(A3490,Product!A:A,Product!E:E,"Bulunamadı")</f>
        <v>5.02</v>
      </c>
      <c r="I3488" s="2" t="str">
        <f t="shared" si="1"/>
        <v>109579 - Medical - Human Rights Law</v>
      </c>
      <c r="J3488" s="2">
        <f t="shared" si="2"/>
        <v>2655.58</v>
      </c>
      <c r="K3488" s="17">
        <f t="shared" si="3"/>
        <v>1</v>
      </c>
      <c r="L3488" s="18"/>
    </row>
    <row r="3489" hidden="1">
      <c r="A3489" s="2">
        <f>IFERROR(__xludf.DUMMYFUNCTION("""COMPUTED_VALUE"""),117597.0)</f>
        <v>117597</v>
      </c>
      <c r="B3489" s="2">
        <f>IFERROR(__xludf.DUMMYFUNCTION("""COMPUTED_VALUE"""),0.0)</f>
        <v>0</v>
      </c>
      <c r="C3489" s="2">
        <f>IFERROR(__xludf.DUMMYFUNCTION("""COMPUTED_VALUE"""),941.0)</f>
        <v>941</v>
      </c>
      <c r="D3489" s="3">
        <f>IFERROR(__xludf.DUMMYFUNCTION("""COMPUTED_VALUE"""),245.0)</f>
        <v>245</v>
      </c>
      <c r="E3489" s="1" t="str">
        <f t="array" ref="E3489">_xlfn.XLOOKUP(A3489,Product!A:A,Product!B:B,"Bulunamadı")</f>
        <v>Medical</v>
      </c>
      <c r="F3489" s="1" t="str">
        <f t="array" ref="F3489">_xlfn.XLOOKUP(A3489,Product!A:A,Product!C:C,"Bulunamadı")</f>
        <v>Human Rights Law</v>
      </c>
      <c r="G3489" s="2" t="str">
        <f t="array" ref="G3489">_xlfn.XLOOKUP(A3490,Product!A:A,Product!D:D,"Bulunamadı")</f>
        <v>Irongate Press</v>
      </c>
      <c r="H3489" s="2">
        <f t="array" ref="H3489">_xlfn.XLOOKUP(A3491,Product!A:A,Product!E:E,"Bulunamadı")</f>
        <v>16.54</v>
      </c>
      <c r="I3489" s="2" t="str">
        <f t="shared" si="1"/>
        <v>117597 - Medical - Human Rights Law</v>
      </c>
      <c r="J3489" s="2">
        <f t="shared" si="2"/>
        <v>4052.3</v>
      </c>
      <c r="K3489" s="17">
        <f t="shared" si="3"/>
        <v>1</v>
      </c>
      <c r="L3489" s="18"/>
    </row>
    <row r="3490" hidden="1">
      <c r="A3490" s="2">
        <f>IFERROR(__xludf.DUMMYFUNCTION("""COMPUTED_VALUE"""),14401.0)</f>
        <v>14401</v>
      </c>
      <c r="B3490" s="2">
        <f>IFERROR(__xludf.DUMMYFUNCTION("""COMPUTED_VALUE"""),1.0)</f>
        <v>1</v>
      </c>
      <c r="C3490" s="2">
        <f>IFERROR(__xludf.DUMMYFUNCTION("""COMPUTED_VALUE"""),435.0)</f>
        <v>435</v>
      </c>
      <c r="D3490" s="3">
        <f>IFERROR(__xludf.DUMMYFUNCTION("""COMPUTED_VALUE"""),380.0)</f>
        <v>380</v>
      </c>
      <c r="E3490" s="1" t="str">
        <f t="array" ref="E3490">_xlfn.XLOOKUP(A3490,Product!A:A,Product!B:B,"Bulunamadı")</f>
        <v>Medical</v>
      </c>
      <c r="F3490" s="1" t="str">
        <f t="array" ref="F3490">_xlfn.XLOOKUP(A3490,Product!A:A,Product!C:C,"Bulunamadı")</f>
        <v>Human Rights Law</v>
      </c>
      <c r="G3490" s="2" t="str">
        <f t="array" ref="G3490">_xlfn.XLOOKUP(A3491,Product!A:A,Product!D:D,"Bulunamadı")</f>
        <v>Irongate Press</v>
      </c>
      <c r="H3490" s="2">
        <f t="array" ref="H3490">_xlfn.XLOOKUP(A3492,Product!A:A,Product!E:E,"Bulunamadı")</f>
        <v>8.76</v>
      </c>
      <c r="I3490" s="2" t="str">
        <f t="shared" si="1"/>
        <v>14401 - Medical - Human Rights Law</v>
      </c>
      <c r="J3490" s="2">
        <f t="shared" si="2"/>
        <v>3328.8</v>
      </c>
      <c r="K3490" s="17">
        <f t="shared" si="3"/>
        <v>1</v>
      </c>
      <c r="L3490" s="18"/>
    </row>
    <row r="3491" hidden="1">
      <c r="A3491" s="2">
        <f>IFERROR(__xludf.DUMMYFUNCTION("""COMPUTED_VALUE"""),109290.0)</f>
        <v>109290</v>
      </c>
      <c r="B3491" s="2">
        <f>IFERROR(__xludf.DUMMYFUNCTION("""COMPUTED_VALUE"""),0.0)</f>
        <v>0</v>
      </c>
      <c r="C3491" s="2">
        <f>IFERROR(__xludf.DUMMYFUNCTION("""COMPUTED_VALUE"""),541.0)</f>
        <v>541</v>
      </c>
      <c r="D3491" s="3">
        <f>IFERROR(__xludf.DUMMYFUNCTION("""COMPUTED_VALUE"""),473.0)</f>
        <v>473</v>
      </c>
      <c r="E3491" s="1" t="str">
        <f t="array" ref="E3491">_xlfn.XLOOKUP(A3491,Product!A:A,Product!B:B,"Bulunamadı")</f>
        <v>Medical</v>
      </c>
      <c r="F3491" s="1" t="str">
        <f t="array" ref="F3491">_xlfn.XLOOKUP(A3491,Product!A:A,Product!C:C,"Bulunamadı")</f>
        <v>Human Rights Law</v>
      </c>
      <c r="G3491" s="2" t="str">
        <f t="array" ref="G3491">_xlfn.XLOOKUP(A3492,Product!A:A,Product!D:D,"Bulunamadı")</f>
        <v>Irongate Press</v>
      </c>
      <c r="H3491" s="2">
        <f t="array" ref="H3491">_xlfn.XLOOKUP(A3493,Product!A:A,Product!E:E,"Bulunamadı")</f>
        <v>11.58</v>
      </c>
      <c r="I3491" s="2" t="str">
        <f t="shared" si="1"/>
        <v>109290 - Medical - Human Rights Law</v>
      </c>
      <c r="J3491" s="2">
        <f t="shared" si="2"/>
        <v>5477.34</v>
      </c>
      <c r="K3491" s="17">
        <f t="shared" si="3"/>
        <v>1</v>
      </c>
      <c r="L3491" s="18"/>
    </row>
    <row r="3492" hidden="1">
      <c r="A3492" s="2">
        <f>IFERROR(__xludf.DUMMYFUNCTION("""COMPUTED_VALUE"""),117665.0)</f>
        <v>117665</v>
      </c>
      <c r="B3492" s="2">
        <f>IFERROR(__xludf.DUMMYFUNCTION("""COMPUTED_VALUE"""),0.0)</f>
        <v>0</v>
      </c>
      <c r="C3492" s="2">
        <f>IFERROR(__xludf.DUMMYFUNCTION("""COMPUTED_VALUE"""),143.0)</f>
        <v>143</v>
      </c>
      <c r="D3492" s="3">
        <f>IFERROR(__xludf.DUMMYFUNCTION("""COMPUTED_VALUE"""),4.0)</f>
        <v>4</v>
      </c>
      <c r="E3492" s="1" t="str">
        <f t="array" ref="E3492">_xlfn.XLOOKUP(A3492,Product!A:A,Product!B:B,"Bulunamadı")</f>
        <v>Medical</v>
      </c>
      <c r="F3492" s="1" t="str">
        <f t="array" ref="F3492">_xlfn.XLOOKUP(A3492,Product!A:A,Product!C:C,"Bulunamadı")</f>
        <v>Human Rights Law</v>
      </c>
      <c r="G3492" s="2" t="str">
        <f t="array" ref="G3492">_xlfn.XLOOKUP(A3493,Product!A:A,Product!D:D,"Bulunamadı")</f>
        <v>Irongate Press</v>
      </c>
      <c r="H3492" s="2">
        <f t="array" ref="H3492">_xlfn.XLOOKUP(A3494,Product!A:A,Product!E:E,"Bulunamadı")</f>
        <v>11.71</v>
      </c>
      <c r="I3492" s="2" t="str">
        <f t="shared" si="1"/>
        <v>117665 - Medical - Human Rights Law</v>
      </c>
      <c r="J3492" s="2">
        <f t="shared" si="2"/>
        <v>46.84</v>
      </c>
      <c r="K3492" s="17">
        <f t="shared" si="3"/>
        <v>1</v>
      </c>
      <c r="L3492" s="18"/>
    </row>
    <row r="3493" hidden="1">
      <c r="A3493" s="2">
        <f>IFERROR(__xludf.DUMMYFUNCTION("""COMPUTED_VALUE"""),117681.0)</f>
        <v>117681</v>
      </c>
      <c r="B3493" s="2">
        <f>IFERROR(__xludf.DUMMYFUNCTION("""COMPUTED_VALUE"""),0.0)</f>
        <v>0</v>
      </c>
      <c r="C3493" s="2">
        <f>IFERROR(__xludf.DUMMYFUNCTION("""COMPUTED_VALUE"""),501.0)</f>
        <v>501</v>
      </c>
      <c r="D3493" s="3">
        <f>IFERROR(__xludf.DUMMYFUNCTION("""COMPUTED_VALUE"""),203.0)</f>
        <v>203</v>
      </c>
      <c r="E3493" s="1" t="str">
        <f t="array" ref="E3493">_xlfn.XLOOKUP(A3493,Product!A:A,Product!B:B,"Bulunamadı")</f>
        <v>Medical</v>
      </c>
      <c r="F3493" s="1" t="str">
        <f t="array" ref="F3493">_xlfn.XLOOKUP(A3493,Product!A:A,Product!C:C,"Bulunamadı")</f>
        <v>Human Rights Law</v>
      </c>
      <c r="G3493" s="2" t="str">
        <f t="array" ref="G3493">_xlfn.XLOOKUP(A3494,Product!A:A,Product!D:D,"Bulunamadı")</f>
        <v>Irongate Press</v>
      </c>
      <c r="H3493" s="2">
        <f t="array" ref="H3493">_xlfn.XLOOKUP(A3495,Product!A:A,Product!E:E,"Bulunamadı")</f>
        <v>14.36</v>
      </c>
      <c r="I3493" s="2" t="str">
        <f t="shared" si="1"/>
        <v>117681 - Medical - Human Rights Law</v>
      </c>
      <c r="J3493" s="2">
        <f t="shared" si="2"/>
        <v>2915.08</v>
      </c>
      <c r="K3493" s="17">
        <f t="shared" si="3"/>
        <v>1</v>
      </c>
      <c r="L3493" s="18"/>
    </row>
    <row r="3494" hidden="1">
      <c r="A3494" s="2">
        <f>IFERROR(__xludf.DUMMYFUNCTION("""COMPUTED_VALUE"""),119406.0)</f>
        <v>119406</v>
      </c>
      <c r="B3494" s="2">
        <f>IFERROR(__xludf.DUMMYFUNCTION("""COMPUTED_VALUE"""),0.0)</f>
        <v>0</v>
      </c>
      <c r="C3494" s="2">
        <f>IFERROR(__xludf.DUMMYFUNCTION("""COMPUTED_VALUE"""),726.0)</f>
        <v>726</v>
      </c>
      <c r="D3494" s="3">
        <f>IFERROR(__xludf.DUMMYFUNCTION("""COMPUTED_VALUE"""),670.0)</f>
        <v>670</v>
      </c>
      <c r="E3494" s="1" t="str">
        <f t="array" ref="E3494">_xlfn.XLOOKUP(A3494,Product!A:A,Product!B:B,"Bulunamadı")</f>
        <v>Medical</v>
      </c>
      <c r="F3494" s="1" t="str">
        <f t="array" ref="F3494">_xlfn.XLOOKUP(A3494,Product!A:A,Product!C:C,"Bulunamadı")</f>
        <v>Human Rights Law</v>
      </c>
      <c r="G3494" s="2" t="str">
        <f t="array" ref="G3494">_xlfn.XLOOKUP(A3495,Product!A:A,Product!D:D,"Bulunamadı")</f>
        <v>Silverforge Publishing</v>
      </c>
      <c r="H3494" s="2">
        <f t="array" ref="H3494">_xlfn.XLOOKUP(A3496,Product!A:A,Product!E:E,"Bulunamadı")</f>
        <v>14.53</v>
      </c>
      <c r="I3494" s="2" t="str">
        <f t="shared" si="1"/>
        <v>119406 - Medical - Human Rights Law</v>
      </c>
      <c r="J3494" s="2">
        <f t="shared" si="2"/>
        <v>9735.1</v>
      </c>
      <c r="K3494" s="17">
        <f t="shared" si="3"/>
        <v>1</v>
      </c>
      <c r="L3494" s="18"/>
    </row>
    <row r="3495" hidden="1">
      <c r="A3495" s="2">
        <f>IFERROR(__xludf.DUMMYFUNCTION("""COMPUTED_VALUE"""),117676.0)</f>
        <v>117676</v>
      </c>
      <c r="B3495" s="2">
        <f>IFERROR(__xludf.DUMMYFUNCTION("""COMPUTED_VALUE"""),0.0)</f>
        <v>0</v>
      </c>
      <c r="C3495" s="2">
        <f>IFERROR(__xludf.DUMMYFUNCTION("""COMPUTED_VALUE"""),727.0)</f>
        <v>727</v>
      </c>
      <c r="D3495" s="3">
        <f>IFERROR(__xludf.DUMMYFUNCTION("""COMPUTED_VALUE"""),345.0)</f>
        <v>345</v>
      </c>
      <c r="E3495" s="1" t="str">
        <f t="array" ref="E3495">_xlfn.XLOOKUP(A3495,Product!A:A,Product!B:B,"Bulunamadı")</f>
        <v>Medical</v>
      </c>
      <c r="F3495" s="1" t="str">
        <f t="array" ref="F3495">_xlfn.XLOOKUP(A3495,Product!A:A,Product!C:C,"Bulunamadı")</f>
        <v>Human Rights Law</v>
      </c>
      <c r="G3495" s="2" t="str">
        <f t="array" ref="G3495">_xlfn.XLOOKUP(A3496,Product!A:A,Product!D:D,"Bulunamadı")</f>
        <v>Silverforge Publishing</v>
      </c>
      <c r="H3495" s="2">
        <f t="array" ref="H3495">_xlfn.XLOOKUP(A3497,Product!A:A,Product!E:E,"Bulunamadı")</f>
        <v>13.54</v>
      </c>
      <c r="I3495" s="2" t="str">
        <f t="shared" si="1"/>
        <v>117676 - Medical - Human Rights Law</v>
      </c>
      <c r="J3495" s="2">
        <f t="shared" si="2"/>
        <v>4671.3</v>
      </c>
      <c r="K3495" s="17">
        <f t="shared" si="3"/>
        <v>1</v>
      </c>
      <c r="L3495" s="18"/>
    </row>
    <row r="3496" hidden="1">
      <c r="A3496" s="2">
        <f>IFERROR(__xludf.DUMMYFUNCTION("""COMPUTED_VALUE"""),109571.0)</f>
        <v>109571</v>
      </c>
      <c r="B3496" s="2">
        <f>IFERROR(__xludf.DUMMYFUNCTION("""COMPUTED_VALUE"""),1.0)</f>
        <v>1</v>
      </c>
      <c r="C3496" s="2">
        <f>IFERROR(__xludf.DUMMYFUNCTION("""COMPUTED_VALUE"""),397.0)</f>
        <v>397</v>
      </c>
      <c r="D3496" s="3">
        <f>IFERROR(__xludf.DUMMYFUNCTION("""COMPUTED_VALUE"""),233.0)</f>
        <v>233</v>
      </c>
      <c r="E3496" s="1" t="str">
        <f t="array" ref="E3496">_xlfn.XLOOKUP(A3496,Product!A:A,Product!B:B,"Bulunamadı")</f>
        <v>Medical</v>
      </c>
      <c r="F3496" s="1" t="str">
        <f t="array" ref="F3496">_xlfn.XLOOKUP(A3496,Product!A:A,Product!C:C,"Bulunamadı")</f>
        <v>Human Rights Law</v>
      </c>
      <c r="G3496" s="2" t="str">
        <f t="array" ref="G3496">_xlfn.XLOOKUP(A3497,Product!A:A,Product!D:D,"Bulunamadı")</f>
        <v>Silverforge Publishing</v>
      </c>
      <c r="H3496" s="2">
        <f t="array" ref="H3496">_xlfn.XLOOKUP(A3498,Product!A:A,Product!E:E,"Bulunamadı")</f>
        <v>6.35</v>
      </c>
      <c r="I3496" s="2" t="str">
        <f t="shared" si="1"/>
        <v>109571 - Medical - Human Rights Law</v>
      </c>
      <c r="J3496" s="2">
        <f t="shared" si="2"/>
        <v>1479.55</v>
      </c>
      <c r="K3496" s="17">
        <f t="shared" si="3"/>
        <v>1</v>
      </c>
      <c r="L3496" s="18"/>
    </row>
    <row r="3497" hidden="1">
      <c r="A3497" s="2">
        <f>IFERROR(__xludf.DUMMYFUNCTION("""COMPUTED_VALUE"""),116676.0)</f>
        <v>116676</v>
      </c>
      <c r="B3497" s="2">
        <f>IFERROR(__xludf.DUMMYFUNCTION("""COMPUTED_VALUE"""),0.0)</f>
        <v>0</v>
      </c>
      <c r="C3497" s="2">
        <f>IFERROR(__xludf.DUMMYFUNCTION("""COMPUTED_VALUE"""),107.0)</f>
        <v>107</v>
      </c>
      <c r="D3497" s="3">
        <f>IFERROR(__xludf.DUMMYFUNCTION("""COMPUTED_VALUE"""),94.0)</f>
        <v>94</v>
      </c>
      <c r="E3497" s="1" t="str">
        <f t="array" ref="E3497">_xlfn.XLOOKUP(A3497,Product!A:A,Product!B:B,"Bulunamadı")</f>
        <v>Medical</v>
      </c>
      <c r="F3497" s="1" t="str">
        <f t="array" ref="F3497">_xlfn.XLOOKUP(A3497,Product!A:A,Product!C:C,"Bulunamadı")</f>
        <v>Human Rights Law</v>
      </c>
      <c r="G3497" s="2" t="str">
        <f t="array" ref="G3497">_xlfn.XLOOKUP(A3498,Product!A:A,Product!D:D,"Bulunamadı")</f>
        <v>Silverforge Publishing</v>
      </c>
      <c r="H3497" s="2">
        <f t="array" ref="H3497">_xlfn.XLOOKUP(A3499,Product!A:A,Product!E:E,"Bulunamadı")</f>
        <v>9.71</v>
      </c>
      <c r="I3497" s="2" t="str">
        <f t="shared" si="1"/>
        <v>116676 - Medical - Human Rights Law</v>
      </c>
      <c r="J3497" s="2">
        <f t="shared" si="2"/>
        <v>912.74</v>
      </c>
      <c r="K3497" s="17">
        <f t="shared" si="3"/>
        <v>1</v>
      </c>
      <c r="L3497" s="18"/>
    </row>
    <row r="3498" hidden="1">
      <c r="A3498" s="2">
        <f>IFERROR(__xludf.DUMMYFUNCTION("""COMPUTED_VALUE"""),116816.0)</f>
        <v>116816</v>
      </c>
      <c r="B3498" s="2">
        <f>IFERROR(__xludf.DUMMYFUNCTION("""COMPUTED_VALUE"""),0.0)</f>
        <v>0</v>
      </c>
      <c r="C3498" s="2">
        <f>IFERROR(__xludf.DUMMYFUNCTION("""COMPUTED_VALUE"""),187.0)</f>
        <v>187</v>
      </c>
      <c r="D3498" s="3">
        <f>IFERROR(__xludf.DUMMYFUNCTION("""COMPUTED_VALUE"""),109.0)</f>
        <v>109</v>
      </c>
      <c r="E3498" s="1" t="str">
        <f t="array" ref="E3498">_xlfn.XLOOKUP(A3498,Product!A:A,Product!B:B,"Bulunamadı")</f>
        <v>Medical</v>
      </c>
      <c r="F3498" s="1" t="str">
        <f t="array" ref="F3498">_xlfn.XLOOKUP(A3498,Product!A:A,Product!C:C,"Bulunamadı")</f>
        <v>Human Rights Law</v>
      </c>
      <c r="G3498" s="2" t="str">
        <f t="array" ref="G3498">_xlfn.XLOOKUP(A3499,Product!A:A,Product!D:D,"Bulunamadı")</f>
        <v>Silverforge Publishing</v>
      </c>
      <c r="H3498" s="2">
        <f t="array" ref="H3498">_xlfn.XLOOKUP(A3500,Product!A:A,Product!E:E,"Bulunamadı")</f>
        <v>17.57</v>
      </c>
      <c r="I3498" s="2" t="str">
        <f t="shared" si="1"/>
        <v>116816 - Medical - Human Rights Law</v>
      </c>
      <c r="J3498" s="2">
        <f t="shared" si="2"/>
        <v>1915.13</v>
      </c>
      <c r="K3498" s="17">
        <f t="shared" si="3"/>
        <v>1</v>
      </c>
      <c r="L3498" s="18"/>
    </row>
    <row r="3499" hidden="1">
      <c r="A3499" s="2">
        <f>IFERROR(__xludf.DUMMYFUNCTION("""COMPUTED_VALUE"""),117663.0)</f>
        <v>117663</v>
      </c>
      <c r="B3499" s="2">
        <f>IFERROR(__xludf.DUMMYFUNCTION("""COMPUTED_VALUE"""),1.0)</f>
        <v>1</v>
      </c>
      <c r="C3499" s="2">
        <f>IFERROR(__xludf.DUMMYFUNCTION("""COMPUTED_VALUE"""),562.0)</f>
        <v>562</v>
      </c>
      <c r="D3499" s="3">
        <f>IFERROR(__xludf.DUMMYFUNCTION("""COMPUTED_VALUE"""),43.0)</f>
        <v>43</v>
      </c>
      <c r="E3499" s="1" t="str">
        <f t="array" ref="E3499">_xlfn.XLOOKUP(A3499,Product!A:A,Product!B:B,"Bulunamadı")</f>
        <v>Medical</v>
      </c>
      <c r="F3499" s="1" t="str">
        <f t="array" ref="F3499">_xlfn.XLOOKUP(A3499,Product!A:A,Product!C:C,"Bulunamadı")</f>
        <v>Human Rights Law</v>
      </c>
      <c r="G3499" s="2" t="str">
        <f t="array" ref="G3499">_xlfn.XLOOKUP(A3500,Product!A:A,Product!D:D,"Bulunamadı")</f>
        <v>Silverforge Publishing</v>
      </c>
      <c r="H3499" s="2">
        <f t="array" ref="H3499">_xlfn.XLOOKUP(A3501,Product!A:A,Product!E:E,"Bulunamadı")</f>
        <v>16.53</v>
      </c>
      <c r="I3499" s="2" t="str">
        <f t="shared" si="1"/>
        <v>117663 - Medical - Human Rights Law</v>
      </c>
      <c r="J3499" s="2">
        <f t="shared" si="2"/>
        <v>710.79</v>
      </c>
      <c r="K3499" s="17">
        <f t="shared" si="3"/>
        <v>1</v>
      </c>
      <c r="L3499" s="18"/>
    </row>
    <row r="3500" hidden="1">
      <c r="A3500" s="2">
        <f>IFERROR(__xludf.DUMMYFUNCTION("""COMPUTED_VALUE"""),117652.0)</f>
        <v>117652</v>
      </c>
      <c r="B3500" s="2">
        <f>IFERROR(__xludf.DUMMYFUNCTION("""COMPUTED_VALUE"""),0.0)</f>
        <v>0</v>
      </c>
      <c r="C3500" s="2">
        <f>IFERROR(__xludf.DUMMYFUNCTION("""COMPUTED_VALUE"""),562.0)</f>
        <v>562</v>
      </c>
      <c r="D3500" s="3">
        <f>IFERROR(__xludf.DUMMYFUNCTION("""COMPUTED_VALUE"""),504.0)</f>
        <v>504</v>
      </c>
      <c r="E3500" s="1" t="str">
        <f t="array" ref="E3500">_xlfn.XLOOKUP(A3500,Product!A:A,Product!B:B,"Bulunamadı")</f>
        <v>Medical</v>
      </c>
      <c r="F3500" s="1" t="str">
        <f t="array" ref="F3500">_xlfn.XLOOKUP(A3500,Product!A:A,Product!C:C,"Bulunamadı")</f>
        <v>Human Rights Law</v>
      </c>
      <c r="G3500" s="2" t="str">
        <f t="array" ref="G3500">_xlfn.XLOOKUP(A3501,Product!A:A,Product!D:D,"Bulunamadı")</f>
        <v>Northforge Books</v>
      </c>
      <c r="H3500" s="2">
        <f t="array" ref="H3500">_xlfn.XLOOKUP(A3502,Product!A:A,Product!E:E,"Bulunamadı")</f>
        <v>16.52</v>
      </c>
      <c r="I3500" s="2" t="str">
        <f t="shared" si="1"/>
        <v>117652 - Medical - Human Rights Law</v>
      </c>
      <c r="J3500" s="2">
        <f t="shared" si="2"/>
        <v>8326.08</v>
      </c>
      <c r="K3500" s="17">
        <f t="shared" si="3"/>
        <v>1</v>
      </c>
      <c r="L3500" s="18"/>
    </row>
    <row r="3501" hidden="1">
      <c r="A3501" s="2">
        <f>IFERROR(__xludf.DUMMYFUNCTION("""COMPUTED_VALUE"""),109289.0)</f>
        <v>109289</v>
      </c>
      <c r="B3501" s="2">
        <f>IFERROR(__xludf.DUMMYFUNCTION("""COMPUTED_VALUE"""),1.0)</f>
        <v>1</v>
      </c>
      <c r="C3501" s="2">
        <f>IFERROR(__xludf.DUMMYFUNCTION("""COMPUTED_VALUE"""),260.0)</f>
        <v>260</v>
      </c>
      <c r="D3501" s="3">
        <f>IFERROR(__xludf.DUMMYFUNCTION("""COMPUTED_VALUE"""),167.0)</f>
        <v>167</v>
      </c>
      <c r="E3501" s="1" t="str">
        <f t="array" ref="E3501">_xlfn.XLOOKUP(A3501,Product!A:A,Product!B:B,"Bulunamadı")</f>
        <v>Medical</v>
      </c>
      <c r="F3501" s="1" t="str">
        <f t="array" ref="F3501">_xlfn.XLOOKUP(A3501,Product!A:A,Product!C:C,"Bulunamadı")</f>
        <v>Human Rights Law</v>
      </c>
      <c r="G3501" s="2" t="str">
        <f t="array" ref="G3501">_xlfn.XLOOKUP(A3502,Product!A:A,Product!D:D,"Bulunamadı")</f>
        <v>Northforge Books</v>
      </c>
      <c r="H3501" s="2">
        <f t="array" ref="H3501">_xlfn.XLOOKUP(A3503,Product!A:A,Product!E:E,"Bulunamadı")</f>
        <v>13.74</v>
      </c>
      <c r="I3501" s="2" t="str">
        <f t="shared" si="1"/>
        <v>109289 - Medical - Human Rights Law</v>
      </c>
      <c r="J3501" s="2">
        <f t="shared" si="2"/>
        <v>2294.58</v>
      </c>
      <c r="K3501" s="17">
        <f t="shared" si="3"/>
        <v>1</v>
      </c>
      <c r="L3501" s="18"/>
    </row>
    <row r="3502" hidden="1">
      <c r="A3502" s="2">
        <f>IFERROR(__xludf.DUMMYFUNCTION("""COMPUTED_VALUE"""),117656.0)</f>
        <v>117656</v>
      </c>
      <c r="B3502" s="2">
        <f>IFERROR(__xludf.DUMMYFUNCTION("""COMPUTED_VALUE"""),0.0)</f>
        <v>0</v>
      </c>
      <c r="C3502" s="2">
        <f>IFERROR(__xludf.DUMMYFUNCTION("""COMPUTED_VALUE"""),438.0)</f>
        <v>438</v>
      </c>
      <c r="D3502" s="3">
        <f>IFERROR(__xludf.DUMMYFUNCTION("""COMPUTED_VALUE"""),135.0)</f>
        <v>135</v>
      </c>
      <c r="E3502" s="1" t="str">
        <f t="array" ref="E3502">_xlfn.XLOOKUP(A3502,Product!A:A,Product!B:B,"Bulunamadı")</f>
        <v>Medical</v>
      </c>
      <c r="F3502" s="1" t="str">
        <f t="array" ref="F3502">_xlfn.XLOOKUP(A3502,Product!A:A,Product!C:C,"Bulunamadı")</f>
        <v>Human Rights Law</v>
      </c>
      <c r="G3502" s="2" t="str">
        <f t="array" ref="G3502">_xlfn.XLOOKUP(A3503,Product!A:A,Product!D:D,"Bulunamadı")</f>
        <v>Northforge Books</v>
      </c>
      <c r="H3502" s="2">
        <f t="array" ref="H3502">_xlfn.XLOOKUP(A3504,Product!A:A,Product!E:E,"Bulunamadı")</f>
        <v>13.88</v>
      </c>
      <c r="I3502" s="2" t="str">
        <f t="shared" si="1"/>
        <v>117656 - Medical - Human Rights Law</v>
      </c>
      <c r="J3502" s="2">
        <f t="shared" si="2"/>
        <v>1873.8</v>
      </c>
      <c r="K3502" s="17">
        <f t="shared" si="3"/>
        <v>1</v>
      </c>
      <c r="L3502" s="18"/>
    </row>
    <row r="3503" hidden="1">
      <c r="A3503" s="2">
        <f>IFERROR(__xludf.DUMMYFUNCTION("""COMPUTED_VALUE"""),117677.0)</f>
        <v>117677</v>
      </c>
      <c r="B3503" s="2">
        <f>IFERROR(__xludf.DUMMYFUNCTION("""COMPUTED_VALUE"""),1.0)</f>
        <v>1</v>
      </c>
      <c r="C3503" s="2">
        <f>IFERROR(__xludf.DUMMYFUNCTION("""COMPUTED_VALUE"""),397.0)</f>
        <v>397</v>
      </c>
      <c r="D3503" s="3">
        <f>IFERROR(__xludf.DUMMYFUNCTION("""COMPUTED_VALUE"""),379.0)</f>
        <v>379</v>
      </c>
      <c r="E3503" s="1" t="str">
        <f t="array" ref="E3503">_xlfn.XLOOKUP(A3503,Product!A:A,Product!B:B,"Bulunamadı")</f>
        <v>Medical</v>
      </c>
      <c r="F3503" s="1" t="str">
        <f t="array" ref="F3503">_xlfn.XLOOKUP(A3503,Product!A:A,Product!C:C,"Bulunamadı")</f>
        <v>Human Rights Law</v>
      </c>
      <c r="G3503" s="2" t="str">
        <f t="array" ref="G3503">_xlfn.XLOOKUP(A3504,Product!A:A,Product!D:D,"Bulunamadı")</f>
        <v>Northforge Books</v>
      </c>
      <c r="H3503" s="2">
        <f t="array" ref="H3503">_xlfn.XLOOKUP(A3505,Product!A:A,Product!E:E,"Bulunamadı")</f>
        <v>8.5</v>
      </c>
      <c r="I3503" s="2" t="str">
        <f t="shared" si="1"/>
        <v>117677 - Medical - Human Rights Law</v>
      </c>
      <c r="J3503" s="2">
        <f t="shared" si="2"/>
        <v>3221.5</v>
      </c>
      <c r="K3503" s="17">
        <f t="shared" si="3"/>
        <v>1</v>
      </c>
      <c r="L3503" s="18"/>
    </row>
    <row r="3504" hidden="1">
      <c r="A3504" s="2">
        <f>IFERROR(__xludf.DUMMYFUNCTION("""COMPUTED_VALUE"""),116677.0)</f>
        <v>116677</v>
      </c>
      <c r="B3504" s="2">
        <f>IFERROR(__xludf.DUMMYFUNCTION("""COMPUTED_VALUE"""),1.0)</f>
        <v>1</v>
      </c>
      <c r="C3504" s="2">
        <f>IFERROR(__xludf.DUMMYFUNCTION("""COMPUTED_VALUE"""),0.0)</f>
        <v>0</v>
      </c>
      <c r="D3504" s="3">
        <f>IFERROR(__xludf.DUMMYFUNCTION("""COMPUTED_VALUE"""),0.0)</f>
        <v>0</v>
      </c>
      <c r="E3504" s="1" t="str">
        <f t="array" ref="E3504">_xlfn.XLOOKUP(A3504,Product!A:A,Product!B:B,"Bulunamadı")</f>
        <v>Medical</v>
      </c>
      <c r="F3504" s="1" t="str">
        <f t="array" ref="F3504">_xlfn.XLOOKUP(A3504,Product!A:A,Product!C:C,"Bulunamadı")</f>
        <v>Human Rights Law</v>
      </c>
      <c r="G3504" s="2" t="str">
        <f t="array" ref="G3504">_xlfn.XLOOKUP(A3505,Product!A:A,Product!D:D,"Bulunamadı")</f>
        <v>Northforge Books</v>
      </c>
      <c r="H3504" s="2">
        <f t="array" ref="H3504">_xlfn.XLOOKUP(A3506,Product!A:A,Product!E:E,"Bulunamadı")</f>
        <v>9.73</v>
      </c>
      <c r="I3504" s="2" t="str">
        <f t="shared" si="1"/>
        <v>116677 - Medical - Human Rights Law</v>
      </c>
      <c r="J3504" s="2">
        <f t="shared" si="2"/>
        <v>0</v>
      </c>
      <c r="K3504" s="17">
        <f t="shared" si="3"/>
        <v>0</v>
      </c>
      <c r="L3504" s="18"/>
    </row>
    <row r="3505" hidden="1">
      <c r="A3505" s="2">
        <f>IFERROR(__xludf.DUMMYFUNCTION("""COMPUTED_VALUE"""),117256.0)</f>
        <v>117256</v>
      </c>
      <c r="B3505" s="2">
        <f>IFERROR(__xludf.DUMMYFUNCTION("""COMPUTED_VALUE"""),1.0)</f>
        <v>1</v>
      </c>
      <c r="C3505" s="2">
        <f>IFERROR(__xludf.DUMMYFUNCTION("""COMPUTED_VALUE"""),732.0)</f>
        <v>732</v>
      </c>
      <c r="D3505" s="3">
        <f>IFERROR(__xludf.DUMMYFUNCTION("""COMPUTED_VALUE"""),294.0)</f>
        <v>294</v>
      </c>
      <c r="E3505" s="1" t="str">
        <f t="array" ref="E3505">_xlfn.XLOOKUP(A3505,Product!A:A,Product!B:B,"Bulunamadı")</f>
        <v>Medical</v>
      </c>
      <c r="F3505" s="1" t="str">
        <f t="array" ref="F3505">_xlfn.XLOOKUP(A3505,Product!A:A,Product!C:C,"Bulunamadı")</f>
        <v>Human Rights Law</v>
      </c>
      <c r="G3505" s="2" t="str">
        <f t="array" ref="G3505">_xlfn.XLOOKUP(A3506,Product!A:A,Product!D:D,"Bulunamadı")</f>
        <v>Northforge Books</v>
      </c>
      <c r="H3505" s="2">
        <f t="array" ref="H3505">_xlfn.XLOOKUP(A3507,Product!A:A,Product!E:E,"Bulunamadı")</f>
        <v>15.15</v>
      </c>
      <c r="I3505" s="2" t="str">
        <f t="shared" si="1"/>
        <v>117256 - Medical - Human Rights Law</v>
      </c>
      <c r="J3505" s="2">
        <f t="shared" si="2"/>
        <v>4454.1</v>
      </c>
      <c r="K3505" s="17">
        <f t="shared" si="3"/>
        <v>1</v>
      </c>
      <c r="L3505" s="18"/>
    </row>
    <row r="3506" hidden="1">
      <c r="A3506" s="2">
        <f>IFERROR(__xludf.DUMMYFUNCTION("""COMPUTED_VALUE"""),122738.0)</f>
        <v>122738</v>
      </c>
      <c r="B3506" s="2">
        <f>IFERROR(__xludf.DUMMYFUNCTION("""COMPUTED_VALUE"""),1.0)</f>
        <v>1</v>
      </c>
      <c r="C3506" s="2">
        <f>IFERROR(__xludf.DUMMYFUNCTION("""COMPUTED_VALUE"""),229.0)</f>
        <v>229</v>
      </c>
      <c r="D3506" s="3">
        <f>IFERROR(__xludf.DUMMYFUNCTION("""COMPUTED_VALUE"""),110.0)</f>
        <v>110</v>
      </c>
      <c r="E3506" s="1" t="str">
        <f t="array" ref="E3506">_xlfn.XLOOKUP(A3506,Product!A:A,Product!B:B,"Bulunamadı")</f>
        <v>Medical</v>
      </c>
      <c r="F3506" s="1" t="str">
        <f t="array" ref="F3506">_xlfn.XLOOKUP(A3506,Product!A:A,Product!C:C,"Bulunamadı")</f>
        <v>Human Rights Law</v>
      </c>
      <c r="G3506" s="2" t="str">
        <f t="array" ref="G3506">_xlfn.XLOOKUP(A3507,Product!A:A,Product!D:D,"Bulunamadı")</f>
        <v>Northforge Books</v>
      </c>
      <c r="H3506" s="2">
        <f t="array" ref="H3506">_xlfn.XLOOKUP(A3508,Product!A:A,Product!E:E,"Bulunamadı")</f>
        <v>9.14</v>
      </c>
      <c r="I3506" s="2" t="str">
        <f t="shared" si="1"/>
        <v>122738 - Medical - Human Rights Law</v>
      </c>
      <c r="J3506" s="2">
        <f t="shared" si="2"/>
        <v>1005.4</v>
      </c>
      <c r="K3506" s="17">
        <f t="shared" si="3"/>
        <v>1</v>
      </c>
      <c r="L3506" s="18"/>
    </row>
    <row r="3507" hidden="1">
      <c r="A3507" s="2">
        <f>IFERROR(__xludf.DUMMYFUNCTION("""COMPUTED_VALUE"""),116679.0)</f>
        <v>116679</v>
      </c>
      <c r="B3507" s="2">
        <f>IFERROR(__xludf.DUMMYFUNCTION("""COMPUTED_VALUE"""),1.0)</f>
        <v>1</v>
      </c>
      <c r="C3507" s="2">
        <f>IFERROR(__xludf.DUMMYFUNCTION("""COMPUTED_VALUE"""),705.0)</f>
        <v>705</v>
      </c>
      <c r="D3507" s="3">
        <f>IFERROR(__xludf.DUMMYFUNCTION("""COMPUTED_VALUE"""),606.0)</f>
        <v>606</v>
      </c>
      <c r="E3507" s="1" t="str">
        <f t="array" ref="E3507">_xlfn.XLOOKUP(A3507,Product!A:A,Product!B:B,"Bulunamadı")</f>
        <v>Medical</v>
      </c>
      <c r="F3507" s="1" t="str">
        <f t="array" ref="F3507">_xlfn.XLOOKUP(A3507,Product!A:A,Product!C:C,"Bulunamadı")</f>
        <v>Human Rights Law</v>
      </c>
      <c r="G3507" s="2" t="str">
        <f t="array" ref="G3507">_xlfn.XLOOKUP(A3508,Product!A:A,Product!D:D,"Bulunamadı")</f>
        <v>Northforge Books</v>
      </c>
      <c r="H3507" s="2">
        <f t="array" ref="H3507">_xlfn.XLOOKUP(A3509,Product!A:A,Product!E:E,"Bulunamadı")</f>
        <v>14.49</v>
      </c>
      <c r="I3507" s="2" t="str">
        <f t="shared" si="1"/>
        <v>116679 - Medical - Human Rights Law</v>
      </c>
      <c r="J3507" s="2">
        <f t="shared" si="2"/>
        <v>8780.94</v>
      </c>
      <c r="K3507" s="17">
        <f t="shared" si="3"/>
        <v>1</v>
      </c>
      <c r="L3507" s="18"/>
    </row>
    <row r="3508" hidden="1">
      <c r="A3508" s="2">
        <f>IFERROR(__xludf.DUMMYFUNCTION("""COMPUTED_VALUE"""),116831.0)</f>
        <v>116831</v>
      </c>
      <c r="B3508" s="2">
        <f>IFERROR(__xludf.DUMMYFUNCTION("""COMPUTED_VALUE"""),1.0)</f>
        <v>1</v>
      </c>
      <c r="C3508" s="2">
        <f>IFERROR(__xludf.DUMMYFUNCTION("""COMPUTED_VALUE"""),692.0)</f>
        <v>692</v>
      </c>
      <c r="D3508" s="3">
        <f>IFERROR(__xludf.DUMMYFUNCTION("""COMPUTED_VALUE"""),621.0)</f>
        <v>621</v>
      </c>
      <c r="E3508" s="1" t="str">
        <f t="array" ref="E3508">_xlfn.XLOOKUP(A3508,Product!A:A,Product!B:B,"Bulunamadı")</f>
        <v>Medical</v>
      </c>
      <c r="F3508" s="1" t="str">
        <f t="array" ref="F3508">_xlfn.XLOOKUP(A3508,Product!A:A,Product!C:C,"Bulunamadı")</f>
        <v>Human Rights Law</v>
      </c>
      <c r="G3508" s="2" t="str">
        <f t="array" ref="G3508">_xlfn.XLOOKUP(A3509,Product!A:A,Product!D:D,"Bulunamadı")</f>
        <v>Northforge Books</v>
      </c>
      <c r="H3508" s="2">
        <f t="array" ref="H3508">_xlfn.XLOOKUP(A3510,Product!A:A,Product!E:E,"Bulunamadı")</f>
        <v>4.95</v>
      </c>
      <c r="I3508" s="2" t="str">
        <f t="shared" si="1"/>
        <v>116831 - Medical - Human Rights Law</v>
      </c>
      <c r="J3508" s="2">
        <f t="shared" si="2"/>
        <v>3073.95</v>
      </c>
      <c r="K3508" s="17">
        <f t="shared" si="3"/>
        <v>1</v>
      </c>
      <c r="L3508" s="18"/>
    </row>
    <row r="3509" hidden="1">
      <c r="A3509" s="2">
        <f>IFERROR(__xludf.DUMMYFUNCTION("""COMPUTED_VALUE"""),109577.0)</f>
        <v>109577</v>
      </c>
      <c r="B3509" s="2">
        <f>IFERROR(__xludf.DUMMYFUNCTION("""COMPUTED_VALUE"""),0.0)</f>
        <v>0</v>
      </c>
      <c r="C3509" s="2">
        <f>IFERROR(__xludf.DUMMYFUNCTION("""COMPUTED_VALUE"""),974.0)</f>
        <v>974</v>
      </c>
      <c r="D3509" s="3">
        <f>IFERROR(__xludf.DUMMYFUNCTION("""COMPUTED_VALUE"""),698.0)</f>
        <v>698</v>
      </c>
      <c r="E3509" s="1" t="str">
        <f t="array" ref="E3509">_xlfn.XLOOKUP(A3509,Product!A:A,Product!B:B,"Bulunamadı")</f>
        <v>Medical</v>
      </c>
      <c r="F3509" s="1" t="str">
        <f t="array" ref="F3509">_xlfn.XLOOKUP(A3509,Product!A:A,Product!C:C,"Bulunamadı")</f>
        <v>Human Rights Law</v>
      </c>
      <c r="G3509" s="2" t="str">
        <f t="array" ref="G3509">_xlfn.XLOOKUP(A3510,Product!A:A,Product!D:D,"Bulunamadı")</f>
        <v>Harborforge Press</v>
      </c>
      <c r="H3509" s="2">
        <f t="array" ref="H3509">_xlfn.XLOOKUP(A3511,Product!A:A,Product!E:E,"Bulunamadı")</f>
        <v>11.37</v>
      </c>
      <c r="I3509" s="2" t="str">
        <f t="shared" si="1"/>
        <v>109577 - Medical - Human Rights Law</v>
      </c>
      <c r="J3509" s="2">
        <f t="shared" si="2"/>
        <v>7936.26</v>
      </c>
      <c r="K3509" s="17">
        <f t="shared" si="3"/>
        <v>1</v>
      </c>
      <c r="L3509" s="18"/>
    </row>
    <row r="3510" hidden="1">
      <c r="A3510" s="2">
        <f>IFERROR(__xludf.DUMMYFUNCTION("""COMPUTED_VALUE"""),77790.0)</f>
        <v>77790</v>
      </c>
      <c r="B3510" s="2">
        <f>IFERROR(__xludf.DUMMYFUNCTION("""COMPUTED_VALUE"""),1.0)</f>
        <v>1</v>
      </c>
      <c r="C3510" s="2">
        <f>IFERROR(__xludf.DUMMYFUNCTION("""COMPUTED_VALUE"""),39.0)</f>
        <v>39</v>
      </c>
      <c r="D3510" s="3">
        <f>IFERROR(__xludf.DUMMYFUNCTION("""COMPUTED_VALUE"""),28.0)</f>
        <v>28</v>
      </c>
      <c r="E3510" s="1" t="str">
        <f t="array" ref="E3510">_xlfn.XLOOKUP(A3510,Product!A:A,Product!B:B,"Bulunamadı")</f>
        <v>Sports</v>
      </c>
      <c r="F3510" s="1" t="str">
        <f t="array" ref="F3510">_xlfn.XLOOKUP(A3510,Product!A:A,Product!C:C,"Bulunamadı")</f>
        <v>Intellectual Property Law</v>
      </c>
      <c r="G3510" s="2" t="str">
        <f t="array" ref="G3510">_xlfn.XLOOKUP(A3511,Product!A:A,Product!D:D,"Bulunamadı")</f>
        <v>Cedarforge Publishing</v>
      </c>
      <c r="H3510" s="2">
        <f t="array" ref="H3510">_xlfn.XLOOKUP(A3512,Product!A:A,Product!E:E,"Bulunamadı")</f>
        <v>11.96</v>
      </c>
      <c r="I3510" s="2" t="str">
        <f t="shared" si="1"/>
        <v>77790 - Sports - Intellectual Property Law</v>
      </c>
      <c r="J3510" s="2">
        <f t="shared" si="2"/>
        <v>334.88</v>
      </c>
      <c r="K3510" s="17">
        <f t="shared" si="3"/>
        <v>1</v>
      </c>
      <c r="L3510" s="18"/>
    </row>
    <row r="3511" hidden="1">
      <c r="A3511" s="2">
        <f>IFERROR(__xludf.DUMMYFUNCTION("""COMPUTED_VALUE"""),101172.0)</f>
        <v>101172</v>
      </c>
      <c r="B3511" s="2">
        <f>IFERROR(__xludf.DUMMYFUNCTION("""COMPUTED_VALUE"""),0.0)</f>
        <v>0</v>
      </c>
      <c r="C3511" s="2">
        <f>IFERROR(__xludf.DUMMYFUNCTION("""COMPUTED_VALUE"""),471.0)</f>
        <v>471</v>
      </c>
      <c r="D3511" s="3">
        <f>IFERROR(__xludf.DUMMYFUNCTION("""COMPUTED_VALUE"""),389.0)</f>
        <v>389</v>
      </c>
      <c r="E3511" s="1" t="str">
        <f t="array" ref="E3511">_xlfn.XLOOKUP(A3511,Product!A:A,Product!B:B,"Bulunamadı")</f>
        <v>Self-Help</v>
      </c>
      <c r="F3511" s="1" t="str">
        <f t="array" ref="F3511">_xlfn.XLOOKUP(A3511,Product!A:A,Product!C:C,"Bulunamadı")</f>
        <v>Environmental Law</v>
      </c>
      <c r="G3511" s="2" t="str">
        <f t="array" ref="G3511">_xlfn.XLOOKUP(A3512,Product!A:A,Product!D:D,"Bulunamadı")</f>
        <v>Brightforge Books</v>
      </c>
      <c r="H3511" s="2">
        <f t="array" ref="H3511">_xlfn.XLOOKUP(A3513,Product!A:A,Product!E:E,"Bulunamadı")</f>
        <v>9.24</v>
      </c>
      <c r="I3511" s="2" t="str">
        <f t="shared" si="1"/>
        <v>101172 - Self-Help - Environmental Law</v>
      </c>
      <c r="J3511" s="2">
        <f t="shared" si="2"/>
        <v>3594.36</v>
      </c>
      <c r="K3511" s="17">
        <f t="shared" si="3"/>
        <v>1</v>
      </c>
      <c r="L3511" s="18"/>
    </row>
    <row r="3512" hidden="1">
      <c r="A3512" s="2">
        <f>IFERROR(__xludf.DUMMYFUNCTION("""COMPUTED_VALUE"""),87023.0)</f>
        <v>87023</v>
      </c>
      <c r="B3512" s="2">
        <f>IFERROR(__xludf.DUMMYFUNCTION("""COMPUTED_VALUE"""),1.0)</f>
        <v>1</v>
      </c>
      <c r="C3512" s="2">
        <f>IFERROR(__xludf.DUMMYFUNCTION("""COMPUTED_VALUE"""),656.0)</f>
        <v>656</v>
      </c>
      <c r="D3512" s="3">
        <f>IFERROR(__xludf.DUMMYFUNCTION("""COMPUTED_VALUE"""),440.0)</f>
        <v>440</v>
      </c>
      <c r="E3512" s="1" t="str">
        <f t="array" ref="E3512">_xlfn.XLOOKUP(A3512,Product!A:A,Product!B:B,"Bulunamadı")</f>
        <v>Self-Help</v>
      </c>
      <c r="F3512" s="1" t="str">
        <f t="array" ref="F3512">_xlfn.XLOOKUP(A3512,Product!A:A,Product!C:C,"Bulunamadı")</f>
        <v>Environmental Law</v>
      </c>
      <c r="G3512" s="2" t="str">
        <f t="array" ref="G3512">_xlfn.XLOOKUP(A3513,Product!A:A,Product!D:D,"Bulunamadı")</f>
        <v>Brightforge Books</v>
      </c>
      <c r="H3512" s="2">
        <f t="array" ref="H3512">_xlfn.XLOOKUP(A3514,Product!A:A,Product!E:E,"Bulunamadı")</f>
        <v>10.37</v>
      </c>
      <c r="I3512" s="2" t="str">
        <f t="shared" si="1"/>
        <v>87023 - Self-Help - Environmental Law</v>
      </c>
      <c r="J3512" s="2">
        <f t="shared" si="2"/>
        <v>4562.8</v>
      </c>
      <c r="K3512" s="17">
        <f t="shared" si="3"/>
        <v>1</v>
      </c>
      <c r="L3512" s="18"/>
    </row>
    <row r="3513" hidden="1">
      <c r="A3513" s="2">
        <f>IFERROR(__xludf.DUMMYFUNCTION("""COMPUTED_VALUE"""),101520.0)</f>
        <v>101520</v>
      </c>
      <c r="B3513" s="2">
        <f>IFERROR(__xludf.DUMMYFUNCTION("""COMPUTED_VALUE"""),1.0)</f>
        <v>1</v>
      </c>
      <c r="C3513" s="2">
        <f>IFERROR(__xludf.DUMMYFUNCTION("""COMPUTED_VALUE"""),626.0)</f>
        <v>626</v>
      </c>
      <c r="D3513" s="3">
        <f>IFERROR(__xludf.DUMMYFUNCTION("""COMPUTED_VALUE"""),52.0)</f>
        <v>52</v>
      </c>
      <c r="E3513" s="1" t="str">
        <f t="array" ref="E3513">_xlfn.XLOOKUP(A3513,Product!A:A,Product!B:B,"Bulunamadı")</f>
        <v>Self-Help</v>
      </c>
      <c r="F3513" s="1" t="str">
        <f t="array" ref="F3513">_xlfn.XLOOKUP(A3513,Product!A:A,Product!C:C,"Bulunamadı")</f>
        <v>Environmental Law</v>
      </c>
      <c r="G3513" s="2" t="str">
        <f t="array" ref="G3513">_xlfn.XLOOKUP(A3514,Product!A:A,Product!D:D,"Bulunamadı")</f>
        <v>Brightforge Books</v>
      </c>
      <c r="H3513" s="2">
        <f t="array" ref="H3513">_xlfn.XLOOKUP(A3515,Product!A:A,Product!E:E,"Bulunamadı")</f>
        <v>7.52</v>
      </c>
      <c r="I3513" s="2" t="str">
        <f t="shared" si="1"/>
        <v>101520 - Self-Help - Environmental Law</v>
      </c>
      <c r="J3513" s="2">
        <f t="shared" si="2"/>
        <v>391.04</v>
      </c>
      <c r="K3513" s="17">
        <f t="shared" si="3"/>
        <v>1</v>
      </c>
      <c r="L3513" s="18"/>
    </row>
    <row r="3514" hidden="1">
      <c r="A3514" s="2">
        <f>IFERROR(__xludf.DUMMYFUNCTION("""COMPUTED_VALUE"""),118362.0)</f>
        <v>118362</v>
      </c>
      <c r="B3514" s="2">
        <f>IFERROR(__xludf.DUMMYFUNCTION("""COMPUTED_VALUE"""),0.0)</f>
        <v>0</v>
      </c>
      <c r="C3514" s="2">
        <f>IFERROR(__xludf.DUMMYFUNCTION("""COMPUTED_VALUE"""),943.0)</f>
        <v>943</v>
      </c>
      <c r="D3514" s="3">
        <f>IFERROR(__xludf.DUMMYFUNCTION("""COMPUTED_VALUE"""),155.0)</f>
        <v>155</v>
      </c>
      <c r="E3514" s="1" t="str">
        <f t="array" ref="E3514">_xlfn.XLOOKUP(A3514,Product!A:A,Product!B:B,"Bulunamadı")</f>
        <v>Self-Help</v>
      </c>
      <c r="F3514" s="1" t="str">
        <f t="array" ref="F3514">_xlfn.XLOOKUP(A3514,Product!A:A,Product!C:C,"Bulunamadı")</f>
        <v>Environmental Law</v>
      </c>
      <c r="G3514" s="2" t="str">
        <f t="array" ref="G3514">_xlfn.XLOOKUP(A3515,Product!A:A,Product!D:D,"Bulunamadı")</f>
        <v>Brightforge Books</v>
      </c>
      <c r="H3514" s="2">
        <f t="array" ref="H3514">_xlfn.XLOOKUP(A3516,Product!A:A,Product!E:E,"Bulunamadı")</f>
        <v>9.61</v>
      </c>
      <c r="I3514" s="2" t="str">
        <f t="shared" si="1"/>
        <v>118362 - Self-Help - Environmental Law</v>
      </c>
      <c r="J3514" s="2">
        <f t="shared" si="2"/>
        <v>1489.55</v>
      </c>
      <c r="K3514" s="17">
        <f t="shared" si="3"/>
        <v>1</v>
      </c>
      <c r="L3514" s="18"/>
    </row>
    <row r="3515" hidden="1">
      <c r="A3515" s="2">
        <f>IFERROR(__xludf.DUMMYFUNCTION("""COMPUTED_VALUE"""),87313.0)</f>
        <v>87313</v>
      </c>
      <c r="B3515" s="2">
        <f>IFERROR(__xludf.DUMMYFUNCTION("""COMPUTED_VALUE"""),0.0)</f>
        <v>0</v>
      </c>
      <c r="C3515" s="2">
        <f>IFERROR(__xludf.DUMMYFUNCTION("""COMPUTED_VALUE"""),388.0)</f>
        <v>388</v>
      </c>
      <c r="D3515" s="3">
        <f>IFERROR(__xludf.DUMMYFUNCTION("""COMPUTED_VALUE"""),170.0)</f>
        <v>170</v>
      </c>
      <c r="E3515" s="1" t="str">
        <f t="array" ref="E3515">_xlfn.XLOOKUP(A3515,Product!A:A,Product!B:B,"Bulunamadı")</f>
        <v>Self-Help</v>
      </c>
      <c r="F3515" s="1" t="str">
        <f t="array" ref="F3515">_xlfn.XLOOKUP(A3515,Product!A:A,Product!C:C,"Bulunamadı")</f>
        <v>Environmental Law</v>
      </c>
      <c r="G3515" s="2" t="str">
        <f t="array" ref="G3515">_xlfn.XLOOKUP(A3516,Product!A:A,Product!D:D,"Bulunamadı")</f>
        <v>Brightforge Books</v>
      </c>
      <c r="H3515" s="2">
        <f t="array" ref="H3515">_xlfn.XLOOKUP(A3517,Product!A:A,Product!E:E,"Bulunamadı")</f>
        <v>7.7</v>
      </c>
      <c r="I3515" s="2" t="str">
        <f t="shared" si="1"/>
        <v>87313 - Self-Help - Environmental Law</v>
      </c>
      <c r="J3515" s="2">
        <f t="shared" si="2"/>
        <v>1309</v>
      </c>
      <c r="K3515" s="17">
        <f t="shared" si="3"/>
        <v>1</v>
      </c>
      <c r="L3515" s="18"/>
    </row>
    <row r="3516" hidden="1">
      <c r="A3516" s="2">
        <f>IFERROR(__xludf.DUMMYFUNCTION("""COMPUTED_VALUE"""),111015.0)</f>
        <v>111015</v>
      </c>
      <c r="B3516" s="2">
        <f>IFERROR(__xludf.DUMMYFUNCTION("""COMPUTED_VALUE"""),0.0)</f>
        <v>0</v>
      </c>
      <c r="C3516" s="2">
        <f>IFERROR(__xludf.DUMMYFUNCTION("""COMPUTED_VALUE"""),962.0)</f>
        <v>962</v>
      </c>
      <c r="D3516" s="3">
        <f>IFERROR(__xludf.DUMMYFUNCTION("""COMPUTED_VALUE"""),557.0)</f>
        <v>557</v>
      </c>
      <c r="E3516" s="1" t="str">
        <f t="array" ref="E3516">_xlfn.XLOOKUP(A3516,Product!A:A,Product!B:B,"Bulunamadı")</f>
        <v>Self-Help</v>
      </c>
      <c r="F3516" s="1" t="str">
        <f t="array" ref="F3516">_xlfn.XLOOKUP(A3516,Product!A:A,Product!C:C,"Bulunamadı")</f>
        <v>Environmental Law</v>
      </c>
      <c r="G3516" s="2" t="str">
        <f t="array" ref="G3516">_xlfn.XLOOKUP(A3517,Product!A:A,Product!D:D,"Bulunamadı")</f>
        <v>Brightforge Books</v>
      </c>
      <c r="H3516" s="2">
        <f t="array" ref="H3516">_xlfn.XLOOKUP(A3518,Product!A:A,Product!E:E,"Bulunamadı")</f>
        <v>12.12</v>
      </c>
      <c r="I3516" s="2" t="str">
        <f t="shared" si="1"/>
        <v>111015 - Self-Help - Environmental Law</v>
      </c>
      <c r="J3516" s="2">
        <f t="shared" si="2"/>
        <v>6750.84</v>
      </c>
      <c r="K3516" s="17">
        <f t="shared" si="3"/>
        <v>1</v>
      </c>
      <c r="L3516" s="18"/>
    </row>
    <row r="3517" hidden="1">
      <c r="A3517" s="2">
        <f>IFERROR(__xludf.DUMMYFUNCTION("""COMPUTED_VALUE"""),87312.0)</f>
        <v>87312</v>
      </c>
      <c r="B3517" s="2">
        <f>IFERROR(__xludf.DUMMYFUNCTION("""COMPUTED_VALUE"""),1.0)</f>
        <v>1</v>
      </c>
      <c r="C3517" s="2">
        <f>IFERROR(__xludf.DUMMYFUNCTION("""COMPUTED_VALUE"""),176.0)</f>
        <v>176</v>
      </c>
      <c r="D3517" s="3">
        <f>IFERROR(__xludf.DUMMYFUNCTION("""COMPUTED_VALUE"""),62.0)</f>
        <v>62</v>
      </c>
      <c r="E3517" s="1" t="str">
        <f t="array" ref="E3517">_xlfn.XLOOKUP(A3517,Product!A:A,Product!B:B,"Bulunamadı")</f>
        <v>Self-Help</v>
      </c>
      <c r="F3517" s="1" t="str">
        <f t="array" ref="F3517">_xlfn.XLOOKUP(A3517,Product!A:A,Product!C:C,"Bulunamadı")</f>
        <v>Environmental Law</v>
      </c>
      <c r="G3517" s="2" t="str">
        <f t="array" ref="G3517">_xlfn.XLOOKUP(A3518,Product!A:A,Product!D:D,"Bulunamadı")</f>
        <v>Brightforge Books</v>
      </c>
      <c r="H3517" s="2">
        <f t="array" ref="H3517">_xlfn.XLOOKUP(A3519,Product!A:A,Product!E:E,"Bulunamadı")</f>
        <v>5.54</v>
      </c>
      <c r="I3517" s="2" t="str">
        <f t="shared" si="1"/>
        <v>87312 - Self-Help - Environmental Law</v>
      </c>
      <c r="J3517" s="2">
        <f t="shared" si="2"/>
        <v>343.48</v>
      </c>
      <c r="K3517" s="17">
        <f t="shared" si="3"/>
        <v>1</v>
      </c>
      <c r="L3517" s="18"/>
    </row>
    <row r="3518" hidden="1">
      <c r="A3518" s="2">
        <f>IFERROR(__xludf.DUMMYFUNCTION("""COMPUTED_VALUE"""),87025.0)</f>
        <v>87025</v>
      </c>
      <c r="B3518" s="2">
        <f>IFERROR(__xludf.DUMMYFUNCTION("""COMPUTED_VALUE"""),1.0)</f>
        <v>1</v>
      </c>
      <c r="C3518" s="2">
        <f>IFERROR(__xludf.DUMMYFUNCTION("""COMPUTED_VALUE"""),668.0)</f>
        <v>668</v>
      </c>
      <c r="D3518" s="3">
        <f>IFERROR(__xludf.DUMMYFUNCTION("""COMPUTED_VALUE"""),548.0)</f>
        <v>548</v>
      </c>
      <c r="E3518" s="1" t="str">
        <f t="array" ref="E3518">_xlfn.XLOOKUP(A3518,Product!A:A,Product!B:B,"Bulunamadı")</f>
        <v>Self-Help</v>
      </c>
      <c r="F3518" s="1" t="str">
        <f t="array" ref="F3518">_xlfn.XLOOKUP(A3518,Product!A:A,Product!C:C,"Bulunamadı")</f>
        <v>Environmental Law</v>
      </c>
      <c r="G3518" s="2" t="str">
        <f t="array" ref="G3518">_xlfn.XLOOKUP(A3519,Product!A:A,Product!D:D,"Bulunamadı")</f>
        <v>Brightforge Books</v>
      </c>
      <c r="H3518" s="2">
        <f t="array" ref="H3518">_xlfn.XLOOKUP(A3520,Product!A:A,Product!E:E,"Bulunamadı")</f>
        <v>2.04</v>
      </c>
      <c r="I3518" s="2" t="str">
        <f t="shared" si="1"/>
        <v>87025 - Self-Help - Environmental Law</v>
      </c>
      <c r="J3518" s="2">
        <f t="shared" si="2"/>
        <v>1117.92</v>
      </c>
      <c r="K3518" s="17">
        <f t="shared" si="3"/>
        <v>1</v>
      </c>
      <c r="L3518" s="18"/>
    </row>
    <row r="3519" hidden="1">
      <c r="A3519" s="2">
        <f>IFERROR(__xludf.DUMMYFUNCTION("""COMPUTED_VALUE"""),111587.0)</f>
        <v>111587</v>
      </c>
      <c r="B3519" s="2">
        <f>IFERROR(__xludf.DUMMYFUNCTION("""COMPUTED_VALUE"""),0.0)</f>
        <v>0</v>
      </c>
      <c r="C3519" s="2">
        <f>IFERROR(__xludf.DUMMYFUNCTION("""COMPUTED_VALUE"""),38.0)</f>
        <v>38</v>
      </c>
      <c r="D3519" s="3">
        <f>IFERROR(__xludf.DUMMYFUNCTION("""COMPUTED_VALUE"""),5.0)</f>
        <v>5</v>
      </c>
      <c r="E3519" s="1" t="str">
        <f t="array" ref="E3519">_xlfn.XLOOKUP(A3519,Product!A:A,Product!B:B,"Bulunamadı")</f>
        <v>Self-Help</v>
      </c>
      <c r="F3519" s="1" t="str">
        <f t="array" ref="F3519">_xlfn.XLOOKUP(A3519,Product!A:A,Product!C:C,"Bulunamadı")</f>
        <v>Environmental Law</v>
      </c>
      <c r="G3519" s="2" t="str">
        <f t="array" ref="G3519">_xlfn.XLOOKUP(A3520,Product!A:A,Product!D:D,"Bulunamadı")</f>
        <v>Oakforge Press</v>
      </c>
      <c r="H3519" s="2">
        <f t="array" ref="H3519">_xlfn.XLOOKUP(A3521,Product!A:A,Product!E:E,"Bulunamadı")</f>
        <v>1.83</v>
      </c>
      <c r="I3519" s="2" t="str">
        <f t="shared" si="1"/>
        <v>111587 - Self-Help - Environmental Law</v>
      </c>
      <c r="J3519" s="2">
        <f t="shared" si="2"/>
        <v>9.15</v>
      </c>
      <c r="K3519" s="17">
        <f t="shared" si="3"/>
        <v>1</v>
      </c>
      <c r="L3519" s="18"/>
    </row>
    <row r="3520" hidden="1">
      <c r="A3520" s="2">
        <f>IFERROR(__xludf.DUMMYFUNCTION("""COMPUTED_VALUE"""),114934.0)</f>
        <v>114934</v>
      </c>
      <c r="B3520" s="2">
        <f>IFERROR(__xludf.DUMMYFUNCTION("""COMPUTED_VALUE"""),1.0)</f>
        <v>1</v>
      </c>
      <c r="C3520" s="2">
        <f>IFERROR(__xludf.DUMMYFUNCTION("""COMPUTED_VALUE"""),229.0)</f>
        <v>229</v>
      </c>
      <c r="D3520" s="3">
        <f>IFERROR(__xludf.DUMMYFUNCTION("""COMPUTED_VALUE"""),161.0)</f>
        <v>161</v>
      </c>
      <c r="E3520" s="1" t="str">
        <f t="array" ref="E3520">_xlfn.XLOOKUP(A3520,Product!A:A,Product!B:B,"Bulunamadı")</f>
        <v>Medical</v>
      </c>
      <c r="F3520" s="1" t="str">
        <f t="array" ref="F3520">_xlfn.XLOOKUP(A3520,Product!A:A,Product!C:C,"Bulunamadı")</f>
        <v>Labor Law</v>
      </c>
      <c r="G3520" s="2" t="str">
        <f t="array" ref="G3520">_xlfn.XLOOKUP(A3521,Product!A:A,Product!D:D,"Bulunamadı")</f>
        <v>Riverforge Publishing</v>
      </c>
      <c r="H3520" s="2">
        <f t="array" ref="H3520">_xlfn.XLOOKUP(A3522,Product!A:A,Product!E:E,"Bulunamadı")</f>
        <v>1.99</v>
      </c>
      <c r="I3520" s="2" t="str">
        <f t="shared" si="1"/>
        <v>114934 - Medical - Labor Law</v>
      </c>
      <c r="J3520" s="2">
        <f t="shared" si="2"/>
        <v>320.39</v>
      </c>
      <c r="K3520" s="17">
        <f t="shared" si="3"/>
        <v>1</v>
      </c>
      <c r="L3520" s="18"/>
    </row>
    <row r="3521" hidden="1">
      <c r="A3521" s="2">
        <f>IFERROR(__xludf.DUMMYFUNCTION("""COMPUTED_VALUE"""),116519.0)</f>
        <v>116519</v>
      </c>
      <c r="B3521" s="2">
        <f>IFERROR(__xludf.DUMMYFUNCTION("""COMPUTED_VALUE"""),0.0)</f>
        <v>0</v>
      </c>
      <c r="C3521" s="2">
        <f>IFERROR(__xludf.DUMMYFUNCTION("""COMPUTED_VALUE"""),613.0)</f>
        <v>613</v>
      </c>
      <c r="D3521" s="3">
        <f>IFERROR(__xludf.DUMMYFUNCTION("""COMPUTED_VALUE"""),140.0)</f>
        <v>140</v>
      </c>
      <c r="E3521" s="1" t="str">
        <f t="array" ref="E3521">_xlfn.XLOOKUP(A3521,Product!A:A,Product!B:B,"Bulunamadı")</f>
        <v>Medical</v>
      </c>
      <c r="F3521" s="1" t="str">
        <f t="array" ref="F3521">_xlfn.XLOOKUP(A3521,Product!A:A,Product!C:C,"Bulunamadı")</f>
        <v>Labor Law</v>
      </c>
      <c r="G3521" s="2" t="str">
        <f t="array" ref="G3521">_xlfn.XLOOKUP(A3522,Product!A:A,Product!D:D,"Bulunamadı")</f>
        <v>Riverforge Publishing</v>
      </c>
      <c r="H3521" s="2">
        <f t="array" ref="H3521">_xlfn.XLOOKUP(A3523,Product!A:A,Product!E:E,"Bulunamadı")</f>
        <v>7.18</v>
      </c>
      <c r="I3521" s="2" t="str">
        <f t="shared" si="1"/>
        <v>116519 - Medical - Labor Law</v>
      </c>
      <c r="J3521" s="2">
        <f t="shared" si="2"/>
        <v>1005.2</v>
      </c>
      <c r="K3521" s="17">
        <f t="shared" si="3"/>
        <v>1</v>
      </c>
      <c r="L3521" s="18"/>
    </row>
    <row r="3522" hidden="1">
      <c r="A3522" s="2">
        <f>IFERROR(__xludf.DUMMYFUNCTION("""COMPUTED_VALUE"""),116516.0)</f>
        <v>116516</v>
      </c>
      <c r="B3522" s="2">
        <f>IFERROR(__xludf.DUMMYFUNCTION("""COMPUTED_VALUE"""),0.0)</f>
        <v>0</v>
      </c>
      <c r="C3522" s="2">
        <f>IFERROR(__xludf.DUMMYFUNCTION("""COMPUTED_VALUE"""),805.0)</f>
        <v>805</v>
      </c>
      <c r="D3522" s="3">
        <f>IFERROR(__xludf.DUMMYFUNCTION("""COMPUTED_VALUE"""),280.0)</f>
        <v>280</v>
      </c>
      <c r="E3522" s="1" t="str">
        <f t="array" ref="E3522">_xlfn.XLOOKUP(A3522,Product!A:A,Product!B:B,"Bulunamadı")</f>
        <v>Medical</v>
      </c>
      <c r="F3522" s="1" t="str">
        <f t="array" ref="F3522">_xlfn.XLOOKUP(A3522,Product!A:A,Product!C:C,"Bulunamadı")</f>
        <v>Labor Law</v>
      </c>
      <c r="G3522" s="2" t="str">
        <f t="array" ref="G3522">_xlfn.XLOOKUP(A3523,Product!A:A,Product!D:D,"Bulunamadı")</f>
        <v>Ironforge Books</v>
      </c>
      <c r="H3522" s="2">
        <f t="array" ref="H3522">_xlfn.XLOOKUP(A3524,Product!A:A,Product!E:E,"Bulunamadı")</f>
        <v>11.45</v>
      </c>
      <c r="I3522" s="2" t="str">
        <f t="shared" si="1"/>
        <v>116516 - Medical - Labor Law</v>
      </c>
      <c r="J3522" s="2">
        <f t="shared" si="2"/>
        <v>3206</v>
      </c>
      <c r="K3522" s="17">
        <f t="shared" si="3"/>
        <v>1</v>
      </c>
      <c r="L3522" s="18"/>
    </row>
    <row r="3523" hidden="1">
      <c r="A3523" s="2">
        <f>IFERROR(__xludf.DUMMYFUNCTION("""COMPUTED_VALUE"""),104931.0)</f>
        <v>104931</v>
      </c>
      <c r="B3523" s="2">
        <f>IFERROR(__xludf.DUMMYFUNCTION("""COMPUTED_VALUE"""),0.0)</f>
        <v>0</v>
      </c>
      <c r="C3523" s="2">
        <f>IFERROR(__xludf.DUMMYFUNCTION("""COMPUTED_VALUE"""),900.0)</f>
        <v>900</v>
      </c>
      <c r="D3523" s="3">
        <f>IFERROR(__xludf.DUMMYFUNCTION("""COMPUTED_VALUE"""),618.0)</f>
        <v>618</v>
      </c>
      <c r="E3523" s="1" t="str">
        <f t="array" ref="E3523">_xlfn.XLOOKUP(A3523,Product!A:A,Product!B:B,"Bulunamadı")</f>
        <v>Finance</v>
      </c>
      <c r="F3523" s="1" t="str">
        <f t="array" ref="F3523">_xlfn.XLOOKUP(A3523,Product!A:A,Product!C:C,"Bulunamadı")</f>
        <v>Tax Law</v>
      </c>
      <c r="G3523" s="2" t="str">
        <f t="array" ref="G3523">_xlfn.XLOOKUP(A3524,Product!A:A,Product!D:D,"Bulunamadı")</f>
        <v>Ironforge Books</v>
      </c>
      <c r="H3523" s="2">
        <f t="array" ref="H3523">_xlfn.XLOOKUP(A3525,Product!A:A,Product!E:E,"Bulunamadı")</f>
        <v>42.91</v>
      </c>
      <c r="I3523" s="2" t="str">
        <f t="shared" si="1"/>
        <v>104931 - Finance - Tax Law</v>
      </c>
      <c r="J3523" s="2">
        <f t="shared" si="2"/>
        <v>26518.38</v>
      </c>
      <c r="K3523" s="17">
        <f t="shared" si="3"/>
        <v>1</v>
      </c>
      <c r="L3523" s="18"/>
    </row>
    <row r="3524" hidden="1">
      <c r="A3524" s="2">
        <f>IFERROR(__xludf.DUMMYFUNCTION("""COMPUTED_VALUE"""),105656.0)</f>
        <v>105656</v>
      </c>
      <c r="B3524" s="2">
        <f>IFERROR(__xludf.DUMMYFUNCTION("""COMPUTED_VALUE"""),0.0)</f>
        <v>0</v>
      </c>
      <c r="C3524" s="2">
        <f>IFERROR(__xludf.DUMMYFUNCTION("""COMPUTED_VALUE"""),602.0)</f>
        <v>602</v>
      </c>
      <c r="D3524" s="3">
        <f>IFERROR(__xludf.DUMMYFUNCTION("""COMPUTED_VALUE"""),144.0)</f>
        <v>144</v>
      </c>
      <c r="E3524" s="1" t="str">
        <f t="array" ref="E3524">_xlfn.XLOOKUP(A3524,Product!A:A,Product!B:B,"Bulunamadı")</f>
        <v>Finance</v>
      </c>
      <c r="F3524" s="1" t="str">
        <f t="array" ref="F3524">_xlfn.XLOOKUP(A3524,Product!A:A,Product!C:C,"Bulunamadı")</f>
        <v>Tax Law</v>
      </c>
      <c r="G3524" s="2" t="str">
        <f t="array" ref="G3524">_xlfn.XLOOKUP(A3525,Product!A:A,Product!D:D,"Bulunamadı")</f>
        <v>Silvercrest House</v>
      </c>
      <c r="H3524" s="2">
        <f t="array" ref="H3524">_xlfn.XLOOKUP(A3526,Product!A:A,Product!E:E,"Bulunamadı")</f>
        <v>55.58</v>
      </c>
      <c r="I3524" s="2" t="str">
        <f t="shared" si="1"/>
        <v>105656 - Finance - Tax Law</v>
      </c>
      <c r="J3524" s="2">
        <f t="shared" si="2"/>
        <v>8003.52</v>
      </c>
      <c r="K3524" s="17">
        <f t="shared" si="3"/>
        <v>1</v>
      </c>
      <c r="L3524" s="18"/>
    </row>
    <row r="3525" hidden="1">
      <c r="A3525" s="2">
        <f>IFERROR(__xludf.DUMMYFUNCTION("""COMPUTED_VALUE"""),117702.0)</f>
        <v>117702</v>
      </c>
      <c r="B3525" s="2">
        <f>IFERROR(__xludf.DUMMYFUNCTION("""COMPUTED_VALUE"""),1.0)</f>
        <v>1</v>
      </c>
      <c r="C3525" s="2">
        <f>IFERROR(__xludf.DUMMYFUNCTION("""COMPUTED_VALUE"""),931.0)</f>
        <v>931</v>
      </c>
      <c r="D3525" s="3">
        <f>IFERROR(__xludf.DUMMYFUNCTION("""COMPUTED_VALUE"""),910.0)</f>
        <v>910</v>
      </c>
      <c r="E3525" s="1" t="str">
        <f t="array" ref="E3525">_xlfn.XLOOKUP(A3525,Product!A:A,Product!B:B,"Bulunamadı")</f>
        <v>Finance</v>
      </c>
      <c r="F3525" s="1" t="str">
        <f t="array" ref="F3525">_xlfn.XLOOKUP(A3525,Product!A:A,Product!C:C,"Bulunamadı")</f>
        <v>Tax Law</v>
      </c>
      <c r="G3525" s="2" t="str">
        <f t="array" ref="G3525">_xlfn.XLOOKUP(A3526,Product!A:A,Product!D:D,"Bulunamadı")</f>
        <v>Silvercrest House</v>
      </c>
      <c r="H3525" s="2">
        <f t="array" ref="H3525">_xlfn.XLOOKUP(A3527,Product!A:A,Product!E:E,"Bulunamadı")</f>
        <v>5.24</v>
      </c>
      <c r="I3525" s="2" t="str">
        <f t="shared" si="1"/>
        <v>117702 - Finance - Tax Law</v>
      </c>
      <c r="J3525" s="2">
        <f t="shared" si="2"/>
        <v>4768.4</v>
      </c>
      <c r="K3525" s="17">
        <f t="shared" si="3"/>
        <v>1</v>
      </c>
      <c r="L3525" s="18"/>
    </row>
    <row r="3526" hidden="1">
      <c r="A3526" s="2">
        <f>IFERROR(__xludf.DUMMYFUNCTION("""COMPUTED_VALUE"""),88385.0)</f>
        <v>88385</v>
      </c>
      <c r="B3526" s="2">
        <f>IFERROR(__xludf.DUMMYFUNCTION("""COMPUTED_VALUE"""),1.0)</f>
        <v>1</v>
      </c>
      <c r="C3526" s="2">
        <f>IFERROR(__xludf.DUMMYFUNCTION("""COMPUTED_VALUE"""),513.0)</f>
        <v>513</v>
      </c>
      <c r="D3526" s="3">
        <f>IFERROR(__xludf.DUMMYFUNCTION("""COMPUTED_VALUE"""),65.0)</f>
        <v>65</v>
      </c>
      <c r="E3526" s="1" t="str">
        <f t="array" ref="E3526">_xlfn.XLOOKUP(A3526,Product!A:A,Product!B:B,"Bulunamadı")</f>
        <v>Finance</v>
      </c>
      <c r="F3526" s="1" t="str">
        <f t="array" ref="F3526">_xlfn.XLOOKUP(A3526,Product!A:A,Product!C:C,"Bulunamadı")</f>
        <v>Tax Law</v>
      </c>
      <c r="G3526" s="2" t="str">
        <f t="array" ref="G3526">_xlfn.XLOOKUP(A3527,Product!A:A,Product!D:D,"Bulunamadı")</f>
        <v>Northcrest House</v>
      </c>
      <c r="H3526" s="2">
        <f t="array" ref="H3526">_xlfn.XLOOKUP(A3528,Product!A:A,Product!E:E,"Bulunamadı")</f>
        <v>56.8</v>
      </c>
      <c r="I3526" s="2" t="str">
        <f t="shared" si="1"/>
        <v>88385 - Finance - Tax Law</v>
      </c>
      <c r="J3526" s="2">
        <f t="shared" si="2"/>
        <v>3692</v>
      </c>
      <c r="K3526" s="17">
        <f t="shared" si="3"/>
        <v>1</v>
      </c>
      <c r="L3526" s="18"/>
    </row>
    <row r="3527" hidden="1">
      <c r="A3527" s="2">
        <f>IFERROR(__xludf.DUMMYFUNCTION("""COMPUTED_VALUE"""),76451.0)</f>
        <v>76451</v>
      </c>
      <c r="B3527" s="2">
        <f>IFERROR(__xludf.DUMMYFUNCTION("""COMPUTED_VALUE"""),1.0)</f>
        <v>1</v>
      </c>
      <c r="C3527" s="2">
        <f>IFERROR(__xludf.DUMMYFUNCTION("""COMPUTED_VALUE"""),480.0)</f>
        <v>480</v>
      </c>
      <c r="D3527" s="3">
        <f>IFERROR(__xludf.DUMMYFUNCTION("""COMPUTED_VALUE"""),208.0)</f>
        <v>208</v>
      </c>
      <c r="E3527" s="1" t="str">
        <f t="array" ref="E3527">_xlfn.XLOOKUP(A3527,Product!A:A,Product!B:B,"Bulunamadı")</f>
        <v>Finance</v>
      </c>
      <c r="F3527" s="1" t="str">
        <f t="array" ref="F3527">_xlfn.XLOOKUP(A3527,Product!A:A,Product!C:C,"Bulunamadı")</f>
        <v>Tax Law</v>
      </c>
      <c r="G3527" s="2" t="str">
        <f t="array" ref="G3527">_xlfn.XLOOKUP(A3528,Product!A:A,Product!D:D,"Bulunamadı")</f>
        <v>Northcrest House</v>
      </c>
      <c r="H3527" s="2">
        <f t="array" ref="H3527">_xlfn.XLOOKUP(A3529,Product!A:A,Product!E:E,"Bulunamadı")</f>
        <v>10.83</v>
      </c>
      <c r="I3527" s="2" t="str">
        <f t="shared" si="1"/>
        <v>76451 - Finance - Tax Law</v>
      </c>
      <c r="J3527" s="2">
        <f t="shared" si="2"/>
        <v>2252.64</v>
      </c>
      <c r="K3527" s="17">
        <f t="shared" si="3"/>
        <v>1</v>
      </c>
      <c r="L3527" s="18"/>
    </row>
    <row r="3528" hidden="1">
      <c r="A3528" s="2">
        <f>IFERROR(__xludf.DUMMYFUNCTION("""COMPUTED_VALUE"""),199950.0)</f>
        <v>199950</v>
      </c>
      <c r="B3528" s="2">
        <f>IFERROR(__xludf.DUMMYFUNCTION("""COMPUTED_VALUE"""),1.0)</f>
        <v>1</v>
      </c>
      <c r="C3528" s="2">
        <f>IFERROR(__xludf.DUMMYFUNCTION("""COMPUTED_VALUE"""),518.0)</f>
        <v>518</v>
      </c>
      <c r="D3528" s="3">
        <f>IFERROR(__xludf.DUMMYFUNCTION("""COMPUTED_VALUE"""),498.0)</f>
        <v>498</v>
      </c>
      <c r="E3528" s="1" t="str">
        <f t="array" ref="E3528">_xlfn.XLOOKUP(A3528,Product!A:A,Product!B:B,"Bulunamadı")</f>
        <v>Finance</v>
      </c>
      <c r="F3528" s="1" t="str">
        <f t="array" ref="F3528">_xlfn.XLOOKUP(A3528,Product!A:A,Product!C:C,"Bulunamadı")</f>
        <v>Tax Law</v>
      </c>
      <c r="G3528" s="2" t="str">
        <f t="array" ref="G3528">_xlfn.XLOOKUP(A3529,Product!A:A,Product!D:D,"Bulunamadı")</f>
        <v>Northcrest House</v>
      </c>
      <c r="H3528" s="2">
        <f t="array" ref="H3528">_xlfn.XLOOKUP(A3530,Product!A:A,Product!E:E,"Bulunamadı")</f>
        <v>9.03</v>
      </c>
      <c r="I3528" s="2" t="str">
        <f t="shared" si="1"/>
        <v>199950 - Finance - Tax Law</v>
      </c>
      <c r="J3528" s="2">
        <f t="shared" si="2"/>
        <v>4496.94</v>
      </c>
      <c r="K3528" s="17">
        <f t="shared" si="3"/>
        <v>1</v>
      </c>
      <c r="L3528" s="18"/>
    </row>
    <row r="3529" hidden="1">
      <c r="A3529" s="2">
        <f>IFERROR(__xludf.DUMMYFUNCTION("""COMPUTED_VALUE"""),121167.0)</f>
        <v>121167</v>
      </c>
      <c r="B3529" s="2">
        <f>IFERROR(__xludf.DUMMYFUNCTION("""COMPUTED_VALUE"""),1.0)</f>
        <v>1</v>
      </c>
      <c r="C3529" s="2">
        <f>IFERROR(__xludf.DUMMYFUNCTION("""COMPUTED_VALUE"""),926.0)</f>
        <v>926</v>
      </c>
      <c r="D3529" s="3">
        <f>IFERROR(__xludf.DUMMYFUNCTION("""COMPUTED_VALUE"""),917.0)</f>
        <v>917</v>
      </c>
      <c r="E3529" s="1" t="str">
        <f t="array" ref="E3529">_xlfn.XLOOKUP(A3529,Product!A:A,Product!B:B,"Bulunamadı")</f>
        <v>Finance</v>
      </c>
      <c r="F3529" s="1" t="str">
        <f t="array" ref="F3529">_xlfn.XLOOKUP(A3529,Product!A:A,Product!C:C,"Bulunamadı")</f>
        <v>Tax Law</v>
      </c>
      <c r="G3529" s="2" t="str">
        <f t="array" ref="G3529">_xlfn.XLOOKUP(A3530,Product!A:A,Product!D:D,"Bulunamadı")</f>
        <v>Northcrest House</v>
      </c>
      <c r="H3529" s="2">
        <f t="array" ref="H3529">_xlfn.XLOOKUP(A3531,Product!A:A,Product!E:E,"Bulunamadı")</f>
        <v>8.43</v>
      </c>
      <c r="I3529" s="2" t="str">
        <f t="shared" si="1"/>
        <v>121167 - Finance - Tax Law</v>
      </c>
      <c r="J3529" s="2">
        <f t="shared" si="2"/>
        <v>7730.31</v>
      </c>
      <c r="K3529" s="17">
        <f t="shared" si="3"/>
        <v>1</v>
      </c>
      <c r="L3529" s="18"/>
    </row>
    <row r="3530" hidden="1">
      <c r="A3530" s="2">
        <f>IFERROR(__xludf.DUMMYFUNCTION("""COMPUTED_VALUE"""),199954.0)</f>
        <v>199954</v>
      </c>
      <c r="B3530" s="2">
        <f>IFERROR(__xludf.DUMMYFUNCTION("""COMPUTED_VALUE"""),1.0)</f>
        <v>1</v>
      </c>
      <c r="C3530" s="2">
        <f>IFERROR(__xludf.DUMMYFUNCTION("""COMPUTED_VALUE"""),664.0)</f>
        <v>664</v>
      </c>
      <c r="D3530" s="3">
        <f>IFERROR(__xludf.DUMMYFUNCTION("""COMPUTED_VALUE"""),254.0)</f>
        <v>254</v>
      </c>
      <c r="E3530" s="1" t="str">
        <f t="array" ref="E3530">_xlfn.XLOOKUP(A3530,Product!A:A,Product!B:B,"Bulunamadı")</f>
        <v>Finance</v>
      </c>
      <c r="F3530" s="1" t="str">
        <f t="array" ref="F3530">_xlfn.XLOOKUP(A3530,Product!A:A,Product!C:C,"Bulunamadı")</f>
        <v>Tax Law</v>
      </c>
      <c r="G3530" s="2" t="str">
        <f t="array" ref="G3530">_xlfn.XLOOKUP(A3531,Product!A:A,Product!D:D,"Bulunamadı")</f>
        <v>Northcrest House</v>
      </c>
      <c r="H3530" s="2">
        <f t="array" ref="H3530">_xlfn.XLOOKUP(A3532,Product!A:A,Product!E:E,"Bulunamadı")</f>
        <v>9.21</v>
      </c>
      <c r="I3530" s="2" t="str">
        <f t="shared" si="1"/>
        <v>199954 - Finance - Tax Law</v>
      </c>
      <c r="J3530" s="2">
        <f t="shared" si="2"/>
        <v>2339.34</v>
      </c>
      <c r="K3530" s="17">
        <f t="shared" si="3"/>
        <v>1</v>
      </c>
      <c r="L3530" s="18"/>
    </row>
    <row r="3531" hidden="1">
      <c r="A3531" s="2">
        <f>IFERROR(__xludf.DUMMYFUNCTION("""COMPUTED_VALUE"""),190713.0)</f>
        <v>190713</v>
      </c>
      <c r="B3531" s="2">
        <f>IFERROR(__xludf.DUMMYFUNCTION("""COMPUTED_VALUE"""),0.0)</f>
        <v>0</v>
      </c>
      <c r="C3531" s="2">
        <f>IFERROR(__xludf.DUMMYFUNCTION("""COMPUTED_VALUE"""),262.0)</f>
        <v>262</v>
      </c>
      <c r="D3531" s="3">
        <f>IFERROR(__xludf.DUMMYFUNCTION("""COMPUTED_VALUE"""),15.0)</f>
        <v>15</v>
      </c>
      <c r="E3531" s="1" t="str">
        <f t="array" ref="E3531">_xlfn.XLOOKUP(A3531,Product!A:A,Product!B:B,"Bulunamadı")</f>
        <v>Finance</v>
      </c>
      <c r="F3531" s="1" t="str">
        <f t="array" ref="F3531">_xlfn.XLOOKUP(A3531,Product!A:A,Product!C:C,"Bulunamadı")</f>
        <v>Tax Law</v>
      </c>
      <c r="G3531" s="2" t="str">
        <f t="array" ref="G3531">_xlfn.XLOOKUP(A3532,Product!A:A,Product!D:D,"Bulunamadı")</f>
        <v>Northcrest House</v>
      </c>
      <c r="H3531" s="2">
        <f t="array" ref="H3531">_xlfn.XLOOKUP(A3533,Product!A:A,Product!E:E,"Bulunamadı")</f>
        <v>7.41</v>
      </c>
      <c r="I3531" s="2" t="str">
        <f t="shared" si="1"/>
        <v>190713 - Finance - Tax Law</v>
      </c>
      <c r="J3531" s="2">
        <f t="shared" si="2"/>
        <v>111.15</v>
      </c>
      <c r="K3531" s="17">
        <f t="shared" si="3"/>
        <v>1</v>
      </c>
      <c r="L3531" s="18"/>
    </row>
    <row r="3532" hidden="1">
      <c r="A3532" s="2">
        <f>IFERROR(__xludf.DUMMYFUNCTION("""COMPUTED_VALUE"""),199951.0)</f>
        <v>199951</v>
      </c>
      <c r="B3532" s="2">
        <f>IFERROR(__xludf.DUMMYFUNCTION("""COMPUTED_VALUE"""),0.0)</f>
        <v>0</v>
      </c>
      <c r="C3532" s="2">
        <f>IFERROR(__xludf.DUMMYFUNCTION("""COMPUTED_VALUE"""),591.0)</f>
        <v>591</v>
      </c>
      <c r="D3532" s="3">
        <f>IFERROR(__xludf.DUMMYFUNCTION("""COMPUTED_VALUE"""),566.0)</f>
        <v>566</v>
      </c>
      <c r="E3532" s="1" t="str">
        <f t="array" ref="E3532">_xlfn.XLOOKUP(A3532,Product!A:A,Product!B:B,"Bulunamadı")</f>
        <v>Finance</v>
      </c>
      <c r="F3532" s="1" t="str">
        <f t="array" ref="F3532">_xlfn.XLOOKUP(A3532,Product!A:A,Product!C:C,"Bulunamadı")</f>
        <v>Tax Law</v>
      </c>
      <c r="G3532" s="2" t="str">
        <f t="array" ref="G3532">_xlfn.XLOOKUP(A3533,Product!A:A,Product!D:D,"Bulunamadı")</f>
        <v>Northcrest House</v>
      </c>
      <c r="H3532" s="2">
        <f t="array" ref="H3532">_xlfn.XLOOKUP(A3534,Product!A:A,Product!E:E,"Bulunamadı")</f>
        <v>33.79</v>
      </c>
      <c r="I3532" s="2" t="str">
        <f t="shared" si="1"/>
        <v>199951 - Finance - Tax Law</v>
      </c>
      <c r="J3532" s="2">
        <f t="shared" si="2"/>
        <v>19125.14</v>
      </c>
      <c r="K3532" s="17">
        <f t="shared" si="3"/>
        <v>1</v>
      </c>
      <c r="L3532" s="18"/>
    </row>
    <row r="3533" hidden="1">
      <c r="A3533" s="2">
        <f>IFERROR(__xludf.DUMMYFUNCTION("""COMPUTED_VALUE"""),85263.0)</f>
        <v>85263</v>
      </c>
      <c r="B3533" s="2">
        <f>IFERROR(__xludf.DUMMYFUNCTION("""COMPUTED_VALUE"""),1.0)</f>
        <v>1</v>
      </c>
      <c r="C3533" s="2">
        <f>IFERROR(__xludf.DUMMYFUNCTION("""COMPUTED_VALUE"""),602.0)</f>
        <v>602</v>
      </c>
      <c r="D3533" s="3">
        <f>IFERROR(__xludf.DUMMYFUNCTION("""COMPUTED_VALUE"""),460.0)</f>
        <v>460</v>
      </c>
      <c r="E3533" s="1" t="str">
        <f t="array" ref="E3533">_xlfn.XLOOKUP(A3533,Product!A:A,Product!B:B,"Bulunamadı")</f>
        <v>Finance</v>
      </c>
      <c r="F3533" s="1" t="str">
        <f t="array" ref="F3533">_xlfn.XLOOKUP(A3533,Product!A:A,Product!C:C,"Bulunamadı")</f>
        <v>Tax Law</v>
      </c>
      <c r="G3533" s="2" t="str">
        <f t="array" ref="G3533">_xlfn.XLOOKUP(A3534,Product!A:A,Product!D:D,"Bulunamadı")</f>
        <v>Harborcrest House</v>
      </c>
      <c r="H3533" s="2">
        <f t="array" ref="H3533">_xlfn.XLOOKUP(A3535,Product!A:A,Product!E:E,"Bulunamadı")</f>
        <v>17.41</v>
      </c>
      <c r="I3533" s="2" t="str">
        <f t="shared" si="1"/>
        <v>85263 - Finance - Tax Law</v>
      </c>
      <c r="J3533" s="2">
        <f t="shared" si="2"/>
        <v>8008.6</v>
      </c>
      <c r="K3533" s="17">
        <f t="shared" si="3"/>
        <v>1</v>
      </c>
      <c r="L3533" s="18"/>
    </row>
    <row r="3534" hidden="1">
      <c r="A3534" s="2">
        <f>IFERROR(__xludf.DUMMYFUNCTION("""COMPUTED_VALUE"""),180016.0)</f>
        <v>180016</v>
      </c>
      <c r="B3534" s="2">
        <f>IFERROR(__xludf.DUMMYFUNCTION("""COMPUTED_VALUE"""),0.0)</f>
        <v>0</v>
      </c>
      <c r="C3534" s="2">
        <f>IFERROR(__xludf.DUMMYFUNCTION("""COMPUTED_VALUE"""),725.0)</f>
        <v>725</v>
      </c>
      <c r="D3534" s="3">
        <f>IFERROR(__xludf.DUMMYFUNCTION("""COMPUTED_VALUE"""),422.0)</f>
        <v>422</v>
      </c>
      <c r="E3534" s="1" t="str">
        <f t="array" ref="E3534">_xlfn.XLOOKUP(A3534,Product!A:A,Product!B:B,"Bulunamadı")</f>
        <v>Finance</v>
      </c>
      <c r="F3534" s="1" t="str">
        <f t="array" ref="F3534">_xlfn.XLOOKUP(A3534,Product!A:A,Product!C:C,"Bulunamadı")</f>
        <v>Tax Law</v>
      </c>
      <c r="G3534" s="2" t="str">
        <f t="array" ref="G3534">_xlfn.XLOOKUP(A3535,Product!A:A,Product!D:D,"Bulunamadı")</f>
        <v>Harborcrest House</v>
      </c>
      <c r="H3534" s="2">
        <f t="array" ref="H3534">_xlfn.XLOOKUP(A3536,Product!A:A,Product!E:E,"Bulunamadı")</f>
        <v>18.55</v>
      </c>
      <c r="I3534" s="2" t="str">
        <f t="shared" si="1"/>
        <v>180016 - Finance - Tax Law</v>
      </c>
      <c r="J3534" s="2">
        <f t="shared" si="2"/>
        <v>7828.1</v>
      </c>
      <c r="K3534" s="17">
        <f t="shared" si="3"/>
        <v>1</v>
      </c>
      <c r="L3534" s="18"/>
    </row>
    <row r="3535" hidden="1">
      <c r="A3535" s="2">
        <f>IFERROR(__xludf.DUMMYFUNCTION("""COMPUTED_VALUE"""),129432.0)</f>
        <v>129432</v>
      </c>
      <c r="B3535" s="2">
        <f>IFERROR(__xludf.DUMMYFUNCTION("""COMPUTED_VALUE"""),0.0)</f>
        <v>0</v>
      </c>
      <c r="C3535" s="2">
        <f>IFERROR(__xludf.DUMMYFUNCTION("""COMPUTED_VALUE"""),30.0)</f>
        <v>30</v>
      </c>
      <c r="D3535" s="3">
        <f>IFERROR(__xludf.DUMMYFUNCTION("""COMPUTED_VALUE"""),3.0)</f>
        <v>3</v>
      </c>
      <c r="E3535" s="1" t="str">
        <f t="array" ref="E3535">_xlfn.XLOOKUP(A3535,Product!A:A,Product!B:B,"Bulunamadı")</f>
        <v>Finance</v>
      </c>
      <c r="F3535" s="1" t="str">
        <f t="array" ref="F3535">_xlfn.XLOOKUP(A3535,Product!A:A,Product!C:C,"Bulunamadı")</f>
        <v>Tax Law</v>
      </c>
      <c r="G3535" s="2" t="str">
        <f t="array" ref="G3535">_xlfn.XLOOKUP(A3536,Product!A:A,Product!D:D,"Bulunamadı")</f>
        <v>Harborcrest House</v>
      </c>
      <c r="H3535" s="2">
        <f t="array" ref="H3535">_xlfn.XLOOKUP(A3537,Product!A:A,Product!E:E,"Bulunamadı")</f>
        <v>23.55</v>
      </c>
      <c r="I3535" s="2" t="str">
        <f t="shared" si="1"/>
        <v>129432 - Finance - Tax Law</v>
      </c>
      <c r="J3535" s="2">
        <f t="shared" si="2"/>
        <v>70.65</v>
      </c>
      <c r="K3535" s="17">
        <f t="shared" si="3"/>
        <v>1</v>
      </c>
      <c r="L3535" s="18"/>
    </row>
    <row r="3536" hidden="1">
      <c r="A3536" s="2">
        <f>IFERROR(__xludf.DUMMYFUNCTION("""COMPUTED_VALUE"""),120052.0)</f>
        <v>120052</v>
      </c>
      <c r="B3536" s="2">
        <f>IFERROR(__xludf.DUMMYFUNCTION("""COMPUTED_VALUE"""),1.0)</f>
        <v>1</v>
      </c>
      <c r="C3536" s="2">
        <f>IFERROR(__xludf.DUMMYFUNCTION("""COMPUTED_VALUE"""),498.0)</f>
        <v>498</v>
      </c>
      <c r="D3536" s="3">
        <f>IFERROR(__xludf.DUMMYFUNCTION("""COMPUTED_VALUE"""),413.0)</f>
        <v>413</v>
      </c>
      <c r="E3536" s="1" t="str">
        <f t="array" ref="E3536">_xlfn.XLOOKUP(A3536,Product!A:A,Product!B:B,"Bulunamadı")</f>
        <v>Finance</v>
      </c>
      <c r="F3536" s="1" t="str">
        <f t="array" ref="F3536">_xlfn.XLOOKUP(A3536,Product!A:A,Product!C:C,"Bulunamadı")</f>
        <v>Tax Law</v>
      </c>
      <c r="G3536" s="2" t="str">
        <f t="array" ref="G3536">_xlfn.XLOOKUP(A3537,Product!A:A,Product!D:D,"Bulunamadı")</f>
        <v>Cedarcrest House</v>
      </c>
      <c r="H3536" s="2">
        <f t="array" ref="H3536">_xlfn.XLOOKUP(A3538,Product!A:A,Product!E:E,"Bulunamadı")</f>
        <v>5.18</v>
      </c>
      <c r="I3536" s="2" t="str">
        <f t="shared" si="1"/>
        <v>120052 - Finance - Tax Law</v>
      </c>
      <c r="J3536" s="2">
        <f t="shared" si="2"/>
        <v>2139.34</v>
      </c>
      <c r="K3536" s="17">
        <f t="shared" si="3"/>
        <v>1</v>
      </c>
      <c r="L3536" s="18"/>
    </row>
    <row r="3537" hidden="1">
      <c r="A3537" s="2">
        <f>IFERROR(__xludf.DUMMYFUNCTION("""COMPUTED_VALUE"""),111876.0)</f>
        <v>111876</v>
      </c>
      <c r="B3537" s="2">
        <f>IFERROR(__xludf.DUMMYFUNCTION("""COMPUTED_VALUE"""),0.0)</f>
        <v>0</v>
      </c>
      <c r="C3537" s="2">
        <f>IFERROR(__xludf.DUMMYFUNCTION("""COMPUTED_VALUE"""),721.0)</f>
        <v>721</v>
      </c>
      <c r="D3537" s="3">
        <f>IFERROR(__xludf.DUMMYFUNCTION("""COMPUTED_VALUE"""),673.0)</f>
        <v>673</v>
      </c>
      <c r="E3537" s="1" t="str">
        <f t="array" ref="E3537">_xlfn.XLOOKUP(A3537,Product!A:A,Product!B:B,"Bulunamadı")</f>
        <v>Finance</v>
      </c>
      <c r="F3537" s="1" t="str">
        <f t="array" ref="F3537">_xlfn.XLOOKUP(A3537,Product!A:A,Product!C:C,"Bulunamadı")</f>
        <v>Tax Law</v>
      </c>
      <c r="G3537" s="2" t="str">
        <f t="array" ref="G3537">_xlfn.XLOOKUP(A3538,Product!A:A,Product!D:D,"Bulunamadı")</f>
        <v>Brightcrest House</v>
      </c>
      <c r="H3537" s="2">
        <f t="array" ref="H3537">_xlfn.XLOOKUP(A3539,Product!A:A,Product!E:E,"Bulunamadı")</f>
        <v>11.01</v>
      </c>
      <c r="I3537" s="2" t="str">
        <f t="shared" si="1"/>
        <v>111876 - Finance - Tax Law</v>
      </c>
      <c r="J3537" s="2">
        <f t="shared" si="2"/>
        <v>7409.73</v>
      </c>
      <c r="K3537" s="17">
        <f t="shared" si="3"/>
        <v>1</v>
      </c>
      <c r="L3537" s="18"/>
    </row>
    <row r="3538" hidden="1">
      <c r="A3538" s="2">
        <f>IFERROR(__xludf.DUMMYFUNCTION("""COMPUTED_VALUE"""),85092.0)</f>
        <v>85092</v>
      </c>
      <c r="B3538" s="2">
        <f>IFERROR(__xludf.DUMMYFUNCTION("""COMPUTED_VALUE"""),0.0)</f>
        <v>0</v>
      </c>
      <c r="C3538" s="2">
        <f>IFERROR(__xludf.DUMMYFUNCTION("""COMPUTED_VALUE"""),221.0)</f>
        <v>221</v>
      </c>
      <c r="D3538" s="3">
        <f>IFERROR(__xludf.DUMMYFUNCTION("""COMPUTED_VALUE"""),184.0)</f>
        <v>184</v>
      </c>
      <c r="E3538" s="1" t="str">
        <f t="array" ref="E3538">_xlfn.XLOOKUP(A3538,Product!A:A,Product!B:B,"Bulunamadı")</f>
        <v>Finance</v>
      </c>
      <c r="F3538" s="1" t="str">
        <f t="array" ref="F3538">_xlfn.XLOOKUP(A3538,Product!A:A,Product!C:C,"Bulunamadı")</f>
        <v>Tax Law</v>
      </c>
      <c r="G3538" s="2" t="str">
        <f t="array" ref="G3538">_xlfn.XLOOKUP(A3539,Product!A:A,Product!D:D,"Bulunamadı")</f>
        <v>Brightcrest House</v>
      </c>
      <c r="H3538" s="2">
        <f t="array" ref="H3538">_xlfn.XLOOKUP(A3540,Product!A:A,Product!E:E,"Bulunamadı")</f>
        <v>5.15</v>
      </c>
      <c r="I3538" s="2" t="str">
        <f t="shared" si="1"/>
        <v>85092 - Finance - Tax Law</v>
      </c>
      <c r="J3538" s="2">
        <f t="shared" si="2"/>
        <v>947.6</v>
      </c>
      <c r="K3538" s="17">
        <f t="shared" si="3"/>
        <v>1</v>
      </c>
      <c r="L3538" s="18"/>
    </row>
    <row r="3539" hidden="1">
      <c r="A3539" s="2">
        <f>IFERROR(__xludf.DUMMYFUNCTION("""COMPUTED_VALUE"""),121046.0)</f>
        <v>121046</v>
      </c>
      <c r="B3539" s="2">
        <f>IFERROR(__xludf.DUMMYFUNCTION("""COMPUTED_VALUE"""),1.0)</f>
        <v>1</v>
      </c>
      <c r="C3539" s="2">
        <f>IFERROR(__xludf.DUMMYFUNCTION("""COMPUTED_VALUE"""),360.0)</f>
        <v>360</v>
      </c>
      <c r="D3539" s="3">
        <f>IFERROR(__xludf.DUMMYFUNCTION("""COMPUTED_VALUE"""),359.0)</f>
        <v>359</v>
      </c>
      <c r="E3539" s="1" t="str">
        <f t="array" ref="E3539">_xlfn.XLOOKUP(A3539,Product!A:A,Product!B:B,"Bulunamadı")</f>
        <v>Finance</v>
      </c>
      <c r="F3539" s="1" t="str">
        <f t="array" ref="F3539">_xlfn.XLOOKUP(A3539,Product!A:A,Product!C:C,"Bulunamadı")</f>
        <v>Tax Law</v>
      </c>
      <c r="G3539" s="2" t="str">
        <f t="array" ref="G3539">_xlfn.XLOOKUP(A3540,Product!A:A,Product!D:D,"Bulunamadı")</f>
        <v>Brightcrest House</v>
      </c>
      <c r="H3539" s="2">
        <f t="array" ref="H3539">_xlfn.XLOOKUP(A3541,Product!A:A,Product!E:E,"Bulunamadı")</f>
        <v>13.16</v>
      </c>
      <c r="I3539" s="2" t="str">
        <f t="shared" si="1"/>
        <v>121046 - Finance - Tax Law</v>
      </c>
      <c r="J3539" s="2">
        <f t="shared" si="2"/>
        <v>4724.44</v>
      </c>
      <c r="K3539" s="17">
        <f t="shared" si="3"/>
        <v>1</v>
      </c>
      <c r="L3539" s="18"/>
    </row>
    <row r="3540" hidden="1">
      <c r="A3540" s="2">
        <f>IFERROR(__xludf.DUMMYFUNCTION("""COMPUTED_VALUE"""),849.0)</f>
        <v>849</v>
      </c>
      <c r="B3540" s="2">
        <f>IFERROR(__xludf.DUMMYFUNCTION("""COMPUTED_VALUE"""),0.0)</f>
        <v>0</v>
      </c>
      <c r="C3540" s="2">
        <f>IFERROR(__xludf.DUMMYFUNCTION("""COMPUTED_VALUE"""),134.0)</f>
        <v>134</v>
      </c>
      <c r="D3540" s="3">
        <f>IFERROR(__xludf.DUMMYFUNCTION("""COMPUTED_VALUE"""),118.0)</f>
        <v>118</v>
      </c>
      <c r="E3540" s="1" t="str">
        <f t="array" ref="E3540">_xlfn.XLOOKUP(A3540,Product!A:A,Product!B:B,"Bulunamadı")</f>
        <v>Finance</v>
      </c>
      <c r="F3540" s="1" t="str">
        <f t="array" ref="F3540">_xlfn.XLOOKUP(A3540,Product!A:A,Product!C:C,"Bulunamadı")</f>
        <v>Tax Law</v>
      </c>
      <c r="G3540" s="2" t="str">
        <f t="array" ref="G3540">_xlfn.XLOOKUP(A3541,Product!A:A,Product!D:D,"Bulunamadı")</f>
        <v>Brightcrest House</v>
      </c>
      <c r="H3540" s="2">
        <f t="array" ref="H3540">_xlfn.XLOOKUP(A3542,Product!A:A,Product!E:E,"Bulunamadı")</f>
        <v>21.7</v>
      </c>
      <c r="I3540" s="2" t="str">
        <f t="shared" si="1"/>
        <v>849 - Finance - Tax Law</v>
      </c>
      <c r="J3540" s="2">
        <f t="shared" si="2"/>
        <v>2560.6</v>
      </c>
      <c r="K3540" s="17">
        <f t="shared" si="3"/>
        <v>1</v>
      </c>
      <c r="L3540" s="18"/>
    </row>
    <row r="3541" hidden="1">
      <c r="A3541" s="2">
        <f>IFERROR(__xludf.DUMMYFUNCTION("""COMPUTED_VALUE"""),21662.0)</f>
        <v>21662</v>
      </c>
      <c r="B3541" s="2">
        <f>IFERROR(__xludf.DUMMYFUNCTION("""COMPUTED_VALUE"""),0.0)</f>
        <v>0</v>
      </c>
      <c r="C3541" s="2">
        <f>IFERROR(__xludf.DUMMYFUNCTION("""COMPUTED_VALUE"""),915.0)</f>
        <v>915</v>
      </c>
      <c r="D3541" s="3">
        <f>IFERROR(__xludf.DUMMYFUNCTION("""COMPUTED_VALUE"""),905.0)</f>
        <v>905</v>
      </c>
      <c r="E3541" s="1" t="str">
        <f t="array" ref="E3541">_xlfn.XLOOKUP(A3541,Product!A:A,Product!B:B,"Bulunamadı")</f>
        <v>Finance</v>
      </c>
      <c r="F3541" s="1" t="str">
        <f t="array" ref="F3541">_xlfn.XLOOKUP(A3541,Product!A:A,Product!C:C,"Bulunamadı")</f>
        <v>Tax Law</v>
      </c>
      <c r="G3541" s="2" t="str">
        <f t="array" ref="G3541">_xlfn.XLOOKUP(A3542,Product!A:A,Product!D:D,"Bulunamadı")</f>
        <v>Brightcrest House</v>
      </c>
      <c r="H3541" s="2">
        <f t="array" ref="H3541">_xlfn.XLOOKUP(A3543,Product!A:A,Product!E:E,"Bulunamadı")</f>
        <v>15.4</v>
      </c>
      <c r="I3541" s="2" t="str">
        <f t="shared" si="1"/>
        <v>21662 - Finance - Tax Law</v>
      </c>
      <c r="J3541" s="2">
        <f t="shared" si="2"/>
        <v>13937</v>
      </c>
      <c r="K3541" s="17">
        <f t="shared" si="3"/>
        <v>1</v>
      </c>
      <c r="L3541" s="18"/>
    </row>
    <row r="3542" hidden="1">
      <c r="A3542" s="2">
        <f>IFERROR(__xludf.DUMMYFUNCTION("""COMPUTED_VALUE"""),127038.0)</f>
        <v>127038</v>
      </c>
      <c r="B3542" s="2">
        <f>IFERROR(__xludf.DUMMYFUNCTION("""COMPUTED_VALUE"""),0.0)</f>
        <v>0</v>
      </c>
      <c r="C3542" s="2">
        <f>IFERROR(__xludf.DUMMYFUNCTION("""COMPUTED_VALUE"""),841.0)</f>
        <v>841</v>
      </c>
      <c r="D3542" s="3">
        <f>IFERROR(__xludf.DUMMYFUNCTION("""COMPUTED_VALUE"""),555.0)</f>
        <v>555</v>
      </c>
      <c r="E3542" s="1" t="str">
        <f t="array" ref="E3542">_xlfn.XLOOKUP(A3542,Product!A:A,Product!B:B,"Bulunamadı")</f>
        <v>Finance</v>
      </c>
      <c r="F3542" s="1" t="str">
        <f t="array" ref="F3542">_xlfn.XLOOKUP(A3542,Product!A:A,Product!C:C,"Bulunamadı")</f>
        <v>Tax Law</v>
      </c>
      <c r="G3542" s="2" t="str">
        <f t="array" ref="G3542">_xlfn.XLOOKUP(A3543,Product!A:A,Product!D:D,"Bulunamadı")</f>
        <v>Brightcrest House</v>
      </c>
      <c r="H3542" s="2">
        <f t="array" ref="H3542">_xlfn.XLOOKUP(A3544,Product!A:A,Product!E:E,"Bulunamadı")</f>
        <v>9.34</v>
      </c>
      <c r="I3542" s="2" t="str">
        <f t="shared" si="1"/>
        <v>127038 - Finance - Tax Law</v>
      </c>
      <c r="J3542" s="2">
        <f t="shared" si="2"/>
        <v>5183.7</v>
      </c>
      <c r="K3542" s="17">
        <f t="shared" si="3"/>
        <v>1</v>
      </c>
      <c r="L3542" s="18"/>
    </row>
    <row r="3543" hidden="1">
      <c r="A3543" s="2">
        <f>IFERROR(__xludf.DUMMYFUNCTION("""COMPUTED_VALUE"""),91954.0)</f>
        <v>91954</v>
      </c>
      <c r="B3543" s="2">
        <f>IFERROR(__xludf.DUMMYFUNCTION("""COMPUTED_VALUE"""),1.0)</f>
        <v>1</v>
      </c>
      <c r="C3543" s="2">
        <f>IFERROR(__xludf.DUMMYFUNCTION("""COMPUTED_VALUE"""),755.0)</f>
        <v>755</v>
      </c>
      <c r="D3543" s="3">
        <f>IFERROR(__xludf.DUMMYFUNCTION("""COMPUTED_VALUE"""),102.0)</f>
        <v>102</v>
      </c>
      <c r="E3543" s="1" t="str">
        <f t="array" ref="E3543">_xlfn.XLOOKUP(A3543,Product!A:A,Product!B:B,"Bulunamadı")</f>
        <v>Finance</v>
      </c>
      <c r="F3543" s="1" t="str">
        <f t="array" ref="F3543">_xlfn.XLOOKUP(A3543,Product!A:A,Product!C:C,"Bulunamadı")</f>
        <v>Tax Law</v>
      </c>
      <c r="G3543" s="2" t="str">
        <f t="array" ref="G3543">_xlfn.XLOOKUP(A3544,Product!A:A,Product!D:D,"Bulunamadı")</f>
        <v>Oakcrest House</v>
      </c>
      <c r="H3543" s="2">
        <f t="array" ref="H3543">_xlfn.XLOOKUP(A3545,Product!A:A,Product!E:E,"Bulunamadı")</f>
        <v>11.34</v>
      </c>
      <c r="I3543" s="2" t="str">
        <f t="shared" si="1"/>
        <v>91954 - Finance - Tax Law</v>
      </c>
      <c r="J3543" s="2">
        <f t="shared" si="2"/>
        <v>1156.68</v>
      </c>
      <c r="K3543" s="17">
        <f t="shared" si="3"/>
        <v>1</v>
      </c>
      <c r="L3543" s="18"/>
    </row>
    <row r="3544" hidden="1">
      <c r="A3544" s="2">
        <f>IFERROR(__xludf.DUMMYFUNCTION("""COMPUTED_VALUE"""),96365.0)</f>
        <v>96365</v>
      </c>
      <c r="B3544" s="2">
        <f>IFERROR(__xludf.DUMMYFUNCTION("""COMPUTED_VALUE"""),1.0)</f>
        <v>1</v>
      </c>
      <c r="C3544" s="2">
        <f>IFERROR(__xludf.DUMMYFUNCTION("""COMPUTED_VALUE"""),170.0)</f>
        <v>170</v>
      </c>
      <c r="D3544" s="3">
        <f>IFERROR(__xludf.DUMMYFUNCTION("""COMPUTED_VALUE"""),21.0)</f>
        <v>21</v>
      </c>
      <c r="E3544" s="1" t="str">
        <f t="array" ref="E3544">_xlfn.XLOOKUP(A3544,Product!A:A,Product!B:B,"Bulunamadı")</f>
        <v>Finance</v>
      </c>
      <c r="F3544" s="1" t="str">
        <f t="array" ref="F3544">_xlfn.XLOOKUP(A3544,Product!A:A,Product!C:C,"Bulunamadı")</f>
        <v>Tax Law</v>
      </c>
      <c r="G3544" s="2" t="str">
        <f t="array" ref="G3544">_xlfn.XLOOKUP(A3545,Product!A:A,Product!D:D,"Bulunamadı")</f>
        <v>Oakcrest House</v>
      </c>
      <c r="H3544" s="2">
        <f t="array" ref="H3544">_xlfn.XLOOKUP(A3546,Product!A:A,Product!E:E,"Bulunamadı")</f>
        <v>12.26</v>
      </c>
      <c r="I3544" s="2" t="str">
        <f t="shared" si="1"/>
        <v>96365 - Finance - Tax Law</v>
      </c>
      <c r="J3544" s="2">
        <f t="shared" si="2"/>
        <v>257.46</v>
      </c>
      <c r="K3544" s="17">
        <f t="shared" si="3"/>
        <v>1</v>
      </c>
      <c r="L3544" s="18"/>
    </row>
    <row r="3545" hidden="1">
      <c r="A3545" s="2">
        <f>IFERROR(__xludf.DUMMYFUNCTION("""COMPUTED_VALUE"""),121172.0)</f>
        <v>121172</v>
      </c>
      <c r="B3545" s="2">
        <f>IFERROR(__xludf.DUMMYFUNCTION("""COMPUTED_VALUE"""),0.0)</f>
        <v>0</v>
      </c>
      <c r="C3545" s="2">
        <f>IFERROR(__xludf.DUMMYFUNCTION("""COMPUTED_VALUE"""),565.0)</f>
        <v>565</v>
      </c>
      <c r="D3545" s="3">
        <f>IFERROR(__xludf.DUMMYFUNCTION("""COMPUTED_VALUE"""),67.0)</f>
        <v>67</v>
      </c>
      <c r="E3545" s="1" t="str">
        <f t="array" ref="E3545">_xlfn.XLOOKUP(A3545,Product!A:A,Product!B:B,"Bulunamadı")</f>
        <v>Finance</v>
      </c>
      <c r="F3545" s="1" t="str">
        <f t="array" ref="F3545">_xlfn.XLOOKUP(A3545,Product!A:A,Product!C:C,"Bulunamadı")</f>
        <v>Tax Law</v>
      </c>
      <c r="G3545" s="2" t="str">
        <f t="array" ref="G3545">_xlfn.XLOOKUP(A3546,Product!A:A,Product!D:D,"Bulunamadı")</f>
        <v>Oakcrest House</v>
      </c>
      <c r="H3545" s="2">
        <f t="array" ref="H3545">_xlfn.XLOOKUP(A3547,Product!A:A,Product!E:E,"Bulunamadı")</f>
        <v>15.58</v>
      </c>
      <c r="I3545" s="2" t="str">
        <f t="shared" si="1"/>
        <v>121172 - Finance - Tax Law</v>
      </c>
      <c r="J3545" s="2">
        <f t="shared" si="2"/>
        <v>1043.86</v>
      </c>
      <c r="K3545" s="17">
        <f t="shared" si="3"/>
        <v>1</v>
      </c>
      <c r="L3545" s="18"/>
    </row>
    <row r="3546" hidden="1">
      <c r="A3546" s="2">
        <f>IFERROR(__xludf.DUMMYFUNCTION("""COMPUTED_VALUE"""),74331.0)</f>
        <v>74331</v>
      </c>
      <c r="B3546" s="2">
        <f>IFERROR(__xludf.DUMMYFUNCTION("""COMPUTED_VALUE"""),1.0)</f>
        <v>1</v>
      </c>
      <c r="C3546" s="2">
        <f>IFERROR(__xludf.DUMMYFUNCTION("""COMPUTED_VALUE"""),15.0)</f>
        <v>15</v>
      </c>
      <c r="D3546" s="3">
        <f>IFERROR(__xludf.DUMMYFUNCTION("""COMPUTED_VALUE"""),9.0)</f>
        <v>9</v>
      </c>
      <c r="E3546" s="1" t="str">
        <f t="array" ref="E3546">_xlfn.XLOOKUP(A3546,Product!A:A,Product!B:B,"Bulunamadı")</f>
        <v>Finance</v>
      </c>
      <c r="F3546" s="1" t="str">
        <f t="array" ref="F3546">_xlfn.XLOOKUP(A3546,Product!A:A,Product!C:C,"Bulunamadı")</f>
        <v>Tax Law</v>
      </c>
      <c r="G3546" s="2" t="str">
        <f t="array" ref="G3546">_xlfn.XLOOKUP(A3547,Product!A:A,Product!D:D,"Bulunamadı")</f>
        <v>Oakcrest House</v>
      </c>
      <c r="H3546" s="2">
        <f t="array" ref="H3546">_xlfn.XLOOKUP(A3548,Product!A:A,Product!E:E,"Bulunamadı")</f>
        <v>14.37</v>
      </c>
      <c r="I3546" s="2" t="str">
        <f t="shared" si="1"/>
        <v>74331 - Finance - Tax Law</v>
      </c>
      <c r="J3546" s="2">
        <f t="shared" si="2"/>
        <v>129.33</v>
      </c>
      <c r="K3546" s="17">
        <f t="shared" si="3"/>
        <v>1</v>
      </c>
      <c r="L3546" s="18"/>
    </row>
    <row r="3547" hidden="1">
      <c r="A3547" s="2">
        <f>IFERROR(__xludf.DUMMYFUNCTION("""COMPUTED_VALUE"""),105657.0)</f>
        <v>105657</v>
      </c>
      <c r="B3547" s="2">
        <f>IFERROR(__xludf.DUMMYFUNCTION("""COMPUTED_VALUE"""),1.0)</f>
        <v>1</v>
      </c>
      <c r="C3547" s="2">
        <f>IFERROR(__xludf.DUMMYFUNCTION("""COMPUTED_VALUE"""),206.0)</f>
        <v>206</v>
      </c>
      <c r="D3547" s="3">
        <f>IFERROR(__xludf.DUMMYFUNCTION("""COMPUTED_VALUE"""),108.0)</f>
        <v>108</v>
      </c>
      <c r="E3547" s="1" t="str">
        <f t="array" ref="E3547">_xlfn.XLOOKUP(A3547,Product!A:A,Product!B:B,"Bulunamadı")</f>
        <v>Finance</v>
      </c>
      <c r="F3547" s="1" t="str">
        <f t="array" ref="F3547">_xlfn.XLOOKUP(A3547,Product!A:A,Product!C:C,"Bulunamadı")</f>
        <v>Tax Law</v>
      </c>
      <c r="G3547" s="2" t="str">
        <f t="array" ref="G3547">_xlfn.XLOOKUP(A3548,Product!A:A,Product!D:D,"Bulunamadı")</f>
        <v>Oakcrest House</v>
      </c>
      <c r="H3547" s="2">
        <f t="array" ref="H3547">_xlfn.XLOOKUP(A3549,Product!A:A,Product!E:E,"Bulunamadı")</f>
        <v>5.14</v>
      </c>
      <c r="I3547" s="2" t="str">
        <f t="shared" si="1"/>
        <v>105657 - Finance - Tax Law</v>
      </c>
      <c r="J3547" s="2">
        <f t="shared" si="2"/>
        <v>555.12</v>
      </c>
      <c r="K3547" s="17">
        <f t="shared" si="3"/>
        <v>1</v>
      </c>
      <c r="L3547" s="18"/>
    </row>
    <row r="3548" hidden="1">
      <c r="A3548" s="2">
        <f>IFERROR(__xludf.DUMMYFUNCTION("""COMPUTED_VALUE"""),113716.0)</f>
        <v>113716</v>
      </c>
      <c r="B3548" s="2">
        <f>IFERROR(__xludf.DUMMYFUNCTION("""COMPUTED_VALUE"""),1.0)</f>
        <v>1</v>
      </c>
      <c r="C3548" s="2">
        <f>IFERROR(__xludf.DUMMYFUNCTION("""COMPUTED_VALUE"""),144.0)</f>
        <v>144</v>
      </c>
      <c r="D3548" s="3">
        <f>IFERROR(__xludf.DUMMYFUNCTION("""COMPUTED_VALUE"""),120.0)</f>
        <v>120</v>
      </c>
      <c r="E3548" s="1" t="str">
        <f t="array" ref="E3548">_xlfn.XLOOKUP(A3548,Product!A:A,Product!B:B,"Bulunamadı")</f>
        <v>Finance</v>
      </c>
      <c r="F3548" s="1" t="str">
        <f t="array" ref="F3548">_xlfn.XLOOKUP(A3548,Product!A:A,Product!C:C,"Bulunamadı")</f>
        <v>Tax Law</v>
      </c>
      <c r="G3548" s="2" t="str">
        <f t="array" ref="G3548">_xlfn.XLOOKUP(A3549,Product!A:A,Product!D:D,"Bulunamadı")</f>
        <v>Oakcrest House</v>
      </c>
      <c r="H3548" s="2">
        <f t="array" ref="H3548">_xlfn.XLOOKUP(A3550,Product!A:A,Product!E:E,"Bulunamadı")</f>
        <v>8.26</v>
      </c>
      <c r="I3548" s="2" t="str">
        <f t="shared" si="1"/>
        <v>113716 - Finance - Tax Law</v>
      </c>
      <c r="J3548" s="2">
        <f t="shared" si="2"/>
        <v>991.2</v>
      </c>
      <c r="K3548" s="17">
        <f t="shared" si="3"/>
        <v>1</v>
      </c>
      <c r="L3548" s="18"/>
    </row>
    <row r="3549" hidden="1">
      <c r="A3549" s="2">
        <f>IFERROR(__xludf.DUMMYFUNCTION("""COMPUTED_VALUE"""),104510.0)</f>
        <v>104510</v>
      </c>
      <c r="B3549" s="2">
        <f>IFERROR(__xludf.DUMMYFUNCTION("""COMPUTED_VALUE"""),0.0)</f>
        <v>0</v>
      </c>
      <c r="C3549" s="2">
        <f>IFERROR(__xludf.DUMMYFUNCTION("""COMPUTED_VALUE"""),881.0)</f>
        <v>881</v>
      </c>
      <c r="D3549" s="3">
        <f>IFERROR(__xludf.DUMMYFUNCTION("""COMPUTED_VALUE"""),456.0)</f>
        <v>456</v>
      </c>
      <c r="E3549" s="1" t="str">
        <f t="array" ref="E3549">_xlfn.XLOOKUP(A3549,Product!A:A,Product!B:B,"Bulunamadı")</f>
        <v>Finance</v>
      </c>
      <c r="F3549" s="1" t="str">
        <f t="array" ref="F3549">_xlfn.XLOOKUP(A3549,Product!A:A,Product!C:C,"Bulunamadı")</f>
        <v>Tax Law</v>
      </c>
      <c r="G3549" s="2" t="str">
        <f t="array" ref="G3549">_xlfn.XLOOKUP(A3550,Product!A:A,Product!D:D,"Bulunamadı")</f>
        <v>Oakcrest House</v>
      </c>
      <c r="H3549" s="2">
        <f t="array" ref="H3549">_xlfn.XLOOKUP(A3551,Product!A:A,Product!E:E,"Bulunamadı")</f>
        <v>8.41</v>
      </c>
      <c r="I3549" s="2" t="str">
        <f t="shared" si="1"/>
        <v>104510 - Finance - Tax Law</v>
      </c>
      <c r="J3549" s="2">
        <f t="shared" si="2"/>
        <v>3834.96</v>
      </c>
      <c r="K3549" s="17">
        <f t="shared" si="3"/>
        <v>1</v>
      </c>
      <c r="L3549" s="18"/>
    </row>
    <row r="3550" hidden="1">
      <c r="A3550" s="2">
        <f>IFERROR(__xludf.DUMMYFUNCTION("""COMPUTED_VALUE"""),105059.0)</f>
        <v>105059</v>
      </c>
      <c r="B3550" s="2">
        <f>IFERROR(__xludf.DUMMYFUNCTION("""COMPUTED_VALUE"""),1.0)</f>
        <v>1</v>
      </c>
      <c r="C3550" s="2">
        <f>IFERROR(__xludf.DUMMYFUNCTION("""COMPUTED_VALUE"""),683.0)</f>
        <v>683</v>
      </c>
      <c r="D3550" s="3">
        <f>IFERROR(__xludf.DUMMYFUNCTION("""COMPUTED_VALUE"""),472.0)</f>
        <v>472</v>
      </c>
      <c r="E3550" s="1" t="str">
        <f t="array" ref="E3550">_xlfn.XLOOKUP(A3550,Product!A:A,Product!B:B,"Bulunamadı")</f>
        <v>Finance</v>
      </c>
      <c r="F3550" s="1" t="str">
        <f t="array" ref="F3550">_xlfn.XLOOKUP(A3550,Product!A:A,Product!C:C,"Bulunamadı")</f>
        <v>Tax Law</v>
      </c>
      <c r="G3550" s="2" t="str">
        <f t="array" ref="G3550">_xlfn.XLOOKUP(A3551,Product!A:A,Product!D:D,"Bulunamadı")</f>
        <v>Oakcrest House</v>
      </c>
      <c r="H3550" s="2">
        <f t="array" ref="H3550">_xlfn.XLOOKUP(A3552,Product!A:A,Product!E:E,"Bulunamadı")</f>
        <v>26.53</v>
      </c>
      <c r="I3550" s="2" t="str">
        <f t="shared" si="1"/>
        <v>105059 - Finance - Tax Law</v>
      </c>
      <c r="J3550" s="2">
        <f t="shared" si="2"/>
        <v>12522.16</v>
      </c>
      <c r="K3550" s="17">
        <f t="shared" si="3"/>
        <v>1</v>
      </c>
      <c r="L3550" s="18"/>
    </row>
    <row r="3551" hidden="1">
      <c r="A3551" s="2">
        <f>IFERROR(__xludf.DUMMYFUNCTION("""COMPUTED_VALUE"""),63608.0)</f>
        <v>63608</v>
      </c>
      <c r="B3551" s="2">
        <f>IFERROR(__xludf.DUMMYFUNCTION("""COMPUTED_VALUE"""),0.0)</f>
        <v>0</v>
      </c>
      <c r="C3551" s="2">
        <f>IFERROR(__xludf.DUMMYFUNCTION("""COMPUTED_VALUE"""),293.0)</f>
        <v>293</v>
      </c>
      <c r="D3551" s="3">
        <f>IFERROR(__xludf.DUMMYFUNCTION("""COMPUTED_VALUE"""),144.0)</f>
        <v>144</v>
      </c>
      <c r="E3551" s="1" t="str">
        <f t="array" ref="E3551">_xlfn.XLOOKUP(A3551,Product!A:A,Product!B:B,"Bulunamadı")</f>
        <v>Finance</v>
      </c>
      <c r="F3551" s="1" t="str">
        <f t="array" ref="F3551">_xlfn.XLOOKUP(A3551,Product!A:A,Product!C:C,"Bulunamadı")</f>
        <v>Tax Law</v>
      </c>
      <c r="G3551" s="2" t="str">
        <f t="array" ref="G3551">_xlfn.XLOOKUP(A3552,Product!A:A,Product!D:D,"Bulunamadı")</f>
        <v>Oakcrest House</v>
      </c>
      <c r="H3551" s="2">
        <f t="array" ref="H3551">_xlfn.XLOOKUP(A3553,Product!A:A,Product!E:E,"Bulunamadı")</f>
        <v>11.49</v>
      </c>
      <c r="I3551" s="2" t="str">
        <f t="shared" si="1"/>
        <v>63608 - Finance - Tax Law</v>
      </c>
      <c r="J3551" s="2">
        <f t="shared" si="2"/>
        <v>1654.56</v>
      </c>
      <c r="K3551" s="17">
        <f t="shared" si="3"/>
        <v>1</v>
      </c>
      <c r="L3551" s="18"/>
    </row>
    <row r="3552" hidden="1">
      <c r="A3552" s="2">
        <f>IFERROR(__xludf.DUMMYFUNCTION("""COMPUTED_VALUE"""),121095.0)</f>
        <v>121095</v>
      </c>
      <c r="B3552" s="2">
        <f>IFERROR(__xludf.DUMMYFUNCTION("""COMPUTED_VALUE"""),0.0)</f>
        <v>0</v>
      </c>
      <c r="C3552" s="2">
        <f>IFERROR(__xludf.DUMMYFUNCTION("""COMPUTED_VALUE"""),500.0)</f>
        <v>500</v>
      </c>
      <c r="D3552" s="3">
        <f>IFERROR(__xludf.DUMMYFUNCTION("""COMPUTED_VALUE"""),266.0)</f>
        <v>266</v>
      </c>
      <c r="E3552" s="1" t="str">
        <f t="array" ref="E3552">_xlfn.XLOOKUP(A3552,Product!A:A,Product!B:B,"Bulunamadı")</f>
        <v>Finance</v>
      </c>
      <c r="F3552" s="1" t="str">
        <f t="array" ref="F3552">_xlfn.XLOOKUP(A3552,Product!A:A,Product!C:C,"Bulunamadı")</f>
        <v>Tax Law</v>
      </c>
      <c r="G3552" s="2" t="str">
        <f t="array" ref="G3552">_xlfn.XLOOKUP(A3553,Product!A:A,Product!D:D,"Bulunamadı")</f>
        <v>Oakcrest House</v>
      </c>
      <c r="H3552" s="2">
        <f t="array" ref="H3552">_xlfn.XLOOKUP(A3554,Product!A:A,Product!E:E,"Bulunamadı")</f>
        <v>11.59</v>
      </c>
      <c r="I3552" s="2" t="str">
        <f t="shared" si="1"/>
        <v>121095 - Finance - Tax Law</v>
      </c>
      <c r="J3552" s="2">
        <f t="shared" si="2"/>
        <v>3082.94</v>
      </c>
      <c r="K3552" s="17">
        <f t="shared" si="3"/>
        <v>1</v>
      </c>
      <c r="L3552" s="18"/>
    </row>
    <row r="3553" hidden="1">
      <c r="A3553" s="2">
        <f>IFERROR(__xludf.DUMMYFUNCTION("""COMPUTED_VALUE"""),76450.0)</f>
        <v>76450</v>
      </c>
      <c r="B3553" s="2">
        <f>IFERROR(__xludf.DUMMYFUNCTION("""COMPUTED_VALUE"""),0.0)</f>
        <v>0</v>
      </c>
      <c r="C3553" s="2">
        <f>IFERROR(__xludf.DUMMYFUNCTION("""COMPUTED_VALUE"""),168.0)</f>
        <v>168</v>
      </c>
      <c r="D3553" s="3">
        <f>IFERROR(__xludf.DUMMYFUNCTION("""COMPUTED_VALUE"""),7.0)</f>
        <v>7</v>
      </c>
      <c r="E3553" s="1" t="str">
        <f t="array" ref="E3553">_xlfn.XLOOKUP(A3553,Product!A:A,Product!B:B,"Bulunamadı")</f>
        <v>Finance</v>
      </c>
      <c r="F3553" s="1" t="str">
        <f t="array" ref="F3553">_xlfn.XLOOKUP(A3553,Product!A:A,Product!C:C,"Bulunamadı")</f>
        <v>Tax Law</v>
      </c>
      <c r="G3553" s="2" t="str">
        <f t="array" ref="G3553">_xlfn.XLOOKUP(A3554,Product!A:A,Product!D:D,"Bulunamadı")</f>
        <v>Oakcrest House</v>
      </c>
      <c r="H3553" s="2">
        <f t="array" ref="H3553">_xlfn.XLOOKUP(A3555,Product!A:A,Product!E:E,"Bulunamadı")</f>
        <v>7.61</v>
      </c>
      <c r="I3553" s="2" t="str">
        <f t="shared" si="1"/>
        <v>76450 - Finance - Tax Law</v>
      </c>
      <c r="J3553" s="2">
        <f t="shared" si="2"/>
        <v>53.27</v>
      </c>
      <c r="K3553" s="17">
        <f t="shared" si="3"/>
        <v>1</v>
      </c>
      <c r="L3553" s="18"/>
    </row>
    <row r="3554" hidden="1">
      <c r="A3554" s="2">
        <f>IFERROR(__xludf.DUMMYFUNCTION("""COMPUTED_VALUE"""),121012.0)</f>
        <v>121012</v>
      </c>
      <c r="B3554" s="2">
        <f>IFERROR(__xludf.DUMMYFUNCTION("""COMPUTED_VALUE"""),0.0)</f>
        <v>0</v>
      </c>
      <c r="C3554" s="2">
        <f>IFERROR(__xludf.DUMMYFUNCTION("""COMPUTED_VALUE"""),791.0)</f>
        <v>791</v>
      </c>
      <c r="D3554" s="3">
        <f>IFERROR(__xludf.DUMMYFUNCTION("""COMPUTED_VALUE"""),83.0)</f>
        <v>83</v>
      </c>
      <c r="E3554" s="1" t="str">
        <f t="array" ref="E3554">_xlfn.XLOOKUP(A3554,Product!A:A,Product!B:B,"Bulunamadı")</f>
        <v>Finance</v>
      </c>
      <c r="F3554" s="1" t="str">
        <f t="array" ref="F3554">_xlfn.XLOOKUP(A3554,Product!A:A,Product!C:C,"Bulunamadı")</f>
        <v>Tax Law</v>
      </c>
      <c r="G3554" s="2" t="str">
        <f t="array" ref="G3554">_xlfn.XLOOKUP(A3555,Product!A:A,Product!D:D,"Bulunamadı")</f>
        <v>Oakcrest House</v>
      </c>
      <c r="H3554" s="2">
        <f t="array" ref="H3554">_xlfn.XLOOKUP(A3556,Product!A:A,Product!E:E,"Bulunamadı")</f>
        <v>24.6</v>
      </c>
      <c r="I3554" s="2" t="str">
        <f t="shared" si="1"/>
        <v>121012 - Finance - Tax Law</v>
      </c>
      <c r="J3554" s="2">
        <f t="shared" si="2"/>
        <v>2041.8</v>
      </c>
      <c r="K3554" s="17">
        <f t="shared" si="3"/>
        <v>1</v>
      </c>
      <c r="L3554" s="18"/>
    </row>
    <row r="3555" hidden="1">
      <c r="A3555" s="2">
        <f>IFERROR(__xludf.DUMMYFUNCTION("""COMPUTED_VALUE"""),113187.0)</f>
        <v>113187</v>
      </c>
      <c r="B3555" s="2">
        <f>IFERROR(__xludf.DUMMYFUNCTION("""COMPUTED_VALUE"""),0.0)</f>
        <v>0</v>
      </c>
      <c r="C3555" s="2">
        <f>IFERROR(__xludf.DUMMYFUNCTION("""COMPUTED_VALUE"""),798.0)</f>
        <v>798</v>
      </c>
      <c r="D3555" s="3">
        <f>IFERROR(__xludf.DUMMYFUNCTION("""COMPUTED_VALUE"""),665.0)</f>
        <v>665</v>
      </c>
      <c r="E3555" s="1" t="str">
        <f t="array" ref="E3555">_xlfn.XLOOKUP(A3555,Product!A:A,Product!B:B,"Bulunamadı")</f>
        <v>Finance</v>
      </c>
      <c r="F3555" s="1" t="str">
        <f t="array" ref="F3555">_xlfn.XLOOKUP(A3555,Product!A:A,Product!C:C,"Bulunamadı")</f>
        <v>Tax Law</v>
      </c>
      <c r="G3555" s="2" t="str">
        <f t="array" ref="G3555">_xlfn.XLOOKUP(A3556,Product!A:A,Product!D:D,"Bulunamadı")</f>
        <v>Rivercrest House</v>
      </c>
      <c r="H3555" s="2">
        <f t="array" ref="H3555">_xlfn.XLOOKUP(A3557,Product!A:A,Product!E:E,"Bulunamadı")</f>
        <v>24.46</v>
      </c>
      <c r="I3555" s="2" t="str">
        <f t="shared" si="1"/>
        <v>113187 - Finance - Tax Law</v>
      </c>
      <c r="J3555" s="2">
        <f t="shared" si="2"/>
        <v>16265.9</v>
      </c>
      <c r="K3555" s="17">
        <f t="shared" si="3"/>
        <v>1</v>
      </c>
      <c r="L3555" s="18"/>
    </row>
    <row r="3556" hidden="1">
      <c r="A3556" s="2">
        <f>IFERROR(__xludf.DUMMYFUNCTION("""COMPUTED_VALUE"""),101946.0)</f>
        <v>101946</v>
      </c>
      <c r="B3556" s="2">
        <f>IFERROR(__xludf.DUMMYFUNCTION("""COMPUTED_VALUE"""),0.0)</f>
        <v>0</v>
      </c>
      <c r="C3556" s="2">
        <f>IFERROR(__xludf.DUMMYFUNCTION("""COMPUTED_VALUE"""),353.0)</f>
        <v>353</v>
      </c>
      <c r="D3556" s="3">
        <f>IFERROR(__xludf.DUMMYFUNCTION("""COMPUTED_VALUE"""),41.0)</f>
        <v>41</v>
      </c>
      <c r="E3556" s="1" t="str">
        <f t="array" ref="E3556">_xlfn.XLOOKUP(A3556,Product!A:A,Product!B:B,"Bulunamadı")</f>
        <v>Finance</v>
      </c>
      <c r="F3556" s="1" t="str">
        <f t="array" ref="F3556">_xlfn.XLOOKUP(A3556,Product!A:A,Product!C:C,"Bulunamadı")</f>
        <v>Tax Law</v>
      </c>
      <c r="G3556" s="2" t="str">
        <f t="array" ref="G3556">_xlfn.XLOOKUP(A3557,Product!A:A,Product!D:D,"Bulunamadı")</f>
        <v>Rivercrest House</v>
      </c>
      <c r="H3556" s="2">
        <f t="array" ref="H3556">_xlfn.XLOOKUP(A3558,Product!A:A,Product!E:E,"Bulunamadı")</f>
        <v>30.61</v>
      </c>
      <c r="I3556" s="2" t="str">
        <f t="shared" si="1"/>
        <v>101946 - Finance - Tax Law</v>
      </c>
      <c r="J3556" s="2">
        <f t="shared" si="2"/>
        <v>1255.01</v>
      </c>
      <c r="K3556" s="17">
        <f t="shared" si="3"/>
        <v>1</v>
      </c>
      <c r="L3556" s="18"/>
    </row>
    <row r="3557" hidden="1">
      <c r="A3557" s="2">
        <f>IFERROR(__xludf.DUMMYFUNCTION("""COMPUTED_VALUE"""),117275.0)</f>
        <v>117275</v>
      </c>
      <c r="B3557" s="2">
        <f>IFERROR(__xludf.DUMMYFUNCTION("""COMPUTED_VALUE"""),0.0)</f>
        <v>0</v>
      </c>
      <c r="C3557" s="2">
        <f>IFERROR(__xludf.DUMMYFUNCTION("""COMPUTED_VALUE"""),596.0)</f>
        <v>596</v>
      </c>
      <c r="D3557" s="3">
        <f>IFERROR(__xludf.DUMMYFUNCTION("""COMPUTED_VALUE"""),539.0)</f>
        <v>539</v>
      </c>
      <c r="E3557" s="1" t="str">
        <f t="array" ref="E3557">_xlfn.XLOOKUP(A3557,Product!A:A,Product!B:B,"Bulunamadı")</f>
        <v>Finance</v>
      </c>
      <c r="F3557" s="1" t="str">
        <f t="array" ref="F3557">_xlfn.XLOOKUP(A3557,Product!A:A,Product!C:C,"Bulunamadı")</f>
        <v>Tax Law</v>
      </c>
      <c r="G3557" s="2" t="str">
        <f t="array" ref="G3557">_xlfn.XLOOKUP(A3558,Product!A:A,Product!D:D,"Bulunamadı")</f>
        <v>Rivercrest House</v>
      </c>
      <c r="H3557" s="2">
        <f t="array" ref="H3557">_xlfn.XLOOKUP(A3559,Product!A:A,Product!E:E,"Bulunamadı")</f>
        <v>15.43</v>
      </c>
      <c r="I3557" s="2" t="str">
        <f t="shared" si="1"/>
        <v>117275 - Finance - Tax Law</v>
      </c>
      <c r="J3557" s="2">
        <f t="shared" si="2"/>
        <v>8316.77</v>
      </c>
      <c r="K3557" s="17">
        <f t="shared" si="3"/>
        <v>1</v>
      </c>
      <c r="L3557" s="18"/>
    </row>
    <row r="3558" hidden="1">
      <c r="A3558" s="2">
        <f>IFERROR(__xludf.DUMMYFUNCTION("""COMPUTED_VALUE"""),117695.0)</f>
        <v>117695</v>
      </c>
      <c r="B3558" s="2">
        <f>IFERROR(__xludf.DUMMYFUNCTION("""COMPUTED_VALUE"""),0.0)</f>
        <v>0</v>
      </c>
      <c r="C3558" s="2">
        <f>IFERROR(__xludf.DUMMYFUNCTION("""COMPUTED_VALUE"""),718.0)</f>
        <v>718</v>
      </c>
      <c r="D3558" s="3">
        <f>IFERROR(__xludf.DUMMYFUNCTION("""COMPUTED_VALUE"""),586.0)</f>
        <v>586</v>
      </c>
      <c r="E3558" s="1" t="str">
        <f t="array" ref="E3558">_xlfn.XLOOKUP(A3558,Product!A:A,Product!B:B,"Bulunamadı")</f>
        <v>Finance</v>
      </c>
      <c r="F3558" s="1" t="str">
        <f t="array" ref="F3558">_xlfn.XLOOKUP(A3558,Product!A:A,Product!C:C,"Bulunamadı")</f>
        <v>Tax Law</v>
      </c>
      <c r="G3558" s="2" t="str">
        <f t="array" ref="G3558">_xlfn.XLOOKUP(A3559,Product!A:A,Product!D:D,"Bulunamadı")</f>
        <v>Ironcrest House</v>
      </c>
      <c r="H3558" s="2">
        <f t="array" ref="H3558">_xlfn.XLOOKUP(A3560,Product!A:A,Product!E:E,"Bulunamadı")</f>
        <v>13.51</v>
      </c>
      <c r="I3558" s="2" t="str">
        <f t="shared" si="1"/>
        <v>117695 - Finance - Tax Law</v>
      </c>
      <c r="J3558" s="2">
        <f t="shared" si="2"/>
        <v>7916.86</v>
      </c>
      <c r="K3558" s="17">
        <f t="shared" si="3"/>
        <v>1</v>
      </c>
      <c r="L3558" s="18"/>
    </row>
    <row r="3559" hidden="1">
      <c r="A3559" s="2">
        <f>IFERROR(__xludf.DUMMYFUNCTION("""COMPUTED_VALUE"""),74398.0)</f>
        <v>74398</v>
      </c>
      <c r="B3559" s="2">
        <f>IFERROR(__xludf.DUMMYFUNCTION("""COMPUTED_VALUE"""),1.0)</f>
        <v>1</v>
      </c>
      <c r="C3559" s="2">
        <f>IFERROR(__xludf.DUMMYFUNCTION("""COMPUTED_VALUE"""),782.0)</f>
        <v>782</v>
      </c>
      <c r="D3559" s="3">
        <f>IFERROR(__xludf.DUMMYFUNCTION("""COMPUTED_VALUE"""),722.0)</f>
        <v>722</v>
      </c>
      <c r="E3559" s="1" t="str">
        <f t="array" ref="E3559">_xlfn.XLOOKUP(A3559,Product!A:A,Product!B:B,"Bulunamadı")</f>
        <v>Finance</v>
      </c>
      <c r="F3559" s="1" t="str">
        <f t="array" ref="F3559">_xlfn.XLOOKUP(A3559,Product!A:A,Product!C:C,"Bulunamadı")</f>
        <v>Tax Law</v>
      </c>
      <c r="G3559" s="2" t="str">
        <f t="array" ref="G3559">_xlfn.XLOOKUP(A3560,Product!A:A,Product!D:D,"Bulunamadı")</f>
        <v>Ironcrest House</v>
      </c>
      <c r="H3559" s="2">
        <f t="array" ref="H3559">_xlfn.XLOOKUP(A3561,Product!A:A,Product!E:E,"Bulunamadı")</f>
        <v>11.44</v>
      </c>
      <c r="I3559" s="2" t="str">
        <f t="shared" si="1"/>
        <v>74398 - Finance - Tax Law</v>
      </c>
      <c r="J3559" s="2">
        <f t="shared" si="2"/>
        <v>8259.68</v>
      </c>
      <c r="K3559" s="17">
        <f t="shared" si="3"/>
        <v>1</v>
      </c>
      <c r="L3559" s="18"/>
    </row>
    <row r="3560" hidden="1">
      <c r="A3560" s="2">
        <f>IFERROR(__xludf.DUMMYFUNCTION("""COMPUTED_VALUE"""),105230.0)</f>
        <v>105230</v>
      </c>
      <c r="B3560" s="2">
        <f>IFERROR(__xludf.DUMMYFUNCTION("""COMPUTED_VALUE"""),0.0)</f>
        <v>0</v>
      </c>
      <c r="C3560" s="2">
        <f>IFERROR(__xludf.DUMMYFUNCTION("""COMPUTED_VALUE"""),288.0)</f>
        <v>288</v>
      </c>
      <c r="D3560" s="3">
        <f>IFERROR(__xludf.DUMMYFUNCTION("""COMPUTED_VALUE"""),218.0)</f>
        <v>218</v>
      </c>
      <c r="E3560" s="1" t="str">
        <f t="array" ref="E3560">_xlfn.XLOOKUP(A3560,Product!A:A,Product!B:B,"Bulunamadı")</f>
        <v>Finance</v>
      </c>
      <c r="F3560" s="1" t="str">
        <f t="array" ref="F3560">_xlfn.XLOOKUP(A3560,Product!A:A,Product!C:C,"Bulunamadı")</f>
        <v>Tax Law</v>
      </c>
      <c r="G3560" s="2" t="str">
        <f t="array" ref="G3560">_xlfn.XLOOKUP(A3561,Product!A:A,Product!D:D,"Bulunamadı")</f>
        <v>Ironcrest House</v>
      </c>
      <c r="H3560" s="2">
        <f t="array" ref="H3560">_xlfn.XLOOKUP(A3562,Product!A:A,Product!E:E,"Bulunamadı")</f>
        <v>18.49</v>
      </c>
      <c r="I3560" s="2" t="str">
        <f t="shared" si="1"/>
        <v>105230 - Finance - Tax Law</v>
      </c>
      <c r="J3560" s="2">
        <f t="shared" si="2"/>
        <v>4030.82</v>
      </c>
      <c r="K3560" s="17">
        <f t="shared" si="3"/>
        <v>1</v>
      </c>
      <c r="L3560" s="18"/>
    </row>
    <row r="3561" hidden="1">
      <c r="A3561" s="2">
        <f>IFERROR(__xludf.DUMMYFUNCTION("""COMPUTED_VALUE"""),112776.0)</f>
        <v>112776</v>
      </c>
      <c r="B3561" s="2">
        <f>IFERROR(__xludf.DUMMYFUNCTION("""COMPUTED_VALUE"""),0.0)</f>
        <v>0</v>
      </c>
      <c r="C3561" s="2">
        <f>IFERROR(__xludf.DUMMYFUNCTION("""COMPUTED_VALUE"""),276.0)</f>
        <v>276</v>
      </c>
      <c r="D3561" s="3">
        <f>IFERROR(__xludf.DUMMYFUNCTION("""COMPUTED_VALUE"""),80.0)</f>
        <v>80</v>
      </c>
      <c r="E3561" s="1" t="str">
        <f t="array" ref="E3561">_xlfn.XLOOKUP(A3561,Product!A:A,Product!B:B,"Bulunamadı")</f>
        <v>Finance</v>
      </c>
      <c r="F3561" s="1" t="str">
        <f t="array" ref="F3561">_xlfn.XLOOKUP(A3561,Product!A:A,Product!C:C,"Bulunamadı")</f>
        <v>Tax Law</v>
      </c>
      <c r="G3561" s="2" t="str">
        <f t="array" ref="G3561">_xlfn.XLOOKUP(A3562,Product!A:A,Product!D:D,"Bulunamadı")</f>
        <v>Ironcrest House</v>
      </c>
      <c r="H3561" s="2">
        <f t="array" ref="H3561">_xlfn.XLOOKUP(A3563,Product!A:A,Product!E:E,"Bulunamadı")</f>
        <v>21.59</v>
      </c>
      <c r="I3561" s="2" t="str">
        <f t="shared" si="1"/>
        <v>112776 - Finance - Tax Law</v>
      </c>
      <c r="J3561" s="2">
        <f t="shared" si="2"/>
        <v>1727.2</v>
      </c>
      <c r="K3561" s="17">
        <f t="shared" si="3"/>
        <v>1</v>
      </c>
      <c r="L3561" s="18"/>
    </row>
    <row r="3562" hidden="1">
      <c r="A3562" s="2">
        <f>IFERROR(__xludf.DUMMYFUNCTION("""COMPUTED_VALUE"""),23968.0)</f>
        <v>23968</v>
      </c>
      <c r="B3562" s="2">
        <f>IFERROR(__xludf.DUMMYFUNCTION("""COMPUTED_VALUE"""),0.0)</f>
        <v>0</v>
      </c>
      <c r="C3562" s="2">
        <f>IFERROR(__xludf.DUMMYFUNCTION("""COMPUTED_VALUE"""),819.0)</f>
        <v>819</v>
      </c>
      <c r="D3562" s="3">
        <f>IFERROR(__xludf.DUMMYFUNCTION("""COMPUTED_VALUE"""),600.0)</f>
        <v>600</v>
      </c>
      <c r="E3562" s="1" t="str">
        <f t="array" ref="E3562">_xlfn.XLOOKUP(A3562,Product!A:A,Product!B:B,"Bulunamadı")</f>
        <v>Finance</v>
      </c>
      <c r="F3562" s="1" t="str">
        <f t="array" ref="F3562">_xlfn.XLOOKUP(A3562,Product!A:A,Product!C:C,"Bulunamadı")</f>
        <v>Tax Law</v>
      </c>
      <c r="G3562" s="2" t="str">
        <f t="array" ref="G3562">_xlfn.XLOOKUP(A3563,Product!A:A,Product!D:D,"Bulunamadı")</f>
        <v>Ironcrest House</v>
      </c>
      <c r="H3562" s="2">
        <f t="array" ref="H3562">_xlfn.XLOOKUP(A3564,Product!A:A,Product!E:E,"Bulunamadı")</f>
        <v>13.14</v>
      </c>
      <c r="I3562" s="2" t="str">
        <f t="shared" si="1"/>
        <v>23968 - Finance - Tax Law</v>
      </c>
      <c r="J3562" s="2">
        <f t="shared" si="2"/>
        <v>7884</v>
      </c>
      <c r="K3562" s="17">
        <f t="shared" si="3"/>
        <v>1</v>
      </c>
      <c r="L3562" s="18"/>
    </row>
    <row r="3563" hidden="1">
      <c r="A3563" s="2">
        <f>IFERROR(__xludf.DUMMYFUNCTION("""COMPUTED_VALUE"""),127025.0)</f>
        <v>127025</v>
      </c>
      <c r="B3563" s="2">
        <f>IFERROR(__xludf.DUMMYFUNCTION("""COMPUTED_VALUE"""),1.0)</f>
        <v>1</v>
      </c>
      <c r="C3563" s="2">
        <f>IFERROR(__xludf.DUMMYFUNCTION("""COMPUTED_VALUE"""),934.0)</f>
        <v>934</v>
      </c>
      <c r="D3563" s="3">
        <f>IFERROR(__xludf.DUMMYFUNCTION("""COMPUTED_VALUE"""),654.0)</f>
        <v>654</v>
      </c>
      <c r="E3563" s="1" t="str">
        <f t="array" ref="E3563">_xlfn.XLOOKUP(A3563,Product!A:A,Product!B:B,"Bulunamadı")</f>
        <v>Finance</v>
      </c>
      <c r="F3563" s="1" t="str">
        <f t="array" ref="F3563">_xlfn.XLOOKUP(A3563,Product!A:A,Product!C:C,"Bulunamadı")</f>
        <v>Tax Law</v>
      </c>
      <c r="G3563" s="2" t="str">
        <f t="array" ref="G3563">_xlfn.XLOOKUP(A3564,Product!A:A,Product!D:D,"Bulunamadı")</f>
        <v>Silverline Publishing</v>
      </c>
      <c r="H3563" s="2">
        <f t="array" ref="H3563">_xlfn.XLOOKUP(A3565,Product!A:A,Product!E:E,"Bulunamadı")</f>
        <v>2.71</v>
      </c>
      <c r="I3563" s="2" t="str">
        <f t="shared" si="1"/>
        <v>127025 - Finance - Tax Law</v>
      </c>
      <c r="J3563" s="2">
        <f t="shared" si="2"/>
        <v>1772.34</v>
      </c>
      <c r="K3563" s="17">
        <f t="shared" si="3"/>
        <v>1</v>
      </c>
      <c r="L3563" s="18"/>
    </row>
    <row r="3564" hidden="1">
      <c r="A3564" s="2">
        <f>IFERROR(__xludf.DUMMYFUNCTION("""COMPUTED_VALUE"""),118956.0)</f>
        <v>118956</v>
      </c>
      <c r="B3564" s="2">
        <f>IFERROR(__xludf.DUMMYFUNCTION("""COMPUTED_VALUE"""),0.0)</f>
        <v>0</v>
      </c>
      <c r="C3564" s="2">
        <f>IFERROR(__xludf.DUMMYFUNCTION("""COMPUTED_VALUE"""),525.0)</f>
        <v>525</v>
      </c>
      <c r="D3564" s="3">
        <f>IFERROR(__xludf.DUMMYFUNCTION("""COMPUTED_VALUE"""),258.0)</f>
        <v>258</v>
      </c>
      <c r="E3564" s="1" t="str">
        <f t="array" ref="E3564">_xlfn.XLOOKUP(A3564,Product!A:A,Product!B:B,"Bulunamadı")</f>
        <v>Finance</v>
      </c>
      <c r="F3564" s="1" t="str">
        <f t="array" ref="F3564">_xlfn.XLOOKUP(A3564,Product!A:A,Product!C:C,"Bulunamadı")</f>
        <v>Tax Law</v>
      </c>
      <c r="G3564" s="2" t="str">
        <f t="array" ref="G3564">_xlfn.XLOOKUP(A3565,Product!A:A,Product!D:D,"Bulunamadı")</f>
        <v>Silverline Publishing</v>
      </c>
      <c r="H3564" s="2">
        <f t="array" ref="H3564">_xlfn.XLOOKUP(A3566,Product!A:A,Product!E:E,"Bulunamadı")</f>
        <v>9.04</v>
      </c>
      <c r="I3564" s="2" t="str">
        <f t="shared" si="1"/>
        <v>118956 - Finance - Tax Law</v>
      </c>
      <c r="J3564" s="2">
        <f t="shared" si="2"/>
        <v>2332.32</v>
      </c>
      <c r="K3564" s="17">
        <f t="shared" si="3"/>
        <v>1</v>
      </c>
      <c r="L3564" s="18"/>
    </row>
    <row r="3565" hidden="1">
      <c r="A3565" s="2">
        <f>IFERROR(__xludf.DUMMYFUNCTION("""COMPUTED_VALUE"""),118947.0)</f>
        <v>118947</v>
      </c>
      <c r="B3565" s="2">
        <f>IFERROR(__xludf.DUMMYFUNCTION("""COMPUTED_VALUE"""),1.0)</f>
        <v>1</v>
      </c>
      <c r="C3565" s="2">
        <f>IFERROR(__xludf.DUMMYFUNCTION("""COMPUTED_VALUE"""),13.0)</f>
        <v>13</v>
      </c>
      <c r="D3565" s="3">
        <f>IFERROR(__xludf.DUMMYFUNCTION("""COMPUTED_VALUE"""),8.0)</f>
        <v>8</v>
      </c>
      <c r="E3565" s="1" t="str">
        <f t="array" ref="E3565">_xlfn.XLOOKUP(A3565,Product!A:A,Product!B:B,"Bulunamadı")</f>
        <v>Finance</v>
      </c>
      <c r="F3565" s="1" t="str">
        <f t="array" ref="F3565">_xlfn.XLOOKUP(A3565,Product!A:A,Product!C:C,"Bulunamadı")</f>
        <v>Tax Law</v>
      </c>
      <c r="G3565" s="2" t="str">
        <f t="array" ref="G3565">_xlfn.XLOOKUP(A3566,Product!A:A,Product!D:D,"Bulunamadı")</f>
        <v>Silverline Publishing</v>
      </c>
      <c r="H3565" s="2">
        <f t="array" ref="H3565">_xlfn.XLOOKUP(A3567,Product!A:A,Product!E:E,"Bulunamadı")</f>
        <v>2.79</v>
      </c>
      <c r="I3565" s="2" t="str">
        <f t="shared" si="1"/>
        <v>118947 - Finance - Tax Law</v>
      </c>
      <c r="J3565" s="2">
        <f t="shared" si="2"/>
        <v>22.32</v>
      </c>
      <c r="K3565" s="17">
        <f t="shared" si="3"/>
        <v>1</v>
      </c>
      <c r="L3565" s="18"/>
    </row>
    <row r="3566" hidden="1">
      <c r="A3566" s="2">
        <f>IFERROR(__xludf.DUMMYFUNCTION("""COMPUTED_VALUE"""),95873.0)</f>
        <v>95873</v>
      </c>
      <c r="B3566" s="2">
        <f>IFERROR(__xludf.DUMMYFUNCTION("""COMPUTED_VALUE"""),0.0)</f>
        <v>0</v>
      </c>
      <c r="C3566" s="2">
        <f>IFERROR(__xludf.DUMMYFUNCTION("""COMPUTED_VALUE"""),540.0)</f>
        <v>540</v>
      </c>
      <c r="D3566" s="3">
        <f>IFERROR(__xludf.DUMMYFUNCTION("""COMPUTED_VALUE"""),457.0)</f>
        <v>457</v>
      </c>
      <c r="E3566" s="1" t="str">
        <f t="array" ref="E3566">_xlfn.XLOOKUP(A3566,Product!A:A,Product!B:B,"Bulunamadı")</f>
        <v>Finance</v>
      </c>
      <c r="F3566" s="1" t="str">
        <f t="array" ref="F3566">_xlfn.XLOOKUP(A3566,Product!A:A,Product!C:C,"Bulunamadı")</f>
        <v>Tax Law</v>
      </c>
      <c r="G3566" s="2" t="str">
        <f t="array" ref="G3566">_xlfn.XLOOKUP(A3567,Product!A:A,Product!D:D,"Bulunamadı")</f>
        <v>Silverline Publishing</v>
      </c>
      <c r="H3566" s="2">
        <f t="array" ref="H3566">_xlfn.XLOOKUP(A3568,Product!A:A,Product!E:E,"Bulunamadı")</f>
        <v>17.9</v>
      </c>
      <c r="I3566" s="2" t="str">
        <f t="shared" si="1"/>
        <v>95873 - Finance - Tax Law</v>
      </c>
      <c r="J3566" s="2">
        <f t="shared" si="2"/>
        <v>8180.3</v>
      </c>
      <c r="K3566" s="17">
        <f t="shared" si="3"/>
        <v>1</v>
      </c>
      <c r="L3566" s="18"/>
    </row>
    <row r="3567" hidden="1">
      <c r="A3567" s="2">
        <f>IFERROR(__xludf.DUMMYFUNCTION("""COMPUTED_VALUE"""),118946.0)</f>
        <v>118946</v>
      </c>
      <c r="B3567" s="2">
        <f>IFERROR(__xludf.DUMMYFUNCTION("""COMPUTED_VALUE"""),0.0)</f>
        <v>0</v>
      </c>
      <c r="C3567" s="2">
        <f>IFERROR(__xludf.DUMMYFUNCTION("""COMPUTED_VALUE"""),716.0)</f>
        <v>716</v>
      </c>
      <c r="D3567" s="3">
        <f>IFERROR(__xludf.DUMMYFUNCTION("""COMPUTED_VALUE"""),54.0)</f>
        <v>54</v>
      </c>
      <c r="E3567" s="1" t="str">
        <f t="array" ref="E3567">_xlfn.XLOOKUP(A3567,Product!A:A,Product!B:B,"Bulunamadı")</f>
        <v>Finance</v>
      </c>
      <c r="F3567" s="1" t="str">
        <f t="array" ref="F3567">_xlfn.XLOOKUP(A3567,Product!A:A,Product!C:C,"Bulunamadı")</f>
        <v>Tax Law</v>
      </c>
      <c r="G3567" s="2" t="str">
        <f t="array" ref="G3567">_xlfn.XLOOKUP(A3568,Product!A:A,Product!D:D,"Bulunamadı")</f>
        <v>Silverline Publishing</v>
      </c>
      <c r="H3567" s="2">
        <f t="array" ref="H3567">_xlfn.XLOOKUP(A3569,Product!A:A,Product!E:E,"Bulunamadı")</f>
        <v>18.17</v>
      </c>
      <c r="I3567" s="2" t="str">
        <f t="shared" si="1"/>
        <v>118946 - Finance - Tax Law</v>
      </c>
      <c r="J3567" s="2">
        <f t="shared" si="2"/>
        <v>981.18</v>
      </c>
      <c r="K3567" s="17">
        <f t="shared" si="3"/>
        <v>1</v>
      </c>
      <c r="L3567" s="18"/>
    </row>
    <row r="3568" hidden="1">
      <c r="A3568" s="2">
        <f>IFERROR(__xludf.DUMMYFUNCTION("""COMPUTED_VALUE"""),44991.0)</f>
        <v>44991</v>
      </c>
      <c r="B3568" s="2">
        <f>IFERROR(__xludf.DUMMYFUNCTION("""COMPUTED_VALUE"""),0.0)</f>
        <v>0</v>
      </c>
      <c r="C3568" s="2">
        <f>IFERROR(__xludf.DUMMYFUNCTION("""COMPUTED_VALUE"""),616.0)</f>
        <v>616</v>
      </c>
      <c r="D3568" s="3">
        <f>IFERROR(__xludf.DUMMYFUNCTION("""COMPUTED_VALUE"""),40.0)</f>
        <v>40</v>
      </c>
      <c r="E3568" s="1" t="str">
        <f t="array" ref="E3568">_xlfn.XLOOKUP(A3568,Product!A:A,Product!B:B,"Bulunamadı")</f>
        <v>Finance</v>
      </c>
      <c r="F3568" s="1" t="str">
        <f t="array" ref="F3568">_xlfn.XLOOKUP(A3568,Product!A:A,Product!C:C,"Bulunamadı")</f>
        <v>Tax Law</v>
      </c>
      <c r="G3568" s="2" t="str">
        <f t="array" ref="G3568">_xlfn.XLOOKUP(A3569,Product!A:A,Product!D:D,"Bulunamadı")</f>
        <v>Silverline Publishing</v>
      </c>
      <c r="H3568" s="2">
        <f t="array" ref="H3568">_xlfn.XLOOKUP(A3570,Product!A:A,Product!E:E,"Bulunamadı")</f>
        <v>6.55</v>
      </c>
      <c r="I3568" s="2" t="str">
        <f t="shared" si="1"/>
        <v>44991 - Finance - Tax Law</v>
      </c>
      <c r="J3568" s="2">
        <f t="shared" si="2"/>
        <v>262</v>
      </c>
      <c r="K3568" s="17">
        <f t="shared" si="3"/>
        <v>1</v>
      </c>
      <c r="L3568" s="18"/>
    </row>
    <row r="3569" hidden="1">
      <c r="A3569" s="2">
        <f>IFERROR(__xludf.DUMMYFUNCTION("""COMPUTED_VALUE"""),122398.0)</f>
        <v>122398</v>
      </c>
      <c r="B3569" s="2">
        <f>IFERROR(__xludf.DUMMYFUNCTION("""COMPUTED_VALUE"""),1.0)</f>
        <v>1</v>
      </c>
      <c r="C3569" s="2">
        <f>IFERROR(__xludf.DUMMYFUNCTION("""COMPUTED_VALUE"""),734.0)</f>
        <v>734</v>
      </c>
      <c r="D3569" s="3">
        <f>IFERROR(__xludf.DUMMYFUNCTION("""COMPUTED_VALUE"""),708.0)</f>
        <v>708</v>
      </c>
      <c r="E3569" s="1" t="str">
        <f t="array" ref="E3569">_xlfn.XLOOKUP(A3569,Product!A:A,Product!B:B,"Bulunamadı")</f>
        <v>Finance</v>
      </c>
      <c r="F3569" s="1" t="str">
        <f t="array" ref="F3569">_xlfn.XLOOKUP(A3569,Product!A:A,Product!C:C,"Bulunamadı")</f>
        <v>Tax Law</v>
      </c>
      <c r="G3569" s="2" t="str">
        <f t="array" ref="G3569">_xlfn.XLOOKUP(A3570,Product!A:A,Product!D:D,"Bulunamadı")</f>
        <v>Silverline Publishing</v>
      </c>
      <c r="H3569" s="2">
        <f t="array" ref="H3569">_xlfn.XLOOKUP(A3571,Product!A:A,Product!E:E,"Bulunamadı")</f>
        <v>13.67</v>
      </c>
      <c r="I3569" s="2" t="str">
        <f t="shared" si="1"/>
        <v>122398 - Finance - Tax Law</v>
      </c>
      <c r="J3569" s="2">
        <f t="shared" si="2"/>
        <v>9678.36</v>
      </c>
      <c r="K3569" s="17">
        <f t="shared" si="3"/>
        <v>1</v>
      </c>
      <c r="L3569" s="18"/>
    </row>
    <row r="3570" hidden="1">
      <c r="A3570" s="2">
        <f>IFERROR(__xludf.DUMMYFUNCTION("""COMPUTED_VALUE"""),108638.0)</f>
        <v>108638</v>
      </c>
      <c r="B3570" s="2">
        <f>IFERROR(__xludf.DUMMYFUNCTION("""COMPUTED_VALUE"""),0.0)</f>
        <v>0</v>
      </c>
      <c r="C3570" s="2">
        <f>IFERROR(__xludf.DUMMYFUNCTION("""COMPUTED_VALUE"""),500.0)</f>
        <v>500</v>
      </c>
      <c r="D3570" s="3">
        <f>IFERROR(__xludf.DUMMYFUNCTION("""COMPUTED_VALUE"""),238.0)</f>
        <v>238</v>
      </c>
      <c r="E3570" s="1" t="str">
        <f t="array" ref="E3570">_xlfn.XLOOKUP(A3570,Product!A:A,Product!B:B,"Bulunamadı")</f>
        <v>Finance</v>
      </c>
      <c r="F3570" s="1" t="str">
        <f t="array" ref="F3570">_xlfn.XLOOKUP(A3570,Product!A:A,Product!C:C,"Bulunamadı")</f>
        <v>Tax Law</v>
      </c>
      <c r="G3570" s="2" t="str">
        <f t="array" ref="G3570">_xlfn.XLOOKUP(A3571,Product!A:A,Product!D:D,"Bulunamadı")</f>
        <v>Northline Books</v>
      </c>
      <c r="H3570" s="2">
        <f t="array" ref="H3570">_xlfn.XLOOKUP(A3572,Product!A:A,Product!E:E,"Bulunamadı")</f>
        <v>3.43</v>
      </c>
      <c r="I3570" s="2" t="str">
        <f t="shared" si="1"/>
        <v>108638 - Finance - Tax Law</v>
      </c>
      <c r="J3570" s="2">
        <f t="shared" si="2"/>
        <v>816.34</v>
      </c>
      <c r="K3570" s="17">
        <f t="shared" si="3"/>
        <v>1</v>
      </c>
      <c r="L3570" s="18"/>
    </row>
    <row r="3571" hidden="1">
      <c r="A3571" s="2">
        <f>IFERROR(__xludf.DUMMYFUNCTION("""COMPUTED_VALUE"""),113633.0)</f>
        <v>113633</v>
      </c>
      <c r="B3571" s="2">
        <f>IFERROR(__xludf.DUMMYFUNCTION("""COMPUTED_VALUE"""),1.0)</f>
        <v>1</v>
      </c>
      <c r="C3571" s="2">
        <f>IFERROR(__xludf.DUMMYFUNCTION("""COMPUTED_VALUE"""),416.0)</f>
        <v>416</v>
      </c>
      <c r="D3571" s="3">
        <f>IFERROR(__xludf.DUMMYFUNCTION("""COMPUTED_VALUE"""),214.0)</f>
        <v>214</v>
      </c>
      <c r="E3571" s="1" t="str">
        <f t="array" ref="E3571">_xlfn.XLOOKUP(A3571,Product!A:A,Product!B:B,"Bulunamadı")</f>
        <v>Finance</v>
      </c>
      <c r="F3571" s="1" t="str">
        <f t="array" ref="F3571">_xlfn.XLOOKUP(A3571,Product!A:A,Product!C:C,"Bulunamadı")</f>
        <v>Tax Law</v>
      </c>
      <c r="G3571" s="2" t="str">
        <f t="array" ref="G3571">_xlfn.XLOOKUP(A3572,Product!A:A,Product!D:D,"Bulunamadı")</f>
        <v>Northline Books</v>
      </c>
      <c r="H3571" s="2">
        <f t="array" ref="H3571">_xlfn.XLOOKUP(A3573,Product!A:A,Product!E:E,"Bulunamadı")</f>
        <v>6.82</v>
      </c>
      <c r="I3571" s="2" t="str">
        <f t="shared" si="1"/>
        <v>113633 - Finance - Tax Law</v>
      </c>
      <c r="J3571" s="2">
        <f t="shared" si="2"/>
        <v>1459.48</v>
      </c>
      <c r="K3571" s="17">
        <f t="shared" si="3"/>
        <v>1</v>
      </c>
      <c r="L3571" s="18"/>
    </row>
    <row r="3572" hidden="1">
      <c r="A3572" s="2">
        <f>IFERROR(__xludf.DUMMYFUNCTION("""COMPUTED_VALUE"""),113649.0)</f>
        <v>113649</v>
      </c>
      <c r="B3572" s="2">
        <f>IFERROR(__xludf.DUMMYFUNCTION("""COMPUTED_VALUE"""),0.0)</f>
        <v>0</v>
      </c>
      <c r="C3572" s="2">
        <f>IFERROR(__xludf.DUMMYFUNCTION("""COMPUTED_VALUE"""),774.0)</f>
        <v>774</v>
      </c>
      <c r="D3572" s="3">
        <f>IFERROR(__xludf.DUMMYFUNCTION("""COMPUTED_VALUE"""),347.0)</f>
        <v>347</v>
      </c>
      <c r="E3572" s="1" t="str">
        <f t="array" ref="E3572">_xlfn.XLOOKUP(A3572,Product!A:A,Product!B:B,"Bulunamadı")</f>
        <v>Finance</v>
      </c>
      <c r="F3572" s="1" t="str">
        <f t="array" ref="F3572">_xlfn.XLOOKUP(A3572,Product!A:A,Product!C:C,"Bulunamadı")</f>
        <v>Tax Law</v>
      </c>
      <c r="G3572" s="2" t="str">
        <f t="array" ref="G3572">_xlfn.XLOOKUP(A3573,Product!A:A,Product!D:D,"Bulunamadı")</f>
        <v>Northline Books</v>
      </c>
      <c r="H3572" s="2">
        <f t="array" ref="H3572">_xlfn.XLOOKUP(A3574,Product!A:A,Product!E:E,"Bulunamadı")</f>
        <v>3.81</v>
      </c>
      <c r="I3572" s="2" t="str">
        <f t="shared" si="1"/>
        <v>113649 - Finance - Tax Law</v>
      </c>
      <c r="J3572" s="2">
        <f t="shared" si="2"/>
        <v>1322.07</v>
      </c>
      <c r="K3572" s="17">
        <f t="shared" si="3"/>
        <v>1</v>
      </c>
      <c r="L3572" s="18"/>
    </row>
    <row r="3573" hidden="1">
      <c r="A3573" s="2">
        <f>IFERROR(__xludf.DUMMYFUNCTION("""COMPUTED_VALUE"""),113619.0)</f>
        <v>113619</v>
      </c>
      <c r="B3573" s="2">
        <f>IFERROR(__xludf.DUMMYFUNCTION("""COMPUTED_VALUE"""),0.0)</f>
        <v>0</v>
      </c>
      <c r="C3573" s="2">
        <f>IFERROR(__xludf.DUMMYFUNCTION("""COMPUTED_VALUE"""),65.0)</f>
        <v>65</v>
      </c>
      <c r="D3573" s="3">
        <f>IFERROR(__xludf.DUMMYFUNCTION("""COMPUTED_VALUE"""),2.0)</f>
        <v>2</v>
      </c>
      <c r="E3573" s="1" t="str">
        <f t="array" ref="E3573">_xlfn.XLOOKUP(A3573,Product!A:A,Product!B:B,"Bulunamadı")</f>
        <v>Finance</v>
      </c>
      <c r="F3573" s="1" t="str">
        <f t="array" ref="F3573">_xlfn.XLOOKUP(A3573,Product!A:A,Product!C:C,"Bulunamadı")</f>
        <v>Tax Law</v>
      </c>
      <c r="G3573" s="2" t="str">
        <f t="array" ref="G3573">_xlfn.XLOOKUP(A3574,Product!A:A,Product!D:D,"Bulunamadı")</f>
        <v>Northline Books</v>
      </c>
      <c r="H3573" s="2">
        <f t="array" ref="H3573">_xlfn.XLOOKUP(A3575,Product!A:A,Product!E:E,"Bulunamadı")</f>
        <v>45.25</v>
      </c>
      <c r="I3573" s="2" t="str">
        <f t="shared" si="1"/>
        <v>113619 - Finance - Tax Law</v>
      </c>
      <c r="J3573" s="2">
        <f t="shared" si="2"/>
        <v>90.5</v>
      </c>
      <c r="K3573" s="17">
        <f t="shared" si="3"/>
        <v>1</v>
      </c>
      <c r="L3573" s="18"/>
    </row>
    <row r="3574" hidden="1">
      <c r="A3574" s="2">
        <f>IFERROR(__xludf.DUMMYFUNCTION("""COMPUTED_VALUE"""),113648.0)</f>
        <v>113648</v>
      </c>
      <c r="B3574" s="2">
        <f>IFERROR(__xludf.DUMMYFUNCTION("""COMPUTED_VALUE"""),0.0)</f>
        <v>0</v>
      </c>
      <c r="C3574" s="2">
        <f>IFERROR(__xludf.DUMMYFUNCTION("""COMPUTED_VALUE"""),258.0)</f>
        <v>258</v>
      </c>
      <c r="D3574" s="3">
        <f>IFERROR(__xludf.DUMMYFUNCTION("""COMPUTED_VALUE"""),141.0)</f>
        <v>141</v>
      </c>
      <c r="E3574" s="1" t="str">
        <f t="array" ref="E3574">_xlfn.XLOOKUP(A3574,Product!A:A,Product!B:B,"Bulunamadı")</f>
        <v>Finance</v>
      </c>
      <c r="F3574" s="1" t="str">
        <f t="array" ref="F3574">_xlfn.XLOOKUP(A3574,Product!A:A,Product!C:C,"Bulunamadı")</f>
        <v>Tax Law</v>
      </c>
      <c r="G3574" s="2" t="str">
        <f t="array" ref="G3574">_xlfn.XLOOKUP(A3575,Product!A:A,Product!D:D,"Bulunamadı")</f>
        <v>Northline Books</v>
      </c>
      <c r="H3574" s="2">
        <f t="array" ref="H3574">_xlfn.XLOOKUP(A3576,Product!A:A,Product!E:E,"Bulunamadı")</f>
        <v>6.75</v>
      </c>
      <c r="I3574" s="2" t="str">
        <f t="shared" si="1"/>
        <v>113648 - Finance - Tax Law</v>
      </c>
      <c r="J3574" s="2">
        <f t="shared" si="2"/>
        <v>951.75</v>
      </c>
      <c r="K3574" s="17">
        <f t="shared" si="3"/>
        <v>1</v>
      </c>
      <c r="L3574" s="18"/>
    </row>
    <row r="3575" hidden="1">
      <c r="A3575" s="2">
        <f>IFERROR(__xludf.DUMMYFUNCTION("""COMPUTED_VALUE"""),120889.0)</f>
        <v>120889</v>
      </c>
      <c r="B3575" s="2">
        <f>IFERROR(__xludf.DUMMYFUNCTION("""COMPUTED_VALUE"""),0.0)</f>
        <v>0</v>
      </c>
      <c r="C3575" s="2">
        <f>IFERROR(__xludf.DUMMYFUNCTION("""COMPUTED_VALUE"""),618.0)</f>
        <v>618</v>
      </c>
      <c r="D3575" s="3">
        <f>IFERROR(__xludf.DUMMYFUNCTION("""COMPUTED_VALUE"""),51.0)</f>
        <v>51</v>
      </c>
      <c r="E3575" s="1" t="str">
        <f t="array" ref="E3575">_xlfn.XLOOKUP(A3575,Product!A:A,Product!B:B,"Bulunamadı")</f>
        <v>Finance</v>
      </c>
      <c r="F3575" s="1" t="str">
        <f t="array" ref="F3575">_xlfn.XLOOKUP(A3575,Product!A:A,Product!C:C,"Bulunamadı")</f>
        <v>Tax Law</v>
      </c>
      <c r="G3575" s="2" t="str">
        <f t="array" ref="G3575">_xlfn.XLOOKUP(A3576,Product!A:A,Product!D:D,"Bulunamadı")</f>
        <v>Northline Books</v>
      </c>
      <c r="H3575" s="2">
        <f t="array" ref="H3575">_xlfn.XLOOKUP(A3577,Product!A:A,Product!E:E,"Bulunamadı")</f>
        <v>5.53</v>
      </c>
      <c r="I3575" s="2" t="str">
        <f t="shared" si="1"/>
        <v>120889 - Finance - Tax Law</v>
      </c>
      <c r="J3575" s="2">
        <f t="shared" si="2"/>
        <v>282.03</v>
      </c>
      <c r="K3575" s="17">
        <f t="shared" si="3"/>
        <v>1</v>
      </c>
      <c r="L3575" s="18"/>
    </row>
    <row r="3576" hidden="1">
      <c r="A3576" s="2">
        <f>IFERROR(__xludf.DUMMYFUNCTION("""COMPUTED_VALUE"""),113620.0)</f>
        <v>113620</v>
      </c>
      <c r="B3576" s="2">
        <f>IFERROR(__xludf.DUMMYFUNCTION("""COMPUTED_VALUE"""),1.0)</f>
        <v>1</v>
      </c>
      <c r="C3576" s="2">
        <f>IFERROR(__xludf.DUMMYFUNCTION("""COMPUTED_VALUE"""),962.0)</f>
        <v>962</v>
      </c>
      <c r="D3576" s="3">
        <f>IFERROR(__xludf.DUMMYFUNCTION("""COMPUTED_VALUE"""),21.0)</f>
        <v>21</v>
      </c>
      <c r="E3576" s="1" t="str">
        <f t="array" ref="E3576">_xlfn.XLOOKUP(A3576,Product!A:A,Product!B:B,"Bulunamadı")</f>
        <v>Finance</v>
      </c>
      <c r="F3576" s="1" t="str">
        <f t="array" ref="F3576">_xlfn.XLOOKUP(A3576,Product!A:A,Product!C:C,"Bulunamadı")</f>
        <v>Tax Law</v>
      </c>
      <c r="G3576" s="2" t="str">
        <f t="array" ref="G3576">_xlfn.XLOOKUP(A3577,Product!A:A,Product!D:D,"Bulunamadı")</f>
        <v>Northline Books</v>
      </c>
      <c r="H3576" s="2">
        <f t="array" ref="H3576">_xlfn.XLOOKUP(A3578,Product!A:A,Product!E:E,"Bulunamadı")</f>
        <v>6.48</v>
      </c>
      <c r="I3576" s="2" t="str">
        <f t="shared" si="1"/>
        <v>113620 - Finance - Tax Law</v>
      </c>
      <c r="J3576" s="2">
        <f t="shared" si="2"/>
        <v>136.08</v>
      </c>
      <c r="K3576" s="17">
        <f t="shared" si="3"/>
        <v>1</v>
      </c>
      <c r="L3576" s="18"/>
    </row>
    <row r="3577" hidden="1">
      <c r="A3577" s="2">
        <f>IFERROR(__xludf.DUMMYFUNCTION("""COMPUTED_VALUE"""),113626.0)</f>
        <v>113626</v>
      </c>
      <c r="B3577" s="2">
        <f>IFERROR(__xludf.DUMMYFUNCTION("""COMPUTED_VALUE"""),1.0)</f>
        <v>1</v>
      </c>
      <c r="C3577" s="2">
        <f>IFERROR(__xludf.DUMMYFUNCTION("""COMPUTED_VALUE"""),95.0)</f>
        <v>95</v>
      </c>
      <c r="D3577" s="3">
        <f>IFERROR(__xludf.DUMMYFUNCTION("""COMPUTED_VALUE"""),38.0)</f>
        <v>38</v>
      </c>
      <c r="E3577" s="1" t="str">
        <f t="array" ref="E3577">_xlfn.XLOOKUP(A3577,Product!A:A,Product!B:B,"Bulunamadı")</f>
        <v>Finance</v>
      </c>
      <c r="F3577" s="1" t="str">
        <f t="array" ref="F3577">_xlfn.XLOOKUP(A3577,Product!A:A,Product!C:C,"Bulunamadı")</f>
        <v>Tax Law</v>
      </c>
      <c r="G3577" s="2" t="str">
        <f t="array" ref="G3577">_xlfn.XLOOKUP(A3578,Product!A:A,Product!D:D,"Bulunamadı")</f>
        <v>Northline Books</v>
      </c>
      <c r="H3577" s="2">
        <f t="array" ref="H3577">_xlfn.XLOOKUP(A3579,Product!A:A,Product!E:E,"Bulunamadı")</f>
        <v>9.95</v>
      </c>
      <c r="I3577" s="2" t="str">
        <f t="shared" si="1"/>
        <v>113626 - Finance - Tax Law</v>
      </c>
      <c r="J3577" s="2">
        <f t="shared" si="2"/>
        <v>378.1</v>
      </c>
      <c r="K3577" s="17">
        <f t="shared" si="3"/>
        <v>1</v>
      </c>
      <c r="L3577" s="18"/>
    </row>
    <row r="3578" hidden="1">
      <c r="A3578" s="2">
        <f>IFERROR(__xludf.DUMMYFUNCTION("""COMPUTED_VALUE"""),113657.0)</f>
        <v>113657</v>
      </c>
      <c r="B3578" s="2">
        <f>IFERROR(__xludf.DUMMYFUNCTION("""COMPUTED_VALUE"""),1.0)</f>
        <v>1</v>
      </c>
      <c r="C3578" s="2">
        <f>IFERROR(__xludf.DUMMYFUNCTION("""COMPUTED_VALUE"""),11.0)</f>
        <v>11</v>
      </c>
      <c r="D3578" s="3">
        <f>IFERROR(__xludf.DUMMYFUNCTION("""COMPUTED_VALUE"""),10.0)</f>
        <v>10</v>
      </c>
      <c r="E3578" s="1" t="str">
        <f t="array" ref="E3578">_xlfn.XLOOKUP(A3578,Product!A:A,Product!B:B,"Bulunamadı")</f>
        <v>Finance</v>
      </c>
      <c r="F3578" s="1" t="str">
        <f t="array" ref="F3578">_xlfn.XLOOKUP(A3578,Product!A:A,Product!C:C,"Bulunamadı")</f>
        <v>Tax Law</v>
      </c>
      <c r="G3578" s="2" t="str">
        <f t="array" ref="G3578">_xlfn.XLOOKUP(A3579,Product!A:A,Product!D:D,"Bulunamadı")</f>
        <v>Northline Books</v>
      </c>
      <c r="H3578" s="2">
        <f t="array" ref="H3578">_xlfn.XLOOKUP(A3580,Product!A:A,Product!E:E,"Bulunamadı")</f>
        <v>14.22</v>
      </c>
      <c r="I3578" s="2" t="str">
        <f t="shared" si="1"/>
        <v>113657 - Finance - Tax Law</v>
      </c>
      <c r="J3578" s="2">
        <f t="shared" si="2"/>
        <v>142.2</v>
      </c>
      <c r="K3578" s="17">
        <f t="shared" si="3"/>
        <v>1</v>
      </c>
      <c r="L3578" s="18"/>
    </row>
    <row r="3579" hidden="1">
      <c r="A3579" s="2">
        <f>IFERROR(__xludf.DUMMYFUNCTION("""COMPUTED_VALUE"""),113645.0)</f>
        <v>113645</v>
      </c>
      <c r="B3579" s="2">
        <f>IFERROR(__xludf.DUMMYFUNCTION("""COMPUTED_VALUE"""),1.0)</f>
        <v>1</v>
      </c>
      <c r="C3579" s="2">
        <f>IFERROR(__xludf.DUMMYFUNCTION("""COMPUTED_VALUE"""),746.0)</f>
        <v>746</v>
      </c>
      <c r="D3579" s="3">
        <f>IFERROR(__xludf.DUMMYFUNCTION("""COMPUTED_VALUE"""),136.0)</f>
        <v>136</v>
      </c>
      <c r="E3579" s="1" t="str">
        <f t="array" ref="E3579">_xlfn.XLOOKUP(A3579,Product!A:A,Product!B:B,"Bulunamadı")</f>
        <v>Finance</v>
      </c>
      <c r="F3579" s="1" t="str">
        <f t="array" ref="F3579">_xlfn.XLOOKUP(A3579,Product!A:A,Product!C:C,"Bulunamadı")</f>
        <v>Tax Law</v>
      </c>
      <c r="G3579" s="2" t="str">
        <f t="array" ref="G3579">_xlfn.XLOOKUP(A3580,Product!A:A,Product!D:D,"Bulunamadı")</f>
        <v>Harborline Press</v>
      </c>
      <c r="H3579" s="2">
        <f t="array" ref="H3579">_xlfn.XLOOKUP(A3581,Product!A:A,Product!E:E,"Bulunamadı")</f>
        <v>20.63</v>
      </c>
      <c r="I3579" s="2" t="str">
        <f t="shared" si="1"/>
        <v>113645 - Finance - Tax Law</v>
      </c>
      <c r="J3579" s="2">
        <f t="shared" si="2"/>
        <v>2805.68</v>
      </c>
      <c r="K3579" s="17">
        <f t="shared" si="3"/>
        <v>1</v>
      </c>
      <c r="L3579" s="18"/>
    </row>
    <row r="3580" hidden="1">
      <c r="A3580" s="2">
        <f>IFERROR(__xludf.DUMMYFUNCTION("""COMPUTED_VALUE"""),18247.0)</f>
        <v>18247</v>
      </c>
      <c r="B3580" s="2">
        <f>IFERROR(__xludf.DUMMYFUNCTION("""COMPUTED_VALUE"""),1.0)</f>
        <v>1</v>
      </c>
      <c r="C3580" s="2">
        <f>IFERROR(__xludf.DUMMYFUNCTION("""COMPUTED_VALUE"""),457.0)</f>
        <v>457</v>
      </c>
      <c r="D3580" s="3">
        <f>IFERROR(__xludf.DUMMYFUNCTION("""COMPUTED_VALUE"""),170.0)</f>
        <v>170</v>
      </c>
      <c r="E3580" s="1" t="str">
        <f t="array" ref="E3580">_xlfn.XLOOKUP(A3580,Product!A:A,Product!B:B,"Bulunamadı")</f>
        <v>Finance</v>
      </c>
      <c r="F3580" s="1" t="str">
        <f t="array" ref="F3580">_xlfn.XLOOKUP(A3580,Product!A:A,Product!C:C,"Bulunamadı")</f>
        <v>Tax Law</v>
      </c>
      <c r="G3580" s="2" t="str">
        <f t="array" ref="G3580">_xlfn.XLOOKUP(A3581,Product!A:A,Product!D:D,"Bulunamadı")</f>
        <v>Cedarline Publishing</v>
      </c>
      <c r="H3580" s="2">
        <f t="array" ref="H3580">_xlfn.XLOOKUP(A3582,Product!A:A,Product!E:E,"Bulunamadı")</f>
        <v>50.75</v>
      </c>
      <c r="I3580" s="2" t="str">
        <f t="shared" si="1"/>
        <v>18247 - Finance - Tax Law</v>
      </c>
      <c r="J3580" s="2">
        <f t="shared" si="2"/>
        <v>8627.5</v>
      </c>
      <c r="K3580" s="17">
        <f t="shared" si="3"/>
        <v>1</v>
      </c>
      <c r="L3580" s="18"/>
    </row>
    <row r="3581" hidden="1">
      <c r="A3581" s="2">
        <f>IFERROR(__xludf.DUMMYFUNCTION("""COMPUTED_VALUE"""),121249.0)</f>
        <v>121249</v>
      </c>
      <c r="B3581" s="2">
        <f>IFERROR(__xludf.DUMMYFUNCTION("""COMPUTED_VALUE"""),1.0)</f>
        <v>1</v>
      </c>
      <c r="C3581" s="2">
        <f>IFERROR(__xludf.DUMMYFUNCTION("""COMPUTED_VALUE"""),213.0)</f>
        <v>213</v>
      </c>
      <c r="D3581" s="3">
        <f>IFERROR(__xludf.DUMMYFUNCTION("""COMPUTED_VALUE"""),108.0)</f>
        <v>108</v>
      </c>
      <c r="E3581" s="1" t="str">
        <f t="array" ref="E3581">_xlfn.XLOOKUP(A3581,Product!A:A,Product!B:B,"Bulunamadı")</f>
        <v>Finance</v>
      </c>
      <c r="F3581" s="1" t="str">
        <f t="array" ref="F3581">_xlfn.XLOOKUP(A3581,Product!A:A,Product!C:C,"Bulunamadı")</f>
        <v>Tax Law</v>
      </c>
      <c r="G3581" s="2" t="str">
        <f t="array" ref="G3581">_xlfn.XLOOKUP(A3582,Product!A:A,Product!D:D,"Bulunamadı")</f>
        <v>Cedarline Publishing</v>
      </c>
      <c r="H3581" s="2">
        <f t="array" ref="H3581">_xlfn.XLOOKUP(A3583,Product!A:A,Product!E:E,"Bulunamadı")</f>
        <v>3.35</v>
      </c>
      <c r="I3581" s="2" t="str">
        <f t="shared" si="1"/>
        <v>121249 - Finance - Tax Law</v>
      </c>
      <c r="J3581" s="2">
        <f t="shared" si="2"/>
        <v>361.8</v>
      </c>
      <c r="K3581" s="17">
        <f t="shared" si="3"/>
        <v>1</v>
      </c>
      <c r="L3581" s="18"/>
    </row>
    <row r="3582" hidden="1">
      <c r="A3582" s="2">
        <f>IFERROR(__xludf.DUMMYFUNCTION("""COMPUTED_VALUE"""),104912.0)</f>
        <v>104912</v>
      </c>
      <c r="B3582" s="2">
        <f>IFERROR(__xludf.DUMMYFUNCTION("""COMPUTED_VALUE"""),1.0)</f>
        <v>1</v>
      </c>
      <c r="C3582" s="2">
        <f>IFERROR(__xludf.DUMMYFUNCTION("""COMPUTED_VALUE"""),139.0)</f>
        <v>139</v>
      </c>
      <c r="D3582" s="3">
        <f>IFERROR(__xludf.DUMMYFUNCTION("""COMPUTED_VALUE"""),13.0)</f>
        <v>13</v>
      </c>
      <c r="E3582" s="1" t="str">
        <f t="array" ref="E3582">_xlfn.XLOOKUP(A3582,Product!A:A,Product!B:B,"Bulunamadı")</f>
        <v>Finance</v>
      </c>
      <c r="F3582" s="1" t="str">
        <f t="array" ref="F3582">_xlfn.XLOOKUP(A3582,Product!A:A,Product!C:C,"Bulunamadı")</f>
        <v>Tax Law</v>
      </c>
      <c r="G3582" s="2" t="str">
        <f t="array" ref="G3582">_xlfn.XLOOKUP(A3583,Product!A:A,Product!D:D,"Bulunamadı")</f>
        <v>Brightline Books</v>
      </c>
      <c r="H3582" s="2">
        <f t="array" ref="H3582">_xlfn.XLOOKUP(A3584,Product!A:A,Product!E:E,"Bulunamadı")</f>
        <v>1.77</v>
      </c>
      <c r="I3582" s="2" t="str">
        <f t="shared" si="1"/>
        <v>104912 - Finance - Tax Law</v>
      </c>
      <c r="J3582" s="2">
        <f t="shared" si="2"/>
        <v>23.01</v>
      </c>
      <c r="K3582" s="17">
        <f t="shared" si="3"/>
        <v>1</v>
      </c>
      <c r="L3582" s="18"/>
    </row>
    <row r="3583" hidden="1">
      <c r="A3583" s="2">
        <f>IFERROR(__xludf.DUMMYFUNCTION("""COMPUTED_VALUE"""),73222.0)</f>
        <v>73222</v>
      </c>
      <c r="B3583" s="2">
        <f>IFERROR(__xludf.DUMMYFUNCTION("""COMPUTED_VALUE"""),1.0)</f>
        <v>1</v>
      </c>
      <c r="C3583" s="2">
        <f>IFERROR(__xludf.DUMMYFUNCTION("""COMPUTED_VALUE"""),29.0)</f>
        <v>29</v>
      </c>
      <c r="D3583" s="3">
        <f>IFERROR(__xludf.DUMMYFUNCTION("""COMPUTED_VALUE"""),18.0)</f>
        <v>18</v>
      </c>
      <c r="E3583" s="1" t="str">
        <f t="array" ref="E3583">_xlfn.XLOOKUP(A3583,Product!A:A,Product!B:B,"Bulunamadı")</f>
        <v>History</v>
      </c>
      <c r="F3583" s="1" t="str">
        <f t="array" ref="F3583">_xlfn.XLOOKUP(A3583,Product!A:A,Product!C:C,"Bulunamadı")</f>
        <v>Legal Theory</v>
      </c>
      <c r="G3583" s="2" t="str">
        <f t="array" ref="G3583">_xlfn.XLOOKUP(A3584,Product!A:A,Product!D:D,"Bulunamadı")</f>
        <v>Brightline Books</v>
      </c>
      <c r="H3583" s="2">
        <f t="array" ref="H3583">_xlfn.XLOOKUP(A3585,Product!A:A,Product!E:E,"Bulunamadı")</f>
        <v>4.97</v>
      </c>
      <c r="I3583" s="2" t="str">
        <f t="shared" si="1"/>
        <v>73222 - History - Legal Theory</v>
      </c>
      <c r="J3583" s="2">
        <f t="shared" si="2"/>
        <v>89.46</v>
      </c>
      <c r="K3583" s="17">
        <f t="shared" si="3"/>
        <v>1</v>
      </c>
      <c r="L3583" s="18"/>
    </row>
    <row r="3584" hidden="1">
      <c r="A3584" s="2">
        <f>IFERROR(__xludf.DUMMYFUNCTION("""COMPUTED_VALUE"""),78834.0)</f>
        <v>78834</v>
      </c>
      <c r="B3584" s="2">
        <f>IFERROR(__xludf.DUMMYFUNCTION("""COMPUTED_VALUE"""),0.0)</f>
        <v>0</v>
      </c>
      <c r="C3584" s="2">
        <f>IFERROR(__xludf.DUMMYFUNCTION("""COMPUTED_VALUE"""),446.0)</f>
        <v>446</v>
      </c>
      <c r="D3584" s="3">
        <f>IFERROR(__xludf.DUMMYFUNCTION("""COMPUTED_VALUE"""),195.0)</f>
        <v>195</v>
      </c>
      <c r="E3584" s="1" t="str">
        <f t="array" ref="E3584">_xlfn.XLOOKUP(A3584,Product!A:A,Product!B:B,"Bulunamadı")</f>
        <v>History</v>
      </c>
      <c r="F3584" s="1" t="str">
        <f t="array" ref="F3584">_xlfn.XLOOKUP(A3584,Product!A:A,Product!C:C,"Bulunamadı")</f>
        <v>Legal Theory</v>
      </c>
      <c r="G3584" s="2" t="str">
        <f t="array" ref="G3584">_xlfn.XLOOKUP(A3585,Product!A:A,Product!D:D,"Bulunamadı")</f>
        <v>Oakline Press</v>
      </c>
      <c r="H3584" s="2">
        <f t="array" ref="H3584">_xlfn.XLOOKUP(A3586,Product!A:A,Product!E:E,"Bulunamadı")</f>
        <v>3.62</v>
      </c>
      <c r="I3584" s="2" t="str">
        <f t="shared" si="1"/>
        <v>78834 - History - Legal Theory</v>
      </c>
      <c r="J3584" s="2">
        <f t="shared" si="2"/>
        <v>705.9</v>
      </c>
      <c r="K3584" s="17">
        <f t="shared" si="3"/>
        <v>1</v>
      </c>
      <c r="L3584" s="18"/>
    </row>
    <row r="3585" hidden="1">
      <c r="A3585" s="2">
        <f>IFERROR(__xludf.DUMMYFUNCTION("""COMPUTED_VALUE"""),15109.0)</f>
        <v>15109</v>
      </c>
      <c r="B3585" s="2">
        <f>IFERROR(__xludf.DUMMYFUNCTION("""COMPUTED_VALUE"""),0.0)</f>
        <v>0</v>
      </c>
      <c r="C3585" s="2">
        <f>IFERROR(__xludf.DUMMYFUNCTION("""COMPUTED_VALUE"""),147.0)</f>
        <v>147</v>
      </c>
      <c r="D3585" s="3">
        <f>IFERROR(__xludf.DUMMYFUNCTION("""COMPUTED_VALUE"""),84.0)</f>
        <v>84</v>
      </c>
      <c r="E3585" s="1" t="str">
        <f t="array" ref="E3585">_xlfn.XLOOKUP(A3585,Product!A:A,Product!B:B,"Bulunamadı")</f>
        <v>History</v>
      </c>
      <c r="F3585" s="1" t="str">
        <f t="array" ref="F3585">_xlfn.XLOOKUP(A3585,Product!A:A,Product!C:C,"Bulunamadı")</f>
        <v>Legal Theory</v>
      </c>
      <c r="G3585" s="2" t="str">
        <f t="array" ref="G3585">_xlfn.XLOOKUP(A3586,Product!A:A,Product!D:D,"Bulunamadı")</f>
        <v>Oakline Press</v>
      </c>
      <c r="H3585" s="2">
        <f t="array" ref="H3585">_xlfn.XLOOKUP(A3587,Product!A:A,Product!E:E,"Bulunamadı")</f>
        <v>4.02</v>
      </c>
      <c r="I3585" s="2" t="str">
        <f t="shared" si="1"/>
        <v>15109 - History - Legal Theory</v>
      </c>
      <c r="J3585" s="2">
        <f t="shared" si="2"/>
        <v>337.68</v>
      </c>
      <c r="K3585" s="17">
        <f t="shared" si="3"/>
        <v>1</v>
      </c>
      <c r="L3585" s="18"/>
    </row>
    <row r="3586" hidden="1">
      <c r="A3586" s="2">
        <f>IFERROR(__xludf.DUMMYFUNCTION("""COMPUTED_VALUE"""),26126.0)</f>
        <v>26126</v>
      </c>
      <c r="B3586" s="2">
        <f>IFERROR(__xludf.DUMMYFUNCTION("""COMPUTED_VALUE"""),0.0)</f>
        <v>0</v>
      </c>
      <c r="C3586" s="2">
        <f>IFERROR(__xludf.DUMMYFUNCTION("""COMPUTED_VALUE"""),801.0)</f>
        <v>801</v>
      </c>
      <c r="D3586" s="3">
        <f>IFERROR(__xludf.DUMMYFUNCTION("""COMPUTED_VALUE"""),216.0)</f>
        <v>216</v>
      </c>
      <c r="E3586" s="1" t="str">
        <f t="array" ref="E3586">_xlfn.XLOOKUP(A3586,Product!A:A,Product!B:B,"Bulunamadı")</f>
        <v>History</v>
      </c>
      <c r="F3586" s="1" t="str">
        <f t="array" ref="F3586">_xlfn.XLOOKUP(A3586,Product!A:A,Product!C:C,"Bulunamadı")</f>
        <v>Legal Theory</v>
      </c>
      <c r="G3586" s="2" t="str">
        <f t="array" ref="G3586">_xlfn.XLOOKUP(A3587,Product!A:A,Product!D:D,"Bulunamadı")</f>
        <v>Oakline Press</v>
      </c>
      <c r="H3586" s="2">
        <f t="array" ref="H3586">_xlfn.XLOOKUP(A3588,Product!A:A,Product!E:E,"Bulunamadı")</f>
        <v>2.81</v>
      </c>
      <c r="I3586" s="2" t="str">
        <f t="shared" si="1"/>
        <v>26126 - History - Legal Theory</v>
      </c>
      <c r="J3586" s="2">
        <f t="shared" si="2"/>
        <v>606.96</v>
      </c>
      <c r="K3586" s="17">
        <f t="shared" si="3"/>
        <v>1</v>
      </c>
      <c r="L3586" s="18"/>
    </row>
    <row r="3587" hidden="1">
      <c r="A3587" s="2">
        <f>IFERROR(__xludf.DUMMYFUNCTION("""COMPUTED_VALUE"""),48724.0)</f>
        <v>48724</v>
      </c>
      <c r="B3587" s="2">
        <f>IFERROR(__xludf.DUMMYFUNCTION("""COMPUTED_VALUE"""),0.0)</f>
        <v>0</v>
      </c>
      <c r="C3587" s="2">
        <f>IFERROR(__xludf.DUMMYFUNCTION("""COMPUTED_VALUE"""),202.0)</f>
        <v>202</v>
      </c>
      <c r="D3587" s="3">
        <f>IFERROR(__xludf.DUMMYFUNCTION("""COMPUTED_VALUE"""),60.0)</f>
        <v>60</v>
      </c>
      <c r="E3587" s="1" t="str">
        <f t="array" ref="E3587">_xlfn.XLOOKUP(A3587,Product!A:A,Product!B:B,"Bulunamadı")</f>
        <v>History</v>
      </c>
      <c r="F3587" s="1" t="str">
        <f t="array" ref="F3587">_xlfn.XLOOKUP(A3587,Product!A:A,Product!C:C,"Bulunamadı")</f>
        <v>Legal Theory</v>
      </c>
      <c r="G3587" s="2" t="str">
        <f t="array" ref="G3587">_xlfn.XLOOKUP(A3588,Product!A:A,Product!D:D,"Bulunamadı")</f>
        <v>Oakline Press</v>
      </c>
      <c r="H3587" s="2">
        <f t="array" ref="H3587">_xlfn.XLOOKUP(A3589,Product!A:A,Product!E:E,"Bulunamadı")</f>
        <v>2.02</v>
      </c>
      <c r="I3587" s="2" t="str">
        <f t="shared" si="1"/>
        <v>48724 - History - Legal Theory</v>
      </c>
      <c r="J3587" s="2">
        <f t="shared" si="2"/>
        <v>121.2</v>
      </c>
      <c r="K3587" s="17">
        <f t="shared" si="3"/>
        <v>1</v>
      </c>
      <c r="L3587" s="18"/>
    </row>
    <row r="3588" hidden="1">
      <c r="A3588" s="2">
        <f>IFERROR(__xludf.DUMMYFUNCTION("""COMPUTED_VALUE"""),98888.0)</f>
        <v>98888</v>
      </c>
      <c r="B3588" s="2">
        <f>IFERROR(__xludf.DUMMYFUNCTION("""COMPUTED_VALUE"""),1.0)</f>
        <v>1</v>
      </c>
      <c r="C3588" s="2">
        <f>IFERROR(__xludf.DUMMYFUNCTION("""COMPUTED_VALUE"""),907.0)</f>
        <v>907</v>
      </c>
      <c r="D3588" s="3">
        <f>IFERROR(__xludf.DUMMYFUNCTION("""COMPUTED_VALUE"""),163.0)</f>
        <v>163</v>
      </c>
      <c r="E3588" s="1" t="str">
        <f t="array" ref="E3588">_xlfn.XLOOKUP(A3588,Product!A:A,Product!B:B,"Bulunamadı")</f>
        <v>History</v>
      </c>
      <c r="F3588" s="1" t="str">
        <f t="array" ref="F3588">_xlfn.XLOOKUP(A3588,Product!A:A,Product!C:C,"Bulunamadı")</f>
        <v>Legal Theory</v>
      </c>
      <c r="G3588" s="2" t="str">
        <f t="array" ref="G3588">_xlfn.XLOOKUP(A3589,Product!A:A,Product!D:D,"Bulunamadı")</f>
        <v>Oakline Press</v>
      </c>
      <c r="H3588" s="2">
        <f t="array" ref="H3588">_xlfn.XLOOKUP(A3590,Product!A:A,Product!E:E,"Bulunamadı")</f>
        <v>2.35</v>
      </c>
      <c r="I3588" s="2" t="str">
        <f t="shared" si="1"/>
        <v>98888 - History - Legal Theory</v>
      </c>
      <c r="J3588" s="2">
        <f t="shared" si="2"/>
        <v>383.05</v>
      </c>
      <c r="K3588" s="17">
        <f t="shared" si="3"/>
        <v>1</v>
      </c>
      <c r="L3588" s="18"/>
    </row>
    <row r="3589" hidden="1">
      <c r="A3589" s="2">
        <f>IFERROR(__xludf.DUMMYFUNCTION("""COMPUTED_VALUE"""),48605.0)</f>
        <v>48605</v>
      </c>
      <c r="B3589" s="2">
        <f>IFERROR(__xludf.DUMMYFUNCTION("""COMPUTED_VALUE"""),0.0)</f>
        <v>0</v>
      </c>
      <c r="C3589" s="2">
        <f>IFERROR(__xludf.DUMMYFUNCTION("""COMPUTED_VALUE"""),246.0)</f>
        <v>246</v>
      </c>
      <c r="D3589" s="3">
        <f>IFERROR(__xludf.DUMMYFUNCTION("""COMPUTED_VALUE"""),34.0)</f>
        <v>34</v>
      </c>
      <c r="E3589" s="1" t="str">
        <f t="array" ref="E3589">_xlfn.XLOOKUP(A3589,Product!A:A,Product!B:B,"Bulunamadı")</f>
        <v>History</v>
      </c>
      <c r="F3589" s="1" t="str">
        <f t="array" ref="F3589">_xlfn.XLOOKUP(A3589,Product!A:A,Product!C:C,"Bulunamadı")</f>
        <v>Legal Theory</v>
      </c>
      <c r="G3589" s="2" t="str">
        <f t="array" ref="G3589">_xlfn.XLOOKUP(A3590,Product!A:A,Product!D:D,"Bulunamadı")</f>
        <v>Oakline Press</v>
      </c>
      <c r="H3589" s="2">
        <f t="array" ref="H3589">_xlfn.XLOOKUP(A3591,Product!A:A,Product!E:E,"Bulunamadı")</f>
        <v>2.38</v>
      </c>
      <c r="I3589" s="2" t="str">
        <f t="shared" si="1"/>
        <v>48605 - History - Legal Theory</v>
      </c>
      <c r="J3589" s="2">
        <f t="shared" si="2"/>
        <v>80.92</v>
      </c>
      <c r="K3589" s="17">
        <f t="shared" si="3"/>
        <v>1</v>
      </c>
      <c r="L3589" s="18"/>
    </row>
    <row r="3590" hidden="1">
      <c r="A3590" s="2">
        <f>IFERROR(__xludf.DUMMYFUNCTION("""COMPUTED_VALUE"""),119243.0)</f>
        <v>119243</v>
      </c>
      <c r="B3590" s="2">
        <f>IFERROR(__xludf.DUMMYFUNCTION("""COMPUTED_VALUE"""),1.0)</f>
        <v>1</v>
      </c>
      <c r="C3590" s="2">
        <f>IFERROR(__xludf.DUMMYFUNCTION("""COMPUTED_VALUE"""),227.0)</f>
        <v>227</v>
      </c>
      <c r="D3590" s="3">
        <f>IFERROR(__xludf.DUMMYFUNCTION("""COMPUTED_VALUE"""),178.0)</f>
        <v>178</v>
      </c>
      <c r="E3590" s="1" t="str">
        <f t="array" ref="E3590">_xlfn.XLOOKUP(A3590,Product!A:A,Product!B:B,"Bulunamadı")</f>
        <v>History</v>
      </c>
      <c r="F3590" s="1" t="str">
        <f t="array" ref="F3590">_xlfn.XLOOKUP(A3590,Product!A:A,Product!C:C,"Bulunamadı")</f>
        <v>Legal Theory</v>
      </c>
      <c r="G3590" s="2" t="str">
        <f t="array" ref="G3590">_xlfn.XLOOKUP(A3591,Product!A:A,Product!D:D,"Bulunamadı")</f>
        <v>Oakline Press</v>
      </c>
      <c r="H3590" s="2">
        <f t="array" ref="H3590">_xlfn.XLOOKUP(A3592,Product!A:A,Product!E:E,"Bulunamadı")</f>
        <v>14.93</v>
      </c>
      <c r="I3590" s="2" t="str">
        <f t="shared" si="1"/>
        <v>119243 - History - Legal Theory</v>
      </c>
      <c r="J3590" s="2">
        <f t="shared" si="2"/>
        <v>2657.54</v>
      </c>
      <c r="K3590" s="17">
        <f t="shared" si="3"/>
        <v>1</v>
      </c>
      <c r="L3590" s="18"/>
    </row>
    <row r="3591" hidden="1">
      <c r="A3591" s="2">
        <f>IFERROR(__xludf.DUMMYFUNCTION("""COMPUTED_VALUE"""),22045.0)</f>
        <v>22045</v>
      </c>
      <c r="B3591" s="2">
        <f>IFERROR(__xludf.DUMMYFUNCTION("""COMPUTED_VALUE"""),0.0)</f>
        <v>0</v>
      </c>
      <c r="C3591" s="2">
        <f>IFERROR(__xludf.DUMMYFUNCTION("""COMPUTED_VALUE"""),944.0)</f>
        <v>944</v>
      </c>
      <c r="D3591" s="3">
        <f>IFERROR(__xludf.DUMMYFUNCTION("""COMPUTED_VALUE"""),296.0)</f>
        <v>296</v>
      </c>
      <c r="E3591" s="1" t="str">
        <f t="array" ref="E3591">_xlfn.XLOOKUP(A3591,Product!A:A,Product!B:B,"Bulunamadı")</f>
        <v>History</v>
      </c>
      <c r="F3591" s="1" t="str">
        <f t="array" ref="F3591">_xlfn.XLOOKUP(A3591,Product!A:A,Product!C:C,"Bulunamadı")</f>
        <v>Legal Theory</v>
      </c>
      <c r="G3591" s="2" t="str">
        <f t="array" ref="G3591">_xlfn.XLOOKUP(A3592,Product!A:A,Product!D:D,"Bulunamadı")</f>
        <v>Oakline Press</v>
      </c>
      <c r="H3591" s="2">
        <f t="array" ref="H3591">_xlfn.XLOOKUP(A3593,Product!A:A,Product!E:E,"Bulunamadı")</f>
        <v>3.71</v>
      </c>
      <c r="I3591" s="2" t="str">
        <f t="shared" si="1"/>
        <v>22045 - History - Legal Theory</v>
      </c>
      <c r="J3591" s="2">
        <f t="shared" si="2"/>
        <v>1098.16</v>
      </c>
      <c r="K3591" s="17">
        <f t="shared" si="3"/>
        <v>1</v>
      </c>
      <c r="L3591" s="18"/>
    </row>
    <row r="3592" hidden="1">
      <c r="A3592" s="2">
        <f>IFERROR(__xludf.DUMMYFUNCTION("""COMPUTED_VALUE"""),73221.0)</f>
        <v>73221</v>
      </c>
      <c r="B3592" s="2">
        <f>IFERROR(__xludf.DUMMYFUNCTION("""COMPUTED_VALUE"""),0.0)</f>
        <v>0</v>
      </c>
      <c r="C3592" s="2">
        <f>IFERROR(__xludf.DUMMYFUNCTION("""COMPUTED_VALUE"""),830.0)</f>
        <v>830</v>
      </c>
      <c r="D3592" s="3">
        <f>IFERROR(__xludf.DUMMYFUNCTION("""COMPUTED_VALUE"""),789.0)</f>
        <v>789</v>
      </c>
      <c r="E3592" s="1" t="str">
        <f t="array" ref="E3592">_xlfn.XLOOKUP(A3592,Product!A:A,Product!B:B,"Bulunamadı")</f>
        <v>History</v>
      </c>
      <c r="F3592" s="1" t="str">
        <f t="array" ref="F3592">_xlfn.XLOOKUP(A3592,Product!A:A,Product!C:C,"Bulunamadı")</f>
        <v>Legal Theory</v>
      </c>
      <c r="G3592" s="2" t="str">
        <f t="array" ref="G3592">_xlfn.XLOOKUP(A3593,Product!A:A,Product!D:D,"Bulunamadı")</f>
        <v>Oakline Press</v>
      </c>
      <c r="H3592" s="2">
        <f t="array" ref="H3592">_xlfn.XLOOKUP(A3594,Product!A:A,Product!E:E,"Bulunamadı")</f>
        <v>3.03</v>
      </c>
      <c r="I3592" s="2" t="str">
        <f t="shared" si="1"/>
        <v>73221 - History - Legal Theory</v>
      </c>
      <c r="J3592" s="2">
        <f t="shared" si="2"/>
        <v>2390.67</v>
      </c>
      <c r="K3592" s="17">
        <f t="shared" si="3"/>
        <v>1</v>
      </c>
      <c r="L3592" s="18"/>
    </row>
    <row r="3593" hidden="1">
      <c r="A3593" s="2">
        <f>IFERROR(__xludf.DUMMYFUNCTION("""COMPUTED_VALUE"""),72168.0)</f>
        <v>72168</v>
      </c>
      <c r="B3593" s="2">
        <f>IFERROR(__xludf.DUMMYFUNCTION("""COMPUTED_VALUE"""),1.0)</f>
        <v>1</v>
      </c>
      <c r="C3593" s="2">
        <f>IFERROR(__xludf.DUMMYFUNCTION("""COMPUTED_VALUE"""),315.0)</f>
        <v>315</v>
      </c>
      <c r="D3593" s="3">
        <f>IFERROR(__xludf.DUMMYFUNCTION("""COMPUTED_VALUE"""),76.0)</f>
        <v>76</v>
      </c>
      <c r="E3593" s="1" t="str">
        <f t="array" ref="E3593">_xlfn.XLOOKUP(A3593,Product!A:A,Product!B:B,"Bulunamadı")</f>
        <v>History</v>
      </c>
      <c r="F3593" s="1" t="str">
        <f t="array" ref="F3593">_xlfn.XLOOKUP(A3593,Product!A:A,Product!C:C,"Bulunamadı")</f>
        <v>Legal Theory</v>
      </c>
      <c r="G3593" s="2" t="str">
        <f t="array" ref="G3593">_xlfn.XLOOKUP(A3594,Product!A:A,Product!D:D,"Bulunamadı")</f>
        <v>Oakline Press</v>
      </c>
      <c r="H3593" s="2">
        <f t="array" ref="H3593">_xlfn.XLOOKUP(A3595,Product!A:A,Product!E:E,"Bulunamadı")</f>
        <v>3.46</v>
      </c>
      <c r="I3593" s="2" t="str">
        <f t="shared" si="1"/>
        <v>72168 - History - Legal Theory</v>
      </c>
      <c r="J3593" s="2">
        <f t="shared" si="2"/>
        <v>262.96</v>
      </c>
      <c r="K3593" s="17">
        <f t="shared" si="3"/>
        <v>1</v>
      </c>
      <c r="L3593" s="18"/>
    </row>
    <row r="3594" hidden="1">
      <c r="A3594" s="2">
        <f>IFERROR(__xludf.DUMMYFUNCTION("""COMPUTED_VALUE"""),127039.0)</f>
        <v>127039</v>
      </c>
      <c r="B3594" s="2">
        <f>IFERROR(__xludf.DUMMYFUNCTION("""COMPUTED_VALUE"""),1.0)</f>
        <v>1</v>
      </c>
      <c r="C3594" s="2">
        <f>IFERROR(__xludf.DUMMYFUNCTION("""COMPUTED_VALUE"""),925.0)</f>
        <v>925</v>
      </c>
      <c r="D3594" s="3">
        <f>IFERROR(__xludf.DUMMYFUNCTION("""COMPUTED_VALUE"""),483.0)</f>
        <v>483</v>
      </c>
      <c r="E3594" s="1" t="str">
        <f t="array" ref="E3594">_xlfn.XLOOKUP(A3594,Product!A:A,Product!B:B,"Bulunamadı")</f>
        <v>History</v>
      </c>
      <c r="F3594" s="1" t="str">
        <f t="array" ref="F3594">_xlfn.XLOOKUP(A3594,Product!A:A,Product!C:C,"Bulunamadı")</f>
        <v>Legal Theory</v>
      </c>
      <c r="G3594" s="2" t="str">
        <f t="array" ref="G3594">_xlfn.XLOOKUP(A3595,Product!A:A,Product!D:D,"Bulunamadı")</f>
        <v>Riverline Publishing</v>
      </c>
      <c r="H3594" s="2">
        <f t="array" ref="H3594">_xlfn.XLOOKUP(A3596,Product!A:A,Product!E:E,"Bulunamadı")</f>
        <v>9.39</v>
      </c>
      <c r="I3594" s="2" t="str">
        <f t="shared" si="1"/>
        <v>127039 - History - Legal Theory</v>
      </c>
      <c r="J3594" s="2">
        <f t="shared" si="2"/>
        <v>4535.37</v>
      </c>
      <c r="K3594" s="17">
        <f t="shared" si="3"/>
        <v>1</v>
      </c>
      <c r="L3594" s="18"/>
    </row>
    <row r="3595" hidden="1">
      <c r="A3595" s="2">
        <f>IFERROR(__xludf.DUMMYFUNCTION("""COMPUTED_VALUE"""),155861.0)</f>
        <v>155861</v>
      </c>
      <c r="B3595" s="2">
        <f>IFERROR(__xludf.DUMMYFUNCTION("""COMPUTED_VALUE"""),0.0)</f>
        <v>0</v>
      </c>
      <c r="C3595" s="2">
        <f>IFERROR(__xludf.DUMMYFUNCTION("""COMPUTED_VALUE"""),120.0)</f>
        <v>120</v>
      </c>
      <c r="D3595" s="3">
        <f>IFERROR(__xludf.DUMMYFUNCTION("""COMPUTED_VALUE"""),30.0)</f>
        <v>30</v>
      </c>
      <c r="E3595" s="1" t="str">
        <f t="array" ref="E3595">_xlfn.XLOOKUP(A3595,Product!A:A,Product!B:B,"Bulunamadı")</f>
        <v>History</v>
      </c>
      <c r="F3595" s="1" t="str">
        <f t="array" ref="F3595">_xlfn.XLOOKUP(A3595,Product!A:A,Product!C:C,"Bulunamadı")</f>
        <v>Legal Theory</v>
      </c>
      <c r="G3595" s="2" t="str">
        <f t="array" ref="G3595">_xlfn.XLOOKUP(A3596,Product!A:A,Product!D:D,"Bulunamadı")</f>
        <v>Riverline Publishing</v>
      </c>
      <c r="H3595" s="2">
        <f t="array" ref="H3595">_xlfn.XLOOKUP(A3597,Product!A:A,Product!E:E,"Bulunamadı")</f>
        <v>2.33</v>
      </c>
      <c r="I3595" s="2" t="str">
        <f t="shared" si="1"/>
        <v>155861 - History - Legal Theory</v>
      </c>
      <c r="J3595" s="2">
        <f t="shared" si="2"/>
        <v>69.9</v>
      </c>
      <c r="K3595" s="17">
        <f t="shared" si="3"/>
        <v>1</v>
      </c>
      <c r="L3595" s="18"/>
    </row>
    <row r="3596" hidden="1">
      <c r="A3596" s="2">
        <f>IFERROR(__xludf.DUMMYFUNCTION("""COMPUTED_VALUE"""),6213.0)</f>
        <v>6213</v>
      </c>
      <c r="B3596" s="2">
        <f>IFERROR(__xludf.DUMMYFUNCTION("""COMPUTED_VALUE"""),0.0)</f>
        <v>0</v>
      </c>
      <c r="C3596" s="2">
        <f>IFERROR(__xludf.DUMMYFUNCTION("""COMPUTED_VALUE"""),733.0)</f>
        <v>733</v>
      </c>
      <c r="D3596" s="3">
        <f>IFERROR(__xludf.DUMMYFUNCTION("""COMPUTED_VALUE"""),349.0)</f>
        <v>349</v>
      </c>
      <c r="E3596" s="1" t="str">
        <f t="array" ref="E3596">_xlfn.XLOOKUP(A3596,Product!A:A,Product!B:B,"Bulunamadı")</f>
        <v>History</v>
      </c>
      <c r="F3596" s="1" t="str">
        <f t="array" ref="F3596">_xlfn.XLOOKUP(A3596,Product!A:A,Product!C:C,"Bulunamadı")</f>
        <v>Legal Theory</v>
      </c>
      <c r="G3596" s="2" t="str">
        <f t="array" ref="G3596">_xlfn.XLOOKUP(A3597,Product!A:A,Product!D:D,"Bulunamadı")</f>
        <v>Ironline Books</v>
      </c>
      <c r="H3596" s="2">
        <f t="array" ref="H3596">_xlfn.XLOOKUP(A3598,Product!A:A,Product!E:E,"Bulunamadı")</f>
        <v>2.5</v>
      </c>
      <c r="I3596" s="2" t="str">
        <f t="shared" si="1"/>
        <v>6213 - History - Legal Theory</v>
      </c>
      <c r="J3596" s="2">
        <f t="shared" si="2"/>
        <v>872.5</v>
      </c>
      <c r="K3596" s="17">
        <f t="shared" si="3"/>
        <v>1</v>
      </c>
      <c r="L3596" s="18"/>
    </row>
    <row r="3597" hidden="1">
      <c r="A3597" s="2">
        <f>IFERROR(__xludf.DUMMYFUNCTION("""COMPUTED_VALUE"""),6476.0)</f>
        <v>6476</v>
      </c>
      <c r="B3597" s="2">
        <f>IFERROR(__xludf.DUMMYFUNCTION("""COMPUTED_VALUE"""),1.0)</f>
        <v>1</v>
      </c>
      <c r="C3597" s="2">
        <f>IFERROR(__xludf.DUMMYFUNCTION("""COMPUTED_VALUE"""),590.0)</f>
        <v>590</v>
      </c>
      <c r="D3597" s="3">
        <f>IFERROR(__xludf.DUMMYFUNCTION("""COMPUTED_VALUE"""),269.0)</f>
        <v>269</v>
      </c>
      <c r="E3597" s="1" t="str">
        <f t="array" ref="E3597">_xlfn.XLOOKUP(A3597,Product!A:A,Product!B:B,"Bulunamadı")</f>
        <v>Medical</v>
      </c>
      <c r="F3597" s="1" t="str">
        <f t="array" ref="F3597">_xlfn.XLOOKUP(A3597,Product!A:A,Product!C:C,"Bulunamadı")</f>
        <v>Legal Practice</v>
      </c>
      <c r="G3597" s="2" t="str">
        <f t="array" ref="G3597">_xlfn.XLOOKUP(A3598,Product!A:A,Product!D:D,"Bulunamadı")</f>
        <v>Ironline Books</v>
      </c>
      <c r="H3597" s="2">
        <f t="array" ref="H3597">_xlfn.XLOOKUP(A3599,Product!A:A,Product!E:E,"Bulunamadı")</f>
        <v>1.91</v>
      </c>
      <c r="I3597" s="2" t="str">
        <f t="shared" si="1"/>
        <v>6476 - Medical - Legal Practice</v>
      </c>
      <c r="J3597" s="2">
        <f t="shared" si="2"/>
        <v>513.79</v>
      </c>
      <c r="K3597" s="17">
        <f t="shared" si="3"/>
        <v>1</v>
      </c>
      <c r="L3597" s="18"/>
    </row>
    <row r="3598" hidden="1">
      <c r="A3598" s="2">
        <f>IFERROR(__xludf.DUMMYFUNCTION("""COMPUTED_VALUE"""),114933.0)</f>
        <v>114933</v>
      </c>
      <c r="B3598" s="2">
        <f>IFERROR(__xludf.DUMMYFUNCTION("""COMPUTED_VALUE"""),1.0)</f>
        <v>1</v>
      </c>
      <c r="C3598" s="2">
        <f>IFERROR(__xludf.DUMMYFUNCTION("""COMPUTED_VALUE"""),633.0)</f>
        <v>633</v>
      </c>
      <c r="D3598" s="3">
        <f>IFERROR(__xludf.DUMMYFUNCTION("""COMPUTED_VALUE"""),83.0)</f>
        <v>83</v>
      </c>
      <c r="E3598" s="1" t="str">
        <f t="array" ref="E3598">_xlfn.XLOOKUP(A3598,Product!A:A,Product!B:B,"Bulunamadı")</f>
        <v>Medical</v>
      </c>
      <c r="F3598" s="1" t="str">
        <f t="array" ref="F3598">_xlfn.XLOOKUP(A3598,Product!A:A,Product!C:C,"Bulunamadı")</f>
        <v>Legal Practice</v>
      </c>
      <c r="G3598" s="2" t="str">
        <f t="array" ref="G3598">_xlfn.XLOOKUP(A3599,Product!A:A,Product!D:D,"Bulunamadı")</f>
        <v>Ironline Books</v>
      </c>
      <c r="H3598" s="2">
        <f t="array" ref="H3598">_xlfn.XLOOKUP(A3600,Product!A:A,Product!E:E,"Bulunamadı")</f>
        <v>2.48</v>
      </c>
      <c r="I3598" s="2" t="str">
        <f t="shared" si="1"/>
        <v>114933 - Medical - Legal Practice</v>
      </c>
      <c r="J3598" s="2">
        <f t="shared" si="2"/>
        <v>205.84</v>
      </c>
      <c r="K3598" s="17">
        <f t="shared" si="3"/>
        <v>1</v>
      </c>
      <c r="L3598" s="18"/>
    </row>
    <row r="3599" hidden="1">
      <c r="A3599" s="2">
        <f>IFERROR(__xludf.DUMMYFUNCTION("""COMPUTED_VALUE"""),6473.0)</f>
        <v>6473</v>
      </c>
      <c r="B3599" s="2">
        <f>IFERROR(__xludf.DUMMYFUNCTION("""COMPUTED_VALUE"""),0.0)</f>
        <v>0</v>
      </c>
      <c r="C3599" s="2">
        <f>IFERROR(__xludf.DUMMYFUNCTION("""COMPUTED_VALUE"""),970.0)</f>
        <v>970</v>
      </c>
      <c r="D3599" s="3">
        <f>IFERROR(__xludf.DUMMYFUNCTION("""COMPUTED_VALUE"""),110.0)</f>
        <v>110</v>
      </c>
      <c r="E3599" s="1" t="str">
        <f t="array" ref="E3599">_xlfn.XLOOKUP(A3599,Product!A:A,Product!B:B,"Bulunamadı")</f>
        <v>Medical</v>
      </c>
      <c r="F3599" s="1" t="str">
        <f t="array" ref="F3599">_xlfn.XLOOKUP(A3599,Product!A:A,Product!C:C,"Bulunamadı")</f>
        <v>Legal Practice</v>
      </c>
      <c r="G3599" s="2" t="str">
        <f t="array" ref="G3599">_xlfn.XLOOKUP(A3600,Product!A:A,Product!D:D,"Bulunamadı")</f>
        <v>Ironline Books</v>
      </c>
      <c r="H3599" s="2">
        <f t="array" ref="H3599">_xlfn.XLOOKUP(A3601,Product!A:A,Product!E:E,"Bulunamadı")</f>
        <v>2.09</v>
      </c>
      <c r="I3599" s="2" t="str">
        <f t="shared" si="1"/>
        <v>6473 - Medical - Legal Practice</v>
      </c>
      <c r="J3599" s="2">
        <f t="shared" si="2"/>
        <v>229.9</v>
      </c>
      <c r="K3599" s="17">
        <f t="shared" si="3"/>
        <v>1</v>
      </c>
      <c r="L3599" s="18"/>
    </row>
    <row r="3600" hidden="1">
      <c r="A3600" s="2">
        <f>IFERROR(__xludf.DUMMYFUNCTION("""COMPUTED_VALUE"""),99248.0)</f>
        <v>99248</v>
      </c>
      <c r="B3600" s="2">
        <f>IFERROR(__xludf.DUMMYFUNCTION("""COMPUTED_VALUE"""),1.0)</f>
        <v>1</v>
      </c>
      <c r="C3600" s="2">
        <f>IFERROR(__xludf.DUMMYFUNCTION("""COMPUTED_VALUE"""),743.0)</f>
        <v>743</v>
      </c>
      <c r="D3600" s="3">
        <f>IFERROR(__xludf.DUMMYFUNCTION("""COMPUTED_VALUE"""),587.0)</f>
        <v>587</v>
      </c>
      <c r="E3600" s="1" t="str">
        <f t="array" ref="E3600">_xlfn.XLOOKUP(A3600,Product!A:A,Product!B:B,"Bulunamadı")</f>
        <v>Medical</v>
      </c>
      <c r="F3600" s="1" t="str">
        <f t="array" ref="F3600">_xlfn.XLOOKUP(A3600,Product!A:A,Product!C:C,"Bulunamadı")</f>
        <v>Legal Practice</v>
      </c>
      <c r="G3600" s="2" t="str">
        <f t="array" ref="G3600">_xlfn.XLOOKUP(A3601,Product!A:A,Product!D:D,"Bulunamadı")</f>
        <v>Ironline Books</v>
      </c>
      <c r="H3600" s="2">
        <f t="array" ref="H3600">_xlfn.XLOOKUP(A3602,Product!A:A,Product!E:E,"Bulunamadı")</f>
        <v>2.24</v>
      </c>
      <c r="I3600" s="2" t="str">
        <f t="shared" si="1"/>
        <v>99248 - Medical - Legal Practice</v>
      </c>
      <c r="J3600" s="2">
        <f t="shared" si="2"/>
        <v>1314.88</v>
      </c>
      <c r="K3600" s="17">
        <f t="shared" si="3"/>
        <v>1</v>
      </c>
      <c r="L3600" s="18"/>
    </row>
    <row r="3601" hidden="1">
      <c r="A3601" s="2">
        <f>IFERROR(__xludf.DUMMYFUNCTION("""COMPUTED_VALUE"""),6477.0)</f>
        <v>6477</v>
      </c>
      <c r="B3601" s="2">
        <f>IFERROR(__xludf.DUMMYFUNCTION("""COMPUTED_VALUE"""),0.0)</f>
        <v>0</v>
      </c>
      <c r="C3601" s="2">
        <f>IFERROR(__xludf.DUMMYFUNCTION("""COMPUTED_VALUE"""),131.0)</f>
        <v>131</v>
      </c>
      <c r="D3601" s="3">
        <f>IFERROR(__xludf.DUMMYFUNCTION("""COMPUTED_VALUE"""),111.0)</f>
        <v>111</v>
      </c>
      <c r="E3601" s="1" t="str">
        <f t="array" ref="E3601">_xlfn.XLOOKUP(A3601,Product!A:A,Product!B:B,"Bulunamadı")</f>
        <v>Medical</v>
      </c>
      <c r="F3601" s="1" t="str">
        <f t="array" ref="F3601">_xlfn.XLOOKUP(A3601,Product!A:A,Product!C:C,"Bulunamadı")</f>
        <v>Legal Practice</v>
      </c>
      <c r="G3601" s="2" t="str">
        <f t="array" ref="G3601">_xlfn.XLOOKUP(A3602,Product!A:A,Product!D:D,"Bulunamadı")</f>
        <v>Silvermark Press</v>
      </c>
      <c r="H3601" s="2">
        <f t="array" ref="H3601">_xlfn.XLOOKUP(A3603,Product!A:A,Product!E:E,"Bulunamadı")</f>
        <v>2.38</v>
      </c>
      <c r="I3601" s="2" t="str">
        <f t="shared" si="1"/>
        <v>6477 - Medical - Legal Practice</v>
      </c>
      <c r="J3601" s="2">
        <f t="shared" si="2"/>
        <v>264.18</v>
      </c>
      <c r="K3601" s="17">
        <f t="shared" si="3"/>
        <v>1</v>
      </c>
      <c r="L3601" s="18"/>
    </row>
    <row r="3602" hidden="1">
      <c r="A3602" s="2">
        <f>IFERROR(__xludf.DUMMYFUNCTION("""COMPUTED_VALUE"""),6478.0)</f>
        <v>6478</v>
      </c>
      <c r="B3602" s="2">
        <f>IFERROR(__xludf.DUMMYFUNCTION("""COMPUTED_VALUE"""),1.0)</f>
        <v>1</v>
      </c>
      <c r="C3602" s="2">
        <f>IFERROR(__xludf.DUMMYFUNCTION("""COMPUTED_VALUE"""),597.0)</f>
        <v>597</v>
      </c>
      <c r="D3602" s="3">
        <f>IFERROR(__xludf.DUMMYFUNCTION("""COMPUTED_VALUE"""),139.0)</f>
        <v>139</v>
      </c>
      <c r="E3602" s="1" t="str">
        <f t="array" ref="E3602">_xlfn.XLOOKUP(A3602,Product!A:A,Product!B:B,"Bulunamadı")</f>
        <v>Medical</v>
      </c>
      <c r="F3602" s="1" t="str">
        <f t="array" ref="F3602">_xlfn.XLOOKUP(A3602,Product!A:A,Product!C:C,"Bulunamadı")</f>
        <v>Legal Practice</v>
      </c>
      <c r="G3602" s="2" t="str">
        <f t="array" ref="G3602">_xlfn.XLOOKUP(A3603,Product!A:A,Product!D:D,"Bulunamadı")</f>
        <v>Silvermark Press</v>
      </c>
      <c r="H3602" s="2">
        <f t="array" ref="H3602">_xlfn.XLOOKUP(A3604,Product!A:A,Product!E:E,"Bulunamadı")</f>
        <v>1.95</v>
      </c>
      <c r="I3602" s="2" t="str">
        <f t="shared" si="1"/>
        <v>6478 - Medical - Legal Practice</v>
      </c>
      <c r="J3602" s="2">
        <f t="shared" si="2"/>
        <v>271.05</v>
      </c>
      <c r="K3602" s="17">
        <f t="shared" si="3"/>
        <v>1</v>
      </c>
      <c r="L3602" s="18"/>
    </row>
    <row r="3603" hidden="1">
      <c r="A3603" s="2">
        <f>IFERROR(__xludf.DUMMYFUNCTION("""COMPUTED_VALUE"""),6474.0)</f>
        <v>6474</v>
      </c>
      <c r="B3603" s="2">
        <f>IFERROR(__xludf.DUMMYFUNCTION("""COMPUTED_VALUE"""),1.0)</f>
        <v>1</v>
      </c>
      <c r="C3603" s="2">
        <f>IFERROR(__xludf.DUMMYFUNCTION("""COMPUTED_VALUE"""),790.0)</f>
        <v>790</v>
      </c>
      <c r="D3603" s="3">
        <f>IFERROR(__xludf.DUMMYFUNCTION("""COMPUTED_VALUE"""),206.0)</f>
        <v>206</v>
      </c>
      <c r="E3603" s="1" t="str">
        <f t="array" ref="E3603">_xlfn.XLOOKUP(A3603,Product!A:A,Product!B:B,"Bulunamadı")</f>
        <v>Medical</v>
      </c>
      <c r="F3603" s="1" t="str">
        <f t="array" ref="F3603">_xlfn.XLOOKUP(A3603,Product!A:A,Product!C:C,"Bulunamadı")</f>
        <v>Legal Practice</v>
      </c>
      <c r="G3603" s="2" t="str">
        <f t="array" ref="G3603">_xlfn.XLOOKUP(A3604,Product!A:A,Product!D:D,"Bulunamadı")</f>
        <v>Silvermark Press</v>
      </c>
      <c r="H3603" s="2">
        <f t="array" ref="H3603">_xlfn.XLOOKUP(A3605,Product!A:A,Product!E:E,"Bulunamadı")</f>
        <v>4.6</v>
      </c>
      <c r="I3603" s="2" t="str">
        <f t="shared" si="1"/>
        <v>6474 - Medical - Legal Practice</v>
      </c>
      <c r="J3603" s="2">
        <f t="shared" si="2"/>
        <v>947.6</v>
      </c>
      <c r="K3603" s="17">
        <f t="shared" si="3"/>
        <v>1</v>
      </c>
      <c r="L3603" s="18"/>
    </row>
    <row r="3604" hidden="1">
      <c r="A3604" s="2">
        <f>IFERROR(__xludf.DUMMYFUNCTION("""COMPUTED_VALUE"""),70574.0)</f>
        <v>70574</v>
      </c>
      <c r="B3604" s="2">
        <f>IFERROR(__xludf.DUMMYFUNCTION("""COMPUTED_VALUE"""),1.0)</f>
        <v>1</v>
      </c>
      <c r="C3604" s="2">
        <f>IFERROR(__xludf.DUMMYFUNCTION("""COMPUTED_VALUE"""),589.0)</f>
        <v>589</v>
      </c>
      <c r="D3604" s="3">
        <f>IFERROR(__xludf.DUMMYFUNCTION("""COMPUTED_VALUE"""),215.0)</f>
        <v>215</v>
      </c>
      <c r="E3604" s="1" t="str">
        <f t="array" ref="E3604">_xlfn.XLOOKUP(A3604,Product!A:A,Product!B:B,"Bulunamadı")</f>
        <v>Medical</v>
      </c>
      <c r="F3604" s="1" t="str">
        <f t="array" ref="F3604">_xlfn.XLOOKUP(A3604,Product!A:A,Product!C:C,"Bulunamadı")</f>
        <v>Legal Practice</v>
      </c>
      <c r="G3604" s="2" t="str">
        <f t="array" ref="G3604">_xlfn.XLOOKUP(A3605,Product!A:A,Product!D:D,"Bulunamadı")</f>
        <v>Northmark Publishing</v>
      </c>
      <c r="H3604" s="2">
        <f t="array" ref="H3604">_xlfn.XLOOKUP(A3606,Product!A:A,Product!E:E,"Bulunamadı")</f>
        <v>4.53</v>
      </c>
      <c r="I3604" s="2" t="str">
        <f t="shared" si="1"/>
        <v>70574 - Medical - Legal Practice</v>
      </c>
      <c r="J3604" s="2">
        <f t="shared" si="2"/>
        <v>973.95</v>
      </c>
      <c r="K3604" s="17">
        <f t="shared" si="3"/>
        <v>1</v>
      </c>
      <c r="L3604" s="18"/>
    </row>
    <row r="3605" hidden="1">
      <c r="A3605" s="2">
        <f>IFERROR(__xludf.DUMMYFUNCTION("""COMPUTED_VALUE"""),101302.0)</f>
        <v>101302</v>
      </c>
      <c r="B3605" s="2">
        <f>IFERROR(__xludf.DUMMYFUNCTION("""COMPUTED_VALUE"""),1.0)</f>
        <v>1</v>
      </c>
      <c r="C3605" s="2">
        <f>IFERROR(__xludf.DUMMYFUNCTION("""COMPUTED_VALUE"""),540.0)</f>
        <v>540</v>
      </c>
      <c r="D3605" s="3">
        <f>IFERROR(__xludf.DUMMYFUNCTION("""COMPUTED_VALUE"""),109.0)</f>
        <v>109</v>
      </c>
      <c r="E3605" s="1" t="str">
        <f t="array" ref="E3605">_xlfn.XLOOKUP(A3605,Product!A:A,Product!B:B,"Bulunamadı")</f>
        <v>Finance</v>
      </c>
      <c r="F3605" s="1" t="str">
        <f t="array" ref="F3605">_xlfn.XLOOKUP(A3605,Product!A:A,Product!C:C,"Bulunamadı")</f>
        <v>Programming</v>
      </c>
      <c r="G3605" s="2" t="str">
        <f t="array" ref="G3605">_xlfn.XLOOKUP(A3606,Product!A:A,Product!D:D,"Bulunamadı")</f>
        <v>Northmark Publishing</v>
      </c>
      <c r="H3605" s="2">
        <f t="array" ref="H3605">_xlfn.XLOOKUP(A3607,Product!A:A,Product!E:E,"Bulunamadı")</f>
        <v>12.35</v>
      </c>
      <c r="I3605" s="2" t="str">
        <f t="shared" si="1"/>
        <v>101302 - Finance - Programming</v>
      </c>
      <c r="J3605" s="2">
        <f t="shared" si="2"/>
        <v>1346.15</v>
      </c>
      <c r="K3605" s="17">
        <f t="shared" si="3"/>
        <v>1</v>
      </c>
      <c r="L3605" s="18"/>
    </row>
    <row r="3606" hidden="1">
      <c r="A3606" s="2">
        <f>IFERROR(__xludf.DUMMYFUNCTION("""COMPUTED_VALUE"""),104475.0)</f>
        <v>104475</v>
      </c>
      <c r="B3606" s="2">
        <f>IFERROR(__xludf.DUMMYFUNCTION("""COMPUTED_VALUE"""),1.0)</f>
        <v>1</v>
      </c>
      <c r="C3606" s="2">
        <f>IFERROR(__xludf.DUMMYFUNCTION("""COMPUTED_VALUE"""),169.0)</f>
        <v>169</v>
      </c>
      <c r="D3606" s="3">
        <f>IFERROR(__xludf.DUMMYFUNCTION("""COMPUTED_VALUE"""),14.0)</f>
        <v>14</v>
      </c>
      <c r="E3606" s="1" t="str">
        <f t="array" ref="E3606">_xlfn.XLOOKUP(A3606,Product!A:A,Product!B:B,"Bulunamadı")</f>
        <v>Finance</v>
      </c>
      <c r="F3606" s="1" t="str">
        <f t="array" ref="F3606">_xlfn.XLOOKUP(A3606,Product!A:A,Product!C:C,"Bulunamadı")</f>
        <v>Programming</v>
      </c>
      <c r="G3606" s="2" t="str">
        <f t="array" ref="G3606">_xlfn.XLOOKUP(A3607,Product!A:A,Product!D:D,"Bulunamadı")</f>
        <v>Northmark Publishing</v>
      </c>
      <c r="H3606" s="2">
        <f t="array" ref="H3606">_xlfn.XLOOKUP(A3608,Product!A:A,Product!E:E,"Bulunamadı")</f>
        <v>9.27</v>
      </c>
      <c r="I3606" s="2" t="str">
        <f t="shared" si="1"/>
        <v>104475 - Finance - Programming</v>
      </c>
      <c r="J3606" s="2">
        <f t="shared" si="2"/>
        <v>129.78</v>
      </c>
      <c r="K3606" s="17">
        <f t="shared" si="3"/>
        <v>1</v>
      </c>
      <c r="L3606" s="18"/>
    </row>
    <row r="3607" hidden="1">
      <c r="A3607" s="2">
        <f>IFERROR(__xludf.DUMMYFUNCTION("""COMPUTED_VALUE"""),101296.0)</f>
        <v>101296</v>
      </c>
      <c r="B3607" s="2">
        <f>IFERROR(__xludf.DUMMYFUNCTION("""COMPUTED_VALUE"""),1.0)</f>
        <v>1</v>
      </c>
      <c r="C3607" s="2">
        <f>IFERROR(__xludf.DUMMYFUNCTION("""COMPUTED_VALUE"""),280.0)</f>
        <v>280</v>
      </c>
      <c r="D3607" s="3">
        <f>IFERROR(__xludf.DUMMYFUNCTION("""COMPUTED_VALUE"""),201.0)</f>
        <v>201</v>
      </c>
      <c r="E3607" s="1" t="str">
        <f t="array" ref="E3607">_xlfn.XLOOKUP(A3607,Product!A:A,Product!B:B,"Bulunamadı")</f>
        <v>Finance</v>
      </c>
      <c r="F3607" s="1" t="str">
        <f t="array" ref="F3607">_xlfn.XLOOKUP(A3607,Product!A:A,Product!C:C,"Bulunamadı")</f>
        <v>Programming</v>
      </c>
      <c r="G3607" s="2" t="str">
        <f t="array" ref="G3607">_xlfn.XLOOKUP(A3608,Product!A:A,Product!D:D,"Bulunamadı")</f>
        <v>Northmark Publishing</v>
      </c>
      <c r="H3607" s="2">
        <f t="array" ref="H3607">_xlfn.XLOOKUP(A3609,Product!A:A,Product!E:E,"Bulunamadı")</f>
        <v>3.94</v>
      </c>
      <c r="I3607" s="2" t="str">
        <f t="shared" si="1"/>
        <v>101296 - Finance - Programming</v>
      </c>
      <c r="J3607" s="2">
        <f t="shared" si="2"/>
        <v>791.94</v>
      </c>
      <c r="K3607" s="17">
        <f t="shared" si="3"/>
        <v>1</v>
      </c>
      <c r="L3607" s="18"/>
    </row>
    <row r="3608" hidden="1">
      <c r="A3608" s="2">
        <f>IFERROR(__xludf.DUMMYFUNCTION("""COMPUTED_VALUE"""),122029.0)</f>
        <v>122029</v>
      </c>
      <c r="B3608" s="2">
        <f>IFERROR(__xludf.DUMMYFUNCTION("""COMPUTED_VALUE"""),1.0)</f>
        <v>1</v>
      </c>
      <c r="C3608" s="2">
        <f>IFERROR(__xludf.DUMMYFUNCTION("""COMPUTED_VALUE"""),874.0)</f>
        <v>874</v>
      </c>
      <c r="D3608" s="3">
        <f>IFERROR(__xludf.DUMMYFUNCTION("""COMPUTED_VALUE"""),464.0)</f>
        <v>464</v>
      </c>
      <c r="E3608" s="1" t="str">
        <f t="array" ref="E3608">_xlfn.XLOOKUP(A3608,Product!A:A,Product!B:B,"Bulunamadı")</f>
        <v>Finance</v>
      </c>
      <c r="F3608" s="1" t="str">
        <f t="array" ref="F3608">_xlfn.XLOOKUP(A3608,Product!A:A,Product!C:C,"Bulunamadı")</f>
        <v>Programming</v>
      </c>
      <c r="G3608" s="2" t="str">
        <f t="array" ref="G3608">_xlfn.XLOOKUP(A3609,Product!A:A,Product!D:D,"Bulunamadı")</f>
        <v>Northmark Publishing</v>
      </c>
      <c r="H3608" s="2">
        <f t="array" ref="H3608">_xlfn.XLOOKUP(A3610,Product!A:A,Product!E:E,"Bulunamadı")</f>
        <v>7.69</v>
      </c>
      <c r="I3608" s="2" t="str">
        <f t="shared" si="1"/>
        <v>122029 - Finance - Programming</v>
      </c>
      <c r="J3608" s="2">
        <f t="shared" si="2"/>
        <v>3568.16</v>
      </c>
      <c r="K3608" s="17">
        <f t="shared" si="3"/>
        <v>1</v>
      </c>
      <c r="L3608" s="18"/>
    </row>
    <row r="3609" hidden="1">
      <c r="A3609" s="2">
        <f>IFERROR(__xludf.DUMMYFUNCTION("""COMPUTED_VALUE"""),102549.0)</f>
        <v>102549</v>
      </c>
      <c r="B3609" s="2">
        <f>IFERROR(__xludf.DUMMYFUNCTION("""COMPUTED_VALUE"""),1.0)</f>
        <v>1</v>
      </c>
      <c r="C3609" s="2">
        <f>IFERROR(__xludf.DUMMYFUNCTION("""COMPUTED_VALUE"""),448.0)</f>
        <v>448</v>
      </c>
      <c r="D3609" s="3">
        <f>IFERROR(__xludf.DUMMYFUNCTION("""COMPUTED_VALUE"""),225.0)</f>
        <v>225</v>
      </c>
      <c r="E3609" s="1" t="str">
        <f t="array" ref="E3609">_xlfn.XLOOKUP(A3609,Product!A:A,Product!B:B,"Bulunamadı")</f>
        <v>Finance</v>
      </c>
      <c r="F3609" s="1" t="str">
        <f t="array" ref="F3609">_xlfn.XLOOKUP(A3609,Product!A:A,Product!C:C,"Bulunamadı")</f>
        <v>Programming</v>
      </c>
      <c r="G3609" s="2" t="str">
        <f t="array" ref="G3609">_xlfn.XLOOKUP(A3610,Product!A:A,Product!D:D,"Bulunamadı")</f>
        <v>Northmark Publishing</v>
      </c>
      <c r="H3609" s="2">
        <f t="array" ref="H3609">_xlfn.XLOOKUP(A3611,Product!A:A,Product!E:E,"Bulunamadı")</f>
        <v>6.7</v>
      </c>
      <c r="I3609" s="2" t="str">
        <f t="shared" si="1"/>
        <v>102549 - Finance - Programming</v>
      </c>
      <c r="J3609" s="2">
        <f t="shared" si="2"/>
        <v>1507.5</v>
      </c>
      <c r="K3609" s="17">
        <f t="shared" si="3"/>
        <v>1</v>
      </c>
      <c r="L3609" s="18"/>
    </row>
    <row r="3610" hidden="1">
      <c r="A3610" s="2">
        <f>IFERROR(__xludf.DUMMYFUNCTION("""COMPUTED_VALUE"""),122026.0)</f>
        <v>122026</v>
      </c>
      <c r="B3610" s="2">
        <f>IFERROR(__xludf.DUMMYFUNCTION("""COMPUTED_VALUE"""),1.0)</f>
        <v>1</v>
      </c>
      <c r="C3610" s="2">
        <f>IFERROR(__xludf.DUMMYFUNCTION("""COMPUTED_VALUE"""),385.0)</f>
        <v>385</v>
      </c>
      <c r="D3610" s="3">
        <f>IFERROR(__xludf.DUMMYFUNCTION("""COMPUTED_VALUE"""),171.0)</f>
        <v>171</v>
      </c>
      <c r="E3610" s="1" t="str">
        <f t="array" ref="E3610">_xlfn.XLOOKUP(A3610,Product!A:A,Product!B:B,"Bulunamadı")</f>
        <v>Finance</v>
      </c>
      <c r="F3610" s="1" t="str">
        <f t="array" ref="F3610">_xlfn.XLOOKUP(A3610,Product!A:A,Product!C:C,"Bulunamadı")</f>
        <v>Programming</v>
      </c>
      <c r="G3610" s="2" t="str">
        <f t="array" ref="G3610">_xlfn.XLOOKUP(A3611,Product!A:A,Product!D:D,"Bulunamadı")</f>
        <v>Northmark Publishing</v>
      </c>
      <c r="H3610" s="2">
        <f t="array" ref="H3610">_xlfn.XLOOKUP(A3612,Product!A:A,Product!E:E,"Bulunamadı")</f>
        <v>5.97</v>
      </c>
      <c r="I3610" s="2" t="str">
        <f t="shared" si="1"/>
        <v>122026 - Finance - Programming</v>
      </c>
      <c r="J3610" s="2">
        <f t="shared" si="2"/>
        <v>1020.87</v>
      </c>
      <c r="K3610" s="17">
        <f t="shared" si="3"/>
        <v>1</v>
      </c>
      <c r="L3610" s="18"/>
    </row>
    <row r="3611" hidden="1">
      <c r="A3611" s="2">
        <f>IFERROR(__xludf.DUMMYFUNCTION("""COMPUTED_VALUE"""),101303.0)</f>
        <v>101303</v>
      </c>
      <c r="B3611" s="2">
        <f>IFERROR(__xludf.DUMMYFUNCTION("""COMPUTED_VALUE"""),0.0)</f>
        <v>0</v>
      </c>
      <c r="C3611" s="2">
        <f>IFERROR(__xludf.DUMMYFUNCTION("""COMPUTED_VALUE"""),114.0)</f>
        <v>114</v>
      </c>
      <c r="D3611" s="3">
        <f>IFERROR(__xludf.DUMMYFUNCTION("""COMPUTED_VALUE"""),43.0)</f>
        <v>43</v>
      </c>
      <c r="E3611" s="1" t="str">
        <f t="array" ref="E3611">_xlfn.XLOOKUP(A3611,Product!A:A,Product!B:B,"Bulunamadı")</f>
        <v>Finance</v>
      </c>
      <c r="F3611" s="1" t="str">
        <f t="array" ref="F3611">_xlfn.XLOOKUP(A3611,Product!A:A,Product!C:C,"Bulunamadı")</f>
        <v>Programming</v>
      </c>
      <c r="G3611" s="2" t="str">
        <f t="array" ref="G3611">_xlfn.XLOOKUP(A3612,Product!A:A,Product!D:D,"Bulunamadı")</f>
        <v>Northmark Publishing</v>
      </c>
      <c r="H3611" s="2">
        <f t="array" ref="H3611">_xlfn.XLOOKUP(A3613,Product!A:A,Product!E:E,"Bulunamadı")</f>
        <v>6.54</v>
      </c>
      <c r="I3611" s="2" t="str">
        <f t="shared" si="1"/>
        <v>101303 - Finance - Programming</v>
      </c>
      <c r="J3611" s="2">
        <f t="shared" si="2"/>
        <v>281.22</v>
      </c>
      <c r="K3611" s="17">
        <f t="shared" si="3"/>
        <v>1</v>
      </c>
      <c r="L3611" s="18"/>
    </row>
    <row r="3612" hidden="1">
      <c r="A3612" s="2">
        <f>IFERROR(__xludf.DUMMYFUNCTION("""COMPUTED_VALUE"""),102548.0)</f>
        <v>102548</v>
      </c>
      <c r="B3612" s="2">
        <f>IFERROR(__xludf.DUMMYFUNCTION("""COMPUTED_VALUE"""),0.0)</f>
        <v>0</v>
      </c>
      <c r="C3612" s="2">
        <f>IFERROR(__xludf.DUMMYFUNCTION("""COMPUTED_VALUE"""),304.0)</f>
        <v>304</v>
      </c>
      <c r="D3612" s="3">
        <f>IFERROR(__xludf.DUMMYFUNCTION("""COMPUTED_VALUE"""),132.0)</f>
        <v>132</v>
      </c>
      <c r="E3612" s="1" t="str">
        <f t="array" ref="E3612">_xlfn.XLOOKUP(A3612,Product!A:A,Product!B:B,"Bulunamadı")</f>
        <v>Finance</v>
      </c>
      <c r="F3612" s="1" t="str">
        <f t="array" ref="F3612">_xlfn.XLOOKUP(A3612,Product!A:A,Product!C:C,"Bulunamadı")</f>
        <v>Programming</v>
      </c>
      <c r="G3612" s="2" t="str">
        <f t="array" ref="G3612">_xlfn.XLOOKUP(A3613,Product!A:A,Product!D:D,"Bulunamadı")</f>
        <v>Northmark Publishing</v>
      </c>
      <c r="H3612" s="2">
        <f t="array" ref="H3612">_xlfn.XLOOKUP(A3614,Product!A:A,Product!E:E,"Bulunamadı")</f>
        <v>4.54</v>
      </c>
      <c r="I3612" s="2" t="str">
        <f t="shared" si="1"/>
        <v>102548 - Finance - Programming</v>
      </c>
      <c r="J3612" s="2">
        <f t="shared" si="2"/>
        <v>599.28</v>
      </c>
      <c r="K3612" s="17">
        <f t="shared" si="3"/>
        <v>1</v>
      </c>
      <c r="L3612" s="18"/>
    </row>
    <row r="3613" hidden="1">
      <c r="A3613" s="2">
        <f>IFERROR(__xludf.DUMMYFUNCTION("""COMPUTED_VALUE"""),122027.0)</f>
        <v>122027</v>
      </c>
      <c r="B3613" s="2">
        <f>IFERROR(__xludf.DUMMYFUNCTION("""COMPUTED_VALUE"""),1.0)</f>
        <v>1</v>
      </c>
      <c r="C3613" s="2">
        <f>IFERROR(__xludf.DUMMYFUNCTION("""COMPUTED_VALUE"""),797.0)</f>
        <v>797</v>
      </c>
      <c r="D3613" s="3">
        <f>IFERROR(__xludf.DUMMYFUNCTION("""COMPUTED_VALUE"""),387.0)</f>
        <v>387</v>
      </c>
      <c r="E3613" s="1" t="str">
        <f t="array" ref="E3613">_xlfn.XLOOKUP(A3613,Product!A:A,Product!B:B,"Bulunamadı")</f>
        <v>Finance</v>
      </c>
      <c r="F3613" s="1" t="str">
        <f t="array" ref="F3613">_xlfn.XLOOKUP(A3613,Product!A:A,Product!C:C,"Bulunamadı")</f>
        <v>Programming</v>
      </c>
      <c r="G3613" s="2" t="str">
        <f t="array" ref="G3613">_xlfn.XLOOKUP(A3614,Product!A:A,Product!D:D,"Bulunamadı")</f>
        <v>Northmark Publishing</v>
      </c>
      <c r="H3613" s="2">
        <f t="array" ref="H3613">_xlfn.XLOOKUP(A3615,Product!A:A,Product!E:E,"Bulunamadı")</f>
        <v>4.92</v>
      </c>
      <c r="I3613" s="2" t="str">
        <f t="shared" si="1"/>
        <v>122027 - Finance - Programming</v>
      </c>
      <c r="J3613" s="2">
        <f t="shared" si="2"/>
        <v>1904.04</v>
      </c>
      <c r="K3613" s="17">
        <f t="shared" si="3"/>
        <v>1</v>
      </c>
      <c r="L3613" s="18"/>
    </row>
    <row r="3614" hidden="1">
      <c r="A3614" s="2">
        <f>IFERROR(__xludf.DUMMYFUNCTION("""COMPUTED_VALUE"""),46963.0)</f>
        <v>46963</v>
      </c>
      <c r="B3614" s="2">
        <f>IFERROR(__xludf.DUMMYFUNCTION("""COMPUTED_VALUE"""),0.0)</f>
        <v>0</v>
      </c>
      <c r="C3614" s="2">
        <f>IFERROR(__xludf.DUMMYFUNCTION("""COMPUTED_VALUE"""),527.0)</f>
        <v>527</v>
      </c>
      <c r="D3614" s="3">
        <f>IFERROR(__xludf.DUMMYFUNCTION("""COMPUTED_VALUE"""),482.0)</f>
        <v>482</v>
      </c>
      <c r="E3614" s="1" t="str">
        <f t="array" ref="E3614">_xlfn.XLOOKUP(A3614,Product!A:A,Product!B:B,"Bulunamadı")</f>
        <v>Finance</v>
      </c>
      <c r="F3614" s="1" t="str">
        <f t="array" ref="F3614">_xlfn.XLOOKUP(A3614,Product!A:A,Product!C:C,"Bulunamadı")</f>
        <v>Programming</v>
      </c>
      <c r="G3614" s="2" t="str">
        <f t="array" ref="G3614">_xlfn.XLOOKUP(A3615,Product!A:A,Product!D:D,"Bulunamadı")</f>
        <v>Northmark Publishing</v>
      </c>
      <c r="H3614" s="2">
        <f t="array" ref="H3614">_xlfn.XLOOKUP(A3616,Product!A:A,Product!E:E,"Bulunamadı")</f>
        <v>6.53</v>
      </c>
      <c r="I3614" s="2" t="str">
        <f t="shared" si="1"/>
        <v>46963 - Finance - Programming</v>
      </c>
      <c r="J3614" s="2">
        <f t="shared" si="2"/>
        <v>3147.46</v>
      </c>
      <c r="K3614" s="17">
        <f t="shared" si="3"/>
        <v>1</v>
      </c>
      <c r="L3614" s="18"/>
    </row>
    <row r="3615" hidden="1">
      <c r="A3615" s="2">
        <f>IFERROR(__xludf.DUMMYFUNCTION("""COMPUTED_VALUE"""),102268.0)</f>
        <v>102268</v>
      </c>
      <c r="B3615" s="2">
        <f>IFERROR(__xludf.DUMMYFUNCTION("""COMPUTED_VALUE"""),1.0)</f>
        <v>1</v>
      </c>
      <c r="C3615" s="2">
        <f>IFERROR(__xludf.DUMMYFUNCTION("""COMPUTED_VALUE"""),827.0)</f>
        <v>827</v>
      </c>
      <c r="D3615" s="3">
        <f>IFERROR(__xludf.DUMMYFUNCTION("""COMPUTED_VALUE"""),225.0)</f>
        <v>225</v>
      </c>
      <c r="E3615" s="1" t="str">
        <f t="array" ref="E3615">_xlfn.XLOOKUP(A3615,Product!A:A,Product!B:B,"Bulunamadı")</f>
        <v>Finance</v>
      </c>
      <c r="F3615" s="1" t="str">
        <f t="array" ref="F3615">_xlfn.XLOOKUP(A3615,Product!A:A,Product!C:C,"Bulunamadı")</f>
        <v>Programming</v>
      </c>
      <c r="G3615" s="2" t="str">
        <f t="array" ref="G3615">_xlfn.XLOOKUP(A3616,Product!A:A,Product!D:D,"Bulunamadı")</f>
        <v>Northmark Publishing</v>
      </c>
      <c r="H3615" s="2">
        <f t="array" ref="H3615">_xlfn.XLOOKUP(A3617,Product!A:A,Product!E:E,"Bulunamadı")</f>
        <v>7.04</v>
      </c>
      <c r="I3615" s="2" t="str">
        <f t="shared" si="1"/>
        <v>102268 - Finance - Programming</v>
      </c>
      <c r="J3615" s="2">
        <f t="shared" si="2"/>
        <v>1584</v>
      </c>
      <c r="K3615" s="17">
        <f t="shared" si="3"/>
        <v>1</v>
      </c>
      <c r="L3615" s="18"/>
    </row>
    <row r="3616" hidden="1">
      <c r="A3616" s="2">
        <f>IFERROR(__xludf.DUMMYFUNCTION("""COMPUTED_VALUE"""),26649.0)</f>
        <v>26649</v>
      </c>
      <c r="B3616" s="2">
        <f>IFERROR(__xludf.DUMMYFUNCTION("""COMPUTED_VALUE"""),1.0)</f>
        <v>1</v>
      </c>
      <c r="C3616" s="2">
        <f>IFERROR(__xludf.DUMMYFUNCTION("""COMPUTED_VALUE"""),324.0)</f>
        <v>324</v>
      </c>
      <c r="D3616" s="3">
        <f>IFERROR(__xludf.DUMMYFUNCTION("""COMPUTED_VALUE"""),310.0)</f>
        <v>310</v>
      </c>
      <c r="E3616" s="1" t="str">
        <f t="array" ref="E3616">_xlfn.XLOOKUP(A3616,Product!A:A,Product!B:B,"Bulunamadı")</f>
        <v>Finance</v>
      </c>
      <c r="F3616" s="1" t="str">
        <f t="array" ref="F3616">_xlfn.XLOOKUP(A3616,Product!A:A,Product!C:C,"Bulunamadı")</f>
        <v>Programming</v>
      </c>
      <c r="G3616" s="2" t="str">
        <f t="array" ref="G3616">_xlfn.XLOOKUP(A3617,Product!A:A,Product!D:D,"Bulunamadı")</f>
        <v>Harbormark Books</v>
      </c>
      <c r="H3616" s="2">
        <f t="array" ref="H3616">_xlfn.XLOOKUP(A3618,Product!A:A,Product!E:E,"Bulunamadı")</f>
        <v>11.66</v>
      </c>
      <c r="I3616" s="2" t="str">
        <f t="shared" si="1"/>
        <v>26649 - Finance - Programming</v>
      </c>
      <c r="J3616" s="2">
        <f t="shared" si="2"/>
        <v>3614.6</v>
      </c>
      <c r="K3616" s="17">
        <f t="shared" si="3"/>
        <v>1</v>
      </c>
      <c r="L3616" s="18"/>
    </row>
    <row r="3617" hidden="1">
      <c r="A3617" s="2">
        <f>IFERROR(__xludf.DUMMYFUNCTION("""COMPUTED_VALUE"""),102275.0)</f>
        <v>102275</v>
      </c>
      <c r="B3617" s="2">
        <f>IFERROR(__xludf.DUMMYFUNCTION("""COMPUTED_VALUE"""),1.0)</f>
        <v>1</v>
      </c>
      <c r="C3617" s="2">
        <f>IFERROR(__xludf.DUMMYFUNCTION("""COMPUTED_VALUE"""),896.0)</f>
        <v>896</v>
      </c>
      <c r="D3617" s="3">
        <f>IFERROR(__xludf.DUMMYFUNCTION("""COMPUTED_VALUE"""),776.0)</f>
        <v>776</v>
      </c>
      <c r="E3617" s="1" t="str">
        <f t="array" ref="E3617">_xlfn.XLOOKUP(A3617,Product!A:A,Product!B:B,"Bulunamadı")</f>
        <v>Finance</v>
      </c>
      <c r="F3617" s="1" t="str">
        <f t="array" ref="F3617">_xlfn.XLOOKUP(A3617,Product!A:A,Product!C:C,"Bulunamadı")</f>
        <v>Programming</v>
      </c>
      <c r="G3617" s="2" t="str">
        <f t="array" ref="G3617">_xlfn.XLOOKUP(A3618,Product!A:A,Product!D:D,"Bulunamadı")</f>
        <v>Harbormark Books</v>
      </c>
      <c r="H3617" s="2">
        <f t="array" ref="H3617">_xlfn.XLOOKUP(A3619,Product!A:A,Product!E:E,"Bulunamadı")</f>
        <v>6.07</v>
      </c>
      <c r="I3617" s="2" t="str">
        <f t="shared" si="1"/>
        <v>102275 - Finance - Programming</v>
      </c>
      <c r="J3617" s="2">
        <f t="shared" si="2"/>
        <v>4710.32</v>
      </c>
      <c r="K3617" s="17">
        <f t="shared" si="3"/>
        <v>1</v>
      </c>
      <c r="L3617" s="18"/>
    </row>
    <row r="3618" hidden="1">
      <c r="A3618" s="2">
        <f>IFERROR(__xludf.DUMMYFUNCTION("""COMPUTED_VALUE"""),43943.0)</f>
        <v>43943</v>
      </c>
      <c r="B3618" s="2">
        <f>IFERROR(__xludf.DUMMYFUNCTION("""COMPUTED_VALUE"""),0.0)</f>
        <v>0</v>
      </c>
      <c r="C3618" s="2">
        <f>IFERROR(__xludf.DUMMYFUNCTION("""COMPUTED_VALUE"""),351.0)</f>
        <v>351</v>
      </c>
      <c r="D3618" s="3">
        <f>IFERROR(__xludf.DUMMYFUNCTION("""COMPUTED_VALUE"""),315.0)</f>
        <v>315</v>
      </c>
      <c r="E3618" s="1" t="str">
        <f t="array" ref="E3618">_xlfn.XLOOKUP(A3618,Product!A:A,Product!B:B,"Bulunamadı")</f>
        <v>Finance</v>
      </c>
      <c r="F3618" s="1" t="str">
        <f t="array" ref="F3618">_xlfn.XLOOKUP(A3618,Product!A:A,Product!C:C,"Bulunamadı")</f>
        <v>Programming</v>
      </c>
      <c r="G3618" s="2" t="str">
        <f t="array" ref="G3618">_xlfn.XLOOKUP(A3619,Product!A:A,Product!D:D,"Bulunamadı")</f>
        <v>Harbormark Books</v>
      </c>
      <c r="H3618" s="2">
        <f t="array" ref="H3618">_xlfn.XLOOKUP(A3620,Product!A:A,Product!E:E,"Bulunamadı")</f>
        <v>7.97</v>
      </c>
      <c r="I3618" s="2" t="str">
        <f t="shared" si="1"/>
        <v>43943 - Finance - Programming</v>
      </c>
      <c r="J3618" s="2">
        <f t="shared" si="2"/>
        <v>2510.55</v>
      </c>
      <c r="K3618" s="17">
        <f t="shared" si="3"/>
        <v>1</v>
      </c>
      <c r="L3618" s="18"/>
    </row>
    <row r="3619" hidden="1">
      <c r="A3619" s="2">
        <f>IFERROR(__xludf.DUMMYFUNCTION("""COMPUTED_VALUE"""),102550.0)</f>
        <v>102550</v>
      </c>
      <c r="B3619" s="2">
        <f>IFERROR(__xludf.DUMMYFUNCTION("""COMPUTED_VALUE"""),0.0)</f>
        <v>0</v>
      </c>
      <c r="C3619" s="2">
        <f>IFERROR(__xludf.DUMMYFUNCTION("""COMPUTED_VALUE"""),868.0)</f>
        <v>868</v>
      </c>
      <c r="D3619" s="3">
        <f>IFERROR(__xludf.DUMMYFUNCTION("""COMPUTED_VALUE"""),30.0)</f>
        <v>30</v>
      </c>
      <c r="E3619" s="1" t="str">
        <f t="array" ref="E3619">_xlfn.XLOOKUP(A3619,Product!A:A,Product!B:B,"Bulunamadı")</f>
        <v>Finance</v>
      </c>
      <c r="F3619" s="1" t="str">
        <f t="array" ref="F3619">_xlfn.XLOOKUP(A3619,Product!A:A,Product!C:C,"Bulunamadı")</f>
        <v>Programming</v>
      </c>
      <c r="G3619" s="2" t="str">
        <f t="array" ref="G3619">_xlfn.XLOOKUP(A3620,Product!A:A,Product!D:D,"Bulunamadı")</f>
        <v>Harbormark Books</v>
      </c>
      <c r="H3619" s="2">
        <f t="array" ref="H3619">_xlfn.XLOOKUP(A3621,Product!A:A,Product!E:E,"Bulunamadı")</f>
        <v>5.52</v>
      </c>
      <c r="I3619" s="2" t="str">
        <f t="shared" si="1"/>
        <v>102550 - Finance - Programming</v>
      </c>
      <c r="J3619" s="2">
        <f t="shared" si="2"/>
        <v>165.6</v>
      </c>
      <c r="K3619" s="17">
        <f t="shared" si="3"/>
        <v>1</v>
      </c>
      <c r="L3619" s="18"/>
    </row>
    <row r="3620" hidden="1">
      <c r="A3620" s="2">
        <f>IFERROR(__xludf.DUMMYFUNCTION("""COMPUTED_VALUE"""),26650.0)</f>
        <v>26650</v>
      </c>
      <c r="B3620" s="2">
        <f>IFERROR(__xludf.DUMMYFUNCTION("""COMPUTED_VALUE"""),1.0)</f>
        <v>1</v>
      </c>
      <c r="C3620" s="2">
        <f>IFERROR(__xludf.DUMMYFUNCTION("""COMPUTED_VALUE"""),525.0)</f>
        <v>525</v>
      </c>
      <c r="D3620" s="3">
        <f>IFERROR(__xludf.DUMMYFUNCTION("""COMPUTED_VALUE"""),292.0)</f>
        <v>292</v>
      </c>
      <c r="E3620" s="1" t="str">
        <f t="array" ref="E3620">_xlfn.XLOOKUP(A3620,Product!A:A,Product!B:B,"Bulunamadı")</f>
        <v>Finance</v>
      </c>
      <c r="F3620" s="1" t="str">
        <f t="array" ref="F3620">_xlfn.XLOOKUP(A3620,Product!A:A,Product!C:C,"Bulunamadı")</f>
        <v>Programming</v>
      </c>
      <c r="G3620" s="2" t="str">
        <f t="array" ref="G3620">_xlfn.XLOOKUP(A3621,Product!A:A,Product!D:D,"Bulunamadı")</f>
        <v>Harbormark Books</v>
      </c>
      <c r="H3620" s="2">
        <f t="array" ref="H3620">_xlfn.XLOOKUP(A3622,Product!A:A,Product!E:E,"Bulunamadı")</f>
        <v>11.86</v>
      </c>
      <c r="I3620" s="2" t="str">
        <f t="shared" si="1"/>
        <v>26650 - Finance - Programming</v>
      </c>
      <c r="J3620" s="2">
        <f t="shared" si="2"/>
        <v>3463.12</v>
      </c>
      <c r="K3620" s="17">
        <f t="shared" si="3"/>
        <v>1</v>
      </c>
      <c r="L3620" s="18"/>
    </row>
    <row r="3621" hidden="1">
      <c r="A3621" s="2">
        <f>IFERROR(__xludf.DUMMYFUNCTION("""COMPUTED_VALUE"""),117728.0)</f>
        <v>117728</v>
      </c>
      <c r="B3621" s="2">
        <f>IFERROR(__xludf.DUMMYFUNCTION("""COMPUTED_VALUE"""),0.0)</f>
        <v>0</v>
      </c>
      <c r="C3621" s="2">
        <f>IFERROR(__xludf.DUMMYFUNCTION("""COMPUTED_VALUE"""),892.0)</f>
        <v>892</v>
      </c>
      <c r="D3621" s="3">
        <f>IFERROR(__xludf.DUMMYFUNCTION("""COMPUTED_VALUE"""),382.0)</f>
        <v>382</v>
      </c>
      <c r="E3621" s="1" t="str">
        <f t="array" ref="E3621">_xlfn.XLOOKUP(A3621,Product!A:A,Product!B:B,"Bulunamadı")</f>
        <v>Finance</v>
      </c>
      <c r="F3621" s="1" t="str">
        <f t="array" ref="F3621">_xlfn.XLOOKUP(A3621,Product!A:A,Product!C:C,"Bulunamadı")</f>
        <v>Programming</v>
      </c>
      <c r="G3621" s="2" t="str">
        <f t="array" ref="G3621">_xlfn.XLOOKUP(A3622,Product!A:A,Product!D:D,"Bulunamadı")</f>
        <v>Harbormark Books</v>
      </c>
      <c r="H3621" s="2">
        <f t="array" ref="H3621">_xlfn.XLOOKUP(A3623,Product!A:A,Product!E:E,"Bulunamadı")</f>
        <v>12.43</v>
      </c>
      <c r="I3621" s="2" t="str">
        <f t="shared" si="1"/>
        <v>117728 - Finance - Programming</v>
      </c>
      <c r="J3621" s="2">
        <f t="shared" si="2"/>
        <v>4748.26</v>
      </c>
      <c r="K3621" s="17">
        <f t="shared" si="3"/>
        <v>1</v>
      </c>
      <c r="L3621" s="18"/>
    </row>
    <row r="3622" hidden="1">
      <c r="A3622" s="2">
        <f>IFERROR(__xludf.DUMMYFUNCTION("""COMPUTED_VALUE"""),103588.0)</f>
        <v>103588</v>
      </c>
      <c r="B3622" s="2">
        <f>IFERROR(__xludf.DUMMYFUNCTION("""COMPUTED_VALUE"""),1.0)</f>
        <v>1</v>
      </c>
      <c r="C3622" s="2">
        <f>IFERROR(__xludf.DUMMYFUNCTION("""COMPUTED_VALUE"""),386.0)</f>
        <v>386</v>
      </c>
      <c r="D3622" s="3">
        <f>IFERROR(__xludf.DUMMYFUNCTION("""COMPUTED_VALUE"""),354.0)</f>
        <v>354</v>
      </c>
      <c r="E3622" s="1" t="str">
        <f t="array" ref="E3622">_xlfn.XLOOKUP(A3622,Product!A:A,Product!B:B,"Bulunamadı")</f>
        <v>Finance</v>
      </c>
      <c r="F3622" s="1" t="str">
        <f t="array" ref="F3622">_xlfn.XLOOKUP(A3622,Product!A:A,Product!C:C,"Bulunamadı")</f>
        <v>Programming</v>
      </c>
      <c r="G3622" s="2" t="str">
        <f t="array" ref="G3622">_xlfn.XLOOKUP(A3623,Product!A:A,Product!D:D,"Bulunamadı")</f>
        <v>Harbormark Books</v>
      </c>
      <c r="H3622" s="2">
        <f t="array" ref="H3622">_xlfn.XLOOKUP(A3624,Product!A:A,Product!E:E,"Bulunamadı")</f>
        <v>12.44</v>
      </c>
      <c r="I3622" s="2" t="str">
        <f t="shared" si="1"/>
        <v>103588 - Finance - Programming</v>
      </c>
      <c r="J3622" s="2">
        <f t="shared" si="2"/>
        <v>4403.76</v>
      </c>
      <c r="K3622" s="17">
        <f t="shared" si="3"/>
        <v>1</v>
      </c>
      <c r="L3622" s="18"/>
    </row>
    <row r="3623" hidden="1">
      <c r="A3623" s="2">
        <f>IFERROR(__xludf.DUMMYFUNCTION("""COMPUTED_VALUE"""),101297.0)</f>
        <v>101297</v>
      </c>
      <c r="B3623" s="2">
        <f>IFERROR(__xludf.DUMMYFUNCTION("""COMPUTED_VALUE"""),1.0)</f>
        <v>1</v>
      </c>
      <c r="C3623" s="2">
        <f>IFERROR(__xludf.DUMMYFUNCTION("""COMPUTED_VALUE"""),165.0)</f>
        <v>165</v>
      </c>
      <c r="D3623" s="3">
        <f>IFERROR(__xludf.DUMMYFUNCTION("""COMPUTED_VALUE"""),33.0)</f>
        <v>33</v>
      </c>
      <c r="E3623" s="1" t="str">
        <f t="array" ref="E3623">_xlfn.XLOOKUP(A3623,Product!A:A,Product!B:B,"Bulunamadı")</f>
        <v>Finance</v>
      </c>
      <c r="F3623" s="1" t="str">
        <f t="array" ref="F3623">_xlfn.XLOOKUP(A3623,Product!A:A,Product!C:C,"Bulunamadı")</f>
        <v>Programming</v>
      </c>
      <c r="G3623" s="2" t="str">
        <f t="array" ref="G3623">_xlfn.XLOOKUP(A3624,Product!A:A,Product!D:D,"Bulunamadı")</f>
        <v>Cedarmark Press</v>
      </c>
      <c r="H3623" s="2">
        <f t="array" ref="H3623">_xlfn.XLOOKUP(A3625,Product!A:A,Product!E:E,"Bulunamadı")</f>
        <v>12.39</v>
      </c>
      <c r="I3623" s="2" t="str">
        <f t="shared" si="1"/>
        <v>101297 - Finance - Programming</v>
      </c>
      <c r="J3623" s="2">
        <f t="shared" si="2"/>
        <v>408.87</v>
      </c>
      <c r="K3623" s="17">
        <f t="shared" si="3"/>
        <v>1</v>
      </c>
      <c r="L3623" s="18"/>
    </row>
    <row r="3624" hidden="1">
      <c r="A3624" s="2">
        <f>IFERROR(__xludf.DUMMYFUNCTION("""COMPUTED_VALUE"""),101298.0)</f>
        <v>101298</v>
      </c>
      <c r="B3624" s="2">
        <f>IFERROR(__xludf.DUMMYFUNCTION("""COMPUTED_VALUE"""),1.0)</f>
        <v>1</v>
      </c>
      <c r="C3624" s="2">
        <f>IFERROR(__xludf.DUMMYFUNCTION("""COMPUTED_VALUE"""),754.0)</f>
        <v>754</v>
      </c>
      <c r="D3624" s="3">
        <f>IFERROR(__xludf.DUMMYFUNCTION("""COMPUTED_VALUE"""),246.0)</f>
        <v>246</v>
      </c>
      <c r="E3624" s="1" t="str">
        <f t="array" ref="E3624">_xlfn.XLOOKUP(A3624,Product!A:A,Product!B:B,"Bulunamadı")</f>
        <v>Finance</v>
      </c>
      <c r="F3624" s="1" t="str">
        <f t="array" ref="F3624">_xlfn.XLOOKUP(A3624,Product!A:A,Product!C:C,"Bulunamadı")</f>
        <v>Programming</v>
      </c>
      <c r="G3624" s="2" t="str">
        <f t="array" ref="G3624">_xlfn.XLOOKUP(A3625,Product!A:A,Product!D:D,"Bulunamadı")</f>
        <v>Cedarmark Press</v>
      </c>
      <c r="H3624" s="2">
        <f t="array" ref="H3624">_xlfn.XLOOKUP(A3626,Product!A:A,Product!E:E,"Bulunamadı")</f>
        <v>6.16</v>
      </c>
      <c r="I3624" s="2" t="str">
        <f t="shared" si="1"/>
        <v>101298 - Finance - Programming</v>
      </c>
      <c r="J3624" s="2">
        <f t="shared" si="2"/>
        <v>1515.36</v>
      </c>
      <c r="K3624" s="17">
        <f t="shared" si="3"/>
        <v>1</v>
      </c>
      <c r="L3624" s="18"/>
    </row>
    <row r="3625" hidden="1">
      <c r="A3625" s="2">
        <f>IFERROR(__xludf.DUMMYFUNCTION("""COMPUTED_VALUE"""),113129.0)</f>
        <v>113129</v>
      </c>
      <c r="B3625" s="2">
        <f>IFERROR(__xludf.DUMMYFUNCTION("""COMPUTED_VALUE"""),1.0)</f>
        <v>1</v>
      </c>
      <c r="C3625" s="2">
        <f>IFERROR(__xludf.DUMMYFUNCTION("""COMPUTED_VALUE"""),642.0)</f>
        <v>642</v>
      </c>
      <c r="D3625" s="3">
        <f>IFERROR(__xludf.DUMMYFUNCTION("""COMPUTED_VALUE"""),300.0)</f>
        <v>300</v>
      </c>
      <c r="E3625" s="1" t="str">
        <f t="array" ref="E3625">_xlfn.XLOOKUP(A3625,Product!A:A,Product!B:B,"Bulunamadı")</f>
        <v>Finance</v>
      </c>
      <c r="F3625" s="1" t="str">
        <f t="array" ref="F3625">_xlfn.XLOOKUP(A3625,Product!A:A,Product!C:C,"Bulunamadı")</f>
        <v>Programming</v>
      </c>
      <c r="G3625" s="2" t="str">
        <f t="array" ref="G3625">_xlfn.XLOOKUP(A3626,Product!A:A,Product!D:D,"Bulunamadı")</f>
        <v>Cedarmark Press</v>
      </c>
      <c r="H3625" s="2">
        <f t="array" ref="H3625">_xlfn.XLOOKUP(A3627,Product!A:A,Product!E:E,"Bulunamadı")</f>
        <v>5.46</v>
      </c>
      <c r="I3625" s="2" t="str">
        <f t="shared" si="1"/>
        <v>113129 - Finance - Programming</v>
      </c>
      <c r="J3625" s="2">
        <f t="shared" si="2"/>
        <v>1638</v>
      </c>
      <c r="K3625" s="17">
        <f t="shared" si="3"/>
        <v>1</v>
      </c>
      <c r="L3625" s="18"/>
    </row>
    <row r="3626" hidden="1">
      <c r="A3626" s="2">
        <f>IFERROR(__xludf.DUMMYFUNCTION("""COMPUTED_VALUE"""),102551.0)</f>
        <v>102551</v>
      </c>
      <c r="B3626" s="2">
        <f>IFERROR(__xludf.DUMMYFUNCTION("""COMPUTED_VALUE"""),0.0)</f>
        <v>0</v>
      </c>
      <c r="C3626" s="2">
        <f>IFERROR(__xludf.DUMMYFUNCTION("""COMPUTED_VALUE"""),692.0)</f>
        <v>692</v>
      </c>
      <c r="D3626" s="3">
        <f>IFERROR(__xludf.DUMMYFUNCTION("""COMPUTED_VALUE"""),203.0)</f>
        <v>203</v>
      </c>
      <c r="E3626" s="1" t="str">
        <f t="array" ref="E3626">_xlfn.XLOOKUP(A3626,Product!A:A,Product!B:B,"Bulunamadı")</f>
        <v>Finance</v>
      </c>
      <c r="F3626" s="1" t="str">
        <f t="array" ref="F3626">_xlfn.XLOOKUP(A3626,Product!A:A,Product!C:C,"Bulunamadı")</f>
        <v>Programming</v>
      </c>
      <c r="G3626" s="2" t="str">
        <f t="array" ref="G3626">_xlfn.XLOOKUP(A3627,Product!A:A,Product!D:D,"Bulunamadı")</f>
        <v>Cedarmark Press</v>
      </c>
      <c r="H3626" s="2">
        <f t="array" ref="H3626">_xlfn.XLOOKUP(A3628,Product!A:A,Product!E:E,"Bulunamadı")</f>
        <v>12.45</v>
      </c>
      <c r="I3626" s="2" t="str">
        <f t="shared" si="1"/>
        <v>102551 - Finance - Programming</v>
      </c>
      <c r="J3626" s="2">
        <f t="shared" si="2"/>
        <v>2527.35</v>
      </c>
      <c r="K3626" s="17">
        <f t="shared" si="3"/>
        <v>1</v>
      </c>
      <c r="L3626" s="18"/>
    </row>
    <row r="3627" hidden="1">
      <c r="A3627" s="2">
        <f>IFERROR(__xludf.DUMMYFUNCTION("""COMPUTED_VALUE"""),117735.0)</f>
        <v>117735</v>
      </c>
      <c r="B3627" s="2">
        <f>IFERROR(__xludf.DUMMYFUNCTION("""COMPUTED_VALUE"""),1.0)</f>
        <v>1</v>
      </c>
      <c r="C3627" s="2">
        <f>IFERROR(__xludf.DUMMYFUNCTION("""COMPUTED_VALUE"""),760.0)</f>
        <v>760</v>
      </c>
      <c r="D3627" s="3">
        <f>IFERROR(__xludf.DUMMYFUNCTION("""COMPUTED_VALUE"""),546.0)</f>
        <v>546</v>
      </c>
      <c r="E3627" s="1" t="str">
        <f t="array" ref="E3627">_xlfn.XLOOKUP(A3627,Product!A:A,Product!B:B,"Bulunamadı")</f>
        <v>Finance</v>
      </c>
      <c r="F3627" s="1" t="str">
        <f t="array" ref="F3627">_xlfn.XLOOKUP(A3627,Product!A:A,Product!C:C,"Bulunamadı")</f>
        <v>Programming</v>
      </c>
      <c r="G3627" s="2" t="str">
        <f t="array" ref="G3627">_xlfn.XLOOKUP(A3628,Product!A:A,Product!D:D,"Bulunamadı")</f>
        <v>Cedarmark Press</v>
      </c>
      <c r="H3627" s="2">
        <f t="array" ref="H3627">_xlfn.XLOOKUP(A3629,Product!A:A,Product!E:E,"Bulunamadı")</f>
        <v>12</v>
      </c>
      <c r="I3627" s="2" t="str">
        <f t="shared" si="1"/>
        <v>117735 - Finance - Programming</v>
      </c>
      <c r="J3627" s="2">
        <f t="shared" si="2"/>
        <v>6552</v>
      </c>
      <c r="K3627" s="17">
        <f t="shared" si="3"/>
        <v>1</v>
      </c>
      <c r="L3627" s="18"/>
    </row>
    <row r="3628" hidden="1">
      <c r="A3628" s="2">
        <f>IFERROR(__xludf.DUMMYFUNCTION("""COMPUTED_VALUE"""),101299.0)</f>
        <v>101299</v>
      </c>
      <c r="B3628" s="2">
        <f>IFERROR(__xludf.DUMMYFUNCTION("""COMPUTED_VALUE"""),1.0)</f>
        <v>1</v>
      </c>
      <c r="C3628" s="2">
        <f>IFERROR(__xludf.DUMMYFUNCTION("""COMPUTED_VALUE"""),1.0)</f>
        <v>1</v>
      </c>
      <c r="D3628" s="3">
        <f>IFERROR(__xludf.DUMMYFUNCTION("""COMPUTED_VALUE"""),1.0)</f>
        <v>1</v>
      </c>
      <c r="E3628" s="1" t="str">
        <f t="array" ref="E3628">_xlfn.XLOOKUP(A3628,Product!A:A,Product!B:B,"Bulunamadı")</f>
        <v>Finance</v>
      </c>
      <c r="F3628" s="1" t="str">
        <f t="array" ref="F3628">_xlfn.XLOOKUP(A3628,Product!A:A,Product!C:C,"Bulunamadı")</f>
        <v>Programming</v>
      </c>
      <c r="G3628" s="2" t="str">
        <f t="array" ref="G3628">_xlfn.XLOOKUP(A3629,Product!A:A,Product!D:D,"Bulunamadı")</f>
        <v>Cedarmark Press</v>
      </c>
      <c r="H3628" s="2">
        <f t="array" ref="H3628">_xlfn.XLOOKUP(A3630,Product!A:A,Product!E:E,"Bulunamadı")</f>
        <v>11.42</v>
      </c>
      <c r="I3628" s="2" t="str">
        <f t="shared" si="1"/>
        <v>101299 - Finance - Programming</v>
      </c>
      <c r="J3628" s="2">
        <f t="shared" si="2"/>
        <v>11.42</v>
      </c>
      <c r="K3628" s="17">
        <f t="shared" si="3"/>
        <v>1</v>
      </c>
      <c r="L3628" s="18"/>
    </row>
    <row r="3629" hidden="1">
      <c r="A3629" s="2">
        <f>IFERROR(__xludf.DUMMYFUNCTION("""COMPUTED_VALUE"""),103590.0)</f>
        <v>103590</v>
      </c>
      <c r="B3629" s="2">
        <f>IFERROR(__xludf.DUMMYFUNCTION("""COMPUTED_VALUE"""),1.0)</f>
        <v>1</v>
      </c>
      <c r="C3629" s="2">
        <f>IFERROR(__xludf.DUMMYFUNCTION("""COMPUTED_VALUE"""),808.0)</f>
        <v>808</v>
      </c>
      <c r="D3629" s="3">
        <f>IFERROR(__xludf.DUMMYFUNCTION("""COMPUTED_VALUE"""),690.0)</f>
        <v>690</v>
      </c>
      <c r="E3629" s="1" t="str">
        <f t="array" ref="E3629">_xlfn.XLOOKUP(A3629,Product!A:A,Product!B:B,"Bulunamadı")</f>
        <v>Finance</v>
      </c>
      <c r="F3629" s="1" t="str">
        <f t="array" ref="F3629">_xlfn.XLOOKUP(A3629,Product!A:A,Product!C:C,"Bulunamadı")</f>
        <v>Programming</v>
      </c>
      <c r="G3629" s="2" t="str">
        <f t="array" ref="G3629">_xlfn.XLOOKUP(A3630,Product!A:A,Product!D:D,"Bulunamadı")</f>
        <v>Cedarmark Press</v>
      </c>
      <c r="H3629" s="2">
        <f t="array" ref="H3629">_xlfn.XLOOKUP(A3631,Product!A:A,Product!E:E,"Bulunamadı")</f>
        <v>12.3</v>
      </c>
      <c r="I3629" s="2" t="str">
        <f t="shared" si="1"/>
        <v>103590 - Finance - Programming</v>
      </c>
      <c r="J3629" s="2">
        <f t="shared" si="2"/>
        <v>8487</v>
      </c>
      <c r="K3629" s="17">
        <f t="shared" si="3"/>
        <v>1</v>
      </c>
      <c r="L3629" s="18"/>
    </row>
    <row r="3630" hidden="1">
      <c r="A3630" s="2">
        <f>IFERROR(__xludf.DUMMYFUNCTION("""COMPUTED_VALUE"""),43944.0)</f>
        <v>43944</v>
      </c>
      <c r="B3630" s="2">
        <f>IFERROR(__xludf.DUMMYFUNCTION("""COMPUTED_VALUE"""),0.0)</f>
        <v>0</v>
      </c>
      <c r="C3630" s="2">
        <f>IFERROR(__xludf.DUMMYFUNCTION("""COMPUTED_VALUE"""),273.0)</f>
        <v>273</v>
      </c>
      <c r="D3630" s="3">
        <f>IFERROR(__xludf.DUMMYFUNCTION("""COMPUTED_VALUE"""),54.0)</f>
        <v>54</v>
      </c>
      <c r="E3630" s="1" t="str">
        <f t="array" ref="E3630">_xlfn.XLOOKUP(A3630,Product!A:A,Product!B:B,"Bulunamadı")</f>
        <v>Finance</v>
      </c>
      <c r="F3630" s="1" t="str">
        <f t="array" ref="F3630">_xlfn.XLOOKUP(A3630,Product!A:A,Product!C:C,"Bulunamadı")</f>
        <v>Programming</v>
      </c>
      <c r="G3630" s="2" t="str">
        <f t="array" ref="G3630">_xlfn.XLOOKUP(A3631,Product!A:A,Product!D:D,"Bulunamadı")</f>
        <v>Cedarmark Press</v>
      </c>
      <c r="H3630" s="2">
        <f t="array" ref="H3630">_xlfn.XLOOKUP(A3632,Product!A:A,Product!E:E,"Bulunamadı")</f>
        <v>5.96</v>
      </c>
      <c r="I3630" s="2" t="str">
        <f t="shared" si="1"/>
        <v>43944 - Finance - Programming</v>
      </c>
      <c r="J3630" s="2">
        <f t="shared" si="2"/>
        <v>321.84</v>
      </c>
      <c r="K3630" s="17">
        <f t="shared" si="3"/>
        <v>1</v>
      </c>
      <c r="L3630" s="18"/>
    </row>
    <row r="3631" hidden="1">
      <c r="A3631" s="2">
        <f>IFERROR(__xludf.DUMMYFUNCTION("""COMPUTED_VALUE"""),113128.0)</f>
        <v>113128</v>
      </c>
      <c r="B3631" s="2">
        <f>IFERROR(__xludf.DUMMYFUNCTION("""COMPUTED_VALUE"""),0.0)</f>
        <v>0</v>
      </c>
      <c r="C3631" s="2">
        <f>IFERROR(__xludf.DUMMYFUNCTION("""COMPUTED_VALUE"""),308.0)</f>
        <v>308</v>
      </c>
      <c r="D3631" s="3">
        <f>IFERROR(__xludf.DUMMYFUNCTION("""COMPUTED_VALUE"""),134.0)</f>
        <v>134</v>
      </c>
      <c r="E3631" s="1" t="str">
        <f t="array" ref="E3631">_xlfn.XLOOKUP(A3631,Product!A:A,Product!B:B,"Bulunamadı")</f>
        <v>Finance</v>
      </c>
      <c r="F3631" s="1" t="str">
        <f t="array" ref="F3631">_xlfn.XLOOKUP(A3631,Product!A:A,Product!C:C,"Bulunamadı")</f>
        <v>Programming</v>
      </c>
      <c r="G3631" s="2" t="str">
        <f t="array" ref="G3631">_xlfn.XLOOKUP(A3632,Product!A:A,Product!D:D,"Bulunamadı")</f>
        <v>Cedarmark Press</v>
      </c>
      <c r="H3631" s="2">
        <f t="array" ref="H3631">_xlfn.XLOOKUP(A3633,Product!A:A,Product!E:E,"Bulunamadı")</f>
        <v>12.21</v>
      </c>
      <c r="I3631" s="2" t="str">
        <f t="shared" si="1"/>
        <v>113128 - Finance - Programming</v>
      </c>
      <c r="J3631" s="2">
        <f t="shared" si="2"/>
        <v>1636.14</v>
      </c>
      <c r="K3631" s="17">
        <f t="shared" si="3"/>
        <v>1</v>
      </c>
      <c r="L3631" s="18"/>
    </row>
    <row r="3632" hidden="1">
      <c r="A3632" s="2">
        <f>IFERROR(__xludf.DUMMYFUNCTION("""COMPUTED_VALUE"""),102553.0)</f>
        <v>102553</v>
      </c>
      <c r="B3632" s="2">
        <f>IFERROR(__xludf.DUMMYFUNCTION("""COMPUTED_VALUE"""),0.0)</f>
        <v>0</v>
      </c>
      <c r="C3632" s="2">
        <f>IFERROR(__xludf.DUMMYFUNCTION("""COMPUTED_VALUE"""),826.0)</f>
        <v>826</v>
      </c>
      <c r="D3632" s="3">
        <f>IFERROR(__xludf.DUMMYFUNCTION("""COMPUTED_VALUE"""),563.0)</f>
        <v>563</v>
      </c>
      <c r="E3632" s="1" t="str">
        <f t="array" ref="E3632">_xlfn.XLOOKUP(A3632,Product!A:A,Product!B:B,"Bulunamadı")</f>
        <v>Finance</v>
      </c>
      <c r="F3632" s="1" t="str">
        <f t="array" ref="F3632">_xlfn.XLOOKUP(A3632,Product!A:A,Product!C:C,"Bulunamadı")</f>
        <v>Programming</v>
      </c>
      <c r="G3632" s="2" t="str">
        <f t="array" ref="G3632">_xlfn.XLOOKUP(A3633,Product!A:A,Product!D:D,"Bulunamadı")</f>
        <v>Cedarmark Press</v>
      </c>
      <c r="H3632" s="2">
        <f t="array" ref="H3632">_xlfn.XLOOKUP(A3634,Product!A:A,Product!E:E,"Bulunamadı")</f>
        <v>11.71</v>
      </c>
      <c r="I3632" s="2" t="str">
        <f t="shared" si="1"/>
        <v>102553 - Finance - Programming</v>
      </c>
      <c r="J3632" s="2">
        <f t="shared" si="2"/>
        <v>6592.73</v>
      </c>
      <c r="K3632" s="17">
        <f t="shared" si="3"/>
        <v>1</v>
      </c>
      <c r="L3632" s="18"/>
    </row>
    <row r="3633" hidden="1">
      <c r="A3633" s="2">
        <f>IFERROR(__xludf.DUMMYFUNCTION("""COMPUTED_VALUE"""),114230.0)</f>
        <v>114230</v>
      </c>
      <c r="B3633" s="2">
        <f>IFERROR(__xludf.DUMMYFUNCTION("""COMPUTED_VALUE"""),0.0)</f>
        <v>0</v>
      </c>
      <c r="C3633" s="2">
        <f>IFERROR(__xludf.DUMMYFUNCTION("""COMPUTED_VALUE"""),572.0)</f>
        <v>572</v>
      </c>
      <c r="D3633" s="3">
        <f>IFERROR(__xludf.DUMMYFUNCTION("""COMPUTED_VALUE"""),504.0)</f>
        <v>504</v>
      </c>
      <c r="E3633" s="1" t="str">
        <f t="array" ref="E3633">_xlfn.XLOOKUP(A3633,Product!A:A,Product!B:B,"Bulunamadı")</f>
        <v>Finance</v>
      </c>
      <c r="F3633" s="1" t="str">
        <f t="array" ref="F3633">_xlfn.XLOOKUP(A3633,Product!A:A,Product!C:C,"Bulunamadı")</f>
        <v>Programming</v>
      </c>
      <c r="G3633" s="2" t="str">
        <f t="array" ref="G3633">_xlfn.XLOOKUP(A3634,Product!A:A,Product!D:D,"Bulunamadı")</f>
        <v>Cedarmark Press</v>
      </c>
      <c r="H3633" s="2">
        <f t="array" ref="H3633">_xlfn.XLOOKUP(A3635,Product!A:A,Product!E:E,"Bulunamadı")</f>
        <v>7.35</v>
      </c>
      <c r="I3633" s="2" t="str">
        <f t="shared" si="1"/>
        <v>114230 - Finance - Programming</v>
      </c>
      <c r="J3633" s="2">
        <f t="shared" si="2"/>
        <v>3704.4</v>
      </c>
      <c r="K3633" s="17">
        <f t="shared" si="3"/>
        <v>1</v>
      </c>
      <c r="L3633" s="18"/>
    </row>
    <row r="3634" hidden="1">
      <c r="A3634" s="2">
        <f>IFERROR(__xludf.DUMMYFUNCTION("""COMPUTED_VALUE"""),122028.0)</f>
        <v>122028</v>
      </c>
      <c r="B3634" s="2">
        <f>IFERROR(__xludf.DUMMYFUNCTION("""COMPUTED_VALUE"""),0.0)</f>
        <v>0</v>
      </c>
      <c r="C3634" s="2">
        <f>IFERROR(__xludf.DUMMYFUNCTION("""COMPUTED_VALUE"""),346.0)</f>
        <v>346</v>
      </c>
      <c r="D3634" s="3">
        <f>IFERROR(__xludf.DUMMYFUNCTION("""COMPUTED_VALUE"""),155.0)</f>
        <v>155</v>
      </c>
      <c r="E3634" s="1" t="str">
        <f t="array" ref="E3634">_xlfn.XLOOKUP(A3634,Product!A:A,Product!B:B,"Bulunamadı")</f>
        <v>Finance</v>
      </c>
      <c r="F3634" s="1" t="str">
        <f t="array" ref="F3634">_xlfn.XLOOKUP(A3634,Product!A:A,Product!C:C,"Bulunamadı")</f>
        <v>Programming</v>
      </c>
      <c r="G3634" s="2" t="str">
        <f t="array" ref="G3634">_xlfn.XLOOKUP(A3635,Product!A:A,Product!D:D,"Bulunamadı")</f>
        <v>Cedarmark Press</v>
      </c>
      <c r="H3634" s="2">
        <f t="array" ref="H3634">_xlfn.XLOOKUP(A3636,Product!A:A,Product!E:E,"Bulunamadı")</f>
        <v>8.44</v>
      </c>
      <c r="I3634" s="2" t="str">
        <f t="shared" si="1"/>
        <v>122028 - Finance - Programming</v>
      </c>
      <c r="J3634" s="2">
        <f t="shared" si="2"/>
        <v>1308.2</v>
      </c>
      <c r="K3634" s="17">
        <f t="shared" si="3"/>
        <v>1</v>
      </c>
      <c r="L3634" s="18"/>
    </row>
    <row r="3635" hidden="1">
      <c r="A3635" s="2">
        <f>IFERROR(__xludf.DUMMYFUNCTION("""COMPUTED_VALUE"""),102269.0)</f>
        <v>102269</v>
      </c>
      <c r="B3635" s="2">
        <f>IFERROR(__xludf.DUMMYFUNCTION("""COMPUTED_VALUE"""),1.0)</f>
        <v>1</v>
      </c>
      <c r="C3635" s="2">
        <f>IFERROR(__xludf.DUMMYFUNCTION("""COMPUTED_VALUE"""),836.0)</f>
        <v>836</v>
      </c>
      <c r="D3635" s="3">
        <f>IFERROR(__xludf.DUMMYFUNCTION("""COMPUTED_VALUE"""),602.0)</f>
        <v>602</v>
      </c>
      <c r="E3635" s="1" t="str">
        <f t="array" ref="E3635">_xlfn.XLOOKUP(A3635,Product!A:A,Product!B:B,"Bulunamadı")</f>
        <v>Finance</v>
      </c>
      <c r="F3635" s="1" t="str">
        <f t="array" ref="F3635">_xlfn.XLOOKUP(A3635,Product!A:A,Product!C:C,"Bulunamadı")</f>
        <v>Programming</v>
      </c>
      <c r="G3635" s="2" t="str">
        <f t="array" ref="G3635">_xlfn.XLOOKUP(A3636,Product!A:A,Product!D:D,"Bulunamadı")</f>
        <v>Cedarmark Press</v>
      </c>
      <c r="H3635" s="2">
        <f t="array" ref="H3635">_xlfn.XLOOKUP(A3637,Product!A:A,Product!E:E,"Bulunamadı")</f>
        <v>5.9</v>
      </c>
      <c r="I3635" s="2" t="str">
        <f t="shared" si="1"/>
        <v>102269 - Finance - Programming</v>
      </c>
      <c r="J3635" s="2">
        <f t="shared" si="2"/>
        <v>3551.8</v>
      </c>
      <c r="K3635" s="17">
        <f t="shared" si="3"/>
        <v>1</v>
      </c>
      <c r="L3635" s="18"/>
    </row>
    <row r="3636" hidden="1">
      <c r="A3636" s="2">
        <f>IFERROR(__xludf.DUMMYFUNCTION("""COMPUTED_VALUE"""),26651.0)</f>
        <v>26651</v>
      </c>
      <c r="B3636" s="2">
        <f>IFERROR(__xludf.DUMMYFUNCTION("""COMPUTED_VALUE"""),1.0)</f>
        <v>1</v>
      </c>
      <c r="C3636" s="2">
        <f>IFERROR(__xludf.DUMMYFUNCTION("""COMPUTED_VALUE"""),737.0)</f>
        <v>737</v>
      </c>
      <c r="D3636" s="3">
        <f>IFERROR(__xludf.DUMMYFUNCTION("""COMPUTED_VALUE"""),609.0)</f>
        <v>609</v>
      </c>
      <c r="E3636" s="1" t="str">
        <f t="array" ref="E3636">_xlfn.XLOOKUP(A3636,Product!A:A,Product!B:B,"Bulunamadı")</f>
        <v>Finance</v>
      </c>
      <c r="F3636" s="1" t="str">
        <f t="array" ref="F3636">_xlfn.XLOOKUP(A3636,Product!A:A,Product!C:C,"Bulunamadı")</f>
        <v>Programming</v>
      </c>
      <c r="G3636" s="2" t="str">
        <f t="array" ref="G3636">_xlfn.XLOOKUP(A3637,Product!A:A,Product!D:D,"Bulunamadı")</f>
        <v>Cedarmark Press</v>
      </c>
      <c r="H3636" s="2">
        <f t="array" ref="H3636">_xlfn.XLOOKUP(A3638,Product!A:A,Product!E:E,"Bulunamadı")</f>
        <v>10.37</v>
      </c>
      <c r="I3636" s="2" t="str">
        <f t="shared" si="1"/>
        <v>26651 - Finance - Programming</v>
      </c>
      <c r="J3636" s="2">
        <f t="shared" si="2"/>
        <v>6315.33</v>
      </c>
      <c r="K3636" s="17">
        <f t="shared" si="3"/>
        <v>1</v>
      </c>
      <c r="L3636" s="18"/>
    </row>
    <row r="3637" hidden="1">
      <c r="A3637" s="2">
        <f>IFERROR(__xludf.DUMMYFUNCTION("""COMPUTED_VALUE"""),101316.0)</f>
        <v>101316</v>
      </c>
      <c r="B3637" s="2">
        <f>IFERROR(__xludf.DUMMYFUNCTION("""COMPUTED_VALUE"""),1.0)</f>
        <v>1</v>
      </c>
      <c r="C3637" s="2">
        <f>IFERROR(__xludf.DUMMYFUNCTION("""COMPUTED_VALUE"""),135.0)</f>
        <v>135</v>
      </c>
      <c r="D3637" s="3">
        <f>IFERROR(__xludf.DUMMYFUNCTION("""COMPUTED_VALUE"""),96.0)</f>
        <v>96</v>
      </c>
      <c r="E3637" s="1" t="str">
        <f t="array" ref="E3637">_xlfn.XLOOKUP(A3637,Product!A:A,Product!B:B,"Bulunamadı")</f>
        <v>Finance</v>
      </c>
      <c r="F3637" s="1" t="str">
        <f t="array" ref="F3637">_xlfn.XLOOKUP(A3637,Product!A:A,Product!C:C,"Bulunamadı")</f>
        <v>Programming</v>
      </c>
      <c r="G3637" s="2" t="str">
        <f t="array" ref="G3637">_xlfn.XLOOKUP(A3638,Product!A:A,Product!D:D,"Bulunamadı")</f>
        <v>Cedarmark Press</v>
      </c>
      <c r="H3637" s="2">
        <f t="array" ref="H3637">_xlfn.XLOOKUP(A3639,Product!A:A,Product!E:E,"Bulunamadı")</f>
        <v>5.97</v>
      </c>
      <c r="I3637" s="2" t="str">
        <f t="shared" si="1"/>
        <v>101316 - Finance - Programming</v>
      </c>
      <c r="J3637" s="2">
        <f t="shared" si="2"/>
        <v>573.12</v>
      </c>
      <c r="K3637" s="17">
        <f t="shared" si="3"/>
        <v>1</v>
      </c>
      <c r="L3637" s="18"/>
    </row>
    <row r="3638" hidden="1">
      <c r="A3638" s="2">
        <f>IFERROR(__xludf.DUMMYFUNCTION("""COMPUTED_VALUE"""),117742.0)</f>
        <v>117742</v>
      </c>
      <c r="B3638" s="2">
        <f>IFERROR(__xludf.DUMMYFUNCTION("""COMPUTED_VALUE"""),1.0)</f>
        <v>1</v>
      </c>
      <c r="C3638" s="2">
        <f>IFERROR(__xludf.DUMMYFUNCTION("""COMPUTED_VALUE"""),234.0)</f>
        <v>234</v>
      </c>
      <c r="D3638" s="3">
        <f>IFERROR(__xludf.DUMMYFUNCTION("""COMPUTED_VALUE"""),234.0)</f>
        <v>234</v>
      </c>
      <c r="E3638" s="1" t="str">
        <f t="array" ref="E3638">_xlfn.XLOOKUP(A3638,Product!A:A,Product!B:B,"Bulunamadı")</f>
        <v>Finance</v>
      </c>
      <c r="F3638" s="1" t="str">
        <f t="array" ref="F3638">_xlfn.XLOOKUP(A3638,Product!A:A,Product!C:C,"Bulunamadı")</f>
        <v>Programming</v>
      </c>
      <c r="G3638" s="2" t="str">
        <f t="array" ref="G3638">_xlfn.XLOOKUP(A3639,Product!A:A,Product!D:D,"Bulunamadı")</f>
        <v>Cedarmark Press</v>
      </c>
      <c r="H3638" s="2">
        <f t="array" ref="H3638">_xlfn.XLOOKUP(A3640,Product!A:A,Product!E:E,"Bulunamadı")</f>
        <v>11.49</v>
      </c>
      <c r="I3638" s="2" t="str">
        <f t="shared" si="1"/>
        <v>117742 - Finance - Programming</v>
      </c>
      <c r="J3638" s="2">
        <f t="shared" si="2"/>
        <v>2688.66</v>
      </c>
      <c r="K3638" s="17">
        <f t="shared" si="3"/>
        <v>1</v>
      </c>
      <c r="L3638" s="18"/>
    </row>
    <row r="3639" hidden="1">
      <c r="A3639" s="2">
        <f>IFERROR(__xludf.DUMMYFUNCTION("""COMPUTED_VALUE"""),101315.0)</f>
        <v>101315</v>
      </c>
      <c r="B3639" s="2">
        <f>IFERROR(__xludf.DUMMYFUNCTION("""COMPUTED_VALUE"""),0.0)</f>
        <v>0</v>
      </c>
      <c r="C3639" s="2">
        <f>IFERROR(__xludf.DUMMYFUNCTION("""COMPUTED_VALUE"""),518.0)</f>
        <v>518</v>
      </c>
      <c r="D3639" s="3">
        <f>IFERROR(__xludf.DUMMYFUNCTION("""COMPUTED_VALUE"""),387.0)</f>
        <v>387</v>
      </c>
      <c r="E3639" s="1" t="str">
        <f t="array" ref="E3639">_xlfn.XLOOKUP(A3639,Product!A:A,Product!B:B,"Bulunamadı")</f>
        <v>Finance</v>
      </c>
      <c r="F3639" s="1" t="str">
        <f t="array" ref="F3639">_xlfn.XLOOKUP(A3639,Product!A:A,Product!C:C,"Bulunamadı")</f>
        <v>Programming</v>
      </c>
      <c r="G3639" s="2" t="str">
        <f t="array" ref="G3639">_xlfn.XLOOKUP(A3640,Product!A:A,Product!D:D,"Bulunamadı")</f>
        <v>Cedarmark Press</v>
      </c>
      <c r="H3639" s="2">
        <f t="array" ref="H3639">_xlfn.XLOOKUP(A3641,Product!A:A,Product!E:E,"Bulunamadı")</f>
        <v>12.02</v>
      </c>
      <c r="I3639" s="2" t="str">
        <f t="shared" si="1"/>
        <v>101315 - Finance - Programming</v>
      </c>
      <c r="J3639" s="2">
        <f t="shared" si="2"/>
        <v>4651.74</v>
      </c>
      <c r="K3639" s="17">
        <f t="shared" si="3"/>
        <v>1</v>
      </c>
      <c r="L3639" s="18"/>
    </row>
    <row r="3640" hidden="1">
      <c r="A3640" s="2">
        <f>IFERROR(__xludf.DUMMYFUNCTION("""COMPUTED_VALUE"""),43945.0)</f>
        <v>43945</v>
      </c>
      <c r="B3640" s="2">
        <f>IFERROR(__xludf.DUMMYFUNCTION("""COMPUTED_VALUE"""),0.0)</f>
        <v>0</v>
      </c>
      <c r="C3640" s="2">
        <f>IFERROR(__xludf.DUMMYFUNCTION("""COMPUTED_VALUE"""),974.0)</f>
        <v>974</v>
      </c>
      <c r="D3640" s="3">
        <f>IFERROR(__xludf.DUMMYFUNCTION("""COMPUTED_VALUE"""),935.0)</f>
        <v>935</v>
      </c>
      <c r="E3640" s="1" t="str">
        <f t="array" ref="E3640">_xlfn.XLOOKUP(A3640,Product!A:A,Product!B:B,"Bulunamadı")</f>
        <v>Finance</v>
      </c>
      <c r="F3640" s="1" t="str">
        <f t="array" ref="F3640">_xlfn.XLOOKUP(A3640,Product!A:A,Product!C:C,"Bulunamadı")</f>
        <v>Programming</v>
      </c>
      <c r="G3640" s="2" t="str">
        <f t="array" ref="G3640">_xlfn.XLOOKUP(A3641,Product!A:A,Product!D:D,"Bulunamadı")</f>
        <v>Cedarmark Press</v>
      </c>
      <c r="H3640" s="2">
        <f t="array" ref="H3640">_xlfn.XLOOKUP(A3642,Product!A:A,Product!E:E,"Bulunamadı")</f>
        <v>16.94</v>
      </c>
      <c r="I3640" s="2" t="str">
        <f t="shared" si="1"/>
        <v>43945 - Finance - Programming</v>
      </c>
      <c r="J3640" s="2">
        <f t="shared" si="2"/>
        <v>15838.9</v>
      </c>
      <c r="K3640" s="17">
        <f t="shared" si="3"/>
        <v>1</v>
      </c>
      <c r="L3640" s="18"/>
    </row>
    <row r="3641" hidden="1">
      <c r="A3641" s="2">
        <f>IFERROR(__xludf.DUMMYFUNCTION("""COMPUTED_VALUE"""),103589.0)</f>
        <v>103589</v>
      </c>
      <c r="B3641" s="2">
        <f>IFERROR(__xludf.DUMMYFUNCTION("""COMPUTED_VALUE"""),0.0)</f>
        <v>0</v>
      </c>
      <c r="C3641" s="2">
        <f>IFERROR(__xludf.DUMMYFUNCTION("""COMPUTED_VALUE"""),799.0)</f>
        <v>799</v>
      </c>
      <c r="D3641" s="3">
        <f>IFERROR(__xludf.DUMMYFUNCTION("""COMPUTED_VALUE"""),759.0)</f>
        <v>759</v>
      </c>
      <c r="E3641" s="1" t="str">
        <f t="array" ref="E3641">_xlfn.XLOOKUP(A3641,Product!A:A,Product!B:B,"Bulunamadı")</f>
        <v>Finance</v>
      </c>
      <c r="F3641" s="1" t="str">
        <f t="array" ref="F3641">_xlfn.XLOOKUP(A3641,Product!A:A,Product!C:C,"Bulunamadı")</f>
        <v>Programming</v>
      </c>
      <c r="G3641" s="2" t="str">
        <f t="array" ref="G3641">_xlfn.XLOOKUP(A3642,Product!A:A,Product!D:D,"Bulunamadı")</f>
        <v>Brightmark Publishing</v>
      </c>
      <c r="H3641" s="2">
        <f t="array" ref="H3641">_xlfn.XLOOKUP(A3643,Product!A:A,Product!E:E,"Bulunamadı")</f>
        <v>11.6</v>
      </c>
      <c r="I3641" s="2" t="str">
        <f t="shared" si="1"/>
        <v>103589 - Finance - Programming</v>
      </c>
      <c r="J3641" s="2">
        <f t="shared" si="2"/>
        <v>8804.4</v>
      </c>
      <c r="K3641" s="17">
        <f t="shared" si="3"/>
        <v>1</v>
      </c>
      <c r="L3641" s="18"/>
    </row>
    <row r="3642" hidden="1">
      <c r="A3642" s="2">
        <f>IFERROR(__xludf.DUMMYFUNCTION("""COMPUTED_VALUE"""),88896.0)</f>
        <v>88896</v>
      </c>
      <c r="B3642" s="2">
        <f>IFERROR(__xludf.DUMMYFUNCTION("""COMPUTED_VALUE"""),1.0)</f>
        <v>1</v>
      </c>
      <c r="C3642" s="2">
        <f>IFERROR(__xludf.DUMMYFUNCTION("""COMPUTED_VALUE"""),482.0)</f>
        <v>482</v>
      </c>
      <c r="D3642" s="3">
        <f>IFERROR(__xludf.DUMMYFUNCTION("""COMPUTED_VALUE"""),243.0)</f>
        <v>243</v>
      </c>
      <c r="E3642" s="1" t="str">
        <f t="array" ref="E3642">_xlfn.XLOOKUP(A3642,Product!A:A,Product!B:B,"Bulunamadı")</f>
        <v>Finance</v>
      </c>
      <c r="F3642" s="1" t="str">
        <f t="array" ref="F3642">_xlfn.XLOOKUP(A3642,Product!A:A,Product!C:C,"Bulunamadı")</f>
        <v>Programming</v>
      </c>
      <c r="G3642" s="2" t="str">
        <f t="array" ref="G3642">_xlfn.XLOOKUP(A3643,Product!A:A,Product!D:D,"Bulunamadı")</f>
        <v>Oakmark Books</v>
      </c>
      <c r="H3642" s="2">
        <f t="array" ref="H3642">_xlfn.XLOOKUP(A3644,Product!A:A,Product!E:E,"Bulunamadı")</f>
        <v>12.38</v>
      </c>
      <c r="I3642" s="2" t="str">
        <f t="shared" si="1"/>
        <v>88896 - Finance - Programming</v>
      </c>
      <c r="J3642" s="2">
        <f t="shared" si="2"/>
        <v>3008.34</v>
      </c>
      <c r="K3642" s="17">
        <f t="shared" si="3"/>
        <v>1</v>
      </c>
      <c r="L3642" s="18"/>
    </row>
    <row r="3643" hidden="1">
      <c r="A3643" s="2">
        <f>IFERROR(__xludf.DUMMYFUNCTION("""COMPUTED_VALUE"""),103595.0)</f>
        <v>103595</v>
      </c>
      <c r="B3643" s="2">
        <f>IFERROR(__xludf.DUMMYFUNCTION("""COMPUTED_VALUE"""),1.0)</f>
        <v>1</v>
      </c>
      <c r="C3643" s="2">
        <f>IFERROR(__xludf.DUMMYFUNCTION("""COMPUTED_VALUE"""),448.0)</f>
        <v>448</v>
      </c>
      <c r="D3643" s="3">
        <f>IFERROR(__xludf.DUMMYFUNCTION("""COMPUTED_VALUE"""),67.0)</f>
        <v>67</v>
      </c>
      <c r="E3643" s="1" t="str">
        <f t="array" ref="E3643">_xlfn.XLOOKUP(A3643,Product!A:A,Product!B:B,"Bulunamadı")</f>
        <v>Finance</v>
      </c>
      <c r="F3643" s="1" t="str">
        <f t="array" ref="F3643">_xlfn.XLOOKUP(A3643,Product!A:A,Product!C:C,"Bulunamadı")</f>
        <v>Programming</v>
      </c>
      <c r="G3643" s="2" t="str">
        <f t="array" ref="G3643">_xlfn.XLOOKUP(A3644,Product!A:A,Product!D:D,"Bulunamadı")</f>
        <v>Oakmark Books</v>
      </c>
      <c r="H3643" s="2">
        <f t="array" ref="H3643">_xlfn.XLOOKUP(A3645,Product!A:A,Product!E:E,"Bulunamadı")</f>
        <v>12.2</v>
      </c>
      <c r="I3643" s="2" t="str">
        <f t="shared" si="1"/>
        <v>103595 - Finance - Programming</v>
      </c>
      <c r="J3643" s="2">
        <f t="shared" si="2"/>
        <v>817.4</v>
      </c>
      <c r="K3643" s="17">
        <f t="shared" si="3"/>
        <v>1</v>
      </c>
      <c r="L3643" s="18"/>
    </row>
    <row r="3644" hidden="1">
      <c r="A3644" s="2">
        <f>IFERROR(__xludf.DUMMYFUNCTION("""COMPUTED_VALUE"""),101300.0)</f>
        <v>101300</v>
      </c>
      <c r="B3644" s="2">
        <f>IFERROR(__xludf.DUMMYFUNCTION("""COMPUTED_VALUE"""),1.0)</f>
        <v>1</v>
      </c>
      <c r="C3644" s="2">
        <f>IFERROR(__xludf.DUMMYFUNCTION("""COMPUTED_VALUE"""),117.0)</f>
        <v>117</v>
      </c>
      <c r="D3644" s="3">
        <f>IFERROR(__xludf.DUMMYFUNCTION("""COMPUTED_VALUE"""),56.0)</f>
        <v>56</v>
      </c>
      <c r="E3644" s="1" t="str">
        <f t="array" ref="E3644">_xlfn.XLOOKUP(A3644,Product!A:A,Product!B:B,"Bulunamadı")</f>
        <v>Finance</v>
      </c>
      <c r="F3644" s="1" t="str">
        <f t="array" ref="F3644">_xlfn.XLOOKUP(A3644,Product!A:A,Product!C:C,"Bulunamadı")</f>
        <v>Programming</v>
      </c>
      <c r="G3644" s="2" t="str">
        <f t="array" ref="G3644">_xlfn.XLOOKUP(A3645,Product!A:A,Product!D:D,"Bulunamadı")</f>
        <v>Oakmark Books</v>
      </c>
      <c r="H3644" s="2">
        <f t="array" ref="H3644">_xlfn.XLOOKUP(A3646,Product!A:A,Product!E:E,"Bulunamadı")</f>
        <v>7.21</v>
      </c>
      <c r="I3644" s="2" t="str">
        <f t="shared" si="1"/>
        <v>101300 - Finance - Programming</v>
      </c>
      <c r="J3644" s="2">
        <f t="shared" si="2"/>
        <v>403.76</v>
      </c>
      <c r="K3644" s="17">
        <f t="shared" si="3"/>
        <v>1</v>
      </c>
      <c r="L3644" s="18"/>
    </row>
    <row r="3645" hidden="1">
      <c r="A3645" s="2">
        <f>IFERROR(__xludf.DUMMYFUNCTION("""COMPUTED_VALUE"""),113130.0)</f>
        <v>113130</v>
      </c>
      <c r="B3645" s="2">
        <f>IFERROR(__xludf.DUMMYFUNCTION("""COMPUTED_VALUE"""),1.0)</f>
        <v>1</v>
      </c>
      <c r="C3645" s="2">
        <f>IFERROR(__xludf.DUMMYFUNCTION("""COMPUTED_VALUE"""),419.0)</f>
        <v>419</v>
      </c>
      <c r="D3645" s="3">
        <f>IFERROR(__xludf.DUMMYFUNCTION("""COMPUTED_VALUE"""),114.0)</f>
        <v>114</v>
      </c>
      <c r="E3645" s="1" t="str">
        <f t="array" ref="E3645">_xlfn.XLOOKUP(A3645,Product!A:A,Product!B:B,"Bulunamadı")</f>
        <v>Finance</v>
      </c>
      <c r="F3645" s="1" t="str">
        <f t="array" ref="F3645">_xlfn.XLOOKUP(A3645,Product!A:A,Product!C:C,"Bulunamadı")</f>
        <v>Programming</v>
      </c>
      <c r="G3645" s="2" t="str">
        <f t="array" ref="G3645">_xlfn.XLOOKUP(A3646,Product!A:A,Product!D:D,"Bulunamadı")</f>
        <v>Oakmark Books</v>
      </c>
      <c r="H3645" s="2">
        <f t="array" ref="H3645">_xlfn.XLOOKUP(A3647,Product!A:A,Product!E:E,"Bulunamadı")</f>
        <v>11.71</v>
      </c>
      <c r="I3645" s="2" t="str">
        <f t="shared" si="1"/>
        <v>113130 - Finance - Programming</v>
      </c>
      <c r="J3645" s="2">
        <f t="shared" si="2"/>
        <v>1334.94</v>
      </c>
      <c r="K3645" s="17">
        <f t="shared" si="3"/>
        <v>1</v>
      </c>
      <c r="L3645" s="18"/>
    </row>
    <row r="3646" hidden="1">
      <c r="A3646" s="2">
        <f>IFERROR(__xludf.DUMMYFUNCTION("""COMPUTED_VALUE"""),102272.0)</f>
        <v>102272</v>
      </c>
      <c r="B3646" s="2">
        <f>IFERROR(__xludf.DUMMYFUNCTION("""COMPUTED_VALUE"""),0.0)</f>
        <v>0</v>
      </c>
      <c r="C3646" s="2">
        <f>IFERROR(__xludf.DUMMYFUNCTION("""COMPUTED_VALUE"""),327.0)</f>
        <v>327</v>
      </c>
      <c r="D3646" s="3">
        <f>IFERROR(__xludf.DUMMYFUNCTION("""COMPUTED_VALUE"""),129.0)</f>
        <v>129</v>
      </c>
      <c r="E3646" s="1" t="str">
        <f t="array" ref="E3646">_xlfn.XLOOKUP(A3646,Product!A:A,Product!B:B,"Bulunamadı")</f>
        <v>Finance</v>
      </c>
      <c r="F3646" s="1" t="str">
        <f t="array" ref="F3646">_xlfn.XLOOKUP(A3646,Product!A:A,Product!C:C,"Bulunamadı")</f>
        <v>Programming</v>
      </c>
      <c r="G3646" s="2" t="str">
        <f t="array" ref="G3646">_xlfn.XLOOKUP(A3647,Product!A:A,Product!D:D,"Bulunamadı")</f>
        <v>Oakmark Books</v>
      </c>
      <c r="H3646" s="2">
        <f t="array" ref="H3646">_xlfn.XLOOKUP(A3648,Product!A:A,Product!E:E,"Bulunamadı")</f>
        <v>7.18</v>
      </c>
      <c r="I3646" s="2" t="str">
        <f t="shared" si="1"/>
        <v>102272 - Finance - Programming</v>
      </c>
      <c r="J3646" s="2">
        <f t="shared" si="2"/>
        <v>926.22</v>
      </c>
      <c r="K3646" s="17">
        <f t="shared" si="3"/>
        <v>1</v>
      </c>
      <c r="L3646" s="18"/>
    </row>
    <row r="3647" hidden="1">
      <c r="A3647" s="2">
        <f>IFERROR(__xludf.DUMMYFUNCTION("""COMPUTED_VALUE"""),43947.0)</f>
        <v>43947</v>
      </c>
      <c r="B3647" s="2">
        <f>IFERROR(__xludf.DUMMYFUNCTION("""COMPUTED_VALUE"""),1.0)</f>
        <v>1</v>
      </c>
      <c r="C3647" s="2">
        <f>IFERROR(__xludf.DUMMYFUNCTION("""COMPUTED_VALUE"""),748.0)</f>
        <v>748</v>
      </c>
      <c r="D3647" s="3">
        <f>IFERROR(__xludf.DUMMYFUNCTION("""COMPUTED_VALUE"""),599.0)</f>
        <v>599</v>
      </c>
      <c r="E3647" s="1" t="str">
        <f t="array" ref="E3647">_xlfn.XLOOKUP(A3647,Product!A:A,Product!B:B,"Bulunamadı")</f>
        <v>Finance</v>
      </c>
      <c r="F3647" s="1" t="str">
        <f t="array" ref="F3647">_xlfn.XLOOKUP(A3647,Product!A:A,Product!C:C,"Bulunamadı")</f>
        <v>Programming</v>
      </c>
      <c r="G3647" s="2" t="str">
        <f t="array" ref="G3647">_xlfn.XLOOKUP(A3648,Product!A:A,Product!D:D,"Bulunamadı")</f>
        <v>Oakmark Books</v>
      </c>
      <c r="H3647" s="2">
        <f t="array" ref="H3647">_xlfn.XLOOKUP(A3649,Product!A:A,Product!E:E,"Bulunamadı")</f>
        <v>11.93</v>
      </c>
      <c r="I3647" s="2" t="str">
        <f t="shared" si="1"/>
        <v>43947 - Finance - Programming</v>
      </c>
      <c r="J3647" s="2">
        <f t="shared" si="2"/>
        <v>7146.07</v>
      </c>
      <c r="K3647" s="17">
        <f t="shared" si="3"/>
        <v>1</v>
      </c>
      <c r="L3647" s="18"/>
    </row>
    <row r="3648" hidden="1">
      <c r="A3648" s="2">
        <f>IFERROR(__xludf.DUMMYFUNCTION("""COMPUTED_VALUE"""),102271.0)</f>
        <v>102271</v>
      </c>
      <c r="B3648" s="2">
        <f>IFERROR(__xludf.DUMMYFUNCTION("""COMPUTED_VALUE"""),0.0)</f>
        <v>0</v>
      </c>
      <c r="C3648" s="2">
        <f>IFERROR(__xludf.DUMMYFUNCTION("""COMPUTED_VALUE"""),621.0)</f>
        <v>621</v>
      </c>
      <c r="D3648" s="3">
        <f>IFERROR(__xludf.DUMMYFUNCTION("""COMPUTED_VALUE"""),25.0)</f>
        <v>25</v>
      </c>
      <c r="E3648" s="1" t="str">
        <f t="array" ref="E3648">_xlfn.XLOOKUP(A3648,Product!A:A,Product!B:B,"Bulunamadı")</f>
        <v>Finance</v>
      </c>
      <c r="F3648" s="1" t="str">
        <f t="array" ref="F3648">_xlfn.XLOOKUP(A3648,Product!A:A,Product!C:C,"Bulunamadı")</f>
        <v>Programming</v>
      </c>
      <c r="G3648" s="2" t="str">
        <f t="array" ref="G3648">_xlfn.XLOOKUP(A3649,Product!A:A,Product!D:D,"Bulunamadı")</f>
        <v>Oakmark Books</v>
      </c>
      <c r="H3648" s="2">
        <f t="array" ref="H3648">_xlfn.XLOOKUP(A3650,Product!A:A,Product!E:E,"Bulunamadı")</f>
        <v>8.5</v>
      </c>
      <c r="I3648" s="2" t="str">
        <f t="shared" si="1"/>
        <v>102271 - Finance - Programming</v>
      </c>
      <c r="J3648" s="2">
        <f t="shared" si="2"/>
        <v>212.5</v>
      </c>
      <c r="K3648" s="17">
        <f t="shared" si="3"/>
        <v>1</v>
      </c>
      <c r="L3648" s="18"/>
    </row>
    <row r="3649" hidden="1">
      <c r="A3649" s="2">
        <f>IFERROR(__xludf.DUMMYFUNCTION("""COMPUTED_VALUE"""),103592.0)</f>
        <v>103592</v>
      </c>
      <c r="B3649" s="2">
        <f>IFERROR(__xludf.DUMMYFUNCTION("""COMPUTED_VALUE"""),1.0)</f>
        <v>1</v>
      </c>
      <c r="C3649" s="2">
        <f>IFERROR(__xludf.DUMMYFUNCTION("""COMPUTED_VALUE"""),31.0)</f>
        <v>31</v>
      </c>
      <c r="D3649" s="3">
        <f>IFERROR(__xludf.DUMMYFUNCTION("""COMPUTED_VALUE"""),22.0)</f>
        <v>22</v>
      </c>
      <c r="E3649" s="1" t="str">
        <f t="array" ref="E3649">_xlfn.XLOOKUP(A3649,Product!A:A,Product!B:B,"Bulunamadı")</f>
        <v>Finance</v>
      </c>
      <c r="F3649" s="1" t="str">
        <f t="array" ref="F3649">_xlfn.XLOOKUP(A3649,Product!A:A,Product!C:C,"Bulunamadı")</f>
        <v>Programming</v>
      </c>
      <c r="G3649" s="2" t="str">
        <f t="array" ref="G3649">_xlfn.XLOOKUP(A3650,Product!A:A,Product!D:D,"Bulunamadı")</f>
        <v>Oakmark Books</v>
      </c>
      <c r="H3649" s="2">
        <f t="array" ref="H3649">_xlfn.XLOOKUP(A3651,Product!A:A,Product!E:E,"Bulunamadı")</f>
        <v>11.61</v>
      </c>
      <c r="I3649" s="2" t="str">
        <f t="shared" si="1"/>
        <v>103592 - Finance - Programming</v>
      </c>
      <c r="J3649" s="2">
        <f t="shared" si="2"/>
        <v>255.42</v>
      </c>
      <c r="K3649" s="17">
        <f t="shared" si="3"/>
        <v>1</v>
      </c>
      <c r="L3649" s="18"/>
    </row>
    <row r="3650" hidden="1">
      <c r="A3650" s="2">
        <f>IFERROR(__xludf.DUMMYFUNCTION("""COMPUTED_VALUE"""),26652.0)</f>
        <v>26652</v>
      </c>
      <c r="B3650" s="2">
        <f>IFERROR(__xludf.DUMMYFUNCTION("""COMPUTED_VALUE"""),1.0)</f>
        <v>1</v>
      </c>
      <c r="C3650" s="2">
        <f>IFERROR(__xludf.DUMMYFUNCTION("""COMPUTED_VALUE"""),233.0)</f>
        <v>233</v>
      </c>
      <c r="D3650" s="3">
        <f>IFERROR(__xludf.DUMMYFUNCTION("""COMPUTED_VALUE"""),139.0)</f>
        <v>139</v>
      </c>
      <c r="E3650" s="1" t="str">
        <f t="array" ref="E3650">_xlfn.XLOOKUP(A3650,Product!A:A,Product!B:B,"Bulunamadı")</f>
        <v>Finance</v>
      </c>
      <c r="F3650" s="1" t="str">
        <f t="array" ref="F3650">_xlfn.XLOOKUP(A3650,Product!A:A,Product!C:C,"Bulunamadı")</f>
        <v>Programming</v>
      </c>
      <c r="G3650" s="2" t="str">
        <f t="array" ref="G3650">_xlfn.XLOOKUP(A3651,Product!A:A,Product!D:D,"Bulunamadı")</f>
        <v>Oakmark Books</v>
      </c>
      <c r="H3650" s="2">
        <f t="array" ref="H3650">_xlfn.XLOOKUP(A3652,Product!A:A,Product!E:E,"Bulunamadı")</f>
        <v>12.24</v>
      </c>
      <c r="I3650" s="2" t="str">
        <f t="shared" si="1"/>
        <v>26652 - Finance - Programming</v>
      </c>
      <c r="J3650" s="2">
        <f t="shared" si="2"/>
        <v>1701.36</v>
      </c>
      <c r="K3650" s="17">
        <f t="shared" si="3"/>
        <v>1</v>
      </c>
      <c r="L3650" s="18"/>
    </row>
    <row r="3651" hidden="1">
      <c r="A3651" s="2">
        <f>IFERROR(__xludf.DUMMYFUNCTION("""COMPUTED_VALUE"""),43946.0)</f>
        <v>43946</v>
      </c>
      <c r="B3651" s="2">
        <f>IFERROR(__xludf.DUMMYFUNCTION("""COMPUTED_VALUE"""),0.0)</f>
        <v>0</v>
      </c>
      <c r="C3651" s="2">
        <f>IFERROR(__xludf.DUMMYFUNCTION("""COMPUTED_VALUE"""),76.0)</f>
        <v>76</v>
      </c>
      <c r="D3651" s="3">
        <f>IFERROR(__xludf.DUMMYFUNCTION("""COMPUTED_VALUE"""),48.0)</f>
        <v>48</v>
      </c>
      <c r="E3651" s="1" t="str">
        <f t="array" ref="E3651">_xlfn.XLOOKUP(A3651,Product!A:A,Product!B:B,"Bulunamadı")</f>
        <v>Finance</v>
      </c>
      <c r="F3651" s="1" t="str">
        <f t="array" ref="F3651">_xlfn.XLOOKUP(A3651,Product!A:A,Product!C:C,"Bulunamadı")</f>
        <v>Programming</v>
      </c>
      <c r="G3651" s="2" t="str">
        <f t="array" ref="G3651">_xlfn.XLOOKUP(A3652,Product!A:A,Product!D:D,"Bulunamadı")</f>
        <v>Oakmark Books</v>
      </c>
      <c r="H3651" s="2">
        <f t="array" ref="H3651">_xlfn.XLOOKUP(A3653,Product!A:A,Product!E:E,"Bulunamadı")</f>
        <v>6.78</v>
      </c>
      <c r="I3651" s="2" t="str">
        <f t="shared" si="1"/>
        <v>43946 - Finance - Programming</v>
      </c>
      <c r="J3651" s="2">
        <f t="shared" si="2"/>
        <v>325.44</v>
      </c>
      <c r="K3651" s="17">
        <f t="shared" si="3"/>
        <v>1</v>
      </c>
      <c r="L3651" s="18"/>
    </row>
    <row r="3652" hidden="1">
      <c r="A3652" s="2">
        <f>IFERROR(__xludf.DUMMYFUNCTION("""COMPUTED_VALUE"""),101301.0)</f>
        <v>101301</v>
      </c>
      <c r="B3652" s="2">
        <f>IFERROR(__xludf.DUMMYFUNCTION("""COMPUTED_VALUE"""),0.0)</f>
        <v>0</v>
      </c>
      <c r="C3652" s="2">
        <f>IFERROR(__xludf.DUMMYFUNCTION("""COMPUTED_VALUE"""),60.0)</f>
        <v>60</v>
      </c>
      <c r="D3652" s="3">
        <f>IFERROR(__xludf.DUMMYFUNCTION("""COMPUTED_VALUE"""),38.0)</f>
        <v>38</v>
      </c>
      <c r="E3652" s="1" t="str">
        <f t="array" ref="E3652">_xlfn.XLOOKUP(A3652,Product!A:A,Product!B:B,"Bulunamadı")</f>
        <v>Finance</v>
      </c>
      <c r="F3652" s="1" t="str">
        <f t="array" ref="F3652">_xlfn.XLOOKUP(A3652,Product!A:A,Product!C:C,"Bulunamadı")</f>
        <v>Programming</v>
      </c>
      <c r="G3652" s="2" t="str">
        <f t="array" ref="G3652">_xlfn.XLOOKUP(A3653,Product!A:A,Product!D:D,"Bulunamadı")</f>
        <v>Oakmark Books</v>
      </c>
      <c r="H3652" s="2">
        <f t="array" ref="H3652">_xlfn.XLOOKUP(A3654,Product!A:A,Product!E:E,"Bulunamadı")</f>
        <v>5.12</v>
      </c>
      <c r="I3652" s="2" t="str">
        <f t="shared" si="1"/>
        <v>101301 - Finance - Programming</v>
      </c>
      <c r="J3652" s="2">
        <f t="shared" si="2"/>
        <v>194.56</v>
      </c>
      <c r="K3652" s="17">
        <f t="shared" si="3"/>
        <v>1</v>
      </c>
      <c r="L3652" s="18"/>
    </row>
    <row r="3653" hidden="1">
      <c r="A3653" s="2">
        <f>IFERROR(__xludf.DUMMYFUNCTION("""COMPUTED_VALUE"""),108458.0)</f>
        <v>108458</v>
      </c>
      <c r="B3653" s="2">
        <f>IFERROR(__xludf.DUMMYFUNCTION("""COMPUTED_VALUE"""),1.0)</f>
        <v>1</v>
      </c>
      <c r="C3653" s="2">
        <f>IFERROR(__xludf.DUMMYFUNCTION("""COMPUTED_VALUE"""),132.0)</f>
        <v>132</v>
      </c>
      <c r="D3653" s="3">
        <f>IFERROR(__xludf.DUMMYFUNCTION("""COMPUTED_VALUE"""),33.0)</f>
        <v>33</v>
      </c>
      <c r="E3653" s="1" t="str">
        <f t="array" ref="E3653">_xlfn.XLOOKUP(A3653,Product!A:A,Product!B:B,"Bulunamadı")</f>
        <v>Finance</v>
      </c>
      <c r="F3653" s="1" t="str">
        <f t="array" ref="F3653">_xlfn.XLOOKUP(A3653,Product!A:A,Product!C:C,"Bulunamadı")</f>
        <v>Programming</v>
      </c>
      <c r="G3653" s="2" t="str">
        <f t="array" ref="G3653">_xlfn.XLOOKUP(A3654,Product!A:A,Product!D:D,"Bulunamadı")</f>
        <v>Oakmark Books</v>
      </c>
      <c r="H3653" s="2">
        <f t="array" ref="H3653">_xlfn.XLOOKUP(A3655,Product!A:A,Product!E:E,"Bulunamadı")</f>
        <v>3.27</v>
      </c>
      <c r="I3653" s="2" t="str">
        <f t="shared" si="1"/>
        <v>108458 - Finance - Programming</v>
      </c>
      <c r="J3653" s="2">
        <f t="shared" si="2"/>
        <v>107.91</v>
      </c>
      <c r="K3653" s="17">
        <f t="shared" si="3"/>
        <v>1</v>
      </c>
      <c r="L3653" s="18"/>
    </row>
    <row r="3654" hidden="1">
      <c r="A3654" s="2">
        <f>IFERROR(__xludf.DUMMYFUNCTION("""COMPUTED_VALUE"""),117736.0)</f>
        <v>117736</v>
      </c>
      <c r="B3654" s="2">
        <f>IFERROR(__xludf.DUMMYFUNCTION("""COMPUTED_VALUE"""),0.0)</f>
        <v>0</v>
      </c>
      <c r="C3654" s="2">
        <f>IFERROR(__xludf.DUMMYFUNCTION("""COMPUTED_VALUE"""),87.0)</f>
        <v>87</v>
      </c>
      <c r="D3654" s="3">
        <f>IFERROR(__xludf.DUMMYFUNCTION("""COMPUTED_VALUE"""),29.0)</f>
        <v>29</v>
      </c>
      <c r="E3654" s="1" t="str">
        <f t="array" ref="E3654">_xlfn.XLOOKUP(A3654,Product!A:A,Product!B:B,"Bulunamadı")</f>
        <v>Finance</v>
      </c>
      <c r="F3654" s="1" t="str">
        <f t="array" ref="F3654">_xlfn.XLOOKUP(A3654,Product!A:A,Product!C:C,"Bulunamadı")</f>
        <v>Programming</v>
      </c>
      <c r="G3654" s="2" t="str">
        <f t="array" ref="G3654">_xlfn.XLOOKUP(A3655,Product!A:A,Product!D:D,"Bulunamadı")</f>
        <v>Rivermark Press</v>
      </c>
      <c r="H3654" s="2">
        <f t="array" ref="H3654">_xlfn.XLOOKUP(A3656,Product!A:A,Product!E:E,"Bulunamadı")</f>
        <v>3.61</v>
      </c>
      <c r="I3654" s="2" t="str">
        <f t="shared" si="1"/>
        <v>117736 - Finance - Programming</v>
      </c>
      <c r="J3654" s="2">
        <f t="shared" si="2"/>
        <v>104.69</v>
      </c>
      <c r="K3654" s="17">
        <f t="shared" si="3"/>
        <v>1</v>
      </c>
      <c r="L3654" s="18"/>
    </row>
    <row r="3655" hidden="1">
      <c r="A3655" s="2">
        <f>IFERROR(__xludf.DUMMYFUNCTION("""COMPUTED_VALUE"""),49606.0)</f>
        <v>49606</v>
      </c>
      <c r="B3655" s="2">
        <f>IFERROR(__xludf.DUMMYFUNCTION("""COMPUTED_VALUE"""),0.0)</f>
        <v>0</v>
      </c>
      <c r="C3655" s="2">
        <f>IFERROR(__xludf.DUMMYFUNCTION("""COMPUTED_VALUE"""),167.0)</f>
        <v>167</v>
      </c>
      <c r="D3655" s="3">
        <f>IFERROR(__xludf.DUMMYFUNCTION("""COMPUTED_VALUE"""),20.0)</f>
        <v>20</v>
      </c>
      <c r="E3655" s="1" t="str">
        <f t="array" ref="E3655">_xlfn.XLOOKUP(A3655,Product!A:A,Product!B:B,"Bulunamadı")</f>
        <v>Finance</v>
      </c>
      <c r="F3655" s="1" t="str">
        <f t="array" ref="F3655">_xlfn.XLOOKUP(A3655,Product!A:A,Product!C:C,"Bulunamadı")</f>
        <v>Programming</v>
      </c>
      <c r="G3655" s="2" t="str">
        <f t="array" ref="G3655">_xlfn.XLOOKUP(A3656,Product!A:A,Product!D:D,"Bulunamadı")</f>
        <v>Rivermark Press</v>
      </c>
      <c r="H3655" s="2">
        <f t="array" ref="H3655">_xlfn.XLOOKUP(A3657,Product!A:A,Product!E:E,"Bulunamadı")</f>
        <v>1.7</v>
      </c>
      <c r="I3655" s="2" t="str">
        <f t="shared" si="1"/>
        <v>49606 - Finance - Programming</v>
      </c>
      <c r="J3655" s="2">
        <f t="shared" si="2"/>
        <v>34</v>
      </c>
      <c r="K3655" s="17">
        <f t="shared" si="3"/>
        <v>1</v>
      </c>
      <c r="L3655" s="18"/>
    </row>
    <row r="3656" hidden="1">
      <c r="A3656" s="2">
        <f>IFERROR(__xludf.DUMMYFUNCTION("""COMPUTED_VALUE"""),106297.0)</f>
        <v>106297</v>
      </c>
      <c r="B3656" s="2">
        <f>IFERROR(__xludf.DUMMYFUNCTION("""COMPUTED_VALUE"""),1.0)</f>
        <v>1</v>
      </c>
      <c r="C3656" s="2">
        <f>IFERROR(__xludf.DUMMYFUNCTION("""COMPUTED_VALUE"""),436.0)</f>
        <v>436</v>
      </c>
      <c r="D3656" s="3">
        <f>IFERROR(__xludf.DUMMYFUNCTION("""COMPUTED_VALUE"""),24.0)</f>
        <v>24</v>
      </c>
      <c r="E3656" s="1" t="str">
        <f t="array" ref="E3656">_xlfn.XLOOKUP(A3656,Product!A:A,Product!B:B,"Bulunamadı")</f>
        <v>Finance</v>
      </c>
      <c r="F3656" s="1" t="str">
        <f t="array" ref="F3656">_xlfn.XLOOKUP(A3656,Product!A:A,Product!C:C,"Bulunamadı")</f>
        <v>Programming</v>
      </c>
      <c r="G3656" s="2" t="str">
        <f t="array" ref="G3656">_xlfn.XLOOKUP(A3657,Product!A:A,Product!D:D,"Bulunamadı")</f>
        <v>Rivermark Press</v>
      </c>
      <c r="H3656" s="2">
        <f t="array" ref="H3656">_xlfn.XLOOKUP(A3658,Product!A:A,Product!E:E,"Bulunamadı")</f>
        <v>3.1</v>
      </c>
      <c r="I3656" s="2" t="str">
        <f t="shared" si="1"/>
        <v>106297 - Finance - Programming</v>
      </c>
      <c r="J3656" s="2">
        <f t="shared" si="2"/>
        <v>74.4</v>
      </c>
      <c r="K3656" s="17">
        <f t="shared" si="3"/>
        <v>1</v>
      </c>
      <c r="L3656" s="18"/>
    </row>
    <row r="3657" hidden="1">
      <c r="A3657" s="2">
        <f>IFERROR(__xludf.DUMMYFUNCTION("""COMPUTED_VALUE"""),15556.0)</f>
        <v>15556</v>
      </c>
      <c r="B3657" s="2">
        <f>IFERROR(__xludf.DUMMYFUNCTION("""COMPUTED_VALUE"""),1.0)</f>
        <v>1</v>
      </c>
      <c r="C3657" s="2">
        <f>IFERROR(__xludf.DUMMYFUNCTION("""COMPUTED_VALUE"""),772.0)</f>
        <v>772</v>
      </c>
      <c r="D3657" s="3">
        <f>IFERROR(__xludf.DUMMYFUNCTION("""COMPUTED_VALUE"""),705.0)</f>
        <v>705</v>
      </c>
      <c r="E3657" s="1" t="str">
        <f t="array" ref="E3657">_xlfn.XLOOKUP(A3657,Product!A:A,Product!B:B,"Bulunamadı")</f>
        <v>Finance</v>
      </c>
      <c r="F3657" s="1" t="str">
        <f t="array" ref="F3657">_xlfn.XLOOKUP(A3657,Product!A:A,Product!C:C,"Bulunamadı")</f>
        <v>Programming</v>
      </c>
      <c r="G3657" s="2" t="str">
        <f t="array" ref="G3657">_xlfn.XLOOKUP(A3658,Product!A:A,Product!D:D,"Bulunamadı")</f>
        <v>Rivermark Press</v>
      </c>
      <c r="H3657" s="2">
        <f t="array" ref="H3657">_xlfn.XLOOKUP(A3659,Product!A:A,Product!E:E,"Bulunamadı")</f>
        <v>5.04</v>
      </c>
      <c r="I3657" s="2" t="str">
        <f t="shared" si="1"/>
        <v>15556 - Finance - Programming</v>
      </c>
      <c r="J3657" s="2">
        <f t="shared" si="2"/>
        <v>3553.2</v>
      </c>
      <c r="K3657" s="17">
        <f t="shared" si="3"/>
        <v>1</v>
      </c>
      <c r="L3657" s="18"/>
    </row>
    <row r="3658" hidden="1">
      <c r="A3658" s="2">
        <f>IFERROR(__xludf.DUMMYFUNCTION("""COMPUTED_VALUE"""),49605.0)</f>
        <v>49605</v>
      </c>
      <c r="B3658" s="2">
        <f>IFERROR(__xludf.DUMMYFUNCTION("""COMPUTED_VALUE"""),0.0)</f>
        <v>0</v>
      </c>
      <c r="C3658" s="2">
        <f>IFERROR(__xludf.DUMMYFUNCTION("""COMPUTED_VALUE"""),949.0)</f>
        <v>949</v>
      </c>
      <c r="D3658" s="3">
        <f>IFERROR(__xludf.DUMMYFUNCTION("""COMPUTED_VALUE"""),560.0)</f>
        <v>560</v>
      </c>
      <c r="E3658" s="1" t="str">
        <f t="array" ref="E3658">_xlfn.XLOOKUP(A3658,Product!A:A,Product!B:B,"Bulunamadı")</f>
        <v>Finance</v>
      </c>
      <c r="F3658" s="1" t="str">
        <f t="array" ref="F3658">_xlfn.XLOOKUP(A3658,Product!A:A,Product!C:C,"Bulunamadı")</f>
        <v>Programming</v>
      </c>
      <c r="G3658" s="2" t="str">
        <f t="array" ref="G3658">_xlfn.XLOOKUP(A3659,Product!A:A,Product!D:D,"Bulunamadı")</f>
        <v>Ironmark Publishing</v>
      </c>
      <c r="H3658" s="2">
        <f t="array" ref="H3658">_xlfn.XLOOKUP(A3660,Product!A:A,Product!E:E,"Bulunamadı")</f>
        <v>5.18</v>
      </c>
      <c r="I3658" s="2" t="str">
        <f t="shared" si="1"/>
        <v>49605 - Finance - Programming</v>
      </c>
      <c r="J3658" s="2">
        <f t="shared" si="2"/>
        <v>2900.8</v>
      </c>
      <c r="K3658" s="17">
        <f t="shared" si="3"/>
        <v>1</v>
      </c>
      <c r="L3658" s="18"/>
    </row>
    <row r="3659" hidden="1">
      <c r="A3659" s="2">
        <f>IFERROR(__xludf.DUMMYFUNCTION("""COMPUTED_VALUE"""),102312.0)</f>
        <v>102312</v>
      </c>
      <c r="B3659" s="2">
        <f>IFERROR(__xludf.DUMMYFUNCTION("""COMPUTED_VALUE"""),1.0)</f>
        <v>1</v>
      </c>
      <c r="C3659" s="2">
        <f>IFERROR(__xludf.DUMMYFUNCTION("""COMPUTED_VALUE"""),758.0)</f>
        <v>758</v>
      </c>
      <c r="D3659" s="3">
        <f>IFERROR(__xludf.DUMMYFUNCTION("""COMPUTED_VALUE"""),237.0)</f>
        <v>237</v>
      </c>
      <c r="E3659" s="1" t="str">
        <f t="array" ref="E3659">_xlfn.XLOOKUP(A3659,Product!A:A,Product!B:B,"Bulunamadı")</f>
        <v>Finance</v>
      </c>
      <c r="F3659" s="1" t="str">
        <f t="array" ref="F3659">_xlfn.XLOOKUP(A3659,Product!A:A,Product!C:C,"Bulunamadı")</f>
        <v>Programming</v>
      </c>
      <c r="G3659" s="2" t="str">
        <f t="array" ref="G3659">_xlfn.XLOOKUP(A3660,Product!A:A,Product!D:D,"Bulunamadı")</f>
        <v>Silvergate House</v>
      </c>
      <c r="H3659" s="2">
        <f t="array" ref="H3659">_xlfn.XLOOKUP(A3661,Product!A:A,Product!E:E,"Bulunamadı")</f>
        <v>5.4</v>
      </c>
      <c r="I3659" s="2" t="str">
        <f t="shared" si="1"/>
        <v>102312 - Finance - Programming</v>
      </c>
      <c r="J3659" s="2">
        <f t="shared" si="2"/>
        <v>1279.8</v>
      </c>
      <c r="K3659" s="17">
        <f t="shared" si="3"/>
        <v>1</v>
      </c>
      <c r="L3659" s="18"/>
    </row>
    <row r="3660" hidden="1">
      <c r="A3660" s="2">
        <f>IFERROR(__xludf.DUMMYFUNCTION("""COMPUTED_VALUE"""),121125.0)</f>
        <v>121125</v>
      </c>
      <c r="B3660" s="2">
        <f>IFERROR(__xludf.DUMMYFUNCTION("""COMPUTED_VALUE"""),1.0)</f>
        <v>1</v>
      </c>
      <c r="C3660" s="2">
        <f>IFERROR(__xludf.DUMMYFUNCTION("""COMPUTED_VALUE"""),564.0)</f>
        <v>564</v>
      </c>
      <c r="D3660" s="3">
        <f>IFERROR(__xludf.DUMMYFUNCTION("""COMPUTED_VALUE"""),468.0)</f>
        <v>468</v>
      </c>
      <c r="E3660" s="1" t="str">
        <f t="array" ref="E3660">_xlfn.XLOOKUP(A3660,Product!A:A,Product!B:B,"Bulunamadı")</f>
        <v>Finance</v>
      </c>
      <c r="F3660" s="1" t="str">
        <f t="array" ref="F3660">_xlfn.XLOOKUP(A3660,Product!A:A,Product!C:C,"Bulunamadı")</f>
        <v>Programming</v>
      </c>
      <c r="G3660" s="2" t="str">
        <f t="array" ref="G3660">_xlfn.XLOOKUP(A3661,Product!A:A,Product!D:D,"Bulunamadı")</f>
        <v>Silvergate House</v>
      </c>
      <c r="H3660" s="2">
        <f t="array" ref="H3660">_xlfn.XLOOKUP(A3662,Product!A:A,Product!E:E,"Bulunamadı")</f>
        <v>3</v>
      </c>
      <c r="I3660" s="2" t="str">
        <f t="shared" si="1"/>
        <v>121125 - Finance - Programming</v>
      </c>
      <c r="J3660" s="2">
        <f t="shared" si="2"/>
        <v>1404</v>
      </c>
      <c r="K3660" s="17">
        <f t="shared" si="3"/>
        <v>1</v>
      </c>
      <c r="L3660" s="18"/>
    </row>
    <row r="3661" hidden="1">
      <c r="A3661" s="2">
        <f>IFERROR(__xludf.DUMMYFUNCTION("""COMPUTED_VALUE"""),106401.0)</f>
        <v>106401</v>
      </c>
      <c r="B3661" s="2">
        <f>IFERROR(__xludf.DUMMYFUNCTION("""COMPUTED_VALUE"""),0.0)</f>
        <v>0</v>
      </c>
      <c r="C3661" s="2">
        <f>IFERROR(__xludf.DUMMYFUNCTION("""COMPUTED_VALUE"""),136.0)</f>
        <v>136</v>
      </c>
      <c r="D3661" s="3">
        <f>IFERROR(__xludf.DUMMYFUNCTION("""COMPUTED_VALUE"""),65.0)</f>
        <v>65</v>
      </c>
      <c r="E3661" s="1" t="str">
        <f t="array" ref="E3661">_xlfn.XLOOKUP(A3661,Product!A:A,Product!B:B,"Bulunamadı")</f>
        <v>Finance</v>
      </c>
      <c r="F3661" s="1" t="str">
        <f t="array" ref="F3661">_xlfn.XLOOKUP(A3661,Product!A:A,Product!C:C,"Bulunamadı")</f>
        <v>Programming</v>
      </c>
      <c r="G3661" s="2" t="str">
        <f t="array" ref="G3661">_xlfn.XLOOKUP(A3662,Product!A:A,Product!D:D,"Bulunamadı")</f>
        <v>Northgate House</v>
      </c>
      <c r="H3661" s="2">
        <f t="array" ref="H3661">_xlfn.XLOOKUP(A3663,Product!A:A,Product!E:E,"Bulunamadı")</f>
        <v>3.42</v>
      </c>
      <c r="I3661" s="2" t="str">
        <f t="shared" si="1"/>
        <v>106401 - Finance - Programming</v>
      </c>
      <c r="J3661" s="2">
        <f t="shared" si="2"/>
        <v>222.3</v>
      </c>
      <c r="K3661" s="17">
        <f t="shared" si="3"/>
        <v>1</v>
      </c>
      <c r="L3661" s="18"/>
    </row>
    <row r="3662" hidden="1">
      <c r="A3662" s="2">
        <f>IFERROR(__xludf.DUMMYFUNCTION("""COMPUTED_VALUE"""),116834.0)</f>
        <v>116834</v>
      </c>
      <c r="B3662" s="2">
        <f>IFERROR(__xludf.DUMMYFUNCTION("""COMPUTED_VALUE"""),0.0)</f>
        <v>0</v>
      </c>
      <c r="C3662" s="2">
        <f>IFERROR(__xludf.DUMMYFUNCTION("""COMPUTED_VALUE"""),856.0)</f>
        <v>856</v>
      </c>
      <c r="D3662" s="3">
        <f>IFERROR(__xludf.DUMMYFUNCTION("""COMPUTED_VALUE"""),267.0)</f>
        <v>267</v>
      </c>
      <c r="E3662" s="1" t="str">
        <f t="array" ref="E3662">_xlfn.XLOOKUP(A3662,Product!A:A,Product!B:B,"Bulunamadı")</f>
        <v>Finance</v>
      </c>
      <c r="F3662" s="1" t="str">
        <f t="array" ref="F3662">_xlfn.XLOOKUP(A3662,Product!A:A,Product!C:C,"Bulunamadı")</f>
        <v>Programming</v>
      </c>
      <c r="G3662" s="2" t="str">
        <f t="array" ref="G3662">_xlfn.XLOOKUP(A3663,Product!A:A,Product!D:D,"Bulunamadı")</f>
        <v>Northgate House</v>
      </c>
      <c r="H3662" s="2">
        <f t="array" ref="H3662">_xlfn.XLOOKUP(A3664,Product!A:A,Product!E:E,"Bulunamadı")</f>
        <v>4.24</v>
      </c>
      <c r="I3662" s="2" t="str">
        <f t="shared" si="1"/>
        <v>116834 - Finance - Programming</v>
      </c>
      <c r="J3662" s="2">
        <f t="shared" si="2"/>
        <v>1132.08</v>
      </c>
      <c r="K3662" s="17">
        <f t="shared" si="3"/>
        <v>1</v>
      </c>
      <c r="L3662" s="18"/>
    </row>
    <row r="3663" hidden="1">
      <c r="A3663" s="2">
        <f>IFERROR(__xludf.DUMMYFUNCTION("""COMPUTED_VALUE"""),1953.0)</f>
        <v>1953</v>
      </c>
      <c r="B3663" s="2">
        <f>IFERROR(__xludf.DUMMYFUNCTION("""COMPUTED_VALUE"""),0.0)</f>
        <v>0</v>
      </c>
      <c r="C3663" s="2">
        <f>IFERROR(__xludf.DUMMYFUNCTION("""COMPUTED_VALUE"""),553.0)</f>
        <v>553</v>
      </c>
      <c r="D3663" s="3">
        <f>IFERROR(__xludf.DUMMYFUNCTION("""COMPUTED_VALUE"""),131.0)</f>
        <v>131</v>
      </c>
      <c r="E3663" s="1" t="str">
        <f t="array" ref="E3663">_xlfn.XLOOKUP(A3663,Product!A:A,Product!B:B,"Bulunamadı")</f>
        <v>Finance</v>
      </c>
      <c r="F3663" s="1" t="str">
        <f t="array" ref="F3663">_xlfn.XLOOKUP(A3663,Product!A:A,Product!C:C,"Bulunamadı")</f>
        <v>Programming</v>
      </c>
      <c r="G3663" s="2" t="str">
        <f t="array" ref="G3663">_xlfn.XLOOKUP(A3664,Product!A:A,Product!D:D,"Bulunamadı")</f>
        <v>Northgate House</v>
      </c>
      <c r="H3663" s="2">
        <f t="array" ref="H3663">_xlfn.XLOOKUP(A3665,Product!A:A,Product!E:E,"Bulunamadı")</f>
        <v>5.21</v>
      </c>
      <c r="I3663" s="2" t="str">
        <f t="shared" si="1"/>
        <v>1953 - Finance - Programming</v>
      </c>
      <c r="J3663" s="2">
        <f t="shared" si="2"/>
        <v>682.51</v>
      </c>
      <c r="K3663" s="17">
        <f t="shared" si="3"/>
        <v>1</v>
      </c>
      <c r="L3663" s="18"/>
    </row>
    <row r="3664" hidden="1">
      <c r="A3664" s="2">
        <f>IFERROR(__xludf.DUMMYFUNCTION("""COMPUTED_VALUE"""),106305.0)</f>
        <v>106305</v>
      </c>
      <c r="B3664" s="2">
        <f>IFERROR(__xludf.DUMMYFUNCTION("""COMPUTED_VALUE"""),0.0)</f>
        <v>0</v>
      </c>
      <c r="C3664" s="2">
        <f>IFERROR(__xludf.DUMMYFUNCTION("""COMPUTED_VALUE"""),885.0)</f>
        <v>885</v>
      </c>
      <c r="D3664" s="3">
        <f>IFERROR(__xludf.DUMMYFUNCTION("""COMPUTED_VALUE"""),451.0)</f>
        <v>451</v>
      </c>
      <c r="E3664" s="1" t="str">
        <f t="array" ref="E3664">_xlfn.XLOOKUP(A3664,Product!A:A,Product!B:B,"Bulunamadı")</f>
        <v>Finance</v>
      </c>
      <c r="F3664" s="1" t="str">
        <f t="array" ref="F3664">_xlfn.XLOOKUP(A3664,Product!A:A,Product!C:C,"Bulunamadı")</f>
        <v>Programming</v>
      </c>
      <c r="G3664" s="2" t="str">
        <f t="array" ref="G3664">_xlfn.XLOOKUP(A3665,Product!A:A,Product!D:D,"Bulunamadı")</f>
        <v>Northgate House</v>
      </c>
      <c r="H3664" s="2">
        <f t="array" ref="H3664">_xlfn.XLOOKUP(A3666,Product!A:A,Product!E:E,"Bulunamadı")</f>
        <v>4.64</v>
      </c>
      <c r="I3664" s="2" t="str">
        <f t="shared" si="1"/>
        <v>106305 - Finance - Programming</v>
      </c>
      <c r="J3664" s="2">
        <f t="shared" si="2"/>
        <v>2092.64</v>
      </c>
      <c r="K3664" s="17">
        <f t="shared" si="3"/>
        <v>1</v>
      </c>
      <c r="L3664" s="18"/>
    </row>
    <row r="3665" hidden="1">
      <c r="A3665" s="2">
        <f>IFERROR(__xludf.DUMMYFUNCTION("""COMPUTED_VALUE"""),108278.0)</f>
        <v>108278</v>
      </c>
      <c r="B3665" s="2">
        <f>IFERROR(__xludf.DUMMYFUNCTION("""COMPUTED_VALUE"""),0.0)</f>
        <v>0</v>
      </c>
      <c r="C3665" s="2">
        <f>IFERROR(__xludf.DUMMYFUNCTION("""COMPUTED_VALUE"""),383.0)</f>
        <v>383</v>
      </c>
      <c r="D3665" s="3">
        <f>IFERROR(__xludf.DUMMYFUNCTION("""COMPUTED_VALUE"""),73.0)</f>
        <v>73</v>
      </c>
      <c r="E3665" s="1" t="str">
        <f t="array" ref="E3665">_xlfn.XLOOKUP(A3665,Product!A:A,Product!B:B,"Bulunamadı")</f>
        <v>Finance</v>
      </c>
      <c r="F3665" s="1" t="str">
        <f t="array" ref="F3665">_xlfn.XLOOKUP(A3665,Product!A:A,Product!C:C,"Bulunamadı")</f>
        <v>Programming</v>
      </c>
      <c r="G3665" s="2" t="str">
        <f t="array" ref="G3665">_xlfn.XLOOKUP(A3666,Product!A:A,Product!D:D,"Bulunamadı")</f>
        <v>Northgate House</v>
      </c>
      <c r="H3665" s="2">
        <f t="array" ref="H3665">_xlfn.XLOOKUP(A3667,Product!A:A,Product!E:E,"Bulunamadı")</f>
        <v>8.95</v>
      </c>
      <c r="I3665" s="2" t="str">
        <f t="shared" si="1"/>
        <v>108278 - Finance - Programming</v>
      </c>
      <c r="J3665" s="2">
        <f t="shared" si="2"/>
        <v>653.35</v>
      </c>
      <c r="K3665" s="17">
        <f t="shared" si="3"/>
        <v>1</v>
      </c>
      <c r="L3665" s="18"/>
    </row>
    <row r="3666" hidden="1">
      <c r="A3666" s="2">
        <f>IFERROR(__xludf.DUMMYFUNCTION("""COMPUTED_VALUE"""),47660.0)</f>
        <v>47660</v>
      </c>
      <c r="B3666" s="2">
        <f>IFERROR(__xludf.DUMMYFUNCTION("""COMPUTED_VALUE"""),0.0)</f>
        <v>0</v>
      </c>
      <c r="C3666" s="2">
        <f>IFERROR(__xludf.DUMMYFUNCTION("""COMPUTED_VALUE"""),552.0)</f>
        <v>552</v>
      </c>
      <c r="D3666" s="3">
        <f>IFERROR(__xludf.DUMMYFUNCTION("""COMPUTED_VALUE"""),481.0)</f>
        <v>481</v>
      </c>
      <c r="E3666" s="1" t="str">
        <f t="array" ref="E3666">_xlfn.XLOOKUP(A3666,Product!A:A,Product!B:B,"Bulunamadı")</f>
        <v>Finance</v>
      </c>
      <c r="F3666" s="1" t="str">
        <f t="array" ref="F3666">_xlfn.XLOOKUP(A3666,Product!A:A,Product!C:C,"Bulunamadı")</f>
        <v>Programming</v>
      </c>
      <c r="G3666" s="2" t="str">
        <f t="array" ref="G3666">_xlfn.XLOOKUP(A3667,Product!A:A,Product!D:D,"Bulunamadı")</f>
        <v>Northgate House</v>
      </c>
      <c r="H3666" s="2">
        <f t="array" ref="H3666">_xlfn.XLOOKUP(A3668,Product!A:A,Product!E:E,"Bulunamadı")</f>
        <v>10.92</v>
      </c>
      <c r="I3666" s="2" t="str">
        <f t="shared" si="1"/>
        <v>47660 - Finance - Programming</v>
      </c>
      <c r="J3666" s="2">
        <f t="shared" si="2"/>
        <v>5252.52</v>
      </c>
      <c r="K3666" s="17">
        <f t="shared" si="3"/>
        <v>1</v>
      </c>
      <c r="L3666" s="18"/>
    </row>
    <row r="3667" hidden="1">
      <c r="A3667" s="2">
        <f>IFERROR(__xludf.DUMMYFUNCTION("""COMPUTED_VALUE"""),47657.0)</f>
        <v>47657</v>
      </c>
      <c r="B3667" s="2">
        <f>IFERROR(__xludf.DUMMYFUNCTION("""COMPUTED_VALUE"""),0.0)</f>
        <v>0</v>
      </c>
      <c r="C3667" s="2">
        <f>IFERROR(__xludf.DUMMYFUNCTION("""COMPUTED_VALUE"""),696.0)</f>
        <v>696</v>
      </c>
      <c r="D3667" s="3">
        <f>IFERROR(__xludf.DUMMYFUNCTION("""COMPUTED_VALUE"""),181.0)</f>
        <v>181</v>
      </c>
      <c r="E3667" s="1" t="str">
        <f t="array" ref="E3667">_xlfn.XLOOKUP(A3667,Product!A:A,Product!B:B,"Bulunamadı")</f>
        <v>Finance</v>
      </c>
      <c r="F3667" s="1" t="str">
        <f t="array" ref="F3667">_xlfn.XLOOKUP(A3667,Product!A:A,Product!C:C,"Bulunamadı")</f>
        <v>Programming</v>
      </c>
      <c r="G3667" s="2" t="str">
        <f t="array" ref="G3667">_xlfn.XLOOKUP(A3668,Product!A:A,Product!D:D,"Bulunamadı")</f>
        <v>Harborgate House</v>
      </c>
      <c r="H3667" s="2">
        <f t="array" ref="H3667">_xlfn.XLOOKUP(A3669,Product!A:A,Product!E:E,"Bulunamadı")</f>
        <v>7.85</v>
      </c>
      <c r="I3667" s="2" t="str">
        <f t="shared" si="1"/>
        <v>47657 - Finance - Programming</v>
      </c>
      <c r="J3667" s="2">
        <f t="shared" si="2"/>
        <v>1420.85</v>
      </c>
      <c r="K3667" s="17">
        <f t="shared" si="3"/>
        <v>1</v>
      </c>
      <c r="L3667" s="18"/>
    </row>
    <row r="3668" hidden="1">
      <c r="A3668" s="2">
        <f>IFERROR(__xludf.DUMMYFUNCTION("""COMPUTED_VALUE"""),64185.0)</f>
        <v>64185</v>
      </c>
      <c r="B3668" s="2">
        <f>IFERROR(__xludf.DUMMYFUNCTION("""COMPUTED_VALUE"""),1.0)</f>
        <v>1</v>
      </c>
      <c r="C3668" s="2">
        <f>IFERROR(__xludf.DUMMYFUNCTION("""COMPUTED_VALUE"""),486.0)</f>
        <v>486</v>
      </c>
      <c r="D3668" s="3">
        <f>IFERROR(__xludf.DUMMYFUNCTION("""COMPUTED_VALUE"""),439.0)</f>
        <v>439</v>
      </c>
      <c r="E3668" s="1" t="str">
        <f t="array" ref="E3668">_xlfn.XLOOKUP(A3668,Product!A:A,Product!B:B,"Bulunamadı")</f>
        <v>Finance</v>
      </c>
      <c r="F3668" s="1" t="str">
        <f t="array" ref="F3668">_xlfn.XLOOKUP(A3668,Product!A:A,Product!C:C,"Bulunamadı")</f>
        <v>Programming</v>
      </c>
      <c r="G3668" s="2" t="str">
        <f t="array" ref="G3668">_xlfn.XLOOKUP(A3669,Product!A:A,Product!D:D,"Bulunamadı")</f>
        <v>Harborgate House</v>
      </c>
      <c r="H3668" s="2">
        <f t="array" ref="H3668">_xlfn.XLOOKUP(A3670,Product!A:A,Product!E:E,"Bulunamadı")</f>
        <v>10.82</v>
      </c>
      <c r="I3668" s="2" t="str">
        <f t="shared" si="1"/>
        <v>64185 - Finance - Programming</v>
      </c>
      <c r="J3668" s="2">
        <f t="shared" si="2"/>
        <v>4749.98</v>
      </c>
      <c r="K3668" s="17">
        <f t="shared" si="3"/>
        <v>1</v>
      </c>
      <c r="L3668" s="18"/>
    </row>
    <row r="3669" hidden="1">
      <c r="A3669" s="2">
        <f>IFERROR(__xludf.DUMMYFUNCTION("""COMPUTED_VALUE"""),108256.0)</f>
        <v>108256</v>
      </c>
      <c r="B3669" s="2">
        <f>IFERROR(__xludf.DUMMYFUNCTION("""COMPUTED_VALUE"""),1.0)</f>
        <v>1</v>
      </c>
      <c r="C3669" s="2">
        <f>IFERROR(__xludf.DUMMYFUNCTION("""COMPUTED_VALUE"""),98.0)</f>
        <v>98</v>
      </c>
      <c r="D3669" s="3">
        <f>IFERROR(__xludf.DUMMYFUNCTION("""COMPUTED_VALUE"""),69.0)</f>
        <v>69</v>
      </c>
      <c r="E3669" s="1" t="str">
        <f t="array" ref="E3669">_xlfn.XLOOKUP(A3669,Product!A:A,Product!B:B,"Bulunamadı")</f>
        <v>Finance</v>
      </c>
      <c r="F3669" s="1" t="str">
        <f t="array" ref="F3669">_xlfn.XLOOKUP(A3669,Product!A:A,Product!C:C,"Bulunamadı")</f>
        <v>Programming</v>
      </c>
      <c r="G3669" s="2" t="str">
        <f t="array" ref="G3669">_xlfn.XLOOKUP(A3670,Product!A:A,Product!D:D,"Bulunamadı")</f>
        <v>Harborgate House</v>
      </c>
      <c r="H3669" s="2">
        <f t="array" ref="H3669">_xlfn.XLOOKUP(A3671,Product!A:A,Product!E:E,"Bulunamadı")</f>
        <v>6.11</v>
      </c>
      <c r="I3669" s="2" t="str">
        <f t="shared" si="1"/>
        <v>108256 - Finance - Programming</v>
      </c>
      <c r="J3669" s="2">
        <f t="shared" si="2"/>
        <v>421.59</v>
      </c>
      <c r="K3669" s="17">
        <f t="shared" si="3"/>
        <v>1</v>
      </c>
      <c r="L3669" s="18"/>
    </row>
    <row r="3670" hidden="1">
      <c r="A3670" s="2">
        <f>IFERROR(__xludf.DUMMYFUNCTION("""COMPUTED_VALUE"""),62597.0)</f>
        <v>62597</v>
      </c>
      <c r="B3670" s="2">
        <f>IFERROR(__xludf.DUMMYFUNCTION("""COMPUTED_VALUE"""),0.0)</f>
        <v>0</v>
      </c>
      <c r="C3670" s="2">
        <f>IFERROR(__xludf.DUMMYFUNCTION("""COMPUTED_VALUE"""),195.0)</f>
        <v>195</v>
      </c>
      <c r="D3670" s="3">
        <f>IFERROR(__xludf.DUMMYFUNCTION("""COMPUTED_VALUE"""),51.0)</f>
        <v>51</v>
      </c>
      <c r="E3670" s="1" t="str">
        <f t="array" ref="E3670">_xlfn.XLOOKUP(A3670,Product!A:A,Product!B:B,"Bulunamadı")</f>
        <v>Finance</v>
      </c>
      <c r="F3670" s="1" t="str">
        <f t="array" ref="F3670">_xlfn.XLOOKUP(A3670,Product!A:A,Product!C:C,"Bulunamadı")</f>
        <v>Programming</v>
      </c>
      <c r="G3670" s="2" t="str">
        <f t="array" ref="G3670">_xlfn.XLOOKUP(A3671,Product!A:A,Product!D:D,"Bulunamadı")</f>
        <v>Harborgate House</v>
      </c>
      <c r="H3670" s="2">
        <f t="array" ref="H3670">_xlfn.XLOOKUP(A3672,Product!A:A,Product!E:E,"Bulunamadı")</f>
        <v>12.27</v>
      </c>
      <c r="I3670" s="2" t="str">
        <f t="shared" si="1"/>
        <v>62597 - Finance - Programming</v>
      </c>
      <c r="J3670" s="2">
        <f t="shared" si="2"/>
        <v>625.77</v>
      </c>
      <c r="K3670" s="17">
        <f t="shared" si="3"/>
        <v>1</v>
      </c>
      <c r="L3670" s="18"/>
    </row>
    <row r="3671" hidden="1">
      <c r="A3671" s="2">
        <f>IFERROR(__xludf.DUMMYFUNCTION("""COMPUTED_VALUE"""),102304.0)</f>
        <v>102304</v>
      </c>
      <c r="B3671" s="2">
        <f>IFERROR(__xludf.DUMMYFUNCTION("""COMPUTED_VALUE"""),1.0)</f>
        <v>1</v>
      </c>
      <c r="C3671" s="2">
        <f>IFERROR(__xludf.DUMMYFUNCTION("""COMPUTED_VALUE"""),195.0)</f>
        <v>195</v>
      </c>
      <c r="D3671" s="3">
        <f>IFERROR(__xludf.DUMMYFUNCTION("""COMPUTED_VALUE"""),88.0)</f>
        <v>88</v>
      </c>
      <c r="E3671" s="1" t="str">
        <f t="array" ref="E3671">_xlfn.XLOOKUP(A3671,Product!A:A,Product!B:B,"Bulunamadı")</f>
        <v>Finance</v>
      </c>
      <c r="F3671" s="1" t="str">
        <f t="array" ref="F3671">_xlfn.XLOOKUP(A3671,Product!A:A,Product!C:C,"Bulunamadı")</f>
        <v>Programming</v>
      </c>
      <c r="G3671" s="2" t="str">
        <f t="array" ref="G3671">_xlfn.XLOOKUP(A3672,Product!A:A,Product!D:D,"Bulunamadı")</f>
        <v>Harborgate House</v>
      </c>
      <c r="H3671" s="2">
        <f t="array" ref="H3671">_xlfn.XLOOKUP(A3673,Product!A:A,Product!E:E,"Bulunamadı")</f>
        <v>8.37</v>
      </c>
      <c r="I3671" s="2" t="str">
        <f t="shared" si="1"/>
        <v>102304 - Finance - Programming</v>
      </c>
      <c r="J3671" s="2">
        <f t="shared" si="2"/>
        <v>736.56</v>
      </c>
      <c r="K3671" s="17">
        <f t="shared" si="3"/>
        <v>1</v>
      </c>
      <c r="L3671" s="18"/>
    </row>
    <row r="3672" hidden="1">
      <c r="A3672" s="2">
        <f>IFERROR(__xludf.DUMMYFUNCTION("""COMPUTED_VALUE"""),118242.0)</f>
        <v>118242</v>
      </c>
      <c r="B3672" s="2">
        <f>IFERROR(__xludf.DUMMYFUNCTION("""COMPUTED_VALUE"""),1.0)</f>
        <v>1</v>
      </c>
      <c r="C3672" s="2">
        <f>IFERROR(__xludf.DUMMYFUNCTION("""COMPUTED_VALUE"""),823.0)</f>
        <v>823</v>
      </c>
      <c r="D3672" s="3">
        <f>IFERROR(__xludf.DUMMYFUNCTION("""COMPUTED_VALUE"""),76.0)</f>
        <v>76</v>
      </c>
      <c r="E3672" s="1" t="str">
        <f t="array" ref="E3672">_xlfn.XLOOKUP(A3672,Product!A:A,Product!B:B,"Bulunamadı")</f>
        <v>Finance</v>
      </c>
      <c r="F3672" s="1" t="str">
        <f t="array" ref="F3672">_xlfn.XLOOKUP(A3672,Product!A:A,Product!C:C,"Bulunamadı")</f>
        <v>Programming</v>
      </c>
      <c r="G3672" s="2" t="str">
        <f t="array" ref="G3672">_xlfn.XLOOKUP(A3673,Product!A:A,Product!D:D,"Bulunamadı")</f>
        <v>Harborgate House</v>
      </c>
      <c r="H3672" s="2">
        <f t="array" ref="H3672">_xlfn.XLOOKUP(A3674,Product!A:A,Product!E:E,"Bulunamadı")</f>
        <v>7.76</v>
      </c>
      <c r="I3672" s="2" t="str">
        <f t="shared" si="1"/>
        <v>118242 - Finance - Programming</v>
      </c>
      <c r="J3672" s="2">
        <f t="shared" si="2"/>
        <v>589.76</v>
      </c>
      <c r="K3672" s="17">
        <f t="shared" si="3"/>
        <v>1</v>
      </c>
      <c r="L3672" s="18"/>
    </row>
    <row r="3673" hidden="1">
      <c r="A3673" s="2">
        <f>IFERROR(__xludf.DUMMYFUNCTION("""COMPUTED_VALUE"""),121743.0)</f>
        <v>121743</v>
      </c>
      <c r="B3673" s="2">
        <f>IFERROR(__xludf.DUMMYFUNCTION("""COMPUTED_VALUE"""),0.0)</f>
        <v>0</v>
      </c>
      <c r="C3673" s="2">
        <f>IFERROR(__xludf.DUMMYFUNCTION("""COMPUTED_VALUE"""),954.0)</f>
        <v>954</v>
      </c>
      <c r="D3673" s="3">
        <f>IFERROR(__xludf.DUMMYFUNCTION("""COMPUTED_VALUE"""),291.0)</f>
        <v>291</v>
      </c>
      <c r="E3673" s="1" t="str">
        <f t="array" ref="E3673">_xlfn.XLOOKUP(A3673,Product!A:A,Product!B:B,"Bulunamadı")</f>
        <v>Finance</v>
      </c>
      <c r="F3673" s="1" t="str">
        <f t="array" ref="F3673">_xlfn.XLOOKUP(A3673,Product!A:A,Product!C:C,"Bulunamadı")</f>
        <v>Programming</v>
      </c>
      <c r="G3673" s="2" t="str">
        <f t="array" ref="G3673">_xlfn.XLOOKUP(A3674,Product!A:A,Product!D:D,"Bulunamadı")</f>
        <v>Harborgate House</v>
      </c>
      <c r="H3673" s="2">
        <f t="array" ref="H3673">_xlfn.XLOOKUP(A3675,Product!A:A,Product!E:E,"Bulunamadı")</f>
        <v>6.03</v>
      </c>
      <c r="I3673" s="2" t="str">
        <f t="shared" si="1"/>
        <v>121743 - Finance - Programming</v>
      </c>
      <c r="J3673" s="2">
        <f t="shared" si="2"/>
        <v>1754.73</v>
      </c>
      <c r="K3673" s="17">
        <f t="shared" si="3"/>
        <v>1</v>
      </c>
      <c r="L3673" s="18"/>
    </row>
    <row r="3674" hidden="1">
      <c r="A3674" s="2">
        <f>IFERROR(__xludf.DUMMYFUNCTION("""COMPUTED_VALUE"""),108257.0)</f>
        <v>108257</v>
      </c>
      <c r="B3674" s="2">
        <f>IFERROR(__xludf.DUMMYFUNCTION("""COMPUTED_VALUE"""),0.0)</f>
        <v>0</v>
      </c>
      <c r="C3674" s="2">
        <f>IFERROR(__xludf.DUMMYFUNCTION("""COMPUTED_VALUE"""),64.0)</f>
        <v>64</v>
      </c>
      <c r="D3674" s="3">
        <f>IFERROR(__xludf.DUMMYFUNCTION("""COMPUTED_VALUE"""),11.0)</f>
        <v>11</v>
      </c>
      <c r="E3674" s="1" t="str">
        <f t="array" ref="E3674">_xlfn.XLOOKUP(A3674,Product!A:A,Product!B:B,"Bulunamadı")</f>
        <v>Finance</v>
      </c>
      <c r="F3674" s="1" t="str">
        <f t="array" ref="F3674">_xlfn.XLOOKUP(A3674,Product!A:A,Product!C:C,"Bulunamadı")</f>
        <v>Programming</v>
      </c>
      <c r="G3674" s="2" t="str">
        <f t="array" ref="G3674">_xlfn.XLOOKUP(A3675,Product!A:A,Product!D:D,"Bulunamadı")</f>
        <v>Harborgate House</v>
      </c>
      <c r="H3674" s="2">
        <f t="array" ref="H3674">_xlfn.XLOOKUP(A3676,Product!A:A,Product!E:E,"Bulunamadı")</f>
        <v>7.78</v>
      </c>
      <c r="I3674" s="2" t="str">
        <f t="shared" si="1"/>
        <v>108257 - Finance - Programming</v>
      </c>
      <c r="J3674" s="2">
        <f t="shared" si="2"/>
        <v>85.58</v>
      </c>
      <c r="K3674" s="17">
        <f t="shared" si="3"/>
        <v>1</v>
      </c>
      <c r="L3674" s="18"/>
    </row>
    <row r="3675" hidden="1">
      <c r="A3675" s="2">
        <f>IFERROR(__xludf.DUMMYFUNCTION("""COMPUTED_VALUE"""),117756.0)</f>
        <v>117756</v>
      </c>
      <c r="B3675" s="2">
        <f>IFERROR(__xludf.DUMMYFUNCTION("""COMPUTED_VALUE"""),1.0)</f>
        <v>1</v>
      </c>
      <c r="C3675" s="2">
        <f>IFERROR(__xludf.DUMMYFUNCTION("""COMPUTED_VALUE"""),549.0)</f>
        <v>549</v>
      </c>
      <c r="D3675" s="3">
        <f>IFERROR(__xludf.DUMMYFUNCTION("""COMPUTED_VALUE"""),97.0)</f>
        <v>97</v>
      </c>
      <c r="E3675" s="1" t="str">
        <f t="array" ref="E3675">_xlfn.XLOOKUP(A3675,Product!A:A,Product!B:B,"Bulunamadı")</f>
        <v>Finance</v>
      </c>
      <c r="F3675" s="1" t="str">
        <f t="array" ref="F3675">_xlfn.XLOOKUP(A3675,Product!A:A,Product!C:C,"Bulunamadı")</f>
        <v>Programming</v>
      </c>
      <c r="G3675" s="2" t="str">
        <f t="array" ref="G3675">_xlfn.XLOOKUP(A3676,Product!A:A,Product!D:D,"Bulunamadı")</f>
        <v>Harborgate House</v>
      </c>
      <c r="H3675" s="2">
        <f t="array" ref="H3675">_xlfn.XLOOKUP(A3677,Product!A:A,Product!E:E,"Bulunamadı")</f>
        <v>5.89</v>
      </c>
      <c r="I3675" s="2" t="str">
        <f t="shared" si="1"/>
        <v>117756 - Finance - Programming</v>
      </c>
      <c r="J3675" s="2">
        <f t="shared" si="2"/>
        <v>571.33</v>
      </c>
      <c r="K3675" s="17">
        <f t="shared" si="3"/>
        <v>1</v>
      </c>
      <c r="L3675" s="18"/>
    </row>
    <row r="3676" hidden="1">
      <c r="A3676" s="2">
        <f>IFERROR(__xludf.DUMMYFUNCTION("""COMPUTED_VALUE"""),110334.0)</f>
        <v>110334</v>
      </c>
      <c r="B3676" s="2">
        <f>IFERROR(__xludf.DUMMYFUNCTION("""COMPUTED_VALUE"""),1.0)</f>
        <v>1</v>
      </c>
      <c r="C3676" s="2">
        <f>IFERROR(__xludf.DUMMYFUNCTION("""COMPUTED_VALUE"""),74.0)</f>
        <v>74</v>
      </c>
      <c r="D3676" s="3">
        <f>IFERROR(__xludf.DUMMYFUNCTION("""COMPUTED_VALUE"""),35.0)</f>
        <v>35</v>
      </c>
      <c r="E3676" s="1" t="str">
        <f t="array" ref="E3676">_xlfn.XLOOKUP(A3676,Product!A:A,Product!B:B,"Bulunamadı")</f>
        <v>Finance</v>
      </c>
      <c r="F3676" s="1" t="str">
        <f t="array" ref="F3676">_xlfn.XLOOKUP(A3676,Product!A:A,Product!C:C,"Bulunamadı")</f>
        <v>Programming</v>
      </c>
      <c r="G3676" s="2" t="str">
        <f t="array" ref="G3676">_xlfn.XLOOKUP(A3677,Product!A:A,Product!D:D,"Bulunamadı")</f>
        <v>Harborgate House</v>
      </c>
      <c r="H3676" s="2">
        <f t="array" ref="H3676">_xlfn.XLOOKUP(A3678,Product!A:A,Product!E:E,"Bulunamadı")</f>
        <v>5.4</v>
      </c>
      <c r="I3676" s="2" t="str">
        <f t="shared" si="1"/>
        <v>110334 - Finance - Programming</v>
      </c>
      <c r="J3676" s="2">
        <f t="shared" si="2"/>
        <v>189</v>
      </c>
      <c r="K3676" s="17">
        <f t="shared" si="3"/>
        <v>1</v>
      </c>
      <c r="L3676" s="18"/>
    </row>
    <row r="3677" hidden="1">
      <c r="A3677" s="2">
        <f>IFERROR(__xludf.DUMMYFUNCTION("""COMPUTED_VALUE"""),102307.0)</f>
        <v>102307</v>
      </c>
      <c r="B3677" s="2">
        <f>IFERROR(__xludf.DUMMYFUNCTION("""COMPUTED_VALUE"""),1.0)</f>
        <v>1</v>
      </c>
      <c r="C3677" s="2">
        <f>IFERROR(__xludf.DUMMYFUNCTION("""COMPUTED_VALUE"""),882.0)</f>
        <v>882</v>
      </c>
      <c r="D3677" s="3">
        <f>IFERROR(__xludf.DUMMYFUNCTION("""COMPUTED_VALUE"""),548.0)</f>
        <v>548</v>
      </c>
      <c r="E3677" s="1" t="str">
        <f t="array" ref="E3677">_xlfn.XLOOKUP(A3677,Product!A:A,Product!B:B,"Bulunamadı")</f>
        <v>Finance</v>
      </c>
      <c r="F3677" s="1" t="str">
        <f t="array" ref="F3677">_xlfn.XLOOKUP(A3677,Product!A:A,Product!C:C,"Bulunamadı")</f>
        <v>Programming</v>
      </c>
      <c r="G3677" s="2" t="str">
        <f t="array" ref="G3677">_xlfn.XLOOKUP(A3678,Product!A:A,Product!D:D,"Bulunamadı")</f>
        <v>Harborgate House</v>
      </c>
      <c r="H3677" s="2">
        <f t="array" ref="H3677">_xlfn.XLOOKUP(A3679,Product!A:A,Product!E:E,"Bulunamadı")</f>
        <v>19.32</v>
      </c>
      <c r="I3677" s="2" t="str">
        <f t="shared" si="1"/>
        <v>102307 - Finance - Programming</v>
      </c>
      <c r="J3677" s="2">
        <f t="shared" si="2"/>
        <v>10587.36</v>
      </c>
      <c r="K3677" s="17">
        <f t="shared" si="3"/>
        <v>1</v>
      </c>
      <c r="L3677" s="18"/>
    </row>
    <row r="3678" hidden="1">
      <c r="A3678" s="2">
        <f>IFERROR(__xludf.DUMMYFUNCTION("""COMPUTED_VALUE"""),117750.0)</f>
        <v>117750</v>
      </c>
      <c r="B3678" s="2">
        <f>IFERROR(__xludf.DUMMYFUNCTION("""COMPUTED_VALUE"""),1.0)</f>
        <v>1</v>
      </c>
      <c r="C3678" s="2">
        <f>IFERROR(__xludf.DUMMYFUNCTION("""COMPUTED_VALUE"""),127.0)</f>
        <v>127</v>
      </c>
      <c r="D3678" s="3">
        <f>IFERROR(__xludf.DUMMYFUNCTION("""COMPUTED_VALUE"""),32.0)</f>
        <v>32</v>
      </c>
      <c r="E3678" s="1" t="str">
        <f t="array" ref="E3678">_xlfn.XLOOKUP(A3678,Product!A:A,Product!B:B,"Bulunamadı")</f>
        <v>Finance</v>
      </c>
      <c r="F3678" s="1" t="str">
        <f t="array" ref="F3678">_xlfn.XLOOKUP(A3678,Product!A:A,Product!C:C,"Bulunamadı")</f>
        <v>Programming</v>
      </c>
      <c r="G3678" s="2" t="str">
        <f t="array" ref="G3678">_xlfn.XLOOKUP(A3679,Product!A:A,Product!D:D,"Bulunamadı")</f>
        <v>Harborgate House</v>
      </c>
      <c r="H3678" s="2">
        <f t="array" ref="H3678">_xlfn.XLOOKUP(A3680,Product!A:A,Product!E:E,"Bulunamadı")</f>
        <v>7.8</v>
      </c>
      <c r="I3678" s="2" t="str">
        <f t="shared" si="1"/>
        <v>117750 - Finance - Programming</v>
      </c>
      <c r="J3678" s="2">
        <f t="shared" si="2"/>
        <v>249.6</v>
      </c>
      <c r="K3678" s="17">
        <f t="shared" si="3"/>
        <v>1</v>
      </c>
      <c r="L3678" s="18"/>
    </row>
    <row r="3679" hidden="1">
      <c r="A3679" s="2">
        <f>IFERROR(__xludf.DUMMYFUNCTION("""COMPUTED_VALUE"""),181976.0)</f>
        <v>181976</v>
      </c>
      <c r="B3679" s="2">
        <f>IFERROR(__xludf.DUMMYFUNCTION("""COMPUTED_VALUE"""),1.0)</f>
        <v>1</v>
      </c>
      <c r="C3679" s="2">
        <f>IFERROR(__xludf.DUMMYFUNCTION("""COMPUTED_VALUE"""),160.0)</f>
        <v>160</v>
      </c>
      <c r="D3679" s="3">
        <f>IFERROR(__xludf.DUMMYFUNCTION("""COMPUTED_VALUE"""),38.0)</f>
        <v>38</v>
      </c>
      <c r="E3679" s="1" t="str">
        <f t="array" ref="E3679">_xlfn.XLOOKUP(A3679,Product!A:A,Product!B:B,"Bulunamadı")</f>
        <v>Finance</v>
      </c>
      <c r="F3679" s="1" t="str">
        <f t="array" ref="F3679">_xlfn.XLOOKUP(A3679,Product!A:A,Product!C:C,"Bulunamadı")</f>
        <v>Programming</v>
      </c>
      <c r="G3679" s="2" t="str">
        <f t="array" ref="G3679">_xlfn.XLOOKUP(A3680,Product!A:A,Product!D:D,"Bulunamadı")</f>
        <v>Cedargate House</v>
      </c>
      <c r="H3679" s="2">
        <f t="array" ref="H3679">_xlfn.XLOOKUP(A3681,Product!A:A,Product!E:E,"Bulunamadı")</f>
        <v>5.94</v>
      </c>
      <c r="I3679" s="2" t="str">
        <f t="shared" si="1"/>
        <v>181976 - Finance - Programming</v>
      </c>
      <c r="J3679" s="2">
        <f t="shared" si="2"/>
        <v>225.72</v>
      </c>
      <c r="K3679" s="17">
        <f t="shared" si="3"/>
        <v>1</v>
      </c>
      <c r="L3679" s="18"/>
    </row>
    <row r="3680" hidden="1">
      <c r="A3680" s="2">
        <f>IFERROR(__xludf.DUMMYFUNCTION("""COMPUTED_VALUE"""),108258.0)</f>
        <v>108258</v>
      </c>
      <c r="B3680" s="2">
        <f>IFERROR(__xludf.DUMMYFUNCTION("""COMPUTED_VALUE"""),1.0)</f>
        <v>1</v>
      </c>
      <c r="C3680" s="2">
        <f>IFERROR(__xludf.DUMMYFUNCTION("""COMPUTED_VALUE"""),416.0)</f>
        <v>416</v>
      </c>
      <c r="D3680" s="3">
        <f>IFERROR(__xludf.DUMMYFUNCTION("""COMPUTED_VALUE"""),93.0)</f>
        <v>93</v>
      </c>
      <c r="E3680" s="1" t="str">
        <f t="array" ref="E3680">_xlfn.XLOOKUP(A3680,Product!A:A,Product!B:B,"Bulunamadı")</f>
        <v>Finance</v>
      </c>
      <c r="F3680" s="1" t="str">
        <f t="array" ref="F3680">_xlfn.XLOOKUP(A3680,Product!A:A,Product!C:C,"Bulunamadı")</f>
        <v>Programming</v>
      </c>
      <c r="G3680" s="2" t="str">
        <f t="array" ref="G3680">_xlfn.XLOOKUP(A3681,Product!A:A,Product!D:D,"Bulunamadı")</f>
        <v>Cedargate House</v>
      </c>
      <c r="H3680" s="2">
        <f t="array" ref="H3680">_xlfn.XLOOKUP(A3682,Product!A:A,Product!E:E,"Bulunamadı")</f>
        <v>7.86</v>
      </c>
      <c r="I3680" s="2" t="str">
        <f t="shared" si="1"/>
        <v>108258 - Finance - Programming</v>
      </c>
      <c r="J3680" s="2">
        <f t="shared" si="2"/>
        <v>730.98</v>
      </c>
      <c r="K3680" s="17">
        <f t="shared" si="3"/>
        <v>1</v>
      </c>
      <c r="L3680" s="18"/>
    </row>
    <row r="3681" hidden="1">
      <c r="A3681" s="2">
        <f>IFERROR(__xludf.DUMMYFUNCTION("""COMPUTED_VALUE"""),110241.0)</f>
        <v>110241</v>
      </c>
      <c r="B3681" s="2">
        <f>IFERROR(__xludf.DUMMYFUNCTION("""COMPUTED_VALUE"""),1.0)</f>
        <v>1</v>
      </c>
      <c r="C3681" s="2">
        <f>IFERROR(__xludf.DUMMYFUNCTION("""COMPUTED_VALUE"""),249.0)</f>
        <v>249</v>
      </c>
      <c r="D3681" s="3">
        <f>IFERROR(__xludf.DUMMYFUNCTION("""COMPUTED_VALUE"""),9.0)</f>
        <v>9</v>
      </c>
      <c r="E3681" s="1" t="str">
        <f t="array" ref="E3681">_xlfn.XLOOKUP(A3681,Product!A:A,Product!B:B,"Bulunamadı")</f>
        <v>Finance</v>
      </c>
      <c r="F3681" s="1" t="str">
        <f t="array" ref="F3681">_xlfn.XLOOKUP(A3681,Product!A:A,Product!C:C,"Bulunamadı")</f>
        <v>Programming</v>
      </c>
      <c r="G3681" s="2" t="str">
        <f t="array" ref="G3681">_xlfn.XLOOKUP(A3682,Product!A:A,Product!D:D,"Bulunamadı")</f>
        <v>Cedargate House</v>
      </c>
      <c r="H3681" s="2">
        <f t="array" ref="H3681">_xlfn.XLOOKUP(A3683,Product!A:A,Product!E:E,"Bulunamadı")</f>
        <v>12.01</v>
      </c>
      <c r="I3681" s="2" t="str">
        <f t="shared" si="1"/>
        <v>110241 - Finance - Programming</v>
      </c>
      <c r="J3681" s="2">
        <f t="shared" si="2"/>
        <v>108.09</v>
      </c>
      <c r="K3681" s="17">
        <f t="shared" si="3"/>
        <v>1</v>
      </c>
      <c r="L3681" s="18"/>
    </row>
    <row r="3682" hidden="1">
      <c r="A3682" s="2">
        <f>IFERROR(__xludf.DUMMYFUNCTION("""COMPUTED_VALUE"""),110337.0)</f>
        <v>110337</v>
      </c>
      <c r="B3682" s="2">
        <f>IFERROR(__xludf.DUMMYFUNCTION("""COMPUTED_VALUE"""),1.0)</f>
        <v>1</v>
      </c>
      <c r="C3682" s="2">
        <f>IFERROR(__xludf.DUMMYFUNCTION("""COMPUTED_VALUE"""),666.0)</f>
        <v>666</v>
      </c>
      <c r="D3682" s="3">
        <f>IFERROR(__xludf.DUMMYFUNCTION("""COMPUTED_VALUE"""),9.0)</f>
        <v>9</v>
      </c>
      <c r="E3682" s="1" t="str">
        <f t="array" ref="E3682">_xlfn.XLOOKUP(A3682,Product!A:A,Product!B:B,"Bulunamadı")</f>
        <v>Finance</v>
      </c>
      <c r="F3682" s="1" t="str">
        <f t="array" ref="F3682">_xlfn.XLOOKUP(A3682,Product!A:A,Product!C:C,"Bulunamadı")</f>
        <v>Programming</v>
      </c>
      <c r="G3682" s="2" t="str">
        <f t="array" ref="G3682">_xlfn.XLOOKUP(A3683,Product!A:A,Product!D:D,"Bulunamadı")</f>
        <v>Cedargate House</v>
      </c>
      <c r="H3682" s="2">
        <f t="array" ref="H3682">_xlfn.XLOOKUP(A3684,Product!A:A,Product!E:E,"Bulunamadı")</f>
        <v>10.65</v>
      </c>
      <c r="I3682" s="2" t="str">
        <f t="shared" si="1"/>
        <v>110337 - Finance - Programming</v>
      </c>
      <c r="J3682" s="2">
        <f t="shared" si="2"/>
        <v>95.85</v>
      </c>
      <c r="K3682" s="17">
        <f t="shared" si="3"/>
        <v>1</v>
      </c>
      <c r="L3682" s="18"/>
    </row>
    <row r="3683" hidden="1">
      <c r="A3683" s="2">
        <f>IFERROR(__xludf.DUMMYFUNCTION("""COMPUTED_VALUE"""),118243.0)</f>
        <v>118243</v>
      </c>
      <c r="B3683" s="2">
        <f>IFERROR(__xludf.DUMMYFUNCTION("""COMPUTED_VALUE"""),1.0)</f>
        <v>1</v>
      </c>
      <c r="C3683" s="2">
        <f>IFERROR(__xludf.DUMMYFUNCTION("""COMPUTED_VALUE"""),558.0)</f>
        <v>558</v>
      </c>
      <c r="D3683" s="3">
        <f>IFERROR(__xludf.DUMMYFUNCTION("""COMPUTED_VALUE"""),58.0)</f>
        <v>58</v>
      </c>
      <c r="E3683" s="1" t="str">
        <f t="array" ref="E3683">_xlfn.XLOOKUP(A3683,Product!A:A,Product!B:B,"Bulunamadı")</f>
        <v>Finance</v>
      </c>
      <c r="F3683" s="1" t="str">
        <f t="array" ref="F3683">_xlfn.XLOOKUP(A3683,Product!A:A,Product!C:C,"Bulunamadı")</f>
        <v>Programming</v>
      </c>
      <c r="G3683" s="2" t="str">
        <f t="array" ref="G3683">_xlfn.XLOOKUP(A3684,Product!A:A,Product!D:D,"Bulunamadı")</f>
        <v>Cedargate House</v>
      </c>
      <c r="H3683" s="2">
        <f t="array" ref="H3683">_xlfn.XLOOKUP(A3685,Product!A:A,Product!E:E,"Bulunamadı")</f>
        <v>7.75</v>
      </c>
      <c r="I3683" s="2" t="str">
        <f t="shared" si="1"/>
        <v>118243 - Finance - Programming</v>
      </c>
      <c r="J3683" s="2">
        <f t="shared" si="2"/>
        <v>449.5</v>
      </c>
      <c r="K3683" s="17">
        <f t="shared" si="3"/>
        <v>1</v>
      </c>
      <c r="L3683" s="18"/>
    </row>
    <row r="3684" hidden="1">
      <c r="A3684" s="2">
        <f>IFERROR(__xludf.DUMMYFUNCTION("""COMPUTED_VALUE"""),102305.0)</f>
        <v>102305</v>
      </c>
      <c r="B3684" s="2">
        <f>IFERROR(__xludf.DUMMYFUNCTION("""COMPUTED_VALUE"""),0.0)</f>
        <v>0</v>
      </c>
      <c r="C3684" s="2">
        <f>IFERROR(__xludf.DUMMYFUNCTION("""COMPUTED_VALUE"""),735.0)</f>
        <v>735</v>
      </c>
      <c r="D3684" s="3">
        <f>IFERROR(__xludf.DUMMYFUNCTION("""COMPUTED_VALUE"""),58.0)</f>
        <v>58</v>
      </c>
      <c r="E3684" s="1" t="str">
        <f t="array" ref="E3684">_xlfn.XLOOKUP(A3684,Product!A:A,Product!B:B,"Bulunamadı")</f>
        <v>Finance</v>
      </c>
      <c r="F3684" s="1" t="str">
        <f t="array" ref="F3684">_xlfn.XLOOKUP(A3684,Product!A:A,Product!C:C,"Bulunamadı")</f>
        <v>Programming</v>
      </c>
      <c r="G3684" s="2" t="str">
        <f t="array" ref="G3684">_xlfn.XLOOKUP(A3685,Product!A:A,Product!D:D,"Bulunamadı")</f>
        <v>Cedargate House</v>
      </c>
      <c r="H3684" s="2">
        <f t="array" ref="H3684">_xlfn.XLOOKUP(A3686,Product!A:A,Product!E:E,"Bulunamadı")</f>
        <v>5.79</v>
      </c>
      <c r="I3684" s="2" t="str">
        <f t="shared" si="1"/>
        <v>102305 - Finance - Programming</v>
      </c>
      <c r="J3684" s="2">
        <f t="shared" si="2"/>
        <v>335.82</v>
      </c>
      <c r="K3684" s="17">
        <f t="shared" si="3"/>
        <v>1</v>
      </c>
      <c r="L3684" s="18"/>
    </row>
    <row r="3685" hidden="1">
      <c r="A3685" s="2">
        <f>IFERROR(__xludf.DUMMYFUNCTION("""COMPUTED_VALUE"""),110342.0)</f>
        <v>110342</v>
      </c>
      <c r="B3685" s="2">
        <f>IFERROR(__xludf.DUMMYFUNCTION("""COMPUTED_VALUE"""),1.0)</f>
        <v>1</v>
      </c>
      <c r="C3685" s="2">
        <f>IFERROR(__xludf.DUMMYFUNCTION("""COMPUTED_VALUE"""),208.0)</f>
        <v>208</v>
      </c>
      <c r="D3685" s="3">
        <f>IFERROR(__xludf.DUMMYFUNCTION("""COMPUTED_VALUE"""),85.0)</f>
        <v>85</v>
      </c>
      <c r="E3685" s="1" t="str">
        <f t="array" ref="E3685">_xlfn.XLOOKUP(A3685,Product!A:A,Product!B:B,"Bulunamadı")</f>
        <v>Finance</v>
      </c>
      <c r="F3685" s="1" t="str">
        <f t="array" ref="F3685">_xlfn.XLOOKUP(A3685,Product!A:A,Product!C:C,"Bulunamadı")</f>
        <v>Programming</v>
      </c>
      <c r="G3685" s="2" t="str">
        <f t="array" ref="G3685">_xlfn.XLOOKUP(A3686,Product!A:A,Product!D:D,"Bulunamadı")</f>
        <v>Cedargate House</v>
      </c>
      <c r="H3685" s="2">
        <f t="array" ref="H3685">_xlfn.XLOOKUP(A3687,Product!A:A,Product!E:E,"Bulunamadı")</f>
        <v>1.84</v>
      </c>
      <c r="I3685" s="2" t="str">
        <f t="shared" si="1"/>
        <v>110342 - Finance - Programming</v>
      </c>
      <c r="J3685" s="2">
        <f t="shared" si="2"/>
        <v>156.4</v>
      </c>
      <c r="K3685" s="17">
        <f t="shared" si="3"/>
        <v>1</v>
      </c>
      <c r="L3685" s="18"/>
    </row>
    <row r="3686" hidden="1">
      <c r="A3686" s="2">
        <f>IFERROR(__xludf.DUMMYFUNCTION("""COMPUTED_VALUE"""),102306.0)</f>
        <v>102306</v>
      </c>
      <c r="B3686" s="2">
        <f>IFERROR(__xludf.DUMMYFUNCTION("""COMPUTED_VALUE"""),1.0)</f>
        <v>1</v>
      </c>
      <c r="C3686" s="2">
        <f>IFERROR(__xludf.DUMMYFUNCTION("""COMPUTED_VALUE"""),859.0)</f>
        <v>859</v>
      </c>
      <c r="D3686" s="3">
        <f>IFERROR(__xludf.DUMMYFUNCTION("""COMPUTED_VALUE"""),210.0)</f>
        <v>210</v>
      </c>
      <c r="E3686" s="1" t="str">
        <f t="array" ref="E3686">_xlfn.XLOOKUP(A3686,Product!A:A,Product!B:B,"Bulunamadı")</f>
        <v>Finance</v>
      </c>
      <c r="F3686" s="1" t="str">
        <f t="array" ref="F3686">_xlfn.XLOOKUP(A3686,Product!A:A,Product!C:C,"Bulunamadı")</f>
        <v>Programming</v>
      </c>
      <c r="G3686" s="2" t="str">
        <f t="array" ref="G3686">_xlfn.XLOOKUP(A3687,Product!A:A,Product!D:D,"Bulunamadı")</f>
        <v>Brightgate House</v>
      </c>
      <c r="H3686" s="2">
        <f t="array" ref="H3686">_xlfn.XLOOKUP(A3688,Product!A:A,Product!E:E,"Bulunamadı")</f>
        <v>2.4</v>
      </c>
      <c r="I3686" s="2" t="str">
        <f t="shared" si="1"/>
        <v>102306 - Finance - Programming</v>
      </c>
      <c r="J3686" s="2">
        <f t="shared" si="2"/>
        <v>504</v>
      </c>
      <c r="K3686" s="17">
        <f t="shared" si="3"/>
        <v>1</v>
      </c>
      <c r="L3686" s="18"/>
    </row>
    <row r="3687" hidden="1">
      <c r="A3687" s="2">
        <f>IFERROR(__xludf.DUMMYFUNCTION("""COMPUTED_VALUE"""),194045.0)</f>
        <v>194045</v>
      </c>
      <c r="B3687" s="2">
        <f>IFERROR(__xludf.DUMMYFUNCTION("""COMPUTED_VALUE"""),1.0)</f>
        <v>1</v>
      </c>
      <c r="C3687" s="2">
        <f>IFERROR(__xludf.DUMMYFUNCTION("""COMPUTED_VALUE"""),652.0)</f>
        <v>652</v>
      </c>
      <c r="D3687" s="3">
        <f>IFERROR(__xludf.DUMMYFUNCTION("""COMPUTED_VALUE"""),91.0)</f>
        <v>91</v>
      </c>
      <c r="E3687" s="1" t="str">
        <f t="array" ref="E3687">_xlfn.XLOOKUP(A3687,Product!A:A,Product!B:B,"Bulunamadı")</f>
        <v>Law</v>
      </c>
      <c r="F3687" s="1" t="str">
        <f t="array" ref="F3687">_xlfn.XLOOKUP(A3687,Product!A:A,Product!C:C,"Bulunamadı")</f>
        <v>Web Development</v>
      </c>
      <c r="G3687" s="2" t="str">
        <f t="array" ref="G3687">_xlfn.XLOOKUP(A3688,Product!A:A,Product!D:D,"Bulunamadı")</f>
        <v>Brightgate House</v>
      </c>
      <c r="H3687" s="2">
        <f t="array" ref="H3687">_xlfn.XLOOKUP(A3689,Product!A:A,Product!E:E,"Bulunamadı")</f>
        <v>1.79</v>
      </c>
      <c r="I3687" s="2" t="str">
        <f t="shared" si="1"/>
        <v>194045 - Law - Web Development</v>
      </c>
      <c r="J3687" s="2">
        <f t="shared" si="2"/>
        <v>162.89</v>
      </c>
      <c r="K3687" s="17">
        <f t="shared" si="3"/>
        <v>1</v>
      </c>
      <c r="L3687" s="18"/>
    </row>
    <row r="3688" hidden="1">
      <c r="A3688" s="2">
        <f>IFERROR(__xludf.DUMMYFUNCTION("""COMPUTED_VALUE"""),96009.0)</f>
        <v>96009</v>
      </c>
      <c r="B3688" s="2">
        <f>IFERROR(__xludf.DUMMYFUNCTION("""COMPUTED_VALUE"""),0.0)</f>
        <v>0</v>
      </c>
      <c r="C3688" s="2">
        <f>IFERROR(__xludf.DUMMYFUNCTION("""COMPUTED_VALUE"""),254.0)</f>
        <v>254</v>
      </c>
      <c r="D3688" s="3">
        <f>IFERROR(__xludf.DUMMYFUNCTION("""COMPUTED_VALUE"""),175.0)</f>
        <v>175</v>
      </c>
      <c r="E3688" s="1" t="str">
        <f t="array" ref="E3688">_xlfn.XLOOKUP(A3688,Product!A:A,Product!B:B,"Bulunamadı")</f>
        <v>Law</v>
      </c>
      <c r="F3688" s="1" t="str">
        <f t="array" ref="F3688">_xlfn.XLOOKUP(A3688,Product!A:A,Product!C:C,"Bulunamadı")</f>
        <v>Web Development</v>
      </c>
      <c r="G3688" s="2" t="str">
        <f t="array" ref="G3688">_xlfn.XLOOKUP(A3689,Product!A:A,Product!D:D,"Bulunamadı")</f>
        <v>Oakgate House</v>
      </c>
      <c r="H3688" s="2">
        <f t="array" ref="H3688">_xlfn.XLOOKUP(A3690,Product!A:A,Product!E:E,"Bulunamadı")</f>
        <v>0.79</v>
      </c>
      <c r="I3688" s="2" t="str">
        <f t="shared" si="1"/>
        <v>96009 - Law - Web Development</v>
      </c>
      <c r="J3688" s="2">
        <f t="shared" si="2"/>
        <v>138.25</v>
      </c>
      <c r="K3688" s="17">
        <f t="shared" si="3"/>
        <v>1</v>
      </c>
      <c r="L3688" s="18"/>
    </row>
    <row r="3689" hidden="1">
      <c r="A3689" s="2">
        <f>IFERROR(__xludf.DUMMYFUNCTION("""COMPUTED_VALUE"""),104087.0)</f>
        <v>104087</v>
      </c>
      <c r="B3689" s="2">
        <f>IFERROR(__xludf.DUMMYFUNCTION("""COMPUTED_VALUE"""),0.0)</f>
        <v>0</v>
      </c>
      <c r="C3689" s="2">
        <f>IFERROR(__xludf.DUMMYFUNCTION("""COMPUTED_VALUE"""),515.0)</f>
        <v>515</v>
      </c>
      <c r="D3689" s="3">
        <f>IFERROR(__xludf.DUMMYFUNCTION("""COMPUTED_VALUE"""),309.0)</f>
        <v>309</v>
      </c>
      <c r="E3689" s="1" t="str">
        <f t="array" ref="E3689">_xlfn.XLOOKUP(A3689,Product!A:A,Product!B:B,"Bulunamadı")</f>
        <v>Law</v>
      </c>
      <c r="F3689" s="1" t="str">
        <f t="array" ref="F3689">_xlfn.XLOOKUP(A3689,Product!A:A,Product!C:C,"Bulunamadı")</f>
        <v>Web Development</v>
      </c>
      <c r="G3689" s="2" t="str">
        <f t="array" ref="G3689">_xlfn.XLOOKUP(A3690,Product!A:A,Product!D:D,"Bulunamadı")</f>
        <v>Oakgate House</v>
      </c>
      <c r="H3689" s="2">
        <f t="array" ref="H3689">_xlfn.XLOOKUP(A3691,Product!A:A,Product!E:E,"Bulunamadı")</f>
        <v>0.33</v>
      </c>
      <c r="I3689" s="2" t="str">
        <f t="shared" si="1"/>
        <v>104087 - Law - Web Development</v>
      </c>
      <c r="J3689" s="2">
        <f t="shared" si="2"/>
        <v>101.97</v>
      </c>
      <c r="K3689" s="17">
        <f t="shared" si="3"/>
        <v>1</v>
      </c>
      <c r="L3689" s="18"/>
    </row>
    <row r="3690" hidden="1">
      <c r="A3690" s="2">
        <f>IFERROR(__xludf.DUMMYFUNCTION("""COMPUTED_VALUE"""),77448.0)</f>
        <v>77448</v>
      </c>
      <c r="B3690" s="2">
        <f>IFERROR(__xludf.DUMMYFUNCTION("""COMPUTED_VALUE"""),1.0)</f>
        <v>1</v>
      </c>
      <c r="C3690" s="2">
        <f>IFERROR(__xludf.DUMMYFUNCTION("""COMPUTED_VALUE"""),885.0)</f>
        <v>885</v>
      </c>
      <c r="D3690" s="3">
        <f>IFERROR(__xludf.DUMMYFUNCTION("""COMPUTED_VALUE"""),225.0)</f>
        <v>225</v>
      </c>
      <c r="E3690" s="1" t="str">
        <f t="array" ref="E3690">_xlfn.XLOOKUP(A3690,Product!A:A,Product!B:B,"Bulunamadı")</f>
        <v>Law</v>
      </c>
      <c r="F3690" s="1" t="str">
        <f t="array" ref="F3690">_xlfn.XLOOKUP(A3690,Product!A:A,Product!C:C,"Bulunamadı")</f>
        <v>Web Development</v>
      </c>
      <c r="G3690" s="2" t="str">
        <f t="array" ref="G3690">_xlfn.XLOOKUP(A3691,Product!A:A,Product!D:D,"Bulunamadı")</f>
        <v>Oakgate House</v>
      </c>
      <c r="H3690" s="2">
        <f t="array" ref="H3690">_xlfn.XLOOKUP(A3692,Product!A:A,Product!E:E,"Bulunamadı")</f>
        <v>6.96</v>
      </c>
      <c r="I3690" s="2" t="str">
        <f t="shared" si="1"/>
        <v>77448 - Law - Web Development</v>
      </c>
      <c r="J3690" s="2">
        <f t="shared" si="2"/>
        <v>1566</v>
      </c>
      <c r="K3690" s="17">
        <f t="shared" si="3"/>
        <v>1</v>
      </c>
      <c r="L3690" s="18"/>
    </row>
    <row r="3691" hidden="1">
      <c r="A3691" s="2">
        <f>IFERROR(__xludf.DUMMYFUNCTION("""COMPUTED_VALUE"""),5801.0)</f>
        <v>5801</v>
      </c>
      <c r="B3691" s="2">
        <f>IFERROR(__xludf.DUMMYFUNCTION("""COMPUTED_VALUE"""),0.0)</f>
        <v>0</v>
      </c>
      <c r="C3691" s="2">
        <f>IFERROR(__xludf.DUMMYFUNCTION("""COMPUTED_VALUE"""),913.0)</f>
        <v>913</v>
      </c>
      <c r="D3691" s="3">
        <f>IFERROR(__xludf.DUMMYFUNCTION("""COMPUTED_VALUE"""),580.0)</f>
        <v>580</v>
      </c>
      <c r="E3691" s="1" t="str">
        <f t="array" ref="E3691">_xlfn.XLOOKUP(A3691,Product!A:A,Product!B:B,"Bulunamadı")</f>
        <v>Law</v>
      </c>
      <c r="F3691" s="1" t="str">
        <f t="array" ref="F3691">_xlfn.XLOOKUP(A3691,Product!A:A,Product!C:C,"Bulunamadı")</f>
        <v>Web Development</v>
      </c>
      <c r="G3691" s="2" t="str">
        <f t="array" ref="G3691">_xlfn.XLOOKUP(A3692,Product!A:A,Product!D:D,"Bulunamadı")</f>
        <v>Rivergate House</v>
      </c>
      <c r="H3691" s="2">
        <f t="array" ref="H3691">_xlfn.XLOOKUP(A3693,Product!A:A,Product!E:E,"Bulunamadı")</f>
        <v>3.8</v>
      </c>
      <c r="I3691" s="2" t="str">
        <f t="shared" si="1"/>
        <v>5801 - Law - Web Development</v>
      </c>
      <c r="J3691" s="2">
        <f t="shared" si="2"/>
        <v>2204</v>
      </c>
      <c r="K3691" s="17">
        <f t="shared" si="3"/>
        <v>1</v>
      </c>
      <c r="L3691" s="18"/>
    </row>
    <row r="3692" hidden="1">
      <c r="A3692" s="2">
        <f>IFERROR(__xludf.DUMMYFUNCTION("""COMPUTED_VALUE"""),90650.0)</f>
        <v>90650</v>
      </c>
      <c r="B3692" s="2">
        <f>IFERROR(__xludf.DUMMYFUNCTION("""COMPUTED_VALUE"""),0.0)</f>
        <v>0</v>
      </c>
      <c r="C3692" s="2">
        <f>IFERROR(__xludf.DUMMYFUNCTION("""COMPUTED_VALUE"""),560.0)</f>
        <v>560</v>
      </c>
      <c r="D3692" s="3">
        <f>IFERROR(__xludf.DUMMYFUNCTION("""COMPUTED_VALUE"""),426.0)</f>
        <v>426</v>
      </c>
      <c r="E3692" s="1" t="str">
        <f t="array" ref="E3692">_xlfn.XLOOKUP(A3692,Product!A:A,Product!B:B,"Bulunamadı")</f>
        <v>Law</v>
      </c>
      <c r="F3692" s="1" t="str">
        <f t="array" ref="F3692">_xlfn.XLOOKUP(A3692,Product!A:A,Product!C:C,"Bulunamadı")</f>
        <v>Web Development</v>
      </c>
      <c r="G3692" s="2" t="str">
        <f t="array" ref="G3692">_xlfn.XLOOKUP(A3693,Product!A:A,Product!D:D,"Bulunamadı")</f>
        <v>Rivergate House</v>
      </c>
      <c r="H3692" s="2">
        <f t="array" ref="H3692">_xlfn.XLOOKUP(A3694,Product!A:A,Product!E:E,"Bulunamadı")</f>
        <v>1.38</v>
      </c>
      <c r="I3692" s="2" t="str">
        <f t="shared" si="1"/>
        <v>90650 - Law - Web Development</v>
      </c>
      <c r="J3692" s="2">
        <f t="shared" si="2"/>
        <v>587.88</v>
      </c>
      <c r="K3692" s="17">
        <f t="shared" si="3"/>
        <v>1</v>
      </c>
      <c r="L3692" s="18"/>
    </row>
    <row r="3693" hidden="1">
      <c r="A3693" s="2">
        <f>IFERROR(__xludf.DUMMYFUNCTION("""COMPUTED_VALUE"""),6395.0)</f>
        <v>6395</v>
      </c>
      <c r="B3693" s="2">
        <f>IFERROR(__xludf.DUMMYFUNCTION("""COMPUTED_VALUE"""),1.0)</f>
        <v>1</v>
      </c>
      <c r="C3693" s="2">
        <f>IFERROR(__xludf.DUMMYFUNCTION("""COMPUTED_VALUE"""),706.0)</f>
        <v>706</v>
      </c>
      <c r="D3693" s="3">
        <f>IFERROR(__xludf.DUMMYFUNCTION("""COMPUTED_VALUE"""),18.0)</f>
        <v>18</v>
      </c>
      <c r="E3693" s="1" t="str">
        <f t="array" ref="E3693">_xlfn.XLOOKUP(A3693,Product!A:A,Product!B:B,"Bulunamadı")</f>
        <v>Law</v>
      </c>
      <c r="F3693" s="1" t="str">
        <f t="array" ref="F3693">_xlfn.XLOOKUP(A3693,Product!A:A,Product!C:C,"Bulunamadı")</f>
        <v>Web Development</v>
      </c>
      <c r="G3693" s="2" t="str">
        <f t="array" ref="G3693">_xlfn.XLOOKUP(A3694,Product!A:A,Product!D:D,"Bulunamadı")</f>
        <v>Rivergate House</v>
      </c>
      <c r="H3693" s="2">
        <f t="array" ref="H3693">_xlfn.XLOOKUP(A3695,Product!A:A,Product!E:E,"Bulunamadı")</f>
        <v>1.6</v>
      </c>
      <c r="I3693" s="2" t="str">
        <f t="shared" si="1"/>
        <v>6395 - Law - Web Development</v>
      </c>
      <c r="J3693" s="2">
        <f t="shared" si="2"/>
        <v>28.8</v>
      </c>
      <c r="K3693" s="17">
        <f t="shared" si="3"/>
        <v>1</v>
      </c>
      <c r="L3693" s="18"/>
    </row>
    <row r="3694" hidden="1">
      <c r="A3694" s="2">
        <f>IFERROR(__xludf.DUMMYFUNCTION("""COMPUTED_VALUE"""),77444.0)</f>
        <v>77444</v>
      </c>
      <c r="B3694" s="2">
        <f>IFERROR(__xludf.DUMMYFUNCTION("""COMPUTED_VALUE"""),1.0)</f>
        <v>1</v>
      </c>
      <c r="C3694" s="2">
        <f>IFERROR(__xludf.DUMMYFUNCTION("""COMPUTED_VALUE"""),941.0)</f>
        <v>941</v>
      </c>
      <c r="D3694" s="3">
        <f>IFERROR(__xludf.DUMMYFUNCTION("""COMPUTED_VALUE"""),918.0)</f>
        <v>918</v>
      </c>
      <c r="E3694" s="1" t="str">
        <f t="array" ref="E3694">_xlfn.XLOOKUP(A3694,Product!A:A,Product!B:B,"Bulunamadı")</f>
        <v>Law</v>
      </c>
      <c r="F3694" s="1" t="str">
        <f t="array" ref="F3694">_xlfn.XLOOKUP(A3694,Product!A:A,Product!C:C,"Bulunamadı")</f>
        <v>Web Development</v>
      </c>
      <c r="G3694" s="2" t="str">
        <f t="array" ref="G3694">_xlfn.XLOOKUP(A3695,Product!A:A,Product!D:D,"Bulunamadı")</f>
        <v>Rivergate House</v>
      </c>
      <c r="H3694" s="2">
        <f t="array" ref="H3694">_xlfn.XLOOKUP(A3696,Product!A:A,Product!E:E,"Bulunamadı")</f>
        <v>0.75</v>
      </c>
      <c r="I3694" s="2" t="str">
        <f t="shared" si="1"/>
        <v>77444 - Law - Web Development</v>
      </c>
      <c r="J3694" s="2">
        <f t="shared" si="2"/>
        <v>688.5</v>
      </c>
      <c r="K3694" s="17">
        <f t="shared" si="3"/>
        <v>1</v>
      </c>
      <c r="L3694" s="18"/>
    </row>
    <row r="3695" hidden="1">
      <c r="A3695" s="2">
        <f>IFERROR(__xludf.DUMMYFUNCTION("""COMPUTED_VALUE"""),20389.0)</f>
        <v>20389</v>
      </c>
      <c r="B3695" s="2">
        <f>IFERROR(__xludf.DUMMYFUNCTION("""COMPUTED_VALUE"""),0.0)</f>
        <v>0</v>
      </c>
      <c r="C3695" s="2">
        <f>IFERROR(__xludf.DUMMYFUNCTION("""COMPUTED_VALUE"""),161.0)</f>
        <v>161</v>
      </c>
      <c r="D3695" s="3">
        <f>IFERROR(__xludf.DUMMYFUNCTION("""COMPUTED_VALUE"""),86.0)</f>
        <v>86</v>
      </c>
      <c r="E3695" s="1" t="str">
        <f t="array" ref="E3695">_xlfn.XLOOKUP(A3695,Product!A:A,Product!B:B,"Bulunamadı")</f>
        <v>Law</v>
      </c>
      <c r="F3695" s="1" t="str">
        <f t="array" ref="F3695">_xlfn.XLOOKUP(A3695,Product!A:A,Product!C:C,"Bulunamadı")</f>
        <v>Web Development</v>
      </c>
      <c r="G3695" s="2" t="str">
        <f t="array" ref="G3695">_xlfn.XLOOKUP(A3696,Product!A:A,Product!D:D,"Bulunamadı")</f>
        <v>Rivergate House</v>
      </c>
      <c r="H3695" s="2">
        <f t="array" ref="H3695">_xlfn.XLOOKUP(A3697,Product!A:A,Product!E:E,"Bulunamadı")</f>
        <v>1.69</v>
      </c>
      <c r="I3695" s="2" t="str">
        <f t="shared" si="1"/>
        <v>20389 - Law - Web Development</v>
      </c>
      <c r="J3695" s="2">
        <f t="shared" si="2"/>
        <v>145.34</v>
      </c>
      <c r="K3695" s="17">
        <f t="shared" si="3"/>
        <v>1</v>
      </c>
      <c r="L3695" s="18"/>
    </row>
    <row r="3696" hidden="1">
      <c r="A3696" s="2">
        <f>IFERROR(__xludf.DUMMYFUNCTION("""COMPUTED_VALUE"""),68293.0)</f>
        <v>68293</v>
      </c>
      <c r="B3696" s="2">
        <f>IFERROR(__xludf.DUMMYFUNCTION("""COMPUTED_VALUE"""),0.0)</f>
        <v>0</v>
      </c>
      <c r="C3696" s="2">
        <f>IFERROR(__xludf.DUMMYFUNCTION("""COMPUTED_VALUE"""),592.0)</f>
        <v>592</v>
      </c>
      <c r="D3696" s="3">
        <f>IFERROR(__xludf.DUMMYFUNCTION("""COMPUTED_VALUE"""),545.0)</f>
        <v>545</v>
      </c>
      <c r="E3696" s="1" t="str">
        <f t="array" ref="E3696">_xlfn.XLOOKUP(A3696,Product!A:A,Product!B:B,"Bulunamadı")</f>
        <v>Law</v>
      </c>
      <c r="F3696" s="1" t="str">
        <f t="array" ref="F3696">_xlfn.XLOOKUP(A3696,Product!A:A,Product!C:C,"Bulunamadı")</f>
        <v>Web Development</v>
      </c>
      <c r="G3696" s="2" t="str">
        <f t="array" ref="G3696">_xlfn.XLOOKUP(A3697,Product!A:A,Product!D:D,"Bulunamadı")</f>
        <v>Rivergate House</v>
      </c>
      <c r="H3696" s="2">
        <f t="array" ref="H3696">_xlfn.XLOOKUP(A3698,Product!A:A,Product!E:E,"Bulunamadı")</f>
        <v>1.28</v>
      </c>
      <c r="I3696" s="2" t="str">
        <f t="shared" si="1"/>
        <v>68293 - Law - Web Development</v>
      </c>
      <c r="J3696" s="2">
        <f t="shared" si="2"/>
        <v>697.6</v>
      </c>
      <c r="K3696" s="17">
        <f t="shared" si="3"/>
        <v>1</v>
      </c>
      <c r="L3696" s="18"/>
    </row>
    <row r="3697" hidden="1">
      <c r="A3697" s="2">
        <f>IFERROR(__xludf.DUMMYFUNCTION("""COMPUTED_VALUE"""),90982.0)</f>
        <v>90982</v>
      </c>
      <c r="B3697" s="2">
        <f>IFERROR(__xludf.DUMMYFUNCTION("""COMPUTED_VALUE"""),1.0)</f>
        <v>1</v>
      </c>
      <c r="C3697" s="2">
        <f>IFERROR(__xludf.DUMMYFUNCTION("""COMPUTED_VALUE"""),564.0)</f>
        <v>564</v>
      </c>
      <c r="D3697" s="3">
        <f>IFERROR(__xludf.DUMMYFUNCTION("""COMPUTED_VALUE"""),388.0)</f>
        <v>388</v>
      </c>
      <c r="E3697" s="1" t="str">
        <f t="array" ref="E3697">_xlfn.XLOOKUP(A3697,Product!A:A,Product!B:B,"Bulunamadı")</f>
        <v>Law</v>
      </c>
      <c r="F3697" s="1" t="str">
        <f t="array" ref="F3697">_xlfn.XLOOKUP(A3697,Product!A:A,Product!C:C,"Bulunamadı")</f>
        <v>Web Development</v>
      </c>
      <c r="G3697" s="2" t="str">
        <f t="array" ref="G3697">_xlfn.XLOOKUP(A3698,Product!A:A,Product!D:D,"Bulunamadı")</f>
        <v>Rivergate House</v>
      </c>
      <c r="H3697" s="2">
        <f t="array" ref="H3697">_xlfn.XLOOKUP(A3699,Product!A:A,Product!E:E,"Bulunamadı")</f>
        <v>6.88</v>
      </c>
      <c r="I3697" s="2" t="str">
        <f t="shared" si="1"/>
        <v>90982 - Law - Web Development</v>
      </c>
      <c r="J3697" s="2">
        <f t="shared" si="2"/>
        <v>2669.44</v>
      </c>
      <c r="K3697" s="17">
        <f t="shared" si="3"/>
        <v>1</v>
      </c>
      <c r="L3697" s="18"/>
    </row>
    <row r="3698" hidden="1">
      <c r="A3698" s="2">
        <f>IFERROR(__xludf.DUMMYFUNCTION("""COMPUTED_VALUE"""),48279.0)</f>
        <v>48279</v>
      </c>
      <c r="B3698" s="2">
        <f>IFERROR(__xludf.DUMMYFUNCTION("""COMPUTED_VALUE"""),1.0)</f>
        <v>1</v>
      </c>
      <c r="C3698" s="2">
        <f>IFERROR(__xludf.DUMMYFUNCTION("""COMPUTED_VALUE"""),756.0)</f>
        <v>756</v>
      </c>
      <c r="D3698" s="3">
        <f>IFERROR(__xludf.DUMMYFUNCTION("""COMPUTED_VALUE"""),566.0)</f>
        <v>566</v>
      </c>
      <c r="E3698" s="1" t="str">
        <f t="array" ref="E3698">_xlfn.XLOOKUP(A3698,Product!A:A,Product!B:B,"Bulunamadı")</f>
        <v>Law</v>
      </c>
      <c r="F3698" s="1" t="str">
        <f t="array" ref="F3698">_xlfn.XLOOKUP(A3698,Product!A:A,Product!C:C,"Bulunamadı")</f>
        <v>Web Development</v>
      </c>
      <c r="G3698" s="2" t="str">
        <f t="array" ref="G3698">_xlfn.XLOOKUP(A3699,Product!A:A,Product!D:D,"Bulunamadı")</f>
        <v>Rivergate House</v>
      </c>
      <c r="H3698" s="2">
        <f t="array" ref="H3698">_xlfn.XLOOKUP(A3700,Product!A:A,Product!E:E,"Bulunamadı")</f>
        <v>1.6</v>
      </c>
      <c r="I3698" s="2" t="str">
        <f t="shared" si="1"/>
        <v>48279 - Law - Web Development</v>
      </c>
      <c r="J3698" s="2">
        <f t="shared" si="2"/>
        <v>905.6</v>
      </c>
      <c r="K3698" s="17">
        <f t="shared" si="3"/>
        <v>1</v>
      </c>
      <c r="L3698" s="18"/>
    </row>
    <row r="3699" hidden="1">
      <c r="A3699" s="2">
        <f>IFERROR(__xludf.DUMMYFUNCTION("""COMPUTED_VALUE"""),77447.0)</f>
        <v>77447</v>
      </c>
      <c r="B3699" s="2">
        <f>IFERROR(__xludf.DUMMYFUNCTION("""COMPUTED_VALUE"""),1.0)</f>
        <v>1</v>
      </c>
      <c r="C3699" s="2">
        <f>IFERROR(__xludf.DUMMYFUNCTION("""COMPUTED_VALUE"""),912.0)</f>
        <v>912</v>
      </c>
      <c r="D3699" s="3">
        <f>IFERROR(__xludf.DUMMYFUNCTION("""COMPUTED_VALUE"""),577.0)</f>
        <v>577</v>
      </c>
      <c r="E3699" s="1" t="str">
        <f t="array" ref="E3699">_xlfn.XLOOKUP(A3699,Product!A:A,Product!B:B,"Bulunamadı")</f>
        <v>Law</v>
      </c>
      <c r="F3699" s="1" t="str">
        <f t="array" ref="F3699">_xlfn.XLOOKUP(A3699,Product!A:A,Product!C:C,"Bulunamadı")</f>
        <v>Web Development</v>
      </c>
      <c r="G3699" s="2" t="str">
        <f t="array" ref="G3699">_xlfn.XLOOKUP(A3700,Product!A:A,Product!D:D,"Bulunamadı")</f>
        <v>Irongate House</v>
      </c>
      <c r="H3699" s="2">
        <f t="array" ref="H3699">_xlfn.XLOOKUP(A3701,Product!A:A,Product!E:E,"Bulunamadı")</f>
        <v>1.71</v>
      </c>
      <c r="I3699" s="2" t="str">
        <f t="shared" si="1"/>
        <v>77447 - Law - Web Development</v>
      </c>
      <c r="J3699" s="2">
        <f t="shared" si="2"/>
        <v>986.67</v>
      </c>
      <c r="K3699" s="17">
        <f t="shared" si="3"/>
        <v>1</v>
      </c>
      <c r="L3699" s="18"/>
    </row>
    <row r="3700" hidden="1">
      <c r="A3700" s="2">
        <f>IFERROR(__xludf.DUMMYFUNCTION("""COMPUTED_VALUE"""),5710.0)</f>
        <v>5710</v>
      </c>
      <c r="B3700" s="2">
        <f>IFERROR(__xludf.DUMMYFUNCTION("""COMPUTED_VALUE"""),1.0)</f>
        <v>1</v>
      </c>
      <c r="C3700" s="2">
        <f>IFERROR(__xludf.DUMMYFUNCTION("""COMPUTED_VALUE"""),492.0)</f>
        <v>492</v>
      </c>
      <c r="D3700" s="3">
        <f>IFERROR(__xludf.DUMMYFUNCTION("""COMPUTED_VALUE"""),126.0)</f>
        <v>126</v>
      </c>
      <c r="E3700" s="1" t="str">
        <f t="array" ref="E3700">_xlfn.XLOOKUP(A3700,Product!A:A,Product!B:B,"Bulunamadı")</f>
        <v>Law</v>
      </c>
      <c r="F3700" s="1" t="str">
        <f t="array" ref="F3700">_xlfn.XLOOKUP(A3700,Product!A:A,Product!C:C,"Bulunamadı")</f>
        <v>Web Development</v>
      </c>
      <c r="G3700" s="2" t="str">
        <f t="array" ref="G3700">_xlfn.XLOOKUP(A3701,Product!A:A,Product!D:D,"Bulunamadı")</f>
        <v>Irongate House</v>
      </c>
      <c r="H3700" s="2">
        <f t="array" ref="H3700">_xlfn.XLOOKUP(A3702,Product!A:A,Product!E:E,"Bulunamadı")</f>
        <v>1.97</v>
      </c>
      <c r="I3700" s="2" t="str">
        <f t="shared" si="1"/>
        <v>5710 - Law - Web Development</v>
      </c>
      <c r="J3700" s="2">
        <f t="shared" si="2"/>
        <v>248.22</v>
      </c>
      <c r="K3700" s="17">
        <f t="shared" si="3"/>
        <v>1</v>
      </c>
      <c r="L3700" s="18"/>
    </row>
    <row r="3701" hidden="1">
      <c r="A3701" s="2">
        <f>IFERROR(__xludf.DUMMYFUNCTION("""COMPUTED_VALUE"""),90906.0)</f>
        <v>90906</v>
      </c>
      <c r="B3701" s="2">
        <f>IFERROR(__xludf.DUMMYFUNCTION("""COMPUTED_VALUE"""),0.0)</f>
        <v>0</v>
      </c>
      <c r="C3701" s="2">
        <f>IFERROR(__xludf.DUMMYFUNCTION("""COMPUTED_VALUE"""),278.0)</f>
        <v>278</v>
      </c>
      <c r="D3701" s="3">
        <f>IFERROR(__xludf.DUMMYFUNCTION("""COMPUTED_VALUE"""),90.0)</f>
        <v>90</v>
      </c>
      <c r="E3701" s="1" t="str">
        <f t="array" ref="E3701">_xlfn.XLOOKUP(A3701,Product!A:A,Product!B:B,"Bulunamadı")</f>
        <v>Law</v>
      </c>
      <c r="F3701" s="1" t="str">
        <f t="array" ref="F3701">_xlfn.XLOOKUP(A3701,Product!A:A,Product!C:C,"Bulunamadı")</f>
        <v>Web Development</v>
      </c>
      <c r="G3701" s="2" t="str">
        <f t="array" ref="G3701">_xlfn.XLOOKUP(A3702,Product!A:A,Product!D:D,"Bulunamadı")</f>
        <v>Irongate House</v>
      </c>
      <c r="H3701" s="2">
        <f t="array" ref="H3701">_xlfn.XLOOKUP(A3703,Product!A:A,Product!E:E,"Bulunamadı")</f>
        <v>1.18</v>
      </c>
      <c r="I3701" s="2" t="str">
        <f t="shared" si="1"/>
        <v>90906 - Law - Web Development</v>
      </c>
      <c r="J3701" s="2">
        <f t="shared" si="2"/>
        <v>106.2</v>
      </c>
      <c r="K3701" s="17">
        <f t="shared" si="3"/>
        <v>1</v>
      </c>
      <c r="L3701" s="18"/>
    </row>
    <row r="3702" hidden="1">
      <c r="A3702" s="2">
        <f>IFERROR(__xludf.DUMMYFUNCTION("""COMPUTED_VALUE"""),90883.0)</f>
        <v>90883</v>
      </c>
      <c r="B3702" s="2">
        <f>IFERROR(__xludf.DUMMYFUNCTION("""COMPUTED_VALUE"""),1.0)</f>
        <v>1</v>
      </c>
      <c r="C3702" s="2">
        <f>IFERROR(__xludf.DUMMYFUNCTION("""COMPUTED_VALUE"""),495.0)</f>
        <v>495</v>
      </c>
      <c r="D3702" s="3">
        <f>IFERROR(__xludf.DUMMYFUNCTION("""COMPUTED_VALUE"""),315.0)</f>
        <v>315</v>
      </c>
      <c r="E3702" s="1" t="str">
        <f t="array" ref="E3702">_xlfn.XLOOKUP(A3702,Product!A:A,Product!B:B,"Bulunamadı")</f>
        <v>Law</v>
      </c>
      <c r="F3702" s="1" t="str">
        <f t="array" ref="F3702">_xlfn.XLOOKUP(A3702,Product!A:A,Product!C:C,"Bulunamadı")</f>
        <v>Web Development</v>
      </c>
      <c r="G3702" s="2" t="str">
        <f t="array" ref="G3702">_xlfn.XLOOKUP(A3703,Product!A:A,Product!D:D,"Bulunamadı")</f>
        <v>Irongate House</v>
      </c>
      <c r="H3702" s="2">
        <f t="array" ref="H3702">_xlfn.XLOOKUP(A3704,Product!A:A,Product!E:E,"Bulunamadı")</f>
        <v>1.45</v>
      </c>
      <c r="I3702" s="2" t="str">
        <f t="shared" si="1"/>
        <v>90883 - Law - Web Development</v>
      </c>
      <c r="J3702" s="2">
        <f t="shared" si="2"/>
        <v>456.75</v>
      </c>
      <c r="K3702" s="17">
        <f t="shared" si="3"/>
        <v>1</v>
      </c>
      <c r="L3702" s="18"/>
    </row>
    <row r="3703" hidden="1">
      <c r="A3703" s="2">
        <f>IFERROR(__xludf.DUMMYFUNCTION("""COMPUTED_VALUE"""),113093.0)</f>
        <v>113093</v>
      </c>
      <c r="B3703" s="2">
        <f>IFERROR(__xludf.DUMMYFUNCTION("""COMPUTED_VALUE"""),0.0)</f>
        <v>0</v>
      </c>
      <c r="C3703" s="2">
        <f>IFERROR(__xludf.DUMMYFUNCTION("""COMPUTED_VALUE"""),112.0)</f>
        <v>112</v>
      </c>
      <c r="D3703" s="3">
        <f>IFERROR(__xludf.DUMMYFUNCTION("""COMPUTED_VALUE"""),92.0)</f>
        <v>92</v>
      </c>
      <c r="E3703" s="1" t="str">
        <f t="array" ref="E3703">_xlfn.XLOOKUP(A3703,Product!A:A,Product!B:B,"Bulunamadı")</f>
        <v>Law</v>
      </c>
      <c r="F3703" s="1" t="str">
        <f t="array" ref="F3703">_xlfn.XLOOKUP(A3703,Product!A:A,Product!C:C,"Bulunamadı")</f>
        <v>Web Development</v>
      </c>
      <c r="G3703" s="2" t="str">
        <f t="array" ref="G3703">_xlfn.XLOOKUP(A3704,Product!A:A,Product!D:D,"Bulunamadı")</f>
        <v>Irongate House</v>
      </c>
      <c r="H3703" s="2">
        <f t="array" ref="H3703">_xlfn.XLOOKUP(A3705,Product!A:A,Product!E:E,"Bulunamadı")</f>
        <v>1.13</v>
      </c>
      <c r="I3703" s="2" t="str">
        <f t="shared" si="1"/>
        <v>113093 - Law - Web Development</v>
      </c>
      <c r="J3703" s="2">
        <f t="shared" si="2"/>
        <v>103.96</v>
      </c>
      <c r="K3703" s="17">
        <f t="shared" si="3"/>
        <v>1</v>
      </c>
      <c r="L3703" s="18"/>
    </row>
    <row r="3704" hidden="1">
      <c r="A3704" s="2">
        <f>IFERROR(__xludf.DUMMYFUNCTION("""COMPUTED_VALUE"""),73926.0)</f>
        <v>73926</v>
      </c>
      <c r="B3704" s="2">
        <f>IFERROR(__xludf.DUMMYFUNCTION("""COMPUTED_VALUE"""),0.0)</f>
        <v>0</v>
      </c>
      <c r="C3704" s="2">
        <f>IFERROR(__xludf.DUMMYFUNCTION("""COMPUTED_VALUE"""),138.0)</f>
        <v>138</v>
      </c>
      <c r="D3704" s="3">
        <f>IFERROR(__xludf.DUMMYFUNCTION("""COMPUTED_VALUE"""),111.0)</f>
        <v>111</v>
      </c>
      <c r="E3704" s="1" t="str">
        <f t="array" ref="E3704">_xlfn.XLOOKUP(A3704,Product!A:A,Product!B:B,"Bulunamadı")</f>
        <v>Law</v>
      </c>
      <c r="F3704" s="1" t="str">
        <f t="array" ref="F3704">_xlfn.XLOOKUP(A3704,Product!A:A,Product!C:C,"Bulunamadı")</f>
        <v>Web Development</v>
      </c>
      <c r="G3704" s="2" t="str">
        <f t="array" ref="G3704">_xlfn.XLOOKUP(A3705,Product!A:A,Product!D:D,"Bulunamadı")</f>
        <v>Irongate House</v>
      </c>
      <c r="H3704" s="2">
        <f t="array" ref="H3704">_xlfn.XLOOKUP(A3706,Product!A:A,Product!E:E,"Bulunamadı")</f>
        <v>1.35</v>
      </c>
      <c r="I3704" s="2" t="str">
        <f t="shared" si="1"/>
        <v>73926 - Law - Web Development</v>
      </c>
      <c r="J3704" s="2">
        <f t="shared" si="2"/>
        <v>149.85</v>
      </c>
      <c r="K3704" s="17">
        <f t="shared" si="3"/>
        <v>1</v>
      </c>
      <c r="L3704" s="18"/>
    </row>
    <row r="3705" hidden="1">
      <c r="A3705" s="2">
        <f>IFERROR(__xludf.DUMMYFUNCTION("""COMPUTED_VALUE"""),110083.0)</f>
        <v>110083</v>
      </c>
      <c r="B3705" s="2">
        <f>IFERROR(__xludf.DUMMYFUNCTION("""COMPUTED_VALUE"""),0.0)</f>
        <v>0</v>
      </c>
      <c r="C3705" s="2">
        <f>IFERROR(__xludf.DUMMYFUNCTION("""COMPUTED_VALUE"""),775.0)</f>
        <v>775</v>
      </c>
      <c r="D3705" s="3">
        <f>IFERROR(__xludf.DUMMYFUNCTION("""COMPUTED_VALUE"""),417.0)</f>
        <v>417</v>
      </c>
      <c r="E3705" s="1" t="str">
        <f t="array" ref="E3705">_xlfn.XLOOKUP(A3705,Product!A:A,Product!B:B,"Bulunamadı")</f>
        <v>Law</v>
      </c>
      <c r="F3705" s="1" t="str">
        <f t="array" ref="F3705">_xlfn.XLOOKUP(A3705,Product!A:A,Product!C:C,"Bulunamadı")</f>
        <v>Web Development</v>
      </c>
      <c r="G3705" s="2" t="str">
        <f t="array" ref="G3705">_xlfn.XLOOKUP(A3706,Product!A:A,Product!D:D,"Bulunamadı")</f>
        <v>Irongate House</v>
      </c>
      <c r="H3705" s="2">
        <f t="array" ref="H3705">_xlfn.XLOOKUP(A3707,Product!A:A,Product!E:E,"Bulunamadı")</f>
        <v>1.35</v>
      </c>
      <c r="I3705" s="2" t="str">
        <f t="shared" si="1"/>
        <v>110083 - Law - Web Development</v>
      </c>
      <c r="J3705" s="2">
        <f t="shared" si="2"/>
        <v>562.95</v>
      </c>
      <c r="K3705" s="17">
        <f t="shared" si="3"/>
        <v>1</v>
      </c>
      <c r="L3705" s="18"/>
    </row>
    <row r="3706" hidden="1">
      <c r="A3706" s="2">
        <f>IFERROR(__xludf.DUMMYFUNCTION("""COMPUTED_VALUE"""),76313.0)</f>
        <v>76313</v>
      </c>
      <c r="B3706" s="2">
        <f>IFERROR(__xludf.DUMMYFUNCTION("""COMPUTED_VALUE"""),0.0)</f>
        <v>0</v>
      </c>
      <c r="C3706" s="2">
        <f>IFERROR(__xludf.DUMMYFUNCTION("""COMPUTED_VALUE"""),790.0)</f>
        <v>790</v>
      </c>
      <c r="D3706" s="3">
        <f>IFERROR(__xludf.DUMMYFUNCTION("""COMPUTED_VALUE"""),155.0)</f>
        <v>155</v>
      </c>
      <c r="E3706" s="1" t="str">
        <f t="array" ref="E3706">_xlfn.XLOOKUP(A3706,Product!A:A,Product!B:B,"Bulunamadı")</f>
        <v>Law</v>
      </c>
      <c r="F3706" s="1" t="str">
        <f t="array" ref="F3706">_xlfn.XLOOKUP(A3706,Product!A:A,Product!C:C,"Bulunamadı")</f>
        <v>Web Development</v>
      </c>
      <c r="G3706" s="2" t="str">
        <f t="array" ref="G3706">_xlfn.XLOOKUP(A3707,Product!A:A,Product!D:D,"Bulunamadı")</f>
        <v>Irongate House</v>
      </c>
      <c r="H3706" s="2">
        <f t="array" ref="H3706">_xlfn.XLOOKUP(A3708,Product!A:A,Product!E:E,"Bulunamadı")</f>
        <v>1.3</v>
      </c>
      <c r="I3706" s="2" t="str">
        <f t="shared" si="1"/>
        <v>76313 - Law - Web Development</v>
      </c>
      <c r="J3706" s="2">
        <f t="shared" si="2"/>
        <v>201.5</v>
      </c>
      <c r="K3706" s="17">
        <f t="shared" si="3"/>
        <v>1</v>
      </c>
      <c r="L3706" s="18"/>
    </row>
    <row r="3707" hidden="1">
      <c r="A3707" s="2">
        <f>IFERROR(__xludf.DUMMYFUNCTION("""COMPUTED_VALUE"""),68404.0)</f>
        <v>68404</v>
      </c>
      <c r="B3707" s="2">
        <f>IFERROR(__xludf.DUMMYFUNCTION("""COMPUTED_VALUE"""),1.0)</f>
        <v>1</v>
      </c>
      <c r="C3707" s="2">
        <f>IFERROR(__xludf.DUMMYFUNCTION("""COMPUTED_VALUE"""),921.0)</f>
        <v>921</v>
      </c>
      <c r="D3707" s="3">
        <f>IFERROR(__xludf.DUMMYFUNCTION("""COMPUTED_VALUE"""),548.0)</f>
        <v>548</v>
      </c>
      <c r="E3707" s="1" t="str">
        <f t="array" ref="E3707">_xlfn.XLOOKUP(A3707,Product!A:A,Product!B:B,"Bulunamadı")</f>
        <v>Law</v>
      </c>
      <c r="F3707" s="1" t="str">
        <f t="array" ref="F3707">_xlfn.XLOOKUP(A3707,Product!A:A,Product!C:C,"Bulunamadı")</f>
        <v>Web Development</v>
      </c>
      <c r="G3707" s="2" t="str">
        <f t="array" ref="G3707">_xlfn.XLOOKUP(A3708,Product!A:A,Product!D:D,"Bulunamadı")</f>
        <v>Irongate House</v>
      </c>
      <c r="H3707" s="2">
        <f t="array" ref="H3707">_xlfn.XLOOKUP(A3709,Product!A:A,Product!E:E,"Bulunamadı")</f>
        <v>2.02</v>
      </c>
      <c r="I3707" s="2" t="str">
        <f t="shared" si="1"/>
        <v>68404 - Law - Web Development</v>
      </c>
      <c r="J3707" s="2">
        <f t="shared" si="2"/>
        <v>1106.96</v>
      </c>
      <c r="K3707" s="17">
        <f t="shared" si="3"/>
        <v>1</v>
      </c>
      <c r="L3707" s="18"/>
    </row>
    <row r="3708" hidden="1">
      <c r="A3708" s="2">
        <f>IFERROR(__xludf.DUMMYFUNCTION("""COMPUTED_VALUE"""),68322.0)</f>
        <v>68322</v>
      </c>
      <c r="B3708" s="2">
        <f>IFERROR(__xludf.DUMMYFUNCTION("""COMPUTED_VALUE"""),1.0)</f>
        <v>1</v>
      </c>
      <c r="C3708" s="2">
        <f>IFERROR(__xludf.DUMMYFUNCTION("""COMPUTED_VALUE"""),52.0)</f>
        <v>52</v>
      </c>
      <c r="D3708" s="3">
        <f>IFERROR(__xludf.DUMMYFUNCTION("""COMPUTED_VALUE"""),21.0)</f>
        <v>21</v>
      </c>
      <c r="E3708" s="1" t="str">
        <f t="array" ref="E3708">_xlfn.XLOOKUP(A3708,Product!A:A,Product!B:B,"Bulunamadı")</f>
        <v>Law</v>
      </c>
      <c r="F3708" s="1" t="str">
        <f t="array" ref="F3708">_xlfn.XLOOKUP(A3708,Product!A:A,Product!C:C,"Bulunamadı")</f>
        <v>Web Development</v>
      </c>
      <c r="G3708" s="2" t="str">
        <f t="array" ref="G3708">_xlfn.XLOOKUP(A3709,Product!A:A,Product!D:D,"Bulunamadı")</f>
        <v>Irongate House</v>
      </c>
      <c r="H3708" s="2">
        <f t="array" ref="H3708">_xlfn.XLOOKUP(A3710,Product!A:A,Product!E:E,"Bulunamadı")</f>
        <v>1.49</v>
      </c>
      <c r="I3708" s="2" t="str">
        <f t="shared" si="1"/>
        <v>68322 - Law - Web Development</v>
      </c>
      <c r="J3708" s="2">
        <f t="shared" si="2"/>
        <v>31.29</v>
      </c>
      <c r="K3708" s="17">
        <f t="shared" si="3"/>
        <v>1</v>
      </c>
      <c r="L3708" s="18"/>
    </row>
    <row r="3709" hidden="1">
      <c r="A3709" s="2">
        <f>IFERROR(__xludf.DUMMYFUNCTION("""COMPUTED_VALUE"""),73947.0)</f>
        <v>73947</v>
      </c>
      <c r="B3709" s="2">
        <f>IFERROR(__xludf.DUMMYFUNCTION("""COMPUTED_VALUE"""),0.0)</f>
        <v>0</v>
      </c>
      <c r="C3709" s="2">
        <f>IFERROR(__xludf.DUMMYFUNCTION("""COMPUTED_VALUE"""),584.0)</f>
        <v>584</v>
      </c>
      <c r="D3709" s="3">
        <f>IFERROR(__xludf.DUMMYFUNCTION("""COMPUTED_VALUE"""),424.0)</f>
        <v>424</v>
      </c>
      <c r="E3709" s="1" t="str">
        <f t="array" ref="E3709">_xlfn.XLOOKUP(A3709,Product!A:A,Product!B:B,"Bulunamadı")</f>
        <v>Law</v>
      </c>
      <c r="F3709" s="1" t="str">
        <f t="array" ref="F3709">_xlfn.XLOOKUP(A3709,Product!A:A,Product!C:C,"Bulunamadı")</f>
        <v>Web Development</v>
      </c>
      <c r="G3709" s="2" t="str">
        <f t="array" ref="G3709">_xlfn.XLOOKUP(A3710,Product!A:A,Product!D:D,"Bulunamadı")</f>
        <v>Irongate House</v>
      </c>
      <c r="H3709" s="2">
        <f t="array" ref="H3709">_xlfn.XLOOKUP(A3711,Product!A:A,Product!E:E,"Bulunamadı")</f>
        <v>6.17</v>
      </c>
      <c r="I3709" s="2" t="str">
        <f t="shared" si="1"/>
        <v>73947 - Law - Web Development</v>
      </c>
      <c r="J3709" s="2">
        <f t="shared" si="2"/>
        <v>2616.08</v>
      </c>
      <c r="K3709" s="17">
        <f t="shared" si="3"/>
        <v>1</v>
      </c>
      <c r="L3709" s="18"/>
    </row>
    <row r="3710" hidden="1">
      <c r="A3710" s="2">
        <f>IFERROR(__xludf.DUMMYFUNCTION("""COMPUTED_VALUE"""),29116.0)</f>
        <v>29116</v>
      </c>
      <c r="B3710" s="2">
        <f>IFERROR(__xludf.DUMMYFUNCTION("""COMPUTED_VALUE"""),1.0)</f>
        <v>1</v>
      </c>
      <c r="C3710" s="2">
        <f>IFERROR(__xludf.DUMMYFUNCTION("""COMPUTED_VALUE"""),408.0)</f>
        <v>408</v>
      </c>
      <c r="D3710" s="3">
        <f>IFERROR(__xludf.DUMMYFUNCTION("""COMPUTED_VALUE"""),3.0)</f>
        <v>3</v>
      </c>
      <c r="E3710" s="1" t="str">
        <f t="array" ref="E3710">_xlfn.XLOOKUP(A3710,Product!A:A,Product!B:B,"Bulunamadı")</f>
        <v>Law</v>
      </c>
      <c r="F3710" s="1" t="str">
        <f t="array" ref="F3710">_xlfn.XLOOKUP(A3710,Product!A:A,Product!C:C,"Bulunamadı")</f>
        <v>Web Development</v>
      </c>
      <c r="G3710" s="2" t="str">
        <f t="array" ref="G3710">_xlfn.XLOOKUP(A3711,Product!A:A,Product!D:D,"Bulunamadı")</f>
        <v>Irongate House</v>
      </c>
      <c r="H3710" s="2">
        <f t="array" ref="H3710">_xlfn.XLOOKUP(A3712,Product!A:A,Product!E:E,"Bulunamadı")</f>
        <v>1.1</v>
      </c>
      <c r="I3710" s="2" t="str">
        <f t="shared" si="1"/>
        <v>29116 - Law - Web Development</v>
      </c>
      <c r="J3710" s="2">
        <f t="shared" si="2"/>
        <v>3.3</v>
      </c>
      <c r="K3710" s="17">
        <f t="shared" si="3"/>
        <v>1</v>
      </c>
      <c r="L3710" s="18"/>
    </row>
    <row r="3711" hidden="1">
      <c r="A3711" s="2">
        <f>IFERROR(__xludf.DUMMYFUNCTION("""COMPUTED_VALUE"""),90846.0)</f>
        <v>90846</v>
      </c>
      <c r="B3711" s="2">
        <f>IFERROR(__xludf.DUMMYFUNCTION("""COMPUTED_VALUE"""),0.0)</f>
        <v>0</v>
      </c>
      <c r="C3711" s="2">
        <f>IFERROR(__xludf.DUMMYFUNCTION("""COMPUTED_VALUE"""),784.0)</f>
        <v>784</v>
      </c>
      <c r="D3711" s="3">
        <f>IFERROR(__xludf.DUMMYFUNCTION("""COMPUTED_VALUE"""),653.0)</f>
        <v>653</v>
      </c>
      <c r="E3711" s="1" t="str">
        <f t="array" ref="E3711">_xlfn.XLOOKUP(A3711,Product!A:A,Product!B:B,"Bulunamadı")</f>
        <v>Law</v>
      </c>
      <c r="F3711" s="1" t="str">
        <f t="array" ref="F3711">_xlfn.XLOOKUP(A3711,Product!A:A,Product!C:C,"Bulunamadı")</f>
        <v>Web Development</v>
      </c>
      <c r="G3711" s="2" t="str">
        <f t="array" ref="G3711">_xlfn.XLOOKUP(A3712,Product!A:A,Product!D:D,"Bulunamadı")</f>
        <v>Irongate House</v>
      </c>
      <c r="H3711" s="2">
        <f t="array" ref="H3711">_xlfn.XLOOKUP(A3713,Product!A:A,Product!E:E,"Bulunamadı")</f>
        <v>1.71</v>
      </c>
      <c r="I3711" s="2" t="str">
        <f t="shared" si="1"/>
        <v>90846 - Law - Web Development</v>
      </c>
      <c r="J3711" s="2">
        <f t="shared" si="2"/>
        <v>1116.63</v>
      </c>
      <c r="K3711" s="17">
        <f t="shared" si="3"/>
        <v>1</v>
      </c>
      <c r="L3711" s="18"/>
    </row>
    <row r="3712" hidden="1">
      <c r="A3712" s="2">
        <f>IFERROR(__xludf.DUMMYFUNCTION("""COMPUTED_VALUE"""),110084.0)</f>
        <v>110084</v>
      </c>
      <c r="B3712" s="2">
        <f>IFERROR(__xludf.DUMMYFUNCTION("""COMPUTED_VALUE"""),0.0)</f>
        <v>0</v>
      </c>
      <c r="C3712" s="2">
        <f>IFERROR(__xludf.DUMMYFUNCTION("""COMPUTED_VALUE"""),636.0)</f>
        <v>636</v>
      </c>
      <c r="D3712" s="3">
        <f>IFERROR(__xludf.DUMMYFUNCTION("""COMPUTED_VALUE"""),17.0)</f>
        <v>17</v>
      </c>
      <c r="E3712" s="1" t="str">
        <f t="array" ref="E3712">_xlfn.XLOOKUP(A3712,Product!A:A,Product!B:B,"Bulunamadı")</f>
        <v>Law</v>
      </c>
      <c r="F3712" s="1" t="str">
        <f t="array" ref="F3712">_xlfn.XLOOKUP(A3712,Product!A:A,Product!C:C,"Bulunamadı")</f>
        <v>Web Development</v>
      </c>
      <c r="G3712" s="2" t="str">
        <f t="array" ref="G3712">_xlfn.XLOOKUP(A3713,Product!A:A,Product!D:D,"Bulunamadı")</f>
        <v>Irongate House</v>
      </c>
      <c r="H3712" s="2">
        <f t="array" ref="H3712">_xlfn.XLOOKUP(A3714,Product!A:A,Product!E:E,"Bulunamadı")</f>
        <v>1.66</v>
      </c>
      <c r="I3712" s="2" t="str">
        <f t="shared" si="1"/>
        <v>110084 - Law - Web Development</v>
      </c>
      <c r="J3712" s="2">
        <f t="shared" si="2"/>
        <v>28.22</v>
      </c>
      <c r="K3712" s="17">
        <f t="shared" si="3"/>
        <v>1</v>
      </c>
      <c r="L3712" s="18"/>
    </row>
    <row r="3713" hidden="1">
      <c r="A3713" s="2">
        <f>IFERROR(__xludf.DUMMYFUNCTION("""COMPUTED_VALUE"""),73925.0)</f>
        <v>73925</v>
      </c>
      <c r="B3713" s="2">
        <f>IFERROR(__xludf.DUMMYFUNCTION("""COMPUTED_VALUE"""),1.0)</f>
        <v>1</v>
      </c>
      <c r="C3713" s="2">
        <f>IFERROR(__xludf.DUMMYFUNCTION("""COMPUTED_VALUE"""),227.0)</f>
        <v>227</v>
      </c>
      <c r="D3713" s="3">
        <f>IFERROR(__xludf.DUMMYFUNCTION("""COMPUTED_VALUE"""),132.0)</f>
        <v>132</v>
      </c>
      <c r="E3713" s="1" t="str">
        <f t="array" ref="E3713">_xlfn.XLOOKUP(A3713,Product!A:A,Product!B:B,"Bulunamadı")</f>
        <v>Law</v>
      </c>
      <c r="F3713" s="1" t="str">
        <f t="array" ref="F3713">_xlfn.XLOOKUP(A3713,Product!A:A,Product!C:C,"Bulunamadı")</f>
        <v>Web Development</v>
      </c>
      <c r="G3713" s="2" t="str">
        <f t="array" ref="G3713">_xlfn.XLOOKUP(A3714,Product!A:A,Product!D:D,"Bulunamadı")</f>
        <v>Irongate House</v>
      </c>
      <c r="H3713" s="2">
        <f t="array" ref="H3713">_xlfn.XLOOKUP(A3715,Product!A:A,Product!E:E,"Bulunamadı")</f>
        <v>1.94</v>
      </c>
      <c r="I3713" s="2" t="str">
        <f t="shared" si="1"/>
        <v>73925 - Law - Web Development</v>
      </c>
      <c r="J3713" s="2">
        <f t="shared" si="2"/>
        <v>256.08</v>
      </c>
      <c r="K3713" s="17">
        <f t="shared" si="3"/>
        <v>1</v>
      </c>
      <c r="L3713" s="18"/>
    </row>
    <row r="3714" hidden="1">
      <c r="A3714" s="2">
        <f>IFERROR(__xludf.DUMMYFUNCTION("""COMPUTED_VALUE"""),68296.0)</f>
        <v>68296</v>
      </c>
      <c r="B3714" s="2">
        <f>IFERROR(__xludf.DUMMYFUNCTION("""COMPUTED_VALUE"""),0.0)</f>
        <v>0</v>
      </c>
      <c r="C3714" s="2">
        <f>IFERROR(__xludf.DUMMYFUNCTION("""COMPUTED_VALUE"""),848.0)</f>
        <v>848</v>
      </c>
      <c r="D3714" s="3">
        <f>IFERROR(__xludf.DUMMYFUNCTION("""COMPUTED_VALUE"""),511.0)</f>
        <v>511</v>
      </c>
      <c r="E3714" s="1" t="str">
        <f t="array" ref="E3714">_xlfn.XLOOKUP(A3714,Product!A:A,Product!B:B,"Bulunamadı")</f>
        <v>Law</v>
      </c>
      <c r="F3714" s="1" t="str">
        <f t="array" ref="F3714">_xlfn.XLOOKUP(A3714,Product!A:A,Product!C:C,"Bulunamadı")</f>
        <v>Web Development</v>
      </c>
      <c r="G3714" s="2" t="str">
        <f t="array" ref="G3714">_xlfn.XLOOKUP(A3715,Product!A:A,Product!D:D,"Bulunamadı")</f>
        <v>Irongate House</v>
      </c>
      <c r="H3714" s="2">
        <f t="array" ref="H3714">_xlfn.XLOOKUP(A3716,Product!A:A,Product!E:E,"Bulunamadı")</f>
        <v>2.07</v>
      </c>
      <c r="I3714" s="2" t="str">
        <f t="shared" si="1"/>
        <v>68296 - Law - Web Development</v>
      </c>
      <c r="J3714" s="2">
        <f t="shared" si="2"/>
        <v>1057.77</v>
      </c>
      <c r="K3714" s="17">
        <f t="shared" si="3"/>
        <v>1</v>
      </c>
      <c r="L3714" s="18"/>
    </row>
    <row r="3715" hidden="1">
      <c r="A3715" s="2">
        <f>IFERROR(__xludf.DUMMYFUNCTION("""COMPUTED_VALUE"""),90873.0)</f>
        <v>90873</v>
      </c>
      <c r="B3715" s="2">
        <f>IFERROR(__xludf.DUMMYFUNCTION("""COMPUTED_VALUE"""),0.0)</f>
        <v>0</v>
      </c>
      <c r="C3715" s="2">
        <f>IFERROR(__xludf.DUMMYFUNCTION("""COMPUTED_VALUE"""),649.0)</f>
        <v>649</v>
      </c>
      <c r="D3715" s="3">
        <f>IFERROR(__xludf.DUMMYFUNCTION("""COMPUTED_VALUE"""),76.0)</f>
        <v>76</v>
      </c>
      <c r="E3715" s="1" t="str">
        <f t="array" ref="E3715">_xlfn.XLOOKUP(A3715,Product!A:A,Product!B:B,"Bulunamadı")</f>
        <v>Law</v>
      </c>
      <c r="F3715" s="1" t="str">
        <f t="array" ref="F3715">_xlfn.XLOOKUP(A3715,Product!A:A,Product!C:C,"Bulunamadı")</f>
        <v>Web Development</v>
      </c>
      <c r="G3715" s="2" t="str">
        <f t="array" ref="G3715">_xlfn.XLOOKUP(A3716,Product!A:A,Product!D:D,"Bulunamadı")</f>
        <v>Irongate House</v>
      </c>
      <c r="H3715" s="2">
        <f t="array" ref="H3715">_xlfn.XLOOKUP(A3717,Product!A:A,Product!E:E,"Bulunamadı")</f>
        <v>5.95</v>
      </c>
      <c r="I3715" s="2" t="str">
        <f t="shared" si="1"/>
        <v>90873 - Law - Web Development</v>
      </c>
      <c r="J3715" s="2">
        <f t="shared" si="2"/>
        <v>452.2</v>
      </c>
      <c r="K3715" s="17">
        <f t="shared" si="3"/>
        <v>1</v>
      </c>
      <c r="L3715" s="18"/>
    </row>
    <row r="3716" hidden="1">
      <c r="A3716" s="2">
        <f>IFERROR(__xludf.DUMMYFUNCTION("""COMPUTED_VALUE"""),90874.0)</f>
        <v>90874</v>
      </c>
      <c r="B3716" s="2">
        <f>IFERROR(__xludf.DUMMYFUNCTION("""COMPUTED_VALUE"""),0.0)</f>
        <v>0</v>
      </c>
      <c r="C3716" s="2">
        <f>IFERROR(__xludf.DUMMYFUNCTION("""COMPUTED_VALUE"""),938.0)</f>
        <v>938</v>
      </c>
      <c r="D3716" s="3">
        <f>IFERROR(__xludf.DUMMYFUNCTION("""COMPUTED_VALUE"""),258.0)</f>
        <v>258</v>
      </c>
      <c r="E3716" s="1" t="str">
        <f t="array" ref="E3716">_xlfn.XLOOKUP(A3716,Product!A:A,Product!B:B,"Bulunamadı")</f>
        <v>Law</v>
      </c>
      <c r="F3716" s="1" t="str">
        <f t="array" ref="F3716">_xlfn.XLOOKUP(A3716,Product!A:A,Product!C:C,"Bulunamadı")</f>
        <v>Web Development</v>
      </c>
      <c r="G3716" s="2" t="str">
        <f t="array" ref="G3716">_xlfn.XLOOKUP(A3717,Product!A:A,Product!D:D,"Bulunamadı")</f>
        <v>Irongate House</v>
      </c>
      <c r="H3716" s="2">
        <f t="array" ref="H3716">_xlfn.XLOOKUP(A3718,Product!A:A,Product!E:E,"Bulunamadı")</f>
        <v>1.39</v>
      </c>
      <c r="I3716" s="2" t="str">
        <f t="shared" si="1"/>
        <v>90874 - Law - Web Development</v>
      </c>
      <c r="J3716" s="2">
        <f t="shared" si="2"/>
        <v>358.62</v>
      </c>
      <c r="K3716" s="17">
        <f t="shared" si="3"/>
        <v>1</v>
      </c>
      <c r="L3716" s="18"/>
    </row>
    <row r="3717" hidden="1">
      <c r="A3717" s="2">
        <f>IFERROR(__xludf.DUMMYFUNCTION("""COMPUTED_VALUE"""),90842.0)</f>
        <v>90842</v>
      </c>
      <c r="B3717" s="2">
        <f>IFERROR(__xludf.DUMMYFUNCTION("""COMPUTED_VALUE"""),0.0)</f>
        <v>0</v>
      </c>
      <c r="C3717" s="2">
        <f>IFERROR(__xludf.DUMMYFUNCTION("""COMPUTED_VALUE"""),63.0)</f>
        <v>63</v>
      </c>
      <c r="D3717" s="3">
        <f>IFERROR(__xludf.DUMMYFUNCTION("""COMPUTED_VALUE"""),53.0)</f>
        <v>53</v>
      </c>
      <c r="E3717" s="1" t="str">
        <f t="array" ref="E3717">_xlfn.XLOOKUP(A3717,Product!A:A,Product!B:B,"Bulunamadı")</f>
        <v>Law</v>
      </c>
      <c r="F3717" s="1" t="str">
        <f t="array" ref="F3717">_xlfn.XLOOKUP(A3717,Product!A:A,Product!C:C,"Bulunamadı")</f>
        <v>Web Development</v>
      </c>
      <c r="G3717" s="2" t="str">
        <f t="array" ref="G3717">_xlfn.XLOOKUP(A3718,Product!A:A,Product!D:D,"Bulunamadı")</f>
        <v>Irongate House</v>
      </c>
      <c r="H3717" s="2">
        <f t="array" ref="H3717">_xlfn.XLOOKUP(A3719,Product!A:A,Product!E:E,"Bulunamadı")</f>
        <v>1.57</v>
      </c>
      <c r="I3717" s="2" t="str">
        <f t="shared" si="1"/>
        <v>90842 - Law - Web Development</v>
      </c>
      <c r="J3717" s="2">
        <f t="shared" si="2"/>
        <v>83.21</v>
      </c>
      <c r="K3717" s="17">
        <f t="shared" si="3"/>
        <v>1</v>
      </c>
      <c r="L3717" s="18"/>
    </row>
    <row r="3718" hidden="1">
      <c r="A3718" s="2">
        <f>IFERROR(__xludf.DUMMYFUNCTION("""COMPUTED_VALUE"""),5709.0)</f>
        <v>5709</v>
      </c>
      <c r="B3718" s="2">
        <f>IFERROR(__xludf.DUMMYFUNCTION("""COMPUTED_VALUE"""),0.0)</f>
        <v>0</v>
      </c>
      <c r="C3718" s="2">
        <f>IFERROR(__xludf.DUMMYFUNCTION("""COMPUTED_VALUE"""),91.0)</f>
        <v>91</v>
      </c>
      <c r="D3718" s="3">
        <f>IFERROR(__xludf.DUMMYFUNCTION("""COMPUTED_VALUE"""),14.0)</f>
        <v>14</v>
      </c>
      <c r="E3718" s="1" t="str">
        <f t="array" ref="E3718">_xlfn.XLOOKUP(A3718,Product!A:A,Product!B:B,"Bulunamadı")</f>
        <v>Law</v>
      </c>
      <c r="F3718" s="1" t="str">
        <f t="array" ref="F3718">_xlfn.XLOOKUP(A3718,Product!A:A,Product!C:C,"Bulunamadı")</f>
        <v>Web Development</v>
      </c>
      <c r="G3718" s="2" t="str">
        <f t="array" ref="G3718">_xlfn.XLOOKUP(A3719,Product!A:A,Product!D:D,"Bulunamadı")</f>
        <v>Irongate House</v>
      </c>
      <c r="H3718" s="2">
        <f t="array" ref="H3718">_xlfn.XLOOKUP(A3720,Product!A:A,Product!E:E,"Bulunamadı")</f>
        <v>1.12</v>
      </c>
      <c r="I3718" s="2" t="str">
        <f t="shared" si="1"/>
        <v>5709 - Law - Web Development</v>
      </c>
      <c r="J3718" s="2">
        <f t="shared" si="2"/>
        <v>15.68</v>
      </c>
      <c r="K3718" s="17">
        <f t="shared" si="3"/>
        <v>1</v>
      </c>
      <c r="L3718" s="18"/>
    </row>
    <row r="3719" hidden="1">
      <c r="A3719" s="2">
        <f>IFERROR(__xludf.DUMMYFUNCTION("""COMPUTED_VALUE"""),76341.0)</f>
        <v>76341</v>
      </c>
      <c r="B3719" s="2">
        <f>IFERROR(__xludf.DUMMYFUNCTION("""COMPUTED_VALUE"""),0.0)</f>
        <v>0</v>
      </c>
      <c r="C3719" s="2">
        <f>IFERROR(__xludf.DUMMYFUNCTION("""COMPUTED_VALUE"""),455.0)</f>
        <v>455</v>
      </c>
      <c r="D3719" s="3">
        <f>IFERROR(__xludf.DUMMYFUNCTION("""COMPUTED_VALUE"""),244.0)</f>
        <v>244</v>
      </c>
      <c r="E3719" s="1" t="str">
        <f t="array" ref="E3719">_xlfn.XLOOKUP(A3719,Product!A:A,Product!B:B,"Bulunamadı")</f>
        <v>Law</v>
      </c>
      <c r="F3719" s="1" t="str">
        <f t="array" ref="F3719">_xlfn.XLOOKUP(A3719,Product!A:A,Product!C:C,"Bulunamadı")</f>
        <v>Web Development</v>
      </c>
      <c r="G3719" s="2" t="str">
        <f t="array" ref="G3719">_xlfn.XLOOKUP(A3720,Product!A:A,Product!D:D,"Bulunamadı")</f>
        <v>Irongate House</v>
      </c>
      <c r="H3719" s="2">
        <f t="array" ref="H3719">_xlfn.XLOOKUP(A3721,Product!A:A,Product!E:E,"Bulunamadı")</f>
        <v>1.37</v>
      </c>
      <c r="I3719" s="2" t="str">
        <f t="shared" si="1"/>
        <v>76341 - Law - Web Development</v>
      </c>
      <c r="J3719" s="2">
        <f t="shared" si="2"/>
        <v>334.28</v>
      </c>
      <c r="K3719" s="17">
        <f t="shared" si="3"/>
        <v>1</v>
      </c>
      <c r="L3719" s="18"/>
    </row>
    <row r="3720" hidden="1">
      <c r="A3720" s="2">
        <f>IFERROR(__xludf.DUMMYFUNCTION("""COMPUTED_VALUE"""),113094.0)</f>
        <v>113094</v>
      </c>
      <c r="B3720" s="2">
        <f>IFERROR(__xludf.DUMMYFUNCTION("""COMPUTED_VALUE"""),0.0)</f>
        <v>0</v>
      </c>
      <c r="C3720" s="2">
        <f>IFERROR(__xludf.DUMMYFUNCTION("""COMPUTED_VALUE"""),685.0)</f>
        <v>685</v>
      </c>
      <c r="D3720" s="3">
        <f>IFERROR(__xludf.DUMMYFUNCTION("""COMPUTED_VALUE"""),254.0)</f>
        <v>254</v>
      </c>
      <c r="E3720" s="1" t="str">
        <f t="array" ref="E3720">_xlfn.XLOOKUP(A3720,Product!A:A,Product!B:B,"Bulunamadı")</f>
        <v>Law</v>
      </c>
      <c r="F3720" s="1" t="str">
        <f t="array" ref="F3720">_xlfn.XLOOKUP(A3720,Product!A:A,Product!C:C,"Bulunamadı")</f>
        <v>Web Development</v>
      </c>
      <c r="G3720" s="2" t="str">
        <f t="array" ref="G3720">_xlfn.XLOOKUP(A3721,Product!A:A,Product!D:D,"Bulunamadı")</f>
        <v>Irongate House</v>
      </c>
      <c r="H3720" s="2">
        <f t="array" ref="H3720">_xlfn.XLOOKUP(A3722,Product!A:A,Product!E:E,"Bulunamadı")</f>
        <v>6.2</v>
      </c>
      <c r="I3720" s="2" t="str">
        <f t="shared" si="1"/>
        <v>113094 - Law - Web Development</v>
      </c>
      <c r="J3720" s="2">
        <f t="shared" si="2"/>
        <v>1574.8</v>
      </c>
      <c r="K3720" s="17">
        <f t="shared" si="3"/>
        <v>1</v>
      </c>
      <c r="L3720" s="18"/>
    </row>
    <row r="3721" hidden="1">
      <c r="A3721" s="2">
        <f>IFERROR(__xludf.DUMMYFUNCTION("""COMPUTED_VALUE"""),76301.0)</f>
        <v>76301</v>
      </c>
      <c r="B3721" s="2">
        <f>IFERROR(__xludf.DUMMYFUNCTION("""COMPUTED_VALUE"""),0.0)</f>
        <v>0</v>
      </c>
      <c r="C3721" s="2">
        <f>IFERROR(__xludf.DUMMYFUNCTION("""COMPUTED_VALUE"""),207.0)</f>
        <v>207</v>
      </c>
      <c r="D3721" s="3">
        <f>IFERROR(__xludf.DUMMYFUNCTION("""COMPUTED_VALUE"""),122.0)</f>
        <v>122</v>
      </c>
      <c r="E3721" s="1" t="str">
        <f t="array" ref="E3721">_xlfn.XLOOKUP(A3721,Product!A:A,Product!B:B,"Bulunamadı")</f>
        <v>Law</v>
      </c>
      <c r="F3721" s="1" t="str">
        <f t="array" ref="F3721">_xlfn.XLOOKUP(A3721,Product!A:A,Product!C:C,"Bulunamadı")</f>
        <v>Web Development</v>
      </c>
      <c r="G3721" s="2" t="str">
        <f t="array" ref="G3721">_xlfn.XLOOKUP(A3722,Product!A:A,Product!D:D,"Bulunamadı")</f>
        <v>Irongate House</v>
      </c>
      <c r="H3721" s="2">
        <f t="array" ref="H3721">_xlfn.XLOOKUP(A3723,Product!A:A,Product!E:E,"Bulunamadı")</f>
        <v>5.84</v>
      </c>
      <c r="I3721" s="2" t="str">
        <f t="shared" si="1"/>
        <v>76301 - Law - Web Development</v>
      </c>
      <c r="J3721" s="2">
        <f t="shared" si="2"/>
        <v>712.48</v>
      </c>
      <c r="K3721" s="17">
        <f t="shared" si="3"/>
        <v>1</v>
      </c>
      <c r="L3721" s="18"/>
    </row>
    <row r="3722" hidden="1">
      <c r="A3722" s="2">
        <f>IFERROR(__xludf.DUMMYFUNCTION("""COMPUTED_VALUE"""),90844.0)</f>
        <v>90844</v>
      </c>
      <c r="B3722" s="2">
        <f>IFERROR(__xludf.DUMMYFUNCTION("""COMPUTED_VALUE"""),1.0)</f>
        <v>1</v>
      </c>
      <c r="C3722" s="2">
        <f>IFERROR(__xludf.DUMMYFUNCTION("""COMPUTED_VALUE"""),330.0)</f>
        <v>330</v>
      </c>
      <c r="D3722" s="3">
        <f>IFERROR(__xludf.DUMMYFUNCTION("""COMPUTED_VALUE"""),324.0)</f>
        <v>324</v>
      </c>
      <c r="E3722" s="1" t="str">
        <f t="array" ref="E3722">_xlfn.XLOOKUP(A3722,Product!A:A,Product!B:B,"Bulunamadı")</f>
        <v>Law</v>
      </c>
      <c r="F3722" s="1" t="str">
        <f t="array" ref="F3722">_xlfn.XLOOKUP(A3722,Product!A:A,Product!C:C,"Bulunamadı")</f>
        <v>Web Development</v>
      </c>
      <c r="G3722" s="2" t="str">
        <f t="array" ref="G3722">_xlfn.XLOOKUP(A3723,Product!A:A,Product!D:D,"Bulunamadı")</f>
        <v>Irongate House</v>
      </c>
      <c r="H3722" s="2">
        <f t="array" ref="H3722">_xlfn.XLOOKUP(A3724,Product!A:A,Product!E:E,"Bulunamadı")</f>
        <v>1.22</v>
      </c>
      <c r="I3722" s="2" t="str">
        <f t="shared" si="1"/>
        <v>90844 - Law - Web Development</v>
      </c>
      <c r="J3722" s="2">
        <f t="shared" si="2"/>
        <v>395.28</v>
      </c>
      <c r="K3722" s="17">
        <f t="shared" si="3"/>
        <v>1</v>
      </c>
      <c r="L3722" s="18"/>
    </row>
    <row r="3723" hidden="1">
      <c r="A3723" s="2">
        <f>IFERROR(__xludf.DUMMYFUNCTION("""COMPUTED_VALUE"""),90848.0)</f>
        <v>90848</v>
      </c>
      <c r="B3723" s="2">
        <f>IFERROR(__xludf.DUMMYFUNCTION("""COMPUTED_VALUE"""),0.0)</f>
        <v>0</v>
      </c>
      <c r="C3723" s="2">
        <f>IFERROR(__xludf.DUMMYFUNCTION("""COMPUTED_VALUE"""),724.0)</f>
        <v>724</v>
      </c>
      <c r="D3723" s="3">
        <f>IFERROR(__xludf.DUMMYFUNCTION("""COMPUTED_VALUE"""),81.0)</f>
        <v>81</v>
      </c>
      <c r="E3723" s="1" t="str">
        <f t="array" ref="E3723">_xlfn.XLOOKUP(A3723,Product!A:A,Product!B:B,"Bulunamadı")</f>
        <v>Law</v>
      </c>
      <c r="F3723" s="1" t="str">
        <f t="array" ref="F3723">_xlfn.XLOOKUP(A3723,Product!A:A,Product!C:C,"Bulunamadı")</f>
        <v>Web Development</v>
      </c>
      <c r="G3723" s="2" t="str">
        <f t="array" ref="G3723">_xlfn.XLOOKUP(A3724,Product!A:A,Product!D:D,"Bulunamadı")</f>
        <v>Irongate House</v>
      </c>
      <c r="H3723" s="2">
        <f t="array" ref="H3723">_xlfn.XLOOKUP(A3725,Product!A:A,Product!E:E,"Bulunamadı")</f>
        <v>1.45</v>
      </c>
      <c r="I3723" s="2" t="str">
        <f t="shared" si="1"/>
        <v>90848 - Law - Web Development</v>
      </c>
      <c r="J3723" s="2">
        <f t="shared" si="2"/>
        <v>117.45</v>
      </c>
      <c r="K3723" s="17">
        <f t="shared" si="3"/>
        <v>1</v>
      </c>
      <c r="L3723" s="18"/>
    </row>
    <row r="3724" hidden="1">
      <c r="A3724" s="2">
        <f>IFERROR(__xludf.DUMMYFUNCTION("""COMPUTED_VALUE"""),76318.0)</f>
        <v>76318</v>
      </c>
      <c r="B3724" s="2">
        <f>IFERROR(__xludf.DUMMYFUNCTION("""COMPUTED_VALUE"""),0.0)</f>
        <v>0</v>
      </c>
      <c r="C3724" s="2">
        <f>IFERROR(__xludf.DUMMYFUNCTION("""COMPUTED_VALUE"""),474.0)</f>
        <v>474</v>
      </c>
      <c r="D3724" s="3">
        <f>IFERROR(__xludf.DUMMYFUNCTION("""COMPUTED_VALUE"""),133.0)</f>
        <v>133</v>
      </c>
      <c r="E3724" s="1" t="str">
        <f t="array" ref="E3724">_xlfn.XLOOKUP(A3724,Product!A:A,Product!B:B,"Bulunamadı")</f>
        <v>Law</v>
      </c>
      <c r="F3724" s="1" t="str">
        <f t="array" ref="F3724">_xlfn.XLOOKUP(A3724,Product!A:A,Product!C:C,"Bulunamadı")</f>
        <v>Web Development</v>
      </c>
      <c r="G3724" s="2" t="str">
        <f t="array" ref="G3724">_xlfn.XLOOKUP(A3725,Product!A:A,Product!D:D,"Bulunamadı")</f>
        <v>Silvertree Press</v>
      </c>
      <c r="H3724" s="2">
        <f t="array" ref="H3724">_xlfn.XLOOKUP(A3726,Product!A:A,Product!E:E,"Bulunamadı")</f>
        <v>4.58</v>
      </c>
      <c r="I3724" s="2" t="str">
        <f t="shared" si="1"/>
        <v>76318 - Law - Web Development</v>
      </c>
      <c r="J3724" s="2">
        <f t="shared" si="2"/>
        <v>609.14</v>
      </c>
      <c r="K3724" s="17">
        <f t="shared" si="3"/>
        <v>1</v>
      </c>
      <c r="L3724" s="18"/>
    </row>
    <row r="3725" hidden="1">
      <c r="A3725" s="2">
        <f>IFERROR(__xludf.DUMMYFUNCTION("""COMPUTED_VALUE"""),118885.0)</f>
        <v>118885</v>
      </c>
      <c r="B3725" s="2">
        <f>IFERROR(__xludf.DUMMYFUNCTION("""COMPUTED_VALUE"""),1.0)</f>
        <v>1</v>
      </c>
      <c r="C3725" s="2">
        <f>IFERROR(__xludf.DUMMYFUNCTION("""COMPUTED_VALUE"""),271.0)</f>
        <v>271</v>
      </c>
      <c r="D3725" s="3">
        <f>IFERROR(__xludf.DUMMYFUNCTION("""COMPUTED_VALUE"""),102.0)</f>
        <v>102</v>
      </c>
      <c r="E3725" s="1" t="str">
        <f t="array" ref="E3725">_xlfn.XLOOKUP(A3725,Product!A:A,Product!B:B,"Bulunamadı")</f>
        <v>Law</v>
      </c>
      <c r="F3725" s="1" t="str">
        <f t="array" ref="F3725">_xlfn.XLOOKUP(A3725,Product!A:A,Product!C:C,"Bulunamadı")</f>
        <v>Web Development</v>
      </c>
      <c r="G3725" s="2" t="str">
        <f t="array" ref="G3725">_xlfn.XLOOKUP(A3726,Product!A:A,Product!D:D,"Bulunamadı")</f>
        <v>Silvertree Press</v>
      </c>
      <c r="H3725" s="2">
        <f t="array" ref="H3725">_xlfn.XLOOKUP(A3727,Product!A:A,Product!E:E,"Bulunamadı")</f>
        <v>4.14</v>
      </c>
      <c r="I3725" s="2" t="str">
        <f t="shared" si="1"/>
        <v>118885 - Law - Web Development</v>
      </c>
      <c r="J3725" s="2">
        <f t="shared" si="2"/>
        <v>422.28</v>
      </c>
      <c r="K3725" s="17">
        <f t="shared" si="3"/>
        <v>1</v>
      </c>
      <c r="L3725" s="18"/>
    </row>
    <row r="3726" hidden="1">
      <c r="A3726" s="2">
        <f>IFERROR(__xludf.DUMMYFUNCTION("""COMPUTED_VALUE"""),76349.0)</f>
        <v>76349</v>
      </c>
      <c r="B3726" s="2">
        <f>IFERROR(__xludf.DUMMYFUNCTION("""COMPUTED_VALUE"""),1.0)</f>
        <v>1</v>
      </c>
      <c r="C3726" s="2">
        <f>IFERROR(__xludf.DUMMYFUNCTION("""COMPUTED_VALUE"""),402.0)</f>
        <v>402</v>
      </c>
      <c r="D3726" s="3">
        <f>IFERROR(__xludf.DUMMYFUNCTION("""COMPUTED_VALUE"""),346.0)</f>
        <v>346</v>
      </c>
      <c r="E3726" s="1" t="str">
        <f t="array" ref="E3726">_xlfn.XLOOKUP(A3726,Product!A:A,Product!B:B,"Bulunamadı")</f>
        <v>Law</v>
      </c>
      <c r="F3726" s="1" t="str">
        <f t="array" ref="F3726">_xlfn.XLOOKUP(A3726,Product!A:A,Product!C:C,"Bulunamadı")</f>
        <v>Web Development</v>
      </c>
      <c r="G3726" s="2" t="str">
        <f t="array" ref="G3726">_xlfn.XLOOKUP(A3727,Product!A:A,Product!D:D,"Bulunamadı")</f>
        <v>Silvertree Press</v>
      </c>
      <c r="H3726" s="2">
        <f t="array" ref="H3726">_xlfn.XLOOKUP(A3728,Product!A:A,Product!E:E,"Bulunamadı")</f>
        <v>3.86</v>
      </c>
      <c r="I3726" s="2" t="str">
        <f t="shared" si="1"/>
        <v>76349 - Law - Web Development</v>
      </c>
      <c r="J3726" s="2">
        <f t="shared" si="2"/>
        <v>1335.56</v>
      </c>
      <c r="K3726" s="17">
        <f t="shared" si="3"/>
        <v>1</v>
      </c>
      <c r="L3726" s="18"/>
    </row>
    <row r="3727" hidden="1">
      <c r="A3727" s="2">
        <f>IFERROR(__xludf.DUMMYFUNCTION("""COMPUTED_VALUE"""),30878.0)</f>
        <v>30878</v>
      </c>
      <c r="B3727" s="2">
        <f>IFERROR(__xludf.DUMMYFUNCTION("""COMPUTED_VALUE"""),1.0)</f>
        <v>1</v>
      </c>
      <c r="C3727" s="2">
        <f>IFERROR(__xludf.DUMMYFUNCTION("""COMPUTED_VALUE"""),909.0)</f>
        <v>909</v>
      </c>
      <c r="D3727" s="3">
        <f>IFERROR(__xludf.DUMMYFUNCTION("""COMPUTED_VALUE"""),213.0)</f>
        <v>213</v>
      </c>
      <c r="E3727" s="1" t="str">
        <f t="array" ref="E3727">_xlfn.XLOOKUP(A3727,Product!A:A,Product!B:B,"Bulunamadı")</f>
        <v>Law</v>
      </c>
      <c r="F3727" s="1" t="str">
        <f t="array" ref="F3727">_xlfn.XLOOKUP(A3727,Product!A:A,Product!C:C,"Bulunamadı")</f>
        <v>Web Development</v>
      </c>
      <c r="G3727" s="2" t="str">
        <f t="array" ref="G3727">_xlfn.XLOOKUP(A3728,Product!A:A,Product!D:D,"Bulunamadı")</f>
        <v>Silvertree Press</v>
      </c>
      <c r="H3727" s="2">
        <f t="array" ref="H3727">_xlfn.XLOOKUP(A3729,Product!A:A,Product!E:E,"Bulunamadı")</f>
        <v>1.84</v>
      </c>
      <c r="I3727" s="2" t="str">
        <f t="shared" si="1"/>
        <v>30878 - Law - Web Development</v>
      </c>
      <c r="J3727" s="2">
        <f t="shared" si="2"/>
        <v>391.92</v>
      </c>
      <c r="K3727" s="17">
        <f t="shared" si="3"/>
        <v>1</v>
      </c>
      <c r="L3727" s="18"/>
    </row>
    <row r="3728" hidden="1">
      <c r="A3728" s="2">
        <f>IFERROR(__xludf.DUMMYFUNCTION("""COMPUTED_VALUE"""),104176.0)</f>
        <v>104176</v>
      </c>
      <c r="B3728" s="2">
        <f>IFERROR(__xludf.DUMMYFUNCTION("""COMPUTED_VALUE"""),0.0)</f>
        <v>0</v>
      </c>
      <c r="C3728" s="2">
        <f>IFERROR(__xludf.DUMMYFUNCTION("""COMPUTED_VALUE"""),496.0)</f>
        <v>496</v>
      </c>
      <c r="D3728" s="3">
        <f>IFERROR(__xludf.DUMMYFUNCTION("""COMPUTED_VALUE"""),231.0)</f>
        <v>231</v>
      </c>
      <c r="E3728" s="1" t="str">
        <f t="array" ref="E3728">_xlfn.XLOOKUP(A3728,Product!A:A,Product!B:B,"Bulunamadı")</f>
        <v>Law</v>
      </c>
      <c r="F3728" s="1" t="str">
        <f t="array" ref="F3728">_xlfn.XLOOKUP(A3728,Product!A:A,Product!C:C,"Bulunamadı")</f>
        <v>Web Development</v>
      </c>
      <c r="G3728" s="2" t="str">
        <f t="array" ref="G3728">_xlfn.XLOOKUP(A3729,Product!A:A,Product!D:D,"Bulunamadı")</f>
        <v>Silvertree Press</v>
      </c>
      <c r="H3728" s="2">
        <f t="array" ref="H3728">_xlfn.XLOOKUP(A3730,Product!A:A,Product!E:E,"Bulunamadı")</f>
        <v>2.21</v>
      </c>
      <c r="I3728" s="2" t="str">
        <f t="shared" si="1"/>
        <v>104176 - Law - Web Development</v>
      </c>
      <c r="J3728" s="2">
        <f t="shared" si="2"/>
        <v>510.51</v>
      </c>
      <c r="K3728" s="17">
        <f t="shared" si="3"/>
        <v>1</v>
      </c>
      <c r="L3728" s="18"/>
    </row>
    <row r="3729" hidden="1">
      <c r="A3729" s="2">
        <f>IFERROR(__xludf.DUMMYFUNCTION("""COMPUTED_VALUE"""),78516.0)</f>
        <v>78516</v>
      </c>
      <c r="B3729" s="2">
        <f>IFERROR(__xludf.DUMMYFUNCTION("""COMPUTED_VALUE"""),1.0)</f>
        <v>1</v>
      </c>
      <c r="C3729" s="2">
        <f>IFERROR(__xludf.DUMMYFUNCTION("""COMPUTED_VALUE"""),895.0)</f>
        <v>895</v>
      </c>
      <c r="D3729" s="3">
        <f>IFERROR(__xludf.DUMMYFUNCTION("""COMPUTED_VALUE"""),366.0)</f>
        <v>366</v>
      </c>
      <c r="E3729" s="1" t="str">
        <f t="array" ref="E3729">_xlfn.XLOOKUP(A3729,Product!A:A,Product!B:B,"Bulunamadı")</f>
        <v>Law</v>
      </c>
      <c r="F3729" s="1" t="str">
        <f t="array" ref="F3729">_xlfn.XLOOKUP(A3729,Product!A:A,Product!C:C,"Bulunamadı")</f>
        <v>Web Development</v>
      </c>
      <c r="G3729" s="2" t="str">
        <f t="array" ref="G3729">_xlfn.XLOOKUP(A3730,Product!A:A,Product!D:D,"Bulunamadı")</f>
        <v>Silvertree Press</v>
      </c>
      <c r="H3729" s="2">
        <f t="array" ref="H3729">_xlfn.XLOOKUP(A3731,Product!A:A,Product!E:E,"Bulunamadı")</f>
        <v>1.29</v>
      </c>
      <c r="I3729" s="2" t="str">
        <f t="shared" si="1"/>
        <v>78516 - Law - Web Development</v>
      </c>
      <c r="J3729" s="2">
        <f t="shared" si="2"/>
        <v>472.14</v>
      </c>
      <c r="K3729" s="17">
        <f t="shared" si="3"/>
        <v>1</v>
      </c>
      <c r="L3729" s="18"/>
    </row>
    <row r="3730" hidden="1">
      <c r="A3730" s="2">
        <f>IFERROR(__xludf.DUMMYFUNCTION("""COMPUTED_VALUE"""),118884.0)</f>
        <v>118884</v>
      </c>
      <c r="B3730" s="2">
        <f>IFERROR(__xludf.DUMMYFUNCTION("""COMPUTED_VALUE"""),0.0)</f>
        <v>0</v>
      </c>
      <c r="C3730" s="2">
        <f>IFERROR(__xludf.DUMMYFUNCTION("""COMPUTED_VALUE"""),407.0)</f>
        <v>407</v>
      </c>
      <c r="D3730" s="3">
        <f>IFERROR(__xludf.DUMMYFUNCTION("""COMPUTED_VALUE"""),84.0)</f>
        <v>84</v>
      </c>
      <c r="E3730" s="1" t="str">
        <f t="array" ref="E3730">_xlfn.XLOOKUP(A3730,Product!A:A,Product!B:B,"Bulunamadı")</f>
        <v>Law</v>
      </c>
      <c r="F3730" s="1" t="str">
        <f t="array" ref="F3730">_xlfn.XLOOKUP(A3730,Product!A:A,Product!C:C,"Bulunamadı")</f>
        <v>Web Development</v>
      </c>
      <c r="G3730" s="2" t="str">
        <f t="array" ref="G3730">_xlfn.XLOOKUP(A3731,Product!A:A,Product!D:D,"Bulunamadı")</f>
        <v>Silvertree Press</v>
      </c>
      <c r="H3730" s="2">
        <f t="array" ref="H3730">_xlfn.XLOOKUP(A3732,Product!A:A,Product!E:E,"Bulunamadı")</f>
        <v>3.82</v>
      </c>
      <c r="I3730" s="2" t="str">
        <f t="shared" si="1"/>
        <v>118884 - Law - Web Development</v>
      </c>
      <c r="J3730" s="2">
        <f t="shared" si="2"/>
        <v>320.88</v>
      </c>
      <c r="K3730" s="17">
        <f t="shared" si="3"/>
        <v>1</v>
      </c>
      <c r="L3730" s="18"/>
    </row>
    <row r="3731" hidden="1">
      <c r="A3731" s="2">
        <f>IFERROR(__xludf.DUMMYFUNCTION("""COMPUTED_VALUE"""),119239.0)</f>
        <v>119239</v>
      </c>
      <c r="B3731" s="2">
        <f>IFERROR(__xludf.DUMMYFUNCTION("""COMPUTED_VALUE"""),1.0)</f>
        <v>1</v>
      </c>
      <c r="C3731" s="2">
        <f>IFERROR(__xludf.DUMMYFUNCTION("""COMPUTED_VALUE"""),439.0)</f>
        <v>439</v>
      </c>
      <c r="D3731" s="3">
        <f>IFERROR(__xludf.DUMMYFUNCTION("""COMPUTED_VALUE"""),312.0)</f>
        <v>312</v>
      </c>
      <c r="E3731" s="1" t="str">
        <f t="array" ref="E3731">_xlfn.XLOOKUP(A3731,Product!A:A,Product!B:B,"Bulunamadı")</f>
        <v>Law</v>
      </c>
      <c r="F3731" s="1" t="str">
        <f t="array" ref="F3731">_xlfn.XLOOKUP(A3731,Product!A:A,Product!C:C,"Bulunamadı")</f>
        <v>Web Development</v>
      </c>
      <c r="G3731" s="2" t="str">
        <f t="array" ref="G3731">_xlfn.XLOOKUP(A3732,Product!A:A,Product!D:D,"Bulunamadı")</f>
        <v>Silvertree Press</v>
      </c>
      <c r="H3731" s="2">
        <f t="array" ref="H3731">_xlfn.XLOOKUP(A3733,Product!A:A,Product!E:E,"Bulunamadı")</f>
        <v>4.06</v>
      </c>
      <c r="I3731" s="2" t="str">
        <f t="shared" si="1"/>
        <v>119239 - Law - Web Development</v>
      </c>
      <c r="J3731" s="2">
        <f t="shared" si="2"/>
        <v>1266.72</v>
      </c>
      <c r="K3731" s="17">
        <f t="shared" si="3"/>
        <v>1</v>
      </c>
      <c r="L3731" s="18"/>
    </row>
    <row r="3732" hidden="1">
      <c r="A3732" s="2">
        <f>IFERROR(__xludf.DUMMYFUNCTION("""COMPUTED_VALUE"""),30875.0)</f>
        <v>30875</v>
      </c>
      <c r="B3732" s="2">
        <f>IFERROR(__xludf.DUMMYFUNCTION("""COMPUTED_VALUE"""),1.0)</f>
        <v>1</v>
      </c>
      <c r="C3732" s="2">
        <f>IFERROR(__xludf.DUMMYFUNCTION("""COMPUTED_VALUE"""),81.0)</f>
        <v>81</v>
      </c>
      <c r="D3732" s="3">
        <f>IFERROR(__xludf.DUMMYFUNCTION("""COMPUTED_VALUE"""),5.0)</f>
        <v>5</v>
      </c>
      <c r="E3732" s="1" t="str">
        <f t="array" ref="E3732">_xlfn.XLOOKUP(A3732,Product!A:A,Product!B:B,"Bulunamadı")</f>
        <v>Law</v>
      </c>
      <c r="F3732" s="1" t="str">
        <f t="array" ref="F3732">_xlfn.XLOOKUP(A3732,Product!A:A,Product!C:C,"Bulunamadı")</f>
        <v>Web Development</v>
      </c>
      <c r="G3732" s="2" t="str">
        <f t="array" ref="G3732">_xlfn.XLOOKUP(A3733,Product!A:A,Product!D:D,"Bulunamadı")</f>
        <v>Silvertree Press</v>
      </c>
      <c r="H3732" s="2">
        <f t="array" ref="H3732">_xlfn.XLOOKUP(A3734,Product!A:A,Product!E:E,"Bulunamadı")</f>
        <v>1.11</v>
      </c>
      <c r="I3732" s="2" t="str">
        <f t="shared" si="1"/>
        <v>30875 - Law - Web Development</v>
      </c>
      <c r="J3732" s="2">
        <f t="shared" si="2"/>
        <v>5.55</v>
      </c>
      <c r="K3732" s="17">
        <f t="shared" si="3"/>
        <v>1</v>
      </c>
      <c r="L3732" s="18"/>
    </row>
    <row r="3733" hidden="1">
      <c r="A3733" s="2">
        <f>IFERROR(__xludf.DUMMYFUNCTION("""COMPUTED_VALUE"""),73946.0)</f>
        <v>73946</v>
      </c>
      <c r="B3733" s="2">
        <f>IFERROR(__xludf.DUMMYFUNCTION("""COMPUTED_VALUE"""),1.0)</f>
        <v>1</v>
      </c>
      <c r="C3733" s="2">
        <f>IFERROR(__xludf.DUMMYFUNCTION("""COMPUTED_VALUE"""),335.0)</f>
        <v>335</v>
      </c>
      <c r="D3733" s="3">
        <f>IFERROR(__xludf.DUMMYFUNCTION("""COMPUTED_VALUE"""),103.0)</f>
        <v>103</v>
      </c>
      <c r="E3733" s="1" t="str">
        <f t="array" ref="E3733">_xlfn.XLOOKUP(A3733,Product!A:A,Product!B:B,"Bulunamadı")</f>
        <v>Law</v>
      </c>
      <c r="F3733" s="1" t="str">
        <f t="array" ref="F3733">_xlfn.XLOOKUP(A3733,Product!A:A,Product!C:C,"Bulunamadı")</f>
        <v>Web Development</v>
      </c>
      <c r="G3733" s="2" t="str">
        <f t="array" ref="G3733">_xlfn.XLOOKUP(A3734,Product!A:A,Product!D:D,"Bulunamadı")</f>
        <v>Northtree Publishing</v>
      </c>
      <c r="H3733" s="2">
        <f t="array" ref="H3733">_xlfn.XLOOKUP(A3735,Product!A:A,Product!E:E,"Bulunamadı")</f>
        <v>0.87</v>
      </c>
      <c r="I3733" s="2" t="str">
        <f t="shared" si="1"/>
        <v>73946 - Law - Web Development</v>
      </c>
      <c r="J3733" s="2">
        <f t="shared" si="2"/>
        <v>89.61</v>
      </c>
      <c r="K3733" s="17">
        <f t="shared" si="3"/>
        <v>1</v>
      </c>
      <c r="L3733" s="18"/>
    </row>
    <row r="3734" hidden="1">
      <c r="A3734" s="2">
        <f>IFERROR(__xludf.DUMMYFUNCTION("""COMPUTED_VALUE"""),90690.0)</f>
        <v>90690</v>
      </c>
      <c r="B3734" s="2">
        <f>IFERROR(__xludf.DUMMYFUNCTION("""COMPUTED_VALUE"""),0.0)</f>
        <v>0</v>
      </c>
      <c r="C3734" s="2">
        <f>IFERROR(__xludf.DUMMYFUNCTION("""COMPUTED_VALUE"""),702.0)</f>
        <v>702</v>
      </c>
      <c r="D3734" s="3">
        <f>IFERROR(__xludf.DUMMYFUNCTION("""COMPUTED_VALUE"""),305.0)</f>
        <v>305</v>
      </c>
      <c r="E3734" s="1" t="str">
        <f t="array" ref="E3734">_xlfn.XLOOKUP(A3734,Product!A:A,Product!B:B,"Bulunamadı")</f>
        <v>Law</v>
      </c>
      <c r="F3734" s="1" t="str">
        <f t="array" ref="F3734">_xlfn.XLOOKUP(A3734,Product!A:A,Product!C:C,"Bulunamadı")</f>
        <v>Web Development</v>
      </c>
      <c r="G3734" s="2" t="str">
        <f t="array" ref="G3734">_xlfn.XLOOKUP(A3735,Product!A:A,Product!D:D,"Bulunamadı")</f>
        <v>Northtree Publishing</v>
      </c>
      <c r="H3734" s="2">
        <f t="array" ref="H3734">_xlfn.XLOOKUP(A3736,Product!A:A,Product!E:E,"Bulunamadı")</f>
        <v>1.22</v>
      </c>
      <c r="I3734" s="2" t="str">
        <f t="shared" si="1"/>
        <v>90690 - Law - Web Development</v>
      </c>
      <c r="J3734" s="2">
        <f t="shared" si="2"/>
        <v>372.1</v>
      </c>
      <c r="K3734" s="17">
        <f t="shared" si="3"/>
        <v>1</v>
      </c>
      <c r="L3734" s="18"/>
    </row>
    <row r="3735" hidden="1">
      <c r="A3735" s="2">
        <f>IFERROR(__xludf.DUMMYFUNCTION("""COMPUTED_VALUE"""),101380.0)</f>
        <v>101380</v>
      </c>
      <c r="B3735" s="2">
        <f>IFERROR(__xludf.DUMMYFUNCTION("""COMPUTED_VALUE"""),0.0)</f>
        <v>0</v>
      </c>
      <c r="C3735" s="2">
        <f>IFERROR(__xludf.DUMMYFUNCTION("""COMPUTED_VALUE"""),843.0)</f>
        <v>843</v>
      </c>
      <c r="D3735" s="3">
        <f>IFERROR(__xludf.DUMMYFUNCTION("""COMPUTED_VALUE"""),811.0)</f>
        <v>811</v>
      </c>
      <c r="E3735" s="1" t="str">
        <f t="array" ref="E3735">_xlfn.XLOOKUP(A3735,Product!A:A,Product!B:B,"Bulunamadı")</f>
        <v>Law</v>
      </c>
      <c r="F3735" s="1" t="str">
        <f t="array" ref="F3735">_xlfn.XLOOKUP(A3735,Product!A:A,Product!C:C,"Bulunamadı")</f>
        <v>Web Development</v>
      </c>
      <c r="G3735" s="2" t="str">
        <f t="array" ref="G3735">_xlfn.XLOOKUP(A3736,Product!A:A,Product!D:D,"Bulunamadı")</f>
        <v>Harbortree Books</v>
      </c>
      <c r="H3735" s="2">
        <f t="array" ref="H3735">_xlfn.XLOOKUP(A3737,Product!A:A,Product!E:E,"Bulunamadı")</f>
        <v>2.88</v>
      </c>
      <c r="I3735" s="2" t="str">
        <f t="shared" si="1"/>
        <v>101380 - Law - Web Development</v>
      </c>
      <c r="J3735" s="2">
        <f t="shared" si="2"/>
        <v>2335.68</v>
      </c>
      <c r="K3735" s="17">
        <f t="shared" si="3"/>
        <v>1</v>
      </c>
      <c r="L3735" s="18"/>
    </row>
    <row r="3736" hidden="1">
      <c r="A3736" s="2">
        <f>IFERROR(__xludf.DUMMYFUNCTION("""COMPUTED_VALUE"""),5804.0)</f>
        <v>5804</v>
      </c>
      <c r="B3736" s="2">
        <f>IFERROR(__xludf.DUMMYFUNCTION("""COMPUTED_VALUE"""),0.0)</f>
        <v>0</v>
      </c>
      <c r="C3736" s="2">
        <f>IFERROR(__xludf.DUMMYFUNCTION("""COMPUTED_VALUE"""),466.0)</f>
        <v>466</v>
      </c>
      <c r="D3736" s="3">
        <f>IFERROR(__xludf.DUMMYFUNCTION("""COMPUTED_VALUE"""),409.0)</f>
        <v>409</v>
      </c>
      <c r="E3736" s="1" t="str">
        <f t="array" ref="E3736">_xlfn.XLOOKUP(A3736,Product!A:A,Product!B:B,"Bulunamadı")</f>
        <v>Law</v>
      </c>
      <c r="F3736" s="1" t="str">
        <f t="array" ref="F3736">_xlfn.XLOOKUP(A3736,Product!A:A,Product!C:C,"Bulunamadı")</f>
        <v>Web Development</v>
      </c>
      <c r="G3736" s="2" t="str">
        <f t="array" ref="G3736">_xlfn.XLOOKUP(A3737,Product!A:A,Product!D:D,"Bulunamadı")</f>
        <v>Harbortree Books</v>
      </c>
      <c r="H3736" s="2">
        <f t="array" ref="H3736">_xlfn.XLOOKUP(A3738,Product!A:A,Product!E:E,"Bulunamadı")</f>
        <v>3.66</v>
      </c>
      <c r="I3736" s="2" t="str">
        <f t="shared" si="1"/>
        <v>5804 - Law - Web Development</v>
      </c>
      <c r="J3736" s="2">
        <f t="shared" si="2"/>
        <v>1496.94</v>
      </c>
      <c r="K3736" s="17">
        <f t="shared" si="3"/>
        <v>1</v>
      </c>
      <c r="L3736" s="18"/>
    </row>
    <row r="3737" hidden="1">
      <c r="A3737" s="2">
        <f>IFERROR(__xludf.DUMMYFUNCTION("""COMPUTED_VALUE"""),82372.0)</f>
        <v>82372</v>
      </c>
      <c r="B3737" s="2">
        <f>IFERROR(__xludf.DUMMYFUNCTION("""COMPUTED_VALUE"""),1.0)</f>
        <v>1</v>
      </c>
      <c r="C3737" s="2">
        <f>IFERROR(__xludf.DUMMYFUNCTION("""COMPUTED_VALUE"""),435.0)</f>
        <v>435</v>
      </c>
      <c r="D3737" s="3">
        <f>IFERROR(__xludf.DUMMYFUNCTION("""COMPUTED_VALUE"""),270.0)</f>
        <v>270</v>
      </c>
      <c r="E3737" s="1" t="str">
        <f t="array" ref="E3737">_xlfn.XLOOKUP(A3737,Product!A:A,Product!B:B,"Bulunamadı")</f>
        <v>Law</v>
      </c>
      <c r="F3737" s="1" t="str">
        <f t="array" ref="F3737">_xlfn.XLOOKUP(A3737,Product!A:A,Product!C:C,"Bulunamadı")</f>
        <v>Web Development</v>
      </c>
      <c r="G3737" s="2" t="str">
        <f t="array" ref="G3737">_xlfn.XLOOKUP(A3738,Product!A:A,Product!D:D,"Bulunamadı")</f>
        <v>Harbortree Books</v>
      </c>
      <c r="H3737" s="2">
        <f t="array" ref="H3737">_xlfn.XLOOKUP(A3739,Product!A:A,Product!E:E,"Bulunamadı")</f>
        <v>1.38</v>
      </c>
      <c r="I3737" s="2" t="str">
        <f t="shared" si="1"/>
        <v>82372 - Law - Web Development</v>
      </c>
      <c r="J3737" s="2">
        <f t="shared" si="2"/>
        <v>372.6</v>
      </c>
      <c r="K3737" s="17">
        <f t="shared" si="3"/>
        <v>1</v>
      </c>
      <c r="L3737" s="18"/>
    </row>
    <row r="3738" hidden="1">
      <c r="A3738" s="2">
        <f>IFERROR(__xludf.DUMMYFUNCTION("""COMPUTED_VALUE"""),90643.0)</f>
        <v>90643</v>
      </c>
      <c r="B3738" s="2">
        <f>IFERROR(__xludf.DUMMYFUNCTION("""COMPUTED_VALUE"""),0.0)</f>
        <v>0</v>
      </c>
      <c r="C3738" s="2">
        <f>IFERROR(__xludf.DUMMYFUNCTION("""COMPUTED_VALUE"""),349.0)</f>
        <v>349</v>
      </c>
      <c r="D3738" s="3">
        <f>IFERROR(__xludf.DUMMYFUNCTION("""COMPUTED_VALUE"""),58.0)</f>
        <v>58</v>
      </c>
      <c r="E3738" s="1" t="str">
        <f t="array" ref="E3738">_xlfn.XLOOKUP(A3738,Product!A:A,Product!B:B,"Bulunamadı")</f>
        <v>Law</v>
      </c>
      <c r="F3738" s="1" t="str">
        <f t="array" ref="F3738">_xlfn.XLOOKUP(A3738,Product!A:A,Product!C:C,"Bulunamadı")</f>
        <v>Web Development</v>
      </c>
      <c r="G3738" s="2" t="str">
        <f t="array" ref="G3738">_xlfn.XLOOKUP(A3739,Product!A:A,Product!D:D,"Bulunamadı")</f>
        <v>Harbortree Books</v>
      </c>
      <c r="H3738" s="2">
        <f t="array" ref="H3738">_xlfn.XLOOKUP(A3740,Product!A:A,Product!E:E,"Bulunamadı")</f>
        <v>2.77</v>
      </c>
      <c r="I3738" s="2" t="str">
        <f t="shared" si="1"/>
        <v>90643 - Law - Web Development</v>
      </c>
      <c r="J3738" s="2">
        <f t="shared" si="2"/>
        <v>160.66</v>
      </c>
      <c r="K3738" s="17">
        <f t="shared" si="3"/>
        <v>1</v>
      </c>
      <c r="L3738" s="18"/>
    </row>
    <row r="3739" hidden="1">
      <c r="A3739" s="2">
        <f>IFERROR(__xludf.DUMMYFUNCTION("""COMPUTED_VALUE"""),68412.0)</f>
        <v>68412</v>
      </c>
      <c r="B3739" s="2">
        <f>IFERROR(__xludf.DUMMYFUNCTION("""COMPUTED_VALUE"""),0.0)</f>
        <v>0</v>
      </c>
      <c r="C3739" s="2">
        <f>IFERROR(__xludf.DUMMYFUNCTION("""COMPUTED_VALUE"""),841.0)</f>
        <v>841</v>
      </c>
      <c r="D3739" s="3">
        <f>IFERROR(__xludf.DUMMYFUNCTION("""COMPUTED_VALUE"""),31.0)</f>
        <v>31</v>
      </c>
      <c r="E3739" s="1" t="str">
        <f t="array" ref="E3739">_xlfn.XLOOKUP(A3739,Product!A:A,Product!B:B,"Bulunamadı")</f>
        <v>Law</v>
      </c>
      <c r="F3739" s="1" t="str">
        <f t="array" ref="F3739">_xlfn.XLOOKUP(A3739,Product!A:A,Product!C:C,"Bulunamadı")</f>
        <v>Web Development</v>
      </c>
      <c r="G3739" s="2" t="str">
        <f t="array" ref="G3739">_xlfn.XLOOKUP(A3740,Product!A:A,Product!D:D,"Bulunamadı")</f>
        <v>Harbortree Books</v>
      </c>
      <c r="H3739" s="2">
        <f t="array" ref="H3739">_xlfn.XLOOKUP(A3741,Product!A:A,Product!E:E,"Bulunamadı")</f>
        <v>1.49</v>
      </c>
      <c r="I3739" s="2" t="str">
        <f t="shared" si="1"/>
        <v>68412 - Law - Web Development</v>
      </c>
      <c r="J3739" s="2">
        <f t="shared" si="2"/>
        <v>46.19</v>
      </c>
      <c r="K3739" s="17">
        <f t="shared" si="3"/>
        <v>1</v>
      </c>
      <c r="L3739" s="18"/>
    </row>
    <row r="3740" hidden="1">
      <c r="A3740" s="2">
        <f>IFERROR(__xludf.DUMMYFUNCTION("""COMPUTED_VALUE"""),82393.0)</f>
        <v>82393</v>
      </c>
      <c r="B3740" s="2">
        <f>IFERROR(__xludf.DUMMYFUNCTION("""COMPUTED_VALUE"""),1.0)</f>
        <v>1</v>
      </c>
      <c r="C3740" s="2">
        <f>IFERROR(__xludf.DUMMYFUNCTION("""COMPUTED_VALUE"""),986.0)</f>
        <v>986</v>
      </c>
      <c r="D3740" s="3">
        <f>IFERROR(__xludf.DUMMYFUNCTION("""COMPUTED_VALUE"""),971.0)</f>
        <v>971</v>
      </c>
      <c r="E3740" s="1" t="str">
        <f t="array" ref="E3740">_xlfn.XLOOKUP(A3740,Product!A:A,Product!B:B,"Bulunamadı")</f>
        <v>Law</v>
      </c>
      <c r="F3740" s="1" t="str">
        <f t="array" ref="F3740">_xlfn.XLOOKUP(A3740,Product!A:A,Product!C:C,"Bulunamadı")</f>
        <v>Web Development</v>
      </c>
      <c r="G3740" s="2" t="str">
        <f t="array" ref="G3740">_xlfn.XLOOKUP(A3741,Product!A:A,Product!D:D,"Bulunamadı")</f>
        <v>Harbortree Books</v>
      </c>
      <c r="H3740" s="2">
        <f t="array" ref="H3740">_xlfn.XLOOKUP(A3742,Product!A:A,Product!E:E,"Bulunamadı")</f>
        <v>1.65</v>
      </c>
      <c r="I3740" s="2" t="str">
        <f t="shared" si="1"/>
        <v>82393 - Law - Web Development</v>
      </c>
      <c r="J3740" s="2">
        <f t="shared" si="2"/>
        <v>1602.15</v>
      </c>
      <c r="K3740" s="17">
        <f t="shared" si="3"/>
        <v>1</v>
      </c>
      <c r="L3740" s="18"/>
    </row>
    <row r="3741" hidden="1">
      <c r="A3741" s="2">
        <f>IFERROR(__xludf.DUMMYFUNCTION("""COMPUTED_VALUE"""),5803.0)</f>
        <v>5803</v>
      </c>
      <c r="B3741" s="2">
        <f>IFERROR(__xludf.DUMMYFUNCTION("""COMPUTED_VALUE"""),0.0)</f>
        <v>0</v>
      </c>
      <c r="C3741" s="2">
        <f>IFERROR(__xludf.DUMMYFUNCTION("""COMPUTED_VALUE"""),37.0)</f>
        <v>37</v>
      </c>
      <c r="D3741" s="3">
        <f>IFERROR(__xludf.DUMMYFUNCTION("""COMPUTED_VALUE"""),37.0)</f>
        <v>37</v>
      </c>
      <c r="E3741" s="1" t="str">
        <f t="array" ref="E3741">_xlfn.XLOOKUP(A3741,Product!A:A,Product!B:B,"Bulunamadı")</f>
        <v>Law</v>
      </c>
      <c r="F3741" s="1" t="str">
        <f t="array" ref="F3741">_xlfn.XLOOKUP(A3741,Product!A:A,Product!C:C,"Bulunamadı")</f>
        <v>Web Development</v>
      </c>
      <c r="G3741" s="2" t="str">
        <f t="array" ref="G3741">_xlfn.XLOOKUP(A3742,Product!A:A,Product!D:D,"Bulunamadı")</f>
        <v>Harbortree Books</v>
      </c>
      <c r="H3741" s="2">
        <f t="array" ref="H3741">_xlfn.XLOOKUP(A3743,Product!A:A,Product!E:E,"Bulunamadı")</f>
        <v>1.37</v>
      </c>
      <c r="I3741" s="2" t="str">
        <f t="shared" si="1"/>
        <v>5803 - Law - Web Development</v>
      </c>
      <c r="J3741" s="2">
        <f t="shared" si="2"/>
        <v>50.69</v>
      </c>
      <c r="K3741" s="17">
        <f t="shared" si="3"/>
        <v>1</v>
      </c>
      <c r="L3741" s="18"/>
    </row>
    <row r="3742" hidden="1">
      <c r="A3742" s="2">
        <f>IFERROR(__xludf.DUMMYFUNCTION("""COMPUTED_VALUE"""),121706.0)</f>
        <v>121706</v>
      </c>
      <c r="B3742" s="2">
        <f>IFERROR(__xludf.DUMMYFUNCTION("""COMPUTED_VALUE"""),1.0)</f>
        <v>1</v>
      </c>
      <c r="C3742" s="2">
        <f>IFERROR(__xludf.DUMMYFUNCTION("""COMPUTED_VALUE"""),295.0)</f>
        <v>295</v>
      </c>
      <c r="D3742" s="3">
        <f>IFERROR(__xludf.DUMMYFUNCTION("""COMPUTED_VALUE"""),162.0)</f>
        <v>162</v>
      </c>
      <c r="E3742" s="1" t="str">
        <f t="array" ref="E3742">_xlfn.XLOOKUP(A3742,Product!A:A,Product!B:B,"Bulunamadı")</f>
        <v>Law</v>
      </c>
      <c r="F3742" s="1" t="str">
        <f t="array" ref="F3742">_xlfn.XLOOKUP(A3742,Product!A:A,Product!C:C,"Bulunamadı")</f>
        <v>Web Development</v>
      </c>
      <c r="G3742" s="2" t="str">
        <f t="array" ref="G3742">_xlfn.XLOOKUP(A3743,Product!A:A,Product!D:D,"Bulunamadı")</f>
        <v>Harbortree Books</v>
      </c>
      <c r="H3742" s="2">
        <f t="array" ref="H3742">_xlfn.XLOOKUP(A3744,Product!A:A,Product!E:E,"Bulunamadı")</f>
        <v>3.33</v>
      </c>
      <c r="I3742" s="2" t="str">
        <f t="shared" si="1"/>
        <v>121706 - Law - Web Development</v>
      </c>
      <c r="J3742" s="2">
        <f t="shared" si="2"/>
        <v>539.46</v>
      </c>
      <c r="K3742" s="17">
        <f t="shared" si="3"/>
        <v>1</v>
      </c>
      <c r="L3742" s="18"/>
    </row>
    <row r="3743" hidden="1">
      <c r="A3743" s="2">
        <f>IFERROR(__xludf.DUMMYFUNCTION("""COMPUTED_VALUE"""),68374.0)</f>
        <v>68374</v>
      </c>
      <c r="B3743" s="2">
        <f>IFERROR(__xludf.DUMMYFUNCTION("""COMPUTED_VALUE"""),0.0)</f>
        <v>0</v>
      </c>
      <c r="C3743" s="2">
        <f>IFERROR(__xludf.DUMMYFUNCTION("""COMPUTED_VALUE"""),74.0)</f>
        <v>74</v>
      </c>
      <c r="D3743" s="3">
        <f>IFERROR(__xludf.DUMMYFUNCTION("""COMPUTED_VALUE"""),56.0)</f>
        <v>56</v>
      </c>
      <c r="E3743" s="1" t="str">
        <f t="array" ref="E3743">_xlfn.XLOOKUP(A3743,Product!A:A,Product!B:B,"Bulunamadı")</f>
        <v>Law</v>
      </c>
      <c r="F3743" s="1" t="str">
        <f t="array" ref="F3743">_xlfn.XLOOKUP(A3743,Product!A:A,Product!C:C,"Bulunamadı")</f>
        <v>Web Development</v>
      </c>
      <c r="G3743" s="2" t="str">
        <f t="array" ref="G3743">_xlfn.XLOOKUP(A3744,Product!A:A,Product!D:D,"Bulunamadı")</f>
        <v>Harbortree Books</v>
      </c>
      <c r="H3743" s="2">
        <f t="array" ref="H3743">_xlfn.XLOOKUP(A3745,Product!A:A,Product!E:E,"Bulunamadı")</f>
        <v>1.83</v>
      </c>
      <c r="I3743" s="2" t="str">
        <f t="shared" si="1"/>
        <v>68374 - Law - Web Development</v>
      </c>
      <c r="J3743" s="2">
        <f t="shared" si="2"/>
        <v>102.48</v>
      </c>
      <c r="K3743" s="17">
        <f t="shared" si="3"/>
        <v>1</v>
      </c>
      <c r="L3743" s="18"/>
    </row>
    <row r="3744" hidden="1">
      <c r="A3744" s="2">
        <f>IFERROR(__xludf.DUMMYFUNCTION("""COMPUTED_VALUE"""),90946.0)</f>
        <v>90946</v>
      </c>
      <c r="B3744" s="2">
        <f>IFERROR(__xludf.DUMMYFUNCTION("""COMPUTED_VALUE"""),0.0)</f>
        <v>0</v>
      </c>
      <c r="C3744" s="2">
        <f>IFERROR(__xludf.DUMMYFUNCTION("""COMPUTED_VALUE"""),764.0)</f>
        <v>764</v>
      </c>
      <c r="D3744" s="3">
        <f>IFERROR(__xludf.DUMMYFUNCTION("""COMPUTED_VALUE"""),464.0)</f>
        <v>464</v>
      </c>
      <c r="E3744" s="1" t="str">
        <f t="array" ref="E3744">_xlfn.XLOOKUP(A3744,Product!A:A,Product!B:B,"Bulunamadı")</f>
        <v>Law</v>
      </c>
      <c r="F3744" s="1" t="str">
        <f t="array" ref="F3744">_xlfn.XLOOKUP(A3744,Product!A:A,Product!C:C,"Bulunamadı")</f>
        <v>Web Development</v>
      </c>
      <c r="G3744" s="2" t="str">
        <f t="array" ref="G3744">_xlfn.XLOOKUP(A3745,Product!A:A,Product!D:D,"Bulunamadı")</f>
        <v>Harbortree Books</v>
      </c>
      <c r="H3744" s="2">
        <f t="array" ref="H3744">_xlfn.XLOOKUP(A3746,Product!A:A,Product!E:E,"Bulunamadı")</f>
        <v>1.56</v>
      </c>
      <c r="I3744" s="2" t="str">
        <f t="shared" si="1"/>
        <v>90946 - Law - Web Development</v>
      </c>
      <c r="J3744" s="2">
        <f t="shared" si="2"/>
        <v>723.84</v>
      </c>
      <c r="K3744" s="17">
        <f t="shared" si="3"/>
        <v>1</v>
      </c>
      <c r="L3744" s="18"/>
    </row>
    <row r="3745" hidden="1">
      <c r="A3745" s="2">
        <f>IFERROR(__xludf.DUMMYFUNCTION("""COMPUTED_VALUE"""),69312.0)</f>
        <v>69312</v>
      </c>
      <c r="B3745" s="2">
        <f>IFERROR(__xludf.DUMMYFUNCTION("""COMPUTED_VALUE"""),1.0)</f>
        <v>1</v>
      </c>
      <c r="C3745" s="2">
        <f>IFERROR(__xludf.DUMMYFUNCTION("""COMPUTED_VALUE"""),78.0)</f>
        <v>78</v>
      </c>
      <c r="D3745" s="3">
        <f>IFERROR(__xludf.DUMMYFUNCTION("""COMPUTED_VALUE"""),64.0)</f>
        <v>64</v>
      </c>
      <c r="E3745" s="1" t="str">
        <f t="array" ref="E3745">_xlfn.XLOOKUP(A3745,Product!A:A,Product!B:B,"Bulunamadı")</f>
        <v>Law</v>
      </c>
      <c r="F3745" s="1" t="str">
        <f t="array" ref="F3745">_xlfn.XLOOKUP(A3745,Product!A:A,Product!C:C,"Bulunamadı")</f>
        <v>Web Development</v>
      </c>
      <c r="G3745" s="2" t="str">
        <f t="array" ref="G3745">_xlfn.XLOOKUP(A3746,Product!A:A,Product!D:D,"Bulunamadı")</f>
        <v>Harbortree Books</v>
      </c>
      <c r="H3745" s="2">
        <f t="array" ref="H3745">_xlfn.XLOOKUP(A3747,Product!A:A,Product!E:E,"Bulunamadı")</f>
        <v>1.95</v>
      </c>
      <c r="I3745" s="2" t="str">
        <f t="shared" si="1"/>
        <v>69312 - Law - Web Development</v>
      </c>
      <c r="J3745" s="2">
        <f t="shared" si="2"/>
        <v>124.8</v>
      </c>
      <c r="K3745" s="17">
        <f t="shared" si="3"/>
        <v>1</v>
      </c>
      <c r="L3745" s="18"/>
    </row>
    <row r="3746" hidden="1">
      <c r="A3746" s="2">
        <f>IFERROR(__xludf.DUMMYFUNCTION("""COMPUTED_VALUE"""),87128.0)</f>
        <v>87128</v>
      </c>
      <c r="B3746" s="2">
        <f>IFERROR(__xludf.DUMMYFUNCTION("""COMPUTED_VALUE"""),0.0)</f>
        <v>0</v>
      </c>
      <c r="C3746" s="2">
        <f>IFERROR(__xludf.DUMMYFUNCTION("""COMPUTED_VALUE"""),594.0)</f>
        <v>594</v>
      </c>
      <c r="D3746" s="3">
        <f>IFERROR(__xludf.DUMMYFUNCTION("""COMPUTED_VALUE"""),339.0)</f>
        <v>339</v>
      </c>
      <c r="E3746" s="1" t="str">
        <f t="array" ref="E3746">_xlfn.XLOOKUP(A3746,Product!A:A,Product!B:B,"Bulunamadı")</f>
        <v>Law</v>
      </c>
      <c r="F3746" s="1" t="str">
        <f t="array" ref="F3746">_xlfn.XLOOKUP(A3746,Product!A:A,Product!C:C,"Bulunamadı")</f>
        <v>Web Development</v>
      </c>
      <c r="G3746" s="2" t="str">
        <f t="array" ref="G3746">_xlfn.XLOOKUP(A3747,Product!A:A,Product!D:D,"Bulunamadı")</f>
        <v>Cedartree Press</v>
      </c>
      <c r="H3746" s="2">
        <f t="array" ref="H3746">_xlfn.XLOOKUP(A3748,Product!A:A,Product!E:E,"Bulunamadı")</f>
        <v>2.93</v>
      </c>
      <c r="I3746" s="2" t="str">
        <f t="shared" si="1"/>
        <v>87128 - Law - Web Development</v>
      </c>
      <c r="J3746" s="2">
        <f t="shared" si="2"/>
        <v>993.27</v>
      </c>
      <c r="K3746" s="17">
        <f t="shared" si="3"/>
        <v>1</v>
      </c>
      <c r="L3746" s="18"/>
    </row>
    <row r="3747" hidden="1">
      <c r="A3747" s="2">
        <f>IFERROR(__xludf.DUMMYFUNCTION("""COMPUTED_VALUE"""),149506.0)</f>
        <v>149506</v>
      </c>
      <c r="B3747" s="2">
        <f>IFERROR(__xludf.DUMMYFUNCTION("""COMPUTED_VALUE"""),0.0)</f>
        <v>0</v>
      </c>
      <c r="C3747" s="2">
        <f>IFERROR(__xludf.DUMMYFUNCTION("""COMPUTED_VALUE"""),12.0)</f>
        <v>12</v>
      </c>
      <c r="D3747" s="3">
        <f>IFERROR(__xludf.DUMMYFUNCTION("""COMPUTED_VALUE"""),3.0)</f>
        <v>3</v>
      </c>
      <c r="E3747" s="1" t="str">
        <f t="array" ref="E3747">_xlfn.XLOOKUP(A3747,Product!A:A,Product!B:B,"Bulunamadı")</f>
        <v>Law</v>
      </c>
      <c r="F3747" s="1" t="str">
        <f t="array" ref="F3747">_xlfn.XLOOKUP(A3747,Product!A:A,Product!C:C,"Bulunamadı")</f>
        <v>Web Development</v>
      </c>
      <c r="G3747" s="2" t="str">
        <f t="array" ref="G3747">_xlfn.XLOOKUP(A3748,Product!A:A,Product!D:D,"Bulunamadı")</f>
        <v>Brighttree Publishing</v>
      </c>
      <c r="H3747" s="2">
        <f t="array" ref="H3747">_xlfn.XLOOKUP(A3749,Product!A:A,Product!E:E,"Bulunamadı")</f>
        <v>2.2</v>
      </c>
      <c r="I3747" s="2" t="str">
        <f t="shared" si="1"/>
        <v>149506 - Law - Web Development</v>
      </c>
      <c r="J3747" s="2">
        <f t="shared" si="2"/>
        <v>6.6</v>
      </c>
      <c r="K3747" s="17">
        <f t="shared" si="3"/>
        <v>1</v>
      </c>
      <c r="L3747" s="18"/>
    </row>
    <row r="3748" hidden="1">
      <c r="A3748" s="2">
        <f>IFERROR(__xludf.DUMMYFUNCTION("""COMPUTED_VALUE"""),5722.0)</f>
        <v>5722</v>
      </c>
      <c r="B3748" s="2">
        <f>IFERROR(__xludf.DUMMYFUNCTION("""COMPUTED_VALUE"""),0.0)</f>
        <v>0</v>
      </c>
      <c r="C3748" s="2">
        <f>IFERROR(__xludf.DUMMYFUNCTION("""COMPUTED_VALUE"""),202.0)</f>
        <v>202</v>
      </c>
      <c r="D3748" s="3">
        <f>IFERROR(__xludf.DUMMYFUNCTION("""COMPUTED_VALUE"""),154.0)</f>
        <v>154</v>
      </c>
      <c r="E3748" s="1" t="str">
        <f t="array" ref="E3748">_xlfn.XLOOKUP(A3748,Product!A:A,Product!B:B,"Bulunamadı")</f>
        <v>Law</v>
      </c>
      <c r="F3748" s="1" t="str">
        <f t="array" ref="F3748">_xlfn.XLOOKUP(A3748,Product!A:A,Product!C:C,"Bulunamadı")</f>
        <v>Web Development</v>
      </c>
      <c r="G3748" s="2" t="str">
        <f t="array" ref="G3748">_xlfn.XLOOKUP(A3749,Product!A:A,Product!D:D,"Bulunamadı")</f>
        <v>Brighttree Publishing</v>
      </c>
      <c r="H3748" s="2">
        <f t="array" ref="H3748">_xlfn.XLOOKUP(A3750,Product!A:A,Product!E:E,"Bulunamadı")</f>
        <v>1.38</v>
      </c>
      <c r="I3748" s="2" t="str">
        <f t="shared" si="1"/>
        <v>5722 - Law - Web Development</v>
      </c>
      <c r="J3748" s="2">
        <f t="shared" si="2"/>
        <v>212.52</v>
      </c>
      <c r="K3748" s="17">
        <f t="shared" si="3"/>
        <v>1</v>
      </c>
      <c r="L3748" s="18"/>
    </row>
    <row r="3749" hidden="1">
      <c r="A3749" s="2">
        <f>IFERROR(__xludf.DUMMYFUNCTION("""COMPUTED_VALUE"""),5697.0)</f>
        <v>5697</v>
      </c>
      <c r="B3749" s="2">
        <f>IFERROR(__xludf.DUMMYFUNCTION("""COMPUTED_VALUE"""),0.0)</f>
        <v>0</v>
      </c>
      <c r="C3749" s="2">
        <f>IFERROR(__xludf.DUMMYFUNCTION("""COMPUTED_VALUE"""),960.0)</f>
        <v>960</v>
      </c>
      <c r="D3749" s="3">
        <f>IFERROR(__xludf.DUMMYFUNCTION("""COMPUTED_VALUE"""),647.0)</f>
        <v>647</v>
      </c>
      <c r="E3749" s="1" t="str">
        <f t="array" ref="E3749">_xlfn.XLOOKUP(A3749,Product!A:A,Product!B:B,"Bulunamadı")</f>
        <v>Law</v>
      </c>
      <c r="F3749" s="1" t="str">
        <f t="array" ref="F3749">_xlfn.XLOOKUP(A3749,Product!A:A,Product!C:C,"Bulunamadı")</f>
        <v>Web Development</v>
      </c>
      <c r="G3749" s="2" t="str">
        <f t="array" ref="G3749">_xlfn.XLOOKUP(A3750,Product!A:A,Product!D:D,"Bulunamadı")</f>
        <v>Brighttree Publishing</v>
      </c>
      <c r="H3749" s="2">
        <f t="array" ref="H3749">_xlfn.XLOOKUP(A3751,Product!A:A,Product!E:E,"Bulunamadı")</f>
        <v>1.8</v>
      </c>
      <c r="I3749" s="2" t="str">
        <f t="shared" si="1"/>
        <v>5697 - Law - Web Development</v>
      </c>
      <c r="J3749" s="2">
        <f t="shared" si="2"/>
        <v>1164.6</v>
      </c>
      <c r="K3749" s="17">
        <f t="shared" si="3"/>
        <v>1</v>
      </c>
      <c r="L3749" s="18"/>
    </row>
    <row r="3750" hidden="1">
      <c r="A3750" s="2">
        <f>IFERROR(__xludf.DUMMYFUNCTION("""COMPUTED_VALUE"""),29117.0)</f>
        <v>29117</v>
      </c>
      <c r="B3750" s="2">
        <f>IFERROR(__xludf.DUMMYFUNCTION("""COMPUTED_VALUE"""),1.0)</f>
        <v>1</v>
      </c>
      <c r="C3750" s="2">
        <f>IFERROR(__xludf.DUMMYFUNCTION("""COMPUTED_VALUE"""),790.0)</f>
        <v>790</v>
      </c>
      <c r="D3750" s="3">
        <f>IFERROR(__xludf.DUMMYFUNCTION("""COMPUTED_VALUE"""),159.0)</f>
        <v>159</v>
      </c>
      <c r="E3750" s="1" t="str">
        <f t="array" ref="E3750">_xlfn.XLOOKUP(A3750,Product!A:A,Product!B:B,"Bulunamadı")</f>
        <v>Law</v>
      </c>
      <c r="F3750" s="1" t="str">
        <f t="array" ref="F3750">_xlfn.XLOOKUP(A3750,Product!A:A,Product!C:C,"Bulunamadı")</f>
        <v>Web Development</v>
      </c>
      <c r="G3750" s="2" t="str">
        <f t="array" ref="G3750">_xlfn.XLOOKUP(A3751,Product!A:A,Product!D:D,"Bulunamadı")</f>
        <v>Brighttree Publishing</v>
      </c>
      <c r="H3750" s="2">
        <f t="array" ref="H3750">_xlfn.XLOOKUP(A3752,Product!A:A,Product!E:E,"Bulunamadı")</f>
        <v>3.41</v>
      </c>
      <c r="I3750" s="2" t="str">
        <f t="shared" si="1"/>
        <v>29117 - Law - Web Development</v>
      </c>
      <c r="J3750" s="2">
        <f t="shared" si="2"/>
        <v>542.19</v>
      </c>
      <c r="K3750" s="17">
        <f t="shared" si="3"/>
        <v>1</v>
      </c>
      <c r="L3750" s="18"/>
    </row>
    <row r="3751" hidden="1">
      <c r="A3751" s="2">
        <f>IFERROR(__xludf.DUMMYFUNCTION("""COMPUTED_VALUE"""),68305.0)</f>
        <v>68305</v>
      </c>
      <c r="B3751" s="2">
        <f>IFERROR(__xludf.DUMMYFUNCTION("""COMPUTED_VALUE"""),1.0)</f>
        <v>1</v>
      </c>
      <c r="C3751" s="2">
        <f>IFERROR(__xludf.DUMMYFUNCTION("""COMPUTED_VALUE"""),345.0)</f>
        <v>345</v>
      </c>
      <c r="D3751" s="3">
        <f>IFERROR(__xludf.DUMMYFUNCTION("""COMPUTED_VALUE"""),313.0)</f>
        <v>313</v>
      </c>
      <c r="E3751" s="1" t="str">
        <f t="array" ref="E3751">_xlfn.XLOOKUP(A3751,Product!A:A,Product!B:B,"Bulunamadı")</f>
        <v>Law</v>
      </c>
      <c r="F3751" s="1" t="str">
        <f t="array" ref="F3751">_xlfn.XLOOKUP(A3751,Product!A:A,Product!C:C,"Bulunamadı")</f>
        <v>Web Development</v>
      </c>
      <c r="G3751" s="2" t="str">
        <f t="array" ref="G3751">_xlfn.XLOOKUP(A3752,Product!A:A,Product!D:D,"Bulunamadı")</f>
        <v>Brighttree Publishing</v>
      </c>
      <c r="H3751" s="2">
        <f t="array" ref="H3751">_xlfn.XLOOKUP(A3753,Product!A:A,Product!E:E,"Bulunamadı")</f>
        <v>1.15</v>
      </c>
      <c r="I3751" s="2" t="str">
        <f t="shared" si="1"/>
        <v>68305 - Law - Web Development</v>
      </c>
      <c r="J3751" s="2">
        <f t="shared" si="2"/>
        <v>359.95</v>
      </c>
      <c r="K3751" s="17">
        <f t="shared" si="3"/>
        <v>1</v>
      </c>
      <c r="L3751" s="18"/>
    </row>
    <row r="3752" hidden="1">
      <c r="A3752" s="2">
        <f>IFERROR(__xludf.DUMMYFUNCTION("""COMPUTED_VALUE"""),5714.0)</f>
        <v>5714</v>
      </c>
      <c r="B3752" s="2">
        <f>IFERROR(__xludf.DUMMYFUNCTION("""COMPUTED_VALUE"""),1.0)</f>
        <v>1</v>
      </c>
      <c r="C3752" s="2">
        <f>IFERROR(__xludf.DUMMYFUNCTION("""COMPUTED_VALUE"""),809.0)</f>
        <v>809</v>
      </c>
      <c r="D3752" s="3">
        <f>IFERROR(__xludf.DUMMYFUNCTION("""COMPUTED_VALUE"""),260.0)</f>
        <v>260</v>
      </c>
      <c r="E3752" s="1" t="str">
        <f t="array" ref="E3752">_xlfn.XLOOKUP(A3752,Product!A:A,Product!B:B,"Bulunamadı")</f>
        <v>Law</v>
      </c>
      <c r="F3752" s="1" t="str">
        <f t="array" ref="F3752">_xlfn.XLOOKUP(A3752,Product!A:A,Product!C:C,"Bulunamadı")</f>
        <v>Web Development</v>
      </c>
      <c r="G3752" s="2" t="str">
        <f t="array" ref="G3752">_xlfn.XLOOKUP(A3753,Product!A:A,Product!D:D,"Bulunamadı")</f>
        <v>Brighttree Publishing</v>
      </c>
      <c r="H3752" s="2">
        <f t="array" ref="H3752">_xlfn.XLOOKUP(A3754,Product!A:A,Product!E:E,"Bulunamadı")</f>
        <v>1.66</v>
      </c>
      <c r="I3752" s="2" t="str">
        <f t="shared" si="1"/>
        <v>5714 - Law - Web Development</v>
      </c>
      <c r="J3752" s="2">
        <f t="shared" si="2"/>
        <v>431.6</v>
      </c>
      <c r="K3752" s="17">
        <f t="shared" si="3"/>
        <v>1</v>
      </c>
      <c r="L3752" s="18"/>
    </row>
    <row r="3753" hidden="1">
      <c r="A3753" s="2">
        <f>IFERROR(__xludf.DUMMYFUNCTION("""COMPUTED_VALUE"""),73951.0)</f>
        <v>73951</v>
      </c>
      <c r="B3753" s="2">
        <f>IFERROR(__xludf.DUMMYFUNCTION("""COMPUTED_VALUE"""),1.0)</f>
        <v>1</v>
      </c>
      <c r="C3753" s="2">
        <f>IFERROR(__xludf.DUMMYFUNCTION("""COMPUTED_VALUE"""),253.0)</f>
        <v>253</v>
      </c>
      <c r="D3753" s="3">
        <f>IFERROR(__xludf.DUMMYFUNCTION("""COMPUTED_VALUE"""),60.0)</f>
        <v>60</v>
      </c>
      <c r="E3753" s="1" t="str">
        <f t="array" ref="E3753">_xlfn.XLOOKUP(A3753,Product!A:A,Product!B:B,"Bulunamadı")</f>
        <v>Law</v>
      </c>
      <c r="F3753" s="1" t="str">
        <f t="array" ref="F3753">_xlfn.XLOOKUP(A3753,Product!A:A,Product!C:C,"Bulunamadı")</f>
        <v>Web Development</v>
      </c>
      <c r="G3753" s="2" t="str">
        <f t="array" ref="G3753">_xlfn.XLOOKUP(A3754,Product!A:A,Product!D:D,"Bulunamadı")</f>
        <v>Brighttree Publishing</v>
      </c>
      <c r="H3753" s="2">
        <f t="array" ref="H3753">_xlfn.XLOOKUP(A3755,Product!A:A,Product!E:E,"Bulunamadı")</f>
        <v>2.38</v>
      </c>
      <c r="I3753" s="2" t="str">
        <f t="shared" si="1"/>
        <v>73951 - Law - Web Development</v>
      </c>
      <c r="J3753" s="2">
        <f t="shared" si="2"/>
        <v>142.8</v>
      </c>
      <c r="K3753" s="17">
        <f t="shared" si="3"/>
        <v>1</v>
      </c>
      <c r="L3753" s="18"/>
    </row>
    <row r="3754" hidden="1">
      <c r="A3754" s="2">
        <f>IFERROR(__xludf.DUMMYFUNCTION("""COMPUTED_VALUE"""),68337.0)</f>
        <v>68337</v>
      </c>
      <c r="B3754" s="2">
        <f>IFERROR(__xludf.DUMMYFUNCTION("""COMPUTED_VALUE"""),0.0)</f>
        <v>0</v>
      </c>
      <c r="C3754" s="2">
        <f>IFERROR(__xludf.DUMMYFUNCTION("""COMPUTED_VALUE"""),950.0)</f>
        <v>950</v>
      </c>
      <c r="D3754" s="3">
        <f>IFERROR(__xludf.DUMMYFUNCTION("""COMPUTED_VALUE"""),112.0)</f>
        <v>112</v>
      </c>
      <c r="E3754" s="1" t="str">
        <f t="array" ref="E3754">_xlfn.XLOOKUP(A3754,Product!A:A,Product!B:B,"Bulunamadı")</f>
        <v>Law</v>
      </c>
      <c r="F3754" s="1" t="str">
        <f t="array" ref="F3754">_xlfn.XLOOKUP(A3754,Product!A:A,Product!C:C,"Bulunamadı")</f>
        <v>Web Development</v>
      </c>
      <c r="G3754" s="2" t="str">
        <f t="array" ref="G3754">_xlfn.XLOOKUP(A3755,Product!A:A,Product!D:D,"Bulunamadı")</f>
        <v>Brighttree Publishing</v>
      </c>
      <c r="H3754" s="2">
        <f t="array" ref="H3754">_xlfn.XLOOKUP(A3756,Product!A:A,Product!E:E,"Bulunamadı")</f>
        <v>4.08</v>
      </c>
      <c r="I3754" s="2" t="str">
        <f t="shared" si="1"/>
        <v>68337 - Law - Web Development</v>
      </c>
      <c r="J3754" s="2">
        <f t="shared" si="2"/>
        <v>456.96</v>
      </c>
      <c r="K3754" s="17">
        <f t="shared" si="3"/>
        <v>1</v>
      </c>
      <c r="L3754" s="18"/>
    </row>
    <row r="3755" hidden="1">
      <c r="A3755" s="2">
        <f>IFERROR(__xludf.DUMMYFUNCTION("""COMPUTED_VALUE"""),76338.0)</f>
        <v>76338</v>
      </c>
      <c r="B3755" s="2">
        <f>IFERROR(__xludf.DUMMYFUNCTION("""COMPUTED_VALUE"""),0.0)</f>
        <v>0</v>
      </c>
      <c r="C3755" s="2">
        <f>IFERROR(__xludf.DUMMYFUNCTION("""COMPUTED_VALUE"""),910.0)</f>
        <v>910</v>
      </c>
      <c r="D3755" s="3">
        <f>IFERROR(__xludf.DUMMYFUNCTION("""COMPUTED_VALUE"""),615.0)</f>
        <v>615</v>
      </c>
      <c r="E3755" s="1" t="str">
        <f t="array" ref="E3755">_xlfn.XLOOKUP(A3755,Product!A:A,Product!B:B,"Bulunamadı")</f>
        <v>Law</v>
      </c>
      <c r="F3755" s="1" t="str">
        <f t="array" ref="F3755">_xlfn.XLOOKUP(A3755,Product!A:A,Product!C:C,"Bulunamadı")</f>
        <v>Web Development</v>
      </c>
      <c r="G3755" s="2" t="str">
        <f t="array" ref="G3755">_xlfn.XLOOKUP(A3756,Product!A:A,Product!D:D,"Bulunamadı")</f>
        <v>Brighttree Publishing</v>
      </c>
      <c r="H3755" s="2">
        <f t="array" ref="H3755">_xlfn.XLOOKUP(A3757,Product!A:A,Product!E:E,"Bulunamadı")</f>
        <v>2.27</v>
      </c>
      <c r="I3755" s="2" t="str">
        <f t="shared" si="1"/>
        <v>76338 - Law - Web Development</v>
      </c>
      <c r="J3755" s="2">
        <f t="shared" si="2"/>
        <v>1396.05</v>
      </c>
      <c r="K3755" s="17">
        <f t="shared" si="3"/>
        <v>1</v>
      </c>
      <c r="L3755" s="18"/>
    </row>
    <row r="3756" hidden="1">
      <c r="A3756" s="2">
        <f>IFERROR(__xludf.DUMMYFUNCTION("""COMPUTED_VALUE"""),202592.0)</f>
        <v>202592</v>
      </c>
      <c r="B3756" s="2">
        <f>IFERROR(__xludf.DUMMYFUNCTION("""COMPUTED_VALUE"""),1.0)</f>
        <v>1</v>
      </c>
      <c r="C3756" s="2">
        <f>IFERROR(__xludf.DUMMYFUNCTION("""COMPUTED_VALUE"""),267.0)</f>
        <v>267</v>
      </c>
      <c r="D3756" s="3">
        <f>IFERROR(__xludf.DUMMYFUNCTION("""COMPUTED_VALUE"""),51.0)</f>
        <v>51</v>
      </c>
      <c r="E3756" s="1" t="str">
        <f t="array" ref="E3756">_xlfn.XLOOKUP(A3756,Product!A:A,Product!B:B,"Bulunamadı")</f>
        <v>Law</v>
      </c>
      <c r="F3756" s="1" t="str">
        <f t="array" ref="F3756">_xlfn.XLOOKUP(A3756,Product!A:A,Product!C:C,"Bulunamadı")</f>
        <v>Web Development</v>
      </c>
      <c r="G3756" s="2" t="str">
        <f t="array" ref="G3756">_xlfn.XLOOKUP(A3757,Product!A:A,Product!D:D,"Bulunamadı")</f>
        <v>Brighttree Publishing</v>
      </c>
      <c r="H3756" s="2">
        <f t="array" ref="H3756">_xlfn.XLOOKUP(A3758,Product!A:A,Product!E:E,"Bulunamadı")</f>
        <v>1.22</v>
      </c>
      <c r="I3756" s="2" t="str">
        <f t="shared" si="1"/>
        <v>202592 - Law - Web Development</v>
      </c>
      <c r="J3756" s="2">
        <f t="shared" si="2"/>
        <v>62.22</v>
      </c>
      <c r="K3756" s="17">
        <f t="shared" si="3"/>
        <v>1</v>
      </c>
      <c r="L3756" s="18"/>
    </row>
    <row r="3757" hidden="1">
      <c r="A3757" s="2">
        <f>IFERROR(__xludf.DUMMYFUNCTION("""COMPUTED_VALUE"""),69578.0)</f>
        <v>69578</v>
      </c>
      <c r="B3757" s="2">
        <f>IFERROR(__xludf.DUMMYFUNCTION("""COMPUTED_VALUE"""),0.0)</f>
        <v>0</v>
      </c>
      <c r="C3757" s="2">
        <f>IFERROR(__xludf.DUMMYFUNCTION("""COMPUTED_VALUE"""),503.0)</f>
        <v>503</v>
      </c>
      <c r="D3757" s="3">
        <f>IFERROR(__xludf.DUMMYFUNCTION("""COMPUTED_VALUE"""),478.0)</f>
        <v>478</v>
      </c>
      <c r="E3757" s="1" t="str">
        <f t="array" ref="E3757">_xlfn.XLOOKUP(A3757,Product!A:A,Product!B:B,"Bulunamadı")</f>
        <v>Law</v>
      </c>
      <c r="F3757" s="1" t="str">
        <f t="array" ref="F3757">_xlfn.XLOOKUP(A3757,Product!A:A,Product!C:C,"Bulunamadı")</f>
        <v>Web Development</v>
      </c>
      <c r="G3757" s="2" t="str">
        <f t="array" ref="G3757">_xlfn.XLOOKUP(A3758,Product!A:A,Product!D:D,"Bulunamadı")</f>
        <v>Brighttree Publishing</v>
      </c>
      <c r="H3757" s="2">
        <f t="array" ref="H3757">_xlfn.XLOOKUP(A3759,Product!A:A,Product!E:E,"Bulunamadı")</f>
        <v>2.45</v>
      </c>
      <c r="I3757" s="2" t="str">
        <f t="shared" si="1"/>
        <v>69578 - Law - Web Development</v>
      </c>
      <c r="J3757" s="2">
        <f t="shared" si="2"/>
        <v>1171.1</v>
      </c>
      <c r="K3757" s="17">
        <f t="shared" si="3"/>
        <v>1</v>
      </c>
      <c r="L3757" s="18"/>
    </row>
    <row r="3758" hidden="1">
      <c r="A3758" s="2">
        <f>IFERROR(__xludf.DUMMYFUNCTION("""COMPUTED_VALUE"""),76383.0)</f>
        <v>76383</v>
      </c>
      <c r="B3758" s="2">
        <f>IFERROR(__xludf.DUMMYFUNCTION("""COMPUTED_VALUE"""),0.0)</f>
        <v>0</v>
      </c>
      <c r="C3758" s="2">
        <f>IFERROR(__xludf.DUMMYFUNCTION("""COMPUTED_VALUE"""),801.0)</f>
        <v>801</v>
      </c>
      <c r="D3758" s="3">
        <f>IFERROR(__xludf.DUMMYFUNCTION("""COMPUTED_VALUE"""),26.0)</f>
        <v>26</v>
      </c>
      <c r="E3758" s="1" t="str">
        <f t="array" ref="E3758">_xlfn.XLOOKUP(A3758,Product!A:A,Product!B:B,"Bulunamadı")</f>
        <v>Law</v>
      </c>
      <c r="F3758" s="1" t="str">
        <f t="array" ref="F3758">_xlfn.XLOOKUP(A3758,Product!A:A,Product!C:C,"Bulunamadı")</f>
        <v>Web Development</v>
      </c>
      <c r="G3758" s="2" t="str">
        <f t="array" ref="G3758">_xlfn.XLOOKUP(A3759,Product!A:A,Product!D:D,"Bulunamadı")</f>
        <v>Brighttree Publishing</v>
      </c>
      <c r="H3758" s="2">
        <f t="array" ref="H3758">_xlfn.XLOOKUP(A3760,Product!A:A,Product!E:E,"Bulunamadı")</f>
        <v>1.65</v>
      </c>
      <c r="I3758" s="2" t="str">
        <f t="shared" si="1"/>
        <v>76383 - Law - Web Development</v>
      </c>
      <c r="J3758" s="2">
        <f t="shared" si="2"/>
        <v>42.9</v>
      </c>
      <c r="K3758" s="17">
        <f t="shared" si="3"/>
        <v>1</v>
      </c>
      <c r="L3758" s="18"/>
    </row>
    <row r="3759" hidden="1">
      <c r="A3759" s="2">
        <f>IFERROR(__xludf.DUMMYFUNCTION("""COMPUTED_VALUE"""),5696.0)</f>
        <v>5696</v>
      </c>
      <c r="B3759" s="2">
        <f>IFERROR(__xludf.DUMMYFUNCTION("""COMPUTED_VALUE"""),0.0)</f>
        <v>0</v>
      </c>
      <c r="C3759" s="2">
        <f>IFERROR(__xludf.DUMMYFUNCTION("""COMPUTED_VALUE"""),31.0)</f>
        <v>31</v>
      </c>
      <c r="D3759" s="3">
        <f>IFERROR(__xludf.DUMMYFUNCTION("""COMPUTED_VALUE"""),16.0)</f>
        <v>16</v>
      </c>
      <c r="E3759" s="1" t="str">
        <f t="array" ref="E3759">_xlfn.XLOOKUP(A3759,Product!A:A,Product!B:B,"Bulunamadı")</f>
        <v>Law</v>
      </c>
      <c r="F3759" s="1" t="str">
        <f t="array" ref="F3759">_xlfn.XLOOKUP(A3759,Product!A:A,Product!C:C,"Bulunamadı")</f>
        <v>Web Development</v>
      </c>
      <c r="G3759" s="2" t="str">
        <f t="array" ref="G3759">_xlfn.XLOOKUP(A3760,Product!A:A,Product!D:D,"Bulunamadı")</f>
        <v>Brighttree Publishing</v>
      </c>
      <c r="H3759" s="2">
        <f t="array" ref="H3759">_xlfn.XLOOKUP(A3761,Product!A:A,Product!E:E,"Bulunamadı")</f>
        <v>6.34</v>
      </c>
      <c r="I3759" s="2" t="str">
        <f t="shared" si="1"/>
        <v>5696 - Law - Web Development</v>
      </c>
      <c r="J3759" s="2">
        <f t="shared" si="2"/>
        <v>101.44</v>
      </c>
      <c r="K3759" s="17">
        <f t="shared" si="3"/>
        <v>1</v>
      </c>
      <c r="L3759" s="18"/>
    </row>
    <row r="3760" hidden="1">
      <c r="A3760" s="2">
        <f>IFERROR(__xludf.DUMMYFUNCTION("""COMPUTED_VALUE"""),90929.0)</f>
        <v>90929</v>
      </c>
      <c r="B3760" s="2">
        <f>IFERROR(__xludf.DUMMYFUNCTION("""COMPUTED_VALUE"""),0.0)</f>
        <v>0</v>
      </c>
      <c r="C3760" s="2">
        <f>IFERROR(__xludf.DUMMYFUNCTION("""COMPUTED_VALUE"""),243.0)</f>
        <v>243</v>
      </c>
      <c r="D3760" s="3">
        <f>IFERROR(__xludf.DUMMYFUNCTION("""COMPUTED_VALUE"""),219.0)</f>
        <v>219</v>
      </c>
      <c r="E3760" s="1" t="str">
        <f t="array" ref="E3760">_xlfn.XLOOKUP(A3760,Product!A:A,Product!B:B,"Bulunamadı")</f>
        <v>Law</v>
      </c>
      <c r="F3760" s="1" t="str">
        <f t="array" ref="F3760">_xlfn.XLOOKUP(A3760,Product!A:A,Product!C:C,"Bulunamadı")</f>
        <v>Web Development</v>
      </c>
      <c r="G3760" s="2" t="str">
        <f t="array" ref="G3760">_xlfn.XLOOKUP(A3761,Product!A:A,Product!D:D,"Bulunamadı")</f>
        <v>Brighttree Publishing</v>
      </c>
      <c r="H3760" s="2">
        <f t="array" ref="H3760">_xlfn.XLOOKUP(A3762,Product!A:A,Product!E:E,"Bulunamadı")</f>
        <v>0.99</v>
      </c>
      <c r="I3760" s="2" t="str">
        <f t="shared" si="1"/>
        <v>90929 - Law - Web Development</v>
      </c>
      <c r="J3760" s="2">
        <f t="shared" si="2"/>
        <v>216.81</v>
      </c>
      <c r="K3760" s="17">
        <f t="shared" si="3"/>
        <v>1</v>
      </c>
      <c r="L3760" s="18"/>
    </row>
    <row r="3761" hidden="1">
      <c r="A3761" s="2">
        <f>IFERROR(__xludf.DUMMYFUNCTION("""COMPUTED_VALUE"""),90926.0)</f>
        <v>90926</v>
      </c>
      <c r="B3761" s="2">
        <f>IFERROR(__xludf.DUMMYFUNCTION("""COMPUTED_VALUE"""),1.0)</f>
        <v>1</v>
      </c>
      <c r="C3761" s="2">
        <f>IFERROR(__xludf.DUMMYFUNCTION("""COMPUTED_VALUE"""),440.0)</f>
        <v>440</v>
      </c>
      <c r="D3761" s="3">
        <f>IFERROR(__xludf.DUMMYFUNCTION("""COMPUTED_VALUE"""),21.0)</f>
        <v>21</v>
      </c>
      <c r="E3761" s="1" t="str">
        <f t="array" ref="E3761">_xlfn.XLOOKUP(A3761,Product!A:A,Product!B:B,"Bulunamadı")</f>
        <v>Law</v>
      </c>
      <c r="F3761" s="1" t="str">
        <f t="array" ref="F3761">_xlfn.XLOOKUP(A3761,Product!A:A,Product!C:C,"Bulunamadı")</f>
        <v>Web Development</v>
      </c>
      <c r="G3761" s="2" t="str">
        <f t="array" ref="G3761">_xlfn.XLOOKUP(A3762,Product!A:A,Product!D:D,"Bulunamadı")</f>
        <v>Brighttree Publishing</v>
      </c>
      <c r="H3761" s="2">
        <f t="array" ref="H3761">_xlfn.XLOOKUP(A3763,Product!A:A,Product!E:E,"Bulunamadı")</f>
        <v>2.74</v>
      </c>
      <c r="I3761" s="2" t="str">
        <f t="shared" si="1"/>
        <v>90926 - Law - Web Development</v>
      </c>
      <c r="J3761" s="2">
        <f t="shared" si="2"/>
        <v>57.54</v>
      </c>
      <c r="K3761" s="17">
        <f t="shared" si="3"/>
        <v>1</v>
      </c>
      <c r="L3761" s="18"/>
    </row>
    <row r="3762" hidden="1">
      <c r="A3762" s="2">
        <f>IFERROR(__xludf.DUMMYFUNCTION("""COMPUTED_VALUE"""),76364.0)</f>
        <v>76364</v>
      </c>
      <c r="B3762" s="2">
        <f>IFERROR(__xludf.DUMMYFUNCTION("""COMPUTED_VALUE"""),1.0)</f>
        <v>1</v>
      </c>
      <c r="C3762" s="2">
        <f>IFERROR(__xludf.DUMMYFUNCTION("""COMPUTED_VALUE"""),199.0)</f>
        <v>199</v>
      </c>
      <c r="D3762" s="3">
        <f>IFERROR(__xludf.DUMMYFUNCTION("""COMPUTED_VALUE"""),171.0)</f>
        <v>171</v>
      </c>
      <c r="E3762" s="1" t="str">
        <f t="array" ref="E3762">_xlfn.XLOOKUP(A3762,Product!A:A,Product!B:B,"Bulunamadı")</f>
        <v>Law</v>
      </c>
      <c r="F3762" s="1" t="str">
        <f t="array" ref="F3762">_xlfn.XLOOKUP(A3762,Product!A:A,Product!C:C,"Bulunamadı")</f>
        <v>Web Development</v>
      </c>
      <c r="G3762" s="2" t="str">
        <f t="array" ref="G3762">_xlfn.XLOOKUP(A3763,Product!A:A,Product!D:D,"Bulunamadı")</f>
        <v>Brighttree Publishing</v>
      </c>
      <c r="H3762" s="2">
        <f t="array" ref="H3762">_xlfn.XLOOKUP(A3764,Product!A:A,Product!E:E,"Bulunamadı")</f>
        <v>3.22</v>
      </c>
      <c r="I3762" s="2" t="str">
        <f t="shared" si="1"/>
        <v>76364 - Law - Web Development</v>
      </c>
      <c r="J3762" s="2">
        <f t="shared" si="2"/>
        <v>550.62</v>
      </c>
      <c r="K3762" s="17">
        <f t="shared" si="3"/>
        <v>1</v>
      </c>
      <c r="L3762" s="18"/>
    </row>
    <row r="3763" hidden="1">
      <c r="A3763" s="2">
        <f>IFERROR(__xludf.DUMMYFUNCTION("""COMPUTED_VALUE"""),79152.0)</f>
        <v>79152</v>
      </c>
      <c r="B3763" s="2">
        <f>IFERROR(__xludf.DUMMYFUNCTION("""COMPUTED_VALUE"""),0.0)</f>
        <v>0</v>
      </c>
      <c r="C3763" s="2">
        <f>IFERROR(__xludf.DUMMYFUNCTION("""COMPUTED_VALUE"""),414.0)</f>
        <v>414</v>
      </c>
      <c r="D3763" s="3">
        <f>IFERROR(__xludf.DUMMYFUNCTION("""COMPUTED_VALUE"""),205.0)</f>
        <v>205</v>
      </c>
      <c r="E3763" s="1" t="str">
        <f t="array" ref="E3763">_xlfn.XLOOKUP(A3763,Product!A:A,Product!B:B,"Bulunamadı")</f>
        <v>Law</v>
      </c>
      <c r="F3763" s="1" t="str">
        <f t="array" ref="F3763">_xlfn.XLOOKUP(A3763,Product!A:A,Product!C:C,"Bulunamadı")</f>
        <v>Web Development</v>
      </c>
      <c r="G3763" s="2" t="str">
        <f t="array" ref="G3763">_xlfn.XLOOKUP(A3764,Product!A:A,Product!D:D,"Bulunamadı")</f>
        <v>Brighttree Publishing</v>
      </c>
      <c r="H3763" s="2">
        <f t="array" ref="H3763">_xlfn.XLOOKUP(A3765,Product!A:A,Product!E:E,"Bulunamadı")</f>
        <v>3.33</v>
      </c>
      <c r="I3763" s="2" t="str">
        <f t="shared" si="1"/>
        <v>79152 - Law - Web Development</v>
      </c>
      <c r="J3763" s="2">
        <f t="shared" si="2"/>
        <v>682.65</v>
      </c>
      <c r="K3763" s="17">
        <f t="shared" si="3"/>
        <v>1</v>
      </c>
      <c r="L3763" s="18"/>
    </row>
    <row r="3764" hidden="1">
      <c r="A3764" s="2">
        <f>IFERROR(__xludf.DUMMYFUNCTION("""COMPUTED_VALUE"""),30874.0)</f>
        <v>30874</v>
      </c>
      <c r="B3764" s="2">
        <f>IFERROR(__xludf.DUMMYFUNCTION("""COMPUTED_VALUE"""),0.0)</f>
        <v>0</v>
      </c>
      <c r="C3764" s="2">
        <f>IFERROR(__xludf.DUMMYFUNCTION("""COMPUTED_VALUE"""),95.0)</f>
        <v>95</v>
      </c>
      <c r="D3764" s="3">
        <f>IFERROR(__xludf.DUMMYFUNCTION("""COMPUTED_VALUE"""),19.0)</f>
        <v>19</v>
      </c>
      <c r="E3764" s="1" t="str">
        <f t="array" ref="E3764">_xlfn.XLOOKUP(A3764,Product!A:A,Product!B:B,"Bulunamadı")</f>
        <v>Law</v>
      </c>
      <c r="F3764" s="1" t="str">
        <f t="array" ref="F3764">_xlfn.XLOOKUP(A3764,Product!A:A,Product!C:C,"Bulunamadı")</f>
        <v>Web Development</v>
      </c>
      <c r="G3764" s="2" t="str">
        <f t="array" ref="G3764">_xlfn.XLOOKUP(A3765,Product!A:A,Product!D:D,"Bulunamadı")</f>
        <v>Brighttree Publishing</v>
      </c>
      <c r="H3764" s="2">
        <f t="array" ref="H3764">_xlfn.XLOOKUP(A3766,Product!A:A,Product!E:E,"Bulunamadı")</f>
        <v>1.49</v>
      </c>
      <c r="I3764" s="2" t="str">
        <f t="shared" si="1"/>
        <v>30874 - Law - Web Development</v>
      </c>
      <c r="J3764" s="2">
        <f t="shared" si="2"/>
        <v>28.31</v>
      </c>
      <c r="K3764" s="17">
        <f t="shared" si="3"/>
        <v>1</v>
      </c>
      <c r="L3764" s="18"/>
    </row>
    <row r="3765" hidden="1">
      <c r="A3765" s="2">
        <f>IFERROR(__xludf.DUMMYFUNCTION("""COMPUTED_VALUE"""),5718.0)</f>
        <v>5718</v>
      </c>
      <c r="B3765" s="2">
        <f>IFERROR(__xludf.DUMMYFUNCTION("""COMPUTED_VALUE"""),1.0)</f>
        <v>1</v>
      </c>
      <c r="C3765" s="2">
        <f>IFERROR(__xludf.DUMMYFUNCTION("""COMPUTED_VALUE"""),383.0)</f>
        <v>383</v>
      </c>
      <c r="D3765" s="3">
        <f>IFERROR(__xludf.DUMMYFUNCTION("""COMPUTED_VALUE"""),220.0)</f>
        <v>220</v>
      </c>
      <c r="E3765" s="1" t="str">
        <f t="array" ref="E3765">_xlfn.XLOOKUP(A3765,Product!A:A,Product!B:B,"Bulunamadı")</f>
        <v>Law</v>
      </c>
      <c r="F3765" s="1" t="str">
        <f t="array" ref="F3765">_xlfn.XLOOKUP(A3765,Product!A:A,Product!C:C,"Bulunamadı")</f>
        <v>Web Development</v>
      </c>
      <c r="G3765" s="2" t="str">
        <f t="array" ref="G3765">_xlfn.XLOOKUP(A3766,Product!A:A,Product!D:D,"Bulunamadı")</f>
        <v>Brighttree Publishing</v>
      </c>
      <c r="H3765" s="2">
        <f t="array" ref="H3765">_xlfn.XLOOKUP(A3767,Product!A:A,Product!E:E,"Bulunamadı")</f>
        <v>4.32</v>
      </c>
      <c r="I3765" s="2" t="str">
        <f t="shared" si="1"/>
        <v>5718 - Law - Web Development</v>
      </c>
      <c r="J3765" s="2">
        <f t="shared" si="2"/>
        <v>950.4</v>
      </c>
      <c r="K3765" s="17">
        <f t="shared" si="3"/>
        <v>1</v>
      </c>
      <c r="L3765" s="18"/>
    </row>
    <row r="3766" hidden="1">
      <c r="A3766" s="2">
        <f>IFERROR(__xludf.DUMMYFUNCTION("""COMPUTED_VALUE"""),126542.0)</f>
        <v>126542</v>
      </c>
      <c r="B3766" s="2">
        <f>IFERROR(__xludf.DUMMYFUNCTION("""COMPUTED_VALUE"""),1.0)</f>
        <v>1</v>
      </c>
      <c r="C3766" s="2">
        <f>IFERROR(__xludf.DUMMYFUNCTION("""COMPUTED_VALUE"""),326.0)</f>
        <v>326</v>
      </c>
      <c r="D3766" s="3">
        <f>IFERROR(__xludf.DUMMYFUNCTION("""COMPUTED_VALUE"""),179.0)</f>
        <v>179</v>
      </c>
      <c r="E3766" s="1" t="str">
        <f t="array" ref="E3766">_xlfn.XLOOKUP(A3766,Product!A:A,Product!B:B,"Bulunamadı")</f>
        <v>Law</v>
      </c>
      <c r="F3766" s="1" t="str">
        <f t="array" ref="F3766">_xlfn.XLOOKUP(A3766,Product!A:A,Product!C:C,"Bulunamadı")</f>
        <v>Web Development</v>
      </c>
      <c r="G3766" s="2" t="str">
        <f t="array" ref="G3766">_xlfn.XLOOKUP(A3767,Product!A:A,Product!D:D,"Bulunamadı")</f>
        <v>Brighttree Publishing</v>
      </c>
      <c r="H3766" s="2">
        <f t="array" ref="H3766">_xlfn.XLOOKUP(A3768,Product!A:A,Product!E:E,"Bulunamadı")</f>
        <v>2.57</v>
      </c>
      <c r="I3766" s="2" t="str">
        <f t="shared" si="1"/>
        <v>126542 - Law - Web Development</v>
      </c>
      <c r="J3766" s="2">
        <f t="shared" si="2"/>
        <v>460.03</v>
      </c>
      <c r="K3766" s="17">
        <f t="shared" si="3"/>
        <v>1</v>
      </c>
      <c r="L3766" s="18"/>
    </row>
    <row r="3767" hidden="1">
      <c r="A3767" s="2">
        <f>IFERROR(__xludf.DUMMYFUNCTION("""COMPUTED_VALUE"""),90852.0)</f>
        <v>90852</v>
      </c>
      <c r="B3767" s="2">
        <f>IFERROR(__xludf.DUMMYFUNCTION("""COMPUTED_VALUE"""),1.0)</f>
        <v>1</v>
      </c>
      <c r="C3767" s="2">
        <f>IFERROR(__xludf.DUMMYFUNCTION("""COMPUTED_VALUE"""),196.0)</f>
        <v>196</v>
      </c>
      <c r="D3767" s="3">
        <f>IFERROR(__xludf.DUMMYFUNCTION("""COMPUTED_VALUE"""),153.0)</f>
        <v>153</v>
      </c>
      <c r="E3767" s="1" t="str">
        <f t="array" ref="E3767">_xlfn.XLOOKUP(A3767,Product!A:A,Product!B:B,"Bulunamadı")</f>
        <v>Law</v>
      </c>
      <c r="F3767" s="1" t="str">
        <f t="array" ref="F3767">_xlfn.XLOOKUP(A3767,Product!A:A,Product!C:C,"Bulunamadı")</f>
        <v>Web Development</v>
      </c>
      <c r="G3767" s="2" t="str">
        <f t="array" ref="G3767">_xlfn.XLOOKUP(A3768,Product!A:A,Product!D:D,"Bulunamadı")</f>
        <v>Brighttree Publishing</v>
      </c>
      <c r="H3767" s="2">
        <f t="array" ref="H3767">_xlfn.XLOOKUP(A3769,Product!A:A,Product!E:E,"Bulunamadı")</f>
        <v>5.57</v>
      </c>
      <c r="I3767" s="2" t="str">
        <f t="shared" si="1"/>
        <v>90852 - Law - Web Development</v>
      </c>
      <c r="J3767" s="2">
        <f t="shared" si="2"/>
        <v>852.21</v>
      </c>
      <c r="K3767" s="17">
        <f t="shared" si="3"/>
        <v>1</v>
      </c>
      <c r="L3767" s="18"/>
    </row>
    <row r="3768" hidden="1">
      <c r="A3768" s="2">
        <f>IFERROR(__xludf.DUMMYFUNCTION("""COMPUTED_VALUE"""),122139.0)</f>
        <v>122139</v>
      </c>
      <c r="B3768" s="2">
        <f>IFERROR(__xludf.DUMMYFUNCTION("""COMPUTED_VALUE"""),0.0)</f>
        <v>0</v>
      </c>
      <c r="C3768" s="2">
        <f>IFERROR(__xludf.DUMMYFUNCTION("""COMPUTED_VALUE"""),522.0)</f>
        <v>522</v>
      </c>
      <c r="D3768" s="3">
        <f>IFERROR(__xludf.DUMMYFUNCTION("""COMPUTED_VALUE"""),74.0)</f>
        <v>74</v>
      </c>
      <c r="E3768" s="1" t="str">
        <f t="array" ref="E3768">_xlfn.XLOOKUP(A3768,Product!A:A,Product!B:B,"Bulunamadı")</f>
        <v>Law</v>
      </c>
      <c r="F3768" s="1" t="str">
        <f t="array" ref="F3768">_xlfn.XLOOKUP(A3768,Product!A:A,Product!C:C,"Bulunamadı")</f>
        <v>Web Development</v>
      </c>
      <c r="G3768" s="2" t="str">
        <f t="array" ref="G3768">_xlfn.XLOOKUP(A3769,Product!A:A,Product!D:D,"Bulunamadı")</f>
        <v>Brighttree Publishing</v>
      </c>
      <c r="H3768" s="2">
        <f t="array" ref="H3768">_xlfn.XLOOKUP(A3770,Product!A:A,Product!E:E,"Bulunamadı")</f>
        <v>2.17</v>
      </c>
      <c r="I3768" s="2" t="str">
        <f t="shared" si="1"/>
        <v>122139 - Law - Web Development</v>
      </c>
      <c r="J3768" s="2">
        <f t="shared" si="2"/>
        <v>160.58</v>
      </c>
      <c r="K3768" s="17">
        <f t="shared" si="3"/>
        <v>1</v>
      </c>
      <c r="L3768" s="18"/>
    </row>
    <row r="3769" hidden="1">
      <c r="A3769" s="2">
        <f>IFERROR(__xludf.DUMMYFUNCTION("""COMPUTED_VALUE"""),126975.0)</f>
        <v>126975</v>
      </c>
      <c r="B3769" s="2">
        <f>IFERROR(__xludf.DUMMYFUNCTION("""COMPUTED_VALUE"""),1.0)</f>
        <v>1</v>
      </c>
      <c r="C3769" s="2">
        <f>IFERROR(__xludf.DUMMYFUNCTION("""COMPUTED_VALUE"""),401.0)</f>
        <v>401</v>
      </c>
      <c r="D3769" s="3">
        <f>IFERROR(__xludf.DUMMYFUNCTION("""COMPUTED_VALUE"""),159.0)</f>
        <v>159</v>
      </c>
      <c r="E3769" s="1" t="str">
        <f t="array" ref="E3769">_xlfn.XLOOKUP(A3769,Product!A:A,Product!B:B,"Bulunamadı")</f>
        <v>Law</v>
      </c>
      <c r="F3769" s="1" t="str">
        <f t="array" ref="F3769">_xlfn.XLOOKUP(A3769,Product!A:A,Product!C:C,"Bulunamadı")</f>
        <v>Web Development</v>
      </c>
      <c r="G3769" s="2" t="str">
        <f t="array" ref="G3769">_xlfn.XLOOKUP(A3770,Product!A:A,Product!D:D,"Bulunamadı")</f>
        <v>Brighttree Publishing</v>
      </c>
      <c r="H3769" s="2">
        <f t="array" ref="H3769">_xlfn.XLOOKUP(A3771,Product!A:A,Product!E:E,"Bulunamadı")</f>
        <v>2.2</v>
      </c>
      <c r="I3769" s="2" t="str">
        <f t="shared" si="1"/>
        <v>126975 - Law - Web Development</v>
      </c>
      <c r="J3769" s="2">
        <f t="shared" si="2"/>
        <v>349.8</v>
      </c>
      <c r="K3769" s="17">
        <f t="shared" si="3"/>
        <v>1</v>
      </c>
      <c r="L3769" s="18"/>
    </row>
    <row r="3770" hidden="1">
      <c r="A3770" s="2">
        <f>IFERROR(__xludf.DUMMYFUNCTION("""COMPUTED_VALUE"""),202593.0)</f>
        <v>202593</v>
      </c>
      <c r="B3770" s="2">
        <f>IFERROR(__xludf.DUMMYFUNCTION("""COMPUTED_VALUE"""),1.0)</f>
        <v>1</v>
      </c>
      <c r="C3770" s="2">
        <f>IFERROR(__xludf.DUMMYFUNCTION("""COMPUTED_VALUE"""),337.0)</f>
        <v>337</v>
      </c>
      <c r="D3770" s="3">
        <f>IFERROR(__xludf.DUMMYFUNCTION("""COMPUTED_VALUE"""),321.0)</f>
        <v>321</v>
      </c>
      <c r="E3770" s="1" t="str">
        <f t="array" ref="E3770">_xlfn.XLOOKUP(A3770,Product!A:A,Product!B:B,"Bulunamadı")</f>
        <v>Law</v>
      </c>
      <c r="F3770" s="1" t="str">
        <f t="array" ref="F3770">_xlfn.XLOOKUP(A3770,Product!A:A,Product!C:C,"Bulunamadı")</f>
        <v>Web Development</v>
      </c>
      <c r="G3770" s="2" t="str">
        <f t="array" ref="G3770">_xlfn.XLOOKUP(A3771,Product!A:A,Product!D:D,"Bulunamadı")</f>
        <v>Brighttree Publishing</v>
      </c>
      <c r="H3770" s="2">
        <f t="array" ref="H3770">_xlfn.XLOOKUP(A3772,Product!A:A,Product!E:E,"Bulunamadı")</f>
        <v>1.23</v>
      </c>
      <c r="I3770" s="2" t="str">
        <f t="shared" si="1"/>
        <v>202593 - Law - Web Development</v>
      </c>
      <c r="J3770" s="2">
        <f t="shared" si="2"/>
        <v>394.83</v>
      </c>
      <c r="K3770" s="17">
        <f t="shared" si="3"/>
        <v>1</v>
      </c>
      <c r="L3770" s="18"/>
    </row>
    <row r="3771" hidden="1">
      <c r="A3771" s="2">
        <f>IFERROR(__xludf.DUMMYFUNCTION("""COMPUTED_VALUE"""),73940.0)</f>
        <v>73940</v>
      </c>
      <c r="B3771" s="2">
        <f>IFERROR(__xludf.DUMMYFUNCTION("""COMPUTED_VALUE"""),0.0)</f>
        <v>0</v>
      </c>
      <c r="C3771" s="2">
        <f>IFERROR(__xludf.DUMMYFUNCTION("""COMPUTED_VALUE"""),930.0)</f>
        <v>930</v>
      </c>
      <c r="D3771" s="3">
        <f>IFERROR(__xludf.DUMMYFUNCTION("""COMPUTED_VALUE"""),900.0)</f>
        <v>900</v>
      </c>
      <c r="E3771" s="1" t="str">
        <f t="array" ref="E3771">_xlfn.XLOOKUP(A3771,Product!A:A,Product!B:B,"Bulunamadı")</f>
        <v>Law</v>
      </c>
      <c r="F3771" s="1" t="str">
        <f t="array" ref="F3771">_xlfn.XLOOKUP(A3771,Product!A:A,Product!C:C,"Bulunamadı")</f>
        <v>Web Development</v>
      </c>
      <c r="G3771" s="2" t="str">
        <f t="array" ref="G3771">_xlfn.XLOOKUP(A3772,Product!A:A,Product!D:D,"Bulunamadı")</f>
        <v>Brighttree Publishing</v>
      </c>
      <c r="H3771" s="2">
        <f t="array" ref="H3771">_xlfn.XLOOKUP(A3773,Product!A:A,Product!E:E,"Bulunamadı")</f>
        <v>1.18</v>
      </c>
      <c r="I3771" s="2" t="str">
        <f t="shared" si="1"/>
        <v>73940 - Law - Web Development</v>
      </c>
      <c r="J3771" s="2">
        <f t="shared" si="2"/>
        <v>1062</v>
      </c>
      <c r="K3771" s="17">
        <f t="shared" si="3"/>
        <v>1</v>
      </c>
      <c r="L3771" s="18"/>
    </row>
    <row r="3772" hidden="1">
      <c r="A3772" s="2">
        <f>IFERROR(__xludf.DUMMYFUNCTION("""COMPUTED_VALUE"""),76360.0)</f>
        <v>76360</v>
      </c>
      <c r="B3772" s="2">
        <f>IFERROR(__xludf.DUMMYFUNCTION("""COMPUTED_VALUE"""),0.0)</f>
        <v>0</v>
      </c>
      <c r="C3772" s="2">
        <f>IFERROR(__xludf.DUMMYFUNCTION("""COMPUTED_VALUE"""),274.0)</f>
        <v>274</v>
      </c>
      <c r="D3772" s="3">
        <f>IFERROR(__xludf.DUMMYFUNCTION("""COMPUTED_VALUE"""),206.0)</f>
        <v>206</v>
      </c>
      <c r="E3772" s="1" t="str">
        <f t="array" ref="E3772">_xlfn.XLOOKUP(A3772,Product!A:A,Product!B:B,"Bulunamadı")</f>
        <v>Law</v>
      </c>
      <c r="F3772" s="1" t="str">
        <f t="array" ref="F3772">_xlfn.XLOOKUP(A3772,Product!A:A,Product!C:C,"Bulunamadı")</f>
        <v>Web Development</v>
      </c>
      <c r="G3772" s="2" t="str">
        <f t="array" ref="G3772">_xlfn.XLOOKUP(A3773,Product!A:A,Product!D:D,"Bulunamadı")</f>
        <v>Brighttree Publishing</v>
      </c>
      <c r="H3772" s="2">
        <f t="array" ref="H3772">_xlfn.XLOOKUP(A3774,Product!A:A,Product!E:E,"Bulunamadı")</f>
        <v>1.82</v>
      </c>
      <c r="I3772" s="2" t="str">
        <f t="shared" si="1"/>
        <v>76360 - Law - Web Development</v>
      </c>
      <c r="J3772" s="2">
        <f t="shared" si="2"/>
        <v>374.92</v>
      </c>
      <c r="K3772" s="17">
        <f t="shared" si="3"/>
        <v>1</v>
      </c>
      <c r="L3772" s="18"/>
    </row>
    <row r="3773" hidden="1">
      <c r="A3773" s="2">
        <f>IFERROR(__xludf.DUMMYFUNCTION("""COMPUTED_VALUE"""),118876.0)</f>
        <v>118876</v>
      </c>
      <c r="B3773" s="2">
        <f>IFERROR(__xludf.DUMMYFUNCTION("""COMPUTED_VALUE"""),1.0)</f>
        <v>1</v>
      </c>
      <c r="C3773" s="2">
        <f>IFERROR(__xludf.DUMMYFUNCTION("""COMPUTED_VALUE"""),690.0)</f>
        <v>690</v>
      </c>
      <c r="D3773" s="3">
        <f>IFERROR(__xludf.DUMMYFUNCTION("""COMPUTED_VALUE"""),688.0)</f>
        <v>688</v>
      </c>
      <c r="E3773" s="1" t="str">
        <f t="array" ref="E3773">_xlfn.XLOOKUP(A3773,Product!A:A,Product!B:B,"Bulunamadı")</f>
        <v>Law</v>
      </c>
      <c r="F3773" s="1" t="str">
        <f t="array" ref="F3773">_xlfn.XLOOKUP(A3773,Product!A:A,Product!C:C,"Bulunamadı")</f>
        <v>Web Development</v>
      </c>
      <c r="G3773" s="2" t="str">
        <f t="array" ref="G3773">_xlfn.XLOOKUP(A3774,Product!A:A,Product!D:D,"Bulunamadı")</f>
        <v>Brighttree Publishing</v>
      </c>
      <c r="H3773" s="2">
        <f t="array" ref="H3773">_xlfn.XLOOKUP(A3775,Product!A:A,Product!E:E,"Bulunamadı")</f>
        <v>5.54</v>
      </c>
      <c r="I3773" s="2" t="str">
        <f t="shared" si="1"/>
        <v>118876 - Law - Web Development</v>
      </c>
      <c r="J3773" s="2">
        <f t="shared" si="2"/>
        <v>3811.52</v>
      </c>
      <c r="K3773" s="17">
        <f t="shared" si="3"/>
        <v>1</v>
      </c>
      <c r="L3773" s="18"/>
    </row>
    <row r="3774" hidden="1">
      <c r="A3774" s="2">
        <f>IFERROR(__xludf.DUMMYFUNCTION("""COMPUTED_VALUE"""),76366.0)</f>
        <v>76366</v>
      </c>
      <c r="B3774" s="2">
        <f>IFERROR(__xludf.DUMMYFUNCTION("""COMPUTED_VALUE"""),1.0)</f>
        <v>1</v>
      </c>
      <c r="C3774" s="2">
        <f>IFERROR(__xludf.DUMMYFUNCTION("""COMPUTED_VALUE"""),570.0)</f>
        <v>570</v>
      </c>
      <c r="D3774" s="3">
        <f>IFERROR(__xludf.DUMMYFUNCTION("""COMPUTED_VALUE"""),558.0)</f>
        <v>558</v>
      </c>
      <c r="E3774" s="1" t="str">
        <f t="array" ref="E3774">_xlfn.XLOOKUP(A3774,Product!A:A,Product!B:B,"Bulunamadı")</f>
        <v>Law</v>
      </c>
      <c r="F3774" s="1" t="str">
        <f t="array" ref="F3774">_xlfn.XLOOKUP(A3774,Product!A:A,Product!C:C,"Bulunamadı")</f>
        <v>Web Development</v>
      </c>
      <c r="G3774" s="2" t="str">
        <f t="array" ref="G3774">_xlfn.XLOOKUP(A3775,Product!A:A,Product!D:D,"Bulunamadı")</f>
        <v>Brighttree Publishing</v>
      </c>
      <c r="H3774" s="2">
        <f t="array" ref="H3774">_xlfn.XLOOKUP(A3776,Product!A:A,Product!E:E,"Bulunamadı")</f>
        <v>2.57</v>
      </c>
      <c r="I3774" s="2" t="str">
        <f t="shared" si="1"/>
        <v>76366 - Law - Web Development</v>
      </c>
      <c r="J3774" s="2">
        <f t="shared" si="2"/>
        <v>1434.06</v>
      </c>
      <c r="K3774" s="17">
        <f t="shared" si="3"/>
        <v>1</v>
      </c>
      <c r="L3774" s="18"/>
    </row>
    <row r="3775" hidden="1">
      <c r="A3775" s="2">
        <f>IFERROR(__xludf.DUMMYFUNCTION("""COMPUTED_VALUE"""),122645.0)</f>
        <v>122645</v>
      </c>
      <c r="B3775" s="2">
        <f>IFERROR(__xludf.DUMMYFUNCTION("""COMPUTED_VALUE"""),0.0)</f>
        <v>0</v>
      </c>
      <c r="C3775" s="2">
        <f>IFERROR(__xludf.DUMMYFUNCTION("""COMPUTED_VALUE"""),696.0)</f>
        <v>696</v>
      </c>
      <c r="D3775" s="3">
        <f>IFERROR(__xludf.DUMMYFUNCTION("""COMPUTED_VALUE"""),33.0)</f>
        <v>33</v>
      </c>
      <c r="E3775" s="1" t="str">
        <f t="array" ref="E3775">_xlfn.XLOOKUP(A3775,Product!A:A,Product!B:B,"Bulunamadı")</f>
        <v>Law</v>
      </c>
      <c r="F3775" s="1" t="str">
        <f t="array" ref="F3775">_xlfn.XLOOKUP(A3775,Product!A:A,Product!C:C,"Bulunamadı")</f>
        <v>Web Development</v>
      </c>
      <c r="G3775" s="2" t="str">
        <f t="array" ref="G3775">_xlfn.XLOOKUP(A3776,Product!A:A,Product!D:D,"Bulunamadı")</f>
        <v>Brighttree Publishing</v>
      </c>
      <c r="H3775" s="2">
        <f t="array" ref="H3775">_xlfn.XLOOKUP(A3777,Product!A:A,Product!E:E,"Bulunamadı")</f>
        <v>2.52</v>
      </c>
      <c r="I3775" s="2" t="str">
        <f t="shared" si="1"/>
        <v>122645 - Law - Web Development</v>
      </c>
      <c r="J3775" s="2">
        <f t="shared" si="2"/>
        <v>83.16</v>
      </c>
      <c r="K3775" s="17">
        <f t="shared" si="3"/>
        <v>1</v>
      </c>
      <c r="L3775" s="18"/>
    </row>
    <row r="3776" hidden="1">
      <c r="A3776" s="2">
        <f>IFERROR(__xludf.DUMMYFUNCTION("""COMPUTED_VALUE"""),76372.0)</f>
        <v>76372</v>
      </c>
      <c r="B3776" s="2">
        <f>IFERROR(__xludf.DUMMYFUNCTION("""COMPUTED_VALUE"""),1.0)</f>
        <v>1</v>
      </c>
      <c r="C3776" s="2">
        <f>IFERROR(__xludf.DUMMYFUNCTION("""COMPUTED_VALUE"""),685.0)</f>
        <v>685</v>
      </c>
      <c r="D3776" s="3">
        <f>IFERROR(__xludf.DUMMYFUNCTION("""COMPUTED_VALUE"""),476.0)</f>
        <v>476</v>
      </c>
      <c r="E3776" s="1" t="str">
        <f t="array" ref="E3776">_xlfn.XLOOKUP(A3776,Product!A:A,Product!B:B,"Bulunamadı")</f>
        <v>Law</v>
      </c>
      <c r="F3776" s="1" t="str">
        <f t="array" ref="F3776">_xlfn.XLOOKUP(A3776,Product!A:A,Product!C:C,"Bulunamadı")</f>
        <v>Web Development</v>
      </c>
      <c r="G3776" s="2" t="str">
        <f t="array" ref="G3776">_xlfn.XLOOKUP(A3777,Product!A:A,Product!D:D,"Bulunamadı")</f>
        <v>Brighttree Publishing</v>
      </c>
      <c r="H3776" s="2">
        <f t="array" ref="H3776">_xlfn.XLOOKUP(A3778,Product!A:A,Product!E:E,"Bulunamadı")</f>
        <v>1.73</v>
      </c>
      <c r="I3776" s="2" t="str">
        <f t="shared" si="1"/>
        <v>76372 - Law - Web Development</v>
      </c>
      <c r="J3776" s="2">
        <f t="shared" si="2"/>
        <v>823.48</v>
      </c>
      <c r="K3776" s="17">
        <f t="shared" si="3"/>
        <v>1</v>
      </c>
      <c r="L3776" s="18"/>
    </row>
    <row r="3777" hidden="1">
      <c r="A3777" s="2">
        <f>IFERROR(__xludf.DUMMYFUNCTION("""COMPUTED_VALUE"""),5720.0)</f>
        <v>5720</v>
      </c>
      <c r="B3777" s="2">
        <f>IFERROR(__xludf.DUMMYFUNCTION("""COMPUTED_VALUE"""),0.0)</f>
        <v>0</v>
      </c>
      <c r="C3777" s="2">
        <f>IFERROR(__xludf.DUMMYFUNCTION("""COMPUTED_VALUE"""),809.0)</f>
        <v>809</v>
      </c>
      <c r="D3777" s="3">
        <f>IFERROR(__xludf.DUMMYFUNCTION("""COMPUTED_VALUE"""),80.0)</f>
        <v>80</v>
      </c>
      <c r="E3777" s="1" t="str">
        <f t="array" ref="E3777">_xlfn.XLOOKUP(A3777,Product!A:A,Product!B:B,"Bulunamadı")</f>
        <v>Law</v>
      </c>
      <c r="F3777" s="1" t="str">
        <f t="array" ref="F3777">_xlfn.XLOOKUP(A3777,Product!A:A,Product!C:C,"Bulunamadı")</f>
        <v>Web Development</v>
      </c>
      <c r="G3777" s="2" t="str">
        <f t="array" ref="G3777">_xlfn.XLOOKUP(A3778,Product!A:A,Product!D:D,"Bulunamadı")</f>
        <v>Brighttree Publishing</v>
      </c>
      <c r="H3777" s="2">
        <f t="array" ref="H3777">_xlfn.XLOOKUP(A3779,Product!A:A,Product!E:E,"Bulunamadı")</f>
        <v>1.26</v>
      </c>
      <c r="I3777" s="2" t="str">
        <f t="shared" si="1"/>
        <v>5720 - Law - Web Development</v>
      </c>
      <c r="J3777" s="2">
        <f t="shared" si="2"/>
        <v>100.8</v>
      </c>
      <c r="K3777" s="17">
        <f t="shared" si="3"/>
        <v>1</v>
      </c>
      <c r="L3777" s="18"/>
    </row>
    <row r="3778" hidden="1">
      <c r="A3778" s="2">
        <f>IFERROR(__xludf.DUMMYFUNCTION("""COMPUTED_VALUE"""),5695.0)</f>
        <v>5695</v>
      </c>
      <c r="B3778" s="2">
        <f>IFERROR(__xludf.DUMMYFUNCTION("""COMPUTED_VALUE"""),0.0)</f>
        <v>0</v>
      </c>
      <c r="C3778" s="2">
        <f>IFERROR(__xludf.DUMMYFUNCTION("""COMPUTED_VALUE"""),328.0)</f>
        <v>328</v>
      </c>
      <c r="D3778" s="3">
        <f>IFERROR(__xludf.DUMMYFUNCTION("""COMPUTED_VALUE"""),49.0)</f>
        <v>49</v>
      </c>
      <c r="E3778" s="1" t="str">
        <f t="array" ref="E3778">_xlfn.XLOOKUP(A3778,Product!A:A,Product!B:B,"Bulunamadı")</f>
        <v>Law</v>
      </c>
      <c r="F3778" s="1" t="str">
        <f t="array" ref="F3778">_xlfn.XLOOKUP(A3778,Product!A:A,Product!C:C,"Bulunamadı")</f>
        <v>Web Development</v>
      </c>
      <c r="G3778" s="2" t="str">
        <f t="array" ref="G3778">_xlfn.XLOOKUP(A3779,Product!A:A,Product!D:D,"Bulunamadı")</f>
        <v>Brighttree Publishing</v>
      </c>
      <c r="H3778" s="2">
        <f t="array" ref="H3778">_xlfn.XLOOKUP(A3780,Product!A:A,Product!E:E,"Bulunamadı")</f>
        <v>0.89</v>
      </c>
      <c r="I3778" s="2" t="str">
        <f t="shared" si="1"/>
        <v>5695 - Law - Web Development</v>
      </c>
      <c r="J3778" s="2">
        <f t="shared" si="2"/>
        <v>43.61</v>
      </c>
      <c r="K3778" s="17">
        <f t="shared" si="3"/>
        <v>1</v>
      </c>
      <c r="L3778" s="18"/>
    </row>
    <row r="3779" hidden="1">
      <c r="A3779" s="2">
        <f>IFERROR(__xludf.DUMMYFUNCTION("""COMPUTED_VALUE"""),90931.0)</f>
        <v>90931</v>
      </c>
      <c r="B3779" s="2">
        <f>IFERROR(__xludf.DUMMYFUNCTION("""COMPUTED_VALUE"""),0.0)</f>
        <v>0</v>
      </c>
      <c r="C3779" s="2">
        <f>IFERROR(__xludf.DUMMYFUNCTION("""COMPUTED_VALUE"""),118.0)</f>
        <v>118</v>
      </c>
      <c r="D3779" s="3">
        <f>IFERROR(__xludf.DUMMYFUNCTION("""COMPUTED_VALUE"""),92.0)</f>
        <v>92</v>
      </c>
      <c r="E3779" s="1" t="str">
        <f t="array" ref="E3779">_xlfn.XLOOKUP(A3779,Product!A:A,Product!B:B,"Bulunamadı")</f>
        <v>Law</v>
      </c>
      <c r="F3779" s="1" t="str">
        <f t="array" ref="F3779">_xlfn.XLOOKUP(A3779,Product!A:A,Product!C:C,"Bulunamadı")</f>
        <v>Web Development</v>
      </c>
      <c r="G3779" s="2" t="str">
        <f t="array" ref="G3779">_xlfn.XLOOKUP(A3780,Product!A:A,Product!D:D,"Bulunamadı")</f>
        <v>Brighttree Publishing</v>
      </c>
      <c r="H3779" s="2">
        <f t="array" ref="H3779">_xlfn.XLOOKUP(A3781,Product!A:A,Product!E:E,"Bulunamadı")</f>
        <v>2.49</v>
      </c>
      <c r="I3779" s="2" t="str">
        <f t="shared" si="1"/>
        <v>90931 - Law - Web Development</v>
      </c>
      <c r="J3779" s="2">
        <f t="shared" si="2"/>
        <v>229.08</v>
      </c>
      <c r="K3779" s="17">
        <f t="shared" si="3"/>
        <v>1</v>
      </c>
      <c r="L3779" s="18"/>
    </row>
    <row r="3780" hidden="1">
      <c r="A3780" s="2">
        <f>IFERROR(__xludf.DUMMYFUNCTION("""COMPUTED_VALUE"""),110085.0)</f>
        <v>110085</v>
      </c>
      <c r="B3780" s="2">
        <f>IFERROR(__xludf.DUMMYFUNCTION("""COMPUTED_VALUE"""),1.0)</f>
        <v>1</v>
      </c>
      <c r="C3780" s="2">
        <f>IFERROR(__xludf.DUMMYFUNCTION("""COMPUTED_VALUE"""),560.0)</f>
        <v>560</v>
      </c>
      <c r="D3780" s="3">
        <f>IFERROR(__xludf.DUMMYFUNCTION("""COMPUTED_VALUE"""),70.0)</f>
        <v>70</v>
      </c>
      <c r="E3780" s="1" t="str">
        <f t="array" ref="E3780">_xlfn.XLOOKUP(A3780,Product!A:A,Product!B:B,"Bulunamadı")</f>
        <v>Law</v>
      </c>
      <c r="F3780" s="1" t="str">
        <f t="array" ref="F3780">_xlfn.XLOOKUP(A3780,Product!A:A,Product!C:C,"Bulunamadı")</f>
        <v>Web Development</v>
      </c>
      <c r="G3780" s="2" t="str">
        <f t="array" ref="G3780">_xlfn.XLOOKUP(A3781,Product!A:A,Product!D:D,"Bulunamadı")</f>
        <v>Brighttree Publishing</v>
      </c>
      <c r="H3780" s="2">
        <f t="array" ref="H3780">_xlfn.XLOOKUP(A3782,Product!A:A,Product!E:E,"Bulunamadı")</f>
        <v>2.42</v>
      </c>
      <c r="I3780" s="2" t="str">
        <f t="shared" si="1"/>
        <v>110085 - Law - Web Development</v>
      </c>
      <c r="J3780" s="2">
        <f t="shared" si="2"/>
        <v>169.4</v>
      </c>
      <c r="K3780" s="17">
        <f t="shared" si="3"/>
        <v>1</v>
      </c>
      <c r="L3780" s="18"/>
    </row>
    <row r="3781" hidden="1">
      <c r="A3781" s="2">
        <f>IFERROR(__xludf.DUMMYFUNCTION("""COMPUTED_VALUE"""),113096.0)</f>
        <v>113096</v>
      </c>
      <c r="B3781" s="2">
        <f>IFERROR(__xludf.DUMMYFUNCTION("""COMPUTED_VALUE"""),0.0)</f>
        <v>0</v>
      </c>
      <c r="C3781" s="2">
        <f>IFERROR(__xludf.DUMMYFUNCTION("""COMPUTED_VALUE"""),72.0)</f>
        <v>72</v>
      </c>
      <c r="D3781" s="3">
        <f>IFERROR(__xludf.DUMMYFUNCTION("""COMPUTED_VALUE"""),44.0)</f>
        <v>44</v>
      </c>
      <c r="E3781" s="1" t="str">
        <f t="array" ref="E3781">_xlfn.XLOOKUP(A3781,Product!A:A,Product!B:B,"Bulunamadı")</f>
        <v>Law</v>
      </c>
      <c r="F3781" s="1" t="str">
        <f t="array" ref="F3781">_xlfn.XLOOKUP(A3781,Product!A:A,Product!C:C,"Bulunamadı")</f>
        <v>Web Development</v>
      </c>
      <c r="G3781" s="2" t="str">
        <f t="array" ref="G3781">_xlfn.XLOOKUP(A3782,Product!A:A,Product!D:D,"Bulunamadı")</f>
        <v>Brighttree Publishing</v>
      </c>
      <c r="H3781" s="2">
        <f t="array" ref="H3781">_xlfn.XLOOKUP(A3783,Product!A:A,Product!E:E,"Bulunamadı")</f>
        <v>2.19</v>
      </c>
      <c r="I3781" s="2" t="str">
        <f t="shared" si="1"/>
        <v>113096 - Law - Web Development</v>
      </c>
      <c r="J3781" s="2">
        <f t="shared" si="2"/>
        <v>96.36</v>
      </c>
      <c r="K3781" s="17">
        <f t="shared" si="3"/>
        <v>1</v>
      </c>
      <c r="L3781" s="18"/>
    </row>
    <row r="3782" hidden="1">
      <c r="A3782" s="2">
        <f>IFERROR(__xludf.DUMMYFUNCTION("""COMPUTED_VALUE"""),90878.0)</f>
        <v>90878</v>
      </c>
      <c r="B3782" s="2">
        <f>IFERROR(__xludf.DUMMYFUNCTION("""COMPUTED_VALUE"""),1.0)</f>
        <v>1</v>
      </c>
      <c r="C3782" s="2">
        <f>IFERROR(__xludf.DUMMYFUNCTION("""COMPUTED_VALUE"""),455.0)</f>
        <v>455</v>
      </c>
      <c r="D3782" s="3">
        <f>IFERROR(__xludf.DUMMYFUNCTION("""COMPUTED_VALUE"""),381.0)</f>
        <v>381</v>
      </c>
      <c r="E3782" s="1" t="str">
        <f t="array" ref="E3782">_xlfn.XLOOKUP(A3782,Product!A:A,Product!B:B,"Bulunamadı")</f>
        <v>Law</v>
      </c>
      <c r="F3782" s="1" t="str">
        <f t="array" ref="F3782">_xlfn.XLOOKUP(A3782,Product!A:A,Product!C:C,"Bulunamadı")</f>
        <v>Web Development</v>
      </c>
      <c r="G3782" s="2" t="str">
        <f t="array" ref="G3782">_xlfn.XLOOKUP(A3783,Product!A:A,Product!D:D,"Bulunamadı")</f>
        <v>Brighttree Publishing</v>
      </c>
      <c r="H3782" s="2">
        <f t="array" ref="H3782">_xlfn.XLOOKUP(A3784,Product!A:A,Product!E:E,"Bulunamadı")</f>
        <v>3.54</v>
      </c>
      <c r="I3782" s="2" t="str">
        <f t="shared" si="1"/>
        <v>90878 - Law - Web Development</v>
      </c>
      <c r="J3782" s="2">
        <f t="shared" si="2"/>
        <v>1348.74</v>
      </c>
      <c r="K3782" s="17">
        <f t="shared" si="3"/>
        <v>1</v>
      </c>
      <c r="L3782" s="18"/>
    </row>
    <row r="3783" hidden="1">
      <c r="A3783" s="2">
        <f>IFERROR(__xludf.DUMMYFUNCTION("""COMPUTED_VALUE"""),73938.0)</f>
        <v>73938</v>
      </c>
      <c r="B3783" s="2">
        <f>IFERROR(__xludf.DUMMYFUNCTION("""COMPUTED_VALUE"""),1.0)</f>
        <v>1</v>
      </c>
      <c r="C3783" s="2">
        <f>IFERROR(__xludf.DUMMYFUNCTION("""COMPUTED_VALUE"""),754.0)</f>
        <v>754</v>
      </c>
      <c r="D3783" s="3">
        <f>IFERROR(__xludf.DUMMYFUNCTION("""COMPUTED_VALUE"""),312.0)</f>
        <v>312</v>
      </c>
      <c r="E3783" s="1" t="str">
        <f t="array" ref="E3783">_xlfn.XLOOKUP(A3783,Product!A:A,Product!B:B,"Bulunamadı")</f>
        <v>Law</v>
      </c>
      <c r="F3783" s="1" t="str">
        <f t="array" ref="F3783">_xlfn.XLOOKUP(A3783,Product!A:A,Product!C:C,"Bulunamadı")</f>
        <v>Web Development</v>
      </c>
      <c r="G3783" s="2" t="str">
        <f t="array" ref="G3783">_xlfn.XLOOKUP(A3784,Product!A:A,Product!D:D,"Bulunamadı")</f>
        <v>Brighttree Publishing</v>
      </c>
      <c r="H3783" s="2">
        <f t="array" ref="H3783">_xlfn.XLOOKUP(A3785,Product!A:A,Product!E:E,"Bulunamadı")</f>
        <v>1.66</v>
      </c>
      <c r="I3783" s="2" t="str">
        <f t="shared" si="1"/>
        <v>73938 - Law - Web Development</v>
      </c>
      <c r="J3783" s="2">
        <f t="shared" si="2"/>
        <v>517.92</v>
      </c>
      <c r="K3783" s="17">
        <f t="shared" si="3"/>
        <v>1</v>
      </c>
      <c r="L3783" s="18"/>
    </row>
    <row r="3784" hidden="1">
      <c r="A3784" s="2">
        <f>IFERROR(__xludf.DUMMYFUNCTION("""COMPUTED_VALUE"""),5698.0)</f>
        <v>5698</v>
      </c>
      <c r="B3784" s="2">
        <f>IFERROR(__xludf.DUMMYFUNCTION("""COMPUTED_VALUE"""),0.0)</f>
        <v>0</v>
      </c>
      <c r="C3784" s="2">
        <f>IFERROR(__xludf.DUMMYFUNCTION("""COMPUTED_VALUE"""),873.0)</f>
        <v>873</v>
      </c>
      <c r="D3784" s="3">
        <f>IFERROR(__xludf.DUMMYFUNCTION("""COMPUTED_VALUE"""),483.0)</f>
        <v>483</v>
      </c>
      <c r="E3784" s="1" t="str">
        <f t="array" ref="E3784">_xlfn.XLOOKUP(A3784,Product!A:A,Product!B:B,"Bulunamadı")</f>
        <v>Law</v>
      </c>
      <c r="F3784" s="1" t="str">
        <f t="array" ref="F3784">_xlfn.XLOOKUP(A3784,Product!A:A,Product!C:C,"Bulunamadı")</f>
        <v>Web Development</v>
      </c>
      <c r="G3784" s="2" t="str">
        <f t="array" ref="G3784">_xlfn.XLOOKUP(A3785,Product!A:A,Product!D:D,"Bulunamadı")</f>
        <v>Brighttree Publishing</v>
      </c>
      <c r="H3784" s="2">
        <f t="array" ref="H3784">_xlfn.XLOOKUP(A3786,Product!A:A,Product!E:E,"Bulunamadı")</f>
        <v>1.91</v>
      </c>
      <c r="I3784" s="2" t="str">
        <f t="shared" si="1"/>
        <v>5698 - Law - Web Development</v>
      </c>
      <c r="J3784" s="2">
        <f t="shared" si="2"/>
        <v>922.53</v>
      </c>
      <c r="K3784" s="17">
        <f t="shared" si="3"/>
        <v>1</v>
      </c>
      <c r="L3784" s="18"/>
    </row>
    <row r="3785" hidden="1">
      <c r="A3785" s="2">
        <f>IFERROR(__xludf.DUMMYFUNCTION("""COMPUTED_VALUE"""),76373.0)</f>
        <v>76373</v>
      </c>
      <c r="B3785" s="2">
        <f>IFERROR(__xludf.DUMMYFUNCTION("""COMPUTED_VALUE"""),1.0)</f>
        <v>1</v>
      </c>
      <c r="C3785" s="2">
        <f>IFERROR(__xludf.DUMMYFUNCTION("""COMPUTED_VALUE"""),115.0)</f>
        <v>115</v>
      </c>
      <c r="D3785" s="3">
        <f>IFERROR(__xludf.DUMMYFUNCTION("""COMPUTED_VALUE"""),75.0)</f>
        <v>75</v>
      </c>
      <c r="E3785" s="1" t="str">
        <f t="array" ref="E3785">_xlfn.XLOOKUP(A3785,Product!A:A,Product!B:B,"Bulunamadı")</f>
        <v>Law</v>
      </c>
      <c r="F3785" s="1" t="str">
        <f t="array" ref="F3785">_xlfn.XLOOKUP(A3785,Product!A:A,Product!C:C,"Bulunamadı")</f>
        <v>Web Development</v>
      </c>
      <c r="G3785" s="2" t="str">
        <f t="array" ref="G3785">_xlfn.XLOOKUP(A3786,Product!A:A,Product!D:D,"Bulunamadı")</f>
        <v>Brighttree Publishing</v>
      </c>
      <c r="H3785" s="2">
        <f t="array" ref="H3785">_xlfn.XLOOKUP(A3787,Product!A:A,Product!E:E,"Bulunamadı")</f>
        <v>1.23</v>
      </c>
      <c r="I3785" s="2" t="str">
        <f t="shared" si="1"/>
        <v>76373 - Law - Web Development</v>
      </c>
      <c r="J3785" s="2">
        <f t="shared" si="2"/>
        <v>92.25</v>
      </c>
      <c r="K3785" s="17">
        <f t="shared" si="3"/>
        <v>1</v>
      </c>
      <c r="L3785" s="18"/>
    </row>
    <row r="3786" hidden="1">
      <c r="A3786" s="2">
        <f>IFERROR(__xludf.DUMMYFUNCTION("""COMPUTED_VALUE"""),73945.0)</f>
        <v>73945</v>
      </c>
      <c r="B3786" s="2">
        <f>IFERROR(__xludf.DUMMYFUNCTION("""COMPUTED_VALUE"""),0.0)</f>
        <v>0</v>
      </c>
      <c r="C3786" s="2">
        <f>IFERROR(__xludf.DUMMYFUNCTION("""COMPUTED_VALUE"""),529.0)</f>
        <v>529</v>
      </c>
      <c r="D3786" s="3">
        <f>IFERROR(__xludf.DUMMYFUNCTION("""COMPUTED_VALUE"""),383.0)</f>
        <v>383</v>
      </c>
      <c r="E3786" s="1" t="str">
        <f t="array" ref="E3786">_xlfn.XLOOKUP(A3786,Product!A:A,Product!B:B,"Bulunamadı")</f>
        <v>Law</v>
      </c>
      <c r="F3786" s="1" t="str">
        <f t="array" ref="F3786">_xlfn.XLOOKUP(A3786,Product!A:A,Product!C:C,"Bulunamadı")</f>
        <v>Web Development</v>
      </c>
      <c r="G3786" s="2" t="str">
        <f t="array" ref="G3786">_xlfn.XLOOKUP(A3787,Product!A:A,Product!D:D,"Bulunamadı")</f>
        <v>Brighttree Publishing</v>
      </c>
      <c r="H3786" s="2">
        <f t="array" ref="H3786">_xlfn.XLOOKUP(A3788,Product!A:A,Product!E:E,"Bulunamadı")</f>
        <v>3.08</v>
      </c>
      <c r="I3786" s="2" t="str">
        <f t="shared" si="1"/>
        <v>73945 - Law - Web Development</v>
      </c>
      <c r="J3786" s="2">
        <f t="shared" si="2"/>
        <v>1179.64</v>
      </c>
      <c r="K3786" s="17">
        <f t="shared" si="3"/>
        <v>1</v>
      </c>
      <c r="L3786" s="18"/>
    </row>
    <row r="3787" hidden="1">
      <c r="A3787" s="2">
        <f>IFERROR(__xludf.DUMMYFUNCTION("""COMPUTED_VALUE"""),159200.0)</f>
        <v>159200</v>
      </c>
      <c r="B3787" s="2">
        <f>IFERROR(__xludf.DUMMYFUNCTION("""COMPUTED_VALUE"""),1.0)</f>
        <v>1</v>
      </c>
      <c r="C3787" s="2">
        <f>IFERROR(__xludf.DUMMYFUNCTION("""COMPUTED_VALUE"""),695.0)</f>
        <v>695</v>
      </c>
      <c r="D3787" s="3">
        <f>IFERROR(__xludf.DUMMYFUNCTION("""COMPUTED_VALUE"""),486.0)</f>
        <v>486</v>
      </c>
      <c r="E3787" s="1" t="str">
        <f t="array" ref="E3787">_xlfn.XLOOKUP(A3787,Product!A:A,Product!B:B,"Bulunamadı")</f>
        <v>Law</v>
      </c>
      <c r="F3787" s="1" t="str">
        <f t="array" ref="F3787">_xlfn.XLOOKUP(A3787,Product!A:A,Product!C:C,"Bulunamadı")</f>
        <v>Web Development</v>
      </c>
      <c r="G3787" s="2" t="str">
        <f t="array" ref="G3787">_xlfn.XLOOKUP(A3788,Product!A:A,Product!D:D,"Bulunamadı")</f>
        <v>Brighttree Publishing</v>
      </c>
      <c r="H3787" s="2">
        <f t="array" ref="H3787">_xlfn.XLOOKUP(A3789,Product!A:A,Product!E:E,"Bulunamadı")</f>
        <v>3.2</v>
      </c>
      <c r="I3787" s="2" t="str">
        <f t="shared" si="1"/>
        <v>159200 - Law - Web Development</v>
      </c>
      <c r="J3787" s="2">
        <f t="shared" si="2"/>
        <v>1555.2</v>
      </c>
      <c r="K3787" s="17">
        <f t="shared" si="3"/>
        <v>1</v>
      </c>
      <c r="L3787" s="18"/>
    </row>
    <row r="3788" hidden="1">
      <c r="A3788" s="2">
        <f>IFERROR(__xludf.DUMMYFUNCTION("""COMPUTED_VALUE"""),68354.0)</f>
        <v>68354</v>
      </c>
      <c r="B3788" s="2">
        <f>IFERROR(__xludf.DUMMYFUNCTION("""COMPUTED_VALUE"""),1.0)</f>
        <v>1</v>
      </c>
      <c r="C3788" s="2">
        <f>IFERROR(__xludf.DUMMYFUNCTION("""COMPUTED_VALUE"""),248.0)</f>
        <v>248</v>
      </c>
      <c r="D3788" s="3">
        <f>IFERROR(__xludf.DUMMYFUNCTION("""COMPUTED_VALUE"""),191.0)</f>
        <v>191</v>
      </c>
      <c r="E3788" s="1" t="str">
        <f t="array" ref="E3788">_xlfn.XLOOKUP(A3788,Product!A:A,Product!B:B,"Bulunamadı")</f>
        <v>Law</v>
      </c>
      <c r="F3788" s="1" t="str">
        <f t="array" ref="F3788">_xlfn.XLOOKUP(A3788,Product!A:A,Product!C:C,"Bulunamadı")</f>
        <v>Web Development</v>
      </c>
      <c r="G3788" s="2" t="str">
        <f t="array" ref="G3788">_xlfn.XLOOKUP(A3789,Product!A:A,Product!D:D,"Bulunamadı")</f>
        <v>Brighttree Publishing</v>
      </c>
      <c r="H3788" s="2">
        <f t="array" ref="H3788">_xlfn.XLOOKUP(A3790,Product!A:A,Product!E:E,"Bulunamadı")</f>
        <v>3.84</v>
      </c>
      <c r="I3788" s="2" t="str">
        <f t="shared" si="1"/>
        <v>68354 - Law - Web Development</v>
      </c>
      <c r="J3788" s="2">
        <f t="shared" si="2"/>
        <v>733.44</v>
      </c>
      <c r="K3788" s="17">
        <f t="shared" si="3"/>
        <v>1</v>
      </c>
      <c r="L3788" s="18"/>
    </row>
    <row r="3789" hidden="1">
      <c r="A3789" s="2">
        <f>IFERROR(__xludf.DUMMYFUNCTION("""COMPUTED_VALUE"""),5712.0)</f>
        <v>5712</v>
      </c>
      <c r="B3789" s="2">
        <f>IFERROR(__xludf.DUMMYFUNCTION("""COMPUTED_VALUE"""),1.0)</f>
        <v>1</v>
      </c>
      <c r="C3789" s="2">
        <f>IFERROR(__xludf.DUMMYFUNCTION("""COMPUTED_VALUE"""),538.0)</f>
        <v>538</v>
      </c>
      <c r="D3789" s="3">
        <f>IFERROR(__xludf.DUMMYFUNCTION("""COMPUTED_VALUE"""),194.0)</f>
        <v>194</v>
      </c>
      <c r="E3789" s="1" t="str">
        <f t="array" ref="E3789">_xlfn.XLOOKUP(A3789,Product!A:A,Product!B:B,"Bulunamadı")</f>
        <v>Law</v>
      </c>
      <c r="F3789" s="1" t="str">
        <f t="array" ref="F3789">_xlfn.XLOOKUP(A3789,Product!A:A,Product!C:C,"Bulunamadı")</f>
        <v>Web Development</v>
      </c>
      <c r="G3789" s="2" t="str">
        <f t="array" ref="G3789">_xlfn.XLOOKUP(A3790,Product!A:A,Product!D:D,"Bulunamadı")</f>
        <v>Brighttree Publishing</v>
      </c>
      <c r="H3789" s="2">
        <f t="array" ref="H3789">_xlfn.XLOOKUP(A3791,Product!A:A,Product!E:E,"Bulunamadı")</f>
        <v>15.02</v>
      </c>
      <c r="I3789" s="2" t="str">
        <f t="shared" si="1"/>
        <v>5712 - Law - Web Development</v>
      </c>
      <c r="J3789" s="2">
        <f t="shared" si="2"/>
        <v>2913.88</v>
      </c>
      <c r="K3789" s="17">
        <f t="shared" si="3"/>
        <v>1</v>
      </c>
      <c r="L3789" s="18"/>
    </row>
    <row r="3790" hidden="1">
      <c r="A3790" s="2">
        <f>IFERROR(__xludf.DUMMYFUNCTION("""COMPUTED_VALUE"""),114471.0)</f>
        <v>114471</v>
      </c>
      <c r="B3790" s="2">
        <f>IFERROR(__xludf.DUMMYFUNCTION("""COMPUTED_VALUE"""),0.0)</f>
        <v>0</v>
      </c>
      <c r="C3790" s="2">
        <f>IFERROR(__xludf.DUMMYFUNCTION("""COMPUTED_VALUE"""),245.0)</f>
        <v>245</v>
      </c>
      <c r="D3790" s="3">
        <f>IFERROR(__xludf.DUMMYFUNCTION("""COMPUTED_VALUE"""),99.0)</f>
        <v>99</v>
      </c>
      <c r="E3790" s="1" t="str">
        <f t="array" ref="E3790">_xlfn.XLOOKUP(A3790,Product!A:A,Product!B:B,"Bulunamadı")</f>
        <v>Law</v>
      </c>
      <c r="F3790" s="1" t="str">
        <f t="array" ref="F3790">_xlfn.XLOOKUP(A3790,Product!A:A,Product!C:C,"Bulunamadı")</f>
        <v>Web Development</v>
      </c>
      <c r="G3790" s="2" t="str">
        <f t="array" ref="G3790">_xlfn.XLOOKUP(A3791,Product!A:A,Product!D:D,"Bulunamadı")</f>
        <v>Brighttree Publishing</v>
      </c>
      <c r="H3790" s="2">
        <f t="array" ref="H3790">_xlfn.XLOOKUP(A3792,Product!A:A,Product!E:E,"Bulunamadı")</f>
        <v>1.56</v>
      </c>
      <c r="I3790" s="2" t="str">
        <f t="shared" si="1"/>
        <v>114471 - Law - Web Development</v>
      </c>
      <c r="J3790" s="2">
        <f t="shared" si="2"/>
        <v>154.44</v>
      </c>
      <c r="K3790" s="17">
        <f t="shared" si="3"/>
        <v>1</v>
      </c>
      <c r="L3790" s="18"/>
    </row>
    <row r="3791" hidden="1">
      <c r="A3791" s="2">
        <f>IFERROR(__xludf.DUMMYFUNCTION("""COMPUTED_VALUE"""),90934.0)</f>
        <v>90934</v>
      </c>
      <c r="B3791" s="2">
        <f>IFERROR(__xludf.DUMMYFUNCTION("""COMPUTED_VALUE"""),0.0)</f>
        <v>0</v>
      </c>
      <c r="C3791" s="2">
        <f>IFERROR(__xludf.DUMMYFUNCTION("""COMPUTED_VALUE"""),271.0)</f>
        <v>271</v>
      </c>
      <c r="D3791" s="3">
        <f>IFERROR(__xludf.DUMMYFUNCTION("""COMPUTED_VALUE"""),92.0)</f>
        <v>92</v>
      </c>
      <c r="E3791" s="1" t="str">
        <f t="array" ref="E3791">_xlfn.XLOOKUP(A3791,Product!A:A,Product!B:B,"Bulunamadı")</f>
        <v>Law</v>
      </c>
      <c r="F3791" s="1" t="str">
        <f t="array" ref="F3791">_xlfn.XLOOKUP(A3791,Product!A:A,Product!C:C,"Bulunamadı")</f>
        <v>Web Development</v>
      </c>
      <c r="G3791" s="2" t="str">
        <f t="array" ref="G3791">_xlfn.XLOOKUP(A3792,Product!A:A,Product!D:D,"Bulunamadı")</f>
        <v>Brighttree Publishing</v>
      </c>
      <c r="H3791" s="2">
        <f t="array" ref="H3791">_xlfn.XLOOKUP(A3793,Product!A:A,Product!E:E,"Bulunamadı")</f>
        <v>8.49</v>
      </c>
      <c r="I3791" s="2" t="str">
        <f t="shared" si="1"/>
        <v>90934 - Law - Web Development</v>
      </c>
      <c r="J3791" s="2">
        <f t="shared" si="2"/>
        <v>781.08</v>
      </c>
      <c r="K3791" s="17">
        <f t="shared" si="3"/>
        <v>1</v>
      </c>
      <c r="L3791" s="18"/>
    </row>
    <row r="3792" hidden="1">
      <c r="A3792" s="2">
        <f>IFERROR(__xludf.DUMMYFUNCTION("""COMPUTED_VALUE"""),87851.0)</f>
        <v>87851</v>
      </c>
      <c r="B3792" s="2">
        <f>IFERROR(__xludf.DUMMYFUNCTION("""COMPUTED_VALUE"""),0.0)</f>
        <v>0</v>
      </c>
      <c r="C3792" s="2">
        <f>IFERROR(__xludf.DUMMYFUNCTION("""COMPUTED_VALUE"""),26.0)</f>
        <v>26</v>
      </c>
      <c r="D3792" s="3">
        <f>IFERROR(__xludf.DUMMYFUNCTION("""COMPUTED_VALUE"""),19.0)</f>
        <v>19</v>
      </c>
      <c r="E3792" s="1" t="str">
        <f t="array" ref="E3792">_xlfn.XLOOKUP(A3792,Product!A:A,Product!B:B,"Bulunamadı")</f>
        <v>Law</v>
      </c>
      <c r="F3792" s="1" t="str">
        <f t="array" ref="F3792">_xlfn.XLOOKUP(A3792,Product!A:A,Product!C:C,"Bulunamadı")</f>
        <v>Web Development</v>
      </c>
      <c r="G3792" s="2" t="str">
        <f t="array" ref="G3792">_xlfn.XLOOKUP(A3793,Product!A:A,Product!D:D,"Bulunamadı")</f>
        <v>Brighttree Publishing</v>
      </c>
      <c r="H3792" s="2">
        <f t="array" ref="H3792">_xlfn.XLOOKUP(A3794,Product!A:A,Product!E:E,"Bulunamadı")</f>
        <v>2.26</v>
      </c>
      <c r="I3792" s="2" t="str">
        <f t="shared" si="1"/>
        <v>87851 - Law - Web Development</v>
      </c>
      <c r="J3792" s="2">
        <f t="shared" si="2"/>
        <v>42.94</v>
      </c>
      <c r="K3792" s="17">
        <f t="shared" si="3"/>
        <v>1</v>
      </c>
      <c r="L3792" s="18"/>
    </row>
    <row r="3793" hidden="1">
      <c r="A3793" s="2">
        <f>IFERROR(__xludf.DUMMYFUNCTION("""COMPUTED_VALUE"""),90891.0)</f>
        <v>90891</v>
      </c>
      <c r="B3793" s="2">
        <f>IFERROR(__xludf.DUMMYFUNCTION("""COMPUTED_VALUE"""),1.0)</f>
        <v>1</v>
      </c>
      <c r="C3793" s="2">
        <f>IFERROR(__xludf.DUMMYFUNCTION("""COMPUTED_VALUE"""),11.0)</f>
        <v>11</v>
      </c>
      <c r="D3793" s="3">
        <f>IFERROR(__xludf.DUMMYFUNCTION("""COMPUTED_VALUE"""),8.0)</f>
        <v>8</v>
      </c>
      <c r="E3793" s="1" t="str">
        <f t="array" ref="E3793">_xlfn.XLOOKUP(A3793,Product!A:A,Product!B:B,"Bulunamadı")</f>
        <v>Law</v>
      </c>
      <c r="F3793" s="1" t="str">
        <f t="array" ref="F3793">_xlfn.XLOOKUP(A3793,Product!A:A,Product!C:C,"Bulunamadı")</f>
        <v>Web Development</v>
      </c>
      <c r="G3793" s="2" t="str">
        <f t="array" ref="G3793">_xlfn.XLOOKUP(A3794,Product!A:A,Product!D:D,"Bulunamadı")</f>
        <v>Brighttree Publishing</v>
      </c>
      <c r="H3793" s="2">
        <f t="array" ref="H3793">_xlfn.XLOOKUP(A3795,Product!A:A,Product!E:E,"Bulunamadı")</f>
        <v>2.48</v>
      </c>
      <c r="I3793" s="2" t="str">
        <f t="shared" si="1"/>
        <v>90891 - Law - Web Development</v>
      </c>
      <c r="J3793" s="2">
        <f t="shared" si="2"/>
        <v>19.84</v>
      </c>
      <c r="K3793" s="17">
        <f t="shared" si="3"/>
        <v>1</v>
      </c>
      <c r="L3793" s="18"/>
    </row>
    <row r="3794" hidden="1">
      <c r="A3794" s="2">
        <f>IFERROR(__xludf.DUMMYFUNCTION("""COMPUTED_VALUE"""),69579.0)</f>
        <v>69579</v>
      </c>
      <c r="B3794" s="2">
        <f>IFERROR(__xludf.DUMMYFUNCTION("""COMPUTED_VALUE"""),1.0)</f>
        <v>1</v>
      </c>
      <c r="C3794" s="2">
        <f>IFERROR(__xludf.DUMMYFUNCTION("""COMPUTED_VALUE"""),574.0)</f>
        <v>574</v>
      </c>
      <c r="D3794" s="3">
        <f>IFERROR(__xludf.DUMMYFUNCTION("""COMPUTED_VALUE"""),386.0)</f>
        <v>386</v>
      </c>
      <c r="E3794" s="1" t="str">
        <f t="array" ref="E3794">_xlfn.XLOOKUP(A3794,Product!A:A,Product!B:B,"Bulunamadı")</f>
        <v>Law</v>
      </c>
      <c r="F3794" s="1" t="str">
        <f t="array" ref="F3794">_xlfn.XLOOKUP(A3794,Product!A:A,Product!C:C,"Bulunamadı")</f>
        <v>Web Development</v>
      </c>
      <c r="G3794" s="2" t="str">
        <f t="array" ref="G3794">_xlfn.XLOOKUP(A3795,Product!A:A,Product!D:D,"Bulunamadı")</f>
        <v>Brighttree Publishing</v>
      </c>
      <c r="H3794" s="2">
        <f t="array" ref="H3794">_xlfn.XLOOKUP(A3796,Product!A:A,Product!E:E,"Bulunamadı")</f>
        <v>1.53</v>
      </c>
      <c r="I3794" s="2" t="str">
        <f t="shared" si="1"/>
        <v>69579 - Law - Web Development</v>
      </c>
      <c r="J3794" s="2">
        <f t="shared" si="2"/>
        <v>590.58</v>
      </c>
      <c r="K3794" s="17">
        <f t="shared" si="3"/>
        <v>1</v>
      </c>
      <c r="L3794" s="18"/>
    </row>
    <row r="3795" hidden="1">
      <c r="A3795" s="2">
        <f>IFERROR(__xludf.DUMMYFUNCTION("""COMPUTED_VALUE"""),90924.0)</f>
        <v>90924</v>
      </c>
      <c r="B3795" s="2">
        <f>IFERROR(__xludf.DUMMYFUNCTION("""COMPUTED_VALUE"""),1.0)</f>
        <v>1</v>
      </c>
      <c r="C3795" s="2">
        <f>IFERROR(__xludf.DUMMYFUNCTION("""COMPUTED_VALUE"""),924.0)</f>
        <v>924</v>
      </c>
      <c r="D3795" s="3">
        <f>IFERROR(__xludf.DUMMYFUNCTION("""COMPUTED_VALUE"""),333.0)</f>
        <v>333</v>
      </c>
      <c r="E3795" s="1" t="str">
        <f t="array" ref="E3795">_xlfn.XLOOKUP(A3795,Product!A:A,Product!B:B,"Bulunamadı")</f>
        <v>Law</v>
      </c>
      <c r="F3795" s="1" t="str">
        <f t="array" ref="F3795">_xlfn.XLOOKUP(A3795,Product!A:A,Product!C:C,"Bulunamadı")</f>
        <v>Web Development</v>
      </c>
      <c r="G3795" s="2" t="str">
        <f t="array" ref="G3795">_xlfn.XLOOKUP(A3796,Product!A:A,Product!D:D,"Bulunamadı")</f>
        <v>Brighttree Publishing</v>
      </c>
      <c r="H3795" s="2">
        <f t="array" ref="H3795">_xlfn.XLOOKUP(A3797,Product!A:A,Product!E:E,"Bulunamadı")</f>
        <v>3.17</v>
      </c>
      <c r="I3795" s="2" t="str">
        <f t="shared" si="1"/>
        <v>90924 - Law - Web Development</v>
      </c>
      <c r="J3795" s="2">
        <f t="shared" si="2"/>
        <v>1055.61</v>
      </c>
      <c r="K3795" s="17">
        <f t="shared" si="3"/>
        <v>1</v>
      </c>
      <c r="L3795" s="18"/>
    </row>
    <row r="3796" hidden="1">
      <c r="A3796" s="2">
        <f>IFERROR(__xludf.DUMMYFUNCTION("""COMPUTED_VALUE"""),69311.0)</f>
        <v>69311</v>
      </c>
      <c r="B3796" s="2">
        <f>IFERROR(__xludf.DUMMYFUNCTION("""COMPUTED_VALUE"""),0.0)</f>
        <v>0</v>
      </c>
      <c r="C3796" s="2">
        <f>IFERROR(__xludf.DUMMYFUNCTION("""COMPUTED_VALUE"""),648.0)</f>
        <v>648</v>
      </c>
      <c r="D3796" s="3">
        <f>IFERROR(__xludf.DUMMYFUNCTION("""COMPUTED_VALUE"""),473.0)</f>
        <v>473</v>
      </c>
      <c r="E3796" s="1" t="str">
        <f t="array" ref="E3796">_xlfn.XLOOKUP(A3796,Product!A:A,Product!B:B,"Bulunamadı")</f>
        <v>Law</v>
      </c>
      <c r="F3796" s="1" t="str">
        <f t="array" ref="F3796">_xlfn.XLOOKUP(A3796,Product!A:A,Product!C:C,"Bulunamadı")</f>
        <v>Web Development</v>
      </c>
      <c r="G3796" s="2" t="str">
        <f t="array" ref="G3796">_xlfn.XLOOKUP(A3797,Product!A:A,Product!D:D,"Bulunamadı")</f>
        <v>Oaktree Books</v>
      </c>
      <c r="H3796" s="2">
        <f t="array" ref="H3796">_xlfn.XLOOKUP(A3798,Product!A:A,Product!E:E,"Bulunamadı")</f>
        <v>2.1</v>
      </c>
      <c r="I3796" s="2" t="str">
        <f t="shared" si="1"/>
        <v>69311 - Law - Web Development</v>
      </c>
      <c r="J3796" s="2">
        <f t="shared" si="2"/>
        <v>993.3</v>
      </c>
      <c r="K3796" s="17">
        <f t="shared" si="3"/>
        <v>1</v>
      </c>
      <c r="L3796" s="18"/>
    </row>
    <row r="3797" hidden="1">
      <c r="A3797" s="2">
        <f>IFERROR(__xludf.DUMMYFUNCTION("""COMPUTED_VALUE"""),90923.0)</f>
        <v>90923</v>
      </c>
      <c r="B3797" s="2">
        <f>IFERROR(__xludf.DUMMYFUNCTION("""COMPUTED_VALUE"""),1.0)</f>
        <v>1</v>
      </c>
      <c r="C3797" s="2">
        <f>IFERROR(__xludf.DUMMYFUNCTION("""COMPUTED_VALUE"""),717.0)</f>
        <v>717</v>
      </c>
      <c r="D3797" s="3">
        <f>IFERROR(__xludf.DUMMYFUNCTION("""COMPUTED_VALUE"""),156.0)</f>
        <v>156</v>
      </c>
      <c r="E3797" s="1" t="str">
        <f t="array" ref="E3797">_xlfn.XLOOKUP(A3797,Product!A:A,Product!B:B,"Bulunamadı")</f>
        <v>Law</v>
      </c>
      <c r="F3797" s="1" t="str">
        <f t="array" ref="F3797">_xlfn.XLOOKUP(A3797,Product!A:A,Product!C:C,"Bulunamadı")</f>
        <v>Web Development</v>
      </c>
      <c r="G3797" s="2" t="str">
        <f t="array" ref="G3797">_xlfn.XLOOKUP(A3798,Product!A:A,Product!D:D,"Bulunamadı")</f>
        <v>Oaktree Books</v>
      </c>
      <c r="H3797" s="2">
        <f t="array" ref="H3797">_xlfn.XLOOKUP(A3799,Product!A:A,Product!E:E,"Bulunamadı")</f>
        <v>0.69</v>
      </c>
      <c r="I3797" s="2" t="str">
        <f t="shared" si="1"/>
        <v>90923 - Law - Web Development</v>
      </c>
      <c r="J3797" s="2">
        <f t="shared" si="2"/>
        <v>107.64</v>
      </c>
      <c r="K3797" s="17">
        <f t="shared" si="3"/>
        <v>1</v>
      </c>
      <c r="L3797" s="18"/>
    </row>
    <row r="3798" hidden="1">
      <c r="A3798" s="2">
        <f>IFERROR(__xludf.DUMMYFUNCTION("""COMPUTED_VALUE"""),159197.0)</f>
        <v>159197</v>
      </c>
      <c r="B3798" s="2">
        <f>IFERROR(__xludf.DUMMYFUNCTION("""COMPUTED_VALUE"""),0.0)</f>
        <v>0</v>
      </c>
      <c r="C3798" s="2">
        <f>IFERROR(__xludf.DUMMYFUNCTION("""COMPUTED_VALUE"""),529.0)</f>
        <v>529</v>
      </c>
      <c r="D3798" s="3">
        <f>IFERROR(__xludf.DUMMYFUNCTION("""COMPUTED_VALUE"""),375.0)</f>
        <v>375</v>
      </c>
      <c r="E3798" s="1" t="str">
        <f t="array" ref="E3798">_xlfn.XLOOKUP(A3798,Product!A:A,Product!B:B,"Bulunamadı")</f>
        <v>Law</v>
      </c>
      <c r="F3798" s="1" t="str">
        <f t="array" ref="F3798">_xlfn.XLOOKUP(A3798,Product!A:A,Product!C:C,"Bulunamadı")</f>
        <v>Web Development</v>
      </c>
      <c r="G3798" s="2" t="str">
        <f t="array" ref="G3798">_xlfn.XLOOKUP(A3799,Product!A:A,Product!D:D,"Bulunamadı")</f>
        <v>Oaktree Books</v>
      </c>
      <c r="H3798" s="2">
        <f t="array" ref="H3798">_xlfn.XLOOKUP(A3800,Product!A:A,Product!E:E,"Bulunamadı")</f>
        <v>2.99</v>
      </c>
      <c r="I3798" s="2" t="str">
        <f t="shared" si="1"/>
        <v>159197 - Law - Web Development</v>
      </c>
      <c r="J3798" s="2">
        <f t="shared" si="2"/>
        <v>1121.25</v>
      </c>
      <c r="K3798" s="17">
        <f t="shared" si="3"/>
        <v>1</v>
      </c>
      <c r="L3798" s="18"/>
    </row>
    <row r="3799" hidden="1">
      <c r="A3799" s="2">
        <f>IFERROR(__xludf.DUMMYFUNCTION("""COMPUTED_VALUE"""),88268.0)</f>
        <v>88268</v>
      </c>
      <c r="B3799" s="2">
        <f>IFERROR(__xludf.DUMMYFUNCTION("""COMPUTED_VALUE"""),1.0)</f>
        <v>1</v>
      </c>
      <c r="C3799" s="2">
        <f>IFERROR(__xludf.DUMMYFUNCTION("""COMPUTED_VALUE"""),627.0)</f>
        <v>627</v>
      </c>
      <c r="D3799" s="3">
        <f>IFERROR(__xludf.DUMMYFUNCTION("""COMPUTED_VALUE"""),518.0)</f>
        <v>518</v>
      </c>
      <c r="E3799" s="1" t="str">
        <f t="array" ref="E3799">_xlfn.XLOOKUP(A3799,Product!A:A,Product!B:B,"Bulunamadı")</f>
        <v>Law</v>
      </c>
      <c r="F3799" s="1" t="str">
        <f t="array" ref="F3799">_xlfn.XLOOKUP(A3799,Product!A:A,Product!C:C,"Bulunamadı")</f>
        <v>Web Development</v>
      </c>
      <c r="G3799" s="2" t="str">
        <f t="array" ref="G3799">_xlfn.XLOOKUP(A3800,Product!A:A,Product!D:D,"Bulunamadı")</f>
        <v>Oaktree Books</v>
      </c>
      <c r="H3799" s="2">
        <f t="array" ref="H3799">_xlfn.XLOOKUP(A3801,Product!A:A,Product!E:E,"Bulunamadı")</f>
        <v>1.47</v>
      </c>
      <c r="I3799" s="2" t="str">
        <f t="shared" si="1"/>
        <v>88268 - Law - Web Development</v>
      </c>
      <c r="J3799" s="2">
        <f t="shared" si="2"/>
        <v>761.46</v>
      </c>
      <c r="K3799" s="17">
        <f t="shared" si="3"/>
        <v>1</v>
      </c>
      <c r="L3799" s="18"/>
    </row>
    <row r="3800" hidden="1">
      <c r="A3800" s="2">
        <f>IFERROR(__xludf.DUMMYFUNCTION("""COMPUTED_VALUE"""),90913.0)</f>
        <v>90913</v>
      </c>
      <c r="B3800" s="2">
        <f>IFERROR(__xludf.DUMMYFUNCTION("""COMPUTED_VALUE"""),0.0)</f>
        <v>0</v>
      </c>
      <c r="C3800" s="2">
        <f>IFERROR(__xludf.DUMMYFUNCTION("""COMPUTED_VALUE"""),295.0)</f>
        <v>295</v>
      </c>
      <c r="D3800" s="3">
        <f>IFERROR(__xludf.DUMMYFUNCTION("""COMPUTED_VALUE"""),236.0)</f>
        <v>236</v>
      </c>
      <c r="E3800" s="1" t="str">
        <f t="array" ref="E3800">_xlfn.XLOOKUP(A3800,Product!A:A,Product!B:B,"Bulunamadı")</f>
        <v>Law</v>
      </c>
      <c r="F3800" s="1" t="str">
        <f t="array" ref="F3800">_xlfn.XLOOKUP(A3800,Product!A:A,Product!C:C,"Bulunamadı")</f>
        <v>Web Development</v>
      </c>
      <c r="G3800" s="2" t="str">
        <f t="array" ref="G3800">_xlfn.XLOOKUP(A3801,Product!A:A,Product!D:D,"Bulunamadı")</f>
        <v>Oaktree Books</v>
      </c>
      <c r="H3800" s="2">
        <f t="array" ref="H3800">_xlfn.XLOOKUP(A3802,Product!A:A,Product!E:E,"Bulunamadı")</f>
        <v>1.27</v>
      </c>
      <c r="I3800" s="2" t="str">
        <f t="shared" si="1"/>
        <v>90913 - Law - Web Development</v>
      </c>
      <c r="J3800" s="2">
        <f t="shared" si="2"/>
        <v>299.72</v>
      </c>
      <c r="K3800" s="17">
        <f t="shared" si="3"/>
        <v>1</v>
      </c>
      <c r="L3800" s="18"/>
    </row>
    <row r="3801" hidden="1">
      <c r="A3801" s="2">
        <f>IFERROR(__xludf.DUMMYFUNCTION("""COMPUTED_VALUE"""),76365.0)</f>
        <v>76365</v>
      </c>
      <c r="B3801" s="2">
        <f>IFERROR(__xludf.DUMMYFUNCTION("""COMPUTED_VALUE"""),1.0)</f>
        <v>1</v>
      </c>
      <c r="C3801" s="2">
        <f>IFERROR(__xludf.DUMMYFUNCTION("""COMPUTED_VALUE"""),971.0)</f>
        <v>971</v>
      </c>
      <c r="D3801" s="3">
        <f>IFERROR(__xludf.DUMMYFUNCTION("""COMPUTED_VALUE"""),654.0)</f>
        <v>654</v>
      </c>
      <c r="E3801" s="1" t="str">
        <f t="array" ref="E3801">_xlfn.XLOOKUP(A3801,Product!A:A,Product!B:B,"Bulunamadı")</f>
        <v>Law</v>
      </c>
      <c r="F3801" s="1" t="str">
        <f t="array" ref="F3801">_xlfn.XLOOKUP(A3801,Product!A:A,Product!C:C,"Bulunamadı")</f>
        <v>Web Development</v>
      </c>
      <c r="G3801" s="2" t="str">
        <f t="array" ref="G3801">_xlfn.XLOOKUP(A3802,Product!A:A,Product!D:D,"Bulunamadı")</f>
        <v>Oaktree Books</v>
      </c>
      <c r="H3801" s="2">
        <f t="array" ref="H3801">_xlfn.XLOOKUP(A3803,Product!A:A,Product!E:E,"Bulunamadı")</f>
        <v>1.64</v>
      </c>
      <c r="I3801" s="2" t="str">
        <f t="shared" si="1"/>
        <v>76365 - Law - Web Development</v>
      </c>
      <c r="J3801" s="2">
        <f t="shared" si="2"/>
        <v>1072.56</v>
      </c>
      <c r="K3801" s="17">
        <f t="shared" si="3"/>
        <v>1</v>
      </c>
      <c r="L3801" s="18"/>
    </row>
    <row r="3802" hidden="1">
      <c r="A3802" s="2">
        <f>IFERROR(__xludf.DUMMYFUNCTION("""COMPUTED_VALUE"""),9205.0)</f>
        <v>9205</v>
      </c>
      <c r="B3802" s="2">
        <f>IFERROR(__xludf.DUMMYFUNCTION("""COMPUTED_VALUE"""),0.0)</f>
        <v>0</v>
      </c>
      <c r="C3802" s="2">
        <f>IFERROR(__xludf.DUMMYFUNCTION("""COMPUTED_VALUE"""),38.0)</f>
        <v>38</v>
      </c>
      <c r="D3802" s="3">
        <f>IFERROR(__xludf.DUMMYFUNCTION("""COMPUTED_VALUE"""),13.0)</f>
        <v>13</v>
      </c>
      <c r="E3802" s="1" t="str">
        <f t="array" ref="E3802">_xlfn.XLOOKUP(A3802,Product!A:A,Product!B:B,"Bulunamadı")</f>
        <v>Law</v>
      </c>
      <c r="F3802" s="1" t="str">
        <f t="array" ref="F3802">_xlfn.XLOOKUP(A3802,Product!A:A,Product!C:C,"Bulunamadı")</f>
        <v>Web Development</v>
      </c>
      <c r="G3802" s="2" t="str">
        <f t="array" ref="G3802">_xlfn.XLOOKUP(A3803,Product!A:A,Product!D:D,"Bulunamadı")</f>
        <v>Oaktree Books</v>
      </c>
      <c r="H3802" s="2">
        <f t="array" ref="H3802">_xlfn.XLOOKUP(A3804,Product!A:A,Product!E:E,"Bulunamadı")</f>
        <v>2.96</v>
      </c>
      <c r="I3802" s="2" t="str">
        <f t="shared" si="1"/>
        <v>9205 - Law - Web Development</v>
      </c>
      <c r="J3802" s="2">
        <f t="shared" si="2"/>
        <v>38.48</v>
      </c>
      <c r="K3802" s="17">
        <f t="shared" si="3"/>
        <v>1</v>
      </c>
      <c r="L3802" s="18"/>
    </row>
    <row r="3803" hidden="1">
      <c r="A3803" s="2">
        <f>IFERROR(__xludf.DUMMYFUNCTION("""COMPUTED_VALUE"""),76363.0)</f>
        <v>76363</v>
      </c>
      <c r="B3803" s="2">
        <f>IFERROR(__xludf.DUMMYFUNCTION("""COMPUTED_VALUE"""),0.0)</f>
        <v>0</v>
      </c>
      <c r="C3803" s="2">
        <f>IFERROR(__xludf.DUMMYFUNCTION("""COMPUTED_VALUE"""),525.0)</f>
        <v>525</v>
      </c>
      <c r="D3803" s="3">
        <f>IFERROR(__xludf.DUMMYFUNCTION("""COMPUTED_VALUE"""),115.0)</f>
        <v>115</v>
      </c>
      <c r="E3803" s="1" t="str">
        <f t="array" ref="E3803">_xlfn.XLOOKUP(A3803,Product!A:A,Product!B:B,"Bulunamadı")</f>
        <v>Law</v>
      </c>
      <c r="F3803" s="1" t="str">
        <f t="array" ref="F3803">_xlfn.XLOOKUP(A3803,Product!A:A,Product!C:C,"Bulunamadı")</f>
        <v>Web Development</v>
      </c>
      <c r="G3803" s="2" t="str">
        <f t="array" ref="G3803">_xlfn.XLOOKUP(A3804,Product!A:A,Product!D:D,"Bulunamadı")</f>
        <v>Oaktree Books</v>
      </c>
      <c r="H3803" s="2">
        <f t="array" ref="H3803">_xlfn.XLOOKUP(A3805,Product!A:A,Product!E:E,"Bulunamadı")</f>
        <v>1.56</v>
      </c>
      <c r="I3803" s="2" t="str">
        <f t="shared" si="1"/>
        <v>76363 - Law - Web Development</v>
      </c>
      <c r="J3803" s="2">
        <f t="shared" si="2"/>
        <v>179.4</v>
      </c>
      <c r="K3803" s="17">
        <f t="shared" si="3"/>
        <v>1</v>
      </c>
      <c r="L3803" s="18"/>
    </row>
    <row r="3804" hidden="1">
      <c r="A3804" s="2">
        <f>IFERROR(__xludf.DUMMYFUNCTION("""COMPUTED_VALUE"""),121967.0)</f>
        <v>121967</v>
      </c>
      <c r="B3804" s="2">
        <f>IFERROR(__xludf.DUMMYFUNCTION("""COMPUTED_VALUE"""),1.0)</f>
        <v>1</v>
      </c>
      <c r="C3804" s="2">
        <f>IFERROR(__xludf.DUMMYFUNCTION("""COMPUTED_VALUE"""),556.0)</f>
        <v>556</v>
      </c>
      <c r="D3804" s="3">
        <f>IFERROR(__xludf.DUMMYFUNCTION("""COMPUTED_VALUE"""),125.0)</f>
        <v>125</v>
      </c>
      <c r="E3804" s="1" t="str">
        <f t="array" ref="E3804">_xlfn.XLOOKUP(A3804,Product!A:A,Product!B:B,"Bulunamadı")</f>
        <v>Law</v>
      </c>
      <c r="F3804" s="1" t="str">
        <f t="array" ref="F3804">_xlfn.XLOOKUP(A3804,Product!A:A,Product!C:C,"Bulunamadı")</f>
        <v>Web Development</v>
      </c>
      <c r="G3804" s="2" t="str">
        <f t="array" ref="G3804">_xlfn.XLOOKUP(A3805,Product!A:A,Product!D:D,"Bulunamadı")</f>
        <v>Oaktree Books</v>
      </c>
      <c r="H3804" s="2">
        <f t="array" ref="H3804">_xlfn.XLOOKUP(A3806,Product!A:A,Product!E:E,"Bulunamadı")</f>
        <v>1.58</v>
      </c>
      <c r="I3804" s="2" t="str">
        <f t="shared" si="1"/>
        <v>121967 - Law - Web Development</v>
      </c>
      <c r="J3804" s="2">
        <f t="shared" si="2"/>
        <v>197.5</v>
      </c>
      <c r="K3804" s="17">
        <f t="shared" si="3"/>
        <v>1</v>
      </c>
      <c r="L3804" s="18"/>
    </row>
    <row r="3805" hidden="1">
      <c r="A3805" s="2">
        <f>IFERROR(__xludf.DUMMYFUNCTION("""COMPUTED_VALUE"""),90935.0)</f>
        <v>90935</v>
      </c>
      <c r="B3805" s="2">
        <f>IFERROR(__xludf.DUMMYFUNCTION("""COMPUTED_VALUE"""),0.0)</f>
        <v>0</v>
      </c>
      <c r="C3805" s="2">
        <f>IFERROR(__xludf.DUMMYFUNCTION("""COMPUTED_VALUE"""),197.0)</f>
        <v>197</v>
      </c>
      <c r="D3805" s="3">
        <f>IFERROR(__xludf.DUMMYFUNCTION("""COMPUTED_VALUE"""),170.0)</f>
        <v>170</v>
      </c>
      <c r="E3805" s="1" t="str">
        <f t="array" ref="E3805">_xlfn.XLOOKUP(A3805,Product!A:A,Product!B:B,"Bulunamadı")</f>
        <v>Law</v>
      </c>
      <c r="F3805" s="1" t="str">
        <f t="array" ref="F3805">_xlfn.XLOOKUP(A3805,Product!A:A,Product!C:C,"Bulunamadı")</f>
        <v>Web Development</v>
      </c>
      <c r="G3805" s="2" t="str">
        <f t="array" ref="G3805">_xlfn.XLOOKUP(A3806,Product!A:A,Product!D:D,"Bulunamadı")</f>
        <v>Oaktree Books</v>
      </c>
      <c r="H3805" s="2">
        <f t="array" ref="H3805">_xlfn.XLOOKUP(A3807,Product!A:A,Product!E:E,"Bulunamadı")</f>
        <v>9.47</v>
      </c>
      <c r="I3805" s="2" t="str">
        <f t="shared" si="1"/>
        <v>90935 - Law - Web Development</v>
      </c>
      <c r="J3805" s="2">
        <f t="shared" si="2"/>
        <v>1609.9</v>
      </c>
      <c r="K3805" s="17">
        <f t="shared" si="3"/>
        <v>1</v>
      </c>
      <c r="L3805" s="18"/>
    </row>
    <row r="3806" hidden="1">
      <c r="A3806" s="2">
        <f>IFERROR(__xludf.DUMMYFUNCTION("""COMPUTED_VALUE"""),87126.0)</f>
        <v>87126</v>
      </c>
      <c r="B3806" s="2">
        <f>IFERROR(__xludf.DUMMYFUNCTION("""COMPUTED_VALUE"""),0.0)</f>
        <v>0</v>
      </c>
      <c r="C3806" s="2">
        <f>IFERROR(__xludf.DUMMYFUNCTION("""COMPUTED_VALUE"""),61.0)</f>
        <v>61</v>
      </c>
      <c r="D3806" s="3">
        <f>IFERROR(__xludf.DUMMYFUNCTION("""COMPUTED_VALUE"""),43.0)</f>
        <v>43</v>
      </c>
      <c r="E3806" s="1" t="str">
        <f t="array" ref="E3806">_xlfn.XLOOKUP(A3806,Product!A:A,Product!B:B,"Bulunamadı")</f>
        <v>Law</v>
      </c>
      <c r="F3806" s="1" t="str">
        <f t="array" ref="F3806">_xlfn.XLOOKUP(A3806,Product!A:A,Product!C:C,"Bulunamadı")</f>
        <v>Web Development</v>
      </c>
      <c r="G3806" s="2" t="str">
        <f t="array" ref="G3806">_xlfn.XLOOKUP(A3807,Product!A:A,Product!D:D,"Bulunamadı")</f>
        <v>Oaktree Books</v>
      </c>
      <c r="H3806" s="2">
        <f t="array" ref="H3806">_xlfn.XLOOKUP(A3808,Product!A:A,Product!E:E,"Bulunamadı")</f>
        <v>2.1</v>
      </c>
      <c r="I3806" s="2" t="str">
        <f t="shared" si="1"/>
        <v>87126 - Law - Web Development</v>
      </c>
      <c r="J3806" s="2">
        <f t="shared" si="2"/>
        <v>90.3</v>
      </c>
      <c r="K3806" s="17">
        <f t="shared" si="3"/>
        <v>1</v>
      </c>
      <c r="L3806" s="18"/>
    </row>
    <row r="3807" hidden="1">
      <c r="A3807" s="2">
        <f>IFERROR(__xludf.DUMMYFUNCTION("""COMPUTED_VALUE"""),90928.0)</f>
        <v>90928</v>
      </c>
      <c r="B3807" s="2">
        <f>IFERROR(__xludf.DUMMYFUNCTION("""COMPUTED_VALUE"""),0.0)</f>
        <v>0</v>
      </c>
      <c r="C3807" s="2">
        <f>IFERROR(__xludf.DUMMYFUNCTION("""COMPUTED_VALUE"""),592.0)</f>
        <v>592</v>
      </c>
      <c r="D3807" s="3">
        <f>IFERROR(__xludf.DUMMYFUNCTION("""COMPUTED_VALUE"""),514.0)</f>
        <v>514</v>
      </c>
      <c r="E3807" s="1" t="str">
        <f t="array" ref="E3807">_xlfn.XLOOKUP(A3807,Product!A:A,Product!B:B,"Bulunamadı")</f>
        <v>Law</v>
      </c>
      <c r="F3807" s="1" t="str">
        <f t="array" ref="F3807">_xlfn.XLOOKUP(A3807,Product!A:A,Product!C:C,"Bulunamadı")</f>
        <v>Web Development</v>
      </c>
      <c r="G3807" s="2" t="str">
        <f t="array" ref="G3807">_xlfn.XLOOKUP(A3808,Product!A:A,Product!D:D,"Bulunamadı")</f>
        <v>Oaktree Books</v>
      </c>
      <c r="H3807" s="2">
        <f t="array" ref="H3807">_xlfn.XLOOKUP(A3809,Product!A:A,Product!E:E,"Bulunamadı")</f>
        <v>2.67</v>
      </c>
      <c r="I3807" s="2" t="str">
        <f t="shared" si="1"/>
        <v>90928 - Law - Web Development</v>
      </c>
      <c r="J3807" s="2">
        <f t="shared" si="2"/>
        <v>1372.38</v>
      </c>
      <c r="K3807" s="17">
        <f t="shared" si="3"/>
        <v>1</v>
      </c>
      <c r="L3807" s="18"/>
    </row>
    <row r="3808" hidden="1">
      <c r="A3808" s="2">
        <f>IFERROR(__xludf.DUMMYFUNCTION("""COMPUTED_VALUE"""),90912.0)</f>
        <v>90912</v>
      </c>
      <c r="B3808" s="2">
        <f>IFERROR(__xludf.DUMMYFUNCTION("""COMPUTED_VALUE"""),1.0)</f>
        <v>1</v>
      </c>
      <c r="C3808" s="2">
        <f>IFERROR(__xludf.DUMMYFUNCTION("""COMPUTED_VALUE"""),847.0)</f>
        <v>847</v>
      </c>
      <c r="D3808" s="3">
        <f>IFERROR(__xludf.DUMMYFUNCTION("""COMPUTED_VALUE"""),622.0)</f>
        <v>622</v>
      </c>
      <c r="E3808" s="1" t="str">
        <f t="array" ref="E3808">_xlfn.XLOOKUP(A3808,Product!A:A,Product!B:B,"Bulunamadı")</f>
        <v>Law</v>
      </c>
      <c r="F3808" s="1" t="str">
        <f t="array" ref="F3808">_xlfn.XLOOKUP(A3808,Product!A:A,Product!C:C,"Bulunamadı")</f>
        <v>Web Development</v>
      </c>
      <c r="G3808" s="2" t="str">
        <f t="array" ref="G3808">_xlfn.XLOOKUP(A3809,Product!A:A,Product!D:D,"Bulunamadı")</f>
        <v>Oaktree Books</v>
      </c>
      <c r="H3808" s="2">
        <f t="array" ref="H3808">_xlfn.XLOOKUP(A3810,Product!A:A,Product!E:E,"Bulunamadı")</f>
        <v>3.19</v>
      </c>
      <c r="I3808" s="2" t="str">
        <f t="shared" si="1"/>
        <v>90912 - Law - Web Development</v>
      </c>
      <c r="J3808" s="2">
        <f t="shared" si="2"/>
        <v>1984.18</v>
      </c>
      <c r="K3808" s="17">
        <f t="shared" si="3"/>
        <v>1</v>
      </c>
      <c r="L3808" s="18"/>
    </row>
    <row r="3809" hidden="1">
      <c r="A3809" s="2">
        <f>IFERROR(__xludf.DUMMYFUNCTION("""COMPUTED_VALUE"""),48508.0)</f>
        <v>48508</v>
      </c>
      <c r="B3809" s="2">
        <f>IFERROR(__xludf.DUMMYFUNCTION("""COMPUTED_VALUE"""),1.0)</f>
        <v>1</v>
      </c>
      <c r="C3809" s="2">
        <f>IFERROR(__xludf.DUMMYFUNCTION("""COMPUTED_VALUE"""),80.0)</f>
        <v>80</v>
      </c>
      <c r="D3809" s="3">
        <f>IFERROR(__xludf.DUMMYFUNCTION("""COMPUTED_VALUE"""),10.0)</f>
        <v>10</v>
      </c>
      <c r="E3809" s="1" t="str">
        <f t="array" ref="E3809">_xlfn.XLOOKUP(A3809,Product!A:A,Product!B:B,"Bulunamadı")</f>
        <v>Law</v>
      </c>
      <c r="F3809" s="1" t="str">
        <f t="array" ref="F3809">_xlfn.XLOOKUP(A3809,Product!A:A,Product!C:C,"Bulunamadı")</f>
        <v>Web Development</v>
      </c>
      <c r="G3809" s="2" t="str">
        <f t="array" ref="G3809">_xlfn.XLOOKUP(A3810,Product!A:A,Product!D:D,"Bulunamadı")</f>
        <v>Oaktree Books</v>
      </c>
      <c r="H3809" s="2">
        <f t="array" ref="H3809">_xlfn.XLOOKUP(A3811,Product!A:A,Product!E:E,"Bulunamadı")</f>
        <v>1.58</v>
      </c>
      <c r="I3809" s="2" t="str">
        <f t="shared" si="1"/>
        <v>48508 - Law - Web Development</v>
      </c>
      <c r="J3809" s="2">
        <f t="shared" si="2"/>
        <v>15.8</v>
      </c>
      <c r="K3809" s="17">
        <f t="shared" si="3"/>
        <v>1</v>
      </c>
      <c r="L3809" s="18"/>
    </row>
    <row r="3810" hidden="1">
      <c r="A3810" s="2">
        <f>IFERROR(__xludf.DUMMYFUNCTION("""COMPUTED_VALUE"""),90853.0)</f>
        <v>90853</v>
      </c>
      <c r="B3810" s="2">
        <f>IFERROR(__xludf.DUMMYFUNCTION("""COMPUTED_VALUE"""),0.0)</f>
        <v>0</v>
      </c>
      <c r="C3810" s="2">
        <f>IFERROR(__xludf.DUMMYFUNCTION("""COMPUTED_VALUE"""),247.0)</f>
        <v>247</v>
      </c>
      <c r="D3810" s="3">
        <f>IFERROR(__xludf.DUMMYFUNCTION("""COMPUTED_VALUE"""),15.0)</f>
        <v>15</v>
      </c>
      <c r="E3810" s="1" t="str">
        <f t="array" ref="E3810">_xlfn.XLOOKUP(A3810,Product!A:A,Product!B:B,"Bulunamadı")</f>
        <v>Law</v>
      </c>
      <c r="F3810" s="1" t="str">
        <f t="array" ref="F3810">_xlfn.XLOOKUP(A3810,Product!A:A,Product!C:C,"Bulunamadı")</f>
        <v>Web Development</v>
      </c>
      <c r="G3810" s="2" t="str">
        <f t="array" ref="G3810">_xlfn.XLOOKUP(A3811,Product!A:A,Product!D:D,"Bulunamadı")</f>
        <v>Rivertree Press</v>
      </c>
      <c r="H3810" s="2">
        <f t="array" ref="H3810">_xlfn.XLOOKUP(A3812,Product!A:A,Product!E:E,"Bulunamadı")</f>
        <v>3.45</v>
      </c>
      <c r="I3810" s="2" t="str">
        <f t="shared" si="1"/>
        <v>90853 - Law - Web Development</v>
      </c>
      <c r="J3810" s="2">
        <f t="shared" si="2"/>
        <v>51.75</v>
      </c>
      <c r="K3810" s="17">
        <f t="shared" si="3"/>
        <v>1</v>
      </c>
      <c r="L3810" s="18"/>
    </row>
    <row r="3811" hidden="1">
      <c r="A3811" s="2">
        <f>IFERROR(__xludf.DUMMYFUNCTION("""COMPUTED_VALUE"""),117628.0)</f>
        <v>117628</v>
      </c>
      <c r="B3811" s="2">
        <f>IFERROR(__xludf.DUMMYFUNCTION("""COMPUTED_VALUE"""),0.0)</f>
        <v>0</v>
      </c>
      <c r="C3811" s="2">
        <f>IFERROR(__xludf.DUMMYFUNCTION("""COMPUTED_VALUE"""),309.0)</f>
        <v>309</v>
      </c>
      <c r="D3811" s="3">
        <f>IFERROR(__xludf.DUMMYFUNCTION("""COMPUTED_VALUE"""),89.0)</f>
        <v>89</v>
      </c>
      <c r="E3811" s="1" t="str">
        <f t="array" ref="E3811">_xlfn.XLOOKUP(A3811,Product!A:A,Product!B:B,"Bulunamadı")</f>
        <v>Law</v>
      </c>
      <c r="F3811" s="1" t="str">
        <f t="array" ref="F3811">_xlfn.XLOOKUP(A3811,Product!A:A,Product!C:C,"Bulunamadı")</f>
        <v>Web Development</v>
      </c>
      <c r="G3811" s="2" t="str">
        <f t="array" ref="G3811">_xlfn.XLOOKUP(A3812,Product!A:A,Product!D:D,"Bulunamadı")</f>
        <v>Rivertree Press</v>
      </c>
      <c r="H3811" s="2">
        <f t="array" ref="H3811">_xlfn.XLOOKUP(A3813,Product!A:A,Product!E:E,"Bulunamadı")</f>
        <v>4.11</v>
      </c>
      <c r="I3811" s="2" t="str">
        <f t="shared" si="1"/>
        <v>117628 - Law - Web Development</v>
      </c>
      <c r="J3811" s="2">
        <f t="shared" si="2"/>
        <v>365.79</v>
      </c>
      <c r="K3811" s="17">
        <f t="shared" si="3"/>
        <v>1</v>
      </c>
      <c r="L3811" s="18"/>
    </row>
    <row r="3812" hidden="1">
      <c r="A3812" s="2">
        <f>IFERROR(__xludf.DUMMYFUNCTION("""COMPUTED_VALUE"""),5699.0)</f>
        <v>5699</v>
      </c>
      <c r="B3812" s="2">
        <f>IFERROR(__xludf.DUMMYFUNCTION("""COMPUTED_VALUE"""),0.0)</f>
        <v>0</v>
      </c>
      <c r="C3812" s="2">
        <f>IFERROR(__xludf.DUMMYFUNCTION("""COMPUTED_VALUE"""),111.0)</f>
        <v>111</v>
      </c>
      <c r="D3812" s="3">
        <f>IFERROR(__xludf.DUMMYFUNCTION("""COMPUTED_VALUE"""),4.0)</f>
        <v>4</v>
      </c>
      <c r="E3812" s="1" t="str">
        <f t="array" ref="E3812">_xlfn.XLOOKUP(A3812,Product!A:A,Product!B:B,"Bulunamadı")</f>
        <v>Law</v>
      </c>
      <c r="F3812" s="1" t="str">
        <f t="array" ref="F3812">_xlfn.XLOOKUP(A3812,Product!A:A,Product!C:C,"Bulunamadı")</f>
        <v>Web Development</v>
      </c>
      <c r="G3812" s="2" t="str">
        <f t="array" ref="G3812">_xlfn.XLOOKUP(A3813,Product!A:A,Product!D:D,"Bulunamadı")</f>
        <v>Rivertree Press</v>
      </c>
      <c r="H3812" s="2">
        <f t="array" ref="H3812">_xlfn.XLOOKUP(A3814,Product!A:A,Product!E:E,"Bulunamadı")</f>
        <v>3.45</v>
      </c>
      <c r="I3812" s="2" t="str">
        <f t="shared" si="1"/>
        <v>5699 - Law - Web Development</v>
      </c>
      <c r="J3812" s="2">
        <f t="shared" si="2"/>
        <v>13.8</v>
      </c>
      <c r="K3812" s="17">
        <f t="shared" si="3"/>
        <v>1</v>
      </c>
      <c r="L3812" s="18"/>
    </row>
    <row r="3813" hidden="1">
      <c r="A3813" s="2">
        <f>IFERROR(__xludf.DUMMYFUNCTION("""COMPUTED_VALUE"""),5735.0)</f>
        <v>5735</v>
      </c>
      <c r="B3813" s="2">
        <f>IFERROR(__xludf.DUMMYFUNCTION("""COMPUTED_VALUE"""),0.0)</f>
        <v>0</v>
      </c>
      <c r="C3813" s="2">
        <f>IFERROR(__xludf.DUMMYFUNCTION("""COMPUTED_VALUE"""),413.0)</f>
        <v>413</v>
      </c>
      <c r="D3813" s="3">
        <f>IFERROR(__xludf.DUMMYFUNCTION("""COMPUTED_VALUE"""),197.0)</f>
        <v>197</v>
      </c>
      <c r="E3813" s="1" t="str">
        <f t="array" ref="E3813">_xlfn.XLOOKUP(A3813,Product!A:A,Product!B:B,"Bulunamadı")</f>
        <v>Law</v>
      </c>
      <c r="F3813" s="1" t="str">
        <f t="array" ref="F3813">_xlfn.XLOOKUP(A3813,Product!A:A,Product!C:C,"Bulunamadı")</f>
        <v>Web Development</v>
      </c>
      <c r="G3813" s="2" t="str">
        <f t="array" ref="G3813">_xlfn.XLOOKUP(A3814,Product!A:A,Product!D:D,"Bulunamadı")</f>
        <v>Rivertree Press</v>
      </c>
      <c r="H3813" s="2">
        <f t="array" ref="H3813">_xlfn.XLOOKUP(A3815,Product!A:A,Product!E:E,"Bulunamadı")</f>
        <v>2.73</v>
      </c>
      <c r="I3813" s="2" t="str">
        <f t="shared" si="1"/>
        <v>5735 - Law - Web Development</v>
      </c>
      <c r="J3813" s="2">
        <f t="shared" si="2"/>
        <v>537.81</v>
      </c>
      <c r="K3813" s="17">
        <f t="shared" si="3"/>
        <v>1</v>
      </c>
      <c r="L3813" s="18"/>
    </row>
    <row r="3814" hidden="1">
      <c r="A3814" s="2">
        <f>IFERROR(__xludf.DUMMYFUNCTION("""COMPUTED_VALUE"""),109832.0)</f>
        <v>109832</v>
      </c>
      <c r="B3814" s="2">
        <f>IFERROR(__xludf.DUMMYFUNCTION("""COMPUTED_VALUE"""),1.0)</f>
        <v>1</v>
      </c>
      <c r="C3814" s="2">
        <f>IFERROR(__xludf.DUMMYFUNCTION("""COMPUTED_VALUE"""),172.0)</f>
        <v>172</v>
      </c>
      <c r="D3814" s="3">
        <f>IFERROR(__xludf.DUMMYFUNCTION("""COMPUTED_VALUE"""),122.0)</f>
        <v>122</v>
      </c>
      <c r="E3814" s="1" t="str">
        <f t="array" ref="E3814">_xlfn.XLOOKUP(A3814,Product!A:A,Product!B:B,"Bulunamadı")</f>
        <v>Law</v>
      </c>
      <c r="F3814" s="1" t="str">
        <f t="array" ref="F3814">_xlfn.XLOOKUP(A3814,Product!A:A,Product!C:C,"Bulunamadı")</f>
        <v>Web Development</v>
      </c>
      <c r="G3814" s="2" t="str">
        <f t="array" ref="G3814">_xlfn.XLOOKUP(A3815,Product!A:A,Product!D:D,"Bulunamadı")</f>
        <v>Rivertree Press</v>
      </c>
      <c r="H3814" s="2">
        <f t="array" ref="H3814">_xlfn.XLOOKUP(A3816,Product!A:A,Product!E:E,"Bulunamadı")</f>
        <v>1.8</v>
      </c>
      <c r="I3814" s="2" t="str">
        <f t="shared" si="1"/>
        <v>109832 - Law - Web Development</v>
      </c>
      <c r="J3814" s="2">
        <f t="shared" si="2"/>
        <v>219.6</v>
      </c>
      <c r="K3814" s="17">
        <f t="shared" si="3"/>
        <v>1</v>
      </c>
      <c r="L3814" s="18"/>
    </row>
    <row r="3815" hidden="1">
      <c r="A3815" s="2">
        <f>IFERROR(__xludf.DUMMYFUNCTION("""COMPUTED_VALUE"""),122675.0)</f>
        <v>122675</v>
      </c>
      <c r="B3815" s="2">
        <f>IFERROR(__xludf.DUMMYFUNCTION("""COMPUTED_VALUE"""),0.0)</f>
        <v>0</v>
      </c>
      <c r="C3815" s="2">
        <f>IFERROR(__xludf.DUMMYFUNCTION("""COMPUTED_VALUE"""),25.0)</f>
        <v>25</v>
      </c>
      <c r="D3815" s="3">
        <f>IFERROR(__xludf.DUMMYFUNCTION("""COMPUTED_VALUE"""),7.0)</f>
        <v>7</v>
      </c>
      <c r="E3815" s="1" t="str">
        <f t="array" ref="E3815">_xlfn.XLOOKUP(A3815,Product!A:A,Product!B:B,"Bulunamadı")</f>
        <v>Law</v>
      </c>
      <c r="F3815" s="1" t="str">
        <f t="array" ref="F3815">_xlfn.XLOOKUP(A3815,Product!A:A,Product!C:C,"Bulunamadı")</f>
        <v>Web Development</v>
      </c>
      <c r="G3815" s="2" t="str">
        <f t="array" ref="G3815">_xlfn.XLOOKUP(A3816,Product!A:A,Product!D:D,"Bulunamadı")</f>
        <v>Rivertree Press</v>
      </c>
      <c r="H3815" s="2">
        <f t="array" ref="H3815">_xlfn.XLOOKUP(A3817,Product!A:A,Product!E:E,"Bulunamadı")</f>
        <v>2.48</v>
      </c>
      <c r="I3815" s="2" t="str">
        <f t="shared" si="1"/>
        <v>122675 - Law - Web Development</v>
      </c>
      <c r="J3815" s="2">
        <f t="shared" si="2"/>
        <v>17.36</v>
      </c>
      <c r="K3815" s="17">
        <f t="shared" si="3"/>
        <v>1</v>
      </c>
      <c r="L3815" s="18"/>
    </row>
    <row r="3816" hidden="1">
      <c r="A3816" s="2">
        <f>IFERROR(__xludf.DUMMYFUNCTION("""COMPUTED_VALUE"""),87225.0)</f>
        <v>87225</v>
      </c>
      <c r="B3816" s="2">
        <f>IFERROR(__xludf.DUMMYFUNCTION("""COMPUTED_VALUE"""),0.0)</f>
        <v>0</v>
      </c>
      <c r="C3816" s="2">
        <f>IFERROR(__xludf.DUMMYFUNCTION("""COMPUTED_VALUE"""),494.0)</f>
        <v>494</v>
      </c>
      <c r="D3816" s="3">
        <f>IFERROR(__xludf.DUMMYFUNCTION("""COMPUTED_VALUE"""),419.0)</f>
        <v>419</v>
      </c>
      <c r="E3816" s="1" t="str">
        <f t="array" ref="E3816">_xlfn.XLOOKUP(A3816,Product!A:A,Product!B:B,"Bulunamadı")</f>
        <v>Law</v>
      </c>
      <c r="F3816" s="1" t="str">
        <f t="array" ref="F3816">_xlfn.XLOOKUP(A3816,Product!A:A,Product!C:C,"Bulunamadı")</f>
        <v>Web Development</v>
      </c>
      <c r="G3816" s="2" t="str">
        <f t="array" ref="G3816">_xlfn.XLOOKUP(A3817,Product!A:A,Product!D:D,"Bulunamadı")</f>
        <v>Rivertree Press</v>
      </c>
      <c r="H3816" s="2">
        <f t="array" ref="H3816">_xlfn.XLOOKUP(A3818,Product!A:A,Product!E:E,"Bulunamadı")</f>
        <v>2.09</v>
      </c>
      <c r="I3816" s="2" t="str">
        <f t="shared" si="1"/>
        <v>87225 - Law - Web Development</v>
      </c>
      <c r="J3816" s="2">
        <f t="shared" si="2"/>
        <v>875.71</v>
      </c>
      <c r="K3816" s="17">
        <f t="shared" si="3"/>
        <v>1</v>
      </c>
      <c r="L3816" s="18"/>
    </row>
    <row r="3817" hidden="1">
      <c r="A3817" s="2">
        <f>IFERROR(__xludf.DUMMYFUNCTION("""COMPUTED_VALUE"""),82373.0)</f>
        <v>82373</v>
      </c>
      <c r="B3817" s="2">
        <f>IFERROR(__xludf.DUMMYFUNCTION("""COMPUTED_VALUE"""),1.0)</f>
        <v>1</v>
      </c>
      <c r="C3817" s="2">
        <f>IFERROR(__xludf.DUMMYFUNCTION("""COMPUTED_VALUE"""),204.0)</f>
        <v>204</v>
      </c>
      <c r="D3817" s="3">
        <f>IFERROR(__xludf.DUMMYFUNCTION("""COMPUTED_VALUE"""),87.0)</f>
        <v>87</v>
      </c>
      <c r="E3817" s="1" t="str">
        <f t="array" ref="E3817">_xlfn.XLOOKUP(A3817,Product!A:A,Product!B:B,"Bulunamadı")</f>
        <v>Law</v>
      </c>
      <c r="F3817" s="1" t="str">
        <f t="array" ref="F3817">_xlfn.XLOOKUP(A3817,Product!A:A,Product!C:C,"Bulunamadı")</f>
        <v>Web Development</v>
      </c>
      <c r="G3817" s="2" t="str">
        <f t="array" ref="G3817">_xlfn.XLOOKUP(A3818,Product!A:A,Product!D:D,"Bulunamadı")</f>
        <v>Rivertree Press</v>
      </c>
      <c r="H3817" s="2">
        <f t="array" ref="H3817">_xlfn.XLOOKUP(A3819,Product!A:A,Product!E:E,"Bulunamadı")</f>
        <v>2.13</v>
      </c>
      <c r="I3817" s="2" t="str">
        <f t="shared" si="1"/>
        <v>82373 - Law - Web Development</v>
      </c>
      <c r="J3817" s="2">
        <f t="shared" si="2"/>
        <v>185.31</v>
      </c>
      <c r="K3817" s="17">
        <f t="shared" si="3"/>
        <v>1</v>
      </c>
      <c r="L3817" s="18"/>
    </row>
    <row r="3818" hidden="1">
      <c r="A3818" s="2">
        <f>IFERROR(__xludf.DUMMYFUNCTION("""COMPUTED_VALUE"""),77254.0)</f>
        <v>77254</v>
      </c>
      <c r="B3818" s="2">
        <f>IFERROR(__xludf.DUMMYFUNCTION("""COMPUTED_VALUE"""),1.0)</f>
        <v>1</v>
      </c>
      <c r="C3818" s="2">
        <f>IFERROR(__xludf.DUMMYFUNCTION("""COMPUTED_VALUE"""),562.0)</f>
        <v>562</v>
      </c>
      <c r="D3818" s="3">
        <f>IFERROR(__xludf.DUMMYFUNCTION("""COMPUTED_VALUE"""),484.0)</f>
        <v>484</v>
      </c>
      <c r="E3818" s="1" t="str">
        <f t="array" ref="E3818">_xlfn.XLOOKUP(A3818,Product!A:A,Product!B:B,"Bulunamadı")</f>
        <v>Law</v>
      </c>
      <c r="F3818" s="1" t="str">
        <f t="array" ref="F3818">_xlfn.XLOOKUP(A3818,Product!A:A,Product!C:C,"Bulunamadı")</f>
        <v>Web Development</v>
      </c>
      <c r="G3818" s="2" t="str">
        <f t="array" ref="G3818">_xlfn.XLOOKUP(A3819,Product!A:A,Product!D:D,"Bulunamadı")</f>
        <v>Rivertree Press</v>
      </c>
      <c r="H3818" s="2">
        <f t="array" ref="H3818">_xlfn.XLOOKUP(A3820,Product!A:A,Product!E:E,"Bulunamadı")</f>
        <v>3.63</v>
      </c>
      <c r="I3818" s="2" t="str">
        <f t="shared" si="1"/>
        <v>77254 - Law - Web Development</v>
      </c>
      <c r="J3818" s="2">
        <f t="shared" si="2"/>
        <v>1756.92</v>
      </c>
      <c r="K3818" s="17">
        <f t="shared" si="3"/>
        <v>1</v>
      </c>
      <c r="L3818" s="18"/>
    </row>
    <row r="3819" hidden="1">
      <c r="A3819" s="2">
        <f>IFERROR(__xludf.DUMMYFUNCTION("""COMPUTED_VALUE"""),5742.0)</f>
        <v>5742</v>
      </c>
      <c r="B3819" s="2">
        <f>IFERROR(__xludf.DUMMYFUNCTION("""COMPUTED_VALUE"""),1.0)</f>
        <v>1</v>
      </c>
      <c r="C3819" s="2">
        <f>IFERROR(__xludf.DUMMYFUNCTION("""COMPUTED_VALUE"""),972.0)</f>
        <v>972</v>
      </c>
      <c r="D3819" s="3">
        <f>IFERROR(__xludf.DUMMYFUNCTION("""COMPUTED_VALUE"""),182.0)</f>
        <v>182</v>
      </c>
      <c r="E3819" s="1" t="str">
        <f t="array" ref="E3819">_xlfn.XLOOKUP(A3819,Product!A:A,Product!B:B,"Bulunamadı")</f>
        <v>Law</v>
      </c>
      <c r="F3819" s="1" t="str">
        <f t="array" ref="F3819">_xlfn.XLOOKUP(A3819,Product!A:A,Product!C:C,"Bulunamadı")</f>
        <v>Web Development</v>
      </c>
      <c r="G3819" s="2" t="str">
        <f t="array" ref="G3819">_xlfn.XLOOKUP(A3820,Product!A:A,Product!D:D,"Bulunamadı")</f>
        <v>Rivertree Press</v>
      </c>
      <c r="H3819" s="2">
        <f t="array" ref="H3819">_xlfn.XLOOKUP(A3821,Product!A:A,Product!E:E,"Bulunamadı")</f>
        <v>2.24</v>
      </c>
      <c r="I3819" s="2" t="str">
        <f t="shared" si="1"/>
        <v>5742 - Law - Web Development</v>
      </c>
      <c r="J3819" s="2">
        <f t="shared" si="2"/>
        <v>407.68</v>
      </c>
      <c r="K3819" s="17">
        <f t="shared" si="3"/>
        <v>1</v>
      </c>
      <c r="L3819" s="18"/>
    </row>
    <row r="3820" hidden="1">
      <c r="A3820" s="2">
        <f>IFERROR(__xludf.DUMMYFUNCTION("""COMPUTED_VALUE"""),117622.0)</f>
        <v>117622</v>
      </c>
      <c r="B3820" s="2">
        <f>IFERROR(__xludf.DUMMYFUNCTION("""COMPUTED_VALUE"""),1.0)</f>
        <v>1</v>
      </c>
      <c r="C3820" s="2">
        <f>IFERROR(__xludf.DUMMYFUNCTION("""COMPUTED_VALUE"""),516.0)</f>
        <v>516</v>
      </c>
      <c r="D3820" s="3">
        <f>IFERROR(__xludf.DUMMYFUNCTION("""COMPUTED_VALUE"""),347.0)</f>
        <v>347</v>
      </c>
      <c r="E3820" s="1" t="str">
        <f t="array" ref="E3820">_xlfn.XLOOKUP(A3820,Product!A:A,Product!B:B,"Bulunamadı")</f>
        <v>Law</v>
      </c>
      <c r="F3820" s="1" t="str">
        <f t="array" ref="F3820">_xlfn.XLOOKUP(A3820,Product!A:A,Product!C:C,"Bulunamadı")</f>
        <v>Web Development</v>
      </c>
      <c r="G3820" s="2" t="str">
        <f t="array" ref="G3820">_xlfn.XLOOKUP(A3821,Product!A:A,Product!D:D,"Bulunamadı")</f>
        <v>Rivertree Press</v>
      </c>
      <c r="H3820" s="2">
        <f t="array" ref="H3820">_xlfn.XLOOKUP(A3822,Product!A:A,Product!E:E,"Bulunamadı")</f>
        <v>2.22</v>
      </c>
      <c r="I3820" s="2" t="str">
        <f t="shared" si="1"/>
        <v>117622 - Law - Web Development</v>
      </c>
      <c r="J3820" s="2">
        <f t="shared" si="2"/>
        <v>770.34</v>
      </c>
      <c r="K3820" s="17">
        <f t="shared" si="3"/>
        <v>1</v>
      </c>
      <c r="L3820" s="18"/>
    </row>
    <row r="3821" hidden="1">
      <c r="A3821" s="2">
        <f>IFERROR(__xludf.DUMMYFUNCTION("""COMPUTED_VALUE"""),77255.0)</f>
        <v>77255</v>
      </c>
      <c r="B3821" s="2">
        <f>IFERROR(__xludf.DUMMYFUNCTION("""COMPUTED_VALUE"""),1.0)</f>
        <v>1</v>
      </c>
      <c r="C3821" s="2">
        <f>IFERROR(__xludf.DUMMYFUNCTION("""COMPUTED_VALUE"""),618.0)</f>
        <v>618</v>
      </c>
      <c r="D3821" s="3">
        <f>IFERROR(__xludf.DUMMYFUNCTION("""COMPUTED_VALUE"""),187.0)</f>
        <v>187</v>
      </c>
      <c r="E3821" s="1" t="str">
        <f t="array" ref="E3821">_xlfn.XLOOKUP(A3821,Product!A:A,Product!B:B,"Bulunamadı")</f>
        <v>Law</v>
      </c>
      <c r="F3821" s="1" t="str">
        <f t="array" ref="F3821">_xlfn.XLOOKUP(A3821,Product!A:A,Product!C:C,"Bulunamadı")</f>
        <v>Web Development</v>
      </c>
      <c r="G3821" s="2" t="str">
        <f t="array" ref="G3821">_xlfn.XLOOKUP(A3822,Product!A:A,Product!D:D,"Bulunamadı")</f>
        <v>Rivertree Press</v>
      </c>
      <c r="H3821" s="2">
        <f t="array" ref="H3821">_xlfn.XLOOKUP(A3823,Product!A:A,Product!E:E,"Bulunamadı")</f>
        <v>4.12</v>
      </c>
      <c r="I3821" s="2" t="str">
        <f t="shared" si="1"/>
        <v>77255 - Law - Web Development</v>
      </c>
      <c r="J3821" s="2">
        <f t="shared" si="2"/>
        <v>770.44</v>
      </c>
      <c r="K3821" s="17">
        <f t="shared" si="3"/>
        <v>1</v>
      </c>
      <c r="L3821" s="18"/>
    </row>
    <row r="3822" hidden="1">
      <c r="A3822" s="2">
        <f>IFERROR(__xludf.DUMMYFUNCTION("""COMPUTED_VALUE"""),101964.0)</f>
        <v>101964</v>
      </c>
      <c r="B3822" s="2">
        <f>IFERROR(__xludf.DUMMYFUNCTION("""COMPUTED_VALUE"""),1.0)</f>
        <v>1</v>
      </c>
      <c r="C3822" s="2">
        <f>IFERROR(__xludf.DUMMYFUNCTION("""COMPUTED_VALUE"""),147.0)</f>
        <v>147</v>
      </c>
      <c r="D3822" s="3">
        <f>IFERROR(__xludf.DUMMYFUNCTION("""COMPUTED_VALUE"""),66.0)</f>
        <v>66</v>
      </c>
      <c r="E3822" s="1" t="str">
        <f t="array" ref="E3822">_xlfn.XLOOKUP(A3822,Product!A:A,Product!B:B,"Bulunamadı")</f>
        <v>Law</v>
      </c>
      <c r="F3822" s="1" t="str">
        <f t="array" ref="F3822">_xlfn.XLOOKUP(A3822,Product!A:A,Product!C:C,"Bulunamadı")</f>
        <v>Web Development</v>
      </c>
      <c r="G3822" s="2" t="str">
        <f t="array" ref="G3822">_xlfn.XLOOKUP(A3823,Product!A:A,Product!D:D,"Bulunamadı")</f>
        <v>Rivertree Press</v>
      </c>
      <c r="H3822" s="2">
        <f t="array" ref="H3822">_xlfn.XLOOKUP(A3824,Product!A:A,Product!E:E,"Bulunamadı")</f>
        <v>1.56</v>
      </c>
      <c r="I3822" s="2" t="str">
        <f t="shared" si="1"/>
        <v>101964 - Law - Web Development</v>
      </c>
      <c r="J3822" s="2">
        <f t="shared" si="2"/>
        <v>102.96</v>
      </c>
      <c r="K3822" s="17">
        <f t="shared" si="3"/>
        <v>1</v>
      </c>
      <c r="L3822" s="18"/>
    </row>
    <row r="3823" hidden="1">
      <c r="A3823" s="2">
        <f>IFERROR(__xludf.DUMMYFUNCTION("""COMPUTED_VALUE"""),48491.0)</f>
        <v>48491</v>
      </c>
      <c r="B3823" s="2">
        <f>IFERROR(__xludf.DUMMYFUNCTION("""COMPUTED_VALUE"""),1.0)</f>
        <v>1</v>
      </c>
      <c r="C3823" s="2">
        <f>IFERROR(__xludf.DUMMYFUNCTION("""COMPUTED_VALUE"""),254.0)</f>
        <v>254</v>
      </c>
      <c r="D3823" s="3">
        <f>IFERROR(__xludf.DUMMYFUNCTION("""COMPUTED_VALUE"""),103.0)</f>
        <v>103</v>
      </c>
      <c r="E3823" s="1" t="str">
        <f t="array" ref="E3823">_xlfn.XLOOKUP(A3823,Product!A:A,Product!B:B,"Bulunamadı")</f>
        <v>Law</v>
      </c>
      <c r="F3823" s="1" t="str">
        <f t="array" ref="F3823">_xlfn.XLOOKUP(A3823,Product!A:A,Product!C:C,"Bulunamadı")</f>
        <v>Web Development</v>
      </c>
      <c r="G3823" s="2" t="str">
        <f t="array" ref="G3823">_xlfn.XLOOKUP(A3824,Product!A:A,Product!D:D,"Bulunamadı")</f>
        <v>Rivertree Press</v>
      </c>
      <c r="H3823" s="2">
        <f t="array" ref="H3823">_xlfn.XLOOKUP(A3825,Product!A:A,Product!E:E,"Bulunamadı")</f>
        <v>1.4</v>
      </c>
      <c r="I3823" s="2" t="str">
        <f t="shared" si="1"/>
        <v>48491 - Law - Web Development</v>
      </c>
      <c r="J3823" s="2">
        <f t="shared" si="2"/>
        <v>144.2</v>
      </c>
      <c r="K3823" s="17">
        <f t="shared" si="3"/>
        <v>1</v>
      </c>
      <c r="L3823" s="18"/>
    </row>
    <row r="3824" hidden="1">
      <c r="A3824" s="2">
        <f>IFERROR(__xludf.DUMMYFUNCTION("""COMPUTED_VALUE"""),82368.0)</f>
        <v>82368</v>
      </c>
      <c r="B3824" s="2">
        <f>IFERROR(__xludf.DUMMYFUNCTION("""COMPUTED_VALUE"""),0.0)</f>
        <v>0</v>
      </c>
      <c r="C3824" s="2">
        <f>IFERROR(__xludf.DUMMYFUNCTION("""COMPUTED_VALUE"""),374.0)</f>
        <v>374</v>
      </c>
      <c r="D3824" s="3">
        <f>IFERROR(__xludf.DUMMYFUNCTION("""COMPUTED_VALUE"""),341.0)</f>
        <v>341</v>
      </c>
      <c r="E3824" s="1" t="str">
        <f t="array" ref="E3824">_xlfn.XLOOKUP(A3824,Product!A:A,Product!B:B,"Bulunamadı")</f>
        <v>Law</v>
      </c>
      <c r="F3824" s="1" t="str">
        <f t="array" ref="F3824">_xlfn.XLOOKUP(A3824,Product!A:A,Product!C:C,"Bulunamadı")</f>
        <v>Web Development</v>
      </c>
      <c r="G3824" s="2" t="str">
        <f t="array" ref="G3824">_xlfn.XLOOKUP(A3825,Product!A:A,Product!D:D,"Bulunamadı")</f>
        <v>Rivertree Press</v>
      </c>
      <c r="H3824" s="2">
        <f t="array" ref="H3824">_xlfn.XLOOKUP(A3826,Product!A:A,Product!E:E,"Bulunamadı")</f>
        <v>3.5</v>
      </c>
      <c r="I3824" s="2" t="str">
        <f t="shared" si="1"/>
        <v>82368 - Law - Web Development</v>
      </c>
      <c r="J3824" s="2">
        <f t="shared" si="2"/>
        <v>1193.5</v>
      </c>
      <c r="K3824" s="17">
        <f t="shared" si="3"/>
        <v>1</v>
      </c>
      <c r="L3824" s="18"/>
    </row>
    <row r="3825" hidden="1">
      <c r="A3825" s="2">
        <f>IFERROR(__xludf.DUMMYFUNCTION("""COMPUTED_VALUE"""),82367.0)</f>
        <v>82367</v>
      </c>
      <c r="B3825" s="2">
        <f>IFERROR(__xludf.DUMMYFUNCTION("""COMPUTED_VALUE"""),1.0)</f>
        <v>1</v>
      </c>
      <c r="C3825" s="2">
        <f>IFERROR(__xludf.DUMMYFUNCTION("""COMPUTED_VALUE"""),399.0)</f>
        <v>399</v>
      </c>
      <c r="D3825" s="3">
        <f>IFERROR(__xludf.DUMMYFUNCTION("""COMPUTED_VALUE"""),64.0)</f>
        <v>64</v>
      </c>
      <c r="E3825" s="1" t="str">
        <f t="array" ref="E3825">_xlfn.XLOOKUP(A3825,Product!A:A,Product!B:B,"Bulunamadı")</f>
        <v>Law</v>
      </c>
      <c r="F3825" s="1" t="str">
        <f t="array" ref="F3825">_xlfn.XLOOKUP(A3825,Product!A:A,Product!C:C,"Bulunamadı")</f>
        <v>Web Development</v>
      </c>
      <c r="G3825" s="2" t="str">
        <f t="array" ref="G3825">_xlfn.XLOOKUP(A3826,Product!A:A,Product!D:D,"Bulunamadı")</f>
        <v>Rivertree Press</v>
      </c>
      <c r="H3825" s="2">
        <f t="array" ref="H3825">_xlfn.XLOOKUP(A3827,Product!A:A,Product!E:E,"Bulunamadı")</f>
        <v>1.37</v>
      </c>
      <c r="I3825" s="2" t="str">
        <f t="shared" si="1"/>
        <v>82367 - Law - Web Development</v>
      </c>
      <c r="J3825" s="2">
        <f t="shared" si="2"/>
        <v>87.68</v>
      </c>
      <c r="K3825" s="17">
        <f t="shared" si="3"/>
        <v>1</v>
      </c>
      <c r="L3825" s="18"/>
    </row>
    <row r="3826" hidden="1">
      <c r="A3826" s="2">
        <f>IFERROR(__xludf.DUMMYFUNCTION("""COMPUTED_VALUE"""),118426.0)</f>
        <v>118426</v>
      </c>
      <c r="B3826" s="2">
        <f>IFERROR(__xludf.DUMMYFUNCTION("""COMPUTED_VALUE"""),1.0)</f>
        <v>1</v>
      </c>
      <c r="C3826" s="2">
        <f>IFERROR(__xludf.DUMMYFUNCTION("""COMPUTED_VALUE"""),747.0)</f>
        <v>747</v>
      </c>
      <c r="D3826" s="3">
        <f>IFERROR(__xludf.DUMMYFUNCTION("""COMPUTED_VALUE"""),55.0)</f>
        <v>55</v>
      </c>
      <c r="E3826" s="1" t="str">
        <f t="array" ref="E3826">_xlfn.XLOOKUP(A3826,Product!A:A,Product!B:B,"Bulunamadı")</f>
        <v>Law</v>
      </c>
      <c r="F3826" s="1" t="str">
        <f t="array" ref="F3826">_xlfn.XLOOKUP(A3826,Product!A:A,Product!C:C,"Bulunamadı")</f>
        <v>Web Development</v>
      </c>
      <c r="G3826" s="2" t="str">
        <f t="array" ref="G3826">_xlfn.XLOOKUP(A3827,Product!A:A,Product!D:D,"Bulunamadı")</f>
        <v>Irontree Publishing</v>
      </c>
      <c r="H3826" s="2">
        <f t="array" ref="H3826">_xlfn.XLOOKUP(A3828,Product!A:A,Product!E:E,"Bulunamadı")</f>
        <v>1.4</v>
      </c>
      <c r="I3826" s="2" t="str">
        <f t="shared" si="1"/>
        <v>118426 - Law - Web Development</v>
      </c>
      <c r="J3826" s="2">
        <f t="shared" si="2"/>
        <v>77</v>
      </c>
      <c r="K3826" s="17">
        <f t="shared" si="3"/>
        <v>1</v>
      </c>
      <c r="L3826" s="18"/>
    </row>
    <row r="3827" hidden="1">
      <c r="A3827" s="2">
        <f>IFERROR(__xludf.DUMMYFUNCTION("""COMPUTED_VALUE"""),5068.0)</f>
        <v>5068</v>
      </c>
      <c r="B3827" s="2">
        <f>IFERROR(__xludf.DUMMYFUNCTION("""COMPUTED_VALUE"""),0.0)</f>
        <v>0</v>
      </c>
      <c r="C3827" s="2">
        <f>IFERROR(__xludf.DUMMYFUNCTION("""COMPUTED_VALUE"""),205.0)</f>
        <v>205</v>
      </c>
      <c r="D3827" s="3">
        <f>IFERROR(__xludf.DUMMYFUNCTION("""COMPUTED_VALUE"""),112.0)</f>
        <v>112</v>
      </c>
      <c r="E3827" s="1" t="str">
        <f t="array" ref="E3827">_xlfn.XLOOKUP(A3827,Product!A:A,Product!B:B,"Bulunamadı")</f>
        <v>Self-Help</v>
      </c>
      <c r="F3827" s="1" t="str">
        <f t="array" ref="F3827">_xlfn.XLOOKUP(A3827,Product!A:A,Product!C:C,"Bulunamadı")</f>
        <v>Mobile Development</v>
      </c>
      <c r="G3827" s="2" t="str">
        <f t="array" ref="G3827">_xlfn.XLOOKUP(A3828,Product!A:A,Product!D:D,"Bulunamadı")</f>
        <v>Irontree Publishing</v>
      </c>
      <c r="H3827" s="2">
        <f t="array" ref="H3827">_xlfn.XLOOKUP(A3829,Product!A:A,Product!E:E,"Bulunamadı")</f>
        <v>1.61</v>
      </c>
      <c r="I3827" s="2" t="str">
        <f t="shared" si="1"/>
        <v>5068 - Self-Help - Mobile Development</v>
      </c>
      <c r="J3827" s="2">
        <f t="shared" si="2"/>
        <v>180.32</v>
      </c>
      <c r="K3827" s="17">
        <f t="shared" si="3"/>
        <v>1</v>
      </c>
      <c r="L3827" s="18"/>
    </row>
    <row r="3828" hidden="1">
      <c r="A3828" s="2">
        <f>IFERROR(__xludf.DUMMYFUNCTION("""COMPUTED_VALUE"""),84660.0)</f>
        <v>84660</v>
      </c>
      <c r="B3828" s="2">
        <f>IFERROR(__xludf.DUMMYFUNCTION("""COMPUTED_VALUE"""),1.0)</f>
        <v>1</v>
      </c>
      <c r="C3828" s="2">
        <f>IFERROR(__xludf.DUMMYFUNCTION("""COMPUTED_VALUE"""),514.0)</f>
        <v>514</v>
      </c>
      <c r="D3828" s="3">
        <f>IFERROR(__xludf.DUMMYFUNCTION("""COMPUTED_VALUE"""),270.0)</f>
        <v>270</v>
      </c>
      <c r="E3828" s="1" t="str">
        <f t="array" ref="E3828">_xlfn.XLOOKUP(A3828,Product!A:A,Product!B:B,"Bulunamadı")</f>
        <v>Self-Help</v>
      </c>
      <c r="F3828" s="1" t="str">
        <f t="array" ref="F3828">_xlfn.XLOOKUP(A3828,Product!A:A,Product!C:C,"Bulunamadı")</f>
        <v>Mobile Development</v>
      </c>
      <c r="G3828" s="2" t="str">
        <f t="array" ref="G3828">_xlfn.XLOOKUP(A3829,Product!A:A,Product!D:D,"Bulunamadı")</f>
        <v>Irontree Publishing</v>
      </c>
      <c r="H3828" s="2">
        <f t="array" ref="H3828">_xlfn.XLOOKUP(A3830,Product!A:A,Product!E:E,"Bulunamadı")</f>
        <v>1.3</v>
      </c>
      <c r="I3828" s="2" t="str">
        <f t="shared" si="1"/>
        <v>84660 - Self-Help - Mobile Development</v>
      </c>
      <c r="J3828" s="2">
        <f t="shared" si="2"/>
        <v>351</v>
      </c>
      <c r="K3828" s="17">
        <f t="shared" si="3"/>
        <v>1</v>
      </c>
      <c r="L3828" s="18"/>
    </row>
    <row r="3829" hidden="1">
      <c r="A3829" s="2">
        <f>IFERROR(__xludf.DUMMYFUNCTION("""COMPUTED_VALUE"""),5070.0)</f>
        <v>5070</v>
      </c>
      <c r="B3829" s="2">
        <f>IFERROR(__xludf.DUMMYFUNCTION("""COMPUTED_VALUE"""),0.0)</f>
        <v>0</v>
      </c>
      <c r="C3829" s="2">
        <f>IFERROR(__xludf.DUMMYFUNCTION("""COMPUTED_VALUE"""),17.0)</f>
        <v>17</v>
      </c>
      <c r="D3829" s="3">
        <f>IFERROR(__xludf.DUMMYFUNCTION("""COMPUTED_VALUE"""),14.0)</f>
        <v>14</v>
      </c>
      <c r="E3829" s="1" t="str">
        <f t="array" ref="E3829">_xlfn.XLOOKUP(A3829,Product!A:A,Product!B:B,"Bulunamadı")</f>
        <v>Self-Help</v>
      </c>
      <c r="F3829" s="1" t="str">
        <f t="array" ref="F3829">_xlfn.XLOOKUP(A3829,Product!A:A,Product!C:C,"Bulunamadı")</f>
        <v>Mobile Development</v>
      </c>
      <c r="G3829" s="2" t="str">
        <f t="array" ref="G3829">_xlfn.XLOOKUP(A3830,Product!A:A,Product!D:D,"Bulunamadı")</f>
        <v>Silverstone House</v>
      </c>
      <c r="H3829" s="2">
        <f t="array" ref="H3829">_xlfn.XLOOKUP(A3831,Product!A:A,Product!E:E,"Bulunamadı")</f>
        <v>1.46</v>
      </c>
      <c r="I3829" s="2" t="str">
        <f t="shared" si="1"/>
        <v>5070 - Self-Help - Mobile Development</v>
      </c>
      <c r="J3829" s="2">
        <f t="shared" si="2"/>
        <v>20.44</v>
      </c>
      <c r="K3829" s="17">
        <f t="shared" si="3"/>
        <v>1</v>
      </c>
      <c r="L3829" s="18"/>
    </row>
    <row r="3830" hidden="1">
      <c r="A3830" s="2">
        <f>IFERROR(__xludf.DUMMYFUNCTION("""COMPUTED_VALUE"""),84681.0)</f>
        <v>84681</v>
      </c>
      <c r="B3830" s="2">
        <f>IFERROR(__xludf.DUMMYFUNCTION("""COMPUTED_VALUE"""),1.0)</f>
        <v>1</v>
      </c>
      <c r="C3830" s="2">
        <f>IFERROR(__xludf.DUMMYFUNCTION("""COMPUTED_VALUE"""),918.0)</f>
        <v>918</v>
      </c>
      <c r="D3830" s="3">
        <f>IFERROR(__xludf.DUMMYFUNCTION("""COMPUTED_VALUE"""),13.0)</f>
        <v>13</v>
      </c>
      <c r="E3830" s="1" t="str">
        <f t="array" ref="E3830">_xlfn.XLOOKUP(A3830,Product!A:A,Product!B:B,"Bulunamadı")</f>
        <v>Self-Help</v>
      </c>
      <c r="F3830" s="1" t="str">
        <f t="array" ref="F3830">_xlfn.XLOOKUP(A3830,Product!A:A,Product!C:C,"Bulunamadı")</f>
        <v>Mobile Development</v>
      </c>
      <c r="G3830" s="2" t="str">
        <f t="array" ref="G3830">_xlfn.XLOOKUP(A3831,Product!A:A,Product!D:D,"Bulunamadı")</f>
        <v>Silverstone House</v>
      </c>
      <c r="H3830" s="2">
        <f t="array" ref="H3830">_xlfn.XLOOKUP(A3832,Product!A:A,Product!E:E,"Bulunamadı")</f>
        <v>1.59</v>
      </c>
      <c r="I3830" s="2" t="str">
        <f t="shared" si="1"/>
        <v>84681 - Self-Help - Mobile Development</v>
      </c>
      <c r="J3830" s="2">
        <f t="shared" si="2"/>
        <v>20.67</v>
      </c>
      <c r="K3830" s="17">
        <f t="shared" si="3"/>
        <v>1</v>
      </c>
      <c r="L3830" s="18"/>
    </row>
    <row r="3831" hidden="1">
      <c r="A3831" s="2">
        <f>IFERROR(__xludf.DUMMYFUNCTION("""COMPUTED_VALUE"""),102596.0)</f>
        <v>102596</v>
      </c>
      <c r="B3831" s="2">
        <f>IFERROR(__xludf.DUMMYFUNCTION("""COMPUTED_VALUE"""),1.0)</f>
        <v>1</v>
      </c>
      <c r="C3831" s="2">
        <f>IFERROR(__xludf.DUMMYFUNCTION("""COMPUTED_VALUE"""),924.0)</f>
        <v>924</v>
      </c>
      <c r="D3831" s="3">
        <f>IFERROR(__xludf.DUMMYFUNCTION("""COMPUTED_VALUE"""),469.0)</f>
        <v>469</v>
      </c>
      <c r="E3831" s="1" t="str">
        <f t="array" ref="E3831">_xlfn.XLOOKUP(A3831,Product!A:A,Product!B:B,"Bulunamadı")</f>
        <v>Self-Help</v>
      </c>
      <c r="F3831" s="1" t="str">
        <f t="array" ref="F3831">_xlfn.XLOOKUP(A3831,Product!A:A,Product!C:C,"Bulunamadı")</f>
        <v>Mobile Development</v>
      </c>
      <c r="G3831" s="2" t="str">
        <f t="array" ref="G3831">_xlfn.XLOOKUP(A3832,Product!A:A,Product!D:D,"Bulunamadı")</f>
        <v>Northstone House</v>
      </c>
      <c r="H3831" s="2">
        <f t="array" ref="H3831">_xlfn.XLOOKUP(A3833,Product!A:A,Product!E:E,"Bulunamadı")</f>
        <v>1.27</v>
      </c>
      <c r="I3831" s="2" t="str">
        <f t="shared" si="1"/>
        <v>102596 - Self-Help - Mobile Development</v>
      </c>
      <c r="J3831" s="2">
        <f t="shared" si="2"/>
        <v>595.63</v>
      </c>
      <c r="K3831" s="17">
        <f t="shared" si="3"/>
        <v>1</v>
      </c>
      <c r="L3831" s="18"/>
    </row>
    <row r="3832" hidden="1">
      <c r="A3832" s="2">
        <f>IFERROR(__xludf.DUMMYFUNCTION("""COMPUTED_VALUE"""),5037.0)</f>
        <v>5037</v>
      </c>
      <c r="B3832" s="2">
        <f>IFERROR(__xludf.DUMMYFUNCTION("""COMPUTED_VALUE"""),0.0)</f>
        <v>0</v>
      </c>
      <c r="C3832" s="2">
        <f>IFERROR(__xludf.DUMMYFUNCTION("""COMPUTED_VALUE"""),669.0)</f>
        <v>669</v>
      </c>
      <c r="D3832" s="3">
        <f>IFERROR(__xludf.DUMMYFUNCTION("""COMPUTED_VALUE"""),8.0)</f>
        <v>8</v>
      </c>
      <c r="E3832" s="1" t="str">
        <f t="array" ref="E3832">_xlfn.XLOOKUP(A3832,Product!A:A,Product!B:B,"Bulunamadı")</f>
        <v>Self-Help</v>
      </c>
      <c r="F3832" s="1" t="str">
        <f t="array" ref="F3832">_xlfn.XLOOKUP(A3832,Product!A:A,Product!C:C,"Bulunamadı")</f>
        <v>Mobile Development</v>
      </c>
      <c r="G3832" s="2" t="str">
        <f t="array" ref="G3832">_xlfn.XLOOKUP(A3833,Product!A:A,Product!D:D,"Bulunamadı")</f>
        <v>Northstone House</v>
      </c>
      <c r="H3832" s="2">
        <f t="array" ref="H3832">_xlfn.XLOOKUP(A3834,Product!A:A,Product!E:E,"Bulunamadı")</f>
        <v>1.21</v>
      </c>
      <c r="I3832" s="2" t="str">
        <f t="shared" si="1"/>
        <v>5037 - Self-Help - Mobile Development</v>
      </c>
      <c r="J3832" s="2">
        <f t="shared" si="2"/>
        <v>9.68</v>
      </c>
      <c r="K3832" s="17">
        <f t="shared" si="3"/>
        <v>1</v>
      </c>
      <c r="L3832" s="18"/>
    </row>
    <row r="3833" hidden="1">
      <c r="A3833" s="2">
        <f>IFERROR(__xludf.DUMMYFUNCTION("""COMPUTED_VALUE"""),5052.0)</f>
        <v>5052</v>
      </c>
      <c r="B3833" s="2">
        <f>IFERROR(__xludf.DUMMYFUNCTION("""COMPUTED_VALUE"""),1.0)</f>
        <v>1</v>
      </c>
      <c r="C3833" s="2">
        <f>IFERROR(__xludf.DUMMYFUNCTION("""COMPUTED_VALUE"""),109.0)</f>
        <v>109</v>
      </c>
      <c r="D3833" s="3">
        <f>IFERROR(__xludf.DUMMYFUNCTION("""COMPUTED_VALUE"""),65.0)</f>
        <v>65</v>
      </c>
      <c r="E3833" s="1" t="str">
        <f t="array" ref="E3833">_xlfn.XLOOKUP(A3833,Product!A:A,Product!B:B,"Bulunamadı")</f>
        <v>Self-Help</v>
      </c>
      <c r="F3833" s="1" t="str">
        <f t="array" ref="F3833">_xlfn.XLOOKUP(A3833,Product!A:A,Product!C:C,"Bulunamadı")</f>
        <v>Mobile Development</v>
      </c>
      <c r="G3833" s="2" t="str">
        <f t="array" ref="G3833">_xlfn.XLOOKUP(A3834,Product!A:A,Product!D:D,"Bulunamadı")</f>
        <v>Northstone House</v>
      </c>
      <c r="H3833" s="2">
        <f t="array" ref="H3833">_xlfn.XLOOKUP(A3835,Product!A:A,Product!E:E,"Bulunamadı")</f>
        <v>1.34</v>
      </c>
      <c r="I3833" s="2" t="str">
        <f t="shared" si="1"/>
        <v>5052 - Self-Help - Mobile Development</v>
      </c>
      <c r="J3833" s="2">
        <f t="shared" si="2"/>
        <v>87.1</v>
      </c>
      <c r="K3833" s="17">
        <f t="shared" si="3"/>
        <v>1</v>
      </c>
      <c r="L3833" s="18"/>
    </row>
    <row r="3834" hidden="1">
      <c r="A3834" s="2">
        <f>IFERROR(__xludf.DUMMYFUNCTION("""COMPUTED_VALUE"""),5051.0)</f>
        <v>5051</v>
      </c>
      <c r="B3834" s="2">
        <f>IFERROR(__xludf.DUMMYFUNCTION("""COMPUTED_VALUE"""),0.0)</f>
        <v>0</v>
      </c>
      <c r="C3834" s="2">
        <f>IFERROR(__xludf.DUMMYFUNCTION("""COMPUTED_VALUE"""),688.0)</f>
        <v>688</v>
      </c>
      <c r="D3834" s="3">
        <f>IFERROR(__xludf.DUMMYFUNCTION("""COMPUTED_VALUE"""),80.0)</f>
        <v>80</v>
      </c>
      <c r="E3834" s="1" t="str">
        <f t="array" ref="E3834">_xlfn.XLOOKUP(A3834,Product!A:A,Product!B:B,"Bulunamadı")</f>
        <v>Self-Help</v>
      </c>
      <c r="F3834" s="1" t="str">
        <f t="array" ref="F3834">_xlfn.XLOOKUP(A3834,Product!A:A,Product!C:C,"Bulunamadı")</f>
        <v>Mobile Development</v>
      </c>
      <c r="G3834" s="2" t="str">
        <f t="array" ref="G3834">_xlfn.XLOOKUP(A3835,Product!A:A,Product!D:D,"Bulunamadı")</f>
        <v>Harborstone House</v>
      </c>
      <c r="H3834" s="2">
        <f t="array" ref="H3834">_xlfn.XLOOKUP(A3836,Product!A:A,Product!E:E,"Bulunamadı")</f>
        <v>1.39</v>
      </c>
      <c r="I3834" s="2" t="str">
        <f t="shared" si="1"/>
        <v>5051 - Self-Help - Mobile Development</v>
      </c>
      <c r="J3834" s="2">
        <f t="shared" si="2"/>
        <v>111.2</v>
      </c>
      <c r="K3834" s="17">
        <f t="shared" si="3"/>
        <v>1</v>
      </c>
      <c r="L3834" s="18"/>
    </row>
    <row r="3835" hidden="1">
      <c r="A3835" s="2">
        <f>IFERROR(__xludf.DUMMYFUNCTION("""COMPUTED_VALUE"""),102647.0)</f>
        <v>102647</v>
      </c>
      <c r="B3835" s="2">
        <f>IFERROR(__xludf.DUMMYFUNCTION("""COMPUTED_VALUE"""),0.0)</f>
        <v>0</v>
      </c>
      <c r="C3835" s="2">
        <f>IFERROR(__xludf.DUMMYFUNCTION("""COMPUTED_VALUE"""),969.0)</f>
        <v>969</v>
      </c>
      <c r="D3835" s="3">
        <f>IFERROR(__xludf.DUMMYFUNCTION("""COMPUTED_VALUE"""),798.0)</f>
        <v>798</v>
      </c>
      <c r="E3835" s="1" t="str">
        <f t="array" ref="E3835">_xlfn.XLOOKUP(A3835,Product!A:A,Product!B:B,"Bulunamadı")</f>
        <v>Self-Help</v>
      </c>
      <c r="F3835" s="1" t="str">
        <f t="array" ref="F3835">_xlfn.XLOOKUP(A3835,Product!A:A,Product!C:C,"Bulunamadı")</f>
        <v>Mobile Development</v>
      </c>
      <c r="G3835" s="2" t="str">
        <f t="array" ref="G3835">_xlfn.XLOOKUP(A3836,Product!A:A,Product!D:D,"Bulunamadı")</f>
        <v>Harborstone House</v>
      </c>
      <c r="H3835" s="2">
        <f t="array" ref="H3835">_xlfn.XLOOKUP(A3837,Product!A:A,Product!E:E,"Bulunamadı")</f>
        <v>1.45</v>
      </c>
      <c r="I3835" s="2" t="str">
        <f t="shared" si="1"/>
        <v>102647 - Self-Help - Mobile Development</v>
      </c>
      <c r="J3835" s="2">
        <f t="shared" si="2"/>
        <v>1157.1</v>
      </c>
      <c r="K3835" s="17">
        <f t="shared" si="3"/>
        <v>1</v>
      </c>
      <c r="L3835" s="18"/>
    </row>
    <row r="3836" hidden="1">
      <c r="A3836" s="2">
        <f>IFERROR(__xludf.DUMMYFUNCTION("""COMPUTED_VALUE"""),5061.0)</f>
        <v>5061</v>
      </c>
      <c r="B3836" s="2">
        <f>IFERROR(__xludf.DUMMYFUNCTION("""COMPUTED_VALUE"""),0.0)</f>
        <v>0</v>
      </c>
      <c r="C3836" s="2">
        <f>IFERROR(__xludf.DUMMYFUNCTION("""COMPUTED_VALUE"""),637.0)</f>
        <v>637</v>
      </c>
      <c r="D3836" s="3">
        <f>IFERROR(__xludf.DUMMYFUNCTION("""COMPUTED_VALUE"""),297.0)</f>
        <v>297</v>
      </c>
      <c r="E3836" s="1" t="str">
        <f t="array" ref="E3836">_xlfn.XLOOKUP(A3836,Product!A:A,Product!B:B,"Bulunamadı")</f>
        <v>Self-Help</v>
      </c>
      <c r="F3836" s="1" t="str">
        <f t="array" ref="F3836">_xlfn.XLOOKUP(A3836,Product!A:A,Product!C:C,"Bulunamadı")</f>
        <v>Mobile Development</v>
      </c>
      <c r="G3836" s="2" t="str">
        <f t="array" ref="G3836">_xlfn.XLOOKUP(A3837,Product!A:A,Product!D:D,"Bulunamadı")</f>
        <v>Harborstone House</v>
      </c>
      <c r="H3836" s="2">
        <f t="array" ref="H3836">_xlfn.XLOOKUP(A3838,Product!A:A,Product!E:E,"Bulunamadı")</f>
        <v>1.67</v>
      </c>
      <c r="I3836" s="2" t="str">
        <f t="shared" si="1"/>
        <v>5061 - Self-Help - Mobile Development</v>
      </c>
      <c r="J3836" s="2">
        <f t="shared" si="2"/>
        <v>495.99</v>
      </c>
      <c r="K3836" s="17">
        <f t="shared" si="3"/>
        <v>1</v>
      </c>
      <c r="L3836" s="18"/>
    </row>
    <row r="3837" hidden="1">
      <c r="A3837" s="2">
        <f>IFERROR(__xludf.DUMMYFUNCTION("""COMPUTED_VALUE"""),102649.0)</f>
        <v>102649</v>
      </c>
      <c r="B3837" s="2">
        <f>IFERROR(__xludf.DUMMYFUNCTION("""COMPUTED_VALUE"""),1.0)</f>
        <v>1</v>
      </c>
      <c r="C3837" s="2">
        <f>IFERROR(__xludf.DUMMYFUNCTION("""COMPUTED_VALUE"""),667.0)</f>
        <v>667</v>
      </c>
      <c r="D3837" s="3">
        <f>IFERROR(__xludf.DUMMYFUNCTION("""COMPUTED_VALUE"""),444.0)</f>
        <v>444</v>
      </c>
      <c r="E3837" s="1" t="str">
        <f t="array" ref="E3837">_xlfn.XLOOKUP(A3837,Product!A:A,Product!B:B,"Bulunamadı")</f>
        <v>Self-Help</v>
      </c>
      <c r="F3837" s="1" t="str">
        <f t="array" ref="F3837">_xlfn.XLOOKUP(A3837,Product!A:A,Product!C:C,"Bulunamadı")</f>
        <v>Mobile Development</v>
      </c>
      <c r="G3837" s="2" t="str">
        <f t="array" ref="G3837">_xlfn.XLOOKUP(A3838,Product!A:A,Product!D:D,"Bulunamadı")</f>
        <v>Cedarstone House</v>
      </c>
      <c r="H3837" s="2">
        <f t="array" ref="H3837">_xlfn.XLOOKUP(A3839,Product!A:A,Product!E:E,"Bulunamadı")</f>
        <v>0.88</v>
      </c>
      <c r="I3837" s="2" t="str">
        <f t="shared" si="1"/>
        <v>102649 - Self-Help - Mobile Development</v>
      </c>
      <c r="J3837" s="2">
        <f t="shared" si="2"/>
        <v>390.72</v>
      </c>
      <c r="K3837" s="17">
        <f t="shared" si="3"/>
        <v>1</v>
      </c>
      <c r="L3837" s="18"/>
    </row>
    <row r="3838" hidden="1">
      <c r="A3838" s="2">
        <f>IFERROR(__xludf.DUMMYFUNCTION("""COMPUTED_VALUE"""),102662.0)</f>
        <v>102662</v>
      </c>
      <c r="B3838" s="2">
        <f>IFERROR(__xludf.DUMMYFUNCTION("""COMPUTED_VALUE"""),0.0)</f>
        <v>0</v>
      </c>
      <c r="C3838" s="2">
        <f>IFERROR(__xludf.DUMMYFUNCTION("""COMPUTED_VALUE"""),145.0)</f>
        <v>145</v>
      </c>
      <c r="D3838" s="3">
        <f>IFERROR(__xludf.DUMMYFUNCTION("""COMPUTED_VALUE"""),106.0)</f>
        <v>106</v>
      </c>
      <c r="E3838" s="1" t="str">
        <f t="array" ref="E3838">_xlfn.XLOOKUP(A3838,Product!A:A,Product!B:B,"Bulunamadı")</f>
        <v>Self-Help</v>
      </c>
      <c r="F3838" s="1" t="str">
        <f t="array" ref="F3838">_xlfn.XLOOKUP(A3838,Product!A:A,Product!C:C,"Bulunamadı")</f>
        <v>Mobile Development</v>
      </c>
      <c r="G3838" s="2" t="str">
        <f t="array" ref="G3838">_xlfn.XLOOKUP(A3839,Product!A:A,Product!D:D,"Bulunamadı")</f>
        <v>Brightstone House</v>
      </c>
      <c r="H3838" s="2">
        <f t="array" ref="H3838">_xlfn.XLOOKUP(A3840,Product!A:A,Product!E:E,"Bulunamadı")</f>
        <v>4.92</v>
      </c>
      <c r="I3838" s="2" t="str">
        <f t="shared" si="1"/>
        <v>102662 - Self-Help - Mobile Development</v>
      </c>
      <c r="J3838" s="2">
        <f t="shared" si="2"/>
        <v>521.52</v>
      </c>
      <c r="K3838" s="17">
        <f t="shared" si="3"/>
        <v>1</v>
      </c>
      <c r="L3838" s="18"/>
    </row>
    <row r="3839" hidden="1">
      <c r="A3839" s="2">
        <f>IFERROR(__xludf.DUMMYFUNCTION("""COMPUTED_VALUE"""),108337.0)</f>
        <v>108337</v>
      </c>
      <c r="B3839" s="2">
        <f>IFERROR(__xludf.DUMMYFUNCTION("""COMPUTED_VALUE"""),1.0)</f>
        <v>1</v>
      </c>
      <c r="C3839" s="2">
        <f>IFERROR(__xludf.DUMMYFUNCTION("""COMPUTED_VALUE"""),655.0)</f>
        <v>655</v>
      </c>
      <c r="D3839" s="3">
        <f>IFERROR(__xludf.DUMMYFUNCTION("""COMPUTED_VALUE"""),606.0)</f>
        <v>606</v>
      </c>
      <c r="E3839" s="1" t="str">
        <f t="array" ref="E3839">_xlfn.XLOOKUP(A3839,Product!A:A,Product!B:B,"Bulunamadı")</f>
        <v>Self-Help</v>
      </c>
      <c r="F3839" s="1" t="str">
        <f t="array" ref="F3839">_xlfn.XLOOKUP(A3839,Product!A:A,Product!C:C,"Bulunamadı")</f>
        <v>Mobile Development</v>
      </c>
      <c r="G3839" s="2" t="str">
        <f t="array" ref="G3839">_xlfn.XLOOKUP(A3840,Product!A:A,Product!D:D,"Bulunamadı")</f>
        <v/>
      </c>
      <c r="H3839" s="2">
        <f t="array" ref="H3839">_xlfn.XLOOKUP(A3841,Product!A:A,Product!E:E,"Bulunamadı")</f>
        <v>7.96</v>
      </c>
      <c r="I3839" s="2" t="str">
        <f t="shared" si="1"/>
        <v>108337 - Self-Help - Mobile Development</v>
      </c>
      <c r="J3839" s="2">
        <f t="shared" si="2"/>
        <v>4823.76</v>
      </c>
      <c r="K3839" s="17">
        <f t="shared" si="3"/>
        <v>1</v>
      </c>
      <c r="L3839" s="18"/>
    </row>
    <row r="3840" hidden="1">
      <c r="A3840" s="2">
        <f>IFERROR(__xludf.DUMMYFUNCTION("""COMPUTED_VALUE"""),188352.0)</f>
        <v>188352</v>
      </c>
      <c r="B3840" s="2">
        <f>IFERROR(__xludf.DUMMYFUNCTION("""COMPUTED_VALUE"""),1.0)</f>
        <v>1</v>
      </c>
      <c r="C3840" s="2">
        <f>IFERROR(__xludf.DUMMYFUNCTION("""COMPUTED_VALUE"""),654.0)</f>
        <v>654</v>
      </c>
      <c r="D3840" s="3">
        <f>IFERROR(__xludf.DUMMYFUNCTION("""COMPUTED_VALUE"""),198.0)</f>
        <v>198</v>
      </c>
      <c r="E3840" s="1" t="str">
        <f t="array" ref="E3840">_xlfn.XLOOKUP(A3840,Product!A:A,Product!B:B,"Bulunamadı")</f>
        <v>Sports</v>
      </c>
      <c r="F3840" s="1" t="str">
        <f t="array" ref="F3840">_xlfn.XLOOKUP(A3840,Product!A:A,Product!C:C,"Bulunamadı")</f>
        <v>Software Engineering</v>
      </c>
      <c r="G3840" s="2" t="str">
        <f t="array" ref="G3840">_xlfn.XLOOKUP(A3841,Product!A:A,Product!D:D,"Bulunamadı")</f>
        <v/>
      </c>
      <c r="H3840" s="2">
        <f t="array" ref="H3840">_xlfn.XLOOKUP(A3842,Product!A:A,Product!E:E,"Bulunamadı")</f>
        <v>9.36</v>
      </c>
      <c r="I3840" s="2" t="str">
        <f t="shared" si="1"/>
        <v>188352 - Sports - Software Engineering</v>
      </c>
      <c r="J3840" s="2">
        <f t="shared" si="2"/>
        <v>1853.28</v>
      </c>
      <c r="K3840" s="17">
        <f t="shared" si="3"/>
        <v>1</v>
      </c>
      <c r="L3840" s="18"/>
    </row>
    <row r="3841" hidden="1">
      <c r="A3841" s="2">
        <f>IFERROR(__xludf.DUMMYFUNCTION("""COMPUTED_VALUE"""),11459.0)</f>
        <v>11459</v>
      </c>
      <c r="B3841" s="2">
        <f>IFERROR(__xludf.DUMMYFUNCTION("""COMPUTED_VALUE"""),1.0)</f>
        <v>1</v>
      </c>
      <c r="C3841" s="2">
        <f>IFERROR(__xludf.DUMMYFUNCTION("""COMPUTED_VALUE"""),223.0)</f>
        <v>223</v>
      </c>
      <c r="D3841" s="3">
        <f>IFERROR(__xludf.DUMMYFUNCTION("""COMPUTED_VALUE"""),125.0)</f>
        <v>125</v>
      </c>
      <c r="E3841" s="1" t="str">
        <f t="array" ref="E3841">_xlfn.XLOOKUP(A3841,Product!A:A,Product!B:B,"Bulunamadı")</f>
        <v>Sports</v>
      </c>
      <c r="F3841" s="1" t="str">
        <f t="array" ref="F3841">_xlfn.XLOOKUP(A3841,Product!A:A,Product!C:C,"Bulunamadı")</f>
        <v>Software Engineering</v>
      </c>
      <c r="G3841" s="2" t="str">
        <f t="array" ref="G3841">_xlfn.XLOOKUP(A3842,Product!A:A,Product!D:D,"Bulunamadı")</f>
        <v>Oakstone House</v>
      </c>
      <c r="H3841" s="2">
        <f t="array" ref="H3841">_xlfn.XLOOKUP(A3843,Product!A:A,Product!E:E,"Bulunamadı")</f>
        <v>6.84</v>
      </c>
      <c r="I3841" s="2" t="str">
        <f t="shared" si="1"/>
        <v>11459 - Sports - Software Engineering</v>
      </c>
      <c r="J3841" s="2">
        <f t="shared" si="2"/>
        <v>855</v>
      </c>
      <c r="K3841" s="17">
        <f t="shared" si="3"/>
        <v>1</v>
      </c>
      <c r="L3841" s="18"/>
    </row>
    <row r="3842" hidden="1">
      <c r="A3842" s="2">
        <f>IFERROR(__xludf.DUMMYFUNCTION("""COMPUTED_VALUE"""),11443.0)</f>
        <v>11443</v>
      </c>
      <c r="B3842" s="2">
        <f>IFERROR(__xludf.DUMMYFUNCTION("""COMPUTED_VALUE"""),1.0)</f>
        <v>1</v>
      </c>
      <c r="C3842" s="2">
        <f>IFERROR(__xludf.DUMMYFUNCTION("""COMPUTED_VALUE"""),74.0)</f>
        <v>74</v>
      </c>
      <c r="D3842" s="3">
        <f>IFERROR(__xludf.DUMMYFUNCTION("""COMPUTED_VALUE"""),21.0)</f>
        <v>21</v>
      </c>
      <c r="E3842" s="1" t="str">
        <f t="array" ref="E3842">_xlfn.XLOOKUP(A3842,Product!A:A,Product!B:B,"Bulunamadı")</f>
        <v>Sports</v>
      </c>
      <c r="F3842" s="1" t="str">
        <f t="array" ref="F3842">_xlfn.XLOOKUP(A3842,Product!A:A,Product!C:C,"Bulunamadı")</f>
        <v>Software Engineering</v>
      </c>
      <c r="G3842" s="2" t="str">
        <f t="array" ref="G3842">_xlfn.XLOOKUP(A3843,Product!A:A,Product!D:D,"Bulunamadı")</f>
        <v>Oakstone House</v>
      </c>
      <c r="H3842" s="2">
        <f t="array" ref="H3842">_xlfn.XLOOKUP(A3844,Product!A:A,Product!E:E,"Bulunamadı")</f>
        <v>7.14</v>
      </c>
      <c r="I3842" s="2" t="str">
        <f t="shared" si="1"/>
        <v>11443 - Sports - Software Engineering</v>
      </c>
      <c r="J3842" s="2">
        <f t="shared" si="2"/>
        <v>149.94</v>
      </c>
      <c r="K3842" s="17">
        <f t="shared" si="3"/>
        <v>1</v>
      </c>
      <c r="L3842" s="18"/>
    </row>
    <row r="3843" hidden="1">
      <c r="A3843" s="2">
        <f>IFERROR(__xludf.DUMMYFUNCTION("""COMPUTED_VALUE"""),70560.0)</f>
        <v>70560</v>
      </c>
      <c r="B3843" s="2">
        <f>IFERROR(__xludf.DUMMYFUNCTION("""COMPUTED_VALUE"""),0.0)</f>
        <v>0</v>
      </c>
      <c r="C3843" s="2">
        <f>IFERROR(__xludf.DUMMYFUNCTION("""COMPUTED_VALUE"""),127.0)</f>
        <v>127</v>
      </c>
      <c r="D3843" s="3">
        <f>IFERROR(__xludf.DUMMYFUNCTION("""COMPUTED_VALUE"""),8.0)</f>
        <v>8</v>
      </c>
      <c r="E3843" s="1" t="str">
        <f t="array" ref="E3843">_xlfn.XLOOKUP(A3843,Product!A:A,Product!B:B,"Bulunamadı")</f>
        <v>Sports</v>
      </c>
      <c r="F3843" s="1" t="str">
        <f t="array" ref="F3843">_xlfn.XLOOKUP(A3843,Product!A:A,Product!C:C,"Bulunamadı")</f>
        <v>Software Engineering</v>
      </c>
      <c r="G3843" s="2" t="str">
        <f t="array" ref="G3843">_xlfn.XLOOKUP(A3844,Product!A:A,Product!D:D,"Bulunamadı")</f>
        <v>Riverstone House</v>
      </c>
      <c r="H3843" s="2">
        <f t="array" ref="H3843">_xlfn.XLOOKUP(A3845,Product!A:A,Product!E:E,"Bulunamadı")</f>
        <v>10.06</v>
      </c>
      <c r="I3843" s="2" t="str">
        <f t="shared" si="1"/>
        <v>70560 - Sports - Software Engineering</v>
      </c>
      <c r="J3843" s="2">
        <f t="shared" si="2"/>
        <v>80.48</v>
      </c>
      <c r="K3843" s="17">
        <f t="shared" si="3"/>
        <v>1</v>
      </c>
      <c r="L3843" s="18"/>
    </row>
    <row r="3844" hidden="1">
      <c r="A3844" s="2">
        <f>IFERROR(__xludf.DUMMYFUNCTION("""COMPUTED_VALUE"""),110363.0)</f>
        <v>110363</v>
      </c>
      <c r="B3844" s="2">
        <f>IFERROR(__xludf.DUMMYFUNCTION("""COMPUTED_VALUE"""),0.0)</f>
        <v>0</v>
      </c>
      <c r="C3844" s="2">
        <f>IFERROR(__xludf.DUMMYFUNCTION("""COMPUTED_VALUE"""),743.0)</f>
        <v>743</v>
      </c>
      <c r="D3844" s="3">
        <f>IFERROR(__xludf.DUMMYFUNCTION("""COMPUTED_VALUE"""),435.0)</f>
        <v>435</v>
      </c>
      <c r="E3844" s="1" t="str">
        <f t="array" ref="E3844">_xlfn.XLOOKUP(A3844,Product!A:A,Product!B:B,"Bulunamadı")</f>
        <v>Sports</v>
      </c>
      <c r="F3844" s="1" t="str">
        <f t="array" ref="F3844">_xlfn.XLOOKUP(A3844,Product!A:A,Product!C:C,"Bulunamadı")</f>
        <v>Software Engineering</v>
      </c>
      <c r="G3844" s="2" t="str">
        <f t="array" ref="G3844">_xlfn.XLOOKUP(A3845,Product!A:A,Product!D:D,"Bulunamadı")</f>
        <v>Riverstone House</v>
      </c>
      <c r="H3844" s="2">
        <f t="array" ref="H3844">_xlfn.XLOOKUP(A3846,Product!A:A,Product!E:E,"Bulunamadı")</f>
        <v>10.48</v>
      </c>
      <c r="I3844" s="2" t="str">
        <f t="shared" si="1"/>
        <v>110363 - Sports - Software Engineering</v>
      </c>
      <c r="J3844" s="2">
        <f t="shared" si="2"/>
        <v>4558.8</v>
      </c>
      <c r="K3844" s="17">
        <f t="shared" si="3"/>
        <v>1</v>
      </c>
      <c r="L3844" s="18"/>
    </row>
    <row r="3845" hidden="1">
      <c r="A3845" s="2">
        <f>IFERROR(__xludf.DUMMYFUNCTION("""COMPUTED_VALUE"""),11449.0)</f>
        <v>11449</v>
      </c>
      <c r="B3845" s="2">
        <f>IFERROR(__xludf.DUMMYFUNCTION("""COMPUTED_VALUE"""),1.0)</f>
        <v>1</v>
      </c>
      <c r="C3845" s="2">
        <f>IFERROR(__xludf.DUMMYFUNCTION("""COMPUTED_VALUE"""),941.0)</f>
        <v>941</v>
      </c>
      <c r="D3845" s="3">
        <f>IFERROR(__xludf.DUMMYFUNCTION("""COMPUTED_VALUE"""),927.0)</f>
        <v>927</v>
      </c>
      <c r="E3845" s="1" t="str">
        <f t="array" ref="E3845">_xlfn.XLOOKUP(A3845,Product!A:A,Product!B:B,"Bulunamadı")</f>
        <v>Sports</v>
      </c>
      <c r="F3845" s="1" t="str">
        <f t="array" ref="F3845">_xlfn.XLOOKUP(A3845,Product!A:A,Product!C:C,"Bulunamadı")</f>
        <v>Software Engineering</v>
      </c>
      <c r="G3845" s="2" t="str">
        <f t="array" ref="G3845">_xlfn.XLOOKUP(A3846,Product!A:A,Product!D:D,"Bulunamadı")</f>
        <v>Riverstone House</v>
      </c>
      <c r="H3845" s="2">
        <f t="array" ref="H3845">_xlfn.XLOOKUP(A3847,Product!A:A,Product!E:E,"Bulunamadı")</f>
        <v>5.72</v>
      </c>
      <c r="I3845" s="2" t="str">
        <f t="shared" si="1"/>
        <v>11449 - Sports - Software Engineering</v>
      </c>
      <c r="J3845" s="2">
        <f t="shared" si="2"/>
        <v>5302.44</v>
      </c>
      <c r="K3845" s="17">
        <f t="shared" si="3"/>
        <v>1</v>
      </c>
      <c r="L3845" s="18"/>
    </row>
    <row r="3846" hidden="1">
      <c r="A3846" s="2">
        <f>IFERROR(__xludf.DUMMYFUNCTION("""COMPUTED_VALUE"""),119793.0)</f>
        <v>119793</v>
      </c>
      <c r="B3846" s="2">
        <f>IFERROR(__xludf.DUMMYFUNCTION("""COMPUTED_VALUE"""),1.0)</f>
        <v>1</v>
      </c>
      <c r="C3846" s="2">
        <f>IFERROR(__xludf.DUMMYFUNCTION("""COMPUTED_VALUE"""),28.0)</f>
        <v>28</v>
      </c>
      <c r="D3846" s="3">
        <f>IFERROR(__xludf.DUMMYFUNCTION("""COMPUTED_VALUE"""),23.0)</f>
        <v>23</v>
      </c>
      <c r="E3846" s="1" t="str">
        <f t="array" ref="E3846">_xlfn.XLOOKUP(A3846,Product!A:A,Product!B:B,"Bulunamadı")</f>
        <v>Sports</v>
      </c>
      <c r="F3846" s="1" t="str">
        <f t="array" ref="F3846">_xlfn.XLOOKUP(A3846,Product!A:A,Product!C:C,"Bulunamadı")</f>
        <v>Software Engineering</v>
      </c>
      <c r="G3846" s="2" t="str">
        <f t="array" ref="G3846">_xlfn.XLOOKUP(A3847,Product!A:A,Product!D:D,"Bulunamadı")</f>
        <v>Riverstone House</v>
      </c>
      <c r="H3846" s="2">
        <f t="array" ref="H3846">_xlfn.XLOOKUP(A3848,Product!A:A,Product!E:E,"Bulunamadı")</f>
        <v>12.86</v>
      </c>
      <c r="I3846" s="2" t="str">
        <f t="shared" si="1"/>
        <v>119793 - Sports - Software Engineering</v>
      </c>
      <c r="J3846" s="2">
        <f t="shared" si="2"/>
        <v>295.78</v>
      </c>
      <c r="K3846" s="17">
        <f t="shared" si="3"/>
        <v>1</v>
      </c>
      <c r="L3846" s="18"/>
    </row>
    <row r="3847" hidden="1">
      <c r="A3847" s="2">
        <f>IFERROR(__xludf.DUMMYFUNCTION("""COMPUTED_VALUE"""),41107.0)</f>
        <v>41107</v>
      </c>
      <c r="B3847" s="2">
        <f>IFERROR(__xludf.DUMMYFUNCTION("""COMPUTED_VALUE"""),1.0)</f>
        <v>1</v>
      </c>
      <c r="C3847" s="2">
        <f>IFERROR(__xludf.DUMMYFUNCTION("""COMPUTED_VALUE"""),749.0)</f>
        <v>749</v>
      </c>
      <c r="D3847" s="3">
        <f>IFERROR(__xludf.DUMMYFUNCTION("""COMPUTED_VALUE"""),565.0)</f>
        <v>565</v>
      </c>
      <c r="E3847" s="1" t="str">
        <f t="array" ref="E3847">_xlfn.XLOOKUP(A3847,Product!A:A,Product!B:B,"Bulunamadı")</f>
        <v>Sports</v>
      </c>
      <c r="F3847" s="1" t="str">
        <f t="array" ref="F3847">_xlfn.XLOOKUP(A3847,Product!A:A,Product!C:C,"Bulunamadı")</f>
        <v>Software Engineering</v>
      </c>
      <c r="G3847" s="2" t="str">
        <f t="array" ref="G3847">_xlfn.XLOOKUP(A3848,Product!A:A,Product!D:D,"Bulunamadı")</f>
        <v>Riverstone House</v>
      </c>
      <c r="H3847" s="2">
        <f t="array" ref="H3847">_xlfn.XLOOKUP(A3849,Product!A:A,Product!E:E,"Bulunamadı")</f>
        <v>7.22</v>
      </c>
      <c r="I3847" s="2" t="str">
        <f t="shared" si="1"/>
        <v>41107 - Sports - Software Engineering</v>
      </c>
      <c r="J3847" s="2">
        <f t="shared" si="2"/>
        <v>4079.3</v>
      </c>
      <c r="K3847" s="17">
        <f t="shared" si="3"/>
        <v>1</v>
      </c>
      <c r="L3847" s="18"/>
    </row>
    <row r="3848" hidden="1">
      <c r="A3848" s="2">
        <f>IFERROR(__xludf.DUMMYFUNCTION("""COMPUTED_VALUE"""),78358.0)</f>
        <v>78358</v>
      </c>
      <c r="B3848" s="2">
        <f>IFERROR(__xludf.DUMMYFUNCTION("""COMPUTED_VALUE"""),0.0)</f>
        <v>0</v>
      </c>
      <c r="C3848" s="2">
        <f>IFERROR(__xludf.DUMMYFUNCTION("""COMPUTED_VALUE"""),708.0)</f>
        <v>708</v>
      </c>
      <c r="D3848" s="3">
        <f>IFERROR(__xludf.DUMMYFUNCTION("""COMPUTED_VALUE"""),694.0)</f>
        <v>694</v>
      </c>
      <c r="E3848" s="1" t="str">
        <f t="array" ref="E3848">_xlfn.XLOOKUP(A3848,Product!A:A,Product!B:B,"Bulunamadı")</f>
        <v>Sports</v>
      </c>
      <c r="F3848" s="1" t="str">
        <f t="array" ref="F3848">_xlfn.XLOOKUP(A3848,Product!A:A,Product!C:C,"Bulunamadı")</f>
        <v>Software Engineering</v>
      </c>
      <c r="G3848" s="2" t="str">
        <f t="array" ref="G3848">_xlfn.XLOOKUP(A3849,Product!A:A,Product!D:D,"Bulunamadı")</f>
        <v>Riverstone House</v>
      </c>
      <c r="H3848" s="2">
        <f t="array" ref="H3848">_xlfn.XLOOKUP(A3850,Product!A:A,Product!E:E,"Bulunamadı")</f>
        <v>20.32</v>
      </c>
      <c r="I3848" s="2" t="str">
        <f t="shared" si="1"/>
        <v>78358 - Sports - Software Engineering</v>
      </c>
      <c r="J3848" s="2">
        <f t="shared" si="2"/>
        <v>14102.08</v>
      </c>
      <c r="K3848" s="17">
        <f t="shared" si="3"/>
        <v>1</v>
      </c>
      <c r="L3848" s="18"/>
    </row>
    <row r="3849" hidden="1">
      <c r="A3849" s="2">
        <f>IFERROR(__xludf.DUMMYFUNCTION("""COMPUTED_VALUE"""),77048.0)</f>
        <v>77048</v>
      </c>
      <c r="B3849" s="2">
        <f>IFERROR(__xludf.DUMMYFUNCTION("""COMPUTED_VALUE"""),1.0)</f>
        <v>1</v>
      </c>
      <c r="C3849" s="2">
        <f>IFERROR(__xludf.DUMMYFUNCTION("""COMPUTED_VALUE"""),391.0)</f>
        <v>391</v>
      </c>
      <c r="D3849" s="3">
        <f>IFERROR(__xludf.DUMMYFUNCTION("""COMPUTED_VALUE"""),254.0)</f>
        <v>254</v>
      </c>
      <c r="E3849" s="1" t="str">
        <f t="array" ref="E3849">_xlfn.XLOOKUP(A3849,Product!A:A,Product!B:B,"Bulunamadı")</f>
        <v>Sports</v>
      </c>
      <c r="F3849" s="1" t="str">
        <f t="array" ref="F3849">_xlfn.XLOOKUP(A3849,Product!A:A,Product!C:C,"Bulunamadı")</f>
        <v>Software Engineering</v>
      </c>
      <c r="G3849" s="2" t="str">
        <f t="array" ref="G3849">_xlfn.XLOOKUP(A3850,Product!A:A,Product!D:D,"Bulunamadı")</f>
        <v>Ironstone House</v>
      </c>
      <c r="H3849" s="2">
        <f t="array" ref="H3849">_xlfn.XLOOKUP(A3851,Product!A:A,Product!E:E,"Bulunamadı")</f>
        <v>32.62</v>
      </c>
      <c r="I3849" s="2" t="str">
        <f t="shared" si="1"/>
        <v>77048 - Sports - Software Engineering</v>
      </c>
      <c r="J3849" s="2">
        <f t="shared" si="2"/>
        <v>8285.48</v>
      </c>
      <c r="K3849" s="17">
        <f t="shared" si="3"/>
        <v>1</v>
      </c>
      <c r="L3849" s="18"/>
    </row>
    <row r="3850" hidden="1">
      <c r="A3850" s="2">
        <f>IFERROR(__xludf.DUMMYFUNCTION("""COMPUTED_VALUE"""),27428.0)</f>
        <v>27428</v>
      </c>
      <c r="B3850" s="2">
        <f>IFERROR(__xludf.DUMMYFUNCTION("""COMPUTED_VALUE"""),0.0)</f>
        <v>0</v>
      </c>
      <c r="C3850" s="2">
        <f>IFERROR(__xludf.DUMMYFUNCTION("""COMPUTED_VALUE"""),924.0)</f>
        <v>924</v>
      </c>
      <c r="D3850" s="3">
        <f>IFERROR(__xludf.DUMMYFUNCTION("""COMPUTED_VALUE"""),138.0)</f>
        <v>138</v>
      </c>
      <c r="E3850" s="1" t="str">
        <f t="array" ref="E3850">_xlfn.XLOOKUP(A3850,Product!A:A,Product!B:B,"Bulunamadı")</f>
        <v>Sports</v>
      </c>
      <c r="F3850" s="1" t="str">
        <f t="array" ref="F3850">_xlfn.XLOOKUP(A3850,Product!A:A,Product!C:C,"Bulunamadı")</f>
        <v>Software Engineering</v>
      </c>
      <c r="G3850" s="2" t="str">
        <f t="array" ref="G3850">_xlfn.XLOOKUP(A3851,Product!A:A,Product!D:D,"Bulunamadı")</f>
        <v>Ironstone House</v>
      </c>
      <c r="H3850" s="2">
        <f t="array" ref="H3850">_xlfn.XLOOKUP(A3852,Product!A:A,Product!E:E,"Bulunamadı")</f>
        <v>45.26</v>
      </c>
      <c r="I3850" s="2" t="str">
        <f t="shared" si="1"/>
        <v>27428 - Sports - Software Engineering</v>
      </c>
      <c r="J3850" s="2">
        <f t="shared" si="2"/>
        <v>6245.88</v>
      </c>
      <c r="K3850" s="17">
        <f t="shared" si="3"/>
        <v>1</v>
      </c>
      <c r="L3850" s="18"/>
    </row>
    <row r="3851" hidden="1">
      <c r="A3851" s="2">
        <f>IFERROR(__xludf.DUMMYFUNCTION("""COMPUTED_VALUE"""),8530.0)</f>
        <v>8530</v>
      </c>
      <c r="B3851" s="2">
        <f>IFERROR(__xludf.DUMMYFUNCTION("""COMPUTED_VALUE"""),1.0)</f>
        <v>1</v>
      </c>
      <c r="C3851" s="2">
        <f>IFERROR(__xludf.DUMMYFUNCTION("""COMPUTED_VALUE"""),912.0)</f>
        <v>912</v>
      </c>
      <c r="D3851" s="3">
        <f>IFERROR(__xludf.DUMMYFUNCTION("""COMPUTED_VALUE"""),185.0)</f>
        <v>185</v>
      </c>
      <c r="E3851" s="1" t="str">
        <f t="array" ref="E3851">_xlfn.XLOOKUP(A3851,Product!A:A,Product!B:B,"Bulunamadı")</f>
        <v>Sports</v>
      </c>
      <c r="F3851" s="1" t="str">
        <f t="array" ref="F3851">_xlfn.XLOOKUP(A3851,Product!A:A,Product!C:C,"Bulunamadı")</f>
        <v>Software Engineering</v>
      </c>
      <c r="G3851" s="2" t="str">
        <f t="array" ref="G3851">_xlfn.XLOOKUP(A3852,Product!A:A,Product!D:D,"Bulunamadı")</f>
        <v>Ironstone House</v>
      </c>
      <c r="H3851" s="2">
        <f t="array" ref="H3851">_xlfn.XLOOKUP(A3853,Product!A:A,Product!E:E,"Bulunamadı")</f>
        <v>32.59</v>
      </c>
      <c r="I3851" s="2" t="str">
        <f t="shared" si="1"/>
        <v>8530 - Sports - Software Engineering</v>
      </c>
      <c r="J3851" s="2">
        <f t="shared" si="2"/>
        <v>6029.15</v>
      </c>
      <c r="K3851" s="17">
        <f t="shared" si="3"/>
        <v>1</v>
      </c>
      <c r="L3851" s="18"/>
    </row>
    <row r="3852" hidden="1">
      <c r="A3852" s="2">
        <f>IFERROR(__xludf.DUMMYFUNCTION("""COMPUTED_VALUE"""),14281.0)</f>
        <v>14281</v>
      </c>
      <c r="B3852" s="2">
        <f>IFERROR(__xludf.DUMMYFUNCTION("""COMPUTED_VALUE"""),1.0)</f>
        <v>1</v>
      </c>
      <c r="C3852" s="2">
        <f>IFERROR(__xludf.DUMMYFUNCTION("""COMPUTED_VALUE"""),691.0)</f>
        <v>691</v>
      </c>
      <c r="D3852" s="3">
        <f>IFERROR(__xludf.DUMMYFUNCTION("""COMPUTED_VALUE"""),36.0)</f>
        <v>36</v>
      </c>
      <c r="E3852" s="1" t="str">
        <f t="array" ref="E3852">_xlfn.XLOOKUP(A3852,Product!A:A,Product!B:B,"Bulunamadı")</f>
        <v>Sports</v>
      </c>
      <c r="F3852" s="1" t="str">
        <f t="array" ref="F3852">_xlfn.XLOOKUP(A3852,Product!A:A,Product!C:C,"Bulunamadı")</f>
        <v>Software Engineering</v>
      </c>
      <c r="G3852" s="2" t="str">
        <f t="array" ref="G3852">_xlfn.XLOOKUP(A3853,Product!A:A,Product!D:D,"Bulunamadı")</f>
        <v>Ironstone House</v>
      </c>
      <c r="H3852" s="2">
        <f t="array" ref="H3852">_xlfn.XLOOKUP(A3854,Product!A:A,Product!E:E,"Bulunamadı")</f>
        <v>7.66</v>
      </c>
      <c r="I3852" s="2" t="str">
        <f t="shared" si="1"/>
        <v>14281 - Sports - Software Engineering</v>
      </c>
      <c r="J3852" s="2">
        <f t="shared" si="2"/>
        <v>275.76</v>
      </c>
      <c r="K3852" s="17">
        <f t="shared" si="3"/>
        <v>1</v>
      </c>
      <c r="L3852" s="18"/>
    </row>
    <row r="3853" hidden="1">
      <c r="A3853" s="2">
        <f>IFERROR(__xludf.DUMMYFUNCTION("""COMPUTED_VALUE"""),140582.0)</f>
        <v>140582</v>
      </c>
      <c r="B3853" s="2">
        <f>IFERROR(__xludf.DUMMYFUNCTION("""COMPUTED_VALUE"""),0.0)</f>
        <v>0</v>
      </c>
      <c r="C3853" s="2">
        <f>IFERROR(__xludf.DUMMYFUNCTION("""COMPUTED_VALUE"""),90.0)</f>
        <v>90</v>
      </c>
      <c r="D3853" s="3">
        <f>IFERROR(__xludf.DUMMYFUNCTION("""COMPUTED_VALUE"""),62.0)</f>
        <v>62</v>
      </c>
      <c r="E3853" s="1" t="str">
        <f t="array" ref="E3853">_xlfn.XLOOKUP(A3853,Product!A:A,Product!B:B,"Bulunamadı")</f>
        <v>Sports</v>
      </c>
      <c r="F3853" s="1" t="str">
        <f t="array" ref="F3853">_xlfn.XLOOKUP(A3853,Product!A:A,Product!C:C,"Bulunamadı")</f>
        <v>Software Engineering</v>
      </c>
      <c r="G3853" s="2" t="str">
        <f t="array" ref="G3853">_xlfn.XLOOKUP(A3854,Product!A:A,Product!D:D,"Bulunamadı")</f>
        <v>Silverhill House</v>
      </c>
      <c r="H3853" s="2">
        <f t="array" ref="H3853">_xlfn.XLOOKUP(A3855,Product!A:A,Product!E:E,"Bulunamadı")</f>
        <v>10.93</v>
      </c>
      <c r="I3853" s="2" t="str">
        <f t="shared" si="1"/>
        <v>140582 - Sports - Software Engineering</v>
      </c>
      <c r="J3853" s="2">
        <f t="shared" si="2"/>
        <v>677.66</v>
      </c>
      <c r="K3853" s="17">
        <f t="shared" si="3"/>
        <v>1</v>
      </c>
      <c r="L3853" s="18"/>
    </row>
    <row r="3854" hidden="1">
      <c r="A3854" s="2">
        <f>IFERROR(__xludf.DUMMYFUNCTION("""COMPUTED_VALUE"""),98895.0)</f>
        <v>98895</v>
      </c>
      <c r="B3854" s="2">
        <f>IFERROR(__xludf.DUMMYFUNCTION("""COMPUTED_VALUE"""),1.0)</f>
        <v>1</v>
      </c>
      <c r="C3854" s="2">
        <f>IFERROR(__xludf.DUMMYFUNCTION("""COMPUTED_VALUE"""),514.0)</f>
        <v>514</v>
      </c>
      <c r="D3854" s="3">
        <f>IFERROR(__xludf.DUMMYFUNCTION("""COMPUTED_VALUE"""),72.0)</f>
        <v>72</v>
      </c>
      <c r="E3854" s="1" t="str">
        <f t="array" ref="E3854">_xlfn.XLOOKUP(A3854,Product!A:A,Product!B:B,"Bulunamadı")</f>
        <v>Sports</v>
      </c>
      <c r="F3854" s="1" t="str">
        <f t="array" ref="F3854">_xlfn.XLOOKUP(A3854,Product!A:A,Product!C:C,"Bulunamadı")</f>
        <v>Software Engineering</v>
      </c>
      <c r="G3854" s="2" t="str">
        <f t="array" ref="G3854">_xlfn.XLOOKUP(A3855,Product!A:A,Product!D:D,"Bulunamadı")</f>
        <v>Northhill House</v>
      </c>
      <c r="H3854" s="2">
        <f t="array" ref="H3854">_xlfn.XLOOKUP(A3856,Product!A:A,Product!E:E,"Bulunamadı")</f>
        <v>11.7</v>
      </c>
      <c r="I3854" s="2" t="str">
        <f t="shared" si="1"/>
        <v>98895 - Sports - Software Engineering</v>
      </c>
      <c r="J3854" s="2">
        <f t="shared" si="2"/>
        <v>842.4</v>
      </c>
      <c r="K3854" s="17">
        <f t="shared" si="3"/>
        <v>1</v>
      </c>
      <c r="L3854" s="18"/>
    </row>
    <row r="3855">
      <c r="A3855" s="2">
        <f>IFERROR(__xludf.DUMMYFUNCTION("""COMPUTED_VALUE"""),77491.0)</f>
        <v>77491</v>
      </c>
      <c r="B3855" s="2">
        <f>IFERROR(__xludf.DUMMYFUNCTION("""COMPUTED_VALUE"""),0.0)</f>
        <v>0</v>
      </c>
      <c r="C3855" s="2">
        <f>IFERROR(__xludf.DUMMYFUNCTION("""COMPUTED_VALUE"""),424.0)</f>
        <v>424</v>
      </c>
      <c r="D3855" s="3">
        <f>IFERROR(__xludf.DUMMYFUNCTION("""COMPUTED_VALUE"""),59.0)</f>
        <v>59</v>
      </c>
      <c r="E3855" s="1" t="str">
        <f t="array" ref="E3855">_xlfn.XLOOKUP(A3855,Product!A:A,Product!B:B,"Bulunamadı")</f>
        <v>Arts</v>
      </c>
      <c r="F3855" s="1" t="str">
        <f t="array" ref="F3855">_xlfn.XLOOKUP(A3855,Product!A:A,Product!C:C,"Bulunamadı")</f>
        <v>Data Science</v>
      </c>
      <c r="G3855" s="2" t="str">
        <f t="array" ref="G3855">_xlfn.XLOOKUP(A3856,Product!A:A,Product!D:D,"Bulunamadı")</f>
        <v>Northhill House</v>
      </c>
      <c r="H3855" s="2">
        <f t="array" ref="H3855">_xlfn.XLOOKUP(A3857,Product!A:A,Product!E:E,"Bulunamadı")</f>
        <v>2.8</v>
      </c>
      <c r="I3855" s="2" t="str">
        <f t="shared" si="1"/>
        <v>77491 - Arts - Data Science</v>
      </c>
      <c r="J3855" s="2">
        <f t="shared" si="2"/>
        <v>165.2</v>
      </c>
      <c r="K3855" s="17">
        <f t="shared" si="3"/>
        <v>1</v>
      </c>
      <c r="L3855" s="18"/>
    </row>
    <row r="3856">
      <c r="A3856" s="2">
        <f>IFERROR(__xludf.DUMMYFUNCTION("""COMPUTED_VALUE"""),81704.0)</f>
        <v>81704</v>
      </c>
      <c r="B3856" s="2">
        <f>IFERROR(__xludf.DUMMYFUNCTION("""COMPUTED_VALUE"""),0.0)</f>
        <v>0</v>
      </c>
      <c r="C3856" s="2">
        <f>IFERROR(__xludf.DUMMYFUNCTION("""COMPUTED_VALUE"""),232.0)</f>
        <v>232</v>
      </c>
      <c r="D3856" s="3">
        <f>IFERROR(__xludf.DUMMYFUNCTION("""COMPUTED_VALUE"""),12.0)</f>
        <v>12</v>
      </c>
      <c r="E3856" s="1" t="str">
        <f t="array" ref="E3856">_xlfn.XLOOKUP(A3856,Product!A:A,Product!B:B,"Bulunamadı")</f>
        <v>Arts</v>
      </c>
      <c r="F3856" s="1" t="str">
        <f t="array" ref="F3856">_xlfn.XLOOKUP(A3856,Product!A:A,Product!C:C,"Bulunamadı")</f>
        <v>Data Science</v>
      </c>
      <c r="G3856" s="2" t="str">
        <f t="array" ref="G3856">_xlfn.XLOOKUP(A3857,Product!A:A,Product!D:D,"Bulunamadı")</f>
        <v>Northhill House</v>
      </c>
      <c r="H3856" s="2">
        <f t="array" ref="H3856">_xlfn.XLOOKUP(A3858,Product!A:A,Product!E:E,"Bulunamadı")</f>
        <v>3.01</v>
      </c>
      <c r="I3856" s="2" t="str">
        <f t="shared" si="1"/>
        <v>81704 - Arts - Data Science</v>
      </c>
      <c r="J3856" s="2">
        <f t="shared" si="2"/>
        <v>36.12</v>
      </c>
      <c r="K3856" s="17">
        <f t="shared" si="3"/>
        <v>1</v>
      </c>
      <c r="L3856" s="18"/>
    </row>
    <row r="3857">
      <c r="A3857" s="2">
        <f>IFERROR(__xludf.DUMMYFUNCTION("""COMPUTED_VALUE"""),111565.0)</f>
        <v>111565</v>
      </c>
      <c r="B3857" s="2">
        <f>IFERROR(__xludf.DUMMYFUNCTION("""COMPUTED_VALUE"""),1.0)</f>
        <v>1</v>
      </c>
      <c r="C3857" s="2">
        <f>IFERROR(__xludf.DUMMYFUNCTION("""COMPUTED_VALUE"""),86.0)</f>
        <v>86</v>
      </c>
      <c r="D3857" s="3">
        <f>IFERROR(__xludf.DUMMYFUNCTION("""COMPUTED_VALUE"""),61.0)</f>
        <v>61</v>
      </c>
      <c r="E3857" s="1" t="str">
        <f t="array" ref="E3857">_xlfn.XLOOKUP(A3857,Product!A:A,Product!B:B,"Bulunamadı")</f>
        <v>Arts</v>
      </c>
      <c r="F3857" s="1" t="str">
        <f t="array" ref="F3857">_xlfn.XLOOKUP(A3857,Product!A:A,Product!C:C,"Bulunamadı")</f>
        <v>Data Science</v>
      </c>
      <c r="G3857" s="2" t="str">
        <f t="array" ref="G3857">_xlfn.XLOOKUP(A3858,Product!A:A,Product!D:D,"Bulunamadı")</f>
        <v>Northhill House</v>
      </c>
      <c r="H3857" s="2">
        <f t="array" ref="H3857">_xlfn.XLOOKUP(A3859,Product!A:A,Product!E:E,"Bulunamadı")</f>
        <v>2.73</v>
      </c>
      <c r="I3857" s="2" t="str">
        <f t="shared" si="1"/>
        <v>111565 - Arts - Data Science</v>
      </c>
      <c r="J3857" s="2">
        <f t="shared" si="2"/>
        <v>166.53</v>
      </c>
      <c r="K3857" s="17">
        <f t="shared" si="3"/>
        <v>1</v>
      </c>
      <c r="L3857" s="18"/>
    </row>
    <row r="3858">
      <c r="A3858" s="2">
        <f>IFERROR(__xludf.DUMMYFUNCTION("""COMPUTED_VALUE"""),5774.0)</f>
        <v>5774</v>
      </c>
      <c r="B3858" s="2">
        <f>IFERROR(__xludf.DUMMYFUNCTION("""COMPUTED_VALUE"""),1.0)</f>
        <v>1</v>
      </c>
      <c r="C3858" s="2">
        <f>IFERROR(__xludf.DUMMYFUNCTION("""COMPUTED_VALUE"""),621.0)</f>
        <v>621</v>
      </c>
      <c r="D3858" s="3">
        <f>IFERROR(__xludf.DUMMYFUNCTION("""COMPUTED_VALUE"""),203.0)</f>
        <v>203</v>
      </c>
      <c r="E3858" s="1" t="str">
        <f t="array" ref="E3858">_xlfn.XLOOKUP(A3858,Product!A:A,Product!B:B,"Bulunamadı")</f>
        <v>Arts</v>
      </c>
      <c r="F3858" s="1" t="str">
        <f t="array" ref="F3858">_xlfn.XLOOKUP(A3858,Product!A:A,Product!C:C,"Bulunamadı")</f>
        <v>Data Science</v>
      </c>
      <c r="G3858" s="2" t="str">
        <f t="array" ref="G3858">_xlfn.XLOOKUP(A3859,Product!A:A,Product!D:D,"Bulunamadı")</f>
        <v>Northhill House</v>
      </c>
      <c r="H3858" s="2">
        <f t="array" ref="H3858">_xlfn.XLOOKUP(A3860,Product!A:A,Product!E:E,"Bulunamadı")</f>
        <v>2.4</v>
      </c>
      <c r="I3858" s="2" t="str">
        <f t="shared" si="1"/>
        <v>5774 - Arts - Data Science</v>
      </c>
      <c r="J3858" s="2">
        <f t="shared" si="2"/>
        <v>487.2</v>
      </c>
      <c r="K3858" s="17">
        <f t="shared" si="3"/>
        <v>1</v>
      </c>
      <c r="L3858" s="18"/>
    </row>
    <row r="3859">
      <c r="A3859" s="2">
        <f>IFERROR(__xludf.DUMMYFUNCTION("""COMPUTED_VALUE"""),112075.0)</f>
        <v>112075</v>
      </c>
      <c r="B3859" s="2">
        <f>IFERROR(__xludf.DUMMYFUNCTION("""COMPUTED_VALUE"""),0.0)</f>
        <v>0</v>
      </c>
      <c r="C3859" s="2">
        <f>IFERROR(__xludf.DUMMYFUNCTION("""COMPUTED_VALUE"""),845.0)</f>
        <v>845</v>
      </c>
      <c r="D3859" s="3">
        <f>IFERROR(__xludf.DUMMYFUNCTION("""COMPUTED_VALUE"""),768.0)</f>
        <v>768</v>
      </c>
      <c r="E3859" s="1" t="str">
        <f t="array" ref="E3859">_xlfn.XLOOKUP(A3859,Product!A:A,Product!B:B,"Bulunamadı")</f>
        <v>Arts</v>
      </c>
      <c r="F3859" s="1" t="str">
        <f t="array" ref="F3859">_xlfn.XLOOKUP(A3859,Product!A:A,Product!C:C,"Bulunamadı")</f>
        <v>Data Science</v>
      </c>
      <c r="G3859" s="2" t="str">
        <f t="array" ref="G3859">_xlfn.XLOOKUP(A3860,Product!A:A,Product!D:D,"Bulunamadı")</f>
        <v>Northhill House</v>
      </c>
      <c r="H3859" s="2">
        <f t="array" ref="H3859">_xlfn.XLOOKUP(A3861,Product!A:A,Product!E:E,"Bulunamadı")</f>
        <v>2.37</v>
      </c>
      <c r="I3859" s="2" t="str">
        <f t="shared" si="1"/>
        <v>112075 - Arts - Data Science</v>
      </c>
      <c r="J3859" s="2">
        <f t="shared" si="2"/>
        <v>1820.16</v>
      </c>
      <c r="K3859" s="17">
        <f t="shared" si="3"/>
        <v>1</v>
      </c>
      <c r="L3859" s="18"/>
    </row>
    <row r="3860">
      <c r="A3860" s="2">
        <f>IFERROR(__xludf.DUMMYFUNCTION("""COMPUTED_VALUE"""),88469.0)</f>
        <v>88469</v>
      </c>
      <c r="B3860" s="2">
        <f>IFERROR(__xludf.DUMMYFUNCTION("""COMPUTED_VALUE"""),0.0)</f>
        <v>0</v>
      </c>
      <c r="C3860" s="2">
        <f>IFERROR(__xludf.DUMMYFUNCTION("""COMPUTED_VALUE"""),218.0)</f>
        <v>218</v>
      </c>
      <c r="D3860" s="3">
        <f>IFERROR(__xludf.DUMMYFUNCTION("""COMPUTED_VALUE"""),58.0)</f>
        <v>58</v>
      </c>
      <c r="E3860" s="1" t="str">
        <f t="array" ref="E3860">_xlfn.XLOOKUP(A3860,Product!A:A,Product!B:B,"Bulunamadı")</f>
        <v>Arts</v>
      </c>
      <c r="F3860" s="1" t="str">
        <f t="array" ref="F3860">_xlfn.XLOOKUP(A3860,Product!A:A,Product!C:C,"Bulunamadı")</f>
        <v>Data Science</v>
      </c>
      <c r="G3860" s="2" t="str">
        <f t="array" ref="G3860">_xlfn.XLOOKUP(A3861,Product!A:A,Product!D:D,"Bulunamadı")</f>
        <v>Northhill House</v>
      </c>
      <c r="H3860" s="2">
        <f t="array" ref="H3860">_xlfn.XLOOKUP(A3862,Product!A:A,Product!E:E,"Bulunamadı")</f>
        <v>2.58</v>
      </c>
      <c r="I3860" s="2" t="str">
        <f t="shared" si="1"/>
        <v>88469 - Arts - Data Science</v>
      </c>
      <c r="J3860" s="2">
        <f t="shared" si="2"/>
        <v>149.64</v>
      </c>
      <c r="K3860" s="17">
        <f t="shared" si="3"/>
        <v>1</v>
      </c>
      <c r="L3860" s="18"/>
    </row>
    <row r="3861">
      <c r="A3861" s="2">
        <f>IFERROR(__xludf.DUMMYFUNCTION("""COMPUTED_VALUE"""),112249.0)</f>
        <v>112249</v>
      </c>
      <c r="B3861" s="2">
        <f>IFERROR(__xludf.DUMMYFUNCTION("""COMPUTED_VALUE"""),1.0)</f>
        <v>1</v>
      </c>
      <c r="C3861" s="2">
        <f>IFERROR(__xludf.DUMMYFUNCTION("""COMPUTED_VALUE"""),409.0)</f>
        <v>409</v>
      </c>
      <c r="D3861" s="3">
        <f>IFERROR(__xludf.DUMMYFUNCTION("""COMPUTED_VALUE"""),133.0)</f>
        <v>133</v>
      </c>
      <c r="E3861" s="1" t="str">
        <f t="array" ref="E3861">_xlfn.XLOOKUP(A3861,Product!A:A,Product!B:B,"Bulunamadı")</f>
        <v>Arts</v>
      </c>
      <c r="F3861" s="1" t="str">
        <f t="array" ref="F3861">_xlfn.XLOOKUP(A3861,Product!A:A,Product!C:C,"Bulunamadı")</f>
        <v>Data Science</v>
      </c>
      <c r="G3861" s="2" t="str">
        <f t="array" ref="G3861">_xlfn.XLOOKUP(A3862,Product!A:A,Product!D:D,"Bulunamadı")</f>
        <v>Northhill House</v>
      </c>
      <c r="H3861" s="2">
        <f t="array" ref="H3861">_xlfn.XLOOKUP(A3863,Product!A:A,Product!E:E,"Bulunamadı")</f>
        <v>1.7</v>
      </c>
      <c r="I3861" s="2" t="str">
        <f t="shared" si="1"/>
        <v>112249 - Arts - Data Science</v>
      </c>
      <c r="J3861" s="2">
        <f t="shared" si="2"/>
        <v>226.1</v>
      </c>
      <c r="K3861" s="17">
        <f t="shared" si="3"/>
        <v>1</v>
      </c>
      <c r="L3861" s="18"/>
    </row>
    <row r="3862">
      <c r="A3862" s="2">
        <f>IFERROR(__xludf.DUMMYFUNCTION("""COMPUTED_VALUE"""),5775.0)</f>
        <v>5775</v>
      </c>
      <c r="B3862" s="2">
        <f>IFERROR(__xludf.DUMMYFUNCTION("""COMPUTED_VALUE"""),1.0)</f>
        <v>1</v>
      </c>
      <c r="C3862" s="2">
        <f>IFERROR(__xludf.DUMMYFUNCTION("""COMPUTED_VALUE"""),454.0)</f>
        <v>454</v>
      </c>
      <c r="D3862" s="3">
        <f>IFERROR(__xludf.DUMMYFUNCTION("""COMPUTED_VALUE"""),319.0)</f>
        <v>319</v>
      </c>
      <c r="E3862" s="1" t="str">
        <f t="array" ref="E3862">_xlfn.XLOOKUP(A3862,Product!A:A,Product!B:B,"Bulunamadı")</f>
        <v>Arts</v>
      </c>
      <c r="F3862" s="1" t="str">
        <f t="array" ref="F3862">_xlfn.XLOOKUP(A3862,Product!A:A,Product!C:C,"Bulunamadı")</f>
        <v>Data Science</v>
      </c>
      <c r="G3862" s="2" t="str">
        <f t="array" ref="G3862">_xlfn.XLOOKUP(A3863,Product!A:A,Product!D:D,"Bulunamadı")</f>
        <v>Northhill House</v>
      </c>
      <c r="H3862" s="2">
        <f t="array" ref="H3862">_xlfn.XLOOKUP(A3864,Product!A:A,Product!E:E,"Bulunamadı")</f>
        <v>1.98</v>
      </c>
      <c r="I3862" s="2" t="str">
        <f t="shared" si="1"/>
        <v>5775 - Arts - Data Science</v>
      </c>
      <c r="J3862" s="2">
        <f t="shared" si="2"/>
        <v>631.62</v>
      </c>
      <c r="K3862" s="17">
        <f t="shared" si="3"/>
        <v>1</v>
      </c>
      <c r="L3862" s="18"/>
    </row>
    <row r="3863">
      <c r="A3863" s="2">
        <f>IFERROR(__xludf.DUMMYFUNCTION("""COMPUTED_VALUE"""),77506.0)</f>
        <v>77506</v>
      </c>
      <c r="B3863" s="2">
        <f>IFERROR(__xludf.DUMMYFUNCTION("""COMPUTED_VALUE"""),0.0)</f>
        <v>0</v>
      </c>
      <c r="C3863" s="2">
        <f>IFERROR(__xludf.DUMMYFUNCTION("""COMPUTED_VALUE"""),486.0)</f>
        <v>486</v>
      </c>
      <c r="D3863" s="3">
        <f>IFERROR(__xludf.DUMMYFUNCTION("""COMPUTED_VALUE"""),221.0)</f>
        <v>221</v>
      </c>
      <c r="E3863" s="1" t="str">
        <f t="array" ref="E3863">_xlfn.XLOOKUP(A3863,Product!A:A,Product!B:B,"Bulunamadı")</f>
        <v>Arts</v>
      </c>
      <c r="F3863" s="1" t="str">
        <f t="array" ref="F3863">_xlfn.XLOOKUP(A3863,Product!A:A,Product!C:C,"Bulunamadı")</f>
        <v>Data Science</v>
      </c>
      <c r="G3863" s="2" t="str">
        <f t="array" ref="G3863">_xlfn.XLOOKUP(A3864,Product!A:A,Product!D:D,"Bulunamadı")</f>
        <v>Northhill House</v>
      </c>
      <c r="H3863" s="2">
        <f t="array" ref="H3863">_xlfn.XLOOKUP(A3865,Product!A:A,Product!E:E,"Bulunamadı")</f>
        <v>8.41</v>
      </c>
      <c r="I3863" s="2" t="str">
        <f t="shared" si="1"/>
        <v>77506 - Arts - Data Science</v>
      </c>
      <c r="J3863" s="2">
        <f t="shared" si="2"/>
        <v>1858.61</v>
      </c>
      <c r="K3863" s="17">
        <f t="shared" si="3"/>
        <v>1</v>
      </c>
      <c r="L3863" s="18"/>
    </row>
    <row r="3864">
      <c r="A3864" s="2">
        <f>IFERROR(__xludf.DUMMYFUNCTION("""COMPUTED_VALUE"""),83646.0)</f>
        <v>83646</v>
      </c>
      <c r="B3864" s="2">
        <f>IFERROR(__xludf.DUMMYFUNCTION("""COMPUTED_VALUE"""),1.0)</f>
        <v>1</v>
      </c>
      <c r="C3864" s="2">
        <f>IFERROR(__xludf.DUMMYFUNCTION("""COMPUTED_VALUE"""),421.0)</f>
        <v>421</v>
      </c>
      <c r="D3864" s="3">
        <f>IFERROR(__xludf.DUMMYFUNCTION("""COMPUTED_VALUE"""),329.0)</f>
        <v>329</v>
      </c>
      <c r="E3864" s="1" t="str">
        <f t="array" ref="E3864">_xlfn.XLOOKUP(A3864,Product!A:A,Product!B:B,"Bulunamadı")</f>
        <v>Arts</v>
      </c>
      <c r="F3864" s="1" t="str">
        <f t="array" ref="F3864">_xlfn.XLOOKUP(A3864,Product!A:A,Product!C:C,"Bulunamadı")</f>
        <v>Data Science</v>
      </c>
      <c r="G3864" s="2" t="str">
        <f t="array" ref="G3864">_xlfn.XLOOKUP(A3865,Product!A:A,Product!D:D,"Bulunamadı")</f>
        <v>Northhill House</v>
      </c>
      <c r="H3864" s="2">
        <f t="array" ref="H3864">_xlfn.XLOOKUP(A3866,Product!A:A,Product!E:E,"Bulunamadı")</f>
        <v>1.96</v>
      </c>
      <c r="I3864" s="2" t="str">
        <f t="shared" si="1"/>
        <v>83646 - Arts - Data Science</v>
      </c>
      <c r="J3864" s="2">
        <f t="shared" si="2"/>
        <v>644.84</v>
      </c>
      <c r="K3864" s="17">
        <f t="shared" si="3"/>
        <v>1</v>
      </c>
      <c r="L3864" s="18"/>
    </row>
    <row r="3865">
      <c r="A3865" s="2">
        <f>IFERROR(__xludf.DUMMYFUNCTION("""COMPUTED_VALUE"""),77484.0)</f>
        <v>77484</v>
      </c>
      <c r="B3865" s="2">
        <f>IFERROR(__xludf.DUMMYFUNCTION("""COMPUTED_VALUE"""),0.0)</f>
        <v>0</v>
      </c>
      <c r="C3865" s="2">
        <f>IFERROR(__xludf.DUMMYFUNCTION("""COMPUTED_VALUE"""),241.0)</f>
        <v>241</v>
      </c>
      <c r="D3865" s="3">
        <f>IFERROR(__xludf.DUMMYFUNCTION("""COMPUTED_VALUE"""),54.0)</f>
        <v>54</v>
      </c>
      <c r="E3865" s="1" t="str">
        <f t="array" ref="E3865">_xlfn.XLOOKUP(A3865,Product!A:A,Product!B:B,"Bulunamadı")</f>
        <v>Arts</v>
      </c>
      <c r="F3865" s="1" t="str">
        <f t="array" ref="F3865">_xlfn.XLOOKUP(A3865,Product!A:A,Product!C:C,"Bulunamadı")</f>
        <v>Data Science</v>
      </c>
      <c r="G3865" s="2" t="str">
        <f t="array" ref="G3865">_xlfn.XLOOKUP(A3866,Product!A:A,Product!D:D,"Bulunamadı")</f>
        <v>Northhill House</v>
      </c>
      <c r="H3865" s="2">
        <f t="array" ref="H3865">_xlfn.XLOOKUP(A3867,Product!A:A,Product!E:E,"Bulunamadı")</f>
        <v>4.77</v>
      </c>
      <c r="I3865" s="2" t="str">
        <f t="shared" si="1"/>
        <v>77484 - Arts - Data Science</v>
      </c>
      <c r="J3865" s="2">
        <f t="shared" si="2"/>
        <v>257.58</v>
      </c>
      <c r="K3865" s="17">
        <f t="shared" si="3"/>
        <v>1</v>
      </c>
      <c r="L3865" s="18"/>
    </row>
    <row r="3866">
      <c r="A3866" s="2">
        <f>IFERROR(__xludf.DUMMYFUNCTION("""COMPUTED_VALUE"""),77481.0)</f>
        <v>77481</v>
      </c>
      <c r="B3866" s="2">
        <f>IFERROR(__xludf.DUMMYFUNCTION("""COMPUTED_VALUE"""),0.0)</f>
        <v>0</v>
      </c>
      <c r="C3866" s="2">
        <f>IFERROR(__xludf.DUMMYFUNCTION("""COMPUTED_VALUE"""),668.0)</f>
        <v>668</v>
      </c>
      <c r="D3866" s="3">
        <f>IFERROR(__xludf.DUMMYFUNCTION("""COMPUTED_VALUE"""),630.0)</f>
        <v>630</v>
      </c>
      <c r="E3866" s="1" t="str">
        <f t="array" ref="E3866">_xlfn.XLOOKUP(A3866,Product!A:A,Product!B:B,"Bulunamadı")</f>
        <v>Arts</v>
      </c>
      <c r="F3866" s="1" t="str">
        <f t="array" ref="F3866">_xlfn.XLOOKUP(A3866,Product!A:A,Product!C:C,"Bulunamadı")</f>
        <v>Data Science</v>
      </c>
      <c r="G3866" s="2" t="str">
        <f t="array" ref="G3866">_xlfn.XLOOKUP(A3867,Product!A:A,Product!D:D,"Bulunamadı")</f>
        <v>Northhill House</v>
      </c>
      <c r="H3866" s="2">
        <f t="array" ref="H3866">_xlfn.XLOOKUP(A3868,Product!A:A,Product!E:E,"Bulunamadı")</f>
        <v>2.28</v>
      </c>
      <c r="I3866" s="2" t="str">
        <f t="shared" si="1"/>
        <v>77481 - Arts - Data Science</v>
      </c>
      <c r="J3866" s="2">
        <f t="shared" si="2"/>
        <v>1436.4</v>
      </c>
      <c r="K3866" s="17">
        <f t="shared" si="3"/>
        <v>1</v>
      </c>
      <c r="L3866" s="18"/>
    </row>
    <row r="3867">
      <c r="A3867" s="2">
        <f>IFERROR(__xludf.DUMMYFUNCTION("""COMPUTED_VALUE"""),17075.0)</f>
        <v>17075</v>
      </c>
      <c r="B3867" s="2">
        <f>IFERROR(__xludf.DUMMYFUNCTION("""COMPUTED_VALUE"""),0.0)</f>
        <v>0</v>
      </c>
      <c r="C3867" s="2">
        <f>IFERROR(__xludf.DUMMYFUNCTION("""COMPUTED_VALUE"""),424.0)</f>
        <v>424</v>
      </c>
      <c r="D3867" s="3">
        <f>IFERROR(__xludf.DUMMYFUNCTION("""COMPUTED_VALUE"""),21.0)</f>
        <v>21</v>
      </c>
      <c r="E3867" s="1" t="str">
        <f t="array" ref="E3867">_xlfn.XLOOKUP(A3867,Product!A:A,Product!B:B,"Bulunamadı")</f>
        <v>Arts</v>
      </c>
      <c r="F3867" s="1" t="str">
        <f t="array" ref="F3867">_xlfn.XLOOKUP(A3867,Product!A:A,Product!C:C,"Bulunamadı")</f>
        <v>Data Science</v>
      </c>
      <c r="G3867" s="2" t="str">
        <f t="array" ref="G3867">_xlfn.XLOOKUP(A3868,Product!A:A,Product!D:D,"Bulunamadı")</f>
        <v>Northhill House</v>
      </c>
      <c r="H3867" s="2">
        <f t="array" ref="H3867">_xlfn.XLOOKUP(A3869,Product!A:A,Product!E:E,"Bulunamadı")</f>
        <v>3.93</v>
      </c>
      <c r="I3867" s="2" t="str">
        <f t="shared" si="1"/>
        <v>17075 - Arts - Data Science</v>
      </c>
      <c r="J3867" s="2">
        <f t="shared" si="2"/>
        <v>82.53</v>
      </c>
      <c r="K3867" s="17">
        <f t="shared" si="3"/>
        <v>1</v>
      </c>
      <c r="L3867" s="18"/>
    </row>
    <row r="3868">
      <c r="A3868" s="2">
        <f>IFERROR(__xludf.DUMMYFUNCTION("""COMPUTED_VALUE"""),77492.0)</f>
        <v>77492</v>
      </c>
      <c r="B3868" s="2">
        <f>IFERROR(__xludf.DUMMYFUNCTION("""COMPUTED_VALUE"""),0.0)</f>
        <v>0</v>
      </c>
      <c r="C3868" s="2">
        <f>IFERROR(__xludf.DUMMYFUNCTION("""COMPUTED_VALUE"""),738.0)</f>
        <v>738</v>
      </c>
      <c r="D3868" s="3">
        <f>IFERROR(__xludf.DUMMYFUNCTION("""COMPUTED_VALUE"""),600.0)</f>
        <v>600</v>
      </c>
      <c r="E3868" s="1" t="str">
        <f t="array" ref="E3868">_xlfn.XLOOKUP(A3868,Product!A:A,Product!B:B,"Bulunamadı")</f>
        <v>Arts</v>
      </c>
      <c r="F3868" s="1" t="str">
        <f t="array" ref="F3868">_xlfn.XLOOKUP(A3868,Product!A:A,Product!C:C,"Bulunamadı")</f>
        <v>Data Science</v>
      </c>
      <c r="G3868" s="2" t="str">
        <f t="array" ref="G3868">_xlfn.XLOOKUP(A3869,Product!A:A,Product!D:D,"Bulunamadı")</f>
        <v>Northhill House</v>
      </c>
      <c r="H3868" s="2">
        <f t="array" ref="H3868">_xlfn.XLOOKUP(A3870,Product!A:A,Product!E:E,"Bulunamadı")</f>
        <v>3.66</v>
      </c>
      <c r="I3868" s="2" t="str">
        <f t="shared" si="1"/>
        <v>77492 - Arts - Data Science</v>
      </c>
      <c r="J3868" s="2">
        <f t="shared" si="2"/>
        <v>2196</v>
      </c>
      <c r="K3868" s="17">
        <f t="shared" si="3"/>
        <v>1</v>
      </c>
      <c r="L3868" s="18"/>
    </row>
    <row r="3869">
      <c r="A3869" s="2">
        <f>IFERROR(__xludf.DUMMYFUNCTION("""COMPUTED_VALUE"""),112084.0)</f>
        <v>112084</v>
      </c>
      <c r="B3869" s="2">
        <f>IFERROR(__xludf.DUMMYFUNCTION("""COMPUTED_VALUE"""),0.0)</f>
        <v>0</v>
      </c>
      <c r="C3869" s="2">
        <f>IFERROR(__xludf.DUMMYFUNCTION("""COMPUTED_VALUE"""),357.0)</f>
        <v>357</v>
      </c>
      <c r="D3869" s="3">
        <f>IFERROR(__xludf.DUMMYFUNCTION("""COMPUTED_VALUE"""),83.0)</f>
        <v>83</v>
      </c>
      <c r="E3869" s="1" t="str">
        <f t="array" ref="E3869">_xlfn.XLOOKUP(A3869,Product!A:A,Product!B:B,"Bulunamadı")</f>
        <v>Arts</v>
      </c>
      <c r="F3869" s="1" t="str">
        <f t="array" ref="F3869">_xlfn.XLOOKUP(A3869,Product!A:A,Product!C:C,"Bulunamadı")</f>
        <v>Data Science</v>
      </c>
      <c r="G3869" s="2" t="str">
        <f t="array" ref="G3869">_xlfn.XLOOKUP(A3870,Product!A:A,Product!D:D,"Bulunamadı")</f>
        <v>Northhill House</v>
      </c>
      <c r="H3869" s="2">
        <f t="array" ref="H3869">_xlfn.XLOOKUP(A3871,Product!A:A,Product!E:E,"Bulunamadı")</f>
        <v>2.92</v>
      </c>
      <c r="I3869" s="2" t="str">
        <f t="shared" si="1"/>
        <v>112084 - Arts - Data Science</v>
      </c>
      <c r="J3869" s="2">
        <f t="shared" si="2"/>
        <v>242.36</v>
      </c>
      <c r="K3869" s="17">
        <f t="shared" si="3"/>
        <v>1</v>
      </c>
      <c r="L3869" s="18"/>
    </row>
    <row r="3870">
      <c r="A3870" s="2">
        <f>IFERROR(__xludf.DUMMYFUNCTION("""COMPUTED_VALUE"""),12041.0)</f>
        <v>12041</v>
      </c>
      <c r="B3870" s="2">
        <f>IFERROR(__xludf.DUMMYFUNCTION("""COMPUTED_VALUE"""),0.0)</f>
        <v>0</v>
      </c>
      <c r="C3870" s="2">
        <f>IFERROR(__xludf.DUMMYFUNCTION("""COMPUTED_VALUE"""),558.0)</f>
        <v>558</v>
      </c>
      <c r="D3870" s="3">
        <f>IFERROR(__xludf.DUMMYFUNCTION("""COMPUTED_VALUE"""),173.0)</f>
        <v>173</v>
      </c>
      <c r="E3870" s="1" t="str">
        <f t="array" ref="E3870">_xlfn.XLOOKUP(A3870,Product!A:A,Product!B:B,"Bulunamadı")</f>
        <v>Arts</v>
      </c>
      <c r="F3870" s="1" t="str">
        <f t="array" ref="F3870">_xlfn.XLOOKUP(A3870,Product!A:A,Product!C:C,"Bulunamadı")</f>
        <v>Data Science</v>
      </c>
      <c r="G3870" s="2" t="str">
        <f t="array" ref="G3870">_xlfn.XLOOKUP(A3871,Product!A:A,Product!D:D,"Bulunamadı")</f>
        <v>Northhill House</v>
      </c>
      <c r="H3870" s="2">
        <f t="array" ref="H3870">_xlfn.XLOOKUP(A3872,Product!A:A,Product!E:E,"Bulunamadı")</f>
        <v>2.57</v>
      </c>
      <c r="I3870" s="2" t="str">
        <f t="shared" si="1"/>
        <v>12041 - Arts - Data Science</v>
      </c>
      <c r="J3870" s="2">
        <f t="shared" si="2"/>
        <v>444.61</v>
      </c>
      <c r="K3870" s="17">
        <f t="shared" si="3"/>
        <v>1</v>
      </c>
      <c r="L3870" s="18"/>
    </row>
    <row r="3871">
      <c r="A3871" s="2">
        <f>IFERROR(__xludf.DUMMYFUNCTION("""COMPUTED_VALUE"""),83042.0)</f>
        <v>83042</v>
      </c>
      <c r="B3871" s="2">
        <f>IFERROR(__xludf.DUMMYFUNCTION("""COMPUTED_VALUE"""),1.0)</f>
        <v>1</v>
      </c>
      <c r="C3871" s="2">
        <f>IFERROR(__xludf.DUMMYFUNCTION("""COMPUTED_VALUE"""),439.0)</f>
        <v>439</v>
      </c>
      <c r="D3871" s="3">
        <f>IFERROR(__xludf.DUMMYFUNCTION("""COMPUTED_VALUE"""),93.0)</f>
        <v>93</v>
      </c>
      <c r="E3871" s="1" t="str">
        <f t="array" ref="E3871">_xlfn.XLOOKUP(A3871,Product!A:A,Product!B:B,"Bulunamadı")</f>
        <v>Arts</v>
      </c>
      <c r="F3871" s="1" t="str">
        <f t="array" ref="F3871">_xlfn.XLOOKUP(A3871,Product!A:A,Product!C:C,"Bulunamadı")</f>
        <v>Data Science</v>
      </c>
      <c r="G3871" s="2" t="str">
        <f t="array" ref="G3871">_xlfn.XLOOKUP(A3872,Product!A:A,Product!D:D,"Bulunamadı")</f>
        <v>Northhill House</v>
      </c>
      <c r="H3871" s="2">
        <f t="array" ref="H3871">_xlfn.XLOOKUP(A3873,Product!A:A,Product!E:E,"Bulunamadı")</f>
        <v>4.07</v>
      </c>
      <c r="I3871" s="2" t="str">
        <f t="shared" si="1"/>
        <v>83042 - Arts - Data Science</v>
      </c>
      <c r="J3871" s="2">
        <f t="shared" si="2"/>
        <v>378.51</v>
      </c>
      <c r="K3871" s="17">
        <f t="shared" si="3"/>
        <v>1</v>
      </c>
      <c r="L3871" s="18"/>
    </row>
    <row r="3872">
      <c r="A3872" s="2">
        <f>IFERROR(__xludf.DUMMYFUNCTION("""COMPUTED_VALUE"""),77490.0)</f>
        <v>77490</v>
      </c>
      <c r="B3872" s="2">
        <f>IFERROR(__xludf.DUMMYFUNCTION("""COMPUTED_VALUE"""),1.0)</f>
        <v>1</v>
      </c>
      <c r="C3872" s="2">
        <f>IFERROR(__xludf.DUMMYFUNCTION("""COMPUTED_VALUE"""),158.0)</f>
        <v>158</v>
      </c>
      <c r="D3872" s="3">
        <f>IFERROR(__xludf.DUMMYFUNCTION("""COMPUTED_VALUE"""),122.0)</f>
        <v>122</v>
      </c>
      <c r="E3872" s="1" t="str">
        <f t="array" ref="E3872">_xlfn.XLOOKUP(A3872,Product!A:A,Product!B:B,"Bulunamadı")</f>
        <v>Arts</v>
      </c>
      <c r="F3872" s="1" t="str">
        <f t="array" ref="F3872">_xlfn.XLOOKUP(A3872,Product!A:A,Product!C:C,"Bulunamadı")</f>
        <v>Data Science</v>
      </c>
      <c r="G3872" s="2" t="str">
        <f t="array" ref="G3872">_xlfn.XLOOKUP(A3873,Product!A:A,Product!D:D,"Bulunamadı")</f>
        <v>Northhill House</v>
      </c>
      <c r="H3872" s="2">
        <f t="array" ref="H3872">_xlfn.XLOOKUP(A3874,Product!A:A,Product!E:E,"Bulunamadı")</f>
        <v>2.44</v>
      </c>
      <c r="I3872" s="2" t="str">
        <f t="shared" si="1"/>
        <v>77490 - Arts - Data Science</v>
      </c>
      <c r="J3872" s="2">
        <f t="shared" si="2"/>
        <v>297.68</v>
      </c>
      <c r="K3872" s="17">
        <f t="shared" si="3"/>
        <v>1</v>
      </c>
      <c r="L3872" s="18"/>
    </row>
    <row r="3873">
      <c r="A3873" s="2">
        <f>IFERROR(__xludf.DUMMYFUNCTION("""COMPUTED_VALUE"""),43336.0)</f>
        <v>43336</v>
      </c>
      <c r="B3873" s="2">
        <f>IFERROR(__xludf.DUMMYFUNCTION("""COMPUTED_VALUE"""),0.0)</f>
        <v>0</v>
      </c>
      <c r="C3873" s="2">
        <f>IFERROR(__xludf.DUMMYFUNCTION("""COMPUTED_VALUE"""),582.0)</f>
        <v>582</v>
      </c>
      <c r="D3873" s="3">
        <f>IFERROR(__xludf.DUMMYFUNCTION("""COMPUTED_VALUE"""),579.0)</f>
        <v>579</v>
      </c>
      <c r="E3873" s="1" t="str">
        <f t="array" ref="E3873">_xlfn.XLOOKUP(A3873,Product!A:A,Product!B:B,"Bulunamadı")</f>
        <v>Arts</v>
      </c>
      <c r="F3873" s="1" t="str">
        <f t="array" ref="F3873">_xlfn.XLOOKUP(A3873,Product!A:A,Product!C:C,"Bulunamadı")</f>
        <v>Data Science</v>
      </c>
      <c r="G3873" s="2" t="str">
        <f t="array" ref="G3873">_xlfn.XLOOKUP(A3874,Product!A:A,Product!D:D,"Bulunamadı")</f>
        <v>Northhill House</v>
      </c>
      <c r="H3873" s="2">
        <f t="array" ref="H3873">_xlfn.XLOOKUP(A3875,Product!A:A,Product!E:E,"Bulunamadı")</f>
        <v>2.04</v>
      </c>
      <c r="I3873" s="2" t="str">
        <f t="shared" si="1"/>
        <v>43336 - Arts - Data Science</v>
      </c>
      <c r="J3873" s="2">
        <f t="shared" si="2"/>
        <v>1181.16</v>
      </c>
      <c r="K3873" s="17">
        <f t="shared" si="3"/>
        <v>1</v>
      </c>
      <c r="L3873" s="18"/>
    </row>
    <row r="3874">
      <c r="A3874" s="2">
        <f>IFERROR(__xludf.DUMMYFUNCTION("""COMPUTED_VALUE"""),48609.0)</f>
        <v>48609</v>
      </c>
      <c r="B3874" s="2">
        <f>IFERROR(__xludf.DUMMYFUNCTION("""COMPUTED_VALUE"""),0.0)</f>
        <v>0</v>
      </c>
      <c r="C3874" s="2">
        <f>IFERROR(__xludf.DUMMYFUNCTION("""COMPUTED_VALUE"""),306.0)</f>
        <v>306</v>
      </c>
      <c r="D3874" s="3">
        <f>IFERROR(__xludf.DUMMYFUNCTION("""COMPUTED_VALUE"""),9.0)</f>
        <v>9</v>
      </c>
      <c r="E3874" s="1" t="str">
        <f t="array" ref="E3874">_xlfn.XLOOKUP(A3874,Product!A:A,Product!B:B,"Bulunamadı")</f>
        <v>Arts</v>
      </c>
      <c r="F3874" s="1" t="str">
        <f t="array" ref="F3874">_xlfn.XLOOKUP(A3874,Product!A:A,Product!C:C,"Bulunamadı")</f>
        <v>Data Science</v>
      </c>
      <c r="G3874" s="2" t="str">
        <f t="array" ref="G3874">_xlfn.XLOOKUP(A3875,Product!A:A,Product!D:D,"Bulunamadı")</f>
        <v>Northhill House</v>
      </c>
      <c r="H3874" s="2">
        <f t="array" ref="H3874">_xlfn.XLOOKUP(A3876,Product!A:A,Product!E:E,"Bulunamadı")</f>
        <v>1.46</v>
      </c>
      <c r="I3874" s="2" t="str">
        <f t="shared" si="1"/>
        <v>48609 - Arts - Data Science</v>
      </c>
      <c r="J3874" s="2">
        <f t="shared" si="2"/>
        <v>13.14</v>
      </c>
      <c r="K3874" s="17">
        <f t="shared" si="3"/>
        <v>1</v>
      </c>
      <c r="L3874" s="18"/>
    </row>
    <row r="3875">
      <c r="A3875" s="2">
        <f>IFERROR(__xludf.DUMMYFUNCTION("""COMPUTED_VALUE"""),117074.0)</f>
        <v>117074</v>
      </c>
      <c r="B3875" s="2">
        <f>IFERROR(__xludf.DUMMYFUNCTION("""COMPUTED_VALUE"""),0.0)</f>
        <v>0</v>
      </c>
      <c r="C3875" s="2">
        <f>IFERROR(__xludf.DUMMYFUNCTION("""COMPUTED_VALUE"""),633.0)</f>
        <v>633</v>
      </c>
      <c r="D3875" s="3">
        <f>IFERROR(__xludf.DUMMYFUNCTION("""COMPUTED_VALUE"""),196.0)</f>
        <v>196</v>
      </c>
      <c r="E3875" s="1" t="str">
        <f t="array" ref="E3875">_xlfn.XLOOKUP(A3875,Product!A:A,Product!B:B,"Bulunamadı")</f>
        <v>Arts</v>
      </c>
      <c r="F3875" s="1" t="str">
        <f t="array" ref="F3875">_xlfn.XLOOKUP(A3875,Product!A:A,Product!C:C,"Bulunamadı")</f>
        <v>Data Science</v>
      </c>
      <c r="G3875" s="2" t="str">
        <f t="array" ref="G3875">_xlfn.XLOOKUP(A3876,Product!A:A,Product!D:D,"Bulunamadı")</f>
        <v>Northhill House</v>
      </c>
      <c r="H3875" s="2">
        <f t="array" ref="H3875">_xlfn.XLOOKUP(A3877,Product!A:A,Product!E:E,"Bulunamadı")</f>
        <v>2.68</v>
      </c>
      <c r="I3875" s="2" t="str">
        <f t="shared" si="1"/>
        <v>117074 - Arts - Data Science</v>
      </c>
      <c r="J3875" s="2">
        <f t="shared" si="2"/>
        <v>525.28</v>
      </c>
      <c r="K3875" s="17">
        <f t="shared" si="3"/>
        <v>1</v>
      </c>
      <c r="L3875" s="18"/>
    </row>
    <row r="3876">
      <c r="A3876" s="2">
        <f>IFERROR(__xludf.DUMMYFUNCTION("""COMPUTED_VALUE"""),112085.0)</f>
        <v>112085</v>
      </c>
      <c r="B3876" s="2">
        <f>IFERROR(__xludf.DUMMYFUNCTION("""COMPUTED_VALUE"""),1.0)</f>
        <v>1</v>
      </c>
      <c r="C3876" s="2">
        <f>IFERROR(__xludf.DUMMYFUNCTION("""COMPUTED_VALUE"""),245.0)</f>
        <v>245</v>
      </c>
      <c r="D3876" s="3">
        <f>IFERROR(__xludf.DUMMYFUNCTION("""COMPUTED_VALUE"""),206.0)</f>
        <v>206</v>
      </c>
      <c r="E3876" s="1" t="str">
        <f t="array" ref="E3876">_xlfn.XLOOKUP(A3876,Product!A:A,Product!B:B,"Bulunamadı")</f>
        <v>Arts</v>
      </c>
      <c r="F3876" s="1" t="str">
        <f t="array" ref="F3876">_xlfn.XLOOKUP(A3876,Product!A:A,Product!C:C,"Bulunamadı")</f>
        <v>Data Science</v>
      </c>
      <c r="G3876" s="2" t="str">
        <f t="array" ref="G3876">_xlfn.XLOOKUP(A3877,Product!A:A,Product!D:D,"Bulunamadı")</f>
        <v>Northhill House</v>
      </c>
      <c r="H3876" s="2">
        <f t="array" ref="H3876">_xlfn.XLOOKUP(A3878,Product!A:A,Product!E:E,"Bulunamadı")</f>
        <v>2.65</v>
      </c>
      <c r="I3876" s="2" t="str">
        <f t="shared" si="1"/>
        <v>112085 - Arts - Data Science</v>
      </c>
      <c r="J3876" s="2">
        <f t="shared" si="2"/>
        <v>545.9</v>
      </c>
      <c r="K3876" s="17">
        <f t="shared" si="3"/>
        <v>1</v>
      </c>
      <c r="L3876" s="18"/>
    </row>
    <row r="3877">
      <c r="A3877" s="2">
        <f>IFERROR(__xludf.DUMMYFUNCTION("""COMPUTED_VALUE"""),106656.0)</f>
        <v>106656</v>
      </c>
      <c r="B3877" s="2">
        <f>IFERROR(__xludf.DUMMYFUNCTION("""COMPUTED_VALUE"""),1.0)</f>
        <v>1</v>
      </c>
      <c r="C3877" s="2">
        <f>IFERROR(__xludf.DUMMYFUNCTION("""COMPUTED_VALUE"""),325.0)</f>
        <v>325</v>
      </c>
      <c r="D3877" s="3">
        <f>IFERROR(__xludf.DUMMYFUNCTION("""COMPUTED_VALUE"""),294.0)</f>
        <v>294</v>
      </c>
      <c r="E3877" s="1" t="str">
        <f t="array" ref="E3877">_xlfn.XLOOKUP(A3877,Product!A:A,Product!B:B,"Bulunamadı")</f>
        <v>Arts</v>
      </c>
      <c r="F3877" s="1" t="str">
        <f t="array" ref="F3877">_xlfn.XLOOKUP(A3877,Product!A:A,Product!C:C,"Bulunamadı")</f>
        <v>Data Science</v>
      </c>
      <c r="G3877" s="2" t="str">
        <f t="array" ref="G3877">_xlfn.XLOOKUP(A3878,Product!A:A,Product!D:D,"Bulunamadı")</f>
        <v>Harborhill House</v>
      </c>
      <c r="H3877" s="2">
        <f t="array" ref="H3877">_xlfn.XLOOKUP(A3879,Product!A:A,Product!E:E,"Bulunamadı")</f>
        <v>4.35</v>
      </c>
      <c r="I3877" s="2" t="str">
        <f t="shared" si="1"/>
        <v>106656 - Arts - Data Science</v>
      </c>
      <c r="J3877" s="2">
        <f t="shared" si="2"/>
        <v>1278.9</v>
      </c>
      <c r="K3877" s="17">
        <f t="shared" si="3"/>
        <v>1</v>
      </c>
      <c r="L3877" s="18"/>
    </row>
    <row r="3878">
      <c r="A3878" s="2">
        <f>IFERROR(__xludf.DUMMYFUNCTION("""COMPUTED_VALUE"""),119244.0)</f>
        <v>119244</v>
      </c>
      <c r="B3878" s="2">
        <f>IFERROR(__xludf.DUMMYFUNCTION("""COMPUTED_VALUE"""),0.0)</f>
        <v>0</v>
      </c>
      <c r="C3878" s="2">
        <f>IFERROR(__xludf.DUMMYFUNCTION("""COMPUTED_VALUE"""),639.0)</f>
        <v>639</v>
      </c>
      <c r="D3878" s="3">
        <f>IFERROR(__xludf.DUMMYFUNCTION("""COMPUTED_VALUE"""),550.0)</f>
        <v>550</v>
      </c>
      <c r="E3878" s="1" t="str">
        <f t="array" ref="E3878">_xlfn.XLOOKUP(A3878,Product!A:A,Product!B:B,"Bulunamadı")</f>
        <v>Arts</v>
      </c>
      <c r="F3878" s="1" t="str">
        <f t="array" ref="F3878">_xlfn.XLOOKUP(A3878,Product!A:A,Product!C:C,"Bulunamadı")</f>
        <v>Data Science</v>
      </c>
      <c r="G3878" s="2" t="str">
        <f t="array" ref="G3878">_xlfn.XLOOKUP(A3879,Product!A:A,Product!D:D,"Bulunamadı")</f>
        <v>Harborhill House</v>
      </c>
      <c r="H3878" s="2">
        <f t="array" ref="H3878">_xlfn.XLOOKUP(A3880,Product!A:A,Product!E:E,"Bulunamadı")</f>
        <v>7.96</v>
      </c>
      <c r="I3878" s="2" t="str">
        <f t="shared" si="1"/>
        <v>119244 - Arts - Data Science</v>
      </c>
      <c r="J3878" s="2">
        <f t="shared" si="2"/>
        <v>4378</v>
      </c>
      <c r="K3878" s="17">
        <f t="shared" si="3"/>
        <v>1</v>
      </c>
      <c r="L3878" s="18"/>
    </row>
    <row r="3879">
      <c r="A3879" s="2">
        <f>IFERROR(__xludf.DUMMYFUNCTION("""COMPUTED_VALUE"""),73236.0)</f>
        <v>73236</v>
      </c>
      <c r="B3879" s="2">
        <f>IFERROR(__xludf.DUMMYFUNCTION("""COMPUTED_VALUE"""),1.0)</f>
        <v>1</v>
      </c>
      <c r="C3879" s="2">
        <f>IFERROR(__xludf.DUMMYFUNCTION("""COMPUTED_VALUE"""),507.0)</f>
        <v>507</v>
      </c>
      <c r="D3879" s="3">
        <f>IFERROR(__xludf.DUMMYFUNCTION("""COMPUTED_VALUE"""),388.0)</f>
        <v>388</v>
      </c>
      <c r="E3879" s="1" t="str">
        <f t="array" ref="E3879">_xlfn.XLOOKUP(A3879,Product!A:A,Product!B:B,"Bulunamadı")</f>
        <v>Arts</v>
      </c>
      <c r="F3879" s="1" t="str">
        <f t="array" ref="F3879">_xlfn.XLOOKUP(A3879,Product!A:A,Product!C:C,"Bulunamadı")</f>
        <v>Data Science</v>
      </c>
      <c r="G3879" s="2" t="str">
        <f t="array" ref="G3879">_xlfn.XLOOKUP(A3880,Product!A:A,Product!D:D,"Bulunamadı")</f>
        <v>Harborhill House</v>
      </c>
      <c r="H3879" s="2">
        <f t="array" ref="H3879">_xlfn.XLOOKUP(A3881,Product!A:A,Product!E:E,"Bulunamadı")</f>
        <v>2.98</v>
      </c>
      <c r="I3879" s="2" t="str">
        <f t="shared" si="1"/>
        <v>73236 - Arts - Data Science</v>
      </c>
      <c r="J3879" s="2">
        <f t="shared" si="2"/>
        <v>1156.24</v>
      </c>
      <c r="K3879" s="17">
        <f t="shared" si="3"/>
        <v>1</v>
      </c>
      <c r="L3879" s="18"/>
    </row>
    <row r="3880">
      <c r="A3880" s="2">
        <f>IFERROR(__xludf.DUMMYFUNCTION("""COMPUTED_VALUE"""),127582.0)</f>
        <v>127582</v>
      </c>
      <c r="B3880" s="2">
        <f>IFERROR(__xludf.DUMMYFUNCTION("""COMPUTED_VALUE"""),0.0)</f>
        <v>0</v>
      </c>
      <c r="C3880" s="2">
        <f>IFERROR(__xludf.DUMMYFUNCTION("""COMPUTED_VALUE"""),365.0)</f>
        <v>365</v>
      </c>
      <c r="D3880" s="3">
        <f>IFERROR(__xludf.DUMMYFUNCTION("""COMPUTED_VALUE"""),68.0)</f>
        <v>68</v>
      </c>
      <c r="E3880" s="1" t="str">
        <f t="array" ref="E3880">_xlfn.XLOOKUP(A3880,Product!A:A,Product!B:B,"Bulunamadı")</f>
        <v>Arts</v>
      </c>
      <c r="F3880" s="1" t="str">
        <f t="array" ref="F3880">_xlfn.XLOOKUP(A3880,Product!A:A,Product!C:C,"Bulunamadı")</f>
        <v>Data Science</v>
      </c>
      <c r="G3880" s="2" t="str">
        <f t="array" ref="G3880">_xlfn.XLOOKUP(A3881,Product!A:A,Product!D:D,"Bulunamadı")</f>
        <v>Harborhill House</v>
      </c>
      <c r="H3880" s="2">
        <f t="array" ref="H3880">_xlfn.XLOOKUP(A3882,Product!A:A,Product!E:E,"Bulunamadı")</f>
        <v>16.81</v>
      </c>
      <c r="I3880" s="2" t="str">
        <f t="shared" si="1"/>
        <v>127582 - Arts - Data Science</v>
      </c>
      <c r="J3880" s="2">
        <f t="shared" si="2"/>
        <v>1143.08</v>
      </c>
      <c r="K3880" s="17">
        <f t="shared" si="3"/>
        <v>1</v>
      </c>
      <c r="L3880" s="18"/>
    </row>
    <row r="3881">
      <c r="A3881" s="2">
        <f>IFERROR(__xludf.DUMMYFUNCTION("""COMPUTED_VALUE"""),128210.0)</f>
        <v>128210</v>
      </c>
      <c r="B3881" s="2">
        <f>IFERROR(__xludf.DUMMYFUNCTION("""COMPUTED_VALUE"""),1.0)</f>
        <v>1</v>
      </c>
      <c r="C3881" s="2">
        <f>IFERROR(__xludf.DUMMYFUNCTION("""COMPUTED_VALUE"""),499.0)</f>
        <v>499</v>
      </c>
      <c r="D3881" s="3">
        <f>IFERROR(__xludf.DUMMYFUNCTION("""COMPUTED_VALUE"""),45.0)</f>
        <v>45</v>
      </c>
      <c r="E3881" s="1" t="str">
        <f t="array" ref="E3881">_xlfn.XLOOKUP(A3881,Product!A:A,Product!B:B,"Bulunamadı")</f>
        <v>Arts</v>
      </c>
      <c r="F3881" s="1" t="str">
        <f t="array" ref="F3881">_xlfn.XLOOKUP(A3881,Product!A:A,Product!C:C,"Bulunamadı")</f>
        <v>Data Science</v>
      </c>
      <c r="G3881" s="2" t="str">
        <f t="array" ref="G3881">_xlfn.XLOOKUP(A3882,Product!A:A,Product!D:D,"Bulunamadı")</f>
        <v>Harborhill House</v>
      </c>
      <c r="H3881" s="2">
        <f t="array" ref="H3881">_xlfn.XLOOKUP(A3883,Product!A:A,Product!E:E,"Bulunamadı")</f>
        <v>2.62</v>
      </c>
      <c r="I3881" s="2" t="str">
        <f t="shared" si="1"/>
        <v>128210 - Arts - Data Science</v>
      </c>
      <c r="J3881" s="2">
        <f t="shared" si="2"/>
        <v>117.9</v>
      </c>
      <c r="K3881" s="17">
        <f t="shared" si="3"/>
        <v>1</v>
      </c>
      <c r="L3881" s="18"/>
    </row>
    <row r="3882">
      <c r="A3882" s="2">
        <f>IFERROR(__xludf.DUMMYFUNCTION("""COMPUTED_VALUE"""),73187.0)</f>
        <v>73187</v>
      </c>
      <c r="B3882" s="2">
        <f>IFERROR(__xludf.DUMMYFUNCTION("""COMPUTED_VALUE"""),1.0)</f>
        <v>1</v>
      </c>
      <c r="C3882" s="2">
        <f>IFERROR(__xludf.DUMMYFUNCTION("""COMPUTED_VALUE"""),89.0)</f>
        <v>89</v>
      </c>
      <c r="D3882" s="3">
        <f>IFERROR(__xludf.DUMMYFUNCTION("""COMPUTED_VALUE"""),51.0)</f>
        <v>51</v>
      </c>
      <c r="E3882" s="1" t="str">
        <f t="array" ref="E3882">_xlfn.XLOOKUP(A3882,Product!A:A,Product!B:B,"Bulunamadı")</f>
        <v>Arts</v>
      </c>
      <c r="F3882" s="1" t="str">
        <f t="array" ref="F3882">_xlfn.XLOOKUP(A3882,Product!A:A,Product!C:C,"Bulunamadı")</f>
        <v>Data Science</v>
      </c>
      <c r="G3882" s="2" t="str">
        <f t="array" ref="G3882">_xlfn.XLOOKUP(A3883,Product!A:A,Product!D:D,"Bulunamadı")</f>
        <v>Harborhill House</v>
      </c>
      <c r="H3882" s="2">
        <f t="array" ref="H3882">_xlfn.XLOOKUP(A3884,Product!A:A,Product!E:E,"Bulunamadı")</f>
        <v>7.73</v>
      </c>
      <c r="I3882" s="2" t="str">
        <f t="shared" si="1"/>
        <v>73187 - Arts - Data Science</v>
      </c>
      <c r="J3882" s="2">
        <f t="shared" si="2"/>
        <v>394.23</v>
      </c>
      <c r="K3882" s="17">
        <f t="shared" si="3"/>
        <v>1</v>
      </c>
      <c r="L3882" s="18"/>
    </row>
    <row r="3883">
      <c r="A3883" s="2">
        <f>IFERROR(__xludf.DUMMYFUNCTION("""COMPUTED_VALUE"""),41681.0)</f>
        <v>41681</v>
      </c>
      <c r="B3883" s="2">
        <f>IFERROR(__xludf.DUMMYFUNCTION("""COMPUTED_VALUE"""),0.0)</f>
        <v>0</v>
      </c>
      <c r="C3883" s="2">
        <f>IFERROR(__xludf.DUMMYFUNCTION("""COMPUTED_VALUE"""),693.0)</f>
        <v>693</v>
      </c>
      <c r="D3883" s="3">
        <f>IFERROR(__xludf.DUMMYFUNCTION("""COMPUTED_VALUE"""),387.0)</f>
        <v>387</v>
      </c>
      <c r="E3883" s="1" t="str">
        <f t="array" ref="E3883">_xlfn.XLOOKUP(A3883,Product!A:A,Product!B:B,"Bulunamadı")</f>
        <v>Arts</v>
      </c>
      <c r="F3883" s="1" t="str">
        <f t="array" ref="F3883">_xlfn.XLOOKUP(A3883,Product!A:A,Product!C:C,"Bulunamadı")</f>
        <v>Data Science</v>
      </c>
      <c r="G3883" s="2" t="str">
        <f t="array" ref="G3883">_xlfn.XLOOKUP(A3884,Product!A:A,Product!D:D,"Bulunamadı")</f>
        <v>Harborhill House</v>
      </c>
      <c r="H3883" s="2">
        <f t="array" ref="H3883">_xlfn.XLOOKUP(A3885,Product!A:A,Product!E:E,"Bulunamadı")</f>
        <v>4.5</v>
      </c>
      <c r="I3883" s="2" t="str">
        <f t="shared" si="1"/>
        <v>41681 - Arts - Data Science</v>
      </c>
      <c r="J3883" s="2">
        <f t="shared" si="2"/>
        <v>1741.5</v>
      </c>
      <c r="K3883" s="17">
        <f t="shared" si="3"/>
        <v>1</v>
      </c>
      <c r="L3883" s="18"/>
    </row>
    <row r="3884">
      <c r="A3884" s="2">
        <f>IFERROR(__xludf.DUMMYFUNCTION("""COMPUTED_VALUE"""),30624.0)</f>
        <v>30624</v>
      </c>
      <c r="B3884" s="2">
        <f>IFERROR(__xludf.DUMMYFUNCTION("""COMPUTED_VALUE"""),0.0)</f>
        <v>0</v>
      </c>
      <c r="C3884" s="2">
        <f>IFERROR(__xludf.DUMMYFUNCTION("""COMPUTED_VALUE"""),582.0)</f>
        <v>582</v>
      </c>
      <c r="D3884" s="3">
        <f>IFERROR(__xludf.DUMMYFUNCTION("""COMPUTED_VALUE"""),547.0)</f>
        <v>547</v>
      </c>
      <c r="E3884" s="1" t="str">
        <f t="array" ref="E3884">_xlfn.XLOOKUP(A3884,Product!A:A,Product!B:B,"Bulunamadı")</f>
        <v>Arts</v>
      </c>
      <c r="F3884" s="1" t="str">
        <f t="array" ref="F3884">_xlfn.XLOOKUP(A3884,Product!A:A,Product!C:C,"Bulunamadı")</f>
        <v>Data Science</v>
      </c>
      <c r="G3884" s="2" t="str">
        <f t="array" ref="G3884">_xlfn.XLOOKUP(A3885,Product!A:A,Product!D:D,"Bulunamadı")</f>
        <v>Harborhill House</v>
      </c>
      <c r="H3884" s="2">
        <f t="array" ref="H3884">_xlfn.XLOOKUP(A3886,Product!A:A,Product!E:E,"Bulunamadı")</f>
        <v>1.93</v>
      </c>
      <c r="I3884" s="2" t="str">
        <f t="shared" si="1"/>
        <v>30624 - Arts - Data Science</v>
      </c>
      <c r="J3884" s="2">
        <f t="shared" si="2"/>
        <v>1055.71</v>
      </c>
      <c r="K3884" s="17">
        <f t="shared" si="3"/>
        <v>1</v>
      </c>
      <c r="L3884" s="18"/>
    </row>
    <row r="3885">
      <c r="A3885" s="2">
        <f>IFERROR(__xludf.DUMMYFUNCTION("""COMPUTED_VALUE"""),114267.0)</f>
        <v>114267</v>
      </c>
      <c r="B3885" s="2">
        <f>IFERROR(__xludf.DUMMYFUNCTION("""COMPUTED_VALUE"""),0.0)</f>
        <v>0</v>
      </c>
      <c r="C3885" s="2">
        <f>IFERROR(__xludf.DUMMYFUNCTION("""COMPUTED_VALUE"""),781.0)</f>
        <v>781</v>
      </c>
      <c r="D3885" s="3">
        <f>IFERROR(__xludf.DUMMYFUNCTION("""COMPUTED_VALUE"""),17.0)</f>
        <v>17</v>
      </c>
      <c r="E3885" s="1" t="str">
        <f t="array" ref="E3885">_xlfn.XLOOKUP(A3885,Product!A:A,Product!B:B,"Bulunamadı")</f>
        <v>Arts</v>
      </c>
      <c r="F3885" s="1" t="str">
        <f t="array" ref="F3885">_xlfn.XLOOKUP(A3885,Product!A:A,Product!C:C,"Bulunamadı")</f>
        <v>Data Science</v>
      </c>
      <c r="G3885" s="2" t="str">
        <f t="array" ref="G3885">_xlfn.XLOOKUP(A3886,Product!A:A,Product!D:D,"Bulunamadı")</f>
        <v>Harborhill House</v>
      </c>
      <c r="H3885" s="2">
        <f t="array" ref="H3885">_xlfn.XLOOKUP(A3887,Product!A:A,Product!E:E,"Bulunamadı")</f>
        <v>4.03</v>
      </c>
      <c r="I3885" s="2" t="str">
        <f t="shared" si="1"/>
        <v>114267 - Arts - Data Science</v>
      </c>
      <c r="J3885" s="2">
        <f t="shared" si="2"/>
        <v>68.51</v>
      </c>
      <c r="K3885" s="17">
        <f t="shared" si="3"/>
        <v>1</v>
      </c>
      <c r="L3885" s="18"/>
    </row>
    <row r="3886">
      <c r="A3886" s="2">
        <f>IFERROR(__xludf.DUMMYFUNCTION("""COMPUTED_VALUE"""),77441.0)</f>
        <v>77441</v>
      </c>
      <c r="B3886" s="2">
        <f>IFERROR(__xludf.DUMMYFUNCTION("""COMPUTED_VALUE"""),1.0)</f>
        <v>1</v>
      </c>
      <c r="C3886" s="2">
        <f>IFERROR(__xludf.DUMMYFUNCTION("""COMPUTED_VALUE"""),483.0)</f>
        <v>483</v>
      </c>
      <c r="D3886" s="3">
        <f>IFERROR(__xludf.DUMMYFUNCTION("""COMPUTED_VALUE"""),90.0)</f>
        <v>90</v>
      </c>
      <c r="E3886" s="1" t="str">
        <f t="array" ref="E3886">_xlfn.XLOOKUP(A3886,Product!A:A,Product!B:B,"Bulunamadı")</f>
        <v>Arts</v>
      </c>
      <c r="F3886" s="1" t="str">
        <f t="array" ref="F3886">_xlfn.XLOOKUP(A3886,Product!A:A,Product!C:C,"Bulunamadı")</f>
        <v>Data Science</v>
      </c>
      <c r="G3886" s="2" t="str">
        <f t="array" ref="G3886">_xlfn.XLOOKUP(A3887,Product!A:A,Product!D:D,"Bulunamadı")</f>
        <v>Harborhill House</v>
      </c>
      <c r="H3886" s="2">
        <f t="array" ref="H3886">_xlfn.XLOOKUP(A3888,Product!A:A,Product!E:E,"Bulunamadı")</f>
        <v>4.95</v>
      </c>
      <c r="I3886" s="2" t="str">
        <f t="shared" si="1"/>
        <v>77441 - Arts - Data Science</v>
      </c>
      <c r="J3886" s="2">
        <f t="shared" si="2"/>
        <v>445.5</v>
      </c>
      <c r="K3886" s="17">
        <f t="shared" si="3"/>
        <v>1</v>
      </c>
      <c r="L3886" s="18"/>
    </row>
    <row r="3887">
      <c r="A3887" s="2">
        <f>IFERROR(__xludf.DUMMYFUNCTION("""COMPUTED_VALUE"""),116636.0)</f>
        <v>116636</v>
      </c>
      <c r="B3887" s="2">
        <f>IFERROR(__xludf.DUMMYFUNCTION("""COMPUTED_VALUE"""),0.0)</f>
        <v>0</v>
      </c>
      <c r="C3887" s="2">
        <f>IFERROR(__xludf.DUMMYFUNCTION("""COMPUTED_VALUE"""),789.0)</f>
        <v>789</v>
      </c>
      <c r="D3887" s="3">
        <f>IFERROR(__xludf.DUMMYFUNCTION("""COMPUTED_VALUE"""),66.0)</f>
        <v>66</v>
      </c>
      <c r="E3887" s="1" t="str">
        <f t="array" ref="E3887">_xlfn.XLOOKUP(A3887,Product!A:A,Product!B:B,"Bulunamadı")</f>
        <v>Arts</v>
      </c>
      <c r="F3887" s="1" t="str">
        <f t="array" ref="F3887">_xlfn.XLOOKUP(A3887,Product!A:A,Product!C:C,"Bulunamadı")</f>
        <v>Data Science</v>
      </c>
      <c r="G3887" s="2" t="str">
        <f t="array" ref="G3887">_xlfn.XLOOKUP(A3888,Product!A:A,Product!D:D,"Bulunamadı")</f>
        <v>Harborhill House</v>
      </c>
      <c r="H3887" s="2">
        <f t="array" ref="H3887">_xlfn.XLOOKUP(A3889,Product!A:A,Product!E:E,"Bulunamadı")</f>
        <v>4.8</v>
      </c>
      <c r="I3887" s="2" t="str">
        <f t="shared" si="1"/>
        <v>116636 - Arts - Data Science</v>
      </c>
      <c r="J3887" s="2">
        <f t="shared" si="2"/>
        <v>316.8</v>
      </c>
      <c r="K3887" s="17">
        <f t="shared" si="3"/>
        <v>1</v>
      </c>
      <c r="L3887" s="18"/>
    </row>
    <row r="3888">
      <c r="A3888" s="2">
        <f>IFERROR(__xludf.DUMMYFUNCTION("""COMPUTED_VALUE"""),115198.0)</f>
        <v>115198</v>
      </c>
      <c r="B3888" s="2">
        <f>IFERROR(__xludf.DUMMYFUNCTION("""COMPUTED_VALUE"""),1.0)</f>
        <v>1</v>
      </c>
      <c r="C3888" s="2">
        <f>IFERROR(__xludf.DUMMYFUNCTION("""COMPUTED_VALUE"""),241.0)</f>
        <v>241</v>
      </c>
      <c r="D3888" s="3">
        <f>IFERROR(__xludf.DUMMYFUNCTION("""COMPUTED_VALUE"""),133.0)</f>
        <v>133</v>
      </c>
      <c r="E3888" s="1" t="str">
        <f t="array" ref="E3888">_xlfn.XLOOKUP(A3888,Product!A:A,Product!B:B,"Bulunamadı")</f>
        <v>Arts</v>
      </c>
      <c r="F3888" s="1" t="str">
        <f t="array" ref="F3888">_xlfn.XLOOKUP(A3888,Product!A:A,Product!C:C,"Bulunamadı")</f>
        <v>Data Science</v>
      </c>
      <c r="G3888" s="2" t="str">
        <f t="array" ref="G3888">_xlfn.XLOOKUP(A3889,Product!A:A,Product!D:D,"Bulunamadı")</f>
        <v>Harborhill House</v>
      </c>
      <c r="H3888" s="2">
        <f t="array" ref="H3888">_xlfn.XLOOKUP(A3890,Product!A:A,Product!E:E,"Bulunamadı")</f>
        <v>2.33</v>
      </c>
      <c r="I3888" s="2" t="str">
        <f t="shared" si="1"/>
        <v>115198 - Arts - Data Science</v>
      </c>
      <c r="J3888" s="2">
        <f t="shared" si="2"/>
        <v>309.89</v>
      </c>
      <c r="K3888" s="17">
        <f t="shared" si="3"/>
        <v>1</v>
      </c>
      <c r="L3888" s="18"/>
    </row>
    <row r="3889">
      <c r="A3889" s="2">
        <f>IFERROR(__xludf.DUMMYFUNCTION("""COMPUTED_VALUE"""),89845.0)</f>
        <v>89845</v>
      </c>
      <c r="B3889" s="2">
        <f>IFERROR(__xludf.DUMMYFUNCTION("""COMPUTED_VALUE"""),0.0)</f>
        <v>0</v>
      </c>
      <c r="C3889" s="2">
        <f>IFERROR(__xludf.DUMMYFUNCTION("""COMPUTED_VALUE"""),114.0)</f>
        <v>114</v>
      </c>
      <c r="D3889" s="3">
        <f>IFERROR(__xludf.DUMMYFUNCTION("""COMPUTED_VALUE"""),18.0)</f>
        <v>18</v>
      </c>
      <c r="E3889" s="1" t="str">
        <f t="array" ref="E3889">_xlfn.XLOOKUP(A3889,Product!A:A,Product!B:B,"Bulunamadı")</f>
        <v>Arts</v>
      </c>
      <c r="F3889" s="1" t="str">
        <f t="array" ref="F3889">_xlfn.XLOOKUP(A3889,Product!A:A,Product!C:C,"Bulunamadı")</f>
        <v>Data Science</v>
      </c>
      <c r="G3889" s="2" t="str">
        <f t="array" ref="G3889">_xlfn.XLOOKUP(A3890,Product!A:A,Product!D:D,"Bulunamadı")</f>
        <v>Harborhill House</v>
      </c>
      <c r="H3889" s="2">
        <f t="array" ref="H3889">_xlfn.XLOOKUP(A3891,Product!A:A,Product!E:E,"Bulunamadı")</f>
        <v>5.7</v>
      </c>
      <c r="I3889" s="2" t="str">
        <f t="shared" si="1"/>
        <v>89845 - Arts - Data Science</v>
      </c>
      <c r="J3889" s="2">
        <f t="shared" si="2"/>
        <v>102.6</v>
      </c>
      <c r="K3889" s="17">
        <f t="shared" si="3"/>
        <v>1</v>
      </c>
      <c r="L3889" s="18"/>
    </row>
    <row r="3890">
      <c r="A3890" s="2">
        <f>IFERROR(__xludf.DUMMYFUNCTION("""COMPUTED_VALUE"""),112248.0)</f>
        <v>112248</v>
      </c>
      <c r="B3890" s="2">
        <f>IFERROR(__xludf.DUMMYFUNCTION("""COMPUTED_VALUE"""),0.0)</f>
        <v>0</v>
      </c>
      <c r="C3890" s="2">
        <f>IFERROR(__xludf.DUMMYFUNCTION("""COMPUTED_VALUE"""),322.0)</f>
        <v>322</v>
      </c>
      <c r="D3890" s="3">
        <f>IFERROR(__xludf.DUMMYFUNCTION("""COMPUTED_VALUE"""),44.0)</f>
        <v>44</v>
      </c>
      <c r="E3890" s="1" t="str">
        <f t="array" ref="E3890">_xlfn.XLOOKUP(A3890,Product!A:A,Product!B:B,"Bulunamadı")</f>
        <v>Arts</v>
      </c>
      <c r="F3890" s="1" t="str">
        <f t="array" ref="F3890">_xlfn.XLOOKUP(A3890,Product!A:A,Product!C:C,"Bulunamadı")</f>
        <v>Data Science</v>
      </c>
      <c r="G3890" s="2" t="str">
        <f t="array" ref="G3890">_xlfn.XLOOKUP(A3891,Product!A:A,Product!D:D,"Bulunamadı")</f>
        <v>Harborhill House</v>
      </c>
      <c r="H3890" s="2">
        <f t="array" ref="H3890">_xlfn.XLOOKUP(A3892,Product!A:A,Product!E:E,"Bulunamadı")</f>
        <v>4.62</v>
      </c>
      <c r="I3890" s="2" t="str">
        <f t="shared" si="1"/>
        <v>112248 - Arts - Data Science</v>
      </c>
      <c r="J3890" s="2">
        <f t="shared" si="2"/>
        <v>203.28</v>
      </c>
      <c r="K3890" s="17">
        <f t="shared" si="3"/>
        <v>1</v>
      </c>
      <c r="L3890" s="18"/>
    </row>
    <row r="3891">
      <c r="A3891" s="2">
        <f>IFERROR(__xludf.DUMMYFUNCTION("""COMPUTED_VALUE"""),89849.0)</f>
        <v>89849</v>
      </c>
      <c r="B3891" s="2">
        <f>IFERROR(__xludf.DUMMYFUNCTION("""COMPUTED_VALUE"""),1.0)</f>
        <v>1</v>
      </c>
      <c r="C3891" s="2">
        <f>IFERROR(__xludf.DUMMYFUNCTION("""COMPUTED_VALUE"""),739.0)</f>
        <v>739</v>
      </c>
      <c r="D3891" s="3">
        <f>IFERROR(__xludf.DUMMYFUNCTION("""COMPUTED_VALUE"""),677.0)</f>
        <v>677</v>
      </c>
      <c r="E3891" s="1" t="str">
        <f t="array" ref="E3891">_xlfn.XLOOKUP(A3891,Product!A:A,Product!B:B,"Bulunamadı")</f>
        <v>Arts</v>
      </c>
      <c r="F3891" s="1" t="str">
        <f t="array" ref="F3891">_xlfn.XLOOKUP(A3891,Product!A:A,Product!C:C,"Bulunamadı")</f>
        <v>Data Science</v>
      </c>
      <c r="G3891" s="2" t="str">
        <f t="array" ref="G3891">_xlfn.XLOOKUP(A3892,Product!A:A,Product!D:D,"Bulunamadı")</f>
        <v>Harborhill House</v>
      </c>
      <c r="H3891" s="2">
        <f t="array" ref="H3891">_xlfn.XLOOKUP(A3893,Product!A:A,Product!E:E,"Bulunamadı")</f>
        <v>7.94</v>
      </c>
      <c r="I3891" s="2" t="str">
        <f t="shared" si="1"/>
        <v>89849 - Arts - Data Science</v>
      </c>
      <c r="J3891" s="2">
        <f t="shared" si="2"/>
        <v>5375.38</v>
      </c>
      <c r="K3891" s="17">
        <f t="shared" si="3"/>
        <v>1</v>
      </c>
      <c r="L3891" s="18"/>
    </row>
    <row r="3892">
      <c r="A3892" s="2">
        <f>IFERROR(__xludf.DUMMYFUNCTION("""COMPUTED_VALUE"""),121709.0)</f>
        <v>121709</v>
      </c>
      <c r="B3892" s="2">
        <f>IFERROR(__xludf.DUMMYFUNCTION("""COMPUTED_VALUE"""),0.0)</f>
        <v>0</v>
      </c>
      <c r="C3892" s="2">
        <f>IFERROR(__xludf.DUMMYFUNCTION("""COMPUTED_VALUE"""),137.0)</f>
        <v>137</v>
      </c>
      <c r="D3892" s="3">
        <f>IFERROR(__xludf.DUMMYFUNCTION("""COMPUTED_VALUE"""),86.0)</f>
        <v>86</v>
      </c>
      <c r="E3892" s="1" t="str">
        <f t="array" ref="E3892">_xlfn.XLOOKUP(A3892,Product!A:A,Product!B:B,"Bulunamadı")</f>
        <v>Arts</v>
      </c>
      <c r="F3892" s="1" t="str">
        <f t="array" ref="F3892">_xlfn.XLOOKUP(A3892,Product!A:A,Product!C:C,"Bulunamadı")</f>
        <v>Data Science</v>
      </c>
      <c r="G3892" s="2" t="str">
        <f t="array" ref="G3892">_xlfn.XLOOKUP(A3893,Product!A:A,Product!D:D,"Bulunamadı")</f>
        <v>Harborhill House</v>
      </c>
      <c r="H3892" s="2">
        <f t="array" ref="H3892">_xlfn.XLOOKUP(A3894,Product!A:A,Product!E:E,"Bulunamadı")</f>
        <v>2.11</v>
      </c>
      <c r="I3892" s="2" t="str">
        <f t="shared" si="1"/>
        <v>121709 - Arts - Data Science</v>
      </c>
      <c r="J3892" s="2">
        <f t="shared" si="2"/>
        <v>181.46</v>
      </c>
      <c r="K3892" s="17">
        <f t="shared" si="3"/>
        <v>1</v>
      </c>
      <c r="L3892" s="18"/>
    </row>
    <row r="3893">
      <c r="A3893" s="2">
        <f>IFERROR(__xludf.DUMMYFUNCTION("""COMPUTED_VALUE"""),122653.0)</f>
        <v>122653</v>
      </c>
      <c r="B3893" s="2">
        <f>IFERROR(__xludf.DUMMYFUNCTION("""COMPUTED_VALUE"""),1.0)</f>
        <v>1</v>
      </c>
      <c r="C3893" s="2">
        <f>IFERROR(__xludf.DUMMYFUNCTION("""COMPUTED_VALUE"""),302.0)</f>
        <v>302</v>
      </c>
      <c r="D3893" s="3">
        <f>IFERROR(__xludf.DUMMYFUNCTION("""COMPUTED_VALUE"""),268.0)</f>
        <v>268</v>
      </c>
      <c r="E3893" s="1" t="str">
        <f t="array" ref="E3893">_xlfn.XLOOKUP(A3893,Product!A:A,Product!B:B,"Bulunamadı")</f>
        <v>Arts</v>
      </c>
      <c r="F3893" s="1" t="str">
        <f t="array" ref="F3893">_xlfn.XLOOKUP(A3893,Product!A:A,Product!C:C,"Bulunamadı")</f>
        <v>Data Science</v>
      </c>
      <c r="G3893" s="2" t="str">
        <f t="array" ref="G3893">_xlfn.XLOOKUP(A3894,Product!A:A,Product!D:D,"Bulunamadı")</f>
        <v>Harborhill House</v>
      </c>
      <c r="H3893" s="2">
        <f t="array" ref="H3893">_xlfn.XLOOKUP(A3895,Product!A:A,Product!E:E,"Bulunamadı")</f>
        <v>7.06</v>
      </c>
      <c r="I3893" s="2" t="str">
        <f t="shared" si="1"/>
        <v>122653 - Arts - Data Science</v>
      </c>
      <c r="J3893" s="2">
        <f t="shared" si="2"/>
        <v>1892.08</v>
      </c>
      <c r="K3893" s="17">
        <f t="shared" si="3"/>
        <v>1</v>
      </c>
      <c r="L3893" s="18"/>
    </row>
    <row r="3894">
      <c r="A3894" s="2">
        <f>IFERROR(__xludf.DUMMYFUNCTION("""COMPUTED_VALUE"""),9759.0)</f>
        <v>9759</v>
      </c>
      <c r="B3894" s="2">
        <f>IFERROR(__xludf.DUMMYFUNCTION("""COMPUTED_VALUE"""),0.0)</f>
        <v>0</v>
      </c>
      <c r="C3894" s="2">
        <f>IFERROR(__xludf.DUMMYFUNCTION("""COMPUTED_VALUE"""),723.0)</f>
        <v>723</v>
      </c>
      <c r="D3894" s="3">
        <f>IFERROR(__xludf.DUMMYFUNCTION("""COMPUTED_VALUE"""),113.0)</f>
        <v>113</v>
      </c>
      <c r="E3894" s="1" t="str">
        <f t="array" ref="E3894">_xlfn.XLOOKUP(A3894,Product!A:A,Product!B:B,"Bulunamadı")</f>
        <v>Arts</v>
      </c>
      <c r="F3894" s="1" t="str">
        <f t="array" ref="F3894">_xlfn.XLOOKUP(A3894,Product!A:A,Product!C:C,"Bulunamadı")</f>
        <v>Data Science</v>
      </c>
      <c r="G3894" s="2" t="str">
        <f t="array" ref="G3894">_xlfn.XLOOKUP(A3895,Product!A:A,Product!D:D,"Bulunamadı")</f>
        <v>Harborhill House</v>
      </c>
      <c r="H3894" s="2">
        <f t="array" ref="H3894">_xlfn.XLOOKUP(A3896,Product!A:A,Product!E:E,"Bulunamadı")</f>
        <v>5.95</v>
      </c>
      <c r="I3894" s="2" t="str">
        <f t="shared" si="1"/>
        <v>9759 - Arts - Data Science</v>
      </c>
      <c r="J3894" s="2">
        <f t="shared" si="2"/>
        <v>672.35</v>
      </c>
      <c r="K3894" s="17">
        <f t="shared" si="3"/>
        <v>1</v>
      </c>
      <c r="L3894" s="18"/>
    </row>
    <row r="3895">
      <c r="A3895" s="2">
        <f>IFERROR(__xludf.DUMMYFUNCTION("""COMPUTED_VALUE"""),86782.0)</f>
        <v>86782</v>
      </c>
      <c r="B3895" s="2">
        <f>IFERROR(__xludf.DUMMYFUNCTION("""COMPUTED_VALUE"""),0.0)</f>
        <v>0</v>
      </c>
      <c r="C3895" s="2">
        <f>IFERROR(__xludf.DUMMYFUNCTION("""COMPUTED_VALUE"""),151.0)</f>
        <v>151</v>
      </c>
      <c r="D3895" s="3">
        <f>IFERROR(__xludf.DUMMYFUNCTION("""COMPUTED_VALUE"""),27.0)</f>
        <v>27</v>
      </c>
      <c r="E3895" s="1" t="str">
        <f t="array" ref="E3895">_xlfn.XLOOKUP(A3895,Product!A:A,Product!B:B,"Bulunamadı")</f>
        <v>Arts</v>
      </c>
      <c r="F3895" s="1" t="str">
        <f t="array" ref="F3895">_xlfn.XLOOKUP(A3895,Product!A:A,Product!C:C,"Bulunamadı")</f>
        <v>Data Science</v>
      </c>
      <c r="G3895" s="2" t="str">
        <f t="array" ref="G3895">_xlfn.XLOOKUP(A3896,Product!A:A,Product!D:D,"Bulunamadı")</f>
        <v>Harborhill House</v>
      </c>
      <c r="H3895" s="2">
        <f t="array" ref="H3895">_xlfn.XLOOKUP(A3897,Product!A:A,Product!E:E,"Bulunamadı")</f>
        <v>7.01</v>
      </c>
      <c r="I3895" s="2" t="str">
        <f t="shared" si="1"/>
        <v>86782 - Arts - Data Science</v>
      </c>
      <c r="J3895" s="2">
        <f t="shared" si="2"/>
        <v>189.27</v>
      </c>
      <c r="K3895" s="17">
        <f t="shared" si="3"/>
        <v>1</v>
      </c>
      <c r="L3895" s="18"/>
    </row>
    <row r="3896">
      <c r="A3896" s="2">
        <f>IFERROR(__xludf.DUMMYFUNCTION("""COMPUTED_VALUE"""),119246.0)</f>
        <v>119246</v>
      </c>
      <c r="B3896" s="2">
        <f>IFERROR(__xludf.DUMMYFUNCTION("""COMPUTED_VALUE"""),0.0)</f>
        <v>0</v>
      </c>
      <c r="C3896" s="2">
        <f>IFERROR(__xludf.DUMMYFUNCTION("""COMPUTED_VALUE"""),83.0)</f>
        <v>83</v>
      </c>
      <c r="D3896" s="3">
        <f>IFERROR(__xludf.DUMMYFUNCTION("""COMPUTED_VALUE"""),1.0)</f>
        <v>1</v>
      </c>
      <c r="E3896" s="1" t="str">
        <f t="array" ref="E3896">_xlfn.XLOOKUP(A3896,Product!A:A,Product!B:B,"Bulunamadı")</f>
        <v>Arts</v>
      </c>
      <c r="F3896" s="1" t="str">
        <f t="array" ref="F3896">_xlfn.XLOOKUP(A3896,Product!A:A,Product!C:C,"Bulunamadı")</f>
        <v>Data Science</v>
      </c>
      <c r="G3896" s="2" t="str">
        <f t="array" ref="G3896">_xlfn.XLOOKUP(A3897,Product!A:A,Product!D:D,"Bulunamadı")</f>
        <v>Harborhill House</v>
      </c>
      <c r="H3896" s="2">
        <f t="array" ref="H3896">_xlfn.XLOOKUP(A3898,Product!A:A,Product!E:E,"Bulunamadı")</f>
        <v>7.14</v>
      </c>
      <c r="I3896" s="2" t="str">
        <f t="shared" si="1"/>
        <v>119246 - Arts - Data Science</v>
      </c>
      <c r="J3896" s="2">
        <f t="shared" si="2"/>
        <v>7.14</v>
      </c>
      <c r="K3896" s="17">
        <f t="shared" si="3"/>
        <v>1</v>
      </c>
      <c r="L3896" s="18"/>
    </row>
    <row r="3897">
      <c r="A3897" s="2">
        <f>IFERROR(__xludf.DUMMYFUNCTION("""COMPUTED_VALUE"""),6047.0)</f>
        <v>6047</v>
      </c>
      <c r="B3897" s="2">
        <f>IFERROR(__xludf.DUMMYFUNCTION("""COMPUTED_VALUE"""),0.0)</f>
        <v>0</v>
      </c>
      <c r="C3897" s="2">
        <f>IFERROR(__xludf.DUMMYFUNCTION("""COMPUTED_VALUE"""),587.0)</f>
        <v>587</v>
      </c>
      <c r="D3897" s="3">
        <f>IFERROR(__xludf.DUMMYFUNCTION("""COMPUTED_VALUE"""),252.0)</f>
        <v>252</v>
      </c>
      <c r="E3897" s="1" t="str">
        <f t="array" ref="E3897">_xlfn.XLOOKUP(A3897,Product!A:A,Product!B:B,"Bulunamadı")</f>
        <v>Arts</v>
      </c>
      <c r="F3897" s="1" t="str">
        <f t="array" ref="F3897">_xlfn.XLOOKUP(A3897,Product!A:A,Product!C:C,"Bulunamadı")</f>
        <v>Data Science</v>
      </c>
      <c r="G3897" s="2" t="str">
        <f t="array" ref="G3897">_xlfn.XLOOKUP(A3898,Product!A:A,Product!D:D,"Bulunamadı")</f>
        <v>Harborhill House</v>
      </c>
      <c r="H3897" s="2">
        <f t="array" ref="H3897">_xlfn.XLOOKUP(A3899,Product!A:A,Product!E:E,"Bulunamadı")</f>
        <v>7.12</v>
      </c>
      <c r="I3897" s="2" t="str">
        <f t="shared" si="1"/>
        <v>6047 - Arts - Data Science</v>
      </c>
      <c r="J3897" s="2">
        <f t="shared" si="2"/>
        <v>1794.24</v>
      </c>
      <c r="K3897" s="17">
        <f t="shared" si="3"/>
        <v>1</v>
      </c>
      <c r="L3897" s="18"/>
    </row>
    <row r="3898">
      <c r="A3898" s="2">
        <f>IFERROR(__xludf.DUMMYFUNCTION("""COMPUTED_VALUE"""),117526.0)</f>
        <v>117526</v>
      </c>
      <c r="B3898" s="2">
        <f>IFERROR(__xludf.DUMMYFUNCTION("""COMPUTED_VALUE"""),0.0)</f>
        <v>0</v>
      </c>
      <c r="C3898" s="2">
        <f>IFERROR(__xludf.DUMMYFUNCTION("""COMPUTED_VALUE"""),635.0)</f>
        <v>635</v>
      </c>
      <c r="D3898" s="3">
        <f>IFERROR(__xludf.DUMMYFUNCTION("""COMPUTED_VALUE"""),52.0)</f>
        <v>52</v>
      </c>
      <c r="E3898" s="1" t="str">
        <f t="array" ref="E3898">_xlfn.XLOOKUP(A3898,Product!A:A,Product!B:B,"Bulunamadı")</f>
        <v>Arts</v>
      </c>
      <c r="F3898" s="1" t="str">
        <f t="array" ref="F3898">_xlfn.XLOOKUP(A3898,Product!A:A,Product!C:C,"Bulunamadı")</f>
        <v>Data Science</v>
      </c>
      <c r="G3898" s="2" t="str">
        <f t="array" ref="G3898">_xlfn.XLOOKUP(A3899,Product!A:A,Product!D:D,"Bulunamadı")</f>
        <v>Harborhill House</v>
      </c>
      <c r="H3898" s="2">
        <f t="array" ref="H3898">_xlfn.XLOOKUP(A3900,Product!A:A,Product!E:E,"Bulunamadı")</f>
        <v>4.13</v>
      </c>
      <c r="I3898" s="2" t="str">
        <f t="shared" si="1"/>
        <v>117526 - Arts - Data Science</v>
      </c>
      <c r="J3898" s="2">
        <f t="shared" si="2"/>
        <v>214.76</v>
      </c>
      <c r="K3898" s="17">
        <f t="shared" si="3"/>
        <v>1</v>
      </c>
      <c r="L3898" s="18"/>
    </row>
    <row r="3899">
      <c r="A3899" s="2">
        <f>IFERROR(__xludf.DUMMYFUNCTION("""COMPUTED_VALUE"""),106671.0)</f>
        <v>106671</v>
      </c>
      <c r="B3899" s="2">
        <f>IFERROR(__xludf.DUMMYFUNCTION("""COMPUTED_VALUE"""),0.0)</f>
        <v>0</v>
      </c>
      <c r="C3899" s="2">
        <f>IFERROR(__xludf.DUMMYFUNCTION("""COMPUTED_VALUE"""),581.0)</f>
        <v>581</v>
      </c>
      <c r="D3899" s="3">
        <f>IFERROR(__xludf.DUMMYFUNCTION("""COMPUTED_VALUE"""),425.0)</f>
        <v>425</v>
      </c>
      <c r="E3899" s="1" t="str">
        <f t="array" ref="E3899">_xlfn.XLOOKUP(A3899,Product!A:A,Product!B:B,"Bulunamadı")</f>
        <v>Arts</v>
      </c>
      <c r="F3899" s="1" t="str">
        <f t="array" ref="F3899">_xlfn.XLOOKUP(A3899,Product!A:A,Product!C:C,"Bulunamadı")</f>
        <v>Data Science</v>
      </c>
      <c r="G3899" s="2" t="str">
        <f t="array" ref="G3899">_xlfn.XLOOKUP(A3900,Product!A:A,Product!D:D,"Bulunamadı")</f>
        <v>Harborhill House</v>
      </c>
      <c r="H3899" s="2">
        <f t="array" ref="H3899">_xlfn.XLOOKUP(A3901,Product!A:A,Product!E:E,"Bulunamadı")</f>
        <v>3.46</v>
      </c>
      <c r="I3899" s="2" t="str">
        <f t="shared" si="1"/>
        <v>106671 - Arts - Data Science</v>
      </c>
      <c r="J3899" s="2">
        <f t="shared" si="2"/>
        <v>1470.5</v>
      </c>
      <c r="K3899" s="17">
        <f t="shared" si="3"/>
        <v>1</v>
      </c>
      <c r="L3899" s="18"/>
    </row>
    <row r="3900">
      <c r="A3900" s="2">
        <f>IFERROR(__xludf.DUMMYFUNCTION("""COMPUTED_VALUE"""),30889.0)</f>
        <v>30889</v>
      </c>
      <c r="B3900" s="2">
        <f>IFERROR(__xludf.DUMMYFUNCTION("""COMPUTED_VALUE"""),1.0)</f>
        <v>1</v>
      </c>
      <c r="C3900" s="2">
        <f>IFERROR(__xludf.DUMMYFUNCTION("""COMPUTED_VALUE"""),136.0)</f>
        <v>136</v>
      </c>
      <c r="D3900" s="3">
        <f>IFERROR(__xludf.DUMMYFUNCTION("""COMPUTED_VALUE"""),122.0)</f>
        <v>122</v>
      </c>
      <c r="E3900" s="1" t="str">
        <f t="array" ref="E3900">_xlfn.XLOOKUP(A3900,Product!A:A,Product!B:B,"Bulunamadı")</f>
        <v>Arts</v>
      </c>
      <c r="F3900" s="1" t="str">
        <f t="array" ref="F3900">_xlfn.XLOOKUP(A3900,Product!A:A,Product!C:C,"Bulunamadı")</f>
        <v>Data Science</v>
      </c>
      <c r="G3900" s="2" t="str">
        <f t="array" ref="G3900">_xlfn.XLOOKUP(A3901,Product!A:A,Product!D:D,"Bulunamadı")</f>
        <v>Harborhill House</v>
      </c>
      <c r="H3900" s="2">
        <f t="array" ref="H3900">_xlfn.XLOOKUP(A3902,Product!A:A,Product!E:E,"Bulunamadı")</f>
        <v>3.24</v>
      </c>
      <c r="I3900" s="2" t="str">
        <f t="shared" si="1"/>
        <v>30889 - Arts - Data Science</v>
      </c>
      <c r="J3900" s="2">
        <f t="shared" si="2"/>
        <v>395.28</v>
      </c>
      <c r="K3900" s="17">
        <f t="shared" si="3"/>
        <v>1</v>
      </c>
      <c r="L3900" s="18"/>
    </row>
    <row r="3901">
      <c r="A3901" s="2">
        <f>IFERROR(__xludf.DUMMYFUNCTION("""COMPUTED_VALUE"""),80634.0)</f>
        <v>80634</v>
      </c>
      <c r="B3901" s="2">
        <f>IFERROR(__xludf.DUMMYFUNCTION("""COMPUTED_VALUE"""),1.0)</f>
        <v>1</v>
      </c>
      <c r="C3901" s="2">
        <f>IFERROR(__xludf.DUMMYFUNCTION("""COMPUTED_VALUE"""),468.0)</f>
        <v>468</v>
      </c>
      <c r="D3901" s="3">
        <f>IFERROR(__xludf.DUMMYFUNCTION("""COMPUTED_VALUE"""),79.0)</f>
        <v>79</v>
      </c>
      <c r="E3901" s="1" t="str">
        <f t="array" ref="E3901">_xlfn.XLOOKUP(A3901,Product!A:A,Product!B:B,"Bulunamadı")</f>
        <v>Arts</v>
      </c>
      <c r="F3901" s="1" t="str">
        <f t="array" ref="F3901">_xlfn.XLOOKUP(A3901,Product!A:A,Product!C:C,"Bulunamadı")</f>
        <v>Data Science</v>
      </c>
      <c r="G3901" s="2" t="str">
        <f t="array" ref="G3901">_xlfn.XLOOKUP(A3902,Product!A:A,Product!D:D,"Bulunamadı")</f>
        <v>Harborhill House</v>
      </c>
      <c r="H3901" s="2">
        <f t="array" ref="H3901">_xlfn.XLOOKUP(A3903,Product!A:A,Product!E:E,"Bulunamadı")</f>
        <v>3.72</v>
      </c>
      <c r="I3901" s="2" t="str">
        <f t="shared" si="1"/>
        <v>80634 - Arts - Data Science</v>
      </c>
      <c r="J3901" s="2">
        <f t="shared" si="2"/>
        <v>293.88</v>
      </c>
      <c r="K3901" s="17">
        <f t="shared" si="3"/>
        <v>1</v>
      </c>
      <c r="L3901" s="18"/>
    </row>
    <row r="3902">
      <c r="A3902" s="2">
        <f>IFERROR(__xludf.DUMMYFUNCTION("""COMPUTED_VALUE"""),114269.0)</f>
        <v>114269</v>
      </c>
      <c r="B3902" s="2">
        <f>IFERROR(__xludf.DUMMYFUNCTION("""COMPUTED_VALUE"""),1.0)</f>
        <v>1</v>
      </c>
      <c r="C3902" s="2">
        <f>IFERROR(__xludf.DUMMYFUNCTION("""COMPUTED_VALUE"""),634.0)</f>
        <v>634</v>
      </c>
      <c r="D3902" s="3">
        <f>IFERROR(__xludf.DUMMYFUNCTION("""COMPUTED_VALUE"""),463.0)</f>
        <v>463</v>
      </c>
      <c r="E3902" s="1" t="str">
        <f t="array" ref="E3902">_xlfn.XLOOKUP(A3902,Product!A:A,Product!B:B,"Bulunamadı")</f>
        <v>Arts</v>
      </c>
      <c r="F3902" s="1" t="str">
        <f t="array" ref="F3902">_xlfn.XLOOKUP(A3902,Product!A:A,Product!C:C,"Bulunamadı")</f>
        <v>Data Science</v>
      </c>
      <c r="G3902" s="2" t="str">
        <f t="array" ref="G3902">_xlfn.XLOOKUP(A3903,Product!A:A,Product!D:D,"Bulunamadı")</f>
        <v>Harborhill House</v>
      </c>
      <c r="H3902" s="2">
        <f t="array" ref="H3902">_xlfn.XLOOKUP(A3904,Product!A:A,Product!E:E,"Bulunamadı")</f>
        <v>3.9</v>
      </c>
      <c r="I3902" s="2" t="str">
        <f t="shared" si="1"/>
        <v>114269 - Arts - Data Science</v>
      </c>
      <c r="J3902" s="2">
        <f t="shared" si="2"/>
        <v>1805.7</v>
      </c>
      <c r="K3902" s="17">
        <f t="shared" si="3"/>
        <v>1</v>
      </c>
      <c r="L3902" s="18"/>
    </row>
    <row r="3903">
      <c r="A3903" s="2">
        <f>IFERROR(__xludf.DUMMYFUNCTION("""COMPUTED_VALUE"""),84034.0)</f>
        <v>84034</v>
      </c>
      <c r="B3903" s="2">
        <f>IFERROR(__xludf.DUMMYFUNCTION("""COMPUTED_VALUE"""),1.0)</f>
        <v>1</v>
      </c>
      <c r="C3903" s="2">
        <f>IFERROR(__xludf.DUMMYFUNCTION("""COMPUTED_VALUE"""),510.0)</f>
        <v>510</v>
      </c>
      <c r="D3903" s="3">
        <f>IFERROR(__xludf.DUMMYFUNCTION("""COMPUTED_VALUE"""),496.0)</f>
        <v>496</v>
      </c>
      <c r="E3903" s="1" t="str">
        <f t="array" ref="E3903">_xlfn.XLOOKUP(A3903,Product!A:A,Product!B:B,"Bulunamadı")</f>
        <v>Arts</v>
      </c>
      <c r="F3903" s="1" t="str">
        <f t="array" ref="F3903">_xlfn.XLOOKUP(A3903,Product!A:A,Product!C:C,"Bulunamadı")</f>
        <v>Data Science</v>
      </c>
      <c r="G3903" s="2" t="str">
        <f t="array" ref="G3903">_xlfn.XLOOKUP(A3904,Product!A:A,Product!D:D,"Bulunamadı")</f>
        <v>Harborhill House</v>
      </c>
      <c r="H3903" s="2">
        <f t="array" ref="H3903">_xlfn.XLOOKUP(A3905,Product!A:A,Product!E:E,"Bulunamadı")</f>
        <v>8.12</v>
      </c>
      <c r="I3903" s="2" t="str">
        <f t="shared" si="1"/>
        <v>84034 - Arts - Data Science</v>
      </c>
      <c r="J3903" s="2">
        <f t="shared" si="2"/>
        <v>4027.52</v>
      </c>
      <c r="K3903" s="17">
        <f t="shared" si="3"/>
        <v>1</v>
      </c>
      <c r="L3903" s="18"/>
    </row>
    <row r="3904">
      <c r="A3904" s="2">
        <f>IFERROR(__xludf.DUMMYFUNCTION("""COMPUTED_VALUE"""),103271.0)</f>
        <v>103271</v>
      </c>
      <c r="B3904" s="2">
        <f>IFERROR(__xludf.DUMMYFUNCTION("""COMPUTED_VALUE"""),1.0)</f>
        <v>1</v>
      </c>
      <c r="C3904" s="2">
        <f>IFERROR(__xludf.DUMMYFUNCTION("""COMPUTED_VALUE"""),883.0)</f>
        <v>883</v>
      </c>
      <c r="D3904" s="3">
        <f>IFERROR(__xludf.DUMMYFUNCTION("""COMPUTED_VALUE"""),188.0)</f>
        <v>188</v>
      </c>
      <c r="E3904" s="1" t="str">
        <f t="array" ref="E3904">_xlfn.XLOOKUP(A3904,Product!A:A,Product!B:B,"Bulunamadı")</f>
        <v>Arts</v>
      </c>
      <c r="F3904" s="1" t="str">
        <f t="array" ref="F3904">_xlfn.XLOOKUP(A3904,Product!A:A,Product!C:C,"Bulunamadı")</f>
        <v>Data Science</v>
      </c>
      <c r="G3904" s="2" t="str">
        <f t="array" ref="G3904">_xlfn.XLOOKUP(A3905,Product!A:A,Product!D:D,"Bulunamadı")</f>
        <v>Harborhill House</v>
      </c>
      <c r="H3904" s="2">
        <f t="array" ref="H3904">_xlfn.XLOOKUP(A3906,Product!A:A,Product!E:E,"Bulunamadı")</f>
        <v>13.72</v>
      </c>
      <c r="I3904" s="2" t="str">
        <f t="shared" si="1"/>
        <v>103271 - Arts - Data Science</v>
      </c>
      <c r="J3904" s="2">
        <f t="shared" si="2"/>
        <v>2579.36</v>
      </c>
      <c r="K3904" s="17">
        <f t="shared" si="3"/>
        <v>1</v>
      </c>
      <c r="L3904" s="18"/>
    </row>
    <row r="3905">
      <c r="A3905" s="2">
        <f>IFERROR(__xludf.DUMMYFUNCTION("""COMPUTED_VALUE"""),72248.0)</f>
        <v>72248</v>
      </c>
      <c r="B3905" s="2">
        <f>IFERROR(__xludf.DUMMYFUNCTION("""COMPUTED_VALUE"""),1.0)</f>
        <v>1</v>
      </c>
      <c r="C3905" s="2">
        <f>IFERROR(__xludf.DUMMYFUNCTION("""COMPUTED_VALUE"""),937.0)</f>
        <v>937</v>
      </c>
      <c r="D3905" s="3">
        <f>IFERROR(__xludf.DUMMYFUNCTION("""COMPUTED_VALUE"""),63.0)</f>
        <v>63</v>
      </c>
      <c r="E3905" s="1" t="str">
        <f t="array" ref="E3905">_xlfn.XLOOKUP(A3905,Product!A:A,Product!B:B,"Bulunamadı")</f>
        <v>Arts</v>
      </c>
      <c r="F3905" s="1" t="str">
        <f t="array" ref="F3905">_xlfn.XLOOKUP(A3905,Product!A:A,Product!C:C,"Bulunamadı")</f>
        <v>Data Science</v>
      </c>
      <c r="G3905" s="2" t="str">
        <f t="array" ref="G3905">_xlfn.XLOOKUP(A3906,Product!A:A,Product!D:D,"Bulunamadı")</f>
        <v>Cedarhill House</v>
      </c>
      <c r="H3905" s="2">
        <f t="array" ref="H3905">_xlfn.XLOOKUP(A3907,Product!A:A,Product!E:E,"Bulunamadı")</f>
        <v>4.93</v>
      </c>
      <c r="I3905" s="2" t="str">
        <f t="shared" si="1"/>
        <v>72248 - Arts - Data Science</v>
      </c>
      <c r="J3905" s="2">
        <f t="shared" si="2"/>
        <v>310.59</v>
      </c>
      <c r="K3905" s="17">
        <f t="shared" si="3"/>
        <v>1</v>
      </c>
      <c r="L3905" s="18"/>
    </row>
    <row r="3906" hidden="1">
      <c r="A3906" s="2">
        <f>IFERROR(__xludf.DUMMYFUNCTION("""COMPUTED_VALUE"""),7672.0)</f>
        <v>7672</v>
      </c>
      <c r="B3906" s="2">
        <f>IFERROR(__xludf.DUMMYFUNCTION("""COMPUTED_VALUE"""),0.0)</f>
        <v>0</v>
      </c>
      <c r="C3906" s="2">
        <f>IFERROR(__xludf.DUMMYFUNCTION("""COMPUTED_VALUE"""),706.0)</f>
        <v>706</v>
      </c>
      <c r="D3906" s="3">
        <f>IFERROR(__xludf.DUMMYFUNCTION("""COMPUTED_VALUE"""),676.0)</f>
        <v>676</v>
      </c>
      <c r="E3906" s="1" t="str">
        <f t="array" ref="E3906">_xlfn.XLOOKUP(A3906,Product!A:A,Product!B:B,"Bulunamadı")</f>
        <v>Sports</v>
      </c>
      <c r="F3906" s="1" t="str">
        <f t="array" ref="F3906">_xlfn.XLOOKUP(A3906,Product!A:A,Product!C:C,"Bulunamadı")</f>
        <v>Artificial Intelligence</v>
      </c>
      <c r="G3906" s="2" t="str">
        <f t="array" ref="G3906">_xlfn.XLOOKUP(A3907,Product!A:A,Product!D:D,"Bulunamadı")</f>
        <v>Cedarhill House</v>
      </c>
      <c r="H3906" s="2">
        <f t="array" ref="H3906">_xlfn.XLOOKUP(A3908,Product!A:A,Product!E:E,"Bulunamadı")</f>
        <v>8.41</v>
      </c>
      <c r="I3906" s="2" t="str">
        <f t="shared" si="1"/>
        <v>7672 - Sports - Artificial Intelligence</v>
      </c>
      <c r="J3906" s="2">
        <f t="shared" si="2"/>
        <v>5685.16</v>
      </c>
      <c r="K3906" s="17">
        <f t="shared" si="3"/>
        <v>1</v>
      </c>
      <c r="L3906" s="18"/>
    </row>
    <row r="3907" hidden="1">
      <c r="A3907" s="2">
        <f>IFERROR(__xludf.DUMMYFUNCTION("""COMPUTED_VALUE"""),82844.0)</f>
        <v>82844</v>
      </c>
      <c r="B3907" s="2">
        <f>IFERROR(__xludf.DUMMYFUNCTION("""COMPUTED_VALUE"""),1.0)</f>
        <v>1</v>
      </c>
      <c r="C3907" s="2">
        <f>IFERROR(__xludf.DUMMYFUNCTION("""COMPUTED_VALUE"""),340.0)</f>
        <v>340</v>
      </c>
      <c r="D3907" s="3">
        <f>IFERROR(__xludf.DUMMYFUNCTION("""COMPUTED_VALUE"""),280.0)</f>
        <v>280</v>
      </c>
      <c r="E3907" s="1" t="str">
        <f t="array" ref="E3907">_xlfn.XLOOKUP(A3907,Product!A:A,Product!B:B,"Bulunamadı")</f>
        <v>Sports</v>
      </c>
      <c r="F3907" s="1" t="str">
        <f t="array" ref="F3907">_xlfn.XLOOKUP(A3907,Product!A:A,Product!C:C,"Bulunamadı")</f>
        <v>Artificial Intelligence</v>
      </c>
      <c r="G3907" s="2" t="str">
        <f t="array" ref="G3907">_xlfn.XLOOKUP(A3908,Product!A:A,Product!D:D,"Bulunamadı")</f>
        <v>Cedarhill House</v>
      </c>
      <c r="H3907" s="2">
        <f t="array" ref="H3907">_xlfn.XLOOKUP(A3909,Product!A:A,Product!E:E,"Bulunamadı")</f>
        <v>8.23</v>
      </c>
      <c r="I3907" s="2" t="str">
        <f t="shared" si="1"/>
        <v>82844 - Sports - Artificial Intelligence</v>
      </c>
      <c r="J3907" s="2">
        <f t="shared" si="2"/>
        <v>2304.4</v>
      </c>
      <c r="K3907" s="17">
        <f t="shared" si="3"/>
        <v>1</v>
      </c>
      <c r="L3907" s="18"/>
    </row>
    <row r="3908" hidden="1">
      <c r="A3908" s="2">
        <f>IFERROR(__xludf.DUMMYFUNCTION("""COMPUTED_VALUE"""),7685.0)</f>
        <v>7685</v>
      </c>
      <c r="B3908" s="2">
        <f>IFERROR(__xludf.DUMMYFUNCTION("""COMPUTED_VALUE"""),1.0)</f>
        <v>1</v>
      </c>
      <c r="C3908" s="2">
        <f>IFERROR(__xludf.DUMMYFUNCTION("""COMPUTED_VALUE"""),615.0)</f>
        <v>615</v>
      </c>
      <c r="D3908" s="3">
        <f>IFERROR(__xludf.DUMMYFUNCTION("""COMPUTED_VALUE"""),405.0)</f>
        <v>405</v>
      </c>
      <c r="E3908" s="1" t="str">
        <f t="array" ref="E3908">_xlfn.XLOOKUP(A3908,Product!A:A,Product!B:B,"Bulunamadı")</f>
        <v>Sports</v>
      </c>
      <c r="F3908" s="1" t="str">
        <f t="array" ref="F3908">_xlfn.XLOOKUP(A3908,Product!A:A,Product!C:C,"Bulunamadı")</f>
        <v>Artificial Intelligence</v>
      </c>
      <c r="G3908" s="2" t="str">
        <f t="array" ref="G3908">_xlfn.XLOOKUP(A3909,Product!A:A,Product!D:D,"Bulunamadı")</f>
        <v>Cedarhill House</v>
      </c>
      <c r="H3908" s="2">
        <f t="array" ref="H3908">_xlfn.XLOOKUP(A3910,Product!A:A,Product!E:E,"Bulunamadı")</f>
        <v>11.67</v>
      </c>
      <c r="I3908" s="2" t="str">
        <f t="shared" si="1"/>
        <v>7685 - Sports - Artificial Intelligence</v>
      </c>
      <c r="J3908" s="2">
        <f t="shared" si="2"/>
        <v>4726.35</v>
      </c>
      <c r="K3908" s="17">
        <f t="shared" si="3"/>
        <v>1</v>
      </c>
      <c r="L3908" s="18"/>
    </row>
    <row r="3909" hidden="1">
      <c r="A3909" s="2">
        <f>IFERROR(__xludf.DUMMYFUNCTION("""COMPUTED_VALUE"""),7673.0)</f>
        <v>7673</v>
      </c>
      <c r="B3909" s="2">
        <f>IFERROR(__xludf.DUMMYFUNCTION("""COMPUTED_VALUE"""),0.0)</f>
        <v>0</v>
      </c>
      <c r="C3909" s="2">
        <f>IFERROR(__xludf.DUMMYFUNCTION("""COMPUTED_VALUE"""),73.0)</f>
        <v>73</v>
      </c>
      <c r="D3909" s="3">
        <f>IFERROR(__xludf.DUMMYFUNCTION("""COMPUTED_VALUE"""),24.0)</f>
        <v>24</v>
      </c>
      <c r="E3909" s="1" t="str">
        <f t="array" ref="E3909">_xlfn.XLOOKUP(A3909,Product!A:A,Product!B:B,"Bulunamadı")</f>
        <v>Sports</v>
      </c>
      <c r="F3909" s="1" t="str">
        <f t="array" ref="F3909">_xlfn.XLOOKUP(A3909,Product!A:A,Product!C:C,"Bulunamadı")</f>
        <v>Artificial Intelligence</v>
      </c>
      <c r="G3909" s="2" t="str">
        <f t="array" ref="G3909">_xlfn.XLOOKUP(A3910,Product!A:A,Product!D:D,"Bulunamadı")</f>
        <v>Brighthill House</v>
      </c>
      <c r="H3909" s="2">
        <f t="array" ref="H3909">_xlfn.XLOOKUP(A3911,Product!A:A,Product!E:E,"Bulunamadı")</f>
        <v>12.08</v>
      </c>
      <c r="I3909" s="2" t="str">
        <f t="shared" si="1"/>
        <v>7673 - Sports - Artificial Intelligence</v>
      </c>
      <c r="J3909" s="2">
        <f t="shared" si="2"/>
        <v>289.92</v>
      </c>
      <c r="K3909" s="17">
        <f t="shared" si="3"/>
        <v>1</v>
      </c>
      <c r="L3909" s="18"/>
    </row>
    <row r="3910" hidden="1">
      <c r="A3910" s="2">
        <f>IFERROR(__xludf.DUMMYFUNCTION("""COMPUTED_VALUE"""),72328.0)</f>
        <v>72328</v>
      </c>
      <c r="B3910" s="2">
        <f>IFERROR(__xludf.DUMMYFUNCTION("""COMPUTED_VALUE"""),1.0)</f>
        <v>1</v>
      </c>
      <c r="C3910" s="2">
        <f>IFERROR(__xludf.DUMMYFUNCTION("""COMPUTED_VALUE"""),216.0)</f>
        <v>216</v>
      </c>
      <c r="D3910" s="3">
        <f>IFERROR(__xludf.DUMMYFUNCTION("""COMPUTED_VALUE"""),215.0)</f>
        <v>215</v>
      </c>
      <c r="E3910" s="1" t="str">
        <f t="array" ref="E3910">_xlfn.XLOOKUP(A3910,Product!A:A,Product!B:B,"Bulunamadı")</f>
        <v>Sports</v>
      </c>
      <c r="F3910" s="1" t="str">
        <f t="array" ref="F3910">_xlfn.XLOOKUP(A3910,Product!A:A,Product!C:C,"Bulunamadı")</f>
        <v>Artificial Intelligence</v>
      </c>
      <c r="G3910" s="2" t="str">
        <f t="array" ref="G3910">_xlfn.XLOOKUP(A3911,Product!A:A,Product!D:D,"Bulunamadı")</f>
        <v>Brighthill House</v>
      </c>
      <c r="H3910" s="2">
        <f t="array" ref="H3910">_xlfn.XLOOKUP(A3912,Product!A:A,Product!E:E,"Bulunamadı")</f>
        <v>10.45</v>
      </c>
      <c r="I3910" s="2" t="str">
        <f t="shared" si="1"/>
        <v>72328 - Sports - Artificial Intelligence</v>
      </c>
      <c r="J3910" s="2">
        <f t="shared" si="2"/>
        <v>2246.75</v>
      </c>
      <c r="K3910" s="17">
        <f t="shared" si="3"/>
        <v>1</v>
      </c>
      <c r="L3910" s="18"/>
    </row>
    <row r="3911" hidden="1">
      <c r="A3911" s="2">
        <f>IFERROR(__xludf.DUMMYFUNCTION("""COMPUTED_VALUE"""),87967.0)</f>
        <v>87967</v>
      </c>
      <c r="B3911" s="2">
        <f>IFERROR(__xludf.DUMMYFUNCTION("""COMPUTED_VALUE"""),1.0)</f>
        <v>1</v>
      </c>
      <c r="C3911" s="2">
        <f>IFERROR(__xludf.DUMMYFUNCTION("""COMPUTED_VALUE"""),560.0)</f>
        <v>560</v>
      </c>
      <c r="D3911" s="3">
        <f>IFERROR(__xludf.DUMMYFUNCTION("""COMPUTED_VALUE"""),321.0)</f>
        <v>321</v>
      </c>
      <c r="E3911" s="1" t="str">
        <f t="array" ref="E3911">_xlfn.XLOOKUP(A3911,Product!A:A,Product!B:B,"Bulunamadı")</f>
        <v>Sports</v>
      </c>
      <c r="F3911" s="1" t="str">
        <f t="array" ref="F3911">_xlfn.XLOOKUP(A3911,Product!A:A,Product!C:C,"Bulunamadı")</f>
        <v>Artificial Intelligence</v>
      </c>
      <c r="G3911" s="2" t="str">
        <f t="array" ref="G3911">_xlfn.XLOOKUP(A3912,Product!A:A,Product!D:D,"Bulunamadı")</f>
        <v>Brighthill House</v>
      </c>
      <c r="H3911" s="2">
        <f t="array" ref="H3911">_xlfn.XLOOKUP(A3913,Product!A:A,Product!E:E,"Bulunamadı")</f>
        <v>4.65</v>
      </c>
      <c r="I3911" s="2" t="str">
        <f t="shared" si="1"/>
        <v>87967 - Sports - Artificial Intelligence</v>
      </c>
      <c r="J3911" s="2">
        <f t="shared" si="2"/>
        <v>1492.65</v>
      </c>
      <c r="K3911" s="17">
        <f t="shared" si="3"/>
        <v>1</v>
      </c>
      <c r="L3911" s="18"/>
    </row>
    <row r="3912" hidden="1">
      <c r="A3912" s="2">
        <f>IFERROR(__xludf.DUMMYFUNCTION("""COMPUTED_VALUE"""),113193.0)</f>
        <v>113193</v>
      </c>
      <c r="B3912" s="2">
        <f>IFERROR(__xludf.DUMMYFUNCTION("""COMPUTED_VALUE"""),0.0)</f>
        <v>0</v>
      </c>
      <c r="C3912" s="2">
        <f>IFERROR(__xludf.DUMMYFUNCTION("""COMPUTED_VALUE"""),63.0)</f>
        <v>63</v>
      </c>
      <c r="D3912" s="3">
        <f>IFERROR(__xludf.DUMMYFUNCTION("""COMPUTED_VALUE"""),58.0)</f>
        <v>58</v>
      </c>
      <c r="E3912" s="1" t="str">
        <f t="array" ref="E3912">_xlfn.XLOOKUP(A3912,Product!A:A,Product!B:B,"Bulunamadı")</f>
        <v>Sports</v>
      </c>
      <c r="F3912" s="1" t="str">
        <f t="array" ref="F3912">_xlfn.XLOOKUP(A3912,Product!A:A,Product!C:C,"Bulunamadı")</f>
        <v>Artificial Intelligence</v>
      </c>
      <c r="G3912" s="2" t="str">
        <f t="array" ref="G3912">_xlfn.XLOOKUP(A3913,Product!A:A,Product!D:D,"Bulunamadı")</f>
        <v>Brighthill House</v>
      </c>
      <c r="H3912" s="2">
        <f t="array" ref="H3912">_xlfn.XLOOKUP(A3914,Product!A:A,Product!E:E,"Bulunamadı")</f>
        <v>10.55</v>
      </c>
      <c r="I3912" s="2" t="str">
        <f t="shared" si="1"/>
        <v>113193 - Sports - Artificial Intelligence</v>
      </c>
      <c r="J3912" s="2">
        <f t="shared" si="2"/>
        <v>611.9</v>
      </c>
      <c r="K3912" s="17">
        <f t="shared" si="3"/>
        <v>1</v>
      </c>
      <c r="L3912" s="18"/>
    </row>
    <row r="3913" hidden="1">
      <c r="A3913" s="2">
        <f>IFERROR(__xludf.DUMMYFUNCTION("""COMPUTED_VALUE"""),82821.0)</f>
        <v>82821</v>
      </c>
      <c r="B3913" s="2">
        <f>IFERROR(__xludf.DUMMYFUNCTION("""COMPUTED_VALUE"""),0.0)</f>
        <v>0</v>
      </c>
      <c r="C3913" s="2">
        <f>IFERROR(__xludf.DUMMYFUNCTION("""COMPUTED_VALUE"""),299.0)</f>
        <v>299</v>
      </c>
      <c r="D3913" s="3">
        <f>IFERROR(__xludf.DUMMYFUNCTION("""COMPUTED_VALUE"""),219.0)</f>
        <v>219</v>
      </c>
      <c r="E3913" s="1" t="str">
        <f t="array" ref="E3913">_xlfn.XLOOKUP(A3913,Product!A:A,Product!B:B,"Bulunamadı")</f>
        <v>Sports</v>
      </c>
      <c r="F3913" s="1" t="str">
        <f t="array" ref="F3913">_xlfn.XLOOKUP(A3913,Product!A:A,Product!C:C,"Bulunamadı")</f>
        <v>Artificial Intelligence</v>
      </c>
      <c r="G3913" s="2" t="str">
        <f t="array" ref="G3913">_xlfn.XLOOKUP(A3914,Product!A:A,Product!D:D,"Bulunamadı")</f>
        <v>Brighthill House</v>
      </c>
      <c r="H3913" s="2">
        <f t="array" ref="H3913">_xlfn.XLOOKUP(A3915,Product!A:A,Product!E:E,"Bulunamadı")</f>
        <v>4.77</v>
      </c>
      <c r="I3913" s="2" t="str">
        <f t="shared" si="1"/>
        <v>82821 - Sports - Artificial Intelligence</v>
      </c>
      <c r="J3913" s="2">
        <f t="shared" si="2"/>
        <v>1044.63</v>
      </c>
      <c r="K3913" s="17">
        <f t="shared" si="3"/>
        <v>1</v>
      </c>
      <c r="L3913" s="18"/>
    </row>
    <row r="3914" hidden="1">
      <c r="A3914" s="2">
        <f>IFERROR(__xludf.DUMMYFUNCTION("""COMPUTED_VALUE"""),87964.0)</f>
        <v>87964</v>
      </c>
      <c r="B3914" s="2">
        <f>IFERROR(__xludf.DUMMYFUNCTION("""COMPUTED_VALUE"""),1.0)</f>
        <v>1</v>
      </c>
      <c r="C3914" s="2">
        <f>IFERROR(__xludf.DUMMYFUNCTION("""COMPUTED_VALUE"""),79.0)</f>
        <v>79</v>
      </c>
      <c r="D3914" s="3">
        <f>IFERROR(__xludf.DUMMYFUNCTION("""COMPUTED_VALUE"""),42.0)</f>
        <v>42</v>
      </c>
      <c r="E3914" s="1" t="str">
        <f t="array" ref="E3914">_xlfn.XLOOKUP(A3914,Product!A:A,Product!B:B,"Bulunamadı")</f>
        <v>Sports</v>
      </c>
      <c r="F3914" s="1" t="str">
        <f t="array" ref="F3914">_xlfn.XLOOKUP(A3914,Product!A:A,Product!C:C,"Bulunamadı")</f>
        <v>Artificial Intelligence</v>
      </c>
      <c r="G3914" s="2" t="str">
        <f t="array" ref="G3914">_xlfn.XLOOKUP(A3915,Product!A:A,Product!D:D,"Bulunamadı")</f>
        <v>Brighthill House</v>
      </c>
      <c r="H3914" s="2">
        <f t="array" ref="H3914">_xlfn.XLOOKUP(A3916,Product!A:A,Product!E:E,"Bulunamadı")</f>
        <v>10.62</v>
      </c>
      <c r="I3914" s="2" t="str">
        <f t="shared" si="1"/>
        <v>87964 - Sports - Artificial Intelligence</v>
      </c>
      <c r="J3914" s="2">
        <f t="shared" si="2"/>
        <v>446.04</v>
      </c>
      <c r="K3914" s="17">
        <f t="shared" si="3"/>
        <v>1</v>
      </c>
      <c r="L3914" s="18"/>
    </row>
    <row r="3915" hidden="1">
      <c r="A3915" s="2">
        <f>IFERROR(__xludf.DUMMYFUNCTION("""COMPUTED_VALUE"""),201751.0)</f>
        <v>201751</v>
      </c>
      <c r="B3915" s="2">
        <f>IFERROR(__xludf.DUMMYFUNCTION("""COMPUTED_VALUE"""),1.0)</f>
        <v>1</v>
      </c>
      <c r="C3915" s="2">
        <f>IFERROR(__xludf.DUMMYFUNCTION("""COMPUTED_VALUE"""),588.0)</f>
        <v>588</v>
      </c>
      <c r="D3915" s="3">
        <f>IFERROR(__xludf.DUMMYFUNCTION("""COMPUTED_VALUE"""),437.0)</f>
        <v>437</v>
      </c>
      <c r="E3915" s="1" t="str">
        <f t="array" ref="E3915">_xlfn.XLOOKUP(A3915,Product!A:A,Product!B:B,"Bulunamadı")</f>
        <v>Sports</v>
      </c>
      <c r="F3915" s="1" t="str">
        <f t="array" ref="F3915">_xlfn.XLOOKUP(A3915,Product!A:A,Product!C:C,"Bulunamadı")</f>
        <v>Artificial Intelligence</v>
      </c>
      <c r="G3915" s="2" t="str">
        <f t="array" ref="G3915">_xlfn.XLOOKUP(A3916,Product!A:A,Product!D:D,"Bulunamadı")</f>
        <v>Brighthill House</v>
      </c>
      <c r="H3915" s="2">
        <f t="array" ref="H3915">_xlfn.XLOOKUP(A3917,Product!A:A,Product!E:E,"Bulunamadı")</f>
        <v>9.69</v>
      </c>
      <c r="I3915" s="2" t="str">
        <f t="shared" si="1"/>
        <v>201751 - Sports - Artificial Intelligence</v>
      </c>
      <c r="J3915" s="2">
        <f t="shared" si="2"/>
        <v>4234.53</v>
      </c>
      <c r="K3915" s="17">
        <f t="shared" si="3"/>
        <v>1</v>
      </c>
      <c r="L3915" s="18"/>
    </row>
    <row r="3916" hidden="1">
      <c r="A3916" s="2">
        <f>IFERROR(__xludf.DUMMYFUNCTION("""COMPUTED_VALUE"""),79057.0)</f>
        <v>79057</v>
      </c>
      <c r="B3916" s="2">
        <f>IFERROR(__xludf.DUMMYFUNCTION("""COMPUTED_VALUE"""),1.0)</f>
        <v>1</v>
      </c>
      <c r="C3916" s="2">
        <f>IFERROR(__xludf.DUMMYFUNCTION("""COMPUTED_VALUE"""),460.0)</f>
        <v>460</v>
      </c>
      <c r="D3916" s="3">
        <f>IFERROR(__xludf.DUMMYFUNCTION("""COMPUTED_VALUE"""),402.0)</f>
        <v>402</v>
      </c>
      <c r="E3916" s="1" t="str">
        <f t="array" ref="E3916">_xlfn.XLOOKUP(A3916,Product!A:A,Product!B:B,"Bulunamadı")</f>
        <v>Sports</v>
      </c>
      <c r="F3916" s="1" t="str">
        <f t="array" ref="F3916">_xlfn.XLOOKUP(A3916,Product!A:A,Product!C:C,"Bulunamadı")</f>
        <v>Artificial Intelligence</v>
      </c>
      <c r="G3916" s="2" t="str">
        <f t="array" ref="G3916">_xlfn.XLOOKUP(A3917,Product!A:A,Product!D:D,"Bulunamadı")</f>
        <v>Brighthill House</v>
      </c>
      <c r="H3916" s="2">
        <f t="array" ref="H3916">_xlfn.XLOOKUP(A3918,Product!A:A,Product!E:E,"Bulunamadı")</f>
        <v>12.63</v>
      </c>
      <c r="I3916" s="2" t="str">
        <f t="shared" si="1"/>
        <v>79057 - Sports - Artificial Intelligence</v>
      </c>
      <c r="J3916" s="2">
        <f t="shared" si="2"/>
        <v>5077.26</v>
      </c>
      <c r="K3916" s="17">
        <f t="shared" si="3"/>
        <v>1</v>
      </c>
      <c r="L3916" s="18"/>
    </row>
    <row r="3917" hidden="1">
      <c r="A3917" s="2">
        <f>IFERROR(__xludf.DUMMYFUNCTION("""COMPUTED_VALUE"""),41225.0)</f>
        <v>41225</v>
      </c>
      <c r="B3917" s="2">
        <f>IFERROR(__xludf.DUMMYFUNCTION("""COMPUTED_VALUE"""),1.0)</f>
        <v>1</v>
      </c>
      <c r="C3917" s="2">
        <f>IFERROR(__xludf.DUMMYFUNCTION("""COMPUTED_VALUE"""),416.0)</f>
        <v>416</v>
      </c>
      <c r="D3917" s="3">
        <f>IFERROR(__xludf.DUMMYFUNCTION("""COMPUTED_VALUE"""),29.0)</f>
        <v>29</v>
      </c>
      <c r="E3917" s="1" t="str">
        <f t="array" ref="E3917">_xlfn.XLOOKUP(A3917,Product!A:A,Product!B:B,"Bulunamadı")</f>
        <v>Sports</v>
      </c>
      <c r="F3917" s="1" t="str">
        <f t="array" ref="F3917">_xlfn.XLOOKUP(A3917,Product!A:A,Product!C:C,"Bulunamadı")</f>
        <v>Artificial Intelligence</v>
      </c>
      <c r="G3917" s="2" t="str">
        <f t="array" ref="G3917">_xlfn.XLOOKUP(A3918,Product!A:A,Product!D:D,"Bulunamadı")</f>
        <v>Brighthill House</v>
      </c>
      <c r="H3917" s="2">
        <f t="array" ref="H3917">_xlfn.XLOOKUP(A3919,Product!A:A,Product!E:E,"Bulunamadı")</f>
        <v>12.58</v>
      </c>
      <c r="I3917" s="2" t="str">
        <f t="shared" si="1"/>
        <v>41225 - Sports - Artificial Intelligence</v>
      </c>
      <c r="J3917" s="2">
        <f t="shared" si="2"/>
        <v>364.82</v>
      </c>
      <c r="K3917" s="17">
        <f t="shared" si="3"/>
        <v>1</v>
      </c>
      <c r="L3917" s="18"/>
    </row>
    <row r="3918" hidden="1">
      <c r="A3918" s="2">
        <f>IFERROR(__xludf.DUMMYFUNCTION("""COMPUTED_VALUE"""),113300.0)</f>
        <v>113300</v>
      </c>
      <c r="B3918" s="2">
        <f>IFERROR(__xludf.DUMMYFUNCTION("""COMPUTED_VALUE"""),1.0)</f>
        <v>1</v>
      </c>
      <c r="C3918" s="2">
        <f>IFERROR(__xludf.DUMMYFUNCTION("""COMPUTED_VALUE"""),778.0)</f>
        <v>778</v>
      </c>
      <c r="D3918" s="3">
        <f>IFERROR(__xludf.DUMMYFUNCTION("""COMPUTED_VALUE"""),362.0)</f>
        <v>362</v>
      </c>
      <c r="E3918" s="1" t="str">
        <f t="array" ref="E3918">_xlfn.XLOOKUP(A3918,Product!A:A,Product!B:B,"Bulunamadı")</f>
        <v>Sports</v>
      </c>
      <c r="F3918" s="1" t="str">
        <f t="array" ref="F3918">_xlfn.XLOOKUP(A3918,Product!A:A,Product!C:C,"Bulunamadı")</f>
        <v>Artificial Intelligence</v>
      </c>
      <c r="G3918" s="2" t="str">
        <f t="array" ref="G3918">_xlfn.XLOOKUP(A3919,Product!A:A,Product!D:D,"Bulunamadı")</f>
        <v>Oakhill House</v>
      </c>
      <c r="H3918" s="2">
        <f t="array" ref="H3918">_xlfn.XLOOKUP(A3920,Product!A:A,Product!E:E,"Bulunamadı")</f>
        <v>5.8</v>
      </c>
      <c r="I3918" s="2" t="str">
        <f t="shared" si="1"/>
        <v>113300 - Sports - Artificial Intelligence</v>
      </c>
      <c r="J3918" s="2">
        <f t="shared" si="2"/>
        <v>2099.6</v>
      </c>
      <c r="K3918" s="17">
        <f t="shared" si="3"/>
        <v>1</v>
      </c>
      <c r="L3918" s="18"/>
    </row>
    <row r="3919" hidden="1">
      <c r="A3919" s="2">
        <f>IFERROR(__xludf.DUMMYFUNCTION("""COMPUTED_VALUE"""),113299.0)</f>
        <v>113299</v>
      </c>
      <c r="B3919" s="2">
        <f>IFERROR(__xludf.DUMMYFUNCTION("""COMPUTED_VALUE"""),1.0)</f>
        <v>1</v>
      </c>
      <c r="C3919" s="2">
        <f>IFERROR(__xludf.DUMMYFUNCTION("""COMPUTED_VALUE"""),226.0)</f>
        <v>226</v>
      </c>
      <c r="D3919" s="3">
        <f>IFERROR(__xludf.DUMMYFUNCTION("""COMPUTED_VALUE"""),109.0)</f>
        <v>109</v>
      </c>
      <c r="E3919" s="1" t="str">
        <f t="array" ref="E3919">_xlfn.XLOOKUP(A3919,Product!A:A,Product!B:B,"Bulunamadı")</f>
        <v>Sports</v>
      </c>
      <c r="F3919" s="1" t="str">
        <f t="array" ref="F3919">_xlfn.XLOOKUP(A3919,Product!A:A,Product!C:C,"Bulunamadı")</f>
        <v>Artificial Intelligence</v>
      </c>
      <c r="G3919" s="2" t="str">
        <f t="array" ref="G3919">_xlfn.XLOOKUP(A3920,Product!A:A,Product!D:D,"Bulunamadı")</f>
        <v>Oakhill House</v>
      </c>
      <c r="H3919" s="2">
        <f t="array" ref="H3919">_xlfn.XLOOKUP(A3921,Product!A:A,Product!E:E,"Bulunamadı")</f>
        <v>8.09</v>
      </c>
      <c r="I3919" s="2" t="str">
        <f t="shared" si="1"/>
        <v>113299 - Sports - Artificial Intelligence</v>
      </c>
      <c r="J3919" s="2">
        <f t="shared" si="2"/>
        <v>881.81</v>
      </c>
      <c r="K3919" s="17">
        <f t="shared" si="3"/>
        <v>1</v>
      </c>
      <c r="L3919" s="18"/>
    </row>
    <row r="3920" hidden="1">
      <c r="A3920" s="2">
        <f>IFERROR(__xludf.DUMMYFUNCTION("""COMPUTED_VALUE"""),105475.0)</f>
        <v>105475</v>
      </c>
      <c r="B3920" s="2">
        <f>IFERROR(__xludf.DUMMYFUNCTION("""COMPUTED_VALUE"""),0.0)</f>
        <v>0</v>
      </c>
      <c r="C3920" s="2">
        <f>IFERROR(__xludf.DUMMYFUNCTION("""COMPUTED_VALUE"""),150.0)</f>
        <v>150</v>
      </c>
      <c r="D3920" s="3">
        <f>IFERROR(__xludf.DUMMYFUNCTION("""COMPUTED_VALUE"""),27.0)</f>
        <v>27</v>
      </c>
      <c r="E3920" s="1" t="str">
        <f t="array" ref="E3920">_xlfn.XLOOKUP(A3920,Product!A:A,Product!B:B,"Bulunamadı")</f>
        <v>Sports</v>
      </c>
      <c r="F3920" s="1" t="str">
        <f t="array" ref="F3920">_xlfn.XLOOKUP(A3920,Product!A:A,Product!C:C,"Bulunamadı")</f>
        <v>Artificial Intelligence</v>
      </c>
      <c r="G3920" s="2" t="str">
        <f t="array" ref="G3920">_xlfn.XLOOKUP(A3921,Product!A:A,Product!D:D,"Bulunamadı")</f>
        <v>Oakhill House</v>
      </c>
      <c r="H3920" s="2">
        <f t="array" ref="H3920">_xlfn.XLOOKUP(A3922,Product!A:A,Product!E:E,"Bulunamadı")</f>
        <v>12.44</v>
      </c>
      <c r="I3920" s="2" t="str">
        <f t="shared" si="1"/>
        <v>105475 - Sports - Artificial Intelligence</v>
      </c>
      <c r="J3920" s="2">
        <f t="shared" si="2"/>
        <v>335.88</v>
      </c>
      <c r="K3920" s="17">
        <f t="shared" si="3"/>
        <v>1</v>
      </c>
      <c r="L3920" s="18"/>
    </row>
    <row r="3921" hidden="1">
      <c r="A3921" s="2">
        <f>IFERROR(__xludf.DUMMYFUNCTION("""COMPUTED_VALUE"""),114724.0)</f>
        <v>114724</v>
      </c>
      <c r="B3921" s="2">
        <f>IFERROR(__xludf.DUMMYFUNCTION("""COMPUTED_VALUE"""),0.0)</f>
        <v>0</v>
      </c>
      <c r="C3921" s="2">
        <f>IFERROR(__xludf.DUMMYFUNCTION("""COMPUTED_VALUE"""),220.0)</f>
        <v>220</v>
      </c>
      <c r="D3921" s="3">
        <f>IFERROR(__xludf.DUMMYFUNCTION("""COMPUTED_VALUE"""),91.0)</f>
        <v>91</v>
      </c>
      <c r="E3921" s="1" t="str">
        <f t="array" ref="E3921">_xlfn.XLOOKUP(A3921,Product!A:A,Product!B:B,"Bulunamadı")</f>
        <v>Sports</v>
      </c>
      <c r="F3921" s="1" t="str">
        <f t="array" ref="F3921">_xlfn.XLOOKUP(A3921,Product!A:A,Product!C:C,"Bulunamadı")</f>
        <v>Artificial Intelligence</v>
      </c>
      <c r="G3921" s="2" t="str">
        <f t="array" ref="G3921">_xlfn.XLOOKUP(A3922,Product!A:A,Product!D:D,"Bulunamadı")</f>
        <v>Oakhill House</v>
      </c>
      <c r="H3921" s="2">
        <f t="array" ref="H3921">_xlfn.XLOOKUP(A3923,Product!A:A,Product!E:E,"Bulunamadı")</f>
        <v>7.8</v>
      </c>
      <c r="I3921" s="2" t="str">
        <f t="shared" si="1"/>
        <v>114724 - Sports - Artificial Intelligence</v>
      </c>
      <c r="J3921" s="2">
        <f t="shared" si="2"/>
        <v>709.8</v>
      </c>
      <c r="K3921" s="17">
        <f t="shared" si="3"/>
        <v>1</v>
      </c>
      <c r="L3921" s="18"/>
    </row>
    <row r="3922" hidden="1">
      <c r="A3922" s="2">
        <f>IFERROR(__xludf.DUMMYFUNCTION("""COMPUTED_VALUE"""),113298.0)</f>
        <v>113298</v>
      </c>
      <c r="B3922" s="2">
        <f>IFERROR(__xludf.DUMMYFUNCTION("""COMPUTED_VALUE"""),1.0)</f>
        <v>1</v>
      </c>
      <c r="C3922" s="2">
        <f>IFERROR(__xludf.DUMMYFUNCTION("""COMPUTED_VALUE"""),584.0)</f>
        <v>584</v>
      </c>
      <c r="D3922" s="3">
        <f>IFERROR(__xludf.DUMMYFUNCTION("""COMPUTED_VALUE"""),301.0)</f>
        <v>301</v>
      </c>
      <c r="E3922" s="1" t="str">
        <f t="array" ref="E3922">_xlfn.XLOOKUP(A3922,Product!A:A,Product!B:B,"Bulunamadı")</f>
        <v>Sports</v>
      </c>
      <c r="F3922" s="1" t="str">
        <f t="array" ref="F3922">_xlfn.XLOOKUP(A3922,Product!A:A,Product!C:C,"Bulunamadı")</f>
        <v>Artificial Intelligence</v>
      </c>
      <c r="G3922" s="2" t="str">
        <f t="array" ref="G3922">_xlfn.XLOOKUP(A3923,Product!A:A,Product!D:D,"Bulunamadı")</f>
        <v>Riverhill House</v>
      </c>
      <c r="H3922" s="2">
        <f t="array" ref="H3922">_xlfn.XLOOKUP(A3924,Product!A:A,Product!E:E,"Bulunamadı")</f>
        <v>7.4</v>
      </c>
      <c r="I3922" s="2" t="str">
        <f t="shared" si="1"/>
        <v>113298 - Sports - Artificial Intelligence</v>
      </c>
      <c r="J3922" s="2">
        <f t="shared" si="2"/>
        <v>2227.4</v>
      </c>
      <c r="K3922" s="17">
        <f t="shared" si="3"/>
        <v>1</v>
      </c>
      <c r="L3922" s="18"/>
    </row>
    <row r="3923" hidden="1">
      <c r="A3923" s="2">
        <f>IFERROR(__xludf.DUMMYFUNCTION("""COMPUTED_VALUE"""),82838.0)</f>
        <v>82838</v>
      </c>
      <c r="B3923" s="2">
        <f>IFERROR(__xludf.DUMMYFUNCTION("""COMPUTED_VALUE"""),0.0)</f>
        <v>0</v>
      </c>
      <c r="C3923" s="2">
        <f>IFERROR(__xludf.DUMMYFUNCTION("""COMPUTED_VALUE"""),336.0)</f>
        <v>336</v>
      </c>
      <c r="D3923" s="3">
        <f>IFERROR(__xludf.DUMMYFUNCTION("""COMPUTED_VALUE"""),302.0)</f>
        <v>302</v>
      </c>
      <c r="E3923" s="1" t="str">
        <f t="array" ref="E3923">_xlfn.XLOOKUP(A3923,Product!A:A,Product!B:B,"Bulunamadı")</f>
        <v>Sports</v>
      </c>
      <c r="F3923" s="1" t="str">
        <f t="array" ref="F3923">_xlfn.XLOOKUP(A3923,Product!A:A,Product!C:C,"Bulunamadı")</f>
        <v>Artificial Intelligence</v>
      </c>
      <c r="G3923" s="2" t="str">
        <f t="array" ref="G3923">_xlfn.XLOOKUP(A3924,Product!A:A,Product!D:D,"Bulunamadı")</f>
        <v>Riverhill House</v>
      </c>
      <c r="H3923" s="2">
        <f t="array" ref="H3923">_xlfn.XLOOKUP(A3925,Product!A:A,Product!E:E,"Bulunamadı")</f>
        <v>3.51</v>
      </c>
      <c r="I3923" s="2" t="str">
        <f t="shared" si="1"/>
        <v>82838 - Sports - Artificial Intelligence</v>
      </c>
      <c r="J3923" s="2">
        <f t="shared" si="2"/>
        <v>1060.02</v>
      </c>
      <c r="K3923" s="17">
        <f t="shared" si="3"/>
        <v>1</v>
      </c>
      <c r="L3923" s="18"/>
    </row>
    <row r="3924" hidden="1">
      <c r="A3924" s="2">
        <f>IFERROR(__xludf.DUMMYFUNCTION("""COMPUTED_VALUE"""),111960.0)</f>
        <v>111960</v>
      </c>
      <c r="B3924" s="2">
        <f>IFERROR(__xludf.DUMMYFUNCTION("""COMPUTED_VALUE"""),0.0)</f>
        <v>0</v>
      </c>
      <c r="C3924" s="2">
        <f>IFERROR(__xludf.DUMMYFUNCTION("""COMPUTED_VALUE"""),56.0)</f>
        <v>56</v>
      </c>
      <c r="D3924" s="3">
        <f>IFERROR(__xludf.DUMMYFUNCTION("""COMPUTED_VALUE"""),37.0)</f>
        <v>37</v>
      </c>
      <c r="E3924" s="1" t="str">
        <f t="array" ref="E3924">_xlfn.XLOOKUP(A3924,Product!A:A,Product!B:B,"Bulunamadı")</f>
        <v>Sports</v>
      </c>
      <c r="F3924" s="1" t="str">
        <f t="array" ref="F3924">_xlfn.XLOOKUP(A3924,Product!A:A,Product!C:C,"Bulunamadı")</f>
        <v>Artificial Intelligence</v>
      </c>
      <c r="G3924" s="2" t="str">
        <f t="array" ref="G3924">_xlfn.XLOOKUP(A3925,Product!A:A,Product!D:D,"Bulunamadı")</f>
        <v>Riverhill House</v>
      </c>
      <c r="H3924" s="2">
        <f t="array" ref="H3924">_xlfn.XLOOKUP(A3926,Product!A:A,Product!E:E,"Bulunamadı")</f>
        <v>5.97</v>
      </c>
      <c r="I3924" s="2" t="str">
        <f t="shared" si="1"/>
        <v>111960 - Sports - Artificial Intelligence</v>
      </c>
      <c r="J3924" s="2">
        <f t="shared" si="2"/>
        <v>220.89</v>
      </c>
      <c r="K3924" s="17">
        <f t="shared" si="3"/>
        <v>1</v>
      </c>
      <c r="L3924" s="18"/>
    </row>
    <row r="3925" hidden="1">
      <c r="A3925" s="2">
        <f>IFERROR(__xludf.DUMMYFUNCTION("""COMPUTED_VALUE"""),108840.0)</f>
        <v>108840</v>
      </c>
      <c r="B3925" s="2">
        <f>IFERROR(__xludf.DUMMYFUNCTION("""COMPUTED_VALUE"""),0.0)</f>
        <v>0</v>
      </c>
      <c r="C3925" s="2">
        <f>IFERROR(__xludf.DUMMYFUNCTION("""COMPUTED_VALUE"""),971.0)</f>
        <v>971</v>
      </c>
      <c r="D3925" s="3">
        <f>IFERROR(__xludf.DUMMYFUNCTION("""COMPUTED_VALUE"""),650.0)</f>
        <v>650</v>
      </c>
      <c r="E3925" s="1" t="str">
        <f t="array" ref="E3925">_xlfn.XLOOKUP(A3925,Product!A:A,Product!B:B,"Bulunamadı")</f>
        <v>Sports</v>
      </c>
      <c r="F3925" s="1" t="str">
        <f t="array" ref="F3925">_xlfn.XLOOKUP(A3925,Product!A:A,Product!C:C,"Bulunamadı")</f>
        <v>Artificial Intelligence</v>
      </c>
      <c r="G3925" s="2" t="str">
        <f t="array" ref="G3925">_xlfn.XLOOKUP(A3926,Product!A:A,Product!D:D,"Bulunamadı")</f>
        <v>Riverhill House</v>
      </c>
      <c r="H3925" s="2">
        <f t="array" ref="H3925">_xlfn.XLOOKUP(A3927,Product!A:A,Product!E:E,"Bulunamadı")</f>
        <v>12.25</v>
      </c>
      <c r="I3925" s="2" t="str">
        <f t="shared" si="1"/>
        <v>108840 - Sports - Artificial Intelligence</v>
      </c>
      <c r="J3925" s="2">
        <f t="shared" si="2"/>
        <v>7962.5</v>
      </c>
      <c r="K3925" s="17">
        <f t="shared" si="3"/>
        <v>1</v>
      </c>
      <c r="L3925" s="18"/>
    </row>
    <row r="3926" hidden="1">
      <c r="A3926" s="2">
        <f>IFERROR(__xludf.DUMMYFUNCTION("""COMPUTED_VALUE"""),201044.0)</f>
        <v>201044</v>
      </c>
      <c r="B3926" s="2">
        <f>IFERROR(__xludf.DUMMYFUNCTION("""COMPUTED_VALUE"""),1.0)</f>
        <v>1</v>
      </c>
      <c r="C3926" s="2">
        <f>IFERROR(__xludf.DUMMYFUNCTION("""COMPUTED_VALUE"""),533.0)</f>
        <v>533</v>
      </c>
      <c r="D3926" s="3">
        <f>IFERROR(__xludf.DUMMYFUNCTION("""COMPUTED_VALUE"""),106.0)</f>
        <v>106</v>
      </c>
      <c r="E3926" s="1" t="str">
        <f t="array" ref="E3926">_xlfn.XLOOKUP(A3926,Product!A:A,Product!B:B,"Bulunamadı")</f>
        <v>Sports</v>
      </c>
      <c r="F3926" s="1" t="str">
        <f t="array" ref="F3926">_xlfn.XLOOKUP(A3926,Product!A:A,Product!C:C,"Bulunamadı")</f>
        <v>Artificial Intelligence</v>
      </c>
      <c r="G3926" s="2" t="str">
        <f t="array" ref="G3926">_xlfn.XLOOKUP(A3927,Product!A:A,Product!D:D,"Bulunamadı")</f>
        <v>Riverhill House</v>
      </c>
      <c r="H3926" s="2">
        <f t="array" ref="H3926">_xlfn.XLOOKUP(A3928,Product!A:A,Product!E:E,"Bulunamadı")</f>
        <v>12.06</v>
      </c>
      <c r="I3926" s="2" t="str">
        <f t="shared" si="1"/>
        <v>201044 - Sports - Artificial Intelligence</v>
      </c>
      <c r="J3926" s="2">
        <f t="shared" si="2"/>
        <v>1278.36</v>
      </c>
      <c r="K3926" s="17">
        <f t="shared" si="3"/>
        <v>1</v>
      </c>
      <c r="L3926" s="18"/>
    </row>
    <row r="3927" hidden="1">
      <c r="A3927" s="2">
        <f>IFERROR(__xludf.DUMMYFUNCTION("""COMPUTED_VALUE"""),81880.0)</f>
        <v>81880</v>
      </c>
      <c r="B3927" s="2">
        <f>IFERROR(__xludf.DUMMYFUNCTION("""COMPUTED_VALUE"""),0.0)</f>
        <v>0</v>
      </c>
      <c r="C3927" s="2">
        <f>IFERROR(__xludf.DUMMYFUNCTION("""COMPUTED_VALUE"""),193.0)</f>
        <v>193</v>
      </c>
      <c r="D3927" s="3">
        <f>IFERROR(__xludf.DUMMYFUNCTION("""COMPUTED_VALUE"""),2.0)</f>
        <v>2</v>
      </c>
      <c r="E3927" s="1" t="str">
        <f t="array" ref="E3927">_xlfn.XLOOKUP(A3927,Product!A:A,Product!B:B,"Bulunamadı")</f>
        <v>Sports</v>
      </c>
      <c r="F3927" s="1" t="str">
        <f t="array" ref="F3927">_xlfn.XLOOKUP(A3927,Product!A:A,Product!C:C,"Bulunamadı")</f>
        <v>Artificial Intelligence</v>
      </c>
      <c r="G3927" s="2" t="str">
        <f t="array" ref="G3927">_xlfn.XLOOKUP(A3928,Product!A:A,Product!D:D,"Bulunamadı")</f>
        <v>Riverhill House</v>
      </c>
      <c r="H3927" s="2">
        <f t="array" ref="H3927">_xlfn.XLOOKUP(A3929,Product!A:A,Product!E:E,"Bulunamadı")</f>
        <v>4.7</v>
      </c>
      <c r="I3927" s="2" t="str">
        <f t="shared" si="1"/>
        <v>81880 - Sports - Artificial Intelligence</v>
      </c>
      <c r="J3927" s="2">
        <f t="shared" si="2"/>
        <v>9.4</v>
      </c>
      <c r="K3927" s="17">
        <f t="shared" si="3"/>
        <v>1</v>
      </c>
      <c r="L3927" s="18"/>
    </row>
    <row r="3928" hidden="1">
      <c r="A3928" s="2">
        <f>IFERROR(__xludf.DUMMYFUNCTION("""COMPUTED_VALUE"""),81873.0)</f>
        <v>81873</v>
      </c>
      <c r="B3928" s="2">
        <f>IFERROR(__xludf.DUMMYFUNCTION("""COMPUTED_VALUE"""),1.0)</f>
        <v>1</v>
      </c>
      <c r="C3928" s="2">
        <f>IFERROR(__xludf.DUMMYFUNCTION("""COMPUTED_VALUE"""),353.0)</f>
        <v>353</v>
      </c>
      <c r="D3928" s="3">
        <f>IFERROR(__xludf.DUMMYFUNCTION("""COMPUTED_VALUE"""),325.0)</f>
        <v>325</v>
      </c>
      <c r="E3928" s="1" t="str">
        <f t="array" ref="E3928">_xlfn.XLOOKUP(A3928,Product!A:A,Product!B:B,"Bulunamadı")</f>
        <v>Sports</v>
      </c>
      <c r="F3928" s="1" t="str">
        <f t="array" ref="F3928">_xlfn.XLOOKUP(A3928,Product!A:A,Product!C:C,"Bulunamadı")</f>
        <v>Artificial Intelligence</v>
      </c>
      <c r="G3928" s="2" t="str">
        <f t="array" ref="G3928">_xlfn.XLOOKUP(A3929,Product!A:A,Product!D:D,"Bulunamadı")</f>
        <v>Riverhill House</v>
      </c>
      <c r="H3928" s="2">
        <f t="array" ref="H3928">_xlfn.XLOOKUP(A3930,Product!A:A,Product!E:E,"Bulunamadı")</f>
        <v>9.34</v>
      </c>
      <c r="I3928" s="2" t="str">
        <f t="shared" si="1"/>
        <v>81873 - Sports - Artificial Intelligence</v>
      </c>
      <c r="J3928" s="2">
        <f t="shared" si="2"/>
        <v>3035.5</v>
      </c>
      <c r="K3928" s="17">
        <f t="shared" si="3"/>
        <v>1</v>
      </c>
      <c r="L3928" s="18"/>
    </row>
    <row r="3929" hidden="1">
      <c r="A3929" s="2">
        <f>IFERROR(__xludf.DUMMYFUNCTION("""COMPUTED_VALUE"""),117613.0)</f>
        <v>117613</v>
      </c>
      <c r="B3929" s="2">
        <f>IFERROR(__xludf.DUMMYFUNCTION("""COMPUTED_VALUE"""),0.0)</f>
        <v>0</v>
      </c>
      <c r="C3929" s="2">
        <f>IFERROR(__xludf.DUMMYFUNCTION("""COMPUTED_VALUE"""),587.0)</f>
        <v>587</v>
      </c>
      <c r="D3929" s="3">
        <f>IFERROR(__xludf.DUMMYFUNCTION("""COMPUTED_VALUE"""),570.0)</f>
        <v>570</v>
      </c>
      <c r="E3929" s="1" t="str">
        <f t="array" ref="E3929">_xlfn.XLOOKUP(A3929,Product!A:A,Product!B:B,"Bulunamadı")</f>
        <v>Sports</v>
      </c>
      <c r="F3929" s="1" t="str">
        <f t="array" ref="F3929">_xlfn.XLOOKUP(A3929,Product!A:A,Product!C:C,"Bulunamadı")</f>
        <v>Artificial Intelligence</v>
      </c>
      <c r="G3929" s="2" t="str">
        <f t="array" ref="G3929">_xlfn.XLOOKUP(A3930,Product!A:A,Product!D:D,"Bulunamadı")</f>
        <v>Riverhill House</v>
      </c>
      <c r="H3929" s="2">
        <f t="array" ref="H3929">_xlfn.XLOOKUP(A3931,Product!A:A,Product!E:E,"Bulunamadı")</f>
        <v>7.32</v>
      </c>
      <c r="I3929" s="2" t="str">
        <f t="shared" si="1"/>
        <v>117613 - Sports - Artificial Intelligence</v>
      </c>
      <c r="J3929" s="2">
        <f t="shared" si="2"/>
        <v>4172.4</v>
      </c>
      <c r="K3929" s="17">
        <f t="shared" si="3"/>
        <v>1</v>
      </c>
      <c r="L3929" s="18"/>
    </row>
    <row r="3930" hidden="1">
      <c r="A3930" s="2">
        <f>IFERROR(__xludf.DUMMYFUNCTION("""COMPUTED_VALUE"""),81876.0)</f>
        <v>81876</v>
      </c>
      <c r="B3930" s="2">
        <f>IFERROR(__xludf.DUMMYFUNCTION("""COMPUTED_VALUE"""),0.0)</f>
        <v>0</v>
      </c>
      <c r="C3930" s="2">
        <f>IFERROR(__xludf.DUMMYFUNCTION("""COMPUTED_VALUE"""),753.0)</f>
        <v>753</v>
      </c>
      <c r="D3930" s="3">
        <f>IFERROR(__xludf.DUMMYFUNCTION("""COMPUTED_VALUE"""),691.0)</f>
        <v>691</v>
      </c>
      <c r="E3930" s="1" t="str">
        <f t="array" ref="E3930">_xlfn.XLOOKUP(A3930,Product!A:A,Product!B:B,"Bulunamadı")</f>
        <v>Sports</v>
      </c>
      <c r="F3930" s="1" t="str">
        <f t="array" ref="F3930">_xlfn.XLOOKUP(A3930,Product!A:A,Product!C:C,"Bulunamadı")</f>
        <v>Artificial Intelligence</v>
      </c>
      <c r="G3930" s="2" t="str">
        <f t="array" ref="G3930">_xlfn.XLOOKUP(A3931,Product!A:A,Product!D:D,"Bulunamadı")</f>
        <v>Riverhill House</v>
      </c>
      <c r="H3930" s="2">
        <f t="array" ref="H3930">_xlfn.XLOOKUP(A3932,Product!A:A,Product!E:E,"Bulunamadı")</f>
        <v>10.28</v>
      </c>
      <c r="I3930" s="2" t="str">
        <f t="shared" si="1"/>
        <v>81876 - Sports - Artificial Intelligence</v>
      </c>
      <c r="J3930" s="2">
        <f t="shared" si="2"/>
        <v>7103.48</v>
      </c>
      <c r="K3930" s="17">
        <f t="shared" si="3"/>
        <v>1</v>
      </c>
      <c r="L3930" s="18"/>
    </row>
    <row r="3931" hidden="1">
      <c r="A3931" s="2">
        <f>IFERROR(__xludf.DUMMYFUNCTION("""COMPUTED_VALUE"""),104050.0)</f>
        <v>104050</v>
      </c>
      <c r="B3931" s="2">
        <f>IFERROR(__xludf.DUMMYFUNCTION("""COMPUTED_VALUE"""),1.0)</f>
        <v>1</v>
      </c>
      <c r="C3931" s="2">
        <f>IFERROR(__xludf.DUMMYFUNCTION("""COMPUTED_VALUE"""),176.0)</f>
        <v>176</v>
      </c>
      <c r="D3931" s="3">
        <f>IFERROR(__xludf.DUMMYFUNCTION("""COMPUTED_VALUE"""),143.0)</f>
        <v>143</v>
      </c>
      <c r="E3931" s="1" t="str">
        <f t="array" ref="E3931">_xlfn.XLOOKUP(A3931,Product!A:A,Product!B:B,"Bulunamadı")</f>
        <v>Sports</v>
      </c>
      <c r="F3931" s="1" t="str">
        <f t="array" ref="F3931">_xlfn.XLOOKUP(A3931,Product!A:A,Product!C:C,"Bulunamadı")</f>
        <v>Artificial Intelligence</v>
      </c>
      <c r="G3931" s="2" t="str">
        <f t="array" ref="G3931">_xlfn.XLOOKUP(A3932,Product!A:A,Product!D:D,"Bulunamadı")</f>
        <v>Ironhill House</v>
      </c>
      <c r="H3931" s="2">
        <f t="array" ref="H3931">_xlfn.XLOOKUP(A3933,Product!A:A,Product!E:E,"Bulunamadı")</f>
        <v>13.16</v>
      </c>
      <c r="I3931" s="2" t="str">
        <f t="shared" si="1"/>
        <v>104050 - Sports - Artificial Intelligence</v>
      </c>
      <c r="J3931" s="2">
        <f t="shared" si="2"/>
        <v>1881.88</v>
      </c>
      <c r="K3931" s="17">
        <f t="shared" si="3"/>
        <v>1</v>
      </c>
      <c r="L3931" s="18"/>
    </row>
    <row r="3932" hidden="1">
      <c r="A3932" s="2">
        <f>IFERROR(__xludf.DUMMYFUNCTION("""COMPUTED_VALUE"""),111934.0)</f>
        <v>111934</v>
      </c>
      <c r="B3932" s="2">
        <f>IFERROR(__xludf.DUMMYFUNCTION("""COMPUTED_VALUE"""),0.0)</f>
        <v>0</v>
      </c>
      <c r="C3932" s="2">
        <f>IFERROR(__xludf.DUMMYFUNCTION("""COMPUTED_VALUE"""),677.0)</f>
        <v>677</v>
      </c>
      <c r="D3932" s="3">
        <f>IFERROR(__xludf.DUMMYFUNCTION("""COMPUTED_VALUE"""),593.0)</f>
        <v>593</v>
      </c>
      <c r="E3932" s="1" t="str">
        <f t="array" ref="E3932">_xlfn.XLOOKUP(A3932,Product!A:A,Product!B:B,"Bulunamadı")</f>
        <v>Sports</v>
      </c>
      <c r="F3932" s="1" t="str">
        <f t="array" ref="F3932">_xlfn.XLOOKUP(A3932,Product!A:A,Product!C:C,"Bulunamadı")</f>
        <v>Artificial Intelligence</v>
      </c>
      <c r="G3932" s="2" t="str">
        <f t="array" ref="G3932">_xlfn.XLOOKUP(A3933,Product!A:A,Product!D:D,"Bulunamadı")</f>
        <v>Ironhill House</v>
      </c>
      <c r="H3932" s="2">
        <f t="array" ref="H3932">_xlfn.XLOOKUP(A3934,Product!A:A,Product!E:E,"Bulunamadı")</f>
        <v>6.59</v>
      </c>
      <c r="I3932" s="2" t="str">
        <f t="shared" si="1"/>
        <v>111934 - Sports - Artificial Intelligence</v>
      </c>
      <c r="J3932" s="2">
        <f t="shared" si="2"/>
        <v>3907.87</v>
      </c>
      <c r="K3932" s="17">
        <f t="shared" si="3"/>
        <v>1</v>
      </c>
      <c r="L3932" s="18"/>
    </row>
    <row r="3933" hidden="1">
      <c r="A3933" s="2">
        <f>IFERROR(__xludf.DUMMYFUNCTION("""COMPUTED_VALUE"""),29819.0)</f>
        <v>29819</v>
      </c>
      <c r="B3933" s="2">
        <f>IFERROR(__xludf.DUMMYFUNCTION("""COMPUTED_VALUE"""),0.0)</f>
        <v>0</v>
      </c>
      <c r="C3933" s="2">
        <f>IFERROR(__xludf.DUMMYFUNCTION("""COMPUTED_VALUE"""),375.0)</f>
        <v>375</v>
      </c>
      <c r="D3933" s="3">
        <f>IFERROR(__xludf.DUMMYFUNCTION("""COMPUTED_VALUE"""),40.0)</f>
        <v>40</v>
      </c>
      <c r="E3933" s="1" t="str">
        <f t="array" ref="E3933">_xlfn.XLOOKUP(A3933,Product!A:A,Product!B:B,"Bulunamadı")</f>
        <v>Sports</v>
      </c>
      <c r="F3933" s="1" t="str">
        <f t="array" ref="F3933">_xlfn.XLOOKUP(A3933,Product!A:A,Product!C:C,"Bulunamadı")</f>
        <v>Artificial Intelligence</v>
      </c>
      <c r="G3933" s="2" t="str">
        <f t="array" ref="G3933">_xlfn.XLOOKUP(A3934,Product!A:A,Product!D:D,"Bulunamadı")</f>
        <v>Ironhill House</v>
      </c>
      <c r="H3933" s="2">
        <f t="array" ref="H3933">_xlfn.XLOOKUP(A3935,Product!A:A,Product!E:E,"Bulunamadı")</f>
        <v>13.7</v>
      </c>
      <c r="I3933" s="2" t="str">
        <f t="shared" si="1"/>
        <v>29819 - Sports - Artificial Intelligence</v>
      </c>
      <c r="J3933" s="2">
        <f t="shared" si="2"/>
        <v>548</v>
      </c>
      <c r="K3933" s="17">
        <f t="shared" si="3"/>
        <v>1</v>
      </c>
      <c r="L3933" s="18"/>
    </row>
    <row r="3934" hidden="1">
      <c r="A3934" s="2">
        <f>IFERROR(__xludf.DUMMYFUNCTION("""COMPUTED_VALUE"""),120392.0)</f>
        <v>120392</v>
      </c>
      <c r="B3934" s="2">
        <f>IFERROR(__xludf.DUMMYFUNCTION("""COMPUTED_VALUE"""),0.0)</f>
        <v>0</v>
      </c>
      <c r="C3934" s="2">
        <f>IFERROR(__xludf.DUMMYFUNCTION("""COMPUTED_VALUE"""),375.0)</f>
        <v>375</v>
      </c>
      <c r="D3934" s="3">
        <f>IFERROR(__xludf.DUMMYFUNCTION("""COMPUTED_VALUE"""),146.0)</f>
        <v>146</v>
      </c>
      <c r="E3934" s="1" t="str">
        <f t="array" ref="E3934">_xlfn.XLOOKUP(A3934,Product!A:A,Product!B:B,"Bulunamadı")</f>
        <v>Sports</v>
      </c>
      <c r="F3934" s="1" t="str">
        <f t="array" ref="F3934">_xlfn.XLOOKUP(A3934,Product!A:A,Product!C:C,"Bulunamadı")</f>
        <v>Artificial Intelligence</v>
      </c>
      <c r="G3934" s="2" t="str">
        <f t="array" ref="G3934">_xlfn.XLOOKUP(A3935,Product!A:A,Product!D:D,"Bulunamadı")</f>
        <v>Ironhill House</v>
      </c>
      <c r="H3934" s="2">
        <f t="array" ref="H3934">_xlfn.XLOOKUP(A3936,Product!A:A,Product!E:E,"Bulunamadı")</f>
        <v>11.19</v>
      </c>
      <c r="I3934" s="2" t="str">
        <f t="shared" si="1"/>
        <v>120392 - Sports - Artificial Intelligence</v>
      </c>
      <c r="J3934" s="2">
        <f t="shared" si="2"/>
        <v>1633.74</v>
      </c>
      <c r="K3934" s="17">
        <f t="shared" si="3"/>
        <v>1</v>
      </c>
      <c r="L3934" s="18"/>
    </row>
    <row r="3935" hidden="1">
      <c r="A3935" s="2">
        <f>IFERROR(__xludf.DUMMYFUNCTION("""COMPUTED_VALUE"""),29820.0)</f>
        <v>29820</v>
      </c>
      <c r="B3935" s="2">
        <f>IFERROR(__xludf.DUMMYFUNCTION("""COMPUTED_VALUE"""),1.0)</f>
        <v>1</v>
      </c>
      <c r="C3935" s="2">
        <f>IFERROR(__xludf.DUMMYFUNCTION("""COMPUTED_VALUE"""),376.0)</f>
        <v>376</v>
      </c>
      <c r="D3935" s="3">
        <f>IFERROR(__xludf.DUMMYFUNCTION("""COMPUTED_VALUE"""),340.0)</f>
        <v>340</v>
      </c>
      <c r="E3935" s="1" t="str">
        <f t="array" ref="E3935">_xlfn.XLOOKUP(A3935,Product!A:A,Product!B:B,"Bulunamadı")</f>
        <v>Sports</v>
      </c>
      <c r="F3935" s="1" t="str">
        <f t="array" ref="F3935">_xlfn.XLOOKUP(A3935,Product!A:A,Product!C:C,"Bulunamadı")</f>
        <v>Artificial Intelligence</v>
      </c>
      <c r="G3935" s="2" t="str">
        <f t="array" ref="G3935">_xlfn.XLOOKUP(A3936,Product!A:A,Product!D:D,"Bulunamadı")</f>
        <v>Silverpeak House</v>
      </c>
      <c r="H3935" s="2">
        <f t="array" ref="H3935">_xlfn.XLOOKUP(A3937,Product!A:A,Product!E:E,"Bulunamadı")</f>
        <v>7.63</v>
      </c>
      <c r="I3935" s="2" t="str">
        <f t="shared" si="1"/>
        <v>29820 - Sports - Artificial Intelligence</v>
      </c>
      <c r="J3935" s="2">
        <f t="shared" si="2"/>
        <v>2594.2</v>
      </c>
      <c r="K3935" s="17">
        <f t="shared" si="3"/>
        <v>1</v>
      </c>
      <c r="L3935" s="18"/>
    </row>
    <row r="3936" hidden="1">
      <c r="A3936" s="2">
        <f>IFERROR(__xludf.DUMMYFUNCTION("""COMPUTED_VALUE"""),83755.0)</f>
        <v>83755</v>
      </c>
      <c r="B3936" s="2">
        <f>IFERROR(__xludf.DUMMYFUNCTION("""COMPUTED_VALUE"""),0.0)</f>
        <v>0</v>
      </c>
      <c r="C3936" s="2">
        <f>IFERROR(__xludf.DUMMYFUNCTION("""COMPUTED_VALUE"""),103.0)</f>
        <v>103</v>
      </c>
      <c r="D3936" s="3">
        <f>IFERROR(__xludf.DUMMYFUNCTION("""COMPUTED_VALUE"""),59.0)</f>
        <v>59</v>
      </c>
      <c r="E3936" s="1" t="str">
        <f t="array" ref="E3936">_xlfn.XLOOKUP(A3936,Product!A:A,Product!B:B,"Bulunamadı")</f>
        <v>Sports</v>
      </c>
      <c r="F3936" s="1" t="str">
        <f t="array" ref="F3936">_xlfn.XLOOKUP(A3936,Product!A:A,Product!C:C,"Bulunamadı")</f>
        <v>Artificial Intelligence</v>
      </c>
      <c r="G3936" s="2" t="str">
        <f t="array" ref="G3936">_xlfn.XLOOKUP(A3937,Product!A:A,Product!D:D,"Bulunamadı")</f>
        <v>Silverpeak House</v>
      </c>
      <c r="H3936" s="2">
        <f t="array" ref="H3936">_xlfn.XLOOKUP(A3938,Product!A:A,Product!E:E,"Bulunamadı")</f>
        <v>8.89</v>
      </c>
      <c r="I3936" s="2" t="str">
        <f t="shared" si="1"/>
        <v>83755 - Sports - Artificial Intelligence</v>
      </c>
      <c r="J3936" s="2">
        <f t="shared" si="2"/>
        <v>524.51</v>
      </c>
      <c r="K3936" s="17">
        <f t="shared" si="3"/>
        <v>1</v>
      </c>
      <c r="L3936" s="18"/>
    </row>
    <row r="3937" hidden="1">
      <c r="A3937" s="2">
        <f>IFERROR(__xludf.DUMMYFUNCTION("""COMPUTED_VALUE"""),111941.0)</f>
        <v>111941</v>
      </c>
      <c r="B3937" s="2">
        <f>IFERROR(__xludf.DUMMYFUNCTION("""COMPUTED_VALUE"""),0.0)</f>
        <v>0</v>
      </c>
      <c r="C3937" s="2">
        <f>IFERROR(__xludf.DUMMYFUNCTION("""COMPUTED_VALUE"""),406.0)</f>
        <v>406</v>
      </c>
      <c r="D3937" s="3">
        <f>IFERROR(__xludf.DUMMYFUNCTION("""COMPUTED_VALUE"""),379.0)</f>
        <v>379</v>
      </c>
      <c r="E3937" s="1" t="str">
        <f t="array" ref="E3937">_xlfn.XLOOKUP(A3937,Product!A:A,Product!B:B,"Bulunamadı")</f>
        <v>Sports</v>
      </c>
      <c r="F3937" s="1" t="str">
        <f t="array" ref="F3937">_xlfn.XLOOKUP(A3937,Product!A:A,Product!C:C,"Bulunamadı")</f>
        <v>Artificial Intelligence</v>
      </c>
      <c r="G3937" s="2" t="str">
        <f t="array" ref="G3937">_xlfn.XLOOKUP(A3938,Product!A:A,Product!D:D,"Bulunamadı")</f>
        <v>Silverpeak House</v>
      </c>
      <c r="H3937" s="2">
        <f t="array" ref="H3937">_xlfn.XLOOKUP(A3939,Product!A:A,Product!E:E,"Bulunamadı")</f>
        <v>6.58</v>
      </c>
      <c r="I3937" s="2" t="str">
        <f t="shared" si="1"/>
        <v>111941 - Sports - Artificial Intelligence</v>
      </c>
      <c r="J3937" s="2">
        <f t="shared" si="2"/>
        <v>2493.82</v>
      </c>
      <c r="K3937" s="17">
        <f t="shared" si="3"/>
        <v>1</v>
      </c>
      <c r="L3937" s="18"/>
    </row>
    <row r="3938" hidden="1">
      <c r="A3938" s="2">
        <f>IFERROR(__xludf.DUMMYFUNCTION("""COMPUTED_VALUE"""),80858.0)</f>
        <v>80858</v>
      </c>
      <c r="B3938" s="2">
        <f>IFERROR(__xludf.DUMMYFUNCTION("""COMPUTED_VALUE"""),1.0)</f>
        <v>1</v>
      </c>
      <c r="C3938" s="2">
        <f>IFERROR(__xludf.DUMMYFUNCTION("""COMPUTED_VALUE"""),105.0)</f>
        <v>105</v>
      </c>
      <c r="D3938" s="3">
        <f>IFERROR(__xludf.DUMMYFUNCTION("""COMPUTED_VALUE"""),75.0)</f>
        <v>75</v>
      </c>
      <c r="E3938" s="1" t="str">
        <f t="array" ref="E3938">_xlfn.XLOOKUP(A3938,Product!A:A,Product!B:B,"Bulunamadı")</f>
        <v>Sports</v>
      </c>
      <c r="F3938" s="1" t="str">
        <f t="array" ref="F3938">_xlfn.XLOOKUP(A3938,Product!A:A,Product!C:C,"Bulunamadı")</f>
        <v>Artificial Intelligence</v>
      </c>
      <c r="G3938" s="2" t="str">
        <f t="array" ref="G3938">_xlfn.XLOOKUP(A3939,Product!A:A,Product!D:D,"Bulunamadı")</f>
        <v>Silverpeak House</v>
      </c>
      <c r="H3938" s="2">
        <f t="array" ref="H3938">_xlfn.XLOOKUP(A3940,Product!A:A,Product!E:E,"Bulunamadı")</f>
        <v>5.23</v>
      </c>
      <c r="I3938" s="2" t="str">
        <f t="shared" si="1"/>
        <v>80858 - Sports - Artificial Intelligence</v>
      </c>
      <c r="J3938" s="2">
        <f t="shared" si="2"/>
        <v>392.25</v>
      </c>
      <c r="K3938" s="17">
        <f t="shared" si="3"/>
        <v>1</v>
      </c>
      <c r="L3938" s="18"/>
    </row>
    <row r="3939" hidden="1">
      <c r="A3939" s="2">
        <f>IFERROR(__xludf.DUMMYFUNCTION("""COMPUTED_VALUE"""),81902.0)</f>
        <v>81902</v>
      </c>
      <c r="B3939" s="2">
        <f>IFERROR(__xludf.DUMMYFUNCTION("""COMPUTED_VALUE"""),0.0)</f>
        <v>0</v>
      </c>
      <c r="C3939" s="2">
        <f>IFERROR(__xludf.DUMMYFUNCTION("""COMPUTED_VALUE"""),890.0)</f>
        <v>890</v>
      </c>
      <c r="D3939" s="3">
        <f>IFERROR(__xludf.DUMMYFUNCTION("""COMPUTED_VALUE"""),750.0)</f>
        <v>750</v>
      </c>
      <c r="E3939" s="1" t="str">
        <f t="array" ref="E3939">_xlfn.XLOOKUP(A3939,Product!A:A,Product!B:B,"Bulunamadı")</f>
        <v>Sports</v>
      </c>
      <c r="F3939" s="1" t="str">
        <f t="array" ref="F3939">_xlfn.XLOOKUP(A3939,Product!A:A,Product!C:C,"Bulunamadı")</f>
        <v>Artificial Intelligence</v>
      </c>
      <c r="G3939" s="2" t="str">
        <f t="array" ref="G3939">_xlfn.XLOOKUP(A3940,Product!A:A,Product!D:D,"Bulunamadı")</f>
        <v>Silverpeak House</v>
      </c>
      <c r="H3939" s="2">
        <f t="array" ref="H3939">_xlfn.XLOOKUP(A3941,Product!A:A,Product!E:E,"Bulunamadı")</f>
        <v>11.92</v>
      </c>
      <c r="I3939" s="2" t="str">
        <f t="shared" si="1"/>
        <v>81902 - Sports - Artificial Intelligence</v>
      </c>
      <c r="J3939" s="2">
        <f t="shared" si="2"/>
        <v>8940</v>
      </c>
      <c r="K3939" s="17">
        <f t="shared" si="3"/>
        <v>1</v>
      </c>
      <c r="L3939" s="18"/>
    </row>
    <row r="3940" hidden="1">
      <c r="A3940" s="2">
        <f>IFERROR(__xludf.DUMMYFUNCTION("""COMPUTED_VALUE"""),83754.0)</f>
        <v>83754</v>
      </c>
      <c r="B3940" s="2">
        <f>IFERROR(__xludf.DUMMYFUNCTION("""COMPUTED_VALUE"""),1.0)</f>
        <v>1</v>
      </c>
      <c r="C3940" s="2">
        <f>IFERROR(__xludf.DUMMYFUNCTION("""COMPUTED_VALUE"""),609.0)</f>
        <v>609</v>
      </c>
      <c r="D3940" s="3">
        <f>IFERROR(__xludf.DUMMYFUNCTION("""COMPUTED_VALUE"""),469.0)</f>
        <v>469</v>
      </c>
      <c r="E3940" s="1" t="str">
        <f t="array" ref="E3940">_xlfn.XLOOKUP(A3940,Product!A:A,Product!B:B,"Bulunamadı")</f>
        <v>Sports</v>
      </c>
      <c r="F3940" s="1" t="str">
        <f t="array" ref="F3940">_xlfn.XLOOKUP(A3940,Product!A:A,Product!C:C,"Bulunamadı")</f>
        <v>Artificial Intelligence</v>
      </c>
      <c r="G3940" s="2" t="str">
        <f t="array" ref="G3940">_xlfn.XLOOKUP(A3941,Product!A:A,Product!D:D,"Bulunamadı")</f>
        <v>Silverpeak House</v>
      </c>
      <c r="H3940" s="2">
        <f t="array" ref="H3940">_xlfn.XLOOKUP(A3942,Product!A:A,Product!E:E,"Bulunamadı")</f>
        <v>10.15</v>
      </c>
      <c r="I3940" s="2" t="str">
        <f t="shared" si="1"/>
        <v>83754 - Sports - Artificial Intelligence</v>
      </c>
      <c r="J3940" s="2">
        <f t="shared" si="2"/>
        <v>4760.35</v>
      </c>
      <c r="K3940" s="17">
        <f t="shared" si="3"/>
        <v>1</v>
      </c>
      <c r="L3940" s="18"/>
    </row>
    <row r="3941" hidden="1">
      <c r="A3941" s="2">
        <f>IFERROR(__xludf.DUMMYFUNCTION("""COMPUTED_VALUE"""),116233.0)</f>
        <v>116233</v>
      </c>
      <c r="B3941" s="2">
        <f>IFERROR(__xludf.DUMMYFUNCTION("""COMPUTED_VALUE"""),0.0)</f>
        <v>0</v>
      </c>
      <c r="C3941" s="2">
        <f>IFERROR(__xludf.DUMMYFUNCTION("""COMPUTED_VALUE"""),68.0)</f>
        <v>68</v>
      </c>
      <c r="D3941" s="3">
        <f>IFERROR(__xludf.DUMMYFUNCTION("""COMPUTED_VALUE"""),19.0)</f>
        <v>19</v>
      </c>
      <c r="E3941" s="1" t="str">
        <f t="array" ref="E3941">_xlfn.XLOOKUP(A3941,Product!A:A,Product!B:B,"Bulunamadı")</f>
        <v>Sports</v>
      </c>
      <c r="F3941" s="1" t="str">
        <f t="array" ref="F3941">_xlfn.XLOOKUP(A3941,Product!A:A,Product!C:C,"Bulunamadı")</f>
        <v>Artificial Intelligence</v>
      </c>
      <c r="G3941" s="2" t="str">
        <f t="array" ref="G3941">_xlfn.XLOOKUP(A3942,Product!A:A,Product!D:D,"Bulunamadı")</f>
        <v>Silverpeak House</v>
      </c>
      <c r="H3941" s="2">
        <f t="array" ref="H3941">_xlfn.XLOOKUP(A3943,Product!A:A,Product!E:E,"Bulunamadı")</f>
        <v>9.45</v>
      </c>
      <c r="I3941" s="2" t="str">
        <f t="shared" si="1"/>
        <v>116233 - Sports - Artificial Intelligence</v>
      </c>
      <c r="J3941" s="2">
        <f t="shared" si="2"/>
        <v>179.55</v>
      </c>
      <c r="K3941" s="17">
        <f t="shared" si="3"/>
        <v>1</v>
      </c>
      <c r="L3941" s="18"/>
    </row>
    <row r="3942" hidden="1">
      <c r="A3942" s="2">
        <f>IFERROR(__xludf.DUMMYFUNCTION("""COMPUTED_VALUE"""),112192.0)</f>
        <v>112192</v>
      </c>
      <c r="B3942" s="2">
        <f>IFERROR(__xludf.DUMMYFUNCTION("""COMPUTED_VALUE"""),0.0)</f>
        <v>0</v>
      </c>
      <c r="C3942" s="2">
        <f>IFERROR(__xludf.DUMMYFUNCTION("""COMPUTED_VALUE"""),483.0)</f>
        <v>483</v>
      </c>
      <c r="D3942" s="3">
        <f>IFERROR(__xludf.DUMMYFUNCTION("""COMPUTED_VALUE"""),286.0)</f>
        <v>286</v>
      </c>
      <c r="E3942" s="1" t="str">
        <f t="array" ref="E3942">_xlfn.XLOOKUP(A3942,Product!A:A,Product!B:B,"Bulunamadı")</f>
        <v>Sports</v>
      </c>
      <c r="F3942" s="1" t="str">
        <f t="array" ref="F3942">_xlfn.XLOOKUP(A3942,Product!A:A,Product!C:C,"Bulunamadı")</f>
        <v>Artificial Intelligence</v>
      </c>
      <c r="G3942" s="2" t="str">
        <f t="array" ref="G3942">_xlfn.XLOOKUP(A3943,Product!A:A,Product!D:D,"Bulunamadı")</f>
        <v>Silverpeak House</v>
      </c>
      <c r="H3942" s="2">
        <f t="array" ref="H3942">_xlfn.XLOOKUP(A3944,Product!A:A,Product!E:E,"Bulunamadı")</f>
        <v>11.66</v>
      </c>
      <c r="I3942" s="2" t="str">
        <f t="shared" si="1"/>
        <v>112192 - Sports - Artificial Intelligence</v>
      </c>
      <c r="J3942" s="2">
        <f t="shared" si="2"/>
        <v>3334.76</v>
      </c>
      <c r="K3942" s="17">
        <f t="shared" si="3"/>
        <v>1</v>
      </c>
      <c r="L3942" s="18"/>
    </row>
    <row r="3943" hidden="1">
      <c r="A3943" s="2">
        <f>IFERROR(__xludf.DUMMYFUNCTION("""COMPUTED_VALUE"""),119728.0)</f>
        <v>119728</v>
      </c>
      <c r="B3943" s="2">
        <f>IFERROR(__xludf.DUMMYFUNCTION("""COMPUTED_VALUE"""),1.0)</f>
        <v>1</v>
      </c>
      <c r="C3943" s="2">
        <f>IFERROR(__xludf.DUMMYFUNCTION("""COMPUTED_VALUE"""),125.0)</f>
        <v>125</v>
      </c>
      <c r="D3943" s="3">
        <f>IFERROR(__xludf.DUMMYFUNCTION("""COMPUTED_VALUE"""),14.0)</f>
        <v>14</v>
      </c>
      <c r="E3943" s="1" t="str">
        <f t="array" ref="E3943">_xlfn.XLOOKUP(A3943,Product!A:A,Product!B:B,"Bulunamadı")</f>
        <v>Sports</v>
      </c>
      <c r="F3943" s="1" t="str">
        <f t="array" ref="F3943">_xlfn.XLOOKUP(A3943,Product!A:A,Product!C:C,"Bulunamadı")</f>
        <v>Artificial Intelligence</v>
      </c>
      <c r="G3943" s="2" t="str">
        <f t="array" ref="G3943">_xlfn.XLOOKUP(A3944,Product!A:A,Product!D:D,"Bulunamadı")</f>
        <v>Silverpeak House</v>
      </c>
      <c r="H3943" s="2">
        <f t="array" ref="H3943">_xlfn.XLOOKUP(A3945,Product!A:A,Product!E:E,"Bulunamadı")</f>
        <v>7.9</v>
      </c>
      <c r="I3943" s="2" t="str">
        <f t="shared" si="1"/>
        <v>119728 - Sports - Artificial Intelligence</v>
      </c>
      <c r="J3943" s="2">
        <f t="shared" si="2"/>
        <v>110.6</v>
      </c>
      <c r="K3943" s="17">
        <f t="shared" si="3"/>
        <v>1</v>
      </c>
      <c r="L3943" s="18"/>
    </row>
    <row r="3944" hidden="1">
      <c r="A3944" s="2">
        <f>IFERROR(__xludf.DUMMYFUNCTION("""COMPUTED_VALUE"""),81901.0)</f>
        <v>81901</v>
      </c>
      <c r="B3944" s="2">
        <f>IFERROR(__xludf.DUMMYFUNCTION("""COMPUTED_VALUE"""),0.0)</f>
        <v>0</v>
      </c>
      <c r="C3944" s="2">
        <f>IFERROR(__xludf.DUMMYFUNCTION("""COMPUTED_VALUE"""),819.0)</f>
        <v>819</v>
      </c>
      <c r="D3944" s="3">
        <f>IFERROR(__xludf.DUMMYFUNCTION("""COMPUTED_VALUE"""),588.0)</f>
        <v>588</v>
      </c>
      <c r="E3944" s="1" t="str">
        <f t="array" ref="E3944">_xlfn.XLOOKUP(A3944,Product!A:A,Product!B:B,"Bulunamadı")</f>
        <v>Sports</v>
      </c>
      <c r="F3944" s="1" t="str">
        <f t="array" ref="F3944">_xlfn.XLOOKUP(A3944,Product!A:A,Product!C:C,"Bulunamadı")</f>
        <v>Artificial Intelligence</v>
      </c>
      <c r="G3944" s="2" t="str">
        <f t="array" ref="G3944">_xlfn.XLOOKUP(A3945,Product!A:A,Product!D:D,"Bulunamadı")</f>
        <v>Silverpeak House</v>
      </c>
      <c r="H3944" s="2">
        <f t="array" ref="H3944">_xlfn.XLOOKUP(A3946,Product!A:A,Product!E:E,"Bulunamadı")</f>
        <v>11.71</v>
      </c>
      <c r="I3944" s="2" t="str">
        <f t="shared" si="1"/>
        <v>81901 - Sports - Artificial Intelligence</v>
      </c>
      <c r="J3944" s="2">
        <f t="shared" si="2"/>
        <v>6885.48</v>
      </c>
      <c r="K3944" s="17">
        <f t="shared" si="3"/>
        <v>1</v>
      </c>
      <c r="L3944" s="18"/>
    </row>
    <row r="3945" hidden="1">
      <c r="A3945" s="2">
        <f>IFERROR(__xludf.DUMMYFUNCTION("""COMPUTED_VALUE"""),141878.0)</f>
        <v>141878</v>
      </c>
      <c r="B3945" s="2">
        <f>IFERROR(__xludf.DUMMYFUNCTION("""COMPUTED_VALUE"""),0.0)</f>
        <v>0</v>
      </c>
      <c r="C3945" s="2">
        <f>IFERROR(__xludf.DUMMYFUNCTION("""COMPUTED_VALUE"""),272.0)</f>
        <v>272</v>
      </c>
      <c r="D3945" s="3">
        <f>IFERROR(__xludf.DUMMYFUNCTION("""COMPUTED_VALUE"""),123.0)</f>
        <v>123</v>
      </c>
      <c r="E3945" s="1" t="str">
        <f t="array" ref="E3945">_xlfn.XLOOKUP(A3945,Product!A:A,Product!B:B,"Bulunamadı")</f>
        <v>Sports</v>
      </c>
      <c r="F3945" s="1" t="str">
        <f t="array" ref="F3945">_xlfn.XLOOKUP(A3945,Product!A:A,Product!C:C,"Bulunamadı")</f>
        <v>Artificial Intelligence</v>
      </c>
      <c r="G3945" s="2" t="str">
        <f t="array" ref="G3945">_xlfn.XLOOKUP(A3946,Product!A:A,Product!D:D,"Bulunamadı")</f>
        <v>Silverpeak House</v>
      </c>
      <c r="H3945" s="2">
        <f t="array" ref="H3945">_xlfn.XLOOKUP(A3947,Product!A:A,Product!E:E,"Bulunamadı")</f>
        <v>4.9</v>
      </c>
      <c r="I3945" s="2" t="str">
        <f t="shared" si="1"/>
        <v>141878 - Sports - Artificial Intelligence</v>
      </c>
      <c r="J3945" s="2">
        <f t="shared" si="2"/>
        <v>602.7</v>
      </c>
      <c r="K3945" s="17">
        <f t="shared" si="3"/>
        <v>1</v>
      </c>
      <c r="L3945" s="18"/>
    </row>
    <row r="3946" hidden="1">
      <c r="A3946" s="2">
        <f>IFERROR(__xludf.DUMMYFUNCTION("""COMPUTED_VALUE"""),116236.0)</f>
        <v>116236</v>
      </c>
      <c r="B3946" s="2">
        <f>IFERROR(__xludf.DUMMYFUNCTION("""COMPUTED_VALUE"""),0.0)</f>
        <v>0</v>
      </c>
      <c r="C3946" s="2">
        <f>IFERROR(__xludf.DUMMYFUNCTION("""COMPUTED_VALUE"""),443.0)</f>
        <v>443</v>
      </c>
      <c r="D3946" s="3">
        <f>IFERROR(__xludf.DUMMYFUNCTION("""COMPUTED_VALUE"""),65.0)</f>
        <v>65</v>
      </c>
      <c r="E3946" s="1" t="str">
        <f t="array" ref="E3946">_xlfn.XLOOKUP(A3946,Product!A:A,Product!B:B,"Bulunamadı")</f>
        <v>Sports</v>
      </c>
      <c r="F3946" s="1" t="str">
        <f t="array" ref="F3946">_xlfn.XLOOKUP(A3946,Product!A:A,Product!C:C,"Bulunamadı")</f>
        <v>Artificial Intelligence</v>
      </c>
      <c r="G3946" s="2" t="str">
        <f t="array" ref="G3946">_xlfn.XLOOKUP(A3947,Product!A:A,Product!D:D,"Bulunamadı")</f>
        <v>Silverpeak House</v>
      </c>
      <c r="H3946" s="2">
        <f t="array" ref="H3946">_xlfn.XLOOKUP(A3948,Product!A:A,Product!E:E,"Bulunamadı")</f>
        <v>12.95</v>
      </c>
      <c r="I3946" s="2" t="str">
        <f t="shared" si="1"/>
        <v>116236 - Sports - Artificial Intelligence</v>
      </c>
      <c r="J3946" s="2">
        <f t="shared" si="2"/>
        <v>841.75</v>
      </c>
      <c r="K3946" s="17">
        <f t="shared" si="3"/>
        <v>1</v>
      </c>
      <c r="L3946" s="18"/>
    </row>
    <row r="3947" hidden="1">
      <c r="A3947" s="2">
        <f>IFERROR(__xludf.DUMMYFUNCTION("""COMPUTED_VALUE"""),120751.0)</f>
        <v>120751</v>
      </c>
      <c r="B3947" s="2">
        <f>IFERROR(__xludf.DUMMYFUNCTION("""COMPUTED_VALUE"""),0.0)</f>
        <v>0</v>
      </c>
      <c r="C3947" s="2">
        <f>IFERROR(__xludf.DUMMYFUNCTION("""COMPUTED_VALUE"""),278.0)</f>
        <v>278</v>
      </c>
      <c r="D3947" s="3">
        <f>IFERROR(__xludf.DUMMYFUNCTION("""COMPUTED_VALUE"""),31.0)</f>
        <v>31</v>
      </c>
      <c r="E3947" s="1" t="str">
        <f t="array" ref="E3947">_xlfn.XLOOKUP(A3947,Product!A:A,Product!B:B,"Bulunamadı")</f>
        <v>Sports</v>
      </c>
      <c r="F3947" s="1" t="str">
        <f t="array" ref="F3947">_xlfn.XLOOKUP(A3947,Product!A:A,Product!C:C,"Bulunamadı")</f>
        <v>Artificial Intelligence</v>
      </c>
      <c r="G3947" s="2" t="str">
        <f t="array" ref="G3947">_xlfn.XLOOKUP(A3948,Product!A:A,Product!D:D,"Bulunamadı")</f>
        <v>Silverpeak House</v>
      </c>
      <c r="H3947" s="2">
        <f t="array" ref="H3947">_xlfn.XLOOKUP(A3949,Product!A:A,Product!E:E,"Bulunamadı")</f>
        <v>5.69</v>
      </c>
      <c r="I3947" s="2" t="str">
        <f t="shared" si="1"/>
        <v>120751 - Sports - Artificial Intelligence</v>
      </c>
      <c r="J3947" s="2">
        <f t="shared" si="2"/>
        <v>176.39</v>
      </c>
      <c r="K3947" s="17">
        <f t="shared" si="3"/>
        <v>1</v>
      </c>
      <c r="L3947" s="18"/>
    </row>
    <row r="3948" hidden="1">
      <c r="A3948" s="2">
        <f>IFERROR(__xludf.DUMMYFUNCTION("""COMPUTED_VALUE"""),80756.0)</f>
        <v>80756</v>
      </c>
      <c r="B3948" s="2">
        <f>IFERROR(__xludf.DUMMYFUNCTION("""COMPUTED_VALUE"""),1.0)</f>
        <v>1</v>
      </c>
      <c r="C3948" s="2">
        <f>IFERROR(__xludf.DUMMYFUNCTION("""COMPUTED_VALUE"""),311.0)</f>
        <v>311</v>
      </c>
      <c r="D3948" s="3">
        <f>IFERROR(__xludf.DUMMYFUNCTION("""COMPUTED_VALUE"""),242.0)</f>
        <v>242</v>
      </c>
      <c r="E3948" s="1" t="str">
        <f t="array" ref="E3948">_xlfn.XLOOKUP(A3948,Product!A:A,Product!B:B,"Bulunamadı")</f>
        <v>Sports</v>
      </c>
      <c r="F3948" s="1" t="str">
        <f t="array" ref="F3948">_xlfn.XLOOKUP(A3948,Product!A:A,Product!C:C,"Bulunamadı")</f>
        <v>Artificial Intelligence</v>
      </c>
      <c r="G3948" s="2" t="str">
        <f t="array" ref="G3948">_xlfn.XLOOKUP(A3949,Product!A:A,Product!D:D,"Bulunamadı")</f>
        <v>Silverpeak House</v>
      </c>
      <c r="H3948" s="2">
        <f t="array" ref="H3948">_xlfn.XLOOKUP(A3950,Product!A:A,Product!E:E,"Bulunamadı")</f>
        <v>8.04</v>
      </c>
      <c r="I3948" s="2" t="str">
        <f t="shared" si="1"/>
        <v>80756 - Sports - Artificial Intelligence</v>
      </c>
      <c r="J3948" s="2">
        <f t="shared" si="2"/>
        <v>1945.68</v>
      </c>
      <c r="K3948" s="17">
        <f t="shared" si="3"/>
        <v>1</v>
      </c>
      <c r="L3948" s="18"/>
    </row>
    <row r="3949" hidden="1">
      <c r="A3949" s="2">
        <f>IFERROR(__xludf.DUMMYFUNCTION("""COMPUTED_VALUE"""),119729.0)</f>
        <v>119729</v>
      </c>
      <c r="B3949" s="2">
        <f>IFERROR(__xludf.DUMMYFUNCTION("""COMPUTED_VALUE"""),1.0)</f>
        <v>1</v>
      </c>
      <c r="C3949" s="2">
        <f>IFERROR(__xludf.DUMMYFUNCTION("""COMPUTED_VALUE"""),255.0)</f>
        <v>255</v>
      </c>
      <c r="D3949" s="3">
        <f>IFERROR(__xludf.DUMMYFUNCTION("""COMPUTED_VALUE"""),181.0)</f>
        <v>181</v>
      </c>
      <c r="E3949" s="1" t="str">
        <f t="array" ref="E3949">_xlfn.XLOOKUP(A3949,Product!A:A,Product!B:B,"Bulunamadı")</f>
        <v>Sports</v>
      </c>
      <c r="F3949" s="1" t="str">
        <f t="array" ref="F3949">_xlfn.XLOOKUP(A3949,Product!A:A,Product!C:C,"Bulunamadı")</f>
        <v>Artificial Intelligence</v>
      </c>
      <c r="G3949" s="2" t="str">
        <f t="array" ref="G3949">_xlfn.XLOOKUP(A3950,Product!A:A,Product!D:D,"Bulunamadı")</f>
        <v>Silverpeak House</v>
      </c>
      <c r="H3949" s="2">
        <f t="array" ref="H3949">_xlfn.XLOOKUP(A3951,Product!A:A,Product!E:E,"Bulunamadı")</f>
        <v>5.92</v>
      </c>
      <c r="I3949" s="2" t="str">
        <f t="shared" si="1"/>
        <v>119729 - Sports - Artificial Intelligence</v>
      </c>
      <c r="J3949" s="2">
        <f t="shared" si="2"/>
        <v>1071.52</v>
      </c>
      <c r="K3949" s="17">
        <f t="shared" si="3"/>
        <v>1</v>
      </c>
      <c r="L3949" s="18"/>
    </row>
    <row r="3950" hidden="1">
      <c r="A3950" s="2">
        <f>IFERROR(__xludf.DUMMYFUNCTION("""COMPUTED_VALUE"""),119028.0)</f>
        <v>119028</v>
      </c>
      <c r="B3950" s="2">
        <f>IFERROR(__xludf.DUMMYFUNCTION("""COMPUTED_VALUE"""),1.0)</f>
        <v>1</v>
      </c>
      <c r="C3950" s="2">
        <f>IFERROR(__xludf.DUMMYFUNCTION("""COMPUTED_VALUE"""),867.0)</f>
        <v>867</v>
      </c>
      <c r="D3950" s="3">
        <f>IFERROR(__xludf.DUMMYFUNCTION("""COMPUTED_VALUE"""),649.0)</f>
        <v>649</v>
      </c>
      <c r="E3950" s="1" t="str">
        <f t="array" ref="E3950">_xlfn.XLOOKUP(A3950,Product!A:A,Product!B:B,"Bulunamadı")</f>
        <v>Sports</v>
      </c>
      <c r="F3950" s="1" t="str">
        <f t="array" ref="F3950">_xlfn.XLOOKUP(A3950,Product!A:A,Product!C:C,"Bulunamadı")</f>
        <v>Artificial Intelligence</v>
      </c>
      <c r="G3950" s="2" t="str">
        <f t="array" ref="G3950">_xlfn.XLOOKUP(A3951,Product!A:A,Product!D:D,"Bulunamadı")</f>
        <v>Northpeak House</v>
      </c>
      <c r="H3950" s="2">
        <f t="array" ref="H3950">_xlfn.XLOOKUP(A3952,Product!A:A,Product!E:E,"Bulunamadı")</f>
        <v>6.17</v>
      </c>
      <c r="I3950" s="2" t="str">
        <f t="shared" si="1"/>
        <v>119028 - Sports - Artificial Intelligence</v>
      </c>
      <c r="J3950" s="2">
        <f t="shared" si="2"/>
        <v>4004.33</v>
      </c>
      <c r="K3950" s="17">
        <f t="shared" si="3"/>
        <v>1</v>
      </c>
      <c r="L3950" s="18"/>
    </row>
    <row r="3951" hidden="1">
      <c r="A3951" s="2">
        <f>IFERROR(__xludf.DUMMYFUNCTION("""COMPUTED_VALUE"""),116957.0)</f>
        <v>116957</v>
      </c>
      <c r="B3951" s="2">
        <f>IFERROR(__xludf.DUMMYFUNCTION("""COMPUTED_VALUE"""),0.0)</f>
        <v>0</v>
      </c>
      <c r="C3951" s="2">
        <f>IFERROR(__xludf.DUMMYFUNCTION("""COMPUTED_VALUE"""),820.0)</f>
        <v>820</v>
      </c>
      <c r="D3951" s="3">
        <f>IFERROR(__xludf.DUMMYFUNCTION("""COMPUTED_VALUE"""),92.0)</f>
        <v>92</v>
      </c>
      <c r="E3951" s="1" t="str">
        <f t="array" ref="E3951">_xlfn.XLOOKUP(A3951,Product!A:A,Product!B:B,"Bulunamadı")</f>
        <v>Sports</v>
      </c>
      <c r="F3951" s="1" t="str">
        <f t="array" ref="F3951">_xlfn.XLOOKUP(A3951,Product!A:A,Product!C:C,"Bulunamadı")</f>
        <v>Artificial Intelligence</v>
      </c>
      <c r="G3951" s="2" t="str">
        <f t="array" ref="G3951">_xlfn.XLOOKUP(A3952,Product!A:A,Product!D:D,"Bulunamadı")</f>
        <v>Northpeak House</v>
      </c>
      <c r="H3951" s="2">
        <f t="array" ref="H3951">_xlfn.XLOOKUP(A3953,Product!A:A,Product!E:E,"Bulunamadı")</f>
        <v>7.67</v>
      </c>
      <c r="I3951" s="2" t="str">
        <f t="shared" si="1"/>
        <v>116957 - Sports - Artificial Intelligence</v>
      </c>
      <c r="J3951" s="2">
        <f t="shared" si="2"/>
        <v>705.64</v>
      </c>
      <c r="K3951" s="17">
        <f t="shared" si="3"/>
        <v>1</v>
      </c>
      <c r="L3951" s="18"/>
    </row>
    <row r="3952" hidden="1">
      <c r="A3952" s="2">
        <f>IFERROR(__xludf.DUMMYFUNCTION("""COMPUTED_VALUE"""),78235.0)</f>
        <v>78235</v>
      </c>
      <c r="B3952" s="2">
        <f>IFERROR(__xludf.DUMMYFUNCTION("""COMPUTED_VALUE"""),0.0)</f>
        <v>0</v>
      </c>
      <c r="C3952" s="2">
        <f>IFERROR(__xludf.DUMMYFUNCTION("""COMPUTED_VALUE"""),642.0)</f>
        <v>642</v>
      </c>
      <c r="D3952" s="3">
        <f>IFERROR(__xludf.DUMMYFUNCTION("""COMPUTED_VALUE"""),577.0)</f>
        <v>577</v>
      </c>
      <c r="E3952" s="1" t="str">
        <f t="array" ref="E3952">_xlfn.XLOOKUP(A3952,Product!A:A,Product!B:B,"Bulunamadı")</f>
        <v>Sports</v>
      </c>
      <c r="F3952" s="1" t="str">
        <f t="array" ref="F3952">_xlfn.XLOOKUP(A3952,Product!A:A,Product!C:C,"Bulunamadı")</f>
        <v>Artificial Intelligence</v>
      </c>
      <c r="G3952" s="2" t="str">
        <f t="array" ref="G3952">_xlfn.XLOOKUP(A3953,Product!A:A,Product!D:D,"Bulunamadı")</f>
        <v>Northpeak House</v>
      </c>
      <c r="H3952" s="2">
        <f t="array" ref="H3952">_xlfn.XLOOKUP(A3954,Product!A:A,Product!E:E,"Bulunamadı")</f>
        <v>7.59</v>
      </c>
      <c r="I3952" s="2" t="str">
        <f t="shared" si="1"/>
        <v>78235 - Sports - Artificial Intelligence</v>
      </c>
      <c r="J3952" s="2">
        <f t="shared" si="2"/>
        <v>4379.43</v>
      </c>
      <c r="K3952" s="17">
        <f t="shared" si="3"/>
        <v>1</v>
      </c>
      <c r="L3952" s="18"/>
    </row>
    <row r="3953" hidden="1">
      <c r="A3953" s="2">
        <f>IFERROR(__xludf.DUMMYFUNCTION("""COMPUTED_VALUE"""),119803.0)</f>
        <v>119803</v>
      </c>
      <c r="B3953" s="2">
        <f>IFERROR(__xludf.DUMMYFUNCTION("""COMPUTED_VALUE"""),0.0)</f>
        <v>0</v>
      </c>
      <c r="C3953" s="2">
        <f>IFERROR(__xludf.DUMMYFUNCTION("""COMPUTED_VALUE"""),417.0)</f>
        <v>417</v>
      </c>
      <c r="D3953" s="3">
        <f>IFERROR(__xludf.DUMMYFUNCTION("""COMPUTED_VALUE"""),222.0)</f>
        <v>222</v>
      </c>
      <c r="E3953" s="1" t="str">
        <f t="array" ref="E3953">_xlfn.XLOOKUP(A3953,Product!A:A,Product!B:B,"Bulunamadı")</f>
        <v>Sports</v>
      </c>
      <c r="F3953" s="1" t="str">
        <f t="array" ref="F3953">_xlfn.XLOOKUP(A3953,Product!A:A,Product!C:C,"Bulunamadı")</f>
        <v>Artificial Intelligence</v>
      </c>
      <c r="G3953" s="2" t="str">
        <f t="array" ref="G3953">_xlfn.XLOOKUP(A3954,Product!A:A,Product!D:D,"Bulunamadı")</f>
        <v>Northpeak House</v>
      </c>
      <c r="H3953" s="2">
        <f t="array" ref="H3953">_xlfn.XLOOKUP(A3955,Product!A:A,Product!E:E,"Bulunamadı")</f>
        <v>17.33</v>
      </c>
      <c r="I3953" s="2" t="str">
        <f t="shared" si="1"/>
        <v>119803 - Sports - Artificial Intelligence</v>
      </c>
      <c r="J3953" s="2">
        <f t="shared" si="2"/>
        <v>3847.26</v>
      </c>
      <c r="K3953" s="17">
        <f t="shared" si="3"/>
        <v>1</v>
      </c>
      <c r="L3953" s="18"/>
    </row>
    <row r="3954" hidden="1">
      <c r="A3954" s="2">
        <f>IFERROR(__xludf.DUMMYFUNCTION("""COMPUTED_VALUE"""),7669.0)</f>
        <v>7669</v>
      </c>
      <c r="B3954" s="2">
        <f>IFERROR(__xludf.DUMMYFUNCTION("""COMPUTED_VALUE"""),0.0)</f>
        <v>0</v>
      </c>
      <c r="C3954" s="2">
        <f>IFERROR(__xludf.DUMMYFUNCTION("""COMPUTED_VALUE"""),793.0)</f>
        <v>793</v>
      </c>
      <c r="D3954" s="3">
        <f>IFERROR(__xludf.DUMMYFUNCTION("""COMPUTED_VALUE"""),716.0)</f>
        <v>716</v>
      </c>
      <c r="E3954" s="1" t="str">
        <f t="array" ref="E3954">_xlfn.XLOOKUP(A3954,Product!A:A,Product!B:B,"Bulunamadı")</f>
        <v>Sports</v>
      </c>
      <c r="F3954" s="1" t="str">
        <f t="array" ref="F3954">_xlfn.XLOOKUP(A3954,Product!A:A,Product!C:C,"Bulunamadı")</f>
        <v>Artificial Intelligence</v>
      </c>
      <c r="G3954" s="2" t="str">
        <f t="array" ref="G3954">_xlfn.XLOOKUP(A3955,Product!A:A,Product!D:D,"Bulunamadı")</f>
        <v>Northpeak House</v>
      </c>
      <c r="H3954" s="2">
        <f t="array" ref="H3954">_xlfn.XLOOKUP(A3956,Product!A:A,Product!E:E,"Bulunamadı")</f>
        <v>2.29</v>
      </c>
      <c r="I3954" s="2" t="str">
        <f t="shared" si="1"/>
        <v>7669 - Sports - Artificial Intelligence</v>
      </c>
      <c r="J3954" s="2">
        <f t="shared" si="2"/>
        <v>1639.64</v>
      </c>
      <c r="K3954" s="17">
        <f t="shared" si="3"/>
        <v>1</v>
      </c>
      <c r="L3954" s="18"/>
    </row>
    <row r="3955" hidden="1">
      <c r="A3955" s="2">
        <f>IFERROR(__xludf.DUMMYFUNCTION("""COMPUTED_VALUE"""),139312.0)</f>
        <v>139312</v>
      </c>
      <c r="B3955" s="2">
        <f>IFERROR(__xludf.DUMMYFUNCTION("""COMPUTED_VALUE"""),0.0)</f>
        <v>0</v>
      </c>
      <c r="C3955" s="2">
        <f>IFERROR(__xludf.DUMMYFUNCTION("""COMPUTED_VALUE"""),403.0)</f>
        <v>403</v>
      </c>
      <c r="D3955" s="3">
        <f>IFERROR(__xludf.DUMMYFUNCTION("""COMPUTED_VALUE"""),218.0)</f>
        <v>218</v>
      </c>
      <c r="E3955" s="1" t="str">
        <f t="array" ref="E3955">_xlfn.XLOOKUP(A3955,Product!A:A,Product!B:B,"Bulunamadı")</f>
        <v>Sports</v>
      </c>
      <c r="F3955" s="1" t="str">
        <f t="array" ref="F3955">_xlfn.XLOOKUP(A3955,Product!A:A,Product!C:C,"Bulunamadı")</f>
        <v>Artificial Intelligence</v>
      </c>
      <c r="G3955" s="2" t="str">
        <f t="array" ref="G3955">_xlfn.XLOOKUP(A3956,Product!A:A,Product!D:D,"Bulunamadı")</f>
        <v>Northpeak House</v>
      </c>
      <c r="H3955" s="2">
        <f t="array" ref="H3955">_xlfn.XLOOKUP(A3957,Product!A:A,Product!E:E,"Bulunamadı")</f>
        <v>2.05</v>
      </c>
      <c r="I3955" s="2" t="str">
        <f t="shared" si="1"/>
        <v>139312 - Sports - Artificial Intelligence</v>
      </c>
      <c r="J3955" s="2">
        <f t="shared" si="2"/>
        <v>446.9</v>
      </c>
      <c r="K3955" s="17">
        <f t="shared" si="3"/>
        <v>1</v>
      </c>
      <c r="L3955" s="18"/>
    </row>
    <row r="3956" hidden="1">
      <c r="A3956" s="2">
        <f>IFERROR(__xludf.DUMMYFUNCTION("""COMPUTED_VALUE"""),77773.0)</f>
        <v>77773</v>
      </c>
      <c r="B3956" s="2">
        <f>IFERROR(__xludf.DUMMYFUNCTION("""COMPUTED_VALUE"""),1.0)</f>
        <v>1</v>
      </c>
      <c r="C3956" s="2">
        <f>IFERROR(__xludf.DUMMYFUNCTION("""COMPUTED_VALUE"""),523.0)</f>
        <v>523</v>
      </c>
      <c r="D3956" s="3">
        <f>IFERROR(__xludf.DUMMYFUNCTION("""COMPUTED_VALUE"""),310.0)</f>
        <v>310</v>
      </c>
      <c r="E3956" s="1" t="str">
        <f t="array" ref="E3956">_xlfn.XLOOKUP(A3956,Product!A:A,Product!B:B,"Bulunamadı")</f>
        <v>Sports</v>
      </c>
      <c r="F3956" s="1" t="str">
        <f t="array" ref="F3956">_xlfn.XLOOKUP(A3956,Product!A:A,Product!C:C,"Bulunamadı")</f>
        <v>Artificial Intelligence</v>
      </c>
      <c r="G3956" s="2" t="str">
        <f t="array" ref="G3956">_xlfn.XLOOKUP(A3957,Product!A:A,Product!D:D,"Bulunamadı")</f>
        <v>Northpeak House</v>
      </c>
      <c r="H3956" s="2">
        <f t="array" ref="H3956">_xlfn.XLOOKUP(A3958,Product!A:A,Product!E:E,"Bulunamadı")</f>
        <v>10.4</v>
      </c>
      <c r="I3956" s="2" t="str">
        <f t="shared" si="1"/>
        <v>77773 - Sports - Artificial Intelligence</v>
      </c>
      <c r="J3956" s="2">
        <f t="shared" si="2"/>
        <v>3224</v>
      </c>
      <c r="K3956" s="17">
        <f t="shared" si="3"/>
        <v>1</v>
      </c>
      <c r="L3956" s="18"/>
    </row>
    <row r="3957" hidden="1">
      <c r="A3957" s="2">
        <f>IFERROR(__xludf.DUMMYFUNCTION("""COMPUTED_VALUE"""),73442.0)</f>
        <v>73442</v>
      </c>
      <c r="B3957" s="2">
        <f>IFERROR(__xludf.DUMMYFUNCTION("""COMPUTED_VALUE"""),0.0)</f>
        <v>0</v>
      </c>
      <c r="C3957" s="2">
        <f>IFERROR(__xludf.DUMMYFUNCTION("""COMPUTED_VALUE"""),851.0)</f>
        <v>851</v>
      </c>
      <c r="D3957" s="3">
        <f>IFERROR(__xludf.DUMMYFUNCTION("""COMPUTED_VALUE"""),533.0)</f>
        <v>533</v>
      </c>
      <c r="E3957" s="1" t="str">
        <f t="array" ref="E3957">_xlfn.XLOOKUP(A3957,Product!A:A,Product!B:B,"Bulunamadı")</f>
        <v>Sports</v>
      </c>
      <c r="F3957" s="1" t="str">
        <f t="array" ref="F3957">_xlfn.XLOOKUP(A3957,Product!A:A,Product!C:C,"Bulunamadı")</f>
        <v>Artificial Intelligence</v>
      </c>
      <c r="G3957" s="2" t="str">
        <f t="array" ref="G3957">_xlfn.XLOOKUP(A3958,Product!A:A,Product!D:D,"Bulunamadı")</f>
        <v>Northpeak House</v>
      </c>
      <c r="H3957" s="2">
        <f t="array" ref="H3957">_xlfn.XLOOKUP(A3959,Product!A:A,Product!E:E,"Bulunamadı")</f>
        <v>8.07</v>
      </c>
      <c r="I3957" s="2" t="str">
        <f t="shared" si="1"/>
        <v>73442 - Sports - Artificial Intelligence</v>
      </c>
      <c r="J3957" s="2">
        <f t="shared" si="2"/>
        <v>4301.31</v>
      </c>
      <c r="K3957" s="17">
        <f t="shared" si="3"/>
        <v>1</v>
      </c>
      <c r="L3957" s="18"/>
    </row>
    <row r="3958" hidden="1">
      <c r="A3958" s="2">
        <f>IFERROR(__xludf.DUMMYFUNCTION("""COMPUTED_VALUE"""),3974.0)</f>
        <v>3974</v>
      </c>
      <c r="B3958" s="2">
        <f>IFERROR(__xludf.DUMMYFUNCTION("""COMPUTED_VALUE"""),0.0)</f>
        <v>0</v>
      </c>
      <c r="C3958" s="2">
        <f>IFERROR(__xludf.DUMMYFUNCTION("""COMPUTED_VALUE"""),514.0)</f>
        <v>514</v>
      </c>
      <c r="D3958" s="3">
        <f>IFERROR(__xludf.DUMMYFUNCTION("""COMPUTED_VALUE"""),304.0)</f>
        <v>304</v>
      </c>
      <c r="E3958" s="1" t="str">
        <f t="array" ref="E3958">_xlfn.XLOOKUP(A3958,Product!A:A,Product!B:B,"Bulunamadı")</f>
        <v>Sports</v>
      </c>
      <c r="F3958" s="1" t="str">
        <f t="array" ref="F3958">_xlfn.XLOOKUP(A3958,Product!A:A,Product!C:C,"Bulunamadı")</f>
        <v>Artificial Intelligence</v>
      </c>
      <c r="G3958" s="2" t="str">
        <f t="array" ref="G3958">_xlfn.XLOOKUP(A3959,Product!A:A,Product!D:D,"Bulunamadı")</f>
        <v>Harborpeak House</v>
      </c>
      <c r="H3958" s="2">
        <f t="array" ref="H3958">_xlfn.XLOOKUP(A3960,Product!A:A,Product!E:E,"Bulunamadı")</f>
        <v>3.84</v>
      </c>
      <c r="I3958" s="2" t="str">
        <f t="shared" si="1"/>
        <v>3974 - Sports - Artificial Intelligence</v>
      </c>
      <c r="J3958" s="2">
        <f t="shared" si="2"/>
        <v>1167.36</v>
      </c>
      <c r="K3958" s="17">
        <f t="shared" si="3"/>
        <v>1</v>
      </c>
      <c r="L3958" s="18"/>
    </row>
    <row r="3959" hidden="1">
      <c r="A3959" s="2">
        <f>IFERROR(__xludf.DUMMYFUNCTION("""COMPUTED_VALUE"""),104032.0)</f>
        <v>104032</v>
      </c>
      <c r="B3959" s="2">
        <f>IFERROR(__xludf.DUMMYFUNCTION("""COMPUTED_VALUE"""),0.0)</f>
        <v>0</v>
      </c>
      <c r="C3959" s="2">
        <f>IFERROR(__xludf.DUMMYFUNCTION("""COMPUTED_VALUE"""),724.0)</f>
        <v>724</v>
      </c>
      <c r="D3959" s="3">
        <f>IFERROR(__xludf.DUMMYFUNCTION("""COMPUTED_VALUE"""),138.0)</f>
        <v>138</v>
      </c>
      <c r="E3959" s="1" t="str">
        <f t="array" ref="E3959">_xlfn.XLOOKUP(A3959,Product!A:A,Product!B:B,"Bulunamadı")</f>
        <v>Sports</v>
      </c>
      <c r="F3959" s="1" t="str">
        <f t="array" ref="F3959">_xlfn.XLOOKUP(A3959,Product!A:A,Product!C:C,"Bulunamadı")</f>
        <v>Artificial Intelligence</v>
      </c>
      <c r="G3959" s="2" t="str">
        <f t="array" ref="G3959">_xlfn.XLOOKUP(A3960,Product!A:A,Product!D:D,"Bulunamadı")</f>
        <v>Cedarpeak House</v>
      </c>
      <c r="H3959" s="2">
        <f t="array" ref="H3959">_xlfn.XLOOKUP(A3961,Product!A:A,Product!E:E,"Bulunamadı")</f>
        <v>1.6</v>
      </c>
      <c r="I3959" s="2" t="str">
        <f t="shared" si="1"/>
        <v>104032 - Sports - Artificial Intelligence</v>
      </c>
      <c r="J3959" s="2">
        <f t="shared" si="2"/>
        <v>220.8</v>
      </c>
      <c r="K3959" s="17">
        <f t="shared" si="3"/>
        <v>1</v>
      </c>
      <c r="L3959" s="18"/>
    </row>
    <row r="3960" hidden="1">
      <c r="A3960" s="2">
        <f>IFERROR(__xludf.DUMMYFUNCTION("""COMPUTED_VALUE"""),24162.0)</f>
        <v>24162</v>
      </c>
      <c r="B3960" s="2">
        <f>IFERROR(__xludf.DUMMYFUNCTION("""COMPUTED_VALUE"""),1.0)</f>
        <v>1</v>
      </c>
      <c r="C3960" s="2">
        <f>IFERROR(__xludf.DUMMYFUNCTION("""COMPUTED_VALUE"""),811.0)</f>
        <v>811</v>
      </c>
      <c r="D3960" s="3">
        <f>IFERROR(__xludf.DUMMYFUNCTION("""COMPUTED_VALUE"""),429.0)</f>
        <v>429</v>
      </c>
      <c r="E3960" s="1" t="str">
        <f t="array" ref="E3960">_xlfn.XLOOKUP(A3960,Product!A:A,Product!B:B,"Bulunamadı")</f>
        <v>Law</v>
      </c>
      <c r="F3960" s="1" t="str">
        <f t="array" ref="F3960">_xlfn.XLOOKUP(A3960,Product!A:A,Product!C:C,"Bulunamadı")</f>
        <v>Machine Learning</v>
      </c>
      <c r="G3960" s="2" t="str">
        <f t="array" ref="G3960">_xlfn.XLOOKUP(A3961,Product!A:A,Product!D:D,"Bulunamadı")</f>
        <v>Cedarpeak House</v>
      </c>
      <c r="H3960" s="2">
        <f t="array" ref="H3960">_xlfn.XLOOKUP(A3962,Product!A:A,Product!E:E,"Bulunamadı")</f>
        <v>1.85</v>
      </c>
      <c r="I3960" s="2" t="str">
        <f t="shared" si="1"/>
        <v>24162 - Law - Machine Learning</v>
      </c>
      <c r="J3960" s="2">
        <f t="shared" si="2"/>
        <v>793.65</v>
      </c>
      <c r="K3960" s="17">
        <f t="shared" si="3"/>
        <v>1</v>
      </c>
      <c r="L3960" s="18"/>
    </row>
    <row r="3961" hidden="1">
      <c r="A3961" s="2">
        <f>IFERROR(__xludf.DUMMYFUNCTION("""COMPUTED_VALUE"""),24167.0)</f>
        <v>24167</v>
      </c>
      <c r="B3961" s="2">
        <f>IFERROR(__xludf.DUMMYFUNCTION("""COMPUTED_VALUE"""),1.0)</f>
        <v>1</v>
      </c>
      <c r="C3961" s="2">
        <f>IFERROR(__xludf.DUMMYFUNCTION("""COMPUTED_VALUE"""),517.0)</f>
        <v>517</v>
      </c>
      <c r="D3961" s="3">
        <f>IFERROR(__xludf.DUMMYFUNCTION("""COMPUTED_VALUE"""),446.0)</f>
        <v>446</v>
      </c>
      <c r="E3961" s="1" t="str">
        <f t="array" ref="E3961">_xlfn.XLOOKUP(A3961,Product!A:A,Product!B:B,"Bulunamadı")</f>
        <v>Law</v>
      </c>
      <c r="F3961" s="1" t="str">
        <f t="array" ref="F3961">_xlfn.XLOOKUP(A3961,Product!A:A,Product!C:C,"Bulunamadı")</f>
        <v>Machine Learning</v>
      </c>
      <c r="G3961" s="2" t="str">
        <f t="array" ref="G3961">_xlfn.XLOOKUP(A3962,Product!A:A,Product!D:D,"Bulunamadı")</f>
        <v>Cedarpeak House</v>
      </c>
      <c r="H3961" s="2">
        <f t="array" ref="H3961">_xlfn.XLOOKUP(A3963,Product!A:A,Product!E:E,"Bulunamadı")</f>
        <v>1.98</v>
      </c>
      <c r="I3961" s="2" t="str">
        <f t="shared" si="1"/>
        <v>24167 - Law - Machine Learning</v>
      </c>
      <c r="J3961" s="2">
        <f t="shared" si="2"/>
        <v>883.08</v>
      </c>
      <c r="K3961" s="17">
        <f t="shared" si="3"/>
        <v>1</v>
      </c>
      <c r="L3961" s="18"/>
    </row>
    <row r="3962" hidden="1">
      <c r="A3962" s="2">
        <f>IFERROR(__xludf.DUMMYFUNCTION("""COMPUTED_VALUE"""),24174.0)</f>
        <v>24174</v>
      </c>
      <c r="B3962" s="2">
        <f>IFERROR(__xludf.DUMMYFUNCTION("""COMPUTED_VALUE"""),0.0)</f>
        <v>0</v>
      </c>
      <c r="C3962" s="2">
        <f>IFERROR(__xludf.DUMMYFUNCTION("""COMPUTED_VALUE"""),530.0)</f>
        <v>530</v>
      </c>
      <c r="D3962" s="3">
        <f>IFERROR(__xludf.DUMMYFUNCTION("""COMPUTED_VALUE"""),491.0)</f>
        <v>491</v>
      </c>
      <c r="E3962" s="1" t="str">
        <f t="array" ref="E3962">_xlfn.XLOOKUP(A3962,Product!A:A,Product!B:B,"Bulunamadı")</f>
        <v>Law</v>
      </c>
      <c r="F3962" s="1" t="str">
        <f t="array" ref="F3962">_xlfn.XLOOKUP(A3962,Product!A:A,Product!C:C,"Bulunamadı")</f>
        <v>Machine Learning</v>
      </c>
      <c r="G3962" s="2" t="str">
        <f t="array" ref="G3962">_xlfn.XLOOKUP(A3963,Product!A:A,Product!D:D,"Bulunamadı")</f>
        <v>Cedarpeak House</v>
      </c>
      <c r="H3962" s="2">
        <f t="array" ref="H3962">_xlfn.XLOOKUP(A3964,Product!A:A,Product!E:E,"Bulunamadı")</f>
        <v>1.89</v>
      </c>
      <c r="I3962" s="2" t="str">
        <f t="shared" si="1"/>
        <v>24174 - Law - Machine Learning</v>
      </c>
      <c r="J3962" s="2">
        <f t="shared" si="2"/>
        <v>927.99</v>
      </c>
      <c r="K3962" s="17">
        <f t="shared" si="3"/>
        <v>1</v>
      </c>
      <c r="L3962" s="18"/>
    </row>
    <row r="3963" hidden="1">
      <c r="A3963" s="2">
        <f>IFERROR(__xludf.DUMMYFUNCTION("""COMPUTED_VALUE"""),24161.0)</f>
        <v>24161</v>
      </c>
      <c r="B3963" s="2">
        <f>IFERROR(__xludf.DUMMYFUNCTION("""COMPUTED_VALUE"""),0.0)</f>
        <v>0</v>
      </c>
      <c r="C3963" s="2">
        <f>IFERROR(__xludf.DUMMYFUNCTION("""COMPUTED_VALUE"""),948.0)</f>
        <v>948</v>
      </c>
      <c r="D3963" s="3">
        <f>IFERROR(__xludf.DUMMYFUNCTION("""COMPUTED_VALUE"""),162.0)</f>
        <v>162</v>
      </c>
      <c r="E3963" s="1" t="str">
        <f t="array" ref="E3963">_xlfn.XLOOKUP(A3963,Product!A:A,Product!B:B,"Bulunamadı")</f>
        <v>Law</v>
      </c>
      <c r="F3963" s="1" t="str">
        <f t="array" ref="F3963">_xlfn.XLOOKUP(A3963,Product!A:A,Product!C:C,"Bulunamadı")</f>
        <v>Machine Learning</v>
      </c>
      <c r="G3963" s="2" t="str">
        <f t="array" ref="G3963">_xlfn.XLOOKUP(A3964,Product!A:A,Product!D:D,"Bulunamadı")</f>
        <v>Cedarpeak House</v>
      </c>
      <c r="H3963" s="2">
        <f t="array" ref="H3963">_xlfn.XLOOKUP(A3965,Product!A:A,Product!E:E,"Bulunamadı")</f>
        <v>1.97</v>
      </c>
      <c r="I3963" s="2" t="str">
        <f t="shared" si="1"/>
        <v>24161 - Law - Machine Learning</v>
      </c>
      <c r="J3963" s="2">
        <f t="shared" si="2"/>
        <v>319.14</v>
      </c>
      <c r="K3963" s="17">
        <f t="shared" si="3"/>
        <v>1</v>
      </c>
      <c r="L3963" s="18"/>
    </row>
    <row r="3964" hidden="1">
      <c r="A3964" s="2">
        <f>IFERROR(__xludf.DUMMYFUNCTION("""COMPUTED_VALUE"""),88594.0)</f>
        <v>88594</v>
      </c>
      <c r="B3964" s="2">
        <f>IFERROR(__xludf.DUMMYFUNCTION("""COMPUTED_VALUE"""),0.0)</f>
        <v>0</v>
      </c>
      <c r="C3964" s="2">
        <f>IFERROR(__xludf.DUMMYFUNCTION("""COMPUTED_VALUE"""),890.0)</f>
        <v>890</v>
      </c>
      <c r="D3964" s="3">
        <f>IFERROR(__xludf.DUMMYFUNCTION("""COMPUTED_VALUE"""),874.0)</f>
        <v>874</v>
      </c>
      <c r="E3964" s="1" t="str">
        <f t="array" ref="E3964">_xlfn.XLOOKUP(A3964,Product!A:A,Product!B:B,"Bulunamadı")</f>
        <v>Law</v>
      </c>
      <c r="F3964" s="1" t="str">
        <f t="array" ref="F3964">_xlfn.XLOOKUP(A3964,Product!A:A,Product!C:C,"Bulunamadı")</f>
        <v>Machine Learning</v>
      </c>
      <c r="G3964" s="2" t="str">
        <f t="array" ref="G3964">_xlfn.XLOOKUP(A3965,Product!A:A,Product!D:D,"Bulunamadı")</f>
        <v>Cedarpeak House</v>
      </c>
      <c r="H3964" s="2">
        <f t="array" ref="H3964">_xlfn.XLOOKUP(A3966,Product!A:A,Product!E:E,"Bulunamadı")</f>
        <v>1.12</v>
      </c>
      <c r="I3964" s="2" t="str">
        <f t="shared" si="1"/>
        <v>88594 - Law - Machine Learning</v>
      </c>
      <c r="J3964" s="2">
        <f t="shared" si="2"/>
        <v>978.88</v>
      </c>
      <c r="K3964" s="17">
        <f t="shared" si="3"/>
        <v>1</v>
      </c>
      <c r="L3964" s="18"/>
    </row>
    <row r="3965" hidden="1">
      <c r="A3965" s="2">
        <f>IFERROR(__xludf.DUMMYFUNCTION("""COMPUTED_VALUE"""),118818.0)</f>
        <v>118818</v>
      </c>
      <c r="B3965" s="2">
        <f>IFERROR(__xludf.DUMMYFUNCTION("""COMPUTED_VALUE"""),1.0)</f>
        <v>1</v>
      </c>
      <c r="C3965" s="2">
        <f>IFERROR(__xludf.DUMMYFUNCTION("""COMPUTED_VALUE"""),883.0)</f>
        <v>883</v>
      </c>
      <c r="D3965" s="3">
        <f>IFERROR(__xludf.DUMMYFUNCTION("""COMPUTED_VALUE"""),194.0)</f>
        <v>194</v>
      </c>
      <c r="E3965" s="1" t="str">
        <f t="array" ref="E3965">_xlfn.XLOOKUP(A3965,Product!A:A,Product!B:B,"Bulunamadı")</f>
        <v>Law</v>
      </c>
      <c r="F3965" s="1" t="str">
        <f t="array" ref="F3965">_xlfn.XLOOKUP(A3965,Product!A:A,Product!C:C,"Bulunamadı")</f>
        <v>Machine Learning</v>
      </c>
      <c r="G3965" s="2" t="str">
        <f t="array" ref="G3965">_xlfn.XLOOKUP(A3966,Product!A:A,Product!D:D,"Bulunamadı")</f>
        <v>Cedarpeak House</v>
      </c>
      <c r="H3965" s="2">
        <f t="array" ref="H3965">_xlfn.XLOOKUP(A3967,Product!A:A,Product!E:E,"Bulunamadı")</f>
        <v>2.01</v>
      </c>
      <c r="I3965" s="2" t="str">
        <f t="shared" si="1"/>
        <v>118818 - Law - Machine Learning</v>
      </c>
      <c r="J3965" s="2">
        <f t="shared" si="2"/>
        <v>389.94</v>
      </c>
      <c r="K3965" s="17">
        <f t="shared" si="3"/>
        <v>1</v>
      </c>
      <c r="L3965" s="18"/>
    </row>
    <row r="3966" hidden="1">
      <c r="A3966" s="2">
        <f>IFERROR(__xludf.DUMMYFUNCTION("""COMPUTED_VALUE"""),24166.0)</f>
        <v>24166</v>
      </c>
      <c r="B3966" s="2">
        <f>IFERROR(__xludf.DUMMYFUNCTION("""COMPUTED_VALUE"""),1.0)</f>
        <v>1</v>
      </c>
      <c r="C3966" s="2">
        <f>IFERROR(__xludf.DUMMYFUNCTION("""COMPUTED_VALUE"""),158.0)</f>
        <v>158</v>
      </c>
      <c r="D3966" s="3">
        <f>IFERROR(__xludf.DUMMYFUNCTION("""COMPUTED_VALUE"""),26.0)</f>
        <v>26</v>
      </c>
      <c r="E3966" s="1" t="str">
        <f t="array" ref="E3966">_xlfn.XLOOKUP(A3966,Product!A:A,Product!B:B,"Bulunamadı")</f>
        <v>Law</v>
      </c>
      <c r="F3966" s="1" t="str">
        <f t="array" ref="F3966">_xlfn.XLOOKUP(A3966,Product!A:A,Product!C:C,"Bulunamadı")</f>
        <v>Machine Learning</v>
      </c>
      <c r="G3966" s="2" t="str">
        <f t="array" ref="G3966">_xlfn.XLOOKUP(A3967,Product!A:A,Product!D:D,"Bulunamadı")</f>
        <v>Cedarpeak House</v>
      </c>
      <c r="H3966" s="2">
        <f t="array" ref="H3966">_xlfn.XLOOKUP(A3968,Product!A:A,Product!E:E,"Bulunamadı")</f>
        <v>3.87</v>
      </c>
      <c r="I3966" s="2" t="str">
        <f t="shared" si="1"/>
        <v>24166 - Law - Machine Learning</v>
      </c>
      <c r="J3966" s="2">
        <f t="shared" si="2"/>
        <v>100.62</v>
      </c>
      <c r="K3966" s="17">
        <f t="shared" si="3"/>
        <v>1</v>
      </c>
      <c r="L3966" s="18"/>
    </row>
    <row r="3967" hidden="1">
      <c r="A3967" s="2">
        <f>IFERROR(__xludf.DUMMYFUNCTION("""COMPUTED_VALUE"""),118828.0)</f>
        <v>118828</v>
      </c>
      <c r="B3967" s="2">
        <f>IFERROR(__xludf.DUMMYFUNCTION("""COMPUTED_VALUE"""),0.0)</f>
        <v>0</v>
      </c>
      <c r="C3967" s="2">
        <f>IFERROR(__xludf.DUMMYFUNCTION("""COMPUTED_VALUE"""),494.0)</f>
        <v>494</v>
      </c>
      <c r="D3967" s="3">
        <f>IFERROR(__xludf.DUMMYFUNCTION("""COMPUTED_VALUE"""),317.0)</f>
        <v>317</v>
      </c>
      <c r="E3967" s="1" t="str">
        <f t="array" ref="E3967">_xlfn.XLOOKUP(A3967,Product!A:A,Product!B:B,"Bulunamadı")</f>
        <v>Law</v>
      </c>
      <c r="F3967" s="1" t="str">
        <f t="array" ref="F3967">_xlfn.XLOOKUP(A3967,Product!A:A,Product!C:C,"Bulunamadı")</f>
        <v>Machine Learning</v>
      </c>
      <c r="G3967" s="2" t="str">
        <f t="array" ref="G3967">_xlfn.XLOOKUP(A3968,Product!A:A,Product!D:D,"Bulunamadı")</f>
        <v>Cedarpeak House</v>
      </c>
      <c r="H3967" s="2">
        <f t="array" ref="H3967">_xlfn.XLOOKUP(A3969,Product!A:A,Product!E:E,"Bulunamadı")</f>
        <v>1.39</v>
      </c>
      <c r="I3967" s="2" t="str">
        <f t="shared" si="1"/>
        <v>118828 - Law - Machine Learning</v>
      </c>
      <c r="J3967" s="2">
        <f t="shared" si="2"/>
        <v>440.63</v>
      </c>
      <c r="K3967" s="17">
        <f t="shared" si="3"/>
        <v>1</v>
      </c>
      <c r="L3967" s="18"/>
    </row>
    <row r="3968" hidden="1">
      <c r="A3968" s="2">
        <f>IFERROR(__xludf.DUMMYFUNCTION("""COMPUTED_VALUE"""),86169.0)</f>
        <v>86169</v>
      </c>
      <c r="B3968" s="2">
        <f>IFERROR(__xludf.DUMMYFUNCTION("""COMPUTED_VALUE"""),1.0)</f>
        <v>1</v>
      </c>
      <c r="C3968" s="2">
        <f>IFERROR(__xludf.DUMMYFUNCTION("""COMPUTED_VALUE"""),922.0)</f>
        <v>922</v>
      </c>
      <c r="D3968" s="3">
        <f>IFERROR(__xludf.DUMMYFUNCTION("""COMPUTED_VALUE"""),48.0)</f>
        <v>48</v>
      </c>
      <c r="E3968" s="1" t="str">
        <f t="array" ref="E3968">_xlfn.XLOOKUP(A3968,Product!A:A,Product!B:B,"Bulunamadı")</f>
        <v>Law</v>
      </c>
      <c r="F3968" s="1" t="str">
        <f t="array" ref="F3968">_xlfn.XLOOKUP(A3968,Product!A:A,Product!C:C,"Bulunamadı")</f>
        <v>Machine Learning</v>
      </c>
      <c r="G3968" s="2" t="str">
        <f t="array" ref="G3968">_xlfn.XLOOKUP(A3969,Product!A:A,Product!D:D,"Bulunamadı")</f>
        <v>Cedarpeak House</v>
      </c>
      <c r="H3968" s="2">
        <f t="array" ref="H3968">_xlfn.XLOOKUP(A3970,Product!A:A,Product!E:E,"Bulunamadı")</f>
        <v>3.5</v>
      </c>
      <c r="I3968" s="2" t="str">
        <f t="shared" si="1"/>
        <v>86169 - Law - Machine Learning</v>
      </c>
      <c r="J3968" s="2">
        <f t="shared" si="2"/>
        <v>168</v>
      </c>
      <c r="K3968" s="17">
        <f t="shared" si="3"/>
        <v>1</v>
      </c>
      <c r="L3968" s="18"/>
    </row>
    <row r="3969" hidden="1">
      <c r="A3969" s="2">
        <f>IFERROR(__xludf.DUMMYFUNCTION("""COMPUTED_VALUE"""),118851.0)</f>
        <v>118851</v>
      </c>
      <c r="B3969" s="2">
        <f>IFERROR(__xludf.DUMMYFUNCTION("""COMPUTED_VALUE"""),0.0)</f>
        <v>0</v>
      </c>
      <c r="C3969" s="2">
        <f>IFERROR(__xludf.DUMMYFUNCTION("""COMPUTED_VALUE"""),398.0)</f>
        <v>398</v>
      </c>
      <c r="D3969" s="3">
        <f>IFERROR(__xludf.DUMMYFUNCTION("""COMPUTED_VALUE"""),358.0)</f>
        <v>358</v>
      </c>
      <c r="E3969" s="1" t="str">
        <f t="array" ref="E3969">_xlfn.XLOOKUP(A3969,Product!A:A,Product!B:B,"Bulunamadı")</f>
        <v>Law</v>
      </c>
      <c r="F3969" s="1" t="str">
        <f t="array" ref="F3969">_xlfn.XLOOKUP(A3969,Product!A:A,Product!C:C,"Bulunamadı")</f>
        <v>Machine Learning</v>
      </c>
      <c r="G3969" s="2" t="str">
        <f t="array" ref="G3969">_xlfn.XLOOKUP(A3970,Product!A:A,Product!D:D,"Bulunamadı")</f>
        <v>Cedarpeak House</v>
      </c>
      <c r="H3969" s="2">
        <f t="array" ref="H3969">_xlfn.XLOOKUP(A3971,Product!A:A,Product!E:E,"Bulunamadı")</f>
        <v>1.1</v>
      </c>
      <c r="I3969" s="2" t="str">
        <f t="shared" si="1"/>
        <v>118851 - Law - Machine Learning</v>
      </c>
      <c r="J3969" s="2">
        <f t="shared" si="2"/>
        <v>393.8</v>
      </c>
      <c r="K3969" s="17">
        <f t="shared" si="3"/>
        <v>1</v>
      </c>
      <c r="L3969" s="18"/>
    </row>
    <row r="3970" hidden="1">
      <c r="A3970" s="2">
        <f>IFERROR(__xludf.DUMMYFUNCTION("""COMPUTED_VALUE"""),118824.0)</f>
        <v>118824</v>
      </c>
      <c r="B3970" s="2">
        <f>IFERROR(__xludf.DUMMYFUNCTION("""COMPUTED_VALUE"""),1.0)</f>
        <v>1</v>
      </c>
      <c r="C3970" s="2">
        <f>IFERROR(__xludf.DUMMYFUNCTION("""COMPUTED_VALUE"""),69.0)</f>
        <v>69</v>
      </c>
      <c r="D3970" s="3">
        <f>IFERROR(__xludf.DUMMYFUNCTION("""COMPUTED_VALUE"""),42.0)</f>
        <v>42</v>
      </c>
      <c r="E3970" s="1" t="str">
        <f t="array" ref="E3970">_xlfn.XLOOKUP(A3970,Product!A:A,Product!B:B,"Bulunamadı")</f>
        <v>Law</v>
      </c>
      <c r="F3970" s="1" t="str">
        <f t="array" ref="F3970">_xlfn.XLOOKUP(A3970,Product!A:A,Product!C:C,"Bulunamadı")</f>
        <v>Machine Learning</v>
      </c>
      <c r="G3970" s="2" t="str">
        <f t="array" ref="G3970">_xlfn.XLOOKUP(A3971,Product!A:A,Product!D:D,"Bulunamadı")</f>
        <v>Cedarpeak House</v>
      </c>
      <c r="H3970" s="2">
        <f t="array" ref="H3970">_xlfn.XLOOKUP(A3972,Product!A:A,Product!E:E,"Bulunamadı")</f>
        <v>3.17</v>
      </c>
      <c r="I3970" s="2" t="str">
        <f t="shared" si="1"/>
        <v>118824 - Law - Machine Learning</v>
      </c>
      <c r="J3970" s="2">
        <f t="shared" si="2"/>
        <v>133.14</v>
      </c>
      <c r="K3970" s="17">
        <f t="shared" si="3"/>
        <v>1</v>
      </c>
      <c r="L3970" s="18"/>
    </row>
    <row r="3971" hidden="1">
      <c r="A3971" s="2">
        <f>IFERROR(__xludf.DUMMYFUNCTION("""COMPUTED_VALUE"""),122728.0)</f>
        <v>122728</v>
      </c>
      <c r="B3971" s="2">
        <f>IFERROR(__xludf.DUMMYFUNCTION("""COMPUTED_VALUE"""),0.0)</f>
        <v>0</v>
      </c>
      <c r="C3971" s="2">
        <f>IFERROR(__xludf.DUMMYFUNCTION("""COMPUTED_VALUE"""),669.0)</f>
        <v>669</v>
      </c>
      <c r="D3971" s="3">
        <f>IFERROR(__xludf.DUMMYFUNCTION("""COMPUTED_VALUE"""),122.0)</f>
        <v>122</v>
      </c>
      <c r="E3971" s="1" t="str">
        <f t="array" ref="E3971">_xlfn.XLOOKUP(A3971,Product!A:A,Product!B:B,"Bulunamadı")</f>
        <v>Law</v>
      </c>
      <c r="F3971" s="1" t="str">
        <f t="array" ref="F3971">_xlfn.XLOOKUP(A3971,Product!A:A,Product!C:C,"Bulunamadı")</f>
        <v>Machine Learning</v>
      </c>
      <c r="G3971" s="2" t="str">
        <f t="array" ref="G3971">_xlfn.XLOOKUP(A3972,Product!A:A,Product!D:D,"Bulunamadı")</f>
        <v>Brightpeak House</v>
      </c>
      <c r="H3971" s="2">
        <f t="array" ref="H3971">_xlfn.XLOOKUP(A3973,Product!A:A,Product!E:E,"Bulunamadı")</f>
        <v>2.73</v>
      </c>
      <c r="I3971" s="2" t="str">
        <f t="shared" si="1"/>
        <v>122728 - Law - Machine Learning</v>
      </c>
      <c r="J3971" s="2">
        <f t="shared" si="2"/>
        <v>333.06</v>
      </c>
      <c r="K3971" s="17">
        <f t="shared" si="3"/>
        <v>1</v>
      </c>
      <c r="L3971" s="18"/>
    </row>
    <row r="3972" hidden="1">
      <c r="A3972" s="2">
        <f>IFERROR(__xludf.DUMMYFUNCTION("""COMPUTED_VALUE"""),103474.0)</f>
        <v>103474</v>
      </c>
      <c r="B3972" s="2">
        <f>IFERROR(__xludf.DUMMYFUNCTION("""COMPUTED_VALUE"""),0.0)</f>
        <v>0</v>
      </c>
      <c r="C3972" s="2">
        <f>IFERROR(__xludf.DUMMYFUNCTION("""COMPUTED_VALUE"""),432.0)</f>
        <v>432</v>
      </c>
      <c r="D3972" s="3">
        <f>IFERROR(__xludf.DUMMYFUNCTION("""COMPUTED_VALUE"""),34.0)</f>
        <v>34</v>
      </c>
      <c r="E3972" s="1" t="str">
        <f t="array" ref="E3972">_xlfn.XLOOKUP(A3972,Product!A:A,Product!B:B,"Bulunamadı")</f>
        <v>Law</v>
      </c>
      <c r="F3972" s="1" t="str">
        <f t="array" ref="F3972">_xlfn.XLOOKUP(A3972,Product!A:A,Product!C:C,"Bulunamadı")</f>
        <v>Machine Learning</v>
      </c>
      <c r="G3972" s="2" t="str">
        <f t="array" ref="G3972">_xlfn.XLOOKUP(A3973,Product!A:A,Product!D:D,"Bulunamadı")</f>
        <v>Brightpeak House</v>
      </c>
      <c r="H3972" s="2">
        <f t="array" ref="H3972">_xlfn.XLOOKUP(A3974,Product!A:A,Product!E:E,"Bulunamadı")</f>
        <v>2.6</v>
      </c>
      <c r="I3972" s="2" t="str">
        <f t="shared" si="1"/>
        <v>103474 - Law - Machine Learning</v>
      </c>
      <c r="J3972" s="2">
        <f t="shared" si="2"/>
        <v>88.4</v>
      </c>
      <c r="K3972" s="17">
        <f t="shared" si="3"/>
        <v>1</v>
      </c>
      <c r="L3972" s="18"/>
    </row>
    <row r="3973" hidden="1">
      <c r="A3973" s="2">
        <f>IFERROR(__xludf.DUMMYFUNCTION("""COMPUTED_VALUE"""),120635.0)</f>
        <v>120635</v>
      </c>
      <c r="B3973" s="2">
        <f>IFERROR(__xludf.DUMMYFUNCTION("""COMPUTED_VALUE"""),0.0)</f>
        <v>0</v>
      </c>
      <c r="C3973" s="2">
        <f>IFERROR(__xludf.DUMMYFUNCTION("""COMPUTED_VALUE"""),236.0)</f>
        <v>236</v>
      </c>
      <c r="D3973" s="3">
        <f>IFERROR(__xludf.DUMMYFUNCTION("""COMPUTED_VALUE"""),119.0)</f>
        <v>119</v>
      </c>
      <c r="E3973" s="1" t="str">
        <f t="array" ref="E3973">_xlfn.XLOOKUP(A3973,Product!A:A,Product!B:B,"Bulunamadı")</f>
        <v>Law</v>
      </c>
      <c r="F3973" s="1" t="str">
        <f t="array" ref="F3973">_xlfn.XLOOKUP(A3973,Product!A:A,Product!C:C,"Bulunamadı")</f>
        <v>Machine Learning</v>
      </c>
      <c r="G3973" s="2" t="str">
        <f t="array" ref="G3973">_xlfn.XLOOKUP(A3974,Product!A:A,Product!D:D,"Bulunamadı")</f>
        <v>Brightpeak House</v>
      </c>
      <c r="H3973" s="2">
        <f t="array" ref="H3973">_xlfn.XLOOKUP(A3975,Product!A:A,Product!E:E,"Bulunamadı")</f>
        <v>1.69</v>
      </c>
      <c r="I3973" s="2" t="str">
        <f t="shared" si="1"/>
        <v>120635 - Law - Machine Learning</v>
      </c>
      <c r="J3973" s="2">
        <f t="shared" si="2"/>
        <v>201.11</v>
      </c>
      <c r="K3973" s="17">
        <f t="shared" si="3"/>
        <v>1</v>
      </c>
      <c r="L3973" s="18"/>
    </row>
    <row r="3974" hidden="1">
      <c r="A3974" s="2">
        <f>IFERROR(__xludf.DUMMYFUNCTION("""COMPUTED_VALUE"""),120633.0)</f>
        <v>120633</v>
      </c>
      <c r="B3974" s="2">
        <f>IFERROR(__xludf.DUMMYFUNCTION("""COMPUTED_VALUE"""),1.0)</f>
        <v>1</v>
      </c>
      <c r="C3974" s="2">
        <f>IFERROR(__xludf.DUMMYFUNCTION("""COMPUTED_VALUE"""),333.0)</f>
        <v>333</v>
      </c>
      <c r="D3974" s="3">
        <f>IFERROR(__xludf.DUMMYFUNCTION("""COMPUTED_VALUE"""),162.0)</f>
        <v>162</v>
      </c>
      <c r="E3974" s="1" t="str">
        <f t="array" ref="E3974">_xlfn.XLOOKUP(A3974,Product!A:A,Product!B:B,"Bulunamadı")</f>
        <v>Law</v>
      </c>
      <c r="F3974" s="1" t="str">
        <f t="array" ref="F3974">_xlfn.XLOOKUP(A3974,Product!A:A,Product!C:C,"Bulunamadı")</f>
        <v>Machine Learning</v>
      </c>
      <c r="G3974" s="2" t="str">
        <f t="array" ref="G3974">_xlfn.XLOOKUP(A3975,Product!A:A,Product!D:D,"Bulunamadı")</f>
        <v>Brightpeak House</v>
      </c>
      <c r="H3974" s="2">
        <f t="array" ref="H3974">_xlfn.XLOOKUP(A3976,Product!A:A,Product!E:E,"Bulunamadı")</f>
        <v>2.74</v>
      </c>
      <c r="I3974" s="2" t="str">
        <f t="shared" si="1"/>
        <v>120633 - Law - Machine Learning</v>
      </c>
      <c r="J3974" s="2">
        <f t="shared" si="2"/>
        <v>443.88</v>
      </c>
      <c r="K3974" s="17">
        <f t="shared" si="3"/>
        <v>1</v>
      </c>
      <c r="L3974" s="18"/>
    </row>
    <row r="3975" hidden="1">
      <c r="A3975" s="2">
        <f>IFERROR(__xludf.DUMMYFUNCTION("""COMPUTED_VALUE"""),121477.0)</f>
        <v>121477</v>
      </c>
      <c r="B3975" s="2">
        <f>IFERROR(__xludf.DUMMYFUNCTION("""COMPUTED_VALUE"""),1.0)</f>
        <v>1</v>
      </c>
      <c r="C3975" s="2">
        <f>IFERROR(__xludf.DUMMYFUNCTION("""COMPUTED_VALUE"""),836.0)</f>
        <v>836</v>
      </c>
      <c r="D3975" s="3">
        <f>IFERROR(__xludf.DUMMYFUNCTION("""COMPUTED_VALUE"""),686.0)</f>
        <v>686</v>
      </c>
      <c r="E3975" s="1" t="str">
        <f t="array" ref="E3975">_xlfn.XLOOKUP(A3975,Product!A:A,Product!B:B,"Bulunamadı")</f>
        <v>Law</v>
      </c>
      <c r="F3975" s="1" t="str">
        <f t="array" ref="F3975">_xlfn.XLOOKUP(A3975,Product!A:A,Product!C:C,"Bulunamadı")</f>
        <v>Machine Learning</v>
      </c>
      <c r="G3975" s="2" t="str">
        <f t="array" ref="G3975">_xlfn.XLOOKUP(A3976,Product!A:A,Product!D:D,"Bulunamadı")</f>
        <v>Brightpeak House</v>
      </c>
      <c r="H3975" s="2">
        <f t="array" ref="H3975">_xlfn.XLOOKUP(A3977,Product!A:A,Product!E:E,"Bulunamadı")</f>
        <v>2.49</v>
      </c>
      <c r="I3975" s="2" t="str">
        <f t="shared" si="1"/>
        <v>121477 - Law - Machine Learning</v>
      </c>
      <c r="J3975" s="2">
        <f t="shared" si="2"/>
        <v>1708.14</v>
      </c>
      <c r="K3975" s="17">
        <f t="shared" si="3"/>
        <v>1</v>
      </c>
      <c r="L3975" s="18"/>
    </row>
    <row r="3976" hidden="1">
      <c r="A3976" s="2">
        <f>IFERROR(__xludf.DUMMYFUNCTION("""COMPUTED_VALUE"""),156024.0)</f>
        <v>156024</v>
      </c>
      <c r="B3976" s="2">
        <f>IFERROR(__xludf.DUMMYFUNCTION("""COMPUTED_VALUE"""),1.0)</f>
        <v>1</v>
      </c>
      <c r="C3976" s="2">
        <f>IFERROR(__xludf.DUMMYFUNCTION("""COMPUTED_VALUE"""),628.0)</f>
        <v>628</v>
      </c>
      <c r="D3976" s="3">
        <f>IFERROR(__xludf.DUMMYFUNCTION("""COMPUTED_VALUE"""),385.0)</f>
        <v>385</v>
      </c>
      <c r="E3976" s="1" t="str">
        <f t="array" ref="E3976">_xlfn.XLOOKUP(A3976,Product!A:A,Product!B:B,"Bulunamadı")</f>
        <v>Law</v>
      </c>
      <c r="F3976" s="1" t="str">
        <f t="array" ref="F3976">_xlfn.XLOOKUP(A3976,Product!A:A,Product!C:C,"Bulunamadı")</f>
        <v>Machine Learning</v>
      </c>
      <c r="G3976" s="2" t="str">
        <f t="array" ref="G3976">_xlfn.XLOOKUP(A3977,Product!A:A,Product!D:D,"Bulunamadı")</f>
        <v>Brightpeak House</v>
      </c>
      <c r="H3976" s="2">
        <f t="array" ref="H3976">_xlfn.XLOOKUP(A3978,Product!A:A,Product!E:E,"Bulunamadı")</f>
        <v>1.67</v>
      </c>
      <c r="I3976" s="2" t="str">
        <f t="shared" si="1"/>
        <v>156024 - Law - Machine Learning</v>
      </c>
      <c r="J3976" s="2">
        <f t="shared" si="2"/>
        <v>642.95</v>
      </c>
      <c r="K3976" s="17">
        <f t="shared" si="3"/>
        <v>1</v>
      </c>
      <c r="L3976" s="18"/>
    </row>
    <row r="3977" hidden="1">
      <c r="A3977" s="2">
        <f>IFERROR(__xludf.DUMMYFUNCTION("""COMPUTED_VALUE"""),70191.0)</f>
        <v>70191</v>
      </c>
      <c r="B3977" s="2">
        <f>IFERROR(__xludf.DUMMYFUNCTION("""COMPUTED_VALUE"""),0.0)</f>
        <v>0</v>
      </c>
      <c r="C3977" s="2">
        <f>IFERROR(__xludf.DUMMYFUNCTION("""COMPUTED_VALUE"""),317.0)</f>
        <v>317</v>
      </c>
      <c r="D3977" s="3">
        <f>IFERROR(__xludf.DUMMYFUNCTION("""COMPUTED_VALUE"""),14.0)</f>
        <v>14</v>
      </c>
      <c r="E3977" s="1" t="str">
        <f t="array" ref="E3977">_xlfn.XLOOKUP(A3977,Product!A:A,Product!B:B,"Bulunamadı")</f>
        <v>Law</v>
      </c>
      <c r="F3977" s="1" t="str">
        <f t="array" ref="F3977">_xlfn.XLOOKUP(A3977,Product!A:A,Product!C:C,"Bulunamadı")</f>
        <v>Machine Learning</v>
      </c>
      <c r="G3977" s="2" t="str">
        <f t="array" ref="G3977">_xlfn.XLOOKUP(A3978,Product!A:A,Product!D:D,"Bulunamadı")</f>
        <v>Brightpeak House</v>
      </c>
      <c r="H3977" s="2">
        <f t="array" ref="H3977">_xlfn.XLOOKUP(A3979,Product!A:A,Product!E:E,"Bulunamadı")</f>
        <v>2.68</v>
      </c>
      <c r="I3977" s="2" t="str">
        <f t="shared" si="1"/>
        <v>70191 - Law - Machine Learning</v>
      </c>
      <c r="J3977" s="2">
        <f t="shared" si="2"/>
        <v>37.52</v>
      </c>
      <c r="K3977" s="17">
        <f t="shared" si="3"/>
        <v>1</v>
      </c>
      <c r="L3977" s="18"/>
    </row>
    <row r="3978" hidden="1">
      <c r="A3978" s="2">
        <f>IFERROR(__xludf.DUMMYFUNCTION("""COMPUTED_VALUE"""),19822.0)</f>
        <v>19822</v>
      </c>
      <c r="B3978" s="2">
        <f>IFERROR(__xludf.DUMMYFUNCTION("""COMPUTED_VALUE"""),0.0)</f>
        <v>0</v>
      </c>
      <c r="C3978" s="2">
        <f>IFERROR(__xludf.DUMMYFUNCTION("""COMPUTED_VALUE"""),657.0)</f>
        <v>657</v>
      </c>
      <c r="D3978" s="3">
        <f>IFERROR(__xludf.DUMMYFUNCTION("""COMPUTED_VALUE"""),512.0)</f>
        <v>512</v>
      </c>
      <c r="E3978" s="1" t="str">
        <f t="array" ref="E3978">_xlfn.XLOOKUP(A3978,Product!A:A,Product!B:B,"Bulunamadı")</f>
        <v>Law</v>
      </c>
      <c r="F3978" s="1" t="str">
        <f t="array" ref="F3978">_xlfn.XLOOKUP(A3978,Product!A:A,Product!C:C,"Bulunamadı")</f>
        <v>Machine Learning</v>
      </c>
      <c r="G3978" s="2" t="str">
        <f t="array" ref="G3978">_xlfn.XLOOKUP(A3979,Product!A:A,Product!D:D,"Bulunamadı")</f>
        <v>Brightpeak House</v>
      </c>
      <c r="H3978" s="2">
        <f t="array" ref="H3978">_xlfn.XLOOKUP(A3980,Product!A:A,Product!E:E,"Bulunamadı")</f>
        <v>2.44</v>
      </c>
      <c r="I3978" s="2" t="str">
        <f t="shared" si="1"/>
        <v>19822 - Law - Machine Learning</v>
      </c>
      <c r="J3978" s="2">
        <f t="shared" si="2"/>
        <v>1249.28</v>
      </c>
      <c r="K3978" s="17">
        <f t="shared" si="3"/>
        <v>1</v>
      </c>
      <c r="L3978" s="18"/>
    </row>
    <row r="3979" hidden="1">
      <c r="A3979" s="2">
        <f>IFERROR(__xludf.DUMMYFUNCTION("""COMPUTED_VALUE"""),156023.0)</f>
        <v>156023</v>
      </c>
      <c r="B3979" s="2">
        <f>IFERROR(__xludf.DUMMYFUNCTION("""COMPUTED_VALUE"""),1.0)</f>
        <v>1</v>
      </c>
      <c r="C3979" s="2">
        <f>IFERROR(__xludf.DUMMYFUNCTION("""COMPUTED_VALUE"""),295.0)</f>
        <v>295</v>
      </c>
      <c r="D3979" s="3">
        <f>IFERROR(__xludf.DUMMYFUNCTION("""COMPUTED_VALUE"""),96.0)</f>
        <v>96</v>
      </c>
      <c r="E3979" s="1" t="str">
        <f t="array" ref="E3979">_xlfn.XLOOKUP(A3979,Product!A:A,Product!B:B,"Bulunamadı")</f>
        <v>Law</v>
      </c>
      <c r="F3979" s="1" t="str">
        <f t="array" ref="F3979">_xlfn.XLOOKUP(A3979,Product!A:A,Product!C:C,"Bulunamadı")</f>
        <v>Machine Learning</v>
      </c>
      <c r="G3979" s="2" t="str">
        <f t="array" ref="G3979">_xlfn.XLOOKUP(A3980,Product!A:A,Product!D:D,"Bulunamadı")</f>
        <v>Brightpeak House</v>
      </c>
      <c r="H3979" s="2">
        <f t="array" ref="H3979">_xlfn.XLOOKUP(A3981,Product!A:A,Product!E:E,"Bulunamadı")</f>
        <v>2.35</v>
      </c>
      <c r="I3979" s="2" t="str">
        <f t="shared" si="1"/>
        <v>156023 - Law - Machine Learning</v>
      </c>
      <c r="J3979" s="2">
        <f t="shared" si="2"/>
        <v>225.6</v>
      </c>
      <c r="K3979" s="17">
        <f t="shared" si="3"/>
        <v>1</v>
      </c>
      <c r="L3979" s="18"/>
    </row>
    <row r="3980" hidden="1">
      <c r="A3980" s="2">
        <f>IFERROR(__xludf.DUMMYFUNCTION("""COMPUTED_VALUE"""),120628.0)</f>
        <v>120628</v>
      </c>
      <c r="B3980" s="2">
        <f>IFERROR(__xludf.DUMMYFUNCTION("""COMPUTED_VALUE"""),0.0)</f>
        <v>0</v>
      </c>
      <c r="C3980" s="2">
        <f>IFERROR(__xludf.DUMMYFUNCTION("""COMPUTED_VALUE"""),551.0)</f>
        <v>551</v>
      </c>
      <c r="D3980" s="3">
        <f>IFERROR(__xludf.DUMMYFUNCTION("""COMPUTED_VALUE"""),57.0)</f>
        <v>57</v>
      </c>
      <c r="E3980" s="1" t="str">
        <f t="array" ref="E3980">_xlfn.XLOOKUP(A3980,Product!A:A,Product!B:B,"Bulunamadı")</f>
        <v>Law</v>
      </c>
      <c r="F3980" s="1" t="str">
        <f t="array" ref="F3980">_xlfn.XLOOKUP(A3980,Product!A:A,Product!C:C,"Bulunamadı")</f>
        <v>Machine Learning</v>
      </c>
      <c r="G3980" s="2" t="str">
        <f t="array" ref="G3980">_xlfn.XLOOKUP(A3981,Product!A:A,Product!D:D,"Bulunamadı")</f>
        <v>Oakpeak House</v>
      </c>
      <c r="H3980" s="2">
        <f t="array" ref="H3980">_xlfn.XLOOKUP(A3982,Product!A:A,Product!E:E,"Bulunamadı")</f>
        <v>1.87</v>
      </c>
      <c r="I3980" s="2" t="str">
        <f t="shared" si="1"/>
        <v>120628 - Law - Machine Learning</v>
      </c>
      <c r="J3980" s="2">
        <f t="shared" si="2"/>
        <v>106.59</v>
      </c>
      <c r="K3980" s="17">
        <f t="shared" si="3"/>
        <v>1</v>
      </c>
      <c r="L3980" s="18"/>
    </row>
    <row r="3981" hidden="1">
      <c r="A3981" s="2">
        <f>IFERROR(__xludf.DUMMYFUNCTION("""COMPUTED_VALUE"""),45830.0)</f>
        <v>45830</v>
      </c>
      <c r="B3981" s="2">
        <f>IFERROR(__xludf.DUMMYFUNCTION("""COMPUTED_VALUE"""),0.0)</f>
        <v>0</v>
      </c>
      <c r="C3981" s="2">
        <f>IFERROR(__xludf.DUMMYFUNCTION("""COMPUTED_VALUE"""),362.0)</f>
        <v>362</v>
      </c>
      <c r="D3981" s="3">
        <f>IFERROR(__xludf.DUMMYFUNCTION("""COMPUTED_VALUE"""),36.0)</f>
        <v>36</v>
      </c>
      <c r="E3981" s="1" t="str">
        <f t="array" ref="E3981">_xlfn.XLOOKUP(A3981,Product!A:A,Product!B:B,"Bulunamadı")</f>
        <v>Law</v>
      </c>
      <c r="F3981" s="1" t="str">
        <f t="array" ref="F3981">_xlfn.XLOOKUP(A3981,Product!A:A,Product!C:C,"Bulunamadı")</f>
        <v>Machine Learning</v>
      </c>
      <c r="G3981" s="2" t="str">
        <f t="array" ref="G3981">_xlfn.XLOOKUP(A3982,Product!A:A,Product!D:D,"Bulunamadı")</f>
        <v>Oakpeak House</v>
      </c>
      <c r="H3981" s="2">
        <f t="array" ref="H3981">_xlfn.XLOOKUP(A3983,Product!A:A,Product!E:E,"Bulunamadı")</f>
        <v>3.16</v>
      </c>
      <c r="I3981" s="2" t="str">
        <f t="shared" si="1"/>
        <v>45830 - Law - Machine Learning</v>
      </c>
      <c r="J3981" s="2">
        <f t="shared" si="2"/>
        <v>113.76</v>
      </c>
      <c r="K3981" s="17">
        <f t="shared" si="3"/>
        <v>1</v>
      </c>
      <c r="L3981" s="18"/>
    </row>
    <row r="3982" hidden="1">
      <c r="A3982" s="2">
        <f>IFERROR(__xludf.DUMMYFUNCTION("""COMPUTED_VALUE"""),86192.0)</f>
        <v>86192</v>
      </c>
      <c r="B3982" s="2">
        <f>IFERROR(__xludf.DUMMYFUNCTION("""COMPUTED_VALUE"""),0.0)</f>
        <v>0</v>
      </c>
      <c r="C3982" s="2">
        <f>IFERROR(__xludf.DUMMYFUNCTION("""COMPUTED_VALUE"""),19.0)</f>
        <v>19</v>
      </c>
      <c r="D3982" s="3">
        <f>IFERROR(__xludf.DUMMYFUNCTION("""COMPUTED_VALUE"""),13.0)</f>
        <v>13</v>
      </c>
      <c r="E3982" s="1" t="str">
        <f t="array" ref="E3982">_xlfn.XLOOKUP(A3982,Product!A:A,Product!B:B,"Bulunamadı")</f>
        <v>Law</v>
      </c>
      <c r="F3982" s="1" t="str">
        <f t="array" ref="F3982">_xlfn.XLOOKUP(A3982,Product!A:A,Product!C:C,"Bulunamadı")</f>
        <v>Machine Learning</v>
      </c>
      <c r="G3982" s="2" t="str">
        <f t="array" ref="G3982">_xlfn.XLOOKUP(A3983,Product!A:A,Product!D:D,"Bulunamadı")</f>
        <v>Oakpeak House</v>
      </c>
      <c r="H3982" s="2">
        <f t="array" ref="H3982">_xlfn.XLOOKUP(A3984,Product!A:A,Product!E:E,"Bulunamadı")</f>
        <v>2.12</v>
      </c>
      <c r="I3982" s="2" t="str">
        <f t="shared" si="1"/>
        <v>86192 - Law - Machine Learning</v>
      </c>
      <c r="J3982" s="2">
        <f t="shared" si="2"/>
        <v>27.56</v>
      </c>
      <c r="K3982" s="17">
        <f t="shared" si="3"/>
        <v>1</v>
      </c>
      <c r="L3982" s="18"/>
    </row>
    <row r="3983" hidden="1">
      <c r="A3983" s="2">
        <f>IFERROR(__xludf.DUMMYFUNCTION("""COMPUTED_VALUE"""),127372.0)</f>
        <v>127372</v>
      </c>
      <c r="B3983" s="2">
        <f>IFERROR(__xludf.DUMMYFUNCTION("""COMPUTED_VALUE"""),0.0)</f>
        <v>0</v>
      </c>
      <c r="C3983" s="2">
        <f>IFERROR(__xludf.DUMMYFUNCTION("""COMPUTED_VALUE"""),735.0)</f>
        <v>735</v>
      </c>
      <c r="D3983" s="3">
        <f>IFERROR(__xludf.DUMMYFUNCTION("""COMPUTED_VALUE"""),285.0)</f>
        <v>285</v>
      </c>
      <c r="E3983" s="1" t="str">
        <f t="array" ref="E3983">_xlfn.XLOOKUP(A3983,Product!A:A,Product!B:B,"Bulunamadı")</f>
        <v>Law</v>
      </c>
      <c r="F3983" s="1" t="str">
        <f t="array" ref="F3983">_xlfn.XLOOKUP(A3983,Product!A:A,Product!C:C,"Bulunamadı")</f>
        <v>Machine Learning</v>
      </c>
      <c r="G3983" s="2" t="str">
        <f t="array" ref="G3983">_xlfn.XLOOKUP(A3984,Product!A:A,Product!D:D,"Bulunamadı")</f>
        <v>Oakpeak House</v>
      </c>
      <c r="H3983" s="2">
        <f t="array" ref="H3983">_xlfn.XLOOKUP(A3985,Product!A:A,Product!E:E,"Bulunamadı")</f>
        <v>2.08</v>
      </c>
      <c r="I3983" s="2" t="str">
        <f t="shared" si="1"/>
        <v>127372 - Law - Machine Learning</v>
      </c>
      <c r="J3983" s="2">
        <f t="shared" si="2"/>
        <v>592.8</v>
      </c>
      <c r="K3983" s="17">
        <f t="shared" si="3"/>
        <v>1</v>
      </c>
      <c r="L3983" s="18"/>
    </row>
    <row r="3984" hidden="1">
      <c r="A3984" s="2">
        <f>IFERROR(__xludf.DUMMYFUNCTION("""COMPUTED_VALUE"""),113902.0)</f>
        <v>113902</v>
      </c>
      <c r="B3984" s="2">
        <f>IFERROR(__xludf.DUMMYFUNCTION("""COMPUTED_VALUE"""),0.0)</f>
        <v>0</v>
      </c>
      <c r="C3984" s="2">
        <f>IFERROR(__xludf.DUMMYFUNCTION("""COMPUTED_VALUE"""),477.0)</f>
        <v>477</v>
      </c>
      <c r="D3984" s="3">
        <f>IFERROR(__xludf.DUMMYFUNCTION("""COMPUTED_VALUE"""),405.0)</f>
        <v>405</v>
      </c>
      <c r="E3984" s="1" t="str">
        <f t="array" ref="E3984">_xlfn.XLOOKUP(A3984,Product!A:A,Product!B:B,"Bulunamadı")</f>
        <v>Law</v>
      </c>
      <c r="F3984" s="1" t="str">
        <f t="array" ref="F3984">_xlfn.XLOOKUP(A3984,Product!A:A,Product!C:C,"Bulunamadı")</f>
        <v>Machine Learning</v>
      </c>
      <c r="G3984" s="2" t="str">
        <f t="array" ref="G3984">_xlfn.XLOOKUP(A3985,Product!A:A,Product!D:D,"Bulunamadı")</f>
        <v>Oakpeak House</v>
      </c>
      <c r="H3984" s="2">
        <f t="array" ref="H3984">_xlfn.XLOOKUP(A3986,Product!A:A,Product!E:E,"Bulunamadı")</f>
        <v>1.56</v>
      </c>
      <c r="I3984" s="2" t="str">
        <f t="shared" si="1"/>
        <v>113902 - Law - Machine Learning</v>
      </c>
      <c r="J3984" s="2">
        <f t="shared" si="2"/>
        <v>631.8</v>
      </c>
      <c r="K3984" s="17">
        <f t="shared" si="3"/>
        <v>1</v>
      </c>
      <c r="L3984" s="18"/>
    </row>
    <row r="3985" hidden="1">
      <c r="A3985" s="2">
        <f>IFERROR(__xludf.DUMMYFUNCTION("""COMPUTED_VALUE"""),119133.0)</f>
        <v>119133</v>
      </c>
      <c r="B3985" s="2">
        <f>IFERROR(__xludf.DUMMYFUNCTION("""COMPUTED_VALUE"""),0.0)</f>
        <v>0</v>
      </c>
      <c r="C3985" s="2">
        <f>IFERROR(__xludf.DUMMYFUNCTION("""COMPUTED_VALUE"""),337.0)</f>
        <v>337</v>
      </c>
      <c r="D3985" s="3">
        <f>IFERROR(__xludf.DUMMYFUNCTION("""COMPUTED_VALUE"""),17.0)</f>
        <v>17</v>
      </c>
      <c r="E3985" s="1" t="str">
        <f t="array" ref="E3985">_xlfn.XLOOKUP(A3985,Product!A:A,Product!B:B,"Bulunamadı")</f>
        <v>Law</v>
      </c>
      <c r="F3985" s="1" t="str">
        <f t="array" ref="F3985">_xlfn.XLOOKUP(A3985,Product!A:A,Product!C:C,"Bulunamadı")</f>
        <v>Machine Learning</v>
      </c>
      <c r="G3985" s="2" t="str">
        <f t="array" ref="G3985">_xlfn.XLOOKUP(A3986,Product!A:A,Product!D:D,"Bulunamadı")</f>
        <v>Oakpeak House</v>
      </c>
      <c r="H3985" s="2">
        <f t="array" ref="H3985">_xlfn.XLOOKUP(A3987,Product!A:A,Product!E:E,"Bulunamadı")</f>
        <v>1.99</v>
      </c>
      <c r="I3985" s="2" t="str">
        <f t="shared" si="1"/>
        <v>119133 - Law - Machine Learning</v>
      </c>
      <c r="J3985" s="2">
        <f t="shared" si="2"/>
        <v>33.83</v>
      </c>
      <c r="K3985" s="17">
        <f t="shared" si="3"/>
        <v>1</v>
      </c>
      <c r="L3985" s="18"/>
    </row>
    <row r="3986" hidden="1">
      <c r="A3986" s="2">
        <f>IFERROR(__xludf.DUMMYFUNCTION("""COMPUTED_VALUE"""),114946.0)</f>
        <v>114946</v>
      </c>
      <c r="B3986" s="2">
        <f>IFERROR(__xludf.DUMMYFUNCTION("""COMPUTED_VALUE"""),0.0)</f>
        <v>0</v>
      </c>
      <c r="C3986" s="2">
        <f>IFERROR(__xludf.DUMMYFUNCTION("""COMPUTED_VALUE"""),939.0)</f>
        <v>939</v>
      </c>
      <c r="D3986" s="3">
        <f>IFERROR(__xludf.DUMMYFUNCTION("""COMPUTED_VALUE"""),490.0)</f>
        <v>490</v>
      </c>
      <c r="E3986" s="1" t="str">
        <f t="array" ref="E3986">_xlfn.XLOOKUP(A3986,Product!A:A,Product!B:B,"Bulunamadı")</f>
        <v>Law</v>
      </c>
      <c r="F3986" s="1" t="str">
        <f t="array" ref="F3986">_xlfn.XLOOKUP(A3986,Product!A:A,Product!C:C,"Bulunamadı")</f>
        <v>Machine Learning</v>
      </c>
      <c r="G3986" s="2" t="str">
        <f t="array" ref="G3986">_xlfn.XLOOKUP(A3987,Product!A:A,Product!D:D,"Bulunamadı")</f>
        <v>Oakpeak House</v>
      </c>
      <c r="H3986" s="2">
        <f t="array" ref="H3986">_xlfn.XLOOKUP(A3988,Product!A:A,Product!E:E,"Bulunamadı")</f>
        <v>2.92</v>
      </c>
      <c r="I3986" s="2" t="str">
        <f t="shared" si="1"/>
        <v>114946 - Law - Machine Learning</v>
      </c>
      <c r="J3986" s="2">
        <f t="shared" si="2"/>
        <v>1430.8</v>
      </c>
      <c r="K3986" s="17">
        <f t="shared" si="3"/>
        <v>1</v>
      </c>
      <c r="L3986" s="18"/>
    </row>
    <row r="3987" hidden="1">
      <c r="A3987" s="2">
        <f>IFERROR(__xludf.DUMMYFUNCTION("""COMPUTED_VALUE"""),118832.0)</f>
        <v>118832</v>
      </c>
      <c r="B3987" s="2">
        <f>IFERROR(__xludf.DUMMYFUNCTION("""COMPUTED_VALUE"""),1.0)</f>
        <v>1</v>
      </c>
      <c r="C3987" s="2">
        <f>IFERROR(__xludf.DUMMYFUNCTION("""COMPUTED_VALUE"""),908.0)</f>
        <v>908</v>
      </c>
      <c r="D3987" s="3">
        <f>IFERROR(__xludf.DUMMYFUNCTION("""COMPUTED_VALUE"""),578.0)</f>
        <v>578</v>
      </c>
      <c r="E3987" s="1" t="str">
        <f t="array" ref="E3987">_xlfn.XLOOKUP(A3987,Product!A:A,Product!B:B,"Bulunamadı")</f>
        <v>Law</v>
      </c>
      <c r="F3987" s="1" t="str">
        <f t="array" ref="F3987">_xlfn.XLOOKUP(A3987,Product!A:A,Product!C:C,"Bulunamadı")</f>
        <v>Machine Learning</v>
      </c>
      <c r="G3987" s="2" t="str">
        <f t="array" ref="G3987">_xlfn.XLOOKUP(A3988,Product!A:A,Product!D:D,"Bulunamadı")</f>
        <v>Riverpeak House</v>
      </c>
      <c r="H3987" s="2">
        <f t="array" ref="H3987">_xlfn.XLOOKUP(A3989,Product!A:A,Product!E:E,"Bulunamadı")</f>
        <v>1.95</v>
      </c>
      <c r="I3987" s="2" t="str">
        <f t="shared" si="1"/>
        <v>118832 - Law - Machine Learning</v>
      </c>
      <c r="J3987" s="2">
        <f t="shared" si="2"/>
        <v>1127.1</v>
      </c>
      <c r="K3987" s="17">
        <f t="shared" si="3"/>
        <v>1</v>
      </c>
      <c r="L3987" s="18"/>
    </row>
    <row r="3988" hidden="1">
      <c r="A3988" s="2">
        <f>IFERROR(__xludf.DUMMYFUNCTION("""COMPUTED_VALUE"""),86499.0)</f>
        <v>86499</v>
      </c>
      <c r="B3988" s="2">
        <f>IFERROR(__xludf.DUMMYFUNCTION("""COMPUTED_VALUE"""),0.0)</f>
        <v>0</v>
      </c>
      <c r="C3988" s="2">
        <f>IFERROR(__xludf.DUMMYFUNCTION("""COMPUTED_VALUE"""),366.0)</f>
        <v>366</v>
      </c>
      <c r="D3988" s="3">
        <f>IFERROR(__xludf.DUMMYFUNCTION("""COMPUTED_VALUE"""),245.0)</f>
        <v>245</v>
      </c>
      <c r="E3988" s="1" t="str">
        <f t="array" ref="E3988">_xlfn.XLOOKUP(A3988,Product!A:A,Product!B:B,"Bulunamadı")</f>
        <v>Law</v>
      </c>
      <c r="F3988" s="1" t="str">
        <f t="array" ref="F3988">_xlfn.XLOOKUP(A3988,Product!A:A,Product!C:C,"Bulunamadı")</f>
        <v>Machine Learning</v>
      </c>
      <c r="G3988" s="2" t="str">
        <f t="array" ref="G3988">_xlfn.XLOOKUP(A3989,Product!A:A,Product!D:D,"Bulunamadı")</f>
        <v>Riverpeak House</v>
      </c>
      <c r="H3988" s="2">
        <f t="array" ref="H3988">_xlfn.XLOOKUP(A3990,Product!A:A,Product!E:E,"Bulunamadı")</f>
        <v>3.66</v>
      </c>
      <c r="I3988" s="2" t="str">
        <f t="shared" si="1"/>
        <v>86499 - Law - Machine Learning</v>
      </c>
      <c r="J3988" s="2">
        <f t="shared" si="2"/>
        <v>896.7</v>
      </c>
      <c r="K3988" s="17">
        <f t="shared" si="3"/>
        <v>1</v>
      </c>
      <c r="L3988" s="18"/>
    </row>
    <row r="3989" hidden="1">
      <c r="A3989" s="2">
        <f>IFERROR(__xludf.DUMMYFUNCTION("""COMPUTED_VALUE"""),81790.0)</f>
        <v>81790</v>
      </c>
      <c r="B3989" s="2">
        <f>IFERROR(__xludf.DUMMYFUNCTION("""COMPUTED_VALUE"""),0.0)</f>
        <v>0</v>
      </c>
      <c r="C3989" s="2">
        <f>IFERROR(__xludf.DUMMYFUNCTION("""COMPUTED_VALUE"""),587.0)</f>
        <v>587</v>
      </c>
      <c r="D3989" s="3">
        <f>IFERROR(__xludf.DUMMYFUNCTION("""COMPUTED_VALUE"""),488.0)</f>
        <v>488</v>
      </c>
      <c r="E3989" s="1" t="str">
        <f t="array" ref="E3989">_xlfn.XLOOKUP(A3989,Product!A:A,Product!B:B,"Bulunamadı")</f>
        <v>Law</v>
      </c>
      <c r="F3989" s="1" t="str">
        <f t="array" ref="F3989">_xlfn.XLOOKUP(A3989,Product!A:A,Product!C:C,"Bulunamadı")</f>
        <v>Machine Learning</v>
      </c>
      <c r="G3989" s="2" t="str">
        <f t="array" ref="G3989">_xlfn.XLOOKUP(A3990,Product!A:A,Product!D:D,"Bulunamadı")</f>
        <v>Riverpeak House</v>
      </c>
      <c r="H3989" s="2">
        <f t="array" ref="H3989">_xlfn.XLOOKUP(A3991,Product!A:A,Product!E:E,"Bulunamadı")</f>
        <v>2.8</v>
      </c>
      <c r="I3989" s="2" t="str">
        <f t="shared" si="1"/>
        <v>81790 - Law - Machine Learning</v>
      </c>
      <c r="J3989" s="2">
        <f t="shared" si="2"/>
        <v>1366.4</v>
      </c>
      <c r="K3989" s="17">
        <f t="shared" si="3"/>
        <v>1</v>
      </c>
      <c r="L3989" s="18"/>
    </row>
    <row r="3990" hidden="1">
      <c r="A3990" s="2">
        <f>IFERROR(__xludf.DUMMYFUNCTION("""COMPUTED_VALUE"""),45898.0)</f>
        <v>45898</v>
      </c>
      <c r="B3990" s="2">
        <f>IFERROR(__xludf.DUMMYFUNCTION("""COMPUTED_VALUE"""),0.0)</f>
        <v>0</v>
      </c>
      <c r="C3990" s="2">
        <f>IFERROR(__xludf.DUMMYFUNCTION("""COMPUTED_VALUE"""),232.0)</f>
        <v>232</v>
      </c>
      <c r="D3990" s="3">
        <f>IFERROR(__xludf.DUMMYFUNCTION("""COMPUTED_VALUE"""),189.0)</f>
        <v>189</v>
      </c>
      <c r="E3990" s="1" t="str">
        <f t="array" ref="E3990">_xlfn.XLOOKUP(A3990,Product!A:A,Product!B:B,"Bulunamadı")</f>
        <v>Law</v>
      </c>
      <c r="F3990" s="1" t="str">
        <f t="array" ref="F3990">_xlfn.XLOOKUP(A3990,Product!A:A,Product!C:C,"Bulunamadı")</f>
        <v>Machine Learning</v>
      </c>
      <c r="G3990" s="2" t="str">
        <f t="array" ref="G3990">_xlfn.XLOOKUP(A3991,Product!A:A,Product!D:D,"Bulunamadı")</f>
        <v>Riverpeak House</v>
      </c>
      <c r="H3990" s="2">
        <f t="array" ref="H3990">_xlfn.XLOOKUP(A3992,Product!A:A,Product!E:E,"Bulunamadı")</f>
        <v>4.44</v>
      </c>
      <c r="I3990" s="2" t="str">
        <f t="shared" si="1"/>
        <v>45898 - Law - Machine Learning</v>
      </c>
      <c r="J3990" s="2">
        <f t="shared" si="2"/>
        <v>839.16</v>
      </c>
      <c r="K3990" s="17">
        <f t="shared" si="3"/>
        <v>1</v>
      </c>
      <c r="L3990" s="18"/>
    </row>
    <row r="3991" hidden="1">
      <c r="A3991" s="2">
        <f>IFERROR(__xludf.DUMMYFUNCTION("""COMPUTED_VALUE"""),24144.0)</f>
        <v>24144</v>
      </c>
      <c r="B3991" s="2">
        <f>IFERROR(__xludf.DUMMYFUNCTION("""COMPUTED_VALUE"""),1.0)</f>
        <v>1</v>
      </c>
      <c r="C3991" s="2">
        <f>IFERROR(__xludf.DUMMYFUNCTION("""COMPUTED_VALUE"""),859.0)</f>
        <v>859</v>
      </c>
      <c r="D3991" s="3">
        <f>IFERROR(__xludf.DUMMYFUNCTION("""COMPUTED_VALUE"""),278.0)</f>
        <v>278</v>
      </c>
      <c r="E3991" s="1" t="str">
        <f t="array" ref="E3991">_xlfn.XLOOKUP(A3991,Product!A:A,Product!B:B,"Bulunamadı")</f>
        <v>Law</v>
      </c>
      <c r="F3991" s="1" t="str">
        <f t="array" ref="F3991">_xlfn.XLOOKUP(A3991,Product!A:A,Product!C:C,"Bulunamadı")</f>
        <v>Machine Learning</v>
      </c>
      <c r="G3991" s="2" t="str">
        <f t="array" ref="G3991">_xlfn.XLOOKUP(A3992,Product!A:A,Product!D:D,"Bulunamadı")</f>
        <v>Riverpeak House</v>
      </c>
      <c r="H3991" s="2">
        <f t="array" ref="H3991">_xlfn.XLOOKUP(A3993,Product!A:A,Product!E:E,"Bulunamadı")</f>
        <v>4.02</v>
      </c>
      <c r="I3991" s="2" t="str">
        <f t="shared" si="1"/>
        <v>24144 - Law - Machine Learning</v>
      </c>
      <c r="J3991" s="2">
        <f t="shared" si="2"/>
        <v>1117.56</v>
      </c>
      <c r="K3991" s="17">
        <f t="shared" si="3"/>
        <v>1</v>
      </c>
      <c r="L3991" s="18"/>
    </row>
    <row r="3992" hidden="1">
      <c r="A3992" s="2">
        <f>IFERROR(__xludf.DUMMYFUNCTION("""COMPUTED_VALUE"""),98351.0)</f>
        <v>98351</v>
      </c>
      <c r="B3992" s="2">
        <f>IFERROR(__xludf.DUMMYFUNCTION("""COMPUTED_VALUE"""),1.0)</f>
        <v>1</v>
      </c>
      <c r="C3992" s="2">
        <f>IFERROR(__xludf.DUMMYFUNCTION("""COMPUTED_VALUE"""),578.0)</f>
        <v>578</v>
      </c>
      <c r="D3992" s="3">
        <f>IFERROR(__xludf.DUMMYFUNCTION("""COMPUTED_VALUE"""),362.0)</f>
        <v>362</v>
      </c>
      <c r="E3992" s="1" t="str">
        <f t="array" ref="E3992">_xlfn.XLOOKUP(A3992,Product!A:A,Product!B:B,"Bulunamadı")</f>
        <v>Law</v>
      </c>
      <c r="F3992" s="1" t="str">
        <f t="array" ref="F3992">_xlfn.XLOOKUP(A3992,Product!A:A,Product!C:C,"Bulunamadı")</f>
        <v>Machine Learning</v>
      </c>
      <c r="G3992" s="2" t="str">
        <f t="array" ref="G3992">_xlfn.XLOOKUP(A3993,Product!A:A,Product!D:D,"Bulunamadı")</f>
        <v>Riverpeak House</v>
      </c>
      <c r="H3992" s="2">
        <f t="array" ref="H3992">_xlfn.XLOOKUP(A3994,Product!A:A,Product!E:E,"Bulunamadı")</f>
        <v>2.71</v>
      </c>
      <c r="I3992" s="2" t="str">
        <f t="shared" si="1"/>
        <v>98351 - Law - Machine Learning</v>
      </c>
      <c r="J3992" s="2">
        <f t="shared" si="2"/>
        <v>981.02</v>
      </c>
      <c r="K3992" s="17">
        <f t="shared" si="3"/>
        <v>1</v>
      </c>
      <c r="L3992" s="18"/>
    </row>
    <row r="3993" hidden="1">
      <c r="A3993" s="2">
        <f>IFERROR(__xludf.DUMMYFUNCTION("""COMPUTED_VALUE"""),86481.0)</f>
        <v>86481</v>
      </c>
      <c r="B3993" s="2">
        <f>IFERROR(__xludf.DUMMYFUNCTION("""COMPUTED_VALUE"""),0.0)</f>
        <v>0</v>
      </c>
      <c r="C3993" s="2">
        <f>IFERROR(__xludf.DUMMYFUNCTION("""COMPUTED_VALUE"""),676.0)</f>
        <v>676</v>
      </c>
      <c r="D3993" s="3">
        <f>IFERROR(__xludf.DUMMYFUNCTION("""COMPUTED_VALUE"""),659.0)</f>
        <v>659</v>
      </c>
      <c r="E3993" s="1" t="str">
        <f t="array" ref="E3993">_xlfn.XLOOKUP(A3993,Product!A:A,Product!B:B,"Bulunamadı")</f>
        <v>Law</v>
      </c>
      <c r="F3993" s="1" t="str">
        <f t="array" ref="F3993">_xlfn.XLOOKUP(A3993,Product!A:A,Product!C:C,"Bulunamadı")</f>
        <v>Machine Learning</v>
      </c>
      <c r="G3993" s="2" t="str">
        <f t="array" ref="G3993">_xlfn.XLOOKUP(A3994,Product!A:A,Product!D:D,"Bulunamadı")</f>
        <v>Riverpeak House</v>
      </c>
      <c r="H3993" s="2">
        <f t="array" ref="H3993">_xlfn.XLOOKUP(A3995,Product!A:A,Product!E:E,"Bulunamadı")</f>
        <v>2.1</v>
      </c>
      <c r="I3993" s="2" t="str">
        <f t="shared" si="1"/>
        <v>86481 - Law - Machine Learning</v>
      </c>
      <c r="J3993" s="2">
        <f t="shared" si="2"/>
        <v>1383.9</v>
      </c>
      <c r="K3993" s="17">
        <f t="shared" si="3"/>
        <v>1</v>
      </c>
      <c r="L3993" s="18"/>
    </row>
    <row r="3994" hidden="1">
      <c r="A3994" s="2">
        <f>IFERROR(__xludf.DUMMYFUNCTION("""COMPUTED_VALUE"""),115747.0)</f>
        <v>115747</v>
      </c>
      <c r="B3994" s="2">
        <f>IFERROR(__xludf.DUMMYFUNCTION("""COMPUTED_VALUE"""),0.0)</f>
        <v>0</v>
      </c>
      <c r="C3994" s="2">
        <f>IFERROR(__xludf.DUMMYFUNCTION("""COMPUTED_VALUE"""),710.0)</f>
        <v>710</v>
      </c>
      <c r="D3994" s="3">
        <f>IFERROR(__xludf.DUMMYFUNCTION("""COMPUTED_VALUE"""),597.0)</f>
        <v>597</v>
      </c>
      <c r="E3994" s="1" t="str">
        <f t="array" ref="E3994">_xlfn.XLOOKUP(A3994,Product!A:A,Product!B:B,"Bulunamadı")</f>
        <v>Law</v>
      </c>
      <c r="F3994" s="1" t="str">
        <f t="array" ref="F3994">_xlfn.XLOOKUP(A3994,Product!A:A,Product!C:C,"Bulunamadı")</f>
        <v>Machine Learning</v>
      </c>
      <c r="G3994" s="2" t="str">
        <f t="array" ref="G3994">_xlfn.XLOOKUP(A3995,Product!A:A,Product!D:D,"Bulunamadı")</f>
        <v>Riverpeak House</v>
      </c>
      <c r="H3994" s="2">
        <f t="array" ref="H3994">_xlfn.XLOOKUP(A3996,Product!A:A,Product!E:E,"Bulunamadı")</f>
        <v>4.4</v>
      </c>
      <c r="I3994" s="2" t="str">
        <f t="shared" si="1"/>
        <v>115747 - Law - Machine Learning</v>
      </c>
      <c r="J3994" s="2">
        <f t="shared" si="2"/>
        <v>2626.8</v>
      </c>
      <c r="K3994" s="17">
        <f t="shared" si="3"/>
        <v>1</v>
      </c>
      <c r="L3994" s="18"/>
    </row>
    <row r="3995" hidden="1">
      <c r="A3995" s="2">
        <f>IFERROR(__xludf.DUMMYFUNCTION("""COMPUTED_VALUE"""),116187.0)</f>
        <v>116187</v>
      </c>
      <c r="B3995" s="2">
        <f>IFERROR(__xludf.DUMMYFUNCTION("""COMPUTED_VALUE"""),0.0)</f>
        <v>0</v>
      </c>
      <c r="C3995" s="2">
        <f>IFERROR(__xludf.DUMMYFUNCTION("""COMPUTED_VALUE"""),733.0)</f>
        <v>733</v>
      </c>
      <c r="D3995" s="3">
        <f>IFERROR(__xludf.DUMMYFUNCTION("""COMPUTED_VALUE"""),489.0)</f>
        <v>489</v>
      </c>
      <c r="E3995" s="1" t="str">
        <f t="array" ref="E3995">_xlfn.XLOOKUP(A3995,Product!A:A,Product!B:B,"Bulunamadı")</f>
        <v>Law</v>
      </c>
      <c r="F3995" s="1" t="str">
        <f t="array" ref="F3995">_xlfn.XLOOKUP(A3995,Product!A:A,Product!C:C,"Bulunamadı")</f>
        <v>Machine Learning</v>
      </c>
      <c r="G3995" s="2" t="str">
        <f t="array" ref="G3995">_xlfn.XLOOKUP(A3996,Product!A:A,Product!D:D,"Bulunamadı")</f>
        <v>Riverpeak House</v>
      </c>
      <c r="H3995" s="2">
        <f t="array" ref="H3995">_xlfn.XLOOKUP(A3997,Product!A:A,Product!E:E,"Bulunamadı")</f>
        <v>2.24</v>
      </c>
      <c r="I3995" s="2" t="str">
        <f t="shared" si="1"/>
        <v>116187 - Law - Machine Learning</v>
      </c>
      <c r="J3995" s="2">
        <f t="shared" si="2"/>
        <v>1095.36</v>
      </c>
      <c r="K3995" s="17">
        <f t="shared" si="3"/>
        <v>1</v>
      </c>
      <c r="L3995" s="18"/>
    </row>
    <row r="3996" hidden="1">
      <c r="A3996" s="2">
        <f>IFERROR(__xludf.DUMMYFUNCTION("""COMPUTED_VALUE"""),86162.0)</f>
        <v>86162</v>
      </c>
      <c r="B3996" s="2">
        <f>IFERROR(__xludf.DUMMYFUNCTION("""COMPUTED_VALUE"""),1.0)</f>
        <v>1</v>
      </c>
      <c r="C3996" s="2">
        <f>IFERROR(__xludf.DUMMYFUNCTION("""COMPUTED_VALUE"""),247.0)</f>
        <v>247</v>
      </c>
      <c r="D3996" s="3">
        <f>IFERROR(__xludf.DUMMYFUNCTION("""COMPUTED_VALUE"""),55.0)</f>
        <v>55</v>
      </c>
      <c r="E3996" s="1" t="str">
        <f t="array" ref="E3996">_xlfn.XLOOKUP(A3996,Product!A:A,Product!B:B,"Bulunamadı")</f>
        <v>Law</v>
      </c>
      <c r="F3996" s="1" t="str">
        <f t="array" ref="F3996">_xlfn.XLOOKUP(A3996,Product!A:A,Product!C:C,"Bulunamadı")</f>
        <v>Machine Learning</v>
      </c>
      <c r="G3996" s="2" t="str">
        <f t="array" ref="G3996">_xlfn.XLOOKUP(A3997,Product!A:A,Product!D:D,"Bulunamadı")</f>
        <v>Riverpeak House</v>
      </c>
      <c r="H3996" s="2">
        <f t="array" ref="H3996">_xlfn.XLOOKUP(A3998,Product!A:A,Product!E:E,"Bulunamadı")</f>
        <v>1.88</v>
      </c>
      <c r="I3996" s="2" t="str">
        <f t="shared" si="1"/>
        <v>86162 - Law - Machine Learning</v>
      </c>
      <c r="J3996" s="2">
        <f t="shared" si="2"/>
        <v>103.4</v>
      </c>
      <c r="K3996" s="17">
        <f t="shared" si="3"/>
        <v>1</v>
      </c>
      <c r="L3996" s="18"/>
    </row>
    <row r="3997" hidden="1">
      <c r="A3997" s="2">
        <f>IFERROR(__xludf.DUMMYFUNCTION("""COMPUTED_VALUE"""),90654.0)</f>
        <v>90654</v>
      </c>
      <c r="B3997" s="2">
        <f>IFERROR(__xludf.DUMMYFUNCTION("""COMPUTED_VALUE"""),1.0)</f>
        <v>1</v>
      </c>
      <c r="C3997" s="2">
        <f>IFERROR(__xludf.DUMMYFUNCTION("""COMPUTED_VALUE"""),961.0)</f>
        <v>961</v>
      </c>
      <c r="D3997" s="3">
        <f>IFERROR(__xludf.DUMMYFUNCTION("""COMPUTED_VALUE"""),946.0)</f>
        <v>946</v>
      </c>
      <c r="E3997" s="1" t="str">
        <f t="array" ref="E3997">_xlfn.XLOOKUP(A3997,Product!A:A,Product!B:B,"Bulunamadı")</f>
        <v>Law</v>
      </c>
      <c r="F3997" s="1" t="str">
        <f t="array" ref="F3997">_xlfn.XLOOKUP(A3997,Product!A:A,Product!C:C,"Bulunamadı")</f>
        <v>Machine Learning</v>
      </c>
      <c r="G3997" s="2" t="str">
        <f t="array" ref="G3997">_xlfn.XLOOKUP(A3998,Product!A:A,Product!D:D,"Bulunamadı")</f>
        <v>Riverpeak House</v>
      </c>
      <c r="H3997" s="2">
        <f t="array" ref="H3997">_xlfn.XLOOKUP(A3999,Product!A:A,Product!E:E,"Bulunamadı")</f>
        <v>1.52</v>
      </c>
      <c r="I3997" s="2" t="str">
        <f t="shared" si="1"/>
        <v>90654 - Law - Machine Learning</v>
      </c>
      <c r="J3997" s="2">
        <f t="shared" si="2"/>
        <v>1437.92</v>
      </c>
      <c r="K3997" s="17">
        <f t="shared" si="3"/>
        <v>1</v>
      </c>
      <c r="L3997" s="18"/>
    </row>
    <row r="3998" hidden="1">
      <c r="A3998" s="2">
        <f>IFERROR(__xludf.DUMMYFUNCTION("""COMPUTED_VALUE"""),71743.0)</f>
        <v>71743</v>
      </c>
      <c r="B3998" s="2">
        <f>IFERROR(__xludf.DUMMYFUNCTION("""COMPUTED_VALUE"""),1.0)</f>
        <v>1</v>
      </c>
      <c r="C3998" s="2">
        <f>IFERROR(__xludf.DUMMYFUNCTION("""COMPUTED_VALUE"""),549.0)</f>
        <v>549</v>
      </c>
      <c r="D3998" s="3">
        <f>IFERROR(__xludf.DUMMYFUNCTION("""COMPUTED_VALUE"""),527.0)</f>
        <v>527</v>
      </c>
      <c r="E3998" s="1" t="str">
        <f t="array" ref="E3998">_xlfn.XLOOKUP(A3998,Product!A:A,Product!B:B,"Bulunamadı")</f>
        <v>Law</v>
      </c>
      <c r="F3998" s="1" t="str">
        <f t="array" ref="F3998">_xlfn.XLOOKUP(A3998,Product!A:A,Product!C:C,"Bulunamadı")</f>
        <v>Machine Learning</v>
      </c>
      <c r="G3998" s="2" t="str">
        <f t="array" ref="G3998">_xlfn.XLOOKUP(A3999,Product!A:A,Product!D:D,"Bulunamadı")</f>
        <v>Riverpeak House</v>
      </c>
      <c r="H3998" s="2">
        <f t="array" ref="H3998">_xlfn.XLOOKUP(A4000,Product!A:A,Product!E:E,"Bulunamadı")</f>
        <v>2.08</v>
      </c>
      <c r="I3998" s="2" t="str">
        <f t="shared" si="1"/>
        <v>71743 - Law - Machine Learning</v>
      </c>
      <c r="J3998" s="2">
        <f t="shared" si="2"/>
        <v>1096.16</v>
      </c>
      <c r="K3998" s="17">
        <f t="shared" si="3"/>
        <v>1</v>
      </c>
      <c r="L3998" s="18"/>
    </row>
    <row r="3999" hidden="1">
      <c r="A3999" s="2">
        <f>IFERROR(__xludf.DUMMYFUNCTION("""COMPUTED_VALUE"""),71744.0)</f>
        <v>71744</v>
      </c>
      <c r="B3999" s="2">
        <f>IFERROR(__xludf.DUMMYFUNCTION("""COMPUTED_VALUE"""),1.0)</f>
        <v>1</v>
      </c>
      <c r="C3999" s="2">
        <f>IFERROR(__xludf.DUMMYFUNCTION("""COMPUTED_VALUE"""),675.0)</f>
        <v>675</v>
      </c>
      <c r="D3999" s="3">
        <f>IFERROR(__xludf.DUMMYFUNCTION("""COMPUTED_VALUE"""),311.0)</f>
        <v>311</v>
      </c>
      <c r="E3999" s="1" t="str">
        <f t="array" ref="E3999">_xlfn.XLOOKUP(A3999,Product!A:A,Product!B:B,"Bulunamadı")</f>
        <v>Law</v>
      </c>
      <c r="F3999" s="1" t="str">
        <f t="array" ref="F3999">_xlfn.XLOOKUP(A3999,Product!A:A,Product!C:C,"Bulunamadı")</f>
        <v>Machine Learning</v>
      </c>
      <c r="G3999" s="2" t="str">
        <f t="array" ref="G3999">_xlfn.XLOOKUP(A4000,Product!A:A,Product!D:D,"Bulunamadı")</f>
        <v>Riverpeak House</v>
      </c>
      <c r="H3999" s="2">
        <f t="array" ref="H3999">_xlfn.XLOOKUP(A4001,Product!A:A,Product!E:E,"Bulunamadı")</f>
        <v>2.55</v>
      </c>
      <c r="I3999" s="2" t="str">
        <f t="shared" si="1"/>
        <v>71744 - Law - Machine Learning</v>
      </c>
      <c r="J3999" s="2">
        <f t="shared" si="2"/>
        <v>793.05</v>
      </c>
      <c r="K3999" s="17">
        <f t="shared" si="3"/>
        <v>1</v>
      </c>
      <c r="L3999" s="18"/>
    </row>
    <row r="4000" hidden="1">
      <c r="A4000" s="2">
        <f>IFERROR(__xludf.DUMMYFUNCTION("""COMPUTED_VALUE"""),88590.0)</f>
        <v>88590</v>
      </c>
      <c r="B4000" s="2">
        <f>IFERROR(__xludf.DUMMYFUNCTION("""COMPUTED_VALUE"""),1.0)</f>
        <v>1</v>
      </c>
      <c r="C4000" s="2">
        <f>IFERROR(__xludf.DUMMYFUNCTION("""COMPUTED_VALUE"""),397.0)</f>
        <v>397</v>
      </c>
      <c r="D4000" s="3">
        <f>IFERROR(__xludf.DUMMYFUNCTION("""COMPUTED_VALUE"""),325.0)</f>
        <v>325</v>
      </c>
      <c r="E4000" s="1" t="str">
        <f t="array" ref="E4000">_xlfn.XLOOKUP(A4000,Product!A:A,Product!B:B,"Bulunamadı")</f>
        <v>Law</v>
      </c>
      <c r="F4000" s="1" t="str">
        <f t="array" ref="F4000">_xlfn.XLOOKUP(A4000,Product!A:A,Product!C:C,"Bulunamadı")</f>
        <v>Machine Learning</v>
      </c>
      <c r="G4000" s="2" t="str">
        <f t="array" ref="G4000">_xlfn.XLOOKUP(A4001,Product!A:A,Product!D:D,"Bulunamadı")</f>
        <v>Riverpeak House</v>
      </c>
      <c r="H4000" s="2">
        <f t="array" ref="H4000">_xlfn.XLOOKUP(A4002,Product!A:A,Product!E:E,"Bulunamadı")</f>
        <v>1.91</v>
      </c>
      <c r="I4000" s="2" t="str">
        <f t="shared" si="1"/>
        <v>88590 - Law - Machine Learning</v>
      </c>
      <c r="J4000" s="2">
        <f t="shared" si="2"/>
        <v>620.75</v>
      </c>
      <c r="K4000" s="17">
        <f t="shared" si="3"/>
        <v>1</v>
      </c>
      <c r="L4000" s="18"/>
    </row>
    <row r="4001" hidden="1">
      <c r="A4001" s="2">
        <f>IFERROR(__xludf.DUMMYFUNCTION("""COMPUTED_VALUE"""),78940.0)</f>
        <v>78940</v>
      </c>
      <c r="B4001" s="2">
        <f>IFERROR(__xludf.DUMMYFUNCTION("""COMPUTED_VALUE"""),1.0)</f>
        <v>1</v>
      </c>
      <c r="C4001" s="2">
        <f>IFERROR(__xludf.DUMMYFUNCTION("""COMPUTED_VALUE"""),876.0)</f>
        <v>876</v>
      </c>
      <c r="D4001" s="3">
        <f>IFERROR(__xludf.DUMMYFUNCTION("""COMPUTED_VALUE"""),313.0)</f>
        <v>313</v>
      </c>
      <c r="E4001" s="1" t="str">
        <f t="array" ref="E4001">_xlfn.XLOOKUP(A4001,Product!A:A,Product!B:B,"Bulunamadı")</f>
        <v>Law</v>
      </c>
      <c r="F4001" s="1" t="str">
        <f t="array" ref="F4001">_xlfn.XLOOKUP(A4001,Product!A:A,Product!C:C,"Bulunamadı")</f>
        <v>Machine Learning</v>
      </c>
      <c r="G4001" s="2" t="str">
        <f t="array" ref="G4001">_xlfn.XLOOKUP(A4002,Product!A:A,Product!D:D,"Bulunamadı")</f>
        <v>Ironpeak House</v>
      </c>
      <c r="H4001" s="2">
        <f t="array" ref="H4001">_xlfn.XLOOKUP(A4003,Product!A:A,Product!E:E,"Bulunamadı")</f>
        <v>2.17</v>
      </c>
      <c r="I4001" s="2" t="str">
        <f t="shared" si="1"/>
        <v>78940 - Law - Machine Learning</v>
      </c>
      <c r="J4001" s="2">
        <f t="shared" si="2"/>
        <v>679.21</v>
      </c>
      <c r="K4001" s="17">
        <f t="shared" si="3"/>
        <v>1</v>
      </c>
      <c r="L4001" s="18"/>
    </row>
    <row r="4002" hidden="1">
      <c r="A4002" s="2">
        <f>IFERROR(__xludf.DUMMYFUNCTION("""COMPUTED_VALUE"""),194752.0)</f>
        <v>194752</v>
      </c>
      <c r="B4002" s="2">
        <f>IFERROR(__xludf.DUMMYFUNCTION("""COMPUTED_VALUE"""),0.0)</f>
        <v>0</v>
      </c>
      <c r="C4002" s="2">
        <f>IFERROR(__xludf.DUMMYFUNCTION("""COMPUTED_VALUE"""),703.0)</f>
        <v>703</v>
      </c>
      <c r="D4002" s="3">
        <f>IFERROR(__xludf.DUMMYFUNCTION("""COMPUTED_VALUE"""),478.0)</f>
        <v>478</v>
      </c>
      <c r="E4002" s="1" t="str">
        <f t="array" ref="E4002">_xlfn.XLOOKUP(A4002,Product!A:A,Product!B:B,"Bulunamadı")</f>
        <v>Law</v>
      </c>
      <c r="F4002" s="1" t="str">
        <f t="array" ref="F4002">_xlfn.XLOOKUP(A4002,Product!A:A,Product!C:C,"Bulunamadı")</f>
        <v>Machine Learning</v>
      </c>
      <c r="G4002" s="2" t="str">
        <f t="array" ref="G4002">_xlfn.XLOOKUP(A4003,Product!A:A,Product!D:D,"Bulunamadı")</f>
        <v>Ironpeak House</v>
      </c>
      <c r="H4002" s="2">
        <f t="array" ref="H4002">_xlfn.XLOOKUP(A4004,Product!A:A,Product!E:E,"Bulunamadı")</f>
        <v>2.13</v>
      </c>
      <c r="I4002" s="2" t="str">
        <f t="shared" si="1"/>
        <v>194752 - Law - Machine Learning</v>
      </c>
      <c r="J4002" s="2">
        <f t="shared" si="2"/>
        <v>1018.14</v>
      </c>
      <c r="K4002" s="17">
        <f t="shared" si="3"/>
        <v>1</v>
      </c>
      <c r="L4002" s="18"/>
    </row>
    <row r="4003" hidden="1">
      <c r="A4003" s="2">
        <f>IFERROR(__xludf.DUMMYFUNCTION("""COMPUTED_VALUE"""),194748.0)</f>
        <v>194748</v>
      </c>
      <c r="B4003" s="2">
        <f>IFERROR(__xludf.DUMMYFUNCTION("""COMPUTED_VALUE"""),0.0)</f>
        <v>0</v>
      </c>
      <c r="C4003" s="2">
        <f>IFERROR(__xludf.DUMMYFUNCTION("""COMPUTED_VALUE"""),18.0)</f>
        <v>18</v>
      </c>
      <c r="D4003" s="3">
        <f>IFERROR(__xludf.DUMMYFUNCTION("""COMPUTED_VALUE"""),12.0)</f>
        <v>12</v>
      </c>
      <c r="E4003" s="1" t="str">
        <f t="array" ref="E4003">_xlfn.XLOOKUP(A4003,Product!A:A,Product!B:B,"Bulunamadı")</f>
        <v>Law</v>
      </c>
      <c r="F4003" s="1" t="str">
        <f t="array" ref="F4003">_xlfn.XLOOKUP(A4003,Product!A:A,Product!C:C,"Bulunamadı")</f>
        <v>Machine Learning</v>
      </c>
      <c r="G4003" s="2" t="str">
        <f t="array" ref="G4003">_xlfn.XLOOKUP(A4004,Product!A:A,Product!D:D,"Bulunamadı")</f>
        <v>Ironpeak House</v>
      </c>
      <c r="H4003" s="2">
        <f t="array" ref="H4003">_xlfn.XLOOKUP(A4005,Product!A:A,Product!E:E,"Bulunamadı")</f>
        <v>1.97</v>
      </c>
      <c r="I4003" s="2" t="str">
        <f t="shared" si="1"/>
        <v>194748 - Law - Machine Learning</v>
      </c>
      <c r="J4003" s="2">
        <f t="shared" si="2"/>
        <v>23.64</v>
      </c>
      <c r="K4003" s="17">
        <f t="shared" si="3"/>
        <v>1</v>
      </c>
      <c r="L4003" s="18"/>
    </row>
    <row r="4004" hidden="1">
      <c r="A4004" s="2">
        <f>IFERROR(__xludf.DUMMYFUNCTION("""COMPUTED_VALUE"""),111580.0)</f>
        <v>111580</v>
      </c>
      <c r="B4004" s="2">
        <f>IFERROR(__xludf.DUMMYFUNCTION("""COMPUTED_VALUE"""),1.0)</f>
        <v>1</v>
      </c>
      <c r="C4004" s="2">
        <f>IFERROR(__xludf.DUMMYFUNCTION("""COMPUTED_VALUE"""),27.0)</f>
        <v>27</v>
      </c>
      <c r="D4004" s="3">
        <f>IFERROR(__xludf.DUMMYFUNCTION("""COMPUTED_VALUE"""),7.0)</f>
        <v>7</v>
      </c>
      <c r="E4004" s="1" t="str">
        <f t="array" ref="E4004">_xlfn.XLOOKUP(A4004,Product!A:A,Product!B:B,"Bulunamadı")</f>
        <v>Law</v>
      </c>
      <c r="F4004" s="1" t="str">
        <f t="array" ref="F4004">_xlfn.XLOOKUP(A4004,Product!A:A,Product!C:C,"Bulunamadı")</f>
        <v>Machine Learning</v>
      </c>
      <c r="G4004" s="2" t="str">
        <f t="array" ref="G4004">_xlfn.XLOOKUP(A4005,Product!A:A,Product!D:D,"Bulunamadı")</f>
        <v>Ironpeak House</v>
      </c>
      <c r="H4004" s="2">
        <f t="array" ref="H4004">_xlfn.XLOOKUP(A4006,Product!A:A,Product!E:E,"Bulunamadı")</f>
        <v>2.76</v>
      </c>
      <c r="I4004" s="2" t="str">
        <f t="shared" si="1"/>
        <v>111580 - Law - Machine Learning</v>
      </c>
      <c r="J4004" s="2">
        <f t="shared" si="2"/>
        <v>19.32</v>
      </c>
      <c r="K4004" s="17">
        <f t="shared" si="3"/>
        <v>1</v>
      </c>
      <c r="L4004" s="18"/>
    </row>
    <row r="4005" hidden="1">
      <c r="A4005" s="2">
        <f>IFERROR(__xludf.DUMMYFUNCTION("""COMPUTED_VALUE"""),194741.0)</f>
        <v>194741</v>
      </c>
      <c r="B4005" s="2">
        <f>IFERROR(__xludf.DUMMYFUNCTION("""COMPUTED_VALUE"""),1.0)</f>
        <v>1</v>
      </c>
      <c r="C4005" s="2">
        <f>IFERROR(__xludf.DUMMYFUNCTION("""COMPUTED_VALUE"""),397.0)</f>
        <v>397</v>
      </c>
      <c r="D4005" s="3">
        <f>IFERROR(__xludf.DUMMYFUNCTION("""COMPUTED_VALUE"""),227.0)</f>
        <v>227</v>
      </c>
      <c r="E4005" s="1" t="str">
        <f t="array" ref="E4005">_xlfn.XLOOKUP(A4005,Product!A:A,Product!B:B,"Bulunamadı")</f>
        <v>Law</v>
      </c>
      <c r="F4005" s="1" t="str">
        <f t="array" ref="F4005">_xlfn.XLOOKUP(A4005,Product!A:A,Product!C:C,"Bulunamadı")</f>
        <v>Machine Learning</v>
      </c>
      <c r="G4005" s="2" t="str">
        <f t="array" ref="G4005">_xlfn.XLOOKUP(A4006,Product!A:A,Product!D:D,"Bulunamadı")</f>
        <v>Ironpeak House</v>
      </c>
      <c r="H4005" s="2">
        <f t="array" ref="H4005">_xlfn.XLOOKUP(A4007,Product!A:A,Product!E:E,"Bulunamadı")</f>
        <v>2.21</v>
      </c>
      <c r="I4005" s="2" t="str">
        <f t="shared" si="1"/>
        <v>194741 - Law - Machine Learning</v>
      </c>
      <c r="J4005" s="2">
        <f t="shared" si="2"/>
        <v>501.67</v>
      </c>
      <c r="K4005" s="17">
        <f t="shared" si="3"/>
        <v>1</v>
      </c>
      <c r="L4005" s="18"/>
    </row>
    <row r="4006" hidden="1">
      <c r="A4006" s="2">
        <f>IFERROR(__xludf.DUMMYFUNCTION("""COMPUTED_VALUE"""),107082.0)</f>
        <v>107082</v>
      </c>
      <c r="B4006" s="2">
        <f>IFERROR(__xludf.DUMMYFUNCTION("""COMPUTED_VALUE"""),0.0)</f>
        <v>0</v>
      </c>
      <c r="C4006" s="2">
        <f>IFERROR(__xludf.DUMMYFUNCTION("""COMPUTED_VALUE"""),133.0)</f>
        <v>133</v>
      </c>
      <c r="D4006" s="3">
        <f>IFERROR(__xludf.DUMMYFUNCTION("""COMPUTED_VALUE"""),42.0)</f>
        <v>42</v>
      </c>
      <c r="E4006" s="1" t="str">
        <f t="array" ref="E4006">_xlfn.XLOOKUP(A4006,Product!A:A,Product!B:B,"Bulunamadı")</f>
        <v>Law</v>
      </c>
      <c r="F4006" s="1" t="str">
        <f t="array" ref="F4006">_xlfn.XLOOKUP(A4006,Product!A:A,Product!C:C,"Bulunamadı")</f>
        <v>Machine Learning</v>
      </c>
      <c r="G4006" s="2" t="str">
        <f t="array" ref="G4006">_xlfn.XLOOKUP(A4007,Product!A:A,Product!D:D,"Bulunamadı")</f>
        <v>Ironpeak House</v>
      </c>
      <c r="H4006" s="2">
        <f t="array" ref="H4006">_xlfn.XLOOKUP(A4008,Product!A:A,Product!E:E,"Bulunamadı")</f>
        <v>2.04</v>
      </c>
      <c r="I4006" s="2" t="str">
        <f t="shared" si="1"/>
        <v>107082 - Law - Machine Learning</v>
      </c>
      <c r="J4006" s="2">
        <f t="shared" si="2"/>
        <v>85.68</v>
      </c>
      <c r="K4006" s="17">
        <f t="shared" si="3"/>
        <v>1</v>
      </c>
      <c r="L4006" s="18"/>
    </row>
    <row r="4007" hidden="1">
      <c r="A4007" s="2">
        <f>IFERROR(__xludf.DUMMYFUNCTION("""COMPUTED_VALUE"""),83092.0)</f>
        <v>83092</v>
      </c>
      <c r="B4007" s="2">
        <f>IFERROR(__xludf.DUMMYFUNCTION("""COMPUTED_VALUE"""),0.0)</f>
        <v>0</v>
      </c>
      <c r="C4007" s="2">
        <f>IFERROR(__xludf.DUMMYFUNCTION("""COMPUTED_VALUE"""),182.0)</f>
        <v>182</v>
      </c>
      <c r="D4007" s="3">
        <f>IFERROR(__xludf.DUMMYFUNCTION("""COMPUTED_VALUE"""),114.0)</f>
        <v>114</v>
      </c>
      <c r="E4007" s="1" t="str">
        <f t="array" ref="E4007">_xlfn.XLOOKUP(A4007,Product!A:A,Product!B:B,"Bulunamadı")</f>
        <v>Law</v>
      </c>
      <c r="F4007" s="1" t="str">
        <f t="array" ref="F4007">_xlfn.XLOOKUP(A4007,Product!A:A,Product!C:C,"Bulunamadı")</f>
        <v>Machine Learning</v>
      </c>
      <c r="G4007" s="2" t="str">
        <f t="array" ref="G4007">_xlfn.XLOOKUP(A4008,Product!A:A,Product!D:D,"Bulunamadı")</f>
        <v>Ironpeak House</v>
      </c>
      <c r="H4007" s="2">
        <f t="array" ref="H4007">_xlfn.XLOOKUP(A4009,Product!A:A,Product!E:E,"Bulunamadı")</f>
        <v>3.7</v>
      </c>
      <c r="I4007" s="2" t="str">
        <f t="shared" si="1"/>
        <v>83092 - Law - Machine Learning</v>
      </c>
      <c r="J4007" s="2">
        <f t="shared" si="2"/>
        <v>421.8</v>
      </c>
      <c r="K4007" s="17">
        <f t="shared" si="3"/>
        <v>1</v>
      </c>
      <c r="L4007" s="18"/>
    </row>
    <row r="4008" hidden="1">
      <c r="A4008" s="2">
        <f>IFERROR(__xludf.DUMMYFUNCTION("""COMPUTED_VALUE"""),111581.0)</f>
        <v>111581</v>
      </c>
      <c r="B4008" s="2">
        <f>IFERROR(__xludf.DUMMYFUNCTION("""COMPUTED_VALUE"""),0.0)</f>
        <v>0</v>
      </c>
      <c r="C4008" s="2">
        <f>IFERROR(__xludf.DUMMYFUNCTION("""COMPUTED_VALUE"""),548.0)</f>
        <v>548</v>
      </c>
      <c r="D4008" s="3">
        <f>IFERROR(__xludf.DUMMYFUNCTION("""COMPUTED_VALUE"""),234.0)</f>
        <v>234</v>
      </c>
      <c r="E4008" s="1" t="str">
        <f t="array" ref="E4008">_xlfn.XLOOKUP(A4008,Product!A:A,Product!B:B,"Bulunamadı")</f>
        <v>Law</v>
      </c>
      <c r="F4008" s="1" t="str">
        <f t="array" ref="F4008">_xlfn.XLOOKUP(A4008,Product!A:A,Product!C:C,"Bulunamadı")</f>
        <v>Machine Learning</v>
      </c>
      <c r="G4008" s="2" t="str">
        <f t="array" ref="G4008">_xlfn.XLOOKUP(A4009,Product!A:A,Product!D:D,"Bulunamadı")</f>
        <v>Ironpeak House</v>
      </c>
      <c r="H4008" s="2">
        <f t="array" ref="H4008">_xlfn.XLOOKUP(A4010,Product!A:A,Product!E:E,"Bulunamadı")</f>
        <v>3.66</v>
      </c>
      <c r="I4008" s="2" t="str">
        <f t="shared" si="1"/>
        <v>111581 - Law - Machine Learning</v>
      </c>
      <c r="J4008" s="2">
        <f t="shared" si="2"/>
        <v>856.44</v>
      </c>
      <c r="K4008" s="17">
        <f t="shared" si="3"/>
        <v>1</v>
      </c>
      <c r="L4008" s="18"/>
    </row>
    <row r="4009" hidden="1">
      <c r="A4009" s="2">
        <f>IFERROR(__xludf.DUMMYFUNCTION("""COMPUTED_VALUE"""),88402.0)</f>
        <v>88402</v>
      </c>
      <c r="B4009" s="2">
        <f>IFERROR(__xludf.DUMMYFUNCTION("""COMPUTED_VALUE"""),0.0)</f>
        <v>0</v>
      </c>
      <c r="C4009" s="2">
        <f>IFERROR(__xludf.DUMMYFUNCTION("""COMPUTED_VALUE"""),114.0)</f>
        <v>114</v>
      </c>
      <c r="D4009" s="3">
        <f>IFERROR(__xludf.DUMMYFUNCTION("""COMPUTED_VALUE"""),49.0)</f>
        <v>49</v>
      </c>
      <c r="E4009" s="1" t="str">
        <f t="array" ref="E4009">_xlfn.XLOOKUP(A4009,Product!A:A,Product!B:B,"Bulunamadı")</f>
        <v>Law</v>
      </c>
      <c r="F4009" s="1" t="str">
        <f t="array" ref="F4009">_xlfn.XLOOKUP(A4009,Product!A:A,Product!C:C,"Bulunamadı")</f>
        <v>Machine Learning</v>
      </c>
      <c r="G4009" s="2" t="str">
        <f t="array" ref="G4009">_xlfn.XLOOKUP(A4010,Product!A:A,Product!D:D,"Bulunamadı")</f>
        <v>Ironpeak House</v>
      </c>
      <c r="H4009" s="2">
        <f t="array" ref="H4009">_xlfn.XLOOKUP(A4011,Product!A:A,Product!E:E,"Bulunamadı")</f>
        <v>1.64</v>
      </c>
      <c r="I4009" s="2" t="str">
        <f t="shared" si="1"/>
        <v>88402 - Law - Machine Learning</v>
      </c>
      <c r="J4009" s="2">
        <f t="shared" si="2"/>
        <v>80.36</v>
      </c>
      <c r="K4009" s="17">
        <f t="shared" si="3"/>
        <v>1</v>
      </c>
      <c r="L4009" s="18"/>
    </row>
    <row r="4010" hidden="1">
      <c r="A4010" s="2">
        <f>IFERROR(__xludf.DUMMYFUNCTION("""COMPUTED_VALUE"""),88413.0)</f>
        <v>88413</v>
      </c>
      <c r="B4010" s="2">
        <f>IFERROR(__xludf.DUMMYFUNCTION("""COMPUTED_VALUE"""),0.0)</f>
        <v>0</v>
      </c>
      <c r="C4010" s="2">
        <f>IFERROR(__xludf.DUMMYFUNCTION("""COMPUTED_VALUE"""),501.0)</f>
        <v>501</v>
      </c>
      <c r="D4010" s="3">
        <f>IFERROR(__xludf.DUMMYFUNCTION("""COMPUTED_VALUE"""),443.0)</f>
        <v>443</v>
      </c>
      <c r="E4010" s="1" t="str">
        <f t="array" ref="E4010">_xlfn.XLOOKUP(A4010,Product!A:A,Product!B:B,"Bulunamadı")</f>
        <v>Law</v>
      </c>
      <c r="F4010" s="1" t="str">
        <f t="array" ref="F4010">_xlfn.XLOOKUP(A4010,Product!A:A,Product!C:C,"Bulunamadı")</f>
        <v>Machine Learning</v>
      </c>
      <c r="G4010" s="2" t="str">
        <f t="array" ref="G4010">_xlfn.XLOOKUP(A4011,Product!A:A,Product!D:D,"Bulunamadı")</f>
        <v>Silvertrail House</v>
      </c>
      <c r="H4010" s="2">
        <f t="array" ref="H4010">_xlfn.XLOOKUP(A4012,Product!A:A,Product!E:E,"Bulunamadı")</f>
        <v>2.09</v>
      </c>
      <c r="I4010" s="2" t="str">
        <f t="shared" si="1"/>
        <v>88413 - Law - Machine Learning</v>
      </c>
      <c r="J4010" s="2">
        <f t="shared" si="2"/>
        <v>925.87</v>
      </c>
      <c r="K4010" s="17">
        <f t="shared" si="3"/>
        <v>1</v>
      </c>
      <c r="L4010" s="18"/>
    </row>
    <row r="4011" hidden="1">
      <c r="A4011" s="2">
        <f>IFERROR(__xludf.DUMMYFUNCTION("""COMPUTED_VALUE"""),86560.0)</f>
        <v>86560</v>
      </c>
      <c r="B4011" s="2">
        <f>IFERROR(__xludf.DUMMYFUNCTION("""COMPUTED_VALUE"""),0.0)</f>
        <v>0</v>
      </c>
      <c r="C4011" s="2">
        <f>IFERROR(__xludf.DUMMYFUNCTION("""COMPUTED_VALUE"""),35.0)</f>
        <v>35</v>
      </c>
      <c r="D4011" s="3">
        <f>IFERROR(__xludf.DUMMYFUNCTION("""COMPUTED_VALUE"""),0.0)</f>
        <v>0</v>
      </c>
      <c r="E4011" s="1" t="str">
        <f t="array" ref="E4011">_xlfn.XLOOKUP(A4011,Product!A:A,Product!B:B,"Bulunamadı")</f>
        <v>Law</v>
      </c>
      <c r="F4011" s="1" t="str">
        <f t="array" ref="F4011">_xlfn.XLOOKUP(A4011,Product!A:A,Product!C:C,"Bulunamadı")</f>
        <v>Machine Learning</v>
      </c>
      <c r="G4011" s="2" t="str">
        <f t="array" ref="G4011">_xlfn.XLOOKUP(A4012,Product!A:A,Product!D:D,"Bulunamadı")</f>
        <v>Silvertrail House</v>
      </c>
      <c r="H4011" s="2">
        <f t="array" ref="H4011">_xlfn.XLOOKUP(A4013,Product!A:A,Product!E:E,"Bulunamadı")</f>
        <v>2.36</v>
      </c>
      <c r="I4011" s="2" t="str">
        <f t="shared" si="1"/>
        <v>86560 - Law - Machine Learning</v>
      </c>
      <c r="J4011" s="2">
        <f t="shared" si="2"/>
        <v>0</v>
      </c>
      <c r="K4011" s="17">
        <f t="shared" si="3"/>
        <v>0</v>
      </c>
      <c r="L4011" s="18"/>
    </row>
    <row r="4012" hidden="1">
      <c r="A4012" s="2">
        <f>IFERROR(__xludf.DUMMYFUNCTION("""COMPUTED_VALUE"""),127584.0)</f>
        <v>127584</v>
      </c>
      <c r="B4012" s="2">
        <f>IFERROR(__xludf.DUMMYFUNCTION("""COMPUTED_VALUE"""),0.0)</f>
        <v>0</v>
      </c>
      <c r="C4012" s="2">
        <f>IFERROR(__xludf.DUMMYFUNCTION("""COMPUTED_VALUE"""),795.0)</f>
        <v>795</v>
      </c>
      <c r="D4012" s="3">
        <f>IFERROR(__xludf.DUMMYFUNCTION("""COMPUTED_VALUE"""),152.0)</f>
        <v>152</v>
      </c>
      <c r="E4012" s="1" t="str">
        <f t="array" ref="E4012">_xlfn.XLOOKUP(A4012,Product!A:A,Product!B:B,"Bulunamadı")</f>
        <v>Law</v>
      </c>
      <c r="F4012" s="1" t="str">
        <f t="array" ref="F4012">_xlfn.XLOOKUP(A4012,Product!A:A,Product!C:C,"Bulunamadı")</f>
        <v>Machine Learning</v>
      </c>
      <c r="G4012" s="2" t="str">
        <f t="array" ref="G4012">_xlfn.XLOOKUP(A4013,Product!A:A,Product!D:D,"Bulunamadı")</f>
        <v>Silvertrail House</v>
      </c>
      <c r="H4012" s="2">
        <f t="array" ref="H4012">_xlfn.XLOOKUP(A4014,Product!A:A,Product!E:E,"Bulunamadı")</f>
        <v>2.52</v>
      </c>
      <c r="I4012" s="2" t="str">
        <f t="shared" si="1"/>
        <v>127584 - Law - Machine Learning</v>
      </c>
      <c r="J4012" s="2">
        <f t="shared" si="2"/>
        <v>383.04</v>
      </c>
      <c r="K4012" s="17">
        <f t="shared" si="3"/>
        <v>1</v>
      </c>
      <c r="L4012" s="18"/>
    </row>
    <row r="4013" hidden="1">
      <c r="A4013" s="2">
        <f>IFERROR(__xludf.DUMMYFUNCTION("""COMPUTED_VALUE"""),122254.0)</f>
        <v>122254</v>
      </c>
      <c r="B4013" s="2">
        <f>IFERROR(__xludf.DUMMYFUNCTION("""COMPUTED_VALUE"""),1.0)</f>
        <v>1</v>
      </c>
      <c r="C4013" s="2">
        <f>IFERROR(__xludf.DUMMYFUNCTION("""COMPUTED_VALUE"""),537.0)</f>
        <v>537</v>
      </c>
      <c r="D4013" s="3">
        <f>IFERROR(__xludf.DUMMYFUNCTION("""COMPUTED_VALUE"""),23.0)</f>
        <v>23</v>
      </c>
      <c r="E4013" s="1" t="str">
        <f t="array" ref="E4013">_xlfn.XLOOKUP(A4013,Product!A:A,Product!B:B,"Bulunamadı")</f>
        <v>Law</v>
      </c>
      <c r="F4013" s="1" t="str">
        <f t="array" ref="F4013">_xlfn.XLOOKUP(A4013,Product!A:A,Product!C:C,"Bulunamadı")</f>
        <v>Machine Learning</v>
      </c>
      <c r="G4013" s="2" t="str">
        <f t="array" ref="G4013">_xlfn.XLOOKUP(A4014,Product!A:A,Product!D:D,"Bulunamadı")</f>
        <v>Silvertrail House</v>
      </c>
      <c r="H4013" s="2">
        <f t="array" ref="H4013">_xlfn.XLOOKUP(A4015,Product!A:A,Product!E:E,"Bulunamadı")</f>
        <v>2.74</v>
      </c>
      <c r="I4013" s="2" t="str">
        <f t="shared" si="1"/>
        <v>122254 - Law - Machine Learning</v>
      </c>
      <c r="J4013" s="2">
        <f t="shared" si="2"/>
        <v>63.02</v>
      </c>
      <c r="K4013" s="17">
        <f t="shared" si="3"/>
        <v>1</v>
      </c>
      <c r="L4013" s="18"/>
    </row>
    <row r="4014" hidden="1">
      <c r="A4014" s="2">
        <f>IFERROR(__xludf.DUMMYFUNCTION("""COMPUTED_VALUE"""),118849.0)</f>
        <v>118849</v>
      </c>
      <c r="B4014" s="2">
        <f>IFERROR(__xludf.DUMMYFUNCTION("""COMPUTED_VALUE"""),0.0)</f>
        <v>0</v>
      </c>
      <c r="C4014" s="2">
        <f>IFERROR(__xludf.DUMMYFUNCTION("""COMPUTED_VALUE"""),770.0)</f>
        <v>770</v>
      </c>
      <c r="D4014" s="3">
        <f>IFERROR(__xludf.DUMMYFUNCTION("""COMPUTED_VALUE"""),642.0)</f>
        <v>642</v>
      </c>
      <c r="E4014" s="1" t="str">
        <f t="array" ref="E4014">_xlfn.XLOOKUP(A4014,Product!A:A,Product!B:B,"Bulunamadı")</f>
        <v>Law</v>
      </c>
      <c r="F4014" s="1" t="str">
        <f t="array" ref="F4014">_xlfn.XLOOKUP(A4014,Product!A:A,Product!C:C,"Bulunamadı")</f>
        <v>Machine Learning</v>
      </c>
      <c r="G4014" s="2" t="str">
        <f t="array" ref="G4014">_xlfn.XLOOKUP(A4015,Product!A:A,Product!D:D,"Bulunamadı")</f>
        <v>Silvertrail House</v>
      </c>
      <c r="H4014" s="2">
        <f t="array" ref="H4014">_xlfn.XLOOKUP(A4016,Product!A:A,Product!E:E,"Bulunamadı")</f>
        <v>2.23</v>
      </c>
      <c r="I4014" s="2" t="str">
        <f t="shared" si="1"/>
        <v>118849 - Law - Machine Learning</v>
      </c>
      <c r="J4014" s="2">
        <f t="shared" si="2"/>
        <v>1431.66</v>
      </c>
      <c r="K4014" s="17">
        <f t="shared" si="3"/>
        <v>1</v>
      </c>
      <c r="L4014" s="18"/>
    </row>
    <row r="4015" hidden="1">
      <c r="A4015" s="2">
        <f>IFERROR(__xludf.DUMMYFUNCTION("""COMPUTED_VALUE"""),107187.0)</f>
        <v>107187</v>
      </c>
      <c r="B4015" s="2">
        <f>IFERROR(__xludf.DUMMYFUNCTION("""COMPUTED_VALUE"""),1.0)</f>
        <v>1</v>
      </c>
      <c r="C4015" s="2">
        <f>IFERROR(__xludf.DUMMYFUNCTION("""COMPUTED_VALUE"""),82.0)</f>
        <v>82</v>
      </c>
      <c r="D4015" s="3">
        <f>IFERROR(__xludf.DUMMYFUNCTION("""COMPUTED_VALUE"""),57.0)</f>
        <v>57</v>
      </c>
      <c r="E4015" s="1" t="str">
        <f t="array" ref="E4015">_xlfn.XLOOKUP(A4015,Product!A:A,Product!B:B,"Bulunamadı")</f>
        <v>Law</v>
      </c>
      <c r="F4015" s="1" t="str">
        <f t="array" ref="F4015">_xlfn.XLOOKUP(A4015,Product!A:A,Product!C:C,"Bulunamadı")</f>
        <v>Machine Learning</v>
      </c>
      <c r="G4015" s="2" t="str">
        <f t="array" ref="G4015">_xlfn.XLOOKUP(A4016,Product!A:A,Product!D:D,"Bulunamadı")</f>
        <v>Silvertrail House</v>
      </c>
      <c r="H4015" s="2">
        <f t="array" ref="H4015">_xlfn.XLOOKUP(A4017,Product!A:A,Product!E:E,"Bulunamadı")</f>
        <v>2</v>
      </c>
      <c r="I4015" s="2" t="str">
        <f t="shared" si="1"/>
        <v>107187 - Law - Machine Learning</v>
      </c>
      <c r="J4015" s="2">
        <f t="shared" si="2"/>
        <v>114</v>
      </c>
      <c r="K4015" s="17">
        <f t="shared" si="3"/>
        <v>1</v>
      </c>
      <c r="L4015" s="18"/>
    </row>
    <row r="4016" hidden="1">
      <c r="A4016" s="2">
        <f>IFERROR(__xludf.DUMMYFUNCTION("""COMPUTED_VALUE"""),119932.0)</f>
        <v>119932</v>
      </c>
      <c r="B4016" s="2">
        <f>IFERROR(__xludf.DUMMYFUNCTION("""COMPUTED_VALUE"""),1.0)</f>
        <v>1</v>
      </c>
      <c r="C4016" s="2">
        <f>IFERROR(__xludf.DUMMYFUNCTION("""COMPUTED_VALUE"""),473.0)</f>
        <v>473</v>
      </c>
      <c r="D4016" s="3">
        <f>IFERROR(__xludf.DUMMYFUNCTION("""COMPUTED_VALUE"""),313.0)</f>
        <v>313</v>
      </c>
      <c r="E4016" s="1" t="str">
        <f t="array" ref="E4016">_xlfn.XLOOKUP(A4016,Product!A:A,Product!B:B,"Bulunamadı")</f>
        <v>Law</v>
      </c>
      <c r="F4016" s="1" t="str">
        <f t="array" ref="F4016">_xlfn.XLOOKUP(A4016,Product!A:A,Product!C:C,"Bulunamadı")</f>
        <v>Machine Learning</v>
      </c>
      <c r="G4016" s="2" t="str">
        <f t="array" ref="G4016">_xlfn.XLOOKUP(A4017,Product!A:A,Product!D:D,"Bulunamadı")</f>
        <v>Northtrail House</v>
      </c>
      <c r="H4016" s="2">
        <f t="array" ref="H4016">_xlfn.XLOOKUP(A4018,Product!A:A,Product!E:E,"Bulunamadı")</f>
        <v>3.06</v>
      </c>
      <c r="I4016" s="2" t="str">
        <f t="shared" si="1"/>
        <v>119932 - Law - Machine Learning</v>
      </c>
      <c r="J4016" s="2">
        <f t="shared" si="2"/>
        <v>957.78</v>
      </c>
      <c r="K4016" s="17">
        <f t="shared" si="3"/>
        <v>1</v>
      </c>
      <c r="L4016" s="18"/>
    </row>
    <row r="4017" hidden="1">
      <c r="A4017" s="2">
        <f>IFERROR(__xludf.DUMMYFUNCTION("""COMPUTED_VALUE"""),92045.0)</f>
        <v>92045</v>
      </c>
      <c r="B4017" s="2">
        <f>IFERROR(__xludf.DUMMYFUNCTION("""COMPUTED_VALUE"""),1.0)</f>
        <v>1</v>
      </c>
      <c r="C4017" s="2">
        <f>IFERROR(__xludf.DUMMYFUNCTION("""COMPUTED_VALUE"""),387.0)</f>
        <v>387</v>
      </c>
      <c r="D4017" s="3">
        <f>IFERROR(__xludf.DUMMYFUNCTION("""COMPUTED_VALUE"""),197.0)</f>
        <v>197</v>
      </c>
      <c r="E4017" s="1" t="str">
        <f t="array" ref="E4017">_xlfn.XLOOKUP(A4017,Product!A:A,Product!B:B,"Bulunamadı")</f>
        <v>Medical</v>
      </c>
      <c r="F4017" s="1" t="str">
        <f t="array" ref="F4017">_xlfn.XLOOKUP(A4017,Product!A:A,Product!C:C,"Bulunamadı")</f>
        <v>Cybersecurity</v>
      </c>
      <c r="G4017" s="2" t="str">
        <f t="array" ref="G4017">_xlfn.XLOOKUP(A4018,Product!A:A,Product!D:D,"Bulunamadı")</f>
        <v>Northtrail House</v>
      </c>
      <c r="H4017" s="2">
        <f t="array" ref="H4017">_xlfn.XLOOKUP(A4019,Product!A:A,Product!E:E,"Bulunamadı")</f>
        <v>2.24</v>
      </c>
      <c r="I4017" s="2" t="str">
        <f t="shared" si="1"/>
        <v>92045 - Medical - Cybersecurity</v>
      </c>
      <c r="J4017" s="2">
        <f t="shared" si="2"/>
        <v>441.28</v>
      </c>
      <c r="K4017" s="17">
        <f t="shared" si="3"/>
        <v>1</v>
      </c>
      <c r="L4017" s="18"/>
    </row>
    <row r="4018" hidden="1">
      <c r="A4018" s="2">
        <f>IFERROR(__xludf.DUMMYFUNCTION("""COMPUTED_VALUE"""),82168.0)</f>
        <v>82168</v>
      </c>
      <c r="B4018" s="2">
        <f>IFERROR(__xludf.DUMMYFUNCTION("""COMPUTED_VALUE"""),0.0)</f>
        <v>0</v>
      </c>
      <c r="C4018" s="2">
        <f>IFERROR(__xludf.DUMMYFUNCTION("""COMPUTED_VALUE"""),96.0)</f>
        <v>96</v>
      </c>
      <c r="D4018" s="3">
        <f>IFERROR(__xludf.DUMMYFUNCTION("""COMPUTED_VALUE"""),96.0)</f>
        <v>96</v>
      </c>
      <c r="E4018" s="1" t="str">
        <f t="array" ref="E4018">_xlfn.XLOOKUP(A4018,Product!A:A,Product!B:B,"Bulunamadı")</f>
        <v>Medical</v>
      </c>
      <c r="F4018" s="1" t="str">
        <f t="array" ref="F4018">_xlfn.XLOOKUP(A4018,Product!A:A,Product!C:C,"Bulunamadı")</f>
        <v>Cybersecurity</v>
      </c>
      <c r="G4018" s="2" t="str">
        <f t="array" ref="G4018">_xlfn.XLOOKUP(A4019,Product!A:A,Product!D:D,"Bulunamadı")</f>
        <v>Northtrail House</v>
      </c>
      <c r="H4018" s="2">
        <f t="array" ref="H4018">_xlfn.XLOOKUP(A4020,Product!A:A,Product!E:E,"Bulunamadı")</f>
        <v>2.06</v>
      </c>
      <c r="I4018" s="2" t="str">
        <f t="shared" si="1"/>
        <v>82168 - Medical - Cybersecurity</v>
      </c>
      <c r="J4018" s="2">
        <f t="shared" si="2"/>
        <v>197.76</v>
      </c>
      <c r="K4018" s="17">
        <f t="shared" si="3"/>
        <v>1</v>
      </c>
      <c r="L4018" s="18"/>
    </row>
    <row r="4019" hidden="1">
      <c r="A4019" s="2">
        <f>IFERROR(__xludf.DUMMYFUNCTION("""COMPUTED_VALUE"""),79263.0)</f>
        <v>79263</v>
      </c>
      <c r="B4019" s="2">
        <f>IFERROR(__xludf.DUMMYFUNCTION("""COMPUTED_VALUE"""),0.0)</f>
        <v>0</v>
      </c>
      <c r="C4019" s="2">
        <f>IFERROR(__xludf.DUMMYFUNCTION("""COMPUTED_VALUE"""),72.0)</f>
        <v>72</v>
      </c>
      <c r="D4019" s="3">
        <f>IFERROR(__xludf.DUMMYFUNCTION("""COMPUTED_VALUE"""),5.0)</f>
        <v>5</v>
      </c>
      <c r="E4019" s="1" t="str">
        <f t="array" ref="E4019">_xlfn.XLOOKUP(A4019,Product!A:A,Product!B:B,"Bulunamadı")</f>
        <v>Medical</v>
      </c>
      <c r="F4019" s="1" t="str">
        <f t="array" ref="F4019">_xlfn.XLOOKUP(A4019,Product!A:A,Product!C:C,"Bulunamadı")</f>
        <v>Cybersecurity</v>
      </c>
      <c r="G4019" s="2" t="str">
        <f t="array" ref="G4019">_xlfn.XLOOKUP(A4020,Product!A:A,Product!D:D,"Bulunamadı")</f>
        <v>Northtrail House</v>
      </c>
      <c r="H4019" s="2">
        <f t="array" ref="H4019">_xlfn.XLOOKUP(A4021,Product!A:A,Product!E:E,"Bulunamadı")</f>
        <v>6.29</v>
      </c>
      <c r="I4019" s="2" t="str">
        <f t="shared" si="1"/>
        <v>79263 - Medical - Cybersecurity</v>
      </c>
      <c r="J4019" s="2">
        <f t="shared" si="2"/>
        <v>31.45</v>
      </c>
      <c r="K4019" s="17">
        <f t="shared" si="3"/>
        <v>1</v>
      </c>
      <c r="L4019" s="18"/>
    </row>
    <row r="4020" hidden="1">
      <c r="A4020" s="2">
        <f>IFERROR(__xludf.DUMMYFUNCTION("""COMPUTED_VALUE"""),92044.0)</f>
        <v>92044</v>
      </c>
      <c r="B4020" s="2">
        <f>IFERROR(__xludf.DUMMYFUNCTION("""COMPUTED_VALUE"""),1.0)</f>
        <v>1</v>
      </c>
      <c r="C4020" s="2">
        <f>IFERROR(__xludf.DUMMYFUNCTION("""COMPUTED_VALUE"""),90.0)</f>
        <v>90</v>
      </c>
      <c r="D4020" s="3">
        <f>IFERROR(__xludf.DUMMYFUNCTION("""COMPUTED_VALUE"""),36.0)</f>
        <v>36</v>
      </c>
      <c r="E4020" s="1" t="str">
        <f t="array" ref="E4020">_xlfn.XLOOKUP(A4020,Product!A:A,Product!B:B,"Bulunamadı")</f>
        <v>Medical</v>
      </c>
      <c r="F4020" s="1" t="str">
        <f t="array" ref="F4020">_xlfn.XLOOKUP(A4020,Product!A:A,Product!C:C,"Bulunamadı")</f>
        <v>Cybersecurity</v>
      </c>
      <c r="G4020" s="2" t="str">
        <f t="array" ref="G4020">_xlfn.XLOOKUP(A4021,Product!A:A,Product!D:D,"Bulunamadı")</f>
        <v>Northtrail House</v>
      </c>
      <c r="H4020" s="2">
        <f t="array" ref="H4020">_xlfn.XLOOKUP(A4022,Product!A:A,Product!E:E,"Bulunamadı")</f>
        <v>2.46</v>
      </c>
      <c r="I4020" s="2" t="str">
        <f t="shared" si="1"/>
        <v>92044 - Medical - Cybersecurity</v>
      </c>
      <c r="J4020" s="2">
        <f t="shared" si="2"/>
        <v>88.56</v>
      </c>
      <c r="K4020" s="17">
        <f t="shared" si="3"/>
        <v>1</v>
      </c>
      <c r="L4020" s="18"/>
    </row>
    <row r="4021" hidden="1">
      <c r="A4021" s="2">
        <f>IFERROR(__xludf.DUMMYFUNCTION("""COMPUTED_VALUE"""),114725.0)</f>
        <v>114725</v>
      </c>
      <c r="B4021" s="2">
        <f>IFERROR(__xludf.DUMMYFUNCTION("""COMPUTED_VALUE"""),1.0)</f>
        <v>1</v>
      </c>
      <c r="C4021" s="2">
        <f>IFERROR(__xludf.DUMMYFUNCTION("""COMPUTED_VALUE"""),780.0)</f>
        <v>780</v>
      </c>
      <c r="D4021" s="3">
        <f>IFERROR(__xludf.DUMMYFUNCTION("""COMPUTED_VALUE"""),142.0)</f>
        <v>142</v>
      </c>
      <c r="E4021" s="1" t="str">
        <f t="array" ref="E4021">_xlfn.XLOOKUP(A4021,Product!A:A,Product!B:B,"Bulunamadı")</f>
        <v>Medical</v>
      </c>
      <c r="F4021" s="1" t="str">
        <f t="array" ref="F4021">_xlfn.XLOOKUP(A4021,Product!A:A,Product!C:C,"Bulunamadı")</f>
        <v>Cybersecurity</v>
      </c>
      <c r="G4021" s="2" t="str">
        <f t="array" ref="G4021">_xlfn.XLOOKUP(A4022,Product!A:A,Product!D:D,"Bulunamadı")</f>
        <v>Harbortrail House</v>
      </c>
      <c r="H4021" s="2">
        <f t="array" ref="H4021">_xlfn.XLOOKUP(A4023,Product!A:A,Product!E:E,"Bulunamadı")</f>
        <v>3.12</v>
      </c>
      <c r="I4021" s="2" t="str">
        <f t="shared" si="1"/>
        <v>114725 - Medical - Cybersecurity</v>
      </c>
      <c r="J4021" s="2">
        <f t="shared" si="2"/>
        <v>443.04</v>
      </c>
      <c r="K4021" s="17">
        <f t="shared" si="3"/>
        <v>1</v>
      </c>
      <c r="L4021" s="18"/>
    </row>
    <row r="4022" hidden="1">
      <c r="A4022" s="2">
        <f>IFERROR(__xludf.DUMMYFUNCTION("""COMPUTED_VALUE"""),50684.0)</f>
        <v>50684</v>
      </c>
      <c r="B4022" s="2">
        <f>IFERROR(__xludf.DUMMYFUNCTION("""COMPUTED_VALUE"""),0.0)</f>
        <v>0</v>
      </c>
      <c r="C4022" s="2">
        <f>IFERROR(__xludf.DUMMYFUNCTION("""COMPUTED_VALUE"""),425.0)</f>
        <v>425</v>
      </c>
      <c r="D4022" s="3">
        <f>IFERROR(__xludf.DUMMYFUNCTION("""COMPUTED_VALUE"""),36.0)</f>
        <v>36</v>
      </c>
      <c r="E4022" s="1" t="str">
        <f t="array" ref="E4022">_xlfn.XLOOKUP(A4022,Product!A:A,Product!B:B,"Bulunamadı")</f>
        <v>Medical</v>
      </c>
      <c r="F4022" s="1" t="str">
        <f t="array" ref="F4022">_xlfn.XLOOKUP(A4022,Product!A:A,Product!C:C,"Bulunamadı")</f>
        <v>Cybersecurity</v>
      </c>
      <c r="G4022" s="2" t="str">
        <f t="array" ref="G4022">_xlfn.XLOOKUP(A4023,Product!A:A,Product!D:D,"Bulunamadı")</f>
        <v>Harbortrail House</v>
      </c>
      <c r="H4022" s="2">
        <f t="array" ref="H4022">_xlfn.XLOOKUP(A4024,Product!A:A,Product!E:E,"Bulunamadı")</f>
        <v>2.02</v>
      </c>
      <c r="I4022" s="2" t="str">
        <f t="shared" si="1"/>
        <v>50684 - Medical - Cybersecurity</v>
      </c>
      <c r="J4022" s="2">
        <f t="shared" si="2"/>
        <v>72.72</v>
      </c>
      <c r="K4022" s="17">
        <f t="shared" si="3"/>
        <v>1</v>
      </c>
      <c r="L4022" s="18"/>
    </row>
    <row r="4023" hidden="1">
      <c r="A4023" s="2">
        <f>IFERROR(__xludf.DUMMYFUNCTION("""COMPUTED_VALUE"""),82167.0)</f>
        <v>82167</v>
      </c>
      <c r="B4023" s="2">
        <f>IFERROR(__xludf.DUMMYFUNCTION("""COMPUTED_VALUE"""),1.0)</f>
        <v>1</v>
      </c>
      <c r="C4023" s="2">
        <f>IFERROR(__xludf.DUMMYFUNCTION("""COMPUTED_VALUE"""),74.0)</f>
        <v>74</v>
      </c>
      <c r="D4023" s="3">
        <f>IFERROR(__xludf.DUMMYFUNCTION("""COMPUTED_VALUE"""),0.0)</f>
        <v>0</v>
      </c>
      <c r="E4023" s="1" t="str">
        <f t="array" ref="E4023">_xlfn.XLOOKUP(A4023,Product!A:A,Product!B:B,"Bulunamadı")</f>
        <v>Medical</v>
      </c>
      <c r="F4023" s="1" t="str">
        <f t="array" ref="F4023">_xlfn.XLOOKUP(A4023,Product!A:A,Product!C:C,"Bulunamadı")</f>
        <v>Cybersecurity</v>
      </c>
      <c r="G4023" s="2" t="str">
        <f t="array" ref="G4023">_xlfn.XLOOKUP(A4024,Product!A:A,Product!D:D,"Bulunamadı")</f>
        <v>Harbortrail House</v>
      </c>
      <c r="H4023" s="2">
        <f t="array" ref="H4023">_xlfn.XLOOKUP(A4025,Product!A:A,Product!E:E,"Bulunamadı")</f>
        <v>6.12</v>
      </c>
      <c r="I4023" s="2" t="str">
        <f t="shared" si="1"/>
        <v>82167 - Medical - Cybersecurity</v>
      </c>
      <c r="J4023" s="2">
        <f t="shared" si="2"/>
        <v>0</v>
      </c>
      <c r="K4023" s="17">
        <f t="shared" si="3"/>
        <v>0</v>
      </c>
      <c r="L4023" s="18"/>
    </row>
    <row r="4024" hidden="1">
      <c r="A4024" s="2">
        <f>IFERROR(__xludf.DUMMYFUNCTION("""COMPUTED_VALUE"""),68513.0)</f>
        <v>68513</v>
      </c>
      <c r="B4024" s="2">
        <f>IFERROR(__xludf.DUMMYFUNCTION("""COMPUTED_VALUE"""),0.0)</f>
        <v>0</v>
      </c>
      <c r="C4024" s="2">
        <f>IFERROR(__xludf.DUMMYFUNCTION("""COMPUTED_VALUE"""),394.0)</f>
        <v>394</v>
      </c>
      <c r="D4024" s="3">
        <f>IFERROR(__xludf.DUMMYFUNCTION("""COMPUTED_VALUE"""),313.0)</f>
        <v>313</v>
      </c>
      <c r="E4024" s="1" t="str">
        <f t="array" ref="E4024">_xlfn.XLOOKUP(A4024,Product!A:A,Product!B:B,"Bulunamadı")</f>
        <v>Medical</v>
      </c>
      <c r="F4024" s="1" t="str">
        <f t="array" ref="F4024">_xlfn.XLOOKUP(A4024,Product!A:A,Product!C:C,"Bulunamadı")</f>
        <v>Cybersecurity</v>
      </c>
      <c r="G4024" s="2" t="str">
        <f t="array" ref="G4024">_xlfn.XLOOKUP(A4025,Product!A:A,Product!D:D,"Bulunamadı")</f>
        <v>Harbortrail House</v>
      </c>
      <c r="H4024" s="2">
        <f t="array" ref="H4024">_xlfn.XLOOKUP(A4026,Product!A:A,Product!E:E,"Bulunamadı")</f>
        <v>3.48</v>
      </c>
      <c r="I4024" s="2" t="str">
        <f t="shared" si="1"/>
        <v>68513 - Medical - Cybersecurity</v>
      </c>
      <c r="J4024" s="2">
        <f t="shared" si="2"/>
        <v>1089.24</v>
      </c>
      <c r="K4024" s="17">
        <f t="shared" si="3"/>
        <v>1</v>
      </c>
      <c r="L4024" s="18"/>
    </row>
    <row r="4025" hidden="1">
      <c r="A4025" s="2">
        <f>IFERROR(__xludf.DUMMYFUNCTION("""COMPUTED_VALUE"""),76566.0)</f>
        <v>76566</v>
      </c>
      <c r="B4025" s="2">
        <f>IFERROR(__xludf.DUMMYFUNCTION("""COMPUTED_VALUE"""),1.0)</f>
        <v>1</v>
      </c>
      <c r="C4025" s="2">
        <f>IFERROR(__xludf.DUMMYFUNCTION("""COMPUTED_VALUE"""),468.0)</f>
        <v>468</v>
      </c>
      <c r="D4025" s="3">
        <f>IFERROR(__xludf.DUMMYFUNCTION("""COMPUTED_VALUE"""),420.0)</f>
        <v>420</v>
      </c>
      <c r="E4025" s="1" t="str">
        <f t="array" ref="E4025">_xlfn.XLOOKUP(A4025,Product!A:A,Product!B:B,"Bulunamadı")</f>
        <v>Medical</v>
      </c>
      <c r="F4025" s="1" t="str">
        <f t="array" ref="F4025">_xlfn.XLOOKUP(A4025,Product!A:A,Product!C:C,"Bulunamadı")</f>
        <v>Cybersecurity</v>
      </c>
      <c r="G4025" s="2" t="str">
        <f t="array" ref="G4025">_xlfn.XLOOKUP(A4026,Product!A:A,Product!D:D,"Bulunamadı")</f>
        <v>Harbortrail House</v>
      </c>
      <c r="H4025" s="2">
        <f t="array" ref="H4025">_xlfn.XLOOKUP(A4027,Product!A:A,Product!E:E,"Bulunamadı")</f>
        <v>2.19</v>
      </c>
      <c r="I4025" s="2" t="str">
        <f t="shared" si="1"/>
        <v>76566 - Medical - Cybersecurity</v>
      </c>
      <c r="J4025" s="2">
        <f t="shared" si="2"/>
        <v>919.8</v>
      </c>
      <c r="K4025" s="17">
        <f t="shared" si="3"/>
        <v>1</v>
      </c>
      <c r="L4025" s="18"/>
    </row>
    <row r="4026" hidden="1">
      <c r="A4026" s="2">
        <f>IFERROR(__xludf.DUMMYFUNCTION("""COMPUTED_VALUE"""),119088.0)</f>
        <v>119088</v>
      </c>
      <c r="B4026" s="2">
        <f>IFERROR(__xludf.DUMMYFUNCTION("""COMPUTED_VALUE"""),1.0)</f>
        <v>1</v>
      </c>
      <c r="C4026" s="2">
        <f>IFERROR(__xludf.DUMMYFUNCTION("""COMPUTED_VALUE"""),371.0)</f>
        <v>371</v>
      </c>
      <c r="D4026" s="3">
        <f>IFERROR(__xludf.DUMMYFUNCTION("""COMPUTED_VALUE"""),30.0)</f>
        <v>30</v>
      </c>
      <c r="E4026" s="1" t="str">
        <f t="array" ref="E4026">_xlfn.XLOOKUP(A4026,Product!A:A,Product!B:B,"Bulunamadı")</f>
        <v>Medical</v>
      </c>
      <c r="F4026" s="1" t="str">
        <f t="array" ref="F4026">_xlfn.XLOOKUP(A4026,Product!A:A,Product!C:C,"Bulunamadı")</f>
        <v>Cybersecurity</v>
      </c>
      <c r="G4026" s="2" t="str">
        <f t="array" ref="G4026">_xlfn.XLOOKUP(A4027,Product!A:A,Product!D:D,"Bulunamadı")</f>
        <v>Harbortrail House</v>
      </c>
      <c r="H4026" s="2">
        <f t="array" ref="H4026">_xlfn.XLOOKUP(A4028,Product!A:A,Product!E:E,"Bulunamadı")</f>
        <v>0.76</v>
      </c>
      <c r="I4026" s="2" t="str">
        <f t="shared" si="1"/>
        <v>119088 - Medical - Cybersecurity</v>
      </c>
      <c r="J4026" s="2">
        <f t="shared" si="2"/>
        <v>22.8</v>
      </c>
      <c r="K4026" s="17">
        <f t="shared" si="3"/>
        <v>1</v>
      </c>
      <c r="L4026" s="18"/>
    </row>
    <row r="4027" hidden="1">
      <c r="A4027" s="2">
        <f>IFERROR(__xludf.DUMMYFUNCTION("""COMPUTED_VALUE"""),119431.0)</f>
        <v>119431</v>
      </c>
      <c r="B4027" s="2">
        <f>IFERROR(__xludf.DUMMYFUNCTION("""COMPUTED_VALUE"""),0.0)</f>
        <v>0</v>
      </c>
      <c r="C4027" s="2">
        <f>IFERROR(__xludf.DUMMYFUNCTION("""COMPUTED_VALUE"""),47.0)</f>
        <v>47</v>
      </c>
      <c r="D4027" s="3">
        <f>IFERROR(__xludf.DUMMYFUNCTION("""COMPUTED_VALUE"""),21.0)</f>
        <v>21</v>
      </c>
      <c r="E4027" s="1" t="str">
        <f t="array" ref="E4027">_xlfn.XLOOKUP(A4027,Product!A:A,Product!B:B,"Bulunamadı")</f>
        <v>Medical</v>
      </c>
      <c r="F4027" s="1" t="str">
        <f t="array" ref="F4027">_xlfn.XLOOKUP(A4027,Product!A:A,Product!C:C,"Bulunamadı")</f>
        <v>Cybersecurity</v>
      </c>
      <c r="G4027" s="2" t="str">
        <f t="array" ref="G4027">_xlfn.XLOOKUP(A4028,Product!A:A,Product!D:D,"Bulunamadı")</f>
        <v>Cedartrail House</v>
      </c>
      <c r="H4027" s="2">
        <f t="array" ref="H4027">_xlfn.XLOOKUP(A4029,Product!A:A,Product!E:E,"Bulunamadı")</f>
        <v>0.65</v>
      </c>
      <c r="I4027" s="2" t="str">
        <f t="shared" si="1"/>
        <v>119431 - Medical - Cybersecurity</v>
      </c>
      <c r="J4027" s="2">
        <f t="shared" si="2"/>
        <v>13.65</v>
      </c>
      <c r="K4027" s="17">
        <f t="shared" si="3"/>
        <v>1</v>
      </c>
      <c r="L4027" s="18"/>
    </row>
    <row r="4028" hidden="1">
      <c r="A4028" s="2">
        <f>IFERROR(__xludf.DUMMYFUNCTION("""COMPUTED_VALUE"""),101279.0)</f>
        <v>101279</v>
      </c>
      <c r="B4028" s="2">
        <f>IFERROR(__xludf.DUMMYFUNCTION("""COMPUTED_VALUE"""),1.0)</f>
        <v>1</v>
      </c>
      <c r="C4028" s="2">
        <f>IFERROR(__xludf.DUMMYFUNCTION("""COMPUTED_VALUE"""),533.0)</f>
        <v>533</v>
      </c>
      <c r="D4028" s="3">
        <f>IFERROR(__xludf.DUMMYFUNCTION("""COMPUTED_VALUE"""),235.0)</f>
        <v>235</v>
      </c>
      <c r="E4028" s="1" t="str">
        <f t="array" ref="E4028">_xlfn.XLOOKUP(A4028,Product!A:A,Product!B:B,"Bulunamadı")</f>
        <v>Medical</v>
      </c>
      <c r="F4028" s="1" t="str">
        <f t="array" ref="F4028">_xlfn.XLOOKUP(A4028,Product!A:A,Product!C:C,"Bulunamadı")</f>
        <v>Cybersecurity</v>
      </c>
      <c r="G4028" s="2" t="str">
        <f t="array" ref="G4028">_xlfn.XLOOKUP(A4029,Product!A:A,Product!D:D,"Bulunamadı")</f>
        <v>Cedartrail House</v>
      </c>
      <c r="H4028" s="2">
        <f t="array" ref="H4028">_xlfn.XLOOKUP(A4030,Product!A:A,Product!E:E,"Bulunamadı")</f>
        <v>0.82</v>
      </c>
      <c r="I4028" s="2" t="str">
        <f t="shared" si="1"/>
        <v>101279 - Medical - Cybersecurity</v>
      </c>
      <c r="J4028" s="2">
        <f t="shared" si="2"/>
        <v>192.7</v>
      </c>
      <c r="K4028" s="17">
        <f t="shared" si="3"/>
        <v>1</v>
      </c>
      <c r="L4028" s="18"/>
    </row>
    <row r="4029" hidden="1">
      <c r="A4029" s="2">
        <f>IFERROR(__xludf.DUMMYFUNCTION("""COMPUTED_VALUE"""),101270.0)</f>
        <v>101270</v>
      </c>
      <c r="B4029" s="2">
        <f>IFERROR(__xludf.DUMMYFUNCTION("""COMPUTED_VALUE"""),0.0)</f>
        <v>0</v>
      </c>
      <c r="C4029" s="2">
        <f>IFERROR(__xludf.DUMMYFUNCTION("""COMPUTED_VALUE"""),513.0)</f>
        <v>513</v>
      </c>
      <c r="D4029" s="3">
        <f>IFERROR(__xludf.DUMMYFUNCTION("""COMPUTED_VALUE"""),99.0)</f>
        <v>99</v>
      </c>
      <c r="E4029" s="1" t="str">
        <f t="array" ref="E4029">_xlfn.XLOOKUP(A4029,Product!A:A,Product!B:B,"Bulunamadı")</f>
        <v>Medical</v>
      </c>
      <c r="F4029" s="1" t="str">
        <f t="array" ref="F4029">_xlfn.XLOOKUP(A4029,Product!A:A,Product!C:C,"Bulunamadı")</f>
        <v>Cybersecurity</v>
      </c>
      <c r="G4029" s="2" t="str">
        <f t="array" ref="G4029">_xlfn.XLOOKUP(A4030,Product!A:A,Product!D:D,"Bulunamadı")</f>
        <v>Cedartrail House</v>
      </c>
      <c r="H4029" s="2">
        <f t="array" ref="H4029">_xlfn.XLOOKUP(A4031,Product!A:A,Product!E:E,"Bulunamadı")</f>
        <v>16.16</v>
      </c>
      <c r="I4029" s="2" t="str">
        <f t="shared" si="1"/>
        <v>101270 - Medical - Cybersecurity</v>
      </c>
      <c r="J4029" s="2">
        <f t="shared" si="2"/>
        <v>1599.84</v>
      </c>
      <c r="K4029" s="17">
        <f t="shared" si="3"/>
        <v>1</v>
      </c>
      <c r="L4029" s="18"/>
    </row>
    <row r="4030" hidden="1">
      <c r="A4030" s="2">
        <f>IFERROR(__xludf.DUMMYFUNCTION("""COMPUTED_VALUE"""),101282.0)</f>
        <v>101282</v>
      </c>
      <c r="B4030" s="2">
        <f>IFERROR(__xludf.DUMMYFUNCTION("""COMPUTED_VALUE"""),0.0)</f>
        <v>0</v>
      </c>
      <c r="C4030" s="2">
        <f>IFERROR(__xludf.DUMMYFUNCTION("""COMPUTED_VALUE"""),287.0)</f>
        <v>287</v>
      </c>
      <c r="D4030" s="3">
        <f>IFERROR(__xludf.DUMMYFUNCTION("""COMPUTED_VALUE"""),163.0)</f>
        <v>163</v>
      </c>
      <c r="E4030" s="1" t="str">
        <f t="array" ref="E4030">_xlfn.XLOOKUP(A4030,Product!A:A,Product!B:B,"Bulunamadı")</f>
        <v>Medical</v>
      </c>
      <c r="F4030" s="1" t="str">
        <f t="array" ref="F4030">_xlfn.XLOOKUP(A4030,Product!A:A,Product!C:C,"Bulunamadı")</f>
        <v>Cybersecurity</v>
      </c>
      <c r="G4030" s="2" t="str">
        <f t="array" ref="G4030">_xlfn.XLOOKUP(A4031,Product!A:A,Product!D:D,"Bulunamadı")</f>
        <v>Brighttrail House</v>
      </c>
      <c r="H4030" s="2">
        <f t="array" ref="H4030">_xlfn.XLOOKUP(A4032,Product!A:A,Product!E:E,"Bulunamadı")</f>
        <v>6.85</v>
      </c>
      <c r="I4030" s="2" t="str">
        <f t="shared" si="1"/>
        <v>101282 - Medical - Cybersecurity</v>
      </c>
      <c r="J4030" s="2">
        <f t="shared" si="2"/>
        <v>1116.55</v>
      </c>
      <c r="K4030" s="17">
        <f t="shared" si="3"/>
        <v>1</v>
      </c>
      <c r="L4030" s="18"/>
    </row>
    <row r="4031" hidden="1">
      <c r="A4031" s="2">
        <f>IFERROR(__xludf.DUMMYFUNCTION("""COMPUTED_VALUE"""),70291.0)</f>
        <v>70291</v>
      </c>
      <c r="B4031" s="2">
        <f>IFERROR(__xludf.DUMMYFUNCTION("""COMPUTED_VALUE"""),1.0)</f>
        <v>1</v>
      </c>
      <c r="C4031" s="2">
        <f>IFERROR(__xludf.DUMMYFUNCTION("""COMPUTED_VALUE"""),509.0)</f>
        <v>509</v>
      </c>
      <c r="D4031" s="3">
        <f>IFERROR(__xludf.DUMMYFUNCTION("""COMPUTED_VALUE"""),123.0)</f>
        <v>123</v>
      </c>
      <c r="E4031" s="1" t="str">
        <f t="array" ref="E4031">_xlfn.XLOOKUP(A4031,Product!A:A,Product!B:B,"Bulunamadı")</f>
        <v>Fiction</v>
      </c>
      <c r="F4031" s="1" t="str">
        <f t="array" ref="F4031">_xlfn.XLOOKUP(A4031,Product!A:A,Product!C:C,"Bulunamadı")</f>
        <v>Cloud Computing</v>
      </c>
      <c r="G4031" s="2" t="str">
        <f t="array" ref="G4031">_xlfn.XLOOKUP(A4032,Product!A:A,Product!D:D,"Bulunamadı")</f>
        <v>Brighttrail House</v>
      </c>
      <c r="H4031" s="2">
        <f t="array" ref="H4031">_xlfn.XLOOKUP(A4033,Product!A:A,Product!E:E,"Bulunamadı")</f>
        <v>14.74</v>
      </c>
      <c r="I4031" s="2" t="str">
        <f t="shared" si="1"/>
        <v>70291 - Fiction - Cloud Computing</v>
      </c>
      <c r="J4031" s="2">
        <f t="shared" si="2"/>
        <v>1813.02</v>
      </c>
      <c r="K4031" s="17">
        <f t="shared" si="3"/>
        <v>1</v>
      </c>
      <c r="L4031" s="18"/>
    </row>
    <row r="4032" hidden="1">
      <c r="A4032" s="2">
        <f>IFERROR(__xludf.DUMMYFUNCTION("""COMPUTED_VALUE"""),70290.0)</f>
        <v>70290</v>
      </c>
      <c r="B4032" s="2">
        <f>IFERROR(__xludf.DUMMYFUNCTION("""COMPUTED_VALUE"""),1.0)</f>
        <v>1</v>
      </c>
      <c r="C4032" s="2">
        <f>IFERROR(__xludf.DUMMYFUNCTION("""COMPUTED_VALUE"""),990.0)</f>
        <v>990</v>
      </c>
      <c r="D4032" s="3">
        <f>IFERROR(__xludf.DUMMYFUNCTION("""COMPUTED_VALUE"""),856.0)</f>
        <v>856</v>
      </c>
      <c r="E4032" s="1" t="str">
        <f t="array" ref="E4032">_xlfn.XLOOKUP(A4032,Product!A:A,Product!B:B,"Bulunamadı")</f>
        <v>Fiction</v>
      </c>
      <c r="F4032" s="1" t="str">
        <f t="array" ref="F4032">_xlfn.XLOOKUP(A4032,Product!A:A,Product!C:C,"Bulunamadı")</f>
        <v>Cloud Computing</v>
      </c>
      <c r="G4032" s="2" t="str">
        <f t="array" ref="G4032">_xlfn.XLOOKUP(A4033,Product!A:A,Product!D:D,"Bulunamadı")</f>
        <v>Oaktrail House</v>
      </c>
      <c r="H4032" s="2">
        <f t="array" ref="H4032">_xlfn.XLOOKUP(A4034,Product!A:A,Product!E:E,"Bulunamadı")</f>
        <v>4.84</v>
      </c>
      <c r="I4032" s="2" t="str">
        <f t="shared" si="1"/>
        <v>70290 - Fiction - Cloud Computing</v>
      </c>
      <c r="J4032" s="2">
        <f t="shared" si="2"/>
        <v>4143.04</v>
      </c>
      <c r="K4032" s="17">
        <f t="shared" si="3"/>
        <v>1</v>
      </c>
      <c r="L4032" s="18"/>
    </row>
    <row r="4033" hidden="1">
      <c r="A4033" s="2">
        <f>IFERROR(__xludf.DUMMYFUNCTION("""COMPUTED_VALUE"""),19188.0)</f>
        <v>19188</v>
      </c>
      <c r="B4033" s="2">
        <f>IFERROR(__xludf.DUMMYFUNCTION("""COMPUTED_VALUE"""),1.0)</f>
        <v>1</v>
      </c>
      <c r="C4033" s="2">
        <f>IFERROR(__xludf.DUMMYFUNCTION("""COMPUTED_VALUE"""),22.0)</f>
        <v>22</v>
      </c>
      <c r="D4033" s="3">
        <f>IFERROR(__xludf.DUMMYFUNCTION("""COMPUTED_VALUE"""),22.0)</f>
        <v>22</v>
      </c>
      <c r="E4033" s="1" t="str">
        <f t="array" ref="E4033">_xlfn.XLOOKUP(A4033,Product!A:A,Product!B:B,"Bulunamadı")</f>
        <v>Fiction</v>
      </c>
      <c r="F4033" s="1" t="str">
        <f t="array" ref="F4033">_xlfn.XLOOKUP(A4033,Product!A:A,Product!C:C,"Bulunamadı")</f>
        <v>Cloud Computing</v>
      </c>
      <c r="G4033" s="2" t="str">
        <f t="array" ref="G4033">_xlfn.XLOOKUP(A4034,Product!A:A,Product!D:D,"Bulunamadı")</f>
        <v>Rivertrail House</v>
      </c>
      <c r="H4033" s="2">
        <f t="array" ref="H4033">_xlfn.XLOOKUP(A4035,Product!A:A,Product!E:E,"Bulunamadı")</f>
        <v>4.64</v>
      </c>
      <c r="I4033" s="2" t="str">
        <f t="shared" si="1"/>
        <v>19188 - Fiction - Cloud Computing</v>
      </c>
      <c r="J4033" s="2">
        <f t="shared" si="2"/>
        <v>102.08</v>
      </c>
      <c r="K4033" s="17">
        <f t="shared" si="3"/>
        <v>1</v>
      </c>
      <c r="L4033" s="18"/>
    </row>
    <row r="4034" hidden="1">
      <c r="A4034" s="2">
        <f>IFERROR(__xludf.DUMMYFUNCTION("""COMPUTED_VALUE"""),41117.0)</f>
        <v>41117</v>
      </c>
      <c r="B4034" s="2">
        <f>IFERROR(__xludf.DUMMYFUNCTION("""COMPUTED_VALUE"""),0.0)</f>
        <v>0</v>
      </c>
      <c r="C4034" s="2">
        <f>IFERROR(__xludf.DUMMYFUNCTION("""COMPUTED_VALUE"""),391.0)</f>
        <v>391</v>
      </c>
      <c r="D4034" s="3">
        <f>IFERROR(__xludf.DUMMYFUNCTION("""COMPUTED_VALUE"""),342.0)</f>
        <v>342</v>
      </c>
      <c r="E4034" s="1" t="str">
        <f t="array" ref="E4034">_xlfn.XLOOKUP(A4034,Product!A:A,Product!B:B,"Bulunamadı")</f>
        <v>Sports</v>
      </c>
      <c r="F4034" s="1" t="str">
        <f t="array" ref="F4034">_xlfn.XLOOKUP(A4034,Product!A:A,Product!C:C,"Bulunamadı")</f>
        <v>DevOps</v>
      </c>
      <c r="G4034" s="2" t="str">
        <f t="array" ref="G4034">_xlfn.XLOOKUP(A4035,Product!A:A,Product!D:D,"Bulunamadı")</f>
        <v>Rivertrail House</v>
      </c>
      <c r="H4034" s="2">
        <f t="array" ref="H4034">_xlfn.XLOOKUP(A4036,Product!A:A,Product!E:E,"Bulunamadı")</f>
        <v>3.1</v>
      </c>
      <c r="I4034" s="2" t="str">
        <f t="shared" si="1"/>
        <v>41117 - Sports - DevOps</v>
      </c>
      <c r="J4034" s="2">
        <f t="shared" si="2"/>
        <v>1060.2</v>
      </c>
      <c r="K4034" s="17">
        <f t="shared" si="3"/>
        <v>1</v>
      </c>
      <c r="L4034" s="18"/>
    </row>
    <row r="4035" hidden="1">
      <c r="A4035" s="2">
        <f>IFERROR(__xludf.DUMMYFUNCTION("""COMPUTED_VALUE"""),30625.0)</f>
        <v>30625</v>
      </c>
      <c r="B4035" s="2">
        <f>IFERROR(__xludf.DUMMYFUNCTION("""COMPUTED_VALUE"""),0.0)</f>
        <v>0</v>
      </c>
      <c r="C4035" s="2">
        <f>IFERROR(__xludf.DUMMYFUNCTION("""COMPUTED_VALUE"""),882.0)</f>
        <v>882</v>
      </c>
      <c r="D4035" s="3">
        <f>IFERROR(__xludf.DUMMYFUNCTION("""COMPUTED_VALUE"""),398.0)</f>
        <v>398</v>
      </c>
      <c r="E4035" s="1" t="str">
        <f t="array" ref="E4035">_xlfn.XLOOKUP(A4035,Product!A:A,Product!B:B,"Bulunamadı")</f>
        <v>Sports</v>
      </c>
      <c r="F4035" s="1" t="str">
        <f t="array" ref="F4035">_xlfn.XLOOKUP(A4035,Product!A:A,Product!C:C,"Bulunamadı")</f>
        <v>DevOps</v>
      </c>
      <c r="G4035" s="2" t="str">
        <f t="array" ref="G4035">_xlfn.XLOOKUP(A4036,Product!A:A,Product!D:D,"Bulunamadı")</f>
        <v>Rivertrail House</v>
      </c>
      <c r="H4035" s="2">
        <f t="array" ref="H4035">_xlfn.XLOOKUP(A4037,Product!A:A,Product!E:E,"Bulunamadı")</f>
        <v>3.94</v>
      </c>
      <c r="I4035" s="2" t="str">
        <f t="shared" si="1"/>
        <v>30625 - Sports - DevOps</v>
      </c>
      <c r="J4035" s="2">
        <f t="shared" si="2"/>
        <v>1568.12</v>
      </c>
      <c r="K4035" s="17">
        <f t="shared" si="3"/>
        <v>1</v>
      </c>
      <c r="L4035" s="18"/>
    </row>
    <row r="4036" hidden="1">
      <c r="A4036" s="2">
        <f>IFERROR(__xludf.DUMMYFUNCTION("""COMPUTED_VALUE"""),11462.0)</f>
        <v>11462</v>
      </c>
      <c r="B4036" s="2">
        <f>IFERROR(__xludf.DUMMYFUNCTION("""COMPUTED_VALUE"""),0.0)</f>
        <v>0</v>
      </c>
      <c r="C4036" s="2">
        <f>IFERROR(__xludf.DUMMYFUNCTION("""COMPUTED_VALUE"""),144.0)</f>
        <v>144</v>
      </c>
      <c r="D4036" s="3">
        <f>IFERROR(__xludf.DUMMYFUNCTION("""COMPUTED_VALUE"""),72.0)</f>
        <v>72</v>
      </c>
      <c r="E4036" s="1" t="str">
        <f t="array" ref="E4036">_xlfn.XLOOKUP(A4036,Product!A:A,Product!B:B,"Bulunamadı")</f>
        <v>Sports</v>
      </c>
      <c r="F4036" s="1" t="str">
        <f t="array" ref="F4036">_xlfn.XLOOKUP(A4036,Product!A:A,Product!C:C,"Bulunamadı")</f>
        <v>DevOps</v>
      </c>
      <c r="G4036" s="2" t="str">
        <f t="array" ref="G4036">_xlfn.XLOOKUP(A4037,Product!A:A,Product!D:D,"Bulunamadı")</f>
        <v>Rivertrail House</v>
      </c>
      <c r="H4036" s="2">
        <f t="array" ref="H4036">_xlfn.XLOOKUP(A4038,Product!A:A,Product!E:E,"Bulunamadı")</f>
        <v>4.11</v>
      </c>
      <c r="I4036" s="2" t="str">
        <f t="shared" si="1"/>
        <v>11462 - Sports - DevOps</v>
      </c>
      <c r="J4036" s="2">
        <f t="shared" si="2"/>
        <v>295.92</v>
      </c>
      <c r="K4036" s="17">
        <f t="shared" si="3"/>
        <v>1</v>
      </c>
      <c r="L4036" s="18"/>
    </row>
    <row r="4037" hidden="1">
      <c r="A4037" s="2">
        <f>IFERROR(__xludf.DUMMYFUNCTION("""COMPUTED_VALUE"""),120733.0)</f>
        <v>120733</v>
      </c>
      <c r="B4037" s="2">
        <f>IFERROR(__xludf.DUMMYFUNCTION("""COMPUTED_VALUE"""),0.0)</f>
        <v>0</v>
      </c>
      <c r="C4037" s="2">
        <f>IFERROR(__xludf.DUMMYFUNCTION("""COMPUTED_VALUE"""),605.0)</f>
        <v>605</v>
      </c>
      <c r="D4037" s="3">
        <f>IFERROR(__xludf.DUMMYFUNCTION("""COMPUTED_VALUE"""),118.0)</f>
        <v>118</v>
      </c>
      <c r="E4037" s="1" t="str">
        <f t="array" ref="E4037">_xlfn.XLOOKUP(A4037,Product!A:A,Product!B:B,"Bulunamadı")</f>
        <v>Sports</v>
      </c>
      <c r="F4037" s="1" t="str">
        <f t="array" ref="F4037">_xlfn.XLOOKUP(A4037,Product!A:A,Product!C:C,"Bulunamadı")</f>
        <v>DevOps</v>
      </c>
      <c r="G4037" s="2" t="str">
        <f t="array" ref="G4037">_xlfn.XLOOKUP(A4038,Product!A:A,Product!D:D,"Bulunamadı")</f>
        <v>Rivertrail House</v>
      </c>
      <c r="H4037" s="2">
        <f t="array" ref="H4037">_xlfn.XLOOKUP(A4039,Product!A:A,Product!E:E,"Bulunamadı")</f>
        <v>4.79</v>
      </c>
      <c r="I4037" s="2" t="str">
        <f t="shared" si="1"/>
        <v>120733 - Sports - DevOps</v>
      </c>
      <c r="J4037" s="2">
        <f t="shared" si="2"/>
        <v>565.22</v>
      </c>
      <c r="K4037" s="17">
        <f t="shared" si="3"/>
        <v>1</v>
      </c>
      <c r="L4037" s="18"/>
    </row>
    <row r="4038" hidden="1">
      <c r="A4038" s="2">
        <f>IFERROR(__xludf.DUMMYFUNCTION("""COMPUTED_VALUE"""),83487.0)</f>
        <v>83487</v>
      </c>
      <c r="B4038" s="2">
        <f>IFERROR(__xludf.DUMMYFUNCTION("""COMPUTED_VALUE"""),1.0)</f>
        <v>1</v>
      </c>
      <c r="C4038" s="2">
        <f>IFERROR(__xludf.DUMMYFUNCTION("""COMPUTED_VALUE"""),755.0)</f>
        <v>755</v>
      </c>
      <c r="D4038" s="3">
        <f>IFERROR(__xludf.DUMMYFUNCTION("""COMPUTED_VALUE"""),155.0)</f>
        <v>155</v>
      </c>
      <c r="E4038" s="1" t="str">
        <f t="array" ref="E4038">_xlfn.XLOOKUP(A4038,Product!A:A,Product!B:B,"Bulunamadı")</f>
        <v>Sports</v>
      </c>
      <c r="F4038" s="1" t="str">
        <f t="array" ref="F4038">_xlfn.XLOOKUP(A4038,Product!A:A,Product!C:C,"Bulunamadı")</f>
        <v>DevOps</v>
      </c>
      <c r="G4038" s="2" t="str">
        <f t="array" ref="G4038">_xlfn.XLOOKUP(A4039,Product!A:A,Product!D:D,"Bulunamadı")</f>
        <v>Rivertrail House</v>
      </c>
      <c r="H4038" s="2">
        <f t="array" ref="H4038">_xlfn.XLOOKUP(A4040,Product!A:A,Product!E:E,"Bulunamadı")</f>
        <v>4.55</v>
      </c>
      <c r="I4038" s="2" t="str">
        <f t="shared" si="1"/>
        <v>83487 - Sports - DevOps</v>
      </c>
      <c r="J4038" s="2">
        <f t="shared" si="2"/>
        <v>705.25</v>
      </c>
      <c r="K4038" s="17">
        <f t="shared" si="3"/>
        <v>1</v>
      </c>
      <c r="L4038" s="18"/>
    </row>
    <row r="4039" hidden="1">
      <c r="A4039" s="2">
        <f>IFERROR(__xludf.DUMMYFUNCTION("""COMPUTED_VALUE"""),117610.0)</f>
        <v>117610</v>
      </c>
      <c r="B4039" s="2">
        <f>IFERROR(__xludf.DUMMYFUNCTION("""COMPUTED_VALUE"""),0.0)</f>
        <v>0</v>
      </c>
      <c r="C4039" s="2">
        <f>IFERROR(__xludf.DUMMYFUNCTION("""COMPUTED_VALUE"""),485.0)</f>
        <v>485</v>
      </c>
      <c r="D4039" s="3">
        <f>IFERROR(__xludf.DUMMYFUNCTION("""COMPUTED_VALUE"""),136.0)</f>
        <v>136</v>
      </c>
      <c r="E4039" s="1" t="str">
        <f t="array" ref="E4039">_xlfn.XLOOKUP(A4039,Product!A:A,Product!B:B,"Bulunamadı")</f>
        <v>Sports</v>
      </c>
      <c r="F4039" s="1" t="str">
        <f t="array" ref="F4039">_xlfn.XLOOKUP(A4039,Product!A:A,Product!C:C,"Bulunamadı")</f>
        <v>DevOps</v>
      </c>
      <c r="G4039" s="2" t="str">
        <f t="array" ref="G4039">_xlfn.XLOOKUP(A4040,Product!A:A,Product!D:D,"Bulunamadı")</f>
        <v>Rivertrail House</v>
      </c>
      <c r="H4039" s="2">
        <f t="array" ref="H4039">_xlfn.XLOOKUP(A4041,Product!A:A,Product!E:E,"Bulunamadı")</f>
        <v>4.46</v>
      </c>
      <c r="I4039" s="2" t="str">
        <f t="shared" si="1"/>
        <v>117610 - Sports - DevOps</v>
      </c>
      <c r="J4039" s="2">
        <f t="shared" si="2"/>
        <v>606.56</v>
      </c>
      <c r="K4039" s="17">
        <f t="shared" si="3"/>
        <v>1</v>
      </c>
      <c r="L4039" s="18"/>
    </row>
    <row r="4040" hidden="1">
      <c r="A4040" s="2">
        <f>IFERROR(__xludf.DUMMYFUNCTION("""COMPUTED_VALUE"""),112177.0)</f>
        <v>112177</v>
      </c>
      <c r="B4040" s="2">
        <f>IFERROR(__xludf.DUMMYFUNCTION("""COMPUTED_VALUE"""),1.0)</f>
        <v>1</v>
      </c>
      <c r="C4040" s="2">
        <f>IFERROR(__xludf.DUMMYFUNCTION("""COMPUTED_VALUE"""),670.0)</f>
        <v>670</v>
      </c>
      <c r="D4040" s="3">
        <f>IFERROR(__xludf.DUMMYFUNCTION("""COMPUTED_VALUE"""),391.0)</f>
        <v>391</v>
      </c>
      <c r="E4040" s="1" t="str">
        <f t="array" ref="E4040">_xlfn.XLOOKUP(A4040,Product!A:A,Product!B:B,"Bulunamadı")</f>
        <v>Sports</v>
      </c>
      <c r="F4040" s="1" t="str">
        <f t="array" ref="F4040">_xlfn.XLOOKUP(A4040,Product!A:A,Product!C:C,"Bulunamadı")</f>
        <v>DevOps</v>
      </c>
      <c r="G4040" s="2" t="str">
        <f t="array" ref="G4040">_xlfn.XLOOKUP(A4041,Product!A:A,Product!D:D,"Bulunamadı")</f>
        <v>Rivertrail House</v>
      </c>
      <c r="H4040" s="2">
        <f t="array" ref="H4040">_xlfn.XLOOKUP(A4042,Product!A:A,Product!E:E,"Bulunamadı")</f>
        <v>4.65</v>
      </c>
      <c r="I4040" s="2" t="str">
        <f t="shared" si="1"/>
        <v>112177 - Sports - DevOps</v>
      </c>
      <c r="J4040" s="2">
        <f t="shared" si="2"/>
        <v>1818.15</v>
      </c>
      <c r="K4040" s="17">
        <f t="shared" si="3"/>
        <v>1</v>
      </c>
      <c r="L4040" s="18"/>
    </row>
    <row r="4041" hidden="1">
      <c r="A4041" s="2">
        <f>IFERROR(__xludf.DUMMYFUNCTION("""COMPUTED_VALUE"""),11412.0)</f>
        <v>11412</v>
      </c>
      <c r="B4041" s="2">
        <f>IFERROR(__xludf.DUMMYFUNCTION("""COMPUTED_VALUE"""),0.0)</f>
        <v>0</v>
      </c>
      <c r="C4041" s="2">
        <f>IFERROR(__xludf.DUMMYFUNCTION("""COMPUTED_VALUE"""),76.0)</f>
        <v>76</v>
      </c>
      <c r="D4041" s="3">
        <f>IFERROR(__xludf.DUMMYFUNCTION("""COMPUTED_VALUE"""),11.0)</f>
        <v>11</v>
      </c>
      <c r="E4041" s="1" t="str">
        <f t="array" ref="E4041">_xlfn.XLOOKUP(A4041,Product!A:A,Product!B:B,"Bulunamadı")</f>
        <v>Sports</v>
      </c>
      <c r="F4041" s="1" t="str">
        <f t="array" ref="F4041">_xlfn.XLOOKUP(A4041,Product!A:A,Product!C:C,"Bulunamadı")</f>
        <v>DevOps</v>
      </c>
      <c r="G4041" s="2" t="str">
        <f t="array" ref="G4041">_xlfn.XLOOKUP(A4042,Product!A:A,Product!D:D,"Bulunamadı")</f>
        <v>Irontrail House</v>
      </c>
      <c r="H4041" s="2">
        <f t="array" ref="H4041">_xlfn.XLOOKUP(A4043,Product!A:A,Product!E:E,"Bulunamadı")</f>
        <v>2.18</v>
      </c>
      <c r="I4041" s="2" t="str">
        <f t="shared" si="1"/>
        <v>11412 - Sports - DevOps</v>
      </c>
      <c r="J4041" s="2">
        <f t="shared" si="2"/>
        <v>23.98</v>
      </c>
      <c r="K4041" s="17">
        <f t="shared" si="3"/>
        <v>1</v>
      </c>
      <c r="L4041" s="18"/>
    </row>
    <row r="4042" hidden="1">
      <c r="A4042" s="2">
        <f>IFERROR(__xludf.DUMMYFUNCTION("""COMPUTED_VALUE"""),76842.0)</f>
        <v>76842</v>
      </c>
      <c r="B4042" s="2">
        <f>IFERROR(__xludf.DUMMYFUNCTION("""COMPUTED_VALUE"""),1.0)</f>
        <v>1</v>
      </c>
      <c r="C4042" s="2">
        <f>IFERROR(__xludf.DUMMYFUNCTION("""COMPUTED_VALUE"""),883.0)</f>
        <v>883</v>
      </c>
      <c r="D4042" s="3">
        <f>IFERROR(__xludf.DUMMYFUNCTION("""COMPUTED_VALUE"""),20.0)</f>
        <v>20</v>
      </c>
      <c r="E4042" s="1" t="str">
        <f t="array" ref="E4042">_xlfn.XLOOKUP(A4042,Product!A:A,Product!B:B,"Bulunamadı")</f>
        <v>Sports</v>
      </c>
      <c r="F4042" s="1" t="str">
        <f t="array" ref="F4042">_xlfn.XLOOKUP(A4042,Product!A:A,Product!C:C,"Bulunamadı")</f>
        <v>DevOps</v>
      </c>
      <c r="G4042" s="2" t="str">
        <f t="array" ref="G4042">_xlfn.XLOOKUP(A4043,Product!A:A,Product!D:D,"Bulunamadı")</f>
        <v>Irontrail House</v>
      </c>
      <c r="H4042" s="2">
        <f t="array" ref="H4042">_xlfn.XLOOKUP(A4044,Product!A:A,Product!E:E,"Bulunamadı")</f>
        <v>5.3</v>
      </c>
      <c r="I4042" s="2" t="str">
        <f t="shared" si="1"/>
        <v>76842 - Sports - DevOps</v>
      </c>
      <c r="J4042" s="2">
        <f t="shared" si="2"/>
        <v>106</v>
      </c>
      <c r="K4042" s="17">
        <f t="shared" si="3"/>
        <v>1</v>
      </c>
      <c r="L4042" s="18"/>
    </row>
    <row r="4043" hidden="1">
      <c r="A4043" s="2">
        <f>IFERROR(__xludf.DUMMYFUNCTION("""COMPUTED_VALUE"""),78366.0)</f>
        <v>78366</v>
      </c>
      <c r="B4043" s="2">
        <f>IFERROR(__xludf.DUMMYFUNCTION("""COMPUTED_VALUE"""),0.0)</f>
        <v>0</v>
      </c>
      <c r="C4043" s="2">
        <f>IFERROR(__xludf.DUMMYFUNCTION("""COMPUTED_VALUE"""),423.0)</f>
        <v>423</v>
      </c>
      <c r="D4043" s="3">
        <f>IFERROR(__xludf.DUMMYFUNCTION("""COMPUTED_VALUE"""),324.0)</f>
        <v>324</v>
      </c>
      <c r="E4043" s="1" t="str">
        <f t="array" ref="E4043">_xlfn.XLOOKUP(A4043,Product!A:A,Product!B:B,"Bulunamadı")</f>
        <v>Sports</v>
      </c>
      <c r="F4043" s="1" t="str">
        <f t="array" ref="F4043">_xlfn.XLOOKUP(A4043,Product!A:A,Product!C:C,"Bulunamadı")</f>
        <v>DevOps</v>
      </c>
      <c r="G4043" s="2" t="str">
        <f t="array" ref="G4043">_xlfn.XLOOKUP(A4044,Product!A:A,Product!D:D,"Bulunamadı")</f>
        <v>Irontrail House</v>
      </c>
      <c r="H4043" s="2">
        <f t="array" ref="H4043">_xlfn.XLOOKUP(A4045,Product!A:A,Product!E:E,"Bulunamadı")</f>
        <v>2.73</v>
      </c>
      <c r="I4043" s="2" t="str">
        <f t="shared" si="1"/>
        <v>78366 - Sports - DevOps</v>
      </c>
      <c r="J4043" s="2">
        <f t="shared" si="2"/>
        <v>884.52</v>
      </c>
      <c r="K4043" s="17">
        <f t="shared" si="3"/>
        <v>1</v>
      </c>
      <c r="L4043" s="18"/>
    </row>
    <row r="4044" hidden="1">
      <c r="A4044" s="2">
        <f>IFERROR(__xludf.DUMMYFUNCTION("""COMPUTED_VALUE"""),98984.0)</f>
        <v>98984</v>
      </c>
      <c r="B4044" s="2">
        <f>IFERROR(__xludf.DUMMYFUNCTION("""COMPUTED_VALUE"""),0.0)</f>
        <v>0</v>
      </c>
      <c r="C4044" s="2">
        <f>IFERROR(__xludf.DUMMYFUNCTION("""COMPUTED_VALUE"""),32.0)</f>
        <v>32</v>
      </c>
      <c r="D4044" s="3">
        <f>IFERROR(__xludf.DUMMYFUNCTION("""COMPUTED_VALUE"""),30.0)</f>
        <v>30</v>
      </c>
      <c r="E4044" s="1" t="str">
        <f t="array" ref="E4044">_xlfn.XLOOKUP(A4044,Product!A:A,Product!B:B,"Bulunamadı")</f>
        <v>Sports</v>
      </c>
      <c r="F4044" s="1" t="str">
        <f t="array" ref="F4044">_xlfn.XLOOKUP(A4044,Product!A:A,Product!C:C,"Bulunamadı")</f>
        <v>DevOps</v>
      </c>
      <c r="G4044" s="2" t="str">
        <f t="array" ref="G4044">_xlfn.XLOOKUP(A4045,Product!A:A,Product!D:D,"Bulunamadı")</f>
        <v>Irontrail House</v>
      </c>
      <c r="H4044" s="2">
        <f t="array" ref="H4044">_xlfn.XLOOKUP(A4046,Product!A:A,Product!E:E,"Bulunamadı")</f>
        <v>3.57</v>
      </c>
      <c r="I4044" s="2" t="str">
        <f t="shared" si="1"/>
        <v>98984 - Sports - DevOps</v>
      </c>
      <c r="J4044" s="2">
        <f t="shared" si="2"/>
        <v>107.1</v>
      </c>
      <c r="K4044" s="17">
        <f t="shared" si="3"/>
        <v>1</v>
      </c>
      <c r="L4044" s="18"/>
    </row>
    <row r="4045" hidden="1">
      <c r="A4045" s="2">
        <f>IFERROR(__xludf.DUMMYFUNCTION("""COMPUTED_VALUE"""),120310.0)</f>
        <v>120310</v>
      </c>
      <c r="B4045" s="2">
        <f>IFERROR(__xludf.DUMMYFUNCTION("""COMPUTED_VALUE"""),0.0)</f>
        <v>0</v>
      </c>
      <c r="C4045" s="2">
        <f>IFERROR(__xludf.DUMMYFUNCTION("""COMPUTED_VALUE"""),86.0)</f>
        <v>86</v>
      </c>
      <c r="D4045" s="3">
        <f>IFERROR(__xludf.DUMMYFUNCTION("""COMPUTED_VALUE"""),55.0)</f>
        <v>55</v>
      </c>
      <c r="E4045" s="1" t="str">
        <f t="array" ref="E4045">_xlfn.XLOOKUP(A4045,Product!A:A,Product!B:B,"Bulunamadı")</f>
        <v>Sports</v>
      </c>
      <c r="F4045" s="1" t="str">
        <f t="array" ref="F4045">_xlfn.XLOOKUP(A4045,Product!A:A,Product!C:C,"Bulunamadı")</f>
        <v>DevOps</v>
      </c>
      <c r="G4045" s="2" t="str">
        <f t="array" ref="G4045">_xlfn.XLOOKUP(A4046,Product!A:A,Product!D:D,"Bulunamadı")</f>
        <v>Irontrail House</v>
      </c>
      <c r="H4045" s="2">
        <f t="array" ref="H4045">_xlfn.XLOOKUP(A4047,Product!A:A,Product!E:E,"Bulunamadı")</f>
        <v>3.06</v>
      </c>
      <c r="I4045" s="2" t="str">
        <f t="shared" si="1"/>
        <v>120310 - Sports - DevOps</v>
      </c>
      <c r="J4045" s="2">
        <f t="shared" si="2"/>
        <v>168.3</v>
      </c>
      <c r="K4045" s="17">
        <f t="shared" si="3"/>
        <v>1</v>
      </c>
      <c r="L4045" s="18"/>
    </row>
    <row r="4046" hidden="1">
      <c r="A4046" s="2">
        <f>IFERROR(__xludf.DUMMYFUNCTION("""COMPUTED_VALUE"""),116277.0)</f>
        <v>116277</v>
      </c>
      <c r="B4046" s="2">
        <f>IFERROR(__xludf.DUMMYFUNCTION("""COMPUTED_VALUE"""),0.0)</f>
        <v>0</v>
      </c>
      <c r="C4046" s="2">
        <f>IFERROR(__xludf.DUMMYFUNCTION("""COMPUTED_VALUE"""),763.0)</f>
        <v>763</v>
      </c>
      <c r="D4046" s="3">
        <f>IFERROR(__xludf.DUMMYFUNCTION("""COMPUTED_VALUE"""),367.0)</f>
        <v>367</v>
      </c>
      <c r="E4046" s="1" t="str">
        <f t="array" ref="E4046">_xlfn.XLOOKUP(A4046,Product!A:A,Product!B:B,"Bulunamadı")</f>
        <v>Sports</v>
      </c>
      <c r="F4046" s="1" t="str">
        <f t="array" ref="F4046">_xlfn.XLOOKUP(A4046,Product!A:A,Product!C:C,"Bulunamadı")</f>
        <v>DevOps</v>
      </c>
      <c r="G4046" s="2" t="str">
        <f t="array" ref="G4046">_xlfn.XLOOKUP(A4047,Product!A:A,Product!D:D,"Bulunamadı")</f>
        <v>Irontrail House</v>
      </c>
      <c r="H4046" s="2">
        <f t="array" ref="H4046">_xlfn.XLOOKUP(A4048,Product!A:A,Product!E:E,"Bulunamadı")</f>
        <v>1.82</v>
      </c>
      <c r="I4046" s="2" t="str">
        <f t="shared" si="1"/>
        <v>116277 - Sports - DevOps</v>
      </c>
      <c r="J4046" s="2">
        <f t="shared" si="2"/>
        <v>667.94</v>
      </c>
      <c r="K4046" s="17">
        <f t="shared" si="3"/>
        <v>1</v>
      </c>
      <c r="L4046" s="18"/>
    </row>
    <row r="4047" hidden="1">
      <c r="A4047" s="2">
        <f>IFERROR(__xludf.DUMMYFUNCTION("""COMPUTED_VALUE"""),77670.0)</f>
        <v>77670</v>
      </c>
      <c r="B4047" s="2">
        <f>IFERROR(__xludf.DUMMYFUNCTION("""COMPUTED_VALUE"""),0.0)</f>
        <v>0</v>
      </c>
      <c r="C4047" s="2">
        <f>IFERROR(__xludf.DUMMYFUNCTION("""COMPUTED_VALUE"""),968.0)</f>
        <v>968</v>
      </c>
      <c r="D4047" s="3">
        <f>IFERROR(__xludf.DUMMYFUNCTION("""COMPUTED_VALUE"""),921.0)</f>
        <v>921</v>
      </c>
      <c r="E4047" s="1" t="str">
        <f t="array" ref="E4047">_xlfn.XLOOKUP(A4047,Product!A:A,Product!B:B,"Bulunamadı")</f>
        <v>Sports</v>
      </c>
      <c r="F4047" s="1" t="str">
        <f t="array" ref="F4047">_xlfn.XLOOKUP(A4047,Product!A:A,Product!C:C,"Bulunamadı")</f>
        <v>DevOps</v>
      </c>
      <c r="G4047" s="2" t="str">
        <f t="array" ref="G4047">_xlfn.XLOOKUP(A4048,Product!A:A,Product!D:D,"Bulunamadı")</f>
        <v>Irontrail House</v>
      </c>
      <c r="H4047" s="2">
        <f t="array" ref="H4047">_xlfn.XLOOKUP(A4049,Product!A:A,Product!E:E,"Bulunamadı")</f>
        <v>6.86</v>
      </c>
      <c r="I4047" s="2" t="str">
        <f t="shared" si="1"/>
        <v>77670 - Sports - DevOps</v>
      </c>
      <c r="J4047" s="2">
        <f t="shared" si="2"/>
        <v>6318.06</v>
      </c>
      <c r="K4047" s="17">
        <f t="shared" si="3"/>
        <v>1</v>
      </c>
      <c r="L4047" s="18"/>
    </row>
    <row r="4048" hidden="1">
      <c r="A4048" s="2">
        <f>IFERROR(__xludf.DUMMYFUNCTION("""COMPUTED_VALUE"""),78363.0)</f>
        <v>78363</v>
      </c>
      <c r="B4048" s="2">
        <f>IFERROR(__xludf.DUMMYFUNCTION("""COMPUTED_VALUE"""),1.0)</f>
        <v>1</v>
      </c>
      <c r="C4048" s="2">
        <f>IFERROR(__xludf.DUMMYFUNCTION("""COMPUTED_VALUE"""),412.0)</f>
        <v>412</v>
      </c>
      <c r="D4048" s="3">
        <f>IFERROR(__xludf.DUMMYFUNCTION("""COMPUTED_VALUE"""),0.0)</f>
        <v>0</v>
      </c>
      <c r="E4048" s="1" t="str">
        <f t="array" ref="E4048">_xlfn.XLOOKUP(A4048,Product!A:A,Product!B:B,"Bulunamadı")</f>
        <v>Sports</v>
      </c>
      <c r="F4048" s="1" t="str">
        <f t="array" ref="F4048">_xlfn.XLOOKUP(A4048,Product!A:A,Product!C:C,"Bulunamadı")</f>
        <v>DevOps</v>
      </c>
      <c r="G4048" s="2" t="str">
        <f t="array" ref="G4048">_xlfn.XLOOKUP(A4049,Product!A:A,Product!D:D,"Bulunamadı")</f>
        <v>Irontrail House</v>
      </c>
      <c r="H4048" s="2">
        <f t="array" ref="H4048">_xlfn.XLOOKUP(A4050,Product!A:A,Product!E:E,"Bulunamadı")</f>
        <v>7.12</v>
      </c>
      <c r="I4048" s="2" t="str">
        <f t="shared" si="1"/>
        <v>78363 - Sports - DevOps</v>
      </c>
      <c r="J4048" s="2">
        <f t="shared" si="2"/>
        <v>0</v>
      </c>
      <c r="K4048" s="17">
        <f t="shared" si="3"/>
        <v>0</v>
      </c>
      <c r="L4048" s="18"/>
    </row>
    <row r="4049" hidden="1">
      <c r="A4049" s="2">
        <f>IFERROR(__xludf.DUMMYFUNCTION("""COMPUTED_VALUE"""),11458.0)</f>
        <v>11458</v>
      </c>
      <c r="B4049" s="2">
        <f>IFERROR(__xludf.DUMMYFUNCTION("""COMPUTED_VALUE"""),0.0)</f>
        <v>0</v>
      </c>
      <c r="C4049" s="2">
        <f>IFERROR(__xludf.DUMMYFUNCTION("""COMPUTED_VALUE"""),858.0)</f>
        <v>858</v>
      </c>
      <c r="D4049" s="3">
        <f>IFERROR(__xludf.DUMMYFUNCTION("""COMPUTED_VALUE"""),221.0)</f>
        <v>221</v>
      </c>
      <c r="E4049" s="1" t="str">
        <f t="array" ref="E4049">_xlfn.XLOOKUP(A4049,Product!A:A,Product!B:B,"Bulunamadı")</f>
        <v>Sports</v>
      </c>
      <c r="F4049" s="1" t="str">
        <f t="array" ref="F4049">_xlfn.XLOOKUP(A4049,Product!A:A,Product!C:C,"Bulunamadı")</f>
        <v>DevOps</v>
      </c>
      <c r="G4049" s="2" t="str">
        <f t="array" ref="G4049">_xlfn.XLOOKUP(A4050,Product!A:A,Product!D:D,"Bulunamadı")</f>
        <v>Irontrail House</v>
      </c>
      <c r="H4049" s="2">
        <f t="array" ref="H4049">_xlfn.XLOOKUP(A4051,Product!A:A,Product!E:E,"Bulunamadı")</f>
        <v>4.48</v>
      </c>
      <c r="I4049" s="2" t="str">
        <f t="shared" si="1"/>
        <v>11458 - Sports - DevOps</v>
      </c>
      <c r="J4049" s="2">
        <f t="shared" si="2"/>
        <v>990.08</v>
      </c>
      <c r="K4049" s="17">
        <f t="shared" si="3"/>
        <v>1</v>
      </c>
      <c r="L4049" s="18"/>
    </row>
    <row r="4050" hidden="1">
      <c r="A4050" s="2">
        <f>IFERROR(__xludf.DUMMYFUNCTION("""COMPUTED_VALUE"""),11456.0)</f>
        <v>11456</v>
      </c>
      <c r="B4050" s="2">
        <f>IFERROR(__xludf.DUMMYFUNCTION("""COMPUTED_VALUE"""),1.0)</f>
        <v>1</v>
      </c>
      <c r="C4050" s="2">
        <f>IFERROR(__xludf.DUMMYFUNCTION("""COMPUTED_VALUE"""),885.0)</f>
        <v>885</v>
      </c>
      <c r="D4050" s="3">
        <f>IFERROR(__xludf.DUMMYFUNCTION("""COMPUTED_VALUE"""),200.0)</f>
        <v>200</v>
      </c>
      <c r="E4050" s="1" t="str">
        <f t="array" ref="E4050">_xlfn.XLOOKUP(A4050,Product!A:A,Product!B:B,"Bulunamadı")</f>
        <v>Sports</v>
      </c>
      <c r="F4050" s="1" t="str">
        <f t="array" ref="F4050">_xlfn.XLOOKUP(A4050,Product!A:A,Product!C:C,"Bulunamadı")</f>
        <v>DevOps</v>
      </c>
      <c r="G4050" s="2" t="str">
        <f t="array" ref="G4050">_xlfn.XLOOKUP(A4051,Product!A:A,Product!D:D,"Bulunamadı")</f>
        <v>Irontrail House</v>
      </c>
      <c r="H4050" s="2">
        <f t="array" ref="H4050">_xlfn.XLOOKUP(A4052,Product!A:A,Product!E:E,"Bulunamadı")</f>
        <v>3.81</v>
      </c>
      <c r="I4050" s="2" t="str">
        <f t="shared" si="1"/>
        <v>11456 - Sports - DevOps</v>
      </c>
      <c r="J4050" s="2">
        <f t="shared" si="2"/>
        <v>762</v>
      </c>
      <c r="K4050" s="17">
        <f t="shared" si="3"/>
        <v>1</v>
      </c>
      <c r="L4050" s="18"/>
    </row>
    <row r="4051" hidden="1">
      <c r="A4051" s="2">
        <f>IFERROR(__xludf.DUMMYFUNCTION("""COMPUTED_VALUE"""),120726.0)</f>
        <v>120726</v>
      </c>
      <c r="B4051" s="2">
        <f>IFERROR(__xludf.DUMMYFUNCTION("""COMPUTED_VALUE"""),1.0)</f>
        <v>1</v>
      </c>
      <c r="C4051" s="2">
        <f>IFERROR(__xludf.DUMMYFUNCTION("""COMPUTED_VALUE"""),514.0)</f>
        <v>514</v>
      </c>
      <c r="D4051" s="3">
        <f>IFERROR(__xludf.DUMMYFUNCTION("""COMPUTED_VALUE"""),45.0)</f>
        <v>45</v>
      </c>
      <c r="E4051" s="1" t="str">
        <f t="array" ref="E4051">_xlfn.XLOOKUP(A4051,Product!A:A,Product!B:B,"Bulunamadı")</f>
        <v>Sports</v>
      </c>
      <c r="F4051" s="1" t="str">
        <f t="array" ref="F4051">_xlfn.XLOOKUP(A4051,Product!A:A,Product!C:C,"Bulunamadı")</f>
        <v>DevOps</v>
      </c>
      <c r="G4051" s="2" t="str">
        <f t="array" ref="G4051">_xlfn.XLOOKUP(A4052,Product!A:A,Product!D:D,"Bulunamadı")</f>
        <v>Irontrail House</v>
      </c>
      <c r="H4051" s="2">
        <f t="array" ref="H4051">_xlfn.XLOOKUP(A4053,Product!A:A,Product!E:E,"Bulunamadı")</f>
        <v>5.59</v>
      </c>
      <c r="I4051" s="2" t="str">
        <f t="shared" si="1"/>
        <v>120726 - Sports - DevOps</v>
      </c>
      <c r="J4051" s="2">
        <f t="shared" si="2"/>
        <v>251.55</v>
      </c>
      <c r="K4051" s="17">
        <f t="shared" si="3"/>
        <v>1</v>
      </c>
      <c r="L4051" s="18"/>
    </row>
    <row r="4052" hidden="1">
      <c r="A4052" s="2">
        <f>IFERROR(__xludf.DUMMYFUNCTION("""COMPUTED_VALUE"""),11404.0)</f>
        <v>11404</v>
      </c>
      <c r="B4052" s="2">
        <f>IFERROR(__xludf.DUMMYFUNCTION("""COMPUTED_VALUE"""),1.0)</f>
        <v>1</v>
      </c>
      <c r="C4052" s="2">
        <f>IFERROR(__xludf.DUMMYFUNCTION("""COMPUTED_VALUE"""),64.0)</f>
        <v>64</v>
      </c>
      <c r="D4052" s="3">
        <f>IFERROR(__xludf.DUMMYFUNCTION("""COMPUTED_VALUE"""),64.0)</f>
        <v>64</v>
      </c>
      <c r="E4052" s="1" t="str">
        <f t="array" ref="E4052">_xlfn.XLOOKUP(A4052,Product!A:A,Product!B:B,"Bulunamadı")</f>
        <v>Sports</v>
      </c>
      <c r="F4052" s="1" t="str">
        <f t="array" ref="F4052">_xlfn.XLOOKUP(A4052,Product!A:A,Product!C:C,"Bulunamadı")</f>
        <v>DevOps</v>
      </c>
      <c r="G4052" s="2" t="str">
        <f t="array" ref="G4052">_xlfn.XLOOKUP(A4053,Product!A:A,Product!D:D,"Bulunamadı")</f>
        <v>Irontrail House</v>
      </c>
      <c r="H4052" s="2">
        <f t="array" ref="H4052">_xlfn.XLOOKUP(A4054,Product!A:A,Product!E:E,"Bulunamadı")</f>
        <v>2.45</v>
      </c>
      <c r="I4052" s="2" t="str">
        <f t="shared" si="1"/>
        <v>11404 - Sports - DevOps</v>
      </c>
      <c r="J4052" s="2">
        <f t="shared" si="2"/>
        <v>156.8</v>
      </c>
      <c r="K4052" s="17">
        <f t="shared" si="3"/>
        <v>1</v>
      </c>
      <c r="L4052" s="18"/>
    </row>
    <row r="4053" hidden="1">
      <c r="A4053" s="2">
        <f>IFERROR(__xludf.DUMMYFUNCTION("""COMPUTED_VALUE"""),11408.0)</f>
        <v>11408</v>
      </c>
      <c r="B4053" s="2">
        <f>IFERROR(__xludf.DUMMYFUNCTION("""COMPUTED_VALUE"""),0.0)</f>
        <v>0</v>
      </c>
      <c r="C4053" s="2">
        <f>IFERROR(__xludf.DUMMYFUNCTION("""COMPUTED_VALUE"""),725.0)</f>
        <v>725</v>
      </c>
      <c r="D4053" s="3">
        <f>IFERROR(__xludf.DUMMYFUNCTION("""COMPUTED_VALUE"""),252.0)</f>
        <v>252</v>
      </c>
      <c r="E4053" s="1" t="str">
        <f t="array" ref="E4053">_xlfn.XLOOKUP(A4053,Product!A:A,Product!B:B,"Bulunamadı")</f>
        <v>Sports</v>
      </c>
      <c r="F4053" s="1" t="str">
        <f t="array" ref="F4053">_xlfn.XLOOKUP(A4053,Product!A:A,Product!C:C,"Bulunamadı")</f>
        <v>DevOps</v>
      </c>
      <c r="G4053" s="2" t="str">
        <f t="array" ref="G4053">_xlfn.XLOOKUP(A4054,Product!A:A,Product!D:D,"Bulunamadı")</f>
        <v>Irontrail House</v>
      </c>
      <c r="H4053" s="2">
        <f t="array" ref="H4053">_xlfn.XLOOKUP(A4055,Product!A:A,Product!E:E,"Bulunamadı")</f>
        <v>8.2</v>
      </c>
      <c r="I4053" s="2" t="str">
        <f t="shared" si="1"/>
        <v>11408 - Sports - DevOps</v>
      </c>
      <c r="J4053" s="2">
        <f t="shared" si="2"/>
        <v>2066.4</v>
      </c>
      <c r="K4053" s="17">
        <f t="shared" si="3"/>
        <v>1</v>
      </c>
      <c r="L4053" s="18"/>
    </row>
    <row r="4054" hidden="1">
      <c r="A4054" s="2">
        <f>IFERROR(__xludf.DUMMYFUNCTION("""COMPUTED_VALUE"""),120708.0)</f>
        <v>120708</v>
      </c>
      <c r="B4054" s="2">
        <f>IFERROR(__xludf.DUMMYFUNCTION("""COMPUTED_VALUE"""),1.0)</f>
        <v>1</v>
      </c>
      <c r="C4054" s="2">
        <f>IFERROR(__xludf.DUMMYFUNCTION("""COMPUTED_VALUE"""),439.0)</f>
        <v>439</v>
      </c>
      <c r="D4054" s="3">
        <f>IFERROR(__xludf.DUMMYFUNCTION("""COMPUTED_VALUE"""),279.0)</f>
        <v>279</v>
      </c>
      <c r="E4054" s="1" t="str">
        <f t="array" ref="E4054">_xlfn.XLOOKUP(A4054,Product!A:A,Product!B:B,"Bulunamadı")</f>
        <v>Sports</v>
      </c>
      <c r="F4054" s="1" t="str">
        <f t="array" ref="F4054">_xlfn.XLOOKUP(A4054,Product!A:A,Product!C:C,"Bulunamadı")</f>
        <v>DevOps</v>
      </c>
      <c r="G4054" s="2" t="str">
        <f t="array" ref="G4054">_xlfn.XLOOKUP(A4055,Product!A:A,Product!D:D,"Bulunamadı")</f>
        <v>Irontrail House</v>
      </c>
      <c r="H4054" s="2">
        <f t="array" ref="H4054">_xlfn.XLOOKUP(A4056,Product!A:A,Product!E:E,"Bulunamadı")</f>
        <v>2.94</v>
      </c>
      <c r="I4054" s="2" t="str">
        <f t="shared" si="1"/>
        <v>120708 - Sports - DevOps</v>
      </c>
      <c r="J4054" s="2">
        <f t="shared" si="2"/>
        <v>820.26</v>
      </c>
      <c r="K4054" s="17">
        <f t="shared" si="3"/>
        <v>1</v>
      </c>
      <c r="L4054" s="18"/>
    </row>
    <row r="4055" hidden="1">
      <c r="A4055" s="2">
        <f>IFERROR(__xludf.DUMMYFUNCTION("""COMPUTED_VALUE"""),74419.0)</f>
        <v>74419</v>
      </c>
      <c r="B4055" s="2">
        <f>IFERROR(__xludf.DUMMYFUNCTION("""COMPUTED_VALUE"""),0.0)</f>
        <v>0</v>
      </c>
      <c r="C4055" s="2">
        <f>IFERROR(__xludf.DUMMYFUNCTION("""COMPUTED_VALUE"""),338.0)</f>
        <v>338</v>
      </c>
      <c r="D4055" s="3">
        <f>IFERROR(__xludf.DUMMYFUNCTION("""COMPUTED_VALUE"""),262.0)</f>
        <v>262</v>
      </c>
      <c r="E4055" s="1" t="str">
        <f t="array" ref="E4055">_xlfn.XLOOKUP(A4055,Product!A:A,Product!B:B,"Bulunamadı")</f>
        <v>Sports</v>
      </c>
      <c r="F4055" s="1" t="str">
        <f t="array" ref="F4055">_xlfn.XLOOKUP(A4055,Product!A:A,Product!C:C,"Bulunamadı")</f>
        <v>DevOps</v>
      </c>
      <c r="G4055" s="2" t="str">
        <f t="array" ref="G4055">_xlfn.XLOOKUP(A4056,Product!A:A,Product!D:D,"Bulunamadı")</f>
        <v>Irontrail House</v>
      </c>
      <c r="H4055" s="2">
        <f t="array" ref="H4055">_xlfn.XLOOKUP(A4057,Product!A:A,Product!E:E,"Bulunamadı")</f>
        <v>4.06</v>
      </c>
      <c r="I4055" s="2" t="str">
        <f t="shared" si="1"/>
        <v>74419 - Sports - DevOps</v>
      </c>
      <c r="J4055" s="2">
        <f t="shared" si="2"/>
        <v>1063.72</v>
      </c>
      <c r="K4055" s="17">
        <f t="shared" si="3"/>
        <v>1</v>
      </c>
      <c r="L4055" s="18"/>
    </row>
    <row r="4056" hidden="1">
      <c r="A4056" s="2">
        <f>IFERROR(__xludf.DUMMYFUNCTION("""COMPUTED_VALUE"""),113278.0)</f>
        <v>113278</v>
      </c>
      <c r="B4056" s="2">
        <f>IFERROR(__xludf.DUMMYFUNCTION("""COMPUTED_VALUE"""),0.0)</f>
        <v>0</v>
      </c>
      <c r="C4056" s="2">
        <f>IFERROR(__xludf.DUMMYFUNCTION("""COMPUTED_VALUE"""),183.0)</f>
        <v>183</v>
      </c>
      <c r="D4056" s="3">
        <f>IFERROR(__xludf.DUMMYFUNCTION("""COMPUTED_VALUE"""),146.0)</f>
        <v>146</v>
      </c>
      <c r="E4056" s="1" t="str">
        <f t="array" ref="E4056">_xlfn.XLOOKUP(A4056,Product!A:A,Product!B:B,"Bulunamadı")</f>
        <v>Sports</v>
      </c>
      <c r="F4056" s="1" t="str">
        <f t="array" ref="F4056">_xlfn.XLOOKUP(A4056,Product!A:A,Product!C:C,"Bulunamadı")</f>
        <v>DevOps</v>
      </c>
      <c r="G4056" s="2" t="str">
        <f t="array" ref="G4056">_xlfn.XLOOKUP(A4057,Product!A:A,Product!D:D,"Bulunamadı")</f>
        <v>Irontrail House</v>
      </c>
      <c r="H4056" s="2">
        <f t="array" ref="H4056">_xlfn.XLOOKUP(A4058,Product!A:A,Product!E:E,"Bulunamadı")</f>
        <v>5.63</v>
      </c>
      <c r="I4056" s="2" t="str">
        <f t="shared" si="1"/>
        <v>113278 - Sports - DevOps</v>
      </c>
      <c r="J4056" s="2">
        <f t="shared" si="2"/>
        <v>821.98</v>
      </c>
      <c r="K4056" s="17">
        <f t="shared" si="3"/>
        <v>1</v>
      </c>
      <c r="L4056" s="18"/>
    </row>
    <row r="4057" hidden="1">
      <c r="A4057" s="2">
        <f>IFERROR(__xludf.DUMMYFUNCTION("""COMPUTED_VALUE"""),83486.0)</f>
        <v>83486</v>
      </c>
      <c r="B4057" s="2">
        <f>IFERROR(__xludf.DUMMYFUNCTION("""COMPUTED_VALUE"""),0.0)</f>
        <v>0</v>
      </c>
      <c r="C4057" s="2">
        <f>IFERROR(__xludf.DUMMYFUNCTION("""COMPUTED_VALUE"""),765.0)</f>
        <v>765</v>
      </c>
      <c r="D4057" s="3">
        <f>IFERROR(__xludf.DUMMYFUNCTION("""COMPUTED_VALUE"""),31.0)</f>
        <v>31</v>
      </c>
      <c r="E4057" s="1" t="str">
        <f t="array" ref="E4057">_xlfn.XLOOKUP(A4057,Product!A:A,Product!B:B,"Bulunamadı")</f>
        <v>Sports</v>
      </c>
      <c r="F4057" s="1" t="str">
        <f t="array" ref="F4057">_xlfn.XLOOKUP(A4057,Product!A:A,Product!C:C,"Bulunamadı")</f>
        <v>DevOps</v>
      </c>
      <c r="G4057" s="2" t="str">
        <f t="array" ref="G4057">_xlfn.XLOOKUP(A4058,Product!A:A,Product!D:D,"Bulunamadı")</f>
        <v>Irontrail House</v>
      </c>
      <c r="H4057" s="2">
        <f t="array" ref="H4057">_xlfn.XLOOKUP(A4059,Product!A:A,Product!E:E,"Bulunamadı")</f>
        <v>2.41</v>
      </c>
      <c r="I4057" s="2" t="str">
        <f t="shared" si="1"/>
        <v>83486 - Sports - DevOps</v>
      </c>
      <c r="J4057" s="2">
        <f t="shared" si="2"/>
        <v>74.71</v>
      </c>
      <c r="K4057" s="17">
        <f t="shared" si="3"/>
        <v>1</v>
      </c>
      <c r="L4057" s="18"/>
    </row>
    <row r="4058" hidden="1">
      <c r="A4058" s="2">
        <f>IFERROR(__xludf.DUMMYFUNCTION("""COMPUTED_VALUE"""),11452.0)</f>
        <v>11452</v>
      </c>
      <c r="B4058" s="2">
        <f>IFERROR(__xludf.DUMMYFUNCTION("""COMPUTED_VALUE"""),1.0)</f>
        <v>1</v>
      </c>
      <c r="C4058" s="2">
        <f>IFERROR(__xludf.DUMMYFUNCTION("""COMPUTED_VALUE"""),310.0)</f>
        <v>310</v>
      </c>
      <c r="D4058" s="3">
        <f>IFERROR(__xludf.DUMMYFUNCTION("""COMPUTED_VALUE"""),136.0)</f>
        <v>136</v>
      </c>
      <c r="E4058" s="1" t="str">
        <f t="array" ref="E4058">_xlfn.XLOOKUP(A4058,Product!A:A,Product!B:B,"Bulunamadı")</f>
        <v>Sports</v>
      </c>
      <c r="F4058" s="1" t="str">
        <f t="array" ref="F4058">_xlfn.XLOOKUP(A4058,Product!A:A,Product!C:C,"Bulunamadı")</f>
        <v>DevOps</v>
      </c>
      <c r="G4058" s="2" t="str">
        <f t="array" ref="G4058">_xlfn.XLOOKUP(A4059,Product!A:A,Product!D:D,"Bulunamadı")</f>
        <v>Irontrail House</v>
      </c>
      <c r="H4058" s="2">
        <f t="array" ref="H4058">_xlfn.XLOOKUP(A4060,Product!A:A,Product!E:E,"Bulunamadı")</f>
        <v>4.91</v>
      </c>
      <c r="I4058" s="2" t="str">
        <f t="shared" si="1"/>
        <v>11452 - Sports - DevOps</v>
      </c>
      <c r="J4058" s="2">
        <f t="shared" si="2"/>
        <v>667.76</v>
      </c>
      <c r="K4058" s="17">
        <f t="shared" si="3"/>
        <v>1</v>
      </c>
      <c r="L4058" s="18"/>
    </row>
    <row r="4059" hidden="1">
      <c r="A4059" s="2">
        <f>IFERROR(__xludf.DUMMYFUNCTION("""COMPUTED_VALUE"""),116803.0)</f>
        <v>116803</v>
      </c>
      <c r="B4059" s="2">
        <f>IFERROR(__xludf.DUMMYFUNCTION("""COMPUTED_VALUE"""),1.0)</f>
        <v>1</v>
      </c>
      <c r="C4059" s="2">
        <f>IFERROR(__xludf.DUMMYFUNCTION("""COMPUTED_VALUE"""),592.0)</f>
        <v>592</v>
      </c>
      <c r="D4059" s="3">
        <f>IFERROR(__xludf.DUMMYFUNCTION("""COMPUTED_VALUE"""),323.0)</f>
        <v>323</v>
      </c>
      <c r="E4059" s="1" t="str">
        <f t="array" ref="E4059">_xlfn.XLOOKUP(A4059,Product!A:A,Product!B:B,"Bulunamadı")</f>
        <v>Sports</v>
      </c>
      <c r="F4059" s="1" t="str">
        <f t="array" ref="F4059">_xlfn.XLOOKUP(A4059,Product!A:A,Product!C:C,"Bulunamadı")</f>
        <v>DevOps</v>
      </c>
      <c r="G4059" s="2" t="str">
        <f t="array" ref="G4059">_xlfn.XLOOKUP(A4060,Product!A:A,Product!D:D,"Bulunamadı")</f>
        <v>Irontrail House</v>
      </c>
      <c r="H4059" s="2">
        <f t="array" ref="H4059">_xlfn.XLOOKUP(A4061,Product!A:A,Product!E:E,"Bulunamadı")</f>
        <v>6.14</v>
      </c>
      <c r="I4059" s="2" t="str">
        <f t="shared" si="1"/>
        <v>116803 - Sports - DevOps</v>
      </c>
      <c r="J4059" s="2">
        <f t="shared" si="2"/>
        <v>1983.22</v>
      </c>
      <c r="K4059" s="17">
        <f t="shared" si="3"/>
        <v>1</v>
      </c>
      <c r="L4059" s="18"/>
    </row>
    <row r="4060" hidden="1">
      <c r="A4060" s="2">
        <f>IFERROR(__xludf.DUMMYFUNCTION("""COMPUTED_VALUE"""),77657.0)</f>
        <v>77657</v>
      </c>
      <c r="B4060" s="2">
        <f>IFERROR(__xludf.DUMMYFUNCTION("""COMPUTED_VALUE"""),1.0)</f>
        <v>1</v>
      </c>
      <c r="C4060" s="2">
        <f>IFERROR(__xludf.DUMMYFUNCTION("""COMPUTED_VALUE"""),811.0)</f>
        <v>811</v>
      </c>
      <c r="D4060" s="3">
        <f>IFERROR(__xludf.DUMMYFUNCTION("""COMPUTED_VALUE"""),413.0)</f>
        <v>413</v>
      </c>
      <c r="E4060" s="1" t="str">
        <f t="array" ref="E4060">_xlfn.XLOOKUP(A4060,Product!A:A,Product!B:B,"Bulunamadı")</f>
        <v>Sports</v>
      </c>
      <c r="F4060" s="1" t="str">
        <f t="array" ref="F4060">_xlfn.XLOOKUP(A4060,Product!A:A,Product!C:C,"Bulunamadı")</f>
        <v>DevOps</v>
      </c>
      <c r="G4060" s="2" t="str">
        <f t="array" ref="G4060">_xlfn.XLOOKUP(A4061,Product!A:A,Product!D:D,"Bulunamadı")</f>
        <v>Irontrail House</v>
      </c>
      <c r="H4060" s="2">
        <f t="array" ref="H4060">_xlfn.XLOOKUP(A4062,Product!A:A,Product!E:E,"Bulunamadı")</f>
        <v>3.1</v>
      </c>
      <c r="I4060" s="2" t="str">
        <f t="shared" si="1"/>
        <v>77657 - Sports - DevOps</v>
      </c>
      <c r="J4060" s="2">
        <f t="shared" si="2"/>
        <v>1280.3</v>
      </c>
      <c r="K4060" s="17">
        <f t="shared" si="3"/>
        <v>1</v>
      </c>
      <c r="L4060" s="18"/>
    </row>
    <row r="4061" hidden="1">
      <c r="A4061" s="2">
        <f>IFERROR(__xludf.DUMMYFUNCTION("""COMPUTED_VALUE"""),120309.0)</f>
        <v>120309</v>
      </c>
      <c r="B4061" s="2">
        <f>IFERROR(__xludf.DUMMYFUNCTION("""COMPUTED_VALUE"""),0.0)</f>
        <v>0</v>
      </c>
      <c r="C4061" s="2">
        <f>IFERROR(__xludf.DUMMYFUNCTION("""COMPUTED_VALUE"""),492.0)</f>
        <v>492</v>
      </c>
      <c r="D4061" s="3">
        <f>IFERROR(__xludf.DUMMYFUNCTION("""COMPUTED_VALUE"""),111.0)</f>
        <v>111</v>
      </c>
      <c r="E4061" s="1" t="str">
        <f t="array" ref="E4061">_xlfn.XLOOKUP(A4061,Product!A:A,Product!B:B,"Bulunamadı")</f>
        <v>Sports</v>
      </c>
      <c r="F4061" s="1" t="str">
        <f t="array" ref="F4061">_xlfn.XLOOKUP(A4061,Product!A:A,Product!C:C,"Bulunamadı")</f>
        <v>DevOps</v>
      </c>
      <c r="G4061" s="2" t="str">
        <f t="array" ref="G4061">_xlfn.XLOOKUP(A4062,Product!A:A,Product!D:D,"Bulunamadı")</f>
        <v>Irontrail House</v>
      </c>
      <c r="H4061" s="2">
        <f t="array" ref="H4061">_xlfn.XLOOKUP(A4063,Product!A:A,Product!E:E,"Bulunamadı")</f>
        <v>2.81</v>
      </c>
      <c r="I4061" s="2" t="str">
        <f t="shared" si="1"/>
        <v>120309 - Sports - DevOps</v>
      </c>
      <c r="J4061" s="2">
        <f t="shared" si="2"/>
        <v>311.91</v>
      </c>
      <c r="K4061" s="17">
        <f t="shared" si="3"/>
        <v>1</v>
      </c>
      <c r="L4061" s="18"/>
    </row>
    <row r="4062" hidden="1">
      <c r="A4062" s="2">
        <f>IFERROR(__xludf.DUMMYFUNCTION("""COMPUTED_VALUE"""),116276.0)</f>
        <v>116276</v>
      </c>
      <c r="B4062" s="2">
        <f>IFERROR(__xludf.DUMMYFUNCTION("""COMPUTED_VALUE"""),1.0)</f>
        <v>1</v>
      </c>
      <c r="C4062" s="2">
        <f>IFERROR(__xludf.DUMMYFUNCTION("""COMPUTED_VALUE"""),767.0)</f>
        <v>767</v>
      </c>
      <c r="D4062" s="3">
        <f>IFERROR(__xludf.DUMMYFUNCTION("""COMPUTED_VALUE"""),562.0)</f>
        <v>562</v>
      </c>
      <c r="E4062" s="1" t="str">
        <f t="array" ref="E4062">_xlfn.XLOOKUP(A4062,Product!A:A,Product!B:B,"Bulunamadı")</f>
        <v>Sports</v>
      </c>
      <c r="F4062" s="1" t="str">
        <f t="array" ref="F4062">_xlfn.XLOOKUP(A4062,Product!A:A,Product!C:C,"Bulunamadı")</f>
        <v>DevOps</v>
      </c>
      <c r="G4062" s="2" t="str">
        <f t="array" ref="G4062">_xlfn.XLOOKUP(A4063,Product!A:A,Product!D:D,"Bulunamadı")</f>
        <v>Irontrail House</v>
      </c>
      <c r="H4062" s="2">
        <f t="array" ref="H4062">_xlfn.XLOOKUP(A4064,Product!A:A,Product!E:E,"Bulunamadı")</f>
        <v>1.76</v>
      </c>
      <c r="I4062" s="2" t="str">
        <f t="shared" si="1"/>
        <v>116276 - Sports - DevOps</v>
      </c>
      <c r="J4062" s="2">
        <f t="shared" si="2"/>
        <v>989.12</v>
      </c>
      <c r="K4062" s="17">
        <f t="shared" si="3"/>
        <v>1</v>
      </c>
      <c r="L4062" s="18"/>
    </row>
    <row r="4063" hidden="1">
      <c r="A4063" s="2">
        <f>IFERROR(__xludf.DUMMYFUNCTION("""COMPUTED_VALUE"""),104623.0)</f>
        <v>104623</v>
      </c>
      <c r="B4063" s="2">
        <f>IFERROR(__xludf.DUMMYFUNCTION("""COMPUTED_VALUE"""),0.0)</f>
        <v>0</v>
      </c>
      <c r="C4063" s="2">
        <f>IFERROR(__xludf.DUMMYFUNCTION("""COMPUTED_VALUE"""),447.0)</f>
        <v>447</v>
      </c>
      <c r="D4063" s="3">
        <f>IFERROR(__xludf.DUMMYFUNCTION("""COMPUTED_VALUE"""),313.0)</f>
        <v>313</v>
      </c>
      <c r="E4063" s="1" t="str">
        <f t="array" ref="E4063">_xlfn.XLOOKUP(A4063,Product!A:A,Product!B:B,"Bulunamadı")</f>
        <v>Sports</v>
      </c>
      <c r="F4063" s="1" t="str">
        <f t="array" ref="F4063">_xlfn.XLOOKUP(A4063,Product!A:A,Product!C:C,"Bulunamadı")</f>
        <v>DevOps</v>
      </c>
      <c r="G4063" s="2" t="str">
        <f t="array" ref="G4063">_xlfn.XLOOKUP(A4064,Product!A:A,Product!D:D,"Bulunamadı")</f>
        <v>Irontrail House</v>
      </c>
      <c r="H4063" s="2">
        <f t="array" ref="H4063">_xlfn.XLOOKUP(A4065,Product!A:A,Product!E:E,"Bulunamadı")</f>
        <v>1.95</v>
      </c>
      <c r="I4063" s="2" t="str">
        <f t="shared" si="1"/>
        <v>104623 - Sports - DevOps</v>
      </c>
      <c r="J4063" s="2">
        <f t="shared" si="2"/>
        <v>610.35</v>
      </c>
      <c r="K4063" s="17">
        <f t="shared" si="3"/>
        <v>1</v>
      </c>
      <c r="L4063" s="18"/>
    </row>
    <row r="4064" hidden="1">
      <c r="A4064" s="2">
        <f>IFERROR(__xludf.DUMMYFUNCTION("""COMPUTED_VALUE"""),78364.0)</f>
        <v>78364</v>
      </c>
      <c r="B4064" s="2">
        <f>IFERROR(__xludf.DUMMYFUNCTION("""COMPUTED_VALUE"""),0.0)</f>
        <v>0</v>
      </c>
      <c r="C4064" s="2">
        <f>IFERROR(__xludf.DUMMYFUNCTION("""COMPUTED_VALUE"""),965.0)</f>
        <v>965</v>
      </c>
      <c r="D4064" s="3">
        <f>IFERROR(__xludf.DUMMYFUNCTION("""COMPUTED_VALUE"""),198.0)</f>
        <v>198</v>
      </c>
      <c r="E4064" s="1" t="str">
        <f t="array" ref="E4064">_xlfn.XLOOKUP(A4064,Product!A:A,Product!B:B,"Bulunamadı")</f>
        <v>Sports</v>
      </c>
      <c r="F4064" s="1" t="str">
        <f t="array" ref="F4064">_xlfn.XLOOKUP(A4064,Product!A:A,Product!C:C,"Bulunamadı")</f>
        <v>DevOps</v>
      </c>
      <c r="G4064" s="2" t="str">
        <f t="array" ref="G4064">_xlfn.XLOOKUP(A4065,Product!A:A,Product!D:D,"Bulunamadı")</f>
        <v>Irontrail House</v>
      </c>
      <c r="H4064" s="2">
        <f t="array" ref="H4064">_xlfn.XLOOKUP(A4066,Product!A:A,Product!E:E,"Bulunamadı")</f>
        <v>5.17</v>
      </c>
      <c r="I4064" s="2" t="str">
        <f t="shared" si="1"/>
        <v>78364 - Sports - DevOps</v>
      </c>
      <c r="J4064" s="2">
        <f t="shared" si="2"/>
        <v>1023.66</v>
      </c>
      <c r="K4064" s="17">
        <f t="shared" si="3"/>
        <v>1</v>
      </c>
      <c r="L4064" s="18"/>
    </row>
    <row r="4065" hidden="1">
      <c r="A4065" s="2">
        <f>IFERROR(__xludf.DUMMYFUNCTION("""COMPUTED_VALUE"""),76837.0)</f>
        <v>76837</v>
      </c>
      <c r="B4065" s="2">
        <f>IFERROR(__xludf.DUMMYFUNCTION("""COMPUTED_VALUE"""),1.0)</f>
        <v>1</v>
      </c>
      <c r="C4065" s="2">
        <f>IFERROR(__xludf.DUMMYFUNCTION("""COMPUTED_VALUE"""),740.0)</f>
        <v>740</v>
      </c>
      <c r="D4065" s="3">
        <f>IFERROR(__xludf.DUMMYFUNCTION("""COMPUTED_VALUE"""),733.0)</f>
        <v>733</v>
      </c>
      <c r="E4065" s="1" t="str">
        <f t="array" ref="E4065">_xlfn.XLOOKUP(A4065,Product!A:A,Product!B:B,"Bulunamadı")</f>
        <v>Sports</v>
      </c>
      <c r="F4065" s="1" t="str">
        <f t="array" ref="F4065">_xlfn.XLOOKUP(A4065,Product!A:A,Product!C:C,"Bulunamadı")</f>
        <v>DevOps</v>
      </c>
      <c r="G4065" s="2" t="str">
        <f t="array" ref="G4065">_xlfn.XLOOKUP(A4066,Product!A:A,Product!D:D,"Bulunamadı")</f>
        <v>Silverbrook House</v>
      </c>
      <c r="H4065" s="2">
        <f t="array" ref="H4065">_xlfn.XLOOKUP(A4067,Product!A:A,Product!E:E,"Bulunamadı")</f>
        <v>6.21</v>
      </c>
      <c r="I4065" s="2" t="str">
        <f t="shared" si="1"/>
        <v>76837 - Sports - DevOps</v>
      </c>
      <c r="J4065" s="2">
        <f t="shared" si="2"/>
        <v>4551.93</v>
      </c>
      <c r="K4065" s="17">
        <f t="shared" si="3"/>
        <v>1</v>
      </c>
      <c r="L4065" s="18"/>
    </row>
    <row r="4066" hidden="1">
      <c r="A4066" s="2">
        <f>IFERROR(__xludf.DUMMYFUNCTION("""COMPUTED_VALUE"""),82873.0)</f>
        <v>82873</v>
      </c>
      <c r="B4066" s="2">
        <f>IFERROR(__xludf.DUMMYFUNCTION("""COMPUTED_VALUE"""),1.0)</f>
        <v>1</v>
      </c>
      <c r="C4066" s="2">
        <f>IFERROR(__xludf.DUMMYFUNCTION("""COMPUTED_VALUE"""),232.0)</f>
        <v>232</v>
      </c>
      <c r="D4066" s="3">
        <f>IFERROR(__xludf.DUMMYFUNCTION("""COMPUTED_VALUE"""),129.0)</f>
        <v>129</v>
      </c>
      <c r="E4066" s="1" t="str">
        <f t="array" ref="E4066">_xlfn.XLOOKUP(A4066,Product!A:A,Product!B:B,"Bulunamadı")</f>
        <v>Sports</v>
      </c>
      <c r="F4066" s="1" t="str">
        <f t="array" ref="F4066">_xlfn.XLOOKUP(A4066,Product!A:A,Product!C:C,"Bulunamadı")</f>
        <v>DevOps</v>
      </c>
      <c r="G4066" s="2" t="str">
        <f t="array" ref="G4066">_xlfn.XLOOKUP(A4067,Product!A:A,Product!D:D,"Bulunamadı")</f>
        <v>Silverbrook House</v>
      </c>
      <c r="H4066" s="2">
        <f t="array" ref="H4066">_xlfn.XLOOKUP(A4068,Product!A:A,Product!E:E,"Bulunamadı")</f>
        <v>3.77</v>
      </c>
      <c r="I4066" s="2" t="str">
        <f t="shared" si="1"/>
        <v>82873 - Sports - DevOps</v>
      </c>
      <c r="J4066" s="2">
        <f t="shared" si="2"/>
        <v>486.33</v>
      </c>
      <c r="K4066" s="17">
        <f t="shared" si="3"/>
        <v>1</v>
      </c>
      <c r="L4066" s="18"/>
    </row>
    <row r="4067" hidden="1">
      <c r="A4067" s="2">
        <f>IFERROR(__xludf.DUMMYFUNCTION("""COMPUTED_VALUE"""),110341.0)</f>
        <v>110341</v>
      </c>
      <c r="B4067" s="2">
        <f>IFERROR(__xludf.DUMMYFUNCTION("""COMPUTED_VALUE"""),1.0)</f>
        <v>1</v>
      </c>
      <c r="C4067" s="2">
        <f>IFERROR(__xludf.DUMMYFUNCTION("""COMPUTED_VALUE"""),214.0)</f>
        <v>214</v>
      </c>
      <c r="D4067" s="3">
        <f>IFERROR(__xludf.DUMMYFUNCTION("""COMPUTED_VALUE"""),103.0)</f>
        <v>103</v>
      </c>
      <c r="E4067" s="1" t="str">
        <f t="array" ref="E4067">_xlfn.XLOOKUP(A4067,Product!A:A,Product!B:B,"Bulunamadı")</f>
        <v>Sports</v>
      </c>
      <c r="F4067" s="1" t="str">
        <f t="array" ref="F4067">_xlfn.XLOOKUP(A4067,Product!A:A,Product!C:C,"Bulunamadı")</f>
        <v>DevOps</v>
      </c>
      <c r="G4067" s="2" t="str">
        <f t="array" ref="G4067">_xlfn.XLOOKUP(A4068,Product!A:A,Product!D:D,"Bulunamadı")</f>
        <v>Silverbrook House</v>
      </c>
      <c r="H4067" s="2">
        <f t="array" ref="H4067">_xlfn.XLOOKUP(A4069,Product!A:A,Product!E:E,"Bulunamadı")</f>
        <v>6.47</v>
      </c>
      <c r="I4067" s="2" t="str">
        <f t="shared" si="1"/>
        <v>110341 - Sports - DevOps</v>
      </c>
      <c r="J4067" s="2">
        <f t="shared" si="2"/>
        <v>666.41</v>
      </c>
      <c r="K4067" s="17">
        <f t="shared" si="3"/>
        <v>1</v>
      </c>
      <c r="L4067" s="18"/>
    </row>
    <row r="4068" hidden="1">
      <c r="A4068" s="2">
        <f>IFERROR(__xludf.DUMMYFUNCTION("""COMPUTED_VALUE"""),76874.0)</f>
        <v>76874</v>
      </c>
      <c r="B4068" s="2">
        <f>IFERROR(__xludf.DUMMYFUNCTION("""COMPUTED_VALUE"""),1.0)</f>
        <v>1</v>
      </c>
      <c r="C4068" s="2">
        <f>IFERROR(__xludf.DUMMYFUNCTION("""COMPUTED_VALUE"""),5.0)</f>
        <v>5</v>
      </c>
      <c r="D4068" s="3">
        <f>IFERROR(__xludf.DUMMYFUNCTION("""COMPUTED_VALUE"""),3.0)</f>
        <v>3</v>
      </c>
      <c r="E4068" s="1" t="str">
        <f t="array" ref="E4068">_xlfn.XLOOKUP(A4068,Product!A:A,Product!B:B,"Bulunamadı")</f>
        <v>Sports</v>
      </c>
      <c r="F4068" s="1" t="str">
        <f t="array" ref="F4068">_xlfn.XLOOKUP(A4068,Product!A:A,Product!C:C,"Bulunamadı")</f>
        <v>DevOps</v>
      </c>
      <c r="G4068" s="2" t="str">
        <f t="array" ref="G4068">_xlfn.XLOOKUP(A4069,Product!A:A,Product!D:D,"Bulunamadı")</f>
        <v>Silverbrook House</v>
      </c>
      <c r="H4068" s="2">
        <f t="array" ref="H4068">_xlfn.XLOOKUP(A4070,Product!A:A,Product!E:E,"Bulunamadı")</f>
        <v>5.41</v>
      </c>
      <c r="I4068" s="2" t="str">
        <f t="shared" si="1"/>
        <v>76874 - Sports - DevOps</v>
      </c>
      <c r="J4068" s="2">
        <f t="shared" si="2"/>
        <v>16.23</v>
      </c>
      <c r="K4068" s="17">
        <f t="shared" si="3"/>
        <v>1</v>
      </c>
      <c r="L4068" s="18"/>
    </row>
    <row r="4069" hidden="1">
      <c r="A4069" s="2">
        <f>IFERROR(__xludf.DUMMYFUNCTION("""COMPUTED_VALUE"""),110340.0)</f>
        <v>110340</v>
      </c>
      <c r="B4069" s="2">
        <f>IFERROR(__xludf.DUMMYFUNCTION("""COMPUTED_VALUE"""),1.0)</f>
        <v>1</v>
      </c>
      <c r="C4069" s="2">
        <f>IFERROR(__xludf.DUMMYFUNCTION("""COMPUTED_VALUE"""),450.0)</f>
        <v>450</v>
      </c>
      <c r="D4069" s="3">
        <f>IFERROR(__xludf.DUMMYFUNCTION("""COMPUTED_VALUE"""),362.0)</f>
        <v>362</v>
      </c>
      <c r="E4069" s="1" t="str">
        <f t="array" ref="E4069">_xlfn.XLOOKUP(A4069,Product!A:A,Product!B:B,"Bulunamadı")</f>
        <v>Sports</v>
      </c>
      <c r="F4069" s="1" t="str">
        <f t="array" ref="F4069">_xlfn.XLOOKUP(A4069,Product!A:A,Product!C:C,"Bulunamadı")</f>
        <v>DevOps</v>
      </c>
      <c r="G4069" s="2" t="str">
        <f t="array" ref="G4069">_xlfn.XLOOKUP(A4070,Product!A:A,Product!D:D,"Bulunamadı")</f>
        <v>Silverbrook House</v>
      </c>
      <c r="H4069" s="2">
        <f t="array" ref="H4069">_xlfn.XLOOKUP(A4071,Product!A:A,Product!E:E,"Bulunamadı")</f>
        <v>6.42</v>
      </c>
      <c r="I4069" s="2" t="str">
        <f t="shared" si="1"/>
        <v>110340 - Sports - DevOps</v>
      </c>
      <c r="J4069" s="2">
        <f t="shared" si="2"/>
        <v>2324.04</v>
      </c>
      <c r="K4069" s="17">
        <f t="shared" si="3"/>
        <v>1</v>
      </c>
      <c r="L4069" s="18"/>
    </row>
    <row r="4070" hidden="1">
      <c r="A4070" s="2">
        <f>IFERROR(__xludf.DUMMYFUNCTION("""COMPUTED_VALUE"""),44409.0)</f>
        <v>44409</v>
      </c>
      <c r="B4070" s="2">
        <f>IFERROR(__xludf.DUMMYFUNCTION("""COMPUTED_VALUE"""),0.0)</f>
        <v>0</v>
      </c>
      <c r="C4070" s="2">
        <f>IFERROR(__xludf.DUMMYFUNCTION("""COMPUTED_VALUE"""),821.0)</f>
        <v>821</v>
      </c>
      <c r="D4070" s="3">
        <f>IFERROR(__xludf.DUMMYFUNCTION("""COMPUTED_VALUE"""),504.0)</f>
        <v>504</v>
      </c>
      <c r="E4070" s="1" t="str">
        <f t="array" ref="E4070">_xlfn.XLOOKUP(A4070,Product!A:A,Product!B:B,"Bulunamadı")</f>
        <v>Sports</v>
      </c>
      <c r="F4070" s="1" t="str">
        <f t="array" ref="F4070">_xlfn.XLOOKUP(A4070,Product!A:A,Product!C:C,"Bulunamadı")</f>
        <v>DevOps</v>
      </c>
      <c r="G4070" s="2" t="str">
        <f t="array" ref="G4070">_xlfn.XLOOKUP(A4071,Product!A:A,Product!D:D,"Bulunamadı")</f>
        <v>Silverbrook House</v>
      </c>
      <c r="H4070" s="2">
        <f t="array" ref="H4070">_xlfn.XLOOKUP(A4072,Product!A:A,Product!E:E,"Bulunamadı")</f>
        <v>11.99</v>
      </c>
      <c r="I4070" s="2" t="str">
        <f t="shared" si="1"/>
        <v>44409 - Sports - DevOps</v>
      </c>
      <c r="J4070" s="2">
        <f t="shared" si="2"/>
        <v>6042.96</v>
      </c>
      <c r="K4070" s="17">
        <f t="shared" si="3"/>
        <v>1</v>
      </c>
      <c r="L4070" s="18"/>
    </row>
    <row r="4071" hidden="1">
      <c r="A4071" s="2">
        <f>IFERROR(__xludf.DUMMYFUNCTION("""COMPUTED_VALUE"""),73831.0)</f>
        <v>73831</v>
      </c>
      <c r="B4071" s="2">
        <f>IFERROR(__xludf.DUMMYFUNCTION("""COMPUTED_VALUE"""),1.0)</f>
        <v>1</v>
      </c>
      <c r="C4071" s="2">
        <f>IFERROR(__xludf.DUMMYFUNCTION("""COMPUTED_VALUE"""),148.0)</f>
        <v>148</v>
      </c>
      <c r="D4071" s="3">
        <f>IFERROR(__xludf.DUMMYFUNCTION("""COMPUTED_VALUE"""),125.0)</f>
        <v>125</v>
      </c>
      <c r="E4071" s="1" t="str">
        <f t="array" ref="E4071">_xlfn.XLOOKUP(A4071,Product!A:A,Product!B:B,"Bulunamadı")</f>
        <v>Sports</v>
      </c>
      <c r="F4071" s="1" t="str">
        <f t="array" ref="F4071">_xlfn.XLOOKUP(A4071,Product!A:A,Product!C:C,"Bulunamadı")</f>
        <v>DevOps</v>
      </c>
      <c r="G4071" s="2" t="str">
        <f t="array" ref="G4071">_xlfn.XLOOKUP(A4072,Product!A:A,Product!D:D,"Bulunamadı")</f>
        <v>Northbrook House</v>
      </c>
      <c r="H4071" s="2">
        <f t="array" ref="H4071">_xlfn.XLOOKUP(A4073,Product!A:A,Product!E:E,"Bulunamadı")</f>
        <v>3.75</v>
      </c>
      <c r="I4071" s="2" t="str">
        <f t="shared" si="1"/>
        <v>73831 - Sports - DevOps</v>
      </c>
      <c r="J4071" s="2">
        <f t="shared" si="2"/>
        <v>468.75</v>
      </c>
      <c r="K4071" s="17">
        <f t="shared" si="3"/>
        <v>1</v>
      </c>
      <c r="L4071" s="18"/>
    </row>
    <row r="4072" hidden="1">
      <c r="A4072" s="2">
        <f>IFERROR(__xludf.DUMMYFUNCTION("""COMPUTED_VALUE"""),79035.0)</f>
        <v>79035</v>
      </c>
      <c r="B4072" s="2">
        <f>IFERROR(__xludf.DUMMYFUNCTION("""COMPUTED_VALUE"""),0.0)</f>
        <v>0</v>
      </c>
      <c r="C4072" s="2">
        <f>IFERROR(__xludf.DUMMYFUNCTION("""COMPUTED_VALUE"""),945.0)</f>
        <v>945</v>
      </c>
      <c r="D4072" s="3">
        <f>IFERROR(__xludf.DUMMYFUNCTION("""COMPUTED_VALUE"""),62.0)</f>
        <v>62</v>
      </c>
      <c r="E4072" s="1" t="str">
        <f t="array" ref="E4072">_xlfn.XLOOKUP(A4072,Product!A:A,Product!B:B,"Bulunamadı")</f>
        <v>Sports</v>
      </c>
      <c r="F4072" s="1" t="str">
        <f t="array" ref="F4072">_xlfn.XLOOKUP(A4072,Product!A:A,Product!C:C,"Bulunamadı")</f>
        <v>DevOps</v>
      </c>
      <c r="G4072" s="2" t="str">
        <f t="array" ref="G4072">_xlfn.XLOOKUP(A4073,Product!A:A,Product!D:D,"Bulunamadı")</f>
        <v>Northbrook House</v>
      </c>
      <c r="H4072" s="2">
        <f t="array" ref="H4072">_xlfn.XLOOKUP(A4074,Product!A:A,Product!E:E,"Bulunamadı")</f>
        <v>8.45</v>
      </c>
      <c r="I4072" s="2" t="str">
        <f t="shared" si="1"/>
        <v>79035 - Sports - DevOps</v>
      </c>
      <c r="J4072" s="2">
        <f t="shared" si="2"/>
        <v>523.9</v>
      </c>
      <c r="K4072" s="17">
        <f t="shared" si="3"/>
        <v>1</v>
      </c>
      <c r="L4072" s="18"/>
    </row>
    <row r="4073" hidden="1">
      <c r="A4073" s="2">
        <f>IFERROR(__xludf.DUMMYFUNCTION("""COMPUTED_VALUE"""),94951.0)</f>
        <v>94951</v>
      </c>
      <c r="B4073" s="2">
        <f>IFERROR(__xludf.DUMMYFUNCTION("""COMPUTED_VALUE"""),1.0)</f>
        <v>1</v>
      </c>
      <c r="C4073" s="2">
        <f>IFERROR(__xludf.DUMMYFUNCTION("""COMPUTED_VALUE"""),418.0)</f>
        <v>418</v>
      </c>
      <c r="D4073" s="3">
        <f>IFERROR(__xludf.DUMMYFUNCTION("""COMPUTED_VALUE"""),26.0)</f>
        <v>26</v>
      </c>
      <c r="E4073" s="1" t="str">
        <f t="array" ref="E4073">_xlfn.XLOOKUP(A4073,Product!A:A,Product!B:B,"Bulunamadı")</f>
        <v>Sports</v>
      </c>
      <c r="F4073" s="1" t="str">
        <f t="array" ref="F4073">_xlfn.XLOOKUP(A4073,Product!A:A,Product!C:C,"Bulunamadı")</f>
        <v>DevOps</v>
      </c>
      <c r="G4073" s="2" t="str">
        <f t="array" ref="G4073">_xlfn.XLOOKUP(A4074,Product!A:A,Product!D:D,"Bulunamadı")</f>
        <v/>
      </c>
      <c r="H4073" s="2">
        <f t="array" ref="H4073">_xlfn.XLOOKUP(A4075,Product!A:A,Product!E:E,"Bulunamadı")</f>
        <v>9.91</v>
      </c>
      <c r="I4073" s="2" t="str">
        <f t="shared" si="1"/>
        <v>94951 - Sports - DevOps</v>
      </c>
      <c r="J4073" s="2">
        <f t="shared" si="2"/>
        <v>257.66</v>
      </c>
      <c r="K4073" s="17">
        <f t="shared" si="3"/>
        <v>1</v>
      </c>
      <c r="L4073" s="18"/>
    </row>
    <row r="4074" hidden="1">
      <c r="A4074" s="2">
        <f>IFERROR(__xludf.DUMMYFUNCTION("""COMPUTED_VALUE"""),22248.0)</f>
        <v>22248</v>
      </c>
      <c r="B4074" s="2">
        <f>IFERROR(__xludf.DUMMYFUNCTION("""COMPUTED_VALUE"""),1.0)</f>
        <v>1</v>
      </c>
      <c r="C4074" s="2">
        <f>IFERROR(__xludf.DUMMYFUNCTION("""COMPUTED_VALUE"""),-17.0)</f>
        <v>-17</v>
      </c>
      <c r="D4074" s="3">
        <f>IFERROR(__xludf.DUMMYFUNCTION("""COMPUTED_VALUE"""),0.0)</f>
        <v>0</v>
      </c>
      <c r="E4074" s="1" t="str">
        <f t="array" ref="E4074">_xlfn.XLOOKUP(A4074,Product!A:A,Product!B:B,"Bulunamadı")</f>
        <v>Self-Help</v>
      </c>
      <c r="F4074" s="1" t="str">
        <f t="array" ref="F4074">_xlfn.XLOOKUP(A4074,Product!A:A,Product!C:C,"Bulunamadı")</f>
        <v>Databases</v>
      </c>
      <c r="G4074" s="2" t="str">
        <f t="array" ref="G4074">_xlfn.XLOOKUP(A4075,Product!A:A,Product!D:D,"Bulunamadı")</f>
        <v/>
      </c>
      <c r="H4074" s="2">
        <f t="array" ref="H4074">_xlfn.XLOOKUP(A4076,Product!A:A,Product!E:E,"Bulunamadı")</f>
        <v>6.71</v>
      </c>
      <c r="I4074" s="2" t="str">
        <f t="shared" si="1"/>
        <v>22248 - Self-Help - Databases</v>
      </c>
      <c r="J4074" s="2">
        <f t="shared" si="2"/>
        <v>0</v>
      </c>
      <c r="K4074" s="17">
        <f t="shared" si="3"/>
        <v>0</v>
      </c>
      <c r="L4074" s="18"/>
    </row>
    <row r="4075" hidden="1">
      <c r="A4075" s="2">
        <f>IFERROR(__xludf.DUMMYFUNCTION("""COMPUTED_VALUE"""),16088.0)</f>
        <v>16088</v>
      </c>
      <c r="B4075" s="2">
        <f>IFERROR(__xludf.DUMMYFUNCTION("""COMPUTED_VALUE"""),1.0)</f>
        <v>1</v>
      </c>
      <c r="C4075" s="2">
        <f>IFERROR(__xludf.DUMMYFUNCTION("""COMPUTED_VALUE"""),710.0)</f>
        <v>710</v>
      </c>
      <c r="D4075" s="3">
        <f>IFERROR(__xludf.DUMMYFUNCTION("""COMPUTED_VALUE"""),155.0)</f>
        <v>155</v>
      </c>
      <c r="E4075" s="1" t="str">
        <f t="array" ref="E4075">_xlfn.XLOOKUP(A4075,Product!A:A,Product!B:B,"Bulunamadı")</f>
        <v>Self-Help</v>
      </c>
      <c r="F4075" s="1" t="str">
        <f t="array" ref="F4075">_xlfn.XLOOKUP(A4075,Product!A:A,Product!C:C,"Bulunamadı")</f>
        <v>Databases</v>
      </c>
      <c r="G4075" s="2" t="str">
        <f t="array" ref="G4075">_xlfn.XLOOKUP(A4076,Product!A:A,Product!D:D,"Bulunamadı")</f>
        <v>Harborbrook House</v>
      </c>
      <c r="H4075" s="2">
        <f t="array" ref="H4075">_xlfn.XLOOKUP(A4077,Product!A:A,Product!E:E,"Bulunamadı")</f>
        <v>5.66</v>
      </c>
      <c r="I4075" s="2" t="str">
        <f t="shared" si="1"/>
        <v>16088 - Self-Help - Databases</v>
      </c>
      <c r="J4075" s="2">
        <f t="shared" si="2"/>
        <v>877.3</v>
      </c>
      <c r="K4075" s="17">
        <f t="shared" si="3"/>
        <v>1</v>
      </c>
      <c r="L4075" s="18"/>
    </row>
    <row r="4076">
      <c r="A4076" s="2">
        <f>IFERROR(__xludf.DUMMYFUNCTION("""COMPUTED_VALUE"""),10571.0)</f>
        <v>10571</v>
      </c>
      <c r="B4076" s="2">
        <f>IFERROR(__xludf.DUMMYFUNCTION("""COMPUTED_VALUE"""),1.0)</f>
        <v>1</v>
      </c>
      <c r="C4076" s="2">
        <f>IFERROR(__xludf.DUMMYFUNCTION("""COMPUTED_VALUE"""),926.0)</f>
        <v>926</v>
      </c>
      <c r="D4076" s="3">
        <f>IFERROR(__xludf.DUMMYFUNCTION("""COMPUTED_VALUE"""),513.0)</f>
        <v>513</v>
      </c>
      <c r="E4076" s="1" t="str">
        <f t="array" ref="E4076">_xlfn.XLOOKUP(A4076,Product!A:A,Product!B:B,"Bulunamadı")</f>
        <v>Arts</v>
      </c>
      <c r="F4076" s="1" t="str">
        <f t="array" ref="F4076">_xlfn.XLOOKUP(A4076,Product!A:A,Product!C:C,"Bulunamadı")</f>
        <v>Networking</v>
      </c>
      <c r="G4076" s="2" t="str">
        <f t="array" ref="G4076">_xlfn.XLOOKUP(A4077,Product!A:A,Product!D:D,"Bulunamadı")</f>
        <v>Harborbrook House</v>
      </c>
      <c r="H4076" s="2">
        <f t="array" ref="H4076">_xlfn.XLOOKUP(A4078,Product!A:A,Product!E:E,"Bulunamadı")</f>
        <v>10.06</v>
      </c>
      <c r="I4076" s="2" t="str">
        <f t="shared" si="1"/>
        <v>10571 - Arts - Networking</v>
      </c>
      <c r="J4076" s="2">
        <f t="shared" si="2"/>
        <v>5160.78</v>
      </c>
      <c r="K4076" s="17">
        <f t="shared" si="3"/>
        <v>1</v>
      </c>
      <c r="L4076" s="18"/>
    </row>
    <row r="4077">
      <c r="A4077" s="2">
        <f>IFERROR(__xludf.DUMMYFUNCTION("""COMPUTED_VALUE"""),182012.0)</f>
        <v>182012</v>
      </c>
      <c r="B4077" s="2">
        <f>IFERROR(__xludf.DUMMYFUNCTION("""COMPUTED_VALUE"""),1.0)</f>
        <v>1</v>
      </c>
      <c r="C4077" s="2">
        <f>IFERROR(__xludf.DUMMYFUNCTION("""COMPUTED_VALUE"""),330.0)</f>
        <v>330</v>
      </c>
      <c r="D4077" s="3">
        <f>IFERROR(__xludf.DUMMYFUNCTION("""COMPUTED_VALUE"""),53.0)</f>
        <v>53</v>
      </c>
      <c r="E4077" s="1" t="str">
        <f t="array" ref="E4077">_xlfn.XLOOKUP(A4077,Product!A:A,Product!B:B,"Bulunamadı")</f>
        <v>Arts</v>
      </c>
      <c r="F4077" s="1" t="str">
        <f t="array" ref="F4077">_xlfn.XLOOKUP(A4077,Product!A:A,Product!C:C,"Bulunamadı")</f>
        <v>Networking</v>
      </c>
      <c r="G4077" s="2" t="str">
        <f t="array" ref="G4077">_xlfn.XLOOKUP(A4078,Product!A:A,Product!D:D,"Bulunamadı")</f>
        <v>Harborbrook House</v>
      </c>
      <c r="H4077" s="2">
        <f t="array" ref="H4077">_xlfn.XLOOKUP(A4079,Product!A:A,Product!E:E,"Bulunamadı")</f>
        <v>4.84</v>
      </c>
      <c r="I4077" s="2" t="str">
        <f t="shared" si="1"/>
        <v>182012 - Arts - Networking</v>
      </c>
      <c r="J4077" s="2">
        <f t="shared" si="2"/>
        <v>256.52</v>
      </c>
      <c r="K4077" s="17">
        <f t="shared" si="3"/>
        <v>1</v>
      </c>
      <c r="L4077" s="18"/>
    </row>
    <row r="4078">
      <c r="A4078" s="2">
        <f>IFERROR(__xludf.DUMMYFUNCTION("""COMPUTED_VALUE"""),182013.0)</f>
        <v>182013</v>
      </c>
      <c r="B4078" s="2">
        <f>IFERROR(__xludf.DUMMYFUNCTION("""COMPUTED_VALUE"""),1.0)</f>
        <v>1</v>
      </c>
      <c r="C4078" s="2">
        <f>IFERROR(__xludf.DUMMYFUNCTION("""COMPUTED_VALUE"""),490.0)</f>
        <v>490</v>
      </c>
      <c r="D4078" s="3">
        <f>IFERROR(__xludf.DUMMYFUNCTION("""COMPUTED_VALUE"""),487.0)</f>
        <v>487</v>
      </c>
      <c r="E4078" s="1" t="str">
        <f t="array" ref="E4078">_xlfn.XLOOKUP(A4078,Product!A:A,Product!B:B,"Bulunamadı")</f>
        <v>Arts</v>
      </c>
      <c r="F4078" s="1" t="str">
        <f t="array" ref="F4078">_xlfn.XLOOKUP(A4078,Product!A:A,Product!C:C,"Bulunamadı")</f>
        <v>Networking</v>
      </c>
      <c r="G4078" s="2" t="str">
        <f t="array" ref="G4078">_xlfn.XLOOKUP(A4079,Product!A:A,Product!D:D,"Bulunamadı")</f>
        <v>Harborbrook House</v>
      </c>
      <c r="H4078" s="2">
        <f t="array" ref="H4078">_xlfn.XLOOKUP(A4080,Product!A:A,Product!E:E,"Bulunamadı")</f>
        <v>13.49</v>
      </c>
      <c r="I4078" s="2" t="str">
        <f t="shared" si="1"/>
        <v>182013 - Arts - Networking</v>
      </c>
      <c r="J4078" s="2">
        <f t="shared" si="2"/>
        <v>6569.63</v>
      </c>
      <c r="K4078" s="17">
        <f t="shared" si="3"/>
        <v>1</v>
      </c>
      <c r="L4078" s="18"/>
    </row>
    <row r="4079">
      <c r="A4079" s="2">
        <f>IFERROR(__xludf.DUMMYFUNCTION("""COMPUTED_VALUE"""),107400.0)</f>
        <v>107400</v>
      </c>
      <c r="B4079" s="2">
        <f>IFERROR(__xludf.DUMMYFUNCTION("""COMPUTED_VALUE"""),0.0)</f>
        <v>0</v>
      </c>
      <c r="C4079" s="2">
        <f>IFERROR(__xludf.DUMMYFUNCTION("""COMPUTED_VALUE"""),266.0)</f>
        <v>266</v>
      </c>
      <c r="D4079" s="3">
        <f>IFERROR(__xludf.DUMMYFUNCTION("""COMPUTED_VALUE"""),139.0)</f>
        <v>139</v>
      </c>
      <c r="E4079" s="1" t="str">
        <f t="array" ref="E4079">_xlfn.XLOOKUP(A4079,Product!A:A,Product!B:B,"Bulunamadı")</f>
        <v>Arts</v>
      </c>
      <c r="F4079" s="1" t="str">
        <f t="array" ref="F4079">_xlfn.XLOOKUP(A4079,Product!A:A,Product!C:C,"Bulunamadı")</f>
        <v>Networking</v>
      </c>
      <c r="G4079" s="2" t="str">
        <f t="array" ref="G4079">_xlfn.XLOOKUP(A4080,Product!A:A,Product!D:D,"Bulunamadı")</f>
        <v>Harborbrook House</v>
      </c>
      <c r="H4079" s="2">
        <f t="array" ref="H4079">_xlfn.XLOOKUP(A4081,Product!A:A,Product!E:E,"Bulunamadı")</f>
        <v>6.9</v>
      </c>
      <c r="I4079" s="2" t="str">
        <f t="shared" si="1"/>
        <v>107400 - Arts - Networking</v>
      </c>
      <c r="J4079" s="2">
        <f t="shared" si="2"/>
        <v>959.1</v>
      </c>
      <c r="K4079" s="17">
        <f t="shared" si="3"/>
        <v>1</v>
      </c>
      <c r="L4079" s="18"/>
    </row>
    <row r="4080">
      <c r="A4080" s="2">
        <f>IFERROR(__xludf.DUMMYFUNCTION("""COMPUTED_VALUE"""),48623.0)</f>
        <v>48623</v>
      </c>
      <c r="B4080" s="2">
        <f>IFERROR(__xludf.DUMMYFUNCTION("""COMPUTED_VALUE"""),0.0)</f>
        <v>0</v>
      </c>
      <c r="C4080" s="2">
        <f>IFERROR(__xludf.DUMMYFUNCTION("""COMPUTED_VALUE"""),393.0)</f>
        <v>393</v>
      </c>
      <c r="D4080" s="3">
        <f>IFERROR(__xludf.DUMMYFUNCTION("""COMPUTED_VALUE"""),131.0)</f>
        <v>131</v>
      </c>
      <c r="E4080" s="1" t="str">
        <f t="array" ref="E4080">_xlfn.XLOOKUP(A4080,Product!A:A,Product!B:B,"Bulunamadı")</f>
        <v>Arts</v>
      </c>
      <c r="F4080" s="1" t="str">
        <f t="array" ref="F4080">_xlfn.XLOOKUP(A4080,Product!A:A,Product!C:C,"Bulunamadı")</f>
        <v>Networking</v>
      </c>
      <c r="G4080" s="2" t="str">
        <f t="array" ref="G4080">_xlfn.XLOOKUP(A4081,Product!A:A,Product!D:D,"Bulunamadı")</f>
        <v>Harborbrook House</v>
      </c>
      <c r="H4080" s="2">
        <f t="array" ref="H4080">_xlfn.XLOOKUP(A4082,Product!A:A,Product!E:E,"Bulunamadı")</f>
        <v>10.48</v>
      </c>
      <c r="I4080" s="2" t="str">
        <f t="shared" si="1"/>
        <v>48623 - Arts - Networking</v>
      </c>
      <c r="J4080" s="2">
        <f t="shared" si="2"/>
        <v>1372.88</v>
      </c>
      <c r="K4080" s="17">
        <f t="shared" si="3"/>
        <v>1</v>
      </c>
      <c r="L4080" s="18"/>
    </row>
    <row r="4081">
      <c r="A4081" s="2">
        <f>IFERROR(__xludf.DUMMYFUNCTION("""COMPUTED_VALUE"""),48616.0)</f>
        <v>48616</v>
      </c>
      <c r="B4081" s="2">
        <f>IFERROR(__xludf.DUMMYFUNCTION("""COMPUTED_VALUE"""),0.0)</f>
        <v>0</v>
      </c>
      <c r="C4081" s="2">
        <f>IFERROR(__xludf.DUMMYFUNCTION("""COMPUTED_VALUE"""),248.0)</f>
        <v>248</v>
      </c>
      <c r="D4081" s="3">
        <f>IFERROR(__xludf.DUMMYFUNCTION("""COMPUTED_VALUE"""),121.0)</f>
        <v>121</v>
      </c>
      <c r="E4081" s="1" t="str">
        <f t="array" ref="E4081">_xlfn.XLOOKUP(A4081,Product!A:A,Product!B:B,"Bulunamadı")</f>
        <v>Arts</v>
      </c>
      <c r="F4081" s="1" t="str">
        <f t="array" ref="F4081">_xlfn.XLOOKUP(A4081,Product!A:A,Product!C:C,"Bulunamadı")</f>
        <v>Networking</v>
      </c>
      <c r="G4081" s="2" t="str">
        <f t="array" ref="G4081">_xlfn.XLOOKUP(A4082,Product!A:A,Product!D:D,"Bulunamadı")</f>
        <v>Harborbrook House</v>
      </c>
      <c r="H4081" s="2">
        <f t="array" ref="H4081">_xlfn.XLOOKUP(A4083,Product!A:A,Product!E:E,"Bulunamadı")</f>
        <v>3.83</v>
      </c>
      <c r="I4081" s="2" t="str">
        <f t="shared" si="1"/>
        <v>48616 - Arts - Networking</v>
      </c>
      <c r="J4081" s="2">
        <f t="shared" si="2"/>
        <v>463.43</v>
      </c>
      <c r="K4081" s="17">
        <f t="shared" si="3"/>
        <v>1</v>
      </c>
      <c r="L4081" s="18"/>
    </row>
    <row r="4082">
      <c r="A4082" s="2">
        <f>IFERROR(__xludf.DUMMYFUNCTION("""COMPUTED_VALUE"""),47515.0)</f>
        <v>47515</v>
      </c>
      <c r="B4082" s="2">
        <f>IFERROR(__xludf.DUMMYFUNCTION("""COMPUTED_VALUE"""),0.0)</f>
        <v>0</v>
      </c>
      <c r="C4082" s="2">
        <f>IFERROR(__xludf.DUMMYFUNCTION("""COMPUTED_VALUE"""),414.0)</f>
        <v>414</v>
      </c>
      <c r="D4082" s="3">
        <f>IFERROR(__xludf.DUMMYFUNCTION("""COMPUTED_VALUE"""),197.0)</f>
        <v>197</v>
      </c>
      <c r="E4082" s="1" t="str">
        <f t="array" ref="E4082">_xlfn.XLOOKUP(A4082,Product!A:A,Product!B:B,"Bulunamadı")</f>
        <v>Arts</v>
      </c>
      <c r="F4082" s="1" t="str">
        <f t="array" ref="F4082">_xlfn.XLOOKUP(A4082,Product!A:A,Product!C:C,"Bulunamadı")</f>
        <v>Networking</v>
      </c>
      <c r="G4082" s="2" t="str">
        <f t="array" ref="G4082">_xlfn.XLOOKUP(A4083,Product!A:A,Product!D:D,"Bulunamadı")</f>
        <v>Harborbrook House</v>
      </c>
      <c r="H4082" s="2">
        <f t="array" ref="H4082">_xlfn.XLOOKUP(A4084,Product!A:A,Product!E:E,"Bulunamadı")</f>
        <v>9.5</v>
      </c>
      <c r="I4082" s="2" t="str">
        <f t="shared" si="1"/>
        <v>47515 - Arts - Networking</v>
      </c>
      <c r="J4082" s="2">
        <f t="shared" si="2"/>
        <v>1871.5</v>
      </c>
      <c r="K4082" s="17">
        <f t="shared" si="3"/>
        <v>1</v>
      </c>
      <c r="L4082" s="18"/>
    </row>
    <row r="4083">
      <c r="A4083" s="2">
        <f>IFERROR(__xludf.DUMMYFUNCTION("""COMPUTED_VALUE"""),81915.0)</f>
        <v>81915</v>
      </c>
      <c r="B4083" s="2">
        <f>IFERROR(__xludf.DUMMYFUNCTION("""COMPUTED_VALUE"""),1.0)</f>
        <v>1</v>
      </c>
      <c r="C4083" s="2">
        <f>IFERROR(__xludf.DUMMYFUNCTION("""COMPUTED_VALUE"""),264.0)</f>
        <v>264</v>
      </c>
      <c r="D4083" s="3">
        <f>IFERROR(__xludf.DUMMYFUNCTION("""COMPUTED_VALUE"""),204.0)</f>
        <v>204</v>
      </c>
      <c r="E4083" s="1" t="str">
        <f t="array" ref="E4083">_xlfn.XLOOKUP(A4083,Product!A:A,Product!B:B,"Bulunamadı")</f>
        <v>Arts</v>
      </c>
      <c r="F4083" s="1" t="str">
        <f t="array" ref="F4083">_xlfn.XLOOKUP(A4083,Product!A:A,Product!C:C,"Bulunamadı")</f>
        <v>Networking</v>
      </c>
      <c r="G4083" s="2" t="str">
        <f t="array" ref="G4083">_xlfn.XLOOKUP(A4084,Product!A:A,Product!D:D,"Bulunamadı")</f>
        <v>Harborbrook House</v>
      </c>
      <c r="H4083" s="2">
        <f t="array" ref="H4083">_xlfn.XLOOKUP(A4085,Product!A:A,Product!E:E,"Bulunamadı")</f>
        <v>5.49</v>
      </c>
      <c r="I4083" s="2" t="str">
        <f t="shared" si="1"/>
        <v>81915 - Arts - Networking</v>
      </c>
      <c r="J4083" s="2">
        <f t="shared" si="2"/>
        <v>1119.96</v>
      </c>
      <c r="K4083" s="17">
        <f t="shared" si="3"/>
        <v>1</v>
      </c>
      <c r="L4083" s="18"/>
    </row>
    <row r="4084">
      <c r="A4084" s="2">
        <f>IFERROR(__xludf.DUMMYFUNCTION("""COMPUTED_VALUE"""),108920.0)</f>
        <v>108920</v>
      </c>
      <c r="B4084" s="2">
        <f>IFERROR(__xludf.DUMMYFUNCTION("""COMPUTED_VALUE"""),1.0)</f>
        <v>1</v>
      </c>
      <c r="C4084" s="2">
        <f>IFERROR(__xludf.DUMMYFUNCTION("""COMPUTED_VALUE"""),571.0)</f>
        <v>571</v>
      </c>
      <c r="D4084" s="3">
        <f>IFERROR(__xludf.DUMMYFUNCTION("""COMPUTED_VALUE"""),20.0)</f>
        <v>20</v>
      </c>
      <c r="E4084" s="1" t="str">
        <f t="array" ref="E4084">_xlfn.XLOOKUP(A4084,Product!A:A,Product!B:B,"Bulunamadı")</f>
        <v>Arts</v>
      </c>
      <c r="F4084" s="1" t="str">
        <f t="array" ref="F4084">_xlfn.XLOOKUP(A4084,Product!A:A,Product!C:C,"Bulunamadı")</f>
        <v>Networking</v>
      </c>
      <c r="G4084" s="2" t="str">
        <f t="array" ref="G4084">_xlfn.XLOOKUP(A4085,Product!A:A,Product!D:D,"Bulunamadı")</f>
        <v>Harborbrook House</v>
      </c>
      <c r="H4084" s="2">
        <f t="array" ref="H4084">_xlfn.XLOOKUP(A4086,Product!A:A,Product!E:E,"Bulunamadı")</f>
        <v>11.91</v>
      </c>
      <c r="I4084" s="2" t="str">
        <f t="shared" si="1"/>
        <v>108920 - Arts - Networking</v>
      </c>
      <c r="J4084" s="2">
        <f t="shared" si="2"/>
        <v>238.2</v>
      </c>
      <c r="K4084" s="17">
        <f t="shared" si="3"/>
        <v>1</v>
      </c>
      <c r="L4084" s="18"/>
    </row>
    <row r="4085">
      <c r="A4085" s="2">
        <f>IFERROR(__xludf.DUMMYFUNCTION("""COMPUTED_VALUE"""),107406.0)</f>
        <v>107406</v>
      </c>
      <c r="B4085" s="2">
        <f>IFERROR(__xludf.DUMMYFUNCTION("""COMPUTED_VALUE"""),1.0)</f>
        <v>1</v>
      </c>
      <c r="C4085" s="2">
        <f>IFERROR(__xludf.DUMMYFUNCTION("""COMPUTED_VALUE"""),425.0)</f>
        <v>425</v>
      </c>
      <c r="D4085" s="3">
        <f>IFERROR(__xludf.DUMMYFUNCTION("""COMPUTED_VALUE"""),411.0)</f>
        <v>411</v>
      </c>
      <c r="E4085" s="1" t="str">
        <f t="array" ref="E4085">_xlfn.XLOOKUP(A4085,Product!A:A,Product!B:B,"Bulunamadı")</f>
        <v>Arts</v>
      </c>
      <c r="F4085" s="1" t="str">
        <f t="array" ref="F4085">_xlfn.XLOOKUP(A4085,Product!A:A,Product!C:C,"Bulunamadı")</f>
        <v>Networking</v>
      </c>
      <c r="G4085" s="2" t="str">
        <f t="array" ref="G4085">_xlfn.XLOOKUP(A4086,Product!A:A,Product!D:D,"Bulunamadı")</f>
        <v>Harborbrook House</v>
      </c>
      <c r="H4085" s="2">
        <f t="array" ref="H4085">_xlfn.XLOOKUP(A4087,Product!A:A,Product!E:E,"Bulunamadı")</f>
        <v>5.14</v>
      </c>
      <c r="I4085" s="2" t="str">
        <f t="shared" si="1"/>
        <v>107406 - Arts - Networking</v>
      </c>
      <c r="J4085" s="2">
        <f t="shared" si="2"/>
        <v>2112.54</v>
      </c>
      <c r="K4085" s="17">
        <f t="shared" si="3"/>
        <v>1</v>
      </c>
      <c r="L4085" s="18"/>
    </row>
    <row r="4086">
      <c r="A4086" s="2">
        <f>IFERROR(__xludf.DUMMYFUNCTION("""COMPUTED_VALUE"""),24074.0)</f>
        <v>24074</v>
      </c>
      <c r="B4086" s="2">
        <f>IFERROR(__xludf.DUMMYFUNCTION("""COMPUTED_VALUE"""),1.0)</f>
        <v>1</v>
      </c>
      <c r="C4086" s="2">
        <f>IFERROR(__xludf.DUMMYFUNCTION("""COMPUTED_VALUE"""),192.0)</f>
        <v>192</v>
      </c>
      <c r="D4086" s="3">
        <f>IFERROR(__xludf.DUMMYFUNCTION("""COMPUTED_VALUE"""),42.0)</f>
        <v>42</v>
      </c>
      <c r="E4086" s="1" t="str">
        <f t="array" ref="E4086">_xlfn.XLOOKUP(A4086,Product!A:A,Product!B:B,"Bulunamadı")</f>
        <v>Arts</v>
      </c>
      <c r="F4086" s="1" t="str">
        <f t="array" ref="F4086">_xlfn.XLOOKUP(A4086,Product!A:A,Product!C:C,"Bulunamadı")</f>
        <v>Networking</v>
      </c>
      <c r="G4086" s="2" t="str">
        <f t="array" ref="G4086">_xlfn.XLOOKUP(A4087,Product!A:A,Product!D:D,"Bulunamadı")</f>
        <v>Harborbrook House</v>
      </c>
      <c r="H4086" s="2">
        <f t="array" ref="H4086">_xlfn.XLOOKUP(A4088,Product!A:A,Product!E:E,"Bulunamadı")</f>
        <v>12.93</v>
      </c>
      <c r="I4086" s="2" t="str">
        <f t="shared" si="1"/>
        <v>24074 - Arts - Networking</v>
      </c>
      <c r="J4086" s="2">
        <f t="shared" si="2"/>
        <v>543.06</v>
      </c>
      <c r="K4086" s="17">
        <f t="shared" si="3"/>
        <v>1</v>
      </c>
      <c r="L4086" s="18"/>
    </row>
    <row r="4087">
      <c r="A4087" s="2">
        <f>IFERROR(__xludf.DUMMYFUNCTION("""COMPUTED_VALUE"""),107388.0)</f>
        <v>107388</v>
      </c>
      <c r="B4087" s="2">
        <f>IFERROR(__xludf.DUMMYFUNCTION("""COMPUTED_VALUE"""),0.0)</f>
        <v>0</v>
      </c>
      <c r="C4087" s="2">
        <f>IFERROR(__xludf.DUMMYFUNCTION("""COMPUTED_VALUE"""),455.0)</f>
        <v>455</v>
      </c>
      <c r="D4087" s="3">
        <f>IFERROR(__xludf.DUMMYFUNCTION("""COMPUTED_VALUE"""),75.0)</f>
        <v>75</v>
      </c>
      <c r="E4087" s="1" t="str">
        <f t="array" ref="E4087">_xlfn.XLOOKUP(A4087,Product!A:A,Product!B:B,"Bulunamadı")</f>
        <v>Arts</v>
      </c>
      <c r="F4087" s="1" t="str">
        <f t="array" ref="F4087">_xlfn.XLOOKUP(A4087,Product!A:A,Product!C:C,"Bulunamadı")</f>
        <v>Networking</v>
      </c>
      <c r="G4087" s="2" t="str">
        <f t="array" ref="G4087">_xlfn.XLOOKUP(A4088,Product!A:A,Product!D:D,"Bulunamadı")</f>
        <v>Harborbrook House</v>
      </c>
      <c r="H4087" s="2">
        <f t="array" ref="H4087">_xlfn.XLOOKUP(A4089,Product!A:A,Product!E:E,"Bulunamadı")</f>
        <v>16.3</v>
      </c>
      <c r="I4087" s="2" t="str">
        <f t="shared" si="1"/>
        <v>107388 - Arts - Networking</v>
      </c>
      <c r="J4087" s="2">
        <f t="shared" si="2"/>
        <v>1222.5</v>
      </c>
      <c r="K4087" s="17">
        <f t="shared" si="3"/>
        <v>1</v>
      </c>
      <c r="L4087" s="18"/>
    </row>
    <row r="4088">
      <c r="A4088" s="2">
        <f>IFERROR(__xludf.DUMMYFUNCTION("""COMPUTED_VALUE"""),24075.0)</f>
        <v>24075</v>
      </c>
      <c r="B4088" s="2">
        <f>IFERROR(__xludf.DUMMYFUNCTION("""COMPUTED_VALUE"""),0.0)</f>
        <v>0</v>
      </c>
      <c r="C4088" s="2">
        <f>IFERROR(__xludf.DUMMYFUNCTION("""COMPUTED_VALUE"""),271.0)</f>
        <v>271</v>
      </c>
      <c r="D4088" s="3">
        <f>IFERROR(__xludf.DUMMYFUNCTION("""COMPUTED_VALUE"""),35.0)</f>
        <v>35</v>
      </c>
      <c r="E4088" s="1" t="str">
        <f t="array" ref="E4088">_xlfn.XLOOKUP(A4088,Product!A:A,Product!B:B,"Bulunamadı")</f>
        <v>Arts</v>
      </c>
      <c r="F4088" s="1" t="str">
        <f t="array" ref="F4088">_xlfn.XLOOKUP(A4088,Product!A:A,Product!C:C,"Bulunamadı")</f>
        <v>Networking</v>
      </c>
      <c r="G4088" s="2" t="str">
        <f t="array" ref="G4088">_xlfn.XLOOKUP(A4089,Product!A:A,Product!D:D,"Bulunamadı")</f>
        <v>Harborbrook House</v>
      </c>
      <c r="H4088" s="2">
        <f t="array" ref="H4088">_xlfn.XLOOKUP(A4090,Product!A:A,Product!E:E,"Bulunamadı")</f>
        <v>5.57</v>
      </c>
      <c r="I4088" s="2" t="str">
        <f t="shared" si="1"/>
        <v>24075 - Arts - Networking</v>
      </c>
      <c r="J4088" s="2">
        <f t="shared" si="2"/>
        <v>194.95</v>
      </c>
      <c r="K4088" s="17">
        <f t="shared" si="3"/>
        <v>1</v>
      </c>
      <c r="L4088" s="18"/>
    </row>
    <row r="4089">
      <c r="A4089" s="2">
        <f>IFERROR(__xludf.DUMMYFUNCTION("""COMPUTED_VALUE"""),27639.0)</f>
        <v>27639</v>
      </c>
      <c r="B4089" s="2">
        <f>IFERROR(__xludf.DUMMYFUNCTION("""COMPUTED_VALUE"""),0.0)</f>
        <v>0</v>
      </c>
      <c r="C4089" s="2">
        <f>IFERROR(__xludf.DUMMYFUNCTION("""COMPUTED_VALUE"""),837.0)</f>
        <v>837</v>
      </c>
      <c r="D4089" s="3">
        <f>IFERROR(__xludf.DUMMYFUNCTION("""COMPUTED_VALUE"""),837.0)</f>
        <v>837</v>
      </c>
      <c r="E4089" s="1" t="str">
        <f t="array" ref="E4089">_xlfn.XLOOKUP(A4089,Product!A:A,Product!B:B,"Bulunamadı")</f>
        <v>Arts</v>
      </c>
      <c r="F4089" s="1" t="str">
        <f t="array" ref="F4089">_xlfn.XLOOKUP(A4089,Product!A:A,Product!C:C,"Bulunamadı")</f>
        <v>Networking</v>
      </c>
      <c r="G4089" s="2" t="str">
        <f t="array" ref="G4089">_xlfn.XLOOKUP(A4090,Product!A:A,Product!D:D,"Bulunamadı")</f>
        <v>Harborbrook House</v>
      </c>
      <c r="H4089" s="2">
        <f t="array" ref="H4089">_xlfn.XLOOKUP(A4091,Product!A:A,Product!E:E,"Bulunamadı")</f>
        <v>6.23</v>
      </c>
      <c r="I4089" s="2" t="str">
        <f t="shared" si="1"/>
        <v>27639 - Arts - Networking</v>
      </c>
      <c r="J4089" s="2">
        <f t="shared" si="2"/>
        <v>5214.51</v>
      </c>
      <c r="K4089" s="17">
        <f t="shared" si="3"/>
        <v>1</v>
      </c>
      <c r="L4089" s="18"/>
    </row>
    <row r="4090">
      <c r="A4090" s="2">
        <f>IFERROR(__xludf.DUMMYFUNCTION("""COMPUTED_VALUE"""),103632.0)</f>
        <v>103632</v>
      </c>
      <c r="B4090" s="2">
        <f>IFERROR(__xludf.DUMMYFUNCTION("""COMPUTED_VALUE"""),0.0)</f>
        <v>0</v>
      </c>
      <c r="C4090" s="2">
        <f>IFERROR(__xludf.DUMMYFUNCTION("""COMPUTED_VALUE"""),839.0)</f>
        <v>839</v>
      </c>
      <c r="D4090" s="3">
        <f>IFERROR(__xludf.DUMMYFUNCTION("""COMPUTED_VALUE"""),831.0)</f>
        <v>831</v>
      </c>
      <c r="E4090" s="1" t="str">
        <f t="array" ref="E4090">_xlfn.XLOOKUP(A4090,Product!A:A,Product!B:B,"Bulunamadı")</f>
        <v>Arts</v>
      </c>
      <c r="F4090" s="1" t="str">
        <f t="array" ref="F4090">_xlfn.XLOOKUP(A4090,Product!A:A,Product!C:C,"Bulunamadı")</f>
        <v>Networking</v>
      </c>
      <c r="G4090" s="2" t="str">
        <f t="array" ref="G4090">_xlfn.XLOOKUP(A4091,Product!A:A,Product!D:D,"Bulunamadı")</f>
        <v>Harborbrook House</v>
      </c>
      <c r="H4090" s="2">
        <f t="array" ref="H4090">_xlfn.XLOOKUP(A4092,Product!A:A,Product!E:E,"Bulunamadı")</f>
        <v>5.91</v>
      </c>
      <c r="I4090" s="2" t="str">
        <f t="shared" si="1"/>
        <v>103632 - Arts - Networking</v>
      </c>
      <c r="J4090" s="2">
        <f t="shared" si="2"/>
        <v>4911.21</v>
      </c>
      <c r="K4090" s="17">
        <f t="shared" si="3"/>
        <v>1</v>
      </c>
      <c r="L4090" s="18"/>
    </row>
    <row r="4091">
      <c r="A4091" s="2">
        <f>IFERROR(__xludf.DUMMYFUNCTION("""COMPUTED_VALUE"""),10569.0)</f>
        <v>10569</v>
      </c>
      <c r="B4091" s="2">
        <f>IFERROR(__xludf.DUMMYFUNCTION("""COMPUTED_VALUE"""),1.0)</f>
        <v>1</v>
      </c>
      <c r="C4091" s="2">
        <f>IFERROR(__xludf.DUMMYFUNCTION("""COMPUTED_VALUE"""),303.0)</f>
        <v>303</v>
      </c>
      <c r="D4091" s="3">
        <f>IFERROR(__xludf.DUMMYFUNCTION("""COMPUTED_VALUE"""),188.0)</f>
        <v>188</v>
      </c>
      <c r="E4091" s="1" t="str">
        <f t="array" ref="E4091">_xlfn.XLOOKUP(A4091,Product!A:A,Product!B:B,"Bulunamadı")</f>
        <v>Arts</v>
      </c>
      <c r="F4091" s="1" t="str">
        <f t="array" ref="F4091">_xlfn.XLOOKUP(A4091,Product!A:A,Product!C:C,"Bulunamadı")</f>
        <v>Networking</v>
      </c>
      <c r="G4091" s="2" t="str">
        <f t="array" ref="G4091">_xlfn.XLOOKUP(A4092,Product!A:A,Product!D:D,"Bulunamadı")</f>
        <v>Harborbrook House</v>
      </c>
      <c r="H4091" s="2">
        <f t="array" ref="H4091">_xlfn.XLOOKUP(A4093,Product!A:A,Product!E:E,"Bulunamadı")</f>
        <v>10.63</v>
      </c>
      <c r="I4091" s="2" t="str">
        <f t="shared" si="1"/>
        <v>10569 - Arts - Networking</v>
      </c>
      <c r="J4091" s="2">
        <f t="shared" si="2"/>
        <v>1998.44</v>
      </c>
      <c r="K4091" s="17">
        <f t="shared" si="3"/>
        <v>1</v>
      </c>
      <c r="L4091" s="18"/>
    </row>
    <row r="4092">
      <c r="A4092" s="2">
        <f>IFERROR(__xludf.DUMMYFUNCTION("""COMPUTED_VALUE"""),182007.0)</f>
        <v>182007</v>
      </c>
      <c r="B4092" s="2">
        <f>IFERROR(__xludf.DUMMYFUNCTION("""COMPUTED_VALUE"""),0.0)</f>
        <v>0</v>
      </c>
      <c r="C4092" s="2">
        <f>IFERROR(__xludf.DUMMYFUNCTION("""COMPUTED_VALUE"""),122.0)</f>
        <v>122</v>
      </c>
      <c r="D4092" s="3">
        <f>IFERROR(__xludf.DUMMYFUNCTION("""COMPUTED_VALUE"""),108.0)</f>
        <v>108</v>
      </c>
      <c r="E4092" s="1" t="str">
        <f t="array" ref="E4092">_xlfn.XLOOKUP(A4092,Product!A:A,Product!B:B,"Bulunamadı")</f>
        <v>Arts</v>
      </c>
      <c r="F4092" s="1" t="str">
        <f t="array" ref="F4092">_xlfn.XLOOKUP(A4092,Product!A:A,Product!C:C,"Bulunamadı")</f>
        <v>Networking</v>
      </c>
      <c r="G4092" s="2" t="str">
        <f t="array" ref="G4092">_xlfn.XLOOKUP(A4093,Product!A:A,Product!D:D,"Bulunamadı")</f>
        <v>Harborbrook House</v>
      </c>
      <c r="H4092" s="2">
        <f t="array" ref="H4092">_xlfn.XLOOKUP(A4094,Product!A:A,Product!E:E,"Bulunamadı")</f>
        <v>5.41</v>
      </c>
      <c r="I4092" s="2" t="str">
        <f t="shared" si="1"/>
        <v>182007 - Arts - Networking</v>
      </c>
      <c r="J4092" s="2">
        <f t="shared" si="2"/>
        <v>584.28</v>
      </c>
      <c r="K4092" s="17">
        <f t="shared" si="3"/>
        <v>1</v>
      </c>
      <c r="L4092" s="18"/>
    </row>
    <row r="4093">
      <c r="A4093" s="2">
        <f>IFERROR(__xludf.DUMMYFUNCTION("""COMPUTED_VALUE"""),182009.0)</f>
        <v>182009</v>
      </c>
      <c r="B4093" s="2">
        <f>IFERROR(__xludf.DUMMYFUNCTION("""COMPUTED_VALUE"""),1.0)</f>
        <v>1</v>
      </c>
      <c r="C4093" s="2">
        <f>IFERROR(__xludf.DUMMYFUNCTION("""COMPUTED_VALUE"""),501.0)</f>
        <v>501</v>
      </c>
      <c r="D4093" s="3">
        <f>IFERROR(__xludf.DUMMYFUNCTION("""COMPUTED_VALUE"""),274.0)</f>
        <v>274</v>
      </c>
      <c r="E4093" s="1" t="str">
        <f t="array" ref="E4093">_xlfn.XLOOKUP(A4093,Product!A:A,Product!B:B,"Bulunamadı")</f>
        <v>Arts</v>
      </c>
      <c r="F4093" s="1" t="str">
        <f t="array" ref="F4093">_xlfn.XLOOKUP(A4093,Product!A:A,Product!C:C,"Bulunamadı")</f>
        <v>Networking</v>
      </c>
      <c r="G4093" s="2" t="str">
        <f t="array" ref="G4093">_xlfn.XLOOKUP(A4094,Product!A:A,Product!D:D,"Bulunamadı")</f>
        <v>Harborbrook House</v>
      </c>
      <c r="H4093" s="2">
        <f t="array" ref="H4093">_xlfn.XLOOKUP(A4095,Product!A:A,Product!E:E,"Bulunamadı")</f>
        <v>5.1</v>
      </c>
      <c r="I4093" s="2" t="str">
        <f t="shared" si="1"/>
        <v>182009 - Arts - Networking</v>
      </c>
      <c r="J4093" s="2">
        <f t="shared" si="2"/>
        <v>1397.4</v>
      </c>
      <c r="K4093" s="17">
        <f t="shared" si="3"/>
        <v>1</v>
      </c>
      <c r="L4093" s="18"/>
    </row>
    <row r="4094">
      <c r="A4094" s="2">
        <f>IFERROR(__xludf.DUMMYFUNCTION("""COMPUTED_VALUE"""),103630.0)</f>
        <v>103630</v>
      </c>
      <c r="B4094" s="2">
        <f>IFERROR(__xludf.DUMMYFUNCTION("""COMPUTED_VALUE"""),0.0)</f>
        <v>0</v>
      </c>
      <c r="C4094" s="2">
        <f>IFERROR(__xludf.DUMMYFUNCTION("""COMPUTED_VALUE"""),450.0)</f>
        <v>450</v>
      </c>
      <c r="D4094" s="3">
        <f>IFERROR(__xludf.DUMMYFUNCTION("""COMPUTED_VALUE"""),223.0)</f>
        <v>223</v>
      </c>
      <c r="E4094" s="1" t="str">
        <f t="array" ref="E4094">_xlfn.XLOOKUP(A4094,Product!A:A,Product!B:B,"Bulunamadı")</f>
        <v>Arts</v>
      </c>
      <c r="F4094" s="1" t="str">
        <f t="array" ref="F4094">_xlfn.XLOOKUP(A4094,Product!A:A,Product!C:C,"Bulunamadı")</f>
        <v>Networking</v>
      </c>
      <c r="G4094" s="2" t="str">
        <f t="array" ref="G4094">_xlfn.XLOOKUP(A4095,Product!A:A,Product!D:D,"Bulunamadı")</f>
        <v>Harborbrook House</v>
      </c>
      <c r="H4094" s="2">
        <f t="array" ref="H4094">_xlfn.XLOOKUP(A4096,Product!A:A,Product!E:E,"Bulunamadı")</f>
        <v>3.03</v>
      </c>
      <c r="I4094" s="2" t="str">
        <f t="shared" si="1"/>
        <v>103630 - Arts - Networking</v>
      </c>
      <c r="J4094" s="2">
        <f t="shared" si="2"/>
        <v>675.69</v>
      </c>
      <c r="K4094" s="17">
        <f t="shared" si="3"/>
        <v>1</v>
      </c>
      <c r="L4094" s="18"/>
    </row>
    <row r="4095">
      <c r="A4095" s="2">
        <f>IFERROR(__xludf.DUMMYFUNCTION("""COMPUTED_VALUE"""),47514.0)</f>
        <v>47514</v>
      </c>
      <c r="B4095" s="2">
        <f>IFERROR(__xludf.DUMMYFUNCTION("""COMPUTED_VALUE"""),1.0)</f>
        <v>1</v>
      </c>
      <c r="C4095" s="2">
        <f>IFERROR(__xludf.DUMMYFUNCTION("""COMPUTED_VALUE"""),541.0)</f>
        <v>541</v>
      </c>
      <c r="D4095" s="3">
        <f>IFERROR(__xludf.DUMMYFUNCTION("""COMPUTED_VALUE"""),449.0)</f>
        <v>449</v>
      </c>
      <c r="E4095" s="1" t="str">
        <f t="array" ref="E4095">_xlfn.XLOOKUP(A4095,Product!A:A,Product!B:B,"Bulunamadı")</f>
        <v>Arts</v>
      </c>
      <c r="F4095" s="1" t="str">
        <f t="array" ref="F4095">_xlfn.XLOOKUP(A4095,Product!A:A,Product!C:C,"Bulunamadı")</f>
        <v>Networking</v>
      </c>
      <c r="G4095" s="2" t="str">
        <f t="array" ref="G4095">_xlfn.XLOOKUP(A4096,Product!A:A,Product!D:D,"Bulunamadı")</f>
        <v>Cedarbrook House</v>
      </c>
      <c r="H4095" s="2">
        <f t="array" ref="H4095">_xlfn.XLOOKUP(A4097,Product!A:A,Product!E:E,"Bulunamadı")</f>
        <v>2.91</v>
      </c>
      <c r="I4095" s="2" t="str">
        <f t="shared" si="1"/>
        <v>47514 - Arts - Networking</v>
      </c>
      <c r="J4095" s="2">
        <f t="shared" si="2"/>
        <v>1306.59</v>
      </c>
      <c r="K4095" s="17">
        <f t="shared" si="3"/>
        <v>1</v>
      </c>
      <c r="L4095" s="18"/>
    </row>
    <row r="4096">
      <c r="A4096" s="2">
        <f>IFERROR(__xludf.DUMMYFUNCTION("""COMPUTED_VALUE"""),86370.0)</f>
        <v>86370</v>
      </c>
      <c r="B4096" s="2">
        <f>IFERROR(__xludf.DUMMYFUNCTION("""COMPUTED_VALUE"""),0.0)</f>
        <v>0</v>
      </c>
      <c r="C4096" s="2">
        <f>IFERROR(__xludf.DUMMYFUNCTION("""COMPUTED_VALUE"""),779.0)</f>
        <v>779</v>
      </c>
      <c r="D4096" s="3">
        <f>IFERROR(__xludf.DUMMYFUNCTION("""COMPUTED_VALUE"""),213.0)</f>
        <v>213</v>
      </c>
      <c r="E4096" s="1" t="str">
        <f t="array" ref="E4096">_xlfn.XLOOKUP(A4096,Product!A:A,Product!B:B,"Bulunamadı")</f>
        <v>Arts</v>
      </c>
      <c r="F4096" s="1" t="str">
        <f t="array" ref="F4096">_xlfn.XLOOKUP(A4096,Product!A:A,Product!C:C,"Bulunamadı")</f>
        <v>Networking</v>
      </c>
      <c r="G4096" s="2" t="str">
        <f t="array" ref="G4096">_xlfn.XLOOKUP(A4097,Product!A:A,Product!D:D,"Bulunamadı")</f>
        <v>Cedarbrook House</v>
      </c>
      <c r="H4096" s="2">
        <f t="array" ref="H4096">_xlfn.XLOOKUP(A4098,Product!A:A,Product!E:E,"Bulunamadı")</f>
        <v>3.58</v>
      </c>
      <c r="I4096" s="2" t="str">
        <f t="shared" si="1"/>
        <v>86370 - Arts - Networking</v>
      </c>
      <c r="J4096" s="2">
        <f t="shared" si="2"/>
        <v>762.54</v>
      </c>
      <c r="K4096" s="17">
        <f t="shared" si="3"/>
        <v>1</v>
      </c>
      <c r="L4096" s="18"/>
    </row>
    <row r="4097">
      <c r="A4097" s="2">
        <f>IFERROR(__xludf.DUMMYFUNCTION("""COMPUTED_VALUE"""),86368.0)</f>
        <v>86368</v>
      </c>
      <c r="B4097" s="2">
        <f>IFERROR(__xludf.DUMMYFUNCTION("""COMPUTED_VALUE"""),0.0)</f>
        <v>0</v>
      </c>
      <c r="C4097" s="2">
        <f>IFERROR(__xludf.DUMMYFUNCTION("""COMPUTED_VALUE"""),982.0)</f>
        <v>982</v>
      </c>
      <c r="D4097" s="3">
        <f>IFERROR(__xludf.DUMMYFUNCTION("""COMPUTED_VALUE"""),124.0)</f>
        <v>124</v>
      </c>
      <c r="E4097" s="1" t="str">
        <f t="array" ref="E4097">_xlfn.XLOOKUP(A4097,Product!A:A,Product!B:B,"Bulunamadı")</f>
        <v>Arts</v>
      </c>
      <c r="F4097" s="1" t="str">
        <f t="array" ref="F4097">_xlfn.XLOOKUP(A4097,Product!A:A,Product!C:C,"Bulunamadı")</f>
        <v>Networking</v>
      </c>
      <c r="G4097" s="2" t="str">
        <f t="array" ref="G4097">_xlfn.XLOOKUP(A4098,Product!A:A,Product!D:D,"Bulunamadı")</f>
        <v>Cedarbrook House</v>
      </c>
      <c r="H4097" s="2">
        <f t="array" ref="H4097">_xlfn.XLOOKUP(A4099,Product!A:A,Product!E:E,"Bulunamadı")</f>
        <v>2.94</v>
      </c>
      <c r="I4097" s="2" t="str">
        <f t="shared" si="1"/>
        <v>86368 - Arts - Networking</v>
      </c>
      <c r="J4097" s="2">
        <f t="shared" si="2"/>
        <v>364.56</v>
      </c>
      <c r="K4097" s="17">
        <f t="shared" si="3"/>
        <v>1</v>
      </c>
      <c r="L4097" s="18"/>
    </row>
    <row r="4098">
      <c r="A4098" s="2">
        <f>IFERROR(__xludf.DUMMYFUNCTION("""COMPUTED_VALUE"""),103174.0)</f>
        <v>103174</v>
      </c>
      <c r="B4098" s="2">
        <f>IFERROR(__xludf.DUMMYFUNCTION("""COMPUTED_VALUE"""),0.0)</f>
        <v>0</v>
      </c>
      <c r="C4098" s="2">
        <f>IFERROR(__xludf.DUMMYFUNCTION("""COMPUTED_VALUE"""),410.0)</f>
        <v>410</v>
      </c>
      <c r="D4098" s="3">
        <f>IFERROR(__xludf.DUMMYFUNCTION("""COMPUTED_VALUE"""),99.0)</f>
        <v>99</v>
      </c>
      <c r="E4098" s="1" t="str">
        <f t="array" ref="E4098">_xlfn.XLOOKUP(A4098,Product!A:A,Product!B:B,"Bulunamadı")</f>
        <v>Arts</v>
      </c>
      <c r="F4098" s="1" t="str">
        <f t="array" ref="F4098">_xlfn.XLOOKUP(A4098,Product!A:A,Product!C:C,"Bulunamadı")</f>
        <v>Networking</v>
      </c>
      <c r="G4098" s="2" t="str">
        <f t="array" ref="G4098">_xlfn.XLOOKUP(A4099,Product!A:A,Product!D:D,"Bulunamadı")</f>
        <v>Brightbrook House</v>
      </c>
      <c r="H4098" s="2">
        <f t="array" ref="H4098">_xlfn.XLOOKUP(A4100,Product!A:A,Product!E:E,"Bulunamadı")</f>
        <v>5.68</v>
      </c>
      <c r="I4098" s="2" t="str">
        <f t="shared" si="1"/>
        <v>103174 - Arts - Networking</v>
      </c>
      <c r="J4098" s="2">
        <f t="shared" si="2"/>
        <v>562.32</v>
      </c>
      <c r="K4098" s="17">
        <f t="shared" si="3"/>
        <v>1</v>
      </c>
      <c r="L4098" s="18"/>
    </row>
    <row r="4099">
      <c r="A4099" s="2">
        <f>IFERROR(__xludf.DUMMYFUNCTION("""COMPUTED_VALUE"""),48632.0)</f>
        <v>48632</v>
      </c>
      <c r="B4099" s="2">
        <f>IFERROR(__xludf.DUMMYFUNCTION("""COMPUTED_VALUE"""),1.0)</f>
        <v>1</v>
      </c>
      <c r="C4099" s="2">
        <f>IFERROR(__xludf.DUMMYFUNCTION("""COMPUTED_VALUE"""),739.0)</f>
        <v>739</v>
      </c>
      <c r="D4099" s="3">
        <f>IFERROR(__xludf.DUMMYFUNCTION("""COMPUTED_VALUE"""),22.0)</f>
        <v>22</v>
      </c>
      <c r="E4099" s="1" t="str">
        <f t="array" ref="E4099">_xlfn.XLOOKUP(A4099,Product!A:A,Product!B:B,"Bulunamadı")</f>
        <v>Arts</v>
      </c>
      <c r="F4099" s="1" t="str">
        <f t="array" ref="F4099">_xlfn.XLOOKUP(A4099,Product!A:A,Product!C:C,"Bulunamadı")</f>
        <v>Networking</v>
      </c>
      <c r="G4099" s="2" t="str">
        <f t="array" ref="G4099">_xlfn.XLOOKUP(A4100,Product!A:A,Product!D:D,"Bulunamadı")</f>
        <v>Brightbrook House</v>
      </c>
      <c r="H4099" s="2">
        <f t="array" ref="H4099">_xlfn.XLOOKUP(A4101,Product!A:A,Product!E:E,"Bulunamadı")</f>
        <v>5.71</v>
      </c>
      <c r="I4099" s="2" t="str">
        <f t="shared" si="1"/>
        <v>48632 - Arts - Networking</v>
      </c>
      <c r="J4099" s="2">
        <f t="shared" si="2"/>
        <v>125.62</v>
      </c>
      <c r="K4099" s="17">
        <f t="shared" si="3"/>
        <v>1</v>
      </c>
      <c r="L4099" s="18"/>
    </row>
    <row r="4100">
      <c r="A4100" s="2">
        <f>IFERROR(__xludf.DUMMYFUNCTION("""COMPUTED_VALUE"""),48630.0)</f>
        <v>48630</v>
      </c>
      <c r="B4100" s="2">
        <f>IFERROR(__xludf.DUMMYFUNCTION("""COMPUTED_VALUE"""),0.0)</f>
        <v>0</v>
      </c>
      <c r="C4100" s="2">
        <f>IFERROR(__xludf.DUMMYFUNCTION("""COMPUTED_VALUE"""),66.0)</f>
        <v>66</v>
      </c>
      <c r="D4100" s="3">
        <f>IFERROR(__xludf.DUMMYFUNCTION("""COMPUTED_VALUE"""),39.0)</f>
        <v>39</v>
      </c>
      <c r="E4100" s="1" t="str">
        <f t="array" ref="E4100">_xlfn.XLOOKUP(A4100,Product!A:A,Product!B:B,"Bulunamadı")</f>
        <v>Arts</v>
      </c>
      <c r="F4100" s="1" t="str">
        <f t="array" ref="F4100">_xlfn.XLOOKUP(A4100,Product!A:A,Product!C:C,"Bulunamadı")</f>
        <v>Networking</v>
      </c>
      <c r="G4100" s="2" t="str">
        <f t="array" ref="G4100">_xlfn.XLOOKUP(A4101,Product!A:A,Product!D:D,"Bulunamadı")</f>
        <v>Brightbrook House</v>
      </c>
      <c r="H4100" s="2">
        <f t="array" ref="H4100">_xlfn.XLOOKUP(A4102,Product!A:A,Product!E:E,"Bulunamadı")</f>
        <v>3.03</v>
      </c>
      <c r="I4100" s="2" t="str">
        <f t="shared" si="1"/>
        <v>48630 - Arts - Networking</v>
      </c>
      <c r="J4100" s="2">
        <f t="shared" si="2"/>
        <v>118.17</v>
      </c>
      <c r="K4100" s="17">
        <f t="shared" si="3"/>
        <v>1</v>
      </c>
      <c r="L4100" s="18"/>
    </row>
    <row r="4101">
      <c r="A4101" s="2">
        <f>IFERROR(__xludf.DUMMYFUNCTION("""COMPUTED_VALUE"""),48624.0)</f>
        <v>48624</v>
      </c>
      <c r="B4101" s="2">
        <f>IFERROR(__xludf.DUMMYFUNCTION("""COMPUTED_VALUE"""),1.0)</f>
        <v>1</v>
      </c>
      <c r="C4101" s="2">
        <f>IFERROR(__xludf.DUMMYFUNCTION("""COMPUTED_VALUE"""),685.0)</f>
        <v>685</v>
      </c>
      <c r="D4101" s="3">
        <f>IFERROR(__xludf.DUMMYFUNCTION("""COMPUTED_VALUE"""),246.0)</f>
        <v>246</v>
      </c>
      <c r="E4101" s="1" t="str">
        <f t="array" ref="E4101">_xlfn.XLOOKUP(A4101,Product!A:A,Product!B:B,"Bulunamadı")</f>
        <v>Arts</v>
      </c>
      <c r="F4101" s="1" t="str">
        <f t="array" ref="F4101">_xlfn.XLOOKUP(A4101,Product!A:A,Product!C:C,"Bulunamadı")</f>
        <v>Networking</v>
      </c>
      <c r="G4101" s="2" t="str">
        <f t="array" ref="G4101">_xlfn.XLOOKUP(A4102,Product!A:A,Product!D:D,"Bulunamadı")</f>
        <v>Brightbrook House</v>
      </c>
      <c r="H4101" s="2">
        <f t="array" ref="H4101">_xlfn.XLOOKUP(A4103,Product!A:A,Product!E:E,"Bulunamadı")</f>
        <v>3.33</v>
      </c>
      <c r="I4101" s="2" t="str">
        <f t="shared" si="1"/>
        <v>48624 - Arts - Networking</v>
      </c>
      <c r="J4101" s="2">
        <f t="shared" si="2"/>
        <v>819.18</v>
      </c>
      <c r="K4101" s="17">
        <f t="shared" si="3"/>
        <v>1</v>
      </c>
      <c r="L4101" s="18"/>
    </row>
    <row r="4102">
      <c r="A4102" s="2">
        <f>IFERROR(__xludf.DUMMYFUNCTION("""COMPUTED_VALUE"""),10573.0)</f>
        <v>10573</v>
      </c>
      <c r="B4102" s="2">
        <f>IFERROR(__xludf.DUMMYFUNCTION("""COMPUTED_VALUE"""),1.0)</f>
        <v>1</v>
      </c>
      <c r="C4102" s="2">
        <f>IFERROR(__xludf.DUMMYFUNCTION("""COMPUTED_VALUE"""),918.0)</f>
        <v>918</v>
      </c>
      <c r="D4102" s="3">
        <f>IFERROR(__xludf.DUMMYFUNCTION("""COMPUTED_VALUE"""),485.0)</f>
        <v>485</v>
      </c>
      <c r="E4102" s="1" t="str">
        <f t="array" ref="E4102">_xlfn.XLOOKUP(A4102,Product!A:A,Product!B:B,"Bulunamadı")</f>
        <v>Arts</v>
      </c>
      <c r="F4102" s="1" t="str">
        <f t="array" ref="F4102">_xlfn.XLOOKUP(A4102,Product!A:A,Product!C:C,"Bulunamadı")</f>
        <v>Networking</v>
      </c>
      <c r="G4102" s="2" t="str">
        <f t="array" ref="G4102">_xlfn.XLOOKUP(A4103,Product!A:A,Product!D:D,"Bulunamadı")</f>
        <v>Brightbrook House</v>
      </c>
      <c r="H4102" s="2">
        <f t="array" ref="H4102">_xlfn.XLOOKUP(A4104,Product!A:A,Product!E:E,"Bulunamadı")</f>
        <v>1.81</v>
      </c>
      <c r="I4102" s="2" t="str">
        <f t="shared" si="1"/>
        <v>10573 - Arts - Networking</v>
      </c>
      <c r="J4102" s="2">
        <f t="shared" si="2"/>
        <v>877.85</v>
      </c>
      <c r="K4102" s="17">
        <f t="shared" si="3"/>
        <v>1</v>
      </c>
      <c r="L4102" s="18"/>
    </row>
    <row r="4103">
      <c r="A4103" s="2">
        <f>IFERROR(__xludf.DUMMYFUNCTION("""COMPUTED_VALUE"""),18115.0)</f>
        <v>18115</v>
      </c>
      <c r="B4103" s="2">
        <f>IFERROR(__xludf.DUMMYFUNCTION("""COMPUTED_VALUE"""),0.0)</f>
        <v>0</v>
      </c>
      <c r="C4103" s="2">
        <f>IFERROR(__xludf.DUMMYFUNCTION("""COMPUTED_VALUE"""),818.0)</f>
        <v>818</v>
      </c>
      <c r="D4103" s="3">
        <f>IFERROR(__xludf.DUMMYFUNCTION("""COMPUTED_VALUE"""),395.0)</f>
        <v>395</v>
      </c>
      <c r="E4103" s="1" t="str">
        <f t="array" ref="E4103">_xlfn.XLOOKUP(A4103,Product!A:A,Product!B:B,"Bulunamadı")</f>
        <v>Arts</v>
      </c>
      <c r="F4103" s="1" t="str">
        <f t="array" ref="F4103">_xlfn.XLOOKUP(A4103,Product!A:A,Product!C:C,"Bulunamadı")</f>
        <v>Networking</v>
      </c>
      <c r="G4103" s="2" t="str">
        <f t="array" ref="G4103">_xlfn.XLOOKUP(A4104,Product!A:A,Product!D:D,"Bulunamadı")</f>
        <v>Brightbrook House</v>
      </c>
      <c r="H4103" s="2">
        <f t="array" ref="H4103">_xlfn.XLOOKUP(A4105,Product!A:A,Product!E:E,"Bulunamadı")</f>
        <v>2.99</v>
      </c>
      <c r="I4103" s="2" t="str">
        <f t="shared" si="1"/>
        <v>18115 - Arts - Networking</v>
      </c>
      <c r="J4103" s="2">
        <f t="shared" si="2"/>
        <v>1181.05</v>
      </c>
      <c r="K4103" s="17">
        <f t="shared" si="3"/>
        <v>1</v>
      </c>
      <c r="L4103" s="18"/>
    </row>
    <row r="4104">
      <c r="A4104" s="2">
        <f>IFERROR(__xludf.DUMMYFUNCTION("""COMPUTED_VALUE"""),83057.0)</f>
        <v>83057</v>
      </c>
      <c r="B4104" s="2">
        <f>IFERROR(__xludf.DUMMYFUNCTION("""COMPUTED_VALUE"""),0.0)</f>
        <v>0</v>
      </c>
      <c r="C4104" s="2">
        <f>IFERROR(__xludf.DUMMYFUNCTION("""COMPUTED_VALUE"""),494.0)</f>
        <v>494</v>
      </c>
      <c r="D4104" s="3">
        <f>IFERROR(__xludf.DUMMYFUNCTION("""COMPUTED_VALUE"""),315.0)</f>
        <v>315</v>
      </c>
      <c r="E4104" s="1" t="str">
        <f t="array" ref="E4104">_xlfn.XLOOKUP(A4104,Product!A:A,Product!B:B,"Bulunamadı")</f>
        <v>Arts</v>
      </c>
      <c r="F4104" s="1" t="str">
        <f t="array" ref="F4104">_xlfn.XLOOKUP(A4104,Product!A:A,Product!C:C,"Bulunamadı")</f>
        <v>Networking</v>
      </c>
      <c r="G4104" s="2" t="str">
        <f t="array" ref="G4104">_xlfn.XLOOKUP(A4105,Product!A:A,Product!D:D,"Bulunamadı")</f>
        <v>Brightbrook House</v>
      </c>
      <c r="H4104" s="2">
        <f t="array" ref="H4104">_xlfn.XLOOKUP(A4106,Product!A:A,Product!E:E,"Bulunamadı")</f>
        <v>5.54</v>
      </c>
      <c r="I4104" s="2" t="str">
        <f t="shared" si="1"/>
        <v>83057 - Arts - Networking</v>
      </c>
      <c r="J4104" s="2">
        <f t="shared" si="2"/>
        <v>1745.1</v>
      </c>
      <c r="K4104" s="17">
        <f t="shared" si="3"/>
        <v>1</v>
      </c>
      <c r="L4104" s="18"/>
    </row>
    <row r="4105">
      <c r="A4105" s="2">
        <f>IFERROR(__xludf.DUMMYFUNCTION("""COMPUTED_VALUE"""),26727.0)</f>
        <v>26727</v>
      </c>
      <c r="B4105" s="2">
        <f>IFERROR(__xludf.DUMMYFUNCTION("""COMPUTED_VALUE"""),0.0)</f>
        <v>0</v>
      </c>
      <c r="C4105" s="2">
        <f>IFERROR(__xludf.DUMMYFUNCTION("""COMPUTED_VALUE"""),372.0)</f>
        <v>372</v>
      </c>
      <c r="D4105" s="3">
        <f>IFERROR(__xludf.DUMMYFUNCTION("""COMPUTED_VALUE"""),145.0)</f>
        <v>145</v>
      </c>
      <c r="E4105" s="1" t="str">
        <f t="array" ref="E4105">_xlfn.XLOOKUP(A4105,Product!A:A,Product!B:B,"Bulunamadı")</f>
        <v>Arts</v>
      </c>
      <c r="F4105" s="1" t="str">
        <f t="array" ref="F4105">_xlfn.XLOOKUP(A4105,Product!A:A,Product!C:C,"Bulunamadı")</f>
        <v>Networking</v>
      </c>
      <c r="G4105" s="2" t="str">
        <f t="array" ref="G4105">_xlfn.XLOOKUP(A4106,Product!A:A,Product!D:D,"Bulunamadı")</f>
        <v>Brightbrook House</v>
      </c>
      <c r="H4105" s="2">
        <f t="array" ref="H4105">_xlfn.XLOOKUP(A4107,Product!A:A,Product!E:E,"Bulunamadı")</f>
        <v>2.24</v>
      </c>
      <c r="I4105" s="2" t="str">
        <f t="shared" si="1"/>
        <v>26727 - Arts - Networking</v>
      </c>
      <c r="J4105" s="2">
        <f t="shared" si="2"/>
        <v>324.8</v>
      </c>
      <c r="K4105" s="17">
        <f t="shared" si="3"/>
        <v>1</v>
      </c>
      <c r="L4105" s="18"/>
    </row>
    <row r="4106">
      <c r="A4106" s="2">
        <f>IFERROR(__xludf.DUMMYFUNCTION("""COMPUTED_VALUE"""),85779.0)</f>
        <v>85779</v>
      </c>
      <c r="B4106" s="2">
        <f>IFERROR(__xludf.DUMMYFUNCTION("""COMPUTED_VALUE"""),1.0)</f>
        <v>1</v>
      </c>
      <c r="C4106" s="2">
        <f>IFERROR(__xludf.DUMMYFUNCTION("""COMPUTED_VALUE"""),436.0)</f>
        <v>436</v>
      </c>
      <c r="D4106" s="3">
        <f>IFERROR(__xludf.DUMMYFUNCTION("""COMPUTED_VALUE"""),151.0)</f>
        <v>151</v>
      </c>
      <c r="E4106" s="1" t="str">
        <f t="array" ref="E4106">_xlfn.XLOOKUP(A4106,Product!A:A,Product!B:B,"Bulunamadı")</f>
        <v>Arts</v>
      </c>
      <c r="F4106" s="1" t="str">
        <f t="array" ref="F4106">_xlfn.XLOOKUP(A4106,Product!A:A,Product!C:C,"Bulunamadı")</f>
        <v>Networking</v>
      </c>
      <c r="G4106" s="2" t="str">
        <f t="array" ref="G4106">_xlfn.XLOOKUP(A4107,Product!A:A,Product!D:D,"Bulunamadı")</f>
        <v>Brightbrook House</v>
      </c>
      <c r="H4106" s="2">
        <f t="array" ref="H4106">_xlfn.XLOOKUP(A4108,Product!A:A,Product!E:E,"Bulunamadı")</f>
        <v>4.74</v>
      </c>
      <c r="I4106" s="2" t="str">
        <f t="shared" si="1"/>
        <v>85779 - Arts - Networking</v>
      </c>
      <c r="J4106" s="2">
        <f t="shared" si="2"/>
        <v>715.74</v>
      </c>
      <c r="K4106" s="17">
        <f t="shared" si="3"/>
        <v>1</v>
      </c>
      <c r="L4106" s="18"/>
    </row>
    <row r="4107">
      <c r="A4107" s="2">
        <f>IFERROR(__xludf.DUMMYFUNCTION("""COMPUTED_VALUE"""),84396.0)</f>
        <v>84396</v>
      </c>
      <c r="B4107" s="2">
        <f>IFERROR(__xludf.DUMMYFUNCTION("""COMPUTED_VALUE"""),1.0)</f>
        <v>1</v>
      </c>
      <c r="C4107" s="2">
        <f>IFERROR(__xludf.DUMMYFUNCTION("""COMPUTED_VALUE"""),549.0)</f>
        <v>549</v>
      </c>
      <c r="D4107" s="3">
        <f>IFERROR(__xludf.DUMMYFUNCTION("""COMPUTED_VALUE"""),319.0)</f>
        <v>319</v>
      </c>
      <c r="E4107" s="1" t="str">
        <f t="array" ref="E4107">_xlfn.XLOOKUP(A4107,Product!A:A,Product!B:B,"Bulunamadı")</f>
        <v>Arts</v>
      </c>
      <c r="F4107" s="1" t="str">
        <f t="array" ref="F4107">_xlfn.XLOOKUP(A4107,Product!A:A,Product!C:C,"Bulunamadı")</f>
        <v>Networking</v>
      </c>
      <c r="G4107" s="2" t="str">
        <f t="array" ref="G4107">_xlfn.XLOOKUP(A4108,Product!A:A,Product!D:D,"Bulunamadı")</f>
        <v>Oakbrook House</v>
      </c>
      <c r="H4107" s="2">
        <f t="array" ref="H4107">_xlfn.XLOOKUP(A4109,Product!A:A,Product!E:E,"Bulunamadı")</f>
        <v>8.75</v>
      </c>
      <c r="I4107" s="2" t="str">
        <f t="shared" si="1"/>
        <v>84396 - Arts - Networking</v>
      </c>
      <c r="J4107" s="2">
        <f t="shared" si="2"/>
        <v>2791.25</v>
      </c>
      <c r="K4107" s="17">
        <f t="shared" si="3"/>
        <v>1</v>
      </c>
      <c r="L4107" s="18"/>
    </row>
    <row r="4108">
      <c r="A4108" s="2">
        <f>IFERROR(__xludf.DUMMYFUNCTION("""COMPUTED_VALUE"""),42676.0)</f>
        <v>42676</v>
      </c>
      <c r="B4108" s="2">
        <f>IFERROR(__xludf.DUMMYFUNCTION("""COMPUTED_VALUE"""),1.0)</f>
        <v>1</v>
      </c>
      <c r="C4108" s="2">
        <f>IFERROR(__xludf.DUMMYFUNCTION("""COMPUTED_VALUE"""),569.0)</f>
        <v>569</v>
      </c>
      <c r="D4108" s="3">
        <f>IFERROR(__xludf.DUMMYFUNCTION("""COMPUTED_VALUE"""),528.0)</f>
        <v>528</v>
      </c>
      <c r="E4108" s="1" t="str">
        <f t="array" ref="E4108">_xlfn.XLOOKUP(A4108,Product!A:A,Product!B:B,"Bulunamadı")</f>
        <v>Arts</v>
      </c>
      <c r="F4108" s="1" t="str">
        <f t="array" ref="F4108">_xlfn.XLOOKUP(A4108,Product!A:A,Product!C:C,"Bulunamadı")</f>
        <v>Networking</v>
      </c>
      <c r="G4108" s="2" t="str">
        <f t="array" ref="G4108">_xlfn.XLOOKUP(A4109,Product!A:A,Product!D:D,"Bulunamadı")</f>
        <v>Oakbrook House</v>
      </c>
      <c r="H4108" s="2">
        <f t="array" ref="H4108">_xlfn.XLOOKUP(A4110,Product!A:A,Product!E:E,"Bulunamadı")</f>
        <v>6.75</v>
      </c>
      <c r="I4108" s="2" t="str">
        <f t="shared" si="1"/>
        <v>42676 - Arts - Networking</v>
      </c>
      <c r="J4108" s="2">
        <f t="shared" si="2"/>
        <v>3564</v>
      </c>
      <c r="K4108" s="17">
        <f t="shared" si="3"/>
        <v>1</v>
      </c>
      <c r="L4108" s="18"/>
    </row>
    <row r="4109">
      <c r="A4109" s="2">
        <f>IFERROR(__xludf.DUMMYFUNCTION("""COMPUTED_VALUE"""),108380.0)</f>
        <v>108380</v>
      </c>
      <c r="B4109" s="2">
        <f>IFERROR(__xludf.DUMMYFUNCTION("""COMPUTED_VALUE"""),1.0)</f>
        <v>1</v>
      </c>
      <c r="C4109" s="2">
        <f>IFERROR(__xludf.DUMMYFUNCTION("""COMPUTED_VALUE"""),767.0)</f>
        <v>767</v>
      </c>
      <c r="D4109" s="3">
        <f>IFERROR(__xludf.DUMMYFUNCTION("""COMPUTED_VALUE"""),169.0)</f>
        <v>169</v>
      </c>
      <c r="E4109" s="1" t="str">
        <f t="array" ref="E4109">_xlfn.XLOOKUP(A4109,Product!A:A,Product!B:B,"Bulunamadı")</f>
        <v>Arts</v>
      </c>
      <c r="F4109" s="1" t="str">
        <f t="array" ref="F4109">_xlfn.XLOOKUP(A4109,Product!A:A,Product!C:C,"Bulunamadı")</f>
        <v>Networking</v>
      </c>
      <c r="G4109" s="2" t="str">
        <f t="array" ref="G4109">_xlfn.XLOOKUP(A4110,Product!A:A,Product!D:D,"Bulunamadı")</f>
        <v>Oakbrook House</v>
      </c>
      <c r="H4109" s="2">
        <f t="array" ref="H4109">_xlfn.XLOOKUP(A4111,Product!A:A,Product!E:E,"Bulunamadı")</f>
        <v>5.09</v>
      </c>
      <c r="I4109" s="2" t="str">
        <f t="shared" si="1"/>
        <v>108380 - Arts - Networking</v>
      </c>
      <c r="J4109" s="2">
        <f t="shared" si="2"/>
        <v>860.21</v>
      </c>
      <c r="K4109" s="17">
        <f t="shared" si="3"/>
        <v>1</v>
      </c>
      <c r="L4109" s="18"/>
    </row>
    <row r="4110">
      <c r="A4110" s="2">
        <f>IFERROR(__xludf.DUMMYFUNCTION("""COMPUTED_VALUE"""),10565.0)</f>
        <v>10565</v>
      </c>
      <c r="B4110" s="2">
        <f>IFERROR(__xludf.DUMMYFUNCTION("""COMPUTED_VALUE"""),0.0)</f>
        <v>0</v>
      </c>
      <c r="C4110" s="2">
        <f>IFERROR(__xludf.DUMMYFUNCTION("""COMPUTED_VALUE"""),542.0)</f>
        <v>542</v>
      </c>
      <c r="D4110" s="3">
        <f>IFERROR(__xludf.DUMMYFUNCTION("""COMPUTED_VALUE"""),510.0)</f>
        <v>510</v>
      </c>
      <c r="E4110" s="1" t="str">
        <f t="array" ref="E4110">_xlfn.XLOOKUP(A4110,Product!A:A,Product!B:B,"Bulunamadı")</f>
        <v>Arts</v>
      </c>
      <c r="F4110" s="1" t="str">
        <f t="array" ref="F4110">_xlfn.XLOOKUP(A4110,Product!A:A,Product!C:C,"Bulunamadı")</f>
        <v>Networking</v>
      </c>
      <c r="G4110" s="2" t="str">
        <f t="array" ref="G4110">_xlfn.XLOOKUP(A4111,Product!A:A,Product!D:D,"Bulunamadı")</f>
        <v>Oakbrook House</v>
      </c>
      <c r="H4110" s="2">
        <f t="array" ref="H4110">_xlfn.XLOOKUP(A4112,Product!A:A,Product!E:E,"Bulunamadı")</f>
        <v>13.71</v>
      </c>
      <c r="I4110" s="2" t="str">
        <f t="shared" si="1"/>
        <v>10565 - Arts - Networking</v>
      </c>
      <c r="J4110" s="2">
        <f t="shared" si="2"/>
        <v>6992.1</v>
      </c>
      <c r="K4110" s="17">
        <f t="shared" si="3"/>
        <v>1</v>
      </c>
      <c r="L4110" s="18"/>
    </row>
    <row r="4111">
      <c r="A4111" s="2">
        <f>IFERROR(__xludf.DUMMYFUNCTION("""COMPUTED_VALUE"""),107631.0)</f>
        <v>107631</v>
      </c>
      <c r="B4111" s="2">
        <f>IFERROR(__xludf.DUMMYFUNCTION("""COMPUTED_VALUE"""),0.0)</f>
        <v>0</v>
      </c>
      <c r="C4111" s="2">
        <f>IFERROR(__xludf.DUMMYFUNCTION("""COMPUTED_VALUE"""),996.0)</f>
        <v>996</v>
      </c>
      <c r="D4111" s="3">
        <f>IFERROR(__xludf.DUMMYFUNCTION("""COMPUTED_VALUE"""),246.0)</f>
        <v>246</v>
      </c>
      <c r="E4111" s="1" t="str">
        <f t="array" ref="E4111">_xlfn.XLOOKUP(A4111,Product!A:A,Product!B:B,"Bulunamadı")</f>
        <v>Arts</v>
      </c>
      <c r="F4111" s="1" t="str">
        <f t="array" ref="F4111">_xlfn.XLOOKUP(A4111,Product!A:A,Product!C:C,"Bulunamadı")</f>
        <v>Networking</v>
      </c>
      <c r="G4111" s="2" t="str">
        <f t="array" ref="G4111">_xlfn.XLOOKUP(A4112,Product!A:A,Product!D:D,"Bulunamadı")</f>
        <v>Oakbrook House</v>
      </c>
      <c r="H4111" s="2">
        <f t="array" ref="H4111">_xlfn.XLOOKUP(A4113,Product!A:A,Product!E:E,"Bulunamadı")</f>
        <v>9.61</v>
      </c>
      <c r="I4111" s="2" t="str">
        <f t="shared" si="1"/>
        <v>107631 - Arts - Networking</v>
      </c>
      <c r="J4111" s="2">
        <f t="shared" si="2"/>
        <v>2364.06</v>
      </c>
      <c r="K4111" s="17">
        <f t="shared" si="3"/>
        <v>1</v>
      </c>
      <c r="L4111" s="18"/>
    </row>
    <row r="4112">
      <c r="A4112" s="2">
        <f>IFERROR(__xludf.DUMMYFUNCTION("""COMPUTED_VALUE"""),24061.0)</f>
        <v>24061</v>
      </c>
      <c r="B4112" s="2">
        <f>IFERROR(__xludf.DUMMYFUNCTION("""COMPUTED_VALUE"""),1.0)</f>
        <v>1</v>
      </c>
      <c r="C4112" s="2">
        <f>IFERROR(__xludf.DUMMYFUNCTION("""COMPUTED_VALUE"""),212.0)</f>
        <v>212</v>
      </c>
      <c r="D4112" s="3">
        <f>IFERROR(__xludf.DUMMYFUNCTION("""COMPUTED_VALUE"""),206.0)</f>
        <v>206</v>
      </c>
      <c r="E4112" s="1" t="str">
        <f t="array" ref="E4112">_xlfn.XLOOKUP(A4112,Product!A:A,Product!B:B,"Bulunamadı")</f>
        <v>Arts</v>
      </c>
      <c r="F4112" s="1" t="str">
        <f t="array" ref="F4112">_xlfn.XLOOKUP(A4112,Product!A:A,Product!C:C,"Bulunamadı")</f>
        <v>Networking</v>
      </c>
      <c r="G4112" s="2" t="str">
        <f t="array" ref="G4112">_xlfn.XLOOKUP(A4113,Product!A:A,Product!D:D,"Bulunamadı")</f>
        <v>Oakbrook House</v>
      </c>
      <c r="H4112" s="2">
        <f t="array" ref="H4112">_xlfn.XLOOKUP(A4114,Product!A:A,Product!E:E,"Bulunamadı")</f>
        <v>5.04</v>
      </c>
      <c r="I4112" s="2" t="str">
        <f t="shared" si="1"/>
        <v>24061 - Arts - Networking</v>
      </c>
      <c r="J4112" s="2">
        <f t="shared" si="2"/>
        <v>1038.24</v>
      </c>
      <c r="K4112" s="17">
        <f t="shared" si="3"/>
        <v>1</v>
      </c>
      <c r="L4112" s="18"/>
    </row>
    <row r="4113">
      <c r="A4113" s="2">
        <f>IFERROR(__xludf.DUMMYFUNCTION("""COMPUTED_VALUE"""),182051.0)</f>
        <v>182051</v>
      </c>
      <c r="B4113" s="2">
        <f>IFERROR(__xludf.DUMMYFUNCTION("""COMPUTED_VALUE"""),1.0)</f>
        <v>1</v>
      </c>
      <c r="C4113" s="2">
        <f>IFERROR(__xludf.DUMMYFUNCTION("""COMPUTED_VALUE"""),932.0)</f>
        <v>932</v>
      </c>
      <c r="D4113" s="3">
        <f>IFERROR(__xludf.DUMMYFUNCTION("""COMPUTED_VALUE"""),499.0)</f>
        <v>499</v>
      </c>
      <c r="E4113" s="1" t="str">
        <f t="array" ref="E4113">_xlfn.XLOOKUP(A4113,Product!A:A,Product!B:B,"Bulunamadı")</f>
        <v>Arts</v>
      </c>
      <c r="F4113" s="1" t="str">
        <f t="array" ref="F4113">_xlfn.XLOOKUP(A4113,Product!A:A,Product!C:C,"Bulunamadı")</f>
        <v>Networking</v>
      </c>
      <c r="G4113" s="2" t="str">
        <f t="array" ref="G4113">_xlfn.XLOOKUP(A4114,Product!A:A,Product!D:D,"Bulunamadı")</f>
        <v>Riverbrook House</v>
      </c>
      <c r="H4113" s="2">
        <f t="array" ref="H4113">_xlfn.XLOOKUP(A4115,Product!A:A,Product!E:E,"Bulunamadı")</f>
        <v>5.47</v>
      </c>
      <c r="I4113" s="2" t="str">
        <f t="shared" si="1"/>
        <v>182051 - Arts - Networking</v>
      </c>
      <c r="J4113" s="2">
        <f t="shared" si="2"/>
        <v>2729.53</v>
      </c>
      <c r="K4113" s="17">
        <f t="shared" si="3"/>
        <v>1</v>
      </c>
      <c r="L4113" s="18"/>
    </row>
    <row r="4114">
      <c r="A4114" s="2">
        <f>IFERROR(__xludf.DUMMYFUNCTION("""COMPUTED_VALUE"""),86360.0)</f>
        <v>86360</v>
      </c>
      <c r="B4114" s="2">
        <f>IFERROR(__xludf.DUMMYFUNCTION("""COMPUTED_VALUE"""),0.0)</f>
        <v>0</v>
      </c>
      <c r="C4114" s="2">
        <f>IFERROR(__xludf.DUMMYFUNCTION("""COMPUTED_VALUE"""),399.0)</f>
        <v>399</v>
      </c>
      <c r="D4114" s="3">
        <f>IFERROR(__xludf.DUMMYFUNCTION("""COMPUTED_VALUE"""),305.0)</f>
        <v>305</v>
      </c>
      <c r="E4114" s="1" t="str">
        <f t="array" ref="E4114">_xlfn.XLOOKUP(A4114,Product!A:A,Product!B:B,"Bulunamadı")</f>
        <v>Arts</v>
      </c>
      <c r="F4114" s="1" t="str">
        <f t="array" ref="F4114">_xlfn.XLOOKUP(A4114,Product!A:A,Product!C:C,"Bulunamadı")</f>
        <v>Networking</v>
      </c>
      <c r="G4114" s="2" t="str">
        <f t="array" ref="G4114">_xlfn.XLOOKUP(A4115,Product!A:A,Product!D:D,"Bulunamadı")</f>
        <v>Riverbrook House</v>
      </c>
      <c r="H4114" s="2">
        <f t="array" ref="H4114">_xlfn.XLOOKUP(A4116,Product!A:A,Product!E:E,"Bulunamadı")</f>
        <v>3.64</v>
      </c>
      <c r="I4114" s="2" t="str">
        <f t="shared" si="1"/>
        <v>86360 - Arts - Networking</v>
      </c>
      <c r="J4114" s="2">
        <f t="shared" si="2"/>
        <v>1110.2</v>
      </c>
      <c r="K4114" s="17">
        <f t="shared" si="3"/>
        <v>1</v>
      </c>
      <c r="L4114" s="18"/>
    </row>
    <row r="4115">
      <c r="A4115" s="2">
        <f>IFERROR(__xludf.DUMMYFUNCTION("""COMPUTED_VALUE"""),10566.0)</f>
        <v>10566</v>
      </c>
      <c r="B4115" s="2">
        <f>IFERROR(__xludf.DUMMYFUNCTION("""COMPUTED_VALUE"""),1.0)</f>
        <v>1</v>
      </c>
      <c r="C4115" s="2">
        <f>IFERROR(__xludf.DUMMYFUNCTION("""COMPUTED_VALUE"""),278.0)</f>
        <v>278</v>
      </c>
      <c r="D4115" s="3">
        <f>IFERROR(__xludf.DUMMYFUNCTION("""COMPUTED_VALUE"""),221.0)</f>
        <v>221</v>
      </c>
      <c r="E4115" s="1" t="str">
        <f t="array" ref="E4115">_xlfn.XLOOKUP(A4115,Product!A:A,Product!B:B,"Bulunamadı")</f>
        <v>Arts</v>
      </c>
      <c r="F4115" s="1" t="str">
        <f t="array" ref="F4115">_xlfn.XLOOKUP(A4115,Product!A:A,Product!C:C,"Bulunamadı")</f>
        <v>Networking</v>
      </c>
      <c r="G4115" s="2" t="str">
        <f t="array" ref="G4115">_xlfn.XLOOKUP(A4116,Product!A:A,Product!D:D,"Bulunamadı")</f>
        <v>Ironbrook House</v>
      </c>
      <c r="H4115" s="2">
        <f t="array" ref="H4115">_xlfn.XLOOKUP(A4117,Product!A:A,Product!E:E,"Bulunamadı")</f>
        <v>1.99</v>
      </c>
      <c r="I4115" s="2" t="str">
        <f t="shared" si="1"/>
        <v>10566 - Arts - Networking</v>
      </c>
      <c r="J4115" s="2">
        <f t="shared" si="2"/>
        <v>439.79</v>
      </c>
      <c r="K4115" s="17">
        <f t="shared" si="3"/>
        <v>1</v>
      </c>
      <c r="L4115" s="18"/>
    </row>
    <row r="4116">
      <c r="A4116" s="2">
        <f>IFERROR(__xludf.DUMMYFUNCTION("""COMPUTED_VALUE"""),182014.0)</f>
        <v>182014</v>
      </c>
      <c r="B4116" s="2">
        <f>IFERROR(__xludf.DUMMYFUNCTION("""COMPUTED_VALUE"""),1.0)</f>
        <v>1</v>
      </c>
      <c r="C4116" s="2">
        <f>IFERROR(__xludf.DUMMYFUNCTION("""COMPUTED_VALUE"""),320.0)</f>
        <v>320</v>
      </c>
      <c r="D4116" s="3">
        <f>IFERROR(__xludf.DUMMYFUNCTION("""COMPUTED_VALUE"""),139.0)</f>
        <v>139</v>
      </c>
      <c r="E4116" s="1" t="str">
        <f t="array" ref="E4116">_xlfn.XLOOKUP(A4116,Product!A:A,Product!B:B,"Bulunamadı")</f>
        <v>Arts</v>
      </c>
      <c r="F4116" s="1" t="str">
        <f t="array" ref="F4116">_xlfn.XLOOKUP(A4116,Product!A:A,Product!C:C,"Bulunamadı")</f>
        <v>Networking</v>
      </c>
      <c r="G4116" s="2" t="str">
        <f t="array" ref="G4116">_xlfn.XLOOKUP(A4117,Product!A:A,Product!D:D,"Bulunamadı")</f>
        <v>Ironbrook House</v>
      </c>
      <c r="H4116" s="2">
        <f t="array" ref="H4116">_xlfn.XLOOKUP(A4118,Product!A:A,Product!E:E,"Bulunamadı")</f>
        <v>5.16</v>
      </c>
      <c r="I4116" s="2" t="str">
        <f t="shared" si="1"/>
        <v>182014 - Arts - Networking</v>
      </c>
      <c r="J4116" s="2">
        <f t="shared" si="2"/>
        <v>717.24</v>
      </c>
      <c r="K4116" s="17">
        <f t="shared" si="3"/>
        <v>1</v>
      </c>
      <c r="L4116" s="18"/>
    </row>
    <row r="4117">
      <c r="A4117" s="2">
        <f>IFERROR(__xludf.DUMMYFUNCTION("""COMPUTED_VALUE"""),182010.0)</f>
        <v>182010</v>
      </c>
      <c r="B4117" s="2">
        <f>IFERROR(__xludf.DUMMYFUNCTION("""COMPUTED_VALUE"""),1.0)</f>
        <v>1</v>
      </c>
      <c r="C4117" s="2">
        <f>IFERROR(__xludf.DUMMYFUNCTION("""COMPUTED_VALUE"""),46.0)</f>
        <v>46</v>
      </c>
      <c r="D4117" s="3">
        <f>IFERROR(__xludf.DUMMYFUNCTION("""COMPUTED_VALUE"""),5.0)</f>
        <v>5</v>
      </c>
      <c r="E4117" s="1" t="str">
        <f t="array" ref="E4117">_xlfn.XLOOKUP(A4117,Product!A:A,Product!B:B,"Bulunamadı")</f>
        <v>Arts</v>
      </c>
      <c r="F4117" s="1" t="str">
        <f t="array" ref="F4117">_xlfn.XLOOKUP(A4117,Product!A:A,Product!C:C,"Bulunamadı")</f>
        <v>Networking</v>
      </c>
      <c r="G4117" s="2" t="str">
        <f t="array" ref="G4117">_xlfn.XLOOKUP(A4118,Product!A:A,Product!D:D,"Bulunamadı")</f>
        <v>Ironbrook House</v>
      </c>
      <c r="H4117" s="2">
        <f t="array" ref="H4117">_xlfn.XLOOKUP(A4119,Product!A:A,Product!E:E,"Bulunamadı")</f>
        <v>2.83</v>
      </c>
      <c r="I4117" s="2" t="str">
        <f t="shared" si="1"/>
        <v>182010 - Arts - Networking</v>
      </c>
      <c r="J4117" s="2">
        <f t="shared" si="2"/>
        <v>14.15</v>
      </c>
      <c r="K4117" s="17">
        <f t="shared" si="3"/>
        <v>1</v>
      </c>
      <c r="L4117" s="18"/>
    </row>
    <row r="4118">
      <c r="A4118" s="2">
        <f>IFERROR(__xludf.DUMMYFUNCTION("""COMPUTED_VALUE"""),24076.0)</f>
        <v>24076</v>
      </c>
      <c r="B4118" s="2">
        <f>IFERROR(__xludf.DUMMYFUNCTION("""COMPUTED_VALUE"""),1.0)</f>
        <v>1</v>
      </c>
      <c r="C4118" s="2">
        <f>IFERROR(__xludf.DUMMYFUNCTION("""COMPUTED_VALUE"""),894.0)</f>
        <v>894</v>
      </c>
      <c r="D4118" s="3">
        <f>IFERROR(__xludf.DUMMYFUNCTION("""COMPUTED_VALUE"""),800.0)</f>
        <v>800</v>
      </c>
      <c r="E4118" s="1" t="str">
        <f t="array" ref="E4118">_xlfn.XLOOKUP(A4118,Product!A:A,Product!B:B,"Bulunamadı")</f>
        <v>Arts</v>
      </c>
      <c r="F4118" s="1" t="str">
        <f t="array" ref="F4118">_xlfn.XLOOKUP(A4118,Product!A:A,Product!C:C,"Bulunamadı")</f>
        <v>Networking</v>
      </c>
      <c r="G4118" s="2" t="str">
        <f t="array" ref="G4118">_xlfn.XLOOKUP(A4119,Product!A:A,Product!D:D,"Bulunamadı")</f>
        <v>Ironbrook House</v>
      </c>
      <c r="H4118" s="2">
        <f t="array" ref="H4118">_xlfn.XLOOKUP(A4120,Product!A:A,Product!E:E,"Bulunamadı")</f>
        <v>8.58</v>
      </c>
      <c r="I4118" s="2" t="str">
        <f t="shared" si="1"/>
        <v>24076 - Arts - Networking</v>
      </c>
      <c r="J4118" s="2">
        <f t="shared" si="2"/>
        <v>6864</v>
      </c>
      <c r="K4118" s="17">
        <f t="shared" si="3"/>
        <v>1</v>
      </c>
      <c r="L4118" s="18"/>
    </row>
    <row r="4119">
      <c r="A4119" s="2">
        <f>IFERROR(__xludf.DUMMYFUNCTION("""COMPUTED_VALUE"""),10572.0)</f>
        <v>10572</v>
      </c>
      <c r="B4119" s="2">
        <f>IFERROR(__xludf.DUMMYFUNCTION("""COMPUTED_VALUE"""),1.0)</f>
        <v>1</v>
      </c>
      <c r="C4119" s="2">
        <f>IFERROR(__xludf.DUMMYFUNCTION("""COMPUTED_VALUE"""),513.0)</f>
        <v>513</v>
      </c>
      <c r="D4119" s="3">
        <f>IFERROR(__xludf.DUMMYFUNCTION("""COMPUTED_VALUE"""),112.0)</f>
        <v>112</v>
      </c>
      <c r="E4119" s="1" t="str">
        <f t="array" ref="E4119">_xlfn.XLOOKUP(A4119,Product!A:A,Product!B:B,"Bulunamadı")</f>
        <v>Arts</v>
      </c>
      <c r="F4119" s="1" t="str">
        <f t="array" ref="F4119">_xlfn.XLOOKUP(A4119,Product!A:A,Product!C:C,"Bulunamadı")</f>
        <v>Networking</v>
      </c>
      <c r="G4119" s="2" t="str">
        <f t="array" ref="G4119">_xlfn.XLOOKUP(A4120,Product!A:A,Product!D:D,"Bulunamadı")</f>
        <v>Silverlight House</v>
      </c>
      <c r="H4119" s="2">
        <f t="array" ref="H4119">_xlfn.XLOOKUP(A4121,Product!A:A,Product!E:E,"Bulunamadı")</f>
        <v>6.19</v>
      </c>
      <c r="I4119" s="2" t="str">
        <f t="shared" si="1"/>
        <v>10572 - Arts - Networking</v>
      </c>
      <c r="J4119" s="2">
        <f t="shared" si="2"/>
        <v>693.28</v>
      </c>
      <c r="K4119" s="17">
        <f t="shared" si="3"/>
        <v>1</v>
      </c>
      <c r="L4119" s="18"/>
    </row>
    <row r="4120">
      <c r="A4120" s="2">
        <f>IFERROR(__xludf.DUMMYFUNCTION("""COMPUTED_VALUE"""),47527.0)</f>
        <v>47527</v>
      </c>
      <c r="B4120" s="2">
        <f>IFERROR(__xludf.DUMMYFUNCTION("""COMPUTED_VALUE"""),1.0)</f>
        <v>1</v>
      </c>
      <c r="C4120" s="2">
        <f>IFERROR(__xludf.DUMMYFUNCTION("""COMPUTED_VALUE"""),552.0)</f>
        <v>552</v>
      </c>
      <c r="D4120" s="3">
        <f>IFERROR(__xludf.DUMMYFUNCTION("""COMPUTED_VALUE"""),521.0)</f>
        <v>521</v>
      </c>
      <c r="E4120" s="1" t="str">
        <f t="array" ref="E4120">_xlfn.XLOOKUP(A4120,Product!A:A,Product!B:B,"Bulunamadı")</f>
        <v>Arts</v>
      </c>
      <c r="F4120" s="1" t="str">
        <f t="array" ref="F4120">_xlfn.XLOOKUP(A4120,Product!A:A,Product!C:C,"Bulunamadı")</f>
        <v>Networking</v>
      </c>
      <c r="G4120" s="2" t="str">
        <f t="array" ref="G4120">_xlfn.XLOOKUP(A4121,Product!A:A,Product!D:D,"Bulunamadı")</f>
        <v>Silverlight House</v>
      </c>
      <c r="H4120" s="2">
        <f t="array" ref="H4120">_xlfn.XLOOKUP(A4122,Product!A:A,Product!E:E,"Bulunamadı")</f>
        <v>3.16</v>
      </c>
      <c r="I4120" s="2" t="str">
        <f t="shared" si="1"/>
        <v>47527 - Arts - Networking</v>
      </c>
      <c r="J4120" s="2">
        <f t="shared" si="2"/>
        <v>1646.36</v>
      </c>
      <c r="K4120" s="17">
        <f t="shared" si="3"/>
        <v>1</v>
      </c>
      <c r="L4120" s="18"/>
    </row>
    <row r="4121">
      <c r="A4121" s="2">
        <f>IFERROR(__xludf.DUMMYFUNCTION("""COMPUTED_VALUE"""),10577.0)</f>
        <v>10577</v>
      </c>
      <c r="B4121" s="2">
        <f>IFERROR(__xludf.DUMMYFUNCTION("""COMPUTED_VALUE"""),1.0)</f>
        <v>1</v>
      </c>
      <c r="C4121" s="2">
        <f>IFERROR(__xludf.DUMMYFUNCTION("""COMPUTED_VALUE"""),205.0)</f>
        <v>205</v>
      </c>
      <c r="D4121" s="3">
        <f>IFERROR(__xludf.DUMMYFUNCTION("""COMPUTED_VALUE"""),30.0)</f>
        <v>30</v>
      </c>
      <c r="E4121" s="1" t="str">
        <f t="array" ref="E4121">_xlfn.XLOOKUP(A4121,Product!A:A,Product!B:B,"Bulunamadı")</f>
        <v>Arts</v>
      </c>
      <c r="F4121" s="1" t="str">
        <f t="array" ref="F4121">_xlfn.XLOOKUP(A4121,Product!A:A,Product!C:C,"Bulunamadı")</f>
        <v>Networking</v>
      </c>
      <c r="G4121" s="2" t="str">
        <f t="array" ref="G4121">_xlfn.XLOOKUP(A4122,Product!A:A,Product!D:D,"Bulunamadı")</f>
        <v>Silverlight House</v>
      </c>
      <c r="H4121" s="2">
        <f t="array" ref="H4121">_xlfn.XLOOKUP(A4123,Product!A:A,Product!E:E,"Bulunamadı")</f>
        <v>8.41</v>
      </c>
      <c r="I4121" s="2" t="str">
        <f t="shared" si="1"/>
        <v>10577 - Arts - Networking</v>
      </c>
      <c r="J4121" s="2">
        <f t="shared" si="2"/>
        <v>252.3</v>
      </c>
      <c r="K4121" s="17">
        <f t="shared" si="3"/>
        <v>1</v>
      </c>
      <c r="L4121" s="18"/>
    </row>
    <row r="4122">
      <c r="A4122" s="2">
        <f>IFERROR(__xludf.DUMMYFUNCTION("""COMPUTED_VALUE"""),81914.0)</f>
        <v>81914</v>
      </c>
      <c r="B4122" s="2">
        <f>IFERROR(__xludf.DUMMYFUNCTION("""COMPUTED_VALUE"""),0.0)</f>
        <v>0</v>
      </c>
      <c r="C4122" s="2">
        <f>IFERROR(__xludf.DUMMYFUNCTION("""COMPUTED_VALUE"""),542.0)</f>
        <v>542</v>
      </c>
      <c r="D4122" s="3">
        <f>IFERROR(__xludf.DUMMYFUNCTION("""COMPUTED_VALUE"""),151.0)</f>
        <v>151</v>
      </c>
      <c r="E4122" s="1" t="str">
        <f t="array" ref="E4122">_xlfn.XLOOKUP(A4122,Product!A:A,Product!B:B,"Bulunamadı")</f>
        <v>Arts</v>
      </c>
      <c r="F4122" s="1" t="str">
        <f t="array" ref="F4122">_xlfn.XLOOKUP(A4122,Product!A:A,Product!C:C,"Bulunamadı")</f>
        <v>Networking</v>
      </c>
      <c r="G4122" s="2" t="str">
        <f t="array" ref="G4122">_xlfn.XLOOKUP(A4123,Product!A:A,Product!D:D,"Bulunamadı")</f>
        <v>Silverlight House</v>
      </c>
      <c r="H4122" s="2">
        <f t="array" ref="H4122">_xlfn.XLOOKUP(A4124,Product!A:A,Product!E:E,"Bulunamadı")</f>
        <v>4.49</v>
      </c>
      <c r="I4122" s="2" t="str">
        <f t="shared" si="1"/>
        <v>81914 - Arts - Networking</v>
      </c>
      <c r="J4122" s="2">
        <f t="shared" si="2"/>
        <v>677.99</v>
      </c>
      <c r="K4122" s="17">
        <f t="shared" si="3"/>
        <v>1</v>
      </c>
      <c r="L4122" s="18"/>
    </row>
    <row r="4123">
      <c r="A4123" s="2">
        <f>IFERROR(__xludf.DUMMYFUNCTION("""COMPUTED_VALUE"""),120186.0)</f>
        <v>120186</v>
      </c>
      <c r="B4123" s="2">
        <f>IFERROR(__xludf.DUMMYFUNCTION("""COMPUTED_VALUE"""),0.0)</f>
        <v>0</v>
      </c>
      <c r="C4123" s="2">
        <f>IFERROR(__xludf.DUMMYFUNCTION("""COMPUTED_VALUE"""),374.0)</f>
        <v>374</v>
      </c>
      <c r="D4123" s="3">
        <f>IFERROR(__xludf.DUMMYFUNCTION("""COMPUTED_VALUE"""),26.0)</f>
        <v>26</v>
      </c>
      <c r="E4123" s="1" t="str">
        <f t="array" ref="E4123">_xlfn.XLOOKUP(A4123,Product!A:A,Product!B:B,"Bulunamadı")</f>
        <v>Arts</v>
      </c>
      <c r="F4123" s="1" t="str">
        <f t="array" ref="F4123">_xlfn.XLOOKUP(A4123,Product!A:A,Product!C:C,"Bulunamadı")</f>
        <v>Networking</v>
      </c>
      <c r="G4123" s="2" t="str">
        <f t="array" ref="G4123">_xlfn.XLOOKUP(A4124,Product!A:A,Product!D:D,"Bulunamadı")</f>
        <v>Silverlight House</v>
      </c>
      <c r="H4123" s="2">
        <f t="array" ref="H4123">_xlfn.XLOOKUP(A4125,Product!A:A,Product!E:E,"Bulunamadı")</f>
        <v>4.57</v>
      </c>
      <c r="I4123" s="2" t="str">
        <f t="shared" si="1"/>
        <v>120186 - Arts - Networking</v>
      </c>
      <c r="J4123" s="2">
        <f t="shared" si="2"/>
        <v>118.82</v>
      </c>
      <c r="K4123" s="17">
        <f t="shared" si="3"/>
        <v>1</v>
      </c>
      <c r="L4123" s="18"/>
    </row>
    <row r="4124">
      <c r="A4124" s="2">
        <f>IFERROR(__xludf.DUMMYFUNCTION("""COMPUTED_VALUE"""),182015.0)</f>
        <v>182015</v>
      </c>
      <c r="B4124" s="2">
        <f>IFERROR(__xludf.DUMMYFUNCTION("""COMPUTED_VALUE"""),1.0)</f>
        <v>1</v>
      </c>
      <c r="C4124" s="2">
        <f>IFERROR(__xludf.DUMMYFUNCTION("""COMPUTED_VALUE"""),883.0)</f>
        <v>883</v>
      </c>
      <c r="D4124" s="3">
        <f>IFERROR(__xludf.DUMMYFUNCTION("""COMPUTED_VALUE"""),308.0)</f>
        <v>308</v>
      </c>
      <c r="E4124" s="1" t="str">
        <f t="array" ref="E4124">_xlfn.XLOOKUP(A4124,Product!A:A,Product!B:B,"Bulunamadı")</f>
        <v>Arts</v>
      </c>
      <c r="F4124" s="1" t="str">
        <f t="array" ref="F4124">_xlfn.XLOOKUP(A4124,Product!A:A,Product!C:C,"Bulunamadı")</f>
        <v>Networking</v>
      </c>
      <c r="G4124" s="2" t="str">
        <f t="array" ref="G4124">_xlfn.XLOOKUP(A4125,Product!A:A,Product!D:D,"Bulunamadı")</f>
        <v>Silverlight House</v>
      </c>
      <c r="H4124" s="2">
        <f t="array" ref="H4124">_xlfn.XLOOKUP(A4126,Product!A:A,Product!E:E,"Bulunamadı")</f>
        <v>1.1</v>
      </c>
      <c r="I4124" s="2" t="str">
        <f t="shared" si="1"/>
        <v>182015 - Arts - Networking</v>
      </c>
      <c r="J4124" s="2">
        <f t="shared" si="2"/>
        <v>338.8</v>
      </c>
      <c r="K4124" s="17">
        <f t="shared" si="3"/>
        <v>1</v>
      </c>
      <c r="L4124" s="18"/>
    </row>
    <row r="4125">
      <c r="A4125" s="2">
        <f>IFERROR(__xludf.DUMMYFUNCTION("""COMPUTED_VALUE"""),117919.0)</f>
        <v>117919</v>
      </c>
      <c r="B4125" s="2">
        <f>IFERROR(__xludf.DUMMYFUNCTION("""COMPUTED_VALUE"""),0.0)</f>
        <v>0</v>
      </c>
      <c r="C4125" s="2">
        <f>IFERROR(__xludf.DUMMYFUNCTION("""COMPUTED_VALUE"""),30.0)</f>
        <v>30</v>
      </c>
      <c r="D4125" s="3">
        <f>IFERROR(__xludf.DUMMYFUNCTION("""COMPUTED_VALUE"""),14.0)</f>
        <v>14</v>
      </c>
      <c r="E4125" s="1" t="str">
        <f t="array" ref="E4125">_xlfn.XLOOKUP(A4125,Product!A:A,Product!B:B,"Bulunamadı")</f>
        <v>Arts</v>
      </c>
      <c r="F4125" s="1" t="str">
        <f t="array" ref="F4125">_xlfn.XLOOKUP(A4125,Product!A:A,Product!C:C,"Bulunamadı")</f>
        <v>Networking</v>
      </c>
      <c r="G4125" s="2" t="str">
        <f t="array" ref="G4125">_xlfn.XLOOKUP(A4126,Product!A:A,Product!D:D,"Bulunamadı")</f>
        <v>Northlight House</v>
      </c>
      <c r="H4125" s="2">
        <f t="array" ref="H4125">_xlfn.XLOOKUP(A4127,Product!A:A,Product!E:E,"Bulunamadı")</f>
        <v>0.8</v>
      </c>
      <c r="I4125" s="2" t="str">
        <f t="shared" si="1"/>
        <v>117919 - Arts - Networking</v>
      </c>
      <c r="J4125" s="2">
        <f t="shared" si="2"/>
        <v>11.2</v>
      </c>
      <c r="K4125" s="17">
        <f t="shared" si="3"/>
        <v>1</v>
      </c>
      <c r="L4125" s="18"/>
    </row>
    <row r="4126">
      <c r="A4126" s="2">
        <f>IFERROR(__xludf.DUMMYFUNCTION("""COMPUTED_VALUE"""),71228.0)</f>
        <v>71228</v>
      </c>
      <c r="B4126" s="2">
        <f>IFERROR(__xludf.DUMMYFUNCTION("""COMPUTED_VALUE"""),0.0)</f>
        <v>0</v>
      </c>
      <c r="C4126" s="2">
        <f>IFERROR(__xludf.DUMMYFUNCTION("""COMPUTED_VALUE"""),680.0)</f>
        <v>680</v>
      </c>
      <c r="D4126" s="3">
        <f>IFERROR(__xludf.DUMMYFUNCTION("""COMPUTED_VALUE"""),522.0)</f>
        <v>522</v>
      </c>
      <c r="E4126" s="1" t="str">
        <f t="array" ref="E4126">_xlfn.XLOOKUP(A4126,Product!A:A,Product!B:B,"Bulunamadı")</f>
        <v>Arts</v>
      </c>
      <c r="F4126" s="1" t="str">
        <f t="array" ref="F4126">_xlfn.XLOOKUP(A4126,Product!A:A,Product!C:C,"Bulunamadı")</f>
        <v>Blockchain</v>
      </c>
      <c r="G4126" s="2" t="str">
        <f t="array" ref="G4126">_xlfn.XLOOKUP(A4127,Product!A:A,Product!D:D,"Bulunamadı")</f>
        <v>Northlight House</v>
      </c>
      <c r="H4126" s="2">
        <f t="array" ref="H4126">_xlfn.XLOOKUP(A4128,Product!A:A,Product!E:E,"Bulunamadı")</f>
        <v>1.42</v>
      </c>
      <c r="I4126" s="2" t="str">
        <f t="shared" si="1"/>
        <v>71228 - Arts - Blockchain</v>
      </c>
      <c r="J4126" s="2">
        <f t="shared" si="2"/>
        <v>741.24</v>
      </c>
      <c r="K4126" s="17">
        <f t="shared" si="3"/>
        <v>1</v>
      </c>
      <c r="L4126" s="18"/>
    </row>
    <row r="4127">
      <c r="A4127" s="2">
        <f>IFERROR(__xludf.DUMMYFUNCTION("""COMPUTED_VALUE"""),67264.0)</f>
        <v>67264</v>
      </c>
      <c r="B4127" s="2">
        <f>IFERROR(__xludf.DUMMYFUNCTION("""COMPUTED_VALUE"""),1.0)</f>
        <v>1</v>
      </c>
      <c r="C4127" s="2">
        <f>IFERROR(__xludf.DUMMYFUNCTION("""COMPUTED_VALUE"""),68.0)</f>
        <v>68</v>
      </c>
      <c r="D4127" s="3">
        <f>IFERROR(__xludf.DUMMYFUNCTION("""COMPUTED_VALUE"""),44.0)</f>
        <v>44</v>
      </c>
      <c r="E4127" s="1" t="str">
        <f t="array" ref="E4127">_xlfn.XLOOKUP(A4127,Product!A:A,Product!B:B,"Bulunamadı")</f>
        <v>Arts</v>
      </c>
      <c r="F4127" s="1" t="str">
        <f t="array" ref="F4127">_xlfn.XLOOKUP(A4127,Product!A:A,Product!C:C,"Bulunamadı")</f>
        <v>Blockchain</v>
      </c>
      <c r="G4127" s="2" t="str">
        <f t="array" ref="G4127">_xlfn.XLOOKUP(A4128,Product!A:A,Product!D:D,"Bulunamadı")</f>
        <v>Northlight House</v>
      </c>
      <c r="H4127" s="2">
        <f t="array" ref="H4127">_xlfn.XLOOKUP(A4129,Product!A:A,Product!E:E,"Bulunamadı")</f>
        <v>1.5</v>
      </c>
      <c r="I4127" s="2" t="str">
        <f t="shared" si="1"/>
        <v>67264 - Arts - Blockchain</v>
      </c>
      <c r="J4127" s="2">
        <f t="shared" si="2"/>
        <v>66</v>
      </c>
      <c r="K4127" s="17">
        <f t="shared" si="3"/>
        <v>1</v>
      </c>
      <c r="L4127" s="18"/>
    </row>
    <row r="4128">
      <c r="A4128" s="2">
        <f>IFERROR(__xludf.DUMMYFUNCTION("""COMPUTED_VALUE"""),82984.0)</f>
        <v>82984</v>
      </c>
      <c r="B4128" s="2">
        <f>IFERROR(__xludf.DUMMYFUNCTION("""COMPUTED_VALUE"""),1.0)</f>
        <v>1</v>
      </c>
      <c r="C4128" s="2">
        <f>IFERROR(__xludf.DUMMYFUNCTION("""COMPUTED_VALUE"""),503.0)</f>
        <v>503</v>
      </c>
      <c r="D4128" s="3">
        <f>IFERROR(__xludf.DUMMYFUNCTION("""COMPUTED_VALUE"""),292.0)</f>
        <v>292</v>
      </c>
      <c r="E4128" s="1" t="str">
        <f t="array" ref="E4128">_xlfn.XLOOKUP(A4128,Product!A:A,Product!B:B,"Bulunamadı")</f>
        <v>Arts</v>
      </c>
      <c r="F4128" s="1" t="str">
        <f t="array" ref="F4128">_xlfn.XLOOKUP(A4128,Product!A:A,Product!C:C,"Bulunamadı")</f>
        <v>Blockchain</v>
      </c>
      <c r="G4128" s="2" t="str">
        <f t="array" ref="G4128">_xlfn.XLOOKUP(A4129,Product!A:A,Product!D:D,"Bulunamadı")</f>
        <v>Northlight House</v>
      </c>
      <c r="H4128" s="2">
        <f t="array" ref="H4128">_xlfn.XLOOKUP(A4130,Product!A:A,Product!E:E,"Bulunamadı")</f>
        <v>1.15</v>
      </c>
      <c r="I4128" s="2" t="str">
        <f t="shared" si="1"/>
        <v>82984 - Arts - Blockchain</v>
      </c>
      <c r="J4128" s="2">
        <f t="shared" si="2"/>
        <v>335.8</v>
      </c>
      <c r="K4128" s="17">
        <f t="shared" si="3"/>
        <v>1</v>
      </c>
      <c r="L4128" s="18"/>
    </row>
    <row r="4129">
      <c r="A4129" s="2">
        <f>IFERROR(__xludf.DUMMYFUNCTION("""COMPUTED_VALUE"""),86420.0)</f>
        <v>86420</v>
      </c>
      <c r="B4129" s="2">
        <f>IFERROR(__xludf.DUMMYFUNCTION("""COMPUTED_VALUE"""),0.0)</f>
        <v>0</v>
      </c>
      <c r="C4129" s="2">
        <f>IFERROR(__xludf.DUMMYFUNCTION("""COMPUTED_VALUE"""),877.0)</f>
        <v>877</v>
      </c>
      <c r="D4129" s="3">
        <f>IFERROR(__xludf.DUMMYFUNCTION("""COMPUTED_VALUE"""),235.0)</f>
        <v>235</v>
      </c>
      <c r="E4129" s="1" t="str">
        <f t="array" ref="E4129">_xlfn.XLOOKUP(A4129,Product!A:A,Product!B:B,"Bulunamadı")</f>
        <v>Arts</v>
      </c>
      <c r="F4129" s="1" t="str">
        <f t="array" ref="F4129">_xlfn.XLOOKUP(A4129,Product!A:A,Product!C:C,"Bulunamadı")</f>
        <v>Blockchain</v>
      </c>
      <c r="G4129" s="2" t="str">
        <f t="array" ref="G4129">_xlfn.XLOOKUP(A4130,Product!A:A,Product!D:D,"Bulunamadı")</f>
        <v>Northlight House</v>
      </c>
      <c r="H4129" s="2">
        <f t="array" ref="H4129">_xlfn.XLOOKUP(A4131,Product!A:A,Product!E:E,"Bulunamadı")</f>
        <v>0.6</v>
      </c>
      <c r="I4129" s="2" t="str">
        <f t="shared" si="1"/>
        <v>86420 - Arts - Blockchain</v>
      </c>
      <c r="J4129" s="2">
        <f t="shared" si="2"/>
        <v>141</v>
      </c>
      <c r="K4129" s="17">
        <f t="shared" si="3"/>
        <v>1</v>
      </c>
      <c r="L4129" s="18"/>
    </row>
    <row r="4130">
      <c r="A4130" s="2">
        <f>IFERROR(__xludf.DUMMYFUNCTION("""COMPUTED_VALUE"""),71227.0)</f>
        <v>71227</v>
      </c>
      <c r="B4130" s="2">
        <f>IFERROR(__xludf.DUMMYFUNCTION("""COMPUTED_VALUE"""),1.0)</f>
        <v>1</v>
      </c>
      <c r="C4130" s="2">
        <f>IFERROR(__xludf.DUMMYFUNCTION("""COMPUTED_VALUE"""),893.0)</f>
        <v>893</v>
      </c>
      <c r="D4130" s="3">
        <f>IFERROR(__xludf.DUMMYFUNCTION("""COMPUTED_VALUE"""),537.0)</f>
        <v>537</v>
      </c>
      <c r="E4130" s="1" t="str">
        <f t="array" ref="E4130">_xlfn.XLOOKUP(A4130,Product!A:A,Product!B:B,"Bulunamadı")</f>
        <v>Arts</v>
      </c>
      <c r="F4130" s="1" t="str">
        <f t="array" ref="F4130">_xlfn.XLOOKUP(A4130,Product!A:A,Product!C:C,"Bulunamadı")</f>
        <v>Blockchain</v>
      </c>
      <c r="G4130" s="2" t="str">
        <f t="array" ref="G4130">_xlfn.XLOOKUP(A4131,Product!A:A,Product!D:D,"Bulunamadı")</f>
        <v>Northlight House</v>
      </c>
      <c r="H4130" s="2">
        <f t="array" ref="H4130">_xlfn.XLOOKUP(A4132,Product!A:A,Product!E:E,"Bulunamadı")</f>
        <v>0.48</v>
      </c>
      <c r="I4130" s="2" t="str">
        <f t="shared" si="1"/>
        <v>71227 - Arts - Blockchain</v>
      </c>
      <c r="J4130" s="2">
        <f t="shared" si="2"/>
        <v>257.76</v>
      </c>
      <c r="K4130" s="17">
        <f t="shared" si="3"/>
        <v>1</v>
      </c>
      <c r="L4130" s="18"/>
    </row>
    <row r="4131">
      <c r="A4131" s="2">
        <f>IFERROR(__xludf.DUMMYFUNCTION("""COMPUTED_VALUE"""),18055.0)</f>
        <v>18055</v>
      </c>
      <c r="B4131" s="2">
        <f>IFERROR(__xludf.DUMMYFUNCTION("""COMPUTED_VALUE"""),1.0)</f>
        <v>1</v>
      </c>
      <c r="C4131" s="2">
        <f>IFERROR(__xludf.DUMMYFUNCTION("""COMPUTED_VALUE"""),733.0)</f>
        <v>733</v>
      </c>
      <c r="D4131" s="3">
        <f>IFERROR(__xludf.DUMMYFUNCTION("""COMPUTED_VALUE"""),270.0)</f>
        <v>270</v>
      </c>
      <c r="E4131" s="1" t="str">
        <f t="array" ref="E4131">_xlfn.XLOOKUP(A4131,Product!A:A,Product!B:B,"Bulunamadı")</f>
        <v>Arts</v>
      </c>
      <c r="F4131" s="1" t="str">
        <f t="array" ref="F4131">_xlfn.XLOOKUP(A4131,Product!A:A,Product!C:C,"Bulunamadı")</f>
        <v>Blockchain</v>
      </c>
      <c r="G4131" s="2" t="str">
        <f t="array" ref="G4131">_xlfn.XLOOKUP(A4132,Product!A:A,Product!D:D,"Bulunamadı")</f>
        <v>Northlight House</v>
      </c>
      <c r="H4131" s="2">
        <f t="array" ref="H4131">_xlfn.XLOOKUP(A4133,Product!A:A,Product!E:E,"Bulunamadı")</f>
        <v>1.49</v>
      </c>
      <c r="I4131" s="2" t="str">
        <f t="shared" si="1"/>
        <v>18055 - Arts - Blockchain</v>
      </c>
      <c r="J4131" s="2">
        <f t="shared" si="2"/>
        <v>402.3</v>
      </c>
      <c r="K4131" s="17">
        <f t="shared" si="3"/>
        <v>1</v>
      </c>
      <c r="L4131" s="18"/>
    </row>
    <row r="4132">
      <c r="A4132" s="2">
        <f>IFERROR(__xludf.DUMMYFUNCTION("""COMPUTED_VALUE"""),82989.0)</f>
        <v>82989</v>
      </c>
      <c r="B4132" s="2">
        <f>IFERROR(__xludf.DUMMYFUNCTION("""COMPUTED_VALUE"""),0.0)</f>
        <v>0</v>
      </c>
      <c r="C4132" s="2">
        <f>IFERROR(__xludf.DUMMYFUNCTION("""COMPUTED_VALUE"""),106.0)</f>
        <v>106</v>
      </c>
      <c r="D4132" s="3">
        <f>IFERROR(__xludf.DUMMYFUNCTION("""COMPUTED_VALUE"""),61.0)</f>
        <v>61</v>
      </c>
      <c r="E4132" s="1" t="str">
        <f t="array" ref="E4132">_xlfn.XLOOKUP(A4132,Product!A:A,Product!B:B,"Bulunamadı")</f>
        <v>Arts</v>
      </c>
      <c r="F4132" s="1" t="str">
        <f t="array" ref="F4132">_xlfn.XLOOKUP(A4132,Product!A:A,Product!C:C,"Bulunamadı")</f>
        <v>Blockchain</v>
      </c>
      <c r="G4132" s="2" t="str">
        <f t="array" ref="G4132">_xlfn.XLOOKUP(A4133,Product!A:A,Product!D:D,"Bulunamadı")</f>
        <v>Northlight House</v>
      </c>
      <c r="H4132" s="2">
        <f t="array" ref="H4132">_xlfn.XLOOKUP(A4134,Product!A:A,Product!E:E,"Bulunamadı")</f>
        <v>0.78</v>
      </c>
      <c r="I4132" s="2" t="str">
        <f t="shared" si="1"/>
        <v>82989 - Arts - Blockchain</v>
      </c>
      <c r="J4132" s="2">
        <f t="shared" si="2"/>
        <v>47.58</v>
      </c>
      <c r="K4132" s="17">
        <f t="shared" si="3"/>
        <v>1</v>
      </c>
      <c r="L4132" s="18"/>
    </row>
    <row r="4133">
      <c r="A4133" s="2">
        <f>IFERROR(__xludf.DUMMYFUNCTION("""COMPUTED_VALUE"""),86438.0)</f>
        <v>86438</v>
      </c>
      <c r="B4133" s="2">
        <f>IFERROR(__xludf.DUMMYFUNCTION("""COMPUTED_VALUE"""),1.0)</f>
        <v>1</v>
      </c>
      <c r="C4133" s="2">
        <f>IFERROR(__xludf.DUMMYFUNCTION("""COMPUTED_VALUE"""),494.0)</f>
        <v>494</v>
      </c>
      <c r="D4133" s="3">
        <f>IFERROR(__xludf.DUMMYFUNCTION("""COMPUTED_VALUE"""),223.0)</f>
        <v>223</v>
      </c>
      <c r="E4133" s="1" t="str">
        <f t="array" ref="E4133">_xlfn.XLOOKUP(A4133,Product!A:A,Product!B:B,"Bulunamadı")</f>
        <v>Arts</v>
      </c>
      <c r="F4133" s="1" t="str">
        <f t="array" ref="F4133">_xlfn.XLOOKUP(A4133,Product!A:A,Product!C:C,"Bulunamadı")</f>
        <v>Blockchain</v>
      </c>
      <c r="G4133" s="2" t="str">
        <f t="array" ref="G4133">_xlfn.XLOOKUP(A4134,Product!A:A,Product!D:D,"Bulunamadı")</f>
        <v>Northlight House</v>
      </c>
      <c r="H4133" s="2">
        <f t="array" ref="H4133">_xlfn.XLOOKUP(A4135,Product!A:A,Product!E:E,"Bulunamadı")</f>
        <v>0.71</v>
      </c>
      <c r="I4133" s="2" t="str">
        <f t="shared" si="1"/>
        <v>86438 - Arts - Blockchain</v>
      </c>
      <c r="J4133" s="2">
        <f t="shared" si="2"/>
        <v>158.33</v>
      </c>
      <c r="K4133" s="17">
        <f t="shared" si="3"/>
        <v>1</v>
      </c>
      <c r="L4133" s="18"/>
    </row>
    <row r="4134">
      <c r="A4134" s="2">
        <f>IFERROR(__xludf.DUMMYFUNCTION("""COMPUTED_VALUE"""),18061.0)</f>
        <v>18061</v>
      </c>
      <c r="B4134" s="2">
        <f>IFERROR(__xludf.DUMMYFUNCTION("""COMPUTED_VALUE"""),1.0)</f>
        <v>1</v>
      </c>
      <c r="C4134" s="2">
        <f>IFERROR(__xludf.DUMMYFUNCTION("""COMPUTED_VALUE"""),246.0)</f>
        <v>246</v>
      </c>
      <c r="D4134" s="3">
        <f>IFERROR(__xludf.DUMMYFUNCTION("""COMPUTED_VALUE"""),206.0)</f>
        <v>206</v>
      </c>
      <c r="E4134" s="1" t="str">
        <f t="array" ref="E4134">_xlfn.XLOOKUP(A4134,Product!A:A,Product!B:B,"Bulunamadı")</f>
        <v>Arts</v>
      </c>
      <c r="F4134" s="1" t="str">
        <f t="array" ref="F4134">_xlfn.XLOOKUP(A4134,Product!A:A,Product!C:C,"Bulunamadı")</f>
        <v>Blockchain</v>
      </c>
      <c r="G4134" s="2" t="str">
        <f t="array" ref="G4134">_xlfn.XLOOKUP(A4135,Product!A:A,Product!D:D,"Bulunamadı")</f>
        <v>Northlight House</v>
      </c>
      <c r="H4134" s="2">
        <f t="array" ref="H4134">_xlfn.XLOOKUP(A4136,Product!A:A,Product!E:E,"Bulunamadı")</f>
        <v>1.71</v>
      </c>
      <c r="I4134" s="2" t="str">
        <f t="shared" si="1"/>
        <v>18061 - Arts - Blockchain</v>
      </c>
      <c r="J4134" s="2">
        <f t="shared" si="2"/>
        <v>352.26</v>
      </c>
      <c r="K4134" s="17">
        <f t="shared" si="3"/>
        <v>1</v>
      </c>
      <c r="L4134" s="18"/>
    </row>
    <row r="4135">
      <c r="A4135" s="2">
        <f>IFERROR(__xludf.DUMMYFUNCTION("""COMPUTED_VALUE"""),67265.0)</f>
        <v>67265</v>
      </c>
      <c r="B4135" s="2">
        <f>IFERROR(__xludf.DUMMYFUNCTION("""COMPUTED_VALUE"""),1.0)</f>
        <v>1</v>
      </c>
      <c r="C4135" s="2">
        <f>IFERROR(__xludf.DUMMYFUNCTION("""COMPUTED_VALUE"""),288.0)</f>
        <v>288</v>
      </c>
      <c r="D4135" s="3">
        <f>IFERROR(__xludf.DUMMYFUNCTION("""COMPUTED_VALUE"""),144.0)</f>
        <v>144</v>
      </c>
      <c r="E4135" s="1" t="str">
        <f t="array" ref="E4135">_xlfn.XLOOKUP(A4135,Product!A:A,Product!B:B,"Bulunamadı")</f>
        <v>Arts</v>
      </c>
      <c r="F4135" s="1" t="str">
        <f t="array" ref="F4135">_xlfn.XLOOKUP(A4135,Product!A:A,Product!C:C,"Bulunamadı")</f>
        <v>Blockchain</v>
      </c>
      <c r="G4135" s="2" t="str">
        <f t="array" ref="G4135">_xlfn.XLOOKUP(A4136,Product!A:A,Product!D:D,"Bulunamadı")</f>
        <v>Northlight House</v>
      </c>
      <c r="H4135" s="2">
        <f t="array" ref="H4135">_xlfn.XLOOKUP(A4137,Product!A:A,Product!E:E,"Bulunamadı")</f>
        <v>1.29</v>
      </c>
      <c r="I4135" s="2" t="str">
        <f t="shared" si="1"/>
        <v>67265 - Arts - Blockchain</v>
      </c>
      <c r="J4135" s="2">
        <f t="shared" si="2"/>
        <v>185.76</v>
      </c>
      <c r="K4135" s="17">
        <f t="shared" si="3"/>
        <v>1</v>
      </c>
      <c r="L4135" s="18"/>
    </row>
    <row r="4136">
      <c r="A4136" s="2">
        <f>IFERROR(__xludf.DUMMYFUNCTION("""COMPUTED_VALUE"""),69552.0)</f>
        <v>69552</v>
      </c>
      <c r="B4136" s="2">
        <f>IFERROR(__xludf.DUMMYFUNCTION("""COMPUTED_VALUE"""),1.0)</f>
        <v>1</v>
      </c>
      <c r="C4136" s="2">
        <f>IFERROR(__xludf.DUMMYFUNCTION("""COMPUTED_VALUE"""),939.0)</f>
        <v>939</v>
      </c>
      <c r="D4136" s="3">
        <f>IFERROR(__xludf.DUMMYFUNCTION("""COMPUTED_VALUE"""),297.0)</f>
        <v>297</v>
      </c>
      <c r="E4136" s="1" t="str">
        <f t="array" ref="E4136">_xlfn.XLOOKUP(A4136,Product!A:A,Product!B:B,"Bulunamadı")</f>
        <v>Arts</v>
      </c>
      <c r="F4136" s="1" t="str">
        <f t="array" ref="F4136">_xlfn.XLOOKUP(A4136,Product!A:A,Product!C:C,"Bulunamadı")</f>
        <v>Blockchain</v>
      </c>
      <c r="G4136" s="2" t="str">
        <f t="array" ref="G4136">_xlfn.XLOOKUP(A4137,Product!A:A,Product!D:D,"Bulunamadı")</f>
        <v>Harborlight House</v>
      </c>
      <c r="H4136" s="2">
        <f t="array" ref="H4136">_xlfn.XLOOKUP(A4138,Product!A:A,Product!E:E,"Bulunamadı")</f>
        <v>2.05</v>
      </c>
      <c r="I4136" s="2" t="str">
        <f t="shared" si="1"/>
        <v>69552 - Arts - Blockchain</v>
      </c>
      <c r="J4136" s="2">
        <f t="shared" si="2"/>
        <v>608.85</v>
      </c>
      <c r="K4136" s="17">
        <f t="shared" si="3"/>
        <v>1</v>
      </c>
      <c r="L4136" s="18"/>
    </row>
    <row r="4137">
      <c r="A4137" s="2">
        <f>IFERROR(__xludf.DUMMYFUNCTION("""COMPUTED_VALUE"""),110955.0)</f>
        <v>110955</v>
      </c>
      <c r="B4137" s="2">
        <f>IFERROR(__xludf.DUMMYFUNCTION("""COMPUTED_VALUE"""),1.0)</f>
        <v>1</v>
      </c>
      <c r="C4137" s="2">
        <f>IFERROR(__xludf.DUMMYFUNCTION("""COMPUTED_VALUE"""),948.0)</f>
        <v>948</v>
      </c>
      <c r="D4137" s="3">
        <f>IFERROR(__xludf.DUMMYFUNCTION("""COMPUTED_VALUE"""),844.0)</f>
        <v>844</v>
      </c>
      <c r="E4137" s="1" t="str">
        <f t="array" ref="E4137">_xlfn.XLOOKUP(A4137,Product!A:A,Product!B:B,"Bulunamadı")</f>
        <v>Arts</v>
      </c>
      <c r="F4137" s="1" t="str">
        <f t="array" ref="F4137">_xlfn.XLOOKUP(A4137,Product!A:A,Product!C:C,"Bulunamadı")</f>
        <v>Blockchain</v>
      </c>
      <c r="G4137" s="2" t="str">
        <f t="array" ref="G4137">_xlfn.XLOOKUP(A4138,Product!A:A,Product!D:D,"Bulunamadı")</f>
        <v>Harborlight House</v>
      </c>
      <c r="H4137" s="2">
        <f t="array" ref="H4137">_xlfn.XLOOKUP(A4139,Product!A:A,Product!E:E,"Bulunamadı")</f>
        <v>3.06</v>
      </c>
      <c r="I4137" s="2" t="str">
        <f t="shared" si="1"/>
        <v>110955 - Arts - Blockchain</v>
      </c>
      <c r="J4137" s="2">
        <f t="shared" si="2"/>
        <v>2582.64</v>
      </c>
      <c r="K4137" s="17">
        <f t="shared" si="3"/>
        <v>1</v>
      </c>
      <c r="L4137" s="18"/>
    </row>
    <row r="4138">
      <c r="A4138" s="2">
        <f>IFERROR(__xludf.DUMMYFUNCTION("""COMPUTED_VALUE"""),79505.0)</f>
        <v>79505</v>
      </c>
      <c r="B4138" s="2">
        <f>IFERROR(__xludf.DUMMYFUNCTION("""COMPUTED_VALUE"""),1.0)</f>
        <v>1</v>
      </c>
      <c r="C4138" s="2">
        <f>IFERROR(__xludf.DUMMYFUNCTION("""COMPUTED_VALUE"""),880.0)</f>
        <v>880</v>
      </c>
      <c r="D4138" s="3">
        <f>IFERROR(__xludf.DUMMYFUNCTION("""COMPUTED_VALUE"""),201.0)</f>
        <v>201</v>
      </c>
      <c r="E4138" s="1" t="str">
        <f t="array" ref="E4138">_xlfn.XLOOKUP(A4138,Product!A:A,Product!B:B,"Bulunamadı")</f>
        <v>Arts</v>
      </c>
      <c r="F4138" s="1" t="str">
        <f t="array" ref="F4138">_xlfn.XLOOKUP(A4138,Product!A:A,Product!C:C,"Bulunamadı")</f>
        <v>Blockchain</v>
      </c>
      <c r="G4138" s="2" t="str">
        <f t="array" ref="G4138">_xlfn.XLOOKUP(A4139,Product!A:A,Product!D:D,"Bulunamadı")</f>
        <v>Harborlight House</v>
      </c>
      <c r="H4138" s="2">
        <f t="array" ref="H4138">_xlfn.XLOOKUP(A4140,Product!A:A,Product!E:E,"Bulunamadı")</f>
        <v>1.88</v>
      </c>
      <c r="I4138" s="2" t="str">
        <f t="shared" si="1"/>
        <v>79505 - Arts - Blockchain</v>
      </c>
      <c r="J4138" s="2">
        <f t="shared" si="2"/>
        <v>377.88</v>
      </c>
      <c r="K4138" s="17">
        <f t="shared" si="3"/>
        <v>1</v>
      </c>
      <c r="L4138" s="18"/>
    </row>
    <row r="4139">
      <c r="A4139" s="2">
        <f>IFERROR(__xludf.DUMMYFUNCTION("""COMPUTED_VALUE"""),110943.0)</f>
        <v>110943</v>
      </c>
      <c r="B4139" s="2">
        <f>IFERROR(__xludf.DUMMYFUNCTION("""COMPUTED_VALUE"""),0.0)</f>
        <v>0</v>
      </c>
      <c r="C4139" s="2">
        <f>IFERROR(__xludf.DUMMYFUNCTION("""COMPUTED_VALUE"""),80.0)</f>
        <v>80</v>
      </c>
      <c r="D4139" s="3">
        <f>IFERROR(__xludf.DUMMYFUNCTION("""COMPUTED_VALUE"""),22.0)</f>
        <v>22</v>
      </c>
      <c r="E4139" s="1" t="str">
        <f t="array" ref="E4139">_xlfn.XLOOKUP(A4139,Product!A:A,Product!B:B,"Bulunamadı")</f>
        <v>Arts</v>
      </c>
      <c r="F4139" s="1" t="str">
        <f t="array" ref="F4139">_xlfn.XLOOKUP(A4139,Product!A:A,Product!C:C,"Bulunamadı")</f>
        <v>Blockchain</v>
      </c>
      <c r="G4139" s="2" t="str">
        <f t="array" ref="G4139">_xlfn.XLOOKUP(A4140,Product!A:A,Product!D:D,"Bulunamadı")</f>
        <v>Harborlight House</v>
      </c>
      <c r="H4139" s="2">
        <f t="array" ref="H4139">_xlfn.XLOOKUP(A4141,Product!A:A,Product!E:E,"Bulunamadı")</f>
        <v>1.71</v>
      </c>
      <c r="I4139" s="2" t="str">
        <f t="shared" si="1"/>
        <v>110943 - Arts - Blockchain</v>
      </c>
      <c r="J4139" s="2">
        <f t="shared" si="2"/>
        <v>37.62</v>
      </c>
      <c r="K4139" s="17">
        <f t="shared" si="3"/>
        <v>1</v>
      </c>
      <c r="L4139" s="18"/>
    </row>
    <row r="4140">
      <c r="A4140" s="2">
        <f>IFERROR(__xludf.DUMMYFUNCTION("""COMPUTED_VALUE"""),119048.0)</f>
        <v>119048</v>
      </c>
      <c r="B4140" s="2">
        <f>IFERROR(__xludf.DUMMYFUNCTION("""COMPUTED_VALUE"""),0.0)</f>
        <v>0</v>
      </c>
      <c r="C4140" s="2">
        <f>IFERROR(__xludf.DUMMYFUNCTION("""COMPUTED_VALUE"""),202.0)</f>
        <v>202</v>
      </c>
      <c r="D4140" s="3">
        <f>IFERROR(__xludf.DUMMYFUNCTION("""COMPUTED_VALUE"""),155.0)</f>
        <v>155</v>
      </c>
      <c r="E4140" s="1" t="str">
        <f t="array" ref="E4140">_xlfn.XLOOKUP(A4140,Product!A:A,Product!B:B,"Bulunamadı")</f>
        <v>Arts</v>
      </c>
      <c r="F4140" s="1" t="str">
        <f t="array" ref="F4140">_xlfn.XLOOKUP(A4140,Product!A:A,Product!C:C,"Bulunamadı")</f>
        <v>Blockchain</v>
      </c>
      <c r="G4140" s="2" t="str">
        <f t="array" ref="G4140">_xlfn.XLOOKUP(A4141,Product!A:A,Product!D:D,"Bulunamadı")</f>
        <v>Harborlight House</v>
      </c>
      <c r="H4140" s="2">
        <f t="array" ref="H4140">_xlfn.XLOOKUP(A4142,Product!A:A,Product!E:E,"Bulunamadı")</f>
        <v>1.22</v>
      </c>
      <c r="I4140" s="2" t="str">
        <f t="shared" si="1"/>
        <v>119048 - Arts - Blockchain</v>
      </c>
      <c r="J4140" s="2">
        <f t="shared" si="2"/>
        <v>189.1</v>
      </c>
      <c r="K4140" s="17">
        <f t="shared" si="3"/>
        <v>1</v>
      </c>
      <c r="L4140" s="18"/>
    </row>
    <row r="4141">
      <c r="A4141" s="2">
        <f>IFERROR(__xludf.DUMMYFUNCTION("""COMPUTED_VALUE"""),42695.0)</f>
        <v>42695</v>
      </c>
      <c r="B4141" s="2">
        <f>IFERROR(__xludf.DUMMYFUNCTION("""COMPUTED_VALUE"""),1.0)</f>
        <v>1</v>
      </c>
      <c r="C4141" s="2">
        <f>IFERROR(__xludf.DUMMYFUNCTION("""COMPUTED_VALUE"""),360.0)</f>
        <v>360</v>
      </c>
      <c r="D4141" s="3">
        <f>IFERROR(__xludf.DUMMYFUNCTION("""COMPUTED_VALUE"""),39.0)</f>
        <v>39</v>
      </c>
      <c r="E4141" s="1" t="str">
        <f t="array" ref="E4141">_xlfn.XLOOKUP(A4141,Product!A:A,Product!B:B,"Bulunamadı")</f>
        <v>Arts</v>
      </c>
      <c r="F4141" s="1" t="str">
        <f t="array" ref="F4141">_xlfn.XLOOKUP(A4141,Product!A:A,Product!C:C,"Bulunamadı")</f>
        <v>Blockchain</v>
      </c>
      <c r="G4141" s="2" t="str">
        <f t="array" ref="G4141">_xlfn.XLOOKUP(A4142,Product!A:A,Product!D:D,"Bulunamadı")</f>
        <v>Harborlight House</v>
      </c>
      <c r="H4141" s="2">
        <f t="array" ref="H4141">_xlfn.XLOOKUP(A4143,Product!A:A,Product!E:E,"Bulunamadı")</f>
        <v>1.92</v>
      </c>
      <c r="I4141" s="2" t="str">
        <f t="shared" si="1"/>
        <v>42695 - Arts - Blockchain</v>
      </c>
      <c r="J4141" s="2">
        <f t="shared" si="2"/>
        <v>74.88</v>
      </c>
      <c r="K4141" s="17">
        <f t="shared" si="3"/>
        <v>1</v>
      </c>
      <c r="L4141" s="18"/>
    </row>
    <row r="4142">
      <c r="A4142" s="2">
        <f>IFERROR(__xludf.DUMMYFUNCTION("""COMPUTED_VALUE"""),88980.0)</f>
        <v>88980</v>
      </c>
      <c r="B4142" s="2">
        <f>IFERROR(__xludf.DUMMYFUNCTION("""COMPUTED_VALUE"""),0.0)</f>
        <v>0</v>
      </c>
      <c r="C4142" s="2">
        <f>IFERROR(__xludf.DUMMYFUNCTION("""COMPUTED_VALUE"""),101.0)</f>
        <v>101</v>
      </c>
      <c r="D4142" s="3">
        <f>IFERROR(__xludf.DUMMYFUNCTION("""COMPUTED_VALUE"""),28.0)</f>
        <v>28</v>
      </c>
      <c r="E4142" s="1" t="str">
        <f t="array" ref="E4142">_xlfn.XLOOKUP(A4142,Product!A:A,Product!B:B,"Bulunamadı")</f>
        <v>Arts</v>
      </c>
      <c r="F4142" s="1" t="str">
        <f t="array" ref="F4142">_xlfn.XLOOKUP(A4142,Product!A:A,Product!C:C,"Bulunamadı")</f>
        <v>Blockchain</v>
      </c>
      <c r="G4142" s="2" t="str">
        <f t="array" ref="G4142">_xlfn.XLOOKUP(A4143,Product!A:A,Product!D:D,"Bulunamadı")</f>
        <v>Harborlight House</v>
      </c>
      <c r="H4142" s="2">
        <f t="array" ref="H4142">_xlfn.XLOOKUP(A4144,Product!A:A,Product!E:E,"Bulunamadı")</f>
        <v>1.26</v>
      </c>
      <c r="I4142" s="2" t="str">
        <f t="shared" si="1"/>
        <v>88980 - Arts - Blockchain</v>
      </c>
      <c r="J4142" s="2">
        <f t="shared" si="2"/>
        <v>35.28</v>
      </c>
      <c r="K4142" s="17">
        <f t="shared" si="3"/>
        <v>1</v>
      </c>
      <c r="L4142" s="18"/>
    </row>
    <row r="4143">
      <c r="A4143" s="2">
        <f>IFERROR(__xludf.DUMMYFUNCTION("""COMPUTED_VALUE"""),149507.0)</f>
        <v>149507</v>
      </c>
      <c r="B4143" s="2">
        <f>IFERROR(__xludf.DUMMYFUNCTION("""COMPUTED_VALUE"""),0.0)</f>
        <v>0</v>
      </c>
      <c r="C4143" s="2">
        <f>IFERROR(__xludf.DUMMYFUNCTION("""COMPUTED_VALUE"""),503.0)</f>
        <v>503</v>
      </c>
      <c r="D4143" s="3">
        <f>IFERROR(__xludf.DUMMYFUNCTION("""COMPUTED_VALUE"""),396.0)</f>
        <v>396</v>
      </c>
      <c r="E4143" s="1" t="str">
        <f t="array" ref="E4143">_xlfn.XLOOKUP(A4143,Product!A:A,Product!B:B,"Bulunamadı")</f>
        <v>Arts</v>
      </c>
      <c r="F4143" s="1" t="str">
        <f t="array" ref="F4143">_xlfn.XLOOKUP(A4143,Product!A:A,Product!C:C,"Bulunamadı")</f>
        <v>Blockchain</v>
      </c>
      <c r="G4143" s="2" t="str">
        <f t="array" ref="G4143">_xlfn.XLOOKUP(A4144,Product!A:A,Product!D:D,"Bulunamadı")</f>
        <v>Harborlight House</v>
      </c>
      <c r="H4143" s="2">
        <f t="array" ref="H4143">_xlfn.XLOOKUP(A4145,Product!A:A,Product!E:E,"Bulunamadı")</f>
        <v>1.63</v>
      </c>
      <c r="I4143" s="2" t="str">
        <f t="shared" si="1"/>
        <v>149507 - Arts - Blockchain</v>
      </c>
      <c r="J4143" s="2">
        <f t="shared" si="2"/>
        <v>645.48</v>
      </c>
      <c r="K4143" s="17">
        <f t="shared" si="3"/>
        <v>1</v>
      </c>
      <c r="L4143" s="18"/>
    </row>
    <row r="4144">
      <c r="A4144" s="2">
        <f>IFERROR(__xludf.DUMMYFUNCTION("""COMPUTED_VALUE"""),86988.0)</f>
        <v>86988</v>
      </c>
      <c r="B4144" s="2">
        <f>IFERROR(__xludf.DUMMYFUNCTION("""COMPUTED_VALUE"""),1.0)</f>
        <v>1</v>
      </c>
      <c r="C4144" s="2">
        <f>IFERROR(__xludf.DUMMYFUNCTION("""COMPUTED_VALUE"""),401.0)</f>
        <v>401</v>
      </c>
      <c r="D4144" s="3">
        <f>IFERROR(__xludf.DUMMYFUNCTION("""COMPUTED_VALUE"""),140.0)</f>
        <v>140</v>
      </c>
      <c r="E4144" s="1" t="str">
        <f t="array" ref="E4144">_xlfn.XLOOKUP(A4144,Product!A:A,Product!B:B,"Bulunamadı")</f>
        <v>Arts</v>
      </c>
      <c r="F4144" s="1" t="str">
        <f t="array" ref="F4144">_xlfn.XLOOKUP(A4144,Product!A:A,Product!C:C,"Bulunamadı")</f>
        <v>Blockchain</v>
      </c>
      <c r="G4144" s="2" t="str">
        <f t="array" ref="G4144">_xlfn.XLOOKUP(A4145,Product!A:A,Product!D:D,"Bulunamadı")</f>
        <v>Harborlight House</v>
      </c>
      <c r="H4144" s="2">
        <f t="array" ref="H4144">_xlfn.XLOOKUP(A4146,Product!A:A,Product!E:E,"Bulunamadı")</f>
        <v>2.69</v>
      </c>
      <c r="I4144" s="2" t="str">
        <f t="shared" si="1"/>
        <v>86988 - Arts - Blockchain</v>
      </c>
      <c r="J4144" s="2">
        <f t="shared" si="2"/>
        <v>376.6</v>
      </c>
      <c r="K4144" s="17">
        <f t="shared" si="3"/>
        <v>1</v>
      </c>
      <c r="L4144" s="18"/>
    </row>
    <row r="4145">
      <c r="A4145" s="2">
        <f>IFERROR(__xludf.DUMMYFUNCTION("""COMPUTED_VALUE"""),73836.0)</f>
        <v>73836</v>
      </c>
      <c r="B4145" s="2">
        <f>IFERROR(__xludf.DUMMYFUNCTION("""COMPUTED_VALUE"""),1.0)</f>
        <v>1</v>
      </c>
      <c r="C4145" s="2">
        <f>IFERROR(__xludf.DUMMYFUNCTION("""COMPUTED_VALUE"""),181.0)</f>
        <v>181</v>
      </c>
      <c r="D4145" s="3">
        <f>IFERROR(__xludf.DUMMYFUNCTION("""COMPUTED_VALUE"""),77.0)</f>
        <v>77</v>
      </c>
      <c r="E4145" s="1" t="str">
        <f t="array" ref="E4145">_xlfn.XLOOKUP(A4145,Product!A:A,Product!B:B,"Bulunamadı")</f>
        <v>Arts</v>
      </c>
      <c r="F4145" s="1" t="str">
        <f t="array" ref="F4145">_xlfn.XLOOKUP(A4145,Product!A:A,Product!C:C,"Bulunamadı")</f>
        <v>Blockchain</v>
      </c>
      <c r="G4145" s="2" t="str">
        <f t="array" ref="G4145">_xlfn.XLOOKUP(A4146,Product!A:A,Product!D:D,"Bulunamadı")</f>
        <v>Harborlight House</v>
      </c>
      <c r="H4145" s="2">
        <f t="array" ref="H4145">_xlfn.XLOOKUP(A4147,Product!A:A,Product!E:E,"Bulunamadı")</f>
        <v>3.05</v>
      </c>
      <c r="I4145" s="2" t="str">
        <f t="shared" si="1"/>
        <v>73836 - Arts - Blockchain</v>
      </c>
      <c r="J4145" s="2">
        <f t="shared" si="2"/>
        <v>234.85</v>
      </c>
      <c r="K4145" s="17">
        <f t="shared" si="3"/>
        <v>1</v>
      </c>
      <c r="L4145" s="18"/>
    </row>
    <row r="4146">
      <c r="A4146" s="2">
        <f>IFERROR(__xludf.DUMMYFUNCTION("""COMPUTED_VALUE"""),69322.0)</f>
        <v>69322</v>
      </c>
      <c r="B4146" s="2">
        <f>IFERROR(__xludf.DUMMYFUNCTION("""COMPUTED_VALUE"""),1.0)</f>
        <v>1</v>
      </c>
      <c r="C4146" s="2">
        <f>IFERROR(__xludf.DUMMYFUNCTION("""COMPUTED_VALUE"""),415.0)</f>
        <v>415</v>
      </c>
      <c r="D4146" s="3">
        <f>IFERROR(__xludf.DUMMYFUNCTION("""COMPUTED_VALUE"""),192.0)</f>
        <v>192</v>
      </c>
      <c r="E4146" s="1" t="str">
        <f t="array" ref="E4146">_xlfn.XLOOKUP(A4146,Product!A:A,Product!B:B,"Bulunamadı")</f>
        <v>Arts</v>
      </c>
      <c r="F4146" s="1" t="str">
        <f t="array" ref="F4146">_xlfn.XLOOKUP(A4146,Product!A:A,Product!C:C,"Bulunamadı")</f>
        <v>Blockchain</v>
      </c>
      <c r="G4146" s="2" t="str">
        <f t="array" ref="G4146">_xlfn.XLOOKUP(A4147,Product!A:A,Product!D:D,"Bulunamadı")</f>
        <v>Harborlight House</v>
      </c>
      <c r="H4146" s="2">
        <f t="array" ref="H4146">_xlfn.XLOOKUP(A4148,Product!A:A,Product!E:E,"Bulunamadı")</f>
        <v>1.38</v>
      </c>
      <c r="I4146" s="2" t="str">
        <f t="shared" si="1"/>
        <v>69322 - Arts - Blockchain</v>
      </c>
      <c r="J4146" s="2">
        <f t="shared" si="2"/>
        <v>264.96</v>
      </c>
      <c r="K4146" s="17">
        <f t="shared" si="3"/>
        <v>1</v>
      </c>
      <c r="L4146" s="18"/>
    </row>
    <row r="4147">
      <c r="A4147" s="2">
        <f>IFERROR(__xludf.DUMMYFUNCTION("""COMPUTED_VALUE"""),8696.0)</f>
        <v>8696</v>
      </c>
      <c r="B4147" s="2">
        <f>IFERROR(__xludf.DUMMYFUNCTION("""COMPUTED_VALUE"""),0.0)</f>
        <v>0</v>
      </c>
      <c r="C4147" s="2">
        <f>IFERROR(__xludf.DUMMYFUNCTION("""COMPUTED_VALUE"""),788.0)</f>
        <v>788</v>
      </c>
      <c r="D4147" s="3">
        <f>IFERROR(__xludf.DUMMYFUNCTION("""COMPUTED_VALUE"""),333.0)</f>
        <v>333</v>
      </c>
      <c r="E4147" s="1" t="str">
        <f t="array" ref="E4147">_xlfn.XLOOKUP(A4147,Product!A:A,Product!B:B,"Bulunamadı")</f>
        <v>Arts</v>
      </c>
      <c r="F4147" s="1" t="str">
        <f t="array" ref="F4147">_xlfn.XLOOKUP(A4147,Product!A:A,Product!C:C,"Bulunamadı")</f>
        <v>Blockchain</v>
      </c>
      <c r="G4147" s="2" t="str">
        <f t="array" ref="G4147">_xlfn.XLOOKUP(A4148,Product!A:A,Product!D:D,"Bulunamadı")</f>
        <v>Harborlight House</v>
      </c>
      <c r="H4147" s="2">
        <f t="array" ref="H4147">_xlfn.XLOOKUP(A4149,Product!A:A,Product!E:E,"Bulunamadı")</f>
        <v>1.89</v>
      </c>
      <c r="I4147" s="2" t="str">
        <f t="shared" si="1"/>
        <v>8696 - Arts - Blockchain</v>
      </c>
      <c r="J4147" s="2">
        <f t="shared" si="2"/>
        <v>629.37</v>
      </c>
      <c r="K4147" s="17">
        <f t="shared" si="3"/>
        <v>1</v>
      </c>
      <c r="L4147" s="18"/>
    </row>
    <row r="4148">
      <c r="A4148" s="2">
        <f>IFERROR(__xludf.DUMMYFUNCTION("""COMPUTED_VALUE"""),119062.0)</f>
        <v>119062</v>
      </c>
      <c r="B4148" s="2">
        <f>IFERROR(__xludf.DUMMYFUNCTION("""COMPUTED_VALUE"""),0.0)</f>
        <v>0</v>
      </c>
      <c r="C4148" s="2">
        <f>IFERROR(__xludf.DUMMYFUNCTION("""COMPUTED_VALUE"""),-10.0)</f>
        <v>-10</v>
      </c>
      <c r="D4148" s="3">
        <f>IFERROR(__xludf.DUMMYFUNCTION("""COMPUTED_VALUE"""),-8.0)</f>
        <v>-8</v>
      </c>
      <c r="E4148" s="1" t="str">
        <f t="array" ref="E4148">_xlfn.XLOOKUP(A4148,Product!A:A,Product!B:B,"Bulunamadı")</f>
        <v>Arts</v>
      </c>
      <c r="F4148" s="1" t="str">
        <f t="array" ref="F4148">_xlfn.XLOOKUP(A4148,Product!A:A,Product!C:C,"Bulunamadı")</f>
        <v>Blockchain</v>
      </c>
      <c r="G4148" s="2" t="str">
        <f t="array" ref="G4148">_xlfn.XLOOKUP(A4149,Product!A:A,Product!D:D,"Bulunamadı")</f>
        <v>Harborlight House</v>
      </c>
      <c r="H4148" s="2">
        <f t="array" ref="H4148">_xlfn.XLOOKUP(A4150,Product!A:A,Product!E:E,"Bulunamadı")</f>
        <v>2.41</v>
      </c>
      <c r="I4148" s="2" t="str">
        <f t="shared" si="1"/>
        <v>119062 - Arts - Blockchain</v>
      </c>
      <c r="J4148" s="2">
        <f t="shared" si="2"/>
        <v>-19.28</v>
      </c>
      <c r="K4148" s="17">
        <f t="shared" si="3"/>
        <v>0</v>
      </c>
      <c r="L4148" s="18"/>
    </row>
    <row r="4149">
      <c r="A4149" s="2">
        <f>IFERROR(__xludf.DUMMYFUNCTION("""COMPUTED_VALUE"""),188931.0)</f>
        <v>188931</v>
      </c>
      <c r="B4149" s="2">
        <f>IFERROR(__xludf.DUMMYFUNCTION("""COMPUTED_VALUE"""),1.0)</f>
        <v>1</v>
      </c>
      <c r="C4149" s="2">
        <f>IFERROR(__xludf.DUMMYFUNCTION("""COMPUTED_VALUE"""),315.0)</f>
        <v>315</v>
      </c>
      <c r="D4149" s="3">
        <f>IFERROR(__xludf.DUMMYFUNCTION("""COMPUTED_VALUE"""),297.0)</f>
        <v>297</v>
      </c>
      <c r="E4149" s="1" t="str">
        <f t="array" ref="E4149">_xlfn.XLOOKUP(A4149,Product!A:A,Product!B:B,"Bulunamadı")</f>
        <v>Arts</v>
      </c>
      <c r="F4149" s="1" t="str">
        <f t="array" ref="F4149">_xlfn.XLOOKUP(A4149,Product!A:A,Product!C:C,"Bulunamadı")</f>
        <v>Blockchain</v>
      </c>
      <c r="G4149" s="2" t="str">
        <f t="array" ref="G4149">_xlfn.XLOOKUP(A4150,Product!A:A,Product!D:D,"Bulunamadı")</f>
        <v>Harborlight House</v>
      </c>
      <c r="H4149" s="2">
        <f t="array" ref="H4149">_xlfn.XLOOKUP(A4151,Product!A:A,Product!E:E,"Bulunamadı")</f>
        <v>1.86</v>
      </c>
      <c r="I4149" s="2" t="str">
        <f t="shared" si="1"/>
        <v>188931 - Arts - Blockchain</v>
      </c>
      <c r="J4149" s="2">
        <f t="shared" si="2"/>
        <v>552.42</v>
      </c>
      <c r="K4149" s="17">
        <f t="shared" si="3"/>
        <v>1</v>
      </c>
      <c r="L4149" s="18"/>
    </row>
    <row r="4150">
      <c r="A4150" s="2">
        <f>IFERROR(__xludf.DUMMYFUNCTION("""COMPUTED_VALUE"""),100238.0)</f>
        <v>100238</v>
      </c>
      <c r="B4150" s="2">
        <f>IFERROR(__xludf.DUMMYFUNCTION("""COMPUTED_VALUE"""),1.0)</f>
        <v>1</v>
      </c>
      <c r="C4150" s="2">
        <f>IFERROR(__xludf.DUMMYFUNCTION("""COMPUTED_VALUE"""),466.0)</f>
        <v>466</v>
      </c>
      <c r="D4150" s="3">
        <f>IFERROR(__xludf.DUMMYFUNCTION("""COMPUTED_VALUE"""),17.0)</f>
        <v>17</v>
      </c>
      <c r="E4150" s="1" t="str">
        <f t="array" ref="E4150">_xlfn.XLOOKUP(A4150,Product!A:A,Product!B:B,"Bulunamadı")</f>
        <v>Arts</v>
      </c>
      <c r="F4150" s="1" t="str">
        <f t="array" ref="F4150">_xlfn.XLOOKUP(A4150,Product!A:A,Product!C:C,"Bulunamadı")</f>
        <v>Blockchain</v>
      </c>
      <c r="G4150" s="2" t="str">
        <f t="array" ref="G4150">_xlfn.XLOOKUP(A4151,Product!A:A,Product!D:D,"Bulunamadı")</f>
        <v>Harborlight House</v>
      </c>
      <c r="H4150" s="2">
        <f t="array" ref="H4150">_xlfn.XLOOKUP(A4152,Product!A:A,Product!E:E,"Bulunamadı")</f>
        <v>2.34</v>
      </c>
      <c r="I4150" s="2" t="str">
        <f t="shared" si="1"/>
        <v>100238 - Arts - Blockchain</v>
      </c>
      <c r="J4150" s="2">
        <f t="shared" si="2"/>
        <v>39.78</v>
      </c>
      <c r="K4150" s="17">
        <f t="shared" si="3"/>
        <v>1</v>
      </c>
      <c r="L4150" s="18"/>
    </row>
    <row r="4151">
      <c r="A4151" s="2">
        <f>IFERROR(__xludf.DUMMYFUNCTION("""COMPUTED_VALUE"""),47010.0)</f>
        <v>47010</v>
      </c>
      <c r="B4151" s="2">
        <f>IFERROR(__xludf.DUMMYFUNCTION("""COMPUTED_VALUE"""),0.0)</f>
        <v>0</v>
      </c>
      <c r="C4151" s="2">
        <f>IFERROR(__xludf.DUMMYFUNCTION("""COMPUTED_VALUE"""),496.0)</f>
        <v>496</v>
      </c>
      <c r="D4151" s="3">
        <f>IFERROR(__xludf.DUMMYFUNCTION("""COMPUTED_VALUE"""),37.0)</f>
        <v>37</v>
      </c>
      <c r="E4151" s="1" t="str">
        <f t="array" ref="E4151">_xlfn.XLOOKUP(A4151,Product!A:A,Product!B:B,"Bulunamadı")</f>
        <v>Arts</v>
      </c>
      <c r="F4151" s="1" t="str">
        <f t="array" ref="F4151">_xlfn.XLOOKUP(A4151,Product!A:A,Product!C:C,"Bulunamadı")</f>
        <v>Blockchain</v>
      </c>
      <c r="G4151" s="2" t="str">
        <f t="array" ref="G4151">_xlfn.XLOOKUP(A4152,Product!A:A,Product!D:D,"Bulunamadı")</f>
        <v>Harborlight House</v>
      </c>
      <c r="H4151" s="2">
        <f t="array" ref="H4151">_xlfn.XLOOKUP(A4153,Product!A:A,Product!E:E,"Bulunamadı")</f>
        <v>4</v>
      </c>
      <c r="I4151" s="2" t="str">
        <f t="shared" si="1"/>
        <v>47010 - Arts - Blockchain</v>
      </c>
      <c r="J4151" s="2">
        <f t="shared" si="2"/>
        <v>148</v>
      </c>
      <c r="K4151" s="17">
        <f t="shared" si="3"/>
        <v>1</v>
      </c>
      <c r="L4151" s="18"/>
    </row>
    <row r="4152">
      <c r="A4152" s="2">
        <f>IFERROR(__xludf.DUMMYFUNCTION("""COMPUTED_VALUE"""),104605.0)</f>
        <v>104605</v>
      </c>
      <c r="B4152" s="2">
        <f>IFERROR(__xludf.DUMMYFUNCTION("""COMPUTED_VALUE"""),0.0)</f>
        <v>0</v>
      </c>
      <c r="C4152" s="2">
        <f>IFERROR(__xludf.DUMMYFUNCTION("""COMPUTED_VALUE"""),379.0)</f>
        <v>379</v>
      </c>
      <c r="D4152" s="3">
        <f>IFERROR(__xludf.DUMMYFUNCTION("""COMPUTED_VALUE"""),24.0)</f>
        <v>24</v>
      </c>
      <c r="E4152" s="1" t="str">
        <f t="array" ref="E4152">_xlfn.XLOOKUP(A4152,Product!A:A,Product!B:B,"Bulunamadı")</f>
        <v>Arts</v>
      </c>
      <c r="F4152" s="1" t="str">
        <f t="array" ref="F4152">_xlfn.XLOOKUP(A4152,Product!A:A,Product!C:C,"Bulunamadı")</f>
        <v>Blockchain</v>
      </c>
      <c r="G4152" s="2" t="str">
        <f t="array" ref="G4152">_xlfn.XLOOKUP(A4153,Product!A:A,Product!D:D,"Bulunamadı")</f>
        <v>Harborlight House</v>
      </c>
      <c r="H4152" s="2">
        <f t="array" ref="H4152">_xlfn.XLOOKUP(A4154,Product!A:A,Product!E:E,"Bulunamadı")</f>
        <v>1.51</v>
      </c>
      <c r="I4152" s="2" t="str">
        <f t="shared" si="1"/>
        <v>104605 - Arts - Blockchain</v>
      </c>
      <c r="J4152" s="2">
        <f t="shared" si="2"/>
        <v>36.24</v>
      </c>
      <c r="K4152" s="17">
        <f t="shared" si="3"/>
        <v>1</v>
      </c>
      <c r="L4152" s="18"/>
    </row>
    <row r="4153">
      <c r="A4153" s="2">
        <f>IFERROR(__xludf.DUMMYFUNCTION("""COMPUTED_VALUE"""),42694.0)</f>
        <v>42694</v>
      </c>
      <c r="B4153" s="2">
        <f>IFERROR(__xludf.DUMMYFUNCTION("""COMPUTED_VALUE"""),0.0)</f>
        <v>0</v>
      </c>
      <c r="C4153" s="2">
        <f>IFERROR(__xludf.DUMMYFUNCTION("""COMPUTED_VALUE"""),827.0)</f>
        <v>827</v>
      </c>
      <c r="D4153" s="3">
        <f>IFERROR(__xludf.DUMMYFUNCTION("""COMPUTED_VALUE"""),414.0)</f>
        <v>414</v>
      </c>
      <c r="E4153" s="1" t="str">
        <f t="array" ref="E4153">_xlfn.XLOOKUP(A4153,Product!A:A,Product!B:B,"Bulunamadı")</f>
        <v>Arts</v>
      </c>
      <c r="F4153" s="1" t="str">
        <f t="array" ref="F4153">_xlfn.XLOOKUP(A4153,Product!A:A,Product!C:C,"Bulunamadı")</f>
        <v>Blockchain</v>
      </c>
      <c r="G4153" s="2" t="str">
        <f t="array" ref="G4153">_xlfn.XLOOKUP(A4154,Product!A:A,Product!D:D,"Bulunamadı")</f>
        <v>Harborlight House</v>
      </c>
      <c r="H4153" s="2">
        <f t="array" ref="H4153">_xlfn.XLOOKUP(A4155,Product!A:A,Product!E:E,"Bulunamadı")</f>
        <v>1.94</v>
      </c>
      <c r="I4153" s="2" t="str">
        <f t="shared" si="1"/>
        <v>42694 - Arts - Blockchain</v>
      </c>
      <c r="J4153" s="2">
        <f t="shared" si="2"/>
        <v>803.16</v>
      </c>
      <c r="K4153" s="17">
        <f t="shared" si="3"/>
        <v>1</v>
      </c>
      <c r="L4153" s="18"/>
    </row>
    <row r="4154">
      <c r="A4154" s="2">
        <f>IFERROR(__xludf.DUMMYFUNCTION("""COMPUTED_VALUE"""),8697.0)</f>
        <v>8697</v>
      </c>
      <c r="B4154" s="2">
        <f>IFERROR(__xludf.DUMMYFUNCTION("""COMPUTED_VALUE"""),1.0)</f>
        <v>1</v>
      </c>
      <c r="C4154" s="2">
        <f>IFERROR(__xludf.DUMMYFUNCTION("""COMPUTED_VALUE"""),594.0)</f>
        <v>594</v>
      </c>
      <c r="D4154" s="3">
        <f>IFERROR(__xludf.DUMMYFUNCTION("""COMPUTED_VALUE"""),444.0)</f>
        <v>444</v>
      </c>
      <c r="E4154" s="1" t="str">
        <f t="array" ref="E4154">_xlfn.XLOOKUP(A4154,Product!A:A,Product!B:B,"Bulunamadı")</f>
        <v>Arts</v>
      </c>
      <c r="F4154" s="1" t="str">
        <f t="array" ref="F4154">_xlfn.XLOOKUP(A4154,Product!A:A,Product!C:C,"Bulunamadı")</f>
        <v>Blockchain</v>
      </c>
      <c r="G4154" s="2" t="str">
        <f t="array" ref="G4154">_xlfn.XLOOKUP(A4155,Product!A:A,Product!D:D,"Bulunamadı")</f>
        <v>Harborlight House</v>
      </c>
      <c r="H4154" s="2">
        <f t="array" ref="H4154">_xlfn.XLOOKUP(A4156,Product!A:A,Product!E:E,"Bulunamadı")</f>
        <v>1.58</v>
      </c>
      <c r="I4154" s="2" t="str">
        <f t="shared" si="1"/>
        <v>8697 - Arts - Blockchain</v>
      </c>
      <c r="J4154" s="2">
        <f t="shared" si="2"/>
        <v>701.52</v>
      </c>
      <c r="K4154" s="17">
        <f t="shared" si="3"/>
        <v>1</v>
      </c>
      <c r="L4154" s="18"/>
    </row>
    <row r="4155">
      <c r="A4155" s="2">
        <f>IFERROR(__xludf.DUMMYFUNCTION("""COMPUTED_VALUE"""),110957.0)</f>
        <v>110957</v>
      </c>
      <c r="B4155" s="2">
        <f>IFERROR(__xludf.DUMMYFUNCTION("""COMPUTED_VALUE"""),0.0)</f>
        <v>0</v>
      </c>
      <c r="C4155" s="2">
        <f>IFERROR(__xludf.DUMMYFUNCTION("""COMPUTED_VALUE"""),809.0)</f>
        <v>809</v>
      </c>
      <c r="D4155" s="3">
        <f>IFERROR(__xludf.DUMMYFUNCTION("""COMPUTED_VALUE"""),270.0)</f>
        <v>270</v>
      </c>
      <c r="E4155" s="1" t="str">
        <f t="array" ref="E4155">_xlfn.XLOOKUP(A4155,Product!A:A,Product!B:B,"Bulunamadı")</f>
        <v>Arts</v>
      </c>
      <c r="F4155" s="1" t="str">
        <f t="array" ref="F4155">_xlfn.XLOOKUP(A4155,Product!A:A,Product!C:C,"Bulunamadı")</f>
        <v>Blockchain</v>
      </c>
      <c r="G4155" s="2" t="str">
        <f t="array" ref="G4155">_xlfn.XLOOKUP(A4156,Product!A:A,Product!D:D,"Bulunamadı")</f>
        <v>Harborlight House</v>
      </c>
      <c r="H4155" s="2">
        <f t="array" ref="H4155">_xlfn.XLOOKUP(A4157,Product!A:A,Product!E:E,"Bulunamadı")</f>
        <v>1.65</v>
      </c>
      <c r="I4155" s="2" t="str">
        <f t="shared" si="1"/>
        <v>110957 - Arts - Blockchain</v>
      </c>
      <c r="J4155" s="2">
        <f t="shared" si="2"/>
        <v>445.5</v>
      </c>
      <c r="K4155" s="17">
        <f t="shared" si="3"/>
        <v>1</v>
      </c>
      <c r="L4155" s="18"/>
    </row>
    <row r="4156">
      <c r="A4156" s="2">
        <f>IFERROR(__xludf.DUMMYFUNCTION("""COMPUTED_VALUE"""),86989.0)</f>
        <v>86989</v>
      </c>
      <c r="B4156" s="2">
        <f>IFERROR(__xludf.DUMMYFUNCTION("""COMPUTED_VALUE"""),0.0)</f>
        <v>0</v>
      </c>
      <c r="C4156" s="2">
        <f>IFERROR(__xludf.DUMMYFUNCTION("""COMPUTED_VALUE"""),492.0)</f>
        <v>492</v>
      </c>
      <c r="D4156" s="3">
        <f>IFERROR(__xludf.DUMMYFUNCTION("""COMPUTED_VALUE"""),0.0)</f>
        <v>0</v>
      </c>
      <c r="E4156" s="1" t="str">
        <f t="array" ref="E4156">_xlfn.XLOOKUP(A4156,Product!A:A,Product!B:B,"Bulunamadı")</f>
        <v>Arts</v>
      </c>
      <c r="F4156" s="1" t="str">
        <f t="array" ref="F4156">_xlfn.XLOOKUP(A4156,Product!A:A,Product!C:C,"Bulunamadı")</f>
        <v>Blockchain</v>
      </c>
      <c r="G4156" s="2" t="str">
        <f t="array" ref="G4156">_xlfn.XLOOKUP(A4157,Product!A:A,Product!D:D,"Bulunamadı")</f>
        <v>Harborlight House</v>
      </c>
      <c r="H4156" s="2">
        <f t="array" ref="H4156">_xlfn.XLOOKUP(A4158,Product!A:A,Product!E:E,"Bulunamadı")</f>
        <v>1.21</v>
      </c>
      <c r="I4156" s="2" t="str">
        <f t="shared" si="1"/>
        <v>86989 - Arts - Blockchain</v>
      </c>
      <c r="J4156" s="2">
        <f t="shared" si="2"/>
        <v>0</v>
      </c>
      <c r="K4156" s="17">
        <f t="shared" si="3"/>
        <v>0</v>
      </c>
      <c r="L4156" s="18"/>
    </row>
    <row r="4157">
      <c r="A4157" s="2">
        <f>IFERROR(__xludf.DUMMYFUNCTION("""COMPUTED_VALUE"""),8695.0)</f>
        <v>8695</v>
      </c>
      <c r="B4157" s="2">
        <f>IFERROR(__xludf.DUMMYFUNCTION("""COMPUTED_VALUE"""),1.0)</f>
        <v>1</v>
      </c>
      <c r="C4157" s="2">
        <f>IFERROR(__xludf.DUMMYFUNCTION("""COMPUTED_VALUE"""),655.0)</f>
        <v>655</v>
      </c>
      <c r="D4157" s="3">
        <f>IFERROR(__xludf.DUMMYFUNCTION("""COMPUTED_VALUE"""),144.0)</f>
        <v>144</v>
      </c>
      <c r="E4157" s="1" t="str">
        <f t="array" ref="E4157">_xlfn.XLOOKUP(A4157,Product!A:A,Product!B:B,"Bulunamadı")</f>
        <v>Arts</v>
      </c>
      <c r="F4157" s="1" t="str">
        <f t="array" ref="F4157">_xlfn.XLOOKUP(A4157,Product!A:A,Product!C:C,"Bulunamadı")</f>
        <v>Blockchain</v>
      </c>
      <c r="G4157" s="2" t="str">
        <f t="array" ref="G4157">_xlfn.XLOOKUP(A4158,Product!A:A,Product!D:D,"Bulunamadı")</f>
        <v>Harborlight House</v>
      </c>
      <c r="H4157" s="2">
        <f t="array" ref="H4157">_xlfn.XLOOKUP(A4159,Product!A:A,Product!E:E,"Bulunamadı")</f>
        <v>2.29</v>
      </c>
      <c r="I4157" s="2" t="str">
        <f t="shared" si="1"/>
        <v>8695 - Arts - Blockchain</v>
      </c>
      <c r="J4157" s="2">
        <f t="shared" si="2"/>
        <v>329.76</v>
      </c>
      <c r="K4157" s="17">
        <f t="shared" si="3"/>
        <v>1</v>
      </c>
      <c r="L4157" s="18"/>
    </row>
    <row r="4158">
      <c r="A4158" s="2">
        <f>IFERROR(__xludf.DUMMYFUNCTION("""COMPUTED_VALUE"""),122792.0)</f>
        <v>122792</v>
      </c>
      <c r="B4158" s="2">
        <f>IFERROR(__xludf.DUMMYFUNCTION("""COMPUTED_VALUE"""),0.0)</f>
        <v>0</v>
      </c>
      <c r="C4158" s="2">
        <f>IFERROR(__xludf.DUMMYFUNCTION("""COMPUTED_VALUE"""),924.0)</f>
        <v>924</v>
      </c>
      <c r="D4158" s="3">
        <f>IFERROR(__xludf.DUMMYFUNCTION("""COMPUTED_VALUE"""),158.0)</f>
        <v>158</v>
      </c>
      <c r="E4158" s="1" t="str">
        <f t="array" ref="E4158">_xlfn.XLOOKUP(A4158,Product!A:A,Product!B:B,"Bulunamadı")</f>
        <v>Arts</v>
      </c>
      <c r="F4158" s="1" t="str">
        <f t="array" ref="F4158">_xlfn.XLOOKUP(A4158,Product!A:A,Product!C:C,"Bulunamadı")</f>
        <v>Blockchain</v>
      </c>
      <c r="G4158" s="2" t="str">
        <f t="array" ref="G4158">_xlfn.XLOOKUP(A4159,Product!A:A,Product!D:D,"Bulunamadı")</f>
        <v>Harborlight House</v>
      </c>
      <c r="H4158" s="2">
        <f t="array" ref="H4158">_xlfn.XLOOKUP(A4160,Product!A:A,Product!E:E,"Bulunamadı")</f>
        <v>2.05</v>
      </c>
      <c r="I4158" s="2" t="str">
        <f t="shared" si="1"/>
        <v>122792 - Arts - Blockchain</v>
      </c>
      <c r="J4158" s="2">
        <f t="shared" si="2"/>
        <v>323.9</v>
      </c>
      <c r="K4158" s="17">
        <f t="shared" si="3"/>
        <v>1</v>
      </c>
      <c r="L4158" s="18"/>
    </row>
    <row r="4159">
      <c r="A4159" s="2">
        <f>IFERROR(__xludf.DUMMYFUNCTION("""COMPUTED_VALUE"""),8698.0)</f>
        <v>8698</v>
      </c>
      <c r="B4159" s="2">
        <f>IFERROR(__xludf.DUMMYFUNCTION("""COMPUTED_VALUE"""),1.0)</f>
        <v>1</v>
      </c>
      <c r="C4159" s="2">
        <f>IFERROR(__xludf.DUMMYFUNCTION("""COMPUTED_VALUE"""),941.0)</f>
        <v>941</v>
      </c>
      <c r="D4159" s="3">
        <f>IFERROR(__xludf.DUMMYFUNCTION("""COMPUTED_VALUE"""),117.0)</f>
        <v>117</v>
      </c>
      <c r="E4159" s="1" t="str">
        <f t="array" ref="E4159">_xlfn.XLOOKUP(A4159,Product!A:A,Product!B:B,"Bulunamadı")</f>
        <v>Arts</v>
      </c>
      <c r="F4159" s="1" t="str">
        <f t="array" ref="F4159">_xlfn.XLOOKUP(A4159,Product!A:A,Product!C:C,"Bulunamadı")</f>
        <v>Blockchain</v>
      </c>
      <c r="G4159" s="2" t="str">
        <f t="array" ref="G4159">_xlfn.XLOOKUP(A4160,Product!A:A,Product!D:D,"Bulunamadı")</f>
        <v>Harborlight House</v>
      </c>
      <c r="H4159" s="2">
        <f t="array" ref="H4159">_xlfn.XLOOKUP(A4161,Product!A:A,Product!E:E,"Bulunamadı")</f>
        <v>2.46</v>
      </c>
      <c r="I4159" s="2" t="str">
        <f t="shared" si="1"/>
        <v>8698 - Arts - Blockchain</v>
      </c>
      <c r="J4159" s="2">
        <f t="shared" si="2"/>
        <v>287.82</v>
      </c>
      <c r="K4159" s="17">
        <f t="shared" si="3"/>
        <v>1</v>
      </c>
      <c r="L4159" s="18"/>
    </row>
    <row r="4160">
      <c r="A4160" s="2">
        <f>IFERROR(__xludf.DUMMYFUNCTION("""COMPUTED_VALUE"""),103866.0)</f>
        <v>103866</v>
      </c>
      <c r="B4160" s="2">
        <f>IFERROR(__xludf.DUMMYFUNCTION("""COMPUTED_VALUE"""),1.0)</f>
        <v>1</v>
      </c>
      <c r="C4160" s="2">
        <f>IFERROR(__xludf.DUMMYFUNCTION("""COMPUTED_VALUE"""),50.0)</f>
        <v>50</v>
      </c>
      <c r="D4160" s="3">
        <f>IFERROR(__xludf.DUMMYFUNCTION("""COMPUTED_VALUE"""),32.0)</f>
        <v>32</v>
      </c>
      <c r="E4160" s="1" t="str">
        <f t="array" ref="E4160">_xlfn.XLOOKUP(A4160,Product!A:A,Product!B:B,"Bulunamadı")</f>
        <v>Arts</v>
      </c>
      <c r="F4160" s="1" t="str">
        <f t="array" ref="F4160">_xlfn.XLOOKUP(A4160,Product!A:A,Product!C:C,"Bulunamadı")</f>
        <v>Blockchain</v>
      </c>
      <c r="G4160" s="2" t="str">
        <f t="array" ref="G4160">_xlfn.XLOOKUP(A4161,Product!A:A,Product!D:D,"Bulunamadı")</f>
        <v>Harborlight House</v>
      </c>
      <c r="H4160" s="2">
        <f t="array" ref="H4160">_xlfn.XLOOKUP(A4162,Product!A:A,Product!E:E,"Bulunamadı")</f>
        <v>2.92</v>
      </c>
      <c r="I4160" s="2" t="str">
        <f t="shared" si="1"/>
        <v>103866 - Arts - Blockchain</v>
      </c>
      <c r="J4160" s="2">
        <f t="shared" si="2"/>
        <v>93.44</v>
      </c>
      <c r="K4160" s="17">
        <f t="shared" si="3"/>
        <v>1</v>
      </c>
      <c r="L4160" s="18"/>
    </row>
    <row r="4161">
      <c r="A4161" s="2">
        <f>IFERROR(__xludf.DUMMYFUNCTION("""COMPUTED_VALUE"""),103865.0)</f>
        <v>103865</v>
      </c>
      <c r="B4161" s="2">
        <f>IFERROR(__xludf.DUMMYFUNCTION("""COMPUTED_VALUE"""),0.0)</f>
        <v>0</v>
      </c>
      <c r="C4161" s="2">
        <f>IFERROR(__xludf.DUMMYFUNCTION("""COMPUTED_VALUE"""),278.0)</f>
        <v>278</v>
      </c>
      <c r="D4161" s="3">
        <f>IFERROR(__xludf.DUMMYFUNCTION("""COMPUTED_VALUE"""),207.0)</f>
        <v>207</v>
      </c>
      <c r="E4161" s="1" t="str">
        <f t="array" ref="E4161">_xlfn.XLOOKUP(A4161,Product!A:A,Product!B:B,"Bulunamadı")</f>
        <v>Arts</v>
      </c>
      <c r="F4161" s="1" t="str">
        <f t="array" ref="F4161">_xlfn.XLOOKUP(A4161,Product!A:A,Product!C:C,"Bulunamadı")</f>
        <v>Blockchain</v>
      </c>
      <c r="G4161" s="2" t="str">
        <f t="array" ref="G4161">_xlfn.XLOOKUP(A4162,Product!A:A,Product!D:D,"Bulunamadı")</f>
        <v>Harborlight House</v>
      </c>
      <c r="H4161" s="2">
        <f t="array" ref="H4161">_xlfn.XLOOKUP(A4163,Product!A:A,Product!E:E,"Bulunamadı")</f>
        <v>6.16</v>
      </c>
      <c r="I4161" s="2" t="str">
        <f t="shared" si="1"/>
        <v>103865 - Arts - Blockchain</v>
      </c>
      <c r="J4161" s="2">
        <f t="shared" si="2"/>
        <v>1275.12</v>
      </c>
      <c r="K4161" s="17">
        <f t="shared" si="3"/>
        <v>1</v>
      </c>
      <c r="L4161" s="18"/>
    </row>
    <row r="4162">
      <c r="A4162" s="2">
        <f>IFERROR(__xludf.DUMMYFUNCTION("""COMPUTED_VALUE"""),110945.0)</f>
        <v>110945</v>
      </c>
      <c r="B4162" s="2">
        <f>IFERROR(__xludf.DUMMYFUNCTION("""COMPUTED_VALUE"""),1.0)</f>
        <v>1</v>
      </c>
      <c r="C4162" s="2">
        <f>IFERROR(__xludf.DUMMYFUNCTION("""COMPUTED_VALUE"""),598.0)</f>
        <v>598</v>
      </c>
      <c r="D4162" s="3">
        <f>IFERROR(__xludf.DUMMYFUNCTION("""COMPUTED_VALUE"""),408.0)</f>
        <v>408</v>
      </c>
      <c r="E4162" s="1" t="str">
        <f t="array" ref="E4162">_xlfn.XLOOKUP(A4162,Product!A:A,Product!B:B,"Bulunamadı")</f>
        <v>Arts</v>
      </c>
      <c r="F4162" s="1" t="str">
        <f t="array" ref="F4162">_xlfn.XLOOKUP(A4162,Product!A:A,Product!C:C,"Bulunamadı")</f>
        <v>Blockchain</v>
      </c>
      <c r="G4162" s="2" t="str">
        <f t="array" ref="G4162">_xlfn.XLOOKUP(A4163,Product!A:A,Product!D:D,"Bulunamadı")</f>
        <v>Harborlight House</v>
      </c>
      <c r="H4162" s="2">
        <f t="array" ref="H4162">_xlfn.XLOOKUP(A4164,Product!A:A,Product!E:E,"Bulunamadı")</f>
        <v>2.27</v>
      </c>
      <c r="I4162" s="2" t="str">
        <f t="shared" si="1"/>
        <v>110945 - Arts - Blockchain</v>
      </c>
      <c r="J4162" s="2">
        <f t="shared" si="2"/>
        <v>926.16</v>
      </c>
      <c r="K4162" s="17">
        <f t="shared" si="3"/>
        <v>1</v>
      </c>
      <c r="L4162" s="18"/>
    </row>
    <row r="4163">
      <c r="A4163" s="2">
        <f>IFERROR(__xludf.DUMMYFUNCTION("""COMPUTED_VALUE"""),158671.0)</f>
        <v>158671</v>
      </c>
      <c r="B4163" s="2">
        <f>IFERROR(__xludf.DUMMYFUNCTION("""COMPUTED_VALUE"""),0.0)</f>
        <v>0</v>
      </c>
      <c r="C4163" s="2">
        <f>IFERROR(__xludf.DUMMYFUNCTION("""COMPUTED_VALUE"""),628.0)</f>
        <v>628</v>
      </c>
      <c r="D4163" s="3">
        <f>IFERROR(__xludf.DUMMYFUNCTION("""COMPUTED_VALUE"""),202.0)</f>
        <v>202</v>
      </c>
      <c r="E4163" s="1" t="str">
        <f t="array" ref="E4163">_xlfn.XLOOKUP(A4163,Product!A:A,Product!B:B,"Bulunamadı")</f>
        <v>Arts</v>
      </c>
      <c r="F4163" s="1" t="str">
        <f t="array" ref="F4163">_xlfn.XLOOKUP(A4163,Product!A:A,Product!C:C,"Bulunamadı")</f>
        <v>Blockchain</v>
      </c>
      <c r="G4163" s="2" t="str">
        <f t="array" ref="G4163">_xlfn.XLOOKUP(A4164,Product!A:A,Product!D:D,"Bulunamadı")</f>
        <v>Harborlight House</v>
      </c>
      <c r="H4163" s="2">
        <f t="array" ref="H4163">_xlfn.XLOOKUP(A4165,Product!A:A,Product!E:E,"Bulunamadı")</f>
        <v>0.92</v>
      </c>
      <c r="I4163" s="2" t="str">
        <f t="shared" si="1"/>
        <v>158671 - Arts - Blockchain</v>
      </c>
      <c r="J4163" s="2">
        <f t="shared" si="2"/>
        <v>185.84</v>
      </c>
      <c r="K4163" s="17">
        <f t="shared" si="3"/>
        <v>1</v>
      </c>
      <c r="L4163" s="18"/>
    </row>
    <row r="4164">
      <c r="A4164" s="2">
        <f>IFERROR(__xludf.DUMMYFUNCTION("""COMPUTED_VALUE"""),118915.0)</f>
        <v>118915</v>
      </c>
      <c r="B4164" s="2">
        <f>IFERROR(__xludf.DUMMYFUNCTION("""COMPUTED_VALUE"""),1.0)</f>
        <v>1</v>
      </c>
      <c r="C4164" s="2">
        <f>IFERROR(__xludf.DUMMYFUNCTION("""COMPUTED_VALUE"""),545.0)</f>
        <v>545</v>
      </c>
      <c r="D4164" s="3">
        <f>IFERROR(__xludf.DUMMYFUNCTION("""COMPUTED_VALUE"""),155.0)</f>
        <v>155</v>
      </c>
      <c r="E4164" s="1" t="str">
        <f t="array" ref="E4164">_xlfn.XLOOKUP(A4164,Product!A:A,Product!B:B,"Bulunamadı")</f>
        <v>Arts</v>
      </c>
      <c r="F4164" s="1" t="str">
        <f t="array" ref="F4164">_xlfn.XLOOKUP(A4164,Product!A:A,Product!C:C,"Bulunamadı")</f>
        <v>Blockchain</v>
      </c>
      <c r="G4164" s="2" t="str">
        <f t="array" ref="G4164">_xlfn.XLOOKUP(A4165,Product!A:A,Product!D:D,"Bulunamadı")</f>
        <v>Harborlight House</v>
      </c>
      <c r="H4164" s="2">
        <f t="array" ref="H4164">_xlfn.XLOOKUP(A4166,Product!A:A,Product!E:E,"Bulunamadı")</f>
        <v>1.61</v>
      </c>
      <c r="I4164" s="2" t="str">
        <f t="shared" si="1"/>
        <v>118915 - Arts - Blockchain</v>
      </c>
      <c r="J4164" s="2">
        <f t="shared" si="2"/>
        <v>249.55</v>
      </c>
      <c r="K4164" s="17">
        <f t="shared" si="3"/>
        <v>1</v>
      </c>
      <c r="L4164" s="18"/>
    </row>
    <row r="4165">
      <c r="A4165" s="2">
        <f>IFERROR(__xludf.DUMMYFUNCTION("""COMPUTED_VALUE"""),88990.0)</f>
        <v>88990</v>
      </c>
      <c r="B4165" s="2">
        <f>IFERROR(__xludf.DUMMYFUNCTION("""COMPUTED_VALUE"""),1.0)</f>
        <v>1</v>
      </c>
      <c r="C4165" s="2">
        <f>IFERROR(__xludf.DUMMYFUNCTION("""COMPUTED_VALUE"""),179.0)</f>
        <v>179</v>
      </c>
      <c r="D4165" s="3">
        <f>IFERROR(__xludf.DUMMYFUNCTION("""COMPUTED_VALUE"""),108.0)</f>
        <v>108</v>
      </c>
      <c r="E4165" s="1" t="str">
        <f t="array" ref="E4165">_xlfn.XLOOKUP(A4165,Product!A:A,Product!B:B,"Bulunamadı")</f>
        <v>Arts</v>
      </c>
      <c r="F4165" s="1" t="str">
        <f t="array" ref="F4165">_xlfn.XLOOKUP(A4165,Product!A:A,Product!C:C,"Bulunamadı")</f>
        <v>Blockchain</v>
      </c>
      <c r="G4165" s="2" t="str">
        <f t="array" ref="G4165">_xlfn.XLOOKUP(A4166,Product!A:A,Product!D:D,"Bulunamadı")</f>
        <v>Harborlight House</v>
      </c>
      <c r="H4165" s="2">
        <f t="array" ref="H4165">_xlfn.XLOOKUP(A4167,Product!A:A,Product!E:E,"Bulunamadı")</f>
        <v>2.36</v>
      </c>
      <c r="I4165" s="2" t="str">
        <f t="shared" si="1"/>
        <v>88990 - Arts - Blockchain</v>
      </c>
      <c r="J4165" s="2">
        <f t="shared" si="2"/>
        <v>254.88</v>
      </c>
      <c r="K4165" s="17">
        <f t="shared" si="3"/>
        <v>1</v>
      </c>
      <c r="L4165" s="18"/>
    </row>
    <row r="4166">
      <c r="A4166" s="2">
        <f>IFERROR(__xludf.DUMMYFUNCTION("""COMPUTED_VALUE"""),73835.0)</f>
        <v>73835</v>
      </c>
      <c r="B4166" s="2">
        <f>IFERROR(__xludf.DUMMYFUNCTION("""COMPUTED_VALUE"""),1.0)</f>
        <v>1</v>
      </c>
      <c r="C4166" s="2">
        <f>IFERROR(__xludf.DUMMYFUNCTION("""COMPUTED_VALUE"""),602.0)</f>
        <v>602</v>
      </c>
      <c r="D4166" s="3">
        <f>IFERROR(__xludf.DUMMYFUNCTION("""COMPUTED_VALUE"""),585.0)</f>
        <v>585</v>
      </c>
      <c r="E4166" s="1" t="str">
        <f t="array" ref="E4166">_xlfn.XLOOKUP(A4166,Product!A:A,Product!B:B,"Bulunamadı")</f>
        <v>Arts</v>
      </c>
      <c r="F4166" s="1" t="str">
        <f t="array" ref="F4166">_xlfn.XLOOKUP(A4166,Product!A:A,Product!C:C,"Bulunamadı")</f>
        <v>Blockchain</v>
      </c>
      <c r="G4166" s="2" t="str">
        <f t="array" ref="G4166">_xlfn.XLOOKUP(A4167,Product!A:A,Product!D:D,"Bulunamadı")</f>
        <v>Harborlight House</v>
      </c>
      <c r="H4166" s="2">
        <f t="array" ref="H4166">_xlfn.XLOOKUP(A4168,Product!A:A,Product!E:E,"Bulunamadı")</f>
        <v>2.14</v>
      </c>
      <c r="I4166" s="2" t="str">
        <f t="shared" si="1"/>
        <v>73835 - Arts - Blockchain</v>
      </c>
      <c r="J4166" s="2">
        <f t="shared" si="2"/>
        <v>1251.9</v>
      </c>
      <c r="K4166" s="17">
        <f t="shared" si="3"/>
        <v>1</v>
      </c>
      <c r="L4166" s="18"/>
    </row>
    <row r="4167">
      <c r="A4167" s="2">
        <f>IFERROR(__xludf.DUMMYFUNCTION("""COMPUTED_VALUE"""),8699.0)</f>
        <v>8699</v>
      </c>
      <c r="B4167" s="2">
        <f>IFERROR(__xludf.DUMMYFUNCTION("""COMPUTED_VALUE"""),0.0)</f>
        <v>0</v>
      </c>
      <c r="C4167" s="2">
        <f>IFERROR(__xludf.DUMMYFUNCTION("""COMPUTED_VALUE"""),130.0)</f>
        <v>130</v>
      </c>
      <c r="D4167" s="3">
        <f>IFERROR(__xludf.DUMMYFUNCTION("""COMPUTED_VALUE"""),79.0)</f>
        <v>79</v>
      </c>
      <c r="E4167" s="1" t="str">
        <f t="array" ref="E4167">_xlfn.XLOOKUP(A4167,Product!A:A,Product!B:B,"Bulunamadı")</f>
        <v>Arts</v>
      </c>
      <c r="F4167" s="1" t="str">
        <f t="array" ref="F4167">_xlfn.XLOOKUP(A4167,Product!A:A,Product!C:C,"Bulunamadı")</f>
        <v>Blockchain</v>
      </c>
      <c r="G4167" s="2" t="str">
        <f t="array" ref="G4167">_xlfn.XLOOKUP(A4168,Product!A:A,Product!D:D,"Bulunamadı")</f>
        <v>Harborlight House</v>
      </c>
      <c r="H4167" s="2">
        <f t="array" ref="H4167">_xlfn.XLOOKUP(A4169,Product!A:A,Product!E:E,"Bulunamadı")</f>
        <v>2.38</v>
      </c>
      <c r="I4167" s="2" t="str">
        <f t="shared" si="1"/>
        <v>8699 - Arts - Blockchain</v>
      </c>
      <c r="J4167" s="2">
        <f t="shared" si="2"/>
        <v>188.02</v>
      </c>
      <c r="K4167" s="17">
        <f t="shared" si="3"/>
        <v>1</v>
      </c>
      <c r="L4167" s="18"/>
    </row>
    <row r="4168">
      <c r="A4168" s="2">
        <f>IFERROR(__xludf.DUMMYFUNCTION("""COMPUTED_VALUE"""),81494.0)</f>
        <v>81494</v>
      </c>
      <c r="B4168" s="2">
        <f>IFERROR(__xludf.DUMMYFUNCTION("""COMPUTED_VALUE"""),0.0)</f>
        <v>0</v>
      </c>
      <c r="C4168" s="2">
        <f>IFERROR(__xludf.DUMMYFUNCTION("""COMPUTED_VALUE"""),264.0)</f>
        <v>264</v>
      </c>
      <c r="D4168" s="3">
        <f>IFERROR(__xludf.DUMMYFUNCTION("""COMPUTED_VALUE"""),25.0)</f>
        <v>25</v>
      </c>
      <c r="E4168" s="1" t="str">
        <f t="array" ref="E4168">_xlfn.XLOOKUP(A4168,Product!A:A,Product!B:B,"Bulunamadı")</f>
        <v>Arts</v>
      </c>
      <c r="F4168" s="1" t="str">
        <f t="array" ref="F4168">_xlfn.XLOOKUP(A4168,Product!A:A,Product!C:C,"Bulunamadı")</f>
        <v>Blockchain</v>
      </c>
      <c r="G4168" s="2" t="str">
        <f t="array" ref="G4168">_xlfn.XLOOKUP(A4169,Product!A:A,Product!D:D,"Bulunamadı")</f>
        <v>Harborlight House</v>
      </c>
      <c r="H4168" s="2">
        <f t="array" ref="H4168">_xlfn.XLOOKUP(A4170,Product!A:A,Product!E:E,"Bulunamadı")</f>
        <v>2.9</v>
      </c>
      <c r="I4168" s="2" t="str">
        <f t="shared" si="1"/>
        <v>81494 - Arts - Blockchain</v>
      </c>
      <c r="J4168" s="2">
        <f t="shared" si="2"/>
        <v>72.5</v>
      </c>
      <c r="K4168" s="17">
        <f t="shared" si="3"/>
        <v>1</v>
      </c>
      <c r="L4168" s="18"/>
    </row>
    <row r="4169">
      <c r="A4169" s="2">
        <f>IFERROR(__xludf.DUMMYFUNCTION("""COMPUTED_VALUE"""),89821.0)</f>
        <v>89821</v>
      </c>
      <c r="B4169" s="2">
        <f>IFERROR(__xludf.DUMMYFUNCTION("""COMPUTED_VALUE"""),1.0)</f>
        <v>1</v>
      </c>
      <c r="C4169" s="2">
        <f>IFERROR(__xludf.DUMMYFUNCTION("""COMPUTED_VALUE"""),785.0)</f>
        <v>785</v>
      </c>
      <c r="D4169" s="3">
        <f>IFERROR(__xludf.DUMMYFUNCTION("""COMPUTED_VALUE"""),285.0)</f>
        <v>285</v>
      </c>
      <c r="E4169" s="1" t="str">
        <f t="array" ref="E4169">_xlfn.XLOOKUP(A4169,Product!A:A,Product!B:B,"Bulunamadı")</f>
        <v>Arts</v>
      </c>
      <c r="F4169" s="1" t="str">
        <f t="array" ref="F4169">_xlfn.XLOOKUP(A4169,Product!A:A,Product!C:C,"Bulunamadı")</f>
        <v>Blockchain</v>
      </c>
      <c r="G4169" s="2" t="str">
        <f t="array" ref="G4169">_xlfn.XLOOKUP(A4170,Product!A:A,Product!D:D,"Bulunamadı")</f>
        <v>Harborlight House</v>
      </c>
      <c r="H4169" s="2">
        <f t="array" ref="H4169">_xlfn.XLOOKUP(A4171,Product!A:A,Product!E:E,"Bulunamadı")</f>
        <v>2.48</v>
      </c>
      <c r="I4169" s="2" t="str">
        <f t="shared" si="1"/>
        <v>89821 - Arts - Blockchain</v>
      </c>
      <c r="J4169" s="2">
        <f t="shared" si="2"/>
        <v>706.8</v>
      </c>
      <c r="K4169" s="17">
        <f t="shared" si="3"/>
        <v>1</v>
      </c>
      <c r="L4169" s="18"/>
    </row>
    <row r="4170">
      <c r="A4170" s="2">
        <f>IFERROR(__xludf.DUMMYFUNCTION("""COMPUTED_VALUE"""),83567.0)</f>
        <v>83567</v>
      </c>
      <c r="B4170" s="2">
        <f>IFERROR(__xludf.DUMMYFUNCTION("""COMPUTED_VALUE"""),0.0)</f>
        <v>0</v>
      </c>
      <c r="C4170" s="2">
        <f>IFERROR(__xludf.DUMMYFUNCTION("""COMPUTED_VALUE"""),826.0)</f>
        <v>826</v>
      </c>
      <c r="D4170" s="3">
        <f>IFERROR(__xludf.DUMMYFUNCTION("""COMPUTED_VALUE"""),330.0)</f>
        <v>330</v>
      </c>
      <c r="E4170" s="1" t="str">
        <f t="array" ref="E4170">_xlfn.XLOOKUP(A4170,Product!A:A,Product!B:B,"Bulunamadı")</f>
        <v>Arts</v>
      </c>
      <c r="F4170" s="1" t="str">
        <f t="array" ref="F4170">_xlfn.XLOOKUP(A4170,Product!A:A,Product!C:C,"Bulunamadı")</f>
        <v>Blockchain</v>
      </c>
      <c r="G4170" s="2" t="str">
        <f t="array" ref="G4170">_xlfn.XLOOKUP(A4171,Product!A:A,Product!D:D,"Bulunamadı")</f>
        <v>Harborlight House</v>
      </c>
      <c r="H4170" s="2">
        <f t="array" ref="H4170">_xlfn.XLOOKUP(A4172,Product!A:A,Product!E:E,"Bulunamadı")</f>
        <v>1.11</v>
      </c>
      <c r="I4170" s="2" t="str">
        <f t="shared" si="1"/>
        <v>83567 - Arts - Blockchain</v>
      </c>
      <c r="J4170" s="2">
        <f t="shared" si="2"/>
        <v>366.3</v>
      </c>
      <c r="K4170" s="17">
        <f t="shared" si="3"/>
        <v>1</v>
      </c>
      <c r="L4170" s="18"/>
    </row>
    <row r="4171">
      <c r="A4171" s="2">
        <f>IFERROR(__xludf.DUMMYFUNCTION("""COMPUTED_VALUE"""),69323.0)</f>
        <v>69323</v>
      </c>
      <c r="B4171" s="2">
        <f>IFERROR(__xludf.DUMMYFUNCTION("""COMPUTED_VALUE"""),1.0)</f>
        <v>1</v>
      </c>
      <c r="C4171" s="2">
        <f>IFERROR(__xludf.DUMMYFUNCTION("""COMPUTED_VALUE"""),799.0)</f>
        <v>799</v>
      </c>
      <c r="D4171" s="3">
        <f>IFERROR(__xludf.DUMMYFUNCTION("""COMPUTED_VALUE"""),722.0)</f>
        <v>722</v>
      </c>
      <c r="E4171" s="1" t="str">
        <f t="array" ref="E4171">_xlfn.XLOOKUP(A4171,Product!A:A,Product!B:B,"Bulunamadı")</f>
        <v>Arts</v>
      </c>
      <c r="F4171" s="1" t="str">
        <f t="array" ref="F4171">_xlfn.XLOOKUP(A4171,Product!A:A,Product!C:C,"Bulunamadı")</f>
        <v>Blockchain</v>
      </c>
      <c r="G4171" s="2" t="str">
        <f t="array" ref="G4171">_xlfn.XLOOKUP(A4172,Product!A:A,Product!D:D,"Bulunamadı")</f>
        <v>Harborlight House</v>
      </c>
      <c r="H4171" s="2">
        <f t="array" ref="H4171">_xlfn.XLOOKUP(A4173,Product!A:A,Product!E:E,"Bulunamadı")</f>
        <v>2.07</v>
      </c>
      <c r="I4171" s="2" t="str">
        <f t="shared" si="1"/>
        <v>69323 - Arts - Blockchain</v>
      </c>
      <c r="J4171" s="2">
        <f t="shared" si="2"/>
        <v>1494.54</v>
      </c>
      <c r="K4171" s="17">
        <f t="shared" si="3"/>
        <v>1</v>
      </c>
      <c r="L4171" s="18"/>
    </row>
    <row r="4172">
      <c r="A4172" s="2">
        <f>IFERROR(__xludf.DUMMYFUNCTION("""COMPUTED_VALUE"""),88976.0)</f>
        <v>88976</v>
      </c>
      <c r="B4172" s="2">
        <f>IFERROR(__xludf.DUMMYFUNCTION("""COMPUTED_VALUE"""),0.0)</f>
        <v>0</v>
      </c>
      <c r="C4172" s="2">
        <f>IFERROR(__xludf.DUMMYFUNCTION("""COMPUTED_VALUE"""),358.0)</f>
        <v>358</v>
      </c>
      <c r="D4172" s="3">
        <f>IFERROR(__xludf.DUMMYFUNCTION("""COMPUTED_VALUE"""),129.0)</f>
        <v>129</v>
      </c>
      <c r="E4172" s="1" t="str">
        <f t="array" ref="E4172">_xlfn.XLOOKUP(A4172,Product!A:A,Product!B:B,"Bulunamadı")</f>
        <v>Arts</v>
      </c>
      <c r="F4172" s="1" t="str">
        <f t="array" ref="F4172">_xlfn.XLOOKUP(A4172,Product!A:A,Product!C:C,"Bulunamadı")</f>
        <v>Blockchain</v>
      </c>
      <c r="G4172" s="2" t="str">
        <f t="array" ref="G4172">_xlfn.XLOOKUP(A4173,Product!A:A,Product!D:D,"Bulunamadı")</f>
        <v>Harborlight House</v>
      </c>
      <c r="H4172" s="2">
        <f t="array" ref="H4172">_xlfn.XLOOKUP(A4174,Product!A:A,Product!E:E,"Bulunamadı")</f>
        <v>2.03</v>
      </c>
      <c r="I4172" s="2" t="str">
        <f t="shared" si="1"/>
        <v>88976 - Arts - Blockchain</v>
      </c>
      <c r="J4172" s="2">
        <f t="shared" si="2"/>
        <v>261.87</v>
      </c>
      <c r="K4172" s="17">
        <f t="shared" si="3"/>
        <v>1</v>
      </c>
      <c r="L4172" s="18"/>
    </row>
    <row r="4173">
      <c r="A4173" s="2">
        <f>IFERROR(__xludf.DUMMYFUNCTION("""COMPUTED_VALUE"""),199415.0)</f>
        <v>199415</v>
      </c>
      <c r="B4173" s="2">
        <f>IFERROR(__xludf.DUMMYFUNCTION("""COMPUTED_VALUE"""),0.0)</f>
        <v>0</v>
      </c>
      <c r="C4173" s="2">
        <f>IFERROR(__xludf.DUMMYFUNCTION("""COMPUTED_VALUE"""),802.0)</f>
        <v>802</v>
      </c>
      <c r="D4173" s="3">
        <f>IFERROR(__xludf.DUMMYFUNCTION("""COMPUTED_VALUE"""),381.0)</f>
        <v>381</v>
      </c>
      <c r="E4173" s="1" t="str">
        <f t="array" ref="E4173">_xlfn.XLOOKUP(A4173,Product!A:A,Product!B:B,"Bulunamadı")</f>
        <v>Arts</v>
      </c>
      <c r="F4173" s="1" t="str">
        <f t="array" ref="F4173">_xlfn.XLOOKUP(A4173,Product!A:A,Product!C:C,"Bulunamadı")</f>
        <v>Blockchain</v>
      </c>
      <c r="G4173" s="2" t="str">
        <f t="array" ref="G4173">_xlfn.XLOOKUP(A4174,Product!A:A,Product!D:D,"Bulunamadı")</f>
        <v>Harborlight House</v>
      </c>
      <c r="H4173" s="2">
        <f t="array" ref="H4173">_xlfn.XLOOKUP(A4175,Product!A:A,Product!E:E,"Bulunamadı")</f>
        <v>2.24</v>
      </c>
      <c r="I4173" s="2" t="str">
        <f t="shared" si="1"/>
        <v>199415 - Arts - Blockchain</v>
      </c>
      <c r="J4173" s="2">
        <f t="shared" si="2"/>
        <v>853.44</v>
      </c>
      <c r="K4173" s="17">
        <f t="shared" si="3"/>
        <v>1</v>
      </c>
      <c r="L4173" s="18"/>
    </row>
    <row r="4174">
      <c r="A4174" s="2">
        <f>IFERROR(__xludf.DUMMYFUNCTION("""COMPUTED_VALUE"""),112792.0)</f>
        <v>112792</v>
      </c>
      <c r="B4174" s="2">
        <f>IFERROR(__xludf.DUMMYFUNCTION("""COMPUTED_VALUE"""),1.0)</f>
        <v>1</v>
      </c>
      <c r="C4174" s="2">
        <f>IFERROR(__xludf.DUMMYFUNCTION("""COMPUTED_VALUE"""),615.0)</f>
        <v>615</v>
      </c>
      <c r="D4174" s="3">
        <f>IFERROR(__xludf.DUMMYFUNCTION("""COMPUTED_VALUE"""),513.0)</f>
        <v>513</v>
      </c>
      <c r="E4174" s="1" t="str">
        <f t="array" ref="E4174">_xlfn.XLOOKUP(A4174,Product!A:A,Product!B:B,"Bulunamadı")</f>
        <v>Arts</v>
      </c>
      <c r="F4174" s="1" t="str">
        <f t="array" ref="F4174">_xlfn.XLOOKUP(A4174,Product!A:A,Product!C:C,"Bulunamadı")</f>
        <v>Blockchain</v>
      </c>
      <c r="G4174" s="2" t="str">
        <f t="array" ref="G4174">_xlfn.XLOOKUP(A4175,Product!A:A,Product!D:D,"Bulunamadı")</f>
        <v>Harborlight House</v>
      </c>
      <c r="H4174" s="2">
        <f t="array" ref="H4174">_xlfn.XLOOKUP(A4176,Product!A:A,Product!E:E,"Bulunamadı")</f>
        <v>1.87</v>
      </c>
      <c r="I4174" s="2" t="str">
        <f t="shared" si="1"/>
        <v>112792 - Arts - Blockchain</v>
      </c>
      <c r="J4174" s="2">
        <f t="shared" si="2"/>
        <v>959.31</v>
      </c>
      <c r="K4174" s="17">
        <f t="shared" si="3"/>
        <v>1</v>
      </c>
      <c r="L4174" s="18"/>
    </row>
    <row r="4175">
      <c r="A4175" s="2">
        <f>IFERROR(__xludf.DUMMYFUNCTION("""COMPUTED_VALUE"""),104322.0)</f>
        <v>104322</v>
      </c>
      <c r="B4175" s="2">
        <f>IFERROR(__xludf.DUMMYFUNCTION("""COMPUTED_VALUE"""),0.0)</f>
        <v>0</v>
      </c>
      <c r="C4175" s="2">
        <f>IFERROR(__xludf.DUMMYFUNCTION("""COMPUTED_VALUE"""),514.0)</f>
        <v>514</v>
      </c>
      <c r="D4175" s="3">
        <f>IFERROR(__xludf.DUMMYFUNCTION("""COMPUTED_VALUE"""),124.0)</f>
        <v>124</v>
      </c>
      <c r="E4175" s="1" t="str">
        <f t="array" ref="E4175">_xlfn.XLOOKUP(A4175,Product!A:A,Product!B:B,"Bulunamadı")</f>
        <v>Arts</v>
      </c>
      <c r="F4175" s="1" t="str">
        <f t="array" ref="F4175">_xlfn.XLOOKUP(A4175,Product!A:A,Product!C:C,"Bulunamadı")</f>
        <v>Blockchain</v>
      </c>
      <c r="G4175" s="2" t="str">
        <f t="array" ref="G4175">_xlfn.XLOOKUP(A4176,Product!A:A,Product!D:D,"Bulunamadı")</f>
        <v>Harborlight House</v>
      </c>
      <c r="H4175" s="2">
        <f t="array" ref="H4175">_xlfn.XLOOKUP(A4177,Product!A:A,Product!E:E,"Bulunamadı")</f>
        <v>2.68</v>
      </c>
      <c r="I4175" s="2" t="str">
        <f t="shared" si="1"/>
        <v>104322 - Arts - Blockchain</v>
      </c>
      <c r="J4175" s="2">
        <f t="shared" si="2"/>
        <v>332.32</v>
      </c>
      <c r="K4175" s="17">
        <f t="shared" si="3"/>
        <v>1</v>
      </c>
      <c r="L4175" s="18"/>
    </row>
    <row r="4176">
      <c r="A4176" s="2">
        <f>IFERROR(__xludf.DUMMYFUNCTION("""COMPUTED_VALUE"""),69321.0)</f>
        <v>69321</v>
      </c>
      <c r="B4176" s="2">
        <f>IFERROR(__xludf.DUMMYFUNCTION("""COMPUTED_VALUE"""),1.0)</f>
        <v>1</v>
      </c>
      <c r="C4176" s="2">
        <f>IFERROR(__xludf.DUMMYFUNCTION("""COMPUTED_VALUE"""),857.0)</f>
        <v>857</v>
      </c>
      <c r="D4176" s="3">
        <f>IFERROR(__xludf.DUMMYFUNCTION("""COMPUTED_VALUE"""),506.0)</f>
        <v>506</v>
      </c>
      <c r="E4176" s="1" t="str">
        <f t="array" ref="E4176">_xlfn.XLOOKUP(A4176,Product!A:A,Product!B:B,"Bulunamadı")</f>
        <v>Arts</v>
      </c>
      <c r="F4176" s="1" t="str">
        <f t="array" ref="F4176">_xlfn.XLOOKUP(A4176,Product!A:A,Product!C:C,"Bulunamadı")</f>
        <v>Blockchain</v>
      </c>
      <c r="G4176" s="2" t="str">
        <f t="array" ref="G4176">_xlfn.XLOOKUP(A4177,Product!A:A,Product!D:D,"Bulunamadı")</f>
        <v>Harborlight House</v>
      </c>
      <c r="H4176" s="2">
        <f t="array" ref="H4176">_xlfn.XLOOKUP(A4178,Product!A:A,Product!E:E,"Bulunamadı")</f>
        <v>1.73</v>
      </c>
      <c r="I4176" s="2" t="str">
        <f t="shared" si="1"/>
        <v>69321 - Arts - Blockchain</v>
      </c>
      <c r="J4176" s="2">
        <f t="shared" si="2"/>
        <v>875.38</v>
      </c>
      <c r="K4176" s="17">
        <f t="shared" si="3"/>
        <v>1</v>
      </c>
      <c r="L4176" s="18"/>
    </row>
    <row r="4177">
      <c r="A4177" s="2">
        <f>IFERROR(__xludf.DUMMYFUNCTION("""COMPUTED_VALUE"""),110948.0)</f>
        <v>110948</v>
      </c>
      <c r="B4177" s="2">
        <f>IFERROR(__xludf.DUMMYFUNCTION("""COMPUTED_VALUE"""),1.0)</f>
        <v>1</v>
      </c>
      <c r="C4177" s="2">
        <f>IFERROR(__xludf.DUMMYFUNCTION("""COMPUTED_VALUE"""),73.0)</f>
        <v>73</v>
      </c>
      <c r="D4177" s="3">
        <f>IFERROR(__xludf.DUMMYFUNCTION("""COMPUTED_VALUE"""),47.0)</f>
        <v>47</v>
      </c>
      <c r="E4177" s="1" t="str">
        <f t="array" ref="E4177">_xlfn.XLOOKUP(A4177,Product!A:A,Product!B:B,"Bulunamadı")</f>
        <v>Arts</v>
      </c>
      <c r="F4177" s="1" t="str">
        <f t="array" ref="F4177">_xlfn.XLOOKUP(A4177,Product!A:A,Product!C:C,"Bulunamadı")</f>
        <v>Blockchain</v>
      </c>
      <c r="G4177" s="2" t="str">
        <f t="array" ref="G4177">_xlfn.XLOOKUP(A4178,Product!A:A,Product!D:D,"Bulunamadı")</f>
        <v>Harborlight House</v>
      </c>
      <c r="H4177" s="2">
        <f t="array" ref="H4177">_xlfn.XLOOKUP(A4179,Product!A:A,Product!E:E,"Bulunamadı")</f>
        <v>1.82</v>
      </c>
      <c r="I4177" s="2" t="str">
        <f t="shared" si="1"/>
        <v>110948 - Arts - Blockchain</v>
      </c>
      <c r="J4177" s="2">
        <f t="shared" si="2"/>
        <v>85.54</v>
      </c>
      <c r="K4177" s="17">
        <f t="shared" si="3"/>
        <v>1</v>
      </c>
      <c r="L4177" s="18"/>
    </row>
    <row r="4178">
      <c r="A4178" s="2">
        <f>IFERROR(__xludf.DUMMYFUNCTION("""COMPUTED_VALUE"""),82008.0)</f>
        <v>82008</v>
      </c>
      <c r="B4178" s="2">
        <f>IFERROR(__xludf.DUMMYFUNCTION("""COMPUTED_VALUE"""),1.0)</f>
        <v>1</v>
      </c>
      <c r="C4178" s="2">
        <f>IFERROR(__xludf.DUMMYFUNCTION("""COMPUTED_VALUE"""),522.0)</f>
        <v>522</v>
      </c>
      <c r="D4178" s="3">
        <f>IFERROR(__xludf.DUMMYFUNCTION("""COMPUTED_VALUE"""),91.0)</f>
        <v>91</v>
      </c>
      <c r="E4178" s="1" t="str">
        <f t="array" ref="E4178">_xlfn.XLOOKUP(A4178,Product!A:A,Product!B:B,"Bulunamadı")</f>
        <v>Arts</v>
      </c>
      <c r="F4178" s="1" t="str">
        <f t="array" ref="F4178">_xlfn.XLOOKUP(A4178,Product!A:A,Product!C:C,"Bulunamadı")</f>
        <v>Blockchain</v>
      </c>
      <c r="G4178" s="2" t="str">
        <f t="array" ref="G4178">_xlfn.XLOOKUP(A4179,Product!A:A,Product!D:D,"Bulunamadı")</f>
        <v>Harborlight House</v>
      </c>
      <c r="H4178" s="2">
        <f t="array" ref="H4178">_xlfn.XLOOKUP(A4180,Product!A:A,Product!E:E,"Bulunamadı")</f>
        <v>1.77</v>
      </c>
      <c r="I4178" s="2" t="str">
        <f t="shared" si="1"/>
        <v>82008 - Arts - Blockchain</v>
      </c>
      <c r="J4178" s="2">
        <f t="shared" si="2"/>
        <v>161.07</v>
      </c>
      <c r="K4178" s="17">
        <f t="shared" si="3"/>
        <v>1</v>
      </c>
      <c r="L4178" s="18"/>
    </row>
    <row r="4179">
      <c r="A4179" s="2">
        <f>IFERROR(__xludf.DUMMYFUNCTION("""COMPUTED_VALUE"""),86987.0)</f>
        <v>86987</v>
      </c>
      <c r="B4179" s="2">
        <f>IFERROR(__xludf.DUMMYFUNCTION("""COMPUTED_VALUE"""),1.0)</f>
        <v>1</v>
      </c>
      <c r="C4179" s="2">
        <f>IFERROR(__xludf.DUMMYFUNCTION("""COMPUTED_VALUE"""),417.0)</f>
        <v>417</v>
      </c>
      <c r="D4179" s="3">
        <f>IFERROR(__xludf.DUMMYFUNCTION("""COMPUTED_VALUE"""),318.0)</f>
        <v>318</v>
      </c>
      <c r="E4179" s="1" t="str">
        <f t="array" ref="E4179">_xlfn.XLOOKUP(A4179,Product!A:A,Product!B:B,"Bulunamadı")</f>
        <v>Arts</v>
      </c>
      <c r="F4179" s="1" t="str">
        <f t="array" ref="F4179">_xlfn.XLOOKUP(A4179,Product!A:A,Product!C:C,"Bulunamadı")</f>
        <v>Blockchain</v>
      </c>
      <c r="G4179" s="2" t="str">
        <f t="array" ref="G4179">_xlfn.XLOOKUP(A4180,Product!A:A,Product!D:D,"Bulunamadı")</f>
        <v>Harborlight House</v>
      </c>
      <c r="H4179" s="2">
        <f t="array" ref="H4179">_xlfn.XLOOKUP(A4181,Product!A:A,Product!E:E,"Bulunamadı")</f>
        <v>1.75</v>
      </c>
      <c r="I4179" s="2" t="str">
        <f t="shared" si="1"/>
        <v>86987 - Arts - Blockchain</v>
      </c>
      <c r="J4179" s="2">
        <f t="shared" si="2"/>
        <v>556.5</v>
      </c>
      <c r="K4179" s="17">
        <f t="shared" si="3"/>
        <v>1</v>
      </c>
      <c r="L4179" s="18"/>
    </row>
    <row r="4180">
      <c r="A4180" s="2">
        <f>IFERROR(__xludf.DUMMYFUNCTION("""COMPUTED_VALUE"""),118912.0)</f>
        <v>118912</v>
      </c>
      <c r="B4180" s="2">
        <f>IFERROR(__xludf.DUMMYFUNCTION("""COMPUTED_VALUE"""),1.0)</f>
        <v>1</v>
      </c>
      <c r="C4180" s="2">
        <f>IFERROR(__xludf.DUMMYFUNCTION("""COMPUTED_VALUE"""),301.0)</f>
        <v>301</v>
      </c>
      <c r="D4180" s="3">
        <f>IFERROR(__xludf.DUMMYFUNCTION("""COMPUTED_VALUE"""),9.0)</f>
        <v>9</v>
      </c>
      <c r="E4180" s="1" t="str">
        <f t="array" ref="E4180">_xlfn.XLOOKUP(A4180,Product!A:A,Product!B:B,"Bulunamadı")</f>
        <v>Arts</v>
      </c>
      <c r="F4180" s="1" t="str">
        <f t="array" ref="F4180">_xlfn.XLOOKUP(A4180,Product!A:A,Product!C:C,"Bulunamadı")</f>
        <v>Blockchain</v>
      </c>
      <c r="G4180" s="2" t="str">
        <f t="array" ref="G4180">_xlfn.XLOOKUP(A4181,Product!A:A,Product!D:D,"Bulunamadı")</f>
        <v>Harborlight House</v>
      </c>
      <c r="H4180" s="2">
        <f t="array" ref="H4180">_xlfn.XLOOKUP(A4182,Product!A:A,Product!E:E,"Bulunamadı")</f>
        <v>1.85</v>
      </c>
      <c r="I4180" s="2" t="str">
        <f t="shared" si="1"/>
        <v>118912 - Arts - Blockchain</v>
      </c>
      <c r="J4180" s="2">
        <f t="shared" si="2"/>
        <v>16.65</v>
      </c>
      <c r="K4180" s="17">
        <f t="shared" si="3"/>
        <v>1</v>
      </c>
      <c r="L4180" s="18"/>
    </row>
    <row r="4181">
      <c r="A4181" s="2">
        <f>IFERROR(__xludf.DUMMYFUNCTION("""COMPUTED_VALUE"""),47048.0)</f>
        <v>47048</v>
      </c>
      <c r="B4181" s="2">
        <f>IFERROR(__xludf.DUMMYFUNCTION("""COMPUTED_VALUE"""),0.0)</f>
        <v>0</v>
      </c>
      <c r="C4181" s="2">
        <f>IFERROR(__xludf.DUMMYFUNCTION("""COMPUTED_VALUE"""),444.0)</f>
        <v>444</v>
      </c>
      <c r="D4181" s="3">
        <f>IFERROR(__xludf.DUMMYFUNCTION("""COMPUTED_VALUE"""),332.0)</f>
        <v>332</v>
      </c>
      <c r="E4181" s="1" t="str">
        <f t="array" ref="E4181">_xlfn.XLOOKUP(A4181,Product!A:A,Product!B:B,"Bulunamadı")</f>
        <v>Arts</v>
      </c>
      <c r="F4181" s="1" t="str">
        <f t="array" ref="F4181">_xlfn.XLOOKUP(A4181,Product!A:A,Product!C:C,"Bulunamadı")</f>
        <v>Blockchain</v>
      </c>
      <c r="G4181" s="2" t="str">
        <f t="array" ref="G4181">_xlfn.XLOOKUP(A4182,Product!A:A,Product!D:D,"Bulunamadı")</f>
        <v>Harborlight House</v>
      </c>
      <c r="H4181" s="2">
        <f t="array" ref="H4181">_xlfn.XLOOKUP(A4183,Product!A:A,Product!E:E,"Bulunamadı")</f>
        <v>2.5</v>
      </c>
      <c r="I4181" s="2" t="str">
        <f t="shared" si="1"/>
        <v>47048 - Arts - Blockchain</v>
      </c>
      <c r="J4181" s="2">
        <f t="shared" si="2"/>
        <v>830</v>
      </c>
      <c r="K4181" s="17">
        <f t="shared" si="3"/>
        <v>1</v>
      </c>
      <c r="L4181" s="18"/>
    </row>
    <row r="4182">
      <c r="A4182" s="2">
        <f>IFERROR(__xludf.DUMMYFUNCTION("""COMPUTED_VALUE"""),103870.0)</f>
        <v>103870</v>
      </c>
      <c r="B4182" s="2">
        <f>IFERROR(__xludf.DUMMYFUNCTION("""COMPUTED_VALUE"""),0.0)</f>
        <v>0</v>
      </c>
      <c r="C4182" s="2">
        <f>IFERROR(__xludf.DUMMYFUNCTION("""COMPUTED_VALUE"""),29.0)</f>
        <v>29</v>
      </c>
      <c r="D4182" s="3">
        <f>IFERROR(__xludf.DUMMYFUNCTION("""COMPUTED_VALUE"""),18.0)</f>
        <v>18</v>
      </c>
      <c r="E4182" s="1" t="str">
        <f t="array" ref="E4182">_xlfn.XLOOKUP(A4182,Product!A:A,Product!B:B,"Bulunamadı")</f>
        <v>Arts</v>
      </c>
      <c r="F4182" s="1" t="str">
        <f t="array" ref="F4182">_xlfn.XLOOKUP(A4182,Product!A:A,Product!C:C,"Bulunamadı")</f>
        <v>Blockchain</v>
      </c>
      <c r="G4182" s="2" t="str">
        <f t="array" ref="G4182">_xlfn.XLOOKUP(A4183,Product!A:A,Product!D:D,"Bulunamadı")</f>
        <v>Harborlight House</v>
      </c>
      <c r="H4182" s="2">
        <f t="array" ref="H4182">_xlfn.XLOOKUP(A4184,Product!A:A,Product!E:E,"Bulunamadı")</f>
        <v>1.31</v>
      </c>
      <c r="I4182" s="2" t="str">
        <f t="shared" si="1"/>
        <v>103870 - Arts - Blockchain</v>
      </c>
      <c r="J4182" s="2">
        <f t="shared" si="2"/>
        <v>23.58</v>
      </c>
      <c r="K4182" s="17">
        <f t="shared" si="3"/>
        <v>1</v>
      </c>
      <c r="L4182" s="18"/>
    </row>
    <row r="4183">
      <c r="A4183" s="2">
        <f>IFERROR(__xludf.DUMMYFUNCTION("""COMPUTED_VALUE"""),86985.0)</f>
        <v>86985</v>
      </c>
      <c r="B4183" s="2">
        <f>IFERROR(__xludf.DUMMYFUNCTION("""COMPUTED_VALUE"""),1.0)</f>
        <v>1</v>
      </c>
      <c r="C4183" s="2">
        <f>IFERROR(__xludf.DUMMYFUNCTION("""COMPUTED_VALUE"""),780.0)</f>
        <v>780</v>
      </c>
      <c r="D4183" s="3">
        <f>IFERROR(__xludf.DUMMYFUNCTION("""COMPUTED_VALUE"""),697.0)</f>
        <v>697</v>
      </c>
      <c r="E4183" s="1" t="str">
        <f t="array" ref="E4183">_xlfn.XLOOKUP(A4183,Product!A:A,Product!B:B,"Bulunamadı")</f>
        <v>Arts</v>
      </c>
      <c r="F4183" s="1" t="str">
        <f t="array" ref="F4183">_xlfn.XLOOKUP(A4183,Product!A:A,Product!C:C,"Bulunamadı")</f>
        <v>Blockchain</v>
      </c>
      <c r="G4183" s="2" t="str">
        <f t="array" ref="G4183">_xlfn.XLOOKUP(A4184,Product!A:A,Product!D:D,"Bulunamadı")</f>
        <v>Harborlight House</v>
      </c>
      <c r="H4183" s="2">
        <f t="array" ref="H4183">_xlfn.XLOOKUP(A4185,Product!A:A,Product!E:E,"Bulunamadı")</f>
        <v>2.05</v>
      </c>
      <c r="I4183" s="2" t="str">
        <f t="shared" si="1"/>
        <v>86985 - Arts - Blockchain</v>
      </c>
      <c r="J4183" s="2">
        <f t="shared" si="2"/>
        <v>1428.85</v>
      </c>
      <c r="K4183" s="17">
        <f t="shared" si="3"/>
        <v>1</v>
      </c>
      <c r="L4183" s="18"/>
    </row>
    <row r="4184">
      <c r="A4184" s="2">
        <f>IFERROR(__xludf.DUMMYFUNCTION("""COMPUTED_VALUE"""),82005.0)</f>
        <v>82005</v>
      </c>
      <c r="B4184" s="2">
        <f>IFERROR(__xludf.DUMMYFUNCTION("""COMPUTED_VALUE"""),1.0)</f>
        <v>1</v>
      </c>
      <c r="C4184" s="2">
        <f>IFERROR(__xludf.DUMMYFUNCTION("""COMPUTED_VALUE"""),44.0)</f>
        <v>44</v>
      </c>
      <c r="D4184" s="3">
        <f>IFERROR(__xludf.DUMMYFUNCTION("""COMPUTED_VALUE"""),17.0)</f>
        <v>17</v>
      </c>
      <c r="E4184" s="1" t="str">
        <f t="array" ref="E4184">_xlfn.XLOOKUP(A4184,Product!A:A,Product!B:B,"Bulunamadı")</f>
        <v>Arts</v>
      </c>
      <c r="F4184" s="1" t="str">
        <f t="array" ref="F4184">_xlfn.XLOOKUP(A4184,Product!A:A,Product!C:C,"Bulunamadı")</f>
        <v>Blockchain</v>
      </c>
      <c r="G4184" s="2" t="str">
        <f t="array" ref="G4184">_xlfn.XLOOKUP(A4185,Product!A:A,Product!D:D,"Bulunamadı")</f>
        <v>Harborlight House</v>
      </c>
      <c r="H4184" s="2">
        <f t="array" ref="H4184">_xlfn.XLOOKUP(A4186,Product!A:A,Product!E:E,"Bulunamadı")</f>
        <v>34.67</v>
      </c>
      <c r="I4184" s="2" t="str">
        <f t="shared" si="1"/>
        <v>82005 - Arts - Blockchain</v>
      </c>
      <c r="J4184" s="2">
        <f t="shared" si="2"/>
        <v>589.39</v>
      </c>
      <c r="K4184" s="17">
        <f t="shared" si="3"/>
        <v>1</v>
      </c>
      <c r="L4184" s="18"/>
    </row>
    <row r="4185">
      <c r="A4185" s="2">
        <f>IFERROR(__xludf.DUMMYFUNCTION("""COMPUTED_VALUE"""),119053.0)</f>
        <v>119053</v>
      </c>
      <c r="B4185" s="2">
        <f>IFERROR(__xludf.DUMMYFUNCTION("""COMPUTED_VALUE"""),0.0)</f>
        <v>0</v>
      </c>
      <c r="C4185" s="2">
        <f>IFERROR(__xludf.DUMMYFUNCTION("""COMPUTED_VALUE"""),668.0)</f>
        <v>668</v>
      </c>
      <c r="D4185" s="3">
        <f>IFERROR(__xludf.DUMMYFUNCTION("""COMPUTED_VALUE"""),554.0)</f>
        <v>554</v>
      </c>
      <c r="E4185" s="1" t="str">
        <f t="array" ref="E4185">_xlfn.XLOOKUP(A4185,Product!A:A,Product!B:B,"Bulunamadı")</f>
        <v>Arts</v>
      </c>
      <c r="F4185" s="1" t="str">
        <f t="array" ref="F4185">_xlfn.XLOOKUP(A4185,Product!A:A,Product!C:C,"Bulunamadı")</f>
        <v>Blockchain</v>
      </c>
      <c r="G4185" s="2" t="str">
        <f t="array" ref="G4185">_xlfn.XLOOKUP(A4186,Product!A:A,Product!D:D,"Bulunamadı")</f>
        <v>Cedarlight House</v>
      </c>
      <c r="H4185" s="2">
        <f t="array" ref="H4185">_xlfn.XLOOKUP(A4187,Product!A:A,Product!E:E,"Bulunamadı")</f>
        <v>12.24</v>
      </c>
      <c r="I4185" s="2" t="str">
        <f t="shared" si="1"/>
        <v>119053 - Arts - Blockchain</v>
      </c>
      <c r="J4185" s="2">
        <f t="shared" si="2"/>
        <v>6780.96</v>
      </c>
      <c r="K4185" s="17">
        <f t="shared" si="3"/>
        <v>1</v>
      </c>
      <c r="L4185" s="18"/>
    </row>
    <row r="4186" hidden="1">
      <c r="A4186" s="2">
        <f>IFERROR(__xludf.DUMMYFUNCTION("""COMPUTED_VALUE"""),102015.0)</f>
        <v>102015</v>
      </c>
      <c r="B4186" s="2">
        <f>IFERROR(__xludf.DUMMYFUNCTION("""COMPUTED_VALUE"""),1.0)</f>
        <v>1</v>
      </c>
      <c r="C4186" s="2">
        <f>IFERROR(__xludf.DUMMYFUNCTION("""COMPUTED_VALUE"""),14.0)</f>
        <v>14</v>
      </c>
      <c r="D4186" s="3">
        <f>IFERROR(__xludf.DUMMYFUNCTION("""COMPUTED_VALUE"""),6.0)</f>
        <v>6</v>
      </c>
      <c r="E4186" s="1" t="str">
        <f t="array" ref="E4186">_xlfn.XLOOKUP(A4186,Product!A:A,Product!B:B,"Bulunamadı")</f>
        <v>Self-Help</v>
      </c>
      <c r="F4186" s="1" t="str">
        <f t="array" ref="F4186">_xlfn.XLOOKUP(A4186,Product!A:A,Product!C:C,"Bulunamadı")</f>
        <v>Game Development</v>
      </c>
      <c r="G4186" s="2" t="str">
        <f t="array" ref="G4186">_xlfn.XLOOKUP(A4187,Product!A:A,Product!D:D,"Bulunamadı")</f>
        <v>Brightlight House</v>
      </c>
      <c r="H4186" s="2">
        <f t="array" ref="H4186">_xlfn.XLOOKUP(A4188,Product!A:A,Product!E:E,"Bulunamadı")</f>
        <v>28.45</v>
      </c>
      <c r="I4186" s="2" t="str">
        <f t="shared" si="1"/>
        <v>102015 - Self-Help - Game Development</v>
      </c>
      <c r="J4186" s="2">
        <f t="shared" si="2"/>
        <v>170.7</v>
      </c>
      <c r="K4186" s="17">
        <f t="shared" si="3"/>
        <v>1</v>
      </c>
      <c r="L4186" s="18"/>
    </row>
    <row r="4187" hidden="1">
      <c r="A4187" s="2">
        <f>IFERROR(__xludf.DUMMYFUNCTION("""COMPUTED_VALUE"""),92823.0)</f>
        <v>92823</v>
      </c>
      <c r="B4187" s="2">
        <f>IFERROR(__xludf.DUMMYFUNCTION("""COMPUTED_VALUE"""),0.0)</f>
        <v>0</v>
      </c>
      <c r="C4187" s="2">
        <f>IFERROR(__xludf.DUMMYFUNCTION("""COMPUTED_VALUE"""),73.0)</f>
        <v>73</v>
      </c>
      <c r="D4187" s="3">
        <f>IFERROR(__xludf.DUMMYFUNCTION("""COMPUTED_VALUE"""),32.0)</f>
        <v>32</v>
      </c>
      <c r="E4187" s="1" t="str">
        <f t="array" ref="E4187">_xlfn.XLOOKUP(A4187,Product!A:A,Product!B:B,"Bulunamadı")</f>
        <v>Fiction</v>
      </c>
      <c r="F4187" s="1" t="str">
        <f t="array" ref="F4187">_xlfn.XLOOKUP(A4187,Product!A:A,Product!C:C,"Bulunamadı")</f>
        <v>UI/UX Design</v>
      </c>
      <c r="G4187" s="2" t="str">
        <f t="array" ref="G4187">_xlfn.XLOOKUP(A4188,Product!A:A,Product!D:D,"Bulunamadı")</f>
        <v>Brightlight House</v>
      </c>
      <c r="H4187" s="2">
        <f t="array" ref="H4187">_xlfn.XLOOKUP(A4189,Product!A:A,Product!E:E,"Bulunamadı")</f>
        <v>4.44</v>
      </c>
      <c r="I4187" s="2" t="str">
        <f t="shared" si="1"/>
        <v>92823 - Fiction - UI/UX Design</v>
      </c>
      <c r="J4187" s="2">
        <f t="shared" si="2"/>
        <v>142.08</v>
      </c>
      <c r="K4187" s="17">
        <f t="shared" si="3"/>
        <v>1</v>
      </c>
      <c r="L4187" s="18"/>
    </row>
    <row r="4188" hidden="1">
      <c r="A4188" s="2">
        <f>IFERROR(__xludf.DUMMYFUNCTION("""COMPUTED_VALUE"""),108060.0)</f>
        <v>108060</v>
      </c>
      <c r="B4188" s="2">
        <f>IFERROR(__xludf.DUMMYFUNCTION("""COMPUTED_VALUE"""),0.0)</f>
        <v>0</v>
      </c>
      <c r="C4188" s="2">
        <f>IFERROR(__xludf.DUMMYFUNCTION("""COMPUTED_VALUE"""),803.0)</f>
        <v>803</v>
      </c>
      <c r="D4188" s="3">
        <f>IFERROR(__xludf.DUMMYFUNCTION("""COMPUTED_VALUE"""),421.0)</f>
        <v>421</v>
      </c>
      <c r="E4188" s="1" t="str">
        <f t="array" ref="E4188">_xlfn.XLOOKUP(A4188,Product!A:A,Product!B:B,"Bulunamadı")</f>
        <v>Fiction</v>
      </c>
      <c r="F4188" s="1" t="str">
        <f t="array" ref="F4188">_xlfn.XLOOKUP(A4188,Product!A:A,Product!C:C,"Bulunamadı")</f>
        <v>UI/UX Design</v>
      </c>
      <c r="G4188" s="2" t="str">
        <f t="array" ref="G4188">_xlfn.XLOOKUP(A4189,Product!A:A,Product!D:D,"Bulunamadı")</f>
        <v>Brightlight House</v>
      </c>
      <c r="H4188" s="2">
        <f t="array" ref="H4188">_xlfn.XLOOKUP(A4190,Product!A:A,Product!E:E,"Bulunamadı")</f>
        <v>4.25</v>
      </c>
      <c r="I4188" s="2" t="str">
        <f t="shared" si="1"/>
        <v>108060 - Fiction - UI/UX Design</v>
      </c>
      <c r="J4188" s="2">
        <f t="shared" si="2"/>
        <v>1789.25</v>
      </c>
      <c r="K4188" s="17">
        <f t="shared" si="3"/>
        <v>1</v>
      </c>
      <c r="L4188" s="18"/>
    </row>
    <row r="4189" hidden="1">
      <c r="A4189" s="2">
        <f>IFERROR(__xludf.DUMMYFUNCTION("""COMPUTED_VALUE"""),4214.0)</f>
        <v>4214</v>
      </c>
      <c r="B4189" s="2">
        <f>IFERROR(__xludf.DUMMYFUNCTION("""COMPUTED_VALUE"""),0.0)</f>
        <v>0</v>
      </c>
      <c r="C4189" s="2">
        <f>IFERROR(__xludf.DUMMYFUNCTION("""COMPUTED_VALUE"""),95.0)</f>
        <v>95</v>
      </c>
      <c r="D4189" s="3">
        <f>IFERROR(__xludf.DUMMYFUNCTION("""COMPUTED_VALUE"""),7.0)</f>
        <v>7</v>
      </c>
      <c r="E4189" s="1" t="str">
        <f t="array" ref="E4189">_xlfn.XLOOKUP(A4189,Product!A:A,Product!B:B,"Bulunamadı")</f>
        <v>Fiction</v>
      </c>
      <c r="F4189" s="1" t="str">
        <f t="array" ref="F4189">_xlfn.XLOOKUP(A4189,Product!A:A,Product!C:C,"Bulunamadı")</f>
        <v>UI/UX Design</v>
      </c>
      <c r="G4189" s="2" t="str">
        <f t="array" ref="G4189">_xlfn.XLOOKUP(A4190,Product!A:A,Product!D:D,"Bulunamadı")</f>
        <v>Brightlight House</v>
      </c>
      <c r="H4189" s="2">
        <f t="array" ref="H4189">_xlfn.XLOOKUP(A4191,Product!A:A,Product!E:E,"Bulunamadı")</f>
        <v>4.59</v>
      </c>
      <c r="I4189" s="2" t="str">
        <f t="shared" si="1"/>
        <v>4214 - Fiction - UI/UX Design</v>
      </c>
      <c r="J4189" s="2">
        <f t="shared" si="2"/>
        <v>32.13</v>
      </c>
      <c r="K4189" s="17">
        <f t="shared" si="3"/>
        <v>1</v>
      </c>
      <c r="L4189" s="18"/>
    </row>
    <row r="4190" hidden="1">
      <c r="A4190" s="2">
        <f>IFERROR(__xludf.DUMMYFUNCTION("""COMPUTED_VALUE"""),14715.0)</f>
        <v>14715</v>
      </c>
      <c r="B4190" s="2">
        <f>IFERROR(__xludf.DUMMYFUNCTION("""COMPUTED_VALUE"""),1.0)</f>
        <v>1</v>
      </c>
      <c r="C4190" s="2">
        <f>IFERROR(__xludf.DUMMYFUNCTION("""COMPUTED_VALUE"""),854.0)</f>
        <v>854</v>
      </c>
      <c r="D4190" s="3">
        <f>IFERROR(__xludf.DUMMYFUNCTION("""COMPUTED_VALUE"""),105.0)</f>
        <v>105</v>
      </c>
      <c r="E4190" s="1" t="str">
        <f t="array" ref="E4190">_xlfn.XLOOKUP(A4190,Product!A:A,Product!B:B,"Bulunamadı")</f>
        <v>Fiction</v>
      </c>
      <c r="F4190" s="1" t="str">
        <f t="array" ref="F4190">_xlfn.XLOOKUP(A4190,Product!A:A,Product!C:C,"Bulunamadı")</f>
        <v>UI/UX Design</v>
      </c>
      <c r="G4190" s="2" t="str">
        <f t="array" ref="G4190">_xlfn.XLOOKUP(A4191,Product!A:A,Product!D:D,"Bulunamadı")</f>
        <v>Oaklight House</v>
      </c>
      <c r="H4190" s="2">
        <f t="array" ref="H4190">_xlfn.XLOOKUP(A4192,Product!A:A,Product!E:E,"Bulunamadı")</f>
        <v>1.75</v>
      </c>
      <c r="I4190" s="2" t="str">
        <f t="shared" si="1"/>
        <v>14715 - Fiction - UI/UX Design</v>
      </c>
      <c r="J4190" s="2">
        <f t="shared" si="2"/>
        <v>183.75</v>
      </c>
      <c r="K4190" s="17">
        <f t="shared" si="3"/>
        <v>1</v>
      </c>
      <c r="L4190" s="18"/>
    </row>
    <row r="4191" hidden="1">
      <c r="A4191" s="2">
        <f>IFERROR(__xludf.DUMMYFUNCTION("""COMPUTED_VALUE"""),16771.0)</f>
        <v>16771</v>
      </c>
      <c r="B4191" s="2">
        <f>IFERROR(__xludf.DUMMYFUNCTION("""COMPUTED_VALUE"""),0.0)</f>
        <v>0</v>
      </c>
      <c r="C4191" s="2">
        <f>IFERROR(__xludf.DUMMYFUNCTION("""COMPUTED_VALUE"""),662.0)</f>
        <v>662</v>
      </c>
      <c r="D4191" s="3">
        <f>IFERROR(__xludf.DUMMYFUNCTION("""COMPUTED_VALUE"""),291.0)</f>
        <v>291</v>
      </c>
      <c r="E4191" s="1" t="str">
        <f t="array" ref="E4191">_xlfn.XLOOKUP(A4191,Product!A:A,Product!B:B,"Bulunamadı")</f>
        <v>Fiction</v>
      </c>
      <c r="F4191" s="1" t="str">
        <f t="array" ref="F4191">_xlfn.XLOOKUP(A4191,Product!A:A,Product!C:C,"Bulunamadı")</f>
        <v>UI/UX Design</v>
      </c>
      <c r="G4191" s="2" t="str">
        <f t="array" ref="G4191">_xlfn.XLOOKUP(A4192,Product!A:A,Product!D:D,"Bulunamadı")</f>
        <v>Oaklight House</v>
      </c>
      <c r="H4191" s="2">
        <f t="array" ref="H4191">_xlfn.XLOOKUP(A4193,Product!A:A,Product!E:E,"Bulunamadı")</f>
        <v>4.11</v>
      </c>
      <c r="I4191" s="2" t="str">
        <f t="shared" si="1"/>
        <v>16771 - Fiction - UI/UX Design</v>
      </c>
      <c r="J4191" s="2">
        <f t="shared" si="2"/>
        <v>1196.01</v>
      </c>
      <c r="K4191" s="17">
        <f t="shared" si="3"/>
        <v>1</v>
      </c>
      <c r="L4191" s="18"/>
    </row>
    <row r="4192" hidden="1">
      <c r="A4192" s="2">
        <f>IFERROR(__xludf.DUMMYFUNCTION("""COMPUTED_VALUE"""),97945.0)</f>
        <v>97945</v>
      </c>
      <c r="B4192" s="2">
        <f>IFERROR(__xludf.DUMMYFUNCTION("""COMPUTED_VALUE"""),1.0)</f>
        <v>1</v>
      </c>
      <c r="C4192" s="2">
        <f>IFERROR(__xludf.DUMMYFUNCTION("""COMPUTED_VALUE"""),13.0)</f>
        <v>13</v>
      </c>
      <c r="D4192" s="3">
        <f>IFERROR(__xludf.DUMMYFUNCTION("""COMPUTED_VALUE"""),0.0)</f>
        <v>0</v>
      </c>
      <c r="E4192" s="1" t="str">
        <f t="array" ref="E4192">_xlfn.XLOOKUP(A4192,Product!A:A,Product!B:B,"Bulunamadı")</f>
        <v>Fiction</v>
      </c>
      <c r="F4192" s="1" t="str">
        <f t="array" ref="F4192">_xlfn.XLOOKUP(A4192,Product!A:A,Product!C:C,"Bulunamadı")</f>
        <v>UI/UX Design</v>
      </c>
      <c r="G4192" s="2" t="str">
        <f t="array" ref="G4192">_xlfn.XLOOKUP(A4193,Product!A:A,Product!D:D,"Bulunamadı")</f>
        <v>Oaklight House</v>
      </c>
      <c r="H4192" s="2">
        <f t="array" ref="H4192">_xlfn.XLOOKUP(A4194,Product!A:A,Product!E:E,"Bulunamadı")</f>
        <v>6.06</v>
      </c>
      <c r="I4192" s="2" t="str">
        <f t="shared" si="1"/>
        <v>97945 - Fiction - UI/UX Design</v>
      </c>
      <c r="J4192" s="2">
        <f t="shared" si="2"/>
        <v>0</v>
      </c>
      <c r="K4192" s="17">
        <f t="shared" si="3"/>
        <v>0</v>
      </c>
      <c r="L4192" s="18"/>
    </row>
    <row r="4193" hidden="1">
      <c r="A4193" s="2">
        <f>IFERROR(__xludf.DUMMYFUNCTION("""COMPUTED_VALUE"""),144740.0)</f>
        <v>144740</v>
      </c>
      <c r="B4193" s="2">
        <f>IFERROR(__xludf.DUMMYFUNCTION("""COMPUTED_VALUE"""),1.0)</f>
        <v>1</v>
      </c>
      <c r="C4193" s="2">
        <f>IFERROR(__xludf.DUMMYFUNCTION("""COMPUTED_VALUE"""),516.0)</f>
        <v>516</v>
      </c>
      <c r="D4193" s="3">
        <f>IFERROR(__xludf.DUMMYFUNCTION("""COMPUTED_VALUE"""),383.0)</f>
        <v>383</v>
      </c>
      <c r="E4193" s="1" t="str">
        <f t="array" ref="E4193">_xlfn.XLOOKUP(A4193,Product!A:A,Product!B:B,"Bulunamadı")</f>
        <v>Fiction</v>
      </c>
      <c r="F4193" s="1" t="str">
        <f t="array" ref="F4193">_xlfn.XLOOKUP(A4193,Product!A:A,Product!C:C,"Bulunamadı")</f>
        <v>UI/UX Design</v>
      </c>
      <c r="G4193" s="2" t="str">
        <f t="array" ref="G4193">_xlfn.XLOOKUP(A4194,Product!A:A,Product!D:D,"Bulunamadı")</f>
        <v>Riverlight House</v>
      </c>
      <c r="H4193" s="2">
        <f t="array" ref="H4193">_xlfn.XLOOKUP(A4195,Product!A:A,Product!E:E,"Bulunamadı")</f>
        <v>1.08</v>
      </c>
      <c r="I4193" s="2" t="str">
        <f t="shared" si="1"/>
        <v>144740 - Fiction - UI/UX Design</v>
      </c>
      <c r="J4193" s="2">
        <f t="shared" si="2"/>
        <v>413.64</v>
      </c>
      <c r="K4193" s="17">
        <f t="shared" si="3"/>
        <v>1</v>
      </c>
      <c r="L4193" s="18"/>
    </row>
    <row r="4194" hidden="1">
      <c r="A4194" s="2">
        <f>IFERROR(__xludf.DUMMYFUNCTION("""COMPUTED_VALUE"""),75342.0)</f>
        <v>75342</v>
      </c>
      <c r="B4194" s="2">
        <f>IFERROR(__xludf.DUMMYFUNCTION("""COMPUTED_VALUE"""),0.0)</f>
        <v>0</v>
      </c>
      <c r="C4194" s="2">
        <f>IFERROR(__xludf.DUMMYFUNCTION("""COMPUTED_VALUE"""),288.0)</f>
        <v>288</v>
      </c>
      <c r="D4194" s="3">
        <f>IFERROR(__xludf.DUMMYFUNCTION("""COMPUTED_VALUE"""),118.0)</f>
        <v>118</v>
      </c>
      <c r="E4194" s="1" t="str">
        <f t="array" ref="E4194">_xlfn.XLOOKUP(A4194,Product!A:A,Product!B:B,"Bulunamadı")</f>
        <v>Fiction</v>
      </c>
      <c r="F4194" s="1" t="str">
        <f t="array" ref="F4194">_xlfn.XLOOKUP(A4194,Product!A:A,Product!C:C,"Bulunamadı")</f>
        <v>UI/UX Design</v>
      </c>
      <c r="G4194" s="2" t="str">
        <f t="array" ref="G4194">_xlfn.XLOOKUP(A4195,Product!A:A,Product!D:D,"Bulunamadı")</f>
        <v>Ironlight House</v>
      </c>
      <c r="H4194" s="2">
        <f t="array" ref="H4194">_xlfn.XLOOKUP(A4196,Product!A:A,Product!E:E,"Bulunamadı")</f>
        <v>12.3</v>
      </c>
      <c r="I4194" s="2" t="str">
        <f t="shared" si="1"/>
        <v>75342 - Fiction - UI/UX Design</v>
      </c>
      <c r="J4194" s="2">
        <f t="shared" si="2"/>
        <v>1451.4</v>
      </c>
      <c r="K4194" s="17">
        <f t="shared" si="3"/>
        <v>1</v>
      </c>
      <c r="L4194" s="18"/>
    </row>
    <row r="4195" hidden="1">
      <c r="A4195" s="2">
        <f>IFERROR(__xludf.DUMMYFUNCTION("""COMPUTED_VALUE"""),88189.0)</f>
        <v>88189</v>
      </c>
      <c r="B4195" s="2">
        <f>IFERROR(__xludf.DUMMYFUNCTION("""COMPUTED_VALUE"""),1.0)</f>
        <v>1</v>
      </c>
      <c r="C4195" s="2">
        <f>IFERROR(__xludf.DUMMYFUNCTION("""COMPUTED_VALUE"""),26.0)</f>
        <v>26</v>
      </c>
      <c r="D4195" s="3">
        <f>IFERROR(__xludf.DUMMYFUNCTION("""COMPUTED_VALUE"""),4.0)</f>
        <v>4</v>
      </c>
      <c r="E4195" s="1" t="str">
        <f t="array" ref="E4195">_xlfn.XLOOKUP(A4195,Product!A:A,Product!B:B,"Bulunamadı")</f>
        <v>Fiction</v>
      </c>
      <c r="F4195" s="1" t="str">
        <f t="array" ref="F4195">_xlfn.XLOOKUP(A4195,Product!A:A,Product!C:C,"Bulunamadı")</f>
        <v>UI/UX Design</v>
      </c>
      <c r="G4195" s="2" t="str">
        <f t="array" ref="G4195">_xlfn.XLOOKUP(A4196,Product!A:A,Product!D:D,"Bulunamadı")</f>
        <v>Ironlight House</v>
      </c>
      <c r="H4195" s="2">
        <f t="array" ref="H4195">_xlfn.XLOOKUP(A4197,Product!A:A,Product!E:E,"Bulunamadı")</f>
        <v>3.45</v>
      </c>
      <c r="I4195" s="2" t="str">
        <f t="shared" si="1"/>
        <v>88189 - Fiction - UI/UX Design</v>
      </c>
      <c r="J4195" s="2">
        <f t="shared" si="2"/>
        <v>13.8</v>
      </c>
      <c r="K4195" s="17">
        <f t="shared" si="3"/>
        <v>1</v>
      </c>
      <c r="L4195" s="18"/>
    </row>
    <row r="4196" hidden="1">
      <c r="A4196" s="2">
        <f>IFERROR(__xludf.DUMMYFUNCTION("""COMPUTED_VALUE"""),70677.0)</f>
        <v>70677</v>
      </c>
      <c r="B4196" s="2">
        <f>IFERROR(__xludf.DUMMYFUNCTION("""COMPUTED_VALUE"""),0.0)</f>
        <v>0</v>
      </c>
      <c r="C4196" s="2">
        <f>IFERROR(__xludf.DUMMYFUNCTION("""COMPUTED_VALUE"""),875.0)</f>
        <v>875</v>
      </c>
      <c r="D4196" s="3">
        <f>IFERROR(__xludf.DUMMYFUNCTION("""COMPUTED_VALUE"""),680.0)</f>
        <v>680</v>
      </c>
      <c r="E4196" s="1" t="str">
        <f t="array" ref="E4196">_xlfn.XLOOKUP(A4196,Product!A:A,Product!B:B,"Bulunamadı")</f>
        <v>Fiction</v>
      </c>
      <c r="F4196" s="1" t="str">
        <f t="array" ref="F4196">_xlfn.XLOOKUP(A4196,Product!A:A,Product!C:C,"Bulunamadı")</f>
        <v>UI/UX Design</v>
      </c>
      <c r="G4196" s="2" t="str">
        <f t="array" ref="G4196">_xlfn.XLOOKUP(A4197,Product!A:A,Product!D:D,"Bulunamadı")</f>
        <v>Ironlight House</v>
      </c>
      <c r="H4196" s="2">
        <f t="array" ref="H4196">_xlfn.XLOOKUP(A4198,Product!A:A,Product!E:E,"Bulunamadı")</f>
        <v>8.89</v>
      </c>
      <c r="I4196" s="2" t="str">
        <f t="shared" si="1"/>
        <v>70677 - Fiction - UI/UX Design</v>
      </c>
      <c r="J4196" s="2">
        <f t="shared" si="2"/>
        <v>6045.2</v>
      </c>
      <c r="K4196" s="17">
        <f t="shared" si="3"/>
        <v>1</v>
      </c>
      <c r="L4196" s="18"/>
    </row>
    <row r="4197" hidden="1">
      <c r="A4197" s="2">
        <f>IFERROR(__xludf.DUMMYFUNCTION("""COMPUTED_VALUE"""),86506.0)</f>
        <v>86506</v>
      </c>
      <c r="B4197" s="2">
        <f>IFERROR(__xludf.DUMMYFUNCTION("""COMPUTED_VALUE"""),1.0)</f>
        <v>1</v>
      </c>
      <c r="C4197" s="2">
        <f>IFERROR(__xludf.DUMMYFUNCTION("""COMPUTED_VALUE"""),33.0)</f>
        <v>33</v>
      </c>
      <c r="D4197" s="3">
        <f>IFERROR(__xludf.DUMMYFUNCTION("""COMPUTED_VALUE"""),28.0)</f>
        <v>28</v>
      </c>
      <c r="E4197" s="1" t="str">
        <f t="array" ref="E4197">_xlfn.XLOOKUP(A4197,Product!A:A,Product!B:B,"Bulunamadı")</f>
        <v>Fiction</v>
      </c>
      <c r="F4197" s="1" t="str">
        <f t="array" ref="F4197">_xlfn.XLOOKUP(A4197,Product!A:A,Product!C:C,"Bulunamadı")</f>
        <v>UI/UX Design</v>
      </c>
      <c r="G4197" s="2" t="str">
        <f t="array" ref="G4197">_xlfn.XLOOKUP(A4198,Product!A:A,Product!D:D,"Bulunamadı")</f>
        <v>Silverwind House</v>
      </c>
      <c r="H4197" s="2">
        <f t="array" ref="H4197">_xlfn.XLOOKUP(A4199,Product!A:A,Product!E:E,"Bulunamadı")</f>
        <v>35.02</v>
      </c>
      <c r="I4197" s="2" t="str">
        <f t="shared" si="1"/>
        <v>86506 - Fiction - UI/UX Design</v>
      </c>
      <c r="J4197" s="2">
        <f t="shared" si="2"/>
        <v>980.56</v>
      </c>
      <c r="K4197" s="17">
        <f t="shared" si="3"/>
        <v>1</v>
      </c>
      <c r="L4197" s="18"/>
    </row>
    <row r="4198" hidden="1">
      <c r="A4198" s="2">
        <f>IFERROR(__xludf.DUMMYFUNCTION("""COMPUTED_VALUE"""),17360.0)</f>
        <v>17360</v>
      </c>
      <c r="B4198" s="2">
        <f>IFERROR(__xludf.DUMMYFUNCTION("""COMPUTED_VALUE"""),0.0)</f>
        <v>0</v>
      </c>
      <c r="C4198" s="2">
        <f>IFERROR(__xludf.DUMMYFUNCTION("""COMPUTED_VALUE"""),356.0)</f>
        <v>356</v>
      </c>
      <c r="D4198" s="3">
        <f>IFERROR(__xludf.DUMMYFUNCTION("""COMPUTED_VALUE"""),289.0)</f>
        <v>289</v>
      </c>
      <c r="E4198" s="1" t="str">
        <f t="array" ref="E4198">_xlfn.XLOOKUP(A4198,Product!A:A,Product!B:B,"Bulunamadı")</f>
        <v>Fiction</v>
      </c>
      <c r="F4198" s="1" t="str">
        <f t="array" ref="F4198">_xlfn.XLOOKUP(A4198,Product!A:A,Product!C:C,"Bulunamadı")</f>
        <v>UI/UX Design</v>
      </c>
      <c r="G4198" s="2" t="str">
        <f t="array" ref="G4198">_xlfn.XLOOKUP(A4199,Product!A:A,Product!D:D,"Bulunamadı")</f>
        <v>Silverwind House</v>
      </c>
      <c r="H4198" s="2">
        <f t="array" ref="H4198">_xlfn.XLOOKUP(A4200,Product!A:A,Product!E:E,"Bulunamadı")</f>
        <v>7.26</v>
      </c>
      <c r="I4198" s="2" t="str">
        <f t="shared" si="1"/>
        <v>17360 - Fiction - UI/UX Design</v>
      </c>
      <c r="J4198" s="2">
        <f t="shared" si="2"/>
        <v>2098.14</v>
      </c>
      <c r="K4198" s="17">
        <f t="shared" si="3"/>
        <v>1</v>
      </c>
      <c r="L4198" s="18"/>
    </row>
    <row r="4199" hidden="1">
      <c r="A4199" s="2">
        <f>IFERROR(__xludf.DUMMYFUNCTION("""COMPUTED_VALUE"""),9819.0)</f>
        <v>9819</v>
      </c>
      <c r="B4199" s="2">
        <f>IFERROR(__xludf.DUMMYFUNCTION("""COMPUTED_VALUE"""),1.0)</f>
        <v>1</v>
      </c>
      <c r="C4199" s="2">
        <f>IFERROR(__xludf.DUMMYFUNCTION("""COMPUTED_VALUE"""),5.0)</f>
        <v>5</v>
      </c>
      <c r="D4199" s="3">
        <f>IFERROR(__xludf.DUMMYFUNCTION("""COMPUTED_VALUE"""),2.0)</f>
        <v>2</v>
      </c>
      <c r="E4199" s="1" t="str">
        <f t="array" ref="E4199">_xlfn.XLOOKUP(A4199,Product!A:A,Product!B:B,"Bulunamadı")</f>
        <v>Fiction</v>
      </c>
      <c r="F4199" s="1" t="str">
        <f t="array" ref="F4199">_xlfn.XLOOKUP(A4199,Product!A:A,Product!C:C,"Bulunamadı")</f>
        <v>UI/UX Design</v>
      </c>
      <c r="G4199" s="2" t="str">
        <f t="array" ref="G4199">_xlfn.XLOOKUP(A4200,Product!A:A,Product!D:D,"Bulunamadı")</f>
        <v>Northwind House</v>
      </c>
      <c r="H4199" s="2">
        <f t="array" ref="H4199">_xlfn.XLOOKUP(A4201,Product!A:A,Product!E:E,"Bulunamadı")</f>
        <v>6.87</v>
      </c>
      <c r="I4199" s="2" t="str">
        <f t="shared" si="1"/>
        <v>9819 - Fiction - UI/UX Design</v>
      </c>
      <c r="J4199" s="2">
        <f t="shared" si="2"/>
        <v>13.74</v>
      </c>
      <c r="K4199" s="17">
        <f t="shared" si="3"/>
        <v>1</v>
      </c>
      <c r="L4199" s="18"/>
    </row>
    <row r="4200" hidden="1">
      <c r="A4200" s="2">
        <f>IFERROR(__xludf.DUMMYFUNCTION("""COMPUTED_VALUE"""),28574.0)</f>
        <v>28574</v>
      </c>
      <c r="B4200" s="2">
        <f>IFERROR(__xludf.DUMMYFUNCTION("""COMPUTED_VALUE"""),1.0)</f>
        <v>1</v>
      </c>
      <c r="C4200" s="2">
        <f>IFERROR(__xludf.DUMMYFUNCTION("""COMPUTED_VALUE"""),535.0)</f>
        <v>535</v>
      </c>
      <c r="D4200" s="3">
        <f>IFERROR(__xludf.DUMMYFUNCTION("""COMPUTED_VALUE"""),501.0)</f>
        <v>501</v>
      </c>
      <c r="E4200" s="1" t="str">
        <f t="array" ref="E4200">_xlfn.XLOOKUP(A4200,Product!A:A,Product!B:B,"Bulunamadı")</f>
        <v>Fiction</v>
      </c>
      <c r="F4200" s="1" t="str">
        <f t="array" ref="F4200">_xlfn.XLOOKUP(A4200,Product!A:A,Product!C:C,"Bulunamadı")</f>
        <v>UI/UX Design</v>
      </c>
      <c r="G4200" s="2" t="str">
        <f t="array" ref="G4200">_xlfn.XLOOKUP(A4201,Product!A:A,Product!D:D,"Bulunamadı")</f>
        <v>Northwind House</v>
      </c>
      <c r="H4200" s="2">
        <f t="array" ref="H4200">_xlfn.XLOOKUP(A4202,Product!A:A,Product!E:E,"Bulunamadı")</f>
        <v>9.79</v>
      </c>
      <c r="I4200" s="2" t="str">
        <f t="shared" si="1"/>
        <v>28574 - Fiction - UI/UX Design</v>
      </c>
      <c r="J4200" s="2">
        <f t="shared" si="2"/>
        <v>4904.79</v>
      </c>
      <c r="K4200" s="17">
        <f t="shared" si="3"/>
        <v>1</v>
      </c>
      <c r="L4200" s="18"/>
    </row>
    <row r="4201" hidden="1">
      <c r="A4201" s="2">
        <f>IFERROR(__xludf.DUMMYFUNCTION("""COMPUTED_VALUE"""),102395.0)</f>
        <v>102395</v>
      </c>
      <c r="B4201" s="2">
        <f>IFERROR(__xludf.DUMMYFUNCTION("""COMPUTED_VALUE"""),1.0)</f>
        <v>1</v>
      </c>
      <c r="C4201" s="2">
        <f>IFERROR(__xludf.DUMMYFUNCTION("""COMPUTED_VALUE"""),40.0)</f>
        <v>40</v>
      </c>
      <c r="D4201" s="3">
        <f>IFERROR(__xludf.DUMMYFUNCTION("""COMPUTED_VALUE"""),15.0)</f>
        <v>15</v>
      </c>
      <c r="E4201" s="1" t="str">
        <f t="array" ref="E4201">_xlfn.XLOOKUP(A4201,Product!A:A,Product!B:B,"Bulunamadı")</f>
        <v>Fiction</v>
      </c>
      <c r="F4201" s="1" t="str">
        <f t="array" ref="F4201">_xlfn.XLOOKUP(A4201,Product!A:A,Product!C:C,"Bulunamadı")</f>
        <v>UI/UX Design</v>
      </c>
      <c r="G4201" s="2" t="str">
        <f t="array" ref="G4201">_xlfn.XLOOKUP(A4202,Product!A:A,Product!D:D,"Bulunamadı")</f>
        <v>Northwind House</v>
      </c>
      <c r="H4201" s="2">
        <f t="array" ref="H4201">_xlfn.XLOOKUP(A4203,Product!A:A,Product!E:E,"Bulunamadı")</f>
        <v>5.22</v>
      </c>
      <c r="I4201" s="2" t="str">
        <f t="shared" si="1"/>
        <v>102395 - Fiction - UI/UX Design</v>
      </c>
      <c r="J4201" s="2">
        <f t="shared" si="2"/>
        <v>78.3</v>
      </c>
      <c r="K4201" s="17">
        <f t="shared" si="3"/>
        <v>1</v>
      </c>
      <c r="L4201" s="18"/>
    </row>
    <row r="4202" hidden="1">
      <c r="A4202" s="2">
        <f>IFERROR(__xludf.DUMMYFUNCTION("""COMPUTED_VALUE"""),147302.0)</f>
        <v>147302</v>
      </c>
      <c r="B4202" s="2">
        <f>IFERROR(__xludf.DUMMYFUNCTION("""COMPUTED_VALUE"""),0.0)</f>
        <v>0</v>
      </c>
      <c r="C4202" s="2">
        <f>IFERROR(__xludf.DUMMYFUNCTION("""COMPUTED_VALUE"""),480.0)</f>
        <v>480</v>
      </c>
      <c r="D4202" s="3">
        <f>IFERROR(__xludf.DUMMYFUNCTION("""COMPUTED_VALUE"""),266.0)</f>
        <v>266</v>
      </c>
      <c r="E4202" s="1" t="str">
        <f t="array" ref="E4202">_xlfn.XLOOKUP(A4202,Product!A:A,Product!B:B,"Bulunamadı")</f>
        <v>Fiction</v>
      </c>
      <c r="F4202" s="1" t="str">
        <f t="array" ref="F4202">_xlfn.XLOOKUP(A4202,Product!A:A,Product!C:C,"Bulunamadı")</f>
        <v>UI/UX Design</v>
      </c>
      <c r="G4202" s="2" t="str">
        <f t="array" ref="G4202">_xlfn.XLOOKUP(A4203,Product!A:A,Product!D:D,"Bulunamadı")</f>
        <v>Harborwind House</v>
      </c>
      <c r="H4202" s="2">
        <f t="array" ref="H4202">_xlfn.XLOOKUP(A4204,Product!A:A,Product!E:E,"Bulunamadı")</f>
        <v>0.94</v>
      </c>
      <c r="I4202" s="2" t="str">
        <f t="shared" si="1"/>
        <v>147302 - Fiction - UI/UX Design</v>
      </c>
      <c r="J4202" s="2">
        <f t="shared" si="2"/>
        <v>250.04</v>
      </c>
      <c r="K4202" s="17">
        <f t="shared" si="3"/>
        <v>1</v>
      </c>
      <c r="L4202" s="18"/>
    </row>
    <row r="4203" hidden="1">
      <c r="A4203" s="2">
        <f>IFERROR(__xludf.DUMMYFUNCTION("""COMPUTED_VALUE"""),85049.0)</f>
        <v>85049</v>
      </c>
      <c r="B4203" s="2">
        <f>IFERROR(__xludf.DUMMYFUNCTION("""COMPUTED_VALUE"""),1.0)</f>
        <v>1</v>
      </c>
      <c r="C4203" s="2">
        <f>IFERROR(__xludf.DUMMYFUNCTION("""COMPUTED_VALUE"""),72.0)</f>
        <v>72</v>
      </c>
      <c r="D4203" s="3">
        <f>IFERROR(__xludf.DUMMYFUNCTION("""COMPUTED_VALUE"""),26.0)</f>
        <v>26</v>
      </c>
      <c r="E4203" s="1" t="str">
        <f t="array" ref="E4203">_xlfn.XLOOKUP(A4203,Product!A:A,Product!B:B,"Bulunamadı")</f>
        <v>Fiction</v>
      </c>
      <c r="F4203" s="1" t="str">
        <f t="array" ref="F4203">_xlfn.XLOOKUP(A4203,Product!A:A,Product!C:C,"Bulunamadı")</f>
        <v>UI/UX Design</v>
      </c>
      <c r="G4203" s="2" t="str">
        <f t="array" ref="G4203">_xlfn.XLOOKUP(A4204,Product!A:A,Product!D:D,"Bulunamadı")</f>
        <v>Cedarwind House</v>
      </c>
      <c r="H4203" s="2">
        <f t="array" ref="H4203">_xlfn.XLOOKUP(A4205,Product!A:A,Product!E:E,"Bulunamadı")</f>
        <v>0.56</v>
      </c>
      <c r="I4203" s="2" t="str">
        <f t="shared" si="1"/>
        <v>85049 - Fiction - UI/UX Design</v>
      </c>
      <c r="J4203" s="2">
        <f t="shared" si="2"/>
        <v>14.56</v>
      </c>
      <c r="K4203" s="17">
        <f t="shared" si="3"/>
        <v>1</v>
      </c>
      <c r="L4203" s="18"/>
    </row>
    <row r="4204" hidden="1">
      <c r="A4204" s="2">
        <f>IFERROR(__xludf.DUMMYFUNCTION("""COMPUTED_VALUE"""),1683.0)</f>
        <v>1683</v>
      </c>
      <c r="B4204" s="2">
        <f>IFERROR(__xludf.DUMMYFUNCTION("""COMPUTED_VALUE"""),1.0)</f>
        <v>1</v>
      </c>
      <c r="C4204" s="2">
        <f>IFERROR(__xludf.DUMMYFUNCTION("""COMPUTED_VALUE"""),306.0)</f>
        <v>306</v>
      </c>
      <c r="D4204" s="3">
        <f>IFERROR(__xludf.DUMMYFUNCTION("""COMPUTED_VALUE"""),128.0)</f>
        <v>128</v>
      </c>
      <c r="E4204" s="1" t="str">
        <f t="array" ref="E4204">_xlfn.XLOOKUP(A4204,Product!A:A,Product!B:B,"Bulunamadı")</f>
        <v>Fiction</v>
      </c>
      <c r="F4204" s="1" t="str">
        <f t="array" ref="F4204">_xlfn.XLOOKUP(A4204,Product!A:A,Product!C:C,"Bulunamadı")</f>
        <v>UI/UX Design</v>
      </c>
      <c r="G4204" s="2" t="str">
        <f t="array" ref="G4204">_xlfn.XLOOKUP(A4205,Product!A:A,Product!D:D,"Bulunamadı")</f>
        <v>Cedarwind House</v>
      </c>
      <c r="H4204" s="2">
        <f t="array" ref="H4204">_xlfn.XLOOKUP(A4206,Product!A:A,Product!E:E,"Bulunamadı")</f>
        <v>1.29</v>
      </c>
      <c r="I4204" s="2" t="str">
        <f t="shared" si="1"/>
        <v>1683 - Fiction - UI/UX Design</v>
      </c>
      <c r="J4204" s="2">
        <f t="shared" si="2"/>
        <v>165.12</v>
      </c>
      <c r="K4204" s="17">
        <f t="shared" si="3"/>
        <v>1</v>
      </c>
      <c r="L4204" s="18"/>
    </row>
    <row r="4205" hidden="1">
      <c r="A4205" s="2">
        <f>IFERROR(__xludf.DUMMYFUNCTION("""COMPUTED_VALUE"""),1685.0)</f>
        <v>1685</v>
      </c>
      <c r="B4205" s="2">
        <f>IFERROR(__xludf.DUMMYFUNCTION("""COMPUTED_VALUE"""),0.0)</f>
        <v>0</v>
      </c>
      <c r="C4205" s="2">
        <f>IFERROR(__xludf.DUMMYFUNCTION("""COMPUTED_VALUE"""),506.0)</f>
        <v>506</v>
      </c>
      <c r="D4205" s="3">
        <f>IFERROR(__xludf.DUMMYFUNCTION("""COMPUTED_VALUE"""),99.0)</f>
        <v>99</v>
      </c>
      <c r="E4205" s="1" t="str">
        <f t="array" ref="E4205">_xlfn.XLOOKUP(A4205,Product!A:A,Product!B:B,"Bulunamadı")</f>
        <v>Fiction</v>
      </c>
      <c r="F4205" s="1" t="str">
        <f t="array" ref="F4205">_xlfn.XLOOKUP(A4205,Product!A:A,Product!C:C,"Bulunamadı")</f>
        <v>UI/UX Design</v>
      </c>
      <c r="G4205" s="2" t="str">
        <f t="array" ref="G4205">_xlfn.XLOOKUP(A4206,Product!A:A,Product!D:D,"Bulunamadı")</f>
        <v>Cedarwind House</v>
      </c>
      <c r="H4205" s="2">
        <f t="array" ref="H4205">_xlfn.XLOOKUP(A4207,Product!A:A,Product!E:E,"Bulunamadı")</f>
        <v>5.19</v>
      </c>
      <c r="I4205" s="2" t="str">
        <f t="shared" si="1"/>
        <v>1685 - Fiction - UI/UX Design</v>
      </c>
      <c r="J4205" s="2">
        <f t="shared" si="2"/>
        <v>513.81</v>
      </c>
      <c r="K4205" s="17">
        <f t="shared" si="3"/>
        <v>1</v>
      </c>
      <c r="L4205" s="18"/>
    </row>
    <row r="4206" hidden="1">
      <c r="A4206" s="2">
        <f>IFERROR(__xludf.DUMMYFUNCTION("""COMPUTED_VALUE"""),22193.0)</f>
        <v>22193</v>
      </c>
      <c r="B4206" s="2">
        <f>IFERROR(__xludf.DUMMYFUNCTION("""COMPUTED_VALUE"""),1.0)</f>
        <v>1</v>
      </c>
      <c r="C4206" s="2">
        <f>IFERROR(__xludf.DUMMYFUNCTION("""COMPUTED_VALUE"""),762.0)</f>
        <v>762</v>
      </c>
      <c r="D4206" s="3">
        <f>IFERROR(__xludf.DUMMYFUNCTION("""COMPUTED_VALUE"""),715.0)</f>
        <v>715</v>
      </c>
      <c r="E4206" s="1" t="str">
        <f t="array" ref="E4206">_xlfn.XLOOKUP(A4206,Product!A:A,Product!B:B,"Bulunamadı")</f>
        <v>Fiction</v>
      </c>
      <c r="F4206" s="1" t="str">
        <f t="array" ref="F4206">_xlfn.XLOOKUP(A4206,Product!A:A,Product!C:C,"Bulunamadı")</f>
        <v>UI/UX Design</v>
      </c>
      <c r="G4206" s="2" t="str">
        <f t="array" ref="G4206">_xlfn.XLOOKUP(A4207,Product!A:A,Product!D:D,"Bulunamadı")</f>
        <v>Cedarwind House</v>
      </c>
      <c r="H4206" s="2">
        <f t="array" ref="H4206">_xlfn.XLOOKUP(A4208,Product!A:A,Product!E:E,"Bulunamadı")</f>
        <v>3.28</v>
      </c>
      <c r="I4206" s="2" t="str">
        <f t="shared" si="1"/>
        <v>22193 - Fiction - UI/UX Design</v>
      </c>
      <c r="J4206" s="2">
        <f t="shared" si="2"/>
        <v>2345.2</v>
      </c>
      <c r="K4206" s="17">
        <f t="shared" si="3"/>
        <v>1</v>
      </c>
      <c r="L4206" s="18"/>
    </row>
    <row r="4207" hidden="1">
      <c r="A4207" s="2">
        <f>IFERROR(__xludf.DUMMYFUNCTION("""COMPUTED_VALUE"""),9786.0)</f>
        <v>9786</v>
      </c>
      <c r="B4207" s="2">
        <f>IFERROR(__xludf.DUMMYFUNCTION("""COMPUTED_VALUE"""),0.0)</f>
        <v>0</v>
      </c>
      <c r="C4207" s="2">
        <f>IFERROR(__xludf.DUMMYFUNCTION("""COMPUTED_VALUE"""),646.0)</f>
        <v>646</v>
      </c>
      <c r="D4207" s="3">
        <f>IFERROR(__xludf.DUMMYFUNCTION("""COMPUTED_VALUE"""),627.0)</f>
        <v>627</v>
      </c>
      <c r="E4207" s="1" t="str">
        <f t="array" ref="E4207">_xlfn.XLOOKUP(A4207,Product!A:A,Product!B:B,"Bulunamadı")</f>
        <v>Fiction</v>
      </c>
      <c r="F4207" s="1" t="str">
        <f t="array" ref="F4207">_xlfn.XLOOKUP(A4207,Product!A:A,Product!C:C,"Bulunamadı")</f>
        <v>UI/UX Design</v>
      </c>
      <c r="G4207" s="2" t="str">
        <f t="array" ref="G4207">_xlfn.XLOOKUP(A4208,Product!A:A,Product!D:D,"Bulunamadı")</f>
        <v>Brightwind House</v>
      </c>
      <c r="H4207" s="2">
        <f t="array" ref="H4207">_xlfn.XLOOKUP(A4209,Product!A:A,Product!E:E,"Bulunamadı")</f>
        <v>2.98</v>
      </c>
      <c r="I4207" s="2" t="str">
        <f t="shared" si="1"/>
        <v>9786 - Fiction - UI/UX Design</v>
      </c>
      <c r="J4207" s="2">
        <f t="shared" si="2"/>
        <v>1868.46</v>
      </c>
      <c r="K4207" s="17">
        <f t="shared" si="3"/>
        <v>1</v>
      </c>
      <c r="L4207" s="18"/>
    </row>
    <row r="4208" hidden="1">
      <c r="A4208" s="2">
        <f>IFERROR(__xludf.DUMMYFUNCTION("""COMPUTED_VALUE"""),108770.0)</f>
        <v>108770</v>
      </c>
      <c r="B4208" s="2">
        <f>IFERROR(__xludf.DUMMYFUNCTION("""COMPUTED_VALUE"""),1.0)</f>
        <v>1</v>
      </c>
      <c r="C4208" s="2">
        <f>IFERROR(__xludf.DUMMYFUNCTION("""COMPUTED_VALUE"""),633.0)</f>
        <v>633</v>
      </c>
      <c r="D4208" s="3">
        <f>IFERROR(__xludf.DUMMYFUNCTION("""COMPUTED_VALUE"""),159.0)</f>
        <v>159</v>
      </c>
      <c r="E4208" s="1" t="str">
        <f t="array" ref="E4208">_xlfn.XLOOKUP(A4208,Product!A:A,Product!B:B,"Bulunamadı")</f>
        <v>Fiction</v>
      </c>
      <c r="F4208" s="1" t="str">
        <f t="array" ref="F4208">_xlfn.XLOOKUP(A4208,Product!A:A,Product!C:C,"Bulunamadı")</f>
        <v>UI/UX Design</v>
      </c>
      <c r="G4208" s="2" t="str">
        <f t="array" ref="G4208">_xlfn.XLOOKUP(A4209,Product!A:A,Product!D:D,"Bulunamadı")</f>
        <v>Brightwind House</v>
      </c>
      <c r="H4208" s="2">
        <f t="array" ref="H4208">_xlfn.XLOOKUP(A4210,Product!A:A,Product!E:E,"Bulunamadı")</f>
        <v>4.67</v>
      </c>
      <c r="I4208" s="2" t="str">
        <f t="shared" si="1"/>
        <v>108770 - Fiction - UI/UX Design</v>
      </c>
      <c r="J4208" s="2">
        <f t="shared" si="2"/>
        <v>742.53</v>
      </c>
      <c r="K4208" s="17">
        <f t="shared" si="3"/>
        <v>1</v>
      </c>
      <c r="L4208" s="18"/>
    </row>
    <row r="4209" hidden="1">
      <c r="A4209" s="2">
        <f>IFERROR(__xludf.DUMMYFUNCTION("""COMPUTED_VALUE"""),109536.0)</f>
        <v>109536</v>
      </c>
      <c r="B4209" s="2">
        <f>IFERROR(__xludf.DUMMYFUNCTION("""COMPUTED_VALUE"""),1.0)</f>
        <v>1</v>
      </c>
      <c r="C4209" s="2">
        <f>IFERROR(__xludf.DUMMYFUNCTION("""COMPUTED_VALUE"""),197.0)</f>
        <v>197</v>
      </c>
      <c r="D4209" s="3">
        <f>IFERROR(__xludf.DUMMYFUNCTION("""COMPUTED_VALUE"""),49.0)</f>
        <v>49</v>
      </c>
      <c r="E4209" s="1" t="str">
        <f t="array" ref="E4209">_xlfn.XLOOKUP(A4209,Product!A:A,Product!B:B,"Bulunamadı")</f>
        <v>Fiction</v>
      </c>
      <c r="F4209" s="1" t="str">
        <f t="array" ref="F4209">_xlfn.XLOOKUP(A4209,Product!A:A,Product!C:C,"Bulunamadı")</f>
        <v>UI/UX Design</v>
      </c>
      <c r="G4209" s="2" t="str">
        <f t="array" ref="G4209">_xlfn.XLOOKUP(A4210,Product!A:A,Product!D:D,"Bulunamadı")</f>
        <v>Brightwind House</v>
      </c>
      <c r="H4209" s="2">
        <f t="array" ref="H4209">_xlfn.XLOOKUP(A4211,Product!A:A,Product!E:E,"Bulunamadı")</f>
        <v>3.23</v>
      </c>
      <c r="I4209" s="2" t="str">
        <f t="shared" si="1"/>
        <v>109536 - Fiction - UI/UX Design</v>
      </c>
      <c r="J4209" s="2">
        <f t="shared" si="2"/>
        <v>158.27</v>
      </c>
      <c r="K4209" s="17">
        <f t="shared" si="3"/>
        <v>1</v>
      </c>
      <c r="L4209" s="18"/>
    </row>
    <row r="4210" hidden="1">
      <c r="A4210" s="2">
        <f>IFERROR(__xludf.DUMMYFUNCTION("""COMPUTED_VALUE"""),111743.0)</f>
        <v>111743</v>
      </c>
      <c r="B4210" s="2">
        <f>IFERROR(__xludf.DUMMYFUNCTION("""COMPUTED_VALUE"""),1.0)</f>
        <v>1</v>
      </c>
      <c r="C4210" s="2">
        <f>IFERROR(__xludf.DUMMYFUNCTION("""COMPUTED_VALUE"""),251.0)</f>
        <v>251</v>
      </c>
      <c r="D4210" s="3">
        <f>IFERROR(__xludf.DUMMYFUNCTION("""COMPUTED_VALUE"""),209.0)</f>
        <v>209</v>
      </c>
      <c r="E4210" s="1" t="str">
        <f t="array" ref="E4210">_xlfn.XLOOKUP(A4210,Product!A:A,Product!B:B,"Bulunamadı")</f>
        <v>Fiction</v>
      </c>
      <c r="F4210" s="1" t="str">
        <f t="array" ref="F4210">_xlfn.XLOOKUP(A4210,Product!A:A,Product!C:C,"Bulunamadı")</f>
        <v>UI/UX Design</v>
      </c>
      <c r="G4210" s="2" t="str">
        <f t="array" ref="G4210">_xlfn.XLOOKUP(A4211,Product!A:A,Product!D:D,"Bulunamadı")</f>
        <v>Brightwind House</v>
      </c>
      <c r="H4210" s="2">
        <f t="array" ref="H4210">_xlfn.XLOOKUP(A4212,Product!A:A,Product!E:E,"Bulunamadı")</f>
        <v>4.95</v>
      </c>
      <c r="I4210" s="2" t="str">
        <f t="shared" si="1"/>
        <v>111743 - Fiction - UI/UX Design</v>
      </c>
      <c r="J4210" s="2">
        <f t="shared" si="2"/>
        <v>1034.55</v>
      </c>
      <c r="K4210" s="17">
        <f t="shared" si="3"/>
        <v>1</v>
      </c>
      <c r="L4210" s="18"/>
    </row>
    <row r="4211" hidden="1">
      <c r="A4211" s="2">
        <f>IFERROR(__xludf.DUMMYFUNCTION("""COMPUTED_VALUE"""),108769.0)</f>
        <v>108769</v>
      </c>
      <c r="B4211" s="2">
        <f>IFERROR(__xludf.DUMMYFUNCTION("""COMPUTED_VALUE"""),0.0)</f>
        <v>0</v>
      </c>
      <c r="C4211" s="2">
        <f>IFERROR(__xludf.DUMMYFUNCTION("""COMPUTED_VALUE"""),66.0)</f>
        <v>66</v>
      </c>
      <c r="D4211" s="3">
        <f>IFERROR(__xludf.DUMMYFUNCTION("""COMPUTED_VALUE"""),16.0)</f>
        <v>16</v>
      </c>
      <c r="E4211" s="1" t="str">
        <f t="array" ref="E4211">_xlfn.XLOOKUP(A4211,Product!A:A,Product!B:B,"Bulunamadı")</f>
        <v>Fiction</v>
      </c>
      <c r="F4211" s="1" t="str">
        <f t="array" ref="F4211">_xlfn.XLOOKUP(A4211,Product!A:A,Product!C:C,"Bulunamadı")</f>
        <v>UI/UX Design</v>
      </c>
      <c r="G4211" s="2" t="str">
        <f t="array" ref="G4211">_xlfn.XLOOKUP(A4212,Product!A:A,Product!D:D,"Bulunamadı")</f>
        <v>Brightwind House</v>
      </c>
      <c r="H4211" s="2">
        <f t="array" ref="H4211">_xlfn.XLOOKUP(A4213,Product!A:A,Product!E:E,"Bulunamadı")</f>
        <v>23.13</v>
      </c>
      <c r="I4211" s="2" t="str">
        <f t="shared" si="1"/>
        <v>108769 - Fiction - UI/UX Design</v>
      </c>
      <c r="J4211" s="2">
        <f t="shared" si="2"/>
        <v>370.08</v>
      </c>
      <c r="K4211" s="17">
        <f t="shared" si="3"/>
        <v>1</v>
      </c>
      <c r="L4211" s="18"/>
    </row>
    <row r="4212" hidden="1">
      <c r="A4212" s="2">
        <f>IFERROR(__xludf.DUMMYFUNCTION("""COMPUTED_VALUE"""),111742.0)</f>
        <v>111742</v>
      </c>
      <c r="B4212" s="2">
        <f>IFERROR(__xludf.DUMMYFUNCTION("""COMPUTED_VALUE"""),0.0)</f>
        <v>0</v>
      </c>
      <c r="C4212" s="2">
        <f>IFERROR(__xludf.DUMMYFUNCTION("""COMPUTED_VALUE"""),26.0)</f>
        <v>26</v>
      </c>
      <c r="D4212" s="3">
        <f>IFERROR(__xludf.DUMMYFUNCTION("""COMPUTED_VALUE"""),18.0)</f>
        <v>18</v>
      </c>
      <c r="E4212" s="1" t="str">
        <f t="array" ref="E4212">_xlfn.XLOOKUP(A4212,Product!A:A,Product!B:B,"Bulunamadı")</f>
        <v>Fiction</v>
      </c>
      <c r="F4212" s="1" t="str">
        <f t="array" ref="F4212">_xlfn.XLOOKUP(A4212,Product!A:A,Product!C:C,"Bulunamadı")</f>
        <v>UI/UX Design</v>
      </c>
      <c r="G4212" s="2" t="str">
        <f t="array" ref="G4212">_xlfn.XLOOKUP(A4213,Product!A:A,Product!D:D,"Bulunamadı")</f>
        <v>Oakwind House</v>
      </c>
      <c r="H4212" s="2">
        <f t="array" ref="H4212">_xlfn.XLOOKUP(A4214,Product!A:A,Product!E:E,"Bulunamadı")</f>
        <v>23.06</v>
      </c>
      <c r="I4212" s="2" t="str">
        <f t="shared" si="1"/>
        <v>111742 - Fiction - UI/UX Design</v>
      </c>
      <c r="J4212" s="2">
        <f t="shared" si="2"/>
        <v>415.08</v>
      </c>
      <c r="K4212" s="17">
        <f t="shared" si="3"/>
        <v>1</v>
      </c>
      <c r="L4212" s="18"/>
    </row>
    <row r="4213" hidden="1">
      <c r="A4213" s="2">
        <f>IFERROR(__xludf.DUMMYFUNCTION("""COMPUTED_VALUE"""),88989.0)</f>
        <v>88989</v>
      </c>
      <c r="B4213" s="2">
        <f>IFERROR(__xludf.DUMMYFUNCTION("""COMPUTED_VALUE"""),1.0)</f>
        <v>1</v>
      </c>
      <c r="C4213" s="2">
        <f>IFERROR(__xludf.DUMMYFUNCTION("""COMPUTED_VALUE"""),184.0)</f>
        <v>184</v>
      </c>
      <c r="D4213" s="3">
        <f>IFERROR(__xludf.DUMMYFUNCTION("""COMPUTED_VALUE"""),8.0)</f>
        <v>8</v>
      </c>
      <c r="E4213" s="1" t="str">
        <f t="array" ref="E4213">_xlfn.XLOOKUP(A4213,Product!A:A,Product!B:B,"Bulunamadı")</f>
        <v>Finance</v>
      </c>
      <c r="F4213" s="1" t="str">
        <f t="array" ref="F4213">_xlfn.XLOOKUP(A4213,Product!A:A,Product!C:C,"Bulunamadı")</f>
        <v>Personal Finance</v>
      </c>
      <c r="G4213" s="2" t="str">
        <f t="array" ref="G4213">_xlfn.XLOOKUP(A4214,Product!A:A,Product!D:D,"Bulunamadı")</f>
        <v>Oakwind House</v>
      </c>
      <c r="H4213" s="2">
        <f t="array" ref="H4213">_xlfn.XLOOKUP(A4215,Product!A:A,Product!E:E,"Bulunamadı")</f>
        <v>23.18</v>
      </c>
      <c r="I4213" s="2" t="str">
        <f t="shared" si="1"/>
        <v>88989 - Finance - Personal Finance</v>
      </c>
      <c r="J4213" s="2">
        <f t="shared" si="2"/>
        <v>185.44</v>
      </c>
      <c r="K4213" s="17">
        <f t="shared" si="3"/>
        <v>1</v>
      </c>
      <c r="L4213" s="18"/>
    </row>
    <row r="4214" hidden="1">
      <c r="A4214" s="2">
        <f>IFERROR(__xludf.DUMMYFUNCTION("""COMPUTED_VALUE"""),88987.0)</f>
        <v>88987</v>
      </c>
      <c r="B4214" s="2">
        <f>IFERROR(__xludf.DUMMYFUNCTION("""COMPUTED_VALUE"""),1.0)</f>
        <v>1</v>
      </c>
      <c r="C4214" s="2">
        <f>IFERROR(__xludf.DUMMYFUNCTION("""COMPUTED_VALUE"""),659.0)</f>
        <v>659</v>
      </c>
      <c r="D4214" s="3">
        <f>IFERROR(__xludf.DUMMYFUNCTION("""COMPUTED_VALUE"""),465.0)</f>
        <v>465</v>
      </c>
      <c r="E4214" s="1" t="str">
        <f t="array" ref="E4214">_xlfn.XLOOKUP(A4214,Product!A:A,Product!B:B,"Bulunamadı")</f>
        <v>Finance</v>
      </c>
      <c r="F4214" s="1" t="str">
        <f t="array" ref="F4214">_xlfn.XLOOKUP(A4214,Product!A:A,Product!C:C,"Bulunamadı")</f>
        <v>Personal Finance</v>
      </c>
      <c r="G4214" s="2" t="str">
        <f t="array" ref="G4214">_xlfn.XLOOKUP(A4215,Product!A:A,Product!D:D,"Bulunamadı")</f>
        <v>Oakwind House</v>
      </c>
      <c r="H4214" s="2">
        <f t="array" ref="H4214">_xlfn.XLOOKUP(A4216,Product!A:A,Product!E:E,"Bulunamadı")</f>
        <v>30.75</v>
      </c>
      <c r="I4214" s="2" t="str">
        <f t="shared" si="1"/>
        <v>88987 - Finance - Personal Finance</v>
      </c>
      <c r="J4214" s="2">
        <f t="shared" si="2"/>
        <v>14298.75</v>
      </c>
      <c r="K4214" s="17">
        <f t="shared" si="3"/>
        <v>1</v>
      </c>
      <c r="L4214" s="18"/>
    </row>
    <row r="4215" hidden="1">
      <c r="A4215" s="2">
        <f>IFERROR(__xludf.DUMMYFUNCTION("""COMPUTED_VALUE"""),88988.0)</f>
        <v>88988</v>
      </c>
      <c r="B4215" s="2">
        <f>IFERROR(__xludf.DUMMYFUNCTION("""COMPUTED_VALUE"""),1.0)</f>
        <v>1</v>
      </c>
      <c r="C4215" s="2">
        <f>IFERROR(__xludf.DUMMYFUNCTION("""COMPUTED_VALUE"""),613.0)</f>
        <v>613</v>
      </c>
      <c r="D4215" s="3">
        <f>IFERROR(__xludf.DUMMYFUNCTION("""COMPUTED_VALUE"""),1.0)</f>
        <v>1</v>
      </c>
      <c r="E4215" s="1" t="str">
        <f t="array" ref="E4215">_xlfn.XLOOKUP(A4215,Product!A:A,Product!B:B,"Bulunamadı")</f>
        <v>Finance</v>
      </c>
      <c r="F4215" s="1" t="str">
        <f t="array" ref="F4215">_xlfn.XLOOKUP(A4215,Product!A:A,Product!C:C,"Bulunamadı")</f>
        <v>Personal Finance</v>
      </c>
      <c r="G4215" s="2" t="str">
        <f t="array" ref="G4215">_xlfn.XLOOKUP(A4216,Product!A:A,Product!D:D,"Bulunamadı")</f>
        <v>Riverwind House</v>
      </c>
      <c r="H4215" s="2">
        <f t="array" ref="H4215">_xlfn.XLOOKUP(A4217,Product!A:A,Product!E:E,"Bulunamadı")</f>
        <v>10.9</v>
      </c>
      <c r="I4215" s="2" t="str">
        <f t="shared" si="1"/>
        <v>88988 - Finance - Personal Finance</v>
      </c>
      <c r="J4215" s="2">
        <f t="shared" si="2"/>
        <v>10.9</v>
      </c>
      <c r="K4215" s="17">
        <f t="shared" si="3"/>
        <v>1</v>
      </c>
      <c r="L4215" s="18"/>
    </row>
    <row r="4216" hidden="1">
      <c r="A4216" s="2">
        <f>IFERROR(__xludf.DUMMYFUNCTION("""COMPUTED_VALUE"""),102816.0)</f>
        <v>102816</v>
      </c>
      <c r="B4216" s="2">
        <f>IFERROR(__xludf.DUMMYFUNCTION("""COMPUTED_VALUE"""),0.0)</f>
        <v>0</v>
      </c>
      <c r="C4216" s="2">
        <f>IFERROR(__xludf.DUMMYFUNCTION("""COMPUTED_VALUE"""),151.0)</f>
        <v>151</v>
      </c>
      <c r="D4216" s="3">
        <f>IFERROR(__xludf.DUMMYFUNCTION("""COMPUTED_VALUE"""),75.0)</f>
        <v>75</v>
      </c>
      <c r="E4216" s="1" t="str">
        <f t="array" ref="E4216">_xlfn.XLOOKUP(A4216,Product!A:A,Product!B:B,"Bulunamadı")</f>
        <v>Finance</v>
      </c>
      <c r="F4216" s="1" t="str">
        <f t="array" ref="F4216">_xlfn.XLOOKUP(A4216,Product!A:A,Product!C:C,"Bulunamadı")</f>
        <v>Personal Finance</v>
      </c>
      <c r="G4216" s="2" t="str">
        <f t="array" ref="G4216">_xlfn.XLOOKUP(A4217,Product!A:A,Product!D:D,"Bulunamadı")</f>
        <v>Ironwind House</v>
      </c>
      <c r="H4216" s="2">
        <f t="array" ref="H4216">_xlfn.XLOOKUP(A4218,Product!A:A,Product!E:E,"Bulunamadı")</f>
        <v>48.6</v>
      </c>
      <c r="I4216" s="2" t="str">
        <f t="shared" si="1"/>
        <v>102816 - Finance - Personal Finance</v>
      </c>
      <c r="J4216" s="2">
        <f t="shared" si="2"/>
        <v>3645</v>
      </c>
      <c r="K4216" s="17">
        <f t="shared" si="3"/>
        <v>1</v>
      </c>
      <c r="L4216" s="18"/>
    </row>
    <row r="4217" hidden="1">
      <c r="A4217" s="2">
        <f>IFERROR(__xludf.DUMMYFUNCTION("""COMPUTED_VALUE"""),49803.0)</f>
        <v>49803</v>
      </c>
      <c r="B4217" s="2">
        <f>IFERROR(__xludf.DUMMYFUNCTION("""COMPUTED_VALUE"""),1.0)</f>
        <v>1</v>
      </c>
      <c r="C4217" s="2">
        <f>IFERROR(__xludf.DUMMYFUNCTION("""COMPUTED_VALUE"""),245.0)</f>
        <v>245</v>
      </c>
      <c r="D4217" s="3">
        <f>IFERROR(__xludf.DUMMYFUNCTION("""COMPUTED_VALUE"""),0.0)</f>
        <v>0</v>
      </c>
      <c r="E4217" s="1" t="str">
        <f t="array" ref="E4217">_xlfn.XLOOKUP(A4217,Product!A:A,Product!B:B,"Bulunamadı")</f>
        <v>Finance</v>
      </c>
      <c r="F4217" s="1" t="str">
        <f t="array" ref="F4217">_xlfn.XLOOKUP(A4217,Product!A:A,Product!C:C,"Bulunamadı")</f>
        <v>Personal Finance</v>
      </c>
      <c r="G4217" s="2" t="str">
        <f t="array" ref="G4217">_xlfn.XLOOKUP(A4218,Product!A:A,Product!D:D,"Bulunamadı")</f>
        <v>Ironwind House</v>
      </c>
      <c r="H4217" s="2">
        <f t="array" ref="H4217">_xlfn.XLOOKUP(A4219,Product!A:A,Product!E:E,"Bulunamadı")</f>
        <v>4.89</v>
      </c>
      <c r="I4217" s="2" t="str">
        <f t="shared" si="1"/>
        <v>49803 - Finance - Personal Finance</v>
      </c>
      <c r="J4217" s="2">
        <f t="shared" si="2"/>
        <v>0</v>
      </c>
      <c r="K4217" s="17">
        <f t="shared" si="3"/>
        <v>0</v>
      </c>
      <c r="L4217" s="18"/>
    </row>
    <row r="4218" hidden="1">
      <c r="A4218" s="2">
        <f>IFERROR(__xludf.DUMMYFUNCTION("""COMPUTED_VALUE"""),77302.0)</f>
        <v>77302</v>
      </c>
      <c r="B4218" s="2">
        <f>IFERROR(__xludf.DUMMYFUNCTION("""COMPUTED_VALUE"""),0.0)</f>
        <v>0</v>
      </c>
      <c r="C4218" s="2">
        <f>IFERROR(__xludf.DUMMYFUNCTION("""COMPUTED_VALUE"""),379.0)</f>
        <v>379</v>
      </c>
      <c r="D4218" s="3">
        <f>IFERROR(__xludf.DUMMYFUNCTION("""COMPUTED_VALUE"""),295.0)</f>
        <v>295</v>
      </c>
      <c r="E4218" s="1" t="str">
        <f t="array" ref="E4218">_xlfn.XLOOKUP(A4218,Product!A:A,Product!B:B,"Bulunamadı")</f>
        <v>Finance</v>
      </c>
      <c r="F4218" s="1" t="str">
        <f t="array" ref="F4218">_xlfn.XLOOKUP(A4218,Product!A:A,Product!C:C,"Bulunamadı")</f>
        <v>Personal Finance</v>
      </c>
      <c r="G4218" s="2" t="str">
        <f t="array" ref="G4218">_xlfn.XLOOKUP(A4219,Product!A:A,Product!D:D,"Bulunamadı")</f>
        <v>Silverbridge House</v>
      </c>
      <c r="H4218" s="2">
        <f t="array" ref="H4218">_xlfn.XLOOKUP(A4220,Product!A:A,Product!E:E,"Bulunamadı")</f>
        <v>1.85</v>
      </c>
      <c r="I4218" s="2" t="str">
        <f t="shared" si="1"/>
        <v>77302 - Finance - Personal Finance</v>
      </c>
      <c r="J4218" s="2">
        <f t="shared" si="2"/>
        <v>545.75</v>
      </c>
      <c r="K4218" s="17">
        <f t="shared" si="3"/>
        <v>1</v>
      </c>
      <c r="L4218" s="18"/>
    </row>
    <row r="4219">
      <c r="A4219" s="2">
        <f>IFERROR(__xludf.DUMMYFUNCTION("""COMPUTED_VALUE"""),94000.0)</f>
        <v>94000</v>
      </c>
      <c r="B4219" s="2">
        <f>IFERROR(__xludf.DUMMYFUNCTION("""COMPUTED_VALUE"""),0.0)</f>
        <v>0</v>
      </c>
      <c r="C4219" s="2">
        <f>IFERROR(__xludf.DUMMYFUNCTION("""COMPUTED_VALUE"""),888.0)</f>
        <v>888</v>
      </c>
      <c r="D4219" s="3">
        <f>IFERROR(__xludf.DUMMYFUNCTION("""COMPUTED_VALUE"""),727.0)</f>
        <v>727</v>
      </c>
      <c r="E4219" s="1" t="str">
        <f t="array" ref="E4219">_xlfn.XLOOKUP(A4219,Product!A:A,Product!B:B,"Bulunamadı")</f>
        <v>Arts</v>
      </c>
      <c r="F4219" s="1" t="str">
        <f t="array" ref="F4219">_xlfn.XLOOKUP(A4219,Product!A:A,Product!C:C,"Bulunamadı")</f>
        <v>Investing</v>
      </c>
      <c r="G4219" s="2" t="str">
        <f t="array" ref="G4219">_xlfn.XLOOKUP(A4220,Product!A:A,Product!D:D,"Bulunamadı")</f>
        <v>Silverbridge House</v>
      </c>
      <c r="H4219" s="2">
        <f t="array" ref="H4219">_xlfn.XLOOKUP(A4221,Product!A:A,Product!E:E,"Bulunamadı")</f>
        <v>2.74</v>
      </c>
      <c r="I4219" s="2" t="str">
        <f t="shared" si="1"/>
        <v>94000 - Arts - Investing</v>
      </c>
      <c r="J4219" s="2">
        <f t="shared" si="2"/>
        <v>1991.98</v>
      </c>
      <c r="K4219" s="17">
        <f t="shared" si="3"/>
        <v>1</v>
      </c>
      <c r="L4219" s="18"/>
    </row>
    <row r="4220">
      <c r="A4220" s="2">
        <f>IFERROR(__xludf.DUMMYFUNCTION("""COMPUTED_VALUE"""),9616.0)</f>
        <v>9616</v>
      </c>
      <c r="B4220" s="2">
        <f>IFERROR(__xludf.DUMMYFUNCTION("""COMPUTED_VALUE"""),1.0)</f>
        <v>1</v>
      </c>
      <c r="C4220" s="2">
        <f>IFERROR(__xludf.DUMMYFUNCTION("""COMPUTED_VALUE"""),277.0)</f>
        <v>277</v>
      </c>
      <c r="D4220" s="3">
        <f>IFERROR(__xludf.DUMMYFUNCTION("""COMPUTED_VALUE"""),191.0)</f>
        <v>191</v>
      </c>
      <c r="E4220" s="1" t="str">
        <f t="array" ref="E4220">_xlfn.XLOOKUP(A4220,Product!A:A,Product!B:B,"Bulunamadı")</f>
        <v>Arts</v>
      </c>
      <c r="F4220" s="1" t="str">
        <f t="array" ref="F4220">_xlfn.XLOOKUP(A4220,Product!A:A,Product!C:C,"Bulunamadı")</f>
        <v>Investing</v>
      </c>
      <c r="G4220" s="2" t="str">
        <f t="array" ref="G4220">_xlfn.XLOOKUP(A4221,Product!A:A,Product!D:D,"Bulunamadı")</f>
        <v>Silverbridge House</v>
      </c>
      <c r="H4220" s="2">
        <f t="array" ref="H4220">_xlfn.XLOOKUP(A4222,Product!A:A,Product!E:E,"Bulunamadı")</f>
        <v>8.31</v>
      </c>
      <c r="I4220" s="2" t="str">
        <f t="shared" si="1"/>
        <v>9616 - Arts - Investing</v>
      </c>
      <c r="J4220" s="2">
        <f t="shared" si="2"/>
        <v>1587.21</v>
      </c>
      <c r="K4220" s="17">
        <f t="shared" si="3"/>
        <v>1</v>
      </c>
      <c r="L4220" s="18"/>
    </row>
    <row r="4221">
      <c r="A4221" s="2">
        <f>IFERROR(__xludf.DUMMYFUNCTION("""COMPUTED_VALUE"""),115135.0)</f>
        <v>115135</v>
      </c>
      <c r="B4221" s="2">
        <f>IFERROR(__xludf.DUMMYFUNCTION("""COMPUTED_VALUE"""),1.0)</f>
        <v>1</v>
      </c>
      <c r="C4221" s="2">
        <f>IFERROR(__xludf.DUMMYFUNCTION("""COMPUTED_VALUE"""),373.0)</f>
        <v>373</v>
      </c>
      <c r="D4221" s="3">
        <f>IFERROR(__xludf.DUMMYFUNCTION("""COMPUTED_VALUE"""),18.0)</f>
        <v>18</v>
      </c>
      <c r="E4221" s="1" t="str">
        <f t="array" ref="E4221">_xlfn.XLOOKUP(A4221,Product!A:A,Product!B:B,"Bulunamadı")</f>
        <v>Arts</v>
      </c>
      <c r="F4221" s="1" t="str">
        <f t="array" ref="F4221">_xlfn.XLOOKUP(A4221,Product!A:A,Product!C:C,"Bulunamadı")</f>
        <v>Investing</v>
      </c>
      <c r="G4221" s="2" t="str">
        <f t="array" ref="G4221">_xlfn.XLOOKUP(A4222,Product!A:A,Product!D:D,"Bulunamadı")</f>
        <v>Silverbridge House</v>
      </c>
      <c r="H4221" s="2">
        <f t="array" ref="H4221">_xlfn.XLOOKUP(A4223,Product!A:A,Product!E:E,"Bulunamadı")</f>
        <v>4.95</v>
      </c>
      <c r="I4221" s="2" t="str">
        <f t="shared" si="1"/>
        <v>115135 - Arts - Investing</v>
      </c>
      <c r="J4221" s="2">
        <f t="shared" si="2"/>
        <v>89.1</v>
      </c>
      <c r="K4221" s="17">
        <f t="shared" si="3"/>
        <v>1</v>
      </c>
      <c r="L4221" s="18"/>
    </row>
    <row r="4222">
      <c r="A4222" s="2">
        <f>IFERROR(__xludf.DUMMYFUNCTION("""COMPUTED_VALUE"""),90727.0)</f>
        <v>90727</v>
      </c>
      <c r="B4222" s="2">
        <f>IFERROR(__xludf.DUMMYFUNCTION("""COMPUTED_VALUE"""),0.0)</f>
        <v>0</v>
      </c>
      <c r="C4222" s="2">
        <f>IFERROR(__xludf.DUMMYFUNCTION("""COMPUTED_VALUE"""),103.0)</f>
        <v>103</v>
      </c>
      <c r="D4222" s="3">
        <f>IFERROR(__xludf.DUMMYFUNCTION("""COMPUTED_VALUE"""),16.0)</f>
        <v>16</v>
      </c>
      <c r="E4222" s="1" t="str">
        <f t="array" ref="E4222">_xlfn.XLOOKUP(A4222,Product!A:A,Product!B:B,"Bulunamadı")</f>
        <v>Arts</v>
      </c>
      <c r="F4222" s="1" t="str">
        <f t="array" ref="F4222">_xlfn.XLOOKUP(A4222,Product!A:A,Product!C:C,"Bulunamadı")</f>
        <v>Investing</v>
      </c>
      <c r="G4222" s="2" t="str">
        <f t="array" ref="G4222">_xlfn.XLOOKUP(A4223,Product!A:A,Product!D:D,"Bulunamadı")</f>
        <v>Silverbridge House</v>
      </c>
      <c r="H4222" s="2">
        <f t="array" ref="H4222">_xlfn.XLOOKUP(A4224,Product!A:A,Product!E:E,"Bulunamadı")</f>
        <v>2.01</v>
      </c>
      <c r="I4222" s="2" t="str">
        <f t="shared" si="1"/>
        <v>90727 - Arts - Investing</v>
      </c>
      <c r="J4222" s="2">
        <f t="shared" si="2"/>
        <v>32.16</v>
      </c>
      <c r="K4222" s="17">
        <f t="shared" si="3"/>
        <v>1</v>
      </c>
      <c r="L4222" s="18"/>
    </row>
    <row r="4223">
      <c r="A4223" s="2">
        <f>IFERROR(__xludf.DUMMYFUNCTION("""COMPUTED_VALUE"""),24060.0)</f>
        <v>24060</v>
      </c>
      <c r="B4223" s="2">
        <f>IFERROR(__xludf.DUMMYFUNCTION("""COMPUTED_VALUE"""),0.0)</f>
        <v>0</v>
      </c>
      <c r="C4223" s="2">
        <f>IFERROR(__xludf.DUMMYFUNCTION("""COMPUTED_VALUE"""),210.0)</f>
        <v>210</v>
      </c>
      <c r="D4223" s="3">
        <f>IFERROR(__xludf.DUMMYFUNCTION("""COMPUTED_VALUE"""),87.0)</f>
        <v>87</v>
      </c>
      <c r="E4223" s="1" t="str">
        <f t="array" ref="E4223">_xlfn.XLOOKUP(A4223,Product!A:A,Product!B:B,"Bulunamadı")</f>
        <v>Arts</v>
      </c>
      <c r="F4223" s="1" t="str">
        <f t="array" ref="F4223">_xlfn.XLOOKUP(A4223,Product!A:A,Product!C:C,"Bulunamadı")</f>
        <v>Investing</v>
      </c>
      <c r="G4223" s="2" t="str">
        <f t="array" ref="G4223">_xlfn.XLOOKUP(A4224,Product!A:A,Product!D:D,"Bulunamadı")</f>
        <v>Silverbridge House</v>
      </c>
      <c r="H4223" s="2">
        <f t="array" ref="H4223">_xlfn.XLOOKUP(A4225,Product!A:A,Product!E:E,"Bulunamadı")</f>
        <v>8.7</v>
      </c>
      <c r="I4223" s="2" t="str">
        <f t="shared" si="1"/>
        <v>24060 - Arts - Investing</v>
      </c>
      <c r="J4223" s="2">
        <f t="shared" si="2"/>
        <v>756.9</v>
      </c>
      <c r="K4223" s="17">
        <f t="shared" si="3"/>
        <v>1</v>
      </c>
      <c r="L4223" s="18"/>
    </row>
    <row r="4224">
      <c r="A4224" s="2">
        <f>IFERROR(__xludf.DUMMYFUNCTION("""COMPUTED_VALUE"""),112086.0)</f>
        <v>112086</v>
      </c>
      <c r="B4224" s="2">
        <f>IFERROR(__xludf.DUMMYFUNCTION("""COMPUTED_VALUE"""),0.0)</f>
        <v>0</v>
      </c>
      <c r="C4224" s="2">
        <f>IFERROR(__xludf.DUMMYFUNCTION("""COMPUTED_VALUE"""),290.0)</f>
        <v>290</v>
      </c>
      <c r="D4224" s="3">
        <f>IFERROR(__xludf.DUMMYFUNCTION("""COMPUTED_VALUE"""),52.0)</f>
        <v>52</v>
      </c>
      <c r="E4224" s="1" t="str">
        <f t="array" ref="E4224">_xlfn.XLOOKUP(A4224,Product!A:A,Product!B:B,"Bulunamadı")</f>
        <v>Arts</v>
      </c>
      <c r="F4224" s="1" t="str">
        <f t="array" ref="F4224">_xlfn.XLOOKUP(A4224,Product!A:A,Product!C:C,"Bulunamadı")</f>
        <v>Investing</v>
      </c>
      <c r="G4224" s="2" t="str">
        <f t="array" ref="G4224">_xlfn.XLOOKUP(A4225,Product!A:A,Product!D:D,"Bulunamadı")</f>
        <v>Silverbridge House</v>
      </c>
      <c r="H4224" s="2">
        <f t="array" ref="H4224">_xlfn.XLOOKUP(A4226,Product!A:A,Product!E:E,"Bulunamadı")</f>
        <v>2.57</v>
      </c>
      <c r="I4224" s="2" t="str">
        <f t="shared" si="1"/>
        <v>112086 - Arts - Investing</v>
      </c>
      <c r="J4224" s="2">
        <f t="shared" si="2"/>
        <v>133.64</v>
      </c>
      <c r="K4224" s="17">
        <f t="shared" si="3"/>
        <v>1</v>
      </c>
      <c r="L4224" s="18"/>
    </row>
    <row r="4225">
      <c r="A4225" s="2">
        <f>IFERROR(__xludf.DUMMYFUNCTION("""COMPUTED_VALUE"""),90723.0)</f>
        <v>90723</v>
      </c>
      <c r="B4225" s="2">
        <f>IFERROR(__xludf.DUMMYFUNCTION("""COMPUTED_VALUE"""),0.0)</f>
        <v>0</v>
      </c>
      <c r="C4225" s="2">
        <f>IFERROR(__xludf.DUMMYFUNCTION("""COMPUTED_VALUE"""),458.0)</f>
        <v>458</v>
      </c>
      <c r="D4225" s="3">
        <f>IFERROR(__xludf.DUMMYFUNCTION("""COMPUTED_VALUE"""),436.0)</f>
        <v>436</v>
      </c>
      <c r="E4225" s="1" t="str">
        <f t="array" ref="E4225">_xlfn.XLOOKUP(A4225,Product!A:A,Product!B:B,"Bulunamadı")</f>
        <v>Arts</v>
      </c>
      <c r="F4225" s="1" t="str">
        <f t="array" ref="F4225">_xlfn.XLOOKUP(A4225,Product!A:A,Product!C:C,"Bulunamadı")</f>
        <v>Investing</v>
      </c>
      <c r="G4225" s="2" t="str">
        <f t="array" ref="G4225">_xlfn.XLOOKUP(A4226,Product!A:A,Product!D:D,"Bulunamadı")</f>
        <v>Silverbridge House</v>
      </c>
      <c r="H4225" s="2">
        <f t="array" ref="H4225">_xlfn.XLOOKUP(A4227,Product!A:A,Product!E:E,"Bulunamadı")</f>
        <v>1.83</v>
      </c>
      <c r="I4225" s="2" t="str">
        <f t="shared" si="1"/>
        <v>90723 - Arts - Investing</v>
      </c>
      <c r="J4225" s="2">
        <f t="shared" si="2"/>
        <v>797.88</v>
      </c>
      <c r="K4225" s="17">
        <f t="shared" si="3"/>
        <v>1</v>
      </c>
      <c r="L4225" s="18"/>
    </row>
    <row r="4226">
      <c r="A4226" s="2">
        <f>IFERROR(__xludf.DUMMYFUNCTION("""COMPUTED_VALUE"""),77601.0)</f>
        <v>77601</v>
      </c>
      <c r="B4226" s="2">
        <f>IFERROR(__xludf.DUMMYFUNCTION("""COMPUTED_VALUE"""),1.0)</f>
        <v>1</v>
      </c>
      <c r="C4226" s="2">
        <f>IFERROR(__xludf.DUMMYFUNCTION("""COMPUTED_VALUE"""),277.0)</f>
        <v>277</v>
      </c>
      <c r="D4226" s="3">
        <f>IFERROR(__xludf.DUMMYFUNCTION("""COMPUTED_VALUE"""),87.0)</f>
        <v>87</v>
      </c>
      <c r="E4226" s="1" t="str">
        <f t="array" ref="E4226">_xlfn.XLOOKUP(A4226,Product!A:A,Product!B:B,"Bulunamadı")</f>
        <v>Arts</v>
      </c>
      <c r="F4226" s="1" t="str">
        <f t="array" ref="F4226">_xlfn.XLOOKUP(A4226,Product!A:A,Product!C:C,"Bulunamadı")</f>
        <v>Investing</v>
      </c>
      <c r="G4226" s="2" t="str">
        <f t="array" ref="G4226">_xlfn.XLOOKUP(A4227,Product!A:A,Product!D:D,"Bulunamadı")</f>
        <v>Northbridge House</v>
      </c>
      <c r="H4226" s="2">
        <f t="array" ref="H4226">_xlfn.XLOOKUP(A4228,Product!A:A,Product!E:E,"Bulunamadı")</f>
        <v>3.68</v>
      </c>
      <c r="I4226" s="2" t="str">
        <f t="shared" si="1"/>
        <v>77601 - Arts - Investing</v>
      </c>
      <c r="J4226" s="2">
        <f t="shared" si="2"/>
        <v>320.16</v>
      </c>
      <c r="K4226" s="17">
        <f t="shared" si="3"/>
        <v>1</v>
      </c>
      <c r="L4226" s="18"/>
    </row>
    <row r="4227">
      <c r="A4227" s="2">
        <f>IFERROR(__xludf.DUMMYFUNCTION("""COMPUTED_VALUE"""),12005.0)</f>
        <v>12005</v>
      </c>
      <c r="B4227" s="2">
        <f>IFERROR(__xludf.DUMMYFUNCTION("""COMPUTED_VALUE"""),0.0)</f>
        <v>0</v>
      </c>
      <c r="C4227" s="2">
        <f>IFERROR(__xludf.DUMMYFUNCTION("""COMPUTED_VALUE"""),838.0)</f>
        <v>838</v>
      </c>
      <c r="D4227" s="3">
        <f>IFERROR(__xludf.DUMMYFUNCTION("""COMPUTED_VALUE"""),535.0)</f>
        <v>535</v>
      </c>
      <c r="E4227" s="1" t="str">
        <f t="array" ref="E4227">_xlfn.XLOOKUP(A4227,Product!A:A,Product!B:B,"Bulunamadı")</f>
        <v>Arts</v>
      </c>
      <c r="F4227" s="1" t="str">
        <f t="array" ref="F4227">_xlfn.XLOOKUP(A4227,Product!A:A,Product!C:C,"Bulunamadı")</f>
        <v>Investing</v>
      </c>
      <c r="G4227" s="2" t="str">
        <f t="array" ref="G4227">_xlfn.XLOOKUP(A4228,Product!A:A,Product!D:D,"Bulunamadı")</f>
        <v>Northbridge House</v>
      </c>
      <c r="H4227" s="2">
        <f t="array" ref="H4227">_xlfn.XLOOKUP(A4229,Product!A:A,Product!E:E,"Bulunamadı")</f>
        <v>1.88</v>
      </c>
      <c r="I4227" s="2" t="str">
        <f t="shared" si="1"/>
        <v>12005 - Arts - Investing</v>
      </c>
      <c r="J4227" s="2">
        <f t="shared" si="2"/>
        <v>1005.8</v>
      </c>
      <c r="K4227" s="17">
        <f t="shared" si="3"/>
        <v>1</v>
      </c>
      <c r="L4227" s="18"/>
    </row>
    <row r="4228">
      <c r="A4228" s="2">
        <f>IFERROR(__xludf.DUMMYFUNCTION("""COMPUTED_VALUE"""),41680.0)</f>
        <v>41680</v>
      </c>
      <c r="B4228" s="2">
        <f>IFERROR(__xludf.DUMMYFUNCTION("""COMPUTED_VALUE"""),0.0)</f>
        <v>0</v>
      </c>
      <c r="C4228" s="2">
        <f>IFERROR(__xludf.DUMMYFUNCTION("""COMPUTED_VALUE"""),634.0)</f>
        <v>634</v>
      </c>
      <c r="D4228" s="3">
        <f>IFERROR(__xludf.DUMMYFUNCTION("""COMPUTED_VALUE"""),532.0)</f>
        <v>532</v>
      </c>
      <c r="E4228" s="1" t="str">
        <f t="array" ref="E4228">_xlfn.XLOOKUP(A4228,Product!A:A,Product!B:B,"Bulunamadı")</f>
        <v>Arts</v>
      </c>
      <c r="F4228" s="1" t="str">
        <f t="array" ref="F4228">_xlfn.XLOOKUP(A4228,Product!A:A,Product!C:C,"Bulunamadı")</f>
        <v>Investing</v>
      </c>
      <c r="G4228" s="2" t="str">
        <f t="array" ref="G4228">_xlfn.XLOOKUP(A4229,Product!A:A,Product!D:D,"Bulunamadı")</f>
        <v>Northbridge House</v>
      </c>
      <c r="H4228" s="2">
        <f t="array" ref="H4228">_xlfn.XLOOKUP(A4230,Product!A:A,Product!E:E,"Bulunamadı")</f>
        <v>2.23</v>
      </c>
      <c r="I4228" s="2" t="str">
        <f t="shared" si="1"/>
        <v>41680 - Arts - Investing</v>
      </c>
      <c r="J4228" s="2">
        <f t="shared" si="2"/>
        <v>1186.36</v>
      </c>
      <c r="K4228" s="17">
        <f t="shared" si="3"/>
        <v>1</v>
      </c>
      <c r="L4228" s="18"/>
    </row>
    <row r="4229">
      <c r="A4229" s="2">
        <f>IFERROR(__xludf.DUMMYFUNCTION("""COMPUTED_VALUE"""),12000.0)</f>
        <v>12000</v>
      </c>
      <c r="B4229" s="2">
        <f>IFERROR(__xludf.DUMMYFUNCTION("""COMPUTED_VALUE"""),0.0)</f>
        <v>0</v>
      </c>
      <c r="C4229" s="2">
        <f>IFERROR(__xludf.DUMMYFUNCTION("""COMPUTED_VALUE"""),752.0)</f>
        <v>752</v>
      </c>
      <c r="D4229" s="3">
        <f>IFERROR(__xludf.DUMMYFUNCTION("""COMPUTED_VALUE"""),451.0)</f>
        <v>451</v>
      </c>
      <c r="E4229" s="1" t="str">
        <f t="array" ref="E4229">_xlfn.XLOOKUP(A4229,Product!A:A,Product!B:B,"Bulunamadı")</f>
        <v>Arts</v>
      </c>
      <c r="F4229" s="1" t="str">
        <f t="array" ref="F4229">_xlfn.XLOOKUP(A4229,Product!A:A,Product!C:C,"Bulunamadı")</f>
        <v>Investing</v>
      </c>
      <c r="G4229" s="2" t="str">
        <f t="array" ref="G4229">_xlfn.XLOOKUP(A4230,Product!A:A,Product!D:D,"Bulunamadı")</f>
        <v>Northbridge House</v>
      </c>
      <c r="H4229" s="2">
        <f t="array" ref="H4229">_xlfn.XLOOKUP(A4231,Product!A:A,Product!E:E,"Bulunamadı")</f>
        <v>5.49</v>
      </c>
      <c r="I4229" s="2" t="str">
        <f t="shared" si="1"/>
        <v>12000 - Arts - Investing</v>
      </c>
      <c r="J4229" s="2">
        <f t="shared" si="2"/>
        <v>2475.99</v>
      </c>
      <c r="K4229" s="17">
        <f t="shared" si="3"/>
        <v>1</v>
      </c>
      <c r="L4229" s="18"/>
    </row>
    <row r="4230">
      <c r="A4230" s="2">
        <f>IFERROR(__xludf.DUMMYFUNCTION("""COMPUTED_VALUE"""),12022.0)</f>
        <v>12022</v>
      </c>
      <c r="B4230" s="2">
        <f>IFERROR(__xludf.DUMMYFUNCTION("""COMPUTED_VALUE"""),0.0)</f>
        <v>0</v>
      </c>
      <c r="C4230" s="2">
        <f>IFERROR(__xludf.DUMMYFUNCTION("""COMPUTED_VALUE"""),8.0)</f>
        <v>8</v>
      </c>
      <c r="D4230" s="3">
        <f>IFERROR(__xludf.DUMMYFUNCTION("""COMPUTED_VALUE"""),7.0)</f>
        <v>7</v>
      </c>
      <c r="E4230" s="1" t="str">
        <f t="array" ref="E4230">_xlfn.XLOOKUP(A4230,Product!A:A,Product!B:B,"Bulunamadı")</f>
        <v>Arts</v>
      </c>
      <c r="F4230" s="1" t="str">
        <f t="array" ref="F4230">_xlfn.XLOOKUP(A4230,Product!A:A,Product!C:C,"Bulunamadı")</f>
        <v>Investing</v>
      </c>
      <c r="G4230" s="2" t="str">
        <f t="array" ref="G4230">_xlfn.XLOOKUP(A4231,Product!A:A,Product!D:D,"Bulunamadı")</f>
        <v>Northbridge House</v>
      </c>
      <c r="H4230" s="2">
        <f t="array" ref="H4230">_xlfn.XLOOKUP(A4232,Product!A:A,Product!E:E,"Bulunamadı")</f>
        <v>1.57</v>
      </c>
      <c r="I4230" s="2" t="str">
        <f t="shared" si="1"/>
        <v>12022 - Arts - Investing</v>
      </c>
      <c r="J4230" s="2">
        <f t="shared" si="2"/>
        <v>10.99</v>
      </c>
      <c r="K4230" s="17">
        <f t="shared" si="3"/>
        <v>1</v>
      </c>
      <c r="L4230" s="18"/>
    </row>
    <row r="4231">
      <c r="A4231" s="2">
        <f>IFERROR(__xludf.DUMMYFUNCTION("""COMPUTED_VALUE"""),113596.0)</f>
        <v>113596</v>
      </c>
      <c r="B4231" s="2">
        <f>IFERROR(__xludf.DUMMYFUNCTION("""COMPUTED_VALUE"""),0.0)</f>
        <v>0</v>
      </c>
      <c r="C4231" s="2">
        <f>IFERROR(__xludf.DUMMYFUNCTION("""COMPUTED_VALUE"""),988.0)</f>
        <v>988</v>
      </c>
      <c r="D4231" s="3">
        <f>IFERROR(__xludf.DUMMYFUNCTION("""COMPUTED_VALUE"""),383.0)</f>
        <v>383</v>
      </c>
      <c r="E4231" s="1" t="str">
        <f t="array" ref="E4231">_xlfn.XLOOKUP(A4231,Product!A:A,Product!B:B,"Bulunamadı")</f>
        <v>Arts</v>
      </c>
      <c r="F4231" s="1" t="str">
        <f t="array" ref="F4231">_xlfn.XLOOKUP(A4231,Product!A:A,Product!C:C,"Bulunamadı")</f>
        <v>Investing</v>
      </c>
      <c r="G4231" s="2" t="str">
        <f t="array" ref="G4231">_xlfn.XLOOKUP(A4232,Product!A:A,Product!D:D,"Bulunamadı")</f>
        <v>Northbridge House</v>
      </c>
      <c r="H4231" s="2">
        <f t="array" ref="H4231">_xlfn.XLOOKUP(A4233,Product!A:A,Product!E:E,"Bulunamadı")</f>
        <v>1.84</v>
      </c>
      <c r="I4231" s="2" t="str">
        <f t="shared" si="1"/>
        <v>113596 - Arts - Investing</v>
      </c>
      <c r="J4231" s="2">
        <f t="shared" si="2"/>
        <v>704.72</v>
      </c>
      <c r="K4231" s="17">
        <f t="shared" si="3"/>
        <v>1</v>
      </c>
      <c r="L4231" s="18"/>
    </row>
    <row r="4232">
      <c r="A4232" s="2">
        <f>IFERROR(__xludf.DUMMYFUNCTION("""COMPUTED_VALUE"""),11998.0)</f>
        <v>11998</v>
      </c>
      <c r="B4232" s="2">
        <f>IFERROR(__xludf.DUMMYFUNCTION("""COMPUTED_VALUE"""),0.0)</f>
        <v>0</v>
      </c>
      <c r="C4232" s="2">
        <f>IFERROR(__xludf.DUMMYFUNCTION("""COMPUTED_VALUE"""),436.0)</f>
        <v>436</v>
      </c>
      <c r="D4232" s="3">
        <f>IFERROR(__xludf.DUMMYFUNCTION("""COMPUTED_VALUE"""),414.0)</f>
        <v>414</v>
      </c>
      <c r="E4232" s="1" t="str">
        <f t="array" ref="E4232">_xlfn.XLOOKUP(A4232,Product!A:A,Product!B:B,"Bulunamadı")</f>
        <v>Arts</v>
      </c>
      <c r="F4232" s="1" t="str">
        <f t="array" ref="F4232">_xlfn.XLOOKUP(A4232,Product!A:A,Product!C:C,"Bulunamadı")</f>
        <v>Investing</v>
      </c>
      <c r="G4232" s="2" t="str">
        <f t="array" ref="G4232">_xlfn.XLOOKUP(A4233,Product!A:A,Product!D:D,"Bulunamadı")</f>
        <v>Northbridge House</v>
      </c>
      <c r="H4232" s="2">
        <f t="array" ref="H4232">_xlfn.XLOOKUP(A4234,Product!A:A,Product!E:E,"Bulunamadı")</f>
        <v>1.88</v>
      </c>
      <c r="I4232" s="2" t="str">
        <f t="shared" si="1"/>
        <v>11998 - Arts - Investing</v>
      </c>
      <c r="J4232" s="2">
        <f t="shared" si="2"/>
        <v>778.32</v>
      </c>
      <c r="K4232" s="17">
        <f t="shared" si="3"/>
        <v>1</v>
      </c>
      <c r="L4232" s="18"/>
    </row>
    <row r="4233">
      <c r="A4233" s="2">
        <f>IFERROR(__xludf.DUMMYFUNCTION("""COMPUTED_VALUE"""),12063.0)</f>
        <v>12063</v>
      </c>
      <c r="B4233" s="2">
        <f>IFERROR(__xludf.DUMMYFUNCTION("""COMPUTED_VALUE"""),0.0)</f>
        <v>0</v>
      </c>
      <c r="C4233" s="2">
        <f>IFERROR(__xludf.DUMMYFUNCTION("""COMPUTED_VALUE"""),904.0)</f>
        <v>904</v>
      </c>
      <c r="D4233" s="3">
        <f>IFERROR(__xludf.DUMMYFUNCTION("""COMPUTED_VALUE"""),240.0)</f>
        <v>240</v>
      </c>
      <c r="E4233" s="1" t="str">
        <f t="array" ref="E4233">_xlfn.XLOOKUP(A4233,Product!A:A,Product!B:B,"Bulunamadı")</f>
        <v>Arts</v>
      </c>
      <c r="F4233" s="1" t="str">
        <f t="array" ref="F4233">_xlfn.XLOOKUP(A4233,Product!A:A,Product!C:C,"Bulunamadı")</f>
        <v>Investing</v>
      </c>
      <c r="G4233" s="2" t="str">
        <f t="array" ref="G4233">_xlfn.XLOOKUP(A4234,Product!A:A,Product!D:D,"Bulunamadı")</f>
        <v>Northbridge House</v>
      </c>
      <c r="H4233" s="2">
        <f t="array" ref="H4233">_xlfn.XLOOKUP(A4235,Product!A:A,Product!E:E,"Bulunamadı")</f>
        <v>1.66</v>
      </c>
      <c r="I4233" s="2" t="str">
        <f t="shared" si="1"/>
        <v>12063 - Arts - Investing</v>
      </c>
      <c r="J4233" s="2">
        <f t="shared" si="2"/>
        <v>398.4</v>
      </c>
      <c r="K4233" s="17">
        <f t="shared" si="3"/>
        <v>1</v>
      </c>
      <c r="L4233" s="18"/>
    </row>
    <row r="4234">
      <c r="A4234" s="2">
        <f>IFERROR(__xludf.DUMMYFUNCTION("""COMPUTED_VALUE"""),96069.0)</f>
        <v>96069</v>
      </c>
      <c r="B4234" s="2">
        <f>IFERROR(__xludf.DUMMYFUNCTION("""COMPUTED_VALUE"""),1.0)</f>
        <v>1</v>
      </c>
      <c r="C4234" s="2">
        <f>IFERROR(__xludf.DUMMYFUNCTION("""COMPUTED_VALUE"""),327.0)</f>
        <v>327</v>
      </c>
      <c r="D4234" s="3">
        <f>IFERROR(__xludf.DUMMYFUNCTION("""COMPUTED_VALUE"""),21.0)</f>
        <v>21</v>
      </c>
      <c r="E4234" s="1" t="str">
        <f t="array" ref="E4234">_xlfn.XLOOKUP(A4234,Product!A:A,Product!B:B,"Bulunamadı")</f>
        <v>Arts</v>
      </c>
      <c r="F4234" s="1" t="str">
        <f t="array" ref="F4234">_xlfn.XLOOKUP(A4234,Product!A:A,Product!C:C,"Bulunamadı")</f>
        <v>Investing</v>
      </c>
      <c r="G4234" s="2" t="str">
        <f t="array" ref="G4234">_xlfn.XLOOKUP(A4235,Product!A:A,Product!D:D,"Bulunamadı")</f>
        <v>Northbridge House</v>
      </c>
      <c r="H4234" s="2">
        <f t="array" ref="H4234">_xlfn.XLOOKUP(A4236,Product!A:A,Product!E:E,"Bulunamadı")</f>
        <v>5.53</v>
      </c>
      <c r="I4234" s="2" t="str">
        <f t="shared" si="1"/>
        <v>96069 - Arts - Investing</v>
      </c>
      <c r="J4234" s="2">
        <f t="shared" si="2"/>
        <v>116.13</v>
      </c>
      <c r="K4234" s="17">
        <f t="shared" si="3"/>
        <v>1</v>
      </c>
      <c r="L4234" s="18"/>
    </row>
    <row r="4235">
      <c r="A4235" s="2">
        <f>IFERROR(__xludf.DUMMYFUNCTION("""COMPUTED_VALUE"""),12007.0)</f>
        <v>12007</v>
      </c>
      <c r="B4235" s="2">
        <f>IFERROR(__xludf.DUMMYFUNCTION("""COMPUTED_VALUE"""),0.0)</f>
        <v>0</v>
      </c>
      <c r="C4235" s="2">
        <f>IFERROR(__xludf.DUMMYFUNCTION("""COMPUTED_VALUE"""),353.0)</f>
        <v>353</v>
      </c>
      <c r="D4235" s="3">
        <f>IFERROR(__xludf.DUMMYFUNCTION("""COMPUTED_VALUE"""),133.0)</f>
        <v>133</v>
      </c>
      <c r="E4235" s="1" t="str">
        <f t="array" ref="E4235">_xlfn.XLOOKUP(A4235,Product!A:A,Product!B:B,"Bulunamadı")</f>
        <v>Arts</v>
      </c>
      <c r="F4235" s="1" t="str">
        <f t="array" ref="F4235">_xlfn.XLOOKUP(A4235,Product!A:A,Product!C:C,"Bulunamadı")</f>
        <v>Investing</v>
      </c>
      <c r="G4235" s="2" t="str">
        <f t="array" ref="G4235">_xlfn.XLOOKUP(A4236,Product!A:A,Product!D:D,"Bulunamadı")</f>
        <v>Northbridge House</v>
      </c>
      <c r="H4235" s="2">
        <f t="array" ref="H4235">_xlfn.XLOOKUP(A4237,Product!A:A,Product!E:E,"Bulunamadı")</f>
        <v>1.9</v>
      </c>
      <c r="I4235" s="2" t="str">
        <f t="shared" si="1"/>
        <v>12007 - Arts - Investing</v>
      </c>
      <c r="J4235" s="2">
        <f t="shared" si="2"/>
        <v>252.7</v>
      </c>
      <c r="K4235" s="17">
        <f t="shared" si="3"/>
        <v>1</v>
      </c>
      <c r="L4235" s="18"/>
    </row>
    <row r="4236">
      <c r="A4236" s="2">
        <f>IFERROR(__xludf.DUMMYFUNCTION("""COMPUTED_VALUE"""),113592.0)</f>
        <v>113592</v>
      </c>
      <c r="B4236" s="2">
        <f>IFERROR(__xludf.DUMMYFUNCTION("""COMPUTED_VALUE"""),0.0)</f>
        <v>0</v>
      </c>
      <c r="C4236" s="2">
        <f>IFERROR(__xludf.DUMMYFUNCTION("""COMPUTED_VALUE"""),530.0)</f>
        <v>530</v>
      </c>
      <c r="D4236" s="3">
        <f>IFERROR(__xludf.DUMMYFUNCTION("""COMPUTED_VALUE"""),108.0)</f>
        <v>108</v>
      </c>
      <c r="E4236" s="1" t="str">
        <f t="array" ref="E4236">_xlfn.XLOOKUP(A4236,Product!A:A,Product!B:B,"Bulunamadı")</f>
        <v>Arts</v>
      </c>
      <c r="F4236" s="1" t="str">
        <f t="array" ref="F4236">_xlfn.XLOOKUP(A4236,Product!A:A,Product!C:C,"Bulunamadı")</f>
        <v>Investing</v>
      </c>
      <c r="G4236" s="2" t="str">
        <f t="array" ref="G4236">_xlfn.XLOOKUP(A4237,Product!A:A,Product!D:D,"Bulunamadı")</f>
        <v>Northbridge House</v>
      </c>
      <c r="H4236" s="2">
        <f t="array" ref="H4236">_xlfn.XLOOKUP(A4238,Product!A:A,Product!E:E,"Bulunamadı")</f>
        <v>3.68</v>
      </c>
      <c r="I4236" s="2" t="str">
        <f t="shared" si="1"/>
        <v>113592 - Arts - Investing</v>
      </c>
      <c r="J4236" s="2">
        <f t="shared" si="2"/>
        <v>397.44</v>
      </c>
      <c r="K4236" s="17">
        <f t="shared" si="3"/>
        <v>1</v>
      </c>
      <c r="L4236" s="18"/>
    </row>
    <row r="4237">
      <c r="A4237" s="2">
        <f>IFERROR(__xludf.DUMMYFUNCTION("""COMPUTED_VALUE"""),147308.0)</f>
        <v>147308</v>
      </c>
      <c r="B4237" s="2">
        <f>IFERROR(__xludf.DUMMYFUNCTION("""COMPUTED_VALUE"""),0.0)</f>
        <v>0</v>
      </c>
      <c r="C4237" s="2">
        <f>IFERROR(__xludf.DUMMYFUNCTION("""COMPUTED_VALUE"""),462.0)</f>
        <v>462</v>
      </c>
      <c r="D4237" s="3">
        <f>IFERROR(__xludf.DUMMYFUNCTION("""COMPUTED_VALUE"""),240.0)</f>
        <v>240</v>
      </c>
      <c r="E4237" s="1" t="str">
        <f t="array" ref="E4237">_xlfn.XLOOKUP(A4237,Product!A:A,Product!B:B,"Bulunamadı")</f>
        <v>Arts</v>
      </c>
      <c r="F4237" s="1" t="str">
        <f t="array" ref="F4237">_xlfn.XLOOKUP(A4237,Product!A:A,Product!C:C,"Bulunamadı")</f>
        <v>Investing</v>
      </c>
      <c r="G4237" s="2" t="str">
        <f t="array" ref="G4237">_xlfn.XLOOKUP(A4238,Product!A:A,Product!D:D,"Bulunamadı")</f>
        <v>Northbridge House</v>
      </c>
      <c r="H4237" s="2">
        <f t="array" ref="H4237">_xlfn.XLOOKUP(A4239,Product!A:A,Product!E:E,"Bulunamadı")</f>
        <v>2.15</v>
      </c>
      <c r="I4237" s="2" t="str">
        <f t="shared" si="1"/>
        <v>147308 - Arts - Investing</v>
      </c>
      <c r="J4237" s="2">
        <f t="shared" si="2"/>
        <v>516</v>
      </c>
      <c r="K4237" s="17">
        <f t="shared" si="3"/>
        <v>1</v>
      </c>
      <c r="L4237" s="18"/>
    </row>
    <row r="4238">
      <c r="A4238" s="2">
        <f>IFERROR(__xludf.DUMMYFUNCTION("""COMPUTED_VALUE"""),41679.0)</f>
        <v>41679</v>
      </c>
      <c r="B4238" s="2">
        <f>IFERROR(__xludf.DUMMYFUNCTION("""COMPUTED_VALUE"""),1.0)</f>
        <v>1</v>
      </c>
      <c r="C4238" s="2">
        <f>IFERROR(__xludf.DUMMYFUNCTION("""COMPUTED_VALUE"""),564.0)</f>
        <v>564</v>
      </c>
      <c r="D4238" s="3">
        <f>IFERROR(__xludf.DUMMYFUNCTION("""COMPUTED_VALUE"""),261.0)</f>
        <v>261</v>
      </c>
      <c r="E4238" s="1" t="str">
        <f t="array" ref="E4238">_xlfn.XLOOKUP(A4238,Product!A:A,Product!B:B,"Bulunamadı")</f>
        <v>Arts</v>
      </c>
      <c r="F4238" s="1" t="str">
        <f t="array" ref="F4238">_xlfn.XLOOKUP(A4238,Product!A:A,Product!C:C,"Bulunamadı")</f>
        <v>Investing</v>
      </c>
      <c r="G4238" s="2" t="str">
        <f t="array" ref="G4238">_xlfn.XLOOKUP(A4239,Product!A:A,Product!D:D,"Bulunamadı")</f>
        <v>Harborbridge House</v>
      </c>
      <c r="H4238" s="2">
        <f t="array" ref="H4238">_xlfn.XLOOKUP(A4240,Product!A:A,Product!E:E,"Bulunamadı")</f>
        <v>2.57</v>
      </c>
      <c r="I4238" s="2" t="str">
        <f t="shared" si="1"/>
        <v>41679 - Arts - Investing</v>
      </c>
      <c r="J4238" s="2">
        <f t="shared" si="2"/>
        <v>670.77</v>
      </c>
      <c r="K4238" s="17">
        <f t="shared" si="3"/>
        <v>1</v>
      </c>
      <c r="L4238" s="18"/>
    </row>
    <row r="4239">
      <c r="A4239" s="2">
        <f>IFERROR(__xludf.DUMMYFUNCTION("""COMPUTED_VALUE"""),112077.0)</f>
        <v>112077</v>
      </c>
      <c r="B4239" s="2">
        <f>IFERROR(__xludf.DUMMYFUNCTION("""COMPUTED_VALUE"""),0.0)</f>
        <v>0</v>
      </c>
      <c r="C4239" s="2">
        <f>IFERROR(__xludf.DUMMYFUNCTION("""COMPUTED_VALUE"""),221.0)</f>
        <v>221</v>
      </c>
      <c r="D4239" s="3">
        <f>IFERROR(__xludf.DUMMYFUNCTION("""COMPUTED_VALUE"""),153.0)</f>
        <v>153</v>
      </c>
      <c r="E4239" s="1" t="str">
        <f t="array" ref="E4239">_xlfn.XLOOKUP(A4239,Product!A:A,Product!B:B,"Bulunamadı")</f>
        <v>Arts</v>
      </c>
      <c r="F4239" s="1" t="str">
        <f t="array" ref="F4239">_xlfn.XLOOKUP(A4239,Product!A:A,Product!C:C,"Bulunamadı")</f>
        <v>Investing</v>
      </c>
      <c r="G4239" s="2" t="str">
        <f t="array" ref="G4239">_xlfn.XLOOKUP(A4240,Product!A:A,Product!D:D,"Bulunamadı")</f>
        <v>Harborbridge House</v>
      </c>
      <c r="H4239" s="2">
        <f t="array" ref="H4239">_xlfn.XLOOKUP(A4241,Product!A:A,Product!E:E,"Bulunamadı")</f>
        <v>2.26</v>
      </c>
      <c r="I4239" s="2" t="str">
        <f t="shared" si="1"/>
        <v>112077 - Arts - Investing</v>
      </c>
      <c r="J4239" s="2">
        <f t="shared" si="2"/>
        <v>345.78</v>
      </c>
      <c r="K4239" s="17">
        <f t="shared" si="3"/>
        <v>1</v>
      </c>
      <c r="L4239" s="18"/>
    </row>
    <row r="4240">
      <c r="A4240" s="2">
        <f>IFERROR(__xludf.DUMMYFUNCTION("""COMPUTED_VALUE"""),115133.0)</f>
        <v>115133</v>
      </c>
      <c r="B4240" s="2">
        <f>IFERROR(__xludf.DUMMYFUNCTION("""COMPUTED_VALUE"""),1.0)</f>
        <v>1</v>
      </c>
      <c r="C4240" s="2">
        <f>IFERROR(__xludf.DUMMYFUNCTION("""COMPUTED_VALUE"""),840.0)</f>
        <v>840</v>
      </c>
      <c r="D4240" s="3">
        <f>IFERROR(__xludf.DUMMYFUNCTION("""COMPUTED_VALUE"""),326.0)</f>
        <v>326</v>
      </c>
      <c r="E4240" s="1" t="str">
        <f t="array" ref="E4240">_xlfn.XLOOKUP(A4240,Product!A:A,Product!B:B,"Bulunamadı")</f>
        <v>Arts</v>
      </c>
      <c r="F4240" s="1" t="str">
        <f t="array" ref="F4240">_xlfn.XLOOKUP(A4240,Product!A:A,Product!C:C,"Bulunamadı")</f>
        <v>Investing</v>
      </c>
      <c r="G4240" s="2" t="str">
        <f t="array" ref="G4240">_xlfn.XLOOKUP(A4241,Product!A:A,Product!D:D,"Bulunamadı")</f>
        <v>Harborbridge House</v>
      </c>
      <c r="H4240" s="2">
        <f t="array" ref="H4240">_xlfn.XLOOKUP(A4242,Product!A:A,Product!E:E,"Bulunamadı")</f>
        <v>0.66</v>
      </c>
      <c r="I4240" s="2" t="str">
        <f t="shared" si="1"/>
        <v>115133 - Arts - Investing</v>
      </c>
      <c r="J4240" s="2">
        <f t="shared" si="2"/>
        <v>215.16</v>
      </c>
      <c r="K4240" s="17">
        <f t="shared" si="3"/>
        <v>1</v>
      </c>
      <c r="L4240" s="18"/>
    </row>
    <row r="4241">
      <c r="A4241" s="2">
        <f>IFERROR(__xludf.DUMMYFUNCTION("""COMPUTED_VALUE"""),30465.0)</f>
        <v>30465</v>
      </c>
      <c r="B4241" s="2">
        <f>IFERROR(__xludf.DUMMYFUNCTION("""COMPUTED_VALUE"""),1.0)</f>
        <v>1</v>
      </c>
      <c r="C4241" s="2">
        <f>IFERROR(__xludf.DUMMYFUNCTION("""COMPUTED_VALUE"""),115.0)</f>
        <v>115</v>
      </c>
      <c r="D4241" s="3">
        <f>IFERROR(__xludf.DUMMYFUNCTION("""COMPUTED_VALUE"""),6.0)</f>
        <v>6</v>
      </c>
      <c r="E4241" s="1" t="str">
        <f t="array" ref="E4241">_xlfn.XLOOKUP(A4241,Product!A:A,Product!B:B,"Bulunamadı")</f>
        <v>Arts</v>
      </c>
      <c r="F4241" s="1" t="str">
        <f t="array" ref="F4241">_xlfn.XLOOKUP(A4241,Product!A:A,Product!C:C,"Bulunamadı")</f>
        <v>Investing</v>
      </c>
      <c r="G4241" s="2" t="str">
        <f t="array" ref="G4241">_xlfn.XLOOKUP(A4242,Product!A:A,Product!D:D,"Bulunamadı")</f>
        <v>Harborbridge House</v>
      </c>
      <c r="H4241" s="2">
        <f t="array" ref="H4241">_xlfn.XLOOKUP(A4243,Product!A:A,Product!E:E,"Bulunamadı")</f>
        <v>1.54</v>
      </c>
      <c r="I4241" s="2" t="str">
        <f t="shared" si="1"/>
        <v>30465 - Arts - Investing</v>
      </c>
      <c r="J4241" s="2">
        <f t="shared" si="2"/>
        <v>9.24</v>
      </c>
      <c r="K4241" s="17">
        <f t="shared" si="3"/>
        <v>1</v>
      </c>
      <c r="L4241" s="18"/>
    </row>
    <row r="4242">
      <c r="A4242" s="2">
        <f>IFERROR(__xludf.DUMMYFUNCTION("""COMPUTED_VALUE"""),87405.0)</f>
        <v>87405</v>
      </c>
      <c r="B4242" s="2">
        <f>IFERROR(__xludf.DUMMYFUNCTION("""COMPUTED_VALUE"""),1.0)</f>
        <v>1</v>
      </c>
      <c r="C4242" s="2">
        <f>IFERROR(__xludf.DUMMYFUNCTION("""COMPUTED_VALUE"""),434.0)</f>
        <v>434</v>
      </c>
      <c r="D4242" s="3">
        <f>IFERROR(__xludf.DUMMYFUNCTION("""COMPUTED_VALUE"""),29.0)</f>
        <v>29</v>
      </c>
      <c r="E4242" s="1" t="str">
        <f t="array" ref="E4242">_xlfn.XLOOKUP(A4242,Product!A:A,Product!B:B,"Bulunamadı")</f>
        <v>Arts</v>
      </c>
      <c r="F4242" s="1" t="str">
        <f t="array" ref="F4242">_xlfn.XLOOKUP(A4242,Product!A:A,Product!C:C,"Bulunamadı")</f>
        <v>Investing</v>
      </c>
      <c r="G4242" s="2" t="str">
        <f t="array" ref="G4242">_xlfn.XLOOKUP(A4243,Product!A:A,Product!D:D,"Bulunamadı")</f>
        <v>Harborbridge House</v>
      </c>
      <c r="H4242" s="2">
        <f t="array" ref="H4242">_xlfn.XLOOKUP(A4244,Product!A:A,Product!E:E,"Bulunamadı")</f>
        <v>4.37</v>
      </c>
      <c r="I4242" s="2" t="str">
        <f t="shared" si="1"/>
        <v>87405 - Arts - Investing</v>
      </c>
      <c r="J4242" s="2">
        <f t="shared" si="2"/>
        <v>126.73</v>
      </c>
      <c r="K4242" s="17">
        <f t="shared" si="3"/>
        <v>1</v>
      </c>
      <c r="L4242" s="18"/>
    </row>
    <row r="4243">
      <c r="A4243" s="2">
        <f>IFERROR(__xludf.DUMMYFUNCTION("""COMPUTED_VALUE"""),77602.0)</f>
        <v>77602</v>
      </c>
      <c r="B4243" s="2">
        <f>IFERROR(__xludf.DUMMYFUNCTION("""COMPUTED_VALUE"""),0.0)</f>
        <v>0</v>
      </c>
      <c r="C4243" s="2">
        <f>IFERROR(__xludf.DUMMYFUNCTION("""COMPUTED_VALUE"""),422.0)</f>
        <v>422</v>
      </c>
      <c r="D4243" s="3">
        <f>IFERROR(__xludf.DUMMYFUNCTION("""COMPUTED_VALUE"""),164.0)</f>
        <v>164</v>
      </c>
      <c r="E4243" s="1" t="str">
        <f t="array" ref="E4243">_xlfn.XLOOKUP(A4243,Product!A:A,Product!B:B,"Bulunamadı")</f>
        <v>Arts</v>
      </c>
      <c r="F4243" s="1" t="str">
        <f t="array" ref="F4243">_xlfn.XLOOKUP(A4243,Product!A:A,Product!C:C,"Bulunamadı")</f>
        <v>Investing</v>
      </c>
      <c r="G4243" s="2" t="str">
        <f t="array" ref="G4243">_xlfn.XLOOKUP(A4244,Product!A:A,Product!D:D,"Bulunamadı")</f>
        <v>Harborbridge House</v>
      </c>
      <c r="H4243" s="2">
        <f t="array" ref="H4243">_xlfn.XLOOKUP(A4245,Product!A:A,Product!E:E,"Bulunamadı")</f>
        <v>3.47</v>
      </c>
      <c r="I4243" s="2" t="str">
        <f t="shared" si="1"/>
        <v>77602 - Arts - Investing</v>
      </c>
      <c r="J4243" s="2">
        <f t="shared" si="2"/>
        <v>569.08</v>
      </c>
      <c r="K4243" s="17">
        <f t="shared" si="3"/>
        <v>1</v>
      </c>
      <c r="L4243" s="18"/>
    </row>
    <row r="4244">
      <c r="A4244" s="2">
        <f>IFERROR(__xludf.DUMMYFUNCTION("""COMPUTED_VALUE"""),107058.0)</f>
        <v>107058</v>
      </c>
      <c r="B4244" s="2">
        <f>IFERROR(__xludf.DUMMYFUNCTION("""COMPUTED_VALUE"""),1.0)</f>
        <v>1</v>
      </c>
      <c r="C4244" s="2">
        <f>IFERROR(__xludf.DUMMYFUNCTION("""COMPUTED_VALUE"""),664.0)</f>
        <v>664</v>
      </c>
      <c r="D4244" s="3">
        <f>IFERROR(__xludf.DUMMYFUNCTION("""COMPUTED_VALUE"""),156.0)</f>
        <v>156</v>
      </c>
      <c r="E4244" s="1" t="str">
        <f t="array" ref="E4244">_xlfn.XLOOKUP(A4244,Product!A:A,Product!B:B,"Bulunamadı")</f>
        <v>Arts</v>
      </c>
      <c r="F4244" s="1" t="str">
        <f t="array" ref="F4244">_xlfn.XLOOKUP(A4244,Product!A:A,Product!C:C,"Bulunamadı")</f>
        <v>Investing</v>
      </c>
      <c r="G4244" s="2" t="str">
        <f t="array" ref="G4244">_xlfn.XLOOKUP(A4245,Product!A:A,Product!D:D,"Bulunamadı")</f>
        <v>Harborbridge House</v>
      </c>
      <c r="H4244" s="2">
        <f t="array" ref="H4244">_xlfn.XLOOKUP(A4246,Product!A:A,Product!E:E,"Bulunamadı")</f>
        <v>8.29</v>
      </c>
      <c r="I4244" s="2" t="str">
        <f t="shared" si="1"/>
        <v>107058 - Arts - Investing</v>
      </c>
      <c r="J4244" s="2">
        <f t="shared" si="2"/>
        <v>1293.24</v>
      </c>
      <c r="K4244" s="17">
        <f t="shared" si="3"/>
        <v>1</v>
      </c>
      <c r="L4244" s="18"/>
    </row>
    <row r="4245">
      <c r="A4245" s="2">
        <f>IFERROR(__xludf.DUMMYFUNCTION("""COMPUTED_VALUE"""),5807.0)</f>
        <v>5807</v>
      </c>
      <c r="B4245" s="2">
        <f>IFERROR(__xludf.DUMMYFUNCTION("""COMPUTED_VALUE"""),0.0)</f>
        <v>0</v>
      </c>
      <c r="C4245" s="2">
        <f>IFERROR(__xludf.DUMMYFUNCTION("""COMPUTED_VALUE"""),916.0)</f>
        <v>916</v>
      </c>
      <c r="D4245" s="3">
        <f>IFERROR(__xludf.DUMMYFUNCTION("""COMPUTED_VALUE"""),90.0)</f>
        <v>90</v>
      </c>
      <c r="E4245" s="1" t="str">
        <f t="array" ref="E4245">_xlfn.XLOOKUP(A4245,Product!A:A,Product!B:B,"Bulunamadı")</f>
        <v>Arts</v>
      </c>
      <c r="F4245" s="1" t="str">
        <f t="array" ref="F4245">_xlfn.XLOOKUP(A4245,Product!A:A,Product!C:C,"Bulunamadı")</f>
        <v>Investing</v>
      </c>
      <c r="G4245" s="2" t="str">
        <f t="array" ref="G4245">_xlfn.XLOOKUP(A4246,Product!A:A,Product!D:D,"Bulunamadı")</f>
        <v>Harborbridge House</v>
      </c>
      <c r="H4245" s="2">
        <f t="array" ref="H4245">_xlfn.XLOOKUP(A4247,Product!A:A,Product!E:E,"Bulunamadı")</f>
        <v>1.51</v>
      </c>
      <c r="I4245" s="2" t="str">
        <f t="shared" si="1"/>
        <v>5807 - Arts - Investing</v>
      </c>
      <c r="J4245" s="2">
        <f t="shared" si="2"/>
        <v>135.9</v>
      </c>
      <c r="K4245" s="17">
        <f t="shared" si="3"/>
        <v>1</v>
      </c>
      <c r="L4245" s="18"/>
    </row>
    <row r="4246">
      <c r="A4246" s="2">
        <f>IFERROR(__xludf.DUMMYFUNCTION("""COMPUTED_VALUE"""),87061.0)</f>
        <v>87061</v>
      </c>
      <c r="B4246" s="2">
        <f>IFERROR(__xludf.DUMMYFUNCTION("""COMPUTED_VALUE"""),0.0)</f>
        <v>0</v>
      </c>
      <c r="C4246" s="2">
        <f>IFERROR(__xludf.DUMMYFUNCTION("""COMPUTED_VALUE"""),374.0)</f>
        <v>374</v>
      </c>
      <c r="D4246" s="3">
        <f>IFERROR(__xludf.DUMMYFUNCTION("""COMPUTED_VALUE"""),101.0)</f>
        <v>101</v>
      </c>
      <c r="E4246" s="1" t="str">
        <f t="array" ref="E4246">_xlfn.XLOOKUP(A4246,Product!A:A,Product!B:B,"Bulunamadı")</f>
        <v>Arts</v>
      </c>
      <c r="F4246" s="1" t="str">
        <f t="array" ref="F4246">_xlfn.XLOOKUP(A4246,Product!A:A,Product!C:C,"Bulunamadı")</f>
        <v>Investing</v>
      </c>
      <c r="G4246" s="2" t="str">
        <f t="array" ref="G4246">_xlfn.XLOOKUP(A4247,Product!A:A,Product!D:D,"Bulunamadı")</f>
        <v>Harborbridge House</v>
      </c>
      <c r="H4246" s="2">
        <f t="array" ref="H4246">_xlfn.XLOOKUP(A4248,Product!A:A,Product!E:E,"Bulunamadı")</f>
        <v>0.51</v>
      </c>
      <c r="I4246" s="2" t="str">
        <f t="shared" si="1"/>
        <v>87061 - Arts - Investing</v>
      </c>
      <c r="J4246" s="2">
        <f t="shared" si="2"/>
        <v>51.51</v>
      </c>
      <c r="K4246" s="17">
        <f t="shared" si="3"/>
        <v>1</v>
      </c>
      <c r="L4246" s="18"/>
    </row>
    <row r="4247">
      <c r="A4247" s="2">
        <f>IFERROR(__xludf.DUMMYFUNCTION("""COMPUTED_VALUE"""),108039.0)</f>
        <v>108039</v>
      </c>
      <c r="B4247" s="2">
        <f>IFERROR(__xludf.DUMMYFUNCTION("""COMPUTED_VALUE"""),1.0)</f>
        <v>1</v>
      </c>
      <c r="C4247" s="2">
        <f>IFERROR(__xludf.DUMMYFUNCTION("""COMPUTED_VALUE"""),508.0)</f>
        <v>508</v>
      </c>
      <c r="D4247" s="3">
        <f>IFERROR(__xludf.DUMMYFUNCTION("""COMPUTED_VALUE"""),158.0)</f>
        <v>158</v>
      </c>
      <c r="E4247" s="1" t="str">
        <f t="array" ref="E4247">_xlfn.XLOOKUP(A4247,Product!A:A,Product!B:B,"Bulunamadı")</f>
        <v>Arts</v>
      </c>
      <c r="F4247" s="1" t="str">
        <f t="array" ref="F4247">_xlfn.XLOOKUP(A4247,Product!A:A,Product!C:C,"Bulunamadı")</f>
        <v>Investing</v>
      </c>
      <c r="G4247" s="2" t="str">
        <f t="array" ref="G4247">_xlfn.XLOOKUP(A4248,Product!A:A,Product!D:D,"Bulunamadı")</f>
        <v>Harborbridge House</v>
      </c>
      <c r="H4247" s="2">
        <f t="array" ref="H4247">_xlfn.XLOOKUP(A4249,Product!A:A,Product!E:E,"Bulunamadı")</f>
        <v>0.96</v>
      </c>
      <c r="I4247" s="2" t="str">
        <f t="shared" si="1"/>
        <v>108039 - Arts - Investing</v>
      </c>
      <c r="J4247" s="2">
        <f t="shared" si="2"/>
        <v>151.68</v>
      </c>
      <c r="K4247" s="17">
        <f t="shared" si="3"/>
        <v>1</v>
      </c>
      <c r="L4247" s="18"/>
    </row>
    <row r="4248">
      <c r="A4248" s="2">
        <f>IFERROR(__xludf.DUMMYFUNCTION("""COMPUTED_VALUE"""),90837.0)</f>
        <v>90837</v>
      </c>
      <c r="B4248" s="2">
        <f>IFERROR(__xludf.DUMMYFUNCTION("""COMPUTED_VALUE"""),1.0)</f>
        <v>1</v>
      </c>
      <c r="C4248" s="2">
        <f>IFERROR(__xludf.DUMMYFUNCTION("""COMPUTED_VALUE"""),676.0)</f>
        <v>676</v>
      </c>
      <c r="D4248" s="3">
        <f>IFERROR(__xludf.DUMMYFUNCTION("""COMPUTED_VALUE"""),286.0)</f>
        <v>286</v>
      </c>
      <c r="E4248" s="1" t="str">
        <f t="array" ref="E4248">_xlfn.XLOOKUP(A4248,Product!A:A,Product!B:B,"Bulunamadı")</f>
        <v>Arts</v>
      </c>
      <c r="F4248" s="1" t="str">
        <f t="array" ref="F4248">_xlfn.XLOOKUP(A4248,Product!A:A,Product!C:C,"Bulunamadı")</f>
        <v>Investing</v>
      </c>
      <c r="G4248" s="2" t="str">
        <f t="array" ref="G4248">_xlfn.XLOOKUP(A4249,Product!A:A,Product!D:D,"Bulunamadı")</f>
        <v>Harborbridge House</v>
      </c>
      <c r="H4248" s="2">
        <f t="array" ref="H4248">_xlfn.XLOOKUP(A4250,Product!A:A,Product!E:E,"Bulunamadı")</f>
        <v>0.36</v>
      </c>
      <c r="I4248" s="2" t="str">
        <f t="shared" si="1"/>
        <v>90837 - Arts - Investing</v>
      </c>
      <c r="J4248" s="2">
        <f t="shared" si="2"/>
        <v>102.96</v>
      </c>
      <c r="K4248" s="17">
        <f t="shared" si="3"/>
        <v>1</v>
      </c>
      <c r="L4248" s="18"/>
    </row>
    <row r="4249">
      <c r="A4249" s="2">
        <f>IFERROR(__xludf.DUMMYFUNCTION("""COMPUTED_VALUE"""),88461.0)</f>
        <v>88461</v>
      </c>
      <c r="B4249" s="2">
        <f>IFERROR(__xludf.DUMMYFUNCTION("""COMPUTED_VALUE"""),1.0)</f>
        <v>1</v>
      </c>
      <c r="C4249" s="2">
        <f>IFERROR(__xludf.DUMMYFUNCTION("""COMPUTED_VALUE"""),830.0)</f>
        <v>830</v>
      </c>
      <c r="D4249" s="3">
        <f>IFERROR(__xludf.DUMMYFUNCTION("""COMPUTED_VALUE"""),503.0)</f>
        <v>503</v>
      </c>
      <c r="E4249" s="1" t="str">
        <f t="array" ref="E4249">_xlfn.XLOOKUP(A4249,Product!A:A,Product!B:B,"Bulunamadı")</f>
        <v>Arts</v>
      </c>
      <c r="F4249" s="1" t="str">
        <f t="array" ref="F4249">_xlfn.XLOOKUP(A4249,Product!A:A,Product!C:C,"Bulunamadı")</f>
        <v>Investing</v>
      </c>
      <c r="G4249" s="2" t="str">
        <f t="array" ref="G4249">_xlfn.XLOOKUP(A4250,Product!A:A,Product!D:D,"Bulunamadı")</f>
        <v>Harborbridge House</v>
      </c>
      <c r="H4249" s="2">
        <f t="array" ref="H4249">_xlfn.XLOOKUP(A4251,Product!A:A,Product!E:E,"Bulunamadı")</f>
        <v>23.41</v>
      </c>
      <c r="I4249" s="2" t="str">
        <f t="shared" si="1"/>
        <v>88461 - Arts - Investing</v>
      </c>
      <c r="J4249" s="2">
        <f t="shared" si="2"/>
        <v>11775.23</v>
      </c>
      <c r="K4249" s="17">
        <f t="shared" si="3"/>
        <v>1</v>
      </c>
      <c r="L4249" s="18"/>
    </row>
    <row r="4250">
      <c r="A4250" s="2">
        <f>IFERROR(__xludf.DUMMYFUNCTION("""COMPUTED_VALUE"""),81504.0)</f>
        <v>81504</v>
      </c>
      <c r="B4250" s="2">
        <f>IFERROR(__xludf.DUMMYFUNCTION("""COMPUTED_VALUE"""),1.0)</f>
        <v>1</v>
      </c>
      <c r="C4250" s="2">
        <f>IFERROR(__xludf.DUMMYFUNCTION("""COMPUTED_VALUE"""),887.0)</f>
        <v>887</v>
      </c>
      <c r="D4250" s="3">
        <f>IFERROR(__xludf.DUMMYFUNCTION("""COMPUTED_VALUE"""),33.0)</f>
        <v>33</v>
      </c>
      <c r="E4250" s="1" t="str">
        <f t="array" ref="E4250">_xlfn.XLOOKUP(A4250,Product!A:A,Product!B:B,"Bulunamadı")</f>
        <v>Arts</v>
      </c>
      <c r="F4250" s="1" t="str">
        <f t="array" ref="F4250">_xlfn.XLOOKUP(A4250,Product!A:A,Product!C:C,"Bulunamadı")</f>
        <v>Investing</v>
      </c>
      <c r="G4250" s="2" t="str">
        <f t="array" ref="G4250">_xlfn.XLOOKUP(A4251,Product!A:A,Product!D:D,"Bulunamadı")</f>
        <v>Harborbridge House</v>
      </c>
      <c r="H4250" s="2">
        <f t="array" ref="H4250">_xlfn.XLOOKUP(A4252,Product!A:A,Product!E:E,"Bulunamadı")</f>
        <v>1.23</v>
      </c>
      <c r="I4250" s="2" t="str">
        <f t="shared" si="1"/>
        <v>81504 - Arts - Investing</v>
      </c>
      <c r="J4250" s="2">
        <f t="shared" si="2"/>
        <v>40.59</v>
      </c>
      <c r="K4250" s="17">
        <f t="shared" si="3"/>
        <v>1</v>
      </c>
      <c r="L4250" s="18"/>
    </row>
    <row r="4251">
      <c r="A4251" s="2">
        <f>IFERROR(__xludf.DUMMYFUNCTION("""COMPUTED_VALUE"""),12027.0)</f>
        <v>12027</v>
      </c>
      <c r="B4251" s="2">
        <f>IFERROR(__xludf.DUMMYFUNCTION("""COMPUTED_VALUE"""),0.0)</f>
        <v>0</v>
      </c>
      <c r="C4251" s="2">
        <f>IFERROR(__xludf.DUMMYFUNCTION("""COMPUTED_VALUE"""),578.0)</f>
        <v>578</v>
      </c>
      <c r="D4251" s="3">
        <f>IFERROR(__xludf.DUMMYFUNCTION("""COMPUTED_VALUE"""),210.0)</f>
        <v>210</v>
      </c>
      <c r="E4251" s="1" t="str">
        <f t="array" ref="E4251">_xlfn.XLOOKUP(A4251,Product!A:A,Product!B:B,"Bulunamadı")</f>
        <v>Arts</v>
      </c>
      <c r="F4251" s="1" t="str">
        <f t="array" ref="F4251">_xlfn.XLOOKUP(A4251,Product!A:A,Product!C:C,"Bulunamadı")</f>
        <v>Investing</v>
      </c>
      <c r="G4251" s="2" t="str">
        <f t="array" ref="G4251">_xlfn.XLOOKUP(A4252,Product!A:A,Product!D:D,"Bulunamadı")</f>
        <v>Harborbridge House</v>
      </c>
      <c r="H4251" s="2">
        <f t="array" ref="H4251">_xlfn.XLOOKUP(A4253,Product!A:A,Product!E:E,"Bulunamadı")</f>
        <v>0.88</v>
      </c>
      <c r="I4251" s="2" t="str">
        <f t="shared" si="1"/>
        <v>12027 - Arts - Investing</v>
      </c>
      <c r="J4251" s="2">
        <f t="shared" si="2"/>
        <v>184.8</v>
      </c>
      <c r="K4251" s="17">
        <f t="shared" si="3"/>
        <v>1</v>
      </c>
      <c r="L4251" s="18"/>
    </row>
    <row r="4252">
      <c r="A4252" s="2">
        <f>IFERROR(__xludf.DUMMYFUNCTION("""COMPUTED_VALUE"""),8883.0)</f>
        <v>8883</v>
      </c>
      <c r="B4252" s="2">
        <f>IFERROR(__xludf.DUMMYFUNCTION("""COMPUTED_VALUE"""),0.0)</f>
        <v>0</v>
      </c>
      <c r="C4252" s="2">
        <f>IFERROR(__xludf.DUMMYFUNCTION("""COMPUTED_VALUE"""),202.0)</f>
        <v>202</v>
      </c>
      <c r="D4252" s="3">
        <f>IFERROR(__xludf.DUMMYFUNCTION("""COMPUTED_VALUE"""),22.0)</f>
        <v>22</v>
      </c>
      <c r="E4252" s="1" t="str">
        <f t="array" ref="E4252">_xlfn.XLOOKUP(A4252,Product!A:A,Product!B:B,"Bulunamadı")</f>
        <v>Arts</v>
      </c>
      <c r="F4252" s="1" t="str">
        <f t="array" ref="F4252">_xlfn.XLOOKUP(A4252,Product!A:A,Product!C:C,"Bulunamadı")</f>
        <v>Investing</v>
      </c>
      <c r="G4252" s="2" t="str">
        <f t="array" ref="G4252">_xlfn.XLOOKUP(A4253,Product!A:A,Product!D:D,"Bulunamadı")</f>
        <v>Harborbridge House</v>
      </c>
      <c r="H4252" s="2">
        <f t="array" ref="H4252">_xlfn.XLOOKUP(A4254,Product!A:A,Product!E:E,"Bulunamadı")</f>
        <v>5.4</v>
      </c>
      <c r="I4252" s="2" t="str">
        <f t="shared" si="1"/>
        <v>8883 - Arts - Investing</v>
      </c>
      <c r="J4252" s="2">
        <f t="shared" si="2"/>
        <v>118.8</v>
      </c>
      <c r="K4252" s="17">
        <f t="shared" si="3"/>
        <v>1</v>
      </c>
      <c r="L4252" s="18"/>
    </row>
    <row r="4253">
      <c r="A4253" s="2">
        <f>IFERROR(__xludf.DUMMYFUNCTION("""COMPUTED_VALUE"""),112082.0)</f>
        <v>112082</v>
      </c>
      <c r="B4253" s="2">
        <f>IFERROR(__xludf.DUMMYFUNCTION("""COMPUTED_VALUE"""),0.0)</f>
        <v>0</v>
      </c>
      <c r="C4253" s="2">
        <f>IFERROR(__xludf.DUMMYFUNCTION("""COMPUTED_VALUE"""),657.0)</f>
        <v>657</v>
      </c>
      <c r="D4253" s="3">
        <f>IFERROR(__xludf.DUMMYFUNCTION("""COMPUTED_VALUE"""),313.0)</f>
        <v>313</v>
      </c>
      <c r="E4253" s="1" t="str">
        <f t="array" ref="E4253">_xlfn.XLOOKUP(A4253,Product!A:A,Product!B:B,"Bulunamadı")</f>
        <v>Arts</v>
      </c>
      <c r="F4253" s="1" t="str">
        <f t="array" ref="F4253">_xlfn.XLOOKUP(A4253,Product!A:A,Product!C:C,"Bulunamadı")</f>
        <v>Investing</v>
      </c>
      <c r="G4253" s="2" t="str">
        <f t="array" ref="G4253">_xlfn.XLOOKUP(A4254,Product!A:A,Product!D:D,"Bulunamadı")</f>
        <v>Harborbridge House</v>
      </c>
      <c r="H4253" s="2">
        <f t="array" ref="H4253">_xlfn.XLOOKUP(A4255,Product!A:A,Product!E:E,"Bulunamadı")</f>
        <v>0.59</v>
      </c>
      <c r="I4253" s="2" t="str">
        <f t="shared" si="1"/>
        <v>112082 - Arts - Investing</v>
      </c>
      <c r="J4253" s="2">
        <f t="shared" si="2"/>
        <v>184.67</v>
      </c>
      <c r="K4253" s="17">
        <f t="shared" si="3"/>
        <v>1</v>
      </c>
      <c r="L4253" s="18"/>
    </row>
    <row r="4254">
      <c r="A4254" s="2">
        <f>IFERROR(__xludf.DUMMYFUNCTION("""COMPUTED_VALUE"""),114961.0)</f>
        <v>114961</v>
      </c>
      <c r="B4254" s="2">
        <f>IFERROR(__xludf.DUMMYFUNCTION("""COMPUTED_VALUE"""),1.0)</f>
        <v>1</v>
      </c>
      <c r="C4254" s="2">
        <f>IFERROR(__xludf.DUMMYFUNCTION("""COMPUTED_VALUE"""),976.0)</f>
        <v>976</v>
      </c>
      <c r="D4254" s="3">
        <f>IFERROR(__xludf.DUMMYFUNCTION("""COMPUTED_VALUE"""),505.0)</f>
        <v>505</v>
      </c>
      <c r="E4254" s="1" t="str">
        <f t="array" ref="E4254">_xlfn.XLOOKUP(A4254,Product!A:A,Product!B:B,"Bulunamadı")</f>
        <v>Arts</v>
      </c>
      <c r="F4254" s="1" t="str">
        <f t="array" ref="F4254">_xlfn.XLOOKUP(A4254,Product!A:A,Product!C:C,"Bulunamadı")</f>
        <v>Investing</v>
      </c>
      <c r="G4254" s="2" t="str">
        <f t="array" ref="G4254">_xlfn.XLOOKUP(A4255,Product!A:A,Product!D:D,"Bulunamadı")</f>
        <v>Harborbridge House</v>
      </c>
      <c r="H4254" s="2">
        <f t="array" ref="H4254">_xlfn.XLOOKUP(A4256,Product!A:A,Product!E:E,"Bulunamadı")</f>
        <v>0.83</v>
      </c>
      <c r="I4254" s="2" t="str">
        <f t="shared" si="1"/>
        <v>114961 - Arts - Investing</v>
      </c>
      <c r="J4254" s="2">
        <f t="shared" si="2"/>
        <v>419.15</v>
      </c>
      <c r="K4254" s="17">
        <f t="shared" si="3"/>
        <v>1</v>
      </c>
      <c r="L4254" s="18"/>
    </row>
    <row r="4255">
      <c r="A4255" s="2">
        <f>IFERROR(__xludf.DUMMYFUNCTION("""COMPUTED_VALUE"""),112078.0)</f>
        <v>112078</v>
      </c>
      <c r="B4255" s="2">
        <f>IFERROR(__xludf.DUMMYFUNCTION("""COMPUTED_VALUE"""),0.0)</f>
        <v>0</v>
      </c>
      <c r="C4255" s="2">
        <f>IFERROR(__xludf.DUMMYFUNCTION("""COMPUTED_VALUE"""),444.0)</f>
        <v>444</v>
      </c>
      <c r="D4255" s="3">
        <f>IFERROR(__xludf.DUMMYFUNCTION("""COMPUTED_VALUE"""),108.0)</f>
        <v>108</v>
      </c>
      <c r="E4255" s="1" t="str">
        <f t="array" ref="E4255">_xlfn.XLOOKUP(A4255,Product!A:A,Product!B:B,"Bulunamadı")</f>
        <v>Arts</v>
      </c>
      <c r="F4255" s="1" t="str">
        <f t="array" ref="F4255">_xlfn.XLOOKUP(A4255,Product!A:A,Product!C:C,"Bulunamadı")</f>
        <v>Investing</v>
      </c>
      <c r="G4255" s="2" t="str">
        <f t="array" ref="G4255">_xlfn.XLOOKUP(A4256,Product!A:A,Product!D:D,"Bulunamadı")</f>
        <v>Harborbridge House</v>
      </c>
      <c r="H4255" s="2">
        <f t="array" ref="H4255">_xlfn.XLOOKUP(A4257,Product!A:A,Product!E:E,"Bulunamadı")</f>
        <v>0.34</v>
      </c>
      <c r="I4255" s="2" t="str">
        <f t="shared" si="1"/>
        <v>112078 - Arts - Investing</v>
      </c>
      <c r="J4255" s="2">
        <f t="shared" si="2"/>
        <v>36.72</v>
      </c>
      <c r="K4255" s="17">
        <f t="shared" si="3"/>
        <v>1</v>
      </c>
      <c r="L4255" s="18"/>
    </row>
    <row r="4256">
      <c r="A4256" s="2">
        <f>IFERROR(__xludf.DUMMYFUNCTION("""COMPUTED_VALUE"""),12025.0)</f>
        <v>12025</v>
      </c>
      <c r="B4256" s="2">
        <f>IFERROR(__xludf.DUMMYFUNCTION("""COMPUTED_VALUE"""),0.0)</f>
        <v>0</v>
      </c>
      <c r="C4256" s="2">
        <f>IFERROR(__xludf.DUMMYFUNCTION("""COMPUTED_VALUE"""),594.0)</f>
        <v>594</v>
      </c>
      <c r="D4256" s="3">
        <f>IFERROR(__xludf.DUMMYFUNCTION("""COMPUTED_VALUE"""),213.0)</f>
        <v>213</v>
      </c>
      <c r="E4256" s="1" t="str">
        <f t="array" ref="E4256">_xlfn.XLOOKUP(A4256,Product!A:A,Product!B:B,"Bulunamadı")</f>
        <v>Arts</v>
      </c>
      <c r="F4256" s="1" t="str">
        <f t="array" ref="F4256">_xlfn.XLOOKUP(A4256,Product!A:A,Product!C:C,"Bulunamadı")</f>
        <v>Investing</v>
      </c>
      <c r="G4256" s="2" t="str">
        <f t="array" ref="G4256">_xlfn.XLOOKUP(A4257,Product!A:A,Product!D:D,"Bulunamadı")</f>
        <v>Harborbridge House</v>
      </c>
      <c r="H4256" s="2">
        <f t="array" ref="H4256">_xlfn.XLOOKUP(A4258,Product!A:A,Product!E:E,"Bulunamadı")</f>
        <v>0.64</v>
      </c>
      <c r="I4256" s="2" t="str">
        <f t="shared" si="1"/>
        <v>12025 - Arts - Investing</v>
      </c>
      <c r="J4256" s="2">
        <f t="shared" si="2"/>
        <v>136.32</v>
      </c>
      <c r="K4256" s="17">
        <f t="shared" si="3"/>
        <v>1</v>
      </c>
      <c r="L4256" s="18"/>
    </row>
    <row r="4257">
      <c r="A4257" s="2">
        <f>IFERROR(__xludf.DUMMYFUNCTION("""COMPUTED_VALUE"""),11992.0)</f>
        <v>11992</v>
      </c>
      <c r="B4257" s="2">
        <f>IFERROR(__xludf.DUMMYFUNCTION("""COMPUTED_VALUE"""),1.0)</f>
        <v>1</v>
      </c>
      <c r="C4257" s="2">
        <f>IFERROR(__xludf.DUMMYFUNCTION("""COMPUTED_VALUE"""),808.0)</f>
        <v>808</v>
      </c>
      <c r="D4257" s="3">
        <f>IFERROR(__xludf.DUMMYFUNCTION("""COMPUTED_VALUE"""),403.0)</f>
        <v>403</v>
      </c>
      <c r="E4257" s="1" t="str">
        <f t="array" ref="E4257">_xlfn.XLOOKUP(A4257,Product!A:A,Product!B:B,"Bulunamadı")</f>
        <v>Arts</v>
      </c>
      <c r="F4257" s="1" t="str">
        <f t="array" ref="F4257">_xlfn.XLOOKUP(A4257,Product!A:A,Product!C:C,"Bulunamadı")</f>
        <v>Investing</v>
      </c>
      <c r="G4257" s="2" t="str">
        <f t="array" ref="G4257">_xlfn.XLOOKUP(A4258,Product!A:A,Product!D:D,"Bulunamadı")</f>
        <v>Harborbridge House</v>
      </c>
      <c r="H4257" s="2">
        <f t="array" ref="H4257">_xlfn.XLOOKUP(A4259,Product!A:A,Product!E:E,"Bulunamadı")</f>
        <v>1.52</v>
      </c>
      <c r="I4257" s="2" t="str">
        <f t="shared" si="1"/>
        <v>11992 - Arts - Investing</v>
      </c>
      <c r="J4257" s="2">
        <f t="shared" si="2"/>
        <v>612.56</v>
      </c>
      <c r="K4257" s="17">
        <f t="shared" si="3"/>
        <v>1</v>
      </c>
      <c r="L4257" s="18"/>
    </row>
    <row r="4258">
      <c r="A4258" s="2">
        <f>IFERROR(__xludf.DUMMYFUNCTION("""COMPUTED_VALUE"""),188850.0)</f>
        <v>188850</v>
      </c>
      <c r="B4258" s="2">
        <f>IFERROR(__xludf.DUMMYFUNCTION("""COMPUTED_VALUE"""),0.0)</f>
        <v>0</v>
      </c>
      <c r="C4258" s="2">
        <f>IFERROR(__xludf.DUMMYFUNCTION("""COMPUTED_VALUE"""),234.0)</f>
        <v>234</v>
      </c>
      <c r="D4258" s="3">
        <f>IFERROR(__xludf.DUMMYFUNCTION("""COMPUTED_VALUE"""),127.0)</f>
        <v>127</v>
      </c>
      <c r="E4258" s="1" t="str">
        <f t="array" ref="E4258">_xlfn.XLOOKUP(A4258,Product!A:A,Product!B:B,"Bulunamadı")</f>
        <v>Arts</v>
      </c>
      <c r="F4258" s="1" t="str">
        <f t="array" ref="F4258">_xlfn.XLOOKUP(A4258,Product!A:A,Product!C:C,"Bulunamadı")</f>
        <v>Investing</v>
      </c>
      <c r="G4258" s="2" t="str">
        <f t="array" ref="G4258">_xlfn.XLOOKUP(A4259,Product!A:A,Product!D:D,"Bulunamadı")</f>
        <v>Harborbridge House</v>
      </c>
      <c r="H4258" s="2">
        <f t="array" ref="H4258">_xlfn.XLOOKUP(A4260,Product!A:A,Product!E:E,"Bulunamadı")</f>
        <v>1.72</v>
      </c>
      <c r="I4258" s="2" t="str">
        <f t="shared" si="1"/>
        <v>188850 - Arts - Investing</v>
      </c>
      <c r="J4258" s="2">
        <f t="shared" si="2"/>
        <v>218.44</v>
      </c>
      <c r="K4258" s="17">
        <f t="shared" si="3"/>
        <v>1</v>
      </c>
      <c r="L4258" s="18"/>
    </row>
    <row r="4259">
      <c r="A4259" s="2">
        <f>IFERROR(__xludf.DUMMYFUNCTION("""COMPUTED_VALUE"""),69296.0)</f>
        <v>69296</v>
      </c>
      <c r="B4259" s="2">
        <f>IFERROR(__xludf.DUMMYFUNCTION("""COMPUTED_VALUE"""),0.0)</f>
        <v>0</v>
      </c>
      <c r="C4259" s="2">
        <f>IFERROR(__xludf.DUMMYFUNCTION("""COMPUTED_VALUE"""),62.0)</f>
        <v>62</v>
      </c>
      <c r="D4259" s="3">
        <f>IFERROR(__xludf.DUMMYFUNCTION("""COMPUTED_VALUE"""),33.0)</f>
        <v>33</v>
      </c>
      <c r="E4259" s="1" t="str">
        <f t="array" ref="E4259">_xlfn.XLOOKUP(A4259,Product!A:A,Product!B:B,"Bulunamadı")</f>
        <v>Arts</v>
      </c>
      <c r="F4259" s="1" t="str">
        <f t="array" ref="F4259">_xlfn.XLOOKUP(A4259,Product!A:A,Product!C:C,"Bulunamadı")</f>
        <v>Investing</v>
      </c>
      <c r="G4259" s="2" t="str">
        <f t="array" ref="G4259">_xlfn.XLOOKUP(A4260,Product!A:A,Product!D:D,"Bulunamadı")</f>
        <v>Cedarbridge House</v>
      </c>
      <c r="H4259" s="2">
        <f t="array" ref="H4259">_xlfn.XLOOKUP(A4261,Product!A:A,Product!E:E,"Bulunamadı")</f>
        <v>2.38</v>
      </c>
      <c r="I4259" s="2" t="str">
        <f t="shared" si="1"/>
        <v>69296 - Arts - Investing</v>
      </c>
      <c r="J4259" s="2">
        <f t="shared" si="2"/>
        <v>78.54</v>
      </c>
      <c r="K4259" s="17">
        <f t="shared" si="3"/>
        <v>1</v>
      </c>
      <c r="L4259" s="18"/>
    </row>
    <row r="4260">
      <c r="A4260" s="2">
        <f>IFERROR(__xludf.DUMMYFUNCTION("""COMPUTED_VALUE"""),115141.0)</f>
        <v>115141</v>
      </c>
      <c r="B4260" s="2">
        <f>IFERROR(__xludf.DUMMYFUNCTION("""COMPUTED_VALUE"""),0.0)</f>
        <v>0</v>
      </c>
      <c r="C4260" s="2">
        <f>IFERROR(__xludf.DUMMYFUNCTION("""COMPUTED_VALUE"""),308.0)</f>
        <v>308</v>
      </c>
      <c r="D4260" s="3">
        <f>IFERROR(__xludf.DUMMYFUNCTION("""COMPUTED_VALUE"""),165.0)</f>
        <v>165</v>
      </c>
      <c r="E4260" s="1" t="str">
        <f t="array" ref="E4260">_xlfn.XLOOKUP(A4260,Product!A:A,Product!B:B,"Bulunamadı")</f>
        <v>Arts</v>
      </c>
      <c r="F4260" s="1" t="str">
        <f t="array" ref="F4260">_xlfn.XLOOKUP(A4260,Product!A:A,Product!C:C,"Bulunamadı")</f>
        <v>Investing</v>
      </c>
      <c r="G4260" s="2" t="str">
        <f t="array" ref="G4260">_xlfn.XLOOKUP(A4261,Product!A:A,Product!D:D,"Bulunamadı")</f>
        <v>Cedarbridge House</v>
      </c>
      <c r="H4260" s="2">
        <f t="array" ref="H4260">_xlfn.XLOOKUP(A4262,Product!A:A,Product!E:E,"Bulunamadı")</f>
        <v>1.86</v>
      </c>
      <c r="I4260" s="2" t="str">
        <f t="shared" si="1"/>
        <v>115141 - Arts - Investing</v>
      </c>
      <c r="J4260" s="2">
        <f t="shared" si="2"/>
        <v>306.9</v>
      </c>
      <c r="K4260" s="17">
        <f t="shared" si="3"/>
        <v>1</v>
      </c>
      <c r="L4260" s="18"/>
    </row>
    <row r="4261">
      <c r="A4261" s="2">
        <f>IFERROR(__xludf.DUMMYFUNCTION("""COMPUTED_VALUE"""),112081.0)</f>
        <v>112081</v>
      </c>
      <c r="B4261" s="2">
        <f>IFERROR(__xludf.DUMMYFUNCTION("""COMPUTED_VALUE"""),1.0)</f>
        <v>1</v>
      </c>
      <c r="C4261" s="2">
        <f>IFERROR(__xludf.DUMMYFUNCTION("""COMPUTED_VALUE"""),584.0)</f>
        <v>584</v>
      </c>
      <c r="D4261" s="3">
        <f>IFERROR(__xludf.DUMMYFUNCTION("""COMPUTED_VALUE"""),369.0)</f>
        <v>369</v>
      </c>
      <c r="E4261" s="1" t="str">
        <f t="array" ref="E4261">_xlfn.XLOOKUP(A4261,Product!A:A,Product!B:B,"Bulunamadı")</f>
        <v>Arts</v>
      </c>
      <c r="F4261" s="1" t="str">
        <f t="array" ref="F4261">_xlfn.XLOOKUP(A4261,Product!A:A,Product!C:C,"Bulunamadı")</f>
        <v>Investing</v>
      </c>
      <c r="G4261" s="2" t="str">
        <f t="array" ref="G4261">_xlfn.XLOOKUP(A4262,Product!A:A,Product!D:D,"Bulunamadı")</f>
        <v>Cedarbridge House</v>
      </c>
      <c r="H4261" s="2">
        <f t="array" ref="H4261">_xlfn.XLOOKUP(A4263,Product!A:A,Product!E:E,"Bulunamadı")</f>
        <v>1.96</v>
      </c>
      <c r="I4261" s="2" t="str">
        <f t="shared" si="1"/>
        <v>112081 - Arts - Investing</v>
      </c>
      <c r="J4261" s="2">
        <f t="shared" si="2"/>
        <v>723.24</v>
      </c>
      <c r="K4261" s="17">
        <f t="shared" si="3"/>
        <v>1</v>
      </c>
      <c r="L4261" s="18"/>
    </row>
    <row r="4262">
      <c r="A4262" s="2">
        <f>IFERROR(__xludf.DUMMYFUNCTION("""COMPUTED_VALUE"""),77611.0)</f>
        <v>77611</v>
      </c>
      <c r="B4262" s="2">
        <f>IFERROR(__xludf.DUMMYFUNCTION("""COMPUTED_VALUE"""),1.0)</f>
        <v>1</v>
      </c>
      <c r="C4262" s="2">
        <f>IFERROR(__xludf.DUMMYFUNCTION("""COMPUTED_VALUE"""),683.0)</f>
        <v>683</v>
      </c>
      <c r="D4262" s="3">
        <f>IFERROR(__xludf.DUMMYFUNCTION("""COMPUTED_VALUE"""),326.0)</f>
        <v>326</v>
      </c>
      <c r="E4262" s="1" t="str">
        <f t="array" ref="E4262">_xlfn.XLOOKUP(A4262,Product!A:A,Product!B:B,"Bulunamadı")</f>
        <v>Arts</v>
      </c>
      <c r="F4262" s="1" t="str">
        <f t="array" ref="F4262">_xlfn.XLOOKUP(A4262,Product!A:A,Product!C:C,"Bulunamadı")</f>
        <v>Investing</v>
      </c>
      <c r="G4262" s="2" t="str">
        <f t="array" ref="G4262">_xlfn.XLOOKUP(A4263,Product!A:A,Product!D:D,"Bulunamadı")</f>
        <v>Cedarbridge House</v>
      </c>
      <c r="H4262" s="2">
        <f t="array" ref="H4262">_xlfn.XLOOKUP(A4264,Product!A:A,Product!E:E,"Bulunamadı")</f>
        <v>2.34</v>
      </c>
      <c r="I4262" s="2" t="str">
        <f t="shared" si="1"/>
        <v>77611 - Arts - Investing</v>
      </c>
      <c r="J4262" s="2">
        <f t="shared" si="2"/>
        <v>762.84</v>
      </c>
      <c r="K4262" s="17">
        <f t="shared" si="3"/>
        <v>1</v>
      </c>
      <c r="L4262" s="18"/>
    </row>
    <row r="4263">
      <c r="A4263" s="2">
        <f>IFERROR(__xludf.DUMMYFUNCTION("""COMPUTED_VALUE"""),111722.0)</f>
        <v>111722</v>
      </c>
      <c r="B4263" s="2">
        <f>IFERROR(__xludf.DUMMYFUNCTION("""COMPUTED_VALUE"""),1.0)</f>
        <v>1</v>
      </c>
      <c r="C4263" s="2">
        <f>IFERROR(__xludf.DUMMYFUNCTION("""COMPUTED_VALUE"""),186.0)</f>
        <v>186</v>
      </c>
      <c r="D4263" s="3">
        <f>IFERROR(__xludf.DUMMYFUNCTION("""COMPUTED_VALUE"""),100.0)</f>
        <v>100</v>
      </c>
      <c r="E4263" s="1" t="str">
        <f t="array" ref="E4263">_xlfn.XLOOKUP(A4263,Product!A:A,Product!B:B,"Bulunamadı")</f>
        <v>Arts</v>
      </c>
      <c r="F4263" s="1" t="str">
        <f t="array" ref="F4263">_xlfn.XLOOKUP(A4263,Product!A:A,Product!C:C,"Bulunamadı")</f>
        <v>Investing</v>
      </c>
      <c r="G4263" s="2" t="str">
        <f t="array" ref="G4263">_xlfn.XLOOKUP(A4264,Product!A:A,Product!D:D,"Bulunamadı")</f>
        <v>Brightbridge House</v>
      </c>
      <c r="H4263" s="2">
        <f t="array" ref="H4263">_xlfn.XLOOKUP(A4265,Product!A:A,Product!E:E,"Bulunamadı")</f>
        <v>3.43</v>
      </c>
      <c r="I4263" s="2" t="str">
        <f t="shared" si="1"/>
        <v>111722 - Arts - Investing</v>
      </c>
      <c r="J4263" s="2">
        <f t="shared" si="2"/>
        <v>343</v>
      </c>
      <c r="K4263" s="17">
        <f t="shared" si="3"/>
        <v>1</v>
      </c>
      <c r="L4263" s="18"/>
    </row>
    <row r="4264">
      <c r="A4264" s="2">
        <f>IFERROR(__xludf.DUMMYFUNCTION("""COMPUTED_VALUE"""),81503.0)</f>
        <v>81503</v>
      </c>
      <c r="B4264" s="2">
        <f>IFERROR(__xludf.DUMMYFUNCTION("""COMPUTED_VALUE"""),0.0)</f>
        <v>0</v>
      </c>
      <c r="C4264" s="2">
        <f>IFERROR(__xludf.DUMMYFUNCTION("""COMPUTED_VALUE"""),475.0)</f>
        <v>475</v>
      </c>
      <c r="D4264" s="3">
        <f>IFERROR(__xludf.DUMMYFUNCTION("""COMPUTED_VALUE"""),436.0)</f>
        <v>436</v>
      </c>
      <c r="E4264" s="1" t="str">
        <f t="array" ref="E4264">_xlfn.XLOOKUP(A4264,Product!A:A,Product!B:B,"Bulunamadı")</f>
        <v>Arts</v>
      </c>
      <c r="F4264" s="1" t="str">
        <f t="array" ref="F4264">_xlfn.XLOOKUP(A4264,Product!A:A,Product!C:C,"Bulunamadı")</f>
        <v>Investing</v>
      </c>
      <c r="G4264" s="2" t="str">
        <f t="array" ref="G4264">_xlfn.XLOOKUP(A4265,Product!A:A,Product!D:D,"Bulunamadı")</f>
        <v>Brightbridge House</v>
      </c>
      <c r="H4264" s="2">
        <f t="array" ref="H4264">_xlfn.XLOOKUP(A4266,Product!A:A,Product!E:E,"Bulunamadı")</f>
        <v>43.88</v>
      </c>
      <c r="I4264" s="2" t="str">
        <f t="shared" si="1"/>
        <v>81503 - Arts - Investing</v>
      </c>
      <c r="J4264" s="2">
        <f t="shared" si="2"/>
        <v>19131.68</v>
      </c>
      <c r="K4264" s="17">
        <f t="shared" si="3"/>
        <v>1</v>
      </c>
      <c r="L4264" s="18"/>
    </row>
    <row r="4265">
      <c r="A4265" s="2">
        <f>IFERROR(__xludf.DUMMYFUNCTION("""COMPUTED_VALUE"""),117559.0)</f>
        <v>117559</v>
      </c>
      <c r="B4265" s="2">
        <f>IFERROR(__xludf.DUMMYFUNCTION("""COMPUTED_VALUE"""),1.0)</f>
        <v>1</v>
      </c>
      <c r="C4265" s="2">
        <f>IFERROR(__xludf.DUMMYFUNCTION("""COMPUTED_VALUE"""),245.0)</f>
        <v>245</v>
      </c>
      <c r="D4265" s="3">
        <f>IFERROR(__xludf.DUMMYFUNCTION("""COMPUTED_VALUE"""),79.0)</f>
        <v>79</v>
      </c>
      <c r="E4265" s="1" t="str">
        <f t="array" ref="E4265">_xlfn.XLOOKUP(A4265,Product!A:A,Product!B:B,"Bulunamadı")</f>
        <v>Arts</v>
      </c>
      <c r="F4265" s="1" t="str">
        <f t="array" ref="F4265">_xlfn.XLOOKUP(A4265,Product!A:A,Product!C:C,"Bulunamadı")</f>
        <v>Investing</v>
      </c>
      <c r="G4265" s="2" t="str">
        <f t="array" ref="G4265">_xlfn.XLOOKUP(A4266,Product!A:A,Product!D:D,"Bulunamadı")</f>
        <v>Oakbridge House</v>
      </c>
      <c r="H4265" s="2">
        <f t="array" ref="H4265">_xlfn.XLOOKUP(A4267,Product!A:A,Product!E:E,"Bulunamadı")</f>
        <v>13.46</v>
      </c>
      <c r="I4265" s="2" t="str">
        <f t="shared" si="1"/>
        <v>117559 - Arts - Investing</v>
      </c>
      <c r="J4265" s="2">
        <f t="shared" si="2"/>
        <v>1063.34</v>
      </c>
      <c r="K4265" s="17">
        <f t="shared" si="3"/>
        <v>1</v>
      </c>
      <c r="L4265" s="18"/>
    </row>
    <row r="4266" hidden="1">
      <c r="A4266" s="2">
        <f>IFERROR(__xludf.DUMMYFUNCTION("""COMPUTED_VALUE"""),110230.0)</f>
        <v>110230</v>
      </c>
      <c r="B4266" s="2">
        <f>IFERROR(__xludf.DUMMYFUNCTION("""COMPUTED_VALUE"""),1.0)</f>
        <v>1</v>
      </c>
      <c r="C4266" s="2">
        <f>IFERROR(__xludf.DUMMYFUNCTION("""COMPUTED_VALUE"""),399.0)</f>
        <v>399</v>
      </c>
      <c r="D4266" s="3">
        <f>IFERROR(__xludf.DUMMYFUNCTION("""COMPUTED_VALUE"""),316.0)</f>
        <v>316</v>
      </c>
      <c r="E4266" s="1" t="str">
        <f t="array" ref="E4266">_xlfn.XLOOKUP(A4266,Product!A:A,Product!B:B,"Bulunamadı")</f>
        <v>Finance</v>
      </c>
      <c r="F4266" s="1" t="str">
        <f t="array" ref="F4266">_xlfn.XLOOKUP(A4266,Product!A:A,Product!C:C,"Bulunamadı")</f>
        <v>Stock Market</v>
      </c>
      <c r="G4266" s="2" t="str">
        <f t="array" ref="G4266">_xlfn.XLOOKUP(A4267,Product!A:A,Product!D:D,"Bulunamadı")</f>
        <v>Riverbridge House</v>
      </c>
      <c r="H4266" s="2">
        <f t="array" ref="H4266">_xlfn.XLOOKUP(A4268,Product!A:A,Product!E:E,"Bulunamadı")</f>
        <v>7.48</v>
      </c>
      <c r="I4266" s="2" t="str">
        <f t="shared" si="1"/>
        <v>110230 - Finance - Stock Market</v>
      </c>
      <c r="J4266" s="2">
        <f t="shared" si="2"/>
        <v>2363.68</v>
      </c>
      <c r="K4266" s="17">
        <f t="shared" si="3"/>
        <v>1</v>
      </c>
      <c r="L4266" s="18"/>
    </row>
    <row r="4267" hidden="1">
      <c r="A4267" s="2">
        <f>IFERROR(__xludf.DUMMYFUNCTION("""COMPUTED_VALUE"""),122854.0)</f>
        <v>122854</v>
      </c>
      <c r="B4267" s="2">
        <f>IFERROR(__xludf.DUMMYFUNCTION("""COMPUTED_VALUE"""),0.0)</f>
        <v>0</v>
      </c>
      <c r="C4267" s="2">
        <f>IFERROR(__xludf.DUMMYFUNCTION("""COMPUTED_VALUE"""),370.0)</f>
        <v>370</v>
      </c>
      <c r="D4267" s="3">
        <f>IFERROR(__xludf.DUMMYFUNCTION("""COMPUTED_VALUE"""),36.0)</f>
        <v>36</v>
      </c>
      <c r="E4267" s="1" t="str">
        <f t="array" ref="E4267">_xlfn.XLOOKUP(A4267,Product!A:A,Product!B:B,"Bulunamadı")</f>
        <v>Finance</v>
      </c>
      <c r="F4267" s="1" t="str">
        <f t="array" ref="F4267">_xlfn.XLOOKUP(A4267,Product!A:A,Product!C:C,"Bulunamadı")</f>
        <v>Stock Market</v>
      </c>
      <c r="G4267" s="2" t="str">
        <f t="array" ref="G4267">_xlfn.XLOOKUP(A4268,Product!A:A,Product!D:D,"Bulunamadı")</f>
        <v>Riverbridge House</v>
      </c>
      <c r="H4267" s="2">
        <f t="array" ref="H4267">_xlfn.XLOOKUP(A4269,Product!A:A,Product!E:E,"Bulunamadı")</f>
        <v>3.75</v>
      </c>
      <c r="I4267" s="2" t="str">
        <f t="shared" si="1"/>
        <v>122854 - Finance - Stock Market</v>
      </c>
      <c r="J4267" s="2">
        <f t="shared" si="2"/>
        <v>135</v>
      </c>
      <c r="K4267" s="17">
        <f t="shared" si="3"/>
        <v>1</v>
      </c>
      <c r="L4267" s="18"/>
    </row>
    <row r="4268" hidden="1">
      <c r="A4268" s="2">
        <f>IFERROR(__xludf.DUMMYFUNCTION("""COMPUTED_VALUE"""),95371.0)</f>
        <v>95371</v>
      </c>
      <c r="B4268" s="2">
        <f>IFERROR(__xludf.DUMMYFUNCTION("""COMPUTED_VALUE"""),0.0)</f>
        <v>0</v>
      </c>
      <c r="C4268" s="2">
        <f>IFERROR(__xludf.DUMMYFUNCTION("""COMPUTED_VALUE"""),721.0)</f>
        <v>721</v>
      </c>
      <c r="D4268" s="3">
        <f>IFERROR(__xludf.DUMMYFUNCTION("""COMPUTED_VALUE"""),670.0)</f>
        <v>670</v>
      </c>
      <c r="E4268" s="1" t="str">
        <f t="array" ref="E4268">_xlfn.XLOOKUP(A4268,Product!A:A,Product!B:B,"Bulunamadı")</f>
        <v>Finance</v>
      </c>
      <c r="F4268" s="1" t="str">
        <f t="array" ref="F4268">_xlfn.XLOOKUP(A4268,Product!A:A,Product!C:C,"Bulunamadı")</f>
        <v>Stock Market</v>
      </c>
      <c r="G4268" s="2" t="str">
        <f t="array" ref="G4268">_xlfn.XLOOKUP(A4269,Product!A:A,Product!D:D,"Bulunamadı")</f>
        <v>Riverbridge House</v>
      </c>
      <c r="H4268" s="2">
        <f t="array" ref="H4268">_xlfn.XLOOKUP(A4270,Product!A:A,Product!E:E,"Bulunamadı")</f>
        <v>3.6</v>
      </c>
      <c r="I4268" s="2" t="str">
        <f t="shared" si="1"/>
        <v>95371 - Finance - Stock Market</v>
      </c>
      <c r="J4268" s="2">
        <f t="shared" si="2"/>
        <v>2412</v>
      </c>
      <c r="K4268" s="17">
        <f t="shared" si="3"/>
        <v>1</v>
      </c>
      <c r="L4268" s="18"/>
    </row>
    <row r="4269" hidden="1">
      <c r="A4269" s="2">
        <f>IFERROR(__xludf.DUMMYFUNCTION("""COMPUTED_VALUE"""),101190.0)</f>
        <v>101190</v>
      </c>
      <c r="B4269" s="2">
        <f>IFERROR(__xludf.DUMMYFUNCTION("""COMPUTED_VALUE"""),1.0)</f>
        <v>1</v>
      </c>
      <c r="C4269" s="2">
        <f>IFERROR(__xludf.DUMMYFUNCTION("""COMPUTED_VALUE"""),460.0)</f>
        <v>460</v>
      </c>
      <c r="D4269" s="3">
        <f>IFERROR(__xludf.DUMMYFUNCTION("""COMPUTED_VALUE"""),206.0)</f>
        <v>206</v>
      </c>
      <c r="E4269" s="1" t="str">
        <f t="array" ref="E4269">_xlfn.XLOOKUP(A4269,Product!A:A,Product!B:B,"Bulunamadı")</f>
        <v>Finance</v>
      </c>
      <c r="F4269" s="1" t="str">
        <f t="array" ref="F4269">_xlfn.XLOOKUP(A4269,Product!A:A,Product!C:C,"Bulunamadı")</f>
        <v>Stock Market</v>
      </c>
      <c r="G4269" s="2" t="str">
        <f t="array" ref="G4269">_xlfn.XLOOKUP(A4270,Product!A:A,Product!D:D,"Bulunamadı")</f>
        <v>Ironbridge House</v>
      </c>
      <c r="H4269" s="2">
        <f t="array" ref="H4269">_xlfn.XLOOKUP(A4271,Product!A:A,Product!E:E,"Bulunamadı")</f>
        <v>1.33</v>
      </c>
      <c r="I4269" s="2" t="str">
        <f t="shared" si="1"/>
        <v>101190 - Finance - Stock Market</v>
      </c>
      <c r="J4269" s="2">
        <f t="shared" si="2"/>
        <v>273.98</v>
      </c>
      <c r="K4269" s="17">
        <f t="shared" si="3"/>
        <v>1</v>
      </c>
      <c r="L4269" s="18"/>
    </row>
    <row r="4270" hidden="1">
      <c r="A4270" s="2">
        <f>IFERROR(__xludf.DUMMYFUNCTION("""COMPUTED_VALUE"""),121532.0)</f>
        <v>121532</v>
      </c>
      <c r="B4270" s="2">
        <f>IFERROR(__xludf.DUMMYFUNCTION("""COMPUTED_VALUE"""),1.0)</f>
        <v>1</v>
      </c>
      <c r="C4270" s="2">
        <f>IFERROR(__xludf.DUMMYFUNCTION("""COMPUTED_VALUE"""),848.0)</f>
        <v>848</v>
      </c>
      <c r="D4270" s="3">
        <f>IFERROR(__xludf.DUMMYFUNCTION("""COMPUTED_VALUE"""),843.0)</f>
        <v>843</v>
      </c>
      <c r="E4270" s="1" t="str">
        <f t="array" ref="E4270">_xlfn.XLOOKUP(A4270,Product!A:A,Product!B:B,"Bulunamadı")</f>
        <v>Finance</v>
      </c>
      <c r="F4270" s="1" t="str">
        <f t="array" ref="F4270">_xlfn.XLOOKUP(A4270,Product!A:A,Product!C:C,"Bulunamadı")</f>
        <v>Stock Market</v>
      </c>
      <c r="G4270" s="2" t="str">
        <f t="array" ref="G4270">_xlfn.XLOOKUP(A4271,Product!A:A,Product!D:D,"Bulunamadı")</f>
        <v>Ironbridge House</v>
      </c>
      <c r="H4270" s="2">
        <f t="array" ref="H4270">_xlfn.XLOOKUP(A4272,Product!A:A,Product!E:E,"Bulunamadı")</f>
        <v>2.17</v>
      </c>
      <c r="I4270" s="2" t="str">
        <f t="shared" si="1"/>
        <v>121532 - Finance - Stock Market</v>
      </c>
      <c r="J4270" s="2">
        <f t="shared" si="2"/>
        <v>1829.31</v>
      </c>
      <c r="K4270" s="17">
        <f t="shared" si="3"/>
        <v>1</v>
      </c>
      <c r="L4270" s="18"/>
    </row>
    <row r="4271" hidden="1">
      <c r="A4271" s="2">
        <f>IFERROR(__xludf.DUMMYFUNCTION("""COMPUTED_VALUE"""),6614.0)</f>
        <v>6614</v>
      </c>
      <c r="B4271" s="2">
        <f>IFERROR(__xludf.DUMMYFUNCTION("""COMPUTED_VALUE"""),0.0)</f>
        <v>0</v>
      </c>
      <c r="C4271" s="2">
        <f>IFERROR(__xludf.DUMMYFUNCTION("""COMPUTED_VALUE"""),877.0)</f>
        <v>877</v>
      </c>
      <c r="D4271" s="3">
        <f>IFERROR(__xludf.DUMMYFUNCTION("""COMPUTED_VALUE"""),721.0)</f>
        <v>721</v>
      </c>
      <c r="E4271" s="1" t="str">
        <f t="array" ref="E4271">_xlfn.XLOOKUP(A4271,Product!A:A,Product!B:B,"Bulunamadı")</f>
        <v>Finance</v>
      </c>
      <c r="F4271" s="1" t="str">
        <f t="array" ref="F4271">_xlfn.XLOOKUP(A4271,Product!A:A,Product!C:C,"Bulunamadı")</f>
        <v>Stock Market</v>
      </c>
      <c r="G4271" s="2" t="str">
        <f t="array" ref="G4271">_xlfn.XLOOKUP(A4272,Product!A:A,Product!D:D,"Bulunamadı")</f>
        <v>Silvergrove House</v>
      </c>
      <c r="H4271" s="2">
        <f t="array" ref="H4271">_xlfn.XLOOKUP(A4273,Product!A:A,Product!E:E,"Bulunamadı")</f>
        <v>4.4</v>
      </c>
      <c r="I4271" s="2" t="str">
        <f t="shared" si="1"/>
        <v>6614 - Finance - Stock Market</v>
      </c>
      <c r="J4271" s="2">
        <f t="shared" si="2"/>
        <v>3172.4</v>
      </c>
      <c r="K4271" s="17">
        <f t="shared" si="3"/>
        <v>1</v>
      </c>
      <c r="L4271" s="18"/>
    </row>
    <row r="4272" hidden="1">
      <c r="A4272" s="2">
        <f>IFERROR(__xludf.DUMMYFUNCTION("""COMPUTED_VALUE"""),6618.0)</f>
        <v>6618</v>
      </c>
      <c r="B4272" s="2">
        <f>IFERROR(__xludf.DUMMYFUNCTION("""COMPUTED_VALUE"""),1.0)</f>
        <v>1</v>
      </c>
      <c r="C4272" s="2">
        <f>IFERROR(__xludf.DUMMYFUNCTION("""COMPUTED_VALUE"""),43.0)</f>
        <v>43</v>
      </c>
      <c r="D4272" s="3">
        <f>IFERROR(__xludf.DUMMYFUNCTION("""COMPUTED_VALUE"""),36.0)</f>
        <v>36</v>
      </c>
      <c r="E4272" s="1" t="str">
        <f t="array" ref="E4272">_xlfn.XLOOKUP(A4272,Product!A:A,Product!B:B,"Bulunamadı")</f>
        <v>Finance</v>
      </c>
      <c r="F4272" s="1" t="str">
        <f t="array" ref="F4272">_xlfn.XLOOKUP(A4272,Product!A:A,Product!C:C,"Bulunamadı")</f>
        <v>Stock Market</v>
      </c>
      <c r="G4272" s="2" t="str">
        <f t="array" ref="G4272">_xlfn.XLOOKUP(A4273,Product!A:A,Product!D:D,"Bulunamadı")</f>
        <v>Silvergrove House</v>
      </c>
      <c r="H4272" s="2">
        <f t="array" ref="H4272">_xlfn.XLOOKUP(A4274,Product!A:A,Product!E:E,"Bulunamadı")</f>
        <v>5.36</v>
      </c>
      <c r="I4272" s="2" t="str">
        <f t="shared" si="1"/>
        <v>6618 - Finance - Stock Market</v>
      </c>
      <c r="J4272" s="2">
        <f t="shared" si="2"/>
        <v>192.96</v>
      </c>
      <c r="K4272" s="17">
        <f t="shared" si="3"/>
        <v>1</v>
      </c>
      <c r="L4272" s="18"/>
    </row>
    <row r="4273" hidden="1">
      <c r="A4273" s="2">
        <f>IFERROR(__xludf.DUMMYFUNCTION("""COMPUTED_VALUE"""),96096.0)</f>
        <v>96096</v>
      </c>
      <c r="B4273" s="2">
        <f>IFERROR(__xludf.DUMMYFUNCTION("""COMPUTED_VALUE"""),0.0)</f>
        <v>0</v>
      </c>
      <c r="C4273" s="2">
        <f>IFERROR(__xludf.DUMMYFUNCTION("""COMPUTED_VALUE"""),257.0)</f>
        <v>257</v>
      </c>
      <c r="D4273" s="3">
        <f>IFERROR(__xludf.DUMMYFUNCTION("""COMPUTED_VALUE"""),69.0)</f>
        <v>69</v>
      </c>
      <c r="E4273" s="1" t="str">
        <f t="array" ref="E4273">_xlfn.XLOOKUP(A4273,Product!A:A,Product!B:B,"Bulunamadı")</f>
        <v>Finance</v>
      </c>
      <c r="F4273" s="1" t="str">
        <f t="array" ref="F4273">_xlfn.XLOOKUP(A4273,Product!A:A,Product!C:C,"Bulunamadı")</f>
        <v>Stock Market</v>
      </c>
      <c r="G4273" s="2" t="str">
        <f t="array" ref="G4273">_xlfn.XLOOKUP(A4274,Product!A:A,Product!D:D,"Bulunamadı")</f>
        <v>Northgrove House</v>
      </c>
      <c r="H4273" s="2">
        <f t="array" ref="H4273">_xlfn.XLOOKUP(A4275,Product!A:A,Product!E:E,"Bulunamadı")</f>
        <v>4.21</v>
      </c>
      <c r="I4273" s="2" t="str">
        <f t="shared" si="1"/>
        <v>96096 - Finance - Stock Market</v>
      </c>
      <c r="J4273" s="2">
        <f t="shared" si="2"/>
        <v>290.49</v>
      </c>
      <c r="K4273" s="17">
        <f t="shared" si="3"/>
        <v>1</v>
      </c>
      <c r="L4273" s="18"/>
    </row>
    <row r="4274" hidden="1">
      <c r="A4274" s="2">
        <f>IFERROR(__xludf.DUMMYFUNCTION("""COMPUTED_VALUE"""),105977.0)</f>
        <v>105977</v>
      </c>
      <c r="B4274" s="2">
        <f>IFERROR(__xludf.DUMMYFUNCTION("""COMPUTED_VALUE"""),0.0)</f>
        <v>0</v>
      </c>
      <c r="C4274" s="2">
        <f>IFERROR(__xludf.DUMMYFUNCTION("""COMPUTED_VALUE"""),862.0)</f>
        <v>862</v>
      </c>
      <c r="D4274" s="3">
        <f>IFERROR(__xludf.DUMMYFUNCTION("""COMPUTED_VALUE"""),724.0)</f>
        <v>724</v>
      </c>
      <c r="E4274" s="1" t="str">
        <f t="array" ref="E4274">_xlfn.XLOOKUP(A4274,Product!A:A,Product!B:B,"Bulunamadı")</f>
        <v>Finance</v>
      </c>
      <c r="F4274" s="1" t="str">
        <f t="array" ref="F4274">_xlfn.XLOOKUP(A4274,Product!A:A,Product!C:C,"Bulunamadı")</f>
        <v>Stock Market</v>
      </c>
      <c r="G4274" s="2" t="str">
        <f t="array" ref="G4274">_xlfn.XLOOKUP(A4275,Product!A:A,Product!D:D,"Bulunamadı")</f>
        <v>Harborgrove House</v>
      </c>
      <c r="H4274" s="2">
        <f t="array" ref="H4274">_xlfn.XLOOKUP(A4276,Product!A:A,Product!E:E,"Bulunamadı")</f>
        <v>8.1</v>
      </c>
      <c r="I4274" s="2" t="str">
        <f t="shared" si="1"/>
        <v>105977 - Finance - Stock Market</v>
      </c>
      <c r="J4274" s="2">
        <f t="shared" si="2"/>
        <v>5864.4</v>
      </c>
      <c r="K4274" s="17">
        <f t="shared" si="3"/>
        <v>1</v>
      </c>
      <c r="L4274" s="18"/>
    </row>
    <row r="4275" hidden="1">
      <c r="A4275" s="2">
        <f>IFERROR(__xludf.DUMMYFUNCTION("""COMPUTED_VALUE"""),105901.0)</f>
        <v>105901</v>
      </c>
      <c r="B4275" s="2">
        <f>IFERROR(__xludf.DUMMYFUNCTION("""COMPUTED_VALUE"""),0.0)</f>
        <v>0</v>
      </c>
      <c r="C4275" s="2">
        <f>IFERROR(__xludf.DUMMYFUNCTION("""COMPUTED_VALUE"""),425.0)</f>
        <v>425</v>
      </c>
      <c r="D4275" s="3">
        <f>IFERROR(__xludf.DUMMYFUNCTION("""COMPUTED_VALUE"""),336.0)</f>
        <v>336</v>
      </c>
      <c r="E4275" s="1" t="str">
        <f t="array" ref="E4275">_xlfn.XLOOKUP(A4275,Product!A:A,Product!B:B,"Bulunamadı")</f>
        <v>Finance</v>
      </c>
      <c r="F4275" s="1" t="str">
        <f t="array" ref="F4275">_xlfn.XLOOKUP(A4275,Product!A:A,Product!C:C,"Bulunamadı")</f>
        <v>Stock Market</v>
      </c>
      <c r="G4275" s="2" t="str">
        <f t="array" ref="G4275">_xlfn.XLOOKUP(A4276,Product!A:A,Product!D:D,"Bulunamadı")</f>
        <v>Harborgrove House</v>
      </c>
      <c r="H4275" s="2">
        <f t="array" ref="H4275">_xlfn.XLOOKUP(A4277,Product!A:A,Product!E:E,"Bulunamadı")</f>
        <v>4.44</v>
      </c>
      <c r="I4275" s="2" t="str">
        <f t="shared" si="1"/>
        <v>105901 - Finance - Stock Market</v>
      </c>
      <c r="J4275" s="2">
        <f t="shared" si="2"/>
        <v>1491.84</v>
      </c>
      <c r="K4275" s="17">
        <f t="shared" si="3"/>
        <v>1</v>
      </c>
      <c r="L4275" s="18"/>
    </row>
    <row r="4276" hidden="1">
      <c r="A4276" s="2">
        <f>IFERROR(__xludf.DUMMYFUNCTION("""COMPUTED_VALUE"""),180823.0)</f>
        <v>180823</v>
      </c>
      <c r="B4276" s="2">
        <f>IFERROR(__xludf.DUMMYFUNCTION("""COMPUTED_VALUE"""),1.0)</f>
        <v>1</v>
      </c>
      <c r="C4276" s="2">
        <f>IFERROR(__xludf.DUMMYFUNCTION("""COMPUTED_VALUE"""),834.0)</f>
        <v>834</v>
      </c>
      <c r="D4276" s="3">
        <f>IFERROR(__xludf.DUMMYFUNCTION("""COMPUTED_VALUE"""),113.0)</f>
        <v>113</v>
      </c>
      <c r="E4276" s="1" t="str">
        <f t="array" ref="E4276">_xlfn.XLOOKUP(A4276,Product!A:A,Product!B:B,"Bulunamadı")</f>
        <v>Finance</v>
      </c>
      <c r="F4276" s="1" t="str">
        <f t="array" ref="F4276">_xlfn.XLOOKUP(A4276,Product!A:A,Product!C:C,"Bulunamadı")</f>
        <v>Stock Market</v>
      </c>
      <c r="G4276" s="2" t="str">
        <f t="array" ref="G4276">_xlfn.XLOOKUP(A4277,Product!A:A,Product!D:D,"Bulunamadı")</f>
        <v>Harborgrove House</v>
      </c>
      <c r="H4276" s="2">
        <f t="array" ref="H4276">_xlfn.XLOOKUP(A4278,Product!A:A,Product!E:E,"Bulunamadı")</f>
        <v>2.58</v>
      </c>
      <c r="I4276" s="2" t="str">
        <f t="shared" si="1"/>
        <v>180823 - Finance - Stock Market</v>
      </c>
      <c r="J4276" s="2">
        <f t="shared" si="2"/>
        <v>291.54</v>
      </c>
      <c r="K4276" s="17">
        <f t="shared" si="3"/>
        <v>1</v>
      </c>
      <c r="L4276" s="18"/>
    </row>
    <row r="4277" hidden="1">
      <c r="A4277" s="2">
        <f>IFERROR(__xludf.DUMMYFUNCTION("""COMPUTED_VALUE"""),118979.0)</f>
        <v>118979</v>
      </c>
      <c r="B4277" s="2">
        <f>IFERROR(__xludf.DUMMYFUNCTION("""COMPUTED_VALUE"""),0.0)</f>
        <v>0</v>
      </c>
      <c r="C4277" s="2">
        <f>IFERROR(__xludf.DUMMYFUNCTION("""COMPUTED_VALUE"""),650.0)</f>
        <v>650</v>
      </c>
      <c r="D4277" s="3">
        <f>IFERROR(__xludf.DUMMYFUNCTION("""COMPUTED_VALUE"""),379.0)</f>
        <v>379</v>
      </c>
      <c r="E4277" s="1" t="str">
        <f t="array" ref="E4277">_xlfn.XLOOKUP(A4277,Product!A:A,Product!B:B,"Bulunamadı")</f>
        <v>Finance</v>
      </c>
      <c r="F4277" s="1" t="str">
        <f t="array" ref="F4277">_xlfn.XLOOKUP(A4277,Product!A:A,Product!C:C,"Bulunamadı")</f>
        <v>Stock Market</v>
      </c>
      <c r="G4277" s="2" t="str">
        <f t="array" ref="G4277">_xlfn.XLOOKUP(A4278,Product!A:A,Product!D:D,"Bulunamadı")</f>
        <v>Harborgrove House</v>
      </c>
      <c r="H4277" s="2">
        <f t="array" ref="H4277">_xlfn.XLOOKUP(A4279,Product!A:A,Product!E:E,"Bulunamadı")</f>
        <v>8.06</v>
      </c>
      <c r="I4277" s="2" t="str">
        <f t="shared" si="1"/>
        <v>118979 - Finance - Stock Market</v>
      </c>
      <c r="J4277" s="2">
        <f t="shared" si="2"/>
        <v>3054.74</v>
      </c>
      <c r="K4277" s="17">
        <f t="shared" si="3"/>
        <v>1</v>
      </c>
      <c r="L4277" s="18"/>
    </row>
    <row r="4278" hidden="1">
      <c r="A4278" s="2">
        <f>IFERROR(__xludf.DUMMYFUNCTION("""COMPUTED_VALUE"""),111502.0)</f>
        <v>111502</v>
      </c>
      <c r="B4278" s="2">
        <f>IFERROR(__xludf.DUMMYFUNCTION("""COMPUTED_VALUE"""),1.0)</f>
        <v>1</v>
      </c>
      <c r="C4278" s="2">
        <f>IFERROR(__xludf.DUMMYFUNCTION("""COMPUTED_VALUE"""),381.0)</f>
        <v>381</v>
      </c>
      <c r="D4278" s="3">
        <f>IFERROR(__xludf.DUMMYFUNCTION("""COMPUTED_VALUE"""),64.0)</f>
        <v>64</v>
      </c>
      <c r="E4278" s="1" t="str">
        <f t="array" ref="E4278">_xlfn.XLOOKUP(A4278,Product!A:A,Product!B:B,"Bulunamadı")</f>
        <v>Finance</v>
      </c>
      <c r="F4278" s="1" t="str">
        <f t="array" ref="F4278">_xlfn.XLOOKUP(A4278,Product!A:A,Product!C:C,"Bulunamadı")</f>
        <v>Stock Market</v>
      </c>
      <c r="G4278" s="2" t="str">
        <f t="array" ref="G4278">_xlfn.XLOOKUP(A4279,Product!A:A,Product!D:D,"Bulunamadı")</f>
        <v>Harborgrove House</v>
      </c>
      <c r="H4278" s="2">
        <f t="array" ref="H4278">_xlfn.XLOOKUP(A4280,Product!A:A,Product!E:E,"Bulunamadı")</f>
        <v>3.28</v>
      </c>
      <c r="I4278" s="2" t="str">
        <f t="shared" si="1"/>
        <v>111502 - Finance - Stock Market</v>
      </c>
      <c r="J4278" s="2">
        <f t="shared" si="2"/>
        <v>209.92</v>
      </c>
      <c r="K4278" s="17">
        <f t="shared" si="3"/>
        <v>1</v>
      </c>
      <c r="L4278" s="18"/>
    </row>
    <row r="4279" hidden="1">
      <c r="A4279" s="2">
        <f>IFERROR(__xludf.DUMMYFUNCTION("""COMPUTED_VALUE"""),180822.0)</f>
        <v>180822</v>
      </c>
      <c r="B4279" s="2">
        <f>IFERROR(__xludf.DUMMYFUNCTION("""COMPUTED_VALUE"""),0.0)</f>
        <v>0</v>
      </c>
      <c r="C4279" s="2">
        <f>IFERROR(__xludf.DUMMYFUNCTION("""COMPUTED_VALUE"""),209.0)</f>
        <v>209</v>
      </c>
      <c r="D4279" s="3">
        <f>IFERROR(__xludf.DUMMYFUNCTION("""COMPUTED_VALUE"""),198.0)</f>
        <v>198</v>
      </c>
      <c r="E4279" s="1" t="str">
        <f t="array" ref="E4279">_xlfn.XLOOKUP(A4279,Product!A:A,Product!B:B,"Bulunamadı")</f>
        <v>Finance</v>
      </c>
      <c r="F4279" s="1" t="str">
        <f t="array" ref="F4279">_xlfn.XLOOKUP(A4279,Product!A:A,Product!C:C,"Bulunamadı")</f>
        <v>Stock Market</v>
      </c>
      <c r="G4279" s="2" t="str">
        <f t="array" ref="G4279">_xlfn.XLOOKUP(A4280,Product!A:A,Product!D:D,"Bulunamadı")</f>
        <v>Harborgrove House</v>
      </c>
      <c r="H4279" s="2">
        <f t="array" ref="H4279">_xlfn.XLOOKUP(A4281,Product!A:A,Product!E:E,"Bulunamadı")</f>
        <v>8.07</v>
      </c>
      <c r="I4279" s="2" t="str">
        <f t="shared" si="1"/>
        <v>180822 - Finance - Stock Market</v>
      </c>
      <c r="J4279" s="2">
        <f t="shared" si="2"/>
        <v>1597.86</v>
      </c>
      <c r="K4279" s="17">
        <f t="shared" si="3"/>
        <v>1</v>
      </c>
      <c r="L4279" s="18"/>
    </row>
    <row r="4280" hidden="1">
      <c r="A4280" s="2">
        <f>IFERROR(__xludf.DUMMYFUNCTION("""COMPUTED_VALUE"""),101196.0)</f>
        <v>101196</v>
      </c>
      <c r="B4280" s="2">
        <f>IFERROR(__xludf.DUMMYFUNCTION("""COMPUTED_VALUE"""),1.0)</f>
        <v>1</v>
      </c>
      <c r="C4280" s="2">
        <f>IFERROR(__xludf.DUMMYFUNCTION("""COMPUTED_VALUE"""),839.0)</f>
        <v>839</v>
      </c>
      <c r="D4280" s="3">
        <f>IFERROR(__xludf.DUMMYFUNCTION("""COMPUTED_VALUE"""),709.0)</f>
        <v>709</v>
      </c>
      <c r="E4280" s="1" t="str">
        <f t="array" ref="E4280">_xlfn.XLOOKUP(A4280,Product!A:A,Product!B:B,"Bulunamadı")</f>
        <v>Finance</v>
      </c>
      <c r="F4280" s="1" t="str">
        <f t="array" ref="F4280">_xlfn.XLOOKUP(A4280,Product!A:A,Product!C:C,"Bulunamadı")</f>
        <v>Stock Market</v>
      </c>
      <c r="G4280" s="2" t="str">
        <f t="array" ref="G4280">_xlfn.XLOOKUP(A4281,Product!A:A,Product!D:D,"Bulunamadı")</f>
        <v>Harborgrove House</v>
      </c>
      <c r="H4280" s="2">
        <f t="array" ref="H4280">_xlfn.XLOOKUP(A4282,Product!A:A,Product!E:E,"Bulunamadı")</f>
        <v>3.97</v>
      </c>
      <c r="I4280" s="2" t="str">
        <f t="shared" si="1"/>
        <v>101196 - Finance - Stock Market</v>
      </c>
      <c r="J4280" s="2">
        <f t="shared" si="2"/>
        <v>2814.73</v>
      </c>
      <c r="K4280" s="17">
        <f t="shared" si="3"/>
        <v>1</v>
      </c>
      <c r="L4280" s="18"/>
    </row>
    <row r="4281" hidden="1">
      <c r="A4281" s="2">
        <f>IFERROR(__xludf.DUMMYFUNCTION("""COMPUTED_VALUE"""),180824.0)</f>
        <v>180824</v>
      </c>
      <c r="B4281" s="2">
        <f>IFERROR(__xludf.DUMMYFUNCTION("""COMPUTED_VALUE"""),0.0)</f>
        <v>0</v>
      </c>
      <c r="C4281" s="2">
        <f>IFERROR(__xludf.DUMMYFUNCTION("""COMPUTED_VALUE"""),434.0)</f>
        <v>434</v>
      </c>
      <c r="D4281" s="3">
        <f>IFERROR(__xludf.DUMMYFUNCTION("""COMPUTED_VALUE"""),342.0)</f>
        <v>342</v>
      </c>
      <c r="E4281" s="1" t="str">
        <f t="array" ref="E4281">_xlfn.XLOOKUP(A4281,Product!A:A,Product!B:B,"Bulunamadı")</f>
        <v>Finance</v>
      </c>
      <c r="F4281" s="1" t="str">
        <f t="array" ref="F4281">_xlfn.XLOOKUP(A4281,Product!A:A,Product!C:C,"Bulunamadı")</f>
        <v>Stock Market</v>
      </c>
      <c r="G4281" s="2" t="str">
        <f t="array" ref="G4281">_xlfn.XLOOKUP(A4282,Product!A:A,Product!D:D,"Bulunamadı")</f>
        <v>Harborgrove House</v>
      </c>
      <c r="H4281" s="2">
        <f t="array" ref="H4281">_xlfn.XLOOKUP(A4283,Product!A:A,Product!E:E,"Bulunamadı")</f>
        <v>29.07</v>
      </c>
      <c r="I4281" s="2" t="str">
        <f t="shared" si="1"/>
        <v>180824 - Finance - Stock Market</v>
      </c>
      <c r="J4281" s="2">
        <f t="shared" si="2"/>
        <v>9941.94</v>
      </c>
      <c r="K4281" s="17">
        <f t="shared" si="3"/>
        <v>1</v>
      </c>
      <c r="L4281" s="18"/>
    </row>
    <row r="4282" hidden="1">
      <c r="A4282" s="2">
        <f>IFERROR(__xludf.DUMMYFUNCTION("""COMPUTED_VALUE"""),105905.0)</f>
        <v>105905</v>
      </c>
      <c r="B4282" s="2">
        <f>IFERROR(__xludf.DUMMYFUNCTION("""COMPUTED_VALUE"""),1.0)</f>
        <v>1</v>
      </c>
      <c r="C4282" s="2">
        <f>IFERROR(__xludf.DUMMYFUNCTION("""COMPUTED_VALUE"""),277.0)</f>
        <v>277</v>
      </c>
      <c r="D4282" s="3">
        <f>IFERROR(__xludf.DUMMYFUNCTION("""COMPUTED_VALUE"""),132.0)</f>
        <v>132</v>
      </c>
      <c r="E4282" s="1" t="str">
        <f t="array" ref="E4282">_xlfn.XLOOKUP(A4282,Product!A:A,Product!B:B,"Bulunamadı")</f>
        <v>Finance</v>
      </c>
      <c r="F4282" s="1" t="str">
        <f t="array" ref="F4282">_xlfn.XLOOKUP(A4282,Product!A:A,Product!C:C,"Bulunamadı")</f>
        <v>Stock Market</v>
      </c>
      <c r="G4282" s="2" t="str">
        <f t="array" ref="G4282">_xlfn.XLOOKUP(A4283,Product!A:A,Product!D:D,"Bulunamadı")</f>
        <v>Cedargrove House</v>
      </c>
      <c r="H4282" s="2">
        <f t="array" ref="H4282">_xlfn.XLOOKUP(A4284,Product!A:A,Product!E:E,"Bulunamadı")</f>
        <v>152.75</v>
      </c>
      <c r="I4282" s="2" t="str">
        <f t="shared" si="1"/>
        <v>105905 - Finance - Stock Market</v>
      </c>
      <c r="J4282" s="2">
        <f t="shared" si="2"/>
        <v>20163</v>
      </c>
      <c r="K4282" s="17">
        <f t="shared" si="3"/>
        <v>1</v>
      </c>
      <c r="L4282" s="18"/>
    </row>
    <row r="4283" hidden="1">
      <c r="A4283" s="2">
        <f>IFERROR(__xludf.DUMMYFUNCTION("""COMPUTED_VALUE"""),101194.0)</f>
        <v>101194</v>
      </c>
      <c r="B4283" s="2">
        <f>IFERROR(__xludf.DUMMYFUNCTION("""COMPUTED_VALUE"""),0.0)</f>
        <v>0</v>
      </c>
      <c r="C4283" s="2">
        <f>IFERROR(__xludf.DUMMYFUNCTION("""COMPUTED_VALUE"""),362.0)</f>
        <v>362</v>
      </c>
      <c r="D4283" s="3">
        <f>IFERROR(__xludf.DUMMYFUNCTION("""COMPUTED_VALUE"""),267.0)</f>
        <v>267</v>
      </c>
      <c r="E4283" s="1" t="str">
        <f t="array" ref="E4283">_xlfn.XLOOKUP(A4283,Product!A:A,Product!B:B,"Bulunamadı")</f>
        <v>Finance</v>
      </c>
      <c r="F4283" s="1" t="str">
        <f t="array" ref="F4283">_xlfn.XLOOKUP(A4283,Product!A:A,Product!C:C,"Bulunamadı")</f>
        <v>Stock Market</v>
      </c>
      <c r="G4283" s="2" t="str">
        <f t="array" ref="G4283">_xlfn.XLOOKUP(A4284,Product!A:A,Product!D:D,"Bulunamadı")</f>
        <v>Cedargrove House</v>
      </c>
      <c r="H4283" s="2">
        <f t="array" ref="H4283">_xlfn.XLOOKUP(A4285,Product!A:A,Product!E:E,"Bulunamadı")</f>
        <v>3.6</v>
      </c>
      <c r="I4283" s="2" t="str">
        <f t="shared" si="1"/>
        <v>101194 - Finance - Stock Market</v>
      </c>
      <c r="J4283" s="2">
        <f t="shared" si="2"/>
        <v>961.2</v>
      </c>
      <c r="K4283" s="17">
        <f t="shared" si="3"/>
        <v>1</v>
      </c>
      <c r="L4283" s="18"/>
    </row>
    <row r="4284" hidden="1">
      <c r="A4284" s="2">
        <f>IFERROR(__xludf.DUMMYFUNCTION("""COMPUTED_VALUE"""),113719.0)</f>
        <v>113719</v>
      </c>
      <c r="B4284" s="2">
        <f>IFERROR(__xludf.DUMMYFUNCTION("""COMPUTED_VALUE"""),0.0)</f>
        <v>0</v>
      </c>
      <c r="C4284" s="2">
        <f>IFERROR(__xludf.DUMMYFUNCTION("""COMPUTED_VALUE"""),226.0)</f>
        <v>226</v>
      </c>
      <c r="D4284" s="3">
        <f>IFERROR(__xludf.DUMMYFUNCTION("""COMPUTED_VALUE"""),53.0)</f>
        <v>53</v>
      </c>
      <c r="E4284" s="1" t="str">
        <f t="array" ref="E4284">_xlfn.XLOOKUP(A4284,Product!A:A,Product!B:B,"Bulunamadı")</f>
        <v>Finance</v>
      </c>
      <c r="F4284" s="1" t="str">
        <f t="array" ref="F4284">_xlfn.XLOOKUP(A4284,Product!A:A,Product!C:C,"Bulunamadı")</f>
        <v>Stock Market</v>
      </c>
      <c r="G4284" s="2" t="str">
        <f t="array" ref="G4284">_xlfn.XLOOKUP(A4285,Product!A:A,Product!D:D,"Bulunamadı")</f>
        <v>Brightgrove House</v>
      </c>
      <c r="H4284" s="2">
        <f t="array" ref="H4284">_xlfn.XLOOKUP(A4286,Product!A:A,Product!E:E,"Bulunamadı")</f>
        <v>2.92</v>
      </c>
      <c r="I4284" s="2" t="str">
        <f t="shared" si="1"/>
        <v>113719 - Finance - Stock Market</v>
      </c>
      <c r="J4284" s="2">
        <f t="shared" si="2"/>
        <v>154.76</v>
      </c>
      <c r="K4284" s="17">
        <f t="shared" si="3"/>
        <v>1</v>
      </c>
      <c r="L4284" s="18"/>
    </row>
    <row r="4285" hidden="1">
      <c r="A4285" s="2">
        <f>IFERROR(__xludf.DUMMYFUNCTION("""COMPUTED_VALUE"""),111330.0)</f>
        <v>111330</v>
      </c>
      <c r="B4285" s="2">
        <f>IFERROR(__xludf.DUMMYFUNCTION("""COMPUTED_VALUE"""),0.0)</f>
        <v>0</v>
      </c>
      <c r="C4285" s="2">
        <f>IFERROR(__xludf.DUMMYFUNCTION("""COMPUTED_VALUE"""),203.0)</f>
        <v>203</v>
      </c>
      <c r="D4285" s="3">
        <f>IFERROR(__xludf.DUMMYFUNCTION("""COMPUTED_VALUE"""),32.0)</f>
        <v>32</v>
      </c>
      <c r="E4285" s="1" t="str">
        <f t="array" ref="E4285">_xlfn.XLOOKUP(A4285,Product!A:A,Product!B:B,"Bulunamadı")</f>
        <v>Tech</v>
      </c>
      <c r="F4285" s="1" t="str">
        <f t="array" ref="F4285">_xlfn.XLOOKUP(A4285,Product!A:A,Product!C:C,"Bulunamadı")</f>
        <v>Cryptocurrency</v>
      </c>
      <c r="G4285" s="2" t="str">
        <f t="array" ref="G4285">_xlfn.XLOOKUP(A4286,Product!A:A,Product!D:D,"Bulunamadı")</f>
        <v>Brightgrove House</v>
      </c>
      <c r="H4285" s="2">
        <f t="array" ref="H4285">_xlfn.XLOOKUP(A4287,Product!A:A,Product!E:E,"Bulunamadı")</f>
        <v>1.38</v>
      </c>
      <c r="I4285" s="2" t="str">
        <f t="shared" si="1"/>
        <v>111330 - Tech - Cryptocurrency</v>
      </c>
      <c r="J4285" s="2">
        <f t="shared" si="2"/>
        <v>44.16</v>
      </c>
      <c r="K4285" s="17">
        <f t="shared" si="3"/>
        <v>1</v>
      </c>
      <c r="L4285" s="18"/>
    </row>
    <row r="4286" hidden="1">
      <c r="A4286" s="2">
        <f>IFERROR(__xludf.DUMMYFUNCTION("""COMPUTED_VALUE"""),102089.0)</f>
        <v>102089</v>
      </c>
      <c r="B4286" s="2">
        <f>IFERROR(__xludf.DUMMYFUNCTION("""COMPUTED_VALUE"""),0.0)</f>
        <v>0</v>
      </c>
      <c r="C4286" s="2">
        <f>IFERROR(__xludf.DUMMYFUNCTION("""COMPUTED_VALUE"""),589.0)</f>
        <v>589</v>
      </c>
      <c r="D4286" s="3">
        <f>IFERROR(__xludf.DUMMYFUNCTION("""COMPUTED_VALUE"""),583.0)</f>
        <v>583</v>
      </c>
      <c r="E4286" s="1" t="str">
        <f t="array" ref="E4286">_xlfn.XLOOKUP(A4286,Product!A:A,Product!B:B,"Bulunamadı")</f>
        <v>Tech</v>
      </c>
      <c r="F4286" s="1" t="str">
        <f t="array" ref="F4286">_xlfn.XLOOKUP(A4286,Product!A:A,Product!C:C,"Bulunamadı")</f>
        <v>Cryptocurrency</v>
      </c>
      <c r="G4286" s="2" t="str">
        <f t="array" ref="G4286">_xlfn.XLOOKUP(A4287,Product!A:A,Product!D:D,"Bulunamadı")</f>
        <v>Brightgrove House</v>
      </c>
      <c r="H4286" s="2">
        <f t="array" ref="H4286">_xlfn.XLOOKUP(A4288,Product!A:A,Product!E:E,"Bulunamadı")</f>
        <v>3.2</v>
      </c>
      <c r="I4286" s="2" t="str">
        <f t="shared" si="1"/>
        <v>102089 - Tech - Cryptocurrency</v>
      </c>
      <c r="J4286" s="2">
        <f t="shared" si="2"/>
        <v>1865.6</v>
      </c>
      <c r="K4286" s="17">
        <f t="shared" si="3"/>
        <v>1</v>
      </c>
      <c r="L4286" s="18"/>
    </row>
    <row r="4287" hidden="1">
      <c r="A4287" s="2">
        <f>IFERROR(__xludf.DUMMYFUNCTION("""COMPUTED_VALUE"""),116867.0)</f>
        <v>116867</v>
      </c>
      <c r="B4287" s="2">
        <f>IFERROR(__xludf.DUMMYFUNCTION("""COMPUTED_VALUE"""),1.0)</f>
        <v>1</v>
      </c>
      <c r="C4287" s="2">
        <f>IFERROR(__xludf.DUMMYFUNCTION("""COMPUTED_VALUE"""),844.0)</f>
        <v>844</v>
      </c>
      <c r="D4287" s="3">
        <f>IFERROR(__xludf.DUMMYFUNCTION("""COMPUTED_VALUE"""),387.0)</f>
        <v>387</v>
      </c>
      <c r="E4287" s="1" t="str">
        <f t="array" ref="E4287">_xlfn.XLOOKUP(A4287,Product!A:A,Product!B:B,"Bulunamadı")</f>
        <v>Tech</v>
      </c>
      <c r="F4287" s="1" t="str">
        <f t="array" ref="F4287">_xlfn.XLOOKUP(A4287,Product!A:A,Product!C:C,"Bulunamadı")</f>
        <v>Cryptocurrency</v>
      </c>
      <c r="G4287" s="2" t="str">
        <f t="array" ref="G4287">_xlfn.XLOOKUP(A4288,Product!A:A,Product!D:D,"Bulunamadı")</f>
        <v>Brightgrove House</v>
      </c>
      <c r="H4287" s="2">
        <f t="array" ref="H4287">_xlfn.XLOOKUP(A4289,Product!A:A,Product!E:E,"Bulunamadı")</f>
        <v>1.39</v>
      </c>
      <c r="I4287" s="2" t="str">
        <f t="shared" si="1"/>
        <v>116867 - Tech - Cryptocurrency</v>
      </c>
      <c r="J4287" s="2">
        <f t="shared" si="2"/>
        <v>537.93</v>
      </c>
      <c r="K4287" s="17">
        <f t="shared" si="3"/>
        <v>1</v>
      </c>
      <c r="L4287" s="18"/>
    </row>
    <row r="4288" hidden="1">
      <c r="A4288" s="2">
        <f>IFERROR(__xludf.DUMMYFUNCTION("""COMPUTED_VALUE"""),150297.0)</f>
        <v>150297</v>
      </c>
      <c r="B4288" s="2">
        <f>IFERROR(__xludf.DUMMYFUNCTION("""COMPUTED_VALUE"""),0.0)</f>
        <v>0</v>
      </c>
      <c r="C4288" s="2">
        <f>IFERROR(__xludf.DUMMYFUNCTION("""COMPUTED_VALUE"""),418.0)</f>
        <v>418</v>
      </c>
      <c r="D4288" s="3">
        <f>IFERROR(__xludf.DUMMYFUNCTION("""COMPUTED_VALUE"""),89.0)</f>
        <v>89</v>
      </c>
      <c r="E4288" s="1" t="str">
        <f t="array" ref="E4288">_xlfn.XLOOKUP(A4288,Product!A:A,Product!B:B,"Bulunamadı")</f>
        <v>Tech</v>
      </c>
      <c r="F4288" s="1" t="str">
        <f t="array" ref="F4288">_xlfn.XLOOKUP(A4288,Product!A:A,Product!C:C,"Bulunamadı")</f>
        <v>Cryptocurrency</v>
      </c>
      <c r="G4288" s="2" t="str">
        <f t="array" ref="G4288">_xlfn.XLOOKUP(A4289,Product!A:A,Product!D:D,"Bulunamadı")</f>
        <v>Brightgrove House</v>
      </c>
      <c r="H4288" s="2">
        <f t="array" ref="H4288">_xlfn.XLOOKUP(A4290,Product!A:A,Product!E:E,"Bulunamadı")</f>
        <v>9.94</v>
      </c>
      <c r="I4288" s="2" t="str">
        <f t="shared" si="1"/>
        <v>150297 - Tech - Cryptocurrency</v>
      </c>
      <c r="J4288" s="2">
        <f t="shared" si="2"/>
        <v>884.66</v>
      </c>
      <c r="K4288" s="17">
        <f t="shared" si="3"/>
        <v>1</v>
      </c>
      <c r="L4288" s="18"/>
    </row>
    <row r="4289" hidden="1">
      <c r="A4289" s="2">
        <f>IFERROR(__xludf.DUMMYFUNCTION("""COMPUTED_VALUE"""),23628.0)</f>
        <v>23628</v>
      </c>
      <c r="B4289" s="2">
        <f>IFERROR(__xludf.DUMMYFUNCTION("""COMPUTED_VALUE"""),0.0)</f>
        <v>0</v>
      </c>
      <c r="C4289" s="2">
        <f>IFERROR(__xludf.DUMMYFUNCTION("""COMPUTED_VALUE"""),672.0)</f>
        <v>672</v>
      </c>
      <c r="D4289" s="3">
        <f>IFERROR(__xludf.DUMMYFUNCTION("""COMPUTED_VALUE"""),75.0)</f>
        <v>75</v>
      </c>
      <c r="E4289" s="1" t="str">
        <f t="array" ref="E4289">_xlfn.XLOOKUP(A4289,Product!A:A,Product!B:B,"Bulunamadı")</f>
        <v>Tech</v>
      </c>
      <c r="F4289" s="1" t="str">
        <f t="array" ref="F4289">_xlfn.XLOOKUP(A4289,Product!A:A,Product!C:C,"Bulunamadı")</f>
        <v>Cryptocurrency</v>
      </c>
      <c r="G4289" s="2" t="str">
        <f t="array" ref="G4289">_xlfn.XLOOKUP(A4290,Product!A:A,Product!D:D,"Bulunamadı")</f>
        <v>Oakgrove House</v>
      </c>
      <c r="H4289" s="2">
        <f t="array" ref="H4289">_xlfn.XLOOKUP(A4291,Product!A:A,Product!E:E,"Bulunamadı")</f>
        <v>2.4</v>
      </c>
      <c r="I4289" s="2" t="str">
        <f t="shared" si="1"/>
        <v>23628 - Tech - Cryptocurrency</v>
      </c>
      <c r="J4289" s="2">
        <f t="shared" si="2"/>
        <v>180</v>
      </c>
      <c r="K4289" s="17">
        <f t="shared" si="3"/>
        <v>1</v>
      </c>
      <c r="L4289" s="18"/>
    </row>
    <row r="4290" hidden="1">
      <c r="A4290" s="2">
        <f>IFERROR(__xludf.DUMMYFUNCTION("""COMPUTED_VALUE"""),120369.0)</f>
        <v>120369</v>
      </c>
      <c r="B4290" s="2">
        <f>IFERROR(__xludf.DUMMYFUNCTION("""COMPUTED_VALUE"""),0.0)</f>
        <v>0</v>
      </c>
      <c r="C4290" s="2">
        <f>IFERROR(__xludf.DUMMYFUNCTION("""COMPUTED_VALUE"""),846.0)</f>
        <v>846</v>
      </c>
      <c r="D4290" s="3">
        <f>IFERROR(__xludf.DUMMYFUNCTION("""COMPUTED_VALUE"""),63.0)</f>
        <v>63</v>
      </c>
      <c r="E4290" s="1" t="str">
        <f t="array" ref="E4290">_xlfn.XLOOKUP(A4290,Product!A:A,Product!B:B,"Bulunamadı")</f>
        <v>Tech</v>
      </c>
      <c r="F4290" s="1" t="str">
        <f t="array" ref="F4290">_xlfn.XLOOKUP(A4290,Product!A:A,Product!C:C,"Bulunamadı")</f>
        <v>Cryptocurrency</v>
      </c>
      <c r="G4290" s="2" t="str">
        <f t="array" ref="G4290">_xlfn.XLOOKUP(A4291,Product!A:A,Product!D:D,"Bulunamadı")</f>
        <v>Rivergrove House</v>
      </c>
      <c r="H4290" s="2">
        <f t="array" ref="H4290">_xlfn.XLOOKUP(A4292,Product!A:A,Product!E:E,"Bulunamadı")</f>
        <v>1.72</v>
      </c>
      <c r="I4290" s="2" t="str">
        <f t="shared" si="1"/>
        <v>120369 - Tech - Cryptocurrency</v>
      </c>
      <c r="J4290" s="2">
        <f t="shared" si="2"/>
        <v>108.36</v>
      </c>
      <c r="K4290" s="17">
        <f t="shared" si="3"/>
        <v>1</v>
      </c>
      <c r="L4290" s="18"/>
    </row>
    <row r="4291" hidden="1">
      <c r="A4291" s="2">
        <f>IFERROR(__xludf.DUMMYFUNCTION("""COMPUTED_VALUE"""),114175.0)</f>
        <v>114175</v>
      </c>
      <c r="B4291" s="2">
        <f>IFERROR(__xludf.DUMMYFUNCTION("""COMPUTED_VALUE"""),1.0)</f>
        <v>1</v>
      </c>
      <c r="C4291" s="2">
        <f>IFERROR(__xludf.DUMMYFUNCTION("""COMPUTED_VALUE"""),109.0)</f>
        <v>109</v>
      </c>
      <c r="D4291" s="3">
        <f>IFERROR(__xludf.DUMMYFUNCTION("""COMPUTED_VALUE"""),10.0)</f>
        <v>10</v>
      </c>
      <c r="E4291" s="1" t="str">
        <f t="array" ref="E4291">_xlfn.XLOOKUP(A4291,Product!A:A,Product!B:B,"Bulunamadı")</f>
        <v>Tech</v>
      </c>
      <c r="F4291" s="1" t="str">
        <f t="array" ref="F4291">_xlfn.XLOOKUP(A4291,Product!A:A,Product!C:C,"Bulunamadı")</f>
        <v>Cryptocurrency</v>
      </c>
      <c r="G4291" s="2" t="str">
        <f t="array" ref="G4291">_xlfn.XLOOKUP(A4292,Product!A:A,Product!D:D,"Bulunamadı")</f>
        <v>Rivergrove House</v>
      </c>
      <c r="H4291" s="2">
        <f t="array" ref="H4291">_xlfn.XLOOKUP(A4293,Product!A:A,Product!E:E,"Bulunamadı")</f>
        <v>2.09</v>
      </c>
      <c r="I4291" s="2" t="str">
        <f t="shared" si="1"/>
        <v>114175 - Tech - Cryptocurrency</v>
      </c>
      <c r="J4291" s="2">
        <f t="shared" si="2"/>
        <v>20.9</v>
      </c>
      <c r="K4291" s="17">
        <f t="shared" si="3"/>
        <v>1</v>
      </c>
      <c r="L4291" s="18"/>
    </row>
    <row r="4292" hidden="1">
      <c r="A4292" s="2">
        <f>IFERROR(__xludf.DUMMYFUNCTION("""COMPUTED_VALUE"""),23649.0)</f>
        <v>23649</v>
      </c>
      <c r="B4292" s="2">
        <f>IFERROR(__xludf.DUMMYFUNCTION("""COMPUTED_VALUE"""),0.0)</f>
        <v>0</v>
      </c>
      <c r="C4292" s="2">
        <f>IFERROR(__xludf.DUMMYFUNCTION("""COMPUTED_VALUE"""),695.0)</f>
        <v>695</v>
      </c>
      <c r="D4292" s="3">
        <f>IFERROR(__xludf.DUMMYFUNCTION("""COMPUTED_VALUE"""),33.0)</f>
        <v>33</v>
      </c>
      <c r="E4292" s="1" t="str">
        <f t="array" ref="E4292">_xlfn.XLOOKUP(A4292,Product!A:A,Product!B:B,"Bulunamadı")</f>
        <v>Tech</v>
      </c>
      <c r="F4292" s="1" t="str">
        <f t="array" ref="F4292">_xlfn.XLOOKUP(A4292,Product!A:A,Product!C:C,"Bulunamadı")</f>
        <v>Cryptocurrency</v>
      </c>
      <c r="G4292" s="2" t="str">
        <f t="array" ref="G4292">_xlfn.XLOOKUP(A4293,Product!A:A,Product!D:D,"Bulunamadı")</f>
        <v>Rivergrove House</v>
      </c>
      <c r="H4292" s="2">
        <f t="array" ref="H4292">_xlfn.XLOOKUP(A4294,Product!A:A,Product!E:E,"Bulunamadı")</f>
        <v>2.01</v>
      </c>
      <c r="I4292" s="2" t="str">
        <f t="shared" si="1"/>
        <v>23649 - Tech - Cryptocurrency</v>
      </c>
      <c r="J4292" s="2">
        <f t="shared" si="2"/>
        <v>66.33</v>
      </c>
      <c r="K4292" s="17">
        <f t="shared" si="3"/>
        <v>1</v>
      </c>
      <c r="L4292" s="18"/>
    </row>
    <row r="4293" hidden="1">
      <c r="A4293" s="2">
        <f>IFERROR(__xludf.DUMMYFUNCTION("""COMPUTED_VALUE"""),80419.0)</f>
        <v>80419</v>
      </c>
      <c r="B4293" s="2">
        <f>IFERROR(__xludf.DUMMYFUNCTION("""COMPUTED_VALUE"""),0.0)</f>
        <v>0</v>
      </c>
      <c r="C4293" s="2">
        <f>IFERROR(__xludf.DUMMYFUNCTION("""COMPUTED_VALUE"""),253.0)</f>
        <v>253</v>
      </c>
      <c r="D4293" s="3">
        <f>IFERROR(__xludf.DUMMYFUNCTION("""COMPUTED_VALUE"""),127.0)</f>
        <v>127</v>
      </c>
      <c r="E4293" s="1" t="str">
        <f t="array" ref="E4293">_xlfn.XLOOKUP(A4293,Product!A:A,Product!B:B,"Bulunamadı")</f>
        <v>Tech</v>
      </c>
      <c r="F4293" s="1" t="str">
        <f t="array" ref="F4293">_xlfn.XLOOKUP(A4293,Product!A:A,Product!C:C,"Bulunamadı")</f>
        <v>Cryptocurrency</v>
      </c>
      <c r="G4293" s="2" t="str">
        <f t="array" ref="G4293">_xlfn.XLOOKUP(A4294,Product!A:A,Product!D:D,"Bulunamadı")</f>
        <v>Rivergrove House</v>
      </c>
      <c r="H4293" s="2">
        <f t="array" ref="H4293">_xlfn.XLOOKUP(A4295,Product!A:A,Product!E:E,"Bulunamadı")</f>
        <v>2.08</v>
      </c>
      <c r="I4293" s="2" t="str">
        <f t="shared" si="1"/>
        <v>80419 - Tech - Cryptocurrency</v>
      </c>
      <c r="J4293" s="2">
        <f t="shared" si="2"/>
        <v>264.16</v>
      </c>
      <c r="K4293" s="17">
        <f t="shared" si="3"/>
        <v>1</v>
      </c>
      <c r="L4293" s="18"/>
    </row>
    <row r="4294" hidden="1">
      <c r="A4294" s="2">
        <f>IFERROR(__xludf.DUMMYFUNCTION("""COMPUTED_VALUE"""),114173.0)</f>
        <v>114173</v>
      </c>
      <c r="B4294" s="2">
        <f>IFERROR(__xludf.DUMMYFUNCTION("""COMPUTED_VALUE"""),1.0)</f>
        <v>1</v>
      </c>
      <c r="C4294" s="2">
        <f>IFERROR(__xludf.DUMMYFUNCTION("""COMPUTED_VALUE"""),57.0)</f>
        <v>57</v>
      </c>
      <c r="D4294" s="3">
        <f>IFERROR(__xludf.DUMMYFUNCTION("""COMPUTED_VALUE"""),49.0)</f>
        <v>49</v>
      </c>
      <c r="E4294" s="1" t="str">
        <f t="array" ref="E4294">_xlfn.XLOOKUP(A4294,Product!A:A,Product!B:B,"Bulunamadı")</f>
        <v>Tech</v>
      </c>
      <c r="F4294" s="1" t="str">
        <f t="array" ref="F4294">_xlfn.XLOOKUP(A4294,Product!A:A,Product!C:C,"Bulunamadı")</f>
        <v>Cryptocurrency</v>
      </c>
      <c r="G4294" s="2" t="str">
        <f t="array" ref="G4294">_xlfn.XLOOKUP(A4295,Product!A:A,Product!D:D,"Bulunamadı")</f>
        <v>Rivergrove House</v>
      </c>
      <c r="H4294" s="2">
        <f t="array" ref="H4294">_xlfn.XLOOKUP(A4296,Product!A:A,Product!E:E,"Bulunamadı")</f>
        <v>0.99</v>
      </c>
      <c r="I4294" s="2" t="str">
        <f t="shared" si="1"/>
        <v>114173 - Tech - Cryptocurrency</v>
      </c>
      <c r="J4294" s="2">
        <f t="shared" si="2"/>
        <v>48.51</v>
      </c>
      <c r="K4294" s="17">
        <f t="shared" si="3"/>
        <v>1</v>
      </c>
      <c r="L4294" s="18"/>
    </row>
    <row r="4295" hidden="1">
      <c r="A4295" s="2">
        <f>IFERROR(__xludf.DUMMYFUNCTION("""COMPUTED_VALUE"""),91562.0)</f>
        <v>91562</v>
      </c>
      <c r="B4295" s="2">
        <f>IFERROR(__xludf.DUMMYFUNCTION("""COMPUTED_VALUE"""),1.0)</f>
        <v>1</v>
      </c>
      <c r="C4295" s="2">
        <f>IFERROR(__xludf.DUMMYFUNCTION("""COMPUTED_VALUE"""),692.0)</f>
        <v>692</v>
      </c>
      <c r="D4295" s="3">
        <f>IFERROR(__xludf.DUMMYFUNCTION("""COMPUTED_VALUE"""),14.0)</f>
        <v>14</v>
      </c>
      <c r="E4295" s="1" t="str">
        <f t="array" ref="E4295">_xlfn.XLOOKUP(A4295,Product!A:A,Product!B:B,"Bulunamadı")</f>
        <v>Tech</v>
      </c>
      <c r="F4295" s="1" t="str">
        <f t="array" ref="F4295">_xlfn.XLOOKUP(A4295,Product!A:A,Product!C:C,"Bulunamadı")</f>
        <v>Cryptocurrency</v>
      </c>
      <c r="G4295" s="2" t="str">
        <f t="array" ref="G4295">_xlfn.XLOOKUP(A4296,Product!A:A,Product!D:D,"Bulunamadı")</f>
        <v>Rivergrove House</v>
      </c>
      <c r="H4295" s="2">
        <f t="array" ref="H4295">_xlfn.XLOOKUP(A4297,Product!A:A,Product!E:E,"Bulunamadı")</f>
        <v>2.44</v>
      </c>
      <c r="I4295" s="2" t="str">
        <f t="shared" si="1"/>
        <v>91562 - Tech - Cryptocurrency</v>
      </c>
      <c r="J4295" s="2">
        <f t="shared" si="2"/>
        <v>34.16</v>
      </c>
      <c r="K4295" s="17">
        <f t="shared" si="3"/>
        <v>1</v>
      </c>
      <c r="L4295" s="18"/>
    </row>
    <row r="4296" hidden="1">
      <c r="A4296" s="2">
        <f>IFERROR(__xludf.DUMMYFUNCTION("""COMPUTED_VALUE"""),23662.0)</f>
        <v>23662</v>
      </c>
      <c r="B4296" s="2">
        <f>IFERROR(__xludf.DUMMYFUNCTION("""COMPUTED_VALUE"""),1.0)</f>
        <v>1</v>
      </c>
      <c r="C4296" s="2">
        <f>IFERROR(__xludf.DUMMYFUNCTION("""COMPUTED_VALUE"""),766.0)</f>
        <v>766</v>
      </c>
      <c r="D4296" s="3">
        <f>IFERROR(__xludf.DUMMYFUNCTION("""COMPUTED_VALUE"""),756.0)</f>
        <v>756</v>
      </c>
      <c r="E4296" s="1" t="str">
        <f t="array" ref="E4296">_xlfn.XLOOKUP(A4296,Product!A:A,Product!B:B,"Bulunamadı")</f>
        <v>Tech</v>
      </c>
      <c r="F4296" s="1" t="str">
        <f t="array" ref="F4296">_xlfn.XLOOKUP(A4296,Product!A:A,Product!C:C,"Bulunamadı")</f>
        <v>Cryptocurrency</v>
      </c>
      <c r="G4296" s="2" t="str">
        <f t="array" ref="G4296">_xlfn.XLOOKUP(A4297,Product!A:A,Product!D:D,"Bulunamadı")</f>
        <v>Irongrove House</v>
      </c>
      <c r="H4296" s="2">
        <f t="array" ref="H4296">_xlfn.XLOOKUP(A4298,Product!A:A,Product!E:E,"Bulunamadı")</f>
        <v>1.66</v>
      </c>
      <c r="I4296" s="2" t="str">
        <f t="shared" si="1"/>
        <v>23662 - Tech - Cryptocurrency</v>
      </c>
      <c r="J4296" s="2">
        <f t="shared" si="2"/>
        <v>1254.96</v>
      </c>
      <c r="K4296" s="17">
        <f t="shared" si="3"/>
        <v>1</v>
      </c>
      <c r="L4296" s="18"/>
    </row>
    <row r="4297" hidden="1">
      <c r="A4297" s="2">
        <f>IFERROR(__xludf.DUMMYFUNCTION("""COMPUTED_VALUE"""),76466.0)</f>
        <v>76466</v>
      </c>
      <c r="B4297" s="2">
        <f>IFERROR(__xludf.DUMMYFUNCTION("""COMPUTED_VALUE"""),0.0)</f>
        <v>0</v>
      </c>
      <c r="C4297" s="2">
        <f>IFERROR(__xludf.DUMMYFUNCTION("""COMPUTED_VALUE"""),114.0)</f>
        <v>114</v>
      </c>
      <c r="D4297" s="3">
        <f>IFERROR(__xludf.DUMMYFUNCTION("""COMPUTED_VALUE"""),38.0)</f>
        <v>38</v>
      </c>
      <c r="E4297" s="1" t="str">
        <f t="array" ref="E4297">_xlfn.XLOOKUP(A4297,Product!A:A,Product!B:B,"Bulunamadı")</f>
        <v>Law</v>
      </c>
      <c r="F4297" s="1" t="str">
        <f t="array" ref="F4297">_xlfn.XLOOKUP(A4297,Product!A:A,Product!C:C,"Bulunamadı")</f>
        <v>Banking</v>
      </c>
      <c r="G4297" s="2" t="str">
        <f t="array" ref="G4297">_xlfn.XLOOKUP(A4298,Product!A:A,Product!D:D,"Bulunamadı")</f>
        <v>Irongrove House</v>
      </c>
      <c r="H4297" s="2">
        <f t="array" ref="H4297">_xlfn.XLOOKUP(A4299,Product!A:A,Product!E:E,"Bulunamadı")</f>
        <v>0.64</v>
      </c>
      <c r="I4297" s="2" t="str">
        <f t="shared" si="1"/>
        <v>76466 - Law - Banking</v>
      </c>
      <c r="J4297" s="2">
        <f t="shared" si="2"/>
        <v>24.32</v>
      </c>
      <c r="K4297" s="17">
        <f t="shared" si="3"/>
        <v>1</v>
      </c>
      <c r="L4297" s="18"/>
    </row>
    <row r="4298" hidden="1">
      <c r="A4298" s="2">
        <f>IFERROR(__xludf.DUMMYFUNCTION("""COMPUTED_VALUE"""),76465.0)</f>
        <v>76465</v>
      </c>
      <c r="B4298" s="2">
        <f>IFERROR(__xludf.DUMMYFUNCTION("""COMPUTED_VALUE"""),0.0)</f>
        <v>0</v>
      </c>
      <c r="C4298" s="2">
        <f>IFERROR(__xludf.DUMMYFUNCTION("""COMPUTED_VALUE"""),323.0)</f>
        <v>323</v>
      </c>
      <c r="D4298" s="3">
        <f>IFERROR(__xludf.DUMMYFUNCTION("""COMPUTED_VALUE"""),38.0)</f>
        <v>38</v>
      </c>
      <c r="E4298" s="1" t="str">
        <f t="array" ref="E4298">_xlfn.XLOOKUP(A4298,Product!A:A,Product!B:B,"Bulunamadı")</f>
        <v>Law</v>
      </c>
      <c r="F4298" s="1" t="str">
        <f t="array" ref="F4298">_xlfn.XLOOKUP(A4298,Product!A:A,Product!C:C,"Bulunamadı")</f>
        <v>Banking</v>
      </c>
      <c r="G4298" s="2" t="str">
        <f t="array" ref="G4298">_xlfn.XLOOKUP(A4299,Product!A:A,Product!D:D,"Bulunamadı")</f>
        <v>Irongrove House</v>
      </c>
      <c r="H4298" s="2">
        <f t="array" ref="H4298">_xlfn.XLOOKUP(A4300,Product!A:A,Product!E:E,"Bulunamadı")</f>
        <v>3.03</v>
      </c>
      <c r="I4298" s="2" t="str">
        <f t="shared" si="1"/>
        <v>76465 - Law - Banking</v>
      </c>
      <c r="J4298" s="2">
        <f t="shared" si="2"/>
        <v>115.14</v>
      </c>
      <c r="K4298" s="17">
        <f t="shared" si="3"/>
        <v>1</v>
      </c>
      <c r="L4298" s="18"/>
    </row>
    <row r="4299" hidden="1">
      <c r="A4299" s="2">
        <f>IFERROR(__xludf.DUMMYFUNCTION("""COMPUTED_VALUE"""),68329.0)</f>
        <v>68329</v>
      </c>
      <c r="B4299" s="2">
        <f>IFERROR(__xludf.DUMMYFUNCTION("""COMPUTED_VALUE"""),0.0)</f>
        <v>0</v>
      </c>
      <c r="C4299" s="2">
        <f>IFERROR(__xludf.DUMMYFUNCTION("""COMPUTED_VALUE"""),770.0)</f>
        <v>770</v>
      </c>
      <c r="D4299" s="3">
        <f>IFERROR(__xludf.DUMMYFUNCTION("""COMPUTED_VALUE"""),64.0)</f>
        <v>64</v>
      </c>
      <c r="E4299" s="1" t="str">
        <f t="array" ref="E4299">_xlfn.XLOOKUP(A4299,Product!A:A,Product!B:B,"Bulunamadı")</f>
        <v>Law</v>
      </c>
      <c r="F4299" s="1" t="str">
        <f t="array" ref="F4299">_xlfn.XLOOKUP(A4299,Product!A:A,Product!C:C,"Bulunamadı")</f>
        <v>Banking</v>
      </c>
      <c r="G4299" s="2" t="str">
        <f t="array" ref="G4299">_xlfn.XLOOKUP(A4300,Product!A:A,Product!D:D,"Bulunamadı")</f>
        <v>Irongrove House</v>
      </c>
      <c r="H4299" s="2">
        <f t="array" ref="H4299">_xlfn.XLOOKUP(A4301,Product!A:A,Product!E:E,"Bulunamadı")</f>
        <v>1.28</v>
      </c>
      <c r="I4299" s="2" t="str">
        <f t="shared" si="1"/>
        <v>68329 - Law - Banking</v>
      </c>
      <c r="J4299" s="2">
        <f t="shared" si="2"/>
        <v>81.92</v>
      </c>
      <c r="K4299" s="17">
        <f t="shared" si="3"/>
        <v>1</v>
      </c>
      <c r="L4299" s="18"/>
    </row>
    <row r="4300" hidden="1">
      <c r="A4300" s="2">
        <f>IFERROR(__xludf.DUMMYFUNCTION("""COMPUTED_VALUE"""),114470.0)</f>
        <v>114470</v>
      </c>
      <c r="B4300" s="2">
        <f>IFERROR(__xludf.DUMMYFUNCTION("""COMPUTED_VALUE"""),1.0)</f>
        <v>1</v>
      </c>
      <c r="C4300" s="2">
        <f>IFERROR(__xludf.DUMMYFUNCTION("""COMPUTED_VALUE"""),849.0)</f>
        <v>849</v>
      </c>
      <c r="D4300" s="3">
        <f>IFERROR(__xludf.DUMMYFUNCTION("""COMPUTED_VALUE"""),305.0)</f>
        <v>305</v>
      </c>
      <c r="E4300" s="1" t="str">
        <f t="array" ref="E4300">_xlfn.XLOOKUP(A4300,Product!A:A,Product!B:B,"Bulunamadı")</f>
        <v>Law</v>
      </c>
      <c r="F4300" s="1" t="str">
        <f t="array" ref="F4300">_xlfn.XLOOKUP(A4300,Product!A:A,Product!C:C,"Bulunamadı")</f>
        <v>Banking</v>
      </c>
      <c r="G4300" s="2" t="str">
        <f t="array" ref="G4300">_xlfn.XLOOKUP(A4301,Product!A:A,Product!D:D,"Bulunamadı")</f>
        <v>Irongrove House</v>
      </c>
      <c r="H4300" s="2">
        <f t="array" ref="H4300">_xlfn.XLOOKUP(A4302,Product!A:A,Product!E:E,"Bulunamadı")</f>
        <v>0.68</v>
      </c>
      <c r="I4300" s="2" t="str">
        <f t="shared" si="1"/>
        <v>114470 - Law - Banking</v>
      </c>
      <c r="J4300" s="2">
        <f t="shared" si="2"/>
        <v>207.4</v>
      </c>
      <c r="K4300" s="17">
        <f t="shared" si="3"/>
        <v>1</v>
      </c>
      <c r="L4300" s="18"/>
    </row>
    <row r="4301" hidden="1">
      <c r="A4301" s="2">
        <f>IFERROR(__xludf.DUMMYFUNCTION("""COMPUTED_VALUE"""),110568.0)</f>
        <v>110568</v>
      </c>
      <c r="B4301" s="2">
        <f>IFERROR(__xludf.DUMMYFUNCTION("""COMPUTED_VALUE"""),1.0)</f>
        <v>1</v>
      </c>
      <c r="C4301" s="2">
        <f>IFERROR(__xludf.DUMMYFUNCTION("""COMPUTED_VALUE"""),787.0)</f>
        <v>787</v>
      </c>
      <c r="D4301" s="3">
        <f>IFERROR(__xludf.DUMMYFUNCTION("""COMPUTED_VALUE"""),296.0)</f>
        <v>296</v>
      </c>
      <c r="E4301" s="1" t="str">
        <f t="array" ref="E4301">_xlfn.XLOOKUP(A4301,Product!A:A,Product!B:B,"Bulunamadı")</f>
        <v>Law</v>
      </c>
      <c r="F4301" s="1" t="str">
        <f t="array" ref="F4301">_xlfn.XLOOKUP(A4301,Product!A:A,Product!C:C,"Bulunamadı")</f>
        <v>Banking</v>
      </c>
      <c r="G4301" s="2" t="str">
        <f t="array" ref="G4301">_xlfn.XLOOKUP(A4302,Product!A:A,Product!D:D,"Bulunamadı")</f>
        <v>Irongrove House</v>
      </c>
      <c r="H4301" s="2">
        <f t="array" ref="H4301">_xlfn.XLOOKUP(A4303,Product!A:A,Product!E:E,"Bulunamadı")</f>
        <v>1.27</v>
      </c>
      <c r="I4301" s="2" t="str">
        <f t="shared" si="1"/>
        <v>110568 - Law - Banking</v>
      </c>
      <c r="J4301" s="2">
        <f t="shared" si="2"/>
        <v>375.92</v>
      </c>
      <c r="K4301" s="17">
        <f t="shared" si="3"/>
        <v>1</v>
      </c>
      <c r="L4301" s="18"/>
    </row>
    <row r="4302" hidden="1">
      <c r="A4302" s="2">
        <f>IFERROR(__xludf.DUMMYFUNCTION("""COMPUTED_VALUE"""),76470.0)</f>
        <v>76470</v>
      </c>
      <c r="B4302" s="2">
        <f>IFERROR(__xludf.DUMMYFUNCTION("""COMPUTED_VALUE"""),0.0)</f>
        <v>0</v>
      </c>
      <c r="C4302" s="2">
        <f>IFERROR(__xludf.DUMMYFUNCTION("""COMPUTED_VALUE"""),75.0)</f>
        <v>75</v>
      </c>
      <c r="D4302" s="3">
        <f>IFERROR(__xludf.DUMMYFUNCTION("""COMPUTED_VALUE"""),21.0)</f>
        <v>21</v>
      </c>
      <c r="E4302" s="1" t="str">
        <f t="array" ref="E4302">_xlfn.XLOOKUP(A4302,Product!A:A,Product!B:B,"Bulunamadı")</f>
        <v>Law</v>
      </c>
      <c r="F4302" s="1" t="str">
        <f t="array" ref="F4302">_xlfn.XLOOKUP(A4302,Product!A:A,Product!C:C,"Bulunamadı")</f>
        <v>Banking</v>
      </c>
      <c r="G4302" s="2" t="str">
        <f t="array" ref="G4302">_xlfn.XLOOKUP(A4303,Product!A:A,Product!D:D,"Bulunamadı")</f>
        <v>Irongrove House</v>
      </c>
      <c r="H4302" s="2">
        <f t="array" ref="H4302">_xlfn.XLOOKUP(A4304,Product!A:A,Product!E:E,"Bulunamadı")</f>
        <v>1.5</v>
      </c>
      <c r="I4302" s="2" t="str">
        <f t="shared" si="1"/>
        <v>76470 - Law - Banking</v>
      </c>
      <c r="J4302" s="2">
        <f t="shared" si="2"/>
        <v>31.5</v>
      </c>
      <c r="K4302" s="17">
        <f t="shared" si="3"/>
        <v>1</v>
      </c>
      <c r="L4302" s="18"/>
    </row>
    <row r="4303" hidden="1">
      <c r="A4303" s="2">
        <f>IFERROR(__xludf.DUMMYFUNCTION("""COMPUTED_VALUE"""),5604.0)</f>
        <v>5604</v>
      </c>
      <c r="B4303" s="2">
        <f>IFERROR(__xludf.DUMMYFUNCTION("""COMPUTED_VALUE"""),1.0)</f>
        <v>1</v>
      </c>
      <c r="C4303" s="2">
        <f>IFERROR(__xludf.DUMMYFUNCTION("""COMPUTED_VALUE"""),190.0)</f>
        <v>190</v>
      </c>
      <c r="D4303" s="3">
        <f>IFERROR(__xludf.DUMMYFUNCTION("""COMPUTED_VALUE"""),11.0)</f>
        <v>11</v>
      </c>
      <c r="E4303" s="1" t="str">
        <f t="array" ref="E4303">_xlfn.XLOOKUP(A4303,Product!A:A,Product!B:B,"Bulunamadı")</f>
        <v>Law</v>
      </c>
      <c r="F4303" s="1" t="str">
        <f t="array" ref="F4303">_xlfn.XLOOKUP(A4303,Product!A:A,Product!C:C,"Bulunamadı")</f>
        <v>Banking</v>
      </c>
      <c r="G4303" s="2" t="str">
        <f t="array" ref="G4303">_xlfn.XLOOKUP(A4304,Product!A:A,Product!D:D,"Bulunamadı")</f>
        <v>Irongrove House</v>
      </c>
      <c r="H4303" s="2">
        <f t="array" ref="H4303">_xlfn.XLOOKUP(A4305,Product!A:A,Product!E:E,"Bulunamadı")</f>
        <v>1.25</v>
      </c>
      <c r="I4303" s="2" t="str">
        <f t="shared" si="1"/>
        <v>5604 - Law - Banking</v>
      </c>
      <c r="J4303" s="2">
        <f t="shared" si="2"/>
        <v>13.75</v>
      </c>
      <c r="K4303" s="17">
        <f t="shared" si="3"/>
        <v>1</v>
      </c>
      <c r="L4303" s="18"/>
    </row>
    <row r="4304" hidden="1">
      <c r="A4304" s="2">
        <f>IFERROR(__xludf.DUMMYFUNCTION("""COMPUTED_VALUE"""),28613.0)</f>
        <v>28613</v>
      </c>
      <c r="B4304" s="2">
        <f>IFERROR(__xludf.DUMMYFUNCTION("""COMPUTED_VALUE"""),1.0)</f>
        <v>1</v>
      </c>
      <c r="C4304" s="2">
        <f>IFERROR(__xludf.DUMMYFUNCTION("""COMPUTED_VALUE"""),617.0)</f>
        <v>617</v>
      </c>
      <c r="D4304" s="3">
        <f>IFERROR(__xludf.DUMMYFUNCTION("""COMPUTED_VALUE"""),443.0)</f>
        <v>443</v>
      </c>
      <c r="E4304" s="1" t="str">
        <f t="array" ref="E4304">_xlfn.XLOOKUP(A4304,Product!A:A,Product!B:B,"Bulunamadı")</f>
        <v>Law</v>
      </c>
      <c r="F4304" s="1" t="str">
        <f t="array" ref="F4304">_xlfn.XLOOKUP(A4304,Product!A:A,Product!C:C,"Bulunamadı")</f>
        <v>Banking</v>
      </c>
      <c r="G4304" s="2" t="str">
        <f t="array" ref="G4304">_xlfn.XLOOKUP(A4305,Product!A:A,Product!D:D,"Bulunamadı")</f>
        <v>Irongrove House</v>
      </c>
      <c r="H4304" s="2">
        <f t="array" ref="H4304">_xlfn.XLOOKUP(A4306,Product!A:A,Product!E:E,"Bulunamadı")</f>
        <v>1.19</v>
      </c>
      <c r="I4304" s="2" t="str">
        <f t="shared" si="1"/>
        <v>28613 - Law - Banking</v>
      </c>
      <c r="J4304" s="2">
        <f t="shared" si="2"/>
        <v>527.17</v>
      </c>
      <c r="K4304" s="17">
        <f t="shared" si="3"/>
        <v>1</v>
      </c>
      <c r="L4304" s="18"/>
    </row>
    <row r="4305" hidden="1">
      <c r="A4305" s="2">
        <f>IFERROR(__xludf.DUMMYFUNCTION("""COMPUTED_VALUE"""),159402.0)</f>
        <v>159402</v>
      </c>
      <c r="B4305" s="2">
        <f>IFERROR(__xludf.DUMMYFUNCTION("""COMPUTED_VALUE"""),0.0)</f>
        <v>0</v>
      </c>
      <c r="C4305" s="2">
        <f>IFERROR(__xludf.DUMMYFUNCTION("""COMPUTED_VALUE"""),228.0)</f>
        <v>228</v>
      </c>
      <c r="D4305" s="3">
        <f>IFERROR(__xludf.DUMMYFUNCTION("""COMPUTED_VALUE"""),58.0)</f>
        <v>58</v>
      </c>
      <c r="E4305" s="1" t="str">
        <f t="array" ref="E4305">_xlfn.XLOOKUP(A4305,Product!A:A,Product!B:B,"Bulunamadı")</f>
        <v>Law</v>
      </c>
      <c r="F4305" s="1" t="str">
        <f t="array" ref="F4305">_xlfn.XLOOKUP(A4305,Product!A:A,Product!C:C,"Bulunamadı")</f>
        <v>Banking</v>
      </c>
      <c r="G4305" s="2" t="str">
        <f t="array" ref="G4305">_xlfn.XLOOKUP(A4306,Product!A:A,Product!D:D,"Bulunamadı")</f>
        <v>Irongrove House</v>
      </c>
      <c r="H4305" s="2">
        <f t="array" ref="H4305">_xlfn.XLOOKUP(A4307,Product!A:A,Product!E:E,"Bulunamadı")</f>
        <v>1.36</v>
      </c>
      <c r="I4305" s="2" t="str">
        <f t="shared" si="1"/>
        <v>159402 - Law - Banking</v>
      </c>
      <c r="J4305" s="2">
        <f t="shared" si="2"/>
        <v>78.88</v>
      </c>
      <c r="K4305" s="17">
        <f t="shared" si="3"/>
        <v>1</v>
      </c>
      <c r="L4305" s="18"/>
    </row>
    <row r="4306" hidden="1">
      <c r="A4306" s="2">
        <f>IFERROR(__xludf.DUMMYFUNCTION("""COMPUTED_VALUE"""),68379.0)</f>
        <v>68379</v>
      </c>
      <c r="B4306" s="2">
        <f>IFERROR(__xludf.DUMMYFUNCTION("""COMPUTED_VALUE"""),0.0)</f>
        <v>0</v>
      </c>
      <c r="C4306" s="2">
        <f>IFERROR(__xludf.DUMMYFUNCTION("""COMPUTED_VALUE"""),592.0)</f>
        <v>592</v>
      </c>
      <c r="D4306" s="3">
        <f>IFERROR(__xludf.DUMMYFUNCTION("""COMPUTED_VALUE"""),162.0)</f>
        <v>162</v>
      </c>
      <c r="E4306" s="1" t="str">
        <f t="array" ref="E4306">_xlfn.XLOOKUP(A4306,Product!A:A,Product!B:B,"Bulunamadı")</f>
        <v>Law</v>
      </c>
      <c r="F4306" s="1" t="str">
        <f t="array" ref="F4306">_xlfn.XLOOKUP(A4306,Product!A:A,Product!C:C,"Bulunamadı")</f>
        <v>Banking</v>
      </c>
      <c r="G4306" s="2" t="str">
        <f t="array" ref="G4306">_xlfn.XLOOKUP(A4307,Product!A:A,Product!D:D,"Bulunamadı")</f>
        <v>Irongrove House</v>
      </c>
      <c r="H4306" s="2">
        <f t="array" ref="H4306">_xlfn.XLOOKUP(A4308,Product!A:A,Product!E:E,"Bulunamadı")</f>
        <v>5.96</v>
      </c>
      <c r="I4306" s="2" t="str">
        <f t="shared" si="1"/>
        <v>68379 - Law - Banking</v>
      </c>
      <c r="J4306" s="2">
        <f t="shared" si="2"/>
        <v>965.52</v>
      </c>
      <c r="K4306" s="17">
        <f t="shared" si="3"/>
        <v>1</v>
      </c>
      <c r="L4306" s="18"/>
    </row>
    <row r="4307" hidden="1">
      <c r="A4307" s="2">
        <f>IFERROR(__xludf.DUMMYFUNCTION("""COMPUTED_VALUE"""),91069.0)</f>
        <v>91069</v>
      </c>
      <c r="B4307" s="2">
        <f>IFERROR(__xludf.DUMMYFUNCTION("""COMPUTED_VALUE"""),0.0)</f>
        <v>0</v>
      </c>
      <c r="C4307" s="2">
        <f>IFERROR(__xludf.DUMMYFUNCTION("""COMPUTED_VALUE"""),428.0)</f>
        <v>428</v>
      </c>
      <c r="D4307" s="3">
        <f>IFERROR(__xludf.DUMMYFUNCTION("""COMPUTED_VALUE"""),154.0)</f>
        <v>154</v>
      </c>
      <c r="E4307" s="1" t="str">
        <f t="array" ref="E4307">_xlfn.XLOOKUP(A4307,Product!A:A,Product!B:B,"Bulunamadı")</f>
        <v>Law</v>
      </c>
      <c r="F4307" s="1" t="str">
        <f t="array" ref="F4307">_xlfn.XLOOKUP(A4307,Product!A:A,Product!C:C,"Bulunamadı")</f>
        <v>Banking</v>
      </c>
      <c r="G4307" s="2" t="str">
        <f t="array" ref="G4307">_xlfn.XLOOKUP(A4308,Product!A:A,Product!D:D,"Bulunamadı")</f>
        <v>Irongrove House</v>
      </c>
      <c r="H4307" s="2">
        <f t="array" ref="H4307">_xlfn.XLOOKUP(A4309,Product!A:A,Product!E:E,"Bulunamadı")</f>
        <v>0.95</v>
      </c>
      <c r="I4307" s="2" t="str">
        <f t="shared" si="1"/>
        <v>91069 - Law - Banking</v>
      </c>
      <c r="J4307" s="2">
        <f t="shared" si="2"/>
        <v>146.3</v>
      </c>
      <c r="K4307" s="17">
        <f t="shared" si="3"/>
        <v>1</v>
      </c>
      <c r="L4307" s="18"/>
    </row>
    <row r="4308" hidden="1">
      <c r="A4308" s="2">
        <f>IFERROR(__xludf.DUMMYFUNCTION("""COMPUTED_VALUE"""),91060.0)</f>
        <v>91060</v>
      </c>
      <c r="B4308" s="2">
        <f>IFERROR(__xludf.DUMMYFUNCTION("""COMPUTED_VALUE"""),0.0)</f>
        <v>0</v>
      </c>
      <c r="C4308" s="2">
        <f>IFERROR(__xludf.DUMMYFUNCTION("""COMPUTED_VALUE"""),437.0)</f>
        <v>437</v>
      </c>
      <c r="D4308" s="3">
        <f>IFERROR(__xludf.DUMMYFUNCTION("""COMPUTED_VALUE"""),26.0)</f>
        <v>26</v>
      </c>
      <c r="E4308" s="1" t="str">
        <f t="array" ref="E4308">_xlfn.XLOOKUP(A4308,Product!A:A,Product!B:B,"Bulunamadı")</f>
        <v>Law</v>
      </c>
      <c r="F4308" s="1" t="str">
        <f t="array" ref="F4308">_xlfn.XLOOKUP(A4308,Product!A:A,Product!C:C,"Bulunamadı")</f>
        <v>Banking</v>
      </c>
      <c r="G4308" s="2" t="str">
        <f t="array" ref="G4308">_xlfn.XLOOKUP(A4309,Product!A:A,Product!D:D,"Bulunamadı")</f>
        <v>Irongrove House</v>
      </c>
      <c r="H4308" s="2">
        <f t="array" ref="H4308">_xlfn.XLOOKUP(A4310,Product!A:A,Product!E:E,"Bulunamadı")</f>
        <v>0.98</v>
      </c>
      <c r="I4308" s="2" t="str">
        <f t="shared" si="1"/>
        <v>91060 - Law - Banking</v>
      </c>
      <c r="J4308" s="2">
        <f t="shared" si="2"/>
        <v>25.48</v>
      </c>
      <c r="K4308" s="17">
        <f t="shared" si="3"/>
        <v>1</v>
      </c>
      <c r="L4308" s="18"/>
    </row>
    <row r="4309" hidden="1">
      <c r="A4309" s="2">
        <f>IFERROR(__xludf.DUMMYFUNCTION("""COMPUTED_VALUE"""),182274.0)</f>
        <v>182274</v>
      </c>
      <c r="B4309" s="2">
        <f>IFERROR(__xludf.DUMMYFUNCTION("""COMPUTED_VALUE"""),0.0)</f>
        <v>0</v>
      </c>
      <c r="C4309" s="2">
        <f>IFERROR(__xludf.DUMMYFUNCTION("""COMPUTED_VALUE"""),416.0)</f>
        <v>416</v>
      </c>
      <c r="D4309" s="3">
        <f>IFERROR(__xludf.DUMMYFUNCTION("""COMPUTED_VALUE"""),230.0)</f>
        <v>230</v>
      </c>
      <c r="E4309" s="1" t="str">
        <f t="array" ref="E4309">_xlfn.XLOOKUP(A4309,Product!A:A,Product!B:B,"Bulunamadı")</f>
        <v>Law</v>
      </c>
      <c r="F4309" s="1" t="str">
        <f t="array" ref="F4309">_xlfn.XLOOKUP(A4309,Product!A:A,Product!C:C,"Bulunamadı")</f>
        <v>Banking</v>
      </c>
      <c r="G4309" s="2" t="str">
        <f t="array" ref="G4309">_xlfn.XLOOKUP(A4310,Product!A:A,Product!D:D,"Bulunamadı")</f>
        <v>Irongrove House</v>
      </c>
      <c r="H4309" s="2">
        <f t="array" ref="H4309">_xlfn.XLOOKUP(A4311,Product!A:A,Product!E:E,"Bulunamadı")</f>
        <v>4.72</v>
      </c>
      <c r="I4309" s="2" t="str">
        <f t="shared" si="1"/>
        <v>182274 - Law - Banking</v>
      </c>
      <c r="J4309" s="2">
        <f t="shared" si="2"/>
        <v>1085.6</v>
      </c>
      <c r="K4309" s="17">
        <f t="shared" si="3"/>
        <v>1</v>
      </c>
      <c r="L4309" s="18"/>
    </row>
    <row r="4310" hidden="1">
      <c r="A4310" s="2">
        <f>IFERROR(__xludf.DUMMYFUNCTION("""COMPUTED_VALUE"""),110566.0)</f>
        <v>110566</v>
      </c>
      <c r="B4310" s="2">
        <f>IFERROR(__xludf.DUMMYFUNCTION("""COMPUTED_VALUE"""),1.0)</f>
        <v>1</v>
      </c>
      <c r="C4310" s="2">
        <f>IFERROR(__xludf.DUMMYFUNCTION("""COMPUTED_VALUE"""),587.0)</f>
        <v>587</v>
      </c>
      <c r="D4310" s="3">
        <f>IFERROR(__xludf.DUMMYFUNCTION("""COMPUTED_VALUE"""),258.0)</f>
        <v>258</v>
      </c>
      <c r="E4310" s="1" t="str">
        <f t="array" ref="E4310">_xlfn.XLOOKUP(A4310,Product!A:A,Product!B:B,"Bulunamadı")</f>
        <v>Law</v>
      </c>
      <c r="F4310" s="1" t="str">
        <f t="array" ref="F4310">_xlfn.XLOOKUP(A4310,Product!A:A,Product!C:C,"Bulunamadı")</f>
        <v>Banking</v>
      </c>
      <c r="G4310" s="2" t="str">
        <f t="array" ref="G4310">_xlfn.XLOOKUP(A4311,Product!A:A,Product!D:D,"Bulunamadı")</f>
        <v>Irongrove House</v>
      </c>
      <c r="H4310" s="2">
        <f t="array" ref="H4310">_xlfn.XLOOKUP(A4312,Product!A:A,Product!E:E,"Bulunamadı")</f>
        <v>1.7</v>
      </c>
      <c r="I4310" s="2" t="str">
        <f t="shared" si="1"/>
        <v>110566 - Law - Banking</v>
      </c>
      <c r="J4310" s="2">
        <f t="shared" si="2"/>
        <v>438.6</v>
      </c>
      <c r="K4310" s="17">
        <f t="shared" si="3"/>
        <v>1</v>
      </c>
      <c r="L4310" s="18"/>
    </row>
    <row r="4311" hidden="1">
      <c r="A4311" s="2">
        <f>IFERROR(__xludf.DUMMYFUNCTION("""COMPUTED_VALUE"""),78877.0)</f>
        <v>78877</v>
      </c>
      <c r="B4311" s="2">
        <f>IFERROR(__xludf.DUMMYFUNCTION("""COMPUTED_VALUE"""),0.0)</f>
        <v>0</v>
      </c>
      <c r="C4311" s="2">
        <f>IFERROR(__xludf.DUMMYFUNCTION("""COMPUTED_VALUE"""),373.0)</f>
        <v>373</v>
      </c>
      <c r="D4311" s="3">
        <f>IFERROR(__xludf.DUMMYFUNCTION("""COMPUTED_VALUE"""),65.0)</f>
        <v>65</v>
      </c>
      <c r="E4311" s="1" t="str">
        <f t="array" ref="E4311">_xlfn.XLOOKUP(A4311,Product!A:A,Product!B:B,"Bulunamadı")</f>
        <v>Law</v>
      </c>
      <c r="F4311" s="1" t="str">
        <f t="array" ref="F4311">_xlfn.XLOOKUP(A4311,Product!A:A,Product!C:C,"Bulunamadı")</f>
        <v>Banking</v>
      </c>
      <c r="G4311" s="2" t="str">
        <f t="array" ref="G4311">_xlfn.XLOOKUP(A4312,Product!A:A,Product!D:D,"Bulunamadı")</f>
        <v>Irongrove House</v>
      </c>
      <c r="H4311" s="2">
        <f t="array" ref="H4311">_xlfn.XLOOKUP(A4313,Product!A:A,Product!E:E,"Bulunamadı")</f>
        <v>1.27</v>
      </c>
      <c r="I4311" s="2" t="str">
        <f t="shared" si="1"/>
        <v>78877 - Law - Banking</v>
      </c>
      <c r="J4311" s="2">
        <f t="shared" si="2"/>
        <v>82.55</v>
      </c>
      <c r="K4311" s="17">
        <f t="shared" si="3"/>
        <v>1</v>
      </c>
      <c r="L4311" s="18"/>
    </row>
    <row r="4312" hidden="1">
      <c r="A4312" s="2">
        <f>IFERROR(__xludf.DUMMYFUNCTION("""COMPUTED_VALUE"""),5490.0)</f>
        <v>5490</v>
      </c>
      <c r="B4312" s="2">
        <f>IFERROR(__xludf.DUMMYFUNCTION("""COMPUTED_VALUE"""),1.0)</f>
        <v>1</v>
      </c>
      <c r="C4312" s="2">
        <f>IFERROR(__xludf.DUMMYFUNCTION("""COMPUTED_VALUE"""),638.0)</f>
        <v>638</v>
      </c>
      <c r="D4312" s="3">
        <f>IFERROR(__xludf.DUMMYFUNCTION("""COMPUTED_VALUE"""),244.0)</f>
        <v>244</v>
      </c>
      <c r="E4312" s="1" t="str">
        <f t="array" ref="E4312">_xlfn.XLOOKUP(A4312,Product!A:A,Product!B:B,"Bulunamadı")</f>
        <v>Law</v>
      </c>
      <c r="F4312" s="1" t="str">
        <f t="array" ref="F4312">_xlfn.XLOOKUP(A4312,Product!A:A,Product!C:C,"Bulunamadı")</f>
        <v>Banking</v>
      </c>
      <c r="G4312" s="2" t="str">
        <f t="array" ref="G4312">_xlfn.XLOOKUP(A4313,Product!A:A,Product!D:D,"Bulunamadı")</f>
        <v>Irongrove House</v>
      </c>
      <c r="H4312" s="2">
        <f t="array" ref="H4312">_xlfn.XLOOKUP(A4314,Product!A:A,Product!E:E,"Bulunamadı")</f>
        <v>2.38</v>
      </c>
      <c r="I4312" s="2" t="str">
        <f t="shared" si="1"/>
        <v>5490 - Law - Banking</v>
      </c>
      <c r="J4312" s="2">
        <f t="shared" si="2"/>
        <v>580.72</v>
      </c>
      <c r="K4312" s="17">
        <f t="shared" si="3"/>
        <v>1</v>
      </c>
      <c r="L4312" s="18"/>
    </row>
    <row r="4313" hidden="1">
      <c r="A4313" s="2">
        <f>IFERROR(__xludf.DUMMYFUNCTION("""COMPUTED_VALUE"""),68382.0)</f>
        <v>68382</v>
      </c>
      <c r="B4313" s="2">
        <f>IFERROR(__xludf.DUMMYFUNCTION("""COMPUTED_VALUE"""),0.0)</f>
        <v>0</v>
      </c>
      <c r="C4313" s="2">
        <f>IFERROR(__xludf.DUMMYFUNCTION("""COMPUTED_VALUE"""),450.0)</f>
        <v>450</v>
      </c>
      <c r="D4313" s="3">
        <f>IFERROR(__xludf.DUMMYFUNCTION("""COMPUTED_VALUE"""),168.0)</f>
        <v>168</v>
      </c>
      <c r="E4313" s="1" t="str">
        <f t="array" ref="E4313">_xlfn.XLOOKUP(A4313,Product!A:A,Product!B:B,"Bulunamadı")</f>
        <v>Law</v>
      </c>
      <c r="F4313" s="1" t="str">
        <f t="array" ref="F4313">_xlfn.XLOOKUP(A4313,Product!A:A,Product!C:C,"Bulunamadı")</f>
        <v>Banking</v>
      </c>
      <c r="G4313" s="2" t="str">
        <f t="array" ref="G4313">_xlfn.XLOOKUP(A4314,Product!A:A,Product!D:D,"Bulunamadı")</f>
        <v>Irongrove House</v>
      </c>
      <c r="H4313" s="2">
        <f t="array" ref="H4313">_xlfn.XLOOKUP(A4315,Product!A:A,Product!E:E,"Bulunamadı")</f>
        <v>1.12</v>
      </c>
      <c r="I4313" s="2" t="str">
        <f t="shared" si="1"/>
        <v>68382 - Law - Banking</v>
      </c>
      <c r="J4313" s="2">
        <f t="shared" si="2"/>
        <v>188.16</v>
      </c>
      <c r="K4313" s="17">
        <f t="shared" si="3"/>
        <v>1</v>
      </c>
      <c r="L4313" s="18"/>
    </row>
    <row r="4314" hidden="1">
      <c r="A4314" s="2">
        <f>IFERROR(__xludf.DUMMYFUNCTION("""COMPUTED_VALUE"""),114663.0)</f>
        <v>114663</v>
      </c>
      <c r="B4314" s="2">
        <f>IFERROR(__xludf.DUMMYFUNCTION("""COMPUTED_VALUE"""),0.0)</f>
        <v>0</v>
      </c>
      <c r="C4314" s="2">
        <f>IFERROR(__xludf.DUMMYFUNCTION("""COMPUTED_VALUE"""),296.0)</f>
        <v>296</v>
      </c>
      <c r="D4314" s="3">
        <f>IFERROR(__xludf.DUMMYFUNCTION("""COMPUTED_VALUE"""),48.0)</f>
        <v>48</v>
      </c>
      <c r="E4314" s="1" t="str">
        <f t="array" ref="E4314">_xlfn.XLOOKUP(A4314,Product!A:A,Product!B:B,"Bulunamadı")</f>
        <v>Law</v>
      </c>
      <c r="F4314" s="1" t="str">
        <f t="array" ref="F4314">_xlfn.XLOOKUP(A4314,Product!A:A,Product!C:C,"Bulunamadı")</f>
        <v>Banking</v>
      </c>
      <c r="G4314" s="2" t="str">
        <f t="array" ref="G4314">_xlfn.XLOOKUP(A4315,Product!A:A,Product!D:D,"Bulunamadı")</f>
        <v>Irongrove House</v>
      </c>
      <c r="H4314" s="2">
        <f t="array" ref="H4314">_xlfn.XLOOKUP(A4316,Product!A:A,Product!E:E,"Bulunamadı")</f>
        <v>1.2</v>
      </c>
      <c r="I4314" s="2" t="str">
        <f t="shared" si="1"/>
        <v>114663 - Law - Banking</v>
      </c>
      <c r="J4314" s="2">
        <f t="shared" si="2"/>
        <v>57.6</v>
      </c>
      <c r="K4314" s="17">
        <f t="shared" si="3"/>
        <v>1</v>
      </c>
      <c r="L4314" s="18"/>
    </row>
    <row r="4315" hidden="1">
      <c r="A4315" s="2">
        <f>IFERROR(__xludf.DUMMYFUNCTION("""COMPUTED_VALUE"""),76474.0)</f>
        <v>76474</v>
      </c>
      <c r="B4315" s="2">
        <f>IFERROR(__xludf.DUMMYFUNCTION("""COMPUTED_VALUE"""),1.0)</f>
        <v>1</v>
      </c>
      <c r="C4315" s="2">
        <f>IFERROR(__xludf.DUMMYFUNCTION("""COMPUTED_VALUE"""),55.0)</f>
        <v>55</v>
      </c>
      <c r="D4315" s="3">
        <f>IFERROR(__xludf.DUMMYFUNCTION("""COMPUTED_VALUE"""),52.0)</f>
        <v>52</v>
      </c>
      <c r="E4315" s="1" t="str">
        <f t="array" ref="E4315">_xlfn.XLOOKUP(A4315,Product!A:A,Product!B:B,"Bulunamadı")</f>
        <v>Law</v>
      </c>
      <c r="F4315" s="1" t="str">
        <f t="array" ref="F4315">_xlfn.XLOOKUP(A4315,Product!A:A,Product!C:C,"Bulunamadı")</f>
        <v>Banking</v>
      </c>
      <c r="G4315" s="2" t="str">
        <f t="array" ref="G4315">_xlfn.XLOOKUP(A4316,Product!A:A,Product!D:D,"Bulunamadı")</f>
        <v>Irongrove House</v>
      </c>
      <c r="H4315" s="2">
        <f t="array" ref="H4315">_xlfn.XLOOKUP(A4317,Product!A:A,Product!E:E,"Bulunamadı")</f>
        <v>2.09</v>
      </c>
      <c r="I4315" s="2" t="str">
        <f t="shared" si="1"/>
        <v>76474 - Law - Banking</v>
      </c>
      <c r="J4315" s="2">
        <f t="shared" si="2"/>
        <v>108.68</v>
      </c>
      <c r="K4315" s="17">
        <f t="shared" si="3"/>
        <v>1</v>
      </c>
      <c r="L4315" s="18"/>
    </row>
    <row r="4316" hidden="1">
      <c r="A4316" s="2">
        <f>IFERROR(__xludf.DUMMYFUNCTION("""COMPUTED_VALUE"""),76455.0)</f>
        <v>76455</v>
      </c>
      <c r="B4316" s="2">
        <f>IFERROR(__xludf.DUMMYFUNCTION("""COMPUTED_VALUE"""),1.0)</f>
        <v>1</v>
      </c>
      <c r="C4316" s="2">
        <f>IFERROR(__xludf.DUMMYFUNCTION("""COMPUTED_VALUE"""),917.0)</f>
        <v>917</v>
      </c>
      <c r="D4316" s="3">
        <f>IFERROR(__xludf.DUMMYFUNCTION("""COMPUTED_VALUE"""),581.0)</f>
        <v>581</v>
      </c>
      <c r="E4316" s="1" t="str">
        <f t="array" ref="E4316">_xlfn.XLOOKUP(A4316,Product!A:A,Product!B:B,"Bulunamadı")</f>
        <v>Law</v>
      </c>
      <c r="F4316" s="1" t="str">
        <f t="array" ref="F4316">_xlfn.XLOOKUP(A4316,Product!A:A,Product!C:C,"Bulunamadı")</f>
        <v>Banking</v>
      </c>
      <c r="G4316" s="2" t="str">
        <f t="array" ref="G4316">_xlfn.XLOOKUP(A4317,Product!A:A,Product!D:D,"Bulunamadı")</f>
        <v>Irongrove House</v>
      </c>
      <c r="H4316" s="2">
        <f t="array" ref="H4316">_xlfn.XLOOKUP(A4318,Product!A:A,Product!E:E,"Bulunamadı")</f>
        <v>2.48</v>
      </c>
      <c r="I4316" s="2" t="str">
        <f t="shared" si="1"/>
        <v>76455 - Law - Banking</v>
      </c>
      <c r="J4316" s="2">
        <f t="shared" si="2"/>
        <v>1440.88</v>
      </c>
      <c r="K4316" s="17">
        <f t="shared" si="3"/>
        <v>1</v>
      </c>
      <c r="L4316" s="18"/>
    </row>
    <row r="4317" hidden="1">
      <c r="A4317" s="2">
        <f>IFERROR(__xludf.DUMMYFUNCTION("""COMPUTED_VALUE"""),46337.0)</f>
        <v>46337</v>
      </c>
      <c r="B4317" s="2">
        <f>IFERROR(__xludf.DUMMYFUNCTION("""COMPUTED_VALUE"""),0.0)</f>
        <v>0</v>
      </c>
      <c r="C4317" s="2">
        <f>IFERROR(__xludf.DUMMYFUNCTION("""COMPUTED_VALUE"""),146.0)</f>
        <v>146</v>
      </c>
      <c r="D4317" s="3">
        <f>IFERROR(__xludf.DUMMYFUNCTION("""COMPUTED_VALUE"""),85.0)</f>
        <v>85</v>
      </c>
      <c r="E4317" s="1" t="str">
        <f t="array" ref="E4317">_xlfn.XLOOKUP(A4317,Product!A:A,Product!B:B,"Bulunamadı")</f>
        <v>Law</v>
      </c>
      <c r="F4317" s="1" t="str">
        <f t="array" ref="F4317">_xlfn.XLOOKUP(A4317,Product!A:A,Product!C:C,"Bulunamadı")</f>
        <v>Banking</v>
      </c>
      <c r="G4317" s="2" t="str">
        <f t="array" ref="G4317">_xlfn.XLOOKUP(A4318,Product!A:A,Product!D:D,"Bulunamadı")</f>
        <v>Irongrove House</v>
      </c>
      <c r="H4317" s="2">
        <f t="array" ref="H4317">_xlfn.XLOOKUP(A4319,Product!A:A,Product!E:E,"Bulunamadı")</f>
        <v>2.76</v>
      </c>
      <c r="I4317" s="2" t="str">
        <f t="shared" si="1"/>
        <v>46337 - Law - Banking</v>
      </c>
      <c r="J4317" s="2">
        <f t="shared" si="2"/>
        <v>234.6</v>
      </c>
      <c r="K4317" s="17">
        <f t="shared" si="3"/>
        <v>1</v>
      </c>
      <c r="L4317" s="18"/>
    </row>
    <row r="4318" hidden="1">
      <c r="A4318" s="2">
        <f>IFERROR(__xludf.DUMMYFUNCTION("""COMPUTED_VALUE"""),78430.0)</f>
        <v>78430</v>
      </c>
      <c r="B4318" s="2">
        <f>IFERROR(__xludf.DUMMYFUNCTION("""COMPUTED_VALUE"""),1.0)</f>
        <v>1</v>
      </c>
      <c r="C4318" s="2">
        <f>IFERROR(__xludf.DUMMYFUNCTION("""COMPUTED_VALUE"""),101.0)</f>
        <v>101</v>
      </c>
      <c r="D4318" s="3">
        <f>IFERROR(__xludf.DUMMYFUNCTION("""COMPUTED_VALUE"""),99.0)</f>
        <v>99</v>
      </c>
      <c r="E4318" s="1" t="str">
        <f t="array" ref="E4318">_xlfn.XLOOKUP(A4318,Product!A:A,Product!B:B,"Bulunamadı")</f>
        <v>Law</v>
      </c>
      <c r="F4318" s="1" t="str">
        <f t="array" ref="F4318">_xlfn.XLOOKUP(A4318,Product!A:A,Product!C:C,"Bulunamadı")</f>
        <v>Banking</v>
      </c>
      <c r="G4318" s="2" t="str">
        <f t="array" ref="G4318">_xlfn.XLOOKUP(A4319,Product!A:A,Product!D:D,"Bulunamadı")</f>
        <v>Irongrove House</v>
      </c>
      <c r="H4318" s="2">
        <f t="array" ref="H4318">_xlfn.XLOOKUP(A4320,Product!A:A,Product!E:E,"Bulunamadı")</f>
        <v>2.13</v>
      </c>
      <c r="I4318" s="2" t="str">
        <f t="shared" si="1"/>
        <v>78430 - Law - Banking</v>
      </c>
      <c r="J4318" s="2">
        <f t="shared" si="2"/>
        <v>210.87</v>
      </c>
      <c r="K4318" s="17">
        <f t="shared" si="3"/>
        <v>1</v>
      </c>
      <c r="L4318" s="18"/>
    </row>
    <row r="4319" hidden="1">
      <c r="A4319" s="2">
        <f>IFERROR(__xludf.DUMMYFUNCTION("""COMPUTED_VALUE"""),5605.0)</f>
        <v>5605</v>
      </c>
      <c r="B4319" s="2">
        <f>IFERROR(__xludf.DUMMYFUNCTION("""COMPUTED_VALUE"""),1.0)</f>
        <v>1</v>
      </c>
      <c r="C4319" s="2">
        <f>IFERROR(__xludf.DUMMYFUNCTION("""COMPUTED_VALUE"""),124.0)</f>
        <v>124</v>
      </c>
      <c r="D4319" s="3">
        <f>IFERROR(__xludf.DUMMYFUNCTION("""COMPUTED_VALUE"""),18.0)</f>
        <v>18</v>
      </c>
      <c r="E4319" s="1" t="str">
        <f t="array" ref="E4319">_xlfn.XLOOKUP(A4319,Product!A:A,Product!B:B,"Bulunamadı")</f>
        <v>Law</v>
      </c>
      <c r="F4319" s="1" t="str">
        <f t="array" ref="F4319">_xlfn.XLOOKUP(A4319,Product!A:A,Product!C:C,"Bulunamadı")</f>
        <v>Banking</v>
      </c>
      <c r="G4319" s="2" t="str">
        <f t="array" ref="G4319">_xlfn.XLOOKUP(A4320,Product!A:A,Product!D:D,"Bulunamadı")</f>
        <v>Irongrove House</v>
      </c>
      <c r="H4319" s="2">
        <f t="array" ref="H4319">_xlfn.XLOOKUP(A4321,Product!A:A,Product!E:E,"Bulunamadı")</f>
        <v>2.92</v>
      </c>
      <c r="I4319" s="2" t="str">
        <f t="shared" si="1"/>
        <v>5605 - Law - Banking</v>
      </c>
      <c r="J4319" s="2">
        <f t="shared" si="2"/>
        <v>52.56</v>
      </c>
      <c r="K4319" s="17">
        <f t="shared" si="3"/>
        <v>1</v>
      </c>
      <c r="L4319" s="18"/>
    </row>
    <row r="4320" hidden="1">
      <c r="A4320" s="2">
        <f>IFERROR(__xludf.DUMMYFUNCTION("""COMPUTED_VALUE"""),77419.0)</f>
        <v>77419</v>
      </c>
      <c r="B4320" s="2">
        <f>IFERROR(__xludf.DUMMYFUNCTION("""COMPUTED_VALUE"""),0.0)</f>
        <v>0</v>
      </c>
      <c r="C4320" s="2">
        <f>IFERROR(__xludf.DUMMYFUNCTION("""COMPUTED_VALUE"""),142.0)</f>
        <v>142</v>
      </c>
      <c r="D4320" s="3">
        <f>IFERROR(__xludf.DUMMYFUNCTION("""COMPUTED_VALUE"""),89.0)</f>
        <v>89</v>
      </c>
      <c r="E4320" s="1" t="str">
        <f t="array" ref="E4320">_xlfn.XLOOKUP(A4320,Product!A:A,Product!B:B,"Bulunamadı")</f>
        <v>Law</v>
      </c>
      <c r="F4320" s="1" t="str">
        <f t="array" ref="F4320">_xlfn.XLOOKUP(A4320,Product!A:A,Product!C:C,"Bulunamadı")</f>
        <v>Banking</v>
      </c>
      <c r="G4320" s="2" t="str">
        <f t="array" ref="G4320">_xlfn.XLOOKUP(A4321,Product!A:A,Product!D:D,"Bulunamadı")</f>
        <v>Irongrove House</v>
      </c>
      <c r="H4320" s="2">
        <f t="array" ref="H4320">_xlfn.XLOOKUP(A4322,Product!A:A,Product!E:E,"Bulunamadı")</f>
        <v>7.12</v>
      </c>
      <c r="I4320" s="2" t="str">
        <f t="shared" si="1"/>
        <v>77419 - Law - Banking</v>
      </c>
      <c r="J4320" s="2">
        <f t="shared" si="2"/>
        <v>633.68</v>
      </c>
      <c r="K4320" s="17">
        <f t="shared" si="3"/>
        <v>1</v>
      </c>
      <c r="L4320" s="18"/>
    </row>
    <row r="4321" hidden="1">
      <c r="A4321" s="2">
        <f>IFERROR(__xludf.DUMMYFUNCTION("""COMPUTED_VALUE"""),121701.0)</f>
        <v>121701</v>
      </c>
      <c r="B4321" s="2">
        <f>IFERROR(__xludf.DUMMYFUNCTION("""COMPUTED_VALUE"""),1.0)</f>
        <v>1</v>
      </c>
      <c r="C4321" s="2">
        <f>IFERROR(__xludf.DUMMYFUNCTION("""COMPUTED_VALUE"""),101.0)</f>
        <v>101</v>
      </c>
      <c r="D4321" s="3">
        <f>IFERROR(__xludf.DUMMYFUNCTION("""COMPUTED_VALUE"""),55.0)</f>
        <v>55</v>
      </c>
      <c r="E4321" s="1" t="str">
        <f t="array" ref="E4321">_xlfn.XLOOKUP(A4321,Product!A:A,Product!B:B,"Bulunamadı")</f>
        <v>Law</v>
      </c>
      <c r="F4321" s="1" t="str">
        <f t="array" ref="F4321">_xlfn.XLOOKUP(A4321,Product!A:A,Product!C:C,"Bulunamadı")</f>
        <v>Banking</v>
      </c>
      <c r="G4321" s="2" t="str">
        <f t="array" ref="G4321">_xlfn.XLOOKUP(A4322,Product!A:A,Product!D:D,"Bulunamadı")</f>
        <v>Irongrove House</v>
      </c>
      <c r="H4321" s="2">
        <f t="array" ref="H4321">_xlfn.XLOOKUP(A4323,Product!A:A,Product!E:E,"Bulunamadı")</f>
        <v>1.86</v>
      </c>
      <c r="I4321" s="2" t="str">
        <f t="shared" si="1"/>
        <v>121701 - Law - Banking</v>
      </c>
      <c r="J4321" s="2">
        <f t="shared" si="2"/>
        <v>102.3</v>
      </c>
      <c r="K4321" s="17">
        <f t="shared" si="3"/>
        <v>1</v>
      </c>
      <c r="L4321" s="18"/>
    </row>
    <row r="4322" hidden="1">
      <c r="A4322" s="2">
        <f>IFERROR(__xludf.DUMMYFUNCTION("""COMPUTED_VALUE"""),91072.0)</f>
        <v>91072</v>
      </c>
      <c r="B4322" s="2">
        <f>IFERROR(__xludf.DUMMYFUNCTION("""COMPUTED_VALUE"""),1.0)</f>
        <v>1</v>
      </c>
      <c r="C4322" s="2">
        <f>IFERROR(__xludf.DUMMYFUNCTION("""COMPUTED_VALUE"""),331.0)</f>
        <v>331</v>
      </c>
      <c r="D4322" s="3">
        <f>IFERROR(__xludf.DUMMYFUNCTION("""COMPUTED_VALUE"""),72.0)</f>
        <v>72</v>
      </c>
      <c r="E4322" s="1" t="str">
        <f t="array" ref="E4322">_xlfn.XLOOKUP(A4322,Product!A:A,Product!B:B,"Bulunamadı")</f>
        <v>Law</v>
      </c>
      <c r="F4322" s="1" t="str">
        <f t="array" ref="F4322">_xlfn.XLOOKUP(A4322,Product!A:A,Product!C:C,"Bulunamadı")</f>
        <v>Banking</v>
      </c>
      <c r="G4322" s="2" t="str">
        <f t="array" ref="G4322">_xlfn.XLOOKUP(A4323,Product!A:A,Product!D:D,"Bulunamadı")</f>
        <v>Irongrove House</v>
      </c>
      <c r="H4322" s="2">
        <f t="array" ref="H4322">_xlfn.XLOOKUP(A4324,Product!A:A,Product!E:E,"Bulunamadı")</f>
        <v>1.47</v>
      </c>
      <c r="I4322" s="2" t="str">
        <f t="shared" si="1"/>
        <v>91072 - Law - Banking</v>
      </c>
      <c r="J4322" s="2">
        <f t="shared" si="2"/>
        <v>105.84</v>
      </c>
      <c r="K4322" s="17">
        <f t="shared" si="3"/>
        <v>1</v>
      </c>
      <c r="L4322" s="18"/>
    </row>
    <row r="4323" hidden="1">
      <c r="A4323" s="2">
        <f>IFERROR(__xludf.DUMMYFUNCTION("""COMPUTED_VALUE"""),68486.0)</f>
        <v>68486</v>
      </c>
      <c r="B4323" s="2">
        <f>IFERROR(__xludf.DUMMYFUNCTION("""COMPUTED_VALUE"""),0.0)</f>
        <v>0</v>
      </c>
      <c r="C4323" s="2">
        <f>IFERROR(__xludf.DUMMYFUNCTION("""COMPUTED_VALUE"""),39.0)</f>
        <v>39</v>
      </c>
      <c r="D4323" s="3">
        <f>IFERROR(__xludf.DUMMYFUNCTION("""COMPUTED_VALUE"""),1.0)</f>
        <v>1</v>
      </c>
      <c r="E4323" s="1" t="str">
        <f t="array" ref="E4323">_xlfn.XLOOKUP(A4323,Product!A:A,Product!B:B,"Bulunamadı")</f>
        <v>Law</v>
      </c>
      <c r="F4323" s="1" t="str">
        <f t="array" ref="F4323">_xlfn.XLOOKUP(A4323,Product!A:A,Product!C:C,"Bulunamadı")</f>
        <v>Banking</v>
      </c>
      <c r="G4323" s="2" t="str">
        <f t="array" ref="G4323">_xlfn.XLOOKUP(A4324,Product!A:A,Product!D:D,"Bulunamadı")</f>
        <v>Irongrove House</v>
      </c>
      <c r="H4323" s="2">
        <f t="array" ref="H4323">_xlfn.XLOOKUP(A4325,Product!A:A,Product!E:E,"Bulunamadı")</f>
        <v>5.61</v>
      </c>
      <c r="I4323" s="2" t="str">
        <f t="shared" si="1"/>
        <v>68486 - Law - Banking</v>
      </c>
      <c r="J4323" s="2">
        <f t="shared" si="2"/>
        <v>5.61</v>
      </c>
      <c r="K4323" s="17">
        <f t="shared" si="3"/>
        <v>1</v>
      </c>
      <c r="L4323" s="18"/>
    </row>
    <row r="4324" hidden="1">
      <c r="A4324" s="2">
        <f>IFERROR(__xludf.DUMMYFUNCTION("""COMPUTED_VALUE"""),110576.0)</f>
        <v>110576</v>
      </c>
      <c r="B4324" s="2">
        <f>IFERROR(__xludf.DUMMYFUNCTION("""COMPUTED_VALUE"""),0.0)</f>
        <v>0</v>
      </c>
      <c r="C4324" s="2">
        <f>IFERROR(__xludf.DUMMYFUNCTION("""COMPUTED_VALUE"""),547.0)</f>
        <v>547</v>
      </c>
      <c r="D4324" s="3">
        <f>IFERROR(__xludf.DUMMYFUNCTION("""COMPUTED_VALUE"""),394.0)</f>
        <v>394</v>
      </c>
      <c r="E4324" s="1" t="str">
        <f t="array" ref="E4324">_xlfn.XLOOKUP(A4324,Product!A:A,Product!B:B,"Bulunamadı")</f>
        <v>Law</v>
      </c>
      <c r="F4324" s="1" t="str">
        <f t="array" ref="F4324">_xlfn.XLOOKUP(A4324,Product!A:A,Product!C:C,"Bulunamadı")</f>
        <v>Banking</v>
      </c>
      <c r="G4324" s="2" t="str">
        <f t="array" ref="G4324">_xlfn.XLOOKUP(A4325,Product!A:A,Product!D:D,"Bulunamadı")</f>
        <v>Irongrove House</v>
      </c>
      <c r="H4324" s="2">
        <f t="array" ref="H4324">_xlfn.XLOOKUP(A4326,Product!A:A,Product!E:E,"Bulunamadı")</f>
        <v>1.48</v>
      </c>
      <c r="I4324" s="2" t="str">
        <f t="shared" si="1"/>
        <v>110576 - Law - Banking</v>
      </c>
      <c r="J4324" s="2">
        <f t="shared" si="2"/>
        <v>583.12</v>
      </c>
      <c r="K4324" s="17">
        <f t="shared" si="3"/>
        <v>1</v>
      </c>
      <c r="L4324" s="18"/>
    </row>
    <row r="4325" hidden="1">
      <c r="A4325" s="2">
        <f>IFERROR(__xludf.DUMMYFUNCTION("""COMPUTED_VALUE"""),78503.0)</f>
        <v>78503</v>
      </c>
      <c r="B4325" s="2">
        <f>IFERROR(__xludf.DUMMYFUNCTION("""COMPUTED_VALUE"""),1.0)</f>
        <v>1</v>
      </c>
      <c r="C4325" s="2">
        <f>IFERROR(__xludf.DUMMYFUNCTION("""COMPUTED_VALUE"""),652.0)</f>
        <v>652</v>
      </c>
      <c r="D4325" s="3">
        <f>IFERROR(__xludf.DUMMYFUNCTION("""COMPUTED_VALUE"""),42.0)</f>
        <v>42</v>
      </c>
      <c r="E4325" s="1" t="str">
        <f t="array" ref="E4325">_xlfn.XLOOKUP(A4325,Product!A:A,Product!B:B,"Bulunamadı")</f>
        <v>Law</v>
      </c>
      <c r="F4325" s="1" t="str">
        <f t="array" ref="F4325">_xlfn.XLOOKUP(A4325,Product!A:A,Product!C:C,"Bulunamadı")</f>
        <v>Banking</v>
      </c>
      <c r="G4325" s="2" t="str">
        <f t="array" ref="G4325">_xlfn.XLOOKUP(A4326,Product!A:A,Product!D:D,"Bulunamadı")</f>
        <v>Irongrove House</v>
      </c>
      <c r="H4325" s="2">
        <f t="array" ref="H4325">_xlfn.XLOOKUP(A4327,Product!A:A,Product!E:E,"Bulunamadı")</f>
        <v>0.75</v>
      </c>
      <c r="I4325" s="2" t="str">
        <f t="shared" si="1"/>
        <v>78503 - Law - Banking</v>
      </c>
      <c r="J4325" s="2">
        <f t="shared" si="2"/>
        <v>31.5</v>
      </c>
      <c r="K4325" s="17">
        <f t="shared" si="3"/>
        <v>1</v>
      </c>
      <c r="L4325" s="18"/>
    </row>
    <row r="4326" hidden="1">
      <c r="A4326" s="2">
        <f>IFERROR(__xludf.DUMMYFUNCTION("""COMPUTED_VALUE"""),77439.0)</f>
        <v>77439</v>
      </c>
      <c r="B4326" s="2">
        <f>IFERROR(__xludf.DUMMYFUNCTION("""COMPUTED_VALUE"""),1.0)</f>
        <v>1</v>
      </c>
      <c r="C4326" s="2">
        <f>IFERROR(__xludf.DUMMYFUNCTION("""COMPUTED_VALUE"""),442.0)</f>
        <v>442</v>
      </c>
      <c r="D4326" s="3">
        <f>IFERROR(__xludf.DUMMYFUNCTION("""COMPUTED_VALUE"""),242.0)</f>
        <v>242</v>
      </c>
      <c r="E4326" s="1" t="str">
        <f t="array" ref="E4326">_xlfn.XLOOKUP(A4326,Product!A:A,Product!B:B,"Bulunamadı")</f>
        <v>Law</v>
      </c>
      <c r="F4326" s="1" t="str">
        <f t="array" ref="F4326">_xlfn.XLOOKUP(A4326,Product!A:A,Product!C:C,"Bulunamadı")</f>
        <v>Banking</v>
      </c>
      <c r="G4326" s="2" t="str">
        <f t="array" ref="G4326">_xlfn.XLOOKUP(A4327,Product!A:A,Product!D:D,"Bulunamadı")</f>
        <v>Irongrove House</v>
      </c>
      <c r="H4326" s="2">
        <f t="array" ref="H4326">_xlfn.XLOOKUP(A4328,Product!A:A,Product!E:E,"Bulunamadı")</f>
        <v>1.39</v>
      </c>
      <c r="I4326" s="2" t="str">
        <f t="shared" si="1"/>
        <v>77439 - Law - Banking</v>
      </c>
      <c r="J4326" s="2">
        <f t="shared" si="2"/>
        <v>336.38</v>
      </c>
      <c r="K4326" s="17">
        <f t="shared" si="3"/>
        <v>1</v>
      </c>
      <c r="L4326" s="18"/>
    </row>
    <row r="4327" hidden="1">
      <c r="A4327" s="2">
        <f>IFERROR(__xludf.DUMMYFUNCTION("""COMPUTED_VALUE"""),5615.0)</f>
        <v>5615</v>
      </c>
      <c r="B4327" s="2">
        <f>IFERROR(__xludf.DUMMYFUNCTION("""COMPUTED_VALUE"""),1.0)</f>
        <v>1</v>
      </c>
      <c r="C4327" s="2">
        <f>IFERROR(__xludf.DUMMYFUNCTION("""COMPUTED_VALUE"""),641.0)</f>
        <v>641</v>
      </c>
      <c r="D4327" s="3">
        <f>IFERROR(__xludf.DUMMYFUNCTION("""COMPUTED_VALUE"""),340.0)</f>
        <v>340</v>
      </c>
      <c r="E4327" s="1" t="str">
        <f t="array" ref="E4327">_xlfn.XLOOKUP(A4327,Product!A:A,Product!B:B,"Bulunamadı")</f>
        <v>Law</v>
      </c>
      <c r="F4327" s="1" t="str">
        <f t="array" ref="F4327">_xlfn.XLOOKUP(A4327,Product!A:A,Product!C:C,"Bulunamadı")</f>
        <v>Banking</v>
      </c>
      <c r="G4327" s="2" t="str">
        <f t="array" ref="G4327">_xlfn.XLOOKUP(A4328,Product!A:A,Product!D:D,"Bulunamadı")</f>
        <v>Irongrove House</v>
      </c>
      <c r="H4327" s="2">
        <f t="array" ref="H4327">_xlfn.XLOOKUP(A4329,Product!A:A,Product!E:E,"Bulunamadı")</f>
        <v>1.14</v>
      </c>
      <c r="I4327" s="2" t="str">
        <f t="shared" si="1"/>
        <v>5615 - Law - Banking</v>
      </c>
      <c r="J4327" s="2">
        <f t="shared" si="2"/>
        <v>387.6</v>
      </c>
      <c r="K4327" s="17">
        <f t="shared" si="3"/>
        <v>1</v>
      </c>
      <c r="L4327" s="18"/>
    </row>
    <row r="4328" hidden="1">
      <c r="A4328" s="2">
        <f>IFERROR(__xludf.DUMMYFUNCTION("""COMPUTED_VALUE"""),5602.0)</f>
        <v>5602</v>
      </c>
      <c r="B4328" s="2">
        <f>IFERROR(__xludf.DUMMYFUNCTION("""COMPUTED_VALUE"""),0.0)</f>
        <v>0</v>
      </c>
      <c r="C4328" s="2">
        <f>IFERROR(__xludf.DUMMYFUNCTION("""COMPUTED_VALUE"""),13.0)</f>
        <v>13</v>
      </c>
      <c r="D4328" s="3">
        <f>IFERROR(__xludf.DUMMYFUNCTION("""COMPUTED_VALUE"""),8.0)</f>
        <v>8</v>
      </c>
      <c r="E4328" s="1" t="str">
        <f t="array" ref="E4328">_xlfn.XLOOKUP(A4328,Product!A:A,Product!B:B,"Bulunamadı")</f>
        <v>Law</v>
      </c>
      <c r="F4328" s="1" t="str">
        <f t="array" ref="F4328">_xlfn.XLOOKUP(A4328,Product!A:A,Product!C:C,"Bulunamadı")</f>
        <v>Banking</v>
      </c>
      <c r="G4328" s="2" t="str">
        <f t="array" ref="G4328">_xlfn.XLOOKUP(A4329,Product!A:A,Product!D:D,"Bulunamadı")</f>
        <v>Irongrove House</v>
      </c>
      <c r="H4328" s="2">
        <f t="array" ref="H4328">_xlfn.XLOOKUP(A4330,Product!A:A,Product!E:E,"Bulunamadı")</f>
        <v>6.96</v>
      </c>
      <c r="I4328" s="2" t="str">
        <f t="shared" si="1"/>
        <v>5602 - Law - Banking</v>
      </c>
      <c r="J4328" s="2">
        <f t="shared" si="2"/>
        <v>55.68</v>
      </c>
      <c r="K4328" s="17">
        <f t="shared" si="3"/>
        <v>1</v>
      </c>
      <c r="L4328" s="18"/>
    </row>
    <row r="4329" hidden="1">
      <c r="A4329" s="2">
        <f>IFERROR(__xludf.DUMMYFUNCTION("""COMPUTED_VALUE"""),28612.0)</f>
        <v>28612</v>
      </c>
      <c r="B4329" s="2">
        <f>IFERROR(__xludf.DUMMYFUNCTION("""COMPUTED_VALUE"""),1.0)</f>
        <v>1</v>
      </c>
      <c r="C4329" s="2">
        <f>IFERROR(__xludf.DUMMYFUNCTION("""COMPUTED_VALUE"""),320.0)</f>
        <v>320</v>
      </c>
      <c r="D4329" s="3">
        <f>IFERROR(__xludf.DUMMYFUNCTION("""COMPUTED_VALUE"""),80.0)</f>
        <v>80</v>
      </c>
      <c r="E4329" s="1" t="str">
        <f t="array" ref="E4329">_xlfn.XLOOKUP(A4329,Product!A:A,Product!B:B,"Bulunamadı")</f>
        <v>Law</v>
      </c>
      <c r="F4329" s="1" t="str">
        <f t="array" ref="F4329">_xlfn.XLOOKUP(A4329,Product!A:A,Product!C:C,"Bulunamadı")</f>
        <v>Banking</v>
      </c>
      <c r="G4329" s="2" t="str">
        <f t="array" ref="G4329">_xlfn.XLOOKUP(A4330,Product!A:A,Product!D:D,"Bulunamadı")</f>
        <v>Irongrove House</v>
      </c>
      <c r="H4329" s="2">
        <f t="array" ref="H4329">_xlfn.XLOOKUP(A4331,Product!A:A,Product!E:E,"Bulunamadı")</f>
        <v>1.35</v>
      </c>
      <c r="I4329" s="2" t="str">
        <f t="shared" si="1"/>
        <v>28612 - Law - Banking</v>
      </c>
      <c r="J4329" s="2">
        <f t="shared" si="2"/>
        <v>108</v>
      </c>
      <c r="K4329" s="17">
        <f t="shared" si="3"/>
        <v>1</v>
      </c>
      <c r="L4329" s="18"/>
    </row>
    <row r="4330" hidden="1">
      <c r="A4330" s="2">
        <f>IFERROR(__xludf.DUMMYFUNCTION("""COMPUTED_VALUE"""),72247.0)</f>
        <v>72247</v>
      </c>
      <c r="B4330" s="2">
        <f>IFERROR(__xludf.DUMMYFUNCTION("""COMPUTED_VALUE"""),0.0)</f>
        <v>0</v>
      </c>
      <c r="C4330" s="2">
        <f>IFERROR(__xludf.DUMMYFUNCTION("""COMPUTED_VALUE"""),50.0)</f>
        <v>50</v>
      </c>
      <c r="D4330" s="3">
        <f>IFERROR(__xludf.DUMMYFUNCTION("""COMPUTED_VALUE"""),14.0)</f>
        <v>14</v>
      </c>
      <c r="E4330" s="1" t="str">
        <f t="array" ref="E4330">_xlfn.XLOOKUP(A4330,Product!A:A,Product!B:B,"Bulunamadı")</f>
        <v>Law</v>
      </c>
      <c r="F4330" s="1" t="str">
        <f t="array" ref="F4330">_xlfn.XLOOKUP(A4330,Product!A:A,Product!C:C,"Bulunamadı")</f>
        <v>Banking</v>
      </c>
      <c r="G4330" s="2" t="str">
        <f t="array" ref="G4330">_xlfn.XLOOKUP(A4331,Product!A:A,Product!D:D,"Bulunamadı")</f>
        <v>Irongrove House</v>
      </c>
      <c r="H4330" s="2">
        <f t="array" ref="H4330">_xlfn.XLOOKUP(A4332,Product!A:A,Product!E:E,"Bulunamadı")</f>
        <v>5.52</v>
      </c>
      <c r="I4330" s="2" t="str">
        <f t="shared" si="1"/>
        <v>72247 - Law - Banking</v>
      </c>
      <c r="J4330" s="2">
        <f t="shared" si="2"/>
        <v>77.28</v>
      </c>
      <c r="K4330" s="17">
        <f t="shared" si="3"/>
        <v>1</v>
      </c>
      <c r="L4330" s="18"/>
    </row>
    <row r="4331" hidden="1">
      <c r="A4331" s="2">
        <f>IFERROR(__xludf.DUMMYFUNCTION("""COMPUTED_VALUE"""),76469.0)</f>
        <v>76469</v>
      </c>
      <c r="B4331" s="2">
        <f>IFERROR(__xludf.DUMMYFUNCTION("""COMPUTED_VALUE"""),1.0)</f>
        <v>1</v>
      </c>
      <c r="C4331" s="2">
        <f>IFERROR(__xludf.DUMMYFUNCTION("""COMPUTED_VALUE"""),799.0)</f>
        <v>799</v>
      </c>
      <c r="D4331" s="3">
        <f>IFERROR(__xludf.DUMMYFUNCTION("""COMPUTED_VALUE"""),379.0)</f>
        <v>379</v>
      </c>
      <c r="E4331" s="1" t="str">
        <f t="array" ref="E4331">_xlfn.XLOOKUP(A4331,Product!A:A,Product!B:B,"Bulunamadı")</f>
        <v>Law</v>
      </c>
      <c r="F4331" s="1" t="str">
        <f t="array" ref="F4331">_xlfn.XLOOKUP(A4331,Product!A:A,Product!C:C,"Bulunamadı")</f>
        <v>Banking</v>
      </c>
      <c r="G4331" s="2" t="str">
        <f t="array" ref="G4331">_xlfn.XLOOKUP(A4332,Product!A:A,Product!D:D,"Bulunamadı")</f>
        <v>Irongrove House</v>
      </c>
      <c r="H4331" s="2">
        <f t="array" ref="H4331">_xlfn.XLOOKUP(A4333,Product!A:A,Product!E:E,"Bulunamadı")</f>
        <v>1.95</v>
      </c>
      <c r="I4331" s="2" t="str">
        <f t="shared" si="1"/>
        <v>76469 - Law - Banking</v>
      </c>
      <c r="J4331" s="2">
        <f t="shared" si="2"/>
        <v>739.05</v>
      </c>
      <c r="K4331" s="17">
        <f t="shared" si="3"/>
        <v>1</v>
      </c>
      <c r="L4331" s="18"/>
    </row>
    <row r="4332" hidden="1">
      <c r="A4332" s="2">
        <f>IFERROR(__xludf.DUMMYFUNCTION("""COMPUTED_VALUE"""),78876.0)</f>
        <v>78876</v>
      </c>
      <c r="B4332" s="2">
        <f>IFERROR(__xludf.DUMMYFUNCTION("""COMPUTED_VALUE"""),0.0)</f>
        <v>0</v>
      </c>
      <c r="C4332" s="2">
        <f>IFERROR(__xludf.DUMMYFUNCTION("""COMPUTED_VALUE"""),516.0)</f>
        <v>516</v>
      </c>
      <c r="D4332" s="3">
        <f>IFERROR(__xludf.DUMMYFUNCTION("""COMPUTED_VALUE"""),371.0)</f>
        <v>371</v>
      </c>
      <c r="E4332" s="1" t="str">
        <f t="array" ref="E4332">_xlfn.XLOOKUP(A4332,Product!A:A,Product!B:B,"Bulunamadı")</f>
        <v>Law</v>
      </c>
      <c r="F4332" s="1" t="str">
        <f t="array" ref="F4332">_xlfn.XLOOKUP(A4332,Product!A:A,Product!C:C,"Bulunamadı")</f>
        <v>Banking</v>
      </c>
      <c r="G4332" s="2" t="str">
        <f t="array" ref="G4332">_xlfn.XLOOKUP(A4333,Product!A:A,Product!D:D,"Bulunamadı")</f>
        <v>Irongrove House</v>
      </c>
      <c r="H4332" s="2">
        <f t="array" ref="H4332">_xlfn.XLOOKUP(A4334,Product!A:A,Product!E:E,"Bulunamadı")</f>
        <v>2.07</v>
      </c>
      <c r="I4332" s="2" t="str">
        <f t="shared" si="1"/>
        <v>78876 - Law - Banking</v>
      </c>
      <c r="J4332" s="2">
        <f t="shared" si="2"/>
        <v>767.97</v>
      </c>
      <c r="K4332" s="17">
        <f t="shared" si="3"/>
        <v>1</v>
      </c>
      <c r="L4332" s="18"/>
    </row>
    <row r="4333" hidden="1">
      <c r="A4333" s="2">
        <f>IFERROR(__xludf.DUMMYFUNCTION("""COMPUTED_VALUE"""),91064.0)</f>
        <v>91064</v>
      </c>
      <c r="B4333" s="2">
        <f>IFERROR(__xludf.DUMMYFUNCTION("""COMPUTED_VALUE"""),0.0)</f>
        <v>0</v>
      </c>
      <c r="C4333" s="2">
        <f>IFERROR(__xludf.DUMMYFUNCTION("""COMPUTED_VALUE"""),733.0)</f>
        <v>733</v>
      </c>
      <c r="D4333" s="3">
        <f>IFERROR(__xludf.DUMMYFUNCTION("""COMPUTED_VALUE"""),719.0)</f>
        <v>719</v>
      </c>
      <c r="E4333" s="1" t="str">
        <f t="array" ref="E4333">_xlfn.XLOOKUP(A4333,Product!A:A,Product!B:B,"Bulunamadı")</f>
        <v>Law</v>
      </c>
      <c r="F4333" s="1" t="str">
        <f t="array" ref="F4333">_xlfn.XLOOKUP(A4333,Product!A:A,Product!C:C,"Bulunamadı")</f>
        <v>Banking</v>
      </c>
      <c r="G4333" s="2" t="str">
        <f t="array" ref="G4333">_xlfn.XLOOKUP(A4334,Product!A:A,Product!D:D,"Bulunamadı")</f>
        <v>Irongrove House</v>
      </c>
      <c r="H4333" s="2">
        <f t="array" ref="H4333">_xlfn.XLOOKUP(A4335,Product!A:A,Product!E:E,"Bulunamadı")</f>
        <v>1.39</v>
      </c>
      <c r="I4333" s="2" t="str">
        <f t="shared" si="1"/>
        <v>91064 - Law - Banking</v>
      </c>
      <c r="J4333" s="2">
        <f t="shared" si="2"/>
        <v>999.41</v>
      </c>
      <c r="K4333" s="17">
        <f t="shared" si="3"/>
        <v>1</v>
      </c>
      <c r="L4333" s="18"/>
    </row>
    <row r="4334" hidden="1">
      <c r="A4334" s="2">
        <f>IFERROR(__xludf.DUMMYFUNCTION("""COMPUTED_VALUE"""),5603.0)</f>
        <v>5603</v>
      </c>
      <c r="B4334" s="2">
        <f>IFERROR(__xludf.DUMMYFUNCTION("""COMPUTED_VALUE"""),1.0)</f>
        <v>1</v>
      </c>
      <c r="C4334" s="2">
        <f>IFERROR(__xludf.DUMMYFUNCTION("""COMPUTED_VALUE"""),34.0)</f>
        <v>34</v>
      </c>
      <c r="D4334" s="3">
        <f>IFERROR(__xludf.DUMMYFUNCTION("""COMPUTED_VALUE"""),33.0)</f>
        <v>33</v>
      </c>
      <c r="E4334" s="1" t="str">
        <f t="array" ref="E4334">_xlfn.XLOOKUP(A4334,Product!A:A,Product!B:B,"Bulunamadı")</f>
        <v>Law</v>
      </c>
      <c r="F4334" s="1" t="str">
        <f t="array" ref="F4334">_xlfn.XLOOKUP(A4334,Product!A:A,Product!C:C,"Bulunamadı")</f>
        <v>Banking</v>
      </c>
      <c r="G4334" s="2" t="str">
        <f t="array" ref="G4334">_xlfn.XLOOKUP(A4335,Product!A:A,Product!D:D,"Bulunamadı")</f>
        <v>Irongrove House</v>
      </c>
      <c r="H4334" s="2">
        <f t="array" ref="H4334">_xlfn.XLOOKUP(A4336,Product!A:A,Product!E:E,"Bulunamadı")</f>
        <v>2.47</v>
      </c>
      <c r="I4334" s="2" t="str">
        <f t="shared" si="1"/>
        <v>5603 - Law - Banking</v>
      </c>
      <c r="J4334" s="2">
        <f t="shared" si="2"/>
        <v>81.51</v>
      </c>
      <c r="K4334" s="17">
        <f t="shared" si="3"/>
        <v>1</v>
      </c>
      <c r="L4334" s="18"/>
    </row>
    <row r="4335" hidden="1">
      <c r="A4335" s="2">
        <f>IFERROR(__xludf.DUMMYFUNCTION("""COMPUTED_VALUE"""),5612.0)</f>
        <v>5612</v>
      </c>
      <c r="B4335" s="2">
        <f>IFERROR(__xludf.DUMMYFUNCTION("""COMPUTED_VALUE"""),0.0)</f>
        <v>0</v>
      </c>
      <c r="C4335" s="2">
        <f>IFERROR(__xludf.DUMMYFUNCTION("""COMPUTED_VALUE"""),831.0)</f>
        <v>831</v>
      </c>
      <c r="D4335" s="3">
        <f>IFERROR(__xludf.DUMMYFUNCTION("""COMPUTED_VALUE"""),198.0)</f>
        <v>198</v>
      </c>
      <c r="E4335" s="1" t="str">
        <f t="array" ref="E4335">_xlfn.XLOOKUP(A4335,Product!A:A,Product!B:B,"Bulunamadı")</f>
        <v>Law</v>
      </c>
      <c r="F4335" s="1" t="str">
        <f t="array" ref="F4335">_xlfn.XLOOKUP(A4335,Product!A:A,Product!C:C,"Bulunamadı")</f>
        <v>Banking</v>
      </c>
      <c r="G4335" s="2" t="str">
        <f t="array" ref="G4335">_xlfn.XLOOKUP(A4336,Product!A:A,Product!D:D,"Bulunamadı")</f>
        <v>Irongrove House</v>
      </c>
      <c r="H4335" s="2">
        <f t="array" ref="H4335">_xlfn.XLOOKUP(A4337,Product!A:A,Product!E:E,"Bulunamadı")</f>
        <v>1.61</v>
      </c>
      <c r="I4335" s="2" t="str">
        <f t="shared" si="1"/>
        <v>5612 - Law - Banking</v>
      </c>
      <c r="J4335" s="2">
        <f t="shared" si="2"/>
        <v>318.78</v>
      </c>
      <c r="K4335" s="17">
        <f t="shared" si="3"/>
        <v>1</v>
      </c>
      <c r="L4335" s="18"/>
    </row>
    <row r="4336" hidden="1">
      <c r="A4336" s="2">
        <f>IFERROR(__xludf.DUMMYFUNCTION("""COMPUTED_VALUE"""),43897.0)</f>
        <v>43897</v>
      </c>
      <c r="B4336" s="2">
        <f>IFERROR(__xludf.DUMMYFUNCTION("""COMPUTED_VALUE"""),1.0)</f>
        <v>1</v>
      </c>
      <c r="C4336" s="2">
        <f>IFERROR(__xludf.DUMMYFUNCTION("""COMPUTED_VALUE"""),767.0)</f>
        <v>767</v>
      </c>
      <c r="D4336" s="3">
        <f>IFERROR(__xludf.DUMMYFUNCTION("""COMPUTED_VALUE"""),222.0)</f>
        <v>222</v>
      </c>
      <c r="E4336" s="1" t="str">
        <f t="array" ref="E4336">_xlfn.XLOOKUP(A4336,Product!A:A,Product!B:B,"Bulunamadı")</f>
        <v>Law</v>
      </c>
      <c r="F4336" s="1" t="str">
        <f t="array" ref="F4336">_xlfn.XLOOKUP(A4336,Product!A:A,Product!C:C,"Bulunamadı")</f>
        <v>Banking</v>
      </c>
      <c r="G4336" s="2" t="str">
        <f t="array" ref="G4336">_xlfn.XLOOKUP(A4337,Product!A:A,Product!D:D,"Bulunamadı")</f>
        <v>Irongrove House</v>
      </c>
      <c r="H4336" s="2">
        <f t="array" ref="H4336">_xlfn.XLOOKUP(A4338,Product!A:A,Product!E:E,"Bulunamadı")</f>
        <v>1.64</v>
      </c>
      <c r="I4336" s="2" t="str">
        <f t="shared" si="1"/>
        <v>43897 - Law - Banking</v>
      </c>
      <c r="J4336" s="2">
        <f t="shared" si="2"/>
        <v>364.08</v>
      </c>
      <c r="K4336" s="17">
        <f t="shared" si="3"/>
        <v>1</v>
      </c>
      <c r="L4336" s="18"/>
    </row>
    <row r="4337" hidden="1">
      <c r="A4337" s="2">
        <f>IFERROR(__xludf.DUMMYFUNCTION("""COMPUTED_VALUE"""),91058.0)</f>
        <v>91058</v>
      </c>
      <c r="B4337" s="2">
        <f>IFERROR(__xludf.DUMMYFUNCTION("""COMPUTED_VALUE"""),1.0)</f>
        <v>1</v>
      </c>
      <c r="C4337" s="2">
        <f>IFERROR(__xludf.DUMMYFUNCTION("""COMPUTED_VALUE"""),961.0)</f>
        <v>961</v>
      </c>
      <c r="D4337" s="3">
        <f>IFERROR(__xludf.DUMMYFUNCTION("""COMPUTED_VALUE"""),550.0)</f>
        <v>550</v>
      </c>
      <c r="E4337" s="1" t="str">
        <f t="array" ref="E4337">_xlfn.XLOOKUP(A4337,Product!A:A,Product!B:B,"Bulunamadı")</f>
        <v>Law</v>
      </c>
      <c r="F4337" s="1" t="str">
        <f t="array" ref="F4337">_xlfn.XLOOKUP(A4337,Product!A:A,Product!C:C,"Bulunamadı")</f>
        <v>Banking</v>
      </c>
      <c r="G4337" s="2" t="str">
        <f t="array" ref="G4337">_xlfn.XLOOKUP(A4338,Product!A:A,Product!D:D,"Bulunamadı")</f>
        <v>Irongrove House</v>
      </c>
      <c r="H4337" s="2">
        <f t="array" ref="H4337">_xlfn.XLOOKUP(A4339,Product!A:A,Product!E:E,"Bulunamadı")</f>
        <v>1.49</v>
      </c>
      <c r="I4337" s="2" t="str">
        <f t="shared" si="1"/>
        <v>91058 - Law - Banking</v>
      </c>
      <c r="J4337" s="2">
        <f t="shared" si="2"/>
        <v>819.5</v>
      </c>
      <c r="K4337" s="17">
        <f t="shared" si="3"/>
        <v>1</v>
      </c>
      <c r="L4337" s="18"/>
    </row>
    <row r="4338" hidden="1">
      <c r="A4338" s="2">
        <f>IFERROR(__xludf.DUMMYFUNCTION("""COMPUTED_VALUE"""),107998.0)</f>
        <v>107998</v>
      </c>
      <c r="B4338" s="2">
        <f>IFERROR(__xludf.DUMMYFUNCTION("""COMPUTED_VALUE"""),0.0)</f>
        <v>0</v>
      </c>
      <c r="C4338" s="2">
        <f>IFERROR(__xludf.DUMMYFUNCTION("""COMPUTED_VALUE"""),66.0)</f>
        <v>66</v>
      </c>
      <c r="D4338" s="3">
        <f>IFERROR(__xludf.DUMMYFUNCTION("""COMPUTED_VALUE"""),53.0)</f>
        <v>53</v>
      </c>
      <c r="E4338" s="1" t="str">
        <f t="array" ref="E4338">_xlfn.XLOOKUP(A4338,Product!A:A,Product!B:B,"Bulunamadı")</f>
        <v>Law</v>
      </c>
      <c r="F4338" s="1" t="str">
        <f t="array" ref="F4338">_xlfn.XLOOKUP(A4338,Product!A:A,Product!C:C,"Bulunamadı")</f>
        <v>Banking</v>
      </c>
      <c r="G4338" s="2" t="str">
        <f t="array" ref="G4338">_xlfn.XLOOKUP(A4339,Product!A:A,Product!D:D,"Bulunamadı")</f>
        <v>Irongrove House</v>
      </c>
      <c r="H4338" s="2">
        <f t="array" ref="H4338">_xlfn.XLOOKUP(A4340,Product!A:A,Product!E:E,"Bulunamadı")</f>
        <v>4.64</v>
      </c>
      <c r="I4338" s="2" t="str">
        <f t="shared" si="1"/>
        <v>107998 - Law - Banking</v>
      </c>
      <c r="J4338" s="2">
        <f t="shared" si="2"/>
        <v>245.92</v>
      </c>
      <c r="K4338" s="17">
        <f t="shared" si="3"/>
        <v>1</v>
      </c>
      <c r="L4338" s="18"/>
    </row>
    <row r="4339" hidden="1">
      <c r="A4339" s="2">
        <f>IFERROR(__xludf.DUMMYFUNCTION("""COMPUTED_VALUE"""),112194.0)</f>
        <v>112194</v>
      </c>
      <c r="B4339" s="2">
        <f>IFERROR(__xludf.DUMMYFUNCTION("""COMPUTED_VALUE"""),0.0)</f>
        <v>0</v>
      </c>
      <c r="C4339" s="2">
        <f>IFERROR(__xludf.DUMMYFUNCTION("""COMPUTED_VALUE"""),747.0)</f>
        <v>747</v>
      </c>
      <c r="D4339" s="3">
        <f>IFERROR(__xludf.DUMMYFUNCTION("""COMPUTED_VALUE"""),632.0)</f>
        <v>632</v>
      </c>
      <c r="E4339" s="1" t="str">
        <f t="array" ref="E4339">_xlfn.XLOOKUP(A4339,Product!A:A,Product!B:B,"Bulunamadı")</f>
        <v>Law</v>
      </c>
      <c r="F4339" s="1" t="str">
        <f t="array" ref="F4339">_xlfn.XLOOKUP(A4339,Product!A:A,Product!C:C,"Bulunamadı")</f>
        <v>Banking</v>
      </c>
      <c r="G4339" s="2" t="str">
        <f t="array" ref="G4339">_xlfn.XLOOKUP(A4340,Product!A:A,Product!D:D,"Bulunamadı")</f>
        <v>Irongrove House</v>
      </c>
      <c r="H4339" s="2">
        <f t="array" ref="H4339">_xlfn.XLOOKUP(A4341,Product!A:A,Product!E:E,"Bulunamadı")</f>
        <v>1.39</v>
      </c>
      <c r="I4339" s="2" t="str">
        <f t="shared" si="1"/>
        <v>112194 - Law - Banking</v>
      </c>
      <c r="J4339" s="2">
        <f t="shared" si="2"/>
        <v>878.48</v>
      </c>
      <c r="K4339" s="17">
        <f t="shared" si="3"/>
        <v>1</v>
      </c>
      <c r="L4339" s="18"/>
    </row>
    <row r="4340" hidden="1">
      <c r="A4340" s="2">
        <f>IFERROR(__xludf.DUMMYFUNCTION("""COMPUTED_VALUE"""),68232.0)</f>
        <v>68232</v>
      </c>
      <c r="B4340" s="2">
        <f>IFERROR(__xludf.DUMMYFUNCTION("""COMPUTED_VALUE"""),1.0)</f>
        <v>1</v>
      </c>
      <c r="C4340" s="2">
        <f>IFERROR(__xludf.DUMMYFUNCTION("""COMPUTED_VALUE"""),630.0)</f>
        <v>630</v>
      </c>
      <c r="D4340" s="3">
        <f>IFERROR(__xludf.DUMMYFUNCTION("""COMPUTED_VALUE"""),381.0)</f>
        <v>381</v>
      </c>
      <c r="E4340" s="1" t="str">
        <f t="array" ref="E4340">_xlfn.XLOOKUP(A4340,Product!A:A,Product!B:B,"Bulunamadı")</f>
        <v>Law</v>
      </c>
      <c r="F4340" s="1" t="str">
        <f t="array" ref="F4340">_xlfn.XLOOKUP(A4340,Product!A:A,Product!C:C,"Bulunamadı")</f>
        <v>Banking</v>
      </c>
      <c r="G4340" s="2" t="str">
        <f t="array" ref="G4340">_xlfn.XLOOKUP(A4341,Product!A:A,Product!D:D,"Bulunamadı")</f>
        <v>Irongrove House</v>
      </c>
      <c r="H4340" s="2">
        <f t="array" ref="H4340">_xlfn.XLOOKUP(A4342,Product!A:A,Product!E:E,"Bulunamadı")</f>
        <v>1.64</v>
      </c>
      <c r="I4340" s="2" t="str">
        <f t="shared" si="1"/>
        <v>68232 - Law - Banking</v>
      </c>
      <c r="J4340" s="2">
        <f t="shared" si="2"/>
        <v>624.84</v>
      </c>
      <c r="K4340" s="17">
        <f t="shared" si="3"/>
        <v>1</v>
      </c>
      <c r="L4340" s="18"/>
    </row>
    <row r="4341" hidden="1">
      <c r="A4341" s="2">
        <f>IFERROR(__xludf.DUMMYFUNCTION("""COMPUTED_VALUE"""),159386.0)</f>
        <v>159386</v>
      </c>
      <c r="B4341" s="2">
        <f>IFERROR(__xludf.DUMMYFUNCTION("""COMPUTED_VALUE"""),0.0)</f>
        <v>0</v>
      </c>
      <c r="C4341" s="2">
        <f>IFERROR(__xludf.DUMMYFUNCTION("""COMPUTED_VALUE"""),466.0)</f>
        <v>466</v>
      </c>
      <c r="D4341" s="3">
        <f>IFERROR(__xludf.DUMMYFUNCTION("""COMPUTED_VALUE"""),296.0)</f>
        <v>296</v>
      </c>
      <c r="E4341" s="1" t="str">
        <f t="array" ref="E4341">_xlfn.XLOOKUP(A4341,Product!A:A,Product!B:B,"Bulunamadı")</f>
        <v>Law</v>
      </c>
      <c r="F4341" s="1" t="str">
        <f t="array" ref="F4341">_xlfn.XLOOKUP(A4341,Product!A:A,Product!C:C,"Bulunamadı")</f>
        <v>Banking</v>
      </c>
      <c r="G4341" s="2" t="str">
        <f t="array" ref="G4341">_xlfn.XLOOKUP(A4342,Product!A:A,Product!D:D,"Bulunamadı")</f>
        <v>Irongrove House</v>
      </c>
      <c r="H4341" s="2">
        <f t="array" ref="H4341">_xlfn.XLOOKUP(A4343,Product!A:A,Product!E:E,"Bulunamadı")</f>
        <v>5.83</v>
      </c>
      <c r="I4341" s="2" t="str">
        <f t="shared" si="1"/>
        <v>159386 - Law - Banking</v>
      </c>
      <c r="J4341" s="2">
        <f t="shared" si="2"/>
        <v>1725.68</v>
      </c>
      <c r="K4341" s="17">
        <f t="shared" si="3"/>
        <v>1</v>
      </c>
      <c r="L4341" s="18"/>
    </row>
    <row r="4342" hidden="1">
      <c r="A4342" s="2">
        <f>IFERROR(__xludf.DUMMYFUNCTION("""COMPUTED_VALUE"""),76471.0)</f>
        <v>76471</v>
      </c>
      <c r="B4342" s="2">
        <f>IFERROR(__xludf.DUMMYFUNCTION("""COMPUTED_VALUE"""),1.0)</f>
        <v>1</v>
      </c>
      <c r="C4342" s="2">
        <f>IFERROR(__xludf.DUMMYFUNCTION("""COMPUTED_VALUE"""),422.0)</f>
        <v>422</v>
      </c>
      <c r="D4342" s="3">
        <f>IFERROR(__xludf.DUMMYFUNCTION("""COMPUTED_VALUE"""),341.0)</f>
        <v>341</v>
      </c>
      <c r="E4342" s="1" t="str">
        <f t="array" ref="E4342">_xlfn.XLOOKUP(A4342,Product!A:A,Product!B:B,"Bulunamadı")</f>
        <v>Law</v>
      </c>
      <c r="F4342" s="1" t="str">
        <f t="array" ref="F4342">_xlfn.XLOOKUP(A4342,Product!A:A,Product!C:C,"Bulunamadı")</f>
        <v>Banking</v>
      </c>
      <c r="G4342" s="2" t="str">
        <f t="array" ref="G4342">_xlfn.XLOOKUP(A4343,Product!A:A,Product!D:D,"Bulunamadı")</f>
        <v>Irongrove House</v>
      </c>
      <c r="H4342" s="2">
        <f t="array" ref="H4342">_xlfn.XLOOKUP(A4344,Product!A:A,Product!E:E,"Bulunamadı")</f>
        <v>2.76</v>
      </c>
      <c r="I4342" s="2" t="str">
        <f t="shared" si="1"/>
        <v>76471 - Law - Banking</v>
      </c>
      <c r="J4342" s="2">
        <f t="shared" si="2"/>
        <v>941.16</v>
      </c>
      <c r="K4342" s="17">
        <f t="shared" si="3"/>
        <v>1</v>
      </c>
      <c r="L4342" s="18"/>
    </row>
    <row r="4343" hidden="1">
      <c r="A4343" s="2">
        <f>IFERROR(__xludf.DUMMYFUNCTION("""COMPUTED_VALUE"""),68357.0)</f>
        <v>68357</v>
      </c>
      <c r="B4343" s="2">
        <f>IFERROR(__xludf.DUMMYFUNCTION("""COMPUTED_VALUE"""),1.0)</f>
        <v>1</v>
      </c>
      <c r="C4343" s="2">
        <f>IFERROR(__xludf.DUMMYFUNCTION("""COMPUTED_VALUE"""),303.0)</f>
        <v>303</v>
      </c>
      <c r="D4343" s="3">
        <f>IFERROR(__xludf.DUMMYFUNCTION("""COMPUTED_VALUE"""),165.0)</f>
        <v>165</v>
      </c>
      <c r="E4343" s="1" t="str">
        <f t="array" ref="E4343">_xlfn.XLOOKUP(A4343,Product!A:A,Product!B:B,"Bulunamadı")</f>
        <v>Law</v>
      </c>
      <c r="F4343" s="1" t="str">
        <f t="array" ref="F4343">_xlfn.XLOOKUP(A4343,Product!A:A,Product!C:C,"Bulunamadı")</f>
        <v>Banking</v>
      </c>
      <c r="G4343" s="2" t="str">
        <f t="array" ref="G4343">_xlfn.XLOOKUP(A4344,Product!A:A,Product!D:D,"Bulunamadı")</f>
        <v>Irongrove House</v>
      </c>
      <c r="H4343" s="2">
        <f t="array" ref="H4343">_xlfn.XLOOKUP(A4345,Product!A:A,Product!E:E,"Bulunamadı")</f>
        <v>0.81</v>
      </c>
      <c r="I4343" s="2" t="str">
        <f t="shared" si="1"/>
        <v>68357 - Law - Banking</v>
      </c>
      <c r="J4343" s="2">
        <f t="shared" si="2"/>
        <v>133.65</v>
      </c>
      <c r="K4343" s="17">
        <f t="shared" si="3"/>
        <v>1</v>
      </c>
      <c r="L4343" s="18"/>
    </row>
    <row r="4344" hidden="1">
      <c r="A4344" s="2">
        <f>IFERROR(__xludf.DUMMYFUNCTION("""COMPUTED_VALUE"""),68303.0)</f>
        <v>68303</v>
      </c>
      <c r="B4344" s="2">
        <f>IFERROR(__xludf.DUMMYFUNCTION("""COMPUTED_VALUE"""),0.0)</f>
        <v>0</v>
      </c>
      <c r="C4344" s="2">
        <f>IFERROR(__xludf.DUMMYFUNCTION("""COMPUTED_VALUE"""),262.0)</f>
        <v>262</v>
      </c>
      <c r="D4344" s="3">
        <f>IFERROR(__xludf.DUMMYFUNCTION("""COMPUTED_VALUE"""),55.0)</f>
        <v>55</v>
      </c>
      <c r="E4344" s="1" t="str">
        <f t="array" ref="E4344">_xlfn.XLOOKUP(A4344,Product!A:A,Product!B:B,"Bulunamadı")</f>
        <v>Law</v>
      </c>
      <c r="F4344" s="1" t="str">
        <f t="array" ref="F4344">_xlfn.XLOOKUP(A4344,Product!A:A,Product!C:C,"Bulunamadı")</f>
        <v>Banking</v>
      </c>
      <c r="G4344" s="2" t="str">
        <f t="array" ref="G4344">_xlfn.XLOOKUP(A4345,Product!A:A,Product!D:D,"Bulunamadı")</f>
        <v>Irongrove House</v>
      </c>
      <c r="H4344" s="2">
        <f t="array" ref="H4344">_xlfn.XLOOKUP(A4346,Product!A:A,Product!E:E,"Bulunamadı")</f>
        <v>1.56</v>
      </c>
      <c r="I4344" s="2" t="str">
        <f t="shared" si="1"/>
        <v>68303 - Law - Banking</v>
      </c>
      <c r="J4344" s="2">
        <f t="shared" si="2"/>
        <v>85.8</v>
      </c>
      <c r="K4344" s="17">
        <f t="shared" si="3"/>
        <v>1</v>
      </c>
      <c r="L4344" s="18"/>
    </row>
    <row r="4345" hidden="1">
      <c r="A4345" s="2">
        <f>IFERROR(__xludf.DUMMYFUNCTION("""COMPUTED_VALUE"""),68325.0)</f>
        <v>68325</v>
      </c>
      <c r="B4345" s="2">
        <f>IFERROR(__xludf.DUMMYFUNCTION("""COMPUTED_VALUE"""),0.0)</f>
        <v>0</v>
      </c>
      <c r="C4345" s="2">
        <f>IFERROR(__xludf.DUMMYFUNCTION("""COMPUTED_VALUE"""),225.0)</f>
        <v>225</v>
      </c>
      <c r="D4345" s="3">
        <f>IFERROR(__xludf.DUMMYFUNCTION("""COMPUTED_VALUE"""),50.0)</f>
        <v>50</v>
      </c>
      <c r="E4345" s="1" t="str">
        <f t="array" ref="E4345">_xlfn.XLOOKUP(A4345,Product!A:A,Product!B:B,"Bulunamadı")</f>
        <v>Law</v>
      </c>
      <c r="F4345" s="1" t="str">
        <f t="array" ref="F4345">_xlfn.XLOOKUP(A4345,Product!A:A,Product!C:C,"Bulunamadı")</f>
        <v>Banking</v>
      </c>
      <c r="G4345" s="2" t="str">
        <f t="array" ref="G4345">_xlfn.XLOOKUP(A4346,Product!A:A,Product!D:D,"Bulunamadı")</f>
        <v>Irongrove House</v>
      </c>
      <c r="H4345" s="2">
        <f t="array" ref="H4345">_xlfn.XLOOKUP(A4347,Product!A:A,Product!E:E,"Bulunamadı")</f>
        <v>1.68</v>
      </c>
      <c r="I4345" s="2" t="str">
        <f t="shared" si="1"/>
        <v>68325 - Law - Banking</v>
      </c>
      <c r="J4345" s="2">
        <f t="shared" si="2"/>
        <v>84</v>
      </c>
      <c r="K4345" s="17">
        <f t="shared" si="3"/>
        <v>1</v>
      </c>
      <c r="L4345" s="18"/>
    </row>
    <row r="4346" hidden="1">
      <c r="A4346" s="2">
        <f>IFERROR(__xludf.DUMMYFUNCTION("""COMPUTED_VALUE"""),68515.0)</f>
        <v>68515</v>
      </c>
      <c r="B4346" s="2">
        <f>IFERROR(__xludf.DUMMYFUNCTION("""COMPUTED_VALUE"""),0.0)</f>
        <v>0</v>
      </c>
      <c r="C4346" s="2">
        <f>IFERROR(__xludf.DUMMYFUNCTION("""COMPUTED_VALUE"""),592.0)</f>
        <v>592</v>
      </c>
      <c r="D4346" s="3">
        <f>IFERROR(__xludf.DUMMYFUNCTION("""COMPUTED_VALUE"""),515.0)</f>
        <v>515</v>
      </c>
      <c r="E4346" s="1" t="str">
        <f t="array" ref="E4346">_xlfn.XLOOKUP(A4346,Product!A:A,Product!B:B,"Bulunamadı")</f>
        <v>Law</v>
      </c>
      <c r="F4346" s="1" t="str">
        <f t="array" ref="F4346">_xlfn.XLOOKUP(A4346,Product!A:A,Product!C:C,"Bulunamadı")</f>
        <v>Banking</v>
      </c>
      <c r="G4346" s="2" t="str">
        <f t="array" ref="G4346">_xlfn.XLOOKUP(A4347,Product!A:A,Product!D:D,"Bulunamadı")</f>
        <v>Irongrove House</v>
      </c>
      <c r="H4346" s="2">
        <f t="array" ref="H4346">_xlfn.XLOOKUP(A4348,Product!A:A,Product!E:E,"Bulunamadı")</f>
        <v>5.51</v>
      </c>
      <c r="I4346" s="2" t="str">
        <f t="shared" si="1"/>
        <v>68515 - Law - Banking</v>
      </c>
      <c r="J4346" s="2">
        <f t="shared" si="2"/>
        <v>2837.65</v>
      </c>
      <c r="K4346" s="17">
        <f t="shared" si="3"/>
        <v>1</v>
      </c>
      <c r="L4346" s="18"/>
    </row>
    <row r="4347" hidden="1">
      <c r="A4347" s="2">
        <f>IFERROR(__xludf.DUMMYFUNCTION("""COMPUTED_VALUE"""),107989.0)</f>
        <v>107989</v>
      </c>
      <c r="B4347" s="2">
        <f>IFERROR(__xludf.DUMMYFUNCTION("""COMPUTED_VALUE"""),1.0)</f>
        <v>1</v>
      </c>
      <c r="C4347" s="2">
        <f>IFERROR(__xludf.DUMMYFUNCTION("""COMPUTED_VALUE"""),958.0)</f>
        <v>958</v>
      </c>
      <c r="D4347" s="3">
        <f>IFERROR(__xludf.DUMMYFUNCTION("""COMPUTED_VALUE"""),103.0)</f>
        <v>103</v>
      </c>
      <c r="E4347" s="1" t="str">
        <f t="array" ref="E4347">_xlfn.XLOOKUP(A4347,Product!A:A,Product!B:B,"Bulunamadı")</f>
        <v>Law</v>
      </c>
      <c r="F4347" s="1" t="str">
        <f t="array" ref="F4347">_xlfn.XLOOKUP(A4347,Product!A:A,Product!C:C,"Bulunamadı")</f>
        <v>Banking</v>
      </c>
      <c r="G4347" s="2" t="str">
        <f t="array" ref="G4347">_xlfn.XLOOKUP(A4348,Product!A:A,Product!D:D,"Bulunamadı")</f>
        <v>Irongrove House</v>
      </c>
      <c r="H4347" s="2">
        <f t="array" ref="H4347">_xlfn.XLOOKUP(A4349,Product!A:A,Product!E:E,"Bulunamadı")</f>
        <v>1.28</v>
      </c>
      <c r="I4347" s="2" t="str">
        <f t="shared" si="1"/>
        <v>107989 - Law - Banking</v>
      </c>
      <c r="J4347" s="2">
        <f t="shared" si="2"/>
        <v>131.84</v>
      </c>
      <c r="K4347" s="17">
        <f t="shared" si="3"/>
        <v>1</v>
      </c>
      <c r="L4347" s="18"/>
    </row>
    <row r="4348" hidden="1">
      <c r="A4348" s="2">
        <f>IFERROR(__xludf.DUMMYFUNCTION("""COMPUTED_VALUE"""),76732.0)</f>
        <v>76732</v>
      </c>
      <c r="B4348" s="2">
        <f>IFERROR(__xludf.DUMMYFUNCTION("""COMPUTED_VALUE"""),0.0)</f>
        <v>0</v>
      </c>
      <c r="C4348" s="2">
        <f>IFERROR(__xludf.DUMMYFUNCTION("""COMPUTED_VALUE"""),47.0)</f>
        <v>47</v>
      </c>
      <c r="D4348" s="3">
        <f>IFERROR(__xludf.DUMMYFUNCTION("""COMPUTED_VALUE"""),21.0)</f>
        <v>21</v>
      </c>
      <c r="E4348" s="1" t="str">
        <f t="array" ref="E4348">_xlfn.XLOOKUP(A4348,Product!A:A,Product!B:B,"Bulunamadı")</f>
        <v>Law</v>
      </c>
      <c r="F4348" s="1" t="str">
        <f t="array" ref="F4348">_xlfn.XLOOKUP(A4348,Product!A:A,Product!C:C,"Bulunamadı")</f>
        <v>Banking</v>
      </c>
      <c r="G4348" s="2" t="str">
        <f t="array" ref="G4348">_xlfn.XLOOKUP(A4349,Product!A:A,Product!D:D,"Bulunamadı")</f>
        <v>Silverpoint House</v>
      </c>
      <c r="H4348" s="2">
        <f t="array" ref="H4348">_xlfn.XLOOKUP(A4350,Product!A:A,Product!E:E,"Bulunamadı")</f>
        <v>0.97</v>
      </c>
      <c r="I4348" s="2" t="str">
        <f t="shared" si="1"/>
        <v>76732 - Law - Banking</v>
      </c>
      <c r="J4348" s="2">
        <f t="shared" si="2"/>
        <v>20.37</v>
      </c>
      <c r="K4348" s="17">
        <f t="shared" si="3"/>
        <v>1</v>
      </c>
      <c r="L4348" s="18"/>
    </row>
    <row r="4349" hidden="1">
      <c r="A4349" s="2">
        <f>IFERROR(__xludf.DUMMYFUNCTION("""COMPUTED_VALUE"""),14711.0)</f>
        <v>14711</v>
      </c>
      <c r="B4349" s="2">
        <f>IFERROR(__xludf.DUMMYFUNCTION("""COMPUTED_VALUE"""),0.0)</f>
        <v>0</v>
      </c>
      <c r="C4349" s="2">
        <f>IFERROR(__xludf.DUMMYFUNCTION("""COMPUTED_VALUE"""),197.0)</f>
        <v>197</v>
      </c>
      <c r="D4349" s="3">
        <f>IFERROR(__xludf.DUMMYFUNCTION("""COMPUTED_VALUE"""),77.0)</f>
        <v>77</v>
      </c>
      <c r="E4349" s="1" t="str">
        <f t="array" ref="E4349">_xlfn.XLOOKUP(A4349,Product!A:A,Product!B:B,"Bulunamadı")</f>
        <v>Law</v>
      </c>
      <c r="F4349" s="1" t="str">
        <f t="array" ref="F4349">_xlfn.XLOOKUP(A4349,Product!A:A,Product!C:C,"Bulunamadı")</f>
        <v>Banking</v>
      </c>
      <c r="G4349" s="2" t="str">
        <f t="array" ref="G4349">_xlfn.XLOOKUP(A4350,Product!A:A,Product!D:D,"Bulunamadı")</f>
        <v>Silverpoint House</v>
      </c>
      <c r="H4349" s="2">
        <f t="array" ref="H4349">_xlfn.XLOOKUP(A4351,Product!A:A,Product!E:E,"Bulunamadı")</f>
        <v>2.63</v>
      </c>
      <c r="I4349" s="2" t="str">
        <f t="shared" si="1"/>
        <v>14711 - Law - Banking</v>
      </c>
      <c r="J4349" s="2">
        <f t="shared" si="2"/>
        <v>202.51</v>
      </c>
      <c r="K4349" s="17">
        <f t="shared" si="3"/>
        <v>1</v>
      </c>
      <c r="L4349" s="18"/>
    </row>
    <row r="4350" hidden="1">
      <c r="A4350" s="2">
        <f>IFERROR(__xludf.DUMMYFUNCTION("""COMPUTED_VALUE"""),14706.0)</f>
        <v>14706</v>
      </c>
      <c r="B4350" s="2">
        <f>IFERROR(__xludf.DUMMYFUNCTION("""COMPUTED_VALUE"""),1.0)</f>
        <v>1</v>
      </c>
      <c r="C4350" s="2">
        <f>IFERROR(__xludf.DUMMYFUNCTION("""COMPUTED_VALUE"""),339.0)</f>
        <v>339</v>
      </c>
      <c r="D4350" s="3">
        <f>IFERROR(__xludf.DUMMYFUNCTION("""COMPUTED_VALUE"""),289.0)</f>
        <v>289</v>
      </c>
      <c r="E4350" s="1" t="str">
        <f t="array" ref="E4350">_xlfn.XLOOKUP(A4350,Product!A:A,Product!B:B,"Bulunamadı")</f>
        <v>Law</v>
      </c>
      <c r="F4350" s="1" t="str">
        <f t="array" ref="F4350">_xlfn.XLOOKUP(A4350,Product!A:A,Product!C:C,"Bulunamadı")</f>
        <v>Banking</v>
      </c>
      <c r="G4350" s="2" t="str">
        <f t="array" ref="G4350">_xlfn.XLOOKUP(A4351,Product!A:A,Product!D:D,"Bulunamadı")</f>
        <v>Silverpoint House</v>
      </c>
      <c r="H4350" s="2">
        <f t="array" ref="H4350">_xlfn.XLOOKUP(A4352,Product!A:A,Product!E:E,"Bulunamadı")</f>
        <v>0.97</v>
      </c>
      <c r="I4350" s="2" t="str">
        <f t="shared" si="1"/>
        <v>14706 - Law - Banking</v>
      </c>
      <c r="J4350" s="2">
        <f t="shared" si="2"/>
        <v>280.33</v>
      </c>
      <c r="K4350" s="17">
        <f t="shared" si="3"/>
        <v>1</v>
      </c>
      <c r="L4350" s="18"/>
    </row>
    <row r="4351" hidden="1">
      <c r="A4351" s="2">
        <f>IFERROR(__xludf.DUMMYFUNCTION("""COMPUTED_VALUE"""),23975.0)</f>
        <v>23975</v>
      </c>
      <c r="B4351" s="2">
        <f>IFERROR(__xludf.DUMMYFUNCTION("""COMPUTED_VALUE"""),0.0)</f>
        <v>0</v>
      </c>
      <c r="C4351" s="2">
        <f>IFERROR(__xludf.DUMMYFUNCTION("""COMPUTED_VALUE"""),339.0)</f>
        <v>339</v>
      </c>
      <c r="D4351" s="3">
        <f>IFERROR(__xludf.DUMMYFUNCTION("""COMPUTED_VALUE"""),136.0)</f>
        <v>136</v>
      </c>
      <c r="E4351" s="1" t="str">
        <f t="array" ref="E4351">_xlfn.XLOOKUP(A4351,Product!A:A,Product!B:B,"Bulunamadı")</f>
        <v>Law</v>
      </c>
      <c r="F4351" s="1" t="str">
        <f t="array" ref="F4351">_xlfn.XLOOKUP(A4351,Product!A:A,Product!C:C,"Bulunamadı")</f>
        <v>Banking</v>
      </c>
      <c r="G4351" s="2" t="str">
        <f t="array" ref="G4351">_xlfn.XLOOKUP(A4352,Product!A:A,Product!D:D,"Bulunamadı")</f>
        <v>Silverpoint House</v>
      </c>
      <c r="H4351" s="2">
        <f t="array" ref="H4351">_xlfn.XLOOKUP(A4353,Product!A:A,Product!E:E,"Bulunamadı")</f>
        <v>3.03</v>
      </c>
      <c r="I4351" s="2" t="str">
        <f t="shared" si="1"/>
        <v>23975 - Law - Banking</v>
      </c>
      <c r="J4351" s="2">
        <f t="shared" si="2"/>
        <v>412.08</v>
      </c>
      <c r="K4351" s="17">
        <f t="shared" si="3"/>
        <v>1</v>
      </c>
      <c r="L4351" s="18"/>
    </row>
    <row r="4352" hidden="1">
      <c r="A4352" s="2">
        <f>IFERROR(__xludf.DUMMYFUNCTION("""COMPUTED_VALUE"""),90665.0)</f>
        <v>90665</v>
      </c>
      <c r="B4352" s="2">
        <f>IFERROR(__xludf.DUMMYFUNCTION("""COMPUTED_VALUE"""),0.0)</f>
        <v>0</v>
      </c>
      <c r="C4352" s="2">
        <f>IFERROR(__xludf.DUMMYFUNCTION("""COMPUTED_VALUE"""),437.0)</f>
        <v>437</v>
      </c>
      <c r="D4352" s="3">
        <f>IFERROR(__xludf.DUMMYFUNCTION("""COMPUTED_VALUE"""),92.0)</f>
        <v>92</v>
      </c>
      <c r="E4352" s="1" t="str">
        <f t="array" ref="E4352">_xlfn.XLOOKUP(A4352,Product!A:A,Product!B:B,"Bulunamadı")</f>
        <v>Law</v>
      </c>
      <c r="F4352" s="1" t="str">
        <f t="array" ref="F4352">_xlfn.XLOOKUP(A4352,Product!A:A,Product!C:C,"Bulunamadı")</f>
        <v>Banking</v>
      </c>
      <c r="G4352" s="2" t="str">
        <f t="array" ref="G4352">_xlfn.XLOOKUP(A4353,Product!A:A,Product!D:D,"Bulunamadı")</f>
        <v>Silverpoint House</v>
      </c>
      <c r="H4352" s="2">
        <f t="array" ref="H4352">_xlfn.XLOOKUP(A4354,Product!A:A,Product!E:E,"Bulunamadı")</f>
        <v>2.4</v>
      </c>
      <c r="I4352" s="2" t="str">
        <f t="shared" si="1"/>
        <v>90665 - Law - Banking</v>
      </c>
      <c r="J4352" s="2">
        <f t="shared" si="2"/>
        <v>220.8</v>
      </c>
      <c r="K4352" s="17">
        <f t="shared" si="3"/>
        <v>1</v>
      </c>
      <c r="L4352" s="18"/>
    </row>
    <row r="4353" hidden="1">
      <c r="A4353" s="2">
        <f>IFERROR(__xludf.DUMMYFUNCTION("""COMPUTED_VALUE"""),69551.0)</f>
        <v>69551</v>
      </c>
      <c r="B4353" s="2">
        <f>IFERROR(__xludf.DUMMYFUNCTION("""COMPUTED_VALUE"""),1.0)</f>
        <v>1</v>
      </c>
      <c r="C4353" s="2">
        <f>IFERROR(__xludf.DUMMYFUNCTION("""COMPUTED_VALUE"""),420.0)</f>
        <v>420</v>
      </c>
      <c r="D4353" s="3">
        <f>IFERROR(__xludf.DUMMYFUNCTION("""COMPUTED_VALUE"""),99.0)</f>
        <v>99</v>
      </c>
      <c r="E4353" s="1" t="str">
        <f t="array" ref="E4353">_xlfn.XLOOKUP(A4353,Product!A:A,Product!B:B,"Bulunamadı")</f>
        <v>Law</v>
      </c>
      <c r="F4353" s="1" t="str">
        <f t="array" ref="F4353">_xlfn.XLOOKUP(A4353,Product!A:A,Product!C:C,"Bulunamadı")</f>
        <v>Banking</v>
      </c>
      <c r="G4353" s="2" t="str">
        <f t="array" ref="G4353">_xlfn.XLOOKUP(A4354,Product!A:A,Product!D:D,"Bulunamadı")</f>
        <v>Silverpoint House</v>
      </c>
      <c r="H4353" s="2">
        <f t="array" ref="H4353">_xlfn.XLOOKUP(A4355,Product!A:A,Product!E:E,"Bulunamadı")</f>
        <v>2.03</v>
      </c>
      <c r="I4353" s="2" t="str">
        <f t="shared" si="1"/>
        <v>69551 - Law - Banking</v>
      </c>
      <c r="J4353" s="2">
        <f t="shared" si="2"/>
        <v>200.97</v>
      </c>
      <c r="K4353" s="17">
        <f t="shared" si="3"/>
        <v>1</v>
      </c>
      <c r="L4353" s="18"/>
    </row>
    <row r="4354" hidden="1">
      <c r="A4354" s="2">
        <f>IFERROR(__xludf.DUMMYFUNCTION("""COMPUTED_VALUE"""),69503.0)</f>
        <v>69503</v>
      </c>
      <c r="B4354" s="2">
        <f>IFERROR(__xludf.DUMMYFUNCTION("""COMPUTED_VALUE"""),0.0)</f>
        <v>0</v>
      </c>
      <c r="C4354" s="2">
        <f>IFERROR(__xludf.DUMMYFUNCTION("""COMPUTED_VALUE"""),769.0)</f>
        <v>769</v>
      </c>
      <c r="D4354" s="3">
        <f>IFERROR(__xludf.DUMMYFUNCTION("""COMPUTED_VALUE"""),273.0)</f>
        <v>273</v>
      </c>
      <c r="E4354" s="1" t="str">
        <f t="array" ref="E4354">_xlfn.XLOOKUP(A4354,Product!A:A,Product!B:B,"Bulunamadı")</f>
        <v>Law</v>
      </c>
      <c r="F4354" s="1" t="str">
        <f t="array" ref="F4354">_xlfn.XLOOKUP(A4354,Product!A:A,Product!C:C,"Bulunamadı")</f>
        <v>Banking</v>
      </c>
      <c r="G4354" s="2" t="str">
        <f t="array" ref="G4354">_xlfn.XLOOKUP(A4355,Product!A:A,Product!D:D,"Bulunamadı")</f>
        <v>Silverpoint House</v>
      </c>
      <c r="H4354" s="2">
        <f t="array" ref="H4354">_xlfn.XLOOKUP(A4356,Product!A:A,Product!E:E,"Bulunamadı")</f>
        <v>3.58</v>
      </c>
      <c r="I4354" s="2" t="str">
        <f t="shared" si="1"/>
        <v>69503 - Law - Banking</v>
      </c>
      <c r="J4354" s="2">
        <f t="shared" si="2"/>
        <v>977.34</v>
      </c>
      <c r="K4354" s="17">
        <f t="shared" si="3"/>
        <v>1</v>
      </c>
      <c r="L4354" s="18"/>
    </row>
    <row r="4355" hidden="1">
      <c r="A4355" s="2">
        <f>IFERROR(__xludf.DUMMYFUNCTION("""COMPUTED_VALUE"""),23473.0)</f>
        <v>23473</v>
      </c>
      <c r="B4355" s="2">
        <f>IFERROR(__xludf.DUMMYFUNCTION("""COMPUTED_VALUE"""),1.0)</f>
        <v>1</v>
      </c>
      <c r="C4355" s="2">
        <f>IFERROR(__xludf.DUMMYFUNCTION("""COMPUTED_VALUE"""),798.0)</f>
        <v>798</v>
      </c>
      <c r="D4355" s="3">
        <f>IFERROR(__xludf.DUMMYFUNCTION("""COMPUTED_VALUE"""),426.0)</f>
        <v>426</v>
      </c>
      <c r="E4355" s="1" t="str">
        <f t="array" ref="E4355">_xlfn.XLOOKUP(A4355,Product!A:A,Product!B:B,"Bulunamadı")</f>
        <v>Law</v>
      </c>
      <c r="F4355" s="1" t="str">
        <f t="array" ref="F4355">_xlfn.XLOOKUP(A4355,Product!A:A,Product!C:C,"Bulunamadı")</f>
        <v>Banking</v>
      </c>
      <c r="G4355" s="2" t="str">
        <f t="array" ref="G4355">_xlfn.XLOOKUP(A4356,Product!A:A,Product!D:D,"Bulunamadı")</f>
        <v>Silverpoint House</v>
      </c>
      <c r="H4355" s="2">
        <f t="array" ref="H4355">_xlfn.XLOOKUP(A4357,Product!A:A,Product!E:E,"Bulunamadı")</f>
        <v>3.43</v>
      </c>
      <c r="I4355" s="2" t="str">
        <f t="shared" si="1"/>
        <v>23473 - Law - Banking</v>
      </c>
      <c r="J4355" s="2">
        <f t="shared" si="2"/>
        <v>1461.18</v>
      </c>
      <c r="K4355" s="17">
        <f t="shared" si="3"/>
        <v>1</v>
      </c>
      <c r="L4355" s="18"/>
    </row>
    <row r="4356" hidden="1">
      <c r="A4356" s="2">
        <f>IFERROR(__xludf.DUMMYFUNCTION("""COMPUTED_VALUE"""),69500.0)</f>
        <v>69500</v>
      </c>
      <c r="B4356" s="2">
        <f>IFERROR(__xludf.DUMMYFUNCTION("""COMPUTED_VALUE"""),0.0)</f>
        <v>0</v>
      </c>
      <c r="C4356" s="2">
        <f>IFERROR(__xludf.DUMMYFUNCTION("""COMPUTED_VALUE"""),175.0)</f>
        <v>175</v>
      </c>
      <c r="D4356" s="3">
        <f>IFERROR(__xludf.DUMMYFUNCTION("""COMPUTED_VALUE"""),68.0)</f>
        <v>68</v>
      </c>
      <c r="E4356" s="1" t="str">
        <f t="array" ref="E4356">_xlfn.XLOOKUP(A4356,Product!A:A,Product!B:B,"Bulunamadı")</f>
        <v>Law</v>
      </c>
      <c r="F4356" s="1" t="str">
        <f t="array" ref="F4356">_xlfn.XLOOKUP(A4356,Product!A:A,Product!C:C,"Bulunamadı")</f>
        <v>Banking</v>
      </c>
      <c r="G4356" s="2" t="str">
        <f t="array" ref="G4356">_xlfn.XLOOKUP(A4357,Product!A:A,Product!D:D,"Bulunamadı")</f>
        <v>Silverpoint House</v>
      </c>
      <c r="H4356" s="2">
        <f t="array" ref="H4356">_xlfn.XLOOKUP(A4358,Product!A:A,Product!E:E,"Bulunamadı")</f>
        <v>3.8</v>
      </c>
      <c r="I4356" s="2" t="str">
        <f t="shared" si="1"/>
        <v>69500 - Law - Banking</v>
      </c>
      <c r="J4356" s="2">
        <f t="shared" si="2"/>
        <v>258.4</v>
      </c>
      <c r="K4356" s="17">
        <f t="shared" si="3"/>
        <v>1</v>
      </c>
      <c r="L4356" s="18"/>
    </row>
    <row r="4357" hidden="1">
      <c r="A4357" s="2">
        <f>IFERROR(__xludf.DUMMYFUNCTION("""COMPUTED_VALUE"""),14689.0)</f>
        <v>14689</v>
      </c>
      <c r="B4357" s="2">
        <f>IFERROR(__xludf.DUMMYFUNCTION("""COMPUTED_VALUE"""),1.0)</f>
        <v>1</v>
      </c>
      <c r="C4357" s="2">
        <f>IFERROR(__xludf.DUMMYFUNCTION("""COMPUTED_VALUE"""),359.0)</f>
        <v>359</v>
      </c>
      <c r="D4357" s="3">
        <f>IFERROR(__xludf.DUMMYFUNCTION("""COMPUTED_VALUE"""),118.0)</f>
        <v>118</v>
      </c>
      <c r="E4357" s="1" t="str">
        <f t="array" ref="E4357">_xlfn.XLOOKUP(A4357,Product!A:A,Product!B:B,"Bulunamadı")</f>
        <v>Law</v>
      </c>
      <c r="F4357" s="1" t="str">
        <f t="array" ref="F4357">_xlfn.XLOOKUP(A4357,Product!A:A,Product!C:C,"Bulunamadı")</f>
        <v>Banking</v>
      </c>
      <c r="G4357" s="2" t="str">
        <f t="array" ref="G4357">_xlfn.XLOOKUP(A4358,Product!A:A,Product!D:D,"Bulunamadı")</f>
        <v>Silverpoint House</v>
      </c>
      <c r="H4357" s="2">
        <f t="array" ref="H4357">_xlfn.XLOOKUP(A4359,Product!A:A,Product!E:E,"Bulunamadı")</f>
        <v>2.01</v>
      </c>
      <c r="I4357" s="2" t="str">
        <f t="shared" si="1"/>
        <v>14689 - Law - Banking</v>
      </c>
      <c r="J4357" s="2">
        <f t="shared" si="2"/>
        <v>237.18</v>
      </c>
      <c r="K4357" s="17">
        <f t="shared" si="3"/>
        <v>1</v>
      </c>
      <c r="L4357" s="18"/>
    </row>
    <row r="4358" hidden="1">
      <c r="A4358" s="2">
        <f>IFERROR(__xludf.DUMMYFUNCTION("""COMPUTED_VALUE"""),19409.0)</f>
        <v>19409</v>
      </c>
      <c r="B4358" s="2">
        <f>IFERROR(__xludf.DUMMYFUNCTION("""COMPUTED_VALUE"""),1.0)</f>
        <v>1</v>
      </c>
      <c r="C4358" s="2">
        <f>IFERROR(__xludf.DUMMYFUNCTION("""COMPUTED_VALUE"""),313.0)</f>
        <v>313</v>
      </c>
      <c r="D4358" s="3">
        <f>IFERROR(__xludf.DUMMYFUNCTION("""COMPUTED_VALUE"""),271.0)</f>
        <v>271</v>
      </c>
      <c r="E4358" s="1" t="str">
        <f t="array" ref="E4358">_xlfn.XLOOKUP(A4358,Product!A:A,Product!B:B,"Bulunamadı")</f>
        <v>Law</v>
      </c>
      <c r="F4358" s="1" t="str">
        <f t="array" ref="F4358">_xlfn.XLOOKUP(A4358,Product!A:A,Product!C:C,"Bulunamadı")</f>
        <v>Banking</v>
      </c>
      <c r="G4358" s="2" t="str">
        <f t="array" ref="G4358">_xlfn.XLOOKUP(A4359,Product!A:A,Product!D:D,"Bulunamadı")</f>
        <v>Silverpoint House</v>
      </c>
      <c r="H4358" s="2">
        <f t="array" ref="H4358">_xlfn.XLOOKUP(A4360,Product!A:A,Product!E:E,"Bulunamadı")</f>
        <v>2.42</v>
      </c>
      <c r="I4358" s="2" t="str">
        <f t="shared" si="1"/>
        <v>19409 - Law - Banking</v>
      </c>
      <c r="J4358" s="2">
        <f t="shared" si="2"/>
        <v>655.82</v>
      </c>
      <c r="K4358" s="17">
        <f t="shared" si="3"/>
        <v>1</v>
      </c>
      <c r="L4358" s="18"/>
    </row>
    <row r="4359" hidden="1">
      <c r="A4359" s="2">
        <f>IFERROR(__xludf.DUMMYFUNCTION("""COMPUTED_VALUE"""),69526.0)</f>
        <v>69526</v>
      </c>
      <c r="B4359" s="2">
        <f>IFERROR(__xludf.DUMMYFUNCTION("""COMPUTED_VALUE"""),1.0)</f>
        <v>1</v>
      </c>
      <c r="C4359" s="2">
        <f>IFERROR(__xludf.DUMMYFUNCTION("""COMPUTED_VALUE"""),685.0)</f>
        <v>685</v>
      </c>
      <c r="D4359" s="3">
        <f>IFERROR(__xludf.DUMMYFUNCTION("""COMPUTED_VALUE"""),50.0)</f>
        <v>50</v>
      </c>
      <c r="E4359" s="1" t="str">
        <f t="array" ref="E4359">_xlfn.XLOOKUP(A4359,Product!A:A,Product!B:B,"Bulunamadı")</f>
        <v>Law</v>
      </c>
      <c r="F4359" s="1" t="str">
        <f t="array" ref="F4359">_xlfn.XLOOKUP(A4359,Product!A:A,Product!C:C,"Bulunamadı")</f>
        <v>Banking</v>
      </c>
      <c r="G4359" s="2" t="str">
        <f t="array" ref="G4359">_xlfn.XLOOKUP(A4360,Product!A:A,Product!D:D,"Bulunamadı")</f>
        <v>Silverpoint House</v>
      </c>
      <c r="H4359" s="2">
        <f t="array" ref="H4359">_xlfn.XLOOKUP(A4361,Product!A:A,Product!E:E,"Bulunamadı")</f>
        <v>3.32</v>
      </c>
      <c r="I4359" s="2" t="str">
        <f t="shared" si="1"/>
        <v>69526 - Law - Banking</v>
      </c>
      <c r="J4359" s="2">
        <f t="shared" si="2"/>
        <v>166</v>
      </c>
      <c r="K4359" s="17">
        <f t="shared" si="3"/>
        <v>1</v>
      </c>
      <c r="L4359" s="18"/>
    </row>
    <row r="4360" hidden="1">
      <c r="A4360" s="2">
        <f>IFERROR(__xludf.DUMMYFUNCTION("""COMPUTED_VALUE"""),19412.0)</f>
        <v>19412</v>
      </c>
      <c r="B4360" s="2">
        <f>IFERROR(__xludf.DUMMYFUNCTION("""COMPUTED_VALUE"""),1.0)</f>
        <v>1</v>
      </c>
      <c r="C4360" s="2">
        <f>IFERROR(__xludf.DUMMYFUNCTION("""COMPUTED_VALUE"""),663.0)</f>
        <v>663</v>
      </c>
      <c r="D4360" s="3">
        <f>IFERROR(__xludf.DUMMYFUNCTION("""COMPUTED_VALUE"""),647.0)</f>
        <v>647</v>
      </c>
      <c r="E4360" s="1" t="str">
        <f t="array" ref="E4360">_xlfn.XLOOKUP(A4360,Product!A:A,Product!B:B,"Bulunamadı")</f>
        <v>Law</v>
      </c>
      <c r="F4360" s="1" t="str">
        <f t="array" ref="F4360">_xlfn.XLOOKUP(A4360,Product!A:A,Product!C:C,"Bulunamadı")</f>
        <v>Banking</v>
      </c>
      <c r="G4360" s="2" t="str">
        <f t="array" ref="G4360">_xlfn.XLOOKUP(A4361,Product!A:A,Product!D:D,"Bulunamadı")</f>
        <v>Silverpoint House</v>
      </c>
      <c r="H4360" s="2">
        <f t="array" ref="H4360">_xlfn.XLOOKUP(A4362,Product!A:A,Product!E:E,"Bulunamadı")</f>
        <v>1.98</v>
      </c>
      <c r="I4360" s="2" t="str">
        <f t="shared" si="1"/>
        <v>19412 - Law - Banking</v>
      </c>
      <c r="J4360" s="2">
        <f t="shared" si="2"/>
        <v>1281.06</v>
      </c>
      <c r="K4360" s="17">
        <f t="shared" si="3"/>
        <v>1</v>
      </c>
      <c r="L4360" s="18"/>
    </row>
    <row r="4361" hidden="1">
      <c r="A4361" s="2">
        <f>IFERROR(__xludf.DUMMYFUNCTION("""COMPUTED_VALUE"""),23471.0)</f>
        <v>23471</v>
      </c>
      <c r="B4361" s="2">
        <f>IFERROR(__xludf.DUMMYFUNCTION("""COMPUTED_VALUE"""),1.0)</f>
        <v>1</v>
      </c>
      <c r="C4361" s="2">
        <f>IFERROR(__xludf.DUMMYFUNCTION("""COMPUTED_VALUE"""),338.0)</f>
        <v>338</v>
      </c>
      <c r="D4361" s="3">
        <f>IFERROR(__xludf.DUMMYFUNCTION("""COMPUTED_VALUE"""),76.0)</f>
        <v>76</v>
      </c>
      <c r="E4361" s="1" t="str">
        <f t="array" ref="E4361">_xlfn.XLOOKUP(A4361,Product!A:A,Product!B:B,"Bulunamadı")</f>
        <v>Law</v>
      </c>
      <c r="F4361" s="1" t="str">
        <f t="array" ref="F4361">_xlfn.XLOOKUP(A4361,Product!A:A,Product!C:C,"Bulunamadı")</f>
        <v>Banking</v>
      </c>
      <c r="G4361" s="2" t="str">
        <f t="array" ref="G4361">_xlfn.XLOOKUP(A4362,Product!A:A,Product!D:D,"Bulunamadı")</f>
        <v>Silverpoint House</v>
      </c>
      <c r="H4361" s="2">
        <f t="array" ref="H4361">_xlfn.XLOOKUP(A4363,Product!A:A,Product!E:E,"Bulunamadı")</f>
        <v>2.23</v>
      </c>
      <c r="I4361" s="2" t="str">
        <f t="shared" si="1"/>
        <v>23471 - Law - Banking</v>
      </c>
      <c r="J4361" s="2">
        <f t="shared" si="2"/>
        <v>169.48</v>
      </c>
      <c r="K4361" s="17">
        <f t="shared" si="3"/>
        <v>1</v>
      </c>
      <c r="L4361" s="18"/>
    </row>
    <row r="4362" hidden="1">
      <c r="A4362" s="2">
        <f>IFERROR(__xludf.DUMMYFUNCTION("""COMPUTED_VALUE"""),14670.0)</f>
        <v>14670</v>
      </c>
      <c r="B4362" s="2">
        <f>IFERROR(__xludf.DUMMYFUNCTION("""COMPUTED_VALUE"""),0.0)</f>
        <v>0</v>
      </c>
      <c r="C4362" s="2">
        <f>IFERROR(__xludf.DUMMYFUNCTION("""COMPUTED_VALUE"""),369.0)</f>
        <v>369</v>
      </c>
      <c r="D4362" s="3">
        <f>IFERROR(__xludf.DUMMYFUNCTION("""COMPUTED_VALUE"""),323.0)</f>
        <v>323</v>
      </c>
      <c r="E4362" s="1" t="str">
        <f t="array" ref="E4362">_xlfn.XLOOKUP(A4362,Product!A:A,Product!B:B,"Bulunamadı")</f>
        <v>Law</v>
      </c>
      <c r="F4362" s="1" t="str">
        <f t="array" ref="F4362">_xlfn.XLOOKUP(A4362,Product!A:A,Product!C:C,"Bulunamadı")</f>
        <v>Banking</v>
      </c>
      <c r="G4362" s="2" t="str">
        <f t="array" ref="G4362">_xlfn.XLOOKUP(A4363,Product!A:A,Product!D:D,"Bulunamadı")</f>
        <v>Silverpoint House</v>
      </c>
      <c r="H4362" s="2">
        <f t="array" ref="H4362">_xlfn.XLOOKUP(A4364,Product!A:A,Product!E:E,"Bulunamadı")</f>
        <v>0.51</v>
      </c>
      <c r="I4362" s="2" t="str">
        <f t="shared" si="1"/>
        <v>14670 - Law - Banking</v>
      </c>
      <c r="J4362" s="2">
        <f t="shared" si="2"/>
        <v>164.73</v>
      </c>
      <c r="K4362" s="17">
        <f t="shared" si="3"/>
        <v>1</v>
      </c>
      <c r="L4362" s="18"/>
    </row>
    <row r="4363" hidden="1">
      <c r="A4363" s="2">
        <f>IFERROR(__xludf.DUMMYFUNCTION("""COMPUTED_VALUE"""),69499.0)</f>
        <v>69499</v>
      </c>
      <c r="B4363" s="2">
        <f>IFERROR(__xludf.DUMMYFUNCTION("""COMPUTED_VALUE"""),1.0)</f>
        <v>1</v>
      </c>
      <c r="C4363" s="2">
        <f>IFERROR(__xludf.DUMMYFUNCTION("""COMPUTED_VALUE"""),450.0)</f>
        <v>450</v>
      </c>
      <c r="D4363" s="3">
        <f>IFERROR(__xludf.DUMMYFUNCTION("""COMPUTED_VALUE"""),190.0)</f>
        <v>190</v>
      </c>
      <c r="E4363" s="1" t="str">
        <f t="array" ref="E4363">_xlfn.XLOOKUP(A4363,Product!A:A,Product!B:B,"Bulunamadı")</f>
        <v>Law</v>
      </c>
      <c r="F4363" s="1" t="str">
        <f t="array" ref="F4363">_xlfn.XLOOKUP(A4363,Product!A:A,Product!C:C,"Bulunamadı")</f>
        <v>Banking</v>
      </c>
      <c r="G4363" s="2" t="str">
        <f t="array" ref="G4363">_xlfn.XLOOKUP(A4364,Product!A:A,Product!D:D,"Bulunamadı")</f>
        <v>Silverpoint House</v>
      </c>
      <c r="H4363" s="2">
        <f t="array" ref="H4363">_xlfn.XLOOKUP(A4365,Product!A:A,Product!E:E,"Bulunamadı")</f>
        <v>2.28</v>
      </c>
      <c r="I4363" s="2" t="str">
        <f t="shared" si="1"/>
        <v>69499 - Law - Banking</v>
      </c>
      <c r="J4363" s="2">
        <f t="shared" si="2"/>
        <v>433.2</v>
      </c>
      <c r="K4363" s="17">
        <f t="shared" si="3"/>
        <v>1</v>
      </c>
      <c r="L4363" s="18"/>
    </row>
    <row r="4364" hidden="1">
      <c r="A4364" s="2">
        <f>IFERROR(__xludf.DUMMYFUNCTION("""COMPUTED_VALUE"""),90686.0)</f>
        <v>90686</v>
      </c>
      <c r="B4364" s="2">
        <f>IFERROR(__xludf.DUMMYFUNCTION("""COMPUTED_VALUE"""),1.0)</f>
        <v>1</v>
      </c>
      <c r="C4364" s="2">
        <f>IFERROR(__xludf.DUMMYFUNCTION("""COMPUTED_VALUE"""),508.0)</f>
        <v>508</v>
      </c>
      <c r="D4364" s="3">
        <f>IFERROR(__xludf.DUMMYFUNCTION("""COMPUTED_VALUE"""),408.0)</f>
        <v>408</v>
      </c>
      <c r="E4364" s="1" t="str">
        <f t="array" ref="E4364">_xlfn.XLOOKUP(A4364,Product!A:A,Product!B:B,"Bulunamadı")</f>
        <v>Law</v>
      </c>
      <c r="F4364" s="1" t="str">
        <f t="array" ref="F4364">_xlfn.XLOOKUP(A4364,Product!A:A,Product!C:C,"Bulunamadı")</f>
        <v>Banking</v>
      </c>
      <c r="G4364" s="2" t="str">
        <f t="array" ref="G4364">_xlfn.XLOOKUP(A4365,Product!A:A,Product!D:D,"Bulunamadı")</f>
        <v>Silverpoint House</v>
      </c>
      <c r="H4364" s="2">
        <f t="array" ref="H4364">_xlfn.XLOOKUP(A4366,Product!A:A,Product!E:E,"Bulunamadı")</f>
        <v>3.99</v>
      </c>
      <c r="I4364" s="2" t="str">
        <f t="shared" si="1"/>
        <v>90686 - Law - Banking</v>
      </c>
      <c r="J4364" s="2">
        <f t="shared" si="2"/>
        <v>1627.92</v>
      </c>
      <c r="K4364" s="17">
        <f t="shared" si="3"/>
        <v>1</v>
      </c>
      <c r="L4364" s="18"/>
    </row>
    <row r="4365" hidden="1">
      <c r="A4365" s="2">
        <f>IFERROR(__xludf.DUMMYFUNCTION("""COMPUTED_VALUE"""),111872.0)</f>
        <v>111872</v>
      </c>
      <c r="B4365" s="2">
        <f>IFERROR(__xludf.DUMMYFUNCTION("""COMPUTED_VALUE"""),1.0)</f>
        <v>1</v>
      </c>
      <c r="C4365" s="2">
        <f>IFERROR(__xludf.DUMMYFUNCTION("""COMPUTED_VALUE"""),754.0)</f>
        <v>754</v>
      </c>
      <c r="D4365" s="3">
        <f>IFERROR(__xludf.DUMMYFUNCTION("""COMPUTED_VALUE"""),272.0)</f>
        <v>272</v>
      </c>
      <c r="E4365" s="1" t="str">
        <f t="array" ref="E4365">_xlfn.XLOOKUP(A4365,Product!A:A,Product!B:B,"Bulunamadı")</f>
        <v>Law</v>
      </c>
      <c r="F4365" s="1" t="str">
        <f t="array" ref="F4365">_xlfn.XLOOKUP(A4365,Product!A:A,Product!C:C,"Bulunamadı")</f>
        <v>Banking</v>
      </c>
      <c r="G4365" s="2" t="str">
        <f t="array" ref="G4365">_xlfn.XLOOKUP(A4366,Product!A:A,Product!D:D,"Bulunamadı")</f>
        <v>Silverpoint House</v>
      </c>
      <c r="H4365" s="2">
        <f t="array" ref="H4365">_xlfn.XLOOKUP(A4367,Product!A:A,Product!E:E,"Bulunamadı")</f>
        <v>2.61</v>
      </c>
      <c r="I4365" s="2" t="str">
        <f t="shared" si="1"/>
        <v>111872 - Law - Banking</v>
      </c>
      <c r="J4365" s="2">
        <f t="shared" si="2"/>
        <v>709.92</v>
      </c>
      <c r="K4365" s="17">
        <f t="shared" si="3"/>
        <v>1</v>
      </c>
      <c r="L4365" s="18"/>
    </row>
    <row r="4366" hidden="1">
      <c r="A4366" s="2">
        <f>IFERROR(__xludf.DUMMYFUNCTION("""COMPUTED_VALUE"""),23964.0)</f>
        <v>23964</v>
      </c>
      <c r="B4366" s="2">
        <f>IFERROR(__xludf.DUMMYFUNCTION("""COMPUTED_VALUE"""),0.0)</f>
        <v>0</v>
      </c>
      <c r="C4366" s="2">
        <f>IFERROR(__xludf.DUMMYFUNCTION("""COMPUTED_VALUE"""),320.0)</f>
        <v>320</v>
      </c>
      <c r="D4366" s="3">
        <f>IFERROR(__xludf.DUMMYFUNCTION("""COMPUTED_VALUE"""),178.0)</f>
        <v>178</v>
      </c>
      <c r="E4366" s="1" t="str">
        <f t="array" ref="E4366">_xlfn.XLOOKUP(A4366,Product!A:A,Product!B:B,"Bulunamadı")</f>
        <v>Law</v>
      </c>
      <c r="F4366" s="1" t="str">
        <f t="array" ref="F4366">_xlfn.XLOOKUP(A4366,Product!A:A,Product!C:C,"Bulunamadı")</f>
        <v>Banking</v>
      </c>
      <c r="G4366" s="2" t="str">
        <f t="array" ref="G4366">_xlfn.XLOOKUP(A4367,Product!A:A,Product!D:D,"Bulunamadı")</f>
        <v>Silverpoint House</v>
      </c>
      <c r="H4366" s="2">
        <f t="array" ref="H4366">_xlfn.XLOOKUP(A4368,Product!A:A,Product!E:E,"Bulunamadı")</f>
        <v>2.4</v>
      </c>
      <c r="I4366" s="2" t="str">
        <f t="shared" si="1"/>
        <v>23964 - Law - Banking</v>
      </c>
      <c r="J4366" s="2">
        <f t="shared" si="2"/>
        <v>427.2</v>
      </c>
      <c r="K4366" s="17">
        <f t="shared" si="3"/>
        <v>1</v>
      </c>
      <c r="L4366" s="18"/>
    </row>
    <row r="4367" hidden="1">
      <c r="A4367" s="2">
        <f>IFERROR(__xludf.DUMMYFUNCTION("""COMPUTED_VALUE"""),111837.0)</f>
        <v>111837</v>
      </c>
      <c r="B4367" s="2">
        <f>IFERROR(__xludf.DUMMYFUNCTION("""COMPUTED_VALUE"""),0.0)</f>
        <v>0</v>
      </c>
      <c r="C4367" s="2">
        <f>IFERROR(__xludf.DUMMYFUNCTION("""COMPUTED_VALUE"""),422.0)</f>
        <v>422</v>
      </c>
      <c r="D4367" s="3">
        <f>IFERROR(__xludf.DUMMYFUNCTION("""COMPUTED_VALUE"""),172.0)</f>
        <v>172</v>
      </c>
      <c r="E4367" s="1" t="str">
        <f t="array" ref="E4367">_xlfn.XLOOKUP(A4367,Product!A:A,Product!B:B,"Bulunamadı")</f>
        <v>Law</v>
      </c>
      <c r="F4367" s="1" t="str">
        <f t="array" ref="F4367">_xlfn.XLOOKUP(A4367,Product!A:A,Product!C:C,"Bulunamadı")</f>
        <v>Banking</v>
      </c>
      <c r="G4367" s="2" t="str">
        <f t="array" ref="G4367">_xlfn.XLOOKUP(A4368,Product!A:A,Product!D:D,"Bulunamadı")</f>
        <v>Silverpoint House</v>
      </c>
      <c r="H4367" s="2">
        <f t="array" ref="H4367">_xlfn.XLOOKUP(A4369,Product!A:A,Product!E:E,"Bulunamadı")</f>
        <v>1.83</v>
      </c>
      <c r="I4367" s="2" t="str">
        <f t="shared" si="1"/>
        <v>111837 - Law - Banking</v>
      </c>
      <c r="J4367" s="2">
        <f t="shared" si="2"/>
        <v>314.76</v>
      </c>
      <c r="K4367" s="17">
        <f t="shared" si="3"/>
        <v>1</v>
      </c>
      <c r="L4367" s="18"/>
    </row>
    <row r="4368" hidden="1">
      <c r="A4368" s="2">
        <f>IFERROR(__xludf.DUMMYFUNCTION("""COMPUTED_VALUE"""),19377.0)</f>
        <v>19377</v>
      </c>
      <c r="B4368" s="2">
        <f>IFERROR(__xludf.DUMMYFUNCTION("""COMPUTED_VALUE"""),1.0)</f>
        <v>1</v>
      </c>
      <c r="C4368" s="2">
        <f>IFERROR(__xludf.DUMMYFUNCTION("""COMPUTED_VALUE"""),379.0)</f>
        <v>379</v>
      </c>
      <c r="D4368" s="3">
        <f>IFERROR(__xludf.DUMMYFUNCTION("""COMPUTED_VALUE"""),349.0)</f>
        <v>349</v>
      </c>
      <c r="E4368" s="1" t="str">
        <f t="array" ref="E4368">_xlfn.XLOOKUP(A4368,Product!A:A,Product!B:B,"Bulunamadı")</f>
        <v>Law</v>
      </c>
      <c r="F4368" s="1" t="str">
        <f t="array" ref="F4368">_xlfn.XLOOKUP(A4368,Product!A:A,Product!C:C,"Bulunamadı")</f>
        <v>Banking</v>
      </c>
      <c r="G4368" s="2" t="str">
        <f t="array" ref="G4368">_xlfn.XLOOKUP(A4369,Product!A:A,Product!D:D,"Bulunamadı")</f>
        <v>Silverpoint House</v>
      </c>
      <c r="H4368" s="2">
        <f t="array" ref="H4368">_xlfn.XLOOKUP(A4370,Product!A:A,Product!E:E,"Bulunamadı")</f>
        <v>1.47</v>
      </c>
      <c r="I4368" s="2" t="str">
        <f t="shared" si="1"/>
        <v>19377 - Law - Banking</v>
      </c>
      <c r="J4368" s="2">
        <f t="shared" si="2"/>
        <v>513.03</v>
      </c>
      <c r="K4368" s="17">
        <f t="shared" si="3"/>
        <v>1</v>
      </c>
      <c r="L4368" s="18"/>
    </row>
    <row r="4369" hidden="1">
      <c r="A4369" s="2">
        <f>IFERROR(__xludf.DUMMYFUNCTION("""COMPUTED_VALUE"""),111836.0)</f>
        <v>111836</v>
      </c>
      <c r="B4369" s="2">
        <f>IFERROR(__xludf.DUMMYFUNCTION("""COMPUTED_VALUE"""),1.0)</f>
        <v>1</v>
      </c>
      <c r="C4369" s="2">
        <f>IFERROR(__xludf.DUMMYFUNCTION("""COMPUTED_VALUE"""),706.0)</f>
        <v>706</v>
      </c>
      <c r="D4369" s="3">
        <f>IFERROR(__xludf.DUMMYFUNCTION("""COMPUTED_VALUE"""),192.0)</f>
        <v>192</v>
      </c>
      <c r="E4369" s="1" t="str">
        <f t="array" ref="E4369">_xlfn.XLOOKUP(A4369,Product!A:A,Product!B:B,"Bulunamadı")</f>
        <v>Law</v>
      </c>
      <c r="F4369" s="1" t="str">
        <f t="array" ref="F4369">_xlfn.XLOOKUP(A4369,Product!A:A,Product!C:C,"Bulunamadı")</f>
        <v>Banking</v>
      </c>
      <c r="G4369" s="2" t="str">
        <f t="array" ref="G4369">_xlfn.XLOOKUP(A4370,Product!A:A,Product!D:D,"Bulunamadı")</f>
        <v>Silverpoint House</v>
      </c>
      <c r="H4369" s="2">
        <f t="array" ref="H4369">_xlfn.XLOOKUP(A4371,Product!A:A,Product!E:E,"Bulunamadı")</f>
        <v>3.4</v>
      </c>
      <c r="I4369" s="2" t="str">
        <f t="shared" si="1"/>
        <v>111836 - Law - Banking</v>
      </c>
      <c r="J4369" s="2">
        <f t="shared" si="2"/>
        <v>652.8</v>
      </c>
      <c r="K4369" s="17">
        <f t="shared" si="3"/>
        <v>1</v>
      </c>
      <c r="L4369" s="18"/>
    </row>
    <row r="4370" hidden="1">
      <c r="A4370" s="2">
        <f>IFERROR(__xludf.DUMMYFUNCTION("""COMPUTED_VALUE"""),190103.0)</f>
        <v>190103</v>
      </c>
      <c r="B4370" s="2">
        <f>IFERROR(__xludf.DUMMYFUNCTION("""COMPUTED_VALUE"""),0.0)</f>
        <v>0</v>
      </c>
      <c r="C4370" s="2">
        <f>IFERROR(__xludf.DUMMYFUNCTION("""COMPUTED_VALUE"""),912.0)</f>
        <v>912</v>
      </c>
      <c r="D4370" s="3">
        <f>IFERROR(__xludf.DUMMYFUNCTION("""COMPUTED_VALUE"""),454.0)</f>
        <v>454</v>
      </c>
      <c r="E4370" s="1" t="str">
        <f t="array" ref="E4370">_xlfn.XLOOKUP(A4370,Product!A:A,Product!B:B,"Bulunamadı")</f>
        <v>Law</v>
      </c>
      <c r="F4370" s="1" t="str">
        <f t="array" ref="F4370">_xlfn.XLOOKUP(A4370,Product!A:A,Product!C:C,"Bulunamadı")</f>
        <v>Banking</v>
      </c>
      <c r="G4370" s="2" t="str">
        <f t="array" ref="G4370">_xlfn.XLOOKUP(A4371,Product!A:A,Product!D:D,"Bulunamadı")</f>
        <v>Silverpoint House</v>
      </c>
      <c r="H4370" s="2">
        <f t="array" ref="H4370">_xlfn.XLOOKUP(A4372,Product!A:A,Product!E:E,"Bulunamadı")</f>
        <v>0.84</v>
      </c>
      <c r="I4370" s="2" t="str">
        <f t="shared" si="1"/>
        <v>190103 - Law - Banking</v>
      </c>
      <c r="J4370" s="2">
        <f t="shared" si="2"/>
        <v>381.36</v>
      </c>
      <c r="K4370" s="17">
        <f t="shared" si="3"/>
        <v>1</v>
      </c>
      <c r="L4370" s="18"/>
    </row>
    <row r="4371" hidden="1">
      <c r="A4371" s="2">
        <f>IFERROR(__xludf.DUMMYFUNCTION("""COMPUTED_VALUE"""),19408.0)</f>
        <v>19408</v>
      </c>
      <c r="B4371" s="2">
        <f>IFERROR(__xludf.DUMMYFUNCTION("""COMPUTED_VALUE"""),0.0)</f>
        <v>0</v>
      </c>
      <c r="C4371" s="2">
        <f>IFERROR(__xludf.DUMMYFUNCTION("""COMPUTED_VALUE"""),695.0)</f>
        <v>695</v>
      </c>
      <c r="D4371" s="3">
        <f>IFERROR(__xludf.DUMMYFUNCTION("""COMPUTED_VALUE"""),385.0)</f>
        <v>385</v>
      </c>
      <c r="E4371" s="1" t="str">
        <f t="array" ref="E4371">_xlfn.XLOOKUP(A4371,Product!A:A,Product!B:B,"Bulunamadı")</f>
        <v>Law</v>
      </c>
      <c r="F4371" s="1" t="str">
        <f t="array" ref="F4371">_xlfn.XLOOKUP(A4371,Product!A:A,Product!C:C,"Bulunamadı")</f>
        <v>Banking</v>
      </c>
      <c r="G4371" s="2" t="str">
        <f t="array" ref="G4371">_xlfn.XLOOKUP(A4372,Product!A:A,Product!D:D,"Bulunamadı")</f>
        <v>Silverpoint House</v>
      </c>
      <c r="H4371" s="2">
        <f t="array" ref="H4371">_xlfn.XLOOKUP(A4373,Product!A:A,Product!E:E,"Bulunamadı")</f>
        <v>1.8</v>
      </c>
      <c r="I4371" s="2" t="str">
        <f t="shared" si="1"/>
        <v>19408 - Law - Banking</v>
      </c>
      <c r="J4371" s="2">
        <f t="shared" si="2"/>
        <v>693</v>
      </c>
      <c r="K4371" s="17">
        <f t="shared" si="3"/>
        <v>1</v>
      </c>
      <c r="L4371" s="18"/>
    </row>
    <row r="4372" hidden="1">
      <c r="A4372" s="2">
        <f>IFERROR(__xludf.DUMMYFUNCTION("""COMPUTED_VALUE"""),14694.0)</f>
        <v>14694</v>
      </c>
      <c r="B4372" s="2">
        <f>IFERROR(__xludf.DUMMYFUNCTION("""COMPUTED_VALUE"""),0.0)</f>
        <v>0</v>
      </c>
      <c r="C4372" s="2">
        <f>IFERROR(__xludf.DUMMYFUNCTION("""COMPUTED_VALUE"""),484.0)</f>
        <v>484</v>
      </c>
      <c r="D4372" s="3">
        <f>IFERROR(__xludf.DUMMYFUNCTION("""COMPUTED_VALUE"""),114.0)</f>
        <v>114</v>
      </c>
      <c r="E4372" s="1" t="str">
        <f t="array" ref="E4372">_xlfn.XLOOKUP(A4372,Product!A:A,Product!B:B,"Bulunamadı")</f>
        <v>Law</v>
      </c>
      <c r="F4372" s="1" t="str">
        <f t="array" ref="F4372">_xlfn.XLOOKUP(A4372,Product!A:A,Product!C:C,"Bulunamadı")</f>
        <v>Banking</v>
      </c>
      <c r="G4372" s="2" t="str">
        <f t="array" ref="G4372">_xlfn.XLOOKUP(A4373,Product!A:A,Product!D:D,"Bulunamadı")</f>
        <v>Silverpoint House</v>
      </c>
      <c r="H4372" s="2">
        <f t="array" ref="H4372">_xlfn.XLOOKUP(A4374,Product!A:A,Product!E:E,"Bulunamadı")</f>
        <v>2.33</v>
      </c>
      <c r="I4372" s="2" t="str">
        <f t="shared" si="1"/>
        <v>14694 - Law - Banking</v>
      </c>
      <c r="J4372" s="2">
        <f t="shared" si="2"/>
        <v>265.62</v>
      </c>
      <c r="K4372" s="17">
        <f t="shared" si="3"/>
        <v>1</v>
      </c>
      <c r="L4372" s="18"/>
    </row>
    <row r="4373" hidden="1">
      <c r="A4373" s="2">
        <f>IFERROR(__xludf.DUMMYFUNCTION("""COMPUTED_VALUE"""),5686.0)</f>
        <v>5686</v>
      </c>
      <c r="B4373" s="2">
        <f>IFERROR(__xludf.DUMMYFUNCTION("""COMPUTED_VALUE"""),0.0)</f>
        <v>0</v>
      </c>
      <c r="C4373" s="2">
        <f>IFERROR(__xludf.DUMMYFUNCTION("""COMPUTED_VALUE"""),674.0)</f>
        <v>674</v>
      </c>
      <c r="D4373" s="3">
        <f>IFERROR(__xludf.DUMMYFUNCTION("""COMPUTED_VALUE"""),324.0)</f>
        <v>324</v>
      </c>
      <c r="E4373" s="1" t="str">
        <f t="array" ref="E4373">_xlfn.XLOOKUP(A4373,Product!A:A,Product!B:B,"Bulunamadı")</f>
        <v>Law</v>
      </c>
      <c r="F4373" s="1" t="str">
        <f t="array" ref="F4373">_xlfn.XLOOKUP(A4373,Product!A:A,Product!C:C,"Bulunamadı")</f>
        <v>Banking</v>
      </c>
      <c r="G4373" s="2" t="str">
        <f t="array" ref="G4373">_xlfn.XLOOKUP(A4374,Product!A:A,Product!D:D,"Bulunamadı")</f>
        <v>Silverpoint House</v>
      </c>
      <c r="H4373" s="2">
        <f t="array" ref="H4373">_xlfn.XLOOKUP(A4375,Product!A:A,Product!E:E,"Bulunamadı")</f>
        <v>2.22</v>
      </c>
      <c r="I4373" s="2" t="str">
        <f t="shared" si="1"/>
        <v>5686 - Law - Banking</v>
      </c>
      <c r="J4373" s="2">
        <f t="shared" si="2"/>
        <v>719.28</v>
      </c>
      <c r="K4373" s="17">
        <f t="shared" si="3"/>
        <v>1</v>
      </c>
      <c r="L4373" s="18"/>
    </row>
    <row r="4374" hidden="1">
      <c r="A4374" s="2">
        <f>IFERROR(__xludf.DUMMYFUNCTION("""COMPUTED_VALUE"""),111842.0)</f>
        <v>111842</v>
      </c>
      <c r="B4374" s="2">
        <f>IFERROR(__xludf.DUMMYFUNCTION("""COMPUTED_VALUE"""),1.0)</f>
        <v>1</v>
      </c>
      <c r="C4374" s="2">
        <f>IFERROR(__xludf.DUMMYFUNCTION("""COMPUTED_VALUE"""),662.0)</f>
        <v>662</v>
      </c>
      <c r="D4374" s="3">
        <f>IFERROR(__xludf.DUMMYFUNCTION("""COMPUTED_VALUE"""),308.0)</f>
        <v>308</v>
      </c>
      <c r="E4374" s="1" t="str">
        <f t="array" ref="E4374">_xlfn.XLOOKUP(A4374,Product!A:A,Product!B:B,"Bulunamadı")</f>
        <v>Law</v>
      </c>
      <c r="F4374" s="1" t="str">
        <f t="array" ref="F4374">_xlfn.XLOOKUP(A4374,Product!A:A,Product!C:C,"Bulunamadı")</f>
        <v>Banking</v>
      </c>
      <c r="G4374" s="2" t="str">
        <f t="array" ref="G4374">_xlfn.XLOOKUP(A4375,Product!A:A,Product!D:D,"Bulunamadı")</f>
        <v>Silverpoint House</v>
      </c>
      <c r="H4374" s="2">
        <f t="array" ref="H4374">_xlfn.XLOOKUP(A4376,Product!A:A,Product!E:E,"Bulunamadı")</f>
        <v>1.09</v>
      </c>
      <c r="I4374" s="2" t="str">
        <f t="shared" si="1"/>
        <v>111842 - Law - Banking</v>
      </c>
      <c r="J4374" s="2">
        <f t="shared" si="2"/>
        <v>335.72</v>
      </c>
      <c r="K4374" s="17">
        <f t="shared" si="3"/>
        <v>1</v>
      </c>
      <c r="L4374" s="18"/>
    </row>
    <row r="4375" hidden="1">
      <c r="A4375" s="2">
        <f>IFERROR(__xludf.DUMMYFUNCTION("""COMPUTED_VALUE"""),23978.0)</f>
        <v>23978</v>
      </c>
      <c r="B4375" s="2">
        <f>IFERROR(__xludf.DUMMYFUNCTION("""COMPUTED_VALUE"""),1.0)</f>
        <v>1</v>
      </c>
      <c r="C4375" s="2">
        <f>IFERROR(__xludf.DUMMYFUNCTION("""COMPUTED_VALUE"""),811.0)</f>
        <v>811</v>
      </c>
      <c r="D4375" s="3">
        <f>IFERROR(__xludf.DUMMYFUNCTION("""COMPUTED_VALUE"""),234.0)</f>
        <v>234</v>
      </c>
      <c r="E4375" s="1" t="str">
        <f t="array" ref="E4375">_xlfn.XLOOKUP(A4375,Product!A:A,Product!B:B,"Bulunamadı")</f>
        <v>Law</v>
      </c>
      <c r="F4375" s="1" t="str">
        <f t="array" ref="F4375">_xlfn.XLOOKUP(A4375,Product!A:A,Product!C:C,"Bulunamadı")</f>
        <v>Banking</v>
      </c>
      <c r="G4375" s="2" t="str">
        <f t="array" ref="G4375">_xlfn.XLOOKUP(A4376,Product!A:A,Product!D:D,"Bulunamadı")</f>
        <v>Silverpoint House</v>
      </c>
      <c r="H4375" s="2">
        <f t="array" ref="H4375">_xlfn.XLOOKUP(A4377,Product!A:A,Product!E:E,"Bulunamadı")</f>
        <v>3.3</v>
      </c>
      <c r="I4375" s="2" t="str">
        <f t="shared" si="1"/>
        <v>23978 - Law - Banking</v>
      </c>
      <c r="J4375" s="2">
        <f t="shared" si="2"/>
        <v>772.2</v>
      </c>
      <c r="K4375" s="17">
        <f t="shared" si="3"/>
        <v>1</v>
      </c>
      <c r="L4375" s="18"/>
    </row>
    <row r="4376" hidden="1">
      <c r="A4376" s="2">
        <f>IFERROR(__xludf.DUMMYFUNCTION("""COMPUTED_VALUE"""),14682.0)</f>
        <v>14682</v>
      </c>
      <c r="B4376" s="2">
        <f>IFERROR(__xludf.DUMMYFUNCTION("""COMPUTED_VALUE"""),1.0)</f>
        <v>1</v>
      </c>
      <c r="C4376" s="2">
        <f>IFERROR(__xludf.DUMMYFUNCTION("""COMPUTED_VALUE"""),78.0)</f>
        <v>78</v>
      </c>
      <c r="D4376" s="3">
        <f>IFERROR(__xludf.DUMMYFUNCTION("""COMPUTED_VALUE"""),71.0)</f>
        <v>71</v>
      </c>
      <c r="E4376" s="1" t="str">
        <f t="array" ref="E4376">_xlfn.XLOOKUP(A4376,Product!A:A,Product!B:B,"Bulunamadı")</f>
        <v>Law</v>
      </c>
      <c r="F4376" s="1" t="str">
        <f t="array" ref="F4376">_xlfn.XLOOKUP(A4376,Product!A:A,Product!C:C,"Bulunamadı")</f>
        <v>Banking</v>
      </c>
      <c r="G4376" s="2" t="str">
        <f t="array" ref="G4376">_xlfn.XLOOKUP(A4377,Product!A:A,Product!D:D,"Bulunamadı")</f>
        <v>Silverpoint House</v>
      </c>
      <c r="H4376" s="2">
        <f t="array" ref="H4376">_xlfn.XLOOKUP(A4378,Product!A:A,Product!E:E,"Bulunamadı")</f>
        <v>2.71</v>
      </c>
      <c r="I4376" s="2" t="str">
        <f t="shared" si="1"/>
        <v>14682 - Law - Banking</v>
      </c>
      <c r="J4376" s="2">
        <f t="shared" si="2"/>
        <v>192.41</v>
      </c>
      <c r="K4376" s="17">
        <f t="shared" si="3"/>
        <v>1</v>
      </c>
      <c r="L4376" s="18"/>
    </row>
    <row r="4377" hidden="1">
      <c r="A4377" s="2">
        <f>IFERROR(__xludf.DUMMYFUNCTION("""COMPUTED_VALUE"""),111873.0)</f>
        <v>111873</v>
      </c>
      <c r="B4377" s="2">
        <f>IFERROR(__xludf.DUMMYFUNCTION("""COMPUTED_VALUE"""),1.0)</f>
        <v>1</v>
      </c>
      <c r="C4377" s="2">
        <f>IFERROR(__xludf.DUMMYFUNCTION("""COMPUTED_VALUE"""),167.0)</f>
        <v>167</v>
      </c>
      <c r="D4377" s="3">
        <f>IFERROR(__xludf.DUMMYFUNCTION("""COMPUTED_VALUE"""),137.0)</f>
        <v>137</v>
      </c>
      <c r="E4377" s="1" t="str">
        <f t="array" ref="E4377">_xlfn.XLOOKUP(A4377,Product!A:A,Product!B:B,"Bulunamadı")</f>
        <v>Law</v>
      </c>
      <c r="F4377" s="1" t="str">
        <f t="array" ref="F4377">_xlfn.XLOOKUP(A4377,Product!A:A,Product!C:C,"Bulunamadı")</f>
        <v>Banking</v>
      </c>
      <c r="G4377" s="2" t="str">
        <f t="array" ref="G4377">_xlfn.XLOOKUP(A4378,Product!A:A,Product!D:D,"Bulunamadı")</f>
        <v>Silverpoint House</v>
      </c>
      <c r="H4377" s="2">
        <f t="array" ref="H4377">_xlfn.XLOOKUP(A4379,Product!A:A,Product!E:E,"Bulunamadı")</f>
        <v>2.99</v>
      </c>
      <c r="I4377" s="2" t="str">
        <f t="shared" si="1"/>
        <v>111873 - Law - Banking</v>
      </c>
      <c r="J4377" s="2">
        <f t="shared" si="2"/>
        <v>409.63</v>
      </c>
      <c r="K4377" s="17">
        <f t="shared" si="3"/>
        <v>1</v>
      </c>
      <c r="L4377" s="18"/>
    </row>
    <row r="4378" hidden="1">
      <c r="A4378" s="2">
        <f>IFERROR(__xludf.DUMMYFUNCTION("""COMPUTED_VALUE"""),23454.0)</f>
        <v>23454</v>
      </c>
      <c r="B4378" s="2">
        <f>IFERROR(__xludf.DUMMYFUNCTION("""COMPUTED_VALUE"""),0.0)</f>
        <v>0</v>
      </c>
      <c r="C4378" s="2">
        <f>IFERROR(__xludf.DUMMYFUNCTION("""COMPUTED_VALUE"""),294.0)</f>
        <v>294</v>
      </c>
      <c r="D4378" s="3">
        <f>IFERROR(__xludf.DUMMYFUNCTION("""COMPUTED_VALUE"""),74.0)</f>
        <v>74</v>
      </c>
      <c r="E4378" s="1" t="str">
        <f t="array" ref="E4378">_xlfn.XLOOKUP(A4378,Product!A:A,Product!B:B,"Bulunamadı")</f>
        <v>Law</v>
      </c>
      <c r="F4378" s="1" t="str">
        <f t="array" ref="F4378">_xlfn.XLOOKUP(A4378,Product!A:A,Product!C:C,"Bulunamadı")</f>
        <v>Banking</v>
      </c>
      <c r="G4378" s="2" t="str">
        <f t="array" ref="G4378">_xlfn.XLOOKUP(A4379,Product!A:A,Product!D:D,"Bulunamadı")</f>
        <v>Silverpoint House</v>
      </c>
      <c r="H4378" s="2">
        <f t="array" ref="H4378">_xlfn.XLOOKUP(A4380,Product!A:A,Product!E:E,"Bulunamadı")</f>
        <v>0.84</v>
      </c>
      <c r="I4378" s="2" t="str">
        <f t="shared" si="1"/>
        <v>23454 - Law - Banking</v>
      </c>
      <c r="J4378" s="2">
        <f t="shared" si="2"/>
        <v>62.16</v>
      </c>
      <c r="K4378" s="17">
        <f t="shared" si="3"/>
        <v>1</v>
      </c>
      <c r="L4378" s="18"/>
    </row>
    <row r="4379" hidden="1">
      <c r="A4379" s="2">
        <f>IFERROR(__xludf.DUMMYFUNCTION("""COMPUTED_VALUE"""),16760.0)</f>
        <v>16760</v>
      </c>
      <c r="B4379" s="2">
        <f>IFERROR(__xludf.DUMMYFUNCTION("""COMPUTED_VALUE"""),0.0)</f>
        <v>0</v>
      </c>
      <c r="C4379" s="2">
        <f>IFERROR(__xludf.DUMMYFUNCTION("""COMPUTED_VALUE"""),254.0)</f>
        <v>254</v>
      </c>
      <c r="D4379" s="3">
        <f>IFERROR(__xludf.DUMMYFUNCTION("""COMPUTED_VALUE"""),148.0)</f>
        <v>148</v>
      </c>
      <c r="E4379" s="1" t="str">
        <f t="array" ref="E4379">_xlfn.XLOOKUP(A4379,Product!A:A,Product!B:B,"Bulunamadı")</f>
        <v>Law</v>
      </c>
      <c r="F4379" s="1" t="str">
        <f t="array" ref="F4379">_xlfn.XLOOKUP(A4379,Product!A:A,Product!C:C,"Bulunamadı")</f>
        <v>Banking</v>
      </c>
      <c r="G4379" s="2" t="str">
        <f t="array" ref="G4379">_xlfn.XLOOKUP(A4380,Product!A:A,Product!D:D,"Bulunamadı")</f>
        <v>Silverpoint House</v>
      </c>
      <c r="H4379" s="2">
        <f t="array" ref="H4379">_xlfn.XLOOKUP(A4381,Product!A:A,Product!E:E,"Bulunamadı")</f>
        <v>0.8</v>
      </c>
      <c r="I4379" s="2" t="str">
        <f t="shared" si="1"/>
        <v>16760 - Law - Banking</v>
      </c>
      <c r="J4379" s="2">
        <f t="shared" si="2"/>
        <v>118.4</v>
      </c>
      <c r="K4379" s="17">
        <f t="shared" si="3"/>
        <v>1</v>
      </c>
      <c r="L4379" s="18"/>
    </row>
    <row r="4380" hidden="1">
      <c r="A4380" s="2">
        <f>IFERROR(__xludf.DUMMYFUNCTION("""COMPUTED_VALUE"""),14709.0)</f>
        <v>14709</v>
      </c>
      <c r="B4380" s="2">
        <f>IFERROR(__xludf.DUMMYFUNCTION("""COMPUTED_VALUE"""),1.0)</f>
        <v>1</v>
      </c>
      <c r="C4380" s="2">
        <f>IFERROR(__xludf.DUMMYFUNCTION("""COMPUTED_VALUE"""),490.0)</f>
        <v>490</v>
      </c>
      <c r="D4380" s="3">
        <f>IFERROR(__xludf.DUMMYFUNCTION("""COMPUTED_VALUE"""),119.0)</f>
        <v>119</v>
      </c>
      <c r="E4380" s="1" t="str">
        <f t="array" ref="E4380">_xlfn.XLOOKUP(A4380,Product!A:A,Product!B:B,"Bulunamadı")</f>
        <v>Law</v>
      </c>
      <c r="F4380" s="1" t="str">
        <f t="array" ref="F4380">_xlfn.XLOOKUP(A4380,Product!A:A,Product!C:C,"Bulunamadı")</f>
        <v>Banking</v>
      </c>
      <c r="G4380" s="2" t="str">
        <f t="array" ref="G4380">_xlfn.XLOOKUP(A4381,Product!A:A,Product!D:D,"Bulunamadı")</f>
        <v>Silverpoint House</v>
      </c>
      <c r="H4380" s="2">
        <f t="array" ref="H4380">_xlfn.XLOOKUP(A4382,Product!A:A,Product!E:E,"Bulunamadı")</f>
        <v>3.98</v>
      </c>
      <c r="I4380" s="2" t="str">
        <f t="shared" si="1"/>
        <v>14709 - Law - Banking</v>
      </c>
      <c r="J4380" s="2">
        <f t="shared" si="2"/>
        <v>473.62</v>
      </c>
      <c r="K4380" s="17">
        <f t="shared" si="3"/>
        <v>1</v>
      </c>
      <c r="L4380" s="18"/>
    </row>
    <row r="4381" hidden="1">
      <c r="A4381" s="2">
        <f>IFERROR(__xludf.DUMMYFUNCTION("""COMPUTED_VALUE"""),14665.0)</f>
        <v>14665</v>
      </c>
      <c r="B4381" s="2">
        <f>IFERROR(__xludf.DUMMYFUNCTION("""COMPUTED_VALUE"""),1.0)</f>
        <v>1</v>
      </c>
      <c r="C4381" s="2">
        <f>IFERROR(__xludf.DUMMYFUNCTION("""COMPUTED_VALUE"""),82.0)</f>
        <v>82</v>
      </c>
      <c r="D4381" s="3">
        <f>IFERROR(__xludf.DUMMYFUNCTION("""COMPUTED_VALUE"""),18.0)</f>
        <v>18</v>
      </c>
      <c r="E4381" s="1" t="str">
        <f t="array" ref="E4381">_xlfn.XLOOKUP(A4381,Product!A:A,Product!B:B,"Bulunamadı")</f>
        <v>Law</v>
      </c>
      <c r="F4381" s="1" t="str">
        <f t="array" ref="F4381">_xlfn.XLOOKUP(A4381,Product!A:A,Product!C:C,"Bulunamadı")</f>
        <v>Banking</v>
      </c>
      <c r="G4381" s="2" t="str">
        <f t="array" ref="G4381">_xlfn.XLOOKUP(A4382,Product!A:A,Product!D:D,"Bulunamadı")</f>
        <v>Northpoint House</v>
      </c>
      <c r="H4381" s="2">
        <f t="array" ref="H4381">_xlfn.XLOOKUP(A4383,Product!A:A,Product!E:E,"Bulunamadı")</f>
        <v>4.38</v>
      </c>
      <c r="I4381" s="2" t="str">
        <f t="shared" si="1"/>
        <v>14665 - Law - Banking</v>
      </c>
      <c r="J4381" s="2">
        <f t="shared" si="2"/>
        <v>78.84</v>
      </c>
      <c r="K4381" s="17">
        <f t="shared" si="3"/>
        <v>1</v>
      </c>
      <c r="L4381" s="18"/>
    </row>
    <row r="4382" hidden="1">
      <c r="A4382" s="2">
        <f>IFERROR(__xludf.DUMMYFUNCTION("""COMPUTED_VALUE"""),8869.0)</f>
        <v>8869</v>
      </c>
      <c r="B4382" s="2">
        <f>IFERROR(__xludf.DUMMYFUNCTION("""COMPUTED_VALUE"""),1.0)</f>
        <v>1</v>
      </c>
      <c r="C4382" s="2">
        <f>IFERROR(__xludf.DUMMYFUNCTION("""COMPUTED_VALUE"""),672.0)</f>
        <v>672</v>
      </c>
      <c r="D4382" s="3">
        <f>IFERROR(__xludf.DUMMYFUNCTION("""COMPUTED_VALUE"""),341.0)</f>
        <v>341</v>
      </c>
      <c r="E4382" s="1" t="str">
        <f t="array" ref="E4382">_xlfn.XLOOKUP(A4382,Product!A:A,Product!B:B,"Bulunamadı")</f>
        <v>Law</v>
      </c>
      <c r="F4382" s="1" t="str">
        <f t="array" ref="F4382">_xlfn.XLOOKUP(A4382,Product!A:A,Product!C:C,"Bulunamadı")</f>
        <v>Corporate Finance</v>
      </c>
      <c r="G4382" s="2" t="str">
        <f t="array" ref="G4382">_xlfn.XLOOKUP(A4383,Product!A:A,Product!D:D,"Bulunamadı")</f>
        <v>Northpoint House</v>
      </c>
      <c r="H4382" s="2">
        <f t="array" ref="H4382">_xlfn.XLOOKUP(A4384,Product!A:A,Product!E:E,"Bulunamadı")</f>
        <v>2.06</v>
      </c>
      <c r="I4382" s="2" t="str">
        <f t="shared" si="1"/>
        <v>8869 - Law - Corporate Finance</v>
      </c>
      <c r="J4382" s="2">
        <f t="shared" si="2"/>
        <v>702.46</v>
      </c>
      <c r="K4382" s="17">
        <f t="shared" si="3"/>
        <v>1</v>
      </c>
      <c r="L4382" s="18"/>
    </row>
    <row r="4383" hidden="1">
      <c r="A4383" s="2">
        <f>IFERROR(__xludf.DUMMYFUNCTION("""COMPUTED_VALUE"""),68520.0)</f>
        <v>68520</v>
      </c>
      <c r="B4383" s="2">
        <f>IFERROR(__xludf.DUMMYFUNCTION("""COMPUTED_VALUE"""),0.0)</f>
        <v>0</v>
      </c>
      <c r="C4383" s="2">
        <f>IFERROR(__xludf.DUMMYFUNCTION("""COMPUTED_VALUE"""),278.0)</f>
        <v>278</v>
      </c>
      <c r="D4383" s="3">
        <f>IFERROR(__xludf.DUMMYFUNCTION("""COMPUTED_VALUE"""),18.0)</f>
        <v>18</v>
      </c>
      <c r="E4383" s="1" t="str">
        <f t="array" ref="E4383">_xlfn.XLOOKUP(A4383,Product!A:A,Product!B:B,"Bulunamadı")</f>
        <v>Law</v>
      </c>
      <c r="F4383" s="1" t="str">
        <f t="array" ref="F4383">_xlfn.XLOOKUP(A4383,Product!A:A,Product!C:C,"Bulunamadı")</f>
        <v>Corporate Finance</v>
      </c>
      <c r="G4383" s="2" t="str">
        <f t="array" ref="G4383">_xlfn.XLOOKUP(A4384,Product!A:A,Product!D:D,"Bulunamadı")</f>
        <v>Northpoint House</v>
      </c>
      <c r="H4383" s="2">
        <f t="array" ref="H4383">_xlfn.XLOOKUP(A4385,Product!A:A,Product!E:E,"Bulunamadı")</f>
        <v>2.73</v>
      </c>
      <c r="I4383" s="2" t="str">
        <f t="shared" si="1"/>
        <v>68520 - Law - Corporate Finance</v>
      </c>
      <c r="J4383" s="2">
        <f t="shared" si="2"/>
        <v>49.14</v>
      </c>
      <c r="K4383" s="17">
        <f t="shared" si="3"/>
        <v>1</v>
      </c>
      <c r="L4383" s="18"/>
    </row>
    <row r="4384" hidden="1">
      <c r="A4384" s="2">
        <f>IFERROR(__xludf.DUMMYFUNCTION("""COMPUTED_VALUE"""),107331.0)</f>
        <v>107331</v>
      </c>
      <c r="B4384" s="2">
        <f>IFERROR(__xludf.DUMMYFUNCTION("""COMPUTED_VALUE"""),1.0)</f>
        <v>1</v>
      </c>
      <c r="C4384" s="2">
        <f>IFERROR(__xludf.DUMMYFUNCTION("""COMPUTED_VALUE"""),868.0)</f>
        <v>868</v>
      </c>
      <c r="D4384" s="3">
        <f>IFERROR(__xludf.DUMMYFUNCTION("""COMPUTED_VALUE"""),804.0)</f>
        <v>804</v>
      </c>
      <c r="E4384" s="1" t="str">
        <f t="array" ref="E4384">_xlfn.XLOOKUP(A4384,Product!A:A,Product!B:B,"Bulunamadı")</f>
        <v>Law</v>
      </c>
      <c r="F4384" s="1" t="str">
        <f t="array" ref="F4384">_xlfn.XLOOKUP(A4384,Product!A:A,Product!C:C,"Bulunamadı")</f>
        <v>Corporate Finance</v>
      </c>
      <c r="G4384" s="2" t="str">
        <f t="array" ref="G4384">_xlfn.XLOOKUP(A4385,Product!A:A,Product!D:D,"Bulunamadı")</f>
        <v>Northpoint House</v>
      </c>
      <c r="H4384" s="2">
        <f t="array" ref="H4384">_xlfn.XLOOKUP(A4386,Product!A:A,Product!E:E,"Bulunamadı")</f>
        <v>4.94</v>
      </c>
      <c r="I4384" s="2" t="str">
        <f t="shared" si="1"/>
        <v>107331 - Law - Corporate Finance</v>
      </c>
      <c r="J4384" s="2">
        <f t="shared" si="2"/>
        <v>3971.76</v>
      </c>
      <c r="K4384" s="17">
        <f t="shared" si="3"/>
        <v>1</v>
      </c>
      <c r="L4384" s="18"/>
    </row>
    <row r="4385" hidden="1">
      <c r="A4385" s="2">
        <f>IFERROR(__xludf.DUMMYFUNCTION("""COMPUTED_VALUE"""),107325.0)</f>
        <v>107325</v>
      </c>
      <c r="B4385" s="2">
        <f>IFERROR(__xludf.DUMMYFUNCTION("""COMPUTED_VALUE"""),0.0)</f>
        <v>0</v>
      </c>
      <c r="C4385" s="2">
        <f>IFERROR(__xludf.DUMMYFUNCTION("""COMPUTED_VALUE"""),413.0)</f>
        <v>413</v>
      </c>
      <c r="D4385" s="3">
        <f>IFERROR(__xludf.DUMMYFUNCTION("""COMPUTED_VALUE"""),97.0)</f>
        <v>97</v>
      </c>
      <c r="E4385" s="1" t="str">
        <f t="array" ref="E4385">_xlfn.XLOOKUP(A4385,Product!A:A,Product!B:B,"Bulunamadı")</f>
        <v>Law</v>
      </c>
      <c r="F4385" s="1" t="str">
        <f t="array" ref="F4385">_xlfn.XLOOKUP(A4385,Product!A:A,Product!C:C,"Bulunamadı")</f>
        <v>Corporate Finance</v>
      </c>
      <c r="G4385" s="2" t="str">
        <f t="array" ref="G4385">_xlfn.XLOOKUP(A4386,Product!A:A,Product!D:D,"Bulunamadı")</f>
        <v>Northpoint House</v>
      </c>
      <c r="H4385" s="2">
        <f t="array" ref="H4385">_xlfn.XLOOKUP(A4387,Product!A:A,Product!E:E,"Bulunamadı")</f>
        <v>1.84</v>
      </c>
      <c r="I4385" s="2" t="str">
        <f t="shared" si="1"/>
        <v>107325 - Law - Corporate Finance</v>
      </c>
      <c r="J4385" s="2">
        <f t="shared" si="2"/>
        <v>178.48</v>
      </c>
      <c r="K4385" s="17">
        <f t="shared" si="3"/>
        <v>1</v>
      </c>
      <c r="L4385" s="18"/>
    </row>
    <row r="4386" hidden="1">
      <c r="A4386" s="2">
        <f>IFERROR(__xludf.DUMMYFUNCTION("""COMPUTED_VALUE"""),8871.0)</f>
        <v>8871</v>
      </c>
      <c r="B4386" s="2">
        <f>IFERROR(__xludf.DUMMYFUNCTION("""COMPUTED_VALUE"""),1.0)</f>
        <v>1</v>
      </c>
      <c r="C4386" s="2">
        <f>IFERROR(__xludf.DUMMYFUNCTION("""COMPUTED_VALUE"""),883.0)</f>
        <v>883</v>
      </c>
      <c r="D4386" s="3">
        <f>IFERROR(__xludf.DUMMYFUNCTION("""COMPUTED_VALUE"""),818.0)</f>
        <v>818</v>
      </c>
      <c r="E4386" s="1" t="str">
        <f t="array" ref="E4386">_xlfn.XLOOKUP(A4386,Product!A:A,Product!B:B,"Bulunamadı")</f>
        <v>Law</v>
      </c>
      <c r="F4386" s="1" t="str">
        <f t="array" ref="F4386">_xlfn.XLOOKUP(A4386,Product!A:A,Product!C:C,"Bulunamadı")</f>
        <v>Corporate Finance</v>
      </c>
      <c r="G4386" s="2" t="str">
        <f t="array" ref="G4386">_xlfn.XLOOKUP(A4387,Product!A:A,Product!D:D,"Bulunamadı")</f>
        <v>Northpoint House</v>
      </c>
      <c r="H4386" s="2">
        <f t="array" ref="H4386">_xlfn.XLOOKUP(A4388,Product!A:A,Product!E:E,"Bulunamadı")</f>
        <v>2.19</v>
      </c>
      <c r="I4386" s="2" t="str">
        <f t="shared" si="1"/>
        <v>8871 - Law - Corporate Finance</v>
      </c>
      <c r="J4386" s="2">
        <f t="shared" si="2"/>
        <v>1791.42</v>
      </c>
      <c r="K4386" s="17">
        <f t="shared" si="3"/>
        <v>1</v>
      </c>
      <c r="L4386" s="18"/>
    </row>
    <row r="4387" hidden="1">
      <c r="A4387" s="2">
        <f>IFERROR(__xludf.DUMMYFUNCTION("""COMPUTED_VALUE"""),107334.0)</f>
        <v>107334</v>
      </c>
      <c r="B4387" s="2">
        <f>IFERROR(__xludf.DUMMYFUNCTION("""COMPUTED_VALUE"""),0.0)</f>
        <v>0</v>
      </c>
      <c r="C4387" s="2">
        <f>IFERROR(__xludf.DUMMYFUNCTION("""COMPUTED_VALUE"""),571.0)</f>
        <v>571</v>
      </c>
      <c r="D4387" s="3">
        <f>IFERROR(__xludf.DUMMYFUNCTION("""COMPUTED_VALUE"""),443.0)</f>
        <v>443</v>
      </c>
      <c r="E4387" s="1" t="str">
        <f t="array" ref="E4387">_xlfn.XLOOKUP(A4387,Product!A:A,Product!B:B,"Bulunamadı")</f>
        <v>Law</v>
      </c>
      <c r="F4387" s="1" t="str">
        <f t="array" ref="F4387">_xlfn.XLOOKUP(A4387,Product!A:A,Product!C:C,"Bulunamadı")</f>
        <v>Corporate Finance</v>
      </c>
      <c r="G4387" s="2" t="str">
        <f t="array" ref="G4387">_xlfn.XLOOKUP(A4388,Product!A:A,Product!D:D,"Bulunamadı")</f>
        <v>Harborpoint House</v>
      </c>
      <c r="H4387" s="2">
        <f t="array" ref="H4387">_xlfn.XLOOKUP(A4389,Product!A:A,Product!E:E,"Bulunamadı")</f>
        <v>2.47</v>
      </c>
      <c r="I4387" s="2" t="str">
        <f t="shared" si="1"/>
        <v>107334 - Law - Corporate Finance</v>
      </c>
      <c r="J4387" s="2">
        <f t="shared" si="2"/>
        <v>1094.21</v>
      </c>
      <c r="K4387" s="17">
        <f t="shared" si="3"/>
        <v>1</v>
      </c>
      <c r="L4387" s="18"/>
    </row>
    <row r="4388" hidden="1">
      <c r="A4388" s="2">
        <f>IFERROR(__xludf.DUMMYFUNCTION("""COMPUTED_VALUE"""),120302.0)</f>
        <v>120302</v>
      </c>
      <c r="B4388" s="2">
        <f>IFERROR(__xludf.DUMMYFUNCTION("""COMPUTED_VALUE"""),0.0)</f>
        <v>0</v>
      </c>
      <c r="C4388" s="2">
        <f>IFERROR(__xludf.DUMMYFUNCTION("""COMPUTED_VALUE"""),623.0)</f>
        <v>623</v>
      </c>
      <c r="D4388" s="3">
        <f>IFERROR(__xludf.DUMMYFUNCTION("""COMPUTED_VALUE"""),595.0)</f>
        <v>595</v>
      </c>
      <c r="E4388" s="1" t="str">
        <f t="array" ref="E4388">_xlfn.XLOOKUP(A4388,Product!A:A,Product!B:B,"Bulunamadı")</f>
        <v>Law</v>
      </c>
      <c r="F4388" s="1" t="str">
        <f t="array" ref="F4388">_xlfn.XLOOKUP(A4388,Product!A:A,Product!C:C,"Bulunamadı")</f>
        <v>Corporate Finance</v>
      </c>
      <c r="G4388" s="2" t="str">
        <f t="array" ref="G4388">_xlfn.XLOOKUP(A4389,Product!A:A,Product!D:D,"Bulunamadı")</f>
        <v>Harborpoint House</v>
      </c>
      <c r="H4388" s="2">
        <f t="array" ref="H4388">_xlfn.XLOOKUP(A4390,Product!A:A,Product!E:E,"Bulunamadı")</f>
        <v>2.86</v>
      </c>
      <c r="I4388" s="2" t="str">
        <f t="shared" si="1"/>
        <v>120302 - Law - Corporate Finance</v>
      </c>
      <c r="J4388" s="2">
        <f t="shared" si="2"/>
        <v>1701.7</v>
      </c>
      <c r="K4388" s="17">
        <f t="shared" si="3"/>
        <v>1</v>
      </c>
      <c r="L4388" s="18"/>
    </row>
    <row r="4389" hidden="1">
      <c r="A4389" s="2">
        <f>IFERROR(__xludf.DUMMYFUNCTION("""COMPUTED_VALUE"""),117661.0)</f>
        <v>117661</v>
      </c>
      <c r="B4389" s="2">
        <f>IFERROR(__xludf.DUMMYFUNCTION("""COMPUTED_VALUE"""),1.0)</f>
        <v>1</v>
      </c>
      <c r="C4389" s="2">
        <f>IFERROR(__xludf.DUMMYFUNCTION("""COMPUTED_VALUE"""),584.0)</f>
        <v>584</v>
      </c>
      <c r="D4389" s="3">
        <f>IFERROR(__xludf.DUMMYFUNCTION("""COMPUTED_VALUE"""),306.0)</f>
        <v>306</v>
      </c>
      <c r="E4389" s="1" t="str">
        <f t="array" ref="E4389">_xlfn.XLOOKUP(A4389,Product!A:A,Product!B:B,"Bulunamadı")</f>
        <v>Law</v>
      </c>
      <c r="F4389" s="1" t="str">
        <f t="array" ref="F4389">_xlfn.XLOOKUP(A4389,Product!A:A,Product!C:C,"Bulunamadı")</f>
        <v>Corporate Finance</v>
      </c>
      <c r="G4389" s="2" t="str">
        <f t="array" ref="G4389">_xlfn.XLOOKUP(A4390,Product!A:A,Product!D:D,"Bulunamadı")</f>
        <v>Harborpoint House</v>
      </c>
      <c r="H4389" s="2">
        <f t="array" ref="H4389">_xlfn.XLOOKUP(A4391,Product!A:A,Product!E:E,"Bulunamadı")</f>
        <v>0.87</v>
      </c>
      <c r="I4389" s="2" t="str">
        <f t="shared" si="1"/>
        <v>117661 - Law - Corporate Finance</v>
      </c>
      <c r="J4389" s="2">
        <f t="shared" si="2"/>
        <v>266.22</v>
      </c>
      <c r="K4389" s="17">
        <f t="shared" si="3"/>
        <v>1</v>
      </c>
      <c r="L4389" s="18"/>
    </row>
    <row r="4390" hidden="1">
      <c r="A4390" s="2">
        <f>IFERROR(__xludf.DUMMYFUNCTION("""COMPUTED_VALUE"""),79006.0)</f>
        <v>79006</v>
      </c>
      <c r="B4390" s="2">
        <f>IFERROR(__xludf.DUMMYFUNCTION("""COMPUTED_VALUE"""),0.0)</f>
        <v>0</v>
      </c>
      <c r="C4390" s="2">
        <f>IFERROR(__xludf.DUMMYFUNCTION("""COMPUTED_VALUE"""),739.0)</f>
        <v>739</v>
      </c>
      <c r="D4390" s="3">
        <f>IFERROR(__xludf.DUMMYFUNCTION("""COMPUTED_VALUE"""),112.0)</f>
        <v>112</v>
      </c>
      <c r="E4390" s="1" t="str">
        <f t="array" ref="E4390">_xlfn.XLOOKUP(A4390,Product!A:A,Product!B:B,"Bulunamadı")</f>
        <v>Law</v>
      </c>
      <c r="F4390" s="1" t="str">
        <f t="array" ref="F4390">_xlfn.XLOOKUP(A4390,Product!A:A,Product!C:C,"Bulunamadı")</f>
        <v>Corporate Finance</v>
      </c>
      <c r="G4390" s="2" t="str">
        <f t="array" ref="G4390">_xlfn.XLOOKUP(A4391,Product!A:A,Product!D:D,"Bulunamadı")</f>
        <v>Harborpoint House</v>
      </c>
      <c r="H4390" s="2">
        <f t="array" ref="H4390">_xlfn.XLOOKUP(A4392,Product!A:A,Product!E:E,"Bulunamadı")</f>
        <v>1.98</v>
      </c>
      <c r="I4390" s="2" t="str">
        <f t="shared" si="1"/>
        <v>79006 - Law - Corporate Finance</v>
      </c>
      <c r="J4390" s="2">
        <f t="shared" si="2"/>
        <v>221.76</v>
      </c>
      <c r="K4390" s="17">
        <f t="shared" si="3"/>
        <v>1</v>
      </c>
      <c r="L4390" s="18"/>
    </row>
    <row r="4391" hidden="1">
      <c r="A4391" s="2">
        <f>IFERROR(__xludf.DUMMYFUNCTION("""COMPUTED_VALUE"""),17133.0)</f>
        <v>17133</v>
      </c>
      <c r="B4391" s="2">
        <f>IFERROR(__xludf.DUMMYFUNCTION("""COMPUTED_VALUE"""),0.0)</f>
        <v>0</v>
      </c>
      <c r="C4391" s="2">
        <f>IFERROR(__xludf.DUMMYFUNCTION("""COMPUTED_VALUE"""),538.0)</f>
        <v>538</v>
      </c>
      <c r="D4391" s="3">
        <f>IFERROR(__xludf.DUMMYFUNCTION("""COMPUTED_VALUE"""),12.0)</f>
        <v>12</v>
      </c>
      <c r="E4391" s="1" t="str">
        <f t="array" ref="E4391">_xlfn.XLOOKUP(A4391,Product!A:A,Product!B:B,"Bulunamadı")</f>
        <v>Law</v>
      </c>
      <c r="F4391" s="1" t="str">
        <f t="array" ref="F4391">_xlfn.XLOOKUP(A4391,Product!A:A,Product!C:C,"Bulunamadı")</f>
        <v>Corporate Finance</v>
      </c>
      <c r="G4391" s="2" t="str">
        <f t="array" ref="G4391">_xlfn.XLOOKUP(A4392,Product!A:A,Product!D:D,"Bulunamadı")</f>
        <v>Harborpoint House</v>
      </c>
      <c r="H4391" s="2">
        <f t="array" ref="H4391">_xlfn.XLOOKUP(A4393,Product!A:A,Product!E:E,"Bulunamadı")</f>
        <v>1.96</v>
      </c>
      <c r="I4391" s="2" t="str">
        <f t="shared" si="1"/>
        <v>17133 - Law - Corporate Finance</v>
      </c>
      <c r="J4391" s="2">
        <f t="shared" si="2"/>
        <v>23.52</v>
      </c>
      <c r="K4391" s="17">
        <f t="shared" si="3"/>
        <v>1</v>
      </c>
      <c r="L4391" s="18"/>
    </row>
    <row r="4392" hidden="1">
      <c r="A4392" s="2">
        <f>IFERROR(__xludf.DUMMYFUNCTION("""COMPUTED_VALUE"""),76818.0)</f>
        <v>76818</v>
      </c>
      <c r="B4392" s="2">
        <f>IFERROR(__xludf.DUMMYFUNCTION("""COMPUTED_VALUE"""),1.0)</f>
        <v>1</v>
      </c>
      <c r="C4392" s="2">
        <f>IFERROR(__xludf.DUMMYFUNCTION("""COMPUTED_VALUE"""),465.0)</f>
        <v>465</v>
      </c>
      <c r="D4392" s="3">
        <f>IFERROR(__xludf.DUMMYFUNCTION("""COMPUTED_VALUE"""),31.0)</f>
        <v>31</v>
      </c>
      <c r="E4392" s="1" t="str">
        <f t="array" ref="E4392">_xlfn.XLOOKUP(A4392,Product!A:A,Product!B:B,"Bulunamadı")</f>
        <v>Law</v>
      </c>
      <c r="F4392" s="1" t="str">
        <f t="array" ref="F4392">_xlfn.XLOOKUP(A4392,Product!A:A,Product!C:C,"Bulunamadı")</f>
        <v>Corporate Finance</v>
      </c>
      <c r="G4392" s="2" t="str">
        <f t="array" ref="G4392">_xlfn.XLOOKUP(A4393,Product!A:A,Product!D:D,"Bulunamadı")</f>
        <v>Harborpoint House</v>
      </c>
      <c r="H4392" s="2">
        <f t="array" ref="H4392">_xlfn.XLOOKUP(A4394,Product!A:A,Product!E:E,"Bulunamadı")</f>
        <v>1.37</v>
      </c>
      <c r="I4392" s="2" t="str">
        <f t="shared" si="1"/>
        <v>76818 - Law - Corporate Finance</v>
      </c>
      <c r="J4392" s="2">
        <f t="shared" si="2"/>
        <v>42.47</v>
      </c>
      <c r="K4392" s="17">
        <f t="shared" si="3"/>
        <v>1</v>
      </c>
      <c r="L4392" s="18"/>
    </row>
    <row r="4393" hidden="1">
      <c r="A4393" s="2">
        <f>IFERROR(__xludf.DUMMYFUNCTION("""COMPUTED_VALUE"""),70236.0)</f>
        <v>70236</v>
      </c>
      <c r="B4393" s="2">
        <f>IFERROR(__xludf.DUMMYFUNCTION("""COMPUTED_VALUE"""),0.0)</f>
        <v>0</v>
      </c>
      <c r="C4393" s="2">
        <f>IFERROR(__xludf.DUMMYFUNCTION("""COMPUTED_VALUE"""),242.0)</f>
        <v>242</v>
      </c>
      <c r="D4393" s="3">
        <f>IFERROR(__xludf.DUMMYFUNCTION("""COMPUTED_VALUE"""),199.0)</f>
        <v>199</v>
      </c>
      <c r="E4393" s="1" t="str">
        <f t="array" ref="E4393">_xlfn.XLOOKUP(A4393,Product!A:A,Product!B:B,"Bulunamadı")</f>
        <v>Law</v>
      </c>
      <c r="F4393" s="1" t="str">
        <f t="array" ref="F4393">_xlfn.XLOOKUP(A4393,Product!A:A,Product!C:C,"Bulunamadı")</f>
        <v>Corporate Finance</v>
      </c>
      <c r="G4393" s="2" t="str">
        <f t="array" ref="G4393">_xlfn.XLOOKUP(A4394,Product!A:A,Product!D:D,"Bulunamadı")</f>
        <v>Harborpoint House</v>
      </c>
      <c r="H4393" s="2">
        <f t="array" ref="H4393">_xlfn.XLOOKUP(A4395,Product!A:A,Product!E:E,"Bulunamadı")</f>
        <v>2.67</v>
      </c>
      <c r="I4393" s="2" t="str">
        <f t="shared" si="1"/>
        <v>70236 - Law - Corporate Finance</v>
      </c>
      <c r="J4393" s="2">
        <f t="shared" si="2"/>
        <v>531.33</v>
      </c>
      <c r="K4393" s="17">
        <f t="shared" si="3"/>
        <v>1</v>
      </c>
      <c r="L4393" s="18"/>
    </row>
    <row r="4394" hidden="1">
      <c r="A4394" s="2">
        <f>IFERROR(__xludf.DUMMYFUNCTION("""COMPUTED_VALUE"""),91342.0)</f>
        <v>91342</v>
      </c>
      <c r="B4394" s="2">
        <f>IFERROR(__xludf.DUMMYFUNCTION("""COMPUTED_VALUE"""),0.0)</f>
        <v>0</v>
      </c>
      <c r="C4394" s="2">
        <f>IFERROR(__xludf.DUMMYFUNCTION("""COMPUTED_VALUE"""),458.0)</f>
        <v>458</v>
      </c>
      <c r="D4394" s="3">
        <f>IFERROR(__xludf.DUMMYFUNCTION("""COMPUTED_VALUE"""),332.0)</f>
        <v>332</v>
      </c>
      <c r="E4394" s="1" t="str">
        <f t="array" ref="E4394">_xlfn.XLOOKUP(A4394,Product!A:A,Product!B:B,"Bulunamadı")</f>
        <v>Law</v>
      </c>
      <c r="F4394" s="1" t="str">
        <f t="array" ref="F4394">_xlfn.XLOOKUP(A4394,Product!A:A,Product!C:C,"Bulunamadı")</f>
        <v>Corporate Finance</v>
      </c>
      <c r="G4394" s="2" t="str">
        <f t="array" ref="G4394">_xlfn.XLOOKUP(A4395,Product!A:A,Product!D:D,"Bulunamadı")</f>
        <v>Harborpoint House</v>
      </c>
      <c r="H4394" s="2">
        <f t="array" ref="H4394">_xlfn.XLOOKUP(A4396,Product!A:A,Product!E:E,"Bulunamadı")</f>
        <v>1.93</v>
      </c>
      <c r="I4394" s="2" t="str">
        <f t="shared" si="1"/>
        <v>91342 - Law - Corporate Finance</v>
      </c>
      <c r="J4394" s="2">
        <f t="shared" si="2"/>
        <v>640.76</v>
      </c>
      <c r="K4394" s="17">
        <f t="shared" si="3"/>
        <v>1</v>
      </c>
      <c r="L4394" s="18"/>
    </row>
    <row r="4395" hidden="1">
      <c r="A4395" s="2">
        <f>IFERROR(__xludf.DUMMYFUNCTION("""COMPUTED_VALUE"""),121782.0)</f>
        <v>121782</v>
      </c>
      <c r="B4395" s="2">
        <f>IFERROR(__xludf.DUMMYFUNCTION("""COMPUTED_VALUE"""),0.0)</f>
        <v>0</v>
      </c>
      <c r="C4395" s="2">
        <f>IFERROR(__xludf.DUMMYFUNCTION("""COMPUTED_VALUE"""),646.0)</f>
        <v>646</v>
      </c>
      <c r="D4395" s="3">
        <f>IFERROR(__xludf.DUMMYFUNCTION("""COMPUTED_VALUE"""),505.0)</f>
        <v>505</v>
      </c>
      <c r="E4395" s="1" t="str">
        <f t="array" ref="E4395">_xlfn.XLOOKUP(A4395,Product!A:A,Product!B:B,"Bulunamadı")</f>
        <v>Law</v>
      </c>
      <c r="F4395" s="1" t="str">
        <f t="array" ref="F4395">_xlfn.XLOOKUP(A4395,Product!A:A,Product!C:C,"Bulunamadı")</f>
        <v>Corporate Finance</v>
      </c>
      <c r="G4395" s="2" t="str">
        <f t="array" ref="G4395">_xlfn.XLOOKUP(A4396,Product!A:A,Product!D:D,"Bulunamadı")</f>
        <v>Harborpoint House</v>
      </c>
      <c r="H4395" s="2">
        <f t="array" ref="H4395">_xlfn.XLOOKUP(A4397,Product!A:A,Product!E:E,"Bulunamadı")</f>
        <v>0.82</v>
      </c>
      <c r="I4395" s="2" t="str">
        <f t="shared" si="1"/>
        <v>121782 - Law - Corporate Finance</v>
      </c>
      <c r="J4395" s="2">
        <f t="shared" si="2"/>
        <v>414.1</v>
      </c>
      <c r="K4395" s="17">
        <f t="shared" si="3"/>
        <v>1</v>
      </c>
      <c r="L4395" s="18"/>
    </row>
    <row r="4396" hidden="1">
      <c r="A4396" s="2">
        <f>IFERROR(__xludf.DUMMYFUNCTION("""COMPUTED_VALUE"""),76822.0)</f>
        <v>76822</v>
      </c>
      <c r="B4396" s="2">
        <f>IFERROR(__xludf.DUMMYFUNCTION("""COMPUTED_VALUE"""),0.0)</f>
        <v>0</v>
      </c>
      <c r="C4396" s="2">
        <f>IFERROR(__xludf.DUMMYFUNCTION("""COMPUTED_VALUE"""),818.0)</f>
        <v>818</v>
      </c>
      <c r="D4396" s="3">
        <f>IFERROR(__xludf.DUMMYFUNCTION("""COMPUTED_VALUE"""),296.0)</f>
        <v>296</v>
      </c>
      <c r="E4396" s="1" t="str">
        <f t="array" ref="E4396">_xlfn.XLOOKUP(A4396,Product!A:A,Product!B:B,"Bulunamadı")</f>
        <v>Law</v>
      </c>
      <c r="F4396" s="1" t="str">
        <f t="array" ref="F4396">_xlfn.XLOOKUP(A4396,Product!A:A,Product!C:C,"Bulunamadı")</f>
        <v>Corporate Finance</v>
      </c>
      <c r="G4396" s="2" t="str">
        <f t="array" ref="G4396">_xlfn.XLOOKUP(A4397,Product!A:A,Product!D:D,"Bulunamadı")</f>
        <v>Harborpoint House</v>
      </c>
      <c r="H4396" s="2">
        <f t="array" ref="H4396">_xlfn.XLOOKUP(A4398,Product!A:A,Product!E:E,"Bulunamadı")</f>
        <v>1.96</v>
      </c>
      <c r="I4396" s="2" t="str">
        <f t="shared" si="1"/>
        <v>76822 - Law - Corporate Finance</v>
      </c>
      <c r="J4396" s="2">
        <f t="shared" si="2"/>
        <v>580.16</v>
      </c>
      <c r="K4396" s="17">
        <f t="shared" si="3"/>
        <v>1</v>
      </c>
      <c r="L4396" s="18"/>
    </row>
    <row r="4397" hidden="1">
      <c r="A4397" s="2">
        <f>IFERROR(__xludf.DUMMYFUNCTION("""COMPUTED_VALUE"""),100278.0)</f>
        <v>100278</v>
      </c>
      <c r="B4397" s="2">
        <f>IFERROR(__xludf.DUMMYFUNCTION("""COMPUTED_VALUE"""),1.0)</f>
        <v>1</v>
      </c>
      <c r="C4397" s="2">
        <f>IFERROR(__xludf.DUMMYFUNCTION("""COMPUTED_VALUE"""),621.0)</f>
        <v>621</v>
      </c>
      <c r="D4397" s="3">
        <f>IFERROR(__xludf.DUMMYFUNCTION("""COMPUTED_VALUE"""),262.0)</f>
        <v>262</v>
      </c>
      <c r="E4397" s="1" t="str">
        <f t="array" ref="E4397">_xlfn.XLOOKUP(A4397,Product!A:A,Product!B:B,"Bulunamadı")</f>
        <v>Law</v>
      </c>
      <c r="F4397" s="1" t="str">
        <f t="array" ref="F4397">_xlfn.XLOOKUP(A4397,Product!A:A,Product!C:C,"Bulunamadı")</f>
        <v>Corporate Finance</v>
      </c>
      <c r="G4397" s="2" t="str">
        <f t="array" ref="G4397">_xlfn.XLOOKUP(A4398,Product!A:A,Product!D:D,"Bulunamadı")</f>
        <v>Harborpoint House</v>
      </c>
      <c r="H4397" s="2">
        <f t="array" ref="H4397">_xlfn.XLOOKUP(A4399,Product!A:A,Product!E:E,"Bulunamadı")</f>
        <v>0.76</v>
      </c>
      <c r="I4397" s="2" t="str">
        <f t="shared" si="1"/>
        <v>100278 - Law - Corporate Finance</v>
      </c>
      <c r="J4397" s="2">
        <f t="shared" si="2"/>
        <v>199.12</v>
      </c>
      <c r="K4397" s="17">
        <f t="shared" si="3"/>
        <v>1</v>
      </c>
      <c r="L4397" s="18"/>
    </row>
    <row r="4398" hidden="1">
      <c r="A4398" s="2">
        <f>IFERROR(__xludf.DUMMYFUNCTION("""COMPUTED_VALUE"""),122795.0)</f>
        <v>122795</v>
      </c>
      <c r="B4398" s="2">
        <f>IFERROR(__xludf.DUMMYFUNCTION("""COMPUTED_VALUE"""),0.0)</f>
        <v>0</v>
      </c>
      <c r="C4398" s="2">
        <f>IFERROR(__xludf.DUMMYFUNCTION("""COMPUTED_VALUE"""),493.0)</f>
        <v>493</v>
      </c>
      <c r="D4398" s="3">
        <f>IFERROR(__xludf.DUMMYFUNCTION("""COMPUTED_VALUE"""),269.0)</f>
        <v>269</v>
      </c>
      <c r="E4398" s="1" t="str">
        <f t="array" ref="E4398">_xlfn.XLOOKUP(A4398,Product!A:A,Product!B:B,"Bulunamadı")</f>
        <v>Law</v>
      </c>
      <c r="F4398" s="1" t="str">
        <f t="array" ref="F4398">_xlfn.XLOOKUP(A4398,Product!A:A,Product!C:C,"Bulunamadı")</f>
        <v>Corporate Finance</v>
      </c>
      <c r="G4398" s="2" t="str">
        <f t="array" ref="G4398">_xlfn.XLOOKUP(A4399,Product!A:A,Product!D:D,"Bulunamadı")</f>
        <v>Harborpoint House</v>
      </c>
      <c r="H4398" s="2">
        <f t="array" ref="H4398">_xlfn.XLOOKUP(A4400,Product!A:A,Product!E:E,"Bulunamadı")</f>
        <v>1.9</v>
      </c>
      <c r="I4398" s="2" t="str">
        <f t="shared" si="1"/>
        <v>122795 - Law - Corporate Finance</v>
      </c>
      <c r="J4398" s="2">
        <f t="shared" si="2"/>
        <v>511.1</v>
      </c>
      <c r="K4398" s="17">
        <f t="shared" si="3"/>
        <v>1</v>
      </c>
      <c r="L4398" s="18"/>
    </row>
    <row r="4399" hidden="1">
      <c r="A4399" s="2">
        <f>IFERROR(__xludf.DUMMYFUNCTION("""COMPUTED_VALUE"""),100282.0)</f>
        <v>100282</v>
      </c>
      <c r="B4399" s="2">
        <f>IFERROR(__xludf.DUMMYFUNCTION("""COMPUTED_VALUE"""),0.0)</f>
        <v>0</v>
      </c>
      <c r="C4399" s="2">
        <f>IFERROR(__xludf.DUMMYFUNCTION("""COMPUTED_VALUE"""),300.0)</f>
        <v>300</v>
      </c>
      <c r="D4399" s="3">
        <f>IFERROR(__xludf.DUMMYFUNCTION("""COMPUTED_VALUE"""),54.0)</f>
        <v>54</v>
      </c>
      <c r="E4399" s="1" t="str">
        <f t="array" ref="E4399">_xlfn.XLOOKUP(A4399,Product!A:A,Product!B:B,"Bulunamadı")</f>
        <v>Law</v>
      </c>
      <c r="F4399" s="1" t="str">
        <f t="array" ref="F4399">_xlfn.XLOOKUP(A4399,Product!A:A,Product!C:C,"Bulunamadı")</f>
        <v>Corporate Finance</v>
      </c>
      <c r="G4399" s="2" t="str">
        <f t="array" ref="G4399">_xlfn.XLOOKUP(A4400,Product!A:A,Product!D:D,"Bulunamadı")</f>
        <v>Harborpoint House</v>
      </c>
      <c r="H4399" s="2">
        <f t="array" ref="H4399">_xlfn.XLOOKUP(A4401,Product!A:A,Product!E:E,"Bulunamadı")</f>
        <v>3.07</v>
      </c>
      <c r="I4399" s="2" t="str">
        <f t="shared" si="1"/>
        <v>100282 - Law - Corporate Finance</v>
      </c>
      <c r="J4399" s="2">
        <f t="shared" si="2"/>
        <v>165.78</v>
      </c>
      <c r="K4399" s="17">
        <f t="shared" si="3"/>
        <v>1</v>
      </c>
      <c r="L4399" s="18"/>
    </row>
    <row r="4400" hidden="1">
      <c r="A4400" s="2">
        <f>IFERROR(__xludf.DUMMYFUNCTION("""COMPUTED_VALUE"""),68867.0)</f>
        <v>68867</v>
      </c>
      <c r="B4400" s="2">
        <f>IFERROR(__xludf.DUMMYFUNCTION("""COMPUTED_VALUE"""),0.0)</f>
        <v>0</v>
      </c>
      <c r="C4400" s="2">
        <f>IFERROR(__xludf.DUMMYFUNCTION("""COMPUTED_VALUE"""),211.0)</f>
        <v>211</v>
      </c>
      <c r="D4400" s="3">
        <f>IFERROR(__xludf.DUMMYFUNCTION("""COMPUTED_VALUE"""),85.0)</f>
        <v>85</v>
      </c>
      <c r="E4400" s="1" t="str">
        <f t="array" ref="E4400">_xlfn.XLOOKUP(A4400,Product!A:A,Product!B:B,"Bulunamadı")</f>
        <v>Law</v>
      </c>
      <c r="F4400" s="1" t="str">
        <f t="array" ref="F4400">_xlfn.XLOOKUP(A4400,Product!A:A,Product!C:C,"Bulunamadı")</f>
        <v>Corporate Finance</v>
      </c>
      <c r="G4400" s="2" t="str">
        <f t="array" ref="G4400">_xlfn.XLOOKUP(A4401,Product!A:A,Product!D:D,"Bulunamadı")</f>
        <v>Harborpoint House</v>
      </c>
      <c r="H4400" s="2">
        <f t="array" ref="H4400">_xlfn.XLOOKUP(A4402,Product!A:A,Product!E:E,"Bulunamadı")</f>
        <v>0.61</v>
      </c>
      <c r="I4400" s="2" t="str">
        <f t="shared" si="1"/>
        <v>68867 - Law - Corporate Finance</v>
      </c>
      <c r="J4400" s="2">
        <f t="shared" si="2"/>
        <v>51.85</v>
      </c>
      <c r="K4400" s="17">
        <f t="shared" si="3"/>
        <v>1</v>
      </c>
      <c r="L4400" s="18"/>
    </row>
    <row r="4401" hidden="1">
      <c r="A4401" s="2">
        <f>IFERROR(__xludf.DUMMYFUNCTION("""COMPUTED_VALUE"""),8862.0)</f>
        <v>8862</v>
      </c>
      <c r="B4401" s="2">
        <f>IFERROR(__xludf.DUMMYFUNCTION("""COMPUTED_VALUE"""),0.0)</f>
        <v>0</v>
      </c>
      <c r="C4401" s="2">
        <f>IFERROR(__xludf.DUMMYFUNCTION("""COMPUTED_VALUE"""),601.0)</f>
        <v>601</v>
      </c>
      <c r="D4401" s="3">
        <f>IFERROR(__xludf.DUMMYFUNCTION("""COMPUTED_VALUE"""),265.0)</f>
        <v>265</v>
      </c>
      <c r="E4401" s="1" t="str">
        <f t="array" ref="E4401">_xlfn.XLOOKUP(A4401,Product!A:A,Product!B:B,"Bulunamadı")</f>
        <v>Law</v>
      </c>
      <c r="F4401" s="1" t="str">
        <f t="array" ref="F4401">_xlfn.XLOOKUP(A4401,Product!A:A,Product!C:C,"Bulunamadı")</f>
        <v>Corporate Finance</v>
      </c>
      <c r="G4401" s="2" t="str">
        <f t="array" ref="G4401">_xlfn.XLOOKUP(A4402,Product!A:A,Product!D:D,"Bulunamadı")</f>
        <v>Harborpoint House</v>
      </c>
      <c r="H4401" s="2">
        <f t="array" ref="H4401">_xlfn.XLOOKUP(A4403,Product!A:A,Product!E:E,"Bulunamadı")</f>
        <v>0.91</v>
      </c>
      <c r="I4401" s="2" t="str">
        <f t="shared" si="1"/>
        <v>8862 - Law - Corporate Finance</v>
      </c>
      <c r="J4401" s="2">
        <f t="shared" si="2"/>
        <v>241.15</v>
      </c>
      <c r="K4401" s="17">
        <f t="shared" si="3"/>
        <v>1</v>
      </c>
      <c r="L4401" s="18"/>
    </row>
    <row r="4402" hidden="1">
      <c r="A4402" s="2">
        <f>IFERROR(__xludf.DUMMYFUNCTION("""COMPUTED_VALUE"""),72131.0)</f>
        <v>72131</v>
      </c>
      <c r="B4402" s="2">
        <f>IFERROR(__xludf.DUMMYFUNCTION("""COMPUTED_VALUE"""),1.0)</f>
        <v>1</v>
      </c>
      <c r="C4402" s="2">
        <f>IFERROR(__xludf.DUMMYFUNCTION("""COMPUTED_VALUE"""),651.0)</f>
        <v>651</v>
      </c>
      <c r="D4402" s="3">
        <f>IFERROR(__xludf.DUMMYFUNCTION("""COMPUTED_VALUE"""),474.0)</f>
        <v>474</v>
      </c>
      <c r="E4402" s="1" t="str">
        <f t="array" ref="E4402">_xlfn.XLOOKUP(A4402,Product!A:A,Product!B:B,"Bulunamadı")</f>
        <v>Law</v>
      </c>
      <c r="F4402" s="1" t="str">
        <f t="array" ref="F4402">_xlfn.XLOOKUP(A4402,Product!A:A,Product!C:C,"Bulunamadı")</f>
        <v>Corporate Finance</v>
      </c>
      <c r="G4402" s="2" t="str">
        <f t="array" ref="G4402">_xlfn.XLOOKUP(A4403,Product!A:A,Product!D:D,"Bulunamadı")</f>
        <v>Harborpoint House</v>
      </c>
      <c r="H4402" s="2">
        <f t="array" ref="H4402">_xlfn.XLOOKUP(A4404,Product!A:A,Product!E:E,"Bulunamadı")</f>
        <v>2.69</v>
      </c>
      <c r="I4402" s="2" t="str">
        <f t="shared" si="1"/>
        <v>72131 - Law - Corporate Finance</v>
      </c>
      <c r="J4402" s="2">
        <f t="shared" si="2"/>
        <v>1275.06</v>
      </c>
      <c r="K4402" s="17">
        <f t="shared" si="3"/>
        <v>1</v>
      </c>
      <c r="L4402" s="18"/>
    </row>
    <row r="4403" hidden="1">
      <c r="A4403" s="2">
        <f>IFERROR(__xludf.DUMMYFUNCTION("""COMPUTED_VALUE"""),12047.0)</f>
        <v>12047</v>
      </c>
      <c r="B4403" s="2">
        <f>IFERROR(__xludf.DUMMYFUNCTION("""COMPUTED_VALUE"""),0.0)</f>
        <v>0</v>
      </c>
      <c r="C4403" s="2">
        <f>IFERROR(__xludf.DUMMYFUNCTION("""COMPUTED_VALUE"""),588.0)</f>
        <v>588</v>
      </c>
      <c r="D4403" s="3">
        <f>IFERROR(__xludf.DUMMYFUNCTION("""COMPUTED_VALUE"""),211.0)</f>
        <v>211</v>
      </c>
      <c r="E4403" s="1" t="str">
        <f t="array" ref="E4403">_xlfn.XLOOKUP(A4403,Product!A:A,Product!B:B,"Bulunamadı")</f>
        <v>Law</v>
      </c>
      <c r="F4403" s="1" t="str">
        <f t="array" ref="F4403">_xlfn.XLOOKUP(A4403,Product!A:A,Product!C:C,"Bulunamadı")</f>
        <v>Corporate Finance</v>
      </c>
      <c r="G4403" s="2" t="str">
        <f t="array" ref="G4403">_xlfn.XLOOKUP(A4404,Product!A:A,Product!D:D,"Bulunamadı")</f>
        <v>Harborpoint House</v>
      </c>
      <c r="H4403" s="2">
        <f t="array" ref="H4403">_xlfn.XLOOKUP(A4405,Product!A:A,Product!E:E,"Bulunamadı")</f>
        <v>2.46</v>
      </c>
      <c r="I4403" s="2" t="str">
        <f t="shared" si="1"/>
        <v>12047 - Law - Corporate Finance</v>
      </c>
      <c r="J4403" s="2">
        <f t="shared" si="2"/>
        <v>519.06</v>
      </c>
      <c r="K4403" s="17">
        <f t="shared" si="3"/>
        <v>1</v>
      </c>
      <c r="L4403" s="18"/>
    </row>
    <row r="4404" hidden="1">
      <c r="A4404" s="2">
        <f>IFERROR(__xludf.DUMMYFUNCTION("""COMPUTED_VALUE"""),121790.0)</f>
        <v>121790</v>
      </c>
      <c r="B4404" s="2">
        <f>IFERROR(__xludf.DUMMYFUNCTION("""COMPUTED_VALUE"""),1.0)</f>
        <v>1</v>
      </c>
      <c r="C4404" s="2">
        <f>IFERROR(__xludf.DUMMYFUNCTION("""COMPUTED_VALUE"""),376.0)</f>
        <v>376</v>
      </c>
      <c r="D4404" s="3">
        <f>IFERROR(__xludf.DUMMYFUNCTION("""COMPUTED_VALUE"""),182.0)</f>
        <v>182</v>
      </c>
      <c r="E4404" s="1" t="str">
        <f t="array" ref="E4404">_xlfn.XLOOKUP(A4404,Product!A:A,Product!B:B,"Bulunamadı")</f>
        <v>Law</v>
      </c>
      <c r="F4404" s="1" t="str">
        <f t="array" ref="F4404">_xlfn.XLOOKUP(A4404,Product!A:A,Product!C:C,"Bulunamadı")</f>
        <v>Corporate Finance</v>
      </c>
      <c r="G4404" s="2" t="str">
        <f t="array" ref="G4404">_xlfn.XLOOKUP(A4405,Product!A:A,Product!D:D,"Bulunamadı")</f>
        <v>Harborpoint House</v>
      </c>
      <c r="H4404" s="2">
        <f t="array" ref="H4404">_xlfn.XLOOKUP(A4406,Product!A:A,Product!E:E,"Bulunamadı")</f>
        <v>2.02</v>
      </c>
      <c r="I4404" s="2" t="str">
        <f t="shared" si="1"/>
        <v>121790 - Law - Corporate Finance</v>
      </c>
      <c r="J4404" s="2">
        <f t="shared" si="2"/>
        <v>367.64</v>
      </c>
      <c r="K4404" s="17">
        <f t="shared" si="3"/>
        <v>1</v>
      </c>
      <c r="L4404" s="18"/>
    </row>
    <row r="4405" hidden="1">
      <c r="A4405" s="2">
        <f>IFERROR(__xludf.DUMMYFUNCTION("""COMPUTED_VALUE"""),121787.0)</f>
        <v>121787</v>
      </c>
      <c r="B4405" s="2">
        <f>IFERROR(__xludf.DUMMYFUNCTION("""COMPUTED_VALUE"""),1.0)</f>
        <v>1</v>
      </c>
      <c r="C4405" s="2">
        <f>IFERROR(__xludf.DUMMYFUNCTION("""COMPUTED_VALUE"""),75.0)</f>
        <v>75</v>
      </c>
      <c r="D4405" s="3">
        <f>IFERROR(__xludf.DUMMYFUNCTION("""COMPUTED_VALUE"""),34.0)</f>
        <v>34</v>
      </c>
      <c r="E4405" s="1" t="str">
        <f t="array" ref="E4405">_xlfn.XLOOKUP(A4405,Product!A:A,Product!B:B,"Bulunamadı")</f>
        <v>Law</v>
      </c>
      <c r="F4405" s="1" t="str">
        <f t="array" ref="F4405">_xlfn.XLOOKUP(A4405,Product!A:A,Product!C:C,"Bulunamadı")</f>
        <v>Corporate Finance</v>
      </c>
      <c r="G4405" s="2" t="str">
        <f t="array" ref="G4405">_xlfn.XLOOKUP(A4406,Product!A:A,Product!D:D,"Bulunamadı")</f>
        <v>Harborpoint House</v>
      </c>
      <c r="H4405" s="2">
        <f t="array" ref="H4405">_xlfn.XLOOKUP(A4407,Product!A:A,Product!E:E,"Bulunamadı")</f>
        <v>1.87</v>
      </c>
      <c r="I4405" s="2" t="str">
        <f t="shared" si="1"/>
        <v>121787 - Law - Corporate Finance</v>
      </c>
      <c r="J4405" s="2">
        <f t="shared" si="2"/>
        <v>63.58</v>
      </c>
      <c r="K4405" s="17">
        <f t="shared" si="3"/>
        <v>1</v>
      </c>
      <c r="L4405" s="18"/>
    </row>
    <row r="4406" hidden="1">
      <c r="A4406" s="2">
        <f>IFERROR(__xludf.DUMMYFUNCTION("""COMPUTED_VALUE"""),70239.0)</f>
        <v>70239</v>
      </c>
      <c r="B4406" s="2">
        <f>IFERROR(__xludf.DUMMYFUNCTION("""COMPUTED_VALUE"""),1.0)</f>
        <v>1</v>
      </c>
      <c r="C4406" s="2">
        <f>IFERROR(__xludf.DUMMYFUNCTION("""COMPUTED_VALUE"""),924.0)</f>
        <v>924</v>
      </c>
      <c r="D4406" s="3">
        <f>IFERROR(__xludf.DUMMYFUNCTION("""COMPUTED_VALUE"""),81.0)</f>
        <v>81</v>
      </c>
      <c r="E4406" s="1" t="str">
        <f t="array" ref="E4406">_xlfn.XLOOKUP(A4406,Product!A:A,Product!B:B,"Bulunamadı")</f>
        <v>Law</v>
      </c>
      <c r="F4406" s="1" t="str">
        <f t="array" ref="F4406">_xlfn.XLOOKUP(A4406,Product!A:A,Product!C:C,"Bulunamadı")</f>
        <v>Corporate Finance</v>
      </c>
      <c r="G4406" s="2" t="str">
        <f t="array" ref="G4406">_xlfn.XLOOKUP(A4407,Product!A:A,Product!D:D,"Bulunamadı")</f>
        <v>Harborpoint House</v>
      </c>
      <c r="H4406" s="2">
        <f t="array" ref="H4406">_xlfn.XLOOKUP(A4408,Product!A:A,Product!E:E,"Bulunamadı")</f>
        <v>2.25</v>
      </c>
      <c r="I4406" s="2" t="str">
        <f t="shared" si="1"/>
        <v>70239 - Law - Corporate Finance</v>
      </c>
      <c r="J4406" s="2">
        <f t="shared" si="2"/>
        <v>182.25</v>
      </c>
      <c r="K4406" s="17">
        <f t="shared" si="3"/>
        <v>1</v>
      </c>
      <c r="L4406" s="18"/>
    </row>
    <row r="4407" hidden="1">
      <c r="A4407" s="2">
        <f>IFERROR(__xludf.DUMMYFUNCTION("""COMPUTED_VALUE"""),113942.0)</f>
        <v>113942</v>
      </c>
      <c r="B4407" s="2">
        <f>IFERROR(__xludf.DUMMYFUNCTION("""COMPUTED_VALUE"""),1.0)</f>
        <v>1</v>
      </c>
      <c r="C4407" s="2">
        <f>IFERROR(__xludf.DUMMYFUNCTION("""COMPUTED_VALUE"""),770.0)</f>
        <v>770</v>
      </c>
      <c r="D4407" s="3">
        <f>IFERROR(__xludf.DUMMYFUNCTION("""COMPUTED_VALUE"""),758.0)</f>
        <v>758</v>
      </c>
      <c r="E4407" s="1" t="str">
        <f t="array" ref="E4407">_xlfn.XLOOKUP(A4407,Product!A:A,Product!B:B,"Bulunamadı")</f>
        <v>Law</v>
      </c>
      <c r="F4407" s="1" t="str">
        <f t="array" ref="F4407">_xlfn.XLOOKUP(A4407,Product!A:A,Product!C:C,"Bulunamadı")</f>
        <v>Corporate Finance</v>
      </c>
      <c r="G4407" s="2" t="str">
        <f t="array" ref="G4407">_xlfn.XLOOKUP(A4408,Product!A:A,Product!D:D,"Bulunamadı")</f>
        <v>Harborpoint House</v>
      </c>
      <c r="H4407" s="2">
        <f t="array" ref="H4407">_xlfn.XLOOKUP(A4409,Product!A:A,Product!E:E,"Bulunamadı")</f>
        <v>2.12</v>
      </c>
      <c r="I4407" s="2" t="str">
        <f t="shared" si="1"/>
        <v>113942 - Law - Corporate Finance</v>
      </c>
      <c r="J4407" s="2">
        <f t="shared" si="2"/>
        <v>1606.96</v>
      </c>
      <c r="K4407" s="17">
        <f t="shared" si="3"/>
        <v>1</v>
      </c>
      <c r="L4407" s="18"/>
    </row>
    <row r="4408" hidden="1">
      <c r="A4408" s="2">
        <f>IFERROR(__xludf.DUMMYFUNCTION("""COMPUTED_VALUE"""),119134.0)</f>
        <v>119134</v>
      </c>
      <c r="B4408" s="2">
        <f>IFERROR(__xludf.DUMMYFUNCTION("""COMPUTED_VALUE"""),0.0)</f>
        <v>0</v>
      </c>
      <c r="C4408" s="2">
        <f>IFERROR(__xludf.DUMMYFUNCTION("""COMPUTED_VALUE"""),602.0)</f>
        <v>602</v>
      </c>
      <c r="D4408" s="3">
        <f>IFERROR(__xludf.DUMMYFUNCTION("""COMPUTED_VALUE"""),326.0)</f>
        <v>326</v>
      </c>
      <c r="E4408" s="1" t="str">
        <f t="array" ref="E4408">_xlfn.XLOOKUP(A4408,Product!A:A,Product!B:B,"Bulunamadı")</f>
        <v>Law</v>
      </c>
      <c r="F4408" s="1" t="str">
        <f t="array" ref="F4408">_xlfn.XLOOKUP(A4408,Product!A:A,Product!C:C,"Bulunamadı")</f>
        <v>Corporate Finance</v>
      </c>
      <c r="G4408" s="2" t="str">
        <f t="array" ref="G4408">_xlfn.XLOOKUP(A4409,Product!A:A,Product!D:D,"Bulunamadı")</f>
        <v>Harborpoint House</v>
      </c>
      <c r="H4408" s="2">
        <f t="array" ref="H4408">_xlfn.XLOOKUP(A4410,Product!A:A,Product!E:E,"Bulunamadı")</f>
        <v>2.41</v>
      </c>
      <c r="I4408" s="2" t="str">
        <f t="shared" si="1"/>
        <v>119134 - Law - Corporate Finance</v>
      </c>
      <c r="J4408" s="2">
        <f t="shared" si="2"/>
        <v>785.66</v>
      </c>
      <c r="K4408" s="17">
        <f t="shared" si="3"/>
        <v>1</v>
      </c>
      <c r="L4408" s="18"/>
    </row>
    <row r="4409" hidden="1">
      <c r="A4409" s="2">
        <f>IFERROR(__xludf.DUMMYFUNCTION("""COMPUTED_VALUE"""),76813.0)</f>
        <v>76813</v>
      </c>
      <c r="B4409" s="2">
        <f>IFERROR(__xludf.DUMMYFUNCTION("""COMPUTED_VALUE"""),0.0)</f>
        <v>0</v>
      </c>
      <c r="C4409" s="2">
        <f>IFERROR(__xludf.DUMMYFUNCTION("""COMPUTED_VALUE"""),795.0)</f>
        <v>795</v>
      </c>
      <c r="D4409" s="3">
        <f>IFERROR(__xludf.DUMMYFUNCTION("""COMPUTED_VALUE"""),125.0)</f>
        <v>125</v>
      </c>
      <c r="E4409" s="1" t="str">
        <f t="array" ref="E4409">_xlfn.XLOOKUP(A4409,Product!A:A,Product!B:B,"Bulunamadı")</f>
        <v>Law</v>
      </c>
      <c r="F4409" s="1" t="str">
        <f t="array" ref="F4409">_xlfn.XLOOKUP(A4409,Product!A:A,Product!C:C,"Bulunamadı")</f>
        <v>Corporate Finance</v>
      </c>
      <c r="G4409" s="2" t="str">
        <f t="array" ref="G4409">_xlfn.XLOOKUP(A4410,Product!A:A,Product!D:D,"Bulunamadı")</f>
        <v>Harborpoint House</v>
      </c>
      <c r="H4409" s="2">
        <f t="array" ref="H4409">_xlfn.XLOOKUP(A4411,Product!A:A,Product!E:E,"Bulunamadı")</f>
        <v>0.82</v>
      </c>
      <c r="I4409" s="2" t="str">
        <f t="shared" si="1"/>
        <v>76813 - Law - Corporate Finance</v>
      </c>
      <c r="J4409" s="2">
        <f t="shared" si="2"/>
        <v>102.5</v>
      </c>
      <c r="K4409" s="17">
        <f t="shared" si="3"/>
        <v>1</v>
      </c>
      <c r="L4409" s="18"/>
    </row>
    <row r="4410" hidden="1">
      <c r="A4410" s="2">
        <f>IFERROR(__xludf.DUMMYFUNCTION("""COMPUTED_VALUE"""),121793.0)</f>
        <v>121793</v>
      </c>
      <c r="B4410" s="2">
        <f>IFERROR(__xludf.DUMMYFUNCTION("""COMPUTED_VALUE"""),0.0)</f>
        <v>0</v>
      </c>
      <c r="C4410" s="2">
        <f>IFERROR(__xludf.DUMMYFUNCTION("""COMPUTED_VALUE"""),366.0)</f>
        <v>366</v>
      </c>
      <c r="D4410" s="3">
        <f>IFERROR(__xludf.DUMMYFUNCTION("""COMPUTED_VALUE"""),100.0)</f>
        <v>100</v>
      </c>
      <c r="E4410" s="1" t="str">
        <f t="array" ref="E4410">_xlfn.XLOOKUP(A4410,Product!A:A,Product!B:B,"Bulunamadı")</f>
        <v>Law</v>
      </c>
      <c r="F4410" s="1" t="str">
        <f t="array" ref="F4410">_xlfn.XLOOKUP(A4410,Product!A:A,Product!C:C,"Bulunamadı")</f>
        <v>Corporate Finance</v>
      </c>
      <c r="G4410" s="2" t="str">
        <f t="array" ref="G4410">_xlfn.XLOOKUP(A4411,Product!A:A,Product!D:D,"Bulunamadı")</f>
        <v>Harborpoint House</v>
      </c>
      <c r="H4410" s="2">
        <f t="array" ref="H4410">_xlfn.XLOOKUP(A4412,Product!A:A,Product!E:E,"Bulunamadı")</f>
        <v>2.41</v>
      </c>
      <c r="I4410" s="2" t="str">
        <f t="shared" si="1"/>
        <v>121793 - Law - Corporate Finance</v>
      </c>
      <c r="J4410" s="2">
        <f t="shared" si="2"/>
        <v>241</v>
      </c>
      <c r="K4410" s="17">
        <f t="shared" si="3"/>
        <v>1</v>
      </c>
      <c r="L4410" s="18"/>
    </row>
    <row r="4411" hidden="1">
      <c r="A4411" s="2">
        <f>IFERROR(__xludf.DUMMYFUNCTION("""COMPUTED_VALUE"""),100283.0)</f>
        <v>100283</v>
      </c>
      <c r="B4411" s="2">
        <f>IFERROR(__xludf.DUMMYFUNCTION("""COMPUTED_VALUE"""),1.0)</f>
        <v>1</v>
      </c>
      <c r="C4411" s="2">
        <f>IFERROR(__xludf.DUMMYFUNCTION("""COMPUTED_VALUE"""),961.0)</f>
        <v>961</v>
      </c>
      <c r="D4411" s="3">
        <f>IFERROR(__xludf.DUMMYFUNCTION("""COMPUTED_VALUE"""),203.0)</f>
        <v>203</v>
      </c>
      <c r="E4411" s="1" t="str">
        <f t="array" ref="E4411">_xlfn.XLOOKUP(A4411,Product!A:A,Product!B:B,"Bulunamadı")</f>
        <v>Law</v>
      </c>
      <c r="F4411" s="1" t="str">
        <f t="array" ref="F4411">_xlfn.XLOOKUP(A4411,Product!A:A,Product!C:C,"Bulunamadı")</f>
        <v>Corporate Finance</v>
      </c>
      <c r="G4411" s="2" t="str">
        <f t="array" ref="G4411">_xlfn.XLOOKUP(A4412,Product!A:A,Product!D:D,"Bulunamadı")</f>
        <v>Harborpoint House</v>
      </c>
      <c r="H4411" s="2">
        <f t="array" ref="H4411">_xlfn.XLOOKUP(A4413,Product!A:A,Product!E:E,"Bulunamadı")</f>
        <v>1.77</v>
      </c>
      <c r="I4411" s="2" t="str">
        <f t="shared" si="1"/>
        <v>100283 - Law - Corporate Finance</v>
      </c>
      <c r="J4411" s="2">
        <f t="shared" si="2"/>
        <v>359.31</v>
      </c>
      <c r="K4411" s="17">
        <f t="shared" si="3"/>
        <v>1</v>
      </c>
      <c r="L4411" s="18"/>
    </row>
    <row r="4412" hidden="1">
      <c r="A4412" s="2">
        <f>IFERROR(__xludf.DUMMYFUNCTION("""COMPUTED_VALUE"""),75028.0)</f>
        <v>75028</v>
      </c>
      <c r="B4412" s="2">
        <f>IFERROR(__xludf.DUMMYFUNCTION("""COMPUTED_VALUE"""),1.0)</f>
        <v>1</v>
      </c>
      <c r="C4412" s="2">
        <f>IFERROR(__xludf.DUMMYFUNCTION("""COMPUTED_VALUE"""),24.0)</f>
        <v>24</v>
      </c>
      <c r="D4412" s="3">
        <f>IFERROR(__xludf.DUMMYFUNCTION("""COMPUTED_VALUE"""),21.0)</f>
        <v>21</v>
      </c>
      <c r="E4412" s="1" t="str">
        <f t="array" ref="E4412">_xlfn.XLOOKUP(A4412,Product!A:A,Product!B:B,"Bulunamadı")</f>
        <v>Law</v>
      </c>
      <c r="F4412" s="1" t="str">
        <f t="array" ref="F4412">_xlfn.XLOOKUP(A4412,Product!A:A,Product!C:C,"Bulunamadı")</f>
        <v>Corporate Finance</v>
      </c>
      <c r="G4412" s="2" t="str">
        <f t="array" ref="G4412">_xlfn.XLOOKUP(A4413,Product!A:A,Product!D:D,"Bulunamadı")</f>
        <v>Harborpoint House</v>
      </c>
      <c r="H4412" s="2">
        <f t="array" ref="H4412">_xlfn.XLOOKUP(A4414,Product!A:A,Product!E:E,"Bulunamadı")</f>
        <v>0.71</v>
      </c>
      <c r="I4412" s="2" t="str">
        <f t="shared" si="1"/>
        <v>75028 - Law - Corporate Finance</v>
      </c>
      <c r="J4412" s="2">
        <f t="shared" si="2"/>
        <v>14.91</v>
      </c>
      <c r="K4412" s="17">
        <f t="shared" si="3"/>
        <v>1</v>
      </c>
      <c r="L4412" s="18"/>
    </row>
    <row r="4413" hidden="1">
      <c r="A4413" s="2">
        <f>IFERROR(__xludf.DUMMYFUNCTION("""COMPUTED_VALUE"""),113946.0)</f>
        <v>113946</v>
      </c>
      <c r="B4413" s="2">
        <f>IFERROR(__xludf.DUMMYFUNCTION("""COMPUTED_VALUE"""),1.0)</f>
        <v>1</v>
      </c>
      <c r="C4413" s="2">
        <f>IFERROR(__xludf.DUMMYFUNCTION("""COMPUTED_VALUE"""),482.0)</f>
        <v>482</v>
      </c>
      <c r="D4413" s="3">
        <f>IFERROR(__xludf.DUMMYFUNCTION("""COMPUTED_VALUE"""),327.0)</f>
        <v>327</v>
      </c>
      <c r="E4413" s="1" t="str">
        <f t="array" ref="E4413">_xlfn.XLOOKUP(A4413,Product!A:A,Product!B:B,"Bulunamadı")</f>
        <v>Law</v>
      </c>
      <c r="F4413" s="1" t="str">
        <f t="array" ref="F4413">_xlfn.XLOOKUP(A4413,Product!A:A,Product!C:C,"Bulunamadı")</f>
        <v>Corporate Finance</v>
      </c>
      <c r="G4413" s="2" t="str">
        <f t="array" ref="G4413">_xlfn.XLOOKUP(A4414,Product!A:A,Product!D:D,"Bulunamadı")</f>
        <v>Harborpoint House</v>
      </c>
      <c r="H4413" s="2">
        <f t="array" ref="H4413">_xlfn.XLOOKUP(A4415,Product!A:A,Product!E:E,"Bulunamadı")</f>
        <v>1.25</v>
      </c>
      <c r="I4413" s="2" t="str">
        <f t="shared" si="1"/>
        <v>113946 - Law - Corporate Finance</v>
      </c>
      <c r="J4413" s="2">
        <f t="shared" si="2"/>
        <v>408.75</v>
      </c>
      <c r="K4413" s="17">
        <f t="shared" si="3"/>
        <v>1</v>
      </c>
      <c r="L4413" s="18"/>
    </row>
    <row r="4414" hidden="1">
      <c r="A4414" s="2">
        <f>IFERROR(__xludf.DUMMYFUNCTION("""COMPUTED_VALUE"""),12050.0)</f>
        <v>12050</v>
      </c>
      <c r="B4414" s="2">
        <f>IFERROR(__xludf.DUMMYFUNCTION("""COMPUTED_VALUE"""),0.0)</f>
        <v>0</v>
      </c>
      <c r="C4414" s="2">
        <f>IFERROR(__xludf.DUMMYFUNCTION("""COMPUTED_VALUE"""),917.0)</f>
        <v>917</v>
      </c>
      <c r="D4414" s="3">
        <f>IFERROR(__xludf.DUMMYFUNCTION("""COMPUTED_VALUE"""),205.0)</f>
        <v>205</v>
      </c>
      <c r="E4414" s="1" t="str">
        <f t="array" ref="E4414">_xlfn.XLOOKUP(A4414,Product!A:A,Product!B:B,"Bulunamadı")</f>
        <v>Law</v>
      </c>
      <c r="F4414" s="1" t="str">
        <f t="array" ref="F4414">_xlfn.XLOOKUP(A4414,Product!A:A,Product!C:C,"Bulunamadı")</f>
        <v>Corporate Finance</v>
      </c>
      <c r="G4414" s="2" t="str">
        <f t="array" ref="G4414">_xlfn.XLOOKUP(A4415,Product!A:A,Product!D:D,"Bulunamadı")</f>
        <v>Harborpoint House</v>
      </c>
      <c r="H4414" s="2">
        <f t="array" ref="H4414">_xlfn.XLOOKUP(A4416,Product!A:A,Product!E:E,"Bulunamadı")</f>
        <v>2.25</v>
      </c>
      <c r="I4414" s="2" t="str">
        <f t="shared" si="1"/>
        <v>12050 - Law - Corporate Finance</v>
      </c>
      <c r="J4414" s="2">
        <f t="shared" si="2"/>
        <v>461.25</v>
      </c>
      <c r="K4414" s="17">
        <f t="shared" si="3"/>
        <v>1</v>
      </c>
      <c r="L4414" s="18"/>
    </row>
    <row r="4415" hidden="1">
      <c r="A4415" s="2">
        <f>IFERROR(__xludf.DUMMYFUNCTION("""COMPUTED_VALUE"""),104312.0)</f>
        <v>104312</v>
      </c>
      <c r="B4415" s="2">
        <f>IFERROR(__xludf.DUMMYFUNCTION("""COMPUTED_VALUE"""),1.0)</f>
        <v>1</v>
      </c>
      <c r="C4415" s="2">
        <f>IFERROR(__xludf.DUMMYFUNCTION("""COMPUTED_VALUE"""),49.0)</f>
        <v>49</v>
      </c>
      <c r="D4415" s="3">
        <f>IFERROR(__xludf.DUMMYFUNCTION("""COMPUTED_VALUE"""),33.0)</f>
        <v>33</v>
      </c>
      <c r="E4415" s="1" t="str">
        <f t="array" ref="E4415">_xlfn.XLOOKUP(A4415,Product!A:A,Product!B:B,"Bulunamadı")</f>
        <v>Law</v>
      </c>
      <c r="F4415" s="1" t="str">
        <f t="array" ref="F4415">_xlfn.XLOOKUP(A4415,Product!A:A,Product!C:C,"Bulunamadı")</f>
        <v>Corporate Finance</v>
      </c>
      <c r="G4415" s="2" t="str">
        <f t="array" ref="G4415">_xlfn.XLOOKUP(A4416,Product!A:A,Product!D:D,"Bulunamadı")</f>
        <v>Harborpoint House</v>
      </c>
      <c r="H4415" s="2">
        <f t="array" ref="H4415">_xlfn.XLOOKUP(A4417,Product!A:A,Product!E:E,"Bulunamadı")</f>
        <v>2.9</v>
      </c>
      <c r="I4415" s="2" t="str">
        <f t="shared" si="1"/>
        <v>104312 - Law - Corporate Finance</v>
      </c>
      <c r="J4415" s="2">
        <f t="shared" si="2"/>
        <v>95.7</v>
      </c>
      <c r="K4415" s="17">
        <f t="shared" si="3"/>
        <v>1</v>
      </c>
      <c r="L4415" s="18"/>
    </row>
    <row r="4416" hidden="1">
      <c r="A4416" s="2">
        <f>IFERROR(__xludf.DUMMYFUNCTION("""COMPUTED_VALUE"""),121780.0)</f>
        <v>121780</v>
      </c>
      <c r="B4416" s="2">
        <f>IFERROR(__xludf.DUMMYFUNCTION("""COMPUTED_VALUE"""),1.0)</f>
        <v>1</v>
      </c>
      <c r="C4416" s="2">
        <f>IFERROR(__xludf.DUMMYFUNCTION("""COMPUTED_VALUE"""),940.0)</f>
        <v>940</v>
      </c>
      <c r="D4416" s="3">
        <f>IFERROR(__xludf.DUMMYFUNCTION("""COMPUTED_VALUE"""),22.0)</f>
        <v>22</v>
      </c>
      <c r="E4416" s="1" t="str">
        <f t="array" ref="E4416">_xlfn.XLOOKUP(A4416,Product!A:A,Product!B:B,"Bulunamadı")</f>
        <v>Law</v>
      </c>
      <c r="F4416" s="1" t="str">
        <f t="array" ref="F4416">_xlfn.XLOOKUP(A4416,Product!A:A,Product!C:C,"Bulunamadı")</f>
        <v>Corporate Finance</v>
      </c>
      <c r="G4416" s="2" t="str">
        <f t="array" ref="G4416">_xlfn.XLOOKUP(A4417,Product!A:A,Product!D:D,"Bulunamadı")</f>
        <v>Harborpoint House</v>
      </c>
      <c r="H4416" s="2">
        <f t="array" ref="H4416">_xlfn.XLOOKUP(A4418,Product!A:A,Product!E:E,"Bulunamadı")</f>
        <v>1.71</v>
      </c>
      <c r="I4416" s="2" t="str">
        <f t="shared" si="1"/>
        <v>121780 - Law - Corporate Finance</v>
      </c>
      <c r="J4416" s="2">
        <f t="shared" si="2"/>
        <v>37.62</v>
      </c>
      <c r="K4416" s="17">
        <f t="shared" si="3"/>
        <v>1</v>
      </c>
      <c r="L4416" s="18"/>
    </row>
    <row r="4417" hidden="1">
      <c r="A4417" s="2">
        <f>IFERROR(__xludf.DUMMYFUNCTION("""COMPUTED_VALUE"""),88638.0)</f>
        <v>88638</v>
      </c>
      <c r="B4417" s="2">
        <f>IFERROR(__xludf.DUMMYFUNCTION("""COMPUTED_VALUE"""),1.0)</f>
        <v>1</v>
      </c>
      <c r="C4417" s="2">
        <f>IFERROR(__xludf.DUMMYFUNCTION("""COMPUTED_VALUE"""),694.0)</f>
        <v>694</v>
      </c>
      <c r="D4417" s="3">
        <f>IFERROR(__xludf.DUMMYFUNCTION("""COMPUTED_VALUE"""),256.0)</f>
        <v>256</v>
      </c>
      <c r="E4417" s="1" t="str">
        <f t="array" ref="E4417">_xlfn.XLOOKUP(A4417,Product!A:A,Product!B:B,"Bulunamadı")</f>
        <v>Law</v>
      </c>
      <c r="F4417" s="1" t="str">
        <f t="array" ref="F4417">_xlfn.XLOOKUP(A4417,Product!A:A,Product!C:C,"Bulunamadı")</f>
        <v>Corporate Finance</v>
      </c>
      <c r="G4417" s="2" t="str">
        <f t="array" ref="G4417">_xlfn.XLOOKUP(A4418,Product!A:A,Product!D:D,"Bulunamadı")</f>
        <v>Harborpoint House</v>
      </c>
      <c r="H4417" s="2">
        <f t="array" ref="H4417">_xlfn.XLOOKUP(A4419,Product!A:A,Product!E:E,"Bulunamadı")</f>
        <v>1.15</v>
      </c>
      <c r="I4417" s="2" t="str">
        <f t="shared" si="1"/>
        <v>88638 - Law - Corporate Finance</v>
      </c>
      <c r="J4417" s="2">
        <f t="shared" si="2"/>
        <v>294.4</v>
      </c>
      <c r="K4417" s="17">
        <f t="shared" si="3"/>
        <v>1</v>
      </c>
      <c r="L4417" s="18"/>
    </row>
    <row r="4418" hidden="1">
      <c r="A4418" s="2">
        <f>IFERROR(__xludf.DUMMYFUNCTION("""COMPUTED_VALUE"""),70238.0)</f>
        <v>70238</v>
      </c>
      <c r="B4418" s="2">
        <f>IFERROR(__xludf.DUMMYFUNCTION("""COMPUTED_VALUE"""),0.0)</f>
        <v>0</v>
      </c>
      <c r="C4418" s="2">
        <f>IFERROR(__xludf.DUMMYFUNCTION("""COMPUTED_VALUE"""),925.0)</f>
        <v>925</v>
      </c>
      <c r="D4418" s="3">
        <f>IFERROR(__xludf.DUMMYFUNCTION("""COMPUTED_VALUE"""),620.0)</f>
        <v>620</v>
      </c>
      <c r="E4418" s="1" t="str">
        <f t="array" ref="E4418">_xlfn.XLOOKUP(A4418,Product!A:A,Product!B:B,"Bulunamadı")</f>
        <v>Law</v>
      </c>
      <c r="F4418" s="1" t="str">
        <f t="array" ref="F4418">_xlfn.XLOOKUP(A4418,Product!A:A,Product!C:C,"Bulunamadı")</f>
        <v>Corporate Finance</v>
      </c>
      <c r="G4418" s="2" t="str">
        <f t="array" ref="G4418">_xlfn.XLOOKUP(A4419,Product!A:A,Product!D:D,"Bulunamadı")</f>
        <v>Harborpoint House</v>
      </c>
      <c r="H4418" s="2">
        <f t="array" ref="H4418">_xlfn.XLOOKUP(A4420,Product!A:A,Product!E:E,"Bulunamadı")</f>
        <v>0.81</v>
      </c>
      <c r="I4418" s="2" t="str">
        <f t="shared" si="1"/>
        <v>70238 - Law - Corporate Finance</v>
      </c>
      <c r="J4418" s="2">
        <f t="shared" si="2"/>
        <v>502.2</v>
      </c>
      <c r="K4418" s="17">
        <f t="shared" si="3"/>
        <v>1</v>
      </c>
      <c r="L4418" s="18"/>
    </row>
    <row r="4419" hidden="1">
      <c r="A4419" s="2">
        <f>IFERROR(__xludf.DUMMYFUNCTION("""COMPUTED_VALUE"""),121839.0)</f>
        <v>121839</v>
      </c>
      <c r="B4419" s="2">
        <f>IFERROR(__xludf.DUMMYFUNCTION("""COMPUTED_VALUE"""),1.0)</f>
        <v>1</v>
      </c>
      <c r="C4419" s="2">
        <f>IFERROR(__xludf.DUMMYFUNCTION("""COMPUTED_VALUE"""),560.0)</f>
        <v>560</v>
      </c>
      <c r="D4419" s="3">
        <f>IFERROR(__xludf.DUMMYFUNCTION("""COMPUTED_VALUE"""),232.0)</f>
        <v>232</v>
      </c>
      <c r="E4419" s="1" t="str">
        <f t="array" ref="E4419">_xlfn.XLOOKUP(A4419,Product!A:A,Product!B:B,"Bulunamadı")</f>
        <v>Law</v>
      </c>
      <c r="F4419" s="1" t="str">
        <f t="array" ref="F4419">_xlfn.XLOOKUP(A4419,Product!A:A,Product!C:C,"Bulunamadı")</f>
        <v>Corporate Finance</v>
      </c>
      <c r="G4419" s="2" t="str">
        <f t="array" ref="G4419">_xlfn.XLOOKUP(A4420,Product!A:A,Product!D:D,"Bulunamadı")</f>
        <v>Harborpoint House</v>
      </c>
      <c r="H4419" s="2">
        <f t="array" ref="H4419">_xlfn.XLOOKUP(A4421,Product!A:A,Product!E:E,"Bulunamadı")</f>
        <v>2.75</v>
      </c>
      <c r="I4419" s="2" t="str">
        <f t="shared" si="1"/>
        <v>121839 - Law - Corporate Finance</v>
      </c>
      <c r="J4419" s="2">
        <f t="shared" si="2"/>
        <v>638</v>
      </c>
      <c r="K4419" s="17">
        <f t="shared" si="3"/>
        <v>1</v>
      </c>
      <c r="L4419" s="18"/>
    </row>
    <row r="4420" hidden="1">
      <c r="A4420" s="2">
        <f>IFERROR(__xludf.DUMMYFUNCTION("""COMPUTED_VALUE"""),77621.0)</f>
        <v>77621</v>
      </c>
      <c r="B4420" s="2">
        <f>IFERROR(__xludf.DUMMYFUNCTION("""COMPUTED_VALUE"""),1.0)</f>
        <v>1</v>
      </c>
      <c r="C4420" s="2">
        <f>IFERROR(__xludf.DUMMYFUNCTION("""COMPUTED_VALUE"""),50.0)</f>
        <v>50</v>
      </c>
      <c r="D4420" s="3">
        <f>IFERROR(__xludf.DUMMYFUNCTION("""COMPUTED_VALUE"""),9.0)</f>
        <v>9</v>
      </c>
      <c r="E4420" s="1" t="str">
        <f t="array" ref="E4420">_xlfn.XLOOKUP(A4420,Product!A:A,Product!B:B,"Bulunamadı")</f>
        <v>Law</v>
      </c>
      <c r="F4420" s="1" t="str">
        <f t="array" ref="F4420">_xlfn.XLOOKUP(A4420,Product!A:A,Product!C:C,"Bulunamadı")</f>
        <v>Corporate Finance</v>
      </c>
      <c r="G4420" s="2" t="str">
        <f t="array" ref="G4420">_xlfn.XLOOKUP(A4421,Product!A:A,Product!D:D,"Bulunamadı")</f>
        <v>Harborpoint House</v>
      </c>
      <c r="H4420" s="2">
        <f t="array" ref="H4420">_xlfn.XLOOKUP(A4422,Product!A:A,Product!E:E,"Bulunamadı")</f>
        <v>2.62</v>
      </c>
      <c r="I4420" s="2" t="str">
        <f t="shared" si="1"/>
        <v>77621 - Law - Corporate Finance</v>
      </c>
      <c r="J4420" s="2">
        <f t="shared" si="2"/>
        <v>23.58</v>
      </c>
      <c r="K4420" s="17">
        <f t="shared" si="3"/>
        <v>1</v>
      </c>
      <c r="L4420" s="18"/>
    </row>
    <row r="4421" hidden="1">
      <c r="A4421" s="2">
        <f>IFERROR(__xludf.DUMMYFUNCTION("""COMPUTED_VALUE"""),121783.0)</f>
        <v>121783</v>
      </c>
      <c r="B4421" s="2">
        <f>IFERROR(__xludf.DUMMYFUNCTION("""COMPUTED_VALUE"""),0.0)</f>
        <v>0</v>
      </c>
      <c r="C4421" s="2">
        <f>IFERROR(__xludf.DUMMYFUNCTION("""COMPUTED_VALUE"""),487.0)</f>
        <v>487</v>
      </c>
      <c r="D4421" s="3">
        <f>IFERROR(__xludf.DUMMYFUNCTION("""COMPUTED_VALUE"""),198.0)</f>
        <v>198</v>
      </c>
      <c r="E4421" s="1" t="str">
        <f t="array" ref="E4421">_xlfn.XLOOKUP(A4421,Product!A:A,Product!B:B,"Bulunamadı")</f>
        <v>Law</v>
      </c>
      <c r="F4421" s="1" t="str">
        <f t="array" ref="F4421">_xlfn.XLOOKUP(A4421,Product!A:A,Product!C:C,"Bulunamadı")</f>
        <v>Corporate Finance</v>
      </c>
      <c r="G4421" s="2" t="str">
        <f t="array" ref="G4421">_xlfn.XLOOKUP(A4422,Product!A:A,Product!D:D,"Bulunamadı")</f>
        <v>Harborpoint House</v>
      </c>
      <c r="H4421" s="2">
        <f t="array" ref="H4421">_xlfn.XLOOKUP(A4423,Product!A:A,Product!E:E,"Bulunamadı")</f>
        <v>0.72</v>
      </c>
      <c r="I4421" s="2" t="str">
        <f t="shared" si="1"/>
        <v>121783 - Law - Corporate Finance</v>
      </c>
      <c r="J4421" s="2">
        <f t="shared" si="2"/>
        <v>142.56</v>
      </c>
      <c r="K4421" s="17">
        <f t="shared" si="3"/>
        <v>1</v>
      </c>
      <c r="L4421" s="18"/>
    </row>
    <row r="4422" hidden="1">
      <c r="A4422" s="2">
        <f>IFERROR(__xludf.DUMMYFUNCTION("""COMPUTED_VALUE"""),75033.0)</f>
        <v>75033</v>
      </c>
      <c r="B4422" s="2">
        <f>IFERROR(__xludf.DUMMYFUNCTION("""COMPUTED_VALUE"""),1.0)</f>
        <v>1</v>
      </c>
      <c r="C4422" s="2">
        <f>IFERROR(__xludf.DUMMYFUNCTION("""COMPUTED_VALUE"""),411.0)</f>
        <v>411</v>
      </c>
      <c r="D4422" s="3">
        <f>IFERROR(__xludf.DUMMYFUNCTION("""COMPUTED_VALUE"""),196.0)</f>
        <v>196</v>
      </c>
      <c r="E4422" s="1" t="str">
        <f t="array" ref="E4422">_xlfn.XLOOKUP(A4422,Product!A:A,Product!B:B,"Bulunamadı")</f>
        <v>Law</v>
      </c>
      <c r="F4422" s="1" t="str">
        <f t="array" ref="F4422">_xlfn.XLOOKUP(A4422,Product!A:A,Product!C:C,"Bulunamadı")</f>
        <v>Corporate Finance</v>
      </c>
      <c r="G4422" s="2" t="str">
        <f t="array" ref="G4422">_xlfn.XLOOKUP(A4423,Product!A:A,Product!D:D,"Bulunamadı")</f>
        <v>Harborpoint House</v>
      </c>
      <c r="H4422" s="2">
        <f t="array" ref="H4422">_xlfn.XLOOKUP(A4424,Product!A:A,Product!E:E,"Bulunamadı")</f>
        <v>2.01</v>
      </c>
      <c r="I4422" s="2" t="str">
        <f t="shared" si="1"/>
        <v>75033 - Law - Corporate Finance</v>
      </c>
      <c r="J4422" s="2">
        <f t="shared" si="2"/>
        <v>393.96</v>
      </c>
      <c r="K4422" s="17">
        <f t="shared" si="3"/>
        <v>1</v>
      </c>
      <c r="L4422" s="18"/>
    </row>
    <row r="4423" hidden="1">
      <c r="A4423" s="2">
        <f>IFERROR(__xludf.DUMMYFUNCTION("""COMPUTED_VALUE"""),12053.0)</f>
        <v>12053</v>
      </c>
      <c r="B4423" s="2">
        <f>IFERROR(__xludf.DUMMYFUNCTION("""COMPUTED_VALUE"""),1.0)</f>
        <v>1</v>
      </c>
      <c r="C4423" s="2">
        <f>IFERROR(__xludf.DUMMYFUNCTION("""COMPUTED_VALUE"""),969.0)</f>
        <v>969</v>
      </c>
      <c r="D4423" s="3">
        <f>IFERROR(__xludf.DUMMYFUNCTION("""COMPUTED_VALUE"""),373.0)</f>
        <v>373</v>
      </c>
      <c r="E4423" s="1" t="str">
        <f t="array" ref="E4423">_xlfn.XLOOKUP(A4423,Product!A:A,Product!B:B,"Bulunamadı")</f>
        <v>Law</v>
      </c>
      <c r="F4423" s="1" t="str">
        <f t="array" ref="F4423">_xlfn.XLOOKUP(A4423,Product!A:A,Product!C:C,"Bulunamadı")</f>
        <v>Corporate Finance</v>
      </c>
      <c r="G4423" s="2" t="str">
        <f t="array" ref="G4423">_xlfn.XLOOKUP(A4424,Product!A:A,Product!D:D,"Bulunamadı")</f>
        <v>Harborpoint House</v>
      </c>
      <c r="H4423" s="2">
        <f t="array" ref="H4423">_xlfn.XLOOKUP(A4425,Product!A:A,Product!E:E,"Bulunamadı")</f>
        <v>0.6</v>
      </c>
      <c r="I4423" s="2" t="str">
        <f t="shared" si="1"/>
        <v>12053 - Law - Corporate Finance</v>
      </c>
      <c r="J4423" s="2">
        <f t="shared" si="2"/>
        <v>223.8</v>
      </c>
      <c r="K4423" s="17">
        <f t="shared" si="3"/>
        <v>1</v>
      </c>
      <c r="L4423" s="18"/>
    </row>
    <row r="4424" hidden="1">
      <c r="A4424" s="2">
        <f>IFERROR(__xludf.DUMMYFUNCTION("""COMPUTED_VALUE"""),113954.0)</f>
        <v>113954</v>
      </c>
      <c r="B4424" s="2">
        <f>IFERROR(__xludf.DUMMYFUNCTION("""COMPUTED_VALUE"""),0.0)</f>
        <v>0</v>
      </c>
      <c r="C4424" s="2">
        <f>IFERROR(__xludf.DUMMYFUNCTION("""COMPUTED_VALUE"""),969.0)</f>
        <v>969</v>
      </c>
      <c r="D4424" s="3">
        <f>IFERROR(__xludf.DUMMYFUNCTION("""COMPUTED_VALUE"""),784.0)</f>
        <v>784</v>
      </c>
      <c r="E4424" s="1" t="str">
        <f t="array" ref="E4424">_xlfn.XLOOKUP(A4424,Product!A:A,Product!B:B,"Bulunamadı")</f>
        <v>Law</v>
      </c>
      <c r="F4424" s="1" t="str">
        <f t="array" ref="F4424">_xlfn.XLOOKUP(A4424,Product!A:A,Product!C:C,"Bulunamadı")</f>
        <v>Corporate Finance</v>
      </c>
      <c r="G4424" s="2" t="str">
        <f t="array" ref="G4424">_xlfn.XLOOKUP(A4425,Product!A:A,Product!D:D,"Bulunamadı")</f>
        <v>Harborpoint House</v>
      </c>
      <c r="H4424" s="2">
        <f t="array" ref="H4424">_xlfn.XLOOKUP(A4426,Product!A:A,Product!E:E,"Bulunamadı")</f>
        <v>1.86</v>
      </c>
      <c r="I4424" s="2" t="str">
        <f t="shared" si="1"/>
        <v>113954 - Law - Corporate Finance</v>
      </c>
      <c r="J4424" s="2">
        <f t="shared" si="2"/>
        <v>1458.24</v>
      </c>
      <c r="K4424" s="17">
        <f t="shared" si="3"/>
        <v>1</v>
      </c>
      <c r="L4424" s="18"/>
    </row>
    <row r="4425" hidden="1">
      <c r="A4425" s="2">
        <f>IFERROR(__xludf.DUMMYFUNCTION("""COMPUTED_VALUE"""),5782.0)</f>
        <v>5782</v>
      </c>
      <c r="B4425" s="2">
        <f>IFERROR(__xludf.DUMMYFUNCTION("""COMPUTED_VALUE"""),1.0)</f>
        <v>1</v>
      </c>
      <c r="C4425" s="2">
        <f>IFERROR(__xludf.DUMMYFUNCTION("""COMPUTED_VALUE"""),223.0)</f>
        <v>223</v>
      </c>
      <c r="D4425" s="3">
        <f>IFERROR(__xludf.DUMMYFUNCTION("""COMPUTED_VALUE"""),104.0)</f>
        <v>104</v>
      </c>
      <c r="E4425" s="1" t="str">
        <f t="array" ref="E4425">_xlfn.XLOOKUP(A4425,Product!A:A,Product!B:B,"Bulunamadı")</f>
        <v>Law</v>
      </c>
      <c r="F4425" s="1" t="str">
        <f t="array" ref="F4425">_xlfn.XLOOKUP(A4425,Product!A:A,Product!C:C,"Bulunamadı")</f>
        <v>Corporate Finance</v>
      </c>
      <c r="G4425" s="2" t="str">
        <f t="array" ref="G4425">_xlfn.XLOOKUP(A4426,Product!A:A,Product!D:D,"Bulunamadı")</f>
        <v>Harborpoint House</v>
      </c>
      <c r="H4425" s="2">
        <f t="array" ref="H4425">_xlfn.XLOOKUP(A4427,Product!A:A,Product!E:E,"Bulunamadı")</f>
        <v>1.87</v>
      </c>
      <c r="I4425" s="2" t="str">
        <f t="shared" si="1"/>
        <v>5782 - Law - Corporate Finance</v>
      </c>
      <c r="J4425" s="2">
        <f t="shared" si="2"/>
        <v>194.48</v>
      </c>
      <c r="K4425" s="17">
        <f t="shared" si="3"/>
        <v>1</v>
      </c>
      <c r="L4425" s="18"/>
    </row>
    <row r="4426" hidden="1">
      <c r="A4426" s="2">
        <f>IFERROR(__xludf.DUMMYFUNCTION("""COMPUTED_VALUE"""),107915.0)</f>
        <v>107915</v>
      </c>
      <c r="B4426" s="2">
        <f>IFERROR(__xludf.DUMMYFUNCTION("""COMPUTED_VALUE"""),0.0)</f>
        <v>0</v>
      </c>
      <c r="C4426" s="2">
        <f>IFERROR(__xludf.DUMMYFUNCTION("""COMPUTED_VALUE"""),439.0)</f>
        <v>439</v>
      </c>
      <c r="D4426" s="3">
        <f>IFERROR(__xludf.DUMMYFUNCTION("""COMPUTED_VALUE"""),379.0)</f>
        <v>379</v>
      </c>
      <c r="E4426" s="1" t="str">
        <f t="array" ref="E4426">_xlfn.XLOOKUP(A4426,Product!A:A,Product!B:B,"Bulunamadı")</f>
        <v>Law</v>
      </c>
      <c r="F4426" s="1" t="str">
        <f t="array" ref="F4426">_xlfn.XLOOKUP(A4426,Product!A:A,Product!C:C,"Bulunamadı")</f>
        <v>Corporate Finance</v>
      </c>
      <c r="G4426" s="2" t="str">
        <f t="array" ref="G4426">_xlfn.XLOOKUP(A4427,Product!A:A,Product!D:D,"Bulunamadı")</f>
        <v>Harborpoint House</v>
      </c>
      <c r="H4426" s="2">
        <f t="array" ref="H4426">_xlfn.XLOOKUP(A4428,Product!A:A,Product!E:E,"Bulunamadı")</f>
        <v>2.54</v>
      </c>
      <c r="I4426" s="2" t="str">
        <f t="shared" si="1"/>
        <v>107915 - Law - Corporate Finance</v>
      </c>
      <c r="J4426" s="2">
        <f t="shared" si="2"/>
        <v>962.66</v>
      </c>
      <c r="K4426" s="17">
        <f t="shared" si="3"/>
        <v>1</v>
      </c>
      <c r="L4426" s="18"/>
    </row>
    <row r="4427" hidden="1">
      <c r="A4427" s="2">
        <f>IFERROR(__xludf.DUMMYFUNCTION("""COMPUTED_VALUE"""),68866.0)</f>
        <v>68866</v>
      </c>
      <c r="B4427" s="2">
        <f>IFERROR(__xludf.DUMMYFUNCTION("""COMPUTED_VALUE"""),0.0)</f>
        <v>0</v>
      </c>
      <c r="C4427" s="2">
        <f>IFERROR(__xludf.DUMMYFUNCTION("""COMPUTED_VALUE"""),2.0)</f>
        <v>2</v>
      </c>
      <c r="D4427" s="3">
        <f>IFERROR(__xludf.DUMMYFUNCTION("""COMPUTED_VALUE"""),0.0)</f>
        <v>0</v>
      </c>
      <c r="E4427" s="1" t="str">
        <f t="array" ref="E4427">_xlfn.XLOOKUP(A4427,Product!A:A,Product!B:B,"Bulunamadı")</f>
        <v>Law</v>
      </c>
      <c r="F4427" s="1" t="str">
        <f t="array" ref="F4427">_xlfn.XLOOKUP(A4427,Product!A:A,Product!C:C,"Bulunamadı")</f>
        <v>Corporate Finance</v>
      </c>
      <c r="G4427" s="2" t="str">
        <f t="array" ref="G4427">_xlfn.XLOOKUP(A4428,Product!A:A,Product!D:D,"Bulunamadı")</f>
        <v>Harborpoint House</v>
      </c>
      <c r="H4427" s="2">
        <f t="array" ref="H4427">_xlfn.XLOOKUP(A4429,Product!A:A,Product!E:E,"Bulunamadı")</f>
        <v>1.24</v>
      </c>
      <c r="I4427" s="2" t="str">
        <f t="shared" si="1"/>
        <v>68866 - Law - Corporate Finance</v>
      </c>
      <c r="J4427" s="2">
        <f t="shared" si="2"/>
        <v>0</v>
      </c>
      <c r="K4427" s="17">
        <f t="shared" si="3"/>
        <v>0</v>
      </c>
      <c r="L4427" s="18"/>
    </row>
    <row r="4428" hidden="1">
      <c r="A4428" s="2">
        <f>IFERROR(__xludf.DUMMYFUNCTION("""COMPUTED_VALUE"""),121837.0)</f>
        <v>121837</v>
      </c>
      <c r="B4428" s="2">
        <f>IFERROR(__xludf.DUMMYFUNCTION("""COMPUTED_VALUE"""),1.0)</f>
        <v>1</v>
      </c>
      <c r="C4428" s="2">
        <f>IFERROR(__xludf.DUMMYFUNCTION("""COMPUTED_VALUE"""),615.0)</f>
        <v>615</v>
      </c>
      <c r="D4428" s="3">
        <f>IFERROR(__xludf.DUMMYFUNCTION("""COMPUTED_VALUE"""),455.0)</f>
        <v>455</v>
      </c>
      <c r="E4428" s="1" t="str">
        <f t="array" ref="E4428">_xlfn.XLOOKUP(A4428,Product!A:A,Product!B:B,"Bulunamadı")</f>
        <v>Law</v>
      </c>
      <c r="F4428" s="1" t="str">
        <f t="array" ref="F4428">_xlfn.XLOOKUP(A4428,Product!A:A,Product!C:C,"Bulunamadı")</f>
        <v>Corporate Finance</v>
      </c>
      <c r="G4428" s="2" t="str">
        <f t="array" ref="G4428">_xlfn.XLOOKUP(A4429,Product!A:A,Product!D:D,"Bulunamadı")</f>
        <v>Harborpoint House</v>
      </c>
      <c r="H4428" s="2">
        <f t="array" ref="H4428">_xlfn.XLOOKUP(A4430,Product!A:A,Product!E:E,"Bulunamadı")</f>
        <v>3.29</v>
      </c>
      <c r="I4428" s="2" t="str">
        <f t="shared" si="1"/>
        <v>121837 - Law - Corporate Finance</v>
      </c>
      <c r="J4428" s="2">
        <f t="shared" si="2"/>
        <v>1496.95</v>
      </c>
      <c r="K4428" s="17">
        <f t="shared" si="3"/>
        <v>1</v>
      </c>
      <c r="L4428" s="18"/>
    </row>
    <row r="4429" hidden="1">
      <c r="A4429" s="2">
        <f>IFERROR(__xludf.DUMMYFUNCTION("""COMPUTED_VALUE"""),121840.0)</f>
        <v>121840</v>
      </c>
      <c r="B4429" s="2">
        <f>IFERROR(__xludf.DUMMYFUNCTION("""COMPUTED_VALUE"""),1.0)</f>
        <v>1</v>
      </c>
      <c r="C4429" s="2">
        <f>IFERROR(__xludf.DUMMYFUNCTION("""COMPUTED_VALUE"""),920.0)</f>
        <v>920</v>
      </c>
      <c r="D4429" s="3">
        <f>IFERROR(__xludf.DUMMYFUNCTION("""COMPUTED_VALUE"""),471.0)</f>
        <v>471</v>
      </c>
      <c r="E4429" s="1" t="str">
        <f t="array" ref="E4429">_xlfn.XLOOKUP(A4429,Product!A:A,Product!B:B,"Bulunamadı")</f>
        <v>Law</v>
      </c>
      <c r="F4429" s="1" t="str">
        <f t="array" ref="F4429">_xlfn.XLOOKUP(A4429,Product!A:A,Product!C:C,"Bulunamadı")</f>
        <v>Corporate Finance</v>
      </c>
      <c r="G4429" s="2" t="str">
        <f t="array" ref="G4429">_xlfn.XLOOKUP(A4430,Product!A:A,Product!D:D,"Bulunamadı")</f>
        <v>Harborpoint House</v>
      </c>
      <c r="H4429" s="2">
        <f t="array" ref="H4429">_xlfn.XLOOKUP(A4431,Product!A:A,Product!E:E,"Bulunamadı")</f>
        <v>2.88</v>
      </c>
      <c r="I4429" s="2" t="str">
        <f t="shared" si="1"/>
        <v>121840 - Law - Corporate Finance</v>
      </c>
      <c r="J4429" s="2">
        <f t="shared" si="2"/>
        <v>1356.48</v>
      </c>
      <c r="K4429" s="17">
        <f t="shared" si="3"/>
        <v>1</v>
      </c>
      <c r="L4429" s="18"/>
    </row>
    <row r="4430" hidden="1">
      <c r="A4430" s="2">
        <f>IFERROR(__xludf.DUMMYFUNCTION("""COMPUTED_VALUE"""),90979.0)</f>
        <v>90979</v>
      </c>
      <c r="B4430" s="2">
        <f>IFERROR(__xludf.DUMMYFUNCTION("""COMPUTED_VALUE"""),1.0)</f>
        <v>1</v>
      </c>
      <c r="C4430" s="2">
        <f>IFERROR(__xludf.DUMMYFUNCTION("""COMPUTED_VALUE"""),50.0)</f>
        <v>50</v>
      </c>
      <c r="D4430" s="3">
        <f>IFERROR(__xludf.DUMMYFUNCTION("""COMPUTED_VALUE"""),50.0)</f>
        <v>50</v>
      </c>
      <c r="E4430" s="1" t="str">
        <f t="array" ref="E4430">_xlfn.XLOOKUP(A4430,Product!A:A,Product!B:B,"Bulunamadı")</f>
        <v>Law</v>
      </c>
      <c r="F4430" s="1" t="str">
        <f t="array" ref="F4430">_xlfn.XLOOKUP(A4430,Product!A:A,Product!C:C,"Bulunamadı")</f>
        <v>Corporate Finance</v>
      </c>
      <c r="G4430" s="2" t="str">
        <f t="array" ref="G4430">_xlfn.XLOOKUP(A4431,Product!A:A,Product!D:D,"Bulunamadı")</f>
        <v>Harborpoint House</v>
      </c>
      <c r="H4430" s="2">
        <f t="array" ref="H4430">_xlfn.XLOOKUP(A4432,Product!A:A,Product!E:E,"Bulunamadı")</f>
        <v>1.89</v>
      </c>
      <c r="I4430" s="2" t="str">
        <f t="shared" si="1"/>
        <v>90979 - Law - Corporate Finance</v>
      </c>
      <c r="J4430" s="2">
        <f t="shared" si="2"/>
        <v>94.5</v>
      </c>
      <c r="K4430" s="17">
        <f t="shared" si="3"/>
        <v>1</v>
      </c>
      <c r="L4430" s="18"/>
    </row>
    <row r="4431" hidden="1">
      <c r="A4431" s="2">
        <f>IFERROR(__xludf.DUMMYFUNCTION("""COMPUTED_VALUE"""),114350.0)</f>
        <v>114350</v>
      </c>
      <c r="B4431" s="2">
        <f>IFERROR(__xludf.DUMMYFUNCTION("""COMPUTED_VALUE"""),0.0)</f>
        <v>0</v>
      </c>
      <c r="C4431" s="2">
        <f>IFERROR(__xludf.DUMMYFUNCTION("""COMPUTED_VALUE"""),948.0)</f>
        <v>948</v>
      </c>
      <c r="D4431" s="3">
        <f>IFERROR(__xludf.DUMMYFUNCTION("""COMPUTED_VALUE"""),301.0)</f>
        <v>301</v>
      </c>
      <c r="E4431" s="1" t="str">
        <f t="array" ref="E4431">_xlfn.XLOOKUP(A4431,Product!A:A,Product!B:B,"Bulunamadı")</f>
        <v>Law</v>
      </c>
      <c r="F4431" s="1" t="str">
        <f t="array" ref="F4431">_xlfn.XLOOKUP(A4431,Product!A:A,Product!C:C,"Bulunamadı")</f>
        <v>Corporate Finance</v>
      </c>
      <c r="G4431" s="2" t="str">
        <f t="array" ref="G4431">_xlfn.XLOOKUP(A4432,Product!A:A,Product!D:D,"Bulunamadı")</f>
        <v>Harborpoint House</v>
      </c>
      <c r="H4431" s="2">
        <f t="array" ref="H4431">_xlfn.XLOOKUP(A4433,Product!A:A,Product!E:E,"Bulunamadı")</f>
        <v>1.15</v>
      </c>
      <c r="I4431" s="2" t="str">
        <f t="shared" si="1"/>
        <v>114350 - Law - Corporate Finance</v>
      </c>
      <c r="J4431" s="2">
        <f t="shared" si="2"/>
        <v>346.15</v>
      </c>
      <c r="K4431" s="17">
        <f t="shared" si="3"/>
        <v>1</v>
      </c>
      <c r="L4431" s="18"/>
    </row>
    <row r="4432" hidden="1">
      <c r="A4432" s="2">
        <f>IFERROR(__xludf.DUMMYFUNCTION("""COMPUTED_VALUE"""),47539.0)</f>
        <v>47539</v>
      </c>
      <c r="B4432" s="2">
        <f>IFERROR(__xludf.DUMMYFUNCTION("""COMPUTED_VALUE"""),0.0)</f>
        <v>0</v>
      </c>
      <c r="C4432" s="2">
        <f>IFERROR(__xludf.DUMMYFUNCTION("""COMPUTED_VALUE"""),653.0)</f>
        <v>653</v>
      </c>
      <c r="D4432" s="3">
        <f>IFERROR(__xludf.DUMMYFUNCTION("""COMPUTED_VALUE"""),318.0)</f>
        <v>318</v>
      </c>
      <c r="E4432" s="1" t="str">
        <f t="array" ref="E4432">_xlfn.XLOOKUP(A4432,Product!A:A,Product!B:B,"Bulunamadı")</f>
        <v>Law</v>
      </c>
      <c r="F4432" s="1" t="str">
        <f t="array" ref="F4432">_xlfn.XLOOKUP(A4432,Product!A:A,Product!C:C,"Bulunamadı")</f>
        <v>Corporate Finance</v>
      </c>
      <c r="G4432" s="2" t="str">
        <f t="array" ref="G4432">_xlfn.XLOOKUP(A4433,Product!A:A,Product!D:D,"Bulunamadı")</f>
        <v>Harborpoint House</v>
      </c>
      <c r="H4432" s="2">
        <f t="array" ref="H4432">_xlfn.XLOOKUP(A4434,Product!A:A,Product!E:E,"Bulunamadı")</f>
        <v>0.98</v>
      </c>
      <c r="I4432" s="2" t="str">
        <f t="shared" si="1"/>
        <v>47539 - Law - Corporate Finance</v>
      </c>
      <c r="J4432" s="2">
        <f t="shared" si="2"/>
        <v>311.64</v>
      </c>
      <c r="K4432" s="17">
        <f t="shared" si="3"/>
        <v>1</v>
      </c>
      <c r="L4432" s="18"/>
    </row>
    <row r="4433" hidden="1">
      <c r="A4433" s="2">
        <f>IFERROR(__xludf.DUMMYFUNCTION("""COMPUTED_VALUE"""),83948.0)</f>
        <v>83948</v>
      </c>
      <c r="B4433" s="2">
        <f>IFERROR(__xludf.DUMMYFUNCTION("""COMPUTED_VALUE"""),1.0)</f>
        <v>1</v>
      </c>
      <c r="C4433" s="2">
        <f>IFERROR(__xludf.DUMMYFUNCTION("""COMPUTED_VALUE"""),26.0)</f>
        <v>26</v>
      </c>
      <c r="D4433" s="3">
        <f>IFERROR(__xludf.DUMMYFUNCTION("""COMPUTED_VALUE"""),0.0)</f>
        <v>0</v>
      </c>
      <c r="E4433" s="1" t="str">
        <f t="array" ref="E4433">_xlfn.XLOOKUP(A4433,Product!A:A,Product!B:B,"Bulunamadı")</f>
        <v>Law</v>
      </c>
      <c r="F4433" s="1" t="str">
        <f t="array" ref="F4433">_xlfn.XLOOKUP(A4433,Product!A:A,Product!C:C,"Bulunamadı")</f>
        <v>Corporate Finance</v>
      </c>
      <c r="G4433" s="2" t="str">
        <f t="array" ref="G4433">_xlfn.XLOOKUP(A4434,Product!A:A,Product!D:D,"Bulunamadı")</f>
        <v>Harborpoint House</v>
      </c>
      <c r="H4433" s="2">
        <f t="array" ref="H4433">_xlfn.XLOOKUP(A4435,Product!A:A,Product!E:E,"Bulunamadı")</f>
        <v>0.78</v>
      </c>
      <c r="I4433" s="2" t="str">
        <f t="shared" si="1"/>
        <v>83948 - Law - Corporate Finance</v>
      </c>
      <c r="J4433" s="2">
        <f t="shared" si="2"/>
        <v>0</v>
      </c>
      <c r="K4433" s="17">
        <f t="shared" si="3"/>
        <v>0</v>
      </c>
      <c r="L4433" s="18"/>
    </row>
    <row r="4434" hidden="1">
      <c r="A4434" s="2">
        <f>IFERROR(__xludf.DUMMYFUNCTION("""COMPUTED_VALUE"""),17139.0)</f>
        <v>17139</v>
      </c>
      <c r="B4434" s="2">
        <f>IFERROR(__xludf.DUMMYFUNCTION("""COMPUTED_VALUE"""),0.0)</f>
        <v>0</v>
      </c>
      <c r="C4434" s="2">
        <f>IFERROR(__xludf.DUMMYFUNCTION("""COMPUTED_VALUE"""),-11.0)</f>
        <v>-11</v>
      </c>
      <c r="D4434" s="3">
        <f>IFERROR(__xludf.DUMMYFUNCTION("""COMPUTED_VALUE"""),-11.0)</f>
        <v>-11</v>
      </c>
      <c r="E4434" s="1" t="str">
        <f t="array" ref="E4434">_xlfn.XLOOKUP(A4434,Product!A:A,Product!B:B,"Bulunamadı")</f>
        <v>Law</v>
      </c>
      <c r="F4434" s="1" t="str">
        <f t="array" ref="F4434">_xlfn.XLOOKUP(A4434,Product!A:A,Product!C:C,"Bulunamadı")</f>
        <v>Corporate Finance</v>
      </c>
      <c r="G4434" s="2" t="str">
        <f t="array" ref="G4434">_xlfn.XLOOKUP(A4435,Product!A:A,Product!D:D,"Bulunamadı")</f>
        <v>Harborpoint House</v>
      </c>
      <c r="H4434" s="2">
        <f t="array" ref="H4434">_xlfn.XLOOKUP(A4436,Product!A:A,Product!E:E,"Bulunamadı")</f>
        <v>0.95</v>
      </c>
      <c r="I4434" s="2" t="str">
        <f t="shared" si="1"/>
        <v>17139 - Law - Corporate Finance</v>
      </c>
      <c r="J4434" s="2">
        <f t="shared" si="2"/>
        <v>-10.45</v>
      </c>
      <c r="K4434" s="17">
        <f t="shared" si="3"/>
        <v>0</v>
      </c>
      <c r="L4434" s="18"/>
    </row>
    <row r="4435" hidden="1">
      <c r="A4435" s="2">
        <f>IFERROR(__xludf.DUMMYFUNCTION("""COMPUTED_VALUE"""),12051.0)</f>
        <v>12051</v>
      </c>
      <c r="B4435" s="2">
        <f>IFERROR(__xludf.DUMMYFUNCTION("""COMPUTED_VALUE"""),1.0)</f>
        <v>1</v>
      </c>
      <c r="C4435" s="2">
        <f>IFERROR(__xludf.DUMMYFUNCTION("""COMPUTED_VALUE"""),112.0)</f>
        <v>112</v>
      </c>
      <c r="D4435" s="3">
        <f>IFERROR(__xludf.DUMMYFUNCTION("""COMPUTED_VALUE"""),106.0)</f>
        <v>106</v>
      </c>
      <c r="E4435" s="1" t="str">
        <f t="array" ref="E4435">_xlfn.XLOOKUP(A4435,Product!A:A,Product!B:B,"Bulunamadı")</f>
        <v>Law</v>
      </c>
      <c r="F4435" s="1" t="str">
        <f t="array" ref="F4435">_xlfn.XLOOKUP(A4435,Product!A:A,Product!C:C,"Bulunamadı")</f>
        <v>Corporate Finance</v>
      </c>
      <c r="G4435" s="2" t="str">
        <f t="array" ref="G4435">_xlfn.XLOOKUP(A4436,Product!A:A,Product!D:D,"Bulunamadı")</f>
        <v>Harborpoint House</v>
      </c>
      <c r="H4435" s="2">
        <f t="array" ref="H4435">_xlfn.XLOOKUP(A4437,Product!A:A,Product!E:E,"Bulunamadı")</f>
        <v>2.66</v>
      </c>
      <c r="I4435" s="2" t="str">
        <f t="shared" si="1"/>
        <v>12051 - Law - Corporate Finance</v>
      </c>
      <c r="J4435" s="2">
        <f t="shared" si="2"/>
        <v>281.96</v>
      </c>
      <c r="K4435" s="17">
        <f t="shared" si="3"/>
        <v>1</v>
      </c>
      <c r="L4435" s="18"/>
    </row>
    <row r="4436" hidden="1">
      <c r="A4436" s="2">
        <f>IFERROR(__xludf.DUMMYFUNCTION("""COMPUTED_VALUE"""),12052.0)</f>
        <v>12052</v>
      </c>
      <c r="B4436" s="2">
        <f>IFERROR(__xludf.DUMMYFUNCTION("""COMPUTED_VALUE"""),1.0)</f>
        <v>1</v>
      </c>
      <c r="C4436" s="2">
        <f>IFERROR(__xludf.DUMMYFUNCTION("""COMPUTED_VALUE"""),257.0)</f>
        <v>257</v>
      </c>
      <c r="D4436" s="3">
        <f>IFERROR(__xludf.DUMMYFUNCTION("""COMPUTED_VALUE"""),96.0)</f>
        <v>96</v>
      </c>
      <c r="E4436" s="1" t="str">
        <f t="array" ref="E4436">_xlfn.XLOOKUP(A4436,Product!A:A,Product!B:B,"Bulunamadı")</f>
        <v>Law</v>
      </c>
      <c r="F4436" s="1" t="str">
        <f t="array" ref="F4436">_xlfn.XLOOKUP(A4436,Product!A:A,Product!C:C,"Bulunamadı")</f>
        <v>Corporate Finance</v>
      </c>
      <c r="G4436" s="2" t="str">
        <f t="array" ref="G4436">_xlfn.XLOOKUP(A4437,Product!A:A,Product!D:D,"Bulunamadı")</f>
        <v>Harborpoint House</v>
      </c>
      <c r="H4436" s="2">
        <f t="array" ref="H4436">_xlfn.XLOOKUP(A4438,Product!A:A,Product!E:E,"Bulunamadı")</f>
        <v>1.11</v>
      </c>
      <c r="I4436" s="2" t="str">
        <f t="shared" si="1"/>
        <v>12052 - Law - Corporate Finance</v>
      </c>
      <c r="J4436" s="2">
        <f t="shared" si="2"/>
        <v>106.56</v>
      </c>
      <c r="K4436" s="17">
        <f t="shared" si="3"/>
        <v>1</v>
      </c>
      <c r="L4436" s="18"/>
    </row>
    <row r="4437" hidden="1">
      <c r="A4437" s="2">
        <f>IFERROR(__xludf.DUMMYFUNCTION("""COMPUTED_VALUE"""),121838.0)</f>
        <v>121838</v>
      </c>
      <c r="B4437" s="2">
        <f>IFERROR(__xludf.DUMMYFUNCTION("""COMPUTED_VALUE"""),1.0)</f>
        <v>1</v>
      </c>
      <c r="C4437" s="2">
        <f>IFERROR(__xludf.DUMMYFUNCTION("""COMPUTED_VALUE"""),428.0)</f>
        <v>428</v>
      </c>
      <c r="D4437" s="3">
        <f>IFERROR(__xludf.DUMMYFUNCTION("""COMPUTED_VALUE"""),275.0)</f>
        <v>275</v>
      </c>
      <c r="E4437" s="1" t="str">
        <f t="array" ref="E4437">_xlfn.XLOOKUP(A4437,Product!A:A,Product!B:B,"Bulunamadı")</f>
        <v>Law</v>
      </c>
      <c r="F4437" s="1" t="str">
        <f t="array" ref="F4437">_xlfn.XLOOKUP(A4437,Product!A:A,Product!C:C,"Bulunamadı")</f>
        <v>Corporate Finance</v>
      </c>
      <c r="G4437" s="2" t="str">
        <f t="array" ref="G4437">_xlfn.XLOOKUP(A4438,Product!A:A,Product!D:D,"Bulunamadı")</f>
        <v>Harborpoint House</v>
      </c>
      <c r="H4437" s="2">
        <f t="array" ref="H4437">_xlfn.XLOOKUP(A4439,Product!A:A,Product!E:E,"Bulunamadı")</f>
        <v>0.62</v>
      </c>
      <c r="I4437" s="2" t="str">
        <f t="shared" si="1"/>
        <v>121838 - Law - Corporate Finance</v>
      </c>
      <c r="J4437" s="2">
        <f t="shared" si="2"/>
        <v>170.5</v>
      </c>
      <c r="K4437" s="17">
        <f t="shared" si="3"/>
        <v>1</v>
      </c>
      <c r="L4437" s="18"/>
    </row>
    <row r="4438" hidden="1">
      <c r="A4438" s="2">
        <f>IFERROR(__xludf.DUMMYFUNCTION("""COMPUTED_VALUE"""),107917.0)</f>
        <v>107917</v>
      </c>
      <c r="B4438" s="2">
        <f>IFERROR(__xludf.DUMMYFUNCTION("""COMPUTED_VALUE"""),1.0)</f>
        <v>1</v>
      </c>
      <c r="C4438" s="2">
        <f>IFERROR(__xludf.DUMMYFUNCTION("""COMPUTED_VALUE"""),41.0)</f>
        <v>41</v>
      </c>
      <c r="D4438" s="3">
        <f>IFERROR(__xludf.DUMMYFUNCTION("""COMPUTED_VALUE"""),4.0)</f>
        <v>4</v>
      </c>
      <c r="E4438" s="1" t="str">
        <f t="array" ref="E4438">_xlfn.XLOOKUP(A4438,Product!A:A,Product!B:B,"Bulunamadı")</f>
        <v>Law</v>
      </c>
      <c r="F4438" s="1" t="str">
        <f t="array" ref="F4438">_xlfn.XLOOKUP(A4438,Product!A:A,Product!C:C,"Bulunamadı")</f>
        <v>Corporate Finance</v>
      </c>
      <c r="G4438" s="2" t="str">
        <f t="array" ref="G4438">_xlfn.XLOOKUP(A4439,Product!A:A,Product!D:D,"Bulunamadı")</f>
        <v>Harborpoint House</v>
      </c>
      <c r="H4438" s="2">
        <f t="array" ref="H4438">_xlfn.XLOOKUP(A4440,Product!A:A,Product!E:E,"Bulunamadı")</f>
        <v>2.21</v>
      </c>
      <c r="I4438" s="2" t="str">
        <f t="shared" si="1"/>
        <v>107917 - Law - Corporate Finance</v>
      </c>
      <c r="J4438" s="2">
        <f t="shared" si="2"/>
        <v>8.84</v>
      </c>
      <c r="K4438" s="17">
        <f t="shared" si="3"/>
        <v>1</v>
      </c>
      <c r="L4438" s="18"/>
    </row>
    <row r="4439" hidden="1">
      <c r="A4439" s="2">
        <f>IFERROR(__xludf.DUMMYFUNCTION("""COMPUTED_VALUE"""),5779.0)</f>
        <v>5779</v>
      </c>
      <c r="B4439" s="2">
        <f>IFERROR(__xludf.DUMMYFUNCTION("""COMPUTED_VALUE"""),1.0)</f>
        <v>1</v>
      </c>
      <c r="C4439" s="2">
        <f>IFERROR(__xludf.DUMMYFUNCTION("""COMPUTED_VALUE"""),409.0)</f>
        <v>409</v>
      </c>
      <c r="D4439" s="3">
        <f>IFERROR(__xludf.DUMMYFUNCTION("""COMPUTED_VALUE"""),184.0)</f>
        <v>184</v>
      </c>
      <c r="E4439" s="1" t="str">
        <f t="array" ref="E4439">_xlfn.XLOOKUP(A4439,Product!A:A,Product!B:B,"Bulunamadı")</f>
        <v>Law</v>
      </c>
      <c r="F4439" s="1" t="str">
        <f t="array" ref="F4439">_xlfn.XLOOKUP(A4439,Product!A:A,Product!C:C,"Bulunamadı")</f>
        <v>Corporate Finance</v>
      </c>
      <c r="G4439" s="2" t="str">
        <f t="array" ref="G4439">_xlfn.XLOOKUP(A4440,Product!A:A,Product!D:D,"Bulunamadı")</f>
        <v>Harborpoint House</v>
      </c>
      <c r="H4439" s="2">
        <f t="array" ref="H4439">_xlfn.XLOOKUP(A4441,Product!A:A,Product!E:E,"Bulunamadı")</f>
        <v>2.04</v>
      </c>
      <c r="I4439" s="2" t="str">
        <f t="shared" si="1"/>
        <v>5779 - Law - Corporate Finance</v>
      </c>
      <c r="J4439" s="2">
        <f t="shared" si="2"/>
        <v>375.36</v>
      </c>
      <c r="K4439" s="17">
        <f t="shared" si="3"/>
        <v>1</v>
      </c>
      <c r="L4439" s="18"/>
    </row>
    <row r="4440" hidden="1">
      <c r="A4440" s="2">
        <f>IFERROR(__xludf.DUMMYFUNCTION("""COMPUTED_VALUE"""),120303.0)</f>
        <v>120303</v>
      </c>
      <c r="B4440" s="2">
        <f>IFERROR(__xludf.DUMMYFUNCTION("""COMPUTED_VALUE"""),0.0)</f>
        <v>0</v>
      </c>
      <c r="C4440" s="2">
        <f>IFERROR(__xludf.DUMMYFUNCTION("""COMPUTED_VALUE"""),798.0)</f>
        <v>798</v>
      </c>
      <c r="D4440" s="3">
        <f>IFERROR(__xludf.DUMMYFUNCTION("""COMPUTED_VALUE"""),30.0)</f>
        <v>30</v>
      </c>
      <c r="E4440" s="1" t="str">
        <f t="array" ref="E4440">_xlfn.XLOOKUP(A4440,Product!A:A,Product!B:B,"Bulunamadı")</f>
        <v>Law</v>
      </c>
      <c r="F4440" s="1" t="str">
        <f t="array" ref="F4440">_xlfn.XLOOKUP(A4440,Product!A:A,Product!C:C,"Bulunamadı")</f>
        <v>Corporate Finance</v>
      </c>
      <c r="G4440" s="2" t="str">
        <f t="array" ref="G4440">_xlfn.XLOOKUP(A4441,Product!A:A,Product!D:D,"Bulunamadı")</f>
        <v>Harborpoint House</v>
      </c>
      <c r="H4440" s="2">
        <f t="array" ref="H4440">_xlfn.XLOOKUP(A4442,Product!A:A,Product!E:E,"Bulunamadı")</f>
        <v>1.57</v>
      </c>
      <c r="I4440" s="2" t="str">
        <f t="shared" si="1"/>
        <v>120303 - Law - Corporate Finance</v>
      </c>
      <c r="J4440" s="2">
        <f t="shared" si="2"/>
        <v>47.1</v>
      </c>
      <c r="K4440" s="17">
        <f t="shared" si="3"/>
        <v>1</v>
      </c>
      <c r="L4440" s="18"/>
    </row>
    <row r="4441" hidden="1">
      <c r="A4441" s="2">
        <f>IFERROR(__xludf.DUMMYFUNCTION("""COMPUTED_VALUE"""),121784.0)</f>
        <v>121784</v>
      </c>
      <c r="B4441" s="2">
        <f>IFERROR(__xludf.DUMMYFUNCTION("""COMPUTED_VALUE"""),1.0)</f>
        <v>1</v>
      </c>
      <c r="C4441" s="2">
        <f>IFERROR(__xludf.DUMMYFUNCTION("""COMPUTED_VALUE"""),430.0)</f>
        <v>430</v>
      </c>
      <c r="D4441" s="3">
        <f>IFERROR(__xludf.DUMMYFUNCTION("""COMPUTED_VALUE"""),352.0)</f>
        <v>352</v>
      </c>
      <c r="E4441" s="1" t="str">
        <f t="array" ref="E4441">_xlfn.XLOOKUP(A4441,Product!A:A,Product!B:B,"Bulunamadı")</f>
        <v>Law</v>
      </c>
      <c r="F4441" s="1" t="str">
        <f t="array" ref="F4441">_xlfn.XLOOKUP(A4441,Product!A:A,Product!C:C,"Bulunamadı")</f>
        <v>Corporate Finance</v>
      </c>
      <c r="G4441" s="2" t="str">
        <f t="array" ref="G4441">_xlfn.XLOOKUP(A4442,Product!A:A,Product!D:D,"Bulunamadı")</f>
        <v>Harborpoint House</v>
      </c>
      <c r="H4441" s="2">
        <f t="array" ref="H4441">_xlfn.XLOOKUP(A4443,Product!A:A,Product!E:E,"Bulunamadı")</f>
        <v>0.6</v>
      </c>
      <c r="I4441" s="2" t="str">
        <f t="shared" si="1"/>
        <v>121784 - Law - Corporate Finance</v>
      </c>
      <c r="J4441" s="2">
        <f t="shared" si="2"/>
        <v>211.2</v>
      </c>
      <c r="K4441" s="17">
        <f t="shared" si="3"/>
        <v>1</v>
      </c>
      <c r="L4441" s="18"/>
    </row>
    <row r="4442" hidden="1">
      <c r="A4442" s="2">
        <f>IFERROR(__xludf.DUMMYFUNCTION("""COMPUTED_VALUE"""),107913.0)</f>
        <v>107913</v>
      </c>
      <c r="B4442" s="2">
        <f>IFERROR(__xludf.DUMMYFUNCTION("""COMPUTED_VALUE"""),1.0)</f>
        <v>1</v>
      </c>
      <c r="C4442" s="2">
        <f>IFERROR(__xludf.DUMMYFUNCTION("""COMPUTED_VALUE"""),949.0)</f>
        <v>949</v>
      </c>
      <c r="D4442" s="3">
        <f>IFERROR(__xludf.DUMMYFUNCTION("""COMPUTED_VALUE"""),841.0)</f>
        <v>841</v>
      </c>
      <c r="E4442" s="1" t="str">
        <f t="array" ref="E4442">_xlfn.XLOOKUP(A4442,Product!A:A,Product!B:B,"Bulunamadı")</f>
        <v>Law</v>
      </c>
      <c r="F4442" s="1" t="str">
        <f t="array" ref="F4442">_xlfn.XLOOKUP(A4442,Product!A:A,Product!C:C,"Bulunamadı")</f>
        <v>Corporate Finance</v>
      </c>
      <c r="G4442" s="2" t="str">
        <f t="array" ref="G4442">_xlfn.XLOOKUP(A4443,Product!A:A,Product!D:D,"Bulunamadı")</f>
        <v>Harborpoint House</v>
      </c>
      <c r="H4442" s="2">
        <f t="array" ref="H4442">_xlfn.XLOOKUP(A4444,Product!A:A,Product!E:E,"Bulunamadı")</f>
        <v>2.5</v>
      </c>
      <c r="I4442" s="2" t="str">
        <f t="shared" si="1"/>
        <v>107913 - Law - Corporate Finance</v>
      </c>
      <c r="J4442" s="2">
        <f t="shared" si="2"/>
        <v>2102.5</v>
      </c>
      <c r="K4442" s="17">
        <f t="shared" si="3"/>
        <v>1</v>
      </c>
      <c r="L4442" s="18"/>
    </row>
    <row r="4443" hidden="1">
      <c r="A4443" s="2">
        <f>IFERROR(__xludf.DUMMYFUNCTION("""COMPUTED_VALUE"""),58759.0)</f>
        <v>58759</v>
      </c>
      <c r="B4443" s="2">
        <f>IFERROR(__xludf.DUMMYFUNCTION("""COMPUTED_VALUE"""),1.0)</f>
        <v>1</v>
      </c>
      <c r="C4443" s="2">
        <f>IFERROR(__xludf.DUMMYFUNCTION("""COMPUTED_VALUE"""),118.0)</f>
        <v>118</v>
      </c>
      <c r="D4443" s="3">
        <f>IFERROR(__xludf.DUMMYFUNCTION("""COMPUTED_VALUE"""),108.0)</f>
        <v>108</v>
      </c>
      <c r="E4443" s="1" t="str">
        <f t="array" ref="E4443">_xlfn.XLOOKUP(A4443,Product!A:A,Product!B:B,"Bulunamadı")</f>
        <v>Law</v>
      </c>
      <c r="F4443" s="1" t="str">
        <f t="array" ref="F4443">_xlfn.XLOOKUP(A4443,Product!A:A,Product!C:C,"Bulunamadı")</f>
        <v>Corporate Finance</v>
      </c>
      <c r="G4443" s="2" t="str">
        <f t="array" ref="G4443">_xlfn.XLOOKUP(A4444,Product!A:A,Product!D:D,"Bulunamadı")</f>
        <v>Harborpoint House</v>
      </c>
      <c r="H4443" s="2">
        <f t="array" ref="H4443">_xlfn.XLOOKUP(A4445,Product!A:A,Product!E:E,"Bulunamadı")</f>
        <v>1.51</v>
      </c>
      <c r="I4443" s="2" t="str">
        <f t="shared" si="1"/>
        <v>58759 - Law - Corporate Finance</v>
      </c>
      <c r="J4443" s="2">
        <f t="shared" si="2"/>
        <v>163.08</v>
      </c>
      <c r="K4443" s="17">
        <f t="shared" si="3"/>
        <v>1</v>
      </c>
      <c r="L4443" s="18"/>
    </row>
    <row r="4444" hidden="1">
      <c r="A4444" s="2">
        <f>IFERROR(__xludf.DUMMYFUNCTION("""COMPUTED_VALUE"""),158697.0)</f>
        <v>158697</v>
      </c>
      <c r="B4444" s="2">
        <f>IFERROR(__xludf.DUMMYFUNCTION("""COMPUTED_VALUE"""),0.0)</f>
        <v>0</v>
      </c>
      <c r="C4444" s="2">
        <f>IFERROR(__xludf.DUMMYFUNCTION("""COMPUTED_VALUE"""),811.0)</f>
        <v>811</v>
      </c>
      <c r="D4444" s="3">
        <f>IFERROR(__xludf.DUMMYFUNCTION("""COMPUTED_VALUE"""),693.0)</f>
        <v>693</v>
      </c>
      <c r="E4444" s="1" t="str">
        <f t="array" ref="E4444">_xlfn.XLOOKUP(A4444,Product!A:A,Product!B:B,"Bulunamadı")</f>
        <v>Law</v>
      </c>
      <c r="F4444" s="1" t="str">
        <f t="array" ref="F4444">_xlfn.XLOOKUP(A4444,Product!A:A,Product!C:C,"Bulunamadı")</f>
        <v>Corporate Finance</v>
      </c>
      <c r="G4444" s="2" t="str">
        <f t="array" ref="G4444">_xlfn.XLOOKUP(A4445,Product!A:A,Product!D:D,"Bulunamadı")</f>
        <v>Cedarpoint House</v>
      </c>
      <c r="H4444" s="2">
        <f t="array" ref="H4444">_xlfn.XLOOKUP(A4446,Product!A:A,Product!E:E,"Bulunamadı")</f>
        <v>1.91</v>
      </c>
      <c r="I4444" s="2" t="str">
        <f t="shared" si="1"/>
        <v>158697 - Law - Corporate Finance</v>
      </c>
      <c r="J4444" s="2">
        <f t="shared" si="2"/>
        <v>1323.63</v>
      </c>
      <c r="K4444" s="17">
        <f t="shared" si="3"/>
        <v>1</v>
      </c>
      <c r="L4444" s="18"/>
    </row>
    <row r="4445" hidden="1">
      <c r="A4445" s="2">
        <f>IFERROR(__xludf.DUMMYFUNCTION("""COMPUTED_VALUE"""),87160.0)</f>
        <v>87160</v>
      </c>
      <c r="B4445" s="2">
        <f>IFERROR(__xludf.DUMMYFUNCTION("""COMPUTED_VALUE"""),0.0)</f>
        <v>0</v>
      </c>
      <c r="C4445" s="2">
        <f>IFERROR(__xludf.DUMMYFUNCTION("""COMPUTED_VALUE"""),192.0)</f>
        <v>192</v>
      </c>
      <c r="D4445" s="3">
        <f>IFERROR(__xludf.DUMMYFUNCTION("""COMPUTED_VALUE"""),110.0)</f>
        <v>110</v>
      </c>
      <c r="E4445" s="1" t="str">
        <f t="array" ref="E4445">_xlfn.XLOOKUP(A4445,Product!A:A,Product!B:B,"Bulunamadı")</f>
        <v>Law</v>
      </c>
      <c r="F4445" s="1" t="str">
        <f t="array" ref="F4445">_xlfn.XLOOKUP(A4445,Product!A:A,Product!C:C,"Bulunamadı")</f>
        <v>Corporate Finance</v>
      </c>
      <c r="G4445" s="2" t="str">
        <f t="array" ref="G4445">_xlfn.XLOOKUP(A4446,Product!A:A,Product!D:D,"Bulunamadı")</f>
        <v>Cedarpoint House</v>
      </c>
      <c r="H4445" s="2">
        <f t="array" ref="H4445">_xlfn.XLOOKUP(A4447,Product!A:A,Product!E:E,"Bulunamadı")</f>
        <v>1.71</v>
      </c>
      <c r="I4445" s="2" t="str">
        <f t="shared" si="1"/>
        <v>87160 - Law - Corporate Finance</v>
      </c>
      <c r="J4445" s="2">
        <f t="shared" si="2"/>
        <v>188.1</v>
      </c>
      <c r="K4445" s="17">
        <f t="shared" si="3"/>
        <v>1</v>
      </c>
      <c r="L4445" s="18"/>
    </row>
    <row r="4446" hidden="1">
      <c r="A4446" s="2">
        <f>IFERROR(__xludf.DUMMYFUNCTION("""COMPUTED_VALUE"""),88694.0)</f>
        <v>88694</v>
      </c>
      <c r="B4446" s="2">
        <f>IFERROR(__xludf.DUMMYFUNCTION("""COMPUTED_VALUE"""),0.0)</f>
        <v>0</v>
      </c>
      <c r="C4446" s="2">
        <f>IFERROR(__xludf.DUMMYFUNCTION("""COMPUTED_VALUE"""),796.0)</f>
        <v>796</v>
      </c>
      <c r="D4446" s="3">
        <f>IFERROR(__xludf.DUMMYFUNCTION("""COMPUTED_VALUE"""),581.0)</f>
        <v>581</v>
      </c>
      <c r="E4446" s="1" t="str">
        <f t="array" ref="E4446">_xlfn.XLOOKUP(A4446,Product!A:A,Product!B:B,"Bulunamadı")</f>
        <v>Law</v>
      </c>
      <c r="F4446" s="1" t="str">
        <f t="array" ref="F4446">_xlfn.XLOOKUP(A4446,Product!A:A,Product!C:C,"Bulunamadı")</f>
        <v>Corporate Finance</v>
      </c>
      <c r="G4446" s="2" t="str">
        <f t="array" ref="G4446">_xlfn.XLOOKUP(A4447,Product!A:A,Product!D:D,"Bulunamadı")</f>
        <v>Cedarpoint House</v>
      </c>
      <c r="H4446" s="2">
        <f t="array" ref="H4446">_xlfn.XLOOKUP(A4448,Product!A:A,Product!E:E,"Bulunamadı")</f>
        <v>2.01</v>
      </c>
      <c r="I4446" s="2" t="str">
        <f t="shared" si="1"/>
        <v>88694 - Law - Corporate Finance</v>
      </c>
      <c r="J4446" s="2">
        <f t="shared" si="2"/>
        <v>1167.81</v>
      </c>
      <c r="K4446" s="17">
        <f t="shared" si="3"/>
        <v>1</v>
      </c>
      <c r="L4446" s="18"/>
    </row>
    <row r="4447" hidden="1">
      <c r="A4447" s="2">
        <f>IFERROR(__xludf.DUMMYFUNCTION("""COMPUTED_VALUE"""),120393.0)</f>
        <v>120393</v>
      </c>
      <c r="B4447" s="2">
        <f>IFERROR(__xludf.DUMMYFUNCTION("""COMPUTED_VALUE"""),0.0)</f>
        <v>0</v>
      </c>
      <c r="C4447" s="2">
        <f>IFERROR(__xludf.DUMMYFUNCTION("""COMPUTED_VALUE"""),823.0)</f>
        <v>823</v>
      </c>
      <c r="D4447" s="3">
        <f>IFERROR(__xludf.DUMMYFUNCTION("""COMPUTED_VALUE"""),550.0)</f>
        <v>550</v>
      </c>
      <c r="E4447" s="1" t="str">
        <f t="array" ref="E4447">_xlfn.XLOOKUP(A4447,Product!A:A,Product!B:B,"Bulunamadı")</f>
        <v>Law</v>
      </c>
      <c r="F4447" s="1" t="str">
        <f t="array" ref="F4447">_xlfn.XLOOKUP(A4447,Product!A:A,Product!C:C,"Bulunamadı")</f>
        <v>Corporate Finance</v>
      </c>
      <c r="G4447" s="2" t="str">
        <f t="array" ref="G4447">_xlfn.XLOOKUP(A4448,Product!A:A,Product!D:D,"Bulunamadı")</f>
        <v>Cedarpoint House</v>
      </c>
      <c r="H4447" s="2">
        <f t="array" ref="H4447">_xlfn.XLOOKUP(A4449,Product!A:A,Product!E:E,"Bulunamadı")</f>
        <v>1.66</v>
      </c>
      <c r="I4447" s="2" t="str">
        <f t="shared" si="1"/>
        <v>120393 - Law - Corporate Finance</v>
      </c>
      <c r="J4447" s="2">
        <f t="shared" si="2"/>
        <v>913</v>
      </c>
      <c r="K4447" s="17">
        <f t="shared" si="3"/>
        <v>1</v>
      </c>
      <c r="L4447" s="18"/>
    </row>
    <row r="4448" hidden="1">
      <c r="A4448" s="2">
        <f>IFERROR(__xludf.DUMMYFUNCTION("""COMPUTED_VALUE"""),89581.0)</f>
        <v>89581</v>
      </c>
      <c r="B4448" s="2">
        <f>IFERROR(__xludf.DUMMYFUNCTION("""COMPUTED_VALUE"""),1.0)</f>
        <v>1</v>
      </c>
      <c r="C4448" s="2">
        <f>IFERROR(__xludf.DUMMYFUNCTION("""COMPUTED_VALUE"""),44.0)</f>
        <v>44</v>
      </c>
      <c r="D4448" s="3">
        <f>IFERROR(__xludf.DUMMYFUNCTION("""COMPUTED_VALUE"""),8.0)</f>
        <v>8</v>
      </c>
      <c r="E4448" s="1" t="str">
        <f t="array" ref="E4448">_xlfn.XLOOKUP(A4448,Product!A:A,Product!B:B,"Bulunamadı")</f>
        <v>Law</v>
      </c>
      <c r="F4448" s="1" t="str">
        <f t="array" ref="F4448">_xlfn.XLOOKUP(A4448,Product!A:A,Product!C:C,"Bulunamadı")</f>
        <v>Corporate Finance</v>
      </c>
      <c r="G4448" s="2" t="str">
        <f t="array" ref="G4448">_xlfn.XLOOKUP(A4449,Product!A:A,Product!D:D,"Bulunamadı")</f>
        <v>Cedarpoint House</v>
      </c>
      <c r="H4448" s="2">
        <f t="array" ref="H4448">_xlfn.XLOOKUP(A4450,Product!A:A,Product!E:E,"Bulunamadı")</f>
        <v>4.09</v>
      </c>
      <c r="I4448" s="2" t="str">
        <f t="shared" si="1"/>
        <v>89581 - Law - Corporate Finance</v>
      </c>
      <c r="J4448" s="2">
        <f t="shared" si="2"/>
        <v>32.72</v>
      </c>
      <c r="K4448" s="17">
        <f t="shared" si="3"/>
        <v>1</v>
      </c>
      <c r="L4448" s="18"/>
    </row>
    <row r="4449" hidden="1">
      <c r="A4449" s="2">
        <f>IFERROR(__xludf.DUMMYFUNCTION("""COMPUTED_VALUE"""),6514.0)</f>
        <v>6514</v>
      </c>
      <c r="B4449" s="2">
        <f>IFERROR(__xludf.DUMMYFUNCTION("""COMPUTED_VALUE"""),1.0)</f>
        <v>1</v>
      </c>
      <c r="C4449" s="2">
        <f>IFERROR(__xludf.DUMMYFUNCTION("""COMPUTED_VALUE"""),715.0)</f>
        <v>715</v>
      </c>
      <c r="D4449" s="3">
        <f>IFERROR(__xludf.DUMMYFUNCTION("""COMPUTED_VALUE"""),474.0)</f>
        <v>474</v>
      </c>
      <c r="E4449" s="1" t="str">
        <f t="array" ref="E4449">_xlfn.XLOOKUP(A4449,Product!A:A,Product!B:B,"Bulunamadı")</f>
        <v>Law</v>
      </c>
      <c r="F4449" s="1" t="str">
        <f t="array" ref="F4449">_xlfn.XLOOKUP(A4449,Product!A:A,Product!C:C,"Bulunamadı")</f>
        <v>Corporate Finance</v>
      </c>
      <c r="G4449" s="2" t="str">
        <f t="array" ref="G4449">_xlfn.XLOOKUP(A4450,Product!A:A,Product!D:D,"Bulunamadı")</f>
        <v>Brightpoint House</v>
      </c>
      <c r="H4449" s="2">
        <f t="array" ref="H4449">_xlfn.XLOOKUP(A4451,Product!A:A,Product!E:E,"Bulunamadı")</f>
        <v>2.58</v>
      </c>
      <c r="I4449" s="2" t="str">
        <f t="shared" si="1"/>
        <v>6514 - Law - Corporate Finance</v>
      </c>
      <c r="J4449" s="2">
        <f t="shared" si="2"/>
        <v>1222.92</v>
      </c>
      <c r="K4449" s="17">
        <f t="shared" si="3"/>
        <v>1</v>
      </c>
      <c r="L4449" s="18"/>
    </row>
    <row r="4450" hidden="1">
      <c r="A4450" s="2">
        <f>IFERROR(__xludf.DUMMYFUNCTION("""COMPUTED_VALUE"""),105340.0)</f>
        <v>105340</v>
      </c>
      <c r="B4450" s="2">
        <f>IFERROR(__xludf.DUMMYFUNCTION("""COMPUTED_VALUE"""),0.0)</f>
        <v>0</v>
      </c>
      <c r="C4450" s="2">
        <f>IFERROR(__xludf.DUMMYFUNCTION("""COMPUTED_VALUE"""),83.0)</f>
        <v>83</v>
      </c>
      <c r="D4450" s="3">
        <f>IFERROR(__xludf.DUMMYFUNCTION("""COMPUTED_VALUE"""),9.0)</f>
        <v>9</v>
      </c>
      <c r="E4450" s="1" t="str">
        <f t="array" ref="E4450">_xlfn.XLOOKUP(A4450,Product!A:A,Product!B:B,"Bulunamadı")</f>
        <v>Law</v>
      </c>
      <c r="F4450" s="1" t="str">
        <f t="array" ref="F4450">_xlfn.XLOOKUP(A4450,Product!A:A,Product!C:C,"Bulunamadı")</f>
        <v>Corporate Finance</v>
      </c>
      <c r="G4450" s="2" t="str">
        <f t="array" ref="G4450">_xlfn.XLOOKUP(A4451,Product!A:A,Product!D:D,"Bulunamadı")</f>
        <v>Brightpoint House</v>
      </c>
      <c r="H4450" s="2">
        <f t="array" ref="H4450">_xlfn.XLOOKUP(A4452,Product!A:A,Product!E:E,"Bulunamadı")</f>
        <v>3.85</v>
      </c>
      <c r="I4450" s="2" t="str">
        <f t="shared" si="1"/>
        <v>105340 - Law - Corporate Finance</v>
      </c>
      <c r="J4450" s="2">
        <f t="shared" si="2"/>
        <v>34.65</v>
      </c>
      <c r="K4450" s="17">
        <f t="shared" si="3"/>
        <v>1</v>
      </c>
      <c r="L4450" s="18"/>
    </row>
    <row r="4451" hidden="1">
      <c r="A4451" s="2">
        <f>IFERROR(__xludf.DUMMYFUNCTION("""COMPUTED_VALUE"""),120865.0)</f>
        <v>120865</v>
      </c>
      <c r="B4451" s="2">
        <f>IFERROR(__xludf.DUMMYFUNCTION("""COMPUTED_VALUE"""),1.0)</f>
        <v>1</v>
      </c>
      <c r="C4451" s="2">
        <f>IFERROR(__xludf.DUMMYFUNCTION("""COMPUTED_VALUE"""),72.0)</f>
        <v>72</v>
      </c>
      <c r="D4451" s="3">
        <f>IFERROR(__xludf.DUMMYFUNCTION("""COMPUTED_VALUE"""),39.0)</f>
        <v>39</v>
      </c>
      <c r="E4451" s="1" t="str">
        <f t="array" ref="E4451">_xlfn.XLOOKUP(A4451,Product!A:A,Product!B:B,"Bulunamadı")</f>
        <v>Law</v>
      </c>
      <c r="F4451" s="1" t="str">
        <f t="array" ref="F4451">_xlfn.XLOOKUP(A4451,Product!A:A,Product!C:C,"Bulunamadı")</f>
        <v>Corporate Finance</v>
      </c>
      <c r="G4451" s="2" t="str">
        <f t="array" ref="G4451">_xlfn.XLOOKUP(A4452,Product!A:A,Product!D:D,"Bulunamadı")</f>
        <v>Brightpoint House</v>
      </c>
      <c r="H4451" s="2">
        <f t="array" ref="H4451">_xlfn.XLOOKUP(A4453,Product!A:A,Product!E:E,"Bulunamadı")</f>
        <v>3.96</v>
      </c>
      <c r="I4451" s="2" t="str">
        <f t="shared" si="1"/>
        <v>120865 - Law - Corporate Finance</v>
      </c>
      <c r="J4451" s="2">
        <f t="shared" si="2"/>
        <v>154.44</v>
      </c>
      <c r="K4451" s="17">
        <f t="shared" si="3"/>
        <v>1</v>
      </c>
      <c r="L4451" s="18"/>
    </row>
    <row r="4452" hidden="1">
      <c r="A4452" s="2">
        <f>IFERROR(__xludf.DUMMYFUNCTION("""COMPUTED_VALUE"""),110078.0)</f>
        <v>110078</v>
      </c>
      <c r="B4452" s="2">
        <f>IFERROR(__xludf.DUMMYFUNCTION("""COMPUTED_VALUE"""),0.0)</f>
        <v>0</v>
      </c>
      <c r="C4452" s="2">
        <f>IFERROR(__xludf.DUMMYFUNCTION("""COMPUTED_VALUE"""),45.0)</f>
        <v>45</v>
      </c>
      <c r="D4452" s="3">
        <f>IFERROR(__xludf.DUMMYFUNCTION("""COMPUTED_VALUE"""),35.0)</f>
        <v>35</v>
      </c>
      <c r="E4452" s="1" t="str">
        <f t="array" ref="E4452">_xlfn.XLOOKUP(A4452,Product!A:A,Product!B:B,"Bulunamadı")</f>
        <v>Law</v>
      </c>
      <c r="F4452" s="1" t="str">
        <f t="array" ref="F4452">_xlfn.XLOOKUP(A4452,Product!A:A,Product!C:C,"Bulunamadı")</f>
        <v>Corporate Finance</v>
      </c>
      <c r="G4452" s="2" t="str">
        <f t="array" ref="G4452">_xlfn.XLOOKUP(A4453,Product!A:A,Product!D:D,"Bulunamadı")</f>
        <v>Brightpoint House</v>
      </c>
      <c r="H4452" s="2">
        <f t="array" ref="H4452">_xlfn.XLOOKUP(A4454,Product!A:A,Product!E:E,"Bulunamadı")</f>
        <v>1.7</v>
      </c>
      <c r="I4452" s="2" t="str">
        <f t="shared" si="1"/>
        <v>110078 - Law - Corporate Finance</v>
      </c>
      <c r="J4452" s="2">
        <f t="shared" si="2"/>
        <v>59.5</v>
      </c>
      <c r="K4452" s="17">
        <f t="shared" si="3"/>
        <v>1</v>
      </c>
      <c r="L4452" s="18"/>
    </row>
    <row r="4453" hidden="1">
      <c r="A4453" s="2">
        <f>IFERROR(__xludf.DUMMYFUNCTION("""COMPUTED_VALUE"""),122343.0)</f>
        <v>122343</v>
      </c>
      <c r="B4453" s="2">
        <f>IFERROR(__xludf.DUMMYFUNCTION("""COMPUTED_VALUE"""),0.0)</f>
        <v>0</v>
      </c>
      <c r="C4453" s="2">
        <f>IFERROR(__xludf.DUMMYFUNCTION("""COMPUTED_VALUE"""),482.0)</f>
        <v>482</v>
      </c>
      <c r="D4453" s="3">
        <f>IFERROR(__xludf.DUMMYFUNCTION("""COMPUTED_VALUE"""),418.0)</f>
        <v>418</v>
      </c>
      <c r="E4453" s="1" t="str">
        <f t="array" ref="E4453">_xlfn.XLOOKUP(A4453,Product!A:A,Product!B:B,"Bulunamadı")</f>
        <v>Law</v>
      </c>
      <c r="F4453" s="1" t="str">
        <f t="array" ref="F4453">_xlfn.XLOOKUP(A4453,Product!A:A,Product!C:C,"Bulunamadı")</f>
        <v>Corporate Finance</v>
      </c>
      <c r="G4453" s="2" t="str">
        <f t="array" ref="G4453">_xlfn.XLOOKUP(A4454,Product!A:A,Product!D:D,"Bulunamadı")</f>
        <v>Brightpoint House</v>
      </c>
      <c r="H4453" s="2">
        <f t="array" ref="H4453">_xlfn.XLOOKUP(A4455,Product!A:A,Product!E:E,"Bulunamadı")</f>
        <v>1.59</v>
      </c>
      <c r="I4453" s="2" t="str">
        <f t="shared" si="1"/>
        <v>122343 - Law - Corporate Finance</v>
      </c>
      <c r="J4453" s="2">
        <f t="shared" si="2"/>
        <v>664.62</v>
      </c>
      <c r="K4453" s="17">
        <f t="shared" si="3"/>
        <v>1</v>
      </c>
      <c r="L4453" s="18"/>
    </row>
    <row r="4454" hidden="1">
      <c r="A4454" s="2">
        <f>IFERROR(__xludf.DUMMYFUNCTION("""COMPUTED_VALUE"""),12296.0)</f>
        <v>12296</v>
      </c>
      <c r="B4454" s="2">
        <f>IFERROR(__xludf.DUMMYFUNCTION("""COMPUTED_VALUE"""),0.0)</f>
        <v>0</v>
      </c>
      <c r="C4454" s="2">
        <f>IFERROR(__xludf.DUMMYFUNCTION("""COMPUTED_VALUE"""),696.0)</f>
        <v>696</v>
      </c>
      <c r="D4454" s="3">
        <f>IFERROR(__xludf.DUMMYFUNCTION("""COMPUTED_VALUE"""),357.0)</f>
        <v>357</v>
      </c>
      <c r="E4454" s="1" t="str">
        <f t="array" ref="E4454">_xlfn.XLOOKUP(A4454,Product!A:A,Product!B:B,"Bulunamadı")</f>
        <v>Law</v>
      </c>
      <c r="F4454" s="1" t="str">
        <f t="array" ref="F4454">_xlfn.XLOOKUP(A4454,Product!A:A,Product!C:C,"Bulunamadı")</f>
        <v>Corporate Finance</v>
      </c>
      <c r="G4454" s="2" t="str">
        <f t="array" ref="G4454">_xlfn.XLOOKUP(A4455,Product!A:A,Product!D:D,"Bulunamadı")</f>
        <v>Brightpoint House</v>
      </c>
      <c r="H4454" s="2">
        <f t="array" ref="H4454">_xlfn.XLOOKUP(A4456,Product!A:A,Product!E:E,"Bulunamadı")</f>
        <v>3.77</v>
      </c>
      <c r="I4454" s="2" t="str">
        <f t="shared" si="1"/>
        <v>12296 - Law - Corporate Finance</v>
      </c>
      <c r="J4454" s="2">
        <f t="shared" si="2"/>
        <v>1345.89</v>
      </c>
      <c r="K4454" s="17">
        <f t="shared" si="3"/>
        <v>1</v>
      </c>
      <c r="L4454" s="18"/>
    </row>
    <row r="4455" hidden="1">
      <c r="A4455" s="2">
        <f>IFERROR(__xludf.DUMMYFUNCTION("""COMPUTED_VALUE"""),96952.0)</f>
        <v>96952</v>
      </c>
      <c r="B4455" s="2">
        <f>IFERROR(__xludf.DUMMYFUNCTION("""COMPUTED_VALUE"""),0.0)</f>
        <v>0</v>
      </c>
      <c r="C4455" s="2">
        <f>IFERROR(__xludf.DUMMYFUNCTION("""COMPUTED_VALUE"""),814.0)</f>
        <v>814</v>
      </c>
      <c r="D4455" s="3">
        <f>IFERROR(__xludf.DUMMYFUNCTION("""COMPUTED_VALUE"""),269.0)</f>
        <v>269</v>
      </c>
      <c r="E4455" s="1" t="str">
        <f t="array" ref="E4455">_xlfn.XLOOKUP(A4455,Product!A:A,Product!B:B,"Bulunamadı")</f>
        <v>Law</v>
      </c>
      <c r="F4455" s="1" t="str">
        <f t="array" ref="F4455">_xlfn.XLOOKUP(A4455,Product!A:A,Product!C:C,"Bulunamadı")</f>
        <v>Corporate Finance</v>
      </c>
      <c r="G4455" s="2" t="str">
        <f t="array" ref="G4455">_xlfn.XLOOKUP(A4456,Product!A:A,Product!D:D,"Bulunamadı")</f>
        <v>Brightpoint House</v>
      </c>
      <c r="H4455" s="2">
        <f t="array" ref="H4455">_xlfn.XLOOKUP(A4457,Product!A:A,Product!E:E,"Bulunamadı")</f>
        <v>3.27</v>
      </c>
      <c r="I4455" s="2" t="str">
        <f t="shared" si="1"/>
        <v>96952 - Law - Corporate Finance</v>
      </c>
      <c r="J4455" s="2">
        <f t="shared" si="2"/>
        <v>879.63</v>
      </c>
      <c r="K4455" s="17">
        <f t="shared" si="3"/>
        <v>1</v>
      </c>
      <c r="L4455" s="18"/>
    </row>
    <row r="4456" hidden="1">
      <c r="A4456" s="2">
        <f>IFERROR(__xludf.DUMMYFUNCTION("""COMPUTED_VALUE"""),82193.0)</f>
        <v>82193</v>
      </c>
      <c r="B4456" s="2">
        <f>IFERROR(__xludf.DUMMYFUNCTION("""COMPUTED_VALUE"""),1.0)</f>
        <v>1</v>
      </c>
      <c r="C4456" s="2">
        <f>IFERROR(__xludf.DUMMYFUNCTION("""COMPUTED_VALUE"""),813.0)</f>
        <v>813</v>
      </c>
      <c r="D4456" s="3">
        <f>IFERROR(__xludf.DUMMYFUNCTION("""COMPUTED_VALUE"""),660.0)</f>
        <v>660</v>
      </c>
      <c r="E4456" s="1" t="str">
        <f t="array" ref="E4456">_xlfn.XLOOKUP(A4456,Product!A:A,Product!B:B,"Bulunamadı")</f>
        <v>Law</v>
      </c>
      <c r="F4456" s="1" t="str">
        <f t="array" ref="F4456">_xlfn.XLOOKUP(A4456,Product!A:A,Product!C:C,"Bulunamadı")</f>
        <v>Corporate Finance</v>
      </c>
      <c r="G4456" s="2" t="str">
        <f t="array" ref="G4456">_xlfn.XLOOKUP(A4457,Product!A:A,Product!D:D,"Bulunamadı")</f>
        <v>Brightpoint House</v>
      </c>
      <c r="H4456" s="2">
        <f t="array" ref="H4456">_xlfn.XLOOKUP(A4458,Product!A:A,Product!E:E,"Bulunamadı")</f>
        <v>7.54</v>
      </c>
      <c r="I4456" s="2" t="str">
        <f t="shared" si="1"/>
        <v>82193 - Law - Corporate Finance</v>
      </c>
      <c r="J4456" s="2">
        <f t="shared" si="2"/>
        <v>4976.4</v>
      </c>
      <c r="K4456" s="17">
        <f t="shared" si="3"/>
        <v>1</v>
      </c>
      <c r="L4456" s="18"/>
    </row>
    <row r="4457" hidden="1">
      <c r="A4457" s="2">
        <f>IFERROR(__xludf.DUMMYFUNCTION("""COMPUTED_VALUE"""),89802.0)</f>
        <v>89802</v>
      </c>
      <c r="B4457" s="2">
        <f>IFERROR(__xludf.DUMMYFUNCTION("""COMPUTED_VALUE"""),0.0)</f>
        <v>0</v>
      </c>
      <c r="C4457" s="2">
        <f>IFERROR(__xludf.DUMMYFUNCTION("""COMPUTED_VALUE"""),-15.0)</f>
        <v>-15</v>
      </c>
      <c r="D4457" s="3">
        <f>IFERROR(__xludf.DUMMYFUNCTION("""COMPUTED_VALUE"""),-4.0)</f>
        <v>-4</v>
      </c>
      <c r="E4457" s="1" t="str">
        <f t="array" ref="E4457">_xlfn.XLOOKUP(A4457,Product!A:A,Product!B:B,"Bulunamadı")</f>
        <v>Law</v>
      </c>
      <c r="F4457" s="1" t="str">
        <f t="array" ref="F4457">_xlfn.XLOOKUP(A4457,Product!A:A,Product!C:C,"Bulunamadı")</f>
        <v>Corporate Finance</v>
      </c>
      <c r="G4457" s="2" t="str">
        <f t="array" ref="G4457">_xlfn.XLOOKUP(A4458,Product!A:A,Product!D:D,"Bulunamadı")</f>
        <v>Brightpoint House</v>
      </c>
      <c r="H4457" s="2">
        <f t="array" ref="H4457">_xlfn.XLOOKUP(A4459,Product!A:A,Product!E:E,"Bulunamadı")</f>
        <v>6.34</v>
      </c>
      <c r="I4457" s="2" t="str">
        <f t="shared" si="1"/>
        <v>89802 - Law - Corporate Finance</v>
      </c>
      <c r="J4457" s="2">
        <f t="shared" si="2"/>
        <v>-25.36</v>
      </c>
      <c r="K4457" s="17">
        <f t="shared" si="3"/>
        <v>0</v>
      </c>
      <c r="L4457" s="18"/>
    </row>
    <row r="4458" hidden="1">
      <c r="A4458" s="2">
        <f>IFERROR(__xludf.DUMMYFUNCTION("""COMPUTED_VALUE"""),87044.0)</f>
        <v>87044</v>
      </c>
      <c r="B4458" s="2">
        <f>IFERROR(__xludf.DUMMYFUNCTION("""COMPUTED_VALUE"""),0.0)</f>
        <v>0</v>
      </c>
      <c r="C4458" s="2">
        <f>IFERROR(__xludf.DUMMYFUNCTION("""COMPUTED_VALUE"""),659.0)</f>
        <v>659</v>
      </c>
      <c r="D4458" s="3">
        <f>IFERROR(__xludf.DUMMYFUNCTION("""COMPUTED_VALUE"""),579.0)</f>
        <v>579</v>
      </c>
      <c r="E4458" s="1" t="str">
        <f t="array" ref="E4458">_xlfn.XLOOKUP(A4458,Product!A:A,Product!B:B,"Bulunamadı")</f>
        <v>Law</v>
      </c>
      <c r="F4458" s="1" t="str">
        <f t="array" ref="F4458">_xlfn.XLOOKUP(A4458,Product!A:A,Product!C:C,"Bulunamadı")</f>
        <v>Corporate Finance</v>
      </c>
      <c r="G4458" s="2" t="str">
        <f t="array" ref="G4458">_xlfn.XLOOKUP(A4459,Product!A:A,Product!D:D,"Bulunamadı")</f>
        <v>Brightpoint House</v>
      </c>
      <c r="H4458" s="2">
        <f t="array" ref="H4458">_xlfn.XLOOKUP(A4460,Product!A:A,Product!E:E,"Bulunamadı")</f>
        <v>2.6</v>
      </c>
      <c r="I4458" s="2" t="str">
        <f t="shared" si="1"/>
        <v>87044 - Law - Corporate Finance</v>
      </c>
      <c r="J4458" s="2">
        <f t="shared" si="2"/>
        <v>1505.4</v>
      </c>
      <c r="K4458" s="17">
        <f t="shared" si="3"/>
        <v>1</v>
      </c>
      <c r="L4458" s="18"/>
    </row>
    <row r="4459" hidden="1">
      <c r="A4459" s="2">
        <f>IFERROR(__xludf.DUMMYFUNCTION("""COMPUTED_VALUE"""),87042.0)</f>
        <v>87042</v>
      </c>
      <c r="B4459" s="2">
        <f>IFERROR(__xludf.DUMMYFUNCTION("""COMPUTED_VALUE"""),1.0)</f>
        <v>1</v>
      </c>
      <c r="C4459" s="2">
        <f>IFERROR(__xludf.DUMMYFUNCTION("""COMPUTED_VALUE"""),230.0)</f>
        <v>230</v>
      </c>
      <c r="D4459" s="3">
        <f>IFERROR(__xludf.DUMMYFUNCTION("""COMPUTED_VALUE"""),115.0)</f>
        <v>115</v>
      </c>
      <c r="E4459" s="1" t="str">
        <f t="array" ref="E4459">_xlfn.XLOOKUP(A4459,Product!A:A,Product!B:B,"Bulunamadı")</f>
        <v>Law</v>
      </c>
      <c r="F4459" s="1" t="str">
        <f t="array" ref="F4459">_xlfn.XLOOKUP(A4459,Product!A:A,Product!C:C,"Bulunamadı")</f>
        <v>Corporate Finance</v>
      </c>
      <c r="G4459" s="2" t="str">
        <f t="array" ref="G4459">_xlfn.XLOOKUP(A4460,Product!A:A,Product!D:D,"Bulunamadı")</f>
        <v>Brightpoint House</v>
      </c>
      <c r="H4459" s="2">
        <f t="array" ref="H4459">_xlfn.XLOOKUP(A4461,Product!A:A,Product!E:E,"Bulunamadı")</f>
        <v>2.76</v>
      </c>
      <c r="I4459" s="2" t="str">
        <f t="shared" si="1"/>
        <v>87042 - Law - Corporate Finance</v>
      </c>
      <c r="J4459" s="2">
        <f t="shared" si="2"/>
        <v>317.4</v>
      </c>
      <c r="K4459" s="17">
        <f t="shared" si="3"/>
        <v>1</v>
      </c>
      <c r="L4459" s="18"/>
    </row>
    <row r="4460" hidden="1">
      <c r="A4460" s="2">
        <f>IFERROR(__xludf.DUMMYFUNCTION("""COMPUTED_VALUE"""),116274.0)</f>
        <v>116274</v>
      </c>
      <c r="B4460" s="2">
        <f>IFERROR(__xludf.DUMMYFUNCTION("""COMPUTED_VALUE"""),0.0)</f>
        <v>0</v>
      </c>
      <c r="C4460" s="2">
        <f>IFERROR(__xludf.DUMMYFUNCTION("""COMPUTED_VALUE"""),634.0)</f>
        <v>634</v>
      </c>
      <c r="D4460" s="3">
        <f>IFERROR(__xludf.DUMMYFUNCTION("""COMPUTED_VALUE"""),470.0)</f>
        <v>470</v>
      </c>
      <c r="E4460" s="1" t="str">
        <f t="array" ref="E4460">_xlfn.XLOOKUP(A4460,Product!A:A,Product!B:B,"Bulunamadı")</f>
        <v>Law</v>
      </c>
      <c r="F4460" s="1" t="str">
        <f t="array" ref="F4460">_xlfn.XLOOKUP(A4460,Product!A:A,Product!C:C,"Bulunamadı")</f>
        <v>Corporate Finance</v>
      </c>
      <c r="G4460" s="2" t="str">
        <f t="array" ref="G4460">_xlfn.XLOOKUP(A4461,Product!A:A,Product!D:D,"Bulunamadı")</f>
        <v>Brightpoint House</v>
      </c>
      <c r="H4460" s="2">
        <f t="array" ref="H4460">_xlfn.XLOOKUP(A4462,Product!A:A,Product!E:E,"Bulunamadı")</f>
        <v>2.08</v>
      </c>
      <c r="I4460" s="2" t="str">
        <f t="shared" si="1"/>
        <v>116274 - Law - Corporate Finance</v>
      </c>
      <c r="J4460" s="2">
        <f t="shared" si="2"/>
        <v>977.6</v>
      </c>
      <c r="K4460" s="17">
        <f t="shared" si="3"/>
        <v>1</v>
      </c>
      <c r="L4460" s="18"/>
    </row>
    <row r="4461" hidden="1">
      <c r="A4461" s="2">
        <f>IFERROR(__xludf.DUMMYFUNCTION("""COMPUTED_VALUE"""),122344.0)</f>
        <v>122344</v>
      </c>
      <c r="B4461" s="2">
        <f>IFERROR(__xludf.DUMMYFUNCTION("""COMPUTED_VALUE"""),1.0)</f>
        <v>1</v>
      </c>
      <c r="C4461" s="2">
        <f>IFERROR(__xludf.DUMMYFUNCTION("""COMPUTED_VALUE"""),970.0)</f>
        <v>970</v>
      </c>
      <c r="D4461" s="3">
        <f>IFERROR(__xludf.DUMMYFUNCTION("""COMPUTED_VALUE"""),305.0)</f>
        <v>305</v>
      </c>
      <c r="E4461" s="1" t="str">
        <f t="array" ref="E4461">_xlfn.XLOOKUP(A4461,Product!A:A,Product!B:B,"Bulunamadı")</f>
        <v>Law</v>
      </c>
      <c r="F4461" s="1" t="str">
        <f t="array" ref="F4461">_xlfn.XLOOKUP(A4461,Product!A:A,Product!C:C,"Bulunamadı")</f>
        <v>Corporate Finance</v>
      </c>
      <c r="G4461" s="2" t="str">
        <f t="array" ref="G4461">_xlfn.XLOOKUP(A4462,Product!A:A,Product!D:D,"Bulunamadı")</f>
        <v>Brightpoint House</v>
      </c>
      <c r="H4461" s="2">
        <f t="array" ref="H4461">_xlfn.XLOOKUP(A4463,Product!A:A,Product!E:E,"Bulunamadı")</f>
        <v>2.67</v>
      </c>
      <c r="I4461" s="2" t="str">
        <f t="shared" si="1"/>
        <v>122344 - Law - Corporate Finance</v>
      </c>
      <c r="J4461" s="2">
        <f t="shared" si="2"/>
        <v>814.35</v>
      </c>
      <c r="K4461" s="17">
        <f t="shared" si="3"/>
        <v>1</v>
      </c>
      <c r="L4461" s="18"/>
    </row>
    <row r="4462" hidden="1">
      <c r="A4462" s="2">
        <f>IFERROR(__xludf.DUMMYFUNCTION("""COMPUTED_VALUE"""),122345.0)</f>
        <v>122345</v>
      </c>
      <c r="B4462" s="2">
        <f>IFERROR(__xludf.DUMMYFUNCTION("""COMPUTED_VALUE"""),0.0)</f>
        <v>0</v>
      </c>
      <c r="C4462" s="2">
        <f>IFERROR(__xludf.DUMMYFUNCTION("""COMPUTED_VALUE"""),77.0)</f>
        <v>77</v>
      </c>
      <c r="D4462" s="3">
        <f>IFERROR(__xludf.DUMMYFUNCTION("""COMPUTED_VALUE"""),11.0)</f>
        <v>11</v>
      </c>
      <c r="E4462" s="1" t="str">
        <f t="array" ref="E4462">_xlfn.XLOOKUP(A4462,Product!A:A,Product!B:B,"Bulunamadı")</f>
        <v>Law</v>
      </c>
      <c r="F4462" s="1" t="str">
        <f t="array" ref="F4462">_xlfn.XLOOKUP(A4462,Product!A:A,Product!C:C,"Bulunamadı")</f>
        <v>Corporate Finance</v>
      </c>
      <c r="G4462" s="2" t="str">
        <f t="array" ref="G4462">_xlfn.XLOOKUP(A4463,Product!A:A,Product!D:D,"Bulunamadı")</f>
        <v>Brightpoint House</v>
      </c>
      <c r="H4462" s="2">
        <f t="array" ref="H4462">_xlfn.XLOOKUP(A4464,Product!A:A,Product!E:E,"Bulunamadı")</f>
        <v>2.5</v>
      </c>
      <c r="I4462" s="2" t="str">
        <f t="shared" si="1"/>
        <v>122345 - Law - Corporate Finance</v>
      </c>
      <c r="J4462" s="2">
        <f t="shared" si="2"/>
        <v>27.5</v>
      </c>
      <c r="K4462" s="17">
        <f t="shared" si="3"/>
        <v>1</v>
      </c>
      <c r="L4462" s="18"/>
    </row>
    <row r="4463" hidden="1">
      <c r="A4463" s="2">
        <f>IFERROR(__xludf.DUMMYFUNCTION("""COMPUTED_VALUE"""),120867.0)</f>
        <v>120867</v>
      </c>
      <c r="B4463" s="2">
        <f>IFERROR(__xludf.DUMMYFUNCTION("""COMPUTED_VALUE"""),0.0)</f>
        <v>0</v>
      </c>
      <c r="C4463" s="2">
        <f>IFERROR(__xludf.DUMMYFUNCTION("""COMPUTED_VALUE"""),319.0)</f>
        <v>319</v>
      </c>
      <c r="D4463" s="3">
        <f>IFERROR(__xludf.DUMMYFUNCTION("""COMPUTED_VALUE"""),183.0)</f>
        <v>183</v>
      </c>
      <c r="E4463" s="1" t="str">
        <f t="array" ref="E4463">_xlfn.XLOOKUP(A4463,Product!A:A,Product!B:B,"Bulunamadı")</f>
        <v>Law</v>
      </c>
      <c r="F4463" s="1" t="str">
        <f t="array" ref="F4463">_xlfn.XLOOKUP(A4463,Product!A:A,Product!C:C,"Bulunamadı")</f>
        <v>Corporate Finance</v>
      </c>
      <c r="G4463" s="2" t="str">
        <f t="array" ref="G4463">_xlfn.XLOOKUP(A4464,Product!A:A,Product!D:D,"Bulunamadı")</f>
        <v>Brightpoint House</v>
      </c>
      <c r="H4463" s="2">
        <f t="array" ref="H4463">_xlfn.XLOOKUP(A4465,Product!A:A,Product!E:E,"Bulunamadı")</f>
        <v>3.08</v>
      </c>
      <c r="I4463" s="2" t="str">
        <f t="shared" si="1"/>
        <v>120867 - Law - Corporate Finance</v>
      </c>
      <c r="J4463" s="2">
        <f t="shared" si="2"/>
        <v>563.64</v>
      </c>
      <c r="K4463" s="17">
        <f t="shared" si="3"/>
        <v>1</v>
      </c>
      <c r="L4463" s="18"/>
    </row>
    <row r="4464" hidden="1">
      <c r="A4464" s="2">
        <f>IFERROR(__xludf.DUMMYFUNCTION("""COMPUTED_VALUE"""),28494.0)</f>
        <v>28494</v>
      </c>
      <c r="B4464" s="2">
        <f>IFERROR(__xludf.DUMMYFUNCTION("""COMPUTED_VALUE"""),0.0)</f>
        <v>0</v>
      </c>
      <c r="C4464" s="2">
        <f>IFERROR(__xludf.DUMMYFUNCTION("""COMPUTED_VALUE"""),284.0)</f>
        <v>284</v>
      </c>
      <c r="D4464" s="3">
        <f>IFERROR(__xludf.DUMMYFUNCTION("""COMPUTED_VALUE"""),190.0)</f>
        <v>190</v>
      </c>
      <c r="E4464" s="1" t="str">
        <f t="array" ref="E4464">_xlfn.XLOOKUP(A4464,Product!A:A,Product!B:B,"Bulunamadı")</f>
        <v>Law</v>
      </c>
      <c r="F4464" s="1" t="str">
        <f t="array" ref="F4464">_xlfn.XLOOKUP(A4464,Product!A:A,Product!C:C,"Bulunamadı")</f>
        <v>Corporate Finance</v>
      </c>
      <c r="G4464" s="2" t="str">
        <f t="array" ref="G4464">_xlfn.XLOOKUP(A4465,Product!A:A,Product!D:D,"Bulunamadı")</f>
        <v>Brightpoint House</v>
      </c>
      <c r="H4464" s="2">
        <f t="array" ref="H4464">_xlfn.XLOOKUP(A4466,Product!A:A,Product!E:E,"Bulunamadı")</f>
        <v>3.39</v>
      </c>
      <c r="I4464" s="2" t="str">
        <f t="shared" si="1"/>
        <v>28494 - Law - Corporate Finance</v>
      </c>
      <c r="J4464" s="2">
        <f t="shared" si="2"/>
        <v>644.1</v>
      </c>
      <c r="K4464" s="17">
        <f t="shared" si="3"/>
        <v>1</v>
      </c>
      <c r="L4464" s="18"/>
    </row>
    <row r="4465" hidden="1">
      <c r="A4465" s="2">
        <f>IFERROR(__xludf.DUMMYFUNCTION("""COMPUTED_VALUE"""),8882.0)</f>
        <v>8882</v>
      </c>
      <c r="B4465" s="2">
        <f>IFERROR(__xludf.DUMMYFUNCTION("""COMPUTED_VALUE"""),1.0)</f>
        <v>1</v>
      </c>
      <c r="C4465" s="2">
        <f>IFERROR(__xludf.DUMMYFUNCTION("""COMPUTED_VALUE"""),884.0)</f>
        <v>884</v>
      </c>
      <c r="D4465" s="3">
        <f>IFERROR(__xludf.DUMMYFUNCTION("""COMPUTED_VALUE"""),666.0)</f>
        <v>666</v>
      </c>
      <c r="E4465" s="1" t="str">
        <f t="array" ref="E4465">_xlfn.XLOOKUP(A4465,Product!A:A,Product!B:B,"Bulunamadı")</f>
        <v>Law</v>
      </c>
      <c r="F4465" s="1" t="str">
        <f t="array" ref="F4465">_xlfn.XLOOKUP(A4465,Product!A:A,Product!C:C,"Bulunamadı")</f>
        <v>Corporate Finance</v>
      </c>
      <c r="G4465" s="2" t="str">
        <f t="array" ref="G4465">_xlfn.XLOOKUP(A4466,Product!A:A,Product!D:D,"Bulunamadı")</f>
        <v>Brightpoint House</v>
      </c>
      <c r="H4465" s="2">
        <f t="array" ref="H4465">_xlfn.XLOOKUP(A4467,Product!A:A,Product!E:E,"Bulunamadı")</f>
        <v>2.12</v>
      </c>
      <c r="I4465" s="2" t="str">
        <f t="shared" si="1"/>
        <v>8882 - Law - Corporate Finance</v>
      </c>
      <c r="J4465" s="2">
        <f t="shared" si="2"/>
        <v>1411.92</v>
      </c>
      <c r="K4465" s="17">
        <f t="shared" si="3"/>
        <v>1</v>
      </c>
      <c r="L4465" s="18"/>
    </row>
    <row r="4466" hidden="1">
      <c r="A4466" s="2">
        <f>IFERROR(__xludf.DUMMYFUNCTION("""COMPUTED_VALUE"""),116275.0)</f>
        <v>116275</v>
      </c>
      <c r="B4466" s="2">
        <f>IFERROR(__xludf.DUMMYFUNCTION("""COMPUTED_VALUE"""),0.0)</f>
        <v>0</v>
      </c>
      <c r="C4466" s="2">
        <f>IFERROR(__xludf.DUMMYFUNCTION("""COMPUTED_VALUE"""),781.0)</f>
        <v>781</v>
      </c>
      <c r="D4466" s="3">
        <f>IFERROR(__xludf.DUMMYFUNCTION("""COMPUTED_VALUE"""),2.0)</f>
        <v>2</v>
      </c>
      <c r="E4466" s="1" t="str">
        <f t="array" ref="E4466">_xlfn.XLOOKUP(A4466,Product!A:A,Product!B:B,"Bulunamadı")</f>
        <v>Law</v>
      </c>
      <c r="F4466" s="1" t="str">
        <f t="array" ref="F4466">_xlfn.XLOOKUP(A4466,Product!A:A,Product!C:C,"Bulunamadı")</f>
        <v>Corporate Finance</v>
      </c>
      <c r="G4466" s="2" t="str">
        <f t="array" ref="G4466">_xlfn.XLOOKUP(A4467,Product!A:A,Product!D:D,"Bulunamadı")</f>
        <v>Brightpoint House</v>
      </c>
      <c r="H4466" s="2">
        <f t="array" ref="H4466">_xlfn.XLOOKUP(A4468,Product!A:A,Product!E:E,"Bulunamadı")</f>
        <v>1.83</v>
      </c>
      <c r="I4466" s="2" t="str">
        <f t="shared" si="1"/>
        <v>116275 - Law - Corporate Finance</v>
      </c>
      <c r="J4466" s="2">
        <f t="shared" si="2"/>
        <v>3.66</v>
      </c>
      <c r="K4466" s="17">
        <f t="shared" si="3"/>
        <v>1</v>
      </c>
      <c r="L4466" s="18"/>
    </row>
    <row r="4467" hidden="1">
      <c r="A4467" s="2">
        <f>IFERROR(__xludf.DUMMYFUNCTION("""COMPUTED_VALUE"""),121424.0)</f>
        <v>121424</v>
      </c>
      <c r="B4467" s="2">
        <f>IFERROR(__xludf.DUMMYFUNCTION("""COMPUTED_VALUE"""),0.0)</f>
        <v>0</v>
      </c>
      <c r="C4467" s="2">
        <f>IFERROR(__xludf.DUMMYFUNCTION("""COMPUTED_VALUE"""),875.0)</f>
        <v>875</v>
      </c>
      <c r="D4467" s="3">
        <f>IFERROR(__xludf.DUMMYFUNCTION("""COMPUTED_VALUE"""),277.0)</f>
        <v>277</v>
      </c>
      <c r="E4467" s="1" t="str">
        <f t="array" ref="E4467">_xlfn.XLOOKUP(A4467,Product!A:A,Product!B:B,"Bulunamadı")</f>
        <v>Law</v>
      </c>
      <c r="F4467" s="1" t="str">
        <f t="array" ref="F4467">_xlfn.XLOOKUP(A4467,Product!A:A,Product!C:C,"Bulunamadı")</f>
        <v>Corporate Finance</v>
      </c>
      <c r="G4467" s="2" t="str">
        <f t="array" ref="G4467">_xlfn.XLOOKUP(A4468,Product!A:A,Product!D:D,"Bulunamadı")</f>
        <v>Oakpoint House</v>
      </c>
      <c r="H4467" s="2">
        <f t="array" ref="H4467">_xlfn.XLOOKUP(A4469,Product!A:A,Product!E:E,"Bulunamadı")</f>
        <v>2.56</v>
      </c>
      <c r="I4467" s="2" t="str">
        <f t="shared" si="1"/>
        <v>121424 - Law - Corporate Finance</v>
      </c>
      <c r="J4467" s="2">
        <f t="shared" si="2"/>
        <v>709.12</v>
      </c>
      <c r="K4467" s="17">
        <f t="shared" si="3"/>
        <v>1</v>
      </c>
      <c r="L4467" s="18"/>
    </row>
    <row r="4468" hidden="1">
      <c r="A4468" s="2">
        <f>IFERROR(__xludf.DUMMYFUNCTION("""COMPUTED_VALUE"""),75058.0)</f>
        <v>75058</v>
      </c>
      <c r="B4468" s="2">
        <f>IFERROR(__xludf.DUMMYFUNCTION("""COMPUTED_VALUE"""),0.0)</f>
        <v>0</v>
      </c>
      <c r="C4468" s="2">
        <f>IFERROR(__xludf.DUMMYFUNCTION("""COMPUTED_VALUE"""),492.0)</f>
        <v>492</v>
      </c>
      <c r="D4468" s="3">
        <f>IFERROR(__xludf.DUMMYFUNCTION("""COMPUTED_VALUE"""),62.0)</f>
        <v>62</v>
      </c>
      <c r="E4468" s="1" t="str">
        <f t="array" ref="E4468">_xlfn.XLOOKUP(A4468,Product!A:A,Product!B:B,"Bulunamadı")</f>
        <v>Law</v>
      </c>
      <c r="F4468" s="1" t="str">
        <f t="array" ref="F4468">_xlfn.XLOOKUP(A4468,Product!A:A,Product!C:C,"Bulunamadı")</f>
        <v>Corporate Finance</v>
      </c>
      <c r="G4468" s="2" t="str">
        <f t="array" ref="G4468">_xlfn.XLOOKUP(A4469,Product!A:A,Product!D:D,"Bulunamadı")</f>
        <v>Oakpoint House</v>
      </c>
      <c r="H4468" s="2">
        <f t="array" ref="H4468">_xlfn.XLOOKUP(A4470,Product!A:A,Product!E:E,"Bulunamadı")</f>
        <v>2.3</v>
      </c>
      <c r="I4468" s="2" t="str">
        <f t="shared" si="1"/>
        <v>75058 - Law - Corporate Finance</v>
      </c>
      <c r="J4468" s="2">
        <f t="shared" si="2"/>
        <v>142.6</v>
      </c>
      <c r="K4468" s="17">
        <f t="shared" si="3"/>
        <v>1</v>
      </c>
      <c r="L4468" s="18"/>
    </row>
    <row r="4469" hidden="1">
      <c r="A4469" s="2">
        <f>IFERROR(__xludf.DUMMYFUNCTION("""COMPUTED_VALUE"""),75056.0)</f>
        <v>75056</v>
      </c>
      <c r="B4469" s="2">
        <f>IFERROR(__xludf.DUMMYFUNCTION("""COMPUTED_VALUE"""),1.0)</f>
        <v>1</v>
      </c>
      <c r="C4469" s="2">
        <f>IFERROR(__xludf.DUMMYFUNCTION("""COMPUTED_VALUE"""),668.0)</f>
        <v>668</v>
      </c>
      <c r="D4469" s="3">
        <f>IFERROR(__xludf.DUMMYFUNCTION("""COMPUTED_VALUE"""),625.0)</f>
        <v>625</v>
      </c>
      <c r="E4469" s="1" t="str">
        <f t="array" ref="E4469">_xlfn.XLOOKUP(A4469,Product!A:A,Product!B:B,"Bulunamadı")</f>
        <v>Law</v>
      </c>
      <c r="F4469" s="1" t="str">
        <f t="array" ref="F4469">_xlfn.XLOOKUP(A4469,Product!A:A,Product!C:C,"Bulunamadı")</f>
        <v>Corporate Finance</v>
      </c>
      <c r="G4469" s="2" t="str">
        <f t="array" ref="G4469">_xlfn.XLOOKUP(A4470,Product!A:A,Product!D:D,"Bulunamadı")</f>
        <v>Oakpoint House</v>
      </c>
      <c r="H4469" s="2">
        <f t="array" ref="H4469">_xlfn.XLOOKUP(A4471,Product!A:A,Product!E:E,"Bulunamadı")</f>
        <v>2.22</v>
      </c>
      <c r="I4469" s="2" t="str">
        <f t="shared" si="1"/>
        <v>75056 - Law - Corporate Finance</v>
      </c>
      <c r="J4469" s="2">
        <f t="shared" si="2"/>
        <v>1387.5</v>
      </c>
      <c r="K4469" s="17">
        <f t="shared" si="3"/>
        <v>1</v>
      </c>
      <c r="L4469" s="18"/>
    </row>
    <row r="4470" hidden="1">
      <c r="A4470" s="2">
        <f>IFERROR(__xludf.DUMMYFUNCTION("""COMPUTED_VALUE"""),42239.0)</f>
        <v>42239</v>
      </c>
      <c r="B4470" s="2">
        <f>IFERROR(__xludf.DUMMYFUNCTION("""COMPUTED_VALUE"""),1.0)</f>
        <v>1</v>
      </c>
      <c r="C4470" s="2">
        <f>IFERROR(__xludf.DUMMYFUNCTION("""COMPUTED_VALUE"""),729.0)</f>
        <v>729</v>
      </c>
      <c r="D4470" s="3">
        <f>IFERROR(__xludf.DUMMYFUNCTION("""COMPUTED_VALUE"""),167.0)</f>
        <v>167</v>
      </c>
      <c r="E4470" s="1" t="str">
        <f t="array" ref="E4470">_xlfn.XLOOKUP(A4470,Product!A:A,Product!B:B,"Bulunamadı")</f>
        <v>Law</v>
      </c>
      <c r="F4470" s="1" t="str">
        <f t="array" ref="F4470">_xlfn.XLOOKUP(A4470,Product!A:A,Product!C:C,"Bulunamadı")</f>
        <v>Corporate Finance</v>
      </c>
      <c r="G4470" s="2" t="str">
        <f t="array" ref="G4470">_xlfn.XLOOKUP(A4471,Product!A:A,Product!D:D,"Bulunamadı")</f>
        <v>Oakpoint House</v>
      </c>
      <c r="H4470" s="2">
        <f t="array" ref="H4470">_xlfn.XLOOKUP(A4472,Product!A:A,Product!E:E,"Bulunamadı")</f>
        <v>3.62</v>
      </c>
      <c r="I4470" s="2" t="str">
        <f t="shared" si="1"/>
        <v>42239 - Law - Corporate Finance</v>
      </c>
      <c r="J4470" s="2">
        <f t="shared" si="2"/>
        <v>604.54</v>
      </c>
      <c r="K4470" s="17">
        <f t="shared" si="3"/>
        <v>1</v>
      </c>
      <c r="L4470" s="18"/>
    </row>
    <row r="4471" hidden="1">
      <c r="A4471" s="2">
        <f>IFERROR(__xludf.DUMMYFUNCTION("""COMPUTED_VALUE"""),42237.0)</f>
        <v>42237</v>
      </c>
      <c r="B4471" s="2">
        <f>IFERROR(__xludf.DUMMYFUNCTION("""COMPUTED_VALUE"""),1.0)</f>
        <v>1</v>
      </c>
      <c r="C4471" s="2">
        <f>IFERROR(__xludf.DUMMYFUNCTION("""COMPUTED_VALUE"""),24.0)</f>
        <v>24</v>
      </c>
      <c r="D4471" s="3">
        <f>IFERROR(__xludf.DUMMYFUNCTION("""COMPUTED_VALUE"""),24.0)</f>
        <v>24</v>
      </c>
      <c r="E4471" s="1" t="str">
        <f t="array" ref="E4471">_xlfn.XLOOKUP(A4471,Product!A:A,Product!B:B,"Bulunamadı")</f>
        <v>Law</v>
      </c>
      <c r="F4471" s="1" t="str">
        <f t="array" ref="F4471">_xlfn.XLOOKUP(A4471,Product!A:A,Product!C:C,"Bulunamadı")</f>
        <v>Corporate Finance</v>
      </c>
      <c r="G4471" s="2" t="str">
        <f t="array" ref="G4471">_xlfn.XLOOKUP(A4472,Product!A:A,Product!D:D,"Bulunamadı")</f>
        <v>Oakpoint House</v>
      </c>
      <c r="H4471" s="2">
        <f t="array" ref="H4471">_xlfn.XLOOKUP(A4473,Product!A:A,Product!E:E,"Bulunamadı")</f>
        <v>2.46</v>
      </c>
      <c r="I4471" s="2" t="str">
        <f t="shared" si="1"/>
        <v>42237 - Law - Corporate Finance</v>
      </c>
      <c r="J4471" s="2">
        <f t="shared" si="2"/>
        <v>59.04</v>
      </c>
      <c r="K4471" s="17">
        <f t="shared" si="3"/>
        <v>1</v>
      </c>
      <c r="L4471" s="18"/>
    </row>
    <row r="4472" hidden="1">
      <c r="A4472" s="2">
        <f>IFERROR(__xludf.DUMMYFUNCTION("""COMPUTED_VALUE"""),69457.0)</f>
        <v>69457</v>
      </c>
      <c r="B4472" s="2">
        <f>IFERROR(__xludf.DUMMYFUNCTION("""COMPUTED_VALUE"""),0.0)</f>
        <v>0</v>
      </c>
      <c r="C4472" s="2">
        <f>IFERROR(__xludf.DUMMYFUNCTION("""COMPUTED_VALUE"""),792.0)</f>
        <v>792</v>
      </c>
      <c r="D4472" s="3">
        <f>IFERROR(__xludf.DUMMYFUNCTION("""COMPUTED_VALUE"""),607.0)</f>
        <v>607</v>
      </c>
      <c r="E4472" s="1" t="str">
        <f t="array" ref="E4472">_xlfn.XLOOKUP(A4472,Product!A:A,Product!B:B,"Bulunamadı")</f>
        <v>Law</v>
      </c>
      <c r="F4472" s="1" t="str">
        <f t="array" ref="F4472">_xlfn.XLOOKUP(A4472,Product!A:A,Product!C:C,"Bulunamadı")</f>
        <v>Corporate Finance</v>
      </c>
      <c r="G4472" s="2" t="str">
        <f t="array" ref="G4472">_xlfn.XLOOKUP(A4473,Product!A:A,Product!D:D,"Bulunamadı")</f>
        <v>Oakpoint House</v>
      </c>
      <c r="H4472" s="2">
        <f t="array" ref="H4472">_xlfn.XLOOKUP(A4474,Product!A:A,Product!E:E,"Bulunamadı")</f>
        <v>2.64</v>
      </c>
      <c r="I4472" s="2" t="str">
        <f t="shared" si="1"/>
        <v>69457 - Law - Corporate Finance</v>
      </c>
      <c r="J4472" s="2">
        <f t="shared" si="2"/>
        <v>1602.48</v>
      </c>
      <c r="K4472" s="17">
        <f t="shared" si="3"/>
        <v>1</v>
      </c>
      <c r="L4472" s="18"/>
    </row>
    <row r="4473" hidden="1">
      <c r="A4473" s="2">
        <f>IFERROR(__xludf.DUMMYFUNCTION("""COMPUTED_VALUE"""),69328.0)</f>
        <v>69328</v>
      </c>
      <c r="B4473" s="2">
        <f>IFERROR(__xludf.DUMMYFUNCTION("""COMPUTED_VALUE"""),1.0)</f>
        <v>1</v>
      </c>
      <c r="C4473" s="2">
        <f>IFERROR(__xludf.DUMMYFUNCTION("""COMPUTED_VALUE"""),598.0)</f>
        <v>598</v>
      </c>
      <c r="D4473" s="3">
        <f>IFERROR(__xludf.DUMMYFUNCTION("""COMPUTED_VALUE"""),208.0)</f>
        <v>208</v>
      </c>
      <c r="E4473" s="1" t="str">
        <f t="array" ref="E4473">_xlfn.XLOOKUP(A4473,Product!A:A,Product!B:B,"Bulunamadı")</f>
        <v>Law</v>
      </c>
      <c r="F4473" s="1" t="str">
        <f t="array" ref="F4473">_xlfn.XLOOKUP(A4473,Product!A:A,Product!C:C,"Bulunamadı")</f>
        <v>Corporate Finance</v>
      </c>
      <c r="G4473" s="2" t="str">
        <f t="array" ref="G4473">_xlfn.XLOOKUP(A4474,Product!A:A,Product!D:D,"Bulunamadı")</f>
        <v>Oakpoint House</v>
      </c>
      <c r="H4473" s="2">
        <f t="array" ref="H4473">_xlfn.XLOOKUP(A4475,Product!A:A,Product!E:E,"Bulunamadı")</f>
        <v>2.7</v>
      </c>
      <c r="I4473" s="2" t="str">
        <f t="shared" si="1"/>
        <v>69328 - Law - Corporate Finance</v>
      </c>
      <c r="J4473" s="2">
        <f t="shared" si="2"/>
        <v>561.6</v>
      </c>
      <c r="K4473" s="17">
        <f t="shared" si="3"/>
        <v>1</v>
      </c>
      <c r="L4473" s="18"/>
    </row>
    <row r="4474" hidden="1">
      <c r="A4474" s="2">
        <f>IFERROR(__xludf.DUMMYFUNCTION("""COMPUTED_VALUE"""),69454.0)</f>
        <v>69454</v>
      </c>
      <c r="B4474" s="2">
        <f>IFERROR(__xludf.DUMMYFUNCTION("""COMPUTED_VALUE"""),1.0)</f>
        <v>1</v>
      </c>
      <c r="C4474" s="2">
        <f>IFERROR(__xludf.DUMMYFUNCTION("""COMPUTED_VALUE"""),220.0)</f>
        <v>220</v>
      </c>
      <c r="D4474" s="3">
        <f>IFERROR(__xludf.DUMMYFUNCTION("""COMPUTED_VALUE"""),209.0)</f>
        <v>209</v>
      </c>
      <c r="E4474" s="1" t="str">
        <f t="array" ref="E4474">_xlfn.XLOOKUP(A4474,Product!A:A,Product!B:B,"Bulunamadı")</f>
        <v>Law</v>
      </c>
      <c r="F4474" s="1" t="str">
        <f t="array" ref="F4474">_xlfn.XLOOKUP(A4474,Product!A:A,Product!C:C,"Bulunamadı")</f>
        <v>Corporate Finance</v>
      </c>
      <c r="G4474" s="2" t="str">
        <f t="array" ref="G4474">_xlfn.XLOOKUP(A4475,Product!A:A,Product!D:D,"Bulunamadı")</f>
        <v>Oakpoint House</v>
      </c>
      <c r="H4474" s="2">
        <f t="array" ref="H4474">_xlfn.XLOOKUP(A4476,Product!A:A,Product!E:E,"Bulunamadı")</f>
        <v>2.89</v>
      </c>
      <c r="I4474" s="2" t="str">
        <f t="shared" si="1"/>
        <v>69454 - Law - Corporate Finance</v>
      </c>
      <c r="J4474" s="2">
        <f t="shared" si="2"/>
        <v>604.01</v>
      </c>
      <c r="K4474" s="17">
        <f t="shared" si="3"/>
        <v>1</v>
      </c>
      <c r="L4474" s="18"/>
    </row>
    <row r="4475" hidden="1">
      <c r="A4475" s="2">
        <f>IFERROR(__xludf.DUMMYFUNCTION("""COMPUTED_VALUE"""),69469.0)</f>
        <v>69469</v>
      </c>
      <c r="B4475" s="2">
        <f>IFERROR(__xludf.DUMMYFUNCTION("""COMPUTED_VALUE"""),1.0)</f>
        <v>1</v>
      </c>
      <c r="C4475" s="2">
        <f>IFERROR(__xludf.DUMMYFUNCTION("""COMPUTED_VALUE"""),274.0)</f>
        <v>274</v>
      </c>
      <c r="D4475" s="3">
        <f>IFERROR(__xludf.DUMMYFUNCTION("""COMPUTED_VALUE"""),136.0)</f>
        <v>136</v>
      </c>
      <c r="E4475" s="1" t="str">
        <f t="array" ref="E4475">_xlfn.XLOOKUP(A4475,Product!A:A,Product!B:B,"Bulunamadı")</f>
        <v>Law</v>
      </c>
      <c r="F4475" s="1" t="str">
        <f t="array" ref="F4475">_xlfn.XLOOKUP(A4475,Product!A:A,Product!C:C,"Bulunamadı")</f>
        <v>Corporate Finance</v>
      </c>
      <c r="G4475" s="2" t="str">
        <f t="array" ref="G4475">_xlfn.XLOOKUP(A4476,Product!A:A,Product!D:D,"Bulunamadı")</f>
        <v>Oakpoint House</v>
      </c>
      <c r="H4475" s="2">
        <f t="array" ref="H4475">_xlfn.XLOOKUP(A4477,Product!A:A,Product!E:E,"Bulunamadı")</f>
        <v>1.32</v>
      </c>
      <c r="I4475" s="2" t="str">
        <f t="shared" si="1"/>
        <v>69469 - Law - Corporate Finance</v>
      </c>
      <c r="J4475" s="2">
        <f t="shared" si="2"/>
        <v>179.52</v>
      </c>
      <c r="K4475" s="17">
        <f t="shared" si="3"/>
        <v>1</v>
      </c>
      <c r="L4475" s="18"/>
    </row>
    <row r="4476" hidden="1">
      <c r="A4476" s="2">
        <f>IFERROR(__xludf.DUMMYFUNCTION("""COMPUTED_VALUE"""),193264.0)</f>
        <v>193264</v>
      </c>
      <c r="B4476" s="2">
        <f>IFERROR(__xludf.DUMMYFUNCTION("""COMPUTED_VALUE"""),1.0)</f>
        <v>1</v>
      </c>
      <c r="C4476" s="2">
        <f>IFERROR(__xludf.DUMMYFUNCTION("""COMPUTED_VALUE"""),679.0)</f>
        <v>679</v>
      </c>
      <c r="D4476" s="3">
        <f>IFERROR(__xludf.DUMMYFUNCTION("""COMPUTED_VALUE"""),561.0)</f>
        <v>561</v>
      </c>
      <c r="E4476" s="1" t="str">
        <f t="array" ref="E4476">_xlfn.XLOOKUP(A4476,Product!A:A,Product!B:B,"Bulunamadı")</f>
        <v>Law</v>
      </c>
      <c r="F4476" s="1" t="str">
        <f t="array" ref="F4476">_xlfn.XLOOKUP(A4476,Product!A:A,Product!C:C,"Bulunamadı")</f>
        <v>Corporate Finance</v>
      </c>
      <c r="G4476" s="2" t="str">
        <f t="array" ref="G4476">_xlfn.XLOOKUP(A4477,Product!A:A,Product!D:D,"Bulunamadı")</f>
        <v>Oakpoint House</v>
      </c>
      <c r="H4476" s="2">
        <f t="array" ref="H4476">_xlfn.XLOOKUP(A4478,Product!A:A,Product!E:E,"Bulunamadı")</f>
        <v>3.38</v>
      </c>
      <c r="I4476" s="2" t="str">
        <f t="shared" si="1"/>
        <v>193264 - Law - Corporate Finance</v>
      </c>
      <c r="J4476" s="2">
        <f t="shared" si="2"/>
        <v>1896.18</v>
      </c>
      <c r="K4476" s="17">
        <f t="shared" si="3"/>
        <v>1</v>
      </c>
      <c r="L4476" s="18"/>
    </row>
    <row r="4477" hidden="1">
      <c r="A4477" s="2">
        <f>IFERROR(__xludf.DUMMYFUNCTION("""COMPUTED_VALUE"""),115763.0)</f>
        <v>115763</v>
      </c>
      <c r="B4477" s="2">
        <f>IFERROR(__xludf.DUMMYFUNCTION("""COMPUTED_VALUE"""),0.0)</f>
        <v>0</v>
      </c>
      <c r="C4477" s="2">
        <f>IFERROR(__xludf.DUMMYFUNCTION("""COMPUTED_VALUE"""),358.0)</f>
        <v>358</v>
      </c>
      <c r="D4477" s="3">
        <f>IFERROR(__xludf.DUMMYFUNCTION("""COMPUTED_VALUE"""),174.0)</f>
        <v>174</v>
      </c>
      <c r="E4477" s="1" t="str">
        <f t="array" ref="E4477">_xlfn.XLOOKUP(A4477,Product!A:A,Product!B:B,"Bulunamadı")</f>
        <v>Law</v>
      </c>
      <c r="F4477" s="1" t="str">
        <f t="array" ref="F4477">_xlfn.XLOOKUP(A4477,Product!A:A,Product!C:C,"Bulunamadı")</f>
        <v>Corporate Finance</v>
      </c>
      <c r="G4477" s="2" t="str">
        <f t="array" ref="G4477">_xlfn.XLOOKUP(A4478,Product!A:A,Product!D:D,"Bulunamadı")</f>
        <v>Oakpoint House</v>
      </c>
      <c r="H4477" s="2">
        <f t="array" ref="H4477">_xlfn.XLOOKUP(A4479,Product!A:A,Product!E:E,"Bulunamadı")</f>
        <v>1.37</v>
      </c>
      <c r="I4477" s="2" t="str">
        <f t="shared" si="1"/>
        <v>115763 - Law - Corporate Finance</v>
      </c>
      <c r="J4477" s="2">
        <f t="shared" si="2"/>
        <v>238.38</v>
      </c>
      <c r="K4477" s="17">
        <f t="shared" si="3"/>
        <v>1</v>
      </c>
      <c r="L4477" s="18"/>
    </row>
    <row r="4478" hidden="1">
      <c r="A4478" s="2">
        <f>IFERROR(__xludf.DUMMYFUNCTION("""COMPUTED_VALUE"""),69463.0)</f>
        <v>69463</v>
      </c>
      <c r="B4478" s="2">
        <f>IFERROR(__xludf.DUMMYFUNCTION("""COMPUTED_VALUE"""),1.0)</f>
        <v>1</v>
      </c>
      <c r="C4478" s="2">
        <f>IFERROR(__xludf.DUMMYFUNCTION("""COMPUTED_VALUE"""),517.0)</f>
        <v>517</v>
      </c>
      <c r="D4478" s="3">
        <f>IFERROR(__xludf.DUMMYFUNCTION("""COMPUTED_VALUE"""),279.0)</f>
        <v>279</v>
      </c>
      <c r="E4478" s="1" t="str">
        <f t="array" ref="E4478">_xlfn.XLOOKUP(A4478,Product!A:A,Product!B:B,"Bulunamadı")</f>
        <v>Law</v>
      </c>
      <c r="F4478" s="1" t="str">
        <f t="array" ref="F4478">_xlfn.XLOOKUP(A4478,Product!A:A,Product!C:C,"Bulunamadı")</f>
        <v>Corporate Finance</v>
      </c>
      <c r="G4478" s="2" t="str">
        <f t="array" ref="G4478">_xlfn.XLOOKUP(A4479,Product!A:A,Product!D:D,"Bulunamadı")</f>
        <v>Oakpoint House</v>
      </c>
      <c r="H4478" s="2">
        <f t="array" ref="H4478">_xlfn.XLOOKUP(A4480,Product!A:A,Product!E:E,"Bulunamadı")</f>
        <v>2.13</v>
      </c>
      <c r="I4478" s="2" t="str">
        <f t="shared" si="1"/>
        <v>69463 - Law - Corporate Finance</v>
      </c>
      <c r="J4478" s="2">
        <f t="shared" si="2"/>
        <v>594.27</v>
      </c>
      <c r="K4478" s="17">
        <f t="shared" si="3"/>
        <v>1</v>
      </c>
      <c r="L4478" s="18"/>
    </row>
    <row r="4479" hidden="1">
      <c r="A4479" s="2">
        <f>IFERROR(__xludf.DUMMYFUNCTION("""COMPUTED_VALUE"""),84168.0)</f>
        <v>84168</v>
      </c>
      <c r="B4479" s="2">
        <f>IFERROR(__xludf.DUMMYFUNCTION("""COMPUTED_VALUE"""),1.0)</f>
        <v>1</v>
      </c>
      <c r="C4479" s="2">
        <f>IFERROR(__xludf.DUMMYFUNCTION("""COMPUTED_VALUE"""),44.0)</f>
        <v>44</v>
      </c>
      <c r="D4479" s="3">
        <f>IFERROR(__xludf.DUMMYFUNCTION("""COMPUTED_VALUE"""),39.0)</f>
        <v>39</v>
      </c>
      <c r="E4479" s="1" t="str">
        <f t="array" ref="E4479">_xlfn.XLOOKUP(A4479,Product!A:A,Product!B:B,"Bulunamadı")</f>
        <v>Law</v>
      </c>
      <c r="F4479" s="1" t="str">
        <f t="array" ref="F4479">_xlfn.XLOOKUP(A4479,Product!A:A,Product!C:C,"Bulunamadı")</f>
        <v>Corporate Finance</v>
      </c>
      <c r="G4479" s="2" t="str">
        <f t="array" ref="G4479">_xlfn.XLOOKUP(A4480,Product!A:A,Product!D:D,"Bulunamadı")</f>
        <v>Oakpoint House</v>
      </c>
      <c r="H4479" s="2">
        <f t="array" ref="H4479">_xlfn.XLOOKUP(A4481,Product!A:A,Product!E:E,"Bulunamadı")</f>
        <v>2.35</v>
      </c>
      <c r="I4479" s="2" t="str">
        <f t="shared" si="1"/>
        <v>84168 - Law - Corporate Finance</v>
      </c>
      <c r="J4479" s="2">
        <f t="shared" si="2"/>
        <v>91.65</v>
      </c>
      <c r="K4479" s="17">
        <f t="shared" si="3"/>
        <v>1</v>
      </c>
      <c r="L4479" s="18"/>
    </row>
    <row r="4480" hidden="1">
      <c r="A4480" s="2">
        <f>IFERROR(__xludf.DUMMYFUNCTION("""COMPUTED_VALUE"""),75077.0)</f>
        <v>75077</v>
      </c>
      <c r="B4480" s="2">
        <f>IFERROR(__xludf.DUMMYFUNCTION("""COMPUTED_VALUE"""),0.0)</f>
        <v>0</v>
      </c>
      <c r="C4480" s="2">
        <f>IFERROR(__xludf.DUMMYFUNCTION("""COMPUTED_VALUE"""),965.0)</f>
        <v>965</v>
      </c>
      <c r="D4480" s="3">
        <f>IFERROR(__xludf.DUMMYFUNCTION("""COMPUTED_VALUE"""),8.0)</f>
        <v>8</v>
      </c>
      <c r="E4480" s="1" t="str">
        <f t="array" ref="E4480">_xlfn.XLOOKUP(A4480,Product!A:A,Product!B:B,"Bulunamadı")</f>
        <v>Law</v>
      </c>
      <c r="F4480" s="1" t="str">
        <f t="array" ref="F4480">_xlfn.XLOOKUP(A4480,Product!A:A,Product!C:C,"Bulunamadı")</f>
        <v>Corporate Finance</v>
      </c>
      <c r="G4480" s="2" t="str">
        <f t="array" ref="G4480">_xlfn.XLOOKUP(A4481,Product!A:A,Product!D:D,"Bulunamadı")</f>
        <v>Oakpoint House</v>
      </c>
      <c r="H4480" s="2">
        <f t="array" ref="H4480">_xlfn.XLOOKUP(A4482,Product!A:A,Product!E:E,"Bulunamadı")</f>
        <v>1.84</v>
      </c>
      <c r="I4480" s="2" t="str">
        <f t="shared" si="1"/>
        <v>75077 - Law - Corporate Finance</v>
      </c>
      <c r="J4480" s="2">
        <f t="shared" si="2"/>
        <v>14.72</v>
      </c>
      <c r="K4480" s="17">
        <f t="shared" si="3"/>
        <v>1</v>
      </c>
      <c r="L4480" s="18"/>
    </row>
    <row r="4481" hidden="1">
      <c r="A4481" s="2">
        <f>IFERROR(__xludf.DUMMYFUNCTION("""COMPUTED_VALUE"""),42229.0)</f>
        <v>42229</v>
      </c>
      <c r="B4481" s="2">
        <f>IFERROR(__xludf.DUMMYFUNCTION("""COMPUTED_VALUE"""),0.0)</f>
        <v>0</v>
      </c>
      <c r="C4481" s="2">
        <f>IFERROR(__xludf.DUMMYFUNCTION("""COMPUTED_VALUE"""),629.0)</f>
        <v>629</v>
      </c>
      <c r="D4481" s="3">
        <f>IFERROR(__xludf.DUMMYFUNCTION("""COMPUTED_VALUE"""),3.0)</f>
        <v>3</v>
      </c>
      <c r="E4481" s="1" t="str">
        <f t="array" ref="E4481">_xlfn.XLOOKUP(A4481,Product!A:A,Product!B:B,"Bulunamadı")</f>
        <v>Law</v>
      </c>
      <c r="F4481" s="1" t="str">
        <f t="array" ref="F4481">_xlfn.XLOOKUP(A4481,Product!A:A,Product!C:C,"Bulunamadı")</f>
        <v>Corporate Finance</v>
      </c>
      <c r="G4481" s="2" t="str">
        <f t="array" ref="G4481">_xlfn.XLOOKUP(A4482,Product!A:A,Product!D:D,"Bulunamadı")</f>
        <v>Oakpoint House</v>
      </c>
      <c r="H4481" s="2">
        <f t="array" ref="H4481">_xlfn.XLOOKUP(A4483,Product!A:A,Product!E:E,"Bulunamadı")</f>
        <v>1.61</v>
      </c>
      <c r="I4481" s="2" t="str">
        <f t="shared" si="1"/>
        <v>42229 - Law - Corporate Finance</v>
      </c>
      <c r="J4481" s="2">
        <f t="shared" si="2"/>
        <v>4.83</v>
      </c>
      <c r="K4481" s="17">
        <f t="shared" si="3"/>
        <v>1</v>
      </c>
      <c r="L4481" s="18"/>
    </row>
    <row r="4482" hidden="1">
      <c r="A4482" s="2">
        <f>IFERROR(__xludf.DUMMYFUNCTION("""COMPUTED_VALUE"""),89588.0)</f>
        <v>89588</v>
      </c>
      <c r="B4482" s="2">
        <f>IFERROR(__xludf.DUMMYFUNCTION("""COMPUTED_VALUE"""),1.0)</f>
        <v>1</v>
      </c>
      <c r="C4482" s="2">
        <f>IFERROR(__xludf.DUMMYFUNCTION("""COMPUTED_VALUE"""),699.0)</f>
        <v>699</v>
      </c>
      <c r="D4482" s="3">
        <f>IFERROR(__xludf.DUMMYFUNCTION("""COMPUTED_VALUE"""),218.0)</f>
        <v>218</v>
      </c>
      <c r="E4482" s="1" t="str">
        <f t="array" ref="E4482">_xlfn.XLOOKUP(A4482,Product!A:A,Product!B:B,"Bulunamadı")</f>
        <v>Law</v>
      </c>
      <c r="F4482" s="1" t="str">
        <f t="array" ref="F4482">_xlfn.XLOOKUP(A4482,Product!A:A,Product!C:C,"Bulunamadı")</f>
        <v>Corporate Finance</v>
      </c>
      <c r="G4482" s="2" t="str">
        <f t="array" ref="G4482">_xlfn.XLOOKUP(A4483,Product!A:A,Product!D:D,"Bulunamadı")</f>
        <v>Oakpoint House</v>
      </c>
      <c r="H4482" s="2">
        <f t="array" ref="H4482">_xlfn.XLOOKUP(A4484,Product!A:A,Product!E:E,"Bulunamadı")</f>
        <v>3.68</v>
      </c>
      <c r="I4482" s="2" t="str">
        <f t="shared" si="1"/>
        <v>89588 - Law - Corporate Finance</v>
      </c>
      <c r="J4482" s="2">
        <f t="shared" si="2"/>
        <v>802.24</v>
      </c>
      <c r="K4482" s="17">
        <f t="shared" si="3"/>
        <v>1</v>
      </c>
      <c r="L4482" s="18"/>
    </row>
    <row r="4483" hidden="1">
      <c r="A4483" s="2">
        <f>IFERROR(__xludf.DUMMYFUNCTION("""COMPUTED_VALUE"""),99973.0)</f>
        <v>99973</v>
      </c>
      <c r="B4483" s="2">
        <f>IFERROR(__xludf.DUMMYFUNCTION("""COMPUTED_VALUE"""),0.0)</f>
        <v>0</v>
      </c>
      <c r="C4483" s="2">
        <f>IFERROR(__xludf.DUMMYFUNCTION("""COMPUTED_VALUE"""),571.0)</f>
        <v>571</v>
      </c>
      <c r="D4483" s="3">
        <f>IFERROR(__xludf.DUMMYFUNCTION("""COMPUTED_VALUE"""),419.0)</f>
        <v>419</v>
      </c>
      <c r="E4483" s="1" t="str">
        <f t="array" ref="E4483">_xlfn.XLOOKUP(A4483,Product!A:A,Product!B:B,"Bulunamadı")</f>
        <v>Law</v>
      </c>
      <c r="F4483" s="1" t="str">
        <f t="array" ref="F4483">_xlfn.XLOOKUP(A4483,Product!A:A,Product!C:C,"Bulunamadı")</f>
        <v>Corporate Finance</v>
      </c>
      <c r="G4483" s="2" t="str">
        <f t="array" ref="G4483">_xlfn.XLOOKUP(A4484,Product!A:A,Product!D:D,"Bulunamadı")</f>
        <v>Oakpoint House</v>
      </c>
      <c r="H4483" s="2">
        <f t="array" ref="H4483">_xlfn.XLOOKUP(A4485,Product!A:A,Product!E:E,"Bulunamadı")</f>
        <v>1.81</v>
      </c>
      <c r="I4483" s="2" t="str">
        <f t="shared" si="1"/>
        <v>99973 - Law - Corporate Finance</v>
      </c>
      <c r="J4483" s="2">
        <f t="shared" si="2"/>
        <v>758.39</v>
      </c>
      <c r="K4483" s="17">
        <f t="shared" si="3"/>
        <v>1</v>
      </c>
      <c r="L4483" s="18"/>
    </row>
    <row r="4484" hidden="1">
      <c r="A4484" s="2">
        <f>IFERROR(__xludf.DUMMYFUNCTION("""COMPUTED_VALUE"""),70241.0)</f>
        <v>70241</v>
      </c>
      <c r="B4484" s="2">
        <f>IFERROR(__xludf.DUMMYFUNCTION("""COMPUTED_VALUE"""),0.0)</f>
        <v>0</v>
      </c>
      <c r="C4484" s="2">
        <f>IFERROR(__xludf.DUMMYFUNCTION("""COMPUTED_VALUE"""),679.0)</f>
        <v>679</v>
      </c>
      <c r="D4484" s="3">
        <f>IFERROR(__xludf.DUMMYFUNCTION("""COMPUTED_VALUE"""),483.0)</f>
        <v>483</v>
      </c>
      <c r="E4484" s="1" t="str">
        <f t="array" ref="E4484">_xlfn.XLOOKUP(A4484,Product!A:A,Product!B:B,"Bulunamadı")</f>
        <v>Law</v>
      </c>
      <c r="F4484" s="1" t="str">
        <f t="array" ref="F4484">_xlfn.XLOOKUP(A4484,Product!A:A,Product!C:C,"Bulunamadı")</f>
        <v>Corporate Finance</v>
      </c>
      <c r="G4484" s="2" t="str">
        <f t="array" ref="G4484">_xlfn.XLOOKUP(A4485,Product!A:A,Product!D:D,"Bulunamadı")</f>
        <v>Oakpoint House</v>
      </c>
      <c r="H4484" s="2">
        <f t="array" ref="H4484">_xlfn.XLOOKUP(A4486,Product!A:A,Product!E:E,"Bulunamadı")</f>
        <v>2.29</v>
      </c>
      <c r="I4484" s="2" t="str">
        <f t="shared" si="1"/>
        <v>70241 - Law - Corporate Finance</v>
      </c>
      <c r="J4484" s="2">
        <f t="shared" si="2"/>
        <v>1106.07</v>
      </c>
      <c r="K4484" s="17">
        <f t="shared" si="3"/>
        <v>1</v>
      </c>
      <c r="L4484" s="18"/>
    </row>
    <row r="4485" hidden="1">
      <c r="A4485" s="2">
        <f>IFERROR(__xludf.DUMMYFUNCTION("""COMPUTED_VALUE"""),129479.0)</f>
        <v>129479</v>
      </c>
      <c r="B4485" s="2">
        <f>IFERROR(__xludf.DUMMYFUNCTION("""COMPUTED_VALUE"""),1.0)</f>
        <v>1</v>
      </c>
      <c r="C4485" s="2">
        <f>IFERROR(__xludf.DUMMYFUNCTION("""COMPUTED_VALUE"""),925.0)</f>
        <v>925</v>
      </c>
      <c r="D4485" s="3">
        <f>IFERROR(__xludf.DUMMYFUNCTION("""COMPUTED_VALUE"""),677.0)</f>
        <v>677</v>
      </c>
      <c r="E4485" s="1" t="str">
        <f t="array" ref="E4485">_xlfn.XLOOKUP(A4485,Product!A:A,Product!B:B,"Bulunamadı")</f>
        <v>Law</v>
      </c>
      <c r="F4485" s="1" t="str">
        <f t="array" ref="F4485">_xlfn.XLOOKUP(A4485,Product!A:A,Product!C:C,"Bulunamadı")</f>
        <v>Corporate Finance</v>
      </c>
      <c r="G4485" s="2" t="str">
        <f t="array" ref="G4485">_xlfn.XLOOKUP(A4486,Product!A:A,Product!D:D,"Bulunamadı")</f>
        <v>Oakpoint House</v>
      </c>
      <c r="H4485" s="2">
        <f t="array" ref="H4485">_xlfn.XLOOKUP(A4487,Product!A:A,Product!E:E,"Bulunamadı")</f>
        <v>2.12</v>
      </c>
      <c r="I4485" s="2" t="str">
        <f t="shared" si="1"/>
        <v>129479 - Law - Corporate Finance</v>
      </c>
      <c r="J4485" s="2">
        <f t="shared" si="2"/>
        <v>1435.24</v>
      </c>
      <c r="K4485" s="17">
        <f t="shared" si="3"/>
        <v>1</v>
      </c>
      <c r="L4485" s="18"/>
    </row>
    <row r="4486" hidden="1">
      <c r="A4486" s="2">
        <f>IFERROR(__xludf.DUMMYFUNCTION("""COMPUTED_VALUE"""),107926.0)</f>
        <v>107926</v>
      </c>
      <c r="B4486" s="2">
        <f>IFERROR(__xludf.DUMMYFUNCTION("""COMPUTED_VALUE"""),0.0)</f>
        <v>0</v>
      </c>
      <c r="C4486" s="2">
        <f>IFERROR(__xludf.DUMMYFUNCTION("""COMPUTED_VALUE"""),-6.0)</f>
        <v>-6</v>
      </c>
      <c r="D4486" s="3">
        <f>IFERROR(__xludf.DUMMYFUNCTION("""COMPUTED_VALUE"""),-4.0)</f>
        <v>-4</v>
      </c>
      <c r="E4486" s="1" t="str">
        <f t="array" ref="E4486">_xlfn.XLOOKUP(A4486,Product!A:A,Product!B:B,"Bulunamadı")</f>
        <v>Law</v>
      </c>
      <c r="F4486" s="1" t="str">
        <f t="array" ref="F4486">_xlfn.XLOOKUP(A4486,Product!A:A,Product!C:C,"Bulunamadı")</f>
        <v>Corporate Finance</v>
      </c>
      <c r="G4486" s="2" t="str">
        <f t="array" ref="G4486">_xlfn.XLOOKUP(A4487,Product!A:A,Product!D:D,"Bulunamadı")</f>
        <v>Oakpoint House</v>
      </c>
      <c r="H4486" s="2">
        <f t="array" ref="H4486">_xlfn.XLOOKUP(A4488,Product!A:A,Product!E:E,"Bulunamadı")</f>
        <v>3.14</v>
      </c>
      <c r="I4486" s="2" t="str">
        <f t="shared" si="1"/>
        <v>107926 - Law - Corporate Finance</v>
      </c>
      <c r="J4486" s="2">
        <f t="shared" si="2"/>
        <v>-12.56</v>
      </c>
      <c r="K4486" s="17">
        <f t="shared" si="3"/>
        <v>0</v>
      </c>
      <c r="L4486" s="18"/>
    </row>
    <row r="4487" hidden="1">
      <c r="A4487" s="2">
        <f>IFERROR(__xludf.DUMMYFUNCTION("""COMPUTED_VALUE"""),42232.0)</f>
        <v>42232</v>
      </c>
      <c r="B4487" s="2">
        <f>IFERROR(__xludf.DUMMYFUNCTION("""COMPUTED_VALUE"""),0.0)</f>
        <v>0</v>
      </c>
      <c r="C4487" s="2">
        <f>IFERROR(__xludf.DUMMYFUNCTION("""COMPUTED_VALUE"""),456.0)</f>
        <v>456</v>
      </c>
      <c r="D4487" s="3">
        <f>IFERROR(__xludf.DUMMYFUNCTION("""COMPUTED_VALUE"""),445.0)</f>
        <v>445</v>
      </c>
      <c r="E4487" s="1" t="str">
        <f t="array" ref="E4487">_xlfn.XLOOKUP(A4487,Product!A:A,Product!B:B,"Bulunamadı")</f>
        <v>Law</v>
      </c>
      <c r="F4487" s="1" t="str">
        <f t="array" ref="F4487">_xlfn.XLOOKUP(A4487,Product!A:A,Product!C:C,"Bulunamadı")</f>
        <v>Corporate Finance</v>
      </c>
      <c r="G4487" s="2" t="str">
        <f t="array" ref="G4487">_xlfn.XLOOKUP(A4488,Product!A:A,Product!D:D,"Bulunamadı")</f>
        <v>Oakpoint House</v>
      </c>
      <c r="H4487" s="2">
        <f t="array" ref="H4487">_xlfn.XLOOKUP(A4489,Product!A:A,Product!E:E,"Bulunamadı")</f>
        <v>3.07</v>
      </c>
      <c r="I4487" s="2" t="str">
        <f t="shared" si="1"/>
        <v>42232 - Law - Corporate Finance</v>
      </c>
      <c r="J4487" s="2">
        <f t="shared" si="2"/>
        <v>1366.15</v>
      </c>
      <c r="K4487" s="17">
        <f t="shared" si="3"/>
        <v>1</v>
      </c>
      <c r="L4487" s="18"/>
    </row>
    <row r="4488" hidden="1">
      <c r="A4488" s="2">
        <f>IFERROR(__xludf.DUMMYFUNCTION("""COMPUTED_VALUE"""),122106.0)</f>
        <v>122106</v>
      </c>
      <c r="B4488" s="2">
        <f>IFERROR(__xludf.DUMMYFUNCTION("""COMPUTED_VALUE"""),1.0)</f>
        <v>1</v>
      </c>
      <c r="C4488" s="2">
        <f>IFERROR(__xludf.DUMMYFUNCTION("""COMPUTED_VALUE"""),602.0)</f>
        <v>602</v>
      </c>
      <c r="D4488" s="3">
        <f>IFERROR(__xludf.DUMMYFUNCTION("""COMPUTED_VALUE"""),400.0)</f>
        <v>400</v>
      </c>
      <c r="E4488" s="1" t="str">
        <f t="array" ref="E4488">_xlfn.XLOOKUP(A4488,Product!A:A,Product!B:B,"Bulunamadı")</f>
        <v>Law</v>
      </c>
      <c r="F4488" s="1" t="str">
        <f t="array" ref="F4488">_xlfn.XLOOKUP(A4488,Product!A:A,Product!C:C,"Bulunamadı")</f>
        <v>Corporate Finance</v>
      </c>
      <c r="G4488" s="2" t="str">
        <f t="array" ref="G4488">_xlfn.XLOOKUP(A4489,Product!A:A,Product!D:D,"Bulunamadı")</f>
        <v>Oakpoint House</v>
      </c>
      <c r="H4488" s="2">
        <f t="array" ref="H4488">_xlfn.XLOOKUP(A4490,Product!A:A,Product!E:E,"Bulunamadı")</f>
        <v>2.51</v>
      </c>
      <c r="I4488" s="2" t="str">
        <f t="shared" si="1"/>
        <v>122106 - Law - Corporate Finance</v>
      </c>
      <c r="J4488" s="2">
        <f t="shared" si="2"/>
        <v>1004</v>
      </c>
      <c r="K4488" s="17">
        <f t="shared" si="3"/>
        <v>1</v>
      </c>
      <c r="L4488" s="18"/>
    </row>
    <row r="4489" hidden="1">
      <c r="A4489" s="2">
        <f>IFERROR(__xludf.DUMMYFUNCTION("""COMPUTED_VALUE"""),69456.0)</f>
        <v>69456</v>
      </c>
      <c r="B4489" s="2">
        <f>IFERROR(__xludf.DUMMYFUNCTION("""COMPUTED_VALUE"""),0.0)</f>
        <v>0</v>
      </c>
      <c r="C4489" s="2">
        <f>IFERROR(__xludf.DUMMYFUNCTION("""COMPUTED_VALUE"""),860.0)</f>
        <v>860</v>
      </c>
      <c r="D4489" s="3">
        <f>IFERROR(__xludf.DUMMYFUNCTION("""COMPUTED_VALUE"""),691.0)</f>
        <v>691</v>
      </c>
      <c r="E4489" s="1" t="str">
        <f t="array" ref="E4489">_xlfn.XLOOKUP(A4489,Product!A:A,Product!B:B,"Bulunamadı")</f>
        <v>Law</v>
      </c>
      <c r="F4489" s="1" t="str">
        <f t="array" ref="F4489">_xlfn.XLOOKUP(A4489,Product!A:A,Product!C:C,"Bulunamadı")</f>
        <v>Corporate Finance</v>
      </c>
      <c r="G4489" s="2" t="str">
        <f t="array" ref="G4489">_xlfn.XLOOKUP(A4490,Product!A:A,Product!D:D,"Bulunamadı")</f>
        <v>Oakpoint House</v>
      </c>
      <c r="H4489" s="2">
        <f t="array" ref="H4489">_xlfn.XLOOKUP(A4491,Product!A:A,Product!E:E,"Bulunamadı")</f>
        <v>3.98</v>
      </c>
      <c r="I4489" s="2" t="str">
        <f t="shared" si="1"/>
        <v>69456 - Law - Corporate Finance</v>
      </c>
      <c r="J4489" s="2">
        <f t="shared" si="2"/>
        <v>2750.18</v>
      </c>
      <c r="K4489" s="17">
        <f t="shared" si="3"/>
        <v>1</v>
      </c>
      <c r="L4489" s="18"/>
    </row>
    <row r="4490" hidden="1">
      <c r="A4490" s="2">
        <f>IFERROR(__xludf.DUMMYFUNCTION("""COMPUTED_VALUE"""),118888.0)</f>
        <v>118888</v>
      </c>
      <c r="B4490" s="2">
        <f>IFERROR(__xludf.DUMMYFUNCTION("""COMPUTED_VALUE"""),1.0)</f>
        <v>1</v>
      </c>
      <c r="C4490" s="2">
        <f>IFERROR(__xludf.DUMMYFUNCTION("""COMPUTED_VALUE"""),862.0)</f>
        <v>862</v>
      </c>
      <c r="D4490" s="3">
        <f>IFERROR(__xludf.DUMMYFUNCTION("""COMPUTED_VALUE"""),392.0)</f>
        <v>392</v>
      </c>
      <c r="E4490" s="1" t="str">
        <f t="array" ref="E4490">_xlfn.XLOOKUP(A4490,Product!A:A,Product!B:B,"Bulunamadı")</f>
        <v>Law</v>
      </c>
      <c r="F4490" s="1" t="str">
        <f t="array" ref="F4490">_xlfn.XLOOKUP(A4490,Product!A:A,Product!C:C,"Bulunamadı")</f>
        <v>Corporate Finance</v>
      </c>
      <c r="G4490" s="2" t="str">
        <f t="array" ref="G4490">_xlfn.XLOOKUP(A4491,Product!A:A,Product!D:D,"Bulunamadı")</f>
        <v>Oakpoint House</v>
      </c>
      <c r="H4490" s="2">
        <f t="array" ref="H4490">_xlfn.XLOOKUP(A4492,Product!A:A,Product!E:E,"Bulunamadı")</f>
        <v>1.21</v>
      </c>
      <c r="I4490" s="2" t="str">
        <f t="shared" si="1"/>
        <v>118888 - Law - Corporate Finance</v>
      </c>
      <c r="J4490" s="2">
        <f t="shared" si="2"/>
        <v>474.32</v>
      </c>
      <c r="K4490" s="17">
        <f t="shared" si="3"/>
        <v>1</v>
      </c>
      <c r="L4490" s="18"/>
    </row>
    <row r="4491" hidden="1">
      <c r="A4491" s="2">
        <f>IFERROR(__xludf.DUMMYFUNCTION("""COMPUTED_VALUE"""),69468.0)</f>
        <v>69468</v>
      </c>
      <c r="B4491" s="2">
        <f>IFERROR(__xludf.DUMMYFUNCTION("""COMPUTED_VALUE"""),1.0)</f>
        <v>1</v>
      </c>
      <c r="C4491" s="2">
        <f>IFERROR(__xludf.DUMMYFUNCTION("""COMPUTED_VALUE"""),667.0)</f>
        <v>667</v>
      </c>
      <c r="D4491" s="3">
        <f>IFERROR(__xludf.DUMMYFUNCTION("""COMPUTED_VALUE"""),481.0)</f>
        <v>481</v>
      </c>
      <c r="E4491" s="1" t="str">
        <f t="array" ref="E4491">_xlfn.XLOOKUP(A4491,Product!A:A,Product!B:B,"Bulunamadı")</f>
        <v>Law</v>
      </c>
      <c r="F4491" s="1" t="str">
        <f t="array" ref="F4491">_xlfn.XLOOKUP(A4491,Product!A:A,Product!C:C,"Bulunamadı")</f>
        <v>Corporate Finance</v>
      </c>
      <c r="G4491" s="2" t="str">
        <f t="array" ref="G4491">_xlfn.XLOOKUP(A4492,Product!A:A,Product!D:D,"Bulunamadı")</f>
        <v>Riverpoint House</v>
      </c>
      <c r="H4491" s="2">
        <f t="array" ref="H4491">_xlfn.XLOOKUP(A4493,Product!A:A,Product!E:E,"Bulunamadı")</f>
        <v>0.48</v>
      </c>
      <c r="I4491" s="2" t="str">
        <f t="shared" si="1"/>
        <v>69468 - Law - Corporate Finance</v>
      </c>
      <c r="J4491" s="2">
        <f t="shared" si="2"/>
        <v>230.88</v>
      </c>
      <c r="K4491" s="17">
        <f t="shared" si="3"/>
        <v>1</v>
      </c>
      <c r="L4491" s="18"/>
    </row>
    <row r="4492" hidden="1">
      <c r="A4492" s="2">
        <f>IFERROR(__xludf.DUMMYFUNCTION("""COMPUTED_VALUE"""),117629.0)</f>
        <v>117629</v>
      </c>
      <c r="B4492" s="2">
        <f>IFERROR(__xludf.DUMMYFUNCTION("""COMPUTED_VALUE"""),0.0)</f>
        <v>0</v>
      </c>
      <c r="C4492" s="2">
        <f>IFERROR(__xludf.DUMMYFUNCTION("""COMPUTED_VALUE"""),905.0)</f>
        <v>905</v>
      </c>
      <c r="D4492" s="3">
        <f>IFERROR(__xludf.DUMMYFUNCTION("""COMPUTED_VALUE"""),694.0)</f>
        <v>694</v>
      </c>
      <c r="E4492" s="1" t="str">
        <f t="array" ref="E4492">_xlfn.XLOOKUP(A4492,Product!A:A,Product!B:B,"Bulunamadı")</f>
        <v>Law</v>
      </c>
      <c r="F4492" s="1" t="str">
        <f t="array" ref="F4492">_xlfn.XLOOKUP(A4492,Product!A:A,Product!C:C,"Bulunamadı")</f>
        <v>Corporate Finance</v>
      </c>
      <c r="G4492" s="2" t="str">
        <f t="array" ref="G4492">_xlfn.XLOOKUP(A4493,Product!A:A,Product!D:D,"Bulunamadı")</f>
        <v>Riverpoint House</v>
      </c>
      <c r="H4492" s="2">
        <f t="array" ref="H4492">_xlfn.XLOOKUP(A4494,Product!A:A,Product!E:E,"Bulunamadı")</f>
        <v>0.64</v>
      </c>
      <c r="I4492" s="2" t="str">
        <f t="shared" si="1"/>
        <v>117629 - Law - Corporate Finance</v>
      </c>
      <c r="J4492" s="2">
        <f t="shared" si="2"/>
        <v>444.16</v>
      </c>
      <c r="K4492" s="17">
        <f t="shared" si="3"/>
        <v>1</v>
      </c>
      <c r="L4492" s="18"/>
    </row>
    <row r="4493" hidden="1">
      <c r="A4493" s="2">
        <f>IFERROR(__xludf.DUMMYFUNCTION("""COMPUTED_VALUE"""),121475.0)</f>
        <v>121475</v>
      </c>
      <c r="B4493" s="2">
        <f>IFERROR(__xludf.DUMMYFUNCTION("""COMPUTED_VALUE"""),0.0)</f>
        <v>0</v>
      </c>
      <c r="C4493" s="2">
        <f>IFERROR(__xludf.DUMMYFUNCTION("""COMPUTED_VALUE"""),509.0)</f>
        <v>509</v>
      </c>
      <c r="D4493" s="3">
        <f>IFERROR(__xludf.DUMMYFUNCTION("""COMPUTED_VALUE"""),499.0)</f>
        <v>499</v>
      </c>
      <c r="E4493" s="1" t="str">
        <f t="array" ref="E4493">_xlfn.XLOOKUP(A4493,Product!A:A,Product!B:B,"Bulunamadı")</f>
        <v>Law</v>
      </c>
      <c r="F4493" s="1" t="str">
        <f t="array" ref="F4493">_xlfn.XLOOKUP(A4493,Product!A:A,Product!C:C,"Bulunamadı")</f>
        <v>Corporate Finance</v>
      </c>
      <c r="G4493" s="2" t="str">
        <f t="array" ref="G4493">_xlfn.XLOOKUP(A4494,Product!A:A,Product!D:D,"Bulunamadı")</f>
        <v>Riverpoint House</v>
      </c>
      <c r="H4493" s="2">
        <f t="array" ref="H4493">_xlfn.XLOOKUP(A4495,Product!A:A,Product!E:E,"Bulunamadı")</f>
        <v>1.44</v>
      </c>
      <c r="I4493" s="2" t="str">
        <f t="shared" si="1"/>
        <v>121475 - Law - Corporate Finance</v>
      </c>
      <c r="J4493" s="2">
        <f t="shared" si="2"/>
        <v>718.56</v>
      </c>
      <c r="K4493" s="17">
        <f t="shared" si="3"/>
        <v>1</v>
      </c>
      <c r="L4493" s="18"/>
    </row>
    <row r="4494" hidden="1">
      <c r="A4494" s="2">
        <f>IFERROR(__xludf.DUMMYFUNCTION("""COMPUTED_VALUE"""),80412.0)</f>
        <v>80412</v>
      </c>
      <c r="B4494" s="2">
        <f>IFERROR(__xludf.DUMMYFUNCTION("""COMPUTED_VALUE"""),1.0)</f>
        <v>1</v>
      </c>
      <c r="C4494" s="2">
        <f>IFERROR(__xludf.DUMMYFUNCTION("""COMPUTED_VALUE"""),745.0)</f>
        <v>745</v>
      </c>
      <c r="D4494" s="3">
        <f>IFERROR(__xludf.DUMMYFUNCTION("""COMPUTED_VALUE"""),323.0)</f>
        <v>323</v>
      </c>
      <c r="E4494" s="1" t="str">
        <f t="array" ref="E4494">_xlfn.XLOOKUP(A4494,Product!A:A,Product!B:B,"Bulunamadı")</f>
        <v>Law</v>
      </c>
      <c r="F4494" s="1" t="str">
        <f t="array" ref="F4494">_xlfn.XLOOKUP(A4494,Product!A:A,Product!C:C,"Bulunamadı")</f>
        <v>Corporate Finance</v>
      </c>
      <c r="G4494" s="2" t="str">
        <f t="array" ref="G4494">_xlfn.XLOOKUP(A4495,Product!A:A,Product!D:D,"Bulunamadı")</f>
        <v>Riverpoint House</v>
      </c>
      <c r="H4494" s="2">
        <f t="array" ref="H4494">_xlfn.XLOOKUP(A4496,Product!A:A,Product!E:E,"Bulunamadı")</f>
        <v>1.14</v>
      </c>
      <c r="I4494" s="2" t="str">
        <f t="shared" si="1"/>
        <v>80412 - Law - Corporate Finance</v>
      </c>
      <c r="J4494" s="2">
        <f t="shared" si="2"/>
        <v>368.22</v>
      </c>
      <c r="K4494" s="17">
        <f t="shared" si="3"/>
        <v>1</v>
      </c>
      <c r="L4494" s="18"/>
    </row>
    <row r="4495" hidden="1">
      <c r="A4495" s="2">
        <f>IFERROR(__xludf.DUMMYFUNCTION("""COMPUTED_VALUE"""),122857.0)</f>
        <v>122857</v>
      </c>
      <c r="B4495" s="2">
        <f>IFERROR(__xludf.DUMMYFUNCTION("""COMPUTED_VALUE"""),0.0)</f>
        <v>0</v>
      </c>
      <c r="C4495" s="2">
        <f>IFERROR(__xludf.DUMMYFUNCTION("""COMPUTED_VALUE"""),569.0)</f>
        <v>569</v>
      </c>
      <c r="D4495" s="3">
        <f>IFERROR(__xludf.DUMMYFUNCTION("""COMPUTED_VALUE"""),448.0)</f>
        <v>448</v>
      </c>
      <c r="E4495" s="1" t="str">
        <f t="array" ref="E4495">_xlfn.XLOOKUP(A4495,Product!A:A,Product!B:B,"Bulunamadı")</f>
        <v>Law</v>
      </c>
      <c r="F4495" s="1" t="str">
        <f t="array" ref="F4495">_xlfn.XLOOKUP(A4495,Product!A:A,Product!C:C,"Bulunamadı")</f>
        <v>Corporate Finance</v>
      </c>
      <c r="G4495" s="2" t="str">
        <f t="array" ref="G4495">_xlfn.XLOOKUP(A4496,Product!A:A,Product!D:D,"Bulunamadı")</f>
        <v>Riverpoint House</v>
      </c>
      <c r="H4495" s="2">
        <f t="array" ref="H4495">_xlfn.XLOOKUP(A4497,Product!A:A,Product!E:E,"Bulunamadı")</f>
        <v>1.24</v>
      </c>
      <c r="I4495" s="2" t="str">
        <f t="shared" si="1"/>
        <v>122857 - Law - Corporate Finance</v>
      </c>
      <c r="J4495" s="2">
        <f t="shared" si="2"/>
        <v>555.52</v>
      </c>
      <c r="K4495" s="17">
        <f t="shared" si="3"/>
        <v>1</v>
      </c>
      <c r="L4495" s="18"/>
    </row>
    <row r="4496" hidden="1">
      <c r="A4496" s="2">
        <f>IFERROR(__xludf.DUMMYFUNCTION("""COMPUTED_VALUE"""),115769.0)</f>
        <v>115769</v>
      </c>
      <c r="B4496" s="2">
        <f>IFERROR(__xludf.DUMMYFUNCTION("""COMPUTED_VALUE"""),0.0)</f>
        <v>0</v>
      </c>
      <c r="C4496" s="2">
        <f>IFERROR(__xludf.DUMMYFUNCTION("""COMPUTED_VALUE"""),45.0)</f>
        <v>45</v>
      </c>
      <c r="D4496" s="3">
        <f>IFERROR(__xludf.DUMMYFUNCTION("""COMPUTED_VALUE"""),9.0)</f>
        <v>9</v>
      </c>
      <c r="E4496" s="1" t="str">
        <f t="array" ref="E4496">_xlfn.XLOOKUP(A4496,Product!A:A,Product!B:B,"Bulunamadı")</f>
        <v>Law</v>
      </c>
      <c r="F4496" s="1" t="str">
        <f t="array" ref="F4496">_xlfn.XLOOKUP(A4496,Product!A:A,Product!C:C,"Bulunamadı")</f>
        <v>Corporate Finance</v>
      </c>
      <c r="G4496" s="2" t="str">
        <f t="array" ref="G4496">_xlfn.XLOOKUP(A4497,Product!A:A,Product!D:D,"Bulunamadı")</f>
        <v>Riverpoint House</v>
      </c>
      <c r="H4496" s="2">
        <f t="array" ref="H4496">_xlfn.XLOOKUP(A4498,Product!A:A,Product!E:E,"Bulunamadı")</f>
        <v>1.91</v>
      </c>
      <c r="I4496" s="2" t="str">
        <f t="shared" si="1"/>
        <v>115769 - Law - Corporate Finance</v>
      </c>
      <c r="J4496" s="2">
        <f t="shared" si="2"/>
        <v>17.19</v>
      </c>
      <c r="K4496" s="17">
        <f t="shared" si="3"/>
        <v>1</v>
      </c>
      <c r="L4496" s="18"/>
    </row>
    <row r="4497" hidden="1">
      <c r="A4497" s="2">
        <f>IFERROR(__xludf.DUMMYFUNCTION("""COMPUTED_VALUE"""),115774.0)</f>
        <v>115774</v>
      </c>
      <c r="B4497" s="2">
        <f>IFERROR(__xludf.DUMMYFUNCTION("""COMPUTED_VALUE"""),0.0)</f>
        <v>0</v>
      </c>
      <c r="C4497" s="2">
        <f>IFERROR(__xludf.DUMMYFUNCTION("""COMPUTED_VALUE"""),446.0)</f>
        <v>446</v>
      </c>
      <c r="D4497" s="3">
        <f>IFERROR(__xludf.DUMMYFUNCTION("""COMPUTED_VALUE"""),292.0)</f>
        <v>292</v>
      </c>
      <c r="E4497" s="1" t="str">
        <f t="array" ref="E4497">_xlfn.XLOOKUP(A4497,Product!A:A,Product!B:B,"Bulunamadı")</f>
        <v>Law</v>
      </c>
      <c r="F4497" s="1" t="str">
        <f t="array" ref="F4497">_xlfn.XLOOKUP(A4497,Product!A:A,Product!C:C,"Bulunamadı")</f>
        <v>Corporate Finance</v>
      </c>
      <c r="G4497" s="2" t="str">
        <f t="array" ref="G4497">_xlfn.XLOOKUP(A4498,Product!A:A,Product!D:D,"Bulunamadı")</f>
        <v>Riverpoint House</v>
      </c>
      <c r="H4497" s="2">
        <f t="array" ref="H4497">_xlfn.XLOOKUP(A4499,Product!A:A,Product!E:E,"Bulunamadı")</f>
        <v>0.95</v>
      </c>
      <c r="I4497" s="2" t="str">
        <f t="shared" si="1"/>
        <v>115774 - Law - Corporate Finance</v>
      </c>
      <c r="J4497" s="2">
        <f t="shared" si="2"/>
        <v>277.4</v>
      </c>
      <c r="K4497" s="17">
        <f t="shared" si="3"/>
        <v>1</v>
      </c>
      <c r="L4497" s="18"/>
    </row>
    <row r="4498" hidden="1">
      <c r="A4498" s="2">
        <f>IFERROR(__xludf.DUMMYFUNCTION("""COMPUTED_VALUE"""),118889.0)</f>
        <v>118889</v>
      </c>
      <c r="B4498" s="2">
        <f>IFERROR(__xludf.DUMMYFUNCTION("""COMPUTED_VALUE"""),0.0)</f>
        <v>0</v>
      </c>
      <c r="C4498" s="2">
        <f>IFERROR(__xludf.DUMMYFUNCTION("""COMPUTED_VALUE"""),136.0)</f>
        <v>136</v>
      </c>
      <c r="D4498" s="3">
        <f>IFERROR(__xludf.DUMMYFUNCTION("""COMPUTED_VALUE"""),21.0)</f>
        <v>21</v>
      </c>
      <c r="E4498" s="1" t="str">
        <f t="array" ref="E4498">_xlfn.XLOOKUP(A4498,Product!A:A,Product!B:B,"Bulunamadı")</f>
        <v>Law</v>
      </c>
      <c r="F4498" s="1" t="str">
        <f t="array" ref="F4498">_xlfn.XLOOKUP(A4498,Product!A:A,Product!C:C,"Bulunamadı")</f>
        <v>Corporate Finance</v>
      </c>
      <c r="G4498" s="2" t="str">
        <f t="array" ref="G4498">_xlfn.XLOOKUP(A4499,Product!A:A,Product!D:D,"Bulunamadı")</f>
        <v>Riverpoint House</v>
      </c>
      <c r="H4498" s="2">
        <f t="array" ref="H4498">_xlfn.XLOOKUP(A4500,Product!A:A,Product!E:E,"Bulunamadı")</f>
        <v>0.57</v>
      </c>
      <c r="I4498" s="2" t="str">
        <f t="shared" si="1"/>
        <v>118889 - Law - Corporate Finance</v>
      </c>
      <c r="J4498" s="2">
        <f t="shared" si="2"/>
        <v>11.97</v>
      </c>
      <c r="K4498" s="17">
        <f t="shared" si="3"/>
        <v>1</v>
      </c>
      <c r="L4498" s="18"/>
    </row>
    <row r="4499" hidden="1">
      <c r="A4499" s="2">
        <f>IFERROR(__xludf.DUMMYFUNCTION("""COMPUTED_VALUE"""),115758.0)</f>
        <v>115758</v>
      </c>
      <c r="B4499" s="2">
        <f>IFERROR(__xludf.DUMMYFUNCTION("""COMPUTED_VALUE"""),1.0)</f>
        <v>1</v>
      </c>
      <c r="C4499" s="2">
        <f>IFERROR(__xludf.DUMMYFUNCTION("""COMPUTED_VALUE"""),344.0)</f>
        <v>344</v>
      </c>
      <c r="D4499" s="3">
        <f>IFERROR(__xludf.DUMMYFUNCTION("""COMPUTED_VALUE"""),181.0)</f>
        <v>181</v>
      </c>
      <c r="E4499" s="1" t="str">
        <f t="array" ref="E4499">_xlfn.XLOOKUP(A4499,Product!A:A,Product!B:B,"Bulunamadı")</f>
        <v>Law</v>
      </c>
      <c r="F4499" s="1" t="str">
        <f t="array" ref="F4499">_xlfn.XLOOKUP(A4499,Product!A:A,Product!C:C,"Bulunamadı")</f>
        <v>Corporate Finance</v>
      </c>
      <c r="G4499" s="2" t="str">
        <f t="array" ref="G4499">_xlfn.XLOOKUP(A4500,Product!A:A,Product!D:D,"Bulunamadı")</f>
        <v>Riverpoint House</v>
      </c>
      <c r="H4499" s="2">
        <f t="array" ref="H4499">_xlfn.XLOOKUP(A4501,Product!A:A,Product!E:E,"Bulunamadı")</f>
        <v>3.16</v>
      </c>
      <c r="I4499" s="2" t="str">
        <f t="shared" si="1"/>
        <v>115758 - Law - Corporate Finance</v>
      </c>
      <c r="J4499" s="2">
        <f t="shared" si="2"/>
        <v>571.96</v>
      </c>
      <c r="K4499" s="17">
        <f t="shared" si="3"/>
        <v>1</v>
      </c>
      <c r="L4499" s="18"/>
    </row>
    <row r="4500" hidden="1">
      <c r="A4500" s="2">
        <f>IFERROR(__xludf.DUMMYFUNCTION("""COMPUTED_VALUE"""),115755.0)</f>
        <v>115755</v>
      </c>
      <c r="B4500" s="2">
        <f>IFERROR(__xludf.DUMMYFUNCTION("""COMPUTED_VALUE"""),0.0)</f>
        <v>0</v>
      </c>
      <c r="C4500" s="2">
        <f>IFERROR(__xludf.DUMMYFUNCTION("""COMPUTED_VALUE"""),481.0)</f>
        <v>481</v>
      </c>
      <c r="D4500" s="3">
        <f>IFERROR(__xludf.DUMMYFUNCTION("""COMPUTED_VALUE"""),50.0)</f>
        <v>50</v>
      </c>
      <c r="E4500" s="1" t="str">
        <f t="array" ref="E4500">_xlfn.XLOOKUP(A4500,Product!A:A,Product!B:B,"Bulunamadı")</f>
        <v>Law</v>
      </c>
      <c r="F4500" s="1" t="str">
        <f t="array" ref="F4500">_xlfn.XLOOKUP(A4500,Product!A:A,Product!C:C,"Bulunamadı")</f>
        <v>Corporate Finance</v>
      </c>
      <c r="G4500" s="2" t="str">
        <f t="array" ref="G4500">_xlfn.XLOOKUP(A4501,Product!A:A,Product!D:D,"Bulunamadı")</f>
        <v>Riverpoint House</v>
      </c>
      <c r="H4500" s="2">
        <f t="array" ref="H4500">_xlfn.XLOOKUP(A4502,Product!A:A,Product!E:E,"Bulunamadı")</f>
        <v>1.83</v>
      </c>
      <c r="I4500" s="2" t="str">
        <f t="shared" si="1"/>
        <v>115755 - Law - Corporate Finance</v>
      </c>
      <c r="J4500" s="2">
        <f t="shared" si="2"/>
        <v>91.5</v>
      </c>
      <c r="K4500" s="17">
        <f t="shared" si="3"/>
        <v>1</v>
      </c>
      <c r="L4500" s="18"/>
    </row>
    <row r="4501" hidden="1">
      <c r="A4501" s="2">
        <f>IFERROR(__xludf.DUMMYFUNCTION("""COMPUTED_VALUE"""),114964.0)</f>
        <v>114964</v>
      </c>
      <c r="B4501" s="2">
        <f>IFERROR(__xludf.DUMMYFUNCTION("""COMPUTED_VALUE"""),0.0)</f>
        <v>0</v>
      </c>
      <c r="C4501" s="2">
        <f>IFERROR(__xludf.DUMMYFUNCTION("""COMPUTED_VALUE"""),896.0)</f>
        <v>896</v>
      </c>
      <c r="D4501" s="3">
        <f>IFERROR(__xludf.DUMMYFUNCTION("""COMPUTED_VALUE"""),533.0)</f>
        <v>533</v>
      </c>
      <c r="E4501" s="1" t="str">
        <f t="array" ref="E4501">_xlfn.XLOOKUP(A4501,Product!A:A,Product!B:B,"Bulunamadı")</f>
        <v>Law</v>
      </c>
      <c r="F4501" s="1" t="str">
        <f t="array" ref="F4501">_xlfn.XLOOKUP(A4501,Product!A:A,Product!C:C,"Bulunamadı")</f>
        <v>Corporate Finance</v>
      </c>
      <c r="G4501" s="2" t="str">
        <f t="array" ref="G4501">_xlfn.XLOOKUP(A4502,Product!A:A,Product!D:D,"Bulunamadı")</f>
        <v>Riverpoint House</v>
      </c>
      <c r="H4501" s="2">
        <f t="array" ref="H4501">_xlfn.XLOOKUP(A4503,Product!A:A,Product!E:E,"Bulunamadı")</f>
        <v>1.75</v>
      </c>
      <c r="I4501" s="2" t="str">
        <f t="shared" si="1"/>
        <v>114964 - Law - Corporate Finance</v>
      </c>
      <c r="J4501" s="2">
        <f t="shared" si="2"/>
        <v>932.75</v>
      </c>
      <c r="K4501" s="17">
        <f t="shared" si="3"/>
        <v>1</v>
      </c>
      <c r="L4501" s="18"/>
    </row>
    <row r="4502" hidden="1">
      <c r="A4502" s="2">
        <f>IFERROR(__xludf.DUMMYFUNCTION("""COMPUTED_VALUE"""),87617.0)</f>
        <v>87617</v>
      </c>
      <c r="B4502" s="2">
        <f>IFERROR(__xludf.DUMMYFUNCTION("""COMPUTED_VALUE"""),1.0)</f>
        <v>1</v>
      </c>
      <c r="C4502" s="2">
        <f>IFERROR(__xludf.DUMMYFUNCTION("""COMPUTED_VALUE"""),781.0)</f>
        <v>781</v>
      </c>
      <c r="D4502" s="3">
        <f>IFERROR(__xludf.DUMMYFUNCTION("""COMPUTED_VALUE"""),159.0)</f>
        <v>159</v>
      </c>
      <c r="E4502" s="1" t="str">
        <f t="array" ref="E4502">_xlfn.XLOOKUP(A4502,Product!A:A,Product!B:B,"Bulunamadı")</f>
        <v>Law</v>
      </c>
      <c r="F4502" s="1" t="str">
        <f t="array" ref="F4502">_xlfn.XLOOKUP(A4502,Product!A:A,Product!C:C,"Bulunamadı")</f>
        <v>Corporate Finance</v>
      </c>
      <c r="G4502" s="2" t="str">
        <f t="array" ref="G4502">_xlfn.XLOOKUP(A4503,Product!A:A,Product!D:D,"Bulunamadı")</f>
        <v>Riverpoint House</v>
      </c>
      <c r="H4502" s="2">
        <f t="array" ref="H4502">_xlfn.XLOOKUP(A4504,Product!A:A,Product!E:E,"Bulunamadı")</f>
        <v>2.63</v>
      </c>
      <c r="I4502" s="2" t="str">
        <f t="shared" si="1"/>
        <v>87617 - Law - Corporate Finance</v>
      </c>
      <c r="J4502" s="2">
        <f t="shared" si="2"/>
        <v>418.17</v>
      </c>
      <c r="K4502" s="17">
        <f t="shared" si="3"/>
        <v>1</v>
      </c>
      <c r="L4502" s="18"/>
    </row>
    <row r="4503" hidden="1">
      <c r="A4503" s="2">
        <f>IFERROR(__xludf.DUMMYFUNCTION("""COMPUTED_VALUE"""),118542.0)</f>
        <v>118542</v>
      </c>
      <c r="B4503" s="2">
        <f>IFERROR(__xludf.DUMMYFUNCTION("""COMPUTED_VALUE"""),1.0)</f>
        <v>1</v>
      </c>
      <c r="C4503" s="2">
        <f>IFERROR(__xludf.DUMMYFUNCTION("""COMPUTED_VALUE"""),172.0)</f>
        <v>172</v>
      </c>
      <c r="D4503" s="3">
        <f>IFERROR(__xludf.DUMMYFUNCTION("""COMPUTED_VALUE"""),63.0)</f>
        <v>63</v>
      </c>
      <c r="E4503" s="1" t="str">
        <f t="array" ref="E4503">_xlfn.XLOOKUP(A4503,Product!A:A,Product!B:B,"Bulunamadı")</f>
        <v>Law</v>
      </c>
      <c r="F4503" s="1" t="str">
        <f t="array" ref="F4503">_xlfn.XLOOKUP(A4503,Product!A:A,Product!C:C,"Bulunamadı")</f>
        <v>Corporate Finance</v>
      </c>
      <c r="G4503" s="2" t="str">
        <f t="array" ref="G4503">_xlfn.XLOOKUP(A4504,Product!A:A,Product!D:D,"Bulunamadı")</f>
        <v>Riverpoint House</v>
      </c>
      <c r="H4503" s="2">
        <f t="array" ref="H4503">_xlfn.XLOOKUP(A4505,Product!A:A,Product!E:E,"Bulunamadı")</f>
        <v>2.47</v>
      </c>
      <c r="I4503" s="2" t="str">
        <f t="shared" si="1"/>
        <v>118542 - Law - Corporate Finance</v>
      </c>
      <c r="J4503" s="2">
        <f t="shared" si="2"/>
        <v>155.61</v>
      </c>
      <c r="K4503" s="17">
        <f t="shared" si="3"/>
        <v>1</v>
      </c>
      <c r="L4503" s="18"/>
    </row>
    <row r="4504" hidden="1">
      <c r="A4504" s="2">
        <f>IFERROR(__xludf.DUMMYFUNCTION("""COMPUTED_VALUE"""),122845.0)</f>
        <v>122845</v>
      </c>
      <c r="B4504" s="2">
        <f>IFERROR(__xludf.DUMMYFUNCTION("""COMPUTED_VALUE"""),0.0)</f>
        <v>0</v>
      </c>
      <c r="C4504" s="2">
        <f>IFERROR(__xludf.DUMMYFUNCTION("""COMPUTED_VALUE"""),689.0)</f>
        <v>689</v>
      </c>
      <c r="D4504" s="3">
        <f>IFERROR(__xludf.DUMMYFUNCTION("""COMPUTED_VALUE"""),269.0)</f>
        <v>269</v>
      </c>
      <c r="E4504" s="1" t="str">
        <f t="array" ref="E4504">_xlfn.XLOOKUP(A4504,Product!A:A,Product!B:B,"Bulunamadı")</f>
        <v>Law</v>
      </c>
      <c r="F4504" s="1" t="str">
        <f t="array" ref="F4504">_xlfn.XLOOKUP(A4504,Product!A:A,Product!C:C,"Bulunamadı")</f>
        <v>Corporate Finance</v>
      </c>
      <c r="G4504" s="2" t="str">
        <f t="array" ref="G4504">_xlfn.XLOOKUP(A4505,Product!A:A,Product!D:D,"Bulunamadı")</f>
        <v>Riverpoint House</v>
      </c>
      <c r="H4504" s="2">
        <f t="array" ref="H4504">_xlfn.XLOOKUP(A4506,Product!A:A,Product!E:E,"Bulunamadı")</f>
        <v>1.02</v>
      </c>
      <c r="I4504" s="2" t="str">
        <f t="shared" si="1"/>
        <v>122845 - Law - Corporate Finance</v>
      </c>
      <c r="J4504" s="2">
        <f t="shared" si="2"/>
        <v>274.38</v>
      </c>
      <c r="K4504" s="17">
        <f t="shared" si="3"/>
        <v>1</v>
      </c>
      <c r="L4504" s="18"/>
    </row>
    <row r="4505" hidden="1">
      <c r="A4505" s="2">
        <f>IFERROR(__xludf.DUMMYFUNCTION("""COMPUTED_VALUE"""),114967.0)</f>
        <v>114967</v>
      </c>
      <c r="B4505" s="2">
        <f>IFERROR(__xludf.DUMMYFUNCTION("""COMPUTED_VALUE"""),0.0)</f>
        <v>0</v>
      </c>
      <c r="C4505" s="2">
        <f>IFERROR(__xludf.DUMMYFUNCTION("""COMPUTED_VALUE"""),393.0)</f>
        <v>393</v>
      </c>
      <c r="D4505" s="3">
        <f>IFERROR(__xludf.DUMMYFUNCTION("""COMPUTED_VALUE"""),335.0)</f>
        <v>335</v>
      </c>
      <c r="E4505" s="1" t="str">
        <f t="array" ref="E4505">_xlfn.XLOOKUP(A4505,Product!A:A,Product!B:B,"Bulunamadı")</f>
        <v>Law</v>
      </c>
      <c r="F4505" s="1" t="str">
        <f t="array" ref="F4505">_xlfn.XLOOKUP(A4505,Product!A:A,Product!C:C,"Bulunamadı")</f>
        <v>Corporate Finance</v>
      </c>
      <c r="G4505" s="2" t="str">
        <f t="array" ref="G4505">_xlfn.XLOOKUP(A4506,Product!A:A,Product!D:D,"Bulunamadı")</f>
        <v>Riverpoint House</v>
      </c>
      <c r="H4505" s="2">
        <f t="array" ref="H4505">_xlfn.XLOOKUP(A4507,Product!A:A,Product!E:E,"Bulunamadı")</f>
        <v>3.46</v>
      </c>
      <c r="I4505" s="2" t="str">
        <f t="shared" si="1"/>
        <v>114967 - Law - Corporate Finance</v>
      </c>
      <c r="J4505" s="2">
        <f t="shared" si="2"/>
        <v>1159.1</v>
      </c>
      <c r="K4505" s="17">
        <f t="shared" si="3"/>
        <v>1</v>
      </c>
      <c r="L4505" s="18"/>
    </row>
    <row r="4506" hidden="1">
      <c r="A4506" s="2">
        <f>IFERROR(__xludf.DUMMYFUNCTION("""COMPUTED_VALUE"""),121476.0)</f>
        <v>121476</v>
      </c>
      <c r="B4506" s="2">
        <f>IFERROR(__xludf.DUMMYFUNCTION("""COMPUTED_VALUE"""),1.0)</f>
        <v>1</v>
      </c>
      <c r="C4506" s="2">
        <f>IFERROR(__xludf.DUMMYFUNCTION("""COMPUTED_VALUE"""),876.0)</f>
        <v>876</v>
      </c>
      <c r="D4506" s="3">
        <f>IFERROR(__xludf.DUMMYFUNCTION("""COMPUTED_VALUE"""),364.0)</f>
        <v>364</v>
      </c>
      <c r="E4506" s="1" t="str">
        <f t="array" ref="E4506">_xlfn.XLOOKUP(A4506,Product!A:A,Product!B:B,"Bulunamadı")</f>
        <v>Law</v>
      </c>
      <c r="F4506" s="1" t="str">
        <f t="array" ref="F4506">_xlfn.XLOOKUP(A4506,Product!A:A,Product!C:C,"Bulunamadı")</f>
        <v>Corporate Finance</v>
      </c>
      <c r="G4506" s="2" t="str">
        <f t="array" ref="G4506">_xlfn.XLOOKUP(A4507,Product!A:A,Product!D:D,"Bulunamadı")</f>
        <v>Riverpoint House</v>
      </c>
      <c r="H4506" s="2">
        <f t="array" ref="H4506">_xlfn.XLOOKUP(A4508,Product!A:A,Product!E:E,"Bulunamadı")</f>
        <v>1.5</v>
      </c>
      <c r="I4506" s="2" t="str">
        <f t="shared" si="1"/>
        <v>121476 - Law - Corporate Finance</v>
      </c>
      <c r="J4506" s="2">
        <f t="shared" si="2"/>
        <v>546</v>
      </c>
      <c r="K4506" s="17">
        <f t="shared" si="3"/>
        <v>1</v>
      </c>
      <c r="L4506" s="18"/>
    </row>
    <row r="4507" hidden="1">
      <c r="A4507" s="2">
        <f>IFERROR(__xludf.DUMMYFUNCTION("""COMPUTED_VALUE"""),120529.0)</f>
        <v>120529</v>
      </c>
      <c r="B4507" s="2">
        <f>IFERROR(__xludf.DUMMYFUNCTION("""COMPUTED_VALUE"""),1.0)</f>
        <v>1</v>
      </c>
      <c r="C4507" s="2">
        <f>IFERROR(__xludf.DUMMYFUNCTION("""COMPUTED_VALUE"""),977.0)</f>
        <v>977</v>
      </c>
      <c r="D4507" s="3">
        <f>IFERROR(__xludf.DUMMYFUNCTION("""COMPUTED_VALUE"""),673.0)</f>
        <v>673</v>
      </c>
      <c r="E4507" s="1" t="str">
        <f t="array" ref="E4507">_xlfn.XLOOKUP(A4507,Product!A:A,Product!B:B,"Bulunamadı")</f>
        <v>Law</v>
      </c>
      <c r="F4507" s="1" t="str">
        <f t="array" ref="F4507">_xlfn.XLOOKUP(A4507,Product!A:A,Product!C:C,"Bulunamadı")</f>
        <v>Corporate Finance</v>
      </c>
      <c r="G4507" s="2" t="str">
        <f t="array" ref="G4507">_xlfn.XLOOKUP(A4508,Product!A:A,Product!D:D,"Bulunamadı")</f>
        <v>Riverpoint House</v>
      </c>
      <c r="H4507" s="2">
        <f t="array" ref="H4507">_xlfn.XLOOKUP(A4509,Product!A:A,Product!E:E,"Bulunamadı")</f>
        <v>1.89</v>
      </c>
      <c r="I4507" s="2" t="str">
        <f t="shared" si="1"/>
        <v>120529 - Law - Corporate Finance</v>
      </c>
      <c r="J4507" s="2">
        <f t="shared" si="2"/>
        <v>1271.97</v>
      </c>
      <c r="K4507" s="17">
        <f t="shared" si="3"/>
        <v>1</v>
      </c>
      <c r="L4507" s="18"/>
    </row>
    <row r="4508" hidden="1">
      <c r="A4508" s="2">
        <f>IFERROR(__xludf.DUMMYFUNCTION("""COMPUTED_VALUE"""),120530.0)</f>
        <v>120530</v>
      </c>
      <c r="B4508" s="2">
        <f>IFERROR(__xludf.DUMMYFUNCTION("""COMPUTED_VALUE"""),0.0)</f>
        <v>0</v>
      </c>
      <c r="C4508" s="2">
        <f>IFERROR(__xludf.DUMMYFUNCTION("""COMPUTED_VALUE"""),13.0)</f>
        <v>13</v>
      </c>
      <c r="D4508" s="3">
        <f>IFERROR(__xludf.DUMMYFUNCTION("""COMPUTED_VALUE"""),0.0)</f>
        <v>0</v>
      </c>
      <c r="E4508" s="1" t="str">
        <f t="array" ref="E4508">_xlfn.XLOOKUP(A4508,Product!A:A,Product!B:B,"Bulunamadı")</f>
        <v>Law</v>
      </c>
      <c r="F4508" s="1" t="str">
        <f t="array" ref="F4508">_xlfn.XLOOKUP(A4508,Product!A:A,Product!C:C,"Bulunamadı")</f>
        <v>Corporate Finance</v>
      </c>
      <c r="G4508" s="2" t="str">
        <f t="array" ref="G4508">_xlfn.XLOOKUP(A4509,Product!A:A,Product!D:D,"Bulunamadı")</f>
        <v>Riverpoint House</v>
      </c>
      <c r="H4508" s="2">
        <f t="array" ref="H4508">_xlfn.XLOOKUP(A4510,Product!A:A,Product!E:E,"Bulunamadı")</f>
        <v>1.33</v>
      </c>
      <c r="I4508" s="2" t="str">
        <f t="shared" si="1"/>
        <v>120530 - Law - Corporate Finance</v>
      </c>
      <c r="J4508" s="2">
        <f t="shared" si="2"/>
        <v>0</v>
      </c>
      <c r="K4508" s="17">
        <f t="shared" si="3"/>
        <v>0</v>
      </c>
      <c r="L4508" s="18"/>
    </row>
    <row r="4509" hidden="1">
      <c r="A4509" s="2">
        <f>IFERROR(__xludf.DUMMYFUNCTION("""COMPUTED_VALUE"""),117638.0)</f>
        <v>117638</v>
      </c>
      <c r="B4509" s="2">
        <f>IFERROR(__xludf.DUMMYFUNCTION("""COMPUTED_VALUE"""),0.0)</f>
        <v>0</v>
      </c>
      <c r="C4509" s="2">
        <f>IFERROR(__xludf.DUMMYFUNCTION("""COMPUTED_VALUE"""),297.0)</f>
        <v>297</v>
      </c>
      <c r="D4509" s="3">
        <f>IFERROR(__xludf.DUMMYFUNCTION("""COMPUTED_VALUE"""),146.0)</f>
        <v>146</v>
      </c>
      <c r="E4509" s="1" t="str">
        <f t="array" ref="E4509">_xlfn.XLOOKUP(A4509,Product!A:A,Product!B:B,"Bulunamadı")</f>
        <v>Law</v>
      </c>
      <c r="F4509" s="1" t="str">
        <f t="array" ref="F4509">_xlfn.XLOOKUP(A4509,Product!A:A,Product!C:C,"Bulunamadı")</f>
        <v>Corporate Finance</v>
      </c>
      <c r="G4509" s="2" t="str">
        <f t="array" ref="G4509">_xlfn.XLOOKUP(A4510,Product!A:A,Product!D:D,"Bulunamadı")</f>
        <v>Riverpoint House</v>
      </c>
      <c r="H4509" s="2">
        <f t="array" ref="H4509">_xlfn.XLOOKUP(A4511,Product!A:A,Product!E:E,"Bulunamadı")</f>
        <v>2.98</v>
      </c>
      <c r="I4509" s="2" t="str">
        <f t="shared" si="1"/>
        <v>117638 - Law - Corporate Finance</v>
      </c>
      <c r="J4509" s="2">
        <f t="shared" si="2"/>
        <v>435.08</v>
      </c>
      <c r="K4509" s="17">
        <f t="shared" si="3"/>
        <v>1</v>
      </c>
      <c r="L4509" s="18"/>
    </row>
    <row r="4510" hidden="1">
      <c r="A4510" s="2">
        <f>IFERROR(__xludf.DUMMYFUNCTION("""COMPUTED_VALUE"""),108240.0)</f>
        <v>108240</v>
      </c>
      <c r="B4510" s="2">
        <f>IFERROR(__xludf.DUMMYFUNCTION("""COMPUTED_VALUE"""),0.0)</f>
        <v>0</v>
      </c>
      <c r="C4510" s="2">
        <f>IFERROR(__xludf.DUMMYFUNCTION("""COMPUTED_VALUE"""),381.0)</f>
        <v>381</v>
      </c>
      <c r="D4510" s="3">
        <f>IFERROR(__xludf.DUMMYFUNCTION("""COMPUTED_VALUE"""),209.0)</f>
        <v>209</v>
      </c>
      <c r="E4510" s="1" t="str">
        <f t="array" ref="E4510">_xlfn.XLOOKUP(A4510,Product!A:A,Product!B:B,"Bulunamadı")</f>
        <v>Law</v>
      </c>
      <c r="F4510" s="1" t="str">
        <f t="array" ref="F4510">_xlfn.XLOOKUP(A4510,Product!A:A,Product!C:C,"Bulunamadı")</f>
        <v>Corporate Finance</v>
      </c>
      <c r="G4510" s="2" t="str">
        <f t="array" ref="G4510">_xlfn.XLOOKUP(A4511,Product!A:A,Product!D:D,"Bulunamadı")</f>
        <v>Riverpoint House</v>
      </c>
      <c r="H4510" s="2">
        <f t="array" ref="H4510">_xlfn.XLOOKUP(A4512,Product!A:A,Product!E:E,"Bulunamadı")</f>
        <v>2.38</v>
      </c>
      <c r="I4510" s="2" t="str">
        <f t="shared" si="1"/>
        <v>108240 - Law - Corporate Finance</v>
      </c>
      <c r="J4510" s="2">
        <f t="shared" si="2"/>
        <v>497.42</v>
      </c>
      <c r="K4510" s="17">
        <f t="shared" si="3"/>
        <v>1</v>
      </c>
      <c r="L4510" s="18"/>
    </row>
    <row r="4511" hidden="1">
      <c r="A4511" s="2">
        <f>IFERROR(__xludf.DUMMYFUNCTION("""COMPUTED_VALUE"""),88635.0)</f>
        <v>88635</v>
      </c>
      <c r="B4511" s="2">
        <f>IFERROR(__xludf.DUMMYFUNCTION("""COMPUTED_VALUE"""),0.0)</f>
        <v>0</v>
      </c>
      <c r="C4511" s="2">
        <f>IFERROR(__xludf.DUMMYFUNCTION("""COMPUTED_VALUE"""),467.0)</f>
        <v>467</v>
      </c>
      <c r="D4511" s="3">
        <f>IFERROR(__xludf.DUMMYFUNCTION("""COMPUTED_VALUE"""),120.0)</f>
        <v>120</v>
      </c>
      <c r="E4511" s="1" t="str">
        <f t="array" ref="E4511">_xlfn.XLOOKUP(A4511,Product!A:A,Product!B:B,"Bulunamadı")</f>
        <v>Law</v>
      </c>
      <c r="F4511" s="1" t="str">
        <f t="array" ref="F4511">_xlfn.XLOOKUP(A4511,Product!A:A,Product!C:C,"Bulunamadı")</f>
        <v>Corporate Finance</v>
      </c>
      <c r="G4511" s="2" t="str">
        <f t="array" ref="G4511">_xlfn.XLOOKUP(A4512,Product!A:A,Product!D:D,"Bulunamadı")</f>
        <v>Riverpoint House</v>
      </c>
      <c r="H4511" s="2">
        <f t="array" ref="H4511">_xlfn.XLOOKUP(A4513,Product!A:A,Product!E:E,"Bulunamadı")</f>
        <v>2.38</v>
      </c>
      <c r="I4511" s="2" t="str">
        <f t="shared" si="1"/>
        <v>88635 - Law - Corporate Finance</v>
      </c>
      <c r="J4511" s="2">
        <f t="shared" si="2"/>
        <v>285.6</v>
      </c>
      <c r="K4511" s="17">
        <f t="shared" si="3"/>
        <v>1</v>
      </c>
      <c r="L4511" s="18"/>
    </row>
    <row r="4512" hidden="1">
      <c r="A4512" s="2">
        <f>IFERROR(__xludf.DUMMYFUNCTION("""COMPUTED_VALUE"""),69340.0)</f>
        <v>69340</v>
      </c>
      <c r="B4512" s="2">
        <f>IFERROR(__xludf.DUMMYFUNCTION("""COMPUTED_VALUE"""),0.0)</f>
        <v>0</v>
      </c>
      <c r="C4512" s="2">
        <f>IFERROR(__xludf.DUMMYFUNCTION("""COMPUTED_VALUE"""),573.0)</f>
        <v>573</v>
      </c>
      <c r="D4512" s="3">
        <f>IFERROR(__xludf.DUMMYFUNCTION("""COMPUTED_VALUE"""),292.0)</f>
        <v>292</v>
      </c>
      <c r="E4512" s="1" t="str">
        <f t="array" ref="E4512">_xlfn.XLOOKUP(A4512,Product!A:A,Product!B:B,"Bulunamadı")</f>
        <v>Law</v>
      </c>
      <c r="F4512" s="1" t="str">
        <f t="array" ref="F4512">_xlfn.XLOOKUP(A4512,Product!A:A,Product!C:C,"Bulunamadı")</f>
        <v>Corporate Finance</v>
      </c>
      <c r="G4512" s="2" t="str">
        <f t="array" ref="G4512">_xlfn.XLOOKUP(A4513,Product!A:A,Product!D:D,"Bulunamadı")</f>
        <v>Riverpoint House</v>
      </c>
      <c r="H4512" s="2">
        <f t="array" ref="H4512">_xlfn.XLOOKUP(A4514,Product!A:A,Product!E:E,"Bulunamadı")</f>
        <v>1.24</v>
      </c>
      <c r="I4512" s="2" t="str">
        <f t="shared" si="1"/>
        <v>69340 - Law - Corporate Finance</v>
      </c>
      <c r="J4512" s="2">
        <f t="shared" si="2"/>
        <v>362.08</v>
      </c>
      <c r="K4512" s="17">
        <f t="shared" si="3"/>
        <v>1</v>
      </c>
      <c r="L4512" s="18"/>
    </row>
    <row r="4513" hidden="1">
      <c r="A4513" s="2">
        <f>IFERROR(__xludf.DUMMYFUNCTION("""COMPUTED_VALUE"""),199472.0)</f>
        <v>199472</v>
      </c>
      <c r="B4513" s="2">
        <f>IFERROR(__xludf.DUMMYFUNCTION("""COMPUTED_VALUE"""),0.0)</f>
        <v>0</v>
      </c>
      <c r="C4513" s="2">
        <f>IFERROR(__xludf.DUMMYFUNCTION("""COMPUTED_VALUE"""),648.0)</f>
        <v>648</v>
      </c>
      <c r="D4513" s="3">
        <f>IFERROR(__xludf.DUMMYFUNCTION("""COMPUTED_VALUE"""),47.0)</f>
        <v>47</v>
      </c>
      <c r="E4513" s="1" t="str">
        <f t="array" ref="E4513">_xlfn.XLOOKUP(A4513,Product!A:A,Product!B:B,"Bulunamadı")</f>
        <v>Law</v>
      </c>
      <c r="F4513" s="1" t="str">
        <f t="array" ref="F4513">_xlfn.XLOOKUP(A4513,Product!A:A,Product!C:C,"Bulunamadı")</f>
        <v>Corporate Finance</v>
      </c>
      <c r="G4513" s="2" t="str">
        <f t="array" ref="G4513">_xlfn.XLOOKUP(A4514,Product!A:A,Product!D:D,"Bulunamadı")</f>
        <v>Riverpoint House</v>
      </c>
      <c r="H4513" s="2">
        <f t="array" ref="H4513">_xlfn.XLOOKUP(A4515,Product!A:A,Product!E:E,"Bulunamadı")</f>
        <v>1.63</v>
      </c>
      <c r="I4513" s="2" t="str">
        <f t="shared" si="1"/>
        <v>199472 - Law - Corporate Finance</v>
      </c>
      <c r="J4513" s="2">
        <f t="shared" si="2"/>
        <v>76.61</v>
      </c>
      <c r="K4513" s="17">
        <f t="shared" si="3"/>
        <v>1</v>
      </c>
      <c r="L4513" s="18"/>
    </row>
    <row r="4514" hidden="1">
      <c r="A4514" s="2">
        <f>IFERROR(__xludf.DUMMYFUNCTION("""COMPUTED_VALUE"""),117646.0)</f>
        <v>117646</v>
      </c>
      <c r="B4514" s="2">
        <f>IFERROR(__xludf.DUMMYFUNCTION("""COMPUTED_VALUE"""),0.0)</f>
        <v>0</v>
      </c>
      <c r="C4514" s="2">
        <f>IFERROR(__xludf.DUMMYFUNCTION("""COMPUTED_VALUE"""),184.0)</f>
        <v>184</v>
      </c>
      <c r="D4514" s="3">
        <f>IFERROR(__xludf.DUMMYFUNCTION("""COMPUTED_VALUE"""),153.0)</f>
        <v>153</v>
      </c>
      <c r="E4514" s="1" t="str">
        <f t="array" ref="E4514">_xlfn.XLOOKUP(A4514,Product!A:A,Product!B:B,"Bulunamadı")</f>
        <v>Law</v>
      </c>
      <c r="F4514" s="1" t="str">
        <f t="array" ref="F4514">_xlfn.XLOOKUP(A4514,Product!A:A,Product!C:C,"Bulunamadı")</f>
        <v>Corporate Finance</v>
      </c>
      <c r="G4514" s="2" t="str">
        <f t="array" ref="G4514">_xlfn.XLOOKUP(A4515,Product!A:A,Product!D:D,"Bulunamadı")</f>
        <v>Riverpoint House</v>
      </c>
      <c r="H4514" s="2">
        <f t="array" ref="H4514">_xlfn.XLOOKUP(A4516,Product!A:A,Product!E:E,"Bulunamadı")</f>
        <v>2.35</v>
      </c>
      <c r="I4514" s="2" t="str">
        <f t="shared" si="1"/>
        <v>117646 - Law - Corporate Finance</v>
      </c>
      <c r="J4514" s="2">
        <f t="shared" si="2"/>
        <v>359.55</v>
      </c>
      <c r="K4514" s="17">
        <f t="shared" si="3"/>
        <v>1</v>
      </c>
      <c r="L4514" s="18"/>
    </row>
    <row r="4515" hidden="1">
      <c r="A4515" s="2">
        <f>IFERROR(__xludf.DUMMYFUNCTION("""COMPUTED_VALUE"""),84167.0)</f>
        <v>84167</v>
      </c>
      <c r="B4515" s="2">
        <f>IFERROR(__xludf.DUMMYFUNCTION("""COMPUTED_VALUE"""),1.0)</f>
        <v>1</v>
      </c>
      <c r="C4515" s="2">
        <f>IFERROR(__xludf.DUMMYFUNCTION("""COMPUTED_VALUE"""),367.0)</f>
        <v>367</v>
      </c>
      <c r="D4515" s="3">
        <f>IFERROR(__xludf.DUMMYFUNCTION("""COMPUTED_VALUE"""),191.0)</f>
        <v>191</v>
      </c>
      <c r="E4515" s="1" t="str">
        <f t="array" ref="E4515">_xlfn.XLOOKUP(A4515,Product!A:A,Product!B:B,"Bulunamadı")</f>
        <v>Law</v>
      </c>
      <c r="F4515" s="1" t="str">
        <f t="array" ref="F4515">_xlfn.XLOOKUP(A4515,Product!A:A,Product!C:C,"Bulunamadı")</f>
        <v>Corporate Finance</v>
      </c>
      <c r="G4515" s="2" t="str">
        <f t="array" ref="G4515">_xlfn.XLOOKUP(A4516,Product!A:A,Product!D:D,"Bulunamadı")</f>
        <v>Riverpoint House</v>
      </c>
      <c r="H4515" s="2">
        <f t="array" ref="H4515">_xlfn.XLOOKUP(A4517,Product!A:A,Product!E:E,"Bulunamadı")</f>
        <v>0.94</v>
      </c>
      <c r="I4515" s="2" t="str">
        <f t="shared" si="1"/>
        <v>84167 - Law - Corporate Finance</v>
      </c>
      <c r="J4515" s="2">
        <f t="shared" si="2"/>
        <v>179.54</v>
      </c>
      <c r="K4515" s="17">
        <f t="shared" si="3"/>
        <v>1</v>
      </c>
      <c r="L4515" s="18"/>
    </row>
    <row r="4516" hidden="1">
      <c r="A4516" s="2">
        <f>IFERROR(__xludf.DUMMYFUNCTION("""COMPUTED_VALUE"""),81742.0)</f>
        <v>81742</v>
      </c>
      <c r="B4516" s="2">
        <f>IFERROR(__xludf.DUMMYFUNCTION("""COMPUTED_VALUE"""),0.0)</f>
        <v>0</v>
      </c>
      <c r="C4516" s="2">
        <f>IFERROR(__xludf.DUMMYFUNCTION("""COMPUTED_VALUE"""),382.0)</f>
        <v>382</v>
      </c>
      <c r="D4516" s="3">
        <f>IFERROR(__xludf.DUMMYFUNCTION("""COMPUTED_VALUE"""),300.0)</f>
        <v>300</v>
      </c>
      <c r="E4516" s="1" t="str">
        <f t="array" ref="E4516">_xlfn.XLOOKUP(A4516,Product!A:A,Product!B:B,"Bulunamadı")</f>
        <v>Law</v>
      </c>
      <c r="F4516" s="1" t="str">
        <f t="array" ref="F4516">_xlfn.XLOOKUP(A4516,Product!A:A,Product!C:C,"Bulunamadı")</f>
        <v>Corporate Finance</v>
      </c>
      <c r="G4516" s="2" t="str">
        <f t="array" ref="G4516">_xlfn.XLOOKUP(A4517,Product!A:A,Product!D:D,"Bulunamadı")</f>
        <v>Riverpoint House</v>
      </c>
      <c r="H4516" s="2">
        <f t="array" ref="H4516">_xlfn.XLOOKUP(A4518,Product!A:A,Product!E:E,"Bulunamadı")</f>
        <v>2.94</v>
      </c>
      <c r="I4516" s="2" t="str">
        <f t="shared" si="1"/>
        <v>81742 - Law - Corporate Finance</v>
      </c>
      <c r="J4516" s="2">
        <f t="shared" si="2"/>
        <v>882</v>
      </c>
      <c r="K4516" s="17">
        <f t="shared" si="3"/>
        <v>1</v>
      </c>
      <c r="L4516" s="18"/>
    </row>
    <row r="4517" hidden="1">
      <c r="A4517" s="2">
        <f>IFERROR(__xludf.DUMMYFUNCTION("""COMPUTED_VALUE"""),115754.0)</f>
        <v>115754</v>
      </c>
      <c r="B4517" s="2">
        <f>IFERROR(__xludf.DUMMYFUNCTION("""COMPUTED_VALUE"""),0.0)</f>
        <v>0</v>
      </c>
      <c r="C4517" s="2">
        <f>IFERROR(__xludf.DUMMYFUNCTION("""COMPUTED_VALUE"""),120.0)</f>
        <v>120</v>
      </c>
      <c r="D4517" s="3">
        <f>IFERROR(__xludf.DUMMYFUNCTION("""COMPUTED_VALUE"""),102.0)</f>
        <v>102</v>
      </c>
      <c r="E4517" s="1" t="str">
        <f t="array" ref="E4517">_xlfn.XLOOKUP(A4517,Product!A:A,Product!B:B,"Bulunamadı")</f>
        <v>Law</v>
      </c>
      <c r="F4517" s="1" t="str">
        <f t="array" ref="F4517">_xlfn.XLOOKUP(A4517,Product!A:A,Product!C:C,"Bulunamadı")</f>
        <v>Corporate Finance</v>
      </c>
      <c r="G4517" s="2" t="str">
        <f t="array" ref="G4517">_xlfn.XLOOKUP(A4518,Product!A:A,Product!D:D,"Bulunamadı")</f>
        <v>Riverpoint House</v>
      </c>
      <c r="H4517" s="2">
        <f t="array" ref="H4517">_xlfn.XLOOKUP(A4519,Product!A:A,Product!E:E,"Bulunamadı")</f>
        <v>1.37</v>
      </c>
      <c r="I4517" s="2" t="str">
        <f t="shared" si="1"/>
        <v>115754 - Law - Corporate Finance</v>
      </c>
      <c r="J4517" s="2">
        <f t="shared" si="2"/>
        <v>139.74</v>
      </c>
      <c r="K4517" s="17">
        <f t="shared" si="3"/>
        <v>1</v>
      </c>
      <c r="L4517" s="18"/>
    </row>
    <row r="4518" hidden="1">
      <c r="A4518" s="2">
        <f>IFERROR(__xludf.DUMMYFUNCTION("""COMPUTED_VALUE"""),69334.0)</f>
        <v>69334</v>
      </c>
      <c r="B4518" s="2">
        <f>IFERROR(__xludf.DUMMYFUNCTION("""COMPUTED_VALUE"""),0.0)</f>
        <v>0</v>
      </c>
      <c r="C4518" s="2">
        <f>IFERROR(__xludf.DUMMYFUNCTION("""COMPUTED_VALUE"""),524.0)</f>
        <v>524</v>
      </c>
      <c r="D4518" s="3">
        <f>IFERROR(__xludf.DUMMYFUNCTION("""COMPUTED_VALUE"""),307.0)</f>
        <v>307</v>
      </c>
      <c r="E4518" s="1" t="str">
        <f t="array" ref="E4518">_xlfn.XLOOKUP(A4518,Product!A:A,Product!B:B,"Bulunamadı")</f>
        <v>Law</v>
      </c>
      <c r="F4518" s="1" t="str">
        <f t="array" ref="F4518">_xlfn.XLOOKUP(A4518,Product!A:A,Product!C:C,"Bulunamadı")</f>
        <v>Corporate Finance</v>
      </c>
      <c r="G4518" s="2" t="str">
        <f t="array" ref="G4518">_xlfn.XLOOKUP(A4519,Product!A:A,Product!D:D,"Bulunamadı")</f>
        <v>Riverpoint House</v>
      </c>
      <c r="H4518" s="2">
        <f t="array" ref="H4518">_xlfn.XLOOKUP(A4520,Product!A:A,Product!E:E,"Bulunamadı")</f>
        <v>0.56</v>
      </c>
      <c r="I4518" s="2" t="str">
        <f t="shared" si="1"/>
        <v>69334 - Law - Corporate Finance</v>
      </c>
      <c r="J4518" s="2">
        <f t="shared" si="2"/>
        <v>171.92</v>
      </c>
      <c r="K4518" s="17">
        <f t="shared" si="3"/>
        <v>1</v>
      </c>
      <c r="L4518" s="18"/>
    </row>
    <row r="4519" hidden="1">
      <c r="A4519" s="2">
        <f>IFERROR(__xludf.DUMMYFUNCTION("""COMPUTED_VALUE"""),117753.0)</f>
        <v>117753</v>
      </c>
      <c r="B4519" s="2">
        <f>IFERROR(__xludf.DUMMYFUNCTION("""COMPUTED_VALUE"""),0.0)</f>
        <v>0</v>
      </c>
      <c r="C4519" s="2">
        <f>IFERROR(__xludf.DUMMYFUNCTION("""COMPUTED_VALUE"""),492.0)</f>
        <v>492</v>
      </c>
      <c r="D4519" s="3">
        <f>IFERROR(__xludf.DUMMYFUNCTION("""COMPUTED_VALUE"""),199.0)</f>
        <v>199</v>
      </c>
      <c r="E4519" s="1" t="str">
        <f t="array" ref="E4519">_xlfn.XLOOKUP(A4519,Product!A:A,Product!B:B,"Bulunamadı")</f>
        <v>Law</v>
      </c>
      <c r="F4519" s="1" t="str">
        <f t="array" ref="F4519">_xlfn.XLOOKUP(A4519,Product!A:A,Product!C:C,"Bulunamadı")</f>
        <v>Corporate Finance</v>
      </c>
      <c r="G4519" s="2" t="str">
        <f t="array" ref="G4519">_xlfn.XLOOKUP(A4520,Product!A:A,Product!D:D,"Bulunamadı")</f>
        <v>Riverpoint House</v>
      </c>
      <c r="H4519" s="2">
        <f t="array" ref="H4519">_xlfn.XLOOKUP(A4521,Product!A:A,Product!E:E,"Bulunamadı")</f>
        <v>1.05</v>
      </c>
      <c r="I4519" s="2" t="str">
        <f t="shared" si="1"/>
        <v>117753 - Law - Corporate Finance</v>
      </c>
      <c r="J4519" s="2">
        <f t="shared" si="2"/>
        <v>208.95</v>
      </c>
      <c r="K4519" s="17">
        <f t="shared" si="3"/>
        <v>1</v>
      </c>
      <c r="L4519" s="18"/>
    </row>
    <row r="4520" hidden="1">
      <c r="A4520" s="2">
        <f>IFERROR(__xludf.DUMMYFUNCTION("""COMPUTED_VALUE"""),129482.0)</f>
        <v>129482</v>
      </c>
      <c r="B4520" s="2">
        <f>IFERROR(__xludf.DUMMYFUNCTION("""COMPUTED_VALUE"""),0.0)</f>
        <v>0</v>
      </c>
      <c r="C4520" s="2">
        <f>IFERROR(__xludf.DUMMYFUNCTION("""COMPUTED_VALUE"""),556.0)</f>
        <v>556</v>
      </c>
      <c r="D4520" s="3">
        <f>IFERROR(__xludf.DUMMYFUNCTION("""COMPUTED_VALUE"""),213.0)</f>
        <v>213</v>
      </c>
      <c r="E4520" s="1" t="str">
        <f t="array" ref="E4520">_xlfn.XLOOKUP(A4520,Product!A:A,Product!B:B,"Bulunamadı")</f>
        <v>Law</v>
      </c>
      <c r="F4520" s="1" t="str">
        <f t="array" ref="F4520">_xlfn.XLOOKUP(A4520,Product!A:A,Product!C:C,"Bulunamadı")</f>
        <v>Corporate Finance</v>
      </c>
      <c r="G4520" s="2" t="str">
        <f t="array" ref="G4520">_xlfn.XLOOKUP(A4521,Product!A:A,Product!D:D,"Bulunamadı")</f>
        <v>Riverpoint House</v>
      </c>
      <c r="H4520" s="2">
        <f t="array" ref="H4520">_xlfn.XLOOKUP(A4522,Product!A:A,Product!E:E,"Bulunamadı")</f>
        <v>1.87</v>
      </c>
      <c r="I4520" s="2" t="str">
        <f t="shared" si="1"/>
        <v>129482 - Law - Corporate Finance</v>
      </c>
      <c r="J4520" s="2">
        <f t="shared" si="2"/>
        <v>398.31</v>
      </c>
      <c r="K4520" s="17">
        <f t="shared" si="3"/>
        <v>1</v>
      </c>
      <c r="L4520" s="18"/>
    </row>
    <row r="4521" hidden="1">
      <c r="A4521" s="2">
        <f>IFERROR(__xludf.DUMMYFUNCTION("""COMPUTED_VALUE"""),117634.0)</f>
        <v>117634</v>
      </c>
      <c r="B4521" s="2">
        <f>IFERROR(__xludf.DUMMYFUNCTION("""COMPUTED_VALUE"""),1.0)</f>
        <v>1</v>
      </c>
      <c r="C4521" s="2">
        <f>IFERROR(__xludf.DUMMYFUNCTION("""COMPUTED_VALUE"""),530.0)</f>
        <v>530</v>
      </c>
      <c r="D4521" s="3">
        <f>IFERROR(__xludf.DUMMYFUNCTION("""COMPUTED_VALUE"""),354.0)</f>
        <v>354</v>
      </c>
      <c r="E4521" s="1" t="str">
        <f t="array" ref="E4521">_xlfn.XLOOKUP(A4521,Product!A:A,Product!B:B,"Bulunamadı")</f>
        <v>Law</v>
      </c>
      <c r="F4521" s="1" t="str">
        <f t="array" ref="F4521">_xlfn.XLOOKUP(A4521,Product!A:A,Product!C:C,"Bulunamadı")</f>
        <v>Corporate Finance</v>
      </c>
      <c r="G4521" s="2" t="str">
        <f t="array" ref="G4521">_xlfn.XLOOKUP(A4522,Product!A:A,Product!D:D,"Bulunamadı")</f>
        <v>Riverpoint House</v>
      </c>
      <c r="H4521" s="2">
        <f t="array" ref="H4521">_xlfn.XLOOKUP(A4523,Product!A:A,Product!E:E,"Bulunamadı")</f>
        <v>1.63</v>
      </c>
      <c r="I4521" s="2" t="str">
        <f t="shared" si="1"/>
        <v>117634 - Law - Corporate Finance</v>
      </c>
      <c r="J4521" s="2">
        <f t="shared" si="2"/>
        <v>577.02</v>
      </c>
      <c r="K4521" s="17">
        <f t="shared" si="3"/>
        <v>1</v>
      </c>
      <c r="L4521" s="18"/>
    </row>
    <row r="4522" hidden="1">
      <c r="A4522" s="2">
        <f>IFERROR(__xludf.DUMMYFUNCTION("""COMPUTED_VALUE"""),111027.0)</f>
        <v>111027</v>
      </c>
      <c r="B4522" s="2">
        <f>IFERROR(__xludf.DUMMYFUNCTION("""COMPUTED_VALUE"""),0.0)</f>
        <v>0</v>
      </c>
      <c r="C4522" s="2">
        <f>IFERROR(__xludf.DUMMYFUNCTION("""COMPUTED_VALUE"""),773.0)</f>
        <v>773</v>
      </c>
      <c r="D4522" s="3">
        <f>IFERROR(__xludf.DUMMYFUNCTION("""COMPUTED_VALUE"""),130.0)</f>
        <v>130</v>
      </c>
      <c r="E4522" s="1" t="str">
        <f t="array" ref="E4522">_xlfn.XLOOKUP(A4522,Product!A:A,Product!B:B,"Bulunamadı")</f>
        <v>Law</v>
      </c>
      <c r="F4522" s="1" t="str">
        <f t="array" ref="F4522">_xlfn.XLOOKUP(A4522,Product!A:A,Product!C:C,"Bulunamadı")</f>
        <v>Corporate Finance</v>
      </c>
      <c r="G4522" s="2" t="str">
        <f t="array" ref="G4522">_xlfn.XLOOKUP(A4523,Product!A:A,Product!D:D,"Bulunamadı")</f>
        <v>Riverpoint House</v>
      </c>
      <c r="H4522" s="2">
        <f t="array" ref="H4522">_xlfn.XLOOKUP(A4524,Product!A:A,Product!E:E,"Bulunamadı")</f>
        <v>0.97</v>
      </c>
      <c r="I4522" s="2" t="str">
        <f t="shared" si="1"/>
        <v>111027 - Law - Corporate Finance</v>
      </c>
      <c r="J4522" s="2">
        <f t="shared" si="2"/>
        <v>126.1</v>
      </c>
      <c r="K4522" s="17">
        <f t="shared" si="3"/>
        <v>1</v>
      </c>
      <c r="L4522" s="18"/>
    </row>
    <row r="4523" hidden="1">
      <c r="A4523" s="2">
        <f>IFERROR(__xludf.DUMMYFUNCTION("""COMPUTED_VALUE"""),115772.0)</f>
        <v>115772</v>
      </c>
      <c r="B4523" s="2">
        <f>IFERROR(__xludf.DUMMYFUNCTION("""COMPUTED_VALUE"""),0.0)</f>
        <v>0</v>
      </c>
      <c r="C4523" s="2">
        <f>IFERROR(__xludf.DUMMYFUNCTION("""COMPUTED_VALUE"""),63.0)</f>
        <v>63</v>
      </c>
      <c r="D4523" s="3">
        <f>IFERROR(__xludf.DUMMYFUNCTION("""COMPUTED_VALUE"""),12.0)</f>
        <v>12</v>
      </c>
      <c r="E4523" s="1" t="str">
        <f t="array" ref="E4523">_xlfn.XLOOKUP(A4523,Product!A:A,Product!B:B,"Bulunamadı")</f>
        <v>Law</v>
      </c>
      <c r="F4523" s="1" t="str">
        <f t="array" ref="F4523">_xlfn.XLOOKUP(A4523,Product!A:A,Product!C:C,"Bulunamadı")</f>
        <v>Corporate Finance</v>
      </c>
      <c r="G4523" s="2" t="str">
        <f t="array" ref="G4523">_xlfn.XLOOKUP(A4524,Product!A:A,Product!D:D,"Bulunamadı")</f>
        <v>Riverpoint House</v>
      </c>
      <c r="H4523" s="2">
        <f t="array" ref="H4523">_xlfn.XLOOKUP(A4525,Product!A:A,Product!E:E,"Bulunamadı")</f>
        <v>1.51</v>
      </c>
      <c r="I4523" s="2" t="str">
        <f t="shared" si="1"/>
        <v>115772 - Law - Corporate Finance</v>
      </c>
      <c r="J4523" s="2">
        <f t="shared" si="2"/>
        <v>18.12</v>
      </c>
      <c r="K4523" s="17">
        <f t="shared" si="3"/>
        <v>1</v>
      </c>
      <c r="L4523" s="18"/>
    </row>
    <row r="4524" hidden="1">
      <c r="A4524" s="2">
        <f>IFERROR(__xludf.DUMMYFUNCTION("""COMPUTED_VALUE"""),115768.0)</f>
        <v>115768</v>
      </c>
      <c r="B4524" s="2">
        <f>IFERROR(__xludf.DUMMYFUNCTION("""COMPUTED_VALUE"""),0.0)</f>
        <v>0</v>
      </c>
      <c r="C4524" s="2">
        <f>IFERROR(__xludf.DUMMYFUNCTION("""COMPUTED_VALUE"""),434.0)</f>
        <v>434</v>
      </c>
      <c r="D4524" s="3">
        <f>IFERROR(__xludf.DUMMYFUNCTION("""COMPUTED_VALUE"""),85.0)</f>
        <v>85</v>
      </c>
      <c r="E4524" s="1" t="str">
        <f t="array" ref="E4524">_xlfn.XLOOKUP(A4524,Product!A:A,Product!B:B,"Bulunamadı")</f>
        <v>Law</v>
      </c>
      <c r="F4524" s="1" t="str">
        <f t="array" ref="F4524">_xlfn.XLOOKUP(A4524,Product!A:A,Product!C:C,"Bulunamadı")</f>
        <v>Corporate Finance</v>
      </c>
      <c r="G4524" s="2" t="str">
        <f t="array" ref="G4524">_xlfn.XLOOKUP(A4525,Product!A:A,Product!D:D,"Bulunamadı")</f>
        <v>Riverpoint House</v>
      </c>
      <c r="H4524" s="2">
        <f t="array" ref="H4524">_xlfn.XLOOKUP(A4526,Product!A:A,Product!E:E,"Bulunamadı")</f>
        <v>1.52</v>
      </c>
      <c r="I4524" s="2" t="str">
        <f t="shared" si="1"/>
        <v>115768 - Law - Corporate Finance</v>
      </c>
      <c r="J4524" s="2">
        <f t="shared" si="2"/>
        <v>129.2</v>
      </c>
      <c r="K4524" s="17">
        <f t="shared" si="3"/>
        <v>1</v>
      </c>
      <c r="L4524" s="18"/>
    </row>
    <row r="4525" hidden="1">
      <c r="A4525" s="2">
        <f>IFERROR(__xludf.DUMMYFUNCTION("""COMPUTED_VALUE"""),69476.0)</f>
        <v>69476</v>
      </c>
      <c r="B4525" s="2">
        <f>IFERROR(__xludf.DUMMYFUNCTION("""COMPUTED_VALUE"""),1.0)</f>
        <v>1</v>
      </c>
      <c r="C4525" s="2">
        <f>IFERROR(__xludf.DUMMYFUNCTION("""COMPUTED_VALUE"""),250.0)</f>
        <v>250</v>
      </c>
      <c r="D4525" s="3">
        <f>IFERROR(__xludf.DUMMYFUNCTION("""COMPUTED_VALUE"""),129.0)</f>
        <v>129</v>
      </c>
      <c r="E4525" s="1" t="str">
        <f t="array" ref="E4525">_xlfn.XLOOKUP(A4525,Product!A:A,Product!B:B,"Bulunamadı")</f>
        <v>Law</v>
      </c>
      <c r="F4525" s="1" t="str">
        <f t="array" ref="F4525">_xlfn.XLOOKUP(A4525,Product!A:A,Product!C:C,"Bulunamadı")</f>
        <v>Corporate Finance</v>
      </c>
      <c r="G4525" s="2" t="str">
        <f t="array" ref="G4525">_xlfn.XLOOKUP(A4526,Product!A:A,Product!D:D,"Bulunamadı")</f>
        <v>Riverpoint House</v>
      </c>
      <c r="H4525" s="2">
        <f t="array" ref="H4525">_xlfn.XLOOKUP(A4527,Product!A:A,Product!E:E,"Bulunamadı")</f>
        <v>0.57</v>
      </c>
      <c r="I4525" s="2" t="str">
        <f t="shared" si="1"/>
        <v>69476 - Law - Corporate Finance</v>
      </c>
      <c r="J4525" s="2">
        <f t="shared" si="2"/>
        <v>73.53</v>
      </c>
      <c r="K4525" s="17">
        <f t="shared" si="3"/>
        <v>1</v>
      </c>
      <c r="L4525" s="18"/>
    </row>
    <row r="4526" hidden="1">
      <c r="A4526" s="2">
        <f>IFERROR(__xludf.DUMMYFUNCTION("""COMPUTED_VALUE"""),122118.0)</f>
        <v>122118</v>
      </c>
      <c r="B4526" s="2">
        <f>IFERROR(__xludf.DUMMYFUNCTION("""COMPUTED_VALUE"""),0.0)</f>
        <v>0</v>
      </c>
      <c r="C4526" s="2">
        <f>IFERROR(__xludf.DUMMYFUNCTION("""COMPUTED_VALUE"""),452.0)</f>
        <v>452</v>
      </c>
      <c r="D4526" s="3">
        <f>IFERROR(__xludf.DUMMYFUNCTION("""COMPUTED_VALUE"""),302.0)</f>
        <v>302</v>
      </c>
      <c r="E4526" s="1" t="str">
        <f t="array" ref="E4526">_xlfn.XLOOKUP(A4526,Product!A:A,Product!B:B,"Bulunamadı")</f>
        <v>Law</v>
      </c>
      <c r="F4526" s="1" t="str">
        <f t="array" ref="F4526">_xlfn.XLOOKUP(A4526,Product!A:A,Product!C:C,"Bulunamadı")</f>
        <v>Corporate Finance</v>
      </c>
      <c r="G4526" s="2" t="str">
        <f t="array" ref="G4526">_xlfn.XLOOKUP(A4527,Product!A:A,Product!D:D,"Bulunamadı")</f>
        <v>Riverpoint House</v>
      </c>
      <c r="H4526" s="2">
        <f t="array" ref="H4526">_xlfn.XLOOKUP(A4528,Product!A:A,Product!E:E,"Bulunamadı")</f>
        <v>0.71</v>
      </c>
      <c r="I4526" s="2" t="str">
        <f t="shared" si="1"/>
        <v>122118 - Law - Corporate Finance</v>
      </c>
      <c r="J4526" s="2">
        <f t="shared" si="2"/>
        <v>214.42</v>
      </c>
      <c r="K4526" s="17">
        <f t="shared" si="3"/>
        <v>1</v>
      </c>
      <c r="L4526" s="18"/>
    </row>
    <row r="4527" hidden="1">
      <c r="A4527" s="2">
        <f>IFERROR(__xludf.DUMMYFUNCTION("""COMPUTED_VALUE"""),87447.0)</f>
        <v>87447</v>
      </c>
      <c r="B4527" s="2">
        <f>IFERROR(__xludf.DUMMYFUNCTION("""COMPUTED_VALUE"""),1.0)</f>
        <v>1</v>
      </c>
      <c r="C4527" s="2">
        <f>IFERROR(__xludf.DUMMYFUNCTION("""COMPUTED_VALUE"""),927.0)</f>
        <v>927</v>
      </c>
      <c r="D4527" s="3">
        <f>IFERROR(__xludf.DUMMYFUNCTION("""COMPUTED_VALUE"""),200.0)</f>
        <v>200</v>
      </c>
      <c r="E4527" s="1" t="str">
        <f t="array" ref="E4527">_xlfn.XLOOKUP(A4527,Product!A:A,Product!B:B,"Bulunamadı")</f>
        <v>Law</v>
      </c>
      <c r="F4527" s="1" t="str">
        <f t="array" ref="F4527">_xlfn.XLOOKUP(A4527,Product!A:A,Product!C:C,"Bulunamadı")</f>
        <v>Corporate Finance</v>
      </c>
      <c r="G4527" s="2" t="str">
        <f t="array" ref="G4527">_xlfn.XLOOKUP(A4528,Product!A:A,Product!D:D,"Bulunamadı")</f>
        <v>Riverpoint House</v>
      </c>
      <c r="H4527" s="2">
        <f t="array" ref="H4527">_xlfn.XLOOKUP(A4529,Product!A:A,Product!E:E,"Bulunamadı")</f>
        <v>1.61</v>
      </c>
      <c r="I4527" s="2" t="str">
        <f t="shared" si="1"/>
        <v>87447 - Law - Corporate Finance</v>
      </c>
      <c r="J4527" s="2">
        <f t="shared" si="2"/>
        <v>322</v>
      </c>
      <c r="K4527" s="17">
        <f t="shared" si="3"/>
        <v>1</v>
      </c>
      <c r="L4527" s="18"/>
    </row>
    <row r="4528" hidden="1">
      <c r="A4528" s="2">
        <f>IFERROR(__xludf.DUMMYFUNCTION("""COMPUTED_VALUE"""),129480.0)</f>
        <v>129480</v>
      </c>
      <c r="B4528" s="2">
        <f>IFERROR(__xludf.DUMMYFUNCTION("""COMPUTED_VALUE"""),1.0)</f>
        <v>1</v>
      </c>
      <c r="C4528" s="2">
        <f>IFERROR(__xludf.DUMMYFUNCTION("""COMPUTED_VALUE"""),389.0)</f>
        <v>389</v>
      </c>
      <c r="D4528" s="3">
        <f>IFERROR(__xludf.DUMMYFUNCTION("""COMPUTED_VALUE"""),179.0)</f>
        <v>179</v>
      </c>
      <c r="E4528" s="1" t="str">
        <f t="array" ref="E4528">_xlfn.XLOOKUP(A4528,Product!A:A,Product!B:B,"Bulunamadı")</f>
        <v>Law</v>
      </c>
      <c r="F4528" s="1" t="str">
        <f t="array" ref="F4528">_xlfn.XLOOKUP(A4528,Product!A:A,Product!C:C,"Bulunamadı")</f>
        <v>Corporate Finance</v>
      </c>
      <c r="G4528" s="2" t="str">
        <f t="array" ref="G4528">_xlfn.XLOOKUP(A4529,Product!A:A,Product!D:D,"Bulunamadı")</f>
        <v>Riverpoint House</v>
      </c>
      <c r="H4528" s="2">
        <f t="array" ref="H4528">_xlfn.XLOOKUP(A4530,Product!A:A,Product!E:E,"Bulunamadı")</f>
        <v>1.84</v>
      </c>
      <c r="I4528" s="2" t="str">
        <f t="shared" si="1"/>
        <v>129480 - Law - Corporate Finance</v>
      </c>
      <c r="J4528" s="2">
        <f t="shared" si="2"/>
        <v>329.36</v>
      </c>
      <c r="K4528" s="17">
        <f t="shared" si="3"/>
        <v>1</v>
      </c>
      <c r="L4528" s="18"/>
    </row>
    <row r="4529" hidden="1">
      <c r="A4529" s="2">
        <f>IFERROR(__xludf.DUMMYFUNCTION("""COMPUTED_VALUE"""),84164.0)</f>
        <v>84164</v>
      </c>
      <c r="B4529" s="2">
        <f>IFERROR(__xludf.DUMMYFUNCTION("""COMPUTED_VALUE"""),1.0)</f>
        <v>1</v>
      </c>
      <c r="C4529" s="2">
        <f>IFERROR(__xludf.DUMMYFUNCTION("""COMPUTED_VALUE"""),58.0)</f>
        <v>58</v>
      </c>
      <c r="D4529" s="3">
        <f>IFERROR(__xludf.DUMMYFUNCTION("""COMPUTED_VALUE"""),22.0)</f>
        <v>22</v>
      </c>
      <c r="E4529" s="1" t="str">
        <f t="array" ref="E4529">_xlfn.XLOOKUP(A4529,Product!A:A,Product!B:B,"Bulunamadı")</f>
        <v>Law</v>
      </c>
      <c r="F4529" s="1" t="str">
        <f t="array" ref="F4529">_xlfn.XLOOKUP(A4529,Product!A:A,Product!C:C,"Bulunamadı")</f>
        <v>Corporate Finance</v>
      </c>
      <c r="G4529" s="2" t="str">
        <f t="array" ref="G4529">_xlfn.XLOOKUP(A4530,Product!A:A,Product!D:D,"Bulunamadı")</f>
        <v>Riverpoint House</v>
      </c>
      <c r="H4529" s="2">
        <f t="array" ref="H4529">_xlfn.XLOOKUP(A4531,Product!A:A,Product!E:E,"Bulunamadı")</f>
        <v>1.18</v>
      </c>
      <c r="I4529" s="2" t="str">
        <f t="shared" si="1"/>
        <v>84164 - Law - Corporate Finance</v>
      </c>
      <c r="J4529" s="2">
        <f t="shared" si="2"/>
        <v>25.96</v>
      </c>
      <c r="K4529" s="17">
        <f t="shared" si="3"/>
        <v>1</v>
      </c>
      <c r="L4529" s="18"/>
    </row>
    <row r="4530" hidden="1">
      <c r="A4530" s="2">
        <f>IFERROR(__xludf.DUMMYFUNCTION("""COMPUTED_VALUE"""),69338.0)</f>
        <v>69338</v>
      </c>
      <c r="B4530" s="2">
        <f>IFERROR(__xludf.DUMMYFUNCTION("""COMPUTED_VALUE"""),0.0)</f>
        <v>0</v>
      </c>
      <c r="C4530" s="2">
        <f>IFERROR(__xludf.DUMMYFUNCTION("""COMPUTED_VALUE"""),746.0)</f>
        <v>746</v>
      </c>
      <c r="D4530" s="3">
        <f>IFERROR(__xludf.DUMMYFUNCTION("""COMPUTED_VALUE"""),19.0)</f>
        <v>19</v>
      </c>
      <c r="E4530" s="1" t="str">
        <f t="array" ref="E4530">_xlfn.XLOOKUP(A4530,Product!A:A,Product!B:B,"Bulunamadı")</f>
        <v>Law</v>
      </c>
      <c r="F4530" s="1" t="str">
        <f t="array" ref="F4530">_xlfn.XLOOKUP(A4530,Product!A:A,Product!C:C,"Bulunamadı")</f>
        <v>Corporate Finance</v>
      </c>
      <c r="G4530" s="2" t="str">
        <f t="array" ref="G4530">_xlfn.XLOOKUP(A4531,Product!A:A,Product!D:D,"Bulunamadı")</f>
        <v>Riverpoint House</v>
      </c>
      <c r="H4530" s="2">
        <f t="array" ref="H4530">_xlfn.XLOOKUP(A4532,Product!A:A,Product!E:E,"Bulunamadı")</f>
        <v>2.25</v>
      </c>
      <c r="I4530" s="2" t="str">
        <f t="shared" si="1"/>
        <v>69338 - Law - Corporate Finance</v>
      </c>
      <c r="J4530" s="2">
        <f t="shared" si="2"/>
        <v>42.75</v>
      </c>
      <c r="K4530" s="17">
        <f t="shared" si="3"/>
        <v>1</v>
      </c>
      <c r="L4530" s="18"/>
    </row>
    <row r="4531" hidden="1">
      <c r="A4531" s="2">
        <f>IFERROR(__xludf.DUMMYFUNCTION("""COMPUTED_VALUE"""),120531.0)</f>
        <v>120531</v>
      </c>
      <c r="B4531" s="2">
        <f>IFERROR(__xludf.DUMMYFUNCTION("""COMPUTED_VALUE"""),1.0)</f>
        <v>1</v>
      </c>
      <c r="C4531" s="2">
        <f>IFERROR(__xludf.DUMMYFUNCTION("""COMPUTED_VALUE"""),10.0)</f>
        <v>10</v>
      </c>
      <c r="D4531" s="3">
        <f>IFERROR(__xludf.DUMMYFUNCTION("""COMPUTED_VALUE"""),7.0)</f>
        <v>7</v>
      </c>
      <c r="E4531" s="1" t="str">
        <f t="array" ref="E4531">_xlfn.XLOOKUP(A4531,Product!A:A,Product!B:B,"Bulunamadı")</f>
        <v>Law</v>
      </c>
      <c r="F4531" s="1" t="str">
        <f t="array" ref="F4531">_xlfn.XLOOKUP(A4531,Product!A:A,Product!C:C,"Bulunamadı")</f>
        <v>Corporate Finance</v>
      </c>
      <c r="G4531" s="2" t="str">
        <f t="array" ref="G4531">_xlfn.XLOOKUP(A4532,Product!A:A,Product!D:D,"Bulunamadı")</f>
        <v>Riverpoint House</v>
      </c>
      <c r="H4531" s="2">
        <f t="array" ref="H4531">_xlfn.XLOOKUP(A4533,Product!A:A,Product!E:E,"Bulunamadı")</f>
        <v>1.76</v>
      </c>
      <c r="I4531" s="2" t="str">
        <f t="shared" si="1"/>
        <v>120531 - Law - Corporate Finance</v>
      </c>
      <c r="J4531" s="2">
        <f t="shared" si="2"/>
        <v>12.32</v>
      </c>
      <c r="K4531" s="17">
        <f t="shared" si="3"/>
        <v>1</v>
      </c>
      <c r="L4531" s="18"/>
    </row>
    <row r="4532" hidden="1">
      <c r="A4532" s="2">
        <f>IFERROR(__xludf.DUMMYFUNCTION("""COMPUTED_VALUE"""),120524.0)</f>
        <v>120524</v>
      </c>
      <c r="B4532" s="2">
        <f>IFERROR(__xludf.DUMMYFUNCTION("""COMPUTED_VALUE"""),1.0)</f>
        <v>1</v>
      </c>
      <c r="C4532" s="2">
        <f>IFERROR(__xludf.DUMMYFUNCTION("""COMPUTED_VALUE"""),320.0)</f>
        <v>320</v>
      </c>
      <c r="D4532" s="3">
        <f>IFERROR(__xludf.DUMMYFUNCTION("""COMPUTED_VALUE"""),319.0)</f>
        <v>319</v>
      </c>
      <c r="E4532" s="1" t="str">
        <f t="array" ref="E4532">_xlfn.XLOOKUP(A4532,Product!A:A,Product!B:B,"Bulunamadı")</f>
        <v>Law</v>
      </c>
      <c r="F4532" s="1" t="str">
        <f t="array" ref="F4532">_xlfn.XLOOKUP(A4532,Product!A:A,Product!C:C,"Bulunamadı")</f>
        <v>Corporate Finance</v>
      </c>
      <c r="G4532" s="2" t="str">
        <f t="array" ref="G4532">_xlfn.XLOOKUP(A4533,Product!A:A,Product!D:D,"Bulunamadı")</f>
        <v>Riverpoint House</v>
      </c>
      <c r="H4532" s="2">
        <f t="array" ref="H4532">_xlfn.XLOOKUP(A4534,Product!A:A,Product!E:E,"Bulunamadı")</f>
        <v>0.84</v>
      </c>
      <c r="I4532" s="2" t="str">
        <f t="shared" si="1"/>
        <v>120524 - Law - Corporate Finance</v>
      </c>
      <c r="J4532" s="2">
        <f t="shared" si="2"/>
        <v>267.96</v>
      </c>
      <c r="K4532" s="17">
        <f t="shared" si="3"/>
        <v>1</v>
      </c>
      <c r="L4532" s="18"/>
    </row>
    <row r="4533" hidden="1">
      <c r="A4533" s="2">
        <f>IFERROR(__xludf.DUMMYFUNCTION("""COMPUTED_VALUE"""),117631.0)</f>
        <v>117631</v>
      </c>
      <c r="B4533" s="2">
        <f>IFERROR(__xludf.DUMMYFUNCTION("""COMPUTED_VALUE"""),1.0)</f>
        <v>1</v>
      </c>
      <c r="C4533" s="2">
        <f>IFERROR(__xludf.DUMMYFUNCTION("""COMPUTED_VALUE"""),169.0)</f>
        <v>169</v>
      </c>
      <c r="D4533" s="3">
        <f>IFERROR(__xludf.DUMMYFUNCTION("""COMPUTED_VALUE"""),152.0)</f>
        <v>152</v>
      </c>
      <c r="E4533" s="1" t="str">
        <f t="array" ref="E4533">_xlfn.XLOOKUP(A4533,Product!A:A,Product!B:B,"Bulunamadı")</f>
        <v>Law</v>
      </c>
      <c r="F4533" s="1" t="str">
        <f t="array" ref="F4533">_xlfn.XLOOKUP(A4533,Product!A:A,Product!C:C,"Bulunamadı")</f>
        <v>Corporate Finance</v>
      </c>
      <c r="G4533" s="2" t="str">
        <f t="array" ref="G4533">_xlfn.XLOOKUP(A4534,Product!A:A,Product!D:D,"Bulunamadı")</f>
        <v>Riverpoint House</v>
      </c>
      <c r="H4533" s="2">
        <f t="array" ref="H4533">_xlfn.XLOOKUP(A4535,Product!A:A,Product!E:E,"Bulunamadı")</f>
        <v>2.35</v>
      </c>
      <c r="I4533" s="2" t="str">
        <f t="shared" si="1"/>
        <v>117631 - Law - Corporate Finance</v>
      </c>
      <c r="J4533" s="2">
        <f t="shared" si="2"/>
        <v>357.2</v>
      </c>
      <c r="K4533" s="17">
        <f t="shared" si="3"/>
        <v>1</v>
      </c>
      <c r="L4533" s="18"/>
    </row>
    <row r="4534" hidden="1">
      <c r="A4534" s="2">
        <f>IFERROR(__xludf.DUMMYFUNCTION("""COMPUTED_VALUE"""),115757.0)</f>
        <v>115757</v>
      </c>
      <c r="B4534" s="2">
        <f>IFERROR(__xludf.DUMMYFUNCTION("""COMPUTED_VALUE"""),0.0)</f>
        <v>0</v>
      </c>
      <c r="C4534" s="2">
        <f>IFERROR(__xludf.DUMMYFUNCTION("""COMPUTED_VALUE"""),211.0)</f>
        <v>211</v>
      </c>
      <c r="D4534" s="3">
        <f>IFERROR(__xludf.DUMMYFUNCTION("""COMPUTED_VALUE"""),180.0)</f>
        <v>180</v>
      </c>
      <c r="E4534" s="1" t="str">
        <f t="array" ref="E4534">_xlfn.XLOOKUP(A4534,Product!A:A,Product!B:B,"Bulunamadı")</f>
        <v>Law</v>
      </c>
      <c r="F4534" s="1" t="str">
        <f t="array" ref="F4534">_xlfn.XLOOKUP(A4534,Product!A:A,Product!C:C,"Bulunamadı")</f>
        <v>Corporate Finance</v>
      </c>
      <c r="G4534" s="2" t="str">
        <f t="array" ref="G4534">_xlfn.XLOOKUP(A4535,Product!A:A,Product!D:D,"Bulunamadı")</f>
        <v>Riverpoint House</v>
      </c>
      <c r="H4534" s="2">
        <f t="array" ref="H4534">_xlfn.XLOOKUP(A4536,Product!A:A,Product!E:E,"Bulunamadı")</f>
        <v>0.95</v>
      </c>
      <c r="I4534" s="2" t="str">
        <f t="shared" si="1"/>
        <v>115757 - Law - Corporate Finance</v>
      </c>
      <c r="J4534" s="2">
        <f t="shared" si="2"/>
        <v>171</v>
      </c>
      <c r="K4534" s="17">
        <f t="shared" si="3"/>
        <v>1</v>
      </c>
      <c r="L4534" s="18"/>
    </row>
    <row r="4535" hidden="1">
      <c r="A4535" s="2">
        <f>IFERROR(__xludf.DUMMYFUNCTION("""COMPUTED_VALUE"""),42243.0)</f>
        <v>42243</v>
      </c>
      <c r="B4535" s="2">
        <f>IFERROR(__xludf.DUMMYFUNCTION("""COMPUTED_VALUE"""),0.0)</f>
        <v>0</v>
      </c>
      <c r="C4535" s="2">
        <f>IFERROR(__xludf.DUMMYFUNCTION("""COMPUTED_VALUE"""),933.0)</f>
        <v>933</v>
      </c>
      <c r="D4535" s="3">
        <f>IFERROR(__xludf.DUMMYFUNCTION("""COMPUTED_VALUE"""),287.0)</f>
        <v>287</v>
      </c>
      <c r="E4535" s="1" t="str">
        <f t="array" ref="E4535">_xlfn.XLOOKUP(A4535,Product!A:A,Product!B:B,"Bulunamadı")</f>
        <v>Law</v>
      </c>
      <c r="F4535" s="1" t="str">
        <f t="array" ref="F4535">_xlfn.XLOOKUP(A4535,Product!A:A,Product!C:C,"Bulunamadı")</f>
        <v>Corporate Finance</v>
      </c>
      <c r="G4535" s="2" t="str">
        <f t="array" ref="G4535">_xlfn.XLOOKUP(A4536,Product!A:A,Product!D:D,"Bulunamadı")</f>
        <v>Riverpoint House</v>
      </c>
      <c r="H4535" s="2">
        <f t="array" ref="H4535">_xlfn.XLOOKUP(A4537,Product!A:A,Product!E:E,"Bulunamadı")</f>
        <v>1.57</v>
      </c>
      <c r="I4535" s="2" t="str">
        <f t="shared" si="1"/>
        <v>42243 - Law - Corporate Finance</v>
      </c>
      <c r="J4535" s="2">
        <f t="shared" si="2"/>
        <v>450.59</v>
      </c>
      <c r="K4535" s="17">
        <f t="shared" si="3"/>
        <v>1</v>
      </c>
      <c r="L4535" s="18"/>
    </row>
    <row r="4536" hidden="1">
      <c r="A4536" s="2">
        <f>IFERROR(__xludf.DUMMYFUNCTION("""COMPUTED_VALUE"""),115761.0)</f>
        <v>115761</v>
      </c>
      <c r="B4536" s="2">
        <f>IFERROR(__xludf.DUMMYFUNCTION("""COMPUTED_VALUE"""),0.0)</f>
        <v>0</v>
      </c>
      <c r="C4536" s="2">
        <f>IFERROR(__xludf.DUMMYFUNCTION("""COMPUTED_VALUE"""),494.0)</f>
        <v>494</v>
      </c>
      <c r="D4536" s="3">
        <f>IFERROR(__xludf.DUMMYFUNCTION("""COMPUTED_VALUE"""),480.0)</f>
        <v>480</v>
      </c>
      <c r="E4536" s="1" t="str">
        <f t="array" ref="E4536">_xlfn.XLOOKUP(A4536,Product!A:A,Product!B:B,"Bulunamadı")</f>
        <v>Law</v>
      </c>
      <c r="F4536" s="1" t="str">
        <f t="array" ref="F4536">_xlfn.XLOOKUP(A4536,Product!A:A,Product!C:C,"Bulunamadı")</f>
        <v>Corporate Finance</v>
      </c>
      <c r="G4536" s="2" t="str">
        <f t="array" ref="G4536">_xlfn.XLOOKUP(A4537,Product!A:A,Product!D:D,"Bulunamadı")</f>
        <v>Riverpoint House</v>
      </c>
      <c r="H4536" s="2">
        <f t="array" ref="H4536">_xlfn.XLOOKUP(A4538,Product!A:A,Product!E:E,"Bulunamadı")</f>
        <v>2.11</v>
      </c>
      <c r="I4536" s="2" t="str">
        <f t="shared" si="1"/>
        <v>115761 - Law - Corporate Finance</v>
      </c>
      <c r="J4536" s="2">
        <f t="shared" si="2"/>
        <v>1012.8</v>
      </c>
      <c r="K4536" s="17">
        <f t="shared" si="3"/>
        <v>1</v>
      </c>
      <c r="L4536" s="18"/>
    </row>
    <row r="4537" hidden="1">
      <c r="A4537" s="2">
        <f>IFERROR(__xludf.DUMMYFUNCTION("""COMPUTED_VALUE"""),113960.0)</f>
        <v>113960</v>
      </c>
      <c r="B4537" s="2">
        <f>IFERROR(__xludf.DUMMYFUNCTION("""COMPUTED_VALUE"""),0.0)</f>
        <v>0</v>
      </c>
      <c r="C4537" s="2">
        <f>IFERROR(__xludf.DUMMYFUNCTION("""COMPUTED_VALUE"""),304.0)</f>
        <v>304</v>
      </c>
      <c r="D4537" s="3">
        <f>IFERROR(__xludf.DUMMYFUNCTION("""COMPUTED_VALUE"""),259.0)</f>
        <v>259</v>
      </c>
      <c r="E4537" s="1" t="str">
        <f t="array" ref="E4537">_xlfn.XLOOKUP(A4537,Product!A:A,Product!B:B,"Bulunamadı")</f>
        <v>Law</v>
      </c>
      <c r="F4537" s="1" t="str">
        <f t="array" ref="F4537">_xlfn.XLOOKUP(A4537,Product!A:A,Product!C:C,"Bulunamadı")</f>
        <v>Corporate Finance</v>
      </c>
      <c r="G4537" s="2" t="str">
        <f t="array" ref="G4537">_xlfn.XLOOKUP(A4538,Product!A:A,Product!D:D,"Bulunamadı")</f>
        <v>Riverpoint House</v>
      </c>
      <c r="H4537" s="2">
        <f t="array" ref="H4537">_xlfn.XLOOKUP(A4539,Product!A:A,Product!E:E,"Bulunamadı")</f>
        <v>1.84</v>
      </c>
      <c r="I4537" s="2" t="str">
        <f t="shared" si="1"/>
        <v>113960 - Law - Corporate Finance</v>
      </c>
      <c r="J4537" s="2">
        <f t="shared" si="2"/>
        <v>476.56</v>
      </c>
      <c r="K4537" s="17">
        <f t="shared" si="3"/>
        <v>1</v>
      </c>
      <c r="L4537" s="18"/>
    </row>
    <row r="4538" hidden="1">
      <c r="A4538" s="2">
        <f>IFERROR(__xludf.DUMMYFUNCTION("""COMPUTED_VALUE"""),42241.0)</f>
        <v>42241</v>
      </c>
      <c r="B4538" s="2">
        <f>IFERROR(__xludf.DUMMYFUNCTION("""COMPUTED_VALUE"""),1.0)</f>
        <v>1</v>
      </c>
      <c r="C4538" s="2">
        <f>IFERROR(__xludf.DUMMYFUNCTION("""COMPUTED_VALUE"""),756.0)</f>
        <v>756</v>
      </c>
      <c r="D4538" s="3">
        <f>IFERROR(__xludf.DUMMYFUNCTION("""COMPUTED_VALUE"""),570.0)</f>
        <v>570</v>
      </c>
      <c r="E4538" s="1" t="str">
        <f t="array" ref="E4538">_xlfn.XLOOKUP(A4538,Product!A:A,Product!B:B,"Bulunamadı")</f>
        <v>Law</v>
      </c>
      <c r="F4538" s="1" t="str">
        <f t="array" ref="F4538">_xlfn.XLOOKUP(A4538,Product!A:A,Product!C:C,"Bulunamadı")</f>
        <v>Corporate Finance</v>
      </c>
      <c r="G4538" s="2" t="str">
        <f t="array" ref="G4538">_xlfn.XLOOKUP(A4539,Product!A:A,Product!D:D,"Bulunamadı")</f>
        <v>Riverpoint House</v>
      </c>
      <c r="H4538" s="2">
        <f t="array" ref="H4538">_xlfn.XLOOKUP(A4540,Product!A:A,Product!E:E,"Bulunamadı")</f>
        <v>1.53</v>
      </c>
      <c r="I4538" s="2" t="str">
        <f t="shared" si="1"/>
        <v>42241 - Law - Corporate Finance</v>
      </c>
      <c r="J4538" s="2">
        <f t="shared" si="2"/>
        <v>872.1</v>
      </c>
      <c r="K4538" s="17">
        <f t="shared" si="3"/>
        <v>1</v>
      </c>
      <c r="L4538" s="18"/>
    </row>
    <row r="4539" hidden="1">
      <c r="A4539" s="2">
        <f>IFERROR(__xludf.DUMMYFUNCTION("""COMPUTED_VALUE"""),115770.0)</f>
        <v>115770</v>
      </c>
      <c r="B4539" s="2">
        <f>IFERROR(__xludf.DUMMYFUNCTION("""COMPUTED_VALUE"""),0.0)</f>
        <v>0</v>
      </c>
      <c r="C4539" s="2">
        <f>IFERROR(__xludf.DUMMYFUNCTION("""COMPUTED_VALUE"""),11.0)</f>
        <v>11</v>
      </c>
      <c r="D4539" s="3">
        <f>IFERROR(__xludf.DUMMYFUNCTION("""COMPUTED_VALUE"""),6.0)</f>
        <v>6</v>
      </c>
      <c r="E4539" s="1" t="str">
        <f t="array" ref="E4539">_xlfn.XLOOKUP(A4539,Product!A:A,Product!B:B,"Bulunamadı")</f>
        <v>Law</v>
      </c>
      <c r="F4539" s="1" t="str">
        <f t="array" ref="F4539">_xlfn.XLOOKUP(A4539,Product!A:A,Product!C:C,"Bulunamadı")</f>
        <v>Corporate Finance</v>
      </c>
      <c r="G4539" s="2" t="str">
        <f t="array" ref="G4539">_xlfn.XLOOKUP(A4540,Product!A:A,Product!D:D,"Bulunamadı")</f>
        <v>Riverpoint House</v>
      </c>
      <c r="H4539" s="2">
        <f t="array" ref="H4539">_xlfn.XLOOKUP(A4541,Product!A:A,Product!E:E,"Bulunamadı")</f>
        <v>0.52</v>
      </c>
      <c r="I4539" s="2" t="str">
        <f t="shared" si="1"/>
        <v>115770 - Law - Corporate Finance</v>
      </c>
      <c r="J4539" s="2">
        <f t="shared" si="2"/>
        <v>3.12</v>
      </c>
      <c r="K4539" s="17">
        <f t="shared" si="3"/>
        <v>1</v>
      </c>
      <c r="L4539" s="18"/>
    </row>
    <row r="4540" hidden="1">
      <c r="A4540" s="2">
        <f>IFERROR(__xludf.DUMMYFUNCTION("""COMPUTED_VALUE"""),118541.0)</f>
        <v>118541</v>
      </c>
      <c r="B4540" s="2">
        <f>IFERROR(__xludf.DUMMYFUNCTION("""COMPUTED_VALUE"""),0.0)</f>
        <v>0</v>
      </c>
      <c r="C4540" s="2">
        <f>IFERROR(__xludf.DUMMYFUNCTION("""COMPUTED_VALUE"""),462.0)</f>
        <v>462</v>
      </c>
      <c r="D4540" s="3">
        <f>IFERROR(__xludf.DUMMYFUNCTION("""COMPUTED_VALUE"""),317.0)</f>
        <v>317</v>
      </c>
      <c r="E4540" s="1" t="str">
        <f t="array" ref="E4540">_xlfn.XLOOKUP(A4540,Product!A:A,Product!B:B,"Bulunamadı")</f>
        <v>Law</v>
      </c>
      <c r="F4540" s="1" t="str">
        <f t="array" ref="F4540">_xlfn.XLOOKUP(A4540,Product!A:A,Product!C:C,"Bulunamadı")</f>
        <v>Corporate Finance</v>
      </c>
      <c r="G4540" s="2" t="str">
        <f t="array" ref="G4540">_xlfn.XLOOKUP(A4541,Product!A:A,Product!D:D,"Bulunamadı")</f>
        <v>Riverpoint House</v>
      </c>
      <c r="H4540" s="2">
        <f t="array" ref="H4540">_xlfn.XLOOKUP(A4542,Product!A:A,Product!E:E,"Bulunamadı")</f>
        <v>4.18</v>
      </c>
      <c r="I4540" s="2" t="str">
        <f t="shared" si="1"/>
        <v>118541 - Law - Corporate Finance</v>
      </c>
      <c r="J4540" s="2">
        <f t="shared" si="2"/>
        <v>1325.06</v>
      </c>
      <c r="K4540" s="17">
        <f t="shared" si="3"/>
        <v>1</v>
      </c>
      <c r="L4540" s="18"/>
    </row>
    <row r="4541" hidden="1">
      <c r="A4541" s="2">
        <f>IFERROR(__xludf.DUMMYFUNCTION("""COMPUTED_VALUE"""),115750.0)</f>
        <v>115750</v>
      </c>
      <c r="B4541" s="2">
        <f>IFERROR(__xludf.DUMMYFUNCTION("""COMPUTED_VALUE"""),1.0)</f>
        <v>1</v>
      </c>
      <c r="C4541" s="2">
        <f>IFERROR(__xludf.DUMMYFUNCTION("""COMPUTED_VALUE"""),170.0)</f>
        <v>170</v>
      </c>
      <c r="D4541" s="3">
        <f>IFERROR(__xludf.DUMMYFUNCTION("""COMPUTED_VALUE"""),32.0)</f>
        <v>32</v>
      </c>
      <c r="E4541" s="1" t="str">
        <f t="array" ref="E4541">_xlfn.XLOOKUP(A4541,Product!A:A,Product!B:B,"Bulunamadı")</f>
        <v>Law</v>
      </c>
      <c r="F4541" s="1" t="str">
        <f t="array" ref="F4541">_xlfn.XLOOKUP(A4541,Product!A:A,Product!C:C,"Bulunamadı")</f>
        <v>Corporate Finance</v>
      </c>
      <c r="G4541" s="2" t="str">
        <f t="array" ref="G4541">_xlfn.XLOOKUP(A4542,Product!A:A,Product!D:D,"Bulunamadı")</f>
        <v>Riverpoint House</v>
      </c>
      <c r="H4541" s="2">
        <f t="array" ref="H4541">_xlfn.XLOOKUP(A4543,Product!A:A,Product!E:E,"Bulunamadı")</f>
        <v>0.63</v>
      </c>
      <c r="I4541" s="2" t="str">
        <f t="shared" si="1"/>
        <v>115750 - Law - Corporate Finance</v>
      </c>
      <c r="J4541" s="2">
        <f t="shared" si="2"/>
        <v>20.16</v>
      </c>
      <c r="K4541" s="17">
        <f t="shared" si="3"/>
        <v>1</v>
      </c>
      <c r="L4541" s="18"/>
    </row>
    <row r="4542" hidden="1">
      <c r="A4542" s="2">
        <f>IFERROR(__xludf.DUMMYFUNCTION("""COMPUTED_VALUE"""),99969.0)</f>
        <v>99969</v>
      </c>
      <c r="B4542" s="2">
        <f>IFERROR(__xludf.DUMMYFUNCTION("""COMPUTED_VALUE"""),1.0)</f>
        <v>1</v>
      </c>
      <c r="C4542" s="2">
        <f>IFERROR(__xludf.DUMMYFUNCTION("""COMPUTED_VALUE"""),185.0)</f>
        <v>185</v>
      </c>
      <c r="D4542" s="3">
        <f>IFERROR(__xludf.DUMMYFUNCTION("""COMPUTED_VALUE"""),157.0)</f>
        <v>157</v>
      </c>
      <c r="E4542" s="1" t="str">
        <f t="array" ref="E4542">_xlfn.XLOOKUP(A4542,Product!A:A,Product!B:B,"Bulunamadı")</f>
        <v>Law</v>
      </c>
      <c r="F4542" s="1" t="str">
        <f t="array" ref="F4542">_xlfn.XLOOKUP(A4542,Product!A:A,Product!C:C,"Bulunamadı")</f>
        <v>Corporate Finance</v>
      </c>
      <c r="G4542" s="2" t="str">
        <f t="array" ref="G4542">_xlfn.XLOOKUP(A4543,Product!A:A,Product!D:D,"Bulunamadı")</f>
        <v>Riverpoint House</v>
      </c>
      <c r="H4542" s="2">
        <f t="array" ref="H4542">_xlfn.XLOOKUP(A4544,Product!A:A,Product!E:E,"Bulunamadı")</f>
        <v>1.44</v>
      </c>
      <c r="I4542" s="2" t="str">
        <f t="shared" si="1"/>
        <v>99969 - Law - Corporate Finance</v>
      </c>
      <c r="J4542" s="2">
        <f t="shared" si="2"/>
        <v>226.08</v>
      </c>
      <c r="K4542" s="17">
        <f t="shared" si="3"/>
        <v>1</v>
      </c>
      <c r="L4542" s="18"/>
    </row>
    <row r="4543" hidden="1">
      <c r="A4543" s="2">
        <f>IFERROR(__xludf.DUMMYFUNCTION("""COMPUTED_VALUE"""),129483.0)</f>
        <v>129483</v>
      </c>
      <c r="B4543" s="2">
        <f>IFERROR(__xludf.DUMMYFUNCTION("""COMPUTED_VALUE"""),1.0)</f>
        <v>1</v>
      </c>
      <c r="C4543" s="2">
        <f>IFERROR(__xludf.DUMMYFUNCTION("""COMPUTED_VALUE"""),196.0)</f>
        <v>196</v>
      </c>
      <c r="D4543" s="3">
        <f>IFERROR(__xludf.DUMMYFUNCTION("""COMPUTED_VALUE"""),151.0)</f>
        <v>151</v>
      </c>
      <c r="E4543" s="1" t="str">
        <f t="array" ref="E4543">_xlfn.XLOOKUP(A4543,Product!A:A,Product!B:B,"Bulunamadı")</f>
        <v>Law</v>
      </c>
      <c r="F4543" s="1" t="str">
        <f t="array" ref="F4543">_xlfn.XLOOKUP(A4543,Product!A:A,Product!C:C,"Bulunamadı")</f>
        <v>Corporate Finance</v>
      </c>
      <c r="G4543" s="2" t="str">
        <f t="array" ref="G4543">_xlfn.XLOOKUP(A4544,Product!A:A,Product!D:D,"Bulunamadı")</f>
        <v>Riverpoint House</v>
      </c>
      <c r="H4543" s="2">
        <f t="array" ref="H4543">_xlfn.XLOOKUP(A4545,Product!A:A,Product!E:E,"Bulunamadı")</f>
        <v>1.39</v>
      </c>
      <c r="I4543" s="2" t="str">
        <f t="shared" si="1"/>
        <v>129483 - Law - Corporate Finance</v>
      </c>
      <c r="J4543" s="2">
        <f t="shared" si="2"/>
        <v>209.89</v>
      </c>
      <c r="K4543" s="17">
        <f t="shared" si="3"/>
        <v>1</v>
      </c>
      <c r="L4543" s="18"/>
    </row>
    <row r="4544" hidden="1">
      <c r="A4544" s="2">
        <f>IFERROR(__xludf.DUMMYFUNCTION("""COMPUTED_VALUE"""),42255.0)</f>
        <v>42255</v>
      </c>
      <c r="B4544" s="2">
        <f>IFERROR(__xludf.DUMMYFUNCTION("""COMPUTED_VALUE"""),0.0)</f>
        <v>0</v>
      </c>
      <c r="C4544" s="2">
        <f>IFERROR(__xludf.DUMMYFUNCTION("""COMPUTED_VALUE"""),594.0)</f>
        <v>594</v>
      </c>
      <c r="D4544" s="3">
        <f>IFERROR(__xludf.DUMMYFUNCTION("""COMPUTED_VALUE"""),115.0)</f>
        <v>115</v>
      </c>
      <c r="E4544" s="1" t="str">
        <f t="array" ref="E4544">_xlfn.XLOOKUP(A4544,Product!A:A,Product!B:B,"Bulunamadı")</f>
        <v>Law</v>
      </c>
      <c r="F4544" s="1" t="str">
        <f t="array" ref="F4544">_xlfn.XLOOKUP(A4544,Product!A:A,Product!C:C,"Bulunamadı")</f>
        <v>Corporate Finance</v>
      </c>
      <c r="G4544" s="2" t="str">
        <f t="array" ref="G4544">_xlfn.XLOOKUP(A4545,Product!A:A,Product!D:D,"Bulunamadı")</f>
        <v>Riverpoint House</v>
      </c>
      <c r="H4544" s="2">
        <f t="array" ref="H4544">_xlfn.XLOOKUP(A4546,Product!A:A,Product!E:E,"Bulunamadı")</f>
        <v>1.09</v>
      </c>
      <c r="I4544" s="2" t="str">
        <f t="shared" si="1"/>
        <v>42255 - Law - Corporate Finance</v>
      </c>
      <c r="J4544" s="2">
        <f t="shared" si="2"/>
        <v>125.35</v>
      </c>
      <c r="K4544" s="17">
        <f t="shared" si="3"/>
        <v>1</v>
      </c>
      <c r="L4544" s="18"/>
    </row>
    <row r="4545" hidden="1">
      <c r="A4545" s="2">
        <f>IFERROR(__xludf.DUMMYFUNCTION("""COMPUTED_VALUE"""),100235.0)</f>
        <v>100235</v>
      </c>
      <c r="B4545" s="2">
        <f>IFERROR(__xludf.DUMMYFUNCTION("""COMPUTED_VALUE"""),0.0)</f>
        <v>0</v>
      </c>
      <c r="C4545" s="2">
        <f>IFERROR(__xludf.DUMMYFUNCTION("""COMPUTED_VALUE"""),595.0)</f>
        <v>595</v>
      </c>
      <c r="D4545" s="3">
        <f>IFERROR(__xludf.DUMMYFUNCTION("""COMPUTED_VALUE"""),294.0)</f>
        <v>294</v>
      </c>
      <c r="E4545" s="1" t="str">
        <f t="array" ref="E4545">_xlfn.XLOOKUP(A4545,Product!A:A,Product!B:B,"Bulunamadı")</f>
        <v>Law</v>
      </c>
      <c r="F4545" s="1" t="str">
        <f t="array" ref="F4545">_xlfn.XLOOKUP(A4545,Product!A:A,Product!C:C,"Bulunamadı")</f>
        <v>Corporate Finance</v>
      </c>
      <c r="G4545" s="2" t="str">
        <f t="array" ref="G4545">_xlfn.XLOOKUP(A4546,Product!A:A,Product!D:D,"Bulunamadı")</f>
        <v>Riverpoint House</v>
      </c>
      <c r="H4545" s="2">
        <f t="array" ref="H4545">_xlfn.XLOOKUP(A4547,Product!A:A,Product!E:E,"Bulunamadı")</f>
        <v>0.73</v>
      </c>
      <c r="I4545" s="2" t="str">
        <f t="shared" si="1"/>
        <v>100235 - Law - Corporate Finance</v>
      </c>
      <c r="J4545" s="2">
        <f t="shared" si="2"/>
        <v>214.62</v>
      </c>
      <c r="K4545" s="17">
        <f t="shared" si="3"/>
        <v>1</v>
      </c>
      <c r="L4545" s="18"/>
    </row>
    <row r="4546" hidden="1">
      <c r="A4546" s="2">
        <f>IFERROR(__xludf.DUMMYFUNCTION("""COMPUTED_VALUE"""),129481.0)</f>
        <v>129481</v>
      </c>
      <c r="B4546" s="2">
        <f>IFERROR(__xludf.DUMMYFUNCTION("""COMPUTED_VALUE"""),0.0)</f>
        <v>0</v>
      </c>
      <c r="C4546" s="2">
        <f>IFERROR(__xludf.DUMMYFUNCTION("""COMPUTED_VALUE"""),970.0)</f>
        <v>970</v>
      </c>
      <c r="D4546" s="3">
        <f>IFERROR(__xludf.DUMMYFUNCTION("""COMPUTED_VALUE"""),2.0)</f>
        <v>2</v>
      </c>
      <c r="E4546" s="1" t="str">
        <f t="array" ref="E4546">_xlfn.XLOOKUP(A4546,Product!A:A,Product!B:B,"Bulunamadı")</f>
        <v>Law</v>
      </c>
      <c r="F4546" s="1" t="str">
        <f t="array" ref="F4546">_xlfn.XLOOKUP(A4546,Product!A:A,Product!C:C,"Bulunamadı")</f>
        <v>Corporate Finance</v>
      </c>
      <c r="G4546" s="2" t="str">
        <f t="array" ref="G4546">_xlfn.XLOOKUP(A4547,Product!A:A,Product!D:D,"Bulunamadı")</f>
        <v>Riverpoint House</v>
      </c>
      <c r="H4546" s="2">
        <f t="array" ref="H4546">_xlfn.XLOOKUP(A4548,Product!A:A,Product!E:E,"Bulunamadı")</f>
        <v>1.18</v>
      </c>
      <c r="I4546" s="2" t="str">
        <f t="shared" si="1"/>
        <v>129481 - Law - Corporate Finance</v>
      </c>
      <c r="J4546" s="2">
        <f t="shared" si="2"/>
        <v>2.36</v>
      </c>
      <c r="K4546" s="17">
        <f t="shared" si="3"/>
        <v>1</v>
      </c>
      <c r="L4546" s="18"/>
    </row>
    <row r="4547" hidden="1">
      <c r="A4547" s="2">
        <f>IFERROR(__xludf.DUMMYFUNCTION("""COMPUTED_VALUE"""),87455.0)</f>
        <v>87455</v>
      </c>
      <c r="B4547" s="2">
        <f>IFERROR(__xludf.DUMMYFUNCTION("""COMPUTED_VALUE"""),0.0)</f>
        <v>0</v>
      </c>
      <c r="C4547" s="2">
        <f>IFERROR(__xludf.DUMMYFUNCTION("""COMPUTED_VALUE"""),38.0)</f>
        <v>38</v>
      </c>
      <c r="D4547" s="3">
        <f>IFERROR(__xludf.DUMMYFUNCTION("""COMPUTED_VALUE"""),35.0)</f>
        <v>35</v>
      </c>
      <c r="E4547" s="1" t="str">
        <f t="array" ref="E4547">_xlfn.XLOOKUP(A4547,Product!A:A,Product!B:B,"Bulunamadı")</f>
        <v>Law</v>
      </c>
      <c r="F4547" s="1" t="str">
        <f t="array" ref="F4547">_xlfn.XLOOKUP(A4547,Product!A:A,Product!C:C,"Bulunamadı")</f>
        <v>Corporate Finance</v>
      </c>
      <c r="G4547" s="2" t="str">
        <f t="array" ref="G4547">_xlfn.XLOOKUP(A4548,Product!A:A,Product!D:D,"Bulunamadı")</f>
        <v>Ironpoint House</v>
      </c>
      <c r="H4547" s="2">
        <f t="array" ref="H4547">_xlfn.XLOOKUP(A4549,Product!A:A,Product!E:E,"Bulunamadı")</f>
        <v>2.58</v>
      </c>
      <c r="I4547" s="2" t="str">
        <f t="shared" si="1"/>
        <v>87455 - Law - Corporate Finance</v>
      </c>
      <c r="J4547" s="2">
        <f t="shared" si="2"/>
        <v>90.3</v>
      </c>
      <c r="K4547" s="17">
        <f t="shared" si="3"/>
        <v>1</v>
      </c>
      <c r="L4547" s="18"/>
    </row>
    <row r="4548" hidden="1">
      <c r="A4548" s="2">
        <f>IFERROR(__xludf.DUMMYFUNCTION("""COMPUTED_VALUE"""),120257.0)</f>
        <v>120257</v>
      </c>
      <c r="B4548" s="2">
        <f>IFERROR(__xludf.DUMMYFUNCTION("""COMPUTED_VALUE"""),1.0)</f>
        <v>1</v>
      </c>
      <c r="C4548" s="2">
        <f>IFERROR(__xludf.DUMMYFUNCTION("""COMPUTED_VALUE"""),369.0)</f>
        <v>369</v>
      </c>
      <c r="D4548" s="3">
        <f>IFERROR(__xludf.DUMMYFUNCTION("""COMPUTED_VALUE"""),162.0)</f>
        <v>162</v>
      </c>
      <c r="E4548" s="1" t="str">
        <f t="array" ref="E4548">_xlfn.XLOOKUP(A4548,Product!A:A,Product!B:B,"Bulunamadı")</f>
        <v>Medical</v>
      </c>
      <c r="F4548" s="1" t="str">
        <f t="array" ref="F4548">_xlfn.XLOOKUP(A4548,Product!A:A,Product!C:C,"Bulunamadı")</f>
        <v>Financial Analysis</v>
      </c>
      <c r="G4548" s="2" t="str">
        <f t="array" ref="G4548">_xlfn.XLOOKUP(A4549,Product!A:A,Product!D:D,"Bulunamadı")</f>
        <v>Ironpoint House</v>
      </c>
      <c r="H4548" s="2">
        <f t="array" ref="H4548">_xlfn.XLOOKUP(A4550,Product!A:A,Product!E:E,"Bulunamadı")</f>
        <v>2.15</v>
      </c>
      <c r="I4548" s="2" t="str">
        <f t="shared" si="1"/>
        <v>120257 - Medical - Financial Analysis</v>
      </c>
      <c r="J4548" s="2">
        <f t="shared" si="2"/>
        <v>348.3</v>
      </c>
      <c r="K4548" s="17">
        <f t="shared" si="3"/>
        <v>1</v>
      </c>
      <c r="L4548" s="18"/>
    </row>
    <row r="4549" hidden="1">
      <c r="A4549" s="2">
        <f>IFERROR(__xludf.DUMMYFUNCTION("""COMPUTED_VALUE"""),122221.0)</f>
        <v>122221</v>
      </c>
      <c r="B4549" s="2">
        <f>IFERROR(__xludf.DUMMYFUNCTION("""COMPUTED_VALUE"""),0.0)</f>
        <v>0</v>
      </c>
      <c r="C4549" s="2">
        <f>IFERROR(__xludf.DUMMYFUNCTION("""COMPUTED_VALUE"""),467.0)</f>
        <v>467</v>
      </c>
      <c r="D4549" s="3">
        <f>IFERROR(__xludf.DUMMYFUNCTION("""COMPUTED_VALUE"""),190.0)</f>
        <v>190</v>
      </c>
      <c r="E4549" s="1" t="str">
        <f t="array" ref="E4549">_xlfn.XLOOKUP(A4549,Product!A:A,Product!B:B,"Bulunamadı")</f>
        <v>Medical</v>
      </c>
      <c r="F4549" s="1" t="str">
        <f t="array" ref="F4549">_xlfn.XLOOKUP(A4549,Product!A:A,Product!C:C,"Bulunamadı")</f>
        <v>Financial Analysis</v>
      </c>
      <c r="G4549" s="2" t="str">
        <f t="array" ref="G4549">_xlfn.XLOOKUP(A4550,Product!A:A,Product!D:D,"Bulunamadı")</f>
        <v>Ironpoint House</v>
      </c>
      <c r="H4549" s="2">
        <f t="array" ref="H4549">_xlfn.XLOOKUP(A4551,Product!A:A,Product!E:E,"Bulunamadı")</f>
        <v>1.12</v>
      </c>
      <c r="I4549" s="2" t="str">
        <f t="shared" si="1"/>
        <v>122221 - Medical - Financial Analysis</v>
      </c>
      <c r="J4549" s="2">
        <f t="shared" si="2"/>
        <v>212.8</v>
      </c>
      <c r="K4549" s="17">
        <f t="shared" si="3"/>
        <v>1</v>
      </c>
      <c r="L4549" s="18"/>
    </row>
    <row r="4550" hidden="1">
      <c r="A4550" s="2">
        <f>IFERROR(__xludf.DUMMYFUNCTION("""COMPUTED_VALUE"""),122216.0)</f>
        <v>122216</v>
      </c>
      <c r="B4550" s="2">
        <f>IFERROR(__xludf.DUMMYFUNCTION("""COMPUTED_VALUE"""),0.0)</f>
        <v>0</v>
      </c>
      <c r="C4550" s="2">
        <f>IFERROR(__xludf.DUMMYFUNCTION("""COMPUTED_VALUE"""),955.0)</f>
        <v>955</v>
      </c>
      <c r="D4550" s="3">
        <f>IFERROR(__xludf.DUMMYFUNCTION("""COMPUTED_VALUE"""),548.0)</f>
        <v>548</v>
      </c>
      <c r="E4550" s="1" t="str">
        <f t="array" ref="E4550">_xlfn.XLOOKUP(A4550,Product!A:A,Product!B:B,"Bulunamadı")</f>
        <v>Medical</v>
      </c>
      <c r="F4550" s="1" t="str">
        <f t="array" ref="F4550">_xlfn.XLOOKUP(A4550,Product!A:A,Product!C:C,"Bulunamadı")</f>
        <v>Financial Analysis</v>
      </c>
      <c r="G4550" s="2" t="str">
        <f t="array" ref="G4550">_xlfn.XLOOKUP(A4551,Product!A:A,Product!D:D,"Bulunamadı")</f>
        <v>Ironpoint House</v>
      </c>
      <c r="H4550" s="2">
        <f t="array" ref="H4550">_xlfn.XLOOKUP(A4552,Product!A:A,Product!E:E,"Bulunamadı")</f>
        <v>3.64</v>
      </c>
      <c r="I4550" s="2" t="str">
        <f t="shared" si="1"/>
        <v>122216 - Medical - Financial Analysis</v>
      </c>
      <c r="J4550" s="2">
        <f t="shared" si="2"/>
        <v>1994.72</v>
      </c>
      <c r="K4550" s="17">
        <f t="shared" si="3"/>
        <v>1</v>
      </c>
      <c r="L4550" s="18"/>
    </row>
    <row r="4551" hidden="1">
      <c r="A4551" s="2">
        <f>IFERROR(__xludf.DUMMYFUNCTION("""COMPUTED_VALUE"""),140598.0)</f>
        <v>140598</v>
      </c>
      <c r="B4551" s="2">
        <f>IFERROR(__xludf.DUMMYFUNCTION("""COMPUTED_VALUE"""),0.0)</f>
        <v>0</v>
      </c>
      <c r="C4551" s="2">
        <f>IFERROR(__xludf.DUMMYFUNCTION("""COMPUTED_VALUE"""),454.0)</f>
        <v>454</v>
      </c>
      <c r="D4551" s="3">
        <f>IFERROR(__xludf.DUMMYFUNCTION("""COMPUTED_VALUE"""),435.0)</f>
        <v>435</v>
      </c>
      <c r="E4551" s="1" t="str">
        <f t="array" ref="E4551">_xlfn.XLOOKUP(A4551,Product!A:A,Product!B:B,"Bulunamadı")</f>
        <v>Medical</v>
      </c>
      <c r="F4551" s="1" t="str">
        <f t="array" ref="F4551">_xlfn.XLOOKUP(A4551,Product!A:A,Product!C:C,"Bulunamadı")</f>
        <v>Financial Analysis</v>
      </c>
      <c r="G4551" s="2" t="str">
        <f t="array" ref="G4551">_xlfn.XLOOKUP(A4552,Product!A:A,Product!D:D,"Bulunamadı")</f>
        <v>Ironpoint House</v>
      </c>
      <c r="H4551" s="2">
        <f t="array" ref="H4551">_xlfn.XLOOKUP(A4553,Product!A:A,Product!E:E,"Bulunamadı")</f>
        <v>3.33</v>
      </c>
      <c r="I4551" s="2" t="str">
        <f t="shared" si="1"/>
        <v>140598 - Medical - Financial Analysis</v>
      </c>
      <c r="J4551" s="2">
        <f t="shared" si="2"/>
        <v>1448.55</v>
      </c>
      <c r="K4551" s="17">
        <f t="shared" si="3"/>
        <v>1</v>
      </c>
      <c r="L4551" s="18"/>
    </row>
    <row r="4552" hidden="1">
      <c r="A4552" s="2">
        <f>IFERROR(__xludf.DUMMYFUNCTION("""COMPUTED_VALUE"""),112123.0)</f>
        <v>112123</v>
      </c>
      <c r="B4552" s="2">
        <f>IFERROR(__xludf.DUMMYFUNCTION("""COMPUTED_VALUE"""),0.0)</f>
        <v>0</v>
      </c>
      <c r="C4552" s="2">
        <f>IFERROR(__xludf.DUMMYFUNCTION("""COMPUTED_VALUE"""),172.0)</f>
        <v>172</v>
      </c>
      <c r="D4552" s="3">
        <f>IFERROR(__xludf.DUMMYFUNCTION("""COMPUTED_VALUE"""),26.0)</f>
        <v>26</v>
      </c>
      <c r="E4552" s="1" t="str">
        <f t="array" ref="E4552">_xlfn.XLOOKUP(A4552,Product!A:A,Product!B:B,"Bulunamadı")</f>
        <v>Medical</v>
      </c>
      <c r="F4552" s="1" t="str">
        <f t="array" ref="F4552">_xlfn.XLOOKUP(A4552,Product!A:A,Product!C:C,"Bulunamadı")</f>
        <v>Financial Analysis</v>
      </c>
      <c r="G4552" s="2" t="str">
        <f t="array" ref="G4552">_xlfn.XLOOKUP(A4553,Product!A:A,Product!D:D,"Bulunamadı")</f>
        <v>Ironpoint House</v>
      </c>
      <c r="H4552" s="2">
        <f t="array" ref="H4552">_xlfn.XLOOKUP(A4554,Product!A:A,Product!E:E,"Bulunamadı")</f>
        <v>2.97</v>
      </c>
      <c r="I4552" s="2" t="str">
        <f t="shared" si="1"/>
        <v>112123 - Medical - Financial Analysis</v>
      </c>
      <c r="J4552" s="2">
        <f t="shared" si="2"/>
        <v>77.22</v>
      </c>
      <c r="K4552" s="17">
        <f t="shared" si="3"/>
        <v>1</v>
      </c>
      <c r="L4552" s="18"/>
    </row>
    <row r="4553" hidden="1">
      <c r="A4553" s="2">
        <f>IFERROR(__xludf.DUMMYFUNCTION("""COMPUTED_VALUE"""),70402.0)</f>
        <v>70402</v>
      </c>
      <c r="B4553" s="2">
        <f>IFERROR(__xludf.DUMMYFUNCTION("""COMPUTED_VALUE"""),1.0)</f>
        <v>1</v>
      </c>
      <c r="C4553" s="2">
        <f>IFERROR(__xludf.DUMMYFUNCTION("""COMPUTED_VALUE"""),797.0)</f>
        <v>797</v>
      </c>
      <c r="D4553" s="3">
        <f>IFERROR(__xludf.DUMMYFUNCTION("""COMPUTED_VALUE"""),522.0)</f>
        <v>522</v>
      </c>
      <c r="E4553" s="1" t="str">
        <f t="array" ref="E4553">_xlfn.XLOOKUP(A4553,Product!A:A,Product!B:B,"Bulunamadı")</f>
        <v>Medical</v>
      </c>
      <c r="F4553" s="1" t="str">
        <f t="array" ref="F4553">_xlfn.XLOOKUP(A4553,Product!A:A,Product!C:C,"Bulunamadı")</f>
        <v>Financial Analysis</v>
      </c>
      <c r="G4553" s="2" t="str">
        <f t="array" ref="G4553">_xlfn.XLOOKUP(A4554,Product!A:A,Product!D:D,"Bulunamadı")</f>
        <v>Ironpoint House</v>
      </c>
      <c r="H4553" s="2">
        <f t="array" ref="H4553">_xlfn.XLOOKUP(A4555,Product!A:A,Product!E:E,"Bulunamadı")</f>
        <v>4.03</v>
      </c>
      <c r="I4553" s="2" t="str">
        <f t="shared" si="1"/>
        <v>70402 - Medical - Financial Analysis</v>
      </c>
      <c r="J4553" s="2">
        <f t="shared" si="2"/>
        <v>2103.66</v>
      </c>
      <c r="K4553" s="17">
        <f t="shared" si="3"/>
        <v>1</v>
      </c>
      <c r="L4553" s="18"/>
    </row>
    <row r="4554" hidden="1">
      <c r="A4554" s="2">
        <f>IFERROR(__xludf.DUMMYFUNCTION("""COMPUTED_VALUE"""),119110.0)</f>
        <v>119110</v>
      </c>
      <c r="B4554" s="2">
        <f>IFERROR(__xludf.DUMMYFUNCTION("""COMPUTED_VALUE"""),1.0)</f>
        <v>1</v>
      </c>
      <c r="C4554" s="2">
        <f>IFERROR(__xludf.DUMMYFUNCTION("""COMPUTED_VALUE"""),802.0)</f>
        <v>802</v>
      </c>
      <c r="D4554" s="3">
        <f>IFERROR(__xludf.DUMMYFUNCTION("""COMPUTED_VALUE"""),439.0)</f>
        <v>439</v>
      </c>
      <c r="E4554" s="1" t="str">
        <f t="array" ref="E4554">_xlfn.XLOOKUP(A4554,Product!A:A,Product!B:B,"Bulunamadı")</f>
        <v>Medical</v>
      </c>
      <c r="F4554" s="1" t="str">
        <f t="array" ref="F4554">_xlfn.XLOOKUP(A4554,Product!A:A,Product!C:C,"Bulunamadı")</f>
        <v>Financial Analysis</v>
      </c>
      <c r="G4554" s="2" t="str">
        <f t="array" ref="G4554">_xlfn.XLOOKUP(A4555,Product!A:A,Product!D:D,"Bulunamadı")</f>
        <v>Ironpoint House</v>
      </c>
      <c r="H4554" s="2">
        <f t="array" ref="H4554">_xlfn.XLOOKUP(A4556,Product!A:A,Product!E:E,"Bulunamadı")</f>
        <v>0.77</v>
      </c>
      <c r="I4554" s="2" t="str">
        <f t="shared" si="1"/>
        <v>119110 - Medical - Financial Analysis</v>
      </c>
      <c r="J4554" s="2">
        <f t="shared" si="2"/>
        <v>338.03</v>
      </c>
      <c r="K4554" s="17">
        <f t="shared" si="3"/>
        <v>1</v>
      </c>
      <c r="L4554" s="18"/>
    </row>
    <row r="4555" hidden="1">
      <c r="A4555" s="2">
        <f>IFERROR(__xludf.DUMMYFUNCTION("""COMPUTED_VALUE"""),139295.0)</f>
        <v>139295</v>
      </c>
      <c r="B4555" s="2">
        <f>IFERROR(__xludf.DUMMYFUNCTION("""COMPUTED_VALUE"""),1.0)</f>
        <v>1</v>
      </c>
      <c r="C4555" s="2">
        <f>IFERROR(__xludf.DUMMYFUNCTION("""COMPUTED_VALUE"""),658.0)</f>
        <v>658</v>
      </c>
      <c r="D4555" s="3">
        <f>IFERROR(__xludf.DUMMYFUNCTION("""COMPUTED_VALUE"""),201.0)</f>
        <v>201</v>
      </c>
      <c r="E4555" s="1" t="str">
        <f t="array" ref="E4555">_xlfn.XLOOKUP(A4555,Product!A:A,Product!B:B,"Bulunamadı")</f>
        <v>Medical</v>
      </c>
      <c r="F4555" s="1" t="str">
        <f t="array" ref="F4555">_xlfn.XLOOKUP(A4555,Product!A:A,Product!C:C,"Bulunamadı")</f>
        <v>Financial Analysis</v>
      </c>
      <c r="G4555" s="2" t="str">
        <f t="array" ref="G4555">_xlfn.XLOOKUP(A4556,Product!A:A,Product!D:D,"Bulunamadı")</f>
        <v>Ironpoint House</v>
      </c>
      <c r="H4555" s="2">
        <f t="array" ref="H4555">_xlfn.XLOOKUP(A4557,Product!A:A,Product!E:E,"Bulunamadı")</f>
        <v>2.21</v>
      </c>
      <c r="I4555" s="2" t="str">
        <f t="shared" si="1"/>
        <v>139295 - Medical - Financial Analysis</v>
      </c>
      <c r="J4555" s="2">
        <f t="shared" si="2"/>
        <v>444.21</v>
      </c>
      <c r="K4555" s="17">
        <f t="shared" si="3"/>
        <v>1</v>
      </c>
      <c r="L4555" s="18"/>
    </row>
    <row r="4556" hidden="1">
      <c r="A4556" s="2">
        <f>IFERROR(__xludf.DUMMYFUNCTION("""COMPUTED_VALUE"""),71056.0)</f>
        <v>71056</v>
      </c>
      <c r="B4556" s="2">
        <f>IFERROR(__xludf.DUMMYFUNCTION("""COMPUTED_VALUE"""),0.0)</f>
        <v>0</v>
      </c>
      <c r="C4556" s="2">
        <f>IFERROR(__xludf.DUMMYFUNCTION("""COMPUTED_VALUE"""),466.0)</f>
        <v>466</v>
      </c>
      <c r="D4556" s="3">
        <f>IFERROR(__xludf.DUMMYFUNCTION("""COMPUTED_VALUE"""),8.0)</f>
        <v>8</v>
      </c>
      <c r="E4556" s="1" t="str">
        <f t="array" ref="E4556">_xlfn.XLOOKUP(A4556,Product!A:A,Product!B:B,"Bulunamadı")</f>
        <v>Medical</v>
      </c>
      <c r="F4556" s="1" t="str">
        <f t="array" ref="F4556">_xlfn.XLOOKUP(A4556,Product!A:A,Product!C:C,"Bulunamadı")</f>
        <v>Financial Analysis</v>
      </c>
      <c r="G4556" s="2" t="str">
        <f t="array" ref="G4556">_xlfn.XLOOKUP(A4557,Product!A:A,Product!D:D,"Bulunamadı")</f>
        <v>Ironpoint House</v>
      </c>
      <c r="H4556" s="2">
        <f t="array" ref="H4556">_xlfn.XLOOKUP(A4558,Product!A:A,Product!E:E,"Bulunamadı")</f>
        <v>2.44</v>
      </c>
      <c r="I4556" s="2" t="str">
        <f t="shared" si="1"/>
        <v>71056 - Medical - Financial Analysis</v>
      </c>
      <c r="J4556" s="2">
        <f t="shared" si="2"/>
        <v>19.52</v>
      </c>
      <c r="K4556" s="17">
        <f t="shared" si="3"/>
        <v>1</v>
      </c>
      <c r="L4556" s="18"/>
    </row>
    <row r="4557" hidden="1">
      <c r="A4557" s="2">
        <f>IFERROR(__xludf.DUMMYFUNCTION("""COMPUTED_VALUE"""),122218.0)</f>
        <v>122218</v>
      </c>
      <c r="B4557" s="2">
        <f>IFERROR(__xludf.DUMMYFUNCTION("""COMPUTED_VALUE"""),0.0)</f>
        <v>0</v>
      </c>
      <c r="C4557" s="2">
        <f>IFERROR(__xludf.DUMMYFUNCTION("""COMPUTED_VALUE"""),151.0)</f>
        <v>151</v>
      </c>
      <c r="D4557" s="3">
        <f>IFERROR(__xludf.DUMMYFUNCTION("""COMPUTED_VALUE"""),66.0)</f>
        <v>66</v>
      </c>
      <c r="E4557" s="1" t="str">
        <f t="array" ref="E4557">_xlfn.XLOOKUP(A4557,Product!A:A,Product!B:B,"Bulunamadı")</f>
        <v>Medical</v>
      </c>
      <c r="F4557" s="1" t="str">
        <f t="array" ref="F4557">_xlfn.XLOOKUP(A4557,Product!A:A,Product!C:C,"Bulunamadı")</f>
        <v>Financial Analysis</v>
      </c>
      <c r="G4557" s="2" t="str">
        <f t="array" ref="G4557">_xlfn.XLOOKUP(A4558,Product!A:A,Product!D:D,"Bulunamadı")</f>
        <v>Ironpoint House</v>
      </c>
      <c r="H4557" s="2">
        <f t="array" ref="H4557">_xlfn.XLOOKUP(A4559,Product!A:A,Product!E:E,"Bulunamadı")</f>
        <v>3.67</v>
      </c>
      <c r="I4557" s="2" t="str">
        <f t="shared" si="1"/>
        <v>122218 - Medical - Financial Analysis</v>
      </c>
      <c r="J4557" s="2">
        <f t="shared" si="2"/>
        <v>242.22</v>
      </c>
      <c r="K4557" s="17">
        <f t="shared" si="3"/>
        <v>1</v>
      </c>
      <c r="L4557" s="18"/>
    </row>
    <row r="4558" hidden="1">
      <c r="A4558" s="2">
        <f>IFERROR(__xludf.DUMMYFUNCTION("""COMPUTED_VALUE"""),122217.0)</f>
        <v>122217</v>
      </c>
      <c r="B4558" s="2">
        <f>IFERROR(__xludf.DUMMYFUNCTION("""COMPUTED_VALUE"""),0.0)</f>
        <v>0</v>
      </c>
      <c r="C4558" s="2">
        <f>IFERROR(__xludf.DUMMYFUNCTION("""COMPUTED_VALUE"""),737.0)</f>
        <v>737</v>
      </c>
      <c r="D4558" s="3">
        <f>IFERROR(__xludf.DUMMYFUNCTION("""COMPUTED_VALUE"""),365.0)</f>
        <v>365</v>
      </c>
      <c r="E4558" s="1" t="str">
        <f t="array" ref="E4558">_xlfn.XLOOKUP(A4558,Product!A:A,Product!B:B,"Bulunamadı")</f>
        <v>Medical</v>
      </c>
      <c r="F4558" s="1" t="str">
        <f t="array" ref="F4558">_xlfn.XLOOKUP(A4558,Product!A:A,Product!C:C,"Bulunamadı")</f>
        <v>Financial Analysis</v>
      </c>
      <c r="G4558" s="2" t="str">
        <f t="array" ref="G4558">_xlfn.XLOOKUP(A4559,Product!A:A,Product!D:D,"Bulunamadı")</f>
        <v>Ironpoint House</v>
      </c>
      <c r="H4558" s="2">
        <f t="array" ref="H4558">_xlfn.XLOOKUP(A4560,Product!A:A,Product!E:E,"Bulunamadı")</f>
        <v>1.81</v>
      </c>
      <c r="I4558" s="2" t="str">
        <f t="shared" si="1"/>
        <v>122217 - Medical - Financial Analysis</v>
      </c>
      <c r="J4558" s="2">
        <f t="shared" si="2"/>
        <v>660.65</v>
      </c>
      <c r="K4558" s="17">
        <f t="shared" si="3"/>
        <v>1</v>
      </c>
      <c r="L4558" s="18"/>
    </row>
    <row r="4559" hidden="1">
      <c r="A4559" s="2">
        <f>IFERROR(__xludf.DUMMYFUNCTION("""COMPUTED_VALUE"""),119119.0)</f>
        <v>119119</v>
      </c>
      <c r="B4559" s="2">
        <f>IFERROR(__xludf.DUMMYFUNCTION("""COMPUTED_VALUE"""),0.0)</f>
        <v>0</v>
      </c>
      <c r="C4559" s="2">
        <f>IFERROR(__xludf.DUMMYFUNCTION("""COMPUTED_VALUE"""),27.0)</f>
        <v>27</v>
      </c>
      <c r="D4559" s="3">
        <f>IFERROR(__xludf.DUMMYFUNCTION("""COMPUTED_VALUE"""),4.0)</f>
        <v>4</v>
      </c>
      <c r="E4559" s="1" t="str">
        <f t="array" ref="E4559">_xlfn.XLOOKUP(A4559,Product!A:A,Product!B:B,"Bulunamadı")</f>
        <v>Medical</v>
      </c>
      <c r="F4559" s="1" t="str">
        <f t="array" ref="F4559">_xlfn.XLOOKUP(A4559,Product!A:A,Product!C:C,"Bulunamadı")</f>
        <v>Financial Analysis</v>
      </c>
      <c r="G4559" s="2" t="str">
        <f t="array" ref="G4559">_xlfn.XLOOKUP(A4560,Product!A:A,Product!D:D,"Bulunamadı")</f>
        <v>Ironpoint House</v>
      </c>
      <c r="H4559" s="2">
        <f t="array" ref="H4559">_xlfn.XLOOKUP(A4561,Product!A:A,Product!E:E,"Bulunamadı")</f>
        <v>4.66</v>
      </c>
      <c r="I4559" s="2" t="str">
        <f t="shared" si="1"/>
        <v>119119 - Medical - Financial Analysis</v>
      </c>
      <c r="J4559" s="2">
        <f t="shared" si="2"/>
        <v>18.64</v>
      </c>
      <c r="K4559" s="17">
        <f t="shared" si="3"/>
        <v>1</v>
      </c>
      <c r="L4559" s="18"/>
    </row>
    <row r="4560" hidden="1">
      <c r="A4560" s="2">
        <f>IFERROR(__xludf.DUMMYFUNCTION("""COMPUTED_VALUE"""),46933.0)</f>
        <v>46933</v>
      </c>
      <c r="B4560" s="2">
        <f>IFERROR(__xludf.DUMMYFUNCTION("""COMPUTED_VALUE"""),0.0)</f>
        <v>0</v>
      </c>
      <c r="C4560" s="2">
        <f>IFERROR(__xludf.DUMMYFUNCTION("""COMPUTED_VALUE"""),855.0)</f>
        <v>855</v>
      </c>
      <c r="D4560" s="3">
        <f>IFERROR(__xludf.DUMMYFUNCTION("""COMPUTED_VALUE"""),297.0)</f>
        <v>297</v>
      </c>
      <c r="E4560" s="1" t="str">
        <f t="array" ref="E4560">_xlfn.XLOOKUP(A4560,Product!A:A,Product!B:B,"Bulunamadı")</f>
        <v>Medical</v>
      </c>
      <c r="F4560" s="1" t="str">
        <f t="array" ref="F4560">_xlfn.XLOOKUP(A4560,Product!A:A,Product!C:C,"Bulunamadı")</f>
        <v>Financial Analysis</v>
      </c>
      <c r="G4560" s="2" t="str">
        <f t="array" ref="G4560">_xlfn.XLOOKUP(A4561,Product!A:A,Product!D:D,"Bulunamadı")</f>
        <v>Ironpoint House</v>
      </c>
      <c r="H4560" s="2">
        <f t="array" ref="H4560">_xlfn.XLOOKUP(A4562,Product!A:A,Product!E:E,"Bulunamadı")</f>
        <v>1.77</v>
      </c>
      <c r="I4560" s="2" t="str">
        <f t="shared" si="1"/>
        <v>46933 - Medical - Financial Analysis</v>
      </c>
      <c r="J4560" s="2">
        <f t="shared" si="2"/>
        <v>525.69</v>
      </c>
      <c r="K4560" s="17">
        <f t="shared" si="3"/>
        <v>1</v>
      </c>
      <c r="L4560" s="18"/>
    </row>
    <row r="4561" hidden="1">
      <c r="A4561" s="2">
        <f>IFERROR(__xludf.DUMMYFUNCTION("""COMPUTED_VALUE"""),119118.0)</f>
        <v>119118</v>
      </c>
      <c r="B4561" s="2">
        <f>IFERROR(__xludf.DUMMYFUNCTION("""COMPUTED_VALUE"""),1.0)</f>
        <v>1</v>
      </c>
      <c r="C4561" s="2">
        <f>IFERROR(__xludf.DUMMYFUNCTION("""COMPUTED_VALUE"""),348.0)</f>
        <v>348</v>
      </c>
      <c r="D4561" s="3">
        <f>IFERROR(__xludf.DUMMYFUNCTION("""COMPUTED_VALUE"""),43.0)</f>
        <v>43</v>
      </c>
      <c r="E4561" s="1" t="str">
        <f t="array" ref="E4561">_xlfn.XLOOKUP(A4561,Product!A:A,Product!B:B,"Bulunamadı")</f>
        <v>Medical</v>
      </c>
      <c r="F4561" s="1" t="str">
        <f t="array" ref="F4561">_xlfn.XLOOKUP(A4561,Product!A:A,Product!C:C,"Bulunamadı")</f>
        <v>Financial Analysis</v>
      </c>
      <c r="G4561" s="2" t="str">
        <f t="array" ref="G4561">_xlfn.XLOOKUP(A4562,Product!A:A,Product!D:D,"Bulunamadı")</f>
        <v>Ironpoint House</v>
      </c>
      <c r="H4561" s="2">
        <f t="array" ref="H4561">_xlfn.XLOOKUP(A4563,Product!A:A,Product!E:E,"Bulunamadı")</f>
        <v>4.1</v>
      </c>
      <c r="I4561" s="2" t="str">
        <f t="shared" si="1"/>
        <v>119118 - Medical - Financial Analysis</v>
      </c>
      <c r="J4561" s="2">
        <f t="shared" si="2"/>
        <v>176.3</v>
      </c>
      <c r="K4561" s="17">
        <f t="shared" si="3"/>
        <v>1</v>
      </c>
      <c r="L4561" s="18"/>
    </row>
    <row r="4562" hidden="1">
      <c r="A4562" s="2">
        <f>IFERROR(__xludf.DUMMYFUNCTION("""COMPUTED_VALUE"""),41035.0)</f>
        <v>41035</v>
      </c>
      <c r="B4562" s="2">
        <f>IFERROR(__xludf.DUMMYFUNCTION("""COMPUTED_VALUE"""),1.0)</f>
        <v>1</v>
      </c>
      <c r="C4562" s="2">
        <f>IFERROR(__xludf.DUMMYFUNCTION("""COMPUTED_VALUE"""),561.0)</f>
        <v>561</v>
      </c>
      <c r="D4562" s="3">
        <f>IFERROR(__xludf.DUMMYFUNCTION("""COMPUTED_VALUE"""),167.0)</f>
        <v>167</v>
      </c>
      <c r="E4562" s="1" t="str">
        <f t="array" ref="E4562">_xlfn.XLOOKUP(A4562,Product!A:A,Product!B:B,"Bulunamadı")</f>
        <v>Medical</v>
      </c>
      <c r="F4562" s="1" t="str">
        <f t="array" ref="F4562">_xlfn.XLOOKUP(A4562,Product!A:A,Product!C:C,"Bulunamadı")</f>
        <v>Financial Analysis</v>
      </c>
      <c r="G4562" s="2" t="str">
        <f t="array" ref="G4562">_xlfn.XLOOKUP(A4563,Product!A:A,Product!D:D,"Bulunamadı")</f>
        <v>Ironpoint House</v>
      </c>
      <c r="H4562" s="2">
        <f t="array" ref="H4562">_xlfn.XLOOKUP(A4564,Product!A:A,Product!E:E,"Bulunamadı")</f>
        <v>1.09</v>
      </c>
      <c r="I4562" s="2" t="str">
        <f t="shared" si="1"/>
        <v>41035 - Medical - Financial Analysis</v>
      </c>
      <c r="J4562" s="2">
        <f t="shared" si="2"/>
        <v>182.03</v>
      </c>
      <c r="K4562" s="17">
        <f t="shared" si="3"/>
        <v>1</v>
      </c>
      <c r="L4562" s="18"/>
    </row>
    <row r="4563" hidden="1">
      <c r="A4563" s="2">
        <f>IFERROR(__xludf.DUMMYFUNCTION("""COMPUTED_VALUE"""),139303.0)</f>
        <v>139303</v>
      </c>
      <c r="B4563" s="2">
        <f>IFERROR(__xludf.DUMMYFUNCTION("""COMPUTED_VALUE"""),1.0)</f>
        <v>1</v>
      </c>
      <c r="C4563" s="2">
        <f>IFERROR(__xludf.DUMMYFUNCTION("""COMPUTED_VALUE"""),535.0)</f>
        <v>535</v>
      </c>
      <c r="D4563" s="3">
        <f>IFERROR(__xludf.DUMMYFUNCTION("""COMPUTED_VALUE"""),101.0)</f>
        <v>101</v>
      </c>
      <c r="E4563" s="1" t="str">
        <f t="array" ref="E4563">_xlfn.XLOOKUP(A4563,Product!A:A,Product!B:B,"Bulunamadı")</f>
        <v>Medical</v>
      </c>
      <c r="F4563" s="1" t="str">
        <f t="array" ref="F4563">_xlfn.XLOOKUP(A4563,Product!A:A,Product!C:C,"Bulunamadı")</f>
        <v>Financial Analysis</v>
      </c>
      <c r="G4563" s="2" t="str">
        <f t="array" ref="G4563">_xlfn.XLOOKUP(A4564,Product!A:A,Product!D:D,"Bulunamadı")</f>
        <v>Ironpoint House</v>
      </c>
      <c r="H4563" s="2">
        <f t="array" ref="H4563">_xlfn.XLOOKUP(A4565,Product!A:A,Product!E:E,"Bulunamadı")</f>
        <v>2.42</v>
      </c>
      <c r="I4563" s="2" t="str">
        <f t="shared" si="1"/>
        <v>139303 - Medical - Financial Analysis</v>
      </c>
      <c r="J4563" s="2">
        <f t="shared" si="2"/>
        <v>244.42</v>
      </c>
      <c r="K4563" s="17">
        <f t="shared" si="3"/>
        <v>1</v>
      </c>
      <c r="L4563" s="18"/>
    </row>
    <row r="4564" hidden="1">
      <c r="A4564" s="2">
        <f>IFERROR(__xludf.DUMMYFUNCTION("""COMPUTED_VALUE"""),101784.0)</f>
        <v>101784</v>
      </c>
      <c r="B4564" s="2">
        <f>IFERROR(__xludf.DUMMYFUNCTION("""COMPUTED_VALUE"""),0.0)</f>
        <v>0</v>
      </c>
      <c r="C4564" s="2">
        <f>IFERROR(__xludf.DUMMYFUNCTION("""COMPUTED_VALUE"""),687.0)</f>
        <v>687</v>
      </c>
      <c r="D4564" s="3">
        <f>IFERROR(__xludf.DUMMYFUNCTION("""COMPUTED_VALUE"""),177.0)</f>
        <v>177</v>
      </c>
      <c r="E4564" s="1" t="str">
        <f t="array" ref="E4564">_xlfn.XLOOKUP(A4564,Product!A:A,Product!B:B,"Bulunamadı")</f>
        <v>Medical</v>
      </c>
      <c r="F4564" s="1" t="str">
        <f t="array" ref="F4564">_xlfn.XLOOKUP(A4564,Product!A:A,Product!C:C,"Bulunamadı")</f>
        <v>Financial Analysis</v>
      </c>
      <c r="G4564" s="2" t="str">
        <f t="array" ref="G4564">_xlfn.XLOOKUP(A4565,Product!A:A,Product!D:D,"Bulunamadı")</f>
        <v>Ironpoint House</v>
      </c>
      <c r="H4564" s="2">
        <f t="array" ref="H4564">_xlfn.XLOOKUP(A4566,Product!A:A,Product!E:E,"Bulunamadı")</f>
        <v>2.25</v>
      </c>
      <c r="I4564" s="2" t="str">
        <f t="shared" si="1"/>
        <v>101784 - Medical - Financial Analysis</v>
      </c>
      <c r="J4564" s="2">
        <f t="shared" si="2"/>
        <v>398.25</v>
      </c>
      <c r="K4564" s="17">
        <f t="shared" si="3"/>
        <v>1</v>
      </c>
      <c r="L4564" s="18"/>
    </row>
    <row r="4565" hidden="1">
      <c r="A4565" s="2">
        <f>IFERROR(__xludf.DUMMYFUNCTION("""COMPUTED_VALUE"""),122219.0)</f>
        <v>122219</v>
      </c>
      <c r="B4565" s="2">
        <f>IFERROR(__xludf.DUMMYFUNCTION("""COMPUTED_VALUE"""),0.0)</f>
        <v>0</v>
      </c>
      <c r="C4565" s="2">
        <f>IFERROR(__xludf.DUMMYFUNCTION("""COMPUTED_VALUE"""),93.0)</f>
        <v>93</v>
      </c>
      <c r="D4565" s="3">
        <f>IFERROR(__xludf.DUMMYFUNCTION("""COMPUTED_VALUE"""),8.0)</f>
        <v>8</v>
      </c>
      <c r="E4565" s="1" t="str">
        <f t="array" ref="E4565">_xlfn.XLOOKUP(A4565,Product!A:A,Product!B:B,"Bulunamadı")</f>
        <v>Medical</v>
      </c>
      <c r="F4565" s="1" t="str">
        <f t="array" ref="F4565">_xlfn.XLOOKUP(A4565,Product!A:A,Product!C:C,"Bulunamadı")</f>
        <v>Financial Analysis</v>
      </c>
      <c r="G4565" s="2" t="str">
        <f t="array" ref="G4565">_xlfn.XLOOKUP(A4566,Product!A:A,Product!D:D,"Bulunamadı")</f>
        <v>Ironpoint House</v>
      </c>
      <c r="H4565" s="2">
        <f t="array" ref="H4565">_xlfn.XLOOKUP(A4567,Product!A:A,Product!E:E,"Bulunamadı")</f>
        <v>4.81</v>
      </c>
      <c r="I4565" s="2" t="str">
        <f t="shared" si="1"/>
        <v>122219 - Medical - Financial Analysis</v>
      </c>
      <c r="J4565" s="2">
        <f t="shared" si="2"/>
        <v>38.48</v>
      </c>
      <c r="K4565" s="17">
        <f t="shared" si="3"/>
        <v>1</v>
      </c>
      <c r="L4565" s="18"/>
    </row>
    <row r="4566" hidden="1">
      <c r="A4566" s="2">
        <f>IFERROR(__xludf.DUMMYFUNCTION("""COMPUTED_VALUE"""),122215.0)</f>
        <v>122215</v>
      </c>
      <c r="B4566" s="2">
        <f>IFERROR(__xludf.DUMMYFUNCTION("""COMPUTED_VALUE"""),1.0)</f>
        <v>1</v>
      </c>
      <c r="C4566" s="2">
        <f>IFERROR(__xludf.DUMMYFUNCTION("""COMPUTED_VALUE"""),767.0)</f>
        <v>767</v>
      </c>
      <c r="D4566" s="3">
        <f>IFERROR(__xludf.DUMMYFUNCTION("""COMPUTED_VALUE"""),247.0)</f>
        <v>247</v>
      </c>
      <c r="E4566" s="1" t="str">
        <f t="array" ref="E4566">_xlfn.XLOOKUP(A4566,Product!A:A,Product!B:B,"Bulunamadı")</f>
        <v>Medical</v>
      </c>
      <c r="F4566" s="1" t="str">
        <f t="array" ref="F4566">_xlfn.XLOOKUP(A4566,Product!A:A,Product!C:C,"Bulunamadı")</f>
        <v>Financial Analysis</v>
      </c>
      <c r="G4566" s="2" t="str">
        <f t="array" ref="G4566">_xlfn.XLOOKUP(A4567,Product!A:A,Product!D:D,"Bulunamadı")</f>
        <v>Ironpoint House</v>
      </c>
      <c r="H4566" s="2">
        <f t="array" ref="H4566">_xlfn.XLOOKUP(A4568,Product!A:A,Product!E:E,"Bulunamadı")</f>
        <v>4.79</v>
      </c>
      <c r="I4566" s="2" t="str">
        <f t="shared" si="1"/>
        <v>122215 - Medical - Financial Analysis</v>
      </c>
      <c r="J4566" s="2">
        <f t="shared" si="2"/>
        <v>1183.13</v>
      </c>
      <c r="K4566" s="17">
        <f t="shared" si="3"/>
        <v>1</v>
      </c>
      <c r="L4566" s="18"/>
    </row>
    <row r="4567" hidden="1">
      <c r="A4567" s="2">
        <f>IFERROR(__xludf.DUMMYFUNCTION("""COMPUTED_VALUE"""),111154.0)</f>
        <v>111154</v>
      </c>
      <c r="B4567" s="2">
        <f>IFERROR(__xludf.DUMMYFUNCTION("""COMPUTED_VALUE"""),1.0)</f>
        <v>1</v>
      </c>
      <c r="C4567" s="2">
        <f>IFERROR(__xludf.DUMMYFUNCTION("""COMPUTED_VALUE"""),258.0)</f>
        <v>258</v>
      </c>
      <c r="D4567" s="3">
        <f>IFERROR(__xludf.DUMMYFUNCTION("""COMPUTED_VALUE"""),145.0)</f>
        <v>145</v>
      </c>
      <c r="E4567" s="1" t="str">
        <f t="array" ref="E4567">_xlfn.XLOOKUP(A4567,Product!A:A,Product!B:B,"Bulunamadı")</f>
        <v>Medical</v>
      </c>
      <c r="F4567" s="1" t="str">
        <f t="array" ref="F4567">_xlfn.XLOOKUP(A4567,Product!A:A,Product!C:C,"Bulunamadı")</f>
        <v>Financial Analysis</v>
      </c>
      <c r="G4567" s="2" t="str">
        <f t="array" ref="G4567">_xlfn.XLOOKUP(A4568,Product!A:A,Product!D:D,"Bulunamadı")</f>
        <v>Ironpoint House</v>
      </c>
      <c r="H4567" s="2">
        <f t="array" ref="H4567">_xlfn.XLOOKUP(A4569,Product!A:A,Product!E:E,"Bulunamadı")</f>
        <v>2.11</v>
      </c>
      <c r="I4567" s="2" t="str">
        <f t="shared" si="1"/>
        <v>111154 - Medical - Financial Analysis</v>
      </c>
      <c r="J4567" s="2">
        <f t="shared" si="2"/>
        <v>305.95</v>
      </c>
      <c r="K4567" s="17">
        <f t="shared" si="3"/>
        <v>1</v>
      </c>
      <c r="L4567" s="18"/>
    </row>
    <row r="4568" hidden="1">
      <c r="A4568" s="2">
        <f>IFERROR(__xludf.DUMMYFUNCTION("""COMPUTED_VALUE"""),119117.0)</f>
        <v>119117</v>
      </c>
      <c r="B4568" s="2">
        <f>IFERROR(__xludf.DUMMYFUNCTION("""COMPUTED_VALUE"""),0.0)</f>
        <v>0</v>
      </c>
      <c r="C4568" s="2">
        <f>IFERROR(__xludf.DUMMYFUNCTION("""COMPUTED_VALUE"""),659.0)</f>
        <v>659</v>
      </c>
      <c r="D4568" s="3">
        <f>IFERROR(__xludf.DUMMYFUNCTION("""COMPUTED_VALUE"""),204.0)</f>
        <v>204</v>
      </c>
      <c r="E4568" s="1" t="str">
        <f t="array" ref="E4568">_xlfn.XLOOKUP(A4568,Product!A:A,Product!B:B,"Bulunamadı")</f>
        <v>Medical</v>
      </c>
      <c r="F4568" s="1" t="str">
        <f t="array" ref="F4568">_xlfn.XLOOKUP(A4568,Product!A:A,Product!C:C,"Bulunamadı")</f>
        <v>Financial Analysis</v>
      </c>
      <c r="G4568" s="2" t="str">
        <f t="array" ref="G4568">_xlfn.XLOOKUP(A4569,Product!A:A,Product!D:D,"Bulunamadı")</f>
        <v>Ironpoint House</v>
      </c>
      <c r="H4568" s="2">
        <f t="array" ref="H4568">_xlfn.XLOOKUP(A4570,Product!A:A,Product!E:E,"Bulunamadı")</f>
        <v>2.54</v>
      </c>
      <c r="I4568" s="2" t="str">
        <f t="shared" si="1"/>
        <v>119117 - Medical - Financial Analysis</v>
      </c>
      <c r="J4568" s="2">
        <f t="shared" si="2"/>
        <v>518.16</v>
      </c>
      <c r="K4568" s="17">
        <f t="shared" si="3"/>
        <v>1</v>
      </c>
      <c r="L4568" s="18"/>
    </row>
    <row r="4569" hidden="1">
      <c r="A4569" s="2">
        <f>IFERROR(__xludf.DUMMYFUNCTION("""COMPUTED_VALUE"""),20419.0)</f>
        <v>20419</v>
      </c>
      <c r="B4569" s="2">
        <f>IFERROR(__xludf.DUMMYFUNCTION("""COMPUTED_VALUE"""),1.0)</f>
        <v>1</v>
      </c>
      <c r="C4569" s="2">
        <f>IFERROR(__xludf.DUMMYFUNCTION("""COMPUTED_VALUE"""),892.0)</f>
        <v>892</v>
      </c>
      <c r="D4569" s="3">
        <f>IFERROR(__xludf.DUMMYFUNCTION("""COMPUTED_VALUE"""),359.0)</f>
        <v>359</v>
      </c>
      <c r="E4569" s="1" t="str">
        <f t="array" ref="E4569">_xlfn.XLOOKUP(A4569,Product!A:A,Product!B:B,"Bulunamadı")</f>
        <v>Medical</v>
      </c>
      <c r="F4569" s="1" t="str">
        <f t="array" ref="F4569">_xlfn.XLOOKUP(A4569,Product!A:A,Product!C:C,"Bulunamadı")</f>
        <v>Financial Analysis</v>
      </c>
      <c r="G4569" s="2" t="str">
        <f t="array" ref="G4569">_xlfn.XLOOKUP(A4570,Product!A:A,Product!D:D,"Bulunamadı")</f>
        <v>Ironpoint House</v>
      </c>
      <c r="H4569" s="2">
        <f t="array" ref="H4569">_xlfn.XLOOKUP(A4571,Product!A:A,Product!E:E,"Bulunamadı")</f>
        <v>2.43</v>
      </c>
      <c r="I4569" s="2" t="str">
        <f t="shared" si="1"/>
        <v>20419 - Medical - Financial Analysis</v>
      </c>
      <c r="J4569" s="2">
        <f t="shared" si="2"/>
        <v>872.37</v>
      </c>
      <c r="K4569" s="17">
        <f t="shared" si="3"/>
        <v>1</v>
      </c>
      <c r="L4569" s="18"/>
    </row>
    <row r="4570" hidden="1">
      <c r="A4570" s="2">
        <f>IFERROR(__xludf.DUMMYFUNCTION("""COMPUTED_VALUE"""),122220.0)</f>
        <v>122220</v>
      </c>
      <c r="B4570" s="2">
        <f>IFERROR(__xludf.DUMMYFUNCTION("""COMPUTED_VALUE"""),1.0)</f>
        <v>1</v>
      </c>
      <c r="C4570" s="2">
        <f>IFERROR(__xludf.DUMMYFUNCTION("""COMPUTED_VALUE"""),930.0)</f>
        <v>930</v>
      </c>
      <c r="D4570" s="3">
        <f>IFERROR(__xludf.DUMMYFUNCTION("""COMPUTED_VALUE"""),580.0)</f>
        <v>580</v>
      </c>
      <c r="E4570" s="1" t="str">
        <f t="array" ref="E4570">_xlfn.XLOOKUP(A4570,Product!A:A,Product!B:B,"Bulunamadı")</f>
        <v>Medical</v>
      </c>
      <c r="F4570" s="1" t="str">
        <f t="array" ref="F4570">_xlfn.XLOOKUP(A4570,Product!A:A,Product!C:C,"Bulunamadı")</f>
        <v>Financial Analysis</v>
      </c>
      <c r="G4570" s="2" t="str">
        <f t="array" ref="G4570">_xlfn.XLOOKUP(A4571,Product!A:A,Product!D:D,"Bulunamadı")</f>
        <v>Ironpoint House</v>
      </c>
      <c r="H4570" s="2">
        <f t="array" ref="H4570">_xlfn.XLOOKUP(A4572,Product!A:A,Product!E:E,"Bulunamadı")</f>
        <v>1.71</v>
      </c>
      <c r="I4570" s="2" t="str">
        <f t="shared" si="1"/>
        <v>122220 - Medical - Financial Analysis</v>
      </c>
      <c r="J4570" s="2">
        <f t="shared" si="2"/>
        <v>991.8</v>
      </c>
      <c r="K4570" s="17">
        <f t="shared" si="3"/>
        <v>1</v>
      </c>
      <c r="L4570" s="18"/>
    </row>
    <row r="4571" hidden="1">
      <c r="A4571" s="2">
        <f>IFERROR(__xludf.DUMMYFUNCTION("""COMPUTED_VALUE"""),122214.0)</f>
        <v>122214</v>
      </c>
      <c r="B4571" s="2">
        <f>IFERROR(__xludf.DUMMYFUNCTION("""COMPUTED_VALUE"""),1.0)</f>
        <v>1</v>
      </c>
      <c r="C4571" s="2">
        <f>IFERROR(__xludf.DUMMYFUNCTION("""COMPUTED_VALUE"""),117.0)</f>
        <v>117</v>
      </c>
      <c r="D4571" s="3">
        <f>IFERROR(__xludf.DUMMYFUNCTION("""COMPUTED_VALUE"""),79.0)</f>
        <v>79</v>
      </c>
      <c r="E4571" s="1" t="str">
        <f t="array" ref="E4571">_xlfn.XLOOKUP(A4571,Product!A:A,Product!B:B,"Bulunamadı")</f>
        <v>Medical</v>
      </c>
      <c r="F4571" s="1" t="str">
        <f t="array" ref="F4571">_xlfn.XLOOKUP(A4571,Product!A:A,Product!C:C,"Bulunamadı")</f>
        <v>Financial Analysis</v>
      </c>
      <c r="G4571" s="2" t="str">
        <f t="array" ref="G4571">_xlfn.XLOOKUP(A4572,Product!A:A,Product!D:D,"Bulunamadı")</f>
        <v>Ironpoint House</v>
      </c>
      <c r="H4571" s="2">
        <f t="array" ref="H4571">_xlfn.XLOOKUP(A4573,Product!A:A,Product!E:E,"Bulunamadı")</f>
        <v>4.08</v>
      </c>
      <c r="I4571" s="2" t="str">
        <f t="shared" si="1"/>
        <v>122214 - Medical - Financial Analysis</v>
      </c>
      <c r="J4571" s="2">
        <f t="shared" si="2"/>
        <v>322.32</v>
      </c>
      <c r="K4571" s="17">
        <f t="shared" si="3"/>
        <v>1</v>
      </c>
      <c r="L4571" s="18"/>
    </row>
    <row r="4572" hidden="1">
      <c r="A4572" s="2">
        <f>IFERROR(__xludf.DUMMYFUNCTION("""COMPUTED_VALUE"""),46936.0)</f>
        <v>46936</v>
      </c>
      <c r="B4572" s="2">
        <f>IFERROR(__xludf.DUMMYFUNCTION("""COMPUTED_VALUE"""),1.0)</f>
        <v>1</v>
      </c>
      <c r="C4572" s="2">
        <f>IFERROR(__xludf.DUMMYFUNCTION("""COMPUTED_VALUE"""),640.0)</f>
        <v>640</v>
      </c>
      <c r="D4572" s="3">
        <f>IFERROR(__xludf.DUMMYFUNCTION("""COMPUTED_VALUE"""),329.0)</f>
        <v>329</v>
      </c>
      <c r="E4572" s="1" t="str">
        <f t="array" ref="E4572">_xlfn.XLOOKUP(A4572,Product!A:A,Product!B:B,"Bulunamadı")</f>
        <v>Medical</v>
      </c>
      <c r="F4572" s="1" t="str">
        <f t="array" ref="F4572">_xlfn.XLOOKUP(A4572,Product!A:A,Product!C:C,"Bulunamadı")</f>
        <v>Financial Analysis</v>
      </c>
      <c r="G4572" s="2" t="str">
        <f t="array" ref="G4572">_xlfn.XLOOKUP(A4573,Product!A:A,Product!D:D,"Bulunamadı")</f>
        <v>Ironpoint House</v>
      </c>
      <c r="H4572" s="2">
        <f t="array" ref="H4572">_xlfn.XLOOKUP(A4574,Product!A:A,Product!E:E,"Bulunamadı")</f>
        <v>1.19</v>
      </c>
      <c r="I4572" s="2" t="str">
        <f t="shared" si="1"/>
        <v>46936 - Medical - Financial Analysis</v>
      </c>
      <c r="J4572" s="2">
        <f t="shared" si="2"/>
        <v>391.51</v>
      </c>
      <c r="K4572" s="17">
        <f t="shared" si="3"/>
        <v>1</v>
      </c>
      <c r="L4572" s="18"/>
    </row>
    <row r="4573" hidden="1">
      <c r="A4573" s="2">
        <f>IFERROR(__xludf.DUMMYFUNCTION("""COMPUTED_VALUE"""),112122.0)</f>
        <v>112122</v>
      </c>
      <c r="B4573" s="2">
        <f>IFERROR(__xludf.DUMMYFUNCTION("""COMPUTED_VALUE"""),1.0)</f>
        <v>1</v>
      </c>
      <c r="C4573" s="2">
        <f>IFERROR(__xludf.DUMMYFUNCTION("""COMPUTED_VALUE"""),216.0)</f>
        <v>216</v>
      </c>
      <c r="D4573" s="3">
        <f>IFERROR(__xludf.DUMMYFUNCTION("""COMPUTED_VALUE"""),210.0)</f>
        <v>210</v>
      </c>
      <c r="E4573" s="1" t="str">
        <f t="array" ref="E4573">_xlfn.XLOOKUP(A4573,Product!A:A,Product!B:B,"Bulunamadı")</f>
        <v>Medical</v>
      </c>
      <c r="F4573" s="1" t="str">
        <f t="array" ref="F4573">_xlfn.XLOOKUP(A4573,Product!A:A,Product!C:C,"Bulunamadı")</f>
        <v>Financial Analysis</v>
      </c>
      <c r="G4573" s="2" t="str">
        <f t="array" ref="G4573">_xlfn.XLOOKUP(A4574,Product!A:A,Product!D:D,"Bulunamadı")</f>
        <v>Ironpoint House</v>
      </c>
      <c r="H4573" s="2">
        <f t="array" ref="H4573">_xlfn.XLOOKUP(A4575,Product!A:A,Product!E:E,"Bulunamadı")</f>
        <v>1.72</v>
      </c>
      <c r="I4573" s="2" t="str">
        <f t="shared" si="1"/>
        <v>112122 - Medical - Financial Analysis</v>
      </c>
      <c r="J4573" s="2">
        <f t="shared" si="2"/>
        <v>361.2</v>
      </c>
      <c r="K4573" s="17">
        <f t="shared" si="3"/>
        <v>1</v>
      </c>
      <c r="L4573" s="18"/>
    </row>
    <row r="4574" hidden="1">
      <c r="A4574" s="2">
        <f>IFERROR(__xludf.DUMMYFUNCTION("""COMPUTED_VALUE"""),71055.0)</f>
        <v>71055</v>
      </c>
      <c r="B4574" s="2">
        <f>IFERROR(__xludf.DUMMYFUNCTION("""COMPUTED_VALUE"""),1.0)</f>
        <v>1</v>
      </c>
      <c r="C4574" s="2">
        <f>IFERROR(__xludf.DUMMYFUNCTION("""COMPUTED_VALUE"""),246.0)</f>
        <v>246</v>
      </c>
      <c r="D4574" s="3">
        <f>IFERROR(__xludf.DUMMYFUNCTION("""COMPUTED_VALUE"""),200.0)</f>
        <v>200</v>
      </c>
      <c r="E4574" s="1" t="str">
        <f t="array" ref="E4574">_xlfn.XLOOKUP(A4574,Product!A:A,Product!B:B,"Bulunamadı")</f>
        <v>Medical</v>
      </c>
      <c r="F4574" s="1" t="str">
        <f t="array" ref="F4574">_xlfn.XLOOKUP(A4574,Product!A:A,Product!C:C,"Bulunamadı")</f>
        <v>Financial Analysis</v>
      </c>
      <c r="G4574" s="2" t="str">
        <f t="array" ref="G4574">_xlfn.XLOOKUP(A4575,Product!A:A,Product!D:D,"Bulunamadı")</f>
        <v>Ironpoint House</v>
      </c>
      <c r="H4574" s="2">
        <f t="array" ref="H4574">_xlfn.XLOOKUP(A4576,Product!A:A,Product!E:E,"Bulunamadı")</f>
        <v>4.83</v>
      </c>
      <c r="I4574" s="2" t="str">
        <f t="shared" si="1"/>
        <v>71055 - Medical - Financial Analysis</v>
      </c>
      <c r="J4574" s="2">
        <f t="shared" si="2"/>
        <v>966</v>
      </c>
      <c r="K4574" s="17">
        <f t="shared" si="3"/>
        <v>1</v>
      </c>
      <c r="L4574" s="18"/>
    </row>
    <row r="4575" hidden="1">
      <c r="A4575" s="2">
        <f>IFERROR(__xludf.DUMMYFUNCTION("""COMPUTED_VALUE"""),41034.0)</f>
        <v>41034</v>
      </c>
      <c r="B4575" s="2">
        <f>IFERROR(__xludf.DUMMYFUNCTION("""COMPUTED_VALUE"""),0.0)</f>
        <v>0</v>
      </c>
      <c r="C4575" s="2">
        <f>IFERROR(__xludf.DUMMYFUNCTION("""COMPUTED_VALUE"""),973.0)</f>
        <v>973</v>
      </c>
      <c r="D4575" s="3">
        <f>IFERROR(__xludf.DUMMYFUNCTION("""COMPUTED_VALUE"""),676.0)</f>
        <v>676</v>
      </c>
      <c r="E4575" s="1" t="str">
        <f t="array" ref="E4575">_xlfn.XLOOKUP(A4575,Product!A:A,Product!B:B,"Bulunamadı")</f>
        <v>Medical</v>
      </c>
      <c r="F4575" s="1" t="str">
        <f t="array" ref="F4575">_xlfn.XLOOKUP(A4575,Product!A:A,Product!C:C,"Bulunamadı")</f>
        <v>Financial Analysis</v>
      </c>
      <c r="G4575" s="2" t="str">
        <f t="array" ref="G4575">_xlfn.XLOOKUP(A4576,Product!A:A,Product!D:D,"Bulunamadı")</f>
        <v>Ironpoint House</v>
      </c>
      <c r="H4575" s="2">
        <f t="array" ref="H4575">_xlfn.XLOOKUP(A4577,Product!A:A,Product!E:E,"Bulunamadı")</f>
        <v>3.73</v>
      </c>
      <c r="I4575" s="2" t="str">
        <f t="shared" si="1"/>
        <v>41034 - Medical - Financial Analysis</v>
      </c>
      <c r="J4575" s="2">
        <f t="shared" si="2"/>
        <v>2521.48</v>
      </c>
      <c r="K4575" s="17">
        <f t="shared" si="3"/>
        <v>1</v>
      </c>
      <c r="L4575" s="18"/>
    </row>
    <row r="4576" hidden="1">
      <c r="A4576" s="2">
        <f>IFERROR(__xludf.DUMMYFUNCTION("""COMPUTED_VALUE"""),111153.0)</f>
        <v>111153</v>
      </c>
      <c r="B4576" s="2">
        <f>IFERROR(__xludf.DUMMYFUNCTION("""COMPUTED_VALUE"""),1.0)</f>
        <v>1</v>
      </c>
      <c r="C4576" s="2">
        <f>IFERROR(__xludf.DUMMYFUNCTION("""COMPUTED_VALUE"""),800.0)</f>
        <v>800</v>
      </c>
      <c r="D4576" s="3">
        <f>IFERROR(__xludf.DUMMYFUNCTION("""COMPUTED_VALUE"""),116.0)</f>
        <v>116</v>
      </c>
      <c r="E4576" s="1" t="str">
        <f t="array" ref="E4576">_xlfn.XLOOKUP(A4576,Product!A:A,Product!B:B,"Bulunamadı")</f>
        <v>Medical</v>
      </c>
      <c r="F4576" s="1" t="str">
        <f t="array" ref="F4576">_xlfn.XLOOKUP(A4576,Product!A:A,Product!C:C,"Bulunamadı")</f>
        <v>Financial Analysis</v>
      </c>
      <c r="G4576" s="2" t="str">
        <f t="array" ref="G4576">_xlfn.XLOOKUP(A4577,Product!A:A,Product!D:D,"Bulunamadı")</f>
        <v>Ironpoint House</v>
      </c>
      <c r="H4576" s="2">
        <f t="array" ref="H4576">_xlfn.XLOOKUP(A4578,Product!A:A,Product!E:E,"Bulunamadı")</f>
        <v>3.98</v>
      </c>
      <c r="I4576" s="2" t="str">
        <f t="shared" si="1"/>
        <v>111153 - Medical - Financial Analysis</v>
      </c>
      <c r="J4576" s="2">
        <f t="shared" si="2"/>
        <v>461.68</v>
      </c>
      <c r="K4576" s="17">
        <f t="shared" si="3"/>
        <v>1</v>
      </c>
      <c r="L4576" s="18"/>
    </row>
    <row r="4577" hidden="1">
      <c r="A4577" s="2">
        <f>IFERROR(__xludf.DUMMYFUNCTION("""COMPUTED_VALUE"""),119120.0)</f>
        <v>119120</v>
      </c>
      <c r="B4577" s="2">
        <f>IFERROR(__xludf.DUMMYFUNCTION("""COMPUTED_VALUE"""),0.0)</f>
        <v>0</v>
      </c>
      <c r="C4577" s="2">
        <f>IFERROR(__xludf.DUMMYFUNCTION("""COMPUTED_VALUE"""),516.0)</f>
        <v>516</v>
      </c>
      <c r="D4577" s="3">
        <f>IFERROR(__xludf.DUMMYFUNCTION("""COMPUTED_VALUE"""),140.0)</f>
        <v>140</v>
      </c>
      <c r="E4577" s="1" t="str">
        <f t="array" ref="E4577">_xlfn.XLOOKUP(A4577,Product!A:A,Product!B:B,"Bulunamadı")</f>
        <v>Medical</v>
      </c>
      <c r="F4577" s="1" t="str">
        <f t="array" ref="F4577">_xlfn.XLOOKUP(A4577,Product!A:A,Product!C:C,"Bulunamadı")</f>
        <v>Financial Analysis</v>
      </c>
      <c r="G4577" s="2" t="str">
        <f t="array" ref="G4577">_xlfn.XLOOKUP(A4578,Product!A:A,Product!D:D,"Bulunamadı")</f>
        <v>Silverfield House</v>
      </c>
      <c r="H4577" s="2">
        <f t="array" ref="H4577">_xlfn.XLOOKUP(A4579,Product!A:A,Product!E:E,"Bulunamadı")</f>
        <v>2.98</v>
      </c>
      <c r="I4577" s="2" t="str">
        <f t="shared" si="1"/>
        <v>119120 - Medical - Financial Analysis</v>
      </c>
      <c r="J4577" s="2">
        <f t="shared" si="2"/>
        <v>417.2</v>
      </c>
      <c r="K4577" s="17">
        <f t="shared" si="3"/>
        <v>1</v>
      </c>
      <c r="L4577" s="18"/>
    </row>
    <row r="4578" hidden="1">
      <c r="A4578" s="2">
        <f>IFERROR(__xludf.DUMMYFUNCTION("""COMPUTED_VALUE"""),139297.0)</f>
        <v>139297</v>
      </c>
      <c r="B4578" s="2">
        <f>IFERROR(__xludf.DUMMYFUNCTION("""COMPUTED_VALUE"""),1.0)</f>
        <v>1</v>
      </c>
      <c r="C4578" s="2">
        <f>IFERROR(__xludf.DUMMYFUNCTION("""COMPUTED_VALUE"""),691.0)</f>
        <v>691</v>
      </c>
      <c r="D4578" s="3">
        <f>IFERROR(__xludf.DUMMYFUNCTION("""COMPUTED_VALUE"""),270.0)</f>
        <v>270</v>
      </c>
      <c r="E4578" s="1" t="str">
        <f t="array" ref="E4578">_xlfn.XLOOKUP(A4578,Product!A:A,Product!B:B,"Bulunamadı")</f>
        <v>Medical</v>
      </c>
      <c r="F4578" s="1" t="str">
        <f t="array" ref="F4578">_xlfn.XLOOKUP(A4578,Product!A:A,Product!C:C,"Bulunamadı")</f>
        <v>Financial Analysis</v>
      </c>
      <c r="G4578" s="2" t="str">
        <f t="array" ref="G4578">_xlfn.XLOOKUP(A4579,Product!A:A,Product!D:D,"Bulunamadı")</f>
        <v>Silverfield House</v>
      </c>
      <c r="H4578" s="2">
        <f t="array" ref="H4578">_xlfn.XLOOKUP(A4580,Product!A:A,Product!E:E,"Bulunamadı")</f>
        <v>2.78</v>
      </c>
      <c r="I4578" s="2" t="str">
        <f t="shared" si="1"/>
        <v>139297 - Medical - Financial Analysis</v>
      </c>
      <c r="J4578" s="2">
        <f t="shared" si="2"/>
        <v>750.6</v>
      </c>
      <c r="K4578" s="17">
        <f t="shared" si="3"/>
        <v>1</v>
      </c>
      <c r="L4578" s="18"/>
    </row>
    <row r="4579" hidden="1">
      <c r="A4579" s="2">
        <f>IFERROR(__xludf.DUMMYFUNCTION("""COMPUTED_VALUE"""),48476.0)</f>
        <v>48476</v>
      </c>
      <c r="B4579" s="2">
        <f>IFERROR(__xludf.DUMMYFUNCTION("""COMPUTED_VALUE"""),0.0)</f>
        <v>0</v>
      </c>
      <c r="C4579" s="2">
        <f>IFERROR(__xludf.DUMMYFUNCTION("""COMPUTED_VALUE"""),824.0)</f>
        <v>824</v>
      </c>
      <c r="D4579" s="3">
        <f>IFERROR(__xludf.DUMMYFUNCTION("""COMPUTED_VALUE"""),285.0)</f>
        <v>285</v>
      </c>
      <c r="E4579" s="1" t="str">
        <f t="array" ref="E4579">_xlfn.XLOOKUP(A4579,Product!A:A,Product!B:B,"Bulunamadı")</f>
        <v>Medical</v>
      </c>
      <c r="F4579" s="1" t="str">
        <f t="array" ref="F4579">_xlfn.XLOOKUP(A4579,Product!A:A,Product!C:C,"Bulunamadı")</f>
        <v>Financial Analysis</v>
      </c>
      <c r="G4579" s="2" t="str">
        <f t="array" ref="G4579">_xlfn.XLOOKUP(A4580,Product!A:A,Product!D:D,"Bulunamadı")</f>
        <v>Silverfield House</v>
      </c>
      <c r="H4579" s="2">
        <f t="array" ref="H4579">_xlfn.XLOOKUP(A4581,Product!A:A,Product!E:E,"Bulunamadı")</f>
        <v>2.7</v>
      </c>
      <c r="I4579" s="2" t="str">
        <f t="shared" si="1"/>
        <v>48476 - Medical - Financial Analysis</v>
      </c>
      <c r="J4579" s="2">
        <f t="shared" si="2"/>
        <v>769.5</v>
      </c>
      <c r="K4579" s="17">
        <f t="shared" si="3"/>
        <v>1</v>
      </c>
      <c r="L4579" s="18"/>
    </row>
    <row r="4580" hidden="1">
      <c r="A4580" s="2">
        <f>IFERROR(__xludf.DUMMYFUNCTION("""COMPUTED_VALUE"""),103454.0)</f>
        <v>103454</v>
      </c>
      <c r="B4580" s="2">
        <f>IFERROR(__xludf.DUMMYFUNCTION("""COMPUTED_VALUE"""),1.0)</f>
        <v>1</v>
      </c>
      <c r="C4580" s="2">
        <f>IFERROR(__xludf.DUMMYFUNCTION("""COMPUTED_VALUE"""),92.0)</f>
        <v>92</v>
      </c>
      <c r="D4580" s="3">
        <f>IFERROR(__xludf.DUMMYFUNCTION("""COMPUTED_VALUE"""),76.0)</f>
        <v>76</v>
      </c>
      <c r="E4580" s="1" t="str">
        <f t="array" ref="E4580">_xlfn.XLOOKUP(A4580,Product!A:A,Product!B:B,"Bulunamadı")</f>
        <v>Medical</v>
      </c>
      <c r="F4580" s="1" t="str">
        <f t="array" ref="F4580">_xlfn.XLOOKUP(A4580,Product!A:A,Product!C:C,"Bulunamadı")</f>
        <v>Financial Analysis</v>
      </c>
      <c r="G4580" s="2" t="str">
        <f t="array" ref="G4580">_xlfn.XLOOKUP(A4581,Product!A:A,Product!D:D,"Bulunamadı")</f>
        <v>Silverfield House</v>
      </c>
      <c r="H4580" s="2">
        <f t="array" ref="H4580">_xlfn.XLOOKUP(A4582,Product!A:A,Product!E:E,"Bulunamadı")</f>
        <v>4.03</v>
      </c>
      <c r="I4580" s="2" t="str">
        <f t="shared" si="1"/>
        <v>103454 - Medical - Financial Analysis</v>
      </c>
      <c r="J4580" s="2">
        <f t="shared" si="2"/>
        <v>306.28</v>
      </c>
      <c r="K4580" s="17">
        <f t="shared" si="3"/>
        <v>1</v>
      </c>
      <c r="L4580" s="18"/>
    </row>
    <row r="4581" hidden="1">
      <c r="A4581" s="2">
        <f>IFERROR(__xludf.DUMMYFUNCTION("""COMPUTED_VALUE"""),103456.0)</f>
        <v>103456</v>
      </c>
      <c r="B4581" s="2">
        <f>IFERROR(__xludf.DUMMYFUNCTION("""COMPUTED_VALUE"""),1.0)</f>
        <v>1</v>
      </c>
      <c r="C4581" s="2">
        <f>IFERROR(__xludf.DUMMYFUNCTION("""COMPUTED_VALUE"""),896.0)</f>
        <v>896</v>
      </c>
      <c r="D4581" s="3">
        <f>IFERROR(__xludf.DUMMYFUNCTION("""COMPUTED_VALUE"""),468.0)</f>
        <v>468</v>
      </c>
      <c r="E4581" s="1" t="str">
        <f t="array" ref="E4581">_xlfn.XLOOKUP(A4581,Product!A:A,Product!B:B,"Bulunamadı")</f>
        <v>Medical</v>
      </c>
      <c r="F4581" s="1" t="str">
        <f t="array" ref="F4581">_xlfn.XLOOKUP(A4581,Product!A:A,Product!C:C,"Bulunamadı")</f>
        <v>Financial Analysis</v>
      </c>
      <c r="G4581" s="2" t="str">
        <f t="array" ref="G4581">_xlfn.XLOOKUP(A4582,Product!A:A,Product!D:D,"Bulunamadı")</f>
        <v>Silverfield House</v>
      </c>
      <c r="H4581" s="2">
        <f t="array" ref="H4581">_xlfn.XLOOKUP(A4583,Product!A:A,Product!E:E,"Bulunamadı")</f>
        <v>8.1</v>
      </c>
      <c r="I4581" s="2" t="str">
        <f t="shared" si="1"/>
        <v>103456 - Medical - Financial Analysis</v>
      </c>
      <c r="J4581" s="2">
        <f t="shared" si="2"/>
        <v>3790.8</v>
      </c>
      <c r="K4581" s="17">
        <f t="shared" si="3"/>
        <v>1</v>
      </c>
      <c r="L4581" s="18"/>
    </row>
    <row r="4582" hidden="1">
      <c r="A4582" s="2">
        <f>IFERROR(__xludf.DUMMYFUNCTION("""COMPUTED_VALUE"""),139304.0)</f>
        <v>139304</v>
      </c>
      <c r="B4582" s="2">
        <f>IFERROR(__xludf.DUMMYFUNCTION("""COMPUTED_VALUE"""),1.0)</f>
        <v>1</v>
      </c>
      <c r="C4582" s="2">
        <f>IFERROR(__xludf.DUMMYFUNCTION("""COMPUTED_VALUE"""),795.0)</f>
        <v>795</v>
      </c>
      <c r="D4582" s="3">
        <f>IFERROR(__xludf.DUMMYFUNCTION("""COMPUTED_VALUE"""),574.0)</f>
        <v>574</v>
      </c>
      <c r="E4582" s="1" t="str">
        <f t="array" ref="E4582">_xlfn.XLOOKUP(A4582,Product!A:A,Product!B:B,"Bulunamadı")</f>
        <v>Medical</v>
      </c>
      <c r="F4582" s="1" t="str">
        <f t="array" ref="F4582">_xlfn.XLOOKUP(A4582,Product!A:A,Product!C:C,"Bulunamadı")</f>
        <v>Financial Analysis</v>
      </c>
      <c r="G4582" s="2" t="str">
        <f t="array" ref="G4582">_xlfn.XLOOKUP(A4583,Product!A:A,Product!D:D,"Bulunamadı")</f>
        <v>Northfield House</v>
      </c>
      <c r="H4582" s="2">
        <f t="array" ref="H4582">_xlfn.XLOOKUP(A4584,Product!A:A,Product!E:E,"Bulunamadı")</f>
        <v>7.96</v>
      </c>
      <c r="I4582" s="2" t="str">
        <f t="shared" si="1"/>
        <v>139304 - Medical - Financial Analysis</v>
      </c>
      <c r="J4582" s="2">
        <f t="shared" si="2"/>
        <v>4569.04</v>
      </c>
      <c r="K4582" s="17">
        <f t="shared" si="3"/>
        <v>1</v>
      </c>
      <c r="L4582" s="18"/>
    </row>
    <row r="4583" hidden="1">
      <c r="A4583" s="2">
        <f>IFERROR(__xludf.DUMMYFUNCTION("""COMPUTED_VALUE"""),158661.0)</f>
        <v>158661</v>
      </c>
      <c r="B4583" s="2">
        <f>IFERROR(__xludf.DUMMYFUNCTION("""COMPUTED_VALUE"""),1.0)</f>
        <v>1</v>
      </c>
      <c r="C4583" s="2">
        <f>IFERROR(__xludf.DUMMYFUNCTION("""COMPUTED_VALUE"""),155.0)</f>
        <v>155</v>
      </c>
      <c r="D4583" s="3">
        <f>IFERROR(__xludf.DUMMYFUNCTION("""COMPUTED_VALUE"""),115.0)</f>
        <v>115</v>
      </c>
      <c r="E4583" s="1" t="str">
        <f t="array" ref="E4583">_xlfn.XLOOKUP(A4583,Product!A:A,Product!B:B,"Bulunamadı")</f>
        <v>Law</v>
      </c>
      <c r="F4583" s="1" t="str">
        <f t="array" ref="F4583">_xlfn.XLOOKUP(A4583,Product!A:A,Product!C:C,"Bulunamadı")</f>
        <v>Financial Modeling</v>
      </c>
      <c r="G4583" s="2" t="str">
        <f t="array" ref="G4583">_xlfn.XLOOKUP(A4584,Product!A:A,Product!D:D,"Bulunamadı")</f>
        <v>Northfield House</v>
      </c>
      <c r="H4583" s="2">
        <f t="array" ref="H4583">_xlfn.XLOOKUP(A4585,Product!A:A,Product!E:E,"Bulunamadı")</f>
        <v>5.13</v>
      </c>
      <c r="I4583" s="2" t="str">
        <f t="shared" si="1"/>
        <v>158661 - Law - Financial Modeling</v>
      </c>
      <c r="J4583" s="2">
        <f t="shared" si="2"/>
        <v>589.95</v>
      </c>
      <c r="K4583" s="17">
        <f t="shared" si="3"/>
        <v>1</v>
      </c>
      <c r="L4583" s="18"/>
    </row>
    <row r="4584" hidden="1">
      <c r="A4584" s="2">
        <f>IFERROR(__xludf.DUMMYFUNCTION("""COMPUTED_VALUE"""),162441.0)</f>
        <v>162441</v>
      </c>
      <c r="B4584" s="2">
        <f>IFERROR(__xludf.DUMMYFUNCTION("""COMPUTED_VALUE"""),0.0)</f>
        <v>0</v>
      </c>
      <c r="C4584" s="2">
        <f>IFERROR(__xludf.DUMMYFUNCTION("""COMPUTED_VALUE"""),185.0)</f>
        <v>185</v>
      </c>
      <c r="D4584" s="3">
        <f>IFERROR(__xludf.DUMMYFUNCTION("""COMPUTED_VALUE"""),56.0)</f>
        <v>56</v>
      </c>
      <c r="E4584" s="1" t="str">
        <f t="array" ref="E4584">_xlfn.XLOOKUP(A4584,Product!A:A,Product!B:B,"Bulunamadı")</f>
        <v>Law</v>
      </c>
      <c r="F4584" s="1" t="str">
        <f t="array" ref="F4584">_xlfn.XLOOKUP(A4584,Product!A:A,Product!C:C,"Bulunamadı")</f>
        <v>Financial Modeling</v>
      </c>
      <c r="G4584" s="2" t="str">
        <f t="array" ref="G4584">_xlfn.XLOOKUP(A4585,Product!A:A,Product!D:D,"Bulunamadı")</f>
        <v>Northfield House</v>
      </c>
      <c r="H4584" s="2">
        <f t="array" ref="H4584">_xlfn.XLOOKUP(A4586,Product!A:A,Product!E:E,"Bulunamadı")</f>
        <v>4.18</v>
      </c>
      <c r="I4584" s="2" t="str">
        <f t="shared" si="1"/>
        <v>162441 - Law - Financial Modeling</v>
      </c>
      <c r="J4584" s="2">
        <f t="shared" si="2"/>
        <v>234.08</v>
      </c>
      <c r="K4584" s="17">
        <f t="shared" si="3"/>
        <v>1</v>
      </c>
      <c r="L4584" s="18"/>
    </row>
    <row r="4585" hidden="1">
      <c r="A4585" s="2">
        <f>IFERROR(__xludf.DUMMYFUNCTION("""COMPUTED_VALUE"""),102695.0)</f>
        <v>102695</v>
      </c>
      <c r="B4585" s="2">
        <f>IFERROR(__xludf.DUMMYFUNCTION("""COMPUTED_VALUE"""),1.0)</f>
        <v>1</v>
      </c>
      <c r="C4585" s="2">
        <f>IFERROR(__xludf.DUMMYFUNCTION("""COMPUTED_VALUE"""),645.0)</f>
        <v>645</v>
      </c>
      <c r="D4585" s="3">
        <f>IFERROR(__xludf.DUMMYFUNCTION("""COMPUTED_VALUE"""),407.0)</f>
        <v>407</v>
      </c>
      <c r="E4585" s="1" t="str">
        <f t="array" ref="E4585">_xlfn.XLOOKUP(A4585,Product!A:A,Product!B:B,"Bulunamadı")</f>
        <v>Law</v>
      </c>
      <c r="F4585" s="1" t="str">
        <f t="array" ref="F4585">_xlfn.XLOOKUP(A4585,Product!A:A,Product!C:C,"Bulunamadı")</f>
        <v>Financial Modeling</v>
      </c>
      <c r="G4585" s="2" t="str">
        <f t="array" ref="G4585">_xlfn.XLOOKUP(A4586,Product!A:A,Product!D:D,"Bulunamadı")</f>
        <v>Harborfield House</v>
      </c>
      <c r="H4585" s="2">
        <f t="array" ref="H4585">_xlfn.XLOOKUP(A4587,Product!A:A,Product!E:E,"Bulunamadı")</f>
        <v>3.02</v>
      </c>
      <c r="I4585" s="2" t="str">
        <f t="shared" si="1"/>
        <v>102695 - Law - Financial Modeling</v>
      </c>
      <c r="J4585" s="2">
        <f t="shared" si="2"/>
        <v>1229.14</v>
      </c>
      <c r="K4585" s="17">
        <f t="shared" si="3"/>
        <v>1</v>
      </c>
      <c r="L4585" s="18"/>
    </row>
    <row r="4586" hidden="1">
      <c r="A4586" s="2">
        <f>IFERROR(__xludf.DUMMYFUNCTION("""COMPUTED_VALUE"""),78913.0)</f>
        <v>78913</v>
      </c>
      <c r="B4586" s="2">
        <f>IFERROR(__xludf.DUMMYFUNCTION("""COMPUTED_VALUE"""),1.0)</f>
        <v>1</v>
      </c>
      <c r="C4586" s="2">
        <f>IFERROR(__xludf.DUMMYFUNCTION("""COMPUTED_VALUE"""),141.0)</f>
        <v>141</v>
      </c>
      <c r="D4586" s="3">
        <f>IFERROR(__xludf.DUMMYFUNCTION("""COMPUTED_VALUE"""),52.0)</f>
        <v>52</v>
      </c>
      <c r="E4586" s="1" t="str">
        <f t="array" ref="E4586">_xlfn.XLOOKUP(A4586,Product!A:A,Product!B:B,"Bulunamadı")</f>
        <v>Law</v>
      </c>
      <c r="F4586" s="1" t="str">
        <f t="array" ref="F4586">_xlfn.XLOOKUP(A4586,Product!A:A,Product!C:C,"Bulunamadı")</f>
        <v>Financial Modeling</v>
      </c>
      <c r="G4586" s="2" t="str">
        <f t="array" ref="G4586">_xlfn.XLOOKUP(A4587,Product!A:A,Product!D:D,"Bulunamadı")</f>
        <v>Harborfield House</v>
      </c>
      <c r="H4586" s="2">
        <f t="array" ref="H4586">_xlfn.XLOOKUP(A4588,Product!A:A,Product!E:E,"Bulunamadı")</f>
        <v>4.32</v>
      </c>
      <c r="I4586" s="2" t="str">
        <f t="shared" si="1"/>
        <v>78913 - Law - Financial Modeling</v>
      </c>
      <c r="J4586" s="2">
        <f t="shared" si="2"/>
        <v>224.64</v>
      </c>
      <c r="K4586" s="17">
        <f t="shared" si="3"/>
        <v>1</v>
      </c>
      <c r="L4586" s="18"/>
    </row>
    <row r="4587" hidden="1">
      <c r="A4587" s="2">
        <f>IFERROR(__xludf.DUMMYFUNCTION("""COMPUTED_VALUE"""),71397.0)</f>
        <v>71397</v>
      </c>
      <c r="B4587" s="2">
        <f>IFERROR(__xludf.DUMMYFUNCTION("""COMPUTED_VALUE"""),0.0)</f>
        <v>0</v>
      </c>
      <c r="C4587" s="2">
        <f>IFERROR(__xludf.DUMMYFUNCTION("""COMPUTED_VALUE"""),458.0)</f>
        <v>458</v>
      </c>
      <c r="D4587" s="3">
        <f>IFERROR(__xludf.DUMMYFUNCTION("""COMPUTED_VALUE"""),211.0)</f>
        <v>211</v>
      </c>
      <c r="E4587" s="1" t="str">
        <f t="array" ref="E4587">_xlfn.XLOOKUP(A4587,Product!A:A,Product!B:B,"Bulunamadı")</f>
        <v>Law</v>
      </c>
      <c r="F4587" s="1" t="str">
        <f t="array" ref="F4587">_xlfn.XLOOKUP(A4587,Product!A:A,Product!C:C,"Bulunamadı")</f>
        <v>Financial Modeling</v>
      </c>
      <c r="G4587" s="2" t="str">
        <f t="array" ref="G4587">_xlfn.XLOOKUP(A4588,Product!A:A,Product!D:D,"Bulunamadı")</f>
        <v>Harborfield House</v>
      </c>
      <c r="H4587" s="2">
        <f t="array" ref="H4587">_xlfn.XLOOKUP(A4589,Product!A:A,Product!E:E,"Bulunamadı")</f>
        <v>3.48</v>
      </c>
      <c r="I4587" s="2" t="str">
        <f t="shared" si="1"/>
        <v>71397 - Law - Financial Modeling</v>
      </c>
      <c r="J4587" s="2">
        <f t="shared" si="2"/>
        <v>734.28</v>
      </c>
      <c r="K4587" s="17">
        <f t="shared" si="3"/>
        <v>1</v>
      </c>
      <c r="L4587" s="18"/>
    </row>
    <row r="4588" hidden="1">
      <c r="A4588" s="2">
        <f>IFERROR(__xludf.DUMMYFUNCTION("""COMPUTED_VALUE"""),17596.0)</f>
        <v>17596</v>
      </c>
      <c r="B4588" s="2">
        <f>IFERROR(__xludf.DUMMYFUNCTION("""COMPUTED_VALUE"""),0.0)</f>
        <v>0</v>
      </c>
      <c r="C4588" s="2">
        <f>IFERROR(__xludf.DUMMYFUNCTION("""COMPUTED_VALUE"""),789.0)</f>
        <v>789</v>
      </c>
      <c r="D4588" s="3">
        <f>IFERROR(__xludf.DUMMYFUNCTION("""COMPUTED_VALUE"""),553.0)</f>
        <v>553</v>
      </c>
      <c r="E4588" s="1" t="str">
        <f t="array" ref="E4588">_xlfn.XLOOKUP(A4588,Product!A:A,Product!B:B,"Bulunamadı")</f>
        <v>Law</v>
      </c>
      <c r="F4588" s="1" t="str">
        <f t="array" ref="F4588">_xlfn.XLOOKUP(A4588,Product!A:A,Product!C:C,"Bulunamadı")</f>
        <v>Financial Modeling</v>
      </c>
      <c r="G4588" s="2" t="str">
        <f t="array" ref="G4588">_xlfn.XLOOKUP(A4589,Product!A:A,Product!D:D,"Bulunamadı")</f>
        <v>Harborfield House</v>
      </c>
      <c r="H4588" s="2">
        <f t="array" ref="H4588">_xlfn.XLOOKUP(A4590,Product!A:A,Product!E:E,"Bulunamadı")</f>
        <v>10.35</v>
      </c>
      <c r="I4588" s="2" t="str">
        <f t="shared" si="1"/>
        <v>17596 - Law - Financial Modeling</v>
      </c>
      <c r="J4588" s="2">
        <f t="shared" si="2"/>
        <v>5723.55</v>
      </c>
      <c r="K4588" s="17">
        <f t="shared" si="3"/>
        <v>1</v>
      </c>
      <c r="L4588" s="18"/>
    </row>
    <row r="4589" hidden="1">
      <c r="A4589" s="2">
        <f>IFERROR(__xludf.DUMMYFUNCTION("""COMPUTED_VALUE"""),71398.0)</f>
        <v>71398</v>
      </c>
      <c r="B4589" s="2">
        <f>IFERROR(__xludf.DUMMYFUNCTION("""COMPUTED_VALUE"""),0.0)</f>
        <v>0</v>
      </c>
      <c r="C4589" s="2">
        <f>IFERROR(__xludf.DUMMYFUNCTION("""COMPUTED_VALUE"""),320.0)</f>
        <v>320</v>
      </c>
      <c r="D4589" s="3">
        <f>IFERROR(__xludf.DUMMYFUNCTION("""COMPUTED_VALUE"""),200.0)</f>
        <v>200</v>
      </c>
      <c r="E4589" s="1" t="str">
        <f t="array" ref="E4589">_xlfn.XLOOKUP(A4589,Product!A:A,Product!B:B,"Bulunamadı")</f>
        <v>Law</v>
      </c>
      <c r="F4589" s="1" t="str">
        <f t="array" ref="F4589">_xlfn.XLOOKUP(A4589,Product!A:A,Product!C:C,"Bulunamadı")</f>
        <v>Financial Modeling</v>
      </c>
      <c r="G4589" s="2" t="str">
        <f t="array" ref="G4589">_xlfn.XLOOKUP(A4590,Product!A:A,Product!D:D,"Bulunamadı")</f>
        <v>Cedarfield House</v>
      </c>
      <c r="H4589" s="2">
        <f t="array" ref="H4589">_xlfn.XLOOKUP(A4591,Product!A:A,Product!E:E,"Bulunamadı")</f>
        <v>7.3</v>
      </c>
      <c r="I4589" s="2" t="str">
        <f t="shared" si="1"/>
        <v>71398 - Law - Financial Modeling</v>
      </c>
      <c r="J4589" s="2">
        <f t="shared" si="2"/>
        <v>1460</v>
      </c>
      <c r="K4589" s="17">
        <f t="shared" si="3"/>
        <v>1</v>
      </c>
      <c r="L4589" s="18"/>
    </row>
    <row r="4590" hidden="1">
      <c r="A4590" s="2">
        <f>IFERROR(__xludf.DUMMYFUNCTION("""COMPUTED_VALUE"""),17627.0)</f>
        <v>17627</v>
      </c>
      <c r="B4590" s="2">
        <f>IFERROR(__xludf.DUMMYFUNCTION("""COMPUTED_VALUE"""),1.0)</f>
        <v>1</v>
      </c>
      <c r="C4590" s="2">
        <f>IFERROR(__xludf.DUMMYFUNCTION("""COMPUTED_VALUE"""),204.0)</f>
        <v>204</v>
      </c>
      <c r="D4590" s="3">
        <f>IFERROR(__xludf.DUMMYFUNCTION("""COMPUTED_VALUE"""),22.0)</f>
        <v>22</v>
      </c>
      <c r="E4590" s="1" t="str">
        <f t="array" ref="E4590">_xlfn.XLOOKUP(A4590,Product!A:A,Product!B:B,"Bulunamadı")</f>
        <v>Law</v>
      </c>
      <c r="F4590" s="1" t="str">
        <f t="array" ref="F4590">_xlfn.XLOOKUP(A4590,Product!A:A,Product!C:C,"Bulunamadı")</f>
        <v>Financial Modeling</v>
      </c>
      <c r="G4590" s="2" t="str">
        <f t="array" ref="G4590">_xlfn.XLOOKUP(A4591,Product!A:A,Product!D:D,"Bulunamadı")</f>
        <v>Brightfield House</v>
      </c>
      <c r="H4590" s="2">
        <f t="array" ref="H4590">_xlfn.XLOOKUP(A4592,Product!A:A,Product!E:E,"Bulunamadı")</f>
        <v>22.39</v>
      </c>
      <c r="I4590" s="2" t="str">
        <f t="shared" si="1"/>
        <v>17627 - Law - Financial Modeling</v>
      </c>
      <c r="J4590" s="2">
        <f t="shared" si="2"/>
        <v>492.58</v>
      </c>
      <c r="K4590" s="17">
        <f t="shared" si="3"/>
        <v>1</v>
      </c>
      <c r="L4590" s="18"/>
    </row>
    <row r="4591" hidden="1">
      <c r="A4591" s="2">
        <f>IFERROR(__xludf.DUMMYFUNCTION("""COMPUTED_VALUE"""),86166.0)</f>
        <v>86166</v>
      </c>
      <c r="B4591" s="2">
        <f>IFERROR(__xludf.DUMMYFUNCTION("""COMPUTED_VALUE"""),0.0)</f>
        <v>0</v>
      </c>
      <c r="C4591" s="2">
        <f>IFERROR(__xludf.DUMMYFUNCTION("""COMPUTED_VALUE"""),290.0)</f>
        <v>290</v>
      </c>
      <c r="D4591" s="3">
        <f>IFERROR(__xludf.DUMMYFUNCTION("""COMPUTED_VALUE"""),198.0)</f>
        <v>198</v>
      </c>
      <c r="E4591" s="1" t="str">
        <f t="array" ref="E4591">_xlfn.XLOOKUP(A4591,Product!A:A,Product!B:B,"Bulunamadı")</f>
        <v>Law</v>
      </c>
      <c r="F4591" s="1" t="str">
        <f t="array" ref="F4591">_xlfn.XLOOKUP(A4591,Product!A:A,Product!C:C,"Bulunamadı")</f>
        <v>Financial Modeling</v>
      </c>
      <c r="G4591" s="2" t="str">
        <f t="array" ref="G4591">_xlfn.XLOOKUP(A4592,Product!A:A,Product!D:D,"Bulunamadı")</f>
        <v>Brightfield House</v>
      </c>
      <c r="H4591" s="2">
        <f t="array" ref="H4591">_xlfn.XLOOKUP(A4593,Product!A:A,Product!E:E,"Bulunamadı")</f>
        <v>19.54</v>
      </c>
      <c r="I4591" s="2" t="str">
        <f t="shared" si="1"/>
        <v>86166 - Law - Financial Modeling</v>
      </c>
      <c r="J4591" s="2">
        <f t="shared" si="2"/>
        <v>3868.92</v>
      </c>
      <c r="K4591" s="17">
        <f t="shared" si="3"/>
        <v>1</v>
      </c>
      <c r="L4591" s="18"/>
    </row>
    <row r="4592" hidden="1">
      <c r="A4592" s="2">
        <f>IFERROR(__xludf.DUMMYFUNCTION("""COMPUTED_VALUE"""),71409.0)</f>
        <v>71409</v>
      </c>
      <c r="B4592" s="2">
        <f>IFERROR(__xludf.DUMMYFUNCTION("""COMPUTED_VALUE"""),1.0)</f>
        <v>1</v>
      </c>
      <c r="C4592" s="2">
        <f>IFERROR(__xludf.DUMMYFUNCTION("""COMPUTED_VALUE"""),880.0)</f>
        <v>880</v>
      </c>
      <c r="D4592" s="3">
        <f>IFERROR(__xludf.DUMMYFUNCTION("""COMPUTED_VALUE"""),173.0)</f>
        <v>173</v>
      </c>
      <c r="E4592" s="1" t="str">
        <f t="array" ref="E4592">_xlfn.XLOOKUP(A4592,Product!A:A,Product!B:B,"Bulunamadı")</f>
        <v>Law</v>
      </c>
      <c r="F4592" s="1" t="str">
        <f t="array" ref="F4592">_xlfn.XLOOKUP(A4592,Product!A:A,Product!C:C,"Bulunamadı")</f>
        <v>Financial Modeling</v>
      </c>
      <c r="G4592" s="2" t="str">
        <f t="array" ref="G4592">_xlfn.XLOOKUP(A4593,Product!A:A,Product!D:D,"Bulunamadı")</f>
        <v>Brightfield House</v>
      </c>
      <c r="H4592" s="2">
        <f t="array" ref="H4592">_xlfn.XLOOKUP(A4594,Product!A:A,Product!E:E,"Bulunamadı")</f>
        <v>3.84</v>
      </c>
      <c r="I4592" s="2" t="str">
        <f t="shared" si="1"/>
        <v>71409 - Law - Financial Modeling</v>
      </c>
      <c r="J4592" s="2">
        <f t="shared" si="2"/>
        <v>664.32</v>
      </c>
      <c r="K4592" s="17">
        <f t="shared" si="3"/>
        <v>1</v>
      </c>
      <c r="L4592" s="18"/>
    </row>
    <row r="4593" hidden="1">
      <c r="A4593" s="2">
        <f>IFERROR(__xludf.DUMMYFUNCTION("""COMPUTED_VALUE"""),12877.0)</f>
        <v>12877</v>
      </c>
      <c r="B4593" s="2">
        <f>IFERROR(__xludf.DUMMYFUNCTION("""COMPUTED_VALUE"""),1.0)</f>
        <v>1</v>
      </c>
      <c r="C4593" s="2">
        <f>IFERROR(__xludf.DUMMYFUNCTION("""COMPUTED_VALUE"""),671.0)</f>
        <v>671</v>
      </c>
      <c r="D4593" s="3">
        <f>IFERROR(__xludf.DUMMYFUNCTION("""COMPUTED_VALUE"""),416.0)</f>
        <v>416</v>
      </c>
      <c r="E4593" s="1" t="str">
        <f t="array" ref="E4593">_xlfn.XLOOKUP(A4593,Product!A:A,Product!B:B,"Bulunamadı")</f>
        <v>Law</v>
      </c>
      <c r="F4593" s="1" t="str">
        <f t="array" ref="F4593">_xlfn.XLOOKUP(A4593,Product!A:A,Product!C:C,"Bulunamadı")</f>
        <v>Financial Modeling</v>
      </c>
      <c r="G4593" s="2" t="str">
        <f t="array" ref="G4593">_xlfn.XLOOKUP(A4594,Product!A:A,Product!D:D,"Bulunamadı")</f>
        <v>Brightfield House</v>
      </c>
      <c r="H4593" s="2">
        <f t="array" ref="H4593">_xlfn.XLOOKUP(A4595,Product!A:A,Product!E:E,"Bulunamadı")</f>
        <v>38.75</v>
      </c>
      <c r="I4593" s="2" t="str">
        <f t="shared" si="1"/>
        <v>12877 - Law - Financial Modeling</v>
      </c>
      <c r="J4593" s="2">
        <f t="shared" si="2"/>
        <v>16120</v>
      </c>
      <c r="K4593" s="17">
        <f t="shared" si="3"/>
        <v>1</v>
      </c>
      <c r="L4593" s="18"/>
    </row>
    <row r="4594" hidden="1">
      <c r="A4594" s="2">
        <f>IFERROR(__xludf.DUMMYFUNCTION("""COMPUTED_VALUE"""),121868.0)</f>
        <v>121868</v>
      </c>
      <c r="B4594" s="2">
        <f>IFERROR(__xludf.DUMMYFUNCTION("""COMPUTED_VALUE"""),0.0)</f>
        <v>0</v>
      </c>
      <c r="C4594" s="2">
        <f>IFERROR(__xludf.DUMMYFUNCTION("""COMPUTED_VALUE"""),516.0)</f>
        <v>516</v>
      </c>
      <c r="D4594" s="3">
        <f>IFERROR(__xludf.DUMMYFUNCTION("""COMPUTED_VALUE"""),447.0)</f>
        <v>447</v>
      </c>
      <c r="E4594" s="1" t="str">
        <f t="array" ref="E4594">_xlfn.XLOOKUP(A4594,Product!A:A,Product!B:B,"Bulunamadı")</f>
        <v>Law</v>
      </c>
      <c r="F4594" s="1" t="str">
        <f t="array" ref="F4594">_xlfn.XLOOKUP(A4594,Product!A:A,Product!C:C,"Bulunamadı")</f>
        <v>Financial Modeling</v>
      </c>
      <c r="G4594" s="2" t="str">
        <f t="array" ref="G4594">_xlfn.XLOOKUP(A4595,Product!A:A,Product!D:D,"Bulunamadı")</f>
        <v>Brightfield House</v>
      </c>
      <c r="H4594" s="2">
        <f t="array" ref="H4594">_xlfn.XLOOKUP(A4596,Product!A:A,Product!E:E,"Bulunamadı")</f>
        <v>5.82</v>
      </c>
      <c r="I4594" s="2" t="str">
        <f t="shared" si="1"/>
        <v>121868 - Law - Financial Modeling</v>
      </c>
      <c r="J4594" s="2">
        <f t="shared" si="2"/>
        <v>2601.54</v>
      </c>
      <c r="K4594" s="17">
        <f t="shared" si="3"/>
        <v>1</v>
      </c>
      <c r="L4594" s="18"/>
    </row>
    <row r="4595" hidden="1">
      <c r="A4595" s="2">
        <f>IFERROR(__xludf.DUMMYFUNCTION("""COMPUTED_VALUE"""),17626.0)</f>
        <v>17626</v>
      </c>
      <c r="B4595" s="2">
        <f>IFERROR(__xludf.DUMMYFUNCTION("""COMPUTED_VALUE"""),0.0)</f>
        <v>0</v>
      </c>
      <c r="C4595" s="2">
        <f>IFERROR(__xludf.DUMMYFUNCTION("""COMPUTED_VALUE"""),541.0)</f>
        <v>541</v>
      </c>
      <c r="D4595" s="3">
        <f>IFERROR(__xludf.DUMMYFUNCTION("""COMPUTED_VALUE"""),142.0)</f>
        <v>142</v>
      </c>
      <c r="E4595" s="1" t="str">
        <f t="array" ref="E4595">_xlfn.XLOOKUP(A4595,Product!A:A,Product!B:B,"Bulunamadı")</f>
        <v>Law</v>
      </c>
      <c r="F4595" s="1" t="str">
        <f t="array" ref="F4595">_xlfn.XLOOKUP(A4595,Product!A:A,Product!C:C,"Bulunamadı")</f>
        <v>Financial Modeling</v>
      </c>
      <c r="G4595" s="2" t="str">
        <f t="array" ref="G4595">_xlfn.XLOOKUP(A4596,Product!A:A,Product!D:D,"Bulunamadı")</f>
        <v>Brightfield House</v>
      </c>
      <c r="H4595" s="2">
        <f t="array" ref="H4595">_xlfn.XLOOKUP(A4597,Product!A:A,Product!E:E,"Bulunamadı")</f>
        <v>6.3</v>
      </c>
      <c r="I4595" s="2" t="str">
        <f t="shared" si="1"/>
        <v>17626 - Law - Financial Modeling</v>
      </c>
      <c r="J4595" s="2">
        <f t="shared" si="2"/>
        <v>894.6</v>
      </c>
      <c r="K4595" s="17">
        <f t="shared" si="3"/>
        <v>1</v>
      </c>
      <c r="L4595" s="18"/>
    </row>
    <row r="4596" hidden="1">
      <c r="A4596" s="2">
        <f>IFERROR(__xludf.DUMMYFUNCTION("""COMPUTED_VALUE"""),71394.0)</f>
        <v>71394</v>
      </c>
      <c r="B4596" s="2">
        <f>IFERROR(__xludf.DUMMYFUNCTION("""COMPUTED_VALUE"""),1.0)</f>
        <v>1</v>
      </c>
      <c r="C4596" s="2">
        <f>IFERROR(__xludf.DUMMYFUNCTION("""COMPUTED_VALUE"""),20.0)</f>
        <v>20</v>
      </c>
      <c r="D4596" s="3">
        <f>IFERROR(__xludf.DUMMYFUNCTION("""COMPUTED_VALUE"""),16.0)</f>
        <v>16</v>
      </c>
      <c r="E4596" s="1" t="str">
        <f t="array" ref="E4596">_xlfn.XLOOKUP(A4596,Product!A:A,Product!B:B,"Bulunamadı")</f>
        <v>Law</v>
      </c>
      <c r="F4596" s="1" t="str">
        <f t="array" ref="F4596">_xlfn.XLOOKUP(A4596,Product!A:A,Product!C:C,"Bulunamadı")</f>
        <v>Financial Modeling</v>
      </c>
      <c r="G4596" s="2" t="str">
        <f t="array" ref="G4596">_xlfn.XLOOKUP(A4597,Product!A:A,Product!D:D,"Bulunamadı")</f>
        <v>Brightfield House</v>
      </c>
      <c r="H4596" s="2">
        <f t="array" ref="H4596">_xlfn.XLOOKUP(A4598,Product!A:A,Product!E:E,"Bulunamadı")</f>
        <v>6.74</v>
      </c>
      <c r="I4596" s="2" t="str">
        <f t="shared" si="1"/>
        <v>71394 - Law - Financial Modeling</v>
      </c>
      <c r="J4596" s="2">
        <f t="shared" si="2"/>
        <v>107.84</v>
      </c>
      <c r="K4596" s="17">
        <f t="shared" si="3"/>
        <v>1</v>
      </c>
      <c r="L4596" s="18"/>
    </row>
    <row r="4597" hidden="1">
      <c r="A4597" s="2">
        <f>IFERROR(__xludf.DUMMYFUNCTION("""COMPUTED_VALUE"""),17620.0)</f>
        <v>17620</v>
      </c>
      <c r="B4597" s="2">
        <f>IFERROR(__xludf.DUMMYFUNCTION("""COMPUTED_VALUE"""),1.0)</f>
        <v>1</v>
      </c>
      <c r="C4597" s="2">
        <f>IFERROR(__xludf.DUMMYFUNCTION("""COMPUTED_VALUE"""),22.0)</f>
        <v>22</v>
      </c>
      <c r="D4597" s="3">
        <f>IFERROR(__xludf.DUMMYFUNCTION("""COMPUTED_VALUE"""),13.0)</f>
        <v>13</v>
      </c>
      <c r="E4597" s="1" t="str">
        <f t="array" ref="E4597">_xlfn.XLOOKUP(A4597,Product!A:A,Product!B:B,"Bulunamadı")</f>
        <v>Law</v>
      </c>
      <c r="F4597" s="1" t="str">
        <f t="array" ref="F4597">_xlfn.XLOOKUP(A4597,Product!A:A,Product!C:C,"Bulunamadı")</f>
        <v>Financial Modeling</v>
      </c>
      <c r="G4597" s="2" t="str">
        <f t="array" ref="G4597">_xlfn.XLOOKUP(A4598,Product!A:A,Product!D:D,"Bulunamadı")</f>
        <v>Brightfield House</v>
      </c>
      <c r="H4597" s="2">
        <f t="array" ref="H4597">_xlfn.XLOOKUP(A4599,Product!A:A,Product!E:E,"Bulunamadı")</f>
        <v>6.1</v>
      </c>
      <c r="I4597" s="2" t="str">
        <f t="shared" si="1"/>
        <v>17620 - Law - Financial Modeling</v>
      </c>
      <c r="J4597" s="2">
        <f t="shared" si="2"/>
        <v>79.3</v>
      </c>
      <c r="K4597" s="17">
        <f t="shared" si="3"/>
        <v>1</v>
      </c>
      <c r="L4597" s="18"/>
    </row>
    <row r="4598" hidden="1">
      <c r="A4598" s="2">
        <f>IFERROR(__xludf.DUMMYFUNCTION("""COMPUTED_VALUE"""),86186.0)</f>
        <v>86186</v>
      </c>
      <c r="B4598" s="2">
        <f>IFERROR(__xludf.DUMMYFUNCTION("""COMPUTED_VALUE"""),0.0)</f>
        <v>0</v>
      </c>
      <c r="C4598" s="2">
        <f>IFERROR(__xludf.DUMMYFUNCTION("""COMPUTED_VALUE"""),746.0)</f>
        <v>746</v>
      </c>
      <c r="D4598" s="3">
        <f>IFERROR(__xludf.DUMMYFUNCTION("""COMPUTED_VALUE"""),470.0)</f>
        <v>470</v>
      </c>
      <c r="E4598" s="1" t="str">
        <f t="array" ref="E4598">_xlfn.XLOOKUP(A4598,Product!A:A,Product!B:B,"Bulunamadı")</f>
        <v>Law</v>
      </c>
      <c r="F4598" s="1" t="str">
        <f t="array" ref="F4598">_xlfn.XLOOKUP(A4598,Product!A:A,Product!C:C,"Bulunamadı")</f>
        <v>Financial Modeling</v>
      </c>
      <c r="G4598" s="2" t="str">
        <f t="array" ref="G4598">_xlfn.XLOOKUP(A4599,Product!A:A,Product!D:D,"Bulunamadı")</f>
        <v>Brightfield House</v>
      </c>
      <c r="H4598" s="2">
        <f t="array" ref="H4598">_xlfn.XLOOKUP(A4600,Product!A:A,Product!E:E,"Bulunamadı")</f>
        <v>12.5</v>
      </c>
      <c r="I4598" s="2" t="str">
        <f t="shared" si="1"/>
        <v>86186 - Law - Financial Modeling</v>
      </c>
      <c r="J4598" s="2">
        <f t="shared" si="2"/>
        <v>5875</v>
      </c>
      <c r="K4598" s="17">
        <f t="shared" si="3"/>
        <v>1</v>
      </c>
      <c r="L4598" s="18"/>
    </row>
    <row r="4599" hidden="1">
      <c r="A4599" s="2">
        <f>IFERROR(__xludf.DUMMYFUNCTION("""COMPUTED_VALUE"""),71410.0)</f>
        <v>71410</v>
      </c>
      <c r="B4599" s="2">
        <f>IFERROR(__xludf.DUMMYFUNCTION("""COMPUTED_VALUE"""),1.0)</f>
        <v>1</v>
      </c>
      <c r="C4599" s="2">
        <f>IFERROR(__xludf.DUMMYFUNCTION("""COMPUTED_VALUE"""),766.0)</f>
        <v>766</v>
      </c>
      <c r="D4599" s="3">
        <f>IFERROR(__xludf.DUMMYFUNCTION("""COMPUTED_VALUE"""),355.0)</f>
        <v>355</v>
      </c>
      <c r="E4599" s="1" t="str">
        <f t="array" ref="E4599">_xlfn.XLOOKUP(A4599,Product!A:A,Product!B:B,"Bulunamadı")</f>
        <v>Law</v>
      </c>
      <c r="F4599" s="1" t="str">
        <f t="array" ref="F4599">_xlfn.XLOOKUP(A4599,Product!A:A,Product!C:C,"Bulunamadı")</f>
        <v>Financial Modeling</v>
      </c>
      <c r="G4599" s="2" t="str">
        <f t="array" ref="G4599">_xlfn.XLOOKUP(A4600,Product!A:A,Product!D:D,"Bulunamadı")</f>
        <v>Brightfield House</v>
      </c>
      <c r="H4599" s="2">
        <f t="array" ref="H4599">_xlfn.XLOOKUP(A4601,Product!A:A,Product!E:E,"Bulunamadı")</f>
        <v>6.48</v>
      </c>
      <c r="I4599" s="2" t="str">
        <f t="shared" si="1"/>
        <v>71410 - Law - Financial Modeling</v>
      </c>
      <c r="J4599" s="2">
        <f t="shared" si="2"/>
        <v>2300.4</v>
      </c>
      <c r="K4599" s="17">
        <f t="shared" si="3"/>
        <v>1</v>
      </c>
      <c r="L4599" s="18"/>
    </row>
    <row r="4600" hidden="1">
      <c r="A4600" s="2">
        <f>IFERROR(__xludf.DUMMYFUNCTION("""COMPUTED_VALUE"""),121869.0)</f>
        <v>121869</v>
      </c>
      <c r="B4600" s="2">
        <f>IFERROR(__xludf.DUMMYFUNCTION("""COMPUTED_VALUE"""),0.0)</f>
        <v>0</v>
      </c>
      <c r="C4600" s="2">
        <f>IFERROR(__xludf.DUMMYFUNCTION("""COMPUTED_VALUE"""),510.0)</f>
        <v>510</v>
      </c>
      <c r="D4600" s="3">
        <f>IFERROR(__xludf.DUMMYFUNCTION("""COMPUTED_VALUE"""),280.0)</f>
        <v>280</v>
      </c>
      <c r="E4600" s="1" t="str">
        <f t="array" ref="E4600">_xlfn.XLOOKUP(A4600,Product!A:A,Product!B:B,"Bulunamadı")</f>
        <v>Law</v>
      </c>
      <c r="F4600" s="1" t="str">
        <f t="array" ref="F4600">_xlfn.XLOOKUP(A4600,Product!A:A,Product!C:C,"Bulunamadı")</f>
        <v>Financial Modeling</v>
      </c>
      <c r="G4600" s="2" t="str">
        <f t="array" ref="G4600">_xlfn.XLOOKUP(A4601,Product!A:A,Product!D:D,"Bulunamadı")</f>
        <v>Brightfield House</v>
      </c>
      <c r="H4600" s="2">
        <f t="array" ref="H4600">_xlfn.XLOOKUP(A4602,Product!A:A,Product!E:E,"Bulunamadı")</f>
        <v>16.54</v>
      </c>
      <c r="I4600" s="2" t="str">
        <f t="shared" si="1"/>
        <v>121869 - Law - Financial Modeling</v>
      </c>
      <c r="J4600" s="2">
        <f t="shared" si="2"/>
        <v>4631.2</v>
      </c>
      <c r="K4600" s="17">
        <f t="shared" si="3"/>
        <v>1</v>
      </c>
      <c r="L4600" s="18"/>
    </row>
    <row r="4601" hidden="1">
      <c r="A4601" s="2">
        <f>IFERROR(__xludf.DUMMYFUNCTION("""COMPUTED_VALUE"""),17624.0)</f>
        <v>17624</v>
      </c>
      <c r="B4601" s="2">
        <f>IFERROR(__xludf.DUMMYFUNCTION("""COMPUTED_VALUE"""),1.0)</f>
        <v>1</v>
      </c>
      <c r="C4601" s="2">
        <f>IFERROR(__xludf.DUMMYFUNCTION("""COMPUTED_VALUE"""),547.0)</f>
        <v>547</v>
      </c>
      <c r="D4601" s="3">
        <f>IFERROR(__xludf.DUMMYFUNCTION("""COMPUTED_VALUE"""),236.0)</f>
        <v>236</v>
      </c>
      <c r="E4601" s="1" t="str">
        <f t="array" ref="E4601">_xlfn.XLOOKUP(A4601,Product!A:A,Product!B:B,"Bulunamadı")</f>
        <v>Law</v>
      </c>
      <c r="F4601" s="1" t="str">
        <f t="array" ref="F4601">_xlfn.XLOOKUP(A4601,Product!A:A,Product!C:C,"Bulunamadı")</f>
        <v>Financial Modeling</v>
      </c>
      <c r="G4601" s="2" t="str">
        <f t="array" ref="G4601">_xlfn.XLOOKUP(A4602,Product!A:A,Product!D:D,"Bulunamadı")</f>
        <v>Brightfield House</v>
      </c>
      <c r="H4601" s="2">
        <f t="array" ref="H4601">_xlfn.XLOOKUP(A4603,Product!A:A,Product!E:E,"Bulunamadı")</f>
        <v>4.72</v>
      </c>
      <c r="I4601" s="2" t="str">
        <f t="shared" si="1"/>
        <v>17624 - Law - Financial Modeling</v>
      </c>
      <c r="J4601" s="2">
        <f t="shared" si="2"/>
        <v>1113.92</v>
      </c>
      <c r="K4601" s="17">
        <f t="shared" si="3"/>
        <v>1</v>
      </c>
      <c r="L4601" s="18"/>
    </row>
    <row r="4602" hidden="1">
      <c r="A4602" s="2">
        <f>IFERROR(__xludf.DUMMYFUNCTION("""COMPUTED_VALUE"""),119737.0)</f>
        <v>119737</v>
      </c>
      <c r="B4602" s="2">
        <f>IFERROR(__xludf.DUMMYFUNCTION("""COMPUTED_VALUE"""),0.0)</f>
        <v>0</v>
      </c>
      <c r="C4602" s="2">
        <f>IFERROR(__xludf.DUMMYFUNCTION("""COMPUTED_VALUE"""),524.0)</f>
        <v>524</v>
      </c>
      <c r="D4602" s="3">
        <f>IFERROR(__xludf.DUMMYFUNCTION("""COMPUTED_VALUE"""),422.0)</f>
        <v>422</v>
      </c>
      <c r="E4602" s="1" t="str">
        <f t="array" ref="E4602">_xlfn.XLOOKUP(A4602,Product!A:A,Product!B:B,"Bulunamadı")</f>
        <v>Law</v>
      </c>
      <c r="F4602" s="1" t="str">
        <f t="array" ref="F4602">_xlfn.XLOOKUP(A4602,Product!A:A,Product!C:C,"Bulunamadı")</f>
        <v>Financial Modeling</v>
      </c>
      <c r="G4602" s="2" t="str">
        <f t="array" ref="G4602">_xlfn.XLOOKUP(A4603,Product!A:A,Product!D:D,"Bulunamadı")</f>
        <v>Brightfield House</v>
      </c>
      <c r="H4602" s="2">
        <f t="array" ref="H4602">_xlfn.XLOOKUP(A4604,Product!A:A,Product!E:E,"Bulunamadı")</f>
        <v>7.55</v>
      </c>
      <c r="I4602" s="2" t="str">
        <f t="shared" si="1"/>
        <v>119737 - Law - Financial Modeling</v>
      </c>
      <c r="J4602" s="2">
        <f t="shared" si="2"/>
        <v>3186.1</v>
      </c>
      <c r="K4602" s="17">
        <f t="shared" si="3"/>
        <v>1</v>
      </c>
      <c r="L4602" s="18"/>
    </row>
    <row r="4603" hidden="1">
      <c r="A4603" s="2">
        <f>IFERROR(__xludf.DUMMYFUNCTION("""COMPUTED_VALUE"""),17618.0)</f>
        <v>17618</v>
      </c>
      <c r="B4603" s="2">
        <f>IFERROR(__xludf.DUMMYFUNCTION("""COMPUTED_VALUE"""),0.0)</f>
        <v>0</v>
      </c>
      <c r="C4603" s="2">
        <f>IFERROR(__xludf.DUMMYFUNCTION("""COMPUTED_VALUE"""),848.0)</f>
        <v>848</v>
      </c>
      <c r="D4603" s="3">
        <f>IFERROR(__xludf.DUMMYFUNCTION("""COMPUTED_VALUE"""),567.0)</f>
        <v>567</v>
      </c>
      <c r="E4603" s="1" t="str">
        <f t="array" ref="E4603">_xlfn.XLOOKUP(A4603,Product!A:A,Product!B:B,"Bulunamadı")</f>
        <v>Law</v>
      </c>
      <c r="F4603" s="1" t="str">
        <f t="array" ref="F4603">_xlfn.XLOOKUP(A4603,Product!A:A,Product!C:C,"Bulunamadı")</f>
        <v>Financial Modeling</v>
      </c>
      <c r="G4603" s="2" t="str">
        <f t="array" ref="G4603">_xlfn.XLOOKUP(A4604,Product!A:A,Product!D:D,"Bulunamadı")</f>
        <v>Brightfield House</v>
      </c>
      <c r="H4603" s="2">
        <f t="array" ref="H4603">_xlfn.XLOOKUP(A4605,Product!A:A,Product!E:E,"Bulunamadı")</f>
        <v>8.23</v>
      </c>
      <c r="I4603" s="2" t="str">
        <f t="shared" si="1"/>
        <v>17618 - Law - Financial Modeling</v>
      </c>
      <c r="J4603" s="2">
        <f t="shared" si="2"/>
        <v>4666.41</v>
      </c>
      <c r="K4603" s="17">
        <f t="shared" si="3"/>
        <v>1</v>
      </c>
      <c r="L4603" s="18"/>
    </row>
    <row r="4604" hidden="1">
      <c r="A4604" s="2">
        <f>IFERROR(__xludf.DUMMYFUNCTION("""COMPUTED_VALUE"""),78741.0)</f>
        <v>78741</v>
      </c>
      <c r="B4604" s="2">
        <f>IFERROR(__xludf.DUMMYFUNCTION("""COMPUTED_VALUE"""),0.0)</f>
        <v>0</v>
      </c>
      <c r="C4604" s="2">
        <f>IFERROR(__xludf.DUMMYFUNCTION("""COMPUTED_VALUE"""),246.0)</f>
        <v>246</v>
      </c>
      <c r="D4604" s="3">
        <f>IFERROR(__xludf.DUMMYFUNCTION("""COMPUTED_VALUE"""),240.0)</f>
        <v>240</v>
      </c>
      <c r="E4604" s="1" t="str">
        <f t="array" ref="E4604">_xlfn.XLOOKUP(A4604,Product!A:A,Product!B:B,"Bulunamadı")</f>
        <v>Law</v>
      </c>
      <c r="F4604" s="1" t="str">
        <f t="array" ref="F4604">_xlfn.XLOOKUP(A4604,Product!A:A,Product!C:C,"Bulunamadı")</f>
        <v>Financial Modeling</v>
      </c>
      <c r="G4604" s="2" t="str">
        <f t="array" ref="G4604">_xlfn.XLOOKUP(A4605,Product!A:A,Product!D:D,"Bulunamadı")</f>
        <v>Brightfield House</v>
      </c>
      <c r="H4604" s="2">
        <f t="array" ref="H4604">_xlfn.XLOOKUP(A4606,Product!A:A,Product!E:E,"Bulunamadı")</f>
        <v>7.51</v>
      </c>
      <c r="I4604" s="2" t="str">
        <f t="shared" si="1"/>
        <v>78741 - Law - Financial Modeling</v>
      </c>
      <c r="J4604" s="2">
        <f t="shared" si="2"/>
        <v>1802.4</v>
      </c>
      <c r="K4604" s="17">
        <f t="shared" si="3"/>
        <v>1</v>
      </c>
      <c r="L4604" s="18"/>
    </row>
    <row r="4605" hidden="1">
      <c r="A4605" s="2">
        <f>IFERROR(__xludf.DUMMYFUNCTION("""COMPUTED_VALUE"""),86864.0)</f>
        <v>86864</v>
      </c>
      <c r="B4605" s="2">
        <f>IFERROR(__xludf.DUMMYFUNCTION("""COMPUTED_VALUE"""),1.0)</f>
        <v>1</v>
      </c>
      <c r="C4605" s="2">
        <f>IFERROR(__xludf.DUMMYFUNCTION("""COMPUTED_VALUE"""),85.0)</f>
        <v>85</v>
      </c>
      <c r="D4605" s="3">
        <f>IFERROR(__xludf.DUMMYFUNCTION("""COMPUTED_VALUE"""),43.0)</f>
        <v>43</v>
      </c>
      <c r="E4605" s="1" t="str">
        <f t="array" ref="E4605">_xlfn.XLOOKUP(A4605,Product!A:A,Product!B:B,"Bulunamadı")</f>
        <v>Law</v>
      </c>
      <c r="F4605" s="1" t="str">
        <f t="array" ref="F4605">_xlfn.XLOOKUP(A4605,Product!A:A,Product!C:C,"Bulunamadı")</f>
        <v>Financial Modeling</v>
      </c>
      <c r="G4605" s="2" t="str">
        <f t="array" ref="G4605">_xlfn.XLOOKUP(A4606,Product!A:A,Product!D:D,"Bulunamadı")</f>
        <v>Brightfield House</v>
      </c>
      <c r="H4605" s="2">
        <f t="array" ref="H4605">_xlfn.XLOOKUP(A4607,Product!A:A,Product!E:E,"Bulunamadı")</f>
        <v>4.51</v>
      </c>
      <c r="I4605" s="2" t="str">
        <f t="shared" si="1"/>
        <v>86864 - Law - Financial Modeling</v>
      </c>
      <c r="J4605" s="2">
        <f t="shared" si="2"/>
        <v>193.93</v>
      </c>
      <c r="K4605" s="17">
        <f t="shared" si="3"/>
        <v>1</v>
      </c>
      <c r="L4605" s="18"/>
    </row>
    <row r="4606" hidden="1">
      <c r="A4606" s="2">
        <f>IFERROR(__xludf.DUMMYFUNCTION("""COMPUTED_VALUE"""),71421.0)</f>
        <v>71421</v>
      </c>
      <c r="B4606" s="2">
        <f>IFERROR(__xludf.DUMMYFUNCTION("""COMPUTED_VALUE"""),0.0)</f>
        <v>0</v>
      </c>
      <c r="C4606" s="2">
        <f>IFERROR(__xludf.DUMMYFUNCTION("""COMPUTED_VALUE"""),55.0)</f>
        <v>55</v>
      </c>
      <c r="D4606" s="3">
        <f>IFERROR(__xludf.DUMMYFUNCTION("""COMPUTED_VALUE"""),24.0)</f>
        <v>24</v>
      </c>
      <c r="E4606" s="1" t="str">
        <f t="array" ref="E4606">_xlfn.XLOOKUP(A4606,Product!A:A,Product!B:B,"Bulunamadı")</f>
        <v>Law</v>
      </c>
      <c r="F4606" s="1" t="str">
        <f t="array" ref="F4606">_xlfn.XLOOKUP(A4606,Product!A:A,Product!C:C,"Bulunamadı")</f>
        <v>Financial Modeling</v>
      </c>
      <c r="G4606" s="2" t="str">
        <f t="array" ref="G4606">_xlfn.XLOOKUP(A4607,Product!A:A,Product!D:D,"Bulunamadı")</f>
        <v>Brightfield House</v>
      </c>
      <c r="H4606" s="2">
        <f t="array" ref="H4606">_xlfn.XLOOKUP(A4608,Product!A:A,Product!E:E,"Bulunamadı")</f>
        <v>5.91</v>
      </c>
      <c r="I4606" s="2" t="str">
        <f t="shared" si="1"/>
        <v>71421 - Law - Financial Modeling</v>
      </c>
      <c r="J4606" s="2">
        <f t="shared" si="2"/>
        <v>141.84</v>
      </c>
      <c r="K4606" s="17">
        <f t="shared" si="3"/>
        <v>1</v>
      </c>
      <c r="L4606" s="18"/>
    </row>
    <row r="4607" hidden="1">
      <c r="A4607" s="2">
        <f>IFERROR(__xludf.DUMMYFUNCTION("""COMPUTED_VALUE"""),115776.0)</f>
        <v>115776</v>
      </c>
      <c r="B4607" s="2">
        <f>IFERROR(__xludf.DUMMYFUNCTION("""COMPUTED_VALUE"""),0.0)</f>
        <v>0</v>
      </c>
      <c r="C4607" s="2">
        <f>IFERROR(__xludf.DUMMYFUNCTION("""COMPUTED_VALUE"""),764.0)</f>
        <v>764</v>
      </c>
      <c r="D4607" s="3">
        <f>IFERROR(__xludf.DUMMYFUNCTION("""COMPUTED_VALUE"""),34.0)</f>
        <v>34</v>
      </c>
      <c r="E4607" s="1" t="str">
        <f t="array" ref="E4607">_xlfn.XLOOKUP(A4607,Product!A:A,Product!B:B,"Bulunamadı")</f>
        <v>Law</v>
      </c>
      <c r="F4607" s="1" t="str">
        <f t="array" ref="F4607">_xlfn.XLOOKUP(A4607,Product!A:A,Product!C:C,"Bulunamadı")</f>
        <v>Financial Modeling</v>
      </c>
      <c r="G4607" s="2" t="str">
        <f t="array" ref="G4607">_xlfn.XLOOKUP(A4608,Product!A:A,Product!D:D,"Bulunamadı")</f>
        <v>Brightfield House</v>
      </c>
      <c r="H4607" s="2">
        <f t="array" ref="H4607">_xlfn.XLOOKUP(A4609,Product!A:A,Product!E:E,"Bulunamadı")</f>
        <v>7.1</v>
      </c>
      <c r="I4607" s="2" t="str">
        <f t="shared" si="1"/>
        <v>115776 - Law - Financial Modeling</v>
      </c>
      <c r="J4607" s="2">
        <f t="shared" si="2"/>
        <v>241.4</v>
      </c>
      <c r="K4607" s="17">
        <f t="shared" si="3"/>
        <v>1</v>
      </c>
      <c r="L4607" s="18"/>
    </row>
    <row r="4608" hidden="1">
      <c r="A4608" s="2">
        <f>IFERROR(__xludf.DUMMYFUNCTION("""COMPUTED_VALUE"""),71393.0)</f>
        <v>71393</v>
      </c>
      <c r="B4608" s="2">
        <f>IFERROR(__xludf.DUMMYFUNCTION("""COMPUTED_VALUE"""),0.0)</f>
        <v>0</v>
      </c>
      <c r="C4608" s="2">
        <f>IFERROR(__xludf.DUMMYFUNCTION("""COMPUTED_VALUE"""),496.0)</f>
        <v>496</v>
      </c>
      <c r="D4608" s="3">
        <f>IFERROR(__xludf.DUMMYFUNCTION("""COMPUTED_VALUE"""),217.0)</f>
        <v>217</v>
      </c>
      <c r="E4608" s="1" t="str">
        <f t="array" ref="E4608">_xlfn.XLOOKUP(A4608,Product!A:A,Product!B:B,"Bulunamadı")</f>
        <v>Law</v>
      </c>
      <c r="F4608" s="1" t="str">
        <f t="array" ref="F4608">_xlfn.XLOOKUP(A4608,Product!A:A,Product!C:C,"Bulunamadı")</f>
        <v>Financial Modeling</v>
      </c>
      <c r="G4608" s="2" t="str">
        <f t="array" ref="G4608">_xlfn.XLOOKUP(A4609,Product!A:A,Product!D:D,"Bulunamadı")</f>
        <v>Brightfield House</v>
      </c>
      <c r="H4608" s="2">
        <f t="array" ref="H4608">_xlfn.XLOOKUP(A4610,Product!A:A,Product!E:E,"Bulunamadı")</f>
        <v>6.78</v>
      </c>
      <c r="I4608" s="2" t="str">
        <f t="shared" si="1"/>
        <v>71393 - Law - Financial Modeling</v>
      </c>
      <c r="J4608" s="2">
        <f t="shared" si="2"/>
        <v>1471.26</v>
      </c>
      <c r="K4608" s="17">
        <f t="shared" si="3"/>
        <v>1</v>
      </c>
      <c r="L4608" s="18"/>
    </row>
    <row r="4609" hidden="1">
      <c r="A4609" s="2">
        <f>IFERROR(__xludf.DUMMYFUNCTION("""COMPUTED_VALUE"""),78739.0)</f>
        <v>78739</v>
      </c>
      <c r="B4609" s="2">
        <f>IFERROR(__xludf.DUMMYFUNCTION("""COMPUTED_VALUE"""),1.0)</f>
        <v>1</v>
      </c>
      <c r="C4609" s="2">
        <f>IFERROR(__xludf.DUMMYFUNCTION("""COMPUTED_VALUE"""),976.0)</f>
        <v>976</v>
      </c>
      <c r="D4609" s="3">
        <f>IFERROR(__xludf.DUMMYFUNCTION("""COMPUTED_VALUE"""),435.0)</f>
        <v>435</v>
      </c>
      <c r="E4609" s="1" t="str">
        <f t="array" ref="E4609">_xlfn.XLOOKUP(A4609,Product!A:A,Product!B:B,"Bulunamadı")</f>
        <v>Law</v>
      </c>
      <c r="F4609" s="1" t="str">
        <f t="array" ref="F4609">_xlfn.XLOOKUP(A4609,Product!A:A,Product!C:C,"Bulunamadı")</f>
        <v>Financial Modeling</v>
      </c>
      <c r="G4609" s="2" t="str">
        <f t="array" ref="G4609">_xlfn.XLOOKUP(A4610,Product!A:A,Product!D:D,"Bulunamadı")</f>
        <v>Brightfield House</v>
      </c>
      <c r="H4609" s="2">
        <f t="array" ref="H4609">_xlfn.XLOOKUP(A4611,Product!A:A,Product!E:E,"Bulunamadı")</f>
        <v>8.74</v>
      </c>
      <c r="I4609" s="2" t="str">
        <f t="shared" si="1"/>
        <v>78739 - Law - Financial Modeling</v>
      </c>
      <c r="J4609" s="2">
        <f t="shared" si="2"/>
        <v>3801.9</v>
      </c>
      <c r="K4609" s="17">
        <f t="shared" si="3"/>
        <v>1</v>
      </c>
      <c r="L4609" s="18"/>
    </row>
    <row r="4610" hidden="1">
      <c r="A4610" s="2">
        <f>IFERROR(__xludf.DUMMYFUNCTION("""COMPUTED_VALUE"""),71408.0)</f>
        <v>71408</v>
      </c>
      <c r="B4610" s="2">
        <f>IFERROR(__xludf.DUMMYFUNCTION("""COMPUTED_VALUE"""),1.0)</f>
        <v>1</v>
      </c>
      <c r="C4610" s="2">
        <f>IFERROR(__xludf.DUMMYFUNCTION("""COMPUTED_VALUE"""),601.0)</f>
        <v>601</v>
      </c>
      <c r="D4610" s="3">
        <f>IFERROR(__xludf.DUMMYFUNCTION("""COMPUTED_VALUE"""),333.0)</f>
        <v>333</v>
      </c>
      <c r="E4610" s="1" t="str">
        <f t="array" ref="E4610">_xlfn.XLOOKUP(A4610,Product!A:A,Product!B:B,"Bulunamadı")</f>
        <v>Law</v>
      </c>
      <c r="F4610" s="1" t="str">
        <f t="array" ref="F4610">_xlfn.XLOOKUP(A4610,Product!A:A,Product!C:C,"Bulunamadı")</f>
        <v>Financial Modeling</v>
      </c>
      <c r="G4610" s="2" t="str">
        <f t="array" ref="G4610">_xlfn.XLOOKUP(A4611,Product!A:A,Product!D:D,"Bulunamadı")</f>
        <v>Oakfield House</v>
      </c>
      <c r="H4610" s="2">
        <f t="array" ref="H4610">_xlfn.XLOOKUP(A4612,Product!A:A,Product!E:E,"Bulunamadı")</f>
        <v>20.12</v>
      </c>
      <c r="I4610" s="2" t="str">
        <f t="shared" si="1"/>
        <v>71408 - Law - Financial Modeling</v>
      </c>
      <c r="J4610" s="2">
        <f t="shared" si="2"/>
        <v>6699.96</v>
      </c>
      <c r="K4610" s="17">
        <f t="shared" si="3"/>
        <v>1</v>
      </c>
      <c r="L4610" s="18"/>
    </row>
    <row r="4611" hidden="1">
      <c r="A4611" s="2">
        <f>IFERROR(__xludf.DUMMYFUNCTION("""COMPUTED_VALUE"""),109194.0)</f>
        <v>109194</v>
      </c>
      <c r="B4611" s="2">
        <f>IFERROR(__xludf.DUMMYFUNCTION("""COMPUTED_VALUE"""),1.0)</f>
        <v>1</v>
      </c>
      <c r="C4611" s="2">
        <f>IFERROR(__xludf.DUMMYFUNCTION("""COMPUTED_VALUE"""),460.0)</f>
        <v>460</v>
      </c>
      <c r="D4611" s="3">
        <f>IFERROR(__xludf.DUMMYFUNCTION("""COMPUTED_VALUE"""),341.0)</f>
        <v>341</v>
      </c>
      <c r="E4611" s="1" t="str">
        <f t="array" ref="E4611">_xlfn.XLOOKUP(A4611,Product!A:A,Product!B:B,"Bulunamadı")</f>
        <v>Law</v>
      </c>
      <c r="F4611" s="1" t="str">
        <f t="array" ref="F4611">_xlfn.XLOOKUP(A4611,Product!A:A,Product!C:C,"Bulunamadı")</f>
        <v>Financial Modeling</v>
      </c>
      <c r="G4611" s="2" t="str">
        <f t="array" ref="G4611">_xlfn.XLOOKUP(A4612,Product!A:A,Product!D:D,"Bulunamadı")</f>
        <v>Oakfield House</v>
      </c>
      <c r="H4611" s="2">
        <f t="array" ref="H4611">_xlfn.XLOOKUP(A4613,Product!A:A,Product!E:E,"Bulunamadı")</f>
        <v>3.73</v>
      </c>
      <c r="I4611" s="2" t="str">
        <f t="shared" si="1"/>
        <v>109194 - Law - Financial Modeling</v>
      </c>
      <c r="J4611" s="2">
        <f t="shared" si="2"/>
        <v>1271.93</v>
      </c>
      <c r="K4611" s="17">
        <f t="shared" si="3"/>
        <v>1</v>
      </c>
      <c r="L4611" s="18"/>
    </row>
    <row r="4612" hidden="1">
      <c r="A4612" s="2">
        <f>IFERROR(__xludf.DUMMYFUNCTION("""COMPUTED_VALUE"""),84448.0)</f>
        <v>84448</v>
      </c>
      <c r="B4612" s="2">
        <f>IFERROR(__xludf.DUMMYFUNCTION("""COMPUTED_VALUE"""),1.0)</f>
        <v>1</v>
      </c>
      <c r="C4612" s="2">
        <f>IFERROR(__xludf.DUMMYFUNCTION("""COMPUTED_VALUE"""),88.0)</f>
        <v>88</v>
      </c>
      <c r="D4612" s="3">
        <f>IFERROR(__xludf.DUMMYFUNCTION("""COMPUTED_VALUE"""),10.0)</f>
        <v>10</v>
      </c>
      <c r="E4612" s="1" t="str">
        <f t="array" ref="E4612">_xlfn.XLOOKUP(A4612,Product!A:A,Product!B:B,"Bulunamadı")</f>
        <v>Law</v>
      </c>
      <c r="F4612" s="1" t="str">
        <f t="array" ref="F4612">_xlfn.XLOOKUP(A4612,Product!A:A,Product!C:C,"Bulunamadı")</f>
        <v>Financial Modeling</v>
      </c>
      <c r="G4612" s="2" t="str">
        <f t="array" ref="G4612">_xlfn.XLOOKUP(A4613,Product!A:A,Product!D:D,"Bulunamadı")</f>
        <v>Oakfield House</v>
      </c>
      <c r="H4612" s="2">
        <f t="array" ref="H4612">_xlfn.XLOOKUP(A4614,Product!A:A,Product!E:E,"Bulunamadı")</f>
        <v>2.39</v>
      </c>
      <c r="I4612" s="2" t="str">
        <f t="shared" si="1"/>
        <v>84448 - Law - Financial Modeling</v>
      </c>
      <c r="J4612" s="2">
        <f t="shared" si="2"/>
        <v>23.9</v>
      </c>
      <c r="K4612" s="17">
        <f t="shared" si="3"/>
        <v>1</v>
      </c>
      <c r="L4612" s="18"/>
    </row>
    <row r="4613" hidden="1">
      <c r="A4613" s="2">
        <f>IFERROR(__xludf.DUMMYFUNCTION("""COMPUTED_VALUE"""),140575.0)</f>
        <v>140575</v>
      </c>
      <c r="B4613" s="2">
        <f>IFERROR(__xludf.DUMMYFUNCTION("""COMPUTED_VALUE"""),0.0)</f>
        <v>0</v>
      </c>
      <c r="C4613" s="2">
        <f>IFERROR(__xludf.DUMMYFUNCTION("""COMPUTED_VALUE"""),535.0)</f>
        <v>535</v>
      </c>
      <c r="D4613" s="3">
        <f>IFERROR(__xludf.DUMMYFUNCTION("""COMPUTED_VALUE"""),23.0)</f>
        <v>23</v>
      </c>
      <c r="E4613" s="1" t="str">
        <f t="array" ref="E4613">_xlfn.XLOOKUP(A4613,Product!A:A,Product!B:B,"Bulunamadı")</f>
        <v>Law</v>
      </c>
      <c r="F4613" s="1" t="str">
        <f t="array" ref="F4613">_xlfn.XLOOKUP(A4613,Product!A:A,Product!C:C,"Bulunamadı")</f>
        <v>Financial Modeling</v>
      </c>
      <c r="G4613" s="2" t="str">
        <f t="array" ref="G4613">_xlfn.XLOOKUP(A4614,Product!A:A,Product!D:D,"Bulunamadı")</f>
        <v>Oakfield House</v>
      </c>
      <c r="H4613" s="2">
        <f t="array" ref="H4613">_xlfn.XLOOKUP(A4615,Product!A:A,Product!E:E,"Bulunamadı")</f>
        <v>2.11</v>
      </c>
      <c r="I4613" s="2" t="str">
        <f t="shared" si="1"/>
        <v>140575 - Law - Financial Modeling</v>
      </c>
      <c r="J4613" s="2">
        <f t="shared" si="2"/>
        <v>48.53</v>
      </c>
      <c r="K4613" s="17">
        <f t="shared" si="3"/>
        <v>1</v>
      </c>
      <c r="L4613" s="18"/>
    </row>
    <row r="4614" hidden="1">
      <c r="A4614" s="2">
        <f>IFERROR(__xludf.DUMMYFUNCTION("""COMPUTED_VALUE"""),71420.0)</f>
        <v>71420</v>
      </c>
      <c r="B4614" s="2">
        <f>IFERROR(__xludf.DUMMYFUNCTION("""COMPUTED_VALUE"""),0.0)</f>
        <v>0</v>
      </c>
      <c r="C4614" s="2">
        <f>IFERROR(__xludf.DUMMYFUNCTION("""COMPUTED_VALUE"""),592.0)</f>
        <v>592</v>
      </c>
      <c r="D4614" s="3">
        <f>IFERROR(__xludf.DUMMYFUNCTION("""COMPUTED_VALUE"""),550.0)</f>
        <v>550</v>
      </c>
      <c r="E4614" s="1" t="str">
        <f t="array" ref="E4614">_xlfn.XLOOKUP(A4614,Product!A:A,Product!B:B,"Bulunamadı")</f>
        <v>Law</v>
      </c>
      <c r="F4614" s="1" t="str">
        <f t="array" ref="F4614">_xlfn.XLOOKUP(A4614,Product!A:A,Product!C:C,"Bulunamadı")</f>
        <v>Financial Modeling</v>
      </c>
      <c r="G4614" s="2" t="str">
        <f t="array" ref="G4614">_xlfn.XLOOKUP(A4615,Product!A:A,Product!D:D,"Bulunamadı")</f>
        <v>Oakfield House</v>
      </c>
      <c r="H4614" s="2">
        <f t="array" ref="H4614">_xlfn.XLOOKUP(A4616,Product!A:A,Product!E:E,"Bulunamadı")</f>
        <v>3.94</v>
      </c>
      <c r="I4614" s="2" t="str">
        <f t="shared" si="1"/>
        <v>71420 - Law - Financial Modeling</v>
      </c>
      <c r="J4614" s="2">
        <f t="shared" si="2"/>
        <v>2167</v>
      </c>
      <c r="K4614" s="17">
        <f t="shared" si="3"/>
        <v>1</v>
      </c>
      <c r="L4614" s="18"/>
    </row>
    <row r="4615" hidden="1">
      <c r="A4615" s="2">
        <f>IFERROR(__xludf.DUMMYFUNCTION("""COMPUTED_VALUE"""),71375.0)</f>
        <v>71375</v>
      </c>
      <c r="B4615" s="2">
        <f>IFERROR(__xludf.DUMMYFUNCTION("""COMPUTED_VALUE"""),1.0)</f>
        <v>1</v>
      </c>
      <c r="C4615" s="2">
        <f>IFERROR(__xludf.DUMMYFUNCTION("""COMPUTED_VALUE"""),924.0)</f>
        <v>924</v>
      </c>
      <c r="D4615" s="3">
        <f>IFERROR(__xludf.DUMMYFUNCTION("""COMPUTED_VALUE"""),393.0)</f>
        <v>393</v>
      </c>
      <c r="E4615" s="1" t="str">
        <f t="array" ref="E4615">_xlfn.XLOOKUP(A4615,Product!A:A,Product!B:B,"Bulunamadı")</f>
        <v>Law</v>
      </c>
      <c r="F4615" s="1" t="str">
        <f t="array" ref="F4615">_xlfn.XLOOKUP(A4615,Product!A:A,Product!C:C,"Bulunamadı")</f>
        <v>Financial Modeling</v>
      </c>
      <c r="G4615" s="2" t="str">
        <f t="array" ref="G4615">_xlfn.XLOOKUP(A4616,Product!A:A,Product!D:D,"Bulunamadı")</f>
        <v>Oakfield House</v>
      </c>
      <c r="H4615" s="2">
        <f t="array" ref="H4615">_xlfn.XLOOKUP(A4617,Product!A:A,Product!E:E,"Bulunamadı")</f>
        <v>2.08</v>
      </c>
      <c r="I4615" s="2" t="str">
        <f t="shared" si="1"/>
        <v>71375 - Law - Financial Modeling</v>
      </c>
      <c r="J4615" s="2">
        <f t="shared" si="2"/>
        <v>817.44</v>
      </c>
      <c r="K4615" s="17">
        <f t="shared" si="3"/>
        <v>1</v>
      </c>
      <c r="L4615" s="18"/>
    </row>
    <row r="4616" hidden="1">
      <c r="A4616" s="2">
        <f>IFERROR(__xludf.DUMMYFUNCTION("""COMPUTED_VALUE"""),71376.0)</f>
        <v>71376</v>
      </c>
      <c r="B4616" s="2">
        <f>IFERROR(__xludf.DUMMYFUNCTION("""COMPUTED_VALUE"""),0.0)</f>
        <v>0</v>
      </c>
      <c r="C4616" s="2">
        <f>IFERROR(__xludf.DUMMYFUNCTION("""COMPUTED_VALUE"""),742.0)</f>
        <v>742</v>
      </c>
      <c r="D4616" s="3">
        <f>IFERROR(__xludf.DUMMYFUNCTION("""COMPUTED_VALUE"""),368.0)</f>
        <v>368</v>
      </c>
      <c r="E4616" s="1" t="str">
        <f t="array" ref="E4616">_xlfn.XLOOKUP(A4616,Product!A:A,Product!B:B,"Bulunamadı")</f>
        <v>Law</v>
      </c>
      <c r="F4616" s="1" t="str">
        <f t="array" ref="F4616">_xlfn.XLOOKUP(A4616,Product!A:A,Product!C:C,"Bulunamadı")</f>
        <v>Financial Modeling</v>
      </c>
      <c r="G4616" s="2" t="str">
        <f t="array" ref="G4616">_xlfn.XLOOKUP(A4617,Product!A:A,Product!D:D,"Bulunamadı")</f>
        <v>Oakfield House</v>
      </c>
      <c r="H4616" s="2">
        <f t="array" ref="H4616">_xlfn.XLOOKUP(A4618,Product!A:A,Product!E:E,"Bulunamadı")</f>
        <v>7.55</v>
      </c>
      <c r="I4616" s="2" t="str">
        <f t="shared" si="1"/>
        <v>71376 - Law - Financial Modeling</v>
      </c>
      <c r="J4616" s="2">
        <f t="shared" si="2"/>
        <v>2778.4</v>
      </c>
      <c r="K4616" s="17">
        <f t="shared" si="3"/>
        <v>1</v>
      </c>
      <c r="L4616" s="18"/>
    </row>
    <row r="4617" hidden="1">
      <c r="A4617" s="2">
        <f>IFERROR(__xludf.DUMMYFUNCTION("""COMPUTED_VALUE"""),110975.0)</f>
        <v>110975</v>
      </c>
      <c r="B4617" s="2">
        <f>IFERROR(__xludf.DUMMYFUNCTION("""COMPUTED_VALUE"""),0.0)</f>
        <v>0</v>
      </c>
      <c r="C4617" s="2">
        <f>IFERROR(__xludf.DUMMYFUNCTION("""COMPUTED_VALUE"""),770.0)</f>
        <v>770</v>
      </c>
      <c r="D4617" s="3">
        <f>IFERROR(__xludf.DUMMYFUNCTION("""COMPUTED_VALUE"""),382.0)</f>
        <v>382</v>
      </c>
      <c r="E4617" s="1" t="str">
        <f t="array" ref="E4617">_xlfn.XLOOKUP(A4617,Product!A:A,Product!B:B,"Bulunamadı")</f>
        <v>Law</v>
      </c>
      <c r="F4617" s="1" t="str">
        <f t="array" ref="F4617">_xlfn.XLOOKUP(A4617,Product!A:A,Product!C:C,"Bulunamadı")</f>
        <v>Financial Modeling</v>
      </c>
      <c r="G4617" s="2" t="str">
        <f t="array" ref="G4617">_xlfn.XLOOKUP(A4618,Product!A:A,Product!D:D,"Bulunamadı")</f>
        <v>Oakfield House</v>
      </c>
      <c r="H4617" s="2">
        <f t="array" ref="H4617">_xlfn.XLOOKUP(A4619,Product!A:A,Product!E:E,"Bulunamadı")</f>
        <v>2.95</v>
      </c>
      <c r="I4617" s="2" t="str">
        <f t="shared" si="1"/>
        <v>110975 - Law - Financial Modeling</v>
      </c>
      <c r="J4617" s="2">
        <f t="shared" si="2"/>
        <v>1126.9</v>
      </c>
      <c r="K4617" s="17">
        <f t="shared" si="3"/>
        <v>1</v>
      </c>
      <c r="L4617" s="18"/>
    </row>
    <row r="4618" hidden="1">
      <c r="A4618" s="2">
        <f>IFERROR(__xludf.DUMMYFUNCTION("""COMPUTED_VALUE"""),86170.0)</f>
        <v>86170</v>
      </c>
      <c r="B4618" s="2">
        <f>IFERROR(__xludf.DUMMYFUNCTION("""COMPUTED_VALUE"""),1.0)</f>
        <v>1</v>
      </c>
      <c r="C4618" s="2">
        <f>IFERROR(__xludf.DUMMYFUNCTION("""COMPUTED_VALUE"""),117.0)</f>
        <v>117</v>
      </c>
      <c r="D4618" s="3">
        <f>IFERROR(__xludf.DUMMYFUNCTION("""COMPUTED_VALUE"""),24.0)</f>
        <v>24</v>
      </c>
      <c r="E4618" s="1" t="str">
        <f t="array" ref="E4618">_xlfn.XLOOKUP(A4618,Product!A:A,Product!B:B,"Bulunamadı")</f>
        <v>Law</v>
      </c>
      <c r="F4618" s="1" t="str">
        <f t="array" ref="F4618">_xlfn.XLOOKUP(A4618,Product!A:A,Product!C:C,"Bulunamadı")</f>
        <v>Financial Modeling</v>
      </c>
      <c r="G4618" s="2" t="str">
        <f t="array" ref="G4618">_xlfn.XLOOKUP(A4619,Product!A:A,Product!D:D,"Bulunamadı")</f>
        <v>Oakfield House</v>
      </c>
      <c r="H4618" s="2">
        <f t="array" ref="H4618">_xlfn.XLOOKUP(A4620,Product!A:A,Product!E:E,"Bulunamadı")</f>
        <v>7.01</v>
      </c>
      <c r="I4618" s="2" t="str">
        <f t="shared" si="1"/>
        <v>86170 - Law - Financial Modeling</v>
      </c>
      <c r="J4618" s="2">
        <f t="shared" si="2"/>
        <v>168.24</v>
      </c>
      <c r="K4618" s="17">
        <f t="shared" si="3"/>
        <v>1</v>
      </c>
      <c r="L4618" s="18"/>
    </row>
    <row r="4619" hidden="1">
      <c r="A4619" s="2">
        <f>IFERROR(__xludf.DUMMYFUNCTION("""COMPUTED_VALUE"""),142787.0)</f>
        <v>142787</v>
      </c>
      <c r="B4619" s="2">
        <f>IFERROR(__xludf.DUMMYFUNCTION("""COMPUTED_VALUE"""),1.0)</f>
        <v>1</v>
      </c>
      <c r="C4619" s="2">
        <f>IFERROR(__xludf.DUMMYFUNCTION("""COMPUTED_VALUE"""),731.0)</f>
        <v>731</v>
      </c>
      <c r="D4619" s="3">
        <f>IFERROR(__xludf.DUMMYFUNCTION("""COMPUTED_VALUE"""),430.0)</f>
        <v>430</v>
      </c>
      <c r="E4619" s="1" t="str">
        <f t="array" ref="E4619">_xlfn.XLOOKUP(A4619,Product!A:A,Product!B:B,"Bulunamadı")</f>
        <v>Law</v>
      </c>
      <c r="F4619" s="1" t="str">
        <f t="array" ref="F4619">_xlfn.XLOOKUP(A4619,Product!A:A,Product!C:C,"Bulunamadı")</f>
        <v>Financial Modeling</v>
      </c>
      <c r="G4619" s="2" t="str">
        <f t="array" ref="G4619">_xlfn.XLOOKUP(A4620,Product!A:A,Product!D:D,"Bulunamadı")</f>
        <v>Oakfield House</v>
      </c>
      <c r="H4619" s="2">
        <f t="array" ref="H4619">_xlfn.XLOOKUP(A4621,Product!A:A,Product!E:E,"Bulunamadı")</f>
        <v>5.43</v>
      </c>
      <c r="I4619" s="2" t="str">
        <f t="shared" si="1"/>
        <v>142787 - Law - Financial Modeling</v>
      </c>
      <c r="J4619" s="2">
        <f t="shared" si="2"/>
        <v>2334.9</v>
      </c>
      <c r="K4619" s="17">
        <f t="shared" si="3"/>
        <v>1</v>
      </c>
      <c r="L4619" s="18"/>
    </row>
    <row r="4620" hidden="1">
      <c r="A4620" s="2">
        <f>IFERROR(__xludf.DUMMYFUNCTION("""COMPUTED_VALUE"""),109185.0)</f>
        <v>109185</v>
      </c>
      <c r="B4620" s="2">
        <f>IFERROR(__xludf.DUMMYFUNCTION("""COMPUTED_VALUE"""),1.0)</f>
        <v>1</v>
      </c>
      <c r="C4620" s="2">
        <f>IFERROR(__xludf.DUMMYFUNCTION("""COMPUTED_VALUE"""),334.0)</f>
        <v>334</v>
      </c>
      <c r="D4620" s="3">
        <f>IFERROR(__xludf.DUMMYFUNCTION("""COMPUTED_VALUE"""),111.0)</f>
        <v>111</v>
      </c>
      <c r="E4620" s="1" t="str">
        <f t="array" ref="E4620">_xlfn.XLOOKUP(A4620,Product!A:A,Product!B:B,"Bulunamadı")</f>
        <v>Law</v>
      </c>
      <c r="F4620" s="1" t="str">
        <f t="array" ref="F4620">_xlfn.XLOOKUP(A4620,Product!A:A,Product!C:C,"Bulunamadı")</f>
        <v>Financial Modeling</v>
      </c>
      <c r="G4620" s="2" t="str">
        <f t="array" ref="G4620">_xlfn.XLOOKUP(A4621,Product!A:A,Product!D:D,"Bulunamadı")</f>
        <v>Oakfield House</v>
      </c>
      <c r="H4620" s="2">
        <f t="array" ref="H4620">_xlfn.XLOOKUP(A4622,Product!A:A,Product!E:E,"Bulunamadı")</f>
        <v>3.98</v>
      </c>
      <c r="I4620" s="2" t="str">
        <f t="shared" si="1"/>
        <v>109185 - Law - Financial Modeling</v>
      </c>
      <c r="J4620" s="2">
        <f t="shared" si="2"/>
        <v>441.78</v>
      </c>
      <c r="K4620" s="17">
        <f t="shared" si="3"/>
        <v>1</v>
      </c>
      <c r="L4620" s="18"/>
    </row>
    <row r="4621" hidden="1">
      <c r="A4621" s="2">
        <f>IFERROR(__xludf.DUMMYFUNCTION("""COMPUTED_VALUE"""),109184.0)</f>
        <v>109184</v>
      </c>
      <c r="B4621" s="2">
        <f>IFERROR(__xludf.DUMMYFUNCTION("""COMPUTED_VALUE"""),1.0)</f>
        <v>1</v>
      </c>
      <c r="C4621" s="2">
        <f>IFERROR(__xludf.DUMMYFUNCTION("""COMPUTED_VALUE"""),898.0)</f>
        <v>898</v>
      </c>
      <c r="D4621" s="3">
        <f>IFERROR(__xludf.DUMMYFUNCTION("""COMPUTED_VALUE"""),442.0)</f>
        <v>442</v>
      </c>
      <c r="E4621" s="1" t="str">
        <f t="array" ref="E4621">_xlfn.XLOOKUP(A4621,Product!A:A,Product!B:B,"Bulunamadı")</f>
        <v>Law</v>
      </c>
      <c r="F4621" s="1" t="str">
        <f t="array" ref="F4621">_xlfn.XLOOKUP(A4621,Product!A:A,Product!C:C,"Bulunamadı")</f>
        <v>Financial Modeling</v>
      </c>
      <c r="G4621" s="2" t="str">
        <f t="array" ref="G4621">_xlfn.XLOOKUP(A4622,Product!A:A,Product!D:D,"Bulunamadı")</f>
        <v>Oakfield House</v>
      </c>
      <c r="H4621" s="2">
        <f t="array" ref="H4621">_xlfn.XLOOKUP(A4623,Product!A:A,Product!E:E,"Bulunamadı")</f>
        <v>7.18</v>
      </c>
      <c r="I4621" s="2" t="str">
        <f t="shared" si="1"/>
        <v>109184 - Law - Financial Modeling</v>
      </c>
      <c r="J4621" s="2">
        <f t="shared" si="2"/>
        <v>3173.56</v>
      </c>
      <c r="K4621" s="17">
        <f t="shared" si="3"/>
        <v>1</v>
      </c>
      <c r="L4621" s="18"/>
    </row>
    <row r="4622" hidden="1">
      <c r="A4622" s="2">
        <f>IFERROR(__xludf.DUMMYFUNCTION("""COMPUTED_VALUE"""),72575.0)</f>
        <v>72575</v>
      </c>
      <c r="B4622" s="2">
        <f>IFERROR(__xludf.DUMMYFUNCTION("""COMPUTED_VALUE"""),0.0)</f>
        <v>0</v>
      </c>
      <c r="C4622" s="2">
        <f>IFERROR(__xludf.DUMMYFUNCTION("""COMPUTED_VALUE"""),527.0)</f>
        <v>527</v>
      </c>
      <c r="D4622" s="3">
        <f>IFERROR(__xludf.DUMMYFUNCTION("""COMPUTED_VALUE"""),113.0)</f>
        <v>113</v>
      </c>
      <c r="E4622" s="1" t="str">
        <f t="array" ref="E4622">_xlfn.XLOOKUP(A4622,Product!A:A,Product!B:B,"Bulunamadı")</f>
        <v>Law</v>
      </c>
      <c r="F4622" s="1" t="str">
        <f t="array" ref="F4622">_xlfn.XLOOKUP(A4622,Product!A:A,Product!C:C,"Bulunamadı")</f>
        <v>Financial Modeling</v>
      </c>
      <c r="G4622" s="2" t="str">
        <f t="array" ref="G4622">_xlfn.XLOOKUP(A4623,Product!A:A,Product!D:D,"Bulunamadı")</f>
        <v>Oakfield House</v>
      </c>
      <c r="H4622" s="2">
        <f t="array" ref="H4622">_xlfn.XLOOKUP(A4624,Product!A:A,Product!E:E,"Bulunamadı")</f>
        <v>10.29</v>
      </c>
      <c r="I4622" s="2" t="str">
        <f t="shared" si="1"/>
        <v>72575 - Law - Financial Modeling</v>
      </c>
      <c r="J4622" s="2">
        <f t="shared" si="2"/>
        <v>1162.77</v>
      </c>
      <c r="K4622" s="17">
        <f t="shared" si="3"/>
        <v>1</v>
      </c>
      <c r="L4622" s="18"/>
    </row>
    <row r="4623" hidden="1">
      <c r="A4623" s="2">
        <f>IFERROR(__xludf.DUMMYFUNCTION("""COMPUTED_VALUE"""),78909.0)</f>
        <v>78909</v>
      </c>
      <c r="B4623" s="2">
        <f>IFERROR(__xludf.DUMMYFUNCTION("""COMPUTED_VALUE"""),1.0)</f>
        <v>1</v>
      </c>
      <c r="C4623" s="2">
        <f>IFERROR(__xludf.DUMMYFUNCTION("""COMPUTED_VALUE"""),548.0)</f>
        <v>548</v>
      </c>
      <c r="D4623" s="3">
        <f>IFERROR(__xludf.DUMMYFUNCTION("""COMPUTED_VALUE"""),508.0)</f>
        <v>508</v>
      </c>
      <c r="E4623" s="1" t="str">
        <f t="array" ref="E4623">_xlfn.XLOOKUP(A4623,Product!A:A,Product!B:B,"Bulunamadı")</f>
        <v>Law</v>
      </c>
      <c r="F4623" s="1" t="str">
        <f t="array" ref="F4623">_xlfn.XLOOKUP(A4623,Product!A:A,Product!C:C,"Bulunamadı")</f>
        <v>Financial Modeling</v>
      </c>
      <c r="G4623" s="2" t="str">
        <f t="array" ref="G4623">_xlfn.XLOOKUP(A4624,Product!A:A,Product!D:D,"Bulunamadı")</f>
        <v>Riverfield House</v>
      </c>
      <c r="H4623" s="2">
        <f t="array" ref="H4623">_xlfn.XLOOKUP(A4625,Product!A:A,Product!E:E,"Bulunamadı")</f>
        <v>7.43</v>
      </c>
      <c r="I4623" s="2" t="str">
        <f t="shared" si="1"/>
        <v>78909 - Law - Financial Modeling</v>
      </c>
      <c r="J4623" s="2">
        <f t="shared" si="2"/>
        <v>3774.44</v>
      </c>
      <c r="K4623" s="17">
        <f t="shared" si="3"/>
        <v>1</v>
      </c>
      <c r="L4623" s="18"/>
    </row>
    <row r="4624" hidden="1">
      <c r="A4624" s="2">
        <f>IFERROR(__xludf.DUMMYFUNCTION("""COMPUTED_VALUE"""),17630.0)</f>
        <v>17630</v>
      </c>
      <c r="B4624" s="2">
        <f>IFERROR(__xludf.DUMMYFUNCTION("""COMPUTED_VALUE"""),1.0)</f>
        <v>1</v>
      </c>
      <c r="C4624" s="2">
        <f>IFERROR(__xludf.DUMMYFUNCTION("""COMPUTED_VALUE"""),736.0)</f>
        <v>736</v>
      </c>
      <c r="D4624" s="3">
        <f>IFERROR(__xludf.DUMMYFUNCTION("""COMPUTED_VALUE"""),558.0)</f>
        <v>558</v>
      </c>
      <c r="E4624" s="1" t="str">
        <f t="array" ref="E4624">_xlfn.XLOOKUP(A4624,Product!A:A,Product!B:B,"Bulunamadı")</f>
        <v>Law</v>
      </c>
      <c r="F4624" s="1" t="str">
        <f t="array" ref="F4624">_xlfn.XLOOKUP(A4624,Product!A:A,Product!C:C,"Bulunamadı")</f>
        <v>Financial Modeling</v>
      </c>
      <c r="G4624" s="2" t="str">
        <f t="array" ref="G4624">_xlfn.XLOOKUP(A4625,Product!A:A,Product!D:D,"Bulunamadı")</f>
        <v>Riverfield House</v>
      </c>
      <c r="H4624" s="2">
        <f t="array" ref="H4624">_xlfn.XLOOKUP(A4626,Product!A:A,Product!E:E,"Bulunamadı")</f>
        <v>6.1</v>
      </c>
      <c r="I4624" s="2" t="str">
        <f t="shared" si="1"/>
        <v>17630 - Law - Financial Modeling</v>
      </c>
      <c r="J4624" s="2">
        <f t="shared" si="2"/>
        <v>3403.8</v>
      </c>
      <c r="K4624" s="17">
        <f t="shared" si="3"/>
        <v>1</v>
      </c>
      <c r="L4624" s="18"/>
    </row>
    <row r="4625" hidden="1">
      <c r="A4625" s="2">
        <f>IFERROR(__xludf.DUMMYFUNCTION("""COMPUTED_VALUE"""),78924.0)</f>
        <v>78924</v>
      </c>
      <c r="B4625" s="2">
        <f>IFERROR(__xludf.DUMMYFUNCTION("""COMPUTED_VALUE"""),0.0)</f>
        <v>0</v>
      </c>
      <c r="C4625" s="2">
        <f>IFERROR(__xludf.DUMMYFUNCTION("""COMPUTED_VALUE"""),746.0)</f>
        <v>746</v>
      </c>
      <c r="D4625" s="3">
        <f>IFERROR(__xludf.DUMMYFUNCTION("""COMPUTED_VALUE"""),330.0)</f>
        <v>330</v>
      </c>
      <c r="E4625" s="1" t="str">
        <f t="array" ref="E4625">_xlfn.XLOOKUP(A4625,Product!A:A,Product!B:B,"Bulunamadı")</f>
        <v>Law</v>
      </c>
      <c r="F4625" s="1" t="str">
        <f t="array" ref="F4625">_xlfn.XLOOKUP(A4625,Product!A:A,Product!C:C,"Bulunamadı")</f>
        <v>Financial Modeling</v>
      </c>
      <c r="G4625" s="2" t="str">
        <f t="array" ref="G4625">_xlfn.XLOOKUP(A4626,Product!A:A,Product!D:D,"Bulunamadı")</f>
        <v>Riverfield House</v>
      </c>
      <c r="H4625" s="2">
        <f t="array" ref="H4625">_xlfn.XLOOKUP(A4627,Product!A:A,Product!E:E,"Bulunamadı")</f>
        <v>9.42</v>
      </c>
      <c r="I4625" s="2" t="str">
        <f t="shared" si="1"/>
        <v>78924 - Law - Financial Modeling</v>
      </c>
      <c r="J4625" s="2">
        <f t="shared" si="2"/>
        <v>3108.6</v>
      </c>
      <c r="K4625" s="17">
        <f t="shared" si="3"/>
        <v>1</v>
      </c>
      <c r="L4625" s="18"/>
    </row>
    <row r="4626" hidden="1">
      <c r="A4626" s="2">
        <f>IFERROR(__xludf.DUMMYFUNCTION("""COMPUTED_VALUE"""),82196.0)</f>
        <v>82196</v>
      </c>
      <c r="B4626" s="2">
        <f>IFERROR(__xludf.DUMMYFUNCTION("""COMPUTED_VALUE"""),0.0)</f>
        <v>0</v>
      </c>
      <c r="C4626" s="2">
        <f>IFERROR(__xludf.DUMMYFUNCTION("""COMPUTED_VALUE"""),686.0)</f>
        <v>686</v>
      </c>
      <c r="D4626" s="3">
        <f>IFERROR(__xludf.DUMMYFUNCTION("""COMPUTED_VALUE"""),130.0)</f>
        <v>130</v>
      </c>
      <c r="E4626" s="1" t="str">
        <f t="array" ref="E4626">_xlfn.XLOOKUP(A4626,Product!A:A,Product!B:B,"Bulunamadı")</f>
        <v>Law</v>
      </c>
      <c r="F4626" s="1" t="str">
        <f t="array" ref="F4626">_xlfn.XLOOKUP(A4626,Product!A:A,Product!C:C,"Bulunamadı")</f>
        <v>Financial Modeling</v>
      </c>
      <c r="G4626" s="2" t="str">
        <f t="array" ref="G4626">_xlfn.XLOOKUP(A4627,Product!A:A,Product!D:D,"Bulunamadı")</f>
        <v>Ironfield House</v>
      </c>
      <c r="H4626" s="2">
        <f t="array" ref="H4626">_xlfn.XLOOKUP(A4628,Product!A:A,Product!E:E,"Bulunamadı")</f>
        <v>9.43</v>
      </c>
      <c r="I4626" s="2" t="str">
        <f t="shared" si="1"/>
        <v>82196 - Law - Financial Modeling</v>
      </c>
      <c r="J4626" s="2">
        <f t="shared" si="2"/>
        <v>1225.9</v>
      </c>
      <c r="K4626" s="17">
        <f t="shared" si="3"/>
        <v>1</v>
      </c>
      <c r="L4626" s="18"/>
    </row>
    <row r="4627" hidden="1">
      <c r="A4627" s="2">
        <f>IFERROR(__xludf.DUMMYFUNCTION("""COMPUTED_VALUE"""),86184.0)</f>
        <v>86184</v>
      </c>
      <c r="B4627" s="2">
        <f>IFERROR(__xludf.DUMMYFUNCTION("""COMPUTED_VALUE"""),1.0)</f>
        <v>1</v>
      </c>
      <c r="C4627" s="2">
        <f>IFERROR(__xludf.DUMMYFUNCTION("""COMPUTED_VALUE"""),431.0)</f>
        <v>431</v>
      </c>
      <c r="D4627" s="3">
        <f>IFERROR(__xludf.DUMMYFUNCTION("""COMPUTED_VALUE"""),283.0)</f>
        <v>283</v>
      </c>
      <c r="E4627" s="1" t="str">
        <f t="array" ref="E4627">_xlfn.XLOOKUP(A4627,Product!A:A,Product!B:B,"Bulunamadı")</f>
        <v>Law</v>
      </c>
      <c r="F4627" s="1" t="str">
        <f t="array" ref="F4627">_xlfn.XLOOKUP(A4627,Product!A:A,Product!C:C,"Bulunamadı")</f>
        <v>Financial Modeling</v>
      </c>
      <c r="G4627" s="2" t="str">
        <f t="array" ref="G4627">_xlfn.XLOOKUP(A4628,Product!A:A,Product!D:D,"Bulunamadı")</f>
        <v>Ironfield House</v>
      </c>
      <c r="H4627" s="2">
        <f t="array" ref="H4627">_xlfn.XLOOKUP(A4629,Product!A:A,Product!E:E,"Bulunamadı")</f>
        <v>3.72</v>
      </c>
      <c r="I4627" s="2" t="str">
        <f t="shared" si="1"/>
        <v>86184 - Law - Financial Modeling</v>
      </c>
      <c r="J4627" s="2">
        <f t="shared" si="2"/>
        <v>1052.76</v>
      </c>
      <c r="K4627" s="17">
        <f t="shared" si="3"/>
        <v>1</v>
      </c>
      <c r="L4627" s="18"/>
    </row>
    <row r="4628" hidden="1">
      <c r="A4628" s="2">
        <f>IFERROR(__xludf.DUMMYFUNCTION("""COMPUTED_VALUE"""),6219.0)</f>
        <v>6219</v>
      </c>
      <c r="B4628" s="2">
        <f>IFERROR(__xludf.DUMMYFUNCTION("""COMPUTED_VALUE"""),1.0)</f>
        <v>1</v>
      </c>
      <c r="C4628" s="2">
        <f>IFERROR(__xludf.DUMMYFUNCTION("""COMPUTED_VALUE"""),958.0)</f>
        <v>958</v>
      </c>
      <c r="D4628" s="3">
        <f>IFERROR(__xludf.DUMMYFUNCTION("""COMPUTED_VALUE"""),0.0)</f>
        <v>0</v>
      </c>
      <c r="E4628" s="1" t="str">
        <f t="array" ref="E4628">_xlfn.XLOOKUP(A4628,Product!A:A,Product!B:B,"Bulunamadı")</f>
        <v>Law</v>
      </c>
      <c r="F4628" s="1" t="str">
        <f t="array" ref="F4628">_xlfn.XLOOKUP(A4628,Product!A:A,Product!C:C,"Bulunamadı")</f>
        <v>Financial Modeling</v>
      </c>
      <c r="G4628" s="2" t="str">
        <f t="array" ref="G4628">_xlfn.XLOOKUP(A4629,Product!A:A,Product!D:D,"Bulunamadı")</f>
        <v>Silverlane House</v>
      </c>
      <c r="H4628" s="2">
        <f t="array" ref="H4628">_xlfn.XLOOKUP(A4630,Product!A:A,Product!E:E,"Bulunamadı")</f>
        <v>13.5</v>
      </c>
      <c r="I4628" s="2" t="str">
        <f t="shared" si="1"/>
        <v>6219 - Law - Financial Modeling</v>
      </c>
      <c r="J4628" s="2">
        <f t="shared" si="2"/>
        <v>0</v>
      </c>
      <c r="K4628" s="17">
        <f t="shared" si="3"/>
        <v>0</v>
      </c>
      <c r="L4628" s="18"/>
    </row>
    <row r="4629" hidden="1">
      <c r="A4629" s="2">
        <f>IFERROR(__xludf.DUMMYFUNCTION("""COMPUTED_VALUE"""),116185.0)</f>
        <v>116185</v>
      </c>
      <c r="B4629" s="2">
        <f>IFERROR(__xludf.DUMMYFUNCTION("""COMPUTED_VALUE"""),1.0)</f>
        <v>1</v>
      </c>
      <c r="C4629" s="2">
        <f>IFERROR(__xludf.DUMMYFUNCTION("""COMPUTED_VALUE"""),386.0)</f>
        <v>386</v>
      </c>
      <c r="D4629" s="3">
        <f>IFERROR(__xludf.DUMMYFUNCTION("""COMPUTED_VALUE"""),187.0)</f>
        <v>187</v>
      </c>
      <c r="E4629" s="1" t="str">
        <f t="array" ref="E4629">_xlfn.XLOOKUP(A4629,Product!A:A,Product!B:B,"Bulunamadı")</f>
        <v>Law</v>
      </c>
      <c r="F4629" s="1" t="str">
        <f t="array" ref="F4629">_xlfn.XLOOKUP(A4629,Product!A:A,Product!C:C,"Bulunamadı")</f>
        <v>Financial Modeling</v>
      </c>
      <c r="G4629" s="2" t="str">
        <f t="array" ref="G4629">_xlfn.XLOOKUP(A4630,Product!A:A,Product!D:D,"Bulunamadı")</f>
        <v>Silverlane House</v>
      </c>
      <c r="H4629" s="2">
        <f t="array" ref="H4629">_xlfn.XLOOKUP(A4631,Product!A:A,Product!E:E,"Bulunamadı")</f>
        <v>5.57</v>
      </c>
      <c r="I4629" s="2" t="str">
        <f t="shared" si="1"/>
        <v>116185 - Law - Financial Modeling</v>
      </c>
      <c r="J4629" s="2">
        <f t="shared" si="2"/>
        <v>1041.59</v>
      </c>
      <c r="K4629" s="17">
        <f t="shared" si="3"/>
        <v>1</v>
      </c>
      <c r="L4629" s="18"/>
    </row>
    <row r="4630" hidden="1">
      <c r="A4630" s="2">
        <f>IFERROR(__xludf.DUMMYFUNCTION("""COMPUTED_VALUE"""),12873.0)</f>
        <v>12873</v>
      </c>
      <c r="B4630" s="2">
        <f>IFERROR(__xludf.DUMMYFUNCTION("""COMPUTED_VALUE"""),1.0)</f>
        <v>1</v>
      </c>
      <c r="C4630" s="2">
        <f>IFERROR(__xludf.DUMMYFUNCTION("""COMPUTED_VALUE"""),831.0)</f>
        <v>831</v>
      </c>
      <c r="D4630" s="3">
        <f>IFERROR(__xludf.DUMMYFUNCTION("""COMPUTED_VALUE"""),344.0)</f>
        <v>344</v>
      </c>
      <c r="E4630" s="1" t="str">
        <f t="array" ref="E4630">_xlfn.XLOOKUP(A4630,Product!A:A,Product!B:B,"Bulunamadı")</f>
        <v>Law</v>
      </c>
      <c r="F4630" s="1" t="str">
        <f t="array" ref="F4630">_xlfn.XLOOKUP(A4630,Product!A:A,Product!C:C,"Bulunamadı")</f>
        <v>Financial Modeling</v>
      </c>
      <c r="G4630" s="2" t="str">
        <f t="array" ref="G4630">_xlfn.XLOOKUP(A4631,Product!A:A,Product!D:D,"Bulunamadı")</f>
        <v>Silverlane House</v>
      </c>
      <c r="H4630" s="2">
        <f t="array" ref="H4630">_xlfn.XLOOKUP(A4632,Product!A:A,Product!E:E,"Bulunamadı")</f>
        <v>2.57</v>
      </c>
      <c r="I4630" s="2" t="str">
        <f t="shared" si="1"/>
        <v>12873 - Law - Financial Modeling</v>
      </c>
      <c r="J4630" s="2">
        <f t="shared" si="2"/>
        <v>884.08</v>
      </c>
      <c r="K4630" s="17">
        <f t="shared" si="3"/>
        <v>1</v>
      </c>
      <c r="L4630" s="18"/>
    </row>
    <row r="4631" hidden="1">
      <c r="A4631" s="2">
        <f>IFERROR(__xludf.DUMMYFUNCTION("""COMPUTED_VALUE"""),71413.0)</f>
        <v>71413</v>
      </c>
      <c r="B4631" s="2">
        <f>IFERROR(__xludf.DUMMYFUNCTION("""COMPUTED_VALUE"""),0.0)</f>
        <v>0</v>
      </c>
      <c r="C4631" s="2">
        <f>IFERROR(__xludf.DUMMYFUNCTION("""COMPUTED_VALUE"""),0.0)</f>
        <v>0</v>
      </c>
      <c r="D4631" s="3">
        <f>IFERROR(__xludf.DUMMYFUNCTION("""COMPUTED_VALUE"""),0.0)</f>
        <v>0</v>
      </c>
      <c r="E4631" s="1" t="str">
        <f t="array" ref="E4631">_xlfn.XLOOKUP(A4631,Product!A:A,Product!B:B,"Bulunamadı")</f>
        <v>Law</v>
      </c>
      <c r="F4631" s="1" t="str">
        <f t="array" ref="F4631">_xlfn.XLOOKUP(A4631,Product!A:A,Product!C:C,"Bulunamadı")</f>
        <v>Financial Modeling</v>
      </c>
      <c r="G4631" s="2" t="str">
        <f t="array" ref="G4631">_xlfn.XLOOKUP(A4632,Product!A:A,Product!D:D,"Bulunamadı")</f>
        <v>Silverlane House</v>
      </c>
      <c r="H4631" s="2">
        <f t="array" ref="H4631">_xlfn.XLOOKUP(A4633,Product!A:A,Product!E:E,"Bulunamadı")</f>
        <v>5.38</v>
      </c>
      <c r="I4631" s="2" t="str">
        <f t="shared" si="1"/>
        <v>71413 - Law - Financial Modeling</v>
      </c>
      <c r="J4631" s="2">
        <f t="shared" si="2"/>
        <v>0</v>
      </c>
      <c r="K4631" s="17">
        <f t="shared" si="3"/>
        <v>0</v>
      </c>
      <c r="L4631" s="18"/>
    </row>
    <row r="4632" hidden="1">
      <c r="A4632" s="2">
        <f>IFERROR(__xludf.DUMMYFUNCTION("""COMPUTED_VALUE"""),128352.0)</f>
        <v>128352</v>
      </c>
      <c r="B4632" s="2">
        <f>IFERROR(__xludf.DUMMYFUNCTION("""COMPUTED_VALUE"""),1.0)</f>
        <v>1</v>
      </c>
      <c r="C4632" s="2">
        <f>IFERROR(__xludf.DUMMYFUNCTION("""COMPUTED_VALUE"""),128.0)</f>
        <v>128</v>
      </c>
      <c r="D4632" s="3">
        <f>IFERROR(__xludf.DUMMYFUNCTION("""COMPUTED_VALUE"""),35.0)</f>
        <v>35</v>
      </c>
      <c r="E4632" s="1" t="str">
        <f t="array" ref="E4632">_xlfn.XLOOKUP(A4632,Product!A:A,Product!B:B,"Bulunamadı")</f>
        <v>Law</v>
      </c>
      <c r="F4632" s="1" t="str">
        <f t="array" ref="F4632">_xlfn.XLOOKUP(A4632,Product!A:A,Product!C:C,"Bulunamadı")</f>
        <v>Financial Modeling</v>
      </c>
      <c r="G4632" s="2" t="str">
        <f t="array" ref="G4632">_xlfn.XLOOKUP(A4633,Product!A:A,Product!D:D,"Bulunamadı")</f>
        <v>Silverlane House</v>
      </c>
      <c r="H4632" s="2">
        <f t="array" ref="H4632">_xlfn.XLOOKUP(A4634,Product!A:A,Product!E:E,"Bulunamadı")</f>
        <v>4.83</v>
      </c>
      <c r="I4632" s="2" t="str">
        <f t="shared" si="1"/>
        <v>128352 - Law - Financial Modeling</v>
      </c>
      <c r="J4632" s="2">
        <f t="shared" si="2"/>
        <v>169.05</v>
      </c>
      <c r="K4632" s="17">
        <f t="shared" si="3"/>
        <v>1</v>
      </c>
      <c r="L4632" s="18"/>
    </row>
    <row r="4633" hidden="1">
      <c r="A4633" s="2">
        <f>IFERROR(__xludf.DUMMYFUNCTION("""COMPUTED_VALUE"""),17594.0)</f>
        <v>17594</v>
      </c>
      <c r="B4633" s="2">
        <f>IFERROR(__xludf.DUMMYFUNCTION("""COMPUTED_VALUE"""),0.0)</f>
        <v>0</v>
      </c>
      <c r="C4633" s="2">
        <f>IFERROR(__xludf.DUMMYFUNCTION("""COMPUTED_VALUE"""),314.0)</f>
        <v>314</v>
      </c>
      <c r="D4633" s="3">
        <f>IFERROR(__xludf.DUMMYFUNCTION("""COMPUTED_VALUE"""),6.0)</f>
        <v>6</v>
      </c>
      <c r="E4633" s="1" t="str">
        <f t="array" ref="E4633">_xlfn.XLOOKUP(A4633,Product!A:A,Product!B:B,"Bulunamadı")</f>
        <v>Law</v>
      </c>
      <c r="F4633" s="1" t="str">
        <f t="array" ref="F4633">_xlfn.XLOOKUP(A4633,Product!A:A,Product!C:C,"Bulunamadı")</f>
        <v>Financial Modeling</v>
      </c>
      <c r="G4633" s="2" t="str">
        <f t="array" ref="G4633">_xlfn.XLOOKUP(A4634,Product!A:A,Product!D:D,"Bulunamadı")</f>
        <v>Silverlane House</v>
      </c>
      <c r="H4633" s="2">
        <f t="array" ref="H4633">_xlfn.XLOOKUP(A4635,Product!A:A,Product!E:E,"Bulunamadı")</f>
        <v>2.94</v>
      </c>
      <c r="I4633" s="2" t="str">
        <f t="shared" si="1"/>
        <v>17594 - Law - Financial Modeling</v>
      </c>
      <c r="J4633" s="2">
        <f t="shared" si="2"/>
        <v>17.64</v>
      </c>
      <c r="K4633" s="17">
        <f t="shared" si="3"/>
        <v>1</v>
      </c>
      <c r="L4633" s="18"/>
    </row>
    <row r="4634" hidden="1">
      <c r="A4634" s="2">
        <f>IFERROR(__xludf.DUMMYFUNCTION("""COMPUTED_VALUE"""),71404.0)</f>
        <v>71404</v>
      </c>
      <c r="B4634" s="2">
        <f>IFERROR(__xludf.DUMMYFUNCTION("""COMPUTED_VALUE"""),0.0)</f>
        <v>0</v>
      </c>
      <c r="C4634" s="2">
        <f>IFERROR(__xludf.DUMMYFUNCTION("""COMPUTED_VALUE"""),644.0)</f>
        <v>644</v>
      </c>
      <c r="D4634" s="3">
        <f>IFERROR(__xludf.DUMMYFUNCTION("""COMPUTED_VALUE"""),236.0)</f>
        <v>236</v>
      </c>
      <c r="E4634" s="1" t="str">
        <f t="array" ref="E4634">_xlfn.XLOOKUP(A4634,Product!A:A,Product!B:B,"Bulunamadı")</f>
        <v>Law</v>
      </c>
      <c r="F4634" s="1" t="str">
        <f t="array" ref="F4634">_xlfn.XLOOKUP(A4634,Product!A:A,Product!C:C,"Bulunamadı")</f>
        <v>Financial Modeling</v>
      </c>
      <c r="G4634" s="2" t="str">
        <f t="array" ref="G4634">_xlfn.XLOOKUP(A4635,Product!A:A,Product!D:D,"Bulunamadı")</f>
        <v>Silverlane House</v>
      </c>
      <c r="H4634" s="2">
        <f t="array" ref="H4634">_xlfn.XLOOKUP(A4636,Product!A:A,Product!E:E,"Bulunamadı")</f>
        <v>6.05</v>
      </c>
      <c r="I4634" s="2" t="str">
        <f t="shared" si="1"/>
        <v>71404 - Law - Financial Modeling</v>
      </c>
      <c r="J4634" s="2">
        <f t="shared" si="2"/>
        <v>1427.8</v>
      </c>
      <c r="K4634" s="17">
        <f t="shared" si="3"/>
        <v>1</v>
      </c>
      <c r="L4634" s="18"/>
    </row>
    <row r="4635" hidden="1">
      <c r="A4635" s="2">
        <f>IFERROR(__xludf.DUMMYFUNCTION("""COMPUTED_VALUE"""),129473.0)</f>
        <v>129473</v>
      </c>
      <c r="B4635" s="2">
        <f>IFERROR(__xludf.DUMMYFUNCTION("""COMPUTED_VALUE"""),1.0)</f>
        <v>1</v>
      </c>
      <c r="C4635" s="2">
        <f>IFERROR(__xludf.DUMMYFUNCTION("""COMPUTED_VALUE"""),-16.0)</f>
        <v>-16</v>
      </c>
      <c r="D4635" s="3">
        <f>IFERROR(__xludf.DUMMYFUNCTION("""COMPUTED_VALUE"""),-8.0)</f>
        <v>-8</v>
      </c>
      <c r="E4635" s="1" t="str">
        <f t="array" ref="E4635">_xlfn.XLOOKUP(A4635,Product!A:A,Product!B:B,"Bulunamadı")</f>
        <v>Law</v>
      </c>
      <c r="F4635" s="1" t="str">
        <f t="array" ref="F4635">_xlfn.XLOOKUP(A4635,Product!A:A,Product!C:C,"Bulunamadı")</f>
        <v>Financial Modeling</v>
      </c>
      <c r="G4635" s="2" t="str">
        <f t="array" ref="G4635">_xlfn.XLOOKUP(A4636,Product!A:A,Product!D:D,"Bulunamadı")</f>
        <v>Silverlane House</v>
      </c>
      <c r="H4635" s="2">
        <f t="array" ref="H4635">_xlfn.XLOOKUP(A4637,Product!A:A,Product!E:E,"Bulunamadı")</f>
        <v>3.31</v>
      </c>
      <c r="I4635" s="2" t="str">
        <f t="shared" si="1"/>
        <v>129473 - Law - Financial Modeling</v>
      </c>
      <c r="J4635" s="2">
        <f t="shared" si="2"/>
        <v>-26.48</v>
      </c>
      <c r="K4635" s="17">
        <f t="shared" si="3"/>
        <v>0</v>
      </c>
      <c r="L4635" s="18"/>
    </row>
    <row r="4636" hidden="1">
      <c r="A4636" s="2">
        <f>IFERROR(__xludf.DUMMYFUNCTION("""COMPUTED_VALUE"""),78904.0)</f>
        <v>78904</v>
      </c>
      <c r="B4636" s="2">
        <f>IFERROR(__xludf.DUMMYFUNCTION("""COMPUTED_VALUE"""),0.0)</f>
        <v>0</v>
      </c>
      <c r="C4636" s="2">
        <f>IFERROR(__xludf.DUMMYFUNCTION("""COMPUTED_VALUE"""),911.0)</f>
        <v>911</v>
      </c>
      <c r="D4636" s="3">
        <f>IFERROR(__xludf.DUMMYFUNCTION("""COMPUTED_VALUE"""),518.0)</f>
        <v>518</v>
      </c>
      <c r="E4636" s="1" t="str">
        <f t="array" ref="E4636">_xlfn.XLOOKUP(A4636,Product!A:A,Product!B:B,"Bulunamadı")</f>
        <v>Law</v>
      </c>
      <c r="F4636" s="1" t="str">
        <f t="array" ref="F4636">_xlfn.XLOOKUP(A4636,Product!A:A,Product!C:C,"Bulunamadı")</f>
        <v>Financial Modeling</v>
      </c>
      <c r="G4636" s="2" t="str">
        <f t="array" ref="G4636">_xlfn.XLOOKUP(A4637,Product!A:A,Product!D:D,"Bulunamadı")</f>
        <v>Northlane House</v>
      </c>
      <c r="H4636" s="2">
        <f t="array" ref="H4636">_xlfn.XLOOKUP(A4638,Product!A:A,Product!E:E,"Bulunamadı")</f>
        <v>4.8</v>
      </c>
      <c r="I4636" s="2" t="str">
        <f t="shared" si="1"/>
        <v>78904 - Law - Financial Modeling</v>
      </c>
      <c r="J4636" s="2">
        <f t="shared" si="2"/>
        <v>2486.4</v>
      </c>
      <c r="K4636" s="17">
        <f t="shared" si="3"/>
        <v>1</v>
      </c>
      <c r="L4636" s="18"/>
    </row>
    <row r="4637" hidden="1">
      <c r="A4637" s="2">
        <f>IFERROR(__xludf.DUMMYFUNCTION("""COMPUTED_VALUE"""),122311.0)</f>
        <v>122311</v>
      </c>
      <c r="B4637" s="2">
        <f>IFERROR(__xludf.DUMMYFUNCTION("""COMPUTED_VALUE"""),1.0)</f>
        <v>1</v>
      </c>
      <c r="C4637" s="2">
        <f>IFERROR(__xludf.DUMMYFUNCTION("""COMPUTED_VALUE"""),525.0)</f>
        <v>525</v>
      </c>
      <c r="D4637" s="3">
        <f>IFERROR(__xludf.DUMMYFUNCTION("""COMPUTED_VALUE"""),340.0)</f>
        <v>340</v>
      </c>
      <c r="E4637" s="1" t="str">
        <f t="array" ref="E4637">_xlfn.XLOOKUP(A4637,Product!A:A,Product!B:B,"Bulunamadı")</f>
        <v>Law</v>
      </c>
      <c r="F4637" s="1" t="str">
        <f t="array" ref="F4637">_xlfn.XLOOKUP(A4637,Product!A:A,Product!C:C,"Bulunamadı")</f>
        <v>Financial Modeling</v>
      </c>
      <c r="G4637" s="2" t="str">
        <f t="array" ref="G4637">_xlfn.XLOOKUP(A4638,Product!A:A,Product!D:D,"Bulunamadı")</f>
        <v>Harborlane House</v>
      </c>
      <c r="H4637" s="2">
        <f t="array" ref="H4637">_xlfn.XLOOKUP(A4639,Product!A:A,Product!E:E,"Bulunamadı")</f>
        <v>5.69</v>
      </c>
      <c r="I4637" s="2" t="str">
        <f t="shared" si="1"/>
        <v>122311 - Law - Financial Modeling</v>
      </c>
      <c r="J4637" s="2">
        <f t="shared" si="2"/>
        <v>1934.6</v>
      </c>
      <c r="K4637" s="17">
        <f t="shared" si="3"/>
        <v>1</v>
      </c>
      <c r="L4637" s="18"/>
    </row>
    <row r="4638" hidden="1">
      <c r="A4638" s="2">
        <f>IFERROR(__xludf.DUMMYFUNCTION("""COMPUTED_VALUE"""),86172.0)</f>
        <v>86172</v>
      </c>
      <c r="B4638" s="2">
        <f>IFERROR(__xludf.DUMMYFUNCTION("""COMPUTED_VALUE"""),1.0)</f>
        <v>1</v>
      </c>
      <c r="C4638" s="2">
        <f>IFERROR(__xludf.DUMMYFUNCTION("""COMPUTED_VALUE"""),211.0)</f>
        <v>211</v>
      </c>
      <c r="D4638" s="3">
        <f>IFERROR(__xludf.DUMMYFUNCTION("""COMPUTED_VALUE"""),114.0)</f>
        <v>114</v>
      </c>
      <c r="E4638" s="1" t="str">
        <f t="array" ref="E4638">_xlfn.XLOOKUP(A4638,Product!A:A,Product!B:B,"Bulunamadı")</f>
        <v>Law</v>
      </c>
      <c r="F4638" s="1" t="str">
        <f t="array" ref="F4638">_xlfn.XLOOKUP(A4638,Product!A:A,Product!C:C,"Bulunamadı")</f>
        <v>Financial Modeling</v>
      </c>
      <c r="G4638" s="2" t="str">
        <f t="array" ref="G4638">_xlfn.XLOOKUP(A4639,Product!A:A,Product!D:D,"Bulunamadı")</f>
        <v>Harborlane House</v>
      </c>
      <c r="H4638" s="2">
        <f t="array" ref="H4638">_xlfn.XLOOKUP(A4640,Product!A:A,Product!E:E,"Bulunamadı")</f>
        <v>4.19</v>
      </c>
      <c r="I4638" s="2" t="str">
        <f t="shared" si="1"/>
        <v>86172 - Law - Financial Modeling</v>
      </c>
      <c r="J4638" s="2">
        <f t="shared" si="2"/>
        <v>477.66</v>
      </c>
      <c r="K4638" s="17">
        <f t="shared" si="3"/>
        <v>1</v>
      </c>
      <c r="L4638" s="18"/>
    </row>
    <row r="4639" hidden="1">
      <c r="A4639" s="2">
        <f>IFERROR(__xludf.DUMMYFUNCTION("""COMPUTED_VALUE"""),17592.0)</f>
        <v>17592</v>
      </c>
      <c r="B4639" s="2">
        <f>IFERROR(__xludf.DUMMYFUNCTION("""COMPUTED_VALUE"""),1.0)</f>
        <v>1</v>
      </c>
      <c r="C4639" s="2">
        <f>IFERROR(__xludf.DUMMYFUNCTION("""COMPUTED_VALUE"""),670.0)</f>
        <v>670</v>
      </c>
      <c r="D4639" s="3">
        <f>IFERROR(__xludf.DUMMYFUNCTION("""COMPUTED_VALUE"""),647.0)</f>
        <v>647</v>
      </c>
      <c r="E4639" s="1" t="str">
        <f t="array" ref="E4639">_xlfn.XLOOKUP(A4639,Product!A:A,Product!B:B,"Bulunamadı")</f>
        <v>Law</v>
      </c>
      <c r="F4639" s="1" t="str">
        <f t="array" ref="F4639">_xlfn.XLOOKUP(A4639,Product!A:A,Product!C:C,"Bulunamadı")</f>
        <v>Financial Modeling</v>
      </c>
      <c r="G4639" s="2" t="str">
        <f t="array" ref="G4639">_xlfn.XLOOKUP(A4640,Product!A:A,Product!D:D,"Bulunamadı")</f>
        <v>Harborlane House</v>
      </c>
      <c r="H4639" s="2">
        <f t="array" ref="H4639">_xlfn.XLOOKUP(A4641,Product!A:A,Product!E:E,"Bulunamadı")</f>
        <v>4.09</v>
      </c>
      <c r="I4639" s="2" t="str">
        <f t="shared" si="1"/>
        <v>17592 - Law - Financial Modeling</v>
      </c>
      <c r="J4639" s="2">
        <f t="shared" si="2"/>
        <v>2646.23</v>
      </c>
      <c r="K4639" s="17">
        <f t="shared" si="3"/>
        <v>1</v>
      </c>
      <c r="L4639" s="18"/>
    </row>
    <row r="4640" hidden="1">
      <c r="A4640" s="2">
        <f>IFERROR(__xludf.DUMMYFUNCTION("""COMPUTED_VALUE"""),89981.0)</f>
        <v>89981</v>
      </c>
      <c r="B4640" s="2">
        <f>IFERROR(__xludf.DUMMYFUNCTION("""COMPUTED_VALUE"""),0.0)</f>
        <v>0</v>
      </c>
      <c r="C4640" s="2">
        <f>IFERROR(__xludf.DUMMYFUNCTION("""COMPUTED_VALUE"""),50.0)</f>
        <v>50</v>
      </c>
      <c r="D4640" s="3">
        <f>IFERROR(__xludf.DUMMYFUNCTION("""COMPUTED_VALUE"""),15.0)</f>
        <v>15</v>
      </c>
      <c r="E4640" s="1" t="str">
        <f t="array" ref="E4640">_xlfn.XLOOKUP(A4640,Product!A:A,Product!B:B,"Bulunamadı")</f>
        <v>Law</v>
      </c>
      <c r="F4640" s="1" t="str">
        <f t="array" ref="F4640">_xlfn.XLOOKUP(A4640,Product!A:A,Product!C:C,"Bulunamadı")</f>
        <v>Financial Modeling</v>
      </c>
      <c r="G4640" s="2" t="str">
        <f t="array" ref="G4640">_xlfn.XLOOKUP(A4641,Product!A:A,Product!D:D,"Bulunamadı")</f>
        <v>Harborlane House</v>
      </c>
      <c r="H4640" s="2">
        <f t="array" ref="H4640">_xlfn.XLOOKUP(A4642,Product!A:A,Product!E:E,"Bulunamadı")</f>
        <v>3.75</v>
      </c>
      <c r="I4640" s="2" t="str">
        <f t="shared" si="1"/>
        <v>89981 - Law - Financial Modeling</v>
      </c>
      <c r="J4640" s="2">
        <f t="shared" si="2"/>
        <v>56.25</v>
      </c>
      <c r="K4640" s="17">
        <f t="shared" si="3"/>
        <v>1</v>
      </c>
      <c r="L4640" s="18"/>
    </row>
    <row r="4641" hidden="1">
      <c r="A4641" s="2">
        <f>IFERROR(__xludf.DUMMYFUNCTION("""COMPUTED_VALUE"""),71399.0)</f>
        <v>71399</v>
      </c>
      <c r="B4641" s="2">
        <f>IFERROR(__xludf.DUMMYFUNCTION("""COMPUTED_VALUE"""),1.0)</f>
        <v>1</v>
      </c>
      <c r="C4641" s="2">
        <f>IFERROR(__xludf.DUMMYFUNCTION("""COMPUTED_VALUE"""),74.0)</f>
        <v>74</v>
      </c>
      <c r="D4641" s="3">
        <f>IFERROR(__xludf.DUMMYFUNCTION("""COMPUTED_VALUE"""),61.0)</f>
        <v>61</v>
      </c>
      <c r="E4641" s="1" t="str">
        <f t="array" ref="E4641">_xlfn.XLOOKUP(A4641,Product!A:A,Product!B:B,"Bulunamadı")</f>
        <v>Law</v>
      </c>
      <c r="F4641" s="1" t="str">
        <f t="array" ref="F4641">_xlfn.XLOOKUP(A4641,Product!A:A,Product!C:C,"Bulunamadı")</f>
        <v>Financial Modeling</v>
      </c>
      <c r="G4641" s="2" t="str">
        <f t="array" ref="G4641">_xlfn.XLOOKUP(A4642,Product!A:A,Product!D:D,"Bulunamadı")</f>
        <v>Harborlane House</v>
      </c>
      <c r="H4641" s="2">
        <f t="array" ref="H4641">_xlfn.XLOOKUP(A4643,Product!A:A,Product!E:E,"Bulunamadı")</f>
        <v>6.87</v>
      </c>
      <c r="I4641" s="2" t="str">
        <f t="shared" si="1"/>
        <v>71399 - Law - Financial Modeling</v>
      </c>
      <c r="J4641" s="2">
        <f t="shared" si="2"/>
        <v>419.07</v>
      </c>
      <c r="K4641" s="17">
        <f t="shared" si="3"/>
        <v>1</v>
      </c>
      <c r="L4641" s="18"/>
    </row>
    <row r="4642" hidden="1">
      <c r="A4642" s="2">
        <f>IFERROR(__xludf.DUMMYFUNCTION("""COMPUTED_VALUE"""),17587.0)</f>
        <v>17587</v>
      </c>
      <c r="B4642" s="2">
        <f>IFERROR(__xludf.DUMMYFUNCTION("""COMPUTED_VALUE"""),1.0)</f>
        <v>1</v>
      </c>
      <c r="C4642" s="2">
        <f>IFERROR(__xludf.DUMMYFUNCTION("""COMPUTED_VALUE"""),447.0)</f>
        <v>447</v>
      </c>
      <c r="D4642" s="3">
        <f>IFERROR(__xludf.DUMMYFUNCTION("""COMPUTED_VALUE"""),9.0)</f>
        <v>9</v>
      </c>
      <c r="E4642" s="1" t="str">
        <f t="array" ref="E4642">_xlfn.XLOOKUP(A4642,Product!A:A,Product!B:B,"Bulunamadı")</f>
        <v>Law</v>
      </c>
      <c r="F4642" s="1" t="str">
        <f t="array" ref="F4642">_xlfn.XLOOKUP(A4642,Product!A:A,Product!C:C,"Bulunamadı")</f>
        <v>Financial Modeling</v>
      </c>
      <c r="G4642" s="2" t="str">
        <f t="array" ref="G4642">_xlfn.XLOOKUP(A4643,Product!A:A,Product!D:D,"Bulunamadı")</f>
        <v>Harborlane House</v>
      </c>
      <c r="H4642" s="2">
        <f t="array" ref="H4642">_xlfn.XLOOKUP(A4644,Product!A:A,Product!E:E,"Bulunamadı")</f>
        <v>7.13</v>
      </c>
      <c r="I4642" s="2" t="str">
        <f t="shared" si="1"/>
        <v>17587 - Law - Financial Modeling</v>
      </c>
      <c r="J4642" s="2">
        <f t="shared" si="2"/>
        <v>64.17</v>
      </c>
      <c r="K4642" s="17">
        <f t="shared" si="3"/>
        <v>1</v>
      </c>
      <c r="L4642" s="18"/>
    </row>
    <row r="4643" hidden="1">
      <c r="A4643" s="2">
        <f>IFERROR(__xludf.DUMMYFUNCTION("""COMPUTED_VALUE"""),17647.0)</f>
        <v>17647</v>
      </c>
      <c r="B4643" s="2">
        <f>IFERROR(__xludf.DUMMYFUNCTION("""COMPUTED_VALUE"""),1.0)</f>
        <v>1</v>
      </c>
      <c r="C4643" s="2">
        <f>IFERROR(__xludf.DUMMYFUNCTION("""COMPUTED_VALUE"""),24.0)</f>
        <v>24</v>
      </c>
      <c r="D4643" s="3">
        <f>IFERROR(__xludf.DUMMYFUNCTION("""COMPUTED_VALUE"""),0.0)</f>
        <v>0</v>
      </c>
      <c r="E4643" s="1" t="str">
        <f t="array" ref="E4643">_xlfn.XLOOKUP(A4643,Product!A:A,Product!B:B,"Bulunamadı")</f>
        <v>Law</v>
      </c>
      <c r="F4643" s="1" t="str">
        <f t="array" ref="F4643">_xlfn.XLOOKUP(A4643,Product!A:A,Product!C:C,"Bulunamadı")</f>
        <v>Financial Modeling</v>
      </c>
      <c r="G4643" s="2" t="str">
        <f t="array" ref="G4643">_xlfn.XLOOKUP(A4644,Product!A:A,Product!D:D,"Bulunamadı")</f>
        <v>Harborlane House</v>
      </c>
      <c r="H4643" s="2">
        <f t="array" ref="H4643">_xlfn.XLOOKUP(A4645,Product!A:A,Product!E:E,"Bulunamadı")</f>
        <v>5.18</v>
      </c>
      <c r="I4643" s="2" t="str">
        <f t="shared" si="1"/>
        <v>17647 - Law - Financial Modeling</v>
      </c>
      <c r="J4643" s="2">
        <f t="shared" si="2"/>
        <v>0</v>
      </c>
      <c r="K4643" s="17">
        <f t="shared" si="3"/>
        <v>0</v>
      </c>
      <c r="L4643" s="18"/>
    </row>
    <row r="4644" hidden="1">
      <c r="A4644" s="2">
        <f>IFERROR(__xludf.DUMMYFUNCTION("""COMPUTED_VALUE"""),107364.0)</f>
        <v>107364</v>
      </c>
      <c r="B4644" s="2">
        <f>IFERROR(__xludf.DUMMYFUNCTION("""COMPUTED_VALUE"""),0.0)</f>
        <v>0</v>
      </c>
      <c r="C4644" s="2">
        <f>IFERROR(__xludf.DUMMYFUNCTION("""COMPUTED_VALUE"""),50.0)</f>
        <v>50</v>
      </c>
      <c r="D4644" s="3">
        <f>IFERROR(__xludf.DUMMYFUNCTION("""COMPUTED_VALUE"""),46.0)</f>
        <v>46</v>
      </c>
      <c r="E4644" s="1" t="str">
        <f t="array" ref="E4644">_xlfn.XLOOKUP(A4644,Product!A:A,Product!B:B,"Bulunamadı")</f>
        <v>Law</v>
      </c>
      <c r="F4644" s="1" t="str">
        <f t="array" ref="F4644">_xlfn.XLOOKUP(A4644,Product!A:A,Product!C:C,"Bulunamadı")</f>
        <v>Financial Modeling</v>
      </c>
      <c r="G4644" s="2" t="str">
        <f t="array" ref="G4644">_xlfn.XLOOKUP(A4645,Product!A:A,Product!D:D,"Bulunamadı")</f>
        <v>Cedarlane House</v>
      </c>
      <c r="H4644" s="2">
        <f t="array" ref="H4644">_xlfn.XLOOKUP(A4646,Product!A:A,Product!E:E,"Bulunamadı")</f>
        <v>5.82</v>
      </c>
      <c r="I4644" s="2" t="str">
        <f t="shared" si="1"/>
        <v>107364 - Law - Financial Modeling</v>
      </c>
      <c r="J4644" s="2">
        <f t="shared" si="2"/>
        <v>267.72</v>
      </c>
      <c r="K4644" s="17">
        <f t="shared" si="3"/>
        <v>1</v>
      </c>
      <c r="L4644" s="18"/>
    </row>
    <row r="4645" hidden="1">
      <c r="A4645" s="2">
        <f>IFERROR(__xludf.DUMMYFUNCTION("""COMPUTED_VALUE"""),24118.0)</f>
        <v>24118</v>
      </c>
      <c r="B4645" s="2">
        <f>IFERROR(__xludf.DUMMYFUNCTION("""COMPUTED_VALUE"""),0.0)</f>
        <v>0</v>
      </c>
      <c r="C4645" s="2">
        <f>IFERROR(__xludf.DUMMYFUNCTION("""COMPUTED_VALUE"""),657.0)</f>
        <v>657</v>
      </c>
      <c r="D4645" s="3">
        <f>IFERROR(__xludf.DUMMYFUNCTION("""COMPUTED_VALUE"""),68.0)</f>
        <v>68</v>
      </c>
      <c r="E4645" s="1" t="str">
        <f t="array" ref="E4645">_xlfn.XLOOKUP(A4645,Product!A:A,Product!B:B,"Bulunamadı")</f>
        <v>Law</v>
      </c>
      <c r="F4645" s="1" t="str">
        <f t="array" ref="F4645">_xlfn.XLOOKUP(A4645,Product!A:A,Product!C:C,"Bulunamadı")</f>
        <v>Financial Modeling</v>
      </c>
      <c r="G4645" s="2" t="str">
        <f t="array" ref="G4645">_xlfn.XLOOKUP(A4646,Product!A:A,Product!D:D,"Bulunamadı")</f>
        <v>Brightlane House</v>
      </c>
      <c r="H4645" s="2">
        <f t="array" ref="H4645">_xlfn.XLOOKUP(A4647,Product!A:A,Product!E:E,"Bulunamadı")</f>
        <v>5.7</v>
      </c>
      <c r="I4645" s="2" t="str">
        <f t="shared" si="1"/>
        <v>24118 - Law - Financial Modeling</v>
      </c>
      <c r="J4645" s="2">
        <f t="shared" si="2"/>
        <v>387.6</v>
      </c>
      <c r="K4645" s="17">
        <f t="shared" si="3"/>
        <v>1</v>
      </c>
      <c r="L4645" s="18"/>
    </row>
    <row r="4646" hidden="1">
      <c r="A4646" s="2">
        <f>IFERROR(__xludf.DUMMYFUNCTION("""COMPUTED_VALUE"""),86181.0)</f>
        <v>86181</v>
      </c>
      <c r="B4646" s="2">
        <f>IFERROR(__xludf.DUMMYFUNCTION("""COMPUTED_VALUE"""),1.0)</f>
        <v>1</v>
      </c>
      <c r="C4646" s="2">
        <f>IFERROR(__xludf.DUMMYFUNCTION("""COMPUTED_VALUE"""),638.0)</f>
        <v>638</v>
      </c>
      <c r="D4646" s="3">
        <f>IFERROR(__xludf.DUMMYFUNCTION("""COMPUTED_VALUE"""),414.0)</f>
        <v>414</v>
      </c>
      <c r="E4646" s="1" t="str">
        <f t="array" ref="E4646">_xlfn.XLOOKUP(A4646,Product!A:A,Product!B:B,"Bulunamadı")</f>
        <v>Law</v>
      </c>
      <c r="F4646" s="1" t="str">
        <f t="array" ref="F4646">_xlfn.XLOOKUP(A4646,Product!A:A,Product!C:C,"Bulunamadı")</f>
        <v>Financial Modeling</v>
      </c>
      <c r="G4646" s="2" t="str">
        <f t="array" ref="G4646">_xlfn.XLOOKUP(A4647,Product!A:A,Product!D:D,"Bulunamadı")</f>
        <v>Brightlane House</v>
      </c>
      <c r="H4646" s="2">
        <f t="array" ref="H4646">_xlfn.XLOOKUP(A4648,Product!A:A,Product!E:E,"Bulunamadı")</f>
        <v>4.89</v>
      </c>
      <c r="I4646" s="2" t="str">
        <f t="shared" si="1"/>
        <v>86181 - Law - Financial Modeling</v>
      </c>
      <c r="J4646" s="2">
        <f t="shared" si="2"/>
        <v>2024.46</v>
      </c>
      <c r="K4646" s="17">
        <f t="shared" si="3"/>
        <v>1</v>
      </c>
      <c r="L4646" s="18"/>
    </row>
    <row r="4647" hidden="1">
      <c r="A4647" s="2">
        <f>IFERROR(__xludf.DUMMYFUNCTION("""COMPUTED_VALUE"""),129474.0)</f>
        <v>129474</v>
      </c>
      <c r="B4647" s="2">
        <f>IFERROR(__xludf.DUMMYFUNCTION("""COMPUTED_VALUE"""),1.0)</f>
        <v>1</v>
      </c>
      <c r="C4647" s="2">
        <f>IFERROR(__xludf.DUMMYFUNCTION("""COMPUTED_VALUE"""),412.0)</f>
        <v>412</v>
      </c>
      <c r="D4647" s="3">
        <f>IFERROR(__xludf.DUMMYFUNCTION("""COMPUTED_VALUE"""),134.0)</f>
        <v>134</v>
      </c>
      <c r="E4647" s="1" t="str">
        <f t="array" ref="E4647">_xlfn.XLOOKUP(A4647,Product!A:A,Product!B:B,"Bulunamadı")</f>
        <v>Law</v>
      </c>
      <c r="F4647" s="1" t="str">
        <f t="array" ref="F4647">_xlfn.XLOOKUP(A4647,Product!A:A,Product!C:C,"Bulunamadı")</f>
        <v>Financial Modeling</v>
      </c>
      <c r="G4647" s="2" t="str">
        <f t="array" ref="G4647">_xlfn.XLOOKUP(A4648,Product!A:A,Product!D:D,"Bulunamadı")</f>
        <v>Brightlane House</v>
      </c>
      <c r="H4647" s="2">
        <f t="array" ref="H4647">_xlfn.XLOOKUP(A4649,Product!A:A,Product!E:E,"Bulunamadı")</f>
        <v>5.43</v>
      </c>
      <c r="I4647" s="2" t="str">
        <f t="shared" si="1"/>
        <v>129474 - Law - Financial Modeling</v>
      </c>
      <c r="J4647" s="2">
        <f t="shared" si="2"/>
        <v>727.62</v>
      </c>
      <c r="K4647" s="17">
        <f t="shared" si="3"/>
        <v>1</v>
      </c>
      <c r="L4647" s="18"/>
    </row>
    <row r="4648" hidden="1">
      <c r="A4648" s="2">
        <f>IFERROR(__xludf.DUMMYFUNCTION("""COMPUTED_VALUE"""),17601.0)</f>
        <v>17601</v>
      </c>
      <c r="B4648" s="2">
        <f>IFERROR(__xludf.DUMMYFUNCTION("""COMPUTED_VALUE"""),1.0)</f>
        <v>1</v>
      </c>
      <c r="C4648" s="2">
        <f>IFERROR(__xludf.DUMMYFUNCTION("""COMPUTED_VALUE"""),932.0)</f>
        <v>932</v>
      </c>
      <c r="D4648" s="3">
        <f>IFERROR(__xludf.DUMMYFUNCTION("""COMPUTED_VALUE"""),251.0)</f>
        <v>251</v>
      </c>
      <c r="E4648" s="1" t="str">
        <f t="array" ref="E4648">_xlfn.XLOOKUP(A4648,Product!A:A,Product!B:B,"Bulunamadı")</f>
        <v>Law</v>
      </c>
      <c r="F4648" s="1" t="str">
        <f t="array" ref="F4648">_xlfn.XLOOKUP(A4648,Product!A:A,Product!C:C,"Bulunamadı")</f>
        <v>Financial Modeling</v>
      </c>
      <c r="G4648" s="2" t="str">
        <f t="array" ref="G4648">_xlfn.XLOOKUP(A4649,Product!A:A,Product!D:D,"Bulunamadı")</f>
        <v>Brightlane House</v>
      </c>
      <c r="H4648" s="2">
        <f t="array" ref="H4648">_xlfn.XLOOKUP(A4650,Product!A:A,Product!E:E,"Bulunamadı")</f>
        <v>7.5</v>
      </c>
      <c r="I4648" s="2" t="str">
        <f t="shared" si="1"/>
        <v>17601 - Law - Financial Modeling</v>
      </c>
      <c r="J4648" s="2">
        <f t="shared" si="2"/>
        <v>1882.5</v>
      </c>
      <c r="K4648" s="17">
        <f t="shared" si="3"/>
        <v>1</v>
      </c>
      <c r="L4648" s="18"/>
    </row>
    <row r="4649" hidden="1">
      <c r="A4649" s="2">
        <f>IFERROR(__xludf.DUMMYFUNCTION("""COMPUTED_VALUE"""),78938.0)</f>
        <v>78938</v>
      </c>
      <c r="B4649" s="2">
        <f>IFERROR(__xludf.DUMMYFUNCTION("""COMPUTED_VALUE"""),1.0)</f>
        <v>1</v>
      </c>
      <c r="C4649" s="2">
        <f>IFERROR(__xludf.DUMMYFUNCTION("""COMPUTED_VALUE"""),909.0)</f>
        <v>909</v>
      </c>
      <c r="D4649" s="3">
        <f>IFERROR(__xludf.DUMMYFUNCTION("""COMPUTED_VALUE"""),232.0)</f>
        <v>232</v>
      </c>
      <c r="E4649" s="1" t="str">
        <f t="array" ref="E4649">_xlfn.XLOOKUP(A4649,Product!A:A,Product!B:B,"Bulunamadı")</f>
        <v>Law</v>
      </c>
      <c r="F4649" s="1" t="str">
        <f t="array" ref="F4649">_xlfn.XLOOKUP(A4649,Product!A:A,Product!C:C,"Bulunamadı")</f>
        <v>Financial Modeling</v>
      </c>
      <c r="G4649" s="2" t="str">
        <f t="array" ref="G4649">_xlfn.XLOOKUP(A4650,Product!A:A,Product!D:D,"Bulunamadı")</f>
        <v>Brightlane House</v>
      </c>
      <c r="H4649" s="2">
        <f t="array" ref="H4649">_xlfn.XLOOKUP(A4651,Product!A:A,Product!E:E,"Bulunamadı")</f>
        <v>2.58</v>
      </c>
      <c r="I4649" s="2" t="str">
        <f t="shared" si="1"/>
        <v>78938 - Law - Financial Modeling</v>
      </c>
      <c r="J4649" s="2">
        <f t="shared" si="2"/>
        <v>598.56</v>
      </c>
      <c r="K4649" s="17">
        <f t="shared" si="3"/>
        <v>1</v>
      </c>
      <c r="L4649" s="18"/>
    </row>
    <row r="4650" hidden="1">
      <c r="A4650" s="2">
        <f>IFERROR(__xludf.DUMMYFUNCTION("""COMPUTED_VALUE"""),17609.0)</f>
        <v>17609</v>
      </c>
      <c r="B4650" s="2">
        <f>IFERROR(__xludf.DUMMYFUNCTION("""COMPUTED_VALUE"""),0.0)</f>
        <v>0</v>
      </c>
      <c r="C4650" s="2">
        <f>IFERROR(__xludf.DUMMYFUNCTION("""COMPUTED_VALUE"""),519.0)</f>
        <v>519</v>
      </c>
      <c r="D4650" s="3">
        <f>IFERROR(__xludf.DUMMYFUNCTION("""COMPUTED_VALUE"""),212.0)</f>
        <v>212</v>
      </c>
      <c r="E4650" s="1" t="str">
        <f t="array" ref="E4650">_xlfn.XLOOKUP(A4650,Product!A:A,Product!B:B,"Bulunamadı")</f>
        <v>Law</v>
      </c>
      <c r="F4650" s="1" t="str">
        <f t="array" ref="F4650">_xlfn.XLOOKUP(A4650,Product!A:A,Product!C:C,"Bulunamadı")</f>
        <v>Financial Modeling</v>
      </c>
      <c r="G4650" s="2" t="str">
        <f t="array" ref="G4650">_xlfn.XLOOKUP(A4651,Product!A:A,Product!D:D,"Bulunamadı")</f>
        <v>Oaklane House</v>
      </c>
      <c r="H4650" s="2">
        <f t="array" ref="H4650">_xlfn.XLOOKUP(A4652,Product!A:A,Product!E:E,"Bulunamadı")</f>
        <v>3.72</v>
      </c>
      <c r="I4650" s="2" t="str">
        <f t="shared" si="1"/>
        <v>17609 - Law - Financial Modeling</v>
      </c>
      <c r="J4650" s="2">
        <f t="shared" si="2"/>
        <v>788.64</v>
      </c>
      <c r="K4650" s="17">
        <f t="shared" si="3"/>
        <v>1</v>
      </c>
      <c r="L4650" s="18"/>
    </row>
    <row r="4651" hidden="1">
      <c r="A4651" s="2">
        <f>IFERROR(__xludf.DUMMYFUNCTION("""COMPUTED_VALUE"""),129452.0)</f>
        <v>129452</v>
      </c>
      <c r="B4651" s="2">
        <f>IFERROR(__xludf.DUMMYFUNCTION("""COMPUTED_VALUE"""),1.0)</f>
        <v>1</v>
      </c>
      <c r="C4651" s="2">
        <f>IFERROR(__xludf.DUMMYFUNCTION("""COMPUTED_VALUE"""),860.0)</f>
        <v>860</v>
      </c>
      <c r="D4651" s="3">
        <f>IFERROR(__xludf.DUMMYFUNCTION("""COMPUTED_VALUE"""),208.0)</f>
        <v>208</v>
      </c>
      <c r="E4651" s="1" t="str">
        <f t="array" ref="E4651">_xlfn.XLOOKUP(A4651,Product!A:A,Product!B:B,"Bulunamadı")</f>
        <v>Law</v>
      </c>
      <c r="F4651" s="1" t="str">
        <f t="array" ref="F4651">_xlfn.XLOOKUP(A4651,Product!A:A,Product!C:C,"Bulunamadı")</f>
        <v>Financial Modeling</v>
      </c>
      <c r="G4651" s="2" t="str">
        <f t="array" ref="G4651">_xlfn.XLOOKUP(A4652,Product!A:A,Product!D:D,"Bulunamadı")</f>
        <v>Oaklane House</v>
      </c>
      <c r="H4651" s="2">
        <f t="array" ref="H4651">_xlfn.XLOOKUP(A4653,Product!A:A,Product!E:E,"Bulunamadı")</f>
        <v>5.2</v>
      </c>
      <c r="I4651" s="2" t="str">
        <f t="shared" si="1"/>
        <v>129452 - Law - Financial Modeling</v>
      </c>
      <c r="J4651" s="2">
        <f t="shared" si="2"/>
        <v>1081.6</v>
      </c>
      <c r="K4651" s="17">
        <f t="shared" si="3"/>
        <v>1</v>
      </c>
      <c r="L4651" s="18"/>
    </row>
    <row r="4652" hidden="1">
      <c r="A4652" s="2">
        <f>IFERROR(__xludf.DUMMYFUNCTION("""COMPUTED_VALUE"""),88587.0)</f>
        <v>88587</v>
      </c>
      <c r="B4652" s="2">
        <f>IFERROR(__xludf.DUMMYFUNCTION("""COMPUTED_VALUE"""),0.0)</f>
        <v>0</v>
      </c>
      <c r="C4652" s="2">
        <f>IFERROR(__xludf.DUMMYFUNCTION("""COMPUTED_VALUE"""),94.0)</f>
        <v>94</v>
      </c>
      <c r="D4652" s="3">
        <f>IFERROR(__xludf.DUMMYFUNCTION("""COMPUTED_VALUE"""),73.0)</f>
        <v>73</v>
      </c>
      <c r="E4652" s="1" t="str">
        <f t="array" ref="E4652">_xlfn.XLOOKUP(A4652,Product!A:A,Product!B:B,"Bulunamadı")</f>
        <v>Law</v>
      </c>
      <c r="F4652" s="1" t="str">
        <f t="array" ref="F4652">_xlfn.XLOOKUP(A4652,Product!A:A,Product!C:C,"Bulunamadı")</f>
        <v>Financial Modeling</v>
      </c>
      <c r="G4652" s="2" t="str">
        <f t="array" ref="G4652">_xlfn.XLOOKUP(A4653,Product!A:A,Product!D:D,"Bulunamadı")</f>
        <v>Oaklane House</v>
      </c>
      <c r="H4652" s="2">
        <f t="array" ref="H4652">_xlfn.XLOOKUP(A4654,Product!A:A,Product!E:E,"Bulunamadı")</f>
        <v>4.63</v>
      </c>
      <c r="I4652" s="2" t="str">
        <f t="shared" si="1"/>
        <v>88587 - Law - Financial Modeling</v>
      </c>
      <c r="J4652" s="2">
        <f t="shared" si="2"/>
        <v>337.99</v>
      </c>
      <c r="K4652" s="17">
        <f t="shared" si="3"/>
        <v>1</v>
      </c>
      <c r="L4652" s="18"/>
    </row>
    <row r="4653" hidden="1">
      <c r="A4653" s="2">
        <f>IFERROR(__xludf.DUMMYFUNCTION("""COMPUTED_VALUE"""),17645.0)</f>
        <v>17645</v>
      </c>
      <c r="B4653" s="2">
        <f>IFERROR(__xludf.DUMMYFUNCTION("""COMPUTED_VALUE"""),1.0)</f>
        <v>1</v>
      </c>
      <c r="C4653" s="2">
        <f>IFERROR(__xludf.DUMMYFUNCTION("""COMPUTED_VALUE"""),387.0)</f>
        <v>387</v>
      </c>
      <c r="D4653" s="3">
        <f>IFERROR(__xludf.DUMMYFUNCTION("""COMPUTED_VALUE"""),385.0)</f>
        <v>385</v>
      </c>
      <c r="E4653" s="1" t="str">
        <f t="array" ref="E4653">_xlfn.XLOOKUP(A4653,Product!A:A,Product!B:B,"Bulunamadı")</f>
        <v>Law</v>
      </c>
      <c r="F4653" s="1" t="str">
        <f t="array" ref="F4653">_xlfn.XLOOKUP(A4653,Product!A:A,Product!C:C,"Bulunamadı")</f>
        <v>Financial Modeling</v>
      </c>
      <c r="G4653" s="2" t="str">
        <f t="array" ref="G4653">_xlfn.XLOOKUP(A4654,Product!A:A,Product!D:D,"Bulunamadı")</f>
        <v>Oaklane House</v>
      </c>
      <c r="H4653" s="2">
        <f t="array" ref="H4653">_xlfn.XLOOKUP(A4655,Product!A:A,Product!E:E,"Bulunamadı")</f>
        <v>3.57</v>
      </c>
      <c r="I4653" s="2" t="str">
        <f t="shared" si="1"/>
        <v>17645 - Law - Financial Modeling</v>
      </c>
      <c r="J4653" s="2">
        <f t="shared" si="2"/>
        <v>1374.45</v>
      </c>
      <c r="K4653" s="17">
        <f t="shared" si="3"/>
        <v>1</v>
      </c>
      <c r="L4653" s="18"/>
    </row>
    <row r="4654" hidden="1">
      <c r="A4654" s="2">
        <f>IFERROR(__xludf.DUMMYFUNCTION("""COMPUTED_VALUE"""),78899.0)</f>
        <v>78899</v>
      </c>
      <c r="B4654" s="2">
        <f>IFERROR(__xludf.DUMMYFUNCTION("""COMPUTED_VALUE"""),1.0)</f>
        <v>1</v>
      </c>
      <c r="C4654" s="2">
        <f>IFERROR(__xludf.DUMMYFUNCTION("""COMPUTED_VALUE"""),90.0)</f>
        <v>90</v>
      </c>
      <c r="D4654" s="3">
        <f>IFERROR(__xludf.DUMMYFUNCTION("""COMPUTED_VALUE"""),32.0)</f>
        <v>32</v>
      </c>
      <c r="E4654" s="1" t="str">
        <f t="array" ref="E4654">_xlfn.XLOOKUP(A4654,Product!A:A,Product!B:B,"Bulunamadı")</f>
        <v>Law</v>
      </c>
      <c r="F4654" s="1" t="str">
        <f t="array" ref="F4654">_xlfn.XLOOKUP(A4654,Product!A:A,Product!C:C,"Bulunamadı")</f>
        <v>Financial Modeling</v>
      </c>
      <c r="G4654" s="2" t="str">
        <f t="array" ref="G4654">_xlfn.XLOOKUP(A4655,Product!A:A,Product!D:D,"Bulunamadı")</f>
        <v>Oaklane House</v>
      </c>
      <c r="H4654" s="2">
        <f t="array" ref="H4654">_xlfn.XLOOKUP(A4656,Product!A:A,Product!E:E,"Bulunamadı")</f>
        <v>11.99</v>
      </c>
      <c r="I4654" s="2" t="str">
        <f t="shared" si="1"/>
        <v>78899 - Law - Financial Modeling</v>
      </c>
      <c r="J4654" s="2">
        <f t="shared" si="2"/>
        <v>383.68</v>
      </c>
      <c r="K4654" s="17">
        <f t="shared" si="3"/>
        <v>1</v>
      </c>
      <c r="L4654" s="18"/>
    </row>
    <row r="4655" hidden="1">
      <c r="A4655" s="2">
        <f>IFERROR(__xludf.DUMMYFUNCTION("""COMPUTED_VALUE"""),71402.0)</f>
        <v>71402</v>
      </c>
      <c r="B4655" s="2">
        <f>IFERROR(__xludf.DUMMYFUNCTION("""COMPUTED_VALUE"""),0.0)</f>
        <v>0</v>
      </c>
      <c r="C4655" s="2">
        <f>IFERROR(__xludf.DUMMYFUNCTION("""COMPUTED_VALUE"""),210.0)</f>
        <v>210</v>
      </c>
      <c r="D4655" s="3">
        <f>IFERROR(__xludf.DUMMYFUNCTION("""COMPUTED_VALUE"""),47.0)</f>
        <v>47</v>
      </c>
      <c r="E4655" s="1" t="str">
        <f t="array" ref="E4655">_xlfn.XLOOKUP(A4655,Product!A:A,Product!B:B,"Bulunamadı")</f>
        <v>Law</v>
      </c>
      <c r="F4655" s="1" t="str">
        <f t="array" ref="F4655">_xlfn.XLOOKUP(A4655,Product!A:A,Product!C:C,"Bulunamadı")</f>
        <v>Financial Modeling</v>
      </c>
      <c r="G4655" s="2" t="str">
        <f t="array" ref="G4655">_xlfn.XLOOKUP(A4656,Product!A:A,Product!D:D,"Bulunamadı")</f>
        <v>Oaklane House</v>
      </c>
      <c r="H4655" s="2">
        <f t="array" ref="H4655">_xlfn.XLOOKUP(A4657,Product!A:A,Product!E:E,"Bulunamadı")</f>
        <v>4.78</v>
      </c>
      <c r="I4655" s="2" t="str">
        <f t="shared" si="1"/>
        <v>71402 - Law - Financial Modeling</v>
      </c>
      <c r="J4655" s="2">
        <f t="shared" si="2"/>
        <v>224.66</v>
      </c>
      <c r="K4655" s="17">
        <f t="shared" si="3"/>
        <v>1</v>
      </c>
      <c r="L4655" s="18"/>
    </row>
    <row r="4656" hidden="1">
      <c r="A4656" s="2">
        <f>IFERROR(__xludf.DUMMYFUNCTION("""COMPUTED_VALUE"""),12875.0)</f>
        <v>12875</v>
      </c>
      <c r="B4656" s="2">
        <f>IFERROR(__xludf.DUMMYFUNCTION("""COMPUTED_VALUE"""),0.0)</f>
        <v>0</v>
      </c>
      <c r="C4656" s="2">
        <f>IFERROR(__xludf.DUMMYFUNCTION("""COMPUTED_VALUE"""),784.0)</f>
        <v>784</v>
      </c>
      <c r="D4656" s="3">
        <f>IFERROR(__xludf.DUMMYFUNCTION("""COMPUTED_VALUE"""),183.0)</f>
        <v>183</v>
      </c>
      <c r="E4656" s="1" t="str">
        <f t="array" ref="E4656">_xlfn.XLOOKUP(A4656,Product!A:A,Product!B:B,"Bulunamadı")</f>
        <v>Law</v>
      </c>
      <c r="F4656" s="1" t="str">
        <f t="array" ref="F4656">_xlfn.XLOOKUP(A4656,Product!A:A,Product!C:C,"Bulunamadı")</f>
        <v>Financial Modeling</v>
      </c>
      <c r="G4656" s="2" t="str">
        <f t="array" ref="G4656">_xlfn.XLOOKUP(A4657,Product!A:A,Product!D:D,"Bulunamadı")</f>
        <v>Oaklane House</v>
      </c>
      <c r="H4656" s="2">
        <f t="array" ref="H4656">_xlfn.XLOOKUP(A4658,Product!A:A,Product!E:E,"Bulunamadı")</f>
        <v>4.28</v>
      </c>
      <c r="I4656" s="2" t="str">
        <f t="shared" si="1"/>
        <v>12875 - Law - Financial Modeling</v>
      </c>
      <c r="J4656" s="2">
        <f t="shared" si="2"/>
        <v>783.24</v>
      </c>
      <c r="K4656" s="17">
        <f t="shared" si="3"/>
        <v>1</v>
      </c>
      <c r="L4656" s="18"/>
    </row>
    <row r="4657" hidden="1">
      <c r="A4657" s="2">
        <f>IFERROR(__xludf.DUMMYFUNCTION("""COMPUTED_VALUE"""),17615.0)</f>
        <v>17615</v>
      </c>
      <c r="B4657" s="2">
        <f>IFERROR(__xludf.DUMMYFUNCTION("""COMPUTED_VALUE"""),0.0)</f>
        <v>0</v>
      </c>
      <c r="C4657" s="2">
        <f>IFERROR(__xludf.DUMMYFUNCTION("""COMPUTED_VALUE"""),553.0)</f>
        <v>553</v>
      </c>
      <c r="D4657" s="3">
        <f>IFERROR(__xludf.DUMMYFUNCTION("""COMPUTED_VALUE"""),269.0)</f>
        <v>269</v>
      </c>
      <c r="E4657" s="1" t="str">
        <f t="array" ref="E4657">_xlfn.XLOOKUP(A4657,Product!A:A,Product!B:B,"Bulunamadı")</f>
        <v>Law</v>
      </c>
      <c r="F4657" s="1" t="str">
        <f t="array" ref="F4657">_xlfn.XLOOKUP(A4657,Product!A:A,Product!C:C,"Bulunamadı")</f>
        <v>Financial Modeling</v>
      </c>
      <c r="G4657" s="2" t="str">
        <f t="array" ref="G4657">_xlfn.XLOOKUP(A4658,Product!A:A,Product!D:D,"Bulunamadı")</f>
        <v>Oaklane House</v>
      </c>
      <c r="H4657" s="2">
        <f t="array" ref="H4657">_xlfn.XLOOKUP(A4659,Product!A:A,Product!E:E,"Bulunamadı")</f>
        <v>12.56</v>
      </c>
      <c r="I4657" s="2" t="str">
        <f t="shared" si="1"/>
        <v>17615 - Law - Financial Modeling</v>
      </c>
      <c r="J4657" s="2">
        <f t="shared" si="2"/>
        <v>3378.64</v>
      </c>
      <c r="K4657" s="17">
        <f t="shared" si="3"/>
        <v>1</v>
      </c>
      <c r="L4657" s="18"/>
    </row>
    <row r="4658" hidden="1">
      <c r="A4658" s="2">
        <f>IFERROR(__xludf.DUMMYFUNCTION("""COMPUTED_VALUE"""),193116.0)</f>
        <v>193116</v>
      </c>
      <c r="B4658" s="2">
        <f>IFERROR(__xludf.DUMMYFUNCTION("""COMPUTED_VALUE"""),1.0)</f>
        <v>1</v>
      </c>
      <c r="C4658" s="2">
        <f>IFERROR(__xludf.DUMMYFUNCTION("""COMPUTED_VALUE"""),647.0)</f>
        <v>647</v>
      </c>
      <c r="D4658" s="3">
        <f>IFERROR(__xludf.DUMMYFUNCTION("""COMPUTED_VALUE"""),365.0)</f>
        <v>365</v>
      </c>
      <c r="E4658" s="1" t="str">
        <f t="array" ref="E4658">_xlfn.XLOOKUP(A4658,Product!A:A,Product!B:B,"Bulunamadı")</f>
        <v>Law</v>
      </c>
      <c r="F4658" s="1" t="str">
        <f t="array" ref="F4658">_xlfn.XLOOKUP(A4658,Product!A:A,Product!C:C,"Bulunamadı")</f>
        <v>Financial Modeling</v>
      </c>
      <c r="G4658" s="2" t="str">
        <f t="array" ref="G4658">_xlfn.XLOOKUP(A4659,Product!A:A,Product!D:D,"Bulunamadı")</f>
        <v>Oaklane House</v>
      </c>
      <c r="H4658" s="2">
        <f t="array" ref="H4658">_xlfn.XLOOKUP(A4660,Product!A:A,Product!E:E,"Bulunamadı")</f>
        <v>9.41</v>
      </c>
      <c r="I4658" s="2" t="str">
        <f t="shared" si="1"/>
        <v>193116 - Law - Financial Modeling</v>
      </c>
      <c r="J4658" s="2">
        <f t="shared" si="2"/>
        <v>3434.65</v>
      </c>
      <c r="K4658" s="17">
        <f t="shared" si="3"/>
        <v>1</v>
      </c>
      <c r="L4658" s="18"/>
    </row>
    <row r="4659" hidden="1">
      <c r="A4659" s="2">
        <f>IFERROR(__xludf.DUMMYFUNCTION("""COMPUTED_VALUE"""),72577.0)</f>
        <v>72577</v>
      </c>
      <c r="B4659" s="2">
        <f>IFERROR(__xludf.DUMMYFUNCTION("""COMPUTED_VALUE"""),0.0)</f>
        <v>0</v>
      </c>
      <c r="C4659" s="2">
        <f>IFERROR(__xludf.DUMMYFUNCTION("""COMPUTED_VALUE"""),435.0)</f>
        <v>435</v>
      </c>
      <c r="D4659" s="3">
        <f>IFERROR(__xludf.DUMMYFUNCTION("""COMPUTED_VALUE"""),402.0)</f>
        <v>402</v>
      </c>
      <c r="E4659" s="1" t="str">
        <f t="array" ref="E4659">_xlfn.XLOOKUP(A4659,Product!A:A,Product!B:B,"Bulunamadı")</f>
        <v>Law</v>
      </c>
      <c r="F4659" s="1" t="str">
        <f t="array" ref="F4659">_xlfn.XLOOKUP(A4659,Product!A:A,Product!C:C,"Bulunamadı")</f>
        <v>Financial Modeling</v>
      </c>
      <c r="G4659" s="2" t="str">
        <f t="array" ref="G4659">_xlfn.XLOOKUP(A4660,Product!A:A,Product!D:D,"Bulunamadı")</f>
        <v>Riverlane House</v>
      </c>
      <c r="H4659" s="2">
        <f t="array" ref="H4659">_xlfn.XLOOKUP(A4661,Product!A:A,Product!E:E,"Bulunamadı")</f>
        <v>5.63</v>
      </c>
      <c r="I4659" s="2" t="str">
        <f t="shared" si="1"/>
        <v>72577 - Law - Financial Modeling</v>
      </c>
      <c r="J4659" s="2">
        <f t="shared" si="2"/>
        <v>2263.26</v>
      </c>
      <c r="K4659" s="17">
        <f t="shared" si="3"/>
        <v>1</v>
      </c>
      <c r="L4659" s="18"/>
    </row>
    <row r="4660" hidden="1">
      <c r="A4660" s="2">
        <f>IFERROR(__xludf.DUMMYFUNCTION("""COMPUTED_VALUE"""),78916.0)</f>
        <v>78916</v>
      </c>
      <c r="B4660" s="2">
        <f>IFERROR(__xludf.DUMMYFUNCTION("""COMPUTED_VALUE"""),0.0)</f>
        <v>0</v>
      </c>
      <c r="C4660" s="2">
        <f>IFERROR(__xludf.DUMMYFUNCTION("""COMPUTED_VALUE"""),87.0)</f>
        <v>87</v>
      </c>
      <c r="D4660" s="3">
        <f>IFERROR(__xludf.DUMMYFUNCTION("""COMPUTED_VALUE"""),58.0)</f>
        <v>58</v>
      </c>
      <c r="E4660" s="1" t="str">
        <f t="array" ref="E4660">_xlfn.XLOOKUP(A4660,Product!A:A,Product!B:B,"Bulunamadı")</f>
        <v>Law</v>
      </c>
      <c r="F4660" s="1" t="str">
        <f t="array" ref="F4660">_xlfn.XLOOKUP(A4660,Product!A:A,Product!C:C,"Bulunamadı")</f>
        <v>Financial Modeling</v>
      </c>
      <c r="G4660" s="2" t="str">
        <f t="array" ref="G4660">_xlfn.XLOOKUP(A4661,Product!A:A,Product!D:D,"Bulunamadı")</f>
        <v>Riverlane House</v>
      </c>
      <c r="H4660" s="2">
        <f t="array" ref="H4660">_xlfn.XLOOKUP(A4662,Product!A:A,Product!E:E,"Bulunamadı")</f>
        <v>3.22</v>
      </c>
      <c r="I4660" s="2" t="str">
        <f t="shared" si="1"/>
        <v>78916 - Law - Financial Modeling</v>
      </c>
      <c r="J4660" s="2">
        <f t="shared" si="2"/>
        <v>186.76</v>
      </c>
      <c r="K4660" s="17">
        <f t="shared" si="3"/>
        <v>1</v>
      </c>
      <c r="L4660" s="18"/>
    </row>
    <row r="4661" hidden="1">
      <c r="A4661" s="2">
        <f>IFERROR(__xludf.DUMMYFUNCTION("""COMPUTED_VALUE"""),71419.0)</f>
        <v>71419</v>
      </c>
      <c r="B4661" s="2">
        <f>IFERROR(__xludf.DUMMYFUNCTION("""COMPUTED_VALUE"""),0.0)</f>
        <v>0</v>
      </c>
      <c r="C4661" s="2">
        <f>IFERROR(__xludf.DUMMYFUNCTION("""COMPUTED_VALUE"""),139.0)</f>
        <v>139</v>
      </c>
      <c r="D4661" s="3">
        <f>IFERROR(__xludf.DUMMYFUNCTION("""COMPUTED_VALUE"""),103.0)</f>
        <v>103</v>
      </c>
      <c r="E4661" s="1" t="str">
        <f t="array" ref="E4661">_xlfn.XLOOKUP(A4661,Product!A:A,Product!B:B,"Bulunamadı")</f>
        <v>Law</v>
      </c>
      <c r="F4661" s="1" t="str">
        <f t="array" ref="F4661">_xlfn.XLOOKUP(A4661,Product!A:A,Product!C:C,"Bulunamadı")</f>
        <v>Financial Modeling</v>
      </c>
      <c r="G4661" s="2" t="str">
        <f t="array" ref="G4661">_xlfn.XLOOKUP(A4662,Product!A:A,Product!D:D,"Bulunamadı")</f>
        <v>Riverlane House</v>
      </c>
      <c r="H4661" s="2">
        <f t="array" ref="H4661">_xlfn.XLOOKUP(A4663,Product!A:A,Product!E:E,"Bulunamadı")</f>
        <v>5.58</v>
      </c>
      <c r="I4661" s="2" t="str">
        <f t="shared" si="1"/>
        <v>71419 - Law - Financial Modeling</v>
      </c>
      <c r="J4661" s="2">
        <f t="shared" si="2"/>
        <v>574.74</v>
      </c>
      <c r="K4661" s="17">
        <f t="shared" si="3"/>
        <v>1</v>
      </c>
      <c r="L4661" s="18"/>
    </row>
    <row r="4662" hidden="1">
      <c r="A4662" s="2">
        <f>IFERROR(__xludf.DUMMYFUNCTION("""COMPUTED_VALUE"""),188223.0)</f>
        <v>188223</v>
      </c>
      <c r="B4662" s="2">
        <f>IFERROR(__xludf.DUMMYFUNCTION("""COMPUTED_VALUE"""),0.0)</f>
        <v>0</v>
      </c>
      <c r="C4662" s="2">
        <f>IFERROR(__xludf.DUMMYFUNCTION("""COMPUTED_VALUE"""),617.0)</f>
        <v>617</v>
      </c>
      <c r="D4662" s="3">
        <f>IFERROR(__xludf.DUMMYFUNCTION("""COMPUTED_VALUE"""),71.0)</f>
        <v>71</v>
      </c>
      <c r="E4662" s="1" t="str">
        <f t="array" ref="E4662">_xlfn.XLOOKUP(A4662,Product!A:A,Product!B:B,"Bulunamadı")</f>
        <v>Law</v>
      </c>
      <c r="F4662" s="1" t="str">
        <f t="array" ref="F4662">_xlfn.XLOOKUP(A4662,Product!A:A,Product!C:C,"Bulunamadı")</f>
        <v>Financial Modeling</v>
      </c>
      <c r="G4662" s="2" t="str">
        <f t="array" ref="G4662">_xlfn.XLOOKUP(A4663,Product!A:A,Product!D:D,"Bulunamadı")</f>
        <v>Riverlane House</v>
      </c>
      <c r="H4662" s="2">
        <f t="array" ref="H4662">_xlfn.XLOOKUP(A4664,Product!A:A,Product!E:E,"Bulunamadı")</f>
        <v>5.86</v>
      </c>
      <c r="I4662" s="2" t="str">
        <f t="shared" si="1"/>
        <v>188223 - Law - Financial Modeling</v>
      </c>
      <c r="J4662" s="2">
        <f t="shared" si="2"/>
        <v>416.06</v>
      </c>
      <c r="K4662" s="17">
        <f t="shared" si="3"/>
        <v>1</v>
      </c>
      <c r="L4662" s="18"/>
    </row>
    <row r="4663" hidden="1">
      <c r="A4663" s="2">
        <f>IFERROR(__xludf.DUMMYFUNCTION("""COMPUTED_VALUE"""),71417.0)</f>
        <v>71417</v>
      </c>
      <c r="B4663" s="2">
        <f>IFERROR(__xludf.DUMMYFUNCTION("""COMPUTED_VALUE"""),1.0)</f>
        <v>1</v>
      </c>
      <c r="C4663" s="2">
        <f>IFERROR(__xludf.DUMMYFUNCTION("""COMPUTED_VALUE"""),308.0)</f>
        <v>308</v>
      </c>
      <c r="D4663" s="3">
        <f>IFERROR(__xludf.DUMMYFUNCTION("""COMPUTED_VALUE"""),297.0)</f>
        <v>297</v>
      </c>
      <c r="E4663" s="1" t="str">
        <f t="array" ref="E4663">_xlfn.XLOOKUP(A4663,Product!A:A,Product!B:B,"Bulunamadı")</f>
        <v>Law</v>
      </c>
      <c r="F4663" s="1" t="str">
        <f t="array" ref="F4663">_xlfn.XLOOKUP(A4663,Product!A:A,Product!C:C,"Bulunamadı")</f>
        <v>Financial Modeling</v>
      </c>
      <c r="G4663" s="2" t="str">
        <f t="array" ref="G4663">_xlfn.XLOOKUP(A4664,Product!A:A,Product!D:D,"Bulunamadı")</f>
        <v>Riverlane House</v>
      </c>
      <c r="H4663" s="2">
        <f t="array" ref="H4663">_xlfn.XLOOKUP(A4665,Product!A:A,Product!E:E,"Bulunamadı")</f>
        <v>5.15</v>
      </c>
      <c r="I4663" s="2" t="str">
        <f t="shared" si="1"/>
        <v>71417 - Law - Financial Modeling</v>
      </c>
      <c r="J4663" s="2">
        <f t="shared" si="2"/>
        <v>1529.55</v>
      </c>
      <c r="K4663" s="17">
        <f t="shared" si="3"/>
        <v>1</v>
      </c>
      <c r="L4663" s="18"/>
    </row>
    <row r="4664" hidden="1">
      <c r="A4664" s="2">
        <f>IFERROR(__xludf.DUMMYFUNCTION("""COMPUTED_VALUE"""),46895.0)</f>
        <v>46895</v>
      </c>
      <c r="B4664" s="2">
        <f>IFERROR(__xludf.DUMMYFUNCTION("""COMPUTED_VALUE"""),0.0)</f>
        <v>0</v>
      </c>
      <c r="C4664" s="2">
        <f>IFERROR(__xludf.DUMMYFUNCTION("""COMPUTED_VALUE"""),453.0)</f>
        <v>453</v>
      </c>
      <c r="D4664" s="3">
        <f>IFERROR(__xludf.DUMMYFUNCTION("""COMPUTED_VALUE"""),369.0)</f>
        <v>369</v>
      </c>
      <c r="E4664" s="1" t="str">
        <f t="array" ref="E4664">_xlfn.XLOOKUP(A4664,Product!A:A,Product!B:B,"Bulunamadı")</f>
        <v>Law</v>
      </c>
      <c r="F4664" s="1" t="str">
        <f t="array" ref="F4664">_xlfn.XLOOKUP(A4664,Product!A:A,Product!C:C,"Bulunamadı")</f>
        <v>Financial Modeling</v>
      </c>
      <c r="G4664" s="2" t="str">
        <f t="array" ref="G4664">_xlfn.XLOOKUP(A4665,Product!A:A,Product!D:D,"Bulunamadı")</f>
        <v>Riverlane House</v>
      </c>
      <c r="H4664" s="2">
        <f t="array" ref="H4664">_xlfn.XLOOKUP(A4666,Product!A:A,Product!E:E,"Bulunamadı")</f>
        <v>3.85</v>
      </c>
      <c r="I4664" s="2" t="str">
        <f t="shared" si="1"/>
        <v>46895 - Law - Financial Modeling</v>
      </c>
      <c r="J4664" s="2">
        <f t="shared" si="2"/>
        <v>1420.65</v>
      </c>
      <c r="K4664" s="17">
        <f t="shared" si="3"/>
        <v>1</v>
      </c>
      <c r="L4664" s="18"/>
    </row>
    <row r="4665" hidden="1">
      <c r="A4665" s="2">
        <f>IFERROR(__xludf.DUMMYFUNCTION("""COMPUTED_VALUE"""),86157.0)</f>
        <v>86157</v>
      </c>
      <c r="B4665" s="2">
        <f>IFERROR(__xludf.DUMMYFUNCTION("""COMPUTED_VALUE"""),1.0)</f>
        <v>1</v>
      </c>
      <c r="C4665" s="2">
        <f>IFERROR(__xludf.DUMMYFUNCTION("""COMPUTED_VALUE"""),132.0)</f>
        <v>132</v>
      </c>
      <c r="D4665" s="3">
        <f>IFERROR(__xludf.DUMMYFUNCTION("""COMPUTED_VALUE"""),46.0)</f>
        <v>46</v>
      </c>
      <c r="E4665" s="1" t="str">
        <f t="array" ref="E4665">_xlfn.XLOOKUP(A4665,Product!A:A,Product!B:B,"Bulunamadı")</f>
        <v>Law</v>
      </c>
      <c r="F4665" s="1" t="str">
        <f t="array" ref="F4665">_xlfn.XLOOKUP(A4665,Product!A:A,Product!C:C,"Bulunamadı")</f>
        <v>Financial Modeling</v>
      </c>
      <c r="G4665" s="2" t="str">
        <f t="array" ref="G4665">_xlfn.XLOOKUP(A4666,Product!A:A,Product!D:D,"Bulunamadı")</f>
        <v>Riverlane House</v>
      </c>
      <c r="H4665" s="2">
        <f t="array" ref="H4665">_xlfn.XLOOKUP(A4667,Product!A:A,Product!E:E,"Bulunamadı")</f>
        <v>4.71</v>
      </c>
      <c r="I4665" s="2" t="str">
        <f t="shared" si="1"/>
        <v>86157 - Law - Financial Modeling</v>
      </c>
      <c r="J4665" s="2">
        <f t="shared" si="2"/>
        <v>216.66</v>
      </c>
      <c r="K4665" s="17">
        <f t="shared" si="3"/>
        <v>1</v>
      </c>
      <c r="L4665" s="18"/>
    </row>
    <row r="4666" hidden="1">
      <c r="A4666" s="2">
        <f>IFERROR(__xludf.DUMMYFUNCTION("""COMPUTED_VALUE"""),159110.0)</f>
        <v>159110</v>
      </c>
      <c r="B4666" s="2">
        <f>IFERROR(__xludf.DUMMYFUNCTION("""COMPUTED_VALUE"""),1.0)</f>
        <v>1</v>
      </c>
      <c r="C4666" s="2">
        <f>IFERROR(__xludf.DUMMYFUNCTION("""COMPUTED_VALUE"""),361.0)</f>
        <v>361</v>
      </c>
      <c r="D4666" s="3">
        <f>IFERROR(__xludf.DUMMYFUNCTION("""COMPUTED_VALUE"""),351.0)</f>
        <v>351</v>
      </c>
      <c r="E4666" s="1" t="str">
        <f t="array" ref="E4666">_xlfn.XLOOKUP(A4666,Product!A:A,Product!B:B,"Bulunamadı")</f>
        <v>Law</v>
      </c>
      <c r="F4666" s="1" t="str">
        <f t="array" ref="F4666">_xlfn.XLOOKUP(A4666,Product!A:A,Product!C:C,"Bulunamadı")</f>
        <v>Financial Modeling</v>
      </c>
      <c r="G4666" s="2" t="str">
        <f t="array" ref="G4666">_xlfn.XLOOKUP(A4667,Product!A:A,Product!D:D,"Bulunamadı")</f>
        <v>Riverlane House</v>
      </c>
      <c r="H4666" s="2">
        <f t="array" ref="H4666">_xlfn.XLOOKUP(A4668,Product!A:A,Product!E:E,"Bulunamadı")</f>
        <v>5.53</v>
      </c>
      <c r="I4666" s="2" t="str">
        <f t="shared" si="1"/>
        <v>159110 - Law - Financial Modeling</v>
      </c>
      <c r="J4666" s="2">
        <f t="shared" si="2"/>
        <v>1941.03</v>
      </c>
      <c r="K4666" s="17">
        <f t="shared" si="3"/>
        <v>1</v>
      </c>
      <c r="L4666" s="18"/>
    </row>
    <row r="4667" hidden="1">
      <c r="A4667" s="2">
        <f>IFERROR(__xludf.DUMMYFUNCTION("""COMPUTED_VALUE"""),46913.0)</f>
        <v>46913</v>
      </c>
      <c r="B4667" s="2">
        <f>IFERROR(__xludf.DUMMYFUNCTION("""COMPUTED_VALUE"""),0.0)</f>
        <v>0</v>
      </c>
      <c r="C4667" s="2">
        <f>IFERROR(__xludf.DUMMYFUNCTION("""COMPUTED_VALUE"""),597.0)</f>
        <v>597</v>
      </c>
      <c r="D4667" s="3">
        <f>IFERROR(__xludf.DUMMYFUNCTION("""COMPUTED_VALUE"""),80.0)</f>
        <v>80</v>
      </c>
      <c r="E4667" s="1" t="str">
        <f t="array" ref="E4667">_xlfn.XLOOKUP(A4667,Product!A:A,Product!B:B,"Bulunamadı")</f>
        <v>Law</v>
      </c>
      <c r="F4667" s="1" t="str">
        <f t="array" ref="F4667">_xlfn.XLOOKUP(A4667,Product!A:A,Product!C:C,"Bulunamadı")</f>
        <v>Financial Modeling</v>
      </c>
      <c r="G4667" s="2" t="str">
        <f t="array" ref="G4667">_xlfn.XLOOKUP(A4668,Product!A:A,Product!D:D,"Bulunamadı")</f>
        <v>Riverlane House</v>
      </c>
      <c r="H4667" s="2">
        <f t="array" ref="H4667">_xlfn.XLOOKUP(A4669,Product!A:A,Product!E:E,"Bulunamadı")</f>
        <v>5.5</v>
      </c>
      <c r="I4667" s="2" t="str">
        <f t="shared" si="1"/>
        <v>46913 - Law - Financial Modeling</v>
      </c>
      <c r="J4667" s="2">
        <f t="shared" si="2"/>
        <v>440</v>
      </c>
      <c r="K4667" s="17">
        <f t="shared" si="3"/>
        <v>1</v>
      </c>
      <c r="L4667" s="18"/>
    </row>
    <row r="4668" hidden="1">
      <c r="A4668" s="2">
        <f>IFERROR(__xludf.DUMMYFUNCTION("""COMPUTED_VALUE"""),71400.0)</f>
        <v>71400</v>
      </c>
      <c r="B4668" s="2">
        <f>IFERROR(__xludf.DUMMYFUNCTION("""COMPUTED_VALUE"""),1.0)</f>
        <v>1</v>
      </c>
      <c r="C4668" s="2">
        <f>IFERROR(__xludf.DUMMYFUNCTION("""COMPUTED_VALUE"""),200.0)</f>
        <v>200</v>
      </c>
      <c r="D4668" s="3">
        <f>IFERROR(__xludf.DUMMYFUNCTION("""COMPUTED_VALUE"""),89.0)</f>
        <v>89</v>
      </c>
      <c r="E4668" s="1" t="str">
        <f t="array" ref="E4668">_xlfn.XLOOKUP(A4668,Product!A:A,Product!B:B,"Bulunamadı")</f>
        <v>Law</v>
      </c>
      <c r="F4668" s="1" t="str">
        <f t="array" ref="F4668">_xlfn.XLOOKUP(A4668,Product!A:A,Product!C:C,"Bulunamadı")</f>
        <v>Financial Modeling</v>
      </c>
      <c r="G4668" s="2" t="str">
        <f t="array" ref="G4668">_xlfn.XLOOKUP(A4669,Product!A:A,Product!D:D,"Bulunamadı")</f>
        <v>Riverlane House</v>
      </c>
      <c r="H4668" s="2">
        <f t="array" ref="H4668">_xlfn.XLOOKUP(A4670,Product!A:A,Product!E:E,"Bulunamadı")</f>
        <v>7.03</v>
      </c>
      <c r="I4668" s="2" t="str">
        <f t="shared" si="1"/>
        <v>71400 - Law - Financial Modeling</v>
      </c>
      <c r="J4668" s="2">
        <f t="shared" si="2"/>
        <v>625.67</v>
      </c>
      <c r="K4668" s="17">
        <f t="shared" si="3"/>
        <v>1</v>
      </c>
      <c r="L4668" s="18"/>
    </row>
    <row r="4669" hidden="1">
      <c r="A4669" s="2">
        <f>IFERROR(__xludf.DUMMYFUNCTION("""COMPUTED_VALUE"""),46914.0)</f>
        <v>46914</v>
      </c>
      <c r="B4669" s="2">
        <f>IFERROR(__xludf.DUMMYFUNCTION("""COMPUTED_VALUE"""),0.0)</f>
        <v>0</v>
      </c>
      <c r="C4669" s="2">
        <f>IFERROR(__xludf.DUMMYFUNCTION("""COMPUTED_VALUE"""),177.0)</f>
        <v>177</v>
      </c>
      <c r="D4669" s="3">
        <f>IFERROR(__xludf.DUMMYFUNCTION("""COMPUTED_VALUE"""),93.0)</f>
        <v>93</v>
      </c>
      <c r="E4669" s="1" t="str">
        <f t="array" ref="E4669">_xlfn.XLOOKUP(A4669,Product!A:A,Product!B:B,"Bulunamadı")</f>
        <v>Law</v>
      </c>
      <c r="F4669" s="1" t="str">
        <f t="array" ref="F4669">_xlfn.XLOOKUP(A4669,Product!A:A,Product!C:C,"Bulunamadı")</f>
        <v>Financial Modeling</v>
      </c>
      <c r="G4669" s="2" t="str">
        <f t="array" ref="G4669">_xlfn.XLOOKUP(A4670,Product!A:A,Product!D:D,"Bulunamadı")</f>
        <v>Riverlane House</v>
      </c>
      <c r="H4669" s="2">
        <f t="array" ref="H4669">_xlfn.XLOOKUP(A4671,Product!A:A,Product!E:E,"Bulunamadı")</f>
        <v>5.57</v>
      </c>
      <c r="I4669" s="2" t="str">
        <f t="shared" si="1"/>
        <v>46914 - Law - Financial Modeling</v>
      </c>
      <c r="J4669" s="2">
        <f t="shared" si="2"/>
        <v>518.01</v>
      </c>
      <c r="K4669" s="17">
        <f t="shared" si="3"/>
        <v>1</v>
      </c>
      <c r="L4669" s="18"/>
    </row>
    <row r="4670" hidden="1">
      <c r="A4670" s="2">
        <f>IFERROR(__xludf.DUMMYFUNCTION("""COMPUTED_VALUE"""),120300.0)</f>
        <v>120300</v>
      </c>
      <c r="B4670" s="2">
        <f>IFERROR(__xludf.DUMMYFUNCTION("""COMPUTED_VALUE"""),0.0)</f>
        <v>0</v>
      </c>
      <c r="C4670" s="2">
        <f>IFERROR(__xludf.DUMMYFUNCTION("""COMPUTED_VALUE"""),325.0)</f>
        <v>325</v>
      </c>
      <c r="D4670" s="3">
        <f>IFERROR(__xludf.DUMMYFUNCTION("""COMPUTED_VALUE"""),285.0)</f>
        <v>285</v>
      </c>
      <c r="E4670" s="1" t="str">
        <f t="array" ref="E4670">_xlfn.XLOOKUP(A4670,Product!A:A,Product!B:B,"Bulunamadı")</f>
        <v>Law</v>
      </c>
      <c r="F4670" s="1" t="str">
        <f t="array" ref="F4670">_xlfn.XLOOKUP(A4670,Product!A:A,Product!C:C,"Bulunamadı")</f>
        <v>Financial Modeling</v>
      </c>
      <c r="G4670" s="2" t="str">
        <f t="array" ref="G4670">_xlfn.XLOOKUP(A4671,Product!A:A,Product!D:D,"Bulunamadı")</f>
        <v>Riverlane House</v>
      </c>
      <c r="H4670" s="2">
        <f t="array" ref="H4670">_xlfn.XLOOKUP(A4672,Product!A:A,Product!E:E,"Bulunamadı")</f>
        <v>3.61</v>
      </c>
      <c r="I4670" s="2" t="str">
        <f t="shared" si="1"/>
        <v>120300 - Law - Financial Modeling</v>
      </c>
      <c r="J4670" s="2">
        <f t="shared" si="2"/>
        <v>1028.85</v>
      </c>
      <c r="K4670" s="17">
        <f t="shared" si="3"/>
        <v>1</v>
      </c>
      <c r="L4670" s="18"/>
    </row>
    <row r="4671" hidden="1">
      <c r="A4671" s="2">
        <f>IFERROR(__xludf.DUMMYFUNCTION("""COMPUTED_VALUE"""),71412.0)</f>
        <v>71412</v>
      </c>
      <c r="B4671" s="2">
        <f>IFERROR(__xludf.DUMMYFUNCTION("""COMPUTED_VALUE"""),1.0)</f>
        <v>1</v>
      </c>
      <c r="C4671" s="2">
        <f>IFERROR(__xludf.DUMMYFUNCTION("""COMPUTED_VALUE"""),739.0)</f>
        <v>739</v>
      </c>
      <c r="D4671" s="3">
        <f>IFERROR(__xludf.DUMMYFUNCTION("""COMPUTED_VALUE"""),437.0)</f>
        <v>437</v>
      </c>
      <c r="E4671" s="1" t="str">
        <f t="array" ref="E4671">_xlfn.XLOOKUP(A4671,Product!A:A,Product!B:B,"Bulunamadı")</f>
        <v>Law</v>
      </c>
      <c r="F4671" s="1" t="str">
        <f t="array" ref="F4671">_xlfn.XLOOKUP(A4671,Product!A:A,Product!C:C,"Bulunamadı")</f>
        <v>Financial Modeling</v>
      </c>
      <c r="G4671" s="2" t="str">
        <f t="array" ref="G4671">_xlfn.XLOOKUP(A4672,Product!A:A,Product!D:D,"Bulunamadı")</f>
        <v>Riverlane House</v>
      </c>
      <c r="H4671" s="2">
        <f t="array" ref="H4671">_xlfn.XLOOKUP(A4673,Product!A:A,Product!E:E,"Bulunamadı")</f>
        <v>4.05</v>
      </c>
      <c r="I4671" s="2" t="str">
        <f t="shared" si="1"/>
        <v>71412 - Law - Financial Modeling</v>
      </c>
      <c r="J4671" s="2">
        <f t="shared" si="2"/>
        <v>1769.85</v>
      </c>
      <c r="K4671" s="17">
        <f t="shared" si="3"/>
        <v>1</v>
      </c>
      <c r="L4671" s="18"/>
    </row>
    <row r="4672" hidden="1">
      <c r="A4672" s="2">
        <f>IFERROR(__xludf.DUMMYFUNCTION("""COMPUTED_VALUE"""),71415.0)</f>
        <v>71415</v>
      </c>
      <c r="B4672" s="2">
        <f>IFERROR(__xludf.DUMMYFUNCTION("""COMPUTED_VALUE"""),0.0)</f>
        <v>0</v>
      </c>
      <c r="C4672" s="2">
        <f>IFERROR(__xludf.DUMMYFUNCTION("""COMPUTED_VALUE"""),744.0)</f>
        <v>744</v>
      </c>
      <c r="D4672" s="3">
        <f>IFERROR(__xludf.DUMMYFUNCTION("""COMPUTED_VALUE"""),259.0)</f>
        <v>259</v>
      </c>
      <c r="E4672" s="1" t="str">
        <f t="array" ref="E4672">_xlfn.XLOOKUP(A4672,Product!A:A,Product!B:B,"Bulunamadı")</f>
        <v>Law</v>
      </c>
      <c r="F4672" s="1" t="str">
        <f t="array" ref="F4672">_xlfn.XLOOKUP(A4672,Product!A:A,Product!C:C,"Bulunamadı")</f>
        <v>Financial Modeling</v>
      </c>
      <c r="G4672" s="2" t="str">
        <f t="array" ref="G4672">_xlfn.XLOOKUP(A4673,Product!A:A,Product!D:D,"Bulunamadı")</f>
        <v>Riverlane House</v>
      </c>
      <c r="H4672" s="2">
        <f t="array" ref="H4672">_xlfn.XLOOKUP(A4674,Product!A:A,Product!E:E,"Bulunamadı")</f>
        <v>4.96</v>
      </c>
      <c r="I4672" s="2" t="str">
        <f t="shared" si="1"/>
        <v>71415 - Law - Financial Modeling</v>
      </c>
      <c r="J4672" s="2">
        <f t="shared" si="2"/>
        <v>1284.64</v>
      </c>
      <c r="K4672" s="17">
        <f t="shared" si="3"/>
        <v>1</v>
      </c>
      <c r="L4672" s="18"/>
    </row>
    <row r="4673" hidden="1">
      <c r="A4673" s="2">
        <f>IFERROR(__xludf.DUMMYFUNCTION("""COMPUTED_VALUE"""),71414.0)</f>
        <v>71414</v>
      </c>
      <c r="B4673" s="2">
        <f>IFERROR(__xludf.DUMMYFUNCTION("""COMPUTED_VALUE"""),0.0)</f>
        <v>0</v>
      </c>
      <c r="C4673" s="2">
        <f>IFERROR(__xludf.DUMMYFUNCTION("""COMPUTED_VALUE"""),196.0)</f>
        <v>196</v>
      </c>
      <c r="D4673" s="3">
        <f>IFERROR(__xludf.DUMMYFUNCTION("""COMPUTED_VALUE"""),112.0)</f>
        <v>112</v>
      </c>
      <c r="E4673" s="1" t="str">
        <f t="array" ref="E4673">_xlfn.XLOOKUP(A4673,Product!A:A,Product!B:B,"Bulunamadı")</f>
        <v>Law</v>
      </c>
      <c r="F4673" s="1" t="str">
        <f t="array" ref="F4673">_xlfn.XLOOKUP(A4673,Product!A:A,Product!C:C,"Bulunamadı")</f>
        <v>Financial Modeling</v>
      </c>
      <c r="G4673" s="2" t="str">
        <f t="array" ref="G4673">_xlfn.XLOOKUP(A4674,Product!A:A,Product!D:D,"Bulunamadı")</f>
        <v>Ironlane House</v>
      </c>
      <c r="H4673" s="2">
        <f t="array" ref="H4673">_xlfn.XLOOKUP(A4675,Product!A:A,Product!E:E,"Bulunamadı")</f>
        <v>2.07</v>
      </c>
      <c r="I4673" s="2" t="str">
        <f t="shared" si="1"/>
        <v>71414 - Law - Financial Modeling</v>
      </c>
      <c r="J4673" s="2">
        <f t="shared" si="2"/>
        <v>231.84</v>
      </c>
      <c r="K4673" s="17">
        <f t="shared" si="3"/>
        <v>1</v>
      </c>
      <c r="L4673" s="18"/>
    </row>
    <row r="4674" hidden="1">
      <c r="A4674" s="2">
        <f>IFERROR(__xludf.DUMMYFUNCTION("""COMPUTED_VALUE"""),10336.0)</f>
        <v>10336</v>
      </c>
      <c r="B4674" s="2">
        <f>IFERROR(__xludf.DUMMYFUNCTION("""COMPUTED_VALUE"""),0.0)</f>
        <v>0</v>
      </c>
      <c r="C4674" s="2">
        <f>IFERROR(__xludf.DUMMYFUNCTION("""COMPUTED_VALUE"""),300.0)</f>
        <v>300</v>
      </c>
      <c r="D4674" s="3">
        <f>IFERROR(__xludf.DUMMYFUNCTION("""COMPUTED_VALUE"""),40.0)</f>
        <v>40</v>
      </c>
      <c r="E4674" s="1" t="str">
        <f t="array" ref="E4674">_xlfn.XLOOKUP(A4674,Product!A:A,Product!B:B,"Bulunamadı")</f>
        <v>Finance</v>
      </c>
      <c r="F4674" s="1" t="str">
        <f t="array" ref="F4674">_xlfn.XLOOKUP(A4674,Product!A:A,Product!C:C,"Bulunamadı")</f>
        <v>Risk Management</v>
      </c>
      <c r="G4674" s="2" t="str">
        <f t="array" ref="G4674">_xlfn.XLOOKUP(A4675,Product!A:A,Product!D:D,"Bulunamadı")</f>
        <v>Silverway House</v>
      </c>
      <c r="H4674" s="2">
        <f t="array" ref="H4674">_xlfn.XLOOKUP(A4676,Product!A:A,Product!E:E,"Bulunamadı")</f>
        <v>7.83</v>
      </c>
      <c r="I4674" s="2" t="str">
        <f t="shared" si="1"/>
        <v>10336 - Finance - Risk Management</v>
      </c>
      <c r="J4674" s="2">
        <f t="shared" si="2"/>
        <v>313.2</v>
      </c>
      <c r="K4674" s="17">
        <f t="shared" si="3"/>
        <v>1</v>
      </c>
      <c r="L4674" s="18"/>
    </row>
    <row r="4675" hidden="1">
      <c r="A4675" s="2">
        <f>IFERROR(__xludf.DUMMYFUNCTION("""COMPUTED_VALUE"""),125173.0)</f>
        <v>125173</v>
      </c>
      <c r="B4675" s="2">
        <f>IFERROR(__xludf.DUMMYFUNCTION("""COMPUTED_VALUE"""),0.0)</f>
        <v>0</v>
      </c>
      <c r="C4675" s="2">
        <f>IFERROR(__xludf.DUMMYFUNCTION("""COMPUTED_VALUE"""),264.0)</f>
        <v>264</v>
      </c>
      <c r="D4675" s="3">
        <f>IFERROR(__xludf.DUMMYFUNCTION("""COMPUTED_VALUE"""),138.0)</f>
        <v>138</v>
      </c>
      <c r="E4675" s="1" t="str">
        <f t="array" ref="E4675">_xlfn.XLOOKUP(A4675,Product!A:A,Product!B:B,"Bulunamadı")</f>
        <v>Finance</v>
      </c>
      <c r="F4675" s="1" t="str">
        <f t="array" ref="F4675">_xlfn.XLOOKUP(A4675,Product!A:A,Product!C:C,"Bulunamadı")</f>
        <v>Risk Management</v>
      </c>
      <c r="G4675" s="2" t="str">
        <f t="array" ref="G4675">_xlfn.XLOOKUP(A4676,Product!A:A,Product!D:D,"Bulunamadı")</f>
        <v>Silverway House</v>
      </c>
      <c r="H4675" s="2">
        <f t="array" ref="H4675">_xlfn.XLOOKUP(A4677,Product!A:A,Product!E:E,"Bulunamadı")</f>
        <v>1.96</v>
      </c>
      <c r="I4675" s="2" t="str">
        <f t="shared" si="1"/>
        <v>125173 - Finance - Risk Management</v>
      </c>
      <c r="J4675" s="2">
        <f t="shared" si="2"/>
        <v>270.48</v>
      </c>
      <c r="K4675" s="17">
        <f t="shared" si="3"/>
        <v>1</v>
      </c>
      <c r="L4675" s="18"/>
    </row>
    <row r="4676" hidden="1">
      <c r="A4676" s="2">
        <f>IFERROR(__xludf.DUMMYFUNCTION("""COMPUTED_VALUE"""),112994.0)</f>
        <v>112994</v>
      </c>
      <c r="B4676" s="2">
        <f>IFERROR(__xludf.DUMMYFUNCTION("""COMPUTED_VALUE"""),0.0)</f>
        <v>0</v>
      </c>
      <c r="C4676" s="2">
        <f>IFERROR(__xludf.DUMMYFUNCTION("""COMPUTED_VALUE"""),56.0)</f>
        <v>56</v>
      </c>
      <c r="D4676" s="3">
        <f>IFERROR(__xludf.DUMMYFUNCTION("""COMPUTED_VALUE"""),12.0)</f>
        <v>12</v>
      </c>
      <c r="E4676" s="1" t="str">
        <f t="array" ref="E4676">_xlfn.XLOOKUP(A4676,Product!A:A,Product!B:B,"Bulunamadı")</f>
        <v>Finance</v>
      </c>
      <c r="F4676" s="1" t="str">
        <f t="array" ref="F4676">_xlfn.XLOOKUP(A4676,Product!A:A,Product!C:C,"Bulunamadı")</f>
        <v>Risk Management</v>
      </c>
      <c r="G4676" s="2" t="str">
        <f t="array" ref="G4676">_xlfn.XLOOKUP(A4677,Product!A:A,Product!D:D,"Bulunamadı")</f>
        <v>Silverway House</v>
      </c>
      <c r="H4676" s="2">
        <f t="array" ref="H4676">_xlfn.XLOOKUP(A4678,Product!A:A,Product!E:E,"Bulunamadı")</f>
        <v>9.18</v>
      </c>
      <c r="I4676" s="2" t="str">
        <f t="shared" si="1"/>
        <v>112994 - Finance - Risk Management</v>
      </c>
      <c r="J4676" s="2">
        <f t="shared" si="2"/>
        <v>110.16</v>
      </c>
      <c r="K4676" s="17">
        <f t="shared" si="3"/>
        <v>1</v>
      </c>
      <c r="L4676" s="18"/>
    </row>
    <row r="4677" hidden="1">
      <c r="A4677" s="2">
        <f>IFERROR(__xludf.DUMMYFUNCTION("""COMPUTED_VALUE"""),125182.0)</f>
        <v>125182</v>
      </c>
      <c r="B4677" s="2">
        <f>IFERROR(__xludf.DUMMYFUNCTION("""COMPUTED_VALUE"""),1.0)</f>
        <v>1</v>
      </c>
      <c r="C4677" s="2">
        <f>IFERROR(__xludf.DUMMYFUNCTION("""COMPUTED_VALUE"""),892.0)</f>
        <v>892</v>
      </c>
      <c r="D4677" s="3">
        <f>IFERROR(__xludf.DUMMYFUNCTION("""COMPUTED_VALUE"""),864.0)</f>
        <v>864</v>
      </c>
      <c r="E4677" s="1" t="str">
        <f t="array" ref="E4677">_xlfn.XLOOKUP(A4677,Product!A:A,Product!B:B,"Bulunamadı")</f>
        <v>Finance</v>
      </c>
      <c r="F4677" s="1" t="str">
        <f t="array" ref="F4677">_xlfn.XLOOKUP(A4677,Product!A:A,Product!C:C,"Bulunamadı")</f>
        <v>Risk Management</v>
      </c>
      <c r="G4677" s="2" t="str">
        <f t="array" ref="G4677">_xlfn.XLOOKUP(A4678,Product!A:A,Product!D:D,"Bulunamadı")</f>
        <v>Silverway House</v>
      </c>
      <c r="H4677" s="2">
        <f t="array" ref="H4677">_xlfn.XLOOKUP(A4679,Product!A:A,Product!E:E,"Bulunamadı")</f>
        <v>2.35</v>
      </c>
      <c r="I4677" s="2" t="str">
        <f t="shared" si="1"/>
        <v>125182 - Finance - Risk Management</v>
      </c>
      <c r="J4677" s="2">
        <f t="shared" si="2"/>
        <v>2030.4</v>
      </c>
      <c r="K4677" s="17">
        <f t="shared" si="3"/>
        <v>1</v>
      </c>
      <c r="L4677" s="18"/>
    </row>
    <row r="4678" hidden="1">
      <c r="A4678" s="2">
        <f>IFERROR(__xludf.DUMMYFUNCTION("""COMPUTED_VALUE"""),121112.0)</f>
        <v>121112</v>
      </c>
      <c r="B4678" s="2">
        <f>IFERROR(__xludf.DUMMYFUNCTION("""COMPUTED_VALUE"""),1.0)</f>
        <v>1</v>
      </c>
      <c r="C4678" s="2">
        <f>IFERROR(__xludf.DUMMYFUNCTION("""COMPUTED_VALUE"""),794.0)</f>
        <v>794</v>
      </c>
      <c r="D4678" s="3">
        <f>IFERROR(__xludf.DUMMYFUNCTION("""COMPUTED_VALUE"""),124.0)</f>
        <v>124</v>
      </c>
      <c r="E4678" s="1" t="str">
        <f t="array" ref="E4678">_xlfn.XLOOKUP(A4678,Product!A:A,Product!B:B,"Bulunamadı")</f>
        <v>Finance</v>
      </c>
      <c r="F4678" s="1" t="str">
        <f t="array" ref="F4678">_xlfn.XLOOKUP(A4678,Product!A:A,Product!C:C,"Bulunamadı")</f>
        <v>Risk Management</v>
      </c>
      <c r="G4678" s="2" t="str">
        <f t="array" ref="G4678">_xlfn.XLOOKUP(A4679,Product!A:A,Product!D:D,"Bulunamadı")</f>
        <v>Silverway House</v>
      </c>
      <c r="H4678" s="2">
        <f t="array" ref="H4678">_xlfn.XLOOKUP(A4680,Product!A:A,Product!E:E,"Bulunamadı")</f>
        <v>2.03</v>
      </c>
      <c r="I4678" s="2" t="str">
        <f t="shared" si="1"/>
        <v>121112 - Finance - Risk Management</v>
      </c>
      <c r="J4678" s="2">
        <f t="shared" si="2"/>
        <v>251.72</v>
      </c>
      <c r="K4678" s="17">
        <f t="shared" si="3"/>
        <v>1</v>
      </c>
      <c r="L4678" s="18"/>
    </row>
    <row r="4679" hidden="1">
      <c r="A4679" s="2">
        <f>IFERROR(__xludf.DUMMYFUNCTION("""COMPUTED_VALUE"""),125172.0)</f>
        <v>125172</v>
      </c>
      <c r="B4679" s="2">
        <f>IFERROR(__xludf.DUMMYFUNCTION("""COMPUTED_VALUE"""),0.0)</f>
        <v>0</v>
      </c>
      <c r="C4679" s="2">
        <f>IFERROR(__xludf.DUMMYFUNCTION("""COMPUTED_VALUE"""),182.0)</f>
        <v>182</v>
      </c>
      <c r="D4679" s="3">
        <f>IFERROR(__xludf.DUMMYFUNCTION("""COMPUTED_VALUE"""),169.0)</f>
        <v>169</v>
      </c>
      <c r="E4679" s="1" t="str">
        <f t="array" ref="E4679">_xlfn.XLOOKUP(A4679,Product!A:A,Product!B:B,"Bulunamadı")</f>
        <v>Finance</v>
      </c>
      <c r="F4679" s="1" t="str">
        <f t="array" ref="F4679">_xlfn.XLOOKUP(A4679,Product!A:A,Product!C:C,"Bulunamadı")</f>
        <v>Risk Management</v>
      </c>
      <c r="G4679" s="2" t="str">
        <f t="array" ref="G4679">_xlfn.XLOOKUP(A4680,Product!A:A,Product!D:D,"Bulunamadı")</f>
        <v>Silverway House</v>
      </c>
      <c r="H4679" s="2">
        <f t="array" ref="H4679">_xlfn.XLOOKUP(A4681,Product!A:A,Product!E:E,"Bulunamadı")</f>
        <v>2.17</v>
      </c>
      <c r="I4679" s="2" t="str">
        <f t="shared" si="1"/>
        <v>125172 - Finance - Risk Management</v>
      </c>
      <c r="J4679" s="2">
        <f t="shared" si="2"/>
        <v>366.73</v>
      </c>
      <c r="K4679" s="17">
        <f t="shared" si="3"/>
        <v>1</v>
      </c>
      <c r="L4679" s="18"/>
    </row>
    <row r="4680" hidden="1">
      <c r="A4680" s="2">
        <f>IFERROR(__xludf.DUMMYFUNCTION("""COMPUTED_VALUE"""),125196.0)</f>
        <v>125196</v>
      </c>
      <c r="B4680" s="2">
        <f>IFERROR(__xludf.DUMMYFUNCTION("""COMPUTED_VALUE"""),0.0)</f>
        <v>0</v>
      </c>
      <c r="C4680" s="2">
        <f>IFERROR(__xludf.DUMMYFUNCTION("""COMPUTED_VALUE"""),393.0)</f>
        <v>393</v>
      </c>
      <c r="D4680" s="3">
        <f>IFERROR(__xludf.DUMMYFUNCTION("""COMPUTED_VALUE"""),152.0)</f>
        <v>152</v>
      </c>
      <c r="E4680" s="1" t="str">
        <f t="array" ref="E4680">_xlfn.XLOOKUP(A4680,Product!A:A,Product!B:B,"Bulunamadı")</f>
        <v>Finance</v>
      </c>
      <c r="F4680" s="1" t="str">
        <f t="array" ref="F4680">_xlfn.XLOOKUP(A4680,Product!A:A,Product!C:C,"Bulunamadı")</f>
        <v>Risk Management</v>
      </c>
      <c r="G4680" s="2" t="str">
        <f t="array" ref="G4680">_xlfn.XLOOKUP(A4681,Product!A:A,Product!D:D,"Bulunamadı")</f>
        <v>Silverway House</v>
      </c>
      <c r="H4680" s="2">
        <f t="array" ref="H4680">_xlfn.XLOOKUP(A4682,Product!A:A,Product!E:E,"Bulunamadı")</f>
        <v>2.34</v>
      </c>
      <c r="I4680" s="2" t="str">
        <f t="shared" si="1"/>
        <v>125196 - Finance - Risk Management</v>
      </c>
      <c r="J4680" s="2">
        <f t="shared" si="2"/>
        <v>355.68</v>
      </c>
      <c r="K4680" s="17">
        <f t="shared" si="3"/>
        <v>1</v>
      </c>
      <c r="L4680" s="18"/>
    </row>
    <row r="4681" hidden="1">
      <c r="A4681" s="2">
        <f>IFERROR(__xludf.DUMMYFUNCTION("""COMPUTED_VALUE"""),125192.0)</f>
        <v>125192</v>
      </c>
      <c r="B4681" s="2">
        <f>IFERROR(__xludf.DUMMYFUNCTION("""COMPUTED_VALUE"""),1.0)</f>
        <v>1</v>
      </c>
      <c r="C4681" s="2">
        <f>IFERROR(__xludf.DUMMYFUNCTION("""COMPUTED_VALUE"""),864.0)</f>
        <v>864</v>
      </c>
      <c r="D4681" s="3">
        <f>IFERROR(__xludf.DUMMYFUNCTION("""COMPUTED_VALUE"""),560.0)</f>
        <v>560</v>
      </c>
      <c r="E4681" s="1" t="str">
        <f t="array" ref="E4681">_xlfn.XLOOKUP(A4681,Product!A:A,Product!B:B,"Bulunamadı")</f>
        <v>Finance</v>
      </c>
      <c r="F4681" s="1" t="str">
        <f t="array" ref="F4681">_xlfn.XLOOKUP(A4681,Product!A:A,Product!C:C,"Bulunamadı")</f>
        <v>Risk Management</v>
      </c>
      <c r="G4681" s="2" t="str">
        <f t="array" ref="G4681">_xlfn.XLOOKUP(A4682,Product!A:A,Product!D:D,"Bulunamadı")</f>
        <v>Silverway House</v>
      </c>
      <c r="H4681" s="2">
        <f t="array" ref="H4681">_xlfn.XLOOKUP(A4683,Product!A:A,Product!E:E,"Bulunamadı")</f>
        <v>1.17</v>
      </c>
      <c r="I4681" s="2" t="str">
        <f t="shared" si="1"/>
        <v>125192 - Finance - Risk Management</v>
      </c>
      <c r="J4681" s="2">
        <f t="shared" si="2"/>
        <v>655.2</v>
      </c>
      <c r="K4681" s="17">
        <f t="shared" si="3"/>
        <v>1</v>
      </c>
      <c r="L4681" s="18"/>
    </row>
    <row r="4682" hidden="1">
      <c r="A4682" s="2">
        <f>IFERROR(__xludf.DUMMYFUNCTION("""COMPUTED_VALUE"""),125194.0)</f>
        <v>125194</v>
      </c>
      <c r="B4682" s="2">
        <f>IFERROR(__xludf.DUMMYFUNCTION("""COMPUTED_VALUE"""),0.0)</f>
        <v>0</v>
      </c>
      <c r="C4682" s="2">
        <f>IFERROR(__xludf.DUMMYFUNCTION("""COMPUTED_VALUE"""),627.0)</f>
        <v>627</v>
      </c>
      <c r="D4682" s="3">
        <f>IFERROR(__xludf.DUMMYFUNCTION("""COMPUTED_VALUE"""),167.0)</f>
        <v>167</v>
      </c>
      <c r="E4682" s="1" t="str">
        <f t="array" ref="E4682">_xlfn.XLOOKUP(A4682,Product!A:A,Product!B:B,"Bulunamadı")</f>
        <v>Finance</v>
      </c>
      <c r="F4682" s="1" t="str">
        <f t="array" ref="F4682">_xlfn.XLOOKUP(A4682,Product!A:A,Product!C:C,"Bulunamadı")</f>
        <v>Risk Management</v>
      </c>
      <c r="G4682" s="2" t="str">
        <f t="array" ref="G4682">_xlfn.XLOOKUP(A4683,Product!A:A,Product!D:D,"Bulunamadı")</f>
        <v>Silverway House</v>
      </c>
      <c r="H4682" s="2">
        <f t="array" ref="H4682">_xlfn.XLOOKUP(A4684,Product!A:A,Product!E:E,"Bulunamadı")</f>
        <v>12.87</v>
      </c>
      <c r="I4682" s="2" t="str">
        <f t="shared" si="1"/>
        <v>125194 - Finance - Risk Management</v>
      </c>
      <c r="J4682" s="2">
        <f t="shared" si="2"/>
        <v>2149.29</v>
      </c>
      <c r="K4682" s="17">
        <f t="shared" si="3"/>
        <v>1</v>
      </c>
      <c r="L4682" s="18"/>
    </row>
    <row r="4683" hidden="1">
      <c r="A4683" s="2">
        <f>IFERROR(__xludf.DUMMYFUNCTION("""COMPUTED_VALUE"""),125198.0)</f>
        <v>125198</v>
      </c>
      <c r="B4683" s="2">
        <f>IFERROR(__xludf.DUMMYFUNCTION("""COMPUTED_VALUE"""),1.0)</f>
        <v>1</v>
      </c>
      <c r="C4683" s="2">
        <f>IFERROR(__xludf.DUMMYFUNCTION("""COMPUTED_VALUE"""),399.0)</f>
        <v>399</v>
      </c>
      <c r="D4683" s="3">
        <f>IFERROR(__xludf.DUMMYFUNCTION("""COMPUTED_VALUE"""),126.0)</f>
        <v>126</v>
      </c>
      <c r="E4683" s="1" t="str">
        <f t="array" ref="E4683">_xlfn.XLOOKUP(A4683,Product!A:A,Product!B:B,"Bulunamadı")</f>
        <v>Finance</v>
      </c>
      <c r="F4683" s="1" t="str">
        <f t="array" ref="F4683">_xlfn.XLOOKUP(A4683,Product!A:A,Product!C:C,"Bulunamadı")</f>
        <v>Risk Management</v>
      </c>
      <c r="G4683" s="2" t="str">
        <f t="array" ref="G4683">_xlfn.XLOOKUP(A4684,Product!A:A,Product!D:D,"Bulunamadı")</f>
        <v>Silverway House</v>
      </c>
      <c r="H4683" s="2">
        <f t="array" ref="H4683">_xlfn.XLOOKUP(A4685,Product!A:A,Product!E:E,"Bulunamadı")</f>
        <v>10.92</v>
      </c>
      <c r="I4683" s="2" t="str">
        <f t="shared" si="1"/>
        <v>125198 - Finance - Risk Management</v>
      </c>
      <c r="J4683" s="2">
        <f t="shared" si="2"/>
        <v>1375.92</v>
      </c>
      <c r="K4683" s="17">
        <f t="shared" si="3"/>
        <v>1</v>
      </c>
      <c r="L4683" s="18"/>
    </row>
    <row r="4684" hidden="1">
      <c r="A4684" s="2">
        <f>IFERROR(__xludf.DUMMYFUNCTION("""COMPUTED_VALUE"""),111220.0)</f>
        <v>111220</v>
      </c>
      <c r="B4684" s="2">
        <f>IFERROR(__xludf.DUMMYFUNCTION("""COMPUTED_VALUE"""),0.0)</f>
        <v>0</v>
      </c>
      <c r="C4684" s="2">
        <f>IFERROR(__xludf.DUMMYFUNCTION("""COMPUTED_VALUE"""),170.0)</f>
        <v>170</v>
      </c>
      <c r="D4684" s="3">
        <f>IFERROR(__xludf.DUMMYFUNCTION("""COMPUTED_VALUE"""),37.0)</f>
        <v>37</v>
      </c>
      <c r="E4684" s="1" t="str">
        <f t="array" ref="E4684">_xlfn.XLOOKUP(A4684,Product!A:A,Product!B:B,"Bulunamadı")</f>
        <v>Finance</v>
      </c>
      <c r="F4684" s="1" t="str">
        <f t="array" ref="F4684">_xlfn.XLOOKUP(A4684,Product!A:A,Product!C:C,"Bulunamadı")</f>
        <v>Risk Management</v>
      </c>
      <c r="G4684" s="2" t="str">
        <f t="array" ref="G4684">_xlfn.XLOOKUP(A4685,Product!A:A,Product!D:D,"Bulunamadı")</f>
        <v>Silverway House</v>
      </c>
      <c r="H4684" s="2">
        <f t="array" ref="H4684">_xlfn.XLOOKUP(A4686,Product!A:A,Product!E:E,"Bulunamadı")</f>
        <v>7.66</v>
      </c>
      <c r="I4684" s="2" t="str">
        <f t="shared" si="1"/>
        <v>111220 - Finance - Risk Management</v>
      </c>
      <c r="J4684" s="2">
        <f t="shared" si="2"/>
        <v>283.42</v>
      </c>
      <c r="K4684" s="17">
        <f t="shared" si="3"/>
        <v>1</v>
      </c>
      <c r="L4684" s="18"/>
    </row>
    <row r="4685" hidden="1">
      <c r="A4685" s="2">
        <f>IFERROR(__xludf.DUMMYFUNCTION("""COMPUTED_VALUE"""),105969.0)</f>
        <v>105969</v>
      </c>
      <c r="B4685" s="2">
        <f>IFERROR(__xludf.DUMMYFUNCTION("""COMPUTED_VALUE"""),1.0)</f>
        <v>1</v>
      </c>
      <c r="C4685" s="2">
        <f>IFERROR(__xludf.DUMMYFUNCTION("""COMPUTED_VALUE"""),122.0)</f>
        <v>122</v>
      </c>
      <c r="D4685" s="3">
        <f>IFERROR(__xludf.DUMMYFUNCTION("""COMPUTED_VALUE"""),49.0)</f>
        <v>49</v>
      </c>
      <c r="E4685" s="1" t="str">
        <f t="array" ref="E4685">_xlfn.XLOOKUP(A4685,Product!A:A,Product!B:B,"Bulunamadı")</f>
        <v>Finance</v>
      </c>
      <c r="F4685" s="1" t="str">
        <f t="array" ref="F4685">_xlfn.XLOOKUP(A4685,Product!A:A,Product!C:C,"Bulunamadı")</f>
        <v>Risk Management</v>
      </c>
      <c r="G4685" s="2" t="str">
        <f t="array" ref="G4685">_xlfn.XLOOKUP(A4686,Product!A:A,Product!D:D,"Bulunamadı")</f>
        <v>Silverway House</v>
      </c>
      <c r="H4685" s="2">
        <f t="array" ref="H4685">_xlfn.XLOOKUP(A4687,Product!A:A,Product!E:E,"Bulunamadı")</f>
        <v>2.01</v>
      </c>
      <c r="I4685" s="2" t="str">
        <f t="shared" si="1"/>
        <v>105969 - Finance - Risk Management</v>
      </c>
      <c r="J4685" s="2">
        <f t="shared" si="2"/>
        <v>98.49</v>
      </c>
      <c r="K4685" s="17">
        <f t="shared" si="3"/>
        <v>1</v>
      </c>
      <c r="L4685" s="18"/>
    </row>
    <row r="4686" hidden="1">
      <c r="A4686" s="2">
        <f>IFERROR(__xludf.DUMMYFUNCTION("""COMPUTED_VALUE"""),105981.0)</f>
        <v>105981</v>
      </c>
      <c r="B4686" s="2">
        <f>IFERROR(__xludf.DUMMYFUNCTION("""COMPUTED_VALUE"""),0.0)</f>
        <v>0</v>
      </c>
      <c r="C4686" s="2">
        <f>IFERROR(__xludf.DUMMYFUNCTION("""COMPUTED_VALUE"""),660.0)</f>
        <v>660</v>
      </c>
      <c r="D4686" s="3">
        <f>IFERROR(__xludf.DUMMYFUNCTION("""COMPUTED_VALUE"""),56.0)</f>
        <v>56</v>
      </c>
      <c r="E4686" s="1" t="str">
        <f t="array" ref="E4686">_xlfn.XLOOKUP(A4686,Product!A:A,Product!B:B,"Bulunamadı")</f>
        <v>Finance</v>
      </c>
      <c r="F4686" s="1" t="str">
        <f t="array" ref="F4686">_xlfn.XLOOKUP(A4686,Product!A:A,Product!C:C,"Bulunamadı")</f>
        <v>Risk Management</v>
      </c>
      <c r="G4686" s="2" t="str">
        <f t="array" ref="G4686">_xlfn.XLOOKUP(A4687,Product!A:A,Product!D:D,"Bulunamadı")</f>
        <v>Silverway House</v>
      </c>
      <c r="H4686" s="2">
        <f t="array" ref="H4686">_xlfn.XLOOKUP(A4688,Product!A:A,Product!E:E,"Bulunamadı")</f>
        <v>1.34</v>
      </c>
      <c r="I4686" s="2" t="str">
        <f t="shared" si="1"/>
        <v>105981 - Finance - Risk Management</v>
      </c>
      <c r="J4686" s="2">
        <f t="shared" si="2"/>
        <v>75.04</v>
      </c>
      <c r="K4686" s="17">
        <f t="shared" si="3"/>
        <v>1</v>
      </c>
      <c r="L4686" s="18"/>
    </row>
    <row r="4687" hidden="1">
      <c r="A4687" s="2">
        <f>IFERROR(__xludf.DUMMYFUNCTION("""COMPUTED_VALUE"""),125185.0)</f>
        <v>125185</v>
      </c>
      <c r="B4687" s="2">
        <f>IFERROR(__xludf.DUMMYFUNCTION("""COMPUTED_VALUE"""),1.0)</f>
        <v>1</v>
      </c>
      <c r="C4687" s="2">
        <f>IFERROR(__xludf.DUMMYFUNCTION("""COMPUTED_VALUE"""),218.0)</f>
        <v>218</v>
      </c>
      <c r="D4687" s="3">
        <f>IFERROR(__xludf.DUMMYFUNCTION("""COMPUTED_VALUE"""),158.0)</f>
        <v>158</v>
      </c>
      <c r="E4687" s="1" t="str">
        <f t="array" ref="E4687">_xlfn.XLOOKUP(A4687,Product!A:A,Product!B:B,"Bulunamadı")</f>
        <v>Finance</v>
      </c>
      <c r="F4687" s="1" t="str">
        <f t="array" ref="F4687">_xlfn.XLOOKUP(A4687,Product!A:A,Product!C:C,"Bulunamadı")</f>
        <v>Risk Management</v>
      </c>
      <c r="G4687" s="2" t="str">
        <f t="array" ref="G4687">_xlfn.XLOOKUP(A4688,Product!A:A,Product!D:D,"Bulunamadı")</f>
        <v/>
      </c>
      <c r="H4687" s="2">
        <f t="array" ref="H4687">_xlfn.XLOOKUP(A4689,Product!A:A,Product!E:E,"Bulunamadı")</f>
        <v>1.07</v>
      </c>
      <c r="I4687" s="2" t="str">
        <f t="shared" si="1"/>
        <v>125185 - Finance - Risk Management</v>
      </c>
      <c r="J4687" s="2">
        <f t="shared" si="2"/>
        <v>169.06</v>
      </c>
      <c r="K4687" s="17">
        <f t="shared" si="3"/>
        <v>1</v>
      </c>
      <c r="L4687" s="18"/>
    </row>
    <row r="4688" hidden="1">
      <c r="A4688" s="2">
        <f>IFERROR(__xludf.DUMMYFUNCTION("""COMPUTED_VALUE"""),111605.0)</f>
        <v>111605</v>
      </c>
      <c r="B4688" s="2">
        <f>IFERROR(__xludf.DUMMYFUNCTION("""COMPUTED_VALUE"""),0.0)</f>
        <v>0</v>
      </c>
      <c r="C4688" s="2">
        <f>IFERROR(__xludf.DUMMYFUNCTION("""COMPUTED_VALUE"""),246.0)</f>
        <v>246</v>
      </c>
      <c r="D4688" s="3">
        <f>IFERROR(__xludf.DUMMYFUNCTION("""COMPUTED_VALUE"""),208.0)</f>
        <v>208</v>
      </c>
      <c r="E4688" s="1" t="str">
        <f t="array" ref="E4688">_xlfn.XLOOKUP(A4688,Product!A:A,Product!B:B,"Bulunamadı")</f>
        <v>History</v>
      </c>
      <c r="F4688" s="1" t="str">
        <f t="array" ref="F4688">_xlfn.XLOOKUP(A4688,Product!A:A,Product!C:C,"Bulunamadı")</f>
        <v>Derivatives</v>
      </c>
      <c r="G4688" s="2" t="str">
        <f t="array" ref="G4688">_xlfn.XLOOKUP(A4689,Product!A:A,Product!D:D,"Bulunamadı")</f>
        <v/>
      </c>
      <c r="H4688" s="2">
        <f t="array" ref="H4688">_xlfn.XLOOKUP(A4690,Product!A:A,Product!E:E,"Bulunamadı")</f>
        <v>1.13</v>
      </c>
      <c r="I4688" s="2" t="str">
        <f t="shared" si="1"/>
        <v>111605 - History - Derivatives</v>
      </c>
      <c r="J4688" s="2">
        <f t="shared" si="2"/>
        <v>235.04</v>
      </c>
      <c r="K4688" s="17">
        <f t="shared" si="3"/>
        <v>1</v>
      </c>
      <c r="L4688" s="18"/>
    </row>
    <row r="4689" hidden="1">
      <c r="A4689" s="2">
        <f>IFERROR(__xludf.DUMMYFUNCTION("""COMPUTED_VALUE"""),111608.0)</f>
        <v>111608</v>
      </c>
      <c r="B4689" s="2">
        <f>IFERROR(__xludf.DUMMYFUNCTION("""COMPUTED_VALUE"""),1.0)</f>
        <v>1</v>
      </c>
      <c r="C4689" s="2">
        <f>IFERROR(__xludf.DUMMYFUNCTION("""COMPUTED_VALUE"""),459.0)</f>
        <v>459</v>
      </c>
      <c r="D4689" s="3">
        <f>IFERROR(__xludf.DUMMYFUNCTION("""COMPUTED_VALUE"""),38.0)</f>
        <v>38</v>
      </c>
      <c r="E4689" s="1" t="str">
        <f t="array" ref="E4689">_xlfn.XLOOKUP(A4689,Product!A:A,Product!B:B,"Bulunamadı")</f>
        <v>History</v>
      </c>
      <c r="F4689" s="1" t="str">
        <f t="array" ref="F4689">_xlfn.XLOOKUP(A4689,Product!A:A,Product!C:C,"Bulunamadı")</f>
        <v>Derivatives</v>
      </c>
      <c r="G4689" s="2" t="str">
        <f t="array" ref="G4689">_xlfn.XLOOKUP(A4690,Product!A:A,Product!D:D,"Bulunamadı")</f>
        <v/>
      </c>
      <c r="H4689" s="2">
        <f t="array" ref="H4689">_xlfn.XLOOKUP(A4691,Product!A:A,Product!E:E,"Bulunamadı")</f>
        <v>0.89</v>
      </c>
      <c r="I4689" s="2" t="str">
        <f t="shared" si="1"/>
        <v>111608 - History - Derivatives</v>
      </c>
      <c r="J4689" s="2">
        <f t="shared" si="2"/>
        <v>33.82</v>
      </c>
      <c r="K4689" s="17">
        <f t="shared" si="3"/>
        <v>1</v>
      </c>
      <c r="L4689" s="18"/>
    </row>
    <row r="4690" hidden="1">
      <c r="A4690" s="2">
        <f>IFERROR(__xludf.DUMMYFUNCTION("""COMPUTED_VALUE"""),97023.0)</f>
        <v>97023</v>
      </c>
      <c r="B4690" s="2">
        <f>IFERROR(__xludf.DUMMYFUNCTION("""COMPUTED_VALUE"""),1.0)</f>
        <v>1</v>
      </c>
      <c r="C4690" s="2">
        <f>IFERROR(__xludf.DUMMYFUNCTION("""COMPUTED_VALUE"""),80.0)</f>
        <v>80</v>
      </c>
      <c r="D4690" s="3">
        <f>IFERROR(__xludf.DUMMYFUNCTION("""COMPUTED_VALUE"""),10.0)</f>
        <v>10</v>
      </c>
      <c r="E4690" s="1" t="str">
        <f t="array" ref="E4690">_xlfn.XLOOKUP(A4690,Product!A:A,Product!B:B,"Bulunamadı")</f>
        <v>History</v>
      </c>
      <c r="F4690" s="1" t="str">
        <f t="array" ref="F4690">_xlfn.XLOOKUP(A4690,Product!A:A,Product!C:C,"Bulunamadı")</f>
        <v>Derivatives</v>
      </c>
      <c r="G4690" s="2" t="str">
        <f t="array" ref="G4690">_xlfn.XLOOKUP(A4691,Product!A:A,Product!D:D,"Bulunamadı")</f>
        <v/>
      </c>
      <c r="H4690" s="2">
        <f t="array" ref="H4690">_xlfn.XLOOKUP(A4692,Product!A:A,Product!E:E,"Bulunamadı")</f>
        <v>2.25</v>
      </c>
      <c r="I4690" s="2" t="str">
        <f t="shared" si="1"/>
        <v>97023 - History - Derivatives</v>
      </c>
      <c r="J4690" s="2">
        <f t="shared" si="2"/>
        <v>22.5</v>
      </c>
      <c r="K4690" s="17">
        <f t="shared" si="3"/>
        <v>1</v>
      </c>
      <c r="L4690" s="18"/>
    </row>
    <row r="4691" hidden="1">
      <c r="A4691" s="2">
        <f>IFERROR(__xludf.DUMMYFUNCTION("""COMPUTED_VALUE"""),111607.0)</f>
        <v>111607</v>
      </c>
      <c r="B4691" s="2">
        <f>IFERROR(__xludf.DUMMYFUNCTION("""COMPUTED_VALUE"""),1.0)</f>
        <v>1</v>
      </c>
      <c r="C4691" s="2">
        <f>IFERROR(__xludf.DUMMYFUNCTION("""COMPUTED_VALUE"""),35.0)</f>
        <v>35</v>
      </c>
      <c r="D4691" s="3">
        <f>IFERROR(__xludf.DUMMYFUNCTION("""COMPUTED_VALUE"""),27.0)</f>
        <v>27</v>
      </c>
      <c r="E4691" s="1" t="str">
        <f t="array" ref="E4691">_xlfn.XLOOKUP(A4691,Product!A:A,Product!B:B,"Bulunamadı")</f>
        <v>History</v>
      </c>
      <c r="F4691" s="1" t="str">
        <f t="array" ref="F4691">_xlfn.XLOOKUP(A4691,Product!A:A,Product!C:C,"Bulunamadı")</f>
        <v>Derivatives</v>
      </c>
      <c r="G4691" s="2" t="str">
        <f t="array" ref="G4691">_xlfn.XLOOKUP(A4692,Product!A:A,Product!D:D,"Bulunamadı")</f>
        <v>Northway House</v>
      </c>
      <c r="H4691" s="2">
        <f t="array" ref="H4691">_xlfn.XLOOKUP(A4693,Product!A:A,Product!E:E,"Bulunamadı")</f>
        <v>3.76</v>
      </c>
      <c r="I4691" s="2" t="str">
        <f t="shared" si="1"/>
        <v>111607 - History - Derivatives</v>
      </c>
      <c r="J4691" s="2">
        <f t="shared" si="2"/>
        <v>101.52</v>
      </c>
      <c r="K4691" s="17">
        <f t="shared" si="3"/>
        <v>1</v>
      </c>
      <c r="L4691" s="18"/>
    </row>
    <row r="4692" hidden="1">
      <c r="A4692" s="2">
        <f>IFERROR(__xludf.DUMMYFUNCTION("""COMPUTED_VALUE"""),71083.0)</f>
        <v>71083</v>
      </c>
      <c r="B4692" s="2">
        <f>IFERROR(__xludf.DUMMYFUNCTION("""COMPUTED_VALUE"""),1.0)</f>
        <v>1</v>
      </c>
      <c r="C4692" s="2">
        <f>IFERROR(__xludf.DUMMYFUNCTION("""COMPUTED_VALUE"""),659.0)</f>
        <v>659</v>
      </c>
      <c r="D4692" s="3">
        <f>IFERROR(__xludf.DUMMYFUNCTION("""COMPUTED_VALUE"""),247.0)</f>
        <v>247</v>
      </c>
      <c r="E4692" s="1" t="str">
        <f t="array" ref="E4692">_xlfn.XLOOKUP(A4692,Product!A:A,Product!B:B,"Bulunamadı")</f>
        <v>Law</v>
      </c>
      <c r="F4692" s="1" t="str">
        <f t="array" ref="F4692">_xlfn.XLOOKUP(A4692,Product!A:A,Product!C:C,"Bulunamadı")</f>
        <v>Portfolio Management</v>
      </c>
      <c r="G4692" s="2" t="str">
        <f t="array" ref="G4692">_xlfn.XLOOKUP(A4693,Product!A:A,Product!D:D,"Bulunamadı")</f>
        <v>Northway House</v>
      </c>
      <c r="H4692" s="2">
        <f t="array" ref="H4692">_xlfn.XLOOKUP(A4694,Product!A:A,Product!E:E,"Bulunamadı")</f>
        <v>2.55</v>
      </c>
      <c r="I4692" s="2" t="str">
        <f t="shared" si="1"/>
        <v>71083 - Law - Portfolio Management</v>
      </c>
      <c r="J4692" s="2">
        <f t="shared" si="2"/>
        <v>629.85</v>
      </c>
      <c r="K4692" s="17">
        <f t="shared" si="3"/>
        <v>1</v>
      </c>
      <c r="L4692" s="18"/>
    </row>
    <row r="4693" hidden="1">
      <c r="A4693" s="2">
        <f>IFERROR(__xludf.DUMMYFUNCTION("""COMPUTED_VALUE"""),118178.0)</f>
        <v>118178</v>
      </c>
      <c r="B4693" s="2">
        <f>IFERROR(__xludf.DUMMYFUNCTION("""COMPUTED_VALUE"""),0.0)</f>
        <v>0</v>
      </c>
      <c r="C4693" s="2">
        <f>IFERROR(__xludf.DUMMYFUNCTION("""COMPUTED_VALUE"""),634.0)</f>
        <v>634</v>
      </c>
      <c r="D4693" s="3">
        <f>IFERROR(__xludf.DUMMYFUNCTION("""COMPUTED_VALUE"""),0.0)</f>
        <v>0</v>
      </c>
      <c r="E4693" s="1" t="str">
        <f t="array" ref="E4693">_xlfn.XLOOKUP(A4693,Product!A:A,Product!B:B,"Bulunamadı")</f>
        <v>Law</v>
      </c>
      <c r="F4693" s="1" t="str">
        <f t="array" ref="F4693">_xlfn.XLOOKUP(A4693,Product!A:A,Product!C:C,"Bulunamadı")</f>
        <v>Portfolio Management</v>
      </c>
      <c r="G4693" s="2" t="str">
        <f t="array" ref="G4693">_xlfn.XLOOKUP(A4694,Product!A:A,Product!D:D,"Bulunamadı")</f>
        <v>Northway House</v>
      </c>
      <c r="H4693" s="2">
        <f t="array" ref="H4693">_xlfn.XLOOKUP(A4695,Product!A:A,Product!E:E,"Bulunamadı")</f>
        <v>1.21</v>
      </c>
      <c r="I4693" s="2" t="str">
        <f t="shared" si="1"/>
        <v>118178 - Law - Portfolio Management</v>
      </c>
      <c r="J4693" s="2">
        <f t="shared" si="2"/>
        <v>0</v>
      </c>
      <c r="K4693" s="17">
        <f t="shared" si="3"/>
        <v>0</v>
      </c>
      <c r="L4693" s="18"/>
    </row>
    <row r="4694" hidden="1">
      <c r="A4694" s="2">
        <f>IFERROR(__xludf.DUMMYFUNCTION("""COMPUTED_VALUE"""),81767.0)</f>
        <v>81767</v>
      </c>
      <c r="B4694" s="2">
        <f>IFERROR(__xludf.DUMMYFUNCTION("""COMPUTED_VALUE"""),0.0)</f>
        <v>0</v>
      </c>
      <c r="C4694" s="2">
        <f>IFERROR(__xludf.DUMMYFUNCTION("""COMPUTED_VALUE"""),848.0)</f>
        <v>848</v>
      </c>
      <c r="D4694" s="3">
        <f>IFERROR(__xludf.DUMMYFUNCTION("""COMPUTED_VALUE"""),129.0)</f>
        <v>129</v>
      </c>
      <c r="E4694" s="1" t="str">
        <f t="array" ref="E4694">_xlfn.XLOOKUP(A4694,Product!A:A,Product!B:B,"Bulunamadı")</f>
        <v>Law</v>
      </c>
      <c r="F4694" s="1" t="str">
        <f t="array" ref="F4694">_xlfn.XLOOKUP(A4694,Product!A:A,Product!C:C,"Bulunamadı")</f>
        <v>Portfolio Management</v>
      </c>
      <c r="G4694" s="2" t="str">
        <f t="array" ref="G4694">_xlfn.XLOOKUP(A4695,Product!A:A,Product!D:D,"Bulunamadı")</f>
        <v>Northway House</v>
      </c>
      <c r="H4694" s="2">
        <f t="array" ref="H4694">_xlfn.XLOOKUP(A4696,Product!A:A,Product!E:E,"Bulunamadı")</f>
        <v>2.91</v>
      </c>
      <c r="I4694" s="2" t="str">
        <f t="shared" si="1"/>
        <v>81767 - Law - Portfolio Management</v>
      </c>
      <c r="J4694" s="2">
        <f t="shared" si="2"/>
        <v>375.39</v>
      </c>
      <c r="K4694" s="17">
        <f t="shared" si="3"/>
        <v>1</v>
      </c>
      <c r="L4694" s="18"/>
    </row>
    <row r="4695" hidden="1">
      <c r="A4695" s="2">
        <f>IFERROR(__xludf.DUMMYFUNCTION("""COMPUTED_VALUE"""),118186.0)</f>
        <v>118186</v>
      </c>
      <c r="B4695" s="2">
        <f>IFERROR(__xludf.DUMMYFUNCTION("""COMPUTED_VALUE"""),0.0)</f>
        <v>0</v>
      </c>
      <c r="C4695" s="2">
        <f>IFERROR(__xludf.DUMMYFUNCTION("""COMPUTED_VALUE"""),636.0)</f>
        <v>636</v>
      </c>
      <c r="D4695" s="3">
        <f>IFERROR(__xludf.DUMMYFUNCTION("""COMPUTED_VALUE"""),306.0)</f>
        <v>306</v>
      </c>
      <c r="E4695" s="1" t="str">
        <f t="array" ref="E4695">_xlfn.XLOOKUP(A4695,Product!A:A,Product!B:B,"Bulunamadı")</f>
        <v>Law</v>
      </c>
      <c r="F4695" s="1" t="str">
        <f t="array" ref="F4695">_xlfn.XLOOKUP(A4695,Product!A:A,Product!C:C,"Bulunamadı")</f>
        <v>Portfolio Management</v>
      </c>
      <c r="G4695" s="2" t="str">
        <f t="array" ref="G4695">_xlfn.XLOOKUP(A4696,Product!A:A,Product!D:D,"Bulunamadı")</f>
        <v>Northway House</v>
      </c>
      <c r="H4695" s="2">
        <f t="array" ref="H4695">_xlfn.XLOOKUP(A4697,Product!A:A,Product!E:E,"Bulunamadı")</f>
        <v>2.7</v>
      </c>
      <c r="I4695" s="2" t="str">
        <f t="shared" si="1"/>
        <v>118186 - Law - Portfolio Management</v>
      </c>
      <c r="J4695" s="2">
        <f t="shared" si="2"/>
        <v>826.2</v>
      </c>
      <c r="K4695" s="17">
        <f t="shared" si="3"/>
        <v>1</v>
      </c>
      <c r="L4695" s="18"/>
    </row>
    <row r="4696" hidden="1">
      <c r="A4696" s="2">
        <f>IFERROR(__xludf.DUMMYFUNCTION("""COMPUTED_VALUE"""),43228.0)</f>
        <v>43228</v>
      </c>
      <c r="B4696" s="2">
        <f>IFERROR(__xludf.DUMMYFUNCTION("""COMPUTED_VALUE"""),1.0)</f>
        <v>1</v>
      </c>
      <c r="C4696" s="2">
        <f>IFERROR(__xludf.DUMMYFUNCTION("""COMPUTED_VALUE"""),655.0)</f>
        <v>655</v>
      </c>
      <c r="D4696" s="3">
        <f>IFERROR(__xludf.DUMMYFUNCTION("""COMPUTED_VALUE"""),246.0)</f>
        <v>246</v>
      </c>
      <c r="E4696" s="1" t="str">
        <f t="array" ref="E4696">_xlfn.XLOOKUP(A4696,Product!A:A,Product!B:B,"Bulunamadı")</f>
        <v>Law</v>
      </c>
      <c r="F4696" s="1" t="str">
        <f t="array" ref="F4696">_xlfn.XLOOKUP(A4696,Product!A:A,Product!C:C,"Bulunamadı")</f>
        <v>Portfolio Management</v>
      </c>
      <c r="G4696" s="2" t="str">
        <f t="array" ref="G4696">_xlfn.XLOOKUP(A4697,Product!A:A,Product!D:D,"Bulunamadı")</f>
        <v>Northway House</v>
      </c>
      <c r="H4696" s="2">
        <f t="array" ref="H4696">_xlfn.XLOOKUP(A4698,Product!A:A,Product!E:E,"Bulunamadı")</f>
        <v>2.48</v>
      </c>
      <c r="I4696" s="2" t="str">
        <f t="shared" si="1"/>
        <v>43228 - Law - Portfolio Management</v>
      </c>
      <c r="J4696" s="2">
        <f t="shared" si="2"/>
        <v>610.08</v>
      </c>
      <c r="K4696" s="17">
        <f t="shared" si="3"/>
        <v>1</v>
      </c>
      <c r="L4696" s="18"/>
    </row>
    <row r="4697" hidden="1">
      <c r="A4697" s="2">
        <f>IFERROR(__xludf.DUMMYFUNCTION("""COMPUTED_VALUE"""),199268.0)</f>
        <v>199268</v>
      </c>
      <c r="B4697" s="2">
        <f>IFERROR(__xludf.DUMMYFUNCTION("""COMPUTED_VALUE"""),1.0)</f>
        <v>1</v>
      </c>
      <c r="C4697" s="2">
        <f>IFERROR(__xludf.DUMMYFUNCTION("""COMPUTED_VALUE"""),363.0)</f>
        <v>363</v>
      </c>
      <c r="D4697" s="3">
        <f>IFERROR(__xludf.DUMMYFUNCTION("""COMPUTED_VALUE"""),289.0)</f>
        <v>289</v>
      </c>
      <c r="E4697" s="1" t="str">
        <f t="array" ref="E4697">_xlfn.XLOOKUP(A4697,Product!A:A,Product!B:B,"Bulunamadı")</f>
        <v>Law</v>
      </c>
      <c r="F4697" s="1" t="str">
        <f t="array" ref="F4697">_xlfn.XLOOKUP(A4697,Product!A:A,Product!C:C,"Bulunamadı")</f>
        <v>Portfolio Management</v>
      </c>
      <c r="G4697" s="2" t="str">
        <f t="array" ref="G4697">_xlfn.XLOOKUP(A4698,Product!A:A,Product!D:D,"Bulunamadı")</f>
        <v>Northway House</v>
      </c>
      <c r="H4697" s="2">
        <f t="array" ref="H4697">_xlfn.XLOOKUP(A4699,Product!A:A,Product!E:E,"Bulunamadı")</f>
        <v>2.16</v>
      </c>
      <c r="I4697" s="2" t="str">
        <f t="shared" si="1"/>
        <v>199268 - Law - Portfolio Management</v>
      </c>
      <c r="J4697" s="2">
        <f t="shared" si="2"/>
        <v>624.24</v>
      </c>
      <c r="K4697" s="17">
        <f t="shared" si="3"/>
        <v>1</v>
      </c>
      <c r="L4697" s="18"/>
    </row>
    <row r="4698" hidden="1">
      <c r="A4698" s="2">
        <f>IFERROR(__xludf.DUMMYFUNCTION("""COMPUTED_VALUE"""),118196.0)</f>
        <v>118196</v>
      </c>
      <c r="B4698" s="2">
        <f>IFERROR(__xludf.DUMMYFUNCTION("""COMPUTED_VALUE"""),0.0)</f>
        <v>0</v>
      </c>
      <c r="C4698" s="2">
        <f>IFERROR(__xludf.DUMMYFUNCTION("""COMPUTED_VALUE"""),312.0)</f>
        <v>312</v>
      </c>
      <c r="D4698" s="3">
        <f>IFERROR(__xludf.DUMMYFUNCTION("""COMPUTED_VALUE"""),143.0)</f>
        <v>143</v>
      </c>
      <c r="E4698" s="1" t="str">
        <f t="array" ref="E4698">_xlfn.XLOOKUP(A4698,Product!A:A,Product!B:B,"Bulunamadı")</f>
        <v>Law</v>
      </c>
      <c r="F4698" s="1" t="str">
        <f t="array" ref="F4698">_xlfn.XLOOKUP(A4698,Product!A:A,Product!C:C,"Bulunamadı")</f>
        <v>Portfolio Management</v>
      </c>
      <c r="G4698" s="2" t="str">
        <f t="array" ref="G4698">_xlfn.XLOOKUP(A4699,Product!A:A,Product!D:D,"Bulunamadı")</f>
        <v>Northway House</v>
      </c>
      <c r="H4698" s="2">
        <f t="array" ref="H4698">_xlfn.XLOOKUP(A4700,Product!A:A,Product!E:E,"Bulunamadı")</f>
        <v>2.03</v>
      </c>
      <c r="I4698" s="2" t="str">
        <f t="shared" si="1"/>
        <v>118196 - Law - Portfolio Management</v>
      </c>
      <c r="J4698" s="2">
        <f t="shared" si="2"/>
        <v>290.29</v>
      </c>
      <c r="K4698" s="17">
        <f t="shared" si="3"/>
        <v>1</v>
      </c>
      <c r="L4698" s="18"/>
    </row>
    <row r="4699" hidden="1">
      <c r="A4699" s="2">
        <f>IFERROR(__xludf.DUMMYFUNCTION("""COMPUTED_VALUE"""),71084.0)</f>
        <v>71084</v>
      </c>
      <c r="B4699" s="2">
        <f>IFERROR(__xludf.DUMMYFUNCTION("""COMPUTED_VALUE"""),1.0)</f>
        <v>1</v>
      </c>
      <c r="C4699" s="2">
        <f>IFERROR(__xludf.DUMMYFUNCTION("""COMPUTED_VALUE"""),906.0)</f>
        <v>906</v>
      </c>
      <c r="D4699" s="3">
        <f>IFERROR(__xludf.DUMMYFUNCTION("""COMPUTED_VALUE"""),253.0)</f>
        <v>253</v>
      </c>
      <c r="E4699" s="1" t="str">
        <f t="array" ref="E4699">_xlfn.XLOOKUP(A4699,Product!A:A,Product!B:B,"Bulunamadı")</f>
        <v>Law</v>
      </c>
      <c r="F4699" s="1" t="str">
        <f t="array" ref="F4699">_xlfn.XLOOKUP(A4699,Product!A:A,Product!C:C,"Bulunamadı")</f>
        <v>Portfolio Management</v>
      </c>
      <c r="G4699" s="2" t="str">
        <f t="array" ref="G4699">_xlfn.XLOOKUP(A4700,Product!A:A,Product!D:D,"Bulunamadı")</f>
        <v>Northway House</v>
      </c>
      <c r="H4699" s="2">
        <f t="array" ref="H4699">_xlfn.XLOOKUP(A4701,Product!A:A,Product!E:E,"Bulunamadı")</f>
        <v>3.84</v>
      </c>
      <c r="I4699" s="2" t="str">
        <f t="shared" si="1"/>
        <v>71084 - Law - Portfolio Management</v>
      </c>
      <c r="J4699" s="2">
        <f t="shared" si="2"/>
        <v>971.52</v>
      </c>
      <c r="K4699" s="17">
        <f t="shared" si="3"/>
        <v>1</v>
      </c>
      <c r="L4699" s="18"/>
    </row>
    <row r="4700" hidden="1">
      <c r="A4700" s="2">
        <f>IFERROR(__xludf.DUMMYFUNCTION("""COMPUTED_VALUE"""),120587.0)</f>
        <v>120587</v>
      </c>
      <c r="B4700" s="2">
        <f>IFERROR(__xludf.DUMMYFUNCTION("""COMPUTED_VALUE"""),1.0)</f>
        <v>1</v>
      </c>
      <c r="C4700" s="2">
        <f>IFERROR(__xludf.DUMMYFUNCTION("""COMPUTED_VALUE"""),881.0)</f>
        <v>881</v>
      </c>
      <c r="D4700" s="3">
        <f>IFERROR(__xludf.DUMMYFUNCTION("""COMPUTED_VALUE"""),816.0)</f>
        <v>816</v>
      </c>
      <c r="E4700" s="1" t="str">
        <f t="array" ref="E4700">_xlfn.XLOOKUP(A4700,Product!A:A,Product!B:B,"Bulunamadı")</f>
        <v>Law</v>
      </c>
      <c r="F4700" s="1" t="str">
        <f t="array" ref="F4700">_xlfn.XLOOKUP(A4700,Product!A:A,Product!C:C,"Bulunamadı")</f>
        <v>Portfolio Management</v>
      </c>
      <c r="G4700" s="2" t="str">
        <f t="array" ref="G4700">_xlfn.XLOOKUP(A4701,Product!A:A,Product!D:D,"Bulunamadı")</f>
        <v>Northway House</v>
      </c>
      <c r="H4700" s="2">
        <f t="array" ref="H4700">_xlfn.XLOOKUP(A4702,Product!A:A,Product!E:E,"Bulunamadı")</f>
        <v>1.94</v>
      </c>
      <c r="I4700" s="2" t="str">
        <f t="shared" si="1"/>
        <v>120587 - Law - Portfolio Management</v>
      </c>
      <c r="J4700" s="2">
        <f t="shared" si="2"/>
        <v>1583.04</v>
      </c>
      <c r="K4700" s="17">
        <f t="shared" si="3"/>
        <v>1</v>
      </c>
      <c r="L4700" s="18"/>
    </row>
    <row r="4701" hidden="1">
      <c r="A4701" s="2">
        <f>IFERROR(__xludf.DUMMYFUNCTION("""COMPUTED_VALUE"""),80952.0)</f>
        <v>80952</v>
      </c>
      <c r="B4701" s="2">
        <f>IFERROR(__xludf.DUMMYFUNCTION("""COMPUTED_VALUE"""),0.0)</f>
        <v>0</v>
      </c>
      <c r="C4701" s="2">
        <f>IFERROR(__xludf.DUMMYFUNCTION("""COMPUTED_VALUE"""),705.0)</f>
        <v>705</v>
      </c>
      <c r="D4701" s="3">
        <f>IFERROR(__xludf.DUMMYFUNCTION("""COMPUTED_VALUE"""),180.0)</f>
        <v>180</v>
      </c>
      <c r="E4701" s="1" t="str">
        <f t="array" ref="E4701">_xlfn.XLOOKUP(A4701,Product!A:A,Product!B:B,"Bulunamadı")</f>
        <v>Law</v>
      </c>
      <c r="F4701" s="1" t="str">
        <f t="array" ref="F4701">_xlfn.XLOOKUP(A4701,Product!A:A,Product!C:C,"Bulunamadı")</f>
        <v>Portfolio Management</v>
      </c>
      <c r="G4701" s="2" t="str">
        <f t="array" ref="G4701">_xlfn.XLOOKUP(A4702,Product!A:A,Product!D:D,"Bulunamadı")</f>
        <v>Northway House</v>
      </c>
      <c r="H4701" s="2">
        <f t="array" ref="H4701">_xlfn.XLOOKUP(A4703,Product!A:A,Product!E:E,"Bulunamadı")</f>
        <v>4.66</v>
      </c>
      <c r="I4701" s="2" t="str">
        <f t="shared" si="1"/>
        <v>80952 - Law - Portfolio Management</v>
      </c>
      <c r="J4701" s="2">
        <f t="shared" si="2"/>
        <v>838.8</v>
      </c>
      <c r="K4701" s="17">
        <f t="shared" si="3"/>
        <v>1</v>
      </c>
      <c r="L4701" s="18"/>
    </row>
    <row r="4702" hidden="1">
      <c r="A4702" s="2">
        <f>IFERROR(__xludf.DUMMYFUNCTION("""COMPUTED_VALUE"""),120575.0)</f>
        <v>120575</v>
      </c>
      <c r="B4702" s="2">
        <f>IFERROR(__xludf.DUMMYFUNCTION("""COMPUTED_VALUE"""),0.0)</f>
        <v>0</v>
      </c>
      <c r="C4702" s="2">
        <f>IFERROR(__xludf.DUMMYFUNCTION("""COMPUTED_VALUE"""),422.0)</f>
        <v>422</v>
      </c>
      <c r="D4702" s="3">
        <f>IFERROR(__xludf.DUMMYFUNCTION("""COMPUTED_VALUE"""),279.0)</f>
        <v>279</v>
      </c>
      <c r="E4702" s="1" t="str">
        <f t="array" ref="E4702">_xlfn.XLOOKUP(A4702,Product!A:A,Product!B:B,"Bulunamadı")</f>
        <v>Law</v>
      </c>
      <c r="F4702" s="1" t="str">
        <f t="array" ref="F4702">_xlfn.XLOOKUP(A4702,Product!A:A,Product!C:C,"Bulunamadı")</f>
        <v>Portfolio Management</v>
      </c>
      <c r="G4702" s="2" t="str">
        <f t="array" ref="G4702">_xlfn.XLOOKUP(A4703,Product!A:A,Product!D:D,"Bulunamadı")</f>
        <v>Northway House</v>
      </c>
      <c r="H4702" s="2">
        <f t="array" ref="H4702">_xlfn.XLOOKUP(A4704,Product!A:A,Product!E:E,"Bulunamadı")</f>
        <v>1.41</v>
      </c>
      <c r="I4702" s="2" t="str">
        <f t="shared" si="1"/>
        <v>120575 - Law - Portfolio Management</v>
      </c>
      <c r="J4702" s="2">
        <f t="shared" si="2"/>
        <v>393.39</v>
      </c>
      <c r="K4702" s="17">
        <f t="shared" si="3"/>
        <v>1</v>
      </c>
      <c r="L4702" s="18"/>
    </row>
    <row r="4703" hidden="1">
      <c r="A4703" s="2">
        <f>IFERROR(__xludf.DUMMYFUNCTION("""COMPUTED_VALUE"""),43244.0)</f>
        <v>43244</v>
      </c>
      <c r="B4703" s="2">
        <f>IFERROR(__xludf.DUMMYFUNCTION("""COMPUTED_VALUE"""),1.0)</f>
        <v>1</v>
      </c>
      <c r="C4703" s="2">
        <f>IFERROR(__xludf.DUMMYFUNCTION("""COMPUTED_VALUE"""),771.0)</f>
        <v>771</v>
      </c>
      <c r="D4703" s="3">
        <f>IFERROR(__xludf.DUMMYFUNCTION("""COMPUTED_VALUE"""),532.0)</f>
        <v>532</v>
      </c>
      <c r="E4703" s="1" t="str">
        <f t="array" ref="E4703">_xlfn.XLOOKUP(A4703,Product!A:A,Product!B:B,"Bulunamadı")</f>
        <v>Law</v>
      </c>
      <c r="F4703" s="1" t="str">
        <f t="array" ref="F4703">_xlfn.XLOOKUP(A4703,Product!A:A,Product!C:C,"Bulunamadı")</f>
        <v>Portfolio Management</v>
      </c>
      <c r="G4703" s="2" t="str">
        <f t="array" ref="G4703">_xlfn.XLOOKUP(A4704,Product!A:A,Product!D:D,"Bulunamadı")</f>
        <v>Northway House</v>
      </c>
      <c r="H4703" s="2">
        <f t="array" ref="H4703">_xlfn.XLOOKUP(A4705,Product!A:A,Product!E:E,"Bulunamadı")</f>
        <v>1.95</v>
      </c>
      <c r="I4703" s="2" t="str">
        <f t="shared" si="1"/>
        <v>43244 - Law - Portfolio Management</v>
      </c>
      <c r="J4703" s="2">
        <f t="shared" si="2"/>
        <v>1037.4</v>
      </c>
      <c r="K4703" s="17">
        <f t="shared" si="3"/>
        <v>1</v>
      </c>
      <c r="L4703" s="18"/>
    </row>
    <row r="4704" hidden="1">
      <c r="A4704" s="2">
        <f>IFERROR(__xludf.DUMMYFUNCTION("""COMPUTED_VALUE"""),116477.0)</f>
        <v>116477</v>
      </c>
      <c r="B4704" s="2">
        <f>IFERROR(__xludf.DUMMYFUNCTION("""COMPUTED_VALUE"""),1.0)</f>
        <v>1</v>
      </c>
      <c r="C4704" s="2">
        <f>IFERROR(__xludf.DUMMYFUNCTION("""COMPUTED_VALUE"""),218.0)</f>
        <v>218</v>
      </c>
      <c r="D4704" s="3">
        <f>IFERROR(__xludf.DUMMYFUNCTION("""COMPUTED_VALUE"""),162.0)</f>
        <v>162</v>
      </c>
      <c r="E4704" s="1" t="str">
        <f t="array" ref="E4704">_xlfn.XLOOKUP(A4704,Product!A:A,Product!B:B,"Bulunamadı")</f>
        <v>Law</v>
      </c>
      <c r="F4704" s="1" t="str">
        <f t="array" ref="F4704">_xlfn.XLOOKUP(A4704,Product!A:A,Product!C:C,"Bulunamadı")</f>
        <v>Portfolio Management</v>
      </c>
      <c r="G4704" s="2" t="str">
        <f t="array" ref="G4704">_xlfn.XLOOKUP(A4705,Product!A:A,Product!D:D,"Bulunamadı")</f>
        <v>Northway House</v>
      </c>
      <c r="H4704" s="2">
        <f t="array" ref="H4704">_xlfn.XLOOKUP(A4706,Product!A:A,Product!E:E,"Bulunamadı")</f>
        <v>1.79</v>
      </c>
      <c r="I4704" s="2" t="str">
        <f t="shared" si="1"/>
        <v>116477 - Law - Portfolio Management</v>
      </c>
      <c r="J4704" s="2">
        <f t="shared" si="2"/>
        <v>289.98</v>
      </c>
      <c r="K4704" s="17">
        <f t="shared" si="3"/>
        <v>1</v>
      </c>
      <c r="L4704" s="18"/>
    </row>
    <row r="4705" hidden="1">
      <c r="A4705" s="2">
        <f>IFERROR(__xludf.DUMMYFUNCTION("""COMPUTED_VALUE"""),110480.0)</f>
        <v>110480</v>
      </c>
      <c r="B4705" s="2">
        <f>IFERROR(__xludf.DUMMYFUNCTION("""COMPUTED_VALUE"""),0.0)</f>
        <v>0</v>
      </c>
      <c r="C4705" s="2">
        <f>IFERROR(__xludf.DUMMYFUNCTION("""COMPUTED_VALUE"""),537.0)</f>
        <v>537</v>
      </c>
      <c r="D4705" s="3">
        <f>IFERROR(__xludf.DUMMYFUNCTION("""COMPUTED_VALUE"""),412.0)</f>
        <v>412</v>
      </c>
      <c r="E4705" s="1" t="str">
        <f t="array" ref="E4705">_xlfn.XLOOKUP(A4705,Product!A:A,Product!B:B,"Bulunamadı")</f>
        <v>Law</v>
      </c>
      <c r="F4705" s="1" t="str">
        <f t="array" ref="F4705">_xlfn.XLOOKUP(A4705,Product!A:A,Product!C:C,"Bulunamadı")</f>
        <v>Portfolio Management</v>
      </c>
      <c r="G4705" s="2" t="str">
        <f t="array" ref="G4705">_xlfn.XLOOKUP(A4706,Product!A:A,Product!D:D,"Bulunamadı")</f>
        <v>Northway House</v>
      </c>
      <c r="H4705" s="2">
        <f t="array" ref="H4705">_xlfn.XLOOKUP(A4707,Product!A:A,Product!E:E,"Bulunamadı")</f>
        <v>1.27</v>
      </c>
      <c r="I4705" s="2" t="str">
        <f t="shared" si="1"/>
        <v>110480 - Law - Portfolio Management</v>
      </c>
      <c r="J4705" s="2">
        <f t="shared" si="2"/>
        <v>523.24</v>
      </c>
      <c r="K4705" s="17">
        <f t="shared" si="3"/>
        <v>1</v>
      </c>
      <c r="L4705" s="18"/>
    </row>
    <row r="4706" hidden="1">
      <c r="A4706" s="2">
        <f>IFERROR(__xludf.DUMMYFUNCTION("""COMPUTED_VALUE"""),87548.0)</f>
        <v>87548</v>
      </c>
      <c r="B4706" s="2">
        <f>IFERROR(__xludf.DUMMYFUNCTION("""COMPUTED_VALUE"""),1.0)</f>
        <v>1</v>
      </c>
      <c r="C4706" s="2">
        <f>IFERROR(__xludf.DUMMYFUNCTION("""COMPUTED_VALUE"""),831.0)</f>
        <v>831</v>
      </c>
      <c r="D4706" s="3">
        <f>IFERROR(__xludf.DUMMYFUNCTION("""COMPUTED_VALUE"""),382.0)</f>
        <v>382</v>
      </c>
      <c r="E4706" s="1" t="str">
        <f t="array" ref="E4706">_xlfn.XLOOKUP(A4706,Product!A:A,Product!B:B,"Bulunamadı")</f>
        <v>Law</v>
      </c>
      <c r="F4706" s="1" t="str">
        <f t="array" ref="F4706">_xlfn.XLOOKUP(A4706,Product!A:A,Product!C:C,"Bulunamadı")</f>
        <v>Portfolio Management</v>
      </c>
      <c r="G4706" s="2" t="str">
        <f t="array" ref="G4706">_xlfn.XLOOKUP(A4707,Product!A:A,Product!D:D,"Bulunamadı")</f>
        <v>Northway House</v>
      </c>
      <c r="H4706" s="2">
        <f t="array" ref="H4706">_xlfn.XLOOKUP(A4708,Product!A:A,Product!E:E,"Bulunamadı")</f>
        <v>2.01</v>
      </c>
      <c r="I4706" s="2" t="str">
        <f t="shared" si="1"/>
        <v>87548 - Law - Portfolio Management</v>
      </c>
      <c r="J4706" s="2">
        <f t="shared" si="2"/>
        <v>767.82</v>
      </c>
      <c r="K4706" s="17">
        <f t="shared" si="3"/>
        <v>1</v>
      </c>
      <c r="L4706" s="18"/>
    </row>
    <row r="4707" hidden="1">
      <c r="A4707" s="2">
        <f>IFERROR(__xludf.DUMMYFUNCTION("""COMPUTED_VALUE"""),77223.0)</f>
        <v>77223</v>
      </c>
      <c r="B4707" s="2">
        <f>IFERROR(__xludf.DUMMYFUNCTION("""COMPUTED_VALUE"""),1.0)</f>
        <v>1</v>
      </c>
      <c r="C4707" s="2">
        <f>IFERROR(__xludf.DUMMYFUNCTION("""COMPUTED_VALUE"""),956.0)</f>
        <v>956</v>
      </c>
      <c r="D4707" s="3">
        <f>IFERROR(__xludf.DUMMYFUNCTION("""COMPUTED_VALUE"""),493.0)</f>
        <v>493</v>
      </c>
      <c r="E4707" s="1" t="str">
        <f t="array" ref="E4707">_xlfn.XLOOKUP(A4707,Product!A:A,Product!B:B,"Bulunamadı")</f>
        <v>Law</v>
      </c>
      <c r="F4707" s="1" t="str">
        <f t="array" ref="F4707">_xlfn.XLOOKUP(A4707,Product!A:A,Product!C:C,"Bulunamadı")</f>
        <v>Portfolio Management</v>
      </c>
      <c r="G4707" s="2" t="str">
        <f t="array" ref="G4707">_xlfn.XLOOKUP(A4708,Product!A:A,Product!D:D,"Bulunamadı")</f>
        <v>Northway House</v>
      </c>
      <c r="H4707" s="2">
        <f t="array" ref="H4707">_xlfn.XLOOKUP(A4709,Product!A:A,Product!E:E,"Bulunamadı")</f>
        <v>2.09</v>
      </c>
      <c r="I4707" s="2" t="str">
        <f t="shared" si="1"/>
        <v>77223 - Law - Portfolio Management</v>
      </c>
      <c r="J4707" s="2">
        <f t="shared" si="2"/>
        <v>1030.37</v>
      </c>
      <c r="K4707" s="17">
        <f t="shared" si="3"/>
        <v>1</v>
      </c>
      <c r="L4707" s="18"/>
    </row>
    <row r="4708" hidden="1">
      <c r="A4708" s="2">
        <f>IFERROR(__xludf.DUMMYFUNCTION("""COMPUTED_VALUE"""),43241.0)</f>
        <v>43241</v>
      </c>
      <c r="B4708" s="2">
        <f>IFERROR(__xludf.DUMMYFUNCTION("""COMPUTED_VALUE"""),1.0)</f>
        <v>1</v>
      </c>
      <c r="C4708" s="2">
        <f>IFERROR(__xludf.DUMMYFUNCTION("""COMPUTED_VALUE"""),208.0)</f>
        <v>208</v>
      </c>
      <c r="D4708" s="3">
        <f>IFERROR(__xludf.DUMMYFUNCTION("""COMPUTED_VALUE"""),74.0)</f>
        <v>74</v>
      </c>
      <c r="E4708" s="1" t="str">
        <f t="array" ref="E4708">_xlfn.XLOOKUP(A4708,Product!A:A,Product!B:B,"Bulunamadı")</f>
        <v>Law</v>
      </c>
      <c r="F4708" s="1" t="str">
        <f t="array" ref="F4708">_xlfn.XLOOKUP(A4708,Product!A:A,Product!C:C,"Bulunamadı")</f>
        <v>Portfolio Management</v>
      </c>
      <c r="G4708" s="2" t="str">
        <f t="array" ref="G4708">_xlfn.XLOOKUP(A4709,Product!A:A,Product!D:D,"Bulunamadı")</f>
        <v>Northway House</v>
      </c>
      <c r="H4708" s="2">
        <f t="array" ref="H4708">_xlfn.XLOOKUP(A4710,Product!A:A,Product!E:E,"Bulunamadı")</f>
        <v>1.87</v>
      </c>
      <c r="I4708" s="2" t="str">
        <f t="shared" si="1"/>
        <v>43241 - Law - Portfolio Management</v>
      </c>
      <c r="J4708" s="2">
        <f t="shared" si="2"/>
        <v>138.38</v>
      </c>
      <c r="K4708" s="17">
        <f t="shared" si="3"/>
        <v>1</v>
      </c>
      <c r="L4708" s="18"/>
    </row>
    <row r="4709" hidden="1">
      <c r="A4709" s="2">
        <f>IFERROR(__xludf.DUMMYFUNCTION("""COMPUTED_VALUE"""),71161.0)</f>
        <v>71161</v>
      </c>
      <c r="B4709" s="2">
        <f>IFERROR(__xludf.DUMMYFUNCTION("""COMPUTED_VALUE"""),1.0)</f>
        <v>1</v>
      </c>
      <c r="C4709" s="2">
        <f>IFERROR(__xludf.DUMMYFUNCTION("""COMPUTED_VALUE"""),661.0)</f>
        <v>661</v>
      </c>
      <c r="D4709" s="3">
        <f>IFERROR(__xludf.DUMMYFUNCTION("""COMPUTED_VALUE"""),253.0)</f>
        <v>253</v>
      </c>
      <c r="E4709" s="1" t="str">
        <f t="array" ref="E4709">_xlfn.XLOOKUP(A4709,Product!A:A,Product!B:B,"Bulunamadı")</f>
        <v>Law</v>
      </c>
      <c r="F4709" s="1" t="str">
        <f t="array" ref="F4709">_xlfn.XLOOKUP(A4709,Product!A:A,Product!C:C,"Bulunamadı")</f>
        <v>Portfolio Management</v>
      </c>
      <c r="G4709" s="2" t="str">
        <f t="array" ref="G4709">_xlfn.XLOOKUP(A4710,Product!A:A,Product!D:D,"Bulunamadı")</f>
        <v>Northway House</v>
      </c>
      <c r="H4709" s="2">
        <f t="array" ref="H4709">_xlfn.XLOOKUP(A4711,Product!A:A,Product!E:E,"Bulunamadı")</f>
        <v>2.12</v>
      </c>
      <c r="I4709" s="2" t="str">
        <f t="shared" si="1"/>
        <v>71161 - Law - Portfolio Management</v>
      </c>
      <c r="J4709" s="2">
        <f t="shared" si="2"/>
        <v>536.36</v>
      </c>
      <c r="K4709" s="17">
        <f t="shared" si="3"/>
        <v>1</v>
      </c>
      <c r="L4709" s="18"/>
    </row>
    <row r="4710" hidden="1">
      <c r="A4710" s="2">
        <f>IFERROR(__xludf.DUMMYFUNCTION("""COMPUTED_VALUE"""),77224.0)</f>
        <v>77224</v>
      </c>
      <c r="B4710" s="2">
        <f>IFERROR(__xludf.DUMMYFUNCTION("""COMPUTED_VALUE"""),0.0)</f>
        <v>0</v>
      </c>
      <c r="C4710" s="2">
        <f>IFERROR(__xludf.DUMMYFUNCTION("""COMPUTED_VALUE"""),698.0)</f>
        <v>698</v>
      </c>
      <c r="D4710" s="3">
        <f>IFERROR(__xludf.DUMMYFUNCTION("""COMPUTED_VALUE"""),73.0)</f>
        <v>73</v>
      </c>
      <c r="E4710" s="1" t="str">
        <f t="array" ref="E4710">_xlfn.XLOOKUP(A4710,Product!A:A,Product!B:B,"Bulunamadı")</f>
        <v>Law</v>
      </c>
      <c r="F4710" s="1" t="str">
        <f t="array" ref="F4710">_xlfn.XLOOKUP(A4710,Product!A:A,Product!C:C,"Bulunamadı")</f>
        <v>Portfolio Management</v>
      </c>
      <c r="G4710" s="2" t="str">
        <f t="array" ref="G4710">_xlfn.XLOOKUP(A4711,Product!A:A,Product!D:D,"Bulunamadı")</f>
        <v>Northway House</v>
      </c>
      <c r="H4710" s="2">
        <f t="array" ref="H4710">_xlfn.XLOOKUP(A4712,Product!A:A,Product!E:E,"Bulunamadı")</f>
        <v>2.4</v>
      </c>
      <c r="I4710" s="2" t="str">
        <f t="shared" si="1"/>
        <v>77224 - Law - Portfolio Management</v>
      </c>
      <c r="J4710" s="2">
        <f t="shared" si="2"/>
        <v>175.2</v>
      </c>
      <c r="K4710" s="17">
        <f t="shared" si="3"/>
        <v>1</v>
      </c>
      <c r="L4710" s="18"/>
    </row>
    <row r="4711" hidden="1">
      <c r="A4711" s="2">
        <f>IFERROR(__xludf.DUMMYFUNCTION("""COMPUTED_VALUE"""),113992.0)</f>
        <v>113992</v>
      </c>
      <c r="B4711" s="2">
        <f>IFERROR(__xludf.DUMMYFUNCTION("""COMPUTED_VALUE"""),0.0)</f>
        <v>0</v>
      </c>
      <c r="C4711" s="2">
        <f>IFERROR(__xludf.DUMMYFUNCTION("""COMPUTED_VALUE"""),186.0)</f>
        <v>186</v>
      </c>
      <c r="D4711" s="3">
        <f>IFERROR(__xludf.DUMMYFUNCTION("""COMPUTED_VALUE"""),96.0)</f>
        <v>96</v>
      </c>
      <c r="E4711" s="1" t="str">
        <f t="array" ref="E4711">_xlfn.XLOOKUP(A4711,Product!A:A,Product!B:B,"Bulunamadı")</f>
        <v>Law</v>
      </c>
      <c r="F4711" s="1" t="str">
        <f t="array" ref="F4711">_xlfn.XLOOKUP(A4711,Product!A:A,Product!C:C,"Bulunamadı")</f>
        <v>Portfolio Management</v>
      </c>
      <c r="G4711" s="2" t="str">
        <f t="array" ref="G4711">_xlfn.XLOOKUP(A4712,Product!A:A,Product!D:D,"Bulunamadı")</f>
        <v>Northway House</v>
      </c>
      <c r="H4711" s="2">
        <f t="array" ref="H4711">_xlfn.XLOOKUP(A4713,Product!A:A,Product!E:E,"Bulunamadı")</f>
        <v>1.71</v>
      </c>
      <c r="I4711" s="2" t="str">
        <f t="shared" si="1"/>
        <v>113992 - Law - Portfolio Management</v>
      </c>
      <c r="J4711" s="2">
        <f t="shared" si="2"/>
        <v>164.16</v>
      </c>
      <c r="K4711" s="17">
        <f t="shared" si="3"/>
        <v>1</v>
      </c>
      <c r="L4711" s="18"/>
    </row>
    <row r="4712" hidden="1">
      <c r="A4712" s="2">
        <f>IFERROR(__xludf.DUMMYFUNCTION("""COMPUTED_VALUE"""),112611.0)</f>
        <v>112611</v>
      </c>
      <c r="B4712" s="2">
        <f>IFERROR(__xludf.DUMMYFUNCTION("""COMPUTED_VALUE"""),1.0)</f>
        <v>1</v>
      </c>
      <c r="C4712" s="2">
        <f>IFERROR(__xludf.DUMMYFUNCTION("""COMPUTED_VALUE"""),345.0)</f>
        <v>345</v>
      </c>
      <c r="D4712" s="3">
        <f>IFERROR(__xludf.DUMMYFUNCTION("""COMPUTED_VALUE"""),99.0)</f>
        <v>99</v>
      </c>
      <c r="E4712" s="1" t="str">
        <f t="array" ref="E4712">_xlfn.XLOOKUP(A4712,Product!A:A,Product!B:B,"Bulunamadı")</f>
        <v>Law</v>
      </c>
      <c r="F4712" s="1" t="str">
        <f t="array" ref="F4712">_xlfn.XLOOKUP(A4712,Product!A:A,Product!C:C,"Bulunamadı")</f>
        <v>Portfolio Management</v>
      </c>
      <c r="G4712" s="2" t="str">
        <f t="array" ref="G4712">_xlfn.XLOOKUP(A4713,Product!A:A,Product!D:D,"Bulunamadı")</f>
        <v>Northway House</v>
      </c>
      <c r="H4712" s="2">
        <f t="array" ref="H4712">_xlfn.XLOOKUP(A4714,Product!A:A,Product!E:E,"Bulunamadı")</f>
        <v>3.85</v>
      </c>
      <c r="I4712" s="2" t="str">
        <f t="shared" si="1"/>
        <v>112611 - Law - Portfolio Management</v>
      </c>
      <c r="J4712" s="2">
        <f t="shared" si="2"/>
        <v>381.15</v>
      </c>
      <c r="K4712" s="17">
        <f t="shared" si="3"/>
        <v>1</v>
      </c>
      <c r="L4712" s="18"/>
    </row>
    <row r="4713" hidden="1">
      <c r="A4713" s="2">
        <f>IFERROR(__xludf.DUMMYFUNCTION("""COMPUTED_VALUE"""),116482.0)</f>
        <v>116482</v>
      </c>
      <c r="B4713" s="2">
        <f>IFERROR(__xludf.DUMMYFUNCTION("""COMPUTED_VALUE"""),0.0)</f>
        <v>0</v>
      </c>
      <c r="C4713" s="2">
        <f>IFERROR(__xludf.DUMMYFUNCTION("""COMPUTED_VALUE"""),539.0)</f>
        <v>539</v>
      </c>
      <c r="D4713" s="3">
        <f>IFERROR(__xludf.DUMMYFUNCTION("""COMPUTED_VALUE"""),146.0)</f>
        <v>146</v>
      </c>
      <c r="E4713" s="1" t="str">
        <f t="array" ref="E4713">_xlfn.XLOOKUP(A4713,Product!A:A,Product!B:B,"Bulunamadı")</f>
        <v>Law</v>
      </c>
      <c r="F4713" s="1" t="str">
        <f t="array" ref="F4713">_xlfn.XLOOKUP(A4713,Product!A:A,Product!C:C,"Bulunamadı")</f>
        <v>Portfolio Management</v>
      </c>
      <c r="G4713" s="2" t="str">
        <f t="array" ref="G4713">_xlfn.XLOOKUP(A4714,Product!A:A,Product!D:D,"Bulunamadı")</f>
        <v>Northway House</v>
      </c>
      <c r="H4713" s="2">
        <f t="array" ref="H4713">_xlfn.XLOOKUP(A4715,Product!A:A,Product!E:E,"Bulunamadı")</f>
        <v>2.55</v>
      </c>
      <c r="I4713" s="2" t="str">
        <f t="shared" si="1"/>
        <v>116482 - Law - Portfolio Management</v>
      </c>
      <c r="J4713" s="2">
        <f t="shared" si="2"/>
        <v>372.3</v>
      </c>
      <c r="K4713" s="17">
        <f t="shared" si="3"/>
        <v>1</v>
      </c>
      <c r="L4713" s="18"/>
    </row>
    <row r="4714" hidden="1">
      <c r="A4714" s="2">
        <f>IFERROR(__xludf.DUMMYFUNCTION("""COMPUTED_VALUE"""),77246.0)</f>
        <v>77246</v>
      </c>
      <c r="B4714" s="2">
        <f>IFERROR(__xludf.DUMMYFUNCTION("""COMPUTED_VALUE"""),1.0)</f>
        <v>1</v>
      </c>
      <c r="C4714" s="2">
        <f>IFERROR(__xludf.DUMMYFUNCTION("""COMPUTED_VALUE"""),153.0)</f>
        <v>153</v>
      </c>
      <c r="D4714" s="3">
        <f>IFERROR(__xludf.DUMMYFUNCTION("""COMPUTED_VALUE"""),68.0)</f>
        <v>68</v>
      </c>
      <c r="E4714" s="1" t="str">
        <f t="array" ref="E4714">_xlfn.XLOOKUP(A4714,Product!A:A,Product!B:B,"Bulunamadı")</f>
        <v>Law</v>
      </c>
      <c r="F4714" s="1" t="str">
        <f t="array" ref="F4714">_xlfn.XLOOKUP(A4714,Product!A:A,Product!C:C,"Bulunamadı")</f>
        <v>Portfolio Management</v>
      </c>
      <c r="G4714" s="2" t="str">
        <f t="array" ref="G4714">_xlfn.XLOOKUP(A4715,Product!A:A,Product!D:D,"Bulunamadı")</f>
        <v>Northway House</v>
      </c>
      <c r="H4714" s="2">
        <f t="array" ref="H4714">_xlfn.XLOOKUP(A4716,Product!A:A,Product!E:E,"Bulunamadı")</f>
        <v>2.39</v>
      </c>
      <c r="I4714" s="2" t="str">
        <f t="shared" si="1"/>
        <v>77246 - Law - Portfolio Management</v>
      </c>
      <c r="J4714" s="2">
        <f t="shared" si="2"/>
        <v>162.52</v>
      </c>
      <c r="K4714" s="17">
        <f t="shared" si="3"/>
        <v>1</v>
      </c>
      <c r="L4714" s="18"/>
    </row>
    <row r="4715" hidden="1">
      <c r="A4715" s="2">
        <f>IFERROR(__xludf.DUMMYFUNCTION("""COMPUTED_VALUE"""),122798.0)</f>
        <v>122798</v>
      </c>
      <c r="B4715" s="2">
        <f>IFERROR(__xludf.DUMMYFUNCTION("""COMPUTED_VALUE"""),1.0)</f>
        <v>1</v>
      </c>
      <c r="C4715" s="2">
        <f>IFERROR(__xludf.DUMMYFUNCTION("""COMPUTED_VALUE"""),301.0)</f>
        <v>301</v>
      </c>
      <c r="D4715" s="3">
        <f>IFERROR(__xludf.DUMMYFUNCTION("""COMPUTED_VALUE"""),67.0)</f>
        <v>67</v>
      </c>
      <c r="E4715" s="1" t="str">
        <f t="array" ref="E4715">_xlfn.XLOOKUP(A4715,Product!A:A,Product!B:B,"Bulunamadı")</f>
        <v>Law</v>
      </c>
      <c r="F4715" s="1" t="str">
        <f t="array" ref="F4715">_xlfn.XLOOKUP(A4715,Product!A:A,Product!C:C,"Bulunamadı")</f>
        <v>Portfolio Management</v>
      </c>
      <c r="G4715" s="2" t="str">
        <f t="array" ref="G4715">_xlfn.XLOOKUP(A4716,Product!A:A,Product!D:D,"Bulunamadı")</f>
        <v>Northway House</v>
      </c>
      <c r="H4715" s="2">
        <f t="array" ref="H4715">_xlfn.XLOOKUP(A4717,Product!A:A,Product!E:E,"Bulunamadı")</f>
        <v>2.5</v>
      </c>
      <c r="I4715" s="2" t="str">
        <f t="shared" si="1"/>
        <v>122798 - Law - Portfolio Management</v>
      </c>
      <c r="J4715" s="2">
        <f t="shared" si="2"/>
        <v>167.5</v>
      </c>
      <c r="K4715" s="17">
        <f t="shared" si="3"/>
        <v>1</v>
      </c>
      <c r="L4715" s="18"/>
    </row>
    <row r="4716" hidden="1">
      <c r="A4716" s="2">
        <f>IFERROR(__xludf.DUMMYFUNCTION("""COMPUTED_VALUE"""),120590.0)</f>
        <v>120590</v>
      </c>
      <c r="B4716" s="2">
        <f>IFERROR(__xludf.DUMMYFUNCTION("""COMPUTED_VALUE"""),0.0)</f>
        <v>0</v>
      </c>
      <c r="C4716" s="2">
        <f>IFERROR(__xludf.DUMMYFUNCTION("""COMPUTED_VALUE"""),172.0)</f>
        <v>172</v>
      </c>
      <c r="D4716" s="3">
        <f>IFERROR(__xludf.DUMMYFUNCTION("""COMPUTED_VALUE"""),74.0)</f>
        <v>74</v>
      </c>
      <c r="E4716" s="1" t="str">
        <f t="array" ref="E4716">_xlfn.XLOOKUP(A4716,Product!A:A,Product!B:B,"Bulunamadı")</f>
        <v>Law</v>
      </c>
      <c r="F4716" s="1" t="str">
        <f t="array" ref="F4716">_xlfn.XLOOKUP(A4716,Product!A:A,Product!C:C,"Bulunamadı")</f>
        <v>Portfolio Management</v>
      </c>
      <c r="G4716" s="2" t="str">
        <f t="array" ref="G4716">_xlfn.XLOOKUP(A4717,Product!A:A,Product!D:D,"Bulunamadı")</f>
        <v>Northway House</v>
      </c>
      <c r="H4716" s="2">
        <f t="array" ref="H4716">_xlfn.XLOOKUP(A4718,Product!A:A,Product!E:E,"Bulunamadı")</f>
        <v>1.39</v>
      </c>
      <c r="I4716" s="2" t="str">
        <f t="shared" si="1"/>
        <v>120590 - Law - Portfolio Management</v>
      </c>
      <c r="J4716" s="2">
        <f t="shared" si="2"/>
        <v>102.86</v>
      </c>
      <c r="K4716" s="17">
        <f t="shared" si="3"/>
        <v>1</v>
      </c>
      <c r="L4716" s="18"/>
    </row>
    <row r="4717" hidden="1">
      <c r="A4717" s="2">
        <f>IFERROR(__xludf.DUMMYFUNCTION("""COMPUTED_VALUE"""),71914.0)</f>
        <v>71914</v>
      </c>
      <c r="B4717" s="2">
        <f>IFERROR(__xludf.DUMMYFUNCTION("""COMPUTED_VALUE"""),0.0)</f>
        <v>0</v>
      </c>
      <c r="C4717" s="2">
        <f>IFERROR(__xludf.DUMMYFUNCTION("""COMPUTED_VALUE"""),955.0)</f>
        <v>955</v>
      </c>
      <c r="D4717" s="3">
        <f>IFERROR(__xludf.DUMMYFUNCTION("""COMPUTED_VALUE"""),722.0)</f>
        <v>722</v>
      </c>
      <c r="E4717" s="1" t="str">
        <f t="array" ref="E4717">_xlfn.XLOOKUP(A4717,Product!A:A,Product!B:B,"Bulunamadı")</f>
        <v>Law</v>
      </c>
      <c r="F4717" s="1" t="str">
        <f t="array" ref="F4717">_xlfn.XLOOKUP(A4717,Product!A:A,Product!C:C,"Bulunamadı")</f>
        <v>Portfolio Management</v>
      </c>
      <c r="G4717" s="2" t="str">
        <f t="array" ref="G4717">_xlfn.XLOOKUP(A4718,Product!A:A,Product!D:D,"Bulunamadı")</f>
        <v>Northway House</v>
      </c>
      <c r="H4717" s="2">
        <f t="array" ref="H4717">_xlfn.XLOOKUP(A4719,Product!A:A,Product!E:E,"Bulunamadı")</f>
        <v>3.14</v>
      </c>
      <c r="I4717" s="2" t="str">
        <f t="shared" si="1"/>
        <v>71914 - Law - Portfolio Management</v>
      </c>
      <c r="J4717" s="2">
        <f t="shared" si="2"/>
        <v>2267.08</v>
      </c>
      <c r="K4717" s="17">
        <f t="shared" si="3"/>
        <v>1</v>
      </c>
      <c r="L4717" s="18"/>
    </row>
    <row r="4718" hidden="1">
      <c r="A4718" s="2">
        <f>IFERROR(__xludf.DUMMYFUNCTION("""COMPUTED_VALUE"""),118206.0)</f>
        <v>118206</v>
      </c>
      <c r="B4718" s="2">
        <f>IFERROR(__xludf.DUMMYFUNCTION("""COMPUTED_VALUE"""),1.0)</f>
        <v>1</v>
      </c>
      <c r="C4718" s="2">
        <f>IFERROR(__xludf.DUMMYFUNCTION("""COMPUTED_VALUE"""),194.0)</f>
        <v>194</v>
      </c>
      <c r="D4718" s="3">
        <f>IFERROR(__xludf.DUMMYFUNCTION("""COMPUTED_VALUE"""),190.0)</f>
        <v>190</v>
      </c>
      <c r="E4718" s="1" t="str">
        <f t="array" ref="E4718">_xlfn.XLOOKUP(A4718,Product!A:A,Product!B:B,"Bulunamadı")</f>
        <v>Law</v>
      </c>
      <c r="F4718" s="1" t="str">
        <f t="array" ref="F4718">_xlfn.XLOOKUP(A4718,Product!A:A,Product!C:C,"Bulunamadı")</f>
        <v>Portfolio Management</v>
      </c>
      <c r="G4718" s="2" t="str">
        <f t="array" ref="G4718">_xlfn.XLOOKUP(A4719,Product!A:A,Product!D:D,"Bulunamadı")</f>
        <v>Northway House</v>
      </c>
      <c r="H4718" s="2">
        <f t="array" ref="H4718">_xlfn.XLOOKUP(A4720,Product!A:A,Product!E:E,"Bulunamadı")</f>
        <v>3.18</v>
      </c>
      <c r="I4718" s="2" t="str">
        <f t="shared" si="1"/>
        <v>118206 - Law - Portfolio Management</v>
      </c>
      <c r="J4718" s="2">
        <f t="shared" si="2"/>
        <v>604.2</v>
      </c>
      <c r="K4718" s="17">
        <f t="shared" si="3"/>
        <v>1</v>
      </c>
      <c r="L4718" s="18"/>
    </row>
    <row r="4719" hidden="1">
      <c r="A4719" s="2">
        <f>IFERROR(__xludf.DUMMYFUNCTION("""COMPUTED_VALUE"""),118179.0)</f>
        <v>118179</v>
      </c>
      <c r="B4719" s="2">
        <f>IFERROR(__xludf.DUMMYFUNCTION("""COMPUTED_VALUE"""),0.0)</f>
        <v>0</v>
      </c>
      <c r="C4719" s="2">
        <f>IFERROR(__xludf.DUMMYFUNCTION("""COMPUTED_VALUE"""),564.0)</f>
        <v>564</v>
      </c>
      <c r="D4719" s="3">
        <f>IFERROR(__xludf.DUMMYFUNCTION("""COMPUTED_VALUE"""),100.0)</f>
        <v>100</v>
      </c>
      <c r="E4719" s="1" t="str">
        <f t="array" ref="E4719">_xlfn.XLOOKUP(A4719,Product!A:A,Product!B:B,"Bulunamadı")</f>
        <v>Law</v>
      </c>
      <c r="F4719" s="1" t="str">
        <f t="array" ref="F4719">_xlfn.XLOOKUP(A4719,Product!A:A,Product!C:C,"Bulunamadı")</f>
        <v>Portfolio Management</v>
      </c>
      <c r="G4719" s="2" t="str">
        <f t="array" ref="G4719">_xlfn.XLOOKUP(A4720,Product!A:A,Product!D:D,"Bulunamadı")</f>
        <v>Northway House</v>
      </c>
      <c r="H4719" s="2">
        <f t="array" ref="H4719">_xlfn.XLOOKUP(A4721,Product!A:A,Product!E:E,"Bulunamadı")</f>
        <v>1.99</v>
      </c>
      <c r="I4719" s="2" t="str">
        <f t="shared" si="1"/>
        <v>118179 - Law - Portfolio Management</v>
      </c>
      <c r="J4719" s="2">
        <f t="shared" si="2"/>
        <v>199</v>
      </c>
      <c r="K4719" s="17">
        <f t="shared" si="3"/>
        <v>1</v>
      </c>
      <c r="L4719" s="18"/>
    </row>
    <row r="4720" hidden="1">
      <c r="A4720" s="2">
        <f>IFERROR(__xludf.DUMMYFUNCTION("""COMPUTED_VALUE"""),43247.0)</f>
        <v>43247</v>
      </c>
      <c r="B4720" s="2">
        <f>IFERROR(__xludf.DUMMYFUNCTION("""COMPUTED_VALUE"""),1.0)</f>
        <v>1</v>
      </c>
      <c r="C4720" s="2">
        <f>IFERROR(__xludf.DUMMYFUNCTION("""COMPUTED_VALUE"""),505.0)</f>
        <v>505</v>
      </c>
      <c r="D4720" s="3">
        <f>IFERROR(__xludf.DUMMYFUNCTION("""COMPUTED_VALUE"""),365.0)</f>
        <v>365</v>
      </c>
      <c r="E4720" s="1" t="str">
        <f t="array" ref="E4720">_xlfn.XLOOKUP(A4720,Product!A:A,Product!B:B,"Bulunamadı")</f>
        <v>Law</v>
      </c>
      <c r="F4720" s="1" t="str">
        <f t="array" ref="F4720">_xlfn.XLOOKUP(A4720,Product!A:A,Product!C:C,"Bulunamadı")</f>
        <v>Portfolio Management</v>
      </c>
      <c r="G4720" s="2" t="str">
        <f t="array" ref="G4720">_xlfn.XLOOKUP(A4721,Product!A:A,Product!D:D,"Bulunamadı")</f>
        <v>Northway House</v>
      </c>
      <c r="H4720" s="2">
        <f t="array" ref="H4720">_xlfn.XLOOKUP(A4722,Product!A:A,Product!E:E,"Bulunamadı")</f>
        <v>5.83</v>
      </c>
      <c r="I4720" s="2" t="str">
        <f t="shared" si="1"/>
        <v>43247 - Law - Portfolio Management</v>
      </c>
      <c r="J4720" s="2">
        <f t="shared" si="2"/>
        <v>2127.95</v>
      </c>
      <c r="K4720" s="17">
        <f t="shared" si="3"/>
        <v>1</v>
      </c>
      <c r="L4720" s="18"/>
    </row>
    <row r="4721" hidden="1">
      <c r="A4721" s="2">
        <f>IFERROR(__xludf.DUMMYFUNCTION("""COMPUTED_VALUE"""),71166.0)</f>
        <v>71166</v>
      </c>
      <c r="B4721" s="2">
        <f>IFERROR(__xludf.DUMMYFUNCTION("""COMPUTED_VALUE"""),1.0)</f>
        <v>1</v>
      </c>
      <c r="C4721" s="2">
        <f>IFERROR(__xludf.DUMMYFUNCTION("""COMPUTED_VALUE"""),636.0)</f>
        <v>636</v>
      </c>
      <c r="D4721" s="3">
        <f>IFERROR(__xludf.DUMMYFUNCTION("""COMPUTED_VALUE"""),180.0)</f>
        <v>180</v>
      </c>
      <c r="E4721" s="1" t="str">
        <f t="array" ref="E4721">_xlfn.XLOOKUP(A4721,Product!A:A,Product!B:B,"Bulunamadı")</f>
        <v>Law</v>
      </c>
      <c r="F4721" s="1" t="str">
        <f t="array" ref="F4721">_xlfn.XLOOKUP(A4721,Product!A:A,Product!C:C,"Bulunamadı")</f>
        <v>Portfolio Management</v>
      </c>
      <c r="G4721" s="2" t="str">
        <f t="array" ref="G4721">_xlfn.XLOOKUP(A4722,Product!A:A,Product!D:D,"Bulunamadı")</f>
        <v>Northway House</v>
      </c>
      <c r="H4721" s="2">
        <f t="array" ref="H4721">_xlfn.XLOOKUP(A4723,Product!A:A,Product!E:E,"Bulunamadı")</f>
        <v>2.88</v>
      </c>
      <c r="I4721" s="2" t="str">
        <f t="shared" si="1"/>
        <v>71166 - Law - Portfolio Management</v>
      </c>
      <c r="J4721" s="2">
        <f t="shared" si="2"/>
        <v>518.4</v>
      </c>
      <c r="K4721" s="17">
        <f t="shared" si="3"/>
        <v>1</v>
      </c>
      <c r="L4721" s="18"/>
    </row>
    <row r="4722" hidden="1">
      <c r="A4722" s="2">
        <f>IFERROR(__xludf.DUMMYFUNCTION("""COMPUTED_VALUE"""),43238.0)</f>
        <v>43238</v>
      </c>
      <c r="B4722" s="2">
        <f>IFERROR(__xludf.DUMMYFUNCTION("""COMPUTED_VALUE"""),1.0)</f>
        <v>1</v>
      </c>
      <c r="C4722" s="2">
        <f>IFERROR(__xludf.DUMMYFUNCTION("""COMPUTED_VALUE"""),524.0)</f>
        <v>524</v>
      </c>
      <c r="D4722" s="3">
        <f>IFERROR(__xludf.DUMMYFUNCTION("""COMPUTED_VALUE"""),282.0)</f>
        <v>282</v>
      </c>
      <c r="E4722" s="1" t="str">
        <f t="array" ref="E4722">_xlfn.XLOOKUP(A4722,Product!A:A,Product!B:B,"Bulunamadı")</f>
        <v>Law</v>
      </c>
      <c r="F4722" s="1" t="str">
        <f t="array" ref="F4722">_xlfn.XLOOKUP(A4722,Product!A:A,Product!C:C,"Bulunamadı")</f>
        <v>Portfolio Management</v>
      </c>
      <c r="G4722" s="2" t="str">
        <f t="array" ref="G4722">_xlfn.XLOOKUP(A4723,Product!A:A,Product!D:D,"Bulunamadı")</f>
        <v>Northway House</v>
      </c>
      <c r="H4722" s="2">
        <f t="array" ref="H4722">_xlfn.XLOOKUP(A4724,Product!A:A,Product!E:E,"Bulunamadı")</f>
        <v>1.98</v>
      </c>
      <c r="I4722" s="2" t="str">
        <f t="shared" si="1"/>
        <v>43238 - Law - Portfolio Management</v>
      </c>
      <c r="J4722" s="2">
        <f t="shared" si="2"/>
        <v>558.36</v>
      </c>
      <c r="K4722" s="17">
        <f t="shared" si="3"/>
        <v>1</v>
      </c>
      <c r="L4722" s="18"/>
    </row>
    <row r="4723" hidden="1">
      <c r="A4723" s="2">
        <f>IFERROR(__xludf.DUMMYFUNCTION("""COMPUTED_VALUE"""),114003.0)</f>
        <v>114003</v>
      </c>
      <c r="B4723" s="2">
        <f>IFERROR(__xludf.DUMMYFUNCTION("""COMPUTED_VALUE"""),0.0)</f>
        <v>0</v>
      </c>
      <c r="C4723" s="2">
        <f>IFERROR(__xludf.DUMMYFUNCTION("""COMPUTED_VALUE"""),516.0)</f>
        <v>516</v>
      </c>
      <c r="D4723" s="3">
        <f>IFERROR(__xludf.DUMMYFUNCTION("""COMPUTED_VALUE"""),307.0)</f>
        <v>307</v>
      </c>
      <c r="E4723" s="1" t="str">
        <f t="array" ref="E4723">_xlfn.XLOOKUP(A4723,Product!A:A,Product!B:B,"Bulunamadı")</f>
        <v>Law</v>
      </c>
      <c r="F4723" s="1" t="str">
        <f t="array" ref="F4723">_xlfn.XLOOKUP(A4723,Product!A:A,Product!C:C,"Bulunamadı")</f>
        <v>Portfolio Management</v>
      </c>
      <c r="G4723" s="2" t="str">
        <f t="array" ref="G4723">_xlfn.XLOOKUP(A4724,Product!A:A,Product!D:D,"Bulunamadı")</f>
        <v>Northway House</v>
      </c>
      <c r="H4723" s="2">
        <f t="array" ref="H4723">_xlfn.XLOOKUP(A4725,Product!A:A,Product!E:E,"Bulunamadı")</f>
        <v>1.32</v>
      </c>
      <c r="I4723" s="2" t="str">
        <f t="shared" si="1"/>
        <v>114003 - Law - Portfolio Management</v>
      </c>
      <c r="J4723" s="2">
        <f t="shared" si="2"/>
        <v>405.24</v>
      </c>
      <c r="K4723" s="17">
        <f t="shared" si="3"/>
        <v>1</v>
      </c>
      <c r="L4723" s="18"/>
    </row>
    <row r="4724" hidden="1">
      <c r="A4724" s="2">
        <f>IFERROR(__xludf.DUMMYFUNCTION("""COMPUTED_VALUE"""),87540.0)</f>
        <v>87540</v>
      </c>
      <c r="B4724" s="2">
        <f>IFERROR(__xludf.DUMMYFUNCTION("""COMPUTED_VALUE"""),1.0)</f>
        <v>1</v>
      </c>
      <c r="C4724" s="2">
        <f>IFERROR(__xludf.DUMMYFUNCTION("""COMPUTED_VALUE"""),46.0)</f>
        <v>46</v>
      </c>
      <c r="D4724" s="3">
        <f>IFERROR(__xludf.DUMMYFUNCTION("""COMPUTED_VALUE"""),7.0)</f>
        <v>7</v>
      </c>
      <c r="E4724" s="1" t="str">
        <f t="array" ref="E4724">_xlfn.XLOOKUP(A4724,Product!A:A,Product!B:B,"Bulunamadı")</f>
        <v>Law</v>
      </c>
      <c r="F4724" s="1" t="str">
        <f t="array" ref="F4724">_xlfn.XLOOKUP(A4724,Product!A:A,Product!C:C,"Bulunamadı")</f>
        <v>Portfolio Management</v>
      </c>
      <c r="G4724" s="2" t="str">
        <f t="array" ref="G4724">_xlfn.XLOOKUP(A4725,Product!A:A,Product!D:D,"Bulunamadı")</f>
        <v>Northway House</v>
      </c>
      <c r="H4724" s="2">
        <f t="array" ref="H4724">_xlfn.XLOOKUP(A4726,Product!A:A,Product!E:E,"Bulunamadı")</f>
        <v>2.55</v>
      </c>
      <c r="I4724" s="2" t="str">
        <f t="shared" si="1"/>
        <v>87540 - Law - Portfolio Management</v>
      </c>
      <c r="J4724" s="2">
        <f t="shared" si="2"/>
        <v>17.85</v>
      </c>
      <c r="K4724" s="17">
        <f t="shared" si="3"/>
        <v>1</v>
      </c>
      <c r="L4724" s="18"/>
    </row>
    <row r="4725" hidden="1">
      <c r="A4725" s="2">
        <f>IFERROR(__xludf.DUMMYFUNCTION("""COMPUTED_VALUE"""),77229.0)</f>
        <v>77229</v>
      </c>
      <c r="B4725" s="2">
        <f>IFERROR(__xludf.DUMMYFUNCTION("""COMPUTED_VALUE"""),1.0)</f>
        <v>1</v>
      </c>
      <c r="C4725" s="2">
        <f>IFERROR(__xludf.DUMMYFUNCTION("""COMPUTED_VALUE"""),732.0)</f>
        <v>732</v>
      </c>
      <c r="D4725" s="3">
        <f>IFERROR(__xludf.DUMMYFUNCTION("""COMPUTED_VALUE"""),358.0)</f>
        <v>358</v>
      </c>
      <c r="E4725" s="1" t="str">
        <f t="array" ref="E4725">_xlfn.XLOOKUP(A4725,Product!A:A,Product!B:B,"Bulunamadı")</f>
        <v>Law</v>
      </c>
      <c r="F4725" s="1" t="str">
        <f t="array" ref="F4725">_xlfn.XLOOKUP(A4725,Product!A:A,Product!C:C,"Bulunamadı")</f>
        <v>Portfolio Management</v>
      </c>
      <c r="G4725" s="2" t="str">
        <f t="array" ref="G4725">_xlfn.XLOOKUP(A4726,Product!A:A,Product!D:D,"Bulunamadı")</f>
        <v>Northway House</v>
      </c>
      <c r="H4725" s="2">
        <f t="array" ref="H4725">_xlfn.XLOOKUP(A4727,Product!A:A,Product!E:E,"Bulunamadı")</f>
        <v>1.81</v>
      </c>
      <c r="I4725" s="2" t="str">
        <f t="shared" si="1"/>
        <v>77229 - Law - Portfolio Management</v>
      </c>
      <c r="J4725" s="2">
        <f t="shared" si="2"/>
        <v>647.98</v>
      </c>
      <c r="K4725" s="17">
        <f t="shared" si="3"/>
        <v>1</v>
      </c>
      <c r="L4725" s="18"/>
    </row>
    <row r="4726" hidden="1">
      <c r="A4726" s="2">
        <f>IFERROR(__xludf.DUMMYFUNCTION("""COMPUTED_VALUE"""),113994.0)</f>
        <v>113994</v>
      </c>
      <c r="B4726" s="2">
        <f>IFERROR(__xludf.DUMMYFUNCTION("""COMPUTED_VALUE"""),1.0)</f>
        <v>1</v>
      </c>
      <c r="C4726" s="2">
        <f>IFERROR(__xludf.DUMMYFUNCTION("""COMPUTED_VALUE"""),372.0)</f>
        <v>372</v>
      </c>
      <c r="D4726" s="3">
        <f>IFERROR(__xludf.DUMMYFUNCTION("""COMPUTED_VALUE"""),269.0)</f>
        <v>269</v>
      </c>
      <c r="E4726" s="1" t="str">
        <f t="array" ref="E4726">_xlfn.XLOOKUP(A4726,Product!A:A,Product!B:B,"Bulunamadı")</f>
        <v>Law</v>
      </c>
      <c r="F4726" s="1" t="str">
        <f t="array" ref="F4726">_xlfn.XLOOKUP(A4726,Product!A:A,Product!C:C,"Bulunamadı")</f>
        <v>Portfolio Management</v>
      </c>
      <c r="G4726" s="2" t="str">
        <f t="array" ref="G4726">_xlfn.XLOOKUP(A4727,Product!A:A,Product!D:D,"Bulunamadı")</f>
        <v>Northway House</v>
      </c>
      <c r="H4726" s="2">
        <f t="array" ref="H4726">_xlfn.XLOOKUP(A4728,Product!A:A,Product!E:E,"Bulunamadı")</f>
        <v>2.75</v>
      </c>
      <c r="I4726" s="2" t="str">
        <f t="shared" si="1"/>
        <v>113994 - Law - Portfolio Management</v>
      </c>
      <c r="J4726" s="2">
        <f t="shared" si="2"/>
        <v>739.75</v>
      </c>
      <c r="K4726" s="17">
        <f t="shared" si="3"/>
        <v>1</v>
      </c>
      <c r="L4726" s="18"/>
    </row>
    <row r="4727" hidden="1">
      <c r="A4727" s="2">
        <f>IFERROR(__xludf.DUMMYFUNCTION("""COMPUTED_VALUE"""),106725.0)</f>
        <v>106725</v>
      </c>
      <c r="B4727" s="2">
        <f>IFERROR(__xludf.DUMMYFUNCTION("""COMPUTED_VALUE"""),1.0)</f>
        <v>1</v>
      </c>
      <c r="C4727" s="2">
        <f>IFERROR(__xludf.DUMMYFUNCTION("""COMPUTED_VALUE"""),182.0)</f>
        <v>182</v>
      </c>
      <c r="D4727" s="3">
        <f>IFERROR(__xludf.DUMMYFUNCTION("""COMPUTED_VALUE"""),112.0)</f>
        <v>112</v>
      </c>
      <c r="E4727" s="1" t="str">
        <f t="array" ref="E4727">_xlfn.XLOOKUP(A4727,Product!A:A,Product!B:B,"Bulunamadı")</f>
        <v>Law</v>
      </c>
      <c r="F4727" s="1" t="str">
        <f t="array" ref="F4727">_xlfn.XLOOKUP(A4727,Product!A:A,Product!C:C,"Bulunamadı")</f>
        <v>Portfolio Management</v>
      </c>
      <c r="G4727" s="2" t="str">
        <f t="array" ref="G4727">_xlfn.XLOOKUP(A4728,Product!A:A,Product!D:D,"Bulunamadı")</f>
        <v>Northway House</v>
      </c>
      <c r="H4727" s="2">
        <f t="array" ref="H4727">_xlfn.XLOOKUP(A4729,Product!A:A,Product!E:E,"Bulunamadı")</f>
        <v>2.3</v>
      </c>
      <c r="I4727" s="2" t="str">
        <f t="shared" si="1"/>
        <v>106725 - Law - Portfolio Management</v>
      </c>
      <c r="J4727" s="2">
        <f t="shared" si="2"/>
        <v>257.6</v>
      </c>
      <c r="K4727" s="17">
        <f t="shared" si="3"/>
        <v>1</v>
      </c>
      <c r="L4727" s="18"/>
    </row>
    <row r="4728" hidden="1">
      <c r="A4728" s="2">
        <f>IFERROR(__xludf.DUMMYFUNCTION("""COMPUTED_VALUE"""),43235.0)</f>
        <v>43235</v>
      </c>
      <c r="B4728" s="2">
        <f>IFERROR(__xludf.DUMMYFUNCTION("""COMPUTED_VALUE"""),0.0)</f>
        <v>0</v>
      </c>
      <c r="C4728" s="2">
        <f>IFERROR(__xludf.DUMMYFUNCTION("""COMPUTED_VALUE"""),611.0)</f>
        <v>611</v>
      </c>
      <c r="D4728" s="3">
        <f>IFERROR(__xludf.DUMMYFUNCTION("""COMPUTED_VALUE"""),536.0)</f>
        <v>536</v>
      </c>
      <c r="E4728" s="1" t="str">
        <f t="array" ref="E4728">_xlfn.XLOOKUP(A4728,Product!A:A,Product!B:B,"Bulunamadı")</f>
        <v>Law</v>
      </c>
      <c r="F4728" s="1" t="str">
        <f t="array" ref="F4728">_xlfn.XLOOKUP(A4728,Product!A:A,Product!C:C,"Bulunamadı")</f>
        <v>Portfolio Management</v>
      </c>
      <c r="G4728" s="2" t="str">
        <f t="array" ref="G4728">_xlfn.XLOOKUP(A4729,Product!A:A,Product!D:D,"Bulunamadı")</f>
        <v>Northway House</v>
      </c>
      <c r="H4728" s="2">
        <f t="array" ref="H4728">_xlfn.XLOOKUP(A4730,Product!A:A,Product!E:E,"Bulunamadı")</f>
        <v>1.68</v>
      </c>
      <c r="I4728" s="2" t="str">
        <f t="shared" si="1"/>
        <v>43235 - Law - Portfolio Management</v>
      </c>
      <c r="J4728" s="2">
        <f t="shared" si="2"/>
        <v>900.48</v>
      </c>
      <c r="K4728" s="17">
        <f t="shared" si="3"/>
        <v>1</v>
      </c>
      <c r="L4728" s="18"/>
    </row>
    <row r="4729" hidden="1">
      <c r="A4729" s="2">
        <f>IFERROR(__xludf.DUMMYFUNCTION("""COMPUTED_VALUE"""),118176.0)</f>
        <v>118176</v>
      </c>
      <c r="B4729" s="2">
        <f>IFERROR(__xludf.DUMMYFUNCTION("""COMPUTED_VALUE"""),0.0)</f>
        <v>0</v>
      </c>
      <c r="C4729" s="2">
        <f>IFERROR(__xludf.DUMMYFUNCTION("""COMPUTED_VALUE"""),567.0)</f>
        <v>567</v>
      </c>
      <c r="D4729" s="3">
        <f>IFERROR(__xludf.DUMMYFUNCTION("""COMPUTED_VALUE"""),483.0)</f>
        <v>483</v>
      </c>
      <c r="E4729" s="1" t="str">
        <f t="array" ref="E4729">_xlfn.XLOOKUP(A4729,Product!A:A,Product!B:B,"Bulunamadı")</f>
        <v>Law</v>
      </c>
      <c r="F4729" s="1" t="str">
        <f t="array" ref="F4729">_xlfn.XLOOKUP(A4729,Product!A:A,Product!C:C,"Bulunamadı")</f>
        <v>Portfolio Management</v>
      </c>
      <c r="G4729" s="2" t="str">
        <f t="array" ref="G4729">_xlfn.XLOOKUP(A4730,Product!A:A,Product!D:D,"Bulunamadı")</f>
        <v>Northway House</v>
      </c>
      <c r="H4729" s="2">
        <f t="array" ref="H4729">_xlfn.XLOOKUP(A4731,Product!A:A,Product!E:E,"Bulunamadı")</f>
        <v>1.56</v>
      </c>
      <c r="I4729" s="2" t="str">
        <f t="shared" si="1"/>
        <v>118176 - Law - Portfolio Management</v>
      </c>
      <c r="J4729" s="2">
        <f t="shared" si="2"/>
        <v>753.48</v>
      </c>
      <c r="K4729" s="17">
        <f t="shared" si="3"/>
        <v>1</v>
      </c>
      <c r="L4729" s="18"/>
    </row>
    <row r="4730" hidden="1">
      <c r="A4730" s="2">
        <f>IFERROR(__xludf.DUMMYFUNCTION("""COMPUTED_VALUE"""),114018.0)</f>
        <v>114018</v>
      </c>
      <c r="B4730" s="2">
        <f>IFERROR(__xludf.DUMMYFUNCTION("""COMPUTED_VALUE"""),0.0)</f>
        <v>0</v>
      </c>
      <c r="C4730" s="2">
        <f>IFERROR(__xludf.DUMMYFUNCTION("""COMPUTED_VALUE"""),290.0)</f>
        <v>290</v>
      </c>
      <c r="D4730" s="3">
        <f>IFERROR(__xludf.DUMMYFUNCTION("""COMPUTED_VALUE"""),251.0)</f>
        <v>251</v>
      </c>
      <c r="E4730" s="1" t="str">
        <f t="array" ref="E4730">_xlfn.XLOOKUP(A4730,Product!A:A,Product!B:B,"Bulunamadı")</f>
        <v>Law</v>
      </c>
      <c r="F4730" s="1" t="str">
        <f t="array" ref="F4730">_xlfn.XLOOKUP(A4730,Product!A:A,Product!C:C,"Bulunamadı")</f>
        <v>Portfolio Management</v>
      </c>
      <c r="G4730" s="2" t="str">
        <f t="array" ref="G4730">_xlfn.XLOOKUP(A4731,Product!A:A,Product!D:D,"Bulunamadı")</f>
        <v>Northway House</v>
      </c>
      <c r="H4730" s="2">
        <f t="array" ref="H4730">_xlfn.XLOOKUP(A4732,Product!A:A,Product!E:E,"Bulunamadı")</f>
        <v>2.23</v>
      </c>
      <c r="I4730" s="2" t="str">
        <f t="shared" si="1"/>
        <v>114018 - Law - Portfolio Management</v>
      </c>
      <c r="J4730" s="2">
        <f t="shared" si="2"/>
        <v>559.73</v>
      </c>
      <c r="K4730" s="17">
        <f t="shared" si="3"/>
        <v>1</v>
      </c>
      <c r="L4730" s="18"/>
    </row>
    <row r="4731" hidden="1">
      <c r="A4731" s="2">
        <f>IFERROR(__xludf.DUMMYFUNCTION("""COMPUTED_VALUE"""),116480.0)</f>
        <v>116480</v>
      </c>
      <c r="B4731" s="2">
        <f>IFERROR(__xludf.DUMMYFUNCTION("""COMPUTED_VALUE"""),0.0)</f>
        <v>0</v>
      </c>
      <c r="C4731" s="2">
        <f>IFERROR(__xludf.DUMMYFUNCTION("""COMPUTED_VALUE"""),265.0)</f>
        <v>265</v>
      </c>
      <c r="D4731" s="3">
        <f>IFERROR(__xludf.DUMMYFUNCTION("""COMPUTED_VALUE"""),89.0)</f>
        <v>89</v>
      </c>
      <c r="E4731" s="1" t="str">
        <f t="array" ref="E4731">_xlfn.XLOOKUP(A4731,Product!A:A,Product!B:B,"Bulunamadı")</f>
        <v>Law</v>
      </c>
      <c r="F4731" s="1" t="str">
        <f t="array" ref="F4731">_xlfn.XLOOKUP(A4731,Product!A:A,Product!C:C,"Bulunamadı")</f>
        <v>Portfolio Management</v>
      </c>
      <c r="G4731" s="2" t="str">
        <f t="array" ref="G4731">_xlfn.XLOOKUP(A4732,Product!A:A,Product!D:D,"Bulunamadı")</f>
        <v>Northway House</v>
      </c>
      <c r="H4731" s="2">
        <f t="array" ref="H4731">_xlfn.XLOOKUP(A4733,Product!A:A,Product!E:E,"Bulunamadı")</f>
        <v>2.71</v>
      </c>
      <c r="I4731" s="2" t="str">
        <f t="shared" si="1"/>
        <v>116480 - Law - Portfolio Management</v>
      </c>
      <c r="J4731" s="2">
        <f t="shared" si="2"/>
        <v>241.19</v>
      </c>
      <c r="K4731" s="17">
        <f t="shared" si="3"/>
        <v>1</v>
      </c>
      <c r="L4731" s="18"/>
    </row>
    <row r="4732" hidden="1">
      <c r="A4732" s="2">
        <f>IFERROR(__xludf.DUMMYFUNCTION("""COMPUTED_VALUE"""),120577.0)</f>
        <v>120577</v>
      </c>
      <c r="B4732" s="2">
        <f>IFERROR(__xludf.DUMMYFUNCTION("""COMPUTED_VALUE"""),0.0)</f>
        <v>0</v>
      </c>
      <c r="C4732" s="2">
        <f>IFERROR(__xludf.DUMMYFUNCTION("""COMPUTED_VALUE"""),342.0)</f>
        <v>342</v>
      </c>
      <c r="D4732" s="3">
        <f>IFERROR(__xludf.DUMMYFUNCTION("""COMPUTED_VALUE"""),339.0)</f>
        <v>339</v>
      </c>
      <c r="E4732" s="1" t="str">
        <f t="array" ref="E4732">_xlfn.XLOOKUP(A4732,Product!A:A,Product!B:B,"Bulunamadı")</f>
        <v>Law</v>
      </c>
      <c r="F4732" s="1" t="str">
        <f t="array" ref="F4732">_xlfn.XLOOKUP(A4732,Product!A:A,Product!C:C,"Bulunamadı")</f>
        <v>Portfolio Management</v>
      </c>
      <c r="G4732" s="2" t="str">
        <f t="array" ref="G4732">_xlfn.XLOOKUP(A4733,Product!A:A,Product!D:D,"Bulunamadı")</f>
        <v>Northway House</v>
      </c>
      <c r="H4732" s="2">
        <f t="array" ref="H4732">_xlfn.XLOOKUP(A4734,Product!A:A,Product!E:E,"Bulunamadı")</f>
        <v>1.47</v>
      </c>
      <c r="I4732" s="2" t="str">
        <f t="shared" si="1"/>
        <v>120577 - Law - Portfolio Management</v>
      </c>
      <c r="J4732" s="2">
        <f t="shared" si="2"/>
        <v>498.33</v>
      </c>
      <c r="K4732" s="17">
        <f t="shared" si="3"/>
        <v>1</v>
      </c>
      <c r="L4732" s="18"/>
    </row>
    <row r="4733" hidden="1">
      <c r="A4733" s="2">
        <f>IFERROR(__xludf.DUMMYFUNCTION("""COMPUTED_VALUE"""),118201.0)</f>
        <v>118201</v>
      </c>
      <c r="B4733" s="2">
        <f>IFERROR(__xludf.DUMMYFUNCTION("""COMPUTED_VALUE"""),1.0)</f>
        <v>1</v>
      </c>
      <c r="C4733" s="2">
        <f>IFERROR(__xludf.DUMMYFUNCTION("""COMPUTED_VALUE"""),215.0)</f>
        <v>215</v>
      </c>
      <c r="D4733" s="3">
        <f>IFERROR(__xludf.DUMMYFUNCTION("""COMPUTED_VALUE"""),140.0)</f>
        <v>140</v>
      </c>
      <c r="E4733" s="1" t="str">
        <f t="array" ref="E4733">_xlfn.XLOOKUP(A4733,Product!A:A,Product!B:B,"Bulunamadı")</f>
        <v>Law</v>
      </c>
      <c r="F4733" s="1" t="str">
        <f t="array" ref="F4733">_xlfn.XLOOKUP(A4733,Product!A:A,Product!C:C,"Bulunamadı")</f>
        <v>Portfolio Management</v>
      </c>
      <c r="G4733" s="2" t="str">
        <f t="array" ref="G4733">_xlfn.XLOOKUP(A4734,Product!A:A,Product!D:D,"Bulunamadı")</f>
        <v>Northway House</v>
      </c>
      <c r="H4733" s="2">
        <f t="array" ref="H4733">_xlfn.XLOOKUP(A4735,Product!A:A,Product!E:E,"Bulunamadı")</f>
        <v>2.16</v>
      </c>
      <c r="I4733" s="2" t="str">
        <f t="shared" si="1"/>
        <v>118201 - Law - Portfolio Management</v>
      </c>
      <c r="J4733" s="2">
        <f t="shared" si="2"/>
        <v>302.4</v>
      </c>
      <c r="K4733" s="17">
        <f t="shared" si="3"/>
        <v>1</v>
      </c>
      <c r="L4733" s="18"/>
    </row>
    <row r="4734" hidden="1">
      <c r="A4734" s="2">
        <f>IFERROR(__xludf.DUMMYFUNCTION("""COMPUTED_VALUE"""),77245.0)</f>
        <v>77245</v>
      </c>
      <c r="B4734" s="2">
        <f>IFERROR(__xludf.DUMMYFUNCTION("""COMPUTED_VALUE"""),1.0)</f>
        <v>1</v>
      </c>
      <c r="C4734" s="2">
        <f>IFERROR(__xludf.DUMMYFUNCTION("""COMPUTED_VALUE"""),543.0)</f>
        <v>543</v>
      </c>
      <c r="D4734" s="3">
        <f>IFERROR(__xludf.DUMMYFUNCTION("""COMPUTED_VALUE"""),480.0)</f>
        <v>480</v>
      </c>
      <c r="E4734" s="1" t="str">
        <f t="array" ref="E4734">_xlfn.XLOOKUP(A4734,Product!A:A,Product!B:B,"Bulunamadı")</f>
        <v>Law</v>
      </c>
      <c r="F4734" s="1" t="str">
        <f t="array" ref="F4734">_xlfn.XLOOKUP(A4734,Product!A:A,Product!C:C,"Bulunamadı")</f>
        <v>Portfolio Management</v>
      </c>
      <c r="G4734" s="2" t="str">
        <f t="array" ref="G4734">_xlfn.XLOOKUP(A4735,Product!A:A,Product!D:D,"Bulunamadı")</f>
        <v>Northway House</v>
      </c>
      <c r="H4734" s="2">
        <f t="array" ref="H4734">_xlfn.XLOOKUP(A4736,Product!A:A,Product!E:E,"Bulunamadı")</f>
        <v>1.92</v>
      </c>
      <c r="I4734" s="2" t="str">
        <f t="shared" si="1"/>
        <v>77245 - Law - Portfolio Management</v>
      </c>
      <c r="J4734" s="2">
        <f t="shared" si="2"/>
        <v>921.6</v>
      </c>
      <c r="K4734" s="17">
        <f t="shared" si="3"/>
        <v>1</v>
      </c>
      <c r="L4734" s="18"/>
    </row>
    <row r="4735" hidden="1">
      <c r="A4735" s="2">
        <f>IFERROR(__xludf.DUMMYFUNCTION("""COMPUTED_VALUE"""),118195.0)</f>
        <v>118195</v>
      </c>
      <c r="B4735" s="2">
        <f>IFERROR(__xludf.DUMMYFUNCTION("""COMPUTED_VALUE"""),1.0)</f>
        <v>1</v>
      </c>
      <c r="C4735" s="2">
        <f>IFERROR(__xludf.DUMMYFUNCTION("""COMPUTED_VALUE"""),294.0)</f>
        <v>294</v>
      </c>
      <c r="D4735" s="3">
        <f>IFERROR(__xludf.DUMMYFUNCTION("""COMPUTED_VALUE"""),21.0)</f>
        <v>21</v>
      </c>
      <c r="E4735" s="1" t="str">
        <f t="array" ref="E4735">_xlfn.XLOOKUP(A4735,Product!A:A,Product!B:B,"Bulunamadı")</f>
        <v>Law</v>
      </c>
      <c r="F4735" s="1" t="str">
        <f t="array" ref="F4735">_xlfn.XLOOKUP(A4735,Product!A:A,Product!C:C,"Bulunamadı")</f>
        <v>Portfolio Management</v>
      </c>
      <c r="G4735" s="2" t="str">
        <f t="array" ref="G4735">_xlfn.XLOOKUP(A4736,Product!A:A,Product!D:D,"Bulunamadı")</f>
        <v>Northway House</v>
      </c>
      <c r="H4735" s="2">
        <f t="array" ref="H4735">_xlfn.XLOOKUP(A4737,Product!A:A,Product!E:E,"Bulunamadı")</f>
        <v>1.98</v>
      </c>
      <c r="I4735" s="2" t="str">
        <f t="shared" si="1"/>
        <v>118195 - Law - Portfolio Management</v>
      </c>
      <c r="J4735" s="2">
        <f t="shared" si="2"/>
        <v>41.58</v>
      </c>
      <c r="K4735" s="17">
        <f t="shared" si="3"/>
        <v>1</v>
      </c>
      <c r="L4735" s="18"/>
    </row>
    <row r="4736" hidden="1">
      <c r="A4736" s="2">
        <f>IFERROR(__xludf.DUMMYFUNCTION("""COMPUTED_VALUE"""),118197.0)</f>
        <v>118197</v>
      </c>
      <c r="B4736" s="2">
        <f>IFERROR(__xludf.DUMMYFUNCTION("""COMPUTED_VALUE"""),1.0)</f>
        <v>1</v>
      </c>
      <c r="C4736" s="2">
        <f>IFERROR(__xludf.DUMMYFUNCTION("""COMPUTED_VALUE"""),434.0)</f>
        <v>434</v>
      </c>
      <c r="D4736" s="3">
        <f>IFERROR(__xludf.DUMMYFUNCTION("""COMPUTED_VALUE"""),58.0)</f>
        <v>58</v>
      </c>
      <c r="E4736" s="1" t="str">
        <f t="array" ref="E4736">_xlfn.XLOOKUP(A4736,Product!A:A,Product!B:B,"Bulunamadı")</f>
        <v>Law</v>
      </c>
      <c r="F4736" s="1" t="str">
        <f t="array" ref="F4736">_xlfn.XLOOKUP(A4736,Product!A:A,Product!C:C,"Bulunamadı")</f>
        <v>Portfolio Management</v>
      </c>
      <c r="G4736" s="2" t="str">
        <f t="array" ref="G4736">_xlfn.XLOOKUP(A4737,Product!A:A,Product!D:D,"Bulunamadı")</f>
        <v>Northway House</v>
      </c>
      <c r="H4736" s="2">
        <f t="array" ref="H4736">_xlfn.XLOOKUP(A4738,Product!A:A,Product!E:E,"Bulunamadı")</f>
        <v>2.88</v>
      </c>
      <c r="I4736" s="2" t="str">
        <f t="shared" si="1"/>
        <v>118197 - Law - Portfolio Management</v>
      </c>
      <c r="J4736" s="2">
        <f t="shared" si="2"/>
        <v>167.04</v>
      </c>
      <c r="K4736" s="17">
        <f t="shared" si="3"/>
        <v>1</v>
      </c>
      <c r="L4736" s="18"/>
    </row>
    <row r="4737" hidden="1">
      <c r="A4737" s="2">
        <f>IFERROR(__xludf.DUMMYFUNCTION("""COMPUTED_VALUE"""),187317.0)</f>
        <v>187317</v>
      </c>
      <c r="B4737" s="2">
        <f>IFERROR(__xludf.DUMMYFUNCTION("""COMPUTED_VALUE"""),0.0)</f>
        <v>0</v>
      </c>
      <c r="C4737" s="2">
        <f>IFERROR(__xludf.DUMMYFUNCTION("""COMPUTED_VALUE"""),474.0)</f>
        <v>474</v>
      </c>
      <c r="D4737" s="3">
        <f>IFERROR(__xludf.DUMMYFUNCTION("""COMPUTED_VALUE"""),273.0)</f>
        <v>273</v>
      </c>
      <c r="E4737" s="1" t="str">
        <f t="array" ref="E4737">_xlfn.XLOOKUP(A4737,Product!A:A,Product!B:B,"Bulunamadı")</f>
        <v>Law</v>
      </c>
      <c r="F4737" s="1" t="str">
        <f t="array" ref="F4737">_xlfn.XLOOKUP(A4737,Product!A:A,Product!C:C,"Bulunamadı")</f>
        <v>Portfolio Management</v>
      </c>
      <c r="G4737" s="2" t="str">
        <f t="array" ref="G4737">_xlfn.XLOOKUP(A4738,Product!A:A,Product!D:D,"Bulunamadı")</f>
        <v>Northway House</v>
      </c>
      <c r="H4737" s="2">
        <f t="array" ref="H4737">_xlfn.XLOOKUP(A4739,Product!A:A,Product!E:E,"Bulunamadı")</f>
        <v>1.74</v>
      </c>
      <c r="I4737" s="2" t="str">
        <f t="shared" si="1"/>
        <v>187317 - Law - Portfolio Management</v>
      </c>
      <c r="J4737" s="2">
        <f t="shared" si="2"/>
        <v>475.02</v>
      </c>
      <c r="K4737" s="17">
        <f t="shared" si="3"/>
        <v>1</v>
      </c>
      <c r="L4737" s="18"/>
    </row>
    <row r="4738" hidden="1">
      <c r="A4738" s="2">
        <f>IFERROR(__xludf.DUMMYFUNCTION("""COMPUTED_VALUE"""),199484.0)</f>
        <v>199484</v>
      </c>
      <c r="B4738" s="2">
        <f>IFERROR(__xludf.DUMMYFUNCTION("""COMPUTED_VALUE"""),1.0)</f>
        <v>1</v>
      </c>
      <c r="C4738" s="2">
        <f>IFERROR(__xludf.DUMMYFUNCTION("""COMPUTED_VALUE"""),852.0)</f>
        <v>852</v>
      </c>
      <c r="D4738" s="3">
        <f>IFERROR(__xludf.DUMMYFUNCTION("""COMPUTED_VALUE"""),770.0)</f>
        <v>770</v>
      </c>
      <c r="E4738" s="1" t="str">
        <f t="array" ref="E4738">_xlfn.XLOOKUP(A4738,Product!A:A,Product!B:B,"Bulunamadı")</f>
        <v>Law</v>
      </c>
      <c r="F4738" s="1" t="str">
        <f t="array" ref="F4738">_xlfn.XLOOKUP(A4738,Product!A:A,Product!C:C,"Bulunamadı")</f>
        <v>Portfolio Management</v>
      </c>
      <c r="G4738" s="2" t="str">
        <f t="array" ref="G4738">_xlfn.XLOOKUP(A4739,Product!A:A,Product!D:D,"Bulunamadı")</f>
        <v>Northway House</v>
      </c>
      <c r="H4738" s="2">
        <f t="array" ref="H4738">_xlfn.XLOOKUP(A4740,Product!A:A,Product!E:E,"Bulunamadı")</f>
        <v>3.19</v>
      </c>
      <c r="I4738" s="2" t="str">
        <f t="shared" si="1"/>
        <v>199484 - Law - Portfolio Management</v>
      </c>
      <c r="J4738" s="2">
        <f t="shared" si="2"/>
        <v>2456.3</v>
      </c>
      <c r="K4738" s="17">
        <f t="shared" si="3"/>
        <v>1</v>
      </c>
      <c r="L4738" s="18"/>
    </row>
    <row r="4739" hidden="1">
      <c r="A4739" s="2">
        <f>IFERROR(__xludf.DUMMYFUNCTION("""COMPUTED_VALUE"""),113995.0)</f>
        <v>113995</v>
      </c>
      <c r="B4739" s="2">
        <f>IFERROR(__xludf.DUMMYFUNCTION("""COMPUTED_VALUE"""),0.0)</f>
        <v>0</v>
      </c>
      <c r="C4739" s="2">
        <f>IFERROR(__xludf.DUMMYFUNCTION("""COMPUTED_VALUE"""),896.0)</f>
        <v>896</v>
      </c>
      <c r="D4739" s="3">
        <f>IFERROR(__xludf.DUMMYFUNCTION("""COMPUTED_VALUE"""),781.0)</f>
        <v>781</v>
      </c>
      <c r="E4739" s="1" t="str">
        <f t="array" ref="E4739">_xlfn.XLOOKUP(A4739,Product!A:A,Product!B:B,"Bulunamadı")</f>
        <v>Law</v>
      </c>
      <c r="F4739" s="1" t="str">
        <f t="array" ref="F4739">_xlfn.XLOOKUP(A4739,Product!A:A,Product!C:C,"Bulunamadı")</f>
        <v>Portfolio Management</v>
      </c>
      <c r="G4739" s="2" t="str">
        <f t="array" ref="G4739">_xlfn.XLOOKUP(A4740,Product!A:A,Product!D:D,"Bulunamadı")</f>
        <v>Harborway House</v>
      </c>
      <c r="H4739" s="2">
        <f t="array" ref="H4739">_xlfn.XLOOKUP(A4741,Product!A:A,Product!E:E,"Bulunamadı")</f>
        <v>3.06</v>
      </c>
      <c r="I4739" s="2" t="str">
        <f t="shared" si="1"/>
        <v>113995 - Law - Portfolio Management</v>
      </c>
      <c r="J4739" s="2">
        <f t="shared" si="2"/>
        <v>2389.86</v>
      </c>
      <c r="K4739" s="17">
        <f t="shared" si="3"/>
        <v>1</v>
      </c>
      <c r="L4739" s="18"/>
    </row>
    <row r="4740" hidden="1">
      <c r="A4740" s="2">
        <f>IFERROR(__xludf.DUMMYFUNCTION("""COMPUTED_VALUE"""),113669.0)</f>
        <v>113669</v>
      </c>
      <c r="B4740" s="2">
        <f>IFERROR(__xludf.DUMMYFUNCTION("""COMPUTED_VALUE"""),0.0)</f>
        <v>0</v>
      </c>
      <c r="C4740" s="2">
        <f>IFERROR(__xludf.DUMMYFUNCTION("""COMPUTED_VALUE"""),418.0)</f>
        <v>418</v>
      </c>
      <c r="D4740" s="3">
        <f>IFERROR(__xludf.DUMMYFUNCTION("""COMPUTED_VALUE"""),229.0)</f>
        <v>229</v>
      </c>
      <c r="E4740" s="1" t="str">
        <f t="array" ref="E4740">_xlfn.XLOOKUP(A4740,Product!A:A,Product!B:B,"Bulunamadı")</f>
        <v>Law</v>
      </c>
      <c r="F4740" s="1" t="str">
        <f t="array" ref="F4740">_xlfn.XLOOKUP(A4740,Product!A:A,Product!C:C,"Bulunamadı")</f>
        <v>Portfolio Management</v>
      </c>
      <c r="G4740" s="2" t="str">
        <f t="array" ref="G4740">_xlfn.XLOOKUP(A4741,Product!A:A,Product!D:D,"Bulunamadı")</f>
        <v>Harborway House</v>
      </c>
      <c r="H4740" s="2">
        <f t="array" ref="H4740">_xlfn.XLOOKUP(A4742,Product!A:A,Product!E:E,"Bulunamadı")</f>
        <v>3.76</v>
      </c>
      <c r="I4740" s="2" t="str">
        <f t="shared" si="1"/>
        <v>113669 - Law - Portfolio Management</v>
      </c>
      <c r="J4740" s="2">
        <f t="shared" si="2"/>
        <v>861.04</v>
      </c>
      <c r="K4740" s="17">
        <f t="shared" si="3"/>
        <v>1</v>
      </c>
      <c r="L4740" s="18"/>
    </row>
    <row r="4741" hidden="1">
      <c r="A4741" s="2">
        <f>IFERROR(__xludf.DUMMYFUNCTION("""COMPUTED_VALUE"""),111584.0)</f>
        <v>111584</v>
      </c>
      <c r="B4741" s="2">
        <f>IFERROR(__xludf.DUMMYFUNCTION("""COMPUTED_VALUE"""),0.0)</f>
        <v>0</v>
      </c>
      <c r="C4741" s="2">
        <f>IFERROR(__xludf.DUMMYFUNCTION("""COMPUTED_VALUE"""),747.0)</f>
        <v>747</v>
      </c>
      <c r="D4741" s="3">
        <f>IFERROR(__xludf.DUMMYFUNCTION("""COMPUTED_VALUE"""),611.0)</f>
        <v>611</v>
      </c>
      <c r="E4741" s="1" t="str">
        <f t="array" ref="E4741">_xlfn.XLOOKUP(A4741,Product!A:A,Product!B:B,"Bulunamadı")</f>
        <v>Law</v>
      </c>
      <c r="F4741" s="1" t="str">
        <f t="array" ref="F4741">_xlfn.XLOOKUP(A4741,Product!A:A,Product!C:C,"Bulunamadı")</f>
        <v>Portfolio Management</v>
      </c>
      <c r="G4741" s="2" t="str">
        <f t="array" ref="G4741">_xlfn.XLOOKUP(A4742,Product!A:A,Product!D:D,"Bulunamadı")</f>
        <v>Harborway House</v>
      </c>
      <c r="H4741" s="2">
        <f t="array" ref="H4741">_xlfn.XLOOKUP(A4743,Product!A:A,Product!E:E,"Bulunamadı")</f>
        <v>2.71</v>
      </c>
      <c r="I4741" s="2" t="str">
        <f t="shared" si="1"/>
        <v>111584 - Law - Portfolio Management</v>
      </c>
      <c r="J4741" s="2">
        <f t="shared" si="2"/>
        <v>1655.81</v>
      </c>
      <c r="K4741" s="17">
        <f t="shared" si="3"/>
        <v>1</v>
      </c>
      <c r="L4741" s="18"/>
    </row>
    <row r="4742" hidden="1">
      <c r="A4742" s="2">
        <f>IFERROR(__xludf.DUMMYFUNCTION("""COMPUTED_VALUE"""),26123.0)</f>
        <v>26123</v>
      </c>
      <c r="B4742" s="2">
        <f>IFERROR(__xludf.DUMMYFUNCTION("""COMPUTED_VALUE"""),0.0)</f>
        <v>0</v>
      </c>
      <c r="C4742" s="2">
        <f>IFERROR(__xludf.DUMMYFUNCTION("""COMPUTED_VALUE"""),135.0)</f>
        <v>135</v>
      </c>
      <c r="D4742" s="3">
        <f>IFERROR(__xludf.DUMMYFUNCTION("""COMPUTED_VALUE"""),79.0)</f>
        <v>79</v>
      </c>
      <c r="E4742" s="1" t="str">
        <f t="array" ref="E4742">_xlfn.XLOOKUP(A4742,Product!A:A,Product!B:B,"Bulunamadı")</f>
        <v>Law</v>
      </c>
      <c r="F4742" s="1" t="str">
        <f t="array" ref="F4742">_xlfn.XLOOKUP(A4742,Product!A:A,Product!C:C,"Bulunamadı")</f>
        <v>Portfolio Management</v>
      </c>
      <c r="G4742" s="2" t="str">
        <f t="array" ref="G4742">_xlfn.XLOOKUP(A4743,Product!A:A,Product!D:D,"Bulunamadı")</f>
        <v>Harborway House</v>
      </c>
      <c r="H4742" s="2">
        <f t="array" ref="H4742">_xlfn.XLOOKUP(A4744,Product!A:A,Product!E:E,"Bulunamadı")</f>
        <v>4.15</v>
      </c>
      <c r="I4742" s="2" t="str">
        <f t="shared" si="1"/>
        <v>26123 - Law - Portfolio Management</v>
      </c>
      <c r="J4742" s="2">
        <f t="shared" si="2"/>
        <v>327.85</v>
      </c>
      <c r="K4742" s="17">
        <f t="shared" si="3"/>
        <v>1</v>
      </c>
      <c r="L4742" s="18"/>
    </row>
    <row r="4743" hidden="1">
      <c r="A4743" s="2">
        <f>IFERROR(__xludf.DUMMYFUNCTION("""COMPUTED_VALUE"""),113665.0)</f>
        <v>113665</v>
      </c>
      <c r="B4743" s="2">
        <f>IFERROR(__xludf.DUMMYFUNCTION("""COMPUTED_VALUE"""),0.0)</f>
        <v>0</v>
      </c>
      <c r="C4743" s="2">
        <f>IFERROR(__xludf.DUMMYFUNCTION("""COMPUTED_VALUE"""),888.0)</f>
        <v>888</v>
      </c>
      <c r="D4743" s="3">
        <f>IFERROR(__xludf.DUMMYFUNCTION("""COMPUTED_VALUE"""),697.0)</f>
        <v>697</v>
      </c>
      <c r="E4743" s="1" t="str">
        <f t="array" ref="E4743">_xlfn.XLOOKUP(A4743,Product!A:A,Product!B:B,"Bulunamadı")</f>
        <v>Law</v>
      </c>
      <c r="F4743" s="1" t="str">
        <f t="array" ref="F4743">_xlfn.XLOOKUP(A4743,Product!A:A,Product!C:C,"Bulunamadı")</f>
        <v>Portfolio Management</v>
      </c>
      <c r="G4743" s="2" t="str">
        <f t="array" ref="G4743">_xlfn.XLOOKUP(A4744,Product!A:A,Product!D:D,"Bulunamadı")</f>
        <v>Harborway House</v>
      </c>
      <c r="H4743" s="2">
        <f t="array" ref="H4743">_xlfn.XLOOKUP(A4745,Product!A:A,Product!E:E,"Bulunamadı")</f>
        <v>3.3</v>
      </c>
      <c r="I4743" s="2" t="str">
        <f t="shared" si="1"/>
        <v>113665 - Law - Portfolio Management</v>
      </c>
      <c r="J4743" s="2">
        <f t="shared" si="2"/>
        <v>2300.1</v>
      </c>
      <c r="K4743" s="17">
        <f t="shared" si="3"/>
        <v>1</v>
      </c>
      <c r="L4743" s="18"/>
    </row>
    <row r="4744" hidden="1">
      <c r="A4744" s="2">
        <f>IFERROR(__xludf.DUMMYFUNCTION("""COMPUTED_VALUE"""),181241.0)</f>
        <v>181241</v>
      </c>
      <c r="B4744" s="2">
        <f>IFERROR(__xludf.DUMMYFUNCTION("""COMPUTED_VALUE"""),1.0)</f>
        <v>1</v>
      </c>
      <c r="C4744" s="2">
        <f>IFERROR(__xludf.DUMMYFUNCTION("""COMPUTED_VALUE"""),779.0)</f>
        <v>779</v>
      </c>
      <c r="D4744" s="3">
        <f>IFERROR(__xludf.DUMMYFUNCTION("""COMPUTED_VALUE"""),505.0)</f>
        <v>505</v>
      </c>
      <c r="E4744" s="1" t="str">
        <f t="array" ref="E4744">_xlfn.XLOOKUP(A4744,Product!A:A,Product!B:B,"Bulunamadı")</f>
        <v>Law</v>
      </c>
      <c r="F4744" s="1" t="str">
        <f t="array" ref="F4744">_xlfn.XLOOKUP(A4744,Product!A:A,Product!C:C,"Bulunamadı")</f>
        <v>Portfolio Management</v>
      </c>
      <c r="G4744" s="2" t="str">
        <f t="array" ref="G4744">_xlfn.XLOOKUP(A4745,Product!A:A,Product!D:D,"Bulunamadı")</f>
        <v>Harborway House</v>
      </c>
      <c r="H4744" s="2">
        <f t="array" ref="H4744">_xlfn.XLOOKUP(A4746,Product!A:A,Product!E:E,"Bulunamadı")</f>
        <v>2.69</v>
      </c>
      <c r="I4744" s="2" t="str">
        <f t="shared" si="1"/>
        <v>181241 - Law - Portfolio Management</v>
      </c>
      <c r="J4744" s="2">
        <f t="shared" si="2"/>
        <v>1358.45</v>
      </c>
      <c r="K4744" s="17">
        <f t="shared" si="3"/>
        <v>1</v>
      </c>
      <c r="L4744" s="18"/>
    </row>
    <row r="4745" hidden="1">
      <c r="A4745" s="2">
        <f>IFERROR(__xludf.DUMMYFUNCTION("""COMPUTED_VALUE"""),113664.0)</f>
        <v>113664</v>
      </c>
      <c r="B4745" s="2">
        <f>IFERROR(__xludf.DUMMYFUNCTION("""COMPUTED_VALUE"""),1.0)</f>
        <v>1</v>
      </c>
      <c r="C4745" s="2">
        <f>IFERROR(__xludf.DUMMYFUNCTION("""COMPUTED_VALUE"""),217.0)</f>
        <v>217</v>
      </c>
      <c r="D4745" s="3">
        <f>IFERROR(__xludf.DUMMYFUNCTION("""COMPUTED_VALUE"""),105.0)</f>
        <v>105</v>
      </c>
      <c r="E4745" s="1" t="str">
        <f t="array" ref="E4745">_xlfn.XLOOKUP(A4745,Product!A:A,Product!B:B,"Bulunamadı")</f>
        <v>Law</v>
      </c>
      <c r="F4745" s="1" t="str">
        <f t="array" ref="F4745">_xlfn.XLOOKUP(A4745,Product!A:A,Product!C:C,"Bulunamadı")</f>
        <v>Portfolio Management</v>
      </c>
      <c r="G4745" s="2" t="str">
        <f t="array" ref="G4745">_xlfn.XLOOKUP(A4746,Product!A:A,Product!D:D,"Bulunamadı")</f>
        <v>Harborway House</v>
      </c>
      <c r="H4745" s="2">
        <f t="array" ref="H4745">_xlfn.XLOOKUP(A4747,Product!A:A,Product!E:E,"Bulunamadı")</f>
        <v>2.3</v>
      </c>
      <c r="I4745" s="2" t="str">
        <f t="shared" si="1"/>
        <v>113664 - Law - Portfolio Management</v>
      </c>
      <c r="J4745" s="2">
        <f t="shared" si="2"/>
        <v>241.5</v>
      </c>
      <c r="K4745" s="17">
        <f t="shared" si="3"/>
        <v>1</v>
      </c>
      <c r="L4745" s="18"/>
    </row>
    <row r="4746" hidden="1">
      <c r="A4746" s="2">
        <f>IFERROR(__xludf.DUMMYFUNCTION("""COMPUTED_VALUE"""),113677.0)</f>
        <v>113677</v>
      </c>
      <c r="B4746" s="2">
        <f>IFERROR(__xludf.DUMMYFUNCTION("""COMPUTED_VALUE"""),0.0)</f>
        <v>0</v>
      </c>
      <c r="C4746" s="2">
        <f>IFERROR(__xludf.DUMMYFUNCTION("""COMPUTED_VALUE"""),425.0)</f>
        <v>425</v>
      </c>
      <c r="D4746" s="3">
        <f>IFERROR(__xludf.DUMMYFUNCTION("""COMPUTED_VALUE"""),333.0)</f>
        <v>333</v>
      </c>
      <c r="E4746" s="1" t="str">
        <f t="array" ref="E4746">_xlfn.XLOOKUP(A4746,Product!A:A,Product!B:B,"Bulunamadı")</f>
        <v>Law</v>
      </c>
      <c r="F4746" s="1" t="str">
        <f t="array" ref="F4746">_xlfn.XLOOKUP(A4746,Product!A:A,Product!C:C,"Bulunamadı")</f>
        <v>Portfolio Management</v>
      </c>
      <c r="G4746" s="2" t="str">
        <f t="array" ref="G4746">_xlfn.XLOOKUP(A4747,Product!A:A,Product!D:D,"Bulunamadı")</f>
        <v>Harborway House</v>
      </c>
      <c r="H4746" s="2">
        <f t="array" ref="H4746">_xlfn.XLOOKUP(A4748,Product!A:A,Product!E:E,"Bulunamadı")</f>
        <v>4.72</v>
      </c>
      <c r="I4746" s="2" t="str">
        <f t="shared" si="1"/>
        <v>113677 - Law - Portfolio Management</v>
      </c>
      <c r="J4746" s="2">
        <f t="shared" si="2"/>
        <v>1571.76</v>
      </c>
      <c r="K4746" s="17">
        <f t="shared" si="3"/>
        <v>1</v>
      </c>
      <c r="L4746" s="18"/>
    </row>
    <row r="4747" hidden="1">
      <c r="A4747" s="2">
        <f>IFERROR(__xludf.DUMMYFUNCTION("""COMPUTED_VALUE"""),120343.0)</f>
        <v>120343</v>
      </c>
      <c r="B4747" s="2">
        <f>IFERROR(__xludf.DUMMYFUNCTION("""COMPUTED_VALUE"""),1.0)</f>
        <v>1</v>
      </c>
      <c r="C4747" s="2">
        <f>IFERROR(__xludf.DUMMYFUNCTION("""COMPUTED_VALUE"""),511.0)</f>
        <v>511</v>
      </c>
      <c r="D4747" s="3">
        <f>IFERROR(__xludf.DUMMYFUNCTION("""COMPUTED_VALUE"""),134.0)</f>
        <v>134</v>
      </c>
      <c r="E4747" s="1" t="str">
        <f t="array" ref="E4747">_xlfn.XLOOKUP(A4747,Product!A:A,Product!B:B,"Bulunamadı")</f>
        <v>Law</v>
      </c>
      <c r="F4747" s="1" t="str">
        <f t="array" ref="F4747">_xlfn.XLOOKUP(A4747,Product!A:A,Product!C:C,"Bulunamadı")</f>
        <v>Portfolio Management</v>
      </c>
      <c r="G4747" s="2" t="str">
        <f t="array" ref="G4747">_xlfn.XLOOKUP(A4748,Product!A:A,Product!D:D,"Bulunamadı")</f>
        <v>Harborway House</v>
      </c>
      <c r="H4747" s="2">
        <f t="array" ref="H4747">_xlfn.XLOOKUP(A4749,Product!A:A,Product!E:E,"Bulunamadı")</f>
        <v>3.01</v>
      </c>
      <c r="I4747" s="2" t="str">
        <f t="shared" si="1"/>
        <v>120343 - Law - Portfolio Management</v>
      </c>
      <c r="J4747" s="2">
        <f t="shared" si="2"/>
        <v>403.34</v>
      </c>
      <c r="K4747" s="17">
        <f t="shared" si="3"/>
        <v>1</v>
      </c>
      <c r="L4747" s="18"/>
    </row>
    <row r="4748" hidden="1">
      <c r="A4748" s="2">
        <f>IFERROR(__xludf.DUMMYFUNCTION("""COMPUTED_VALUE"""),113666.0)</f>
        <v>113666</v>
      </c>
      <c r="B4748" s="2">
        <f>IFERROR(__xludf.DUMMYFUNCTION("""COMPUTED_VALUE"""),1.0)</f>
        <v>1</v>
      </c>
      <c r="C4748" s="2">
        <f>IFERROR(__xludf.DUMMYFUNCTION("""COMPUTED_VALUE"""),819.0)</f>
        <v>819</v>
      </c>
      <c r="D4748" s="3">
        <f>IFERROR(__xludf.DUMMYFUNCTION("""COMPUTED_VALUE"""),516.0)</f>
        <v>516</v>
      </c>
      <c r="E4748" s="1" t="str">
        <f t="array" ref="E4748">_xlfn.XLOOKUP(A4748,Product!A:A,Product!B:B,"Bulunamadı")</f>
        <v>Law</v>
      </c>
      <c r="F4748" s="1" t="str">
        <f t="array" ref="F4748">_xlfn.XLOOKUP(A4748,Product!A:A,Product!C:C,"Bulunamadı")</f>
        <v>Portfolio Management</v>
      </c>
      <c r="G4748" s="2" t="str">
        <f t="array" ref="G4748">_xlfn.XLOOKUP(A4749,Product!A:A,Product!D:D,"Bulunamadı")</f>
        <v>Harborway House</v>
      </c>
      <c r="H4748" s="2">
        <f t="array" ref="H4748">_xlfn.XLOOKUP(A4750,Product!A:A,Product!E:E,"Bulunamadı")</f>
        <v>8.92</v>
      </c>
      <c r="I4748" s="2" t="str">
        <f t="shared" si="1"/>
        <v>113666 - Law - Portfolio Management</v>
      </c>
      <c r="J4748" s="2">
        <f t="shared" si="2"/>
        <v>4602.72</v>
      </c>
      <c r="K4748" s="17">
        <f t="shared" si="3"/>
        <v>1</v>
      </c>
      <c r="L4748" s="18"/>
    </row>
    <row r="4749" hidden="1">
      <c r="A4749" s="2">
        <f>IFERROR(__xludf.DUMMYFUNCTION("""COMPUTED_VALUE"""),113663.0)</f>
        <v>113663</v>
      </c>
      <c r="B4749" s="2">
        <f>IFERROR(__xludf.DUMMYFUNCTION("""COMPUTED_VALUE"""),1.0)</f>
        <v>1</v>
      </c>
      <c r="C4749" s="2">
        <f>IFERROR(__xludf.DUMMYFUNCTION("""COMPUTED_VALUE"""),408.0)</f>
        <v>408</v>
      </c>
      <c r="D4749" s="3">
        <f>IFERROR(__xludf.DUMMYFUNCTION("""COMPUTED_VALUE"""),375.0)</f>
        <v>375</v>
      </c>
      <c r="E4749" s="1" t="str">
        <f t="array" ref="E4749">_xlfn.XLOOKUP(A4749,Product!A:A,Product!B:B,"Bulunamadı")</f>
        <v>Law</v>
      </c>
      <c r="F4749" s="1" t="str">
        <f t="array" ref="F4749">_xlfn.XLOOKUP(A4749,Product!A:A,Product!C:C,"Bulunamadı")</f>
        <v>Portfolio Management</v>
      </c>
      <c r="G4749" s="2" t="str">
        <f t="array" ref="G4749">_xlfn.XLOOKUP(A4750,Product!A:A,Product!D:D,"Bulunamadı")</f>
        <v>Cedarway House</v>
      </c>
      <c r="H4749" s="2">
        <f t="array" ref="H4749">_xlfn.XLOOKUP(A4751,Product!A:A,Product!E:E,"Bulunamadı")</f>
        <v>6.6</v>
      </c>
      <c r="I4749" s="2" t="str">
        <f t="shared" si="1"/>
        <v>113663 - Law - Portfolio Management</v>
      </c>
      <c r="J4749" s="2">
        <f t="shared" si="2"/>
        <v>2475</v>
      </c>
      <c r="K4749" s="17">
        <f t="shared" si="3"/>
        <v>1</v>
      </c>
      <c r="L4749" s="18"/>
    </row>
    <row r="4750" hidden="1">
      <c r="A4750" s="2">
        <f>IFERROR(__xludf.DUMMYFUNCTION("""COMPUTED_VALUE"""),116983.0)</f>
        <v>116983</v>
      </c>
      <c r="B4750" s="2">
        <f>IFERROR(__xludf.DUMMYFUNCTION("""COMPUTED_VALUE"""),1.0)</f>
        <v>1</v>
      </c>
      <c r="C4750" s="2">
        <f>IFERROR(__xludf.DUMMYFUNCTION("""COMPUTED_VALUE"""),160.0)</f>
        <v>160</v>
      </c>
      <c r="D4750" s="3">
        <f>IFERROR(__xludf.DUMMYFUNCTION("""COMPUTED_VALUE"""),144.0)</f>
        <v>144</v>
      </c>
      <c r="E4750" s="1" t="str">
        <f t="array" ref="E4750">_xlfn.XLOOKUP(A4750,Product!A:A,Product!B:B,"Bulunamadı")</f>
        <v>Sports</v>
      </c>
      <c r="F4750" s="1" t="str">
        <f t="array" ref="F4750">_xlfn.XLOOKUP(A4750,Product!A:A,Product!C:C,"Bulunamadı")</f>
        <v>Venture Capital</v>
      </c>
      <c r="G4750" s="2" t="str">
        <f t="array" ref="G4750">_xlfn.XLOOKUP(A4751,Product!A:A,Product!D:D,"Bulunamadı")</f>
        <v>Cedarway House</v>
      </c>
      <c r="H4750" s="2">
        <f t="array" ref="H4750">_xlfn.XLOOKUP(A4752,Product!A:A,Product!E:E,"Bulunamadı")</f>
        <v>8.38</v>
      </c>
      <c r="I4750" s="2" t="str">
        <f t="shared" si="1"/>
        <v>116983 - Sports - Venture Capital</v>
      </c>
      <c r="J4750" s="2">
        <f t="shared" si="2"/>
        <v>1206.72</v>
      </c>
      <c r="K4750" s="17">
        <f t="shared" si="3"/>
        <v>1</v>
      </c>
      <c r="L4750" s="18"/>
    </row>
    <row r="4751" hidden="1">
      <c r="A4751" s="2">
        <f>IFERROR(__xludf.DUMMYFUNCTION("""COMPUTED_VALUE"""),94043.0)</f>
        <v>94043</v>
      </c>
      <c r="B4751" s="2">
        <f>IFERROR(__xludf.DUMMYFUNCTION("""COMPUTED_VALUE"""),0.0)</f>
        <v>0</v>
      </c>
      <c r="C4751" s="2">
        <f>IFERROR(__xludf.DUMMYFUNCTION("""COMPUTED_VALUE"""),249.0)</f>
        <v>249</v>
      </c>
      <c r="D4751" s="3">
        <f>IFERROR(__xludf.DUMMYFUNCTION("""COMPUTED_VALUE"""),223.0)</f>
        <v>223</v>
      </c>
      <c r="E4751" s="1" t="str">
        <f t="array" ref="E4751">_xlfn.XLOOKUP(A4751,Product!A:A,Product!B:B,"Bulunamadı")</f>
        <v>Sports</v>
      </c>
      <c r="F4751" s="1" t="str">
        <f t="array" ref="F4751">_xlfn.XLOOKUP(A4751,Product!A:A,Product!C:C,"Bulunamadı")</f>
        <v>Venture Capital</v>
      </c>
      <c r="G4751" s="2" t="str">
        <f t="array" ref="G4751">_xlfn.XLOOKUP(A4752,Product!A:A,Product!D:D,"Bulunamadı")</f>
        <v>Cedarway House</v>
      </c>
      <c r="H4751" s="2">
        <f t="array" ref="H4751">_xlfn.XLOOKUP(A4753,Product!A:A,Product!E:E,"Bulunamadı")</f>
        <v>6.73</v>
      </c>
      <c r="I4751" s="2" t="str">
        <f t="shared" si="1"/>
        <v>94043 - Sports - Venture Capital</v>
      </c>
      <c r="J4751" s="2">
        <f t="shared" si="2"/>
        <v>1500.79</v>
      </c>
      <c r="K4751" s="17">
        <f t="shared" si="3"/>
        <v>1</v>
      </c>
      <c r="L4751" s="18"/>
    </row>
    <row r="4752" hidden="1">
      <c r="A4752" s="2">
        <f>IFERROR(__xludf.DUMMYFUNCTION("""COMPUTED_VALUE"""),68216.0)</f>
        <v>68216</v>
      </c>
      <c r="B4752" s="2">
        <f>IFERROR(__xludf.DUMMYFUNCTION("""COMPUTED_VALUE"""),0.0)</f>
        <v>0</v>
      </c>
      <c r="C4752" s="2">
        <f>IFERROR(__xludf.DUMMYFUNCTION("""COMPUTED_VALUE"""),614.0)</f>
        <v>614</v>
      </c>
      <c r="D4752" s="3">
        <f>IFERROR(__xludf.DUMMYFUNCTION("""COMPUTED_VALUE"""),390.0)</f>
        <v>390</v>
      </c>
      <c r="E4752" s="1" t="str">
        <f t="array" ref="E4752">_xlfn.XLOOKUP(A4752,Product!A:A,Product!B:B,"Bulunamadı")</f>
        <v>Sports</v>
      </c>
      <c r="F4752" s="1" t="str">
        <f t="array" ref="F4752">_xlfn.XLOOKUP(A4752,Product!A:A,Product!C:C,"Bulunamadı")</f>
        <v>Venture Capital</v>
      </c>
      <c r="G4752" s="2" t="str">
        <f t="array" ref="G4752">_xlfn.XLOOKUP(A4753,Product!A:A,Product!D:D,"Bulunamadı")</f>
        <v>Cedarway House</v>
      </c>
      <c r="H4752" s="2">
        <f t="array" ref="H4752">_xlfn.XLOOKUP(A4754,Product!A:A,Product!E:E,"Bulunamadı")</f>
        <v>17.88</v>
      </c>
      <c r="I4752" s="2" t="str">
        <f t="shared" si="1"/>
        <v>68216 - Sports - Venture Capital</v>
      </c>
      <c r="J4752" s="2">
        <f t="shared" si="2"/>
        <v>6973.2</v>
      </c>
      <c r="K4752" s="17">
        <f t="shared" si="3"/>
        <v>1</v>
      </c>
      <c r="L4752" s="18"/>
    </row>
    <row r="4753" hidden="1">
      <c r="A4753" s="2">
        <f>IFERROR(__xludf.DUMMYFUNCTION("""COMPUTED_VALUE"""),80131.0)</f>
        <v>80131</v>
      </c>
      <c r="B4753" s="2">
        <f>IFERROR(__xludf.DUMMYFUNCTION("""COMPUTED_VALUE"""),0.0)</f>
        <v>0</v>
      </c>
      <c r="C4753" s="2">
        <f>IFERROR(__xludf.DUMMYFUNCTION("""COMPUTED_VALUE"""),821.0)</f>
        <v>821</v>
      </c>
      <c r="D4753" s="3">
        <f>IFERROR(__xludf.DUMMYFUNCTION("""COMPUTED_VALUE"""),731.0)</f>
        <v>731</v>
      </c>
      <c r="E4753" s="1" t="str">
        <f t="array" ref="E4753">_xlfn.XLOOKUP(A4753,Product!A:A,Product!B:B,"Bulunamadı")</f>
        <v>Sports</v>
      </c>
      <c r="F4753" s="1" t="str">
        <f t="array" ref="F4753">_xlfn.XLOOKUP(A4753,Product!A:A,Product!C:C,"Bulunamadı")</f>
        <v>Venture Capital</v>
      </c>
      <c r="G4753" s="2" t="str">
        <f t="array" ref="G4753">_xlfn.XLOOKUP(A4754,Product!A:A,Product!D:D,"Bulunamadı")</f>
        <v>Cedarway House</v>
      </c>
      <c r="H4753" s="2">
        <f t="array" ref="H4753">_xlfn.XLOOKUP(A4755,Product!A:A,Product!E:E,"Bulunamadı")</f>
        <v>12.52</v>
      </c>
      <c r="I4753" s="2" t="str">
        <f t="shared" si="1"/>
        <v>80131 - Sports - Venture Capital</v>
      </c>
      <c r="J4753" s="2">
        <f t="shared" si="2"/>
        <v>9152.12</v>
      </c>
      <c r="K4753" s="17">
        <f t="shared" si="3"/>
        <v>1</v>
      </c>
      <c r="L4753" s="18"/>
    </row>
    <row r="4754" hidden="1">
      <c r="A4754" s="2">
        <f>IFERROR(__xludf.DUMMYFUNCTION("""COMPUTED_VALUE"""),80998.0)</f>
        <v>80998</v>
      </c>
      <c r="B4754" s="2">
        <f>IFERROR(__xludf.DUMMYFUNCTION("""COMPUTED_VALUE"""),0.0)</f>
        <v>0</v>
      </c>
      <c r="C4754" s="2">
        <f>IFERROR(__xludf.DUMMYFUNCTION("""COMPUTED_VALUE"""),715.0)</f>
        <v>715</v>
      </c>
      <c r="D4754" s="3">
        <f>IFERROR(__xludf.DUMMYFUNCTION("""COMPUTED_VALUE"""),480.0)</f>
        <v>480</v>
      </c>
      <c r="E4754" s="1" t="str">
        <f t="array" ref="E4754">_xlfn.XLOOKUP(A4754,Product!A:A,Product!B:B,"Bulunamadı")</f>
        <v>Sports</v>
      </c>
      <c r="F4754" s="1" t="str">
        <f t="array" ref="F4754">_xlfn.XLOOKUP(A4754,Product!A:A,Product!C:C,"Bulunamadı")</f>
        <v>Venture Capital</v>
      </c>
      <c r="G4754" s="2" t="str">
        <f t="array" ref="G4754">_xlfn.XLOOKUP(A4755,Product!A:A,Product!D:D,"Bulunamadı")</f>
        <v>Cedarway House</v>
      </c>
      <c r="H4754" s="2">
        <f t="array" ref="H4754">_xlfn.XLOOKUP(A4756,Product!A:A,Product!E:E,"Bulunamadı")</f>
        <v>10.09</v>
      </c>
      <c r="I4754" s="2" t="str">
        <f t="shared" si="1"/>
        <v>80998 - Sports - Venture Capital</v>
      </c>
      <c r="J4754" s="2">
        <f t="shared" si="2"/>
        <v>4843.2</v>
      </c>
      <c r="K4754" s="17">
        <f t="shared" si="3"/>
        <v>1</v>
      </c>
      <c r="L4754" s="18"/>
    </row>
    <row r="4755" hidden="1">
      <c r="A4755" s="2">
        <f>IFERROR(__xludf.DUMMYFUNCTION("""COMPUTED_VALUE"""),87014.0)</f>
        <v>87014</v>
      </c>
      <c r="B4755" s="2">
        <f>IFERROR(__xludf.DUMMYFUNCTION("""COMPUTED_VALUE"""),0.0)</f>
        <v>0</v>
      </c>
      <c r="C4755" s="2">
        <f>IFERROR(__xludf.DUMMYFUNCTION("""COMPUTED_VALUE"""),847.0)</f>
        <v>847</v>
      </c>
      <c r="D4755" s="3">
        <f>IFERROR(__xludf.DUMMYFUNCTION("""COMPUTED_VALUE"""),672.0)</f>
        <v>672</v>
      </c>
      <c r="E4755" s="1" t="str">
        <f t="array" ref="E4755">_xlfn.XLOOKUP(A4755,Product!A:A,Product!B:B,"Bulunamadı")</f>
        <v>Sports</v>
      </c>
      <c r="F4755" s="1" t="str">
        <f t="array" ref="F4755">_xlfn.XLOOKUP(A4755,Product!A:A,Product!C:C,"Bulunamadı")</f>
        <v>Venture Capital</v>
      </c>
      <c r="G4755" s="2" t="str">
        <f t="array" ref="G4755">_xlfn.XLOOKUP(A4756,Product!A:A,Product!D:D,"Bulunamadı")</f>
        <v>Cedarway House</v>
      </c>
      <c r="H4755" s="2">
        <f t="array" ref="H4755">_xlfn.XLOOKUP(A4757,Product!A:A,Product!E:E,"Bulunamadı")</f>
        <v>11.73</v>
      </c>
      <c r="I4755" s="2" t="str">
        <f t="shared" si="1"/>
        <v>87014 - Sports - Venture Capital</v>
      </c>
      <c r="J4755" s="2">
        <f t="shared" si="2"/>
        <v>7882.56</v>
      </c>
      <c r="K4755" s="17">
        <f t="shared" si="3"/>
        <v>1</v>
      </c>
      <c r="L4755" s="18"/>
    </row>
    <row r="4756" hidden="1">
      <c r="A4756" s="2">
        <f>IFERROR(__xludf.DUMMYFUNCTION("""COMPUTED_VALUE"""),102900.0)</f>
        <v>102900</v>
      </c>
      <c r="B4756" s="2">
        <f>IFERROR(__xludf.DUMMYFUNCTION("""COMPUTED_VALUE"""),0.0)</f>
        <v>0</v>
      </c>
      <c r="C4756" s="2">
        <f>IFERROR(__xludf.DUMMYFUNCTION("""COMPUTED_VALUE"""),895.0)</f>
        <v>895</v>
      </c>
      <c r="D4756" s="3">
        <f>IFERROR(__xludf.DUMMYFUNCTION("""COMPUTED_VALUE"""),376.0)</f>
        <v>376</v>
      </c>
      <c r="E4756" s="1" t="str">
        <f t="array" ref="E4756">_xlfn.XLOOKUP(A4756,Product!A:A,Product!B:B,"Bulunamadı")</f>
        <v>Sports</v>
      </c>
      <c r="F4756" s="1" t="str">
        <f t="array" ref="F4756">_xlfn.XLOOKUP(A4756,Product!A:A,Product!C:C,"Bulunamadı")</f>
        <v>Venture Capital</v>
      </c>
      <c r="G4756" s="2" t="str">
        <f t="array" ref="G4756">_xlfn.XLOOKUP(A4757,Product!A:A,Product!D:D,"Bulunamadı")</f>
        <v>Cedarway House</v>
      </c>
      <c r="H4756" s="2">
        <f t="array" ref="H4756">_xlfn.XLOOKUP(A4758,Product!A:A,Product!E:E,"Bulunamadı")</f>
        <v>13.18</v>
      </c>
      <c r="I4756" s="2" t="str">
        <f t="shared" si="1"/>
        <v>102900 - Sports - Venture Capital</v>
      </c>
      <c r="J4756" s="2">
        <f t="shared" si="2"/>
        <v>4955.68</v>
      </c>
      <c r="K4756" s="17">
        <f t="shared" si="3"/>
        <v>1</v>
      </c>
      <c r="L4756" s="18"/>
    </row>
    <row r="4757" hidden="1">
      <c r="A4757" s="2">
        <f>IFERROR(__xludf.DUMMYFUNCTION("""COMPUTED_VALUE"""),80997.0)</f>
        <v>80997</v>
      </c>
      <c r="B4757" s="2">
        <f>IFERROR(__xludf.DUMMYFUNCTION("""COMPUTED_VALUE"""),1.0)</f>
        <v>1</v>
      </c>
      <c r="C4757" s="2">
        <f>IFERROR(__xludf.DUMMYFUNCTION("""COMPUTED_VALUE"""),34.0)</f>
        <v>34</v>
      </c>
      <c r="D4757" s="3">
        <f>IFERROR(__xludf.DUMMYFUNCTION("""COMPUTED_VALUE"""),21.0)</f>
        <v>21</v>
      </c>
      <c r="E4757" s="1" t="str">
        <f t="array" ref="E4757">_xlfn.XLOOKUP(A4757,Product!A:A,Product!B:B,"Bulunamadı")</f>
        <v>Sports</v>
      </c>
      <c r="F4757" s="1" t="str">
        <f t="array" ref="F4757">_xlfn.XLOOKUP(A4757,Product!A:A,Product!C:C,"Bulunamadı")</f>
        <v>Venture Capital</v>
      </c>
      <c r="G4757" s="2" t="str">
        <f t="array" ref="G4757">_xlfn.XLOOKUP(A4758,Product!A:A,Product!D:D,"Bulunamadı")</f>
        <v>Cedarway House</v>
      </c>
      <c r="H4757" s="2">
        <f t="array" ref="H4757">_xlfn.XLOOKUP(A4759,Product!A:A,Product!E:E,"Bulunamadı")</f>
        <v>10.09</v>
      </c>
      <c r="I4757" s="2" t="str">
        <f t="shared" si="1"/>
        <v>80997 - Sports - Venture Capital</v>
      </c>
      <c r="J4757" s="2">
        <f t="shared" si="2"/>
        <v>211.89</v>
      </c>
      <c r="K4757" s="17">
        <f t="shared" si="3"/>
        <v>1</v>
      </c>
      <c r="L4757" s="18"/>
    </row>
    <row r="4758" hidden="1">
      <c r="A4758" s="2">
        <f>IFERROR(__xludf.DUMMYFUNCTION("""COMPUTED_VALUE"""),116989.0)</f>
        <v>116989</v>
      </c>
      <c r="B4758" s="2">
        <f>IFERROR(__xludf.DUMMYFUNCTION("""COMPUTED_VALUE"""),1.0)</f>
        <v>1</v>
      </c>
      <c r="C4758" s="2">
        <f>IFERROR(__xludf.DUMMYFUNCTION("""COMPUTED_VALUE"""),44.0)</f>
        <v>44</v>
      </c>
      <c r="D4758" s="3">
        <f>IFERROR(__xludf.DUMMYFUNCTION("""COMPUTED_VALUE"""),40.0)</f>
        <v>40</v>
      </c>
      <c r="E4758" s="1" t="str">
        <f t="array" ref="E4758">_xlfn.XLOOKUP(A4758,Product!A:A,Product!B:B,"Bulunamadı")</f>
        <v>Sports</v>
      </c>
      <c r="F4758" s="1" t="str">
        <f t="array" ref="F4758">_xlfn.XLOOKUP(A4758,Product!A:A,Product!C:C,"Bulunamadı")</f>
        <v>Venture Capital</v>
      </c>
      <c r="G4758" s="2" t="str">
        <f t="array" ref="G4758">_xlfn.XLOOKUP(A4759,Product!A:A,Product!D:D,"Bulunamadı")</f>
        <v>Cedarway House</v>
      </c>
      <c r="H4758" s="2">
        <f t="array" ref="H4758">_xlfn.XLOOKUP(A4760,Product!A:A,Product!E:E,"Bulunamadı")</f>
        <v>22.18</v>
      </c>
      <c r="I4758" s="2" t="str">
        <f t="shared" si="1"/>
        <v>116989 - Sports - Venture Capital</v>
      </c>
      <c r="J4758" s="2">
        <f t="shared" si="2"/>
        <v>887.2</v>
      </c>
      <c r="K4758" s="17">
        <f t="shared" si="3"/>
        <v>1</v>
      </c>
      <c r="L4758" s="18"/>
    </row>
    <row r="4759" hidden="1">
      <c r="A4759" s="2">
        <f>IFERROR(__xludf.DUMMYFUNCTION("""COMPUTED_VALUE"""),43826.0)</f>
        <v>43826</v>
      </c>
      <c r="B4759" s="2">
        <f>IFERROR(__xludf.DUMMYFUNCTION("""COMPUTED_VALUE"""),0.0)</f>
        <v>0</v>
      </c>
      <c r="C4759" s="2">
        <f>IFERROR(__xludf.DUMMYFUNCTION("""COMPUTED_VALUE"""),481.0)</f>
        <v>481</v>
      </c>
      <c r="D4759" s="3">
        <f>IFERROR(__xludf.DUMMYFUNCTION("""COMPUTED_VALUE"""),106.0)</f>
        <v>106</v>
      </c>
      <c r="E4759" s="1" t="str">
        <f t="array" ref="E4759">_xlfn.XLOOKUP(A4759,Product!A:A,Product!B:B,"Bulunamadı")</f>
        <v>Sports</v>
      </c>
      <c r="F4759" s="1" t="str">
        <f t="array" ref="F4759">_xlfn.XLOOKUP(A4759,Product!A:A,Product!C:C,"Bulunamadı")</f>
        <v>Venture Capital</v>
      </c>
      <c r="G4759" s="2" t="str">
        <f t="array" ref="G4759">_xlfn.XLOOKUP(A4760,Product!A:A,Product!D:D,"Bulunamadı")</f>
        <v>Cedarway House</v>
      </c>
      <c r="H4759" s="2">
        <f t="array" ref="H4759">_xlfn.XLOOKUP(A4761,Product!A:A,Product!E:E,"Bulunamadı")</f>
        <v>5.4</v>
      </c>
      <c r="I4759" s="2" t="str">
        <f t="shared" si="1"/>
        <v>43826 - Sports - Venture Capital</v>
      </c>
      <c r="J4759" s="2">
        <f t="shared" si="2"/>
        <v>572.4</v>
      </c>
      <c r="K4759" s="17">
        <f t="shared" si="3"/>
        <v>1</v>
      </c>
      <c r="L4759" s="18"/>
    </row>
    <row r="4760" hidden="1">
      <c r="A4760" s="2">
        <f>IFERROR(__xludf.DUMMYFUNCTION("""COMPUTED_VALUE"""),8769.0)</f>
        <v>8769</v>
      </c>
      <c r="B4760" s="2">
        <f>IFERROR(__xludf.DUMMYFUNCTION("""COMPUTED_VALUE"""),1.0)</f>
        <v>1</v>
      </c>
      <c r="C4760" s="2">
        <f>IFERROR(__xludf.DUMMYFUNCTION("""COMPUTED_VALUE"""),776.0)</f>
        <v>776</v>
      </c>
      <c r="D4760" s="3">
        <f>IFERROR(__xludf.DUMMYFUNCTION("""COMPUTED_VALUE"""),205.0)</f>
        <v>205</v>
      </c>
      <c r="E4760" s="1" t="str">
        <f t="array" ref="E4760">_xlfn.XLOOKUP(A4760,Product!A:A,Product!B:B,"Bulunamadı")</f>
        <v>Sports</v>
      </c>
      <c r="F4760" s="1" t="str">
        <f t="array" ref="F4760">_xlfn.XLOOKUP(A4760,Product!A:A,Product!C:C,"Bulunamadı")</f>
        <v>Venture Capital</v>
      </c>
      <c r="G4760" s="2" t="str">
        <f t="array" ref="G4760">_xlfn.XLOOKUP(A4761,Product!A:A,Product!D:D,"Bulunamadı")</f>
        <v>Cedarway House</v>
      </c>
      <c r="H4760" s="2">
        <f t="array" ref="H4760">_xlfn.XLOOKUP(A4762,Product!A:A,Product!E:E,"Bulunamadı")</f>
        <v>9.11</v>
      </c>
      <c r="I4760" s="2" t="str">
        <f t="shared" si="1"/>
        <v>8769 - Sports - Venture Capital</v>
      </c>
      <c r="J4760" s="2">
        <f t="shared" si="2"/>
        <v>1867.55</v>
      </c>
      <c r="K4760" s="17">
        <f t="shared" si="3"/>
        <v>1</v>
      </c>
      <c r="L4760" s="18"/>
    </row>
    <row r="4761" hidden="1">
      <c r="A4761" s="2">
        <f>IFERROR(__xludf.DUMMYFUNCTION("""COMPUTED_VALUE"""),104427.0)</f>
        <v>104427</v>
      </c>
      <c r="B4761" s="2">
        <f>IFERROR(__xludf.DUMMYFUNCTION("""COMPUTED_VALUE"""),0.0)</f>
        <v>0</v>
      </c>
      <c r="C4761" s="2">
        <f>IFERROR(__xludf.DUMMYFUNCTION("""COMPUTED_VALUE"""),259.0)</f>
        <v>259</v>
      </c>
      <c r="D4761" s="3">
        <f>IFERROR(__xludf.DUMMYFUNCTION("""COMPUTED_VALUE"""),25.0)</f>
        <v>25</v>
      </c>
      <c r="E4761" s="1" t="str">
        <f t="array" ref="E4761">_xlfn.XLOOKUP(A4761,Product!A:A,Product!B:B,"Bulunamadı")</f>
        <v>Sports</v>
      </c>
      <c r="F4761" s="1" t="str">
        <f t="array" ref="F4761">_xlfn.XLOOKUP(A4761,Product!A:A,Product!C:C,"Bulunamadı")</f>
        <v>Venture Capital</v>
      </c>
      <c r="G4761" s="2" t="str">
        <f t="array" ref="G4761">_xlfn.XLOOKUP(A4762,Product!A:A,Product!D:D,"Bulunamadı")</f>
        <v>Cedarway House</v>
      </c>
      <c r="H4761" s="2">
        <f t="array" ref="H4761">_xlfn.XLOOKUP(A4763,Product!A:A,Product!E:E,"Bulunamadı")</f>
        <v>11.05</v>
      </c>
      <c r="I4761" s="2" t="str">
        <f t="shared" si="1"/>
        <v>104427 - Sports - Venture Capital</v>
      </c>
      <c r="J4761" s="2">
        <f t="shared" si="2"/>
        <v>276.25</v>
      </c>
      <c r="K4761" s="17">
        <f t="shared" si="3"/>
        <v>1</v>
      </c>
      <c r="L4761" s="18"/>
    </row>
    <row r="4762" hidden="1">
      <c r="A4762" s="2">
        <f>IFERROR(__xludf.DUMMYFUNCTION("""COMPUTED_VALUE"""),8770.0)</f>
        <v>8770</v>
      </c>
      <c r="B4762" s="2">
        <f>IFERROR(__xludf.DUMMYFUNCTION("""COMPUTED_VALUE"""),0.0)</f>
        <v>0</v>
      </c>
      <c r="C4762" s="2">
        <f>IFERROR(__xludf.DUMMYFUNCTION("""COMPUTED_VALUE"""),175.0)</f>
        <v>175</v>
      </c>
      <c r="D4762" s="3">
        <f>IFERROR(__xludf.DUMMYFUNCTION("""COMPUTED_VALUE"""),109.0)</f>
        <v>109</v>
      </c>
      <c r="E4762" s="1" t="str">
        <f t="array" ref="E4762">_xlfn.XLOOKUP(A4762,Product!A:A,Product!B:B,"Bulunamadı")</f>
        <v>Sports</v>
      </c>
      <c r="F4762" s="1" t="str">
        <f t="array" ref="F4762">_xlfn.XLOOKUP(A4762,Product!A:A,Product!C:C,"Bulunamadı")</f>
        <v>Venture Capital</v>
      </c>
      <c r="G4762" s="2" t="str">
        <f t="array" ref="G4762">_xlfn.XLOOKUP(A4763,Product!A:A,Product!D:D,"Bulunamadı")</f>
        <v>Brightway House</v>
      </c>
      <c r="H4762" s="2">
        <f t="array" ref="H4762">_xlfn.XLOOKUP(A4764,Product!A:A,Product!E:E,"Bulunamadı")</f>
        <v>6.18</v>
      </c>
      <c r="I4762" s="2" t="str">
        <f t="shared" si="1"/>
        <v>8770 - Sports - Venture Capital</v>
      </c>
      <c r="J4762" s="2">
        <f t="shared" si="2"/>
        <v>673.62</v>
      </c>
      <c r="K4762" s="17">
        <f t="shared" si="3"/>
        <v>1</v>
      </c>
      <c r="L4762" s="18"/>
    </row>
    <row r="4763" hidden="1">
      <c r="A4763" s="2">
        <f>IFERROR(__xludf.DUMMYFUNCTION("""COMPUTED_VALUE"""),94930.0)</f>
        <v>94930</v>
      </c>
      <c r="B4763" s="2">
        <f>IFERROR(__xludf.DUMMYFUNCTION("""COMPUTED_VALUE"""),0.0)</f>
        <v>0</v>
      </c>
      <c r="C4763" s="2">
        <f>IFERROR(__xludf.DUMMYFUNCTION("""COMPUTED_VALUE"""),184.0)</f>
        <v>184</v>
      </c>
      <c r="D4763" s="3">
        <f>IFERROR(__xludf.DUMMYFUNCTION("""COMPUTED_VALUE"""),62.0)</f>
        <v>62</v>
      </c>
      <c r="E4763" s="1" t="str">
        <f t="array" ref="E4763">_xlfn.XLOOKUP(A4763,Product!A:A,Product!B:B,"Bulunamadı")</f>
        <v>Sports</v>
      </c>
      <c r="F4763" s="1" t="str">
        <f t="array" ref="F4763">_xlfn.XLOOKUP(A4763,Product!A:A,Product!C:C,"Bulunamadı")</f>
        <v>Venture Capital</v>
      </c>
      <c r="G4763" s="2" t="str">
        <f t="array" ref="G4763">_xlfn.XLOOKUP(A4764,Product!A:A,Product!D:D,"Bulunamadı")</f>
        <v>Brightway House</v>
      </c>
      <c r="H4763" s="2">
        <f t="array" ref="H4763">_xlfn.XLOOKUP(A4765,Product!A:A,Product!E:E,"Bulunamadı")</f>
        <v>5.57</v>
      </c>
      <c r="I4763" s="2" t="str">
        <f t="shared" si="1"/>
        <v>94930 - Sports - Venture Capital</v>
      </c>
      <c r="J4763" s="2">
        <f t="shared" si="2"/>
        <v>345.34</v>
      </c>
      <c r="K4763" s="17">
        <f t="shared" si="3"/>
        <v>1</v>
      </c>
      <c r="L4763" s="18"/>
    </row>
    <row r="4764" hidden="1">
      <c r="A4764" s="2">
        <f>IFERROR(__xludf.DUMMYFUNCTION("""COMPUTED_VALUE"""),111576.0)</f>
        <v>111576</v>
      </c>
      <c r="B4764" s="2">
        <f>IFERROR(__xludf.DUMMYFUNCTION("""COMPUTED_VALUE"""),1.0)</f>
        <v>1</v>
      </c>
      <c r="C4764" s="2">
        <f>IFERROR(__xludf.DUMMYFUNCTION("""COMPUTED_VALUE"""),372.0)</f>
        <v>372</v>
      </c>
      <c r="D4764" s="3">
        <f>IFERROR(__xludf.DUMMYFUNCTION("""COMPUTED_VALUE"""),12.0)</f>
        <v>12</v>
      </c>
      <c r="E4764" s="1" t="str">
        <f t="array" ref="E4764">_xlfn.XLOOKUP(A4764,Product!A:A,Product!B:B,"Bulunamadı")</f>
        <v>Sports</v>
      </c>
      <c r="F4764" s="1" t="str">
        <f t="array" ref="F4764">_xlfn.XLOOKUP(A4764,Product!A:A,Product!C:C,"Bulunamadı")</f>
        <v>Venture Capital</v>
      </c>
      <c r="G4764" s="2" t="str">
        <f t="array" ref="G4764">_xlfn.XLOOKUP(A4765,Product!A:A,Product!D:D,"Bulunamadı")</f>
        <v>Brightway House</v>
      </c>
      <c r="H4764" s="2">
        <f t="array" ref="H4764">_xlfn.XLOOKUP(A4766,Product!A:A,Product!E:E,"Bulunamadı")</f>
        <v>2.91</v>
      </c>
      <c r="I4764" s="2" t="str">
        <f t="shared" si="1"/>
        <v>111576 - Sports - Venture Capital</v>
      </c>
      <c r="J4764" s="2">
        <f t="shared" si="2"/>
        <v>34.92</v>
      </c>
      <c r="K4764" s="17">
        <f t="shared" si="3"/>
        <v>1</v>
      </c>
      <c r="L4764" s="18"/>
    </row>
    <row r="4765" hidden="1">
      <c r="A4765" s="2">
        <f>IFERROR(__xludf.DUMMYFUNCTION("""COMPUTED_VALUE"""),71715.0)</f>
        <v>71715</v>
      </c>
      <c r="B4765" s="2">
        <f>IFERROR(__xludf.DUMMYFUNCTION("""COMPUTED_VALUE"""),0.0)</f>
        <v>0</v>
      </c>
      <c r="C4765" s="2">
        <f>IFERROR(__xludf.DUMMYFUNCTION("""COMPUTED_VALUE"""),859.0)</f>
        <v>859</v>
      </c>
      <c r="D4765" s="3">
        <f>IFERROR(__xludf.DUMMYFUNCTION("""COMPUTED_VALUE"""),380.0)</f>
        <v>380</v>
      </c>
      <c r="E4765" s="1" t="str">
        <f t="array" ref="E4765">_xlfn.XLOOKUP(A4765,Product!A:A,Product!B:B,"Bulunamadı")</f>
        <v>Sports</v>
      </c>
      <c r="F4765" s="1" t="str">
        <f t="array" ref="F4765">_xlfn.XLOOKUP(A4765,Product!A:A,Product!C:C,"Bulunamadı")</f>
        <v>Venture Capital</v>
      </c>
      <c r="G4765" s="2" t="str">
        <f t="array" ref="G4765">_xlfn.XLOOKUP(A4766,Product!A:A,Product!D:D,"Bulunamadı")</f>
        <v>Brightway House</v>
      </c>
      <c r="H4765" s="2">
        <f t="array" ref="H4765">_xlfn.XLOOKUP(A4767,Product!A:A,Product!E:E,"Bulunamadı")</f>
        <v>7.71</v>
      </c>
      <c r="I4765" s="2" t="str">
        <f t="shared" si="1"/>
        <v>71715 - Sports - Venture Capital</v>
      </c>
      <c r="J4765" s="2">
        <f t="shared" si="2"/>
        <v>2929.8</v>
      </c>
      <c r="K4765" s="17">
        <f t="shared" si="3"/>
        <v>1</v>
      </c>
      <c r="L4765" s="18"/>
    </row>
    <row r="4766" hidden="1">
      <c r="A4766" s="2">
        <f>IFERROR(__xludf.DUMMYFUNCTION("""COMPUTED_VALUE"""),71710.0)</f>
        <v>71710</v>
      </c>
      <c r="B4766" s="2">
        <f>IFERROR(__xludf.DUMMYFUNCTION("""COMPUTED_VALUE"""),1.0)</f>
        <v>1</v>
      </c>
      <c r="C4766" s="2">
        <f>IFERROR(__xludf.DUMMYFUNCTION("""COMPUTED_VALUE"""),428.0)</f>
        <v>428</v>
      </c>
      <c r="D4766" s="3">
        <f>IFERROR(__xludf.DUMMYFUNCTION("""COMPUTED_VALUE"""),61.0)</f>
        <v>61</v>
      </c>
      <c r="E4766" s="1" t="str">
        <f t="array" ref="E4766">_xlfn.XLOOKUP(A4766,Product!A:A,Product!B:B,"Bulunamadı")</f>
        <v>Sports</v>
      </c>
      <c r="F4766" s="1" t="str">
        <f t="array" ref="F4766">_xlfn.XLOOKUP(A4766,Product!A:A,Product!C:C,"Bulunamadı")</f>
        <v>Venture Capital</v>
      </c>
      <c r="G4766" s="2" t="str">
        <f t="array" ref="G4766">_xlfn.XLOOKUP(A4767,Product!A:A,Product!D:D,"Bulunamadı")</f>
        <v>Oakway House</v>
      </c>
      <c r="H4766" s="2">
        <f t="array" ref="H4766">_xlfn.XLOOKUP(A4768,Product!A:A,Product!E:E,"Bulunamadı")</f>
        <v>12.8</v>
      </c>
      <c r="I4766" s="2" t="str">
        <f t="shared" si="1"/>
        <v>71710 - Sports - Venture Capital</v>
      </c>
      <c r="J4766" s="2">
        <f t="shared" si="2"/>
        <v>780.8</v>
      </c>
      <c r="K4766" s="17">
        <f t="shared" si="3"/>
        <v>1</v>
      </c>
      <c r="L4766" s="18"/>
    </row>
    <row r="4767" hidden="1">
      <c r="A4767" s="2">
        <f>IFERROR(__xludf.DUMMYFUNCTION("""COMPUTED_VALUE"""),102790.0)</f>
        <v>102790</v>
      </c>
      <c r="B4767" s="2">
        <f>IFERROR(__xludf.DUMMYFUNCTION("""COMPUTED_VALUE"""),1.0)</f>
        <v>1</v>
      </c>
      <c r="C4767" s="2">
        <f>IFERROR(__xludf.DUMMYFUNCTION("""COMPUTED_VALUE"""),913.0)</f>
        <v>913</v>
      </c>
      <c r="D4767" s="3">
        <f>IFERROR(__xludf.DUMMYFUNCTION("""COMPUTED_VALUE"""),538.0)</f>
        <v>538</v>
      </c>
      <c r="E4767" s="1" t="str">
        <f t="array" ref="E4767">_xlfn.XLOOKUP(A4767,Product!A:A,Product!B:B,"Bulunamadı")</f>
        <v>Sports</v>
      </c>
      <c r="F4767" s="1" t="str">
        <f t="array" ref="F4767">_xlfn.XLOOKUP(A4767,Product!A:A,Product!C:C,"Bulunamadı")</f>
        <v>Venture Capital</v>
      </c>
      <c r="G4767" s="2" t="str">
        <f t="array" ref="G4767">_xlfn.XLOOKUP(A4768,Product!A:A,Product!D:D,"Bulunamadı")</f>
        <v>Oakway House</v>
      </c>
      <c r="H4767" s="2">
        <f t="array" ref="H4767">_xlfn.XLOOKUP(A4769,Product!A:A,Product!E:E,"Bulunamadı")</f>
        <v>6.71</v>
      </c>
      <c r="I4767" s="2" t="str">
        <f t="shared" si="1"/>
        <v>102790 - Sports - Venture Capital</v>
      </c>
      <c r="J4767" s="2">
        <f t="shared" si="2"/>
        <v>3609.98</v>
      </c>
      <c r="K4767" s="17">
        <f t="shared" si="3"/>
        <v>1</v>
      </c>
      <c r="L4767" s="18"/>
    </row>
    <row r="4768" hidden="1">
      <c r="A4768" s="2">
        <f>IFERROR(__xludf.DUMMYFUNCTION("""COMPUTED_VALUE"""),3518.0)</f>
        <v>3518</v>
      </c>
      <c r="B4768" s="2">
        <f>IFERROR(__xludf.DUMMYFUNCTION("""COMPUTED_VALUE"""),1.0)</f>
        <v>1</v>
      </c>
      <c r="C4768" s="2">
        <f>IFERROR(__xludf.DUMMYFUNCTION("""COMPUTED_VALUE"""),642.0)</f>
        <v>642</v>
      </c>
      <c r="D4768" s="3">
        <f>IFERROR(__xludf.DUMMYFUNCTION("""COMPUTED_VALUE"""),637.0)</f>
        <v>637</v>
      </c>
      <c r="E4768" s="1" t="str">
        <f t="array" ref="E4768">_xlfn.XLOOKUP(A4768,Product!A:A,Product!B:B,"Bulunamadı")</f>
        <v>Sports</v>
      </c>
      <c r="F4768" s="1" t="str">
        <f t="array" ref="F4768">_xlfn.XLOOKUP(A4768,Product!A:A,Product!C:C,"Bulunamadı")</f>
        <v>Venture Capital</v>
      </c>
      <c r="G4768" s="2" t="str">
        <f t="array" ref="G4768">_xlfn.XLOOKUP(A4769,Product!A:A,Product!D:D,"Bulunamadı")</f>
        <v>Oakway House</v>
      </c>
      <c r="H4768" s="2">
        <f t="array" ref="H4768">_xlfn.XLOOKUP(A4770,Product!A:A,Product!E:E,"Bulunamadı")</f>
        <v>8.2</v>
      </c>
      <c r="I4768" s="2" t="str">
        <f t="shared" si="1"/>
        <v>3518 - Sports - Venture Capital</v>
      </c>
      <c r="J4768" s="2">
        <f t="shared" si="2"/>
        <v>5223.4</v>
      </c>
      <c r="K4768" s="17">
        <f t="shared" si="3"/>
        <v>1</v>
      </c>
      <c r="L4768" s="18"/>
    </row>
    <row r="4769" hidden="1">
      <c r="A4769" s="2">
        <f>IFERROR(__xludf.DUMMYFUNCTION("""COMPUTED_VALUE"""),18318.0)</f>
        <v>18318</v>
      </c>
      <c r="B4769" s="2">
        <f>IFERROR(__xludf.DUMMYFUNCTION("""COMPUTED_VALUE"""),1.0)</f>
        <v>1</v>
      </c>
      <c r="C4769" s="2">
        <f>IFERROR(__xludf.DUMMYFUNCTION("""COMPUTED_VALUE"""),508.0)</f>
        <v>508</v>
      </c>
      <c r="D4769" s="3">
        <f>IFERROR(__xludf.DUMMYFUNCTION("""COMPUTED_VALUE"""),504.0)</f>
        <v>504</v>
      </c>
      <c r="E4769" s="1" t="str">
        <f t="array" ref="E4769">_xlfn.XLOOKUP(A4769,Product!A:A,Product!B:B,"Bulunamadı")</f>
        <v>Sports</v>
      </c>
      <c r="F4769" s="1" t="str">
        <f t="array" ref="F4769">_xlfn.XLOOKUP(A4769,Product!A:A,Product!C:C,"Bulunamadı")</f>
        <v>Venture Capital</v>
      </c>
      <c r="G4769" s="2" t="str">
        <f t="array" ref="G4769">_xlfn.XLOOKUP(A4770,Product!A:A,Product!D:D,"Bulunamadı")</f>
        <v>Riverway House</v>
      </c>
      <c r="H4769" s="2">
        <f t="array" ref="H4769">_xlfn.XLOOKUP(A4771,Product!A:A,Product!E:E,"Bulunamadı")</f>
        <v>7.22</v>
      </c>
      <c r="I4769" s="2" t="str">
        <f t="shared" si="1"/>
        <v>18318 - Sports - Venture Capital</v>
      </c>
      <c r="J4769" s="2">
        <f t="shared" si="2"/>
        <v>3638.88</v>
      </c>
      <c r="K4769" s="17">
        <f t="shared" si="3"/>
        <v>1</v>
      </c>
      <c r="L4769" s="18"/>
    </row>
    <row r="4770" hidden="1">
      <c r="A4770" s="2">
        <f>IFERROR(__xludf.DUMMYFUNCTION("""COMPUTED_VALUE"""),104220.0)</f>
        <v>104220</v>
      </c>
      <c r="B4770" s="2">
        <f>IFERROR(__xludf.DUMMYFUNCTION("""COMPUTED_VALUE"""),0.0)</f>
        <v>0</v>
      </c>
      <c r="C4770" s="2">
        <f>IFERROR(__xludf.DUMMYFUNCTION("""COMPUTED_VALUE"""),977.0)</f>
        <v>977</v>
      </c>
      <c r="D4770" s="3">
        <f>IFERROR(__xludf.DUMMYFUNCTION("""COMPUTED_VALUE"""),486.0)</f>
        <v>486</v>
      </c>
      <c r="E4770" s="1" t="str">
        <f t="array" ref="E4770">_xlfn.XLOOKUP(A4770,Product!A:A,Product!B:B,"Bulunamadı")</f>
        <v>Sports</v>
      </c>
      <c r="F4770" s="1" t="str">
        <f t="array" ref="F4770">_xlfn.XLOOKUP(A4770,Product!A:A,Product!C:C,"Bulunamadı")</f>
        <v>Venture Capital</v>
      </c>
      <c r="G4770" s="2" t="str">
        <f t="array" ref="G4770">_xlfn.XLOOKUP(A4771,Product!A:A,Product!D:D,"Bulunamadı")</f>
        <v>Riverway House</v>
      </c>
      <c r="H4770" s="2">
        <f t="array" ref="H4770">_xlfn.XLOOKUP(A4772,Product!A:A,Product!E:E,"Bulunamadı")</f>
        <v>17.38</v>
      </c>
      <c r="I4770" s="2" t="str">
        <f t="shared" si="1"/>
        <v>104220 - Sports - Venture Capital</v>
      </c>
      <c r="J4770" s="2">
        <f t="shared" si="2"/>
        <v>8446.68</v>
      </c>
      <c r="K4770" s="17">
        <f t="shared" si="3"/>
        <v>1</v>
      </c>
      <c r="L4770" s="18"/>
    </row>
    <row r="4771" hidden="1">
      <c r="A4771" s="2">
        <f>IFERROR(__xludf.DUMMYFUNCTION("""COMPUTED_VALUE"""),106109.0)</f>
        <v>106109</v>
      </c>
      <c r="B4771" s="2">
        <f>IFERROR(__xludf.DUMMYFUNCTION("""COMPUTED_VALUE"""),1.0)</f>
        <v>1</v>
      </c>
      <c r="C4771" s="2">
        <f>IFERROR(__xludf.DUMMYFUNCTION("""COMPUTED_VALUE"""),595.0)</f>
        <v>595</v>
      </c>
      <c r="D4771" s="3">
        <f>IFERROR(__xludf.DUMMYFUNCTION("""COMPUTED_VALUE"""),542.0)</f>
        <v>542</v>
      </c>
      <c r="E4771" s="1" t="str">
        <f t="array" ref="E4771">_xlfn.XLOOKUP(A4771,Product!A:A,Product!B:B,"Bulunamadı")</f>
        <v>Sports</v>
      </c>
      <c r="F4771" s="1" t="str">
        <f t="array" ref="F4771">_xlfn.XLOOKUP(A4771,Product!A:A,Product!C:C,"Bulunamadı")</f>
        <v>Venture Capital</v>
      </c>
      <c r="G4771" s="2" t="str">
        <f t="array" ref="G4771">_xlfn.XLOOKUP(A4772,Product!A:A,Product!D:D,"Bulunamadı")</f>
        <v>Riverway House</v>
      </c>
      <c r="H4771" s="2">
        <f t="array" ref="H4771">_xlfn.XLOOKUP(A4773,Product!A:A,Product!E:E,"Bulunamadı")</f>
        <v>6.25</v>
      </c>
      <c r="I4771" s="2" t="str">
        <f t="shared" si="1"/>
        <v>106109 - Sports - Venture Capital</v>
      </c>
      <c r="J4771" s="2">
        <f t="shared" si="2"/>
        <v>3387.5</v>
      </c>
      <c r="K4771" s="17">
        <f t="shared" si="3"/>
        <v>1</v>
      </c>
      <c r="L4771" s="18"/>
    </row>
    <row r="4772" hidden="1">
      <c r="A4772" s="2">
        <f>IFERROR(__xludf.DUMMYFUNCTION("""COMPUTED_VALUE"""),72162.0)</f>
        <v>72162</v>
      </c>
      <c r="B4772" s="2">
        <f>IFERROR(__xludf.DUMMYFUNCTION("""COMPUTED_VALUE"""),1.0)</f>
        <v>1</v>
      </c>
      <c r="C4772" s="2">
        <f>IFERROR(__xludf.DUMMYFUNCTION("""COMPUTED_VALUE"""),360.0)</f>
        <v>360</v>
      </c>
      <c r="D4772" s="3">
        <f>IFERROR(__xludf.DUMMYFUNCTION("""COMPUTED_VALUE"""),317.0)</f>
        <v>317</v>
      </c>
      <c r="E4772" s="1" t="str">
        <f t="array" ref="E4772">_xlfn.XLOOKUP(A4772,Product!A:A,Product!B:B,"Bulunamadı")</f>
        <v>Sports</v>
      </c>
      <c r="F4772" s="1" t="str">
        <f t="array" ref="F4772">_xlfn.XLOOKUP(A4772,Product!A:A,Product!C:C,"Bulunamadı")</f>
        <v>Venture Capital</v>
      </c>
      <c r="G4772" s="2" t="str">
        <f t="array" ref="G4772">_xlfn.XLOOKUP(A4773,Product!A:A,Product!D:D,"Bulunamadı")</f>
        <v>Riverway House</v>
      </c>
      <c r="H4772" s="2">
        <f t="array" ref="H4772">_xlfn.XLOOKUP(A4774,Product!A:A,Product!E:E,"Bulunamadı")</f>
        <v>9.93</v>
      </c>
      <c r="I4772" s="2" t="str">
        <f t="shared" si="1"/>
        <v>72162 - Sports - Venture Capital</v>
      </c>
      <c r="J4772" s="2">
        <f t="shared" si="2"/>
        <v>3147.81</v>
      </c>
      <c r="K4772" s="17">
        <f t="shared" si="3"/>
        <v>1</v>
      </c>
      <c r="L4772" s="18"/>
    </row>
    <row r="4773" hidden="1">
      <c r="A4773" s="2">
        <f>IFERROR(__xludf.DUMMYFUNCTION("""COMPUTED_VALUE"""),104410.0)</f>
        <v>104410</v>
      </c>
      <c r="B4773" s="2">
        <f>IFERROR(__xludf.DUMMYFUNCTION("""COMPUTED_VALUE"""),0.0)</f>
        <v>0</v>
      </c>
      <c r="C4773" s="2">
        <f>IFERROR(__xludf.DUMMYFUNCTION("""COMPUTED_VALUE"""),448.0)</f>
        <v>448</v>
      </c>
      <c r="D4773" s="3">
        <f>IFERROR(__xludf.DUMMYFUNCTION("""COMPUTED_VALUE"""),48.0)</f>
        <v>48</v>
      </c>
      <c r="E4773" s="1" t="str">
        <f t="array" ref="E4773">_xlfn.XLOOKUP(A4773,Product!A:A,Product!B:B,"Bulunamadı")</f>
        <v>Sports</v>
      </c>
      <c r="F4773" s="1" t="str">
        <f t="array" ref="F4773">_xlfn.XLOOKUP(A4773,Product!A:A,Product!C:C,"Bulunamadı")</f>
        <v>Venture Capital</v>
      </c>
      <c r="G4773" s="2" t="str">
        <f t="array" ref="G4773">_xlfn.XLOOKUP(A4774,Product!A:A,Product!D:D,"Bulunamadı")</f>
        <v>Riverway House</v>
      </c>
      <c r="H4773" s="2">
        <f t="array" ref="H4773">_xlfn.XLOOKUP(A4775,Product!A:A,Product!E:E,"Bulunamadı")</f>
        <v>15.78</v>
      </c>
      <c r="I4773" s="2" t="str">
        <f t="shared" si="1"/>
        <v>104410 - Sports - Venture Capital</v>
      </c>
      <c r="J4773" s="2">
        <f t="shared" si="2"/>
        <v>757.44</v>
      </c>
      <c r="K4773" s="17">
        <f t="shared" si="3"/>
        <v>1</v>
      </c>
      <c r="L4773" s="18"/>
    </row>
    <row r="4774" hidden="1">
      <c r="A4774" s="2">
        <f>IFERROR(__xludf.DUMMYFUNCTION("""COMPUTED_VALUE"""),88825.0)</f>
        <v>88825</v>
      </c>
      <c r="B4774" s="2">
        <f>IFERROR(__xludf.DUMMYFUNCTION("""COMPUTED_VALUE"""),1.0)</f>
        <v>1</v>
      </c>
      <c r="C4774" s="2">
        <f>IFERROR(__xludf.DUMMYFUNCTION("""COMPUTED_VALUE"""),536.0)</f>
        <v>536</v>
      </c>
      <c r="D4774" s="3">
        <f>IFERROR(__xludf.DUMMYFUNCTION("""COMPUTED_VALUE"""),153.0)</f>
        <v>153</v>
      </c>
      <c r="E4774" s="1" t="str">
        <f t="array" ref="E4774">_xlfn.XLOOKUP(A4774,Product!A:A,Product!B:B,"Bulunamadı")</f>
        <v>Sports</v>
      </c>
      <c r="F4774" s="1" t="str">
        <f t="array" ref="F4774">_xlfn.XLOOKUP(A4774,Product!A:A,Product!C:C,"Bulunamadı")</f>
        <v>Venture Capital</v>
      </c>
      <c r="G4774" s="2" t="str">
        <f t="array" ref="G4774">_xlfn.XLOOKUP(A4775,Product!A:A,Product!D:D,"Bulunamadı")</f>
        <v>Riverway House</v>
      </c>
      <c r="H4774" s="2">
        <f t="array" ref="H4774">_xlfn.XLOOKUP(A4776,Product!A:A,Product!E:E,"Bulunamadı")</f>
        <v>28.98</v>
      </c>
      <c r="I4774" s="2" t="str">
        <f t="shared" si="1"/>
        <v>88825 - Sports - Venture Capital</v>
      </c>
      <c r="J4774" s="2">
        <f t="shared" si="2"/>
        <v>4433.94</v>
      </c>
      <c r="K4774" s="17">
        <f t="shared" si="3"/>
        <v>1</v>
      </c>
      <c r="L4774" s="18"/>
    </row>
    <row r="4775" hidden="1">
      <c r="A4775" s="2">
        <f>IFERROR(__xludf.DUMMYFUNCTION("""COMPUTED_VALUE"""),13928.0)</f>
        <v>13928</v>
      </c>
      <c r="B4775" s="2">
        <f>IFERROR(__xludf.DUMMYFUNCTION("""COMPUTED_VALUE"""),0.0)</f>
        <v>0</v>
      </c>
      <c r="C4775" s="2">
        <f>IFERROR(__xludf.DUMMYFUNCTION("""COMPUTED_VALUE"""),186.0)</f>
        <v>186</v>
      </c>
      <c r="D4775" s="3">
        <f>IFERROR(__xludf.DUMMYFUNCTION("""COMPUTED_VALUE"""),141.0)</f>
        <v>141</v>
      </c>
      <c r="E4775" s="1" t="str">
        <f t="array" ref="E4775">_xlfn.XLOOKUP(A4775,Product!A:A,Product!B:B,"Bulunamadı")</f>
        <v>Sports</v>
      </c>
      <c r="F4775" s="1" t="str">
        <f t="array" ref="F4775">_xlfn.XLOOKUP(A4775,Product!A:A,Product!C:C,"Bulunamadı")</f>
        <v>Venture Capital</v>
      </c>
      <c r="G4775" s="2" t="str">
        <f t="array" ref="G4775">_xlfn.XLOOKUP(A4776,Product!A:A,Product!D:D,"Bulunamadı")</f>
        <v>Riverway House</v>
      </c>
      <c r="H4775" s="2">
        <f t="array" ref="H4775">_xlfn.XLOOKUP(A4777,Product!A:A,Product!E:E,"Bulunamadı")</f>
        <v>13.62</v>
      </c>
      <c r="I4775" s="2" t="str">
        <f t="shared" si="1"/>
        <v>13928 - Sports - Venture Capital</v>
      </c>
      <c r="J4775" s="2">
        <f t="shared" si="2"/>
        <v>1920.42</v>
      </c>
      <c r="K4775" s="17">
        <f t="shared" si="3"/>
        <v>1</v>
      </c>
      <c r="L4775" s="18"/>
    </row>
    <row r="4776" hidden="1">
      <c r="A4776" s="2">
        <f>IFERROR(__xludf.DUMMYFUNCTION("""COMPUTED_VALUE"""),45368.0)</f>
        <v>45368</v>
      </c>
      <c r="B4776" s="2">
        <f>IFERROR(__xludf.DUMMYFUNCTION("""COMPUTED_VALUE"""),1.0)</f>
        <v>1</v>
      </c>
      <c r="C4776" s="2">
        <f>IFERROR(__xludf.DUMMYFUNCTION("""COMPUTED_VALUE"""),4.0)</f>
        <v>4</v>
      </c>
      <c r="D4776" s="3">
        <f>IFERROR(__xludf.DUMMYFUNCTION("""COMPUTED_VALUE"""),1.0)</f>
        <v>1</v>
      </c>
      <c r="E4776" s="1" t="str">
        <f t="array" ref="E4776">_xlfn.XLOOKUP(A4776,Product!A:A,Product!B:B,"Bulunamadı")</f>
        <v>Sports</v>
      </c>
      <c r="F4776" s="1" t="str">
        <f t="array" ref="F4776">_xlfn.XLOOKUP(A4776,Product!A:A,Product!C:C,"Bulunamadı")</f>
        <v>Venture Capital</v>
      </c>
      <c r="G4776" s="2" t="str">
        <f t="array" ref="G4776">_xlfn.XLOOKUP(A4777,Product!A:A,Product!D:D,"Bulunamadı")</f>
        <v>Riverway House</v>
      </c>
      <c r="H4776" s="2">
        <f t="array" ref="H4776">_xlfn.XLOOKUP(A4778,Product!A:A,Product!E:E,"Bulunamadı")</f>
        <v>4.54</v>
      </c>
      <c r="I4776" s="2" t="str">
        <f t="shared" si="1"/>
        <v>45368 - Sports - Venture Capital</v>
      </c>
      <c r="J4776" s="2">
        <f t="shared" si="2"/>
        <v>4.54</v>
      </c>
      <c r="K4776" s="17">
        <f t="shared" si="3"/>
        <v>1</v>
      </c>
      <c r="L4776" s="18"/>
    </row>
    <row r="4777" hidden="1">
      <c r="A4777" s="2">
        <f>IFERROR(__xludf.DUMMYFUNCTION("""COMPUTED_VALUE"""),119732.0)</f>
        <v>119732</v>
      </c>
      <c r="B4777" s="2">
        <f>IFERROR(__xludf.DUMMYFUNCTION("""COMPUTED_VALUE"""),1.0)</f>
        <v>1</v>
      </c>
      <c r="C4777" s="2">
        <f>IFERROR(__xludf.DUMMYFUNCTION("""COMPUTED_VALUE"""),290.0)</f>
        <v>290</v>
      </c>
      <c r="D4777" s="3">
        <f>IFERROR(__xludf.DUMMYFUNCTION("""COMPUTED_VALUE"""),249.0)</f>
        <v>249</v>
      </c>
      <c r="E4777" s="1" t="str">
        <f t="array" ref="E4777">_xlfn.XLOOKUP(A4777,Product!A:A,Product!B:B,"Bulunamadı")</f>
        <v>Sports</v>
      </c>
      <c r="F4777" s="1" t="str">
        <f t="array" ref="F4777">_xlfn.XLOOKUP(A4777,Product!A:A,Product!C:C,"Bulunamadı")</f>
        <v>Venture Capital</v>
      </c>
      <c r="G4777" s="2" t="str">
        <f t="array" ref="G4777">_xlfn.XLOOKUP(A4778,Product!A:A,Product!D:D,"Bulunamadı")</f>
        <v>Riverway House</v>
      </c>
      <c r="H4777" s="2">
        <f t="array" ref="H4777">_xlfn.XLOOKUP(A4779,Product!A:A,Product!E:E,"Bulunamadı")</f>
        <v>13.35</v>
      </c>
      <c r="I4777" s="2" t="str">
        <f t="shared" si="1"/>
        <v>119732 - Sports - Venture Capital</v>
      </c>
      <c r="J4777" s="2">
        <f t="shared" si="2"/>
        <v>3324.15</v>
      </c>
      <c r="K4777" s="17">
        <f t="shared" si="3"/>
        <v>1</v>
      </c>
      <c r="L4777" s="18"/>
    </row>
    <row r="4778" hidden="1">
      <c r="A4778" s="2">
        <f>IFERROR(__xludf.DUMMYFUNCTION("""COMPUTED_VALUE"""),90467.0)</f>
        <v>90467</v>
      </c>
      <c r="B4778" s="2">
        <f>IFERROR(__xludf.DUMMYFUNCTION("""COMPUTED_VALUE"""),0.0)</f>
        <v>0</v>
      </c>
      <c r="C4778" s="2">
        <f>IFERROR(__xludf.DUMMYFUNCTION("""COMPUTED_VALUE"""),102.0)</f>
        <v>102</v>
      </c>
      <c r="D4778" s="3">
        <f>IFERROR(__xludf.DUMMYFUNCTION("""COMPUTED_VALUE"""),80.0)</f>
        <v>80</v>
      </c>
      <c r="E4778" s="1" t="str">
        <f t="array" ref="E4778">_xlfn.XLOOKUP(A4778,Product!A:A,Product!B:B,"Bulunamadı")</f>
        <v>Sports</v>
      </c>
      <c r="F4778" s="1" t="str">
        <f t="array" ref="F4778">_xlfn.XLOOKUP(A4778,Product!A:A,Product!C:C,"Bulunamadı")</f>
        <v>Venture Capital</v>
      </c>
      <c r="G4778" s="2" t="str">
        <f t="array" ref="G4778">_xlfn.XLOOKUP(A4779,Product!A:A,Product!D:D,"Bulunamadı")</f>
        <v>Riverway House</v>
      </c>
      <c r="H4778" s="2">
        <f t="array" ref="H4778">_xlfn.XLOOKUP(A4780,Product!A:A,Product!E:E,"Bulunamadı")</f>
        <v>5.81</v>
      </c>
      <c r="I4778" s="2" t="str">
        <f t="shared" si="1"/>
        <v>90467 - Sports - Venture Capital</v>
      </c>
      <c r="J4778" s="2">
        <f t="shared" si="2"/>
        <v>464.8</v>
      </c>
      <c r="K4778" s="17">
        <f t="shared" si="3"/>
        <v>1</v>
      </c>
      <c r="L4778" s="18"/>
    </row>
    <row r="4779" hidden="1">
      <c r="A4779" s="2">
        <f>IFERROR(__xludf.DUMMYFUNCTION("""COMPUTED_VALUE"""),119874.0)</f>
        <v>119874</v>
      </c>
      <c r="B4779" s="2">
        <f>IFERROR(__xludf.DUMMYFUNCTION("""COMPUTED_VALUE"""),0.0)</f>
        <v>0</v>
      </c>
      <c r="C4779" s="2">
        <f>IFERROR(__xludf.DUMMYFUNCTION("""COMPUTED_VALUE"""),720.0)</f>
        <v>720</v>
      </c>
      <c r="D4779" s="3">
        <f>IFERROR(__xludf.DUMMYFUNCTION("""COMPUTED_VALUE"""),34.0)</f>
        <v>34</v>
      </c>
      <c r="E4779" s="1" t="str">
        <f t="array" ref="E4779">_xlfn.XLOOKUP(A4779,Product!A:A,Product!B:B,"Bulunamadı")</f>
        <v>Sports</v>
      </c>
      <c r="F4779" s="1" t="str">
        <f t="array" ref="F4779">_xlfn.XLOOKUP(A4779,Product!A:A,Product!C:C,"Bulunamadı")</f>
        <v>Venture Capital</v>
      </c>
      <c r="G4779" s="2" t="str">
        <f t="array" ref="G4779">_xlfn.XLOOKUP(A4780,Product!A:A,Product!D:D,"Bulunamadı")</f>
        <v>Riverway House</v>
      </c>
      <c r="H4779" s="2">
        <f t="array" ref="H4779">_xlfn.XLOOKUP(A4781,Product!A:A,Product!E:E,"Bulunamadı")</f>
        <v>9.12</v>
      </c>
      <c r="I4779" s="2" t="str">
        <f t="shared" si="1"/>
        <v>119874 - Sports - Venture Capital</v>
      </c>
      <c r="J4779" s="2">
        <f t="shared" si="2"/>
        <v>310.08</v>
      </c>
      <c r="K4779" s="17">
        <f t="shared" si="3"/>
        <v>1</v>
      </c>
      <c r="L4779" s="18"/>
    </row>
    <row r="4780" hidden="1">
      <c r="A4780" s="2">
        <f>IFERROR(__xludf.DUMMYFUNCTION("""COMPUTED_VALUE"""),121316.0)</f>
        <v>121316</v>
      </c>
      <c r="B4780" s="2">
        <f>IFERROR(__xludf.DUMMYFUNCTION("""COMPUTED_VALUE"""),1.0)</f>
        <v>1</v>
      </c>
      <c r="C4780" s="2">
        <f>IFERROR(__xludf.DUMMYFUNCTION("""COMPUTED_VALUE"""),879.0)</f>
        <v>879</v>
      </c>
      <c r="D4780" s="3">
        <f>IFERROR(__xludf.DUMMYFUNCTION("""COMPUTED_VALUE"""),406.0)</f>
        <v>406</v>
      </c>
      <c r="E4780" s="1" t="str">
        <f t="array" ref="E4780">_xlfn.XLOOKUP(A4780,Product!A:A,Product!B:B,"Bulunamadı")</f>
        <v>Sports</v>
      </c>
      <c r="F4780" s="1" t="str">
        <f t="array" ref="F4780">_xlfn.XLOOKUP(A4780,Product!A:A,Product!C:C,"Bulunamadı")</f>
        <v>Venture Capital</v>
      </c>
      <c r="G4780" s="2" t="str">
        <f t="array" ref="G4780">_xlfn.XLOOKUP(A4781,Product!A:A,Product!D:D,"Bulunamadı")</f>
        <v>Riverway House</v>
      </c>
      <c r="H4780" s="2">
        <f t="array" ref="H4780">_xlfn.XLOOKUP(A4782,Product!A:A,Product!E:E,"Bulunamadı")</f>
        <v>7.03</v>
      </c>
      <c r="I4780" s="2" t="str">
        <f t="shared" si="1"/>
        <v>121316 - Sports - Venture Capital</v>
      </c>
      <c r="J4780" s="2">
        <f t="shared" si="2"/>
        <v>2854.18</v>
      </c>
      <c r="K4780" s="17">
        <f t="shared" si="3"/>
        <v>1</v>
      </c>
      <c r="L4780" s="18"/>
    </row>
    <row r="4781" hidden="1">
      <c r="A4781" s="2">
        <f>IFERROR(__xludf.DUMMYFUNCTION("""COMPUTED_VALUE"""),77390.0)</f>
        <v>77390</v>
      </c>
      <c r="B4781" s="2">
        <f>IFERROR(__xludf.DUMMYFUNCTION("""COMPUTED_VALUE"""),0.0)</f>
        <v>0</v>
      </c>
      <c r="C4781" s="2">
        <f>IFERROR(__xludf.DUMMYFUNCTION("""COMPUTED_VALUE"""),661.0)</f>
        <v>661</v>
      </c>
      <c r="D4781" s="3">
        <f>IFERROR(__xludf.DUMMYFUNCTION("""COMPUTED_VALUE"""),496.0)</f>
        <v>496</v>
      </c>
      <c r="E4781" s="1" t="str">
        <f t="array" ref="E4781">_xlfn.XLOOKUP(A4781,Product!A:A,Product!B:B,"Bulunamadı")</f>
        <v>Sports</v>
      </c>
      <c r="F4781" s="1" t="str">
        <f t="array" ref="F4781">_xlfn.XLOOKUP(A4781,Product!A:A,Product!C:C,"Bulunamadı")</f>
        <v>Venture Capital</v>
      </c>
      <c r="G4781" s="2" t="str">
        <f t="array" ref="G4781">_xlfn.XLOOKUP(A4782,Product!A:A,Product!D:D,"Bulunamadı")</f>
        <v>Ironway House</v>
      </c>
      <c r="H4781" s="2">
        <f t="array" ref="H4781">_xlfn.XLOOKUP(A4783,Product!A:A,Product!E:E,"Bulunamadı")</f>
        <v>7.61</v>
      </c>
      <c r="I4781" s="2" t="str">
        <f t="shared" si="1"/>
        <v>77390 - Sports - Venture Capital</v>
      </c>
      <c r="J4781" s="2">
        <f t="shared" si="2"/>
        <v>3774.56</v>
      </c>
      <c r="K4781" s="17">
        <f t="shared" si="3"/>
        <v>1</v>
      </c>
      <c r="L4781" s="18"/>
    </row>
    <row r="4782" hidden="1">
      <c r="A4782" s="2">
        <f>IFERROR(__xludf.DUMMYFUNCTION("""COMPUTED_VALUE"""),11444.0)</f>
        <v>11444</v>
      </c>
      <c r="B4782" s="2">
        <f>IFERROR(__xludf.DUMMYFUNCTION("""COMPUTED_VALUE"""),0.0)</f>
        <v>0</v>
      </c>
      <c r="C4782" s="2">
        <f>IFERROR(__xludf.DUMMYFUNCTION("""COMPUTED_VALUE"""),894.0)</f>
        <v>894</v>
      </c>
      <c r="D4782" s="3">
        <f>IFERROR(__xludf.DUMMYFUNCTION("""COMPUTED_VALUE"""),613.0)</f>
        <v>613</v>
      </c>
      <c r="E4782" s="1" t="str">
        <f t="array" ref="E4782">_xlfn.XLOOKUP(A4782,Product!A:A,Product!B:B,"Bulunamadı")</f>
        <v>Sports</v>
      </c>
      <c r="F4782" s="1" t="str">
        <f t="array" ref="F4782">_xlfn.XLOOKUP(A4782,Product!A:A,Product!C:C,"Bulunamadı")</f>
        <v>Venture Capital</v>
      </c>
      <c r="G4782" s="2" t="str">
        <f t="array" ref="G4782">_xlfn.XLOOKUP(A4783,Product!A:A,Product!D:D,"Bulunamadı")</f>
        <v>Ironway House</v>
      </c>
      <c r="H4782" s="2">
        <f t="array" ref="H4782">_xlfn.XLOOKUP(A4784,Product!A:A,Product!E:E,"Bulunamadı")</f>
        <v>6.31</v>
      </c>
      <c r="I4782" s="2" t="str">
        <f t="shared" si="1"/>
        <v>11444 - Sports - Venture Capital</v>
      </c>
      <c r="J4782" s="2">
        <f t="shared" si="2"/>
        <v>3868.03</v>
      </c>
      <c r="K4782" s="17">
        <f t="shared" si="3"/>
        <v>1</v>
      </c>
      <c r="L4782" s="18"/>
    </row>
    <row r="4783" hidden="1">
      <c r="A4783" s="2">
        <f>IFERROR(__xludf.DUMMYFUNCTION("""COMPUTED_VALUE"""),74416.0)</f>
        <v>74416</v>
      </c>
      <c r="B4783" s="2">
        <f>IFERROR(__xludf.DUMMYFUNCTION("""COMPUTED_VALUE"""),0.0)</f>
        <v>0</v>
      </c>
      <c r="C4783" s="2">
        <f>IFERROR(__xludf.DUMMYFUNCTION("""COMPUTED_VALUE"""),743.0)</f>
        <v>743</v>
      </c>
      <c r="D4783" s="3">
        <f>IFERROR(__xludf.DUMMYFUNCTION("""COMPUTED_VALUE"""),159.0)</f>
        <v>159</v>
      </c>
      <c r="E4783" s="1" t="str">
        <f t="array" ref="E4783">_xlfn.XLOOKUP(A4783,Product!A:A,Product!B:B,"Bulunamadı")</f>
        <v>Sports</v>
      </c>
      <c r="F4783" s="1" t="str">
        <f t="array" ref="F4783">_xlfn.XLOOKUP(A4783,Product!A:A,Product!C:C,"Bulunamadı")</f>
        <v>Venture Capital</v>
      </c>
      <c r="G4783" s="2" t="str">
        <f t="array" ref="G4783">_xlfn.XLOOKUP(A4784,Product!A:A,Product!D:D,"Bulunamadı")</f>
        <v>Ironway House</v>
      </c>
      <c r="H4783" s="2">
        <f t="array" ref="H4783">_xlfn.XLOOKUP(A4785,Product!A:A,Product!E:E,"Bulunamadı")</f>
        <v>4.8</v>
      </c>
      <c r="I4783" s="2" t="str">
        <f t="shared" si="1"/>
        <v>74416 - Sports - Venture Capital</v>
      </c>
      <c r="J4783" s="2">
        <f t="shared" si="2"/>
        <v>763.2</v>
      </c>
      <c r="K4783" s="17">
        <f t="shared" si="3"/>
        <v>1</v>
      </c>
      <c r="L4783" s="18"/>
    </row>
    <row r="4784" hidden="1">
      <c r="A4784" s="2">
        <f>IFERROR(__xludf.DUMMYFUNCTION("""COMPUTED_VALUE"""),75323.0)</f>
        <v>75323</v>
      </c>
      <c r="B4784" s="2">
        <f>IFERROR(__xludf.DUMMYFUNCTION("""COMPUTED_VALUE"""),1.0)</f>
        <v>1</v>
      </c>
      <c r="C4784" s="2">
        <f>IFERROR(__xludf.DUMMYFUNCTION("""COMPUTED_VALUE"""),321.0)</f>
        <v>321</v>
      </c>
      <c r="D4784" s="3">
        <f>IFERROR(__xludf.DUMMYFUNCTION("""COMPUTED_VALUE"""),161.0)</f>
        <v>161</v>
      </c>
      <c r="E4784" s="1" t="str">
        <f t="array" ref="E4784">_xlfn.XLOOKUP(A4784,Product!A:A,Product!B:B,"Bulunamadı")</f>
        <v>Sports</v>
      </c>
      <c r="F4784" s="1" t="str">
        <f t="array" ref="F4784">_xlfn.XLOOKUP(A4784,Product!A:A,Product!C:C,"Bulunamadı")</f>
        <v>Venture Capital</v>
      </c>
      <c r="G4784" s="2" t="str">
        <f t="array" ref="G4784">_xlfn.XLOOKUP(A4785,Product!A:A,Product!D:D,"Bulunamadı")</f>
        <v>Ironway House</v>
      </c>
      <c r="H4784" s="2">
        <f t="array" ref="H4784">_xlfn.XLOOKUP(A4786,Product!A:A,Product!E:E,"Bulunamadı")</f>
        <v>11.8</v>
      </c>
      <c r="I4784" s="2" t="str">
        <f t="shared" si="1"/>
        <v>75323 - Sports - Venture Capital</v>
      </c>
      <c r="J4784" s="2">
        <f t="shared" si="2"/>
        <v>1899.8</v>
      </c>
      <c r="K4784" s="17">
        <f t="shared" si="3"/>
        <v>1</v>
      </c>
      <c r="L4784" s="18"/>
    </row>
    <row r="4785" hidden="1">
      <c r="A4785" s="2">
        <f>IFERROR(__xludf.DUMMYFUNCTION("""COMPUTED_VALUE"""),86619.0)</f>
        <v>86619</v>
      </c>
      <c r="B4785" s="2">
        <f>IFERROR(__xludf.DUMMYFUNCTION("""COMPUTED_VALUE"""),0.0)</f>
        <v>0</v>
      </c>
      <c r="C4785" s="2">
        <f>IFERROR(__xludf.DUMMYFUNCTION("""COMPUTED_VALUE"""),21.0)</f>
        <v>21</v>
      </c>
      <c r="D4785" s="3">
        <f>IFERROR(__xludf.DUMMYFUNCTION("""COMPUTED_VALUE"""),1.0)</f>
        <v>1</v>
      </c>
      <c r="E4785" s="1" t="str">
        <f t="array" ref="E4785">_xlfn.XLOOKUP(A4785,Product!A:A,Product!B:B,"Bulunamadı")</f>
        <v>Sports</v>
      </c>
      <c r="F4785" s="1" t="str">
        <f t="array" ref="F4785">_xlfn.XLOOKUP(A4785,Product!A:A,Product!C:C,"Bulunamadı")</f>
        <v>Venture Capital</v>
      </c>
      <c r="G4785" s="2" t="str">
        <f t="array" ref="G4785">_xlfn.XLOOKUP(A4786,Product!A:A,Product!D:D,"Bulunamadı")</f>
        <v>Ironway House</v>
      </c>
      <c r="H4785" s="2">
        <f t="array" ref="H4785">_xlfn.XLOOKUP(A4787,Product!A:A,Product!E:E,"Bulunamadı")</f>
        <v>5.8</v>
      </c>
      <c r="I4785" s="2" t="str">
        <f t="shared" si="1"/>
        <v>86619 - Sports - Venture Capital</v>
      </c>
      <c r="J4785" s="2">
        <f t="shared" si="2"/>
        <v>5.8</v>
      </c>
      <c r="K4785" s="17">
        <f t="shared" si="3"/>
        <v>1</v>
      </c>
      <c r="L4785" s="18"/>
    </row>
    <row r="4786" hidden="1">
      <c r="A4786" s="2">
        <f>IFERROR(__xludf.DUMMYFUNCTION("""COMPUTED_VALUE"""),119801.0)</f>
        <v>119801</v>
      </c>
      <c r="B4786" s="2">
        <f>IFERROR(__xludf.DUMMYFUNCTION("""COMPUTED_VALUE"""),1.0)</f>
        <v>1</v>
      </c>
      <c r="C4786" s="2">
        <f>IFERROR(__xludf.DUMMYFUNCTION("""COMPUTED_VALUE"""),561.0)</f>
        <v>561</v>
      </c>
      <c r="D4786" s="3">
        <f>IFERROR(__xludf.DUMMYFUNCTION("""COMPUTED_VALUE"""),278.0)</f>
        <v>278</v>
      </c>
      <c r="E4786" s="1" t="str">
        <f t="array" ref="E4786">_xlfn.XLOOKUP(A4786,Product!A:A,Product!B:B,"Bulunamadı")</f>
        <v>Sports</v>
      </c>
      <c r="F4786" s="1" t="str">
        <f t="array" ref="F4786">_xlfn.XLOOKUP(A4786,Product!A:A,Product!C:C,"Bulunamadı")</f>
        <v>Venture Capital</v>
      </c>
      <c r="G4786" s="2" t="str">
        <f t="array" ref="G4786">_xlfn.XLOOKUP(A4787,Product!A:A,Product!D:D,"Bulunamadı")</f>
        <v>Ironway House</v>
      </c>
      <c r="H4786" s="2">
        <f t="array" ref="H4786">_xlfn.XLOOKUP(A4788,Product!A:A,Product!E:E,"Bulunamadı")</f>
        <v>4.29</v>
      </c>
      <c r="I4786" s="2" t="str">
        <f t="shared" si="1"/>
        <v>119801 - Sports - Venture Capital</v>
      </c>
      <c r="J4786" s="2">
        <f t="shared" si="2"/>
        <v>1192.62</v>
      </c>
      <c r="K4786" s="17">
        <f t="shared" si="3"/>
        <v>1</v>
      </c>
      <c r="L4786" s="18"/>
    </row>
    <row r="4787" hidden="1">
      <c r="A4787" s="2">
        <f>IFERROR(__xludf.DUMMYFUNCTION("""COMPUTED_VALUE"""),126576.0)</f>
        <v>126576</v>
      </c>
      <c r="B4787" s="2">
        <f>IFERROR(__xludf.DUMMYFUNCTION("""COMPUTED_VALUE"""),0.0)</f>
        <v>0</v>
      </c>
      <c r="C4787" s="2">
        <f>IFERROR(__xludf.DUMMYFUNCTION("""COMPUTED_VALUE"""),794.0)</f>
        <v>794</v>
      </c>
      <c r="D4787" s="3">
        <f>IFERROR(__xludf.DUMMYFUNCTION("""COMPUTED_VALUE"""),721.0)</f>
        <v>721</v>
      </c>
      <c r="E4787" s="1" t="str">
        <f t="array" ref="E4787">_xlfn.XLOOKUP(A4787,Product!A:A,Product!B:B,"Bulunamadı")</f>
        <v>Sports</v>
      </c>
      <c r="F4787" s="1" t="str">
        <f t="array" ref="F4787">_xlfn.XLOOKUP(A4787,Product!A:A,Product!C:C,"Bulunamadı")</f>
        <v>Venture Capital</v>
      </c>
      <c r="G4787" s="2" t="str">
        <f t="array" ref="G4787">_xlfn.XLOOKUP(A4788,Product!A:A,Product!D:D,"Bulunamadı")</f>
        <v>Ironway House</v>
      </c>
      <c r="H4787" s="2">
        <f t="array" ref="H4787">_xlfn.XLOOKUP(A4789,Product!A:A,Product!E:E,"Bulunamadı")</f>
        <v>4.7</v>
      </c>
      <c r="I4787" s="2" t="str">
        <f t="shared" si="1"/>
        <v>126576 - Sports - Venture Capital</v>
      </c>
      <c r="J4787" s="2">
        <f t="shared" si="2"/>
        <v>3388.7</v>
      </c>
      <c r="K4787" s="17">
        <f t="shared" si="3"/>
        <v>1</v>
      </c>
      <c r="L4787" s="18"/>
    </row>
    <row r="4788" hidden="1">
      <c r="A4788" s="2">
        <f>IFERROR(__xludf.DUMMYFUNCTION("""COMPUTED_VALUE"""),108841.0)</f>
        <v>108841</v>
      </c>
      <c r="B4788" s="2">
        <f>IFERROR(__xludf.DUMMYFUNCTION("""COMPUTED_VALUE"""),1.0)</f>
        <v>1</v>
      </c>
      <c r="C4788" s="2">
        <f>IFERROR(__xludf.DUMMYFUNCTION("""COMPUTED_VALUE"""),114.0)</f>
        <v>114</v>
      </c>
      <c r="D4788" s="3">
        <f>IFERROR(__xludf.DUMMYFUNCTION("""COMPUTED_VALUE"""),68.0)</f>
        <v>68</v>
      </c>
      <c r="E4788" s="1" t="str">
        <f t="array" ref="E4788">_xlfn.XLOOKUP(A4788,Product!A:A,Product!B:B,"Bulunamadı")</f>
        <v>Sports</v>
      </c>
      <c r="F4788" s="1" t="str">
        <f t="array" ref="F4788">_xlfn.XLOOKUP(A4788,Product!A:A,Product!C:C,"Bulunamadı")</f>
        <v>Venture Capital</v>
      </c>
      <c r="G4788" s="2" t="str">
        <f t="array" ref="G4788">_xlfn.XLOOKUP(A4789,Product!A:A,Product!D:D,"Bulunamadı")</f>
        <v>Ironway House</v>
      </c>
      <c r="H4788" s="2">
        <f t="array" ref="H4788">_xlfn.XLOOKUP(A4790,Product!A:A,Product!E:E,"Bulunamadı")</f>
        <v>5.17</v>
      </c>
      <c r="I4788" s="2" t="str">
        <f t="shared" si="1"/>
        <v>108841 - Sports - Venture Capital</v>
      </c>
      <c r="J4788" s="2">
        <f t="shared" si="2"/>
        <v>351.56</v>
      </c>
      <c r="K4788" s="17">
        <f t="shared" si="3"/>
        <v>1</v>
      </c>
      <c r="L4788" s="18"/>
    </row>
    <row r="4789" hidden="1">
      <c r="A4789" s="2">
        <f>IFERROR(__xludf.DUMMYFUNCTION("""COMPUTED_VALUE"""),82820.0)</f>
        <v>82820</v>
      </c>
      <c r="B4789" s="2">
        <f>IFERROR(__xludf.DUMMYFUNCTION("""COMPUTED_VALUE"""),1.0)</f>
        <v>1</v>
      </c>
      <c r="C4789" s="2">
        <f>IFERROR(__xludf.DUMMYFUNCTION("""COMPUTED_VALUE"""),413.0)</f>
        <v>413</v>
      </c>
      <c r="D4789" s="3">
        <f>IFERROR(__xludf.DUMMYFUNCTION("""COMPUTED_VALUE"""),217.0)</f>
        <v>217</v>
      </c>
      <c r="E4789" s="1" t="str">
        <f t="array" ref="E4789">_xlfn.XLOOKUP(A4789,Product!A:A,Product!B:B,"Bulunamadı")</f>
        <v>Sports</v>
      </c>
      <c r="F4789" s="1" t="str">
        <f t="array" ref="F4789">_xlfn.XLOOKUP(A4789,Product!A:A,Product!C:C,"Bulunamadı")</f>
        <v>Venture Capital</v>
      </c>
      <c r="G4789" s="2" t="str">
        <f t="array" ref="G4789">_xlfn.XLOOKUP(A4790,Product!A:A,Product!D:D,"Bulunamadı")</f>
        <v>Ironway House</v>
      </c>
      <c r="H4789" s="2">
        <f t="array" ref="H4789">_xlfn.XLOOKUP(A4791,Product!A:A,Product!E:E,"Bulunamadı")</f>
        <v>6.06</v>
      </c>
      <c r="I4789" s="2" t="str">
        <f t="shared" si="1"/>
        <v>82820 - Sports - Venture Capital</v>
      </c>
      <c r="J4789" s="2">
        <f t="shared" si="2"/>
        <v>1315.02</v>
      </c>
      <c r="K4789" s="17">
        <f t="shared" si="3"/>
        <v>1</v>
      </c>
      <c r="L4789" s="18"/>
    </row>
    <row r="4790" hidden="1">
      <c r="A4790" s="2">
        <f>IFERROR(__xludf.DUMMYFUNCTION("""COMPUTED_VALUE"""),116826.0)</f>
        <v>116826</v>
      </c>
      <c r="B4790" s="2">
        <f>IFERROR(__xludf.DUMMYFUNCTION("""COMPUTED_VALUE"""),1.0)</f>
        <v>1</v>
      </c>
      <c r="C4790" s="2">
        <f>IFERROR(__xludf.DUMMYFUNCTION("""COMPUTED_VALUE"""),846.0)</f>
        <v>846</v>
      </c>
      <c r="D4790" s="3">
        <f>IFERROR(__xludf.DUMMYFUNCTION("""COMPUTED_VALUE"""),269.0)</f>
        <v>269</v>
      </c>
      <c r="E4790" s="1" t="str">
        <f t="array" ref="E4790">_xlfn.XLOOKUP(A4790,Product!A:A,Product!B:B,"Bulunamadı")</f>
        <v>Sports</v>
      </c>
      <c r="F4790" s="1" t="str">
        <f t="array" ref="F4790">_xlfn.XLOOKUP(A4790,Product!A:A,Product!C:C,"Bulunamadı")</f>
        <v>Venture Capital</v>
      </c>
      <c r="G4790" s="2" t="str">
        <f t="array" ref="G4790">_xlfn.XLOOKUP(A4791,Product!A:A,Product!D:D,"Bulunamadı")</f>
        <v>Ironway House</v>
      </c>
      <c r="H4790" s="2">
        <f t="array" ref="H4790">_xlfn.XLOOKUP(A4792,Product!A:A,Product!E:E,"Bulunamadı")</f>
        <v>5.62</v>
      </c>
      <c r="I4790" s="2" t="str">
        <f t="shared" si="1"/>
        <v>116826 - Sports - Venture Capital</v>
      </c>
      <c r="J4790" s="2">
        <f t="shared" si="2"/>
        <v>1511.78</v>
      </c>
      <c r="K4790" s="17">
        <f t="shared" si="3"/>
        <v>1</v>
      </c>
      <c r="L4790" s="18"/>
    </row>
    <row r="4791" hidden="1">
      <c r="A4791" s="2">
        <f>IFERROR(__xludf.DUMMYFUNCTION("""COMPUTED_VALUE"""),126965.0)</f>
        <v>126965</v>
      </c>
      <c r="B4791" s="2">
        <f>IFERROR(__xludf.DUMMYFUNCTION("""COMPUTED_VALUE"""),1.0)</f>
        <v>1</v>
      </c>
      <c r="C4791" s="2">
        <f>IFERROR(__xludf.DUMMYFUNCTION("""COMPUTED_VALUE"""),543.0)</f>
        <v>543</v>
      </c>
      <c r="D4791" s="3">
        <f>IFERROR(__xludf.DUMMYFUNCTION("""COMPUTED_VALUE"""),208.0)</f>
        <v>208</v>
      </c>
      <c r="E4791" s="1" t="str">
        <f t="array" ref="E4791">_xlfn.XLOOKUP(A4791,Product!A:A,Product!B:B,"Bulunamadı")</f>
        <v>Sports</v>
      </c>
      <c r="F4791" s="1" t="str">
        <f t="array" ref="F4791">_xlfn.XLOOKUP(A4791,Product!A:A,Product!C:C,"Bulunamadı")</f>
        <v>Venture Capital</v>
      </c>
      <c r="G4791" s="2" t="str">
        <f t="array" ref="G4791">_xlfn.XLOOKUP(A4792,Product!A:A,Product!D:D,"Bulunamadı")</f>
        <v>Ironway House</v>
      </c>
      <c r="H4791" s="2">
        <f t="array" ref="H4791">_xlfn.XLOOKUP(A4793,Product!A:A,Product!E:E,"Bulunamadı")</f>
        <v>4.48</v>
      </c>
      <c r="I4791" s="2" t="str">
        <f t="shared" si="1"/>
        <v>126965 - Sports - Venture Capital</v>
      </c>
      <c r="J4791" s="2">
        <f t="shared" si="2"/>
        <v>931.84</v>
      </c>
      <c r="K4791" s="17">
        <f t="shared" si="3"/>
        <v>1</v>
      </c>
      <c r="L4791" s="18"/>
    </row>
    <row r="4792" hidden="1">
      <c r="A4792" s="2">
        <f>IFERROR(__xludf.DUMMYFUNCTION("""COMPUTED_VALUE"""),103795.0)</f>
        <v>103795</v>
      </c>
      <c r="B4792" s="2">
        <f>IFERROR(__xludf.DUMMYFUNCTION("""COMPUTED_VALUE"""),0.0)</f>
        <v>0</v>
      </c>
      <c r="C4792" s="2">
        <f>IFERROR(__xludf.DUMMYFUNCTION("""COMPUTED_VALUE"""),333.0)</f>
        <v>333</v>
      </c>
      <c r="D4792" s="3">
        <f>IFERROR(__xludf.DUMMYFUNCTION("""COMPUTED_VALUE"""),54.0)</f>
        <v>54</v>
      </c>
      <c r="E4792" s="1" t="str">
        <f t="array" ref="E4792">_xlfn.XLOOKUP(A4792,Product!A:A,Product!B:B,"Bulunamadı")</f>
        <v>Sports</v>
      </c>
      <c r="F4792" s="1" t="str">
        <f t="array" ref="F4792">_xlfn.XLOOKUP(A4792,Product!A:A,Product!C:C,"Bulunamadı")</f>
        <v>Venture Capital</v>
      </c>
      <c r="G4792" s="2" t="str">
        <f t="array" ref="G4792">_xlfn.XLOOKUP(A4793,Product!A:A,Product!D:D,"Bulunamadı")</f>
        <v>Ironway House</v>
      </c>
      <c r="H4792" s="2">
        <f t="array" ref="H4792">_xlfn.XLOOKUP(A4794,Product!A:A,Product!E:E,"Bulunamadı")</f>
        <v>4.33</v>
      </c>
      <c r="I4792" s="2" t="str">
        <f t="shared" si="1"/>
        <v>103795 - Sports - Venture Capital</v>
      </c>
      <c r="J4792" s="2">
        <f t="shared" si="2"/>
        <v>233.82</v>
      </c>
      <c r="K4792" s="17">
        <f t="shared" si="3"/>
        <v>1</v>
      </c>
      <c r="L4792" s="18"/>
    </row>
    <row r="4793" hidden="1">
      <c r="A4793" s="2">
        <f>IFERROR(__xludf.DUMMYFUNCTION("""COMPUTED_VALUE"""),116821.0)</f>
        <v>116821</v>
      </c>
      <c r="B4793" s="2">
        <f>IFERROR(__xludf.DUMMYFUNCTION("""COMPUTED_VALUE"""),0.0)</f>
        <v>0</v>
      </c>
      <c r="C4793" s="2">
        <f>IFERROR(__xludf.DUMMYFUNCTION("""COMPUTED_VALUE"""),273.0)</f>
        <v>273</v>
      </c>
      <c r="D4793" s="3">
        <f>IFERROR(__xludf.DUMMYFUNCTION("""COMPUTED_VALUE"""),81.0)</f>
        <v>81</v>
      </c>
      <c r="E4793" s="1" t="str">
        <f t="array" ref="E4793">_xlfn.XLOOKUP(A4793,Product!A:A,Product!B:B,"Bulunamadı")</f>
        <v>Sports</v>
      </c>
      <c r="F4793" s="1" t="str">
        <f t="array" ref="F4793">_xlfn.XLOOKUP(A4793,Product!A:A,Product!C:C,"Bulunamadı")</f>
        <v>Venture Capital</v>
      </c>
      <c r="G4793" s="2" t="str">
        <f t="array" ref="G4793">_xlfn.XLOOKUP(A4794,Product!A:A,Product!D:D,"Bulunamadı")</f>
        <v>Ironway House</v>
      </c>
      <c r="H4793" s="2">
        <f t="array" ref="H4793">_xlfn.XLOOKUP(A4795,Product!A:A,Product!E:E,"Bulunamadı")</f>
        <v>1.54</v>
      </c>
      <c r="I4793" s="2" t="str">
        <f t="shared" si="1"/>
        <v>116821 - Sports - Venture Capital</v>
      </c>
      <c r="J4793" s="2">
        <f t="shared" si="2"/>
        <v>124.74</v>
      </c>
      <c r="K4793" s="17">
        <f t="shared" si="3"/>
        <v>1</v>
      </c>
      <c r="L4793" s="18"/>
    </row>
    <row r="4794" hidden="1">
      <c r="A4794" s="2">
        <f>IFERROR(__xludf.DUMMYFUNCTION("""COMPUTED_VALUE"""),126577.0)</f>
        <v>126577</v>
      </c>
      <c r="B4794" s="2">
        <f>IFERROR(__xludf.DUMMYFUNCTION("""COMPUTED_VALUE"""),0.0)</f>
        <v>0</v>
      </c>
      <c r="C4794" s="2">
        <f>IFERROR(__xludf.DUMMYFUNCTION("""COMPUTED_VALUE"""),-2.0)</f>
        <v>-2</v>
      </c>
      <c r="D4794" s="3">
        <f>IFERROR(__xludf.DUMMYFUNCTION("""COMPUTED_VALUE"""),-1.0)</f>
        <v>-1</v>
      </c>
      <c r="E4794" s="1" t="str">
        <f t="array" ref="E4794">_xlfn.XLOOKUP(A4794,Product!A:A,Product!B:B,"Bulunamadı")</f>
        <v>Sports</v>
      </c>
      <c r="F4794" s="1" t="str">
        <f t="array" ref="F4794">_xlfn.XLOOKUP(A4794,Product!A:A,Product!C:C,"Bulunamadı")</f>
        <v>Venture Capital</v>
      </c>
      <c r="G4794" s="2" t="str">
        <f t="array" ref="G4794">_xlfn.XLOOKUP(A4795,Product!A:A,Product!D:D,"Bulunamadı")</f>
        <v>Ironway House</v>
      </c>
      <c r="H4794" s="2">
        <f t="array" ref="H4794">_xlfn.XLOOKUP(A4796,Product!A:A,Product!E:E,"Bulunamadı")</f>
        <v>3.99</v>
      </c>
      <c r="I4794" s="2" t="str">
        <f t="shared" si="1"/>
        <v>126577 - Sports - Venture Capital</v>
      </c>
      <c r="J4794" s="2">
        <f t="shared" si="2"/>
        <v>-3.99</v>
      </c>
      <c r="K4794" s="17">
        <f t="shared" si="3"/>
        <v>0</v>
      </c>
      <c r="L4794" s="18"/>
    </row>
    <row r="4795" hidden="1">
      <c r="A4795" s="2">
        <f>IFERROR(__xludf.DUMMYFUNCTION("""COMPUTED_VALUE"""),82806.0)</f>
        <v>82806</v>
      </c>
      <c r="B4795" s="2">
        <f>IFERROR(__xludf.DUMMYFUNCTION("""COMPUTED_VALUE"""),0.0)</f>
        <v>0</v>
      </c>
      <c r="C4795" s="2">
        <f>IFERROR(__xludf.DUMMYFUNCTION("""COMPUTED_VALUE"""),807.0)</f>
        <v>807</v>
      </c>
      <c r="D4795" s="3">
        <f>IFERROR(__xludf.DUMMYFUNCTION("""COMPUTED_VALUE"""),193.0)</f>
        <v>193</v>
      </c>
      <c r="E4795" s="1" t="str">
        <f t="array" ref="E4795">_xlfn.XLOOKUP(A4795,Product!A:A,Product!B:B,"Bulunamadı")</f>
        <v>Sports</v>
      </c>
      <c r="F4795" s="1" t="str">
        <f t="array" ref="F4795">_xlfn.XLOOKUP(A4795,Product!A:A,Product!C:C,"Bulunamadı")</f>
        <v>Venture Capital</v>
      </c>
      <c r="G4795" s="2" t="str">
        <f t="array" ref="G4795">_xlfn.XLOOKUP(A4796,Product!A:A,Product!D:D,"Bulunamadı")</f>
        <v>Ironway House</v>
      </c>
      <c r="H4795" s="2">
        <f t="array" ref="H4795">_xlfn.XLOOKUP(A4797,Product!A:A,Product!E:E,"Bulunamadı")</f>
        <v>8.19</v>
      </c>
      <c r="I4795" s="2" t="str">
        <f t="shared" si="1"/>
        <v>82806 - Sports - Venture Capital</v>
      </c>
      <c r="J4795" s="2">
        <f t="shared" si="2"/>
        <v>1580.67</v>
      </c>
      <c r="K4795" s="17">
        <f t="shared" si="3"/>
        <v>1</v>
      </c>
      <c r="L4795" s="18"/>
    </row>
    <row r="4796" hidden="1">
      <c r="A4796" s="2">
        <f>IFERROR(__xludf.DUMMYFUNCTION("""COMPUTED_VALUE"""),68099.0)</f>
        <v>68099</v>
      </c>
      <c r="B4796" s="2">
        <f>IFERROR(__xludf.DUMMYFUNCTION("""COMPUTED_VALUE"""),1.0)</f>
        <v>1</v>
      </c>
      <c r="C4796" s="2">
        <f>IFERROR(__xludf.DUMMYFUNCTION("""COMPUTED_VALUE"""),147.0)</f>
        <v>147</v>
      </c>
      <c r="D4796" s="3">
        <f>IFERROR(__xludf.DUMMYFUNCTION("""COMPUTED_VALUE"""),26.0)</f>
        <v>26</v>
      </c>
      <c r="E4796" s="1" t="str">
        <f t="array" ref="E4796">_xlfn.XLOOKUP(A4796,Product!A:A,Product!B:B,"Bulunamadı")</f>
        <v>Sports</v>
      </c>
      <c r="F4796" s="1" t="str">
        <f t="array" ref="F4796">_xlfn.XLOOKUP(A4796,Product!A:A,Product!C:C,"Bulunamadı")</f>
        <v>Venture Capital</v>
      </c>
      <c r="G4796" s="2" t="str">
        <f t="array" ref="G4796">_xlfn.XLOOKUP(A4797,Product!A:A,Product!D:D,"Bulunamadı")</f>
        <v>Ironway House</v>
      </c>
      <c r="H4796" s="2">
        <f t="array" ref="H4796">_xlfn.XLOOKUP(A4798,Product!A:A,Product!E:E,"Bulunamadı")</f>
        <v>6.23</v>
      </c>
      <c r="I4796" s="2" t="str">
        <f t="shared" si="1"/>
        <v>68099 - Sports - Venture Capital</v>
      </c>
      <c r="J4796" s="2">
        <f t="shared" si="2"/>
        <v>161.98</v>
      </c>
      <c r="K4796" s="17">
        <f t="shared" si="3"/>
        <v>1</v>
      </c>
      <c r="L4796" s="18"/>
    </row>
    <row r="4797" hidden="1">
      <c r="A4797" s="2">
        <f>IFERROR(__xludf.DUMMYFUNCTION("""COMPUTED_VALUE"""),82827.0)</f>
        <v>82827</v>
      </c>
      <c r="B4797" s="2">
        <f>IFERROR(__xludf.DUMMYFUNCTION("""COMPUTED_VALUE"""),0.0)</f>
        <v>0</v>
      </c>
      <c r="C4797" s="2">
        <f>IFERROR(__xludf.DUMMYFUNCTION("""COMPUTED_VALUE"""),648.0)</f>
        <v>648</v>
      </c>
      <c r="D4797" s="3">
        <f>IFERROR(__xludf.DUMMYFUNCTION("""COMPUTED_VALUE"""),187.0)</f>
        <v>187</v>
      </c>
      <c r="E4797" s="1" t="str">
        <f t="array" ref="E4797">_xlfn.XLOOKUP(A4797,Product!A:A,Product!B:B,"Bulunamadı")</f>
        <v>Sports</v>
      </c>
      <c r="F4797" s="1" t="str">
        <f t="array" ref="F4797">_xlfn.XLOOKUP(A4797,Product!A:A,Product!C:C,"Bulunamadı")</f>
        <v>Venture Capital</v>
      </c>
      <c r="G4797" s="2" t="str">
        <f t="array" ref="G4797">_xlfn.XLOOKUP(A4798,Product!A:A,Product!D:D,"Bulunamadı")</f>
        <v>Ironway House</v>
      </c>
      <c r="H4797" s="2">
        <f t="array" ref="H4797">_xlfn.XLOOKUP(A4799,Product!A:A,Product!E:E,"Bulunamadı")</f>
        <v>15.19</v>
      </c>
      <c r="I4797" s="2" t="str">
        <f t="shared" si="1"/>
        <v>82827 - Sports - Venture Capital</v>
      </c>
      <c r="J4797" s="2">
        <f t="shared" si="2"/>
        <v>2840.53</v>
      </c>
      <c r="K4797" s="17">
        <f t="shared" si="3"/>
        <v>1</v>
      </c>
      <c r="L4797" s="18"/>
    </row>
    <row r="4798" hidden="1">
      <c r="A4798" s="2">
        <f>IFERROR(__xludf.DUMMYFUNCTION("""COMPUTED_VALUE"""),77127.0)</f>
        <v>77127</v>
      </c>
      <c r="B4798" s="2">
        <f>IFERROR(__xludf.DUMMYFUNCTION("""COMPUTED_VALUE"""),1.0)</f>
        <v>1</v>
      </c>
      <c r="C4798" s="2">
        <f>IFERROR(__xludf.DUMMYFUNCTION("""COMPUTED_VALUE"""),768.0)</f>
        <v>768</v>
      </c>
      <c r="D4798" s="3">
        <f>IFERROR(__xludf.DUMMYFUNCTION("""COMPUTED_VALUE"""),508.0)</f>
        <v>508</v>
      </c>
      <c r="E4798" s="1" t="str">
        <f t="array" ref="E4798">_xlfn.XLOOKUP(A4798,Product!A:A,Product!B:B,"Bulunamadı")</f>
        <v>Sports</v>
      </c>
      <c r="F4798" s="1" t="str">
        <f t="array" ref="F4798">_xlfn.XLOOKUP(A4798,Product!A:A,Product!C:C,"Bulunamadı")</f>
        <v>Venture Capital</v>
      </c>
      <c r="G4798" s="2" t="str">
        <f t="array" ref="G4798">_xlfn.XLOOKUP(A4799,Product!A:A,Product!D:D,"Bulunamadı")</f>
        <v>Ironway House</v>
      </c>
      <c r="H4798" s="2">
        <f t="array" ref="H4798">_xlfn.XLOOKUP(A4800,Product!A:A,Product!E:E,"Bulunamadı")</f>
        <v>9.14</v>
      </c>
      <c r="I4798" s="2" t="str">
        <f t="shared" si="1"/>
        <v>77127 - Sports - Venture Capital</v>
      </c>
      <c r="J4798" s="2">
        <f t="shared" si="2"/>
        <v>4643.12</v>
      </c>
      <c r="K4798" s="17">
        <f t="shared" si="3"/>
        <v>1</v>
      </c>
      <c r="L4798" s="18"/>
    </row>
    <row r="4799" hidden="1">
      <c r="A4799" s="2">
        <f>IFERROR(__xludf.DUMMYFUNCTION("""COMPUTED_VALUE"""),69002.0)</f>
        <v>69002</v>
      </c>
      <c r="B4799" s="2">
        <f>IFERROR(__xludf.DUMMYFUNCTION("""COMPUTED_VALUE"""),1.0)</f>
        <v>1</v>
      </c>
      <c r="C4799" s="2">
        <f>IFERROR(__xludf.DUMMYFUNCTION("""COMPUTED_VALUE"""),48.0)</f>
        <v>48</v>
      </c>
      <c r="D4799" s="3">
        <f>IFERROR(__xludf.DUMMYFUNCTION("""COMPUTED_VALUE"""),46.0)</f>
        <v>46</v>
      </c>
      <c r="E4799" s="1" t="str">
        <f t="array" ref="E4799">_xlfn.XLOOKUP(A4799,Product!A:A,Product!B:B,"Bulunamadı")</f>
        <v>Sports</v>
      </c>
      <c r="F4799" s="1" t="str">
        <f t="array" ref="F4799">_xlfn.XLOOKUP(A4799,Product!A:A,Product!C:C,"Bulunamadı")</f>
        <v>Venture Capital</v>
      </c>
      <c r="G4799" s="2" t="str">
        <f t="array" ref="G4799">_xlfn.XLOOKUP(A4800,Product!A:A,Product!D:D,"Bulunamadı")</f>
        <v>Ironway House</v>
      </c>
      <c r="H4799" s="2">
        <f t="array" ref="H4799">_xlfn.XLOOKUP(A4801,Product!A:A,Product!E:E,"Bulunamadı")</f>
        <v>7.05</v>
      </c>
      <c r="I4799" s="2" t="str">
        <f t="shared" si="1"/>
        <v>69002 - Sports - Venture Capital</v>
      </c>
      <c r="J4799" s="2">
        <f t="shared" si="2"/>
        <v>324.3</v>
      </c>
      <c r="K4799" s="17">
        <f t="shared" si="3"/>
        <v>1</v>
      </c>
      <c r="L4799" s="18"/>
    </row>
    <row r="4800" hidden="1">
      <c r="A4800" s="2">
        <f>IFERROR(__xludf.DUMMYFUNCTION("""COMPUTED_VALUE"""),119847.0)</f>
        <v>119847</v>
      </c>
      <c r="B4800" s="2">
        <f>IFERROR(__xludf.DUMMYFUNCTION("""COMPUTED_VALUE"""),0.0)</f>
        <v>0</v>
      </c>
      <c r="C4800" s="2">
        <f>IFERROR(__xludf.DUMMYFUNCTION("""COMPUTED_VALUE"""),158.0)</f>
        <v>158</v>
      </c>
      <c r="D4800" s="3">
        <f>IFERROR(__xludf.DUMMYFUNCTION("""COMPUTED_VALUE"""),92.0)</f>
        <v>92</v>
      </c>
      <c r="E4800" s="1" t="str">
        <f t="array" ref="E4800">_xlfn.XLOOKUP(A4800,Product!A:A,Product!B:B,"Bulunamadı")</f>
        <v>Sports</v>
      </c>
      <c r="F4800" s="1" t="str">
        <f t="array" ref="F4800">_xlfn.XLOOKUP(A4800,Product!A:A,Product!C:C,"Bulunamadı")</f>
        <v>Venture Capital</v>
      </c>
      <c r="G4800" s="2" t="str">
        <f t="array" ref="G4800">_xlfn.XLOOKUP(A4801,Product!A:A,Product!D:D,"Bulunamadı")</f>
        <v>Ironway House</v>
      </c>
      <c r="H4800" s="2">
        <f t="array" ref="H4800">_xlfn.XLOOKUP(A4802,Product!A:A,Product!E:E,"Bulunamadı")</f>
        <v>6.22</v>
      </c>
      <c r="I4800" s="2" t="str">
        <f t="shared" si="1"/>
        <v>119847 - Sports - Venture Capital</v>
      </c>
      <c r="J4800" s="2">
        <f t="shared" si="2"/>
        <v>572.24</v>
      </c>
      <c r="K4800" s="17">
        <f t="shared" si="3"/>
        <v>1</v>
      </c>
      <c r="L4800" s="18"/>
    </row>
    <row r="4801" hidden="1">
      <c r="A4801" s="2">
        <f>IFERROR(__xludf.DUMMYFUNCTION("""COMPUTED_VALUE"""),11446.0)</f>
        <v>11446</v>
      </c>
      <c r="B4801" s="2">
        <f>IFERROR(__xludf.DUMMYFUNCTION("""COMPUTED_VALUE"""),1.0)</f>
        <v>1</v>
      </c>
      <c r="C4801" s="2">
        <f>IFERROR(__xludf.DUMMYFUNCTION("""COMPUTED_VALUE"""),951.0)</f>
        <v>951</v>
      </c>
      <c r="D4801" s="3">
        <f>IFERROR(__xludf.DUMMYFUNCTION("""COMPUTED_VALUE"""),683.0)</f>
        <v>683</v>
      </c>
      <c r="E4801" s="1" t="str">
        <f t="array" ref="E4801">_xlfn.XLOOKUP(A4801,Product!A:A,Product!B:B,"Bulunamadı")</f>
        <v>Sports</v>
      </c>
      <c r="F4801" s="1" t="str">
        <f t="array" ref="F4801">_xlfn.XLOOKUP(A4801,Product!A:A,Product!C:C,"Bulunamadı")</f>
        <v>Venture Capital</v>
      </c>
      <c r="G4801" s="2" t="str">
        <f t="array" ref="G4801">_xlfn.XLOOKUP(A4802,Product!A:A,Product!D:D,"Bulunamadı")</f>
        <v>Ironway House</v>
      </c>
      <c r="H4801" s="2">
        <f t="array" ref="H4801">_xlfn.XLOOKUP(A4803,Product!A:A,Product!E:E,"Bulunamadı")</f>
        <v>8.57</v>
      </c>
      <c r="I4801" s="2" t="str">
        <f t="shared" si="1"/>
        <v>11446 - Sports - Venture Capital</v>
      </c>
      <c r="J4801" s="2">
        <f t="shared" si="2"/>
        <v>5853.31</v>
      </c>
      <c r="K4801" s="17">
        <f t="shared" si="3"/>
        <v>1</v>
      </c>
      <c r="L4801" s="18"/>
    </row>
    <row r="4802" hidden="1">
      <c r="A4802" s="2">
        <f>IFERROR(__xludf.DUMMYFUNCTION("""COMPUTED_VALUE"""),30628.0)</f>
        <v>30628</v>
      </c>
      <c r="B4802" s="2">
        <f>IFERROR(__xludf.DUMMYFUNCTION("""COMPUTED_VALUE"""),0.0)</f>
        <v>0</v>
      </c>
      <c r="C4802" s="2">
        <f>IFERROR(__xludf.DUMMYFUNCTION("""COMPUTED_VALUE"""),488.0)</f>
        <v>488</v>
      </c>
      <c r="D4802" s="3">
        <f>IFERROR(__xludf.DUMMYFUNCTION("""COMPUTED_VALUE"""),285.0)</f>
        <v>285</v>
      </c>
      <c r="E4802" s="1" t="str">
        <f t="array" ref="E4802">_xlfn.XLOOKUP(A4802,Product!A:A,Product!B:B,"Bulunamadı")</f>
        <v>Sports</v>
      </c>
      <c r="F4802" s="1" t="str">
        <f t="array" ref="F4802">_xlfn.XLOOKUP(A4802,Product!A:A,Product!C:C,"Bulunamadı")</f>
        <v>Venture Capital</v>
      </c>
      <c r="G4802" s="2" t="str">
        <f t="array" ref="G4802">_xlfn.XLOOKUP(A4803,Product!A:A,Product!D:D,"Bulunamadı")</f>
        <v>Ironway House</v>
      </c>
      <c r="H4802" s="2">
        <f t="array" ref="H4802">_xlfn.XLOOKUP(A4804,Product!A:A,Product!E:E,"Bulunamadı")</f>
        <v>6.48</v>
      </c>
      <c r="I4802" s="2" t="str">
        <f t="shared" si="1"/>
        <v>30628 - Sports - Venture Capital</v>
      </c>
      <c r="J4802" s="2">
        <f t="shared" si="2"/>
        <v>1846.8</v>
      </c>
      <c r="K4802" s="17">
        <f t="shared" si="3"/>
        <v>1</v>
      </c>
      <c r="L4802" s="18"/>
    </row>
    <row r="4803" hidden="1">
      <c r="A4803" s="2">
        <f>IFERROR(__xludf.DUMMYFUNCTION("""COMPUTED_VALUE"""),113003.0)</f>
        <v>113003</v>
      </c>
      <c r="B4803" s="2">
        <f>IFERROR(__xludf.DUMMYFUNCTION("""COMPUTED_VALUE"""),0.0)</f>
        <v>0</v>
      </c>
      <c r="C4803" s="2">
        <f>IFERROR(__xludf.DUMMYFUNCTION("""COMPUTED_VALUE"""),643.0)</f>
        <v>643</v>
      </c>
      <c r="D4803" s="3">
        <f>IFERROR(__xludf.DUMMYFUNCTION("""COMPUTED_VALUE"""),394.0)</f>
        <v>394</v>
      </c>
      <c r="E4803" s="1" t="str">
        <f t="array" ref="E4803">_xlfn.XLOOKUP(A4803,Product!A:A,Product!B:B,"Bulunamadı")</f>
        <v>Sports</v>
      </c>
      <c r="F4803" s="1" t="str">
        <f t="array" ref="F4803">_xlfn.XLOOKUP(A4803,Product!A:A,Product!C:C,"Bulunamadı")</f>
        <v>Venture Capital</v>
      </c>
      <c r="G4803" s="2" t="str">
        <f t="array" ref="G4803">_xlfn.XLOOKUP(A4804,Product!A:A,Product!D:D,"Bulunamadı")</f>
        <v>Ironway House</v>
      </c>
      <c r="H4803" s="2">
        <f t="array" ref="H4803">_xlfn.XLOOKUP(A4805,Product!A:A,Product!E:E,"Bulunamadı")</f>
        <v>4.04</v>
      </c>
      <c r="I4803" s="2" t="str">
        <f t="shared" si="1"/>
        <v>113003 - Sports - Venture Capital</v>
      </c>
      <c r="J4803" s="2">
        <f t="shared" si="2"/>
        <v>1591.76</v>
      </c>
      <c r="K4803" s="17">
        <f t="shared" si="3"/>
        <v>1</v>
      </c>
      <c r="L4803" s="18"/>
    </row>
    <row r="4804" hidden="1">
      <c r="A4804" s="2">
        <f>IFERROR(__xludf.DUMMYFUNCTION("""COMPUTED_VALUE"""),30631.0)</f>
        <v>30631</v>
      </c>
      <c r="B4804" s="2">
        <f>IFERROR(__xludf.DUMMYFUNCTION("""COMPUTED_VALUE"""),1.0)</f>
        <v>1</v>
      </c>
      <c r="C4804" s="2">
        <f>IFERROR(__xludf.DUMMYFUNCTION("""COMPUTED_VALUE"""),908.0)</f>
        <v>908</v>
      </c>
      <c r="D4804" s="3">
        <f>IFERROR(__xludf.DUMMYFUNCTION("""COMPUTED_VALUE"""),862.0)</f>
        <v>862</v>
      </c>
      <c r="E4804" s="1" t="str">
        <f t="array" ref="E4804">_xlfn.XLOOKUP(A4804,Product!A:A,Product!B:B,"Bulunamadı")</f>
        <v>Sports</v>
      </c>
      <c r="F4804" s="1" t="str">
        <f t="array" ref="F4804">_xlfn.XLOOKUP(A4804,Product!A:A,Product!C:C,"Bulunamadı")</f>
        <v>Venture Capital</v>
      </c>
      <c r="G4804" s="2" t="str">
        <f t="array" ref="G4804">_xlfn.XLOOKUP(A4805,Product!A:A,Product!D:D,"Bulunamadı")</f>
        <v>Ironway House</v>
      </c>
      <c r="H4804" s="2">
        <f t="array" ref="H4804">_xlfn.XLOOKUP(A4806,Product!A:A,Product!E:E,"Bulunamadı")</f>
        <v>5.87</v>
      </c>
      <c r="I4804" s="2" t="str">
        <f t="shared" si="1"/>
        <v>30631 - Sports - Venture Capital</v>
      </c>
      <c r="J4804" s="2">
        <f t="shared" si="2"/>
        <v>5059.94</v>
      </c>
      <c r="K4804" s="17">
        <f t="shared" si="3"/>
        <v>1</v>
      </c>
      <c r="L4804" s="18"/>
    </row>
    <row r="4805" hidden="1">
      <c r="A4805" s="2">
        <f>IFERROR(__xludf.DUMMYFUNCTION("""COMPUTED_VALUE"""),188351.0)</f>
        <v>188351</v>
      </c>
      <c r="B4805" s="2">
        <f>IFERROR(__xludf.DUMMYFUNCTION("""COMPUTED_VALUE"""),0.0)</f>
        <v>0</v>
      </c>
      <c r="C4805" s="2">
        <f>IFERROR(__xludf.DUMMYFUNCTION("""COMPUTED_VALUE"""),503.0)</f>
        <v>503</v>
      </c>
      <c r="D4805" s="3">
        <f>IFERROR(__xludf.DUMMYFUNCTION("""COMPUTED_VALUE"""),137.0)</f>
        <v>137</v>
      </c>
      <c r="E4805" s="1" t="str">
        <f t="array" ref="E4805">_xlfn.XLOOKUP(A4805,Product!A:A,Product!B:B,"Bulunamadı")</f>
        <v>Sports</v>
      </c>
      <c r="F4805" s="1" t="str">
        <f t="array" ref="F4805">_xlfn.XLOOKUP(A4805,Product!A:A,Product!C:C,"Bulunamadı")</f>
        <v>Venture Capital</v>
      </c>
      <c r="G4805" s="2" t="str">
        <f t="array" ref="G4805">_xlfn.XLOOKUP(A4806,Product!A:A,Product!D:D,"Bulunamadı")</f>
        <v>Silvermark House</v>
      </c>
      <c r="H4805" s="2">
        <f t="array" ref="H4805">_xlfn.XLOOKUP(A4807,Product!A:A,Product!E:E,"Bulunamadı")</f>
        <v>5.73</v>
      </c>
      <c r="I4805" s="2" t="str">
        <f t="shared" si="1"/>
        <v>188351 - Sports - Venture Capital</v>
      </c>
      <c r="J4805" s="2">
        <f t="shared" si="2"/>
        <v>785.01</v>
      </c>
      <c r="K4805" s="17">
        <f t="shared" si="3"/>
        <v>1</v>
      </c>
      <c r="L4805" s="18"/>
    </row>
    <row r="4806" hidden="1">
      <c r="A4806" s="2">
        <f>IFERROR(__xludf.DUMMYFUNCTION("""COMPUTED_VALUE"""),67025.0)</f>
        <v>67025</v>
      </c>
      <c r="B4806" s="2">
        <f>IFERROR(__xludf.DUMMYFUNCTION("""COMPUTED_VALUE"""),0.0)</f>
        <v>0</v>
      </c>
      <c r="C4806" s="2">
        <f>IFERROR(__xludf.DUMMYFUNCTION("""COMPUTED_VALUE"""),67.0)</f>
        <v>67</v>
      </c>
      <c r="D4806" s="3">
        <f>IFERROR(__xludf.DUMMYFUNCTION("""COMPUTED_VALUE"""),58.0)</f>
        <v>58</v>
      </c>
      <c r="E4806" s="1" t="str">
        <f t="array" ref="E4806">_xlfn.XLOOKUP(A4806,Product!A:A,Product!B:B,"Bulunamadı")</f>
        <v>Sports</v>
      </c>
      <c r="F4806" s="1" t="str">
        <f t="array" ref="F4806">_xlfn.XLOOKUP(A4806,Product!A:A,Product!C:C,"Bulunamadı")</f>
        <v>Venture Capital</v>
      </c>
      <c r="G4806" s="2" t="str">
        <f t="array" ref="G4806">_xlfn.XLOOKUP(A4807,Product!A:A,Product!D:D,"Bulunamadı")</f>
        <v>Silvermark House</v>
      </c>
      <c r="H4806" s="2">
        <f t="array" ref="H4806">_xlfn.XLOOKUP(A4808,Product!A:A,Product!E:E,"Bulunamadı")</f>
        <v>11.11</v>
      </c>
      <c r="I4806" s="2" t="str">
        <f t="shared" si="1"/>
        <v>67025 - Sports - Venture Capital</v>
      </c>
      <c r="J4806" s="2">
        <f t="shared" si="2"/>
        <v>644.38</v>
      </c>
      <c r="K4806" s="17">
        <f t="shared" si="3"/>
        <v>1</v>
      </c>
      <c r="L4806" s="18"/>
    </row>
    <row r="4807" hidden="1">
      <c r="A4807" s="2">
        <f>IFERROR(__xludf.DUMMYFUNCTION("""COMPUTED_VALUE"""),119797.0)</f>
        <v>119797</v>
      </c>
      <c r="B4807" s="2">
        <f>IFERROR(__xludf.DUMMYFUNCTION("""COMPUTED_VALUE"""),1.0)</f>
        <v>1</v>
      </c>
      <c r="C4807" s="2">
        <f>IFERROR(__xludf.DUMMYFUNCTION("""COMPUTED_VALUE"""),876.0)</f>
        <v>876</v>
      </c>
      <c r="D4807" s="3">
        <f>IFERROR(__xludf.DUMMYFUNCTION("""COMPUTED_VALUE"""),352.0)</f>
        <v>352</v>
      </c>
      <c r="E4807" s="1" t="str">
        <f t="array" ref="E4807">_xlfn.XLOOKUP(A4807,Product!A:A,Product!B:B,"Bulunamadı")</f>
        <v>Sports</v>
      </c>
      <c r="F4807" s="1" t="str">
        <f t="array" ref="F4807">_xlfn.XLOOKUP(A4807,Product!A:A,Product!C:C,"Bulunamadı")</f>
        <v>Venture Capital</v>
      </c>
      <c r="G4807" s="2" t="str">
        <f t="array" ref="G4807">_xlfn.XLOOKUP(A4808,Product!A:A,Product!D:D,"Bulunamadı")</f>
        <v>Silvermark House</v>
      </c>
      <c r="H4807" s="2">
        <f t="array" ref="H4807">_xlfn.XLOOKUP(A4809,Product!A:A,Product!E:E,"Bulunamadı")</f>
        <v>7.63</v>
      </c>
      <c r="I4807" s="2" t="str">
        <f t="shared" si="1"/>
        <v>119797 - Sports - Venture Capital</v>
      </c>
      <c r="J4807" s="2">
        <f t="shared" si="2"/>
        <v>2685.76</v>
      </c>
      <c r="K4807" s="17">
        <f t="shared" si="3"/>
        <v>1</v>
      </c>
      <c r="L4807" s="18"/>
    </row>
    <row r="4808" hidden="1">
      <c r="A4808" s="2">
        <f>IFERROR(__xludf.DUMMYFUNCTION("""COMPUTED_VALUE"""),3592.0)</f>
        <v>3592</v>
      </c>
      <c r="B4808" s="2">
        <f>IFERROR(__xludf.DUMMYFUNCTION("""COMPUTED_VALUE"""),1.0)</f>
        <v>1</v>
      </c>
      <c r="C4808" s="2">
        <f>IFERROR(__xludf.DUMMYFUNCTION("""COMPUTED_VALUE"""),143.0)</f>
        <v>143</v>
      </c>
      <c r="D4808" s="3">
        <f>IFERROR(__xludf.DUMMYFUNCTION("""COMPUTED_VALUE"""),105.0)</f>
        <v>105</v>
      </c>
      <c r="E4808" s="1" t="str">
        <f t="array" ref="E4808">_xlfn.XLOOKUP(A4808,Product!A:A,Product!B:B,"Bulunamadı")</f>
        <v>Sports</v>
      </c>
      <c r="F4808" s="1" t="str">
        <f t="array" ref="F4808">_xlfn.XLOOKUP(A4808,Product!A:A,Product!C:C,"Bulunamadı")</f>
        <v>Venture Capital</v>
      </c>
      <c r="G4808" s="2" t="str">
        <f t="array" ref="G4808">_xlfn.XLOOKUP(A4809,Product!A:A,Product!D:D,"Bulunamadı")</f>
        <v>Silvermark House</v>
      </c>
      <c r="H4808" s="2">
        <f t="array" ref="H4808">_xlfn.XLOOKUP(A4810,Product!A:A,Product!E:E,"Bulunamadı")</f>
        <v>23.43</v>
      </c>
      <c r="I4808" s="2" t="str">
        <f t="shared" si="1"/>
        <v>3592 - Sports - Venture Capital</v>
      </c>
      <c r="J4808" s="2">
        <f t="shared" si="2"/>
        <v>2460.15</v>
      </c>
      <c r="K4808" s="17">
        <f t="shared" si="3"/>
        <v>1</v>
      </c>
      <c r="L4808" s="18"/>
    </row>
    <row r="4809" hidden="1">
      <c r="A4809" s="2">
        <f>IFERROR(__xludf.DUMMYFUNCTION("""COMPUTED_VALUE"""),3586.0)</f>
        <v>3586</v>
      </c>
      <c r="B4809" s="2">
        <f>IFERROR(__xludf.DUMMYFUNCTION("""COMPUTED_VALUE"""),0.0)</f>
        <v>0</v>
      </c>
      <c r="C4809" s="2">
        <f>IFERROR(__xludf.DUMMYFUNCTION("""COMPUTED_VALUE"""),36.0)</f>
        <v>36</v>
      </c>
      <c r="D4809" s="3">
        <f>IFERROR(__xludf.DUMMYFUNCTION("""COMPUTED_VALUE"""),35.0)</f>
        <v>35</v>
      </c>
      <c r="E4809" s="1" t="str">
        <f t="array" ref="E4809">_xlfn.XLOOKUP(A4809,Product!A:A,Product!B:B,"Bulunamadı")</f>
        <v>Sports</v>
      </c>
      <c r="F4809" s="1" t="str">
        <f t="array" ref="F4809">_xlfn.XLOOKUP(A4809,Product!A:A,Product!C:C,"Bulunamadı")</f>
        <v>Venture Capital</v>
      </c>
      <c r="G4809" s="2" t="str">
        <f t="array" ref="G4809">_xlfn.XLOOKUP(A4810,Product!A:A,Product!D:D,"Bulunamadı")</f>
        <v>Silvermark House</v>
      </c>
      <c r="H4809" s="2">
        <f t="array" ref="H4809">_xlfn.XLOOKUP(A4811,Product!A:A,Product!E:E,"Bulunamadı")</f>
        <v>6.84</v>
      </c>
      <c r="I4809" s="2" t="str">
        <f t="shared" si="1"/>
        <v>3586 - Sports - Venture Capital</v>
      </c>
      <c r="J4809" s="2">
        <f t="shared" si="2"/>
        <v>239.4</v>
      </c>
      <c r="K4809" s="17">
        <f t="shared" si="3"/>
        <v>1</v>
      </c>
      <c r="L4809" s="18"/>
    </row>
    <row r="4810" hidden="1">
      <c r="A4810" s="2">
        <f>IFERROR(__xludf.DUMMYFUNCTION("""COMPUTED_VALUE"""),3591.0)</f>
        <v>3591</v>
      </c>
      <c r="B4810" s="2">
        <f>IFERROR(__xludf.DUMMYFUNCTION("""COMPUTED_VALUE"""),0.0)</f>
        <v>0</v>
      </c>
      <c r="C4810" s="2">
        <f>IFERROR(__xludf.DUMMYFUNCTION("""COMPUTED_VALUE"""),766.0)</f>
        <v>766</v>
      </c>
      <c r="D4810" s="3">
        <f>IFERROR(__xludf.DUMMYFUNCTION("""COMPUTED_VALUE"""),104.0)</f>
        <v>104</v>
      </c>
      <c r="E4810" s="1" t="str">
        <f t="array" ref="E4810">_xlfn.XLOOKUP(A4810,Product!A:A,Product!B:B,"Bulunamadı")</f>
        <v>Sports</v>
      </c>
      <c r="F4810" s="1" t="str">
        <f t="array" ref="F4810">_xlfn.XLOOKUP(A4810,Product!A:A,Product!C:C,"Bulunamadı")</f>
        <v>Venture Capital</v>
      </c>
      <c r="G4810" s="2" t="str">
        <f t="array" ref="G4810">_xlfn.XLOOKUP(A4811,Product!A:A,Product!D:D,"Bulunamadı")</f>
        <v>Silvermark House</v>
      </c>
      <c r="H4810" s="2">
        <f t="array" ref="H4810">_xlfn.XLOOKUP(A4812,Product!A:A,Product!E:E,"Bulunamadı")</f>
        <v>11.29</v>
      </c>
      <c r="I4810" s="2" t="str">
        <f t="shared" si="1"/>
        <v>3591 - Sports - Venture Capital</v>
      </c>
      <c r="J4810" s="2">
        <f t="shared" si="2"/>
        <v>1174.16</v>
      </c>
      <c r="K4810" s="17">
        <f t="shared" si="3"/>
        <v>1</v>
      </c>
      <c r="L4810" s="18"/>
    </row>
    <row r="4811" hidden="1">
      <c r="A4811" s="2">
        <f>IFERROR(__xludf.DUMMYFUNCTION("""COMPUTED_VALUE"""),73847.0)</f>
        <v>73847</v>
      </c>
      <c r="B4811" s="2">
        <f>IFERROR(__xludf.DUMMYFUNCTION("""COMPUTED_VALUE"""),1.0)</f>
        <v>1</v>
      </c>
      <c r="C4811" s="2">
        <f>IFERROR(__xludf.DUMMYFUNCTION("""COMPUTED_VALUE"""),501.0)</f>
        <v>501</v>
      </c>
      <c r="D4811" s="3">
        <f>IFERROR(__xludf.DUMMYFUNCTION("""COMPUTED_VALUE"""),277.0)</f>
        <v>277</v>
      </c>
      <c r="E4811" s="1" t="str">
        <f t="array" ref="E4811">_xlfn.XLOOKUP(A4811,Product!A:A,Product!B:B,"Bulunamadı")</f>
        <v>Sports</v>
      </c>
      <c r="F4811" s="1" t="str">
        <f t="array" ref="F4811">_xlfn.XLOOKUP(A4811,Product!A:A,Product!C:C,"Bulunamadı")</f>
        <v>Venture Capital</v>
      </c>
      <c r="G4811" s="2" t="str">
        <f t="array" ref="G4811">_xlfn.XLOOKUP(A4812,Product!A:A,Product!D:D,"Bulunamadı")</f>
        <v>Silvermark House</v>
      </c>
      <c r="H4811" s="2">
        <f t="array" ref="H4811">_xlfn.XLOOKUP(A4813,Product!A:A,Product!E:E,"Bulunamadı")</f>
        <v>7.01</v>
      </c>
      <c r="I4811" s="2" t="str">
        <f t="shared" si="1"/>
        <v>73847 - Sports - Venture Capital</v>
      </c>
      <c r="J4811" s="2">
        <f t="shared" si="2"/>
        <v>1941.77</v>
      </c>
      <c r="K4811" s="17">
        <f t="shared" si="3"/>
        <v>1</v>
      </c>
      <c r="L4811" s="18"/>
    </row>
    <row r="4812" hidden="1">
      <c r="A4812" s="2">
        <f>IFERROR(__xludf.DUMMYFUNCTION("""COMPUTED_VALUE"""),3590.0)</f>
        <v>3590</v>
      </c>
      <c r="B4812" s="2">
        <f>IFERROR(__xludf.DUMMYFUNCTION("""COMPUTED_VALUE"""),0.0)</f>
        <v>0</v>
      </c>
      <c r="C4812" s="2">
        <f>IFERROR(__xludf.DUMMYFUNCTION("""COMPUTED_VALUE"""),174.0)</f>
        <v>174</v>
      </c>
      <c r="D4812" s="3">
        <f>IFERROR(__xludf.DUMMYFUNCTION("""COMPUTED_VALUE"""),161.0)</f>
        <v>161</v>
      </c>
      <c r="E4812" s="1" t="str">
        <f t="array" ref="E4812">_xlfn.XLOOKUP(A4812,Product!A:A,Product!B:B,"Bulunamadı")</f>
        <v>Sports</v>
      </c>
      <c r="F4812" s="1" t="str">
        <f t="array" ref="F4812">_xlfn.XLOOKUP(A4812,Product!A:A,Product!C:C,"Bulunamadı")</f>
        <v>Venture Capital</v>
      </c>
      <c r="G4812" s="2" t="str">
        <f t="array" ref="G4812">_xlfn.XLOOKUP(A4813,Product!A:A,Product!D:D,"Bulunamadı")</f>
        <v>Silvermark House</v>
      </c>
      <c r="H4812" s="2">
        <f t="array" ref="H4812">_xlfn.XLOOKUP(A4814,Product!A:A,Product!E:E,"Bulunamadı")</f>
        <v>13.06</v>
      </c>
      <c r="I4812" s="2" t="str">
        <f t="shared" si="1"/>
        <v>3590 - Sports - Venture Capital</v>
      </c>
      <c r="J4812" s="2">
        <f t="shared" si="2"/>
        <v>2102.66</v>
      </c>
      <c r="K4812" s="17">
        <f t="shared" si="3"/>
        <v>1</v>
      </c>
      <c r="L4812" s="18"/>
    </row>
    <row r="4813" hidden="1">
      <c r="A4813" s="2">
        <f>IFERROR(__xludf.DUMMYFUNCTION("""COMPUTED_VALUE"""),116903.0)</f>
        <v>116903</v>
      </c>
      <c r="B4813" s="2">
        <f>IFERROR(__xludf.DUMMYFUNCTION("""COMPUTED_VALUE"""),0.0)</f>
        <v>0</v>
      </c>
      <c r="C4813" s="2">
        <f>IFERROR(__xludf.DUMMYFUNCTION("""COMPUTED_VALUE"""),427.0)</f>
        <v>427</v>
      </c>
      <c r="D4813" s="3">
        <f>IFERROR(__xludf.DUMMYFUNCTION("""COMPUTED_VALUE"""),326.0)</f>
        <v>326</v>
      </c>
      <c r="E4813" s="1" t="str">
        <f t="array" ref="E4813">_xlfn.XLOOKUP(A4813,Product!A:A,Product!B:B,"Bulunamadı")</f>
        <v>Sports</v>
      </c>
      <c r="F4813" s="1" t="str">
        <f t="array" ref="F4813">_xlfn.XLOOKUP(A4813,Product!A:A,Product!C:C,"Bulunamadı")</f>
        <v>Venture Capital</v>
      </c>
      <c r="G4813" s="2" t="str">
        <f t="array" ref="G4813">_xlfn.XLOOKUP(A4814,Product!A:A,Product!D:D,"Bulunamadı")</f>
        <v>Silvermark House</v>
      </c>
      <c r="H4813" s="2">
        <f t="array" ref="H4813">_xlfn.XLOOKUP(A4815,Product!A:A,Product!E:E,"Bulunamadı")</f>
        <v>4.68</v>
      </c>
      <c r="I4813" s="2" t="str">
        <f t="shared" si="1"/>
        <v>116903 - Sports - Venture Capital</v>
      </c>
      <c r="J4813" s="2">
        <f t="shared" si="2"/>
        <v>1525.68</v>
      </c>
      <c r="K4813" s="17">
        <f t="shared" si="3"/>
        <v>1</v>
      </c>
      <c r="L4813" s="18"/>
    </row>
    <row r="4814" hidden="1">
      <c r="A4814" s="2">
        <f>IFERROR(__xludf.DUMMYFUNCTION("""COMPUTED_VALUE"""),116780.0)</f>
        <v>116780</v>
      </c>
      <c r="B4814" s="2">
        <f>IFERROR(__xludf.DUMMYFUNCTION("""COMPUTED_VALUE"""),0.0)</f>
        <v>0</v>
      </c>
      <c r="C4814" s="2">
        <f>IFERROR(__xludf.DUMMYFUNCTION("""COMPUTED_VALUE"""),434.0)</f>
        <v>434</v>
      </c>
      <c r="D4814" s="3">
        <f>IFERROR(__xludf.DUMMYFUNCTION("""COMPUTED_VALUE"""),332.0)</f>
        <v>332</v>
      </c>
      <c r="E4814" s="1" t="str">
        <f t="array" ref="E4814">_xlfn.XLOOKUP(A4814,Product!A:A,Product!B:B,"Bulunamadı")</f>
        <v>Sports</v>
      </c>
      <c r="F4814" s="1" t="str">
        <f t="array" ref="F4814">_xlfn.XLOOKUP(A4814,Product!A:A,Product!C:C,"Bulunamadı")</f>
        <v>Venture Capital</v>
      </c>
      <c r="G4814" s="2" t="str">
        <f t="array" ref="G4814">_xlfn.XLOOKUP(A4815,Product!A:A,Product!D:D,"Bulunamadı")</f>
        <v/>
      </c>
      <c r="H4814" s="2">
        <f t="array" ref="H4814">_xlfn.XLOOKUP(A4816,Product!A:A,Product!E:E,"Bulunamadı")</f>
        <v>38.63</v>
      </c>
      <c r="I4814" s="2" t="str">
        <f t="shared" si="1"/>
        <v>116780 - Sports - Venture Capital</v>
      </c>
      <c r="J4814" s="2">
        <f t="shared" si="2"/>
        <v>12825.16</v>
      </c>
      <c r="K4814" s="17">
        <f t="shared" si="3"/>
        <v>1</v>
      </c>
      <c r="L4814" s="18"/>
    </row>
    <row r="4815" hidden="1">
      <c r="A4815" s="2">
        <f>IFERROR(__xludf.DUMMYFUNCTION("""COMPUTED_VALUE"""),114912.0)</f>
        <v>114912</v>
      </c>
      <c r="B4815" s="2">
        <f>IFERROR(__xludf.DUMMYFUNCTION("""COMPUTED_VALUE"""),1.0)</f>
        <v>1</v>
      </c>
      <c r="C4815" s="2">
        <f>IFERROR(__xludf.DUMMYFUNCTION("""COMPUTED_VALUE"""),637.0)</f>
        <v>637</v>
      </c>
      <c r="D4815" s="3">
        <f>IFERROR(__xludf.DUMMYFUNCTION("""COMPUTED_VALUE"""),634.0)</f>
        <v>634</v>
      </c>
      <c r="E4815" s="1" t="str">
        <f t="array" ref="E4815">_xlfn.XLOOKUP(A4815,Product!A:A,Product!B:B,"Bulunamadı")</f>
        <v>Medical</v>
      </c>
      <c r="F4815" s="1" t="str">
        <f t="array" ref="F4815">_xlfn.XLOOKUP(A4815,Product!A:A,Product!C:C,"Bulunamadı")</f>
        <v>Private Equity</v>
      </c>
      <c r="G4815" s="2" t="str">
        <f t="array" ref="G4815">_xlfn.XLOOKUP(A4816,Product!A:A,Product!D:D,"Bulunamadı")</f>
        <v>Northmark House</v>
      </c>
      <c r="H4815" s="2">
        <f t="array" ref="H4815">_xlfn.XLOOKUP(A4817,Product!A:A,Product!E:E,"Bulunamadı")</f>
        <v>53.06</v>
      </c>
      <c r="I4815" s="2" t="str">
        <f t="shared" si="1"/>
        <v>114912 - Medical - Private Equity</v>
      </c>
      <c r="J4815" s="2">
        <f t="shared" si="2"/>
        <v>33640.04</v>
      </c>
      <c r="K4815" s="17">
        <f t="shared" si="3"/>
        <v>1</v>
      </c>
      <c r="L4815" s="18"/>
    </row>
    <row r="4816" hidden="1">
      <c r="A4816" s="2">
        <f>IFERROR(__xludf.DUMMYFUNCTION("""COMPUTED_VALUE"""),111970.0)</f>
        <v>111970</v>
      </c>
      <c r="B4816" s="2">
        <f>IFERROR(__xludf.DUMMYFUNCTION("""COMPUTED_VALUE"""),1.0)</f>
        <v>1</v>
      </c>
      <c r="C4816" s="2">
        <f>IFERROR(__xludf.DUMMYFUNCTION("""COMPUTED_VALUE"""),548.0)</f>
        <v>548</v>
      </c>
      <c r="D4816" s="3">
        <f>IFERROR(__xludf.DUMMYFUNCTION("""COMPUTED_VALUE"""),538.0)</f>
        <v>538</v>
      </c>
      <c r="E4816" s="1" t="str">
        <f t="array" ref="E4816">_xlfn.XLOOKUP(A4816,Product!A:A,Product!B:B,"Bulunamadı")</f>
        <v>Finance</v>
      </c>
      <c r="F4816" s="1" t="str">
        <f t="array" ref="F4816">_xlfn.XLOOKUP(A4816,Product!A:A,Product!C:C,"Bulunamadı")</f>
        <v>Painting</v>
      </c>
      <c r="G4816" s="2" t="str">
        <f t="array" ref="G4816">_xlfn.XLOOKUP(A4817,Product!A:A,Product!D:D,"Bulunamadı")</f>
        <v>Harbormark House</v>
      </c>
      <c r="H4816" s="2">
        <f t="array" ref="H4816">_xlfn.XLOOKUP(A4818,Product!A:A,Product!E:E,"Bulunamadı")</f>
        <v>13.57</v>
      </c>
      <c r="I4816" s="2" t="str">
        <f t="shared" si="1"/>
        <v>111970 - Finance - Painting</v>
      </c>
      <c r="J4816" s="2">
        <f t="shared" si="2"/>
        <v>7300.66</v>
      </c>
      <c r="K4816" s="17">
        <f t="shared" si="3"/>
        <v>1</v>
      </c>
      <c r="L4816" s="18"/>
    </row>
    <row r="4817" hidden="1">
      <c r="A4817" s="2">
        <f>IFERROR(__xludf.DUMMYFUNCTION("""COMPUTED_VALUE"""),126973.0)</f>
        <v>126973</v>
      </c>
      <c r="B4817" s="2">
        <f>IFERROR(__xludf.DUMMYFUNCTION("""COMPUTED_VALUE"""),1.0)</f>
        <v>1</v>
      </c>
      <c r="C4817" s="2">
        <f>IFERROR(__xludf.DUMMYFUNCTION("""COMPUTED_VALUE"""),820.0)</f>
        <v>820</v>
      </c>
      <c r="D4817" s="3">
        <f>IFERROR(__xludf.DUMMYFUNCTION("""COMPUTED_VALUE"""),677.0)</f>
        <v>677</v>
      </c>
      <c r="E4817" s="1" t="str">
        <f t="array" ref="E4817">_xlfn.XLOOKUP(A4817,Product!A:A,Product!B:B,"Bulunamadı")</f>
        <v>Finance</v>
      </c>
      <c r="F4817" s="1" t="str">
        <f t="array" ref="F4817">_xlfn.XLOOKUP(A4817,Product!A:A,Product!C:C,"Bulunamadı")</f>
        <v>Painting</v>
      </c>
      <c r="G4817" s="2" t="str">
        <f t="array" ref="G4817">_xlfn.XLOOKUP(A4818,Product!A:A,Product!D:D,"Bulunamadı")</f>
        <v>Cedarmark House</v>
      </c>
      <c r="H4817" s="2">
        <f t="array" ref="H4817">_xlfn.XLOOKUP(A4819,Product!A:A,Product!E:E,"Bulunamadı")</f>
        <v>2.39</v>
      </c>
      <c r="I4817" s="2" t="str">
        <f t="shared" si="1"/>
        <v>126973 - Finance - Painting</v>
      </c>
      <c r="J4817" s="2">
        <f t="shared" si="2"/>
        <v>1618.03</v>
      </c>
      <c r="K4817" s="17">
        <f t="shared" si="3"/>
        <v>1</v>
      </c>
      <c r="L4817" s="18"/>
    </row>
    <row r="4818" hidden="1">
      <c r="A4818" s="2">
        <f>IFERROR(__xludf.DUMMYFUNCTION("""COMPUTED_VALUE"""),116964.0)</f>
        <v>116964</v>
      </c>
      <c r="B4818" s="2">
        <f>IFERROR(__xludf.DUMMYFUNCTION("""COMPUTED_VALUE"""),0.0)</f>
        <v>0</v>
      </c>
      <c r="C4818" s="2">
        <f>IFERROR(__xludf.DUMMYFUNCTION("""COMPUTED_VALUE"""),120.0)</f>
        <v>120</v>
      </c>
      <c r="D4818" s="3">
        <f>IFERROR(__xludf.DUMMYFUNCTION("""COMPUTED_VALUE"""),100.0)</f>
        <v>100</v>
      </c>
      <c r="E4818" s="1" t="str">
        <f t="array" ref="E4818">_xlfn.XLOOKUP(A4818,Product!A:A,Product!B:B,"Bulunamadı")</f>
        <v>Sports</v>
      </c>
      <c r="F4818" s="1" t="str">
        <f t="array" ref="F4818">_xlfn.XLOOKUP(A4818,Product!A:A,Product!C:C,"Bulunamadı")</f>
        <v>Drawing</v>
      </c>
      <c r="G4818" s="2" t="str">
        <f t="array" ref="G4818">_xlfn.XLOOKUP(A4819,Product!A:A,Product!D:D,"Bulunamadı")</f>
        <v>Cedarmark House</v>
      </c>
      <c r="H4818" s="2">
        <f t="array" ref="H4818">_xlfn.XLOOKUP(A4820,Product!A:A,Product!E:E,"Bulunamadı")</f>
        <v>13.42</v>
      </c>
      <c r="I4818" s="2" t="str">
        <f t="shared" si="1"/>
        <v>116964 - Sports - Drawing</v>
      </c>
      <c r="J4818" s="2">
        <f t="shared" si="2"/>
        <v>1342</v>
      </c>
      <c r="K4818" s="17">
        <f t="shared" si="3"/>
        <v>1</v>
      </c>
      <c r="L4818" s="18"/>
    </row>
    <row r="4819" hidden="1">
      <c r="A4819" s="2">
        <f>IFERROR(__xludf.DUMMYFUNCTION("""COMPUTED_VALUE"""),122340.0)</f>
        <v>122340</v>
      </c>
      <c r="B4819" s="2">
        <f>IFERROR(__xludf.DUMMYFUNCTION("""COMPUTED_VALUE"""),0.0)</f>
        <v>0</v>
      </c>
      <c r="C4819" s="2">
        <f>IFERROR(__xludf.DUMMYFUNCTION("""COMPUTED_VALUE"""),323.0)</f>
        <v>323</v>
      </c>
      <c r="D4819" s="3">
        <f>IFERROR(__xludf.DUMMYFUNCTION("""COMPUTED_VALUE"""),156.0)</f>
        <v>156</v>
      </c>
      <c r="E4819" s="1" t="str">
        <f t="array" ref="E4819">_xlfn.XLOOKUP(A4819,Product!A:A,Product!B:B,"Bulunamadı")</f>
        <v>Sports</v>
      </c>
      <c r="F4819" s="1" t="str">
        <f t="array" ref="F4819">_xlfn.XLOOKUP(A4819,Product!A:A,Product!C:C,"Bulunamadı")</f>
        <v>Drawing</v>
      </c>
      <c r="G4819" s="2" t="str">
        <f t="array" ref="G4819">_xlfn.XLOOKUP(A4820,Product!A:A,Product!D:D,"Bulunamadı")</f>
        <v>Cedarmark House</v>
      </c>
      <c r="H4819" s="2">
        <f t="array" ref="H4819">_xlfn.XLOOKUP(A4821,Product!A:A,Product!E:E,"Bulunamadı")</f>
        <v>8.31</v>
      </c>
      <c r="I4819" s="2" t="str">
        <f t="shared" si="1"/>
        <v>122340 - Sports - Drawing</v>
      </c>
      <c r="J4819" s="2">
        <f t="shared" si="2"/>
        <v>1296.36</v>
      </c>
      <c r="K4819" s="17">
        <f t="shared" si="3"/>
        <v>1</v>
      </c>
      <c r="L4819" s="18"/>
    </row>
    <row r="4820" hidden="1">
      <c r="A4820" s="2">
        <f>IFERROR(__xludf.DUMMYFUNCTION("""COMPUTED_VALUE"""),116963.0)</f>
        <v>116963</v>
      </c>
      <c r="B4820" s="2">
        <f>IFERROR(__xludf.DUMMYFUNCTION("""COMPUTED_VALUE"""),0.0)</f>
        <v>0</v>
      </c>
      <c r="C4820" s="2">
        <f>IFERROR(__xludf.DUMMYFUNCTION("""COMPUTED_VALUE"""),354.0)</f>
        <v>354</v>
      </c>
      <c r="D4820" s="3">
        <f>IFERROR(__xludf.DUMMYFUNCTION("""COMPUTED_VALUE"""),144.0)</f>
        <v>144</v>
      </c>
      <c r="E4820" s="1" t="str">
        <f t="array" ref="E4820">_xlfn.XLOOKUP(A4820,Product!A:A,Product!B:B,"Bulunamadı")</f>
        <v>Sports</v>
      </c>
      <c r="F4820" s="1" t="str">
        <f t="array" ref="F4820">_xlfn.XLOOKUP(A4820,Product!A:A,Product!C:C,"Bulunamadı")</f>
        <v>Drawing</v>
      </c>
      <c r="G4820" s="2" t="str">
        <f t="array" ref="G4820">_xlfn.XLOOKUP(A4821,Product!A:A,Product!D:D,"Bulunamadı")</f>
        <v>Cedarmark House</v>
      </c>
      <c r="H4820" s="2">
        <f t="array" ref="H4820">_xlfn.XLOOKUP(A4822,Product!A:A,Product!E:E,"Bulunamadı")</f>
        <v>5.55</v>
      </c>
      <c r="I4820" s="2" t="str">
        <f t="shared" si="1"/>
        <v>116963 - Sports - Drawing</v>
      </c>
      <c r="J4820" s="2">
        <f t="shared" si="2"/>
        <v>799.2</v>
      </c>
      <c r="K4820" s="17">
        <f t="shared" si="3"/>
        <v>1</v>
      </c>
      <c r="L4820" s="18"/>
    </row>
    <row r="4821" hidden="1">
      <c r="A4821" s="2">
        <f>IFERROR(__xludf.DUMMYFUNCTION("""COMPUTED_VALUE"""),120241.0)</f>
        <v>120241</v>
      </c>
      <c r="B4821" s="2">
        <f>IFERROR(__xludf.DUMMYFUNCTION("""COMPUTED_VALUE"""),1.0)</f>
        <v>1</v>
      </c>
      <c r="C4821" s="2">
        <f>IFERROR(__xludf.DUMMYFUNCTION("""COMPUTED_VALUE"""),910.0)</f>
        <v>910</v>
      </c>
      <c r="D4821" s="3">
        <f>IFERROR(__xludf.DUMMYFUNCTION("""COMPUTED_VALUE"""),803.0)</f>
        <v>803</v>
      </c>
      <c r="E4821" s="1" t="str">
        <f t="array" ref="E4821">_xlfn.XLOOKUP(A4821,Product!A:A,Product!B:B,"Bulunamadı")</f>
        <v>Sports</v>
      </c>
      <c r="F4821" s="1" t="str">
        <f t="array" ref="F4821">_xlfn.XLOOKUP(A4821,Product!A:A,Product!C:C,"Bulunamadı")</f>
        <v>Drawing</v>
      </c>
      <c r="G4821" s="2" t="str">
        <f t="array" ref="G4821">_xlfn.XLOOKUP(A4822,Product!A:A,Product!D:D,"Bulunamadı")</f>
        <v>Cedarmark House</v>
      </c>
      <c r="H4821" s="2">
        <f t="array" ref="H4821">_xlfn.XLOOKUP(A4823,Product!A:A,Product!E:E,"Bulunamadı")</f>
        <v>5.03</v>
      </c>
      <c r="I4821" s="2" t="str">
        <f t="shared" si="1"/>
        <v>120241 - Sports - Drawing</v>
      </c>
      <c r="J4821" s="2">
        <f t="shared" si="2"/>
        <v>4039.09</v>
      </c>
      <c r="K4821" s="17">
        <f t="shared" si="3"/>
        <v>1</v>
      </c>
      <c r="L4821" s="18"/>
    </row>
    <row r="4822" hidden="1">
      <c r="A4822" s="2">
        <f>IFERROR(__xludf.DUMMYFUNCTION("""COMPUTED_VALUE"""),120205.0)</f>
        <v>120205</v>
      </c>
      <c r="B4822" s="2">
        <f>IFERROR(__xludf.DUMMYFUNCTION("""COMPUTED_VALUE"""),0.0)</f>
        <v>0</v>
      </c>
      <c r="C4822" s="2">
        <f>IFERROR(__xludf.DUMMYFUNCTION("""COMPUTED_VALUE"""),849.0)</f>
        <v>849</v>
      </c>
      <c r="D4822" s="3">
        <f>IFERROR(__xludf.DUMMYFUNCTION("""COMPUTED_VALUE"""),245.0)</f>
        <v>245</v>
      </c>
      <c r="E4822" s="1" t="str">
        <f t="array" ref="E4822">_xlfn.XLOOKUP(A4822,Product!A:A,Product!B:B,"Bulunamadı")</f>
        <v>Sports</v>
      </c>
      <c r="F4822" s="1" t="str">
        <f t="array" ref="F4822">_xlfn.XLOOKUP(A4822,Product!A:A,Product!C:C,"Bulunamadı")</f>
        <v>Drawing</v>
      </c>
      <c r="G4822" s="2" t="str">
        <f t="array" ref="G4822">_xlfn.XLOOKUP(A4823,Product!A:A,Product!D:D,"Bulunamadı")</f>
        <v>Cedarmark House</v>
      </c>
      <c r="H4822" s="2">
        <f t="array" ref="H4822">_xlfn.XLOOKUP(A4824,Product!A:A,Product!E:E,"Bulunamadı")</f>
        <v>10.54</v>
      </c>
      <c r="I4822" s="2" t="str">
        <f t="shared" si="1"/>
        <v>120205 - Sports - Drawing</v>
      </c>
      <c r="J4822" s="2">
        <f t="shared" si="2"/>
        <v>2582.3</v>
      </c>
      <c r="K4822" s="17">
        <f t="shared" si="3"/>
        <v>1</v>
      </c>
      <c r="L4822" s="18"/>
    </row>
    <row r="4823" hidden="1">
      <c r="A4823" s="2">
        <f>IFERROR(__xludf.DUMMYFUNCTION("""COMPUTED_VALUE"""),104162.0)</f>
        <v>104162</v>
      </c>
      <c r="B4823" s="2">
        <f>IFERROR(__xludf.DUMMYFUNCTION("""COMPUTED_VALUE"""),1.0)</f>
        <v>1</v>
      </c>
      <c r="C4823" s="2">
        <f>IFERROR(__xludf.DUMMYFUNCTION("""COMPUTED_VALUE"""),488.0)</f>
        <v>488</v>
      </c>
      <c r="D4823" s="3">
        <f>IFERROR(__xludf.DUMMYFUNCTION("""COMPUTED_VALUE"""),336.0)</f>
        <v>336</v>
      </c>
      <c r="E4823" s="1" t="str">
        <f t="array" ref="E4823">_xlfn.XLOOKUP(A4823,Product!A:A,Product!B:B,"Bulunamadı")</f>
        <v>Sports</v>
      </c>
      <c r="F4823" s="1" t="str">
        <f t="array" ref="F4823">_xlfn.XLOOKUP(A4823,Product!A:A,Product!C:C,"Bulunamadı")</f>
        <v>Drawing</v>
      </c>
      <c r="G4823" s="2" t="str">
        <f t="array" ref="G4823">_xlfn.XLOOKUP(A4824,Product!A:A,Product!D:D,"Bulunamadı")</f>
        <v>Cedarmark House</v>
      </c>
      <c r="H4823" s="2">
        <f t="array" ref="H4823">_xlfn.XLOOKUP(A4825,Product!A:A,Product!E:E,"Bulunamadı")</f>
        <v>6.3</v>
      </c>
      <c r="I4823" s="2" t="str">
        <f t="shared" si="1"/>
        <v>104162 - Sports - Drawing</v>
      </c>
      <c r="J4823" s="2">
        <f t="shared" si="2"/>
        <v>2116.8</v>
      </c>
      <c r="K4823" s="17">
        <f t="shared" si="3"/>
        <v>1</v>
      </c>
      <c r="L4823" s="18"/>
    </row>
    <row r="4824" hidden="1">
      <c r="A4824" s="2">
        <f>IFERROR(__xludf.DUMMYFUNCTION("""COMPUTED_VALUE"""),110792.0)</f>
        <v>110792</v>
      </c>
      <c r="B4824" s="2">
        <f>IFERROR(__xludf.DUMMYFUNCTION("""COMPUTED_VALUE"""),0.0)</f>
        <v>0</v>
      </c>
      <c r="C4824" s="2">
        <f>IFERROR(__xludf.DUMMYFUNCTION("""COMPUTED_VALUE"""),423.0)</f>
        <v>423</v>
      </c>
      <c r="D4824" s="3">
        <f>IFERROR(__xludf.DUMMYFUNCTION("""COMPUTED_VALUE"""),330.0)</f>
        <v>330</v>
      </c>
      <c r="E4824" s="1" t="str">
        <f t="array" ref="E4824">_xlfn.XLOOKUP(A4824,Product!A:A,Product!B:B,"Bulunamadı")</f>
        <v>Sports</v>
      </c>
      <c r="F4824" s="1" t="str">
        <f t="array" ref="F4824">_xlfn.XLOOKUP(A4824,Product!A:A,Product!C:C,"Bulunamadı")</f>
        <v>Drawing</v>
      </c>
      <c r="G4824" s="2" t="str">
        <f t="array" ref="G4824">_xlfn.XLOOKUP(A4825,Product!A:A,Product!D:D,"Bulunamadı")</f>
        <v>Brightmark House</v>
      </c>
      <c r="H4824" s="2">
        <f t="array" ref="H4824">_xlfn.XLOOKUP(A4826,Product!A:A,Product!E:E,"Bulunamadı")</f>
        <v>11.58</v>
      </c>
      <c r="I4824" s="2" t="str">
        <f t="shared" si="1"/>
        <v>110792 - Sports - Drawing</v>
      </c>
      <c r="J4824" s="2">
        <f t="shared" si="2"/>
        <v>3821.4</v>
      </c>
      <c r="K4824" s="17">
        <f t="shared" si="3"/>
        <v>1</v>
      </c>
      <c r="L4824" s="18"/>
    </row>
    <row r="4825" hidden="1">
      <c r="A4825" s="2">
        <f>IFERROR(__xludf.DUMMYFUNCTION("""COMPUTED_VALUE"""),104169.0)</f>
        <v>104169</v>
      </c>
      <c r="B4825" s="2">
        <f>IFERROR(__xludf.DUMMYFUNCTION("""COMPUTED_VALUE"""),0.0)</f>
        <v>0</v>
      </c>
      <c r="C4825" s="2">
        <f>IFERROR(__xludf.DUMMYFUNCTION("""COMPUTED_VALUE"""),330.0)</f>
        <v>330</v>
      </c>
      <c r="D4825" s="3">
        <f>IFERROR(__xludf.DUMMYFUNCTION("""COMPUTED_VALUE"""),248.0)</f>
        <v>248</v>
      </c>
      <c r="E4825" s="1" t="str">
        <f t="array" ref="E4825">_xlfn.XLOOKUP(A4825,Product!A:A,Product!B:B,"Bulunamadı")</f>
        <v>Sports</v>
      </c>
      <c r="F4825" s="1" t="str">
        <f t="array" ref="F4825">_xlfn.XLOOKUP(A4825,Product!A:A,Product!C:C,"Bulunamadı")</f>
        <v>Drawing</v>
      </c>
      <c r="G4825" s="2" t="str">
        <f t="array" ref="G4825">_xlfn.XLOOKUP(A4826,Product!A:A,Product!D:D,"Bulunamadı")</f>
        <v>Oakmark House</v>
      </c>
      <c r="H4825" s="2">
        <f t="array" ref="H4825">_xlfn.XLOOKUP(A4827,Product!A:A,Product!E:E,"Bulunamadı")</f>
        <v>12.21</v>
      </c>
      <c r="I4825" s="2" t="str">
        <f t="shared" si="1"/>
        <v>104169 - Sports - Drawing</v>
      </c>
      <c r="J4825" s="2">
        <f t="shared" si="2"/>
        <v>3028.08</v>
      </c>
      <c r="K4825" s="17">
        <f t="shared" si="3"/>
        <v>1</v>
      </c>
      <c r="L4825" s="18"/>
    </row>
    <row r="4826" hidden="1">
      <c r="A4826" s="2">
        <f>IFERROR(__xludf.DUMMYFUNCTION("""COMPUTED_VALUE"""),111957.0)</f>
        <v>111957</v>
      </c>
      <c r="B4826" s="2">
        <f>IFERROR(__xludf.DUMMYFUNCTION("""COMPUTED_VALUE"""),0.0)</f>
        <v>0</v>
      </c>
      <c r="C4826" s="2">
        <f>IFERROR(__xludf.DUMMYFUNCTION("""COMPUTED_VALUE"""),515.0)</f>
        <v>515</v>
      </c>
      <c r="D4826" s="3">
        <f>IFERROR(__xludf.DUMMYFUNCTION("""COMPUTED_VALUE"""),221.0)</f>
        <v>221</v>
      </c>
      <c r="E4826" s="1" t="str">
        <f t="array" ref="E4826">_xlfn.XLOOKUP(A4826,Product!A:A,Product!B:B,"Bulunamadı")</f>
        <v>Sports</v>
      </c>
      <c r="F4826" s="1" t="str">
        <f t="array" ref="F4826">_xlfn.XLOOKUP(A4826,Product!A:A,Product!C:C,"Bulunamadı")</f>
        <v>Drawing</v>
      </c>
      <c r="G4826" s="2" t="str">
        <f t="array" ref="G4826">_xlfn.XLOOKUP(A4827,Product!A:A,Product!D:D,"Bulunamadı")</f>
        <v>Oakmark House</v>
      </c>
      <c r="H4826" s="2">
        <f t="array" ref="H4826">_xlfn.XLOOKUP(A4828,Product!A:A,Product!E:E,"Bulunamadı")</f>
        <v>2.77</v>
      </c>
      <c r="I4826" s="2" t="str">
        <f t="shared" si="1"/>
        <v>111957 - Sports - Drawing</v>
      </c>
      <c r="J4826" s="2">
        <f t="shared" si="2"/>
        <v>612.17</v>
      </c>
      <c r="K4826" s="17">
        <f t="shared" si="3"/>
        <v>1</v>
      </c>
      <c r="L4826" s="18"/>
    </row>
    <row r="4827" hidden="1">
      <c r="A4827" s="2">
        <f>IFERROR(__xludf.DUMMYFUNCTION("""COMPUTED_VALUE"""),89201.0)</f>
        <v>89201</v>
      </c>
      <c r="B4827" s="2">
        <f>IFERROR(__xludf.DUMMYFUNCTION("""COMPUTED_VALUE"""),0.0)</f>
        <v>0</v>
      </c>
      <c r="C4827" s="2">
        <f>IFERROR(__xludf.DUMMYFUNCTION("""COMPUTED_VALUE"""),626.0)</f>
        <v>626</v>
      </c>
      <c r="D4827" s="3">
        <f>IFERROR(__xludf.DUMMYFUNCTION("""COMPUTED_VALUE"""),381.0)</f>
        <v>381</v>
      </c>
      <c r="E4827" s="1" t="str">
        <f t="array" ref="E4827">_xlfn.XLOOKUP(A4827,Product!A:A,Product!B:B,"Bulunamadı")</f>
        <v>Sports</v>
      </c>
      <c r="F4827" s="1" t="str">
        <f t="array" ref="F4827">_xlfn.XLOOKUP(A4827,Product!A:A,Product!C:C,"Bulunamadı")</f>
        <v>Drawing</v>
      </c>
      <c r="G4827" s="2" t="str">
        <f t="array" ref="G4827">_xlfn.XLOOKUP(A4828,Product!A:A,Product!D:D,"Bulunamadı")</f>
        <v>Oakmark House</v>
      </c>
      <c r="H4827" s="2">
        <f t="array" ref="H4827">_xlfn.XLOOKUP(A4829,Product!A:A,Product!E:E,"Bulunamadı")</f>
        <v>13.21</v>
      </c>
      <c r="I4827" s="2" t="str">
        <f t="shared" si="1"/>
        <v>89201 - Sports - Drawing</v>
      </c>
      <c r="J4827" s="2">
        <f t="shared" si="2"/>
        <v>5033.01</v>
      </c>
      <c r="K4827" s="17">
        <f t="shared" si="3"/>
        <v>1</v>
      </c>
      <c r="L4827" s="18"/>
    </row>
    <row r="4828" hidden="1">
      <c r="A4828" s="2">
        <f>IFERROR(__xludf.DUMMYFUNCTION("""COMPUTED_VALUE"""),87305.0)</f>
        <v>87305</v>
      </c>
      <c r="B4828" s="2">
        <f>IFERROR(__xludf.DUMMYFUNCTION("""COMPUTED_VALUE"""),1.0)</f>
        <v>1</v>
      </c>
      <c r="C4828" s="2">
        <f>IFERROR(__xludf.DUMMYFUNCTION("""COMPUTED_VALUE"""),507.0)</f>
        <v>507</v>
      </c>
      <c r="D4828" s="3">
        <f>IFERROR(__xludf.DUMMYFUNCTION("""COMPUTED_VALUE"""),424.0)</f>
        <v>424</v>
      </c>
      <c r="E4828" s="1" t="str">
        <f t="array" ref="E4828">_xlfn.XLOOKUP(A4828,Product!A:A,Product!B:B,"Bulunamadı")</f>
        <v>Sports</v>
      </c>
      <c r="F4828" s="1" t="str">
        <f t="array" ref="F4828">_xlfn.XLOOKUP(A4828,Product!A:A,Product!C:C,"Bulunamadı")</f>
        <v>Drawing</v>
      </c>
      <c r="G4828" s="2" t="str">
        <f t="array" ref="G4828">_xlfn.XLOOKUP(A4829,Product!A:A,Product!D:D,"Bulunamadı")</f>
        <v>Oakmark House</v>
      </c>
      <c r="H4828" s="2">
        <f t="array" ref="H4828">_xlfn.XLOOKUP(A4830,Product!A:A,Product!E:E,"Bulunamadı")</f>
        <v>10.71</v>
      </c>
      <c r="I4828" s="2" t="str">
        <f t="shared" si="1"/>
        <v>87305 - Sports - Drawing</v>
      </c>
      <c r="J4828" s="2">
        <f t="shared" si="2"/>
        <v>4541.04</v>
      </c>
      <c r="K4828" s="17">
        <f t="shared" si="3"/>
        <v>1</v>
      </c>
      <c r="L4828" s="18"/>
    </row>
    <row r="4829" hidden="1">
      <c r="A4829" s="2">
        <f>IFERROR(__xludf.DUMMYFUNCTION("""COMPUTED_VALUE"""),3480.0)</f>
        <v>3480</v>
      </c>
      <c r="B4829" s="2">
        <f>IFERROR(__xludf.DUMMYFUNCTION("""COMPUTED_VALUE"""),1.0)</f>
        <v>1</v>
      </c>
      <c r="C4829" s="2">
        <f>IFERROR(__xludf.DUMMYFUNCTION("""COMPUTED_VALUE"""),643.0)</f>
        <v>643</v>
      </c>
      <c r="D4829" s="3">
        <f>IFERROR(__xludf.DUMMYFUNCTION("""COMPUTED_VALUE"""),14.0)</f>
        <v>14</v>
      </c>
      <c r="E4829" s="1" t="str">
        <f t="array" ref="E4829">_xlfn.XLOOKUP(A4829,Product!A:A,Product!B:B,"Bulunamadı")</f>
        <v>Sports</v>
      </c>
      <c r="F4829" s="1" t="str">
        <f t="array" ref="F4829">_xlfn.XLOOKUP(A4829,Product!A:A,Product!C:C,"Bulunamadı")</f>
        <v>Drawing</v>
      </c>
      <c r="G4829" s="2" t="str">
        <f t="array" ref="G4829">_xlfn.XLOOKUP(A4830,Product!A:A,Product!D:D,"Bulunamadı")</f>
        <v>Oakmark House</v>
      </c>
      <c r="H4829" s="2">
        <f t="array" ref="H4829">_xlfn.XLOOKUP(A4831,Product!A:A,Product!E:E,"Bulunamadı")</f>
        <v>9.73</v>
      </c>
      <c r="I4829" s="2" t="str">
        <f t="shared" si="1"/>
        <v>3480 - Sports - Drawing</v>
      </c>
      <c r="J4829" s="2">
        <f t="shared" si="2"/>
        <v>136.22</v>
      </c>
      <c r="K4829" s="17">
        <f t="shared" si="3"/>
        <v>1</v>
      </c>
      <c r="L4829" s="18"/>
    </row>
    <row r="4830" hidden="1">
      <c r="A4830" s="2">
        <f>IFERROR(__xludf.DUMMYFUNCTION("""COMPUTED_VALUE"""),116817.0)</f>
        <v>116817</v>
      </c>
      <c r="B4830" s="2">
        <f>IFERROR(__xludf.DUMMYFUNCTION("""COMPUTED_VALUE"""),0.0)</f>
        <v>0</v>
      </c>
      <c r="C4830" s="2">
        <f>IFERROR(__xludf.DUMMYFUNCTION("""COMPUTED_VALUE"""),356.0)</f>
        <v>356</v>
      </c>
      <c r="D4830" s="3">
        <f>IFERROR(__xludf.DUMMYFUNCTION("""COMPUTED_VALUE"""),194.0)</f>
        <v>194</v>
      </c>
      <c r="E4830" s="1" t="str">
        <f t="array" ref="E4830">_xlfn.XLOOKUP(A4830,Product!A:A,Product!B:B,"Bulunamadı")</f>
        <v>Sports</v>
      </c>
      <c r="F4830" s="1" t="str">
        <f t="array" ref="F4830">_xlfn.XLOOKUP(A4830,Product!A:A,Product!C:C,"Bulunamadı")</f>
        <v>Drawing</v>
      </c>
      <c r="G4830" s="2" t="str">
        <f t="array" ref="G4830">_xlfn.XLOOKUP(A4831,Product!A:A,Product!D:D,"Bulunamadı")</f>
        <v>Oakmark House</v>
      </c>
      <c r="H4830" s="2">
        <f t="array" ref="H4830">_xlfn.XLOOKUP(A4832,Product!A:A,Product!E:E,"Bulunamadı")</f>
        <v>6.14</v>
      </c>
      <c r="I4830" s="2" t="str">
        <f t="shared" si="1"/>
        <v>116817 - Sports - Drawing</v>
      </c>
      <c r="J4830" s="2">
        <f t="shared" si="2"/>
        <v>1191.16</v>
      </c>
      <c r="K4830" s="17">
        <f t="shared" si="3"/>
        <v>1</v>
      </c>
      <c r="L4830" s="18"/>
    </row>
    <row r="4831" hidden="1">
      <c r="A4831" s="2">
        <f>IFERROR(__xludf.DUMMYFUNCTION("""COMPUTED_VALUE"""),47209.0)</f>
        <v>47209</v>
      </c>
      <c r="B4831" s="2">
        <f>IFERROR(__xludf.DUMMYFUNCTION("""COMPUTED_VALUE"""),0.0)</f>
        <v>0</v>
      </c>
      <c r="C4831" s="2">
        <f>IFERROR(__xludf.DUMMYFUNCTION("""COMPUTED_VALUE"""),454.0)</f>
        <v>454</v>
      </c>
      <c r="D4831" s="3">
        <f>IFERROR(__xludf.DUMMYFUNCTION("""COMPUTED_VALUE"""),373.0)</f>
        <v>373</v>
      </c>
      <c r="E4831" s="1" t="str">
        <f t="array" ref="E4831">_xlfn.XLOOKUP(A4831,Product!A:A,Product!B:B,"Bulunamadı")</f>
        <v>Sports</v>
      </c>
      <c r="F4831" s="1" t="str">
        <f t="array" ref="F4831">_xlfn.XLOOKUP(A4831,Product!A:A,Product!C:C,"Bulunamadı")</f>
        <v>Drawing</v>
      </c>
      <c r="G4831" s="2" t="str">
        <f t="array" ref="G4831">_xlfn.XLOOKUP(A4832,Product!A:A,Product!D:D,"Bulunamadı")</f>
        <v>Rivermark House</v>
      </c>
      <c r="H4831" s="2">
        <f t="array" ref="H4831">_xlfn.XLOOKUP(A4833,Product!A:A,Product!E:E,"Bulunamadı")</f>
        <v>14.38</v>
      </c>
      <c r="I4831" s="2" t="str">
        <f t="shared" si="1"/>
        <v>47209 - Sports - Drawing</v>
      </c>
      <c r="J4831" s="2">
        <f t="shared" si="2"/>
        <v>5363.74</v>
      </c>
      <c r="K4831" s="17">
        <f t="shared" si="3"/>
        <v>1</v>
      </c>
      <c r="L4831" s="18"/>
    </row>
    <row r="4832" hidden="1">
      <c r="A4832" s="2">
        <f>IFERROR(__xludf.DUMMYFUNCTION("""COMPUTED_VALUE"""),68213.0)</f>
        <v>68213</v>
      </c>
      <c r="B4832" s="2">
        <f>IFERROR(__xludf.DUMMYFUNCTION("""COMPUTED_VALUE"""),1.0)</f>
        <v>1</v>
      </c>
      <c r="C4832" s="2">
        <f>IFERROR(__xludf.DUMMYFUNCTION("""COMPUTED_VALUE"""),583.0)</f>
        <v>583</v>
      </c>
      <c r="D4832" s="3">
        <f>IFERROR(__xludf.DUMMYFUNCTION("""COMPUTED_VALUE"""),96.0)</f>
        <v>96</v>
      </c>
      <c r="E4832" s="1" t="str">
        <f t="array" ref="E4832">_xlfn.XLOOKUP(A4832,Product!A:A,Product!B:B,"Bulunamadı")</f>
        <v>Sports</v>
      </c>
      <c r="F4832" s="1" t="str">
        <f t="array" ref="F4832">_xlfn.XLOOKUP(A4832,Product!A:A,Product!C:C,"Bulunamadı")</f>
        <v>Drawing</v>
      </c>
      <c r="G4832" s="2" t="str">
        <f t="array" ref="G4832">_xlfn.XLOOKUP(A4833,Product!A:A,Product!D:D,"Bulunamadı")</f>
        <v>Rivermark House</v>
      </c>
      <c r="H4832" s="2">
        <f t="array" ref="H4832">_xlfn.XLOOKUP(A4834,Product!A:A,Product!E:E,"Bulunamadı")</f>
        <v>1.89</v>
      </c>
      <c r="I4832" s="2" t="str">
        <f t="shared" si="1"/>
        <v>68213 - Sports - Drawing</v>
      </c>
      <c r="J4832" s="2">
        <f t="shared" si="2"/>
        <v>181.44</v>
      </c>
      <c r="K4832" s="17">
        <f t="shared" si="3"/>
        <v>1</v>
      </c>
      <c r="L4832" s="18"/>
    </row>
    <row r="4833" hidden="1">
      <c r="A4833" s="2">
        <f>IFERROR(__xludf.DUMMYFUNCTION("""COMPUTED_VALUE"""),100999.0)</f>
        <v>100999</v>
      </c>
      <c r="B4833" s="2">
        <f>IFERROR(__xludf.DUMMYFUNCTION("""COMPUTED_VALUE"""),0.0)</f>
        <v>0</v>
      </c>
      <c r="C4833" s="2">
        <f>IFERROR(__xludf.DUMMYFUNCTION("""COMPUTED_VALUE"""),721.0)</f>
        <v>721</v>
      </c>
      <c r="D4833" s="3">
        <f>IFERROR(__xludf.DUMMYFUNCTION("""COMPUTED_VALUE"""),243.0)</f>
        <v>243</v>
      </c>
      <c r="E4833" s="1" t="str">
        <f t="array" ref="E4833">_xlfn.XLOOKUP(A4833,Product!A:A,Product!B:B,"Bulunamadı")</f>
        <v>Sports</v>
      </c>
      <c r="F4833" s="1" t="str">
        <f t="array" ref="F4833">_xlfn.XLOOKUP(A4833,Product!A:A,Product!C:C,"Bulunamadı")</f>
        <v>Drawing</v>
      </c>
      <c r="G4833" s="2" t="str">
        <f t="array" ref="G4833">_xlfn.XLOOKUP(A4834,Product!A:A,Product!D:D,"Bulunamadı")</f>
        <v>Rivermark House</v>
      </c>
      <c r="H4833" s="2">
        <f t="array" ref="H4833">_xlfn.XLOOKUP(A4835,Product!A:A,Product!E:E,"Bulunamadı")</f>
        <v>5.87</v>
      </c>
      <c r="I4833" s="2" t="str">
        <f t="shared" si="1"/>
        <v>100999 - Sports - Drawing</v>
      </c>
      <c r="J4833" s="2">
        <f t="shared" si="2"/>
        <v>1426.41</v>
      </c>
      <c r="K4833" s="17">
        <f t="shared" si="3"/>
        <v>1</v>
      </c>
      <c r="L4833" s="18"/>
    </row>
    <row r="4834" hidden="1">
      <c r="A4834" s="2">
        <f>IFERROR(__xludf.DUMMYFUNCTION("""COMPUTED_VALUE"""),119241.0)</f>
        <v>119241</v>
      </c>
      <c r="B4834" s="2">
        <f>IFERROR(__xludf.DUMMYFUNCTION("""COMPUTED_VALUE"""),1.0)</f>
        <v>1</v>
      </c>
      <c r="C4834" s="2">
        <f>IFERROR(__xludf.DUMMYFUNCTION("""COMPUTED_VALUE"""),759.0)</f>
        <v>759</v>
      </c>
      <c r="D4834" s="3">
        <f>IFERROR(__xludf.DUMMYFUNCTION("""COMPUTED_VALUE"""),172.0)</f>
        <v>172</v>
      </c>
      <c r="E4834" s="1" t="str">
        <f t="array" ref="E4834">_xlfn.XLOOKUP(A4834,Product!A:A,Product!B:B,"Bulunamadı")</f>
        <v>Sports</v>
      </c>
      <c r="F4834" s="1" t="str">
        <f t="array" ref="F4834">_xlfn.XLOOKUP(A4834,Product!A:A,Product!C:C,"Bulunamadı")</f>
        <v>Drawing</v>
      </c>
      <c r="G4834" s="2" t="str">
        <f t="array" ref="G4834">_xlfn.XLOOKUP(A4835,Product!A:A,Product!D:D,"Bulunamadı")</f>
        <v>Rivermark House</v>
      </c>
      <c r="H4834" s="2">
        <f t="array" ref="H4834">_xlfn.XLOOKUP(A4836,Product!A:A,Product!E:E,"Bulunamadı")</f>
        <v>23.49</v>
      </c>
      <c r="I4834" s="2" t="str">
        <f t="shared" si="1"/>
        <v>119241 - Sports - Drawing</v>
      </c>
      <c r="J4834" s="2">
        <f t="shared" si="2"/>
        <v>4040.28</v>
      </c>
      <c r="K4834" s="17">
        <f t="shared" si="3"/>
        <v>1</v>
      </c>
      <c r="L4834" s="18"/>
    </row>
    <row r="4835" hidden="1">
      <c r="A4835" s="2">
        <f>IFERROR(__xludf.DUMMYFUNCTION("""COMPUTED_VALUE"""),133917.0)</f>
        <v>133917</v>
      </c>
      <c r="B4835" s="2">
        <f>IFERROR(__xludf.DUMMYFUNCTION("""COMPUTED_VALUE"""),1.0)</f>
        <v>1</v>
      </c>
      <c r="C4835" s="2">
        <f>IFERROR(__xludf.DUMMYFUNCTION("""COMPUTED_VALUE"""),142.0)</f>
        <v>142</v>
      </c>
      <c r="D4835" s="3">
        <f>IFERROR(__xludf.DUMMYFUNCTION("""COMPUTED_VALUE"""),17.0)</f>
        <v>17</v>
      </c>
      <c r="E4835" s="1" t="str">
        <f t="array" ref="E4835">_xlfn.XLOOKUP(A4835,Product!A:A,Product!B:B,"Bulunamadı")</f>
        <v>Sports</v>
      </c>
      <c r="F4835" s="1" t="str">
        <f t="array" ref="F4835">_xlfn.XLOOKUP(A4835,Product!A:A,Product!C:C,"Bulunamadı")</f>
        <v>Drawing</v>
      </c>
      <c r="G4835" s="2" t="str">
        <f t="array" ref="G4835">_xlfn.XLOOKUP(A4836,Product!A:A,Product!D:D,"Bulunamadı")</f>
        <v>Rivermark House</v>
      </c>
      <c r="H4835" s="2">
        <f t="array" ref="H4835">_xlfn.XLOOKUP(A4837,Product!A:A,Product!E:E,"Bulunamadı")</f>
        <v>6.71</v>
      </c>
      <c r="I4835" s="2" t="str">
        <f t="shared" si="1"/>
        <v>133917 - Sports - Drawing</v>
      </c>
      <c r="J4835" s="2">
        <f t="shared" si="2"/>
        <v>114.07</v>
      </c>
      <c r="K4835" s="17">
        <f t="shared" si="3"/>
        <v>1</v>
      </c>
      <c r="L4835" s="18"/>
    </row>
    <row r="4836" hidden="1">
      <c r="A4836" s="2">
        <f>IFERROR(__xludf.DUMMYFUNCTION("""COMPUTED_VALUE"""),128334.0)</f>
        <v>128334</v>
      </c>
      <c r="B4836" s="2">
        <f>IFERROR(__xludf.DUMMYFUNCTION("""COMPUTED_VALUE"""),1.0)</f>
        <v>1</v>
      </c>
      <c r="C4836" s="2">
        <f>IFERROR(__xludf.DUMMYFUNCTION("""COMPUTED_VALUE"""),604.0)</f>
        <v>604</v>
      </c>
      <c r="D4836" s="3">
        <f>IFERROR(__xludf.DUMMYFUNCTION("""COMPUTED_VALUE"""),434.0)</f>
        <v>434</v>
      </c>
      <c r="E4836" s="1" t="str">
        <f t="array" ref="E4836">_xlfn.XLOOKUP(A4836,Product!A:A,Product!B:B,"Bulunamadı")</f>
        <v>Sports</v>
      </c>
      <c r="F4836" s="1" t="str">
        <f t="array" ref="F4836">_xlfn.XLOOKUP(A4836,Product!A:A,Product!C:C,"Bulunamadı")</f>
        <v>Drawing</v>
      </c>
      <c r="G4836" s="2" t="str">
        <f t="array" ref="G4836">_xlfn.XLOOKUP(A4837,Product!A:A,Product!D:D,"Bulunamadı")</f>
        <v>Rivermark House</v>
      </c>
      <c r="H4836" s="2">
        <f t="array" ref="H4836">_xlfn.XLOOKUP(A4838,Product!A:A,Product!E:E,"Bulunamadı")</f>
        <v>7.15</v>
      </c>
      <c r="I4836" s="2" t="str">
        <f t="shared" si="1"/>
        <v>128334 - Sports - Drawing</v>
      </c>
      <c r="J4836" s="2">
        <f t="shared" si="2"/>
        <v>3103.1</v>
      </c>
      <c r="K4836" s="17">
        <f t="shared" si="3"/>
        <v>1</v>
      </c>
      <c r="L4836" s="18"/>
    </row>
    <row r="4837" hidden="1">
      <c r="A4837" s="2">
        <f>IFERROR(__xludf.DUMMYFUNCTION("""COMPUTED_VALUE"""),113235.0)</f>
        <v>113235</v>
      </c>
      <c r="B4837" s="2">
        <f>IFERROR(__xludf.DUMMYFUNCTION("""COMPUTED_VALUE"""),1.0)</f>
        <v>1</v>
      </c>
      <c r="C4837" s="2">
        <f>IFERROR(__xludf.DUMMYFUNCTION("""COMPUTED_VALUE"""),752.0)</f>
        <v>752</v>
      </c>
      <c r="D4837" s="3">
        <f>IFERROR(__xludf.DUMMYFUNCTION("""COMPUTED_VALUE"""),439.0)</f>
        <v>439</v>
      </c>
      <c r="E4837" s="1" t="str">
        <f t="array" ref="E4837">_xlfn.XLOOKUP(A4837,Product!A:A,Product!B:B,"Bulunamadı")</f>
        <v>Sports</v>
      </c>
      <c r="F4837" s="1" t="str">
        <f t="array" ref="F4837">_xlfn.XLOOKUP(A4837,Product!A:A,Product!C:C,"Bulunamadı")</f>
        <v>Drawing</v>
      </c>
      <c r="G4837" s="2" t="str">
        <f t="array" ref="G4837">_xlfn.XLOOKUP(A4838,Product!A:A,Product!D:D,"Bulunamadı")</f>
        <v>Ironmark House</v>
      </c>
      <c r="H4837" s="2">
        <f t="array" ref="H4837">_xlfn.XLOOKUP(A4839,Product!A:A,Product!E:E,"Bulunamadı")</f>
        <v>12.55</v>
      </c>
      <c r="I4837" s="2" t="str">
        <f t="shared" si="1"/>
        <v>113235 - Sports - Drawing</v>
      </c>
      <c r="J4837" s="2">
        <f t="shared" si="2"/>
        <v>5509.45</v>
      </c>
      <c r="K4837" s="17">
        <f t="shared" si="3"/>
        <v>1</v>
      </c>
      <c r="L4837" s="18"/>
    </row>
    <row r="4838" hidden="1">
      <c r="A4838" s="2">
        <f>IFERROR(__xludf.DUMMYFUNCTION("""COMPUTED_VALUE"""),113249.0)</f>
        <v>113249</v>
      </c>
      <c r="B4838" s="2">
        <f>IFERROR(__xludf.DUMMYFUNCTION("""COMPUTED_VALUE"""),0.0)</f>
        <v>0</v>
      </c>
      <c r="C4838" s="2">
        <f>IFERROR(__xludf.DUMMYFUNCTION("""COMPUTED_VALUE"""),566.0)</f>
        <v>566</v>
      </c>
      <c r="D4838" s="3">
        <f>IFERROR(__xludf.DUMMYFUNCTION("""COMPUTED_VALUE"""),290.0)</f>
        <v>290</v>
      </c>
      <c r="E4838" s="1" t="str">
        <f t="array" ref="E4838">_xlfn.XLOOKUP(A4838,Product!A:A,Product!B:B,"Bulunamadı")</f>
        <v>Sports</v>
      </c>
      <c r="F4838" s="1" t="str">
        <f t="array" ref="F4838">_xlfn.XLOOKUP(A4838,Product!A:A,Product!C:C,"Bulunamadı")</f>
        <v>Drawing</v>
      </c>
      <c r="G4838" s="2" t="str">
        <f t="array" ref="G4838">_xlfn.XLOOKUP(A4839,Product!A:A,Product!D:D,"Bulunamadı")</f>
        <v>Ironmark House</v>
      </c>
      <c r="H4838" s="2">
        <f t="array" ref="H4838">_xlfn.XLOOKUP(A4840,Product!A:A,Product!E:E,"Bulunamadı")</f>
        <v>6.07</v>
      </c>
      <c r="I4838" s="2" t="str">
        <f t="shared" si="1"/>
        <v>113249 - Sports - Drawing</v>
      </c>
      <c r="J4838" s="2">
        <f t="shared" si="2"/>
        <v>1760.3</v>
      </c>
      <c r="K4838" s="17">
        <f t="shared" si="3"/>
        <v>1</v>
      </c>
      <c r="L4838" s="18"/>
    </row>
    <row r="4839" hidden="1">
      <c r="A4839" s="2">
        <f>IFERROR(__xludf.DUMMYFUNCTION("""COMPUTED_VALUE"""),89210.0)</f>
        <v>89210</v>
      </c>
      <c r="B4839" s="2">
        <f>IFERROR(__xludf.DUMMYFUNCTION("""COMPUTED_VALUE"""),1.0)</f>
        <v>1</v>
      </c>
      <c r="C4839" s="2">
        <f>IFERROR(__xludf.DUMMYFUNCTION("""COMPUTED_VALUE"""),301.0)</f>
        <v>301</v>
      </c>
      <c r="D4839" s="3">
        <f>IFERROR(__xludf.DUMMYFUNCTION("""COMPUTED_VALUE"""),167.0)</f>
        <v>167</v>
      </c>
      <c r="E4839" s="1" t="str">
        <f t="array" ref="E4839">_xlfn.XLOOKUP(A4839,Product!A:A,Product!B:B,"Bulunamadı")</f>
        <v>Sports</v>
      </c>
      <c r="F4839" s="1" t="str">
        <f t="array" ref="F4839">_xlfn.XLOOKUP(A4839,Product!A:A,Product!C:C,"Bulunamadı")</f>
        <v>Drawing</v>
      </c>
      <c r="G4839" s="2" t="str">
        <f t="array" ref="G4839">_xlfn.XLOOKUP(A4840,Product!A:A,Product!D:D,"Bulunamadı")</f>
        <v>Silvertree House</v>
      </c>
      <c r="H4839" s="2">
        <f t="array" ref="H4839">_xlfn.XLOOKUP(A4841,Product!A:A,Product!E:E,"Bulunamadı")</f>
        <v>16.67</v>
      </c>
      <c r="I4839" s="2" t="str">
        <f t="shared" si="1"/>
        <v>89210 - Sports - Drawing</v>
      </c>
      <c r="J4839" s="2">
        <f t="shared" si="2"/>
        <v>2783.89</v>
      </c>
      <c r="K4839" s="17">
        <f t="shared" si="3"/>
        <v>1</v>
      </c>
      <c r="L4839" s="18"/>
    </row>
    <row r="4840" hidden="1">
      <c r="A4840" s="2">
        <f>IFERROR(__xludf.DUMMYFUNCTION("""COMPUTED_VALUE"""),104170.0)</f>
        <v>104170</v>
      </c>
      <c r="B4840" s="2">
        <f>IFERROR(__xludf.DUMMYFUNCTION("""COMPUTED_VALUE"""),1.0)</f>
        <v>1</v>
      </c>
      <c r="C4840" s="2">
        <f>IFERROR(__xludf.DUMMYFUNCTION("""COMPUTED_VALUE"""),283.0)</f>
        <v>283</v>
      </c>
      <c r="D4840" s="3">
        <f>IFERROR(__xludf.DUMMYFUNCTION("""COMPUTED_VALUE"""),44.0)</f>
        <v>44</v>
      </c>
      <c r="E4840" s="1" t="str">
        <f t="array" ref="E4840">_xlfn.XLOOKUP(A4840,Product!A:A,Product!B:B,"Bulunamadı")</f>
        <v>Sports</v>
      </c>
      <c r="F4840" s="1" t="str">
        <f t="array" ref="F4840">_xlfn.XLOOKUP(A4840,Product!A:A,Product!C:C,"Bulunamadı")</f>
        <v>Drawing</v>
      </c>
      <c r="G4840" s="2" t="str">
        <f t="array" ref="G4840">_xlfn.XLOOKUP(A4841,Product!A:A,Product!D:D,"Bulunamadı")</f>
        <v>Silvertree House</v>
      </c>
      <c r="H4840" s="2">
        <f t="array" ref="H4840">_xlfn.XLOOKUP(A4842,Product!A:A,Product!E:E,"Bulunamadı")</f>
        <v>10.55</v>
      </c>
      <c r="I4840" s="2" t="str">
        <f t="shared" si="1"/>
        <v>104170 - Sports - Drawing</v>
      </c>
      <c r="J4840" s="2">
        <f t="shared" si="2"/>
        <v>464.2</v>
      </c>
      <c r="K4840" s="17">
        <f t="shared" si="3"/>
        <v>1</v>
      </c>
      <c r="L4840" s="18"/>
    </row>
    <row r="4841" hidden="1">
      <c r="A4841" s="2">
        <f>IFERROR(__xludf.DUMMYFUNCTION("""COMPUTED_VALUE"""),18671.0)</f>
        <v>18671</v>
      </c>
      <c r="B4841" s="2">
        <f>IFERROR(__xludf.DUMMYFUNCTION("""COMPUTED_VALUE"""),1.0)</f>
        <v>1</v>
      </c>
      <c r="C4841" s="2">
        <f>IFERROR(__xludf.DUMMYFUNCTION("""COMPUTED_VALUE"""),521.0)</f>
        <v>521</v>
      </c>
      <c r="D4841" s="3">
        <f>IFERROR(__xludf.DUMMYFUNCTION("""COMPUTED_VALUE"""),86.0)</f>
        <v>86</v>
      </c>
      <c r="E4841" s="1" t="str">
        <f t="array" ref="E4841">_xlfn.XLOOKUP(A4841,Product!A:A,Product!B:B,"Bulunamadı")</f>
        <v>Sports</v>
      </c>
      <c r="F4841" s="1" t="str">
        <f t="array" ref="F4841">_xlfn.XLOOKUP(A4841,Product!A:A,Product!C:C,"Bulunamadı")</f>
        <v>Drawing</v>
      </c>
      <c r="G4841" s="2" t="str">
        <f t="array" ref="G4841">_xlfn.XLOOKUP(A4842,Product!A:A,Product!D:D,"Bulunamadı")</f>
        <v>Silvertree House</v>
      </c>
      <c r="H4841" s="2">
        <f t="array" ref="H4841">_xlfn.XLOOKUP(A4843,Product!A:A,Product!E:E,"Bulunamadı")</f>
        <v>6.41</v>
      </c>
      <c r="I4841" s="2" t="str">
        <f t="shared" si="1"/>
        <v>18671 - Sports - Drawing</v>
      </c>
      <c r="J4841" s="2">
        <f t="shared" si="2"/>
        <v>551.26</v>
      </c>
      <c r="K4841" s="17">
        <f t="shared" si="3"/>
        <v>1</v>
      </c>
      <c r="L4841" s="18"/>
    </row>
    <row r="4842" hidden="1">
      <c r="A4842" s="2">
        <f>IFERROR(__xludf.DUMMYFUNCTION("""COMPUTED_VALUE"""),83804.0)</f>
        <v>83804</v>
      </c>
      <c r="B4842" s="2">
        <f>IFERROR(__xludf.DUMMYFUNCTION("""COMPUTED_VALUE"""),0.0)</f>
        <v>0</v>
      </c>
      <c r="C4842" s="2">
        <f>IFERROR(__xludf.DUMMYFUNCTION("""COMPUTED_VALUE"""),181.0)</f>
        <v>181</v>
      </c>
      <c r="D4842" s="3">
        <f>IFERROR(__xludf.DUMMYFUNCTION("""COMPUTED_VALUE"""),77.0)</f>
        <v>77</v>
      </c>
      <c r="E4842" s="1" t="str">
        <f t="array" ref="E4842">_xlfn.XLOOKUP(A4842,Product!A:A,Product!B:B,"Bulunamadı")</f>
        <v>Sports</v>
      </c>
      <c r="F4842" s="1" t="str">
        <f t="array" ref="F4842">_xlfn.XLOOKUP(A4842,Product!A:A,Product!C:C,"Bulunamadı")</f>
        <v>Drawing</v>
      </c>
      <c r="G4842" s="2" t="str">
        <f t="array" ref="G4842">_xlfn.XLOOKUP(A4843,Product!A:A,Product!D:D,"Bulunamadı")</f>
        <v>Silvertree House</v>
      </c>
      <c r="H4842" s="2">
        <f t="array" ref="H4842">_xlfn.XLOOKUP(A4844,Product!A:A,Product!E:E,"Bulunamadı")</f>
        <v>11.31</v>
      </c>
      <c r="I4842" s="2" t="str">
        <f t="shared" si="1"/>
        <v>83804 - Sports - Drawing</v>
      </c>
      <c r="J4842" s="2">
        <f t="shared" si="2"/>
        <v>870.87</v>
      </c>
      <c r="K4842" s="17">
        <f t="shared" si="3"/>
        <v>1</v>
      </c>
      <c r="L4842" s="18"/>
    </row>
    <row r="4843" hidden="1">
      <c r="A4843" s="2">
        <f>IFERROR(__xludf.DUMMYFUNCTION("""COMPUTED_VALUE"""),104415.0)</f>
        <v>104415</v>
      </c>
      <c r="B4843" s="2">
        <f>IFERROR(__xludf.DUMMYFUNCTION("""COMPUTED_VALUE"""),0.0)</f>
        <v>0</v>
      </c>
      <c r="C4843" s="2">
        <f>IFERROR(__xludf.DUMMYFUNCTION("""COMPUTED_VALUE"""),490.0)</f>
        <v>490</v>
      </c>
      <c r="D4843" s="3">
        <f>IFERROR(__xludf.DUMMYFUNCTION("""COMPUTED_VALUE"""),205.0)</f>
        <v>205</v>
      </c>
      <c r="E4843" s="1" t="str">
        <f t="array" ref="E4843">_xlfn.XLOOKUP(A4843,Product!A:A,Product!B:B,"Bulunamadı")</f>
        <v>Sports</v>
      </c>
      <c r="F4843" s="1" t="str">
        <f t="array" ref="F4843">_xlfn.XLOOKUP(A4843,Product!A:A,Product!C:C,"Bulunamadı")</f>
        <v>Drawing</v>
      </c>
      <c r="G4843" s="2" t="str">
        <f t="array" ref="G4843">_xlfn.XLOOKUP(A4844,Product!A:A,Product!D:D,"Bulunamadı")</f>
        <v>Silvertree House</v>
      </c>
      <c r="H4843" s="2">
        <f t="array" ref="H4843">_xlfn.XLOOKUP(A4845,Product!A:A,Product!E:E,"Bulunamadı")</f>
        <v>15.17</v>
      </c>
      <c r="I4843" s="2" t="str">
        <f t="shared" si="1"/>
        <v>104415 - Sports - Drawing</v>
      </c>
      <c r="J4843" s="2">
        <f t="shared" si="2"/>
        <v>3109.85</v>
      </c>
      <c r="K4843" s="17">
        <f t="shared" si="3"/>
        <v>1</v>
      </c>
      <c r="L4843" s="18"/>
    </row>
    <row r="4844" hidden="1">
      <c r="A4844" s="2">
        <f>IFERROR(__xludf.DUMMYFUNCTION("""COMPUTED_VALUE"""),78351.0)</f>
        <v>78351</v>
      </c>
      <c r="B4844" s="2">
        <f>IFERROR(__xludf.DUMMYFUNCTION("""COMPUTED_VALUE"""),1.0)</f>
        <v>1</v>
      </c>
      <c r="C4844" s="2">
        <f>IFERROR(__xludf.DUMMYFUNCTION("""COMPUTED_VALUE"""),918.0)</f>
        <v>918</v>
      </c>
      <c r="D4844" s="3">
        <f>IFERROR(__xludf.DUMMYFUNCTION("""COMPUTED_VALUE"""),479.0)</f>
        <v>479</v>
      </c>
      <c r="E4844" s="1" t="str">
        <f t="array" ref="E4844">_xlfn.XLOOKUP(A4844,Product!A:A,Product!B:B,"Bulunamadı")</f>
        <v>Sports</v>
      </c>
      <c r="F4844" s="1" t="str">
        <f t="array" ref="F4844">_xlfn.XLOOKUP(A4844,Product!A:A,Product!C:C,"Bulunamadı")</f>
        <v>Drawing</v>
      </c>
      <c r="G4844" s="2" t="str">
        <f t="array" ref="G4844">_xlfn.XLOOKUP(A4845,Product!A:A,Product!D:D,"Bulunamadı")</f>
        <v>Silvertree House</v>
      </c>
      <c r="H4844" s="2">
        <f t="array" ref="H4844">_xlfn.XLOOKUP(A4846,Product!A:A,Product!E:E,"Bulunamadı")</f>
        <v>6.76</v>
      </c>
      <c r="I4844" s="2" t="str">
        <f t="shared" si="1"/>
        <v>78351 - Sports - Drawing</v>
      </c>
      <c r="J4844" s="2">
        <f t="shared" si="2"/>
        <v>3238.04</v>
      </c>
      <c r="K4844" s="17">
        <f t="shared" si="3"/>
        <v>1</v>
      </c>
      <c r="L4844" s="18"/>
    </row>
    <row r="4845" hidden="1">
      <c r="A4845" s="2">
        <f>IFERROR(__xludf.DUMMYFUNCTION("""COMPUTED_VALUE"""),112174.0)</f>
        <v>112174</v>
      </c>
      <c r="B4845" s="2">
        <f>IFERROR(__xludf.DUMMYFUNCTION("""COMPUTED_VALUE"""),1.0)</f>
        <v>1</v>
      </c>
      <c r="C4845" s="2">
        <f>IFERROR(__xludf.DUMMYFUNCTION("""COMPUTED_VALUE"""),256.0)</f>
        <v>256</v>
      </c>
      <c r="D4845" s="3">
        <f>IFERROR(__xludf.DUMMYFUNCTION("""COMPUTED_VALUE"""),254.0)</f>
        <v>254</v>
      </c>
      <c r="E4845" s="1" t="str">
        <f t="array" ref="E4845">_xlfn.XLOOKUP(A4845,Product!A:A,Product!B:B,"Bulunamadı")</f>
        <v>Sports</v>
      </c>
      <c r="F4845" s="1" t="str">
        <f t="array" ref="F4845">_xlfn.XLOOKUP(A4845,Product!A:A,Product!C:C,"Bulunamadı")</f>
        <v>Drawing</v>
      </c>
      <c r="G4845" s="2" t="str">
        <f t="array" ref="G4845">_xlfn.XLOOKUP(A4846,Product!A:A,Product!D:D,"Bulunamadı")</f>
        <v>Silvertree House</v>
      </c>
      <c r="H4845" s="2">
        <f t="array" ref="H4845">_xlfn.XLOOKUP(A4847,Product!A:A,Product!E:E,"Bulunamadı")</f>
        <v>19.93</v>
      </c>
      <c r="I4845" s="2" t="str">
        <f t="shared" si="1"/>
        <v>112174 - Sports - Drawing</v>
      </c>
      <c r="J4845" s="2">
        <f t="shared" si="2"/>
        <v>5062.22</v>
      </c>
      <c r="K4845" s="17">
        <f t="shared" si="3"/>
        <v>1</v>
      </c>
      <c r="L4845" s="18"/>
    </row>
    <row r="4846" hidden="1">
      <c r="A4846" s="2">
        <f>IFERROR(__xludf.DUMMYFUNCTION("""COMPUTED_VALUE"""),120248.0)</f>
        <v>120248</v>
      </c>
      <c r="B4846" s="2">
        <f>IFERROR(__xludf.DUMMYFUNCTION("""COMPUTED_VALUE"""),0.0)</f>
        <v>0</v>
      </c>
      <c r="C4846" s="2">
        <f>IFERROR(__xludf.DUMMYFUNCTION("""COMPUTED_VALUE"""),311.0)</f>
        <v>311</v>
      </c>
      <c r="D4846" s="3">
        <f>IFERROR(__xludf.DUMMYFUNCTION("""COMPUTED_VALUE"""),15.0)</f>
        <v>15</v>
      </c>
      <c r="E4846" s="1" t="str">
        <f t="array" ref="E4846">_xlfn.XLOOKUP(A4846,Product!A:A,Product!B:B,"Bulunamadı")</f>
        <v>Sports</v>
      </c>
      <c r="F4846" s="1" t="str">
        <f t="array" ref="F4846">_xlfn.XLOOKUP(A4846,Product!A:A,Product!C:C,"Bulunamadı")</f>
        <v>Drawing</v>
      </c>
      <c r="G4846" s="2" t="str">
        <f t="array" ref="G4846">_xlfn.XLOOKUP(A4847,Product!A:A,Product!D:D,"Bulunamadı")</f>
        <v>Silvertree House</v>
      </c>
      <c r="H4846" s="2">
        <f t="array" ref="H4846">_xlfn.XLOOKUP(A4848,Product!A:A,Product!E:E,"Bulunamadı")</f>
        <v>3.68</v>
      </c>
      <c r="I4846" s="2" t="str">
        <f t="shared" si="1"/>
        <v>120248 - Sports - Drawing</v>
      </c>
      <c r="J4846" s="2">
        <f t="shared" si="2"/>
        <v>55.2</v>
      </c>
      <c r="K4846" s="17">
        <f t="shared" si="3"/>
        <v>1</v>
      </c>
      <c r="L4846" s="18"/>
    </row>
    <row r="4847" hidden="1">
      <c r="A4847" s="2">
        <f>IFERROR(__xludf.DUMMYFUNCTION("""COMPUTED_VALUE"""),18672.0)</f>
        <v>18672</v>
      </c>
      <c r="B4847" s="2">
        <f>IFERROR(__xludf.DUMMYFUNCTION("""COMPUTED_VALUE"""),0.0)</f>
        <v>0</v>
      </c>
      <c r="C4847" s="2">
        <f>IFERROR(__xludf.DUMMYFUNCTION("""COMPUTED_VALUE"""),827.0)</f>
        <v>827</v>
      </c>
      <c r="D4847" s="3">
        <f>IFERROR(__xludf.DUMMYFUNCTION("""COMPUTED_VALUE"""),246.0)</f>
        <v>246</v>
      </c>
      <c r="E4847" s="1" t="str">
        <f t="array" ref="E4847">_xlfn.XLOOKUP(A4847,Product!A:A,Product!B:B,"Bulunamadı")</f>
        <v>Sports</v>
      </c>
      <c r="F4847" s="1" t="str">
        <f t="array" ref="F4847">_xlfn.XLOOKUP(A4847,Product!A:A,Product!C:C,"Bulunamadı")</f>
        <v>Drawing</v>
      </c>
      <c r="G4847" s="2" t="str">
        <f t="array" ref="G4847">_xlfn.XLOOKUP(A4848,Product!A:A,Product!D:D,"Bulunamadı")</f>
        <v>Silvertree House</v>
      </c>
      <c r="H4847" s="2">
        <f t="array" ref="H4847">_xlfn.XLOOKUP(A4849,Product!A:A,Product!E:E,"Bulunamadı")</f>
        <v>10.23</v>
      </c>
      <c r="I4847" s="2" t="str">
        <f t="shared" si="1"/>
        <v>18672 - Sports - Drawing</v>
      </c>
      <c r="J4847" s="2">
        <f t="shared" si="2"/>
        <v>2516.58</v>
      </c>
      <c r="K4847" s="17">
        <f t="shared" si="3"/>
        <v>1</v>
      </c>
      <c r="L4847" s="18"/>
    </row>
    <row r="4848" hidden="1">
      <c r="A4848" s="2">
        <f>IFERROR(__xludf.DUMMYFUNCTION("""COMPUTED_VALUE"""),13517.0)</f>
        <v>13517</v>
      </c>
      <c r="B4848" s="2">
        <f>IFERROR(__xludf.DUMMYFUNCTION("""COMPUTED_VALUE"""),1.0)</f>
        <v>1</v>
      </c>
      <c r="C4848" s="2">
        <f>IFERROR(__xludf.DUMMYFUNCTION("""COMPUTED_VALUE"""),234.0)</f>
        <v>234</v>
      </c>
      <c r="D4848" s="3">
        <f>IFERROR(__xludf.DUMMYFUNCTION("""COMPUTED_VALUE"""),75.0)</f>
        <v>75</v>
      </c>
      <c r="E4848" s="1" t="str">
        <f t="array" ref="E4848">_xlfn.XLOOKUP(A4848,Product!A:A,Product!B:B,"Bulunamadı")</f>
        <v>Sports</v>
      </c>
      <c r="F4848" s="1" t="str">
        <f t="array" ref="F4848">_xlfn.XLOOKUP(A4848,Product!A:A,Product!C:C,"Bulunamadı")</f>
        <v>Drawing</v>
      </c>
      <c r="G4848" s="2" t="str">
        <f t="array" ref="G4848">_xlfn.XLOOKUP(A4849,Product!A:A,Product!D:D,"Bulunamadı")</f>
        <v>Silvertree House</v>
      </c>
      <c r="H4848" s="2">
        <f t="array" ref="H4848">_xlfn.XLOOKUP(A4850,Product!A:A,Product!E:E,"Bulunamadı")</f>
        <v>7.7</v>
      </c>
      <c r="I4848" s="2" t="str">
        <f t="shared" si="1"/>
        <v>13517 - Sports - Drawing</v>
      </c>
      <c r="J4848" s="2">
        <f t="shared" si="2"/>
        <v>577.5</v>
      </c>
      <c r="K4848" s="17">
        <f t="shared" si="3"/>
        <v>1</v>
      </c>
      <c r="L4848" s="18"/>
    </row>
    <row r="4849" hidden="1">
      <c r="A4849" s="2">
        <f>IFERROR(__xludf.DUMMYFUNCTION("""COMPUTED_VALUE"""),119896.0)</f>
        <v>119896</v>
      </c>
      <c r="B4849" s="2">
        <f>IFERROR(__xludf.DUMMYFUNCTION("""COMPUTED_VALUE"""),1.0)</f>
        <v>1</v>
      </c>
      <c r="C4849" s="2">
        <f>IFERROR(__xludf.DUMMYFUNCTION("""COMPUTED_VALUE"""),690.0)</f>
        <v>690</v>
      </c>
      <c r="D4849" s="3">
        <f>IFERROR(__xludf.DUMMYFUNCTION("""COMPUTED_VALUE"""),638.0)</f>
        <v>638</v>
      </c>
      <c r="E4849" s="1" t="str">
        <f t="array" ref="E4849">_xlfn.XLOOKUP(A4849,Product!A:A,Product!B:B,"Bulunamadı")</f>
        <v>Sports</v>
      </c>
      <c r="F4849" s="1" t="str">
        <f t="array" ref="F4849">_xlfn.XLOOKUP(A4849,Product!A:A,Product!C:C,"Bulunamadı")</f>
        <v>Drawing</v>
      </c>
      <c r="G4849" s="2" t="str">
        <f t="array" ref="G4849">_xlfn.XLOOKUP(A4850,Product!A:A,Product!D:D,"Bulunamadı")</f>
        <v>Silvertree House</v>
      </c>
      <c r="H4849" s="2">
        <f t="array" ref="H4849">_xlfn.XLOOKUP(A4851,Product!A:A,Product!E:E,"Bulunamadı")</f>
        <v>6.33</v>
      </c>
      <c r="I4849" s="2" t="str">
        <f t="shared" si="1"/>
        <v>119896 - Sports - Drawing</v>
      </c>
      <c r="J4849" s="2">
        <f t="shared" si="2"/>
        <v>4038.54</v>
      </c>
      <c r="K4849" s="17">
        <f t="shared" si="3"/>
        <v>1</v>
      </c>
      <c r="L4849" s="18"/>
    </row>
    <row r="4850" hidden="1">
      <c r="A4850" s="2">
        <f>IFERROR(__xludf.DUMMYFUNCTION("""COMPUTED_VALUE"""),120249.0)</f>
        <v>120249</v>
      </c>
      <c r="B4850" s="2">
        <f>IFERROR(__xludf.DUMMYFUNCTION("""COMPUTED_VALUE"""),1.0)</f>
        <v>1</v>
      </c>
      <c r="C4850" s="2">
        <f>IFERROR(__xludf.DUMMYFUNCTION("""COMPUTED_VALUE"""),222.0)</f>
        <v>222</v>
      </c>
      <c r="D4850" s="3">
        <f>IFERROR(__xludf.DUMMYFUNCTION("""COMPUTED_VALUE"""),91.0)</f>
        <v>91</v>
      </c>
      <c r="E4850" s="1" t="str">
        <f t="array" ref="E4850">_xlfn.XLOOKUP(A4850,Product!A:A,Product!B:B,"Bulunamadı")</f>
        <v>Sports</v>
      </c>
      <c r="F4850" s="1" t="str">
        <f t="array" ref="F4850">_xlfn.XLOOKUP(A4850,Product!A:A,Product!C:C,"Bulunamadı")</f>
        <v>Drawing</v>
      </c>
      <c r="G4850" s="2" t="str">
        <f t="array" ref="G4850">_xlfn.XLOOKUP(A4851,Product!A:A,Product!D:D,"Bulunamadı")</f>
        <v>Silvertree House</v>
      </c>
      <c r="H4850" s="2">
        <f t="array" ref="H4850">_xlfn.XLOOKUP(A4852,Product!A:A,Product!E:E,"Bulunamadı")</f>
        <v>3.97</v>
      </c>
      <c r="I4850" s="2" t="str">
        <f t="shared" si="1"/>
        <v>120249 - Sports - Drawing</v>
      </c>
      <c r="J4850" s="2">
        <f t="shared" si="2"/>
        <v>361.27</v>
      </c>
      <c r="K4850" s="17">
        <f t="shared" si="3"/>
        <v>1</v>
      </c>
      <c r="L4850" s="18"/>
    </row>
    <row r="4851" hidden="1">
      <c r="A4851" s="2">
        <f>IFERROR(__xludf.DUMMYFUNCTION("""COMPUTED_VALUE"""),78352.0)</f>
        <v>78352</v>
      </c>
      <c r="B4851" s="2">
        <f>IFERROR(__xludf.DUMMYFUNCTION("""COMPUTED_VALUE"""),1.0)</f>
        <v>1</v>
      </c>
      <c r="C4851" s="2">
        <f>IFERROR(__xludf.DUMMYFUNCTION("""COMPUTED_VALUE"""),69.0)</f>
        <v>69</v>
      </c>
      <c r="D4851" s="3">
        <f>IFERROR(__xludf.DUMMYFUNCTION("""COMPUTED_VALUE"""),14.0)</f>
        <v>14</v>
      </c>
      <c r="E4851" s="1" t="str">
        <f t="array" ref="E4851">_xlfn.XLOOKUP(A4851,Product!A:A,Product!B:B,"Bulunamadı")</f>
        <v>Sports</v>
      </c>
      <c r="F4851" s="1" t="str">
        <f t="array" ref="F4851">_xlfn.XLOOKUP(A4851,Product!A:A,Product!C:C,"Bulunamadı")</f>
        <v>Drawing</v>
      </c>
      <c r="G4851" s="2" t="str">
        <f t="array" ref="G4851">_xlfn.XLOOKUP(A4852,Product!A:A,Product!D:D,"Bulunamadı")</f>
        <v>Northtree House</v>
      </c>
      <c r="H4851" s="2">
        <f t="array" ref="H4851">_xlfn.XLOOKUP(A4853,Product!A:A,Product!E:E,"Bulunamadı")</f>
        <v>7.89</v>
      </c>
      <c r="I4851" s="2" t="str">
        <f t="shared" si="1"/>
        <v>78352 - Sports - Drawing</v>
      </c>
      <c r="J4851" s="2">
        <f t="shared" si="2"/>
        <v>110.46</v>
      </c>
      <c r="K4851" s="17">
        <f t="shared" si="3"/>
        <v>1</v>
      </c>
      <c r="L4851" s="18"/>
    </row>
    <row r="4852" hidden="1">
      <c r="A4852" s="2">
        <f>IFERROR(__xludf.DUMMYFUNCTION("""COMPUTED_VALUE"""),45630.0)</f>
        <v>45630</v>
      </c>
      <c r="B4852" s="2">
        <f>IFERROR(__xludf.DUMMYFUNCTION("""COMPUTED_VALUE"""),1.0)</f>
        <v>1</v>
      </c>
      <c r="C4852" s="2">
        <f>IFERROR(__xludf.DUMMYFUNCTION("""COMPUTED_VALUE"""),728.0)</f>
        <v>728</v>
      </c>
      <c r="D4852" s="3">
        <f>IFERROR(__xludf.DUMMYFUNCTION("""COMPUTED_VALUE"""),245.0)</f>
        <v>245</v>
      </c>
      <c r="E4852" s="1" t="str">
        <f t="array" ref="E4852">_xlfn.XLOOKUP(A4852,Product!A:A,Product!B:B,"Bulunamadı")</f>
        <v>Sports</v>
      </c>
      <c r="F4852" s="1" t="str">
        <f t="array" ref="F4852">_xlfn.XLOOKUP(A4852,Product!A:A,Product!C:C,"Bulunamadı")</f>
        <v>Drawing</v>
      </c>
      <c r="G4852" s="2" t="str">
        <f t="array" ref="G4852">_xlfn.XLOOKUP(A4853,Product!A:A,Product!D:D,"Bulunamadı")</f>
        <v>Northtree House</v>
      </c>
      <c r="H4852" s="2">
        <f t="array" ref="H4852">_xlfn.XLOOKUP(A4854,Product!A:A,Product!E:E,"Bulunamadı")</f>
        <v>4.59</v>
      </c>
      <c r="I4852" s="2" t="str">
        <f t="shared" si="1"/>
        <v>45630 - Sports - Drawing</v>
      </c>
      <c r="J4852" s="2">
        <f t="shared" si="2"/>
        <v>1124.55</v>
      </c>
      <c r="K4852" s="17">
        <f t="shared" si="3"/>
        <v>1</v>
      </c>
      <c r="L4852" s="18"/>
    </row>
    <row r="4853" hidden="1">
      <c r="A4853" s="2">
        <f>IFERROR(__xludf.DUMMYFUNCTION("""COMPUTED_VALUE"""),99726.0)</f>
        <v>99726</v>
      </c>
      <c r="B4853" s="2">
        <f>IFERROR(__xludf.DUMMYFUNCTION("""COMPUTED_VALUE"""),1.0)</f>
        <v>1</v>
      </c>
      <c r="C4853" s="2">
        <f>IFERROR(__xludf.DUMMYFUNCTION("""COMPUTED_VALUE"""),854.0)</f>
        <v>854</v>
      </c>
      <c r="D4853" s="3">
        <f>IFERROR(__xludf.DUMMYFUNCTION("""COMPUTED_VALUE"""),176.0)</f>
        <v>176</v>
      </c>
      <c r="E4853" s="1" t="str">
        <f t="array" ref="E4853">_xlfn.XLOOKUP(A4853,Product!A:A,Product!B:B,"Bulunamadı")</f>
        <v>Sports</v>
      </c>
      <c r="F4853" s="1" t="str">
        <f t="array" ref="F4853">_xlfn.XLOOKUP(A4853,Product!A:A,Product!C:C,"Bulunamadı")</f>
        <v>Drawing</v>
      </c>
      <c r="G4853" s="2" t="str">
        <f t="array" ref="G4853">_xlfn.XLOOKUP(A4854,Product!A:A,Product!D:D,"Bulunamadı")</f>
        <v>Northtree House</v>
      </c>
      <c r="H4853" s="2">
        <f t="array" ref="H4853">_xlfn.XLOOKUP(A4855,Product!A:A,Product!E:E,"Bulunamadı")</f>
        <v>7.04</v>
      </c>
      <c r="I4853" s="2" t="str">
        <f t="shared" si="1"/>
        <v>99726 - Sports - Drawing</v>
      </c>
      <c r="J4853" s="2">
        <f t="shared" si="2"/>
        <v>1239.04</v>
      </c>
      <c r="K4853" s="17">
        <f t="shared" si="3"/>
        <v>1</v>
      </c>
      <c r="L4853" s="18"/>
    </row>
    <row r="4854" hidden="1">
      <c r="A4854" s="2">
        <f>IFERROR(__xludf.DUMMYFUNCTION("""COMPUTED_VALUE"""),88619.0)</f>
        <v>88619</v>
      </c>
      <c r="B4854" s="2">
        <f>IFERROR(__xludf.DUMMYFUNCTION("""COMPUTED_VALUE"""),1.0)</f>
        <v>1</v>
      </c>
      <c r="C4854" s="2">
        <f>IFERROR(__xludf.DUMMYFUNCTION("""COMPUTED_VALUE"""),406.0)</f>
        <v>406</v>
      </c>
      <c r="D4854" s="3">
        <f>IFERROR(__xludf.DUMMYFUNCTION("""COMPUTED_VALUE"""),338.0)</f>
        <v>338</v>
      </c>
      <c r="E4854" s="1" t="str">
        <f t="array" ref="E4854">_xlfn.XLOOKUP(A4854,Product!A:A,Product!B:B,"Bulunamadı")</f>
        <v>Sports</v>
      </c>
      <c r="F4854" s="1" t="str">
        <f t="array" ref="F4854">_xlfn.XLOOKUP(A4854,Product!A:A,Product!C:C,"Bulunamadı")</f>
        <v>Drawing</v>
      </c>
      <c r="G4854" s="2" t="str">
        <f t="array" ref="G4854">_xlfn.XLOOKUP(A4855,Product!A:A,Product!D:D,"Bulunamadı")</f>
        <v>Northtree House</v>
      </c>
      <c r="H4854" s="2">
        <f t="array" ref="H4854">_xlfn.XLOOKUP(A4856,Product!A:A,Product!E:E,"Bulunamadı")</f>
        <v>11.25</v>
      </c>
      <c r="I4854" s="2" t="str">
        <f t="shared" si="1"/>
        <v>88619 - Sports - Drawing</v>
      </c>
      <c r="J4854" s="2">
        <f t="shared" si="2"/>
        <v>3802.5</v>
      </c>
      <c r="K4854" s="17">
        <f t="shared" si="3"/>
        <v>1</v>
      </c>
      <c r="L4854" s="18"/>
    </row>
    <row r="4855" hidden="1">
      <c r="A4855" s="2">
        <f>IFERROR(__xludf.DUMMYFUNCTION("""COMPUTED_VALUE"""),73430.0)</f>
        <v>73430</v>
      </c>
      <c r="B4855" s="2">
        <f>IFERROR(__xludf.DUMMYFUNCTION("""COMPUTED_VALUE"""),1.0)</f>
        <v>1</v>
      </c>
      <c r="C4855" s="2">
        <f>IFERROR(__xludf.DUMMYFUNCTION("""COMPUTED_VALUE"""),266.0)</f>
        <v>266</v>
      </c>
      <c r="D4855" s="3">
        <f>IFERROR(__xludf.DUMMYFUNCTION("""COMPUTED_VALUE"""),198.0)</f>
        <v>198</v>
      </c>
      <c r="E4855" s="1" t="str">
        <f t="array" ref="E4855">_xlfn.XLOOKUP(A4855,Product!A:A,Product!B:B,"Bulunamadı")</f>
        <v>Sports</v>
      </c>
      <c r="F4855" s="1" t="str">
        <f t="array" ref="F4855">_xlfn.XLOOKUP(A4855,Product!A:A,Product!C:C,"Bulunamadı")</f>
        <v>Drawing</v>
      </c>
      <c r="G4855" s="2" t="str">
        <f t="array" ref="G4855">_xlfn.XLOOKUP(A4856,Product!A:A,Product!D:D,"Bulunamadı")</f>
        <v>Harbortree House</v>
      </c>
      <c r="H4855" s="2">
        <f t="array" ref="H4855">_xlfn.XLOOKUP(A4857,Product!A:A,Product!E:E,"Bulunamadı")</f>
        <v>13.25</v>
      </c>
      <c r="I4855" s="2" t="str">
        <f t="shared" si="1"/>
        <v>73430 - Sports - Drawing</v>
      </c>
      <c r="J4855" s="2">
        <f t="shared" si="2"/>
        <v>2623.5</v>
      </c>
      <c r="K4855" s="17">
        <f t="shared" si="3"/>
        <v>1</v>
      </c>
      <c r="L4855" s="18"/>
    </row>
    <row r="4856" hidden="1">
      <c r="A4856" s="2">
        <f>IFERROR(__xludf.DUMMYFUNCTION("""COMPUTED_VALUE"""),98939.0)</f>
        <v>98939</v>
      </c>
      <c r="B4856" s="2">
        <f>IFERROR(__xludf.DUMMYFUNCTION("""COMPUTED_VALUE"""),1.0)</f>
        <v>1</v>
      </c>
      <c r="C4856" s="2">
        <f>IFERROR(__xludf.DUMMYFUNCTION("""COMPUTED_VALUE"""),883.0)</f>
        <v>883</v>
      </c>
      <c r="D4856" s="3">
        <f>IFERROR(__xludf.DUMMYFUNCTION("""COMPUTED_VALUE"""),59.0)</f>
        <v>59</v>
      </c>
      <c r="E4856" s="1" t="str">
        <f t="array" ref="E4856">_xlfn.XLOOKUP(A4856,Product!A:A,Product!B:B,"Bulunamadı")</f>
        <v>Sports</v>
      </c>
      <c r="F4856" s="1" t="str">
        <f t="array" ref="F4856">_xlfn.XLOOKUP(A4856,Product!A:A,Product!C:C,"Bulunamadı")</f>
        <v>Drawing</v>
      </c>
      <c r="G4856" s="2" t="str">
        <f t="array" ref="G4856">_xlfn.XLOOKUP(A4857,Product!A:A,Product!D:D,"Bulunamadı")</f>
        <v>Harbortree House</v>
      </c>
      <c r="H4856" s="2">
        <f t="array" ref="H4856">_xlfn.XLOOKUP(A4858,Product!A:A,Product!E:E,"Bulunamadı")</f>
        <v>5.76</v>
      </c>
      <c r="I4856" s="2" t="str">
        <f t="shared" si="1"/>
        <v>98939 - Sports - Drawing</v>
      </c>
      <c r="J4856" s="2">
        <f t="shared" si="2"/>
        <v>339.84</v>
      </c>
      <c r="K4856" s="17">
        <f t="shared" si="3"/>
        <v>1</v>
      </c>
      <c r="L4856" s="18"/>
    </row>
    <row r="4857" hidden="1">
      <c r="A4857" s="2">
        <f>IFERROR(__xludf.DUMMYFUNCTION("""COMPUTED_VALUE"""),45826.0)</f>
        <v>45826</v>
      </c>
      <c r="B4857" s="2">
        <f>IFERROR(__xludf.DUMMYFUNCTION("""COMPUTED_VALUE"""),0.0)</f>
        <v>0</v>
      </c>
      <c r="C4857" s="2">
        <f>IFERROR(__xludf.DUMMYFUNCTION("""COMPUTED_VALUE"""),423.0)</f>
        <v>423</v>
      </c>
      <c r="D4857" s="3">
        <f>IFERROR(__xludf.DUMMYFUNCTION("""COMPUTED_VALUE"""),370.0)</f>
        <v>370</v>
      </c>
      <c r="E4857" s="1" t="str">
        <f t="array" ref="E4857">_xlfn.XLOOKUP(A4857,Product!A:A,Product!B:B,"Bulunamadı")</f>
        <v>Sports</v>
      </c>
      <c r="F4857" s="1" t="str">
        <f t="array" ref="F4857">_xlfn.XLOOKUP(A4857,Product!A:A,Product!C:C,"Bulunamadı")</f>
        <v>Drawing</v>
      </c>
      <c r="G4857" s="2" t="str">
        <f t="array" ref="G4857">_xlfn.XLOOKUP(A4858,Product!A:A,Product!D:D,"Bulunamadı")</f>
        <v>Harbortree House</v>
      </c>
      <c r="H4857" s="2">
        <f t="array" ref="H4857">_xlfn.XLOOKUP(A4859,Product!A:A,Product!E:E,"Bulunamadı")</f>
        <v>6.19</v>
      </c>
      <c r="I4857" s="2" t="str">
        <f t="shared" si="1"/>
        <v>45826 - Sports - Drawing</v>
      </c>
      <c r="J4857" s="2">
        <f t="shared" si="2"/>
        <v>2290.3</v>
      </c>
      <c r="K4857" s="17">
        <f t="shared" si="3"/>
        <v>1</v>
      </c>
      <c r="L4857" s="18"/>
    </row>
    <row r="4858" hidden="1">
      <c r="A4858" s="2">
        <f>IFERROR(__xludf.DUMMYFUNCTION("""COMPUTED_VALUE"""),100797.0)</f>
        <v>100797</v>
      </c>
      <c r="B4858" s="2">
        <f>IFERROR(__xludf.DUMMYFUNCTION("""COMPUTED_VALUE"""),1.0)</f>
        <v>1</v>
      </c>
      <c r="C4858" s="2">
        <f>IFERROR(__xludf.DUMMYFUNCTION("""COMPUTED_VALUE"""),709.0)</f>
        <v>709</v>
      </c>
      <c r="D4858" s="3">
        <f>IFERROR(__xludf.DUMMYFUNCTION("""COMPUTED_VALUE"""),275.0)</f>
        <v>275</v>
      </c>
      <c r="E4858" s="1" t="str">
        <f t="array" ref="E4858">_xlfn.XLOOKUP(A4858,Product!A:A,Product!B:B,"Bulunamadı")</f>
        <v>Sports</v>
      </c>
      <c r="F4858" s="1" t="str">
        <f t="array" ref="F4858">_xlfn.XLOOKUP(A4858,Product!A:A,Product!C:C,"Bulunamadı")</f>
        <v>Drawing</v>
      </c>
      <c r="G4858" s="2" t="str">
        <f t="array" ref="G4858">_xlfn.XLOOKUP(A4859,Product!A:A,Product!D:D,"Bulunamadı")</f>
        <v>Cedartree House</v>
      </c>
      <c r="H4858" s="2">
        <f t="array" ref="H4858">_xlfn.XLOOKUP(A4860,Product!A:A,Product!E:E,"Bulunamadı")</f>
        <v>8.87</v>
      </c>
      <c r="I4858" s="2" t="str">
        <f t="shared" si="1"/>
        <v>100797 - Sports - Drawing</v>
      </c>
      <c r="J4858" s="2">
        <f t="shared" si="2"/>
        <v>2439.25</v>
      </c>
      <c r="K4858" s="17">
        <f t="shared" si="3"/>
        <v>1</v>
      </c>
      <c r="L4858" s="18"/>
    </row>
    <row r="4859" hidden="1">
      <c r="A4859" s="2">
        <f>IFERROR(__xludf.DUMMYFUNCTION("""COMPUTED_VALUE"""),104429.0)</f>
        <v>104429</v>
      </c>
      <c r="B4859" s="2">
        <f>IFERROR(__xludf.DUMMYFUNCTION("""COMPUTED_VALUE"""),0.0)</f>
        <v>0</v>
      </c>
      <c r="C4859" s="2">
        <f>IFERROR(__xludf.DUMMYFUNCTION("""COMPUTED_VALUE"""),346.0)</f>
        <v>346</v>
      </c>
      <c r="D4859" s="3">
        <f>IFERROR(__xludf.DUMMYFUNCTION("""COMPUTED_VALUE"""),189.0)</f>
        <v>189</v>
      </c>
      <c r="E4859" s="1" t="str">
        <f t="array" ref="E4859">_xlfn.XLOOKUP(A4859,Product!A:A,Product!B:B,"Bulunamadı")</f>
        <v>Sports</v>
      </c>
      <c r="F4859" s="1" t="str">
        <f t="array" ref="F4859">_xlfn.XLOOKUP(A4859,Product!A:A,Product!C:C,"Bulunamadı")</f>
        <v>Drawing</v>
      </c>
      <c r="G4859" s="2" t="str">
        <f t="array" ref="G4859">_xlfn.XLOOKUP(A4860,Product!A:A,Product!D:D,"Bulunamadı")</f>
        <v>Cedartree House</v>
      </c>
      <c r="H4859" s="2">
        <f t="array" ref="H4859">_xlfn.XLOOKUP(A4861,Product!A:A,Product!E:E,"Bulunamadı")</f>
        <v>10.75</v>
      </c>
      <c r="I4859" s="2" t="str">
        <f t="shared" si="1"/>
        <v>104429 - Sports - Drawing</v>
      </c>
      <c r="J4859" s="2">
        <f t="shared" si="2"/>
        <v>2031.75</v>
      </c>
      <c r="K4859" s="17">
        <f t="shared" si="3"/>
        <v>1</v>
      </c>
      <c r="L4859" s="18"/>
    </row>
    <row r="4860" hidden="1">
      <c r="A4860" s="2">
        <f>IFERROR(__xludf.DUMMYFUNCTION("""COMPUTED_VALUE"""),119806.0)</f>
        <v>119806</v>
      </c>
      <c r="B4860" s="2">
        <f>IFERROR(__xludf.DUMMYFUNCTION("""COMPUTED_VALUE"""),0.0)</f>
        <v>0</v>
      </c>
      <c r="C4860" s="2">
        <f>IFERROR(__xludf.DUMMYFUNCTION("""COMPUTED_VALUE"""),282.0)</f>
        <v>282</v>
      </c>
      <c r="D4860" s="3">
        <f>IFERROR(__xludf.DUMMYFUNCTION("""COMPUTED_VALUE"""),141.0)</f>
        <v>141</v>
      </c>
      <c r="E4860" s="1" t="str">
        <f t="array" ref="E4860">_xlfn.XLOOKUP(A4860,Product!A:A,Product!B:B,"Bulunamadı")</f>
        <v>Sports</v>
      </c>
      <c r="F4860" s="1" t="str">
        <f t="array" ref="F4860">_xlfn.XLOOKUP(A4860,Product!A:A,Product!C:C,"Bulunamadı")</f>
        <v>Drawing</v>
      </c>
      <c r="G4860" s="2" t="str">
        <f t="array" ref="G4860">_xlfn.XLOOKUP(A4861,Product!A:A,Product!D:D,"Bulunamadı")</f>
        <v>Brighttree House</v>
      </c>
      <c r="H4860" s="2">
        <f t="array" ref="H4860">_xlfn.XLOOKUP(A4862,Product!A:A,Product!E:E,"Bulunamadı")</f>
        <v>8.06</v>
      </c>
      <c r="I4860" s="2" t="str">
        <f t="shared" si="1"/>
        <v>119806 - Sports - Drawing</v>
      </c>
      <c r="J4860" s="2">
        <f t="shared" si="2"/>
        <v>1136.46</v>
      </c>
      <c r="K4860" s="17">
        <f t="shared" si="3"/>
        <v>1</v>
      </c>
      <c r="L4860" s="18"/>
    </row>
    <row r="4861" hidden="1">
      <c r="A4861" s="2">
        <f>IFERROR(__xludf.DUMMYFUNCTION("""COMPUTED_VALUE"""),120734.0)</f>
        <v>120734</v>
      </c>
      <c r="B4861" s="2">
        <f>IFERROR(__xludf.DUMMYFUNCTION("""COMPUTED_VALUE"""),0.0)</f>
        <v>0</v>
      </c>
      <c r="C4861" s="2">
        <f>IFERROR(__xludf.DUMMYFUNCTION("""COMPUTED_VALUE"""),385.0)</f>
        <v>385</v>
      </c>
      <c r="D4861" s="3">
        <f>IFERROR(__xludf.DUMMYFUNCTION("""COMPUTED_VALUE"""),63.0)</f>
        <v>63</v>
      </c>
      <c r="E4861" s="1" t="str">
        <f t="array" ref="E4861">_xlfn.XLOOKUP(A4861,Product!A:A,Product!B:B,"Bulunamadı")</f>
        <v>Sports</v>
      </c>
      <c r="F4861" s="1" t="str">
        <f t="array" ref="F4861">_xlfn.XLOOKUP(A4861,Product!A:A,Product!C:C,"Bulunamadı")</f>
        <v>Drawing</v>
      </c>
      <c r="G4861" s="2" t="str">
        <f t="array" ref="G4861">_xlfn.XLOOKUP(A4862,Product!A:A,Product!D:D,"Bulunamadı")</f>
        <v>Brighttree House</v>
      </c>
      <c r="H4861" s="2">
        <f t="array" ref="H4861">_xlfn.XLOOKUP(A4863,Product!A:A,Product!E:E,"Bulunamadı")</f>
        <v>9.97</v>
      </c>
      <c r="I4861" s="2" t="str">
        <f t="shared" si="1"/>
        <v>120734 - Sports - Drawing</v>
      </c>
      <c r="J4861" s="2">
        <f t="shared" si="2"/>
        <v>628.11</v>
      </c>
      <c r="K4861" s="17">
        <f t="shared" si="3"/>
        <v>1</v>
      </c>
      <c r="L4861" s="18"/>
    </row>
    <row r="4862" hidden="1">
      <c r="A4862" s="2">
        <f>IFERROR(__xludf.DUMMYFUNCTION("""COMPUTED_VALUE"""),104423.0)</f>
        <v>104423</v>
      </c>
      <c r="B4862" s="2">
        <f>IFERROR(__xludf.DUMMYFUNCTION("""COMPUTED_VALUE"""),0.0)</f>
        <v>0</v>
      </c>
      <c r="C4862" s="2">
        <f>IFERROR(__xludf.DUMMYFUNCTION("""COMPUTED_VALUE"""),678.0)</f>
        <v>678</v>
      </c>
      <c r="D4862" s="3">
        <f>IFERROR(__xludf.DUMMYFUNCTION("""COMPUTED_VALUE"""),199.0)</f>
        <v>199</v>
      </c>
      <c r="E4862" s="1" t="str">
        <f t="array" ref="E4862">_xlfn.XLOOKUP(A4862,Product!A:A,Product!B:B,"Bulunamadı")</f>
        <v>Sports</v>
      </c>
      <c r="F4862" s="1" t="str">
        <f t="array" ref="F4862">_xlfn.XLOOKUP(A4862,Product!A:A,Product!C:C,"Bulunamadı")</f>
        <v>Drawing</v>
      </c>
      <c r="G4862" s="2" t="str">
        <f t="array" ref="G4862">_xlfn.XLOOKUP(A4863,Product!A:A,Product!D:D,"Bulunamadı")</f>
        <v>Brighttree House</v>
      </c>
      <c r="H4862" s="2">
        <f t="array" ref="H4862">_xlfn.XLOOKUP(A4864,Product!A:A,Product!E:E,"Bulunamadı")</f>
        <v>6.98</v>
      </c>
      <c r="I4862" s="2" t="str">
        <f t="shared" si="1"/>
        <v>104423 - Sports - Drawing</v>
      </c>
      <c r="J4862" s="2">
        <f t="shared" si="2"/>
        <v>1389.02</v>
      </c>
      <c r="K4862" s="17">
        <f t="shared" si="3"/>
        <v>1</v>
      </c>
      <c r="L4862" s="18"/>
    </row>
    <row r="4863" hidden="1">
      <c r="A4863" s="2">
        <f>IFERROR(__xludf.DUMMYFUNCTION("""COMPUTED_VALUE"""),120286.0)</f>
        <v>120286</v>
      </c>
      <c r="B4863" s="2">
        <f>IFERROR(__xludf.DUMMYFUNCTION("""COMPUTED_VALUE"""),0.0)</f>
        <v>0</v>
      </c>
      <c r="C4863" s="2">
        <f>IFERROR(__xludf.DUMMYFUNCTION("""COMPUTED_VALUE"""),637.0)</f>
        <v>637</v>
      </c>
      <c r="D4863" s="3">
        <f>IFERROR(__xludf.DUMMYFUNCTION("""COMPUTED_VALUE"""),100.0)</f>
        <v>100</v>
      </c>
      <c r="E4863" s="1" t="str">
        <f t="array" ref="E4863">_xlfn.XLOOKUP(A4863,Product!A:A,Product!B:B,"Bulunamadı")</f>
        <v>Sports</v>
      </c>
      <c r="F4863" s="1" t="str">
        <f t="array" ref="F4863">_xlfn.XLOOKUP(A4863,Product!A:A,Product!C:C,"Bulunamadı")</f>
        <v>Drawing</v>
      </c>
      <c r="G4863" s="2" t="str">
        <f t="array" ref="G4863">_xlfn.XLOOKUP(A4864,Product!A:A,Product!D:D,"Bulunamadı")</f>
        <v>Brighttree House</v>
      </c>
      <c r="H4863" s="2">
        <f t="array" ref="H4863">_xlfn.XLOOKUP(A4865,Product!A:A,Product!E:E,"Bulunamadı")</f>
        <v>5.22</v>
      </c>
      <c r="I4863" s="2" t="str">
        <f t="shared" si="1"/>
        <v>120286 - Sports - Drawing</v>
      </c>
      <c r="J4863" s="2">
        <f t="shared" si="2"/>
        <v>522</v>
      </c>
      <c r="K4863" s="17">
        <f t="shared" si="3"/>
        <v>1</v>
      </c>
      <c r="L4863" s="18"/>
    </row>
    <row r="4864" hidden="1">
      <c r="A4864" s="2">
        <f>IFERROR(__xludf.DUMMYFUNCTION("""COMPUTED_VALUE"""),81838.0)</f>
        <v>81838</v>
      </c>
      <c r="B4864" s="2">
        <f>IFERROR(__xludf.DUMMYFUNCTION("""COMPUTED_VALUE"""),1.0)</f>
        <v>1</v>
      </c>
      <c r="C4864" s="2">
        <f>IFERROR(__xludf.DUMMYFUNCTION("""COMPUTED_VALUE"""),27.0)</f>
        <v>27</v>
      </c>
      <c r="D4864" s="3">
        <f>IFERROR(__xludf.DUMMYFUNCTION("""COMPUTED_VALUE"""),14.0)</f>
        <v>14</v>
      </c>
      <c r="E4864" s="1" t="str">
        <f t="array" ref="E4864">_xlfn.XLOOKUP(A4864,Product!A:A,Product!B:B,"Bulunamadı")</f>
        <v>Sports</v>
      </c>
      <c r="F4864" s="1" t="str">
        <f t="array" ref="F4864">_xlfn.XLOOKUP(A4864,Product!A:A,Product!C:C,"Bulunamadı")</f>
        <v>Drawing</v>
      </c>
      <c r="G4864" s="2" t="str">
        <f t="array" ref="G4864">_xlfn.XLOOKUP(A4865,Product!A:A,Product!D:D,"Bulunamadı")</f>
        <v>Brighttree House</v>
      </c>
      <c r="H4864" s="2">
        <f t="array" ref="H4864">_xlfn.XLOOKUP(A4866,Product!A:A,Product!E:E,"Bulunamadı")</f>
        <v>5.66</v>
      </c>
      <c r="I4864" s="2" t="str">
        <f t="shared" si="1"/>
        <v>81838 - Sports - Drawing</v>
      </c>
      <c r="J4864" s="2">
        <f t="shared" si="2"/>
        <v>79.24</v>
      </c>
      <c r="K4864" s="17">
        <f t="shared" si="3"/>
        <v>1</v>
      </c>
      <c r="L4864" s="18"/>
    </row>
    <row r="4865" hidden="1">
      <c r="A4865" s="2">
        <f>IFERROR(__xludf.DUMMYFUNCTION("""COMPUTED_VALUE"""),117718.0)</f>
        <v>117718</v>
      </c>
      <c r="B4865" s="2">
        <f>IFERROR(__xludf.DUMMYFUNCTION("""COMPUTED_VALUE"""),1.0)</f>
        <v>1</v>
      </c>
      <c r="C4865" s="2">
        <f>IFERROR(__xludf.DUMMYFUNCTION("""COMPUTED_VALUE"""),345.0)</f>
        <v>345</v>
      </c>
      <c r="D4865" s="3">
        <f>IFERROR(__xludf.DUMMYFUNCTION("""COMPUTED_VALUE"""),248.0)</f>
        <v>248</v>
      </c>
      <c r="E4865" s="1" t="str">
        <f t="array" ref="E4865">_xlfn.XLOOKUP(A4865,Product!A:A,Product!B:B,"Bulunamadı")</f>
        <v>Sports</v>
      </c>
      <c r="F4865" s="1" t="str">
        <f t="array" ref="F4865">_xlfn.XLOOKUP(A4865,Product!A:A,Product!C:C,"Bulunamadı")</f>
        <v>Drawing</v>
      </c>
      <c r="G4865" s="2" t="str">
        <f t="array" ref="G4865">_xlfn.XLOOKUP(A4866,Product!A:A,Product!D:D,"Bulunamadı")</f>
        <v>Oaktree House</v>
      </c>
      <c r="H4865" s="2">
        <f t="array" ref="H4865">_xlfn.XLOOKUP(A4867,Product!A:A,Product!E:E,"Bulunamadı")</f>
        <v>4.61</v>
      </c>
      <c r="I4865" s="2" t="str">
        <f t="shared" si="1"/>
        <v>117718 - Sports - Drawing</v>
      </c>
      <c r="J4865" s="2">
        <f t="shared" si="2"/>
        <v>1143.28</v>
      </c>
      <c r="K4865" s="17">
        <f t="shared" si="3"/>
        <v>1</v>
      </c>
      <c r="L4865" s="18"/>
    </row>
    <row r="4866" hidden="1">
      <c r="A4866" s="2">
        <f>IFERROR(__xludf.DUMMYFUNCTION("""COMPUTED_VALUE"""),70611.0)</f>
        <v>70611</v>
      </c>
      <c r="B4866" s="2">
        <f>IFERROR(__xludf.DUMMYFUNCTION("""COMPUTED_VALUE"""),1.0)</f>
        <v>1</v>
      </c>
      <c r="C4866" s="2">
        <f>IFERROR(__xludf.DUMMYFUNCTION("""COMPUTED_VALUE"""),680.0)</f>
        <v>680</v>
      </c>
      <c r="D4866" s="3">
        <f>IFERROR(__xludf.DUMMYFUNCTION("""COMPUTED_VALUE"""),603.0)</f>
        <v>603</v>
      </c>
      <c r="E4866" s="1" t="str">
        <f t="array" ref="E4866">_xlfn.XLOOKUP(A4866,Product!A:A,Product!B:B,"Bulunamadı")</f>
        <v>Sports</v>
      </c>
      <c r="F4866" s="1" t="str">
        <f t="array" ref="F4866">_xlfn.XLOOKUP(A4866,Product!A:A,Product!C:C,"Bulunamadı")</f>
        <v>Drawing</v>
      </c>
      <c r="G4866" s="2" t="str">
        <f t="array" ref="G4866">_xlfn.XLOOKUP(A4867,Product!A:A,Product!D:D,"Bulunamadı")</f>
        <v>Oaktree House</v>
      </c>
      <c r="H4866" s="2">
        <f t="array" ref="H4866">_xlfn.XLOOKUP(A4868,Product!A:A,Product!E:E,"Bulunamadı")</f>
        <v>11.02</v>
      </c>
      <c r="I4866" s="2" t="str">
        <f t="shared" si="1"/>
        <v>70611 - Sports - Drawing</v>
      </c>
      <c r="J4866" s="2">
        <f t="shared" si="2"/>
        <v>6645.06</v>
      </c>
      <c r="K4866" s="17">
        <f t="shared" si="3"/>
        <v>1</v>
      </c>
      <c r="L4866" s="18"/>
    </row>
    <row r="4867" hidden="1">
      <c r="A4867" s="2">
        <f>IFERROR(__xludf.DUMMYFUNCTION("""COMPUTED_VALUE"""),110848.0)</f>
        <v>110848</v>
      </c>
      <c r="B4867" s="2">
        <f>IFERROR(__xludf.DUMMYFUNCTION("""COMPUTED_VALUE"""),0.0)</f>
        <v>0</v>
      </c>
      <c r="C4867" s="2">
        <f>IFERROR(__xludf.DUMMYFUNCTION("""COMPUTED_VALUE"""),604.0)</f>
        <v>604</v>
      </c>
      <c r="D4867" s="3">
        <f>IFERROR(__xludf.DUMMYFUNCTION("""COMPUTED_VALUE"""),285.0)</f>
        <v>285</v>
      </c>
      <c r="E4867" s="1" t="str">
        <f t="array" ref="E4867">_xlfn.XLOOKUP(A4867,Product!A:A,Product!B:B,"Bulunamadı")</f>
        <v>Sports</v>
      </c>
      <c r="F4867" s="1" t="str">
        <f t="array" ref="F4867">_xlfn.XLOOKUP(A4867,Product!A:A,Product!C:C,"Bulunamadı")</f>
        <v>Drawing</v>
      </c>
      <c r="G4867" s="2" t="str">
        <f t="array" ref="G4867">_xlfn.XLOOKUP(A4868,Product!A:A,Product!D:D,"Bulunamadı")</f>
        <v>Oaktree House</v>
      </c>
      <c r="H4867" s="2">
        <f t="array" ref="H4867">_xlfn.XLOOKUP(A4869,Product!A:A,Product!E:E,"Bulunamadı")</f>
        <v>12.45</v>
      </c>
      <c r="I4867" s="2" t="str">
        <f t="shared" si="1"/>
        <v>110848 - Sports - Drawing</v>
      </c>
      <c r="J4867" s="2">
        <f t="shared" si="2"/>
        <v>3548.25</v>
      </c>
      <c r="K4867" s="17">
        <f t="shared" si="3"/>
        <v>1</v>
      </c>
      <c r="L4867" s="18"/>
    </row>
    <row r="4868" hidden="1">
      <c r="A4868" s="2">
        <f>IFERROR(__xludf.DUMMYFUNCTION("""COMPUTED_VALUE"""),107925.0)</f>
        <v>107925</v>
      </c>
      <c r="B4868" s="2">
        <f>IFERROR(__xludf.DUMMYFUNCTION("""COMPUTED_VALUE"""),1.0)</f>
        <v>1</v>
      </c>
      <c r="C4868" s="2">
        <f>IFERROR(__xludf.DUMMYFUNCTION("""COMPUTED_VALUE"""),541.0)</f>
        <v>541</v>
      </c>
      <c r="D4868" s="3">
        <f>IFERROR(__xludf.DUMMYFUNCTION("""COMPUTED_VALUE"""),346.0)</f>
        <v>346</v>
      </c>
      <c r="E4868" s="1" t="str">
        <f t="array" ref="E4868">_xlfn.XLOOKUP(A4868,Product!A:A,Product!B:B,"Bulunamadı")</f>
        <v>Sports</v>
      </c>
      <c r="F4868" s="1" t="str">
        <f t="array" ref="F4868">_xlfn.XLOOKUP(A4868,Product!A:A,Product!C:C,"Bulunamadı")</f>
        <v>Drawing</v>
      </c>
      <c r="G4868" s="2" t="str">
        <f t="array" ref="G4868">_xlfn.XLOOKUP(A4869,Product!A:A,Product!D:D,"Bulunamadı")</f>
        <v>Oaktree House</v>
      </c>
      <c r="H4868" s="2">
        <f t="array" ref="H4868">_xlfn.XLOOKUP(A4870,Product!A:A,Product!E:E,"Bulunamadı")</f>
        <v>6.33</v>
      </c>
      <c r="I4868" s="2" t="str">
        <f t="shared" si="1"/>
        <v>107925 - Sports - Drawing</v>
      </c>
      <c r="J4868" s="2">
        <f t="shared" si="2"/>
        <v>2190.18</v>
      </c>
      <c r="K4868" s="17">
        <f t="shared" si="3"/>
        <v>1</v>
      </c>
      <c r="L4868" s="18"/>
    </row>
    <row r="4869" hidden="1">
      <c r="A4869" s="2">
        <f>IFERROR(__xludf.DUMMYFUNCTION("""COMPUTED_VALUE"""),156038.0)</f>
        <v>156038</v>
      </c>
      <c r="B4869" s="2">
        <f>IFERROR(__xludf.DUMMYFUNCTION("""COMPUTED_VALUE"""),0.0)</f>
        <v>0</v>
      </c>
      <c r="C4869" s="2">
        <f>IFERROR(__xludf.DUMMYFUNCTION("""COMPUTED_VALUE"""),750.0)</f>
        <v>750</v>
      </c>
      <c r="D4869" s="3">
        <f>IFERROR(__xludf.DUMMYFUNCTION("""COMPUTED_VALUE"""),655.0)</f>
        <v>655</v>
      </c>
      <c r="E4869" s="1" t="str">
        <f t="array" ref="E4869">_xlfn.XLOOKUP(A4869,Product!A:A,Product!B:B,"Bulunamadı")</f>
        <v>Sports</v>
      </c>
      <c r="F4869" s="1" t="str">
        <f t="array" ref="F4869">_xlfn.XLOOKUP(A4869,Product!A:A,Product!C:C,"Bulunamadı")</f>
        <v>Drawing</v>
      </c>
      <c r="G4869" s="2" t="str">
        <f t="array" ref="G4869">_xlfn.XLOOKUP(A4870,Product!A:A,Product!D:D,"Bulunamadı")</f>
        <v>Oaktree House</v>
      </c>
      <c r="H4869" s="2">
        <f t="array" ref="H4869">_xlfn.XLOOKUP(A4871,Product!A:A,Product!E:E,"Bulunamadı")</f>
        <v>4.8</v>
      </c>
      <c r="I4869" s="2" t="str">
        <f t="shared" si="1"/>
        <v>156038 - Sports - Drawing</v>
      </c>
      <c r="J4869" s="2">
        <f t="shared" si="2"/>
        <v>3144</v>
      </c>
      <c r="K4869" s="17">
        <f t="shared" si="3"/>
        <v>1</v>
      </c>
      <c r="L4869" s="18"/>
    </row>
    <row r="4870" hidden="1">
      <c r="A4870" s="2">
        <f>IFERROR(__xludf.DUMMYFUNCTION("""COMPUTED_VALUE"""),117392.0)</f>
        <v>117392</v>
      </c>
      <c r="B4870" s="2">
        <f>IFERROR(__xludf.DUMMYFUNCTION("""COMPUTED_VALUE"""),0.0)</f>
        <v>0</v>
      </c>
      <c r="C4870" s="2">
        <f>IFERROR(__xludf.DUMMYFUNCTION("""COMPUTED_VALUE"""),43.0)</f>
        <v>43</v>
      </c>
      <c r="D4870" s="3">
        <f>IFERROR(__xludf.DUMMYFUNCTION("""COMPUTED_VALUE"""),31.0)</f>
        <v>31</v>
      </c>
      <c r="E4870" s="1" t="str">
        <f t="array" ref="E4870">_xlfn.XLOOKUP(A4870,Product!A:A,Product!B:B,"Bulunamadı")</f>
        <v>Sports</v>
      </c>
      <c r="F4870" s="1" t="str">
        <f t="array" ref="F4870">_xlfn.XLOOKUP(A4870,Product!A:A,Product!C:C,"Bulunamadı")</f>
        <v>Drawing</v>
      </c>
      <c r="G4870" s="2" t="str">
        <f t="array" ref="G4870">_xlfn.XLOOKUP(A4871,Product!A:A,Product!D:D,"Bulunamadı")</f>
        <v>Oaktree House</v>
      </c>
      <c r="H4870" s="2">
        <f t="array" ref="H4870">_xlfn.XLOOKUP(A4872,Product!A:A,Product!E:E,"Bulunamadı")</f>
        <v>7.87</v>
      </c>
      <c r="I4870" s="2" t="str">
        <f t="shared" si="1"/>
        <v>117392 - Sports - Drawing</v>
      </c>
      <c r="J4870" s="2">
        <f t="shared" si="2"/>
        <v>243.97</v>
      </c>
      <c r="K4870" s="17">
        <f t="shared" si="3"/>
        <v>1</v>
      </c>
      <c r="L4870" s="18"/>
    </row>
    <row r="4871" hidden="1">
      <c r="A4871" s="2">
        <f>IFERROR(__xludf.DUMMYFUNCTION("""COMPUTED_VALUE"""),86620.0)</f>
        <v>86620</v>
      </c>
      <c r="B4871" s="2">
        <f>IFERROR(__xludf.DUMMYFUNCTION("""COMPUTED_VALUE"""),1.0)</f>
        <v>1</v>
      </c>
      <c r="C4871" s="2">
        <f>IFERROR(__xludf.DUMMYFUNCTION("""COMPUTED_VALUE"""),288.0)</f>
        <v>288</v>
      </c>
      <c r="D4871" s="3">
        <f>IFERROR(__xludf.DUMMYFUNCTION("""COMPUTED_VALUE"""),10.0)</f>
        <v>10</v>
      </c>
      <c r="E4871" s="1" t="str">
        <f t="array" ref="E4871">_xlfn.XLOOKUP(A4871,Product!A:A,Product!B:B,"Bulunamadı")</f>
        <v>Sports</v>
      </c>
      <c r="F4871" s="1" t="str">
        <f t="array" ref="F4871">_xlfn.XLOOKUP(A4871,Product!A:A,Product!C:C,"Bulunamadı")</f>
        <v>Drawing</v>
      </c>
      <c r="G4871" s="2" t="str">
        <f t="array" ref="G4871">_xlfn.XLOOKUP(A4872,Product!A:A,Product!D:D,"Bulunamadı")</f>
        <v>Oaktree House</v>
      </c>
      <c r="H4871" s="2">
        <f t="array" ref="H4871">_xlfn.XLOOKUP(A4873,Product!A:A,Product!E:E,"Bulunamadı")</f>
        <v>8.2</v>
      </c>
      <c r="I4871" s="2" t="str">
        <f t="shared" si="1"/>
        <v>86620 - Sports - Drawing</v>
      </c>
      <c r="J4871" s="2">
        <f t="shared" si="2"/>
        <v>82</v>
      </c>
      <c r="K4871" s="17">
        <f t="shared" si="3"/>
        <v>1</v>
      </c>
      <c r="L4871" s="18"/>
    </row>
    <row r="4872" hidden="1">
      <c r="A4872" s="2">
        <f>IFERROR(__xludf.DUMMYFUNCTION("""COMPUTED_VALUE"""),27871.0)</f>
        <v>27871</v>
      </c>
      <c r="B4872" s="2">
        <f>IFERROR(__xludf.DUMMYFUNCTION("""COMPUTED_VALUE"""),0.0)</f>
        <v>0</v>
      </c>
      <c r="C4872" s="2">
        <f>IFERROR(__xludf.DUMMYFUNCTION("""COMPUTED_VALUE"""),527.0)</f>
        <v>527</v>
      </c>
      <c r="D4872" s="3">
        <f>IFERROR(__xludf.DUMMYFUNCTION("""COMPUTED_VALUE"""),404.0)</f>
        <v>404</v>
      </c>
      <c r="E4872" s="1" t="str">
        <f t="array" ref="E4872">_xlfn.XLOOKUP(A4872,Product!A:A,Product!B:B,"Bulunamadı")</f>
        <v>Sports</v>
      </c>
      <c r="F4872" s="1" t="str">
        <f t="array" ref="F4872">_xlfn.XLOOKUP(A4872,Product!A:A,Product!C:C,"Bulunamadı")</f>
        <v>Drawing</v>
      </c>
      <c r="G4872" s="2" t="str">
        <f t="array" ref="G4872">_xlfn.XLOOKUP(A4873,Product!A:A,Product!D:D,"Bulunamadı")</f>
        <v>Oaktree House</v>
      </c>
      <c r="H4872" s="2">
        <f t="array" ref="H4872">_xlfn.XLOOKUP(A4874,Product!A:A,Product!E:E,"Bulunamadı")</f>
        <v>6.31</v>
      </c>
      <c r="I4872" s="2" t="str">
        <f t="shared" si="1"/>
        <v>27871 - Sports - Drawing</v>
      </c>
      <c r="J4872" s="2">
        <f t="shared" si="2"/>
        <v>2549.24</v>
      </c>
      <c r="K4872" s="17">
        <f t="shared" si="3"/>
        <v>1</v>
      </c>
      <c r="L4872" s="18"/>
    </row>
    <row r="4873" hidden="1">
      <c r="A4873" s="2">
        <f>IFERROR(__xludf.DUMMYFUNCTION("""COMPUTED_VALUE"""),82874.0)</f>
        <v>82874</v>
      </c>
      <c r="B4873" s="2">
        <f>IFERROR(__xludf.DUMMYFUNCTION("""COMPUTED_VALUE"""),0.0)</f>
        <v>0</v>
      </c>
      <c r="C4873" s="2">
        <f>IFERROR(__xludf.DUMMYFUNCTION("""COMPUTED_VALUE"""),366.0)</f>
        <v>366</v>
      </c>
      <c r="D4873" s="3">
        <f>IFERROR(__xludf.DUMMYFUNCTION("""COMPUTED_VALUE"""),57.0)</f>
        <v>57</v>
      </c>
      <c r="E4873" s="1" t="str">
        <f t="array" ref="E4873">_xlfn.XLOOKUP(A4873,Product!A:A,Product!B:B,"Bulunamadı")</f>
        <v>Sports</v>
      </c>
      <c r="F4873" s="1" t="str">
        <f t="array" ref="F4873">_xlfn.XLOOKUP(A4873,Product!A:A,Product!C:C,"Bulunamadı")</f>
        <v>Drawing</v>
      </c>
      <c r="G4873" s="2" t="str">
        <f t="array" ref="G4873">_xlfn.XLOOKUP(A4874,Product!A:A,Product!D:D,"Bulunamadı")</f>
        <v>Oaktree House</v>
      </c>
      <c r="H4873" s="2">
        <f t="array" ref="H4873">_xlfn.XLOOKUP(A4875,Product!A:A,Product!E:E,"Bulunamadı")</f>
        <v>8.09</v>
      </c>
      <c r="I4873" s="2" t="str">
        <f t="shared" si="1"/>
        <v>82874 - Sports - Drawing</v>
      </c>
      <c r="J4873" s="2">
        <f t="shared" si="2"/>
        <v>461.13</v>
      </c>
      <c r="K4873" s="17">
        <f t="shared" si="3"/>
        <v>1</v>
      </c>
      <c r="L4873" s="18"/>
    </row>
    <row r="4874" hidden="1">
      <c r="A4874" s="2">
        <f>IFERROR(__xludf.DUMMYFUNCTION("""COMPUTED_VALUE"""),120292.0)</f>
        <v>120292</v>
      </c>
      <c r="B4874" s="2">
        <f>IFERROR(__xludf.DUMMYFUNCTION("""COMPUTED_VALUE"""),0.0)</f>
        <v>0</v>
      </c>
      <c r="C4874" s="2">
        <f>IFERROR(__xludf.DUMMYFUNCTION("""COMPUTED_VALUE"""),398.0)</f>
        <v>398</v>
      </c>
      <c r="D4874" s="3">
        <f>IFERROR(__xludf.DUMMYFUNCTION("""COMPUTED_VALUE"""),44.0)</f>
        <v>44</v>
      </c>
      <c r="E4874" s="1" t="str">
        <f t="array" ref="E4874">_xlfn.XLOOKUP(A4874,Product!A:A,Product!B:B,"Bulunamadı")</f>
        <v>Sports</v>
      </c>
      <c r="F4874" s="1" t="str">
        <f t="array" ref="F4874">_xlfn.XLOOKUP(A4874,Product!A:A,Product!C:C,"Bulunamadı")</f>
        <v>Drawing</v>
      </c>
      <c r="G4874" s="2" t="str">
        <f t="array" ref="G4874">_xlfn.XLOOKUP(A4875,Product!A:A,Product!D:D,"Bulunamadı")</f>
        <v>Oaktree House</v>
      </c>
      <c r="H4874" s="2">
        <f t="array" ref="H4874">_xlfn.XLOOKUP(A4876,Product!A:A,Product!E:E,"Bulunamadı")</f>
        <v>5.94</v>
      </c>
      <c r="I4874" s="2" t="str">
        <f t="shared" si="1"/>
        <v>120292 - Sports - Drawing</v>
      </c>
      <c r="J4874" s="2">
        <f t="shared" si="2"/>
        <v>261.36</v>
      </c>
      <c r="K4874" s="17">
        <f t="shared" si="3"/>
        <v>1</v>
      </c>
      <c r="L4874" s="18"/>
    </row>
    <row r="4875" hidden="1">
      <c r="A4875" s="2">
        <f>IFERROR(__xludf.DUMMYFUNCTION("""COMPUTED_VALUE"""),120293.0)</f>
        <v>120293</v>
      </c>
      <c r="B4875" s="2">
        <f>IFERROR(__xludf.DUMMYFUNCTION("""COMPUTED_VALUE"""),0.0)</f>
        <v>0</v>
      </c>
      <c r="C4875" s="2">
        <f>IFERROR(__xludf.DUMMYFUNCTION("""COMPUTED_VALUE"""),917.0)</f>
        <v>917</v>
      </c>
      <c r="D4875" s="3">
        <f>IFERROR(__xludf.DUMMYFUNCTION("""COMPUTED_VALUE"""),457.0)</f>
        <v>457</v>
      </c>
      <c r="E4875" s="1" t="str">
        <f t="array" ref="E4875">_xlfn.XLOOKUP(A4875,Product!A:A,Product!B:B,"Bulunamadı")</f>
        <v>Sports</v>
      </c>
      <c r="F4875" s="1" t="str">
        <f t="array" ref="F4875">_xlfn.XLOOKUP(A4875,Product!A:A,Product!C:C,"Bulunamadı")</f>
        <v>Drawing</v>
      </c>
      <c r="G4875" s="2" t="str">
        <f t="array" ref="G4875">_xlfn.XLOOKUP(A4876,Product!A:A,Product!D:D,"Bulunamadı")</f>
        <v>Oaktree House</v>
      </c>
      <c r="H4875" s="2">
        <f t="array" ref="H4875">_xlfn.XLOOKUP(A4877,Product!A:A,Product!E:E,"Bulunamadı")</f>
        <v>16.04</v>
      </c>
      <c r="I4875" s="2" t="str">
        <f t="shared" si="1"/>
        <v>120293 - Sports - Drawing</v>
      </c>
      <c r="J4875" s="2">
        <f t="shared" si="2"/>
        <v>7330.28</v>
      </c>
      <c r="K4875" s="17">
        <f t="shared" si="3"/>
        <v>1</v>
      </c>
      <c r="L4875" s="18"/>
    </row>
    <row r="4876" hidden="1">
      <c r="A4876" s="2">
        <f>IFERROR(__xludf.DUMMYFUNCTION("""COMPUTED_VALUE"""),44522.0)</f>
        <v>44522</v>
      </c>
      <c r="B4876" s="2">
        <f>IFERROR(__xludf.DUMMYFUNCTION("""COMPUTED_VALUE"""),0.0)</f>
        <v>0</v>
      </c>
      <c r="C4876" s="2">
        <f>IFERROR(__xludf.DUMMYFUNCTION("""COMPUTED_VALUE"""),605.0)</f>
        <v>605</v>
      </c>
      <c r="D4876" s="3">
        <f>IFERROR(__xludf.DUMMYFUNCTION("""COMPUTED_VALUE"""),463.0)</f>
        <v>463</v>
      </c>
      <c r="E4876" s="1" t="str">
        <f t="array" ref="E4876">_xlfn.XLOOKUP(A4876,Product!A:A,Product!B:B,"Bulunamadı")</f>
        <v>Sports</v>
      </c>
      <c r="F4876" s="1" t="str">
        <f t="array" ref="F4876">_xlfn.XLOOKUP(A4876,Product!A:A,Product!C:C,"Bulunamadı")</f>
        <v>Drawing</v>
      </c>
      <c r="G4876" s="2" t="str">
        <f t="array" ref="G4876">_xlfn.XLOOKUP(A4877,Product!A:A,Product!D:D,"Bulunamadı")</f>
        <v>Oaktree House</v>
      </c>
      <c r="H4876" s="2">
        <f t="array" ref="H4876">_xlfn.XLOOKUP(A4878,Product!A:A,Product!E:E,"Bulunamadı")</f>
        <v>25.74</v>
      </c>
      <c r="I4876" s="2" t="str">
        <f t="shared" si="1"/>
        <v>44522 - Sports - Drawing</v>
      </c>
      <c r="J4876" s="2">
        <f t="shared" si="2"/>
        <v>11917.62</v>
      </c>
      <c r="K4876" s="17">
        <f t="shared" si="3"/>
        <v>1</v>
      </c>
      <c r="L4876" s="18"/>
    </row>
    <row r="4877" hidden="1">
      <c r="A4877" s="2">
        <f>IFERROR(__xludf.DUMMYFUNCTION("""COMPUTED_VALUE"""),143999.0)</f>
        <v>143999</v>
      </c>
      <c r="B4877" s="2">
        <f>IFERROR(__xludf.DUMMYFUNCTION("""COMPUTED_VALUE"""),1.0)</f>
        <v>1</v>
      </c>
      <c r="C4877" s="2">
        <f>IFERROR(__xludf.DUMMYFUNCTION("""COMPUTED_VALUE"""),886.0)</f>
        <v>886</v>
      </c>
      <c r="D4877" s="3">
        <f>IFERROR(__xludf.DUMMYFUNCTION("""COMPUTED_VALUE"""),112.0)</f>
        <v>112</v>
      </c>
      <c r="E4877" s="1" t="str">
        <f t="array" ref="E4877">_xlfn.XLOOKUP(A4877,Product!A:A,Product!B:B,"Bulunamadı")</f>
        <v>Sports</v>
      </c>
      <c r="F4877" s="1" t="str">
        <f t="array" ref="F4877">_xlfn.XLOOKUP(A4877,Product!A:A,Product!C:C,"Bulunamadı")</f>
        <v>Drawing</v>
      </c>
      <c r="G4877" s="2" t="str">
        <f t="array" ref="G4877">_xlfn.XLOOKUP(A4878,Product!A:A,Product!D:D,"Bulunamadı")</f>
        <v>Oaktree House</v>
      </c>
      <c r="H4877" s="2">
        <f t="array" ref="H4877">_xlfn.XLOOKUP(A4879,Product!A:A,Product!E:E,"Bulunamadı")</f>
        <v>15.71</v>
      </c>
      <c r="I4877" s="2" t="str">
        <f t="shared" si="1"/>
        <v>143999 - Sports - Drawing</v>
      </c>
      <c r="J4877" s="2">
        <f t="shared" si="2"/>
        <v>1759.52</v>
      </c>
      <c r="K4877" s="17">
        <f t="shared" si="3"/>
        <v>1</v>
      </c>
      <c r="L4877" s="18"/>
    </row>
    <row r="4878" hidden="1">
      <c r="A4878" s="2">
        <f>IFERROR(__xludf.DUMMYFUNCTION("""COMPUTED_VALUE"""),144000.0)</f>
        <v>144000</v>
      </c>
      <c r="B4878" s="2">
        <f>IFERROR(__xludf.DUMMYFUNCTION("""COMPUTED_VALUE"""),0.0)</f>
        <v>0</v>
      </c>
      <c r="C4878" s="2">
        <f>IFERROR(__xludf.DUMMYFUNCTION("""COMPUTED_VALUE"""),769.0)</f>
        <v>769</v>
      </c>
      <c r="D4878" s="3">
        <f>IFERROR(__xludf.DUMMYFUNCTION("""COMPUTED_VALUE"""),55.0)</f>
        <v>55</v>
      </c>
      <c r="E4878" s="1" t="str">
        <f t="array" ref="E4878">_xlfn.XLOOKUP(A4878,Product!A:A,Product!B:B,"Bulunamadı")</f>
        <v>Sports</v>
      </c>
      <c r="F4878" s="1" t="str">
        <f t="array" ref="F4878">_xlfn.XLOOKUP(A4878,Product!A:A,Product!C:C,"Bulunamadı")</f>
        <v>Drawing</v>
      </c>
      <c r="G4878" s="2" t="str">
        <f t="array" ref="G4878">_xlfn.XLOOKUP(A4879,Product!A:A,Product!D:D,"Bulunamadı")</f>
        <v>Rivertree House</v>
      </c>
      <c r="H4878" s="2">
        <f t="array" ref="H4878">_xlfn.XLOOKUP(A4880,Product!A:A,Product!E:E,"Bulunamadı")</f>
        <v>10.19</v>
      </c>
      <c r="I4878" s="2" t="str">
        <f t="shared" si="1"/>
        <v>144000 - Sports - Drawing</v>
      </c>
      <c r="J4878" s="2">
        <f t="shared" si="2"/>
        <v>560.45</v>
      </c>
      <c r="K4878" s="17">
        <f t="shared" si="3"/>
        <v>1</v>
      </c>
      <c r="L4878" s="18"/>
    </row>
    <row r="4879" hidden="1">
      <c r="A4879" s="2">
        <f>IFERROR(__xludf.DUMMYFUNCTION("""COMPUTED_VALUE"""),91236.0)</f>
        <v>91236</v>
      </c>
      <c r="B4879" s="2">
        <f>IFERROR(__xludf.DUMMYFUNCTION("""COMPUTED_VALUE"""),1.0)</f>
        <v>1</v>
      </c>
      <c r="C4879" s="2">
        <f>IFERROR(__xludf.DUMMYFUNCTION("""COMPUTED_VALUE"""),381.0)</f>
        <v>381</v>
      </c>
      <c r="D4879" s="3">
        <f>IFERROR(__xludf.DUMMYFUNCTION("""COMPUTED_VALUE"""),135.0)</f>
        <v>135</v>
      </c>
      <c r="E4879" s="1" t="str">
        <f t="array" ref="E4879">_xlfn.XLOOKUP(A4879,Product!A:A,Product!B:B,"Bulunamadı")</f>
        <v>Sports</v>
      </c>
      <c r="F4879" s="1" t="str">
        <f t="array" ref="F4879">_xlfn.XLOOKUP(A4879,Product!A:A,Product!C:C,"Bulunamadı")</f>
        <v>Sculpture</v>
      </c>
      <c r="G4879" s="2" t="str">
        <f t="array" ref="G4879">_xlfn.XLOOKUP(A4880,Product!A:A,Product!D:D,"Bulunamadı")</f>
        <v>Rivertree House</v>
      </c>
      <c r="H4879" s="2">
        <f t="array" ref="H4879">_xlfn.XLOOKUP(A4881,Product!A:A,Product!E:E,"Bulunamadı")</f>
        <v>2.66</v>
      </c>
      <c r="I4879" s="2" t="str">
        <f t="shared" si="1"/>
        <v>91236 - Sports - Sculpture</v>
      </c>
      <c r="J4879" s="2">
        <f t="shared" si="2"/>
        <v>359.1</v>
      </c>
      <c r="K4879" s="17">
        <f t="shared" si="3"/>
        <v>1</v>
      </c>
      <c r="L4879" s="18"/>
    </row>
    <row r="4880" hidden="1">
      <c r="A4880" s="2">
        <f>IFERROR(__xludf.DUMMYFUNCTION("""COMPUTED_VALUE"""),78213.0)</f>
        <v>78213</v>
      </c>
      <c r="B4880" s="2">
        <f>IFERROR(__xludf.DUMMYFUNCTION("""COMPUTED_VALUE"""),0.0)</f>
        <v>0</v>
      </c>
      <c r="C4880" s="2">
        <f>IFERROR(__xludf.DUMMYFUNCTION("""COMPUTED_VALUE"""),473.0)</f>
        <v>473</v>
      </c>
      <c r="D4880" s="3">
        <f>IFERROR(__xludf.DUMMYFUNCTION("""COMPUTED_VALUE"""),203.0)</f>
        <v>203</v>
      </c>
      <c r="E4880" s="1" t="str">
        <f t="array" ref="E4880">_xlfn.XLOOKUP(A4880,Product!A:A,Product!B:B,"Bulunamadı")</f>
        <v>Sports</v>
      </c>
      <c r="F4880" s="1" t="str">
        <f t="array" ref="F4880">_xlfn.XLOOKUP(A4880,Product!A:A,Product!C:C,"Bulunamadı")</f>
        <v>Sculpture</v>
      </c>
      <c r="G4880" s="2" t="str">
        <f t="array" ref="G4880">_xlfn.XLOOKUP(A4881,Product!A:A,Product!D:D,"Bulunamadı")</f>
        <v>Rivertree House</v>
      </c>
      <c r="H4880" s="2">
        <f t="array" ref="H4880">_xlfn.XLOOKUP(A4882,Product!A:A,Product!E:E,"Bulunamadı")</f>
        <v>10.2</v>
      </c>
      <c r="I4880" s="2" t="str">
        <f t="shared" si="1"/>
        <v>78213 - Sports - Sculpture</v>
      </c>
      <c r="J4880" s="2">
        <f t="shared" si="2"/>
        <v>2070.6</v>
      </c>
      <c r="K4880" s="17">
        <f t="shared" si="3"/>
        <v>1</v>
      </c>
      <c r="L4880" s="18"/>
    </row>
    <row r="4881" hidden="1">
      <c r="A4881" s="2">
        <f>IFERROR(__xludf.DUMMYFUNCTION("""COMPUTED_VALUE"""),119254.0)</f>
        <v>119254</v>
      </c>
      <c r="B4881" s="2">
        <f>IFERROR(__xludf.DUMMYFUNCTION("""COMPUTED_VALUE"""),1.0)</f>
        <v>1</v>
      </c>
      <c r="C4881" s="2">
        <f>IFERROR(__xludf.DUMMYFUNCTION("""COMPUTED_VALUE"""),693.0)</f>
        <v>693</v>
      </c>
      <c r="D4881" s="3">
        <f>IFERROR(__xludf.DUMMYFUNCTION("""COMPUTED_VALUE"""),542.0)</f>
        <v>542</v>
      </c>
      <c r="E4881" s="1" t="str">
        <f t="array" ref="E4881">_xlfn.XLOOKUP(A4881,Product!A:A,Product!B:B,"Bulunamadı")</f>
        <v>Sports</v>
      </c>
      <c r="F4881" s="1" t="str">
        <f t="array" ref="F4881">_xlfn.XLOOKUP(A4881,Product!A:A,Product!C:C,"Bulunamadı")</f>
        <v>Sculpture</v>
      </c>
      <c r="G4881" s="2" t="str">
        <f t="array" ref="G4881">_xlfn.XLOOKUP(A4882,Product!A:A,Product!D:D,"Bulunamadı")</f>
        <v>Rivertree House</v>
      </c>
      <c r="H4881" s="2">
        <f t="array" ref="H4881">_xlfn.XLOOKUP(A4883,Product!A:A,Product!E:E,"Bulunamadı")</f>
        <v>4.54</v>
      </c>
      <c r="I4881" s="2" t="str">
        <f t="shared" si="1"/>
        <v>119254 - Sports - Sculpture</v>
      </c>
      <c r="J4881" s="2">
        <f t="shared" si="2"/>
        <v>2460.68</v>
      </c>
      <c r="K4881" s="17">
        <f t="shared" si="3"/>
        <v>1</v>
      </c>
      <c r="L4881" s="18"/>
    </row>
    <row r="4882" hidden="1">
      <c r="A4882" s="2">
        <f>IFERROR(__xludf.DUMMYFUNCTION("""COMPUTED_VALUE"""),82149.0)</f>
        <v>82149</v>
      </c>
      <c r="B4882" s="2">
        <f>IFERROR(__xludf.DUMMYFUNCTION("""COMPUTED_VALUE"""),1.0)</f>
        <v>1</v>
      </c>
      <c r="C4882" s="2">
        <f>IFERROR(__xludf.DUMMYFUNCTION("""COMPUTED_VALUE"""),628.0)</f>
        <v>628</v>
      </c>
      <c r="D4882" s="3">
        <f>IFERROR(__xludf.DUMMYFUNCTION("""COMPUTED_VALUE"""),96.0)</f>
        <v>96</v>
      </c>
      <c r="E4882" s="1" t="str">
        <f t="array" ref="E4882">_xlfn.XLOOKUP(A4882,Product!A:A,Product!B:B,"Bulunamadı")</f>
        <v>Sports</v>
      </c>
      <c r="F4882" s="1" t="str">
        <f t="array" ref="F4882">_xlfn.XLOOKUP(A4882,Product!A:A,Product!C:C,"Bulunamadı")</f>
        <v>Sculpture</v>
      </c>
      <c r="G4882" s="2" t="str">
        <f t="array" ref="G4882">_xlfn.XLOOKUP(A4883,Product!A:A,Product!D:D,"Bulunamadı")</f>
        <v>Rivertree House</v>
      </c>
      <c r="H4882" s="2">
        <f t="array" ref="H4882">_xlfn.XLOOKUP(A4884,Product!A:A,Product!E:E,"Bulunamadı")</f>
        <v>4.18</v>
      </c>
      <c r="I4882" s="2" t="str">
        <f t="shared" si="1"/>
        <v>82149 - Sports - Sculpture</v>
      </c>
      <c r="J4882" s="2">
        <f t="shared" si="2"/>
        <v>401.28</v>
      </c>
      <c r="K4882" s="17">
        <f t="shared" si="3"/>
        <v>1</v>
      </c>
      <c r="L4882" s="18"/>
    </row>
    <row r="4883" hidden="1">
      <c r="A4883" s="2">
        <f>IFERROR(__xludf.DUMMYFUNCTION("""COMPUTED_VALUE"""),30864.0)</f>
        <v>30864</v>
      </c>
      <c r="B4883" s="2">
        <f>IFERROR(__xludf.DUMMYFUNCTION("""COMPUTED_VALUE"""),0.0)</f>
        <v>0</v>
      </c>
      <c r="C4883" s="2">
        <f>IFERROR(__xludf.DUMMYFUNCTION("""COMPUTED_VALUE"""),311.0)</f>
        <v>311</v>
      </c>
      <c r="D4883" s="3">
        <f>IFERROR(__xludf.DUMMYFUNCTION("""COMPUTED_VALUE"""),62.0)</f>
        <v>62</v>
      </c>
      <c r="E4883" s="1" t="str">
        <f t="array" ref="E4883">_xlfn.XLOOKUP(A4883,Product!A:A,Product!B:B,"Bulunamadı")</f>
        <v>Sports</v>
      </c>
      <c r="F4883" s="1" t="str">
        <f t="array" ref="F4883">_xlfn.XLOOKUP(A4883,Product!A:A,Product!C:C,"Bulunamadı")</f>
        <v>Sculpture</v>
      </c>
      <c r="G4883" s="2" t="str">
        <f t="array" ref="G4883">_xlfn.XLOOKUP(A4884,Product!A:A,Product!D:D,"Bulunamadı")</f>
        <v>Rivertree House</v>
      </c>
      <c r="H4883" s="2">
        <f t="array" ref="H4883">_xlfn.XLOOKUP(A4885,Product!A:A,Product!E:E,"Bulunamadı")</f>
        <v>5.85</v>
      </c>
      <c r="I4883" s="2" t="str">
        <f t="shared" si="1"/>
        <v>30864 - Sports - Sculpture</v>
      </c>
      <c r="J4883" s="2">
        <f t="shared" si="2"/>
        <v>362.7</v>
      </c>
      <c r="K4883" s="17">
        <f t="shared" si="3"/>
        <v>1</v>
      </c>
      <c r="L4883" s="18"/>
    </row>
    <row r="4884" hidden="1">
      <c r="A4884" s="2">
        <f>IFERROR(__xludf.DUMMYFUNCTION("""COMPUTED_VALUE"""),82148.0)</f>
        <v>82148</v>
      </c>
      <c r="B4884" s="2">
        <f>IFERROR(__xludf.DUMMYFUNCTION("""COMPUTED_VALUE"""),0.0)</f>
        <v>0</v>
      </c>
      <c r="C4884" s="2">
        <f>IFERROR(__xludf.DUMMYFUNCTION("""COMPUTED_VALUE"""),840.0)</f>
        <v>840</v>
      </c>
      <c r="D4884" s="3">
        <f>IFERROR(__xludf.DUMMYFUNCTION("""COMPUTED_VALUE"""),334.0)</f>
        <v>334</v>
      </c>
      <c r="E4884" s="1" t="str">
        <f t="array" ref="E4884">_xlfn.XLOOKUP(A4884,Product!A:A,Product!B:B,"Bulunamadı")</f>
        <v>Sports</v>
      </c>
      <c r="F4884" s="1" t="str">
        <f t="array" ref="F4884">_xlfn.XLOOKUP(A4884,Product!A:A,Product!C:C,"Bulunamadı")</f>
        <v>Sculpture</v>
      </c>
      <c r="G4884" s="2" t="str">
        <f t="array" ref="G4884">_xlfn.XLOOKUP(A4885,Product!A:A,Product!D:D,"Bulunamadı")</f>
        <v>Rivertree House</v>
      </c>
      <c r="H4884" s="2">
        <f t="array" ref="H4884">_xlfn.XLOOKUP(A4886,Product!A:A,Product!E:E,"Bulunamadı")</f>
        <v>11.3</v>
      </c>
      <c r="I4884" s="2" t="str">
        <f t="shared" si="1"/>
        <v>82148 - Sports - Sculpture</v>
      </c>
      <c r="J4884" s="2">
        <f t="shared" si="2"/>
        <v>3774.2</v>
      </c>
      <c r="K4884" s="17">
        <f t="shared" si="3"/>
        <v>1</v>
      </c>
      <c r="L4884" s="18"/>
    </row>
    <row r="4885" hidden="1">
      <c r="A4885" s="2">
        <f>IFERROR(__xludf.DUMMYFUNCTION("""COMPUTED_VALUE"""),78069.0)</f>
        <v>78069</v>
      </c>
      <c r="B4885" s="2">
        <f>IFERROR(__xludf.DUMMYFUNCTION("""COMPUTED_VALUE"""),1.0)</f>
        <v>1</v>
      </c>
      <c r="C4885" s="2">
        <f>IFERROR(__xludf.DUMMYFUNCTION("""COMPUTED_VALUE"""),958.0)</f>
        <v>958</v>
      </c>
      <c r="D4885" s="3">
        <f>IFERROR(__xludf.DUMMYFUNCTION("""COMPUTED_VALUE"""),4.0)</f>
        <v>4</v>
      </c>
      <c r="E4885" s="1" t="str">
        <f t="array" ref="E4885">_xlfn.XLOOKUP(A4885,Product!A:A,Product!B:B,"Bulunamadı")</f>
        <v>Sports</v>
      </c>
      <c r="F4885" s="1" t="str">
        <f t="array" ref="F4885">_xlfn.XLOOKUP(A4885,Product!A:A,Product!C:C,"Bulunamadı")</f>
        <v>Sculpture</v>
      </c>
      <c r="G4885" s="2" t="str">
        <f t="array" ref="G4885">_xlfn.XLOOKUP(A4886,Product!A:A,Product!D:D,"Bulunamadı")</f>
        <v>Rivertree House</v>
      </c>
      <c r="H4885" s="2">
        <f t="array" ref="H4885">_xlfn.XLOOKUP(A4887,Product!A:A,Product!E:E,"Bulunamadı")</f>
        <v>6.11</v>
      </c>
      <c r="I4885" s="2" t="str">
        <f t="shared" si="1"/>
        <v>78069 - Sports - Sculpture</v>
      </c>
      <c r="J4885" s="2">
        <f t="shared" si="2"/>
        <v>24.44</v>
      </c>
      <c r="K4885" s="17">
        <f t="shared" si="3"/>
        <v>1</v>
      </c>
      <c r="L4885" s="18"/>
    </row>
    <row r="4886" hidden="1">
      <c r="A4886" s="2">
        <f>IFERROR(__xludf.DUMMYFUNCTION("""COMPUTED_VALUE"""),68623.0)</f>
        <v>68623</v>
      </c>
      <c r="B4886" s="2">
        <f>IFERROR(__xludf.DUMMYFUNCTION("""COMPUTED_VALUE"""),0.0)</f>
        <v>0</v>
      </c>
      <c r="C4886" s="2">
        <f>IFERROR(__xludf.DUMMYFUNCTION("""COMPUTED_VALUE"""),493.0)</f>
        <v>493</v>
      </c>
      <c r="D4886" s="3">
        <f>IFERROR(__xludf.DUMMYFUNCTION("""COMPUTED_VALUE"""),107.0)</f>
        <v>107</v>
      </c>
      <c r="E4886" s="1" t="str">
        <f t="array" ref="E4886">_xlfn.XLOOKUP(A4886,Product!A:A,Product!B:B,"Bulunamadı")</f>
        <v>Sports</v>
      </c>
      <c r="F4886" s="1" t="str">
        <f t="array" ref="F4886">_xlfn.XLOOKUP(A4886,Product!A:A,Product!C:C,"Bulunamadı")</f>
        <v>Sculpture</v>
      </c>
      <c r="G4886" s="2" t="str">
        <f t="array" ref="G4886">_xlfn.XLOOKUP(A4887,Product!A:A,Product!D:D,"Bulunamadı")</f>
        <v>Rivertree House</v>
      </c>
      <c r="H4886" s="2">
        <f t="array" ref="H4886">_xlfn.XLOOKUP(A4888,Product!A:A,Product!E:E,"Bulunamadı")</f>
        <v>9.19</v>
      </c>
      <c r="I4886" s="2" t="str">
        <f t="shared" si="1"/>
        <v>68623 - Sports - Sculpture</v>
      </c>
      <c r="J4886" s="2">
        <f t="shared" si="2"/>
        <v>983.33</v>
      </c>
      <c r="K4886" s="17">
        <f t="shared" si="3"/>
        <v>1</v>
      </c>
      <c r="L4886" s="18"/>
    </row>
    <row r="4887" hidden="1">
      <c r="A4887" s="2">
        <f>IFERROR(__xludf.DUMMYFUNCTION("""COMPUTED_VALUE"""),108904.0)</f>
        <v>108904</v>
      </c>
      <c r="B4887" s="2">
        <f>IFERROR(__xludf.DUMMYFUNCTION("""COMPUTED_VALUE"""),1.0)</f>
        <v>1</v>
      </c>
      <c r="C4887" s="2">
        <f>IFERROR(__xludf.DUMMYFUNCTION("""COMPUTED_VALUE"""),587.0)</f>
        <v>587</v>
      </c>
      <c r="D4887" s="3">
        <f>IFERROR(__xludf.DUMMYFUNCTION("""COMPUTED_VALUE"""),558.0)</f>
        <v>558</v>
      </c>
      <c r="E4887" s="1" t="str">
        <f t="array" ref="E4887">_xlfn.XLOOKUP(A4887,Product!A:A,Product!B:B,"Bulunamadı")</f>
        <v>Sports</v>
      </c>
      <c r="F4887" s="1" t="str">
        <f t="array" ref="F4887">_xlfn.XLOOKUP(A4887,Product!A:A,Product!C:C,"Bulunamadı")</f>
        <v>Sculpture</v>
      </c>
      <c r="G4887" s="2" t="str">
        <f t="array" ref="G4887">_xlfn.XLOOKUP(A4888,Product!A:A,Product!D:D,"Bulunamadı")</f>
        <v>Rivertree House</v>
      </c>
      <c r="H4887" s="2">
        <f t="array" ref="H4887">_xlfn.XLOOKUP(A4889,Product!A:A,Product!E:E,"Bulunamadı")</f>
        <v>5.51</v>
      </c>
      <c r="I4887" s="2" t="str">
        <f t="shared" si="1"/>
        <v>108904 - Sports - Sculpture</v>
      </c>
      <c r="J4887" s="2">
        <f t="shared" si="2"/>
        <v>3074.58</v>
      </c>
      <c r="K4887" s="17">
        <f t="shared" si="3"/>
        <v>1</v>
      </c>
      <c r="L4887" s="18"/>
    </row>
    <row r="4888" hidden="1">
      <c r="A4888" s="2">
        <f>IFERROR(__xludf.DUMMYFUNCTION("""COMPUTED_VALUE"""),113967.0)</f>
        <v>113967</v>
      </c>
      <c r="B4888" s="2">
        <f>IFERROR(__xludf.DUMMYFUNCTION("""COMPUTED_VALUE"""),1.0)</f>
        <v>1</v>
      </c>
      <c r="C4888" s="2">
        <f>IFERROR(__xludf.DUMMYFUNCTION("""COMPUTED_VALUE"""),840.0)</f>
        <v>840</v>
      </c>
      <c r="D4888" s="3">
        <f>IFERROR(__xludf.DUMMYFUNCTION("""COMPUTED_VALUE"""),92.0)</f>
        <v>92</v>
      </c>
      <c r="E4888" s="1" t="str">
        <f t="array" ref="E4888">_xlfn.XLOOKUP(A4888,Product!A:A,Product!B:B,"Bulunamadı")</f>
        <v>Sports</v>
      </c>
      <c r="F4888" s="1" t="str">
        <f t="array" ref="F4888">_xlfn.XLOOKUP(A4888,Product!A:A,Product!C:C,"Bulunamadı")</f>
        <v>Sculpture</v>
      </c>
      <c r="G4888" s="2" t="str">
        <f t="array" ref="G4888">_xlfn.XLOOKUP(A4889,Product!A:A,Product!D:D,"Bulunamadı")</f>
        <v>Irontree House</v>
      </c>
      <c r="H4888" s="2">
        <f t="array" ref="H4888">_xlfn.XLOOKUP(A4890,Product!A:A,Product!E:E,"Bulunamadı")</f>
        <v>7.67</v>
      </c>
      <c r="I4888" s="2" t="str">
        <f t="shared" si="1"/>
        <v>113967 - Sports - Sculpture</v>
      </c>
      <c r="J4888" s="2">
        <f t="shared" si="2"/>
        <v>705.64</v>
      </c>
      <c r="K4888" s="17">
        <f t="shared" si="3"/>
        <v>1</v>
      </c>
      <c r="L4888" s="18"/>
    </row>
    <row r="4889" hidden="1">
      <c r="A4889" s="2">
        <f>IFERROR(__xludf.DUMMYFUNCTION("""COMPUTED_VALUE"""),10145.0)</f>
        <v>10145</v>
      </c>
      <c r="B4889" s="2">
        <f>IFERROR(__xludf.DUMMYFUNCTION("""COMPUTED_VALUE"""),1.0)</f>
        <v>1</v>
      </c>
      <c r="C4889" s="2">
        <f>IFERROR(__xludf.DUMMYFUNCTION("""COMPUTED_VALUE"""),161.0)</f>
        <v>161</v>
      </c>
      <c r="D4889" s="3">
        <f>IFERROR(__xludf.DUMMYFUNCTION("""COMPUTED_VALUE"""),12.0)</f>
        <v>12</v>
      </c>
      <c r="E4889" s="1" t="str">
        <f t="array" ref="E4889">_xlfn.XLOOKUP(A4889,Product!A:A,Product!B:B,"Bulunamadı")</f>
        <v>Sports</v>
      </c>
      <c r="F4889" s="1" t="str">
        <f t="array" ref="F4889">_xlfn.XLOOKUP(A4889,Product!A:A,Product!C:C,"Bulunamadı")</f>
        <v>Sculpture</v>
      </c>
      <c r="G4889" s="2" t="str">
        <f t="array" ref="G4889">_xlfn.XLOOKUP(A4890,Product!A:A,Product!D:D,"Bulunamadı")</f>
        <v>Irontree House</v>
      </c>
      <c r="H4889" s="2">
        <f t="array" ref="H4889">_xlfn.XLOOKUP(A4891,Product!A:A,Product!E:E,"Bulunamadı")</f>
        <v>7.62</v>
      </c>
      <c r="I4889" s="2" t="str">
        <f t="shared" si="1"/>
        <v>10145 - Sports - Sculpture</v>
      </c>
      <c r="J4889" s="2">
        <f t="shared" si="2"/>
        <v>91.44</v>
      </c>
      <c r="K4889" s="17">
        <f t="shared" si="3"/>
        <v>1</v>
      </c>
      <c r="L4889" s="18"/>
    </row>
    <row r="4890" hidden="1">
      <c r="A4890" s="2">
        <f>IFERROR(__xludf.DUMMYFUNCTION("""COMPUTED_VALUE"""),116960.0)</f>
        <v>116960</v>
      </c>
      <c r="B4890" s="2">
        <f>IFERROR(__xludf.DUMMYFUNCTION("""COMPUTED_VALUE"""),1.0)</f>
        <v>1</v>
      </c>
      <c r="C4890" s="2">
        <f>IFERROR(__xludf.DUMMYFUNCTION("""COMPUTED_VALUE"""),813.0)</f>
        <v>813</v>
      </c>
      <c r="D4890" s="3">
        <f>IFERROR(__xludf.DUMMYFUNCTION("""COMPUTED_VALUE"""),395.0)</f>
        <v>395</v>
      </c>
      <c r="E4890" s="1" t="str">
        <f t="array" ref="E4890">_xlfn.XLOOKUP(A4890,Product!A:A,Product!B:B,"Bulunamadı")</f>
        <v>Sports</v>
      </c>
      <c r="F4890" s="1" t="str">
        <f t="array" ref="F4890">_xlfn.XLOOKUP(A4890,Product!A:A,Product!C:C,"Bulunamadı")</f>
        <v>Sculpture</v>
      </c>
      <c r="G4890" s="2" t="str">
        <f t="array" ref="G4890">_xlfn.XLOOKUP(A4891,Product!A:A,Product!D:D,"Bulunamadı")</f>
        <v>Irontree House</v>
      </c>
      <c r="H4890" s="2">
        <f t="array" ref="H4890">_xlfn.XLOOKUP(A4892,Product!A:A,Product!E:E,"Bulunamadı")</f>
        <v>7.29</v>
      </c>
      <c r="I4890" s="2" t="str">
        <f t="shared" si="1"/>
        <v>116960 - Sports - Sculpture</v>
      </c>
      <c r="J4890" s="2">
        <f t="shared" si="2"/>
        <v>2879.55</v>
      </c>
      <c r="K4890" s="17">
        <f t="shared" si="3"/>
        <v>1</v>
      </c>
      <c r="L4890" s="18"/>
    </row>
    <row r="4891" hidden="1">
      <c r="A4891" s="2">
        <f>IFERROR(__xludf.DUMMYFUNCTION("""COMPUTED_VALUE"""),103663.0)</f>
        <v>103663</v>
      </c>
      <c r="B4891" s="2">
        <f>IFERROR(__xludf.DUMMYFUNCTION("""COMPUTED_VALUE"""),0.0)</f>
        <v>0</v>
      </c>
      <c r="C4891" s="2">
        <f>IFERROR(__xludf.DUMMYFUNCTION("""COMPUTED_VALUE"""),85.0)</f>
        <v>85</v>
      </c>
      <c r="D4891" s="3">
        <f>IFERROR(__xludf.DUMMYFUNCTION("""COMPUTED_VALUE"""),74.0)</f>
        <v>74</v>
      </c>
      <c r="E4891" s="1" t="str">
        <f t="array" ref="E4891">_xlfn.XLOOKUP(A4891,Product!A:A,Product!B:B,"Bulunamadı")</f>
        <v>Sports</v>
      </c>
      <c r="F4891" s="1" t="str">
        <f t="array" ref="F4891">_xlfn.XLOOKUP(A4891,Product!A:A,Product!C:C,"Bulunamadı")</f>
        <v>Sculpture</v>
      </c>
      <c r="G4891" s="2" t="str">
        <f t="array" ref="G4891">_xlfn.XLOOKUP(A4892,Product!A:A,Product!D:D,"Bulunamadı")</f>
        <v>Irontree House</v>
      </c>
      <c r="H4891" s="2">
        <f t="array" ref="H4891">_xlfn.XLOOKUP(A4893,Product!A:A,Product!E:E,"Bulunamadı")</f>
        <v>6.27</v>
      </c>
      <c r="I4891" s="2" t="str">
        <f t="shared" si="1"/>
        <v>103663 - Sports - Sculpture</v>
      </c>
      <c r="J4891" s="2">
        <f t="shared" si="2"/>
        <v>463.98</v>
      </c>
      <c r="K4891" s="17">
        <f t="shared" si="3"/>
        <v>1</v>
      </c>
      <c r="L4891" s="18"/>
    </row>
    <row r="4892" hidden="1">
      <c r="A4892" s="2">
        <f>IFERROR(__xludf.DUMMYFUNCTION("""COMPUTED_VALUE"""),45983.0)</f>
        <v>45983</v>
      </c>
      <c r="B4892" s="2">
        <f>IFERROR(__xludf.DUMMYFUNCTION("""COMPUTED_VALUE"""),0.0)</f>
        <v>0</v>
      </c>
      <c r="C4892" s="2">
        <f>IFERROR(__xludf.DUMMYFUNCTION("""COMPUTED_VALUE"""),402.0)</f>
        <v>402</v>
      </c>
      <c r="D4892" s="3">
        <f>IFERROR(__xludf.DUMMYFUNCTION("""COMPUTED_VALUE"""),333.0)</f>
        <v>333</v>
      </c>
      <c r="E4892" s="1" t="str">
        <f t="array" ref="E4892">_xlfn.XLOOKUP(A4892,Product!A:A,Product!B:B,"Bulunamadı")</f>
        <v>Sports</v>
      </c>
      <c r="F4892" s="1" t="str">
        <f t="array" ref="F4892">_xlfn.XLOOKUP(A4892,Product!A:A,Product!C:C,"Bulunamadı")</f>
        <v>Sculpture</v>
      </c>
      <c r="G4892" s="2" t="str">
        <f t="array" ref="G4892">_xlfn.XLOOKUP(A4893,Product!A:A,Product!D:D,"Bulunamadı")</f>
        <v>Irontree House</v>
      </c>
      <c r="H4892" s="2">
        <f t="array" ref="H4892">_xlfn.XLOOKUP(A4894,Product!A:A,Product!E:E,"Bulunamadı")</f>
        <v>6.59</v>
      </c>
      <c r="I4892" s="2" t="str">
        <f t="shared" si="1"/>
        <v>45983 - Sports - Sculpture</v>
      </c>
      <c r="J4892" s="2">
        <f t="shared" si="2"/>
        <v>2194.47</v>
      </c>
      <c r="K4892" s="17">
        <f t="shared" si="3"/>
        <v>1</v>
      </c>
      <c r="L4892" s="18"/>
    </row>
    <row r="4893" hidden="1">
      <c r="A4893" s="2">
        <f>IFERROR(__xludf.DUMMYFUNCTION("""COMPUTED_VALUE"""),103662.0)</f>
        <v>103662</v>
      </c>
      <c r="B4893" s="2">
        <f>IFERROR(__xludf.DUMMYFUNCTION("""COMPUTED_VALUE"""),0.0)</f>
        <v>0</v>
      </c>
      <c r="C4893" s="2">
        <f>IFERROR(__xludf.DUMMYFUNCTION("""COMPUTED_VALUE"""),367.0)</f>
        <v>367</v>
      </c>
      <c r="D4893" s="3">
        <f>IFERROR(__xludf.DUMMYFUNCTION("""COMPUTED_VALUE"""),245.0)</f>
        <v>245</v>
      </c>
      <c r="E4893" s="1" t="str">
        <f t="array" ref="E4893">_xlfn.XLOOKUP(A4893,Product!A:A,Product!B:B,"Bulunamadı")</f>
        <v>Sports</v>
      </c>
      <c r="F4893" s="1" t="str">
        <f t="array" ref="F4893">_xlfn.XLOOKUP(A4893,Product!A:A,Product!C:C,"Bulunamadı")</f>
        <v>Sculpture</v>
      </c>
      <c r="G4893" s="2" t="str">
        <f t="array" ref="G4893">_xlfn.XLOOKUP(A4894,Product!A:A,Product!D:D,"Bulunamadı")</f>
        <v>Irontree House</v>
      </c>
      <c r="H4893" s="2">
        <f t="array" ref="H4893">_xlfn.XLOOKUP(A4895,Product!A:A,Product!E:E,"Bulunamadı")</f>
        <v>5.84</v>
      </c>
      <c r="I4893" s="2" t="str">
        <f t="shared" si="1"/>
        <v>103662 - Sports - Sculpture</v>
      </c>
      <c r="J4893" s="2">
        <f t="shared" si="2"/>
        <v>1430.8</v>
      </c>
      <c r="K4893" s="17">
        <f t="shared" si="3"/>
        <v>1</v>
      </c>
      <c r="L4893" s="18"/>
    </row>
    <row r="4894" hidden="1">
      <c r="A4894" s="2">
        <f>IFERROR(__xludf.DUMMYFUNCTION("""COMPUTED_VALUE"""),78318.0)</f>
        <v>78318</v>
      </c>
      <c r="B4894" s="2">
        <f>IFERROR(__xludf.DUMMYFUNCTION("""COMPUTED_VALUE"""),0.0)</f>
        <v>0</v>
      </c>
      <c r="C4894" s="2">
        <f>IFERROR(__xludf.DUMMYFUNCTION("""COMPUTED_VALUE"""),899.0)</f>
        <v>899</v>
      </c>
      <c r="D4894" s="3">
        <f>IFERROR(__xludf.DUMMYFUNCTION("""COMPUTED_VALUE"""),519.0)</f>
        <v>519</v>
      </c>
      <c r="E4894" s="1" t="str">
        <f t="array" ref="E4894">_xlfn.XLOOKUP(A4894,Product!A:A,Product!B:B,"Bulunamadı")</f>
        <v>Sports</v>
      </c>
      <c r="F4894" s="1" t="str">
        <f t="array" ref="F4894">_xlfn.XLOOKUP(A4894,Product!A:A,Product!C:C,"Bulunamadı")</f>
        <v>Sculpture</v>
      </c>
      <c r="G4894" s="2" t="str">
        <f t="array" ref="G4894">_xlfn.XLOOKUP(A4895,Product!A:A,Product!D:D,"Bulunamadı")</f>
        <v>Irontree House</v>
      </c>
      <c r="H4894" s="2">
        <f t="array" ref="H4894">_xlfn.XLOOKUP(A4896,Product!A:A,Product!E:E,"Bulunamadı")</f>
        <v>6.61</v>
      </c>
      <c r="I4894" s="2" t="str">
        <f t="shared" si="1"/>
        <v>78318 - Sports - Sculpture</v>
      </c>
      <c r="J4894" s="2">
        <f t="shared" si="2"/>
        <v>3430.59</v>
      </c>
      <c r="K4894" s="17">
        <f t="shared" si="3"/>
        <v>1</v>
      </c>
      <c r="L4894" s="18"/>
    </row>
    <row r="4895" hidden="1">
      <c r="A4895" s="2">
        <f>IFERROR(__xludf.DUMMYFUNCTION("""COMPUTED_VALUE"""),120179.0)</f>
        <v>120179</v>
      </c>
      <c r="B4895" s="2">
        <f>IFERROR(__xludf.DUMMYFUNCTION("""COMPUTED_VALUE"""),1.0)</f>
        <v>1</v>
      </c>
      <c r="C4895" s="2">
        <f>IFERROR(__xludf.DUMMYFUNCTION("""COMPUTED_VALUE"""),913.0)</f>
        <v>913</v>
      </c>
      <c r="D4895" s="3">
        <f>IFERROR(__xludf.DUMMYFUNCTION("""COMPUTED_VALUE"""),704.0)</f>
        <v>704</v>
      </c>
      <c r="E4895" s="1" t="str">
        <f t="array" ref="E4895">_xlfn.XLOOKUP(A4895,Product!A:A,Product!B:B,"Bulunamadı")</f>
        <v>Sports</v>
      </c>
      <c r="F4895" s="1" t="str">
        <f t="array" ref="F4895">_xlfn.XLOOKUP(A4895,Product!A:A,Product!C:C,"Bulunamadı")</f>
        <v>Sculpture</v>
      </c>
      <c r="G4895" s="2" t="str">
        <f t="array" ref="G4895">_xlfn.XLOOKUP(A4896,Product!A:A,Product!D:D,"Bulunamadı")</f>
        <v>Irontree House</v>
      </c>
      <c r="H4895" s="2">
        <f t="array" ref="H4895">_xlfn.XLOOKUP(A4897,Product!A:A,Product!E:E,"Bulunamadı")</f>
        <v>5.9</v>
      </c>
      <c r="I4895" s="2" t="str">
        <f t="shared" si="1"/>
        <v>120179 - Sports - Sculpture</v>
      </c>
      <c r="J4895" s="2">
        <f t="shared" si="2"/>
        <v>4153.6</v>
      </c>
      <c r="K4895" s="17">
        <f t="shared" si="3"/>
        <v>1</v>
      </c>
      <c r="L4895" s="18"/>
    </row>
    <row r="4896" hidden="1">
      <c r="A4896" s="2">
        <f>IFERROR(__xludf.DUMMYFUNCTION("""COMPUTED_VALUE"""),10144.0)</f>
        <v>10144</v>
      </c>
      <c r="B4896" s="2">
        <f>IFERROR(__xludf.DUMMYFUNCTION("""COMPUTED_VALUE"""),1.0)</f>
        <v>1</v>
      </c>
      <c r="C4896" s="2">
        <f>IFERROR(__xludf.DUMMYFUNCTION("""COMPUTED_VALUE"""),899.0)</f>
        <v>899</v>
      </c>
      <c r="D4896" s="3">
        <f>IFERROR(__xludf.DUMMYFUNCTION("""COMPUTED_VALUE"""),435.0)</f>
        <v>435</v>
      </c>
      <c r="E4896" s="1" t="str">
        <f t="array" ref="E4896">_xlfn.XLOOKUP(A4896,Product!A:A,Product!B:B,"Bulunamadı")</f>
        <v>Sports</v>
      </c>
      <c r="F4896" s="1" t="str">
        <f t="array" ref="F4896">_xlfn.XLOOKUP(A4896,Product!A:A,Product!C:C,"Bulunamadı")</f>
        <v>Sculpture</v>
      </c>
      <c r="G4896" s="2" t="str">
        <f t="array" ref="G4896">_xlfn.XLOOKUP(A4897,Product!A:A,Product!D:D,"Bulunamadı")</f>
        <v>Irontree House</v>
      </c>
      <c r="H4896" s="2">
        <f t="array" ref="H4896">_xlfn.XLOOKUP(A4898,Product!A:A,Product!E:E,"Bulunamadı")</f>
        <v>5.74</v>
      </c>
      <c r="I4896" s="2" t="str">
        <f t="shared" si="1"/>
        <v>10144 - Sports - Sculpture</v>
      </c>
      <c r="J4896" s="2">
        <f t="shared" si="2"/>
        <v>2496.9</v>
      </c>
      <c r="K4896" s="17">
        <f t="shared" si="3"/>
        <v>1</v>
      </c>
      <c r="L4896" s="18"/>
    </row>
    <row r="4897" hidden="1">
      <c r="A4897" s="2">
        <f>IFERROR(__xludf.DUMMYFUNCTION("""COMPUTED_VALUE"""),78304.0)</f>
        <v>78304</v>
      </c>
      <c r="B4897" s="2">
        <f>IFERROR(__xludf.DUMMYFUNCTION("""COMPUTED_VALUE"""),1.0)</f>
        <v>1</v>
      </c>
      <c r="C4897" s="2">
        <f>IFERROR(__xludf.DUMMYFUNCTION("""COMPUTED_VALUE"""),161.0)</f>
        <v>161</v>
      </c>
      <c r="D4897" s="3">
        <f>IFERROR(__xludf.DUMMYFUNCTION("""COMPUTED_VALUE"""),110.0)</f>
        <v>110</v>
      </c>
      <c r="E4897" s="1" t="str">
        <f t="array" ref="E4897">_xlfn.XLOOKUP(A4897,Product!A:A,Product!B:B,"Bulunamadı")</f>
        <v>Sports</v>
      </c>
      <c r="F4897" s="1" t="str">
        <f t="array" ref="F4897">_xlfn.XLOOKUP(A4897,Product!A:A,Product!C:C,"Bulunamadı")</f>
        <v>Sculpture</v>
      </c>
      <c r="G4897" s="2" t="str">
        <f t="array" ref="G4897">_xlfn.XLOOKUP(A4898,Product!A:A,Product!D:D,"Bulunamadı")</f>
        <v>Irontree House</v>
      </c>
      <c r="H4897" s="2">
        <f t="array" ref="H4897">_xlfn.XLOOKUP(A4899,Product!A:A,Product!E:E,"Bulunamadı")</f>
        <v>7.88</v>
      </c>
      <c r="I4897" s="2" t="str">
        <f t="shared" si="1"/>
        <v>78304 - Sports - Sculpture</v>
      </c>
      <c r="J4897" s="2">
        <f t="shared" si="2"/>
        <v>866.8</v>
      </c>
      <c r="K4897" s="17">
        <f t="shared" si="3"/>
        <v>1</v>
      </c>
      <c r="L4897" s="18"/>
    </row>
    <row r="4898" hidden="1">
      <c r="A4898" s="2">
        <f>IFERROR(__xludf.DUMMYFUNCTION("""COMPUTED_VALUE"""),86598.0)</f>
        <v>86598</v>
      </c>
      <c r="B4898" s="2">
        <f>IFERROR(__xludf.DUMMYFUNCTION("""COMPUTED_VALUE"""),0.0)</f>
        <v>0</v>
      </c>
      <c r="C4898" s="2">
        <f>IFERROR(__xludf.DUMMYFUNCTION("""COMPUTED_VALUE"""),184.0)</f>
        <v>184</v>
      </c>
      <c r="D4898" s="3">
        <f>IFERROR(__xludf.DUMMYFUNCTION("""COMPUTED_VALUE"""),61.0)</f>
        <v>61</v>
      </c>
      <c r="E4898" s="1" t="str">
        <f t="array" ref="E4898">_xlfn.XLOOKUP(A4898,Product!A:A,Product!B:B,"Bulunamadı")</f>
        <v>Sports</v>
      </c>
      <c r="F4898" s="1" t="str">
        <f t="array" ref="F4898">_xlfn.XLOOKUP(A4898,Product!A:A,Product!C:C,"Bulunamadı")</f>
        <v>Sculpture</v>
      </c>
      <c r="G4898" s="2" t="str">
        <f t="array" ref="G4898">_xlfn.XLOOKUP(A4899,Product!A:A,Product!D:D,"Bulunamadı")</f>
        <v>Irontree House</v>
      </c>
      <c r="H4898" s="2">
        <f t="array" ref="H4898">_xlfn.XLOOKUP(A4900,Product!A:A,Product!E:E,"Bulunamadı")</f>
        <v>2.17</v>
      </c>
      <c r="I4898" s="2" t="str">
        <f t="shared" si="1"/>
        <v>86598 - Sports - Sculpture</v>
      </c>
      <c r="J4898" s="2">
        <f t="shared" si="2"/>
        <v>132.37</v>
      </c>
      <c r="K4898" s="17">
        <f t="shared" si="3"/>
        <v>1</v>
      </c>
      <c r="L4898" s="18"/>
    </row>
    <row r="4899" hidden="1">
      <c r="A4899" s="2">
        <f>IFERROR(__xludf.DUMMYFUNCTION("""COMPUTED_VALUE"""),103665.0)</f>
        <v>103665</v>
      </c>
      <c r="B4899" s="2">
        <f>IFERROR(__xludf.DUMMYFUNCTION("""COMPUTED_VALUE"""),1.0)</f>
        <v>1</v>
      </c>
      <c r="C4899" s="2">
        <f>IFERROR(__xludf.DUMMYFUNCTION("""COMPUTED_VALUE"""),614.0)</f>
        <v>614</v>
      </c>
      <c r="D4899" s="3">
        <f>IFERROR(__xludf.DUMMYFUNCTION("""COMPUTED_VALUE"""),368.0)</f>
        <v>368</v>
      </c>
      <c r="E4899" s="1" t="str">
        <f t="array" ref="E4899">_xlfn.XLOOKUP(A4899,Product!A:A,Product!B:B,"Bulunamadı")</f>
        <v>Sports</v>
      </c>
      <c r="F4899" s="1" t="str">
        <f t="array" ref="F4899">_xlfn.XLOOKUP(A4899,Product!A:A,Product!C:C,"Bulunamadı")</f>
        <v>Sculpture</v>
      </c>
      <c r="G4899" s="2" t="str">
        <f t="array" ref="G4899">_xlfn.XLOOKUP(A4900,Product!A:A,Product!D:D,"Bulunamadı")</f>
        <v>Silverforge House</v>
      </c>
      <c r="H4899" s="2">
        <f t="array" ref="H4899">_xlfn.XLOOKUP(A4901,Product!A:A,Product!E:E,"Bulunamadı")</f>
        <v>11.19</v>
      </c>
      <c r="I4899" s="2" t="str">
        <f t="shared" si="1"/>
        <v>103665 - Sports - Sculpture</v>
      </c>
      <c r="J4899" s="2">
        <f t="shared" si="2"/>
        <v>4117.92</v>
      </c>
      <c r="K4899" s="17">
        <f t="shared" si="3"/>
        <v>1</v>
      </c>
      <c r="L4899" s="18"/>
    </row>
    <row r="4900" hidden="1">
      <c r="A4900" s="2">
        <f>IFERROR(__xludf.DUMMYFUNCTION("""COMPUTED_VALUE"""),77771.0)</f>
        <v>77771</v>
      </c>
      <c r="B4900" s="2">
        <f>IFERROR(__xludf.DUMMYFUNCTION("""COMPUTED_VALUE"""),0.0)</f>
        <v>0</v>
      </c>
      <c r="C4900" s="2">
        <f>IFERROR(__xludf.DUMMYFUNCTION("""COMPUTED_VALUE"""),283.0)</f>
        <v>283</v>
      </c>
      <c r="D4900" s="3">
        <f>IFERROR(__xludf.DUMMYFUNCTION("""COMPUTED_VALUE"""),8.0)</f>
        <v>8</v>
      </c>
      <c r="E4900" s="1" t="str">
        <f t="array" ref="E4900">_xlfn.XLOOKUP(A4900,Product!A:A,Product!B:B,"Bulunamadı")</f>
        <v>Sports</v>
      </c>
      <c r="F4900" s="1" t="str">
        <f t="array" ref="F4900">_xlfn.XLOOKUP(A4900,Product!A:A,Product!C:C,"Bulunamadı")</f>
        <v>Sculpture</v>
      </c>
      <c r="G4900" s="2" t="str">
        <f t="array" ref="G4900">_xlfn.XLOOKUP(A4901,Product!A:A,Product!D:D,"Bulunamadı")</f>
        <v>Silverforge House</v>
      </c>
      <c r="H4900" s="2">
        <f t="array" ref="H4900">_xlfn.XLOOKUP(A4902,Product!A:A,Product!E:E,"Bulunamadı")</f>
        <v>7.42</v>
      </c>
      <c r="I4900" s="2" t="str">
        <f t="shared" si="1"/>
        <v>77771 - Sports - Sculpture</v>
      </c>
      <c r="J4900" s="2">
        <f t="shared" si="2"/>
        <v>59.36</v>
      </c>
      <c r="K4900" s="17">
        <f t="shared" si="3"/>
        <v>1</v>
      </c>
      <c r="L4900" s="18"/>
    </row>
    <row r="4901" hidden="1">
      <c r="A4901" s="2">
        <f>IFERROR(__xludf.DUMMYFUNCTION("""COMPUTED_VALUE"""),116798.0)</f>
        <v>116798</v>
      </c>
      <c r="B4901" s="2">
        <f>IFERROR(__xludf.DUMMYFUNCTION("""COMPUTED_VALUE"""),1.0)</f>
        <v>1</v>
      </c>
      <c r="C4901" s="2">
        <f>IFERROR(__xludf.DUMMYFUNCTION("""COMPUTED_VALUE"""),553.0)</f>
        <v>553</v>
      </c>
      <c r="D4901" s="3">
        <f>IFERROR(__xludf.DUMMYFUNCTION("""COMPUTED_VALUE"""),64.0)</f>
        <v>64</v>
      </c>
      <c r="E4901" s="1" t="str">
        <f t="array" ref="E4901">_xlfn.XLOOKUP(A4901,Product!A:A,Product!B:B,"Bulunamadı")</f>
        <v>Sports</v>
      </c>
      <c r="F4901" s="1" t="str">
        <f t="array" ref="F4901">_xlfn.XLOOKUP(A4901,Product!A:A,Product!C:C,"Bulunamadı")</f>
        <v>Sculpture</v>
      </c>
      <c r="G4901" s="2" t="str">
        <f t="array" ref="G4901">_xlfn.XLOOKUP(A4902,Product!A:A,Product!D:D,"Bulunamadı")</f>
        <v>Silverforge House</v>
      </c>
      <c r="H4901" s="2">
        <f t="array" ref="H4901">_xlfn.XLOOKUP(A4903,Product!A:A,Product!E:E,"Bulunamadı")</f>
        <v>10.15</v>
      </c>
      <c r="I4901" s="2" t="str">
        <f t="shared" si="1"/>
        <v>116798 - Sports - Sculpture</v>
      </c>
      <c r="J4901" s="2">
        <f t="shared" si="2"/>
        <v>649.6</v>
      </c>
      <c r="K4901" s="17">
        <f t="shared" si="3"/>
        <v>1</v>
      </c>
      <c r="L4901" s="18"/>
    </row>
    <row r="4902" hidden="1">
      <c r="A4902" s="2">
        <f>IFERROR(__xludf.DUMMYFUNCTION("""COMPUTED_VALUE"""),100610.0)</f>
        <v>100610</v>
      </c>
      <c r="B4902" s="2">
        <f>IFERROR(__xludf.DUMMYFUNCTION("""COMPUTED_VALUE"""),0.0)</f>
        <v>0</v>
      </c>
      <c r="C4902" s="2">
        <f>IFERROR(__xludf.DUMMYFUNCTION("""COMPUTED_VALUE"""),316.0)</f>
        <v>316</v>
      </c>
      <c r="D4902" s="3">
        <f>IFERROR(__xludf.DUMMYFUNCTION("""COMPUTED_VALUE"""),138.0)</f>
        <v>138</v>
      </c>
      <c r="E4902" s="1" t="str">
        <f t="array" ref="E4902">_xlfn.XLOOKUP(A4902,Product!A:A,Product!B:B,"Bulunamadı")</f>
        <v>Sports</v>
      </c>
      <c r="F4902" s="1" t="str">
        <f t="array" ref="F4902">_xlfn.XLOOKUP(A4902,Product!A:A,Product!C:C,"Bulunamadı")</f>
        <v>Sculpture</v>
      </c>
      <c r="G4902" s="2" t="str">
        <f t="array" ref="G4902">_xlfn.XLOOKUP(A4903,Product!A:A,Product!D:D,"Bulunamadı")</f>
        <v>Silverforge House</v>
      </c>
      <c r="H4902" s="2">
        <f t="array" ref="H4902">_xlfn.XLOOKUP(A4904,Product!A:A,Product!E:E,"Bulunamadı")</f>
        <v>6.11</v>
      </c>
      <c r="I4902" s="2" t="str">
        <f t="shared" si="1"/>
        <v>100610 - Sports - Sculpture</v>
      </c>
      <c r="J4902" s="2">
        <f t="shared" si="2"/>
        <v>843.18</v>
      </c>
      <c r="K4902" s="17">
        <f t="shared" si="3"/>
        <v>1</v>
      </c>
      <c r="L4902" s="18"/>
    </row>
    <row r="4903" hidden="1">
      <c r="A4903" s="2">
        <f>IFERROR(__xludf.DUMMYFUNCTION("""COMPUTED_VALUE"""),77772.0)</f>
        <v>77772</v>
      </c>
      <c r="B4903" s="2">
        <f>IFERROR(__xludf.DUMMYFUNCTION("""COMPUTED_VALUE"""),1.0)</f>
        <v>1</v>
      </c>
      <c r="C4903" s="2">
        <f>IFERROR(__xludf.DUMMYFUNCTION("""COMPUTED_VALUE"""),15.0)</f>
        <v>15</v>
      </c>
      <c r="D4903" s="3">
        <f>IFERROR(__xludf.DUMMYFUNCTION("""COMPUTED_VALUE"""),1.0)</f>
        <v>1</v>
      </c>
      <c r="E4903" s="1" t="str">
        <f t="array" ref="E4903">_xlfn.XLOOKUP(A4903,Product!A:A,Product!B:B,"Bulunamadı")</f>
        <v>Sports</v>
      </c>
      <c r="F4903" s="1" t="str">
        <f t="array" ref="F4903">_xlfn.XLOOKUP(A4903,Product!A:A,Product!C:C,"Bulunamadı")</f>
        <v>Sculpture</v>
      </c>
      <c r="G4903" s="2" t="str">
        <f t="array" ref="G4903">_xlfn.XLOOKUP(A4904,Product!A:A,Product!D:D,"Bulunamadı")</f>
        <v>Silverforge House</v>
      </c>
      <c r="H4903" s="2">
        <f t="array" ref="H4903">_xlfn.XLOOKUP(A4905,Product!A:A,Product!E:E,"Bulunamadı")</f>
        <v>7.89</v>
      </c>
      <c r="I4903" s="2" t="str">
        <f t="shared" si="1"/>
        <v>77772 - Sports - Sculpture</v>
      </c>
      <c r="J4903" s="2">
        <f t="shared" si="2"/>
        <v>7.89</v>
      </c>
      <c r="K4903" s="17">
        <f t="shared" si="3"/>
        <v>1</v>
      </c>
      <c r="L4903" s="18"/>
    </row>
    <row r="4904" hidden="1">
      <c r="A4904" s="2">
        <f>IFERROR(__xludf.DUMMYFUNCTION("""COMPUTED_VALUE"""),119914.0)</f>
        <v>119914</v>
      </c>
      <c r="B4904" s="2">
        <f>IFERROR(__xludf.DUMMYFUNCTION("""COMPUTED_VALUE"""),0.0)</f>
        <v>0</v>
      </c>
      <c r="C4904" s="2">
        <f>IFERROR(__xludf.DUMMYFUNCTION("""COMPUTED_VALUE"""),718.0)</f>
        <v>718</v>
      </c>
      <c r="D4904" s="3">
        <f>IFERROR(__xludf.DUMMYFUNCTION("""COMPUTED_VALUE"""),366.0)</f>
        <v>366</v>
      </c>
      <c r="E4904" s="1" t="str">
        <f t="array" ref="E4904">_xlfn.XLOOKUP(A4904,Product!A:A,Product!B:B,"Bulunamadı")</f>
        <v>Sports</v>
      </c>
      <c r="F4904" s="1" t="str">
        <f t="array" ref="F4904">_xlfn.XLOOKUP(A4904,Product!A:A,Product!C:C,"Bulunamadı")</f>
        <v>Sculpture</v>
      </c>
      <c r="G4904" s="2" t="str">
        <f t="array" ref="G4904">_xlfn.XLOOKUP(A4905,Product!A:A,Product!D:D,"Bulunamadı")</f>
        <v>Northforge House</v>
      </c>
      <c r="H4904" s="2">
        <f t="array" ref="H4904">_xlfn.XLOOKUP(A4906,Product!A:A,Product!E:E,"Bulunamadı")</f>
        <v>7.72</v>
      </c>
      <c r="I4904" s="2" t="str">
        <f t="shared" si="1"/>
        <v>119914 - Sports - Sculpture</v>
      </c>
      <c r="J4904" s="2">
        <f t="shared" si="2"/>
        <v>2825.52</v>
      </c>
      <c r="K4904" s="17">
        <f t="shared" si="3"/>
        <v>1</v>
      </c>
      <c r="L4904" s="18"/>
    </row>
    <row r="4905" hidden="1">
      <c r="A4905" s="2">
        <f>IFERROR(__xludf.DUMMYFUNCTION("""COMPUTED_VALUE"""),88495.0)</f>
        <v>88495</v>
      </c>
      <c r="B4905" s="2">
        <f>IFERROR(__xludf.DUMMYFUNCTION("""COMPUTED_VALUE"""),0.0)</f>
        <v>0</v>
      </c>
      <c r="C4905" s="2">
        <f>IFERROR(__xludf.DUMMYFUNCTION("""COMPUTED_VALUE"""),888.0)</f>
        <v>888</v>
      </c>
      <c r="D4905" s="3">
        <f>IFERROR(__xludf.DUMMYFUNCTION("""COMPUTED_VALUE"""),125.0)</f>
        <v>125</v>
      </c>
      <c r="E4905" s="1" t="str">
        <f t="array" ref="E4905">_xlfn.XLOOKUP(A4905,Product!A:A,Product!B:B,"Bulunamadı")</f>
        <v>Sports</v>
      </c>
      <c r="F4905" s="1" t="str">
        <f t="array" ref="F4905">_xlfn.XLOOKUP(A4905,Product!A:A,Product!C:C,"Bulunamadı")</f>
        <v>Sculpture</v>
      </c>
      <c r="G4905" s="2" t="str">
        <f t="array" ref="G4905">_xlfn.XLOOKUP(A4906,Product!A:A,Product!D:D,"Bulunamadı")</f>
        <v>Northforge House</v>
      </c>
      <c r="H4905" s="2">
        <f t="array" ref="H4905">_xlfn.XLOOKUP(A4907,Product!A:A,Product!E:E,"Bulunamadı")</f>
        <v>4.19</v>
      </c>
      <c r="I4905" s="2" t="str">
        <f t="shared" si="1"/>
        <v>88495 - Sports - Sculpture</v>
      </c>
      <c r="J4905" s="2">
        <f t="shared" si="2"/>
        <v>523.75</v>
      </c>
      <c r="K4905" s="17">
        <f t="shared" si="3"/>
        <v>1</v>
      </c>
      <c r="L4905" s="18"/>
    </row>
    <row r="4906" hidden="1">
      <c r="A4906" s="2">
        <f>IFERROR(__xludf.DUMMYFUNCTION("""COMPUTED_VALUE"""),88487.0)</f>
        <v>88487</v>
      </c>
      <c r="B4906" s="2">
        <f>IFERROR(__xludf.DUMMYFUNCTION("""COMPUTED_VALUE"""),1.0)</f>
        <v>1</v>
      </c>
      <c r="C4906" s="2">
        <f>IFERROR(__xludf.DUMMYFUNCTION("""COMPUTED_VALUE"""),343.0)</f>
        <v>343</v>
      </c>
      <c r="D4906" s="3">
        <f>IFERROR(__xludf.DUMMYFUNCTION("""COMPUTED_VALUE"""),265.0)</f>
        <v>265</v>
      </c>
      <c r="E4906" s="1" t="str">
        <f t="array" ref="E4906">_xlfn.XLOOKUP(A4906,Product!A:A,Product!B:B,"Bulunamadı")</f>
        <v>Sports</v>
      </c>
      <c r="F4906" s="1" t="str">
        <f t="array" ref="F4906">_xlfn.XLOOKUP(A4906,Product!A:A,Product!C:C,"Bulunamadı")</f>
        <v>Sculpture</v>
      </c>
      <c r="G4906" s="2" t="str">
        <f t="array" ref="G4906">_xlfn.XLOOKUP(A4907,Product!A:A,Product!D:D,"Bulunamadı")</f>
        <v>Northforge House</v>
      </c>
      <c r="H4906" s="2">
        <f t="array" ref="H4906">_xlfn.XLOOKUP(A4908,Product!A:A,Product!E:E,"Bulunamadı")</f>
        <v>8.51</v>
      </c>
      <c r="I4906" s="2" t="str">
        <f t="shared" si="1"/>
        <v>88487 - Sports - Sculpture</v>
      </c>
      <c r="J4906" s="2">
        <f t="shared" si="2"/>
        <v>2255.15</v>
      </c>
      <c r="K4906" s="17">
        <f t="shared" si="3"/>
        <v>1</v>
      </c>
      <c r="L4906" s="18"/>
    </row>
    <row r="4907" hidden="1">
      <c r="A4907" s="2">
        <f>IFERROR(__xludf.DUMMYFUNCTION("""COMPUTED_VALUE"""),109488.0)</f>
        <v>109488</v>
      </c>
      <c r="B4907" s="2">
        <f>IFERROR(__xludf.DUMMYFUNCTION("""COMPUTED_VALUE"""),0.0)</f>
        <v>0</v>
      </c>
      <c r="C4907" s="2">
        <f>IFERROR(__xludf.DUMMYFUNCTION("""COMPUTED_VALUE"""),623.0)</f>
        <v>623</v>
      </c>
      <c r="D4907" s="3">
        <f>IFERROR(__xludf.DUMMYFUNCTION("""COMPUTED_VALUE"""),414.0)</f>
        <v>414</v>
      </c>
      <c r="E4907" s="1" t="str">
        <f t="array" ref="E4907">_xlfn.XLOOKUP(A4907,Product!A:A,Product!B:B,"Bulunamadı")</f>
        <v>Sports</v>
      </c>
      <c r="F4907" s="1" t="str">
        <f t="array" ref="F4907">_xlfn.XLOOKUP(A4907,Product!A:A,Product!C:C,"Bulunamadı")</f>
        <v>Sculpture</v>
      </c>
      <c r="G4907" s="2" t="str">
        <f t="array" ref="G4907">_xlfn.XLOOKUP(A4908,Product!A:A,Product!D:D,"Bulunamadı")</f>
        <v>Harborforge House</v>
      </c>
      <c r="H4907" s="2">
        <f t="array" ref="H4907">_xlfn.XLOOKUP(A4909,Product!A:A,Product!E:E,"Bulunamadı")</f>
        <v>5.63</v>
      </c>
      <c r="I4907" s="2" t="str">
        <f t="shared" si="1"/>
        <v>109488 - Sports - Sculpture</v>
      </c>
      <c r="J4907" s="2">
        <f t="shared" si="2"/>
        <v>2330.82</v>
      </c>
      <c r="K4907" s="17">
        <f t="shared" si="3"/>
        <v>1</v>
      </c>
      <c r="L4907" s="18"/>
    </row>
    <row r="4908" hidden="1">
      <c r="A4908" s="2">
        <f>IFERROR(__xludf.DUMMYFUNCTION("""COMPUTED_VALUE"""),11401.0)</f>
        <v>11401</v>
      </c>
      <c r="B4908" s="2">
        <f>IFERROR(__xludf.DUMMYFUNCTION("""COMPUTED_VALUE"""),1.0)</f>
        <v>1</v>
      </c>
      <c r="C4908" s="2">
        <f>IFERROR(__xludf.DUMMYFUNCTION("""COMPUTED_VALUE"""),400.0)</f>
        <v>400</v>
      </c>
      <c r="D4908" s="3">
        <f>IFERROR(__xludf.DUMMYFUNCTION("""COMPUTED_VALUE"""),318.0)</f>
        <v>318</v>
      </c>
      <c r="E4908" s="1" t="str">
        <f t="array" ref="E4908">_xlfn.XLOOKUP(A4908,Product!A:A,Product!B:B,"Bulunamadı")</f>
        <v>Sports</v>
      </c>
      <c r="F4908" s="1" t="str">
        <f t="array" ref="F4908">_xlfn.XLOOKUP(A4908,Product!A:A,Product!C:C,"Bulunamadı")</f>
        <v>Sculpture</v>
      </c>
      <c r="G4908" s="2" t="str">
        <f t="array" ref="G4908">_xlfn.XLOOKUP(A4909,Product!A:A,Product!D:D,"Bulunamadı")</f>
        <v>Harborforge House</v>
      </c>
      <c r="H4908" s="2">
        <f t="array" ref="H4908">_xlfn.XLOOKUP(A4910,Product!A:A,Product!E:E,"Bulunamadı")</f>
        <v>5.99</v>
      </c>
      <c r="I4908" s="2" t="str">
        <f t="shared" si="1"/>
        <v>11401 - Sports - Sculpture</v>
      </c>
      <c r="J4908" s="2">
        <f t="shared" si="2"/>
        <v>1904.82</v>
      </c>
      <c r="K4908" s="17">
        <f t="shared" si="3"/>
        <v>1</v>
      </c>
      <c r="L4908" s="18"/>
    </row>
    <row r="4909" hidden="1">
      <c r="A4909" s="2">
        <f>IFERROR(__xludf.DUMMYFUNCTION("""COMPUTED_VALUE"""),45530.0)</f>
        <v>45530</v>
      </c>
      <c r="B4909" s="2">
        <f>IFERROR(__xludf.DUMMYFUNCTION("""COMPUTED_VALUE"""),1.0)</f>
        <v>1</v>
      </c>
      <c r="C4909" s="2">
        <f>IFERROR(__xludf.DUMMYFUNCTION("""COMPUTED_VALUE"""),387.0)</f>
        <v>387</v>
      </c>
      <c r="D4909" s="3">
        <f>IFERROR(__xludf.DUMMYFUNCTION("""COMPUTED_VALUE"""),346.0)</f>
        <v>346</v>
      </c>
      <c r="E4909" s="1" t="str">
        <f t="array" ref="E4909">_xlfn.XLOOKUP(A4909,Product!A:A,Product!B:B,"Bulunamadı")</f>
        <v>Sports</v>
      </c>
      <c r="F4909" s="1" t="str">
        <f t="array" ref="F4909">_xlfn.XLOOKUP(A4909,Product!A:A,Product!C:C,"Bulunamadı")</f>
        <v>Sculpture</v>
      </c>
      <c r="G4909" s="2" t="str">
        <f t="array" ref="G4909">_xlfn.XLOOKUP(A4910,Product!A:A,Product!D:D,"Bulunamadı")</f>
        <v>Harborforge House</v>
      </c>
      <c r="H4909" s="2">
        <f t="array" ref="H4909">_xlfn.XLOOKUP(A4911,Product!A:A,Product!E:E,"Bulunamadı")</f>
        <v>8.81</v>
      </c>
      <c r="I4909" s="2" t="str">
        <f t="shared" si="1"/>
        <v>45530 - Sports - Sculpture</v>
      </c>
      <c r="J4909" s="2">
        <f t="shared" si="2"/>
        <v>3048.26</v>
      </c>
      <c r="K4909" s="17">
        <f t="shared" si="3"/>
        <v>1</v>
      </c>
      <c r="L4909" s="18"/>
    </row>
    <row r="4910" hidden="1">
      <c r="A4910" s="2">
        <f>IFERROR(__xludf.DUMMYFUNCTION("""COMPUTED_VALUE"""),104426.0)</f>
        <v>104426</v>
      </c>
      <c r="B4910" s="2">
        <f>IFERROR(__xludf.DUMMYFUNCTION("""COMPUTED_VALUE"""),0.0)</f>
        <v>0</v>
      </c>
      <c r="C4910" s="2">
        <f>IFERROR(__xludf.DUMMYFUNCTION("""COMPUTED_VALUE"""),241.0)</f>
        <v>241</v>
      </c>
      <c r="D4910" s="3">
        <f>IFERROR(__xludf.DUMMYFUNCTION("""COMPUTED_VALUE"""),91.0)</f>
        <v>91</v>
      </c>
      <c r="E4910" s="1" t="str">
        <f t="array" ref="E4910">_xlfn.XLOOKUP(A4910,Product!A:A,Product!B:B,"Bulunamadı")</f>
        <v>Sports</v>
      </c>
      <c r="F4910" s="1" t="str">
        <f t="array" ref="F4910">_xlfn.XLOOKUP(A4910,Product!A:A,Product!C:C,"Bulunamadı")</f>
        <v>Sculpture</v>
      </c>
      <c r="G4910" s="2" t="str">
        <f t="array" ref="G4910">_xlfn.XLOOKUP(A4911,Product!A:A,Product!D:D,"Bulunamadı")</f>
        <v>Harborforge House</v>
      </c>
      <c r="H4910" s="2">
        <f t="array" ref="H4910">_xlfn.XLOOKUP(A4912,Product!A:A,Product!E:E,"Bulunamadı")</f>
        <v>8.33</v>
      </c>
      <c r="I4910" s="2" t="str">
        <f t="shared" si="1"/>
        <v>104426 - Sports - Sculpture</v>
      </c>
      <c r="J4910" s="2">
        <f t="shared" si="2"/>
        <v>758.03</v>
      </c>
      <c r="K4910" s="17">
        <f t="shared" si="3"/>
        <v>1</v>
      </c>
      <c r="L4910" s="18"/>
    </row>
    <row r="4911" hidden="1">
      <c r="A4911" s="2">
        <f>IFERROR(__xludf.DUMMYFUNCTION("""COMPUTED_VALUE"""),119827.0)</f>
        <v>119827</v>
      </c>
      <c r="B4911" s="2">
        <f>IFERROR(__xludf.DUMMYFUNCTION("""COMPUTED_VALUE"""),0.0)</f>
        <v>0</v>
      </c>
      <c r="C4911" s="2">
        <f>IFERROR(__xludf.DUMMYFUNCTION("""COMPUTED_VALUE"""),304.0)</f>
        <v>304</v>
      </c>
      <c r="D4911" s="3">
        <f>IFERROR(__xludf.DUMMYFUNCTION("""COMPUTED_VALUE"""),237.0)</f>
        <v>237</v>
      </c>
      <c r="E4911" s="1" t="str">
        <f t="array" ref="E4911">_xlfn.XLOOKUP(A4911,Product!A:A,Product!B:B,"Bulunamadı")</f>
        <v>Sports</v>
      </c>
      <c r="F4911" s="1" t="str">
        <f t="array" ref="F4911">_xlfn.XLOOKUP(A4911,Product!A:A,Product!C:C,"Bulunamadı")</f>
        <v>Sculpture</v>
      </c>
      <c r="G4911" s="2" t="str">
        <f t="array" ref="G4911">_xlfn.XLOOKUP(A4912,Product!A:A,Product!D:D,"Bulunamadı")</f>
        <v>Harborforge House</v>
      </c>
      <c r="H4911" s="2">
        <f t="array" ref="H4911">_xlfn.XLOOKUP(A4913,Product!A:A,Product!E:E,"Bulunamadı")</f>
        <v>4.56</v>
      </c>
      <c r="I4911" s="2" t="str">
        <f t="shared" si="1"/>
        <v>119827 - Sports - Sculpture</v>
      </c>
      <c r="J4911" s="2">
        <f t="shared" si="2"/>
        <v>1080.72</v>
      </c>
      <c r="K4911" s="17">
        <f t="shared" si="3"/>
        <v>1</v>
      </c>
      <c r="L4911" s="18"/>
    </row>
    <row r="4912" hidden="1">
      <c r="A4912" s="2">
        <f>IFERROR(__xludf.DUMMYFUNCTION("""COMPUTED_VALUE"""),104384.0)</f>
        <v>104384</v>
      </c>
      <c r="B4912" s="2">
        <f>IFERROR(__xludf.DUMMYFUNCTION("""COMPUTED_VALUE"""),1.0)</f>
        <v>1</v>
      </c>
      <c r="C4912" s="2">
        <f>IFERROR(__xludf.DUMMYFUNCTION("""COMPUTED_VALUE"""),528.0)</f>
        <v>528</v>
      </c>
      <c r="D4912" s="3">
        <f>IFERROR(__xludf.DUMMYFUNCTION("""COMPUTED_VALUE"""),127.0)</f>
        <v>127</v>
      </c>
      <c r="E4912" s="1" t="str">
        <f t="array" ref="E4912">_xlfn.XLOOKUP(A4912,Product!A:A,Product!B:B,"Bulunamadı")</f>
        <v>Sports</v>
      </c>
      <c r="F4912" s="1" t="str">
        <f t="array" ref="F4912">_xlfn.XLOOKUP(A4912,Product!A:A,Product!C:C,"Bulunamadı")</f>
        <v>Sculpture</v>
      </c>
      <c r="G4912" s="2" t="str">
        <f t="array" ref="G4912">_xlfn.XLOOKUP(A4913,Product!A:A,Product!D:D,"Bulunamadı")</f>
        <v>Harborforge House</v>
      </c>
      <c r="H4912" s="2">
        <f t="array" ref="H4912">_xlfn.XLOOKUP(A4914,Product!A:A,Product!E:E,"Bulunamadı")</f>
        <v>8.02</v>
      </c>
      <c r="I4912" s="2" t="str">
        <f t="shared" si="1"/>
        <v>104384 - Sports - Sculpture</v>
      </c>
      <c r="J4912" s="2">
        <f t="shared" si="2"/>
        <v>1018.54</v>
      </c>
      <c r="K4912" s="17">
        <f t="shared" si="3"/>
        <v>1</v>
      </c>
      <c r="L4912" s="18"/>
    </row>
    <row r="4913" hidden="1">
      <c r="A4913" s="2">
        <f>IFERROR(__xludf.DUMMYFUNCTION("""COMPUTED_VALUE"""),121966.0)</f>
        <v>121966</v>
      </c>
      <c r="B4913" s="2">
        <f>IFERROR(__xludf.DUMMYFUNCTION("""COMPUTED_VALUE"""),1.0)</f>
        <v>1</v>
      </c>
      <c r="C4913" s="2">
        <f>IFERROR(__xludf.DUMMYFUNCTION("""COMPUTED_VALUE"""),480.0)</f>
        <v>480</v>
      </c>
      <c r="D4913" s="3">
        <f>IFERROR(__xludf.DUMMYFUNCTION("""COMPUTED_VALUE"""),399.0)</f>
        <v>399</v>
      </c>
      <c r="E4913" s="1" t="str">
        <f t="array" ref="E4913">_xlfn.XLOOKUP(A4913,Product!A:A,Product!B:B,"Bulunamadı")</f>
        <v>Sports</v>
      </c>
      <c r="F4913" s="1" t="str">
        <f t="array" ref="F4913">_xlfn.XLOOKUP(A4913,Product!A:A,Product!C:C,"Bulunamadı")</f>
        <v>Sculpture</v>
      </c>
      <c r="G4913" s="2" t="str">
        <f t="array" ref="G4913">_xlfn.XLOOKUP(A4914,Product!A:A,Product!D:D,"Bulunamadı")</f>
        <v>Cedarforge House</v>
      </c>
      <c r="H4913" s="2">
        <f t="array" ref="H4913">_xlfn.XLOOKUP(A4915,Product!A:A,Product!E:E,"Bulunamadı")</f>
        <v>4.67</v>
      </c>
      <c r="I4913" s="2" t="str">
        <f t="shared" si="1"/>
        <v>121966 - Sports - Sculpture</v>
      </c>
      <c r="J4913" s="2">
        <f t="shared" si="2"/>
        <v>1863.33</v>
      </c>
      <c r="K4913" s="17">
        <f t="shared" si="3"/>
        <v>1</v>
      </c>
      <c r="L4913" s="18"/>
    </row>
    <row r="4914" hidden="1">
      <c r="A4914" s="2">
        <f>IFERROR(__xludf.DUMMYFUNCTION("""COMPUTED_VALUE"""),120183.0)</f>
        <v>120183</v>
      </c>
      <c r="B4914" s="2">
        <f>IFERROR(__xludf.DUMMYFUNCTION("""COMPUTED_VALUE"""),1.0)</f>
        <v>1</v>
      </c>
      <c r="C4914" s="2">
        <f>IFERROR(__xludf.DUMMYFUNCTION("""COMPUTED_VALUE"""),341.0)</f>
        <v>341</v>
      </c>
      <c r="D4914" s="3">
        <f>IFERROR(__xludf.DUMMYFUNCTION("""COMPUTED_VALUE"""),245.0)</f>
        <v>245</v>
      </c>
      <c r="E4914" s="1" t="str">
        <f t="array" ref="E4914">_xlfn.XLOOKUP(A4914,Product!A:A,Product!B:B,"Bulunamadı")</f>
        <v>Sports</v>
      </c>
      <c r="F4914" s="1" t="str">
        <f t="array" ref="F4914">_xlfn.XLOOKUP(A4914,Product!A:A,Product!C:C,"Bulunamadı")</f>
        <v>Sculpture</v>
      </c>
      <c r="G4914" s="2" t="str">
        <f t="array" ref="G4914">_xlfn.XLOOKUP(A4915,Product!A:A,Product!D:D,"Bulunamadı")</f>
        <v>Brightforge House</v>
      </c>
      <c r="H4914" s="2">
        <f t="array" ref="H4914">_xlfn.XLOOKUP(A4916,Product!A:A,Product!E:E,"Bulunamadı")</f>
        <v>5.12</v>
      </c>
      <c r="I4914" s="2" t="str">
        <f t="shared" si="1"/>
        <v>120183 - Sports - Sculpture</v>
      </c>
      <c r="J4914" s="2">
        <f t="shared" si="2"/>
        <v>1254.4</v>
      </c>
      <c r="K4914" s="17">
        <f t="shared" si="3"/>
        <v>1</v>
      </c>
      <c r="L4914" s="18"/>
    </row>
    <row r="4915" hidden="1">
      <c r="A4915" s="2">
        <f>IFERROR(__xludf.DUMMYFUNCTION("""COMPUTED_VALUE"""),82832.0)</f>
        <v>82832</v>
      </c>
      <c r="B4915" s="2">
        <f>IFERROR(__xludf.DUMMYFUNCTION("""COMPUTED_VALUE"""),0.0)</f>
        <v>0</v>
      </c>
      <c r="C4915" s="2">
        <f>IFERROR(__xludf.DUMMYFUNCTION("""COMPUTED_VALUE"""),70.0)</f>
        <v>70</v>
      </c>
      <c r="D4915" s="3">
        <f>IFERROR(__xludf.DUMMYFUNCTION("""COMPUTED_VALUE"""),53.0)</f>
        <v>53</v>
      </c>
      <c r="E4915" s="1" t="str">
        <f t="array" ref="E4915">_xlfn.XLOOKUP(A4915,Product!A:A,Product!B:B,"Bulunamadı")</f>
        <v>Sports</v>
      </c>
      <c r="F4915" s="1" t="str">
        <f t="array" ref="F4915">_xlfn.XLOOKUP(A4915,Product!A:A,Product!C:C,"Bulunamadı")</f>
        <v>Sculpture</v>
      </c>
      <c r="G4915" s="2" t="str">
        <f t="array" ref="G4915">_xlfn.XLOOKUP(A4916,Product!A:A,Product!D:D,"Bulunamadı")</f>
        <v>Brightforge House</v>
      </c>
      <c r="H4915" s="2">
        <f t="array" ref="H4915">_xlfn.XLOOKUP(A4917,Product!A:A,Product!E:E,"Bulunamadı")</f>
        <v>20.05</v>
      </c>
      <c r="I4915" s="2" t="str">
        <f t="shared" si="1"/>
        <v>82832 - Sports - Sculpture</v>
      </c>
      <c r="J4915" s="2">
        <f t="shared" si="2"/>
        <v>1062.65</v>
      </c>
      <c r="K4915" s="17">
        <f t="shared" si="3"/>
        <v>1</v>
      </c>
      <c r="L4915" s="18"/>
    </row>
    <row r="4916" hidden="1">
      <c r="A4916" s="2">
        <f>IFERROR(__xludf.DUMMYFUNCTION("""COMPUTED_VALUE"""),117607.0)</f>
        <v>117607</v>
      </c>
      <c r="B4916" s="2">
        <f>IFERROR(__xludf.DUMMYFUNCTION("""COMPUTED_VALUE"""),1.0)</f>
        <v>1</v>
      </c>
      <c r="C4916" s="2">
        <f>IFERROR(__xludf.DUMMYFUNCTION("""COMPUTED_VALUE"""),553.0)</f>
        <v>553</v>
      </c>
      <c r="D4916" s="3">
        <f>IFERROR(__xludf.DUMMYFUNCTION("""COMPUTED_VALUE"""),66.0)</f>
        <v>66</v>
      </c>
      <c r="E4916" s="1" t="str">
        <f t="array" ref="E4916">_xlfn.XLOOKUP(A4916,Product!A:A,Product!B:B,"Bulunamadı")</f>
        <v>Sports</v>
      </c>
      <c r="F4916" s="1" t="str">
        <f t="array" ref="F4916">_xlfn.XLOOKUP(A4916,Product!A:A,Product!C:C,"Bulunamadı")</f>
        <v>Sculpture</v>
      </c>
      <c r="G4916" s="2" t="str">
        <f t="array" ref="G4916">_xlfn.XLOOKUP(A4917,Product!A:A,Product!D:D,"Bulunamadı")</f>
        <v>Brightforge House</v>
      </c>
      <c r="H4916" s="2">
        <f t="array" ref="H4916">_xlfn.XLOOKUP(A4918,Product!A:A,Product!E:E,"Bulunamadı")</f>
        <v>7.03</v>
      </c>
      <c r="I4916" s="2" t="str">
        <f t="shared" si="1"/>
        <v>117607 - Sports - Sculpture</v>
      </c>
      <c r="J4916" s="2">
        <f t="shared" si="2"/>
        <v>463.98</v>
      </c>
      <c r="K4916" s="17">
        <f t="shared" si="3"/>
        <v>1</v>
      </c>
      <c r="L4916" s="18"/>
    </row>
    <row r="4917" hidden="1">
      <c r="A4917" s="2">
        <f>IFERROR(__xludf.DUMMYFUNCTION("""COMPUTED_VALUE"""),116244.0)</f>
        <v>116244</v>
      </c>
      <c r="B4917" s="2">
        <f>IFERROR(__xludf.DUMMYFUNCTION("""COMPUTED_VALUE"""),1.0)</f>
        <v>1</v>
      </c>
      <c r="C4917" s="2">
        <f>IFERROR(__xludf.DUMMYFUNCTION("""COMPUTED_VALUE"""),978.0)</f>
        <v>978</v>
      </c>
      <c r="D4917" s="3">
        <f>IFERROR(__xludf.DUMMYFUNCTION("""COMPUTED_VALUE"""),903.0)</f>
        <v>903</v>
      </c>
      <c r="E4917" s="1" t="str">
        <f t="array" ref="E4917">_xlfn.XLOOKUP(A4917,Product!A:A,Product!B:B,"Bulunamadı")</f>
        <v>Sports</v>
      </c>
      <c r="F4917" s="1" t="str">
        <f t="array" ref="F4917">_xlfn.XLOOKUP(A4917,Product!A:A,Product!C:C,"Bulunamadı")</f>
        <v>Sculpture</v>
      </c>
      <c r="G4917" s="2" t="str">
        <f t="array" ref="G4917">_xlfn.XLOOKUP(A4918,Product!A:A,Product!D:D,"Bulunamadı")</f>
        <v>Brightforge House</v>
      </c>
      <c r="H4917" s="2">
        <f t="array" ref="H4917">_xlfn.XLOOKUP(A4919,Product!A:A,Product!E:E,"Bulunamadı")</f>
        <v>4.71</v>
      </c>
      <c r="I4917" s="2" t="str">
        <f t="shared" si="1"/>
        <v>116244 - Sports - Sculpture</v>
      </c>
      <c r="J4917" s="2">
        <f t="shared" si="2"/>
        <v>4253.13</v>
      </c>
      <c r="K4917" s="17">
        <f t="shared" si="3"/>
        <v>1</v>
      </c>
      <c r="L4917" s="18"/>
    </row>
    <row r="4918" hidden="1">
      <c r="A4918" s="2">
        <f>IFERROR(__xludf.DUMMYFUNCTION("""COMPUTED_VALUE"""),81045.0)</f>
        <v>81045</v>
      </c>
      <c r="B4918" s="2">
        <f>IFERROR(__xludf.DUMMYFUNCTION("""COMPUTED_VALUE"""),1.0)</f>
        <v>1</v>
      </c>
      <c r="C4918" s="2">
        <f>IFERROR(__xludf.DUMMYFUNCTION("""COMPUTED_VALUE"""),966.0)</f>
        <v>966</v>
      </c>
      <c r="D4918" s="3">
        <f>IFERROR(__xludf.DUMMYFUNCTION("""COMPUTED_VALUE"""),609.0)</f>
        <v>609</v>
      </c>
      <c r="E4918" s="1" t="str">
        <f t="array" ref="E4918">_xlfn.XLOOKUP(A4918,Product!A:A,Product!B:B,"Bulunamadı")</f>
        <v>Sports</v>
      </c>
      <c r="F4918" s="1" t="str">
        <f t="array" ref="F4918">_xlfn.XLOOKUP(A4918,Product!A:A,Product!C:C,"Bulunamadı")</f>
        <v>Sculpture</v>
      </c>
      <c r="G4918" s="2" t="str">
        <f t="array" ref="G4918">_xlfn.XLOOKUP(A4919,Product!A:A,Product!D:D,"Bulunamadı")</f>
        <v>Brightforge House</v>
      </c>
      <c r="H4918" s="2">
        <f t="array" ref="H4918">_xlfn.XLOOKUP(A4920,Product!A:A,Product!E:E,"Bulunamadı")</f>
        <v>4.67</v>
      </c>
      <c r="I4918" s="2" t="str">
        <f t="shared" si="1"/>
        <v>81045 - Sports - Sculpture</v>
      </c>
      <c r="J4918" s="2">
        <f t="shared" si="2"/>
        <v>2844.03</v>
      </c>
      <c r="K4918" s="17">
        <f t="shared" si="3"/>
        <v>1</v>
      </c>
      <c r="L4918" s="18"/>
    </row>
    <row r="4919" hidden="1">
      <c r="A4919" s="2">
        <f>IFERROR(__xludf.DUMMYFUNCTION("""COMPUTED_VALUE"""),106021.0)</f>
        <v>106021</v>
      </c>
      <c r="B4919" s="2">
        <f>IFERROR(__xludf.DUMMYFUNCTION("""COMPUTED_VALUE"""),1.0)</f>
        <v>1</v>
      </c>
      <c r="C4919" s="2">
        <f>IFERROR(__xludf.DUMMYFUNCTION("""COMPUTED_VALUE"""),373.0)</f>
        <v>373</v>
      </c>
      <c r="D4919" s="3">
        <f>IFERROR(__xludf.DUMMYFUNCTION("""COMPUTED_VALUE"""),193.0)</f>
        <v>193</v>
      </c>
      <c r="E4919" s="1" t="str">
        <f t="array" ref="E4919">_xlfn.XLOOKUP(A4919,Product!A:A,Product!B:B,"Bulunamadı")</f>
        <v>Sports</v>
      </c>
      <c r="F4919" s="1" t="str">
        <f t="array" ref="F4919">_xlfn.XLOOKUP(A4919,Product!A:A,Product!C:C,"Bulunamadı")</f>
        <v>Sculpture</v>
      </c>
      <c r="G4919" s="2" t="str">
        <f t="array" ref="G4919">_xlfn.XLOOKUP(A4920,Product!A:A,Product!D:D,"Bulunamadı")</f>
        <v>Brightforge House</v>
      </c>
      <c r="H4919" s="2">
        <f t="array" ref="H4919">_xlfn.XLOOKUP(A4921,Product!A:A,Product!E:E,"Bulunamadı")</f>
        <v>6.67</v>
      </c>
      <c r="I4919" s="2" t="str">
        <f t="shared" si="1"/>
        <v>106021 - Sports - Sculpture</v>
      </c>
      <c r="J4919" s="2">
        <f t="shared" si="2"/>
        <v>1287.31</v>
      </c>
      <c r="K4919" s="17">
        <f t="shared" si="3"/>
        <v>1</v>
      </c>
      <c r="L4919" s="18"/>
    </row>
    <row r="4920" hidden="1">
      <c r="A4920" s="2">
        <f>IFERROR(__xludf.DUMMYFUNCTION("""COMPUTED_VALUE"""),86622.0)</f>
        <v>86622</v>
      </c>
      <c r="B4920" s="2">
        <f>IFERROR(__xludf.DUMMYFUNCTION("""COMPUTED_VALUE"""),0.0)</f>
        <v>0</v>
      </c>
      <c r="C4920" s="2">
        <f>IFERROR(__xludf.DUMMYFUNCTION("""COMPUTED_VALUE"""),4.0)</f>
        <v>4</v>
      </c>
      <c r="D4920" s="3">
        <f>IFERROR(__xludf.DUMMYFUNCTION("""COMPUTED_VALUE"""),3.0)</f>
        <v>3</v>
      </c>
      <c r="E4920" s="1" t="str">
        <f t="array" ref="E4920">_xlfn.XLOOKUP(A4920,Product!A:A,Product!B:B,"Bulunamadı")</f>
        <v>Sports</v>
      </c>
      <c r="F4920" s="1" t="str">
        <f t="array" ref="F4920">_xlfn.XLOOKUP(A4920,Product!A:A,Product!C:C,"Bulunamadı")</f>
        <v>Sculpture</v>
      </c>
      <c r="G4920" s="2" t="str">
        <f t="array" ref="G4920">_xlfn.XLOOKUP(A4921,Product!A:A,Product!D:D,"Bulunamadı")</f>
        <v>Brightforge House</v>
      </c>
      <c r="H4920" s="2">
        <f t="array" ref="H4920">_xlfn.XLOOKUP(A4922,Product!A:A,Product!E:E,"Bulunamadı")</f>
        <v>9.3</v>
      </c>
      <c r="I4920" s="2" t="str">
        <f t="shared" si="1"/>
        <v>86622 - Sports - Sculpture</v>
      </c>
      <c r="J4920" s="2">
        <f t="shared" si="2"/>
        <v>27.9</v>
      </c>
      <c r="K4920" s="17">
        <f t="shared" si="3"/>
        <v>1</v>
      </c>
      <c r="L4920" s="18"/>
    </row>
    <row r="4921" hidden="1">
      <c r="A4921" s="2">
        <f>IFERROR(__xludf.DUMMYFUNCTION("""COMPUTED_VALUE"""),82834.0)</f>
        <v>82834</v>
      </c>
      <c r="B4921" s="2">
        <f>IFERROR(__xludf.DUMMYFUNCTION("""COMPUTED_VALUE"""),1.0)</f>
        <v>1</v>
      </c>
      <c r="C4921" s="2">
        <f>IFERROR(__xludf.DUMMYFUNCTION("""COMPUTED_VALUE"""),667.0)</f>
        <v>667</v>
      </c>
      <c r="D4921" s="3">
        <f>IFERROR(__xludf.DUMMYFUNCTION("""COMPUTED_VALUE"""),564.0)</f>
        <v>564</v>
      </c>
      <c r="E4921" s="1" t="str">
        <f t="array" ref="E4921">_xlfn.XLOOKUP(A4921,Product!A:A,Product!B:B,"Bulunamadı")</f>
        <v>Sports</v>
      </c>
      <c r="F4921" s="1" t="str">
        <f t="array" ref="F4921">_xlfn.XLOOKUP(A4921,Product!A:A,Product!C:C,"Bulunamadı")</f>
        <v>Sculpture</v>
      </c>
      <c r="G4921" s="2" t="str">
        <f t="array" ref="G4921">_xlfn.XLOOKUP(A4922,Product!A:A,Product!D:D,"Bulunamadı")</f>
        <v>Brightforge House</v>
      </c>
      <c r="H4921" s="2">
        <f t="array" ref="H4921">_xlfn.XLOOKUP(A4923,Product!A:A,Product!E:E,"Bulunamadı")</f>
        <v>11.83</v>
      </c>
      <c r="I4921" s="2" t="str">
        <f t="shared" si="1"/>
        <v>82834 - Sports - Sculpture</v>
      </c>
      <c r="J4921" s="2">
        <f t="shared" si="2"/>
        <v>6672.12</v>
      </c>
      <c r="K4921" s="17">
        <f t="shared" si="3"/>
        <v>1</v>
      </c>
      <c r="L4921" s="18"/>
    </row>
    <row r="4922" hidden="1">
      <c r="A4922" s="2">
        <f>IFERROR(__xludf.DUMMYFUNCTION("""COMPUTED_VALUE"""),81008.0)</f>
        <v>81008</v>
      </c>
      <c r="B4922" s="2">
        <f>IFERROR(__xludf.DUMMYFUNCTION("""COMPUTED_VALUE"""),0.0)</f>
        <v>0</v>
      </c>
      <c r="C4922" s="2">
        <f>IFERROR(__xludf.DUMMYFUNCTION("""COMPUTED_VALUE"""),472.0)</f>
        <v>472</v>
      </c>
      <c r="D4922" s="3">
        <f>IFERROR(__xludf.DUMMYFUNCTION("""COMPUTED_VALUE"""),39.0)</f>
        <v>39</v>
      </c>
      <c r="E4922" s="1" t="str">
        <f t="array" ref="E4922">_xlfn.XLOOKUP(A4922,Product!A:A,Product!B:B,"Bulunamadı")</f>
        <v>Sports</v>
      </c>
      <c r="F4922" s="1" t="str">
        <f t="array" ref="F4922">_xlfn.XLOOKUP(A4922,Product!A:A,Product!C:C,"Bulunamadı")</f>
        <v>Sculpture</v>
      </c>
      <c r="G4922" s="2" t="str">
        <f t="array" ref="G4922">_xlfn.XLOOKUP(A4923,Product!A:A,Product!D:D,"Bulunamadı")</f>
        <v>Brightforge House</v>
      </c>
      <c r="H4922" s="2">
        <f t="array" ref="H4922">_xlfn.XLOOKUP(A4924,Product!A:A,Product!E:E,"Bulunamadı")</f>
        <v>4.43</v>
      </c>
      <c r="I4922" s="2" t="str">
        <f t="shared" si="1"/>
        <v>81008 - Sports - Sculpture</v>
      </c>
      <c r="J4922" s="2">
        <f t="shared" si="2"/>
        <v>172.77</v>
      </c>
      <c r="K4922" s="17">
        <f t="shared" si="3"/>
        <v>1</v>
      </c>
      <c r="L4922" s="18"/>
    </row>
    <row r="4923" hidden="1">
      <c r="A4923" s="2">
        <f>IFERROR(__xludf.DUMMYFUNCTION("""COMPUTED_VALUE"""),83167.0)</f>
        <v>83167</v>
      </c>
      <c r="B4923" s="2">
        <f>IFERROR(__xludf.DUMMYFUNCTION("""COMPUTED_VALUE"""),1.0)</f>
        <v>1</v>
      </c>
      <c r="C4923" s="2">
        <f>IFERROR(__xludf.DUMMYFUNCTION("""COMPUTED_VALUE"""),683.0)</f>
        <v>683</v>
      </c>
      <c r="D4923" s="3">
        <f>IFERROR(__xludf.DUMMYFUNCTION("""COMPUTED_VALUE"""),343.0)</f>
        <v>343</v>
      </c>
      <c r="E4923" s="1" t="str">
        <f t="array" ref="E4923">_xlfn.XLOOKUP(A4923,Product!A:A,Product!B:B,"Bulunamadı")</f>
        <v>Sports</v>
      </c>
      <c r="F4923" s="1" t="str">
        <f t="array" ref="F4923">_xlfn.XLOOKUP(A4923,Product!A:A,Product!C:C,"Bulunamadı")</f>
        <v>Sculpture</v>
      </c>
      <c r="G4923" s="2" t="str">
        <f t="array" ref="G4923">_xlfn.XLOOKUP(A4924,Product!A:A,Product!D:D,"Bulunamadı")</f>
        <v>Oakforge House</v>
      </c>
      <c r="H4923" s="2">
        <f t="array" ref="H4923">_xlfn.XLOOKUP(A4925,Product!A:A,Product!E:E,"Bulunamadı")</f>
        <v>1.07</v>
      </c>
      <c r="I4923" s="2" t="str">
        <f t="shared" si="1"/>
        <v>83167 - Sports - Sculpture</v>
      </c>
      <c r="J4923" s="2">
        <f t="shared" si="2"/>
        <v>367.01</v>
      </c>
      <c r="K4923" s="17">
        <f t="shared" si="3"/>
        <v>1</v>
      </c>
      <c r="L4923" s="18"/>
    </row>
    <row r="4924" hidden="1">
      <c r="A4924" s="2">
        <f>IFERROR(__xludf.DUMMYFUNCTION("""COMPUTED_VALUE"""),86584.0)</f>
        <v>86584</v>
      </c>
      <c r="B4924" s="2">
        <f>IFERROR(__xludf.DUMMYFUNCTION("""COMPUTED_VALUE"""),0.0)</f>
        <v>0</v>
      </c>
      <c r="C4924" s="2">
        <f>IFERROR(__xludf.DUMMYFUNCTION("""COMPUTED_VALUE"""),271.0)</f>
        <v>271</v>
      </c>
      <c r="D4924" s="3">
        <f>IFERROR(__xludf.DUMMYFUNCTION("""COMPUTED_VALUE"""),256.0)</f>
        <v>256</v>
      </c>
      <c r="E4924" s="1" t="str">
        <f t="array" ref="E4924">_xlfn.XLOOKUP(A4924,Product!A:A,Product!B:B,"Bulunamadı")</f>
        <v>Sports</v>
      </c>
      <c r="F4924" s="1" t="str">
        <f t="array" ref="F4924">_xlfn.XLOOKUP(A4924,Product!A:A,Product!C:C,"Bulunamadı")</f>
        <v>Sculpture</v>
      </c>
      <c r="G4924" s="2" t="str">
        <f t="array" ref="G4924">_xlfn.XLOOKUP(A4925,Product!A:A,Product!D:D,"Bulunamadı")</f>
        <v/>
      </c>
      <c r="H4924" s="2">
        <f t="array" ref="H4924">_xlfn.XLOOKUP(A4926,Product!A:A,Product!E:E,"Bulunamadı")</f>
        <v>2.18</v>
      </c>
      <c r="I4924" s="2" t="str">
        <f t="shared" si="1"/>
        <v>86584 - Sports - Sculpture</v>
      </c>
      <c r="J4924" s="2">
        <f t="shared" si="2"/>
        <v>558.08</v>
      </c>
      <c r="K4924" s="17">
        <f t="shared" si="3"/>
        <v>1</v>
      </c>
      <c r="L4924" s="18"/>
    </row>
    <row r="4925" hidden="1">
      <c r="A4925" s="2">
        <f>IFERROR(__xludf.DUMMYFUNCTION("""COMPUTED_VALUE"""),79902.0)</f>
        <v>79902</v>
      </c>
      <c r="B4925" s="2">
        <f>IFERROR(__xludf.DUMMYFUNCTION("""COMPUTED_VALUE"""),1.0)</f>
        <v>1</v>
      </c>
      <c r="C4925" s="2">
        <f>IFERROR(__xludf.DUMMYFUNCTION("""COMPUTED_VALUE"""),924.0)</f>
        <v>924</v>
      </c>
      <c r="D4925" s="3">
        <f>IFERROR(__xludf.DUMMYFUNCTION("""COMPUTED_VALUE"""),867.0)</f>
        <v>867</v>
      </c>
      <c r="E4925" s="1" t="str">
        <f t="array" ref="E4925">_xlfn.XLOOKUP(A4925,Product!A:A,Product!B:B,"Bulunamadı")</f>
        <v>Medical</v>
      </c>
      <c r="F4925" s="1" t="str">
        <f t="array" ref="F4925">_xlfn.XLOOKUP(A4925,Product!A:A,Product!C:C,"Bulunamadı")</f>
        <v>Photography</v>
      </c>
      <c r="G4925" s="2" t="str">
        <f t="array" ref="G4925">_xlfn.XLOOKUP(A4926,Product!A:A,Product!D:D,"Bulunamadı")</f>
        <v/>
      </c>
      <c r="H4925" s="2">
        <f t="array" ref="H4925">_xlfn.XLOOKUP(A4927,Product!A:A,Product!E:E,"Bulunamadı")</f>
        <v>0.45</v>
      </c>
      <c r="I4925" s="2" t="str">
        <f t="shared" si="1"/>
        <v>79902 - Medical - Photography</v>
      </c>
      <c r="J4925" s="2">
        <f t="shared" si="2"/>
        <v>390.15</v>
      </c>
      <c r="K4925" s="17">
        <f t="shared" si="3"/>
        <v>1</v>
      </c>
      <c r="L4925" s="18"/>
    </row>
    <row r="4926" hidden="1">
      <c r="A4926" s="2">
        <f>IFERROR(__xludf.DUMMYFUNCTION("""COMPUTED_VALUE"""),41328.0)</f>
        <v>41328</v>
      </c>
      <c r="B4926" s="2">
        <f>IFERROR(__xludf.DUMMYFUNCTION("""COMPUTED_VALUE"""),0.0)</f>
        <v>0</v>
      </c>
      <c r="C4926" s="2">
        <f>IFERROR(__xludf.DUMMYFUNCTION("""COMPUTED_VALUE"""),732.0)</f>
        <v>732</v>
      </c>
      <c r="D4926" s="3">
        <f>IFERROR(__xludf.DUMMYFUNCTION("""COMPUTED_VALUE"""),167.0)</f>
        <v>167</v>
      </c>
      <c r="E4926" s="1" t="str">
        <f t="array" ref="E4926">_xlfn.XLOOKUP(A4926,Product!A:A,Product!B:B,"Bulunamadı")</f>
        <v>Medical</v>
      </c>
      <c r="F4926" s="1" t="str">
        <f t="array" ref="F4926">_xlfn.XLOOKUP(A4926,Product!A:A,Product!C:C,"Bulunamadı")</f>
        <v>Photography</v>
      </c>
      <c r="G4926" s="2" t="str">
        <f t="array" ref="G4926">_xlfn.XLOOKUP(A4927,Product!A:A,Product!D:D,"Bulunamadı")</f>
        <v/>
      </c>
      <c r="H4926" s="2">
        <f t="array" ref="H4926">_xlfn.XLOOKUP(A4928,Product!A:A,Product!E:E,"Bulunamadı")</f>
        <v>0.49</v>
      </c>
      <c r="I4926" s="2" t="str">
        <f t="shared" si="1"/>
        <v>41328 - Medical - Photography</v>
      </c>
      <c r="J4926" s="2">
        <f t="shared" si="2"/>
        <v>81.83</v>
      </c>
      <c r="K4926" s="17">
        <f t="shared" si="3"/>
        <v>1</v>
      </c>
      <c r="L4926" s="18"/>
    </row>
    <row r="4927" hidden="1">
      <c r="A4927" s="2">
        <f>IFERROR(__xludf.DUMMYFUNCTION("""COMPUTED_VALUE"""),79907.0)</f>
        <v>79907</v>
      </c>
      <c r="B4927" s="2">
        <f>IFERROR(__xludf.DUMMYFUNCTION("""COMPUTED_VALUE"""),0.0)</f>
        <v>0</v>
      </c>
      <c r="C4927" s="2">
        <f>IFERROR(__xludf.DUMMYFUNCTION("""COMPUTED_VALUE"""),141.0)</f>
        <v>141</v>
      </c>
      <c r="D4927" s="3">
        <f>IFERROR(__xludf.DUMMYFUNCTION("""COMPUTED_VALUE"""),26.0)</f>
        <v>26</v>
      </c>
      <c r="E4927" s="1" t="str">
        <f t="array" ref="E4927">_xlfn.XLOOKUP(A4927,Product!A:A,Product!B:B,"Bulunamadı")</f>
        <v>Medical</v>
      </c>
      <c r="F4927" s="1" t="str">
        <f t="array" ref="F4927">_xlfn.XLOOKUP(A4927,Product!A:A,Product!C:C,"Bulunamadı")</f>
        <v>Photography</v>
      </c>
      <c r="G4927" s="2" t="str">
        <f t="array" ref="G4927">_xlfn.XLOOKUP(A4928,Product!A:A,Product!D:D,"Bulunamadı")</f>
        <v/>
      </c>
      <c r="H4927" s="2">
        <f t="array" ref="H4927">_xlfn.XLOOKUP(A4929,Product!A:A,Product!E:E,"Bulunamadı")</f>
        <v>0.53</v>
      </c>
      <c r="I4927" s="2" t="str">
        <f t="shared" si="1"/>
        <v>79907 - Medical - Photography</v>
      </c>
      <c r="J4927" s="2">
        <f t="shared" si="2"/>
        <v>13.78</v>
      </c>
      <c r="K4927" s="17">
        <f t="shared" si="3"/>
        <v>1</v>
      </c>
      <c r="L4927" s="18"/>
    </row>
    <row r="4928" hidden="1">
      <c r="A4928" s="2">
        <f>IFERROR(__xludf.DUMMYFUNCTION("""COMPUTED_VALUE"""),70588.0)</f>
        <v>70588</v>
      </c>
      <c r="B4928" s="2">
        <f>IFERROR(__xludf.DUMMYFUNCTION("""COMPUTED_VALUE"""),0.0)</f>
        <v>0</v>
      </c>
      <c r="C4928" s="2">
        <f>IFERROR(__xludf.DUMMYFUNCTION("""COMPUTED_VALUE"""),842.0)</f>
        <v>842</v>
      </c>
      <c r="D4928" s="3">
        <f>IFERROR(__xludf.DUMMYFUNCTION("""COMPUTED_VALUE"""),185.0)</f>
        <v>185</v>
      </c>
      <c r="E4928" s="1" t="str">
        <f t="array" ref="E4928">_xlfn.XLOOKUP(A4928,Product!A:A,Product!B:B,"Bulunamadı")</f>
        <v>Medical</v>
      </c>
      <c r="F4928" s="1" t="str">
        <f t="array" ref="F4928">_xlfn.XLOOKUP(A4928,Product!A:A,Product!C:C,"Bulunamadı")</f>
        <v>Photography</v>
      </c>
      <c r="G4928" s="2" t="str">
        <f t="array" ref="G4928">_xlfn.XLOOKUP(A4929,Product!A:A,Product!D:D,"Bulunamadı")</f>
        <v/>
      </c>
      <c r="H4928" s="2">
        <f t="array" ref="H4928">_xlfn.XLOOKUP(A4930,Product!A:A,Product!E:E,"Bulunamadı")</f>
        <v>2.8</v>
      </c>
      <c r="I4928" s="2" t="str">
        <f t="shared" si="1"/>
        <v>70588 - Medical - Photography</v>
      </c>
      <c r="J4928" s="2">
        <f t="shared" si="2"/>
        <v>518</v>
      </c>
      <c r="K4928" s="17">
        <f t="shared" si="3"/>
        <v>1</v>
      </c>
      <c r="L4928" s="18"/>
    </row>
    <row r="4929" hidden="1">
      <c r="A4929" s="2">
        <f>IFERROR(__xludf.DUMMYFUNCTION("""COMPUTED_VALUE"""),70587.0)</f>
        <v>70587</v>
      </c>
      <c r="B4929" s="2">
        <f>IFERROR(__xludf.DUMMYFUNCTION("""COMPUTED_VALUE"""),0.0)</f>
        <v>0</v>
      </c>
      <c r="C4929" s="2">
        <f>IFERROR(__xludf.DUMMYFUNCTION("""COMPUTED_VALUE"""),32.0)</f>
        <v>32</v>
      </c>
      <c r="D4929" s="3">
        <f>IFERROR(__xludf.DUMMYFUNCTION("""COMPUTED_VALUE"""),30.0)</f>
        <v>30</v>
      </c>
      <c r="E4929" s="1" t="str">
        <f t="array" ref="E4929">_xlfn.XLOOKUP(A4929,Product!A:A,Product!B:B,"Bulunamadı")</f>
        <v>Medical</v>
      </c>
      <c r="F4929" s="1" t="str">
        <f t="array" ref="F4929">_xlfn.XLOOKUP(A4929,Product!A:A,Product!C:C,"Bulunamadı")</f>
        <v>Photography</v>
      </c>
      <c r="G4929" s="2" t="str">
        <f t="array" ref="G4929">_xlfn.XLOOKUP(A4930,Product!A:A,Product!D:D,"Bulunamadı")</f>
        <v/>
      </c>
      <c r="H4929" s="2">
        <f t="array" ref="H4929">_xlfn.XLOOKUP(A4931,Product!A:A,Product!E:E,"Bulunamadı")</f>
        <v>2.07</v>
      </c>
      <c r="I4929" s="2" t="str">
        <f t="shared" si="1"/>
        <v>70587 - Medical - Photography</v>
      </c>
      <c r="J4929" s="2">
        <f t="shared" si="2"/>
        <v>62.1</v>
      </c>
      <c r="K4929" s="17">
        <f t="shared" si="3"/>
        <v>1</v>
      </c>
      <c r="L4929" s="18"/>
    </row>
    <row r="4930" hidden="1">
      <c r="A4930" s="2">
        <f>IFERROR(__xludf.DUMMYFUNCTION("""COMPUTED_VALUE"""),109356.0)</f>
        <v>109356</v>
      </c>
      <c r="B4930" s="2">
        <f>IFERROR(__xludf.DUMMYFUNCTION("""COMPUTED_VALUE"""),1.0)</f>
        <v>1</v>
      </c>
      <c r="C4930" s="2">
        <f>IFERROR(__xludf.DUMMYFUNCTION("""COMPUTED_VALUE"""),544.0)</f>
        <v>544</v>
      </c>
      <c r="D4930" s="3">
        <f>IFERROR(__xludf.DUMMYFUNCTION("""COMPUTED_VALUE"""),443.0)</f>
        <v>443</v>
      </c>
      <c r="E4930" s="1" t="str">
        <f t="array" ref="E4930">_xlfn.XLOOKUP(A4930,Product!A:A,Product!B:B,"Bulunamadı")</f>
        <v>Medical</v>
      </c>
      <c r="F4930" s="1" t="str">
        <f t="array" ref="F4930">_xlfn.XLOOKUP(A4930,Product!A:A,Product!C:C,"Bulunamadı")</f>
        <v>Photography</v>
      </c>
      <c r="G4930" s="2" t="str">
        <f t="array" ref="G4930">_xlfn.XLOOKUP(A4931,Product!A:A,Product!D:D,"Bulunamadı")</f>
        <v/>
      </c>
      <c r="H4930" s="2">
        <f t="array" ref="H4930">_xlfn.XLOOKUP(A4932,Product!A:A,Product!E:E,"Bulunamadı")</f>
        <v>1.18</v>
      </c>
      <c r="I4930" s="2" t="str">
        <f t="shared" si="1"/>
        <v>109356 - Medical - Photography</v>
      </c>
      <c r="J4930" s="2">
        <f t="shared" si="2"/>
        <v>522.74</v>
      </c>
      <c r="K4930" s="17">
        <f t="shared" si="3"/>
        <v>1</v>
      </c>
      <c r="L4930" s="18"/>
    </row>
    <row r="4931" hidden="1">
      <c r="A4931" s="2">
        <f>IFERROR(__xludf.DUMMYFUNCTION("""COMPUTED_VALUE"""),47892.0)</f>
        <v>47892</v>
      </c>
      <c r="B4931" s="2">
        <f>IFERROR(__xludf.DUMMYFUNCTION("""COMPUTED_VALUE"""),1.0)</f>
        <v>1</v>
      </c>
      <c r="C4931" s="2">
        <f>IFERROR(__xludf.DUMMYFUNCTION("""COMPUTED_VALUE"""),392.0)</f>
        <v>392</v>
      </c>
      <c r="D4931" s="3">
        <f>IFERROR(__xludf.DUMMYFUNCTION("""COMPUTED_VALUE"""),217.0)</f>
        <v>217</v>
      </c>
      <c r="E4931" s="1" t="str">
        <f t="array" ref="E4931">_xlfn.XLOOKUP(A4931,Product!A:A,Product!B:B,"Bulunamadı")</f>
        <v>Medical</v>
      </c>
      <c r="F4931" s="1" t="str">
        <f t="array" ref="F4931">_xlfn.XLOOKUP(A4931,Product!A:A,Product!C:C,"Bulunamadı")</f>
        <v>Photography</v>
      </c>
      <c r="G4931" s="2" t="str">
        <f t="array" ref="G4931">_xlfn.XLOOKUP(A4932,Product!A:A,Product!D:D,"Bulunamadı")</f>
        <v/>
      </c>
      <c r="H4931" s="2">
        <f t="array" ref="H4931">_xlfn.XLOOKUP(A4933,Product!A:A,Product!E:E,"Bulunamadı")</f>
        <v>1.74</v>
      </c>
      <c r="I4931" s="2" t="str">
        <f t="shared" si="1"/>
        <v>47892 - Medical - Photography</v>
      </c>
      <c r="J4931" s="2">
        <f t="shared" si="2"/>
        <v>377.58</v>
      </c>
      <c r="K4931" s="17">
        <f t="shared" si="3"/>
        <v>1</v>
      </c>
      <c r="L4931" s="18"/>
    </row>
    <row r="4932" hidden="1">
      <c r="A4932" s="2">
        <f>IFERROR(__xludf.DUMMYFUNCTION("""COMPUTED_VALUE"""),79901.0)</f>
        <v>79901</v>
      </c>
      <c r="B4932" s="2">
        <f>IFERROR(__xludf.DUMMYFUNCTION("""COMPUTED_VALUE"""),1.0)</f>
        <v>1</v>
      </c>
      <c r="C4932" s="2">
        <f>IFERROR(__xludf.DUMMYFUNCTION("""COMPUTED_VALUE"""),240.0)</f>
        <v>240</v>
      </c>
      <c r="D4932" s="3">
        <f>IFERROR(__xludf.DUMMYFUNCTION("""COMPUTED_VALUE"""),168.0)</f>
        <v>168</v>
      </c>
      <c r="E4932" s="1" t="str">
        <f t="array" ref="E4932">_xlfn.XLOOKUP(A4932,Product!A:A,Product!B:B,"Bulunamadı")</f>
        <v>Medical</v>
      </c>
      <c r="F4932" s="1" t="str">
        <f t="array" ref="F4932">_xlfn.XLOOKUP(A4932,Product!A:A,Product!C:C,"Bulunamadı")</f>
        <v>Photography</v>
      </c>
      <c r="G4932" s="2" t="str">
        <f t="array" ref="G4932">_xlfn.XLOOKUP(A4933,Product!A:A,Product!D:D,"Bulunamadı")</f>
        <v/>
      </c>
      <c r="H4932" s="2">
        <f t="array" ref="H4932">_xlfn.XLOOKUP(A4934,Product!A:A,Product!E:E,"Bulunamadı")</f>
        <v>1.9</v>
      </c>
      <c r="I4932" s="2" t="str">
        <f t="shared" si="1"/>
        <v>79901 - Medical - Photography</v>
      </c>
      <c r="J4932" s="2">
        <f t="shared" si="2"/>
        <v>319.2</v>
      </c>
      <c r="K4932" s="17">
        <f t="shared" si="3"/>
        <v>1</v>
      </c>
      <c r="L4932" s="18"/>
    </row>
    <row r="4933" hidden="1">
      <c r="A4933" s="2">
        <f>IFERROR(__xludf.DUMMYFUNCTION("""COMPUTED_VALUE"""),70585.0)</f>
        <v>70585</v>
      </c>
      <c r="B4933" s="2">
        <f>IFERROR(__xludf.DUMMYFUNCTION("""COMPUTED_VALUE"""),0.0)</f>
        <v>0</v>
      </c>
      <c r="C4933" s="2">
        <f>IFERROR(__xludf.DUMMYFUNCTION("""COMPUTED_VALUE"""),91.0)</f>
        <v>91</v>
      </c>
      <c r="D4933" s="3">
        <f>IFERROR(__xludf.DUMMYFUNCTION("""COMPUTED_VALUE"""),21.0)</f>
        <v>21</v>
      </c>
      <c r="E4933" s="1" t="str">
        <f t="array" ref="E4933">_xlfn.XLOOKUP(A4933,Product!A:A,Product!B:B,"Bulunamadı")</f>
        <v>Medical</v>
      </c>
      <c r="F4933" s="1" t="str">
        <f t="array" ref="F4933">_xlfn.XLOOKUP(A4933,Product!A:A,Product!C:C,"Bulunamadı")</f>
        <v>Photography</v>
      </c>
      <c r="G4933" s="2" t="str">
        <f t="array" ref="G4933">_xlfn.XLOOKUP(A4934,Product!A:A,Product!D:D,"Bulunamadı")</f>
        <v>Riverforge House</v>
      </c>
      <c r="H4933" s="2">
        <f t="array" ref="H4933">_xlfn.XLOOKUP(A4935,Product!A:A,Product!E:E,"Bulunamadı")</f>
        <v>2.13</v>
      </c>
      <c r="I4933" s="2" t="str">
        <f t="shared" si="1"/>
        <v>70585 - Medical - Photography</v>
      </c>
      <c r="J4933" s="2">
        <f t="shared" si="2"/>
        <v>44.73</v>
      </c>
      <c r="K4933" s="17">
        <f t="shared" si="3"/>
        <v>1</v>
      </c>
      <c r="L4933" s="18"/>
    </row>
    <row r="4934" hidden="1">
      <c r="A4934" s="2">
        <f>IFERROR(__xludf.DUMMYFUNCTION("""COMPUTED_VALUE"""),4375.0)</f>
        <v>4375</v>
      </c>
      <c r="B4934" s="2">
        <f>IFERROR(__xludf.DUMMYFUNCTION("""COMPUTED_VALUE"""),0.0)</f>
        <v>0</v>
      </c>
      <c r="C4934" s="2">
        <f>IFERROR(__xludf.DUMMYFUNCTION("""COMPUTED_VALUE"""),729.0)</f>
        <v>729</v>
      </c>
      <c r="D4934" s="3">
        <f>IFERROR(__xludf.DUMMYFUNCTION("""COMPUTED_VALUE"""),251.0)</f>
        <v>251</v>
      </c>
      <c r="E4934" s="1" t="str">
        <f t="array" ref="E4934">_xlfn.XLOOKUP(A4934,Product!A:A,Product!B:B,"Bulunamadı")</f>
        <v>Medical</v>
      </c>
      <c r="F4934" s="1" t="str">
        <f t="array" ref="F4934">_xlfn.XLOOKUP(A4934,Product!A:A,Product!C:C,"Bulunamadı")</f>
        <v>Photography</v>
      </c>
      <c r="G4934" s="2" t="str">
        <f t="array" ref="G4934">_xlfn.XLOOKUP(A4935,Product!A:A,Product!D:D,"Bulunamadı")</f>
        <v>Riverforge House</v>
      </c>
      <c r="H4934" s="2">
        <f t="array" ref="H4934">_xlfn.XLOOKUP(A4936,Product!A:A,Product!E:E,"Bulunamadı")</f>
        <v>1.37</v>
      </c>
      <c r="I4934" s="2" t="str">
        <f t="shared" si="1"/>
        <v>4375 - Medical - Photography</v>
      </c>
      <c r="J4934" s="2">
        <f t="shared" si="2"/>
        <v>343.87</v>
      </c>
      <c r="K4934" s="17">
        <f t="shared" si="3"/>
        <v>1</v>
      </c>
      <c r="L4934" s="18"/>
    </row>
    <row r="4935" hidden="1">
      <c r="A4935" s="2">
        <f>IFERROR(__xludf.DUMMYFUNCTION("""COMPUTED_VALUE"""),4380.0)</f>
        <v>4380</v>
      </c>
      <c r="B4935" s="2">
        <f>IFERROR(__xludf.DUMMYFUNCTION("""COMPUTED_VALUE"""),1.0)</f>
        <v>1</v>
      </c>
      <c r="C4935" s="2">
        <f>IFERROR(__xludf.DUMMYFUNCTION("""COMPUTED_VALUE"""),930.0)</f>
        <v>930</v>
      </c>
      <c r="D4935" s="3">
        <f>IFERROR(__xludf.DUMMYFUNCTION("""COMPUTED_VALUE"""),875.0)</f>
        <v>875</v>
      </c>
      <c r="E4935" s="1" t="str">
        <f t="array" ref="E4935">_xlfn.XLOOKUP(A4935,Product!A:A,Product!B:B,"Bulunamadı")</f>
        <v>Medical</v>
      </c>
      <c r="F4935" s="1" t="str">
        <f t="array" ref="F4935">_xlfn.XLOOKUP(A4935,Product!A:A,Product!C:C,"Bulunamadı")</f>
        <v>Photography</v>
      </c>
      <c r="G4935" s="2" t="str">
        <f t="array" ref="G4935">_xlfn.XLOOKUP(A4936,Product!A:A,Product!D:D,"Bulunamadı")</f>
        <v>Riverforge House</v>
      </c>
      <c r="H4935" s="2">
        <f t="array" ref="H4935">_xlfn.XLOOKUP(A4937,Product!A:A,Product!E:E,"Bulunamadı")</f>
        <v>2.16</v>
      </c>
      <c r="I4935" s="2" t="str">
        <f t="shared" si="1"/>
        <v>4380 - Medical - Photography</v>
      </c>
      <c r="J4935" s="2">
        <f t="shared" si="2"/>
        <v>1890</v>
      </c>
      <c r="K4935" s="17">
        <f t="shared" si="3"/>
        <v>1</v>
      </c>
      <c r="L4935" s="18"/>
    </row>
    <row r="4936" hidden="1">
      <c r="A4936" s="2">
        <f>IFERROR(__xludf.DUMMYFUNCTION("""COMPUTED_VALUE"""),84967.0)</f>
        <v>84967</v>
      </c>
      <c r="B4936" s="2">
        <f>IFERROR(__xludf.DUMMYFUNCTION("""COMPUTED_VALUE"""),1.0)</f>
        <v>1</v>
      </c>
      <c r="C4936" s="2">
        <f>IFERROR(__xludf.DUMMYFUNCTION("""COMPUTED_VALUE"""),749.0)</f>
        <v>749</v>
      </c>
      <c r="D4936" s="3">
        <f>IFERROR(__xludf.DUMMYFUNCTION("""COMPUTED_VALUE"""),318.0)</f>
        <v>318</v>
      </c>
      <c r="E4936" s="1" t="str">
        <f t="array" ref="E4936">_xlfn.XLOOKUP(A4936,Product!A:A,Product!B:B,"Bulunamadı")</f>
        <v>Medical</v>
      </c>
      <c r="F4936" s="1" t="str">
        <f t="array" ref="F4936">_xlfn.XLOOKUP(A4936,Product!A:A,Product!C:C,"Bulunamadı")</f>
        <v>Photography</v>
      </c>
      <c r="G4936" s="2" t="str">
        <f t="array" ref="G4936">_xlfn.XLOOKUP(A4937,Product!A:A,Product!D:D,"Bulunamadı")</f>
        <v>Riverforge House</v>
      </c>
      <c r="H4936" s="2">
        <f t="array" ref="H4936">_xlfn.XLOOKUP(A4938,Product!A:A,Product!E:E,"Bulunamadı")</f>
        <v>1.72</v>
      </c>
      <c r="I4936" s="2" t="str">
        <f t="shared" si="1"/>
        <v>84967 - Medical - Photography</v>
      </c>
      <c r="J4936" s="2">
        <f t="shared" si="2"/>
        <v>546.96</v>
      </c>
      <c r="K4936" s="17">
        <f t="shared" si="3"/>
        <v>1</v>
      </c>
      <c r="L4936" s="18"/>
    </row>
    <row r="4937" hidden="1">
      <c r="A4937" s="2">
        <f>IFERROR(__xludf.DUMMYFUNCTION("""COMPUTED_VALUE"""),4381.0)</f>
        <v>4381</v>
      </c>
      <c r="B4937" s="2">
        <f>IFERROR(__xludf.DUMMYFUNCTION("""COMPUTED_VALUE"""),1.0)</f>
        <v>1</v>
      </c>
      <c r="C4937" s="2">
        <f>IFERROR(__xludf.DUMMYFUNCTION("""COMPUTED_VALUE"""),248.0)</f>
        <v>248</v>
      </c>
      <c r="D4937" s="3">
        <f>IFERROR(__xludf.DUMMYFUNCTION("""COMPUTED_VALUE"""),171.0)</f>
        <v>171</v>
      </c>
      <c r="E4937" s="1" t="str">
        <f t="array" ref="E4937">_xlfn.XLOOKUP(A4937,Product!A:A,Product!B:B,"Bulunamadı")</f>
        <v>Medical</v>
      </c>
      <c r="F4937" s="1" t="str">
        <f t="array" ref="F4937">_xlfn.XLOOKUP(A4937,Product!A:A,Product!C:C,"Bulunamadı")</f>
        <v>Photography</v>
      </c>
      <c r="G4937" s="2" t="str">
        <f t="array" ref="G4937">_xlfn.XLOOKUP(A4938,Product!A:A,Product!D:D,"Bulunamadı")</f>
        <v>Riverforge House</v>
      </c>
      <c r="H4937" s="2">
        <f t="array" ref="H4937">_xlfn.XLOOKUP(A4939,Product!A:A,Product!E:E,"Bulunamadı")</f>
        <v>1.96</v>
      </c>
      <c r="I4937" s="2" t="str">
        <f t="shared" si="1"/>
        <v>4381 - Medical - Photography</v>
      </c>
      <c r="J4937" s="2">
        <f t="shared" si="2"/>
        <v>335.16</v>
      </c>
      <c r="K4937" s="17">
        <f t="shared" si="3"/>
        <v>1</v>
      </c>
      <c r="L4937" s="18"/>
    </row>
    <row r="4938" hidden="1">
      <c r="A4938" s="2">
        <f>IFERROR(__xludf.DUMMYFUNCTION("""COMPUTED_VALUE"""),4379.0)</f>
        <v>4379</v>
      </c>
      <c r="B4938" s="2">
        <f>IFERROR(__xludf.DUMMYFUNCTION("""COMPUTED_VALUE"""),0.0)</f>
        <v>0</v>
      </c>
      <c r="C4938" s="2">
        <f>IFERROR(__xludf.DUMMYFUNCTION("""COMPUTED_VALUE"""),622.0)</f>
        <v>622</v>
      </c>
      <c r="D4938" s="3">
        <f>IFERROR(__xludf.DUMMYFUNCTION("""COMPUTED_VALUE"""),360.0)</f>
        <v>360</v>
      </c>
      <c r="E4938" s="1" t="str">
        <f t="array" ref="E4938">_xlfn.XLOOKUP(A4938,Product!A:A,Product!B:B,"Bulunamadı")</f>
        <v>Medical</v>
      </c>
      <c r="F4938" s="1" t="str">
        <f t="array" ref="F4938">_xlfn.XLOOKUP(A4938,Product!A:A,Product!C:C,"Bulunamadı")</f>
        <v>Photography</v>
      </c>
      <c r="G4938" s="2" t="str">
        <f t="array" ref="G4938">_xlfn.XLOOKUP(A4939,Product!A:A,Product!D:D,"Bulunamadı")</f>
        <v>Riverforge House</v>
      </c>
      <c r="H4938" s="2">
        <f t="array" ref="H4938">_xlfn.XLOOKUP(A4940,Product!A:A,Product!E:E,"Bulunamadı")</f>
        <v>0.78</v>
      </c>
      <c r="I4938" s="2" t="str">
        <f t="shared" si="1"/>
        <v>4379 - Medical - Photography</v>
      </c>
      <c r="J4938" s="2">
        <f t="shared" si="2"/>
        <v>280.8</v>
      </c>
      <c r="K4938" s="17">
        <f t="shared" si="3"/>
        <v>1</v>
      </c>
      <c r="L4938" s="18"/>
    </row>
    <row r="4939" hidden="1">
      <c r="A4939" s="2">
        <f>IFERROR(__xludf.DUMMYFUNCTION("""COMPUTED_VALUE"""),4383.0)</f>
        <v>4383</v>
      </c>
      <c r="B4939" s="2">
        <f>IFERROR(__xludf.DUMMYFUNCTION("""COMPUTED_VALUE"""),1.0)</f>
        <v>1</v>
      </c>
      <c r="C4939" s="2">
        <f>IFERROR(__xludf.DUMMYFUNCTION("""COMPUTED_VALUE"""),777.0)</f>
        <v>777</v>
      </c>
      <c r="D4939" s="3">
        <f>IFERROR(__xludf.DUMMYFUNCTION("""COMPUTED_VALUE"""),669.0)</f>
        <v>669</v>
      </c>
      <c r="E4939" s="1" t="str">
        <f t="array" ref="E4939">_xlfn.XLOOKUP(A4939,Product!A:A,Product!B:B,"Bulunamadı")</f>
        <v>Medical</v>
      </c>
      <c r="F4939" s="1" t="str">
        <f t="array" ref="F4939">_xlfn.XLOOKUP(A4939,Product!A:A,Product!C:C,"Bulunamadı")</f>
        <v>Photography</v>
      </c>
      <c r="G4939" s="2" t="str">
        <f t="array" ref="G4939">_xlfn.XLOOKUP(A4940,Product!A:A,Product!D:D,"Bulunamadı")</f>
        <v>Ironforge House</v>
      </c>
      <c r="H4939" s="2">
        <f t="array" ref="H4939">_xlfn.XLOOKUP(A4941,Product!A:A,Product!E:E,"Bulunamadı")</f>
        <v>0.59</v>
      </c>
      <c r="I4939" s="2" t="str">
        <f t="shared" si="1"/>
        <v>4383 - Medical - Photography</v>
      </c>
      <c r="J4939" s="2">
        <f t="shared" si="2"/>
        <v>394.71</v>
      </c>
      <c r="K4939" s="17">
        <f t="shared" si="3"/>
        <v>1</v>
      </c>
      <c r="L4939" s="18"/>
    </row>
    <row r="4940" hidden="1">
      <c r="A4940" s="2">
        <f>IFERROR(__xludf.DUMMYFUNCTION("""COMPUTED_VALUE"""),110770.0)</f>
        <v>110770</v>
      </c>
      <c r="B4940" s="2">
        <f>IFERROR(__xludf.DUMMYFUNCTION("""COMPUTED_VALUE"""),1.0)</f>
        <v>1</v>
      </c>
      <c r="C4940" s="2">
        <f>IFERROR(__xludf.DUMMYFUNCTION("""COMPUTED_VALUE"""),748.0)</f>
        <v>748</v>
      </c>
      <c r="D4940" s="3">
        <f>IFERROR(__xludf.DUMMYFUNCTION("""COMPUTED_VALUE"""),255.0)</f>
        <v>255</v>
      </c>
      <c r="E4940" s="1" t="str">
        <f t="array" ref="E4940">_xlfn.XLOOKUP(A4940,Product!A:A,Product!B:B,"Bulunamadı")</f>
        <v>Medical</v>
      </c>
      <c r="F4940" s="1" t="str">
        <f t="array" ref="F4940">_xlfn.XLOOKUP(A4940,Product!A:A,Product!C:C,"Bulunamadı")</f>
        <v>Photography</v>
      </c>
      <c r="G4940" s="2" t="str">
        <f t="array" ref="G4940">_xlfn.XLOOKUP(A4941,Product!A:A,Product!D:D,"Bulunamadı")</f>
        <v>Ironforge House</v>
      </c>
      <c r="H4940" s="2">
        <f t="array" ref="H4940">_xlfn.XLOOKUP(A4942,Product!A:A,Product!E:E,"Bulunamadı")</f>
        <v>1.16</v>
      </c>
      <c r="I4940" s="2" t="str">
        <f t="shared" si="1"/>
        <v>110770 - Medical - Photography</v>
      </c>
      <c r="J4940" s="2">
        <f t="shared" si="2"/>
        <v>295.8</v>
      </c>
      <c r="K4940" s="17">
        <f t="shared" si="3"/>
        <v>1</v>
      </c>
      <c r="L4940" s="18"/>
    </row>
    <row r="4941" hidden="1">
      <c r="A4941" s="2">
        <f>IFERROR(__xludf.DUMMYFUNCTION("""COMPUTED_VALUE"""),110764.0)</f>
        <v>110764</v>
      </c>
      <c r="B4941" s="2">
        <f>IFERROR(__xludf.DUMMYFUNCTION("""COMPUTED_VALUE"""),0.0)</f>
        <v>0</v>
      </c>
      <c r="C4941" s="2">
        <f>IFERROR(__xludf.DUMMYFUNCTION("""COMPUTED_VALUE"""),512.0)</f>
        <v>512</v>
      </c>
      <c r="D4941" s="3">
        <f>IFERROR(__xludf.DUMMYFUNCTION("""COMPUTED_VALUE"""),350.0)</f>
        <v>350</v>
      </c>
      <c r="E4941" s="1" t="str">
        <f t="array" ref="E4941">_xlfn.XLOOKUP(A4941,Product!A:A,Product!B:B,"Bulunamadı")</f>
        <v>Medical</v>
      </c>
      <c r="F4941" s="1" t="str">
        <f t="array" ref="F4941">_xlfn.XLOOKUP(A4941,Product!A:A,Product!C:C,"Bulunamadı")</f>
        <v>Photography</v>
      </c>
      <c r="G4941" s="2" t="str">
        <f t="array" ref="G4941">_xlfn.XLOOKUP(A4942,Product!A:A,Product!D:D,"Bulunamadı")</f>
        <v>Ironforge House</v>
      </c>
      <c r="H4941" s="2">
        <f t="array" ref="H4941">_xlfn.XLOOKUP(A4943,Product!A:A,Product!E:E,"Bulunamadı")</f>
        <v>0.58</v>
      </c>
      <c r="I4941" s="2" t="str">
        <f t="shared" si="1"/>
        <v>110764 - Medical - Photography</v>
      </c>
      <c r="J4941" s="2">
        <f t="shared" si="2"/>
        <v>203</v>
      </c>
      <c r="K4941" s="17">
        <f t="shared" si="3"/>
        <v>1</v>
      </c>
      <c r="L4941" s="18"/>
    </row>
    <row r="4942" hidden="1">
      <c r="A4942" s="2">
        <f>IFERROR(__xludf.DUMMYFUNCTION("""COMPUTED_VALUE"""),109355.0)</f>
        <v>109355</v>
      </c>
      <c r="B4942" s="2">
        <f>IFERROR(__xludf.DUMMYFUNCTION("""COMPUTED_VALUE"""),0.0)</f>
        <v>0</v>
      </c>
      <c r="C4942" s="2">
        <f>IFERROR(__xludf.DUMMYFUNCTION("""COMPUTED_VALUE"""),65.0)</f>
        <v>65</v>
      </c>
      <c r="D4942" s="3">
        <f>IFERROR(__xludf.DUMMYFUNCTION("""COMPUTED_VALUE"""),11.0)</f>
        <v>11</v>
      </c>
      <c r="E4942" s="1" t="str">
        <f t="array" ref="E4942">_xlfn.XLOOKUP(A4942,Product!A:A,Product!B:B,"Bulunamadı")</f>
        <v>Medical</v>
      </c>
      <c r="F4942" s="1" t="str">
        <f t="array" ref="F4942">_xlfn.XLOOKUP(A4942,Product!A:A,Product!C:C,"Bulunamadı")</f>
        <v>Photography</v>
      </c>
      <c r="G4942" s="2" t="str">
        <f t="array" ref="G4942">_xlfn.XLOOKUP(A4943,Product!A:A,Product!D:D,"Bulunamadı")</f>
        <v>Ironforge House</v>
      </c>
      <c r="H4942" s="2">
        <f t="array" ref="H4942">_xlfn.XLOOKUP(A4944,Product!A:A,Product!E:E,"Bulunamadı")</f>
        <v>7.27</v>
      </c>
      <c r="I4942" s="2" t="str">
        <f t="shared" si="1"/>
        <v>109355 - Medical - Photography</v>
      </c>
      <c r="J4942" s="2">
        <f t="shared" si="2"/>
        <v>79.97</v>
      </c>
      <c r="K4942" s="17">
        <f t="shared" si="3"/>
        <v>1</v>
      </c>
      <c r="L4942" s="18"/>
    </row>
    <row r="4943" hidden="1">
      <c r="A4943" s="2">
        <f>IFERROR(__xludf.DUMMYFUNCTION("""COMPUTED_VALUE"""),110765.0)</f>
        <v>110765</v>
      </c>
      <c r="B4943" s="2">
        <f>IFERROR(__xludf.DUMMYFUNCTION("""COMPUTED_VALUE"""),1.0)</f>
        <v>1</v>
      </c>
      <c r="C4943" s="2">
        <f>IFERROR(__xludf.DUMMYFUNCTION("""COMPUTED_VALUE"""),944.0)</f>
        <v>944</v>
      </c>
      <c r="D4943" s="3">
        <f>IFERROR(__xludf.DUMMYFUNCTION("""COMPUTED_VALUE"""),12.0)</f>
        <v>12</v>
      </c>
      <c r="E4943" s="1" t="str">
        <f t="array" ref="E4943">_xlfn.XLOOKUP(A4943,Product!A:A,Product!B:B,"Bulunamadı")</f>
        <v>Medical</v>
      </c>
      <c r="F4943" s="1" t="str">
        <f t="array" ref="F4943">_xlfn.XLOOKUP(A4943,Product!A:A,Product!C:C,"Bulunamadı")</f>
        <v>Photography</v>
      </c>
      <c r="G4943" s="2" t="str">
        <f t="array" ref="G4943">_xlfn.XLOOKUP(A4944,Product!A:A,Product!D:D,"Bulunamadı")</f>
        <v>Ironforge House</v>
      </c>
      <c r="H4943" s="2">
        <f t="array" ref="H4943">_xlfn.XLOOKUP(A4945,Product!A:A,Product!E:E,"Bulunamadı")</f>
        <v>1.03</v>
      </c>
      <c r="I4943" s="2" t="str">
        <f t="shared" si="1"/>
        <v>110765 - Medical - Photography</v>
      </c>
      <c r="J4943" s="2">
        <f t="shared" si="2"/>
        <v>12.36</v>
      </c>
      <c r="K4943" s="17">
        <f t="shared" si="3"/>
        <v>1</v>
      </c>
      <c r="L4943" s="18"/>
    </row>
    <row r="4944" hidden="1">
      <c r="A4944" s="2">
        <f>IFERROR(__xludf.DUMMYFUNCTION("""COMPUTED_VALUE"""),103510.0)</f>
        <v>103510</v>
      </c>
      <c r="B4944" s="2">
        <f>IFERROR(__xludf.DUMMYFUNCTION("""COMPUTED_VALUE"""),1.0)</f>
        <v>1</v>
      </c>
      <c r="C4944" s="2">
        <f>IFERROR(__xludf.DUMMYFUNCTION("""COMPUTED_VALUE"""),590.0)</f>
        <v>590</v>
      </c>
      <c r="D4944" s="3">
        <f>IFERROR(__xludf.DUMMYFUNCTION("""COMPUTED_VALUE"""),169.0)</f>
        <v>169</v>
      </c>
      <c r="E4944" s="1" t="str">
        <f t="array" ref="E4944">_xlfn.XLOOKUP(A4944,Product!A:A,Product!B:B,"Bulunamadı")</f>
        <v>Medical</v>
      </c>
      <c r="F4944" s="1" t="str">
        <f t="array" ref="F4944">_xlfn.XLOOKUP(A4944,Product!A:A,Product!C:C,"Bulunamadı")</f>
        <v>Photography</v>
      </c>
      <c r="G4944" s="2" t="str">
        <f t="array" ref="G4944">_xlfn.XLOOKUP(A4945,Product!A:A,Product!D:D,"Bulunamadı")</f>
        <v>Ironforge House</v>
      </c>
      <c r="H4944" s="2">
        <f t="array" ref="H4944">_xlfn.XLOOKUP(A4946,Product!A:A,Product!E:E,"Bulunamadı")</f>
        <v>0.55</v>
      </c>
      <c r="I4944" s="2" t="str">
        <f t="shared" si="1"/>
        <v>103510 - Medical - Photography</v>
      </c>
      <c r="J4944" s="2">
        <f t="shared" si="2"/>
        <v>92.95</v>
      </c>
      <c r="K4944" s="17">
        <f t="shared" si="3"/>
        <v>1</v>
      </c>
      <c r="L4944" s="18"/>
    </row>
    <row r="4945" hidden="1">
      <c r="A4945" s="2">
        <f>IFERROR(__xludf.DUMMYFUNCTION("""COMPUTED_VALUE"""),114936.0)</f>
        <v>114936</v>
      </c>
      <c r="B4945" s="2">
        <f>IFERROR(__xludf.DUMMYFUNCTION("""COMPUTED_VALUE"""),1.0)</f>
        <v>1</v>
      </c>
      <c r="C4945" s="2">
        <f>IFERROR(__xludf.DUMMYFUNCTION("""COMPUTED_VALUE"""),202.0)</f>
        <v>202</v>
      </c>
      <c r="D4945" s="3">
        <f>IFERROR(__xludf.DUMMYFUNCTION("""COMPUTED_VALUE"""),8.0)</f>
        <v>8</v>
      </c>
      <c r="E4945" s="1" t="str">
        <f t="array" ref="E4945">_xlfn.XLOOKUP(A4945,Product!A:A,Product!B:B,"Bulunamadı")</f>
        <v>Medical</v>
      </c>
      <c r="F4945" s="1" t="str">
        <f t="array" ref="F4945">_xlfn.XLOOKUP(A4945,Product!A:A,Product!C:C,"Bulunamadı")</f>
        <v>Photography</v>
      </c>
      <c r="G4945" s="2" t="str">
        <f t="array" ref="G4945">_xlfn.XLOOKUP(A4946,Product!A:A,Product!D:D,"Bulunamadı")</f>
        <v>Ironforge House</v>
      </c>
      <c r="H4945" s="2">
        <f t="array" ref="H4945">_xlfn.XLOOKUP(A4947,Product!A:A,Product!E:E,"Bulunamadı")</f>
        <v>0.59</v>
      </c>
      <c r="I4945" s="2" t="str">
        <f t="shared" si="1"/>
        <v>114936 - Medical - Photography</v>
      </c>
      <c r="J4945" s="2">
        <f t="shared" si="2"/>
        <v>4.72</v>
      </c>
      <c r="K4945" s="17">
        <f t="shared" si="3"/>
        <v>1</v>
      </c>
      <c r="L4945" s="18"/>
    </row>
    <row r="4946" hidden="1">
      <c r="A4946" s="2">
        <f>IFERROR(__xludf.DUMMYFUNCTION("""COMPUTED_VALUE"""),114935.0)</f>
        <v>114935</v>
      </c>
      <c r="B4946" s="2">
        <f>IFERROR(__xludf.DUMMYFUNCTION("""COMPUTED_VALUE"""),1.0)</f>
        <v>1</v>
      </c>
      <c r="C4946" s="2">
        <f>IFERROR(__xludf.DUMMYFUNCTION("""COMPUTED_VALUE"""),312.0)</f>
        <v>312</v>
      </c>
      <c r="D4946" s="3">
        <f>IFERROR(__xludf.DUMMYFUNCTION("""COMPUTED_VALUE"""),94.0)</f>
        <v>94</v>
      </c>
      <c r="E4946" s="1" t="str">
        <f t="array" ref="E4946">_xlfn.XLOOKUP(A4946,Product!A:A,Product!B:B,"Bulunamadı")</f>
        <v>Medical</v>
      </c>
      <c r="F4946" s="1" t="str">
        <f t="array" ref="F4946">_xlfn.XLOOKUP(A4946,Product!A:A,Product!C:C,"Bulunamadı")</f>
        <v>Photography</v>
      </c>
      <c r="G4946" s="2" t="str">
        <f t="array" ref="G4946">_xlfn.XLOOKUP(A4947,Product!A:A,Product!D:D,"Bulunamadı")</f>
        <v>Ironforge House</v>
      </c>
      <c r="H4946" s="2">
        <f t="array" ref="H4946">_xlfn.XLOOKUP(A4948,Product!A:A,Product!E:E,"Bulunamadı")</f>
        <v>1.24</v>
      </c>
      <c r="I4946" s="2" t="str">
        <f t="shared" si="1"/>
        <v>114935 - Medical - Photography</v>
      </c>
      <c r="J4946" s="2">
        <f t="shared" si="2"/>
        <v>116.56</v>
      </c>
      <c r="K4946" s="17">
        <f t="shared" si="3"/>
        <v>1</v>
      </c>
      <c r="L4946" s="18"/>
    </row>
    <row r="4947" hidden="1">
      <c r="A4947" s="2">
        <f>IFERROR(__xludf.DUMMYFUNCTION("""COMPUTED_VALUE"""),110768.0)</f>
        <v>110768</v>
      </c>
      <c r="B4947" s="2">
        <f>IFERROR(__xludf.DUMMYFUNCTION("""COMPUTED_VALUE"""),1.0)</f>
        <v>1</v>
      </c>
      <c r="C4947" s="2">
        <f>IFERROR(__xludf.DUMMYFUNCTION("""COMPUTED_VALUE"""),437.0)</f>
        <v>437</v>
      </c>
      <c r="D4947" s="3">
        <f>IFERROR(__xludf.DUMMYFUNCTION("""COMPUTED_VALUE"""),34.0)</f>
        <v>34</v>
      </c>
      <c r="E4947" s="1" t="str">
        <f t="array" ref="E4947">_xlfn.XLOOKUP(A4947,Product!A:A,Product!B:B,"Bulunamadı")</f>
        <v>Medical</v>
      </c>
      <c r="F4947" s="1" t="str">
        <f t="array" ref="F4947">_xlfn.XLOOKUP(A4947,Product!A:A,Product!C:C,"Bulunamadı")</f>
        <v>Photography</v>
      </c>
      <c r="G4947" s="2" t="str">
        <f t="array" ref="G4947">_xlfn.XLOOKUP(A4948,Product!A:A,Product!D:D,"Bulunamadı")</f>
        <v>Silverpeak Publishing</v>
      </c>
      <c r="H4947" s="2">
        <f t="array" ref="H4947">_xlfn.XLOOKUP(A4949,Product!A:A,Product!E:E,"Bulunamadı")</f>
        <v>0.81</v>
      </c>
      <c r="I4947" s="2" t="str">
        <f t="shared" si="1"/>
        <v>110768 - Medical - Photography</v>
      </c>
      <c r="J4947" s="2">
        <f t="shared" si="2"/>
        <v>27.54</v>
      </c>
      <c r="K4947" s="17">
        <f t="shared" si="3"/>
        <v>1</v>
      </c>
      <c r="L4947" s="18"/>
    </row>
    <row r="4948" hidden="1">
      <c r="A4948" s="2">
        <f>IFERROR(__xludf.DUMMYFUNCTION("""COMPUTED_VALUE"""),120256.0)</f>
        <v>120256</v>
      </c>
      <c r="B4948" s="2">
        <f>IFERROR(__xludf.DUMMYFUNCTION("""COMPUTED_VALUE"""),0.0)</f>
        <v>0</v>
      </c>
      <c r="C4948" s="2">
        <f>IFERROR(__xludf.DUMMYFUNCTION("""COMPUTED_VALUE"""),970.0)</f>
        <v>970</v>
      </c>
      <c r="D4948" s="3">
        <f>IFERROR(__xludf.DUMMYFUNCTION("""COMPUTED_VALUE"""),776.0)</f>
        <v>776</v>
      </c>
      <c r="E4948" s="1" t="str">
        <f t="array" ref="E4948">_xlfn.XLOOKUP(A4948,Product!A:A,Product!B:B,"Bulunamadı")</f>
        <v>Medical</v>
      </c>
      <c r="F4948" s="1" t="str">
        <f t="array" ref="F4948">_xlfn.XLOOKUP(A4948,Product!A:A,Product!C:C,"Bulunamadı")</f>
        <v>Photography</v>
      </c>
      <c r="G4948" s="2" t="str">
        <f t="array" ref="G4948">_xlfn.XLOOKUP(A4949,Product!A:A,Product!D:D,"Bulunamadı")</f>
        <v>Silverpeak Publishing</v>
      </c>
      <c r="H4948" s="2">
        <f t="array" ref="H4948">_xlfn.XLOOKUP(A4950,Product!A:A,Product!E:E,"Bulunamadı")</f>
        <v>1.01</v>
      </c>
      <c r="I4948" s="2" t="str">
        <f t="shared" si="1"/>
        <v>120256 - Medical - Photography</v>
      </c>
      <c r="J4948" s="2">
        <f t="shared" si="2"/>
        <v>783.76</v>
      </c>
      <c r="K4948" s="17">
        <f t="shared" si="3"/>
        <v>1</v>
      </c>
      <c r="L4948" s="18"/>
    </row>
    <row r="4949" hidden="1">
      <c r="A4949" s="2">
        <f>IFERROR(__xludf.DUMMYFUNCTION("""COMPUTED_VALUE"""),101783.0)</f>
        <v>101783</v>
      </c>
      <c r="B4949" s="2">
        <f>IFERROR(__xludf.DUMMYFUNCTION("""COMPUTED_VALUE"""),1.0)</f>
        <v>1</v>
      </c>
      <c r="C4949" s="2">
        <f>IFERROR(__xludf.DUMMYFUNCTION("""COMPUTED_VALUE"""),622.0)</f>
        <v>622</v>
      </c>
      <c r="D4949" s="3">
        <f>IFERROR(__xludf.DUMMYFUNCTION("""COMPUTED_VALUE"""),113.0)</f>
        <v>113</v>
      </c>
      <c r="E4949" s="1" t="str">
        <f t="array" ref="E4949">_xlfn.XLOOKUP(A4949,Product!A:A,Product!B:B,"Bulunamadı")</f>
        <v>Medical</v>
      </c>
      <c r="F4949" s="1" t="str">
        <f t="array" ref="F4949">_xlfn.XLOOKUP(A4949,Product!A:A,Product!C:C,"Bulunamadı")</f>
        <v>Photography</v>
      </c>
      <c r="G4949" s="2" t="str">
        <f t="array" ref="G4949">_xlfn.XLOOKUP(A4950,Product!A:A,Product!D:D,"Bulunamadı")</f>
        <v>Silverpeak Publishing</v>
      </c>
      <c r="H4949" s="2">
        <f t="array" ref="H4949">_xlfn.XLOOKUP(A4951,Product!A:A,Product!E:E,"Bulunamadı")</f>
        <v>1.14</v>
      </c>
      <c r="I4949" s="2" t="str">
        <f t="shared" si="1"/>
        <v>101783 - Medical - Photography</v>
      </c>
      <c r="J4949" s="2">
        <f t="shared" si="2"/>
        <v>128.82</v>
      </c>
      <c r="K4949" s="17">
        <f t="shared" si="3"/>
        <v>1</v>
      </c>
      <c r="L4949" s="18"/>
    </row>
    <row r="4950" hidden="1">
      <c r="A4950" s="2">
        <f>IFERROR(__xludf.DUMMYFUNCTION("""COMPUTED_VALUE"""),75766.0)</f>
        <v>75766</v>
      </c>
      <c r="B4950" s="2">
        <f>IFERROR(__xludf.DUMMYFUNCTION("""COMPUTED_VALUE"""),0.0)</f>
        <v>0</v>
      </c>
      <c r="C4950" s="2">
        <f>IFERROR(__xludf.DUMMYFUNCTION("""COMPUTED_VALUE"""),845.0)</f>
        <v>845</v>
      </c>
      <c r="D4950" s="3">
        <f>IFERROR(__xludf.DUMMYFUNCTION("""COMPUTED_VALUE"""),123.0)</f>
        <v>123</v>
      </c>
      <c r="E4950" s="1" t="str">
        <f t="array" ref="E4950">_xlfn.XLOOKUP(A4950,Product!A:A,Product!B:B,"Bulunamadı")</f>
        <v>Medical</v>
      </c>
      <c r="F4950" s="1" t="str">
        <f t="array" ref="F4950">_xlfn.XLOOKUP(A4950,Product!A:A,Product!C:C,"Bulunamadı")</f>
        <v>Photography</v>
      </c>
      <c r="G4950" s="2" t="str">
        <f t="array" ref="G4950">_xlfn.XLOOKUP(A4951,Product!A:A,Product!D:D,"Bulunamadı")</f>
        <v>Silverpeak Publishing</v>
      </c>
      <c r="H4950" s="2">
        <f t="array" ref="H4950">_xlfn.XLOOKUP(A4952,Product!A:A,Product!E:E,"Bulunamadı")</f>
        <v>0.94</v>
      </c>
      <c r="I4950" s="2" t="str">
        <f t="shared" si="1"/>
        <v>75766 - Medical - Photography</v>
      </c>
      <c r="J4950" s="2">
        <f t="shared" si="2"/>
        <v>115.62</v>
      </c>
      <c r="K4950" s="17">
        <f t="shared" si="3"/>
        <v>1</v>
      </c>
      <c r="L4950" s="18"/>
    </row>
    <row r="4951" hidden="1">
      <c r="A4951" s="2">
        <f>IFERROR(__xludf.DUMMYFUNCTION("""COMPUTED_VALUE"""),69756.0)</f>
        <v>69756</v>
      </c>
      <c r="B4951" s="2">
        <f>IFERROR(__xludf.DUMMYFUNCTION("""COMPUTED_VALUE"""),0.0)</f>
        <v>0</v>
      </c>
      <c r="C4951" s="2">
        <f>IFERROR(__xludf.DUMMYFUNCTION("""COMPUTED_VALUE"""),95.0)</f>
        <v>95</v>
      </c>
      <c r="D4951" s="3">
        <f>IFERROR(__xludf.DUMMYFUNCTION("""COMPUTED_VALUE"""),70.0)</f>
        <v>70</v>
      </c>
      <c r="E4951" s="1" t="str">
        <f t="array" ref="E4951">_xlfn.XLOOKUP(A4951,Product!A:A,Product!B:B,"Bulunamadı")</f>
        <v>Medical</v>
      </c>
      <c r="F4951" s="1" t="str">
        <f t="array" ref="F4951">_xlfn.XLOOKUP(A4951,Product!A:A,Product!C:C,"Bulunamadı")</f>
        <v>Photography</v>
      </c>
      <c r="G4951" s="2" t="str">
        <f t="array" ref="G4951">_xlfn.XLOOKUP(A4952,Product!A:A,Product!D:D,"Bulunamadı")</f>
        <v>Silverpeak Publishing</v>
      </c>
      <c r="H4951" s="2">
        <f t="array" ref="H4951">_xlfn.XLOOKUP(A4953,Product!A:A,Product!E:E,"Bulunamadı")</f>
        <v>2.67</v>
      </c>
      <c r="I4951" s="2" t="str">
        <f t="shared" si="1"/>
        <v>69756 - Medical - Photography</v>
      </c>
      <c r="J4951" s="2">
        <f t="shared" si="2"/>
        <v>186.9</v>
      </c>
      <c r="K4951" s="17">
        <f t="shared" si="3"/>
        <v>1</v>
      </c>
      <c r="L4951" s="18"/>
    </row>
    <row r="4952" hidden="1">
      <c r="A4952" s="2">
        <f>IFERROR(__xludf.DUMMYFUNCTION("""COMPUTED_VALUE"""),112471.0)</f>
        <v>112471</v>
      </c>
      <c r="B4952" s="2">
        <f>IFERROR(__xludf.DUMMYFUNCTION("""COMPUTED_VALUE"""),1.0)</f>
        <v>1</v>
      </c>
      <c r="C4952" s="2">
        <f>IFERROR(__xludf.DUMMYFUNCTION("""COMPUTED_VALUE"""),918.0)</f>
        <v>918</v>
      </c>
      <c r="D4952" s="3">
        <f>IFERROR(__xludf.DUMMYFUNCTION("""COMPUTED_VALUE"""),630.0)</f>
        <v>630</v>
      </c>
      <c r="E4952" s="1" t="str">
        <f t="array" ref="E4952">_xlfn.XLOOKUP(A4952,Product!A:A,Product!B:B,"Bulunamadı")</f>
        <v>Medical</v>
      </c>
      <c r="F4952" s="1" t="str">
        <f t="array" ref="F4952">_xlfn.XLOOKUP(A4952,Product!A:A,Product!C:C,"Bulunamadı")</f>
        <v>Photography</v>
      </c>
      <c r="G4952" s="2" t="str">
        <f t="array" ref="G4952">_xlfn.XLOOKUP(A4953,Product!A:A,Product!D:D,"Bulunamadı")</f>
        <v>Silverpeak Publishing</v>
      </c>
      <c r="H4952" s="2">
        <f t="array" ref="H4952">_xlfn.XLOOKUP(A4954,Product!A:A,Product!E:E,"Bulunamadı")</f>
        <v>0.81</v>
      </c>
      <c r="I4952" s="2" t="str">
        <f t="shared" si="1"/>
        <v>112471 - Medical - Photography</v>
      </c>
      <c r="J4952" s="2">
        <f t="shared" si="2"/>
        <v>510.3</v>
      </c>
      <c r="K4952" s="17">
        <f t="shared" si="3"/>
        <v>1</v>
      </c>
      <c r="L4952" s="18"/>
    </row>
    <row r="4953" hidden="1">
      <c r="A4953" s="2">
        <f>IFERROR(__xludf.DUMMYFUNCTION("""COMPUTED_VALUE"""),99040.0)</f>
        <v>99040</v>
      </c>
      <c r="B4953" s="2">
        <f>IFERROR(__xludf.DUMMYFUNCTION("""COMPUTED_VALUE"""),0.0)</f>
        <v>0</v>
      </c>
      <c r="C4953" s="2">
        <f>IFERROR(__xludf.DUMMYFUNCTION("""COMPUTED_VALUE"""),342.0)</f>
        <v>342</v>
      </c>
      <c r="D4953" s="3">
        <f>IFERROR(__xludf.DUMMYFUNCTION("""COMPUTED_VALUE"""),27.0)</f>
        <v>27</v>
      </c>
      <c r="E4953" s="1" t="str">
        <f t="array" ref="E4953">_xlfn.XLOOKUP(A4953,Product!A:A,Product!B:B,"Bulunamadı")</f>
        <v>Medical</v>
      </c>
      <c r="F4953" s="1" t="str">
        <f t="array" ref="F4953">_xlfn.XLOOKUP(A4953,Product!A:A,Product!C:C,"Bulunamadı")</f>
        <v>Photography</v>
      </c>
      <c r="G4953" s="2" t="str">
        <f t="array" ref="G4953">_xlfn.XLOOKUP(A4954,Product!A:A,Product!D:D,"Bulunamadı")</f>
        <v>Silverpeak Publishing</v>
      </c>
      <c r="H4953" s="2">
        <f t="array" ref="H4953">_xlfn.XLOOKUP(A4955,Product!A:A,Product!E:E,"Bulunamadı")</f>
        <v>1.03</v>
      </c>
      <c r="I4953" s="2" t="str">
        <f t="shared" si="1"/>
        <v>99040 - Medical - Photography</v>
      </c>
      <c r="J4953" s="2">
        <f t="shared" si="2"/>
        <v>27.81</v>
      </c>
      <c r="K4953" s="17">
        <f t="shared" si="3"/>
        <v>1</v>
      </c>
      <c r="L4953" s="18"/>
    </row>
    <row r="4954" hidden="1">
      <c r="A4954" s="2">
        <f>IFERROR(__xludf.DUMMYFUNCTION("""COMPUTED_VALUE"""),112321.0)</f>
        <v>112321</v>
      </c>
      <c r="B4954" s="2">
        <f>IFERROR(__xludf.DUMMYFUNCTION("""COMPUTED_VALUE"""),0.0)</f>
        <v>0</v>
      </c>
      <c r="C4954" s="2">
        <f>IFERROR(__xludf.DUMMYFUNCTION("""COMPUTED_VALUE"""),75.0)</f>
        <v>75</v>
      </c>
      <c r="D4954" s="3">
        <f>IFERROR(__xludf.DUMMYFUNCTION("""COMPUTED_VALUE"""),64.0)</f>
        <v>64</v>
      </c>
      <c r="E4954" s="1" t="str">
        <f t="array" ref="E4954">_xlfn.XLOOKUP(A4954,Product!A:A,Product!B:B,"Bulunamadı")</f>
        <v>Medical</v>
      </c>
      <c r="F4954" s="1" t="str">
        <f t="array" ref="F4954">_xlfn.XLOOKUP(A4954,Product!A:A,Product!C:C,"Bulunamadı")</f>
        <v>Photography</v>
      </c>
      <c r="G4954" s="2" t="str">
        <f t="array" ref="G4954">_xlfn.XLOOKUP(A4955,Product!A:A,Product!D:D,"Bulunamadı")</f>
        <v>Silverpeak Publishing</v>
      </c>
      <c r="H4954" s="2">
        <f t="array" ref="H4954">_xlfn.XLOOKUP(A4956,Product!A:A,Product!E:E,"Bulunamadı")</f>
        <v>0.75</v>
      </c>
      <c r="I4954" s="2" t="str">
        <f t="shared" si="1"/>
        <v>112321 - Medical - Photography</v>
      </c>
      <c r="J4954" s="2">
        <f t="shared" si="2"/>
        <v>48</v>
      </c>
      <c r="K4954" s="17">
        <f t="shared" si="3"/>
        <v>1</v>
      </c>
      <c r="L4954" s="18"/>
    </row>
    <row r="4955" hidden="1">
      <c r="A4955" s="2">
        <f>IFERROR(__xludf.DUMMYFUNCTION("""COMPUTED_VALUE"""),139296.0)</f>
        <v>139296</v>
      </c>
      <c r="B4955" s="2">
        <f>IFERROR(__xludf.DUMMYFUNCTION("""COMPUTED_VALUE"""),1.0)</f>
        <v>1</v>
      </c>
      <c r="C4955" s="2">
        <f>IFERROR(__xludf.DUMMYFUNCTION("""COMPUTED_VALUE"""),552.0)</f>
        <v>552</v>
      </c>
      <c r="D4955" s="3">
        <f>IFERROR(__xludf.DUMMYFUNCTION("""COMPUTED_VALUE"""),126.0)</f>
        <v>126</v>
      </c>
      <c r="E4955" s="1" t="str">
        <f t="array" ref="E4955">_xlfn.XLOOKUP(A4955,Product!A:A,Product!B:B,"Bulunamadı")</f>
        <v>Medical</v>
      </c>
      <c r="F4955" s="1" t="str">
        <f t="array" ref="F4955">_xlfn.XLOOKUP(A4955,Product!A:A,Product!C:C,"Bulunamadı")</f>
        <v>Photography</v>
      </c>
      <c r="G4955" s="2" t="str">
        <f t="array" ref="G4955">_xlfn.XLOOKUP(A4956,Product!A:A,Product!D:D,"Bulunamadı")</f>
        <v>Silverpeak Publishing</v>
      </c>
      <c r="H4955" s="2">
        <f t="array" ref="H4955">_xlfn.XLOOKUP(A4957,Product!A:A,Product!E:E,"Bulunamadı")</f>
        <v>2.5</v>
      </c>
      <c r="I4955" s="2" t="str">
        <f t="shared" si="1"/>
        <v>139296 - Medical - Photography</v>
      </c>
      <c r="J4955" s="2">
        <f t="shared" si="2"/>
        <v>315</v>
      </c>
      <c r="K4955" s="17">
        <f t="shared" si="3"/>
        <v>1</v>
      </c>
      <c r="L4955" s="18"/>
    </row>
    <row r="4956" hidden="1">
      <c r="A4956" s="2">
        <f>IFERROR(__xludf.DUMMYFUNCTION("""COMPUTED_VALUE"""),112318.0)</f>
        <v>112318</v>
      </c>
      <c r="B4956" s="2">
        <f>IFERROR(__xludf.DUMMYFUNCTION("""COMPUTED_VALUE"""),0.0)</f>
        <v>0</v>
      </c>
      <c r="C4956" s="2">
        <f>IFERROR(__xludf.DUMMYFUNCTION("""COMPUTED_VALUE"""),818.0)</f>
        <v>818</v>
      </c>
      <c r="D4956" s="3">
        <f>IFERROR(__xludf.DUMMYFUNCTION("""COMPUTED_VALUE"""),802.0)</f>
        <v>802</v>
      </c>
      <c r="E4956" s="1" t="str">
        <f t="array" ref="E4956">_xlfn.XLOOKUP(A4956,Product!A:A,Product!B:B,"Bulunamadı")</f>
        <v>Medical</v>
      </c>
      <c r="F4956" s="1" t="str">
        <f t="array" ref="F4956">_xlfn.XLOOKUP(A4956,Product!A:A,Product!C:C,"Bulunamadı")</f>
        <v>Photography</v>
      </c>
      <c r="G4956" s="2" t="str">
        <f t="array" ref="G4956">_xlfn.XLOOKUP(A4957,Product!A:A,Product!D:D,"Bulunamadı")</f>
        <v>Silverpeak Publishing</v>
      </c>
      <c r="H4956" s="2">
        <f t="array" ref="H4956">_xlfn.XLOOKUP(A4958,Product!A:A,Product!E:E,"Bulunamadı")</f>
        <v>6.68</v>
      </c>
      <c r="I4956" s="2" t="str">
        <f t="shared" si="1"/>
        <v>112318 - Medical - Photography</v>
      </c>
      <c r="J4956" s="2">
        <f t="shared" si="2"/>
        <v>5357.36</v>
      </c>
      <c r="K4956" s="17">
        <f t="shared" si="3"/>
        <v>1</v>
      </c>
      <c r="L4956" s="18"/>
    </row>
    <row r="4957" hidden="1">
      <c r="A4957" s="2">
        <f>IFERROR(__xludf.DUMMYFUNCTION("""COMPUTED_VALUE"""),86119.0)</f>
        <v>86119</v>
      </c>
      <c r="B4957" s="2">
        <f>IFERROR(__xludf.DUMMYFUNCTION("""COMPUTED_VALUE"""),0.0)</f>
        <v>0</v>
      </c>
      <c r="C4957" s="2">
        <f>IFERROR(__xludf.DUMMYFUNCTION("""COMPUTED_VALUE"""),544.0)</f>
        <v>544</v>
      </c>
      <c r="D4957" s="3">
        <f>IFERROR(__xludf.DUMMYFUNCTION("""COMPUTED_VALUE"""),39.0)</f>
        <v>39</v>
      </c>
      <c r="E4957" s="1" t="str">
        <f t="array" ref="E4957">_xlfn.XLOOKUP(A4957,Product!A:A,Product!B:B,"Bulunamadı")</f>
        <v>Medical</v>
      </c>
      <c r="F4957" s="1" t="str">
        <f t="array" ref="F4957">_xlfn.XLOOKUP(A4957,Product!A:A,Product!C:C,"Bulunamadı")</f>
        <v>Photography</v>
      </c>
      <c r="G4957" s="2" t="str">
        <f t="array" ref="G4957">_xlfn.XLOOKUP(A4958,Product!A:A,Product!D:D,"Bulunamadı")</f>
        <v>Silverpeak Publishing</v>
      </c>
      <c r="H4957" s="2">
        <f t="array" ref="H4957">_xlfn.XLOOKUP(A4959,Product!A:A,Product!E:E,"Bulunamadı")</f>
        <v>2.59</v>
      </c>
      <c r="I4957" s="2" t="str">
        <f t="shared" si="1"/>
        <v>86119 - Medical - Photography</v>
      </c>
      <c r="J4957" s="2">
        <f t="shared" si="2"/>
        <v>101.01</v>
      </c>
      <c r="K4957" s="17">
        <f t="shared" si="3"/>
        <v>1</v>
      </c>
      <c r="L4957" s="18"/>
    </row>
    <row r="4958" hidden="1">
      <c r="A4958" s="2">
        <f>IFERROR(__xludf.DUMMYFUNCTION("""COMPUTED_VALUE"""),79895.0)</f>
        <v>79895</v>
      </c>
      <c r="B4958" s="2">
        <f>IFERROR(__xludf.DUMMYFUNCTION("""COMPUTED_VALUE"""),1.0)</f>
        <v>1</v>
      </c>
      <c r="C4958" s="2">
        <f>IFERROR(__xludf.DUMMYFUNCTION("""COMPUTED_VALUE"""),844.0)</f>
        <v>844</v>
      </c>
      <c r="D4958" s="3">
        <f>IFERROR(__xludf.DUMMYFUNCTION("""COMPUTED_VALUE"""),440.0)</f>
        <v>440</v>
      </c>
      <c r="E4958" s="1" t="str">
        <f t="array" ref="E4958">_xlfn.XLOOKUP(A4958,Product!A:A,Product!B:B,"Bulunamadı")</f>
        <v>Medical</v>
      </c>
      <c r="F4958" s="1" t="str">
        <f t="array" ref="F4958">_xlfn.XLOOKUP(A4958,Product!A:A,Product!C:C,"Bulunamadı")</f>
        <v>Photography</v>
      </c>
      <c r="G4958" s="2" t="str">
        <f t="array" ref="G4958">_xlfn.XLOOKUP(A4959,Product!A:A,Product!D:D,"Bulunamadı")</f>
        <v>Silverpeak Publishing</v>
      </c>
      <c r="H4958" s="2">
        <f t="array" ref="H4958">_xlfn.XLOOKUP(A4960,Product!A:A,Product!E:E,"Bulunamadı")</f>
        <v>3.85</v>
      </c>
      <c r="I4958" s="2" t="str">
        <f t="shared" si="1"/>
        <v>79895 - Medical - Photography</v>
      </c>
      <c r="J4958" s="2">
        <f t="shared" si="2"/>
        <v>1694</v>
      </c>
      <c r="K4958" s="17">
        <f t="shared" si="3"/>
        <v>1</v>
      </c>
      <c r="L4958" s="18"/>
    </row>
    <row r="4959" hidden="1">
      <c r="A4959" s="2">
        <f>IFERROR(__xludf.DUMMYFUNCTION("""COMPUTED_VALUE"""),133909.0)</f>
        <v>133909</v>
      </c>
      <c r="B4959" s="2">
        <f>IFERROR(__xludf.DUMMYFUNCTION("""COMPUTED_VALUE"""),0.0)</f>
        <v>0</v>
      </c>
      <c r="C4959" s="2">
        <f>IFERROR(__xludf.DUMMYFUNCTION("""COMPUTED_VALUE"""),414.0)</f>
        <v>414</v>
      </c>
      <c r="D4959" s="3">
        <f>IFERROR(__xludf.DUMMYFUNCTION("""COMPUTED_VALUE"""),286.0)</f>
        <v>286</v>
      </c>
      <c r="E4959" s="1" t="str">
        <f t="array" ref="E4959">_xlfn.XLOOKUP(A4959,Product!A:A,Product!B:B,"Bulunamadı")</f>
        <v>Medical</v>
      </c>
      <c r="F4959" s="1" t="str">
        <f t="array" ref="F4959">_xlfn.XLOOKUP(A4959,Product!A:A,Product!C:C,"Bulunamadı")</f>
        <v>Photography</v>
      </c>
      <c r="G4959" s="2" t="str">
        <f t="array" ref="G4959">_xlfn.XLOOKUP(A4960,Product!A:A,Product!D:D,"Bulunamadı")</f>
        <v>Silverpeak Publishing</v>
      </c>
      <c r="H4959" s="2">
        <f t="array" ref="H4959">_xlfn.XLOOKUP(A4961,Product!A:A,Product!E:E,"Bulunamadı")</f>
        <v>1.1</v>
      </c>
      <c r="I4959" s="2" t="str">
        <f t="shared" si="1"/>
        <v>133909 - Medical - Photography</v>
      </c>
      <c r="J4959" s="2">
        <f t="shared" si="2"/>
        <v>314.6</v>
      </c>
      <c r="K4959" s="17">
        <f t="shared" si="3"/>
        <v>1</v>
      </c>
      <c r="L4959" s="18"/>
    </row>
    <row r="4960" hidden="1">
      <c r="A4960" s="2">
        <f>IFERROR(__xludf.DUMMYFUNCTION("""COMPUTED_VALUE"""),128338.0)</f>
        <v>128338</v>
      </c>
      <c r="B4960" s="2">
        <f>IFERROR(__xludf.DUMMYFUNCTION("""COMPUTED_VALUE"""),0.0)</f>
        <v>0</v>
      </c>
      <c r="C4960" s="2">
        <f>IFERROR(__xludf.DUMMYFUNCTION("""COMPUTED_VALUE"""),790.0)</f>
        <v>790</v>
      </c>
      <c r="D4960" s="3">
        <f>IFERROR(__xludf.DUMMYFUNCTION("""COMPUTED_VALUE"""),117.0)</f>
        <v>117</v>
      </c>
      <c r="E4960" s="1" t="str">
        <f t="array" ref="E4960">_xlfn.XLOOKUP(A4960,Product!A:A,Product!B:B,"Bulunamadı")</f>
        <v>Medical</v>
      </c>
      <c r="F4960" s="1" t="str">
        <f t="array" ref="F4960">_xlfn.XLOOKUP(A4960,Product!A:A,Product!C:C,"Bulunamadı")</f>
        <v>Photography</v>
      </c>
      <c r="G4960" s="2" t="str">
        <f t="array" ref="G4960">_xlfn.XLOOKUP(A4961,Product!A:A,Product!D:D,"Bulunamadı")</f>
        <v>Silverpeak Publishing</v>
      </c>
      <c r="H4960" s="2">
        <f t="array" ref="H4960">_xlfn.XLOOKUP(A4962,Product!A:A,Product!E:E,"Bulunamadı")</f>
        <v>3.8</v>
      </c>
      <c r="I4960" s="2" t="str">
        <f t="shared" si="1"/>
        <v>128338 - Medical - Photography</v>
      </c>
      <c r="J4960" s="2">
        <f t="shared" si="2"/>
        <v>444.6</v>
      </c>
      <c r="K4960" s="17">
        <f t="shared" si="3"/>
        <v>1</v>
      </c>
      <c r="L4960" s="18"/>
    </row>
    <row r="4961" hidden="1">
      <c r="A4961" s="2">
        <f>IFERROR(__xludf.DUMMYFUNCTION("""COMPUTED_VALUE"""),42990.0)</f>
        <v>42990</v>
      </c>
      <c r="B4961" s="2">
        <f>IFERROR(__xludf.DUMMYFUNCTION("""COMPUTED_VALUE"""),0.0)</f>
        <v>0</v>
      </c>
      <c r="C4961" s="2">
        <f>IFERROR(__xludf.DUMMYFUNCTION("""COMPUTED_VALUE"""),835.0)</f>
        <v>835</v>
      </c>
      <c r="D4961" s="3">
        <f>IFERROR(__xludf.DUMMYFUNCTION("""COMPUTED_VALUE"""),81.0)</f>
        <v>81</v>
      </c>
      <c r="E4961" s="1" t="str">
        <f t="array" ref="E4961">_xlfn.XLOOKUP(A4961,Product!A:A,Product!B:B,"Bulunamadı")</f>
        <v>Medical</v>
      </c>
      <c r="F4961" s="1" t="str">
        <f t="array" ref="F4961">_xlfn.XLOOKUP(A4961,Product!A:A,Product!C:C,"Bulunamadı")</f>
        <v>Photography</v>
      </c>
      <c r="G4961" s="2" t="str">
        <f t="array" ref="G4961">_xlfn.XLOOKUP(A4962,Product!A:A,Product!D:D,"Bulunamadı")</f>
        <v>Silverpeak Publishing</v>
      </c>
      <c r="H4961" s="2">
        <f t="array" ref="H4961">_xlfn.XLOOKUP(A4963,Product!A:A,Product!E:E,"Bulunamadı")</f>
        <v>2.42</v>
      </c>
      <c r="I4961" s="2" t="str">
        <f t="shared" si="1"/>
        <v>42990 - Medical - Photography</v>
      </c>
      <c r="J4961" s="2">
        <f t="shared" si="2"/>
        <v>196.02</v>
      </c>
      <c r="K4961" s="17">
        <f t="shared" si="3"/>
        <v>1</v>
      </c>
      <c r="L4961" s="18"/>
    </row>
    <row r="4962" hidden="1">
      <c r="A4962" s="2">
        <f>IFERROR(__xludf.DUMMYFUNCTION("""COMPUTED_VALUE"""),128339.0)</f>
        <v>128339</v>
      </c>
      <c r="B4962" s="2">
        <f>IFERROR(__xludf.DUMMYFUNCTION("""COMPUTED_VALUE"""),1.0)</f>
        <v>1</v>
      </c>
      <c r="C4962" s="2">
        <f>IFERROR(__xludf.DUMMYFUNCTION("""COMPUTED_VALUE"""),290.0)</f>
        <v>290</v>
      </c>
      <c r="D4962" s="3">
        <f>IFERROR(__xludf.DUMMYFUNCTION("""COMPUTED_VALUE"""),140.0)</f>
        <v>140</v>
      </c>
      <c r="E4962" s="1" t="str">
        <f t="array" ref="E4962">_xlfn.XLOOKUP(A4962,Product!A:A,Product!B:B,"Bulunamadı")</f>
        <v>Medical</v>
      </c>
      <c r="F4962" s="1" t="str">
        <f t="array" ref="F4962">_xlfn.XLOOKUP(A4962,Product!A:A,Product!C:C,"Bulunamadı")</f>
        <v>Photography</v>
      </c>
      <c r="G4962" s="2" t="str">
        <f t="array" ref="G4962">_xlfn.XLOOKUP(A4963,Product!A:A,Product!D:D,"Bulunamadı")</f>
        <v>Silverpeak Publishing</v>
      </c>
      <c r="H4962" s="2">
        <f t="array" ref="H4962">_xlfn.XLOOKUP(A4964,Product!A:A,Product!E:E,"Bulunamadı")</f>
        <v>1</v>
      </c>
      <c r="I4962" s="2" t="str">
        <f t="shared" si="1"/>
        <v>128339 - Medical - Photography</v>
      </c>
      <c r="J4962" s="2">
        <f t="shared" si="2"/>
        <v>140</v>
      </c>
      <c r="K4962" s="17">
        <f t="shared" si="3"/>
        <v>1</v>
      </c>
      <c r="L4962" s="18"/>
    </row>
    <row r="4963" hidden="1">
      <c r="A4963" s="2">
        <f>IFERROR(__xludf.DUMMYFUNCTION("""COMPUTED_VALUE"""),42008.0)</f>
        <v>42008</v>
      </c>
      <c r="B4963" s="2">
        <f>IFERROR(__xludf.DUMMYFUNCTION("""COMPUTED_VALUE"""),1.0)</f>
        <v>1</v>
      </c>
      <c r="C4963" s="2">
        <f>IFERROR(__xludf.DUMMYFUNCTION("""COMPUTED_VALUE"""),36.0)</f>
        <v>36</v>
      </c>
      <c r="D4963" s="3">
        <f>IFERROR(__xludf.DUMMYFUNCTION("""COMPUTED_VALUE"""),0.0)</f>
        <v>0</v>
      </c>
      <c r="E4963" s="1" t="str">
        <f t="array" ref="E4963">_xlfn.XLOOKUP(A4963,Product!A:A,Product!B:B,"Bulunamadı")</f>
        <v>Medical</v>
      </c>
      <c r="F4963" s="1" t="str">
        <f t="array" ref="F4963">_xlfn.XLOOKUP(A4963,Product!A:A,Product!C:C,"Bulunamadı")</f>
        <v>Photography</v>
      </c>
      <c r="G4963" s="2" t="str">
        <f t="array" ref="G4963">_xlfn.XLOOKUP(A4964,Product!A:A,Product!D:D,"Bulunamadı")</f>
        <v>Silverpeak Publishing</v>
      </c>
      <c r="H4963" s="2">
        <f t="array" ref="H4963">_xlfn.XLOOKUP(A4965,Product!A:A,Product!E:E,"Bulunamadı")</f>
        <v>2.59</v>
      </c>
      <c r="I4963" s="2" t="str">
        <f t="shared" si="1"/>
        <v>42008 - Medical - Photography</v>
      </c>
      <c r="J4963" s="2">
        <f t="shared" si="2"/>
        <v>0</v>
      </c>
      <c r="K4963" s="17">
        <f t="shared" si="3"/>
        <v>0</v>
      </c>
      <c r="L4963" s="18"/>
    </row>
    <row r="4964" hidden="1">
      <c r="A4964" s="2">
        <f>IFERROR(__xludf.DUMMYFUNCTION("""COMPUTED_VALUE"""),112320.0)</f>
        <v>112320</v>
      </c>
      <c r="B4964" s="2">
        <f>IFERROR(__xludf.DUMMYFUNCTION("""COMPUTED_VALUE"""),1.0)</f>
        <v>1</v>
      </c>
      <c r="C4964" s="2">
        <f>IFERROR(__xludf.DUMMYFUNCTION("""COMPUTED_VALUE"""),254.0)</f>
        <v>254</v>
      </c>
      <c r="D4964" s="3">
        <f>IFERROR(__xludf.DUMMYFUNCTION("""COMPUTED_VALUE"""),204.0)</f>
        <v>204</v>
      </c>
      <c r="E4964" s="1" t="str">
        <f t="array" ref="E4964">_xlfn.XLOOKUP(A4964,Product!A:A,Product!B:B,"Bulunamadı")</f>
        <v>Medical</v>
      </c>
      <c r="F4964" s="1" t="str">
        <f t="array" ref="F4964">_xlfn.XLOOKUP(A4964,Product!A:A,Product!C:C,"Bulunamadı")</f>
        <v>Photography</v>
      </c>
      <c r="G4964" s="2" t="str">
        <f t="array" ref="G4964">_xlfn.XLOOKUP(A4965,Product!A:A,Product!D:D,"Bulunamadı")</f>
        <v>Silverpeak Publishing</v>
      </c>
      <c r="H4964" s="2">
        <f t="array" ref="H4964">_xlfn.XLOOKUP(A4966,Product!A:A,Product!E:E,"Bulunamadı")</f>
        <v>1.06</v>
      </c>
      <c r="I4964" s="2" t="str">
        <f t="shared" si="1"/>
        <v>112320 - Medical - Photography</v>
      </c>
      <c r="J4964" s="2">
        <f t="shared" si="2"/>
        <v>216.24</v>
      </c>
      <c r="K4964" s="17">
        <f t="shared" si="3"/>
        <v>1</v>
      </c>
      <c r="L4964" s="18"/>
    </row>
    <row r="4965" hidden="1">
      <c r="A4965" s="2">
        <f>IFERROR(__xludf.DUMMYFUNCTION("""COMPUTED_VALUE"""),111150.0)</f>
        <v>111150</v>
      </c>
      <c r="B4965" s="2">
        <f>IFERROR(__xludf.DUMMYFUNCTION("""COMPUTED_VALUE"""),1.0)</f>
        <v>1</v>
      </c>
      <c r="C4965" s="2">
        <f>IFERROR(__xludf.DUMMYFUNCTION("""COMPUTED_VALUE"""),621.0)</f>
        <v>621</v>
      </c>
      <c r="D4965" s="3">
        <f>IFERROR(__xludf.DUMMYFUNCTION("""COMPUTED_VALUE"""),113.0)</f>
        <v>113</v>
      </c>
      <c r="E4965" s="1" t="str">
        <f t="array" ref="E4965">_xlfn.XLOOKUP(A4965,Product!A:A,Product!B:B,"Bulunamadı")</f>
        <v>Medical</v>
      </c>
      <c r="F4965" s="1" t="str">
        <f t="array" ref="F4965">_xlfn.XLOOKUP(A4965,Product!A:A,Product!C:C,"Bulunamadı")</f>
        <v>Photography</v>
      </c>
      <c r="G4965" s="2" t="str">
        <f t="array" ref="G4965">_xlfn.XLOOKUP(A4966,Product!A:A,Product!D:D,"Bulunamadı")</f>
        <v>Silverpeak Publishing</v>
      </c>
      <c r="H4965" s="2">
        <f t="array" ref="H4965">_xlfn.XLOOKUP(A4967,Product!A:A,Product!E:E,"Bulunamadı")</f>
        <v>2.81</v>
      </c>
      <c r="I4965" s="2" t="str">
        <f t="shared" si="1"/>
        <v>111150 - Medical - Photography</v>
      </c>
      <c r="J4965" s="2">
        <f t="shared" si="2"/>
        <v>317.53</v>
      </c>
      <c r="K4965" s="17">
        <f t="shared" si="3"/>
        <v>1</v>
      </c>
      <c r="L4965" s="18"/>
    </row>
    <row r="4966" hidden="1">
      <c r="A4966" s="2">
        <f>IFERROR(__xludf.DUMMYFUNCTION("""COMPUTED_VALUE"""),101782.0)</f>
        <v>101782</v>
      </c>
      <c r="B4966" s="2">
        <f>IFERROR(__xludf.DUMMYFUNCTION("""COMPUTED_VALUE"""),1.0)</f>
        <v>1</v>
      </c>
      <c r="C4966" s="2">
        <f>IFERROR(__xludf.DUMMYFUNCTION("""COMPUTED_VALUE"""),576.0)</f>
        <v>576</v>
      </c>
      <c r="D4966" s="3">
        <f>IFERROR(__xludf.DUMMYFUNCTION("""COMPUTED_VALUE"""),260.0)</f>
        <v>260</v>
      </c>
      <c r="E4966" s="1" t="str">
        <f t="array" ref="E4966">_xlfn.XLOOKUP(A4966,Product!A:A,Product!B:B,"Bulunamadı")</f>
        <v>Medical</v>
      </c>
      <c r="F4966" s="1" t="str">
        <f t="array" ref="F4966">_xlfn.XLOOKUP(A4966,Product!A:A,Product!C:C,"Bulunamadı")</f>
        <v>Photography</v>
      </c>
      <c r="G4966" s="2" t="str">
        <f t="array" ref="G4966">_xlfn.XLOOKUP(A4967,Product!A:A,Product!D:D,"Bulunamadı")</f>
        <v>Silverpeak Publishing</v>
      </c>
      <c r="H4966" s="2">
        <f t="array" ref="H4966">_xlfn.XLOOKUP(A4968,Product!A:A,Product!E:E,"Bulunamadı")</f>
        <v>0.72</v>
      </c>
      <c r="I4966" s="2" t="str">
        <f t="shared" si="1"/>
        <v>101782 - Medical - Photography</v>
      </c>
      <c r="J4966" s="2">
        <f t="shared" si="2"/>
        <v>187.2</v>
      </c>
      <c r="K4966" s="17">
        <f t="shared" si="3"/>
        <v>1</v>
      </c>
      <c r="L4966" s="18"/>
    </row>
    <row r="4967" hidden="1">
      <c r="A4967" s="2">
        <f>IFERROR(__xludf.DUMMYFUNCTION("""COMPUTED_VALUE"""),128402.0)</f>
        <v>128402</v>
      </c>
      <c r="B4967" s="2">
        <f>IFERROR(__xludf.DUMMYFUNCTION("""COMPUTED_VALUE"""),1.0)</f>
        <v>1</v>
      </c>
      <c r="C4967" s="2">
        <f>IFERROR(__xludf.DUMMYFUNCTION("""COMPUTED_VALUE"""),787.0)</f>
        <v>787</v>
      </c>
      <c r="D4967" s="3">
        <f>IFERROR(__xludf.DUMMYFUNCTION("""COMPUTED_VALUE"""),655.0)</f>
        <v>655</v>
      </c>
      <c r="E4967" s="1" t="str">
        <f t="array" ref="E4967">_xlfn.XLOOKUP(A4967,Product!A:A,Product!B:B,"Bulunamadı")</f>
        <v>Medical</v>
      </c>
      <c r="F4967" s="1" t="str">
        <f t="array" ref="F4967">_xlfn.XLOOKUP(A4967,Product!A:A,Product!C:C,"Bulunamadı")</f>
        <v>Photography</v>
      </c>
      <c r="G4967" s="2" t="str">
        <f t="array" ref="G4967">_xlfn.XLOOKUP(A4968,Product!A:A,Product!D:D,"Bulunamadı")</f>
        <v>Silverpeak Publishing</v>
      </c>
      <c r="H4967" s="2">
        <f t="array" ref="H4967">_xlfn.XLOOKUP(A4969,Product!A:A,Product!E:E,"Bulunamadı")</f>
        <v>2.31</v>
      </c>
      <c r="I4967" s="2" t="str">
        <f t="shared" si="1"/>
        <v>128402 - Medical - Photography</v>
      </c>
      <c r="J4967" s="2">
        <f t="shared" si="2"/>
        <v>1513.05</v>
      </c>
      <c r="K4967" s="17">
        <f t="shared" si="3"/>
        <v>1</v>
      </c>
      <c r="L4967" s="18"/>
    </row>
    <row r="4968" hidden="1">
      <c r="A4968" s="2">
        <f>IFERROR(__xludf.DUMMYFUNCTION("""COMPUTED_VALUE"""),112322.0)</f>
        <v>112322</v>
      </c>
      <c r="B4968" s="2">
        <f>IFERROR(__xludf.DUMMYFUNCTION("""COMPUTED_VALUE"""),1.0)</f>
        <v>1</v>
      </c>
      <c r="C4968" s="2">
        <f>IFERROR(__xludf.DUMMYFUNCTION("""COMPUTED_VALUE"""),954.0)</f>
        <v>954</v>
      </c>
      <c r="D4968" s="3">
        <f>IFERROR(__xludf.DUMMYFUNCTION("""COMPUTED_VALUE"""),161.0)</f>
        <v>161</v>
      </c>
      <c r="E4968" s="1" t="str">
        <f t="array" ref="E4968">_xlfn.XLOOKUP(A4968,Product!A:A,Product!B:B,"Bulunamadı")</f>
        <v>Medical</v>
      </c>
      <c r="F4968" s="1" t="str">
        <f t="array" ref="F4968">_xlfn.XLOOKUP(A4968,Product!A:A,Product!C:C,"Bulunamadı")</f>
        <v>Photography</v>
      </c>
      <c r="G4968" s="2" t="str">
        <f t="array" ref="G4968">_xlfn.XLOOKUP(A4969,Product!A:A,Product!D:D,"Bulunamadı")</f>
        <v>Silverpeak Publishing</v>
      </c>
      <c r="H4968" s="2">
        <f t="array" ref="H4968">_xlfn.XLOOKUP(A4970,Product!A:A,Product!E:E,"Bulunamadı")</f>
        <v>0.77</v>
      </c>
      <c r="I4968" s="2" t="str">
        <f t="shared" si="1"/>
        <v>112322 - Medical - Photography</v>
      </c>
      <c r="J4968" s="2">
        <f t="shared" si="2"/>
        <v>123.97</v>
      </c>
      <c r="K4968" s="17">
        <f t="shared" si="3"/>
        <v>1</v>
      </c>
      <c r="L4968" s="18"/>
    </row>
    <row r="4969" hidden="1">
      <c r="A4969" s="2">
        <f>IFERROR(__xludf.DUMMYFUNCTION("""COMPUTED_VALUE"""),41994.0)</f>
        <v>41994</v>
      </c>
      <c r="B4969" s="2">
        <f>IFERROR(__xludf.DUMMYFUNCTION("""COMPUTED_VALUE"""),1.0)</f>
        <v>1</v>
      </c>
      <c r="C4969" s="2">
        <f>IFERROR(__xludf.DUMMYFUNCTION("""COMPUTED_VALUE"""),372.0)</f>
        <v>372</v>
      </c>
      <c r="D4969" s="3">
        <f>IFERROR(__xludf.DUMMYFUNCTION("""COMPUTED_VALUE"""),258.0)</f>
        <v>258</v>
      </c>
      <c r="E4969" s="1" t="str">
        <f t="array" ref="E4969">_xlfn.XLOOKUP(A4969,Product!A:A,Product!B:B,"Bulunamadı")</f>
        <v>Medical</v>
      </c>
      <c r="F4969" s="1" t="str">
        <f t="array" ref="F4969">_xlfn.XLOOKUP(A4969,Product!A:A,Product!C:C,"Bulunamadı")</f>
        <v>Photography</v>
      </c>
      <c r="G4969" s="2" t="str">
        <f t="array" ref="G4969">_xlfn.XLOOKUP(A4970,Product!A:A,Product!D:D,"Bulunamadı")</f>
        <v>Silverpeak Publishing</v>
      </c>
      <c r="H4969" s="2">
        <f t="array" ref="H4969">_xlfn.XLOOKUP(A4971,Product!A:A,Product!E:E,"Bulunamadı")</f>
        <v>2.47</v>
      </c>
      <c r="I4969" s="2" t="str">
        <f t="shared" si="1"/>
        <v>41994 - Medical - Photography</v>
      </c>
      <c r="J4969" s="2">
        <f t="shared" si="2"/>
        <v>637.26</v>
      </c>
      <c r="K4969" s="17">
        <f t="shared" si="3"/>
        <v>1</v>
      </c>
      <c r="L4969" s="18"/>
    </row>
    <row r="4970" hidden="1">
      <c r="A4970" s="2">
        <f>IFERROR(__xludf.DUMMYFUNCTION("""COMPUTED_VALUE"""),112319.0)</f>
        <v>112319</v>
      </c>
      <c r="B4970" s="2">
        <f>IFERROR(__xludf.DUMMYFUNCTION("""COMPUTED_VALUE"""),0.0)</f>
        <v>0</v>
      </c>
      <c r="C4970" s="2">
        <f>IFERROR(__xludf.DUMMYFUNCTION("""COMPUTED_VALUE"""),555.0)</f>
        <v>555</v>
      </c>
      <c r="D4970" s="3">
        <f>IFERROR(__xludf.DUMMYFUNCTION("""COMPUTED_VALUE"""),12.0)</f>
        <v>12</v>
      </c>
      <c r="E4970" s="1" t="str">
        <f t="array" ref="E4970">_xlfn.XLOOKUP(A4970,Product!A:A,Product!B:B,"Bulunamadı")</f>
        <v>Medical</v>
      </c>
      <c r="F4970" s="1" t="str">
        <f t="array" ref="F4970">_xlfn.XLOOKUP(A4970,Product!A:A,Product!C:C,"Bulunamadı")</f>
        <v>Photography</v>
      </c>
      <c r="G4970" s="2" t="str">
        <f t="array" ref="G4970">_xlfn.XLOOKUP(A4971,Product!A:A,Product!D:D,"Bulunamadı")</f>
        <v>Silverpeak Publishing</v>
      </c>
      <c r="H4970" s="2">
        <f t="array" ref="H4970">_xlfn.XLOOKUP(A4972,Product!A:A,Product!E:E,"Bulunamadı")</f>
        <v>0.85</v>
      </c>
      <c r="I4970" s="2" t="str">
        <f t="shared" si="1"/>
        <v>112319 - Medical - Photography</v>
      </c>
      <c r="J4970" s="2">
        <f t="shared" si="2"/>
        <v>10.2</v>
      </c>
      <c r="K4970" s="17">
        <f t="shared" si="3"/>
        <v>1</v>
      </c>
      <c r="L4970" s="18"/>
    </row>
    <row r="4971" hidden="1">
      <c r="A4971" s="2">
        <f>IFERROR(__xludf.DUMMYFUNCTION("""COMPUTED_VALUE"""),42002.0)</f>
        <v>42002</v>
      </c>
      <c r="B4971" s="2">
        <f>IFERROR(__xludf.DUMMYFUNCTION("""COMPUTED_VALUE"""),1.0)</f>
        <v>1</v>
      </c>
      <c r="C4971" s="2">
        <f>IFERROR(__xludf.DUMMYFUNCTION("""COMPUTED_VALUE"""),395.0)</f>
        <v>395</v>
      </c>
      <c r="D4971" s="3">
        <f>IFERROR(__xludf.DUMMYFUNCTION("""COMPUTED_VALUE"""),157.0)</f>
        <v>157</v>
      </c>
      <c r="E4971" s="1" t="str">
        <f t="array" ref="E4971">_xlfn.XLOOKUP(A4971,Product!A:A,Product!B:B,"Bulunamadı")</f>
        <v>Medical</v>
      </c>
      <c r="F4971" s="1" t="str">
        <f t="array" ref="F4971">_xlfn.XLOOKUP(A4971,Product!A:A,Product!C:C,"Bulunamadı")</f>
        <v>Photography</v>
      </c>
      <c r="G4971" s="2" t="str">
        <f t="array" ref="G4971">_xlfn.XLOOKUP(A4972,Product!A:A,Product!D:D,"Bulunamadı")</f>
        <v>Silverpeak Publishing</v>
      </c>
      <c r="H4971" s="2">
        <f t="array" ref="H4971">_xlfn.XLOOKUP(A4973,Product!A:A,Product!E:E,"Bulunamadı")</f>
        <v>0.7</v>
      </c>
      <c r="I4971" s="2" t="str">
        <f t="shared" si="1"/>
        <v>42002 - Medical - Photography</v>
      </c>
      <c r="J4971" s="2">
        <f t="shared" si="2"/>
        <v>109.9</v>
      </c>
      <c r="K4971" s="17">
        <f t="shared" si="3"/>
        <v>1</v>
      </c>
      <c r="L4971" s="18"/>
    </row>
    <row r="4972" hidden="1">
      <c r="A4972" s="2">
        <f>IFERROR(__xludf.DUMMYFUNCTION("""COMPUTED_VALUE"""),120263.0)</f>
        <v>120263</v>
      </c>
      <c r="B4972" s="2">
        <f>IFERROR(__xludf.DUMMYFUNCTION("""COMPUTED_VALUE"""),1.0)</f>
        <v>1</v>
      </c>
      <c r="C4972" s="2">
        <f>IFERROR(__xludf.DUMMYFUNCTION("""COMPUTED_VALUE"""),417.0)</f>
        <v>417</v>
      </c>
      <c r="D4972" s="3">
        <f>IFERROR(__xludf.DUMMYFUNCTION("""COMPUTED_VALUE"""),379.0)</f>
        <v>379</v>
      </c>
      <c r="E4972" s="1" t="str">
        <f t="array" ref="E4972">_xlfn.XLOOKUP(A4972,Product!A:A,Product!B:B,"Bulunamadı")</f>
        <v>Medical</v>
      </c>
      <c r="F4972" s="1" t="str">
        <f t="array" ref="F4972">_xlfn.XLOOKUP(A4972,Product!A:A,Product!C:C,"Bulunamadı")</f>
        <v>Photography</v>
      </c>
      <c r="G4972" s="2" t="str">
        <f t="array" ref="G4972">_xlfn.XLOOKUP(A4973,Product!A:A,Product!D:D,"Bulunamadı")</f>
        <v>Silverpeak Publishing</v>
      </c>
      <c r="H4972" s="2">
        <f t="array" ref="H4972">_xlfn.XLOOKUP(A4974,Product!A:A,Product!E:E,"Bulunamadı")</f>
        <v>2.68</v>
      </c>
      <c r="I4972" s="2" t="str">
        <f t="shared" si="1"/>
        <v>120263 - Medical - Photography</v>
      </c>
      <c r="J4972" s="2">
        <f t="shared" si="2"/>
        <v>1015.72</v>
      </c>
      <c r="K4972" s="17">
        <f t="shared" si="3"/>
        <v>1</v>
      </c>
      <c r="L4972" s="18"/>
    </row>
    <row r="4973" hidden="1">
      <c r="A4973" s="2">
        <f>IFERROR(__xludf.DUMMYFUNCTION("""COMPUTED_VALUE"""),112855.0)</f>
        <v>112855</v>
      </c>
      <c r="B4973" s="2">
        <f>IFERROR(__xludf.DUMMYFUNCTION("""COMPUTED_VALUE"""),1.0)</f>
        <v>1</v>
      </c>
      <c r="C4973" s="2">
        <f>IFERROR(__xludf.DUMMYFUNCTION("""COMPUTED_VALUE"""),631.0)</f>
        <v>631</v>
      </c>
      <c r="D4973" s="3">
        <f>IFERROR(__xludf.DUMMYFUNCTION("""COMPUTED_VALUE"""),273.0)</f>
        <v>273</v>
      </c>
      <c r="E4973" s="1" t="str">
        <f t="array" ref="E4973">_xlfn.XLOOKUP(A4973,Product!A:A,Product!B:B,"Bulunamadı")</f>
        <v>Medical</v>
      </c>
      <c r="F4973" s="1" t="str">
        <f t="array" ref="F4973">_xlfn.XLOOKUP(A4973,Product!A:A,Product!C:C,"Bulunamadı")</f>
        <v>Photography</v>
      </c>
      <c r="G4973" s="2" t="str">
        <f t="array" ref="G4973">_xlfn.XLOOKUP(A4974,Product!A:A,Product!D:D,"Bulunamadı")</f>
        <v>Silverpeak Publishing</v>
      </c>
      <c r="H4973" s="2">
        <f t="array" ref="H4973">_xlfn.XLOOKUP(A4975,Product!A:A,Product!E:E,"Bulunamadı")</f>
        <v>2.6</v>
      </c>
      <c r="I4973" s="2" t="str">
        <f t="shared" si="1"/>
        <v>112855 - Medical - Photography</v>
      </c>
      <c r="J4973" s="2">
        <f t="shared" si="2"/>
        <v>709.8</v>
      </c>
      <c r="K4973" s="17">
        <f t="shared" si="3"/>
        <v>1</v>
      </c>
      <c r="L4973" s="18"/>
    </row>
    <row r="4974" hidden="1">
      <c r="A4974" s="2">
        <f>IFERROR(__xludf.DUMMYFUNCTION("""COMPUTED_VALUE"""),111151.0)</f>
        <v>111151</v>
      </c>
      <c r="B4974" s="2">
        <f>IFERROR(__xludf.DUMMYFUNCTION("""COMPUTED_VALUE"""),0.0)</f>
        <v>0</v>
      </c>
      <c r="C4974" s="2">
        <f>IFERROR(__xludf.DUMMYFUNCTION("""COMPUTED_VALUE"""),390.0)</f>
        <v>390</v>
      </c>
      <c r="D4974" s="3">
        <f>IFERROR(__xludf.DUMMYFUNCTION("""COMPUTED_VALUE"""),64.0)</f>
        <v>64</v>
      </c>
      <c r="E4974" s="1" t="str">
        <f t="array" ref="E4974">_xlfn.XLOOKUP(A4974,Product!A:A,Product!B:B,"Bulunamadı")</f>
        <v>Medical</v>
      </c>
      <c r="F4974" s="1" t="str">
        <f t="array" ref="F4974">_xlfn.XLOOKUP(A4974,Product!A:A,Product!C:C,"Bulunamadı")</f>
        <v>Photography</v>
      </c>
      <c r="G4974" s="2" t="str">
        <f t="array" ref="G4974">_xlfn.XLOOKUP(A4975,Product!A:A,Product!D:D,"Bulunamadı")</f>
        <v>Silverpeak Publishing</v>
      </c>
      <c r="H4974" s="2">
        <f t="array" ref="H4974">_xlfn.XLOOKUP(A4976,Product!A:A,Product!E:E,"Bulunamadı")</f>
        <v>0.93</v>
      </c>
      <c r="I4974" s="2" t="str">
        <f t="shared" si="1"/>
        <v>111151 - Medical - Photography</v>
      </c>
      <c r="J4974" s="2">
        <f t="shared" si="2"/>
        <v>59.52</v>
      </c>
      <c r="K4974" s="17">
        <f t="shared" si="3"/>
        <v>1</v>
      </c>
      <c r="L4974" s="18"/>
    </row>
    <row r="4975" hidden="1">
      <c r="A4975" s="2">
        <f>IFERROR(__xludf.DUMMYFUNCTION("""COMPUTED_VALUE"""),111152.0)</f>
        <v>111152</v>
      </c>
      <c r="B4975" s="2">
        <f>IFERROR(__xludf.DUMMYFUNCTION("""COMPUTED_VALUE"""),1.0)</f>
        <v>1</v>
      </c>
      <c r="C4975" s="2">
        <f>IFERROR(__xludf.DUMMYFUNCTION("""COMPUTED_VALUE"""),292.0)</f>
        <v>292</v>
      </c>
      <c r="D4975" s="3">
        <f>IFERROR(__xludf.DUMMYFUNCTION("""COMPUTED_VALUE"""),14.0)</f>
        <v>14</v>
      </c>
      <c r="E4975" s="1" t="str">
        <f t="array" ref="E4975">_xlfn.XLOOKUP(A4975,Product!A:A,Product!B:B,"Bulunamadı")</f>
        <v>Medical</v>
      </c>
      <c r="F4975" s="1" t="str">
        <f t="array" ref="F4975">_xlfn.XLOOKUP(A4975,Product!A:A,Product!C:C,"Bulunamadı")</f>
        <v>Photography</v>
      </c>
      <c r="G4975" s="2" t="str">
        <f t="array" ref="G4975">_xlfn.XLOOKUP(A4976,Product!A:A,Product!D:D,"Bulunamadı")</f>
        <v>Silverpeak Publishing</v>
      </c>
      <c r="H4975" s="2">
        <f t="array" ref="H4975">_xlfn.XLOOKUP(A4977,Product!A:A,Product!E:E,"Bulunamadı")</f>
        <v>0.68</v>
      </c>
      <c r="I4975" s="2" t="str">
        <f t="shared" si="1"/>
        <v>111152 - Medical - Photography</v>
      </c>
      <c r="J4975" s="2">
        <f t="shared" si="2"/>
        <v>9.52</v>
      </c>
      <c r="K4975" s="17">
        <f t="shared" si="3"/>
        <v>1</v>
      </c>
      <c r="L4975" s="18"/>
    </row>
    <row r="4976" hidden="1">
      <c r="A4976" s="2">
        <f>IFERROR(__xludf.DUMMYFUNCTION("""COMPUTED_VALUE"""),122224.0)</f>
        <v>122224</v>
      </c>
      <c r="B4976" s="2">
        <f>IFERROR(__xludf.DUMMYFUNCTION("""COMPUTED_VALUE"""),1.0)</f>
        <v>1</v>
      </c>
      <c r="C4976" s="2">
        <f>IFERROR(__xludf.DUMMYFUNCTION("""COMPUTED_VALUE"""),437.0)</f>
        <v>437</v>
      </c>
      <c r="D4976" s="3">
        <f>IFERROR(__xludf.DUMMYFUNCTION("""COMPUTED_VALUE"""),238.0)</f>
        <v>238</v>
      </c>
      <c r="E4976" s="1" t="str">
        <f t="array" ref="E4976">_xlfn.XLOOKUP(A4976,Product!A:A,Product!B:B,"Bulunamadı")</f>
        <v>Medical</v>
      </c>
      <c r="F4976" s="1" t="str">
        <f t="array" ref="F4976">_xlfn.XLOOKUP(A4976,Product!A:A,Product!C:C,"Bulunamadı")</f>
        <v>Photography</v>
      </c>
      <c r="G4976" s="2" t="str">
        <f t="array" ref="G4976">_xlfn.XLOOKUP(A4977,Product!A:A,Product!D:D,"Bulunamadı")</f>
        <v>Silverpeak Publishing</v>
      </c>
      <c r="H4976" s="2">
        <f t="array" ref="H4976">_xlfn.XLOOKUP(A4978,Product!A:A,Product!E:E,"Bulunamadı")</f>
        <v>2.43</v>
      </c>
      <c r="I4976" s="2" t="str">
        <f t="shared" si="1"/>
        <v>122224 - Medical - Photography</v>
      </c>
      <c r="J4976" s="2">
        <f t="shared" si="2"/>
        <v>578.34</v>
      </c>
      <c r="K4976" s="17">
        <f t="shared" si="3"/>
        <v>1</v>
      </c>
      <c r="L4976" s="18"/>
    </row>
    <row r="4977" hidden="1">
      <c r="A4977" s="2">
        <f>IFERROR(__xludf.DUMMYFUNCTION("""COMPUTED_VALUE"""),124709.0)</f>
        <v>124709</v>
      </c>
      <c r="B4977" s="2">
        <f>IFERROR(__xludf.DUMMYFUNCTION("""COMPUTED_VALUE"""),1.0)</f>
        <v>1</v>
      </c>
      <c r="C4977" s="2">
        <f>IFERROR(__xludf.DUMMYFUNCTION("""COMPUTED_VALUE"""),99.0)</f>
        <v>99</v>
      </c>
      <c r="D4977" s="3">
        <f>IFERROR(__xludf.DUMMYFUNCTION("""COMPUTED_VALUE"""),69.0)</f>
        <v>69</v>
      </c>
      <c r="E4977" s="1" t="str">
        <f t="array" ref="E4977">_xlfn.XLOOKUP(A4977,Product!A:A,Product!B:B,"Bulunamadı")</f>
        <v>Medical</v>
      </c>
      <c r="F4977" s="1" t="str">
        <f t="array" ref="F4977">_xlfn.XLOOKUP(A4977,Product!A:A,Product!C:C,"Bulunamadı")</f>
        <v>Photography</v>
      </c>
      <c r="G4977" s="2" t="str">
        <f t="array" ref="G4977">_xlfn.XLOOKUP(A4978,Product!A:A,Product!D:D,"Bulunamadı")</f>
        <v>Silverpeak Publishing</v>
      </c>
      <c r="H4977" s="2">
        <f t="array" ref="H4977">_xlfn.XLOOKUP(A4979,Product!A:A,Product!E:E,"Bulunamadı")</f>
        <v>1.18</v>
      </c>
      <c r="I4977" s="2" t="str">
        <f t="shared" si="1"/>
        <v>124709 - Medical - Photography</v>
      </c>
      <c r="J4977" s="2">
        <f t="shared" si="2"/>
        <v>81.42</v>
      </c>
      <c r="K4977" s="17">
        <f t="shared" si="3"/>
        <v>1</v>
      </c>
      <c r="L4977" s="18"/>
    </row>
    <row r="4978" hidden="1">
      <c r="A4978" s="2">
        <f>IFERROR(__xludf.DUMMYFUNCTION("""COMPUTED_VALUE"""),99039.0)</f>
        <v>99039</v>
      </c>
      <c r="B4978" s="2">
        <f>IFERROR(__xludf.DUMMYFUNCTION("""COMPUTED_VALUE"""),1.0)</f>
        <v>1</v>
      </c>
      <c r="C4978" s="2">
        <f>IFERROR(__xludf.DUMMYFUNCTION("""COMPUTED_VALUE"""),148.0)</f>
        <v>148</v>
      </c>
      <c r="D4978" s="3">
        <f>IFERROR(__xludf.DUMMYFUNCTION("""COMPUTED_VALUE"""),101.0)</f>
        <v>101</v>
      </c>
      <c r="E4978" s="1" t="str">
        <f t="array" ref="E4978">_xlfn.XLOOKUP(A4978,Product!A:A,Product!B:B,"Bulunamadı")</f>
        <v>Medical</v>
      </c>
      <c r="F4978" s="1" t="str">
        <f t="array" ref="F4978">_xlfn.XLOOKUP(A4978,Product!A:A,Product!C:C,"Bulunamadı")</f>
        <v>Photography</v>
      </c>
      <c r="G4978" s="2" t="str">
        <f t="array" ref="G4978">_xlfn.XLOOKUP(A4979,Product!A:A,Product!D:D,"Bulunamadı")</f>
        <v>Silverpeak Publishing</v>
      </c>
      <c r="H4978" s="2">
        <f t="array" ref="H4978">_xlfn.XLOOKUP(A4980,Product!A:A,Product!E:E,"Bulunamadı")</f>
        <v>3.11</v>
      </c>
      <c r="I4978" s="2" t="str">
        <f t="shared" si="1"/>
        <v>99039 - Medical - Photography</v>
      </c>
      <c r="J4978" s="2">
        <f t="shared" si="2"/>
        <v>314.11</v>
      </c>
      <c r="K4978" s="17">
        <f t="shared" si="3"/>
        <v>1</v>
      </c>
      <c r="L4978" s="18"/>
    </row>
    <row r="4979" hidden="1">
      <c r="A4979" s="2">
        <f>IFERROR(__xludf.DUMMYFUNCTION("""COMPUTED_VALUE"""),82928.0)</f>
        <v>82928</v>
      </c>
      <c r="B4979" s="2">
        <f>IFERROR(__xludf.DUMMYFUNCTION("""COMPUTED_VALUE"""),0.0)</f>
        <v>0</v>
      </c>
      <c r="C4979" s="2">
        <f>IFERROR(__xludf.DUMMYFUNCTION("""COMPUTED_VALUE"""),143.0)</f>
        <v>143</v>
      </c>
      <c r="D4979" s="3">
        <f>IFERROR(__xludf.DUMMYFUNCTION("""COMPUTED_VALUE"""),69.0)</f>
        <v>69</v>
      </c>
      <c r="E4979" s="1" t="str">
        <f t="array" ref="E4979">_xlfn.XLOOKUP(A4979,Product!A:A,Product!B:B,"Bulunamadı")</f>
        <v>Medical</v>
      </c>
      <c r="F4979" s="1" t="str">
        <f t="array" ref="F4979">_xlfn.XLOOKUP(A4979,Product!A:A,Product!C:C,"Bulunamadı")</f>
        <v>Photography</v>
      </c>
      <c r="G4979" s="2" t="str">
        <f t="array" ref="G4979">_xlfn.XLOOKUP(A4980,Product!A:A,Product!D:D,"Bulunamadı")</f>
        <v>Silverpeak Publishing</v>
      </c>
      <c r="H4979" s="2">
        <f t="array" ref="H4979">_xlfn.XLOOKUP(A4981,Product!A:A,Product!E:E,"Bulunamadı")</f>
        <v>1.15</v>
      </c>
      <c r="I4979" s="2" t="str">
        <f t="shared" si="1"/>
        <v>82928 - Medical - Photography</v>
      </c>
      <c r="J4979" s="2">
        <f t="shared" si="2"/>
        <v>79.35</v>
      </c>
      <c r="K4979" s="17">
        <f t="shared" si="3"/>
        <v>1</v>
      </c>
      <c r="L4979" s="18"/>
    </row>
    <row r="4980" hidden="1">
      <c r="A4980" s="2">
        <f>IFERROR(__xludf.DUMMYFUNCTION("""COMPUTED_VALUE"""),111149.0)</f>
        <v>111149</v>
      </c>
      <c r="B4980" s="2">
        <f>IFERROR(__xludf.DUMMYFUNCTION("""COMPUTED_VALUE"""),1.0)</f>
        <v>1</v>
      </c>
      <c r="C4980" s="2">
        <f>IFERROR(__xludf.DUMMYFUNCTION("""COMPUTED_VALUE"""),631.0)</f>
        <v>631</v>
      </c>
      <c r="D4980" s="3">
        <f>IFERROR(__xludf.DUMMYFUNCTION("""COMPUTED_VALUE"""),631.0)</f>
        <v>631</v>
      </c>
      <c r="E4980" s="1" t="str">
        <f t="array" ref="E4980">_xlfn.XLOOKUP(A4980,Product!A:A,Product!B:B,"Bulunamadı")</f>
        <v>Medical</v>
      </c>
      <c r="F4980" s="1" t="str">
        <f t="array" ref="F4980">_xlfn.XLOOKUP(A4980,Product!A:A,Product!C:C,"Bulunamadı")</f>
        <v>Photography</v>
      </c>
      <c r="G4980" s="2" t="str">
        <f t="array" ref="G4980">_xlfn.XLOOKUP(A4981,Product!A:A,Product!D:D,"Bulunamadı")</f>
        <v>Silverpeak Publishing</v>
      </c>
      <c r="H4980" s="2">
        <f t="array" ref="H4980">_xlfn.XLOOKUP(A4982,Product!A:A,Product!E:E,"Bulunamadı")</f>
        <v>0.86</v>
      </c>
      <c r="I4980" s="2" t="str">
        <f t="shared" si="1"/>
        <v>111149 - Medical - Photography</v>
      </c>
      <c r="J4980" s="2">
        <f t="shared" si="2"/>
        <v>542.66</v>
      </c>
      <c r="K4980" s="17">
        <f t="shared" si="3"/>
        <v>1</v>
      </c>
      <c r="L4980" s="18"/>
    </row>
    <row r="4981" hidden="1">
      <c r="A4981" s="2">
        <f>IFERROR(__xludf.DUMMYFUNCTION("""COMPUTED_VALUE"""),82927.0)</f>
        <v>82927</v>
      </c>
      <c r="B4981" s="2">
        <f>IFERROR(__xludf.DUMMYFUNCTION("""COMPUTED_VALUE"""),0.0)</f>
        <v>0</v>
      </c>
      <c r="C4981" s="2">
        <f>IFERROR(__xludf.DUMMYFUNCTION("""COMPUTED_VALUE"""),505.0)</f>
        <v>505</v>
      </c>
      <c r="D4981" s="3">
        <f>IFERROR(__xludf.DUMMYFUNCTION("""COMPUTED_VALUE"""),140.0)</f>
        <v>140</v>
      </c>
      <c r="E4981" s="1" t="str">
        <f t="array" ref="E4981">_xlfn.XLOOKUP(A4981,Product!A:A,Product!B:B,"Bulunamadı")</f>
        <v>Medical</v>
      </c>
      <c r="F4981" s="1" t="str">
        <f t="array" ref="F4981">_xlfn.XLOOKUP(A4981,Product!A:A,Product!C:C,"Bulunamadı")</f>
        <v>Photography</v>
      </c>
      <c r="G4981" s="2" t="str">
        <f t="array" ref="G4981">_xlfn.XLOOKUP(A4982,Product!A:A,Product!D:D,"Bulunamadı")</f>
        <v>Silverpeak Publishing</v>
      </c>
      <c r="H4981" s="2">
        <f t="array" ref="H4981">_xlfn.XLOOKUP(A4983,Product!A:A,Product!E:E,"Bulunamadı")</f>
        <v>0.92</v>
      </c>
      <c r="I4981" s="2" t="str">
        <f t="shared" si="1"/>
        <v>82927 - Medical - Photography</v>
      </c>
      <c r="J4981" s="2">
        <f t="shared" si="2"/>
        <v>128.8</v>
      </c>
      <c r="K4981" s="17">
        <f t="shared" si="3"/>
        <v>1</v>
      </c>
      <c r="L4981" s="18"/>
    </row>
    <row r="4982" hidden="1">
      <c r="A4982" s="2">
        <f>IFERROR(__xludf.DUMMYFUNCTION("""COMPUTED_VALUE"""),112317.0)</f>
        <v>112317</v>
      </c>
      <c r="B4982" s="2">
        <f>IFERROR(__xludf.DUMMYFUNCTION("""COMPUTED_VALUE"""),0.0)</f>
        <v>0</v>
      </c>
      <c r="C4982" s="2">
        <f>IFERROR(__xludf.DUMMYFUNCTION("""COMPUTED_VALUE"""),310.0)</f>
        <v>310</v>
      </c>
      <c r="D4982" s="3">
        <f>IFERROR(__xludf.DUMMYFUNCTION("""COMPUTED_VALUE"""),284.0)</f>
        <v>284</v>
      </c>
      <c r="E4982" s="1" t="str">
        <f t="array" ref="E4982">_xlfn.XLOOKUP(A4982,Product!A:A,Product!B:B,"Bulunamadı")</f>
        <v>Medical</v>
      </c>
      <c r="F4982" s="1" t="str">
        <f t="array" ref="F4982">_xlfn.XLOOKUP(A4982,Product!A:A,Product!C:C,"Bulunamadı")</f>
        <v>Photography</v>
      </c>
      <c r="G4982" s="2" t="str">
        <f t="array" ref="G4982">_xlfn.XLOOKUP(A4983,Product!A:A,Product!D:D,"Bulunamadı")</f>
        <v>Silverpeak Publishing</v>
      </c>
      <c r="H4982" s="2">
        <f t="array" ref="H4982">_xlfn.XLOOKUP(A4984,Product!A:A,Product!E:E,"Bulunamadı")</f>
        <v>0.83</v>
      </c>
      <c r="I4982" s="2" t="str">
        <f t="shared" si="1"/>
        <v>112317 - Medical - Photography</v>
      </c>
      <c r="J4982" s="2">
        <f t="shared" si="2"/>
        <v>235.72</v>
      </c>
      <c r="K4982" s="17">
        <f t="shared" si="3"/>
        <v>1</v>
      </c>
      <c r="L4982" s="18"/>
    </row>
    <row r="4983" hidden="1">
      <c r="A4983" s="2">
        <f>IFERROR(__xludf.DUMMYFUNCTION("""COMPUTED_VALUE"""),140597.0)</f>
        <v>140597</v>
      </c>
      <c r="B4983" s="2">
        <f>IFERROR(__xludf.DUMMYFUNCTION("""COMPUTED_VALUE"""),0.0)</f>
        <v>0</v>
      </c>
      <c r="C4983" s="2">
        <f>IFERROR(__xludf.DUMMYFUNCTION("""COMPUTED_VALUE"""),594.0)</f>
        <v>594</v>
      </c>
      <c r="D4983" s="3">
        <f>IFERROR(__xludf.DUMMYFUNCTION("""COMPUTED_VALUE"""),310.0)</f>
        <v>310</v>
      </c>
      <c r="E4983" s="1" t="str">
        <f t="array" ref="E4983">_xlfn.XLOOKUP(A4983,Product!A:A,Product!B:B,"Bulunamadı")</f>
        <v>Medical</v>
      </c>
      <c r="F4983" s="1" t="str">
        <f t="array" ref="F4983">_xlfn.XLOOKUP(A4983,Product!A:A,Product!C:C,"Bulunamadı")</f>
        <v>Photography</v>
      </c>
      <c r="G4983" s="2" t="str">
        <f t="array" ref="G4983">_xlfn.XLOOKUP(A4984,Product!A:A,Product!D:D,"Bulunamadı")</f>
        <v>Silverpeak Publishing</v>
      </c>
      <c r="H4983" s="2">
        <f t="array" ref="H4983">_xlfn.XLOOKUP(A4985,Product!A:A,Product!E:E,"Bulunamadı")</f>
        <v>0.87</v>
      </c>
      <c r="I4983" s="2" t="str">
        <f t="shared" si="1"/>
        <v>140597 - Medical - Photography</v>
      </c>
      <c r="J4983" s="2">
        <f t="shared" si="2"/>
        <v>269.7</v>
      </c>
      <c r="K4983" s="17">
        <f t="shared" si="3"/>
        <v>1</v>
      </c>
      <c r="L4983" s="18"/>
    </row>
    <row r="4984" hidden="1">
      <c r="A4984" s="2">
        <f>IFERROR(__xludf.DUMMYFUNCTION("""COMPUTED_VALUE"""),122229.0)</f>
        <v>122229</v>
      </c>
      <c r="B4984" s="2">
        <f>IFERROR(__xludf.DUMMYFUNCTION("""COMPUTED_VALUE"""),0.0)</f>
        <v>0</v>
      </c>
      <c r="C4984" s="2">
        <f>IFERROR(__xludf.DUMMYFUNCTION("""COMPUTED_VALUE"""),590.0)</f>
        <v>590</v>
      </c>
      <c r="D4984" s="3">
        <f>IFERROR(__xludf.DUMMYFUNCTION("""COMPUTED_VALUE"""),135.0)</f>
        <v>135</v>
      </c>
      <c r="E4984" s="1" t="str">
        <f t="array" ref="E4984">_xlfn.XLOOKUP(A4984,Product!A:A,Product!B:B,"Bulunamadı")</f>
        <v>Medical</v>
      </c>
      <c r="F4984" s="1" t="str">
        <f t="array" ref="F4984">_xlfn.XLOOKUP(A4984,Product!A:A,Product!C:C,"Bulunamadı")</f>
        <v>Photography</v>
      </c>
      <c r="G4984" s="2" t="str">
        <f t="array" ref="G4984">_xlfn.XLOOKUP(A4985,Product!A:A,Product!D:D,"Bulunamadı")</f>
        <v>Silverpeak Publishing</v>
      </c>
      <c r="H4984" s="2">
        <f t="array" ref="H4984">_xlfn.XLOOKUP(A4986,Product!A:A,Product!E:E,"Bulunamadı")</f>
        <v>1.06</v>
      </c>
      <c r="I4984" s="2" t="str">
        <f t="shared" si="1"/>
        <v>122229 - Medical - Photography</v>
      </c>
      <c r="J4984" s="2">
        <f t="shared" si="2"/>
        <v>143.1</v>
      </c>
      <c r="K4984" s="17">
        <f t="shared" si="3"/>
        <v>1</v>
      </c>
      <c r="L4984" s="18"/>
    </row>
    <row r="4985" hidden="1">
      <c r="A4985" s="2">
        <f>IFERROR(__xludf.DUMMYFUNCTION("""COMPUTED_VALUE"""),112473.0)</f>
        <v>112473</v>
      </c>
      <c r="B4985" s="2">
        <f>IFERROR(__xludf.DUMMYFUNCTION("""COMPUTED_VALUE"""),0.0)</f>
        <v>0</v>
      </c>
      <c r="C4985" s="2">
        <f>IFERROR(__xludf.DUMMYFUNCTION("""COMPUTED_VALUE"""),303.0)</f>
        <v>303</v>
      </c>
      <c r="D4985" s="3">
        <f>IFERROR(__xludf.DUMMYFUNCTION("""COMPUTED_VALUE"""),219.0)</f>
        <v>219</v>
      </c>
      <c r="E4985" s="1" t="str">
        <f t="array" ref="E4985">_xlfn.XLOOKUP(A4985,Product!A:A,Product!B:B,"Bulunamadı")</f>
        <v>Medical</v>
      </c>
      <c r="F4985" s="1" t="str">
        <f t="array" ref="F4985">_xlfn.XLOOKUP(A4985,Product!A:A,Product!C:C,"Bulunamadı")</f>
        <v>Photography</v>
      </c>
      <c r="G4985" s="2" t="str">
        <f t="array" ref="G4985">_xlfn.XLOOKUP(A4986,Product!A:A,Product!D:D,"Bulunamadı")</f>
        <v>Silverpeak Publishing</v>
      </c>
      <c r="H4985" s="2">
        <f t="array" ref="H4985">_xlfn.XLOOKUP(A4987,Product!A:A,Product!E:E,"Bulunamadı")</f>
        <v>1.86</v>
      </c>
      <c r="I4985" s="2" t="str">
        <f t="shared" si="1"/>
        <v>112473 - Medical - Photography</v>
      </c>
      <c r="J4985" s="2">
        <f t="shared" si="2"/>
        <v>407.34</v>
      </c>
      <c r="K4985" s="17">
        <f t="shared" si="3"/>
        <v>1</v>
      </c>
      <c r="L4985" s="18"/>
    </row>
    <row r="4986" hidden="1">
      <c r="A4986" s="2">
        <f>IFERROR(__xludf.DUMMYFUNCTION("""COMPUTED_VALUE"""),122226.0)</f>
        <v>122226</v>
      </c>
      <c r="B4986" s="2">
        <f>IFERROR(__xludf.DUMMYFUNCTION("""COMPUTED_VALUE"""),0.0)</f>
        <v>0</v>
      </c>
      <c r="C4986" s="2">
        <f>IFERROR(__xludf.DUMMYFUNCTION("""COMPUTED_VALUE"""),411.0)</f>
        <v>411</v>
      </c>
      <c r="D4986" s="3">
        <f>IFERROR(__xludf.DUMMYFUNCTION("""COMPUTED_VALUE"""),38.0)</f>
        <v>38</v>
      </c>
      <c r="E4986" s="1" t="str">
        <f t="array" ref="E4986">_xlfn.XLOOKUP(A4986,Product!A:A,Product!B:B,"Bulunamadı")</f>
        <v>Medical</v>
      </c>
      <c r="F4986" s="1" t="str">
        <f t="array" ref="F4986">_xlfn.XLOOKUP(A4986,Product!A:A,Product!C:C,"Bulunamadı")</f>
        <v>Photography</v>
      </c>
      <c r="G4986" s="2" t="str">
        <f t="array" ref="G4986">_xlfn.XLOOKUP(A4987,Product!A:A,Product!D:D,"Bulunamadı")</f>
        <v>Northpeak Publishing</v>
      </c>
      <c r="H4986" s="2">
        <f t="array" ref="H4986">_xlfn.XLOOKUP(A4988,Product!A:A,Product!E:E,"Bulunamadı")</f>
        <v>2.06</v>
      </c>
      <c r="I4986" s="2" t="str">
        <f t="shared" si="1"/>
        <v>122226 - Medical - Photography</v>
      </c>
      <c r="J4986" s="2">
        <f t="shared" si="2"/>
        <v>78.28</v>
      </c>
      <c r="K4986" s="17">
        <f t="shared" si="3"/>
        <v>1</v>
      </c>
      <c r="L4986" s="18"/>
    </row>
    <row r="4987" hidden="1">
      <c r="A4987" s="2">
        <f>IFERROR(__xludf.DUMMYFUNCTION("""COMPUTED_VALUE"""),4385.0)</f>
        <v>4385</v>
      </c>
      <c r="B4987" s="2">
        <f>IFERROR(__xludf.DUMMYFUNCTION("""COMPUTED_VALUE"""),1.0)</f>
        <v>1</v>
      </c>
      <c r="C4987" s="2">
        <f>IFERROR(__xludf.DUMMYFUNCTION("""COMPUTED_VALUE"""),520.0)</f>
        <v>520</v>
      </c>
      <c r="D4987" s="3">
        <f>IFERROR(__xludf.DUMMYFUNCTION("""COMPUTED_VALUE"""),283.0)</f>
        <v>283</v>
      </c>
      <c r="E4987" s="1" t="str">
        <f t="array" ref="E4987">_xlfn.XLOOKUP(A4987,Product!A:A,Product!B:B,"Bulunamadı")</f>
        <v>Medical</v>
      </c>
      <c r="F4987" s="1" t="str">
        <f t="array" ref="F4987">_xlfn.XLOOKUP(A4987,Product!A:A,Product!C:C,"Bulunamadı")</f>
        <v>Photography</v>
      </c>
      <c r="G4987" s="2" t="str">
        <f t="array" ref="G4987">_xlfn.XLOOKUP(A4988,Product!A:A,Product!D:D,"Bulunamadı")</f>
        <v>Northpeak Publishing</v>
      </c>
      <c r="H4987" s="2">
        <f t="array" ref="H4987">_xlfn.XLOOKUP(A4989,Product!A:A,Product!E:E,"Bulunamadı")</f>
        <v>2.06</v>
      </c>
      <c r="I4987" s="2" t="str">
        <f t="shared" si="1"/>
        <v>4385 - Medical - Photography</v>
      </c>
      <c r="J4987" s="2">
        <f t="shared" si="2"/>
        <v>582.98</v>
      </c>
      <c r="K4987" s="17">
        <f t="shared" si="3"/>
        <v>1</v>
      </c>
      <c r="L4987" s="18"/>
    </row>
    <row r="4988" hidden="1">
      <c r="A4988" s="2">
        <f>IFERROR(__xludf.DUMMYFUNCTION("""COMPUTED_VALUE"""),41029.0)</f>
        <v>41029</v>
      </c>
      <c r="B4988" s="2">
        <f>IFERROR(__xludf.DUMMYFUNCTION("""COMPUTED_VALUE"""),0.0)</f>
        <v>0</v>
      </c>
      <c r="C4988" s="2">
        <f>IFERROR(__xludf.DUMMYFUNCTION("""COMPUTED_VALUE"""),114.0)</f>
        <v>114</v>
      </c>
      <c r="D4988" s="3">
        <f>IFERROR(__xludf.DUMMYFUNCTION("""COMPUTED_VALUE"""),105.0)</f>
        <v>105</v>
      </c>
      <c r="E4988" s="1" t="str">
        <f t="array" ref="E4988">_xlfn.XLOOKUP(A4988,Product!A:A,Product!B:B,"Bulunamadı")</f>
        <v>Medical</v>
      </c>
      <c r="F4988" s="1" t="str">
        <f t="array" ref="F4988">_xlfn.XLOOKUP(A4988,Product!A:A,Product!C:C,"Bulunamadı")</f>
        <v>Photography</v>
      </c>
      <c r="G4988" s="2" t="str">
        <f t="array" ref="G4988">_xlfn.XLOOKUP(A4989,Product!A:A,Product!D:D,"Bulunamadı")</f>
        <v>Northpeak Publishing</v>
      </c>
      <c r="H4988" s="2">
        <f t="array" ref="H4988">_xlfn.XLOOKUP(A4990,Product!A:A,Product!E:E,"Bulunamadı")</f>
        <v>1.92</v>
      </c>
      <c r="I4988" s="2" t="str">
        <f t="shared" si="1"/>
        <v>41029 - Medical - Photography</v>
      </c>
      <c r="J4988" s="2">
        <f t="shared" si="2"/>
        <v>201.6</v>
      </c>
      <c r="K4988" s="17">
        <f t="shared" si="3"/>
        <v>1</v>
      </c>
      <c r="L4988" s="18"/>
    </row>
    <row r="4989" hidden="1">
      <c r="A4989" s="2">
        <f>IFERROR(__xludf.DUMMYFUNCTION("""COMPUTED_VALUE"""),4386.0)</f>
        <v>4386</v>
      </c>
      <c r="B4989" s="2">
        <f>IFERROR(__xludf.DUMMYFUNCTION("""COMPUTED_VALUE"""),0.0)</f>
        <v>0</v>
      </c>
      <c r="C4989" s="2">
        <f>IFERROR(__xludf.DUMMYFUNCTION("""COMPUTED_VALUE"""),996.0)</f>
        <v>996</v>
      </c>
      <c r="D4989" s="3">
        <f>IFERROR(__xludf.DUMMYFUNCTION("""COMPUTED_VALUE"""),374.0)</f>
        <v>374</v>
      </c>
      <c r="E4989" s="1" t="str">
        <f t="array" ref="E4989">_xlfn.XLOOKUP(A4989,Product!A:A,Product!B:B,"Bulunamadı")</f>
        <v>Medical</v>
      </c>
      <c r="F4989" s="1" t="str">
        <f t="array" ref="F4989">_xlfn.XLOOKUP(A4989,Product!A:A,Product!C:C,"Bulunamadı")</f>
        <v>Photography</v>
      </c>
      <c r="G4989" s="2" t="str">
        <f t="array" ref="G4989">_xlfn.XLOOKUP(A4990,Product!A:A,Product!D:D,"Bulunamadı")</f>
        <v>Northpeak Publishing</v>
      </c>
      <c r="H4989" s="2">
        <f t="array" ref="H4989">_xlfn.XLOOKUP(A4991,Product!A:A,Product!E:E,"Bulunamadı")</f>
        <v>2.16</v>
      </c>
      <c r="I4989" s="2" t="str">
        <f t="shared" si="1"/>
        <v>4386 - Medical - Photography</v>
      </c>
      <c r="J4989" s="2">
        <f t="shared" si="2"/>
        <v>807.84</v>
      </c>
      <c r="K4989" s="17">
        <f t="shared" si="3"/>
        <v>1</v>
      </c>
      <c r="L4989" s="18"/>
    </row>
    <row r="4990" hidden="1">
      <c r="A4990" s="2">
        <f>IFERROR(__xludf.DUMMYFUNCTION("""COMPUTED_VALUE"""),41030.0)</f>
        <v>41030</v>
      </c>
      <c r="B4990" s="2">
        <f>IFERROR(__xludf.DUMMYFUNCTION("""COMPUTED_VALUE"""),1.0)</f>
        <v>1</v>
      </c>
      <c r="C4990" s="2">
        <f>IFERROR(__xludf.DUMMYFUNCTION("""COMPUTED_VALUE"""),334.0)</f>
        <v>334</v>
      </c>
      <c r="D4990" s="3">
        <f>IFERROR(__xludf.DUMMYFUNCTION("""COMPUTED_VALUE"""),226.0)</f>
        <v>226</v>
      </c>
      <c r="E4990" s="1" t="str">
        <f t="array" ref="E4990">_xlfn.XLOOKUP(A4990,Product!A:A,Product!B:B,"Bulunamadı")</f>
        <v>Medical</v>
      </c>
      <c r="F4990" s="1" t="str">
        <f t="array" ref="F4990">_xlfn.XLOOKUP(A4990,Product!A:A,Product!C:C,"Bulunamadı")</f>
        <v>Photography</v>
      </c>
      <c r="G4990" s="2" t="str">
        <f t="array" ref="G4990">_xlfn.XLOOKUP(A4991,Product!A:A,Product!D:D,"Bulunamadı")</f>
        <v>Northpeak Publishing</v>
      </c>
      <c r="H4990" s="2">
        <f t="array" ref="H4990">_xlfn.XLOOKUP(A4992,Product!A:A,Product!E:E,"Bulunamadı")</f>
        <v>1.25</v>
      </c>
      <c r="I4990" s="2" t="str">
        <f t="shared" si="1"/>
        <v>41030 - Medical - Photography</v>
      </c>
      <c r="J4990" s="2">
        <f t="shared" si="2"/>
        <v>282.5</v>
      </c>
      <c r="K4990" s="17">
        <f t="shared" si="3"/>
        <v>1</v>
      </c>
      <c r="L4990" s="18"/>
    </row>
    <row r="4991" hidden="1">
      <c r="A4991" s="2">
        <f>IFERROR(__xludf.DUMMYFUNCTION("""COMPUTED_VALUE"""),84950.0)</f>
        <v>84950</v>
      </c>
      <c r="B4991" s="2">
        <f>IFERROR(__xludf.DUMMYFUNCTION("""COMPUTED_VALUE"""),1.0)</f>
        <v>1</v>
      </c>
      <c r="C4991" s="2">
        <f>IFERROR(__xludf.DUMMYFUNCTION("""COMPUTED_VALUE"""),297.0)</f>
        <v>297</v>
      </c>
      <c r="D4991" s="3">
        <f>IFERROR(__xludf.DUMMYFUNCTION("""COMPUTED_VALUE"""),213.0)</f>
        <v>213</v>
      </c>
      <c r="E4991" s="1" t="str">
        <f t="array" ref="E4991">_xlfn.XLOOKUP(A4991,Product!A:A,Product!B:B,"Bulunamadı")</f>
        <v>Medical</v>
      </c>
      <c r="F4991" s="1" t="str">
        <f t="array" ref="F4991">_xlfn.XLOOKUP(A4991,Product!A:A,Product!C:C,"Bulunamadı")</f>
        <v>Photography</v>
      </c>
      <c r="G4991" s="2" t="str">
        <f t="array" ref="G4991">_xlfn.XLOOKUP(A4992,Product!A:A,Product!D:D,"Bulunamadı")</f>
        <v>Harborpeak Publishing</v>
      </c>
      <c r="H4991" s="2">
        <f t="array" ref="H4991">_xlfn.XLOOKUP(A4993,Product!A:A,Product!E:E,"Bulunamadı")</f>
        <v>0.91</v>
      </c>
      <c r="I4991" s="2" t="str">
        <f t="shared" si="1"/>
        <v>84950 - Medical - Photography</v>
      </c>
      <c r="J4991" s="2">
        <f t="shared" si="2"/>
        <v>193.83</v>
      </c>
      <c r="K4991" s="17">
        <f t="shared" si="3"/>
        <v>1</v>
      </c>
      <c r="L4991" s="18"/>
    </row>
    <row r="4992" hidden="1">
      <c r="A4992" s="2">
        <f>IFERROR(__xludf.DUMMYFUNCTION("""COMPUTED_VALUE"""),45255.0)</f>
        <v>45255</v>
      </c>
      <c r="B4992" s="2">
        <f>IFERROR(__xludf.DUMMYFUNCTION("""COMPUTED_VALUE"""),1.0)</f>
        <v>1</v>
      </c>
      <c r="C4992" s="2">
        <f>IFERROR(__xludf.DUMMYFUNCTION("""COMPUTED_VALUE"""),299.0)</f>
        <v>299</v>
      </c>
      <c r="D4992" s="3">
        <f>IFERROR(__xludf.DUMMYFUNCTION("""COMPUTED_VALUE"""),165.0)</f>
        <v>165</v>
      </c>
      <c r="E4992" s="1" t="str">
        <f t="array" ref="E4992">_xlfn.XLOOKUP(A4992,Product!A:A,Product!B:B,"Bulunamadı")</f>
        <v>Medical</v>
      </c>
      <c r="F4992" s="1" t="str">
        <f t="array" ref="F4992">_xlfn.XLOOKUP(A4992,Product!A:A,Product!C:C,"Bulunamadı")</f>
        <v>Photography</v>
      </c>
      <c r="G4992" s="2" t="str">
        <f t="array" ref="G4992">_xlfn.XLOOKUP(A4993,Product!A:A,Product!D:D,"Bulunamadı")</f>
        <v>Harborpeak Publishing</v>
      </c>
      <c r="H4992" s="2">
        <f t="array" ref="H4992">_xlfn.XLOOKUP(A4994,Product!A:A,Product!E:E,"Bulunamadı")</f>
        <v>0.99</v>
      </c>
      <c r="I4992" s="2" t="str">
        <f t="shared" si="1"/>
        <v>45255 - Medical - Photography</v>
      </c>
      <c r="J4992" s="2">
        <f t="shared" si="2"/>
        <v>163.35</v>
      </c>
      <c r="K4992" s="17">
        <f t="shared" si="3"/>
        <v>1</v>
      </c>
      <c r="L4992" s="18"/>
    </row>
    <row r="4993" hidden="1">
      <c r="A4993" s="2">
        <f>IFERROR(__xludf.DUMMYFUNCTION("""COMPUTED_VALUE"""),108070.0)</f>
        <v>108070</v>
      </c>
      <c r="B4993" s="2">
        <f>IFERROR(__xludf.DUMMYFUNCTION("""COMPUTED_VALUE"""),0.0)</f>
        <v>0</v>
      </c>
      <c r="C4993" s="2">
        <f>IFERROR(__xludf.DUMMYFUNCTION("""COMPUTED_VALUE"""),884.0)</f>
        <v>884</v>
      </c>
      <c r="D4993" s="3">
        <f>IFERROR(__xludf.DUMMYFUNCTION("""COMPUTED_VALUE"""),336.0)</f>
        <v>336</v>
      </c>
      <c r="E4993" s="1" t="str">
        <f t="array" ref="E4993">_xlfn.XLOOKUP(A4993,Product!A:A,Product!B:B,"Bulunamadı")</f>
        <v>Medical</v>
      </c>
      <c r="F4993" s="1" t="str">
        <f t="array" ref="F4993">_xlfn.XLOOKUP(A4993,Product!A:A,Product!C:C,"Bulunamadı")</f>
        <v>Photography</v>
      </c>
      <c r="G4993" s="2" t="str">
        <f t="array" ref="G4993">_xlfn.XLOOKUP(A4994,Product!A:A,Product!D:D,"Bulunamadı")</f>
        <v>Harborpeak Publishing</v>
      </c>
      <c r="H4993" s="2">
        <f t="array" ref="H4993">_xlfn.XLOOKUP(A4995,Product!A:A,Product!E:E,"Bulunamadı")</f>
        <v>1.63</v>
      </c>
      <c r="I4993" s="2" t="str">
        <f t="shared" si="1"/>
        <v>108070 - Medical - Photography</v>
      </c>
      <c r="J4993" s="2">
        <f t="shared" si="2"/>
        <v>547.68</v>
      </c>
      <c r="K4993" s="17">
        <f t="shared" si="3"/>
        <v>1</v>
      </c>
      <c r="L4993" s="18"/>
    </row>
    <row r="4994" hidden="1">
      <c r="A4994" s="2">
        <f>IFERROR(__xludf.DUMMYFUNCTION("""COMPUTED_VALUE"""),108069.0)</f>
        <v>108069</v>
      </c>
      <c r="B4994" s="2">
        <f>IFERROR(__xludf.DUMMYFUNCTION("""COMPUTED_VALUE"""),0.0)</f>
        <v>0</v>
      </c>
      <c r="C4994" s="2">
        <f>IFERROR(__xludf.DUMMYFUNCTION("""COMPUTED_VALUE"""),915.0)</f>
        <v>915</v>
      </c>
      <c r="D4994" s="3">
        <f>IFERROR(__xludf.DUMMYFUNCTION("""COMPUTED_VALUE"""),59.0)</f>
        <v>59</v>
      </c>
      <c r="E4994" s="1" t="str">
        <f t="array" ref="E4994">_xlfn.XLOOKUP(A4994,Product!A:A,Product!B:B,"Bulunamadı")</f>
        <v>Medical</v>
      </c>
      <c r="F4994" s="1" t="str">
        <f t="array" ref="F4994">_xlfn.XLOOKUP(A4994,Product!A:A,Product!C:C,"Bulunamadı")</f>
        <v>Photography</v>
      </c>
      <c r="G4994" s="2" t="str">
        <f t="array" ref="G4994">_xlfn.XLOOKUP(A4995,Product!A:A,Product!D:D,"Bulunamadı")</f>
        <v>Cedarpeak Publishing</v>
      </c>
      <c r="H4994" s="2">
        <f t="array" ref="H4994">_xlfn.XLOOKUP(A4996,Product!A:A,Product!E:E,"Bulunamadı")</f>
        <v>2.52</v>
      </c>
      <c r="I4994" s="2" t="str">
        <f t="shared" si="1"/>
        <v>108069 - Medical - Photography</v>
      </c>
      <c r="J4994" s="2">
        <f t="shared" si="2"/>
        <v>148.68</v>
      </c>
      <c r="K4994" s="17">
        <f t="shared" si="3"/>
        <v>1</v>
      </c>
      <c r="L4994" s="18"/>
    </row>
    <row r="4995" hidden="1">
      <c r="A4995" s="2">
        <f>IFERROR(__xludf.DUMMYFUNCTION("""COMPUTED_VALUE"""),9668.0)</f>
        <v>9668</v>
      </c>
      <c r="B4995" s="2">
        <f>IFERROR(__xludf.DUMMYFUNCTION("""COMPUTED_VALUE"""),0.0)</f>
        <v>0</v>
      </c>
      <c r="C4995" s="2">
        <f>IFERROR(__xludf.DUMMYFUNCTION("""COMPUTED_VALUE"""),467.0)</f>
        <v>467</v>
      </c>
      <c r="D4995" s="3">
        <f>IFERROR(__xludf.DUMMYFUNCTION("""COMPUTED_VALUE"""),459.0)</f>
        <v>459</v>
      </c>
      <c r="E4995" s="1" t="str">
        <f t="array" ref="E4995">_xlfn.XLOOKUP(A4995,Product!A:A,Product!B:B,"Bulunamadı")</f>
        <v>Medical</v>
      </c>
      <c r="F4995" s="1" t="str">
        <f t="array" ref="F4995">_xlfn.XLOOKUP(A4995,Product!A:A,Product!C:C,"Bulunamadı")</f>
        <v>Photography</v>
      </c>
      <c r="G4995" s="2" t="str">
        <f t="array" ref="G4995">_xlfn.XLOOKUP(A4996,Product!A:A,Product!D:D,"Bulunamadı")</f>
        <v>Cedarpeak Publishing</v>
      </c>
      <c r="H4995" s="2">
        <f t="array" ref="H4995">_xlfn.XLOOKUP(A4997,Product!A:A,Product!E:E,"Bulunamadı")</f>
        <v>1.52</v>
      </c>
      <c r="I4995" s="2" t="str">
        <f t="shared" si="1"/>
        <v>9668 - Medical - Photography</v>
      </c>
      <c r="J4995" s="2">
        <f t="shared" si="2"/>
        <v>697.68</v>
      </c>
      <c r="K4995" s="17">
        <f t="shared" si="3"/>
        <v>1</v>
      </c>
      <c r="L4995" s="18"/>
    </row>
    <row r="4996" hidden="1">
      <c r="A4996" s="2">
        <f>IFERROR(__xludf.DUMMYFUNCTION("""COMPUTED_VALUE"""),26322.0)</f>
        <v>26322</v>
      </c>
      <c r="B4996" s="2">
        <f>IFERROR(__xludf.DUMMYFUNCTION("""COMPUTED_VALUE"""),0.0)</f>
        <v>0</v>
      </c>
      <c r="C4996" s="2">
        <f>IFERROR(__xludf.DUMMYFUNCTION("""COMPUTED_VALUE"""),408.0)</f>
        <v>408</v>
      </c>
      <c r="D4996" s="3">
        <f>IFERROR(__xludf.DUMMYFUNCTION("""COMPUTED_VALUE"""),403.0)</f>
        <v>403</v>
      </c>
      <c r="E4996" s="1" t="str">
        <f t="array" ref="E4996">_xlfn.XLOOKUP(A4996,Product!A:A,Product!B:B,"Bulunamadı")</f>
        <v>Medical</v>
      </c>
      <c r="F4996" s="1" t="str">
        <f t="array" ref="F4996">_xlfn.XLOOKUP(A4996,Product!A:A,Product!C:C,"Bulunamadı")</f>
        <v>Photography</v>
      </c>
      <c r="G4996" s="2" t="str">
        <f t="array" ref="G4996">_xlfn.XLOOKUP(A4997,Product!A:A,Product!D:D,"Bulunamadı")</f>
        <v>Cedarpeak Publishing</v>
      </c>
      <c r="H4996" s="2">
        <f t="array" ref="H4996">_xlfn.XLOOKUP(A4998,Product!A:A,Product!E:E,"Bulunamadı")</f>
        <v>1.93</v>
      </c>
      <c r="I4996" s="2" t="str">
        <f t="shared" si="1"/>
        <v>26322 - Medical - Photography</v>
      </c>
      <c r="J4996" s="2">
        <f t="shared" si="2"/>
        <v>777.79</v>
      </c>
      <c r="K4996" s="17">
        <f t="shared" si="3"/>
        <v>1</v>
      </c>
      <c r="L4996" s="18"/>
    </row>
    <row r="4997" hidden="1">
      <c r="A4997" s="2">
        <f>IFERROR(__xludf.DUMMYFUNCTION("""COMPUTED_VALUE"""),70413.0)</f>
        <v>70413</v>
      </c>
      <c r="B4997" s="2">
        <f>IFERROR(__xludf.DUMMYFUNCTION("""COMPUTED_VALUE"""),0.0)</f>
        <v>0</v>
      </c>
      <c r="C4997" s="2">
        <f>IFERROR(__xludf.DUMMYFUNCTION("""COMPUTED_VALUE"""),199.0)</f>
        <v>199</v>
      </c>
      <c r="D4997" s="3">
        <f>IFERROR(__xludf.DUMMYFUNCTION("""COMPUTED_VALUE"""),45.0)</f>
        <v>45</v>
      </c>
      <c r="E4997" s="1" t="str">
        <f t="array" ref="E4997">_xlfn.XLOOKUP(A4997,Product!A:A,Product!B:B,"Bulunamadı")</f>
        <v>Medical</v>
      </c>
      <c r="F4997" s="1" t="str">
        <f t="array" ref="F4997">_xlfn.XLOOKUP(A4997,Product!A:A,Product!C:C,"Bulunamadı")</f>
        <v>Photography</v>
      </c>
      <c r="G4997" s="2" t="str">
        <f t="array" ref="G4997">_xlfn.XLOOKUP(A4998,Product!A:A,Product!D:D,"Bulunamadı")</f>
        <v>Cedarpeak Publishing</v>
      </c>
      <c r="H4997" s="2">
        <f t="array" ref="H4997">_xlfn.XLOOKUP(A4999,Product!A:A,Product!E:E,"Bulunamadı")</f>
        <v>2.76</v>
      </c>
      <c r="I4997" s="2" t="str">
        <f t="shared" si="1"/>
        <v>70413 - Medical - Photography</v>
      </c>
      <c r="J4997" s="2">
        <f t="shared" si="2"/>
        <v>124.2</v>
      </c>
      <c r="K4997" s="17">
        <f t="shared" si="3"/>
        <v>1</v>
      </c>
      <c r="L4997" s="18"/>
    </row>
    <row r="4998" hidden="1">
      <c r="A4998" s="2">
        <f>IFERROR(__xludf.DUMMYFUNCTION("""COMPUTED_VALUE"""),4389.0)</f>
        <v>4389</v>
      </c>
      <c r="B4998" s="2">
        <f>IFERROR(__xludf.DUMMYFUNCTION("""COMPUTED_VALUE"""),1.0)</f>
        <v>1</v>
      </c>
      <c r="C4998" s="2">
        <f>IFERROR(__xludf.DUMMYFUNCTION("""COMPUTED_VALUE"""),193.0)</f>
        <v>193</v>
      </c>
      <c r="D4998" s="3">
        <f>IFERROR(__xludf.DUMMYFUNCTION("""COMPUTED_VALUE"""),175.0)</f>
        <v>175</v>
      </c>
      <c r="E4998" s="1" t="str">
        <f t="array" ref="E4998">_xlfn.XLOOKUP(A4998,Product!A:A,Product!B:B,"Bulunamadı")</f>
        <v>Medical</v>
      </c>
      <c r="F4998" s="1" t="str">
        <f t="array" ref="F4998">_xlfn.XLOOKUP(A4998,Product!A:A,Product!C:C,"Bulunamadı")</f>
        <v>Photography</v>
      </c>
      <c r="G4998" s="2" t="str">
        <f t="array" ref="G4998">_xlfn.XLOOKUP(A4999,Product!A:A,Product!D:D,"Bulunamadı")</f>
        <v>Cedarpeak Publishing</v>
      </c>
      <c r="H4998" s="2">
        <f t="array" ref="H4998">_xlfn.XLOOKUP(A5000,Product!A:A,Product!E:E,"Bulunamadı")</f>
        <v>1.14</v>
      </c>
      <c r="I4998" s="2" t="str">
        <f t="shared" si="1"/>
        <v>4389 - Medical - Photography</v>
      </c>
      <c r="J4998" s="2">
        <f t="shared" si="2"/>
        <v>199.5</v>
      </c>
      <c r="K4998" s="17">
        <f t="shared" si="3"/>
        <v>1</v>
      </c>
      <c r="L4998" s="18"/>
    </row>
    <row r="4999" hidden="1">
      <c r="A4999" s="2">
        <f>IFERROR(__xludf.DUMMYFUNCTION("""COMPUTED_VALUE"""),128340.0)</f>
        <v>128340</v>
      </c>
      <c r="B4999" s="2">
        <f>IFERROR(__xludf.DUMMYFUNCTION("""COMPUTED_VALUE"""),0.0)</f>
        <v>0</v>
      </c>
      <c r="C4999" s="2">
        <f>IFERROR(__xludf.DUMMYFUNCTION("""COMPUTED_VALUE"""),61.0)</f>
        <v>61</v>
      </c>
      <c r="D4999" s="3">
        <f>IFERROR(__xludf.DUMMYFUNCTION("""COMPUTED_VALUE"""),1.0)</f>
        <v>1</v>
      </c>
      <c r="E4999" s="1" t="str">
        <f t="array" ref="E4999">_xlfn.XLOOKUP(A4999,Product!A:A,Product!B:B,"Bulunamadı")</f>
        <v>Medical</v>
      </c>
      <c r="F4999" s="1" t="str">
        <f t="array" ref="F4999">_xlfn.XLOOKUP(A4999,Product!A:A,Product!C:C,"Bulunamadı")</f>
        <v>Photography</v>
      </c>
      <c r="G4999" s="2" t="str">
        <f t="array" ref="G4999">_xlfn.XLOOKUP(A5000,Product!A:A,Product!D:D,"Bulunamadı")</f>
        <v>Cedarpeak Publishing</v>
      </c>
      <c r="H4999" s="2">
        <f t="array" ref="H4999">_xlfn.XLOOKUP(A5001,Product!A:A,Product!E:E,"Bulunamadı")</f>
        <v>0.66</v>
      </c>
      <c r="I4999" s="2" t="str">
        <f t="shared" si="1"/>
        <v>128340 - Medical - Photography</v>
      </c>
      <c r="J4999" s="2">
        <f t="shared" si="2"/>
        <v>0.66</v>
      </c>
      <c r="K4999" s="17">
        <f t="shared" si="3"/>
        <v>1</v>
      </c>
      <c r="L4999" s="18"/>
    </row>
    <row r="5000" hidden="1">
      <c r="A5000" s="2">
        <f>IFERROR(__xludf.DUMMYFUNCTION("""COMPUTED_VALUE"""),108071.0)</f>
        <v>108071</v>
      </c>
      <c r="B5000" s="2">
        <f>IFERROR(__xludf.DUMMYFUNCTION("""COMPUTED_VALUE"""),1.0)</f>
        <v>1</v>
      </c>
      <c r="C5000" s="2">
        <f>IFERROR(__xludf.DUMMYFUNCTION("""COMPUTED_VALUE"""),914.0)</f>
        <v>914</v>
      </c>
      <c r="D5000" s="3">
        <f>IFERROR(__xludf.DUMMYFUNCTION("""COMPUTED_VALUE"""),729.0)</f>
        <v>729</v>
      </c>
      <c r="E5000" s="1" t="str">
        <f t="array" ref="E5000">_xlfn.XLOOKUP(A5000,Product!A:A,Product!B:B,"Bulunamadı")</f>
        <v>Medical</v>
      </c>
      <c r="F5000" s="1" t="str">
        <f t="array" ref="F5000">_xlfn.XLOOKUP(A5000,Product!A:A,Product!C:C,"Bulunamadı")</f>
        <v>Photography</v>
      </c>
      <c r="G5000" s="2" t="str">
        <f t="array" ref="G5000">_xlfn.XLOOKUP(A5001,Product!A:A,Product!D:D,"Bulunamadı")</f>
        <v>Cedarpeak Publishing</v>
      </c>
      <c r="H5000" s="2">
        <f t="array" ref="H5000">_xlfn.XLOOKUP(A5002,Product!A:A,Product!E:E,"Bulunamadı")</f>
        <v>1.47</v>
      </c>
      <c r="I5000" s="2" t="str">
        <f t="shared" si="1"/>
        <v>108071 - Medical - Photography</v>
      </c>
      <c r="J5000" s="2">
        <f t="shared" si="2"/>
        <v>1071.63</v>
      </c>
      <c r="K5000" s="17">
        <f t="shared" si="3"/>
        <v>1</v>
      </c>
      <c r="L5000" s="18"/>
    </row>
    <row r="5001" hidden="1">
      <c r="A5001" s="2">
        <f>IFERROR(__xludf.DUMMYFUNCTION("""COMPUTED_VALUE"""),108068.0)</f>
        <v>108068</v>
      </c>
      <c r="B5001" s="2">
        <f>IFERROR(__xludf.DUMMYFUNCTION("""COMPUTED_VALUE"""),1.0)</f>
        <v>1</v>
      </c>
      <c r="C5001" s="2">
        <f>IFERROR(__xludf.DUMMYFUNCTION("""COMPUTED_VALUE"""),376.0)</f>
        <v>376</v>
      </c>
      <c r="D5001" s="3">
        <f>IFERROR(__xludf.DUMMYFUNCTION("""COMPUTED_VALUE"""),222.0)</f>
        <v>222</v>
      </c>
      <c r="E5001" s="1" t="str">
        <f t="array" ref="E5001">_xlfn.XLOOKUP(A5001,Product!A:A,Product!B:B,"Bulunamadı")</f>
        <v>Medical</v>
      </c>
      <c r="F5001" s="1" t="str">
        <f t="array" ref="F5001">_xlfn.XLOOKUP(A5001,Product!A:A,Product!C:C,"Bulunamadı")</f>
        <v>Photography</v>
      </c>
      <c r="G5001" s="2" t="str">
        <f t="array" ref="G5001">_xlfn.XLOOKUP(A5002,Product!A:A,Product!D:D,"Bulunamadı")</f>
        <v>Cedarpeak Publishing</v>
      </c>
      <c r="H5001" s="2">
        <f t="array" ref="H5001">_xlfn.XLOOKUP(A5003,Product!A:A,Product!E:E,"Bulunamadı")</f>
        <v>0.98</v>
      </c>
      <c r="I5001" s="2" t="str">
        <f t="shared" si="1"/>
        <v>108068 - Medical - Photography</v>
      </c>
      <c r="J5001" s="2">
        <f t="shared" si="2"/>
        <v>217.56</v>
      </c>
      <c r="K5001" s="17">
        <f t="shared" si="3"/>
        <v>1</v>
      </c>
      <c r="L5001" s="18"/>
    </row>
    <row r="5002" hidden="1">
      <c r="A5002" s="2">
        <f>IFERROR(__xludf.DUMMYFUNCTION("""COMPUTED_VALUE"""),9662.0)</f>
        <v>9662</v>
      </c>
      <c r="B5002" s="2">
        <f>IFERROR(__xludf.DUMMYFUNCTION("""COMPUTED_VALUE"""),1.0)</f>
        <v>1</v>
      </c>
      <c r="C5002" s="2">
        <f>IFERROR(__xludf.DUMMYFUNCTION("""COMPUTED_VALUE"""),541.0)</f>
        <v>541</v>
      </c>
      <c r="D5002" s="3">
        <f>IFERROR(__xludf.DUMMYFUNCTION("""COMPUTED_VALUE"""),491.0)</f>
        <v>491</v>
      </c>
      <c r="E5002" s="1" t="str">
        <f t="array" ref="E5002">_xlfn.XLOOKUP(A5002,Product!A:A,Product!B:B,"Bulunamadı")</f>
        <v>Medical</v>
      </c>
      <c r="F5002" s="1" t="str">
        <f t="array" ref="F5002">_xlfn.XLOOKUP(A5002,Product!A:A,Product!C:C,"Bulunamadı")</f>
        <v>Photography</v>
      </c>
      <c r="G5002" s="2" t="str">
        <f t="array" ref="G5002">_xlfn.XLOOKUP(A5003,Product!A:A,Product!D:D,"Bulunamadı")</f>
        <v>Cedarpeak Publishing</v>
      </c>
      <c r="H5002" s="2">
        <f t="array" ref="H5002">_xlfn.XLOOKUP(A5004,Product!A:A,Product!E:E,"Bulunamadı")</f>
        <v>1.6</v>
      </c>
      <c r="I5002" s="2" t="str">
        <f t="shared" si="1"/>
        <v>9662 - Medical - Photography</v>
      </c>
      <c r="J5002" s="2">
        <f t="shared" si="2"/>
        <v>785.6</v>
      </c>
      <c r="K5002" s="17">
        <f t="shared" si="3"/>
        <v>1</v>
      </c>
      <c r="L5002" s="18"/>
    </row>
    <row r="5003" hidden="1">
      <c r="A5003" s="2">
        <f>IFERROR(__xludf.DUMMYFUNCTION("""COMPUTED_VALUE"""),117611.0)</f>
        <v>117611</v>
      </c>
      <c r="B5003" s="2">
        <f>IFERROR(__xludf.DUMMYFUNCTION("""COMPUTED_VALUE"""),1.0)</f>
        <v>1</v>
      </c>
      <c r="C5003" s="2">
        <f>IFERROR(__xludf.DUMMYFUNCTION("""COMPUTED_VALUE"""),886.0)</f>
        <v>886</v>
      </c>
      <c r="D5003" s="3">
        <f>IFERROR(__xludf.DUMMYFUNCTION("""COMPUTED_VALUE"""),453.0)</f>
        <v>453</v>
      </c>
      <c r="E5003" s="1" t="str">
        <f t="array" ref="E5003">_xlfn.XLOOKUP(A5003,Product!A:A,Product!B:B,"Bulunamadı")</f>
        <v>Medical</v>
      </c>
      <c r="F5003" s="1" t="str">
        <f t="array" ref="F5003">_xlfn.XLOOKUP(A5003,Product!A:A,Product!C:C,"Bulunamadı")</f>
        <v>Photography</v>
      </c>
      <c r="G5003" s="2" t="str">
        <f t="array" ref="G5003">_xlfn.XLOOKUP(A5004,Product!A:A,Product!D:D,"Bulunamadı")</f>
        <v>Cedarpeak Publishing</v>
      </c>
      <c r="H5003" s="2">
        <f t="array" ref="H5003">_xlfn.XLOOKUP(A5005,Product!A:A,Product!E:E,"Bulunamadı")</f>
        <v>1.22</v>
      </c>
      <c r="I5003" s="2" t="str">
        <f t="shared" si="1"/>
        <v>117611 - Medical - Photography</v>
      </c>
      <c r="J5003" s="2">
        <f t="shared" si="2"/>
        <v>552.66</v>
      </c>
      <c r="K5003" s="17">
        <f t="shared" si="3"/>
        <v>1</v>
      </c>
      <c r="L5003" s="18"/>
    </row>
    <row r="5004" hidden="1">
      <c r="A5004" s="2">
        <f>IFERROR(__xludf.DUMMYFUNCTION("""COMPUTED_VALUE"""),111148.0)</f>
        <v>111148</v>
      </c>
      <c r="B5004" s="2">
        <f>IFERROR(__xludf.DUMMYFUNCTION("""COMPUTED_VALUE"""),0.0)</f>
        <v>0</v>
      </c>
      <c r="C5004" s="2">
        <f>IFERROR(__xludf.DUMMYFUNCTION("""COMPUTED_VALUE"""),185.0)</f>
        <v>185</v>
      </c>
      <c r="D5004" s="3">
        <f>IFERROR(__xludf.DUMMYFUNCTION("""COMPUTED_VALUE"""),38.0)</f>
        <v>38</v>
      </c>
      <c r="E5004" s="1" t="str">
        <f t="array" ref="E5004">_xlfn.XLOOKUP(A5004,Product!A:A,Product!B:B,"Bulunamadı")</f>
        <v>Medical</v>
      </c>
      <c r="F5004" s="1" t="str">
        <f t="array" ref="F5004">_xlfn.XLOOKUP(A5004,Product!A:A,Product!C:C,"Bulunamadı")</f>
        <v>Photography</v>
      </c>
      <c r="G5004" s="2" t="str">
        <f t="array" ref="G5004">_xlfn.XLOOKUP(A5005,Product!A:A,Product!D:D,"Bulunamadı")</f>
        <v>Cedarpeak Publishing</v>
      </c>
      <c r="H5004" s="2">
        <f t="array" ref="H5004">_xlfn.XLOOKUP(A5006,Product!A:A,Product!E:E,"Bulunamadı")</f>
        <v>0.98</v>
      </c>
      <c r="I5004" s="2" t="str">
        <f t="shared" si="1"/>
        <v>111148 - Medical - Photography</v>
      </c>
      <c r="J5004" s="2">
        <f t="shared" si="2"/>
        <v>37.24</v>
      </c>
      <c r="K5004" s="17">
        <f t="shared" si="3"/>
        <v>1</v>
      </c>
      <c r="L5004" s="18"/>
    </row>
    <row r="5005" hidden="1">
      <c r="A5005" s="2">
        <f>IFERROR(__xludf.DUMMYFUNCTION("""COMPUTED_VALUE"""),9680.0)</f>
        <v>9680</v>
      </c>
      <c r="B5005" s="2">
        <f>IFERROR(__xludf.DUMMYFUNCTION("""COMPUTED_VALUE"""),0.0)</f>
        <v>0</v>
      </c>
      <c r="C5005" s="2">
        <f>IFERROR(__xludf.DUMMYFUNCTION("""COMPUTED_VALUE"""),704.0)</f>
        <v>704</v>
      </c>
      <c r="D5005" s="3">
        <f>IFERROR(__xludf.DUMMYFUNCTION("""COMPUTED_VALUE"""),525.0)</f>
        <v>525</v>
      </c>
      <c r="E5005" s="1" t="str">
        <f t="array" ref="E5005">_xlfn.XLOOKUP(A5005,Product!A:A,Product!B:B,"Bulunamadı")</f>
        <v>Medical</v>
      </c>
      <c r="F5005" s="1" t="str">
        <f t="array" ref="F5005">_xlfn.XLOOKUP(A5005,Product!A:A,Product!C:C,"Bulunamadı")</f>
        <v>Photography</v>
      </c>
      <c r="G5005" s="2" t="str">
        <f t="array" ref="G5005">_xlfn.XLOOKUP(A5006,Product!A:A,Product!D:D,"Bulunamadı")</f>
        <v>Cedarpeak Publishing</v>
      </c>
      <c r="H5005" s="2">
        <f t="array" ref="H5005">_xlfn.XLOOKUP(A5007,Product!A:A,Product!E:E,"Bulunamadı")</f>
        <v>0.7</v>
      </c>
      <c r="I5005" s="2" t="str">
        <f t="shared" si="1"/>
        <v>9680 - Medical - Photography</v>
      </c>
      <c r="J5005" s="2">
        <f t="shared" si="2"/>
        <v>367.5</v>
      </c>
      <c r="K5005" s="17">
        <f t="shared" si="3"/>
        <v>1</v>
      </c>
      <c r="L5005" s="18"/>
    </row>
    <row r="5006" hidden="1">
      <c r="A5006" s="2">
        <f>IFERROR(__xludf.DUMMYFUNCTION("""COMPUTED_VALUE"""),117605.0)</f>
        <v>117605</v>
      </c>
      <c r="B5006" s="2">
        <f>IFERROR(__xludf.DUMMYFUNCTION("""COMPUTED_VALUE"""),1.0)</f>
        <v>1</v>
      </c>
      <c r="C5006" s="2">
        <f>IFERROR(__xludf.DUMMYFUNCTION("""COMPUTED_VALUE"""),376.0)</f>
        <v>376</v>
      </c>
      <c r="D5006" s="3">
        <f>IFERROR(__xludf.DUMMYFUNCTION("""COMPUTED_VALUE"""),291.0)</f>
        <v>291</v>
      </c>
      <c r="E5006" s="1" t="str">
        <f t="array" ref="E5006">_xlfn.XLOOKUP(A5006,Product!A:A,Product!B:B,"Bulunamadı")</f>
        <v>Medical</v>
      </c>
      <c r="F5006" s="1" t="str">
        <f t="array" ref="F5006">_xlfn.XLOOKUP(A5006,Product!A:A,Product!C:C,"Bulunamadı")</f>
        <v>Photography</v>
      </c>
      <c r="G5006" s="2" t="str">
        <f t="array" ref="G5006">_xlfn.XLOOKUP(A5007,Product!A:A,Product!D:D,"Bulunamadı")</f>
        <v>Cedarpeak Publishing</v>
      </c>
      <c r="H5006" s="2">
        <f t="array" ref="H5006">_xlfn.XLOOKUP(A5008,Product!A:A,Product!E:E,"Bulunamadı")</f>
        <v>1.41</v>
      </c>
      <c r="I5006" s="2" t="str">
        <f t="shared" si="1"/>
        <v>117605 - Medical - Photography</v>
      </c>
      <c r="J5006" s="2">
        <f t="shared" si="2"/>
        <v>410.31</v>
      </c>
      <c r="K5006" s="17">
        <f t="shared" si="3"/>
        <v>1</v>
      </c>
      <c r="L5006" s="18"/>
    </row>
    <row r="5007" hidden="1">
      <c r="A5007" s="2">
        <f>IFERROR(__xludf.DUMMYFUNCTION("""COMPUTED_VALUE"""),108077.0)</f>
        <v>108077</v>
      </c>
      <c r="B5007" s="2">
        <f>IFERROR(__xludf.DUMMYFUNCTION("""COMPUTED_VALUE"""),1.0)</f>
        <v>1</v>
      </c>
      <c r="C5007" s="2">
        <f>IFERROR(__xludf.DUMMYFUNCTION("""COMPUTED_VALUE"""),695.0)</f>
        <v>695</v>
      </c>
      <c r="D5007" s="3">
        <f>IFERROR(__xludf.DUMMYFUNCTION("""COMPUTED_VALUE"""),261.0)</f>
        <v>261</v>
      </c>
      <c r="E5007" s="1" t="str">
        <f t="array" ref="E5007">_xlfn.XLOOKUP(A5007,Product!A:A,Product!B:B,"Bulunamadı")</f>
        <v>Medical</v>
      </c>
      <c r="F5007" s="1" t="str">
        <f t="array" ref="F5007">_xlfn.XLOOKUP(A5007,Product!A:A,Product!C:C,"Bulunamadı")</f>
        <v>Photography</v>
      </c>
      <c r="G5007" s="2" t="str">
        <f t="array" ref="G5007">_xlfn.XLOOKUP(A5008,Product!A:A,Product!D:D,"Bulunamadı")</f>
        <v>Cedarpeak Publishing</v>
      </c>
      <c r="H5007" s="2">
        <f t="array" ref="H5007">_xlfn.XLOOKUP(A5009,Product!A:A,Product!E:E,"Bulunamadı")</f>
        <v>1.93</v>
      </c>
      <c r="I5007" s="2" t="str">
        <f t="shared" si="1"/>
        <v>108077 - Medical - Photography</v>
      </c>
      <c r="J5007" s="2">
        <f t="shared" si="2"/>
        <v>503.73</v>
      </c>
      <c r="K5007" s="17">
        <f t="shared" si="3"/>
        <v>1</v>
      </c>
      <c r="L5007" s="18"/>
    </row>
    <row r="5008" hidden="1">
      <c r="A5008" s="2">
        <f>IFERROR(__xludf.DUMMYFUNCTION("""COMPUTED_VALUE"""),9681.0)</f>
        <v>9681</v>
      </c>
      <c r="B5008" s="2">
        <f>IFERROR(__xludf.DUMMYFUNCTION("""COMPUTED_VALUE"""),1.0)</f>
        <v>1</v>
      </c>
      <c r="C5008" s="2">
        <f>IFERROR(__xludf.DUMMYFUNCTION("""COMPUTED_VALUE"""),408.0)</f>
        <v>408</v>
      </c>
      <c r="D5008" s="3">
        <f>IFERROR(__xludf.DUMMYFUNCTION("""COMPUTED_VALUE"""),216.0)</f>
        <v>216</v>
      </c>
      <c r="E5008" s="1" t="str">
        <f t="array" ref="E5008">_xlfn.XLOOKUP(A5008,Product!A:A,Product!B:B,"Bulunamadı")</f>
        <v>Medical</v>
      </c>
      <c r="F5008" s="1" t="str">
        <f t="array" ref="F5008">_xlfn.XLOOKUP(A5008,Product!A:A,Product!C:C,"Bulunamadı")</f>
        <v>Photography</v>
      </c>
      <c r="G5008" s="2" t="str">
        <f t="array" ref="G5008">_xlfn.XLOOKUP(A5009,Product!A:A,Product!D:D,"Bulunamadı")</f>
        <v>Cedarpeak Publishing</v>
      </c>
      <c r="H5008" s="2">
        <f t="array" ref="H5008">_xlfn.XLOOKUP(A5010,Product!A:A,Product!E:E,"Bulunamadı")</f>
        <v>2.02</v>
      </c>
      <c r="I5008" s="2" t="str">
        <f t="shared" si="1"/>
        <v>9681 - Medical - Photography</v>
      </c>
      <c r="J5008" s="2">
        <f t="shared" si="2"/>
        <v>436.32</v>
      </c>
      <c r="K5008" s="17">
        <f t="shared" si="3"/>
        <v>1</v>
      </c>
      <c r="L5008" s="18"/>
    </row>
    <row r="5009" hidden="1">
      <c r="A5009" s="2">
        <f>IFERROR(__xludf.DUMMYFUNCTION("""COMPUTED_VALUE"""),4388.0)</f>
        <v>4388</v>
      </c>
      <c r="B5009" s="2">
        <f>IFERROR(__xludf.DUMMYFUNCTION("""COMPUTED_VALUE"""),0.0)</f>
        <v>0</v>
      </c>
      <c r="C5009" s="2">
        <f>IFERROR(__xludf.DUMMYFUNCTION("""COMPUTED_VALUE"""),141.0)</f>
        <v>141</v>
      </c>
      <c r="D5009" s="3">
        <f>IFERROR(__xludf.DUMMYFUNCTION("""COMPUTED_VALUE"""),63.0)</f>
        <v>63</v>
      </c>
      <c r="E5009" s="1" t="str">
        <f t="array" ref="E5009">_xlfn.XLOOKUP(A5009,Product!A:A,Product!B:B,"Bulunamadı")</f>
        <v>Medical</v>
      </c>
      <c r="F5009" s="1" t="str">
        <f t="array" ref="F5009">_xlfn.XLOOKUP(A5009,Product!A:A,Product!C:C,"Bulunamadı")</f>
        <v>Photography</v>
      </c>
      <c r="G5009" s="2" t="str">
        <f t="array" ref="G5009">_xlfn.XLOOKUP(A5010,Product!A:A,Product!D:D,"Bulunamadı")</f>
        <v>Cedarpeak Publishing</v>
      </c>
      <c r="H5009" s="2">
        <f t="array" ref="H5009">_xlfn.XLOOKUP(A5011,Product!A:A,Product!E:E,"Bulunamadı")</f>
        <v>2.21</v>
      </c>
      <c r="I5009" s="2" t="str">
        <f t="shared" si="1"/>
        <v>4388 - Medical - Photography</v>
      </c>
      <c r="J5009" s="2">
        <f t="shared" si="2"/>
        <v>139.23</v>
      </c>
      <c r="K5009" s="17">
        <f t="shared" si="3"/>
        <v>1</v>
      </c>
      <c r="L5009" s="18"/>
    </row>
    <row r="5010" hidden="1">
      <c r="A5010" s="2">
        <f>IFERROR(__xludf.DUMMYFUNCTION("""COMPUTED_VALUE"""),99036.0)</f>
        <v>99036</v>
      </c>
      <c r="B5010" s="2">
        <f>IFERROR(__xludf.DUMMYFUNCTION("""COMPUTED_VALUE"""),0.0)</f>
        <v>0</v>
      </c>
      <c r="C5010" s="2">
        <f>IFERROR(__xludf.DUMMYFUNCTION("""COMPUTED_VALUE"""),337.0)</f>
        <v>337</v>
      </c>
      <c r="D5010" s="3">
        <f>IFERROR(__xludf.DUMMYFUNCTION("""COMPUTED_VALUE"""),168.0)</f>
        <v>168</v>
      </c>
      <c r="E5010" s="1" t="str">
        <f t="array" ref="E5010">_xlfn.XLOOKUP(A5010,Product!A:A,Product!B:B,"Bulunamadı")</f>
        <v>Medical</v>
      </c>
      <c r="F5010" s="1" t="str">
        <f t="array" ref="F5010">_xlfn.XLOOKUP(A5010,Product!A:A,Product!C:C,"Bulunamadı")</f>
        <v>Photography</v>
      </c>
      <c r="G5010" s="2" t="str">
        <f t="array" ref="G5010">_xlfn.XLOOKUP(A5011,Product!A:A,Product!D:D,"Bulunamadı")</f>
        <v>Cedarpeak Publishing</v>
      </c>
      <c r="H5010" s="2">
        <f t="array" ref="H5010">_xlfn.XLOOKUP(A5012,Product!A:A,Product!E:E,"Bulunamadı")</f>
        <v>1.65</v>
      </c>
      <c r="I5010" s="2" t="str">
        <f t="shared" si="1"/>
        <v>99036 - Medical - Photography</v>
      </c>
      <c r="J5010" s="2">
        <f t="shared" si="2"/>
        <v>277.2</v>
      </c>
      <c r="K5010" s="17">
        <f t="shared" si="3"/>
        <v>1</v>
      </c>
      <c r="L5010" s="18"/>
    </row>
    <row r="5011" hidden="1">
      <c r="A5011" s="2">
        <f>IFERROR(__xludf.DUMMYFUNCTION("""COMPUTED_VALUE"""),109344.0)</f>
        <v>109344</v>
      </c>
      <c r="B5011" s="2">
        <f>IFERROR(__xludf.DUMMYFUNCTION("""COMPUTED_VALUE"""),0.0)</f>
        <v>0</v>
      </c>
      <c r="C5011" s="2">
        <f>IFERROR(__xludf.DUMMYFUNCTION("""COMPUTED_VALUE"""),488.0)</f>
        <v>488</v>
      </c>
      <c r="D5011" s="3">
        <f>IFERROR(__xludf.DUMMYFUNCTION("""COMPUTED_VALUE"""),340.0)</f>
        <v>340</v>
      </c>
      <c r="E5011" s="1" t="str">
        <f t="array" ref="E5011">_xlfn.XLOOKUP(A5011,Product!A:A,Product!B:B,"Bulunamadı")</f>
        <v>Medical</v>
      </c>
      <c r="F5011" s="1" t="str">
        <f t="array" ref="F5011">_xlfn.XLOOKUP(A5011,Product!A:A,Product!C:C,"Bulunamadı")</f>
        <v>Photography</v>
      </c>
      <c r="G5011" s="2" t="str">
        <f t="array" ref="G5011">_xlfn.XLOOKUP(A5012,Product!A:A,Product!D:D,"Bulunamadı")</f>
        <v>Cedarpeak Publishing</v>
      </c>
      <c r="H5011" s="2">
        <f t="array" ref="H5011">_xlfn.XLOOKUP(A5013,Product!A:A,Product!E:E,"Bulunamadı")</f>
        <v>2.28</v>
      </c>
      <c r="I5011" s="2" t="str">
        <f t="shared" si="1"/>
        <v>109344 - Medical - Photography</v>
      </c>
      <c r="J5011" s="2">
        <f t="shared" si="2"/>
        <v>775.2</v>
      </c>
      <c r="K5011" s="17">
        <f t="shared" si="3"/>
        <v>1</v>
      </c>
      <c r="L5011" s="18"/>
    </row>
    <row r="5012" hidden="1">
      <c r="A5012" s="2">
        <f>IFERROR(__xludf.DUMMYFUNCTION("""COMPUTED_VALUE"""),9663.0)</f>
        <v>9663</v>
      </c>
      <c r="B5012" s="2">
        <f>IFERROR(__xludf.DUMMYFUNCTION("""COMPUTED_VALUE"""),0.0)</f>
        <v>0</v>
      </c>
      <c r="C5012" s="2">
        <f>IFERROR(__xludf.DUMMYFUNCTION("""COMPUTED_VALUE"""),881.0)</f>
        <v>881</v>
      </c>
      <c r="D5012" s="3">
        <f>IFERROR(__xludf.DUMMYFUNCTION("""COMPUTED_VALUE"""),251.0)</f>
        <v>251</v>
      </c>
      <c r="E5012" s="1" t="str">
        <f t="array" ref="E5012">_xlfn.XLOOKUP(A5012,Product!A:A,Product!B:B,"Bulunamadı")</f>
        <v>Medical</v>
      </c>
      <c r="F5012" s="1" t="str">
        <f t="array" ref="F5012">_xlfn.XLOOKUP(A5012,Product!A:A,Product!C:C,"Bulunamadı")</f>
        <v>Photography</v>
      </c>
      <c r="G5012" s="2" t="str">
        <f t="array" ref="G5012">_xlfn.XLOOKUP(A5013,Product!A:A,Product!D:D,"Bulunamadı")</f>
        <v>Cedarpeak Publishing</v>
      </c>
      <c r="H5012" s="2">
        <f t="array" ref="H5012">_xlfn.XLOOKUP(A5014,Product!A:A,Product!E:E,"Bulunamadı")</f>
        <v>1.26</v>
      </c>
      <c r="I5012" s="2" t="str">
        <f t="shared" si="1"/>
        <v>9663 - Medical - Photography</v>
      </c>
      <c r="J5012" s="2">
        <f t="shared" si="2"/>
        <v>316.26</v>
      </c>
      <c r="K5012" s="17">
        <f t="shared" si="3"/>
        <v>1</v>
      </c>
      <c r="L5012" s="18"/>
    </row>
    <row r="5013" hidden="1">
      <c r="A5013" s="2">
        <f>IFERROR(__xludf.DUMMYFUNCTION("""COMPUTED_VALUE"""),119106.0)</f>
        <v>119106</v>
      </c>
      <c r="B5013" s="2">
        <f>IFERROR(__xludf.DUMMYFUNCTION("""COMPUTED_VALUE"""),0.0)</f>
        <v>0</v>
      </c>
      <c r="C5013" s="2">
        <f>IFERROR(__xludf.DUMMYFUNCTION("""COMPUTED_VALUE"""),498.0)</f>
        <v>498</v>
      </c>
      <c r="D5013" s="3">
        <f>IFERROR(__xludf.DUMMYFUNCTION("""COMPUTED_VALUE"""),459.0)</f>
        <v>459</v>
      </c>
      <c r="E5013" s="1" t="str">
        <f t="array" ref="E5013">_xlfn.XLOOKUP(A5013,Product!A:A,Product!B:B,"Bulunamadı")</f>
        <v>Medical</v>
      </c>
      <c r="F5013" s="1" t="str">
        <f t="array" ref="F5013">_xlfn.XLOOKUP(A5013,Product!A:A,Product!C:C,"Bulunamadı")</f>
        <v>Photography</v>
      </c>
      <c r="G5013" s="2" t="str">
        <f t="array" ref="G5013">_xlfn.XLOOKUP(A5014,Product!A:A,Product!D:D,"Bulunamadı")</f>
        <v>Cedarpeak Publishing</v>
      </c>
      <c r="H5013" s="2">
        <f t="array" ref="H5013">_xlfn.XLOOKUP(A5015,Product!A:A,Product!E:E,"Bulunamadı")</f>
        <v>1.42</v>
      </c>
      <c r="I5013" s="2" t="str">
        <f t="shared" si="1"/>
        <v>119106 - Medical - Photography</v>
      </c>
      <c r="J5013" s="2">
        <f t="shared" si="2"/>
        <v>651.78</v>
      </c>
      <c r="K5013" s="17">
        <f t="shared" si="3"/>
        <v>1</v>
      </c>
      <c r="L5013" s="18"/>
    </row>
    <row r="5014" hidden="1">
      <c r="A5014" s="2">
        <f>IFERROR(__xludf.DUMMYFUNCTION("""COMPUTED_VALUE"""),9664.0)</f>
        <v>9664</v>
      </c>
      <c r="B5014" s="2">
        <f>IFERROR(__xludf.DUMMYFUNCTION("""COMPUTED_VALUE"""),1.0)</f>
        <v>1</v>
      </c>
      <c r="C5014" s="2">
        <f>IFERROR(__xludf.DUMMYFUNCTION("""COMPUTED_VALUE"""),597.0)</f>
        <v>597</v>
      </c>
      <c r="D5014" s="3">
        <f>IFERROR(__xludf.DUMMYFUNCTION("""COMPUTED_VALUE"""),361.0)</f>
        <v>361</v>
      </c>
      <c r="E5014" s="1" t="str">
        <f t="array" ref="E5014">_xlfn.XLOOKUP(A5014,Product!A:A,Product!B:B,"Bulunamadı")</f>
        <v>Medical</v>
      </c>
      <c r="F5014" s="1" t="str">
        <f t="array" ref="F5014">_xlfn.XLOOKUP(A5014,Product!A:A,Product!C:C,"Bulunamadı")</f>
        <v>Photography</v>
      </c>
      <c r="G5014" s="2" t="str">
        <f t="array" ref="G5014">_xlfn.XLOOKUP(A5015,Product!A:A,Product!D:D,"Bulunamadı")</f>
        <v>Cedarpeak Publishing</v>
      </c>
      <c r="H5014" s="2">
        <f t="array" ref="H5014">_xlfn.XLOOKUP(A5016,Product!A:A,Product!E:E,"Bulunamadı")</f>
        <v>1.35</v>
      </c>
      <c r="I5014" s="2" t="str">
        <f t="shared" si="1"/>
        <v>9664 - Medical - Photography</v>
      </c>
      <c r="J5014" s="2">
        <f t="shared" si="2"/>
        <v>487.35</v>
      </c>
      <c r="K5014" s="17">
        <f t="shared" si="3"/>
        <v>1</v>
      </c>
      <c r="L5014" s="18"/>
    </row>
    <row r="5015" hidden="1">
      <c r="A5015" s="2">
        <f>IFERROR(__xludf.DUMMYFUNCTION("""COMPUTED_VALUE"""),108064.0)</f>
        <v>108064</v>
      </c>
      <c r="B5015" s="2">
        <f>IFERROR(__xludf.DUMMYFUNCTION("""COMPUTED_VALUE"""),1.0)</f>
        <v>1</v>
      </c>
      <c r="C5015" s="2">
        <f>IFERROR(__xludf.DUMMYFUNCTION("""COMPUTED_VALUE"""),94.0)</f>
        <v>94</v>
      </c>
      <c r="D5015" s="3">
        <f>IFERROR(__xludf.DUMMYFUNCTION("""COMPUTED_VALUE"""),12.0)</f>
        <v>12</v>
      </c>
      <c r="E5015" s="1" t="str">
        <f t="array" ref="E5015">_xlfn.XLOOKUP(A5015,Product!A:A,Product!B:B,"Bulunamadı")</f>
        <v>Medical</v>
      </c>
      <c r="F5015" s="1" t="str">
        <f t="array" ref="F5015">_xlfn.XLOOKUP(A5015,Product!A:A,Product!C:C,"Bulunamadı")</f>
        <v>Photography</v>
      </c>
      <c r="G5015" s="2" t="str">
        <f t="array" ref="G5015">_xlfn.XLOOKUP(A5016,Product!A:A,Product!D:D,"Bulunamadı")</f>
        <v>Cedarpeak Publishing</v>
      </c>
      <c r="H5015" s="2">
        <f t="array" ref="H5015">_xlfn.XLOOKUP(A5017,Product!A:A,Product!E:E,"Bulunamadı")</f>
        <v>1.58</v>
      </c>
      <c r="I5015" s="2" t="str">
        <f t="shared" si="1"/>
        <v>108064 - Medical - Photography</v>
      </c>
      <c r="J5015" s="2">
        <f t="shared" si="2"/>
        <v>18.96</v>
      </c>
      <c r="K5015" s="17">
        <f t="shared" si="3"/>
        <v>1</v>
      </c>
      <c r="L5015" s="18"/>
    </row>
    <row r="5016" hidden="1">
      <c r="A5016" s="2">
        <f>IFERROR(__xludf.DUMMYFUNCTION("""COMPUTED_VALUE"""),70414.0)</f>
        <v>70414</v>
      </c>
      <c r="B5016" s="2">
        <f>IFERROR(__xludf.DUMMYFUNCTION("""COMPUTED_VALUE"""),1.0)</f>
        <v>1</v>
      </c>
      <c r="C5016" s="2">
        <f>IFERROR(__xludf.DUMMYFUNCTION("""COMPUTED_VALUE"""),236.0)</f>
        <v>236</v>
      </c>
      <c r="D5016" s="3">
        <f>IFERROR(__xludf.DUMMYFUNCTION("""COMPUTED_VALUE"""),24.0)</f>
        <v>24</v>
      </c>
      <c r="E5016" s="1" t="str">
        <f t="array" ref="E5016">_xlfn.XLOOKUP(A5016,Product!A:A,Product!B:B,"Bulunamadı")</f>
        <v>Medical</v>
      </c>
      <c r="F5016" s="1" t="str">
        <f t="array" ref="F5016">_xlfn.XLOOKUP(A5016,Product!A:A,Product!C:C,"Bulunamadı")</f>
        <v>Photography</v>
      </c>
      <c r="G5016" s="2" t="str">
        <f t="array" ref="G5016">_xlfn.XLOOKUP(A5017,Product!A:A,Product!D:D,"Bulunamadı")</f>
        <v>Cedarpeak Publishing</v>
      </c>
      <c r="H5016" s="2">
        <f t="array" ref="H5016">_xlfn.XLOOKUP(A5018,Product!A:A,Product!E:E,"Bulunamadı")</f>
        <v>0.95</v>
      </c>
      <c r="I5016" s="2" t="str">
        <f t="shared" si="1"/>
        <v>70414 - Medical - Photography</v>
      </c>
      <c r="J5016" s="2">
        <f t="shared" si="2"/>
        <v>22.8</v>
      </c>
      <c r="K5016" s="17">
        <f t="shared" si="3"/>
        <v>1</v>
      </c>
      <c r="L5016" s="18"/>
    </row>
    <row r="5017" hidden="1">
      <c r="A5017" s="2">
        <f>IFERROR(__xludf.DUMMYFUNCTION("""COMPUTED_VALUE"""),9673.0)</f>
        <v>9673</v>
      </c>
      <c r="B5017" s="2">
        <f>IFERROR(__xludf.DUMMYFUNCTION("""COMPUTED_VALUE"""),0.0)</f>
        <v>0</v>
      </c>
      <c r="C5017" s="2">
        <f>IFERROR(__xludf.DUMMYFUNCTION("""COMPUTED_VALUE"""),530.0)</f>
        <v>530</v>
      </c>
      <c r="D5017" s="3">
        <f>IFERROR(__xludf.DUMMYFUNCTION("""COMPUTED_VALUE"""),303.0)</f>
        <v>303</v>
      </c>
      <c r="E5017" s="1" t="str">
        <f t="array" ref="E5017">_xlfn.XLOOKUP(A5017,Product!A:A,Product!B:B,"Bulunamadı")</f>
        <v>Medical</v>
      </c>
      <c r="F5017" s="1" t="str">
        <f t="array" ref="F5017">_xlfn.XLOOKUP(A5017,Product!A:A,Product!C:C,"Bulunamadı")</f>
        <v>Photography</v>
      </c>
      <c r="G5017" s="2" t="str">
        <f t="array" ref="G5017">_xlfn.XLOOKUP(A5018,Product!A:A,Product!D:D,"Bulunamadı")</f>
        <v>Cedarpeak Publishing</v>
      </c>
      <c r="H5017" s="2">
        <f t="array" ref="H5017">_xlfn.XLOOKUP(A5019,Product!A:A,Product!E:E,"Bulunamadı")</f>
        <v>1.25</v>
      </c>
      <c r="I5017" s="2" t="str">
        <f t="shared" si="1"/>
        <v>9673 - Medical - Photography</v>
      </c>
      <c r="J5017" s="2">
        <f t="shared" si="2"/>
        <v>378.75</v>
      </c>
      <c r="K5017" s="17">
        <f t="shared" si="3"/>
        <v>1</v>
      </c>
      <c r="L5017" s="18"/>
    </row>
    <row r="5018" hidden="1">
      <c r="A5018" s="2">
        <f>IFERROR(__xludf.DUMMYFUNCTION("""COMPUTED_VALUE"""),117604.0)</f>
        <v>117604</v>
      </c>
      <c r="B5018" s="2">
        <f>IFERROR(__xludf.DUMMYFUNCTION("""COMPUTED_VALUE"""),0.0)</f>
        <v>0</v>
      </c>
      <c r="C5018" s="2">
        <f>IFERROR(__xludf.DUMMYFUNCTION("""COMPUTED_VALUE"""),667.0)</f>
        <v>667</v>
      </c>
      <c r="D5018" s="3">
        <f>IFERROR(__xludf.DUMMYFUNCTION("""COMPUTED_VALUE"""),275.0)</f>
        <v>275</v>
      </c>
      <c r="E5018" s="1" t="str">
        <f t="array" ref="E5018">_xlfn.XLOOKUP(A5018,Product!A:A,Product!B:B,"Bulunamadı")</f>
        <v>Medical</v>
      </c>
      <c r="F5018" s="1" t="str">
        <f t="array" ref="F5018">_xlfn.XLOOKUP(A5018,Product!A:A,Product!C:C,"Bulunamadı")</f>
        <v>Photography</v>
      </c>
      <c r="G5018" s="2" t="str">
        <f t="array" ref="G5018">_xlfn.XLOOKUP(A5019,Product!A:A,Product!D:D,"Bulunamadı")</f>
        <v>Cedarpeak Publishing</v>
      </c>
      <c r="H5018" s="2">
        <f t="array" ref="H5018">_xlfn.XLOOKUP(A5020,Product!A:A,Product!E:E,"Bulunamadı")</f>
        <v>2.89</v>
      </c>
      <c r="I5018" s="2" t="str">
        <f t="shared" si="1"/>
        <v>117604 - Medical - Photography</v>
      </c>
      <c r="J5018" s="2">
        <f t="shared" si="2"/>
        <v>794.75</v>
      </c>
      <c r="K5018" s="17">
        <f t="shared" si="3"/>
        <v>1</v>
      </c>
      <c r="L5018" s="18"/>
    </row>
    <row r="5019" hidden="1">
      <c r="A5019" s="2">
        <f>IFERROR(__xludf.DUMMYFUNCTION("""COMPUTED_VALUE"""),45165.0)</f>
        <v>45165</v>
      </c>
      <c r="B5019" s="2">
        <f>IFERROR(__xludf.DUMMYFUNCTION("""COMPUTED_VALUE"""),1.0)</f>
        <v>1</v>
      </c>
      <c r="C5019" s="2">
        <f>IFERROR(__xludf.DUMMYFUNCTION("""COMPUTED_VALUE"""),875.0)</f>
        <v>875</v>
      </c>
      <c r="D5019" s="3">
        <f>IFERROR(__xludf.DUMMYFUNCTION("""COMPUTED_VALUE"""),757.0)</f>
        <v>757</v>
      </c>
      <c r="E5019" s="1" t="str">
        <f t="array" ref="E5019">_xlfn.XLOOKUP(A5019,Product!A:A,Product!B:B,"Bulunamadı")</f>
        <v>Medical</v>
      </c>
      <c r="F5019" s="1" t="str">
        <f t="array" ref="F5019">_xlfn.XLOOKUP(A5019,Product!A:A,Product!C:C,"Bulunamadı")</f>
        <v>Photography</v>
      </c>
      <c r="G5019" s="2" t="str">
        <f t="array" ref="G5019">_xlfn.XLOOKUP(A5020,Product!A:A,Product!D:D,"Bulunamadı")</f>
        <v>Cedarpeak Publishing</v>
      </c>
      <c r="H5019" s="2">
        <f t="array" ref="H5019">_xlfn.XLOOKUP(A5021,Product!A:A,Product!E:E,"Bulunamadı")</f>
        <v>1.71</v>
      </c>
      <c r="I5019" s="2" t="str">
        <f t="shared" si="1"/>
        <v>45165 - Medical - Photography</v>
      </c>
      <c r="J5019" s="2">
        <f t="shared" si="2"/>
        <v>1294.47</v>
      </c>
      <c r="K5019" s="17">
        <f t="shared" si="3"/>
        <v>1</v>
      </c>
      <c r="L5019" s="18"/>
    </row>
    <row r="5020" hidden="1">
      <c r="A5020" s="2">
        <f>IFERROR(__xludf.DUMMYFUNCTION("""COMPUTED_VALUE"""),128341.0)</f>
        <v>128341</v>
      </c>
      <c r="B5020" s="2">
        <f>IFERROR(__xludf.DUMMYFUNCTION("""COMPUTED_VALUE"""),1.0)</f>
        <v>1</v>
      </c>
      <c r="C5020" s="2">
        <f>IFERROR(__xludf.DUMMYFUNCTION("""COMPUTED_VALUE"""),869.0)</f>
        <v>869</v>
      </c>
      <c r="D5020" s="3">
        <f>IFERROR(__xludf.DUMMYFUNCTION("""COMPUTED_VALUE"""),539.0)</f>
        <v>539</v>
      </c>
      <c r="E5020" s="1" t="str">
        <f t="array" ref="E5020">_xlfn.XLOOKUP(A5020,Product!A:A,Product!B:B,"Bulunamadı")</f>
        <v>Medical</v>
      </c>
      <c r="F5020" s="1" t="str">
        <f t="array" ref="F5020">_xlfn.XLOOKUP(A5020,Product!A:A,Product!C:C,"Bulunamadı")</f>
        <v>Photography</v>
      </c>
      <c r="G5020" s="2" t="str">
        <f t="array" ref="G5020">_xlfn.XLOOKUP(A5021,Product!A:A,Product!D:D,"Bulunamadı")</f>
        <v>Cedarpeak Publishing</v>
      </c>
      <c r="H5020" s="2">
        <f t="array" ref="H5020">_xlfn.XLOOKUP(A5022,Product!A:A,Product!E:E,"Bulunamadı")</f>
        <v>1.53</v>
      </c>
      <c r="I5020" s="2" t="str">
        <f t="shared" si="1"/>
        <v>128341 - Medical - Photography</v>
      </c>
      <c r="J5020" s="2">
        <f t="shared" si="2"/>
        <v>824.67</v>
      </c>
      <c r="K5020" s="17">
        <f t="shared" si="3"/>
        <v>1</v>
      </c>
      <c r="L5020" s="18"/>
    </row>
    <row r="5021" hidden="1">
      <c r="A5021" s="2">
        <f>IFERROR(__xludf.DUMMYFUNCTION("""COMPUTED_VALUE"""),101917.0)</f>
        <v>101917</v>
      </c>
      <c r="B5021" s="2">
        <f>IFERROR(__xludf.DUMMYFUNCTION("""COMPUTED_VALUE"""),0.0)</f>
        <v>0</v>
      </c>
      <c r="C5021" s="2">
        <f>IFERROR(__xludf.DUMMYFUNCTION("""COMPUTED_VALUE"""),109.0)</f>
        <v>109</v>
      </c>
      <c r="D5021" s="3">
        <f>IFERROR(__xludf.DUMMYFUNCTION("""COMPUTED_VALUE"""),11.0)</f>
        <v>11</v>
      </c>
      <c r="E5021" s="1" t="str">
        <f t="array" ref="E5021">_xlfn.XLOOKUP(A5021,Product!A:A,Product!B:B,"Bulunamadı")</f>
        <v>Medical</v>
      </c>
      <c r="F5021" s="1" t="str">
        <f t="array" ref="F5021">_xlfn.XLOOKUP(A5021,Product!A:A,Product!C:C,"Bulunamadı")</f>
        <v>Photography</v>
      </c>
      <c r="G5021" s="2" t="str">
        <f t="array" ref="G5021">_xlfn.XLOOKUP(A5022,Product!A:A,Product!D:D,"Bulunamadı")</f>
        <v>Cedarpeak Publishing</v>
      </c>
      <c r="H5021" s="2">
        <f t="array" ref="H5021">_xlfn.XLOOKUP(A5023,Product!A:A,Product!E:E,"Bulunamadı")</f>
        <v>1.52</v>
      </c>
      <c r="I5021" s="2" t="str">
        <f t="shared" si="1"/>
        <v>101917 - Medical - Photography</v>
      </c>
      <c r="J5021" s="2">
        <f t="shared" si="2"/>
        <v>16.72</v>
      </c>
      <c r="K5021" s="17">
        <f t="shared" si="3"/>
        <v>1</v>
      </c>
      <c r="L5021" s="18"/>
    </row>
    <row r="5022" hidden="1">
      <c r="A5022" s="2">
        <f>IFERROR(__xludf.DUMMYFUNCTION("""COMPUTED_VALUE"""),79419.0)</f>
        <v>79419</v>
      </c>
      <c r="B5022" s="2">
        <f>IFERROR(__xludf.DUMMYFUNCTION("""COMPUTED_VALUE"""),0.0)</f>
        <v>0</v>
      </c>
      <c r="C5022" s="2">
        <f>IFERROR(__xludf.DUMMYFUNCTION("""COMPUTED_VALUE"""),765.0)</f>
        <v>765</v>
      </c>
      <c r="D5022" s="3">
        <f>IFERROR(__xludf.DUMMYFUNCTION("""COMPUTED_VALUE"""),477.0)</f>
        <v>477</v>
      </c>
      <c r="E5022" s="1" t="str">
        <f t="array" ref="E5022">_xlfn.XLOOKUP(A5022,Product!A:A,Product!B:B,"Bulunamadı")</f>
        <v>Medical</v>
      </c>
      <c r="F5022" s="1" t="str">
        <f t="array" ref="F5022">_xlfn.XLOOKUP(A5022,Product!A:A,Product!C:C,"Bulunamadı")</f>
        <v>Photography</v>
      </c>
      <c r="G5022" s="2" t="str">
        <f t="array" ref="G5022">_xlfn.XLOOKUP(A5023,Product!A:A,Product!D:D,"Bulunamadı")</f>
        <v>Cedarpeak Publishing</v>
      </c>
      <c r="H5022" s="2">
        <f t="array" ref="H5022">_xlfn.XLOOKUP(A5024,Product!A:A,Product!E:E,"Bulunamadı")</f>
        <v>1.6</v>
      </c>
      <c r="I5022" s="2" t="str">
        <f t="shared" si="1"/>
        <v>79419 - Medical - Photography</v>
      </c>
      <c r="J5022" s="2">
        <f t="shared" si="2"/>
        <v>763.2</v>
      </c>
      <c r="K5022" s="17">
        <f t="shared" si="3"/>
        <v>1</v>
      </c>
      <c r="L5022" s="18"/>
    </row>
    <row r="5023" hidden="1">
      <c r="A5023" s="2">
        <f>IFERROR(__xludf.DUMMYFUNCTION("""COMPUTED_VALUE"""),9675.0)</f>
        <v>9675</v>
      </c>
      <c r="B5023" s="2">
        <f>IFERROR(__xludf.DUMMYFUNCTION("""COMPUTED_VALUE"""),1.0)</f>
        <v>1</v>
      </c>
      <c r="C5023" s="2">
        <f>IFERROR(__xludf.DUMMYFUNCTION("""COMPUTED_VALUE"""),971.0)</f>
        <v>971</v>
      </c>
      <c r="D5023" s="3">
        <f>IFERROR(__xludf.DUMMYFUNCTION("""COMPUTED_VALUE"""),361.0)</f>
        <v>361</v>
      </c>
      <c r="E5023" s="1" t="str">
        <f t="array" ref="E5023">_xlfn.XLOOKUP(A5023,Product!A:A,Product!B:B,"Bulunamadı")</f>
        <v>Medical</v>
      </c>
      <c r="F5023" s="1" t="str">
        <f t="array" ref="F5023">_xlfn.XLOOKUP(A5023,Product!A:A,Product!C:C,"Bulunamadı")</f>
        <v>Photography</v>
      </c>
      <c r="G5023" s="2" t="str">
        <f t="array" ref="G5023">_xlfn.XLOOKUP(A5024,Product!A:A,Product!D:D,"Bulunamadı")</f>
        <v>Cedarpeak Publishing</v>
      </c>
      <c r="H5023" s="2">
        <f t="array" ref="H5023">_xlfn.XLOOKUP(A5025,Product!A:A,Product!E:E,"Bulunamadı")</f>
        <v>10.66</v>
      </c>
      <c r="I5023" s="2" t="str">
        <f t="shared" si="1"/>
        <v>9675 - Medical - Photography</v>
      </c>
      <c r="J5023" s="2">
        <f t="shared" si="2"/>
        <v>3848.26</v>
      </c>
      <c r="K5023" s="17">
        <f t="shared" si="3"/>
        <v>1</v>
      </c>
      <c r="L5023" s="18"/>
    </row>
    <row r="5024" hidden="1">
      <c r="A5024" s="2">
        <f>IFERROR(__xludf.DUMMYFUNCTION("""COMPUTED_VALUE"""),9671.0)</f>
        <v>9671</v>
      </c>
      <c r="B5024" s="2">
        <f>IFERROR(__xludf.DUMMYFUNCTION("""COMPUTED_VALUE"""),1.0)</f>
        <v>1</v>
      </c>
      <c r="C5024" s="2">
        <f>IFERROR(__xludf.DUMMYFUNCTION("""COMPUTED_VALUE"""),352.0)</f>
        <v>352</v>
      </c>
      <c r="D5024" s="3">
        <f>IFERROR(__xludf.DUMMYFUNCTION("""COMPUTED_VALUE"""),89.0)</f>
        <v>89</v>
      </c>
      <c r="E5024" s="1" t="str">
        <f t="array" ref="E5024">_xlfn.XLOOKUP(A5024,Product!A:A,Product!B:B,"Bulunamadı")</f>
        <v>Medical</v>
      </c>
      <c r="F5024" s="1" t="str">
        <f t="array" ref="F5024">_xlfn.XLOOKUP(A5024,Product!A:A,Product!C:C,"Bulunamadı")</f>
        <v>Photography</v>
      </c>
      <c r="G5024" s="2" t="str">
        <f t="array" ref="G5024">_xlfn.XLOOKUP(A5025,Product!A:A,Product!D:D,"Bulunamadı")</f>
        <v>Brightpeak Publishing</v>
      </c>
      <c r="H5024" s="2">
        <f t="array" ref="H5024">_xlfn.XLOOKUP(A5026,Product!A:A,Product!E:E,"Bulunamadı")</f>
        <v>2.89</v>
      </c>
      <c r="I5024" s="2" t="str">
        <f t="shared" si="1"/>
        <v>9671 - Medical - Photography</v>
      </c>
      <c r="J5024" s="2">
        <f t="shared" si="2"/>
        <v>257.21</v>
      </c>
      <c r="K5024" s="17">
        <f t="shared" si="3"/>
        <v>1</v>
      </c>
      <c r="L5024" s="18"/>
    </row>
    <row r="5025">
      <c r="A5025" s="2">
        <f>IFERROR(__xludf.DUMMYFUNCTION("""COMPUTED_VALUE"""),20247.0)</f>
        <v>20247</v>
      </c>
      <c r="B5025" s="2">
        <f>IFERROR(__xludf.DUMMYFUNCTION("""COMPUTED_VALUE"""),1.0)</f>
        <v>1</v>
      </c>
      <c r="C5025" s="2">
        <f>IFERROR(__xludf.DUMMYFUNCTION("""COMPUTED_VALUE"""),760.0)</f>
        <v>760</v>
      </c>
      <c r="D5025" s="3">
        <f>IFERROR(__xludf.DUMMYFUNCTION("""COMPUTED_VALUE"""),749.0)</f>
        <v>749</v>
      </c>
      <c r="E5025" s="1" t="str">
        <f t="array" ref="E5025">_xlfn.XLOOKUP(A5025,Product!A:A,Product!B:B,"Bulunamadı")</f>
        <v>Arts</v>
      </c>
      <c r="F5025" s="1" t="str">
        <f t="array" ref="F5025">_xlfn.XLOOKUP(A5025,Product!A:A,Product!C:C,"Bulunamadı")</f>
        <v>Graphic Design</v>
      </c>
      <c r="G5025" s="2" t="str">
        <f t="array" ref="G5025">_xlfn.XLOOKUP(A5026,Product!A:A,Product!D:D,"Bulunamadı")</f>
        <v>Brightpeak Publishing</v>
      </c>
      <c r="H5025" s="2">
        <f t="array" ref="H5025">_xlfn.XLOOKUP(A5027,Product!A:A,Product!E:E,"Bulunamadı")</f>
        <v>1.87</v>
      </c>
      <c r="I5025" s="2" t="str">
        <f t="shared" si="1"/>
        <v>20247 - Arts - Graphic Design</v>
      </c>
      <c r="J5025" s="2">
        <f t="shared" si="2"/>
        <v>1400.63</v>
      </c>
      <c r="K5025" s="17">
        <f t="shared" si="3"/>
        <v>1</v>
      </c>
      <c r="L5025" s="18"/>
    </row>
    <row r="5026">
      <c r="A5026" s="2">
        <f>IFERROR(__xludf.DUMMYFUNCTION("""COMPUTED_VALUE"""),109240.0)</f>
        <v>109240</v>
      </c>
      <c r="B5026" s="2">
        <f>IFERROR(__xludf.DUMMYFUNCTION("""COMPUTED_VALUE"""),1.0)</f>
        <v>1</v>
      </c>
      <c r="C5026" s="2">
        <f>IFERROR(__xludf.DUMMYFUNCTION("""COMPUTED_VALUE"""),483.0)</f>
        <v>483</v>
      </c>
      <c r="D5026" s="3">
        <f>IFERROR(__xludf.DUMMYFUNCTION("""COMPUTED_VALUE"""),369.0)</f>
        <v>369</v>
      </c>
      <c r="E5026" s="1" t="str">
        <f t="array" ref="E5026">_xlfn.XLOOKUP(A5026,Product!A:A,Product!B:B,"Bulunamadı")</f>
        <v>Arts</v>
      </c>
      <c r="F5026" s="1" t="str">
        <f t="array" ref="F5026">_xlfn.XLOOKUP(A5026,Product!A:A,Product!C:C,"Bulunamadı")</f>
        <v>Graphic Design</v>
      </c>
      <c r="G5026" s="2" t="str">
        <f t="array" ref="G5026">_xlfn.XLOOKUP(A5027,Product!A:A,Product!D:D,"Bulunamadı")</f>
        <v>Brightpeak Publishing</v>
      </c>
      <c r="H5026" s="2">
        <f t="array" ref="H5026">_xlfn.XLOOKUP(A5028,Product!A:A,Product!E:E,"Bulunamadı")</f>
        <v>2.29</v>
      </c>
      <c r="I5026" s="2" t="str">
        <f t="shared" si="1"/>
        <v>109240 - Arts - Graphic Design</v>
      </c>
      <c r="J5026" s="2">
        <f t="shared" si="2"/>
        <v>845.01</v>
      </c>
      <c r="K5026" s="17">
        <f t="shared" si="3"/>
        <v>1</v>
      </c>
      <c r="L5026" s="18"/>
    </row>
    <row r="5027">
      <c r="A5027" s="2">
        <f>IFERROR(__xludf.DUMMYFUNCTION("""COMPUTED_VALUE"""),104079.0)</f>
        <v>104079</v>
      </c>
      <c r="B5027" s="2">
        <f>IFERROR(__xludf.DUMMYFUNCTION("""COMPUTED_VALUE"""),0.0)</f>
        <v>0</v>
      </c>
      <c r="C5027" s="2">
        <f>IFERROR(__xludf.DUMMYFUNCTION("""COMPUTED_VALUE"""),62.0)</f>
        <v>62</v>
      </c>
      <c r="D5027" s="3">
        <f>IFERROR(__xludf.DUMMYFUNCTION("""COMPUTED_VALUE"""),53.0)</f>
        <v>53</v>
      </c>
      <c r="E5027" s="1" t="str">
        <f t="array" ref="E5027">_xlfn.XLOOKUP(A5027,Product!A:A,Product!B:B,"Bulunamadı")</f>
        <v>Arts</v>
      </c>
      <c r="F5027" s="1" t="str">
        <f t="array" ref="F5027">_xlfn.XLOOKUP(A5027,Product!A:A,Product!C:C,"Bulunamadı")</f>
        <v>Graphic Design</v>
      </c>
      <c r="G5027" s="2" t="str">
        <f t="array" ref="G5027">_xlfn.XLOOKUP(A5028,Product!A:A,Product!D:D,"Bulunamadı")</f>
        <v>Brightpeak Publishing</v>
      </c>
      <c r="H5027" s="2">
        <f t="array" ref="H5027">_xlfn.XLOOKUP(A5029,Product!A:A,Product!E:E,"Bulunamadı")</f>
        <v>18.48</v>
      </c>
      <c r="I5027" s="2" t="str">
        <f t="shared" si="1"/>
        <v>104079 - Arts - Graphic Design</v>
      </c>
      <c r="J5027" s="2">
        <f t="shared" si="2"/>
        <v>979.44</v>
      </c>
      <c r="K5027" s="17">
        <f t="shared" si="3"/>
        <v>1</v>
      </c>
      <c r="L5027" s="18"/>
    </row>
    <row r="5028">
      <c r="A5028" s="2">
        <f>IFERROR(__xludf.DUMMYFUNCTION("""COMPUTED_VALUE"""),126567.0)</f>
        <v>126567</v>
      </c>
      <c r="B5028" s="2">
        <f>IFERROR(__xludf.DUMMYFUNCTION("""COMPUTED_VALUE"""),0.0)</f>
        <v>0</v>
      </c>
      <c r="C5028" s="2">
        <f>IFERROR(__xludf.DUMMYFUNCTION("""COMPUTED_VALUE"""),939.0)</f>
        <v>939</v>
      </c>
      <c r="D5028" s="3">
        <f>IFERROR(__xludf.DUMMYFUNCTION("""COMPUTED_VALUE"""),703.0)</f>
        <v>703</v>
      </c>
      <c r="E5028" s="1" t="str">
        <f t="array" ref="E5028">_xlfn.XLOOKUP(A5028,Product!A:A,Product!B:B,"Bulunamadı")</f>
        <v>Arts</v>
      </c>
      <c r="F5028" s="1" t="str">
        <f t="array" ref="F5028">_xlfn.XLOOKUP(A5028,Product!A:A,Product!C:C,"Bulunamadı")</f>
        <v>Graphic Design</v>
      </c>
      <c r="G5028" s="2" t="str">
        <f t="array" ref="G5028">_xlfn.XLOOKUP(A5029,Product!A:A,Product!D:D,"Bulunamadı")</f>
        <v>Brightpeak Publishing</v>
      </c>
      <c r="H5028" s="2">
        <f t="array" ref="H5028">_xlfn.XLOOKUP(A5030,Product!A:A,Product!E:E,"Bulunamadı")</f>
        <v>3.04</v>
      </c>
      <c r="I5028" s="2" t="str">
        <f t="shared" si="1"/>
        <v>126567 - Arts - Graphic Design</v>
      </c>
      <c r="J5028" s="2">
        <f t="shared" si="2"/>
        <v>2137.12</v>
      </c>
      <c r="K5028" s="17">
        <f t="shared" si="3"/>
        <v>1</v>
      </c>
      <c r="L5028" s="18"/>
    </row>
    <row r="5029">
      <c r="A5029" s="2">
        <f>IFERROR(__xludf.DUMMYFUNCTION("""COMPUTED_VALUE"""),45567.0)</f>
        <v>45567</v>
      </c>
      <c r="B5029" s="2">
        <f>IFERROR(__xludf.DUMMYFUNCTION("""COMPUTED_VALUE"""),1.0)</f>
        <v>1</v>
      </c>
      <c r="C5029" s="2">
        <f>IFERROR(__xludf.DUMMYFUNCTION("""COMPUTED_VALUE"""),801.0)</f>
        <v>801</v>
      </c>
      <c r="D5029" s="3">
        <f>IFERROR(__xludf.DUMMYFUNCTION("""COMPUTED_VALUE"""),457.0)</f>
        <v>457</v>
      </c>
      <c r="E5029" s="1" t="str">
        <f t="array" ref="E5029">_xlfn.XLOOKUP(A5029,Product!A:A,Product!B:B,"Bulunamadı")</f>
        <v>Arts</v>
      </c>
      <c r="F5029" s="1" t="str">
        <f t="array" ref="F5029">_xlfn.XLOOKUP(A5029,Product!A:A,Product!C:C,"Bulunamadı")</f>
        <v>Graphic Design</v>
      </c>
      <c r="G5029" s="2" t="str">
        <f t="array" ref="G5029">_xlfn.XLOOKUP(A5030,Product!A:A,Product!D:D,"Bulunamadı")</f>
        <v>Brightpeak Publishing</v>
      </c>
      <c r="H5029" s="2">
        <f t="array" ref="H5029">_xlfn.XLOOKUP(A5031,Product!A:A,Product!E:E,"Bulunamadı")</f>
        <v>2.33</v>
      </c>
      <c r="I5029" s="2" t="str">
        <f t="shared" si="1"/>
        <v>45567 - Arts - Graphic Design</v>
      </c>
      <c r="J5029" s="2">
        <f t="shared" si="2"/>
        <v>1064.81</v>
      </c>
      <c r="K5029" s="17">
        <f t="shared" si="3"/>
        <v>1</v>
      </c>
      <c r="L5029" s="18"/>
    </row>
    <row r="5030">
      <c r="A5030" s="2">
        <f>IFERROR(__xludf.DUMMYFUNCTION("""COMPUTED_VALUE"""),109241.0)</f>
        <v>109241</v>
      </c>
      <c r="B5030" s="2">
        <f>IFERROR(__xludf.DUMMYFUNCTION("""COMPUTED_VALUE"""),1.0)</f>
        <v>1</v>
      </c>
      <c r="C5030" s="2">
        <f>IFERROR(__xludf.DUMMYFUNCTION("""COMPUTED_VALUE"""),669.0)</f>
        <v>669</v>
      </c>
      <c r="D5030" s="3">
        <f>IFERROR(__xludf.DUMMYFUNCTION("""COMPUTED_VALUE"""),62.0)</f>
        <v>62</v>
      </c>
      <c r="E5030" s="1" t="str">
        <f t="array" ref="E5030">_xlfn.XLOOKUP(A5030,Product!A:A,Product!B:B,"Bulunamadı")</f>
        <v>Arts</v>
      </c>
      <c r="F5030" s="1" t="str">
        <f t="array" ref="F5030">_xlfn.XLOOKUP(A5030,Product!A:A,Product!C:C,"Bulunamadı")</f>
        <v>Graphic Design</v>
      </c>
      <c r="G5030" s="2" t="str">
        <f t="array" ref="G5030">_xlfn.XLOOKUP(A5031,Product!A:A,Product!D:D,"Bulunamadı")</f>
        <v>Brightpeak Publishing</v>
      </c>
      <c r="H5030" s="2">
        <f t="array" ref="H5030">_xlfn.XLOOKUP(A5032,Product!A:A,Product!E:E,"Bulunamadı")</f>
        <v>6.02</v>
      </c>
      <c r="I5030" s="2" t="str">
        <f t="shared" si="1"/>
        <v>109241 - Arts - Graphic Design</v>
      </c>
      <c r="J5030" s="2">
        <f t="shared" si="2"/>
        <v>373.24</v>
      </c>
      <c r="K5030" s="17">
        <f t="shared" si="3"/>
        <v>1</v>
      </c>
      <c r="L5030" s="18"/>
    </row>
    <row r="5031">
      <c r="A5031" s="2">
        <f>IFERROR(__xludf.DUMMYFUNCTION("""COMPUTED_VALUE"""),126564.0)</f>
        <v>126564</v>
      </c>
      <c r="B5031" s="2">
        <f>IFERROR(__xludf.DUMMYFUNCTION("""COMPUTED_VALUE"""),1.0)</f>
        <v>1</v>
      </c>
      <c r="C5031" s="2">
        <f>IFERROR(__xludf.DUMMYFUNCTION("""COMPUTED_VALUE"""),496.0)</f>
        <v>496</v>
      </c>
      <c r="D5031" s="3">
        <f>IFERROR(__xludf.DUMMYFUNCTION("""COMPUTED_VALUE"""),156.0)</f>
        <v>156</v>
      </c>
      <c r="E5031" s="1" t="str">
        <f t="array" ref="E5031">_xlfn.XLOOKUP(A5031,Product!A:A,Product!B:B,"Bulunamadı")</f>
        <v>Arts</v>
      </c>
      <c r="F5031" s="1" t="str">
        <f t="array" ref="F5031">_xlfn.XLOOKUP(A5031,Product!A:A,Product!C:C,"Bulunamadı")</f>
        <v>Graphic Design</v>
      </c>
      <c r="G5031" s="2" t="str">
        <f t="array" ref="G5031">_xlfn.XLOOKUP(A5032,Product!A:A,Product!D:D,"Bulunamadı")</f>
        <v>Brightpeak Publishing</v>
      </c>
      <c r="H5031" s="2">
        <f t="array" ref="H5031">_xlfn.XLOOKUP(A5033,Product!A:A,Product!E:E,"Bulunamadı")</f>
        <v>1.76</v>
      </c>
      <c r="I5031" s="2" t="str">
        <f t="shared" si="1"/>
        <v>126564 - Arts - Graphic Design</v>
      </c>
      <c r="J5031" s="2">
        <f t="shared" si="2"/>
        <v>274.56</v>
      </c>
      <c r="K5031" s="17">
        <f t="shared" si="3"/>
        <v>1</v>
      </c>
      <c r="L5031" s="18"/>
    </row>
    <row r="5032">
      <c r="A5032" s="2">
        <f>IFERROR(__xludf.DUMMYFUNCTION("""COMPUTED_VALUE"""),20246.0)</f>
        <v>20246</v>
      </c>
      <c r="B5032" s="2">
        <f>IFERROR(__xludf.DUMMYFUNCTION("""COMPUTED_VALUE"""),1.0)</f>
        <v>1</v>
      </c>
      <c r="C5032" s="2">
        <f>IFERROR(__xludf.DUMMYFUNCTION("""COMPUTED_VALUE"""),280.0)</f>
        <v>280</v>
      </c>
      <c r="D5032" s="3">
        <f>IFERROR(__xludf.DUMMYFUNCTION("""COMPUTED_VALUE"""),221.0)</f>
        <v>221</v>
      </c>
      <c r="E5032" s="1" t="str">
        <f t="array" ref="E5032">_xlfn.XLOOKUP(A5032,Product!A:A,Product!B:B,"Bulunamadı")</f>
        <v>Arts</v>
      </c>
      <c r="F5032" s="1" t="str">
        <f t="array" ref="F5032">_xlfn.XLOOKUP(A5032,Product!A:A,Product!C:C,"Bulunamadı")</f>
        <v>Graphic Design</v>
      </c>
      <c r="G5032" s="2" t="str">
        <f t="array" ref="G5032">_xlfn.XLOOKUP(A5033,Product!A:A,Product!D:D,"Bulunamadı")</f>
        <v>Brightpeak Publishing</v>
      </c>
      <c r="H5032" s="2">
        <f t="array" ref="H5032">_xlfn.XLOOKUP(A5034,Product!A:A,Product!E:E,"Bulunamadı")</f>
        <v>1.76</v>
      </c>
      <c r="I5032" s="2" t="str">
        <f t="shared" si="1"/>
        <v>20246 - Arts - Graphic Design</v>
      </c>
      <c r="J5032" s="2">
        <f t="shared" si="2"/>
        <v>388.96</v>
      </c>
      <c r="K5032" s="17">
        <f t="shared" si="3"/>
        <v>1</v>
      </c>
      <c r="L5032" s="18"/>
    </row>
    <row r="5033">
      <c r="A5033" s="2">
        <f>IFERROR(__xludf.DUMMYFUNCTION("""COMPUTED_VALUE"""),99321.0)</f>
        <v>99321</v>
      </c>
      <c r="B5033" s="2">
        <f>IFERROR(__xludf.DUMMYFUNCTION("""COMPUTED_VALUE"""),0.0)</f>
        <v>0</v>
      </c>
      <c r="C5033" s="2">
        <f>IFERROR(__xludf.DUMMYFUNCTION("""COMPUTED_VALUE"""),124.0)</f>
        <v>124</v>
      </c>
      <c r="D5033" s="3">
        <f>IFERROR(__xludf.DUMMYFUNCTION("""COMPUTED_VALUE"""),104.0)</f>
        <v>104</v>
      </c>
      <c r="E5033" s="1" t="str">
        <f t="array" ref="E5033">_xlfn.XLOOKUP(A5033,Product!A:A,Product!B:B,"Bulunamadı")</f>
        <v>Arts</v>
      </c>
      <c r="F5033" s="1" t="str">
        <f t="array" ref="F5033">_xlfn.XLOOKUP(A5033,Product!A:A,Product!C:C,"Bulunamadı")</f>
        <v>Graphic Design</v>
      </c>
      <c r="G5033" s="2" t="str">
        <f t="array" ref="G5033">_xlfn.XLOOKUP(A5034,Product!A:A,Product!D:D,"Bulunamadı")</f>
        <v>Brightpeak Publishing</v>
      </c>
      <c r="H5033" s="2">
        <f t="array" ref="H5033">_xlfn.XLOOKUP(A5035,Product!A:A,Product!E:E,"Bulunamadı")</f>
        <v>2.21</v>
      </c>
      <c r="I5033" s="2" t="str">
        <f t="shared" si="1"/>
        <v>99321 - Arts - Graphic Design</v>
      </c>
      <c r="J5033" s="2">
        <f t="shared" si="2"/>
        <v>229.84</v>
      </c>
      <c r="K5033" s="17">
        <f t="shared" si="3"/>
        <v>1</v>
      </c>
      <c r="L5033" s="18"/>
    </row>
    <row r="5034">
      <c r="A5034" s="2">
        <f>IFERROR(__xludf.DUMMYFUNCTION("""COMPUTED_VALUE"""),99322.0)</f>
        <v>99322</v>
      </c>
      <c r="B5034" s="2">
        <f>IFERROR(__xludf.DUMMYFUNCTION("""COMPUTED_VALUE"""),1.0)</f>
        <v>1</v>
      </c>
      <c r="C5034" s="2">
        <f>IFERROR(__xludf.DUMMYFUNCTION("""COMPUTED_VALUE"""),340.0)</f>
        <v>340</v>
      </c>
      <c r="D5034" s="3">
        <f>IFERROR(__xludf.DUMMYFUNCTION("""COMPUTED_VALUE"""),194.0)</f>
        <v>194</v>
      </c>
      <c r="E5034" s="1" t="str">
        <f t="array" ref="E5034">_xlfn.XLOOKUP(A5034,Product!A:A,Product!B:B,"Bulunamadı")</f>
        <v>Arts</v>
      </c>
      <c r="F5034" s="1" t="str">
        <f t="array" ref="F5034">_xlfn.XLOOKUP(A5034,Product!A:A,Product!C:C,"Bulunamadı")</f>
        <v>Graphic Design</v>
      </c>
      <c r="G5034" s="2" t="str">
        <f t="array" ref="G5034">_xlfn.XLOOKUP(A5035,Product!A:A,Product!D:D,"Bulunamadı")</f>
        <v>Brightpeak Publishing</v>
      </c>
      <c r="H5034" s="2">
        <f t="array" ref="H5034">_xlfn.XLOOKUP(A5036,Product!A:A,Product!E:E,"Bulunamadı")</f>
        <v>4.2</v>
      </c>
      <c r="I5034" s="2" t="str">
        <f t="shared" si="1"/>
        <v>99322 - Arts - Graphic Design</v>
      </c>
      <c r="J5034" s="2">
        <f t="shared" si="2"/>
        <v>814.8</v>
      </c>
      <c r="K5034" s="17">
        <f t="shared" si="3"/>
        <v>1</v>
      </c>
      <c r="L5034" s="18"/>
    </row>
    <row r="5035">
      <c r="A5035" s="2">
        <f>IFERROR(__xludf.DUMMYFUNCTION("""COMPUTED_VALUE"""),126561.0)</f>
        <v>126561</v>
      </c>
      <c r="B5035" s="2">
        <f>IFERROR(__xludf.DUMMYFUNCTION("""COMPUTED_VALUE"""),0.0)</f>
        <v>0</v>
      </c>
      <c r="C5035" s="2">
        <f>IFERROR(__xludf.DUMMYFUNCTION("""COMPUTED_VALUE"""),666.0)</f>
        <v>666</v>
      </c>
      <c r="D5035" s="3">
        <f>IFERROR(__xludf.DUMMYFUNCTION("""COMPUTED_VALUE"""),107.0)</f>
        <v>107</v>
      </c>
      <c r="E5035" s="1" t="str">
        <f t="array" ref="E5035">_xlfn.XLOOKUP(A5035,Product!A:A,Product!B:B,"Bulunamadı")</f>
        <v>Arts</v>
      </c>
      <c r="F5035" s="1" t="str">
        <f t="array" ref="F5035">_xlfn.XLOOKUP(A5035,Product!A:A,Product!C:C,"Bulunamadı")</f>
        <v>Graphic Design</v>
      </c>
      <c r="G5035" s="2" t="str">
        <f t="array" ref="G5035">_xlfn.XLOOKUP(A5036,Product!A:A,Product!D:D,"Bulunamadı")</f>
        <v>Oakpeak Publishing</v>
      </c>
      <c r="H5035" s="2">
        <f t="array" ref="H5035">_xlfn.XLOOKUP(A5037,Product!A:A,Product!E:E,"Bulunamadı")</f>
        <v>1.6</v>
      </c>
      <c r="I5035" s="2" t="str">
        <f t="shared" si="1"/>
        <v>126561 - Arts - Graphic Design</v>
      </c>
      <c r="J5035" s="2">
        <f t="shared" si="2"/>
        <v>171.2</v>
      </c>
      <c r="K5035" s="17">
        <f t="shared" si="3"/>
        <v>1</v>
      </c>
      <c r="L5035" s="18"/>
    </row>
    <row r="5036">
      <c r="A5036" s="2">
        <f>IFERROR(__xludf.DUMMYFUNCTION("""COMPUTED_VALUE"""),113871.0)</f>
        <v>113871</v>
      </c>
      <c r="B5036" s="2">
        <f>IFERROR(__xludf.DUMMYFUNCTION("""COMPUTED_VALUE"""),1.0)</f>
        <v>1</v>
      </c>
      <c r="C5036" s="2">
        <f>IFERROR(__xludf.DUMMYFUNCTION("""COMPUTED_VALUE"""),801.0)</f>
        <v>801</v>
      </c>
      <c r="D5036" s="3">
        <f>IFERROR(__xludf.DUMMYFUNCTION("""COMPUTED_VALUE"""),673.0)</f>
        <v>673</v>
      </c>
      <c r="E5036" s="1" t="str">
        <f t="array" ref="E5036">_xlfn.XLOOKUP(A5036,Product!A:A,Product!B:B,"Bulunamadı")</f>
        <v>Arts</v>
      </c>
      <c r="F5036" s="1" t="str">
        <f t="array" ref="F5036">_xlfn.XLOOKUP(A5036,Product!A:A,Product!C:C,"Bulunamadı")</f>
        <v>Graphic Design</v>
      </c>
      <c r="G5036" s="2" t="str">
        <f t="array" ref="G5036">_xlfn.XLOOKUP(A5037,Product!A:A,Product!D:D,"Bulunamadı")</f>
        <v>Oakpeak Publishing</v>
      </c>
      <c r="H5036" s="2">
        <f t="array" ref="H5036">_xlfn.XLOOKUP(A5038,Product!A:A,Product!E:E,"Bulunamadı")</f>
        <v>7.51</v>
      </c>
      <c r="I5036" s="2" t="str">
        <f t="shared" si="1"/>
        <v>113871 - Arts - Graphic Design</v>
      </c>
      <c r="J5036" s="2">
        <f t="shared" si="2"/>
        <v>5054.23</v>
      </c>
      <c r="K5036" s="17">
        <f t="shared" si="3"/>
        <v>1</v>
      </c>
      <c r="L5036" s="18"/>
    </row>
    <row r="5037">
      <c r="A5037" s="2">
        <f>IFERROR(__xludf.DUMMYFUNCTION("""COMPUTED_VALUE"""),68332.0)</f>
        <v>68332</v>
      </c>
      <c r="B5037" s="2">
        <f>IFERROR(__xludf.DUMMYFUNCTION("""COMPUTED_VALUE"""),1.0)</f>
        <v>1</v>
      </c>
      <c r="C5037" s="2">
        <f>IFERROR(__xludf.DUMMYFUNCTION("""COMPUTED_VALUE"""),390.0)</f>
        <v>390</v>
      </c>
      <c r="D5037" s="3">
        <f>IFERROR(__xludf.DUMMYFUNCTION("""COMPUTED_VALUE"""),114.0)</f>
        <v>114</v>
      </c>
      <c r="E5037" s="1" t="str">
        <f t="array" ref="E5037">_xlfn.XLOOKUP(A5037,Product!A:A,Product!B:B,"Bulunamadı")</f>
        <v>Arts</v>
      </c>
      <c r="F5037" s="1" t="str">
        <f t="array" ref="F5037">_xlfn.XLOOKUP(A5037,Product!A:A,Product!C:C,"Bulunamadı")</f>
        <v>Graphic Design</v>
      </c>
      <c r="G5037" s="2" t="str">
        <f t="array" ref="G5037">_xlfn.XLOOKUP(A5038,Product!A:A,Product!D:D,"Bulunamadı")</f>
        <v>Oakpeak Publishing</v>
      </c>
      <c r="H5037" s="2">
        <f t="array" ref="H5037">_xlfn.XLOOKUP(A5039,Product!A:A,Product!E:E,"Bulunamadı")</f>
        <v>3.56</v>
      </c>
      <c r="I5037" s="2" t="str">
        <f t="shared" si="1"/>
        <v>68332 - Arts - Graphic Design</v>
      </c>
      <c r="J5037" s="2">
        <f t="shared" si="2"/>
        <v>405.84</v>
      </c>
      <c r="K5037" s="17">
        <f t="shared" si="3"/>
        <v>1</v>
      </c>
      <c r="L5037" s="18"/>
    </row>
    <row r="5038">
      <c r="A5038" s="2">
        <f>IFERROR(__xludf.DUMMYFUNCTION("""COMPUTED_VALUE"""),102081.0)</f>
        <v>102081</v>
      </c>
      <c r="B5038" s="2">
        <f>IFERROR(__xludf.DUMMYFUNCTION("""COMPUTED_VALUE"""),0.0)</f>
        <v>0</v>
      </c>
      <c r="C5038" s="2">
        <f>IFERROR(__xludf.DUMMYFUNCTION("""COMPUTED_VALUE"""),536.0)</f>
        <v>536</v>
      </c>
      <c r="D5038" s="3">
        <f>IFERROR(__xludf.DUMMYFUNCTION("""COMPUTED_VALUE"""),243.0)</f>
        <v>243</v>
      </c>
      <c r="E5038" s="1" t="str">
        <f t="array" ref="E5038">_xlfn.XLOOKUP(A5038,Product!A:A,Product!B:B,"Bulunamadı")</f>
        <v>Arts</v>
      </c>
      <c r="F5038" s="1" t="str">
        <f t="array" ref="F5038">_xlfn.XLOOKUP(A5038,Product!A:A,Product!C:C,"Bulunamadı")</f>
        <v>Graphic Design</v>
      </c>
      <c r="G5038" s="2" t="str">
        <f t="array" ref="G5038">_xlfn.XLOOKUP(A5039,Product!A:A,Product!D:D,"Bulunamadı")</f>
        <v>Oakpeak Publishing</v>
      </c>
      <c r="H5038" s="2">
        <f t="array" ref="H5038">_xlfn.XLOOKUP(A5040,Product!A:A,Product!E:E,"Bulunamadı")</f>
        <v>2.04</v>
      </c>
      <c r="I5038" s="2" t="str">
        <f t="shared" si="1"/>
        <v>102081 - Arts - Graphic Design</v>
      </c>
      <c r="J5038" s="2">
        <f t="shared" si="2"/>
        <v>495.72</v>
      </c>
      <c r="K5038" s="17">
        <f t="shared" si="3"/>
        <v>1</v>
      </c>
      <c r="L5038" s="18"/>
    </row>
    <row r="5039">
      <c r="A5039" s="2">
        <f>IFERROR(__xludf.DUMMYFUNCTION("""COMPUTED_VALUE"""),84213.0)</f>
        <v>84213</v>
      </c>
      <c r="B5039" s="2">
        <f>IFERROR(__xludf.DUMMYFUNCTION("""COMPUTED_VALUE"""),1.0)</f>
        <v>1</v>
      </c>
      <c r="C5039" s="2">
        <f>IFERROR(__xludf.DUMMYFUNCTION("""COMPUTED_VALUE"""),923.0)</f>
        <v>923</v>
      </c>
      <c r="D5039" s="3">
        <f>IFERROR(__xludf.DUMMYFUNCTION("""COMPUTED_VALUE"""),178.0)</f>
        <v>178</v>
      </c>
      <c r="E5039" s="1" t="str">
        <f t="array" ref="E5039">_xlfn.XLOOKUP(A5039,Product!A:A,Product!B:B,"Bulunamadı")</f>
        <v>Arts</v>
      </c>
      <c r="F5039" s="1" t="str">
        <f t="array" ref="F5039">_xlfn.XLOOKUP(A5039,Product!A:A,Product!C:C,"Bulunamadı")</f>
        <v>Graphic Design</v>
      </c>
      <c r="G5039" s="2" t="str">
        <f t="array" ref="G5039">_xlfn.XLOOKUP(A5040,Product!A:A,Product!D:D,"Bulunamadı")</f>
        <v>Oakpeak Publishing</v>
      </c>
      <c r="H5039" s="2">
        <f t="array" ref="H5039">_xlfn.XLOOKUP(A5041,Product!A:A,Product!E:E,"Bulunamadı")</f>
        <v>1.77</v>
      </c>
      <c r="I5039" s="2" t="str">
        <f t="shared" si="1"/>
        <v>84213 - Arts - Graphic Design</v>
      </c>
      <c r="J5039" s="2">
        <f t="shared" si="2"/>
        <v>315.06</v>
      </c>
      <c r="K5039" s="17">
        <f t="shared" si="3"/>
        <v>1</v>
      </c>
      <c r="L5039" s="18"/>
    </row>
    <row r="5040">
      <c r="A5040" s="2">
        <f>IFERROR(__xludf.DUMMYFUNCTION("""COMPUTED_VALUE"""),68302.0)</f>
        <v>68302</v>
      </c>
      <c r="B5040" s="2">
        <f>IFERROR(__xludf.DUMMYFUNCTION("""COMPUTED_VALUE"""),0.0)</f>
        <v>0</v>
      </c>
      <c r="C5040" s="2">
        <f>IFERROR(__xludf.DUMMYFUNCTION("""COMPUTED_VALUE"""),740.0)</f>
        <v>740</v>
      </c>
      <c r="D5040" s="3">
        <f>IFERROR(__xludf.DUMMYFUNCTION("""COMPUTED_VALUE"""),469.0)</f>
        <v>469</v>
      </c>
      <c r="E5040" s="1" t="str">
        <f t="array" ref="E5040">_xlfn.XLOOKUP(A5040,Product!A:A,Product!B:B,"Bulunamadı")</f>
        <v>Arts</v>
      </c>
      <c r="F5040" s="1" t="str">
        <f t="array" ref="F5040">_xlfn.XLOOKUP(A5040,Product!A:A,Product!C:C,"Bulunamadı")</f>
        <v>Graphic Design</v>
      </c>
      <c r="G5040" s="2" t="str">
        <f t="array" ref="G5040">_xlfn.XLOOKUP(A5041,Product!A:A,Product!D:D,"Bulunamadı")</f>
        <v>Oakpeak Publishing</v>
      </c>
      <c r="H5040" s="2">
        <f t="array" ref="H5040">_xlfn.XLOOKUP(A5042,Product!A:A,Product!E:E,"Bulunamadı")</f>
        <v>1.93</v>
      </c>
      <c r="I5040" s="2" t="str">
        <f t="shared" si="1"/>
        <v>68302 - Arts - Graphic Design</v>
      </c>
      <c r="J5040" s="2">
        <f t="shared" si="2"/>
        <v>905.17</v>
      </c>
      <c r="K5040" s="17">
        <f t="shared" si="3"/>
        <v>1</v>
      </c>
      <c r="L5040" s="18"/>
    </row>
    <row r="5041">
      <c r="A5041" s="2">
        <f>IFERROR(__xludf.DUMMYFUNCTION("""COMPUTED_VALUE"""),88238.0)</f>
        <v>88238</v>
      </c>
      <c r="B5041" s="2">
        <f>IFERROR(__xludf.DUMMYFUNCTION("""COMPUTED_VALUE"""),0.0)</f>
        <v>0</v>
      </c>
      <c r="C5041" s="2">
        <f>IFERROR(__xludf.DUMMYFUNCTION("""COMPUTED_VALUE"""),827.0)</f>
        <v>827</v>
      </c>
      <c r="D5041" s="3">
        <f>IFERROR(__xludf.DUMMYFUNCTION("""COMPUTED_VALUE"""),473.0)</f>
        <v>473</v>
      </c>
      <c r="E5041" s="1" t="str">
        <f t="array" ref="E5041">_xlfn.XLOOKUP(A5041,Product!A:A,Product!B:B,"Bulunamadı")</f>
        <v>Arts</v>
      </c>
      <c r="F5041" s="1" t="str">
        <f t="array" ref="F5041">_xlfn.XLOOKUP(A5041,Product!A:A,Product!C:C,"Bulunamadı")</f>
        <v>Graphic Design</v>
      </c>
      <c r="G5041" s="2" t="str">
        <f t="array" ref="G5041">_xlfn.XLOOKUP(A5042,Product!A:A,Product!D:D,"Bulunamadı")</f>
        <v>Oakpeak Publishing</v>
      </c>
      <c r="H5041" s="2">
        <f t="array" ref="H5041">_xlfn.XLOOKUP(A5043,Product!A:A,Product!E:E,"Bulunamadı")</f>
        <v>3.3</v>
      </c>
      <c r="I5041" s="2" t="str">
        <f t="shared" si="1"/>
        <v>88238 - Arts - Graphic Design</v>
      </c>
      <c r="J5041" s="2">
        <f t="shared" si="2"/>
        <v>1560.9</v>
      </c>
      <c r="K5041" s="17">
        <f t="shared" si="3"/>
        <v>1</v>
      </c>
      <c r="L5041" s="18"/>
    </row>
    <row r="5042">
      <c r="A5042" s="2">
        <f>IFERROR(__xludf.DUMMYFUNCTION("""COMPUTED_VALUE"""),84202.0)</f>
        <v>84202</v>
      </c>
      <c r="B5042" s="2">
        <f>IFERROR(__xludf.DUMMYFUNCTION("""COMPUTED_VALUE"""),1.0)</f>
        <v>1</v>
      </c>
      <c r="C5042" s="2">
        <f>IFERROR(__xludf.DUMMYFUNCTION("""COMPUTED_VALUE"""),493.0)</f>
        <v>493</v>
      </c>
      <c r="D5042" s="3">
        <f>IFERROR(__xludf.DUMMYFUNCTION("""COMPUTED_VALUE"""),403.0)</f>
        <v>403</v>
      </c>
      <c r="E5042" s="1" t="str">
        <f t="array" ref="E5042">_xlfn.XLOOKUP(A5042,Product!A:A,Product!B:B,"Bulunamadı")</f>
        <v>Arts</v>
      </c>
      <c r="F5042" s="1" t="str">
        <f t="array" ref="F5042">_xlfn.XLOOKUP(A5042,Product!A:A,Product!C:C,"Bulunamadı")</f>
        <v>Graphic Design</v>
      </c>
      <c r="G5042" s="2" t="str">
        <f t="array" ref="G5042">_xlfn.XLOOKUP(A5043,Product!A:A,Product!D:D,"Bulunamadı")</f>
        <v>Riverpeak Publishing</v>
      </c>
      <c r="H5042" s="2">
        <f t="array" ref="H5042">_xlfn.XLOOKUP(A5044,Product!A:A,Product!E:E,"Bulunamadı")</f>
        <v>1.72</v>
      </c>
      <c r="I5042" s="2" t="str">
        <f t="shared" si="1"/>
        <v>84202 - Arts - Graphic Design</v>
      </c>
      <c r="J5042" s="2">
        <f t="shared" si="2"/>
        <v>693.16</v>
      </c>
      <c r="K5042" s="17">
        <f t="shared" si="3"/>
        <v>1</v>
      </c>
      <c r="L5042" s="18"/>
    </row>
    <row r="5043">
      <c r="A5043" s="2">
        <f>IFERROR(__xludf.DUMMYFUNCTION("""COMPUTED_VALUE"""),84226.0)</f>
        <v>84226</v>
      </c>
      <c r="B5043" s="2">
        <f>IFERROR(__xludf.DUMMYFUNCTION("""COMPUTED_VALUE"""),1.0)</f>
        <v>1</v>
      </c>
      <c r="C5043" s="2">
        <f>IFERROR(__xludf.DUMMYFUNCTION("""COMPUTED_VALUE"""),368.0)</f>
        <v>368</v>
      </c>
      <c r="D5043" s="3">
        <f>IFERROR(__xludf.DUMMYFUNCTION("""COMPUTED_VALUE"""),198.0)</f>
        <v>198</v>
      </c>
      <c r="E5043" s="1" t="str">
        <f t="array" ref="E5043">_xlfn.XLOOKUP(A5043,Product!A:A,Product!B:B,"Bulunamadı")</f>
        <v>Arts</v>
      </c>
      <c r="F5043" s="1" t="str">
        <f t="array" ref="F5043">_xlfn.XLOOKUP(A5043,Product!A:A,Product!C:C,"Bulunamadı")</f>
        <v>Graphic Design</v>
      </c>
      <c r="G5043" s="2" t="str">
        <f t="array" ref="G5043">_xlfn.XLOOKUP(A5044,Product!A:A,Product!D:D,"Bulunamadı")</f>
        <v>Riverpeak Publishing</v>
      </c>
      <c r="H5043" s="2">
        <f t="array" ref="H5043">_xlfn.XLOOKUP(A5045,Product!A:A,Product!E:E,"Bulunamadı")</f>
        <v>3.37</v>
      </c>
      <c r="I5043" s="2" t="str">
        <f t="shared" si="1"/>
        <v>84226 - Arts - Graphic Design</v>
      </c>
      <c r="J5043" s="2">
        <f t="shared" si="2"/>
        <v>667.26</v>
      </c>
      <c r="K5043" s="17">
        <f t="shared" si="3"/>
        <v>1</v>
      </c>
      <c r="L5043" s="18"/>
    </row>
    <row r="5044">
      <c r="A5044" s="2">
        <f>IFERROR(__xludf.DUMMYFUNCTION("""COMPUTED_VALUE"""),104071.0)</f>
        <v>104071</v>
      </c>
      <c r="B5044" s="2">
        <f>IFERROR(__xludf.DUMMYFUNCTION("""COMPUTED_VALUE"""),0.0)</f>
        <v>0</v>
      </c>
      <c r="C5044" s="2">
        <f>IFERROR(__xludf.DUMMYFUNCTION("""COMPUTED_VALUE"""),506.0)</f>
        <v>506</v>
      </c>
      <c r="D5044" s="3">
        <f>IFERROR(__xludf.DUMMYFUNCTION("""COMPUTED_VALUE"""),119.0)</f>
        <v>119</v>
      </c>
      <c r="E5044" s="1" t="str">
        <f t="array" ref="E5044">_xlfn.XLOOKUP(A5044,Product!A:A,Product!B:B,"Bulunamadı")</f>
        <v>Arts</v>
      </c>
      <c r="F5044" s="1" t="str">
        <f t="array" ref="F5044">_xlfn.XLOOKUP(A5044,Product!A:A,Product!C:C,"Bulunamadı")</f>
        <v>Graphic Design</v>
      </c>
      <c r="G5044" s="2" t="str">
        <f t="array" ref="G5044">_xlfn.XLOOKUP(A5045,Product!A:A,Product!D:D,"Bulunamadı")</f>
        <v>Riverpeak Publishing</v>
      </c>
      <c r="H5044" s="2">
        <f t="array" ref="H5044">_xlfn.XLOOKUP(A5046,Product!A:A,Product!E:E,"Bulunamadı")</f>
        <v>2.14</v>
      </c>
      <c r="I5044" s="2" t="str">
        <f t="shared" si="1"/>
        <v>104071 - Arts - Graphic Design</v>
      </c>
      <c r="J5044" s="2">
        <f t="shared" si="2"/>
        <v>254.66</v>
      </c>
      <c r="K5044" s="17">
        <f t="shared" si="3"/>
        <v>1</v>
      </c>
      <c r="L5044" s="18"/>
    </row>
    <row r="5045">
      <c r="A5045" s="2">
        <f>IFERROR(__xludf.DUMMYFUNCTION("""COMPUTED_VALUE"""),104075.0)</f>
        <v>104075</v>
      </c>
      <c r="B5045" s="2">
        <f>IFERROR(__xludf.DUMMYFUNCTION("""COMPUTED_VALUE"""),0.0)</f>
        <v>0</v>
      </c>
      <c r="C5045" s="2">
        <f>IFERROR(__xludf.DUMMYFUNCTION("""COMPUTED_VALUE"""),219.0)</f>
        <v>219</v>
      </c>
      <c r="D5045" s="3">
        <f>IFERROR(__xludf.DUMMYFUNCTION("""COMPUTED_VALUE"""),50.0)</f>
        <v>50</v>
      </c>
      <c r="E5045" s="1" t="str">
        <f t="array" ref="E5045">_xlfn.XLOOKUP(A5045,Product!A:A,Product!B:B,"Bulunamadı")</f>
        <v>Arts</v>
      </c>
      <c r="F5045" s="1" t="str">
        <f t="array" ref="F5045">_xlfn.XLOOKUP(A5045,Product!A:A,Product!C:C,"Bulunamadı")</f>
        <v>Graphic Design</v>
      </c>
      <c r="G5045" s="2" t="str">
        <f t="array" ref="G5045">_xlfn.XLOOKUP(A5046,Product!A:A,Product!D:D,"Bulunamadı")</f>
        <v>Riverpeak Publishing</v>
      </c>
      <c r="H5045" s="2">
        <f t="array" ref="H5045">_xlfn.XLOOKUP(A5047,Product!A:A,Product!E:E,"Bulunamadı")</f>
        <v>31.91</v>
      </c>
      <c r="I5045" s="2" t="str">
        <f t="shared" si="1"/>
        <v>104075 - Arts - Graphic Design</v>
      </c>
      <c r="J5045" s="2">
        <f t="shared" si="2"/>
        <v>1595.5</v>
      </c>
      <c r="K5045" s="17">
        <f t="shared" si="3"/>
        <v>1</v>
      </c>
      <c r="L5045" s="18"/>
    </row>
    <row r="5046">
      <c r="A5046" s="2">
        <f>IFERROR(__xludf.DUMMYFUNCTION("""COMPUTED_VALUE"""),91042.0)</f>
        <v>91042</v>
      </c>
      <c r="B5046" s="2">
        <f>IFERROR(__xludf.DUMMYFUNCTION("""COMPUTED_VALUE"""),0.0)</f>
        <v>0</v>
      </c>
      <c r="C5046" s="2">
        <f>IFERROR(__xludf.DUMMYFUNCTION("""COMPUTED_VALUE"""),253.0)</f>
        <v>253</v>
      </c>
      <c r="D5046" s="3">
        <f>IFERROR(__xludf.DUMMYFUNCTION("""COMPUTED_VALUE"""),31.0)</f>
        <v>31</v>
      </c>
      <c r="E5046" s="1" t="str">
        <f t="array" ref="E5046">_xlfn.XLOOKUP(A5046,Product!A:A,Product!B:B,"Bulunamadı")</f>
        <v>Arts</v>
      </c>
      <c r="F5046" s="1" t="str">
        <f t="array" ref="F5046">_xlfn.XLOOKUP(A5046,Product!A:A,Product!C:C,"Bulunamadı")</f>
        <v>Graphic Design</v>
      </c>
      <c r="G5046" s="2" t="str">
        <f t="array" ref="G5046">_xlfn.XLOOKUP(A5047,Product!A:A,Product!D:D,"Bulunamadı")</f>
        <v>Riverpeak Publishing</v>
      </c>
      <c r="H5046" s="2">
        <f t="array" ref="H5046">_xlfn.XLOOKUP(A5048,Product!A:A,Product!E:E,"Bulunamadı")</f>
        <v>9.7</v>
      </c>
      <c r="I5046" s="2" t="str">
        <f t="shared" si="1"/>
        <v>91042 - Arts - Graphic Design</v>
      </c>
      <c r="J5046" s="2">
        <f t="shared" si="2"/>
        <v>300.7</v>
      </c>
      <c r="K5046" s="17">
        <f t="shared" si="3"/>
        <v>1</v>
      </c>
      <c r="L5046" s="18"/>
    </row>
    <row r="5047">
      <c r="A5047" s="2">
        <f>IFERROR(__xludf.DUMMYFUNCTION("""COMPUTED_VALUE"""),108047.0)</f>
        <v>108047</v>
      </c>
      <c r="B5047" s="2">
        <f>IFERROR(__xludf.DUMMYFUNCTION("""COMPUTED_VALUE"""),1.0)</f>
        <v>1</v>
      </c>
      <c r="C5047" s="2">
        <f>IFERROR(__xludf.DUMMYFUNCTION("""COMPUTED_VALUE"""),489.0)</f>
        <v>489</v>
      </c>
      <c r="D5047" s="3">
        <f>IFERROR(__xludf.DUMMYFUNCTION("""COMPUTED_VALUE"""),109.0)</f>
        <v>109</v>
      </c>
      <c r="E5047" s="1" t="str">
        <f t="array" ref="E5047">_xlfn.XLOOKUP(A5047,Product!A:A,Product!B:B,"Bulunamadı")</f>
        <v>Arts</v>
      </c>
      <c r="F5047" s="1" t="str">
        <f t="array" ref="F5047">_xlfn.XLOOKUP(A5047,Product!A:A,Product!C:C,"Bulunamadı")</f>
        <v>Graphic Design</v>
      </c>
      <c r="G5047" s="2" t="str">
        <f t="array" ref="G5047">_xlfn.XLOOKUP(A5048,Product!A:A,Product!D:D,"Bulunamadı")</f>
        <v>Riverpeak Publishing</v>
      </c>
      <c r="H5047" s="2">
        <f t="array" ref="H5047">_xlfn.XLOOKUP(A5049,Product!A:A,Product!E:E,"Bulunamadı")</f>
        <v>3.02</v>
      </c>
      <c r="I5047" s="2" t="str">
        <f t="shared" si="1"/>
        <v>108047 - Arts - Graphic Design</v>
      </c>
      <c r="J5047" s="2">
        <f t="shared" si="2"/>
        <v>329.18</v>
      </c>
      <c r="K5047" s="17">
        <f t="shared" si="3"/>
        <v>1</v>
      </c>
      <c r="L5047" s="18"/>
    </row>
    <row r="5048">
      <c r="A5048" s="2">
        <f>IFERROR(__xludf.DUMMYFUNCTION("""COMPUTED_VALUE"""),90993.0)</f>
        <v>90993</v>
      </c>
      <c r="B5048" s="2">
        <f>IFERROR(__xludf.DUMMYFUNCTION("""COMPUTED_VALUE"""),0.0)</f>
        <v>0</v>
      </c>
      <c r="C5048" s="2">
        <f>IFERROR(__xludf.DUMMYFUNCTION("""COMPUTED_VALUE"""),410.0)</f>
        <v>410</v>
      </c>
      <c r="D5048" s="3">
        <f>IFERROR(__xludf.DUMMYFUNCTION("""COMPUTED_VALUE"""),369.0)</f>
        <v>369</v>
      </c>
      <c r="E5048" s="1" t="str">
        <f t="array" ref="E5048">_xlfn.XLOOKUP(A5048,Product!A:A,Product!B:B,"Bulunamadı")</f>
        <v>Arts</v>
      </c>
      <c r="F5048" s="1" t="str">
        <f t="array" ref="F5048">_xlfn.XLOOKUP(A5048,Product!A:A,Product!C:C,"Bulunamadı")</f>
        <v>Graphic Design</v>
      </c>
      <c r="G5048" s="2" t="str">
        <f t="array" ref="G5048">_xlfn.XLOOKUP(A5049,Product!A:A,Product!D:D,"Bulunamadı")</f>
        <v>Riverpeak Publishing</v>
      </c>
      <c r="H5048" s="2">
        <f t="array" ref="H5048">_xlfn.XLOOKUP(A5050,Product!A:A,Product!E:E,"Bulunamadı")</f>
        <v>3.51</v>
      </c>
      <c r="I5048" s="2" t="str">
        <f t="shared" si="1"/>
        <v>90993 - Arts - Graphic Design</v>
      </c>
      <c r="J5048" s="2">
        <f t="shared" si="2"/>
        <v>1295.19</v>
      </c>
      <c r="K5048" s="17">
        <f t="shared" si="3"/>
        <v>1</v>
      </c>
      <c r="L5048" s="18"/>
    </row>
    <row r="5049">
      <c r="A5049" s="2">
        <f>IFERROR(__xludf.DUMMYFUNCTION("""COMPUTED_VALUE"""),19277.0)</f>
        <v>19277</v>
      </c>
      <c r="B5049" s="2">
        <f>IFERROR(__xludf.DUMMYFUNCTION("""COMPUTED_VALUE"""),0.0)</f>
        <v>0</v>
      </c>
      <c r="C5049" s="2">
        <f>IFERROR(__xludf.DUMMYFUNCTION("""COMPUTED_VALUE"""),18.0)</f>
        <v>18</v>
      </c>
      <c r="D5049" s="3">
        <f>IFERROR(__xludf.DUMMYFUNCTION("""COMPUTED_VALUE"""),7.0)</f>
        <v>7</v>
      </c>
      <c r="E5049" s="1" t="str">
        <f t="array" ref="E5049">_xlfn.XLOOKUP(A5049,Product!A:A,Product!B:B,"Bulunamadı")</f>
        <v>Arts</v>
      </c>
      <c r="F5049" s="1" t="str">
        <f t="array" ref="F5049">_xlfn.XLOOKUP(A5049,Product!A:A,Product!C:C,"Bulunamadı")</f>
        <v>Graphic Design</v>
      </c>
      <c r="G5049" s="2" t="str">
        <f t="array" ref="G5049">_xlfn.XLOOKUP(A5050,Product!A:A,Product!D:D,"Bulunamadı")</f>
        <v>Riverpeak Publishing</v>
      </c>
      <c r="H5049" s="2">
        <f t="array" ref="H5049">_xlfn.XLOOKUP(A5051,Product!A:A,Product!E:E,"Bulunamadı")</f>
        <v>2.74</v>
      </c>
      <c r="I5049" s="2" t="str">
        <f t="shared" si="1"/>
        <v>19277 - Arts - Graphic Design</v>
      </c>
      <c r="J5049" s="2">
        <f t="shared" si="2"/>
        <v>19.18</v>
      </c>
      <c r="K5049" s="17">
        <f t="shared" si="3"/>
        <v>1</v>
      </c>
      <c r="L5049" s="18"/>
    </row>
    <row r="5050">
      <c r="A5050" s="2">
        <f>IFERROR(__xludf.DUMMYFUNCTION("""COMPUTED_VALUE"""),84223.0)</f>
        <v>84223</v>
      </c>
      <c r="B5050" s="2">
        <f>IFERROR(__xludf.DUMMYFUNCTION("""COMPUTED_VALUE"""),1.0)</f>
        <v>1</v>
      </c>
      <c r="C5050" s="2">
        <f>IFERROR(__xludf.DUMMYFUNCTION("""COMPUTED_VALUE"""),638.0)</f>
        <v>638</v>
      </c>
      <c r="D5050" s="3">
        <f>IFERROR(__xludf.DUMMYFUNCTION("""COMPUTED_VALUE"""),329.0)</f>
        <v>329</v>
      </c>
      <c r="E5050" s="1" t="str">
        <f t="array" ref="E5050">_xlfn.XLOOKUP(A5050,Product!A:A,Product!B:B,"Bulunamadı")</f>
        <v>Arts</v>
      </c>
      <c r="F5050" s="1" t="str">
        <f t="array" ref="F5050">_xlfn.XLOOKUP(A5050,Product!A:A,Product!C:C,"Bulunamadı")</f>
        <v>Graphic Design</v>
      </c>
      <c r="G5050" s="2" t="str">
        <f t="array" ref="G5050">_xlfn.XLOOKUP(A5051,Product!A:A,Product!D:D,"Bulunamadı")</f>
        <v>Riverpeak Publishing</v>
      </c>
      <c r="H5050" s="2">
        <f t="array" ref="H5050">_xlfn.XLOOKUP(A5052,Product!A:A,Product!E:E,"Bulunamadı")</f>
        <v>2.65</v>
      </c>
      <c r="I5050" s="2" t="str">
        <f t="shared" si="1"/>
        <v>84223 - Arts - Graphic Design</v>
      </c>
      <c r="J5050" s="2">
        <f t="shared" si="2"/>
        <v>871.85</v>
      </c>
      <c r="K5050" s="17">
        <f t="shared" si="3"/>
        <v>1</v>
      </c>
      <c r="L5050" s="18"/>
    </row>
    <row r="5051">
      <c r="A5051" s="2">
        <f>IFERROR(__xludf.DUMMYFUNCTION("""COMPUTED_VALUE"""),84225.0)</f>
        <v>84225</v>
      </c>
      <c r="B5051" s="2">
        <f>IFERROR(__xludf.DUMMYFUNCTION("""COMPUTED_VALUE"""),1.0)</f>
        <v>1</v>
      </c>
      <c r="C5051" s="2">
        <f>IFERROR(__xludf.DUMMYFUNCTION("""COMPUTED_VALUE"""),85.0)</f>
        <v>85</v>
      </c>
      <c r="D5051" s="3">
        <f>IFERROR(__xludf.DUMMYFUNCTION("""COMPUTED_VALUE"""),82.0)</f>
        <v>82</v>
      </c>
      <c r="E5051" s="1" t="str">
        <f t="array" ref="E5051">_xlfn.XLOOKUP(A5051,Product!A:A,Product!B:B,"Bulunamadı")</f>
        <v>Arts</v>
      </c>
      <c r="F5051" s="1" t="str">
        <f t="array" ref="F5051">_xlfn.XLOOKUP(A5051,Product!A:A,Product!C:C,"Bulunamadı")</f>
        <v>Graphic Design</v>
      </c>
      <c r="G5051" s="2" t="str">
        <f t="array" ref="G5051">_xlfn.XLOOKUP(A5052,Product!A:A,Product!D:D,"Bulunamadı")</f>
        <v>Riverpeak Publishing</v>
      </c>
      <c r="H5051" s="2">
        <f t="array" ref="H5051">_xlfn.XLOOKUP(A5053,Product!A:A,Product!E:E,"Bulunamadı")</f>
        <v>3.74</v>
      </c>
      <c r="I5051" s="2" t="str">
        <f t="shared" si="1"/>
        <v>84225 - Arts - Graphic Design</v>
      </c>
      <c r="J5051" s="2">
        <f t="shared" si="2"/>
        <v>306.68</v>
      </c>
      <c r="K5051" s="17">
        <f t="shared" si="3"/>
        <v>1</v>
      </c>
      <c r="L5051" s="18"/>
    </row>
    <row r="5052">
      <c r="A5052" s="2">
        <f>IFERROR(__xludf.DUMMYFUNCTION("""COMPUTED_VALUE"""),113865.0)</f>
        <v>113865</v>
      </c>
      <c r="B5052" s="2">
        <f>IFERROR(__xludf.DUMMYFUNCTION("""COMPUTED_VALUE"""),0.0)</f>
        <v>0</v>
      </c>
      <c r="C5052" s="2">
        <f>IFERROR(__xludf.DUMMYFUNCTION("""COMPUTED_VALUE"""),827.0)</f>
        <v>827</v>
      </c>
      <c r="D5052" s="3">
        <f>IFERROR(__xludf.DUMMYFUNCTION("""COMPUTED_VALUE"""),130.0)</f>
        <v>130</v>
      </c>
      <c r="E5052" s="1" t="str">
        <f t="array" ref="E5052">_xlfn.XLOOKUP(A5052,Product!A:A,Product!B:B,"Bulunamadı")</f>
        <v>Arts</v>
      </c>
      <c r="F5052" s="1" t="str">
        <f t="array" ref="F5052">_xlfn.XLOOKUP(A5052,Product!A:A,Product!C:C,"Bulunamadı")</f>
        <v>Graphic Design</v>
      </c>
      <c r="G5052" s="2" t="str">
        <f t="array" ref="G5052">_xlfn.XLOOKUP(A5053,Product!A:A,Product!D:D,"Bulunamadı")</f>
        <v>Riverpeak Publishing</v>
      </c>
      <c r="H5052" s="2">
        <f t="array" ref="H5052">_xlfn.XLOOKUP(A5054,Product!A:A,Product!E:E,"Bulunamadı")</f>
        <v>3.04</v>
      </c>
      <c r="I5052" s="2" t="str">
        <f t="shared" si="1"/>
        <v>113865 - Arts - Graphic Design</v>
      </c>
      <c r="J5052" s="2">
        <f t="shared" si="2"/>
        <v>395.2</v>
      </c>
      <c r="K5052" s="17">
        <f t="shared" si="3"/>
        <v>1</v>
      </c>
      <c r="L5052" s="18"/>
    </row>
    <row r="5053">
      <c r="A5053" s="2">
        <f>IFERROR(__xludf.DUMMYFUNCTION("""COMPUTED_VALUE"""),94645.0)</f>
        <v>94645</v>
      </c>
      <c r="B5053" s="2">
        <f>IFERROR(__xludf.DUMMYFUNCTION("""COMPUTED_VALUE"""),0.0)</f>
        <v>0</v>
      </c>
      <c r="C5053" s="2">
        <f>IFERROR(__xludf.DUMMYFUNCTION("""COMPUTED_VALUE"""),629.0)</f>
        <v>629</v>
      </c>
      <c r="D5053" s="3">
        <f>IFERROR(__xludf.DUMMYFUNCTION("""COMPUTED_VALUE"""),311.0)</f>
        <v>311</v>
      </c>
      <c r="E5053" s="1" t="str">
        <f t="array" ref="E5053">_xlfn.XLOOKUP(A5053,Product!A:A,Product!B:B,"Bulunamadı")</f>
        <v>Arts</v>
      </c>
      <c r="F5053" s="1" t="str">
        <f t="array" ref="F5053">_xlfn.XLOOKUP(A5053,Product!A:A,Product!C:C,"Bulunamadı")</f>
        <v>Graphic Design</v>
      </c>
      <c r="G5053" s="2" t="str">
        <f t="array" ref="G5053">_xlfn.XLOOKUP(A5054,Product!A:A,Product!D:D,"Bulunamadı")</f>
        <v>Riverpeak Publishing</v>
      </c>
      <c r="H5053" s="2">
        <f t="array" ref="H5053">_xlfn.XLOOKUP(A5055,Product!A:A,Product!E:E,"Bulunamadı")</f>
        <v>4.77</v>
      </c>
      <c r="I5053" s="2" t="str">
        <f t="shared" si="1"/>
        <v>94645 - Arts - Graphic Design</v>
      </c>
      <c r="J5053" s="2">
        <f t="shared" si="2"/>
        <v>1483.47</v>
      </c>
      <c r="K5053" s="17">
        <f t="shared" si="3"/>
        <v>1</v>
      </c>
      <c r="L5053" s="18"/>
    </row>
    <row r="5054">
      <c r="A5054" s="2">
        <f>IFERROR(__xludf.DUMMYFUNCTION("""COMPUTED_VALUE"""),104073.0)</f>
        <v>104073</v>
      </c>
      <c r="B5054" s="2">
        <f>IFERROR(__xludf.DUMMYFUNCTION("""COMPUTED_VALUE"""),0.0)</f>
        <v>0</v>
      </c>
      <c r="C5054" s="2">
        <f>IFERROR(__xludf.DUMMYFUNCTION("""COMPUTED_VALUE"""),966.0)</f>
        <v>966</v>
      </c>
      <c r="D5054" s="3">
        <f>IFERROR(__xludf.DUMMYFUNCTION("""COMPUTED_VALUE"""),17.0)</f>
        <v>17</v>
      </c>
      <c r="E5054" s="1" t="str">
        <f t="array" ref="E5054">_xlfn.XLOOKUP(A5054,Product!A:A,Product!B:B,"Bulunamadı")</f>
        <v>Arts</v>
      </c>
      <c r="F5054" s="1" t="str">
        <f t="array" ref="F5054">_xlfn.XLOOKUP(A5054,Product!A:A,Product!C:C,"Bulunamadı")</f>
        <v>Graphic Design</v>
      </c>
      <c r="G5054" s="2" t="str">
        <f t="array" ref="G5054">_xlfn.XLOOKUP(A5055,Product!A:A,Product!D:D,"Bulunamadı")</f>
        <v>Riverpeak Publishing</v>
      </c>
      <c r="H5054" s="2">
        <f t="array" ref="H5054">_xlfn.XLOOKUP(A5056,Product!A:A,Product!E:E,"Bulunamadı")</f>
        <v>2.72</v>
      </c>
      <c r="I5054" s="2" t="str">
        <f t="shared" si="1"/>
        <v>104073 - Arts - Graphic Design</v>
      </c>
      <c r="J5054" s="2">
        <f t="shared" si="2"/>
        <v>46.24</v>
      </c>
      <c r="K5054" s="17">
        <f t="shared" si="3"/>
        <v>1</v>
      </c>
      <c r="L5054" s="18"/>
    </row>
    <row r="5055">
      <c r="A5055" s="2">
        <f>IFERROR(__xludf.DUMMYFUNCTION("""COMPUTED_VALUE"""),113880.0)</f>
        <v>113880</v>
      </c>
      <c r="B5055" s="2">
        <f>IFERROR(__xludf.DUMMYFUNCTION("""COMPUTED_VALUE"""),0.0)</f>
        <v>0</v>
      </c>
      <c r="C5055" s="2">
        <f>IFERROR(__xludf.DUMMYFUNCTION("""COMPUTED_VALUE"""),57.0)</f>
        <v>57</v>
      </c>
      <c r="D5055" s="3">
        <f>IFERROR(__xludf.DUMMYFUNCTION("""COMPUTED_VALUE"""),18.0)</f>
        <v>18</v>
      </c>
      <c r="E5055" s="1" t="str">
        <f t="array" ref="E5055">_xlfn.XLOOKUP(A5055,Product!A:A,Product!B:B,"Bulunamadı")</f>
        <v>Arts</v>
      </c>
      <c r="F5055" s="1" t="str">
        <f t="array" ref="F5055">_xlfn.XLOOKUP(A5055,Product!A:A,Product!C:C,"Bulunamadı")</f>
        <v>Graphic Design</v>
      </c>
      <c r="G5055" s="2" t="str">
        <f t="array" ref="G5055">_xlfn.XLOOKUP(A5056,Product!A:A,Product!D:D,"Bulunamadı")</f>
        <v>Riverpeak Publishing</v>
      </c>
      <c r="H5055" s="2">
        <f t="array" ref="H5055">_xlfn.XLOOKUP(A5057,Product!A:A,Product!E:E,"Bulunamadı")</f>
        <v>3.1</v>
      </c>
      <c r="I5055" s="2" t="str">
        <f t="shared" si="1"/>
        <v>113880 - Arts - Graphic Design</v>
      </c>
      <c r="J5055" s="2">
        <f t="shared" si="2"/>
        <v>55.8</v>
      </c>
      <c r="K5055" s="17">
        <f t="shared" si="3"/>
        <v>1</v>
      </c>
      <c r="L5055" s="18"/>
    </row>
    <row r="5056">
      <c r="A5056" s="2">
        <f>IFERROR(__xludf.DUMMYFUNCTION("""COMPUTED_VALUE"""),91045.0)</f>
        <v>91045</v>
      </c>
      <c r="B5056" s="2">
        <f>IFERROR(__xludf.DUMMYFUNCTION("""COMPUTED_VALUE"""),0.0)</f>
        <v>0</v>
      </c>
      <c r="C5056" s="2">
        <f>IFERROR(__xludf.DUMMYFUNCTION("""COMPUTED_VALUE"""),171.0)</f>
        <v>171</v>
      </c>
      <c r="D5056" s="3">
        <f>IFERROR(__xludf.DUMMYFUNCTION("""COMPUTED_VALUE"""),105.0)</f>
        <v>105</v>
      </c>
      <c r="E5056" s="1" t="str">
        <f t="array" ref="E5056">_xlfn.XLOOKUP(A5056,Product!A:A,Product!B:B,"Bulunamadı")</f>
        <v>Arts</v>
      </c>
      <c r="F5056" s="1" t="str">
        <f t="array" ref="F5056">_xlfn.XLOOKUP(A5056,Product!A:A,Product!C:C,"Bulunamadı")</f>
        <v>Graphic Design</v>
      </c>
      <c r="G5056" s="2" t="str">
        <f t="array" ref="G5056">_xlfn.XLOOKUP(A5057,Product!A:A,Product!D:D,"Bulunamadı")</f>
        <v>Riverpeak Publishing</v>
      </c>
      <c r="H5056" s="2">
        <f t="array" ref="H5056">_xlfn.XLOOKUP(A5058,Product!A:A,Product!E:E,"Bulunamadı")</f>
        <v>1.84</v>
      </c>
      <c r="I5056" s="2" t="str">
        <f t="shared" si="1"/>
        <v>91045 - Arts - Graphic Design</v>
      </c>
      <c r="J5056" s="2">
        <f t="shared" si="2"/>
        <v>193.2</v>
      </c>
      <c r="K5056" s="17">
        <f t="shared" si="3"/>
        <v>1</v>
      </c>
      <c r="L5056" s="18"/>
    </row>
    <row r="5057">
      <c r="A5057" s="2">
        <f>IFERROR(__xludf.DUMMYFUNCTION("""COMPUTED_VALUE"""),84231.0)</f>
        <v>84231</v>
      </c>
      <c r="B5057" s="2">
        <f>IFERROR(__xludf.DUMMYFUNCTION("""COMPUTED_VALUE"""),0.0)</f>
        <v>0</v>
      </c>
      <c r="C5057" s="2">
        <f>IFERROR(__xludf.DUMMYFUNCTION("""COMPUTED_VALUE"""),194.0)</f>
        <v>194</v>
      </c>
      <c r="D5057" s="3">
        <f>IFERROR(__xludf.DUMMYFUNCTION("""COMPUTED_VALUE"""),27.0)</f>
        <v>27</v>
      </c>
      <c r="E5057" s="1" t="str">
        <f t="array" ref="E5057">_xlfn.XLOOKUP(A5057,Product!A:A,Product!B:B,"Bulunamadı")</f>
        <v>Arts</v>
      </c>
      <c r="F5057" s="1" t="str">
        <f t="array" ref="F5057">_xlfn.XLOOKUP(A5057,Product!A:A,Product!C:C,"Bulunamadı")</f>
        <v>Graphic Design</v>
      </c>
      <c r="G5057" s="2" t="str">
        <f t="array" ref="G5057">_xlfn.XLOOKUP(A5058,Product!A:A,Product!D:D,"Bulunamadı")</f>
        <v>Riverpeak Publishing</v>
      </c>
      <c r="H5057" s="2">
        <f t="array" ref="H5057">_xlfn.XLOOKUP(A5059,Product!A:A,Product!E:E,"Bulunamadı")</f>
        <v>3.44</v>
      </c>
      <c r="I5057" s="2" t="str">
        <f t="shared" si="1"/>
        <v>84231 - Arts - Graphic Design</v>
      </c>
      <c r="J5057" s="2">
        <f t="shared" si="2"/>
        <v>92.88</v>
      </c>
      <c r="K5057" s="17">
        <f t="shared" si="3"/>
        <v>1</v>
      </c>
      <c r="L5057" s="18"/>
    </row>
    <row r="5058">
      <c r="A5058" s="2">
        <f>IFERROR(__xludf.DUMMYFUNCTION("""COMPUTED_VALUE"""),68321.0)</f>
        <v>68321</v>
      </c>
      <c r="B5058" s="2">
        <f>IFERROR(__xludf.DUMMYFUNCTION("""COMPUTED_VALUE"""),1.0)</f>
        <v>1</v>
      </c>
      <c r="C5058" s="2">
        <f>IFERROR(__xludf.DUMMYFUNCTION("""COMPUTED_VALUE"""),586.0)</f>
        <v>586</v>
      </c>
      <c r="D5058" s="3">
        <f>IFERROR(__xludf.DUMMYFUNCTION("""COMPUTED_VALUE"""),261.0)</f>
        <v>261</v>
      </c>
      <c r="E5058" s="1" t="str">
        <f t="array" ref="E5058">_xlfn.XLOOKUP(A5058,Product!A:A,Product!B:B,"Bulunamadı")</f>
        <v>Arts</v>
      </c>
      <c r="F5058" s="1" t="str">
        <f t="array" ref="F5058">_xlfn.XLOOKUP(A5058,Product!A:A,Product!C:C,"Bulunamadı")</f>
        <v>Graphic Design</v>
      </c>
      <c r="G5058" s="2" t="str">
        <f t="array" ref="G5058">_xlfn.XLOOKUP(A5059,Product!A:A,Product!D:D,"Bulunamadı")</f>
        <v>Ironpeak Publishing</v>
      </c>
      <c r="H5058" s="2">
        <f t="array" ref="H5058">_xlfn.XLOOKUP(A5060,Product!A:A,Product!E:E,"Bulunamadı")</f>
        <v>0.95</v>
      </c>
      <c r="I5058" s="2" t="str">
        <f t="shared" si="1"/>
        <v>68321 - Arts - Graphic Design</v>
      </c>
      <c r="J5058" s="2">
        <f t="shared" si="2"/>
        <v>247.95</v>
      </c>
      <c r="K5058" s="17">
        <f t="shared" si="3"/>
        <v>1</v>
      </c>
      <c r="L5058" s="18"/>
    </row>
    <row r="5059">
      <c r="A5059" s="2">
        <f>IFERROR(__xludf.DUMMYFUNCTION("""COMPUTED_VALUE"""),84211.0)</f>
        <v>84211</v>
      </c>
      <c r="B5059" s="2">
        <f>IFERROR(__xludf.DUMMYFUNCTION("""COMPUTED_VALUE"""),1.0)</f>
        <v>1</v>
      </c>
      <c r="C5059" s="2">
        <f>IFERROR(__xludf.DUMMYFUNCTION("""COMPUTED_VALUE"""),432.0)</f>
        <v>432</v>
      </c>
      <c r="D5059" s="3">
        <f>IFERROR(__xludf.DUMMYFUNCTION("""COMPUTED_VALUE"""),243.0)</f>
        <v>243</v>
      </c>
      <c r="E5059" s="1" t="str">
        <f t="array" ref="E5059">_xlfn.XLOOKUP(A5059,Product!A:A,Product!B:B,"Bulunamadı")</f>
        <v>Arts</v>
      </c>
      <c r="F5059" s="1" t="str">
        <f t="array" ref="F5059">_xlfn.XLOOKUP(A5059,Product!A:A,Product!C:C,"Bulunamadı")</f>
        <v>Graphic Design</v>
      </c>
      <c r="G5059" s="2" t="str">
        <f t="array" ref="G5059">_xlfn.XLOOKUP(A5060,Product!A:A,Product!D:D,"Bulunamadı")</f>
        <v>Ironpeak Publishing</v>
      </c>
      <c r="H5059" s="2">
        <f t="array" ref="H5059">_xlfn.XLOOKUP(A5061,Product!A:A,Product!E:E,"Bulunamadı")</f>
        <v>5.26</v>
      </c>
      <c r="I5059" s="2" t="str">
        <f t="shared" si="1"/>
        <v>84211 - Arts - Graphic Design</v>
      </c>
      <c r="J5059" s="2">
        <f t="shared" si="2"/>
        <v>1278.18</v>
      </c>
      <c r="K5059" s="17">
        <f t="shared" si="3"/>
        <v>1</v>
      </c>
      <c r="L5059" s="18"/>
    </row>
    <row r="5060">
      <c r="A5060" s="2">
        <f>IFERROR(__xludf.DUMMYFUNCTION("""COMPUTED_VALUE"""),158663.0)</f>
        <v>158663</v>
      </c>
      <c r="B5060" s="2">
        <f>IFERROR(__xludf.DUMMYFUNCTION("""COMPUTED_VALUE"""),0.0)</f>
        <v>0</v>
      </c>
      <c r="C5060" s="2">
        <f>IFERROR(__xludf.DUMMYFUNCTION("""COMPUTED_VALUE"""),776.0)</f>
        <v>776</v>
      </c>
      <c r="D5060" s="3">
        <f>IFERROR(__xludf.DUMMYFUNCTION("""COMPUTED_VALUE"""),44.0)</f>
        <v>44</v>
      </c>
      <c r="E5060" s="1" t="str">
        <f t="array" ref="E5060">_xlfn.XLOOKUP(A5060,Product!A:A,Product!B:B,"Bulunamadı")</f>
        <v>Arts</v>
      </c>
      <c r="F5060" s="1" t="str">
        <f t="array" ref="F5060">_xlfn.XLOOKUP(A5060,Product!A:A,Product!C:C,"Bulunamadı")</f>
        <v>Graphic Design</v>
      </c>
      <c r="G5060" s="2" t="str">
        <f t="array" ref="G5060">_xlfn.XLOOKUP(A5061,Product!A:A,Product!D:D,"Bulunamadı")</f>
        <v>Ironpeak Publishing</v>
      </c>
      <c r="H5060" s="2">
        <f t="array" ref="H5060">_xlfn.XLOOKUP(A5062,Product!A:A,Product!E:E,"Bulunamadı")</f>
        <v>2.76</v>
      </c>
      <c r="I5060" s="2" t="str">
        <f t="shared" si="1"/>
        <v>158663 - Arts - Graphic Design</v>
      </c>
      <c r="J5060" s="2">
        <f t="shared" si="2"/>
        <v>121.44</v>
      </c>
      <c r="K5060" s="17">
        <f t="shared" si="3"/>
        <v>1</v>
      </c>
      <c r="L5060" s="18"/>
    </row>
    <row r="5061">
      <c r="A5061" s="2">
        <f>IFERROR(__xludf.DUMMYFUNCTION("""COMPUTED_VALUE"""),113874.0)</f>
        <v>113874</v>
      </c>
      <c r="B5061" s="2">
        <f>IFERROR(__xludf.DUMMYFUNCTION("""COMPUTED_VALUE"""),1.0)</f>
        <v>1</v>
      </c>
      <c r="C5061" s="2">
        <f>IFERROR(__xludf.DUMMYFUNCTION("""COMPUTED_VALUE"""),491.0)</f>
        <v>491</v>
      </c>
      <c r="D5061" s="3">
        <f>IFERROR(__xludf.DUMMYFUNCTION("""COMPUTED_VALUE"""),54.0)</f>
        <v>54</v>
      </c>
      <c r="E5061" s="1" t="str">
        <f t="array" ref="E5061">_xlfn.XLOOKUP(A5061,Product!A:A,Product!B:B,"Bulunamadı")</f>
        <v>Arts</v>
      </c>
      <c r="F5061" s="1" t="str">
        <f t="array" ref="F5061">_xlfn.XLOOKUP(A5061,Product!A:A,Product!C:C,"Bulunamadı")</f>
        <v>Graphic Design</v>
      </c>
      <c r="G5061" s="2" t="str">
        <f t="array" ref="G5061">_xlfn.XLOOKUP(A5062,Product!A:A,Product!D:D,"Bulunamadı")</f>
        <v>Ironpeak Publishing</v>
      </c>
      <c r="H5061" s="2">
        <f t="array" ref="H5061">_xlfn.XLOOKUP(A5063,Product!A:A,Product!E:E,"Bulunamadı")</f>
        <v>1.92</v>
      </c>
      <c r="I5061" s="2" t="str">
        <f t="shared" si="1"/>
        <v>113874 - Arts - Graphic Design</v>
      </c>
      <c r="J5061" s="2">
        <f t="shared" si="2"/>
        <v>103.68</v>
      </c>
      <c r="K5061" s="17">
        <f t="shared" si="3"/>
        <v>1</v>
      </c>
      <c r="L5061" s="18"/>
    </row>
    <row r="5062">
      <c r="A5062" s="2">
        <f>IFERROR(__xludf.DUMMYFUNCTION("""COMPUTED_VALUE"""),84234.0)</f>
        <v>84234</v>
      </c>
      <c r="B5062" s="2">
        <f>IFERROR(__xludf.DUMMYFUNCTION("""COMPUTED_VALUE"""),0.0)</f>
        <v>0</v>
      </c>
      <c r="C5062" s="2">
        <f>IFERROR(__xludf.DUMMYFUNCTION("""COMPUTED_VALUE"""),861.0)</f>
        <v>861</v>
      </c>
      <c r="D5062" s="3">
        <f>IFERROR(__xludf.DUMMYFUNCTION("""COMPUTED_VALUE"""),797.0)</f>
        <v>797</v>
      </c>
      <c r="E5062" s="1" t="str">
        <f t="array" ref="E5062">_xlfn.XLOOKUP(A5062,Product!A:A,Product!B:B,"Bulunamadı")</f>
        <v>Arts</v>
      </c>
      <c r="F5062" s="1" t="str">
        <f t="array" ref="F5062">_xlfn.XLOOKUP(A5062,Product!A:A,Product!C:C,"Bulunamadı")</f>
        <v>Graphic Design</v>
      </c>
      <c r="G5062" s="2" t="str">
        <f t="array" ref="G5062">_xlfn.XLOOKUP(A5063,Product!A:A,Product!D:D,"Bulunamadı")</f>
        <v>Ironpeak Publishing</v>
      </c>
      <c r="H5062" s="2">
        <f t="array" ref="H5062">_xlfn.XLOOKUP(A5064,Product!A:A,Product!E:E,"Bulunamadı")</f>
        <v>1.56</v>
      </c>
      <c r="I5062" s="2" t="str">
        <f t="shared" si="1"/>
        <v>84234 - Arts - Graphic Design</v>
      </c>
      <c r="J5062" s="2">
        <f t="shared" si="2"/>
        <v>1243.32</v>
      </c>
      <c r="K5062" s="17">
        <f t="shared" si="3"/>
        <v>1</v>
      </c>
      <c r="L5062" s="18"/>
    </row>
    <row r="5063">
      <c r="A5063" s="2">
        <f>IFERROR(__xludf.DUMMYFUNCTION("""COMPUTED_VALUE"""),76642.0)</f>
        <v>76642</v>
      </c>
      <c r="B5063" s="2">
        <f>IFERROR(__xludf.DUMMYFUNCTION("""COMPUTED_VALUE"""),0.0)</f>
        <v>0</v>
      </c>
      <c r="C5063" s="2">
        <f>IFERROR(__xludf.DUMMYFUNCTION("""COMPUTED_VALUE"""),297.0)</f>
        <v>297</v>
      </c>
      <c r="D5063" s="3">
        <f>IFERROR(__xludf.DUMMYFUNCTION("""COMPUTED_VALUE"""),165.0)</f>
        <v>165</v>
      </c>
      <c r="E5063" s="1" t="str">
        <f t="array" ref="E5063">_xlfn.XLOOKUP(A5063,Product!A:A,Product!B:B,"Bulunamadı")</f>
        <v>Arts</v>
      </c>
      <c r="F5063" s="1" t="str">
        <f t="array" ref="F5063">_xlfn.XLOOKUP(A5063,Product!A:A,Product!C:C,"Bulunamadı")</f>
        <v>Graphic Design</v>
      </c>
      <c r="G5063" s="2" t="str">
        <f t="array" ref="G5063">_xlfn.XLOOKUP(A5064,Product!A:A,Product!D:D,"Bulunamadı")</f>
        <v>Ironpeak Publishing</v>
      </c>
      <c r="H5063" s="2">
        <f t="array" ref="H5063">_xlfn.XLOOKUP(A5065,Product!A:A,Product!E:E,"Bulunamadı")</f>
        <v>5.82</v>
      </c>
      <c r="I5063" s="2" t="str">
        <f t="shared" si="1"/>
        <v>76642 - Arts - Graphic Design</v>
      </c>
      <c r="J5063" s="2">
        <f t="shared" si="2"/>
        <v>960.3</v>
      </c>
      <c r="K5063" s="17">
        <f t="shared" si="3"/>
        <v>1</v>
      </c>
      <c r="L5063" s="18"/>
    </row>
    <row r="5064">
      <c r="A5064" s="2">
        <f>IFERROR(__xludf.DUMMYFUNCTION("""COMPUTED_VALUE"""),126573.0)</f>
        <v>126573</v>
      </c>
      <c r="B5064" s="2">
        <f>IFERROR(__xludf.DUMMYFUNCTION("""COMPUTED_VALUE"""),1.0)</f>
        <v>1</v>
      </c>
      <c r="C5064" s="2">
        <f>IFERROR(__xludf.DUMMYFUNCTION("""COMPUTED_VALUE"""),100.0)</f>
        <v>100</v>
      </c>
      <c r="D5064" s="3">
        <f>IFERROR(__xludf.DUMMYFUNCTION("""COMPUTED_VALUE"""),31.0)</f>
        <v>31</v>
      </c>
      <c r="E5064" s="1" t="str">
        <f t="array" ref="E5064">_xlfn.XLOOKUP(A5064,Product!A:A,Product!B:B,"Bulunamadı")</f>
        <v>Arts</v>
      </c>
      <c r="F5064" s="1" t="str">
        <f t="array" ref="F5064">_xlfn.XLOOKUP(A5064,Product!A:A,Product!C:C,"Bulunamadı")</f>
        <v>Graphic Design</v>
      </c>
      <c r="G5064" s="2" t="str">
        <f t="array" ref="G5064">_xlfn.XLOOKUP(A5065,Product!A:A,Product!D:D,"Bulunamadı")</f>
        <v>Ironpeak Publishing</v>
      </c>
      <c r="H5064" s="2">
        <f t="array" ref="H5064">_xlfn.XLOOKUP(A5066,Product!A:A,Product!E:E,"Bulunamadı")</f>
        <v>3.42</v>
      </c>
      <c r="I5064" s="2" t="str">
        <f t="shared" si="1"/>
        <v>126573 - Arts - Graphic Design</v>
      </c>
      <c r="J5064" s="2">
        <f t="shared" si="2"/>
        <v>106.02</v>
      </c>
      <c r="K5064" s="17">
        <f t="shared" si="3"/>
        <v>1</v>
      </c>
      <c r="L5064" s="18"/>
    </row>
    <row r="5065">
      <c r="A5065" s="2">
        <f>IFERROR(__xludf.DUMMYFUNCTION("""COMPUTED_VALUE"""),113877.0)</f>
        <v>113877</v>
      </c>
      <c r="B5065" s="2">
        <f>IFERROR(__xludf.DUMMYFUNCTION("""COMPUTED_VALUE"""),1.0)</f>
        <v>1</v>
      </c>
      <c r="C5065" s="2">
        <f>IFERROR(__xludf.DUMMYFUNCTION("""COMPUTED_VALUE"""),50.0)</f>
        <v>50</v>
      </c>
      <c r="D5065" s="3">
        <f>IFERROR(__xludf.DUMMYFUNCTION("""COMPUTED_VALUE"""),31.0)</f>
        <v>31</v>
      </c>
      <c r="E5065" s="1" t="str">
        <f t="array" ref="E5065">_xlfn.XLOOKUP(A5065,Product!A:A,Product!B:B,"Bulunamadı")</f>
        <v>Arts</v>
      </c>
      <c r="F5065" s="1" t="str">
        <f t="array" ref="F5065">_xlfn.XLOOKUP(A5065,Product!A:A,Product!C:C,"Bulunamadı")</f>
        <v>Graphic Design</v>
      </c>
      <c r="G5065" s="2" t="str">
        <f t="array" ref="G5065">_xlfn.XLOOKUP(A5066,Product!A:A,Product!D:D,"Bulunamadı")</f>
        <v>Ironpeak Publishing</v>
      </c>
      <c r="H5065" s="2">
        <f t="array" ref="H5065">_xlfn.XLOOKUP(A5067,Product!A:A,Product!E:E,"Bulunamadı")</f>
        <v>3.09</v>
      </c>
      <c r="I5065" s="2" t="str">
        <f t="shared" si="1"/>
        <v>113877 - Arts - Graphic Design</v>
      </c>
      <c r="J5065" s="2">
        <f t="shared" si="2"/>
        <v>95.79</v>
      </c>
      <c r="K5065" s="17">
        <f t="shared" si="3"/>
        <v>1</v>
      </c>
      <c r="L5065" s="18"/>
    </row>
    <row r="5066">
      <c r="A5066" s="2">
        <f>IFERROR(__xludf.DUMMYFUNCTION("""COMPUTED_VALUE"""),84212.0)</f>
        <v>84212</v>
      </c>
      <c r="B5066" s="2">
        <f>IFERROR(__xludf.DUMMYFUNCTION("""COMPUTED_VALUE"""),1.0)</f>
        <v>1</v>
      </c>
      <c r="C5066" s="2">
        <f>IFERROR(__xludf.DUMMYFUNCTION("""COMPUTED_VALUE"""),160.0)</f>
        <v>160</v>
      </c>
      <c r="D5066" s="3">
        <f>IFERROR(__xludf.DUMMYFUNCTION("""COMPUTED_VALUE"""),60.0)</f>
        <v>60</v>
      </c>
      <c r="E5066" s="1" t="str">
        <f t="array" ref="E5066">_xlfn.XLOOKUP(A5066,Product!A:A,Product!B:B,"Bulunamadı")</f>
        <v>Arts</v>
      </c>
      <c r="F5066" s="1" t="str">
        <f t="array" ref="F5066">_xlfn.XLOOKUP(A5066,Product!A:A,Product!C:C,"Bulunamadı")</f>
        <v>Graphic Design</v>
      </c>
      <c r="G5066" s="2" t="str">
        <f t="array" ref="G5066">_xlfn.XLOOKUP(A5067,Product!A:A,Product!D:D,"Bulunamadı")</f>
        <v>Ironpeak Publishing</v>
      </c>
      <c r="H5066" s="2">
        <f t="array" ref="H5066">_xlfn.XLOOKUP(A5068,Product!A:A,Product!E:E,"Bulunamadı")</f>
        <v>2.56</v>
      </c>
      <c r="I5066" s="2" t="str">
        <f t="shared" si="1"/>
        <v>84212 - Arts - Graphic Design</v>
      </c>
      <c r="J5066" s="2">
        <f t="shared" si="2"/>
        <v>153.6</v>
      </c>
      <c r="K5066" s="17">
        <f t="shared" si="3"/>
        <v>1</v>
      </c>
      <c r="L5066" s="18"/>
    </row>
    <row r="5067">
      <c r="A5067" s="2">
        <f>IFERROR(__xludf.DUMMYFUNCTION("""COMPUTED_VALUE"""),84203.0)</f>
        <v>84203</v>
      </c>
      <c r="B5067" s="2">
        <f>IFERROR(__xludf.DUMMYFUNCTION("""COMPUTED_VALUE"""),0.0)</f>
        <v>0</v>
      </c>
      <c r="C5067" s="2">
        <f>IFERROR(__xludf.DUMMYFUNCTION("""COMPUTED_VALUE"""),448.0)</f>
        <v>448</v>
      </c>
      <c r="D5067" s="3">
        <f>IFERROR(__xludf.DUMMYFUNCTION("""COMPUTED_VALUE"""),37.0)</f>
        <v>37</v>
      </c>
      <c r="E5067" s="1" t="str">
        <f t="array" ref="E5067">_xlfn.XLOOKUP(A5067,Product!A:A,Product!B:B,"Bulunamadı")</f>
        <v>Arts</v>
      </c>
      <c r="F5067" s="1" t="str">
        <f t="array" ref="F5067">_xlfn.XLOOKUP(A5067,Product!A:A,Product!C:C,"Bulunamadı")</f>
        <v>Graphic Design</v>
      </c>
      <c r="G5067" s="2" t="str">
        <f t="array" ref="G5067">_xlfn.XLOOKUP(A5068,Product!A:A,Product!D:D,"Bulunamadı")</f>
        <v>Silvercrest Publishing</v>
      </c>
      <c r="H5067" s="2">
        <f t="array" ref="H5067">_xlfn.XLOOKUP(A5069,Product!A:A,Product!E:E,"Bulunamadı")</f>
        <v>1.74</v>
      </c>
      <c r="I5067" s="2" t="str">
        <f t="shared" si="1"/>
        <v>84203 - Arts - Graphic Design</v>
      </c>
      <c r="J5067" s="2">
        <f t="shared" si="2"/>
        <v>64.38</v>
      </c>
      <c r="K5067" s="17">
        <f t="shared" si="3"/>
        <v>1</v>
      </c>
      <c r="L5067" s="18"/>
    </row>
    <row r="5068">
      <c r="A5068" s="2">
        <f>IFERROR(__xludf.DUMMYFUNCTION("""COMPUTED_VALUE"""),91038.0)</f>
        <v>91038</v>
      </c>
      <c r="B5068" s="2">
        <f>IFERROR(__xludf.DUMMYFUNCTION("""COMPUTED_VALUE"""),0.0)</f>
        <v>0</v>
      </c>
      <c r="C5068" s="2">
        <f>IFERROR(__xludf.DUMMYFUNCTION("""COMPUTED_VALUE"""),29.0)</f>
        <v>29</v>
      </c>
      <c r="D5068" s="3">
        <f>IFERROR(__xludf.DUMMYFUNCTION("""COMPUTED_VALUE"""),5.0)</f>
        <v>5</v>
      </c>
      <c r="E5068" s="1" t="str">
        <f t="array" ref="E5068">_xlfn.XLOOKUP(A5068,Product!A:A,Product!B:B,"Bulunamadı")</f>
        <v>Arts</v>
      </c>
      <c r="F5068" s="1" t="str">
        <f t="array" ref="F5068">_xlfn.XLOOKUP(A5068,Product!A:A,Product!C:C,"Bulunamadı")</f>
        <v>Graphic Design</v>
      </c>
      <c r="G5068" s="2" t="str">
        <f t="array" ref="G5068">_xlfn.XLOOKUP(A5069,Product!A:A,Product!D:D,"Bulunamadı")</f>
        <v>Silvercrest Publishing</v>
      </c>
      <c r="H5068" s="2">
        <f t="array" ref="H5068">_xlfn.XLOOKUP(A5070,Product!A:A,Product!E:E,"Bulunamadı")</f>
        <v>1.89</v>
      </c>
      <c r="I5068" s="2" t="str">
        <f t="shared" si="1"/>
        <v>91038 - Arts - Graphic Design</v>
      </c>
      <c r="J5068" s="2">
        <f t="shared" si="2"/>
        <v>9.45</v>
      </c>
      <c r="K5068" s="17">
        <f t="shared" si="3"/>
        <v>1</v>
      </c>
      <c r="L5068" s="18"/>
    </row>
    <row r="5069">
      <c r="A5069" s="2">
        <f>IFERROR(__xludf.DUMMYFUNCTION("""COMPUTED_VALUE"""),19335.0)</f>
        <v>19335</v>
      </c>
      <c r="B5069" s="2">
        <f>IFERROR(__xludf.DUMMYFUNCTION("""COMPUTED_VALUE"""),1.0)</f>
        <v>1</v>
      </c>
      <c r="C5069" s="2">
        <f>IFERROR(__xludf.DUMMYFUNCTION("""COMPUTED_VALUE"""),693.0)</f>
        <v>693</v>
      </c>
      <c r="D5069" s="3">
        <f>IFERROR(__xludf.DUMMYFUNCTION("""COMPUTED_VALUE"""),290.0)</f>
        <v>290</v>
      </c>
      <c r="E5069" s="1" t="str">
        <f t="array" ref="E5069">_xlfn.XLOOKUP(A5069,Product!A:A,Product!B:B,"Bulunamadı")</f>
        <v>Arts</v>
      </c>
      <c r="F5069" s="1" t="str">
        <f t="array" ref="F5069">_xlfn.XLOOKUP(A5069,Product!A:A,Product!C:C,"Bulunamadı")</f>
        <v>Graphic Design</v>
      </c>
      <c r="G5069" s="2" t="str">
        <f t="array" ref="G5069">_xlfn.XLOOKUP(A5070,Product!A:A,Product!D:D,"Bulunamadı")</f>
        <v>Silvercrest Publishing</v>
      </c>
      <c r="H5069" s="2">
        <f t="array" ref="H5069">_xlfn.XLOOKUP(A5071,Product!A:A,Product!E:E,"Bulunamadı")</f>
        <v>0.82</v>
      </c>
      <c r="I5069" s="2" t="str">
        <f t="shared" si="1"/>
        <v>19335 - Arts - Graphic Design</v>
      </c>
      <c r="J5069" s="2">
        <f t="shared" si="2"/>
        <v>237.8</v>
      </c>
      <c r="K5069" s="17">
        <f t="shared" si="3"/>
        <v>1</v>
      </c>
      <c r="L5069" s="18"/>
    </row>
    <row r="5070">
      <c r="A5070" s="2">
        <f>IFERROR(__xludf.DUMMYFUNCTION("""COMPUTED_VALUE"""),103073.0)</f>
        <v>103073</v>
      </c>
      <c r="B5070" s="2">
        <f>IFERROR(__xludf.DUMMYFUNCTION("""COMPUTED_VALUE"""),1.0)</f>
        <v>1</v>
      </c>
      <c r="C5070" s="2">
        <f>IFERROR(__xludf.DUMMYFUNCTION("""COMPUTED_VALUE"""),703.0)</f>
        <v>703</v>
      </c>
      <c r="D5070" s="3">
        <f>IFERROR(__xludf.DUMMYFUNCTION("""COMPUTED_VALUE"""),261.0)</f>
        <v>261</v>
      </c>
      <c r="E5070" s="1" t="str">
        <f t="array" ref="E5070">_xlfn.XLOOKUP(A5070,Product!A:A,Product!B:B,"Bulunamadı")</f>
        <v>Arts</v>
      </c>
      <c r="F5070" s="1" t="str">
        <f t="array" ref="F5070">_xlfn.XLOOKUP(A5070,Product!A:A,Product!C:C,"Bulunamadı")</f>
        <v>Graphic Design</v>
      </c>
      <c r="G5070" s="2" t="str">
        <f t="array" ref="G5070">_xlfn.XLOOKUP(A5071,Product!A:A,Product!D:D,"Bulunamadı")</f>
        <v>Northcrest Publishing</v>
      </c>
      <c r="H5070" s="2">
        <f t="array" ref="H5070">_xlfn.XLOOKUP(A5072,Product!A:A,Product!E:E,"Bulunamadı")</f>
        <v>1.54</v>
      </c>
      <c r="I5070" s="2" t="str">
        <f t="shared" si="1"/>
        <v>103073 - Arts - Graphic Design</v>
      </c>
      <c r="J5070" s="2">
        <f t="shared" si="2"/>
        <v>401.94</v>
      </c>
      <c r="K5070" s="17">
        <f t="shared" si="3"/>
        <v>1</v>
      </c>
      <c r="L5070" s="18"/>
    </row>
    <row r="5071">
      <c r="A5071" s="2">
        <f>IFERROR(__xludf.DUMMYFUNCTION("""COMPUTED_VALUE"""),122261.0)</f>
        <v>122261</v>
      </c>
      <c r="B5071" s="2">
        <f>IFERROR(__xludf.DUMMYFUNCTION("""COMPUTED_VALUE"""),0.0)</f>
        <v>0</v>
      </c>
      <c r="C5071" s="2">
        <f>IFERROR(__xludf.DUMMYFUNCTION("""COMPUTED_VALUE"""),275.0)</f>
        <v>275</v>
      </c>
      <c r="D5071" s="3">
        <f>IFERROR(__xludf.DUMMYFUNCTION("""COMPUTED_VALUE"""),240.0)</f>
        <v>240</v>
      </c>
      <c r="E5071" s="1" t="str">
        <f t="array" ref="E5071">_xlfn.XLOOKUP(A5071,Product!A:A,Product!B:B,"Bulunamadı")</f>
        <v>Arts</v>
      </c>
      <c r="F5071" s="1" t="str">
        <f t="array" ref="F5071">_xlfn.XLOOKUP(A5071,Product!A:A,Product!C:C,"Bulunamadı")</f>
        <v>Graphic Design</v>
      </c>
      <c r="G5071" s="2" t="str">
        <f t="array" ref="G5071">_xlfn.XLOOKUP(A5072,Product!A:A,Product!D:D,"Bulunamadı")</f>
        <v>Northcrest Publishing</v>
      </c>
      <c r="H5071" s="2">
        <f t="array" ref="H5071">_xlfn.XLOOKUP(A5073,Product!A:A,Product!E:E,"Bulunamadı")</f>
        <v>1.07</v>
      </c>
      <c r="I5071" s="2" t="str">
        <f t="shared" si="1"/>
        <v>122261 - Arts - Graphic Design</v>
      </c>
      <c r="J5071" s="2">
        <f t="shared" si="2"/>
        <v>256.8</v>
      </c>
      <c r="K5071" s="17">
        <f t="shared" si="3"/>
        <v>1</v>
      </c>
      <c r="L5071" s="18"/>
    </row>
    <row r="5072">
      <c r="A5072" s="2">
        <f>IFERROR(__xludf.DUMMYFUNCTION("""COMPUTED_VALUE"""),68315.0)</f>
        <v>68315</v>
      </c>
      <c r="B5072" s="2">
        <f>IFERROR(__xludf.DUMMYFUNCTION("""COMPUTED_VALUE"""),1.0)</f>
        <v>1</v>
      </c>
      <c r="C5072" s="2">
        <f>IFERROR(__xludf.DUMMYFUNCTION("""COMPUTED_VALUE"""),191.0)</f>
        <v>191</v>
      </c>
      <c r="D5072" s="3">
        <f>IFERROR(__xludf.DUMMYFUNCTION("""COMPUTED_VALUE"""),136.0)</f>
        <v>136</v>
      </c>
      <c r="E5072" s="1" t="str">
        <f t="array" ref="E5072">_xlfn.XLOOKUP(A5072,Product!A:A,Product!B:B,"Bulunamadı")</f>
        <v>Arts</v>
      </c>
      <c r="F5072" s="1" t="str">
        <f t="array" ref="F5072">_xlfn.XLOOKUP(A5072,Product!A:A,Product!C:C,"Bulunamadı")</f>
        <v>Graphic Design</v>
      </c>
      <c r="G5072" s="2" t="str">
        <f t="array" ref="G5072">_xlfn.XLOOKUP(A5073,Product!A:A,Product!D:D,"Bulunamadı")</f>
        <v>Northcrest Publishing</v>
      </c>
      <c r="H5072" s="2">
        <f t="array" ref="H5072">_xlfn.XLOOKUP(A5074,Product!A:A,Product!E:E,"Bulunamadı")</f>
        <v>1.94</v>
      </c>
      <c r="I5072" s="2" t="str">
        <f t="shared" si="1"/>
        <v>68315 - Arts - Graphic Design</v>
      </c>
      <c r="J5072" s="2">
        <f t="shared" si="2"/>
        <v>263.84</v>
      </c>
      <c r="K5072" s="17">
        <f t="shared" si="3"/>
        <v>1</v>
      </c>
      <c r="L5072" s="18"/>
    </row>
    <row r="5073">
      <c r="A5073" s="2">
        <f>IFERROR(__xludf.DUMMYFUNCTION("""COMPUTED_VALUE"""),110229.0)</f>
        <v>110229</v>
      </c>
      <c r="B5073" s="2">
        <f>IFERROR(__xludf.DUMMYFUNCTION("""COMPUTED_VALUE"""),0.0)</f>
        <v>0</v>
      </c>
      <c r="C5073" s="2">
        <f>IFERROR(__xludf.DUMMYFUNCTION("""COMPUTED_VALUE"""),555.0)</f>
        <v>555</v>
      </c>
      <c r="D5073" s="3">
        <f>IFERROR(__xludf.DUMMYFUNCTION("""COMPUTED_VALUE"""),301.0)</f>
        <v>301</v>
      </c>
      <c r="E5073" s="1" t="str">
        <f t="array" ref="E5073">_xlfn.XLOOKUP(A5073,Product!A:A,Product!B:B,"Bulunamadı")</f>
        <v>Arts</v>
      </c>
      <c r="F5073" s="1" t="str">
        <f t="array" ref="F5073">_xlfn.XLOOKUP(A5073,Product!A:A,Product!C:C,"Bulunamadı")</f>
        <v>Graphic Design</v>
      </c>
      <c r="G5073" s="2" t="str">
        <f t="array" ref="G5073">_xlfn.XLOOKUP(A5074,Product!A:A,Product!D:D,"Bulunamadı")</f>
        <v>Northcrest Publishing</v>
      </c>
      <c r="H5073" s="2">
        <f t="array" ref="H5073">_xlfn.XLOOKUP(A5075,Product!A:A,Product!E:E,"Bulunamadı")</f>
        <v>4.52</v>
      </c>
      <c r="I5073" s="2" t="str">
        <f t="shared" si="1"/>
        <v>110229 - Arts - Graphic Design</v>
      </c>
      <c r="J5073" s="2">
        <f t="shared" si="2"/>
        <v>1360.52</v>
      </c>
      <c r="K5073" s="17">
        <f t="shared" si="3"/>
        <v>1</v>
      </c>
      <c r="L5073" s="18"/>
    </row>
    <row r="5074">
      <c r="A5074" s="2">
        <f>IFERROR(__xludf.DUMMYFUNCTION("""COMPUTED_VALUE"""),5548.0)</f>
        <v>5548</v>
      </c>
      <c r="B5074" s="2">
        <f>IFERROR(__xludf.DUMMYFUNCTION("""COMPUTED_VALUE"""),1.0)</f>
        <v>1</v>
      </c>
      <c r="C5074" s="2">
        <f>IFERROR(__xludf.DUMMYFUNCTION("""COMPUTED_VALUE"""),48.0)</f>
        <v>48</v>
      </c>
      <c r="D5074" s="3">
        <f>IFERROR(__xludf.DUMMYFUNCTION("""COMPUTED_VALUE"""),45.0)</f>
        <v>45</v>
      </c>
      <c r="E5074" s="1" t="str">
        <f t="array" ref="E5074">_xlfn.XLOOKUP(A5074,Product!A:A,Product!B:B,"Bulunamadı")</f>
        <v>Arts</v>
      </c>
      <c r="F5074" s="1" t="str">
        <f t="array" ref="F5074">_xlfn.XLOOKUP(A5074,Product!A:A,Product!C:C,"Bulunamadı")</f>
        <v>Graphic Design</v>
      </c>
      <c r="G5074" s="2" t="str">
        <f t="array" ref="G5074">_xlfn.XLOOKUP(A5075,Product!A:A,Product!D:D,"Bulunamadı")</f>
        <v>Northcrest Publishing</v>
      </c>
      <c r="H5074" s="2">
        <f t="array" ref="H5074">_xlfn.XLOOKUP(A5076,Product!A:A,Product!E:E,"Bulunamadı")</f>
        <v>1.95</v>
      </c>
      <c r="I5074" s="2" t="str">
        <f t="shared" si="1"/>
        <v>5548 - Arts - Graphic Design</v>
      </c>
      <c r="J5074" s="2">
        <f t="shared" si="2"/>
        <v>87.75</v>
      </c>
      <c r="K5074" s="17">
        <f t="shared" si="3"/>
        <v>1</v>
      </c>
      <c r="L5074" s="18"/>
    </row>
    <row r="5075">
      <c r="A5075" s="2">
        <f>IFERROR(__xludf.DUMMYFUNCTION("""COMPUTED_VALUE"""),126544.0)</f>
        <v>126544</v>
      </c>
      <c r="B5075" s="2">
        <f>IFERROR(__xludf.DUMMYFUNCTION("""COMPUTED_VALUE"""),1.0)</f>
        <v>1</v>
      </c>
      <c r="C5075" s="2">
        <f>IFERROR(__xludf.DUMMYFUNCTION("""COMPUTED_VALUE"""),778.0)</f>
        <v>778</v>
      </c>
      <c r="D5075" s="3">
        <f>IFERROR(__xludf.DUMMYFUNCTION("""COMPUTED_VALUE"""),566.0)</f>
        <v>566</v>
      </c>
      <c r="E5075" s="1" t="str">
        <f t="array" ref="E5075">_xlfn.XLOOKUP(A5075,Product!A:A,Product!B:B,"Bulunamadı")</f>
        <v>Arts</v>
      </c>
      <c r="F5075" s="1" t="str">
        <f t="array" ref="F5075">_xlfn.XLOOKUP(A5075,Product!A:A,Product!C:C,"Bulunamadı")</f>
        <v>Graphic Design</v>
      </c>
      <c r="G5075" s="2" t="str">
        <f t="array" ref="G5075">_xlfn.XLOOKUP(A5076,Product!A:A,Product!D:D,"Bulunamadı")</f>
        <v>Northcrest Publishing</v>
      </c>
      <c r="H5075" s="2">
        <f t="array" ref="H5075">_xlfn.XLOOKUP(A5077,Product!A:A,Product!E:E,"Bulunamadı")</f>
        <v>2.34</v>
      </c>
      <c r="I5075" s="2" t="str">
        <f t="shared" si="1"/>
        <v>126544 - Arts - Graphic Design</v>
      </c>
      <c r="J5075" s="2">
        <f t="shared" si="2"/>
        <v>1324.44</v>
      </c>
      <c r="K5075" s="17">
        <f t="shared" si="3"/>
        <v>1</v>
      </c>
      <c r="L5075" s="18"/>
    </row>
    <row r="5076">
      <c r="A5076" s="2">
        <f>IFERROR(__xludf.DUMMYFUNCTION("""COMPUTED_VALUE"""),90792.0)</f>
        <v>90792</v>
      </c>
      <c r="B5076" s="2">
        <f>IFERROR(__xludf.DUMMYFUNCTION("""COMPUTED_VALUE"""),0.0)</f>
        <v>0</v>
      </c>
      <c r="C5076" s="2">
        <f>IFERROR(__xludf.DUMMYFUNCTION("""COMPUTED_VALUE"""),781.0)</f>
        <v>781</v>
      </c>
      <c r="D5076" s="3">
        <f>IFERROR(__xludf.DUMMYFUNCTION("""COMPUTED_VALUE"""),533.0)</f>
        <v>533</v>
      </c>
      <c r="E5076" s="1" t="str">
        <f t="array" ref="E5076">_xlfn.XLOOKUP(A5076,Product!A:A,Product!B:B,"Bulunamadı")</f>
        <v>Arts</v>
      </c>
      <c r="F5076" s="1" t="str">
        <f t="array" ref="F5076">_xlfn.XLOOKUP(A5076,Product!A:A,Product!C:C,"Bulunamadı")</f>
        <v>Graphic Design</v>
      </c>
      <c r="G5076" s="2" t="str">
        <f t="array" ref="G5076">_xlfn.XLOOKUP(A5077,Product!A:A,Product!D:D,"Bulunamadı")</f>
        <v>Northcrest Publishing</v>
      </c>
      <c r="H5076" s="2">
        <f t="array" ref="H5076">_xlfn.XLOOKUP(A5078,Product!A:A,Product!E:E,"Bulunamadı")</f>
        <v>1.23</v>
      </c>
      <c r="I5076" s="2" t="str">
        <f t="shared" si="1"/>
        <v>90792 - Arts - Graphic Design</v>
      </c>
      <c r="J5076" s="2">
        <f t="shared" si="2"/>
        <v>655.59</v>
      </c>
      <c r="K5076" s="17">
        <f t="shared" si="3"/>
        <v>1</v>
      </c>
      <c r="L5076" s="18"/>
    </row>
    <row r="5077">
      <c r="A5077" s="2">
        <f>IFERROR(__xludf.DUMMYFUNCTION("""COMPUTED_VALUE"""),126541.0)</f>
        <v>126541</v>
      </c>
      <c r="B5077" s="2">
        <f>IFERROR(__xludf.DUMMYFUNCTION("""COMPUTED_VALUE"""),0.0)</f>
        <v>0</v>
      </c>
      <c r="C5077" s="2">
        <f>IFERROR(__xludf.DUMMYFUNCTION("""COMPUTED_VALUE"""),911.0)</f>
        <v>911</v>
      </c>
      <c r="D5077" s="3">
        <f>IFERROR(__xludf.DUMMYFUNCTION("""COMPUTED_VALUE"""),160.0)</f>
        <v>160</v>
      </c>
      <c r="E5077" s="1" t="str">
        <f t="array" ref="E5077">_xlfn.XLOOKUP(A5077,Product!A:A,Product!B:B,"Bulunamadı")</f>
        <v>Arts</v>
      </c>
      <c r="F5077" s="1" t="str">
        <f t="array" ref="F5077">_xlfn.XLOOKUP(A5077,Product!A:A,Product!C:C,"Bulunamadı")</f>
        <v>Graphic Design</v>
      </c>
      <c r="G5077" s="2" t="str">
        <f t="array" ref="G5077">_xlfn.XLOOKUP(A5078,Product!A:A,Product!D:D,"Bulunamadı")</f>
        <v>Northcrest Publishing</v>
      </c>
      <c r="H5077" s="2">
        <f t="array" ref="H5077">_xlfn.XLOOKUP(A5079,Product!A:A,Product!E:E,"Bulunamadı")</f>
        <v>1.5</v>
      </c>
      <c r="I5077" s="2" t="str">
        <f t="shared" si="1"/>
        <v>126541 - Arts - Graphic Design</v>
      </c>
      <c r="J5077" s="2">
        <f t="shared" si="2"/>
        <v>240</v>
      </c>
      <c r="K5077" s="17">
        <f t="shared" si="3"/>
        <v>1</v>
      </c>
      <c r="L5077" s="18"/>
    </row>
    <row r="5078">
      <c r="A5078" s="2">
        <f>IFERROR(__xludf.DUMMYFUNCTION("""COMPUTED_VALUE"""),71190.0)</f>
        <v>71190</v>
      </c>
      <c r="B5078" s="2">
        <f>IFERROR(__xludf.DUMMYFUNCTION("""COMPUTED_VALUE"""),0.0)</f>
        <v>0</v>
      </c>
      <c r="C5078" s="2">
        <f>IFERROR(__xludf.DUMMYFUNCTION("""COMPUTED_VALUE"""),571.0)</f>
        <v>571</v>
      </c>
      <c r="D5078" s="3">
        <f>IFERROR(__xludf.DUMMYFUNCTION("""COMPUTED_VALUE"""),323.0)</f>
        <v>323</v>
      </c>
      <c r="E5078" s="1" t="str">
        <f t="array" ref="E5078">_xlfn.XLOOKUP(A5078,Product!A:A,Product!B:B,"Bulunamadı")</f>
        <v>Arts</v>
      </c>
      <c r="F5078" s="1" t="str">
        <f t="array" ref="F5078">_xlfn.XLOOKUP(A5078,Product!A:A,Product!C:C,"Bulunamadı")</f>
        <v>Graphic Design</v>
      </c>
      <c r="G5078" s="2" t="str">
        <f t="array" ref="G5078">_xlfn.XLOOKUP(A5079,Product!A:A,Product!D:D,"Bulunamadı")</f>
        <v>Northcrest Publishing</v>
      </c>
      <c r="H5078" s="2">
        <f t="array" ref="H5078">_xlfn.XLOOKUP(A5080,Product!A:A,Product!E:E,"Bulunamadı")</f>
        <v>1.31</v>
      </c>
      <c r="I5078" s="2" t="str">
        <f t="shared" si="1"/>
        <v>71190 - Arts - Graphic Design</v>
      </c>
      <c r="J5078" s="2">
        <f t="shared" si="2"/>
        <v>423.13</v>
      </c>
      <c r="K5078" s="17">
        <f t="shared" si="3"/>
        <v>1</v>
      </c>
      <c r="L5078" s="18"/>
    </row>
    <row r="5079">
      <c r="A5079" s="2">
        <f>IFERROR(__xludf.DUMMYFUNCTION("""COMPUTED_VALUE"""),76425.0)</f>
        <v>76425</v>
      </c>
      <c r="B5079" s="2">
        <f>IFERROR(__xludf.DUMMYFUNCTION("""COMPUTED_VALUE"""),1.0)</f>
        <v>1</v>
      </c>
      <c r="C5079" s="2">
        <f>IFERROR(__xludf.DUMMYFUNCTION("""COMPUTED_VALUE"""),858.0)</f>
        <v>858</v>
      </c>
      <c r="D5079" s="3">
        <f>IFERROR(__xludf.DUMMYFUNCTION("""COMPUTED_VALUE"""),124.0)</f>
        <v>124</v>
      </c>
      <c r="E5079" s="1" t="str">
        <f t="array" ref="E5079">_xlfn.XLOOKUP(A5079,Product!A:A,Product!B:B,"Bulunamadı")</f>
        <v>Arts</v>
      </c>
      <c r="F5079" s="1" t="str">
        <f t="array" ref="F5079">_xlfn.XLOOKUP(A5079,Product!A:A,Product!C:C,"Bulunamadı")</f>
        <v>Graphic Design</v>
      </c>
      <c r="G5079" s="2" t="str">
        <f t="array" ref="G5079">_xlfn.XLOOKUP(A5080,Product!A:A,Product!D:D,"Bulunamadı")</f>
        <v>Northcrest Publishing</v>
      </c>
      <c r="H5079" s="2">
        <f t="array" ref="H5079">_xlfn.XLOOKUP(A5081,Product!A:A,Product!E:E,"Bulunamadı")</f>
        <v>1.44</v>
      </c>
      <c r="I5079" s="2" t="str">
        <f t="shared" si="1"/>
        <v>76425 - Arts - Graphic Design</v>
      </c>
      <c r="J5079" s="2">
        <f t="shared" si="2"/>
        <v>178.56</v>
      </c>
      <c r="K5079" s="17">
        <f t="shared" si="3"/>
        <v>1</v>
      </c>
      <c r="L5079" s="18"/>
    </row>
    <row r="5080">
      <c r="A5080" s="2">
        <f>IFERROR(__xludf.DUMMYFUNCTION("""COMPUTED_VALUE"""),76422.0)</f>
        <v>76422</v>
      </c>
      <c r="B5080" s="2">
        <f>IFERROR(__xludf.DUMMYFUNCTION("""COMPUTED_VALUE"""),0.0)</f>
        <v>0</v>
      </c>
      <c r="C5080" s="2">
        <f>IFERROR(__xludf.DUMMYFUNCTION("""COMPUTED_VALUE"""),345.0)</f>
        <v>345</v>
      </c>
      <c r="D5080" s="3">
        <f>IFERROR(__xludf.DUMMYFUNCTION("""COMPUTED_VALUE"""),6.0)</f>
        <v>6</v>
      </c>
      <c r="E5080" s="1" t="str">
        <f t="array" ref="E5080">_xlfn.XLOOKUP(A5080,Product!A:A,Product!B:B,"Bulunamadı")</f>
        <v>Arts</v>
      </c>
      <c r="F5080" s="1" t="str">
        <f t="array" ref="F5080">_xlfn.XLOOKUP(A5080,Product!A:A,Product!C:C,"Bulunamadı")</f>
        <v>Graphic Design</v>
      </c>
      <c r="G5080" s="2" t="str">
        <f t="array" ref="G5080">_xlfn.XLOOKUP(A5081,Product!A:A,Product!D:D,"Bulunamadı")</f>
        <v>Northcrest Publishing</v>
      </c>
      <c r="H5080" s="2">
        <f t="array" ref="H5080">_xlfn.XLOOKUP(A5082,Product!A:A,Product!E:E,"Bulunamadı")</f>
        <v>4.59</v>
      </c>
      <c r="I5080" s="2" t="str">
        <f t="shared" si="1"/>
        <v>76422 - Arts - Graphic Design</v>
      </c>
      <c r="J5080" s="2">
        <f t="shared" si="2"/>
        <v>27.54</v>
      </c>
      <c r="K5080" s="17">
        <f t="shared" si="3"/>
        <v>1</v>
      </c>
      <c r="L5080" s="18"/>
    </row>
    <row r="5081">
      <c r="A5081" s="2">
        <f>IFERROR(__xludf.DUMMYFUNCTION("""COMPUTED_VALUE"""),159201.0)</f>
        <v>159201</v>
      </c>
      <c r="B5081" s="2">
        <f>IFERROR(__xludf.DUMMYFUNCTION("""COMPUTED_VALUE"""),0.0)</f>
        <v>0</v>
      </c>
      <c r="C5081" s="2">
        <f>IFERROR(__xludf.DUMMYFUNCTION("""COMPUTED_VALUE"""),174.0)</f>
        <v>174</v>
      </c>
      <c r="D5081" s="3">
        <f>IFERROR(__xludf.DUMMYFUNCTION("""COMPUTED_VALUE"""),61.0)</f>
        <v>61</v>
      </c>
      <c r="E5081" s="1" t="str">
        <f t="array" ref="E5081">_xlfn.XLOOKUP(A5081,Product!A:A,Product!B:B,"Bulunamadı")</f>
        <v>Arts</v>
      </c>
      <c r="F5081" s="1" t="str">
        <f t="array" ref="F5081">_xlfn.XLOOKUP(A5081,Product!A:A,Product!C:C,"Bulunamadı")</f>
        <v>Graphic Design</v>
      </c>
      <c r="G5081" s="2" t="str">
        <f t="array" ref="G5081">_xlfn.XLOOKUP(A5082,Product!A:A,Product!D:D,"Bulunamadı")</f>
        <v>Northcrest Publishing</v>
      </c>
      <c r="H5081" s="2">
        <f t="array" ref="H5081">_xlfn.XLOOKUP(A5083,Product!A:A,Product!E:E,"Bulunamadı")</f>
        <v>1.3</v>
      </c>
      <c r="I5081" s="2" t="str">
        <f t="shared" si="1"/>
        <v>159201 - Arts - Graphic Design</v>
      </c>
      <c r="J5081" s="2">
        <f t="shared" si="2"/>
        <v>79.3</v>
      </c>
      <c r="K5081" s="17">
        <f t="shared" si="3"/>
        <v>1</v>
      </c>
      <c r="L5081" s="18"/>
    </row>
    <row r="5082">
      <c r="A5082" s="2">
        <f>IFERROR(__xludf.DUMMYFUNCTION("""COMPUTED_VALUE"""),76421.0)</f>
        <v>76421</v>
      </c>
      <c r="B5082" s="2">
        <f>IFERROR(__xludf.DUMMYFUNCTION("""COMPUTED_VALUE"""),0.0)</f>
        <v>0</v>
      </c>
      <c r="C5082" s="2">
        <f>IFERROR(__xludf.DUMMYFUNCTION("""COMPUTED_VALUE"""),833.0)</f>
        <v>833</v>
      </c>
      <c r="D5082" s="3">
        <f>IFERROR(__xludf.DUMMYFUNCTION("""COMPUTED_VALUE"""),285.0)</f>
        <v>285</v>
      </c>
      <c r="E5082" s="1" t="str">
        <f t="array" ref="E5082">_xlfn.XLOOKUP(A5082,Product!A:A,Product!B:B,"Bulunamadı")</f>
        <v>Arts</v>
      </c>
      <c r="F5082" s="1" t="str">
        <f t="array" ref="F5082">_xlfn.XLOOKUP(A5082,Product!A:A,Product!C:C,"Bulunamadı")</f>
        <v>Graphic Design</v>
      </c>
      <c r="G5082" s="2" t="str">
        <f t="array" ref="G5082">_xlfn.XLOOKUP(A5083,Product!A:A,Product!D:D,"Bulunamadı")</f>
        <v>Northcrest Publishing</v>
      </c>
      <c r="H5082" s="2">
        <f t="array" ref="H5082">_xlfn.XLOOKUP(A5084,Product!A:A,Product!E:E,"Bulunamadı")</f>
        <v>8.78</v>
      </c>
      <c r="I5082" s="2" t="str">
        <f t="shared" si="1"/>
        <v>76421 - Arts - Graphic Design</v>
      </c>
      <c r="J5082" s="2">
        <f t="shared" si="2"/>
        <v>2502.3</v>
      </c>
      <c r="K5082" s="17">
        <f t="shared" si="3"/>
        <v>1</v>
      </c>
      <c r="L5082" s="18"/>
    </row>
    <row r="5083">
      <c r="A5083" s="2">
        <f>IFERROR(__xludf.DUMMYFUNCTION("""COMPUTED_VALUE"""),76424.0)</f>
        <v>76424</v>
      </c>
      <c r="B5083" s="2">
        <f>IFERROR(__xludf.DUMMYFUNCTION("""COMPUTED_VALUE"""),0.0)</f>
        <v>0</v>
      </c>
      <c r="C5083" s="2">
        <f>IFERROR(__xludf.DUMMYFUNCTION("""COMPUTED_VALUE"""),83.0)</f>
        <v>83</v>
      </c>
      <c r="D5083" s="3">
        <f>IFERROR(__xludf.DUMMYFUNCTION("""COMPUTED_VALUE"""),50.0)</f>
        <v>50</v>
      </c>
      <c r="E5083" s="1" t="str">
        <f t="array" ref="E5083">_xlfn.XLOOKUP(A5083,Product!A:A,Product!B:B,"Bulunamadı")</f>
        <v>Arts</v>
      </c>
      <c r="F5083" s="1" t="str">
        <f t="array" ref="F5083">_xlfn.XLOOKUP(A5083,Product!A:A,Product!C:C,"Bulunamadı")</f>
        <v>Graphic Design</v>
      </c>
      <c r="G5083" s="2" t="str">
        <f t="array" ref="G5083">_xlfn.XLOOKUP(A5084,Product!A:A,Product!D:D,"Bulunamadı")</f>
        <v>Northcrest Publishing</v>
      </c>
      <c r="H5083" s="2">
        <f t="array" ref="H5083">_xlfn.XLOOKUP(A5085,Product!A:A,Product!E:E,"Bulunamadı")</f>
        <v>0.88</v>
      </c>
      <c r="I5083" s="2" t="str">
        <f t="shared" si="1"/>
        <v>76424 - Arts - Graphic Design</v>
      </c>
      <c r="J5083" s="2">
        <f t="shared" si="2"/>
        <v>44</v>
      </c>
      <c r="K5083" s="17">
        <f t="shared" si="3"/>
        <v>1</v>
      </c>
      <c r="L5083" s="18"/>
    </row>
    <row r="5084">
      <c r="A5084" s="2">
        <f>IFERROR(__xludf.DUMMYFUNCTION("""COMPUTED_VALUE"""),90766.0)</f>
        <v>90766</v>
      </c>
      <c r="B5084" s="2">
        <f>IFERROR(__xludf.DUMMYFUNCTION("""COMPUTED_VALUE"""),1.0)</f>
        <v>1</v>
      </c>
      <c r="C5084" s="2">
        <f>IFERROR(__xludf.DUMMYFUNCTION("""COMPUTED_VALUE"""),616.0)</f>
        <v>616</v>
      </c>
      <c r="D5084" s="3">
        <f>IFERROR(__xludf.DUMMYFUNCTION("""COMPUTED_VALUE"""),224.0)</f>
        <v>224</v>
      </c>
      <c r="E5084" s="1" t="str">
        <f t="array" ref="E5084">_xlfn.XLOOKUP(A5084,Product!A:A,Product!B:B,"Bulunamadı")</f>
        <v>Arts</v>
      </c>
      <c r="F5084" s="1" t="str">
        <f t="array" ref="F5084">_xlfn.XLOOKUP(A5084,Product!A:A,Product!C:C,"Bulunamadı")</f>
        <v>Graphic Design</v>
      </c>
      <c r="G5084" s="2" t="str">
        <f t="array" ref="G5084">_xlfn.XLOOKUP(A5085,Product!A:A,Product!D:D,"Bulunamadı")</f>
        <v>Northcrest Publishing</v>
      </c>
      <c r="H5084" s="2">
        <f t="array" ref="H5084">_xlfn.XLOOKUP(A5086,Product!A:A,Product!E:E,"Bulunamadı")</f>
        <v>1.79</v>
      </c>
      <c r="I5084" s="2" t="str">
        <f t="shared" si="1"/>
        <v>90766 - Arts - Graphic Design</v>
      </c>
      <c r="J5084" s="2">
        <f t="shared" si="2"/>
        <v>400.96</v>
      </c>
      <c r="K5084" s="17">
        <f t="shared" si="3"/>
        <v>1</v>
      </c>
      <c r="L5084" s="18"/>
    </row>
    <row r="5085">
      <c r="A5085" s="2">
        <f>IFERROR(__xludf.DUMMYFUNCTION("""COMPUTED_VALUE"""),5538.0)</f>
        <v>5538</v>
      </c>
      <c r="B5085" s="2">
        <f>IFERROR(__xludf.DUMMYFUNCTION("""COMPUTED_VALUE"""),1.0)</f>
        <v>1</v>
      </c>
      <c r="C5085" s="2">
        <f>IFERROR(__xludf.DUMMYFUNCTION("""COMPUTED_VALUE"""),288.0)</f>
        <v>288</v>
      </c>
      <c r="D5085" s="3">
        <f>IFERROR(__xludf.DUMMYFUNCTION("""COMPUTED_VALUE"""),282.0)</f>
        <v>282</v>
      </c>
      <c r="E5085" s="1" t="str">
        <f t="array" ref="E5085">_xlfn.XLOOKUP(A5085,Product!A:A,Product!B:B,"Bulunamadı")</f>
        <v>Arts</v>
      </c>
      <c r="F5085" s="1" t="str">
        <f t="array" ref="F5085">_xlfn.XLOOKUP(A5085,Product!A:A,Product!C:C,"Bulunamadı")</f>
        <v>Graphic Design</v>
      </c>
      <c r="G5085" s="2" t="str">
        <f t="array" ref="G5085">_xlfn.XLOOKUP(A5086,Product!A:A,Product!D:D,"Bulunamadı")</f>
        <v>Northcrest Publishing</v>
      </c>
      <c r="H5085" s="2">
        <f t="array" ref="H5085">_xlfn.XLOOKUP(A5087,Product!A:A,Product!E:E,"Bulunamadı")</f>
        <v>10.92</v>
      </c>
      <c r="I5085" s="2" t="str">
        <f t="shared" si="1"/>
        <v>5538 - Arts - Graphic Design</v>
      </c>
      <c r="J5085" s="2">
        <f t="shared" si="2"/>
        <v>3079.44</v>
      </c>
      <c r="K5085" s="17">
        <f t="shared" si="3"/>
        <v>1</v>
      </c>
      <c r="L5085" s="18"/>
    </row>
    <row r="5086">
      <c r="A5086" s="2">
        <f>IFERROR(__xludf.DUMMYFUNCTION("""COMPUTED_VALUE"""),68371.0)</f>
        <v>68371</v>
      </c>
      <c r="B5086" s="2">
        <f>IFERROR(__xludf.DUMMYFUNCTION("""COMPUTED_VALUE"""),0.0)</f>
        <v>0</v>
      </c>
      <c r="C5086" s="2">
        <f>IFERROR(__xludf.DUMMYFUNCTION("""COMPUTED_VALUE"""),593.0)</f>
        <v>593</v>
      </c>
      <c r="D5086" s="3">
        <f>IFERROR(__xludf.DUMMYFUNCTION("""COMPUTED_VALUE"""),299.0)</f>
        <v>299</v>
      </c>
      <c r="E5086" s="1" t="str">
        <f t="array" ref="E5086">_xlfn.XLOOKUP(A5086,Product!A:A,Product!B:B,"Bulunamadı")</f>
        <v>Arts</v>
      </c>
      <c r="F5086" s="1" t="str">
        <f t="array" ref="F5086">_xlfn.XLOOKUP(A5086,Product!A:A,Product!C:C,"Bulunamadı")</f>
        <v>Graphic Design</v>
      </c>
      <c r="G5086" s="2" t="str">
        <f t="array" ref="G5086">_xlfn.XLOOKUP(A5087,Product!A:A,Product!D:D,"Bulunamadı")</f>
        <v>Northcrest Publishing</v>
      </c>
      <c r="H5086" s="2">
        <f t="array" ref="H5086">_xlfn.XLOOKUP(A5088,Product!A:A,Product!E:E,"Bulunamadı")</f>
        <v>1.98</v>
      </c>
      <c r="I5086" s="2" t="str">
        <f t="shared" si="1"/>
        <v>68371 - Arts - Graphic Design</v>
      </c>
      <c r="J5086" s="2">
        <f t="shared" si="2"/>
        <v>592.02</v>
      </c>
      <c r="K5086" s="17">
        <f t="shared" si="3"/>
        <v>1</v>
      </c>
      <c r="L5086" s="18"/>
    </row>
    <row r="5087">
      <c r="A5087" s="2">
        <f>IFERROR(__xludf.DUMMYFUNCTION("""COMPUTED_VALUE"""),90808.0)</f>
        <v>90808</v>
      </c>
      <c r="B5087" s="2">
        <f>IFERROR(__xludf.DUMMYFUNCTION("""COMPUTED_VALUE"""),0.0)</f>
        <v>0</v>
      </c>
      <c r="C5087" s="2">
        <f>IFERROR(__xludf.DUMMYFUNCTION("""COMPUTED_VALUE"""),74.0)</f>
        <v>74</v>
      </c>
      <c r="D5087" s="3">
        <f>IFERROR(__xludf.DUMMYFUNCTION("""COMPUTED_VALUE"""),59.0)</f>
        <v>59</v>
      </c>
      <c r="E5087" s="1" t="str">
        <f t="array" ref="E5087">_xlfn.XLOOKUP(A5087,Product!A:A,Product!B:B,"Bulunamadı")</f>
        <v>Arts</v>
      </c>
      <c r="F5087" s="1" t="str">
        <f t="array" ref="F5087">_xlfn.XLOOKUP(A5087,Product!A:A,Product!C:C,"Bulunamadı")</f>
        <v>Graphic Design</v>
      </c>
      <c r="G5087" s="2" t="str">
        <f t="array" ref="G5087">_xlfn.XLOOKUP(A5088,Product!A:A,Product!D:D,"Bulunamadı")</f>
        <v>Northcrest Publishing</v>
      </c>
      <c r="H5087" s="2">
        <f t="array" ref="H5087">_xlfn.XLOOKUP(A5089,Product!A:A,Product!E:E,"Bulunamadı")</f>
        <v>0.74</v>
      </c>
      <c r="I5087" s="2" t="str">
        <f t="shared" si="1"/>
        <v>90808 - Arts - Graphic Design</v>
      </c>
      <c r="J5087" s="2">
        <f t="shared" si="2"/>
        <v>43.66</v>
      </c>
      <c r="K5087" s="17">
        <f t="shared" si="3"/>
        <v>1</v>
      </c>
      <c r="L5087" s="18"/>
    </row>
    <row r="5088">
      <c r="A5088" s="2">
        <f>IFERROR(__xludf.DUMMYFUNCTION("""COMPUTED_VALUE"""),5543.0)</f>
        <v>5543</v>
      </c>
      <c r="B5088" s="2">
        <f>IFERROR(__xludf.DUMMYFUNCTION("""COMPUTED_VALUE"""),1.0)</f>
        <v>1</v>
      </c>
      <c r="C5088" s="2">
        <f>IFERROR(__xludf.DUMMYFUNCTION("""COMPUTED_VALUE"""),305.0)</f>
        <v>305</v>
      </c>
      <c r="D5088" s="3">
        <f>IFERROR(__xludf.DUMMYFUNCTION("""COMPUTED_VALUE"""),216.0)</f>
        <v>216</v>
      </c>
      <c r="E5088" s="1" t="str">
        <f t="array" ref="E5088">_xlfn.XLOOKUP(A5088,Product!A:A,Product!B:B,"Bulunamadı")</f>
        <v>Arts</v>
      </c>
      <c r="F5088" s="1" t="str">
        <f t="array" ref="F5088">_xlfn.XLOOKUP(A5088,Product!A:A,Product!C:C,"Bulunamadı")</f>
        <v>Graphic Design</v>
      </c>
      <c r="G5088" s="2" t="str">
        <f t="array" ref="G5088">_xlfn.XLOOKUP(A5089,Product!A:A,Product!D:D,"Bulunamadı")</f>
        <v>Northcrest Publishing</v>
      </c>
      <c r="H5088" s="2">
        <f t="array" ref="H5088">_xlfn.XLOOKUP(A5090,Product!A:A,Product!E:E,"Bulunamadı")</f>
        <v>1.15</v>
      </c>
      <c r="I5088" s="2" t="str">
        <f t="shared" si="1"/>
        <v>5543 - Arts - Graphic Design</v>
      </c>
      <c r="J5088" s="2">
        <f t="shared" si="2"/>
        <v>248.4</v>
      </c>
      <c r="K5088" s="17">
        <f t="shared" si="3"/>
        <v>1</v>
      </c>
      <c r="L5088" s="18"/>
    </row>
    <row r="5089">
      <c r="A5089" s="2">
        <f>IFERROR(__xludf.DUMMYFUNCTION("""COMPUTED_VALUE"""),76420.0)</f>
        <v>76420</v>
      </c>
      <c r="B5089" s="2">
        <f>IFERROR(__xludf.DUMMYFUNCTION("""COMPUTED_VALUE"""),0.0)</f>
        <v>0</v>
      </c>
      <c r="C5089" s="2">
        <f>IFERROR(__xludf.DUMMYFUNCTION("""COMPUTED_VALUE"""),667.0)</f>
        <v>667</v>
      </c>
      <c r="D5089" s="3">
        <f>IFERROR(__xludf.DUMMYFUNCTION("""COMPUTED_VALUE"""),168.0)</f>
        <v>168</v>
      </c>
      <c r="E5089" s="1" t="str">
        <f t="array" ref="E5089">_xlfn.XLOOKUP(A5089,Product!A:A,Product!B:B,"Bulunamadı")</f>
        <v>Arts</v>
      </c>
      <c r="F5089" s="1" t="str">
        <f t="array" ref="F5089">_xlfn.XLOOKUP(A5089,Product!A:A,Product!C:C,"Bulunamadı")</f>
        <v>Graphic Design</v>
      </c>
      <c r="G5089" s="2" t="str">
        <f t="array" ref="G5089">_xlfn.XLOOKUP(A5090,Product!A:A,Product!D:D,"Bulunamadı")</f>
        <v>Northcrest Publishing</v>
      </c>
      <c r="H5089" s="2">
        <f t="array" ref="H5089">_xlfn.XLOOKUP(A5091,Product!A:A,Product!E:E,"Bulunamadı")</f>
        <v>1.18</v>
      </c>
      <c r="I5089" s="2" t="str">
        <f t="shared" si="1"/>
        <v>76420 - Arts - Graphic Design</v>
      </c>
      <c r="J5089" s="2">
        <f t="shared" si="2"/>
        <v>198.24</v>
      </c>
      <c r="K5089" s="17">
        <f t="shared" si="3"/>
        <v>1</v>
      </c>
      <c r="L5089" s="18"/>
    </row>
    <row r="5090">
      <c r="A5090" s="2">
        <f>IFERROR(__xludf.DUMMYFUNCTION("""COMPUTED_VALUE"""),68364.0)</f>
        <v>68364</v>
      </c>
      <c r="B5090" s="2">
        <f>IFERROR(__xludf.DUMMYFUNCTION("""COMPUTED_VALUE"""),1.0)</f>
        <v>1</v>
      </c>
      <c r="C5090" s="2">
        <f>IFERROR(__xludf.DUMMYFUNCTION("""COMPUTED_VALUE"""),660.0)</f>
        <v>660</v>
      </c>
      <c r="D5090" s="3">
        <f>IFERROR(__xludf.DUMMYFUNCTION("""COMPUTED_VALUE"""),34.0)</f>
        <v>34</v>
      </c>
      <c r="E5090" s="1" t="str">
        <f t="array" ref="E5090">_xlfn.XLOOKUP(A5090,Product!A:A,Product!B:B,"Bulunamadı")</f>
        <v>Arts</v>
      </c>
      <c r="F5090" s="1" t="str">
        <f t="array" ref="F5090">_xlfn.XLOOKUP(A5090,Product!A:A,Product!C:C,"Bulunamadı")</f>
        <v>Graphic Design</v>
      </c>
      <c r="G5090" s="2" t="str">
        <f t="array" ref="G5090">_xlfn.XLOOKUP(A5091,Product!A:A,Product!D:D,"Bulunamadı")</f>
        <v>Northcrest Publishing</v>
      </c>
      <c r="H5090" s="2">
        <f t="array" ref="H5090">_xlfn.XLOOKUP(A5092,Product!A:A,Product!E:E,"Bulunamadı")</f>
        <v>1.11</v>
      </c>
      <c r="I5090" s="2" t="str">
        <f t="shared" si="1"/>
        <v>68364 - Arts - Graphic Design</v>
      </c>
      <c r="J5090" s="2">
        <f t="shared" si="2"/>
        <v>37.74</v>
      </c>
      <c r="K5090" s="17">
        <f t="shared" si="3"/>
        <v>1</v>
      </c>
      <c r="L5090" s="18"/>
    </row>
    <row r="5091">
      <c r="A5091" s="2">
        <f>IFERROR(__xludf.DUMMYFUNCTION("""COMPUTED_VALUE"""),5541.0)</f>
        <v>5541</v>
      </c>
      <c r="B5091" s="2">
        <f>IFERROR(__xludf.DUMMYFUNCTION("""COMPUTED_VALUE"""),0.0)</f>
        <v>0</v>
      </c>
      <c r="C5091" s="2">
        <f>IFERROR(__xludf.DUMMYFUNCTION("""COMPUTED_VALUE"""),225.0)</f>
        <v>225</v>
      </c>
      <c r="D5091" s="3">
        <f>IFERROR(__xludf.DUMMYFUNCTION("""COMPUTED_VALUE"""),33.0)</f>
        <v>33</v>
      </c>
      <c r="E5091" s="1" t="str">
        <f t="array" ref="E5091">_xlfn.XLOOKUP(A5091,Product!A:A,Product!B:B,"Bulunamadı")</f>
        <v>Arts</v>
      </c>
      <c r="F5091" s="1" t="str">
        <f t="array" ref="F5091">_xlfn.XLOOKUP(A5091,Product!A:A,Product!C:C,"Bulunamadı")</f>
        <v>Graphic Design</v>
      </c>
      <c r="G5091" s="2" t="str">
        <f t="array" ref="G5091">_xlfn.XLOOKUP(A5092,Product!A:A,Product!D:D,"Bulunamadı")</f>
        <v>Northcrest Publishing</v>
      </c>
      <c r="H5091" s="2">
        <f t="array" ref="H5091">_xlfn.XLOOKUP(A5093,Product!A:A,Product!E:E,"Bulunamadı")</f>
        <v>0.87</v>
      </c>
      <c r="I5091" s="2" t="str">
        <f t="shared" si="1"/>
        <v>5541 - Arts - Graphic Design</v>
      </c>
      <c r="J5091" s="2">
        <f t="shared" si="2"/>
        <v>28.71</v>
      </c>
      <c r="K5091" s="17">
        <f t="shared" si="3"/>
        <v>1</v>
      </c>
      <c r="L5091" s="18"/>
    </row>
    <row r="5092">
      <c r="A5092" s="2">
        <f>IFERROR(__xludf.DUMMYFUNCTION("""COMPUTED_VALUE"""),5544.0)</f>
        <v>5544</v>
      </c>
      <c r="B5092" s="2">
        <f>IFERROR(__xludf.DUMMYFUNCTION("""COMPUTED_VALUE"""),0.0)</f>
        <v>0</v>
      </c>
      <c r="C5092" s="2">
        <f>IFERROR(__xludf.DUMMYFUNCTION("""COMPUTED_VALUE"""),790.0)</f>
        <v>790</v>
      </c>
      <c r="D5092" s="3">
        <f>IFERROR(__xludf.DUMMYFUNCTION("""COMPUTED_VALUE"""),181.0)</f>
        <v>181</v>
      </c>
      <c r="E5092" s="1" t="str">
        <f t="array" ref="E5092">_xlfn.XLOOKUP(A5092,Product!A:A,Product!B:B,"Bulunamadı")</f>
        <v>Arts</v>
      </c>
      <c r="F5092" s="1" t="str">
        <f t="array" ref="F5092">_xlfn.XLOOKUP(A5092,Product!A:A,Product!C:C,"Bulunamadı")</f>
        <v>Graphic Design</v>
      </c>
      <c r="G5092" s="2" t="str">
        <f t="array" ref="G5092">_xlfn.XLOOKUP(A5093,Product!A:A,Product!D:D,"Bulunamadı")</f>
        <v>Northcrest Publishing</v>
      </c>
      <c r="H5092" s="2">
        <f t="array" ref="H5092">_xlfn.XLOOKUP(A5094,Product!A:A,Product!E:E,"Bulunamadı")</f>
        <v>7.07</v>
      </c>
      <c r="I5092" s="2" t="str">
        <f t="shared" si="1"/>
        <v>5544 - Arts - Graphic Design</v>
      </c>
      <c r="J5092" s="2">
        <f t="shared" si="2"/>
        <v>1279.67</v>
      </c>
      <c r="K5092" s="17">
        <f t="shared" si="3"/>
        <v>1</v>
      </c>
      <c r="L5092" s="18"/>
    </row>
    <row r="5093">
      <c r="A5093" s="2">
        <f>IFERROR(__xludf.DUMMYFUNCTION("""COMPUTED_VALUE"""),122257.0)</f>
        <v>122257</v>
      </c>
      <c r="B5093" s="2">
        <f>IFERROR(__xludf.DUMMYFUNCTION("""COMPUTED_VALUE"""),1.0)</f>
        <v>1</v>
      </c>
      <c r="C5093" s="2">
        <f>IFERROR(__xludf.DUMMYFUNCTION("""COMPUTED_VALUE"""),778.0)</f>
        <v>778</v>
      </c>
      <c r="D5093" s="3">
        <f>IFERROR(__xludf.DUMMYFUNCTION("""COMPUTED_VALUE"""),431.0)</f>
        <v>431</v>
      </c>
      <c r="E5093" s="1" t="str">
        <f t="array" ref="E5093">_xlfn.XLOOKUP(A5093,Product!A:A,Product!B:B,"Bulunamadı")</f>
        <v>Arts</v>
      </c>
      <c r="F5093" s="1" t="str">
        <f t="array" ref="F5093">_xlfn.XLOOKUP(A5093,Product!A:A,Product!C:C,"Bulunamadı")</f>
        <v>Graphic Design</v>
      </c>
      <c r="G5093" s="2" t="str">
        <f t="array" ref="G5093">_xlfn.XLOOKUP(A5094,Product!A:A,Product!D:D,"Bulunamadı")</f>
        <v>Northcrest Publishing</v>
      </c>
      <c r="H5093" s="2">
        <f t="array" ref="H5093">_xlfn.XLOOKUP(A5095,Product!A:A,Product!E:E,"Bulunamadı")</f>
        <v>1.01</v>
      </c>
      <c r="I5093" s="2" t="str">
        <f t="shared" si="1"/>
        <v>122257 - Arts - Graphic Design</v>
      </c>
      <c r="J5093" s="2">
        <f t="shared" si="2"/>
        <v>435.31</v>
      </c>
      <c r="K5093" s="17">
        <f t="shared" si="3"/>
        <v>1</v>
      </c>
      <c r="L5093" s="18"/>
    </row>
    <row r="5094">
      <c r="A5094" s="2">
        <f>IFERROR(__xludf.DUMMYFUNCTION("""COMPUTED_VALUE"""),90740.0)</f>
        <v>90740</v>
      </c>
      <c r="B5094" s="2">
        <f>IFERROR(__xludf.DUMMYFUNCTION("""COMPUTED_VALUE"""),0.0)</f>
        <v>0</v>
      </c>
      <c r="C5094" s="2">
        <f>IFERROR(__xludf.DUMMYFUNCTION("""COMPUTED_VALUE"""),363.0)</f>
        <v>363</v>
      </c>
      <c r="D5094" s="3">
        <f>IFERROR(__xludf.DUMMYFUNCTION("""COMPUTED_VALUE"""),164.0)</f>
        <v>164</v>
      </c>
      <c r="E5094" s="1" t="str">
        <f t="array" ref="E5094">_xlfn.XLOOKUP(A5094,Product!A:A,Product!B:B,"Bulunamadı")</f>
        <v>Arts</v>
      </c>
      <c r="F5094" s="1" t="str">
        <f t="array" ref="F5094">_xlfn.XLOOKUP(A5094,Product!A:A,Product!C:C,"Bulunamadı")</f>
        <v>Graphic Design</v>
      </c>
      <c r="G5094" s="2" t="str">
        <f t="array" ref="G5094">_xlfn.XLOOKUP(A5095,Product!A:A,Product!D:D,"Bulunamadı")</f>
        <v>Northcrest Publishing</v>
      </c>
      <c r="H5094" s="2">
        <f t="array" ref="H5094">_xlfn.XLOOKUP(A5096,Product!A:A,Product!E:E,"Bulunamadı")</f>
        <v>2.35</v>
      </c>
      <c r="I5094" s="2" t="str">
        <f t="shared" si="1"/>
        <v>90740 - Arts - Graphic Design</v>
      </c>
      <c r="J5094" s="2">
        <f t="shared" si="2"/>
        <v>385.4</v>
      </c>
      <c r="K5094" s="17">
        <f t="shared" si="3"/>
        <v>1</v>
      </c>
      <c r="L5094" s="18"/>
    </row>
    <row r="5095">
      <c r="A5095" s="2">
        <f>IFERROR(__xludf.DUMMYFUNCTION("""COMPUTED_VALUE"""),48280.0)</f>
        <v>48280</v>
      </c>
      <c r="B5095" s="2">
        <f>IFERROR(__xludf.DUMMYFUNCTION("""COMPUTED_VALUE"""),0.0)</f>
        <v>0</v>
      </c>
      <c r="C5095" s="2">
        <f>IFERROR(__xludf.DUMMYFUNCTION("""COMPUTED_VALUE"""),841.0)</f>
        <v>841</v>
      </c>
      <c r="D5095" s="3">
        <f>IFERROR(__xludf.DUMMYFUNCTION("""COMPUTED_VALUE"""),559.0)</f>
        <v>559</v>
      </c>
      <c r="E5095" s="1" t="str">
        <f t="array" ref="E5095">_xlfn.XLOOKUP(A5095,Product!A:A,Product!B:B,"Bulunamadı")</f>
        <v>Arts</v>
      </c>
      <c r="F5095" s="1" t="str">
        <f t="array" ref="F5095">_xlfn.XLOOKUP(A5095,Product!A:A,Product!C:C,"Bulunamadı")</f>
        <v>Graphic Design</v>
      </c>
      <c r="G5095" s="2" t="str">
        <f t="array" ref="G5095">_xlfn.XLOOKUP(A5096,Product!A:A,Product!D:D,"Bulunamadı")</f>
        <v>Northcrest Publishing</v>
      </c>
      <c r="H5095" s="2">
        <f t="array" ref="H5095">_xlfn.XLOOKUP(A5097,Product!A:A,Product!E:E,"Bulunamadı")</f>
        <v>1.12</v>
      </c>
      <c r="I5095" s="2" t="str">
        <f t="shared" si="1"/>
        <v>48280 - Arts - Graphic Design</v>
      </c>
      <c r="J5095" s="2">
        <f t="shared" si="2"/>
        <v>626.08</v>
      </c>
      <c r="K5095" s="17">
        <f t="shared" si="3"/>
        <v>1</v>
      </c>
      <c r="L5095" s="18"/>
    </row>
    <row r="5096">
      <c r="A5096" s="2">
        <f>IFERROR(__xludf.DUMMYFUNCTION("""COMPUTED_VALUE"""),71191.0)</f>
        <v>71191</v>
      </c>
      <c r="B5096" s="2">
        <f>IFERROR(__xludf.DUMMYFUNCTION("""COMPUTED_VALUE"""),1.0)</f>
        <v>1</v>
      </c>
      <c r="C5096" s="2">
        <f>IFERROR(__xludf.DUMMYFUNCTION("""COMPUTED_VALUE"""),216.0)</f>
        <v>216</v>
      </c>
      <c r="D5096" s="3">
        <f>IFERROR(__xludf.DUMMYFUNCTION("""COMPUTED_VALUE"""),173.0)</f>
        <v>173</v>
      </c>
      <c r="E5096" s="1" t="str">
        <f t="array" ref="E5096">_xlfn.XLOOKUP(A5096,Product!A:A,Product!B:B,"Bulunamadı")</f>
        <v>Arts</v>
      </c>
      <c r="F5096" s="1" t="str">
        <f t="array" ref="F5096">_xlfn.XLOOKUP(A5096,Product!A:A,Product!C:C,"Bulunamadı")</f>
        <v>Graphic Design</v>
      </c>
      <c r="G5096" s="2" t="str">
        <f t="array" ref="G5096">_xlfn.XLOOKUP(A5097,Product!A:A,Product!D:D,"Bulunamadı")</f>
        <v>Northcrest Publishing</v>
      </c>
      <c r="H5096" s="2">
        <f t="array" ref="H5096">_xlfn.XLOOKUP(A5098,Product!A:A,Product!E:E,"Bulunamadı")</f>
        <v>0.63</v>
      </c>
      <c r="I5096" s="2" t="str">
        <f t="shared" si="1"/>
        <v>71191 - Arts - Graphic Design</v>
      </c>
      <c r="J5096" s="2">
        <f t="shared" si="2"/>
        <v>108.99</v>
      </c>
      <c r="K5096" s="17">
        <f t="shared" si="3"/>
        <v>1</v>
      </c>
      <c r="L5096" s="18"/>
    </row>
    <row r="5097">
      <c r="A5097" s="2">
        <f>IFERROR(__xludf.DUMMYFUNCTION("""COMPUTED_VALUE"""),76418.0)</f>
        <v>76418</v>
      </c>
      <c r="B5097" s="2">
        <f>IFERROR(__xludf.DUMMYFUNCTION("""COMPUTED_VALUE"""),1.0)</f>
        <v>1</v>
      </c>
      <c r="C5097" s="2">
        <f>IFERROR(__xludf.DUMMYFUNCTION("""COMPUTED_VALUE"""),390.0)</f>
        <v>390</v>
      </c>
      <c r="D5097" s="3">
        <f>IFERROR(__xludf.DUMMYFUNCTION("""COMPUTED_VALUE"""),331.0)</f>
        <v>331</v>
      </c>
      <c r="E5097" s="1" t="str">
        <f t="array" ref="E5097">_xlfn.XLOOKUP(A5097,Product!A:A,Product!B:B,"Bulunamadı")</f>
        <v>Arts</v>
      </c>
      <c r="F5097" s="1" t="str">
        <f t="array" ref="F5097">_xlfn.XLOOKUP(A5097,Product!A:A,Product!C:C,"Bulunamadı")</f>
        <v>Graphic Design</v>
      </c>
      <c r="G5097" s="2" t="str">
        <f t="array" ref="G5097">_xlfn.XLOOKUP(A5098,Product!A:A,Product!D:D,"Bulunamadı")</f>
        <v>Northcrest Publishing</v>
      </c>
      <c r="H5097" s="2">
        <f t="array" ref="H5097">_xlfn.XLOOKUP(A5099,Product!A:A,Product!E:E,"Bulunamadı")</f>
        <v>1.46</v>
      </c>
      <c r="I5097" s="2" t="str">
        <f t="shared" si="1"/>
        <v>76418 - Arts - Graphic Design</v>
      </c>
      <c r="J5097" s="2">
        <f t="shared" si="2"/>
        <v>483.26</v>
      </c>
      <c r="K5097" s="17">
        <f t="shared" si="3"/>
        <v>1</v>
      </c>
      <c r="L5097" s="18"/>
    </row>
    <row r="5098">
      <c r="A5098" s="2">
        <f>IFERROR(__xludf.DUMMYFUNCTION("""COMPUTED_VALUE"""),87161.0)</f>
        <v>87161</v>
      </c>
      <c r="B5098" s="2">
        <f>IFERROR(__xludf.DUMMYFUNCTION("""COMPUTED_VALUE"""),1.0)</f>
        <v>1</v>
      </c>
      <c r="C5098" s="2">
        <f>IFERROR(__xludf.DUMMYFUNCTION("""COMPUTED_VALUE"""),498.0)</f>
        <v>498</v>
      </c>
      <c r="D5098" s="3">
        <f>IFERROR(__xludf.DUMMYFUNCTION("""COMPUTED_VALUE"""),213.0)</f>
        <v>213</v>
      </c>
      <c r="E5098" s="1" t="str">
        <f t="array" ref="E5098">_xlfn.XLOOKUP(A5098,Product!A:A,Product!B:B,"Bulunamadı")</f>
        <v>Arts</v>
      </c>
      <c r="F5098" s="1" t="str">
        <f t="array" ref="F5098">_xlfn.XLOOKUP(A5098,Product!A:A,Product!C:C,"Bulunamadı")</f>
        <v>Graphic Design</v>
      </c>
      <c r="G5098" s="2" t="str">
        <f t="array" ref="G5098">_xlfn.XLOOKUP(A5099,Product!A:A,Product!D:D,"Bulunamadı")</f>
        <v>Northcrest Publishing</v>
      </c>
      <c r="H5098" s="2">
        <f t="array" ref="H5098">_xlfn.XLOOKUP(A5100,Product!A:A,Product!E:E,"Bulunamadı")</f>
        <v>2.12</v>
      </c>
      <c r="I5098" s="2" t="str">
        <f t="shared" si="1"/>
        <v>87161 - Arts - Graphic Design</v>
      </c>
      <c r="J5098" s="2">
        <f t="shared" si="2"/>
        <v>451.56</v>
      </c>
      <c r="K5098" s="17">
        <f t="shared" si="3"/>
        <v>1</v>
      </c>
      <c r="L5098" s="18"/>
    </row>
    <row r="5099">
      <c r="A5099" s="2">
        <f>IFERROR(__xludf.DUMMYFUNCTION("""COMPUTED_VALUE"""),68323.0)</f>
        <v>68323</v>
      </c>
      <c r="B5099" s="2">
        <f>IFERROR(__xludf.DUMMYFUNCTION("""COMPUTED_VALUE"""),1.0)</f>
        <v>1</v>
      </c>
      <c r="C5099" s="2">
        <f>IFERROR(__xludf.DUMMYFUNCTION("""COMPUTED_VALUE"""),292.0)</f>
        <v>292</v>
      </c>
      <c r="D5099" s="3">
        <f>IFERROR(__xludf.DUMMYFUNCTION("""COMPUTED_VALUE"""),26.0)</f>
        <v>26</v>
      </c>
      <c r="E5099" s="1" t="str">
        <f t="array" ref="E5099">_xlfn.XLOOKUP(A5099,Product!A:A,Product!B:B,"Bulunamadı")</f>
        <v>Arts</v>
      </c>
      <c r="F5099" s="1" t="str">
        <f t="array" ref="F5099">_xlfn.XLOOKUP(A5099,Product!A:A,Product!C:C,"Bulunamadı")</f>
        <v>Graphic Design</v>
      </c>
      <c r="G5099" s="2" t="str">
        <f t="array" ref="G5099">_xlfn.XLOOKUP(A5100,Product!A:A,Product!D:D,"Bulunamadı")</f>
        <v>Northcrest Publishing</v>
      </c>
      <c r="H5099" s="2">
        <f t="array" ref="H5099">_xlfn.XLOOKUP(A5101,Product!A:A,Product!E:E,"Bulunamadı")</f>
        <v>0.74</v>
      </c>
      <c r="I5099" s="2" t="str">
        <f t="shared" si="1"/>
        <v>68323 - Arts - Graphic Design</v>
      </c>
      <c r="J5099" s="2">
        <f t="shared" si="2"/>
        <v>19.24</v>
      </c>
      <c r="K5099" s="17">
        <f t="shared" si="3"/>
        <v>1</v>
      </c>
      <c r="L5099" s="18"/>
    </row>
    <row r="5100">
      <c r="A5100" s="2">
        <f>IFERROR(__xludf.DUMMYFUNCTION("""COMPUTED_VALUE"""),72847.0)</f>
        <v>72847</v>
      </c>
      <c r="B5100" s="2">
        <f>IFERROR(__xludf.DUMMYFUNCTION("""COMPUTED_VALUE"""),0.0)</f>
        <v>0</v>
      </c>
      <c r="C5100" s="2">
        <f>IFERROR(__xludf.DUMMYFUNCTION("""COMPUTED_VALUE"""),847.0)</f>
        <v>847</v>
      </c>
      <c r="D5100" s="3">
        <f>IFERROR(__xludf.DUMMYFUNCTION("""COMPUTED_VALUE"""),692.0)</f>
        <v>692</v>
      </c>
      <c r="E5100" s="1" t="str">
        <f t="array" ref="E5100">_xlfn.XLOOKUP(A5100,Product!A:A,Product!B:B,"Bulunamadı")</f>
        <v>Arts</v>
      </c>
      <c r="F5100" s="1" t="str">
        <f t="array" ref="F5100">_xlfn.XLOOKUP(A5100,Product!A:A,Product!C:C,"Bulunamadı")</f>
        <v>Graphic Design</v>
      </c>
      <c r="G5100" s="2" t="str">
        <f t="array" ref="G5100">_xlfn.XLOOKUP(A5101,Product!A:A,Product!D:D,"Bulunamadı")</f>
        <v>Northcrest Publishing</v>
      </c>
      <c r="H5100" s="2">
        <f t="array" ref="H5100">_xlfn.XLOOKUP(A5102,Product!A:A,Product!E:E,"Bulunamadı")</f>
        <v>1.02</v>
      </c>
      <c r="I5100" s="2" t="str">
        <f t="shared" si="1"/>
        <v>72847 - Arts - Graphic Design</v>
      </c>
      <c r="J5100" s="2">
        <f t="shared" si="2"/>
        <v>705.84</v>
      </c>
      <c r="K5100" s="17">
        <f t="shared" si="3"/>
        <v>1</v>
      </c>
      <c r="L5100" s="18"/>
    </row>
    <row r="5101">
      <c r="A5101" s="2">
        <f>IFERROR(__xludf.DUMMYFUNCTION("""COMPUTED_VALUE"""),90799.0)</f>
        <v>90799</v>
      </c>
      <c r="B5101" s="2">
        <f>IFERROR(__xludf.DUMMYFUNCTION("""COMPUTED_VALUE"""),0.0)</f>
        <v>0</v>
      </c>
      <c r="C5101" s="2">
        <f>IFERROR(__xludf.DUMMYFUNCTION("""COMPUTED_VALUE"""),673.0)</f>
        <v>673</v>
      </c>
      <c r="D5101" s="3">
        <f>IFERROR(__xludf.DUMMYFUNCTION("""COMPUTED_VALUE"""),22.0)</f>
        <v>22</v>
      </c>
      <c r="E5101" s="1" t="str">
        <f t="array" ref="E5101">_xlfn.XLOOKUP(A5101,Product!A:A,Product!B:B,"Bulunamadı")</f>
        <v>Arts</v>
      </c>
      <c r="F5101" s="1" t="str">
        <f t="array" ref="F5101">_xlfn.XLOOKUP(A5101,Product!A:A,Product!C:C,"Bulunamadı")</f>
        <v>Graphic Design</v>
      </c>
      <c r="G5101" s="2" t="str">
        <f t="array" ref="G5101">_xlfn.XLOOKUP(A5102,Product!A:A,Product!D:D,"Bulunamadı")</f>
        <v>Northcrest Publishing</v>
      </c>
      <c r="H5101" s="2">
        <f t="array" ref="H5101">_xlfn.XLOOKUP(A5103,Product!A:A,Product!E:E,"Bulunamadı")</f>
        <v>1.29</v>
      </c>
      <c r="I5101" s="2" t="str">
        <f t="shared" si="1"/>
        <v>90799 - Arts - Graphic Design</v>
      </c>
      <c r="J5101" s="2">
        <f t="shared" si="2"/>
        <v>28.38</v>
      </c>
      <c r="K5101" s="17">
        <f t="shared" si="3"/>
        <v>1</v>
      </c>
      <c r="L5101" s="18"/>
    </row>
    <row r="5102">
      <c r="A5102" s="2">
        <f>IFERROR(__xludf.DUMMYFUNCTION("""COMPUTED_VALUE"""),71194.0)</f>
        <v>71194</v>
      </c>
      <c r="B5102" s="2">
        <f>IFERROR(__xludf.DUMMYFUNCTION("""COMPUTED_VALUE"""),0.0)</f>
        <v>0</v>
      </c>
      <c r="C5102" s="2">
        <f>IFERROR(__xludf.DUMMYFUNCTION("""COMPUTED_VALUE"""),685.0)</f>
        <v>685</v>
      </c>
      <c r="D5102" s="3">
        <f>IFERROR(__xludf.DUMMYFUNCTION("""COMPUTED_VALUE"""),188.0)</f>
        <v>188</v>
      </c>
      <c r="E5102" s="1" t="str">
        <f t="array" ref="E5102">_xlfn.XLOOKUP(A5102,Product!A:A,Product!B:B,"Bulunamadı")</f>
        <v>Arts</v>
      </c>
      <c r="F5102" s="1" t="str">
        <f t="array" ref="F5102">_xlfn.XLOOKUP(A5102,Product!A:A,Product!C:C,"Bulunamadı")</f>
        <v>Graphic Design</v>
      </c>
      <c r="G5102" s="2" t="str">
        <f t="array" ref="G5102">_xlfn.XLOOKUP(A5103,Product!A:A,Product!D:D,"Bulunamadı")</f>
        <v>Northcrest Publishing</v>
      </c>
      <c r="H5102" s="2">
        <f t="array" ref="H5102">_xlfn.XLOOKUP(A5104,Product!A:A,Product!E:E,"Bulunamadı")</f>
        <v>1.94</v>
      </c>
      <c r="I5102" s="2" t="str">
        <f t="shared" si="1"/>
        <v>71194 - Arts - Graphic Design</v>
      </c>
      <c r="J5102" s="2">
        <f t="shared" si="2"/>
        <v>364.72</v>
      </c>
      <c r="K5102" s="17">
        <f t="shared" si="3"/>
        <v>1</v>
      </c>
      <c r="L5102" s="18"/>
    </row>
    <row r="5103">
      <c r="A5103" s="2">
        <f>IFERROR(__xludf.DUMMYFUNCTION("""COMPUTED_VALUE"""),68378.0)</f>
        <v>68378</v>
      </c>
      <c r="B5103" s="2">
        <f>IFERROR(__xludf.DUMMYFUNCTION("""COMPUTED_VALUE"""),1.0)</f>
        <v>1</v>
      </c>
      <c r="C5103" s="2">
        <f>IFERROR(__xludf.DUMMYFUNCTION("""COMPUTED_VALUE"""),901.0)</f>
        <v>901</v>
      </c>
      <c r="D5103" s="3">
        <f>IFERROR(__xludf.DUMMYFUNCTION("""COMPUTED_VALUE"""),587.0)</f>
        <v>587</v>
      </c>
      <c r="E5103" s="1" t="str">
        <f t="array" ref="E5103">_xlfn.XLOOKUP(A5103,Product!A:A,Product!B:B,"Bulunamadı")</f>
        <v>Arts</v>
      </c>
      <c r="F5103" s="1" t="str">
        <f t="array" ref="F5103">_xlfn.XLOOKUP(A5103,Product!A:A,Product!C:C,"Bulunamadı")</f>
        <v>Graphic Design</v>
      </c>
      <c r="G5103" s="2" t="str">
        <f t="array" ref="G5103">_xlfn.XLOOKUP(A5104,Product!A:A,Product!D:D,"Bulunamadı")</f>
        <v>Northcrest Publishing</v>
      </c>
      <c r="H5103" s="2">
        <f t="array" ref="H5103">_xlfn.XLOOKUP(A5105,Product!A:A,Product!E:E,"Bulunamadı")</f>
        <v>1.27</v>
      </c>
      <c r="I5103" s="2" t="str">
        <f t="shared" si="1"/>
        <v>68378 - Arts - Graphic Design</v>
      </c>
      <c r="J5103" s="2">
        <f t="shared" si="2"/>
        <v>745.49</v>
      </c>
      <c r="K5103" s="17">
        <f t="shared" si="3"/>
        <v>1</v>
      </c>
      <c r="L5103" s="18"/>
    </row>
    <row r="5104">
      <c r="A5104" s="2">
        <f>IFERROR(__xludf.DUMMYFUNCTION("""COMPUTED_VALUE"""),76426.0)</f>
        <v>76426</v>
      </c>
      <c r="B5104" s="2">
        <f>IFERROR(__xludf.DUMMYFUNCTION("""COMPUTED_VALUE"""),1.0)</f>
        <v>1</v>
      </c>
      <c r="C5104" s="2">
        <f>IFERROR(__xludf.DUMMYFUNCTION("""COMPUTED_VALUE"""),587.0)</f>
        <v>587</v>
      </c>
      <c r="D5104" s="3">
        <f>IFERROR(__xludf.DUMMYFUNCTION("""COMPUTED_VALUE"""),551.0)</f>
        <v>551</v>
      </c>
      <c r="E5104" s="1" t="str">
        <f t="array" ref="E5104">_xlfn.XLOOKUP(A5104,Product!A:A,Product!B:B,"Bulunamadı")</f>
        <v>Arts</v>
      </c>
      <c r="F5104" s="1" t="str">
        <f t="array" ref="F5104">_xlfn.XLOOKUP(A5104,Product!A:A,Product!C:C,"Bulunamadı")</f>
        <v>Graphic Design</v>
      </c>
      <c r="G5104" s="2" t="str">
        <f t="array" ref="G5104">_xlfn.XLOOKUP(A5105,Product!A:A,Product!D:D,"Bulunamadı")</f>
        <v>Northcrest Publishing</v>
      </c>
      <c r="H5104" s="2">
        <f t="array" ref="H5104">_xlfn.XLOOKUP(A5106,Product!A:A,Product!E:E,"Bulunamadı")</f>
        <v>0.74</v>
      </c>
      <c r="I5104" s="2" t="str">
        <f t="shared" si="1"/>
        <v>76426 - Arts - Graphic Design</v>
      </c>
      <c r="J5104" s="2">
        <f t="shared" si="2"/>
        <v>407.74</v>
      </c>
      <c r="K5104" s="17">
        <f t="shared" si="3"/>
        <v>1</v>
      </c>
      <c r="L5104" s="18"/>
    </row>
    <row r="5105">
      <c r="A5105" s="2">
        <f>IFERROR(__xludf.DUMMYFUNCTION("""COMPUTED_VALUE"""),76413.0)</f>
        <v>76413</v>
      </c>
      <c r="B5105" s="2">
        <f>IFERROR(__xludf.DUMMYFUNCTION("""COMPUTED_VALUE"""),1.0)</f>
        <v>1</v>
      </c>
      <c r="C5105" s="2">
        <f>IFERROR(__xludf.DUMMYFUNCTION("""COMPUTED_VALUE"""),735.0)</f>
        <v>735</v>
      </c>
      <c r="D5105" s="3">
        <f>IFERROR(__xludf.DUMMYFUNCTION("""COMPUTED_VALUE"""),579.0)</f>
        <v>579</v>
      </c>
      <c r="E5105" s="1" t="str">
        <f t="array" ref="E5105">_xlfn.XLOOKUP(A5105,Product!A:A,Product!B:B,"Bulunamadı")</f>
        <v>Arts</v>
      </c>
      <c r="F5105" s="1" t="str">
        <f t="array" ref="F5105">_xlfn.XLOOKUP(A5105,Product!A:A,Product!C:C,"Bulunamadı")</f>
        <v>Graphic Design</v>
      </c>
      <c r="G5105" s="2" t="str">
        <f t="array" ref="G5105">_xlfn.XLOOKUP(A5106,Product!A:A,Product!D:D,"Bulunamadı")</f>
        <v>Northcrest Publishing</v>
      </c>
      <c r="H5105" s="2">
        <f t="array" ref="H5105">_xlfn.XLOOKUP(A5107,Product!A:A,Product!E:E,"Bulunamadı")</f>
        <v>0.91</v>
      </c>
      <c r="I5105" s="2" t="str">
        <f t="shared" si="1"/>
        <v>76413 - Arts - Graphic Design</v>
      </c>
      <c r="J5105" s="2">
        <f t="shared" si="2"/>
        <v>526.89</v>
      </c>
      <c r="K5105" s="17">
        <f t="shared" si="3"/>
        <v>1</v>
      </c>
      <c r="L5105" s="18"/>
    </row>
    <row r="5106">
      <c r="A5106" s="2">
        <f>IFERROR(__xludf.DUMMYFUNCTION("""COMPUTED_VALUE"""),68306.0)</f>
        <v>68306</v>
      </c>
      <c r="B5106" s="2">
        <f>IFERROR(__xludf.DUMMYFUNCTION("""COMPUTED_VALUE"""),1.0)</f>
        <v>1</v>
      </c>
      <c r="C5106" s="2">
        <f>IFERROR(__xludf.DUMMYFUNCTION("""COMPUTED_VALUE"""),-7.0)</f>
        <v>-7</v>
      </c>
      <c r="D5106" s="3">
        <f>IFERROR(__xludf.DUMMYFUNCTION("""COMPUTED_VALUE"""),-2.0)</f>
        <v>-2</v>
      </c>
      <c r="E5106" s="1" t="str">
        <f t="array" ref="E5106">_xlfn.XLOOKUP(A5106,Product!A:A,Product!B:B,"Bulunamadı")</f>
        <v>Arts</v>
      </c>
      <c r="F5106" s="1" t="str">
        <f t="array" ref="F5106">_xlfn.XLOOKUP(A5106,Product!A:A,Product!C:C,"Bulunamadı")</f>
        <v>Graphic Design</v>
      </c>
      <c r="G5106" s="2" t="str">
        <f t="array" ref="G5106">_xlfn.XLOOKUP(A5107,Product!A:A,Product!D:D,"Bulunamadı")</f>
        <v>Northcrest Publishing</v>
      </c>
      <c r="H5106" s="2">
        <f t="array" ref="H5106">_xlfn.XLOOKUP(A5108,Product!A:A,Product!E:E,"Bulunamadı")</f>
        <v>1.42</v>
      </c>
      <c r="I5106" s="2" t="str">
        <f t="shared" si="1"/>
        <v>68306 - Arts - Graphic Design</v>
      </c>
      <c r="J5106" s="2">
        <f t="shared" si="2"/>
        <v>-2.84</v>
      </c>
      <c r="K5106" s="17">
        <f t="shared" si="3"/>
        <v>0</v>
      </c>
      <c r="L5106" s="18"/>
    </row>
    <row r="5107">
      <c r="A5107" s="2">
        <f>IFERROR(__xludf.DUMMYFUNCTION("""COMPUTED_VALUE"""),48283.0)</f>
        <v>48283</v>
      </c>
      <c r="B5107" s="2">
        <f>IFERROR(__xludf.DUMMYFUNCTION("""COMPUTED_VALUE"""),1.0)</f>
        <v>1</v>
      </c>
      <c r="C5107" s="2">
        <f>IFERROR(__xludf.DUMMYFUNCTION("""COMPUTED_VALUE"""),256.0)</f>
        <v>256</v>
      </c>
      <c r="D5107" s="3">
        <f>IFERROR(__xludf.DUMMYFUNCTION("""COMPUTED_VALUE"""),7.0)</f>
        <v>7</v>
      </c>
      <c r="E5107" s="1" t="str">
        <f t="array" ref="E5107">_xlfn.XLOOKUP(A5107,Product!A:A,Product!B:B,"Bulunamadı")</f>
        <v>Arts</v>
      </c>
      <c r="F5107" s="1" t="str">
        <f t="array" ref="F5107">_xlfn.XLOOKUP(A5107,Product!A:A,Product!C:C,"Bulunamadı")</f>
        <v>Graphic Design</v>
      </c>
      <c r="G5107" s="2" t="str">
        <f t="array" ref="G5107">_xlfn.XLOOKUP(A5108,Product!A:A,Product!D:D,"Bulunamadı")</f>
        <v>Northcrest Publishing</v>
      </c>
      <c r="H5107" s="2">
        <f t="array" ref="H5107">_xlfn.XLOOKUP(A5109,Product!A:A,Product!E:E,"Bulunamadı")</f>
        <v>5.05</v>
      </c>
      <c r="I5107" s="2" t="str">
        <f t="shared" si="1"/>
        <v>48283 - Arts - Graphic Design</v>
      </c>
      <c r="J5107" s="2">
        <f t="shared" si="2"/>
        <v>35.35</v>
      </c>
      <c r="K5107" s="17">
        <f t="shared" si="3"/>
        <v>1</v>
      </c>
      <c r="L5107" s="18"/>
    </row>
    <row r="5108">
      <c r="A5108" s="2">
        <f>IFERROR(__xludf.DUMMYFUNCTION("""COMPUTED_VALUE"""),81172.0)</f>
        <v>81172</v>
      </c>
      <c r="B5108" s="2">
        <f>IFERROR(__xludf.DUMMYFUNCTION("""COMPUTED_VALUE"""),1.0)</f>
        <v>1</v>
      </c>
      <c r="C5108" s="2">
        <f>IFERROR(__xludf.DUMMYFUNCTION("""COMPUTED_VALUE"""),580.0)</f>
        <v>580</v>
      </c>
      <c r="D5108" s="3">
        <f>IFERROR(__xludf.DUMMYFUNCTION("""COMPUTED_VALUE"""),121.0)</f>
        <v>121</v>
      </c>
      <c r="E5108" s="1" t="str">
        <f t="array" ref="E5108">_xlfn.XLOOKUP(A5108,Product!A:A,Product!B:B,"Bulunamadı")</f>
        <v>Arts</v>
      </c>
      <c r="F5108" s="1" t="str">
        <f t="array" ref="F5108">_xlfn.XLOOKUP(A5108,Product!A:A,Product!C:C,"Bulunamadı")</f>
        <v>Graphic Design</v>
      </c>
      <c r="G5108" s="2" t="str">
        <f t="array" ref="G5108">_xlfn.XLOOKUP(A5109,Product!A:A,Product!D:D,"Bulunamadı")</f>
        <v>Northcrest Publishing</v>
      </c>
      <c r="H5108" s="2">
        <f t="array" ref="H5108">_xlfn.XLOOKUP(A5110,Product!A:A,Product!E:E,"Bulunamadı")</f>
        <v>2.65</v>
      </c>
      <c r="I5108" s="2" t="str">
        <f t="shared" si="1"/>
        <v>81172 - Arts - Graphic Design</v>
      </c>
      <c r="J5108" s="2">
        <f t="shared" si="2"/>
        <v>320.65</v>
      </c>
      <c r="K5108" s="17">
        <f t="shared" si="3"/>
        <v>1</v>
      </c>
      <c r="L5108" s="18"/>
    </row>
    <row r="5109">
      <c r="A5109" s="2">
        <f>IFERROR(__xludf.DUMMYFUNCTION("""COMPUTED_VALUE"""),68328.0)</f>
        <v>68328</v>
      </c>
      <c r="B5109" s="2">
        <f>IFERROR(__xludf.DUMMYFUNCTION("""COMPUTED_VALUE"""),1.0)</f>
        <v>1</v>
      </c>
      <c r="C5109" s="2">
        <f>IFERROR(__xludf.DUMMYFUNCTION("""COMPUTED_VALUE"""),605.0)</f>
        <v>605</v>
      </c>
      <c r="D5109" s="3">
        <f>IFERROR(__xludf.DUMMYFUNCTION("""COMPUTED_VALUE"""),158.0)</f>
        <v>158</v>
      </c>
      <c r="E5109" s="1" t="str">
        <f t="array" ref="E5109">_xlfn.XLOOKUP(A5109,Product!A:A,Product!B:B,"Bulunamadı")</f>
        <v>Arts</v>
      </c>
      <c r="F5109" s="1" t="str">
        <f t="array" ref="F5109">_xlfn.XLOOKUP(A5109,Product!A:A,Product!C:C,"Bulunamadı")</f>
        <v>Graphic Design</v>
      </c>
      <c r="G5109" s="2" t="str">
        <f t="array" ref="G5109">_xlfn.XLOOKUP(A5110,Product!A:A,Product!D:D,"Bulunamadı")</f>
        <v>Northcrest Publishing</v>
      </c>
      <c r="H5109" s="2">
        <f t="array" ref="H5109">_xlfn.XLOOKUP(A5111,Product!A:A,Product!E:E,"Bulunamadı")</f>
        <v>1.13</v>
      </c>
      <c r="I5109" s="2" t="str">
        <f t="shared" si="1"/>
        <v>68328 - Arts - Graphic Design</v>
      </c>
      <c r="J5109" s="2">
        <f t="shared" si="2"/>
        <v>178.54</v>
      </c>
      <c r="K5109" s="17">
        <f t="shared" si="3"/>
        <v>1</v>
      </c>
      <c r="L5109" s="18"/>
    </row>
    <row r="5110">
      <c r="A5110" s="2">
        <f>IFERROR(__xludf.DUMMYFUNCTION("""COMPUTED_VALUE"""),158667.0)</f>
        <v>158667</v>
      </c>
      <c r="B5110" s="2">
        <f>IFERROR(__xludf.DUMMYFUNCTION("""COMPUTED_VALUE"""),0.0)</f>
        <v>0</v>
      </c>
      <c r="C5110" s="2">
        <f>IFERROR(__xludf.DUMMYFUNCTION("""COMPUTED_VALUE"""),513.0)</f>
        <v>513</v>
      </c>
      <c r="D5110" s="3">
        <f>IFERROR(__xludf.DUMMYFUNCTION("""COMPUTED_VALUE"""),193.0)</f>
        <v>193</v>
      </c>
      <c r="E5110" s="1" t="str">
        <f t="array" ref="E5110">_xlfn.XLOOKUP(A5110,Product!A:A,Product!B:B,"Bulunamadı")</f>
        <v>Arts</v>
      </c>
      <c r="F5110" s="1" t="str">
        <f t="array" ref="F5110">_xlfn.XLOOKUP(A5110,Product!A:A,Product!C:C,"Bulunamadı")</f>
        <v>Graphic Design</v>
      </c>
      <c r="G5110" s="2" t="str">
        <f t="array" ref="G5110">_xlfn.XLOOKUP(A5111,Product!A:A,Product!D:D,"Bulunamadı")</f>
        <v>Northcrest Publishing</v>
      </c>
      <c r="H5110" s="2">
        <f t="array" ref="H5110">_xlfn.XLOOKUP(A5112,Product!A:A,Product!E:E,"Bulunamadı")</f>
        <v>1.4</v>
      </c>
      <c r="I5110" s="2" t="str">
        <f t="shared" si="1"/>
        <v>158667 - Arts - Graphic Design</v>
      </c>
      <c r="J5110" s="2">
        <f t="shared" si="2"/>
        <v>270.2</v>
      </c>
      <c r="K5110" s="17">
        <f t="shared" si="3"/>
        <v>1</v>
      </c>
      <c r="L5110" s="18"/>
    </row>
    <row r="5111">
      <c r="A5111" s="2">
        <f>IFERROR(__xludf.DUMMYFUNCTION("""COMPUTED_VALUE"""),5539.0)</f>
        <v>5539</v>
      </c>
      <c r="B5111" s="2">
        <f>IFERROR(__xludf.DUMMYFUNCTION("""COMPUTED_VALUE"""),1.0)</f>
        <v>1</v>
      </c>
      <c r="C5111" s="2">
        <f>IFERROR(__xludf.DUMMYFUNCTION("""COMPUTED_VALUE"""),180.0)</f>
        <v>180</v>
      </c>
      <c r="D5111" s="3">
        <f>IFERROR(__xludf.DUMMYFUNCTION("""COMPUTED_VALUE"""),73.0)</f>
        <v>73</v>
      </c>
      <c r="E5111" s="1" t="str">
        <f t="array" ref="E5111">_xlfn.XLOOKUP(A5111,Product!A:A,Product!B:B,"Bulunamadı")</f>
        <v>Arts</v>
      </c>
      <c r="F5111" s="1" t="str">
        <f t="array" ref="F5111">_xlfn.XLOOKUP(A5111,Product!A:A,Product!C:C,"Bulunamadı")</f>
        <v>Graphic Design</v>
      </c>
      <c r="G5111" s="2" t="str">
        <f t="array" ref="G5111">_xlfn.XLOOKUP(A5112,Product!A:A,Product!D:D,"Bulunamadı")</f>
        <v>Northcrest Publishing</v>
      </c>
      <c r="H5111" s="2">
        <f t="array" ref="H5111">_xlfn.XLOOKUP(A5113,Product!A:A,Product!E:E,"Bulunamadı")</f>
        <v>1.77</v>
      </c>
      <c r="I5111" s="2" t="str">
        <f t="shared" si="1"/>
        <v>5539 - Arts - Graphic Design</v>
      </c>
      <c r="J5111" s="2">
        <f t="shared" si="2"/>
        <v>129.21</v>
      </c>
      <c r="K5111" s="17">
        <f t="shared" si="3"/>
        <v>1</v>
      </c>
      <c r="L5111" s="18"/>
    </row>
    <row r="5112">
      <c r="A5112" s="2">
        <f>IFERROR(__xludf.DUMMYFUNCTION("""COMPUTED_VALUE"""),68413.0)</f>
        <v>68413</v>
      </c>
      <c r="B5112" s="2">
        <f>IFERROR(__xludf.DUMMYFUNCTION("""COMPUTED_VALUE"""),0.0)</f>
        <v>0</v>
      </c>
      <c r="C5112" s="2">
        <f>IFERROR(__xludf.DUMMYFUNCTION("""COMPUTED_VALUE"""),582.0)</f>
        <v>582</v>
      </c>
      <c r="D5112" s="3">
        <f>IFERROR(__xludf.DUMMYFUNCTION("""COMPUTED_VALUE"""),482.0)</f>
        <v>482</v>
      </c>
      <c r="E5112" s="1" t="str">
        <f t="array" ref="E5112">_xlfn.XLOOKUP(A5112,Product!A:A,Product!B:B,"Bulunamadı")</f>
        <v>Arts</v>
      </c>
      <c r="F5112" s="1" t="str">
        <f t="array" ref="F5112">_xlfn.XLOOKUP(A5112,Product!A:A,Product!C:C,"Bulunamadı")</f>
        <v>Graphic Design</v>
      </c>
      <c r="G5112" s="2" t="str">
        <f t="array" ref="G5112">_xlfn.XLOOKUP(A5113,Product!A:A,Product!D:D,"Bulunamadı")</f>
        <v>Northcrest Publishing</v>
      </c>
      <c r="H5112" s="2">
        <f t="array" ref="H5112">_xlfn.XLOOKUP(A5114,Product!A:A,Product!E:E,"Bulunamadı")</f>
        <v>1.49</v>
      </c>
      <c r="I5112" s="2" t="str">
        <f t="shared" si="1"/>
        <v>68413 - Arts - Graphic Design</v>
      </c>
      <c r="J5112" s="2">
        <f t="shared" si="2"/>
        <v>718.18</v>
      </c>
      <c r="K5112" s="17">
        <f t="shared" si="3"/>
        <v>1</v>
      </c>
      <c r="L5112" s="18"/>
    </row>
    <row r="5113">
      <c r="A5113" s="2">
        <f>IFERROR(__xludf.DUMMYFUNCTION("""COMPUTED_VALUE"""),68345.0)</f>
        <v>68345</v>
      </c>
      <c r="B5113" s="2">
        <f>IFERROR(__xludf.DUMMYFUNCTION("""COMPUTED_VALUE"""),1.0)</f>
        <v>1</v>
      </c>
      <c r="C5113" s="2">
        <f>IFERROR(__xludf.DUMMYFUNCTION("""COMPUTED_VALUE"""),734.0)</f>
        <v>734</v>
      </c>
      <c r="D5113" s="3">
        <f>IFERROR(__xludf.DUMMYFUNCTION("""COMPUTED_VALUE"""),287.0)</f>
        <v>287</v>
      </c>
      <c r="E5113" s="1" t="str">
        <f t="array" ref="E5113">_xlfn.XLOOKUP(A5113,Product!A:A,Product!B:B,"Bulunamadı")</f>
        <v>Arts</v>
      </c>
      <c r="F5113" s="1" t="str">
        <f t="array" ref="F5113">_xlfn.XLOOKUP(A5113,Product!A:A,Product!C:C,"Bulunamadı")</f>
        <v>Graphic Design</v>
      </c>
      <c r="G5113" s="2" t="str">
        <f t="array" ref="G5113">_xlfn.XLOOKUP(A5114,Product!A:A,Product!D:D,"Bulunamadı")</f>
        <v>Northcrest Publishing</v>
      </c>
      <c r="H5113" s="2">
        <f t="array" ref="H5113">_xlfn.XLOOKUP(A5115,Product!A:A,Product!E:E,"Bulunamadı")</f>
        <v>1.64</v>
      </c>
      <c r="I5113" s="2" t="str">
        <f t="shared" si="1"/>
        <v>68345 - Arts - Graphic Design</v>
      </c>
      <c r="J5113" s="2">
        <f t="shared" si="2"/>
        <v>470.68</v>
      </c>
      <c r="K5113" s="17">
        <f t="shared" si="3"/>
        <v>1</v>
      </c>
      <c r="L5113" s="18"/>
    </row>
    <row r="5114">
      <c r="A5114" s="2">
        <f>IFERROR(__xludf.DUMMYFUNCTION("""COMPUTED_VALUE"""),70377.0)</f>
        <v>70377</v>
      </c>
      <c r="B5114" s="2">
        <f>IFERROR(__xludf.DUMMYFUNCTION("""COMPUTED_VALUE"""),1.0)</f>
        <v>1</v>
      </c>
      <c r="C5114" s="2">
        <f>IFERROR(__xludf.DUMMYFUNCTION("""COMPUTED_VALUE"""),574.0)</f>
        <v>574</v>
      </c>
      <c r="D5114" s="3">
        <f>IFERROR(__xludf.DUMMYFUNCTION("""COMPUTED_VALUE"""),241.0)</f>
        <v>241</v>
      </c>
      <c r="E5114" s="1" t="str">
        <f t="array" ref="E5114">_xlfn.XLOOKUP(A5114,Product!A:A,Product!B:B,"Bulunamadı")</f>
        <v>Arts</v>
      </c>
      <c r="F5114" s="1" t="str">
        <f t="array" ref="F5114">_xlfn.XLOOKUP(A5114,Product!A:A,Product!C:C,"Bulunamadı")</f>
        <v>Graphic Design</v>
      </c>
      <c r="G5114" s="2" t="str">
        <f t="array" ref="G5114">_xlfn.XLOOKUP(A5115,Product!A:A,Product!D:D,"Bulunamadı")</f>
        <v>Northcrest Publishing</v>
      </c>
      <c r="H5114" s="2">
        <f t="array" ref="H5114">_xlfn.XLOOKUP(A5116,Product!A:A,Product!E:E,"Bulunamadı")</f>
        <v>1.97</v>
      </c>
      <c r="I5114" s="2" t="str">
        <f t="shared" si="1"/>
        <v>70377 - Arts - Graphic Design</v>
      </c>
      <c r="J5114" s="2">
        <f t="shared" si="2"/>
        <v>474.77</v>
      </c>
      <c r="K5114" s="17">
        <f t="shared" si="3"/>
        <v>1</v>
      </c>
      <c r="L5114" s="18"/>
    </row>
    <row r="5115">
      <c r="A5115" s="2">
        <f>IFERROR(__xludf.DUMMYFUNCTION("""COMPUTED_VALUE"""),126547.0)</f>
        <v>126547</v>
      </c>
      <c r="B5115" s="2">
        <f>IFERROR(__xludf.DUMMYFUNCTION("""COMPUTED_VALUE"""),0.0)</f>
        <v>0</v>
      </c>
      <c r="C5115" s="2">
        <f>IFERROR(__xludf.DUMMYFUNCTION("""COMPUTED_VALUE"""),439.0)</f>
        <v>439</v>
      </c>
      <c r="D5115" s="3">
        <f>IFERROR(__xludf.DUMMYFUNCTION("""COMPUTED_VALUE"""),239.0)</f>
        <v>239</v>
      </c>
      <c r="E5115" s="1" t="str">
        <f t="array" ref="E5115">_xlfn.XLOOKUP(A5115,Product!A:A,Product!B:B,"Bulunamadı")</f>
        <v>Arts</v>
      </c>
      <c r="F5115" s="1" t="str">
        <f t="array" ref="F5115">_xlfn.XLOOKUP(A5115,Product!A:A,Product!C:C,"Bulunamadı")</f>
        <v>Graphic Design</v>
      </c>
      <c r="G5115" s="2" t="str">
        <f t="array" ref="G5115">_xlfn.XLOOKUP(A5116,Product!A:A,Product!D:D,"Bulunamadı")</f>
        <v>Northcrest Publishing</v>
      </c>
      <c r="H5115" s="2">
        <f t="array" ref="H5115">_xlfn.XLOOKUP(A5117,Product!A:A,Product!E:E,"Bulunamadı")</f>
        <v>2.33</v>
      </c>
      <c r="I5115" s="2" t="str">
        <f t="shared" si="1"/>
        <v>126547 - Arts - Graphic Design</v>
      </c>
      <c r="J5115" s="2">
        <f t="shared" si="2"/>
        <v>556.87</v>
      </c>
      <c r="K5115" s="17">
        <f t="shared" si="3"/>
        <v>1</v>
      </c>
      <c r="L5115" s="18"/>
    </row>
    <row r="5116">
      <c r="A5116" s="2">
        <f>IFERROR(__xludf.DUMMYFUNCTION("""COMPUTED_VALUE"""),117218.0)</f>
        <v>117218</v>
      </c>
      <c r="B5116" s="2">
        <f>IFERROR(__xludf.DUMMYFUNCTION("""COMPUTED_VALUE"""),0.0)</f>
        <v>0</v>
      </c>
      <c r="C5116" s="2">
        <f>IFERROR(__xludf.DUMMYFUNCTION("""COMPUTED_VALUE"""),415.0)</f>
        <v>415</v>
      </c>
      <c r="D5116" s="3">
        <f>IFERROR(__xludf.DUMMYFUNCTION("""COMPUTED_VALUE"""),263.0)</f>
        <v>263</v>
      </c>
      <c r="E5116" s="1" t="str">
        <f t="array" ref="E5116">_xlfn.XLOOKUP(A5116,Product!A:A,Product!B:B,"Bulunamadı")</f>
        <v>Arts</v>
      </c>
      <c r="F5116" s="1" t="str">
        <f t="array" ref="F5116">_xlfn.XLOOKUP(A5116,Product!A:A,Product!C:C,"Bulunamadı")</f>
        <v>Graphic Design</v>
      </c>
      <c r="G5116" s="2" t="str">
        <f t="array" ref="G5116">_xlfn.XLOOKUP(A5117,Product!A:A,Product!D:D,"Bulunamadı")</f>
        <v>Northcrest Publishing</v>
      </c>
      <c r="H5116" s="2">
        <f t="array" ref="H5116">_xlfn.XLOOKUP(A5118,Product!A:A,Product!E:E,"Bulunamadı")</f>
        <v>3.2</v>
      </c>
      <c r="I5116" s="2" t="str">
        <f t="shared" si="1"/>
        <v>117218 - Arts - Graphic Design</v>
      </c>
      <c r="J5116" s="2">
        <f t="shared" si="2"/>
        <v>841.6</v>
      </c>
      <c r="K5116" s="17">
        <f t="shared" si="3"/>
        <v>1</v>
      </c>
      <c r="L5116" s="18"/>
    </row>
    <row r="5117">
      <c r="A5117" s="2">
        <f>IFERROR(__xludf.DUMMYFUNCTION("""COMPUTED_VALUE"""),158668.0)</f>
        <v>158668</v>
      </c>
      <c r="B5117" s="2">
        <f>IFERROR(__xludf.DUMMYFUNCTION("""COMPUTED_VALUE"""),1.0)</f>
        <v>1</v>
      </c>
      <c r="C5117" s="2">
        <f>IFERROR(__xludf.DUMMYFUNCTION("""COMPUTED_VALUE"""),111.0)</f>
        <v>111</v>
      </c>
      <c r="D5117" s="3">
        <f>IFERROR(__xludf.DUMMYFUNCTION("""COMPUTED_VALUE"""),80.0)</f>
        <v>80</v>
      </c>
      <c r="E5117" s="1" t="str">
        <f t="array" ref="E5117">_xlfn.XLOOKUP(A5117,Product!A:A,Product!B:B,"Bulunamadı")</f>
        <v>Arts</v>
      </c>
      <c r="F5117" s="1" t="str">
        <f t="array" ref="F5117">_xlfn.XLOOKUP(A5117,Product!A:A,Product!C:C,"Bulunamadı")</f>
        <v>Graphic Design</v>
      </c>
      <c r="G5117" s="2" t="str">
        <f t="array" ref="G5117">_xlfn.XLOOKUP(A5118,Product!A:A,Product!D:D,"Bulunamadı")</f>
        <v>Harborcrest Publishing</v>
      </c>
      <c r="H5117" s="2">
        <f t="array" ref="H5117">_xlfn.XLOOKUP(A5119,Product!A:A,Product!E:E,"Bulunamadı")</f>
        <v>2.78</v>
      </c>
      <c r="I5117" s="2" t="str">
        <f t="shared" si="1"/>
        <v>158668 - Arts - Graphic Design</v>
      </c>
      <c r="J5117" s="2">
        <f t="shared" si="2"/>
        <v>222.4</v>
      </c>
      <c r="K5117" s="17">
        <f t="shared" si="3"/>
        <v>1</v>
      </c>
      <c r="L5117" s="18"/>
    </row>
    <row r="5118">
      <c r="A5118" s="2">
        <f>IFERROR(__xludf.DUMMYFUNCTION("""COMPUTED_VALUE"""),19314.0)</f>
        <v>19314</v>
      </c>
      <c r="B5118" s="2">
        <f>IFERROR(__xludf.DUMMYFUNCTION("""COMPUTED_VALUE"""),1.0)</f>
        <v>1</v>
      </c>
      <c r="C5118" s="2">
        <f>IFERROR(__xludf.DUMMYFUNCTION("""COMPUTED_VALUE"""),428.0)</f>
        <v>428</v>
      </c>
      <c r="D5118" s="3">
        <f>IFERROR(__xludf.DUMMYFUNCTION("""COMPUTED_VALUE"""),93.0)</f>
        <v>93</v>
      </c>
      <c r="E5118" s="1" t="str">
        <f t="array" ref="E5118">_xlfn.XLOOKUP(A5118,Product!A:A,Product!B:B,"Bulunamadı")</f>
        <v>Arts</v>
      </c>
      <c r="F5118" s="1" t="str">
        <f t="array" ref="F5118">_xlfn.XLOOKUP(A5118,Product!A:A,Product!C:C,"Bulunamadı")</f>
        <v>Graphic Design</v>
      </c>
      <c r="G5118" s="2" t="str">
        <f t="array" ref="G5118">_xlfn.XLOOKUP(A5119,Product!A:A,Product!D:D,"Bulunamadı")</f>
        <v>Harborcrest Publishing</v>
      </c>
      <c r="H5118" s="2">
        <f t="array" ref="H5118">_xlfn.XLOOKUP(A5120,Product!A:A,Product!E:E,"Bulunamadı")</f>
        <v>2.92</v>
      </c>
      <c r="I5118" s="2" t="str">
        <f t="shared" si="1"/>
        <v>19314 - Arts - Graphic Design</v>
      </c>
      <c r="J5118" s="2">
        <f t="shared" si="2"/>
        <v>271.56</v>
      </c>
      <c r="K5118" s="17">
        <f t="shared" si="3"/>
        <v>1</v>
      </c>
      <c r="L5118" s="18"/>
    </row>
    <row r="5119">
      <c r="A5119" s="2">
        <f>IFERROR(__xludf.DUMMYFUNCTION("""COMPUTED_VALUE"""),113867.0)</f>
        <v>113867</v>
      </c>
      <c r="B5119" s="2">
        <f>IFERROR(__xludf.DUMMYFUNCTION("""COMPUTED_VALUE"""),0.0)</f>
        <v>0</v>
      </c>
      <c r="C5119" s="2">
        <f>IFERROR(__xludf.DUMMYFUNCTION("""COMPUTED_VALUE"""),897.0)</f>
        <v>897</v>
      </c>
      <c r="D5119" s="3">
        <f>IFERROR(__xludf.DUMMYFUNCTION("""COMPUTED_VALUE"""),24.0)</f>
        <v>24</v>
      </c>
      <c r="E5119" s="1" t="str">
        <f t="array" ref="E5119">_xlfn.XLOOKUP(A5119,Product!A:A,Product!B:B,"Bulunamadı")</f>
        <v>Arts</v>
      </c>
      <c r="F5119" s="1" t="str">
        <f t="array" ref="F5119">_xlfn.XLOOKUP(A5119,Product!A:A,Product!C:C,"Bulunamadı")</f>
        <v>Graphic Design</v>
      </c>
      <c r="G5119" s="2" t="str">
        <f t="array" ref="G5119">_xlfn.XLOOKUP(A5120,Product!A:A,Product!D:D,"Bulunamadı")</f>
        <v>Harborcrest Publishing</v>
      </c>
      <c r="H5119" s="2">
        <f t="array" ref="H5119">_xlfn.XLOOKUP(A5121,Product!A:A,Product!E:E,"Bulunamadı")</f>
        <v>13.01</v>
      </c>
      <c r="I5119" s="2" t="str">
        <f t="shared" si="1"/>
        <v>113867 - Arts - Graphic Design</v>
      </c>
      <c r="J5119" s="2">
        <f t="shared" si="2"/>
        <v>312.24</v>
      </c>
      <c r="K5119" s="17">
        <f t="shared" si="3"/>
        <v>1</v>
      </c>
      <c r="L5119" s="18"/>
    </row>
    <row r="5120">
      <c r="A5120" s="2">
        <f>IFERROR(__xludf.DUMMYFUNCTION("""COMPUTED_VALUE"""),19294.0)</f>
        <v>19294</v>
      </c>
      <c r="B5120" s="2">
        <f>IFERROR(__xludf.DUMMYFUNCTION("""COMPUTED_VALUE"""),1.0)</f>
        <v>1</v>
      </c>
      <c r="C5120" s="2">
        <f>IFERROR(__xludf.DUMMYFUNCTION("""COMPUTED_VALUE"""),226.0)</f>
        <v>226</v>
      </c>
      <c r="D5120" s="3">
        <f>IFERROR(__xludf.DUMMYFUNCTION("""COMPUTED_VALUE"""),182.0)</f>
        <v>182</v>
      </c>
      <c r="E5120" s="1" t="str">
        <f t="array" ref="E5120">_xlfn.XLOOKUP(A5120,Product!A:A,Product!B:B,"Bulunamadı")</f>
        <v>Arts</v>
      </c>
      <c r="F5120" s="1" t="str">
        <f t="array" ref="F5120">_xlfn.XLOOKUP(A5120,Product!A:A,Product!C:C,"Bulunamadı")</f>
        <v>Graphic Design</v>
      </c>
      <c r="G5120" s="2" t="str">
        <f t="array" ref="G5120">_xlfn.XLOOKUP(A5121,Product!A:A,Product!D:D,"Bulunamadı")</f>
        <v>Harborcrest Publishing</v>
      </c>
      <c r="H5120" s="2">
        <f t="array" ref="H5120">_xlfn.XLOOKUP(A5122,Product!A:A,Product!E:E,"Bulunamadı")</f>
        <v>2.16</v>
      </c>
      <c r="I5120" s="2" t="str">
        <f t="shared" si="1"/>
        <v>19294 - Arts - Graphic Design</v>
      </c>
      <c r="J5120" s="2">
        <f t="shared" si="2"/>
        <v>393.12</v>
      </c>
      <c r="K5120" s="17">
        <f t="shared" si="3"/>
        <v>1</v>
      </c>
      <c r="L5120" s="18"/>
    </row>
    <row r="5121">
      <c r="A5121" s="2">
        <f>IFERROR(__xludf.DUMMYFUNCTION("""COMPUTED_VALUE"""),90961.0)</f>
        <v>90961</v>
      </c>
      <c r="B5121" s="2">
        <f>IFERROR(__xludf.DUMMYFUNCTION("""COMPUTED_VALUE"""),1.0)</f>
        <v>1</v>
      </c>
      <c r="C5121" s="2">
        <f>IFERROR(__xludf.DUMMYFUNCTION("""COMPUTED_VALUE"""),566.0)</f>
        <v>566</v>
      </c>
      <c r="D5121" s="3">
        <f>IFERROR(__xludf.DUMMYFUNCTION("""COMPUTED_VALUE"""),161.0)</f>
        <v>161</v>
      </c>
      <c r="E5121" s="1" t="str">
        <f t="array" ref="E5121">_xlfn.XLOOKUP(A5121,Product!A:A,Product!B:B,"Bulunamadı")</f>
        <v>Arts</v>
      </c>
      <c r="F5121" s="1" t="str">
        <f t="array" ref="F5121">_xlfn.XLOOKUP(A5121,Product!A:A,Product!C:C,"Bulunamadı")</f>
        <v>Graphic Design</v>
      </c>
      <c r="G5121" s="2" t="str">
        <f t="array" ref="G5121">_xlfn.XLOOKUP(A5122,Product!A:A,Product!D:D,"Bulunamadı")</f>
        <v>Harborcrest Publishing</v>
      </c>
      <c r="H5121" s="2">
        <f t="array" ref="H5121">_xlfn.XLOOKUP(A5123,Product!A:A,Product!E:E,"Bulunamadı")</f>
        <v>2.85</v>
      </c>
      <c r="I5121" s="2" t="str">
        <f t="shared" si="1"/>
        <v>90961 - Arts - Graphic Design</v>
      </c>
      <c r="J5121" s="2">
        <f t="shared" si="2"/>
        <v>458.85</v>
      </c>
      <c r="K5121" s="17">
        <f t="shared" si="3"/>
        <v>1</v>
      </c>
      <c r="L5121" s="18"/>
    </row>
    <row r="5122">
      <c r="A5122" s="2">
        <f>IFERROR(__xludf.DUMMYFUNCTION("""COMPUTED_VALUE"""),118480.0)</f>
        <v>118480</v>
      </c>
      <c r="B5122" s="2">
        <f>IFERROR(__xludf.DUMMYFUNCTION("""COMPUTED_VALUE"""),0.0)</f>
        <v>0</v>
      </c>
      <c r="C5122" s="2">
        <f>IFERROR(__xludf.DUMMYFUNCTION("""COMPUTED_VALUE"""),313.0)</f>
        <v>313</v>
      </c>
      <c r="D5122" s="3">
        <f>IFERROR(__xludf.DUMMYFUNCTION("""COMPUTED_VALUE"""),84.0)</f>
        <v>84</v>
      </c>
      <c r="E5122" s="1" t="str">
        <f t="array" ref="E5122">_xlfn.XLOOKUP(A5122,Product!A:A,Product!B:B,"Bulunamadı")</f>
        <v>Arts</v>
      </c>
      <c r="F5122" s="1" t="str">
        <f t="array" ref="F5122">_xlfn.XLOOKUP(A5122,Product!A:A,Product!C:C,"Bulunamadı")</f>
        <v>Graphic Design</v>
      </c>
      <c r="G5122" s="2" t="str">
        <f t="array" ref="G5122">_xlfn.XLOOKUP(A5123,Product!A:A,Product!D:D,"Bulunamadı")</f>
        <v>Harborcrest Publishing</v>
      </c>
      <c r="H5122" s="2">
        <f t="array" ref="H5122">_xlfn.XLOOKUP(A5124,Product!A:A,Product!E:E,"Bulunamadı")</f>
        <v>2.92</v>
      </c>
      <c r="I5122" s="2" t="str">
        <f t="shared" si="1"/>
        <v>118480 - Arts - Graphic Design</v>
      </c>
      <c r="J5122" s="2">
        <f t="shared" si="2"/>
        <v>245.28</v>
      </c>
      <c r="K5122" s="17">
        <f t="shared" si="3"/>
        <v>1</v>
      </c>
      <c r="L5122" s="18"/>
    </row>
    <row r="5123">
      <c r="A5123" s="2">
        <f>IFERROR(__xludf.DUMMYFUNCTION("""COMPUTED_VALUE"""),98337.0)</f>
        <v>98337</v>
      </c>
      <c r="B5123" s="2">
        <f>IFERROR(__xludf.DUMMYFUNCTION("""COMPUTED_VALUE"""),0.0)</f>
        <v>0</v>
      </c>
      <c r="C5123" s="2">
        <f>IFERROR(__xludf.DUMMYFUNCTION("""COMPUTED_VALUE"""),590.0)</f>
        <v>590</v>
      </c>
      <c r="D5123" s="3">
        <f>IFERROR(__xludf.DUMMYFUNCTION("""COMPUTED_VALUE"""),261.0)</f>
        <v>261</v>
      </c>
      <c r="E5123" s="1" t="str">
        <f t="array" ref="E5123">_xlfn.XLOOKUP(A5123,Product!A:A,Product!B:B,"Bulunamadı")</f>
        <v>Arts</v>
      </c>
      <c r="F5123" s="1" t="str">
        <f t="array" ref="F5123">_xlfn.XLOOKUP(A5123,Product!A:A,Product!C:C,"Bulunamadı")</f>
        <v>Graphic Design</v>
      </c>
      <c r="G5123" s="2" t="str">
        <f t="array" ref="G5123">_xlfn.XLOOKUP(A5124,Product!A:A,Product!D:D,"Bulunamadı")</f>
        <v>Harborcrest Publishing</v>
      </c>
      <c r="H5123" s="2">
        <f t="array" ref="H5123">_xlfn.XLOOKUP(A5125,Product!A:A,Product!E:E,"Bulunamadı")</f>
        <v>2.61</v>
      </c>
      <c r="I5123" s="2" t="str">
        <f t="shared" si="1"/>
        <v>98337 - Arts - Graphic Design</v>
      </c>
      <c r="J5123" s="2">
        <f t="shared" si="2"/>
        <v>681.21</v>
      </c>
      <c r="K5123" s="17">
        <f t="shared" si="3"/>
        <v>1</v>
      </c>
      <c r="L5123" s="18"/>
    </row>
    <row r="5124">
      <c r="A5124" s="2">
        <f>IFERROR(__xludf.DUMMYFUNCTION("""COMPUTED_VALUE"""),90955.0)</f>
        <v>90955</v>
      </c>
      <c r="B5124" s="2">
        <f>IFERROR(__xludf.DUMMYFUNCTION("""COMPUTED_VALUE"""),0.0)</f>
        <v>0</v>
      </c>
      <c r="C5124" s="2">
        <f>IFERROR(__xludf.DUMMYFUNCTION("""COMPUTED_VALUE"""),913.0)</f>
        <v>913</v>
      </c>
      <c r="D5124" s="3">
        <f>IFERROR(__xludf.DUMMYFUNCTION("""COMPUTED_VALUE"""),47.0)</f>
        <v>47</v>
      </c>
      <c r="E5124" s="1" t="str">
        <f t="array" ref="E5124">_xlfn.XLOOKUP(A5124,Product!A:A,Product!B:B,"Bulunamadı")</f>
        <v>Arts</v>
      </c>
      <c r="F5124" s="1" t="str">
        <f t="array" ref="F5124">_xlfn.XLOOKUP(A5124,Product!A:A,Product!C:C,"Bulunamadı")</f>
        <v>Graphic Design</v>
      </c>
      <c r="G5124" s="2" t="str">
        <f t="array" ref="G5124">_xlfn.XLOOKUP(A5125,Product!A:A,Product!D:D,"Bulunamadı")</f>
        <v>Harborcrest Publishing</v>
      </c>
      <c r="H5124" s="2">
        <f t="array" ref="H5124">_xlfn.XLOOKUP(A5126,Product!A:A,Product!E:E,"Bulunamadı")</f>
        <v>3.81</v>
      </c>
      <c r="I5124" s="2" t="str">
        <f t="shared" si="1"/>
        <v>90955 - Arts - Graphic Design</v>
      </c>
      <c r="J5124" s="2">
        <f t="shared" si="2"/>
        <v>179.07</v>
      </c>
      <c r="K5124" s="17">
        <f t="shared" si="3"/>
        <v>1</v>
      </c>
      <c r="L5124" s="18"/>
    </row>
    <row r="5125">
      <c r="A5125" s="2">
        <f>IFERROR(__xludf.DUMMYFUNCTION("""COMPUTED_VALUE"""),19303.0)</f>
        <v>19303</v>
      </c>
      <c r="B5125" s="2">
        <f>IFERROR(__xludf.DUMMYFUNCTION("""COMPUTED_VALUE"""),1.0)</f>
        <v>1</v>
      </c>
      <c r="C5125" s="2">
        <f>IFERROR(__xludf.DUMMYFUNCTION("""COMPUTED_VALUE"""),316.0)</f>
        <v>316</v>
      </c>
      <c r="D5125" s="3">
        <f>IFERROR(__xludf.DUMMYFUNCTION("""COMPUTED_VALUE"""),222.0)</f>
        <v>222</v>
      </c>
      <c r="E5125" s="1" t="str">
        <f t="array" ref="E5125">_xlfn.XLOOKUP(A5125,Product!A:A,Product!B:B,"Bulunamadı")</f>
        <v>Arts</v>
      </c>
      <c r="F5125" s="1" t="str">
        <f t="array" ref="F5125">_xlfn.XLOOKUP(A5125,Product!A:A,Product!C:C,"Bulunamadı")</f>
        <v>Graphic Design</v>
      </c>
      <c r="G5125" s="2" t="str">
        <f t="array" ref="G5125">_xlfn.XLOOKUP(A5126,Product!A:A,Product!D:D,"Bulunamadı")</f>
        <v>Harborcrest Publishing</v>
      </c>
      <c r="H5125" s="2">
        <f t="array" ref="H5125">_xlfn.XLOOKUP(A5127,Product!A:A,Product!E:E,"Bulunamadı")</f>
        <v>3.68</v>
      </c>
      <c r="I5125" s="2" t="str">
        <f t="shared" si="1"/>
        <v>19303 - Arts - Graphic Design</v>
      </c>
      <c r="J5125" s="2">
        <f t="shared" si="2"/>
        <v>816.96</v>
      </c>
      <c r="K5125" s="17">
        <f t="shared" si="3"/>
        <v>1</v>
      </c>
      <c r="L5125" s="18"/>
    </row>
    <row r="5126">
      <c r="A5126" s="2">
        <f>IFERROR(__xludf.DUMMYFUNCTION("""COMPUTED_VALUE"""),98338.0)</f>
        <v>98338</v>
      </c>
      <c r="B5126" s="2">
        <f>IFERROR(__xludf.DUMMYFUNCTION("""COMPUTED_VALUE"""),0.0)</f>
        <v>0</v>
      </c>
      <c r="C5126" s="2">
        <f>IFERROR(__xludf.DUMMYFUNCTION("""COMPUTED_VALUE"""),878.0)</f>
        <v>878</v>
      </c>
      <c r="D5126" s="3">
        <f>IFERROR(__xludf.DUMMYFUNCTION("""COMPUTED_VALUE"""),580.0)</f>
        <v>580</v>
      </c>
      <c r="E5126" s="1" t="str">
        <f t="array" ref="E5126">_xlfn.XLOOKUP(A5126,Product!A:A,Product!B:B,"Bulunamadı")</f>
        <v>Arts</v>
      </c>
      <c r="F5126" s="1" t="str">
        <f t="array" ref="F5126">_xlfn.XLOOKUP(A5126,Product!A:A,Product!C:C,"Bulunamadı")</f>
        <v>Graphic Design</v>
      </c>
      <c r="G5126" s="2" t="str">
        <f t="array" ref="G5126">_xlfn.XLOOKUP(A5127,Product!A:A,Product!D:D,"Bulunamadı")</f>
        <v>Harborcrest Publishing</v>
      </c>
      <c r="H5126" s="2">
        <f t="array" ref="H5126">_xlfn.XLOOKUP(A5128,Product!A:A,Product!E:E,"Bulunamadı")</f>
        <v>4.29</v>
      </c>
      <c r="I5126" s="2" t="str">
        <f t="shared" si="1"/>
        <v>98338 - Arts - Graphic Design</v>
      </c>
      <c r="J5126" s="2">
        <f t="shared" si="2"/>
        <v>2488.2</v>
      </c>
      <c r="K5126" s="17">
        <f t="shared" si="3"/>
        <v>1</v>
      </c>
      <c r="L5126" s="18"/>
    </row>
    <row r="5127">
      <c r="A5127" s="2">
        <f>IFERROR(__xludf.DUMMYFUNCTION("""COMPUTED_VALUE"""),98339.0)</f>
        <v>98339</v>
      </c>
      <c r="B5127" s="2">
        <f>IFERROR(__xludf.DUMMYFUNCTION("""COMPUTED_VALUE"""),1.0)</f>
        <v>1</v>
      </c>
      <c r="C5127" s="2">
        <f>IFERROR(__xludf.DUMMYFUNCTION("""COMPUTED_VALUE"""),414.0)</f>
        <v>414</v>
      </c>
      <c r="D5127" s="3">
        <f>IFERROR(__xludf.DUMMYFUNCTION("""COMPUTED_VALUE"""),294.0)</f>
        <v>294</v>
      </c>
      <c r="E5127" s="1" t="str">
        <f t="array" ref="E5127">_xlfn.XLOOKUP(A5127,Product!A:A,Product!B:B,"Bulunamadı")</f>
        <v>Arts</v>
      </c>
      <c r="F5127" s="1" t="str">
        <f t="array" ref="F5127">_xlfn.XLOOKUP(A5127,Product!A:A,Product!C:C,"Bulunamadı")</f>
        <v>Graphic Design</v>
      </c>
      <c r="G5127" s="2" t="str">
        <f t="array" ref="G5127">_xlfn.XLOOKUP(A5128,Product!A:A,Product!D:D,"Bulunamadı")</f>
        <v>Harborcrest Publishing</v>
      </c>
      <c r="H5127" s="2">
        <f t="array" ref="H5127">_xlfn.XLOOKUP(A5129,Product!A:A,Product!E:E,"Bulunamadı")</f>
        <v>2.87</v>
      </c>
      <c r="I5127" s="2" t="str">
        <f t="shared" si="1"/>
        <v>98339 - Arts - Graphic Design</v>
      </c>
      <c r="J5127" s="2">
        <f t="shared" si="2"/>
        <v>843.78</v>
      </c>
      <c r="K5127" s="17">
        <f t="shared" si="3"/>
        <v>1</v>
      </c>
      <c r="L5127" s="18"/>
    </row>
    <row r="5128">
      <c r="A5128" s="2">
        <f>IFERROR(__xludf.DUMMYFUNCTION("""COMPUTED_VALUE"""),19296.0)</f>
        <v>19296</v>
      </c>
      <c r="B5128" s="2">
        <f>IFERROR(__xludf.DUMMYFUNCTION("""COMPUTED_VALUE"""),1.0)</f>
        <v>1</v>
      </c>
      <c r="C5128" s="2">
        <f>IFERROR(__xludf.DUMMYFUNCTION("""COMPUTED_VALUE"""),51.0)</f>
        <v>51</v>
      </c>
      <c r="D5128" s="3">
        <f>IFERROR(__xludf.DUMMYFUNCTION("""COMPUTED_VALUE"""),34.0)</f>
        <v>34</v>
      </c>
      <c r="E5128" s="1" t="str">
        <f t="array" ref="E5128">_xlfn.XLOOKUP(A5128,Product!A:A,Product!B:B,"Bulunamadı")</f>
        <v>Arts</v>
      </c>
      <c r="F5128" s="1" t="str">
        <f t="array" ref="F5128">_xlfn.XLOOKUP(A5128,Product!A:A,Product!C:C,"Bulunamadı")</f>
        <v>Graphic Design</v>
      </c>
      <c r="G5128" s="2" t="str">
        <f t="array" ref="G5128">_xlfn.XLOOKUP(A5129,Product!A:A,Product!D:D,"Bulunamadı")</f>
        <v>Harborcrest Publishing</v>
      </c>
      <c r="H5128" s="2">
        <f t="array" ref="H5128">_xlfn.XLOOKUP(A5130,Product!A:A,Product!E:E,"Bulunamadı")</f>
        <v>2.42</v>
      </c>
      <c r="I5128" s="2" t="str">
        <f t="shared" si="1"/>
        <v>19296 - Arts - Graphic Design</v>
      </c>
      <c r="J5128" s="2">
        <f t="shared" si="2"/>
        <v>82.28</v>
      </c>
      <c r="K5128" s="17">
        <f t="shared" si="3"/>
        <v>1</v>
      </c>
      <c r="L5128" s="18"/>
    </row>
    <row r="5129">
      <c r="A5129" s="2">
        <f>IFERROR(__xludf.DUMMYFUNCTION("""COMPUTED_VALUE"""),19306.0)</f>
        <v>19306</v>
      </c>
      <c r="B5129" s="2">
        <f>IFERROR(__xludf.DUMMYFUNCTION("""COMPUTED_VALUE"""),1.0)</f>
        <v>1</v>
      </c>
      <c r="C5129" s="2">
        <f>IFERROR(__xludf.DUMMYFUNCTION("""COMPUTED_VALUE"""),266.0)</f>
        <v>266</v>
      </c>
      <c r="D5129" s="3">
        <f>IFERROR(__xludf.DUMMYFUNCTION("""COMPUTED_VALUE"""),99.0)</f>
        <v>99</v>
      </c>
      <c r="E5129" s="1" t="str">
        <f t="array" ref="E5129">_xlfn.XLOOKUP(A5129,Product!A:A,Product!B:B,"Bulunamadı")</f>
        <v>Arts</v>
      </c>
      <c r="F5129" s="1" t="str">
        <f t="array" ref="F5129">_xlfn.XLOOKUP(A5129,Product!A:A,Product!C:C,"Bulunamadı")</f>
        <v>Graphic Design</v>
      </c>
      <c r="G5129" s="2" t="str">
        <f t="array" ref="G5129">_xlfn.XLOOKUP(A5130,Product!A:A,Product!D:D,"Bulunamadı")</f>
        <v>Harborcrest Publishing</v>
      </c>
      <c r="H5129" s="2">
        <f t="array" ref="H5129">_xlfn.XLOOKUP(A5131,Product!A:A,Product!E:E,"Bulunamadı")</f>
        <v>3.78</v>
      </c>
      <c r="I5129" s="2" t="str">
        <f t="shared" si="1"/>
        <v>19306 - Arts - Graphic Design</v>
      </c>
      <c r="J5129" s="2">
        <f t="shared" si="2"/>
        <v>374.22</v>
      </c>
      <c r="K5129" s="17">
        <f t="shared" si="3"/>
        <v>1</v>
      </c>
      <c r="L5129" s="18"/>
    </row>
    <row r="5130">
      <c r="A5130" s="2">
        <f>IFERROR(__xludf.DUMMYFUNCTION("""COMPUTED_VALUE"""),90969.0)</f>
        <v>90969</v>
      </c>
      <c r="B5130" s="2">
        <f>IFERROR(__xludf.DUMMYFUNCTION("""COMPUTED_VALUE"""),0.0)</f>
        <v>0</v>
      </c>
      <c r="C5130" s="2">
        <f>IFERROR(__xludf.DUMMYFUNCTION("""COMPUTED_VALUE"""),514.0)</f>
        <v>514</v>
      </c>
      <c r="D5130" s="3">
        <f>IFERROR(__xludf.DUMMYFUNCTION("""COMPUTED_VALUE"""),292.0)</f>
        <v>292</v>
      </c>
      <c r="E5130" s="1" t="str">
        <f t="array" ref="E5130">_xlfn.XLOOKUP(A5130,Product!A:A,Product!B:B,"Bulunamadı")</f>
        <v>Arts</v>
      </c>
      <c r="F5130" s="1" t="str">
        <f t="array" ref="F5130">_xlfn.XLOOKUP(A5130,Product!A:A,Product!C:C,"Bulunamadı")</f>
        <v>Graphic Design</v>
      </c>
      <c r="G5130" s="2" t="str">
        <f t="array" ref="G5130">_xlfn.XLOOKUP(A5131,Product!A:A,Product!D:D,"Bulunamadı")</f>
        <v>Harborcrest Publishing</v>
      </c>
      <c r="H5130" s="2">
        <f t="array" ref="H5130">_xlfn.XLOOKUP(A5132,Product!A:A,Product!E:E,"Bulunamadı")</f>
        <v>2.91</v>
      </c>
      <c r="I5130" s="2" t="str">
        <f t="shared" si="1"/>
        <v>90969 - Arts - Graphic Design</v>
      </c>
      <c r="J5130" s="2">
        <f t="shared" si="2"/>
        <v>849.72</v>
      </c>
      <c r="K5130" s="17">
        <f t="shared" si="3"/>
        <v>1</v>
      </c>
      <c r="L5130" s="18"/>
    </row>
    <row r="5131">
      <c r="A5131" s="2">
        <f>IFERROR(__xludf.DUMMYFUNCTION("""COMPUTED_VALUE"""),19299.0)</f>
        <v>19299</v>
      </c>
      <c r="B5131" s="2">
        <f>IFERROR(__xludf.DUMMYFUNCTION("""COMPUTED_VALUE"""),0.0)</f>
        <v>0</v>
      </c>
      <c r="C5131" s="2">
        <f>IFERROR(__xludf.DUMMYFUNCTION("""COMPUTED_VALUE"""),342.0)</f>
        <v>342</v>
      </c>
      <c r="D5131" s="3">
        <f>IFERROR(__xludf.DUMMYFUNCTION("""COMPUTED_VALUE"""),216.0)</f>
        <v>216</v>
      </c>
      <c r="E5131" s="1" t="str">
        <f t="array" ref="E5131">_xlfn.XLOOKUP(A5131,Product!A:A,Product!B:B,"Bulunamadı")</f>
        <v>Arts</v>
      </c>
      <c r="F5131" s="1" t="str">
        <f t="array" ref="F5131">_xlfn.XLOOKUP(A5131,Product!A:A,Product!C:C,"Bulunamadı")</f>
        <v>Graphic Design</v>
      </c>
      <c r="G5131" s="2" t="str">
        <f t="array" ref="G5131">_xlfn.XLOOKUP(A5132,Product!A:A,Product!D:D,"Bulunamadı")</f>
        <v>Harborcrest Publishing</v>
      </c>
      <c r="H5131" s="2">
        <f t="array" ref="H5131">_xlfn.XLOOKUP(A5133,Product!A:A,Product!E:E,"Bulunamadı")</f>
        <v>4.66</v>
      </c>
      <c r="I5131" s="2" t="str">
        <f t="shared" si="1"/>
        <v>19299 - Arts - Graphic Design</v>
      </c>
      <c r="J5131" s="2">
        <f t="shared" si="2"/>
        <v>1006.56</v>
      </c>
      <c r="K5131" s="17">
        <f t="shared" si="3"/>
        <v>1</v>
      </c>
      <c r="L5131" s="18"/>
    </row>
    <row r="5132">
      <c r="A5132" s="2">
        <f>IFERROR(__xludf.DUMMYFUNCTION("""COMPUTED_VALUE"""),5764.0)</f>
        <v>5764</v>
      </c>
      <c r="B5132" s="2">
        <f>IFERROR(__xludf.DUMMYFUNCTION("""COMPUTED_VALUE"""),1.0)</f>
        <v>1</v>
      </c>
      <c r="C5132" s="2">
        <f>IFERROR(__xludf.DUMMYFUNCTION("""COMPUTED_VALUE"""),494.0)</f>
        <v>494</v>
      </c>
      <c r="D5132" s="3">
        <f>IFERROR(__xludf.DUMMYFUNCTION("""COMPUTED_VALUE"""),235.0)</f>
        <v>235</v>
      </c>
      <c r="E5132" s="1" t="str">
        <f t="array" ref="E5132">_xlfn.XLOOKUP(A5132,Product!A:A,Product!B:B,"Bulunamadı")</f>
        <v>Arts</v>
      </c>
      <c r="F5132" s="1" t="str">
        <f t="array" ref="F5132">_xlfn.XLOOKUP(A5132,Product!A:A,Product!C:C,"Bulunamadı")</f>
        <v>Graphic Design</v>
      </c>
      <c r="G5132" s="2" t="str">
        <f t="array" ref="G5132">_xlfn.XLOOKUP(A5133,Product!A:A,Product!D:D,"Bulunamadı")</f>
        <v>Harborcrest Publishing</v>
      </c>
      <c r="H5132" s="2">
        <f t="array" ref="H5132">_xlfn.XLOOKUP(A5134,Product!A:A,Product!E:E,"Bulunamadı")</f>
        <v>2.73</v>
      </c>
      <c r="I5132" s="2" t="str">
        <f t="shared" si="1"/>
        <v>5764 - Arts - Graphic Design</v>
      </c>
      <c r="J5132" s="2">
        <f t="shared" si="2"/>
        <v>641.55</v>
      </c>
      <c r="K5132" s="17">
        <f t="shared" si="3"/>
        <v>1</v>
      </c>
      <c r="L5132" s="18"/>
    </row>
    <row r="5133">
      <c r="A5133" s="2">
        <f>IFERROR(__xludf.DUMMYFUNCTION("""COMPUTED_VALUE"""),114667.0)</f>
        <v>114667</v>
      </c>
      <c r="B5133" s="2">
        <f>IFERROR(__xludf.DUMMYFUNCTION("""COMPUTED_VALUE"""),0.0)</f>
        <v>0</v>
      </c>
      <c r="C5133" s="2">
        <f>IFERROR(__xludf.DUMMYFUNCTION("""COMPUTED_VALUE"""),386.0)</f>
        <v>386</v>
      </c>
      <c r="D5133" s="3">
        <f>IFERROR(__xludf.DUMMYFUNCTION("""COMPUTED_VALUE"""),290.0)</f>
        <v>290</v>
      </c>
      <c r="E5133" s="1" t="str">
        <f t="array" ref="E5133">_xlfn.XLOOKUP(A5133,Product!A:A,Product!B:B,"Bulunamadı")</f>
        <v>Arts</v>
      </c>
      <c r="F5133" s="1" t="str">
        <f t="array" ref="F5133">_xlfn.XLOOKUP(A5133,Product!A:A,Product!C:C,"Bulunamadı")</f>
        <v>Graphic Design</v>
      </c>
      <c r="G5133" s="2" t="str">
        <f t="array" ref="G5133">_xlfn.XLOOKUP(A5134,Product!A:A,Product!D:D,"Bulunamadı")</f>
        <v>Harborcrest Publishing</v>
      </c>
      <c r="H5133" s="2">
        <f t="array" ref="H5133">_xlfn.XLOOKUP(A5135,Product!A:A,Product!E:E,"Bulunamadı")</f>
        <v>2.88</v>
      </c>
      <c r="I5133" s="2" t="str">
        <f t="shared" si="1"/>
        <v>114667 - Arts - Graphic Design</v>
      </c>
      <c r="J5133" s="2">
        <f t="shared" si="2"/>
        <v>835.2</v>
      </c>
      <c r="K5133" s="17">
        <f t="shared" si="3"/>
        <v>1</v>
      </c>
      <c r="L5133" s="18"/>
    </row>
    <row r="5134">
      <c r="A5134" s="2">
        <f>IFERROR(__xludf.DUMMYFUNCTION("""COMPUTED_VALUE"""),113870.0)</f>
        <v>113870</v>
      </c>
      <c r="B5134" s="2">
        <f>IFERROR(__xludf.DUMMYFUNCTION("""COMPUTED_VALUE"""),1.0)</f>
        <v>1</v>
      </c>
      <c r="C5134" s="2">
        <f>IFERROR(__xludf.DUMMYFUNCTION("""COMPUTED_VALUE"""),578.0)</f>
        <v>578</v>
      </c>
      <c r="D5134" s="3">
        <f>IFERROR(__xludf.DUMMYFUNCTION("""COMPUTED_VALUE"""),368.0)</f>
        <v>368</v>
      </c>
      <c r="E5134" s="1" t="str">
        <f t="array" ref="E5134">_xlfn.XLOOKUP(A5134,Product!A:A,Product!B:B,"Bulunamadı")</f>
        <v>Arts</v>
      </c>
      <c r="F5134" s="1" t="str">
        <f t="array" ref="F5134">_xlfn.XLOOKUP(A5134,Product!A:A,Product!C:C,"Bulunamadı")</f>
        <v>Graphic Design</v>
      </c>
      <c r="G5134" s="2" t="str">
        <f t="array" ref="G5134">_xlfn.XLOOKUP(A5135,Product!A:A,Product!D:D,"Bulunamadı")</f>
        <v>Harborcrest Publishing</v>
      </c>
      <c r="H5134" s="2">
        <f t="array" ref="H5134">_xlfn.XLOOKUP(A5136,Product!A:A,Product!E:E,"Bulunamadı")</f>
        <v>3.23</v>
      </c>
      <c r="I5134" s="2" t="str">
        <f t="shared" si="1"/>
        <v>113870 - Arts - Graphic Design</v>
      </c>
      <c r="J5134" s="2">
        <f t="shared" si="2"/>
        <v>1188.64</v>
      </c>
      <c r="K5134" s="17">
        <f t="shared" si="3"/>
        <v>1</v>
      </c>
      <c r="L5134" s="18"/>
    </row>
    <row r="5135">
      <c r="A5135" s="2">
        <f>IFERROR(__xludf.DUMMYFUNCTION("""COMPUTED_VALUE"""),127918.0)</f>
        <v>127918</v>
      </c>
      <c r="B5135" s="2">
        <f>IFERROR(__xludf.DUMMYFUNCTION("""COMPUTED_VALUE"""),0.0)</f>
        <v>0</v>
      </c>
      <c r="C5135" s="2">
        <f>IFERROR(__xludf.DUMMYFUNCTION("""COMPUTED_VALUE"""),883.0)</f>
        <v>883</v>
      </c>
      <c r="D5135" s="3">
        <f>IFERROR(__xludf.DUMMYFUNCTION("""COMPUTED_VALUE"""),541.0)</f>
        <v>541</v>
      </c>
      <c r="E5135" s="1" t="str">
        <f t="array" ref="E5135">_xlfn.XLOOKUP(A5135,Product!A:A,Product!B:B,"Bulunamadı")</f>
        <v>Arts</v>
      </c>
      <c r="F5135" s="1" t="str">
        <f t="array" ref="F5135">_xlfn.XLOOKUP(A5135,Product!A:A,Product!C:C,"Bulunamadı")</f>
        <v>Graphic Design</v>
      </c>
      <c r="G5135" s="2" t="str">
        <f t="array" ref="G5135">_xlfn.XLOOKUP(A5136,Product!A:A,Product!D:D,"Bulunamadı")</f>
        <v>Harborcrest Publishing</v>
      </c>
      <c r="H5135" s="2">
        <f t="array" ref="H5135">_xlfn.XLOOKUP(A5137,Product!A:A,Product!E:E,"Bulunamadı")</f>
        <v>4.32</v>
      </c>
      <c r="I5135" s="2" t="str">
        <f t="shared" si="1"/>
        <v>127918 - Arts - Graphic Design</v>
      </c>
      <c r="J5135" s="2">
        <f t="shared" si="2"/>
        <v>2337.12</v>
      </c>
      <c r="K5135" s="17">
        <f t="shared" si="3"/>
        <v>1</v>
      </c>
      <c r="L5135" s="18"/>
    </row>
    <row r="5136">
      <c r="A5136" s="2">
        <f>IFERROR(__xludf.DUMMYFUNCTION("""COMPUTED_VALUE"""),127917.0)</f>
        <v>127917</v>
      </c>
      <c r="B5136" s="2">
        <f>IFERROR(__xludf.DUMMYFUNCTION("""COMPUTED_VALUE"""),0.0)</f>
        <v>0</v>
      </c>
      <c r="C5136" s="2">
        <f>IFERROR(__xludf.DUMMYFUNCTION("""COMPUTED_VALUE"""),-9.0)</f>
        <v>-9</v>
      </c>
      <c r="D5136" s="3">
        <f>IFERROR(__xludf.DUMMYFUNCTION("""COMPUTED_VALUE"""),-9.0)</f>
        <v>-9</v>
      </c>
      <c r="E5136" s="1" t="str">
        <f t="array" ref="E5136">_xlfn.XLOOKUP(A5136,Product!A:A,Product!B:B,"Bulunamadı")</f>
        <v>Arts</v>
      </c>
      <c r="F5136" s="1" t="str">
        <f t="array" ref="F5136">_xlfn.XLOOKUP(A5136,Product!A:A,Product!C:C,"Bulunamadı")</f>
        <v>Graphic Design</v>
      </c>
      <c r="G5136" s="2" t="str">
        <f t="array" ref="G5136">_xlfn.XLOOKUP(A5137,Product!A:A,Product!D:D,"Bulunamadı")</f>
        <v>Harborcrest Publishing</v>
      </c>
      <c r="H5136" s="2">
        <f t="array" ref="H5136">_xlfn.XLOOKUP(A5138,Product!A:A,Product!E:E,"Bulunamadı")</f>
        <v>3.7</v>
      </c>
      <c r="I5136" s="2" t="str">
        <f t="shared" si="1"/>
        <v>127917 - Arts - Graphic Design</v>
      </c>
      <c r="J5136" s="2">
        <f t="shared" si="2"/>
        <v>-33.3</v>
      </c>
      <c r="K5136" s="17">
        <f t="shared" si="3"/>
        <v>0</v>
      </c>
      <c r="L5136" s="18"/>
    </row>
    <row r="5137">
      <c r="A5137" s="2">
        <f>IFERROR(__xludf.DUMMYFUNCTION("""COMPUTED_VALUE"""),19297.0)</f>
        <v>19297</v>
      </c>
      <c r="B5137" s="2">
        <f>IFERROR(__xludf.DUMMYFUNCTION("""COMPUTED_VALUE"""),0.0)</f>
        <v>0</v>
      </c>
      <c r="C5137" s="2">
        <f>IFERROR(__xludf.DUMMYFUNCTION("""COMPUTED_VALUE"""),608.0)</f>
        <v>608</v>
      </c>
      <c r="D5137" s="3">
        <f>IFERROR(__xludf.DUMMYFUNCTION("""COMPUTED_VALUE"""),451.0)</f>
        <v>451</v>
      </c>
      <c r="E5137" s="1" t="str">
        <f t="array" ref="E5137">_xlfn.XLOOKUP(A5137,Product!A:A,Product!B:B,"Bulunamadı")</f>
        <v>Arts</v>
      </c>
      <c r="F5137" s="1" t="str">
        <f t="array" ref="F5137">_xlfn.XLOOKUP(A5137,Product!A:A,Product!C:C,"Bulunamadı")</f>
        <v>Graphic Design</v>
      </c>
      <c r="G5137" s="2" t="str">
        <f t="array" ref="G5137">_xlfn.XLOOKUP(A5138,Product!A:A,Product!D:D,"Bulunamadı")</f>
        <v>Harborcrest Publishing</v>
      </c>
      <c r="H5137" s="2">
        <f t="array" ref="H5137">_xlfn.XLOOKUP(A5139,Product!A:A,Product!E:E,"Bulunamadı")</f>
        <v>3.93</v>
      </c>
      <c r="I5137" s="2" t="str">
        <f t="shared" si="1"/>
        <v>19297 - Arts - Graphic Design</v>
      </c>
      <c r="J5137" s="2">
        <f t="shared" si="2"/>
        <v>1772.43</v>
      </c>
      <c r="K5137" s="17">
        <f t="shared" si="3"/>
        <v>1</v>
      </c>
      <c r="L5137" s="18"/>
    </row>
    <row r="5138">
      <c r="A5138" s="2">
        <f>IFERROR(__xludf.DUMMYFUNCTION("""COMPUTED_VALUE"""),19316.0)</f>
        <v>19316</v>
      </c>
      <c r="B5138" s="2">
        <f>IFERROR(__xludf.DUMMYFUNCTION("""COMPUTED_VALUE"""),1.0)</f>
        <v>1</v>
      </c>
      <c r="C5138" s="2">
        <f>IFERROR(__xludf.DUMMYFUNCTION("""COMPUTED_VALUE"""),117.0)</f>
        <v>117</v>
      </c>
      <c r="D5138" s="3">
        <f>IFERROR(__xludf.DUMMYFUNCTION("""COMPUTED_VALUE"""),10.0)</f>
        <v>10</v>
      </c>
      <c r="E5138" s="1" t="str">
        <f t="array" ref="E5138">_xlfn.XLOOKUP(A5138,Product!A:A,Product!B:B,"Bulunamadı")</f>
        <v>Arts</v>
      </c>
      <c r="F5138" s="1" t="str">
        <f t="array" ref="F5138">_xlfn.XLOOKUP(A5138,Product!A:A,Product!C:C,"Bulunamadı")</f>
        <v>Graphic Design</v>
      </c>
      <c r="G5138" s="2" t="str">
        <f t="array" ref="G5138">_xlfn.XLOOKUP(A5139,Product!A:A,Product!D:D,"Bulunamadı")</f>
        <v>Harborcrest Publishing</v>
      </c>
      <c r="H5138" s="2">
        <f t="array" ref="H5138">_xlfn.XLOOKUP(A5140,Product!A:A,Product!E:E,"Bulunamadı")</f>
        <v>3.91</v>
      </c>
      <c r="I5138" s="2" t="str">
        <f t="shared" si="1"/>
        <v>19316 - Arts - Graphic Design</v>
      </c>
      <c r="J5138" s="2">
        <f t="shared" si="2"/>
        <v>39.1</v>
      </c>
      <c r="K5138" s="17">
        <f t="shared" si="3"/>
        <v>1</v>
      </c>
      <c r="L5138" s="18"/>
    </row>
    <row r="5139">
      <c r="A5139" s="2">
        <f>IFERROR(__xludf.DUMMYFUNCTION("""COMPUTED_VALUE"""),118481.0)</f>
        <v>118481</v>
      </c>
      <c r="B5139" s="2">
        <f>IFERROR(__xludf.DUMMYFUNCTION("""COMPUTED_VALUE"""),1.0)</f>
        <v>1</v>
      </c>
      <c r="C5139" s="2">
        <f>IFERROR(__xludf.DUMMYFUNCTION("""COMPUTED_VALUE"""),769.0)</f>
        <v>769</v>
      </c>
      <c r="D5139" s="3">
        <f>IFERROR(__xludf.DUMMYFUNCTION("""COMPUTED_VALUE"""),461.0)</f>
        <v>461</v>
      </c>
      <c r="E5139" s="1" t="str">
        <f t="array" ref="E5139">_xlfn.XLOOKUP(A5139,Product!A:A,Product!B:B,"Bulunamadı")</f>
        <v>Arts</v>
      </c>
      <c r="F5139" s="1" t="str">
        <f t="array" ref="F5139">_xlfn.XLOOKUP(A5139,Product!A:A,Product!C:C,"Bulunamadı")</f>
        <v>Graphic Design</v>
      </c>
      <c r="G5139" s="2" t="str">
        <f t="array" ref="G5139">_xlfn.XLOOKUP(A5140,Product!A:A,Product!D:D,"Bulunamadı")</f>
        <v>Harborcrest Publishing</v>
      </c>
      <c r="H5139" s="2">
        <f t="array" ref="H5139">_xlfn.XLOOKUP(A5141,Product!A:A,Product!E:E,"Bulunamadı")</f>
        <v>4.66</v>
      </c>
      <c r="I5139" s="2" t="str">
        <f t="shared" si="1"/>
        <v>118481 - Arts - Graphic Design</v>
      </c>
      <c r="J5139" s="2">
        <f t="shared" si="2"/>
        <v>2148.26</v>
      </c>
      <c r="K5139" s="17">
        <f t="shared" si="3"/>
        <v>1</v>
      </c>
      <c r="L5139" s="18"/>
    </row>
    <row r="5140">
      <c r="A5140" s="2">
        <f>IFERROR(__xludf.DUMMYFUNCTION("""COMPUTED_VALUE"""),118366.0)</f>
        <v>118366</v>
      </c>
      <c r="B5140" s="2">
        <f>IFERROR(__xludf.DUMMYFUNCTION("""COMPUTED_VALUE"""),0.0)</f>
        <v>0</v>
      </c>
      <c r="C5140" s="2">
        <f>IFERROR(__xludf.DUMMYFUNCTION("""COMPUTED_VALUE"""),757.0)</f>
        <v>757</v>
      </c>
      <c r="D5140" s="3">
        <f>IFERROR(__xludf.DUMMYFUNCTION("""COMPUTED_VALUE"""),678.0)</f>
        <v>678</v>
      </c>
      <c r="E5140" s="1" t="str">
        <f t="array" ref="E5140">_xlfn.XLOOKUP(A5140,Product!A:A,Product!B:B,"Bulunamadı")</f>
        <v>Arts</v>
      </c>
      <c r="F5140" s="1" t="str">
        <f t="array" ref="F5140">_xlfn.XLOOKUP(A5140,Product!A:A,Product!C:C,"Bulunamadı")</f>
        <v>Graphic Design</v>
      </c>
      <c r="G5140" s="2" t="str">
        <f t="array" ref="G5140">_xlfn.XLOOKUP(A5141,Product!A:A,Product!D:D,"Bulunamadı")</f>
        <v>Cedarcrest Publishing</v>
      </c>
      <c r="H5140" s="2">
        <f t="array" ref="H5140">_xlfn.XLOOKUP(A5142,Product!A:A,Product!E:E,"Bulunamadı")</f>
        <v>6.1</v>
      </c>
      <c r="I5140" s="2" t="str">
        <f t="shared" si="1"/>
        <v>118366 - Arts - Graphic Design</v>
      </c>
      <c r="J5140" s="2">
        <f t="shared" si="2"/>
        <v>4135.8</v>
      </c>
      <c r="K5140" s="17">
        <f t="shared" si="3"/>
        <v>1</v>
      </c>
      <c r="L5140" s="18"/>
    </row>
    <row r="5141">
      <c r="A5141" s="2">
        <f>IFERROR(__xludf.DUMMYFUNCTION("""COMPUTED_VALUE"""),111183.0)</f>
        <v>111183</v>
      </c>
      <c r="B5141" s="2">
        <f>IFERROR(__xludf.DUMMYFUNCTION("""COMPUTED_VALUE"""),0.0)</f>
        <v>0</v>
      </c>
      <c r="C5141" s="2">
        <f>IFERROR(__xludf.DUMMYFUNCTION("""COMPUTED_VALUE"""),107.0)</f>
        <v>107</v>
      </c>
      <c r="D5141" s="3">
        <f>IFERROR(__xludf.DUMMYFUNCTION("""COMPUTED_VALUE"""),52.0)</f>
        <v>52</v>
      </c>
      <c r="E5141" s="1" t="str">
        <f t="array" ref="E5141">_xlfn.XLOOKUP(A5141,Product!A:A,Product!B:B,"Bulunamadı")</f>
        <v>Arts</v>
      </c>
      <c r="F5141" s="1" t="str">
        <f t="array" ref="F5141">_xlfn.XLOOKUP(A5141,Product!A:A,Product!C:C,"Bulunamadı")</f>
        <v>Graphic Design</v>
      </c>
      <c r="G5141" s="2" t="str">
        <f t="array" ref="G5141">_xlfn.XLOOKUP(A5142,Product!A:A,Product!D:D,"Bulunamadı")</f>
        <v>Cedarcrest Publishing</v>
      </c>
      <c r="H5141" s="2">
        <f t="array" ref="H5141">_xlfn.XLOOKUP(A5143,Product!A:A,Product!E:E,"Bulunamadı")</f>
        <v>6.08</v>
      </c>
      <c r="I5141" s="2" t="str">
        <f t="shared" si="1"/>
        <v>111183 - Arts - Graphic Design</v>
      </c>
      <c r="J5141" s="2">
        <f t="shared" si="2"/>
        <v>316.16</v>
      </c>
      <c r="K5141" s="17">
        <f t="shared" si="3"/>
        <v>1</v>
      </c>
      <c r="L5141" s="18"/>
    </row>
    <row r="5142">
      <c r="A5142" s="2">
        <f>IFERROR(__xludf.DUMMYFUNCTION("""COMPUTED_VALUE"""),124735.0)</f>
        <v>124735</v>
      </c>
      <c r="B5142" s="2">
        <f>IFERROR(__xludf.DUMMYFUNCTION("""COMPUTED_VALUE"""),1.0)</f>
        <v>1</v>
      </c>
      <c r="C5142" s="2">
        <f>IFERROR(__xludf.DUMMYFUNCTION("""COMPUTED_VALUE"""),654.0)</f>
        <v>654</v>
      </c>
      <c r="D5142" s="3">
        <f>IFERROR(__xludf.DUMMYFUNCTION("""COMPUTED_VALUE"""),561.0)</f>
        <v>561</v>
      </c>
      <c r="E5142" s="1" t="str">
        <f t="array" ref="E5142">_xlfn.XLOOKUP(A5142,Product!A:A,Product!B:B,"Bulunamadı")</f>
        <v>Arts</v>
      </c>
      <c r="F5142" s="1" t="str">
        <f t="array" ref="F5142">_xlfn.XLOOKUP(A5142,Product!A:A,Product!C:C,"Bulunamadı")</f>
        <v>Graphic Design</v>
      </c>
      <c r="G5142" s="2" t="str">
        <f t="array" ref="G5142">_xlfn.XLOOKUP(A5143,Product!A:A,Product!D:D,"Bulunamadı")</f>
        <v>Cedarcrest Publishing</v>
      </c>
      <c r="H5142" s="2">
        <f t="array" ref="H5142">_xlfn.XLOOKUP(A5144,Product!A:A,Product!E:E,"Bulunamadı")</f>
        <v>4.61</v>
      </c>
      <c r="I5142" s="2" t="str">
        <f t="shared" si="1"/>
        <v>124735 - Arts - Graphic Design</v>
      </c>
      <c r="J5142" s="2">
        <f t="shared" si="2"/>
        <v>2586.21</v>
      </c>
      <c r="K5142" s="17">
        <f t="shared" si="3"/>
        <v>1</v>
      </c>
      <c r="L5142" s="18"/>
    </row>
    <row r="5143">
      <c r="A5143" s="2">
        <f>IFERROR(__xludf.DUMMYFUNCTION("""COMPUTED_VALUE"""),78727.0)</f>
        <v>78727</v>
      </c>
      <c r="B5143" s="2">
        <f>IFERROR(__xludf.DUMMYFUNCTION("""COMPUTED_VALUE"""),1.0)</f>
        <v>1</v>
      </c>
      <c r="C5143" s="2">
        <f>IFERROR(__xludf.DUMMYFUNCTION("""COMPUTED_VALUE"""),389.0)</f>
        <v>389</v>
      </c>
      <c r="D5143" s="3">
        <f>IFERROR(__xludf.DUMMYFUNCTION("""COMPUTED_VALUE"""),186.0)</f>
        <v>186</v>
      </c>
      <c r="E5143" s="1" t="str">
        <f t="array" ref="E5143">_xlfn.XLOOKUP(A5143,Product!A:A,Product!B:B,"Bulunamadı")</f>
        <v>Arts</v>
      </c>
      <c r="F5143" s="1" t="str">
        <f t="array" ref="F5143">_xlfn.XLOOKUP(A5143,Product!A:A,Product!C:C,"Bulunamadı")</f>
        <v>Graphic Design</v>
      </c>
      <c r="G5143" s="2" t="str">
        <f t="array" ref="G5143">_xlfn.XLOOKUP(A5144,Product!A:A,Product!D:D,"Bulunamadı")</f>
        <v>Cedarcrest Publishing</v>
      </c>
      <c r="H5143" s="2">
        <f t="array" ref="H5143">_xlfn.XLOOKUP(A5145,Product!A:A,Product!E:E,"Bulunamadı")</f>
        <v>6.21</v>
      </c>
      <c r="I5143" s="2" t="str">
        <f t="shared" si="1"/>
        <v>78727 - Arts - Graphic Design</v>
      </c>
      <c r="J5143" s="2">
        <f t="shared" si="2"/>
        <v>1155.06</v>
      </c>
      <c r="K5143" s="17">
        <f t="shared" si="3"/>
        <v>1</v>
      </c>
      <c r="L5143" s="18"/>
    </row>
    <row r="5144">
      <c r="A5144" s="2">
        <f>IFERROR(__xludf.DUMMYFUNCTION("""COMPUTED_VALUE"""),111182.0)</f>
        <v>111182</v>
      </c>
      <c r="B5144" s="2">
        <f>IFERROR(__xludf.DUMMYFUNCTION("""COMPUTED_VALUE"""),1.0)</f>
        <v>1</v>
      </c>
      <c r="C5144" s="2">
        <f>IFERROR(__xludf.DUMMYFUNCTION("""COMPUTED_VALUE"""),698.0)</f>
        <v>698</v>
      </c>
      <c r="D5144" s="3">
        <f>IFERROR(__xludf.DUMMYFUNCTION("""COMPUTED_VALUE"""),41.0)</f>
        <v>41</v>
      </c>
      <c r="E5144" s="1" t="str">
        <f t="array" ref="E5144">_xlfn.XLOOKUP(A5144,Product!A:A,Product!B:B,"Bulunamadı")</f>
        <v>Arts</v>
      </c>
      <c r="F5144" s="1" t="str">
        <f t="array" ref="F5144">_xlfn.XLOOKUP(A5144,Product!A:A,Product!C:C,"Bulunamadı")</f>
        <v>Graphic Design</v>
      </c>
      <c r="G5144" s="2" t="str">
        <f t="array" ref="G5144">_xlfn.XLOOKUP(A5145,Product!A:A,Product!D:D,"Bulunamadı")</f>
        <v>Cedarcrest Publishing</v>
      </c>
      <c r="H5144" s="2">
        <f t="array" ref="H5144">_xlfn.XLOOKUP(A5146,Product!A:A,Product!E:E,"Bulunamadı")</f>
        <v>6.51</v>
      </c>
      <c r="I5144" s="2" t="str">
        <f t="shared" si="1"/>
        <v>111182 - Arts - Graphic Design</v>
      </c>
      <c r="J5144" s="2">
        <f t="shared" si="2"/>
        <v>266.91</v>
      </c>
      <c r="K5144" s="17">
        <f t="shared" si="3"/>
        <v>1</v>
      </c>
      <c r="L5144" s="18"/>
    </row>
    <row r="5145">
      <c r="A5145" s="2">
        <f>IFERROR(__xludf.DUMMYFUNCTION("""COMPUTED_VALUE"""),78734.0)</f>
        <v>78734</v>
      </c>
      <c r="B5145" s="2">
        <f>IFERROR(__xludf.DUMMYFUNCTION("""COMPUTED_VALUE"""),0.0)</f>
        <v>0</v>
      </c>
      <c r="C5145" s="2">
        <f>IFERROR(__xludf.DUMMYFUNCTION("""COMPUTED_VALUE"""),537.0)</f>
        <v>537</v>
      </c>
      <c r="D5145" s="3">
        <f>IFERROR(__xludf.DUMMYFUNCTION("""COMPUTED_VALUE"""),181.0)</f>
        <v>181</v>
      </c>
      <c r="E5145" s="1" t="str">
        <f t="array" ref="E5145">_xlfn.XLOOKUP(A5145,Product!A:A,Product!B:B,"Bulunamadı")</f>
        <v>Arts</v>
      </c>
      <c r="F5145" s="1" t="str">
        <f t="array" ref="F5145">_xlfn.XLOOKUP(A5145,Product!A:A,Product!C:C,"Bulunamadı")</f>
        <v>Graphic Design</v>
      </c>
      <c r="G5145" s="2" t="str">
        <f t="array" ref="G5145">_xlfn.XLOOKUP(A5146,Product!A:A,Product!D:D,"Bulunamadı")</f>
        <v>Cedarcrest Publishing</v>
      </c>
      <c r="H5145" s="2">
        <f t="array" ref="H5145">_xlfn.XLOOKUP(A5147,Product!A:A,Product!E:E,"Bulunamadı")</f>
        <v>4.59</v>
      </c>
      <c r="I5145" s="2" t="str">
        <f t="shared" si="1"/>
        <v>78734 - Arts - Graphic Design</v>
      </c>
      <c r="J5145" s="2">
        <f t="shared" si="2"/>
        <v>830.79</v>
      </c>
      <c r="K5145" s="17">
        <f t="shared" si="3"/>
        <v>1</v>
      </c>
      <c r="L5145" s="18"/>
    </row>
    <row r="5146">
      <c r="A5146" s="2">
        <f>IFERROR(__xludf.DUMMYFUNCTION("""COMPUTED_VALUE"""),78729.0)</f>
        <v>78729</v>
      </c>
      <c r="B5146" s="2">
        <f>IFERROR(__xludf.DUMMYFUNCTION("""COMPUTED_VALUE"""),0.0)</f>
        <v>0</v>
      </c>
      <c r="C5146" s="2">
        <f>IFERROR(__xludf.DUMMYFUNCTION("""COMPUTED_VALUE"""),537.0)</f>
        <v>537</v>
      </c>
      <c r="D5146" s="3">
        <f>IFERROR(__xludf.DUMMYFUNCTION("""COMPUTED_VALUE"""),247.0)</f>
        <v>247</v>
      </c>
      <c r="E5146" s="1" t="str">
        <f t="array" ref="E5146">_xlfn.XLOOKUP(A5146,Product!A:A,Product!B:B,"Bulunamadı")</f>
        <v>Arts</v>
      </c>
      <c r="F5146" s="1" t="str">
        <f t="array" ref="F5146">_xlfn.XLOOKUP(A5146,Product!A:A,Product!C:C,"Bulunamadı")</f>
        <v>Graphic Design</v>
      </c>
      <c r="G5146" s="2" t="str">
        <f t="array" ref="G5146">_xlfn.XLOOKUP(A5147,Product!A:A,Product!D:D,"Bulunamadı")</f>
        <v>Cedarcrest Publishing</v>
      </c>
      <c r="H5146" s="2">
        <f t="array" ref="H5146">_xlfn.XLOOKUP(A5148,Product!A:A,Product!E:E,"Bulunamadı")</f>
        <v>6.45</v>
      </c>
      <c r="I5146" s="2" t="str">
        <f t="shared" si="1"/>
        <v>78729 - Arts - Graphic Design</v>
      </c>
      <c r="J5146" s="2">
        <f t="shared" si="2"/>
        <v>1593.15</v>
      </c>
      <c r="K5146" s="17">
        <f t="shared" si="3"/>
        <v>1</v>
      </c>
      <c r="L5146" s="18"/>
    </row>
    <row r="5147">
      <c r="A5147" s="2">
        <f>IFERROR(__xludf.DUMMYFUNCTION("""COMPUTED_VALUE"""),111662.0)</f>
        <v>111662</v>
      </c>
      <c r="B5147" s="2">
        <f>IFERROR(__xludf.DUMMYFUNCTION("""COMPUTED_VALUE"""),0.0)</f>
        <v>0</v>
      </c>
      <c r="C5147" s="2">
        <f>IFERROR(__xludf.DUMMYFUNCTION("""COMPUTED_VALUE"""),542.0)</f>
        <v>542</v>
      </c>
      <c r="D5147" s="3">
        <f>IFERROR(__xludf.DUMMYFUNCTION("""COMPUTED_VALUE"""),338.0)</f>
        <v>338</v>
      </c>
      <c r="E5147" s="1" t="str">
        <f t="array" ref="E5147">_xlfn.XLOOKUP(A5147,Product!A:A,Product!B:B,"Bulunamadı")</f>
        <v>Arts</v>
      </c>
      <c r="F5147" s="1" t="str">
        <f t="array" ref="F5147">_xlfn.XLOOKUP(A5147,Product!A:A,Product!C:C,"Bulunamadı")</f>
        <v>Graphic Design</v>
      </c>
      <c r="G5147" s="2" t="str">
        <f t="array" ref="G5147">_xlfn.XLOOKUP(A5148,Product!A:A,Product!D:D,"Bulunamadı")</f>
        <v>Cedarcrest Publishing</v>
      </c>
      <c r="H5147" s="2">
        <f t="array" ref="H5147">_xlfn.XLOOKUP(A5149,Product!A:A,Product!E:E,"Bulunamadı")</f>
        <v>1.03</v>
      </c>
      <c r="I5147" s="2" t="str">
        <f t="shared" si="1"/>
        <v>111662 - Arts - Graphic Design</v>
      </c>
      <c r="J5147" s="2">
        <f t="shared" si="2"/>
        <v>348.14</v>
      </c>
      <c r="K5147" s="17">
        <f t="shared" si="3"/>
        <v>1</v>
      </c>
      <c r="L5147" s="18"/>
    </row>
    <row r="5148">
      <c r="A5148" s="2">
        <f>IFERROR(__xludf.DUMMYFUNCTION("""COMPUTED_VALUE"""),78728.0)</f>
        <v>78728</v>
      </c>
      <c r="B5148" s="2">
        <f>IFERROR(__xludf.DUMMYFUNCTION("""COMPUTED_VALUE"""),0.0)</f>
        <v>0</v>
      </c>
      <c r="C5148" s="2">
        <f>IFERROR(__xludf.DUMMYFUNCTION("""COMPUTED_VALUE"""),672.0)</f>
        <v>672</v>
      </c>
      <c r="D5148" s="3">
        <f>IFERROR(__xludf.DUMMYFUNCTION("""COMPUTED_VALUE"""),0.0)</f>
        <v>0</v>
      </c>
      <c r="E5148" s="1" t="str">
        <f t="array" ref="E5148">_xlfn.XLOOKUP(A5148,Product!A:A,Product!B:B,"Bulunamadı")</f>
        <v>Arts</v>
      </c>
      <c r="F5148" s="1" t="str">
        <f t="array" ref="F5148">_xlfn.XLOOKUP(A5148,Product!A:A,Product!C:C,"Bulunamadı")</f>
        <v>Graphic Design</v>
      </c>
      <c r="G5148" s="2" t="str">
        <f t="array" ref="G5148">_xlfn.XLOOKUP(A5149,Product!A:A,Product!D:D,"Bulunamadı")</f>
        <v>Brightcrest Publishing</v>
      </c>
      <c r="H5148" s="2">
        <f t="array" ref="H5148">_xlfn.XLOOKUP(A5150,Product!A:A,Product!E:E,"Bulunamadı")</f>
        <v>2.25</v>
      </c>
      <c r="I5148" s="2" t="str">
        <f t="shared" si="1"/>
        <v>78728 - Arts - Graphic Design</v>
      </c>
      <c r="J5148" s="2">
        <f t="shared" si="2"/>
        <v>0</v>
      </c>
      <c r="K5148" s="17">
        <f t="shared" si="3"/>
        <v>0</v>
      </c>
      <c r="L5148" s="18"/>
    </row>
    <row r="5149">
      <c r="A5149" s="2">
        <f>IFERROR(__xludf.DUMMYFUNCTION("""COMPUTED_VALUE"""),119082.0)</f>
        <v>119082</v>
      </c>
      <c r="B5149" s="2">
        <f>IFERROR(__xludf.DUMMYFUNCTION("""COMPUTED_VALUE"""),0.0)</f>
        <v>0</v>
      </c>
      <c r="C5149" s="2">
        <f>IFERROR(__xludf.DUMMYFUNCTION("""COMPUTED_VALUE"""),260.0)</f>
        <v>260</v>
      </c>
      <c r="D5149" s="3">
        <f>IFERROR(__xludf.DUMMYFUNCTION("""COMPUTED_VALUE"""),94.0)</f>
        <v>94</v>
      </c>
      <c r="E5149" s="1" t="str">
        <f t="array" ref="E5149">_xlfn.XLOOKUP(A5149,Product!A:A,Product!B:B,"Bulunamadı")</f>
        <v>Arts</v>
      </c>
      <c r="F5149" s="1" t="str">
        <f t="array" ref="F5149">_xlfn.XLOOKUP(A5149,Product!A:A,Product!C:C,"Bulunamadı")</f>
        <v>Graphic Design</v>
      </c>
      <c r="G5149" s="2" t="str">
        <f t="array" ref="G5149">_xlfn.XLOOKUP(A5150,Product!A:A,Product!D:D,"Bulunamadı")</f>
        <v>Brightcrest Publishing</v>
      </c>
      <c r="H5149" s="2">
        <f t="array" ref="H5149">_xlfn.XLOOKUP(A5151,Product!A:A,Product!E:E,"Bulunamadı")</f>
        <v>1.78</v>
      </c>
      <c r="I5149" s="2" t="str">
        <f t="shared" si="1"/>
        <v>119082 - Arts - Graphic Design</v>
      </c>
      <c r="J5149" s="2">
        <f t="shared" si="2"/>
        <v>167.32</v>
      </c>
      <c r="K5149" s="17">
        <f t="shared" si="3"/>
        <v>1</v>
      </c>
      <c r="L5149" s="18"/>
    </row>
    <row r="5150">
      <c r="A5150" s="2">
        <f>IFERROR(__xludf.DUMMYFUNCTION("""COMPUTED_VALUE"""),5770.0)</f>
        <v>5770</v>
      </c>
      <c r="B5150" s="2">
        <f>IFERROR(__xludf.DUMMYFUNCTION("""COMPUTED_VALUE"""),0.0)</f>
        <v>0</v>
      </c>
      <c r="C5150" s="2">
        <f>IFERROR(__xludf.DUMMYFUNCTION("""COMPUTED_VALUE"""),482.0)</f>
        <v>482</v>
      </c>
      <c r="D5150" s="3">
        <f>IFERROR(__xludf.DUMMYFUNCTION("""COMPUTED_VALUE"""),272.0)</f>
        <v>272</v>
      </c>
      <c r="E5150" s="1" t="str">
        <f t="array" ref="E5150">_xlfn.XLOOKUP(A5150,Product!A:A,Product!B:B,"Bulunamadı")</f>
        <v>Arts</v>
      </c>
      <c r="F5150" s="1" t="str">
        <f t="array" ref="F5150">_xlfn.XLOOKUP(A5150,Product!A:A,Product!C:C,"Bulunamadı")</f>
        <v>Graphic Design</v>
      </c>
      <c r="G5150" s="2" t="str">
        <f t="array" ref="G5150">_xlfn.XLOOKUP(A5151,Product!A:A,Product!D:D,"Bulunamadı")</f>
        <v>Brightcrest Publishing</v>
      </c>
      <c r="H5150" s="2">
        <f t="array" ref="H5150">_xlfn.XLOOKUP(A5152,Product!A:A,Product!E:E,"Bulunamadı")</f>
        <v>1.71</v>
      </c>
      <c r="I5150" s="2" t="str">
        <f t="shared" si="1"/>
        <v>5770 - Arts - Graphic Design</v>
      </c>
      <c r="J5150" s="2">
        <f t="shared" si="2"/>
        <v>465.12</v>
      </c>
      <c r="K5150" s="17">
        <f t="shared" si="3"/>
        <v>1</v>
      </c>
      <c r="L5150" s="18"/>
    </row>
    <row r="5151">
      <c r="A5151" s="2">
        <f>IFERROR(__xludf.DUMMYFUNCTION("""COMPUTED_VALUE"""),103072.0)</f>
        <v>103072</v>
      </c>
      <c r="B5151" s="2">
        <f>IFERROR(__xludf.DUMMYFUNCTION("""COMPUTED_VALUE"""),0.0)</f>
        <v>0</v>
      </c>
      <c r="C5151" s="2">
        <f>IFERROR(__xludf.DUMMYFUNCTION("""COMPUTED_VALUE"""),873.0)</f>
        <v>873</v>
      </c>
      <c r="D5151" s="3">
        <f>IFERROR(__xludf.DUMMYFUNCTION("""COMPUTED_VALUE"""),668.0)</f>
        <v>668</v>
      </c>
      <c r="E5151" s="1" t="str">
        <f t="array" ref="E5151">_xlfn.XLOOKUP(A5151,Product!A:A,Product!B:B,"Bulunamadı")</f>
        <v>Arts</v>
      </c>
      <c r="F5151" s="1" t="str">
        <f t="array" ref="F5151">_xlfn.XLOOKUP(A5151,Product!A:A,Product!C:C,"Bulunamadı")</f>
        <v>Graphic Design</v>
      </c>
      <c r="G5151" s="2" t="str">
        <f t="array" ref="G5151">_xlfn.XLOOKUP(A5152,Product!A:A,Product!D:D,"Bulunamadı")</f>
        <v>Brightcrest Publishing</v>
      </c>
      <c r="H5151" s="2">
        <f t="array" ref="H5151">_xlfn.XLOOKUP(A5153,Product!A:A,Product!E:E,"Bulunamadı")</f>
        <v>2.79</v>
      </c>
      <c r="I5151" s="2" t="str">
        <f t="shared" si="1"/>
        <v>103072 - Arts - Graphic Design</v>
      </c>
      <c r="J5151" s="2">
        <f t="shared" si="2"/>
        <v>1863.72</v>
      </c>
      <c r="K5151" s="17">
        <f t="shared" si="3"/>
        <v>1</v>
      </c>
      <c r="L5151" s="18"/>
    </row>
    <row r="5152">
      <c r="A5152" s="2">
        <f>IFERROR(__xludf.DUMMYFUNCTION("""COMPUTED_VALUE"""),19344.0)</f>
        <v>19344</v>
      </c>
      <c r="B5152" s="2">
        <f>IFERROR(__xludf.DUMMYFUNCTION("""COMPUTED_VALUE"""),1.0)</f>
        <v>1</v>
      </c>
      <c r="C5152" s="2">
        <f>IFERROR(__xludf.DUMMYFUNCTION("""COMPUTED_VALUE"""),624.0)</f>
        <v>624</v>
      </c>
      <c r="D5152" s="3">
        <f>IFERROR(__xludf.DUMMYFUNCTION("""COMPUTED_VALUE"""),68.0)</f>
        <v>68</v>
      </c>
      <c r="E5152" s="1" t="str">
        <f t="array" ref="E5152">_xlfn.XLOOKUP(A5152,Product!A:A,Product!B:B,"Bulunamadı")</f>
        <v>Arts</v>
      </c>
      <c r="F5152" s="1" t="str">
        <f t="array" ref="F5152">_xlfn.XLOOKUP(A5152,Product!A:A,Product!C:C,"Bulunamadı")</f>
        <v>Graphic Design</v>
      </c>
      <c r="G5152" s="2" t="str">
        <f t="array" ref="G5152">_xlfn.XLOOKUP(A5153,Product!A:A,Product!D:D,"Bulunamadı")</f>
        <v>Brightcrest Publishing</v>
      </c>
      <c r="H5152" s="2">
        <f t="array" ref="H5152">_xlfn.XLOOKUP(A5154,Product!A:A,Product!E:E,"Bulunamadı")</f>
        <v>1.47</v>
      </c>
      <c r="I5152" s="2" t="str">
        <f t="shared" si="1"/>
        <v>19344 - Arts - Graphic Design</v>
      </c>
      <c r="J5152" s="2">
        <f t="shared" si="2"/>
        <v>99.96</v>
      </c>
      <c r="K5152" s="17">
        <f t="shared" si="3"/>
        <v>1</v>
      </c>
      <c r="L5152" s="18"/>
    </row>
    <row r="5153">
      <c r="A5153" s="2">
        <f>IFERROR(__xludf.DUMMYFUNCTION("""COMPUTED_VALUE"""),84219.0)</f>
        <v>84219</v>
      </c>
      <c r="B5153" s="2">
        <f>IFERROR(__xludf.DUMMYFUNCTION("""COMPUTED_VALUE"""),0.0)</f>
        <v>0</v>
      </c>
      <c r="C5153" s="2">
        <f>IFERROR(__xludf.DUMMYFUNCTION("""COMPUTED_VALUE"""),293.0)</f>
        <v>293</v>
      </c>
      <c r="D5153" s="3">
        <f>IFERROR(__xludf.DUMMYFUNCTION("""COMPUTED_VALUE"""),133.0)</f>
        <v>133</v>
      </c>
      <c r="E5153" s="1" t="str">
        <f t="array" ref="E5153">_xlfn.XLOOKUP(A5153,Product!A:A,Product!B:B,"Bulunamadı")</f>
        <v>Arts</v>
      </c>
      <c r="F5153" s="1" t="str">
        <f t="array" ref="F5153">_xlfn.XLOOKUP(A5153,Product!A:A,Product!C:C,"Bulunamadı")</f>
        <v>Graphic Design</v>
      </c>
      <c r="G5153" s="2" t="str">
        <f t="array" ref="G5153">_xlfn.XLOOKUP(A5154,Product!A:A,Product!D:D,"Bulunamadı")</f>
        <v>Brightcrest Publishing</v>
      </c>
      <c r="H5153" s="2">
        <f t="array" ref="H5153">_xlfn.XLOOKUP(A5155,Product!A:A,Product!E:E,"Bulunamadı")</f>
        <v>1.41</v>
      </c>
      <c r="I5153" s="2" t="str">
        <f t="shared" si="1"/>
        <v>84219 - Arts - Graphic Design</v>
      </c>
      <c r="J5153" s="2">
        <f t="shared" si="2"/>
        <v>187.53</v>
      </c>
      <c r="K5153" s="17">
        <f t="shared" si="3"/>
        <v>1</v>
      </c>
      <c r="L5153" s="18"/>
    </row>
    <row r="5154">
      <c r="A5154" s="2">
        <f>IFERROR(__xludf.DUMMYFUNCTION("""COMPUTED_VALUE"""),19345.0)</f>
        <v>19345</v>
      </c>
      <c r="B5154" s="2">
        <f>IFERROR(__xludf.DUMMYFUNCTION("""COMPUTED_VALUE"""),0.0)</f>
        <v>0</v>
      </c>
      <c r="C5154" s="2">
        <f>IFERROR(__xludf.DUMMYFUNCTION("""COMPUTED_VALUE"""),268.0)</f>
        <v>268</v>
      </c>
      <c r="D5154" s="3">
        <f>IFERROR(__xludf.DUMMYFUNCTION("""COMPUTED_VALUE"""),120.0)</f>
        <v>120</v>
      </c>
      <c r="E5154" s="1" t="str">
        <f t="array" ref="E5154">_xlfn.XLOOKUP(A5154,Product!A:A,Product!B:B,"Bulunamadı")</f>
        <v>Arts</v>
      </c>
      <c r="F5154" s="1" t="str">
        <f t="array" ref="F5154">_xlfn.XLOOKUP(A5154,Product!A:A,Product!C:C,"Bulunamadı")</f>
        <v>Graphic Design</v>
      </c>
      <c r="G5154" s="2" t="str">
        <f t="array" ref="G5154">_xlfn.XLOOKUP(A5155,Product!A:A,Product!D:D,"Bulunamadı")</f>
        <v>Brightcrest Publishing</v>
      </c>
      <c r="H5154" s="2">
        <f t="array" ref="H5154">_xlfn.XLOOKUP(A5156,Product!A:A,Product!E:E,"Bulunamadı")</f>
        <v>2.6</v>
      </c>
      <c r="I5154" s="2" t="str">
        <f t="shared" si="1"/>
        <v>19345 - Arts - Graphic Design</v>
      </c>
      <c r="J5154" s="2">
        <f t="shared" si="2"/>
        <v>312</v>
      </c>
      <c r="K5154" s="17">
        <f t="shared" si="3"/>
        <v>1</v>
      </c>
      <c r="L5154" s="18"/>
    </row>
    <row r="5155">
      <c r="A5155" s="2">
        <f>IFERROR(__xludf.DUMMYFUNCTION("""COMPUTED_VALUE"""),90816.0)</f>
        <v>90816</v>
      </c>
      <c r="B5155" s="2">
        <f>IFERROR(__xludf.DUMMYFUNCTION("""COMPUTED_VALUE"""),1.0)</f>
        <v>1</v>
      </c>
      <c r="C5155" s="2">
        <f>IFERROR(__xludf.DUMMYFUNCTION("""COMPUTED_VALUE"""),433.0)</f>
        <v>433</v>
      </c>
      <c r="D5155" s="3">
        <f>IFERROR(__xludf.DUMMYFUNCTION("""COMPUTED_VALUE"""),38.0)</f>
        <v>38</v>
      </c>
      <c r="E5155" s="1" t="str">
        <f t="array" ref="E5155">_xlfn.XLOOKUP(A5155,Product!A:A,Product!B:B,"Bulunamadı")</f>
        <v>Arts</v>
      </c>
      <c r="F5155" s="1" t="str">
        <f t="array" ref="F5155">_xlfn.XLOOKUP(A5155,Product!A:A,Product!C:C,"Bulunamadı")</f>
        <v>Graphic Design</v>
      </c>
      <c r="G5155" s="2" t="str">
        <f t="array" ref="G5155">_xlfn.XLOOKUP(A5156,Product!A:A,Product!D:D,"Bulunamadı")</f>
        <v>Brightcrest Publishing</v>
      </c>
      <c r="H5155" s="2">
        <f t="array" ref="H5155">_xlfn.XLOOKUP(A5157,Product!A:A,Product!E:E,"Bulunamadı")</f>
        <v>0.8</v>
      </c>
      <c r="I5155" s="2" t="str">
        <f t="shared" si="1"/>
        <v>90816 - Arts - Graphic Design</v>
      </c>
      <c r="J5155" s="2">
        <f t="shared" si="2"/>
        <v>30.4</v>
      </c>
      <c r="K5155" s="17">
        <f t="shared" si="3"/>
        <v>1</v>
      </c>
      <c r="L5155" s="18"/>
    </row>
    <row r="5156">
      <c r="A5156" s="2">
        <f>IFERROR(__xludf.DUMMYFUNCTION("""COMPUTED_VALUE"""),23198.0)</f>
        <v>23198</v>
      </c>
      <c r="B5156" s="2">
        <f>IFERROR(__xludf.DUMMYFUNCTION("""COMPUTED_VALUE"""),0.0)</f>
        <v>0</v>
      </c>
      <c r="C5156" s="2">
        <f>IFERROR(__xludf.DUMMYFUNCTION("""COMPUTED_VALUE"""),881.0)</f>
        <v>881</v>
      </c>
      <c r="D5156" s="3">
        <f>IFERROR(__xludf.DUMMYFUNCTION("""COMPUTED_VALUE"""),131.0)</f>
        <v>131</v>
      </c>
      <c r="E5156" s="1" t="str">
        <f t="array" ref="E5156">_xlfn.XLOOKUP(A5156,Product!A:A,Product!B:B,"Bulunamadı")</f>
        <v>Arts</v>
      </c>
      <c r="F5156" s="1" t="str">
        <f t="array" ref="F5156">_xlfn.XLOOKUP(A5156,Product!A:A,Product!C:C,"Bulunamadı")</f>
        <v>Graphic Design</v>
      </c>
      <c r="G5156" s="2" t="str">
        <f t="array" ref="G5156">_xlfn.XLOOKUP(A5157,Product!A:A,Product!D:D,"Bulunamadı")</f>
        <v>Brightcrest Publishing</v>
      </c>
      <c r="H5156" s="2">
        <f t="array" ref="H5156">_xlfn.XLOOKUP(A5158,Product!A:A,Product!E:E,"Bulunamadı")</f>
        <v>1.38</v>
      </c>
      <c r="I5156" s="2" t="str">
        <f t="shared" si="1"/>
        <v>23198 - Arts - Graphic Design</v>
      </c>
      <c r="J5156" s="2">
        <f t="shared" si="2"/>
        <v>180.78</v>
      </c>
      <c r="K5156" s="17">
        <f t="shared" si="3"/>
        <v>1</v>
      </c>
      <c r="L5156" s="18"/>
    </row>
    <row r="5157">
      <c r="A5157" s="2">
        <f>IFERROR(__xludf.DUMMYFUNCTION("""COMPUTED_VALUE"""),87207.0)</f>
        <v>87207</v>
      </c>
      <c r="B5157" s="2">
        <f>IFERROR(__xludf.DUMMYFUNCTION("""COMPUTED_VALUE"""),1.0)</f>
        <v>1</v>
      </c>
      <c r="C5157" s="2">
        <f>IFERROR(__xludf.DUMMYFUNCTION("""COMPUTED_VALUE"""),922.0)</f>
        <v>922</v>
      </c>
      <c r="D5157" s="3">
        <f>IFERROR(__xludf.DUMMYFUNCTION("""COMPUTED_VALUE"""),30.0)</f>
        <v>30</v>
      </c>
      <c r="E5157" s="1" t="str">
        <f t="array" ref="E5157">_xlfn.XLOOKUP(A5157,Product!A:A,Product!B:B,"Bulunamadı")</f>
        <v>Arts</v>
      </c>
      <c r="F5157" s="1" t="str">
        <f t="array" ref="F5157">_xlfn.XLOOKUP(A5157,Product!A:A,Product!C:C,"Bulunamadı")</f>
        <v>Graphic Design</v>
      </c>
      <c r="G5157" s="2" t="str">
        <f t="array" ref="G5157">_xlfn.XLOOKUP(A5158,Product!A:A,Product!D:D,"Bulunamadı")</f>
        <v>Brightcrest Publishing</v>
      </c>
      <c r="H5157" s="2">
        <f t="array" ref="H5157">_xlfn.XLOOKUP(A5159,Product!A:A,Product!E:E,"Bulunamadı")</f>
        <v>2.74</v>
      </c>
      <c r="I5157" s="2" t="str">
        <f t="shared" si="1"/>
        <v>87207 - Arts - Graphic Design</v>
      </c>
      <c r="J5157" s="2">
        <f t="shared" si="2"/>
        <v>82.2</v>
      </c>
      <c r="K5157" s="17">
        <f t="shared" si="3"/>
        <v>1</v>
      </c>
      <c r="L5157" s="18"/>
    </row>
    <row r="5158">
      <c r="A5158" s="2">
        <f>IFERROR(__xludf.DUMMYFUNCTION("""COMPUTED_VALUE"""),5694.0)</f>
        <v>5694</v>
      </c>
      <c r="B5158" s="2">
        <f>IFERROR(__xludf.DUMMYFUNCTION("""COMPUTED_VALUE"""),0.0)</f>
        <v>0</v>
      </c>
      <c r="C5158" s="2">
        <f>IFERROR(__xludf.DUMMYFUNCTION("""COMPUTED_VALUE"""),118.0)</f>
        <v>118</v>
      </c>
      <c r="D5158" s="3">
        <f>IFERROR(__xludf.DUMMYFUNCTION("""COMPUTED_VALUE"""),67.0)</f>
        <v>67</v>
      </c>
      <c r="E5158" s="1" t="str">
        <f t="array" ref="E5158">_xlfn.XLOOKUP(A5158,Product!A:A,Product!B:B,"Bulunamadı")</f>
        <v>Arts</v>
      </c>
      <c r="F5158" s="1" t="str">
        <f t="array" ref="F5158">_xlfn.XLOOKUP(A5158,Product!A:A,Product!C:C,"Bulunamadı")</f>
        <v>Graphic Design</v>
      </c>
      <c r="G5158" s="2" t="str">
        <f t="array" ref="G5158">_xlfn.XLOOKUP(A5159,Product!A:A,Product!D:D,"Bulunamadı")</f>
        <v>Brightcrest Publishing</v>
      </c>
      <c r="H5158" s="2">
        <f t="array" ref="H5158">_xlfn.XLOOKUP(A5160,Product!A:A,Product!E:E,"Bulunamadı")</f>
        <v>2.16</v>
      </c>
      <c r="I5158" s="2" t="str">
        <f t="shared" si="1"/>
        <v>5694 - Arts - Graphic Design</v>
      </c>
      <c r="J5158" s="2">
        <f t="shared" si="2"/>
        <v>144.72</v>
      </c>
      <c r="K5158" s="17">
        <f t="shared" si="3"/>
        <v>1</v>
      </c>
      <c r="L5158" s="18"/>
    </row>
    <row r="5159">
      <c r="A5159" s="2">
        <f>IFERROR(__xludf.DUMMYFUNCTION("""COMPUTED_VALUE"""),119084.0)</f>
        <v>119084</v>
      </c>
      <c r="B5159" s="2">
        <f>IFERROR(__xludf.DUMMYFUNCTION("""COMPUTED_VALUE"""),0.0)</f>
        <v>0</v>
      </c>
      <c r="C5159" s="2">
        <f>IFERROR(__xludf.DUMMYFUNCTION("""COMPUTED_VALUE"""),654.0)</f>
        <v>654</v>
      </c>
      <c r="D5159" s="3">
        <f>IFERROR(__xludf.DUMMYFUNCTION("""COMPUTED_VALUE"""),211.0)</f>
        <v>211</v>
      </c>
      <c r="E5159" s="1" t="str">
        <f t="array" ref="E5159">_xlfn.XLOOKUP(A5159,Product!A:A,Product!B:B,"Bulunamadı")</f>
        <v>Arts</v>
      </c>
      <c r="F5159" s="1" t="str">
        <f t="array" ref="F5159">_xlfn.XLOOKUP(A5159,Product!A:A,Product!C:C,"Bulunamadı")</f>
        <v>Graphic Design</v>
      </c>
      <c r="G5159" s="2" t="str">
        <f t="array" ref="G5159">_xlfn.XLOOKUP(A5160,Product!A:A,Product!D:D,"Bulunamadı")</f>
        <v>Brightcrest Publishing</v>
      </c>
      <c r="H5159" s="2">
        <f t="array" ref="H5159">_xlfn.XLOOKUP(A5161,Product!A:A,Product!E:E,"Bulunamadı")</f>
        <v>1.56</v>
      </c>
      <c r="I5159" s="2" t="str">
        <f t="shared" si="1"/>
        <v>119084 - Arts - Graphic Design</v>
      </c>
      <c r="J5159" s="2">
        <f t="shared" si="2"/>
        <v>329.16</v>
      </c>
      <c r="K5159" s="17">
        <f t="shared" si="3"/>
        <v>1</v>
      </c>
      <c r="L5159" s="18"/>
    </row>
    <row r="5160">
      <c r="A5160" s="2">
        <f>IFERROR(__xludf.DUMMYFUNCTION("""COMPUTED_VALUE"""),127927.0)</f>
        <v>127927</v>
      </c>
      <c r="B5160" s="2">
        <f>IFERROR(__xludf.DUMMYFUNCTION("""COMPUTED_VALUE"""),1.0)</f>
        <v>1</v>
      </c>
      <c r="C5160" s="2">
        <f>IFERROR(__xludf.DUMMYFUNCTION("""COMPUTED_VALUE"""),318.0)</f>
        <v>318</v>
      </c>
      <c r="D5160" s="3">
        <f>IFERROR(__xludf.DUMMYFUNCTION("""COMPUTED_VALUE"""),109.0)</f>
        <v>109</v>
      </c>
      <c r="E5160" s="1" t="str">
        <f t="array" ref="E5160">_xlfn.XLOOKUP(A5160,Product!A:A,Product!B:B,"Bulunamadı")</f>
        <v>Arts</v>
      </c>
      <c r="F5160" s="1" t="str">
        <f t="array" ref="F5160">_xlfn.XLOOKUP(A5160,Product!A:A,Product!C:C,"Bulunamadı")</f>
        <v>Graphic Design</v>
      </c>
      <c r="G5160" s="2" t="str">
        <f t="array" ref="G5160">_xlfn.XLOOKUP(A5161,Product!A:A,Product!D:D,"Bulunamadı")</f>
        <v>Brightcrest Publishing</v>
      </c>
      <c r="H5160" s="2">
        <f t="array" ref="H5160">_xlfn.XLOOKUP(A5162,Product!A:A,Product!E:E,"Bulunamadı")</f>
        <v>1.94</v>
      </c>
      <c r="I5160" s="2" t="str">
        <f t="shared" si="1"/>
        <v>127927 - Arts - Graphic Design</v>
      </c>
      <c r="J5160" s="2">
        <f t="shared" si="2"/>
        <v>211.46</v>
      </c>
      <c r="K5160" s="17">
        <f t="shared" si="3"/>
        <v>1</v>
      </c>
      <c r="L5160" s="18"/>
    </row>
    <row r="5161">
      <c r="A5161" s="2">
        <f>IFERROR(__xludf.DUMMYFUNCTION("""COMPUTED_VALUE"""),111184.0)</f>
        <v>111184</v>
      </c>
      <c r="B5161" s="2">
        <f>IFERROR(__xludf.DUMMYFUNCTION("""COMPUTED_VALUE"""),1.0)</f>
        <v>1</v>
      </c>
      <c r="C5161" s="2">
        <f>IFERROR(__xludf.DUMMYFUNCTION("""COMPUTED_VALUE"""),488.0)</f>
        <v>488</v>
      </c>
      <c r="D5161" s="3">
        <f>IFERROR(__xludf.DUMMYFUNCTION("""COMPUTED_VALUE"""),216.0)</f>
        <v>216</v>
      </c>
      <c r="E5161" s="1" t="str">
        <f t="array" ref="E5161">_xlfn.XLOOKUP(A5161,Product!A:A,Product!B:B,"Bulunamadı")</f>
        <v>Arts</v>
      </c>
      <c r="F5161" s="1" t="str">
        <f t="array" ref="F5161">_xlfn.XLOOKUP(A5161,Product!A:A,Product!C:C,"Bulunamadı")</f>
        <v>Graphic Design</v>
      </c>
      <c r="G5161" s="2" t="str">
        <f t="array" ref="G5161">_xlfn.XLOOKUP(A5162,Product!A:A,Product!D:D,"Bulunamadı")</f>
        <v>Brightcrest Publishing</v>
      </c>
      <c r="H5161" s="2">
        <f t="array" ref="H5161">_xlfn.XLOOKUP(A5163,Product!A:A,Product!E:E,"Bulunamadı")</f>
        <v>2.18</v>
      </c>
      <c r="I5161" s="2" t="str">
        <f t="shared" si="1"/>
        <v>111184 - Arts - Graphic Design</v>
      </c>
      <c r="J5161" s="2">
        <f t="shared" si="2"/>
        <v>470.88</v>
      </c>
      <c r="K5161" s="17">
        <f t="shared" si="3"/>
        <v>1</v>
      </c>
      <c r="L5161" s="18"/>
    </row>
    <row r="5162">
      <c r="A5162" s="2">
        <f>IFERROR(__xludf.DUMMYFUNCTION("""COMPUTED_VALUE"""),19341.0)</f>
        <v>19341</v>
      </c>
      <c r="B5162" s="2">
        <f>IFERROR(__xludf.DUMMYFUNCTION("""COMPUTED_VALUE"""),0.0)</f>
        <v>0</v>
      </c>
      <c r="C5162" s="2">
        <f>IFERROR(__xludf.DUMMYFUNCTION("""COMPUTED_VALUE"""),597.0)</f>
        <v>597</v>
      </c>
      <c r="D5162" s="3">
        <f>IFERROR(__xludf.DUMMYFUNCTION("""COMPUTED_VALUE"""),361.0)</f>
        <v>361</v>
      </c>
      <c r="E5162" s="1" t="str">
        <f t="array" ref="E5162">_xlfn.XLOOKUP(A5162,Product!A:A,Product!B:B,"Bulunamadı")</f>
        <v>Arts</v>
      </c>
      <c r="F5162" s="1" t="str">
        <f t="array" ref="F5162">_xlfn.XLOOKUP(A5162,Product!A:A,Product!C:C,"Bulunamadı")</f>
        <v>Graphic Design</v>
      </c>
      <c r="G5162" s="2" t="str">
        <f t="array" ref="G5162">_xlfn.XLOOKUP(A5163,Product!A:A,Product!D:D,"Bulunamadı")</f>
        <v>Oakcrest Publishing</v>
      </c>
      <c r="H5162" s="2">
        <f t="array" ref="H5162">_xlfn.XLOOKUP(A5164,Product!A:A,Product!E:E,"Bulunamadı")</f>
        <v>1.23</v>
      </c>
      <c r="I5162" s="2" t="str">
        <f t="shared" si="1"/>
        <v>19341 - Arts - Graphic Design</v>
      </c>
      <c r="J5162" s="2">
        <f t="shared" si="2"/>
        <v>444.03</v>
      </c>
      <c r="K5162" s="17">
        <f t="shared" si="3"/>
        <v>1</v>
      </c>
      <c r="L5162" s="18"/>
    </row>
    <row r="5163">
      <c r="A5163" s="2">
        <f>IFERROR(__xludf.DUMMYFUNCTION("""COMPUTED_VALUE"""),118485.0)</f>
        <v>118485</v>
      </c>
      <c r="B5163" s="2">
        <f>IFERROR(__xludf.DUMMYFUNCTION("""COMPUTED_VALUE"""),0.0)</f>
        <v>0</v>
      </c>
      <c r="C5163" s="2">
        <f>IFERROR(__xludf.DUMMYFUNCTION("""COMPUTED_VALUE"""),463.0)</f>
        <v>463</v>
      </c>
      <c r="D5163" s="3">
        <f>IFERROR(__xludf.DUMMYFUNCTION("""COMPUTED_VALUE"""),267.0)</f>
        <v>267</v>
      </c>
      <c r="E5163" s="1" t="str">
        <f t="array" ref="E5163">_xlfn.XLOOKUP(A5163,Product!A:A,Product!B:B,"Bulunamadı")</f>
        <v>Arts</v>
      </c>
      <c r="F5163" s="1" t="str">
        <f t="array" ref="F5163">_xlfn.XLOOKUP(A5163,Product!A:A,Product!C:C,"Bulunamadı")</f>
        <v>Graphic Design</v>
      </c>
      <c r="G5163" s="2" t="str">
        <f t="array" ref="G5163">_xlfn.XLOOKUP(A5164,Product!A:A,Product!D:D,"Bulunamadı")</f>
        <v>Oakcrest Publishing</v>
      </c>
      <c r="H5163" s="2">
        <f t="array" ref="H5163">_xlfn.XLOOKUP(A5165,Product!A:A,Product!E:E,"Bulunamadı")</f>
        <v>2.93</v>
      </c>
      <c r="I5163" s="2" t="str">
        <f t="shared" si="1"/>
        <v>118485 - Arts - Graphic Design</v>
      </c>
      <c r="J5163" s="2">
        <f t="shared" si="2"/>
        <v>782.31</v>
      </c>
      <c r="K5163" s="17">
        <f t="shared" si="3"/>
        <v>1</v>
      </c>
      <c r="L5163" s="18"/>
    </row>
    <row r="5164">
      <c r="A5164" s="2">
        <f>IFERROR(__xludf.DUMMYFUNCTION("""COMPUTED_VALUE"""),110565.0)</f>
        <v>110565</v>
      </c>
      <c r="B5164" s="2">
        <f>IFERROR(__xludf.DUMMYFUNCTION("""COMPUTED_VALUE"""),1.0)</f>
        <v>1</v>
      </c>
      <c r="C5164" s="2">
        <f>IFERROR(__xludf.DUMMYFUNCTION("""COMPUTED_VALUE"""),790.0)</f>
        <v>790</v>
      </c>
      <c r="D5164" s="3">
        <f>IFERROR(__xludf.DUMMYFUNCTION("""COMPUTED_VALUE"""),177.0)</f>
        <v>177</v>
      </c>
      <c r="E5164" s="1" t="str">
        <f t="array" ref="E5164">_xlfn.XLOOKUP(A5164,Product!A:A,Product!B:B,"Bulunamadı")</f>
        <v>Arts</v>
      </c>
      <c r="F5164" s="1" t="str">
        <f t="array" ref="F5164">_xlfn.XLOOKUP(A5164,Product!A:A,Product!C:C,"Bulunamadı")</f>
        <v>Graphic Design</v>
      </c>
      <c r="G5164" s="2" t="str">
        <f t="array" ref="G5164">_xlfn.XLOOKUP(A5165,Product!A:A,Product!D:D,"Bulunamadı")</f>
        <v>Oakcrest Publishing</v>
      </c>
      <c r="H5164" s="2">
        <f t="array" ref="H5164">_xlfn.XLOOKUP(A5166,Product!A:A,Product!E:E,"Bulunamadı")</f>
        <v>2.7</v>
      </c>
      <c r="I5164" s="2" t="str">
        <f t="shared" si="1"/>
        <v>110565 - Arts - Graphic Design</v>
      </c>
      <c r="J5164" s="2">
        <f t="shared" si="2"/>
        <v>477.9</v>
      </c>
      <c r="K5164" s="17">
        <f t="shared" si="3"/>
        <v>1</v>
      </c>
      <c r="L5164" s="18"/>
    </row>
    <row r="5165">
      <c r="A5165" s="2">
        <f>IFERROR(__xludf.DUMMYFUNCTION("""COMPUTED_VALUE"""),118484.0)</f>
        <v>118484</v>
      </c>
      <c r="B5165" s="2">
        <f>IFERROR(__xludf.DUMMYFUNCTION("""COMPUTED_VALUE"""),0.0)</f>
        <v>0</v>
      </c>
      <c r="C5165" s="2">
        <f>IFERROR(__xludf.DUMMYFUNCTION("""COMPUTED_VALUE"""),152.0)</f>
        <v>152</v>
      </c>
      <c r="D5165" s="3">
        <f>IFERROR(__xludf.DUMMYFUNCTION("""COMPUTED_VALUE"""),36.0)</f>
        <v>36</v>
      </c>
      <c r="E5165" s="1" t="str">
        <f t="array" ref="E5165">_xlfn.XLOOKUP(A5165,Product!A:A,Product!B:B,"Bulunamadı")</f>
        <v>Arts</v>
      </c>
      <c r="F5165" s="1" t="str">
        <f t="array" ref="F5165">_xlfn.XLOOKUP(A5165,Product!A:A,Product!C:C,"Bulunamadı")</f>
        <v>Graphic Design</v>
      </c>
      <c r="G5165" s="2" t="str">
        <f t="array" ref="G5165">_xlfn.XLOOKUP(A5166,Product!A:A,Product!D:D,"Bulunamadı")</f>
        <v>Oakcrest Publishing</v>
      </c>
      <c r="H5165" s="2">
        <f t="array" ref="H5165">_xlfn.XLOOKUP(A5167,Product!A:A,Product!E:E,"Bulunamadı")</f>
        <v>2.7</v>
      </c>
      <c r="I5165" s="2" t="str">
        <f t="shared" si="1"/>
        <v>118484 - Arts - Graphic Design</v>
      </c>
      <c r="J5165" s="2">
        <f t="shared" si="2"/>
        <v>97.2</v>
      </c>
      <c r="K5165" s="17">
        <f t="shared" si="3"/>
        <v>1</v>
      </c>
      <c r="L5165" s="18"/>
    </row>
    <row r="5166">
      <c r="A5166" s="2">
        <f>IFERROR(__xludf.DUMMYFUNCTION("""COMPUTED_VALUE"""),107652.0)</f>
        <v>107652</v>
      </c>
      <c r="B5166" s="2">
        <f>IFERROR(__xludf.DUMMYFUNCTION("""COMPUTED_VALUE"""),1.0)</f>
        <v>1</v>
      </c>
      <c r="C5166" s="2">
        <f>IFERROR(__xludf.DUMMYFUNCTION("""COMPUTED_VALUE"""),213.0)</f>
        <v>213</v>
      </c>
      <c r="D5166" s="3">
        <f>IFERROR(__xludf.DUMMYFUNCTION("""COMPUTED_VALUE"""),8.0)</f>
        <v>8</v>
      </c>
      <c r="E5166" s="1" t="str">
        <f t="array" ref="E5166">_xlfn.XLOOKUP(A5166,Product!A:A,Product!B:B,"Bulunamadı")</f>
        <v>Arts</v>
      </c>
      <c r="F5166" s="1" t="str">
        <f t="array" ref="F5166">_xlfn.XLOOKUP(A5166,Product!A:A,Product!C:C,"Bulunamadı")</f>
        <v>Graphic Design</v>
      </c>
      <c r="G5166" s="2" t="str">
        <f t="array" ref="G5166">_xlfn.XLOOKUP(A5167,Product!A:A,Product!D:D,"Bulunamadı")</f>
        <v>Oakcrest Publishing</v>
      </c>
      <c r="H5166" s="2">
        <f t="array" ref="H5166">_xlfn.XLOOKUP(A5168,Product!A:A,Product!E:E,"Bulunamadı")</f>
        <v>1.44</v>
      </c>
      <c r="I5166" s="2" t="str">
        <f t="shared" si="1"/>
        <v>107652 - Arts - Graphic Design</v>
      </c>
      <c r="J5166" s="2">
        <f t="shared" si="2"/>
        <v>11.52</v>
      </c>
      <c r="K5166" s="17">
        <f t="shared" si="3"/>
        <v>1</v>
      </c>
      <c r="L5166" s="18"/>
    </row>
    <row r="5167">
      <c r="A5167" s="2">
        <f>IFERROR(__xludf.DUMMYFUNCTION("""COMPUTED_VALUE"""),107673.0)</f>
        <v>107673</v>
      </c>
      <c r="B5167" s="2">
        <f>IFERROR(__xludf.DUMMYFUNCTION("""COMPUTED_VALUE"""),1.0)</f>
        <v>1</v>
      </c>
      <c r="C5167" s="2">
        <f>IFERROR(__xludf.DUMMYFUNCTION("""COMPUTED_VALUE"""),783.0)</f>
        <v>783</v>
      </c>
      <c r="D5167" s="3">
        <f>IFERROR(__xludf.DUMMYFUNCTION("""COMPUTED_VALUE"""),684.0)</f>
        <v>684</v>
      </c>
      <c r="E5167" s="1" t="str">
        <f t="array" ref="E5167">_xlfn.XLOOKUP(A5167,Product!A:A,Product!B:B,"Bulunamadı")</f>
        <v>Arts</v>
      </c>
      <c r="F5167" s="1" t="str">
        <f t="array" ref="F5167">_xlfn.XLOOKUP(A5167,Product!A:A,Product!C:C,"Bulunamadı")</f>
        <v>Graphic Design</v>
      </c>
      <c r="G5167" s="2" t="str">
        <f t="array" ref="G5167">_xlfn.XLOOKUP(A5168,Product!A:A,Product!D:D,"Bulunamadı")</f>
        <v>Oakcrest Publishing</v>
      </c>
      <c r="H5167" s="2">
        <f t="array" ref="H5167">_xlfn.XLOOKUP(A5169,Product!A:A,Product!E:E,"Bulunamadı")</f>
        <v>2.11</v>
      </c>
      <c r="I5167" s="2" t="str">
        <f t="shared" si="1"/>
        <v>107673 - Arts - Graphic Design</v>
      </c>
      <c r="J5167" s="2">
        <f t="shared" si="2"/>
        <v>1443.24</v>
      </c>
      <c r="K5167" s="17">
        <f t="shared" si="3"/>
        <v>1</v>
      </c>
      <c r="L5167" s="18"/>
    </row>
    <row r="5168">
      <c r="A5168" s="2">
        <f>IFERROR(__xludf.DUMMYFUNCTION("""COMPUTED_VALUE"""),107902.0)</f>
        <v>107902</v>
      </c>
      <c r="B5168" s="2">
        <f>IFERROR(__xludf.DUMMYFUNCTION("""COMPUTED_VALUE"""),1.0)</f>
        <v>1</v>
      </c>
      <c r="C5168" s="2">
        <f>IFERROR(__xludf.DUMMYFUNCTION("""COMPUTED_VALUE"""),947.0)</f>
        <v>947</v>
      </c>
      <c r="D5168" s="3">
        <f>IFERROR(__xludf.DUMMYFUNCTION("""COMPUTED_VALUE"""),779.0)</f>
        <v>779</v>
      </c>
      <c r="E5168" s="1" t="str">
        <f t="array" ref="E5168">_xlfn.XLOOKUP(A5168,Product!A:A,Product!B:B,"Bulunamadı")</f>
        <v>Arts</v>
      </c>
      <c r="F5168" s="1" t="str">
        <f t="array" ref="F5168">_xlfn.XLOOKUP(A5168,Product!A:A,Product!C:C,"Bulunamadı")</f>
        <v>Graphic Design</v>
      </c>
      <c r="G5168" s="2" t="str">
        <f t="array" ref="G5168">_xlfn.XLOOKUP(A5169,Product!A:A,Product!D:D,"Bulunamadı")</f>
        <v>Oakcrest Publishing</v>
      </c>
      <c r="H5168" s="2">
        <f t="array" ref="H5168">_xlfn.XLOOKUP(A5170,Product!A:A,Product!E:E,"Bulunamadı")</f>
        <v>2.31</v>
      </c>
      <c r="I5168" s="2" t="str">
        <f t="shared" si="1"/>
        <v>107902 - Arts - Graphic Design</v>
      </c>
      <c r="J5168" s="2">
        <f t="shared" si="2"/>
        <v>1799.49</v>
      </c>
      <c r="K5168" s="17">
        <f t="shared" si="3"/>
        <v>1</v>
      </c>
      <c r="L5168" s="18"/>
    </row>
    <row r="5169">
      <c r="A5169" s="2">
        <f>IFERROR(__xludf.DUMMYFUNCTION("""COMPUTED_VALUE"""),19340.0)</f>
        <v>19340</v>
      </c>
      <c r="B5169" s="2">
        <f>IFERROR(__xludf.DUMMYFUNCTION("""COMPUTED_VALUE"""),1.0)</f>
        <v>1</v>
      </c>
      <c r="C5169" s="2">
        <f>IFERROR(__xludf.DUMMYFUNCTION("""COMPUTED_VALUE"""),202.0)</f>
        <v>202</v>
      </c>
      <c r="D5169" s="3">
        <f>IFERROR(__xludf.DUMMYFUNCTION("""COMPUTED_VALUE"""),25.0)</f>
        <v>25</v>
      </c>
      <c r="E5169" s="1" t="str">
        <f t="array" ref="E5169">_xlfn.XLOOKUP(A5169,Product!A:A,Product!B:B,"Bulunamadı")</f>
        <v>Arts</v>
      </c>
      <c r="F5169" s="1" t="str">
        <f t="array" ref="F5169">_xlfn.XLOOKUP(A5169,Product!A:A,Product!C:C,"Bulunamadı")</f>
        <v>Graphic Design</v>
      </c>
      <c r="G5169" s="2" t="str">
        <f t="array" ref="G5169">_xlfn.XLOOKUP(A5170,Product!A:A,Product!D:D,"Bulunamadı")</f>
        <v>Oakcrest Publishing</v>
      </c>
      <c r="H5169" s="2">
        <f t="array" ref="H5169">_xlfn.XLOOKUP(A5171,Product!A:A,Product!E:E,"Bulunamadı")</f>
        <v>3.34</v>
      </c>
      <c r="I5169" s="2" t="str">
        <f t="shared" si="1"/>
        <v>19340 - Arts - Graphic Design</v>
      </c>
      <c r="J5169" s="2">
        <f t="shared" si="2"/>
        <v>83.5</v>
      </c>
      <c r="K5169" s="17">
        <f t="shared" si="3"/>
        <v>1</v>
      </c>
      <c r="L5169" s="18"/>
    </row>
    <row r="5170">
      <c r="A5170" s="2">
        <f>IFERROR(__xludf.DUMMYFUNCTION("""COMPUTED_VALUE"""),69190.0)</f>
        <v>69190</v>
      </c>
      <c r="B5170" s="2">
        <f>IFERROR(__xludf.DUMMYFUNCTION("""COMPUTED_VALUE"""),0.0)</f>
        <v>0</v>
      </c>
      <c r="C5170" s="2">
        <f>IFERROR(__xludf.DUMMYFUNCTION("""COMPUTED_VALUE"""),188.0)</f>
        <v>188</v>
      </c>
      <c r="D5170" s="3">
        <f>IFERROR(__xludf.DUMMYFUNCTION("""COMPUTED_VALUE"""),77.0)</f>
        <v>77</v>
      </c>
      <c r="E5170" s="1" t="str">
        <f t="array" ref="E5170">_xlfn.XLOOKUP(A5170,Product!A:A,Product!B:B,"Bulunamadı")</f>
        <v>Arts</v>
      </c>
      <c r="F5170" s="1" t="str">
        <f t="array" ref="F5170">_xlfn.XLOOKUP(A5170,Product!A:A,Product!C:C,"Bulunamadı")</f>
        <v>Graphic Design</v>
      </c>
      <c r="G5170" s="2" t="str">
        <f t="array" ref="G5170">_xlfn.XLOOKUP(A5171,Product!A:A,Product!D:D,"Bulunamadı")</f>
        <v>Oakcrest Publishing</v>
      </c>
      <c r="H5170" s="2">
        <f t="array" ref="H5170">_xlfn.XLOOKUP(A5172,Product!A:A,Product!E:E,"Bulunamadı")</f>
        <v>2.19</v>
      </c>
      <c r="I5170" s="2" t="str">
        <f t="shared" si="1"/>
        <v>69190 - Arts - Graphic Design</v>
      </c>
      <c r="J5170" s="2">
        <f t="shared" si="2"/>
        <v>168.63</v>
      </c>
      <c r="K5170" s="17">
        <f t="shared" si="3"/>
        <v>1</v>
      </c>
      <c r="L5170" s="18"/>
    </row>
    <row r="5171">
      <c r="A5171" s="2">
        <f>IFERROR(__xludf.DUMMYFUNCTION("""COMPUTED_VALUE"""),48451.0)</f>
        <v>48451</v>
      </c>
      <c r="B5171" s="2">
        <f>IFERROR(__xludf.DUMMYFUNCTION("""COMPUTED_VALUE"""),0.0)</f>
        <v>0</v>
      </c>
      <c r="C5171" s="2">
        <f>IFERROR(__xludf.DUMMYFUNCTION("""COMPUTED_VALUE"""),880.0)</f>
        <v>880</v>
      </c>
      <c r="D5171" s="3">
        <f>IFERROR(__xludf.DUMMYFUNCTION("""COMPUTED_VALUE"""),548.0)</f>
        <v>548</v>
      </c>
      <c r="E5171" s="1" t="str">
        <f t="array" ref="E5171">_xlfn.XLOOKUP(A5171,Product!A:A,Product!B:B,"Bulunamadı")</f>
        <v>Arts</v>
      </c>
      <c r="F5171" s="1" t="str">
        <f t="array" ref="F5171">_xlfn.XLOOKUP(A5171,Product!A:A,Product!C:C,"Bulunamadı")</f>
        <v>Graphic Design</v>
      </c>
      <c r="G5171" s="2" t="str">
        <f t="array" ref="G5171">_xlfn.XLOOKUP(A5172,Product!A:A,Product!D:D,"Bulunamadı")</f>
        <v>Oakcrest Publishing</v>
      </c>
      <c r="H5171" s="2">
        <f t="array" ref="H5171">_xlfn.XLOOKUP(A5173,Product!A:A,Product!E:E,"Bulunamadı")</f>
        <v>3.05</v>
      </c>
      <c r="I5171" s="2" t="str">
        <f t="shared" si="1"/>
        <v>48451 - Arts - Graphic Design</v>
      </c>
      <c r="J5171" s="2">
        <f t="shared" si="2"/>
        <v>1671.4</v>
      </c>
      <c r="K5171" s="17">
        <f t="shared" si="3"/>
        <v>1</v>
      </c>
      <c r="L5171" s="18"/>
    </row>
    <row r="5172">
      <c r="A5172" s="2">
        <f>IFERROR(__xludf.DUMMYFUNCTION("""COMPUTED_VALUE"""),19339.0)</f>
        <v>19339</v>
      </c>
      <c r="B5172" s="2">
        <f>IFERROR(__xludf.DUMMYFUNCTION("""COMPUTED_VALUE"""),0.0)</f>
        <v>0</v>
      </c>
      <c r="C5172" s="2">
        <f>IFERROR(__xludf.DUMMYFUNCTION("""COMPUTED_VALUE"""),901.0)</f>
        <v>901</v>
      </c>
      <c r="D5172" s="3">
        <f>IFERROR(__xludf.DUMMYFUNCTION("""COMPUTED_VALUE"""),287.0)</f>
        <v>287</v>
      </c>
      <c r="E5172" s="1" t="str">
        <f t="array" ref="E5172">_xlfn.XLOOKUP(A5172,Product!A:A,Product!B:B,"Bulunamadı")</f>
        <v>Arts</v>
      </c>
      <c r="F5172" s="1" t="str">
        <f t="array" ref="F5172">_xlfn.XLOOKUP(A5172,Product!A:A,Product!C:C,"Bulunamadı")</f>
        <v>Graphic Design</v>
      </c>
      <c r="G5172" s="2" t="str">
        <f t="array" ref="G5172">_xlfn.XLOOKUP(A5173,Product!A:A,Product!D:D,"Bulunamadı")</f>
        <v>Oakcrest Publishing</v>
      </c>
      <c r="H5172" s="2">
        <f t="array" ref="H5172">_xlfn.XLOOKUP(A5174,Product!A:A,Product!E:E,"Bulunamadı")</f>
        <v>1.12</v>
      </c>
      <c r="I5172" s="2" t="str">
        <f t="shared" si="1"/>
        <v>19339 - Arts - Graphic Design</v>
      </c>
      <c r="J5172" s="2">
        <f t="shared" si="2"/>
        <v>321.44</v>
      </c>
      <c r="K5172" s="17">
        <f t="shared" si="3"/>
        <v>1</v>
      </c>
      <c r="L5172" s="18"/>
    </row>
    <row r="5173">
      <c r="A5173" s="2">
        <f>IFERROR(__xludf.DUMMYFUNCTION("""COMPUTED_VALUE"""),69195.0)</f>
        <v>69195</v>
      </c>
      <c r="B5173" s="2">
        <f>IFERROR(__xludf.DUMMYFUNCTION("""COMPUTED_VALUE"""),0.0)</f>
        <v>0</v>
      </c>
      <c r="C5173" s="2">
        <f>IFERROR(__xludf.DUMMYFUNCTION("""COMPUTED_VALUE"""),904.0)</f>
        <v>904</v>
      </c>
      <c r="D5173" s="3">
        <f>IFERROR(__xludf.DUMMYFUNCTION("""COMPUTED_VALUE"""),462.0)</f>
        <v>462</v>
      </c>
      <c r="E5173" s="1" t="str">
        <f t="array" ref="E5173">_xlfn.XLOOKUP(A5173,Product!A:A,Product!B:B,"Bulunamadı")</f>
        <v>Arts</v>
      </c>
      <c r="F5173" s="1" t="str">
        <f t="array" ref="F5173">_xlfn.XLOOKUP(A5173,Product!A:A,Product!C:C,"Bulunamadı")</f>
        <v>Graphic Design</v>
      </c>
      <c r="G5173" s="2" t="str">
        <f t="array" ref="G5173">_xlfn.XLOOKUP(A5174,Product!A:A,Product!D:D,"Bulunamadı")</f>
        <v>Oakcrest Publishing</v>
      </c>
      <c r="H5173" s="2">
        <f t="array" ref="H5173">_xlfn.XLOOKUP(A5175,Product!A:A,Product!E:E,"Bulunamadı")</f>
        <v>2.77</v>
      </c>
      <c r="I5173" s="2" t="str">
        <f t="shared" si="1"/>
        <v>69195 - Arts - Graphic Design</v>
      </c>
      <c r="J5173" s="2">
        <f t="shared" si="2"/>
        <v>1279.74</v>
      </c>
      <c r="K5173" s="17">
        <f t="shared" si="3"/>
        <v>1</v>
      </c>
      <c r="L5173" s="18"/>
    </row>
    <row r="5174">
      <c r="A5174" s="2">
        <f>IFERROR(__xludf.DUMMYFUNCTION("""COMPUTED_VALUE"""),77192.0)</f>
        <v>77192</v>
      </c>
      <c r="B5174" s="2">
        <f>IFERROR(__xludf.DUMMYFUNCTION("""COMPUTED_VALUE"""),0.0)</f>
        <v>0</v>
      </c>
      <c r="C5174" s="2">
        <f>IFERROR(__xludf.DUMMYFUNCTION("""COMPUTED_VALUE"""),298.0)</f>
        <v>298</v>
      </c>
      <c r="D5174" s="3">
        <f>IFERROR(__xludf.DUMMYFUNCTION("""COMPUTED_VALUE"""),246.0)</f>
        <v>246</v>
      </c>
      <c r="E5174" s="1" t="str">
        <f t="array" ref="E5174">_xlfn.XLOOKUP(A5174,Product!A:A,Product!B:B,"Bulunamadı")</f>
        <v>Arts</v>
      </c>
      <c r="F5174" s="1" t="str">
        <f t="array" ref="F5174">_xlfn.XLOOKUP(A5174,Product!A:A,Product!C:C,"Bulunamadı")</f>
        <v>Graphic Design</v>
      </c>
      <c r="G5174" s="2" t="str">
        <f t="array" ref="G5174">_xlfn.XLOOKUP(A5175,Product!A:A,Product!D:D,"Bulunamadı")</f>
        <v>Oakcrest Publishing</v>
      </c>
      <c r="H5174" s="2">
        <f t="array" ref="H5174">_xlfn.XLOOKUP(A5176,Product!A:A,Product!E:E,"Bulunamadı")</f>
        <v>3.07</v>
      </c>
      <c r="I5174" s="2" t="str">
        <f t="shared" si="1"/>
        <v>77192 - Arts - Graphic Design</v>
      </c>
      <c r="J5174" s="2">
        <f t="shared" si="2"/>
        <v>755.22</v>
      </c>
      <c r="K5174" s="17">
        <f t="shared" si="3"/>
        <v>1</v>
      </c>
      <c r="L5174" s="18"/>
    </row>
    <row r="5175">
      <c r="A5175" s="2">
        <f>IFERROR(__xludf.DUMMYFUNCTION("""COMPUTED_VALUE"""),95922.0)</f>
        <v>95922</v>
      </c>
      <c r="B5175" s="2">
        <f>IFERROR(__xludf.DUMMYFUNCTION("""COMPUTED_VALUE"""),0.0)</f>
        <v>0</v>
      </c>
      <c r="C5175" s="2">
        <f>IFERROR(__xludf.DUMMYFUNCTION("""COMPUTED_VALUE"""),529.0)</f>
        <v>529</v>
      </c>
      <c r="D5175" s="3">
        <f>IFERROR(__xludf.DUMMYFUNCTION("""COMPUTED_VALUE"""),429.0)</f>
        <v>429</v>
      </c>
      <c r="E5175" s="1" t="str">
        <f t="array" ref="E5175">_xlfn.XLOOKUP(A5175,Product!A:A,Product!B:B,"Bulunamadı")</f>
        <v>Arts</v>
      </c>
      <c r="F5175" s="1" t="str">
        <f t="array" ref="F5175">_xlfn.XLOOKUP(A5175,Product!A:A,Product!C:C,"Bulunamadı")</f>
        <v>Graphic Design</v>
      </c>
      <c r="G5175" s="2" t="str">
        <f t="array" ref="G5175">_xlfn.XLOOKUP(A5176,Product!A:A,Product!D:D,"Bulunamadı")</f>
        <v>Oakcrest Publishing</v>
      </c>
      <c r="H5175" s="2">
        <f t="array" ref="H5175">_xlfn.XLOOKUP(A5177,Product!A:A,Product!E:E,"Bulunamadı")</f>
        <v>3.87</v>
      </c>
      <c r="I5175" s="2" t="str">
        <f t="shared" si="1"/>
        <v>95922 - Arts - Graphic Design</v>
      </c>
      <c r="J5175" s="2">
        <f t="shared" si="2"/>
        <v>1660.23</v>
      </c>
      <c r="K5175" s="17">
        <f t="shared" si="3"/>
        <v>1</v>
      </c>
      <c r="L5175" s="18"/>
    </row>
    <row r="5176">
      <c r="A5176" s="2">
        <f>IFERROR(__xludf.DUMMYFUNCTION("""COMPUTED_VALUE"""),116779.0)</f>
        <v>116779</v>
      </c>
      <c r="B5176" s="2">
        <f>IFERROR(__xludf.DUMMYFUNCTION("""COMPUTED_VALUE"""),0.0)</f>
        <v>0</v>
      </c>
      <c r="C5176" s="2">
        <f>IFERROR(__xludf.DUMMYFUNCTION("""COMPUTED_VALUE"""),441.0)</f>
        <v>441</v>
      </c>
      <c r="D5176" s="3">
        <f>IFERROR(__xludf.DUMMYFUNCTION("""COMPUTED_VALUE"""),206.0)</f>
        <v>206</v>
      </c>
      <c r="E5176" s="1" t="str">
        <f t="array" ref="E5176">_xlfn.XLOOKUP(A5176,Product!A:A,Product!B:B,"Bulunamadı")</f>
        <v>Arts</v>
      </c>
      <c r="F5176" s="1" t="str">
        <f t="array" ref="F5176">_xlfn.XLOOKUP(A5176,Product!A:A,Product!C:C,"Bulunamadı")</f>
        <v>Graphic Design</v>
      </c>
      <c r="G5176" s="2" t="str">
        <f t="array" ref="G5176">_xlfn.XLOOKUP(A5177,Product!A:A,Product!D:D,"Bulunamadı")</f>
        <v>Oakcrest Publishing</v>
      </c>
      <c r="H5176" s="2">
        <f t="array" ref="H5176">_xlfn.XLOOKUP(A5178,Product!A:A,Product!E:E,"Bulunamadı")</f>
        <v>1.42</v>
      </c>
      <c r="I5176" s="2" t="str">
        <f t="shared" si="1"/>
        <v>116779 - Arts - Graphic Design</v>
      </c>
      <c r="J5176" s="2">
        <f t="shared" si="2"/>
        <v>292.52</v>
      </c>
      <c r="K5176" s="17">
        <f t="shared" si="3"/>
        <v>1</v>
      </c>
      <c r="L5176" s="18"/>
    </row>
    <row r="5177">
      <c r="A5177" s="2">
        <f>IFERROR(__xludf.DUMMYFUNCTION("""COMPUTED_VALUE"""),69238.0)</f>
        <v>69238</v>
      </c>
      <c r="B5177" s="2">
        <f>IFERROR(__xludf.DUMMYFUNCTION("""COMPUTED_VALUE"""),1.0)</f>
        <v>1</v>
      </c>
      <c r="C5177" s="2">
        <f>IFERROR(__xludf.DUMMYFUNCTION("""COMPUTED_VALUE"""),769.0)</f>
        <v>769</v>
      </c>
      <c r="D5177" s="3">
        <f>IFERROR(__xludf.DUMMYFUNCTION("""COMPUTED_VALUE"""),643.0)</f>
        <v>643</v>
      </c>
      <c r="E5177" s="1" t="str">
        <f t="array" ref="E5177">_xlfn.XLOOKUP(A5177,Product!A:A,Product!B:B,"Bulunamadı")</f>
        <v>Arts</v>
      </c>
      <c r="F5177" s="1" t="str">
        <f t="array" ref="F5177">_xlfn.XLOOKUP(A5177,Product!A:A,Product!C:C,"Bulunamadı")</f>
        <v>Graphic Design</v>
      </c>
      <c r="G5177" s="2" t="str">
        <f t="array" ref="G5177">_xlfn.XLOOKUP(A5178,Product!A:A,Product!D:D,"Bulunamadı")</f>
        <v>Oakcrest Publishing</v>
      </c>
      <c r="H5177" s="2">
        <f t="array" ref="H5177">_xlfn.XLOOKUP(A5179,Product!A:A,Product!E:E,"Bulunamadı")</f>
        <v>3.18</v>
      </c>
      <c r="I5177" s="2" t="str">
        <f t="shared" si="1"/>
        <v>69238 - Arts - Graphic Design</v>
      </c>
      <c r="J5177" s="2">
        <f t="shared" si="2"/>
        <v>2044.74</v>
      </c>
      <c r="K5177" s="17">
        <f t="shared" si="3"/>
        <v>1</v>
      </c>
      <c r="L5177" s="18"/>
    </row>
    <row r="5178">
      <c r="A5178" s="2">
        <f>IFERROR(__xludf.DUMMYFUNCTION("""COMPUTED_VALUE"""),19337.0)</f>
        <v>19337</v>
      </c>
      <c r="B5178" s="2">
        <f>IFERROR(__xludf.DUMMYFUNCTION("""COMPUTED_VALUE"""),0.0)</f>
        <v>0</v>
      </c>
      <c r="C5178" s="2">
        <f>IFERROR(__xludf.DUMMYFUNCTION("""COMPUTED_VALUE"""),132.0)</f>
        <v>132</v>
      </c>
      <c r="D5178" s="3">
        <f>IFERROR(__xludf.DUMMYFUNCTION("""COMPUTED_VALUE"""),31.0)</f>
        <v>31</v>
      </c>
      <c r="E5178" s="1" t="str">
        <f t="array" ref="E5178">_xlfn.XLOOKUP(A5178,Product!A:A,Product!B:B,"Bulunamadı")</f>
        <v>Arts</v>
      </c>
      <c r="F5178" s="1" t="str">
        <f t="array" ref="F5178">_xlfn.XLOOKUP(A5178,Product!A:A,Product!C:C,"Bulunamadı")</f>
        <v>Graphic Design</v>
      </c>
      <c r="G5178" s="2" t="str">
        <f t="array" ref="G5178">_xlfn.XLOOKUP(A5179,Product!A:A,Product!D:D,"Bulunamadı")</f>
        <v>Oakcrest Publishing</v>
      </c>
      <c r="H5178" s="2">
        <f t="array" ref="H5178">_xlfn.XLOOKUP(A5180,Product!A:A,Product!E:E,"Bulunamadı")</f>
        <v>3.65</v>
      </c>
      <c r="I5178" s="2" t="str">
        <f t="shared" si="1"/>
        <v>19337 - Arts - Graphic Design</v>
      </c>
      <c r="J5178" s="2">
        <f t="shared" si="2"/>
        <v>113.15</v>
      </c>
      <c r="K5178" s="17">
        <f t="shared" si="3"/>
        <v>1</v>
      </c>
      <c r="L5178" s="18"/>
    </row>
    <row r="5179">
      <c r="A5179" s="2">
        <f>IFERROR(__xludf.DUMMYFUNCTION("""COMPUTED_VALUE"""),19326.0)</f>
        <v>19326</v>
      </c>
      <c r="B5179" s="2">
        <f>IFERROR(__xludf.DUMMYFUNCTION("""COMPUTED_VALUE"""),1.0)</f>
        <v>1</v>
      </c>
      <c r="C5179" s="2">
        <f>IFERROR(__xludf.DUMMYFUNCTION("""COMPUTED_VALUE"""),832.0)</f>
        <v>832</v>
      </c>
      <c r="D5179" s="3">
        <f>IFERROR(__xludf.DUMMYFUNCTION("""COMPUTED_VALUE"""),212.0)</f>
        <v>212</v>
      </c>
      <c r="E5179" s="1" t="str">
        <f t="array" ref="E5179">_xlfn.XLOOKUP(A5179,Product!A:A,Product!B:B,"Bulunamadı")</f>
        <v>Arts</v>
      </c>
      <c r="F5179" s="1" t="str">
        <f t="array" ref="F5179">_xlfn.XLOOKUP(A5179,Product!A:A,Product!C:C,"Bulunamadı")</f>
        <v>Graphic Design</v>
      </c>
      <c r="G5179" s="2" t="str">
        <f t="array" ref="G5179">_xlfn.XLOOKUP(A5180,Product!A:A,Product!D:D,"Bulunamadı")</f>
        <v>Oakcrest Publishing</v>
      </c>
      <c r="H5179" s="2">
        <f t="array" ref="H5179">_xlfn.XLOOKUP(A5181,Product!A:A,Product!E:E,"Bulunamadı")</f>
        <v>3.81</v>
      </c>
      <c r="I5179" s="2" t="str">
        <f t="shared" si="1"/>
        <v>19326 - Arts - Graphic Design</v>
      </c>
      <c r="J5179" s="2">
        <f t="shared" si="2"/>
        <v>807.72</v>
      </c>
      <c r="K5179" s="17">
        <f t="shared" si="3"/>
        <v>1</v>
      </c>
      <c r="L5179" s="18"/>
    </row>
    <row r="5180">
      <c r="A5180" s="2">
        <f>IFERROR(__xludf.DUMMYFUNCTION("""COMPUTED_VALUE"""),69251.0)</f>
        <v>69251</v>
      </c>
      <c r="B5180" s="2">
        <f>IFERROR(__xludf.DUMMYFUNCTION("""COMPUTED_VALUE"""),0.0)</f>
        <v>0</v>
      </c>
      <c r="C5180" s="2">
        <f>IFERROR(__xludf.DUMMYFUNCTION("""COMPUTED_VALUE"""),222.0)</f>
        <v>222</v>
      </c>
      <c r="D5180" s="3">
        <f>IFERROR(__xludf.DUMMYFUNCTION("""COMPUTED_VALUE"""),97.0)</f>
        <v>97</v>
      </c>
      <c r="E5180" s="1" t="str">
        <f t="array" ref="E5180">_xlfn.XLOOKUP(A5180,Product!A:A,Product!B:B,"Bulunamadı")</f>
        <v>Arts</v>
      </c>
      <c r="F5180" s="1" t="str">
        <f t="array" ref="F5180">_xlfn.XLOOKUP(A5180,Product!A:A,Product!C:C,"Bulunamadı")</f>
        <v>Graphic Design</v>
      </c>
      <c r="G5180" s="2" t="str">
        <f t="array" ref="G5180">_xlfn.XLOOKUP(A5181,Product!A:A,Product!D:D,"Bulunamadı")</f>
        <v>Oakcrest Publishing</v>
      </c>
      <c r="H5180" s="2">
        <f t="array" ref="H5180">_xlfn.XLOOKUP(A5182,Product!A:A,Product!E:E,"Bulunamadı")</f>
        <v>3.19</v>
      </c>
      <c r="I5180" s="2" t="str">
        <f t="shared" si="1"/>
        <v>69251 - Arts - Graphic Design</v>
      </c>
      <c r="J5180" s="2">
        <f t="shared" si="2"/>
        <v>309.43</v>
      </c>
      <c r="K5180" s="17">
        <f t="shared" si="3"/>
        <v>1</v>
      </c>
      <c r="L5180" s="18"/>
    </row>
    <row r="5181">
      <c r="A5181" s="2">
        <f>IFERROR(__xludf.DUMMYFUNCTION("""COMPUTED_VALUE"""),81871.0)</f>
        <v>81871</v>
      </c>
      <c r="B5181" s="2">
        <f>IFERROR(__xludf.DUMMYFUNCTION("""COMPUTED_VALUE"""),1.0)</f>
        <v>1</v>
      </c>
      <c r="C5181" s="2">
        <f>IFERROR(__xludf.DUMMYFUNCTION("""COMPUTED_VALUE"""),640.0)</f>
        <v>640</v>
      </c>
      <c r="D5181" s="3">
        <f>IFERROR(__xludf.DUMMYFUNCTION("""COMPUTED_VALUE"""),24.0)</f>
        <v>24</v>
      </c>
      <c r="E5181" s="1" t="str">
        <f t="array" ref="E5181">_xlfn.XLOOKUP(A5181,Product!A:A,Product!B:B,"Bulunamadı")</f>
        <v>Arts</v>
      </c>
      <c r="F5181" s="1" t="str">
        <f t="array" ref="F5181">_xlfn.XLOOKUP(A5181,Product!A:A,Product!C:C,"Bulunamadı")</f>
        <v>Graphic Design</v>
      </c>
      <c r="G5181" s="2" t="str">
        <f t="array" ref="G5181">_xlfn.XLOOKUP(A5182,Product!A:A,Product!D:D,"Bulunamadı")</f>
        <v>Oakcrest Publishing</v>
      </c>
      <c r="H5181" s="2">
        <f t="array" ref="H5181">_xlfn.XLOOKUP(A5183,Product!A:A,Product!E:E,"Bulunamadı")</f>
        <v>2.79</v>
      </c>
      <c r="I5181" s="2" t="str">
        <f t="shared" si="1"/>
        <v>81871 - Arts - Graphic Design</v>
      </c>
      <c r="J5181" s="2">
        <f t="shared" si="2"/>
        <v>66.96</v>
      </c>
      <c r="K5181" s="17">
        <f t="shared" si="3"/>
        <v>1</v>
      </c>
      <c r="L5181" s="18"/>
    </row>
    <row r="5182">
      <c r="A5182" s="2">
        <f>IFERROR(__xludf.DUMMYFUNCTION("""COMPUTED_VALUE"""),19321.0)</f>
        <v>19321</v>
      </c>
      <c r="B5182" s="2">
        <f>IFERROR(__xludf.DUMMYFUNCTION("""COMPUTED_VALUE"""),0.0)</f>
        <v>0</v>
      </c>
      <c r="C5182" s="2">
        <f>IFERROR(__xludf.DUMMYFUNCTION("""COMPUTED_VALUE"""),845.0)</f>
        <v>845</v>
      </c>
      <c r="D5182" s="3">
        <f>IFERROR(__xludf.DUMMYFUNCTION("""COMPUTED_VALUE"""),187.0)</f>
        <v>187</v>
      </c>
      <c r="E5182" s="1" t="str">
        <f t="array" ref="E5182">_xlfn.XLOOKUP(A5182,Product!A:A,Product!B:B,"Bulunamadı")</f>
        <v>Arts</v>
      </c>
      <c r="F5182" s="1" t="str">
        <f t="array" ref="F5182">_xlfn.XLOOKUP(A5182,Product!A:A,Product!C:C,"Bulunamadı")</f>
        <v>Graphic Design</v>
      </c>
      <c r="G5182" s="2" t="str">
        <f t="array" ref="G5182">_xlfn.XLOOKUP(A5183,Product!A:A,Product!D:D,"Bulunamadı")</f>
        <v/>
      </c>
      <c r="H5182" s="2">
        <f t="array" ref="H5182">_xlfn.XLOOKUP(A5184,Product!A:A,Product!E:E,"Bulunamadı")</f>
        <v>2.76</v>
      </c>
      <c r="I5182" s="2" t="str">
        <f t="shared" si="1"/>
        <v>19321 - Arts - Graphic Design</v>
      </c>
      <c r="J5182" s="2">
        <f t="shared" si="2"/>
        <v>516.12</v>
      </c>
      <c r="K5182" s="17">
        <f t="shared" si="3"/>
        <v>1</v>
      </c>
      <c r="L5182" s="18"/>
    </row>
    <row r="5183" hidden="1">
      <c r="A5183" s="2">
        <f>IFERROR(__xludf.DUMMYFUNCTION("""COMPUTED_VALUE"""),117618.0)</f>
        <v>117618</v>
      </c>
      <c r="B5183" s="2">
        <f>IFERROR(__xludf.DUMMYFUNCTION("""COMPUTED_VALUE"""),1.0)</f>
        <v>1</v>
      </c>
      <c r="C5183" s="2">
        <f>IFERROR(__xludf.DUMMYFUNCTION("""COMPUTED_VALUE"""),415.0)</f>
        <v>415</v>
      </c>
      <c r="D5183" s="3">
        <f>IFERROR(__xludf.DUMMYFUNCTION("""COMPUTED_VALUE"""),46.0)</f>
        <v>46</v>
      </c>
      <c r="E5183" s="1" t="str">
        <f t="array" ref="E5183">_xlfn.XLOOKUP(A5183,Product!A:A,Product!B:B,"Bulunamadı")</f>
        <v>Medical</v>
      </c>
      <c r="F5183" s="1" t="str">
        <f t="array" ref="F5183">_xlfn.XLOOKUP(A5183,Product!A:A,Product!C:C,"Bulunamadı")</f>
        <v>Illustration</v>
      </c>
      <c r="G5183" s="2" t="str">
        <f t="array" ref="G5183">_xlfn.XLOOKUP(A5184,Product!A:A,Product!D:D,"Bulunamadı")</f>
        <v/>
      </c>
      <c r="H5183" s="2">
        <f t="array" ref="H5183">_xlfn.XLOOKUP(A5185,Product!A:A,Product!E:E,"Bulunamadı")</f>
        <v>2.54</v>
      </c>
      <c r="I5183" s="2" t="str">
        <f t="shared" si="1"/>
        <v>117618 - Medical - Illustration</v>
      </c>
      <c r="J5183" s="2">
        <f t="shared" si="2"/>
        <v>116.84</v>
      </c>
      <c r="K5183" s="17">
        <f t="shared" si="3"/>
        <v>1</v>
      </c>
      <c r="L5183" s="18"/>
    </row>
    <row r="5184" hidden="1">
      <c r="A5184" s="2">
        <f>IFERROR(__xludf.DUMMYFUNCTION("""COMPUTED_VALUE"""),117623.0)</f>
        <v>117623</v>
      </c>
      <c r="B5184" s="2">
        <f>IFERROR(__xludf.DUMMYFUNCTION("""COMPUTED_VALUE"""),0.0)</f>
        <v>0</v>
      </c>
      <c r="C5184" s="2">
        <f>IFERROR(__xludf.DUMMYFUNCTION("""COMPUTED_VALUE"""),779.0)</f>
        <v>779</v>
      </c>
      <c r="D5184" s="3">
        <f>IFERROR(__xludf.DUMMYFUNCTION("""COMPUTED_VALUE"""),532.0)</f>
        <v>532</v>
      </c>
      <c r="E5184" s="1" t="str">
        <f t="array" ref="E5184">_xlfn.XLOOKUP(A5184,Product!A:A,Product!B:B,"Bulunamadı")</f>
        <v>Medical</v>
      </c>
      <c r="F5184" s="1" t="str">
        <f t="array" ref="F5184">_xlfn.XLOOKUP(A5184,Product!A:A,Product!C:C,"Bulunamadı")</f>
        <v>Illustration</v>
      </c>
      <c r="G5184" s="2" t="str">
        <f t="array" ref="G5184">_xlfn.XLOOKUP(A5185,Product!A:A,Product!D:D,"Bulunamadı")</f>
        <v/>
      </c>
      <c r="H5184" s="2">
        <f t="array" ref="H5184">_xlfn.XLOOKUP(A5186,Product!A:A,Product!E:E,"Bulunamadı")</f>
        <v>2.02</v>
      </c>
      <c r="I5184" s="2" t="str">
        <f t="shared" si="1"/>
        <v>117623 - Medical - Illustration</v>
      </c>
      <c r="J5184" s="2">
        <f t="shared" si="2"/>
        <v>1074.64</v>
      </c>
      <c r="K5184" s="17">
        <f t="shared" si="3"/>
        <v>1</v>
      </c>
      <c r="L5184" s="18"/>
    </row>
    <row r="5185" hidden="1">
      <c r="A5185" s="2">
        <f>IFERROR(__xludf.DUMMYFUNCTION("""COMPUTED_VALUE"""),117614.0)</f>
        <v>117614</v>
      </c>
      <c r="B5185" s="2">
        <f>IFERROR(__xludf.DUMMYFUNCTION("""COMPUTED_VALUE"""),1.0)</f>
        <v>1</v>
      </c>
      <c r="C5185" s="2">
        <f>IFERROR(__xludf.DUMMYFUNCTION("""COMPUTED_VALUE"""),874.0)</f>
        <v>874</v>
      </c>
      <c r="D5185" s="3">
        <f>IFERROR(__xludf.DUMMYFUNCTION("""COMPUTED_VALUE"""),109.0)</f>
        <v>109</v>
      </c>
      <c r="E5185" s="1" t="str">
        <f t="array" ref="E5185">_xlfn.XLOOKUP(A5185,Product!A:A,Product!B:B,"Bulunamadı")</f>
        <v>Medical</v>
      </c>
      <c r="F5185" s="1" t="str">
        <f t="array" ref="F5185">_xlfn.XLOOKUP(A5185,Product!A:A,Product!C:C,"Bulunamadı")</f>
        <v>Illustration</v>
      </c>
      <c r="G5185" s="2" t="str">
        <f t="array" ref="G5185">_xlfn.XLOOKUP(A5186,Product!A:A,Product!D:D,"Bulunamadı")</f>
        <v>Rivercrest Publishing</v>
      </c>
      <c r="H5185" s="2">
        <f t="array" ref="H5185">_xlfn.XLOOKUP(A5187,Product!A:A,Product!E:E,"Bulunamadı")</f>
        <v>2.52</v>
      </c>
      <c r="I5185" s="2" t="str">
        <f t="shared" si="1"/>
        <v>117614 - Medical - Illustration</v>
      </c>
      <c r="J5185" s="2">
        <f t="shared" si="2"/>
        <v>274.68</v>
      </c>
      <c r="K5185" s="17">
        <f t="shared" si="3"/>
        <v>1</v>
      </c>
      <c r="L5185" s="18"/>
    </row>
    <row r="5186" hidden="1">
      <c r="A5186" s="2">
        <f>IFERROR(__xludf.DUMMYFUNCTION("""COMPUTED_VALUE"""),14393.0)</f>
        <v>14393</v>
      </c>
      <c r="B5186" s="2">
        <f>IFERROR(__xludf.DUMMYFUNCTION("""COMPUTED_VALUE"""),0.0)</f>
        <v>0</v>
      </c>
      <c r="C5186" s="2">
        <f>IFERROR(__xludf.DUMMYFUNCTION("""COMPUTED_VALUE"""),148.0)</f>
        <v>148</v>
      </c>
      <c r="D5186" s="3">
        <f>IFERROR(__xludf.DUMMYFUNCTION("""COMPUTED_VALUE"""),114.0)</f>
        <v>114</v>
      </c>
      <c r="E5186" s="1" t="str">
        <f t="array" ref="E5186">_xlfn.XLOOKUP(A5186,Product!A:A,Product!B:B,"Bulunamadı")</f>
        <v>Medical</v>
      </c>
      <c r="F5186" s="1" t="str">
        <f t="array" ref="F5186">_xlfn.XLOOKUP(A5186,Product!A:A,Product!C:C,"Bulunamadı")</f>
        <v>Illustration</v>
      </c>
      <c r="G5186" s="2" t="str">
        <f t="array" ref="G5186">_xlfn.XLOOKUP(A5187,Product!A:A,Product!D:D,"Bulunamadı")</f>
        <v>Rivercrest Publishing</v>
      </c>
      <c r="H5186" s="2">
        <f t="array" ref="H5186">_xlfn.XLOOKUP(A5188,Product!A:A,Product!E:E,"Bulunamadı")</f>
        <v>1.43</v>
      </c>
      <c r="I5186" s="2" t="str">
        <f t="shared" si="1"/>
        <v>14393 - Medical - Illustration</v>
      </c>
      <c r="J5186" s="2">
        <f t="shared" si="2"/>
        <v>163.02</v>
      </c>
      <c r="K5186" s="17">
        <f t="shared" si="3"/>
        <v>1</v>
      </c>
      <c r="L5186" s="18"/>
    </row>
    <row r="5187" hidden="1">
      <c r="A5187" s="2">
        <f>IFERROR(__xludf.DUMMYFUNCTION("""COMPUTED_VALUE"""),70419.0)</f>
        <v>70419</v>
      </c>
      <c r="B5187" s="2">
        <f>IFERROR(__xludf.DUMMYFUNCTION("""COMPUTED_VALUE"""),0.0)</f>
        <v>0</v>
      </c>
      <c r="C5187" s="2">
        <f>IFERROR(__xludf.DUMMYFUNCTION("""COMPUTED_VALUE"""),312.0)</f>
        <v>312</v>
      </c>
      <c r="D5187" s="3">
        <f>IFERROR(__xludf.DUMMYFUNCTION("""COMPUTED_VALUE"""),239.0)</f>
        <v>239</v>
      </c>
      <c r="E5187" s="1" t="str">
        <f t="array" ref="E5187">_xlfn.XLOOKUP(A5187,Product!A:A,Product!B:B,"Bulunamadı")</f>
        <v>Medical</v>
      </c>
      <c r="F5187" s="1" t="str">
        <f t="array" ref="F5187">_xlfn.XLOOKUP(A5187,Product!A:A,Product!C:C,"Bulunamadı")</f>
        <v>Illustration</v>
      </c>
      <c r="G5187" s="2" t="str">
        <f t="array" ref="G5187">_xlfn.XLOOKUP(A5188,Product!A:A,Product!D:D,"Bulunamadı")</f>
        <v>Rivercrest Publishing</v>
      </c>
      <c r="H5187" s="2">
        <f t="array" ref="H5187">_xlfn.XLOOKUP(A5189,Product!A:A,Product!E:E,"Bulunamadı")</f>
        <v>1.99</v>
      </c>
      <c r="I5187" s="2" t="str">
        <f t="shared" si="1"/>
        <v>70419 - Medical - Illustration</v>
      </c>
      <c r="J5187" s="2">
        <f t="shared" si="2"/>
        <v>475.61</v>
      </c>
      <c r="K5187" s="17">
        <f t="shared" si="3"/>
        <v>1</v>
      </c>
      <c r="L5187" s="18"/>
    </row>
    <row r="5188" hidden="1">
      <c r="A5188" s="2">
        <f>IFERROR(__xludf.DUMMYFUNCTION("""COMPUTED_VALUE"""),111147.0)</f>
        <v>111147</v>
      </c>
      <c r="B5188" s="2">
        <f>IFERROR(__xludf.DUMMYFUNCTION("""COMPUTED_VALUE"""),1.0)</f>
        <v>1</v>
      </c>
      <c r="C5188" s="2">
        <f>IFERROR(__xludf.DUMMYFUNCTION("""COMPUTED_VALUE"""),850.0)</f>
        <v>850</v>
      </c>
      <c r="D5188" s="3">
        <f>IFERROR(__xludf.DUMMYFUNCTION("""COMPUTED_VALUE"""),519.0)</f>
        <v>519</v>
      </c>
      <c r="E5188" s="1" t="str">
        <f t="array" ref="E5188">_xlfn.XLOOKUP(A5188,Product!A:A,Product!B:B,"Bulunamadı")</f>
        <v>Medical</v>
      </c>
      <c r="F5188" s="1" t="str">
        <f t="array" ref="F5188">_xlfn.XLOOKUP(A5188,Product!A:A,Product!C:C,"Bulunamadı")</f>
        <v>Illustration</v>
      </c>
      <c r="G5188" s="2" t="str">
        <f t="array" ref="G5188">_xlfn.XLOOKUP(A5189,Product!A:A,Product!D:D,"Bulunamadı")</f>
        <v>Rivercrest Publishing</v>
      </c>
      <c r="H5188" s="2">
        <f t="array" ref="H5188">_xlfn.XLOOKUP(A5190,Product!A:A,Product!E:E,"Bulunamadı")</f>
        <v>2.09</v>
      </c>
      <c r="I5188" s="2" t="str">
        <f t="shared" si="1"/>
        <v>111147 - Medical - Illustration</v>
      </c>
      <c r="J5188" s="2">
        <f t="shared" si="2"/>
        <v>1084.71</v>
      </c>
      <c r="K5188" s="17">
        <f t="shared" si="3"/>
        <v>1</v>
      </c>
      <c r="L5188" s="18"/>
    </row>
    <row r="5189" hidden="1">
      <c r="A5189" s="2">
        <f>IFERROR(__xludf.DUMMYFUNCTION("""COMPUTED_VALUE"""),4325.0)</f>
        <v>4325</v>
      </c>
      <c r="B5189" s="2">
        <f>IFERROR(__xludf.DUMMYFUNCTION("""COMPUTED_VALUE"""),1.0)</f>
        <v>1</v>
      </c>
      <c r="C5189" s="2">
        <f>IFERROR(__xludf.DUMMYFUNCTION("""COMPUTED_VALUE"""),619.0)</f>
        <v>619</v>
      </c>
      <c r="D5189" s="3">
        <f>IFERROR(__xludf.DUMMYFUNCTION("""COMPUTED_VALUE"""),324.0)</f>
        <v>324</v>
      </c>
      <c r="E5189" s="1" t="str">
        <f t="array" ref="E5189">_xlfn.XLOOKUP(A5189,Product!A:A,Product!B:B,"Bulunamadı")</f>
        <v>Medical</v>
      </c>
      <c r="F5189" s="1" t="str">
        <f t="array" ref="F5189">_xlfn.XLOOKUP(A5189,Product!A:A,Product!C:C,"Bulunamadı")</f>
        <v>Illustration</v>
      </c>
      <c r="G5189" s="2" t="str">
        <f t="array" ref="G5189">_xlfn.XLOOKUP(A5190,Product!A:A,Product!D:D,"Bulunamadı")</f>
        <v>Rivercrest Publishing</v>
      </c>
      <c r="H5189" s="2">
        <f t="array" ref="H5189">_xlfn.XLOOKUP(A5191,Product!A:A,Product!E:E,"Bulunamadı")</f>
        <v>2.24</v>
      </c>
      <c r="I5189" s="2" t="str">
        <f t="shared" si="1"/>
        <v>4325 - Medical - Illustration</v>
      </c>
      <c r="J5189" s="2">
        <f t="shared" si="2"/>
        <v>725.76</v>
      </c>
      <c r="K5189" s="17">
        <f t="shared" si="3"/>
        <v>1</v>
      </c>
      <c r="L5189" s="18"/>
    </row>
    <row r="5190" hidden="1">
      <c r="A5190" s="2">
        <f>IFERROR(__xludf.DUMMYFUNCTION("""COMPUTED_VALUE"""),4321.0)</f>
        <v>4321</v>
      </c>
      <c r="B5190" s="2">
        <f>IFERROR(__xludf.DUMMYFUNCTION("""COMPUTED_VALUE"""),0.0)</f>
        <v>0</v>
      </c>
      <c r="C5190" s="2">
        <f>IFERROR(__xludf.DUMMYFUNCTION("""COMPUTED_VALUE"""),280.0)</f>
        <v>280</v>
      </c>
      <c r="D5190" s="3">
        <f>IFERROR(__xludf.DUMMYFUNCTION("""COMPUTED_VALUE"""),151.0)</f>
        <v>151</v>
      </c>
      <c r="E5190" s="1" t="str">
        <f t="array" ref="E5190">_xlfn.XLOOKUP(A5190,Product!A:A,Product!B:B,"Bulunamadı")</f>
        <v>Medical</v>
      </c>
      <c r="F5190" s="1" t="str">
        <f t="array" ref="F5190">_xlfn.XLOOKUP(A5190,Product!A:A,Product!C:C,"Bulunamadı")</f>
        <v>Illustration</v>
      </c>
      <c r="G5190" s="2" t="str">
        <f t="array" ref="G5190">_xlfn.XLOOKUP(A5191,Product!A:A,Product!D:D,"Bulunamadı")</f>
        <v>Rivercrest Publishing</v>
      </c>
      <c r="H5190" s="2">
        <f t="array" ref="H5190">_xlfn.XLOOKUP(A5192,Product!A:A,Product!E:E,"Bulunamadı")</f>
        <v>2.44</v>
      </c>
      <c r="I5190" s="2" t="str">
        <f t="shared" si="1"/>
        <v>4321 - Medical - Illustration</v>
      </c>
      <c r="J5190" s="2">
        <f t="shared" si="2"/>
        <v>368.44</v>
      </c>
      <c r="K5190" s="17">
        <f t="shared" si="3"/>
        <v>1</v>
      </c>
      <c r="L5190" s="18"/>
    </row>
    <row r="5191" hidden="1">
      <c r="A5191" s="2">
        <f>IFERROR(__xludf.DUMMYFUNCTION("""COMPUTED_VALUE"""),70418.0)</f>
        <v>70418</v>
      </c>
      <c r="B5191" s="2">
        <f>IFERROR(__xludf.DUMMYFUNCTION("""COMPUTED_VALUE"""),1.0)</f>
        <v>1</v>
      </c>
      <c r="C5191" s="2">
        <f>IFERROR(__xludf.DUMMYFUNCTION("""COMPUTED_VALUE"""),515.0)</f>
        <v>515</v>
      </c>
      <c r="D5191" s="3">
        <f>IFERROR(__xludf.DUMMYFUNCTION("""COMPUTED_VALUE"""),174.0)</f>
        <v>174</v>
      </c>
      <c r="E5191" s="1" t="str">
        <f t="array" ref="E5191">_xlfn.XLOOKUP(A5191,Product!A:A,Product!B:B,"Bulunamadı")</f>
        <v>Medical</v>
      </c>
      <c r="F5191" s="1" t="str">
        <f t="array" ref="F5191">_xlfn.XLOOKUP(A5191,Product!A:A,Product!C:C,"Bulunamadı")</f>
        <v>Illustration</v>
      </c>
      <c r="G5191" s="2" t="str">
        <f t="array" ref="G5191">_xlfn.XLOOKUP(A5192,Product!A:A,Product!D:D,"Bulunamadı")</f>
        <v>Rivercrest Publishing</v>
      </c>
      <c r="H5191" s="2">
        <f t="array" ref="H5191">_xlfn.XLOOKUP(A5193,Product!A:A,Product!E:E,"Bulunamadı")</f>
        <v>2.14</v>
      </c>
      <c r="I5191" s="2" t="str">
        <f t="shared" si="1"/>
        <v>70418 - Medical - Illustration</v>
      </c>
      <c r="J5191" s="2">
        <f t="shared" si="2"/>
        <v>372.36</v>
      </c>
      <c r="K5191" s="17">
        <f t="shared" si="3"/>
        <v>1</v>
      </c>
      <c r="L5191" s="18"/>
    </row>
    <row r="5192" hidden="1">
      <c r="A5192" s="2">
        <f>IFERROR(__xludf.DUMMYFUNCTION("""COMPUTED_VALUE"""),80648.0)</f>
        <v>80648</v>
      </c>
      <c r="B5192" s="2">
        <f>IFERROR(__xludf.DUMMYFUNCTION("""COMPUTED_VALUE"""),1.0)</f>
        <v>1</v>
      </c>
      <c r="C5192" s="2">
        <f>IFERROR(__xludf.DUMMYFUNCTION("""COMPUTED_VALUE"""),707.0)</f>
        <v>707</v>
      </c>
      <c r="D5192" s="3">
        <f>IFERROR(__xludf.DUMMYFUNCTION("""COMPUTED_VALUE"""),449.0)</f>
        <v>449</v>
      </c>
      <c r="E5192" s="1" t="str">
        <f t="array" ref="E5192">_xlfn.XLOOKUP(A5192,Product!A:A,Product!B:B,"Bulunamadı")</f>
        <v>Medical</v>
      </c>
      <c r="F5192" s="1" t="str">
        <f t="array" ref="F5192">_xlfn.XLOOKUP(A5192,Product!A:A,Product!C:C,"Bulunamadı")</f>
        <v>Illustration</v>
      </c>
      <c r="G5192" s="2" t="str">
        <f t="array" ref="G5192">_xlfn.XLOOKUP(A5193,Product!A:A,Product!D:D,"Bulunamadı")</f>
        <v>Rivercrest Publishing</v>
      </c>
      <c r="H5192" s="2">
        <f t="array" ref="H5192">_xlfn.XLOOKUP(A5194,Product!A:A,Product!E:E,"Bulunamadı")</f>
        <v>2.45</v>
      </c>
      <c r="I5192" s="2" t="str">
        <f t="shared" si="1"/>
        <v>80648 - Medical - Illustration</v>
      </c>
      <c r="J5192" s="2">
        <f t="shared" si="2"/>
        <v>1100.05</v>
      </c>
      <c r="K5192" s="17">
        <f t="shared" si="3"/>
        <v>1</v>
      </c>
      <c r="L5192" s="18"/>
    </row>
    <row r="5193" hidden="1">
      <c r="A5193" s="2">
        <f>IFERROR(__xludf.DUMMYFUNCTION("""COMPUTED_VALUE"""),70417.0)</f>
        <v>70417</v>
      </c>
      <c r="B5193" s="2">
        <f>IFERROR(__xludf.DUMMYFUNCTION("""COMPUTED_VALUE"""),1.0)</f>
        <v>1</v>
      </c>
      <c r="C5193" s="2">
        <f>IFERROR(__xludf.DUMMYFUNCTION("""COMPUTED_VALUE"""),322.0)</f>
        <v>322</v>
      </c>
      <c r="D5193" s="3">
        <f>IFERROR(__xludf.DUMMYFUNCTION("""COMPUTED_VALUE"""),146.0)</f>
        <v>146</v>
      </c>
      <c r="E5193" s="1" t="str">
        <f t="array" ref="E5193">_xlfn.XLOOKUP(A5193,Product!A:A,Product!B:B,"Bulunamadı")</f>
        <v>Medical</v>
      </c>
      <c r="F5193" s="1" t="str">
        <f t="array" ref="F5193">_xlfn.XLOOKUP(A5193,Product!A:A,Product!C:C,"Bulunamadı")</f>
        <v>Illustration</v>
      </c>
      <c r="G5193" s="2" t="str">
        <f t="array" ref="G5193">_xlfn.XLOOKUP(A5194,Product!A:A,Product!D:D,"Bulunamadı")</f>
        <v>Rivercrest Publishing</v>
      </c>
      <c r="H5193" s="2">
        <f t="array" ref="H5193">_xlfn.XLOOKUP(A5195,Product!A:A,Product!E:E,"Bulunamadı")</f>
        <v>2.01</v>
      </c>
      <c r="I5193" s="2" t="str">
        <f t="shared" si="1"/>
        <v>70417 - Medical - Illustration</v>
      </c>
      <c r="J5193" s="2">
        <f t="shared" si="2"/>
        <v>293.46</v>
      </c>
      <c r="K5193" s="17">
        <f t="shared" si="3"/>
        <v>1</v>
      </c>
      <c r="L5193" s="18"/>
    </row>
    <row r="5194" hidden="1">
      <c r="A5194" s="2">
        <f>IFERROR(__xludf.DUMMYFUNCTION("""COMPUTED_VALUE"""),79420.0)</f>
        <v>79420</v>
      </c>
      <c r="B5194" s="2">
        <f>IFERROR(__xludf.DUMMYFUNCTION("""COMPUTED_VALUE"""),0.0)</f>
        <v>0</v>
      </c>
      <c r="C5194" s="2">
        <f>IFERROR(__xludf.DUMMYFUNCTION("""COMPUTED_VALUE"""),960.0)</f>
        <v>960</v>
      </c>
      <c r="D5194" s="3">
        <f>IFERROR(__xludf.DUMMYFUNCTION("""COMPUTED_VALUE"""),757.0)</f>
        <v>757</v>
      </c>
      <c r="E5194" s="1" t="str">
        <f t="array" ref="E5194">_xlfn.XLOOKUP(A5194,Product!A:A,Product!B:B,"Bulunamadı")</f>
        <v>Medical</v>
      </c>
      <c r="F5194" s="1" t="str">
        <f t="array" ref="F5194">_xlfn.XLOOKUP(A5194,Product!A:A,Product!C:C,"Bulunamadı")</f>
        <v>Illustration</v>
      </c>
      <c r="G5194" s="2" t="str">
        <f t="array" ref="G5194">_xlfn.XLOOKUP(A5195,Product!A:A,Product!D:D,"Bulunamadı")</f>
        <v>Rivercrest Publishing</v>
      </c>
      <c r="H5194" s="2">
        <f t="array" ref="H5194">_xlfn.XLOOKUP(A5196,Product!A:A,Product!E:E,"Bulunamadı")</f>
        <v>2.42</v>
      </c>
      <c r="I5194" s="2" t="str">
        <f t="shared" si="1"/>
        <v>79420 - Medical - Illustration</v>
      </c>
      <c r="J5194" s="2">
        <f t="shared" si="2"/>
        <v>1831.94</v>
      </c>
      <c r="K5194" s="17">
        <f t="shared" si="3"/>
        <v>1</v>
      </c>
      <c r="L5194" s="18"/>
    </row>
    <row r="5195" hidden="1">
      <c r="A5195" s="2">
        <f>IFERROR(__xludf.DUMMYFUNCTION("""COMPUTED_VALUE"""),4327.0)</f>
        <v>4327</v>
      </c>
      <c r="B5195" s="2">
        <f>IFERROR(__xludf.DUMMYFUNCTION("""COMPUTED_VALUE"""),0.0)</f>
        <v>0</v>
      </c>
      <c r="C5195" s="2">
        <f>IFERROR(__xludf.DUMMYFUNCTION("""COMPUTED_VALUE"""),432.0)</f>
        <v>432</v>
      </c>
      <c r="D5195" s="3">
        <f>IFERROR(__xludf.DUMMYFUNCTION("""COMPUTED_VALUE"""),124.0)</f>
        <v>124</v>
      </c>
      <c r="E5195" s="1" t="str">
        <f t="array" ref="E5195">_xlfn.XLOOKUP(A5195,Product!A:A,Product!B:B,"Bulunamadı")</f>
        <v>Medical</v>
      </c>
      <c r="F5195" s="1" t="str">
        <f t="array" ref="F5195">_xlfn.XLOOKUP(A5195,Product!A:A,Product!C:C,"Bulunamadı")</f>
        <v>Illustration</v>
      </c>
      <c r="G5195" s="2" t="str">
        <f t="array" ref="G5195">_xlfn.XLOOKUP(A5196,Product!A:A,Product!D:D,"Bulunamadı")</f>
        <v>Rivercrest Publishing</v>
      </c>
      <c r="H5195" s="2">
        <f t="array" ref="H5195">_xlfn.XLOOKUP(A5197,Product!A:A,Product!E:E,"Bulunamadı")</f>
        <v>2.02</v>
      </c>
      <c r="I5195" s="2" t="str">
        <f t="shared" si="1"/>
        <v>4327 - Medical - Illustration</v>
      </c>
      <c r="J5195" s="2">
        <f t="shared" si="2"/>
        <v>250.48</v>
      </c>
      <c r="K5195" s="17">
        <f t="shared" si="3"/>
        <v>1</v>
      </c>
      <c r="L5195" s="18"/>
    </row>
    <row r="5196" hidden="1">
      <c r="A5196" s="2">
        <f>IFERROR(__xludf.DUMMYFUNCTION("""COMPUTED_VALUE"""),89505.0)</f>
        <v>89505</v>
      </c>
      <c r="B5196" s="2">
        <f>IFERROR(__xludf.DUMMYFUNCTION("""COMPUTED_VALUE"""),0.0)</f>
        <v>0</v>
      </c>
      <c r="C5196" s="2">
        <f>IFERROR(__xludf.DUMMYFUNCTION("""COMPUTED_VALUE"""),785.0)</f>
        <v>785</v>
      </c>
      <c r="D5196" s="3">
        <f>IFERROR(__xludf.DUMMYFUNCTION("""COMPUTED_VALUE"""),102.0)</f>
        <v>102</v>
      </c>
      <c r="E5196" s="1" t="str">
        <f t="array" ref="E5196">_xlfn.XLOOKUP(A5196,Product!A:A,Product!B:B,"Bulunamadı")</f>
        <v>Medical</v>
      </c>
      <c r="F5196" s="1" t="str">
        <f t="array" ref="F5196">_xlfn.XLOOKUP(A5196,Product!A:A,Product!C:C,"Bulunamadı")</f>
        <v>Illustration</v>
      </c>
      <c r="G5196" s="2" t="str">
        <f t="array" ref="G5196">_xlfn.XLOOKUP(A5197,Product!A:A,Product!D:D,"Bulunamadı")</f>
        <v>Rivercrest Publishing</v>
      </c>
      <c r="H5196" s="2">
        <f t="array" ref="H5196">_xlfn.XLOOKUP(A5198,Product!A:A,Product!E:E,"Bulunamadı")</f>
        <v>1.24</v>
      </c>
      <c r="I5196" s="2" t="str">
        <f t="shared" si="1"/>
        <v>89505 - Medical - Illustration</v>
      </c>
      <c r="J5196" s="2">
        <f t="shared" si="2"/>
        <v>126.48</v>
      </c>
      <c r="K5196" s="17">
        <f t="shared" si="3"/>
        <v>1</v>
      </c>
      <c r="L5196" s="18"/>
    </row>
    <row r="5197" hidden="1">
      <c r="A5197" s="2">
        <f>IFERROR(__xludf.DUMMYFUNCTION("""COMPUTED_VALUE"""),128344.0)</f>
        <v>128344</v>
      </c>
      <c r="B5197" s="2">
        <f>IFERROR(__xludf.DUMMYFUNCTION("""COMPUTED_VALUE"""),1.0)</f>
        <v>1</v>
      </c>
      <c r="C5197" s="2">
        <f>IFERROR(__xludf.DUMMYFUNCTION("""COMPUTED_VALUE"""),154.0)</f>
        <v>154</v>
      </c>
      <c r="D5197" s="3">
        <f>IFERROR(__xludf.DUMMYFUNCTION("""COMPUTED_VALUE"""),139.0)</f>
        <v>139</v>
      </c>
      <c r="E5197" s="1" t="str">
        <f t="array" ref="E5197">_xlfn.XLOOKUP(A5197,Product!A:A,Product!B:B,"Bulunamadı")</f>
        <v>Medical</v>
      </c>
      <c r="F5197" s="1" t="str">
        <f t="array" ref="F5197">_xlfn.XLOOKUP(A5197,Product!A:A,Product!C:C,"Bulunamadı")</f>
        <v>Illustration</v>
      </c>
      <c r="G5197" s="2" t="str">
        <f t="array" ref="G5197">_xlfn.XLOOKUP(A5198,Product!A:A,Product!D:D,"Bulunamadı")</f>
        <v>Rivercrest Publishing</v>
      </c>
      <c r="H5197" s="2">
        <f t="array" ref="H5197">_xlfn.XLOOKUP(A5199,Product!A:A,Product!E:E,"Bulunamadı")</f>
        <v>2.18</v>
      </c>
      <c r="I5197" s="2" t="str">
        <f t="shared" si="1"/>
        <v>128344 - Medical - Illustration</v>
      </c>
      <c r="J5197" s="2">
        <f t="shared" si="2"/>
        <v>303.02</v>
      </c>
      <c r="K5197" s="17">
        <f t="shared" si="3"/>
        <v>1</v>
      </c>
      <c r="L5197" s="18"/>
    </row>
    <row r="5198" hidden="1">
      <c r="A5198" s="2">
        <f>IFERROR(__xludf.DUMMYFUNCTION("""COMPUTED_VALUE"""),79421.0)</f>
        <v>79421</v>
      </c>
      <c r="B5198" s="2">
        <f>IFERROR(__xludf.DUMMYFUNCTION("""COMPUTED_VALUE"""),1.0)</f>
        <v>1</v>
      </c>
      <c r="C5198" s="2">
        <f>IFERROR(__xludf.DUMMYFUNCTION("""COMPUTED_VALUE"""),843.0)</f>
        <v>843</v>
      </c>
      <c r="D5198" s="3">
        <f>IFERROR(__xludf.DUMMYFUNCTION("""COMPUTED_VALUE"""),695.0)</f>
        <v>695</v>
      </c>
      <c r="E5198" s="1" t="str">
        <f t="array" ref="E5198">_xlfn.XLOOKUP(A5198,Product!A:A,Product!B:B,"Bulunamadı")</f>
        <v>Medical</v>
      </c>
      <c r="F5198" s="1" t="str">
        <f t="array" ref="F5198">_xlfn.XLOOKUP(A5198,Product!A:A,Product!C:C,"Bulunamadı")</f>
        <v>Illustration</v>
      </c>
      <c r="G5198" s="2" t="str">
        <f t="array" ref="G5198">_xlfn.XLOOKUP(A5199,Product!A:A,Product!D:D,"Bulunamadı")</f>
        <v>Rivercrest Publishing</v>
      </c>
      <c r="H5198" s="2">
        <f t="array" ref="H5198">_xlfn.XLOOKUP(A5200,Product!A:A,Product!E:E,"Bulunamadı")</f>
        <v>2.11</v>
      </c>
      <c r="I5198" s="2" t="str">
        <f t="shared" si="1"/>
        <v>79421 - Medical - Illustration</v>
      </c>
      <c r="J5198" s="2">
        <f t="shared" si="2"/>
        <v>1466.45</v>
      </c>
      <c r="K5198" s="17">
        <f t="shared" si="3"/>
        <v>1</v>
      </c>
      <c r="L5198" s="18"/>
    </row>
    <row r="5199" hidden="1">
      <c r="A5199" s="2">
        <f>IFERROR(__xludf.DUMMYFUNCTION("""COMPUTED_VALUE"""),128336.0)</f>
        <v>128336</v>
      </c>
      <c r="B5199" s="2">
        <f>IFERROR(__xludf.DUMMYFUNCTION("""COMPUTED_VALUE"""),0.0)</f>
        <v>0</v>
      </c>
      <c r="C5199" s="2">
        <f>IFERROR(__xludf.DUMMYFUNCTION("""COMPUTED_VALUE"""),29.0)</f>
        <v>29</v>
      </c>
      <c r="D5199" s="3">
        <f>IFERROR(__xludf.DUMMYFUNCTION("""COMPUTED_VALUE"""),1.0)</f>
        <v>1</v>
      </c>
      <c r="E5199" s="1" t="str">
        <f t="array" ref="E5199">_xlfn.XLOOKUP(A5199,Product!A:A,Product!B:B,"Bulunamadı")</f>
        <v>Medical</v>
      </c>
      <c r="F5199" s="1" t="str">
        <f t="array" ref="F5199">_xlfn.XLOOKUP(A5199,Product!A:A,Product!C:C,"Bulunamadı")</f>
        <v>Illustration</v>
      </c>
      <c r="G5199" s="2" t="str">
        <f t="array" ref="G5199">_xlfn.XLOOKUP(A5200,Product!A:A,Product!D:D,"Bulunamadı")</f>
        <v>Rivercrest Publishing</v>
      </c>
      <c r="H5199" s="2">
        <f t="array" ref="H5199">_xlfn.XLOOKUP(A5201,Product!A:A,Product!E:E,"Bulunamadı")</f>
        <v>1.7</v>
      </c>
      <c r="I5199" s="2" t="str">
        <f t="shared" si="1"/>
        <v>128336 - Medical - Illustration</v>
      </c>
      <c r="J5199" s="2">
        <f t="shared" si="2"/>
        <v>1.7</v>
      </c>
      <c r="K5199" s="17">
        <f t="shared" si="3"/>
        <v>1</v>
      </c>
      <c r="L5199" s="18"/>
    </row>
    <row r="5200" hidden="1">
      <c r="A5200" s="2">
        <f>IFERROR(__xludf.DUMMYFUNCTION("""COMPUTED_VALUE"""),5081.0)</f>
        <v>5081</v>
      </c>
      <c r="B5200" s="2">
        <f>IFERROR(__xludf.DUMMYFUNCTION("""COMPUTED_VALUE"""),1.0)</f>
        <v>1</v>
      </c>
      <c r="C5200" s="2">
        <f>IFERROR(__xludf.DUMMYFUNCTION("""COMPUTED_VALUE"""),-6.0)</f>
        <v>-6</v>
      </c>
      <c r="D5200" s="3">
        <f>IFERROR(__xludf.DUMMYFUNCTION("""COMPUTED_VALUE"""),-2.0)</f>
        <v>-2</v>
      </c>
      <c r="E5200" s="1" t="str">
        <f t="array" ref="E5200">_xlfn.XLOOKUP(A5200,Product!A:A,Product!B:B,"Bulunamadı")</f>
        <v>Medical</v>
      </c>
      <c r="F5200" s="1" t="str">
        <f t="array" ref="F5200">_xlfn.XLOOKUP(A5200,Product!A:A,Product!C:C,"Bulunamadı")</f>
        <v>Illustration</v>
      </c>
      <c r="G5200" s="2" t="str">
        <f t="array" ref="G5200">_xlfn.XLOOKUP(A5201,Product!A:A,Product!D:D,"Bulunamadı")</f>
        <v>Rivercrest Publishing</v>
      </c>
      <c r="H5200" s="2">
        <f t="array" ref="H5200">_xlfn.XLOOKUP(A5202,Product!A:A,Product!E:E,"Bulunamadı")</f>
        <v>2.33</v>
      </c>
      <c r="I5200" s="2" t="str">
        <f t="shared" si="1"/>
        <v>5081 - Medical - Illustration</v>
      </c>
      <c r="J5200" s="2">
        <f t="shared" si="2"/>
        <v>-4.66</v>
      </c>
      <c r="K5200" s="17">
        <f t="shared" si="3"/>
        <v>0</v>
      </c>
      <c r="L5200" s="18"/>
    </row>
    <row r="5201" hidden="1">
      <c r="A5201" s="2">
        <f>IFERROR(__xludf.DUMMYFUNCTION("""COMPUTED_VALUE"""),79423.0)</f>
        <v>79423</v>
      </c>
      <c r="B5201" s="2">
        <f>IFERROR(__xludf.DUMMYFUNCTION("""COMPUTED_VALUE"""),1.0)</f>
        <v>1</v>
      </c>
      <c r="C5201" s="2">
        <f>IFERROR(__xludf.DUMMYFUNCTION("""COMPUTED_VALUE"""),287.0)</f>
        <v>287</v>
      </c>
      <c r="D5201" s="3">
        <f>IFERROR(__xludf.DUMMYFUNCTION("""COMPUTED_VALUE"""),138.0)</f>
        <v>138</v>
      </c>
      <c r="E5201" s="1" t="str">
        <f t="array" ref="E5201">_xlfn.XLOOKUP(A5201,Product!A:A,Product!B:B,"Bulunamadı")</f>
        <v>Medical</v>
      </c>
      <c r="F5201" s="1" t="str">
        <f t="array" ref="F5201">_xlfn.XLOOKUP(A5201,Product!A:A,Product!C:C,"Bulunamadı")</f>
        <v>Illustration</v>
      </c>
      <c r="G5201" s="2" t="str">
        <f t="array" ref="G5201">_xlfn.XLOOKUP(A5202,Product!A:A,Product!D:D,"Bulunamadı")</f>
        <v>Ironcrest Publishing</v>
      </c>
      <c r="H5201" s="2">
        <f t="array" ref="H5201">_xlfn.XLOOKUP(A5203,Product!A:A,Product!E:E,"Bulunamadı")</f>
        <v>1.37</v>
      </c>
      <c r="I5201" s="2" t="str">
        <f t="shared" si="1"/>
        <v>79423 - Medical - Illustration</v>
      </c>
      <c r="J5201" s="2">
        <f t="shared" si="2"/>
        <v>189.06</v>
      </c>
      <c r="K5201" s="17">
        <f t="shared" si="3"/>
        <v>1</v>
      </c>
      <c r="L5201" s="18"/>
    </row>
    <row r="5202" hidden="1">
      <c r="A5202" s="2">
        <f>IFERROR(__xludf.DUMMYFUNCTION("""COMPUTED_VALUE"""),116481.0)</f>
        <v>116481</v>
      </c>
      <c r="B5202" s="2">
        <f>IFERROR(__xludf.DUMMYFUNCTION("""COMPUTED_VALUE"""),1.0)</f>
        <v>1</v>
      </c>
      <c r="C5202" s="2">
        <f>IFERROR(__xludf.DUMMYFUNCTION("""COMPUTED_VALUE"""),697.0)</f>
        <v>697</v>
      </c>
      <c r="D5202" s="3">
        <f>IFERROR(__xludf.DUMMYFUNCTION("""COMPUTED_VALUE"""),228.0)</f>
        <v>228</v>
      </c>
      <c r="E5202" s="1" t="str">
        <f t="array" ref="E5202">_xlfn.XLOOKUP(A5202,Product!A:A,Product!B:B,"Bulunamadı")</f>
        <v>Medical</v>
      </c>
      <c r="F5202" s="1" t="str">
        <f t="array" ref="F5202">_xlfn.XLOOKUP(A5202,Product!A:A,Product!C:C,"Bulunamadı")</f>
        <v>Illustration</v>
      </c>
      <c r="G5202" s="2" t="str">
        <f t="array" ref="G5202">_xlfn.XLOOKUP(A5203,Product!A:A,Product!D:D,"Bulunamadı")</f>
        <v>Ironcrest Publishing</v>
      </c>
      <c r="H5202" s="2">
        <f t="array" ref="H5202">_xlfn.XLOOKUP(A5204,Product!A:A,Product!E:E,"Bulunamadı")</f>
        <v>2.65</v>
      </c>
      <c r="I5202" s="2" t="str">
        <f t="shared" si="1"/>
        <v>116481 - Medical - Illustration</v>
      </c>
      <c r="J5202" s="2">
        <f t="shared" si="2"/>
        <v>604.2</v>
      </c>
      <c r="K5202" s="17">
        <f t="shared" si="3"/>
        <v>1</v>
      </c>
      <c r="L5202" s="18"/>
    </row>
    <row r="5203" hidden="1">
      <c r="A5203" s="2">
        <f>IFERROR(__xludf.DUMMYFUNCTION("""COMPUTED_VALUE"""),118278.0)</f>
        <v>118278</v>
      </c>
      <c r="B5203" s="2">
        <f>IFERROR(__xludf.DUMMYFUNCTION("""COMPUTED_VALUE"""),0.0)</f>
        <v>0</v>
      </c>
      <c r="C5203" s="2">
        <f>IFERROR(__xludf.DUMMYFUNCTION("""COMPUTED_VALUE"""),141.0)</f>
        <v>141</v>
      </c>
      <c r="D5203" s="3">
        <f>IFERROR(__xludf.DUMMYFUNCTION("""COMPUTED_VALUE"""),21.0)</f>
        <v>21</v>
      </c>
      <c r="E5203" s="1" t="str">
        <f t="array" ref="E5203">_xlfn.XLOOKUP(A5203,Product!A:A,Product!B:B,"Bulunamadı")</f>
        <v>Medical</v>
      </c>
      <c r="F5203" s="1" t="str">
        <f t="array" ref="F5203">_xlfn.XLOOKUP(A5203,Product!A:A,Product!C:C,"Bulunamadı")</f>
        <v>Illustration</v>
      </c>
      <c r="G5203" s="2" t="str">
        <f t="array" ref="G5203">_xlfn.XLOOKUP(A5204,Product!A:A,Product!D:D,"Bulunamadı")</f>
        <v>Ironcrest Publishing</v>
      </c>
      <c r="H5203" s="2">
        <f t="array" ref="H5203">_xlfn.XLOOKUP(A5205,Product!A:A,Product!E:E,"Bulunamadı")</f>
        <v>2.36</v>
      </c>
      <c r="I5203" s="2" t="str">
        <f t="shared" si="1"/>
        <v>118278 - Medical - Illustration</v>
      </c>
      <c r="J5203" s="2">
        <f t="shared" si="2"/>
        <v>49.56</v>
      </c>
      <c r="K5203" s="17">
        <f t="shared" si="3"/>
        <v>1</v>
      </c>
      <c r="L5203" s="18"/>
    </row>
    <row r="5204" hidden="1">
      <c r="A5204" s="2">
        <f>IFERROR(__xludf.DUMMYFUNCTION("""COMPUTED_VALUE"""),116440.0)</f>
        <v>116440</v>
      </c>
      <c r="B5204" s="2">
        <f>IFERROR(__xludf.DUMMYFUNCTION("""COMPUTED_VALUE"""),0.0)</f>
        <v>0</v>
      </c>
      <c r="C5204" s="2">
        <f>IFERROR(__xludf.DUMMYFUNCTION("""COMPUTED_VALUE"""),266.0)</f>
        <v>266</v>
      </c>
      <c r="D5204" s="3">
        <f>IFERROR(__xludf.DUMMYFUNCTION("""COMPUTED_VALUE"""),213.0)</f>
        <v>213</v>
      </c>
      <c r="E5204" s="1" t="str">
        <f t="array" ref="E5204">_xlfn.XLOOKUP(A5204,Product!A:A,Product!B:B,"Bulunamadı")</f>
        <v>Medical</v>
      </c>
      <c r="F5204" s="1" t="str">
        <f t="array" ref="F5204">_xlfn.XLOOKUP(A5204,Product!A:A,Product!C:C,"Bulunamadı")</f>
        <v>Illustration</v>
      </c>
      <c r="G5204" s="2" t="str">
        <f t="array" ref="G5204">_xlfn.XLOOKUP(A5205,Product!A:A,Product!D:D,"Bulunamadı")</f>
        <v>Ironcrest Publishing</v>
      </c>
      <c r="H5204" s="2">
        <f t="array" ref="H5204">_xlfn.XLOOKUP(A5206,Product!A:A,Product!E:E,"Bulunamadı")</f>
        <v>1.87</v>
      </c>
      <c r="I5204" s="2" t="str">
        <f t="shared" si="1"/>
        <v>116440 - Medical - Illustration</v>
      </c>
      <c r="J5204" s="2">
        <f t="shared" si="2"/>
        <v>398.31</v>
      </c>
      <c r="K5204" s="17">
        <f t="shared" si="3"/>
        <v>1</v>
      </c>
      <c r="L5204" s="18"/>
    </row>
    <row r="5205" hidden="1">
      <c r="A5205" s="2">
        <f>IFERROR(__xludf.DUMMYFUNCTION("""COMPUTED_VALUE"""),116478.0)</f>
        <v>116478</v>
      </c>
      <c r="B5205" s="2">
        <f>IFERROR(__xludf.DUMMYFUNCTION("""COMPUTED_VALUE"""),0.0)</f>
        <v>0</v>
      </c>
      <c r="C5205" s="2">
        <f>IFERROR(__xludf.DUMMYFUNCTION("""COMPUTED_VALUE"""),811.0)</f>
        <v>811</v>
      </c>
      <c r="D5205" s="3">
        <f>IFERROR(__xludf.DUMMYFUNCTION("""COMPUTED_VALUE"""),110.0)</f>
        <v>110</v>
      </c>
      <c r="E5205" s="1" t="str">
        <f t="array" ref="E5205">_xlfn.XLOOKUP(A5205,Product!A:A,Product!B:B,"Bulunamadı")</f>
        <v>Medical</v>
      </c>
      <c r="F5205" s="1" t="str">
        <f t="array" ref="F5205">_xlfn.XLOOKUP(A5205,Product!A:A,Product!C:C,"Bulunamadı")</f>
        <v>Illustration</v>
      </c>
      <c r="G5205" s="2" t="str">
        <f t="array" ref="G5205">_xlfn.XLOOKUP(A5206,Product!A:A,Product!D:D,"Bulunamadı")</f>
        <v>Ironcrest Publishing</v>
      </c>
      <c r="H5205" s="2">
        <f t="array" ref="H5205">_xlfn.XLOOKUP(A5207,Product!A:A,Product!E:E,"Bulunamadı")</f>
        <v>1.48</v>
      </c>
      <c r="I5205" s="2" t="str">
        <f t="shared" si="1"/>
        <v>116478 - Medical - Illustration</v>
      </c>
      <c r="J5205" s="2">
        <f t="shared" si="2"/>
        <v>162.8</v>
      </c>
      <c r="K5205" s="17">
        <f t="shared" si="3"/>
        <v>1</v>
      </c>
      <c r="L5205" s="18"/>
    </row>
    <row r="5206" hidden="1">
      <c r="A5206" s="2">
        <f>IFERROR(__xludf.DUMMYFUNCTION("""COMPUTED_VALUE"""),139305.0)</f>
        <v>139305</v>
      </c>
      <c r="B5206" s="2">
        <f>IFERROR(__xludf.DUMMYFUNCTION("""COMPUTED_VALUE"""),0.0)</f>
        <v>0</v>
      </c>
      <c r="C5206" s="2">
        <f>IFERROR(__xludf.DUMMYFUNCTION("""COMPUTED_VALUE"""),203.0)</f>
        <v>203</v>
      </c>
      <c r="D5206" s="3">
        <f>IFERROR(__xludf.DUMMYFUNCTION("""COMPUTED_VALUE"""),117.0)</f>
        <v>117</v>
      </c>
      <c r="E5206" s="1" t="str">
        <f t="array" ref="E5206">_xlfn.XLOOKUP(A5206,Product!A:A,Product!B:B,"Bulunamadı")</f>
        <v>Medical</v>
      </c>
      <c r="F5206" s="1" t="str">
        <f t="array" ref="F5206">_xlfn.XLOOKUP(A5206,Product!A:A,Product!C:C,"Bulunamadı")</f>
        <v>Illustration</v>
      </c>
      <c r="G5206" s="2" t="str">
        <f t="array" ref="G5206">_xlfn.XLOOKUP(A5207,Product!A:A,Product!D:D,"Bulunamadı")</f>
        <v>Ironcrest Publishing</v>
      </c>
      <c r="H5206" s="2">
        <f t="array" ref="H5206">_xlfn.XLOOKUP(A5208,Product!A:A,Product!E:E,"Bulunamadı")</f>
        <v>2.09</v>
      </c>
      <c r="I5206" s="2" t="str">
        <f t="shared" si="1"/>
        <v>139305 - Medical - Illustration</v>
      </c>
      <c r="J5206" s="2">
        <f t="shared" si="2"/>
        <v>244.53</v>
      </c>
      <c r="K5206" s="17">
        <f t="shared" si="3"/>
        <v>1</v>
      </c>
      <c r="L5206" s="18"/>
    </row>
    <row r="5207" hidden="1">
      <c r="A5207" s="2">
        <f>IFERROR(__xludf.DUMMYFUNCTION("""COMPUTED_VALUE"""),118280.0)</f>
        <v>118280</v>
      </c>
      <c r="B5207" s="2">
        <f>IFERROR(__xludf.DUMMYFUNCTION("""COMPUTED_VALUE"""),0.0)</f>
        <v>0</v>
      </c>
      <c r="C5207" s="2">
        <f>IFERROR(__xludf.DUMMYFUNCTION("""COMPUTED_VALUE"""),518.0)</f>
        <v>518</v>
      </c>
      <c r="D5207" s="3">
        <f>IFERROR(__xludf.DUMMYFUNCTION("""COMPUTED_VALUE"""),51.0)</f>
        <v>51</v>
      </c>
      <c r="E5207" s="1" t="str">
        <f t="array" ref="E5207">_xlfn.XLOOKUP(A5207,Product!A:A,Product!B:B,"Bulunamadı")</f>
        <v>Medical</v>
      </c>
      <c r="F5207" s="1" t="str">
        <f t="array" ref="F5207">_xlfn.XLOOKUP(A5207,Product!A:A,Product!C:C,"Bulunamadı")</f>
        <v>Illustration</v>
      </c>
      <c r="G5207" s="2" t="str">
        <f t="array" ref="G5207">_xlfn.XLOOKUP(A5208,Product!A:A,Product!D:D,"Bulunamadı")</f>
        <v>Ironcrest Publishing</v>
      </c>
      <c r="H5207" s="2">
        <f t="array" ref="H5207">_xlfn.XLOOKUP(A5209,Product!A:A,Product!E:E,"Bulunamadı")</f>
        <v>2.39</v>
      </c>
      <c r="I5207" s="2" t="str">
        <f t="shared" si="1"/>
        <v>118280 - Medical - Illustration</v>
      </c>
      <c r="J5207" s="2">
        <f t="shared" si="2"/>
        <v>121.89</v>
      </c>
      <c r="K5207" s="17">
        <f t="shared" si="3"/>
        <v>1</v>
      </c>
      <c r="L5207" s="18"/>
    </row>
    <row r="5208" hidden="1">
      <c r="A5208" s="2">
        <f>IFERROR(__xludf.DUMMYFUNCTION("""COMPUTED_VALUE"""),116506.0)</f>
        <v>116506</v>
      </c>
      <c r="B5208" s="2">
        <f>IFERROR(__xludf.DUMMYFUNCTION("""COMPUTED_VALUE"""),0.0)</f>
        <v>0</v>
      </c>
      <c r="C5208" s="2">
        <f>IFERROR(__xludf.DUMMYFUNCTION("""COMPUTED_VALUE"""),137.0)</f>
        <v>137</v>
      </c>
      <c r="D5208" s="3">
        <f>IFERROR(__xludf.DUMMYFUNCTION("""COMPUTED_VALUE"""),100.0)</f>
        <v>100</v>
      </c>
      <c r="E5208" s="1" t="str">
        <f t="array" ref="E5208">_xlfn.XLOOKUP(A5208,Product!A:A,Product!B:B,"Bulunamadı")</f>
        <v>Medical</v>
      </c>
      <c r="F5208" s="1" t="str">
        <f t="array" ref="F5208">_xlfn.XLOOKUP(A5208,Product!A:A,Product!C:C,"Bulunamadı")</f>
        <v>Illustration</v>
      </c>
      <c r="G5208" s="2" t="str">
        <f t="array" ref="G5208">_xlfn.XLOOKUP(A5209,Product!A:A,Product!D:D,"Bulunamadı")</f>
        <v>Ironcrest Publishing</v>
      </c>
      <c r="H5208" s="2">
        <f t="array" ref="H5208">_xlfn.XLOOKUP(A5210,Product!A:A,Product!E:E,"Bulunamadı")</f>
        <v>2.88</v>
      </c>
      <c r="I5208" s="2" t="str">
        <f t="shared" si="1"/>
        <v>116506 - Medical - Illustration</v>
      </c>
      <c r="J5208" s="2">
        <f t="shared" si="2"/>
        <v>288</v>
      </c>
      <c r="K5208" s="17">
        <f t="shared" si="3"/>
        <v>1</v>
      </c>
      <c r="L5208" s="18"/>
    </row>
    <row r="5209" hidden="1">
      <c r="A5209" s="2">
        <f>IFERROR(__xludf.DUMMYFUNCTION("""COMPUTED_VALUE"""),116504.0)</f>
        <v>116504</v>
      </c>
      <c r="B5209" s="2">
        <f>IFERROR(__xludf.DUMMYFUNCTION("""COMPUTED_VALUE"""),0.0)</f>
        <v>0</v>
      </c>
      <c r="C5209" s="2">
        <f>IFERROR(__xludf.DUMMYFUNCTION("""COMPUTED_VALUE"""),567.0)</f>
        <v>567</v>
      </c>
      <c r="D5209" s="3">
        <f>IFERROR(__xludf.DUMMYFUNCTION("""COMPUTED_VALUE"""),431.0)</f>
        <v>431</v>
      </c>
      <c r="E5209" s="1" t="str">
        <f t="array" ref="E5209">_xlfn.XLOOKUP(A5209,Product!A:A,Product!B:B,"Bulunamadı")</f>
        <v>Medical</v>
      </c>
      <c r="F5209" s="1" t="str">
        <f t="array" ref="F5209">_xlfn.XLOOKUP(A5209,Product!A:A,Product!C:C,"Bulunamadı")</f>
        <v>Illustration</v>
      </c>
      <c r="G5209" s="2" t="str">
        <f t="array" ref="G5209">_xlfn.XLOOKUP(A5210,Product!A:A,Product!D:D,"Bulunamadı")</f>
        <v>Ironcrest Publishing</v>
      </c>
      <c r="H5209" s="2">
        <f t="array" ref="H5209">_xlfn.XLOOKUP(A5211,Product!A:A,Product!E:E,"Bulunamadı")</f>
        <v>1.59</v>
      </c>
      <c r="I5209" s="2" t="str">
        <f t="shared" si="1"/>
        <v>116504 - Medical - Illustration</v>
      </c>
      <c r="J5209" s="2">
        <f t="shared" si="2"/>
        <v>685.29</v>
      </c>
      <c r="K5209" s="17">
        <f t="shared" si="3"/>
        <v>1</v>
      </c>
      <c r="L5209" s="18"/>
    </row>
    <row r="5210" hidden="1">
      <c r="A5210" s="2">
        <f>IFERROR(__xludf.DUMMYFUNCTION("""COMPUTED_VALUE"""),116435.0)</f>
        <v>116435</v>
      </c>
      <c r="B5210" s="2">
        <f>IFERROR(__xludf.DUMMYFUNCTION("""COMPUTED_VALUE"""),1.0)</f>
        <v>1</v>
      </c>
      <c r="C5210" s="2">
        <f>IFERROR(__xludf.DUMMYFUNCTION("""COMPUTED_VALUE"""),801.0)</f>
        <v>801</v>
      </c>
      <c r="D5210" s="3">
        <f>IFERROR(__xludf.DUMMYFUNCTION("""COMPUTED_VALUE"""),523.0)</f>
        <v>523</v>
      </c>
      <c r="E5210" s="1" t="str">
        <f t="array" ref="E5210">_xlfn.XLOOKUP(A5210,Product!A:A,Product!B:B,"Bulunamadı")</f>
        <v>Medical</v>
      </c>
      <c r="F5210" s="1" t="str">
        <f t="array" ref="F5210">_xlfn.XLOOKUP(A5210,Product!A:A,Product!C:C,"Bulunamadı")</f>
        <v>Illustration</v>
      </c>
      <c r="G5210" s="2" t="str">
        <f t="array" ref="G5210">_xlfn.XLOOKUP(A5211,Product!A:A,Product!D:D,"Bulunamadı")</f>
        <v>Ironcrest Publishing</v>
      </c>
      <c r="H5210" s="2">
        <f t="array" ref="H5210">_xlfn.XLOOKUP(A5212,Product!A:A,Product!E:E,"Bulunamadı")</f>
        <v>3.68</v>
      </c>
      <c r="I5210" s="2" t="str">
        <f t="shared" si="1"/>
        <v>116435 - Medical - Illustration</v>
      </c>
      <c r="J5210" s="2">
        <f t="shared" si="2"/>
        <v>1924.64</v>
      </c>
      <c r="K5210" s="17">
        <f t="shared" si="3"/>
        <v>1</v>
      </c>
      <c r="L5210" s="18"/>
    </row>
    <row r="5211" hidden="1">
      <c r="A5211" s="2">
        <f>IFERROR(__xludf.DUMMYFUNCTION("""COMPUTED_VALUE"""),70575.0)</f>
        <v>70575</v>
      </c>
      <c r="B5211" s="2">
        <f>IFERROR(__xludf.DUMMYFUNCTION("""COMPUTED_VALUE"""),0.0)</f>
        <v>0</v>
      </c>
      <c r="C5211" s="2">
        <f>IFERROR(__xludf.DUMMYFUNCTION("""COMPUTED_VALUE"""),756.0)</f>
        <v>756</v>
      </c>
      <c r="D5211" s="3">
        <f>IFERROR(__xludf.DUMMYFUNCTION("""COMPUTED_VALUE"""),56.0)</f>
        <v>56</v>
      </c>
      <c r="E5211" s="1" t="str">
        <f t="array" ref="E5211">_xlfn.XLOOKUP(A5211,Product!A:A,Product!B:B,"Bulunamadı")</f>
        <v>Medical</v>
      </c>
      <c r="F5211" s="1" t="str">
        <f t="array" ref="F5211">_xlfn.XLOOKUP(A5211,Product!A:A,Product!C:C,"Bulunamadı")</f>
        <v>Illustration</v>
      </c>
      <c r="G5211" s="2" t="str">
        <f t="array" ref="G5211">_xlfn.XLOOKUP(A5212,Product!A:A,Product!D:D,"Bulunamadı")</f>
        <v>Silverbrook Publishing House</v>
      </c>
      <c r="H5211" s="2">
        <f t="array" ref="H5211">_xlfn.XLOOKUP(A5213,Product!A:A,Product!E:E,"Bulunamadı")</f>
        <v>2.37</v>
      </c>
      <c r="I5211" s="2" t="str">
        <f t="shared" si="1"/>
        <v>70575 - Medical - Illustration</v>
      </c>
      <c r="J5211" s="2">
        <f t="shared" si="2"/>
        <v>132.72</v>
      </c>
      <c r="K5211" s="17">
        <f t="shared" si="3"/>
        <v>1</v>
      </c>
      <c r="L5211" s="18"/>
    </row>
    <row r="5212" hidden="1">
      <c r="A5212" s="2">
        <f>IFERROR(__xludf.DUMMYFUNCTION("""COMPUTED_VALUE"""),128343.0)</f>
        <v>128343</v>
      </c>
      <c r="B5212" s="2">
        <f>IFERROR(__xludf.DUMMYFUNCTION("""COMPUTED_VALUE"""),1.0)</f>
        <v>1</v>
      </c>
      <c r="C5212" s="2">
        <f>IFERROR(__xludf.DUMMYFUNCTION("""COMPUTED_VALUE"""),93.0)</f>
        <v>93</v>
      </c>
      <c r="D5212" s="3">
        <f>IFERROR(__xludf.DUMMYFUNCTION("""COMPUTED_VALUE"""),38.0)</f>
        <v>38</v>
      </c>
      <c r="E5212" s="1" t="str">
        <f t="array" ref="E5212">_xlfn.XLOOKUP(A5212,Product!A:A,Product!B:B,"Bulunamadı")</f>
        <v>Medical</v>
      </c>
      <c r="F5212" s="1" t="str">
        <f t="array" ref="F5212">_xlfn.XLOOKUP(A5212,Product!A:A,Product!C:C,"Bulunamadı")</f>
        <v>Illustration</v>
      </c>
      <c r="G5212" s="2" t="str">
        <f t="array" ref="G5212">_xlfn.XLOOKUP(A5213,Product!A:A,Product!D:D,"Bulunamadı")</f>
        <v>Silverbrook Publishing House</v>
      </c>
      <c r="H5212" s="2">
        <f t="array" ref="H5212">_xlfn.XLOOKUP(A5214,Product!A:A,Product!E:E,"Bulunamadı")</f>
        <v>3.88</v>
      </c>
      <c r="I5212" s="2" t="str">
        <f t="shared" si="1"/>
        <v>128343 - Medical - Illustration</v>
      </c>
      <c r="J5212" s="2">
        <f t="shared" si="2"/>
        <v>147.44</v>
      </c>
      <c r="K5212" s="17">
        <f t="shared" si="3"/>
        <v>1</v>
      </c>
      <c r="L5212" s="18"/>
    </row>
    <row r="5213" hidden="1">
      <c r="A5213" s="2">
        <f>IFERROR(__xludf.DUMMYFUNCTION("""COMPUTED_VALUE"""),112099.0)</f>
        <v>112099</v>
      </c>
      <c r="B5213" s="2">
        <f>IFERROR(__xludf.DUMMYFUNCTION("""COMPUTED_VALUE"""),1.0)</f>
        <v>1</v>
      </c>
      <c r="C5213" s="2">
        <f>IFERROR(__xludf.DUMMYFUNCTION("""COMPUTED_VALUE"""),320.0)</f>
        <v>320</v>
      </c>
      <c r="D5213" s="3">
        <f>IFERROR(__xludf.DUMMYFUNCTION("""COMPUTED_VALUE"""),193.0)</f>
        <v>193</v>
      </c>
      <c r="E5213" s="1" t="str">
        <f t="array" ref="E5213">_xlfn.XLOOKUP(A5213,Product!A:A,Product!B:B,"Bulunamadı")</f>
        <v>Medical</v>
      </c>
      <c r="F5213" s="1" t="str">
        <f t="array" ref="F5213">_xlfn.XLOOKUP(A5213,Product!A:A,Product!C:C,"Bulunamadı")</f>
        <v>Illustration</v>
      </c>
      <c r="G5213" s="2" t="str">
        <f t="array" ref="G5213">_xlfn.XLOOKUP(A5214,Product!A:A,Product!D:D,"Bulunamadı")</f>
        <v>Silverbrook Publishing House</v>
      </c>
      <c r="H5213" s="2">
        <f t="array" ref="H5213">_xlfn.XLOOKUP(A5215,Product!A:A,Product!E:E,"Bulunamadı")</f>
        <v>3.08</v>
      </c>
      <c r="I5213" s="2" t="str">
        <f t="shared" si="1"/>
        <v>112099 - Medical - Illustration</v>
      </c>
      <c r="J5213" s="2">
        <f t="shared" si="2"/>
        <v>594.44</v>
      </c>
      <c r="K5213" s="17">
        <f t="shared" si="3"/>
        <v>1</v>
      </c>
      <c r="L5213" s="18"/>
    </row>
    <row r="5214" hidden="1">
      <c r="A5214" s="2">
        <f>IFERROR(__xludf.DUMMYFUNCTION("""COMPUTED_VALUE"""),128337.0)</f>
        <v>128337</v>
      </c>
      <c r="B5214" s="2">
        <f>IFERROR(__xludf.DUMMYFUNCTION("""COMPUTED_VALUE"""),1.0)</f>
        <v>1</v>
      </c>
      <c r="C5214" s="2">
        <f>IFERROR(__xludf.DUMMYFUNCTION("""COMPUTED_VALUE"""),181.0)</f>
        <v>181</v>
      </c>
      <c r="D5214" s="3">
        <f>IFERROR(__xludf.DUMMYFUNCTION("""COMPUTED_VALUE"""),73.0)</f>
        <v>73</v>
      </c>
      <c r="E5214" s="1" t="str">
        <f t="array" ref="E5214">_xlfn.XLOOKUP(A5214,Product!A:A,Product!B:B,"Bulunamadı")</f>
        <v>Medical</v>
      </c>
      <c r="F5214" s="1" t="str">
        <f t="array" ref="F5214">_xlfn.XLOOKUP(A5214,Product!A:A,Product!C:C,"Bulunamadı")</f>
        <v>Illustration</v>
      </c>
      <c r="G5214" s="2" t="str">
        <f t="array" ref="G5214">_xlfn.XLOOKUP(A5215,Product!A:A,Product!D:D,"Bulunamadı")</f>
        <v>Silverbrook Publishing House</v>
      </c>
      <c r="H5214" s="2">
        <f t="array" ref="H5214">_xlfn.XLOOKUP(A5216,Product!A:A,Product!E:E,"Bulunamadı")</f>
        <v>2.09</v>
      </c>
      <c r="I5214" s="2" t="str">
        <f t="shared" si="1"/>
        <v>128337 - Medical - Illustration</v>
      </c>
      <c r="J5214" s="2">
        <f t="shared" si="2"/>
        <v>152.57</v>
      </c>
      <c r="K5214" s="17">
        <f t="shared" si="3"/>
        <v>1</v>
      </c>
      <c r="L5214" s="18"/>
    </row>
    <row r="5215" hidden="1">
      <c r="A5215" s="2">
        <f>IFERROR(__xludf.DUMMYFUNCTION("""COMPUTED_VALUE"""),4339.0)</f>
        <v>4339</v>
      </c>
      <c r="B5215" s="2">
        <f>IFERROR(__xludf.DUMMYFUNCTION("""COMPUTED_VALUE"""),0.0)</f>
        <v>0</v>
      </c>
      <c r="C5215" s="2">
        <f>IFERROR(__xludf.DUMMYFUNCTION("""COMPUTED_VALUE"""),859.0)</f>
        <v>859</v>
      </c>
      <c r="D5215" s="3">
        <f>IFERROR(__xludf.DUMMYFUNCTION("""COMPUTED_VALUE"""),533.0)</f>
        <v>533</v>
      </c>
      <c r="E5215" s="1" t="str">
        <f t="array" ref="E5215">_xlfn.XLOOKUP(A5215,Product!A:A,Product!B:B,"Bulunamadı")</f>
        <v>Medical</v>
      </c>
      <c r="F5215" s="1" t="str">
        <f t="array" ref="F5215">_xlfn.XLOOKUP(A5215,Product!A:A,Product!C:C,"Bulunamadı")</f>
        <v>Illustration</v>
      </c>
      <c r="G5215" s="2" t="str">
        <f t="array" ref="G5215">_xlfn.XLOOKUP(A5216,Product!A:A,Product!D:D,"Bulunamadı")</f>
        <v>Silverbrook Publishing House</v>
      </c>
      <c r="H5215" s="2">
        <f t="array" ref="H5215">_xlfn.XLOOKUP(A5217,Product!A:A,Product!E:E,"Bulunamadı")</f>
        <v>3.03</v>
      </c>
      <c r="I5215" s="2" t="str">
        <f t="shared" si="1"/>
        <v>4339 - Medical - Illustration</v>
      </c>
      <c r="J5215" s="2">
        <f t="shared" si="2"/>
        <v>1614.99</v>
      </c>
      <c r="K5215" s="17">
        <f t="shared" si="3"/>
        <v>1</v>
      </c>
      <c r="L5215" s="18"/>
    </row>
    <row r="5216" hidden="1">
      <c r="A5216" s="2">
        <f>IFERROR(__xludf.DUMMYFUNCTION("""COMPUTED_VALUE"""),14399.0)</f>
        <v>14399</v>
      </c>
      <c r="B5216" s="2">
        <f>IFERROR(__xludf.DUMMYFUNCTION("""COMPUTED_VALUE"""),0.0)</f>
        <v>0</v>
      </c>
      <c r="C5216" s="2">
        <f>IFERROR(__xludf.DUMMYFUNCTION("""COMPUTED_VALUE"""),222.0)</f>
        <v>222</v>
      </c>
      <c r="D5216" s="3">
        <f>IFERROR(__xludf.DUMMYFUNCTION("""COMPUTED_VALUE"""),154.0)</f>
        <v>154</v>
      </c>
      <c r="E5216" s="1" t="str">
        <f t="array" ref="E5216">_xlfn.XLOOKUP(A5216,Product!A:A,Product!B:B,"Bulunamadı")</f>
        <v>Medical</v>
      </c>
      <c r="F5216" s="1" t="str">
        <f t="array" ref="F5216">_xlfn.XLOOKUP(A5216,Product!A:A,Product!C:C,"Bulunamadı")</f>
        <v>Illustration</v>
      </c>
      <c r="G5216" s="2" t="str">
        <f t="array" ref="G5216">_xlfn.XLOOKUP(A5217,Product!A:A,Product!D:D,"Bulunamadı")</f>
        <v>Silverbrook Publishing House</v>
      </c>
      <c r="H5216" s="2">
        <f t="array" ref="H5216">_xlfn.XLOOKUP(A5218,Product!A:A,Product!E:E,"Bulunamadı")</f>
        <v>1.2</v>
      </c>
      <c r="I5216" s="2" t="str">
        <f t="shared" si="1"/>
        <v>14399 - Medical - Illustration</v>
      </c>
      <c r="J5216" s="2">
        <f t="shared" si="2"/>
        <v>184.8</v>
      </c>
      <c r="K5216" s="17">
        <f t="shared" si="3"/>
        <v>1</v>
      </c>
      <c r="L5216" s="18"/>
    </row>
    <row r="5217" hidden="1">
      <c r="A5217" s="2">
        <f>IFERROR(__xludf.DUMMYFUNCTION("""COMPUTED_VALUE"""),4340.0)</f>
        <v>4340</v>
      </c>
      <c r="B5217" s="2">
        <f>IFERROR(__xludf.DUMMYFUNCTION("""COMPUTED_VALUE"""),1.0)</f>
        <v>1</v>
      </c>
      <c r="C5217" s="2">
        <f>IFERROR(__xludf.DUMMYFUNCTION("""COMPUTED_VALUE"""),789.0)</f>
        <v>789</v>
      </c>
      <c r="D5217" s="3">
        <f>IFERROR(__xludf.DUMMYFUNCTION("""COMPUTED_VALUE"""),764.0)</f>
        <v>764</v>
      </c>
      <c r="E5217" s="1" t="str">
        <f t="array" ref="E5217">_xlfn.XLOOKUP(A5217,Product!A:A,Product!B:B,"Bulunamadı")</f>
        <v>Medical</v>
      </c>
      <c r="F5217" s="1" t="str">
        <f t="array" ref="F5217">_xlfn.XLOOKUP(A5217,Product!A:A,Product!C:C,"Bulunamadı")</f>
        <v>Illustration</v>
      </c>
      <c r="G5217" s="2" t="str">
        <f t="array" ref="G5217">_xlfn.XLOOKUP(A5218,Product!A:A,Product!D:D,"Bulunamadı")</f>
        <v>Silverbrook Publishing House</v>
      </c>
      <c r="H5217" s="2">
        <f t="array" ref="H5217">_xlfn.XLOOKUP(A5219,Product!A:A,Product!E:E,"Bulunamadı")</f>
        <v>2.34</v>
      </c>
      <c r="I5217" s="2" t="str">
        <f t="shared" si="1"/>
        <v>4340 - Medical - Illustration</v>
      </c>
      <c r="J5217" s="2">
        <f t="shared" si="2"/>
        <v>1787.76</v>
      </c>
      <c r="K5217" s="17">
        <f t="shared" si="3"/>
        <v>1</v>
      </c>
      <c r="L5217" s="18"/>
    </row>
    <row r="5218" hidden="1">
      <c r="A5218" s="2">
        <f>IFERROR(__xludf.DUMMYFUNCTION("""COMPUTED_VALUE"""),45250.0)</f>
        <v>45250</v>
      </c>
      <c r="B5218" s="2">
        <f>IFERROR(__xludf.DUMMYFUNCTION("""COMPUTED_VALUE"""),0.0)</f>
        <v>0</v>
      </c>
      <c r="C5218" s="2">
        <f>IFERROR(__xludf.DUMMYFUNCTION("""COMPUTED_VALUE"""),663.0)</f>
        <v>663</v>
      </c>
      <c r="D5218" s="3">
        <f>IFERROR(__xludf.DUMMYFUNCTION("""COMPUTED_VALUE"""),440.0)</f>
        <v>440</v>
      </c>
      <c r="E5218" s="1" t="str">
        <f t="array" ref="E5218">_xlfn.XLOOKUP(A5218,Product!A:A,Product!B:B,"Bulunamadı")</f>
        <v>Medical</v>
      </c>
      <c r="F5218" s="1" t="str">
        <f t="array" ref="F5218">_xlfn.XLOOKUP(A5218,Product!A:A,Product!C:C,"Bulunamadı")</f>
        <v>Illustration</v>
      </c>
      <c r="G5218" s="2" t="str">
        <f t="array" ref="G5218">_xlfn.XLOOKUP(A5219,Product!A:A,Product!D:D,"Bulunamadı")</f>
        <v>Silverbrook Publishing House</v>
      </c>
      <c r="H5218" s="2">
        <f t="array" ref="H5218">_xlfn.XLOOKUP(A5220,Product!A:A,Product!E:E,"Bulunamadı")</f>
        <v>2.04</v>
      </c>
      <c r="I5218" s="2" t="str">
        <f t="shared" si="1"/>
        <v>45250 - Medical - Illustration</v>
      </c>
      <c r="J5218" s="2">
        <f t="shared" si="2"/>
        <v>897.6</v>
      </c>
      <c r="K5218" s="17">
        <f t="shared" si="3"/>
        <v>1</v>
      </c>
      <c r="L5218" s="18"/>
    </row>
    <row r="5219" hidden="1">
      <c r="A5219" s="2">
        <f>IFERROR(__xludf.DUMMYFUNCTION("""COMPUTED_VALUE"""),9651.0)</f>
        <v>9651</v>
      </c>
      <c r="B5219" s="2">
        <f>IFERROR(__xludf.DUMMYFUNCTION("""COMPUTED_VALUE"""),0.0)</f>
        <v>0</v>
      </c>
      <c r="C5219" s="2">
        <f>IFERROR(__xludf.DUMMYFUNCTION("""COMPUTED_VALUE"""),322.0)</f>
        <v>322</v>
      </c>
      <c r="D5219" s="3">
        <f>IFERROR(__xludf.DUMMYFUNCTION("""COMPUTED_VALUE"""),220.0)</f>
        <v>220</v>
      </c>
      <c r="E5219" s="1" t="str">
        <f t="array" ref="E5219">_xlfn.XLOOKUP(A5219,Product!A:A,Product!B:B,"Bulunamadı")</f>
        <v>Medical</v>
      </c>
      <c r="F5219" s="1" t="str">
        <f t="array" ref="F5219">_xlfn.XLOOKUP(A5219,Product!A:A,Product!C:C,"Bulunamadı")</f>
        <v>Illustration</v>
      </c>
      <c r="G5219" s="2" t="str">
        <f t="array" ref="G5219">_xlfn.XLOOKUP(A5220,Product!A:A,Product!D:D,"Bulunamadı")</f>
        <v>Silverbrook Publishing House</v>
      </c>
      <c r="H5219" s="2">
        <f t="array" ref="H5219">_xlfn.XLOOKUP(A5221,Product!A:A,Product!E:E,"Bulunamadı")</f>
        <v>2.77</v>
      </c>
      <c r="I5219" s="2" t="str">
        <f t="shared" si="1"/>
        <v>9651 - Medical - Illustration</v>
      </c>
      <c r="J5219" s="2">
        <f t="shared" si="2"/>
        <v>609.4</v>
      </c>
      <c r="K5219" s="17">
        <f t="shared" si="3"/>
        <v>1</v>
      </c>
      <c r="L5219" s="18"/>
    </row>
    <row r="5220" hidden="1">
      <c r="A5220" s="2">
        <f>IFERROR(__xludf.DUMMYFUNCTION("""COMPUTED_VALUE"""),4329.0)</f>
        <v>4329</v>
      </c>
      <c r="B5220" s="2">
        <f>IFERROR(__xludf.DUMMYFUNCTION("""COMPUTED_VALUE"""),0.0)</f>
        <v>0</v>
      </c>
      <c r="C5220" s="2">
        <f>IFERROR(__xludf.DUMMYFUNCTION("""COMPUTED_VALUE"""),720.0)</f>
        <v>720</v>
      </c>
      <c r="D5220" s="3">
        <f>IFERROR(__xludf.DUMMYFUNCTION("""COMPUTED_VALUE"""),621.0)</f>
        <v>621</v>
      </c>
      <c r="E5220" s="1" t="str">
        <f t="array" ref="E5220">_xlfn.XLOOKUP(A5220,Product!A:A,Product!B:B,"Bulunamadı")</f>
        <v>Medical</v>
      </c>
      <c r="F5220" s="1" t="str">
        <f t="array" ref="F5220">_xlfn.XLOOKUP(A5220,Product!A:A,Product!C:C,"Bulunamadı")</f>
        <v>Illustration</v>
      </c>
      <c r="G5220" s="2" t="str">
        <f t="array" ref="G5220">_xlfn.XLOOKUP(A5221,Product!A:A,Product!D:D,"Bulunamadı")</f>
        <v>Silverbrook Publishing House</v>
      </c>
      <c r="H5220" s="2">
        <f t="array" ref="H5220">_xlfn.XLOOKUP(A5222,Product!A:A,Product!E:E,"Bulunamadı")</f>
        <v>2.14</v>
      </c>
      <c r="I5220" s="2" t="str">
        <f t="shared" si="1"/>
        <v>4329 - Medical - Illustration</v>
      </c>
      <c r="J5220" s="2">
        <f t="shared" si="2"/>
        <v>1328.94</v>
      </c>
      <c r="K5220" s="17">
        <f t="shared" si="3"/>
        <v>1</v>
      </c>
      <c r="L5220" s="18"/>
    </row>
    <row r="5221" hidden="1">
      <c r="A5221" s="2">
        <f>IFERROR(__xludf.DUMMYFUNCTION("""COMPUTED_VALUE"""),4338.0)</f>
        <v>4338</v>
      </c>
      <c r="B5221" s="2">
        <f>IFERROR(__xludf.DUMMYFUNCTION("""COMPUTED_VALUE"""),1.0)</f>
        <v>1</v>
      </c>
      <c r="C5221" s="2">
        <f>IFERROR(__xludf.DUMMYFUNCTION("""COMPUTED_VALUE"""),231.0)</f>
        <v>231</v>
      </c>
      <c r="D5221" s="3">
        <f>IFERROR(__xludf.DUMMYFUNCTION("""COMPUTED_VALUE"""),162.0)</f>
        <v>162</v>
      </c>
      <c r="E5221" s="1" t="str">
        <f t="array" ref="E5221">_xlfn.XLOOKUP(A5221,Product!A:A,Product!B:B,"Bulunamadı")</f>
        <v>Medical</v>
      </c>
      <c r="F5221" s="1" t="str">
        <f t="array" ref="F5221">_xlfn.XLOOKUP(A5221,Product!A:A,Product!C:C,"Bulunamadı")</f>
        <v>Illustration</v>
      </c>
      <c r="G5221" s="2" t="str">
        <f t="array" ref="G5221">_xlfn.XLOOKUP(A5222,Product!A:A,Product!D:D,"Bulunamadı")</f>
        <v>Silverbrook Publishing House</v>
      </c>
      <c r="H5221" s="2">
        <f t="array" ref="H5221">_xlfn.XLOOKUP(A5223,Product!A:A,Product!E:E,"Bulunamadı")</f>
        <v>2.16</v>
      </c>
      <c r="I5221" s="2" t="str">
        <f t="shared" si="1"/>
        <v>4338 - Medical - Illustration</v>
      </c>
      <c r="J5221" s="2">
        <f t="shared" si="2"/>
        <v>349.92</v>
      </c>
      <c r="K5221" s="17">
        <f t="shared" si="3"/>
        <v>1</v>
      </c>
      <c r="L5221" s="18"/>
    </row>
    <row r="5222" hidden="1">
      <c r="A5222" s="2">
        <f>IFERROR(__xludf.DUMMYFUNCTION("""COMPUTED_VALUE"""),112100.0)</f>
        <v>112100</v>
      </c>
      <c r="B5222" s="2">
        <f>IFERROR(__xludf.DUMMYFUNCTION("""COMPUTED_VALUE"""),0.0)</f>
        <v>0</v>
      </c>
      <c r="C5222" s="2">
        <f>IFERROR(__xludf.DUMMYFUNCTION("""COMPUTED_VALUE"""),455.0)</f>
        <v>455</v>
      </c>
      <c r="D5222" s="3">
        <f>IFERROR(__xludf.DUMMYFUNCTION("""COMPUTED_VALUE"""),390.0)</f>
        <v>390</v>
      </c>
      <c r="E5222" s="1" t="str">
        <f t="array" ref="E5222">_xlfn.XLOOKUP(A5222,Product!A:A,Product!B:B,"Bulunamadı")</f>
        <v>Medical</v>
      </c>
      <c r="F5222" s="1" t="str">
        <f t="array" ref="F5222">_xlfn.XLOOKUP(A5222,Product!A:A,Product!C:C,"Bulunamadı")</f>
        <v>Illustration</v>
      </c>
      <c r="G5222" s="2" t="str">
        <f t="array" ref="G5222">_xlfn.XLOOKUP(A5223,Product!A:A,Product!D:D,"Bulunamadı")</f>
        <v>Silverbrook Publishing House</v>
      </c>
      <c r="H5222" s="2">
        <f t="array" ref="H5222">_xlfn.XLOOKUP(A5224,Product!A:A,Product!E:E,"Bulunamadı")</f>
        <v>2.75</v>
      </c>
      <c r="I5222" s="2" t="str">
        <f t="shared" si="1"/>
        <v>112100 - Medical - Illustration</v>
      </c>
      <c r="J5222" s="2">
        <f t="shared" si="2"/>
        <v>1072.5</v>
      </c>
      <c r="K5222" s="17">
        <f t="shared" si="3"/>
        <v>1</v>
      </c>
      <c r="L5222" s="18"/>
    </row>
    <row r="5223" hidden="1">
      <c r="A5223" s="2">
        <f>IFERROR(__xludf.DUMMYFUNCTION("""COMPUTED_VALUE"""),9650.0)</f>
        <v>9650</v>
      </c>
      <c r="B5223" s="2">
        <f>IFERROR(__xludf.DUMMYFUNCTION("""COMPUTED_VALUE"""),1.0)</f>
        <v>1</v>
      </c>
      <c r="C5223" s="2">
        <f>IFERROR(__xludf.DUMMYFUNCTION("""COMPUTED_VALUE"""),437.0)</f>
        <v>437</v>
      </c>
      <c r="D5223" s="3">
        <f>IFERROR(__xludf.DUMMYFUNCTION("""COMPUTED_VALUE"""),302.0)</f>
        <v>302</v>
      </c>
      <c r="E5223" s="1" t="str">
        <f t="array" ref="E5223">_xlfn.XLOOKUP(A5223,Product!A:A,Product!B:B,"Bulunamadı")</f>
        <v>Medical</v>
      </c>
      <c r="F5223" s="1" t="str">
        <f t="array" ref="F5223">_xlfn.XLOOKUP(A5223,Product!A:A,Product!C:C,"Bulunamadı")</f>
        <v>Illustration</v>
      </c>
      <c r="G5223" s="2" t="str">
        <f t="array" ref="G5223">_xlfn.XLOOKUP(A5224,Product!A:A,Product!D:D,"Bulunamadı")</f>
        <v>Silverbrook Publishing House</v>
      </c>
      <c r="H5223" s="2">
        <f t="array" ref="H5223">_xlfn.XLOOKUP(A5225,Product!A:A,Product!E:E,"Bulunamadı")</f>
        <v>2.37</v>
      </c>
      <c r="I5223" s="2" t="str">
        <f t="shared" si="1"/>
        <v>9650 - Medical - Illustration</v>
      </c>
      <c r="J5223" s="2">
        <f t="shared" si="2"/>
        <v>715.74</v>
      </c>
      <c r="K5223" s="17">
        <f t="shared" si="3"/>
        <v>1</v>
      </c>
      <c r="L5223" s="18"/>
    </row>
    <row r="5224" hidden="1">
      <c r="A5224" s="2">
        <f>IFERROR(__xludf.DUMMYFUNCTION("""COMPUTED_VALUE"""),9649.0)</f>
        <v>9649</v>
      </c>
      <c r="B5224" s="2">
        <f>IFERROR(__xludf.DUMMYFUNCTION("""COMPUTED_VALUE"""),1.0)</f>
        <v>1</v>
      </c>
      <c r="C5224" s="2">
        <f>IFERROR(__xludf.DUMMYFUNCTION("""COMPUTED_VALUE"""),733.0)</f>
        <v>733</v>
      </c>
      <c r="D5224" s="3">
        <f>IFERROR(__xludf.DUMMYFUNCTION("""COMPUTED_VALUE"""),113.0)</f>
        <v>113</v>
      </c>
      <c r="E5224" s="1" t="str">
        <f t="array" ref="E5224">_xlfn.XLOOKUP(A5224,Product!A:A,Product!B:B,"Bulunamadı")</f>
        <v>Medical</v>
      </c>
      <c r="F5224" s="1" t="str">
        <f t="array" ref="F5224">_xlfn.XLOOKUP(A5224,Product!A:A,Product!C:C,"Bulunamadı")</f>
        <v>Illustration</v>
      </c>
      <c r="G5224" s="2" t="str">
        <f t="array" ref="G5224">_xlfn.XLOOKUP(A5225,Product!A:A,Product!D:D,"Bulunamadı")</f>
        <v>Silverbrook Publishing House</v>
      </c>
      <c r="H5224" s="2">
        <f t="array" ref="H5224">_xlfn.XLOOKUP(A5226,Product!A:A,Product!E:E,"Bulunamadı")</f>
        <v>2.84</v>
      </c>
      <c r="I5224" s="2" t="str">
        <f t="shared" si="1"/>
        <v>9649 - Medical - Illustration</v>
      </c>
      <c r="J5224" s="2">
        <f t="shared" si="2"/>
        <v>320.92</v>
      </c>
      <c r="K5224" s="17">
        <f t="shared" si="3"/>
        <v>1</v>
      </c>
      <c r="L5224" s="18"/>
    </row>
    <row r="5225" hidden="1">
      <c r="A5225" s="2">
        <f>IFERROR(__xludf.DUMMYFUNCTION("""COMPUTED_VALUE"""),9652.0)</f>
        <v>9652</v>
      </c>
      <c r="B5225" s="2">
        <f>IFERROR(__xludf.DUMMYFUNCTION("""COMPUTED_VALUE"""),0.0)</f>
        <v>0</v>
      </c>
      <c r="C5225" s="2">
        <f>IFERROR(__xludf.DUMMYFUNCTION("""COMPUTED_VALUE"""),602.0)</f>
        <v>602</v>
      </c>
      <c r="D5225" s="3">
        <f>IFERROR(__xludf.DUMMYFUNCTION("""COMPUTED_VALUE"""),544.0)</f>
        <v>544</v>
      </c>
      <c r="E5225" s="1" t="str">
        <f t="array" ref="E5225">_xlfn.XLOOKUP(A5225,Product!A:A,Product!B:B,"Bulunamadı")</f>
        <v>Medical</v>
      </c>
      <c r="F5225" s="1" t="str">
        <f t="array" ref="F5225">_xlfn.XLOOKUP(A5225,Product!A:A,Product!C:C,"Bulunamadı")</f>
        <v>Illustration</v>
      </c>
      <c r="G5225" s="2" t="str">
        <f t="array" ref="G5225">_xlfn.XLOOKUP(A5226,Product!A:A,Product!D:D,"Bulunamadı")</f>
        <v>Silverbrook Publishing House</v>
      </c>
      <c r="H5225" s="2">
        <f t="array" ref="H5225">_xlfn.XLOOKUP(A5227,Product!A:A,Product!E:E,"Bulunamadı")</f>
        <v>2.49</v>
      </c>
      <c r="I5225" s="2" t="str">
        <f t="shared" si="1"/>
        <v>9652 - Medical - Illustration</v>
      </c>
      <c r="J5225" s="2">
        <f t="shared" si="2"/>
        <v>1354.56</v>
      </c>
      <c r="K5225" s="17">
        <f t="shared" si="3"/>
        <v>1</v>
      </c>
      <c r="L5225" s="18"/>
    </row>
    <row r="5226" hidden="1">
      <c r="A5226" s="2">
        <f>IFERROR(__xludf.DUMMYFUNCTION("""COMPUTED_VALUE"""),79426.0)</f>
        <v>79426</v>
      </c>
      <c r="B5226" s="2">
        <f>IFERROR(__xludf.DUMMYFUNCTION("""COMPUTED_VALUE"""),1.0)</f>
        <v>1</v>
      </c>
      <c r="C5226" s="2">
        <f>IFERROR(__xludf.DUMMYFUNCTION("""COMPUTED_VALUE"""),947.0)</f>
        <v>947</v>
      </c>
      <c r="D5226" s="3">
        <f>IFERROR(__xludf.DUMMYFUNCTION("""COMPUTED_VALUE"""),516.0)</f>
        <v>516</v>
      </c>
      <c r="E5226" s="1" t="str">
        <f t="array" ref="E5226">_xlfn.XLOOKUP(A5226,Product!A:A,Product!B:B,"Bulunamadı")</f>
        <v>Medical</v>
      </c>
      <c r="F5226" s="1" t="str">
        <f t="array" ref="F5226">_xlfn.XLOOKUP(A5226,Product!A:A,Product!C:C,"Bulunamadı")</f>
        <v>Illustration</v>
      </c>
      <c r="G5226" s="2" t="str">
        <f t="array" ref="G5226">_xlfn.XLOOKUP(A5227,Product!A:A,Product!D:D,"Bulunamadı")</f>
        <v>Silverbrook Publishing House</v>
      </c>
      <c r="H5226" s="2">
        <f t="array" ref="H5226">_xlfn.XLOOKUP(A5228,Product!A:A,Product!E:E,"Bulunamadı")</f>
        <v>2.92</v>
      </c>
      <c r="I5226" s="2" t="str">
        <f t="shared" si="1"/>
        <v>79426 - Medical - Illustration</v>
      </c>
      <c r="J5226" s="2">
        <f t="shared" si="2"/>
        <v>1506.72</v>
      </c>
      <c r="K5226" s="17">
        <f t="shared" si="3"/>
        <v>1</v>
      </c>
      <c r="L5226" s="18"/>
    </row>
    <row r="5227" hidden="1">
      <c r="A5227" s="2">
        <f>IFERROR(__xludf.DUMMYFUNCTION("""COMPUTED_VALUE"""),79425.0)</f>
        <v>79425</v>
      </c>
      <c r="B5227" s="2">
        <f>IFERROR(__xludf.DUMMYFUNCTION("""COMPUTED_VALUE"""),1.0)</f>
        <v>1</v>
      </c>
      <c r="C5227" s="2">
        <f>IFERROR(__xludf.DUMMYFUNCTION("""COMPUTED_VALUE"""),169.0)</f>
        <v>169</v>
      </c>
      <c r="D5227" s="3">
        <f>IFERROR(__xludf.DUMMYFUNCTION("""COMPUTED_VALUE"""),154.0)</f>
        <v>154</v>
      </c>
      <c r="E5227" s="1" t="str">
        <f t="array" ref="E5227">_xlfn.XLOOKUP(A5227,Product!A:A,Product!B:B,"Bulunamadı")</f>
        <v>Medical</v>
      </c>
      <c r="F5227" s="1" t="str">
        <f t="array" ref="F5227">_xlfn.XLOOKUP(A5227,Product!A:A,Product!C:C,"Bulunamadı")</f>
        <v>Illustration</v>
      </c>
      <c r="G5227" s="2" t="str">
        <f t="array" ref="G5227">_xlfn.XLOOKUP(A5228,Product!A:A,Product!D:D,"Bulunamadı")</f>
        <v>Silverbrook Publishing House</v>
      </c>
      <c r="H5227" s="2">
        <f t="array" ref="H5227">_xlfn.XLOOKUP(A5229,Product!A:A,Product!E:E,"Bulunamadı")</f>
        <v>2.35</v>
      </c>
      <c r="I5227" s="2" t="str">
        <f t="shared" si="1"/>
        <v>79425 - Medical - Illustration</v>
      </c>
      <c r="J5227" s="2">
        <f t="shared" si="2"/>
        <v>361.9</v>
      </c>
      <c r="K5227" s="17">
        <f t="shared" si="3"/>
        <v>1</v>
      </c>
      <c r="L5227" s="18"/>
    </row>
    <row r="5228" hidden="1">
      <c r="A5228" s="2">
        <f>IFERROR(__xludf.DUMMYFUNCTION("""COMPUTED_VALUE"""),4335.0)</f>
        <v>4335</v>
      </c>
      <c r="B5228" s="2">
        <f>IFERROR(__xludf.DUMMYFUNCTION("""COMPUTED_VALUE"""),1.0)</f>
        <v>1</v>
      </c>
      <c r="C5228" s="2">
        <f>IFERROR(__xludf.DUMMYFUNCTION("""COMPUTED_VALUE"""),646.0)</f>
        <v>646</v>
      </c>
      <c r="D5228" s="3">
        <f>IFERROR(__xludf.DUMMYFUNCTION("""COMPUTED_VALUE"""),334.0)</f>
        <v>334</v>
      </c>
      <c r="E5228" s="1" t="str">
        <f t="array" ref="E5228">_xlfn.XLOOKUP(A5228,Product!A:A,Product!B:B,"Bulunamadı")</f>
        <v>Medical</v>
      </c>
      <c r="F5228" s="1" t="str">
        <f t="array" ref="F5228">_xlfn.XLOOKUP(A5228,Product!A:A,Product!C:C,"Bulunamadı")</f>
        <v>Illustration</v>
      </c>
      <c r="G5228" s="2" t="str">
        <f t="array" ref="G5228">_xlfn.XLOOKUP(A5229,Product!A:A,Product!D:D,"Bulunamadı")</f>
        <v>Silverbrook Publishing House</v>
      </c>
      <c r="H5228" s="2">
        <f t="array" ref="H5228">_xlfn.XLOOKUP(A5230,Product!A:A,Product!E:E,"Bulunamadı")</f>
        <v>2.27</v>
      </c>
      <c r="I5228" s="2" t="str">
        <f t="shared" si="1"/>
        <v>4335 - Medical - Illustration</v>
      </c>
      <c r="J5228" s="2">
        <f t="shared" si="2"/>
        <v>758.18</v>
      </c>
      <c r="K5228" s="17">
        <f t="shared" si="3"/>
        <v>1</v>
      </c>
      <c r="L5228" s="18"/>
    </row>
    <row r="5229" hidden="1">
      <c r="A5229" s="2">
        <f>IFERROR(__xludf.DUMMYFUNCTION("""COMPUTED_VALUE"""),70420.0)</f>
        <v>70420</v>
      </c>
      <c r="B5229" s="2">
        <f>IFERROR(__xludf.DUMMYFUNCTION("""COMPUTED_VALUE"""),1.0)</f>
        <v>1</v>
      </c>
      <c r="C5229" s="2">
        <f>IFERROR(__xludf.DUMMYFUNCTION("""COMPUTED_VALUE"""),18.0)</f>
        <v>18</v>
      </c>
      <c r="D5229" s="3">
        <f>IFERROR(__xludf.DUMMYFUNCTION("""COMPUTED_VALUE"""),14.0)</f>
        <v>14</v>
      </c>
      <c r="E5229" s="1" t="str">
        <f t="array" ref="E5229">_xlfn.XLOOKUP(A5229,Product!A:A,Product!B:B,"Bulunamadı")</f>
        <v>Medical</v>
      </c>
      <c r="F5229" s="1" t="str">
        <f t="array" ref="F5229">_xlfn.XLOOKUP(A5229,Product!A:A,Product!C:C,"Bulunamadı")</f>
        <v>Illustration</v>
      </c>
      <c r="G5229" s="2" t="str">
        <f t="array" ref="G5229">_xlfn.XLOOKUP(A5230,Product!A:A,Product!D:D,"Bulunamadı")</f>
        <v>Silverbrook Publishing House</v>
      </c>
      <c r="H5229" s="2">
        <f t="array" ref="H5229">_xlfn.XLOOKUP(A5231,Product!A:A,Product!E:E,"Bulunamadı")</f>
        <v>1.41</v>
      </c>
      <c r="I5229" s="2" t="str">
        <f t="shared" si="1"/>
        <v>70420 - Medical - Illustration</v>
      </c>
      <c r="J5229" s="2">
        <f t="shared" si="2"/>
        <v>19.74</v>
      </c>
      <c r="K5229" s="17">
        <f t="shared" si="3"/>
        <v>1</v>
      </c>
      <c r="L5229" s="18"/>
    </row>
    <row r="5230" hidden="1">
      <c r="A5230" s="2">
        <f>IFERROR(__xludf.DUMMYFUNCTION("""COMPUTED_VALUE"""),9655.0)</f>
        <v>9655</v>
      </c>
      <c r="B5230" s="2">
        <f>IFERROR(__xludf.DUMMYFUNCTION("""COMPUTED_VALUE"""),1.0)</f>
        <v>1</v>
      </c>
      <c r="C5230" s="2">
        <f>IFERROR(__xludf.DUMMYFUNCTION("""COMPUTED_VALUE"""),29.0)</f>
        <v>29</v>
      </c>
      <c r="D5230" s="3">
        <f>IFERROR(__xludf.DUMMYFUNCTION("""COMPUTED_VALUE"""),28.0)</f>
        <v>28</v>
      </c>
      <c r="E5230" s="1" t="str">
        <f t="array" ref="E5230">_xlfn.XLOOKUP(A5230,Product!A:A,Product!B:B,"Bulunamadı")</f>
        <v>Medical</v>
      </c>
      <c r="F5230" s="1" t="str">
        <f t="array" ref="F5230">_xlfn.XLOOKUP(A5230,Product!A:A,Product!C:C,"Bulunamadı")</f>
        <v>Illustration</v>
      </c>
      <c r="G5230" s="2" t="str">
        <f t="array" ref="G5230">_xlfn.XLOOKUP(A5231,Product!A:A,Product!D:D,"Bulunamadı")</f>
        <v>Northbrook Publishing House</v>
      </c>
      <c r="H5230" s="2">
        <f t="array" ref="H5230">_xlfn.XLOOKUP(A5232,Product!A:A,Product!E:E,"Bulunamadı")</f>
        <v>1.88</v>
      </c>
      <c r="I5230" s="2" t="str">
        <f t="shared" si="1"/>
        <v>9655 - Medical - Illustration</v>
      </c>
      <c r="J5230" s="2">
        <f t="shared" si="2"/>
        <v>52.64</v>
      </c>
      <c r="K5230" s="17">
        <f t="shared" si="3"/>
        <v>1</v>
      </c>
      <c r="L5230" s="18"/>
    </row>
    <row r="5231" hidden="1">
      <c r="A5231" s="2">
        <f>IFERROR(__xludf.DUMMYFUNCTION("""COMPUTED_VALUE"""),68510.0)</f>
        <v>68510</v>
      </c>
      <c r="B5231" s="2">
        <f>IFERROR(__xludf.DUMMYFUNCTION("""COMPUTED_VALUE"""),1.0)</f>
        <v>1</v>
      </c>
      <c r="C5231" s="2">
        <f>IFERROR(__xludf.DUMMYFUNCTION("""COMPUTED_VALUE"""),365.0)</f>
        <v>365</v>
      </c>
      <c r="D5231" s="3">
        <f>IFERROR(__xludf.DUMMYFUNCTION("""COMPUTED_VALUE"""),353.0)</f>
        <v>353</v>
      </c>
      <c r="E5231" s="1" t="str">
        <f t="array" ref="E5231">_xlfn.XLOOKUP(A5231,Product!A:A,Product!B:B,"Bulunamadı")</f>
        <v>Medical</v>
      </c>
      <c r="F5231" s="1" t="str">
        <f t="array" ref="F5231">_xlfn.XLOOKUP(A5231,Product!A:A,Product!C:C,"Bulunamadı")</f>
        <v>Illustration</v>
      </c>
      <c r="G5231" s="2" t="str">
        <f t="array" ref="G5231">_xlfn.XLOOKUP(A5232,Product!A:A,Product!D:D,"Bulunamadı")</f>
        <v>Northbrook Publishing House</v>
      </c>
      <c r="H5231" s="2">
        <f t="array" ref="H5231">_xlfn.XLOOKUP(A5233,Product!A:A,Product!E:E,"Bulunamadı")</f>
        <v>1.77</v>
      </c>
      <c r="I5231" s="2" t="str">
        <f t="shared" si="1"/>
        <v>68510 - Medical - Illustration</v>
      </c>
      <c r="J5231" s="2">
        <f t="shared" si="2"/>
        <v>624.81</v>
      </c>
      <c r="K5231" s="17">
        <f t="shared" si="3"/>
        <v>1</v>
      </c>
      <c r="L5231" s="18"/>
    </row>
    <row r="5232" hidden="1">
      <c r="A5232" s="2">
        <f>IFERROR(__xludf.DUMMYFUNCTION("""COMPUTED_VALUE"""),11068.0)</f>
        <v>11068</v>
      </c>
      <c r="B5232" s="2">
        <f>IFERROR(__xludf.DUMMYFUNCTION("""COMPUTED_VALUE"""),0.0)</f>
        <v>0</v>
      </c>
      <c r="C5232" s="2">
        <f>IFERROR(__xludf.DUMMYFUNCTION("""COMPUTED_VALUE"""),419.0)</f>
        <v>419</v>
      </c>
      <c r="D5232" s="3">
        <f>IFERROR(__xludf.DUMMYFUNCTION("""COMPUTED_VALUE"""),206.0)</f>
        <v>206</v>
      </c>
      <c r="E5232" s="1" t="str">
        <f t="array" ref="E5232">_xlfn.XLOOKUP(A5232,Product!A:A,Product!B:B,"Bulunamadı")</f>
        <v>Medical</v>
      </c>
      <c r="F5232" s="1" t="str">
        <f t="array" ref="F5232">_xlfn.XLOOKUP(A5232,Product!A:A,Product!C:C,"Bulunamadı")</f>
        <v>Illustration</v>
      </c>
      <c r="G5232" s="2" t="str">
        <f t="array" ref="G5232">_xlfn.XLOOKUP(A5233,Product!A:A,Product!D:D,"Bulunamadı")</f>
        <v>Northbrook Publishing House</v>
      </c>
      <c r="H5232" s="2">
        <f t="array" ref="H5232">_xlfn.XLOOKUP(A5234,Product!A:A,Product!E:E,"Bulunamadı")</f>
        <v>2.57</v>
      </c>
      <c r="I5232" s="2" t="str">
        <f t="shared" si="1"/>
        <v>11068 - Medical - Illustration</v>
      </c>
      <c r="J5232" s="2">
        <f t="shared" si="2"/>
        <v>529.42</v>
      </c>
      <c r="K5232" s="17">
        <f t="shared" si="3"/>
        <v>1</v>
      </c>
      <c r="L5232" s="18"/>
    </row>
    <row r="5233" hidden="1">
      <c r="A5233" s="2">
        <f>IFERROR(__xludf.DUMMYFUNCTION("""COMPUTED_VALUE"""),79888.0)</f>
        <v>79888</v>
      </c>
      <c r="B5233" s="2">
        <f>IFERROR(__xludf.DUMMYFUNCTION("""COMPUTED_VALUE"""),0.0)</f>
        <v>0</v>
      </c>
      <c r="C5233" s="2">
        <f>IFERROR(__xludf.DUMMYFUNCTION("""COMPUTED_VALUE"""),46.0)</f>
        <v>46</v>
      </c>
      <c r="D5233" s="3">
        <f>IFERROR(__xludf.DUMMYFUNCTION("""COMPUTED_VALUE"""),44.0)</f>
        <v>44</v>
      </c>
      <c r="E5233" s="1" t="str">
        <f t="array" ref="E5233">_xlfn.XLOOKUP(A5233,Product!A:A,Product!B:B,"Bulunamadı")</f>
        <v>Medical</v>
      </c>
      <c r="F5233" s="1" t="str">
        <f t="array" ref="F5233">_xlfn.XLOOKUP(A5233,Product!A:A,Product!C:C,"Bulunamadı")</f>
        <v>Illustration</v>
      </c>
      <c r="G5233" s="2" t="str">
        <f t="array" ref="G5233">_xlfn.XLOOKUP(A5234,Product!A:A,Product!D:D,"Bulunamadı")</f>
        <v>Northbrook Publishing House</v>
      </c>
      <c r="H5233" s="2">
        <f t="array" ref="H5233">_xlfn.XLOOKUP(A5235,Product!A:A,Product!E:E,"Bulunamadı")</f>
        <v>2.45</v>
      </c>
      <c r="I5233" s="2" t="str">
        <f t="shared" si="1"/>
        <v>79888 - Medical - Illustration</v>
      </c>
      <c r="J5233" s="2">
        <f t="shared" si="2"/>
        <v>107.8</v>
      </c>
      <c r="K5233" s="17">
        <f t="shared" si="3"/>
        <v>1</v>
      </c>
      <c r="L5233" s="18"/>
    </row>
    <row r="5234" hidden="1">
      <c r="A5234" s="2">
        <f>IFERROR(__xludf.DUMMYFUNCTION("""COMPUTED_VALUE"""),108982.0)</f>
        <v>108982</v>
      </c>
      <c r="B5234" s="2">
        <f>IFERROR(__xludf.DUMMYFUNCTION("""COMPUTED_VALUE"""),1.0)</f>
        <v>1</v>
      </c>
      <c r="C5234" s="2">
        <f>IFERROR(__xludf.DUMMYFUNCTION("""COMPUTED_VALUE"""),664.0)</f>
        <v>664</v>
      </c>
      <c r="D5234" s="3">
        <f>IFERROR(__xludf.DUMMYFUNCTION("""COMPUTED_VALUE"""),547.0)</f>
        <v>547</v>
      </c>
      <c r="E5234" s="1" t="str">
        <f t="array" ref="E5234">_xlfn.XLOOKUP(A5234,Product!A:A,Product!B:B,"Bulunamadı")</f>
        <v>Medical</v>
      </c>
      <c r="F5234" s="1" t="str">
        <f t="array" ref="F5234">_xlfn.XLOOKUP(A5234,Product!A:A,Product!C:C,"Bulunamadı")</f>
        <v>Illustration</v>
      </c>
      <c r="G5234" s="2" t="str">
        <f t="array" ref="G5234">_xlfn.XLOOKUP(A5235,Product!A:A,Product!D:D,"Bulunamadı")</f>
        <v>Northbrook Publishing House</v>
      </c>
      <c r="H5234" s="2">
        <f t="array" ref="H5234">_xlfn.XLOOKUP(A5236,Product!A:A,Product!E:E,"Bulunamadı")</f>
        <v>1.69</v>
      </c>
      <c r="I5234" s="2" t="str">
        <f t="shared" si="1"/>
        <v>108982 - Medical - Illustration</v>
      </c>
      <c r="J5234" s="2">
        <f t="shared" si="2"/>
        <v>924.43</v>
      </c>
      <c r="K5234" s="17">
        <f t="shared" si="3"/>
        <v>1</v>
      </c>
      <c r="L5234" s="18"/>
    </row>
    <row r="5235" hidden="1">
      <c r="A5235" s="2">
        <f>IFERROR(__xludf.DUMMYFUNCTION("""COMPUTED_VALUE"""),88020.0)</f>
        <v>88020</v>
      </c>
      <c r="B5235" s="2">
        <f>IFERROR(__xludf.DUMMYFUNCTION("""COMPUTED_VALUE"""),1.0)</f>
        <v>1</v>
      </c>
      <c r="C5235" s="2">
        <f>IFERROR(__xludf.DUMMYFUNCTION("""COMPUTED_VALUE"""),546.0)</f>
        <v>546</v>
      </c>
      <c r="D5235" s="3">
        <f>IFERROR(__xludf.DUMMYFUNCTION("""COMPUTED_VALUE"""),127.0)</f>
        <v>127</v>
      </c>
      <c r="E5235" s="1" t="str">
        <f t="array" ref="E5235">_xlfn.XLOOKUP(A5235,Product!A:A,Product!B:B,"Bulunamadı")</f>
        <v>Medical</v>
      </c>
      <c r="F5235" s="1" t="str">
        <f t="array" ref="F5235">_xlfn.XLOOKUP(A5235,Product!A:A,Product!C:C,"Bulunamadı")</f>
        <v>Illustration</v>
      </c>
      <c r="G5235" s="2" t="str">
        <f t="array" ref="G5235">_xlfn.XLOOKUP(A5236,Product!A:A,Product!D:D,"Bulunamadı")</f>
        <v>Northbrook Publishing House</v>
      </c>
      <c r="H5235" s="2">
        <f t="array" ref="H5235">_xlfn.XLOOKUP(A5237,Product!A:A,Product!E:E,"Bulunamadı")</f>
        <v>1.65</v>
      </c>
      <c r="I5235" s="2" t="str">
        <f t="shared" si="1"/>
        <v>88020 - Medical - Illustration</v>
      </c>
      <c r="J5235" s="2">
        <f t="shared" si="2"/>
        <v>209.55</v>
      </c>
      <c r="K5235" s="17">
        <f t="shared" si="3"/>
        <v>1</v>
      </c>
      <c r="L5235" s="18"/>
    </row>
    <row r="5236" hidden="1">
      <c r="A5236" s="2">
        <f>IFERROR(__xludf.DUMMYFUNCTION("""COMPUTED_VALUE"""),44824.0)</f>
        <v>44824</v>
      </c>
      <c r="B5236" s="2">
        <f>IFERROR(__xludf.DUMMYFUNCTION("""COMPUTED_VALUE"""),0.0)</f>
        <v>0</v>
      </c>
      <c r="C5236" s="2">
        <f>IFERROR(__xludf.DUMMYFUNCTION("""COMPUTED_VALUE"""),846.0)</f>
        <v>846</v>
      </c>
      <c r="D5236" s="3">
        <f>IFERROR(__xludf.DUMMYFUNCTION("""COMPUTED_VALUE"""),759.0)</f>
        <v>759</v>
      </c>
      <c r="E5236" s="1" t="str">
        <f t="array" ref="E5236">_xlfn.XLOOKUP(A5236,Product!A:A,Product!B:B,"Bulunamadı")</f>
        <v>Medical</v>
      </c>
      <c r="F5236" s="1" t="str">
        <f t="array" ref="F5236">_xlfn.XLOOKUP(A5236,Product!A:A,Product!C:C,"Bulunamadı")</f>
        <v>Illustration</v>
      </c>
      <c r="G5236" s="2" t="str">
        <f t="array" ref="G5236">_xlfn.XLOOKUP(A5237,Product!A:A,Product!D:D,"Bulunamadı")</f>
        <v>Northbrook Publishing House</v>
      </c>
      <c r="H5236" s="2">
        <f t="array" ref="H5236">_xlfn.XLOOKUP(A5238,Product!A:A,Product!E:E,"Bulunamadı")</f>
        <v>2.36</v>
      </c>
      <c r="I5236" s="2" t="str">
        <f t="shared" si="1"/>
        <v>44824 - Medical - Illustration</v>
      </c>
      <c r="J5236" s="2">
        <f t="shared" si="2"/>
        <v>1791.24</v>
      </c>
      <c r="K5236" s="17">
        <f t="shared" si="3"/>
        <v>1</v>
      </c>
      <c r="L5236" s="18"/>
    </row>
    <row r="5237" hidden="1">
      <c r="A5237" s="2">
        <f>IFERROR(__xludf.DUMMYFUNCTION("""COMPUTED_VALUE"""),46900.0)</f>
        <v>46900</v>
      </c>
      <c r="B5237" s="2">
        <f>IFERROR(__xludf.DUMMYFUNCTION("""COMPUTED_VALUE"""),1.0)</f>
        <v>1</v>
      </c>
      <c r="C5237" s="2">
        <f>IFERROR(__xludf.DUMMYFUNCTION("""COMPUTED_VALUE"""),25.0)</f>
        <v>25</v>
      </c>
      <c r="D5237" s="3">
        <f>IFERROR(__xludf.DUMMYFUNCTION("""COMPUTED_VALUE"""),24.0)</f>
        <v>24</v>
      </c>
      <c r="E5237" s="1" t="str">
        <f t="array" ref="E5237">_xlfn.XLOOKUP(A5237,Product!A:A,Product!B:B,"Bulunamadı")</f>
        <v>Medical</v>
      </c>
      <c r="F5237" s="1" t="str">
        <f t="array" ref="F5237">_xlfn.XLOOKUP(A5237,Product!A:A,Product!C:C,"Bulunamadı")</f>
        <v>Illustration</v>
      </c>
      <c r="G5237" s="2" t="str">
        <f t="array" ref="G5237">_xlfn.XLOOKUP(A5238,Product!A:A,Product!D:D,"Bulunamadı")</f>
        <v>Northbrook Publishing House</v>
      </c>
      <c r="H5237" s="2">
        <f t="array" ref="H5237">_xlfn.XLOOKUP(A5239,Product!A:A,Product!E:E,"Bulunamadı")</f>
        <v>1.83</v>
      </c>
      <c r="I5237" s="2" t="str">
        <f t="shared" si="1"/>
        <v>46900 - Medical - Illustration</v>
      </c>
      <c r="J5237" s="2">
        <f t="shared" si="2"/>
        <v>43.92</v>
      </c>
      <c r="K5237" s="17">
        <f t="shared" si="3"/>
        <v>1</v>
      </c>
      <c r="L5237" s="18"/>
    </row>
    <row r="5238" hidden="1">
      <c r="A5238" s="2">
        <f>IFERROR(__xludf.DUMMYFUNCTION("""COMPUTED_VALUE"""),41981.0)</f>
        <v>41981</v>
      </c>
      <c r="B5238" s="2">
        <f>IFERROR(__xludf.DUMMYFUNCTION("""COMPUTED_VALUE"""),1.0)</f>
        <v>1</v>
      </c>
      <c r="C5238" s="2">
        <f>IFERROR(__xludf.DUMMYFUNCTION("""COMPUTED_VALUE"""),140.0)</f>
        <v>140</v>
      </c>
      <c r="D5238" s="3">
        <f>IFERROR(__xludf.DUMMYFUNCTION("""COMPUTED_VALUE"""),13.0)</f>
        <v>13</v>
      </c>
      <c r="E5238" s="1" t="str">
        <f t="array" ref="E5238">_xlfn.XLOOKUP(A5238,Product!A:A,Product!B:B,"Bulunamadı")</f>
        <v>Medical</v>
      </c>
      <c r="F5238" s="1" t="str">
        <f t="array" ref="F5238">_xlfn.XLOOKUP(A5238,Product!A:A,Product!C:C,"Bulunamadı")</f>
        <v>Illustration</v>
      </c>
      <c r="G5238" s="2" t="str">
        <f t="array" ref="G5238">_xlfn.XLOOKUP(A5239,Product!A:A,Product!D:D,"Bulunamadı")</f>
        <v>Northbrook Publishing House</v>
      </c>
      <c r="H5238" s="2">
        <f t="array" ref="H5238">_xlfn.XLOOKUP(A5240,Product!A:A,Product!E:E,"Bulunamadı")</f>
        <v>2.22</v>
      </c>
      <c r="I5238" s="2" t="str">
        <f t="shared" si="1"/>
        <v>41981 - Medical - Illustration</v>
      </c>
      <c r="J5238" s="2">
        <f t="shared" si="2"/>
        <v>28.86</v>
      </c>
      <c r="K5238" s="17">
        <f t="shared" si="3"/>
        <v>1</v>
      </c>
      <c r="L5238" s="18"/>
    </row>
    <row r="5239" hidden="1">
      <c r="A5239" s="2">
        <f>IFERROR(__xludf.DUMMYFUNCTION("""COMPUTED_VALUE"""),44825.0)</f>
        <v>44825</v>
      </c>
      <c r="B5239" s="2">
        <f>IFERROR(__xludf.DUMMYFUNCTION("""COMPUTED_VALUE"""),1.0)</f>
        <v>1</v>
      </c>
      <c r="C5239" s="2">
        <f>IFERROR(__xludf.DUMMYFUNCTION("""COMPUTED_VALUE"""),645.0)</f>
        <v>645</v>
      </c>
      <c r="D5239" s="3">
        <f>IFERROR(__xludf.DUMMYFUNCTION("""COMPUTED_VALUE"""),521.0)</f>
        <v>521</v>
      </c>
      <c r="E5239" s="1" t="str">
        <f t="array" ref="E5239">_xlfn.XLOOKUP(A5239,Product!A:A,Product!B:B,"Bulunamadı")</f>
        <v>Medical</v>
      </c>
      <c r="F5239" s="1" t="str">
        <f t="array" ref="F5239">_xlfn.XLOOKUP(A5239,Product!A:A,Product!C:C,"Bulunamadı")</f>
        <v>Illustration</v>
      </c>
      <c r="G5239" s="2" t="str">
        <f t="array" ref="G5239">_xlfn.XLOOKUP(A5240,Product!A:A,Product!D:D,"Bulunamadı")</f>
        <v>Northbrook Publishing House</v>
      </c>
      <c r="H5239" s="2">
        <f t="array" ref="H5239">_xlfn.XLOOKUP(A5241,Product!A:A,Product!E:E,"Bulunamadı")</f>
        <v>2.55</v>
      </c>
      <c r="I5239" s="2" t="str">
        <f t="shared" si="1"/>
        <v>44825 - Medical - Illustration</v>
      </c>
      <c r="J5239" s="2">
        <f t="shared" si="2"/>
        <v>1328.55</v>
      </c>
      <c r="K5239" s="17">
        <f t="shared" si="3"/>
        <v>1</v>
      </c>
      <c r="L5239" s="18"/>
    </row>
    <row r="5240" hidden="1">
      <c r="A5240" s="2">
        <f>IFERROR(__xludf.DUMMYFUNCTION("""COMPUTED_VALUE"""),6875.0)</f>
        <v>6875</v>
      </c>
      <c r="B5240" s="2">
        <f>IFERROR(__xludf.DUMMYFUNCTION("""COMPUTED_VALUE"""),0.0)</f>
        <v>0</v>
      </c>
      <c r="C5240" s="2">
        <f>IFERROR(__xludf.DUMMYFUNCTION("""COMPUTED_VALUE"""),128.0)</f>
        <v>128</v>
      </c>
      <c r="D5240" s="3">
        <f>IFERROR(__xludf.DUMMYFUNCTION("""COMPUTED_VALUE"""),77.0)</f>
        <v>77</v>
      </c>
      <c r="E5240" s="1" t="str">
        <f t="array" ref="E5240">_xlfn.XLOOKUP(A5240,Product!A:A,Product!B:B,"Bulunamadı")</f>
        <v>Medical</v>
      </c>
      <c r="F5240" s="1" t="str">
        <f t="array" ref="F5240">_xlfn.XLOOKUP(A5240,Product!A:A,Product!C:C,"Bulunamadı")</f>
        <v>Illustration</v>
      </c>
      <c r="G5240" s="2" t="str">
        <f t="array" ref="G5240">_xlfn.XLOOKUP(A5241,Product!A:A,Product!D:D,"Bulunamadı")</f>
        <v>Northbrook Publishing House</v>
      </c>
      <c r="H5240" s="2">
        <f t="array" ref="H5240">_xlfn.XLOOKUP(A5242,Product!A:A,Product!E:E,"Bulunamadı")</f>
        <v>2.1</v>
      </c>
      <c r="I5240" s="2" t="str">
        <f t="shared" si="1"/>
        <v>6875 - Medical - Illustration</v>
      </c>
      <c r="J5240" s="2">
        <f t="shared" si="2"/>
        <v>161.7</v>
      </c>
      <c r="K5240" s="17">
        <f t="shared" si="3"/>
        <v>1</v>
      </c>
      <c r="L5240" s="18"/>
    </row>
    <row r="5241" hidden="1">
      <c r="A5241" s="2">
        <f>IFERROR(__xludf.DUMMYFUNCTION("""COMPUTED_VALUE"""),108981.0)</f>
        <v>108981</v>
      </c>
      <c r="B5241" s="2">
        <f>IFERROR(__xludf.DUMMYFUNCTION("""COMPUTED_VALUE"""),1.0)</f>
        <v>1</v>
      </c>
      <c r="C5241" s="2">
        <f>IFERROR(__xludf.DUMMYFUNCTION("""COMPUTED_VALUE"""),528.0)</f>
        <v>528</v>
      </c>
      <c r="D5241" s="3">
        <f>IFERROR(__xludf.DUMMYFUNCTION("""COMPUTED_VALUE"""),420.0)</f>
        <v>420</v>
      </c>
      <c r="E5241" s="1" t="str">
        <f t="array" ref="E5241">_xlfn.XLOOKUP(A5241,Product!A:A,Product!B:B,"Bulunamadı")</f>
        <v>Medical</v>
      </c>
      <c r="F5241" s="1" t="str">
        <f t="array" ref="F5241">_xlfn.XLOOKUP(A5241,Product!A:A,Product!C:C,"Bulunamadı")</f>
        <v>Illustration</v>
      </c>
      <c r="G5241" s="2" t="str">
        <f t="array" ref="G5241">_xlfn.XLOOKUP(A5242,Product!A:A,Product!D:D,"Bulunamadı")</f>
        <v>Northbrook Publishing House</v>
      </c>
      <c r="H5241" s="2">
        <f t="array" ref="H5241">_xlfn.XLOOKUP(A5243,Product!A:A,Product!E:E,"Bulunamadı")</f>
        <v>1.81</v>
      </c>
      <c r="I5241" s="2" t="str">
        <f t="shared" si="1"/>
        <v>108981 - Medical - Illustration</v>
      </c>
      <c r="J5241" s="2">
        <f t="shared" si="2"/>
        <v>760.2</v>
      </c>
      <c r="K5241" s="17">
        <f t="shared" si="3"/>
        <v>1</v>
      </c>
      <c r="L5241" s="18"/>
    </row>
    <row r="5242" hidden="1">
      <c r="A5242" s="2">
        <f>IFERROR(__xludf.DUMMYFUNCTION("""COMPUTED_VALUE"""),110931.0)</f>
        <v>110931</v>
      </c>
      <c r="B5242" s="2">
        <f>IFERROR(__xludf.DUMMYFUNCTION("""COMPUTED_VALUE"""),0.0)</f>
        <v>0</v>
      </c>
      <c r="C5242" s="2">
        <f>IFERROR(__xludf.DUMMYFUNCTION("""COMPUTED_VALUE"""),770.0)</f>
        <v>770</v>
      </c>
      <c r="D5242" s="3">
        <f>IFERROR(__xludf.DUMMYFUNCTION("""COMPUTED_VALUE"""),118.0)</f>
        <v>118</v>
      </c>
      <c r="E5242" s="1" t="str">
        <f t="array" ref="E5242">_xlfn.XLOOKUP(A5242,Product!A:A,Product!B:B,"Bulunamadı")</f>
        <v>Medical</v>
      </c>
      <c r="F5242" s="1" t="str">
        <f t="array" ref="F5242">_xlfn.XLOOKUP(A5242,Product!A:A,Product!C:C,"Bulunamadı")</f>
        <v>Illustration</v>
      </c>
      <c r="G5242" s="2" t="str">
        <f t="array" ref="G5242">_xlfn.XLOOKUP(A5243,Product!A:A,Product!D:D,"Bulunamadı")</f>
        <v>Northbrook Publishing House</v>
      </c>
      <c r="H5242" s="2">
        <f t="array" ref="H5242">_xlfn.XLOOKUP(A5244,Product!A:A,Product!E:E,"Bulunamadı")</f>
        <v>2</v>
      </c>
      <c r="I5242" s="2" t="str">
        <f t="shared" si="1"/>
        <v>110931 - Medical - Illustration</v>
      </c>
      <c r="J5242" s="2">
        <f t="shared" si="2"/>
        <v>236</v>
      </c>
      <c r="K5242" s="17">
        <f t="shared" si="3"/>
        <v>1</v>
      </c>
      <c r="L5242" s="18"/>
    </row>
    <row r="5243" hidden="1">
      <c r="A5243" s="2">
        <f>IFERROR(__xludf.DUMMYFUNCTION("""COMPUTED_VALUE"""),99037.0)</f>
        <v>99037</v>
      </c>
      <c r="B5243" s="2">
        <f>IFERROR(__xludf.DUMMYFUNCTION("""COMPUTED_VALUE"""),1.0)</f>
        <v>1</v>
      </c>
      <c r="C5243" s="2">
        <f>IFERROR(__xludf.DUMMYFUNCTION("""COMPUTED_VALUE"""),298.0)</f>
        <v>298</v>
      </c>
      <c r="D5243" s="3">
        <f>IFERROR(__xludf.DUMMYFUNCTION("""COMPUTED_VALUE"""),260.0)</f>
        <v>260</v>
      </c>
      <c r="E5243" s="1" t="str">
        <f t="array" ref="E5243">_xlfn.XLOOKUP(A5243,Product!A:A,Product!B:B,"Bulunamadı")</f>
        <v>Medical</v>
      </c>
      <c r="F5243" s="1" t="str">
        <f t="array" ref="F5243">_xlfn.XLOOKUP(A5243,Product!A:A,Product!C:C,"Bulunamadı")</f>
        <v>Illustration</v>
      </c>
      <c r="G5243" s="2" t="str">
        <f t="array" ref="G5243">_xlfn.XLOOKUP(A5244,Product!A:A,Product!D:D,"Bulunamadı")</f>
        <v>Northbrook Publishing House</v>
      </c>
      <c r="H5243" s="2">
        <f t="array" ref="H5243">_xlfn.XLOOKUP(A5245,Product!A:A,Product!E:E,"Bulunamadı")</f>
        <v>2.35</v>
      </c>
      <c r="I5243" s="2" t="str">
        <f t="shared" si="1"/>
        <v>99037 - Medical - Illustration</v>
      </c>
      <c r="J5243" s="2">
        <f t="shared" si="2"/>
        <v>611</v>
      </c>
      <c r="K5243" s="17">
        <f t="shared" si="3"/>
        <v>1</v>
      </c>
      <c r="L5243" s="18"/>
    </row>
    <row r="5244" hidden="1">
      <c r="A5244" s="2">
        <f>IFERROR(__xludf.DUMMYFUNCTION("""COMPUTED_VALUE"""),99096.0)</f>
        <v>99096</v>
      </c>
      <c r="B5244" s="2">
        <f>IFERROR(__xludf.DUMMYFUNCTION("""COMPUTED_VALUE"""),0.0)</f>
        <v>0</v>
      </c>
      <c r="C5244" s="2">
        <f>IFERROR(__xludf.DUMMYFUNCTION("""COMPUTED_VALUE"""),618.0)</f>
        <v>618</v>
      </c>
      <c r="D5244" s="3">
        <f>IFERROR(__xludf.DUMMYFUNCTION("""COMPUTED_VALUE"""),444.0)</f>
        <v>444</v>
      </c>
      <c r="E5244" s="1" t="str">
        <f t="array" ref="E5244">_xlfn.XLOOKUP(A5244,Product!A:A,Product!B:B,"Bulunamadı")</f>
        <v>Medical</v>
      </c>
      <c r="F5244" s="1" t="str">
        <f t="array" ref="F5244">_xlfn.XLOOKUP(A5244,Product!A:A,Product!C:C,"Bulunamadı")</f>
        <v>Illustration</v>
      </c>
      <c r="G5244" s="2" t="str">
        <f t="array" ref="G5244">_xlfn.XLOOKUP(A5245,Product!A:A,Product!D:D,"Bulunamadı")</f>
        <v>Northbrook Publishing House</v>
      </c>
      <c r="H5244" s="2">
        <f t="array" ref="H5244">_xlfn.XLOOKUP(A5246,Product!A:A,Product!E:E,"Bulunamadı")</f>
        <v>1.34</v>
      </c>
      <c r="I5244" s="2" t="str">
        <f t="shared" si="1"/>
        <v>99096 - Medical - Illustration</v>
      </c>
      <c r="J5244" s="2">
        <f t="shared" si="2"/>
        <v>594.96</v>
      </c>
      <c r="K5244" s="17">
        <f t="shared" si="3"/>
        <v>1</v>
      </c>
      <c r="L5244" s="18"/>
    </row>
    <row r="5245" hidden="1">
      <c r="A5245" s="2">
        <f>IFERROR(__xludf.DUMMYFUNCTION("""COMPUTED_VALUE"""),41986.0)</f>
        <v>41986</v>
      </c>
      <c r="B5245" s="2">
        <f>IFERROR(__xludf.DUMMYFUNCTION("""COMPUTED_VALUE"""),0.0)</f>
        <v>0</v>
      </c>
      <c r="C5245" s="2">
        <f>IFERROR(__xludf.DUMMYFUNCTION("""COMPUTED_VALUE"""),575.0)</f>
        <v>575</v>
      </c>
      <c r="D5245" s="3">
        <f>IFERROR(__xludf.DUMMYFUNCTION("""COMPUTED_VALUE"""),97.0)</f>
        <v>97</v>
      </c>
      <c r="E5245" s="1" t="str">
        <f t="array" ref="E5245">_xlfn.XLOOKUP(A5245,Product!A:A,Product!B:B,"Bulunamadı")</f>
        <v>Medical</v>
      </c>
      <c r="F5245" s="1" t="str">
        <f t="array" ref="F5245">_xlfn.XLOOKUP(A5245,Product!A:A,Product!C:C,"Bulunamadı")</f>
        <v>Illustration</v>
      </c>
      <c r="G5245" s="2" t="str">
        <f t="array" ref="G5245">_xlfn.XLOOKUP(A5246,Product!A:A,Product!D:D,"Bulunamadı")</f>
        <v>Northbrook Publishing House</v>
      </c>
      <c r="H5245" s="2">
        <f t="array" ref="H5245">_xlfn.XLOOKUP(A5247,Product!A:A,Product!E:E,"Bulunamadı")</f>
        <v>2.25</v>
      </c>
      <c r="I5245" s="2" t="str">
        <f t="shared" si="1"/>
        <v>41986 - Medical - Illustration</v>
      </c>
      <c r="J5245" s="2">
        <f t="shared" si="2"/>
        <v>218.25</v>
      </c>
      <c r="K5245" s="17">
        <f t="shared" si="3"/>
        <v>1</v>
      </c>
      <c r="L5245" s="18"/>
    </row>
    <row r="5246" hidden="1">
      <c r="A5246" s="2">
        <f>IFERROR(__xludf.DUMMYFUNCTION("""COMPUTED_VALUE"""),79430.0)</f>
        <v>79430</v>
      </c>
      <c r="B5246" s="2">
        <f>IFERROR(__xludf.DUMMYFUNCTION("""COMPUTED_VALUE"""),0.0)</f>
        <v>0</v>
      </c>
      <c r="C5246" s="2">
        <f>IFERROR(__xludf.DUMMYFUNCTION("""COMPUTED_VALUE"""),34.0)</f>
        <v>34</v>
      </c>
      <c r="D5246" s="3">
        <f>IFERROR(__xludf.DUMMYFUNCTION("""COMPUTED_VALUE"""),12.0)</f>
        <v>12</v>
      </c>
      <c r="E5246" s="1" t="str">
        <f t="array" ref="E5246">_xlfn.XLOOKUP(A5246,Product!A:A,Product!B:B,"Bulunamadı")</f>
        <v>Medical</v>
      </c>
      <c r="F5246" s="1" t="str">
        <f t="array" ref="F5246">_xlfn.XLOOKUP(A5246,Product!A:A,Product!C:C,"Bulunamadı")</f>
        <v>Illustration</v>
      </c>
      <c r="G5246" s="2" t="str">
        <f t="array" ref="G5246">_xlfn.XLOOKUP(A5247,Product!A:A,Product!D:D,"Bulunamadı")</f>
        <v>Harborbrook Publishing House</v>
      </c>
      <c r="H5246" s="2">
        <f t="array" ref="H5246">_xlfn.XLOOKUP(A5248,Product!A:A,Product!E:E,"Bulunamadı")</f>
        <v>2.27</v>
      </c>
      <c r="I5246" s="2" t="str">
        <f t="shared" si="1"/>
        <v>79430 - Medical - Illustration</v>
      </c>
      <c r="J5246" s="2">
        <f t="shared" si="2"/>
        <v>27.24</v>
      </c>
      <c r="K5246" s="17">
        <f t="shared" si="3"/>
        <v>1</v>
      </c>
      <c r="L5246" s="18"/>
    </row>
    <row r="5247" hidden="1">
      <c r="A5247" s="2">
        <f>IFERROR(__xludf.DUMMYFUNCTION("""COMPUTED_VALUE"""),41921.0)</f>
        <v>41921</v>
      </c>
      <c r="B5247" s="2">
        <f>IFERROR(__xludf.DUMMYFUNCTION("""COMPUTED_VALUE"""),1.0)</f>
        <v>1</v>
      </c>
      <c r="C5247" s="2">
        <f>IFERROR(__xludf.DUMMYFUNCTION("""COMPUTED_VALUE"""),507.0)</f>
        <v>507</v>
      </c>
      <c r="D5247" s="3">
        <f>IFERROR(__xludf.DUMMYFUNCTION("""COMPUTED_VALUE"""),320.0)</f>
        <v>320</v>
      </c>
      <c r="E5247" s="1" t="str">
        <f t="array" ref="E5247">_xlfn.XLOOKUP(A5247,Product!A:A,Product!B:B,"Bulunamadı")</f>
        <v>Medical</v>
      </c>
      <c r="F5247" s="1" t="str">
        <f t="array" ref="F5247">_xlfn.XLOOKUP(A5247,Product!A:A,Product!C:C,"Bulunamadı")</f>
        <v>Illustration</v>
      </c>
      <c r="G5247" s="2" t="str">
        <f t="array" ref="G5247">_xlfn.XLOOKUP(A5248,Product!A:A,Product!D:D,"Bulunamadı")</f>
        <v>Harborbrook Publishing House</v>
      </c>
      <c r="H5247" s="2">
        <f t="array" ref="H5247">_xlfn.XLOOKUP(A5249,Product!A:A,Product!E:E,"Bulunamadı")</f>
        <v>1.8</v>
      </c>
      <c r="I5247" s="2" t="str">
        <f t="shared" si="1"/>
        <v>41921 - Medical - Illustration</v>
      </c>
      <c r="J5247" s="2">
        <f t="shared" si="2"/>
        <v>576</v>
      </c>
      <c r="K5247" s="17">
        <f t="shared" si="3"/>
        <v>1</v>
      </c>
      <c r="L5247" s="18"/>
    </row>
    <row r="5248" hidden="1">
      <c r="A5248" s="2">
        <f>IFERROR(__xludf.DUMMYFUNCTION("""COMPUTED_VALUE"""),41910.0)</f>
        <v>41910</v>
      </c>
      <c r="B5248" s="2">
        <f>IFERROR(__xludf.DUMMYFUNCTION("""COMPUTED_VALUE"""),1.0)</f>
        <v>1</v>
      </c>
      <c r="C5248" s="2">
        <f>IFERROR(__xludf.DUMMYFUNCTION("""COMPUTED_VALUE"""),422.0)</f>
        <v>422</v>
      </c>
      <c r="D5248" s="3">
        <f>IFERROR(__xludf.DUMMYFUNCTION("""COMPUTED_VALUE"""),363.0)</f>
        <v>363</v>
      </c>
      <c r="E5248" s="1" t="str">
        <f t="array" ref="E5248">_xlfn.XLOOKUP(A5248,Product!A:A,Product!B:B,"Bulunamadı")</f>
        <v>Medical</v>
      </c>
      <c r="F5248" s="1" t="str">
        <f t="array" ref="F5248">_xlfn.XLOOKUP(A5248,Product!A:A,Product!C:C,"Bulunamadı")</f>
        <v>Illustration</v>
      </c>
      <c r="G5248" s="2" t="str">
        <f t="array" ref="G5248">_xlfn.XLOOKUP(A5249,Product!A:A,Product!D:D,"Bulunamadı")</f>
        <v>Harborbrook Publishing House</v>
      </c>
      <c r="H5248" s="2">
        <f t="array" ref="H5248">_xlfn.XLOOKUP(A5250,Product!A:A,Product!E:E,"Bulunamadı")</f>
        <v>2.8</v>
      </c>
      <c r="I5248" s="2" t="str">
        <f t="shared" si="1"/>
        <v>41910 - Medical - Illustration</v>
      </c>
      <c r="J5248" s="2">
        <f t="shared" si="2"/>
        <v>1016.4</v>
      </c>
      <c r="K5248" s="17">
        <f t="shared" si="3"/>
        <v>1</v>
      </c>
      <c r="L5248" s="18"/>
    </row>
    <row r="5249" hidden="1">
      <c r="A5249" s="2">
        <f>IFERROR(__xludf.DUMMYFUNCTION("""COMPUTED_VALUE"""),11069.0)</f>
        <v>11069</v>
      </c>
      <c r="B5249" s="2">
        <f>IFERROR(__xludf.DUMMYFUNCTION("""COMPUTED_VALUE"""),1.0)</f>
        <v>1</v>
      </c>
      <c r="C5249" s="2">
        <f>IFERROR(__xludf.DUMMYFUNCTION("""COMPUTED_VALUE"""),44.0)</f>
        <v>44</v>
      </c>
      <c r="D5249" s="3">
        <f>IFERROR(__xludf.DUMMYFUNCTION("""COMPUTED_VALUE"""),16.0)</f>
        <v>16</v>
      </c>
      <c r="E5249" s="1" t="str">
        <f t="array" ref="E5249">_xlfn.XLOOKUP(A5249,Product!A:A,Product!B:B,"Bulunamadı")</f>
        <v>Medical</v>
      </c>
      <c r="F5249" s="1" t="str">
        <f t="array" ref="F5249">_xlfn.XLOOKUP(A5249,Product!A:A,Product!C:C,"Bulunamadı")</f>
        <v>Illustration</v>
      </c>
      <c r="G5249" s="2" t="str">
        <f t="array" ref="G5249">_xlfn.XLOOKUP(A5250,Product!A:A,Product!D:D,"Bulunamadı")</f>
        <v>Harborbrook Publishing House</v>
      </c>
      <c r="H5249" s="2">
        <f t="array" ref="H5249">_xlfn.XLOOKUP(A5251,Product!A:A,Product!E:E,"Bulunamadı")</f>
        <v>2.61</v>
      </c>
      <c r="I5249" s="2" t="str">
        <f t="shared" si="1"/>
        <v>11069 - Medical - Illustration</v>
      </c>
      <c r="J5249" s="2">
        <f t="shared" si="2"/>
        <v>41.76</v>
      </c>
      <c r="K5249" s="17">
        <f t="shared" si="3"/>
        <v>1</v>
      </c>
      <c r="L5249" s="18"/>
    </row>
    <row r="5250" hidden="1">
      <c r="A5250" s="2">
        <f>IFERROR(__xludf.DUMMYFUNCTION("""COMPUTED_VALUE"""),41924.0)</f>
        <v>41924</v>
      </c>
      <c r="B5250" s="2">
        <f>IFERROR(__xludf.DUMMYFUNCTION("""COMPUTED_VALUE"""),1.0)</f>
        <v>1</v>
      </c>
      <c r="C5250" s="2">
        <f>IFERROR(__xludf.DUMMYFUNCTION("""COMPUTED_VALUE"""),342.0)</f>
        <v>342</v>
      </c>
      <c r="D5250" s="3">
        <f>IFERROR(__xludf.DUMMYFUNCTION("""COMPUTED_VALUE"""),167.0)</f>
        <v>167</v>
      </c>
      <c r="E5250" s="1" t="str">
        <f t="array" ref="E5250">_xlfn.XLOOKUP(A5250,Product!A:A,Product!B:B,"Bulunamadı")</f>
        <v>Medical</v>
      </c>
      <c r="F5250" s="1" t="str">
        <f t="array" ref="F5250">_xlfn.XLOOKUP(A5250,Product!A:A,Product!C:C,"Bulunamadı")</f>
        <v>Illustration</v>
      </c>
      <c r="G5250" s="2" t="str">
        <f t="array" ref="G5250">_xlfn.XLOOKUP(A5251,Product!A:A,Product!D:D,"Bulunamadı")</f>
        <v>Harborbrook Publishing House</v>
      </c>
      <c r="H5250" s="2">
        <f t="array" ref="H5250">_xlfn.XLOOKUP(A5252,Product!A:A,Product!E:E,"Bulunamadı")</f>
        <v>2.15</v>
      </c>
      <c r="I5250" s="2" t="str">
        <f t="shared" si="1"/>
        <v>41924 - Medical - Illustration</v>
      </c>
      <c r="J5250" s="2">
        <f t="shared" si="2"/>
        <v>359.05</v>
      </c>
      <c r="K5250" s="17">
        <f t="shared" si="3"/>
        <v>1</v>
      </c>
      <c r="L5250" s="18"/>
    </row>
    <row r="5251" hidden="1">
      <c r="A5251" s="2">
        <f>IFERROR(__xludf.DUMMYFUNCTION("""COMPUTED_VALUE"""),133913.0)</f>
        <v>133913</v>
      </c>
      <c r="B5251" s="2">
        <f>IFERROR(__xludf.DUMMYFUNCTION("""COMPUTED_VALUE"""),0.0)</f>
        <v>0</v>
      </c>
      <c r="C5251" s="2">
        <f>IFERROR(__xludf.DUMMYFUNCTION("""COMPUTED_VALUE"""),377.0)</f>
        <v>377</v>
      </c>
      <c r="D5251" s="3">
        <f>IFERROR(__xludf.DUMMYFUNCTION("""COMPUTED_VALUE"""),121.0)</f>
        <v>121</v>
      </c>
      <c r="E5251" s="1" t="str">
        <f t="array" ref="E5251">_xlfn.XLOOKUP(A5251,Product!A:A,Product!B:B,"Bulunamadı")</f>
        <v>Medical</v>
      </c>
      <c r="F5251" s="1" t="str">
        <f t="array" ref="F5251">_xlfn.XLOOKUP(A5251,Product!A:A,Product!C:C,"Bulunamadı")</f>
        <v>Illustration</v>
      </c>
      <c r="G5251" s="2" t="str">
        <f t="array" ref="G5251">_xlfn.XLOOKUP(A5252,Product!A:A,Product!D:D,"Bulunamadı")</f>
        <v>Harborbrook Publishing House</v>
      </c>
      <c r="H5251" s="2">
        <f t="array" ref="H5251">_xlfn.XLOOKUP(A5253,Product!A:A,Product!E:E,"Bulunamadı")</f>
        <v>2.15</v>
      </c>
      <c r="I5251" s="2" t="str">
        <f t="shared" si="1"/>
        <v>133913 - Medical - Illustration</v>
      </c>
      <c r="J5251" s="2">
        <f t="shared" si="2"/>
        <v>260.15</v>
      </c>
      <c r="K5251" s="17">
        <f t="shared" si="3"/>
        <v>1</v>
      </c>
      <c r="L5251" s="18"/>
    </row>
    <row r="5252" hidden="1">
      <c r="A5252" s="2">
        <f>IFERROR(__xludf.DUMMYFUNCTION("""COMPUTED_VALUE"""),70422.0)</f>
        <v>70422</v>
      </c>
      <c r="B5252" s="2">
        <f>IFERROR(__xludf.DUMMYFUNCTION("""COMPUTED_VALUE"""),1.0)</f>
        <v>1</v>
      </c>
      <c r="C5252" s="2">
        <f>IFERROR(__xludf.DUMMYFUNCTION("""COMPUTED_VALUE"""),901.0)</f>
        <v>901</v>
      </c>
      <c r="D5252" s="3">
        <f>IFERROR(__xludf.DUMMYFUNCTION("""COMPUTED_VALUE"""),707.0)</f>
        <v>707</v>
      </c>
      <c r="E5252" s="1" t="str">
        <f t="array" ref="E5252">_xlfn.XLOOKUP(A5252,Product!A:A,Product!B:B,"Bulunamadı")</f>
        <v>Medical</v>
      </c>
      <c r="F5252" s="1" t="str">
        <f t="array" ref="F5252">_xlfn.XLOOKUP(A5252,Product!A:A,Product!C:C,"Bulunamadı")</f>
        <v>Illustration</v>
      </c>
      <c r="G5252" s="2" t="str">
        <f t="array" ref="G5252">_xlfn.XLOOKUP(A5253,Product!A:A,Product!D:D,"Bulunamadı")</f>
        <v>Cedarbrook Publishing House</v>
      </c>
      <c r="H5252" s="2">
        <f t="array" ref="H5252">_xlfn.XLOOKUP(A5254,Product!A:A,Product!E:E,"Bulunamadı")</f>
        <v>1.83</v>
      </c>
      <c r="I5252" s="2" t="str">
        <f t="shared" si="1"/>
        <v>70422 - Medical - Illustration</v>
      </c>
      <c r="J5252" s="2">
        <f t="shared" si="2"/>
        <v>1293.81</v>
      </c>
      <c r="K5252" s="17">
        <f t="shared" si="3"/>
        <v>1</v>
      </c>
      <c r="L5252" s="18"/>
    </row>
    <row r="5253" hidden="1">
      <c r="A5253" s="2">
        <f>IFERROR(__xludf.DUMMYFUNCTION("""COMPUTED_VALUE"""),17812.0)</f>
        <v>17812</v>
      </c>
      <c r="B5253" s="2">
        <f>IFERROR(__xludf.DUMMYFUNCTION("""COMPUTED_VALUE"""),1.0)</f>
        <v>1</v>
      </c>
      <c r="C5253" s="2">
        <f>IFERROR(__xludf.DUMMYFUNCTION("""COMPUTED_VALUE"""),946.0)</f>
        <v>946</v>
      </c>
      <c r="D5253" s="3">
        <f>IFERROR(__xludf.DUMMYFUNCTION("""COMPUTED_VALUE"""),920.0)</f>
        <v>920</v>
      </c>
      <c r="E5253" s="1" t="str">
        <f t="array" ref="E5253">_xlfn.XLOOKUP(A5253,Product!A:A,Product!B:B,"Bulunamadı")</f>
        <v>Medical</v>
      </c>
      <c r="F5253" s="1" t="str">
        <f t="array" ref="F5253">_xlfn.XLOOKUP(A5253,Product!A:A,Product!C:C,"Bulunamadı")</f>
        <v>Illustration</v>
      </c>
      <c r="G5253" s="2" t="str">
        <f t="array" ref="G5253">_xlfn.XLOOKUP(A5254,Product!A:A,Product!D:D,"Bulunamadı")</f>
        <v>Cedarbrook Publishing House</v>
      </c>
      <c r="H5253" s="2">
        <f t="array" ref="H5253">_xlfn.XLOOKUP(A5255,Product!A:A,Product!E:E,"Bulunamadı")</f>
        <v>1.84</v>
      </c>
      <c r="I5253" s="2" t="str">
        <f t="shared" si="1"/>
        <v>17812 - Medical - Illustration</v>
      </c>
      <c r="J5253" s="2">
        <f t="shared" si="2"/>
        <v>1692.8</v>
      </c>
      <c r="K5253" s="17">
        <f t="shared" si="3"/>
        <v>1</v>
      </c>
      <c r="L5253" s="18"/>
    </row>
    <row r="5254" hidden="1">
      <c r="A5254" s="2">
        <f>IFERROR(__xludf.DUMMYFUNCTION("""COMPUTED_VALUE"""),70429.0)</f>
        <v>70429</v>
      </c>
      <c r="B5254" s="2">
        <f>IFERROR(__xludf.DUMMYFUNCTION("""COMPUTED_VALUE"""),0.0)</f>
        <v>0</v>
      </c>
      <c r="C5254" s="2">
        <f>IFERROR(__xludf.DUMMYFUNCTION("""COMPUTED_VALUE"""),908.0)</f>
        <v>908</v>
      </c>
      <c r="D5254" s="3">
        <f>IFERROR(__xludf.DUMMYFUNCTION("""COMPUTED_VALUE"""),505.0)</f>
        <v>505</v>
      </c>
      <c r="E5254" s="1" t="str">
        <f t="array" ref="E5254">_xlfn.XLOOKUP(A5254,Product!A:A,Product!B:B,"Bulunamadı")</f>
        <v>Medical</v>
      </c>
      <c r="F5254" s="1" t="str">
        <f t="array" ref="F5254">_xlfn.XLOOKUP(A5254,Product!A:A,Product!C:C,"Bulunamadı")</f>
        <v>Illustration</v>
      </c>
      <c r="G5254" s="2" t="str">
        <f t="array" ref="G5254">_xlfn.XLOOKUP(A5255,Product!A:A,Product!D:D,"Bulunamadı")</f>
        <v>Cedarbrook Publishing House</v>
      </c>
      <c r="H5254" s="2">
        <f t="array" ref="H5254">_xlfn.XLOOKUP(A5256,Product!A:A,Product!E:E,"Bulunamadı")</f>
        <v>1.82</v>
      </c>
      <c r="I5254" s="2" t="str">
        <f t="shared" si="1"/>
        <v>70429 - Medical - Illustration</v>
      </c>
      <c r="J5254" s="2">
        <f t="shared" si="2"/>
        <v>919.1</v>
      </c>
      <c r="K5254" s="17">
        <f t="shared" si="3"/>
        <v>1</v>
      </c>
      <c r="L5254" s="18"/>
    </row>
    <row r="5255" hidden="1">
      <c r="A5255" s="2">
        <f>IFERROR(__xludf.DUMMYFUNCTION("""COMPUTED_VALUE"""),70428.0)</f>
        <v>70428</v>
      </c>
      <c r="B5255" s="2">
        <f>IFERROR(__xludf.DUMMYFUNCTION("""COMPUTED_VALUE"""),1.0)</f>
        <v>1</v>
      </c>
      <c r="C5255" s="2">
        <f>IFERROR(__xludf.DUMMYFUNCTION("""COMPUTED_VALUE"""),633.0)</f>
        <v>633</v>
      </c>
      <c r="D5255" s="3">
        <f>IFERROR(__xludf.DUMMYFUNCTION("""COMPUTED_VALUE"""),357.0)</f>
        <v>357</v>
      </c>
      <c r="E5255" s="1" t="str">
        <f t="array" ref="E5255">_xlfn.XLOOKUP(A5255,Product!A:A,Product!B:B,"Bulunamadı")</f>
        <v>Medical</v>
      </c>
      <c r="F5255" s="1" t="str">
        <f t="array" ref="F5255">_xlfn.XLOOKUP(A5255,Product!A:A,Product!C:C,"Bulunamadı")</f>
        <v>Illustration</v>
      </c>
      <c r="G5255" s="2" t="str">
        <f t="array" ref="G5255">_xlfn.XLOOKUP(A5256,Product!A:A,Product!D:D,"Bulunamadı")</f>
        <v>Cedarbrook Publishing House</v>
      </c>
      <c r="H5255" s="2">
        <f t="array" ref="H5255">_xlfn.XLOOKUP(A5257,Product!A:A,Product!E:E,"Bulunamadı")</f>
        <v>1.78</v>
      </c>
      <c r="I5255" s="2" t="str">
        <f t="shared" si="1"/>
        <v>70428 - Medical - Illustration</v>
      </c>
      <c r="J5255" s="2">
        <f t="shared" si="2"/>
        <v>635.46</v>
      </c>
      <c r="K5255" s="17">
        <f t="shared" si="3"/>
        <v>1</v>
      </c>
      <c r="L5255" s="18"/>
    </row>
    <row r="5256" hidden="1">
      <c r="A5256" s="2">
        <f>IFERROR(__xludf.DUMMYFUNCTION("""COMPUTED_VALUE"""),99038.0)</f>
        <v>99038</v>
      </c>
      <c r="B5256" s="2">
        <f>IFERROR(__xludf.DUMMYFUNCTION("""COMPUTED_VALUE"""),0.0)</f>
        <v>0</v>
      </c>
      <c r="C5256" s="2">
        <f>IFERROR(__xludf.DUMMYFUNCTION("""COMPUTED_VALUE"""),89.0)</f>
        <v>89</v>
      </c>
      <c r="D5256" s="3">
        <f>IFERROR(__xludf.DUMMYFUNCTION("""COMPUTED_VALUE"""),12.0)</f>
        <v>12</v>
      </c>
      <c r="E5256" s="1" t="str">
        <f t="array" ref="E5256">_xlfn.XLOOKUP(A5256,Product!A:A,Product!B:B,"Bulunamadı")</f>
        <v>Medical</v>
      </c>
      <c r="F5256" s="1" t="str">
        <f t="array" ref="F5256">_xlfn.XLOOKUP(A5256,Product!A:A,Product!C:C,"Bulunamadı")</f>
        <v>Illustration</v>
      </c>
      <c r="G5256" s="2" t="str">
        <f t="array" ref="G5256">_xlfn.XLOOKUP(A5257,Product!A:A,Product!D:D,"Bulunamadı")</f>
        <v>Cedarbrook Publishing House</v>
      </c>
      <c r="H5256" s="2">
        <f t="array" ref="H5256">_xlfn.XLOOKUP(A5258,Product!A:A,Product!E:E,"Bulunamadı")</f>
        <v>1.86</v>
      </c>
      <c r="I5256" s="2" t="str">
        <f t="shared" si="1"/>
        <v>99038 - Medical - Illustration</v>
      </c>
      <c r="J5256" s="2">
        <f t="shared" si="2"/>
        <v>22.32</v>
      </c>
      <c r="K5256" s="17">
        <f t="shared" si="3"/>
        <v>1</v>
      </c>
      <c r="L5256" s="18"/>
    </row>
    <row r="5257" hidden="1">
      <c r="A5257" s="2">
        <f>IFERROR(__xludf.DUMMYFUNCTION("""COMPUTED_VALUE"""),11071.0)</f>
        <v>11071</v>
      </c>
      <c r="B5257" s="2">
        <f>IFERROR(__xludf.DUMMYFUNCTION("""COMPUTED_VALUE"""),0.0)</f>
        <v>0</v>
      </c>
      <c r="C5257" s="2">
        <f>IFERROR(__xludf.DUMMYFUNCTION("""COMPUTED_VALUE"""),76.0)</f>
        <v>76</v>
      </c>
      <c r="D5257" s="3">
        <f>IFERROR(__xludf.DUMMYFUNCTION("""COMPUTED_VALUE"""),47.0)</f>
        <v>47</v>
      </c>
      <c r="E5257" s="1" t="str">
        <f t="array" ref="E5257">_xlfn.XLOOKUP(A5257,Product!A:A,Product!B:B,"Bulunamadı")</f>
        <v>Medical</v>
      </c>
      <c r="F5257" s="1" t="str">
        <f t="array" ref="F5257">_xlfn.XLOOKUP(A5257,Product!A:A,Product!C:C,"Bulunamadı")</f>
        <v>Illustration</v>
      </c>
      <c r="G5257" s="2" t="str">
        <f t="array" ref="G5257">_xlfn.XLOOKUP(A5258,Product!A:A,Product!D:D,"Bulunamadı")</f>
        <v>Cedarbrook Publishing House</v>
      </c>
      <c r="H5257" s="2">
        <f t="array" ref="H5257">_xlfn.XLOOKUP(A5259,Product!A:A,Product!E:E,"Bulunamadı")</f>
        <v>2.2</v>
      </c>
      <c r="I5257" s="2" t="str">
        <f t="shared" si="1"/>
        <v>11071 - Medical - Illustration</v>
      </c>
      <c r="J5257" s="2">
        <f t="shared" si="2"/>
        <v>103.4</v>
      </c>
      <c r="K5257" s="17">
        <f t="shared" si="3"/>
        <v>1</v>
      </c>
      <c r="L5257" s="18"/>
    </row>
    <row r="5258" hidden="1">
      <c r="A5258" s="2">
        <f>IFERROR(__xludf.DUMMYFUNCTION("""COMPUTED_VALUE"""),17066.0)</f>
        <v>17066</v>
      </c>
      <c r="B5258" s="2">
        <f>IFERROR(__xludf.DUMMYFUNCTION("""COMPUTED_VALUE"""),0.0)</f>
        <v>0</v>
      </c>
      <c r="C5258" s="2">
        <f>IFERROR(__xludf.DUMMYFUNCTION("""COMPUTED_VALUE"""),153.0)</f>
        <v>153</v>
      </c>
      <c r="D5258" s="3">
        <f>IFERROR(__xludf.DUMMYFUNCTION("""COMPUTED_VALUE"""),70.0)</f>
        <v>70</v>
      </c>
      <c r="E5258" s="1" t="str">
        <f t="array" ref="E5258">_xlfn.XLOOKUP(A5258,Product!A:A,Product!B:B,"Bulunamadı")</f>
        <v>Medical</v>
      </c>
      <c r="F5258" s="1" t="str">
        <f t="array" ref="F5258">_xlfn.XLOOKUP(A5258,Product!A:A,Product!C:C,"Bulunamadı")</f>
        <v>Illustration</v>
      </c>
      <c r="G5258" s="2" t="str">
        <f t="array" ref="G5258">_xlfn.XLOOKUP(A5259,Product!A:A,Product!D:D,"Bulunamadı")</f>
        <v>Cedarbrook Publishing House</v>
      </c>
      <c r="H5258" s="2">
        <f t="array" ref="H5258">_xlfn.XLOOKUP(A5260,Product!A:A,Product!E:E,"Bulunamadı")</f>
        <v>1.91</v>
      </c>
      <c r="I5258" s="2" t="str">
        <f t="shared" si="1"/>
        <v>17066 - Medical - Illustration</v>
      </c>
      <c r="J5258" s="2">
        <f t="shared" si="2"/>
        <v>133.7</v>
      </c>
      <c r="K5258" s="17">
        <f t="shared" si="3"/>
        <v>1</v>
      </c>
      <c r="L5258" s="18"/>
    </row>
    <row r="5259" hidden="1">
      <c r="A5259" s="2">
        <f>IFERROR(__xludf.DUMMYFUNCTION("""COMPUTED_VALUE"""),117649.0)</f>
        <v>117649</v>
      </c>
      <c r="B5259" s="2">
        <f>IFERROR(__xludf.DUMMYFUNCTION("""COMPUTED_VALUE"""),0.0)</f>
        <v>0</v>
      </c>
      <c r="C5259" s="2">
        <f>IFERROR(__xludf.DUMMYFUNCTION("""COMPUTED_VALUE"""),228.0)</f>
        <v>228</v>
      </c>
      <c r="D5259" s="3">
        <f>IFERROR(__xludf.DUMMYFUNCTION("""COMPUTED_VALUE"""),211.0)</f>
        <v>211</v>
      </c>
      <c r="E5259" s="1" t="str">
        <f t="array" ref="E5259">_xlfn.XLOOKUP(A5259,Product!A:A,Product!B:B,"Bulunamadı")</f>
        <v>Medical</v>
      </c>
      <c r="F5259" s="1" t="str">
        <f t="array" ref="F5259">_xlfn.XLOOKUP(A5259,Product!A:A,Product!C:C,"Bulunamadı")</f>
        <v>Illustration</v>
      </c>
      <c r="G5259" s="2" t="str">
        <f t="array" ref="G5259">_xlfn.XLOOKUP(A5260,Product!A:A,Product!D:D,"Bulunamadı")</f>
        <v>Cedarbrook Publishing House</v>
      </c>
      <c r="H5259" s="2">
        <f t="array" ref="H5259">_xlfn.XLOOKUP(A5261,Product!A:A,Product!E:E,"Bulunamadı")</f>
        <v>2.28</v>
      </c>
      <c r="I5259" s="2" t="str">
        <f t="shared" si="1"/>
        <v>117649 - Medical - Illustration</v>
      </c>
      <c r="J5259" s="2">
        <f t="shared" si="2"/>
        <v>481.08</v>
      </c>
      <c r="K5259" s="17">
        <f t="shared" si="3"/>
        <v>1</v>
      </c>
      <c r="L5259" s="18"/>
    </row>
    <row r="5260" hidden="1">
      <c r="A5260" s="2">
        <f>IFERROR(__xludf.DUMMYFUNCTION("""COMPUTED_VALUE"""),70426.0)</f>
        <v>70426</v>
      </c>
      <c r="B5260" s="2">
        <f>IFERROR(__xludf.DUMMYFUNCTION("""COMPUTED_VALUE"""),0.0)</f>
        <v>0</v>
      </c>
      <c r="C5260" s="2">
        <f>IFERROR(__xludf.DUMMYFUNCTION("""COMPUTED_VALUE"""),584.0)</f>
        <v>584</v>
      </c>
      <c r="D5260" s="3">
        <f>IFERROR(__xludf.DUMMYFUNCTION("""COMPUTED_VALUE"""),227.0)</f>
        <v>227</v>
      </c>
      <c r="E5260" s="1" t="str">
        <f t="array" ref="E5260">_xlfn.XLOOKUP(A5260,Product!A:A,Product!B:B,"Bulunamadı")</f>
        <v>Medical</v>
      </c>
      <c r="F5260" s="1" t="str">
        <f t="array" ref="F5260">_xlfn.XLOOKUP(A5260,Product!A:A,Product!C:C,"Bulunamadı")</f>
        <v>Illustration</v>
      </c>
      <c r="G5260" s="2" t="str">
        <f t="array" ref="G5260">_xlfn.XLOOKUP(A5261,Product!A:A,Product!D:D,"Bulunamadı")</f>
        <v>Cedarbrook Publishing House</v>
      </c>
      <c r="H5260" s="2">
        <f t="array" ref="H5260">_xlfn.XLOOKUP(A5262,Product!A:A,Product!E:E,"Bulunamadı")</f>
        <v>2.68</v>
      </c>
      <c r="I5260" s="2" t="str">
        <f t="shared" si="1"/>
        <v>70426 - Medical - Illustration</v>
      </c>
      <c r="J5260" s="2">
        <f t="shared" si="2"/>
        <v>608.36</v>
      </c>
      <c r="K5260" s="17">
        <f t="shared" si="3"/>
        <v>1</v>
      </c>
      <c r="L5260" s="18"/>
    </row>
    <row r="5261" hidden="1">
      <c r="A5261" s="2">
        <f>IFERROR(__xludf.DUMMYFUNCTION("""COMPUTED_VALUE"""),75750.0)</f>
        <v>75750</v>
      </c>
      <c r="B5261" s="2">
        <f>IFERROR(__xludf.DUMMYFUNCTION("""COMPUTED_VALUE"""),1.0)</f>
        <v>1</v>
      </c>
      <c r="C5261" s="2">
        <f>IFERROR(__xludf.DUMMYFUNCTION("""COMPUTED_VALUE"""),893.0)</f>
        <v>893</v>
      </c>
      <c r="D5261" s="3">
        <f>IFERROR(__xludf.DUMMYFUNCTION("""COMPUTED_VALUE"""),259.0)</f>
        <v>259</v>
      </c>
      <c r="E5261" s="1" t="str">
        <f t="array" ref="E5261">_xlfn.XLOOKUP(A5261,Product!A:A,Product!B:B,"Bulunamadı")</f>
        <v>Medical</v>
      </c>
      <c r="F5261" s="1" t="str">
        <f t="array" ref="F5261">_xlfn.XLOOKUP(A5261,Product!A:A,Product!C:C,"Bulunamadı")</f>
        <v>Illustration</v>
      </c>
      <c r="G5261" s="2" t="str">
        <f t="array" ref="G5261">_xlfn.XLOOKUP(A5262,Product!A:A,Product!D:D,"Bulunamadı")</f>
        <v>Cedarbrook Publishing House</v>
      </c>
      <c r="H5261" s="2">
        <f t="array" ref="H5261">_xlfn.XLOOKUP(A5263,Product!A:A,Product!E:E,"Bulunamadı")</f>
        <v>1.63</v>
      </c>
      <c r="I5261" s="2" t="str">
        <f t="shared" si="1"/>
        <v>75750 - Medical - Illustration</v>
      </c>
      <c r="J5261" s="2">
        <f t="shared" si="2"/>
        <v>422.17</v>
      </c>
      <c r="K5261" s="17">
        <f t="shared" si="3"/>
        <v>1</v>
      </c>
      <c r="L5261" s="18"/>
    </row>
    <row r="5262" hidden="1">
      <c r="A5262" s="2">
        <f>IFERROR(__xludf.DUMMYFUNCTION("""COMPUTED_VALUE"""),117644.0)</f>
        <v>117644</v>
      </c>
      <c r="B5262" s="2">
        <f>IFERROR(__xludf.DUMMYFUNCTION("""COMPUTED_VALUE"""),0.0)</f>
        <v>0</v>
      </c>
      <c r="C5262" s="2">
        <f>IFERROR(__xludf.DUMMYFUNCTION("""COMPUTED_VALUE"""),909.0)</f>
        <v>909</v>
      </c>
      <c r="D5262" s="3">
        <f>IFERROR(__xludf.DUMMYFUNCTION("""COMPUTED_VALUE"""),165.0)</f>
        <v>165</v>
      </c>
      <c r="E5262" s="1" t="str">
        <f t="array" ref="E5262">_xlfn.XLOOKUP(A5262,Product!A:A,Product!B:B,"Bulunamadı")</f>
        <v>Medical</v>
      </c>
      <c r="F5262" s="1" t="str">
        <f t="array" ref="F5262">_xlfn.XLOOKUP(A5262,Product!A:A,Product!C:C,"Bulunamadı")</f>
        <v>Illustration</v>
      </c>
      <c r="G5262" s="2" t="str">
        <f t="array" ref="G5262">_xlfn.XLOOKUP(A5263,Product!A:A,Product!D:D,"Bulunamadı")</f>
        <v>Cedarbrook Publishing House</v>
      </c>
      <c r="H5262" s="2">
        <f t="array" ref="H5262">_xlfn.XLOOKUP(A5264,Product!A:A,Product!E:E,"Bulunamadı")</f>
        <v>2.42</v>
      </c>
      <c r="I5262" s="2" t="str">
        <f t="shared" si="1"/>
        <v>117644 - Medical - Illustration</v>
      </c>
      <c r="J5262" s="2">
        <f t="shared" si="2"/>
        <v>399.3</v>
      </c>
      <c r="K5262" s="17">
        <f t="shared" si="3"/>
        <v>1</v>
      </c>
      <c r="L5262" s="18"/>
    </row>
    <row r="5263" hidden="1">
      <c r="A5263" s="2">
        <f>IFERROR(__xludf.DUMMYFUNCTION("""COMPUTED_VALUE"""),68512.0)</f>
        <v>68512</v>
      </c>
      <c r="B5263" s="2">
        <f>IFERROR(__xludf.DUMMYFUNCTION("""COMPUTED_VALUE"""),1.0)</f>
        <v>1</v>
      </c>
      <c r="C5263" s="2">
        <f>IFERROR(__xludf.DUMMYFUNCTION("""COMPUTED_VALUE"""),539.0)</f>
        <v>539</v>
      </c>
      <c r="D5263" s="3">
        <f>IFERROR(__xludf.DUMMYFUNCTION("""COMPUTED_VALUE"""),333.0)</f>
        <v>333</v>
      </c>
      <c r="E5263" s="1" t="str">
        <f t="array" ref="E5263">_xlfn.XLOOKUP(A5263,Product!A:A,Product!B:B,"Bulunamadı")</f>
        <v>Medical</v>
      </c>
      <c r="F5263" s="1" t="str">
        <f t="array" ref="F5263">_xlfn.XLOOKUP(A5263,Product!A:A,Product!C:C,"Bulunamadı")</f>
        <v>Illustration</v>
      </c>
      <c r="G5263" s="2" t="str">
        <f t="array" ref="G5263">_xlfn.XLOOKUP(A5264,Product!A:A,Product!D:D,"Bulunamadı")</f>
        <v>Brightbrook Publishing House</v>
      </c>
      <c r="H5263" s="2">
        <f t="array" ref="H5263">_xlfn.XLOOKUP(A5265,Product!A:A,Product!E:E,"Bulunamadı")</f>
        <v>2.43</v>
      </c>
      <c r="I5263" s="2" t="str">
        <f t="shared" si="1"/>
        <v>68512 - Medical - Illustration</v>
      </c>
      <c r="J5263" s="2">
        <f t="shared" si="2"/>
        <v>809.19</v>
      </c>
      <c r="K5263" s="17">
        <f t="shared" si="3"/>
        <v>1</v>
      </c>
      <c r="L5263" s="18"/>
    </row>
    <row r="5264" hidden="1">
      <c r="A5264" s="2">
        <f>IFERROR(__xludf.DUMMYFUNCTION("""COMPUTED_VALUE"""),12792.0)</f>
        <v>12792</v>
      </c>
      <c r="B5264" s="2">
        <f>IFERROR(__xludf.DUMMYFUNCTION("""COMPUTED_VALUE"""),0.0)</f>
        <v>0</v>
      </c>
      <c r="C5264" s="2">
        <f>IFERROR(__xludf.DUMMYFUNCTION("""COMPUTED_VALUE"""),330.0)</f>
        <v>330</v>
      </c>
      <c r="D5264" s="3">
        <f>IFERROR(__xludf.DUMMYFUNCTION("""COMPUTED_VALUE"""),31.0)</f>
        <v>31</v>
      </c>
      <c r="E5264" s="1" t="str">
        <f t="array" ref="E5264">_xlfn.XLOOKUP(A5264,Product!A:A,Product!B:B,"Bulunamadı")</f>
        <v>Medical</v>
      </c>
      <c r="F5264" s="1" t="str">
        <f t="array" ref="F5264">_xlfn.XLOOKUP(A5264,Product!A:A,Product!C:C,"Bulunamadı")</f>
        <v>Illustration</v>
      </c>
      <c r="G5264" s="2" t="str">
        <f t="array" ref="G5264">_xlfn.XLOOKUP(A5265,Product!A:A,Product!D:D,"Bulunamadı")</f>
        <v>Brightbrook Publishing House</v>
      </c>
      <c r="H5264" s="2">
        <f t="array" ref="H5264">_xlfn.XLOOKUP(A5266,Product!A:A,Product!E:E,"Bulunamadı")</f>
        <v>2.51</v>
      </c>
      <c r="I5264" s="2" t="str">
        <f t="shared" si="1"/>
        <v>12792 - Medical - Illustration</v>
      </c>
      <c r="J5264" s="2">
        <f t="shared" si="2"/>
        <v>77.81</v>
      </c>
      <c r="K5264" s="17">
        <f t="shared" si="3"/>
        <v>1</v>
      </c>
      <c r="L5264" s="18"/>
    </row>
    <row r="5265" hidden="1">
      <c r="A5265" s="2">
        <f>IFERROR(__xludf.DUMMYFUNCTION("""COMPUTED_VALUE"""),46684.0)</f>
        <v>46684</v>
      </c>
      <c r="B5265" s="2">
        <f>IFERROR(__xludf.DUMMYFUNCTION("""COMPUTED_VALUE"""),1.0)</f>
        <v>1</v>
      </c>
      <c r="C5265" s="2">
        <f>IFERROR(__xludf.DUMMYFUNCTION("""COMPUTED_VALUE"""),469.0)</f>
        <v>469</v>
      </c>
      <c r="D5265" s="3">
        <f>IFERROR(__xludf.DUMMYFUNCTION("""COMPUTED_VALUE"""),170.0)</f>
        <v>170</v>
      </c>
      <c r="E5265" s="1" t="str">
        <f t="array" ref="E5265">_xlfn.XLOOKUP(A5265,Product!A:A,Product!B:B,"Bulunamadı")</f>
        <v>Medical</v>
      </c>
      <c r="F5265" s="1" t="str">
        <f t="array" ref="F5265">_xlfn.XLOOKUP(A5265,Product!A:A,Product!C:C,"Bulunamadı")</f>
        <v>Illustration</v>
      </c>
      <c r="G5265" s="2" t="str">
        <f t="array" ref="G5265">_xlfn.XLOOKUP(A5266,Product!A:A,Product!D:D,"Bulunamadı")</f>
        <v>Brightbrook Publishing House</v>
      </c>
      <c r="H5265" s="2">
        <f t="array" ref="H5265">_xlfn.XLOOKUP(A5267,Product!A:A,Product!E:E,"Bulunamadı")</f>
        <v>2.45</v>
      </c>
      <c r="I5265" s="2" t="str">
        <f t="shared" si="1"/>
        <v>46684 - Medical - Illustration</v>
      </c>
      <c r="J5265" s="2">
        <f t="shared" si="2"/>
        <v>416.5</v>
      </c>
      <c r="K5265" s="17">
        <f t="shared" si="3"/>
        <v>1</v>
      </c>
      <c r="L5265" s="18"/>
    </row>
    <row r="5266" hidden="1">
      <c r="A5266" s="2">
        <f>IFERROR(__xludf.DUMMYFUNCTION("""COMPUTED_VALUE"""),12795.0)</f>
        <v>12795</v>
      </c>
      <c r="B5266" s="2">
        <f>IFERROR(__xludf.DUMMYFUNCTION("""COMPUTED_VALUE"""),0.0)</f>
        <v>0</v>
      </c>
      <c r="C5266" s="2">
        <f>IFERROR(__xludf.DUMMYFUNCTION("""COMPUTED_VALUE"""),645.0)</f>
        <v>645</v>
      </c>
      <c r="D5266" s="3">
        <f>IFERROR(__xludf.DUMMYFUNCTION("""COMPUTED_VALUE"""),68.0)</f>
        <v>68</v>
      </c>
      <c r="E5266" s="1" t="str">
        <f t="array" ref="E5266">_xlfn.XLOOKUP(A5266,Product!A:A,Product!B:B,"Bulunamadı")</f>
        <v>Medical</v>
      </c>
      <c r="F5266" s="1" t="str">
        <f t="array" ref="F5266">_xlfn.XLOOKUP(A5266,Product!A:A,Product!C:C,"Bulunamadı")</f>
        <v>Illustration</v>
      </c>
      <c r="G5266" s="2" t="str">
        <f t="array" ref="G5266">_xlfn.XLOOKUP(A5267,Product!A:A,Product!D:D,"Bulunamadı")</f>
        <v>Brightbrook Publishing House</v>
      </c>
      <c r="H5266" s="2">
        <f t="array" ref="H5266">_xlfn.XLOOKUP(A5268,Product!A:A,Product!E:E,"Bulunamadı")</f>
        <v>1.84</v>
      </c>
      <c r="I5266" s="2" t="str">
        <f t="shared" si="1"/>
        <v>12795 - Medical - Illustration</v>
      </c>
      <c r="J5266" s="2">
        <f t="shared" si="2"/>
        <v>125.12</v>
      </c>
      <c r="K5266" s="17">
        <f t="shared" si="3"/>
        <v>1</v>
      </c>
      <c r="L5266" s="18"/>
    </row>
    <row r="5267" hidden="1">
      <c r="A5267" s="2">
        <f>IFERROR(__xludf.DUMMYFUNCTION("""COMPUTED_VALUE"""),46686.0)</f>
        <v>46686</v>
      </c>
      <c r="B5267" s="2">
        <f>IFERROR(__xludf.DUMMYFUNCTION("""COMPUTED_VALUE"""),1.0)</f>
        <v>1</v>
      </c>
      <c r="C5267" s="2">
        <f>IFERROR(__xludf.DUMMYFUNCTION("""COMPUTED_VALUE"""),514.0)</f>
        <v>514</v>
      </c>
      <c r="D5267" s="3">
        <f>IFERROR(__xludf.DUMMYFUNCTION("""COMPUTED_VALUE"""),144.0)</f>
        <v>144</v>
      </c>
      <c r="E5267" s="1" t="str">
        <f t="array" ref="E5267">_xlfn.XLOOKUP(A5267,Product!A:A,Product!B:B,"Bulunamadı")</f>
        <v>Medical</v>
      </c>
      <c r="F5267" s="1" t="str">
        <f t="array" ref="F5267">_xlfn.XLOOKUP(A5267,Product!A:A,Product!C:C,"Bulunamadı")</f>
        <v>Illustration</v>
      </c>
      <c r="G5267" s="2" t="str">
        <f t="array" ref="G5267">_xlfn.XLOOKUP(A5268,Product!A:A,Product!D:D,"Bulunamadı")</f>
        <v>Brightbrook Publishing House</v>
      </c>
      <c r="H5267" s="2">
        <f t="array" ref="H5267">_xlfn.XLOOKUP(A5269,Product!A:A,Product!E:E,"Bulunamadı")</f>
        <v>1.93</v>
      </c>
      <c r="I5267" s="2" t="str">
        <f t="shared" si="1"/>
        <v>46686 - Medical - Illustration</v>
      </c>
      <c r="J5267" s="2">
        <f t="shared" si="2"/>
        <v>277.92</v>
      </c>
      <c r="K5267" s="17">
        <f t="shared" si="3"/>
        <v>1</v>
      </c>
      <c r="L5267" s="18"/>
    </row>
    <row r="5268" hidden="1">
      <c r="A5268" s="2">
        <f>IFERROR(__xludf.DUMMYFUNCTION("""COMPUTED_VALUE"""),12804.0)</f>
        <v>12804</v>
      </c>
      <c r="B5268" s="2">
        <f>IFERROR(__xludf.DUMMYFUNCTION("""COMPUTED_VALUE"""),1.0)</f>
        <v>1</v>
      </c>
      <c r="C5268" s="2">
        <f>IFERROR(__xludf.DUMMYFUNCTION("""COMPUTED_VALUE"""),885.0)</f>
        <v>885</v>
      </c>
      <c r="D5268" s="3">
        <f>IFERROR(__xludf.DUMMYFUNCTION("""COMPUTED_VALUE"""),137.0)</f>
        <v>137</v>
      </c>
      <c r="E5268" s="1" t="str">
        <f t="array" ref="E5268">_xlfn.XLOOKUP(A5268,Product!A:A,Product!B:B,"Bulunamadı")</f>
        <v>Medical</v>
      </c>
      <c r="F5268" s="1" t="str">
        <f t="array" ref="F5268">_xlfn.XLOOKUP(A5268,Product!A:A,Product!C:C,"Bulunamadı")</f>
        <v>Illustration</v>
      </c>
      <c r="G5268" s="2" t="str">
        <f t="array" ref="G5268">_xlfn.XLOOKUP(A5269,Product!A:A,Product!D:D,"Bulunamadı")</f>
        <v>Brightbrook Publishing House</v>
      </c>
      <c r="H5268" s="2">
        <f t="array" ref="H5268">_xlfn.XLOOKUP(A5270,Product!A:A,Product!E:E,"Bulunamadı")</f>
        <v>2.08</v>
      </c>
      <c r="I5268" s="2" t="str">
        <f t="shared" si="1"/>
        <v>12804 - Medical - Illustration</v>
      </c>
      <c r="J5268" s="2">
        <f t="shared" si="2"/>
        <v>284.96</v>
      </c>
      <c r="K5268" s="17">
        <f t="shared" si="3"/>
        <v>1</v>
      </c>
      <c r="L5268" s="18"/>
    </row>
    <row r="5269" hidden="1">
      <c r="A5269" s="2">
        <f>IFERROR(__xludf.DUMMYFUNCTION("""COMPUTED_VALUE"""),12799.0)</f>
        <v>12799</v>
      </c>
      <c r="B5269" s="2">
        <f>IFERROR(__xludf.DUMMYFUNCTION("""COMPUTED_VALUE"""),0.0)</f>
        <v>0</v>
      </c>
      <c r="C5269" s="2">
        <f>IFERROR(__xludf.DUMMYFUNCTION("""COMPUTED_VALUE"""),458.0)</f>
        <v>458</v>
      </c>
      <c r="D5269" s="3">
        <f>IFERROR(__xludf.DUMMYFUNCTION("""COMPUTED_VALUE"""),153.0)</f>
        <v>153</v>
      </c>
      <c r="E5269" s="1" t="str">
        <f t="array" ref="E5269">_xlfn.XLOOKUP(A5269,Product!A:A,Product!B:B,"Bulunamadı")</f>
        <v>Medical</v>
      </c>
      <c r="F5269" s="1" t="str">
        <f t="array" ref="F5269">_xlfn.XLOOKUP(A5269,Product!A:A,Product!C:C,"Bulunamadı")</f>
        <v>Illustration</v>
      </c>
      <c r="G5269" s="2" t="str">
        <f t="array" ref="G5269">_xlfn.XLOOKUP(A5270,Product!A:A,Product!D:D,"Bulunamadı")</f>
        <v>Brightbrook Publishing House</v>
      </c>
      <c r="H5269" s="2">
        <f t="array" ref="H5269">_xlfn.XLOOKUP(A5271,Product!A:A,Product!E:E,"Bulunamadı")</f>
        <v>2.14</v>
      </c>
      <c r="I5269" s="2" t="str">
        <f t="shared" si="1"/>
        <v>12799 - Medical - Illustration</v>
      </c>
      <c r="J5269" s="2">
        <f t="shared" si="2"/>
        <v>327.42</v>
      </c>
      <c r="K5269" s="17">
        <f t="shared" si="3"/>
        <v>1</v>
      </c>
      <c r="L5269" s="18"/>
    </row>
    <row r="5270" hidden="1">
      <c r="A5270" s="2">
        <f>IFERROR(__xludf.DUMMYFUNCTION("""COMPUTED_VALUE"""),100914.0)</f>
        <v>100914</v>
      </c>
      <c r="B5270" s="2">
        <f>IFERROR(__xludf.DUMMYFUNCTION("""COMPUTED_VALUE"""),0.0)</f>
        <v>0</v>
      </c>
      <c r="C5270" s="2">
        <f>IFERROR(__xludf.DUMMYFUNCTION("""COMPUTED_VALUE"""),40.0)</f>
        <v>40</v>
      </c>
      <c r="D5270" s="3">
        <f>IFERROR(__xludf.DUMMYFUNCTION("""COMPUTED_VALUE"""),20.0)</f>
        <v>20</v>
      </c>
      <c r="E5270" s="1" t="str">
        <f t="array" ref="E5270">_xlfn.XLOOKUP(A5270,Product!A:A,Product!B:B,"Bulunamadı")</f>
        <v>Medical</v>
      </c>
      <c r="F5270" s="1" t="str">
        <f t="array" ref="F5270">_xlfn.XLOOKUP(A5270,Product!A:A,Product!C:C,"Bulunamadı")</f>
        <v>Illustration</v>
      </c>
      <c r="G5270" s="2" t="str">
        <f t="array" ref="G5270">_xlfn.XLOOKUP(A5271,Product!A:A,Product!D:D,"Bulunamadı")</f>
        <v>Brightbrook Publishing House</v>
      </c>
      <c r="H5270" s="2">
        <f t="array" ref="H5270">_xlfn.XLOOKUP(A5272,Product!A:A,Product!E:E,"Bulunamadı")</f>
        <v>2.25</v>
      </c>
      <c r="I5270" s="2" t="str">
        <f t="shared" si="1"/>
        <v>100914 - Medical - Illustration</v>
      </c>
      <c r="J5270" s="2">
        <f t="shared" si="2"/>
        <v>45</v>
      </c>
      <c r="K5270" s="17">
        <f t="shared" si="3"/>
        <v>1</v>
      </c>
      <c r="L5270" s="18"/>
    </row>
    <row r="5271" hidden="1">
      <c r="A5271" s="2">
        <f>IFERROR(__xludf.DUMMYFUNCTION("""COMPUTED_VALUE"""),12802.0)</f>
        <v>12802</v>
      </c>
      <c r="B5271" s="2">
        <f>IFERROR(__xludf.DUMMYFUNCTION("""COMPUTED_VALUE"""),0.0)</f>
        <v>0</v>
      </c>
      <c r="C5271" s="2">
        <f>IFERROR(__xludf.DUMMYFUNCTION("""COMPUTED_VALUE"""),692.0)</f>
        <v>692</v>
      </c>
      <c r="D5271" s="3">
        <f>IFERROR(__xludf.DUMMYFUNCTION("""COMPUTED_VALUE"""),645.0)</f>
        <v>645</v>
      </c>
      <c r="E5271" s="1" t="str">
        <f t="array" ref="E5271">_xlfn.XLOOKUP(A5271,Product!A:A,Product!B:B,"Bulunamadı")</f>
        <v>Medical</v>
      </c>
      <c r="F5271" s="1" t="str">
        <f t="array" ref="F5271">_xlfn.XLOOKUP(A5271,Product!A:A,Product!C:C,"Bulunamadı")</f>
        <v>Illustration</v>
      </c>
      <c r="G5271" s="2" t="str">
        <f t="array" ref="G5271">_xlfn.XLOOKUP(A5272,Product!A:A,Product!D:D,"Bulunamadı")</f>
        <v>Brightbrook Publishing House</v>
      </c>
      <c r="H5271" s="2">
        <f t="array" ref="H5271">_xlfn.XLOOKUP(A5273,Product!A:A,Product!E:E,"Bulunamadı")</f>
        <v>1.88</v>
      </c>
      <c r="I5271" s="2" t="str">
        <f t="shared" si="1"/>
        <v>12802 - Medical - Illustration</v>
      </c>
      <c r="J5271" s="2">
        <f t="shared" si="2"/>
        <v>1212.6</v>
      </c>
      <c r="K5271" s="17">
        <f t="shared" si="3"/>
        <v>1</v>
      </c>
      <c r="L5271" s="18"/>
    </row>
    <row r="5272" hidden="1">
      <c r="A5272" s="2">
        <f>IFERROR(__xludf.DUMMYFUNCTION("""COMPUTED_VALUE"""),100907.0)</f>
        <v>100907</v>
      </c>
      <c r="B5272" s="2">
        <f>IFERROR(__xludf.DUMMYFUNCTION("""COMPUTED_VALUE"""),1.0)</f>
        <v>1</v>
      </c>
      <c r="C5272" s="2">
        <f>IFERROR(__xludf.DUMMYFUNCTION("""COMPUTED_VALUE"""),669.0)</f>
        <v>669</v>
      </c>
      <c r="D5272" s="3">
        <f>IFERROR(__xludf.DUMMYFUNCTION("""COMPUTED_VALUE"""),208.0)</f>
        <v>208</v>
      </c>
      <c r="E5272" s="1" t="str">
        <f t="array" ref="E5272">_xlfn.XLOOKUP(A5272,Product!A:A,Product!B:B,"Bulunamadı")</f>
        <v>Medical</v>
      </c>
      <c r="F5272" s="1" t="str">
        <f t="array" ref="F5272">_xlfn.XLOOKUP(A5272,Product!A:A,Product!C:C,"Bulunamadı")</f>
        <v>Illustration</v>
      </c>
      <c r="G5272" s="2" t="str">
        <f t="array" ref="G5272">_xlfn.XLOOKUP(A5273,Product!A:A,Product!D:D,"Bulunamadı")</f>
        <v>Brightbrook Publishing House</v>
      </c>
      <c r="H5272" s="2">
        <f t="array" ref="H5272">_xlfn.XLOOKUP(A5274,Product!A:A,Product!E:E,"Bulunamadı")</f>
        <v>2.39</v>
      </c>
      <c r="I5272" s="2" t="str">
        <f t="shared" si="1"/>
        <v>100907 - Medical - Illustration</v>
      </c>
      <c r="J5272" s="2">
        <f t="shared" si="2"/>
        <v>497.12</v>
      </c>
      <c r="K5272" s="17">
        <f t="shared" si="3"/>
        <v>1</v>
      </c>
      <c r="L5272" s="18"/>
    </row>
    <row r="5273" hidden="1">
      <c r="A5273" s="2">
        <f>IFERROR(__xludf.DUMMYFUNCTION("""COMPUTED_VALUE"""),12794.0)</f>
        <v>12794</v>
      </c>
      <c r="B5273" s="2">
        <f>IFERROR(__xludf.DUMMYFUNCTION("""COMPUTED_VALUE"""),0.0)</f>
        <v>0</v>
      </c>
      <c r="C5273" s="2">
        <f>IFERROR(__xludf.DUMMYFUNCTION("""COMPUTED_VALUE"""),793.0)</f>
        <v>793</v>
      </c>
      <c r="D5273" s="3">
        <f>IFERROR(__xludf.DUMMYFUNCTION("""COMPUTED_VALUE"""),228.0)</f>
        <v>228</v>
      </c>
      <c r="E5273" s="1" t="str">
        <f t="array" ref="E5273">_xlfn.XLOOKUP(A5273,Product!A:A,Product!B:B,"Bulunamadı")</f>
        <v>Medical</v>
      </c>
      <c r="F5273" s="1" t="str">
        <f t="array" ref="F5273">_xlfn.XLOOKUP(A5273,Product!A:A,Product!C:C,"Bulunamadı")</f>
        <v>Illustration</v>
      </c>
      <c r="G5273" s="2" t="str">
        <f t="array" ref="G5273">_xlfn.XLOOKUP(A5274,Product!A:A,Product!D:D,"Bulunamadı")</f>
        <v>Oakbrook Publishing House</v>
      </c>
      <c r="H5273" s="2">
        <f t="array" ref="H5273">_xlfn.XLOOKUP(A5275,Product!A:A,Product!E:E,"Bulunamadı")</f>
        <v>1.97</v>
      </c>
      <c r="I5273" s="2" t="str">
        <f t="shared" si="1"/>
        <v>12794 - Medical - Illustration</v>
      </c>
      <c r="J5273" s="2">
        <f t="shared" si="2"/>
        <v>449.16</v>
      </c>
      <c r="K5273" s="17">
        <f t="shared" si="3"/>
        <v>1</v>
      </c>
      <c r="L5273" s="18"/>
    </row>
    <row r="5274" hidden="1">
      <c r="A5274" s="2">
        <f>IFERROR(__xludf.DUMMYFUNCTION("""COMPUTED_VALUE"""),4261.0)</f>
        <v>4261</v>
      </c>
      <c r="B5274" s="2">
        <f>IFERROR(__xludf.DUMMYFUNCTION("""COMPUTED_VALUE"""),1.0)</f>
        <v>1</v>
      </c>
      <c r="C5274" s="2">
        <f>IFERROR(__xludf.DUMMYFUNCTION("""COMPUTED_VALUE"""),846.0)</f>
        <v>846</v>
      </c>
      <c r="D5274" s="3">
        <f>IFERROR(__xludf.DUMMYFUNCTION("""COMPUTED_VALUE"""),241.0)</f>
        <v>241</v>
      </c>
      <c r="E5274" s="1" t="str">
        <f t="array" ref="E5274">_xlfn.XLOOKUP(A5274,Product!A:A,Product!B:B,"Bulunamadı")</f>
        <v>Medical</v>
      </c>
      <c r="F5274" s="1" t="str">
        <f t="array" ref="F5274">_xlfn.XLOOKUP(A5274,Product!A:A,Product!C:C,"Bulunamadı")</f>
        <v>Digital Art</v>
      </c>
      <c r="G5274" s="2" t="str">
        <f t="array" ref="G5274">_xlfn.XLOOKUP(A5275,Product!A:A,Product!D:D,"Bulunamadı")</f>
        <v>Oakbrook Publishing House</v>
      </c>
      <c r="H5274" s="2">
        <f t="array" ref="H5274">_xlfn.XLOOKUP(A5276,Product!A:A,Product!E:E,"Bulunamadı")</f>
        <v>1.86</v>
      </c>
      <c r="I5274" s="2" t="str">
        <f t="shared" si="1"/>
        <v>4261 - Medical - Digital Art</v>
      </c>
      <c r="J5274" s="2">
        <f t="shared" si="2"/>
        <v>448.26</v>
      </c>
      <c r="K5274" s="17">
        <f t="shared" si="3"/>
        <v>1</v>
      </c>
      <c r="L5274" s="18"/>
    </row>
    <row r="5275" hidden="1">
      <c r="A5275" s="2">
        <f>IFERROR(__xludf.DUMMYFUNCTION("""COMPUTED_VALUE"""),9656.0)</f>
        <v>9656</v>
      </c>
      <c r="B5275" s="2">
        <f>IFERROR(__xludf.DUMMYFUNCTION("""COMPUTED_VALUE"""),1.0)</f>
        <v>1</v>
      </c>
      <c r="C5275" s="2">
        <f>IFERROR(__xludf.DUMMYFUNCTION("""COMPUTED_VALUE"""),497.0)</f>
        <v>497</v>
      </c>
      <c r="D5275" s="3">
        <f>IFERROR(__xludf.DUMMYFUNCTION("""COMPUTED_VALUE"""),382.0)</f>
        <v>382</v>
      </c>
      <c r="E5275" s="1" t="str">
        <f t="array" ref="E5275">_xlfn.XLOOKUP(A5275,Product!A:A,Product!B:B,"Bulunamadı")</f>
        <v>Medical</v>
      </c>
      <c r="F5275" s="1" t="str">
        <f t="array" ref="F5275">_xlfn.XLOOKUP(A5275,Product!A:A,Product!C:C,"Bulunamadı")</f>
        <v>Digital Art</v>
      </c>
      <c r="G5275" s="2" t="str">
        <f t="array" ref="G5275">_xlfn.XLOOKUP(A5276,Product!A:A,Product!D:D,"Bulunamadı")</f>
        <v>Oakbrook Publishing House</v>
      </c>
      <c r="H5275" s="2">
        <f t="array" ref="H5275">_xlfn.XLOOKUP(A5277,Product!A:A,Product!E:E,"Bulunamadı")</f>
        <v>2.09</v>
      </c>
      <c r="I5275" s="2" t="str">
        <f t="shared" si="1"/>
        <v>9656 - Medical - Digital Art</v>
      </c>
      <c r="J5275" s="2">
        <f t="shared" si="2"/>
        <v>798.38</v>
      </c>
      <c r="K5275" s="17">
        <f t="shared" si="3"/>
        <v>1</v>
      </c>
      <c r="L5275" s="18"/>
    </row>
    <row r="5276" hidden="1">
      <c r="A5276" s="2">
        <f>IFERROR(__xludf.DUMMYFUNCTION("""COMPUTED_VALUE"""),9657.0)</f>
        <v>9657</v>
      </c>
      <c r="B5276" s="2">
        <f>IFERROR(__xludf.DUMMYFUNCTION("""COMPUTED_VALUE"""),1.0)</f>
        <v>1</v>
      </c>
      <c r="C5276" s="2">
        <f>IFERROR(__xludf.DUMMYFUNCTION("""COMPUTED_VALUE"""),606.0)</f>
        <v>606</v>
      </c>
      <c r="D5276" s="3">
        <f>IFERROR(__xludf.DUMMYFUNCTION("""COMPUTED_VALUE"""),298.0)</f>
        <v>298</v>
      </c>
      <c r="E5276" s="1" t="str">
        <f t="array" ref="E5276">_xlfn.XLOOKUP(A5276,Product!A:A,Product!B:B,"Bulunamadı")</f>
        <v>Medical</v>
      </c>
      <c r="F5276" s="1" t="str">
        <f t="array" ref="F5276">_xlfn.XLOOKUP(A5276,Product!A:A,Product!C:C,"Bulunamadı")</f>
        <v>Digital Art</v>
      </c>
      <c r="G5276" s="2" t="str">
        <f t="array" ref="G5276">_xlfn.XLOOKUP(A5277,Product!A:A,Product!D:D,"Bulunamadı")</f>
        <v>Oakbrook Publishing House</v>
      </c>
      <c r="H5276" s="2">
        <f t="array" ref="H5276">_xlfn.XLOOKUP(A5278,Product!A:A,Product!E:E,"Bulunamadı")</f>
        <v>1.87</v>
      </c>
      <c r="I5276" s="2" t="str">
        <f t="shared" si="1"/>
        <v>9657 - Medical - Digital Art</v>
      </c>
      <c r="J5276" s="2">
        <f t="shared" si="2"/>
        <v>557.26</v>
      </c>
      <c r="K5276" s="17">
        <f t="shared" si="3"/>
        <v>1</v>
      </c>
      <c r="L5276" s="18"/>
    </row>
    <row r="5277" hidden="1">
      <c r="A5277" s="2">
        <f>IFERROR(__xludf.DUMMYFUNCTION("""COMPUTED_VALUE"""),9660.0)</f>
        <v>9660</v>
      </c>
      <c r="B5277" s="2">
        <f>IFERROR(__xludf.DUMMYFUNCTION("""COMPUTED_VALUE"""),0.0)</f>
        <v>0</v>
      </c>
      <c r="C5277" s="2">
        <f>IFERROR(__xludf.DUMMYFUNCTION("""COMPUTED_VALUE"""),768.0)</f>
        <v>768</v>
      </c>
      <c r="D5277" s="3">
        <f>IFERROR(__xludf.DUMMYFUNCTION("""COMPUTED_VALUE"""),642.0)</f>
        <v>642</v>
      </c>
      <c r="E5277" s="1" t="str">
        <f t="array" ref="E5277">_xlfn.XLOOKUP(A5277,Product!A:A,Product!B:B,"Bulunamadı")</f>
        <v>Medical</v>
      </c>
      <c r="F5277" s="1" t="str">
        <f t="array" ref="F5277">_xlfn.XLOOKUP(A5277,Product!A:A,Product!C:C,"Bulunamadı")</f>
        <v>Digital Art</v>
      </c>
      <c r="G5277" s="2" t="str">
        <f t="array" ref="G5277">_xlfn.XLOOKUP(A5278,Product!A:A,Product!D:D,"Bulunamadı")</f>
        <v>Riverbrook Publishing House</v>
      </c>
      <c r="H5277" s="2">
        <f t="array" ref="H5277">_xlfn.XLOOKUP(A5279,Product!A:A,Product!E:E,"Bulunamadı")</f>
        <v>2.07</v>
      </c>
      <c r="I5277" s="2" t="str">
        <f t="shared" si="1"/>
        <v>9660 - Medical - Digital Art</v>
      </c>
      <c r="J5277" s="2">
        <f t="shared" si="2"/>
        <v>1328.94</v>
      </c>
      <c r="K5277" s="17">
        <f t="shared" si="3"/>
        <v>1</v>
      </c>
      <c r="L5277" s="18"/>
    </row>
    <row r="5278" hidden="1">
      <c r="A5278" s="2">
        <f>IFERROR(__xludf.DUMMYFUNCTION("""COMPUTED_VALUE"""),9648.0)</f>
        <v>9648</v>
      </c>
      <c r="B5278" s="2">
        <f>IFERROR(__xludf.DUMMYFUNCTION("""COMPUTED_VALUE"""),0.0)</f>
        <v>0</v>
      </c>
      <c r="C5278" s="2">
        <f>IFERROR(__xludf.DUMMYFUNCTION("""COMPUTED_VALUE"""),963.0)</f>
        <v>963</v>
      </c>
      <c r="D5278" s="3">
        <f>IFERROR(__xludf.DUMMYFUNCTION("""COMPUTED_VALUE"""),189.0)</f>
        <v>189</v>
      </c>
      <c r="E5278" s="1" t="str">
        <f t="array" ref="E5278">_xlfn.XLOOKUP(A5278,Product!A:A,Product!B:B,"Bulunamadı")</f>
        <v>Medical</v>
      </c>
      <c r="F5278" s="1" t="str">
        <f t="array" ref="F5278">_xlfn.XLOOKUP(A5278,Product!A:A,Product!C:C,"Bulunamadı")</f>
        <v>Digital Art</v>
      </c>
      <c r="G5278" s="2" t="str">
        <f t="array" ref="G5278">_xlfn.XLOOKUP(A5279,Product!A:A,Product!D:D,"Bulunamadı")</f>
        <v>Riverbrook Publishing House</v>
      </c>
      <c r="H5278" s="2">
        <f t="array" ref="H5278">_xlfn.XLOOKUP(A5280,Product!A:A,Product!E:E,"Bulunamadı")</f>
        <v>2.45</v>
      </c>
      <c r="I5278" s="2" t="str">
        <f t="shared" si="1"/>
        <v>9648 - Medical - Digital Art</v>
      </c>
      <c r="J5278" s="2">
        <f t="shared" si="2"/>
        <v>463.05</v>
      </c>
      <c r="K5278" s="17">
        <f t="shared" si="3"/>
        <v>1</v>
      </c>
      <c r="L5278" s="18"/>
    </row>
    <row r="5279" hidden="1">
      <c r="A5279" s="2">
        <f>IFERROR(__xludf.DUMMYFUNCTION("""COMPUTED_VALUE"""),79424.0)</f>
        <v>79424</v>
      </c>
      <c r="B5279" s="2">
        <f>IFERROR(__xludf.DUMMYFUNCTION("""COMPUTED_VALUE"""),0.0)</f>
        <v>0</v>
      </c>
      <c r="C5279" s="2">
        <f>IFERROR(__xludf.DUMMYFUNCTION("""COMPUTED_VALUE"""),8.0)</f>
        <v>8</v>
      </c>
      <c r="D5279" s="3">
        <f>IFERROR(__xludf.DUMMYFUNCTION("""COMPUTED_VALUE"""),7.0)</f>
        <v>7</v>
      </c>
      <c r="E5279" s="1" t="str">
        <f t="array" ref="E5279">_xlfn.XLOOKUP(A5279,Product!A:A,Product!B:B,"Bulunamadı")</f>
        <v>Medical</v>
      </c>
      <c r="F5279" s="1" t="str">
        <f t="array" ref="F5279">_xlfn.XLOOKUP(A5279,Product!A:A,Product!C:C,"Bulunamadı")</f>
        <v>Digital Art</v>
      </c>
      <c r="G5279" s="2" t="str">
        <f t="array" ref="G5279">_xlfn.XLOOKUP(A5280,Product!A:A,Product!D:D,"Bulunamadı")</f>
        <v>Riverbrook Publishing House</v>
      </c>
      <c r="H5279" s="2">
        <f t="array" ref="H5279">_xlfn.XLOOKUP(A5281,Product!A:A,Product!E:E,"Bulunamadı")</f>
        <v>2.31</v>
      </c>
      <c r="I5279" s="2" t="str">
        <f t="shared" si="1"/>
        <v>79424 - Medical - Digital Art</v>
      </c>
      <c r="J5279" s="2">
        <f t="shared" si="2"/>
        <v>16.17</v>
      </c>
      <c r="K5279" s="17">
        <f t="shared" si="3"/>
        <v>1</v>
      </c>
      <c r="L5279" s="18"/>
    </row>
    <row r="5280" hidden="1">
      <c r="A5280" s="2">
        <f>IFERROR(__xludf.DUMMYFUNCTION("""COMPUTED_VALUE"""),4267.0)</f>
        <v>4267</v>
      </c>
      <c r="B5280" s="2">
        <f>IFERROR(__xludf.DUMMYFUNCTION("""COMPUTED_VALUE"""),0.0)</f>
        <v>0</v>
      </c>
      <c r="C5280" s="2">
        <f>IFERROR(__xludf.DUMMYFUNCTION("""COMPUTED_VALUE"""),450.0)</f>
        <v>450</v>
      </c>
      <c r="D5280" s="3">
        <f>IFERROR(__xludf.DUMMYFUNCTION("""COMPUTED_VALUE"""),86.0)</f>
        <v>86</v>
      </c>
      <c r="E5280" s="1" t="str">
        <f t="array" ref="E5280">_xlfn.XLOOKUP(A5280,Product!A:A,Product!B:B,"Bulunamadı")</f>
        <v>Medical</v>
      </c>
      <c r="F5280" s="1" t="str">
        <f t="array" ref="F5280">_xlfn.XLOOKUP(A5280,Product!A:A,Product!C:C,"Bulunamadı")</f>
        <v>Digital Art</v>
      </c>
      <c r="G5280" s="2" t="str">
        <f t="array" ref="G5280">_xlfn.XLOOKUP(A5281,Product!A:A,Product!D:D,"Bulunamadı")</f>
        <v>Riverbrook Publishing House</v>
      </c>
      <c r="H5280" s="2">
        <f t="array" ref="H5280">_xlfn.XLOOKUP(A5282,Product!A:A,Product!E:E,"Bulunamadı")</f>
        <v>1.23</v>
      </c>
      <c r="I5280" s="2" t="str">
        <f t="shared" si="1"/>
        <v>4267 - Medical - Digital Art</v>
      </c>
      <c r="J5280" s="2">
        <f t="shared" si="2"/>
        <v>105.78</v>
      </c>
      <c r="K5280" s="17">
        <f t="shared" si="3"/>
        <v>1</v>
      </c>
      <c r="L5280" s="18"/>
    </row>
    <row r="5281" hidden="1">
      <c r="A5281" s="2">
        <f>IFERROR(__xludf.DUMMYFUNCTION("""COMPUTED_VALUE"""),9647.0)</f>
        <v>9647</v>
      </c>
      <c r="B5281" s="2">
        <f>IFERROR(__xludf.DUMMYFUNCTION("""COMPUTED_VALUE"""),0.0)</f>
        <v>0</v>
      </c>
      <c r="C5281" s="2">
        <f>IFERROR(__xludf.DUMMYFUNCTION("""COMPUTED_VALUE"""),203.0)</f>
        <v>203</v>
      </c>
      <c r="D5281" s="3">
        <f>IFERROR(__xludf.DUMMYFUNCTION("""COMPUTED_VALUE"""),24.0)</f>
        <v>24</v>
      </c>
      <c r="E5281" s="1" t="str">
        <f t="array" ref="E5281">_xlfn.XLOOKUP(A5281,Product!A:A,Product!B:B,"Bulunamadı")</f>
        <v>Medical</v>
      </c>
      <c r="F5281" s="1" t="str">
        <f t="array" ref="F5281">_xlfn.XLOOKUP(A5281,Product!A:A,Product!C:C,"Bulunamadı")</f>
        <v>Digital Art</v>
      </c>
      <c r="G5281" s="2" t="str">
        <f t="array" ref="G5281">_xlfn.XLOOKUP(A5282,Product!A:A,Product!D:D,"Bulunamadı")</f>
        <v>Riverbrook Publishing House</v>
      </c>
      <c r="H5281" s="2">
        <f t="array" ref="H5281">_xlfn.XLOOKUP(A5283,Product!A:A,Product!E:E,"Bulunamadı")</f>
        <v>2.14</v>
      </c>
      <c r="I5281" s="2" t="str">
        <f t="shared" si="1"/>
        <v>9647 - Medical - Digital Art</v>
      </c>
      <c r="J5281" s="2">
        <f t="shared" si="2"/>
        <v>51.36</v>
      </c>
      <c r="K5281" s="17">
        <f t="shared" si="3"/>
        <v>1</v>
      </c>
      <c r="L5281" s="18"/>
    </row>
    <row r="5282" hidden="1">
      <c r="A5282" s="2">
        <f>IFERROR(__xludf.DUMMYFUNCTION("""COMPUTED_VALUE"""),110772.0)</f>
        <v>110772</v>
      </c>
      <c r="B5282" s="2">
        <f>IFERROR(__xludf.DUMMYFUNCTION("""COMPUTED_VALUE"""),0.0)</f>
        <v>0</v>
      </c>
      <c r="C5282" s="2">
        <f>IFERROR(__xludf.DUMMYFUNCTION("""COMPUTED_VALUE"""),43.0)</f>
        <v>43</v>
      </c>
      <c r="D5282" s="3">
        <f>IFERROR(__xludf.DUMMYFUNCTION("""COMPUTED_VALUE"""),19.0)</f>
        <v>19</v>
      </c>
      <c r="E5282" s="1" t="str">
        <f t="array" ref="E5282">_xlfn.XLOOKUP(A5282,Product!A:A,Product!B:B,"Bulunamadı")</f>
        <v>Medical</v>
      </c>
      <c r="F5282" s="1" t="str">
        <f t="array" ref="F5282">_xlfn.XLOOKUP(A5282,Product!A:A,Product!C:C,"Bulunamadı")</f>
        <v>Digital Art</v>
      </c>
      <c r="G5282" s="2" t="str">
        <f t="array" ref="G5282">_xlfn.XLOOKUP(A5283,Product!A:A,Product!D:D,"Bulunamadı")</f>
        <v>Riverbrook Publishing House</v>
      </c>
      <c r="H5282" s="2">
        <f t="array" ref="H5282">_xlfn.XLOOKUP(A5284,Product!A:A,Product!E:E,"Bulunamadı")</f>
        <v>3.06</v>
      </c>
      <c r="I5282" s="2" t="str">
        <f t="shared" si="1"/>
        <v>110772 - Medical - Digital Art</v>
      </c>
      <c r="J5282" s="2">
        <f t="shared" si="2"/>
        <v>58.14</v>
      </c>
      <c r="K5282" s="17">
        <f t="shared" si="3"/>
        <v>1</v>
      </c>
      <c r="L5282" s="18"/>
    </row>
    <row r="5283" hidden="1">
      <c r="A5283" s="2">
        <f>IFERROR(__xludf.DUMMYFUNCTION("""COMPUTED_VALUE"""),4255.0)</f>
        <v>4255</v>
      </c>
      <c r="B5283" s="2">
        <f>IFERROR(__xludf.DUMMYFUNCTION("""COMPUTED_VALUE"""),1.0)</f>
        <v>1</v>
      </c>
      <c r="C5283" s="2">
        <f>IFERROR(__xludf.DUMMYFUNCTION("""COMPUTED_VALUE"""),690.0)</f>
        <v>690</v>
      </c>
      <c r="D5283" s="3">
        <f>IFERROR(__xludf.DUMMYFUNCTION("""COMPUTED_VALUE"""),290.0)</f>
        <v>290</v>
      </c>
      <c r="E5283" s="1" t="str">
        <f t="array" ref="E5283">_xlfn.XLOOKUP(A5283,Product!A:A,Product!B:B,"Bulunamadı")</f>
        <v>Medical</v>
      </c>
      <c r="F5283" s="1" t="str">
        <f t="array" ref="F5283">_xlfn.XLOOKUP(A5283,Product!A:A,Product!C:C,"Bulunamadı")</f>
        <v>Digital Art</v>
      </c>
      <c r="G5283" s="2" t="str">
        <f t="array" ref="G5283">_xlfn.XLOOKUP(A5284,Product!A:A,Product!D:D,"Bulunamadı")</f>
        <v>Riverbrook Publishing House</v>
      </c>
      <c r="H5283" s="2">
        <f t="array" ref="H5283">_xlfn.XLOOKUP(A5285,Product!A:A,Product!E:E,"Bulunamadı")</f>
        <v>2.14</v>
      </c>
      <c r="I5283" s="2" t="str">
        <f t="shared" si="1"/>
        <v>4255 - Medical - Digital Art</v>
      </c>
      <c r="J5283" s="2">
        <f t="shared" si="2"/>
        <v>620.6</v>
      </c>
      <c r="K5283" s="17">
        <f t="shared" si="3"/>
        <v>1</v>
      </c>
      <c r="L5283" s="18"/>
    </row>
    <row r="5284" hidden="1">
      <c r="A5284" s="2">
        <f>IFERROR(__xludf.DUMMYFUNCTION("""COMPUTED_VALUE"""),4270.0)</f>
        <v>4270</v>
      </c>
      <c r="B5284" s="2">
        <f>IFERROR(__xludf.DUMMYFUNCTION("""COMPUTED_VALUE"""),0.0)</f>
        <v>0</v>
      </c>
      <c r="C5284" s="2">
        <f>IFERROR(__xludf.DUMMYFUNCTION("""COMPUTED_VALUE"""),714.0)</f>
        <v>714</v>
      </c>
      <c r="D5284" s="3">
        <f>IFERROR(__xludf.DUMMYFUNCTION("""COMPUTED_VALUE"""),61.0)</f>
        <v>61</v>
      </c>
      <c r="E5284" s="1" t="str">
        <f t="array" ref="E5284">_xlfn.XLOOKUP(A5284,Product!A:A,Product!B:B,"Bulunamadı")</f>
        <v>Medical</v>
      </c>
      <c r="F5284" s="1" t="str">
        <f t="array" ref="F5284">_xlfn.XLOOKUP(A5284,Product!A:A,Product!C:C,"Bulunamadı")</f>
        <v>Digital Art</v>
      </c>
      <c r="G5284" s="2" t="str">
        <f t="array" ref="G5284">_xlfn.XLOOKUP(A5285,Product!A:A,Product!D:D,"Bulunamadı")</f>
        <v>Riverbrook Publishing House</v>
      </c>
      <c r="H5284" s="2">
        <f t="array" ref="H5284">_xlfn.XLOOKUP(A5286,Product!A:A,Product!E:E,"Bulunamadı")</f>
        <v>3.43</v>
      </c>
      <c r="I5284" s="2" t="str">
        <f t="shared" si="1"/>
        <v>4270 - Medical - Digital Art</v>
      </c>
      <c r="J5284" s="2">
        <f t="shared" si="2"/>
        <v>209.23</v>
      </c>
      <c r="K5284" s="17">
        <f t="shared" si="3"/>
        <v>1</v>
      </c>
      <c r="L5284" s="18"/>
    </row>
    <row r="5285" hidden="1">
      <c r="A5285" s="2">
        <f>IFERROR(__xludf.DUMMYFUNCTION("""COMPUTED_VALUE"""),4264.0)</f>
        <v>4264</v>
      </c>
      <c r="B5285" s="2">
        <f>IFERROR(__xludf.DUMMYFUNCTION("""COMPUTED_VALUE"""),1.0)</f>
        <v>1</v>
      </c>
      <c r="C5285" s="2">
        <f>IFERROR(__xludf.DUMMYFUNCTION("""COMPUTED_VALUE"""),316.0)</f>
        <v>316</v>
      </c>
      <c r="D5285" s="3">
        <f>IFERROR(__xludf.DUMMYFUNCTION("""COMPUTED_VALUE"""),60.0)</f>
        <v>60</v>
      </c>
      <c r="E5285" s="1" t="str">
        <f t="array" ref="E5285">_xlfn.XLOOKUP(A5285,Product!A:A,Product!B:B,"Bulunamadı")</f>
        <v>Medical</v>
      </c>
      <c r="F5285" s="1" t="str">
        <f t="array" ref="F5285">_xlfn.XLOOKUP(A5285,Product!A:A,Product!C:C,"Bulunamadı")</f>
        <v>Digital Art</v>
      </c>
      <c r="G5285" s="2" t="str">
        <f t="array" ref="G5285">_xlfn.XLOOKUP(A5286,Product!A:A,Product!D:D,"Bulunamadı")</f>
        <v>Riverbrook Publishing House</v>
      </c>
      <c r="H5285" s="2">
        <f t="array" ref="H5285">_xlfn.XLOOKUP(A5287,Product!A:A,Product!E:E,"Bulunamadı")</f>
        <v>2.05</v>
      </c>
      <c r="I5285" s="2" t="str">
        <f t="shared" si="1"/>
        <v>4264 - Medical - Digital Art</v>
      </c>
      <c r="J5285" s="2">
        <f t="shared" si="2"/>
        <v>123</v>
      </c>
      <c r="K5285" s="17">
        <f t="shared" si="3"/>
        <v>1</v>
      </c>
      <c r="L5285" s="18"/>
    </row>
    <row r="5286" hidden="1">
      <c r="A5286" s="2">
        <f>IFERROR(__xludf.DUMMYFUNCTION("""COMPUTED_VALUE"""),4271.0)</f>
        <v>4271</v>
      </c>
      <c r="B5286" s="2">
        <f>IFERROR(__xludf.DUMMYFUNCTION("""COMPUTED_VALUE"""),1.0)</f>
        <v>1</v>
      </c>
      <c r="C5286" s="2">
        <f>IFERROR(__xludf.DUMMYFUNCTION("""COMPUTED_VALUE"""),783.0)</f>
        <v>783</v>
      </c>
      <c r="D5286" s="3">
        <f>IFERROR(__xludf.DUMMYFUNCTION("""COMPUTED_VALUE"""),386.0)</f>
        <v>386</v>
      </c>
      <c r="E5286" s="1" t="str">
        <f t="array" ref="E5286">_xlfn.XLOOKUP(A5286,Product!A:A,Product!B:B,"Bulunamadı")</f>
        <v>Medical</v>
      </c>
      <c r="F5286" s="1" t="str">
        <f t="array" ref="F5286">_xlfn.XLOOKUP(A5286,Product!A:A,Product!C:C,"Bulunamadı")</f>
        <v>Digital Art</v>
      </c>
      <c r="G5286" s="2" t="str">
        <f t="array" ref="G5286">_xlfn.XLOOKUP(A5287,Product!A:A,Product!D:D,"Bulunamadı")</f>
        <v>Riverbrook Publishing House</v>
      </c>
      <c r="H5286" s="2">
        <f t="array" ref="H5286">_xlfn.XLOOKUP(A5288,Product!A:A,Product!E:E,"Bulunamadı")</f>
        <v>1.99</v>
      </c>
      <c r="I5286" s="2" t="str">
        <f t="shared" si="1"/>
        <v>4271 - Medical - Digital Art</v>
      </c>
      <c r="J5286" s="2">
        <f t="shared" si="2"/>
        <v>768.14</v>
      </c>
      <c r="K5286" s="17">
        <f t="shared" si="3"/>
        <v>1</v>
      </c>
      <c r="L5286" s="18"/>
    </row>
    <row r="5287" hidden="1">
      <c r="A5287" s="2">
        <f>IFERROR(__xludf.DUMMYFUNCTION("""COMPUTED_VALUE"""),79428.0)</f>
        <v>79428</v>
      </c>
      <c r="B5287" s="2">
        <f>IFERROR(__xludf.DUMMYFUNCTION("""COMPUTED_VALUE"""),1.0)</f>
        <v>1</v>
      </c>
      <c r="C5287" s="2">
        <f>IFERROR(__xludf.DUMMYFUNCTION("""COMPUTED_VALUE"""),773.0)</f>
        <v>773</v>
      </c>
      <c r="D5287" s="3">
        <f>IFERROR(__xludf.DUMMYFUNCTION("""COMPUTED_VALUE"""),604.0)</f>
        <v>604</v>
      </c>
      <c r="E5287" s="1" t="str">
        <f t="array" ref="E5287">_xlfn.XLOOKUP(A5287,Product!A:A,Product!B:B,"Bulunamadı")</f>
        <v>Medical</v>
      </c>
      <c r="F5287" s="1" t="str">
        <f t="array" ref="F5287">_xlfn.XLOOKUP(A5287,Product!A:A,Product!C:C,"Bulunamadı")</f>
        <v>Digital Art</v>
      </c>
      <c r="G5287" s="2" t="str">
        <f t="array" ref="G5287">_xlfn.XLOOKUP(A5288,Product!A:A,Product!D:D,"Bulunamadı")</f>
        <v>Ironbrook Publishing House</v>
      </c>
      <c r="H5287" s="2">
        <f t="array" ref="H5287">_xlfn.XLOOKUP(A5289,Product!A:A,Product!E:E,"Bulunamadı")</f>
        <v>1.84</v>
      </c>
      <c r="I5287" s="2" t="str">
        <f t="shared" si="1"/>
        <v>79428 - Medical - Digital Art</v>
      </c>
      <c r="J5287" s="2">
        <f t="shared" si="2"/>
        <v>1111.36</v>
      </c>
      <c r="K5287" s="17">
        <f t="shared" si="3"/>
        <v>1</v>
      </c>
      <c r="L5287" s="18"/>
    </row>
    <row r="5288" hidden="1">
      <c r="A5288" s="2">
        <f>IFERROR(__xludf.DUMMYFUNCTION("""COMPUTED_VALUE"""),68509.0)</f>
        <v>68509</v>
      </c>
      <c r="B5288" s="2">
        <f>IFERROR(__xludf.DUMMYFUNCTION("""COMPUTED_VALUE"""),1.0)</f>
        <v>1</v>
      </c>
      <c r="C5288" s="2">
        <f>IFERROR(__xludf.DUMMYFUNCTION("""COMPUTED_VALUE"""),905.0)</f>
        <v>905</v>
      </c>
      <c r="D5288" s="3">
        <f>IFERROR(__xludf.DUMMYFUNCTION("""COMPUTED_VALUE"""),442.0)</f>
        <v>442</v>
      </c>
      <c r="E5288" s="1" t="str">
        <f t="array" ref="E5288">_xlfn.XLOOKUP(A5288,Product!A:A,Product!B:B,"Bulunamadı")</f>
        <v>Medical</v>
      </c>
      <c r="F5288" s="1" t="str">
        <f t="array" ref="F5288">_xlfn.XLOOKUP(A5288,Product!A:A,Product!C:C,"Bulunamadı")</f>
        <v>Digital Art</v>
      </c>
      <c r="G5288" s="2" t="str">
        <f t="array" ref="G5288">_xlfn.XLOOKUP(A5289,Product!A:A,Product!D:D,"Bulunamadı")</f>
        <v>Ironbrook Publishing House</v>
      </c>
      <c r="H5288" s="2">
        <f t="array" ref="H5288">_xlfn.XLOOKUP(A5290,Product!A:A,Product!E:E,"Bulunamadı")</f>
        <v>1.99</v>
      </c>
      <c r="I5288" s="2" t="str">
        <f t="shared" si="1"/>
        <v>68509 - Medical - Digital Art</v>
      </c>
      <c r="J5288" s="2">
        <f t="shared" si="2"/>
        <v>879.58</v>
      </c>
      <c r="K5288" s="17">
        <f t="shared" si="3"/>
        <v>1</v>
      </c>
      <c r="L5288" s="18"/>
    </row>
    <row r="5289" hidden="1">
      <c r="A5289" s="2">
        <f>IFERROR(__xludf.DUMMYFUNCTION("""COMPUTED_VALUE"""),112104.0)</f>
        <v>112104</v>
      </c>
      <c r="B5289" s="2">
        <f>IFERROR(__xludf.DUMMYFUNCTION("""COMPUTED_VALUE"""),0.0)</f>
        <v>0</v>
      </c>
      <c r="C5289" s="2">
        <f>IFERROR(__xludf.DUMMYFUNCTION("""COMPUTED_VALUE"""),821.0)</f>
        <v>821</v>
      </c>
      <c r="D5289" s="3">
        <f>IFERROR(__xludf.DUMMYFUNCTION("""COMPUTED_VALUE"""),207.0)</f>
        <v>207</v>
      </c>
      <c r="E5289" s="1" t="str">
        <f t="array" ref="E5289">_xlfn.XLOOKUP(A5289,Product!A:A,Product!B:B,"Bulunamadı")</f>
        <v>Medical</v>
      </c>
      <c r="F5289" s="1" t="str">
        <f t="array" ref="F5289">_xlfn.XLOOKUP(A5289,Product!A:A,Product!C:C,"Bulunamadı")</f>
        <v>Digital Art</v>
      </c>
      <c r="G5289" s="2" t="str">
        <f t="array" ref="G5289">_xlfn.XLOOKUP(A5290,Product!A:A,Product!D:D,"Bulunamadı")</f>
        <v>Ironbrook Publishing House</v>
      </c>
      <c r="H5289" s="2">
        <f t="array" ref="H5289">_xlfn.XLOOKUP(A5291,Product!A:A,Product!E:E,"Bulunamadı")</f>
        <v>2.4</v>
      </c>
      <c r="I5289" s="2" t="str">
        <f t="shared" si="1"/>
        <v>112104 - Medical - Digital Art</v>
      </c>
      <c r="J5289" s="2">
        <f t="shared" si="2"/>
        <v>496.8</v>
      </c>
      <c r="K5289" s="17">
        <f t="shared" si="3"/>
        <v>1</v>
      </c>
      <c r="L5289" s="18"/>
    </row>
    <row r="5290" hidden="1">
      <c r="A5290" s="2">
        <f>IFERROR(__xludf.DUMMYFUNCTION("""COMPUTED_VALUE"""),79885.0)</f>
        <v>79885</v>
      </c>
      <c r="B5290" s="2">
        <f>IFERROR(__xludf.DUMMYFUNCTION("""COMPUTED_VALUE"""),0.0)</f>
        <v>0</v>
      </c>
      <c r="C5290" s="2">
        <f>IFERROR(__xludf.DUMMYFUNCTION("""COMPUTED_VALUE"""),901.0)</f>
        <v>901</v>
      </c>
      <c r="D5290" s="3">
        <f>IFERROR(__xludf.DUMMYFUNCTION("""COMPUTED_VALUE"""),463.0)</f>
        <v>463</v>
      </c>
      <c r="E5290" s="1" t="str">
        <f t="array" ref="E5290">_xlfn.XLOOKUP(A5290,Product!A:A,Product!B:B,"Bulunamadı")</f>
        <v>Medical</v>
      </c>
      <c r="F5290" s="1" t="str">
        <f t="array" ref="F5290">_xlfn.XLOOKUP(A5290,Product!A:A,Product!C:C,"Bulunamadı")</f>
        <v>Digital Art</v>
      </c>
      <c r="G5290" s="2" t="str">
        <f t="array" ref="G5290">_xlfn.XLOOKUP(A5291,Product!A:A,Product!D:D,"Bulunamadı")</f>
        <v>Ironbrook Publishing House</v>
      </c>
      <c r="H5290" s="2">
        <f t="array" ref="H5290">_xlfn.XLOOKUP(A5292,Product!A:A,Product!E:E,"Bulunamadı")</f>
        <v>1.37</v>
      </c>
      <c r="I5290" s="2" t="str">
        <f t="shared" si="1"/>
        <v>79885 - Medical - Digital Art</v>
      </c>
      <c r="J5290" s="2">
        <f t="shared" si="2"/>
        <v>634.31</v>
      </c>
      <c r="K5290" s="17">
        <f t="shared" si="3"/>
        <v>1</v>
      </c>
      <c r="L5290" s="18"/>
    </row>
    <row r="5291" hidden="1">
      <c r="A5291" s="2">
        <f>IFERROR(__xludf.DUMMYFUNCTION("""COMPUTED_VALUE"""),6876.0)</f>
        <v>6876</v>
      </c>
      <c r="B5291" s="2">
        <f>IFERROR(__xludf.DUMMYFUNCTION("""COMPUTED_VALUE"""),1.0)</f>
        <v>1</v>
      </c>
      <c r="C5291" s="2">
        <f>IFERROR(__xludf.DUMMYFUNCTION("""COMPUTED_VALUE"""),706.0)</f>
        <v>706</v>
      </c>
      <c r="D5291" s="3">
        <f>IFERROR(__xludf.DUMMYFUNCTION("""COMPUTED_VALUE"""),666.0)</f>
        <v>666</v>
      </c>
      <c r="E5291" s="1" t="str">
        <f t="array" ref="E5291">_xlfn.XLOOKUP(A5291,Product!A:A,Product!B:B,"Bulunamadı")</f>
        <v>Medical</v>
      </c>
      <c r="F5291" s="1" t="str">
        <f t="array" ref="F5291">_xlfn.XLOOKUP(A5291,Product!A:A,Product!C:C,"Bulunamadı")</f>
        <v>Digital Art</v>
      </c>
      <c r="G5291" s="2" t="str">
        <f t="array" ref="G5291">_xlfn.XLOOKUP(A5292,Product!A:A,Product!D:D,"Bulunamadı")</f>
        <v>Ironbrook Publishing House</v>
      </c>
      <c r="H5291" s="2">
        <f t="array" ref="H5291">_xlfn.XLOOKUP(A5293,Product!A:A,Product!E:E,"Bulunamadı")</f>
        <v>1.67</v>
      </c>
      <c r="I5291" s="2" t="str">
        <f t="shared" si="1"/>
        <v>6876 - Medical - Digital Art</v>
      </c>
      <c r="J5291" s="2">
        <f t="shared" si="2"/>
        <v>1112.22</v>
      </c>
      <c r="K5291" s="17">
        <f t="shared" si="3"/>
        <v>1</v>
      </c>
      <c r="L5291" s="18"/>
    </row>
    <row r="5292" hidden="1">
      <c r="A5292" s="2">
        <f>IFERROR(__xludf.DUMMYFUNCTION("""COMPUTED_VALUE"""),79427.0)</f>
        <v>79427</v>
      </c>
      <c r="B5292" s="2">
        <f>IFERROR(__xludf.DUMMYFUNCTION("""COMPUTED_VALUE"""),1.0)</f>
        <v>1</v>
      </c>
      <c r="C5292" s="2">
        <f>IFERROR(__xludf.DUMMYFUNCTION("""COMPUTED_VALUE"""),630.0)</f>
        <v>630</v>
      </c>
      <c r="D5292" s="3">
        <f>IFERROR(__xludf.DUMMYFUNCTION("""COMPUTED_VALUE"""),75.0)</f>
        <v>75</v>
      </c>
      <c r="E5292" s="1" t="str">
        <f t="array" ref="E5292">_xlfn.XLOOKUP(A5292,Product!A:A,Product!B:B,"Bulunamadı")</f>
        <v>Medical</v>
      </c>
      <c r="F5292" s="1" t="str">
        <f t="array" ref="F5292">_xlfn.XLOOKUP(A5292,Product!A:A,Product!C:C,"Bulunamadı")</f>
        <v>Digital Art</v>
      </c>
      <c r="G5292" s="2" t="str">
        <f t="array" ref="G5292">_xlfn.XLOOKUP(A5293,Product!A:A,Product!D:D,"Bulunamadı")</f>
        <v>Ironbrook Publishing House</v>
      </c>
      <c r="H5292" s="2">
        <f t="array" ref="H5292">_xlfn.XLOOKUP(A5294,Product!A:A,Product!E:E,"Bulunamadı")</f>
        <v>1.55</v>
      </c>
      <c r="I5292" s="2" t="str">
        <f t="shared" si="1"/>
        <v>79427 - Medical - Digital Art</v>
      </c>
      <c r="J5292" s="2">
        <f t="shared" si="2"/>
        <v>116.25</v>
      </c>
      <c r="K5292" s="17">
        <f t="shared" si="3"/>
        <v>1</v>
      </c>
      <c r="L5292" s="18"/>
    </row>
    <row r="5293" hidden="1">
      <c r="A5293" s="2">
        <f>IFERROR(__xludf.DUMMYFUNCTION("""COMPUTED_VALUE"""),44828.0)</f>
        <v>44828</v>
      </c>
      <c r="B5293" s="2">
        <f>IFERROR(__xludf.DUMMYFUNCTION("""COMPUTED_VALUE"""),1.0)</f>
        <v>1</v>
      </c>
      <c r="C5293" s="2">
        <f>IFERROR(__xludf.DUMMYFUNCTION("""COMPUTED_VALUE"""),783.0)</f>
        <v>783</v>
      </c>
      <c r="D5293" s="3">
        <f>IFERROR(__xludf.DUMMYFUNCTION("""COMPUTED_VALUE"""),376.0)</f>
        <v>376</v>
      </c>
      <c r="E5293" s="1" t="str">
        <f t="array" ref="E5293">_xlfn.XLOOKUP(A5293,Product!A:A,Product!B:B,"Bulunamadı")</f>
        <v>Medical</v>
      </c>
      <c r="F5293" s="1" t="str">
        <f t="array" ref="F5293">_xlfn.XLOOKUP(A5293,Product!A:A,Product!C:C,"Bulunamadı")</f>
        <v>Digital Art</v>
      </c>
      <c r="G5293" s="2" t="str">
        <f t="array" ref="G5293">_xlfn.XLOOKUP(A5294,Product!A:A,Product!D:D,"Bulunamadı")</f>
        <v>Ironbrook Publishing House</v>
      </c>
      <c r="H5293" s="2">
        <f t="array" ref="H5293">_xlfn.XLOOKUP(A5295,Product!A:A,Product!E:E,"Bulunamadı")</f>
        <v>1.57</v>
      </c>
      <c r="I5293" s="2" t="str">
        <f t="shared" si="1"/>
        <v>44828 - Medical - Digital Art</v>
      </c>
      <c r="J5293" s="2">
        <f t="shared" si="2"/>
        <v>590.32</v>
      </c>
      <c r="K5293" s="17">
        <f t="shared" si="3"/>
        <v>1</v>
      </c>
      <c r="L5293" s="18"/>
    </row>
    <row r="5294" hidden="1">
      <c r="A5294" s="2">
        <f>IFERROR(__xludf.DUMMYFUNCTION("""COMPUTED_VALUE"""),122213.0)</f>
        <v>122213</v>
      </c>
      <c r="B5294" s="2">
        <f>IFERROR(__xludf.DUMMYFUNCTION("""COMPUTED_VALUE"""),0.0)</f>
        <v>0</v>
      </c>
      <c r="C5294" s="2">
        <f>IFERROR(__xludf.DUMMYFUNCTION("""COMPUTED_VALUE"""),687.0)</f>
        <v>687</v>
      </c>
      <c r="D5294" s="3">
        <f>IFERROR(__xludf.DUMMYFUNCTION("""COMPUTED_VALUE"""),284.0)</f>
        <v>284</v>
      </c>
      <c r="E5294" s="1" t="str">
        <f t="array" ref="E5294">_xlfn.XLOOKUP(A5294,Product!A:A,Product!B:B,"Bulunamadı")</f>
        <v>Medical</v>
      </c>
      <c r="F5294" s="1" t="str">
        <f t="array" ref="F5294">_xlfn.XLOOKUP(A5294,Product!A:A,Product!C:C,"Bulunamadı")</f>
        <v>Digital Art</v>
      </c>
      <c r="G5294" s="2" t="str">
        <f t="array" ref="G5294">_xlfn.XLOOKUP(A5295,Product!A:A,Product!D:D,"Bulunamadı")</f>
        <v>Ironbrook Publishing House</v>
      </c>
      <c r="H5294" s="2">
        <f t="array" ref="H5294">_xlfn.XLOOKUP(A5296,Product!A:A,Product!E:E,"Bulunamadı")</f>
        <v>2.28</v>
      </c>
      <c r="I5294" s="2" t="str">
        <f t="shared" si="1"/>
        <v>122213 - Medical - Digital Art</v>
      </c>
      <c r="J5294" s="2">
        <f t="shared" si="2"/>
        <v>647.52</v>
      </c>
      <c r="K5294" s="17">
        <f t="shared" si="3"/>
        <v>1</v>
      </c>
      <c r="L5294" s="18"/>
    </row>
    <row r="5295" hidden="1">
      <c r="A5295" s="2">
        <f>IFERROR(__xludf.DUMMYFUNCTION("""COMPUTED_VALUE"""),46903.0)</f>
        <v>46903</v>
      </c>
      <c r="B5295" s="2">
        <f>IFERROR(__xludf.DUMMYFUNCTION("""COMPUTED_VALUE"""),0.0)</f>
        <v>0</v>
      </c>
      <c r="C5295" s="2">
        <f>IFERROR(__xludf.DUMMYFUNCTION("""COMPUTED_VALUE"""),238.0)</f>
        <v>238</v>
      </c>
      <c r="D5295" s="3">
        <f>IFERROR(__xludf.DUMMYFUNCTION("""COMPUTED_VALUE"""),88.0)</f>
        <v>88</v>
      </c>
      <c r="E5295" s="1" t="str">
        <f t="array" ref="E5295">_xlfn.XLOOKUP(A5295,Product!A:A,Product!B:B,"Bulunamadı")</f>
        <v>Medical</v>
      </c>
      <c r="F5295" s="1" t="str">
        <f t="array" ref="F5295">_xlfn.XLOOKUP(A5295,Product!A:A,Product!C:C,"Bulunamadı")</f>
        <v>Digital Art</v>
      </c>
      <c r="G5295" s="2" t="str">
        <f t="array" ref="G5295">_xlfn.XLOOKUP(A5296,Product!A:A,Product!D:D,"Bulunamadı")</f>
        <v>Ironbrook Publishing House</v>
      </c>
      <c r="H5295" s="2">
        <f t="array" ref="H5295">_xlfn.XLOOKUP(A5297,Product!A:A,Product!E:E,"Bulunamadı")</f>
        <v>1.22</v>
      </c>
      <c r="I5295" s="2" t="str">
        <f t="shared" si="1"/>
        <v>46903 - Medical - Digital Art</v>
      </c>
      <c r="J5295" s="2">
        <f t="shared" si="2"/>
        <v>107.36</v>
      </c>
      <c r="K5295" s="17">
        <f t="shared" si="3"/>
        <v>1</v>
      </c>
      <c r="L5295" s="18"/>
    </row>
    <row r="5296" hidden="1">
      <c r="A5296" s="2">
        <f>IFERROR(__xludf.DUMMYFUNCTION("""COMPUTED_VALUE"""),80359.0)</f>
        <v>80359</v>
      </c>
      <c r="B5296" s="2">
        <f>IFERROR(__xludf.DUMMYFUNCTION("""COMPUTED_VALUE"""),1.0)</f>
        <v>1</v>
      </c>
      <c r="C5296" s="2">
        <f>IFERROR(__xludf.DUMMYFUNCTION("""COMPUTED_VALUE"""),806.0)</f>
        <v>806</v>
      </c>
      <c r="D5296" s="3">
        <f>IFERROR(__xludf.DUMMYFUNCTION("""COMPUTED_VALUE"""),728.0)</f>
        <v>728</v>
      </c>
      <c r="E5296" s="1" t="str">
        <f t="array" ref="E5296">_xlfn.XLOOKUP(A5296,Product!A:A,Product!B:B,"Bulunamadı")</f>
        <v>Medical</v>
      </c>
      <c r="F5296" s="1" t="str">
        <f t="array" ref="F5296">_xlfn.XLOOKUP(A5296,Product!A:A,Product!C:C,"Bulunamadı")</f>
        <v>Digital Art</v>
      </c>
      <c r="G5296" s="2" t="str">
        <f t="array" ref="G5296">_xlfn.XLOOKUP(A5297,Product!A:A,Product!D:D,"Bulunamadı")</f>
        <v>Ironbrook Publishing House</v>
      </c>
      <c r="H5296" s="2">
        <f t="array" ref="H5296">_xlfn.XLOOKUP(A5298,Product!A:A,Product!E:E,"Bulunamadı")</f>
        <v>1.86</v>
      </c>
      <c r="I5296" s="2" t="str">
        <f t="shared" si="1"/>
        <v>80359 - Medical - Digital Art</v>
      </c>
      <c r="J5296" s="2">
        <f t="shared" si="2"/>
        <v>1354.08</v>
      </c>
      <c r="K5296" s="17">
        <f t="shared" si="3"/>
        <v>1</v>
      </c>
      <c r="L5296" s="18"/>
    </row>
    <row r="5297" hidden="1">
      <c r="A5297" s="2">
        <f>IFERROR(__xludf.DUMMYFUNCTION("""COMPUTED_VALUE"""),44827.0)</f>
        <v>44827</v>
      </c>
      <c r="B5297" s="2">
        <f>IFERROR(__xludf.DUMMYFUNCTION("""COMPUTED_VALUE"""),1.0)</f>
        <v>1</v>
      </c>
      <c r="C5297" s="2">
        <f>IFERROR(__xludf.DUMMYFUNCTION("""COMPUTED_VALUE"""),498.0)</f>
        <v>498</v>
      </c>
      <c r="D5297" s="3">
        <f>IFERROR(__xludf.DUMMYFUNCTION("""COMPUTED_VALUE"""),211.0)</f>
        <v>211</v>
      </c>
      <c r="E5297" s="1" t="str">
        <f t="array" ref="E5297">_xlfn.XLOOKUP(A5297,Product!A:A,Product!B:B,"Bulunamadı")</f>
        <v>Medical</v>
      </c>
      <c r="F5297" s="1" t="str">
        <f t="array" ref="F5297">_xlfn.XLOOKUP(A5297,Product!A:A,Product!C:C,"Bulunamadı")</f>
        <v>Digital Art</v>
      </c>
      <c r="G5297" s="2" t="str">
        <f t="array" ref="G5297">_xlfn.XLOOKUP(A5298,Product!A:A,Product!D:D,"Bulunamadı")</f>
        <v>Ironbrook Publishing House</v>
      </c>
      <c r="H5297" s="2">
        <f t="array" ref="H5297">_xlfn.XLOOKUP(A5299,Product!A:A,Product!E:E,"Bulunamadı")</f>
        <v>1.56</v>
      </c>
      <c r="I5297" s="2" t="str">
        <f t="shared" si="1"/>
        <v>44827 - Medical - Digital Art</v>
      </c>
      <c r="J5297" s="2">
        <f t="shared" si="2"/>
        <v>329.16</v>
      </c>
      <c r="K5297" s="17">
        <f t="shared" si="3"/>
        <v>1</v>
      </c>
      <c r="L5297" s="18"/>
    </row>
    <row r="5298" hidden="1">
      <c r="A5298" s="2">
        <f>IFERROR(__xludf.DUMMYFUNCTION("""COMPUTED_VALUE"""),79882.0)</f>
        <v>79882</v>
      </c>
      <c r="B5298" s="2">
        <f>IFERROR(__xludf.DUMMYFUNCTION("""COMPUTED_VALUE"""),0.0)</f>
        <v>0</v>
      </c>
      <c r="C5298" s="2">
        <f>IFERROR(__xludf.DUMMYFUNCTION("""COMPUTED_VALUE"""),241.0)</f>
        <v>241</v>
      </c>
      <c r="D5298" s="3">
        <f>IFERROR(__xludf.DUMMYFUNCTION("""COMPUTED_VALUE"""),35.0)</f>
        <v>35</v>
      </c>
      <c r="E5298" s="1" t="str">
        <f t="array" ref="E5298">_xlfn.XLOOKUP(A5298,Product!A:A,Product!B:B,"Bulunamadı")</f>
        <v>Medical</v>
      </c>
      <c r="F5298" s="1" t="str">
        <f t="array" ref="F5298">_xlfn.XLOOKUP(A5298,Product!A:A,Product!C:C,"Bulunamadı")</f>
        <v>Digital Art</v>
      </c>
      <c r="G5298" s="2" t="str">
        <f t="array" ref="G5298">_xlfn.XLOOKUP(A5299,Product!A:A,Product!D:D,"Bulunamadı")</f>
        <v>Ironbrook Publishing House</v>
      </c>
      <c r="H5298" s="2">
        <f t="array" ref="H5298">_xlfn.XLOOKUP(A5300,Product!A:A,Product!E:E,"Bulunamadı")</f>
        <v>2.21</v>
      </c>
      <c r="I5298" s="2" t="str">
        <f t="shared" si="1"/>
        <v>79882 - Medical - Digital Art</v>
      </c>
      <c r="J5298" s="2">
        <f t="shared" si="2"/>
        <v>77.35</v>
      </c>
      <c r="K5298" s="17">
        <f t="shared" si="3"/>
        <v>1</v>
      </c>
      <c r="L5298" s="18"/>
    </row>
    <row r="5299" hidden="1">
      <c r="A5299" s="2">
        <f>IFERROR(__xludf.DUMMYFUNCTION("""COMPUTED_VALUE"""),11065.0)</f>
        <v>11065</v>
      </c>
      <c r="B5299" s="2">
        <f>IFERROR(__xludf.DUMMYFUNCTION("""COMPUTED_VALUE"""),1.0)</f>
        <v>1</v>
      </c>
      <c r="C5299" s="2">
        <f>IFERROR(__xludf.DUMMYFUNCTION("""COMPUTED_VALUE"""),939.0)</f>
        <v>939</v>
      </c>
      <c r="D5299" s="3">
        <f>IFERROR(__xludf.DUMMYFUNCTION("""COMPUTED_VALUE"""),629.0)</f>
        <v>629</v>
      </c>
      <c r="E5299" s="1" t="str">
        <f t="array" ref="E5299">_xlfn.XLOOKUP(A5299,Product!A:A,Product!B:B,"Bulunamadı")</f>
        <v>Medical</v>
      </c>
      <c r="F5299" s="1" t="str">
        <f t="array" ref="F5299">_xlfn.XLOOKUP(A5299,Product!A:A,Product!C:C,"Bulunamadı")</f>
        <v>Digital Art</v>
      </c>
      <c r="G5299" s="2" t="str">
        <f t="array" ref="G5299">_xlfn.XLOOKUP(A5300,Product!A:A,Product!D:D,"Bulunamadı")</f>
        <v>Ironbrook Publishing House</v>
      </c>
      <c r="H5299" s="2">
        <f t="array" ref="H5299">_xlfn.XLOOKUP(A5301,Product!A:A,Product!E:E,"Bulunamadı")</f>
        <v>2.16</v>
      </c>
      <c r="I5299" s="2" t="str">
        <f t="shared" si="1"/>
        <v>11065 - Medical - Digital Art</v>
      </c>
      <c r="J5299" s="2">
        <f t="shared" si="2"/>
        <v>1358.64</v>
      </c>
      <c r="K5299" s="17">
        <f t="shared" si="3"/>
        <v>1</v>
      </c>
      <c r="L5299" s="18"/>
    </row>
    <row r="5300" hidden="1">
      <c r="A5300" s="2">
        <f>IFERROR(__xludf.DUMMYFUNCTION("""COMPUTED_VALUE"""),41991.0)</f>
        <v>41991</v>
      </c>
      <c r="B5300" s="2">
        <f>IFERROR(__xludf.DUMMYFUNCTION("""COMPUTED_VALUE"""),0.0)</f>
        <v>0</v>
      </c>
      <c r="C5300" s="2">
        <f>IFERROR(__xludf.DUMMYFUNCTION("""COMPUTED_VALUE"""),579.0)</f>
        <v>579</v>
      </c>
      <c r="D5300" s="3">
        <f>IFERROR(__xludf.DUMMYFUNCTION("""COMPUTED_VALUE"""),61.0)</f>
        <v>61</v>
      </c>
      <c r="E5300" s="1" t="str">
        <f t="array" ref="E5300">_xlfn.XLOOKUP(A5300,Product!A:A,Product!B:B,"Bulunamadı")</f>
        <v>Medical</v>
      </c>
      <c r="F5300" s="1" t="str">
        <f t="array" ref="F5300">_xlfn.XLOOKUP(A5300,Product!A:A,Product!C:C,"Bulunamadı")</f>
        <v>Digital Art</v>
      </c>
      <c r="G5300" s="2" t="str">
        <f t="array" ref="G5300">_xlfn.XLOOKUP(A5301,Product!A:A,Product!D:D,"Bulunamadı")</f>
        <v>Ironbrook Publishing House</v>
      </c>
      <c r="H5300" s="2">
        <f t="array" ref="H5300">_xlfn.XLOOKUP(A5302,Product!A:A,Product!E:E,"Bulunamadı")</f>
        <v>2.89</v>
      </c>
      <c r="I5300" s="2" t="str">
        <f t="shared" si="1"/>
        <v>41991 - Medical - Digital Art</v>
      </c>
      <c r="J5300" s="2">
        <f t="shared" si="2"/>
        <v>176.29</v>
      </c>
      <c r="K5300" s="17">
        <f t="shared" si="3"/>
        <v>1</v>
      </c>
      <c r="L5300" s="18"/>
    </row>
    <row r="5301" hidden="1">
      <c r="A5301" s="2">
        <f>IFERROR(__xludf.DUMMYFUNCTION("""COMPUTED_VALUE"""),6877.0)</f>
        <v>6877</v>
      </c>
      <c r="B5301" s="2">
        <f>IFERROR(__xludf.DUMMYFUNCTION("""COMPUTED_VALUE"""),1.0)</f>
        <v>1</v>
      </c>
      <c r="C5301" s="2">
        <f>IFERROR(__xludf.DUMMYFUNCTION("""COMPUTED_VALUE"""),303.0)</f>
        <v>303</v>
      </c>
      <c r="D5301" s="3">
        <f>IFERROR(__xludf.DUMMYFUNCTION("""COMPUTED_VALUE"""),171.0)</f>
        <v>171</v>
      </c>
      <c r="E5301" s="1" t="str">
        <f t="array" ref="E5301">_xlfn.XLOOKUP(A5301,Product!A:A,Product!B:B,"Bulunamadı")</f>
        <v>Medical</v>
      </c>
      <c r="F5301" s="1" t="str">
        <f t="array" ref="F5301">_xlfn.XLOOKUP(A5301,Product!A:A,Product!C:C,"Bulunamadı")</f>
        <v>Digital Art</v>
      </c>
      <c r="G5301" s="2" t="str">
        <f t="array" ref="G5301">_xlfn.XLOOKUP(A5302,Product!A:A,Product!D:D,"Bulunamadı")</f>
        <v>Ironbrook Publishing House</v>
      </c>
      <c r="H5301" s="2">
        <f t="array" ref="H5301">_xlfn.XLOOKUP(A5303,Product!A:A,Product!E:E,"Bulunamadı")</f>
        <v>1.53</v>
      </c>
      <c r="I5301" s="2" t="str">
        <f t="shared" si="1"/>
        <v>6877 - Medical - Digital Art</v>
      </c>
      <c r="J5301" s="2">
        <f t="shared" si="2"/>
        <v>261.63</v>
      </c>
      <c r="K5301" s="17">
        <f t="shared" si="3"/>
        <v>1</v>
      </c>
      <c r="L5301" s="18"/>
    </row>
    <row r="5302" hidden="1">
      <c r="A5302" s="2">
        <f>IFERROR(__xludf.DUMMYFUNCTION("""COMPUTED_VALUE"""),4290.0)</f>
        <v>4290</v>
      </c>
      <c r="B5302" s="2">
        <f>IFERROR(__xludf.DUMMYFUNCTION("""COMPUTED_VALUE"""),1.0)</f>
        <v>1</v>
      </c>
      <c r="C5302" s="2">
        <f>IFERROR(__xludf.DUMMYFUNCTION("""COMPUTED_VALUE"""),140.0)</f>
        <v>140</v>
      </c>
      <c r="D5302" s="3">
        <f>IFERROR(__xludf.DUMMYFUNCTION("""COMPUTED_VALUE"""),95.0)</f>
        <v>95</v>
      </c>
      <c r="E5302" s="1" t="str">
        <f t="array" ref="E5302">_xlfn.XLOOKUP(A5302,Product!A:A,Product!B:B,"Bulunamadı")</f>
        <v>Medical</v>
      </c>
      <c r="F5302" s="1" t="str">
        <f t="array" ref="F5302">_xlfn.XLOOKUP(A5302,Product!A:A,Product!C:C,"Bulunamadı")</f>
        <v>Digital Art</v>
      </c>
      <c r="G5302" s="2" t="str">
        <f t="array" ref="G5302">_xlfn.XLOOKUP(A5303,Product!A:A,Product!D:D,"Bulunamadı")</f>
        <v>Ironbrook Publishing House</v>
      </c>
      <c r="H5302" s="2">
        <f t="array" ref="H5302">_xlfn.XLOOKUP(A5304,Product!A:A,Product!E:E,"Bulunamadı")</f>
        <v>2.19</v>
      </c>
      <c r="I5302" s="2" t="str">
        <f t="shared" si="1"/>
        <v>4290 - Medical - Digital Art</v>
      </c>
      <c r="J5302" s="2">
        <f t="shared" si="2"/>
        <v>208.05</v>
      </c>
      <c r="K5302" s="17">
        <f t="shared" si="3"/>
        <v>1</v>
      </c>
      <c r="L5302" s="18"/>
    </row>
    <row r="5303" hidden="1">
      <c r="A5303" s="2">
        <f>IFERROR(__xludf.DUMMYFUNCTION("""COMPUTED_VALUE"""),4905.0)</f>
        <v>4905</v>
      </c>
      <c r="B5303" s="2">
        <f>IFERROR(__xludf.DUMMYFUNCTION("""COMPUTED_VALUE"""),0.0)</f>
        <v>0</v>
      </c>
      <c r="C5303" s="2">
        <f>IFERROR(__xludf.DUMMYFUNCTION("""COMPUTED_VALUE"""),225.0)</f>
        <v>225</v>
      </c>
      <c r="D5303" s="3">
        <f>IFERROR(__xludf.DUMMYFUNCTION("""COMPUTED_VALUE"""),8.0)</f>
        <v>8</v>
      </c>
      <c r="E5303" s="1" t="str">
        <f t="array" ref="E5303">_xlfn.XLOOKUP(A5303,Product!A:A,Product!B:B,"Bulunamadı")</f>
        <v>Medical</v>
      </c>
      <c r="F5303" s="1" t="str">
        <f t="array" ref="F5303">_xlfn.XLOOKUP(A5303,Product!A:A,Product!C:C,"Bulunamadı")</f>
        <v>Digital Art</v>
      </c>
      <c r="G5303" s="2" t="str">
        <f t="array" ref="G5303">_xlfn.XLOOKUP(A5304,Product!A:A,Product!D:D,"Bulunamadı")</f>
        <v>Silvergate Publishing House</v>
      </c>
      <c r="H5303" s="2">
        <f t="array" ref="H5303">_xlfn.XLOOKUP(A5305,Product!A:A,Product!E:E,"Bulunamadı")</f>
        <v>2.42</v>
      </c>
      <c r="I5303" s="2" t="str">
        <f t="shared" si="1"/>
        <v>4905 - Medical - Digital Art</v>
      </c>
      <c r="J5303" s="2">
        <f t="shared" si="2"/>
        <v>19.36</v>
      </c>
      <c r="K5303" s="17">
        <f t="shared" si="3"/>
        <v>1</v>
      </c>
      <c r="L5303" s="18"/>
    </row>
    <row r="5304" hidden="1">
      <c r="A5304" s="2">
        <f>IFERROR(__xludf.DUMMYFUNCTION("""COMPUTED_VALUE"""),41979.0)</f>
        <v>41979</v>
      </c>
      <c r="B5304" s="2">
        <f>IFERROR(__xludf.DUMMYFUNCTION("""COMPUTED_VALUE"""),0.0)</f>
        <v>0</v>
      </c>
      <c r="C5304" s="2">
        <f>IFERROR(__xludf.DUMMYFUNCTION("""COMPUTED_VALUE"""),78.0)</f>
        <v>78</v>
      </c>
      <c r="D5304" s="3">
        <f>IFERROR(__xludf.DUMMYFUNCTION("""COMPUTED_VALUE"""),18.0)</f>
        <v>18</v>
      </c>
      <c r="E5304" s="1" t="str">
        <f t="array" ref="E5304">_xlfn.XLOOKUP(A5304,Product!A:A,Product!B:B,"Bulunamadı")</f>
        <v>Medical</v>
      </c>
      <c r="F5304" s="1" t="str">
        <f t="array" ref="F5304">_xlfn.XLOOKUP(A5304,Product!A:A,Product!C:C,"Bulunamadı")</f>
        <v>Digital Art</v>
      </c>
      <c r="G5304" s="2" t="str">
        <f t="array" ref="G5304">_xlfn.XLOOKUP(A5305,Product!A:A,Product!D:D,"Bulunamadı")</f>
        <v>Silvergate Publishing House</v>
      </c>
      <c r="H5304" s="2">
        <f t="array" ref="H5304">_xlfn.XLOOKUP(A5306,Product!A:A,Product!E:E,"Bulunamadı")</f>
        <v>1.49</v>
      </c>
      <c r="I5304" s="2" t="str">
        <f t="shared" si="1"/>
        <v>41979 - Medical - Digital Art</v>
      </c>
      <c r="J5304" s="2">
        <f t="shared" si="2"/>
        <v>26.82</v>
      </c>
      <c r="K5304" s="17">
        <f t="shared" si="3"/>
        <v>1</v>
      </c>
      <c r="L5304" s="18"/>
    </row>
    <row r="5305" hidden="1">
      <c r="A5305" s="2">
        <f>IFERROR(__xludf.DUMMYFUNCTION("""COMPUTED_VALUE"""),41925.0)</f>
        <v>41925</v>
      </c>
      <c r="B5305" s="2">
        <f>IFERROR(__xludf.DUMMYFUNCTION("""COMPUTED_VALUE"""),0.0)</f>
        <v>0</v>
      </c>
      <c r="C5305" s="2">
        <f>IFERROR(__xludf.DUMMYFUNCTION("""COMPUTED_VALUE"""),399.0)</f>
        <v>399</v>
      </c>
      <c r="D5305" s="3">
        <f>IFERROR(__xludf.DUMMYFUNCTION("""COMPUTED_VALUE"""),138.0)</f>
        <v>138</v>
      </c>
      <c r="E5305" s="1" t="str">
        <f t="array" ref="E5305">_xlfn.XLOOKUP(A5305,Product!A:A,Product!B:B,"Bulunamadı")</f>
        <v>Medical</v>
      </c>
      <c r="F5305" s="1" t="str">
        <f t="array" ref="F5305">_xlfn.XLOOKUP(A5305,Product!A:A,Product!C:C,"Bulunamadı")</f>
        <v>Digital Art</v>
      </c>
      <c r="G5305" s="2" t="str">
        <f t="array" ref="G5305">_xlfn.XLOOKUP(A5306,Product!A:A,Product!D:D,"Bulunamadı")</f>
        <v>Northgate Publishing House</v>
      </c>
      <c r="H5305" s="2">
        <f t="array" ref="H5305">_xlfn.XLOOKUP(A5307,Product!A:A,Product!E:E,"Bulunamadı")</f>
        <v>1.46</v>
      </c>
      <c r="I5305" s="2" t="str">
        <f t="shared" si="1"/>
        <v>41925 - Medical - Digital Art</v>
      </c>
      <c r="J5305" s="2">
        <f t="shared" si="2"/>
        <v>201.48</v>
      </c>
      <c r="K5305" s="17">
        <f t="shared" si="3"/>
        <v>1</v>
      </c>
      <c r="L5305" s="18"/>
    </row>
    <row r="5306" hidden="1">
      <c r="A5306" s="2">
        <f>IFERROR(__xludf.DUMMYFUNCTION("""COMPUTED_VALUE"""),17067.0)</f>
        <v>17067</v>
      </c>
      <c r="B5306" s="2">
        <f>IFERROR(__xludf.DUMMYFUNCTION("""COMPUTED_VALUE"""),1.0)</f>
        <v>1</v>
      </c>
      <c r="C5306" s="2">
        <f>IFERROR(__xludf.DUMMYFUNCTION("""COMPUTED_VALUE"""),713.0)</f>
        <v>713</v>
      </c>
      <c r="D5306" s="3">
        <f>IFERROR(__xludf.DUMMYFUNCTION("""COMPUTED_VALUE"""),405.0)</f>
        <v>405</v>
      </c>
      <c r="E5306" s="1" t="str">
        <f t="array" ref="E5306">_xlfn.XLOOKUP(A5306,Product!A:A,Product!B:B,"Bulunamadı")</f>
        <v>Medical</v>
      </c>
      <c r="F5306" s="1" t="str">
        <f t="array" ref="F5306">_xlfn.XLOOKUP(A5306,Product!A:A,Product!C:C,"Bulunamadı")</f>
        <v>Digital Art</v>
      </c>
      <c r="G5306" s="2" t="str">
        <f t="array" ref="G5306">_xlfn.XLOOKUP(A5307,Product!A:A,Product!D:D,"Bulunamadı")</f>
        <v>Northgate Publishing House</v>
      </c>
      <c r="H5306" s="2">
        <f t="array" ref="H5306">_xlfn.XLOOKUP(A5308,Product!A:A,Product!E:E,"Bulunamadı")</f>
        <v>1.36</v>
      </c>
      <c r="I5306" s="2" t="str">
        <f t="shared" si="1"/>
        <v>17067 - Medical - Digital Art</v>
      </c>
      <c r="J5306" s="2">
        <f t="shared" si="2"/>
        <v>550.8</v>
      </c>
      <c r="K5306" s="17">
        <f t="shared" si="3"/>
        <v>1</v>
      </c>
      <c r="L5306" s="18"/>
    </row>
    <row r="5307" hidden="1">
      <c r="A5307" s="2">
        <f>IFERROR(__xludf.DUMMYFUNCTION("""COMPUTED_VALUE"""),70425.0)</f>
        <v>70425</v>
      </c>
      <c r="B5307" s="2">
        <f>IFERROR(__xludf.DUMMYFUNCTION("""COMPUTED_VALUE"""),1.0)</f>
        <v>1</v>
      </c>
      <c r="C5307" s="2">
        <f>IFERROR(__xludf.DUMMYFUNCTION("""COMPUTED_VALUE"""),734.0)</f>
        <v>734</v>
      </c>
      <c r="D5307" s="3">
        <f>IFERROR(__xludf.DUMMYFUNCTION("""COMPUTED_VALUE"""),472.0)</f>
        <v>472</v>
      </c>
      <c r="E5307" s="1" t="str">
        <f t="array" ref="E5307">_xlfn.XLOOKUP(A5307,Product!A:A,Product!B:B,"Bulunamadı")</f>
        <v>Medical</v>
      </c>
      <c r="F5307" s="1" t="str">
        <f t="array" ref="F5307">_xlfn.XLOOKUP(A5307,Product!A:A,Product!C:C,"Bulunamadı")</f>
        <v>Digital Art</v>
      </c>
      <c r="G5307" s="2" t="str">
        <f t="array" ref="G5307">_xlfn.XLOOKUP(A5308,Product!A:A,Product!D:D,"Bulunamadı")</f>
        <v>Northgate Publishing House</v>
      </c>
      <c r="H5307" s="2">
        <f t="array" ref="H5307">_xlfn.XLOOKUP(A5309,Product!A:A,Product!E:E,"Bulunamadı")</f>
        <v>1.88</v>
      </c>
      <c r="I5307" s="2" t="str">
        <f t="shared" si="1"/>
        <v>70425 - Medical - Digital Art</v>
      </c>
      <c r="J5307" s="2">
        <f t="shared" si="2"/>
        <v>887.36</v>
      </c>
      <c r="K5307" s="17">
        <f t="shared" si="3"/>
        <v>1</v>
      </c>
      <c r="L5307" s="18"/>
    </row>
    <row r="5308" hidden="1">
      <c r="A5308" s="2">
        <f>IFERROR(__xludf.DUMMYFUNCTION("""COMPUTED_VALUE"""),17065.0)</f>
        <v>17065</v>
      </c>
      <c r="B5308" s="2">
        <f>IFERROR(__xludf.DUMMYFUNCTION("""COMPUTED_VALUE"""),0.0)</f>
        <v>0</v>
      </c>
      <c r="C5308" s="2">
        <f>IFERROR(__xludf.DUMMYFUNCTION("""COMPUTED_VALUE"""),850.0)</f>
        <v>850</v>
      </c>
      <c r="D5308" s="3">
        <f>IFERROR(__xludf.DUMMYFUNCTION("""COMPUTED_VALUE"""),480.0)</f>
        <v>480</v>
      </c>
      <c r="E5308" s="1" t="str">
        <f t="array" ref="E5308">_xlfn.XLOOKUP(A5308,Product!A:A,Product!B:B,"Bulunamadı")</f>
        <v>Medical</v>
      </c>
      <c r="F5308" s="1" t="str">
        <f t="array" ref="F5308">_xlfn.XLOOKUP(A5308,Product!A:A,Product!C:C,"Bulunamadı")</f>
        <v>Digital Art</v>
      </c>
      <c r="G5308" s="2" t="str">
        <f t="array" ref="G5308">_xlfn.XLOOKUP(A5309,Product!A:A,Product!D:D,"Bulunamadı")</f>
        <v>Northgate Publishing House</v>
      </c>
      <c r="H5308" s="2">
        <f t="array" ref="H5308">_xlfn.XLOOKUP(A5310,Product!A:A,Product!E:E,"Bulunamadı")</f>
        <v>1.96</v>
      </c>
      <c r="I5308" s="2" t="str">
        <f t="shared" si="1"/>
        <v>17065 - Medical - Digital Art</v>
      </c>
      <c r="J5308" s="2">
        <f t="shared" si="2"/>
        <v>940.8</v>
      </c>
      <c r="K5308" s="17">
        <f t="shared" si="3"/>
        <v>1</v>
      </c>
      <c r="L5308" s="18"/>
    </row>
    <row r="5309" hidden="1">
      <c r="A5309" s="2">
        <f>IFERROR(__xludf.DUMMYFUNCTION("""COMPUTED_VALUE"""),103514.0)</f>
        <v>103514</v>
      </c>
      <c r="B5309" s="2">
        <f>IFERROR(__xludf.DUMMYFUNCTION("""COMPUTED_VALUE"""),1.0)</f>
        <v>1</v>
      </c>
      <c r="C5309" s="2">
        <f>IFERROR(__xludf.DUMMYFUNCTION("""COMPUTED_VALUE"""),59.0)</f>
        <v>59</v>
      </c>
      <c r="D5309" s="3">
        <f>IFERROR(__xludf.DUMMYFUNCTION("""COMPUTED_VALUE"""),42.0)</f>
        <v>42</v>
      </c>
      <c r="E5309" s="1" t="str">
        <f t="array" ref="E5309">_xlfn.XLOOKUP(A5309,Product!A:A,Product!B:B,"Bulunamadı")</f>
        <v>Medical</v>
      </c>
      <c r="F5309" s="1" t="str">
        <f t="array" ref="F5309">_xlfn.XLOOKUP(A5309,Product!A:A,Product!C:C,"Bulunamadı")</f>
        <v>Digital Art</v>
      </c>
      <c r="G5309" s="2" t="str">
        <f t="array" ref="G5309">_xlfn.XLOOKUP(A5310,Product!A:A,Product!D:D,"Bulunamadı")</f>
        <v>Northgate Publishing House</v>
      </c>
      <c r="H5309" s="2">
        <f t="array" ref="H5309">_xlfn.XLOOKUP(A5311,Product!A:A,Product!E:E,"Bulunamadı")</f>
        <v>1.7</v>
      </c>
      <c r="I5309" s="2" t="str">
        <f t="shared" si="1"/>
        <v>103514 - Medical - Digital Art</v>
      </c>
      <c r="J5309" s="2">
        <f t="shared" si="2"/>
        <v>71.4</v>
      </c>
      <c r="K5309" s="17">
        <f t="shared" si="3"/>
        <v>1</v>
      </c>
      <c r="L5309" s="18"/>
    </row>
    <row r="5310" hidden="1">
      <c r="A5310" s="2">
        <f>IFERROR(__xludf.DUMMYFUNCTION("""COMPUTED_VALUE"""),4298.0)</f>
        <v>4298</v>
      </c>
      <c r="B5310" s="2">
        <f>IFERROR(__xludf.DUMMYFUNCTION("""COMPUTED_VALUE"""),1.0)</f>
        <v>1</v>
      </c>
      <c r="C5310" s="2">
        <f>IFERROR(__xludf.DUMMYFUNCTION("""COMPUTED_VALUE"""),416.0)</f>
        <v>416</v>
      </c>
      <c r="D5310" s="3">
        <f>IFERROR(__xludf.DUMMYFUNCTION("""COMPUTED_VALUE"""),329.0)</f>
        <v>329</v>
      </c>
      <c r="E5310" s="1" t="str">
        <f t="array" ref="E5310">_xlfn.XLOOKUP(A5310,Product!A:A,Product!B:B,"Bulunamadı")</f>
        <v>Medical</v>
      </c>
      <c r="F5310" s="1" t="str">
        <f t="array" ref="F5310">_xlfn.XLOOKUP(A5310,Product!A:A,Product!C:C,"Bulunamadı")</f>
        <v>Digital Art</v>
      </c>
      <c r="G5310" s="2" t="str">
        <f t="array" ref="G5310">_xlfn.XLOOKUP(A5311,Product!A:A,Product!D:D,"Bulunamadı")</f>
        <v>Northgate Publishing House</v>
      </c>
      <c r="H5310" s="2">
        <f t="array" ref="H5310">_xlfn.XLOOKUP(A5312,Product!A:A,Product!E:E,"Bulunamadı")</f>
        <v>1.93</v>
      </c>
      <c r="I5310" s="2" t="str">
        <f t="shared" si="1"/>
        <v>4298 - Medical - Digital Art</v>
      </c>
      <c r="J5310" s="2">
        <f t="shared" si="2"/>
        <v>634.97</v>
      </c>
      <c r="K5310" s="17">
        <f t="shared" si="3"/>
        <v>1</v>
      </c>
      <c r="L5310" s="18"/>
    </row>
    <row r="5311" hidden="1">
      <c r="A5311" s="2">
        <f>IFERROR(__xludf.DUMMYFUNCTION("""COMPUTED_VALUE"""),4301.0)</f>
        <v>4301</v>
      </c>
      <c r="B5311" s="2">
        <f>IFERROR(__xludf.DUMMYFUNCTION("""COMPUTED_VALUE"""),0.0)</f>
        <v>0</v>
      </c>
      <c r="C5311" s="2">
        <f>IFERROR(__xludf.DUMMYFUNCTION("""COMPUTED_VALUE"""),875.0)</f>
        <v>875</v>
      </c>
      <c r="D5311" s="3">
        <f>IFERROR(__xludf.DUMMYFUNCTION("""COMPUTED_VALUE"""),118.0)</f>
        <v>118</v>
      </c>
      <c r="E5311" s="1" t="str">
        <f t="array" ref="E5311">_xlfn.XLOOKUP(A5311,Product!A:A,Product!B:B,"Bulunamadı")</f>
        <v>Medical</v>
      </c>
      <c r="F5311" s="1" t="str">
        <f t="array" ref="F5311">_xlfn.XLOOKUP(A5311,Product!A:A,Product!C:C,"Bulunamadı")</f>
        <v>Digital Art</v>
      </c>
      <c r="G5311" s="2" t="str">
        <f t="array" ref="G5311">_xlfn.XLOOKUP(A5312,Product!A:A,Product!D:D,"Bulunamadı")</f>
        <v>Northgate Publishing House</v>
      </c>
      <c r="H5311" s="2">
        <f t="array" ref="H5311">_xlfn.XLOOKUP(A5313,Product!A:A,Product!E:E,"Bulunamadı")</f>
        <v>1.75</v>
      </c>
      <c r="I5311" s="2" t="str">
        <f t="shared" si="1"/>
        <v>4301 - Medical - Digital Art</v>
      </c>
      <c r="J5311" s="2">
        <f t="shared" si="2"/>
        <v>206.5</v>
      </c>
      <c r="K5311" s="17">
        <f t="shared" si="3"/>
        <v>1</v>
      </c>
      <c r="L5311" s="18"/>
    </row>
    <row r="5312" hidden="1">
      <c r="A5312" s="2">
        <f>IFERROR(__xludf.DUMMYFUNCTION("""COMPUTED_VALUE"""),75752.0)</f>
        <v>75752</v>
      </c>
      <c r="B5312" s="2">
        <f>IFERROR(__xludf.DUMMYFUNCTION("""COMPUTED_VALUE"""),1.0)</f>
        <v>1</v>
      </c>
      <c r="C5312" s="2">
        <f>IFERROR(__xludf.DUMMYFUNCTION("""COMPUTED_VALUE"""),698.0)</f>
        <v>698</v>
      </c>
      <c r="D5312" s="3">
        <f>IFERROR(__xludf.DUMMYFUNCTION("""COMPUTED_VALUE"""),651.0)</f>
        <v>651</v>
      </c>
      <c r="E5312" s="1" t="str">
        <f t="array" ref="E5312">_xlfn.XLOOKUP(A5312,Product!A:A,Product!B:B,"Bulunamadı")</f>
        <v>Medical</v>
      </c>
      <c r="F5312" s="1" t="str">
        <f t="array" ref="F5312">_xlfn.XLOOKUP(A5312,Product!A:A,Product!C:C,"Bulunamadı")</f>
        <v>Digital Art</v>
      </c>
      <c r="G5312" s="2" t="str">
        <f t="array" ref="G5312">_xlfn.XLOOKUP(A5313,Product!A:A,Product!D:D,"Bulunamadı")</f>
        <v>Harborgate Publishing House</v>
      </c>
      <c r="H5312" s="2">
        <f t="array" ref="H5312">_xlfn.XLOOKUP(A5314,Product!A:A,Product!E:E,"Bulunamadı")</f>
        <v>0.95</v>
      </c>
      <c r="I5312" s="2" t="str">
        <f t="shared" si="1"/>
        <v>75752 - Medical - Digital Art</v>
      </c>
      <c r="J5312" s="2">
        <f t="shared" si="2"/>
        <v>618.45</v>
      </c>
      <c r="K5312" s="17">
        <f t="shared" si="3"/>
        <v>1</v>
      </c>
      <c r="L5312" s="18"/>
    </row>
    <row r="5313" hidden="1">
      <c r="A5313" s="2">
        <f>IFERROR(__xludf.DUMMYFUNCTION("""COMPUTED_VALUE"""),21520.0)</f>
        <v>21520</v>
      </c>
      <c r="B5313" s="2">
        <f>IFERROR(__xludf.DUMMYFUNCTION("""COMPUTED_VALUE"""),1.0)</f>
        <v>1</v>
      </c>
      <c r="C5313" s="2">
        <f>IFERROR(__xludf.DUMMYFUNCTION("""COMPUTED_VALUE"""),109.0)</f>
        <v>109</v>
      </c>
      <c r="D5313" s="3">
        <f>IFERROR(__xludf.DUMMYFUNCTION("""COMPUTED_VALUE"""),30.0)</f>
        <v>30</v>
      </c>
      <c r="E5313" s="1" t="str">
        <f t="array" ref="E5313">_xlfn.XLOOKUP(A5313,Product!A:A,Product!B:B,"Bulunamadı")</f>
        <v>Law</v>
      </c>
      <c r="F5313" s="1" t="str">
        <f t="array" ref="F5313">_xlfn.XLOOKUP(A5313,Product!A:A,Product!C:C,"Bulunamadı")</f>
        <v>Art History</v>
      </c>
      <c r="G5313" s="2" t="str">
        <f t="array" ref="G5313">_xlfn.XLOOKUP(A5314,Product!A:A,Product!D:D,"Bulunamadı")</f>
        <v>Harborgate Publishing House</v>
      </c>
      <c r="H5313" s="2">
        <f t="array" ref="H5313">_xlfn.XLOOKUP(A5315,Product!A:A,Product!E:E,"Bulunamadı")</f>
        <v>1.1</v>
      </c>
      <c r="I5313" s="2" t="str">
        <f t="shared" si="1"/>
        <v>21520 - Law - Art History</v>
      </c>
      <c r="J5313" s="2">
        <f t="shared" si="2"/>
        <v>33</v>
      </c>
      <c r="K5313" s="17">
        <f t="shared" si="3"/>
        <v>1</v>
      </c>
      <c r="L5313" s="18"/>
    </row>
    <row r="5314" hidden="1">
      <c r="A5314" s="2">
        <f>IFERROR(__xludf.DUMMYFUNCTION("""COMPUTED_VALUE"""),82206.0)</f>
        <v>82206</v>
      </c>
      <c r="B5314" s="2">
        <f>IFERROR(__xludf.DUMMYFUNCTION("""COMPUTED_VALUE"""),1.0)</f>
        <v>1</v>
      </c>
      <c r="C5314" s="2">
        <f>IFERROR(__xludf.DUMMYFUNCTION("""COMPUTED_VALUE"""),885.0)</f>
        <v>885</v>
      </c>
      <c r="D5314" s="3">
        <f>IFERROR(__xludf.DUMMYFUNCTION("""COMPUTED_VALUE"""),640.0)</f>
        <v>640</v>
      </c>
      <c r="E5314" s="1" t="str">
        <f t="array" ref="E5314">_xlfn.XLOOKUP(A5314,Product!A:A,Product!B:B,"Bulunamadı")</f>
        <v>Law</v>
      </c>
      <c r="F5314" s="1" t="str">
        <f t="array" ref="F5314">_xlfn.XLOOKUP(A5314,Product!A:A,Product!C:C,"Bulunamadı")</f>
        <v>Art History</v>
      </c>
      <c r="G5314" s="2" t="str">
        <f t="array" ref="G5314">_xlfn.XLOOKUP(A5315,Product!A:A,Product!D:D,"Bulunamadı")</f>
        <v>Harborgate Publishing House</v>
      </c>
      <c r="H5314" s="2">
        <f t="array" ref="H5314">_xlfn.XLOOKUP(A5316,Product!A:A,Product!E:E,"Bulunamadı")</f>
        <v>1</v>
      </c>
      <c r="I5314" s="2" t="str">
        <f t="shared" si="1"/>
        <v>82206 - Law - Art History</v>
      </c>
      <c r="J5314" s="2">
        <f t="shared" si="2"/>
        <v>640</v>
      </c>
      <c r="K5314" s="17">
        <f t="shared" si="3"/>
        <v>1</v>
      </c>
      <c r="L5314" s="18"/>
    </row>
    <row r="5315" hidden="1">
      <c r="A5315" s="2">
        <f>IFERROR(__xludf.DUMMYFUNCTION("""COMPUTED_VALUE"""),5599.0)</f>
        <v>5599</v>
      </c>
      <c r="B5315" s="2">
        <f>IFERROR(__xludf.DUMMYFUNCTION("""COMPUTED_VALUE"""),0.0)</f>
        <v>0</v>
      </c>
      <c r="C5315" s="2">
        <f>IFERROR(__xludf.DUMMYFUNCTION("""COMPUTED_VALUE"""),441.0)</f>
        <v>441</v>
      </c>
      <c r="D5315" s="3">
        <f>IFERROR(__xludf.DUMMYFUNCTION("""COMPUTED_VALUE"""),94.0)</f>
        <v>94</v>
      </c>
      <c r="E5315" s="1" t="str">
        <f t="array" ref="E5315">_xlfn.XLOOKUP(A5315,Product!A:A,Product!B:B,"Bulunamadı")</f>
        <v>Law</v>
      </c>
      <c r="F5315" s="1" t="str">
        <f t="array" ref="F5315">_xlfn.XLOOKUP(A5315,Product!A:A,Product!C:C,"Bulunamadı")</f>
        <v>Art History</v>
      </c>
      <c r="G5315" s="2" t="str">
        <f t="array" ref="G5315">_xlfn.XLOOKUP(A5316,Product!A:A,Product!D:D,"Bulunamadı")</f>
        <v>Harborgate Publishing House</v>
      </c>
      <c r="H5315" s="2">
        <f t="array" ref="H5315">_xlfn.XLOOKUP(A5317,Product!A:A,Product!E:E,"Bulunamadı")</f>
        <v>1.43</v>
      </c>
      <c r="I5315" s="2" t="str">
        <f t="shared" si="1"/>
        <v>5599 - Law - Art History</v>
      </c>
      <c r="J5315" s="2">
        <f t="shared" si="2"/>
        <v>134.42</v>
      </c>
      <c r="K5315" s="17">
        <f t="shared" si="3"/>
        <v>1</v>
      </c>
      <c r="L5315" s="18"/>
    </row>
    <row r="5316" hidden="1">
      <c r="A5316" s="2">
        <f>IFERROR(__xludf.DUMMYFUNCTION("""COMPUTED_VALUE"""),87231.0)</f>
        <v>87231</v>
      </c>
      <c r="B5316" s="2">
        <f>IFERROR(__xludf.DUMMYFUNCTION("""COMPUTED_VALUE"""),1.0)</f>
        <v>1</v>
      </c>
      <c r="C5316" s="2">
        <f>IFERROR(__xludf.DUMMYFUNCTION("""COMPUTED_VALUE"""),201.0)</f>
        <v>201</v>
      </c>
      <c r="D5316" s="3">
        <f>IFERROR(__xludf.DUMMYFUNCTION("""COMPUTED_VALUE"""),188.0)</f>
        <v>188</v>
      </c>
      <c r="E5316" s="1" t="str">
        <f t="array" ref="E5316">_xlfn.XLOOKUP(A5316,Product!A:A,Product!B:B,"Bulunamadı")</f>
        <v>Law</v>
      </c>
      <c r="F5316" s="1" t="str">
        <f t="array" ref="F5316">_xlfn.XLOOKUP(A5316,Product!A:A,Product!C:C,"Bulunamadı")</f>
        <v>Art History</v>
      </c>
      <c r="G5316" s="2" t="str">
        <f t="array" ref="G5316">_xlfn.XLOOKUP(A5317,Product!A:A,Product!D:D,"Bulunamadı")</f>
        <v>Harborgate Publishing House</v>
      </c>
      <c r="H5316" s="2">
        <f t="array" ref="H5316">_xlfn.XLOOKUP(A5318,Product!A:A,Product!E:E,"Bulunamadı")</f>
        <v>1.34</v>
      </c>
      <c r="I5316" s="2" t="str">
        <f t="shared" si="1"/>
        <v>87231 - Law - Art History</v>
      </c>
      <c r="J5316" s="2">
        <f t="shared" si="2"/>
        <v>251.92</v>
      </c>
      <c r="K5316" s="17">
        <f t="shared" si="3"/>
        <v>1</v>
      </c>
      <c r="L5316" s="18"/>
    </row>
    <row r="5317" hidden="1">
      <c r="A5317" s="2">
        <f>IFERROR(__xludf.DUMMYFUNCTION("""COMPUTED_VALUE"""),5861.0)</f>
        <v>5861</v>
      </c>
      <c r="B5317" s="2">
        <f>IFERROR(__xludf.DUMMYFUNCTION("""COMPUTED_VALUE"""),0.0)</f>
        <v>0</v>
      </c>
      <c r="C5317" s="2">
        <f>IFERROR(__xludf.DUMMYFUNCTION("""COMPUTED_VALUE"""),407.0)</f>
        <v>407</v>
      </c>
      <c r="D5317" s="3">
        <f>IFERROR(__xludf.DUMMYFUNCTION("""COMPUTED_VALUE"""),190.0)</f>
        <v>190</v>
      </c>
      <c r="E5317" s="1" t="str">
        <f t="array" ref="E5317">_xlfn.XLOOKUP(A5317,Product!A:A,Product!B:B,"Bulunamadı")</f>
        <v>Law</v>
      </c>
      <c r="F5317" s="1" t="str">
        <f t="array" ref="F5317">_xlfn.XLOOKUP(A5317,Product!A:A,Product!C:C,"Bulunamadı")</f>
        <v>Art History</v>
      </c>
      <c r="G5317" s="2" t="str">
        <f t="array" ref="G5317">_xlfn.XLOOKUP(A5318,Product!A:A,Product!D:D,"Bulunamadı")</f>
        <v>Harborgate Publishing House</v>
      </c>
      <c r="H5317" s="2">
        <f t="array" ref="H5317">_xlfn.XLOOKUP(A5319,Product!A:A,Product!E:E,"Bulunamadı")</f>
        <v>2.04</v>
      </c>
      <c r="I5317" s="2" t="str">
        <f t="shared" si="1"/>
        <v>5861 - Law - Art History</v>
      </c>
      <c r="J5317" s="2">
        <f t="shared" si="2"/>
        <v>387.6</v>
      </c>
      <c r="K5317" s="17">
        <f t="shared" si="3"/>
        <v>1</v>
      </c>
      <c r="L5317" s="18"/>
    </row>
    <row r="5318" hidden="1">
      <c r="A5318" s="2">
        <f>IFERROR(__xludf.DUMMYFUNCTION("""COMPUTED_VALUE"""),90909.0)</f>
        <v>90909</v>
      </c>
      <c r="B5318" s="2">
        <f>IFERROR(__xludf.DUMMYFUNCTION("""COMPUTED_VALUE"""),1.0)</f>
        <v>1</v>
      </c>
      <c r="C5318" s="2">
        <f>IFERROR(__xludf.DUMMYFUNCTION("""COMPUTED_VALUE"""),848.0)</f>
        <v>848</v>
      </c>
      <c r="D5318" s="3">
        <f>IFERROR(__xludf.DUMMYFUNCTION("""COMPUTED_VALUE"""),573.0)</f>
        <v>573</v>
      </c>
      <c r="E5318" s="1" t="str">
        <f t="array" ref="E5318">_xlfn.XLOOKUP(A5318,Product!A:A,Product!B:B,"Bulunamadı")</f>
        <v>Law</v>
      </c>
      <c r="F5318" s="1" t="str">
        <f t="array" ref="F5318">_xlfn.XLOOKUP(A5318,Product!A:A,Product!C:C,"Bulunamadı")</f>
        <v>Art History</v>
      </c>
      <c r="G5318" s="2" t="str">
        <f t="array" ref="G5318">_xlfn.XLOOKUP(A5319,Product!A:A,Product!D:D,"Bulunamadı")</f>
        <v>Harborgate Publishing House</v>
      </c>
      <c r="H5318" s="2">
        <f t="array" ref="H5318">_xlfn.XLOOKUP(A5320,Product!A:A,Product!E:E,"Bulunamadı")</f>
        <v>4.63</v>
      </c>
      <c r="I5318" s="2" t="str">
        <f t="shared" si="1"/>
        <v>90909 - Law - Art History</v>
      </c>
      <c r="J5318" s="2">
        <f t="shared" si="2"/>
        <v>2652.99</v>
      </c>
      <c r="K5318" s="17">
        <f t="shared" si="3"/>
        <v>1</v>
      </c>
      <c r="L5318" s="18"/>
    </row>
    <row r="5319" hidden="1">
      <c r="A5319" s="2">
        <f>IFERROR(__xludf.DUMMYFUNCTION("""COMPUTED_VALUE"""),21523.0)</f>
        <v>21523</v>
      </c>
      <c r="B5319" s="2">
        <f>IFERROR(__xludf.DUMMYFUNCTION("""COMPUTED_VALUE"""),0.0)</f>
        <v>0</v>
      </c>
      <c r="C5319" s="2">
        <f>IFERROR(__xludf.DUMMYFUNCTION("""COMPUTED_VALUE"""),912.0)</f>
        <v>912</v>
      </c>
      <c r="D5319" s="3">
        <f>IFERROR(__xludf.DUMMYFUNCTION("""COMPUTED_VALUE"""),414.0)</f>
        <v>414</v>
      </c>
      <c r="E5319" s="1" t="str">
        <f t="array" ref="E5319">_xlfn.XLOOKUP(A5319,Product!A:A,Product!B:B,"Bulunamadı")</f>
        <v>Law</v>
      </c>
      <c r="F5319" s="1" t="str">
        <f t="array" ref="F5319">_xlfn.XLOOKUP(A5319,Product!A:A,Product!C:C,"Bulunamadı")</f>
        <v>Art History</v>
      </c>
      <c r="G5319" s="2" t="str">
        <f t="array" ref="G5319">_xlfn.XLOOKUP(A5320,Product!A:A,Product!D:D,"Bulunamadı")</f>
        <v>Cedargate Publishing House</v>
      </c>
      <c r="H5319" s="2">
        <f t="array" ref="H5319">_xlfn.XLOOKUP(A5321,Product!A:A,Product!E:E,"Bulunamadı")</f>
        <v>2.63</v>
      </c>
      <c r="I5319" s="2" t="str">
        <f t="shared" si="1"/>
        <v>21523 - Law - Art History</v>
      </c>
      <c r="J5319" s="2">
        <f t="shared" si="2"/>
        <v>1088.82</v>
      </c>
      <c r="K5319" s="17">
        <f t="shared" si="3"/>
        <v>1</v>
      </c>
      <c r="L5319" s="18"/>
    </row>
    <row r="5320" hidden="1">
      <c r="A5320" s="2">
        <f>IFERROR(__xludf.DUMMYFUNCTION("""COMPUTED_VALUE"""),5485.0)</f>
        <v>5485</v>
      </c>
      <c r="B5320" s="2">
        <f>IFERROR(__xludf.DUMMYFUNCTION("""COMPUTED_VALUE"""),0.0)</f>
        <v>0</v>
      </c>
      <c r="C5320" s="2">
        <f>IFERROR(__xludf.DUMMYFUNCTION("""COMPUTED_VALUE"""),692.0)</f>
        <v>692</v>
      </c>
      <c r="D5320" s="3">
        <f>IFERROR(__xludf.DUMMYFUNCTION("""COMPUTED_VALUE"""),11.0)</f>
        <v>11</v>
      </c>
      <c r="E5320" s="1" t="str">
        <f t="array" ref="E5320">_xlfn.XLOOKUP(A5320,Product!A:A,Product!B:B,"Bulunamadı")</f>
        <v>Law</v>
      </c>
      <c r="F5320" s="1" t="str">
        <f t="array" ref="F5320">_xlfn.XLOOKUP(A5320,Product!A:A,Product!C:C,"Bulunamadı")</f>
        <v>Art History</v>
      </c>
      <c r="G5320" s="2" t="str">
        <f t="array" ref="G5320">_xlfn.XLOOKUP(A5321,Product!A:A,Product!D:D,"Bulunamadı")</f>
        <v>Cedargate Publishing House</v>
      </c>
      <c r="H5320" s="2">
        <f t="array" ref="H5320">_xlfn.XLOOKUP(A5322,Product!A:A,Product!E:E,"Bulunamadı")</f>
        <v>3.67</v>
      </c>
      <c r="I5320" s="2" t="str">
        <f t="shared" si="1"/>
        <v>5485 - Law - Art History</v>
      </c>
      <c r="J5320" s="2">
        <f t="shared" si="2"/>
        <v>40.37</v>
      </c>
      <c r="K5320" s="17">
        <f t="shared" si="3"/>
        <v>1</v>
      </c>
      <c r="L5320" s="18"/>
    </row>
    <row r="5321" hidden="1">
      <c r="A5321" s="2">
        <f>IFERROR(__xludf.DUMMYFUNCTION("""COMPUTED_VALUE"""),77294.0)</f>
        <v>77294</v>
      </c>
      <c r="B5321" s="2">
        <f>IFERROR(__xludf.DUMMYFUNCTION("""COMPUTED_VALUE"""),1.0)</f>
        <v>1</v>
      </c>
      <c r="C5321" s="2">
        <f>IFERROR(__xludf.DUMMYFUNCTION("""COMPUTED_VALUE"""),478.0)</f>
        <v>478</v>
      </c>
      <c r="D5321" s="3">
        <f>IFERROR(__xludf.DUMMYFUNCTION("""COMPUTED_VALUE"""),458.0)</f>
        <v>458</v>
      </c>
      <c r="E5321" s="1" t="str">
        <f t="array" ref="E5321">_xlfn.XLOOKUP(A5321,Product!A:A,Product!B:B,"Bulunamadı")</f>
        <v>Law</v>
      </c>
      <c r="F5321" s="1" t="str">
        <f t="array" ref="F5321">_xlfn.XLOOKUP(A5321,Product!A:A,Product!C:C,"Bulunamadı")</f>
        <v>Art History</v>
      </c>
      <c r="G5321" s="2" t="str">
        <f t="array" ref="G5321">_xlfn.XLOOKUP(A5322,Product!A:A,Product!D:D,"Bulunamadı")</f>
        <v>Cedargate Publishing House</v>
      </c>
      <c r="H5321" s="2">
        <f t="array" ref="H5321">_xlfn.XLOOKUP(A5323,Product!A:A,Product!E:E,"Bulunamadı")</f>
        <v>2.06</v>
      </c>
      <c r="I5321" s="2" t="str">
        <f t="shared" si="1"/>
        <v>77294 - Law - Art History</v>
      </c>
      <c r="J5321" s="2">
        <f t="shared" si="2"/>
        <v>943.48</v>
      </c>
      <c r="K5321" s="17">
        <f t="shared" si="3"/>
        <v>1</v>
      </c>
      <c r="L5321" s="18"/>
    </row>
    <row r="5322" hidden="1">
      <c r="A5322" s="2">
        <f>IFERROR(__xludf.DUMMYFUNCTION("""COMPUTED_VALUE"""),5486.0)</f>
        <v>5486</v>
      </c>
      <c r="B5322" s="2">
        <f>IFERROR(__xludf.DUMMYFUNCTION("""COMPUTED_VALUE"""),0.0)</f>
        <v>0</v>
      </c>
      <c r="C5322" s="2">
        <f>IFERROR(__xludf.DUMMYFUNCTION("""COMPUTED_VALUE"""),298.0)</f>
        <v>298</v>
      </c>
      <c r="D5322" s="3">
        <f>IFERROR(__xludf.DUMMYFUNCTION("""COMPUTED_VALUE"""),163.0)</f>
        <v>163</v>
      </c>
      <c r="E5322" s="1" t="str">
        <f t="array" ref="E5322">_xlfn.XLOOKUP(A5322,Product!A:A,Product!B:B,"Bulunamadı")</f>
        <v>Law</v>
      </c>
      <c r="F5322" s="1" t="str">
        <f t="array" ref="F5322">_xlfn.XLOOKUP(A5322,Product!A:A,Product!C:C,"Bulunamadı")</f>
        <v>Art History</v>
      </c>
      <c r="G5322" s="2" t="str">
        <f t="array" ref="G5322">_xlfn.XLOOKUP(A5323,Product!A:A,Product!D:D,"Bulunamadı")</f>
        <v>Cedargate Publishing House</v>
      </c>
      <c r="H5322" s="2">
        <f t="array" ref="H5322">_xlfn.XLOOKUP(A5324,Product!A:A,Product!E:E,"Bulunamadı")</f>
        <v>1.32</v>
      </c>
      <c r="I5322" s="2" t="str">
        <f t="shared" si="1"/>
        <v>5486 - Law - Art History</v>
      </c>
      <c r="J5322" s="2">
        <f t="shared" si="2"/>
        <v>215.16</v>
      </c>
      <c r="K5322" s="17">
        <f t="shared" si="3"/>
        <v>1</v>
      </c>
      <c r="L5322" s="18"/>
    </row>
    <row r="5323" hidden="1">
      <c r="A5323" s="2">
        <f>IFERROR(__xludf.DUMMYFUNCTION("""COMPUTED_VALUE"""),77293.0)</f>
        <v>77293</v>
      </c>
      <c r="B5323" s="2">
        <f>IFERROR(__xludf.DUMMYFUNCTION("""COMPUTED_VALUE"""),0.0)</f>
        <v>0</v>
      </c>
      <c r="C5323" s="2">
        <f>IFERROR(__xludf.DUMMYFUNCTION("""COMPUTED_VALUE"""),117.0)</f>
        <v>117</v>
      </c>
      <c r="D5323" s="3">
        <f>IFERROR(__xludf.DUMMYFUNCTION("""COMPUTED_VALUE"""),92.0)</f>
        <v>92</v>
      </c>
      <c r="E5323" s="1" t="str">
        <f t="array" ref="E5323">_xlfn.XLOOKUP(A5323,Product!A:A,Product!B:B,"Bulunamadı")</f>
        <v>Law</v>
      </c>
      <c r="F5323" s="1" t="str">
        <f t="array" ref="F5323">_xlfn.XLOOKUP(A5323,Product!A:A,Product!C:C,"Bulunamadı")</f>
        <v>Art History</v>
      </c>
      <c r="G5323" s="2" t="str">
        <f t="array" ref="G5323">_xlfn.XLOOKUP(A5324,Product!A:A,Product!D:D,"Bulunamadı")</f>
        <v>Cedargate Publishing House</v>
      </c>
      <c r="H5323" s="2">
        <f t="array" ref="H5323">_xlfn.XLOOKUP(A5325,Product!A:A,Product!E:E,"Bulunamadı")</f>
        <v>27.4</v>
      </c>
      <c r="I5323" s="2" t="str">
        <f t="shared" si="1"/>
        <v>77293 - Law - Art History</v>
      </c>
      <c r="J5323" s="2">
        <f t="shared" si="2"/>
        <v>2520.8</v>
      </c>
      <c r="K5323" s="17">
        <f t="shared" si="3"/>
        <v>1</v>
      </c>
      <c r="L5323" s="18"/>
    </row>
    <row r="5324" hidden="1">
      <c r="A5324" s="2">
        <f>IFERROR(__xludf.DUMMYFUNCTION("""COMPUTED_VALUE"""),112230.0)</f>
        <v>112230</v>
      </c>
      <c r="B5324" s="2">
        <f>IFERROR(__xludf.DUMMYFUNCTION("""COMPUTED_VALUE"""),1.0)</f>
        <v>1</v>
      </c>
      <c r="C5324" s="2">
        <f>IFERROR(__xludf.DUMMYFUNCTION("""COMPUTED_VALUE"""),726.0)</f>
        <v>726</v>
      </c>
      <c r="D5324" s="3">
        <f>IFERROR(__xludf.DUMMYFUNCTION("""COMPUTED_VALUE"""),278.0)</f>
        <v>278</v>
      </c>
      <c r="E5324" s="1" t="str">
        <f t="array" ref="E5324">_xlfn.XLOOKUP(A5324,Product!A:A,Product!B:B,"Bulunamadı")</f>
        <v>Law</v>
      </c>
      <c r="F5324" s="1" t="str">
        <f t="array" ref="F5324">_xlfn.XLOOKUP(A5324,Product!A:A,Product!C:C,"Bulunamadı")</f>
        <v>Art History</v>
      </c>
      <c r="G5324" s="2" t="str">
        <f t="array" ref="G5324">_xlfn.XLOOKUP(A5325,Product!A:A,Product!D:D,"Bulunamadı")</f>
        <v>Cedargate Publishing House</v>
      </c>
      <c r="H5324" s="2">
        <f t="array" ref="H5324">_xlfn.XLOOKUP(A5326,Product!A:A,Product!E:E,"Bulunamadı")</f>
        <v>10.05</v>
      </c>
      <c r="I5324" s="2" t="str">
        <f t="shared" si="1"/>
        <v>112230 - Law - Art History</v>
      </c>
      <c r="J5324" s="2">
        <f t="shared" si="2"/>
        <v>2793.9</v>
      </c>
      <c r="K5324" s="17">
        <f t="shared" si="3"/>
        <v>1</v>
      </c>
      <c r="L5324" s="18"/>
    </row>
    <row r="5325" hidden="1">
      <c r="A5325" s="2">
        <f>IFERROR(__xludf.DUMMYFUNCTION("""COMPUTED_VALUE"""),83607.0)</f>
        <v>83607</v>
      </c>
      <c r="B5325" s="2">
        <f>IFERROR(__xludf.DUMMYFUNCTION("""COMPUTED_VALUE"""),0.0)</f>
        <v>0</v>
      </c>
      <c r="C5325" s="2">
        <f>IFERROR(__xludf.DUMMYFUNCTION("""COMPUTED_VALUE"""),867.0)</f>
        <v>867</v>
      </c>
      <c r="D5325" s="3">
        <f>IFERROR(__xludf.DUMMYFUNCTION("""COMPUTED_VALUE"""),657.0)</f>
        <v>657</v>
      </c>
      <c r="E5325" s="1" t="str">
        <f t="array" ref="E5325">_xlfn.XLOOKUP(A5325,Product!A:A,Product!B:B,"Bulunamadı")</f>
        <v>Law</v>
      </c>
      <c r="F5325" s="1" t="str">
        <f t="array" ref="F5325">_xlfn.XLOOKUP(A5325,Product!A:A,Product!C:C,"Bulunamadı")</f>
        <v>Art History</v>
      </c>
      <c r="G5325" s="2" t="str">
        <f t="array" ref="G5325">_xlfn.XLOOKUP(A5326,Product!A:A,Product!D:D,"Bulunamadı")</f>
        <v>Cedargate Publishing House</v>
      </c>
      <c r="H5325" s="2">
        <f t="array" ref="H5325">_xlfn.XLOOKUP(A5327,Product!A:A,Product!E:E,"Bulunamadı")</f>
        <v>3.31</v>
      </c>
      <c r="I5325" s="2" t="str">
        <f t="shared" si="1"/>
        <v>83607 - Law - Art History</v>
      </c>
      <c r="J5325" s="2">
        <f t="shared" si="2"/>
        <v>2174.67</v>
      </c>
      <c r="K5325" s="17">
        <f t="shared" si="3"/>
        <v>1</v>
      </c>
      <c r="L5325" s="18"/>
    </row>
    <row r="5326" hidden="1">
      <c r="A5326" s="2">
        <f>IFERROR(__xludf.DUMMYFUNCTION("""COMPUTED_VALUE"""),117216.0)</f>
        <v>117216</v>
      </c>
      <c r="B5326" s="2">
        <f>IFERROR(__xludf.DUMMYFUNCTION("""COMPUTED_VALUE"""),0.0)</f>
        <v>0</v>
      </c>
      <c r="C5326" s="2">
        <f>IFERROR(__xludf.DUMMYFUNCTION("""COMPUTED_VALUE"""),91.0)</f>
        <v>91</v>
      </c>
      <c r="D5326" s="3">
        <f>IFERROR(__xludf.DUMMYFUNCTION("""COMPUTED_VALUE"""),32.0)</f>
        <v>32</v>
      </c>
      <c r="E5326" s="1" t="str">
        <f t="array" ref="E5326">_xlfn.XLOOKUP(A5326,Product!A:A,Product!B:B,"Bulunamadı")</f>
        <v>Law</v>
      </c>
      <c r="F5326" s="1" t="str">
        <f t="array" ref="F5326">_xlfn.XLOOKUP(A5326,Product!A:A,Product!C:C,"Bulunamadı")</f>
        <v>Art History</v>
      </c>
      <c r="G5326" s="2" t="str">
        <f t="array" ref="G5326">_xlfn.XLOOKUP(A5327,Product!A:A,Product!D:D,"Bulunamadı")</f>
        <v>Cedargate Publishing House</v>
      </c>
      <c r="H5326" s="2">
        <f t="array" ref="H5326">_xlfn.XLOOKUP(A5328,Product!A:A,Product!E:E,"Bulunamadı")</f>
        <v>2.53</v>
      </c>
      <c r="I5326" s="2" t="str">
        <f t="shared" si="1"/>
        <v>117216 - Law - Art History</v>
      </c>
      <c r="J5326" s="2">
        <f t="shared" si="2"/>
        <v>80.96</v>
      </c>
      <c r="K5326" s="17">
        <f t="shared" si="3"/>
        <v>1</v>
      </c>
      <c r="L5326" s="18"/>
    </row>
    <row r="5327" hidden="1">
      <c r="A5327" s="2">
        <f>IFERROR(__xludf.DUMMYFUNCTION("""COMPUTED_VALUE"""),5487.0)</f>
        <v>5487</v>
      </c>
      <c r="B5327" s="2">
        <f>IFERROR(__xludf.DUMMYFUNCTION("""COMPUTED_VALUE"""),1.0)</f>
        <v>1</v>
      </c>
      <c r="C5327" s="2">
        <f>IFERROR(__xludf.DUMMYFUNCTION("""COMPUTED_VALUE"""),219.0)</f>
        <v>219</v>
      </c>
      <c r="D5327" s="3">
        <f>IFERROR(__xludf.DUMMYFUNCTION("""COMPUTED_VALUE"""),90.0)</f>
        <v>90</v>
      </c>
      <c r="E5327" s="1" t="str">
        <f t="array" ref="E5327">_xlfn.XLOOKUP(A5327,Product!A:A,Product!B:B,"Bulunamadı")</f>
        <v>Law</v>
      </c>
      <c r="F5327" s="1" t="str">
        <f t="array" ref="F5327">_xlfn.XLOOKUP(A5327,Product!A:A,Product!C:C,"Bulunamadı")</f>
        <v>Art History</v>
      </c>
      <c r="G5327" s="2" t="str">
        <f t="array" ref="G5327">_xlfn.XLOOKUP(A5328,Product!A:A,Product!D:D,"Bulunamadı")</f>
        <v>Cedargate Publishing House</v>
      </c>
      <c r="H5327" s="2">
        <f t="array" ref="H5327">_xlfn.XLOOKUP(A5329,Product!A:A,Product!E:E,"Bulunamadı")</f>
        <v>3.52</v>
      </c>
      <c r="I5327" s="2" t="str">
        <f t="shared" si="1"/>
        <v>5487 - Law - Art History</v>
      </c>
      <c r="J5327" s="2">
        <f t="shared" si="2"/>
        <v>316.8</v>
      </c>
      <c r="K5327" s="17">
        <f t="shared" si="3"/>
        <v>1</v>
      </c>
      <c r="L5327" s="18"/>
    </row>
    <row r="5328" hidden="1">
      <c r="A5328" s="2">
        <f>IFERROR(__xludf.DUMMYFUNCTION("""COMPUTED_VALUE"""),77295.0)</f>
        <v>77295</v>
      </c>
      <c r="B5328" s="2">
        <f>IFERROR(__xludf.DUMMYFUNCTION("""COMPUTED_VALUE"""),1.0)</f>
        <v>1</v>
      </c>
      <c r="C5328" s="2">
        <f>IFERROR(__xludf.DUMMYFUNCTION("""COMPUTED_VALUE"""),646.0)</f>
        <v>646</v>
      </c>
      <c r="D5328" s="3">
        <f>IFERROR(__xludf.DUMMYFUNCTION("""COMPUTED_VALUE"""),512.0)</f>
        <v>512</v>
      </c>
      <c r="E5328" s="1" t="str">
        <f t="array" ref="E5328">_xlfn.XLOOKUP(A5328,Product!A:A,Product!B:B,"Bulunamadı")</f>
        <v>Law</v>
      </c>
      <c r="F5328" s="1" t="str">
        <f t="array" ref="F5328">_xlfn.XLOOKUP(A5328,Product!A:A,Product!C:C,"Bulunamadı")</f>
        <v>Art History</v>
      </c>
      <c r="G5328" s="2" t="str">
        <f t="array" ref="G5328">_xlfn.XLOOKUP(A5329,Product!A:A,Product!D:D,"Bulunamadı")</f>
        <v>Cedargate Publishing House</v>
      </c>
      <c r="H5328" s="2">
        <f t="array" ref="H5328">_xlfn.XLOOKUP(A5330,Product!A:A,Product!E:E,"Bulunamadı")</f>
        <v>2.72</v>
      </c>
      <c r="I5328" s="2" t="str">
        <f t="shared" si="1"/>
        <v>77295 - Law - Art History</v>
      </c>
      <c r="J5328" s="2">
        <f t="shared" si="2"/>
        <v>1392.64</v>
      </c>
      <c r="K5328" s="17">
        <f t="shared" si="3"/>
        <v>1</v>
      </c>
      <c r="L5328" s="18"/>
    </row>
    <row r="5329" hidden="1">
      <c r="A5329" s="2">
        <f>IFERROR(__xludf.DUMMYFUNCTION("""COMPUTED_VALUE"""),89774.0)</f>
        <v>89774</v>
      </c>
      <c r="B5329" s="2">
        <f>IFERROR(__xludf.DUMMYFUNCTION("""COMPUTED_VALUE"""),0.0)</f>
        <v>0</v>
      </c>
      <c r="C5329" s="2">
        <f>IFERROR(__xludf.DUMMYFUNCTION("""COMPUTED_VALUE"""),858.0)</f>
        <v>858</v>
      </c>
      <c r="D5329" s="3">
        <f>IFERROR(__xludf.DUMMYFUNCTION("""COMPUTED_VALUE"""),292.0)</f>
        <v>292</v>
      </c>
      <c r="E5329" s="1" t="str">
        <f t="array" ref="E5329">_xlfn.XLOOKUP(A5329,Product!A:A,Product!B:B,"Bulunamadı")</f>
        <v>Law</v>
      </c>
      <c r="F5329" s="1" t="str">
        <f t="array" ref="F5329">_xlfn.XLOOKUP(A5329,Product!A:A,Product!C:C,"Bulunamadı")</f>
        <v>Art History</v>
      </c>
      <c r="G5329" s="2" t="str">
        <f t="array" ref="G5329">_xlfn.XLOOKUP(A5330,Product!A:A,Product!D:D,"Bulunamadı")</f>
        <v>Cedargate Publishing House</v>
      </c>
      <c r="H5329" s="2">
        <f t="array" ref="H5329">_xlfn.XLOOKUP(A5331,Product!A:A,Product!E:E,"Bulunamadı")</f>
        <v>4.14</v>
      </c>
      <c r="I5329" s="2" t="str">
        <f t="shared" si="1"/>
        <v>89774 - Law - Art History</v>
      </c>
      <c r="J5329" s="2">
        <f t="shared" si="2"/>
        <v>1208.88</v>
      </c>
      <c r="K5329" s="17">
        <f t="shared" si="3"/>
        <v>1</v>
      </c>
      <c r="L5329" s="18"/>
    </row>
    <row r="5330" hidden="1">
      <c r="A5330" s="2">
        <f>IFERROR(__xludf.DUMMYFUNCTION("""COMPUTED_VALUE"""),5483.0)</f>
        <v>5483</v>
      </c>
      <c r="B5330" s="2">
        <f>IFERROR(__xludf.DUMMYFUNCTION("""COMPUTED_VALUE"""),1.0)</f>
        <v>1</v>
      </c>
      <c r="C5330" s="2">
        <f>IFERROR(__xludf.DUMMYFUNCTION("""COMPUTED_VALUE"""),543.0)</f>
        <v>543</v>
      </c>
      <c r="D5330" s="3">
        <f>IFERROR(__xludf.DUMMYFUNCTION("""COMPUTED_VALUE"""),263.0)</f>
        <v>263</v>
      </c>
      <c r="E5330" s="1" t="str">
        <f t="array" ref="E5330">_xlfn.XLOOKUP(A5330,Product!A:A,Product!B:B,"Bulunamadı")</f>
        <v>Law</v>
      </c>
      <c r="F5330" s="1" t="str">
        <f t="array" ref="F5330">_xlfn.XLOOKUP(A5330,Product!A:A,Product!C:C,"Bulunamadı")</f>
        <v>Art History</v>
      </c>
      <c r="G5330" s="2" t="str">
        <f t="array" ref="G5330">_xlfn.XLOOKUP(A5331,Product!A:A,Product!D:D,"Bulunamadı")</f>
        <v>Cedargate Publishing House</v>
      </c>
      <c r="H5330" s="2">
        <f t="array" ref="H5330">_xlfn.XLOOKUP(A5332,Product!A:A,Product!E:E,"Bulunamadı")</f>
        <v>4.09</v>
      </c>
      <c r="I5330" s="2" t="str">
        <f t="shared" si="1"/>
        <v>5483 - Law - Art History</v>
      </c>
      <c r="J5330" s="2">
        <f t="shared" si="2"/>
        <v>1075.67</v>
      </c>
      <c r="K5330" s="17">
        <f t="shared" si="3"/>
        <v>1</v>
      </c>
      <c r="L5330" s="18"/>
    </row>
    <row r="5331" hidden="1">
      <c r="A5331" s="2">
        <f>IFERROR(__xludf.DUMMYFUNCTION("""COMPUTED_VALUE"""),120541.0)</f>
        <v>120541</v>
      </c>
      <c r="B5331" s="2">
        <f>IFERROR(__xludf.DUMMYFUNCTION("""COMPUTED_VALUE"""),1.0)</f>
        <v>1</v>
      </c>
      <c r="C5331" s="2">
        <f>IFERROR(__xludf.DUMMYFUNCTION("""COMPUTED_VALUE"""),590.0)</f>
        <v>590</v>
      </c>
      <c r="D5331" s="3">
        <f>IFERROR(__xludf.DUMMYFUNCTION("""COMPUTED_VALUE"""),363.0)</f>
        <v>363</v>
      </c>
      <c r="E5331" s="1" t="str">
        <f t="array" ref="E5331">_xlfn.XLOOKUP(A5331,Product!A:A,Product!B:B,"Bulunamadı")</f>
        <v>Law</v>
      </c>
      <c r="F5331" s="1" t="str">
        <f t="array" ref="F5331">_xlfn.XLOOKUP(A5331,Product!A:A,Product!C:C,"Bulunamadı")</f>
        <v>Art History</v>
      </c>
      <c r="G5331" s="2" t="str">
        <f t="array" ref="G5331">_xlfn.XLOOKUP(A5332,Product!A:A,Product!D:D,"Bulunamadı")</f>
        <v>Cedargate Publishing House</v>
      </c>
      <c r="H5331" s="2">
        <f t="array" ref="H5331">_xlfn.XLOOKUP(A5333,Product!A:A,Product!E:E,"Bulunamadı")</f>
        <v>1.63</v>
      </c>
      <c r="I5331" s="2" t="str">
        <f t="shared" si="1"/>
        <v>120541 - Law - Art History</v>
      </c>
      <c r="J5331" s="2">
        <f t="shared" si="2"/>
        <v>591.69</v>
      </c>
      <c r="K5331" s="17">
        <f t="shared" si="3"/>
        <v>1</v>
      </c>
      <c r="L5331" s="18"/>
    </row>
    <row r="5332" hidden="1">
      <c r="A5332" s="2">
        <f>IFERROR(__xludf.DUMMYFUNCTION("""COMPUTED_VALUE"""),100249.0)</f>
        <v>100249</v>
      </c>
      <c r="B5332" s="2">
        <f>IFERROR(__xludf.DUMMYFUNCTION("""COMPUTED_VALUE"""),1.0)</f>
        <v>1</v>
      </c>
      <c r="C5332" s="2">
        <f>IFERROR(__xludf.DUMMYFUNCTION("""COMPUTED_VALUE"""),932.0)</f>
        <v>932</v>
      </c>
      <c r="D5332" s="3">
        <f>IFERROR(__xludf.DUMMYFUNCTION("""COMPUTED_VALUE"""),474.0)</f>
        <v>474</v>
      </c>
      <c r="E5332" s="1" t="str">
        <f t="array" ref="E5332">_xlfn.XLOOKUP(A5332,Product!A:A,Product!B:B,"Bulunamadı")</f>
        <v>Law</v>
      </c>
      <c r="F5332" s="1" t="str">
        <f t="array" ref="F5332">_xlfn.XLOOKUP(A5332,Product!A:A,Product!C:C,"Bulunamadı")</f>
        <v>Art History</v>
      </c>
      <c r="G5332" s="2" t="str">
        <f t="array" ref="G5332">_xlfn.XLOOKUP(A5333,Product!A:A,Product!D:D,"Bulunamadı")</f>
        <v>Cedargate Publishing House</v>
      </c>
      <c r="H5332" s="2">
        <f t="array" ref="H5332">_xlfn.XLOOKUP(A5334,Product!A:A,Product!E:E,"Bulunamadı")</f>
        <v>6.51</v>
      </c>
      <c r="I5332" s="2" t="str">
        <f t="shared" si="1"/>
        <v>100249 - Law - Art History</v>
      </c>
      <c r="J5332" s="2">
        <f t="shared" si="2"/>
        <v>3085.74</v>
      </c>
      <c r="K5332" s="17">
        <f t="shared" si="3"/>
        <v>1</v>
      </c>
      <c r="L5332" s="18"/>
    </row>
    <row r="5333" hidden="1">
      <c r="A5333" s="2">
        <f>IFERROR(__xludf.DUMMYFUNCTION("""COMPUTED_VALUE"""),119242.0)</f>
        <v>119242</v>
      </c>
      <c r="B5333" s="2">
        <f>IFERROR(__xludf.DUMMYFUNCTION("""COMPUTED_VALUE"""),1.0)</f>
        <v>1</v>
      </c>
      <c r="C5333" s="2">
        <f>IFERROR(__xludf.DUMMYFUNCTION("""COMPUTED_VALUE"""),893.0)</f>
        <v>893</v>
      </c>
      <c r="D5333" s="3">
        <f>IFERROR(__xludf.DUMMYFUNCTION("""COMPUTED_VALUE"""),299.0)</f>
        <v>299</v>
      </c>
      <c r="E5333" s="1" t="str">
        <f t="array" ref="E5333">_xlfn.XLOOKUP(A5333,Product!A:A,Product!B:B,"Bulunamadı")</f>
        <v>Law</v>
      </c>
      <c r="F5333" s="1" t="str">
        <f t="array" ref="F5333">_xlfn.XLOOKUP(A5333,Product!A:A,Product!C:C,"Bulunamadı")</f>
        <v>Art History</v>
      </c>
      <c r="G5333" s="2" t="str">
        <f t="array" ref="G5333">_xlfn.XLOOKUP(A5334,Product!A:A,Product!D:D,"Bulunamadı")</f>
        <v>Brightgate Publishing House</v>
      </c>
      <c r="H5333" s="2">
        <f t="array" ref="H5333">_xlfn.XLOOKUP(A5335,Product!A:A,Product!E:E,"Bulunamadı")</f>
        <v>2.5</v>
      </c>
      <c r="I5333" s="2" t="str">
        <f t="shared" si="1"/>
        <v>119242 - Law - Art History</v>
      </c>
      <c r="J5333" s="2">
        <f t="shared" si="2"/>
        <v>747.5</v>
      </c>
      <c r="K5333" s="17">
        <f t="shared" si="3"/>
        <v>1</v>
      </c>
      <c r="L5333" s="18"/>
    </row>
    <row r="5334" hidden="1">
      <c r="A5334" s="2">
        <f>IFERROR(__xludf.DUMMYFUNCTION("""COMPUTED_VALUE"""),90868.0)</f>
        <v>90868</v>
      </c>
      <c r="B5334" s="2">
        <f>IFERROR(__xludf.DUMMYFUNCTION("""COMPUTED_VALUE"""),0.0)</f>
        <v>0</v>
      </c>
      <c r="C5334" s="2">
        <f>IFERROR(__xludf.DUMMYFUNCTION("""COMPUTED_VALUE"""),611.0)</f>
        <v>611</v>
      </c>
      <c r="D5334" s="3">
        <f>IFERROR(__xludf.DUMMYFUNCTION("""COMPUTED_VALUE"""),247.0)</f>
        <v>247</v>
      </c>
      <c r="E5334" s="1" t="str">
        <f t="array" ref="E5334">_xlfn.XLOOKUP(A5334,Product!A:A,Product!B:B,"Bulunamadı")</f>
        <v>Law</v>
      </c>
      <c r="F5334" s="1" t="str">
        <f t="array" ref="F5334">_xlfn.XLOOKUP(A5334,Product!A:A,Product!C:C,"Bulunamadı")</f>
        <v>Art History</v>
      </c>
      <c r="G5334" s="2" t="str">
        <f t="array" ref="G5334">_xlfn.XLOOKUP(A5335,Product!A:A,Product!D:D,"Bulunamadı")</f>
        <v>Brightgate Publishing House</v>
      </c>
      <c r="H5334" s="2">
        <f t="array" ref="H5334">_xlfn.XLOOKUP(A5336,Product!A:A,Product!E:E,"Bulunamadı")</f>
        <v>1.78</v>
      </c>
      <c r="I5334" s="2" t="str">
        <f t="shared" si="1"/>
        <v>90868 - Law - Art History</v>
      </c>
      <c r="J5334" s="2">
        <f t="shared" si="2"/>
        <v>439.66</v>
      </c>
      <c r="K5334" s="17">
        <f t="shared" si="3"/>
        <v>1</v>
      </c>
      <c r="L5334" s="18"/>
    </row>
    <row r="5335" hidden="1">
      <c r="A5335" s="2">
        <f>IFERROR(__xludf.DUMMYFUNCTION("""COMPUTED_VALUE"""),90854.0)</f>
        <v>90854</v>
      </c>
      <c r="B5335" s="2">
        <f>IFERROR(__xludf.DUMMYFUNCTION("""COMPUTED_VALUE"""),1.0)</f>
        <v>1</v>
      </c>
      <c r="C5335" s="2">
        <f>IFERROR(__xludf.DUMMYFUNCTION("""COMPUTED_VALUE"""),70.0)</f>
        <v>70</v>
      </c>
      <c r="D5335" s="3">
        <f>IFERROR(__xludf.DUMMYFUNCTION("""COMPUTED_VALUE"""),35.0)</f>
        <v>35</v>
      </c>
      <c r="E5335" s="1" t="str">
        <f t="array" ref="E5335">_xlfn.XLOOKUP(A5335,Product!A:A,Product!B:B,"Bulunamadı")</f>
        <v>Law</v>
      </c>
      <c r="F5335" s="1" t="str">
        <f t="array" ref="F5335">_xlfn.XLOOKUP(A5335,Product!A:A,Product!C:C,"Bulunamadı")</f>
        <v>Art History</v>
      </c>
      <c r="G5335" s="2" t="str">
        <f t="array" ref="G5335">_xlfn.XLOOKUP(A5336,Product!A:A,Product!D:D,"Bulunamadı")</f>
        <v>Brightgate Publishing House</v>
      </c>
      <c r="H5335" s="2">
        <f t="array" ref="H5335">_xlfn.XLOOKUP(A5337,Product!A:A,Product!E:E,"Bulunamadı")</f>
        <v>1.88</v>
      </c>
      <c r="I5335" s="2" t="str">
        <f t="shared" si="1"/>
        <v>90854 - Law - Art History</v>
      </c>
      <c r="J5335" s="2">
        <f t="shared" si="2"/>
        <v>65.8</v>
      </c>
      <c r="K5335" s="17">
        <f t="shared" si="3"/>
        <v>1</v>
      </c>
      <c r="L5335" s="18"/>
    </row>
    <row r="5336" hidden="1">
      <c r="A5336" s="2">
        <f>IFERROR(__xludf.DUMMYFUNCTION("""COMPUTED_VALUE"""),76568.0)</f>
        <v>76568</v>
      </c>
      <c r="B5336" s="2">
        <f>IFERROR(__xludf.DUMMYFUNCTION("""COMPUTED_VALUE"""),1.0)</f>
        <v>1</v>
      </c>
      <c r="C5336" s="2">
        <f>IFERROR(__xludf.DUMMYFUNCTION("""COMPUTED_VALUE"""),7.0)</f>
        <v>7</v>
      </c>
      <c r="D5336" s="3">
        <f>IFERROR(__xludf.DUMMYFUNCTION("""COMPUTED_VALUE"""),6.0)</f>
        <v>6</v>
      </c>
      <c r="E5336" s="1" t="str">
        <f t="array" ref="E5336">_xlfn.XLOOKUP(A5336,Product!A:A,Product!B:B,"Bulunamadı")</f>
        <v>Law</v>
      </c>
      <c r="F5336" s="1" t="str">
        <f t="array" ref="F5336">_xlfn.XLOOKUP(A5336,Product!A:A,Product!C:C,"Bulunamadı")</f>
        <v>Art History</v>
      </c>
      <c r="G5336" s="2" t="str">
        <f t="array" ref="G5336">_xlfn.XLOOKUP(A5337,Product!A:A,Product!D:D,"Bulunamadı")</f>
        <v>Brightgate Publishing House</v>
      </c>
      <c r="H5336" s="2">
        <f t="array" ref="H5336">_xlfn.XLOOKUP(A5338,Product!A:A,Product!E:E,"Bulunamadı")</f>
        <v>1.21</v>
      </c>
      <c r="I5336" s="2" t="str">
        <f t="shared" si="1"/>
        <v>76568 - Law - Art History</v>
      </c>
      <c r="J5336" s="2">
        <f t="shared" si="2"/>
        <v>7.26</v>
      </c>
      <c r="K5336" s="17">
        <f t="shared" si="3"/>
        <v>1</v>
      </c>
      <c r="L5336" s="18"/>
    </row>
    <row r="5337" hidden="1">
      <c r="A5337" s="2">
        <f>IFERROR(__xludf.DUMMYFUNCTION("""COMPUTED_VALUE"""),76589.0)</f>
        <v>76589</v>
      </c>
      <c r="B5337" s="2">
        <f>IFERROR(__xludf.DUMMYFUNCTION("""COMPUTED_VALUE"""),0.0)</f>
        <v>0</v>
      </c>
      <c r="C5337" s="2">
        <f>IFERROR(__xludf.DUMMYFUNCTION("""COMPUTED_VALUE"""),375.0)</f>
        <v>375</v>
      </c>
      <c r="D5337" s="3">
        <f>IFERROR(__xludf.DUMMYFUNCTION("""COMPUTED_VALUE"""),70.0)</f>
        <v>70</v>
      </c>
      <c r="E5337" s="1" t="str">
        <f t="array" ref="E5337">_xlfn.XLOOKUP(A5337,Product!A:A,Product!B:B,"Bulunamadı")</f>
        <v>Law</v>
      </c>
      <c r="F5337" s="1" t="str">
        <f t="array" ref="F5337">_xlfn.XLOOKUP(A5337,Product!A:A,Product!C:C,"Bulunamadı")</f>
        <v>Art History</v>
      </c>
      <c r="G5337" s="2" t="str">
        <f t="array" ref="G5337">_xlfn.XLOOKUP(A5338,Product!A:A,Product!D:D,"Bulunamadı")</f>
        <v>Brightgate Publishing House</v>
      </c>
      <c r="H5337" s="2">
        <f t="array" ref="H5337">_xlfn.XLOOKUP(A5339,Product!A:A,Product!E:E,"Bulunamadı")</f>
        <v>1.15</v>
      </c>
      <c r="I5337" s="2" t="str">
        <f t="shared" si="1"/>
        <v>76589 - Law - Art History</v>
      </c>
      <c r="J5337" s="2">
        <f t="shared" si="2"/>
        <v>80.5</v>
      </c>
      <c r="K5337" s="17">
        <f t="shared" si="3"/>
        <v>1</v>
      </c>
      <c r="L5337" s="18"/>
    </row>
    <row r="5338" hidden="1">
      <c r="A5338" s="2">
        <f>IFERROR(__xludf.DUMMYFUNCTION("""COMPUTED_VALUE"""),76581.0)</f>
        <v>76581</v>
      </c>
      <c r="B5338" s="2">
        <f>IFERROR(__xludf.DUMMYFUNCTION("""COMPUTED_VALUE"""),0.0)</f>
        <v>0</v>
      </c>
      <c r="C5338" s="2">
        <f>IFERROR(__xludf.DUMMYFUNCTION("""COMPUTED_VALUE"""),209.0)</f>
        <v>209</v>
      </c>
      <c r="D5338" s="3">
        <f>IFERROR(__xludf.DUMMYFUNCTION("""COMPUTED_VALUE"""),127.0)</f>
        <v>127</v>
      </c>
      <c r="E5338" s="1" t="str">
        <f t="array" ref="E5338">_xlfn.XLOOKUP(A5338,Product!A:A,Product!B:B,"Bulunamadı")</f>
        <v>Law</v>
      </c>
      <c r="F5338" s="1" t="str">
        <f t="array" ref="F5338">_xlfn.XLOOKUP(A5338,Product!A:A,Product!C:C,"Bulunamadı")</f>
        <v>Art History</v>
      </c>
      <c r="G5338" s="2" t="str">
        <f t="array" ref="G5338">_xlfn.XLOOKUP(A5339,Product!A:A,Product!D:D,"Bulunamadı")</f>
        <v>Brightgate Publishing House</v>
      </c>
      <c r="H5338" s="2">
        <f t="array" ref="H5338">_xlfn.XLOOKUP(A5340,Product!A:A,Product!E:E,"Bulunamadı")</f>
        <v>12.12</v>
      </c>
      <c r="I5338" s="2" t="str">
        <f t="shared" si="1"/>
        <v>76581 - Law - Art History</v>
      </c>
      <c r="J5338" s="2">
        <f t="shared" si="2"/>
        <v>1539.24</v>
      </c>
      <c r="K5338" s="17">
        <f t="shared" si="3"/>
        <v>1</v>
      </c>
      <c r="L5338" s="18"/>
    </row>
    <row r="5339" hidden="1">
      <c r="A5339" s="2">
        <f>IFERROR(__xludf.DUMMYFUNCTION("""COMPUTED_VALUE"""),77250.0)</f>
        <v>77250</v>
      </c>
      <c r="B5339" s="2">
        <f>IFERROR(__xludf.DUMMYFUNCTION("""COMPUTED_VALUE"""),1.0)</f>
        <v>1</v>
      </c>
      <c r="C5339" s="2">
        <f>IFERROR(__xludf.DUMMYFUNCTION("""COMPUTED_VALUE"""),349.0)</f>
        <v>349</v>
      </c>
      <c r="D5339" s="3">
        <f>IFERROR(__xludf.DUMMYFUNCTION("""COMPUTED_VALUE"""),284.0)</f>
        <v>284</v>
      </c>
      <c r="E5339" s="1" t="str">
        <f t="array" ref="E5339">_xlfn.XLOOKUP(A5339,Product!A:A,Product!B:B,"Bulunamadı")</f>
        <v>Law</v>
      </c>
      <c r="F5339" s="1" t="str">
        <f t="array" ref="F5339">_xlfn.XLOOKUP(A5339,Product!A:A,Product!C:C,"Bulunamadı")</f>
        <v>Art History</v>
      </c>
      <c r="G5339" s="2" t="str">
        <f t="array" ref="G5339">_xlfn.XLOOKUP(A5340,Product!A:A,Product!D:D,"Bulunamadı")</f>
        <v>Brightgate Publishing House</v>
      </c>
      <c r="H5339" s="2">
        <f t="array" ref="H5339">_xlfn.XLOOKUP(A5341,Product!A:A,Product!E:E,"Bulunamadı")</f>
        <v>2.18</v>
      </c>
      <c r="I5339" s="2" t="str">
        <f t="shared" si="1"/>
        <v>77250 - Law - Art History</v>
      </c>
      <c r="J5339" s="2">
        <f t="shared" si="2"/>
        <v>619.12</v>
      </c>
      <c r="K5339" s="17">
        <f t="shared" si="3"/>
        <v>1</v>
      </c>
      <c r="L5339" s="18"/>
    </row>
    <row r="5340" hidden="1">
      <c r="A5340" s="2">
        <f>IFERROR(__xludf.DUMMYFUNCTION("""COMPUTED_VALUE"""),87222.0)</f>
        <v>87222</v>
      </c>
      <c r="B5340" s="2">
        <f>IFERROR(__xludf.DUMMYFUNCTION("""COMPUTED_VALUE"""),0.0)</f>
        <v>0</v>
      </c>
      <c r="C5340" s="2">
        <f>IFERROR(__xludf.DUMMYFUNCTION("""COMPUTED_VALUE"""),822.0)</f>
        <v>822</v>
      </c>
      <c r="D5340" s="3">
        <f>IFERROR(__xludf.DUMMYFUNCTION("""COMPUTED_VALUE"""),2.0)</f>
        <v>2</v>
      </c>
      <c r="E5340" s="1" t="str">
        <f t="array" ref="E5340">_xlfn.XLOOKUP(A5340,Product!A:A,Product!B:B,"Bulunamadı")</f>
        <v>Law</v>
      </c>
      <c r="F5340" s="1" t="str">
        <f t="array" ref="F5340">_xlfn.XLOOKUP(A5340,Product!A:A,Product!C:C,"Bulunamadı")</f>
        <v>Art History</v>
      </c>
      <c r="G5340" s="2" t="str">
        <f t="array" ref="G5340">_xlfn.XLOOKUP(A5341,Product!A:A,Product!D:D,"Bulunamadı")</f>
        <v>Brightgate Publishing House</v>
      </c>
      <c r="H5340" s="2">
        <f t="array" ref="H5340">_xlfn.XLOOKUP(A5342,Product!A:A,Product!E:E,"Bulunamadı")</f>
        <v>2.98</v>
      </c>
      <c r="I5340" s="2" t="str">
        <f t="shared" si="1"/>
        <v>87222 - Law - Art History</v>
      </c>
      <c r="J5340" s="2">
        <f t="shared" si="2"/>
        <v>5.96</v>
      </c>
      <c r="K5340" s="17">
        <f t="shared" si="3"/>
        <v>1</v>
      </c>
      <c r="L5340" s="18"/>
    </row>
    <row r="5341" hidden="1">
      <c r="A5341" s="2">
        <f>IFERROR(__xludf.DUMMYFUNCTION("""COMPUTED_VALUE"""),122120.0)</f>
        <v>122120</v>
      </c>
      <c r="B5341" s="2">
        <f>IFERROR(__xludf.DUMMYFUNCTION("""COMPUTED_VALUE"""),0.0)</f>
        <v>0</v>
      </c>
      <c r="C5341" s="2">
        <f>IFERROR(__xludf.DUMMYFUNCTION("""COMPUTED_VALUE"""),629.0)</f>
        <v>629</v>
      </c>
      <c r="D5341" s="3">
        <f>IFERROR(__xludf.DUMMYFUNCTION("""COMPUTED_VALUE"""),92.0)</f>
        <v>92</v>
      </c>
      <c r="E5341" s="1" t="str">
        <f t="array" ref="E5341">_xlfn.XLOOKUP(A5341,Product!A:A,Product!B:B,"Bulunamadı")</f>
        <v>Law</v>
      </c>
      <c r="F5341" s="1" t="str">
        <f t="array" ref="F5341">_xlfn.XLOOKUP(A5341,Product!A:A,Product!C:C,"Bulunamadı")</f>
        <v>Art History</v>
      </c>
      <c r="G5341" s="2" t="str">
        <f t="array" ref="G5341">_xlfn.XLOOKUP(A5342,Product!A:A,Product!D:D,"Bulunamadı")</f>
        <v>Brightgate Publishing House</v>
      </c>
      <c r="H5341" s="2">
        <f t="array" ref="H5341">_xlfn.XLOOKUP(A5343,Product!A:A,Product!E:E,"Bulunamadı")</f>
        <v>2.42</v>
      </c>
      <c r="I5341" s="2" t="str">
        <f t="shared" si="1"/>
        <v>122120 - Law - Art History</v>
      </c>
      <c r="J5341" s="2">
        <f t="shared" si="2"/>
        <v>222.64</v>
      </c>
      <c r="K5341" s="17">
        <f t="shared" si="3"/>
        <v>1</v>
      </c>
      <c r="L5341" s="18"/>
    </row>
    <row r="5342" hidden="1">
      <c r="A5342" s="2">
        <f>IFERROR(__xludf.DUMMYFUNCTION("""COMPUTED_VALUE"""),122121.0)</f>
        <v>122121</v>
      </c>
      <c r="B5342" s="2">
        <f>IFERROR(__xludf.DUMMYFUNCTION("""COMPUTED_VALUE"""),0.0)</f>
        <v>0</v>
      </c>
      <c r="C5342" s="2">
        <f>IFERROR(__xludf.DUMMYFUNCTION("""COMPUTED_VALUE"""),11.0)</f>
        <v>11</v>
      </c>
      <c r="D5342" s="3">
        <f>IFERROR(__xludf.DUMMYFUNCTION("""COMPUTED_VALUE"""),1.0)</f>
        <v>1</v>
      </c>
      <c r="E5342" s="1" t="str">
        <f t="array" ref="E5342">_xlfn.XLOOKUP(A5342,Product!A:A,Product!B:B,"Bulunamadı")</f>
        <v>Law</v>
      </c>
      <c r="F5342" s="1" t="str">
        <f t="array" ref="F5342">_xlfn.XLOOKUP(A5342,Product!A:A,Product!C:C,"Bulunamadı")</f>
        <v>Art History</v>
      </c>
      <c r="G5342" s="2" t="str">
        <f t="array" ref="G5342">_xlfn.XLOOKUP(A5343,Product!A:A,Product!D:D,"Bulunamadı")</f>
        <v>Brightgate Publishing House</v>
      </c>
      <c r="H5342" s="2">
        <f t="array" ref="H5342">_xlfn.XLOOKUP(A5344,Product!A:A,Product!E:E,"Bulunamadı")</f>
        <v>1.14</v>
      </c>
      <c r="I5342" s="2" t="str">
        <f t="shared" si="1"/>
        <v>122121 - Law - Art History</v>
      </c>
      <c r="J5342" s="2">
        <f t="shared" si="2"/>
        <v>1.14</v>
      </c>
      <c r="K5342" s="17">
        <f t="shared" si="3"/>
        <v>1</v>
      </c>
      <c r="L5342" s="18"/>
    </row>
    <row r="5343" hidden="1">
      <c r="A5343" s="2">
        <f>IFERROR(__xludf.DUMMYFUNCTION("""COMPUTED_VALUE"""),90880.0)</f>
        <v>90880</v>
      </c>
      <c r="B5343" s="2">
        <f>IFERROR(__xludf.DUMMYFUNCTION("""COMPUTED_VALUE"""),0.0)</f>
        <v>0</v>
      </c>
      <c r="C5343" s="2">
        <f>IFERROR(__xludf.DUMMYFUNCTION("""COMPUTED_VALUE"""),339.0)</f>
        <v>339</v>
      </c>
      <c r="D5343" s="3">
        <f>IFERROR(__xludf.DUMMYFUNCTION("""COMPUTED_VALUE"""),239.0)</f>
        <v>239</v>
      </c>
      <c r="E5343" s="1" t="str">
        <f t="array" ref="E5343">_xlfn.XLOOKUP(A5343,Product!A:A,Product!B:B,"Bulunamadı")</f>
        <v>Law</v>
      </c>
      <c r="F5343" s="1" t="str">
        <f t="array" ref="F5343">_xlfn.XLOOKUP(A5343,Product!A:A,Product!C:C,"Bulunamadı")</f>
        <v>Art History</v>
      </c>
      <c r="G5343" s="2" t="str">
        <f t="array" ref="G5343">_xlfn.XLOOKUP(A5344,Product!A:A,Product!D:D,"Bulunamadı")</f>
        <v>Brightgate Publishing House</v>
      </c>
      <c r="H5343" s="2">
        <f t="array" ref="H5343">_xlfn.XLOOKUP(A5345,Product!A:A,Product!E:E,"Bulunamadı")</f>
        <v>1.36</v>
      </c>
      <c r="I5343" s="2" t="str">
        <f t="shared" si="1"/>
        <v>90880 - Law - Art History</v>
      </c>
      <c r="J5343" s="2">
        <f t="shared" si="2"/>
        <v>325.04</v>
      </c>
      <c r="K5343" s="17">
        <f t="shared" si="3"/>
        <v>1</v>
      </c>
      <c r="L5343" s="18"/>
    </row>
    <row r="5344" hidden="1">
      <c r="A5344" s="2">
        <f>IFERROR(__xludf.DUMMYFUNCTION("""COMPUTED_VALUE"""),122088.0)</f>
        <v>122088</v>
      </c>
      <c r="B5344" s="2">
        <f>IFERROR(__xludf.DUMMYFUNCTION("""COMPUTED_VALUE"""),0.0)</f>
        <v>0</v>
      </c>
      <c r="C5344" s="2">
        <f>IFERROR(__xludf.DUMMYFUNCTION("""COMPUTED_VALUE"""),76.0)</f>
        <v>76</v>
      </c>
      <c r="D5344" s="3">
        <f>IFERROR(__xludf.DUMMYFUNCTION("""COMPUTED_VALUE"""),60.0)</f>
        <v>60</v>
      </c>
      <c r="E5344" s="1" t="str">
        <f t="array" ref="E5344">_xlfn.XLOOKUP(A5344,Product!A:A,Product!B:B,"Bulunamadı")</f>
        <v>Law</v>
      </c>
      <c r="F5344" s="1" t="str">
        <f t="array" ref="F5344">_xlfn.XLOOKUP(A5344,Product!A:A,Product!C:C,"Bulunamadı")</f>
        <v>Art History</v>
      </c>
      <c r="G5344" s="2" t="str">
        <f t="array" ref="G5344">_xlfn.XLOOKUP(A5345,Product!A:A,Product!D:D,"Bulunamadı")</f>
        <v>Brightgate Publishing House</v>
      </c>
      <c r="H5344" s="2">
        <f t="array" ref="H5344">_xlfn.XLOOKUP(A5346,Product!A:A,Product!E:E,"Bulunamadı")</f>
        <v>2.03</v>
      </c>
      <c r="I5344" s="2" t="str">
        <f t="shared" si="1"/>
        <v>122088 - Law - Art History</v>
      </c>
      <c r="J5344" s="2">
        <f t="shared" si="2"/>
        <v>121.8</v>
      </c>
      <c r="K5344" s="17">
        <f t="shared" si="3"/>
        <v>1</v>
      </c>
      <c r="L5344" s="18"/>
    </row>
    <row r="5345" hidden="1">
      <c r="A5345" s="2">
        <f>IFERROR(__xludf.DUMMYFUNCTION("""COMPUTED_VALUE"""),90886.0)</f>
        <v>90886</v>
      </c>
      <c r="B5345" s="2">
        <f>IFERROR(__xludf.DUMMYFUNCTION("""COMPUTED_VALUE"""),1.0)</f>
        <v>1</v>
      </c>
      <c r="C5345" s="2">
        <f>IFERROR(__xludf.DUMMYFUNCTION("""COMPUTED_VALUE"""),750.0)</f>
        <v>750</v>
      </c>
      <c r="D5345" s="3">
        <f>IFERROR(__xludf.DUMMYFUNCTION("""COMPUTED_VALUE"""),286.0)</f>
        <v>286</v>
      </c>
      <c r="E5345" s="1" t="str">
        <f t="array" ref="E5345">_xlfn.XLOOKUP(A5345,Product!A:A,Product!B:B,"Bulunamadı")</f>
        <v>Law</v>
      </c>
      <c r="F5345" s="1" t="str">
        <f t="array" ref="F5345">_xlfn.XLOOKUP(A5345,Product!A:A,Product!C:C,"Bulunamadı")</f>
        <v>Art History</v>
      </c>
      <c r="G5345" s="2" t="str">
        <f t="array" ref="G5345">_xlfn.XLOOKUP(A5346,Product!A:A,Product!D:D,"Bulunamadı")</f>
        <v>Brightgate Publishing House</v>
      </c>
      <c r="H5345" s="2">
        <f t="array" ref="H5345">_xlfn.XLOOKUP(A5347,Product!A:A,Product!E:E,"Bulunamadı")</f>
        <v>1.84</v>
      </c>
      <c r="I5345" s="2" t="str">
        <f t="shared" si="1"/>
        <v>90886 - Law - Art History</v>
      </c>
      <c r="J5345" s="2">
        <f t="shared" si="2"/>
        <v>526.24</v>
      </c>
      <c r="K5345" s="17">
        <f t="shared" si="3"/>
        <v>1</v>
      </c>
      <c r="L5345" s="18"/>
    </row>
    <row r="5346" hidden="1">
      <c r="A5346" s="2">
        <f>IFERROR(__xludf.DUMMYFUNCTION("""COMPUTED_VALUE"""),90755.0)</f>
        <v>90755</v>
      </c>
      <c r="B5346" s="2">
        <f>IFERROR(__xludf.DUMMYFUNCTION("""COMPUTED_VALUE"""),1.0)</f>
        <v>1</v>
      </c>
      <c r="C5346" s="2">
        <f>IFERROR(__xludf.DUMMYFUNCTION("""COMPUTED_VALUE"""),683.0)</f>
        <v>683</v>
      </c>
      <c r="D5346" s="3">
        <f>IFERROR(__xludf.DUMMYFUNCTION("""COMPUTED_VALUE"""),657.0)</f>
        <v>657</v>
      </c>
      <c r="E5346" s="1" t="str">
        <f t="array" ref="E5346">_xlfn.XLOOKUP(A5346,Product!A:A,Product!B:B,"Bulunamadı")</f>
        <v>Law</v>
      </c>
      <c r="F5346" s="1" t="str">
        <f t="array" ref="F5346">_xlfn.XLOOKUP(A5346,Product!A:A,Product!C:C,"Bulunamadı")</f>
        <v>Art History</v>
      </c>
      <c r="G5346" s="2" t="str">
        <f t="array" ref="G5346">_xlfn.XLOOKUP(A5347,Product!A:A,Product!D:D,"Bulunamadı")</f>
        <v>Brightgate Publishing House</v>
      </c>
      <c r="H5346" s="2">
        <f t="array" ref="H5346">_xlfn.XLOOKUP(A5348,Product!A:A,Product!E:E,"Bulunamadı")</f>
        <v>1.96</v>
      </c>
      <c r="I5346" s="2" t="str">
        <f t="shared" si="1"/>
        <v>90755 - Law - Art History</v>
      </c>
      <c r="J5346" s="2">
        <f t="shared" si="2"/>
        <v>1287.72</v>
      </c>
      <c r="K5346" s="17">
        <f t="shared" si="3"/>
        <v>1</v>
      </c>
      <c r="L5346" s="18"/>
    </row>
    <row r="5347" hidden="1">
      <c r="A5347" s="2">
        <f>IFERROR(__xludf.DUMMYFUNCTION("""COMPUTED_VALUE"""),111045.0)</f>
        <v>111045</v>
      </c>
      <c r="B5347" s="2">
        <f>IFERROR(__xludf.DUMMYFUNCTION("""COMPUTED_VALUE"""),0.0)</f>
        <v>0</v>
      </c>
      <c r="C5347" s="2">
        <f>IFERROR(__xludf.DUMMYFUNCTION("""COMPUTED_VALUE"""),853.0)</f>
        <v>853</v>
      </c>
      <c r="D5347" s="3">
        <f>IFERROR(__xludf.DUMMYFUNCTION("""COMPUTED_VALUE"""),789.0)</f>
        <v>789</v>
      </c>
      <c r="E5347" s="1" t="str">
        <f t="array" ref="E5347">_xlfn.XLOOKUP(A5347,Product!A:A,Product!B:B,"Bulunamadı")</f>
        <v>Law</v>
      </c>
      <c r="F5347" s="1" t="str">
        <f t="array" ref="F5347">_xlfn.XLOOKUP(A5347,Product!A:A,Product!C:C,"Bulunamadı")</f>
        <v>Art History</v>
      </c>
      <c r="G5347" s="2" t="str">
        <f t="array" ref="G5347">_xlfn.XLOOKUP(A5348,Product!A:A,Product!D:D,"Bulunamadı")</f>
        <v>Brightgate Publishing House</v>
      </c>
      <c r="H5347" s="2">
        <f t="array" ref="H5347">_xlfn.XLOOKUP(A5349,Product!A:A,Product!E:E,"Bulunamadı")</f>
        <v>1.19</v>
      </c>
      <c r="I5347" s="2" t="str">
        <f t="shared" si="1"/>
        <v>111045 - Law - Art History</v>
      </c>
      <c r="J5347" s="2">
        <f t="shared" si="2"/>
        <v>938.91</v>
      </c>
      <c r="K5347" s="17">
        <f t="shared" si="3"/>
        <v>1</v>
      </c>
      <c r="L5347" s="18"/>
    </row>
    <row r="5348" hidden="1">
      <c r="A5348" s="2">
        <f>IFERROR(__xludf.DUMMYFUNCTION("""COMPUTED_VALUE"""),76582.0)</f>
        <v>76582</v>
      </c>
      <c r="B5348" s="2">
        <f>IFERROR(__xludf.DUMMYFUNCTION("""COMPUTED_VALUE"""),0.0)</f>
        <v>0</v>
      </c>
      <c r="C5348" s="2">
        <f>IFERROR(__xludf.DUMMYFUNCTION("""COMPUTED_VALUE"""),99.0)</f>
        <v>99</v>
      </c>
      <c r="D5348" s="3">
        <f>IFERROR(__xludf.DUMMYFUNCTION("""COMPUTED_VALUE"""),80.0)</f>
        <v>80</v>
      </c>
      <c r="E5348" s="1" t="str">
        <f t="array" ref="E5348">_xlfn.XLOOKUP(A5348,Product!A:A,Product!B:B,"Bulunamadı")</f>
        <v>Law</v>
      </c>
      <c r="F5348" s="1" t="str">
        <f t="array" ref="F5348">_xlfn.XLOOKUP(A5348,Product!A:A,Product!C:C,"Bulunamadı")</f>
        <v>Art History</v>
      </c>
      <c r="G5348" s="2" t="str">
        <f t="array" ref="G5348">_xlfn.XLOOKUP(A5349,Product!A:A,Product!D:D,"Bulunamadı")</f>
        <v>Brightgate Publishing House</v>
      </c>
      <c r="H5348" s="2">
        <f t="array" ref="H5348">_xlfn.XLOOKUP(A5350,Product!A:A,Product!E:E,"Bulunamadı")</f>
        <v>1.31</v>
      </c>
      <c r="I5348" s="2" t="str">
        <f t="shared" si="1"/>
        <v>76582 - Law - Art History</v>
      </c>
      <c r="J5348" s="2">
        <f t="shared" si="2"/>
        <v>104.8</v>
      </c>
      <c r="K5348" s="17">
        <f t="shared" si="3"/>
        <v>1</v>
      </c>
      <c r="L5348" s="18"/>
    </row>
    <row r="5349" hidden="1">
      <c r="A5349" s="2">
        <f>IFERROR(__xludf.DUMMYFUNCTION("""COMPUTED_VALUE"""),76570.0)</f>
        <v>76570</v>
      </c>
      <c r="B5349" s="2">
        <f>IFERROR(__xludf.DUMMYFUNCTION("""COMPUTED_VALUE"""),0.0)</f>
        <v>0</v>
      </c>
      <c r="C5349" s="2">
        <f>IFERROR(__xludf.DUMMYFUNCTION("""COMPUTED_VALUE"""),242.0)</f>
        <v>242</v>
      </c>
      <c r="D5349" s="3">
        <f>IFERROR(__xludf.DUMMYFUNCTION("""COMPUTED_VALUE"""),58.0)</f>
        <v>58</v>
      </c>
      <c r="E5349" s="1" t="str">
        <f t="array" ref="E5349">_xlfn.XLOOKUP(A5349,Product!A:A,Product!B:B,"Bulunamadı")</f>
        <v>Law</v>
      </c>
      <c r="F5349" s="1" t="str">
        <f t="array" ref="F5349">_xlfn.XLOOKUP(A5349,Product!A:A,Product!C:C,"Bulunamadı")</f>
        <v>Art History</v>
      </c>
      <c r="G5349" s="2" t="str">
        <f t="array" ref="G5349">_xlfn.XLOOKUP(A5350,Product!A:A,Product!D:D,"Bulunamadı")</f>
        <v>Brightgate Publishing House</v>
      </c>
      <c r="H5349" s="2">
        <f t="array" ref="H5349">_xlfn.XLOOKUP(A5351,Product!A:A,Product!E:E,"Bulunamadı")</f>
        <v>1.65</v>
      </c>
      <c r="I5349" s="2" t="str">
        <f t="shared" si="1"/>
        <v>76570 - Law - Art History</v>
      </c>
      <c r="J5349" s="2">
        <f t="shared" si="2"/>
        <v>95.7</v>
      </c>
      <c r="K5349" s="17">
        <f t="shared" si="3"/>
        <v>1</v>
      </c>
      <c r="L5349" s="18"/>
    </row>
    <row r="5350" hidden="1">
      <c r="A5350" s="2">
        <f>IFERROR(__xludf.DUMMYFUNCTION("""COMPUTED_VALUE"""),87099.0)</f>
        <v>87099</v>
      </c>
      <c r="B5350" s="2">
        <f>IFERROR(__xludf.DUMMYFUNCTION("""COMPUTED_VALUE"""),0.0)</f>
        <v>0</v>
      </c>
      <c r="C5350" s="2">
        <f>IFERROR(__xludf.DUMMYFUNCTION("""COMPUTED_VALUE"""),776.0)</f>
        <v>776</v>
      </c>
      <c r="D5350" s="3">
        <f>IFERROR(__xludf.DUMMYFUNCTION("""COMPUTED_VALUE"""),647.0)</f>
        <v>647</v>
      </c>
      <c r="E5350" s="1" t="str">
        <f t="array" ref="E5350">_xlfn.XLOOKUP(A5350,Product!A:A,Product!B:B,"Bulunamadı")</f>
        <v>Law</v>
      </c>
      <c r="F5350" s="1" t="str">
        <f t="array" ref="F5350">_xlfn.XLOOKUP(A5350,Product!A:A,Product!C:C,"Bulunamadı")</f>
        <v>Art History</v>
      </c>
      <c r="G5350" s="2" t="str">
        <f t="array" ref="G5350">_xlfn.XLOOKUP(A5351,Product!A:A,Product!D:D,"Bulunamadı")</f>
        <v>Brightgate Publishing House</v>
      </c>
      <c r="H5350" s="2">
        <f t="array" ref="H5350">_xlfn.XLOOKUP(A5352,Product!A:A,Product!E:E,"Bulunamadı")</f>
        <v>1.42</v>
      </c>
      <c r="I5350" s="2" t="str">
        <f t="shared" si="1"/>
        <v>87099 - Law - Art History</v>
      </c>
      <c r="J5350" s="2">
        <f t="shared" si="2"/>
        <v>918.74</v>
      </c>
      <c r="K5350" s="17">
        <f t="shared" si="3"/>
        <v>1</v>
      </c>
      <c r="L5350" s="18"/>
    </row>
    <row r="5351" hidden="1">
      <c r="A5351" s="2">
        <f>IFERROR(__xludf.DUMMYFUNCTION("""COMPUTED_VALUE"""),76569.0)</f>
        <v>76569</v>
      </c>
      <c r="B5351" s="2">
        <f>IFERROR(__xludf.DUMMYFUNCTION("""COMPUTED_VALUE"""),1.0)</f>
        <v>1</v>
      </c>
      <c r="C5351" s="2">
        <f>IFERROR(__xludf.DUMMYFUNCTION("""COMPUTED_VALUE"""),581.0)</f>
        <v>581</v>
      </c>
      <c r="D5351" s="3">
        <f>IFERROR(__xludf.DUMMYFUNCTION("""COMPUTED_VALUE"""),510.0)</f>
        <v>510</v>
      </c>
      <c r="E5351" s="1" t="str">
        <f t="array" ref="E5351">_xlfn.XLOOKUP(A5351,Product!A:A,Product!B:B,"Bulunamadı")</f>
        <v>Law</v>
      </c>
      <c r="F5351" s="1" t="str">
        <f t="array" ref="F5351">_xlfn.XLOOKUP(A5351,Product!A:A,Product!C:C,"Bulunamadı")</f>
        <v>Art History</v>
      </c>
      <c r="G5351" s="2" t="str">
        <f t="array" ref="G5351">_xlfn.XLOOKUP(A5352,Product!A:A,Product!D:D,"Bulunamadı")</f>
        <v>Brightgate Publishing House</v>
      </c>
      <c r="H5351" s="2">
        <f t="array" ref="H5351">_xlfn.XLOOKUP(A5353,Product!A:A,Product!E:E,"Bulunamadı")</f>
        <v>1.28</v>
      </c>
      <c r="I5351" s="2" t="str">
        <f t="shared" si="1"/>
        <v>76569 - Law - Art History</v>
      </c>
      <c r="J5351" s="2">
        <f t="shared" si="2"/>
        <v>652.8</v>
      </c>
      <c r="K5351" s="17">
        <f t="shared" si="3"/>
        <v>1</v>
      </c>
      <c r="L5351" s="18"/>
    </row>
    <row r="5352" hidden="1">
      <c r="A5352" s="2">
        <f>IFERROR(__xludf.DUMMYFUNCTION("""COMPUTED_VALUE"""),5586.0)</f>
        <v>5586</v>
      </c>
      <c r="B5352" s="2">
        <f>IFERROR(__xludf.DUMMYFUNCTION("""COMPUTED_VALUE"""),0.0)</f>
        <v>0</v>
      </c>
      <c r="C5352" s="2">
        <f>IFERROR(__xludf.DUMMYFUNCTION("""COMPUTED_VALUE"""),167.0)</f>
        <v>167</v>
      </c>
      <c r="D5352" s="3">
        <f>IFERROR(__xludf.DUMMYFUNCTION("""COMPUTED_VALUE"""),0.0)</f>
        <v>0</v>
      </c>
      <c r="E5352" s="1" t="str">
        <f t="array" ref="E5352">_xlfn.XLOOKUP(A5352,Product!A:A,Product!B:B,"Bulunamadı")</f>
        <v>Law</v>
      </c>
      <c r="F5352" s="1" t="str">
        <f t="array" ref="F5352">_xlfn.XLOOKUP(A5352,Product!A:A,Product!C:C,"Bulunamadı")</f>
        <v>Art History</v>
      </c>
      <c r="G5352" s="2" t="str">
        <f t="array" ref="G5352">_xlfn.XLOOKUP(A5353,Product!A:A,Product!D:D,"Bulunamadı")</f>
        <v>Brightgate Publishing House</v>
      </c>
      <c r="H5352" s="2">
        <f t="array" ref="H5352">_xlfn.XLOOKUP(A5354,Product!A:A,Product!E:E,"Bulunamadı")</f>
        <v>2.3</v>
      </c>
      <c r="I5352" s="2" t="str">
        <f t="shared" si="1"/>
        <v>5586 - Law - Art History</v>
      </c>
      <c r="J5352" s="2">
        <f t="shared" si="2"/>
        <v>0</v>
      </c>
      <c r="K5352" s="17">
        <f t="shared" si="3"/>
        <v>0</v>
      </c>
      <c r="L5352" s="18"/>
    </row>
    <row r="5353" hidden="1">
      <c r="A5353" s="2">
        <f>IFERROR(__xludf.DUMMYFUNCTION("""COMPUTED_VALUE"""),5600.0)</f>
        <v>5600</v>
      </c>
      <c r="B5353" s="2">
        <f>IFERROR(__xludf.DUMMYFUNCTION("""COMPUTED_VALUE"""),1.0)</f>
        <v>1</v>
      </c>
      <c r="C5353" s="2">
        <f>IFERROR(__xludf.DUMMYFUNCTION("""COMPUTED_VALUE"""),883.0)</f>
        <v>883</v>
      </c>
      <c r="D5353" s="3">
        <f>IFERROR(__xludf.DUMMYFUNCTION("""COMPUTED_VALUE"""),360.0)</f>
        <v>360</v>
      </c>
      <c r="E5353" s="1" t="str">
        <f t="array" ref="E5353">_xlfn.XLOOKUP(A5353,Product!A:A,Product!B:B,"Bulunamadı")</f>
        <v>Law</v>
      </c>
      <c r="F5353" s="1" t="str">
        <f t="array" ref="F5353">_xlfn.XLOOKUP(A5353,Product!A:A,Product!C:C,"Bulunamadı")</f>
        <v>Art History</v>
      </c>
      <c r="G5353" s="2" t="str">
        <f t="array" ref="G5353">_xlfn.XLOOKUP(A5354,Product!A:A,Product!D:D,"Bulunamadı")</f>
        <v>Brightgate Publishing House</v>
      </c>
      <c r="H5353" s="2">
        <f t="array" ref="H5353">_xlfn.XLOOKUP(A5355,Product!A:A,Product!E:E,"Bulunamadı")</f>
        <v>2.51</v>
      </c>
      <c r="I5353" s="2" t="str">
        <f t="shared" si="1"/>
        <v>5600 - Law - Art History</v>
      </c>
      <c r="J5353" s="2">
        <f t="shared" si="2"/>
        <v>903.6</v>
      </c>
      <c r="K5353" s="17">
        <f t="shared" si="3"/>
        <v>1</v>
      </c>
      <c r="L5353" s="18"/>
    </row>
    <row r="5354" hidden="1">
      <c r="A5354" s="2">
        <f>IFERROR(__xludf.DUMMYFUNCTION("""COMPUTED_VALUE"""),120390.0)</f>
        <v>120390</v>
      </c>
      <c r="B5354" s="2">
        <f>IFERROR(__xludf.DUMMYFUNCTION("""COMPUTED_VALUE"""),1.0)</f>
        <v>1</v>
      </c>
      <c r="C5354" s="2">
        <f>IFERROR(__xludf.DUMMYFUNCTION("""COMPUTED_VALUE"""),872.0)</f>
        <v>872</v>
      </c>
      <c r="D5354" s="3">
        <f>IFERROR(__xludf.DUMMYFUNCTION("""COMPUTED_VALUE"""),9.0)</f>
        <v>9</v>
      </c>
      <c r="E5354" s="1" t="str">
        <f t="array" ref="E5354">_xlfn.XLOOKUP(A5354,Product!A:A,Product!B:B,"Bulunamadı")</f>
        <v>Law</v>
      </c>
      <c r="F5354" s="1" t="str">
        <f t="array" ref="F5354">_xlfn.XLOOKUP(A5354,Product!A:A,Product!C:C,"Bulunamadı")</f>
        <v>Art History</v>
      </c>
      <c r="G5354" s="2" t="str">
        <f t="array" ref="G5354">_xlfn.XLOOKUP(A5355,Product!A:A,Product!D:D,"Bulunamadı")</f>
        <v>Brightgate Publishing House</v>
      </c>
      <c r="H5354" s="2">
        <f t="array" ref="H5354">_xlfn.XLOOKUP(A5356,Product!A:A,Product!E:E,"Bulunamadı")</f>
        <v>1.93</v>
      </c>
      <c r="I5354" s="2" t="str">
        <f t="shared" si="1"/>
        <v>120390 - Law - Art History</v>
      </c>
      <c r="J5354" s="2">
        <f t="shared" si="2"/>
        <v>17.37</v>
      </c>
      <c r="K5354" s="17">
        <f t="shared" si="3"/>
        <v>1</v>
      </c>
      <c r="L5354" s="18"/>
    </row>
    <row r="5355" hidden="1">
      <c r="A5355" s="2">
        <f>IFERROR(__xludf.DUMMYFUNCTION("""COMPUTED_VALUE"""),76389.0)</f>
        <v>76389</v>
      </c>
      <c r="B5355" s="2">
        <f>IFERROR(__xludf.DUMMYFUNCTION("""COMPUTED_VALUE"""),0.0)</f>
        <v>0</v>
      </c>
      <c r="C5355" s="2">
        <f>IFERROR(__xludf.DUMMYFUNCTION("""COMPUTED_VALUE"""),819.0)</f>
        <v>819</v>
      </c>
      <c r="D5355" s="3">
        <f>IFERROR(__xludf.DUMMYFUNCTION("""COMPUTED_VALUE"""),613.0)</f>
        <v>613</v>
      </c>
      <c r="E5355" s="1" t="str">
        <f t="array" ref="E5355">_xlfn.XLOOKUP(A5355,Product!A:A,Product!B:B,"Bulunamadı")</f>
        <v>Law</v>
      </c>
      <c r="F5355" s="1" t="str">
        <f t="array" ref="F5355">_xlfn.XLOOKUP(A5355,Product!A:A,Product!C:C,"Bulunamadı")</f>
        <v>Art History</v>
      </c>
      <c r="G5355" s="2" t="str">
        <f t="array" ref="G5355">_xlfn.XLOOKUP(A5356,Product!A:A,Product!D:D,"Bulunamadı")</f>
        <v>Brightgate Publishing House</v>
      </c>
      <c r="H5355" s="2">
        <f t="array" ref="H5355">_xlfn.XLOOKUP(A5357,Product!A:A,Product!E:E,"Bulunamadı")</f>
        <v>2.26</v>
      </c>
      <c r="I5355" s="2" t="str">
        <f t="shared" si="1"/>
        <v>76389 - Law - Art History</v>
      </c>
      <c r="J5355" s="2">
        <f t="shared" si="2"/>
        <v>1385.38</v>
      </c>
      <c r="K5355" s="17">
        <f t="shared" si="3"/>
        <v>1</v>
      </c>
      <c r="L5355" s="18"/>
    </row>
    <row r="5356" hidden="1">
      <c r="A5356" s="2">
        <f>IFERROR(__xludf.DUMMYFUNCTION("""COMPUTED_VALUE"""),5601.0)</f>
        <v>5601</v>
      </c>
      <c r="B5356" s="2">
        <f>IFERROR(__xludf.DUMMYFUNCTION("""COMPUTED_VALUE"""),1.0)</f>
        <v>1</v>
      </c>
      <c r="C5356" s="2">
        <f>IFERROR(__xludf.DUMMYFUNCTION("""COMPUTED_VALUE"""),154.0)</f>
        <v>154</v>
      </c>
      <c r="D5356" s="3">
        <f>IFERROR(__xludf.DUMMYFUNCTION("""COMPUTED_VALUE"""),52.0)</f>
        <v>52</v>
      </c>
      <c r="E5356" s="1" t="str">
        <f t="array" ref="E5356">_xlfn.XLOOKUP(A5356,Product!A:A,Product!B:B,"Bulunamadı")</f>
        <v>Law</v>
      </c>
      <c r="F5356" s="1" t="str">
        <f t="array" ref="F5356">_xlfn.XLOOKUP(A5356,Product!A:A,Product!C:C,"Bulunamadı")</f>
        <v>Art History</v>
      </c>
      <c r="G5356" s="2" t="str">
        <f t="array" ref="G5356">_xlfn.XLOOKUP(A5357,Product!A:A,Product!D:D,"Bulunamadı")</f>
        <v>Brightgate Publishing House</v>
      </c>
      <c r="H5356" s="2">
        <f t="array" ref="H5356">_xlfn.XLOOKUP(A5358,Product!A:A,Product!E:E,"Bulunamadı")</f>
        <v>3.25</v>
      </c>
      <c r="I5356" s="2" t="str">
        <f t="shared" si="1"/>
        <v>5601 - Law - Art History</v>
      </c>
      <c r="J5356" s="2">
        <f t="shared" si="2"/>
        <v>169</v>
      </c>
      <c r="K5356" s="17">
        <f t="shared" si="3"/>
        <v>1</v>
      </c>
      <c r="L5356" s="18"/>
    </row>
    <row r="5357" hidden="1">
      <c r="A5357" s="2">
        <f>IFERROR(__xludf.DUMMYFUNCTION("""COMPUTED_VALUE"""),202579.0)</f>
        <v>202579</v>
      </c>
      <c r="B5357" s="2">
        <f>IFERROR(__xludf.DUMMYFUNCTION("""COMPUTED_VALUE"""),0.0)</f>
        <v>0</v>
      </c>
      <c r="C5357" s="2">
        <f>IFERROR(__xludf.DUMMYFUNCTION("""COMPUTED_VALUE"""),452.0)</f>
        <v>452</v>
      </c>
      <c r="D5357" s="3">
        <f>IFERROR(__xludf.DUMMYFUNCTION("""COMPUTED_VALUE"""),100.0)</f>
        <v>100</v>
      </c>
      <c r="E5357" s="1" t="str">
        <f t="array" ref="E5357">_xlfn.XLOOKUP(A5357,Product!A:A,Product!B:B,"Bulunamadı")</f>
        <v>Law</v>
      </c>
      <c r="F5357" s="1" t="str">
        <f t="array" ref="F5357">_xlfn.XLOOKUP(A5357,Product!A:A,Product!C:C,"Bulunamadı")</f>
        <v>Art History</v>
      </c>
      <c r="G5357" s="2" t="str">
        <f t="array" ref="G5357">_xlfn.XLOOKUP(A5358,Product!A:A,Product!D:D,"Bulunamadı")</f>
        <v>Brightgate Publishing House</v>
      </c>
      <c r="H5357" s="2">
        <f t="array" ref="H5357">_xlfn.XLOOKUP(A5359,Product!A:A,Product!E:E,"Bulunamadı")</f>
        <v>6.06</v>
      </c>
      <c r="I5357" s="2" t="str">
        <f t="shared" si="1"/>
        <v>202579 - Law - Art History</v>
      </c>
      <c r="J5357" s="2">
        <f t="shared" si="2"/>
        <v>606</v>
      </c>
      <c r="K5357" s="17">
        <f t="shared" si="3"/>
        <v>1</v>
      </c>
      <c r="L5357" s="18"/>
    </row>
    <row r="5358" hidden="1">
      <c r="A5358" s="2">
        <f>IFERROR(__xludf.DUMMYFUNCTION("""COMPUTED_VALUE"""),5584.0)</f>
        <v>5584</v>
      </c>
      <c r="B5358" s="2">
        <f>IFERROR(__xludf.DUMMYFUNCTION("""COMPUTED_VALUE"""),1.0)</f>
        <v>1</v>
      </c>
      <c r="C5358" s="2">
        <f>IFERROR(__xludf.DUMMYFUNCTION("""COMPUTED_VALUE"""),626.0)</f>
        <v>626</v>
      </c>
      <c r="D5358" s="3">
        <f>IFERROR(__xludf.DUMMYFUNCTION("""COMPUTED_VALUE"""),259.0)</f>
        <v>259</v>
      </c>
      <c r="E5358" s="1" t="str">
        <f t="array" ref="E5358">_xlfn.XLOOKUP(A5358,Product!A:A,Product!B:B,"Bulunamadı")</f>
        <v>Law</v>
      </c>
      <c r="F5358" s="1" t="str">
        <f t="array" ref="F5358">_xlfn.XLOOKUP(A5358,Product!A:A,Product!C:C,"Bulunamadı")</f>
        <v>Art History</v>
      </c>
      <c r="G5358" s="2" t="str">
        <f t="array" ref="G5358">_xlfn.XLOOKUP(A5359,Product!A:A,Product!D:D,"Bulunamadı")</f>
        <v>Brightgate Publishing House</v>
      </c>
      <c r="H5358" s="2">
        <f t="array" ref="H5358">_xlfn.XLOOKUP(A5360,Product!A:A,Product!E:E,"Bulunamadı")</f>
        <v>1.22</v>
      </c>
      <c r="I5358" s="2" t="str">
        <f t="shared" si="1"/>
        <v>5584 - Law - Art History</v>
      </c>
      <c r="J5358" s="2">
        <f t="shared" si="2"/>
        <v>315.98</v>
      </c>
      <c r="K5358" s="17">
        <f t="shared" si="3"/>
        <v>1</v>
      </c>
      <c r="L5358" s="18"/>
    </row>
    <row r="5359" hidden="1">
      <c r="A5359" s="2">
        <f>IFERROR(__xludf.DUMMYFUNCTION("""COMPUTED_VALUE"""),90888.0)</f>
        <v>90888</v>
      </c>
      <c r="B5359" s="2">
        <f>IFERROR(__xludf.DUMMYFUNCTION("""COMPUTED_VALUE"""),1.0)</f>
        <v>1</v>
      </c>
      <c r="C5359" s="2">
        <f>IFERROR(__xludf.DUMMYFUNCTION("""COMPUTED_VALUE"""),989.0)</f>
        <v>989</v>
      </c>
      <c r="D5359" s="3">
        <f>IFERROR(__xludf.DUMMYFUNCTION("""COMPUTED_VALUE"""),482.0)</f>
        <v>482</v>
      </c>
      <c r="E5359" s="1" t="str">
        <f t="array" ref="E5359">_xlfn.XLOOKUP(A5359,Product!A:A,Product!B:B,"Bulunamadı")</f>
        <v>Law</v>
      </c>
      <c r="F5359" s="1" t="str">
        <f t="array" ref="F5359">_xlfn.XLOOKUP(A5359,Product!A:A,Product!C:C,"Bulunamadı")</f>
        <v>Art History</v>
      </c>
      <c r="G5359" s="2" t="str">
        <f t="array" ref="G5359">_xlfn.XLOOKUP(A5360,Product!A:A,Product!D:D,"Bulunamadı")</f>
        <v>Brightgate Publishing House</v>
      </c>
      <c r="H5359" s="2">
        <f t="array" ref="H5359">_xlfn.XLOOKUP(A5361,Product!A:A,Product!E:E,"Bulunamadı")</f>
        <v>2.37</v>
      </c>
      <c r="I5359" s="2" t="str">
        <f t="shared" si="1"/>
        <v>90888 - Law - Art History</v>
      </c>
      <c r="J5359" s="2">
        <f t="shared" si="2"/>
        <v>1142.34</v>
      </c>
      <c r="K5359" s="17">
        <f t="shared" si="3"/>
        <v>1</v>
      </c>
      <c r="L5359" s="18"/>
    </row>
    <row r="5360" hidden="1">
      <c r="A5360" s="2">
        <f>IFERROR(__xludf.DUMMYFUNCTION("""COMPUTED_VALUE"""),76584.0)</f>
        <v>76584</v>
      </c>
      <c r="B5360" s="2">
        <f>IFERROR(__xludf.DUMMYFUNCTION("""COMPUTED_VALUE"""),0.0)</f>
        <v>0</v>
      </c>
      <c r="C5360" s="2">
        <f>IFERROR(__xludf.DUMMYFUNCTION("""COMPUTED_VALUE"""),833.0)</f>
        <v>833</v>
      </c>
      <c r="D5360" s="3">
        <f>IFERROR(__xludf.DUMMYFUNCTION("""COMPUTED_VALUE"""),551.0)</f>
        <v>551</v>
      </c>
      <c r="E5360" s="1" t="str">
        <f t="array" ref="E5360">_xlfn.XLOOKUP(A5360,Product!A:A,Product!B:B,"Bulunamadı")</f>
        <v>Law</v>
      </c>
      <c r="F5360" s="1" t="str">
        <f t="array" ref="F5360">_xlfn.XLOOKUP(A5360,Product!A:A,Product!C:C,"Bulunamadı")</f>
        <v>Art History</v>
      </c>
      <c r="G5360" s="2" t="str">
        <f t="array" ref="G5360">_xlfn.XLOOKUP(A5361,Product!A:A,Product!D:D,"Bulunamadı")</f>
        <v>Brightgate Publishing House</v>
      </c>
      <c r="H5360" s="2">
        <f t="array" ref="H5360">_xlfn.XLOOKUP(A5362,Product!A:A,Product!E:E,"Bulunamadı")</f>
        <v>1.1</v>
      </c>
      <c r="I5360" s="2" t="str">
        <f t="shared" si="1"/>
        <v>76584 - Law - Art History</v>
      </c>
      <c r="J5360" s="2">
        <f t="shared" si="2"/>
        <v>606.1</v>
      </c>
      <c r="K5360" s="17">
        <f t="shared" si="3"/>
        <v>1</v>
      </c>
      <c r="L5360" s="18"/>
    </row>
    <row r="5361" hidden="1">
      <c r="A5361" s="2">
        <f>IFERROR(__xludf.DUMMYFUNCTION("""COMPUTED_VALUE"""),87171.0)</f>
        <v>87171</v>
      </c>
      <c r="B5361" s="2">
        <f>IFERROR(__xludf.DUMMYFUNCTION("""COMPUTED_VALUE"""),1.0)</f>
        <v>1</v>
      </c>
      <c r="C5361" s="2">
        <f>IFERROR(__xludf.DUMMYFUNCTION("""COMPUTED_VALUE"""),901.0)</f>
        <v>901</v>
      </c>
      <c r="D5361" s="3">
        <f>IFERROR(__xludf.DUMMYFUNCTION("""COMPUTED_VALUE"""),511.0)</f>
        <v>511</v>
      </c>
      <c r="E5361" s="1" t="str">
        <f t="array" ref="E5361">_xlfn.XLOOKUP(A5361,Product!A:A,Product!B:B,"Bulunamadı")</f>
        <v>Law</v>
      </c>
      <c r="F5361" s="1" t="str">
        <f t="array" ref="F5361">_xlfn.XLOOKUP(A5361,Product!A:A,Product!C:C,"Bulunamadı")</f>
        <v>Art History</v>
      </c>
      <c r="G5361" s="2" t="str">
        <f t="array" ref="G5361">_xlfn.XLOOKUP(A5362,Product!A:A,Product!D:D,"Bulunamadı")</f>
        <v>Brightgate Publishing House</v>
      </c>
      <c r="H5361" s="2">
        <f t="array" ref="H5361">_xlfn.XLOOKUP(A5363,Product!A:A,Product!E:E,"Bulunamadı")</f>
        <v>3.27</v>
      </c>
      <c r="I5361" s="2" t="str">
        <f t="shared" si="1"/>
        <v>87171 - Law - Art History</v>
      </c>
      <c r="J5361" s="2">
        <f t="shared" si="2"/>
        <v>1670.97</v>
      </c>
      <c r="K5361" s="17">
        <f t="shared" si="3"/>
        <v>1</v>
      </c>
      <c r="L5361" s="18"/>
    </row>
    <row r="5362" hidden="1">
      <c r="A5362" s="2">
        <f>IFERROR(__xludf.DUMMYFUNCTION("""COMPUTED_VALUE"""),110569.0)</f>
        <v>110569</v>
      </c>
      <c r="B5362" s="2">
        <f>IFERROR(__xludf.DUMMYFUNCTION("""COMPUTED_VALUE"""),1.0)</f>
        <v>1</v>
      </c>
      <c r="C5362" s="2">
        <f>IFERROR(__xludf.DUMMYFUNCTION("""COMPUTED_VALUE"""),114.0)</f>
        <v>114</v>
      </c>
      <c r="D5362" s="3">
        <f>IFERROR(__xludf.DUMMYFUNCTION("""COMPUTED_VALUE"""),29.0)</f>
        <v>29</v>
      </c>
      <c r="E5362" s="1" t="str">
        <f t="array" ref="E5362">_xlfn.XLOOKUP(A5362,Product!A:A,Product!B:B,"Bulunamadı")</f>
        <v>Law</v>
      </c>
      <c r="F5362" s="1" t="str">
        <f t="array" ref="F5362">_xlfn.XLOOKUP(A5362,Product!A:A,Product!C:C,"Bulunamadı")</f>
        <v>Art History</v>
      </c>
      <c r="G5362" s="2" t="str">
        <f t="array" ref="G5362">_xlfn.XLOOKUP(A5363,Product!A:A,Product!D:D,"Bulunamadı")</f>
        <v>Brightgate Publishing House</v>
      </c>
      <c r="H5362" s="2">
        <f t="array" ref="H5362">_xlfn.XLOOKUP(A5364,Product!A:A,Product!E:E,"Bulunamadı")</f>
        <v>1.08</v>
      </c>
      <c r="I5362" s="2" t="str">
        <f t="shared" si="1"/>
        <v>110569 - Law - Art History</v>
      </c>
      <c r="J5362" s="2">
        <f t="shared" si="2"/>
        <v>31.32</v>
      </c>
      <c r="K5362" s="17">
        <f t="shared" si="3"/>
        <v>1</v>
      </c>
      <c r="L5362" s="18"/>
    </row>
    <row r="5363" hidden="1">
      <c r="A5363" s="2">
        <f>IFERROR(__xludf.DUMMYFUNCTION("""COMPUTED_VALUE"""),5588.0)</f>
        <v>5588</v>
      </c>
      <c r="B5363" s="2">
        <f>IFERROR(__xludf.DUMMYFUNCTION("""COMPUTED_VALUE"""),0.0)</f>
        <v>0</v>
      </c>
      <c r="C5363" s="2">
        <f>IFERROR(__xludf.DUMMYFUNCTION("""COMPUTED_VALUE"""),706.0)</f>
        <v>706</v>
      </c>
      <c r="D5363" s="3">
        <f>IFERROR(__xludf.DUMMYFUNCTION("""COMPUTED_VALUE"""),199.0)</f>
        <v>199</v>
      </c>
      <c r="E5363" s="1" t="str">
        <f t="array" ref="E5363">_xlfn.XLOOKUP(A5363,Product!A:A,Product!B:B,"Bulunamadı")</f>
        <v>Law</v>
      </c>
      <c r="F5363" s="1" t="str">
        <f t="array" ref="F5363">_xlfn.XLOOKUP(A5363,Product!A:A,Product!C:C,"Bulunamadı")</f>
        <v>Art History</v>
      </c>
      <c r="G5363" s="2" t="str">
        <f t="array" ref="G5363">_xlfn.XLOOKUP(A5364,Product!A:A,Product!D:D,"Bulunamadı")</f>
        <v>Brightgate Publishing House</v>
      </c>
      <c r="H5363" s="2">
        <f t="array" ref="H5363">_xlfn.XLOOKUP(A5365,Product!A:A,Product!E:E,"Bulunamadı")</f>
        <v>1.85</v>
      </c>
      <c r="I5363" s="2" t="str">
        <f t="shared" si="1"/>
        <v>5588 - Law - Art History</v>
      </c>
      <c r="J5363" s="2">
        <f t="shared" si="2"/>
        <v>368.15</v>
      </c>
      <c r="K5363" s="17">
        <f t="shared" si="3"/>
        <v>1</v>
      </c>
      <c r="L5363" s="18"/>
    </row>
    <row r="5364" hidden="1">
      <c r="A5364" s="2">
        <f>IFERROR(__xludf.DUMMYFUNCTION("""COMPUTED_VALUE"""),117165.0)</f>
        <v>117165</v>
      </c>
      <c r="B5364" s="2">
        <f>IFERROR(__xludf.DUMMYFUNCTION("""COMPUTED_VALUE"""),1.0)</f>
        <v>1</v>
      </c>
      <c r="C5364" s="2">
        <f>IFERROR(__xludf.DUMMYFUNCTION("""COMPUTED_VALUE"""),975.0)</f>
        <v>975</v>
      </c>
      <c r="D5364" s="3">
        <f>IFERROR(__xludf.DUMMYFUNCTION("""COMPUTED_VALUE"""),832.0)</f>
        <v>832</v>
      </c>
      <c r="E5364" s="1" t="str">
        <f t="array" ref="E5364">_xlfn.XLOOKUP(A5364,Product!A:A,Product!B:B,"Bulunamadı")</f>
        <v>Law</v>
      </c>
      <c r="F5364" s="1" t="str">
        <f t="array" ref="F5364">_xlfn.XLOOKUP(A5364,Product!A:A,Product!C:C,"Bulunamadı")</f>
        <v>Art History</v>
      </c>
      <c r="G5364" s="2" t="str">
        <f t="array" ref="G5364">_xlfn.XLOOKUP(A5365,Product!A:A,Product!D:D,"Bulunamadı")</f>
        <v>Brightgate Publishing House</v>
      </c>
      <c r="H5364" s="2">
        <f t="array" ref="H5364">_xlfn.XLOOKUP(A5366,Product!A:A,Product!E:E,"Bulunamadı")</f>
        <v>2.38</v>
      </c>
      <c r="I5364" s="2" t="str">
        <f t="shared" si="1"/>
        <v>117165 - Law - Art History</v>
      </c>
      <c r="J5364" s="2">
        <f t="shared" si="2"/>
        <v>1980.16</v>
      </c>
      <c r="K5364" s="17">
        <f t="shared" si="3"/>
        <v>1</v>
      </c>
      <c r="L5364" s="18"/>
    </row>
    <row r="5365" hidden="1">
      <c r="A5365" s="2">
        <f>IFERROR(__xludf.DUMMYFUNCTION("""COMPUTED_VALUE"""),5587.0)</f>
        <v>5587</v>
      </c>
      <c r="B5365" s="2">
        <f>IFERROR(__xludf.DUMMYFUNCTION("""COMPUTED_VALUE"""),1.0)</f>
        <v>1</v>
      </c>
      <c r="C5365" s="2">
        <f>IFERROR(__xludf.DUMMYFUNCTION("""COMPUTED_VALUE"""),608.0)</f>
        <v>608</v>
      </c>
      <c r="D5365" s="3">
        <f>IFERROR(__xludf.DUMMYFUNCTION("""COMPUTED_VALUE"""),257.0)</f>
        <v>257</v>
      </c>
      <c r="E5365" s="1" t="str">
        <f t="array" ref="E5365">_xlfn.XLOOKUP(A5365,Product!A:A,Product!B:B,"Bulunamadı")</f>
        <v>Law</v>
      </c>
      <c r="F5365" s="1" t="str">
        <f t="array" ref="F5365">_xlfn.XLOOKUP(A5365,Product!A:A,Product!C:C,"Bulunamadı")</f>
        <v>Art History</v>
      </c>
      <c r="G5365" s="2" t="str">
        <f t="array" ref="G5365">_xlfn.XLOOKUP(A5366,Product!A:A,Product!D:D,"Bulunamadı")</f>
        <v>Brightgate Publishing House</v>
      </c>
      <c r="H5365" s="2">
        <f t="array" ref="H5365">_xlfn.XLOOKUP(A5367,Product!A:A,Product!E:E,"Bulunamadı")</f>
        <v>2.55</v>
      </c>
      <c r="I5365" s="2" t="str">
        <f t="shared" si="1"/>
        <v>5587 - Law - Art History</v>
      </c>
      <c r="J5365" s="2">
        <f t="shared" si="2"/>
        <v>655.35</v>
      </c>
      <c r="K5365" s="17">
        <f t="shared" si="3"/>
        <v>1</v>
      </c>
      <c r="L5365" s="18"/>
    </row>
    <row r="5366" hidden="1">
      <c r="A5366" s="2">
        <f>IFERROR(__xludf.DUMMYFUNCTION("""COMPUTED_VALUE"""),68359.0)</f>
        <v>68359</v>
      </c>
      <c r="B5366" s="2">
        <f>IFERROR(__xludf.DUMMYFUNCTION("""COMPUTED_VALUE"""),0.0)</f>
        <v>0</v>
      </c>
      <c r="C5366" s="2">
        <f>IFERROR(__xludf.DUMMYFUNCTION("""COMPUTED_VALUE"""),203.0)</f>
        <v>203</v>
      </c>
      <c r="D5366" s="3">
        <f>IFERROR(__xludf.DUMMYFUNCTION("""COMPUTED_VALUE"""),72.0)</f>
        <v>72</v>
      </c>
      <c r="E5366" s="1" t="str">
        <f t="array" ref="E5366">_xlfn.XLOOKUP(A5366,Product!A:A,Product!B:B,"Bulunamadı")</f>
        <v>Law</v>
      </c>
      <c r="F5366" s="1" t="str">
        <f t="array" ref="F5366">_xlfn.XLOOKUP(A5366,Product!A:A,Product!C:C,"Bulunamadı")</f>
        <v>Art History</v>
      </c>
      <c r="G5366" s="2" t="str">
        <f t="array" ref="G5366">_xlfn.XLOOKUP(A5367,Product!A:A,Product!D:D,"Bulunamadı")</f>
        <v>Brightgate Publishing House</v>
      </c>
      <c r="H5366" s="2">
        <f t="array" ref="H5366">_xlfn.XLOOKUP(A5368,Product!A:A,Product!E:E,"Bulunamadı")</f>
        <v>1.73</v>
      </c>
      <c r="I5366" s="2" t="str">
        <f t="shared" si="1"/>
        <v>68359 - Law - Art History</v>
      </c>
      <c r="J5366" s="2">
        <f t="shared" si="2"/>
        <v>124.56</v>
      </c>
      <c r="K5366" s="17">
        <f t="shared" si="3"/>
        <v>1</v>
      </c>
      <c r="L5366" s="18"/>
    </row>
    <row r="5367" hidden="1">
      <c r="A5367" s="2">
        <f>IFERROR(__xludf.DUMMYFUNCTION("""COMPUTED_VALUE"""),5590.0)</f>
        <v>5590</v>
      </c>
      <c r="B5367" s="2">
        <f>IFERROR(__xludf.DUMMYFUNCTION("""COMPUTED_VALUE"""),1.0)</f>
        <v>1</v>
      </c>
      <c r="C5367" s="2">
        <f>IFERROR(__xludf.DUMMYFUNCTION("""COMPUTED_VALUE"""),46.0)</f>
        <v>46</v>
      </c>
      <c r="D5367" s="3">
        <f>IFERROR(__xludf.DUMMYFUNCTION("""COMPUTED_VALUE"""),3.0)</f>
        <v>3</v>
      </c>
      <c r="E5367" s="1" t="str">
        <f t="array" ref="E5367">_xlfn.XLOOKUP(A5367,Product!A:A,Product!B:B,"Bulunamadı")</f>
        <v>Law</v>
      </c>
      <c r="F5367" s="1" t="str">
        <f t="array" ref="F5367">_xlfn.XLOOKUP(A5367,Product!A:A,Product!C:C,"Bulunamadı")</f>
        <v>Art History</v>
      </c>
      <c r="G5367" s="2" t="str">
        <f t="array" ref="G5367">_xlfn.XLOOKUP(A5368,Product!A:A,Product!D:D,"Bulunamadı")</f>
        <v>Brightgate Publishing House</v>
      </c>
      <c r="H5367" s="2">
        <f t="array" ref="H5367">_xlfn.XLOOKUP(A5369,Product!A:A,Product!E:E,"Bulunamadı")</f>
        <v>1.79</v>
      </c>
      <c r="I5367" s="2" t="str">
        <f t="shared" si="1"/>
        <v>5590 - Law - Art History</v>
      </c>
      <c r="J5367" s="2">
        <f t="shared" si="2"/>
        <v>5.37</v>
      </c>
      <c r="K5367" s="17">
        <f t="shared" si="3"/>
        <v>1</v>
      </c>
      <c r="L5367" s="18"/>
    </row>
    <row r="5368" hidden="1">
      <c r="A5368" s="2">
        <f>IFERROR(__xludf.DUMMYFUNCTION("""COMPUTED_VALUE"""),76475.0)</f>
        <v>76475</v>
      </c>
      <c r="B5368" s="2">
        <f>IFERROR(__xludf.DUMMYFUNCTION("""COMPUTED_VALUE"""),0.0)</f>
        <v>0</v>
      </c>
      <c r="C5368" s="2">
        <f>IFERROR(__xludf.DUMMYFUNCTION("""COMPUTED_VALUE"""),14.0)</f>
        <v>14</v>
      </c>
      <c r="D5368" s="3">
        <f>IFERROR(__xludf.DUMMYFUNCTION("""COMPUTED_VALUE"""),7.0)</f>
        <v>7</v>
      </c>
      <c r="E5368" s="1" t="str">
        <f t="array" ref="E5368">_xlfn.XLOOKUP(A5368,Product!A:A,Product!B:B,"Bulunamadı")</f>
        <v>Law</v>
      </c>
      <c r="F5368" s="1" t="str">
        <f t="array" ref="F5368">_xlfn.XLOOKUP(A5368,Product!A:A,Product!C:C,"Bulunamadı")</f>
        <v>Art History</v>
      </c>
      <c r="G5368" s="2" t="str">
        <f t="array" ref="G5368">_xlfn.XLOOKUP(A5369,Product!A:A,Product!D:D,"Bulunamadı")</f>
        <v>Brightgate Publishing House</v>
      </c>
      <c r="H5368" s="2">
        <f t="array" ref="H5368">_xlfn.XLOOKUP(A5370,Product!A:A,Product!E:E,"Bulunamadı")</f>
        <v>2.82</v>
      </c>
      <c r="I5368" s="2" t="str">
        <f t="shared" si="1"/>
        <v>76475 - Law - Art History</v>
      </c>
      <c r="J5368" s="2">
        <f t="shared" si="2"/>
        <v>19.74</v>
      </c>
      <c r="K5368" s="17">
        <f t="shared" si="3"/>
        <v>1</v>
      </c>
      <c r="L5368" s="18"/>
    </row>
    <row r="5369" hidden="1">
      <c r="A5369" s="2">
        <f>IFERROR(__xludf.DUMMYFUNCTION("""COMPUTED_VALUE"""),147309.0)</f>
        <v>147309</v>
      </c>
      <c r="B5369" s="2">
        <f>IFERROR(__xludf.DUMMYFUNCTION("""COMPUTED_VALUE"""),0.0)</f>
        <v>0</v>
      </c>
      <c r="C5369" s="2">
        <f>IFERROR(__xludf.DUMMYFUNCTION("""COMPUTED_VALUE"""),784.0)</f>
        <v>784</v>
      </c>
      <c r="D5369" s="3">
        <f>IFERROR(__xludf.DUMMYFUNCTION("""COMPUTED_VALUE"""),583.0)</f>
        <v>583</v>
      </c>
      <c r="E5369" s="1" t="str">
        <f t="array" ref="E5369">_xlfn.XLOOKUP(A5369,Product!A:A,Product!B:B,"Bulunamadı")</f>
        <v>Law</v>
      </c>
      <c r="F5369" s="1" t="str">
        <f t="array" ref="F5369">_xlfn.XLOOKUP(A5369,Product!A:A,Product!C:C,"Bulunamadı")</f>
        <v>Art History</v>
      </c>
      <c r="G5369" s="2" t="str">
        <f t="array" ref="G5369">_xlfn.XLOOKUP(A5370,Product!A:A,Product!D:D,"Bulunamadı")</f>
        <v>Brightgate Publishing House</v>
      </c>
      <c r="H5369" s="2">
        <f t="array" ref="H5369">_xlfn.XLOOKUP(A5371,Product!A:A,Product!E:E,"Bulunamadı")</f>
        <v>1.97</v>
      </c>
      <c r="I5369" s="2" t="str">
        <f t="shared" si="1"/>
        <v>147309 - Law - Art History</v>
      </c>
      <c r="J5369" s="2">
        <f t="shared" si="2"/>
        <v>1148.51</v>
      </c>
      <c r="K5369" s="17">
        <f t="shared" si="3"/>
        <v>1</v>
      </c>
      <c r="L5369" s="18"/>
    </row>
    <row r="5370" hidden="1">
      <c r="A5370" s="2">
        <f>IFERROR(__xludf.DUMMYFUNCTION("""COMPUTED_VALUE"""),120533.0)</f>
        <v>120533</v>
      </c>
      <c r="B5370" s="2">
        <f>IFERROR(__xludf.DUMMYFUNCTION("""COMPUTED_VALUE"""),0.0)</f>
        <v>0</v>
      </c>
      <c r="C5370" s="2">
        <f>IFERROR(__xludf.DUMMYFUNCTION("""COMPUTED_VALUE"""),96.0)</f>
        <v>96</v>
      </c>
      <c r="D5370" s="3">
        <f>IFERROR(__xludf.DUMMYFUNCTION("""COMPUTED_VALUE"""),42.0)</f>
        <v>42</v>
      </c>
      <c r="E5370" s="1" t="str">
        <f t="array" ref="E5370">_xlfn.XLOOKUP(A5370,Product!A:A,Product!B:B,"Bulunamadı")</f>
        <v>Law</v>
      </c>
      <c r="F5370" s="1" t="str">
        <f t="array" ref="F5370">_xlfn.XLOOKUP(A5370,Product!A:A,Product!C:C,"Bulunamadı")</f>
        <v>Art History</v>
      </c>
      <c r="G5370" s="2" t="str">
        <f t="array" ref="G5370">_xlfn.XLOOKUP(A5371,Product!A:A,Product!D:D,"Bulunamadı")</f>
        <v>Brightgate Publishing House</v>
      </c>
      <c r="H5370" s="2">
        <f t="array" ref="H5370">_xlfn.XLOOKUP(A5372,Product!A:A,Product!E:E,"Bulunamadı")</f>
        <v>1.46</v>
      </c>
      <c r="I5370" s="2" t="str">
        <f t="shared" si="1"/>
        <v>120533 - Law - Art History</v>
      </c>
      <c r="J5370" s="2">
        <f t="shared" si="2"/>
        <v>61.32</v>
      </c>
      <c r="K5370" s="17">
        <f t="shared" si="3"/>
        <v>1</v>
      </c>
      <c r="L5370" s="18"/>
    </row>
    <row r="5371" hidden="1">
      <c r="A5371" s="2">
        <f>IFERROR(__xludf.DUMMYFUNCTION("""COMPUTED_VALUE"""),5591.0)</f>
        <v>5591</v>
      </c>
      <c r="B5371" s="2">
        <f>IFERROR(__xludf.DUMMYFUNCTION("""COMPUTED_VALUE"""),0.0)</f>
        <v>0</v>
      </c>
      <c r="C5371" s="2">
        <f>IFERROR(__xludf.DUMMYFUNCTION("""COMPUTED_VALUE"""),643.0)</f>
        <v>643</v>
      </c>
      <c r="D5371" s="3">
        <f>IFERROR(__xludf.DUMMYFUNCTION("""COMPUTED_VALUE"""),614.0)</f>
        <v>614</v>
      </c>
      <c r="E5371" s="1" t="str">
        <f t="array" ref="E5371">_xlfn.XLOOKUP(A5371,Product!A:A,Product!B:B,"Bulunamadı")</f>
        <v>Law</v>
      </c>
      <c r="F5371" s="1" t="str">
        <f t="array" ref="F5371">_xlfn.XLOOKUP(A5371,Product!A:A,Product!C:C,"Bulunamadı")</f>
        <v>Art History</v>
      </c>
      <c r="G5371" s="2" t="str">
        <f t="array" ref="G5371">_xlfn.XLOOKUP(A5372,Product!A:A,Product!D:D,"Bulunamadı")</f>
        <v>Brightgate Publishing House</v>
      </c>
      <c r="H5371" s="2">
        <f t="array" ref="H5371">_xlfn.XLOOKUP(A5373,Product!A:A,Product!E:E,"Bulunamadı")</f>
        <v>7.76</v>
      </c>
      <c r="I5371" s="2" t="str">
        <f t="shared" si="1"/>
        <v>5591 - Law - Art History</v>
      </c>
      <c r="J5371" s="2">
        <f t="shared" si="2"/>
        <v>4764.64</v>
      </c>
      <c r="K5371" s="17">
        <f t="shared" si="3"/>
        <v>1</v>
      </c>
      <c r="L5371" s="18"/>
    </row>
    <row r="5372" hidden="1">
      <c r="A5372" s="2">
        <f>IFERROR(__xludf.DUMMYFUNCTION("""COMPUTED_VALUE"""),77248.0)</f>
        <v>77248</v>
      </c>
      <c r="B5372" s="2">
        <f>IFERROR(__xludf.DUMMYFUNCTION("""COMPUTED_VALUE"""),0.0)</f>
        <v>0</v>
      </c>
      <c r="C5372" s="2">
        <f>IFERROR(__xludf.DUMMYFUNCTION("""COMPUTED_VALUE"""),612.0)</f>
        <v>612</v>
      </c>
      <c r="D5372" s="3">
        <f>IFERROR(__xludf.DUMMYFUNCTION("""COMPUTED_VALUE"""),564.0)</f>
        <v>564</v>
      </c>
      <c r="E5372" s="1" t="str">
        <f t="array" ref="E5372">_xlfn.XLOOKUP(A5372,Product!A:A,Product!B:B,"Bulunamadı")</f>
        <v>Law</v>
      </c>
      <c r="F5372" s="1" t="str">
        <f t="array" ref="F5372">_xlfn.XLOOKUP(A5372,Product!A:A,Product!C:C,"Bulunamadı")</f>
        <v>Art History</v>
      </c>
      <c r="G5372" s="2" t="str">
        <f t="array" ref="G5372">_xlfn.XLOOKUP(A5373,Product!A:A,Product!D:D,"Bulunamadı")</f>
        <v>Brightgate Publishing House</v>
      </c>
      <c r="H5372" s="2">
        <f t="array" ref="H5372">_xlfn.XLOOKUP(A5374,Product!A:A,Product!E:E,"Bulunamadı")</f>
        <v>1.37</v>
      </c>
      <c r="I5372" s="2" t="str">
        <f t="shared" si="1"/>
        <v>77248 - Law - Art History</v>
      </c>
      <c r="J5372" s="2">
        <f t="shared" si="2"/>
        <v>772.68</v>
      </c>
      <c r="K5372" s="17">
        <f t="shared" si="3"/>
        <v>1</v>
      </c>
      <c r="L5372" s="18"/>
    </row>
    <row r="5373" hidden="1">
      <c r="A5373" s="2">
        <f>IFERROR(__xludf.DUMMYFUNCTION("""COMPUTED_VALUE"""),90819.0)</f>
        <v>90819</v>
      </c>
      <c r="B5373" s="2">
        <f>IFERROR(__xludf.DUMMYFUNCTION("""COMPUTED_VALUE"""),0.0)</f>
        <v>0</v>
      </c>
      <c r="C5373" s="2">
        <f>IFERROR(__xludf.DUMMYFUNCTION("""COMPUTED_VALUE"""),49.0)</f>
        <v>49</v>
      </c>
      <c r="D5373" s="3">
        <f>IFERROR(__xludf.DUMMYFUNCTION("""COMPUTED_VALUE"""),14.0)</f>
        <v>14</v>
      </c>
      <c r="E5373" s="1" t="str">
        <f t="array" ref="E5373">_xlfn.XLOOKUP(A5373,Product!A:A,Product!B:B,"Bulunamadı")</f>
        <v>Law</v>
      </c>
      <c r="F5373" s="1" t="str">
        <f t="array" ref="F5373">_xlfn.XLOOKUP(A5373,Product!A:A,Product!C:C,"Bulunamadı")</f>
        <v>Art History</v>
      </c>
      <c r="G5373" s="2" t="str">
        <f t="array" ref="G5373">_xlfn.XLOOKUP(A5374,Product!A:A,Product!D:D,"Bulunamadı")</f>
        <v>Brightgate Publishing House</v>
      </c>
      <c r="H5373" s="2">
        <f t="array" ref="H5373">_xlfn.XLOOKUP(A5375,Product!A:A,Product!E:E,"Bulunamadı")</f>
        <v>2.63</v>
      </c>
      <c r="I5373" s="2" t="str">
        <f t="shared" si="1"/>
        <v>90819 - Law - Art History</v>
      </c>
      <c r="J5373" s="2">
        <f t="shared" si="2"/>
        <v>36.82</v>
      </c>
      <c r="K5373" s="17">
        <f t="shared" si="3"/>
        <v>1</v>
      </c>
      <c r="L5373" s="18"/>
    </row>
    <row r="5374" hidden="1">
      <c r="A5374" s="2">
        <f>IFERROR(__xludf.DUMMYFUNCTION("""COMPUTED_VALUE"""),90820.0)</f>
        <v>90820</v>
      </c>
      <c r="B5374" s="2">
        <f>IFERROR(__xludf.DUMMYFUNCTION("""COMPUTED_VALUE"""),0.0)</f>
        <v>0</v>
      </c>
      <c r="C5374" s="2">
        <f>IFERROR(__xludf.DUMMYFUNCTION("""COMPUTED_VALUE"""),307.0)</f>
        <v>307</v>
      </c>
      <c r="D5374" s="3">
        <f>IFERROR(__xludf.DUMMYFUNCTION("""COMPUTED_VALUE"""),254.0)</f>
        <v>254</v>
      </c>
      <c r="E5374" s="1" t="str">
        <f t="array" ref="E5374">_xlfn.XLOOKUP(A5374,Product!A:A,Product!B:B,"Bulunamadı")</f>
        <v>Law</v>
      </c>
      <c r="F5374" s="1" t="str">
        <f t="array" ref="F5374">_xlfn.XLOOKUP(A5374,Product!A:A,Product!C:C,"Bulunamadı")</f>
        <v>Art History</v>
      </c>
      <c r="G5374" s="2" t="str">
        <f t="array" ref="G5374">_xlfn.XLOOKUP(A5375,Product!A:A,Product!D:D,"Bulunamadı")</f>
        <v>Brightgate Publishing House</v>
      </c>
      <c r="H5374" s="2">
        <f t="array" ref="H5374">_xlfn.XLOOKUP(A5376,Product!A:A,Product!E:E,"Bulunamadı")</f>
        <v>11.18</v>
      </c>
      <c r="I5374" s="2" t="str">
        <f t="shared" si="1"/>
        <v>90820 - Law - Art History</v>
      </c>
      <c r="J5374" s="2">
        <f t="shared" si="2"/>
        <v>2839.72</v>
      </c>
      <c r="K5374" s="17">
        <f t="shared" si="3"/>
        <v>1</v>
      </c>
      <c r="L5374" s="18"/>
    </row>
    <row r="5375" hidden="1">
      <c r="A5375" s="2">
        <f>IFERROR(__xludf.DUMMYFUNCTION("""COMPUTED_VALUE"""),90839.0)</f>
        <v>90839</v>
      </c>
      <c r="B5375" s="2">
        <f>IFERROR(__xludf.DUMMYFUNCTION("""COMPUTED_VALUE"""),0.0)</f>
        <v>0</v>
      </c>
      <c r="C5375" s="2">
        <f>IFERROR(__xludf.DUMMYFUNCTION("""COMPUTED_VALUE"""),467.0)</f>
        <v>467</v>
      </c>
      <c r="D5375" s="3">
        <f>IFERROR(__xludf.DUMMYFUNCTION("""COMPUTED_VALUE"""),152.0)</f>
        <v>152</v>
      </c>
      <c r="E5375" s="1" t="str">
        <f t="array" ref="E5375">_xlfn.XLOOKUP(A5375,Product!A:A,Product!B:B,"Bulunamadı")</f>
        <v>Law</v>
      </c>
      <c r="F5375" s="1" t="str">
        <f t="array" ref="F5375">_xlfn.XLOOKUP(A5375,Product!A:A,Product!C:C,"Bulunamadı")</f>
        <v>Art History</v>
      </c>
      <c r="G5375" s="2" t="str">
        <f t="array" ref="G5375">_xlfn.XLOOKUP(A5376,Product!A:A,Product!D:D,"Bulunamadı")</f>
        <v>Brightgate Publishing House</v>
      </c>
      <c r="H5375" s="2">
        <f t="array" ref="H5375">_xlfn.XLOOKUP(A5377,Product!A:A,Product!E:E,"Bulunamadı")</f>
        <v>3.44</v>
      </c>
      <c r="I5375" s="2" t="str">
        <f t="shared" si="1"/>
        <v>90839 - Law - Art History</v>
      </c>
      <c r="J5375" s="2">
        <f t="shared" si="2"/>
        <v>522.88</v>
      </c>
      <c r="K5375" s="17">
        <f t="shared" si="3"/>
        <v>1</v>
      </c>
      <c r="L5375" s="18"/>
    </row>
    <row r="5376" hidden="1">
      <c r="A5376" s="2">
        <f>IFERROR(__xludf.DUMMYFUNCTION("""COMPUTED_VALUE"""),90858.0)</f>
        <v>90858</v>
      </c>
      <c r="B5376" s="2">
        <f>IFERROR(__xludf.DUMMYFUNCTION("""COMPUTED_VALUE"""),1.0)</f>
        <v>1</v>
      </c>
      <c r="C5376" s="2">
        <f>IFERROR(__xludf.DUMMYFUNCTION("""COMPUTED_VALUE"""),560.0)</f>
        <v>560</v>
      </c>
      <c r="D5376" s="3">
        <f>IFERROR(__xludf.DUMMYFUNCTION("""COMPUTED_VALUE"""),212.0)</f>
        <v>212</v>
      </c>
      <c r="E5376" s="1" t="str">
        <f t="array" ref="E5376">_xlfn.XLOOKUP(A5376,Product!A:A,Product!B:B,"Bulunamadı")</f>
        <v>Law</v>
      </c>
      <c r="F5376" s="1" t="str">
        <f t="array" ref="F5376">_xlfn.XLOOKUP(A5376,Product!A:A,Product!C:C,"Bulunamadı")</f>
        <v>Art History</v>
      </c>
      <c r="G5376" s="2" t="str">
        <f t="array" ref="G5376">_xlfn.XLOOKUP(A5377,Product!A:A,Product!D:D,"Bulunamadı")</f>
        <v>Brightgate Publishing House</v>
      </c>
      <c r="H5376" s="2">
        <f t="array" ref="H5376">_xlfn.XLOOKUP(A5378,Product!A:A,Product!E:E,"Bulunamadı")</f>
        <v>1.4</v>
      </c>
      <c r="I5376" s="2" t="str">
        <f t="shared" si="1"/>
        <v>90858 - Law - Art History</v>
      </c>
      <c r="J5376" s="2">
        <f t="shared" si="2"/>
        <v>296.8</v>
      </c>
      <c r="K5376" s="17">
        <f t="shared" si="3"/>
        <v>1</v>
      </c>
      <c r="L5376" s="18"/>
    </row>
    <row r="5377" hidden="1">
      <c r="A5377" s="2">
        <f>IFERROR(__xludf.DUMMYFUNCTION("""COMPUTED_VALUE"""),76588.0)</f>
        <v>76588</v>
      </c>
      <c r="B5377" s="2">
        <f>IFERROR(__xludf.DUMMYFUNCTION("""COMPUTED_VALUE"""),1.0)</f>
        <v>1</v>
      </c>
      <c r="C5377" s="2">
        <f>IFERROR(__xludf.DUMMYFUNCTION("""COMPUTED_VALUE"""),62.0)</f>
        <v>62</v>
      </c>
      <c r="D5377" s="3">
        <f>IFERROR(__xludf.DUMMYFUNCTION("""COMPUTED_VALUE"""),50.0)</f>
        <v>50</v>
      </c>
      <c r="E5377" s="1" t="str">
        <f t="array" ref="E5377">_xlfn.XLOOKUP(A5377,Product!A:A,Product!B:B,"Bulunamadı")</f>
        <v>Law</v>
      </c>
      <c r="F5377" s="1" t="str">
        <f t="array" ref="F5377">_xlfn.XLOOKUP(A5377,Product!A:A,Product!C:C,"Bulunamadı")</f>
        <v>Art History</v>
      </c>
      <c r="G5377" s="2" t="str">
        <f t="array" ref="G5377">_xlfn.XLOOKUP(A5378,Product!A:A,Product!D:D,"Bulunamadı")</f>
        <v>Oakgate Publishing House</v>
      </c>
      <c r="H5377" s="2">
        <f t="array" ref="H5377">_xlfn.XLOOKUP(A5379,Product!A:A,Product!E:E,"Bulunamadı")</f>
        <v>1.53</v>
      </c>
      <c r="I5377" s="2" t="str">
        <f t="shared" si="1"/>
        <v>76588 - Law - Art History</v>
      </c>
      <c r="J5377" s="2">
        <f t="shared" si="2"/>
        <v>76.5</v>
      </c>
      <c r="K5377" s="17">
        <f t="shared" si="3"/>
        <v>1</v>
      </c>
      <c r="L5377" s="18"/>
    </row>
    <row r="5378" hidden="1">
      <c r="A5378" s="2">
        <f>IFERROR(__xludf.DUMMYFUNCTION("""COMPUTED_VALUE"""),90671.0)</f>
        <v>90671</v>
      </c>
      <c r="B5378" s="2">
        <f>IFERROR(__xludf.DUMMYFUNCTION("""COMPUTED_VALUE"""),0.0)</f>
        <v>0</v>
      </c>
      <c r="C5378" s="2">
        <f>IFERROR(__xludf.DUMMYFUNCTION("""COMPUTED_VALUE"""),281.0)</f>
        <v>281</v>
      </c>
      <c r="D5378" s="3">
        <f>IFERROR(__xludf.DUMMYFUNCTION("""COMPUTED_VALUE"""),248.0)</f>
        <v>248</v>
      </c>
      <c r="E5378" s="1" t="str">
        <f t="array" ref="E5378">_xlfn.XLOOKUP(A5378,Product!A:A,Product!B:B,"Bulunamadı")</f>
        <v>Law</v>
      </c>
      <c r="F5378" s="1" t="str">
        <f t="array" ref="F5378">_xlfn.XLOOKUP(A5378,Product!A:A,Product!C:C,"Bulunamadı")</f>
        <v>Art History</v>
      </c>
      <c r="G5378" s="2" t="str">
        <f t="array" ref="G5378">_xlfn.XLOOKUP(A5379,Product!A:A,Product!D:D,"Bulunamadı")</f>
        <v>Oakgate Publishing House</v>
      </c>
      <c r="H5378" s="2">
        <f t="array" ref="H5378">_xlfn.XLOOKUP(A5380,Product!A:A,Product!E:E,"Bulunamadı")</f>
        <v>1.13</v>
      </c>
      <c r="I5378" s="2" t="str">
        <f t="shared" si="1"/>
        <v>90671 - Law - Art History</v>
      </c>
      <c r="J5378" s="2">
        <f t="shared" si="2"/>
        <v>280.24</v>
      </c>
      <c r="K5378" s="17">
        <f t="shared" si="3"/>
        <v>1</v>
      </c>
      <c r="L5378" s="18"/>
    </row>
    <row r="5379" hidden="1">
      <c r="A5379" s="2">
        <f>IFERROR(__xludf.DUMMYFUNCTION("""COMPUTED_VALUE"""),77194.0)</f>
        <v>77194</v>
      </c>
      <c r="B5379" s="2">
        <f>IFERROR(__xludf.DUMMYFUNCTION("""COMPUTED_VALUE"""),1.0)</f>
        <v>1</v>
      </c>
      <c r="C5379" s="2">
        <f>IFERROR(__xludf.DUMMYFUNCTION("""COMPUTED_VALUE"""),401.0)</f>
        <v>401</v>
      </c>
      <c r="D5379" s="3">
        <f>IFERROR(__xludf.DUMMYFUNCTION("""COMPUTED_VALUE"""),202.0)</f>
        <v>202</v>
      </c>
      <c r="E5379" s="1" t="str">
        <f t="array" ref="E5379">_xlfn.XLOOKUP(A5379,Product!A:A,Product!B:B,"Bulunamadı")</f>
        <v>Law</v>
      </c>
      <c r="F5379" s="1" t="str">
        <f t="array" ref="F5379">_xlfn.XLOOKUP(A5379,Product!A:A,Product!C:C,"Bulunamadı")</f>
        <v>Art History</v>
      </c>
      <c r="G5379" s="2" t="str">
        <f t="array" ref="G5379">_xlfn.XLOOKUP(A5380,Product!A:A,Product!D:D,"Bulunamadı")</f>
        <v>Oakgate Publishing House</v>
      </c>
      <c r="H5379" s="2">
        <f t="array" ref="H5379">_xlfn.XLOOKUP(A5381,Product!A:A,Product!E:E,"Bulunamadı")</f>
        <v>1.34</v>
      </c>
      <c r="I5379" s="2" t="str">
        <f t="shared" si="1"/>
        <v>77194 - Law - Art History</v>
      </c>
      <c r="J5379" s="2">
        <f t="shared" si="2"/>
        <v>270.68</v>
      </c>
      <c r="K5379" s="17">
        <f t="shared" si="3"/>
        <v>1</v>
      </c>
      <c r="L5379" s="18"/>
    </row>
    <row r="5380" hidden="1">
      <c r="A5380" s="2">
        <f>IFERROR(__xludf.DUMMYFUNCTION("""COMPUTED_VALUE"""),5504.0)</f>
        <v>5504</v>
      </c>
      <c r="B5380" s="2">
        <f>IFERROR(__xludf.DUMMYFUNCTION("""COMPUTED_VALUE"""),1.0)</f>
        <v>1</v>
      </c>
      <c r="C5380" s="2">
        <f>IFERROR(__xludf.DUMMYFUNCTION("""COMPUTED_VALUE"""),321.0)</f>
        <v>321</v>
      </c>
      <c r="D5380" s="3">
        <f>IFERROR(__xludf.DUMMYFUNCTION("""COMPUTED_VALUE"""),201.0)</f>
        <v>201</v>
      </c>
      <c r="E5380" s="1" t="str">
        <f t="array" ref="E5380">_xlfn.XLOOKUP(A5380,Product!A:A,Product!B:B,"Bulunamadı")</f>
        <v>Law</v>
      </c>
      <c r="F5380" s="1" t="str">
        <f t="array" ref="F5380">_xlfn.XLOOKUP(A5380,Product!A:A,Product!C:C,"Bulunamadı")</f>
        <v>Art History</v>
      </c>
      <c r="G5380" s="2" t="str">
        <f t="array" ref="G5380">_xlfn.XLOOKUP(A5381,Product!A:A,Product!D:D,"Bulunamadı")</f>
        <v>Oakgate Publishing House</v>
      </c>
      <c r="H5380" s="2">
        <f t="array" ref="H5380">_xlfn.XLOOKUP(A5382,Product!A:A,Product!E:E,"Bulunamadı")</f>
        <v>1.07</v>
      </c>
      <c r="I5380" s="2" t="str">
        <f t="shared" si="1"/>
        <v>5504 - Law - Art History</v>
      </c>
      <c r="J5380" s="2">
        <f t="shared" si="2"/>
        <v>215.07</v>
      </c>
      <c r="K5380" s="17">
        <f t="shared" si="3"/>
        <v>1</v>
      </c>
      <c r="L5380" s="18"/>
    </row>
    <row r="5381" hidden="1">
      <c r="A5381" s="2">
        <f>IFERROR(__xludf.DUMMYFUNCTION("""COMPUTED_VALUE"""),90662.0)</f>
        <v>90662</v>
      </c>
      <c r="B5381" s="2">
        <f>IFERROR(__xludf.DUMMYFUNCTION("""COMPUTED_VALUE"""),1.0)</f>
        <v>1</v>
      </c>
      <c r="C5381" s="2">
        <f>IFERROR(__xludf.DUMMYFUNCTION("""COMPUTED_VALUE"""),445.0)</f>
        <v>445</v>
      </c>
      <c r="D5381" s="3">
        <f>IFERROR(__xludf.DUMMYFUNCTION("""COMPUTED_VALUE"""),269.0)</f>
        <v>269</v>
      </c>
      <c r="E5381" s="1" t="str">
        <f t="array" ref="E5381">_xlfn.XLOOKUP(A5381,Product!A:A,Product!B:B,"Bulunamadı")</f>
        <v>Law</v>
      </c>
      <c r="F5381" s="1" t="str">
        <f t="array" ref="F5381">_xlfn.XLOOKUP(A5381,Product!A:A,Product!C:C,"Bulunamadı")</f>
        <v>Art History</v>
      </c>
      <c r="G5381" s="2" t="str">
        <f t="array" ref="G5381">_xlfn.XLOOKUP(A5382,Product!A:A,Product!D:D,"Bulunamadı")</f>
        <v>Oakgate Publishing House</v>
      </c>
      <c r="H5381" s="2">
        <f t="array" ref="H5381">_xlfn.XLOOKUP(A5383,Product!A:A,Product!E:E,"Bulunamadı")</f>
        <v>2.2</v>
      </c>
      <c r="I5381" s="2" t="str">
        <f t="shared" si="1"/>
        <v>90662 - Law - Art History</v>
      </c>
      <c r="J5381" s="2">
        <f t="shared" si="2"/>
        <v>591.8</v>
      </c>
      <c r="K5381" s="17">
        <f t="shared" si="3"/>
        <v>1</v>
      </c>
      <c r="L5381" s="18"/>
    </row>
    <row r="5382" hidden="1">
      <c r="A5382" s="2">
        <f>IFERROR(__xludf.DUMMYFUNCTION("""COMPUTED_VALUE"""),87288.0)</f>
        <v>87288</v>
      </c>
      <c r="B5382" s="2">
        <f>IFERROR(__xludf.DUMMYFUNCTION("""COMPUTED_VALUE"""),0.0)</f>
        <v>0</v>
      </c>
      <c r="C5382" s="2">
        <f>IFERROR(__xludf.DUMMYFUNCTION("""COMPUTED_VALUE"""),394.0)</f>
        <v>394</v>
      </c>
      <c r="D5382" s="3">
        <f>IFERROR(__xludf.DUMMYFUNCTION("""COMPUTED_VALUE"""),96.0)</f>
        <v>96</v>
      </c>
      <c r="E5382" s="1" t="str">
        <f t="array" ref="E5382">_xlfn.XLOOKUP(A5382,Product!A:A,Product!B:B,"Bulunamadı")</f>
        <v>Law</v>
      </c>
      <c r="F5382" s="1" t="str">
        <f t="array" ref="F5382">_xlfn.XLOOKUP(A5382,Product!A:A,Product!C:C,"Bulunamadı")</f>
        <v>Art History</v>
      </c>
      <c r="G5382" s="2" t="str">
        <f t="array" ref="G5382">_xlfn.XLOOKUP(A5383,Product!A:A,Product!D:D,"Bulunamadı")</f>
        <v>Oakgate Publishing House</v>
      </c>
      <c r="H5382" s="2">
        <f t="array" ref="H5382">_xlfn.XLOOKUP(A5384,Product!A:A,Product!E:E,"Bulunamadı")</f>
        <v>1.26</v>
      </c>
      <c r="I5382" s="2" t="str">
        <f t="shared" si="1"/>
        <v>87288 - Law - Art History</v>
      </c>
      <c r="J5382" s="2">
        <f t="shared" si="2"/>
        <v>120.96</v>
      </c>
      <c r="K5382" s="17">
        <f t="shared" si="3"/>
        <v>1</v>
      </c>
      <c r="L5382" s="18"/>
    </row>
    <row r="5383" hidden="1">
      <c r="A5383" s="2">
        <f>IFERROR(__xludf.DUMMYFUNCTION("""COMPUTED_VALUE"""),5494.0)</f>
        <v>5494</v>
      </c>
      <c r="B5383" s="2">
        <f>IFERROR(__xludf.DUMMYFUNCTION("""COMPUTED_VALUE"""),0.0)</f>
        <v>0</v>
      </c>
      <c r="C5383" s="2">
        <f>IFERROR(__xludf.DUMMYFUNCTION("""COMPUTED_VALUE"""),180.0)</f>
        <v>180</v>
      </c>
      <c r="D5383" s="3">
        <f>IFERROR(__xludf.DUMMYFUNCTION("""COMPUTED_VALUE"""),122.0)</f>
        <v>122</v>
      </c>
      <c r="E5383" s="1" t="str">
        <f t="array" ref="E5383">_xlfn.XLOOKUP(A5383,Product!A:A,Product!B:B,"Bulunamadı")</f>
        <v>Law</v>
      </c>
      <c r="F5383" s="1" t="str">
        <f t="array" ref="F5383">_xlfn.XLOOKUP(A5383,Product!A:A,Product!C:C,"Bulunamadı")</f>
        <v>Art History</v>
      </c>
      <c r="G5383" s="2" t="str">
        <f t="array" ref="G5383">_xlfn.XLOOKUP(A5384,Product!A:A,Product!D:D,"Bulunamadı")</f>
        <v>Oakgate Publishing House</v>
      </c>
      <c r="H5383" s="2">
        <f t="array" ref="H5383">_xlfn.XLOOKUP(A5385,Product!A:A,Product!E:E,"Bulunamadı")</f>
        <v>1.23</v>
      </c>
      <c r="I5383" s="2" t="str">
        <f t="shared" si="1"/>
        <v>5494 - Law - Art History</v>
      </c>
      <c r="J5383" s="2">
        <f t="shared" si="2"/>
        <v>150.06</v>
      </c>
      <c r="K5383" s="17">
        <f t="shared" si="3"/>
        <v>1</v>
      </c>
      <c r="L5383" s="18"/>
    </row>
    <row r="5384" hidden="1">
      <c r="A5384" s="2">
        <f>IFERROR(__xludf.DUMMYFUNCTION("""COMPUTED_VALUE"""),76637.0)</f>
        <v>76637</v>
      </c>
      <c r="B5384" s="2">
        <f>IFERROR(__xludf.DUMMYFUNCTION("""COMPUTED_VALUE"""),1.0)</f>
        <v>1</v>
      </c>
      <c r="C5384" s="2">
        <f>IFERROR(__xludf.DUMMYFUNCTION("""COMPUTED_VALUE"""),432.0)</f>
        <v>432</v>
      </c>
      <c r="D5384" s="3">
        <f>IFERROR(__xludf.DUMMYFUNCTION("""COMPUTED_VALUE"""),420.0)</f>
        <v>420</v>
      </c>
      <c r="E5384" s="1" t="str">
        <f t="array" ref="E5384">_xlfn.XLOOKUP(A5384,Product!A:A,Product!B:B,"Bulunamadı")</f>
        <v>Law</v>
      </c>
      <c r="F5384" s="1" t="str">
        <f t="array" ref="F5384">_xlfn.XLOOKUP(A5384,Product!A:A,Product!C:C,"Bulunamadı")</f>
        <v>Art History</v>
      </c>
      <c r="G5384" s="2" t="str">
        <f t="array" ref="G5384">_xlfn.XLOOKUP(A5385,Product!A:A,Product!D:D,"Bulunamadı")</f>
        <v>Oakgate Publishing House</v>
      </c>
      <c r="H5384" s="2">
        <f t="array" ref="H5384">_xlfn.XLOOKUP(A5386,Product!A:A,Product!E:E,"Bulunamadı")</f>
        <v>0.69</v>
      </c>
      <c r="I5384" s="2" t="str">
        <f t="shared" si="1"/>
        <v>76637 - Law - Art History</v>
      </c>
      <c r="J5384" s="2">
        <f t="shared" si="2"/>
        <v>289.8</v>
      </c>
      <c r="K5384" s="17">
        <f t="shared" si="3"/>
        <v>1</v>
      </c>
      <c r="L5384" s="18"/>
    </row>
    <row r="5385" hidden="1">
      <c r="A5385" s="2">
        <f>IFERROR(__xludf.DUMMYFUNCTION("""COMPUTED_VALUE"""),76601.0)</f>
        <v>76601</v>
      </c>
      <c r="B5385" s="2">
        <f>IFERROR(__xludf.DUMMYFUNCTION("""COMPUTED_VALUE"""),1.0)</f>
        <v>1</v>
      </c>
      <c r="C5385" s="2">
        <f>IFERROR(__xludf.DUMMYFUNCTION("""COMPUTED_VALUE"""),769.0)</f>
        <v>769</v>
      </c>
      <c r="D5385" s="3">
        <f>IFERROR(__xludf.DUMMYFUNCTION("""COMPUTED_VALUE"""),769.0)</f>
        <v>769</v>
      </c>
      <c r="E5385" s="1" t="str">
        <f t="array" ref="E5385">_xlfn.XLOOKUP(A5385,Product!A:A,Product!B:B,"Bulunamadı")</f>
        <v>Law</v>
      </c>
      <c r="F5385" s="1" t="str">
        <f t="array" ref="F5385">_xlfn.XLOOKUP(A5385,Product!A:A,Product!C:C,"Bulunamadı")</f>
        <v>Art History</v>
      </c>
      <c r="G5385" s="2" t="str">
        <f t="array" ref="G5385">_xlfn.XLOOKUP(A5386,Product!A:A,Product!D:D,"Bulunamadı")</f>
        <v>Oakgate Publishing House</v>
      </c>
      <c r="H5385" s="2">
        <f t="array" ref="H5385">_xlfn.XLOOKUP(A5387,Product!A:A,Product!E:E,"Bulunamadı")</f>
        <v>2.88</v>
      </c>
      <c r="I5385" s="2" t="str">
        <f t="shared" si="1"/>
        <v>76601 - Law - Art History</v>
      </c>
      <c r="J5385" s="2">
        <f t="shared" si="2"/>
        <v>2214.72</v>
      </c>
      <c r="K5385" s="17">
        <f t="shared" si="3"/>
        <v>1</v>
      </c>
      <c r="L5385" s="18"/>
    </row>
    <row r="5386" hidden="1">
      <c r="A5386" s="2">
        <f>IFERROR(__xludf.DUMMYFUNCTION("""COMPUTED_VALUE"""),87202.0)</f>
        <v>87202</v>
      </c>
      <c r="B5386" s="2">
        <f>IFERROR(__xludf.DUMMYFUNCTION("""COMPUTED_VALUE"""),1.0)</f>
        <v>1</v>
      </c>
      <c r="C5386" s="2">
        <f>IFERROR(__xludf.DUMMYFUNCTION("""COMPUTED_VALUE"""),238.0)</f>
        <v>238</v>
      </c>
      <c r="D5386" s="3">
        <f>IFERROR(__xludf.DUMMYFUNCTION("""COMPUTED_VALUE"""),223.0)</f>
        <v>223</v>
      </c>
      <c r="E5386" s="1" t="str">
        <f t="array" ref="E5386">_xlfn.XLOOKUP(A5386,Product!A:A,Product!B:B,"Bulunamadı")</f>
        <v>Law</v>
      </c>
      <c r="F5386" s="1" t="str">
        <f t="array" ref="F5386">_xlfn.XLOOKUP(A5386,Product!A:A,Product!C:C,"Bulunamadı")</f>
        <v>Art History</v>
      </c>
      <c r="G5386" s="2" t="str">
        <f t="array" ref="G5386">_xlfn.XLOOKUP(A5387,Product!A:A,Product!D:D,"Bulunamadı")</f>
        <v>Oakgate Publishing House</v>
      </c>
      <c r="H5386" s="2">
        <f t="array" ref="H5386">_xlfn.XLOOKUP(A5388,Product!A:A,Product!E:E,"Bulunamadı")</f>
        <v>1.24</v>
      </c>
      <c r="I5386" s="2" t="str">
        <f t="shared" si="1"/>
        <v>87202 - Law - Art History</v>
      </c>
      <c r="J5386" s="2">
        <f t="shared" si="2"/>
        <v>276.52</v>
      </c>
      <c r="K5386" s="17">
        <f t="shared" si="3"/>
        <v>1</v>
      </c>
      <c r="L5386" s="18"/>
    </row>
    <row r="5387" hidden="1">
      <c r="A5387" s="2">
        <f>IFERROR(__xludf.DUMMYFUNCTION("""COMPUTED_VALUE"""),122244.0)</f>
        <v>122244</v>
      </c>
      <c r="B5387" s="2">
        <f>IFERROR(__xludf.DUMMYFUNCTION("""COMPUTED_VALUE"""),0.0)</f>
        <v>0</v>
      </c>
      <c r="C5387" s="2">
        <f>IFERROR(__xludf.DUMMYFUNCTION("""COMPUTED_VALUE"""),675.0)</f>
        <v>675</v>
      </c>
      <c r="D5387" s="3">
        <f>IFERROR(__xludf.DUMMYFUNCTION("""COMPUTED_VALUE"""),119.0)</f>
        <v>119</v>
      </c>
      <c r="E5387" s="1" t="str">
        <f t="array" ref="E5387">_xlfn.XLOOKUP(A5387,Product!A:A,Product!B:B,"Bulunamadı")</f>
        <v>Law</v>
      </c>
      <c r="F5387" s="1" t="str">
        <f t="array" ref="F5387">_xlfn.XLOOKUP(A5387,Product!A:A,Product!C:C,"Bulunamadı")</f>
        <v>Art History</v>
      </c>
      <c r="G5387" s="2" t="str">
        <f t="array" ref="G5387">_xlfn.XLOOKUP(A5388,Product!A:A,Product!D:D,"Bulunamadı")</f>
        <v>Oakgate Publishing House</v>
      </c>
      <c r="H5387" s="2">
        <f t="array" ref="H5387">_xlfn.XLOOKUP(A5389,Product!A:A,Product!E:E,"Bulunamadı")</f>
        <v>7.95</v>
      </c>
      <c r="I5387" s="2" t="str">
        <f t="shared" si="1"/>
        <v>122244 - Law - Art History</v>
      </c>
      <c r="J5387" s="2">
        <f t="shared" si="2"/>
        <v>946.05</v>
      </c>
      <c r="K5387" s="17">
        <f t="shared" si="3"/>
        <v>1</v>
      </c>
      <c r="L5387" s="18"/>
    </row>
    <row r="5388" hidden="1">
      <c r="A5388" s="2">
        <f>IFERROR(__xludf.DUMMYFUNCTION("""COMPUTED_VALUE"""),122075.0)</f>
        <v>122075</v>
      </c>
      <c r="B5388" s="2">
        <f>IFERROR(__xludf.DUMMYFUNCTION("""COMPUTED_VALUE"""),1.0)</f>
        <v>1</v>
      </c>
      <c r="C5388" s="2">
        <f>IFERROR(__xludf.DUMMYFUNCTION("""COMPUTED_VALUE"""),922.0)</f>
        <v>922</v>
      </c>
      <c r="D5388" s="3">
        <f>IFERROR(__xludf.DUMMYFUNCTION("""COMPUTED_VALUE"""),61.0)</f>
        <v>61</v>
      </c>
      <c r="E5388" s="1" t="str">
        <f t="array" ref="E5388">_xlfn.XLOOKUP(A5388,Product!A:A,Product!B:B,"Bulunamadı")</f>
        <v>Law</v>
      </c>
      <c r="F5388" s="1" t="str">
        <f t="array" ref="F5388">_xlfn.XLOOKUP(A5388,Product!A:A,Product!C:C,"Bulunamadı")</f>
        <v>Art History</v>
      </c>
      <c r="G5388" s="2" t="str">
        <f t="array" ref="G5388">_xlfn.XLOOKUP(A5389,Product!A:A,Product!D:D,"Bulunamadı")</f>
        <v>Oakgate Publishing House</v>
      </c>
      <c r="H5388" s="2">
        <f t="array" ref="H5388">_xlfn.XLOOKUP(A5390,Product!A:A,Product!E:E,"Bulunamadı")</f>
        <v>1.99</v>
      </c>
      <c r="I5388" s="2" t="str">
        <f t="shared" si="1"/>
        <v>122075 - Law - Art History</v>
      </c>
      <c r="J5388" s="2">
        <f t="shared" si="2"/>
        <v>121.39</v>
      </c>
      <c r="K5388" s="17">
        <f t="shared" si="3"/>
        <v>1</v>
      </c>
      <c r="L5388" s="18"/>
    </row>
    <row r="5389" hidden="1">
      <c r="A5389" s="2">
        <f>IFERROR(__xludf.DUMMYFUNCTION("""COMPUTED_VALUE"""),90735.0)</f>
        <v>90735</v>
      </c>
      <c r="B5389" s="2">
        <f>IFERROR(__xludf.DUMMYFUNCTION("""COMPUTED_VALUE"""),1.0)</f>
        <v>1</v>
      </c>
      <c r="C5389" s="2">
        <f>IFERROR(__xludf.DUMMYFUNCTION("""COMPUTED_VALUE"""),640.0)</f>
        <v>640</v>
      </c>
      <c r="D5389" s="3">
        <f>IFERROR(__xludf.DUMMYFUNCTION("""COMPUTED_VALUE"""),457.0)</f>
        <v>457</v>
      </c>
      <c r="E5389" s="1" t="str">
        <f t="array" ref="E5389">_xlfn.XLOOKUP(A5389,Product!A:A,Product!B:B,"Bulunamadı")</f>
        <v>Law</v>
      </c>
      <c r="F5389" s="1" t="str">
        <f t="array" ref="F5389">_xlfn.XLOOKUP(A5389,Product!A:A,Product!C:C,"Bulunamadı")</f>
        <v>Art History</v>
      </c>
      <c r="G5389" s="2" t="str">
        <f t="array" ref="G5389">_xlfn.XLOOKUP(A5390,Product!A:A,Product!D:D,"Bulunamadı")</f>
        <v>Oakgate Publishing House</v>
      </c>
      <c r="H5389" s="2">
        <f t="array" ref="H5389">_xlfn.XLOOKUP(A5391,Product!A:A,Product!E:E,"Bulunamadı")</f>
        <v>3.09</v>
      </c>
      <c r="I5389" s="2" t="str">
        <f t="shared" si="1"/>
        <v>90735 - Law - Art History</v>
      </c>
      <c r="J5389" s="2">
        <f t="shared" si="2"/>
        <v>1412.13</v>
      </c>
      <c r="K5389" s="17">
        <f t="shared" si="3"/>
        <v>1</v>
      </c>
      <c r="L5389" s="18"/>
    </row>
    <row r="5390" hidden="1">
      <c r="A5390" s="2">
        <f>IFERROR(__xludf.DUMMYFUNCTION("""COMPUTED_VALUE"""),20951.0)</f>
        <v>20951</v>
      </c>
      <c r="B5390" s="2">
        <f>IFERROR(__xludf.DUMMYFUNCTION("""COMPUTED_VALUE"""),0.0)</f>
        <v>0</v>
      </c>
      <c r="C5390" s="2">
        <f>IFERROR(__xludf.DUMMYFUNCTION("""COMPUTED_VALUE"""),519.0)</f>
        <v>519</v>
      </c>
      <c r="D5390" s="3">
        <f>IFERROR(__xludf.DUMMYFUNCTION("""COMPUTED_VALUE"""),418.0)</f>
        <v>418</v>
      </c>
      <c r="E5390" s="1" t="str">
        <f t="array" ref="E5390">_xlfn.XLOOKUP(A5390,Product!A:A,Product!B:B,"Bulunamadı")</f>
        <v>Law</v>
      </c>
      <c r="F5390" s="1" t="str">
        <f t="array" ref="F5390">_xlfn.XLOOKUP(A5390,Product!A:A,Product!C:C,"Bulunamadı")</f>
        <v>Art History</v>
      </c>
      <c r="G5390" s="2" t="str">
        <f t="array" ref="G5390">_xlfn.XLOOKUP(A5391,Product!A:A,Product!D:D,"Bulunamadı")</f>
        <v>Oakgate Publishing House</v>
      </c>
      <c r="H5390" s="2">
        <f t="array" ref="H5390">_xlfn.XLOOKUP(A5392,Product!A:A,Product!E:E,"Bulunamadı")</f>
        <v>2.52</v>
      </c>
      <c r="I5390" s="2" t="str">
        <f t="shared" si="1"/>
        <v>20951 - Law - Art History</v>
      </c>
      <c r="J5390" s="2">
        <f t="shared" si="2"/>
        <v>1053.36</v>
      </c>
      <c r="K5390" s="17">
        <f t="shared" si="3"/>
        <v>1</v>
      </c>
      <c r="L5390" s="18"/>
    </row>
    <row r="5391" hidden="1">
      <c r="A5391" s="2">
        <f>IFERROR(__xludf.DUMMYFUNCTION("""COMPUTED_VALUE"""),5502.0)</f>
        <v>5502</v>
      </c>
      <c r="B5391" s="2">
        <f>IFERROR(__xludf.DUMMYFUNCTION("""COMPUTED_VALUE"""),1.0)</f>
        <v>1</v>
      </c>
      <c r="C5391" s="2">
        <f>IFERROR(__xludf.DUMMYFUNCTION("""COMPUTED_VALUE"""),192.0)</f>
        <v>192</v>
      </c>
      <c r="D5391" s="3">
        <f>IFERROR(__xludf.DUMMYFUNCTION("""COMPUTED_VALUE"""),159.0)</f>
        <v>159</v>
      </c>
      <c r="E5391" s="1" t="str">
        <f t="array" ref="E5391">_xlfn.XLOOKUP(A5391,Product!A:A,Product!B:B,"Bulunamadı")</f>
        <v>Law</v>
      </c>
      <c r="F5391" s="1" t="str">
        <f t="array" ref="F5391">_xlfn.XLOOKUP(A5391,Product!A:A,Product!C:C,"Bulunamadı")</f>
        <v>Art History</v>
      </c>
      <c r="G5391" s="2" t="str">
        <f t="array" ref="G5391">_xlfn.XLOOKUP(A5392,Product!A:A,Product!D:D,"Bulunamadı")</f>
        <v>Oakgate Publishing House</v>
      </c>
      <c r="H5391" s="2">
        <f t="array" ref="H5391">_xlfn.XLOOKUP(A5393,Product!A:A,Product!E:E,"Bulunamadı")</f>
        <v>5.81</v>
      </c>
      <c r="I5391" s="2" t="str">
        <f t="shared" si="1"/>
        <v>5502 - Law - Art History</v>
      </c>
      <c r="J5391" s="2">
        <f t="shared" si="2"/>
        <v>923.79</v>
      </c>
      <c r="K5391" s="17">
        <f t="shared" si="3"/>
        <v>1</v>
      </c>
      <c r="L5391" s="18"/>
    </row>
    <row r="5392" hidden="1">
      <c r="A5392" s="2">
        <f>IFERROR(__xludf.DUMMYFUNCTION("""COMPUTED_VALUE"""),90669.0)</f>
        <v>90669</v>
      </c>
      <c r="B5392" s="2">
        <f>IFERROR(__xludf.DUMMYFUNCTION("""COMPUTED_VALUE"""),0.0)</f>
        <v>0</v>
      </c>
      <c r="C5392" s="2">
        <f>IFERROR(__xludf.DUMMYFUNCTION("""COMPUTED_VALUE"""),849.0)</f>
        <v>849</v>
      </c>
      <c r="D5392" s="3">
        <f>IFERROR(__xludf.DUMMYFUNCTION("""COMPUTED_VALUE"""),461.0)</f>
        <v>461</v>
      </c>
      <c r="E5392" s="1" t="str">
        <f t="array" ref="E5392">_xlfn.XLOOKUP(A5392,Product!A:A,Product!B:B,"Bulunamadı")</f>
        <v>Law</v>
      </c>
      <c r="F5392" s="1" t="str">
        <f t="array" ref="F5392">_xlfn.XLOOKUP(A5392,Product!A:A,Product!C:C,"Bulunamadı")</f>
        <v>Art History</v>
      </c>
      <c r="G5392" s="2" t="str">
        <f t="array" ref="G5392">_xlfn.XLOOKUP(A5393,Product!A:A,Product!D:D,"Bulunamadı")</f>
        <v>Oakgate Publishing House</v>
      </c>
      <c r="H5392" s="2">
        <f t="array" ref="H5392">_xlfn.XLOOKUP(A5394,Product!A:A,Product!E:E,"Bulunamadı")</f>
        <v>1.53</v>
      </c>
      <c r="I5392" s="2" t="str">
        <f t="shared" si="1"/>
        <v>90669 - Law - Art History</v>
      </c>
      <c r="J5392" s="2">
        <f t="shared" si="2"/>
        <v>705.33</v>
      </c>
      <c r="K5392" s="17">
        <f t="shared" si="3"/>
        <v>1</v>
      </c>
      <c r="L5392" s="18"/>
    </row>
    <row r="5393" hidden="1">
      <c r="A5393" s="2">
        <f>IFERROR(__xludf.DUMMYFUNCTION("""COMPUTED_VALUE"""),90673.0)</f>
        <v>90673</v>
      </c>
      <c r="B5393" s="2">
        <f>IFERROR(__xludf.DUMMYFUNCTION("""COMPUTED_VALUE"""),0.0)</f>
        <v>0</v>
      </c>
      <c r="C5393" s="2">
        <f>IFERROR(__xludf.DUMMYFUNCTION("""COMPUTED_VALUE"""),794.0)</f>
        <v>794</v>
      </c>
      <c r="D5393" s="3">
        <f>IFERROR(__xludf.DUMMYFUNCTION("""COMPUTED_VALUE"""),673.0)</f>
        <v>673</v>
      </c>
      <c r="E5393" s="1" t="str">
        <f t="array" ref="E5393">_xlfn.XLOOKUP(A5393,Product!A:A,Product!B:B,"Bulunamadı")</f>
        <v>Law</v>
      </c>
      <c r="F5393" s="1" t="str">
        <f t="array" ref="F5393">_xlfn.XLOOKUP(A5393,Product!A:A,Product!C:C,"Bulunamadı")</f>
        <v>Art History</v>
      </c>
      <c r="G5393" s="2" t="str">
        <f t="array" ref="G5393">_xlfn.XLOOKUP(A5394,Product!A:A,Product!D:D,"Bulunamadı")</f>
        <v>Oakgate Publishing House</v>
      </c>
      <c r="H5393" s="2">
        <f t="array" ref="H5393">_xlfn.XLOOKUP(A5395,Product!A:A,Product!E:E,"Bulunamadı")</f>
        <v>1.96</v>
      </c>
      <c r="I5393" s="2" t="str">
        <f t="shared" si="1"/>
        <v>90673 - Law - Art History</v>
      </c>
      <c r="J5393" s="2">
        <f t="shared" si="2"/>
        <v>1319.08</v>
      </c>
      <c r="K5393" s="17">
        <f t="shared" si="3"/>
        <v>1</v>
      </c>
      <c r="L5393" s="18"/>
    </row>
    <row r="5394" hidden="1">
      <c r="A5394" s="2">
        <f>IFERROR(__xludf.DUMMYFUNCTION("""COMPUTED_VALUE"""),68403.0)</f>
        <v>68403</v>
      </c>
      <c r="B5394" s="2">
        <f>IFERROR(__xludf.DUMMYFUNCTION("""COMPUTED_VALUE"""),1.0)</f>
        <v>1</v>
      </c>
      <c r="C5394" s="2">
        <f>IFERROR(__xludf.DUMMYFUNCTION("""COMPUTED_VALUE"""),-10.0)</f>
        <v>-10</v>
      </c>
      <c r="D5394" s="3">
        <f>IFERROR(__xludf.DUMMYFUNCTION("""COMPUTED_VALUE"""),-6.0)</f>
        <v>-6</v>
      </c>
      <c r="E5394" s="1" t="str">
        <f t="array" ref="E5394">_xlfn.XLOOKUP(A5394,Product!A:A,Product!B:B,"Bulunamadı")</f>
        <v>Law</v>
      </c>
      <c r="F5394" s="1" t="str">
        <f t="array" ref="F5394">_xlfn.XLOOKUP(A5394,Product!A:A,Product!C:C,"Bulunamadı")</f>
        <v>Art History</v>
      </c>
      <c r="G5394" s="2" t="str">
        <f t="array" ref="G5394">_xlfn.XLOOKUP(A5395,Product!A:A,Product!D:D,"Bulunamadı")</f>
        <v>Oakgate Publishing House</v>
      </c>
      <c r="H5394" s="2">
        <f t="array" ref="H5394">_xlfn.XLOOKUP(A5396,Product!A:A,Product!E:E,"Bulunamadı")</f>
        <v>1.34</v>
      </c>
      <c r="I5394" s="2" t="str">
        <f t="shared" si="1"/>
        <v>68403 - Law - Art History</v>
      </c>
      <c r="J5394" s="2">
        <f t="shared" si="2"/>
        <v>-8.04</v>
      </c>
      <c r="K5394" s="17">
        <f t="shared" si="3"/>
        <v>0</v>
      </c>
      <c r="L5394" s="18"/>
    </row>
    <row r="5395" hidden="1">
      <c r="A5395" s="2">
        <f>IFERROR(__xludf.DUMMYFUNCTION("""COMPUTED_VALUE"""),76636.0)</f>
        <v>76636</v>
      </c>
      <c r="B5395" s="2">
        <f>IFERROR(__xludf.DUMMYFUNCTION("""COMPUTED_VALUE"""),1.0)</f>
        <v>1</v>
      </c>
      <c r="C5395" s="2">
        <f>IFERROR(__xludf.DUMMYFUNCTION("""COMPUTED_VALUE"""),821.0)</f>
        <v>821</v>
      </c>
      <c r="D5395" s="3">
        <f>IFERROR(__xludf.DUMMYFUNCTION("""COMPUTED_VALUE"""),124.0)</f>
        <v>124</v>
      </c>
      <c r="E5395" s="1" t="str">
        <f t="array" ref="E5395">_xlfn.XLOOKUP(A5395,Product!A:A,Product!B:B,"Bulunamadı")</f>
        <v>Law</v>
      </c>
      <c r="F5395" s="1" t="str">
        <f t="array" ref="F5395">_xlfn.XLOOKUP(A5395,Product!A:A,Product!C:C,"Bulunamadı")</f>
        <v>Art History</v>
      </c>
      <c r="G5395" s="2" t="str">
        <f t="array" ref="G5395">_xlfn.XLOOKUP(A5396,Product!A:A,Product!D:D,"Bulunamadı")</f>
        <v>Oakgate Publishing House</v>
      </c>
      <c r="H5395" s="2">
        <f t="array" ref="H5395">_xlfn.XLOOKUP(A5397,Product!A:A,Product!E:E,"Bulunamadı")</f>
        <v>0.9</v>
      </c>
      <c r="I5395" s="2" t="str">
        <f t="shared" si="1"/>
        <v>76636 - Law - Art History</v>
      </c>
      <c r="J5395" s="2">
        <f t="shared" si="2"/>
        <v>111.6</v>
      </c>
      <c r="K5395" s="17">
        <f t="shared" si="3"/>
        <v>1</v>
      </c>
      <c r="L5395" s="18"/>
    </row>
    <row r="5396" hidden="1">
      <c r="A5396" s="2">
        <f>IFERROR(__xludf.DUMMYFUNCTION("""COMPUTED_VALUE"""),77397.0)</f>
        <v>77397</v>
      </c>
      <c r="B5396" s="2">
        <f>IFERROR(__xludf.DUMMYFUNCTION("""COMPUTED_VALUE"""),0.0)</f>
        <v>0</v>
      </c>
      <c r="C5396" s="2">
        <f>IFERROR(__xludf.DUMMYFUNCTION("""COMPUTED_VALUE"""),189.0)</f>
        <v>189</v>
      </c>
      <c r="D5396" s="3">
        <f>IFERROR(__xludf.DUMMYFUNCTION("""COMPUTED_VALUE"""),19.0)</f>
        <v>19</v>
      </c>
      <c r="E5396" s="1" t="str">
        <f t="array" ref="E5396">_xlfn.XLOOKUP(A5396,Product!A:A,Product!B:B,"Bulunamadı")</f>
        <v>Law</v>
      </c>
      <c r="F5396" s="1" t="str">
        <f t="array" ref="F5396">_xlfn.XLOOKUP(A5396,Product!A:A,Product!C:C,"Bulunamadı")</f>
        <v>Art History</v>
      </c>
      <c r="G5396" s="2" t="str">
        <f t="array" ref="G5396">_xlfn.XLOOKUP(A5397,Product!A:A,Product!D:D,"Bulunamadı")</f>
        <v>Oakgate Publishing House</v>
      </c>
      <c r="H5396" s="2">
        <f t="array" ref="H5396">_xlfn.XLOOKUP(A5398,Product!A:A,Product!E:E,"Bulunamadı")</f>
        <v>0.75</v>
      </c>
      <c r="I5396" s="2" t="str">
        <f t="shared" si="1"/>
        <v>77397 - Law - Art History</v>
      </c>
      <c r="J5396" s="2">
        <f t="shared" si="2"/>
        <v>14.25</v>
      </c>
      <c r="K5396" s="17">
        <f t="shared" si="3"/>
        <v>1</v>
      </c>
      <c r="L5396" s="18"/>
    </row>
    <row r="5397" hidden="1">
      <c r="A5397" s="2">
        <f>IFERROR(__xludf.DUMMYFUNCTION("""COMPUTED_VALUE"""),76195.0)</f>
        <v>76195</v>
      </c>
      <c r="B5397" s="2">
        <f>IFERROR(__xludf.DUMMYFUNCTION("""COMPUTED_VALUE"""),1.0)</f>
        <v>1</v>
      </c>
      <c r="C5397" s="2">
        <f>IFERROR(__xludf.DUMMYFUNCTION("""COMPUTED_VALUE"""),356.0)</f>
        <v>356</v>
      </c>
      <c r="D5397" s="3">
        <f>IFERROR(__xludf.DUMMYFUNCTION("""COMPUTED_VALUE"""),220.0)</f>
        <v>220</v>
      </c>
      <c r="E5397" s="1" t="str">
        <f t="array" ref="E5397">_xlfn.XLOOKUP(A5397,Product!A:A,Product!B:B,"Bulunamadı")</f>
        <v>Law</v>
      </c>
      <c r="F5397" s="1" t="str">
        <f t="array" ref="F5397">_xlfn.XLOOKUP(A5397,Product!A:A,Product!C:C,"Bulunamadı")</f>
        <v>Art History</v>
      </c>
      <c r="G5397" s="2" t="str">
        <f t="array" ref="G5397">_xlfn.XLOOKUP(A5398,Product!A:A,Product!D:D,"Bulunamadı")</f>
        <v>Oakgate Publishing House</v>
      </c>
      <c r="H5397" s="2">
        <f t="array" ref="H5397">_xlfn.XLOOKUP(A5399,Product!A:A,Product!E:E,"Bulunamadı")</f>
        <v>1.07</v>
      </c>
      <c r="I5397" s="2" t="str">
        <f t="shared" si="1"/>
        <v>76195 - Law - Art History</v>
      </c>
      <c r="J5397" s="2">
        <f t="shared" si="2"/>
        <v>235.4</v>
      </c>
      <c r="K5397" s="17">
        <f t="shared" si="3"/>
        <v>1</v>
      </c>
      <c r="L5397" s="18"/>
    </row>
    <row r="5398" hidden="1">
      <c r="A5398" s="2">
        <f>IFERROR(__xludf.DUMMYFUNCTION("""COMPUTED_VALUE"""),90710.0)</f>
        <v>90710</v>
      </c>
      <c r="B5398" s="2">
        <f>IFERROR(__xludf.DUMMYFUNCTION("""COMPUTED_VALUE"""),1.0)</f>
        <v>1</v>
      </c>
      <c r="C5398" s="2">
        <f>IFERROR(__xludf.DUMMYFUNCTION("""COMPUTED_VALUE"""),228.0)</f>
        <v>228</v>
      </c>
      <c r="D5398" s="3">
        <f>IFERROR(__xludf.DUMMYFUNCTION("""COMPUTED_VALUE"""),152.0)</f>
        <v>152</v>
      </c>
      <c r="E5398" s="1" t="str">
        <f t="array" ref="E5398">_xlfn.XLOOKUP(A5398,Product!A:A,Product!B:B,"Bulunamadı")</f>
        <v>Law</v>
      </c>
      <c r="F5398" s="1" t="str">
        <f t="array" ref="F5398">_xlfn.XLOOKUP(A5398,Product!A:A,Product!C:C,"Bulunamadı")</f>
        <v>Art History</v>
      </c>
      <c r="G5398" s="2" t="str">
        <f t="array" ref="G5398">_xlfn.XLOOKUP(A5399,Product!A:A,Product!D:D,"Bulunamadı")</f>
        <v>Oakgate Publishing House</v>
      </c>
      <c r="H5398" s="2">
        <f t="array" ref="H5398">_xlfn.XLOOKUP(A5400,Product!A:A,Product!E:E,"Bulunamadı")</f>
        <v>1.96</v>
      </c>
      <c r="I5398" s="2" t="str">
        <f t="shared" si="1"/>
        <v>90710 - Law - Art History</v>
      </c>
      <c r="J5398" s="2">
        <f t="shared" si="2"/>
        <v>297.92</v>
      </c>
      <c r="K5398" s="17">
        <f t="shared" si="3"/>
        <v>1</v>
      </c>
      <c r="L5398" s="18"/>
    </row>
    <row r="5399" hidden="1">
      <c r="A5399" s="2">
        <f>IFERROR(__xludf.DUMMYFUNCTION("""COMPUTED_VALUE"""),117148.0)</f>
        <v>117148</v>
      </c>
      <c r="B5399" s="2">
        <f>IFERROR(__xludf.DUMMYFUNCTION("""COMPUTED_VALUE"""),0.0)</f>
        <v>0</v>
      </c>
      <c r="C5399" s="2">
        <f>IFERROR(__xludf.DUMMYFUNCTION("""COMPUTED_VALUE"""),58.0)</f>
        <v>58</v>
      </c>
      <c r="D5399" s="3">
        <f>IFERROR(__xludf.DUMMYFUNCTION("""COMPUTED_VALUE"""),35.0)</f>
        <v>35</v>
      </c>
      <c r="E5399" s="1" t="str">
        <f t="array" ref="E5399">_xlfn.XLOOKUP(A5399,Product!A:A,Product!B:B,"Bulunamadı")</f>
        <v>Law</v>
      </c>
      <c r="F5399" s="1" t="str">
        <f t="array" ref="F5399">_xlfn.XLOOKUP(A5399,Product!A:A,Product!C:C,"Bulunamadı")</f>
        <v>Art History</v>
      </c>
      <c r="G5399" s="2" t="str">
        <f t="array" ref="G5399">_xlfn.XLOOKUP(A5400,Product!A:A,Product!D:D,"Bulunamadı")</f>
        <v>Oakgate Publishing House</v>
      </c>
      <c r="H5399" s="2">
        <f t="array" ref="H5399">_xlfn.XLOOKUP(A5401,Product!A:A,Product!E:E,"Bulunamadı")</f>
        <v>0.8</v>
      </c>
      <c r="I5399" s="2" t="str">
        <f t="shared" si="1"/>
        <v>117148 - Law - Art History</v>
      </c>
      <c r="J5399" s="2">
        <f t="shared" si="2"/>
        <v>28</v>
      </c>
      <c r="K5399" s="17">
        <f t="shared" si="3"/>
        <v>1</v>
      </c>
      <c r="L5399" s="18"/>
    </row>
    <row r="5400" hidden="1">
      <c r="A5400" s="2">
        <f>IFERROR(__xludf.DUMMYFUNCTION("""COMPUTED_VALUE"""),5493.0)</f>
        <v>5493</v>
      </c>
      <c r="B5400" s="2">
        <f>IFERROR(__xludf.DUMMYFUNCTION("""COMPUTED_VALUE"""),0.0)</f>
        <v>0</v>
      </c>
      <c r="C5400" s="2">
        <f>IFERROR(__xludf.DUMMYFUNCTION("""COMPUTED_VALUE"""),367.0)</f>
        <v>367</v>
      </c>
      <c r="D5400" s="3">
        <f>IFERROR(__xludf.DUMMYFUNCTION("""COMPUTED_VALUE"""),263.0)</f>
        <v>263</v>
      </c>
      <c r="E5400" s="1" t="str">
        <f t="array" ref="E5400">_xlfn.XLOOKUP(A5400,Product!A:A,Product!B:B,"Bulunamadı")</f>
        <v>Law</v>
      </c>
      <c r="F5400" s="1" t="str">
        <f t="array" ref="F5400">_xlfn.XLOOKUP(A5400,Product!A:A,Product!C:C,"Bulunamadı")</f>
        <v>Art History</v>
      </c>
      <c r="G5400" s="2" t="str">
        <f t="array" ref="G5400">_xlfn.XLOOKUP(A5401,Product!A:A,Product!D:D,"Bulunamadı")</f>
        <v>Oakgate Publishing House</v>
      </c>
      <c r="H5400" s="2">
        <f t="array" ref="H5400">_xlfn.XLOOKUP(A5402,Product!A:A,Product!E:E,"Bulunamadı")</f>
        <v>1.5</v>
      </c>
      <c r="I5400" s="2" t="str">
        <f t="shared" si="1"/>
        <v>5493 - Law - Art History</v>
      </c>
      <c r="J5400" s="2">
        <f t="shared" si="2"/>
        <v>394.5</v>
      </c>
      <c r="K5400" s="17">
        <f t="shared" si="3"/>
        <v>1</v>
      </c>
      <c r="L5400" s="18"/>
    </row>
    <row r="5401" hidden="1">
      <c r="A5401" s="2">
        <f>IFERROR(__xludf.DUMMYFUNCTION("""COMPUTED_VALUE"""),76671.0)</f>
        <v>76671</v>
      </c>
      <c r="B5401" s="2">
        <f>IFERROR(__xludf.DUMMYFUNCTION("""COMPUTED_VALUE"""),1.0)</f>
        <v>1</v>
      </c>
      <c r="C5401" s="2">
        <f>IFERROR(__xludf.DUMMYFUNCTION("""COMPUTED_VALUE"""),648.0)</f>
        <v>648</v>
      </c>
      <c r="D5401" s="3">
        <f>IFERROR(__xludf.DUMMYFUNCTION("""COMPUTED_VALUE"""),321.0)</f>
        <v>321</v>
      </c>
      <c r="E5401" s="1" t="str">
        <f t="array" ref="E5401">_xlfn.XLOOKUP(A5401,Product!A:A,Product!B:B,"Bulunamadı")</f>
        <v>Law</v>
      </c>
      <c r="F5401" s="1" t="str">
        <f t="array" ref="F5401">_xlfn.XLOOKUP(A5401,Product!A:A,Product!C:C,"Bulunamadı")</f>
        <v>Art History</v>
      </c>
      <c r="G5401" s="2" t="str">
        <f t="array" ref="G5401">_xlfn.XLOOKUP(A5402,Product!A:A,Product!D:D,"Bulunamadı")</f>
        <v>Oakgate Publishing House</v>
      </c>
      <c r="H5401" s="2">
        <f t="array" ref="H5401">_xlfn.XLOOKUP(A5403,Product!A:A,Product!E:E,"Bulunamadı")</f>
        <v>0.92</v>
      </c>
      <c r="I5401" s="2" t="str">
        <f t="shared" si="1"/>
        <v>76671 - Law - Art History</v>
      </c>
      <c r="J5401" s="2">
        <f t="shared" si="2"/>
        <v>295.32</v>
      </c>
      <c r="K5401" s="17">
        <f t="shared" si="3"/>
        <v>1</v>
      </c>
      <c r="L5401" s="18"/>
    </row>
    <row r="5402" hidden="1">
      <c r="A5402" s="2">
        <f>IFERROR(__xludf.DUMMYFUNCTION("""COMPUTED_VALUE"""),90678.0)</f>
        <v>90678</v>
      </c>
      <c r="B5402" s="2">
        <f>IFERROR(__xludf.DUMMYFUNCTION("""COMPUTED_VALUE"""),1.0)</f>
        <v>1</v>
      </c>
      <c r="C5402" s="2">
        <f>IFERROR(__xludf.DUMMYFUNCTION("""COMPUTED_VALUE"""),866.0)</f>
        <v>866</v>
      </c>
      <c r="D5402" s="3">
        <f>IFERROR(__xludf.DUMMYFUNCTION("""COMPUTED_VALUE"""),125.0)</f>
        <v>125</v>
      </c>
      <c r="E5402" s="1" t="str">
        <f t="array" ref="E5402">_xlfn.XLOOKUP(A5402,Product!A:A,Product!B:B,"Bulunamadı")</f>
        <v>Law</v>
      </c>
      <c r="F5402" s="1" t="str">
        <f t="array" ref="F5402">_xlfn.XLOOKUP(A5402,Product!A:A,Product!C:C,"Bulunamadı")</f>
        <v>Art History</v>
      </c>
      <c r="G5402" s="2" t="str">
        <f t="array" ref="G5402">_xlfn.XLOOKUP(A5403,Product!A:A,Product!D:D,"Bulunamadı")</f>
        <v>Oakgate Publishing House</v>
      </c>
      <c r="H5402" s="2">
        <f t="array" ref="H5402">_xlfn.XLOOKUP(A5404,Product!A:A,Product!E:E,"Bulunamadı")</f>
        <v>1.44</v>
      </c>
      <c r="I5402" s="2" t="str">
        <f t="shared" si="1"/>
        <v>90678 - Law - Art History</v>
      </c>
      <c r="J5402" s="2">
        <f t="shared" si="2"/>
        <v>180</v>
      </c>
      <c r="K5402" s="17">
        <f t="shared" si="3"/>
        <v>1</v>
      </c>
      <c r="L5402" s="18"/>
    </row>
    <row r="5403" hidden="1">
      <c r="A5403" s="2">
        <f>IFERROR(__xludf.DUMMYFUNCTION("""COMPUTED_VALUE"""),76207.0)</f>
        <v>76207</v>
      </c>
      <c r="B5403" s="2">
        <f>IFERROR(__xludf.DUMMYFUNCTION("""COMPUTED_VALUE"""),0.0)</f>
        <v>0</v>
      </c>
      <c r="C5403" s="2">
        <f>IFERROR(__xludf.DUMMYFUNCTION("""COMPUTED_VALUE"""),50.0)</f>
        <v>50</v>
      </c>
      <c r="D5403" s="3">
        <f>IFERROR(__xludf.DUMMYFUNCTION("""COMPUTED_VALUE"""),15.0)</f>
        <v>15</v>
      </c>
      <c r="E5403" s="1" t="str">
        <f t="array" ref="E5403">_xlfn.XLOOKUP(A5403,Product!A:A,Product!B:B,"Bulunamadı")</f>
        <v>Law</v>
      </c>
      <c r="F5403" s="1" t="str">
        <f t="array" ref="F5403">_xlfn.XLOOKUP(A5403,Product!A:A,Product!C:C,"Bulunamadı")</f>
        <v>Art History</v>
      </c>
      <c r="G5403" s="2" t="str">
        <f t="array" ref="G5403">_xlfn.XLOOKUP(A5404,Product!A:A,Product!D:D,"Bulunamadı")</f>
        <v>Oakgate Publishing House</v>
      </c>
      <c r="H5403" s="2">
        <f t="array" ref="H5403">_xlfn.XLOOKUP(A5405,Product!A:A,Product!E:E,"Bulunamadı")</f>
        <v>0.8</v>
      </c>
      <c r="I5403" s="2" t="str">
        <f t="shared" si="1"/>
        <v>76207 - Law - Art History</v>
      </c>
      <c r="J5403" s="2">
        <f t="shared" si="2"/>
        <v>12</v>
      </c>
      <c r="K5403" s="17">
        <f t="shared" si="3"/>
        <v>1</v>
      </c>
      <c r="L5403" s="18"/>
    </row>
    <row r="5404" hidden="1">
      <c r="A5404" s="2">
        <f>IFERROR(__xludf.DUMMYFUNCTION("""COMPUTED_VALUE"""),5500.0)</f>
        <v>5500</v>
      </c>
      <c r="B5404" s="2">
        <f>IFERROR(__xludf.DUMMYFUNCTION("""COMPUTED_VALUE"""),0.0)</f>
        <v>0</v>
      </c>
      <c r="C5404" s="2">
        <f>IFERROR(__xludf.DUMMYFUNCTION("""COMPUTED_VALUE"""),379.0)</f>
        <v>379</v>
      </c>
      <c r="D5404" s="3">
        <f>IFERROR(__xludf.DUMMYFUNCTION("""COMPUTED_VALUE"""),205.0)</f>
        <v>205</v>
      </c>
      <c r="E5404" s="1" t="str">
        <f t="array" ref="E5404">_xlfn.XLOOKUP(A5404,Product!A:A,Product!B:B,"Bulunamadı")</f>
        <v>Law</v>
      </c>
      <c r="F5404" s="1" t="str">
        <f t="array" ref="F5404">_xlfn.XLOOKUP(A5404,Product!A:A,Product!C:C,"Bulunamadı")</f>
        <v>Art History</v>
      </c>
      <c r="G5404" s="2" t="str">
        <f t="array" ref="G5404">_xlfn.XLOOKUP(A5405,Product!A:A,Product!D:D,"Bulunamadı")</f>
        <v>Oakgate Publishing House</v>
      </c>
      <c r="H5404" s="2">
        <f t="array" ref="H5404">_xlfn.XLOOKUP(A5406,Product!A:A,Product!E:E,"Bulunamadı")</f>
        <v>2.76</v>
      </c>
      <c r="I5404" s="2" t="str">
        <f t="shared" si="1"/>
        <v>5500 - Law - Art History</v>
      </c>
      <c r="J5404" s="2">
        <f t="shared" si="2"/>
        <v>565.8</v>
      </c>
      <c r="K5404" s="17">
        <f t="shared" si="3"/>
        <v>1</v>
      </c>
      <c r="L5404" s="18"/>
    </row>
    <row r="5405" hidden="1">
      <c r="A5405" s="2">
        <f>IFERROR(__xludf.DUMMYFUNCTION("""COMPUTED_VALUE"""),122081.0)</f>
        <v>122081</v>
      </c>
      <c r="B5405" s="2">
        <f>IFERROR(__xludf.DUMMYFUNCTION("""COMPUTED_VALUE"""),1.0)</f>
        <v>1</v>
      </c>
      <c r="C5405" s="2">
        <f>IFERROR(__xludf.DUMMYFUNCTION("""COMPUTED_VALUE"""),739.0)</f>
        <v>739</v>
      </c>
      <c r="D5405" s="3">
        <f>IFERROR(__xludf.DUMMYFUNCTION("""COMPUTED_VALUE"""),550.0)</f>
        <v>550</v>
      </c>
      <c r="E5405" s="1" t="str">
        <f t="array" ref="E5405">_xlfn.XLOOKUP(A5405,Product!A:A,Product!B:B,"Bulunamadı")</f>
        <v>Law</v>
      </c>
      <c r="F5405" s="1" t="str">
        <f t="array" ref="F5405">_xlfn.XLOOKUP(A5405,Product!A:A,Product!C:C,"Bulunamadı")</f>
        <v>Art History</v>
      </c>
      <c r="G5405" s="2" t="str">
        <f t="array" ref="G5405">_xlfn.XLOOKUP(A5406,Product!A:A,Product!D:D,"Bulunamadı")</f>
        <v>Oakgate Publishing House</v>
      </c>
      <c r="H5405" s="2">
        <f t="array" ref="H5405">_xlfn.XLOOKUP(A5407,Product!A:A,Product!E:E,"Bulunamadı")</f>
        <v>2.45</v>
      </c>
      <c r="I5405" s="2" t="str">
        <f t="shared" si="1"/>
        <v>122081 - Law - Art History</v>
      </c>
      <c r="J5405" s="2">
        <f t="shared" si="2"/>
        <v>1347.5</v>
      </c>
      <c r="K5405" s="17">
        <f t="shared" si="3"/>
        <v>1</v>
      </c>
      <c r="L5405" s="18"/>
    </row>
    <row r="5406" hidden="1">
      <c r="A5406" s="2">
        <f>IFERROR(__xludf.DUMMYFUNCTION("""COMPUTED_VALUE"""),77396.0)</f>
        <v>77396</v>
      </c>
      <c r="B5406" s="2">
        <f>IFERROR(__xludf.DUMMYFUNCTION("""COMPUTED_VALUE"""),1.0)</f>
        <v>1</v>
      </c>
      <c r="C5406" s="2">
        <f>IFERROR(__xludf.DUMMYFUNCTION("""COMPUTED_VALUE"""),434.0)</f>
        <v>434</v>
      </c>
      <c r="D5406" s="3">
        <f>IFERROR(__xludf.DUMMYFUNCTION("""COMPUTED_VALUE"""),354.0)</f>
        <v>354</v>
      </c>
      <c r="E5406" s="1" t="str">
        <f t="array" ref="E5406">_xlfn.XLOOKUP(A5406,Product!A:A,Product!B:B,"Bulunamadı")</f>
        <v>Law</v>
      </c>
      <c r="F5406" s="1" t="str">
        <f t="array" ref="F5406">_xlfn.XLOOKUP(A5406,Product!A:A,Product!C:C,"Bulunamadı")</f>
        <v>Art History</v>
      </c>
      <c r="G5406" s="2" t="str">
        <f t="array" ref="G5406">_xlfn.XLOOKUP(A5407,Product!A:A,Product!D:D,"Bulunamadı")</f>
        <v>Oakgate Publishing House</v>
      </c>
      <c r="H5406" s="2">
        <f t="array" ref="H5406">_xlfn.XLOOKUP(A5408,Product!A:A,Product!E:E,"Bulunamadı")</f>
        <v>1.47</v>
      </c>
      <c r="I5406" s="2" t="str">
        <f t="shared" si="1"/>
        <v>77396 - Law - Art History</v>
      </c>
      <c r="J5406" s="2">
        <f t="shared" si="2"/>
        <v>520.38</v>
      </c>
      <c r="K5406" s="17">
        <f t="shared" si="3"/>
        <v>1</v>
      </c>
      <c r="L5406" s="18"/>
    </row>
    <row r="5407" hidden="1">
      <c r="A5407" s="2">
        <f>IFERROR(__xludf.DUMMYFUNCTION("""COMPUTED_VALUE"""),77398.0)</f>
        <v>77398</v>
      </c>
      <c r="B5407" s="2">
        <f>IFERROR(__xludf.DUMMYFUNCTION("""COMPUTED_VALUE"""),1.0)</f>
        <v>1</v>
      </c>
      <c r="C5407" s="2">
        <f>IFERROR(__xludf.DUMMYFUNCTION("""COMPUTED_VALUE"""),313.0)</f>
        <v>313</v>
      </c>
      <c r="D5407" s="3">
        <f>IFERROR(__xludf.DUMMYFUNCTION("""COMPUTED_VALUE"""),309.0)</f>
        <v>309</v>
      </c>
      <c r="E5407" s="1" t="str">
        <f t="array" ref="E5407">_xlfn.XLOOKUP(A5407,Product!A:A,Product!B:B,"Bulunamadı")</f>
        <v>Law</v>
      </c>
      <c r="F5407" s="1" t="str">
        <f t="array" ref="F5407">_xlfn.XLOOKUP(A5407,Product!A:A,Product!C:C,"Bulunamadı")</f>
        <v>Art History</v>
      </c>
      <c r="G5407" s="2" t="str">
        <f t="array" ref="G5407">_xlfn.XLOOKUP(A5408,Product!A:A,Product!D:D,"Bulunamadı")</f>
        <v>Oakgate Publishing House</v>
      </c>
      <c r="H5407" s="2">
        <f t="array" ref="H5407">_xlfn.XLOOKUP(A5409,Product!A:A,Product!E:E,"Bulunamadı")</f>
        <v>2.64</v>
      </c>
      <c r="I5407" s="2" t="str">
        <f t="shared" si="1"/>
        <v>77398 - Law - Art History</v>
      </c>
      <c r="J5407" s="2">
        <f t="shared" si="2"/>
        <v>815.76</v>
      </c>
      <c r="K5407" s="17">
        <f t="shared" si="3"/>
        <v>1</v>
      </c>
      <c r="L5407" s="18"/>
    </row>
    <row r="5408" hidden="1">
      <c r="A5408" s="2">
        <f>IFERROR(__xludf.DUMMYFUNCTION("""COMPUTED_VALUE"""),90716.0)</f>
        <v>90716</v>
      </c>
      <c r="B5408" s="2">
        <f>IFERROR(__xludf.DUMMYFUNCTION("""COMPUTED_VALUE"""),0.0)</f>
        <v>0</v>
      </c>
      <c r="C5408" s="2">
        <f>IFERROR(__xludf.DUMMYFUNCTION("""COMPUTED_VALUE"""),620.0)</f>
        <v>620</v>
      </c>
      <c r="D5408" s="3">
        <f>IFERROR(__xludf.DUMMYFUNCTION("""COMPUTED_VALUE"""),606.0)</f>
        <v>606</v>
      </c>
      <c r="E5408" s="1" t="str">
        <f t="array" ref="E5408">_xlfn.XLOOKUP(A5408,Product!A:A,Product!B:B,"Bulunamadı")</f>
        <v>Law</v>
      </c>
      <c r="F5408" s="1" t="str">
        <f t="array" ref="F5408">_xlfn.XLOOKUP(A5408,Product!A:A,Product!C:C,"Bulunamadı")</f>
        <v>Art History</v>
      </c>
      <c r="G5408" s="2" t="str">
        <f t="array" ref="G5408">_xlfn.XLOOKUP(A5409,Product!A:A,Product!D:D,"Bulunamadı")</f>
        <v>Rivergate Publishing House</v>
      </c>
      <c r="H5408" s="2">
        <f t="array" ref="H5408">_xlfn.XLOOKUP(A5410,Product!A:A,Product!E:E,"Bulunamadı")</f>
        <v>0.82</v>
      </c>
      <c r="I5408" s="2" t="str">
        <f t="shared" si="1"/>
        <v>90716 - Law - Art History</v>
      </c>
      <c r="J5408" s="2">
        <f t="shared" si="2"/>
        <v>496.92</v>
      </c>
      <c r="K5408" s="17">
        <f t="shared" si="3"/>
        <v>1</v>
      </c>
      <c r="L5408" s="18"/>
    </row>
    <row r="5409" hidden="1">
      <c r="A5409" s="2">
        <f>IFERROR(__xludf.DUMMYFUNCTION("""COMPUTED_VALUE"""),122846.0)</f>
        <v>122846</v>
      </c>
      <c r="B5409" s="2">
        <f>IFERROR(__xludf.DUMMYFUNCTION("""COMPUTED_VALUE"""),0.0)</f>
        <v>0</v>
      </c>
      <c r="C5409" s="2">
        <f>IFERROR(__xludf.DUMMYFUNCTION("""COMPUTED_VALUE"""),324.0)</f>
        <v>324</v>
      </c>
      <c r="D5409" s="3">
        <f>IFERROR(__xludf.DUMMYFUNCTION("""COMPUTED_VALUE"""),157.0)</f>
        <v>157</v>
      </c>
      <c r="E5409" s="1" t="str">
        <f t="array" ref="E5409">_xlfn.XLOOKUP(A5409,Product!A:A,Product!B:B,"Bulunamadı")</f>
        <v>Law</v>
      </c>
      <c r="F5409" s="1" t="str">
        <f t="array" ref="F5409">_xlfn.XLOOKUP(A5409,Product!A:A,Product!C:C,"Bulunamadı")</f>
        <v>Art History</v>
      </c>
      <c r="G5409" s="2" t="str">
        <f t="array" ref="G5409">_xlfn.XLOOKUP(A5410,Product!A:A,Product!D:D,"Bulunamadı")</f>
        <v>Rivergate Publishing House</v>
      </c>
      <c r="H5409" s="2">
        <f t="array" ref="H5409">_xlfn.XLOOKUP(A5411,Product!A:A,Product!E:E,"Bulunamadı")</f>
        <v>2.38</v>
      </c>
      <c r="I5409" s="2" t="str">
        <f t="shared" si="1"/>
        <v>122846 - Law - Art History</v>
      </c>
      <c r="J5409" s="2">
        <f t="shared" si="2"/>
        <v>373.66</v>
      </c>
      <c r="K5409" s="17">
        <f t="shared" si="3"/>
        <v>1</v>
      </c>
      <c r="L5409" s="18"/>
    </row>
    <row r="5410" hidden="1">
      <c r="A5410" s="2">
        <f>IFERROR(__xludf.DUMMYFUNCTION("""COMPUTED_VALUE"""),77410.0)</f>
        <v>77410</v>
      </c>
      <c r="B5410" s="2">
        <f>IFERROR(__xludf.DUMMYFUNCTION("""COMPUTED_VALUE"""),1.0)</f>
        <v>1</v>
      </c>
      <c r="C5410" s="2">
        <f>IFERROR(__xludf.DUMMYFUNCTION("""COMPUTED_VALUE"""),255.0)</f>
        <v>255</v>
      </c>
      <c r="D5410" s="3">
        <f>IFERROR(__xludf.DUMMYFUNCTION("""COMPUTED_VALUE"""),57.0)</f>
        <v>57</v>
      </c>
      <c r="E5410" s="1" t="str">
        <f t="array" ref="E5410">_xlfn.XLOOKUP(A5410,Product!A:A,Product!B:B,"Bulunamadı")</f>
        <v>Law</v>
      </c>
      <c r="F5410" s="1" t="str">
        <f t="array" ref="F5410">_xlfn.XLOOKUP(A5410,Product!A:A,Product!C:C,"Bulunamadı")</f>
        <v>Art History</v>
      </c>
      <c r="G5410" s="2" t="str">
        <f t="array" ref="G5410">_xlfn.XLOOKUP(A5411,Product!A:A,Product!D:D,"Bulunamadı")</f>
        <v>Rivergate Publishing House</v>
      </c>
      <c r="H5410" s="2">
        <f t="array" ref="H5410">_xlfn.XLOOKUP(A5412,Product!A:A,Product!E:E,"Bulunamadı")</f>
        <v>2.89</v>
      </c>
      <c r="I5410" s="2" t="str">
        <f t="shared" si="1"/>
        <v>77410 - Law - Art History</v>
      </c>
      <c r="J5410" s="2">
        <f t="shared" si="2"/>
        <v>164.73</v>
      </c>
      <c r="K5410" s="17">
        <f t="shared" si="3"/>
        <v>1</v>
      </c>
      <c r="L5410" s="18"/>
    </row>
    <row r="5411" hidden="1">
      <c r="A5411" s="2">
        <f>IFERROR(__xludf.DUMMYFUNCTION("""COMPUTED_VALUE"""),87083.0)</f>
        <v>87083</v>
      </c>
      <c r="B5411" s="2">
        <f>IFERROR(__xludf.DUMMYFUNCTION("""COMPUTED_VALUE"""),0.0)</f>
        <v>0</v>
      </c>
      <c r="C5411" s="2">
        <f>IFERROR(__xludf.DUMMYFUNCTION("""COMPUTED_VALUE"""),200.0)</f>
        <v>200</v>
      </c>
      <c r="D5411" s="3">
        <f>IFERROR(__xludf.DUMMYFUNCTION("""COMPUTED_VALUE"""),122.0)</f>
        <v>122</v>
      </c>
      <c r="E5411" s="1" t="str">
        <f t="array" ref="E5411">_xlfn.XLOOKUP(A5411,Product!A:A,Product!B:B,"Bulunamadı")</f>
        <v>Law</v>
      </c>
      <c r="F5411" s="1" t="str">
        <f t="array" ref="F5411">_xlfn.XLOOKUP(A5411,Product!A:A,Product!C:C,"Bulunamadı")</f>
        <v>Art History</v>
      </c>
      <c r="G5411" s="2" t="str">
        <f t="array" ref="G5411">_xlfn.XLOOKUP(A5412,Product!A:A,Product!D:D,"Bulunamadı")</f>
        <v>Rivergate Publishing House</v>
      </c>
      <c r="H5411" s="2">
        <f t="array" ref="H5411">_xlfn.XLOOKUP(A5413,Product!A:A,Product!E:E,"Bulunamadı")</f>
        <v>1.23</v>
      </c>
      <c r="I5411" s="2" t="str">
        <f t="shared" si="1"/>
        <v>87083 - Law - Art History</v>
      </c>
      <c r="J5411" s="2">
        <f t="shared" si="2"/>
        <v>150.06</v>
      </c>
      <c r="K5411" s="17">
        <f t="shared" si="3"/>
        <v>1</v>
      </c>
      <c r="L5411" s="18"/>
    </row>
    <row r="5412" hidden="1">
      <c r="A5412" s="2">
        <f>IFERROR(__xludf.DUMMYFUNCTION("""COMPUTED_VALUE"""),73630.0)</f>
        <v>73630</v>
      </c>
      <c r="B5412" s="2">
        <f>IFERROR(__xludf.DUMMYFUNCTION("""COMPUTED_VALUE"""),1.0)</f>
        <v>1</v>
      </c>
      <c r="C5412" s="2">
        <f>IFERROR(__xludf.DUMMYFUNCTION("""COMPUTED_VALUE"""),315.0)</f>
        <v>315</v>
      </c>
      <c r="D5412" s="3">
        <f>IFERROR(__xludf.DUMMYFUNCTION("""COMPUTED_VALUE"""),49.0)</f>
        <v>49</v>
      </c>
      <c r="E5412" s="1" t="str">
        <f t="array" ref="E5412">_xlfn.XLOOKUP(A5412,Product!A:A,Product!B:B,"Bulunamadı")</f>
        <v>Law</v>
      </c>
      <c r="F5412" s="1" t="str">
        <f t="array" ref="F5412">_xlfn.XLOOKUP(A5412,Product!A:A,Product!C:C,"Bulunamadı")</f>
        <v>Art History</v>
      </c>
      <c r="G5412" s="2" t="str">
        <f t="array" ref="G5412">_xlfn.XLOOKUP(A5413,Product!A:A,Product!D:D,"Bulunamadı")</f>
        <v>Rivergate Publishing House</v>
      </c>
      <c r="H5412" s="2">
        <f t="array" ref="H5412">_xlfn.XLOOKUP(A5414,Product!A:A,Product!E:E,"Bulunamadı")</f>
        <v>1.01</v>
      </c>
      <c r="I5412" s="2" t="str">
        <f t="shared" si="1"/>
        <v>73630 - Law - Art History</v>
      </c>
      <c r="J5412" s="2">
        <f t="shared" si="2"/>
        <v>49.49</v>
      </c>
      <c r="K5412" s="17">
        <f t="shared" si="3"/>
        <v>1</v>
      </c>
      <c r="L5412" s="18"/>
    </row>
    <row r="5413" hidden="1">
      <c r="A5413" s="2">
        <f>IFERROR(__xludf.DUMMYFUNCTION("""COMPUTED_VALUE"""),90659.0)</f>
        <v>90659</v>
      </c>
      <c r="B5413" s="2">
        <f>IFERROR(__xludf.DUMMYFUNCTION("""COMPUTED_VALUE"""),1.0)</f>
        <v>1</v>
      </c>
      <c r="C5413" s="2">
        <f>IFERROR(__xludf.DUMMYFUNCTION("""COMPUTED_VALUE"""),321.0)</f>
        <v>321</v>
      </c>
      <c r="D5413" s="3">
        <f>IFERROR(__xludf.DUMMYFUNCTION("""COMPUTED_VALUE"""),273.0)</f>
        <v>273</v>
      </c>
      <c r="E5413" s="1" t="str">
        <f t="array" ref="E5413">_xlfn.XLOOKUP(A5413,Product!A:A,Product!B:B,"Bulunamadı")</f>
        <v>Law</v>
      </c>
      <c r="F5413" s="1" t="str">
        <f t="array" ref="F5413">_xlfn.XLOOKUP(A5413,Product!A:A,Product!C:C,"Bulunamadı")</f>
        <v>Art History</v>
      </c>
      <c r="G5413" s="2" t="str">
        <f t="array" ref="G5413">_xlfn.XLOOKUP(A5414,Product!A:A,Product!D:D,"Bulunamadı")</f>
        <v>Rivergate Publishing House</v>
      </c>
      <c r="H5413" s="2">
        <f t="array" ref="H5413">_xlfn.XLOOKUP(A5415,Product!A:A,Product!E:E,"Bulunamadı")</f>
        <v>3.7</v>
      </c>
      <c r="I5413" s="2" t="str">
        <f t="shared" si="1"/>
        <v>90659 - Law - Art History</v>
      </c>
      <c r="J5413" s="2">
        <f t="shared" si="2"/>
        <v>1010.1</v>
      </c>
      <c r="K5413" s="17">
        <f t="shared" si="3"/>
        <v>1</v>
      </c>
      <c r="L5413" s="18"/>
    </row>
    <row r="5414" hidden="1">
      <c r="A5414" s="2">
        <f>IFERROR(__xludf.DUMMYFUNCTION("""COMPUTED_VALUE"""),122079.0)</f>
        <v>122079</v>
      </c>
      <c r="B5414" s="2">
        <f>IFERROR(__xludf.DUMMYFUNCTION("""COMPUTED_VALUE"""),1.0)</f>
        <v>1</v>
      </c>
      <c r="C5414" s="2">
        <f>IFERROR(__xludf.DUMMYFUNCTION("""COMPUTED_VALUE"""),454.0)</f>
        <v>454</v>
      </c>
      <c r="D5414" s="3">
        <f>IFERROR(__xludf.DUMMYFUNCTION("""COMPUTED_VALUE"""),370.0)</f>
        <v>370</v>
      </c>
      <c r="E5414" s="1" t="str">
        <f t="array" ref="E5414">_xlfn.XLOOKUP(A5414,Product!A:A,Product!B:B,"Bulunamadı")</f>
        <v>Law</v>
      </c>
      <c r="F5414" s="1" t="str">
        <f t="array" ref="F5414">_xlfn.XLOOKUP(A5414,Product!A:A,Product!C:C,"Bulunamadı")</f>
        <v>Art History</v>
      </c>
      <c r="G5414" s="2" t="str">
        <f t="array" ref="G5414">_xlfn.XLOOKUP(A5415,Product!A:A,Product!D:D,"Bulunamadı")</f>
        <v>Rivergate Publishing House</v>
      </c>
      <c r="H5414" s="2">
        <f t="array" ref="H5414">_xlfn.XLOOKUP(A5416,Product!A:A,Product!E:E,"Bulunamadı")</f>
        <v>2.64</v>
      </c>
      <c r="I5414" s="2" t="str">
        <f t="shared" si="1"/>
        <v>122079 - Law - Art History</v>
      </c>
      <c r="J5414" s="2">
        <f t="shared" si="2"/>
        <v>976.8</v>
      </c>
      <c r="K5414" s="17">
        <f t="shared" si="3"/>
        <v>1</v>
      </c>
      <c r="L5414" s="18"/>
    </row>
    <row r="5415" hidden="1">
      <c r="A5415" s="2">
        <f>IFERROR(__xludf.DUMMYFUNCTION("""COMPUTED_VALUE"""),5551.0)</f>
        <v>5551</v>
      </c>
      <c r="B5415" s="2">
        <f>IFERROR(__xludf.DUMMYFUNCTION("""COMPUTED_VALUE"""),1.0)</f>
        <v>1</v>
      </c>
      <c r="C5415" s="2">
        <f>IFERROR(__xludf.DUMMYFUNCTION("""COMPUTED_VALUE"""),630.0)</f>
        <v>630</v>
      </c>
      <c r="D5415" s="3">
        <f>IFERROR(__xludf.DUMMYFUNCTION("""COMPUTED_VALUE"""),119.0)</f>
        <v>119</v>
      </c>
      <c r="E5415" s="1" t="str">
        <f t="array" ref="E5415">_xlfn.XLOOKUP(A5415,Product!A:A,Product!B:B,"Bulunamadı")</f>
        <v>Law</v>
      </c>
      <c r="F5415" s="1" t="str">
        <f t="array" ref="F5415">_xlfn.XLOOKUP(A5415,Product!A:A,Product!C:C,"Bulunamadı")</f>
        <v>Art History</v>
      </c>
      <c r="G5415" s="2" t="str">
        <f t="array" ref="G5415">_xlfn.XLOOKUP(A5416,Product!A:A,Product!D:D,"Bulunamadı")</f>
        <v>Rivergate Publishing House</v>
      </c>
      <c r="H5415" s="2">
        <f t="array" ref="H5415">_xlfn.XLOOKUP(A5417,Product!A:A,Product!E:E,"Bulunamadı")</f>
        <v>1.69</v>
      </c>
      <c r="I5415" s="2" t="str">
        <f t="shared" si="1"/>
        <v>5551 - Law - Art History</v>
      </c>
      <c r="J5415" s="2">
        <f t="shared" si="2"/>
        <v>201.11</v>
      </c>
      <c r="K5415" s="17">
        <f t="shared" si="3"/>
        <v>1</v>
      </c>
      <c r="L5415" s="18"/>
    </row>
    <row r="5416" hidden="1">
      <c r="A5416" s="2">
        <f>IFERROR(__xludf.DUMMYFUNCTION("""COMPUTED_VALUE"""),90624.0)</f>
        <v>90624</v>
      </c>
      <c r="B5416" s="2">
        <f>IFERROR(__xludf.DUMMYFUNCTION("""COMPUTED_VALUE"""),0.0)</f>
        <v>0</v>
      </c>
      <c r="C5416" s="2">
        <f>IFERROR(__xludf.DUMMYFUNCTION("""COMPUTED_VALUE"""),448.0)</f>
        <v>448</v>
      </c>
      <c r="D5416" s="3">
        <f>IFERROR(__xludf.DUMMYFUNCTION("""COMPUTED_VALUE"""),308.0)</f>
        <v>308</v>
      </c>
      <c r="E5416" s="1" t="str">
        <f t="array" ref="E5416">_xlfn.XLOOKUP(A5416,Product!A:A,Product!B:B,"Bulunamadı")</f>
        <v>Law</v>
      </c>
      <c r="F5416" s="1" t="str">
        <f t="array" ref="F5416">_xlfn.XLOOKUP(A5416,Product!A:A,Product!C:C,"Bulunamadı")</f>
        <v>Art History</v>
      </c>
      <c r="G5416" s="2" t="str">
        <f t="array" ref="G5416">_xlfn.XLOOKUP(A5417,Product!A:A,Product!D:D,"Bulunamadı")</f>
        <v>Rivergate Publishing House</v>
      </c>
      <c r="H5416" s="2">
        <f t="array" ref="H5416">_xlfn.XLOOKUP(A5418,Product!A:A,Product!E:E,"Bulunamadı")</f>
        <v>1.02</v>
      </c>
      <c r="I5416" s="2" t="str">
        <f t="shared" si="1"/>
        <v>90624 - Law - Art History</v>
      </c>
      <c r="J5416" s="2">
        <f t="shared" si="2"/>
        <v>314.16</v>
      </c>
      <c r="K5416" s="17">
        <f t="shared" si="3"/>
        <v>1</v>
      </c>
      <c r="L5416" s="18"/>
    </row>
    <row r="5417" hidden="1">
      <c r="A5417" s="2">
        <f>IFERROR(__xludf.DUMMYFUNCTION("""COMPUTED_VALUE"""),29100.0)</f>
        <v>29100</v>
      </c>
      <c r="B5417" s="2">
        <f>IFERROR(__xludf.DUMMYFUNCTION("""COMPUTED_VALUE"""),1.0)</f>
        <v>1</v>
      </c>
      <c r="C5417" s="2">
        <f>IFERROR(__xludf.DUMMYFUNCTION("""COMPUTED_VALUE"""),164.0)</f>
        <v>164</v>
      </c>
      <c r="D5417" s="3">
        <f>IFERROR(__xludf.DUMMYFUNCTION("""COMPUTED_VALUE"""),54.0)</f>
        <v>54</v>
      </c>
      <c r="E5417" s="1" t="str">
        <f t="array" ref="E5417">_xlfn.XLOOKUP(A5417,Product!A:A,Product!B:B,"Bulunamadı")</f>
        <v>Law</v>
      </c>
      <c r="F5417" s="1" t="str">
        <f t="array" ref="F5417">_xlfn.XLOOKUP(A5417,Product!A:A,Product!C:C,"Bulunamadı")</f>
        <v>Art History</v>
      </c>
      <c r="G5417" s="2" t="str">
        <f t="array" ref="G5417">_xlfn.XLOOKUP(A5418,Product!A:A,Product!D:D,"Bulunamadı")</f>
        <v>Rivergate Publishing House</v>
      </c>
      <c r="H5417" s="2">
        <f t="array" ref="H5417">_xlfn.XLOOKUP(A5419,Product!A:A,Product!E:E,"Bulunamadı")</f>
        <v>1.82</v>
      </c>
      <c r="I5417" s="2" t="str">
        <f t="shared" si="1"/>
        <v>29100 - Law - Art History</v>
      </c>
      <c r="J5417" s="2">
        <f t="shared" si="2"/>
        <v>98.28</v>
      </c>
      <c r="K5417" s="17">
        <f t="shared" si="3"/>
        <v>1</v>
      </c>
      <c r="L5417" s="18"/>
    </row>
    <row r="5418" hidden="1">
      <c r="A5418" s="2">
        <f>IFERROR(__xludf.DUMMYFUNCTION("""COMPUTED_VALUE"""),46330.0)</f>
        <v>46330</v>
      </c>
      <c r="B5418" s="2">
        <f>IFERROR(__xludf.DUMMYFUNCTION("""COMPUTED_VALUE"""),1.0)</f>
        <v>1</v>
      </c>
      <c r="C5418" s="2">
        <f>IFERROR(__xludf.DUMMYFUNCTION("""COMPUTED_VALUE"""),480.0)</f>
        <v>480</v>
      </c>
      <c r="D5418" s="3">
        <f>IFERROR(__xludf.DUMMYFUNCTION("""COMPUTED_VALUE"""),82.0)</f>
        <v>82</v>
      </c>
      <c r="E5418" s="1" t="str">
        <f t="array" ref="E5418">_xlfn.XLOOKUP(A5418,Product!A:A,Product!B:B,"Bulunamadı")</f>
        <v>Law</v>
      </c>
      <c r="F5418" s="1" t="str">
        <f t="array" ref="F5418">_xlfn.XLOOKUP(A5418,Product!A:A,Product!C:C,"Bulunamadı")</f>
        <v>Art History</v>
      </c>
      <c r="G5418" s="2" t="str">
        <f t="array" ref="G5418">_xlfn.XLOOKUP(A5419,Product!A:A,Product!D:D,"Bulunamadı")</f>
        <v>Rivergate Publishing House</v>
      </c>
      <c r="H5418" s="2">
        <f t="array" ref="H5418">_xlfn.XLOOKUP(A5420,Product!A:A,Product!E:E,"Bulunamadı")</f>
        <v>2.06</v>
      </c>
      <c r="I5418" s="2" t="str">
        <f t="shared" si="1"/>
        <v>46330 - Law - Art History</v>
      </c>
      <c r="J5418" s="2">
        <f t="shared" si="2"/>
        <v>168.92</v>
      </c>
      <c r="K5418" s="17">
        <f t="shared" si="3"/>
        <v>1</v>
      </c>
      <c r="L5418" s="18"/>
    </row>
    <row r="5419" hidden="1">
      <c r="A5419" s="2">
        <f>IFERROR(__xludf.DUMMYFUNCTION("""COMPUTED_VALUE"""),117659.0)</f>
        <v>117659</v>
      </c>
      <c r="B5419" s="2">
        <f>IFERROR(__xludf.DUMMYFUNCTION("""COMPUTED_VALUE"""),1.0)</f>
        <v>1</v>
      </c>
      <c r="C5419" s="2">
        <f>IFERROR(__xludf.DUMMYFUNCTION("""COMPUTED_VALUE"""),466.0)</f>
        <v>466</v>
      </c>
      <c r="D5419" s="3">
        <f>IFERROR(__xludf.DUMMYFUNCTION("""COMPUTED_VALUE"""),124.0)</f>
        <v>124</v>
      </c>
      <c r="E5419" s="1" t="str">
        <f t="array" ref="E5419">_xlfn.XLOOKUP(A5419,Product!A:A,Product!B:B,"Bulunamadı")</f>
        <v>Law</v>
      </c>
      <c r="F5419" s="1" t="str">
        <f t="array" ref="F5419">_xlfn.XLOOKUP(A5419,Product!A:A,Product!C:C,"Bulunamadı")</f>
        <v>Art History</v>
      </c>
      <c r="G5419" s="2" t="str">
        <f t="array" ref="G5419">_xlfn.XLOOKUP(A5420,Product!A:A,Product!D:D,"Bulunamadı")</f>
        <v>Rivergate Publishing House</v>
      </c>
      <c r="H5419" s="2">
        <f t="array" ref="H5419">_xlfn.XLOOKUP(A5421,Product!A:A,Product!E:E,"Bulunamadı")</f>
        <v>2.52</v>
      </c>
      <c r="I5419" s="2" t="str">
        <f t="shared" si="1"/>
        <v>117659 - Law - Art History</v>
      </c>
      <c r="J5419" s="2">
        <f t="shared" si="2"/>
        <v>312.48</v>
      </c>
      <c r="K5419" s="17">
        <f t="shared" si="3"/>
        <v>1</v>
      </c>
      <c r="L5419" s="18"/>
    </row>
    <row r="5420" hidden="1">
      <c r="A5420" s="2">
        <f>IFERROR(__xludf.DUMMYFUNCTION("""COMPUTED_VALUE"""),48149.0)</f>
        <v>48149</v>
      </c>
      <c r="B5420" s="2">
        <f>IFERROR(__xludf.DUMMYFUNCTION("""COMPUTED_VALUE"""),1.0)</f>
        <v>1</v>
      </c>
      <c r="C5420" s="2">
        <f>IFERROR(__xludf.DUMMYFUNCTION("""COMPUTED_VALUE"""),93.0)</f>
        <v>93</v>
      </c>
      <c r="D5420" s="3">
        <f>IFERROR(__xludf.DUMMYFUNCTION("""COMPUTED_VALUE"""),23.0)</f>
        <v>23</v>
      </c>
      <c r="E5420" s="1" t="str">
        <f t="array" ref="E5420">_xlfn.XLOOKUP(A5420,Product!A:A,Product!B:B,"Bulunamadı")</f>
        <v>Law</v>
      </c>
      <c r="F5420" s="1" t="str">
        <f t="array" ref="F5420">_xlfn.XLOOKUP(A5420,Product!A:A,Product!C:C,"Bulunamadı")</f>
        <v>Art History</v>
      </c>
      <c r="G5420" s="2" t="str">
        <f t="array" ref="G5420">_xlfn.XLOOKUP(A5421,Product!A:A,Product!D:D,"Bulunamadı")</f>
        <v>Rivergate Publishing House</v>
      </c>
      <c r="H5420" s="2">
        <f t="array" ref="H5420">_xlfn.XLOOKUP(A5422,Product!A:A,Product!E:E,"Bulunamadı")</f>
        <v>2.21</v>
      </c>
      <c r="I5420" s="2" t="str">
        <f t="shared" si="1"/>
        <v>48149 - Law - Art History</v>
      </c>
      <c r="J5420" s="2">
        <f t="shared" si="2"/>
        <v>50.83</v>
      </c>
      <c r="K5420" s="17">
        <f t="shared" si="3"/>
        <v>1</v>
      </c>
      <c r="L5420" s="18"/>
    </row>
    <row r="5421" hidden="1">
      <c r="A5421" s="2">
        <f>IFERROR(__xludf.DUMMYFUNCTION("""COMPUTED_VALUE"""),113739.0)</f>
        <v>113739</v>
      </c>
      <c r="B5421" s="2">
        <f>IFERROR(__xludf.DUMMYFUNCTION("""COMPUTED_VALUE"""),0.0)</f>
        <v>0</v>
      </c>
      <c r="C5421" s="2">
        <f>IFERROR(__xludf.DUMMYFUNCTION("""COMPUTED_VALUE"""),45.0)</f>
        <v>45</v>
      </c>
      <c r="D5421" s="3">
        <f>IFERROR(__xludf.DUMMYFUNCTION("""COMPUTED_VALUE"""),7.0)</f>
        <v>7</v>
      </c>
      <c r="E5421" s="1" t="str">
        <f t="array" ref="E5421">_xlfn.XLOOKUP(A5421,Product!A:A,Product!B:B,"Bulunamadı")</f>
        <v>Law</v>
      </c>
      <c r="F5421" s="1" t="str">
        <f t="array" ref="F5421">_xlfn.XLOOKUP(A5421,Product!A:A,Product!C:C,"Bulunamadı")</f>
        <v>Art History</v>
      </c>
      <c r="G5421" s="2" t="str">
        <f t="array" ref="G5421">_xlfn.XLOOKUP(A5422,Product!A:A,Product!D:D,"Bulunamadı")</f>
        <v>Rivergate Publishing House</v>
      </c>
      <c r="H5421" s="2">
        <f t="array" ref="H5421">_xlfn.XLOOKUP(A5423,Product!A:A,Product!E:E,"Bulunamadı")</f>
        <v>2.02</v>
      </c>
      <c r="I5421" s="2" t="str">
        <f t="shared" si="1"/>
        <v>113739 - Law - Art History</v>
      </c>
      <c r="J5421" s="2">
        <f t="shared" si="2"/>
        <v>14.14</v>
      </c>
      <c r="K5421" s="17">
        <f t="shared" si="3"/>
        <v>1</v>
      </c>
      <c r="L5421" s="18"/>
    </row>
    <row r="5422" hidden="1">
      <c r="A5422" s="2">
        <f>IFERROR(__xludf.DUMMYFUNCTION("""COMPUTED_VALUE"""),147316.0)</f>
        <v>147316</v>
      </c>
      <c r="B5422" s="2">
        <f>IFERROR(__xludf.DUMMYFUNCTION("""COMPUTED_VALUE"""),0.0)</f>
        <v>0</v>
      </c>
      <c r="C5422" s="2">
        <f>IFERROR(__xludf.DUMMYFUNCTION("""COMPUTED_VALUE"""),296.0)</f>
        <v>296</v>
      </c>
      <c r="D5422" s="3">
        <f>IFERROR(__xludf.DUMMYFUNCTION("""COMPUTED_VALUE"""),286.0)</f>
        <v>286</v>
      </c>
      <c r="E5422" s="1" t="str">
        <f t="array" ref="E5422">_xlfn.XLOOKUP(A5422,Product!A:A,Product!B:B,"Bulunamadı")</f>
        <v>Law</v>
      </c>
      <c r="F5422" s="1" t="str">
        <f t="array" ref="F5422">_xlfn.XLOOKUP(A5422,Product!A:A,Product!C:C,"Bulunamadı")</f>
        <v>Art History</v>
      </c>
      <c r="G5422" s="2" t="str">
        <f t="array" ref="G5422">_xlfn.XLOOKUP(A5423,Product!A:A,Product!D:D,"Bulunamadı")</f>
        <v>Rivergate Publishing House</v>
      </c>
      <c r="H5422" s="2">
        <f t="array" ref="H5422">_xlfn.XLOOKUP(A5424,Product!A:A,Product!E:E,"Bulunamadı")</f>
        <v>2.29</v>
      </c>
      <c r="I5422" s="2" t="str">
        <f t="shared" si="1"/>
        <v>147316 - Law - Art History</v>
      </c>
      <c r="J5422" s="2">
        <f t="shared" si="2"/>
        <v>654.94</v>
      </c>
      <c r="K5422" s="17">
        <f t="shared" si="3"/>
        <v>1</v>
      </c>
      <c r="L5422" s="18"/>
    </row>
    <row r="5423" hidden="1">
      <c r="A5423" s="2">
        <f>IFERROR(__xludf.DUMMYFUNCTION("""COMPUTED_VALUE"""),76297.0)</f>
        <v>76297</v>
      </c>
      <c r="B5423" s="2">
        <f>IFERROR(__xludf.DUMMYFUNCTION("""COMPUTED_VALUE"""),0.0)</f>
        <v>0</v>
      </c>
      <c r="C5423" s="2">
        <f>IFERROR(__xludf.DUMMYFUNCTION("""COMPUTED_VALUE"""),823.0)</f>
        <v>823</v>
      </c>
      <c r="D5423" s="3">
        <f>IFERROR(__xludf.DUMMYFUNCTION("""COMPUTED_VALUE"""),305.0)</f>
        <v>305</v>
      </c>
      <c r="E5423" s="1" t="str">
        <f t="array" ref="E5423">_xlfn.XLOOKUP(A5423,Product!A:A,Product!B:B,"Bulunamadı")</f>
        <v>Law</v>
      </c>
      <c r="F5423" s="1" t="str">
        <f t="array" ref="F5423">_xlfn.XLOOKUP(A5423,Product!A:A,Product!C:C,"Bulunamadı")</f>
        <v>Art History</v>
      </c>
      <c r="G5423" s="2" t="str">
        <f t="array" ref="G5423">_xlfn.XLOOKUP(A5424,Product!A:A,Product!D:D,"Bulunamadı")</f>
        <v>Rivergate Publishing House</v>
      </c>
      <c r="H5423" s="2">
        <f t="array" ref="H5423">_xlfn.XLOOKUP(A5425,Product!A:A,Product!E:E,"Bulunamadı")</f>
        <v>2.34</v>
      </c>
      <c r="I5423" s="2" t="str">
        <f t="shared" si="1"/>
        <v>76297 - Law - Art History</v>
      </c>
      <c r="J5423" s="2">
        <f t="shared" si="2"/>
        <v>713.7</v>
      </c>
      <c r="K5423" s="17">
        <f t="shared" si="3"/>
        <v>1</v>
      </c>
      <c r="L5423" s="18"/>
    </row>
    <row r="5424" hidden="1">
      <c r="A5424" s="2">
        <f>IFERROR(__xludf.DUMMYFUNCTION("""COMPUTED_VALUE"""),102698.0)</f>
        <v>102698</v>
      </c>
      <c r="B5424" s="2">
        <f>IFERROR(__xludf.DUMMYFUNCTION("""COMPUTED_VALUE"""),1.0)</f>
        <v>1</v>
      </c>
      <c r="C5424" s="2">
        <f>IFERROR(__xludf.DUMMYFUNCTION("""COMPUTED_VALUE"""),747.0)</f>
        <v>747</v>
      </c>
      <c r="D5424" s="3">
        <f>IFERROR(__xludf.DUMMYFUNCTION("""COMPUTED_VALUE"""),697.0)</f>
        <v>697</v>
      </c>
      <c r="E5424" s="1" t="str">
        <f t="array" ref="E5424">_xlfn.XLOOKUP(A5424,Product!A:A,Product!B:B,"Bulunamadı")</f>
        <v>Law</v>
      </c>
      <c r="F5424" s="1" t="str">
        <f t="array" ref="F5424">_xlfn.XLOOKUP(A5424,Product!A:A,Product!C:C,"Bulunamadı")</f>
        <v>Art History</v>
      </c>
      <c r="G5424" s="2" t="str">
        <f t="array" ref="G5424">_xlfn.XLOOKUP(A5425,Product!A:A,Product!D:D,"Bulunamadı")</f>
        <v>Rivergate Publishing House</v>
      </c>
      <c r="H5424" s="2">
        <f t="array" ref="H5424">_xlfn.XLOOKUP(A5426,Product!A:A,Product!E:E,"Bulunamadı")</f>
        <v>0.93</v>
      </c>
      <c r="I5424" s="2" t="str">
        <f t="shared" si="1"/>
        <v>102698 - Law - Art History</v>
      </c>
      <c r="J5424" s="2">
        <f t="shared" si="2"/>
        <v>648.21</v>
      </c>
      <c r="K5424" s="17">
        <f t="shared" si="3"/>
        <v>1</v>
      </c>
      <c r="L5424" s="18"/>
    </row>
    <row r="5425" hidden="1">
      <c r="A5425" s="2">
        <f>IFERROR(__xludf.DUMMYFUNCTION("""COMPUTED_VALUE"""),102699.0)</f>
        <v>102699</v>
      </c>
      <c r="B5425" s="2">
        <f>IFERROR(__xludf.DUMMYFUNCTION("""COMPUTED_VALUE"""),0.0)</f>
        <v>0</v>
      </c>
      <c r="C5425" s="2">
        <f>IFERROR(__xludf.DUMMYFUNCTION("""COMPUTED_VALUE"""),793.0)</f>
        <v>793</v>
      </c>
      <c r="D5425" s="3">
        <f>IFERROR(__xludf.DUMMYFUNCTION("""COMPUTED_VALUE"""),397.0)</f>
        <v>397</v>
      </c>
      <c r="E5425" s="1" t="str">
        <f t="array" ref="E5425">_xlfn.XLOOKUP(A5425,Product!A:A,Product!B:B,"Bulunamadı")</f>
        <v>Law</v>
      </c>
      <c r="F5425" s="1" t="str">
        <f t="array" ref="F5425">_xlfn.XLOOKUP(A5425,Product!A:A,Product!C:C,"Bulunamadı")</f>
        <v>Art History</v>
      </c>
      <c r="G5425" s="2" t="str">
        <f t="array" ref="G5425">_xlfn.XLOOKUP(A5426,Product!A:A,Product!D:D,"Bulunamadı")</f>
        <v>Rivergate Publishing House</v>
      </c>
      <c r="H5425" s="2">
        <f t="array" ref="H5425">_xlfn.XLOOKUP(A5427,Product!A:A,Product!E:E,"Bulunamadı")</f>
        <v>2.67</v>
      </c>
      <c r="I5425" s="2" t="str">
        <f t="shared" si="1"/>
        <v>102699 - Law - Art History</v>
      </c>
      <c r="J5425" s="2">
        <f t="shared" si="2"/>
        <v>1059.99</v>
      </c>
      <c r="K5425" s="17">
        <f t="shared" si="3"/>
        <v>1</v>
      </c>
      <c r="L5425" s="18"/>
    </row>
    <row r="5426" hidden="1">
      <c r="A5426" s="2">
        <f>IFERROR(__xludf.DUMMYFUNCTION("""COMPUTED_VALUE"""),5556.0)</f>
        <v>5556</v>
      </c>
      <c r="B5426" s="2">
        <f>IFERROR(__xludf.DUMMYFUNCTION("""COMPUTED_VALUE"""),0.0)</f>
        <v>0</v>
      </c>
      <c r="C5426" s="2">
        <f>IFERROR(__xludf.DUMMYFUNCTION("""COMPUTED_VALUE"""),87.0)</f>
        <v>87</v>
      </c>
      <c r="D5426" s="3">
        <f>IFERROR(__xludf.DUMMYFUNCTION("""COMPUTED_VALUE"""),63.0)</f>
        <v>63</v>
      </c>
      <c r="E5426" s="1" t="str">
        <f t="array" ref="E5426">_xlfn.XLOOKUP(A5426,Product!A:A,Product!B:B,"Bulunamadı")</f>
        <v>Law</v>
      </c>
      <c r="F5426" s="1" t="str">
        <f t="array" ref="F5426">_xlfn.XLOOKUP(A5426,Product!A:A,Product!C:C,"Bulunamadı")</f>
        <v>Art History</v>
      </c>
      <c r="G5426" s="2" t="str">
        <f t="array" ref="G5426">_xlfn.XLOOKUP(A5427,Product!A:A,Product!D:D,"Bulunamadı")</f>
        <v>Rivergate Publishing House</v>
      </c>
      <c r="H5426" s="2">
        <f t="array" ref="H5426">_xlfn.XLOOKUP(A5428,Product!A:A,Product!E:E,"Bulunamadı")</f>
        <v>0.86</v>
      </c>
      <c r="I5426" s="2" t="str">
        <f t="shared" si="1"/>
        <v>5556 - Law - Art History</v>
      </c>
      <c r="J5426" s="2">
        <f t="shared" si="2"/>
        <v>54.18</v>
      </c>
      <c r="K5426" s="17">
        <f t="shared" si="3"/>
        <v>1</v>
      </c>
      <c r="L5426" s="18"/>
    </row>
    <row r="5427" hidden="1">
      <c r="A5427" s="2">
        <f>IFERROR(__xludf.DUMMYFUNCTION("""COMPUTED_VALUE"""),73629.0)</f>
        <v>73629</v>
      </c>
      <c r="B5427" s="2">
        <f>IFERROR(__xludf.DUMMYFUNCTION("""COMPUTED_VALUE"""),0.0)</f>
        <v>0</v>
      </c>
      <c r="C5427" s="2">
        <f>IFERROR(__xludf.DUMMYFUNCTION("""COMPUTED_VALUE"""),854.0)</f>
        <v>854</v>
      </c>
      <c r="D5427" s="3">
        <f>IFERROR(__xludf.DUMMYFUNCTION("""COMPUTED_VALUE"""),542.0)</f>
        <v>542</v>
      </c>
      <c r="E5427" s="1" t="str">
        <f t="array" ref="E5427">_xlfn.XLOOKUP(A5427,Product!A:A,Product!B:B,"Bulunamadı")</f>
        <v>Law</v>
      </c>
      <c r="F5427" s="1" t="str">
        <f t="array" ref="F5427">_xlfn.XLOOKUP(A5427,Product!A:A,Product!C:C,"Bulunamadı")</f>
        <v>Art History</v>
      </c>
      <c r="G5427" s="2" t="str">
        <f t="array" ref="G5427">_xlfn.XLOOKUP(A5428,Product!A:A,Product!D:D,"Bulunamadı")</f>
        <v>Rivergate Publishing House</v>
      </c>
      <c r="H5427" s="2">
        <f t="array" ref="H5427">_xlfn.XLOOKUP(A5429,Product!A:A,Product!E:E,"Bulunamadı")</f>
        <v>1.42</v>
      </c>
      <c r="I5427" s="2" t="str">
        <f t="shared" si="1"/>
        <v>73629 - Law - Art History</v>
      </c>
      <c r="J5427" s="2">
        <f t="shared" si="2"/>
        <v>769.64</v>
      </c>
      <c r="K5427" s="17">
        <f t="shared" si="3"/>
        <v>1</v>
      </c>
      <c r="L5427" s="18"/>
    </row>
    <row r="5428" hidden="1">
      <c r="A5428" s="2">
        <f>IFERROR(__xludf.DUMMYFUNCTION("""COMPUTED_VALUE"""),77253.0)</f>
        <v>77253</v>
      </c>
      <c r="B5428" s="2">
        <f>IFERROR(__xludf.DUMMYFUNCTION("""COMPUTED_VALUE"""),0.0)</f>
        <v>0</v>
      </c>
      <c r="C5428" s="2">
        <f>IFERROR(__xludf.DUMMYFUNCTION("""COMPUTED_VALUE"""),129.0)</f>
        <v>129</v>
      </c>
      <c r="D5428" s="3">
        <f>IFERROR(__xludf.DUMMYFUNCTION("""COMPUTED_VALUE"""),89.0)</f>
        <v>89</v>
      </c>
      <c r="E5428" s="1" t="str">
        <f t="array" ref="E5428">_xlfn.XLOOKUP(A5428,Product!A:A,Product!B:B,"Bulunamadı")</f>
        <v>Law</v>
      </c>
      <c r="F5428" s="1" t="str">
        <f t="array" ref="F5428">_xlfn.XLOOKUP(A5428,Product!A:A,Product!C:C,"Bulunamadı")</f>
        <v>Art History</v>
      </c>
      <c r="G5428" s="2" t="str">
        <f t="array" ref="G5428">_xlfn.XLOOKUP(A5429,Product!A:A,Product!D:D,"Bulunamadı")</f>
        <v>Rivergate Publishing House</v>
      </c>
      <c r="H5428" s="2">
        <f t="array" ref="H5428">_xlfn.XLOOKUP(A5430,Product!A:A,Product!E:E,"Bulunamadı")</f>
        <v>2.75</v>
      </c>
      <c r="I5428" s="2" t="str">
        <f t="shared" si="1"/>
        <v>77253 - Law - Art History</v>
      </c>
      <c r="J5428" s="2">
        <f t="shared" si="2"/>
        <v>244.75</v>
      </c>
      <c r="K5428" s="17">
        <f t="shared" si="3"/>
        <v>1</v>
      </c>
      <c r="L5428" s="18"/>
    </row>
    <row r="5429" hidden="1">
      <c r="A5429" s="2">
        <f>IFERROR(__xludf.DUMMYFUNCTION("""COMPUTED_VALUE"""),5552.0)</f>
        <v>5552</v>
      </c>
      <c r="B5429" s="2">
        <f>IFERROR(__xludf.DUMMYFUNCTION("""COMPUTED_VALUE"""),0.0)</f>
        <v>0</v>
      </c>
      <c r="C5429" s="2">
        <f>IFERROR(__xludf.DUMMYFUNCTION("""COMPUTED_VALUE"""),65.0)</f>
        <v>65</v>
      </c>
      <c r="D5429" s="3">
        <f>IFERROR(__xludf.DUMMYFUNCTION("""COMPUTED_VALUE"""),61.0)</f>
        <v>61</v>
      </c>
      <c r="E5429" s="1" t="str">
        <f t="array" ref="E5429">_xlfn.XLOOKUP(A5429,Product!A:A,Product!B:B,"Bulunamadı")</f>
        <v>Law</v>
      </c>
      <c r="F5429" s="1" t="str">
        <f t="array" ref="F5429">_xlfn.XLOOKUP(A5429,Product!A:A,Product!C:C,"Bulunamadı")</f>
        <v>Art History</v>
      </c>
      <c r="G5429" s="2" t="str">
        <f t="array" ref="G5429">_xlfn.XLOOKUP(A5430,Product!A:A,Product!D:D,"Bulunamadı")</f>
        <v>Rivergate Publishing House</v>
      </c>
      <c r="H5429" s="2">
        <f t="array" ref="H5429">_xlfn.XLOOKUP(A5431,Product!A:A,Product!E:E,"Bulunamadı")</f>
        <v>2.49</v>
      </c>
      <c r="I5429" s="2" t="str">
        <f t="shared" si="1"/>
        <v>5552 - Law - Art History</v>
      </c>
      <c r="J5429" s="2">
        <f t="shared" si="2"/>
        <v>151.89</v>
      </c>
      <c r="K5429" s="17">
        <f t="shared" si="3"/>
        <v>1</v>
      </c>
      <c r="L5429" s="18"/>
    </row>
    <row r="5430" hidden="1">
      <c r="A5430" s="2">
        <f>IFERROR(__xludf.DUMMYFUNCTION("""COMPUTED_VALUE"""),73805.0)</f>
        <v>73805</v>
      </c>
      <c r="B5430" s="2">
        <f>IFERROR(__xludf.DUMMYFUNCTION("""COMPUTED_VALUE"""),0.0)</f>
        <v>0</v>
      </c>
      <c r="C5430" s="2">
        <f>IFERROR(__xludf.DUMMYFUNCTION("""COMPUTED_VALUE"""),-4.0)</f>
        <v>-4</v>
      </c>
      <c r="D5430" s="3">
        <f>IFERROR(__xludf.DUMMYFUNCTION("""COMPUTED_VALUE"""),-2.0)</f>
        <v>-2</v>
      </c>
      <c r="E5430" s="1" t="str">
        <f t="array" ref="E5430">_xlfn.XLOOKUP(A5430,Product!A:A,Product!B:B,"Bulunamadı")</f>
        <v>Law</v>
      </c>
      <c r="F5430" s="1" t="str">
        <f t="array" ref="F5430">_xlfn.XLOOKUP(A5430,Product!A:A,Product!C:C,"Bulunamadı")</f>
        <v>Art History</v>
      </c>
      <c r="G5430" s="2" t="str">
        <f t="array" ref="G5430">_xlfn.XLOOKUP(A5431,Product!A:A,Product!D:D,"Bulunamadı")</f>
        <v>Rivergate Publishing House</v>
      </c>
      <c r="H5430" s="2">
        <f t="array" ref="H5430">_xlfn.XLOOKUP(A5432,Product!A:A,Product!E:E,"Bulunamadı")</f>
        <v>6.98</v>
      </c>
      <c r="I5430" s="2" t="str">
        <f t="shared" si="1"/>
        <v>73805 - Law - Art History</v>
      </c>
      <c r="J5430" s="2">
        <f t="shared" si="2"/>
        <v>-13.96</v>
      </c>
      <c r="K5430" s="17">
        <f t="shared" si="3"/>
        <v>0</v>
      </c>
      <c r="L5430" s="18"/>
    </row>
    <row r="5431" hidden="1">
      <c r="A5431" s="2">
        <f>IFERROR(__xludf.DUMMYFUNCTION("""COMPUTED_VALUE"""),48403.0)</f>
        <v>48403</v>
      </c>
      <c r="B5431" s="2">
        <f>IFERROR(__xludf.DUMMYFUNCTION("""COMPUTED_VALUE"""),1.0)</f>
        <v>1</v>
      </c>
      <c r="C5431" s="2">
        <f>IFERROR(__xludf.DUMMYFUNCTION("""COMPUTED_VALUE"""),259.0)</f>
        <v>259</v>
      </c>
      <c r="D5431" s="3">
        <f>IFERROR(__xludf.DUMMYFUNCTION("""COMPUTED_VALUE"""),27.0)</f>
        <v>27</v>
      </c>
      <c r="E5431" s="1" t="str">
        <f t="array" ref="E5431">_xlfn.XLOOKUP(A5431,Product!A:A,Product!B:B,"Bulunamadı")</f>
        <v>Law</v>
      </c>
      <c r="F5431" s="1" t="str">
        <f t="array" ref="F5431">_xlfn.XLOOKUP(A5431,Product!A:A,Product!C:C,"Bulunamadı")</f>
        <v>Art History</v>
      </c>
      <c r="G5431" s="2" t="str">
        <f t="array" ref="G5431">_xlfn.XLOOKUP(A5432,Product!A:A,Product!D:D,"Bulunamadı")</f>
        <v>Rivergate Publishing House</v>
      </c>
      <c r="H5431" s="2">
        <f t="array" ref="H5431">_xlfn.XLOOKUP(A5433,Product!A:A,Product!E:E,"Bulunamadı")</f>
        <v>2.92</v>
      </c>
      <c r="I5431" s="2" t="str">
        <f t="shared" si="1"/>
        <v>48403 - Law - Art History</v>
      </c>
      <c r="J5431" s="2">
        <f t="shared" si="2"/>
        <v>78.84</v>
      </c>
      <c r="K5431" s="17">
        <f t="shared" si="3"/>
        <v>1</v>
      </c>
      <c r="L5431" s="18"/>
    </row>
    <row r="5432" hidden="1">
      <c r="A5432" s="2">
        <f>IFERROR(__xludf.DUMMYFUNCTION("""COMPUTED_VALUE"""),90626.0)</f>
        <v>90626</v>
      </c>
      <c r="B5432" s="2">
        <f>IFERROR(__xludf.DUMMYFUNCTION("""COMPUTED_VALUE"""),0.0)</f>
        <v>0</v>
      </c>
      <c r="C5432" s="2">
        <f>IFERROR(__xludf.DUMMYFUNCTION("""COMPUTED_VALUE"""),231.0)</f>
        <v>231</v>
      </c>
      <c r="D5432" s="3">
        <f>IFERROR(__xludf.DUMMYFUNCTION("""COMPUTED_VALUE"""),168.0)</f>
        <v>168</v>
      </c>
      <c r="E5432" s="1" t="str">
        <f t="array" ref="E5432">_xlfn.XLOOKUP(A5432,Product!A:A,Product!B:B,"Bulunamadı")</f>
        <v>Law</v>
      </c>
      <c r="F5432" s="1" t="str">
        <f t="array" ref="F5432">_xlfn.XLOOKUP(A5432,Product!A:A,Product!C:C,"Bulunamadı")</f>
        <v>Art History</v>
      </c>
      <c r="G5432" s="2" t="str">
        <f t="array" ref="G5432">_xlfn.XLOOKUP(A5433,Product!A:A,Product!D:D,"Bulunamadı")</f>
        <v>Rivergate Publishing House</v>
      </c>
      <c r="H5432" s="2">
        <f t="array" ref="H5432">_xlfn.XLOOKUP(A5434,Product!A:A,Product!E:E,"Bulunamadı")</f>
        <v>0.7</v>
      </c>
      <c r="I5432" s="2" t="str">
        <f t="shared" si="1"/>
        <v>90626 - Law - Art History</v>
      </c>
      <c r="J5432" s="2">
        <f t="shared" si="2"/>
        <v>117.6</v>
      </c>
      <c r="K5432" s="17">
        <f t="shared" si="3"/>
        <v>1</v>
      </c>
      <c r="L5432" s="18"/>
    </row>
    <row r="5433" hidden="1">
      <c r="A5433" s="2">
        <f>IFERROR(__xludf.DUMMYFUNCTION("""COMPUTED_VALUE"""),147324.0)</f>
        <v>147324</v>
      </c>
      <c r="B5433" s="2">
        <f>IFERROR(__xludf.DUMMYFUNCTION("""COMPUTED_VALUE"""),0.0)</f>
        <v>0</v>
      </c>
      <c r="C5433" s="2">
        <f>IFERROR(__xludf.DUMMYFUNCTION("""COMPUTED_VALUE"""),-1.0)</f>
        <v>-1</v>
      </c>
      <c r="D5433" s="3">
        <f>IFERROR(__xludf.DUMMYFUNCTION("""COMPUTED_VALUE"""),-1.0)</f>
        <v>-1</v>
      </c>
      <c r="E5433" s="1" t="str">
        <f t="array" ref="E5433">_xlfn.XLOOKUP(A5433,Product!A:A,Product!B:B,"Bulunamadı")</f>
        <v>Law</v>
      </c>
      <c r="F5433" s="1" t="str">
        <f t="array" ref="F5433">_xlfn.XLOOKUP(A5433,Product!A:A,Product!C:C,"Bulunamadı")</f>
        <v>Art History</v>
      </c>
      <c r="G5433" s="2" t="str">
        <f t="array" ref="G5433">_xlfn.XLOOKUP(A5434,Product!A:A,Product!D:D,"Bulunamadı")</f>
        <v>Rivergate Publishing House</v>
      </c>
      <c r="H5433" s="2">
        <f t="array" ref="H5433">_xlfn.XLOOKUP(A5435,Product!A:A,Product!E:E,"Bulunamadı")</f>
        <v>0.84</v>
      </c>
      <c r="I5433" s="2" t="str">
        <f t="shared" si="1"/>
        <v>147324 - Law - Art History</v>
      </c>
      <c r="J5433" s="2">
        <f t="shared" si="2"/>
        <v>-0.84</v>
      </c>
      <c r="K5433" s="17">
        <f t="shared" si="3"/>
        <v>0</v>
      </c>
      <c r="L5433" s="18"/>
    </row>
    <row r="5434" hidden="1">
      <c r="A5434" s="2">
        <f>IFERROR(__xludf.DUMMYFUNCTION("""COMPUTED_VALUE"""),77411.0)</f>
        <v>77411</v>
      </c>
      <c r="B5434" s="2">
        <f>IFERROR(__xludf.DUMMYFUNCTION("""COMPUTED_VALUE"""),1.0)</f>
        <v>1</v>
      </c>
      <c r="C5434" s="2">
        <f>IFERROR(__xludf.DUMMYFUNCTION("""COMPUTED_VALUE"""),59.0)</f>
        <v>59</v>
      </c>
      <c r="D5434" s="3">
        <f>IFERROR(__xludf.DUMMYFUNCTION("""COMPUTED_VALUE"""),43.0)</f>
        <v>43</v>
      </c>
      <c r="E5434" s="1" t="str">
        <f t="array" ref="E5434">_xlfn.XLOOKUP(A5434,Product!A:A,Product!B:B,"Bulunamadı")</f>
        <v>Law</v>
      </c>
      <c r="F5434" s="1" t="str">
        <f t="array" ref="F5434">_xlfn.XLOOKUP(A5434,Product!A:A,Product!C:C,"Bulunamadı")</f>
        <v>Art History</v>
      </c>
      <c r="G5434" s="2" t="str">
        <f t="array" ref="G5434">_xlfn.XLOOKUP(A5435,Product!A:A,Product!D:D,"Bulunamadı")</f>
        <v>Rivergate Publishing House</v>
      </c>
      <c r="H5434" s="2">
        <f t="array" ref="H5434">_xlfn.XLOOKUP(A5436,Product!A:A,Product!E:E,"Bulunamadı")</f>
        <v>1.81</v>
      </c>
      <c r="I5434" s="2" t="str">
        <f t="shared" si="1"/>
        <v>77411 - Law - Art History</v>
      </c>
      <c r="J5434" s="2">
        <f t="shared" si="2"/>
        <v>77.83</v>
      </c>
      <c r="K5434" s="17">
        <f t="shared" si="3"/>
        <v>1</v>
      </c>
      <c r="L5434" s="18"/>
    </row>
    <row r="5435" hidden="1">
      <c r="A5435" s="2">
        <f>IFERROR(__xludf.DUMMYFUNCTION("""COMPUTED_VALUE"""),87085.0)</f>
        <v>87085</v>
      </c>
      <c r="B5435" s="2">
        <f>IFERROR(__xludf.DUMMYFUNCTION("""COMPUTED_VALUE"""),1.0)</f>
        <v>1</v>
      </c>
      <c r="C5435" s="2">
        <f>IFERROR(__xludf.DUMMYFUNCTION("""COMPUTED_VALUE"""),379.0)</f>
        <v>379</v>
      </c>
      <c r="D5435" s="3">
        <f>IFERROR(__xludf.DUMMYFUNCTION("""COMPUTED_VALUE"""),372.0)</f>
        <v>372</v>
      </c>
      <c r="E5435" s="1" t="str">
        <f t="array" ref="E5435">_xlfn.XLOOKUP(A5435,Product!A:A,Product!B:B,"Bulunamadı")</f>
        <v>Law</v>
      </c>
      <c r="F5435" s="1" t="str">
        <f t="array" ref="F5435">_xlfn.XLOOKUP(A5435,Product!A:A,Product!C:C,"Bulunamadı")</f>
        <v>Art History</v>
      </c>
      <c r="G5435" s="2" t="str">
        <f t="array" ref="G5435">_xlfn.XLOOKUP(A5436,Product!A:A,Product!D:D,"Bulunamadı")</f>
        <v>Rivergate Publishing House</v>
      </c>
      <c r="H5435" s="2">
        <f t="array" ref="H5435">_xlfn.XLOOKUP(A5437,Product!A:A,Product!E:E,"Bulunamadı")</f>
        <v>1.85</v>
      </c>
      <c r="I5435" s="2" t="str">
        <f t="shared" si="1"/>
        <v>87085 - Law - Art History</v>
      </c>
      <c r="J5435" s="2">
        <f t="shared" si="2"/>
        <v>688.2</v>
      </c>
      <c r="K5435" s="17">
        <f t="shared" si="3"/>
        <v>1</v>
      </c>
      <c r="L5435" s="18"/>
    </row>
    <row r="5436" hidden="1">
      <c r="A5436" s="2">
        <f>IFERROR(__xludf.DUMMYFUNCTION("""COMPUTED_VALUE"""),76212.0)</f>
        <v>76212</v>
      </c>
      <c r="B5436" s="2">
        <f>IFERROR(__xludf.DUMMYFUNCTION("""COMPUTED_VALUE"""),0.0)</f>
        <v>0</v>
      </c>
      <c r="C5436" s="2">
        <f>IFERROR(__xludf.DUMMYFUNCTION("""COMPUTED_VALUE"""),553.0)</f>
        <v>553</v>
      </c>
      <c r="D5436" s="3">
        <f>IFERROR(__xludf.DUMMYFUNCTION("""COMPUTED_VALUE"""),275.0)</f>
        <v>275</v>
      </c>
      <c r="E5436" s="1" t="str">
        <f t="array" ref="E5436">_xlfn.XLOOKUP(A5436,Product!A:A,Product!B:B,"Bulunamadı")</f>
        <v>Law</v>
      </c>
      <c r="F5436" s="1" t="str">
        <f t="array" ref="F5436">_xlfn.XLOOKUP(A5436,Product!A:A,Product!C:C,"Bulunamadı")</f>
        <v>Art History</v>
      </c>
      <c r="G5436" s="2" t="str">
        <f t="array" ref="G5436">_xlfn.XLOOKUP(A5437,Product!A:A,Product!D:D,"Bulunamadı")</f>
        <v>Rivergate Publishing House</v>
      </c>
      <c r="H5436" s="2">
        <f t="array" ref="H5436">_xlfn.XLOOKUP(A5438,Product!A:A,Product!E:E,"Bulunamadı")</f>
        <v>2.57</v>
      </c>
      <c r="I5436" s="2" t="str">
        <f t="shared" si="1"/>
        <v>76212 - Law - Art History</v>
      </c>
      <c r="J5436" s="2">
        <f t="shared" si="2"/>
        <v>706.75</v>
      </c>
      <c r="K5436" s="17">
        <f t="shared" si="3"/>
        <v>1</v>
      </c>
      <c r="L5436" s="18"/>
    </row>
    <row r="5437" hidden="1">
      <c r="A5437" s="2">
        <f>IFERROR(__xludf.DUMMYFUNCTION("""COMPUTED_VALUE"""),117655.0)</f>
        <v>117655</v>
      </c>
      <c r="B5437" s="2">
        <f>IFERROR(__xludf.DUMMYFUNCTION("""COMPUTED_VALUE"""),0.0)</f>
        <v>0</v>
      </c>
      <c r="C5437" s="2">
        <f>IFERROR(__xludf.DUMMYFUNCTION("""COMPUTED_VALUE"""),185.0)</f>
        <v>185</v>
      </c>
      <c r="D5437" s="3">
        <f>IFERROR(__xludf.DUMMYFUNCTION("""COMPUTED_VALUE"""),130.0)</f>
        <v>130</v>
      </c>
      <c r="E5437" s="1" t="str">
        <f t="array" ref="E5437">_xlfn.XLOOKUP(A5437,Product!A:A,Product!B:B,"Bulunamadı")</f>
        <v>Law</v>
      </c>
      <c r="F5437" s="1" t="str">
        <f t="array" ref="F5437">_xlfn.XLOOKUP(A5437,Product!A:A,Product!C:C,"Bulunamadı")</f>
        <v>Art History</v>
      </c>
      <c r="G5437" s="2" t="str">
        <f t="array" ref="G5437">_xlfn.XLOOKUP(A5438,Product!A:A,Product!D:D,"Bulunamadı")</f>
        <v>Rivergate Publishing House</v>
      </c>
      <c r="H5437" s="2">
        <f t="array" ref="H5437">_xlfn.XLOOKUP(A5439,Product!A:A,Product!E:E,"Bulunamadı")</f>
        <v>3.42</v>
      </c>
      <c r="I5437" s="2" t="str">
        <f t="shared" si="1"/>
        <v>117655 - Law - Art History</v>
      </c>
      <c r="J5437" s="2">
        <f t="shared" si="2"/>
        <v>444.6</v>
      </c>
      <c r="K5437" s="17">
        <f t="shared" si="3"/>
        <v>1</v>
      </c>
      <c r="L5437" s="18"/>
    </row>
    <row r="5438" hidden="1">
      <c r="A5438" s="2">
        <f>IFERROR(__xludf.DUMMYFUNCTION("""COMPUTED_VALUE"""),83596.0)</f>
        <v>83596</v>
      </c>
      <c r="B5438" s="2">
        <f>IFERROR(__xludf.DUMMYFUNCTION("""COMPUTED_VALUE"""),1.0)</f>
        <v>1</v>
      </c>
      <c r="C5438" s="2">
        <f>IFERROR(__xludf.DUMMYFUNCTION("""COMPUTED_VALUE"""),200.0)</f>
        <v>200</v>
      </c>
      <c r="D5438" s="3">
        <f>IFERROR(__xludf.DUMMYFUNCTION("""COMPUTED_VALUE"""),85.0)</f>
        <v>85</v>
      </c>
      <c r="E5438" s="1" t="str">
        <f t="array" ref="E5438">_xlfn.XLOOKUP(A5438,Product!A:A,Product!B:B,"Bulunamadı")</f>
        <v>Law</v>
      </c>
      <c r="F5438" s="1" t="str">
        <f t="array" ref="F5438">_xlfn.XLOOKUP(A5438,Product!A:A,Product!C:C,"Bulunamadı")</f>
        <v>Art History</v>
      </c>
      <c r="G5438" s="2" t="str">
        <f t="array" ref="G5438">_xlfn.XLOOKUP(A5439,Product!A:A,Product!D:D,"Bulunamadı")</f>
        <v>Rivergate Publishing House</v>
      </c>
      <c r="H5438" s="2">
        <f t="array" ref="H5438">_xlfn.XLOOKUP(A5440,Product!A:A,Product!E:E,"Bulunamadı")</f>
        <v>1.42</v>
      </c>
      <c r="I5438" s="2" t="str">
        <f t="shared" si="1"/>
        <v>83596 - Law - Art History</v>
      </c>
      <c r="J5438" s="2">
        <f t="shared" si="2"/>
        <v>120.7</v>
      </c>
      <c r="K5438" s="17">
        <f t="shared" si="3"/>
        <v>1</v>
      </c>
      <c r="L5438" s="18"/>
    </row>
    <row r="5439" hidden="1">
      <c r="A5439" s="2">
        <f>IFERROR(__xludf.DUMMYFUNCTION("""COMPUTED_VALUE"""),5561.0)</f>
        <v>5561</v>
      </c>
      <c r="B5439" s="2">
        <f>IFERROR(__xludf.DUMMYFUNCTION("""COMPUTED_VALUE"""),1.0)</f>
        <v>1</v>
      </c>
      <c r="C5439" s="2">
        <f>IFERROR(__xludf.DUMMYFUNCTION("""COMPUTED_VALUE"""),754.0)</f>
        <v>754</v>
      </c>
      <c r="D5439" s="3">
        <f>IFERROR(__xludf.DUMMYFUNCTION("""COMPUTED_VALUE"""),522.0)</f>
        <v>522</v>
      </c>
      <c r="E5439" s="1" t="str">
        <f t="array" ref="E5439">_xlfn.XLOOKUP(A5439,Product!A:A,Product!B:B,"Bulunamadı")</f>
        <v>Law</v>
      </c>
      <c r="F5439" s="1" t="str">
        <f t="array" ref="F5439">_xlfn.XLOOKUP(A5439,Product!A:A,Product!C:C,"Bulunamadı")</f>
        <v>Art History</v>
      </c>
      <c r="G5439" s="2" t="str">
        <f t="array" ref="G5439">_xlfn.XLOOKUP(A5440,Product!A:A,Product!D:D,"Bulunamadı")</f>
        <v>Rivergate Publishing House</v>
      </c>
      <c r="H5439" s="2">
        <f t="array" ref="H5439">_xlfn.XLOOKUP(A5441,Product!A:A,Product!E:E,"Bulunamadı")</f>
        <v>2.7</v>
      </c>
      <c r="I5439" s="2" t="str">
        <f t="shared" si="1"/>
        <v>5561 - Law - Art History</v>
      </c>
      <c r="J5439" s="2">
        <f t="shared" si="2"/>
        <v>1409.4</v>
      </c>
      <c r="K5439" s="17">
        <f t="shared" si="3"/>
        <v>1</v>
      </c>
      <c r="L5439" s="18"/>
    </row>
    <row r="5440" hidden="1">
      <c r="A5440" s="2">
        <f>IFERROR(__xludf.DUMMYFUNCTION("""COMPUTED_VALUE"""),87304.0)</f>
        <v>87304</v>
      </c>
      <c r="B5440" s="2">
        <f>IFERROR(__xludf.DUMMYFUNCTION("""COMPUTED_VALUE"""),0.0)</f>
        <v>0</v>
      </c>
      <c r="C5440" s="2">
        <f>IFERROR(__xludf.DUMMYFUNCTION("""COMPUTED_VALUE"""),273.0)</f>
        <v>273</v>
      </c>
      <c r="D5440" s="3">
        <f>IFERROR(__xludf.DUMMYFUNCTION("""COMPUTED_VALUE"""),124.0)</f>
        <v>124</v>
      </c>
      <c r="E5440" s="1" t="str">
        <f t="array" ref="E5440">_xlfn.XLOOKUP(A5440,Product!A:A,Product!B:B,"Bulunamadı")</f>
        <v>Law</v>
      </c>
      <c r="F5440" s="1" t="str">
        <f t="array" ref="F5440">_xlfn.XLOOKUP(A5440,Product!A:A,Product!C:C,"Bulunamadı")</f>
        <v>Art History</v>
      </c>
      <c r="G5440" s="2" t="str">
        <f t="array" ref="G5440">_xlfn.XLOOKUP(A5441,Product!A:A,Product!D:D,"Bulunamadı")</f>
        <v>Rivergate Publishing House</v>
      </c>
      <c r="H5440" s="2">
        <f t="array" ref="H5440">_xlfn.XLOOKUP(A5442,Product!A:A,Product!E:E,"Bulunamadı")</f>
        <v>4.48</v>
      </c>
      <c r="I5440" s="2" t="str">
        <f t="shared" si="1"/>
        <v>87304 - Law - Art History</v>
      </c>
      <c r="J5440" s="2">
        <f t="shared" si="2"/>
        <v>555.52</v>
      </c>
      <c r="K5440" s="17">
        <f t="shared" si="3"/>
        <v>1</v>
      </c>
      <c r="L5440" s="18"/>
    </row>
    <row r="5441" hidden="1">
      <c r="A5441" s="2">
        <f>IFERROR(__xludf.DUMMYFUNCTION("""COMPUTED_VALUE"""),113735.0)</f>
        <v>113735</v>
      </c>
      <c r="B5441" s="2">
        <f>IFERROR(__xludf.DUMMYFUNCTION("""COMPUTED_VALUE"""),1.0)</f>
        <v>1</v>
      </c>
      <c r="C5441" s="2">
        <f>IFERROR(__xludf.DUMMYFUNCTION("""COMPUTED_VALUE"""),670.0)</f>
        <v>670</v>
      </c>
      <c r="D5441" s="3">
        <f>IFERROR(__xludf.DUMMYFUNCTION("""COMPUTED_VALUE"""),510.0)</f>
        <v>510</v>
      </c>
      <c r="E5441" s="1" t="str">
        <f t="array" ref="E5441">_xlfn.XLOOKUP(A5441,Product!A:A,Product!B:B,"Bulunamadı")</f>
        <v>Law</v>
      </c>
      <c r="F5441" s="1" t="str">
        <f t="array" ref="F5441">_xlfn.XLOOKUP(A5441,Product!A:A,Product!C:C,"Bulunamadı")</f>
        <v>Art History</v>
      </c>
      <c r="G5441" s="2" t="str">
        <f t="array" ref="G5441">_xlfn.XLOOKUP(A5442,Product!A:A,Product!D:D,"Bulunamadı")</f>
        <v>Rivergate Publishing House</v>
      </c>
      <c r="H5441" s="2">
        <f t="array" ref="H5441">_xlfn.XLOOKUP(A5443,Product!A:A,Product!E:E,"Bulunamadı")</f>
        <v>1.86</v>
      </c>
      <c r="I5441" s="2" t="str">
        <f t="shared" si="1"/>
        <v>113735 - Law - Art History</v>
      </c>
      <c r="J5441" s="2">
        <f t="shared" si="2"/>
        <v>948.6</v>
      </c>
      <c r="K5441" s="17">
        <f t="shared" si="3"/>
        <v>1</v>
      </c>
      <c r="L5441" s="18"/>
    </row>
    <row r="5442" hidden="1">
      <c r="A5442" s="2">
        <f>IFERROR(__xludf.DUMMYFUNCTION("""COMPUTED_VALUE"""),90661.0)</f>
        <v>90661</v>
      </c>
      <c r="B5442" s="2">
        <f>IFERROR(__xludf.DUMMYFUNCTION("""COMPUTED_VALUE"""),0.0)</f>
        <v>0</v>
      </c>
      <c r="C5442" s="2">
        <f>IFERROR(__xludf.DUMMYFUNCTION("""COMPUTED_VALUE"""),892.0)</f>
        <v>892</v>
      </c>
      <c r="D5442" s="3">
        <f>IFERROR(__xludf.DUMMYFUNCTION("""COMPUTED_VALUE"""),824.0)</f>
        <v>824</v>
      </c>
      <c r="E5442" s="1" t="str">
        <f t="array" ref="E5442">_xlfn.XLOOKUP(A5442,Product!A:A,Product!B:B,"Bulunamadı")</f>
        <v>Law</v>
      </c>
      <c r="F5442" s="1" t="str">
        <f t="array" ref="F5442">_xlfn.XLOOKUP(A5442,Product!A:A,Product!C:C,"Bulunamadı")</f>
        <v>Art History</v>
      </c>
      <c r="G5442" s="2" t="str">
        <f t="array" ref="G5442">_xlfn.XLOOKUP(A5443,Product!A:A,Product!D:D,"Bulunamadı")</f>
        <v>Rivergate Publishing House</v>
      </c>
      <c r="H5442" s="2">
        <f t="array" ref="H5442">_xlfn.XLOOKUP(A5444,Product!A:A,Product!E:E,"Bulunamadı")</f>
        <v>7.81</v>
      </c>
      <c r="I5442" s="2" t="str">
        <f t="shared" si="1"/>
        <v>90661 - Law - Art History</v>
      </c>
      <c r="J5442" s="2">
        <f t="shared" si="2"/>
        <v>6435.44</v>
      </c>
      <c r="K5442" s="17">
        <f t="shared" si="3"/>
        <v>1</v>
      </c>
      <c r="L5442" s="18"/>
    </row>
    <row r="5443" hidden="1">
      <c r="A5443" s="2">
        <f>IFERROR(__xludf.DUMMYFUNCTION("""COMPUTED_VALUE"""),76281.0)</f>
        <v>76281</v>
      </c>
      <c r="B5443" s="2">
        <f>IFERROR(__xludf.DUMMYFUNCTION("""COMPUTED_VALUE"""),0.0)</f>
        <v>0</v>
      </c>
      <c r="C5443" s="2">
        <f>IFERROR(__xludf.DUMMYFUNCTION("""COMPUTED_VALUE"""),836.0)</f>
        <v>836</v>
      </c>
      <c r="D5443" s="3">
        <f>IFERROR(__xludf.DUMMYFUNCTION("""COMPUTED_VALUE"""),730.0)</f>
        <v>730</v>
      </c>
      <c r="E5443" s="1" t="str">
        <f t="array" ref="E5443">_xlfn.XLOOKUP(A5443,Product!A:A,Product!B:B,"Bulunamadı")</f>
        <v>Law</v>
      </c>
      <c r="F5443" s="1" t="str">
        <f t="array" ref="F5443">_xlfn.XLOOKUP(A5443,Product!A:A,Product!C:C,"Bulunamadı")</f>
        <v>Art History</v>
      </c>
      <c r="G5443" s="2" t="str">
        <f t="array" ref="G5443">_xlfn.XLOOKUP(A5444,Product!A:A,Product!D:D,"Bulunamadı")</f>
        <v>Rivergate Publishing House</v>
      </c>
      <c r="H5443" s="2">
        <f t="array" ref="H5443">_xlfn.XLOOKUP(A5445,Product!A:A,Product!E:E,"Bulunamadı")</f>
        <v>1.27</v>
      </c>
      <c r="I5443" s="2" t="str">
        <f t="shared" si="1"/>
        <v>76281 - Law - Art History</v>
      </c>
      <c r="J5443" s="2">
        <f t="shared" si="2"/>
        <v>927.1</v>
      </c>
      <c r="K5443" s="17">
        <f t="shared" si="3"/>
        <v>1</v>
      </c>
      <c r="L5443" s="18"/>
    </row>
    <row r="5444" hidden="1">
      <c r="A5444" s="2">
        <f>IFERROR(__xludf.DUMMYFUNCTION("""COMPUTED_VALUE"""),90622.0)</f>
        <v>90622</v>
      </c>
      <c r="B5444" s="2">
        <f>IFERROR(__xludf.DUMMYFUNCTION("""COMPUTED_VALUE"""),0.0)</f>
        <v>0</v>
      </c>
      <c r="C5444" s="2">
        <f>IFERROR(__xludf.DUMMYFUNCTION("""COMPUTED_VALUE"""),57.0)</f>
        <v>57</v>
      </c>
      <c r="D5444" s="3">
        <f>IFERROR(__xludf.DUMMYFUNCTION("""COMPUTED_VALUE"""),33.0)</f>
        <v>33</v>
      </c>
      <c r="E5444" s="1" t="str">
        <f t="array" ref="E5444">_xlfn.XLOOKUP(A5444,Product!A:A,Product!B:B,"Bulunamadı")</f>
        <v>Law</v>
      </c>
      <c r="F5444" s="1" t="str">
        <f t="array" ref="F5444">_xlfn.XLOOKUP(A5444,Product!A:A,Product!C:C,"Bulunamadı")</f>
        <v>Art History</v>
      </c>
      <c r="G5444" s="2" t="str">
        <f t="array" ref="G5444">_xlfn.XLOOKUP(A5445,Product!A:A,Product!D:D,"Bulunamadı")</f>
        <v>Rivergate Publishing House</v>
      </c>
      <c r="H5444" s="2">
        <f t="array" ref="H5444">_xlfn.XLOOKUP(A5446,Product!A:A,Product!E:E,"Bulunamadı")</f>
        <v>1.85</v>
      </c>
      <c r="I5444" s="2" t="str">
        <f t="shared" si="1"/>
        <v>90622 - Law - Art History</v>
      </c>
      <c r="J5444" s="2">
        <f t="shared" si="2"/>
        <v>61.05</v>
      </c>
      <c r="K5444" s="17">
        <f t="shared" si="3"/>
        <v>1</v>
      </c>
      <c r="L5444" s="18"/>
    </row>
    <row r="5445" hidden="1">
      <c r="A5445" s="2">
        <f>IFERROR(__xludf.DUMMYFUNCTION("""COMPUTED_VALUE"""),90637.0)</f>
        <v>90637</v>
      </c>
      <c r="B5445" s="2">
        <f>IFERROR(__xludf.DUMMYFUNCTION("""COMPUTED_VALUE"""),1.0)</f>
        <v>1</v>
      </c>
      <c r="C5445" s="2">
        <f>IFERROR(__xludf.DUMMYFUNCTION("""COMPUTED_VALUE"""),853.0)</f>
        <v>853</v>
      </c>
      <c r="D5445" s="3">
        <f>IFERROR(__xludf.DUMMYFUNCTION("""COMPUTED_VALUE"""),267.0)</f>
        <v>267</v>
      </c>
      <c r="E5445" s="1" t="str">
        <f t="array" ref="E5445">_xlfn.XLOOKUP(A5445,Product!A:A,Product!B:B,"Bulunamadı")</f>
        <v>Law</v>
      </c>
      <c r="F5445" s="1" t="str">
        <f t="array" ref="F5445">_xlfn.XLOOKUP(A5445,Product!A:A,Product!C:C,"Bulunamadı")</f>
        <v>Art History</v>
      </c>
      <c r="G5445" s="2" t="str">
        <f t="array" ref="G5445">_xlfn.XLOOKUP(A5446,Product!A:A,Product!D:D,"Bulunamadı")</f>
        <v>Rivergate Publishing House</v>
      </c>
      <c r="H5445" s="2">
        <f t="array" ref="H5445">_xlfn.XLOOKUP(A5447,Product!A:A,Product!E:E,"Bulunamadı")</f>
        <v>0.85</v>
      </c>
      <c r="I5445" s="2" t="str">
        <f t="shared" si="1"/>
        <v>90637 - Law - Art History</v>
      </c>
      <c r="J5445" s="2">
        <f t="shared" si="2"/>
        <v>226.95</v>
      </c>
      <c r="K5445" s="17">
        <f t="shared" si="3"/>
        <v>1</v>
      </c>
      <c r="L5445" s="18"/>
    </row>
    <row r="5446" hidden="1">
      <c r="A5446" s="2">
        <f>IFERROR(__xludf.DUMMYFUNCTION("""COMPUTED_VALUE"""),76208.0)</f>
        <v>76208</v>
      </c>
      <c r="B5446" s="2">
        <f>IFERROR(__xludf.DUMMYFUNCTION("""COMPUTED_VALUE"""),0.0)</f>
        <v>0</v>
      </c>
      <c r="C5446" s="2">
        <f>IFERROR(__xludf.DUMMYFUNCTION("""COMPUTED_VALUE"""),321.0)</f>
        <v>321</v>
      </c>
      <c r="D5446" s="3">
        <f>IFERROR(__xludf.DUMMYFUNCTION("""COMPUTED_VALUE"""),126.0)</f>
        <v>126</v>
      </c>
      <c r="E5446" s="1" t="str">
        <f t="array" ref="E5446">_xlfn.XLOOKUP(A5446,Product!A:A,Product!B:B,"Bulunamadı")</f>
        <v>Law</v>
      </c>
      <c r="F5446" s="1" t="str">
        <f t="array" ref="F5446">_xlfn.XLOOKUP(A5446,Product!A:A,Product!C:C,"Bulunamadı")</f>
        <v>Art History</v>
      </c>
      <c r="G5446" s="2" t="str">
        <f t="array" ref="G5446">_xlfn.XLOOKUP(A5447,Product!A:A,Product!D:D,"Bulunamadı")</f>
        <v>Rivergate Publishing House</v>
      </c>
      <c r="H5446" s="2">
        <f t="array" ref="H5446">_xlfn.XLOOKUP(A5448,Product!A:A,Product!E:E,"Bulunamadı")</f>
        <v>0.98</v>
      </c>
      <c r="I5446" s="2" t="str">
        <f t="shared" si="1"/>
        <v>76208 - Law - Art History</v>
      </c>
      <c r="J5446" s="2">
        <f t="shared" si="2"/>
        <v>123.48</v>
      </c>
      <c r="K5446" s="17">
        <f t="shared" si="3"/>
        <v>1</v>
      </c>
      <c r="L5446" s="18"/>
    </row>
    <row r="5447" hidden="1">
      <c r="A5447" s="2">
        <f>IFERROR(__xludf.DUMMYFUNCTION("""COMPUTED_VALUE"""),91355.0)</f>
        <v>91355</v>
      </c>
      <c r="B5447" s="2">
        <f>IFERROR(__xludf.DUMMYFUNCTION("""COMPUTED_VALUE"""),0.0)</f>
        <v>0</v>
      </c>
      <c r="C5447" s="2">
        <f>IFERROR(__xludf.DUMMYFUNCTION("""COMPUTED_VALUE"""),284.0)</f>
        <v>284</v>
      </c>
      <c r="D5447" s="3">
        <f>IFERROR(__xludf.DUMMYFUNCTION("""COMPUTED_VALUE"""),41.0)</f>
        <v>41</v>
      </c>
      <c r="E5447" s="1" t="str">
        <f t="array" ref="E5447">_xlfn.XLOOKUP(A5447,Product!A:A,Product!B:B,"Bulunamadı")</f>
        <v>Law</v>
      </c>
      <c r="F5447" s="1" t="str">
        <f t="array" ref="F5447">_xlfn.XLOOKUP(A5447,Product!A:A,Product!C:C,"Bulunamadı")</f>
        <v>Art History</v>
      </c>
      <c r="G5447" s="2" t="str">
        <f t="array" ref="G5447">_xlfn.XLOOKUP(A5448,Product!A:A,Product!D:D,"Bulunamadı")</f>
        <v>Rivergate Publishing House</v>
      </c>
      <c r="H5447" s="2">
        <f t="array" ref="H5447">_xlfn.XLOOKUP(A5449,Product!A:A,Product!E:E,"Bulunamadı")</f>
        <v>2.04</v>
      </c>
      <c r="I5447" s="2" t="str">
        <f t="shared" si="1"/>
        <v>91355 - Law - Art History</v>
      </c>
      <c r="J5447" s="2">
        <f t="shared" si="2"/>
        <v>83.64</v>
      </c>
      <c r="K5447" s="17">
        <f t="shared" si="3"/>
        <v>1</v>
      </c>
      <c r="L5447" s="18"/>
    </row>
    <row r="5448" hidden="1">
      <c r="A5448" s="2">
        <f>IFERROR(__xludf.DUMMYFUNCTION("""COMPUTED_VALUE"""),122068.0)</f>
        <v>122068</v>
      </c>
      <c r="B5448" s="2">
        <f>IFERROR(__xludf.DUMMYFUNCTION("""COMPUTED_VALUE"""),0.0)</f>
        <v>0</v>
      </c>
      <c r="C5448" s="2">
        <f>IFERROR(__xludf.DUMMYFUNCTION("""COMPUTED_VALUE"""),922.0)</f>
        <v>922</v>
      </c>
      <c r="D5448" s="3">
        <f>IFERROR(__xludf.DUMMYFUNCTION("""COMPUTED_VALUE"""),448.0)</f>
        <v>448</v>
      </c>
      <c r="E5448" s="1" t="str">
        <f t="array" ref="E5448">_xlfn.XLOOKUP(A5448,Product!A:A,Product!B:B,"Bulunamadı")</f>
        <v>Law</v>
      </c>
      <c r="F5448" s="1" t="str">
        <f t="array" ref="F5448">_xlfn.XLOOKUP(A5448,Product!A:A,Product!C:C,"Bulunamadı")</f>
        <v>Art History</v>
      </c>
      <c r="G5448" s="2" t="str">
        <f t="array" ref="G5448">_xlfn.XLOOKUP(A5449,Product!A:A,Product!D:D,"Bulunamadı")</f>
        <v>Rivergate Publishing House</v>
      </c>
      <c r="H5448" s="2">
        <f t="array" ref="H5448">_xlfn.XLOOKUP(A5450,Product!A:A,Product!E:E,"Bulunamadı")</f>
        <v>2.49</v>
      </c>
      <c r="I5448" s="2" t="str">
        <f t="shared" si="1"/>
        <v>122068 - Law - Art History</v>
      </c>
      <c r="J5448" s="2">
        <f t="shared" si="2"/>
        <v>1115.52</v>
      </c>
      <c r="K5448" s="17">
        <f t="shared" si="3"/>
        <v>1</v>
      </c>
      <c r="L5448" s="18"/>
    </row>
    <row r="5449" hidden="1">
      <c r="A5449" s="2">
        <f>IFERROR(__xludf.DUMMYFUNCTION("""COMPUTED_VALUE"""),48404.0)</f>
        <v>48404</v>
      </c>
      <c r="B5449" s="2">
        <f>IFERROR(__xludf.DUMMYFUNCTION("""COMPUTED_VALUE"""),0.0)</f>
        <v>0</v>
      </c>
      <c r="C5449" s="2">
        <f>IFERROR(__xludf.DUMMYFUNCTION("""COMPUTED_VALUE"""),308.0)</f>
        <v>308</v>
      </c>
      <c r="D5449" s="3">
        <f>IFERROR(__xludf.DUMMYFUNCTION("""COMPUTED_VALUE"""),284.0)</f>
        <v>284</v>
      </c>
      <c r="E5449" s="1" t="str">
        <f t="array" ref="E5449">_xlfn.XLOOKUP(A5449,Product!A:A,Product!B:B,"Bulunamadı")</f>
        <v>Law</v>
      </c>
      <c r="F5449" s="1" t="str">
        <f t="array" ref="F5449">_xlfn.XLOOKUP(A5449,Product!A:A,Product!C:C,"Bulunamadı")</f>
        <v>Art History</v>
      </c>
      <c r="G5449" s="2" t="str">
        <f t="array" ref="G5449">_xlfn.XLOOKUP(A5450,Product!A:A,Product!D:D,"Bulunamadı")</f>
        <v>Rivergate Publishing House</v>
      </c>
      <c r="H5449" s="2">
        <f t="array" ref="H5449">_xlfn.XLOOKUP(A5451,Product!A:A,Product!E:E,"Bulunamadı")</f>
        <v>1.31</v>
      </c>
      <c r="I5449" s="2" t="str">
        <f t="shared" si="1"/>
        <v>48404 - Law - Art History</v>
      </c>
      <c r="J5449" s="2">
        <f t="shared" si="2"/>
        <v>372.04</v>
      </c>
      <c r="K5449" s="17">
        <f t="shared" si="3"/>
        <v>1</v>
      </c>
      <c r="L5449" s="18"/>
    </row>
    <row r="5450" hidden="1">
      <c r="A5450" s="2">
        <f>IFERROR(__xludf.DUMMYFUNCTION("""COMPUTED_VALUE"""),5553.0)</f>
        <v>5553</v>
      </c>
      <c r="B5450" s="2">
        <f>IFERROR(__xludf.DUMMYFUNCTION("""COMPUTED_VALUE"""),1.0)</f>
        <v>1</v>
      </c>
      <c r="C5450" s="2">
        <f>IFERROR(__xludf.DUMMYFUNCTION("""COMPUTED_VALUE"""),797.0)</f>
        <v>797</v>
      </c>
      <c r="D5450" s="3">
        <f>IFERROR(__xludf.DUMMYFUNCTION("""COMPUTED_VALUE"""),687.0)</f>
        <v>687</v>
      </c>
      <c r="E5450" s="1" t="str">
        <f t="array" ref="E5450">_xlfn.XLOOKUP(A5450,Product!A:A,Product!B:B,"Bulunamadı")</f>
        <v>Law</v>
      </c>
      <c r="F5450" s="1" t="str">
        <f t="array" ref="F5450">_xlfn.XLOOKUP(A5450,Product!A:A,Product!C:C,"Bulunamadı")</f>
        <v>Art History</v>
      </c>
      <c r="G5450" s="2" t="str">
        <f t="array" ref="G5450">_xlfn.XLOOKUP(A5451,Product!A:A,Product!D:D,"Bulunamadı")</f>
        <v>Rivergate Publishing House</v>
      </c>
      <c r="H5450" s="2">
        <f t="array" ref="H5450">_xlfn.XLOOKUP(A5452,Product!A:A,Product!E:E,"Bulunamadı")</f>
        <v>2.2</v>
      </c>
      <c r="I5450" s="2" t="str">
        <f t="shared" si="1"/>
        <v>5553 - Law - Art History</v>
      </c>
      <c r="J5450" s="2">
        <f t="shared" si="2"/>
        <v>1511.4</v>
      </c>
      <c r="K5450" s="17">
        <f t="shared" si="3"/>
        <v>1</v>
      </c>
      <c r="L5450" s="18"/>
    </row>
    <row r="5451" hidden="1">
      <c r="A5451" s="2">
        <f>IFERROR(__xludf.DUMMYFUNCTION("""COMPUTED_VALUE"""),76282.0)</f>
        <v>76282</v>
      </c>
      <c r="B5451" s="2">
        <f>IFERROR(__xludf.DUMMYFUNCTION("""COMPUTED_VALUE"""),1.0)</f>
        <v>1</v>
      </c>
      <c r="C5451" s="2">
        <f>IFERROR(__xludf.DUMMYFUNCTION("""COMPUTED_VALUE"""),346.0)</f>
        <v>346</v>
      </c>
      <c r="D5451" s="3">
        <f>IFERROR(__xludf.DUMMYFUNCTION("""COMPUTED_VALUE"""),35.0)</f>
        <v>35</v>
      </c>
      <c r="E5451" s="1" t="str">
        <f t="array" ref="E5451">_xlfn.XLOOKUP(A5451,Product!A:A,Product!B:B,"Bulunamadı")</f>
        <v>Law</v>
      </c>
      <c r="F5451" s="1" t="str">
        <f t="array" ref="F5451">_xlfn.XLOOKUP(A5451,Product!A:A,Product!C:C,"Bulunamadı")</f>
        <v>Art History</v>
      </c>
      <c r="G5451" s="2" t="str">
        <f t="array" ref="G5451">_xlfn.XLOOKUP(A5452,Product!A:A,Product!D:D,"Bulunamadı")</f>
        <v>Rivergate Publishing House</v>
      </c>
      <c r="H5451" s="2">
        <f t="array" ref="H5451">_xlfn.XLOOKUP(A5453,Product!A:A,Product!E:E,"Bulunamadı")</f>
        <v>0.78</v>
      </c>
      <c r="I5451" s="2" t="str">
        <f t="shared" si="1"/>
        <v>76282 - Law - Art History</v>
      </c>
      <c r="J5451" s="2">
        <f t="shared" si="2"/>
        <v>27.3</v>
      </c>
      <c r="K5451" s="17">
        <f t="shared" si="3"/>
        <v>1</v>
      </c>
      <c r="L5451" s="18"/>
    </row>
    <row r="5452" hidden="1">
      <c r="A5452" s="2">
        <f>IFERROR(__xludf.DUMMYFUNCTION("""COMPUTED_VALUE"""),5554.0)</f>
        <v>5554</v>
      </c>
      <c r="B5452" s="2">
        <f>IFERROR(__xludf.DUMMYFUNCTION("""COMPUTED_VALUE"""),1.0)</f>
        <v>1</v>
      </c>
      <c r="C5452" s="2">
        <f>IFERROR(__xludf.DUMMYFUNCTION("""COMPUTED_VALUE"""),351.0)</f>
        <v>351</v>
      </c>
      <c r="D5452" s="3">
        <f>IFERROR(__xludf.DUMMYFUNCTION("""COMPUTED_VALUE"""),48.0)</f>
        <v>48</v>
      </c>
      <c r="E5452" s="1" t="str">
        <f t="array" ref="E5452">_xlfn.XLOOKUP(A5452,Product!A:A,Product!B:B,"Bulunamadı")</f>
        <v>Law</v>
      </c>
      <c r="F5452" s="1" t="str">
        <f t="array" ref="F5452">_xlfn.XLOOKUP(A5452,Product!A:A,Product!C:C,"Bulunamadı")</f>
        <v>Art History</v>
      </c>
      <c r="G5452" s="2" t="str">
        <f t="array" ref="G5452">_xlfn.XLOOKUP(A5453,Product!A:A,Product!D:D,"Bulunamadı")</f>
        <v>Rivergate Publishing House</v>
      </c>
      <c r="H5452" s="2">
        <f t="array" ref="H5452">_xlfn.XLOOKUP(A5454,Product!A:A,Product!E:E,"Bulunamadı")</f>
        <v>2.26</v>
      </c>
      <c r="I5452" s="2" t="str">
        <f t="shared" si="1"/>
        <v>5554 - Law - Art History</v>
      </c>
      <c r="J5452" s="2">
        <f t="shared" si="2"/>
        <v>108.48</v>
      </c>
      <c r="K5452" s="17">
        <f t="shared" si="3"/>
        <v>1</v>
      </c>
      <c r="L5452" s="18"/>
    </row>
    <row r="5453" hidden="1">
      <c r="A5453" s="2">
        <f>IFERROR(__xludf.DUMMYFUNCTION("""COMPUTED_VALUE"""),77408.0)</f>
        <v>77408</v>
      </c>
      <c r="B5453" s="2">
        <f>IFERROR(__xludf.DUMMYFUNCTION("""COMPUTED_VALUE"""),0.0)</f>
        <v>0</v>
      </c>
      <c r="C5453" s="2">
        <f>IFERROR(__xludf.DUMMYFUNCTION("""COMPUTED_VALUE"""),852.0)</f>
        <v>852</v>
      </c>
      <c r="D5453" s="3">
        <f>IFERROR(__xludf.DUMMYFUNCTION("""COMPUTED_VALUE"""),253.0)</f>
        <v>253</v>
      </c>
      <c r="E5453" s="1" t="str">
        <f t="array" ref="E5453">_xlfn.XLOOKUP(A5453,Product!A:A,Product!B:B,"Bulunamadı")</f>
        <v>Law</v>
      </c>
      <c r="F5453" s="1" t="str">
        <f t="array" ref="F5453">_xlfn.XLOOKUP(A5453,Product!A:A,Product!C:C,"Bulunamadı")</f>
        <v>Art History</v>
      </c>
      <c r="G5453" s="2" t="str">
        <f t="array" ref="G5453">_xlfn.XLOOKUP(A5454,Product!A:A,Product!D:D,"Bulunamadı")</f>
        <v>Rivergate Publishing House</v>
      </c>
      <c r="H5453" s="2">
        <f t="array" ref="H5453">_xlfn.XLOOKUP(A5455,Product!A:A,Product!E:E,"Bulunamadı")</f>
        <v>2.57</v>
      </c>
      <c r="I5453" s="2" t="str">
        <f t="shared" si="1"/>
        <v>77408 - Law - Art History</v>
      </c>
      <c r="J5453" s="2">
        <f t="shared" si="2"/>
        <v>650.21</v>
      </c>
      <c r="K5453" s="17">
        <f t="shared" si="3"/>
        <v>1</v>
      </c>
      <c r="L5453" s="18"/>
    </row>
    <row r="5454" hidden="1">
      <c r="A5454" s="2">
        <f>IFERROR(__xludf.DUMMYFUNCTION("""COMPUTED_VALUE"""),147312.0)</f>
        <v>147312</v>
      </c>
      <c r="B5454" s="2">
        <f>IFERROR(__xludf.DUMMYFUNCTION("""COMPUTED_VALUE"""),0.0)</f>
        <v>0</v>
      </c>
      <c r="C5454" s="2">
        <f>IFERROR(__xludf.DUMMYFUNCTION("""COMPUTED_VALUE"""),423.0)</f>
        <v>423</v>
      </c>
      <c r="D5454" s="3">
        <f>IFERROR(__xludf.DUMMYFUNCTION("""COMPUTED_VALUE"""),78.0)</f>
        <v>78</v>
      </c>
      <c r="E5454" s="1" t="str">
        <f t="array" ref="E5454">_xlfn.XLOOKUP(A5454,Product!A:A,Product!B:B,"Bulunamadı")</f>
        <v>Law</v>
      </c>
      <c r="F5454" s="1" t="str">
        <f t="array" ref="F5454">_xlfn.XLOOKUP(A5454,Product!A:A,Product!C:C,"Bulunamadı")</f>
        <v>Art History</v>
      </c>
      <c r="G5454" s="2" t="str">
        <f t="array" ref="G5454">_xlfn.XLOOKUP(A5455,Product!A:A,Product!D:D,"Bulunamadı")</f>
        <v>Rivergate Publishing House</v>
      </c>
      <c r="H5454" s="2">
        <f t="array" ref="H5454">_xlfn.XLOOKUP(A5456,Product!A:A,Product!E:E,"Bulunamadı")</f>
        <v>0.96</v>
      </c>
      <c r="I5454" s="2" t="str">
        <f t="shared" si="1"/>
        <v>147312 - Law - Art History</v>
      </c>
      <c r="J5454" s="2">
        <f t="shared" si="2"/>
        <v>74.88</v>
      </c>
      <c r="K5454" s="17">
        <f t="shared" si="3"/>
        <v>1</v>
      </c>
      <c r="L5454" s="18"/>
    </row>
    <row r="5455" hidden="1">
      <c r="A5455" s="2">
        <f>IFERROR(__xludf.DUMMYFUNCTION("""COMPUTED_VALUE"""),113741.0)</f>
        <v>113741</v>
      </c>
      <c r="B5455" s="2">
        <f>IFERROR(__xludf.DUMMYFUNCTION("""COMPUTED_VALUE"""),1.0)</f>
        <v>1</v>
      </c>
      <c r="C5455" s="2">
        <f>IFERROR(__xludf.DUMMYFUNCTION("""COMPUTED_VALUE"""),255.0)</f>
        <v>255</v>
      </c>
      <c r="D5455" s="3">
        <f>IFERROR(__xludf.DUMMYFUNCTION("""COMPUTED_VALUE"""),55.0)</f>
        <v>55</v>
      </c>
      <c r="E5455" s="1" t="str">
        <f t="array" ref="E5455">_xlfn.XLOOKUP(A5455,Product!A:A,Product!B:B,"Bulunamadı")</f>
        <v>Law</v>
      </c>
      <c r="F5455" s="1" t="str">
        <f t="array" ref="F5455">_xlfn.XLOOKUP(A5455,Product!A:A,Product!C:C,"Bulunamadı")</f>
        <v>Art History</v>
      </c>
      <c r="G5455" s="2" t="str">
        <f t="array" ref="G5455">_xlfn.XLOOKUP(A5456,Product!A:A,Product!D:D,"Bulunamadı")</f>
        <v>Rivergate Publishing House</v>
      </c>
      <c r="H5455" s="2">
        <f t="array" ref="H5455">_xlfn.XLOOKUP(A5457,Product!A:A,Product!E:E,"Bulunamadı")</f>
        <v>1.06</v>
      </c>
      <c r="I5455" s="2" t="str">
        <f t="shared" si="1"/>
        <v>113741 - Law - Art History</v>
      </c>
      <c r="J5455" s="2">
        <f t="shared" si="2"/>
        <v>58.3</v>
      </c>
      <c r="K5455" s="17">
        <f t="shared" si="3"/>
        <v>1</v>
      </c>
      <c r="L5455" s="18"/>
    </row>
    <row r="5456" hidden="1">
      <c r="A5456" s="2">
        <f>IFERROR(__xludf.DUMMYFUNCTION("""COMPUTED_VALUE"""),76290.0)</f>
        <v>76290</v>
      </c>
      <c r="B5456" s="2">
        <f>IFERROR(__xludf.DUMMYFUNCTION("""COMPUTED_VALUE"""),1.0)</f>
        <v>1</v>
      </c>
      <c r="C5456" s="2">
        <f>IFERROR(__xludf.DUMMYFUNCTION("""COMPUTED_VALUE"""),761.0)</f>
        <v>761</v>
      </c>
      <c r="D5456" s="3">
        <f>IFERROR(__xludf.DUMMYFUNCTION("""COMPUTED_VALUE"""),293.0)</f>
        <v>293</v>
      </c>
      <c r="E5456" s="1" t="str">
        <f t="array" ref="E5456">_xlfn.XLOOKUP(A5456,Product!A:A,Product!B:B,"Bulunamadı")</f>
        <v>Law</v>
      </c>
      <c r="F5456" s="1" t="str">
        <f t="array" ref="F5456">_xlfn.XLOOKUP(A5456,Product!A:A,Product!C:C,"Bulunamadı")</f>
        <v>Art History</v>
      </c>
      <c r="G5456" s="2" t="str">
        <f t="array" ref="G5456">_xlfn.XLOOKUP(A5457,Product!A:A,Product!D:D,"Bulunamadı")</f>
        <v>Rivergate Publishing House</v>
      </c>
      <c r="H5456" s="2">
        <f t="array" ref="H5456">_xlfn.XLOOKUP(A5458,Product!A:A,Product!E:E,"Bulunamadı")</f>
        <v>1.27</v>
      </c>
      <c r="I5456" s="2" t="str">
        <f t="shared" si="1"/>
        <v>76290 - Law - Art History</v>
      </c>
      <c r="J5456" s="2">
        <f t="shared" si="2"/>
        <v>372.11</v>
      </c>
      <c r="K5456" s="17">
        <f t="shared" si="3"/>
        <v>1</v>
      </c>
      <c r="L5456" s="18"/>
    </row>
    <row r="5457" hidden="1">
      <c r="A5457" s="2">
        <f>IFERROR(__xludf.DUMMYFUNCTION("""COMPUTED_VALUE"""),5559.0)</f>
        <v>5559</v>
      </c>
      <c r="B5457" s="2">
        <f>IFERROR(__xludf.DUMMYFUNCTION("""COMPUTED_VALUE"""),1.0)</f>
        <v>1</v>
      </c>
      <c r="C5457" s="2">
        <f>IFERROR(__xludf.DUMMYFUNCTION("""COMPUTED_VALUE"""),178.0)</f>
        <v>178</v>
      </c>
      <c r="D5457" s="3">
        <f>IFERROR(__xludf.DUMMYFUNCTION("""COMPUTED_VALUE"""),171.0)</f>
        <v>171</v>
      </c>
      <c r="E5457" s="1" t="str">
        <f t="array" ref="E5457">_xlfn.XLOOKUP(A5457,Product!A:A,Product!B:B,"Bulunamadı")</f>
        <v>Law</v>
      </c>
      <c r="F5457" s="1" t="str">
        <f t="array" ref="F5457">_xlfn.XLOOKUP(A5457,Product!A:A,Product!C:C,"Bulunamadı")</f>
        <v>Art History</v>
      </c>
      <c r="G5457" s="2" t="str">
        <f t="array" ref="G5457">_xlfn.XLOOKUP(A5458,Product!A:A,Product!D:D,"Bulunamadı")</f>
        <v>Rivergate Publishing House</v>
      </c>
      <c r="H5457" s="2">
        <f t="array" ref="H5457">_xlfn.XLOOKUP(A5459,Product!A:A,Product!E:E,"Bulunamadı")</f>
        <v>2.58</v>
      </c>
      <c r="I5457" s="2" t="str">
        <f t="shared" si="1"/>
        <v>5559 - Law - Art History</v>
      </c>
      <c r="J5457" s="2">
        <f t="shared" si="2"/>
        <v>441.18</v>
      </c>
      <c r="K5457" s="17">
        <f t="shared" si="3"/>
        <v>1</v>
      </c>
      <c r="L5457" s="18"/>
    </row>
    <row r="5458" hidden="1">
      <c r="A5458" s="2">
        <f>IFERROR(__xludf.DUMMYFUNCTION("""COMPUTED_VALUE"""),68351.0)</f>
        <v>68351</v>
      </c>
      <c r="B5458" s="2">
        <f>IFERROR(__xludf.DUMMYFUNCTION("""COMPUTED_VALUE"""),0.0)</f>
        <v>0</v>
      </c>
      <c r="C5458" s="2">
        <f>IFERROR(__xludf.DUMMYFUNCTION("""COMPUTED_VALUE"""),712.0)</f>
        <v>712</v>
      </c>
      <c r="D5458" s="3">
        <f>IFERROR(__xludf.DUMMYFUNCTION("""COMPUTED_VALUE"""),440.0)</f>
        <v>440</v>
      </c>
      <c r="E5458" s="1" t="str">
        <f t="array" ref="E5458">_xlfn.XLOOKUP(A5458,Product!A:A,Product!B:B,"Bulunamadı")</f>
        <v>Law</v>
      </c>
      <c r="F5458" s="1" t="str">
        <f t="array" ref="F5458">_xlfn.XLOOKUP(A5458,Product!A:A,Product!C:C,"Bulunamadı")</f>
        <v>Art History</v>
      </c>
      <c r="G5458" s="2" t="str">
        <f t="array" ref="G5458">_xlfn.XLOOKUP(A5459,Product!A:A,Product!D:D,"Bulunamadı")</f>
        <v>Rivergate Publishing House</v>
      </c>
      <c r="H5458" s="2">
        <f t="array" ref="H5458">_xlfn.XLOOKUP(A5460,Product!A:A,Product!E:E,"Bulunamadı")</f>
        <v>2.42</v>
      </c>
      <c r="I5458" s="2" t="str">
        <f t="shared" si="1"/>
        <v>68351 - Law - Art History</v>
      </c>
      <c r="J5458" s="2">
        <f t="shared" si="2"/>
        <v>1064.8</v>
      </c>
      <c r="K5458" s="17">
        <f t="shared" si="3"/>
        <v>1</v>
      </c>
      <c r="L5458" s="18"/>
    </row>
    <row r="5459" hidden="1">
      <c r="A5459" s="2">
        <f>IFERROR(__xludf.DUMMYFUNCTION("""COMPUTED_VALUE"""),113736.0)</f>
        <v>113736</v>
      </c>
      <c r="B5459" s="2">
        <f>IFERROR(__xludf.DUMMYFUNCTION("""COMPUTED_VALUE"""),0.0)</f>
        <v>0</v>
      </c>
      <c r="C5459" s="2">
        <f>IFERROR(__xludf.DUMMYFUNCTION("""COMPUTED_VALUE"""),588.0)</f>
        <v>588</v>
      </c>
      <c r="D5459" s="3">
        <f>IFERROR(__xludf.DUMMYFUNCTION("""COMPUTED_VALUE"""),546.0)</f>
        <v>546</v>
      </c>
      <c r="E5459" s="1" t="str">
        <f t="array" ref="E5459">_xlfn.XLOOKUP(A5459,Product!A:A,Product!B:B,"Bulunamadı")</f>
        <v>Law</v>
      </c>
      <c r="F5459" s="1" t="str">
        <f t="array" ref="F5459">_xlfn.XLOOKUP(A5459,Product!A:A,Product!C:C,"Bulunamadı")</f>
        <v>Art History</v>
      </c>
      <c r="G5459" s="2" t="str">
        <f t="array" ref="G5459">_xlfn.XLOOKUP(A5460,Product!A:A,Product!D:D,"Bulunamadı")</f>
        <v>Rivergate Publishing House</v>
      </c>
      <c r="H5459" s="2">
        <f t="array" ref="H5459">_xlfn.XLOOKUP(A5461,Product!A:A,Product!E:E,"Bulunamadı")</f>
        <v>2.61</v>
      </c>
      <c r="I5459" s="2" t="str">
        <f t="shared" si="1"/>
        <v>113736 - Law - Art History</v>
      </c>
      <c r="J5459" s="2">
        <f t="shared" si="2"/>
        <v>1425.06</v>
      </c>
      <c r="K5459" s="17">
        <f t="shared" si="3"/>
        <v>1</v>
      </c>
      <c r="L5459" s="18"/>
    </row>
    <row r="5460" hidden="1">
      <c r="A5460" s="2">
        <f>IFERROR(__xludf.DUMMYFUNCTION("""COMPUTED_VALUE"""),113738.0)</f>
        <v>113738</v>
      </c>
      <c r="B5460" s="2">
        <f>IFERROR(__xludf.DUMMYFUNCTION("""COMPUTED_VALUE"""),1.0)</f>
        <v>1</v>
      </c>
      <c r="C5460" s="2">
        <f>IFERROR(__xludf.DUMMYFUNCTION("""COMPUTED_VALUE"""),445.0)</f>
        <v>445</v>
      </c>
      <c r="D5460" s="3">
        <f>IFERROR(__xludf.DUMMYFUNCTION("""COMPUTED_VALUE"""),349.0)</f>
        <v>349</v>
      </c>
      <c r="E5460" s="1" t="str">
        <f t="array" ref="E5460">_xlfn.XLOOKUP(A5460,Product!A:A,Product!B:B,"Bulunamadı")</f>
        <v>Law</v>
      </c>
      <c r="F5460" s="1" t="str">
        <f t="array" ref="F5460">_xlfn.XLOOKUP(A5460,Product!A:A,Product!C:C,"Bulunamadı")</f>
        <v>Art History</v>
      </c>
      <c r="G5460" s="2" t="str">
        <f t="array" ref="G5460">_xlfn.XLOOKUP(A5461,Product!A:A,Product!D:D,"Bulunamadı")</f>
        <v>Rivergate Publishing House</v>
      </c>
      <c r="H5460" s="2">
        <f t="array" ref="H5460">_xlfn.XLOOKUP(A5462,Product!A:A,Product!E:E,"Bulunamadı")</f>
        <v>1.6</v>
      </c>
      <c r="I5460" s="2" t="str">
        <f t="shared" si="1"/>
        <v>113738 - Law - Art History</v>
      </c>
      <c r="J5460" s="2">
        <f t="shared" si="2"/>
        <v>558.4</v>
      </c>
      <c r="K5460" s="17">
        <f t="shared" si="3"/>
        <v>1</v>
      </c>
      <c r="L5460" s="18"/>
    </row>
    <row r="5461" hidden="1">
      <c r="A5461" s="2">
        <f>IFERROR(__xludf.DUMMYFUNCTION("""COMPUTED_VALUE"""),113737.0)</f>
        <v>113737</v>
      </c>
      <c r="B5461" s="2">
        <f>IFERROR(__xludf.DUMMYFUNCTION("""COMPUTED_VALUE"""),1.0)</f>
        <v>1</v>
      </c>
      <c r="C5461" s="2">
        <f>IFERROR(__xludf.DUMMYFUNCTION("""COMPUTED_VALUE"""),447.0)</f>
        <v>447</v>
      </c>
      <c r="D5461" s="3">
        <f>IFERROR(__xludf.DUMMYFUNCTION("""COMPUTED_VALUE"""),18.0)</f>
        <v>18</v>
      </c>
      <c r="E5461" s="1" t="str">
        <f t="array" ref="E5461">_xlfn.XLOOKUP(A5461,Product!A:A,Product!B:B,"Bulunamadı")</f>
        <v>Law</v>
      </c>
      <c r="F5461" s="1" t="str">
        <f t="array" ref="F5461">_xlfn.XLOOKUP(A5461,Product!A:A,Product!C:C,"Bulunamadı")</f>
        <v>Art History</v>
      </c>
      <c r="G5461" s="2" t="str">
        <f t="array" ref="G5461">_xlfn.XLOOKUP(A5462,Product!A:A,Product!D:D,"Bulunamadı")</f>
        <v>Rivergate Publishing House</v>
      </c>
      <c r="H5461" s="2">
        <f t="array" ref="H5461">_xlfn.XLOOKUP(A5463,Product!A:A,Product!E:E,"Bulunamadı")</f>
        <v>2.7</v>
      </c>
      <c r="I5461" s="2" t="str">
        <f t="shared" si="1"/>
        <v>113737 - Law - Art History</v>
      </c>
      <c r="J5461" s="2">
        <f t="shared" si="2"/>
        <v>48.6</v>
      </c>
      <c r="K5461" s="17">
        <f t="shared" si="3"/>
        <v>1</v>
      </c>
      <c r="L5461" s="18"/>
    </row>
    <row r="5462" hidden="1">
      <c r="A5462" s="2">
        <f>IFERROR(__xludf.DUMMYFUNCTION("""COMPUTED_VALUE"""),73767.0)</f>
        <v>73767</v>
      </c>
      <c r="B5462" s="2">
        <f>IFERROR(__xludf.DUMMYFUNCTION("""COMPUTED_VALUE"""),1.0)</f>
        <v>1</v>
      </c>
      <c r="C5462" s="2">
        <f>IFERROR(__xludf.DUMMYFUNCTION("""COMPUTED_VALUE"""),166.0)</f>
        <v>166</v>
      </c>
      <c r="D5462" s="3">
        <f>IFERROR(__xludf.DUMMYFUNCTION("""COMPUTED_VALUE"""),78.0)</f>
        <v>78</v>
      </c>
      <c r="E5462" s="1" t="str">
        <f t="array" ref="E5462">_xlfn.XLOOKUP(A5462,Product!A:A,Product!B:B,"Bulunamadı")</f>
        <v>Law</v>
      </c>
      <c r="F5462" s="1" t="str">
        <f t="array" ref="F5462">_xlfn.XLOOKUP(A5462,Product!A:A,Product!C:C,"Bulunamadı")</f>
        <v>Art History</v>
      </c>
      <c r="G5462" s="2" t="str">
        <f t="array" ref="G5462">_xlfn.XLOOKUP(A5463,Product!A:A,Product!D:D,"Bulunamadı")</f>
        <v>Irongate Publishing House</v>
      </c>
      <c r="H5462" s="2">
        <f t="array" ref="H5462">_xlfn.XLOOKUP(A5464,Product!A:A,Product!E:E,"Bulunamadı")</f>
        <v>2.37</v>
      </c>
      <c r="I5462" s="2" t="str">
        <f t="shared" si="1"/>
        <v>73767 - Law - Art History</v>
      </c>
      <c r="J5462" s="2">
        <f t="shared" si="2"/>
        <v>184.86</v>
      </c>
      <c r="K5462" s="17">
        <f t="shared" si="3"/>
        <v>1</v>
      </c>
      <c r="L5462" s="18"/>
    </row>
    <row r="5463" hidden="1">
      <c r="A5463" s="2">
        <f>IFERROR(__xludf.DUMMYFUNCTION("""COMPUTED_VALUE"""),89559.0)</f>
        <v>89559</v>
      </c>
      <c r="B5463" s="2">
        <f>IFERROR(__xludf.DUMMYFUNCTION("""COMPUTED_VALUE"""),0.0)</f>
        <v>0</v>
      </c>
      <c r="C5463" s="2">
        <f>IFERROR(__xludf.DUMMYFUNCTION("""COMPUTED_VALUE"""),689.0)</f>
        <v>689</v>
      </c>
      <c r="D5463" s="3">
        <f>IFERROR(__xludf.DUMMYFUNCTION("""COMPUTED_VALUE"""),666.0)</f>
        <v>666</v>
      </c>
      <c r="E5463" s="1" t="str">
        <f t="array" ref="E5463">_xlfn.XLOOKUP(A5463,Product!A:A,Product!B:B,"Bulunamadı")</f>
        <v>Law</v>
      </c>
      <c r="F5463" s="1" t="str">
        <f t="array" ref="F5463">_xlfn.XLOOKUP(A5463,Product!A:A,Product!C:C,"Bulunamadı")</f>
        <v>Art History</v>
      </c>
      <c r="G5463" s="2" t="str">
        <f t="array" ref="G5463">_xlfn.XLOOKUP(A5464,Product!A:A,Product!D:D,"Bulunamadı")</f>
        <v>Irongate Publishing House</v>
      </c>
      <c r="H5463" s="2">
        <f t="array" ref="H5463">_xlfn.XLOOKUP(A5465,Product!A:A,Product!E:E,"Bulunamadı")</f>
        <v>1.73</v>
      </c>
      <c r="I5463" s="2" t="str">
        <f t="shared" si="1"/>
        <v>89559 - Law - Art History</v>
      </c>
      <c r="J5463" s="2">
        <f t="shared" si="2"/>
        <v>1152.18</v>
      </c>
      <c r="K5463" s="17">
        <f t="shared" si="3"/>
        <v>1</v>
      </c>
      <c r="L5463" s="18"/>
    </row>
    <row r="5464" hidden="1">
      <c r="A5464" s="2">
        <f>IFERROR(__xludf.DUMMYFUNCTION("""COMPUTED_VALUE"""),102720.0)</f>
        <v>102720</v>
      </c>
      <c r="B5464" s="2">
        <f>IFERROR(__xludf.DUMMYFUNCTION("""COMPUTED_VALUE"""),0.0)</f>
        <v>0</v>
      </c>
      <c r="C5464" s="2">
        <f>IFERROR(__xludf.DUMMYFUNCTION("""COMPUTED_VALUE"""),934.0)</f>
        <v>934</v>
      </c>
      <c r="D5464" s="3">
        <f>IFERROR(__xludf.DUMMYFUNCTION("""COMPUTED_VALUE"""),165.0)</f>
        <v>165</v>
      </c>
      <c r="E5464" s="1" t="str">
        <f t="array" ref="E5464">_xlfn.XLOOKUP(A5464,Product!A:A,Product!B:B,"Bulunamadı")</f>
        <v>Law</v>
      </c>
      <c r="F5464" s="1" t="str">
        <f t="array" ref="F5464">_xlfn.XLOOKUP(A5464,Product!A:A,Product!C:C,"Bulunamadı")</f>
        <v>Art History</v>
      </c>
      <c r="G5464" s="2" t="str">
        <f t="array" ref="G5464">_xlfn.XLOOKUP(A5465,Product!A:A,Product!D:D,"Bulunamadı")</f>
        <v>Irongate Publishing House</v>
      </c>
      <c r="H5464" s="2">
        <f t="array" ref="H5464">_xlfn.XLOOKUP(A5466,Product!A:A,Product!E:E,"Bulunamadı")</f>
        <v>1.37</v>
      </c>
      <c r="I5464" s="2" t="str">
        <f t="shared" si="1"/>
        <v>102720 - Law - Art History</v>
      </c>
      <c r="J5464" s="2">
        <f t="shared" si="2"/>
        <v>226.05</v>
      </c>
      <c r="K5464" s="17">
        <f t="shared" si="3"/>
        <v>1</v>
      </c>
      <c r="L5464" s="18"/>
    </row>
    <row r="5465" hidden="1">
      <c r="A5465" s="2">
        <f>IFERROR(__xludf.DUMMYFUNCTION("""COMPUTED_VALUE"""),114668.0)</f>
        <v>114668</v>
      </c>
      <c r="B5465" s="2">
        <f>IFERROR(__xludf.DUMMYFUNCTION("""COMPUTED_VALUE"""),1.0)</f>
        <v>1</v>
      </c>
      <c r="C5465" s="2">
        <f>IFERROR(__xludf.DUMMYFUNCTION("""COMPUTED_VALUE"""),482.0)</f>
        <v>482</v>
      </c>
      <c r="D5465" s="3">
        <f>IFERROR(__xludf.DUMMYFUNCTION("""COMPUTED_VALUE"""),73.0)</f>
        <v>73</v>
      </c>
      <c r="E5465" s="1" t="str">
        <f t="array" ref="E5465">_xlfn.XLOOKUP(A5465,Product!A:A,Product!B:B,"Bulunamadı")</f>
        <v>Law</v>
      </c>
      <c r="F5465" s="1" t="str">
        <f t="array" ref="F5465">_xlfn.XLOOKUP(A5465,Product!A:A,Product!C:C,"Bulunamadı")</f>
        <v>Art History</v>
      </c>
      <c r="G5465" s="2" t="str">
        <f t="array" ref="G5465">_xlfn.XLOOKUP(A5466,Product!A:A,Product!D:D,"Bulunamadı")</f>
        <v>Irongate Publishing House</v>
      </c>
      <c r="H5465" s="2">
        <f t="array" ref="H5465">_xlfn.XLOOKUP(A5467,Product!A:A,Product!E:E,"Bulunamadı")</f>
        <v>2.03</v>
      </c>
      <c r="I5465" s="2" t="str">
        <f t="shared" si="1"/>
        <v>114668 - Law - Art History</v>
      </c>
      <c r="J5465" s="2">
        <f t="shared" si="2"/>
        <v>148.19</v>
      </c>
      <c r="K5465" s="17">
        <f t="shared" si="3"/>
        <v>1</v>
      </c>
      <c r="L5465" s="18"/>
    </row>
    <row r="5466" hidden="1">
      <c r="A5466" s="2">
        <f>IFERROR(__xludf.DUMMYFUNCTION("""COMPUTED_VALUE"""),159208.0)</f>
        <v>159208</v>
      </c>
      <c r="B5466" s="2">
        <f>IFERROR(__xludf.DUMMYFUNCTION("""COMPUTED_VALUE"""),1.0)</f>
        <v>1</v>
      </c>
      <c r="C5466" s="2">
        <f>IFERROR(__xludf.DUMMYFUNCTION("""COMPUTED_VALUE"""),486.0)</f>
        <v>486</v>
      </c>
      <c r="D5466" s="3">
        <f>IFERROR(__xludf.DUMMYFUNCTION("""COMPUTED_VALUE"""),63.0)</f>
        <v>63</v>
      </c>
      <c r="E5466" s="1" t="str">
        <f t="array" ref="E5466">_xlfn.XLOOKUP(A5466,Product!A:A,Product!B:B,"Bulunamadı")</f>
        <v>Law</v>
      </c>
      <c r="F5466" s="1" t="str">
        <f t="array" ref="F5466">_xlfn.XLOOKUP(A5466,Product!A:A,Product!C:C,"Bulunamadı")</f>
        <v>Art History</v>
      </c>
      <c r="G5466" s="2" t="str">
        <f t="array" ref="G5466">_xlfn.XLOOKUP(A5467,Product!A:A,Product!D:D,"Bulunamadı")</f>
        <v>Irongate Publishing House</v>
      </c>
      <c r="H5466" s="2">
        <f t="array" ref="H5466">_xlfn.XLOOKUP(A5468,Product!A:A,Product!E:E,"Bulunamadı")</f>
        <v>1.67</v>
      </c>
      <c r="I5466" s="2" t="str">
        <f t="shared" si="1"/>
        <v>159208 - Law - Art History</v>
      </c>
      <c r="J5466" s="2">
        <f t="shared" si="2"/>
        <v>105.21</v>
      </c>
      <c r="K5466" s="17">
        <f t="shared" si="3"/>
        <v>1</v>
      </c>
      <c r="L5466" s="18"/>
    </row>
    <row r="5467" hidden="1">
      <c r="A5467" s="2">
        <f>IFERROR(__xludf.DUMMYFUNCTION("""COMPUTED_VALUE"""),108476.0)</f>
        <v>108476</v>
      </c>
      <c r="B5467" s="2">
        <f>IFERROR(__xludf.DUMMYFUNCTION("""COMPUTED_VALUE"""),0.0)</f>
        <v>0</v>
      </c>
      <c r="C5467" s="2">
        <f>IFERROR(__xludf.DUMMYFUNCTION("""COMPUTED_VALUE"""),779.0)</f>
        <v>779</v>
      </c>
      <c r="D5467" s="3">
        <f>IFERROR(__xludf.DUMMYFUNCTION("""COMPUTED_VALUE"""),674.0)</f>
        <v>674</v>
      </c>
      <c r="E5467" s="1" t="str">
        <f t="array" ref="E5467">_xlfn.XLOOKUP(A5467,Product!A:A,Product!B:B,"Bulunamadı")</f>
        <v>Law</v>
      </c>
      <c r="F5467" s="1" t="str">
        <f t="array" ref="F5467">_xlfn.XLOOKUP(A5467,Product!A:A,Product!C:C,"Bulunamadı")</f>
        <v>Art History</v>
      </c>
      <c r="G5467" s="2" t="str">
        <f t="array" ref="G5467">_xlfn.XLOOKUP(A5468,Product!A:A,Product!D:D,"Bulunamadı")</f>
        <v>Irongate Publishing House</v>
      </c>
      <c r="H5467" s="2">
        <f t="array" ref="H5467">_xlfn.XLOOKUP(A5469,Product!A:A,Product!E:E,"Bulunamadı")</f>
        <v>1.84</v>
      </c>
      <c r="I5467" s="2" t="str">
        <f t="shared" si="1"/>
        <v>108476 - Law - Art History</v>
      </c>
      <c r="J5467" s="2">
        <f t="shared" si="2"/>
        <v>1240.16</v>
      </c>
      <c r="K5467" s="17">
        <f t="shared" si="3"/>
        <v>1</v>
      </c>
      <c r="L5467" s="18"/>
    </row>
    <row r="5468" hidden="1">
      <c r="A5468" s="2">
        <f>IFERROR(__xludf.DUMMYFUNCTION("""COMPUTED_VALUE"""),76603.0)</f>
        <v>76603</v>
      </c>
      <c r="B5468" s="2">
        <f>IFERROR(__xludf.DUMMYFUNCTION("""COMPUTED_VALUE"""),1.0)</f>
        <v>1</v>
      </c>
      <c r="C5468" s="2">
        <f>IFERROR(__xludf.DUMMYFUNCTION("""COMPUTED_VALUE"""),860.0)</f>
        <v>860</v>
      </c>
      <c r="D5468" s="3">
        <f>IFERROR(__xludf.DUMMYFUNCTION("""COMPUTED_VALUE"""),349.0)</f>
        <v>349</v>
      </c>
      <c r="E5468" s="1" t="str">
        <f t="array" ref="E5468">_xlfn.XLOOKUP(A5468,Product!A:A,Product!B:B,"Bulunamadı")</f>
        <v>Law</v>
      </c>
      <c r="F5468" s="1" t="str">
        <f t="array" ref="F5468">_xlfn.XLOOKUP(A5468,Product!A:A,Product!C:C,"Bulunamadı")</f>
        <v>Art History</v>
      </c>
      <c r="G5468" s="2" t="str">
        <f t="array" ref="G5468">_xlfn.XLOOKUP(A5469,Product!A:A,Product!D:D,"Bulunamadı")</f>
        <v>Irongate Publishing House</v>
      </c>
      <c r="H5468" s="2">
        <f t="array" ref="H5468">_xlfn.XLOOKUP(A5470,Product!A:A,Product!E:E,"Bulunamadı")</f>
        <v>2.35</v>
      </c>
      <c r="I5468" s="2" t="str">
        <f t="shared" si="1"/>
        <v>76603 - Law - Art History</v>
      </c>
      <c r="J5468" s="2">
        <f t="shared" si="2"/>
        <v>820.15</v>
      </c>
      <c r="K5468" s="17">
        <f t="shared" si="3"/>
        <v>1</v>
      </c>
      <c r="L5468" s="18"/>
    </row>
    <row r="5469" hidden="1">
      <c r="A5469" s="2">
        <f>IFERROR(__xludf.DUMMYFUNCTION("""COMPUTED_VALUE"""),117672.0)</f>
        <v>117672</v>
      </c>
      <c r="B5469" s="2">
        <f>IFERROR(__xludf.DUMMYFUNCTION("""COMPUTED_VALUE"""),1.0)</f>
        <v>1</v>
      </c>
      <c r="C5469" s="2">
        <f>IFERROR(__xludf.DUMMYFUNCTION("""COMPUTED_VALUE"""),590.0)</f>
        <v>590</v>
      </c>
      <c r="D5469" s="3">
        <f>IFERROR(__xludf.DUMMYFUNCTION("""COMPUTED_VALUE"""),58.0)</f>
        <v>58</v>
      </c>
      <c r="E5469" s="1" t="str">
        <f t="array" ref="E5469">_xlfn.XLOOKUP(A5469,Product!A:A,Product!B:B,"Bulunamadı")</f>
        <v>Law</v>
      </c>
      <c r="F5469" s="1" t="str">
        <f t="array" ref="F5469">_xlfn.XLOOKUP(A5469,Product!A:A,Product!C:C,"Bulunamadı")</f>
        <v>Art History</v>
      </c>
      <c r="G5469" s="2" t="str">
        <f t="array" ref="G5469">_xlfn.XLOOKUP(A5470,Product!A:A,Product!D:D,"Bulunamadı")</f>
        <v>Irongate Publishing House</v>
      </c>
      <c r="H5469" s="2">
        <f t="array" ref="H5469">_xlfn.XLOOKUP(A5471,Product!A:A,Product!E:E,"Bulunamadı")</f>
        <v>2.16</v>
      </c>
      <c r="I5469" s="2" t="str">
        <f t="shared" si="1"/>
        <v>117672 - Law - Art History</v>
      </c>
      <c r="J5469" s="2">
        <f t="shared" si="2"/>
        <v>125.28</v>
      </c>
      <c r="K5469" s="17">
        <f t="shared" si="3"/>
        <v>1</v>
      </c>
      <c r="L5469" s="18"/>
    </row>
    <row r="5470" hidden="1">
      <c r="A5470" s="2">
        <f>IFERROR(__xludf.DUMMYFUNCTION("""COMPUTED_VALUE"""),73968.0)</f>
        <v>73968</v>
      </c>
      <c r="B5470" s="2">
        <f>IFERROR(__xludf.DUMMYFUNCTION("""COMPUTED_VALUE"""),0.0)</f>
        <v>0</v>
      </c>
      <c r="C5470" s="2">
        <f>IFERROR(__xludf.DUMMYFUNCTION("""COMPUTED_VALUE"""),471.0)</f>
        <v>471</v>
      </c>
      <c r="D5470" s="3">
        <f>IFERROR(__xludf.DUMMYFUNCTION("""COMPUTED_VALUE"""),298.0)</f>
        <v>298</v>
      </c>
      <c r="E5470" s="1" t="str">
        <f t="array" ref="E5470">_xlfn.XLOOKUP(A5470,Product!A:A,Product!B:B,"Bulunamadı")</f>
        <v>Law</v>
      </c>
      <c r="F5470" s="1" t="str">
        <f t="array" ref="F5470">_xlfn.XLOOKUP(A5470,Product!A:A,Product!C:C,"Bulunamadı")</f>
        <v>Art History</v>
      </c>
      <c r="G5470" s="2" t="str">
        <f t="array" ref="G5470">_xlfn.XLOOKUP(A5471,Product!A:A,Product!D:D,"Bulunamadı")</f>
        <v>Irongate Publishing House</v>
      </c>
      <c r="H5470" s="2">
        <f t="array" ref="H5470">_xlfn.XLOOKUP(A5472,Product!A:A,Product!E:E,"Bulunamadı")</f>
        <v>1.09</v>
      </c>
      <c r="I5470" s="2" t="str">
        <f t="shared" si="1"/>
        <v>73968 - Law - Art History</v>
      </c>
      <c r="J5470" s="2">
        <f t="shared" si="2"/>
        <v>324.82</v>
      </c>
      <c r="K5470" s="17">
        <f t="shared" si="3"/>
        <v>1</v>
      </c>
      <c r="L5470" s="18"/>
    </row>
    <row r="5471" hidden="1">
      <c r="A5471" s="2">
        <f>IFERROR(__xludf.DUMMYFUNCTION("""COMPUTED_VALUE"""),73967.0)</f>
        <v>73967</v>
      </c>
      <c r="B5471" s="2">
        <f>IFERROR(__xludf.DUMMYFUNCTION("""COMPUTED_VALUE"""),0.0)</f>
        <v>0</v>
      </c>
      <c r="C5471" s="2">
        <f>IFERROR(__xludf.DUMMYFUNCTION("""COMPUTED_VALUE"""),167.0)</f>
        <v>167</v>
      </c>
      <c r="D5471" s="3">
        <f>IFERROR(__xludf.DUMMYFUNCTION("""COMPUTED_VALUE"""),95.0)</f>
        <v>95</v>
      </c>
      <c r="E5471" s="1" t="str">
        <f t="array" ref="E5471">_xlfn.XLOOKUP(A5471,Product!A:A,Product!B:B,"Bulunamadı")</f>
        <v>Law</v>
      </c>
      <c r="F5471" s="1" t="str">
        <f t="array" ref="F5471">_xlfn.XLOOKUP(A5471,Product!A:A,Product!C:C,"Bulunamadı")</f>
        <v>Art History</v>
      </c>
      <c r="G5471" s="2" t="str">
        <f t="array" ref="G5471">_xlfn.XLOOKUP(A5472,Product!A:A,Product!D:D,"Bulunamadı")</f>
        <v>Irongate Publishing House</v>
      </c>
      <c r="H5471" s="2">
        <f t="array" ref="H5471">_xlfn.XLOOKUP(A5473,Product!A:A,Product!E:E,"Bulunamadı")</f>
        <v>1.75</v>
      </c>
      <c r="I5471" s="2" t="str">
        <f t="shared" si="1"/>
        <v>73967 - Law - Art History</v>
      </c>
      <c r="J5471" s="2">
        <f t="shared" si="2"/>
        <v>166.25</v>
      </c>
      <c r="K5471" s="17">
        <f t="shared" si="3"/>
        <v>1</v>
      </c>
      <c r="L5471" s="18"/>
    </row>
    <row r="5472" hidden="1">
      <c r="A5472" s="2">
        <f>IFERROR(__xludf.DUMMYFUNCTION("""COMPUTED_VALUE"""),159209.0)</f>
        <v>159209</v>
      </c>
      <c r="B5472" s="2">
        <f>IFERROR(__xludf.DUMMYFUNCTION("""COMPUTED_VALUE"""),0.0)</f>
        <v>0</v>
      </c>
      <c r="C5472" s="2">
        <f>IFERROR(__xludf.DUMMYFUNCTION("""COMPUTED_VALUE"""),123.0)</f>
        <v>123</v>
      </c>
      <c r="D5472" s="3">
        <f>IFERROR(__xludf.DUMMYFUNCTION("""COMPUTED_VALUE"""),62.0)</f>
        <v>62</v>
      </c>
      <c r="E5472" s="1" t="str">
        <f t="array" ref="E5472">_xlfn.XLOOKUP(A5472,Product!A:A,Product!B:B,"Bulunamadı")</f>
        <v>Law</v>
      </c>
      <c r="F5472" s="1" t="str">
        <f t="array" ref="F5472">_xlfn.XLOOKUP(A5472,Product!A:A,Product!C:C,"Bulunamadı")</f>
        <v>Art History</v>
      </c>
      <c r="G5472" s="2" t="str">
        <f t="array" ref="G5472">_xlfn.XLOOKUP(A5473,Product!A:A,Product!D:D,"Bulunamadı")</f>
        <v>Irongate Publishing House</v>
      </c>
      <c r="H5472" s="2">
        <f t="array" ref="H5472">_xlfn.XLOOKUP(A5474,Product!A:A,Product!E:E,"Bulunamadı")</f>
        <v>1.83</v>
      </c>
      <c r="I5472" s="2" t="str">
        <f t="shared" si="1"/>
        <v>159209 - Law - Art History</v>
      </c>
      <c r="J5472" s="2">
        <f t="shared" si="2"/>
        <v>113.46</v>
      </c>
      <c r="K5472" s="17">
        <f t="shared" si="3"/>
        <v>1</v>
      </c>
      <c r="L5472" s="18"/>
    </row>
    <row r="5473" hidden="1">
      <c r="A5473" s="2">
        <f>IFERROR(__xludf.DUMMYFUNCTION("""COMPUTED_VALUE"""),90675.0)</f>
        <v>90675</v>
      </c>
      <c r="B5473" s="2">
        <f>IFERROR(__xludf.DUMMYFUNCTION("""COMPUTED_VALUE"""),1.0)</f>
        <v>1</v>
      </c>
      <c r="C5473" s="2">
        <f>IFERROR(__xludf.DUMMYFUNCTION("""COMPUTED_VALUE"""),917.0)</f>
        <v>917</v>
      </c>
      <c r="D5473" s="3">
        <f>IFERROR(__xludf.DUMMYFUNCTION("""COMPUTED_VALUE"""),547.0)</f>
        <v>547</v>
      </c>
      <c r="E5473" s="1" t="str">
        <f t="array" ref="E5473">_xlfn.XLOOKUP(A5473,Product!A:A,Product!B:B,"Bulunamadı")</f>
        <v>Law</v>
      </c>
      <c r="F5473" s="1" t="str">
        <f t="array" ref="F5473">_xlfn.XLOOKUP(A5473,Product!A:A,Product!C:C,"Bulunamadı")</f>
        <v>Art History</v>
      </c>
      <c r="G5473" s="2" t="str">
        <f t="array" ref="G5473">_xlfn.XLOOKUP(A5474,Product!A:A,Product!D:D,"Bulunamadı")</f>
        <v>Irongate Publishing House</v>
      </c>
      <c r="H5473" s="2">
        <f t="array" ref="H5473">_xlfn.XLOOKUP(A5475,Product!A:A,Product!E:E,"Bulunamadı")</f>
        <v>2.46</v>
      </c>
      <c r="I5473" s="2" t="str">
        <f t="shared" si="1"/>
        <v>90675 - Law - Art History</v>
      </c>
      <c r="J5473" s="2">
        <f t="shared" si="2"/>
        <v>1345.62</v>
      </c>
      <c r="K5473" s="17">
        <f t="shared" si="3"/>
        <v>1</v>
      </c>
      <c r="L5473" s="18"/>
    </row>
    <row r="5474" hidden="1">
      <c r="A5474" s="2">
        <f>IFERROR(__xludf.DUMMYFUNCTION("""COMPUTED_VALUE"""),117671.0)</f>
        <v>117671</v>
      </c>
      <c r="B5474" s="2">
        <f>IFERROR(__xludf.DUMMYFUNCTION("""COMPUTED_VALUE"""),1.0)</f>
        <v>1</v>
      </c>
      <c r="C5474" s="2">
        <f>IFERROR(__xludf.DUMMYFUNCTION("""COMPUTED_VALUE"""),623.0)</f>
        <v>623</v>
      </c>
      <c r="D5474" s="3">
        <f>IFERROR(__xludf.DUMMYFUNCTION("""COMPUTED_VALUE"""),311.0)</f>
        <v>311</v>
      </c>
      <c r="E5474" s="1" t="str">
        <f t="array" ref="E5474">_xlfn.XLOOKUP(A5474,Product!A:A,Product!B:B,"Bulunamadı")</f>
        <v>Law</v>
      </c>
      <c r="F5474" s="1" t="str">
        <f t="array" ref="F5474">_xlfn.XLOOKUP(A5474,Product!A:A,Product!C:C,"Bulunamadı")</f>
        <v>Art History</v>
      </c>
      <c r="G5474" s="2" t="str">
        <f t="array" ref="G5474">_xlfn.XLOOKUP(A5475,Product!A:A,Product!D:D,"Bulunamadı")</f>
        <v>Irongate Publishing House</v>
      </c>
      <c r="H5474" s="2">
        <f t="array" ref="H5474">_xlfn.XLOOKUP(A5476,Product!A:A,Product!E:E,"Bulunamadı")</f>
        <v>2.07</v>
      </c>
      <c r="I5474" s="2" t="str">
        <f t="shared" si="1"/>
        <v>117671 - Law - Art History</v>
      </c>
      <c r="J5474" s="2">
        <f t="shared" si="2"/>
        <v>643.77</v>
      </c>
      <c r="K5474" s="17">
        <f t="shared" si="3"/>
        <v>1</v>
      </c>
      <c r="L5474" s="18"/>
    </row>
    <row r="5475" hidden="1">
      <c r="A5475" s="2">
        <f>IFERROR(__xludf.DUMMYFUNCTION("""COMPUTED_VALUE"""),100015.0)</f>
        <v>100015</v>
      </c>
      <c r="B5475" s="2">
        <f>IFERROR(__xludf.DUMMYFUNCTION("""COMPUTED_VALUE"""),1.0)</f>
        <v>1</v>
      </c>
      <c r="C5475" s="2">
        <f>IFERROR(__xludf.DUMMYFUNCTION("""COMPUTED_VALUE"""),366.0)</f>
        <v>366</v>
      </c>
      <c r="D5475" s="3">
        <f>IFERROR(__xludf.DUMMYFUNCTION("""COMPUTED_VALUE"""),128.0)</f>
        <v>128</v>
      </c>
      <c r="E5475" s="1" t="str">
        <f t="array" ref="E5475">_xlfn.XLOOKUP(A5475,Product!A:A,Product!B:B,"Bulunamadı")</f>
        <v>Law</v>
      </c>
      <c r="F5475" s="1" t="str">
        <f t="array" ref="F5475">_xlfn.XLOOKUP(A5475,Product!A:A,Product!C:C,"Bulunamadı")</f>
        <v>Art History</v>
      </c>
      <c r="G5475" s="2" t="str">
        <f t="array" ref="G5475">_xlfn.XLOOKUP(A5476,Product!A:A,Product!D:D,"Bulunamadı")</f>
        <v>Irongate Publishing House</v>
      </c>
      <c r="H5475" s="2">
        <f t="array" ref="H5475">_xlfn.XLOOKUP(A5477,Product!A:A,Product!E:E,"Bulunamadı")</f>
        <v>2.17</v>
      </c>
      <c r="I5475" s="2" t="str">
        <f t="shared" si="1"/>
        <v>100015 - Law - Art History</v>
      </c>
      <c r="J5475" s="2">
        <f t="shared" si="2"/>
        <v>277.76</v>
      </c>
      <c r="K5475" s="17">
        <f t="shared" si="3"/>
        <v>1</v>
      </c>
      <c r="L5475" s="18"/>
    </row>
    <row r="5476" hidden="1">
      <c r="A5476" s="2">
        <f>IFERROR(__xludf.DUMMYFUNCTION("""COMPUTED_VALUE"""),90680.0)</f>
        <v>90680</v>
      </c>
      <c r="B5476" s="2">
        <f>IFERROR(__xludf.DUMMYFUNCTION("""COMPUTED_VALUE"""),1.0)</f>
        <v>1</v>
      </c>
      <c r="C5476" s="2">
        <f>IFERROR(__xludf.DUMMYFUNCTION("""COMPUTED_VALUE"""),806.0)</f>
        <v>806</v>
      </c>
      <c r="D5476" s="3">
        <f>IFERROR(__xludf.DUMMYFUNCTION("""COMPUTED_VALUE"""),307.0)</f>
        <v>307</v>
      </c>
      <c r="E5476" s="1" t="str">
        <f t="array" ref="E5476">_xlfn.XLOOKUP(A5476,Product!A:A,Product!B:B,"Bulunamadı")</f>
        <v>Law</v>
      </c>
      <c r="F5476" s="1" t="str">
        <f t="array" ref="F5476">_xlfn.XLOOKUP(A5476,Product!A:A,Product!C:C,"Bulunamadı")</f>
        <v>Art History</v>
      </c>
      <c r="G5476" s="2" t="str">
        <f t="array" ref="G5476">_xlfn.XLOOKUP(A5477,Product!A:A,Product!D:D,"Bulunamadı")</f>
        <v>Irongate Publishing House</v>
      </c>
      <c r="H5476" s="2">
        <f t="array" ref="H5476">_xlfn.XLOOKUP(A5478,Product!A:A,Product!E:E,"Bulunamadı")</f>
        <v>1.98</v>
      </c>
      <c r="I5476" s="2" t="str">
        <f t="shared" si="1"/>
        <v>90680 - Law - Art History</v>
      </c>
      <c r="J5476" s="2">
        <f t="shared" si="2"/>
        <v>607.86</v>
      </c>
      <c r="K5476" s="17">
        <f t="shared" si="3"/>
        <v>1</v>
      </c>
      <c r="L5476" s="18"/>
    </row>
    <row r="5477" hidden="1">
      <c r="A5477" s="2">
        <f>IFERROR(__xludf.DUMMYFUNCTION("""COMPUTED_VALUE"""),88351.0)</f>
        <v>88351</v>
      </c>
      <c r="B5477" s="2">
        <f>IFERROR(__xludf.DUMMYFUNCTION("""COMPUTED_VALUE"""),1.0)</f>
        <v>1</v>
      </c>
      <c r="C5477" s="2">
        <f>IFERROR(__xludf.DUMMYFUNCTION("""COMPUTED_VALUE"""),285.0)</f>
        <v>285</v>
      </c>
      <c r="D5477" s="3">
        <f>IFERROR(__xludf.DUMMYFUNCTION("""COMPUTED_VALUE"""),120.0)</f>
        <v>120</v>
      </c>
      <c r="E5477" s="1" t="str">
        <f t="array" ref="E5477">_xlfn.XLOOKUP(A5477,Product!A:A,Product!B:B,"Bulunamadı")</f>
        <v>Law</v>
      </c>
      <c r="F5477" s="1" t="str">
        <f t="array" ref="F5477">_xlfn.XLOOKUP(A5477,Product!A:A,Product!C:C,"Bulunamadı")</f>
        <v>Art History</v>
      </c>
      <c r="G5477" s="2" t="str">
        <f t="array" ref="G5477">_xlfn.XLOOKUP(A5478,Product!A:A,Product!D:D,"Bulunamadı")</f>
        <v>Irongate Publishing House</v>
      </c>
      <c r="H5477" s="2">
        <f t="array" ref="H5477">_xlfn.XLOOKUP(A5479,Product!A:A,Product!E:E,"Bulunamadı")</f>
        <v>2.13</v>
      </c>
      <c r="I5477" s="2" t="str">
        <f t="shared" si="1"/>
        <v>88351 - Law - Art History</v>
      </c>
      <c r="J5477" s="2">
        <f t="shared" si="2"/>
        <v>255.6</v>
      </c>
      <c r="K5477" s="17">
        <f t="shared" si="3"/>
        <v>1</v>
      </c>
      <c r="L5477" s="18"/>
    </row>
    <row r="5478" hidden="1">
      <c r="A5478" s="2">
        <f>IFERROR(__xludf.DUMMYFUNCTION("""COMPUTED_VALUE"""),108475.0)</f>
        <v>108475</v>
      </c>
      <c r="B5478" s="2">
        <f>IFERROR(__xludf.DUMMYFUNCTION("""COMPUTED_VALUE"""),1.0)</f>
        <v>1</v>
      </c>
      <c r="C5478" s="2">
        <f>IFERROR(__xludf.DUMMYFUNCTION("""COMPUTED_VALUE"""),341.0)</f>
        <v>341</v>
      </c>
      <c r="D5478" s="3">
        <f>IFERROR(__xludf.DUMMYFUNCTION("""COMPUTED_VALUE"""),122.0)</f>
        <v>122</v>
      </c>
      <c r="E5478" s="1" t="str">
        <f t="array" ref="E5478">_xlfn.XLOOKUP(A5478,Product!A:A,Product!B:B,"Bulunamadı")</f>
        <v>Law</v>
      </c>
      <c r="F5478" s="1" t="str">
        <f t="array" ref="F5478">_xlfn.XLOOKUP(A5478,Product!A:A,Product!C:C,"Bulunamadı")</f>
        <v>Art History</v>
      </c>
      <c r="G5478" s="2" t="str">
        <f t="array" ref="G5478">_xlfn.XLOOKUP(A5479,Product!A:A,Product!D:D,"Bulunamadı")</f>
        <v>Irongate Publishing House</v>
      </c>
      <c r="H5478" s="2">
        <f t="array" ref="H5478">_xlfn.XLOOKUP(A5480,Product!A:A,Product!E:E,"Bulunamadı")</f>
        <v>0.97</v>
      </c>
      <c r="I5478" s="2" t="str">
        <f t="shared" si="1"/>
        <v>108475 - Law - Art History</v>
      </c>
      <c r="J5478" s="2">
        <f t="shared" si="2"/>
        <v>118.34</v>
      </c>
      <c r="K5478" s="17">
        <f t="shared" si="3"/>
        <v>1</v>
      </c>
      <c r="L5478" s="18"/>
    </row>
    <row r="5479" hidden="1">
      <c r="A5479" s="2">
        <f>IFERROR(__xludf.DUMMYFUNCTION("""COMPUTED_VALUE"""),90676.0)</f>
        <v>90676</v>
      </c>
      <c r="B5479" s="2">
        <f>IFERROR(__xludf.DUMMYFUNCTION("""COMPUTED_VALUE"""),1.0)</f>
        <v>1</v>
      </c>
      <c r="C5479" s="2">
        <f>IFERROR(__xludf.DUMMYFUNCTION("""COMPUTED_VALUE"""),-4.0)</f>
        <v>-4</v>
      </c>
      <c r="D5479" s="3">
        <f>IFERROR(__xludf.DUMMYFUNCTION("""COMPUTED_VALUE"""),-2.0)</f>
        <v>-2</v>
      </c>
      <c r="E5479" s="1" t="str">
        <f t="array" ref="E5479">_xlfn.XLOOKUP(A5479,Product!A:A,Product!B:B,"Bulunamadı")</f>
        <v>Law</v>
      </c>
      <c r="F5479" s="1" t="str">
        <f t="array" ref="F5479">_xlfn.XLOOKUP(A5479,Product!A:A,Product!C:C,"Bulunamadı")</f>
        <v>Art History</v>
      </c>
      <c r="G5479" s="2" t="str">
        <f t="array" ref="G5479">_xlfn.XLOOKUP(A5480,Product!A:A,Product!D:D,"Bulunamadı")</f>
        <v>Silverwind Publishing House</v>
      </c>
      <c r="H5479" s="2">
        <f t="array" ref="H5479">_xlfn.XLOOKUP(A5481,Product!A:A,Product!E:E,"Bulunamadı")</f>
        <v>0.94</v>
      </c>
      <c r="I5479" s="2" t="str">
        <f t="shared" si="1"/>
        <v>90676 - Law - Art History</v>
      </c>
      <c r="J5479" s="2">
        <f t="shared" si="2"/>
        <v>-1.88</v>
      </c>
      <c r="K5479" s="17">
        <f t="shared" si="3"/>
        <v>0</v>
      </c>
      <c r="L5479" s="18"/>
    </row>
    <row r="5480" hidden="1">
      <c r="A5480" s="2">
        <f>IFERROR(__xludf.DUMMYFUNCTION("""COMPUTED_VALUE"""),43118.0)</f>
        <v>43118</v>
      </c>
      <c r="B5480" s="2">
        <f>IFERROR(__xludf.DUMMYFUNCTION("""COMPUTED_VALUE"""),0.0)</f>
        <v>0</v>
      </c>
      <c r="C5480" s="2">
        <f>IFERROR(__xludf.DUMMYFUNCTION("""COMPUTED_VALUE"""),986.0)</f>
        <v>986</v>
      </c>
      <c r="D5480" s="3">
        <f>IFERROR(__xludf.DUMMYFUNCTION("""COMPUTED_VALUE"""),742.0)</f>
        <v>742</v>
      </c>
      <c r="E5480" s="1" t="str">
        <f t="array" ref="E5480">_xlfn.XLOOKUP(A5480,Product!A:A,Product!B:B,"Bulunamadı")</f>
        <v>Medical</v>
      </c>
      <c r="F5480" s="1" t="str">
        <f t="array" ref="F5480">_xlfn.XLOOKUP(A5480,Product!A:A,Product!C:C,"Bulunamadı")</f>
        <v>Architecture</v>
      </c>
      <c r="G5480" s="2" t="str">
        <f t="array" ref="G5480">_xlfn.XLOOKUP(A5481,Product!A:A,Product!D:D,"Bulunamadı")</f>
        <v>Silverwind Publishing House</v>
      </c>
      <c r="H5480" s="2">
        <f t="array" ref="H5480">_xlfn.XLOOKUP(A5482,Product!A:A,Product!E:E,"Bulunamadı")</f>
        <v>1.58</v>
      </c>
      <c r="I5480" s="2" t="str">
        <f t="shared" si="1"/>
        <v>43118 - Medical - Architecture</v>
      </c>
      <c r="J5480" s="2">
        <f t="shared" si="2"/>
        <v>1172.36</v>
      </c>
      <c r="K5480" s="17">
        <f t="shared" si="3"/>
        <v>1</v>
      </c>
      <c r="L5480" s="18"/>
    </row>
    <row r="5481" hidden="1">
      <c r="A5481" s="2">
        <f>IFERROR(__xludf.DUMMYFUNCTION("""COMPUTED_VALUE"""),112472.0)</f>
        <v>112472</v>
      </c>
      <c r="B5481" s="2">
        <f>IFERROR(__xludf.DUMMYFUNCTION("""COMPUTED_VALUE"""),0.0)</f>
        <v>0</v>
      </c>
      <c r="C5481" s="2">
        <f>IFERROR(__xludf.DUMMYFUNCTION("""COMPUTED_VALUE"""),637.0)</f>
        <v>637</v>
      </c>
      <c r="D5481" s="3">
        <f>IFERROR(__xludf.DUMMYFUNCTION("""COMPUTED_VALUE"""),119.0)</f>
        <v>119</v>
      </c>
      <c r="E5481" s="1" t="str">
        <f t="array" ref="E5481">_xlfn.XLOOKUP(A5481,Product!A:A,Product!B:B,"Bulunamadı")</f>
        <v>Medical</v>
      </c>
      <c r="F5481" s="1" t="str">
        <f t="array" ref="F5481">_xlfn.XLOOKUP(A5481,Product!A:A,Product!C:C,"Bulunamadı")</f>
        <v>Architecture</v>
      </c>
      <c r="G5481" s="2" t="str">
        <f t="array" ref="G5481">_xlfn.XLOOKUP(A5482,Product!A:A,Product!D:D,"Bulunamadı")</f>
        <v>Northwind Publishing House</v>
      </c>
      <c r="H5481" s="2">
        <f t="array" ref="H5481">_xlfn.XLOOKUP(A5483,Product!A:A,Product!E:E,"Bulunamadı")</f>
        <v>2.08</v>
      </c>
      <c r="I5481" s="2" t="str">
        <f t="shared" si="1"/>
        <v>112472 - Medical - Architecture</v>
      </c>
      <c r="J5481" s="2">
        <f t="shared" si="2"/>
        <v>247.52</v>
      </c>
      <c r="K5481" s="17">
        <f t="shared" si="3"/>
        <v>1</v>
      </c>
      <c r="L5481" s="18"/>
    </row>
    <row r="5482" hidden="1">
      <c r="A5482" s="2">
        <f>IFERROR(__xludf.DUMMYFUNCTION("""COMPUTED_VALUE"""),108083.0)</f>
        <v>108083</v>
      </c>
      <c r="B5482" s="2">
        <f>IFERROR(__xludf.DUMMYFUNCTION("""COMPUTED_VALUE"""),0.0)</f>
        <v>0</v>
      </c>
      <c r="C5482" s="2">
        <f>IFERROR(__xludf.DUMMYFUNCTION("""COMPUTED_VALUE"""),840.0)</f>
        <v>840</v>
      </c>
      <c r="D5482" s="3">
        <f>IFERROR(__xludf.DUMMYFUNCTION("""COMPUTED_VALUE"""),151.0)</f>
        <v>151</v>
      </c>
      <c r="E5482" s="1" t="str">
        <f t="array" ref="E5482">_xlfn.XLOOKUP(A5482,Product!A:A,Product!B:B,"Bulunamadı")</f>
        <v>Medical</v>
      </c>
      <c r="F5482" s="1" t="str">
        <f t="array" ref="F5482">_xlfn.XLOOKUP(A5482,Product!A:A,Product!C:C,"Bulunamadı")</f>
        <v>Architecture</v>
      </c>
      <c r="G5482" s="2" t="str">
        <f t="array" ref="G5482">_xlfn.XLOOKUP(A5483,Product!A:A,Product!D:D,"Bulunamadı")</f>
        <v>Northwind Publishing House</v>
      </c>
      <c r="H5482" s="2">
        <f t="array" ref="H5482">_xlfn.XLOOKUP(A5484,Product!A:A,Product!E:E,"Bulunamadı")</f>
        <v>0.81</v>
      </c>
      <c r="I5482" s="2" t="str">
        <f t="shared" si="1"/>
        <v>108083 - Medical - Architecture</v>
      </c>
      <c r="J5482" s="2">
        <f t="shared" si="2"/>
        <v>122.31</v>
      </c>
      <c r="K5482" s="17">
        <f t="shared" si="3"/>
        <v>1</v>
      </c>
      <c r="L5482" s="18"/>
    </row>
    <row r="5483" hidden="1">
      <c r="A5483" s="2">
        <f>IFERROR(__xludf.DUMMYFUNCTION("""COMPUTED_VALUE"""),133907.0)</f>
        <v>133907</v>
      </c>
      <c r="B5483" s="2">
        <f>IFERROR(__xludf.DUMMYFUNCTION("""COMPUTED_VALUE"""),1.0)</f>
        <v>1</v>
      </c>
      <c r="C5483" s="2">
        <f>IFERROR(__xludf.DUMMYFUNCTION("""COMPUTED_VALUE"""),864.0)</f>
        <v>864</v>
      </c>
      <c r="D5483" s="3">
        <f>IFERROR(__xludf.DUMMYFUNCTION("""COMPUTED_VALUE"""),843.0)</f>
        <v>843</v>
      </c>
      <c r="E5483" s="1" t="str">
        <f t="array" ref="E5483">_xlfn.XLOOKUP(A5483,Product!A:A,Product!B:B,"Bulunamadı")</f>
        <v>Medical</v>
      </c>
      <c r="F5483" s="1" t="str">
        <f t="array" ref="F5483">_xlfn.XLOOKUP(A5483,Product!A:A,Product!C:C,"Bulunamadı")</f>
        <v>Architecture</v>
      </c>
      <c r="G5483" s="2" t="str">
        <f t="array" ref="G5483">_xlfn.XLOOKUP(A5484,Product!A:A,Product!D:D,"Bulunamadı")</f>
        <v>Northwind Publishing House</v>
      </c>
      <c r="H5483" s="2">
        <f t="array" ref="H5483">_xlfn.XLOOKUP(A5485,Product!A:A,Product!E:E,"Bulunamadı")</f>
        <v>1.77</v>
      </c>
      <c r="I5483" s="2" t="str">
        <f t="shared" si="1"/>
        <v>133907 - Medical - Architecture</v>
      </c>
      <c r="J5483" s="2">
        <f t="shared" si="2"/>
        <v>1492.11</v>
      </c>
      <c r="K5483" s="17">
        <f t="shared" si="3"/>
        <v>1</v>
      </c>
      <c r="L5483" s="18"/>
    </row>
    <row r="5484" hidden="1">
      <c r="A5484" s="2">
        <f>IFERROR(__xludf.DUMMYFUNCTION("""COMPUTED_VALUE"""),45176.0)</f>
        <v>45176</v>
      </c>
      <c r="B5484" s="2">
        <f>IFERROR(__xludf.DUMMYFUNCTION("""COMPUTED_VALUE"""),1.0)</f>
        <v>1</v>
      </c>
      <c r="C5484" s="2">
        <f>IFERROR(__xludf.DUMMYFUNCTION("""COMPUTED_VALUE"""),793.0)</f>
        <v>793</v>
      </c>
      <c r="D5484" s="3">
        <f>IFERROR(__xludf.DUMMYFUNCTION("""COMPUTED_VALUE"""),523.0)</f>
        <v>523</v>
      </c>
      <c r="E5484" s="1" t="str">
        <f t="array" ref="E5484">_xlfn.XLOOKUP(A5484,Product!A:A,Product!B:B,"Bulunamadı")</f>
        <v>Medical</v>
      </c>
      <c r="F5484" s="1" t="str">
        <f t="array" ref="F5484">_xlfn.XLOOKUP(A5484,Product!A:A,Product!C:C,"Bulunamadı")</f>
        <v>Architecture</v>
      </c>
      <c r="G5484" s="2" t="str">
        <f t="array" ref="G5484">_xlfn.XLOOKUP(A5485,Product!A:A,Product!D:D,"Bulunamadı")</f>
        <v>Northwind Publishing House</v>
      </c>
      <c r="H5484" s="2">
        <f t="array" ref="H5484">_xlfn.XLOOKUP(A5486,Product!A:A,Product!E:E,"Bulunamadı")</f>
        <v>1.61</v>
      </c>
      <c r="I5484" s="2" t="str">
        <f t="shared" si="1"/>
        <v>45176 - Medical - Architecture</v>
      </c>
      <c r="J5484" s="2">
        <f t="shared" si="2"/>
        <v>842.03</v>
      </c>
      <c r="K5484" s="17">
        <f t="shared" si="3"/>
        <v>1</v>
      </c>
      <c r="L5484" s="18"/>
    </row>
    <row r="5485" hidden="1">
      <c r="A5485" s="2">
        <f>IFERROR(__xludf.DUMMYFUNCTION("""COMPUTED_VALUE"""),5480.0)</f>
        <v>5480</v>
      </c>
      <c r="B5485" s="2">
        <f>IFERROR(__xludf.DUMMYFUNCTION("""COMPUTED_VALUE"""),1.0)</f>
        <v>1</v>
      </c>
      <c r="C5485" s="2">
        <f>IFERROR(__xludf.DUMMYFUNCTION("""COMPUTED_VALUE"""),833.0)</f>
        <v>833</v>
      </c>
      <c r="D5485" s="3">
        <f>IFERROR(__xludf.DUMMYFUNCTION("""COMPUTED_VALUE"""),331.0)</f>
        <v>331</v>
      </c>
      <c r="E5485" s="1" t="str">
        <f t="array" ref="E5485">_xlfn.XLOOKUP(A5485,Product!A:A,Product!B:B,"Bulunamadı")</f>
        <v>Medical</v>
      </c>
      <c r="F5485" s="1" t="str">
        <f t="array" ref="F5485">_xlfn.XLOOKUP(A5485,Product!A:A,Product!C:C,"Bulunamadı")</f>
        <v>Architecture</v>
      </c>
      <c r="G5485" s="2" t="str">
        <f t="array" ref="G5485">_xlfn.XLOOKUP(A5486,Product!A:A,Product!D:D,"Bulunamadı")</f>
        <v>Northwind Publishing House</v>
      </c>
      <c r="H5485" s="2">
        <f t="array" ref="H5485">_xlfn.XLOOKUP(A5487,Product!A:A,Product!E:E,"Bulunamadı")</f>
        <v>0.89</v>
      </c>
      <c r="I5485" s="2" t="str">
        <f t="shared" si="1"/>
        <v>5480 - Medical - Architecture</v>
      </c>
      <c r="J5485" s="2">
        <f t="shared" si="2"/>
        <v>294.59</v>
      </c>
      <c r="K5485" s="17">
        <f t="shared" si="3"/>
        <v>1</v>
      </c>
      <c r="L5485" s="18"/>
    </row>
    <row r="5486" hidden="1">
      <c r="A5486" s="2">
        <f>IFERROR(__xludf.DUMMYFUNCTION("""COMPUTED_VALUE"""),119086.0)</f>
        <v>119086</v>
      </c>
      <c r="B5486" s="2">
        <f>IFERROR(__xludf.DUMMYFUNCTION("""COMPUTED_VALUE"""),1.0)</f>
        <v>1</v>
      </c>
      <c r="C5486" s="2">
        <f>IFERROR(__xludf.DUMMYFUNCTION("""COMPUTED_VALUE"""),315.0)</f>
        <v>315</v>
      </c>
      <c r="D5486" s="3">
        <f>IFERROR(__xludf.DUMMYFUNCTION("""COMPUTED_VALUE"""),154.0)</f>
        <v>154</v>
      </c>
      <c r="E5486" s="1" t="str">
        <f t="array" ref="E5486">_xlfn.XLOOKUP(A5486,Product!A:A,Product!B:B,"Bulunamadı")</f>
        <v>Medical</v>
      </c>
      <c r="F5486" s="1" t="str">
        <f t="array" ref="F5486">_xlfn.XLOOKUP(A5486,Product!A:A,Product!C:C,"Bulunamadı")</f>
        <v>Architecture</v>
      </c>
      <c r="G5486" s="2" t="str">
        <f t="array" ref="G5486">_xlfn.XLOOKUP(A5487,Product!A:A,Product!D:D,"Bulunamadı")</f>
        <v>Northwind Publishing House</v>
      </c>
      <c r="H5486" s="2">
        <f t="array" ref="H5486">_xlfn.XLOOKUP(A5488,Product!A:A,Product!E:E,"Bulunamadı")</f>
        <v>0.75</v>
      </c>
      <c r="I5486" s="2" t="str">
        <f t="shared" si="1"/>
        <v>119086 - Medical - Architecture</v>
      </c>
      <c r="J5486" s="2">
        <f t="shared" si="2"/>
        <v>115.5</v>
      </c>
      <c r="K5486" s="17">
        <f t="shared" si="3"/>
        <v>1</v>
      </c>
      <c r="L5486" s="18"/>
    </row>
    <row r="5487" hidden="1">
      <c r="A5487" s="2">
        <f>IFERROR(__xludf.DUMMYFUNCTION("""COMPUTED_VALUE"""),108084.0)</f>
        <v>108084</v>
      </c>
      <c r="B5487" s="2">
        <f>IFERROR(__xludf.DUMMYFUNCTION("""COMPUTED_VALUE"""),1.0)</f>
        <v>1</v>
      </c>
      <c r="C5487" s="2">
        <f>IFERROR(__xludf.DUMMYFUNCTION("""COMPUTED_VALUE"""),810.0)</f>
        <v>810</v>
      </c>
      <c r="D5487" s="3">
        <f>IFERROR(__xludf.DUMMYFUNCTION("""COMPUTED_VALUE"""),283.0)</f>
        <v>283</v>
      </c>
      <c r="E5487" s="1" t="str">
        <f t="array" ref="E5487">_xlfn.XLOOKUP(A5487,Product!A:A,Product!B:B,"Bulunamadı")</f>
        <v>Medical</v>
      </c>
      <c r="F5487" s="1" t="str">
        <f t="array" ref="F5487">_xlfn.XLOOKUP(A5487,Product!A:A,Product!C:C,"Bulunamadı")</f>
        <v>Architecture</v>
      </c>
      <c r="G5487" s="2" t="str">
        <f t="array" ref="G5487">_xlfn.XLOOKUP(A5488,Product!A:A,Product!D:D,"Bulunamadı")</f>
        <v>Northwind Publishing House</v>
      </c>
      <c r="H5487" s="2">
        <f t="array" ref="H5487">_xlfn.XLOOKUP(A5489,Product!A:A,Product!E:E,"Bulunamadı")</f>
        <v>2.69</v>
      </c>
      <c r="I5487" s="2" t="str">
        <f t="shared" si="1"/>
        <v>108084 - Medical - Architecture</v>
      </c>
      <c r="J5487" s="2">
        <f t="shared" si="2"/>
        <v>761.27</v>
      </c>
      <c r="K5487" s="17">
        <f t="shared" si="3"/>
        <v>1</v>
      </c>
      <c r="L5487" s="18"/>
    </row>
    <row r="5488" hidden="1">
      <c r="A5488" s="2">
        <f>IFERROR(__xludf.DUMMYFUNCTION("""COMPUTED_VALUE"""),45192.0)</f>
        <v>45192</v>
      </c>
      <c r="B5488" s="2">
        <f>IFERROR(__xludf.DUMMYFUNCTION("""COMPUTED_VALUE"""),1.0)</f>
        <v>1</v>
      </c>
      <c r="C5488" s="2">
        <f>IFERROR(__xludf.DUMMYFUNCTION("""COMPUTED_VALUE"""),1.0)</f>
        <v>1</v>
      </c>
      <c r="D5488" s="3">
        <f>IFERROR(__xludf.DUMMYFUNCTION("""COMPUTED_VALUE"""),0.0)</f>
        <v>0</v>
      </c>
      <c r="E5488" s="1" t="str">
        <f t="array" ref="E5488">_xlfn.XLOOKUP(A5488,Product!A:A,Product!B:B,"Bulunamadı")</f>
        <v>Medical</v>
      </c>
      <c r="F5488" s="1" t="str">
        <f t="array" ref="F5488">_xlfn.XLOOKUP(A5488,Product!A:A,Product!C:C,"Bulunamadı")</f>
        <v>Architecture</v>
      </c>
      <c r="G5488" s="2" t="str">
        <f t="array" ref="G5488">_xlfn.XLOOKUP(A5489,Product!A:A,Product!D:D,"Bulunamadı")</f>
        <v>Northwind Publishing House</v>
      </c>
      <c r="H5488" s="2">
        <f t="array" ref="H5488">_xlfn.XLOOKUP(A5490,Product!A:A,Product!E:E,"Bulunamadı")</f>
        <v>2.35</v>
      </c>
      <c r="I5488" s="2" t="str">
        <f t="shared" si="1"/>
        <v>45192 - Medical - Architecture</v>
      </c>
      <c r="J5488" s="2">
        <f t="shared" si="2"/>
        <v>0</v>
      </c>
      <c r="K5488" s="17">
        <f t="shared" si="3"/>
        <v>0</v>
      </c>
      <c r="L5488" s="18"/>
    </row>
    <row r="5489" hidden="1">
      <c r="A5489" s="2">
        <f>IFERROR(__xludf.DUMMYFUNCTION("""COMPUTED_VALUE"""),26320.0)</f>
        <v>26320</v>
      </c>
      <c r="B5489" s="2">
        <f>IFERROR(__xludf.DUMMYFUNCTION("""COMPUTED_VALUE"""),0.0)</f>
        <v>0</v>
      </c>
      <c r="C5489" s="2">
        <f>IFERROR(__xludf.DUMMYFUNCTION("""COMPUTED_VALUE"""),721.0)</f>
        <v>721</v>
      </c>
      <c r="D5489" s="3">
        <f>IFERROR(__xludf.DUMMYFUNCTION("""COMPUTED_VALUE"""),406.0)</f>
        <v>406</v>
      </c>
      <c r="E5489" s="1" t="str">
        <f t="array" ref="E5489">_xlfn.XLOOKUP(A5489,Product!A:A,Product!B:B,"Bulunamadı")</f>
        <v>Medical</v>
      </c>
      <c r="F5489" s="1" t="str">
        <f t="array" ref="F5489">_xlfn.XLOOKUP(A5489,Product!A:A,Product!C:C,"Bulunamadı")</f>
        <v>Architecture</v>
      </c>
      <c r="G5489" s="2" t="str">
        <f t="array" ref="G5489">_xlfn.XLOOKUP(A5490,Product!A:A,Product!D:D,"Bulunamadı")</f>
        <v>Northwind Publishing House</v>
      </c>
      <c r="H5489" s="2">
        <f t="array" ref="H5489">_xlfn.XLOOKUP(A5491,Product!A:A,Product!E:E,"Bulunamadı")</f>
        <v>2.5</v>
      </c>
      <c r="I5489" s="2" t="str">
        <f t="shared" si="1"/>
        <v>26320 - Medical - Architecture</v>
      </c>
      <c r="J5489" s="2">
        <f t="shared" si="2"/>
        <v>1015</v>
      </c>
      <c r="K5489" s="17">
        <f t="shared" si="3"/>
        <v>1</v>
      </c>
      <c r="L5489" s="18"/>
    </row>
    <row r="5490" hidden="1">
      <c r="A5490" s="2">
        <f>IFERROR(__xludf.DUMMYFUNCTION("""COMPUTED_VALUE"""),133910.0)</f>
        <v>133910</v>
      </c>
      <c r="B5490" s="2">
        <f>IFERROR(__xludf.DUMMYFUNCTION("""COMPUTED_VALUE"""),0.0)</f>
        <v>0</v>
      </c>
      <c r="C5490" s="2">
        <f>IFERROR(__xludf.DUMMYFUNCTION("""COMPUTED_VALUE"""),577.0)</f>
        <v>577</v>
      </c>
      <c r="D5490" s="3">
        <f>IFERROR(__xludf.DUMMYFUNCTION("""COMPUTED_VALUE"""),115.0)</f>
        <v>115</v>
      </c>
      <c r="E5490" s="1" t="str">
        <f t="array" ref="E5490">_xlfn.XLOOKUP(A5490,Product!A:A,Product!B:B,"Bulunamadı")</f>
        <v>Medical</v>
      </c>
      <c r="F5490" s="1" t="str">
        <f t="array" ref="F5490">_xlfn.XLOOKUP(A5490,Product!A:A,Product!C:C,"Bulunamadı")</f>
        <v>Architecture</v>
      </c>
      <c r="G5490" s="2" t="str">
        <f t="array" ref="G5490">_xlfn.XLOOKUP(A5491,Product!A:A,Product!D:D,"Bulunamadı")</f>
        <v>Northwind Publishing House</v>
      </c>
      <c r="H5490" s="2">
        <f t="array" ref="H5490">_xlfn.XLOOKUP(A5492,Product!A:A,Product!E:E,"Bulunamadı")</f>
        <v>1.29</v>
      </c>
      <c r="I5490" s="2" t="str">
        <f t="shared" si="1"/>
        <v>133910 - Medical - Architecture</v>
      </c>
      <c r="J5490" s="2">
        <f t="shared" si="2"/>
        <v>148.35</v>
      </c>
      <c r="K5490" s="17">
        <f t="shared" si="3"/>
        <v>1</v>
      </c>
      <c r="L5490" s="18"/>
    </row>
    <row r="5491" hidden="1">
      <c r="A5491" s="2">
        <f>IFERROR(__xludf.DUMMYFUNCTION("""COMPUTED_VALUE"""),133908.0)</f>
        <v>133908</v>
      </c>
      <c r="B5491" s="2">
        <f>IFERROR(__xludf.DUMMYFUNCTION("""COMPUTED_VALUE"""),0.0)</f>
        <v>0</v>
      </c>
      <c r="C5491" s="2">
        <f>IFERROR(__xludf.DUMMYFUNCTION("""COMPUTED_VALUE"""),105.0)</f>
        <v>105</v>
      </c>
      <c r="D5491" s="3">
        <f>IFERROR(__xludf.DUMMYFUNCTION("""COMPUTED_VALUE"""),15.0)</f>
        <v>15</v>
      </c>
      <c r="E5491" s="1" t="str">
        <f t="array" ref="E5491">_xlfn.XLOOKUP(A5491,Product!A:A,Product!B:B,"Bulunamadı")</f>
        <v>Medical</v>
      </c>
      <c r="F5491" s="1" t="str">
        <f t="array" ref="F5491">_xlfn.XLOOKUP(A5491,Product!A:A,Product!C:C,"Bulunamadı")</f>
        <v>Architecture</v>
      </c>
      <c r="G5491" s="2" t="str">
        <f t="array" ref="G5491">_xlfn.XLOOKUP(A5492,Product!A:A,Product!D:D,"Bulunamadı")</f>
        <v>Northwind Publishing House</v>
      </c>
      <c r="H5491" s="2">
        <f t="array" ref="H5491">_xlfn.XLOOKUP(A5493,Product!A:A,Product!E:E,"Bulunamadı")</f>
        <v>0.79</v>
      </c>
      <c r="I5491" s="2" t="str">
        <f t="shared" si="1"/>
        <v>133908 - Medical - Architecture</v>
      </c>
      <c r="J5491" s="2">
        <f t="shared" si="2"/>
        <v>11.85</v>
      </c>
      <c r="K5491" s="17">
        <f t="shared" si="3"/>
        <v>1</v>
      </c>
      <c r="L5491" s="18"/>
    </row>
    <row r="5492" hidden="1">
      <c r="A5492" s="2">
        <f>IFERROR(__xludf.DUMMYFUNCTION("""COMPUTED_VALUE"""),9646.0)</f>
        <v>9646</v>
      </c>
      <c r="B5492" s="2">
        <f>IFERROR(__xludf.DUMMYFUNCTION("""COMPUTED_VALUE"""),0.0)</f>
        <v>0</v>
      </c>
      <c r="C5492" s="2">
        <f>IFERROR(__xludf.DUMMYFUNCTION("""COMPUTED_VALUE"""),934.0)</f>
        <v>934</v>
      </c>
      <c r="D5492" s="3">
        <f>IFERROR(__xludf.DUMMYFUNCTION("""COMPUTED_VALUE"""),689.0)</f>
        <v>689</v>
      </c>
      <c r="E5492" s="1" t="str">
        <f t="array" ref="E5492">_xlfn.XLOOKUP(A5492,Product!A:A,Product!B:B,"Bulunamadı")</f>
        <v>Medical</v>
      </c>
      <c r="F5492" s="1" t="str">
        <f t="array" ref="F5492">_xlfn.XLOOKUP(A5492,Product!A:A,Product!C:C,"Bulunamadı")</f>
        <v>Architecture</v>
      </c>
      <c r="G5492" s="2" t="str">
        <f t="array" ref="G5492">_xlfn.XLOOKUP(A5493,Product!A:A,Product!D:D,"Bulunamadı")</f>
        <v>Northwind Publishing House</v>
      </c>
      <c r="H5492" s="2">
        <f t="array" ref="H5492">_xlfn.XLOOKUP(A5494,Product!A:A,Product!E:E,"Bulunamadı")</f>
        <v>1.37</v>
      </c>
      <c r="I5492" s="2" t="str">
        <f t="shared" si="1"/>
        <v>9646 - Medical - Architecture</v>
      </c>
      <c r="J5492" s="2">
        <f t="shared" si="2"/>
        <v>943.93</v>
      </c>
      <c r="K5492" s="17">
        <f t="shared" si="3"/>
        <v>1</v>
      </c>
      <c r="L5492" s="18"/>
    </row>
    <row r="5493" hidden="1">
      <c r="A5493" s="2">
        <f>IFERROR(__xludf.DUMMYFUNCTION("""COMPUTED_VALUE"""),108091.0)</f>
        <v>108091</v>
      </c>
      <c r="B5493" s="2">
        <f>IFERROR(__xludf.DUMMYFUNCTION("""COMPUTED_VALUE"""),1.0)</f>
        <v>1</v>
      </c>
      <c r="C5493" s="2">
        <f>IFERROR(__xludf.DUMMYFUNCTION("""COMPUTED_VALUE"""),108.0)</f>
        <v>108</v>
      </c>
      <c r="D5493" s="3">
        <f>IFERROR(__xludf.DUMMYFUNCTION("""COMPUTED_VALUE"""),104.0)</f>
        <v>104</v>
      </c>
      <c r="E5493" s="1" t="str">
        <f t="array" ref="E5493">_xlfn.XLOOKUP(A5493,Product!A:A,Product!B:B,"Bulunamadı")</f>
        <v>Medical</v>
      </c>
      <c r="F5493" s="1" t="str">
        <f t="array" ref="F5493">_xlfn.XLOOKUP(A5493,Product!A:A,Product!C:C,"Bulunamadı")</f>
        <v>Architecture</v>
      </c>
      <c r="G5493" s="2" t="str">
        <f t="array" ref="G5493">_xlfn.XLOOKUP(A5494,Product!A:A,Product!D:D,"Bulunamadı")</f>
        <v>Northwind Publishing House</v>
      </c>
      <c r="H5493" s="2">
        <f t="array" ref="H5493">_xlfn.XLOOKUP(A5495,Product!A:A,Product!E:E,"Bulunamadı")</f>
        <v>1.44</v>
      </c>
      <c r="I5493" s="2" t="str">
        <f t="shared" si="1"/>
        <v>108091 - Medical - Architecture</v>
      </c>
      <c r="J5493" s="2">
        <f t="shared" si="2"/>
        <v>149.76</v>
      </c>
      <c r="K5493" s="17">
        <f t="shared" si="3"/>
        <v>1</v>
      </c>
      <c r="L5493" s="18"/>
    </row>
    <row r="5494" hidden="1">
      <c r="A5494" s="2">
        <f>IFERROR(__xludf.DUMMYFUNCTION("""COMPUTED_VALUE"""),108114.0)</f>
        <v>108114</v>
      </c>
      <c r="B5494" s="2">
        <f>IFERROR(__xludf.DUMMYFUNCTION("""COMPUTED_VALUE"""),0.0)</f>
        <v>0</v>
      </c>
      <c r="C5494" s="2">
        <f>IFERROR(__xludf.DUMMYFUNCTION("""COMPUTED_VALUE"""),414.0)</f>
        <v>414</v>
      </c>
      <c r="D5494" s="3">
        <f>IFERROR(__xludf.DUMMYFUNCTION("""COMPUTED_VALUE"""),383.0)</f>
        <v>383</v>
      </c>
      <c r="E5494" s="1" t="str">
        <f t="array" ref="E5494">_xlfn.XLOOKUP(A5494,Product!A:A,Product!B:B,"Bulunamadı")</f>
        <v>Medical</v>
      </c>
      <c r="F5494" s="1" t="str">
        <f t="array" ref="F5494">_xlfn.XLOOKUP(A5494,Product!A:A,Product!C:C,"Bulunamadı")</f>
        <v>Architecture</v>
      </c>
      <c r="G5494" s="2" t="str">
        <f t="array" ref="G5494">_xlfn.XLOOKUP(A5495,Product!A:A,Product!D:D,"Bulunamadı")</f>
        <v>Northwind Publishing House</v>
      </c>
      <c r="H5494" s="2">
        <f t="array" ref="H5494">_xlfn.XLOOKUP(A5496,Product!A:A,Product!E:E,"Bulunamadı")</f>
        <v>0.96</v>
      </c>
      <c r="I5494" s="2" t="str">
        <f t="shared" si="1"/>
        <v>108114 - Medical - Architecture</v>
      </c>
      <c r="J5494" s="2">
        <f t="shared" si="2"/>
        <v>367.68</v>
      </c>
      <c r="K5494" s="17">
        <f t="shared" si="3"/>
        <v>1</v>
      </c>
      <c r="L5494" s="18"/>
    </row>
    <row r="5495" hidden="1">
      <c r="A5495" s="2">
        <f>IFERROR(__xludf.DUMMYFUNCTION("""COMPUTED_VALUE"""),9639.0)</f>
        <v>9639</v>
      </c>
      <c r="B5495" s="2">
        <f>IFERROR(__xludf.DUMMYFUNCTION("""COMPUTED_VALUE"""),0.0)</f>
        <v>0</v>
      </c>
      <c r="C5495" s="2">
        <f>IFERROR(__xludf.DUMMYFUNCTION("""COMPUTED_VALUE"""),926.0)</f>
        <v>926</v>
      </c>
      <c r="D5495" s="3">
        <f>IFERROR(__xludf.DUMMYFUNCTION("""COMPUTED_VALUE"""),494.0)</f>
        <v>494</v>
      </c>
      <c r="E5495" s="1" t="str">
        <f t="array" ref="E5495">_xlfn.XLOOKUP(A5495,Product!A:A,Product!B:B,"Bulunamadı")</f>
        <v>Medical</v>
      </c>
      <c r="F5495" s="1" t="str">
        <f t="array" ref="F5495">_xlfn.XLOOKUP(A5495,Product!A:A,Product!C:C,"Bulunamadı")</f>
        <v>Architecture</v>
      </c>
      <c r="G5495" s="2" t="str">
        <f t="array" ref="G5495">_xlfn.XLOOKUP(A5496,Product!A:A,Product!D:D,"Bulunamadı")</f>
        <v>Northwind Publishing House</v>
      </c>
      <c r="H5495" s="2">
        <f t="array" ref="H5495">_xlfn.XLOOKUP(A5497,Product!A:A,Product!E:E,"Bulunamadı")</f>
        <v>1.53</v>
      </c>
      <c r="I5495" s="2" t="str">
        <f t="shared" si="1"/>
        <v>9639 - Medical - Architecture</v>
      </c>
      <c r="J5495" s="2">
        <f t="shared" si="2"/>
        <v>755.82</v>
      </c>
      <c r="K5495" s="17">
        <f t="shared" si="3"/>
        <v>1</v>
      </c>
      <c r="L5495" s="18"/>
    </row>
    <row r="5496" hidden="1">
      <c r="A5496" s="2">
        <f>IFERROR(__xludf.DUMMYFUNCTION("""COMPUTED_VALUE"""),108108.0)</f>
        <v>108108</v>
      </c>
      <c r="B5496" s="2">
        <f>IFERROR(__xludf.DUMMYFUNCTION("""COMPUTED_VALUE"""),0.0)</f>
        <v>0</v>
      </c>
      <c r="C5496" s="2">
        <f>IFERROR(__xludf.DUMMYFUNCTION("""COMPUTED_VALUE"""),548.0)</f>
        <v>548</v>
      </c>
      <c r="D5496" s="3">
        <f>IFERROR(__xludf.DUMMYFUNCTION("""COMPUTED_VALUE"""),521.0)</f>
        <v>521</v>
      </c>
      <c r="E5496" s="1" t="str">
        <f t="array" ref="E5496">_xlfn.XLOOKUP(A5496,Product!A:A,Product!B:B,"Bulunamadı")</f>
        <v>Medical</v>
      </c>
      <c r="F5496" s="1" t="str">
        <f t="array" ref="F5496">_xlfn.XLOOKUP(A5496,Product!A:A,Product!C:C,"Bulunamadı")</f>
        <v>Architecture</v>
      </c>
      <c r="G5496" s="2" t="str">
        <f t="array" ref="G5496">_xlfn.XLOOKUP(A5497,Product!A:A,Product!D:D,"Bulunamadı")</f>
        <v>Northwind Publishing House</v>
      </c>
      <c r="H5496" s="2">
        <f t="array" ref="H5496">_xlfn.XLOOKUP(A5498,Product!A:A,Product!E:E,"Bulunamadı")</f>
        <v>1.84</v>
      </c>
      <c r="I5496" s="2" t="str">
        <f t="shared" si="1"/>
        <v>108108 - Medical - Architecture</v>
      </c>
      <c r="J5496" s="2">
        <f t="shared" si="2"/>
        <v>958.64</v>
      </c>
      <c r="K5496" s="17">
        <f t="shared" si="3"/>
        <v>1</v>
      </c>
      <c r="L5496" s="18"/>
    </row>
    <row r="5497" hidden="1">
      <c r="A5497" s="2">
        <f>IFERROR(__xludf.DUMMYFUNCTION("""COMPUTED_VALUE"""),108081.0)</f>
        <v>108081</v>
      </c>
      <c r="B5497" s="2">
        <f>IFERROR(__xludf.DUMMYFUNCTION("""COMPUTED_VALUE"""),1.0)</f>
        <v>1</v>
      </c>
      <c r="C5497" s="2">
        <f>IFERROR(__xludf.DUMMYFUNCTION("""COMPUTED_VALUE"""),65.0)</f>
        <v>65</v>
      </c>
      <c r="D5497" s="3">
        <f>IFERROR(__xludf.DUMMYFUNCTION("""COMPUTED_VALUE"""),62.0)</f>
        <v>62</v>
      </c>
      <c r="E5497" s="1" t="str">
        <f t="array" ref="E5497">_xlfn.XLOOKUP(A5497,Product!A:A,Product!B:B,"Bulunamadı")</f>
        <v>Medical</v>
      </c>
      <c r="F5497" s="1" t="str">
        <f t="array" ref="F5497">_xlfn.XLOOKUP(A5497,Product!A:A,Product!C:C,"Bulunamadı")</f>
        <v>Architecture</v>
      </c>
      <c r="G5497" s="2" t="str">
        <f t="array" ref="G5497">_xlfn.XLOOKUP(A5498,Product!A:A,Product!D:D,"Bulunamadı")</f>
        <v>Northwind Publishing House</v>
      </c>
      <c r="H5497" s="2">
        <f t="array" ref="H5497">_xlfn.XLOOKUP(A5499,Product!A:A,Product!E:E,"Bulunamadı")</f>
        <v>0.75</v>
      </c>
      <c r="I5497" s="2" t="str">
        <f t="shared" si="1"/>
        <v>108081 - Medical - Architecture</v>
      </c>
      <c r="J5497" s="2">
        <f t="shared" si="2"/>
        <v>46.5</v>
      </c>
      <c r="K5497" s="17">
        <f t="shared" si="3"/>
        <v>1</v>
      </c>
      <c r="L5497" s="18"/>
    </row>
    <row r="5498" hidden="1">
      <c r="A5498" s="2">
        <f>IFERROR(__xludf.DUMMYFUNCTION("""COMPUTED_VALUE"""),4243.0)</f>
        <v>4243</v>
      </c>
      <c r="B5498" s="2">
        <f>IFERROR(__xludf.DUMMYFUNCTION("""COMPUTED_VALUE"""),1.0)</f>
        <v>1</v>
      </c>
      <c r="C5498" s="2">
        <f>IFERROR(__xludf.DUMMYFUNCTION("""COMPUTED_VALUE"""),8.0)</f>
        <v>8</v>
      </c>
      <c r="D5498" s="3">
        <f>IFERROR(__xludf.DUMMYFUNCTION("""COMPUTED_VALUE"""),6.0)</f>
        <v>6</v>
      </c>
      <c r="E5498" s="1" t="str">
        <f t="array" ref="E5498">_xlfn.XLOOKUP(A5498,Product!A:A,Product!B:B,"Bulunamadı")</f>
        <v>Medical</v>
      </c>
      <c r="F5498" s="1" t="str">
        <f t="array" ref="F5498">_xlfn.XLOOKUP(A5498,Product!A:A,Product!C:C,"Bulunamadı")</f>
        <v>Architecture</v>
      </c>
      <c r="G5498" s="2" t="str">
        <f t="array" ref="G5498">_xlfn.XLOOKUP(A5499,Product!A:A,Product!D:D,"Bulunamadı")</f>
        <v>Northwind Publishing House</v>
      </c>
      <c r="H5498" s="2">
        <f t="array" ref="H5498">_xlfn.XLOOKUP(A5500,Product!A:A,Product!E:E,"Bulunamadı")</f>
        <v>2.3</v>
      </c>
      <c r="I5498" s="2" t="str">
        <f t="shared" si="1"/>
        <v>4243 - Medical - Architecture</v>
      </c>
      <c r="J5498" s="2">
        <f t="shared" si="2"/>
        <v>13.8</v>
      </c>
      <c r="K5498" s="17">
        <f t="shared" si="3"/>
        <v>1</v>
      </c>
      <c r="L5498" s="18"/>
    </row>
    <row r="5499" hidden="1">
      <c r="A5499" s="2">
        <f>IFERROR(__xludf.DUMMYFUNCTION("""COMPUTED_VALUE"""),108090.0)</f>
        <v>108090</v>
      </c>
      <c r="B5499" s="2">
        <f>IFERROR(__xludf.DUMMYFUNCTION("""COMPUTED_VALUE"""),1.0)</f>
        <v>1</v>
      </c>
      <c r="C5499" s="2">
        <f>IFERROR(__xludf.DUMMYFUNCTION("""COMPUTED_VALUE"""),479.0)</f>
        <v>479</v>
      </c>
      <c r="D5499" s="3">
        <f>IFERROR(__xludf.DUMMYFUNCTION("""COMPUTED_VALUE"""),158.0)</f>
        <v>158</v>
      </c>
      <c r="E5499" s="1" t="str">
        <f t="array" ref="E5499">_xlfn.XLOOKUP(A5499,Product!A:A,Product!B:B,"Bulunamadı")</f>
        <v>Medical</v>
      </c>
      <c r="F5499" s="1" t="str">
        <f t="array" ref="F5499">_xlfn.XLOOKUP(A5499,Product!A:A,Product!C:C,"Bulunamadı")</f>
        <v>Architecture</v>
      </c>
      <c r="G5499" s="2" t="str">
        <f t="array" ref="G5499">_xlfn.XLOOKUP(A5500,Product!A:A,Product!D:D,"Bulunamadı")</f>
        <v>Northwind Publishing House</v>
      </c>
      <c r="H5499" s="2">
        <f t="array" ref="H5499">_xlfn.XLOOKUP(A5501,Product!A:A,Product!E:E,"Bulunamadı")</f>
        <v>0.87</v>
      </c>
      <c r="I5499" s="2" t="str">
        <f t="shared" si="1"/>
        <v>108090 - Medical - Architecture</v>
      </c>
      <c r="J5499" s="2">
        <f t="shared" si="2"/>
        <v>137.46</v>
      </c>
      <c r="K5499" s="17">
        <f t="shared" si="3"/>
        <v>1</v>
      </c>
      <c r="L5499" s="18"/>
    </row>
    <row r="5500" hidden="1">
      <c r="A5500" s="2">
        <f>IFERROR(__xludf.DUMMYFUNCTION("""COMPUTED_VALUE"""),133912.0)</f>
        <v>133912</v>
      </c>
      <c r="B5500" s="2">
        <f>IFERROR(__xludf.DUMMYFUNCTION("""COMPUTED_VALUE"""),0.0)</f>
        <v>0</v>
      </c>
      <c r="C5500" s="2">
        <f>IFERROR(__xludf.DUMMYFUNCTION("""COMPUTED_VALUE"""),168.0)</f>
        <v>168</v>
      </c>
      <c r="D5500" s="3">
        <f>IFERROR(__xludf.DUMMYFUNCTION("""COMPUTED_VALUE"""),112.0)</f>
        <v>112</v>
      </c>
      <c r="E5500" s="1" t="str">
        <f t="array" ref="E5500">_xlfn.XLOOKUP(A5500,Product!A:A,Product!B:B,"Bulunamadı")</f>
        <v>Medical</v>
      </c>
      <c r="F5500" s="1" t="str">
        <f t="array" ref="F5500">_xlfn.XLOOKUP(A5500,Product!A:A,Product!C:C,"Bulunamadı")</f>
        <v>Architecture</v>
      </c>
      <c r="G5500" s="2" t="str">
        <f t="array" ref="G5500">_xlfn.XLOOKUP(A5501,Product!A:A,Product!D:D,"Bulunamadı")</f>
        <v>Northwind Publishing House</v>
      </c>
      <c r="H5500" s="2">
        <f t="array" ref="H5500">_xlfn.XLOOKUP(A5502,Product!A:A,Product!E:E,"Bulunamadı")</f>
        <v>1.53</v>
      </c>
      <c r="I5500" s="2" t="str">
        <f t="shared" si="1"/>
        <v>133912 - Medical - Architecture</v>
      </c>
      <c r="J5500" s="2">
        <f t="shared" si="2"/>
        <v>171.36</v>
      </c>
      <c r="K5500" s="17">
        <f t="shared" si="3"/>
        <v>1</v>
      </c>
      <c r="L5500" s="18"/>
    </row>
    <row r="5501" hidden="1">
      <c r="A5501" s="2">
        <f>IFERROR(__xludf.DUMMYFUNCTION("""COMPUTED_VALUE"""),108087.0)</f>
        <v>108087</v>
      </c>
      <c r="B5501" s="2">
        <f>IFERROR(__xludf.DUMMYFUNCTION("""COMPUTED_VALUE"""),1.0)</f>
        <v>1</v>
      </c>
      <c r="C5501" s="2">
        <f>IFERROR(__xludf.DUMMYFUNCTION("""COMPUTED_VALUE"""),738.0)</f>
        <v>738</v>
      </c>
      <c r="D5501" s="3">
        <f>IFERROR(__xludf.DUMMYFUNCTION("""COMPUTED_VALUE"""),110.0)</f>
        <v>110</v>
      </c>
      <c r="E5501" s="1" t="str">
        <f t="array" ref="E5501">_xlfn.XLOOKUP(A5501,Product!A:A,Product!B:B,"Bulunamadı")</f>
        <v>Medical</v>
      </c>
      <c r="F5501" s="1" t="str">
        <f t="array" ref="F5501">_xlfn.XLOOKUP(A5501,Product!A:A,Product!C:C,"Bulunamadı")</f>
        <v>Architecture</v>
      </c>
      <c r="G5501" s="2" t="str">
        <f t="array" ref="G5501">_xlfn.XLOOKUP(A5502,Product!A:A,Product!D:D,"Bulunamadı")</f>
        <v>Northwind Publishing House</v>
      </c>
      <c r="H5501" s="2">
        <f t="array" ref="H5501">_xlfn.XLOOKUP(A5503,Product!A:A,Product!E:E,"Bulunamadı")</f>
        <v>1.57</v>
      </c>
      <c r="I5501" s="2" t="str">
        <f t="shared" si="1"/>
        <v>108087 - Medical - Architecture</v>
      </c>
      <c r="J5501" s="2">
        <f t="shared" si="2"/>
        <v>172.7</v>
      </c>
      <c r="K5501" s="17">
        <f t="shared" si="3"/>
        <v>1</v>
      </c>
      <c r="L5501" s="18"/>
    </row>
    <row r="5502" hidden="1">
      <c r="A5502" s="2">
        <f>IFERROR(__xludf.DUMMYFUNCTION("""COMPUTED_VALUE"""),78866.0)</f>
        <v>78866</v>
      </c>
      <c r="B5502" s="2">
        <f>IFERROR(__xludf.DUMMYFUNCTION("""COMPUTED_VALUE"""),0.0)</f>
        <v>0</v>
      </c>
      <c r="C5502" s="2">
        <f>IFERROR(__xludf.DUMMYFUNCTION("""COMPUTED_VALUE"""),645.0)</f>
        <v>645</v>
      </c>
      <c r="D5502" s="3">
        <f>IFERROR(__xludf.DUMMYFUNCTION("""COMPUTED_VALUE"""),355.0)</f>
        <v>355</v>
      </c>
      <c r="E5502" s="1" t="str">
        <f t="array" ref="E5502">_xlfn.XLOOKUP(A5502,Product!A:A,Product!B:B,"Bulunamadı")</f>
        <v>Medical</v>
      </c>
      <c r="F5502" s="1" t="str">
        <f t="array" ref="F5502">_xlfn.XLOOKUP(A5502,Product!A:A,Product!C:C,"Bulunamadı")</f>
        <v>Architecture</v>
      </c>
      <c r="G5502" s="2" t="str">
        <f t="array" ref="G5502">_xlfn.XLOOKUP(A5503,Product!A:A,Product!D:D,"Bulunamadı")</f>
        <v>Northwind Publishing House</v>
      </c>
      <c r="H5502" s="2">
        <f t="array" ref="H5502">_xlfn.XLOOKUP(A5504,Product!A:A,Product!E:E,"Bulunamadı")</f>
        <v>1.25</v>
      </c>
      <c r="I5502" s="2" t="str">
        <f t="shared" si="1"/>
        <v>78866 - Medical - Architecture</v>
      </c>
      <c r="J5502" s="2">
        <f t="shared" si="2"/>
        <v>443.75</v>
      </c>
      <c r="K5502" s="17">
        <f t="shared" si="3"/>
        <v>1</v>
      </c>
      <c r="L5502" s="18"/>
    </row>
    <row r="5503" hidden="1">
      <c r="A5503" s="2">
        <f>IFERROR(__xludf.DUMMYFUNCTION("""COMPUTED_VALUE"""),70415.0)</f>
        <v>70415</v>
      </c>
      <c r="B5503" s="2">
        <f>IFERROR(__xludf.DUMMYFUNCTION("""COMPUTED_VALUE"""),0.0)</f>
        <v>0</v>
      </c>
      <c r="C5503" s="2">
        <f>IFERROR(__xludf.DUMMYFUNCTION("""COMPUTED_VALUE"""),412.0)</f>
        <v>412</v>
      </c>
      <c r="D5503" s="3">
        <f>IFERROR(__xludf.DUMMYFUNCTION("""COMPUTED_VALUE"""),74.0)</f>
        <v>74</v>
      </c>
      <c r="E5503" s="1" t="str">
        <f t="array" ref="E5503">_xlfn.XLOOKUP(A5503,Product!A:A,Product!B:B,"Bulunamadı")</f>
        <v>Medical</v>
      </c>
      <c r="F5503" s="1" t="str">
        <f t="array" ref="F5503">_xlfn.XLOOKUP(A5503,Product!A:A,Product!C:C,"Bulunamadı")</f>
        <v>Architecture</v>
      </c>
      <c r="G5503" s="2" t="str">
        <f t="array" ref="G5503">_xlfn.XLOOKUP(A5504,Product!A:A,Product!D:D,"Bulunamadı")</f>
        <v>Northwind Publishing House</v>
      </c>
      <c r="H5503" s="2">
        <f t="array" ref="H5503">_xlfn.XLOOKUP(A5505,Product!A:A,Product!E:E,"Bulunamadı")</f>
        <v>1.83</v>
      </c>
      <c r="I5503" s="2" t="str">
        <f t="shared" si="1"/>
        <v>70415 - Medical - Architecture</v>
      </c>
      <c r="J5503" s="2">
        <f t="shared" si="2"/>
        <v>135.42</v>
      </c>
      <c r="K5503" s="17">
        <f t="shared" si="3"/>
        <v>1</v>
      </c>
      <c r="L5503" s="18"/>
    </row>
    <row r="5504" hidden="1">
      <c r="A5504" s="2">
        <f>IFERROR(__xludf.DUMMYFUNCTION("""COMPUTED_VALUE"""),9644.0)</f>
        <v>9644</v>
      </c>
      <c r="B5504" s="2">
        <f>IFERROR(__xludf.DUMMYFUNCTION("""COMPUTED_VALUE"""),1.0)</f>
        <v>1</v>
      </c>
      <c r="C5504" s="2">
        <f>IFERROR(__xludf.DUMMYFUNCTION("""COMPUTED_VALUE"""),892.0)</f>
        <v>892</v>
      </c>
      <c r="D5504" s="3">
        <f>IFERROR(__xludf.DUMMYFUNCTION("""COMPUTED_VALUE"""),106.0)</f>
        <v>106</v>
      </c>
      <c r="E5504" s="1" t="str">
        <f t="array" ref="E5504">_xlfn.XLOOKUP(A5504,Product!A:A,Product!B:B,"Bulunamadı")</f>
        <v>Medical</v>
      </c>
      <c r="F5504" s="1" t="str">
        <f t="array" ref="F5504">_xlfn.XLOOKUP(A5504,Product!A:A,Product!C:C,"Bulunamadı")</f>
        <v>Architecture</v>
      </c>
      <c r="G5504" s="2" t="str">
        <f t="array" ref="G5504">_xlfn.XLOOKUP(A5505,Product!A:A,Product!D:D,"Bulunamadı")</f>
        <v>Northwind Publishing House</v>
      </c>
      <c r="H5504" s="2">
        <f t="array" ref="H5504">_xlfn.XLOOKUP(A5506,Product!A:A,Product!E:E,"Bulunamadı")</f>
        <v>1.7</v>
      </c>
      <c r="I5504" s="2" t="str">
        <f t="shared" si="1"/>
        <v>9644 - Medical - Architecture</v>
      </c>
      <c r="J5504" s="2">
        <f t="shared" si="2"/>
        <v>180.2</v>
      </c>
      <c r="K5504" s="17">
        <f t="shared" si="3"/>
        <v>1</v>
      </c>
      <c r="L5504" s="18"/>
    </row>
    <row r="5505" hidden="1">
      <c r="A5505" s="2">
        <f>IFERROR(__xludf.DUMMYFUNCTION("""COMPUTED_VALUE"""),4247.0)</f>
        <v>4247</v>
      </c>
      <c r="B5505" s="2">
        <f>IFERROR(__xludf.DUMMYFUNCTION("""COMPUTED_VALUE"""),1.0)</f>
        <v>1</v>
      </c>
      <c r="C5505" s="2">
        <f>IFERROR(__xludf.DUMMYFUNCTION("""COMPUTED_VALUE"""),524.0)</f>
        <v>524</v>
      </c>
      <c r="D5505" s="3">
        <f>IFERROR(__xludf.DUMMYFUNCTION("""COMPUTED_VALUE"""),505.0)</f>
        <v>505</v>
      </c>
      <c r="E5505" s="1" t="str">
        <f t="array" ref="E5505">_xlfn.XLOOKUP(A5505,Product!A:A,Product!B:B,"Bulunamadı")</f>
        <v>Medical</v>
      </c>
      <c r="F5505" s="1" t="str">
        <f t="array" ref="F5505">_xlfn.XLOOKUP(A5505,Product!A:A,Product!C:C,"Bulunamadı")</f>
        <v>Architecture</v>
      </c>
      <c r="G5505" s="2" t="str">
        <f t="array" ref="G5505">_xlfn.XLOOKUP(A5506,Product!A:A,Product!D:D,"Bulunamadı")</f>
        <v>Northwind Publishing House</v>
      </c>
      <c r="H5505" s="2">
        <f t="array" ref="H5505">_xlfn.XLOOKUP(A5507,Product!A:A,Product!E:E,"Bulunamadı")</f>
        <v>1.42</v>
      </c>
      <c r="I5505" s="2" t="str">
        <f t="shared" si="1"/>
        <v>4247 - Medical - Architecture</v>
      </c>
      <c r="J5505" s="2">
        <f t="shared" si="2"/>
        <v>717.1</v>
      </c>
      <c r="K5505" s="17">
        <f t="shared" si="3"/>
        <v>1</v>
      </c>
      <c r="L5505" s="18"/>
    </row>
    <row r="5506" hidden="1">
      <c r="A5506" s="2">
        <f>IFERROR(__xludf.DUMMYFUNCTION("""COMPUTED_VALUE"""),119087.0)</f>
        <v>119087</v>
      </c>
      <c r="B5506" s="2">
        <f>IFERROR(__xludf.DUMMYFUNCTION("""COMPUTED_VALUE"""),0.0)</f>
        <v>0</v>
      </c>
      <c r="C5506" s="2">
        <f>IFERROR(__xludf.DUMMYFUNCTION("""COMPUTED_VALUE"""),155.0)</f>
        <v>155</v>
      </c>
      <c r="D5506" s="3">
        <f>IFERROR(__xludf.DUMMYFUNCTION("""COMPUTED_VALUE"""),117.0)</f>
        <v>117</v>
      </c>
      <c r="E5506" s="1" t="str">
        <f t="array" ref="E5506">_xlfn.XLOOKUP(A5506,Product!A:A,Product!B:B,"Bulunamadı")</f>
        <v>Medical</v>
      </c>
      <c r="F5506" s="1" t="str">
        <f t="array" ref="F5506">_xlfn.XLOOKUP(A5506,Product!A:A,Product!C:C,"Bulunamadı")</f>
        <v>Architecture</v>
      </c>
      <c r="G5506" s="2" t="str">
        <f t="array" ref="G5506">_xlfn.XLOOKUP(A5507,Product!A:A,Product!D:D,"Bulunamadı")</f>
        <v>Northwind Publishing House</v>
      </c>
      <c r="H5506" s="2">
        <f t="array" ref="H5506">_xlfn.XLOOKUP(A5508,Product!A:A,Product!E:E,"Bulunamadı")</f>
        <v>1.14</v>
      </c>
      <c r="I5506" s="2" t="str">
        <f t="shared" si="1"/>
        <v>119087 - Medical - Architecture</v>
      </c>
      <c r="J5506" s="2">
        <f t="shared" si="2"/>
        <v>133.38</v>
      </c>
      <c r="K5506" s="17">
        <f t="shared" si="3"/>
        <v>1</v>
      </c>
      <c r="L5506" s="18"/>
    </row>
    <row r="5507" hidden="1">
      <c r="A5507" s="2">
        <f>IFERROR(__xludf.DUMMYFUNCTION("""COMPUTED_VALUE"""),9635.0)</f>
        <v>9635</v>
      </c>
      <c r="B5507" s="2">
        <f>IFERROR(__xludf.DUMMYFUNCTION("""COMPUTED_VALUE"""),1.0)</f>
        <v>1</v>
      </c>
      <c r="C5507" s="2">
        <f>IFERROR(__xludf.DUMMYFUNCTION("""COMPUTED_VALUE"""),452.0)</f>
        <v>452</v>
      </c>
      <c r="D5507" s="3">
        <f>IFERROR(__xludf.DUMMYFUNCTION("""COMPUTED_VALUE"""),129.0)</f>
        <v>129</v>
      </c>
      <c r="E5507" s="1" t="str">
        <f t="array" ref="E5507">_xlfn.XLOOKUP(A5507,Product!A:A,Product!B:B,"Bulunamadı")</f>
        <v>Medical</v>
      </c>
      <c r="F5507" s="1" t="str">
        <f t="array" ref="F5507">_xlfn.XLOOKUP(A5507,Product!A:A,Product!C:C,"Bulunamadı")</f>
        <v>Architecture</v>
      </c>
      <c r="G5507" s="2" t="str">
        <f t="array" ref="G5507">_xlfn.XLOOKUP(A5508,Product!A:A,Product!D:D,"Bulunamadı")</f>
        <v>Northwind Publishing House</v>
      </c>
      <c r="H5507" s="2">
        <f t="array" ref="H5507">_xlfn.XLOOKUP(A5509,Product!A:A,Product!E:E,"Bulunamadı")</f>
        <v>1.25</v>
      </c>
      <c r="I5507" s="2" t="str">
        <f t="shared" si="1"/>
        <v>9635 - Medical - Architecture</v>
      </c>
      <c r="J5507" s="2">
        <f t="shared" si="2"/>
        <v>161.25</v>
      </c>
      <c r="K5507" s="17">
        <f t="shared" si="3"/>
        <v>1</v>
      </c>
      <c r="L5507" s="18"/>
    </row>
    <row r="5508" hidden="1">
      <c r="A5508" s="2">
        <f>IFERROR(__xludf.DUMMYFUNCTION("""COMPUTED_VALUE"""),108082.0)</f>
        <v>108082</v>
      </c>
      <c r="B5508" s="2">
        <f>IFERROR(__xludf.DUMMYFUNCTION("""COMPUTED_VALUE"""),1.0)</f>
        <v>1</v>
      </c>
      <c r="C5508" s="2">
        <f>IFERROR(__xludf.DUMMYFUNCTION("""COMPUTED_VALUE"""),917.0)</f>
        <v>917</v>
      </c>
      <c r="D5508" s="3">
        <f>IFERROR(__xludf.DUMMYFUNCTION("""COMPUTED_VALUE"""),464.0)</f>
        <v>464</v>
      </c>
      <c r="E5508" s="1" t="str">
        <f t="array" ref="E5508">_xlfn.XLOOKUP(A5508,Product!A:A,Product!B:B,"Bulunamadı")</f>
        <v>Medical</v>
      </c>
      <c r="F5508" s="1" t="str">
        <f t="array" ref="F5508">_xlfn.XLOOKUP(A5508,Product!A:A,Product!C:C,"Bulunamadı")</f>
        <v>Architecture</v>
      </c>
      <c r="G5508" s="2" t="str">
        <f t="array" ref="G5508">_xlfn.XLOOKUP(A5509,Product!A:A,Product!D:D,"Bulunamadı")</f>
        <v>Northwind Publishing House</v>
      </c>
      <c r="H5508" s="2">
        <f t="array" ref="H5508">_xlfn.XLOOKUP(A5510,Product!A:A,Product!E:E,"Bulunamadı")</f>
        <v>0.85</v>
      </c>
      <c r="I5508" s="2" t="str">
        <f t="shared" si="1"/>
        <v>108082 - Medical - Architecture</v>
      </c>
      <c r="J5508" s="2">
        <f t="shared" si="2"/>
        <v>394.4</v>
      </c>
      <c r="K5508" s="17">
        <f t="shared" si="3"/>
        <v>1</v>
      </c>
      <c r="L5508" s="18"/>
    </row>
    <row r="5509" hidden="1">
      <c r="A5509" s="2">
        <f>IFERROR(__xludf.DUMMYFUNCTION("""COMPUTED_VALUE"""),9643.0)</f>
        <v>9643</v>
      </c>
      <c r="B5509" s="2">
        <f>IFERROR(__xludf.DUMMYFUNCTION("""COMPUTED_VALUE"""),1.0)</f>
        <v>1</v>
      </c>
      <c r="C5509" s="2">
        <f>IFERROR(__xludf.DUMMYFUNCTION("""COMPUTED_VALUE"""),661.0)</f>
        <v>661</v>
      </c>
      <c r="D5509" s="3">
        <f>IFERROR(__xludf.DUMMYFUNCTION("""COMPUTED_VALUE"""),14.0)</f>
        <v>14</v>
      </c>
      <c r="E5509" s="1" t="str">
        <f t="array" ref="E5509">_xlfn.XLOOKUP(A5509,Product!A:A,Product!B:B,"Bulunamadı")</f>
        <v>Medical</v>
      </c>
      <c r="F5509" s="1" t="str">
        <f t="array" ref="F5509">_xlfn.XLOOKUP(A5509,Product!A:A,Product!C:C,"Bulunamadı")</f>
        <v>Architecture</v>
      </c>
      <c r="G5509" s="2" t="str">
        <f t="array" ref="G5509">_xlfn.XLOOKUP(A5510,Product!A:A,Product!D:D,"Bulunamadı")</f>
        <v>Northwind Publishing House</v>
      </c>
      <c r="H5509" s="2">
        <f t="array" ref="H5509">_xlfn.XLOOKUP(A5511,Product!A:A,Product!E:E,"Bulunamadı")</f>
        <v>1.15</v>
      </c>
      <c r="I5509" s="2" t="str">
        <f t="shared" si="1"/>
        <v>9643 - Medical - Architecture</v>
      </c>
      <c r="J5509" s="2">
        <f t="shared" si="2"/>
        <v>16.1</v>
      </c>
      <c r="K5509" s="17">
        <f t="shared" si="3"/>
        <v>1</v>
      </c>
      <c r="L5509" s="18"/>
    </row>
    <row r="5510" hidden="1">
      <c r="A5510" s="2">
        <f>IFERROR(__xludf.DUMMYFUNCTION("""COMPUTED_VALUE"""),117601.0)</f>
        <v>117601</v>
      </c>
      <c r="B5510" s="2">
        <f>IFERROR(__xludf.DUMMYFUNCTION("""COMPUTED_VALUE"""),1.0)</f>
        <v>1</v>
      </c>
      <c r="C5510" s="2">
        <f>IFERROR(__xludf.DUMMYFUNCTION("""COMPUTED_VALUE"""),989.0)</f>
        <v>989</v>
      </c>
      <c r="D5510" s="3">
        <f>IFERROR(__xludf.DUMMYFUNCTION("""COMPUTED_VALUE"""),436.0)</f>
        <v>436</v>
      </c>
      <c r="E5510" s="1" t="str">
        <f t="array" ref="E5510">_xlfn.XLOOKUP(A5510,Product!A:A,Product!B:B,"Bulunamadı")</f>
        <v>Medical</v>
      </c>
      <c r="F5510" s="1" t="str">
        <f t="array" ref="F5510">_xlfn.XLOOKUP(A5510,Product!A:A,Product!C:C,"Bulunamadı")</f>
        <v>Architecture</v>
      </c>
      <c r="G5510" s="2" t="str">
        <f t="array" ref="G5510">_xlfn.XLOOKUP(A5511,Product!A:A,Product!D:D,"Bulunamadı")</f>
        <v>Northwind Publishing House</v>
      </c>
      <c r="H5510" s="2">
        <f t="array" ref="H5510">_xlfn.XLOOKUP(A5512,Product!A:A,Product!E:E,"Bulunamadı")</f>
        <v>2.35</v>
      </c>
      <c r="I5510" s="2" t="str">
        <f t="shared" si="1"/>
        <v>117601 - Medical - Architecture</v>
      </c>
      <c r="J5510" s="2">
        <f t="shared" si="2"/>
        <v>1024.6</v>
      </c>
      <c r="K5510" s="17">
        <f t="shared" si="3"/>
        <v>1</v>
      </c>
      <c r="L5510" s="18"/>
    </row>
    <row r="5511" hidden="1">
      <c r="A5511" s="2">
        <f>IFERROR(__xludf.DUMMYFUNCTION("""COMPUTED_VALUE"""),108085.0)</f>
        <v>108085</v>
      </c>
      <c r="B5511" s="2">
        <f>IFERROR(__xludf.DUMMYFUNCTION("""COMPUTED_VALUE"""),0.0)</f>
        <v>0</v>
      </c>
      <c r="C5511" s="2">
        <f>IFERROR(__xludf.DUMMYFUNCTION("""COMPUTED_VALUE"""),581.0)</f>
        <v>581</v>
      </c>
      <c r="D5511" s="3">
        <f>IFERROR(__xludf.DUMMYFUNCTION("""COMPUTED_VALUE"""),404.0)</f>
        <v>404</v>
      </c>
      <c r="E5511" s="1" t="str">
        <f t="array" ref="E5511">_xlfn.XLOOKUP(A5511,Product!A:A,Product!B:B,"Bulunamadı")</f>
        <v>Medical</v>
      </c>
      <c r="F5511" s="1" t="str">
        <f t="array" ref="F5511">_xlfn.XLOOKUP(A5511,Product!A:A,Product!C:C,"Bulunamadı")</f>
        <v>Architecture</v>
      </c>
      <c r="G5511" s="2" t="str">
        <f t="array" ref="G5511">_xlfn.XLOOKUP(A5512,Product!A:A,Product!D:D,"Bulunamadı")</f>
        <v>Northwind Publishing House</v>
      </c>
      <c r="H5511" s="2">
        <f t="array" ref="H5511">_xlfn.XLOOKUP(A5513,Product!A:A,Product!E:E,"Bulunamadı")</f>
        <v>17.16</v>
      </c>
      <c r="I5511" s="2" t="str">
        <f t="shared" si="1"/>
        <v>108085 - Medical - Architecture</v>
      </c>
      <c r="J5511" s="2">
        <f t="shared" si="2"/>
        <v>6932.64</v>
      </c>
      <c r="K5511" s="17">
        <f t="shared" si="3"/>
        <v>1</v>
      </c>
      <c r="L5511" s="18"/>
    </row>
    <row r="5512" hidden="1">
      <c r="A5512" s="2">
        <f>IFERROR(__xludf.DUMMYFUNCTION("""COMPUTED_VALUE"""),133914.0)</f>
        <v>133914</v>
      </c>
      <c r="B5512" s="2">
        <f>IFERROR(__xludf.DUMMYFUNCTION("""COMPUTED_VALUE"""),1.0)</f>
        <v>1</v>
      </c>
      <c r="C5512" s="2">
        <f>IFERROR(__xludf.DUMMYFUNCTION("""COMPUTED_VALUE"""),526.0)</f>
        <v>526</v>
      </c>
      <c r="D5512" s="3">
        <f>IFERROR(__xludf.DUMMYFUNCTION("""COMPUTED_VALUE"""),386.0)</f>
        <v>386</v>
      </c>
      <c r="E5512" s="1" t="str">
        <f t="array" ref="E5512">_xlfn.XLOOKUP(A5512,Product!A:A,Product!B:B,"Bulunamadı")</f>
        <v>Medical</v>
      </c>
      <c r="F5512" s="1" t="str">
        <f t="array" ref="F5512">_xlfn.XLOOKUP(A5512,Product!A:A,Product!C:C,"Bulunamadı")</f>
        <v>Architecture</v>
      </c>
      <c r="G5512" s="2" t="str">
        <f t="array" ref="G5512">_xlfn.XLOOKUP(A5513,Product!A:A,Product!D:D,"Bulunamadı")</f>
        <v>Harborwind Publishing House</v>
      </c>
      <c r="H5512" s="2">
        <f t="array" ref="H5512">_xlfn.XLOOKUP(A5514,Product!A:A,Product!E:E,"Bulunamadı")</f>
        <v>7.57</v>
      </c>
      <c r="I5512" s="2" t="str">
        <f t="shared" si="1"/>
        <v>133914 - Medical - Architecture</v>
      </c>
      <c r="J5512" s="2">
        <f t="shared" si="2"/>
        <v>2922.02</v>
      </c>
      <c r="K5512" s="17">
        <f t="shared" si="3"/>
        <v>1</v>
      </c>
      <c r="L5512" s="18"/>
    </row>
    <row r="5513" hidden="1">
      <c r="A5513" s="2">
        <f>IFERROR(__xludf.DUMMYFUNCTION("""COMPUTED_VALUE"""),103503.0)</f>
        <v>103503</v>
      </c>
      <c r="B5513" s="2">
        <f>IFERROR(__xludf.DUMMYFUNCTION("""COMPUTED_VALUE"""),1.0)</f>
        <v>1</v>
      </c>
      <c r="C5513" s="2">
        <f>IFERROR(__xludf.DUMMYFUNCTION("""COMPUTED_VALUE"""),353.0)</f>
        <v>353</v>
      </c>
      <c r="D5513" s="3">
        <f>IFERROR(__xludf.DUMMYFUNCTION("""COMPUTED_VALUE"""),239.0)</f>
        <v>239</v>
      </c>
      <c r="E5513" s="1" t="str">
        <f t="array" ref="E5513">_xlfn.XLOOKUP(A5513,Product!A:A,Product!B:B,"Bulunamadı")</f>
        <v>Fiction</v>
      </c>
      <c r="F5513" s="1" t="str">
        <f t="array" ref="F5513">_xlfn.XLOOKUP(A5513,Product!A:A,Product!C:C,"Bulunamadı")</f>
        <v>Fashion Design</v>
      </c>
      <c r="G5513" s="2" t="str">
        <f t="array" ref="G5513">_xlfn.XLOOKUP(A5514,Product!A:A,Product!D:D,"Bulunamadı")</f>
        <v>Harborwind Publishing House</v>
      </c>
      <c r="H5513" s="2">
        <f t="array" ref="H5513">_xlfn.XLOOKUP(A5515,Product!A:A,Product!E:E,"Bulunamadı")</f>
        <v>2.81</v>
      </c>
      <c r="I5513" s="2" t="str">
        <f t="shared" si="1"/>
        <v>103503 - Fiction - Fashion Design</v>
      </c>
      <c r="J5513" s="2">
        <f t="shared" si="2"/>
        <v>671.59</v>
      </c>
      <c r="K5513" s="17">
        <f t="shared" si="3"/>
        <v>1</v>
      </c>
      <c r="L5513" s="18"/>
    </row>
    <row r="5514" hidden="1">
      <c r="A5514" s="2">
        <f>IFERROR(__xludf.DUMMYFUNCTION("""COMPUTED_VALUE"""),128363.0)</f>
        <v>128363</v>
      </c>
      <c r="B5514" s="2">
        <f>IFERROR(__xludf.DUMMYFUNCTION("""COMPUTED_VALUE"""),0.0)</f>
        <v>0</v>
      </c>
      <c r="C5514" s="2">
        <f>IFERROR(__xludf.DUMMYFUNCTION("""COMPUTED_VALUE"""),739.0)</f>
        <v>739</v>
      </c>
      <c r="D5514" s="3">
        <f>IFERROR(__xludf.DUMMYFUNCTION("""COMPUTED_VALUE"""),226.0)</f>
        <v>226</v>
      </c>
      <c r="E5514" s="1" t="str">
        <f t="array" ref="E5514">_xlfn.XLOOKUP(A5514,Product!A:A,Product!B:B,"Bulunamadı")</f>
        <v>Fiction</v>
      </c>
      <c r="F5514" s="1" t="str">
        <f t="array" ref="F5514">_xlfn.XLOOKUP(A5514,Product!A:A,Product!C:C,"Bulunamadı")</f>
        <v>Fashion Design</v>
      </c>
      <c r="G5514" s="2" t="str">
        <f t="array" ref="G5514">_xlfn.XLOOKUP(A5515,Product!A:A,Product!D:D,"Bulunamadı")</f>
        <v>Cedarwind Publishing House</v>
      </c>
      <c r="H5514" s="2">
        <f t="array" ref="H5514">_xlfn.XLOOKUP(A5516,Product!A:A,Product!E:E,"Bulunamadı")</f>
        <v>2.37</v>
      </c>
      <c r="I5514" s="2" t="str">
        <f t="shared" si="1"/>
        <v>128363 - Fiction - Fashion Design</v>
      </c>
      <c r="J5514" s="2">
        <f t="shared" si="2"/>
        <v>535.62</v>
      </c>
      <c r="K5514" s="17">
        <f t="shared" si="3"/>
        <v>1</v>
      </c>
      <c r="L5514" s="18"/>
    </row>
    <row r="5515" hidden="1">
      <c r="A5515" s="2">
        <f>IFERROR(__xludf.DUMMYFUNCTION("""COMPUTED_VALUE"""),13863.0)</f>
        <v>13863</v>
      </c>
      <c r="B5515" s="2">
        <f>IFERROR(__xludf.DUMMYFUNCTION("""COMPUTED_VALUE"""),1.0)</f>
        <v>1</v>
      </c>
      <c r="C5515" s="2">
        <f>IFERROR(__xludf.DUMMYFUNCTION("""COMPUTED_VALUE"""),672.0)</f>
        <v>672</v>
      </c>
      <c r="D5515" s="3">
        <f>IFERROR(__xludf.DUMMYFUNCTION("""COMPUTED_VALUE"""),620.0)</f>
        <v>620</v>
      </c>
      <c r="E5515" s="1" t="str">
        <f t="array" ref="E5515">_xlfn.XLOOKUP(A5515,Product!A:A,Product!B:B,"Bulunamadı")</f>
        <v>Law</v>
      </c>
      <c r="F5515" s="1" t="str">
        <f t="array" ref="F5515">_xlfn.XLOOKUP(A5515,Product!A:A,Product!C:C,"Bulunamadı")</f>
        <v>Interior Design</v>
      </c>
      <c r="G5515" s="2" t="str">
        <f t="array" ref="G5515">_xlfn.XLOOKUP(A5516,Product!A:A,Product!D:D,"Bulunamadı")</f>
        <v>Cedarwind Publishing House</v>
      </c>
      <c r="H5515" s="2">
        <f t="array" ref="H5515">_xlfn.XLOOKUP(A5517,Product!A:A,Product!E:E,"Bulunamadı")</f>
        <v>1.7</v>
      </c>
      <c r="I5515" s="2" t="str">
        <f t="shared" si="1"/>
        <v>13863 - Law - Interior Design</v>
      </c>
      <c r="J5515" s="2">
        <f t="shared" si="2"/>
        <v>1054</v>
      </c>
      <c r="K5515" s="17">
        <f t="shared" si="3"/>
        <v>1</v>
      </c>
      <c r="L5515" s="18"/>
    </row>
    <row r="5516" hidden="1">
      <c r="A5516" s="2">
        <f>IFERROR(__xludf.DUMMYFUNCTION("""COMPUTED_VALUE"""),74454.0)</f>
        <v>74454</v>
      </c>
      <c r="B5516" s="2">
        <f>IFERROR(__xludf.DUMMYFUNCTION("""COMPUTED_VALUE"""),0.0)</f>
        <v>0</v>
      </c>
      <c r="C5516" s="2">
        <f>IFERROR(__xludf.DUMMYFUNCTION("""COMPUTED_VALUE"""),289.0)</f>
        <v>289</v>
      </c>
      <c r="D5516" s="3">
        <f>IFERROR(__xludf.DUMMYFUNCTION("""COMPUTED_VALUE"""),270.0)</f>
        <v>270</v>
      </c>
      <c r="E5516" s="1" t="str">
        <f t="array" ref="E5516">_xlfn.XLOOKUP(A5516,Product!A:A,Product!B:B,"Bulunamadı")</f>
        <v>Law</v>
      </c>
      <c r="F5516" s="1" t="str">
        <f t="array" ref="F5516">_xlfn.XLOOKUP(A5516,Product!A:A,Product!C:C,"Bulunamadı")</f>
        <v>Interior Design</v>
      </c>
      <c r="G5516" s="2" t="str">
        <f t="array" ref="G5516">_xlfn.XLOOKUP(A5517,Product!A:A,Product!D:D,"Bulunamadı")</f>
        <v>Cedarwind Publishing House</v>
      </c>
      <c r="H5516" s="2">
        <f t="array" ref="H5516">_xlfn.XLOOKUP(A5518,Product!A:A,Product!E:E,"Bulunamadı")</f>
        <v>3.2</v>
      </c>
      <c r="I5516" s="2" t="str">
        <f t="shared" si="1"/>
        <v>74454 - Law - Interior Design</v>
      </c>
      <c r="J5516" s="2">
        <f t="shared" si="2"/>
        <v>864</v>
      </c>
      <c r="K5516" s="17">
        <f t="shared" si="3"/>
        <v>1</v>
      </c>
      <c r="L5516" s="18"/>
    </row>
    <row r="5517" hidden="1">
      <c r="A5517" s="2">
        <f>IFERROR(__xludf.DUMMYFUNCTION("""COMPUTED_VALUE"""),12500.0)</f>
        <v>12500</v>
      </c>
      <c r="B5517" s="2">
        <f>IFERROR(__xludf.DUMMYFUNCTION("""COMPUTED_VALUE"""),0.0)</f>
        <v>0</v>
      </c>
      <c r="C5517" s="2">
        <f>IFERROR(__xludf.DUMMYFUNCTION("""COMPUTED_VALUE"""),326.0)</f>
        <v>326</v>
      </c>
      <c r="D5517" s="3">
        <f>IFERROR(__xludf.DUMMYFUNCTION("""COMPUTED_VALUE"""),176.0)</f>
        <v>176</v>
      </c>
      <c r="E5517" s="1" t="str">
        <f t="array" ref="E5517">_xlfn.XLOOKUP(A5517,Product!A:A,Product!B:B,"Bulunamadı")</f>
        <v>Law</v>
      </c>
      <c r="F5517" s="1" t="str">
        <f t="array" ref="F5517">_xlfn.XLOOKUP(A5517,Product!A:A,Product!C:C,"Bulunamadı")</f>
        <v>Interior Design</v>
      </c>
      <c r="G5517" s="2" t="str">
        <f t="array" ref="G5517">_xlfn.XLOOKUP(A5518,Product!A:A,Product!D:D,"Bulunamadı")</f>
        <v>Cedarwind Publishing House</v>
      </c>
      <c r="H5517" s="2">
        <f t="array" ref="H5517">_xlfn.XLOOKUP(A5519,Product!A:A,Product!E:E,"Bulunamadı")</f>
        <v>2.12</v>
      </c>
      <c r="I5517" s="2" t="str">
        <f t="shared" si="1"/>
        <v>12500 - Law - Interior Design</v>
      </c>
      <c r="J5517" s="2">
        <f t="shared" si="2"/>
        <v>373.12</v>
      </c>
      <c r="K5517" s="17">
        <f t="shared" si="3"/>
        <v>1</v>
      </c>
      <c r="L5517" s="18"/>
    </row>
    <row r="5518" hidden="1">
      <c r="A5518" s="2">
        <f>IFERROR(__xludf.DUMMYFUNCTION("""COMPUTED_VALUE"""),116555.0)</f>
        <v>116555</v>
      </c>
      <c r="B5518" s="2">
        <f>IFERROR(__xludf.DUMMYFUNCTION("""COMPUTED_VALUE"""),1.0)</f>
        <v>1</v>
      </c>
      <c r="C5518" s="2">
        <f>IFERROR(__xludf.DUMMYFUNCTION("""COMPUTED_VALUE"""),341.0)</f>
        <v>341</v>
      </c>
      <c r="D5518" s="3">
        <f>IFERROR(__xludf.DUMMYFUNCTION("""COMPUTED_VALUE"""),266.0)</f>
        <v>266</v>
      </c>
      <c r="E5518" s="1" t="str">
        <f t="array" ref="E5518">_xlfn.XLOOKUP(A5518,Product!A:A,Product!B:B,"Bulunamadı")</f>
        <v>Law</v>
      </c>
      <c r="F5518" s="1" t="str">
        <f t="array" ref="F5518">_xlfn.XLOOKUP(A5518,Product!A:A,Product!C:C,"Bulunamadı")</f>
        <v>Interior Design</v>
      </c>
      <c r="G5518" s="2" t="str">
        <f t="array" ref="G5518">_xlfn.XLOOKUP(A5519,Product!A:A,Product!D:D,"Bulunamadı")</f>
        <v>Cedarwind Publishing House</v>
      </c>
      <c r="H5518" s="2">
        <f t="array" ref="H5518">_xlfn.XLOOKUP(A5520,Product!A:A,Product!E:E,"Bulunamadı")</f>
        <v>1.17</v>
      </c>
      <c r="I5518" s="2" t="str">
        <f t="shared" si="1"/>
        <v>116555 - Law - Interior Design</v>
      </c>
      <c r="J5518" s="2">
        <f t="shared" si="2"/>
        <v>311.22</v>
      </c>
      <c r="K5518" s="17">
        <f t="shared" si="3"/>
        <v>1</v>
      </c>
      <c r="L5518" s="18"/>
    </row>
    <row r="5519" hidden="1">
      <c r="A5519" s="2">
        <f>IFERROR(__xludf.DUMMYFUNCTION("""COMPUTED_VALUE"""),77622.0)</f>
        <v>77622</v>
      </c>
      <c r="B5519" s="2">
        <f>IFERROR(__xludf.DUMMYFUNCTION("""COMPUTED_VALUE"""),0.0)</f>
        <v>0</v>
      </c>
      <c r="C5519" s="2">
        <f>IFERROR(__xludf.DUMMYFUNCTION("""COMPUTED_VALUE"""),352.0)</f>
        <v>352</v>
      </c>
      <c r="D5519" s="3">
        <f>IFERROR(__xludf.DUMMYFUNCTION("""COMPUTED_VALUE"""),199.0)</f>
        <v>199</v>
      </c>
      <c r="E5519" s="1" t="str">
        <f t="array" ref="E5519">_xlfn.XLOOKUP(A5519,Product!A:A,Product!B:B,"Bulunamadı")</f>
        <v>Law</v>
      </c>
      <c r="F5519" s="1" t="str">
        <f t="array" ref="F5519">_xlfn.XLOOKUP(A5519,Product!A:A,Product!C:C,"Bulunamadı")</f>
        <v>Interior Design</v>
      </c>
      <c r="G5519" s="2" t="str">
        <f t="array" ref="G5519">_xlfn.XLOOKUP(A5520,Product!A:A,Product!D:D,"Bulunamadı")</f>
        <v>Cedarwind Publishing House</v>
      </c>
      <c r="H5519" s="2">
        <f t="array" ref="H5519">_xlfn.XLOOKUP(A5521,Product!A:A,Product!E:E,"Bulunamadı")</f>
        <v>1.83</v>
      </c>
      <c r="I5519" s="2" t="str">
        <f t="shared" si="1"/>
        <v>77622 - Law - Interior Design</v>
      </c>
      <c r="J5519" s="2">
        <f t="shared" si="2"/>
        <v>364.17</v>
      </c>
      <c r="K5519" s="17">
        <f t="shared" si="3"/>
        <v>1</v>
      </c>
      <c r="L5519" s="18"/>
    </row>
    <row r="5520" hidden="1">
      <c r="A5520" s="2">
        <f>IFERROR(__xludf.DUMMYFUNCTION("""COMPUTED_VALUE"""),68294.0)</f>
        <v>68294</v>
      </c>
      <c r="B5520" s="2">
        <f>IFERROR(__xludf.DUMMYFUNCTION("""COMPUTED_VALUE"""),0.0)</f>
        <v>0</v>
      </c>
      <c r="C5520" s="2">
        <f>IFERROR(__xludf.DUMMYFUNCTION("""COMPUTED_VALUE"""),585.0)</f>
        <v>585</v>
      </c>
      <c r="D5520" s="3">
        <f>IFERROR(__xludf.DUMMYFUNCTION("""COMPUTED_VALUE"""),160.0)</f>
        <v>160</v>
      </c>
      <c r="E5520" s="1" t="str">
        <f t="array" ref="E5520">_xlfn.XLOOKUP(A5520,Product!A:A,Product!B:B,"Bulunamadı")</f>
        <v>Law</v>
      </c>
      <c r="F5520" s="1" t="str">
        <f t="array" ref="F5520">_xlfn.XLOOKUP(A5520,Product!A:A,Product!C:C,"Bulunamadı")</f>
        <v>Interior Design</v>
      </c>
      <c r="G5520" s="2" t="str">
        <f t="array" ref="G5520">_xlfn.XLOOKUP(A5521,Product!A:A,Product!D:D,"Bulunamadı")</f>
        <v>Cedarwind Publishing House</v>
      </c>
      <c r="H5520" s="2">
        <f t="array" ref="H5520">_xlfn.XLOOKUP(A5522,Product!A:A,Product!E:E,"Bulunamadı")</f>
        <v>3.79</v>
      </c>
      <c r="I5520" s="2" t="str">
        <f t="shared" si="1"/>
        <v>68294 - Law - Interior Design</v>
      </c>
      <c r="J5520" s="2">
        <f t="shared" si="2"/>
        <v>606.4</v>
      </c>
      <c r="K5520" s="17">
        <f t="shared" si="3"/>
        <v>1</v>
      </c>
      <c r="L5520" s="18"/>
    </row>
    <row r="5521" hidden="1">
      <c r="A5521" s="2">
        <f>IFERROR(__xludf.DUMMYFUNCTION("""COMPUTED_VALUE"""),12497.0)</f>
        <v>12497</v>
      </c>
      <c r="B5521" s="2">
        <f>IFERROR(__xludf.DUMMYFUNCTION("""COMPUTED_VALUE"""),0.0)</f>
        <v>0</v>
      </c>
      <c r="C5521" s="2">
        <f>IFERROR(__xludf.DUMMYFUNCTION("""COMPUTED_VALUE"""),440.0)</f>
        <v>440</v>
      </c>
      <c r="D5521" s="3">
        <f>IFERROR(__xludf.DUMMYFUNCTION("""COMPUTED_VALUE"""),251.0)</f>
        <v>251</v>
      </c>
      <c r="E5521" s="1" t="str">
        <f t="array" ref="E5521">_xlfn.XLOOKUP(A5521,Product!A:A,Product!B:B,"Bulunamadı")</f>
        <v>Law</v>
      </c>
      <c r="F5521" s="1" t="str">
        <f t="array" ref="F5521">_xlfn.XLOOKUP(A5521,Product!A:A,Product!C:C,"Bulunamadı")</f>
        <v>Interior Design</v>
      </c>
      <c r="G5521" s="2" t="str">
        <f t="array" ref="G5521">_xlfn.XLOOKUP(A5522,Product!A:A,Product!D:D,"Bulunamadı")</f>
        <v>Cedarwind Publishing House</v>
      </c>
      <c r="H5521" s="2">
        <f t="array" ref="H5521">_xlfn.XLOOKUP(A5523,Product!A:A,Product!E:E,"Bulunamadı")</f>
        <v>0.71</v>
      </c>
      <c r="I5521" s="2" t="str">
        <f t="shared" si="1"/>
        <v>12497 - Law - Interior Design</v>
      </c>
      <c r="J5521" s="2">
        <f t="shared" si="2"/>
        <v>178.21</v>
      </c>
      <c r="K5521" s="17">
        <f t="shared" si="3"/>
        <v>1</v>
      </c>
      <c r="L5521" s="18"/>
    </row>
    <row r="5522" hidden="1">
      <c r="A5522" s="2">
        <f>IFERROR(__xludf.DUMMYFUNCTION("""COMPUTED_VALUE"""),74453.0)</f>
        <v>74453</v>
      </c>
      <c r="B5522" s="2">
        <f>IFERROR(__xludf.DUMMYFUNCTION("""COMPUTED_VALUE"""),0.0)</f>
        <v>0</v>
      </c>
      <c r="C5522" s="2">
        <f>IFERROR(__xludf.DUMMYFUNCTION("""COMPUTED_VALUE"""),669.0)</f>
        <v>669</v>
      </c>
      <c r="D5522" s="3">
        <f>IFERROR(__xludf.DUMMYFUNCTION("""COMPUTED_VALUE"""),31.0)</f>
        <v>31</v>
      </c>
      <c r="E5522" s="1" t="str">
        <f t="array" ref="E5522">_xlfn.XLOOKUP(A5522,Product!A:A,Product!B:B,"Bulunamadı")</f>
        <v>Law</v>
      </c>
      <c r="F5522" s="1" t="str">
        <f t="array" ref="F5522">_xlfn.XLOOKUP(A5522,Product!A:A,Product!C:C,"Bulunamadı")</f>
        <v>Interior Design</v>
      </c>
      <c r="G5522" s="2" t="str">
        <f t="array" ref="G5522">_xlfn.XLOOKUP(A5523,Product!A:A,Product!D:D,"Bulunamadı")</f>
        <v>Cedarwind Publishing House</v>
      </c>
      <c r="H5522" s="2">
        <f t="array" ref="H5522">_xlfn.XLOOKUP(A5524,Product!A:A,Product!E:E,"Bulunamadı")</f>
        <v>1.71</v>
      </c>
      <c r="I5522" s="2" t="str">
        <f t="shared" si="1"/>
        <v>74453 - Law - Interior Design</v>
      </c>
      <c r="J5522" s="2">
        <f t="shared" si="2"/>
        <v>53.01</v>
      </c>
      <c r="K5522" s="17">
        <f t="shared" si="3"/>
        <v>1</v>
      </c>
      <c r="L5522" s="18"/>
    </row>
    <row r="5523" hidden="1">
      <c r="A5523" s="2">
        <f>IFERROR(__xludf.DUMMYFUNCTION("""COMPUTED_VALUE"""),112246.0)</f>
        <v>112246</v>
      </c>
      <c r="B5523" s="2">
        <f>IFERROR(__xludf.DUMMYFUNCTION("""COMPUTED_VALUE"""),1.0)</f>
        <v>1</v>
      </c>
      <c r="C5523" s="2">
        <f>IFERROR(__xludf.DUMMYFUNCTION("""COMPUTED_VALUE"""),713.0)</f>
        <v>713</v>
      </c>
      <c r="D5523" s="3">
        <f>IFERROR(__xludf.DUMMYFUNCTION("""COMPUTED_VALUE"""),477.0)</f>
        <v>477</v>
      </c>
      <c r="E5523" s="1" t="str">
        <f t="array" ref="E5523">_xlfn.XLOOKUP(A5523,Product!A:A,Product!B:B,"Bulunamadı")</f>
        <v>Law</v>
      </c>
      <c r="F5523" s="1" t="str">
        <f t="array" ref="F5523">_xlfn.XLOOKUP(A5523,Product!A:A,Product!C:C,"Bulunamadı")</f>
        <v>Interior Design</v>
      </c>
      <c r="G5523" s="2" t="str">
        <f t="array" ref="G5523">_xlfn.XLOOKUP(A5524,Product!A:A,Product!D:D,"Bulunamadı")</f>
        <v>Cedarwind Publishing House</v>
      </c>
      <c r="H5523" s="2">
        <f t="array" ref="H5523">_xlfn.XLOOKUP(A5525,Product!A:A,Product!E:E,"Bulunamadı")</f>
        <v>2.63</v>
      </c>
      <c r="I5523" s="2" t="str">
        <f t="shared" si="1"/>
        <v>112246 - Law - Interior Design</v>
      </c>
      <c r="J5523" s="2">
        <f t="shared" si="2"/>
        <v>1254.51</v>
      </c>
      <c r="K5523" s="17">
        <f t="shared" si="3"/>
        <v>1</v>
      </c>
      <c r="L5523" s="18"/>
    </row>
    <row r="5524" hidden="1">
      <c r="A5524" s="2">
        <f>IFERROR(__xludf.DUMMYFUNCTION("""COMPUTED_VALUE"""),110776.0)</f>
        <v>110776</v>
      </c>
      <c r="B5524" s="2">
        <f>IFERROR(__xludf.DUMMYFUNCTION("""COMPUTED_VALUE"""),0.0)</f>
        <v>0</v>
      </c>
      <c r="C5524" s="2">
        <f>IFERROR(__xludf.DUMMYFUNCTION("""COMPUTED_VALUE"""),239.0)</f>
        <v>239</v>
      </c>
      <c r="D5524" s="3">
        <f>IFERROR(__xludf.DUMMYFUNCTION("""COMPUTED_VALUE"""),215.0)</f>
        <v>215</v>
      </c>
      <c r="E5524" s="1" t="str">
        <f t="array" ref="E5524">_xlfn.XLOOKUP(A5524,Product!A:A,Product!B:B,"Bulunamadı")</f>
        <v>Law</v>
      </c>
      <c r="F5524" s="1" t="str">
        <f t="array" ref="F5524">_xlfn.XLOOKUP(A5524,Product!A:A,Product!C:C,"Bulunamadı")</f>
        <v>Interior Design</v>
      </c>
      <c r="G5524" s="2" t="str">
        <f t="array" ref="G5524">_xlfn.XLOOKUP(A5525,Product!A:A,Product!D:D,"Bulunamadı")</f>
        <v>Cedarwind Publishing House</v>
      </c>
      <c r="H5524" s="2">
        <f t="array" ref="H5524">_xlfn.XLOOKUP(A5526,Product!A:A,Product!E:E,"Bulunamadı")</f>
        <v>1.16</v>
      </c>
      <c r="I5524" s="2" t="str">
        <f t="shared" si="1"/>
        <v>110776 - Law - Interior Design</v>
      </c>
      <c r="J5524" s="2">
        <f t="shared" si="2"/>
        <v>249.4</v>
      </c>
      <c r="K5524" s="17">
        <f t="shared" si="3"/>
        <v>1</v>
      </c>
      <c r="L5524" s="18"/>
    </row>
    <row r="5525" hidden="1">
      <c r="A5525" s="2">
        <f>IFERROR(__xludf.DUMMYFUNCTION("""COMPUTED_VALUE"""),92846.0)</f>
        <v>92846</v>
      </c>
      <c r="B5525" s="2">
        <f>IFERROR(__xludf.DUMMYFUNCTION("""COMPUTED_VALUE"""),1.0)</f>
        <v>1</v>
      </c>
      <c r="C5525" s="2">
        <f>IFERROR(__xludf.DUMMYFUNCTION("""COMPUTED_VALUE"""),850.0)</f>
        <v>850</v>
      </c>
      <c r="D5525" s="3">
        <f>IFERROR(__xludf.DUMMYFUNCTION("""COMPUTED_VALUE"""),834.0)</f>
        <v>834</v>
      </c>
      <c r="E5525" s="1" t="str">
        <f t="array" ref="E5525">_xlfn.XLOOKUP(A5525,Product!A:A,Product!B:B,"Bulunamadı")</f>
        <v>Law</v>
      </c>
      <c r="F5525" s="1" t="str">
        <f t="array" ref="F5525">_xlfn.XLOOKUP(A5525,Product!A:A,Product!C:C,"Bulunamadı")</f>
        <v>Interior Design</v>
      </c>
      <c r="G5525" s="2" t="str">
        <f t="array" ref="G5525">_xlfn.XLOOKUP(A5526,Product!A:A,Product!D:D,"Bulunamadı")</f>
        <v>Cedarwind Publishing House</v>
      </c>
      <c r="H5525" s="2">
        <f t="array" ref="H5525">_xlfn.XLOOKUP(A5527,Product!A:A,Product!E:E,"Bulunamadı")</f>
        <v>2.66</v>
      </c>
      <c r="I5525" s="2" t="str">
        <f t="shared" si="1"/>
        <v>92846 - Law - Interior Design</v>
      </c>
      <c r="J5525" s="2">
        <f t="shared" si="2"/>
        <v>2218.44</v>
      </c>
      <c r="K5525" s="17">
        <f t="shared" si="3"/>
        <v>1</v>
      </c>
      <c r="L5525" s="18"/>
    </row>
    <row r="5526" hidden="1">
      <c r="A5526" s="2">
        <f>IFERROR(__xludf.DUMMYFUNCTION("""COMPUTED_VALUE"""),119257.0)</f>
        <v>119257</v>
      </c>
      <c r="B5526" s="2">
        <f>IFERROR(__xludf.DUMMYFUNCTION("""COMPUTED_VALUE"""),1.0)</f>
        <v>1</v>
      </c>
      <c r="C5526" s="2">
        <f>IFERROR(__xludf.DUMMYFUNCTION("""COMPUTED_VALUE"""),746.0)</f>
        <v>746</v>
      </c>
      <c r="D5526" s="3">
        <f>IFERROR(__xludf.DUMMYFUNCTION("""COMPUTED_VALUE"""),228.0)</f>
        <v>228</v>
      </c>
      <c r="E5526" s="1" t="str">
        <f t="array" ref="E5526">_xlfn.XLOOKUP(A5526,Product!A:A,Product!B:B,"Bulunamadı")</f>
        <v>Law</v>
      </c>
      <c r="F5526" s="1" t="str">
        <f t="array" ref="F5526">_xlfn.XLOOKUP(A5526,Product!A:A,Product!C:C,"Bulunamadı")</f>
        <v>Interior Design</v>
      </c>
      <c r="G5526" s="2" t="str">
        <f t="array" ref="G5526">_xlfn.XLOOKUP(A5527,Product!A:A,Product!D:D,"Bulunamadı")</f>
        <v>Cedarwind Publishing House</v>
      </c>
      <c r="H5526" s="2">
        <f t="array" ref="H5526">_xlfn.XLOOKUP(A5528,Product!A:A,Product!E:E,"Bulunamadı")</f>
        <v>2.33</v>
      </c>
      <c r="I5526" s="2" t="str">
        <f t="shared" si="1"/>
        <v>119257 - Law - Interior Design</v>
      </c>
      <c r="J5526" s="2">
        <f t="shared" si="2"/>
        <v>531.24</v>
      </c>
      <c r="K5526" s="17">
        <f t="shared" si="3"/>
        <v>1</v>
      </c>
      <c r="L5526" s="18"/>
    </row>
    <row r="5527" hidden="1">
      <c r="A5527" s="2">
        <f>IFERROR(__xludf.DUMMYFUNCTION("""COMPUTED_VALUE"""),68313.0)</f>
        <v>68313</v>
      </c>
      <c r="B5527" s="2">
        <f>IFERROR(__xludf.DUMMYFUNCTION("""COMPUTED_VALUE"""),1.0)</f>
        <v>1</v>
      </c>
      <c r="C5527" s="2">
        <f>IFERROR(__xludf.DUMMYFUNCTION("""COMPUTED_VALUE"""),163.0)</f>
        <v>163</v>
      </c>
      <c r="D5527" s="3">
        <f>IFERROR(__xludf.DUMMYFUNCTION("""COMPUTED_VALUE"""),139.0)</f>
        <v>139</v>
      </c>
      <c r="E5527" s="1" t="str">
        <f t="array" ref="E5527">_xlfn.XLOOKUP(A5527,Product!A:A,Product!B:B,"Bulunamadı")</f>
        <v>Law</v>
      </c>
      <c r="F5527" s="1" t="str">
        <f t="array" ref="F5527">_xlfn.XLOOKUP(A5527,Product!A:A,Product!C:C,"Bulunamadı")</f>
        <v>Interior Design</v>
      </c>
      <c r="G5527" s="2" t="str">
        <f t="array" ref="G5527">_xlfn.XLOOKUP(A5528,Product!A:A,Product!D:D,"Bulunamadı")</f>
        <v>Cedarwind Publishing House</v>
      </c>
      <c r="H5527" s="2">
        <f t="array" ref="H5527">_xlfn.XLOOKUP(A5529,Product!A:A,Product!E:E,"Bulunamadı")</f>
        <v>1.54</v>
      </c>
      <c r="I5527" s="2" t="str">
        <f t="shared" si="1"/>
        <v>68313 - Law - Interior Design</v>
      </c>
      <c r="J5527" s="2">
        <f t="shared" si="2"/>
        <v>214.06</v>
      </c>
      <c r="K5527" s="17">
        <f t="shared" si="3"/>
        <v>1</v>
      </c>
      <c r="L5527" s="18"/>
    </row>
    <row r="5528" hidden="1">
      <c r="A5528" s="2">
        <f>IFERROR(__xludf.DUMMYFUNCTION("""COMPUTED_VALUE"""),12503.0)</f>
        <v>12503</v>
      </c>
      <c r="B5528" s="2">
        <f>IFERROR(__xludf.DUMMYFUNCTION("""COMPUTED_VALUE"""),0.0)</f>
        <v>0</v>
      </c>
      <c r="C5528" s="2">
        <f>IFERROR(__xludf.DUMMYFUNCTION("""COMPUTED_VALUE"""),769.0)</f>
        <v>769</v>
      </c>
      <c r="D5528" s="3">
        <f>IFERROR(__xludf.DUMMYFUNCTION("""COMPUTED_VALUE"""),497.0)</f>
        <v>497</v>
      </c>
      <c r="E5528" s="1" t="str">
        <f t="array" ref="E5528">_xlfn.XLOOKUP(A5528,Product!A:A,Product!B:B,"Bulunamadı")</f>
        <v>Law</v>
      </c>
      <c r="F5528" s="1" t="str">
        <f t="array" ref="F5528">_xlfn.XLOOKUP(A5528,Product!A:A,Product!C:C,"Bulunamadı")</f>
        <v>Interior Design</v>
      </c>
      <c r="G5528" s="2" t="str">
        <f t="array" ref="G5528">_xlfn.XLOOKUP(A5529,Product!A:A,Product!D:D,"Bulunamadı")</f>
        <v>Cedarwind Publishing House</v>
      </c>
      <c r="H5528" s="2">
        <f t="array" ref="H5528">_xlfn.XLOOKUP(A5530,Product!A:A,Product!E:E,"Bulunamadı")</f>
        <v>1.4</v>
      </c>
      <c r="I5528" s="2" t="str">
        <f t="shared" si="1"/>
        <v>12503 - Law - Interior Design</v>
      </c>
      <c r="J5528" s="2">
        <f t="shared" si="2"/>
        <v>695.8</v>
      </c>
      <c r="K5528" s="17">
        <f t="shared" si="3"/>
        <v>1</v>
      </c>
      <c r="L5528" s="18"/>
    </row>
    <row r="5529" hidden="1">
      <c r="A5529" s="2">
        <f>IFERROR(__xludf.DUMMYFUNCTION("""COMPUTED_VALUE"""),77624.0)</f>
        <v>77624</v>
      </c>
      <c r="B5529" s="2">
        <f>IFERROR(__xludf.DUMMYFUNCTION("""COMPUTED_VALUE"""),0.0)</f>
        <v>0</v>
      </c>
      <c r="C5529" s="2">
        <f>IFERROR(__xludf.DUMMYFUNCTION("""COMPUTED_VALUE"""),895.0)</f>
        <v>895</v>
      </c>
      <c r="D5529" s="3">
        <f>IFERROR(__xludf.DUMMYFUNCTION("""COMPUTED_VALUE"""),158.0)</f>
        <v>158</v>
      </c>
      <c r="E5529" s="1" t="str">
        <f t="array" ref="E5529">_xlfn.XLOOKUP(A5529,Product!A:A,Product!B:B,"Bulunamadı")</f>
        <v>Law</v>
      </c>
      <c r="F5529" s="1" t="str">
        <f t="array" ref="F5529">_xlfn.XLOOKUP(A5529,Product!A:A,Product!C:C,"Bulunamadı")</f>
        <v>Interior Design</v>
      </c>
      <c r="G5529" s="2" t="str">
        <f t="array" ref="G5529">_xlfn.XLOOKUP(A5530,Product!A:A,Product!D:D,"Bulunamadı")</f>
        <v>Brightwind Publishing House</v>
      </c>
      <c r="H5529" s="2">
        <f t="array" ref="H5529">_xlfn.XLOOKUP(A5531,Product!A:A,Product!E:E,"Bulunamadı")</f>
        <v>1.61</v>
      </c>
      <c r="I5529" s="2" t="str">
        <f t="shared" si="1"/>
        <v>77624 - Law - Interior Design</v>
      </c>
      <c r="J5529" s="2">
        <f t="shared" si="2"/>
        <v>254.38</v>
      </c>
      <c r="K5529" s="17">
        <f t="shared" si="3"/>
        <v>1</v>
      </c>
      <c r="L5529" s="18"/>
    </row>
    <row r="5530" hidden="1">
      <c r="A5530" s="2">
        <f>IFERROR(__xludf.DUMMYFUNCTION("""COMPUTED_VALUE"""),77432.0)</f>
        <v>77432</v>
      </c>
      <c r="B5530" s="2">
        <f>IFERROR(__xludf.DUMMYFUNCTION("""COMPUTED_VALUE"""),1.0)</f>
        <v>1</v>
      </c>
      <c r="C5530" s="2">
        <f>IFERROR(__xludf.DUMMYFUNCTION("""COMPUTED_VALUE"""),475.0)</f>
        <v>475</v>
      </c>
      <c r="D5530" s="3">
        <f>IFERROR(__xludf.DUMMYFUNCTION("""COMPUTED_VALUE"""),424.0)</f>
        <v>424</v>
      </c>
      <c r="E5530" s="1" t="str">
        <f t="array" ref="E5530">_xlfn.XLOOKUP(A5530,Product!A:A,Product!B:B,"Bulunamadı")</f>
        <v>Law</v>
      </c>
      <c r="F5530" s="1" t="str">
        <f t="array" ref="F5530">_xlfn.XLOOKUP(A5530,Product!A:A,Product!C:C,"Bulunamadı")</f>
        <v>Interior Design</v>
      </c>
      <c r="G5530" s="2" t="str">
        <f t="array" ref="G5530">_xlfn.XLOOKUP(A5531,Product!A:A,Product!D:D,"Bulunamadı")</f>
        <v>Brightwind Publishing House</v>
      </c>
      <c r="H5530" s="2">
        <f t="array" ref="H5530">_xlfn.XLOOKUP(A5532,Product!A:A,Product!E:E,"Bulunamadı")</f>
        <v>2.08</v>
      </c>
      <c r="I5530" s="2" t="str">
        <f t="shared" si="1"/>
        <v>77432 - Law - Interior Design</v>
      </c>
      <c r="J5530" s="2">
        <f t="shared" si="2"/>
        <v>881.92</v>
      </c>
      <c r="K5530" s="17">
        <f t="shared" si="3"/>
        <v>1</v>
      </c>
      <c r="L5530" s="18"/>
    </row>
    <row r="5531" hidden="1">
      <c r="A5531" s="2">
        <f>IFERROR(__xludf.DUMMYFUNCTION("""COMPUTED_VALUE"""),77429.0)</f>
        <v>77429</v>
      </c>
      <c r="B5531" s="2">
        <f>IFERROR(__xludf.DUMMYFUNCTION("""COMPUTED_VALUE"""),1.0)</f>
        <v>1</v>
      </c>
      <c r="C5531" s="2">
        <f>IFERROR(__xludf.DUMMYFUNCTION("""COMPUTED_VALUE"""),914.0)</f>
        <v>914</v>
      </c>
      <c r="D5531" s="3">
        <f>IFERROR(__xludf.DUMMYFUNCTION("""COMPUTED_VALUE"""),470.0)</f>
        <v>470</v>
      </c>
      <c r="E5531" s="1" t="str">
        <f t="array" ref="E5531">_xlfn.XLOOKUP(A5531,Product!A:A,Product!B:B,"Bulunamadı")</f>
        <v>Law</v>
      </c>
      <c r="F5531" s="1" t="str">
        <f t="array" ref="F5531">_xlfn.XLOOKUP(A5531,Product!A:A,Product!C:C,"Bulunamadı")</f>
        <v>Interior Design</v>
      </c>
      <c r="G5531" s="2" t="str">
        <f t="array" ref="G5531">_xlfn.XLOOKUP(A5532,Product!A:A,Product!D:D,"Bulunamadı")</f>
        <v>Brightwind Publishing House</v>
      </c>
      <c r="H5531" s="2">
        <f t="array" ref="H5531">_xlfn.XLOOKUP(A5533,Product!A:A,Product!E:E,"Bulunamadı")</f>
        <v>2.7</v>
      </c>
      <c r="I5531" s="2" t="str">
        <f t="shared" si="1"/>
        <v>77429 - Law - Interior Design</v>
      </c>
      <c r="J5531" s="2">
        <f t="shared" si="2"/>
        <v>1269</v>
      </c>
      <c r="K5531" s="17">
        <f t="shared" si="3"/>
        <v>1</v>
      </c>
      <c r="L5531" s="18"/>
    </row>
    <row r="5532" hidden="1">
      <c r="A5532" s="2">
        <f>IFERROR(__xludf.DUMMYFUNCTION("""COMPUTED_VALUE"""),93995.0)</f>
        <v>93995</v>
      </c>
      <c r="B5532" s="2">
        <f>IFERROR(__xludf.DUMMYFUNCTION("""COMPUTED_VALUE"""),1.0)</f>
        <v>1</v>
      </c>
      <c r="C5532" s="2">
        <f>IFERROR(__xludf.DUMMYFUNCTION("""COMPUTED_VALUE"""),532.0)</f>
        <v>532</v>
      </c>
      <c r="D5532" s="3">
        <f>IFERROR(__xludf.DUMMYFUNCTION("""COMPUTED_VALUE"""),278.0)</f>
        <v>278</v>
      </c>
      <c r="E5532" s="1" t="str">
        <f t="array" ref="E5532">_xlfn.XLOOKUP(A5532,Product!A:A,Product!B:B,"Bulunamadı")</f>
        <v>Law</v>
      </c>
      <c r="F5532" s="1" t="str">
        <f t="array" ref="F5532">_xlfn.XLOOKUP(A5532,Product!A:A,Product!C:C,"Bulunamadı")</f>
        <v>Interior Design</v>
      </c>
      <c r="G5532" s="2" t="str">
        <f t="array" ref="G5532">_xlfn.XLOOKUP(A5533,Product!A:A,Product!D:D,"Bulunamadı")</f>
        <v>Brightwind Publishing House</v>
      </c>
      <c r="H5532" s="2">
        <f t="array" ref="H5532">_xlfn.XLOOKUP(A5534,Product!A:A,Product!E:E,"Bulunamadı")</f>
        <v>4.51</v>
      </c>
      <c r="I5532" s="2" t="str">
        <f t="shared" si="1"/>
        <v>93995 - Law - Interior Design</v>
      </c>
      <c r="J5532" s="2">
        <f t="shared" si="2"/>
        <v>1253.78</v>
      </c>
      <c r="K5532" s="17">
        <f t="shared" si="3"/>
        <v>1</v>
      </c>
      <c r="L5532" s="18"/>
    </row>
    <row r="5533" hidden="1">
      <c r="A5533" s="2">
        <f>IFERROR(__xludf.DUMMYFUNCTION("""COMPUTED_VALUE"""),103185.0)</f>
        <v>103185</v>
      </c>
      <c r="B5533" s="2">
        <f>IFERROR(__xludf.DUMMYFUNCTION("""COMPUTED_VALUE"""),0.0)</f>
        <v>0</v>
      </c>
      <c r="C5533" s="2">
        <f>IFERROR(__xludf.DUMMYFUNCTION("""COMPUTED_VALUE"""),273.0)</f>
        <v>273</v>
      </c>
      <c r="D5533" s="3">
        <f>IFERROR(__xludf.DUMMYFUNCTION("""COMPUTED_VALUE"""),30.0)</f>
        <v>30</v>
      </c>
      <c r="E5533" s="1" t="str">
        <f t="array" ref="E5533">_xlfn.XLOOKUP(A5533,Product!A:A,Product!B:B,"Bulunamadı")</f>
        <v>Law</v>
      </c>
      <c r="F5533" s="1" t="str">
        <f t="array" ref="F5533">_xlfn.XLOOKUP(A5533,Product!A:A,Product!C:C,"Bulunamadı")</f>
        <v>Interior Design</v>
      </c>
      <c r="G5533" s="2" t="str">
        <f t="array" ref="G5533">_xlfn.XLOOKUP(A5534,Product!A:A,Product!D:D,"Bulunamadı")</f>
        <v>Brightwind Publishing House</v>
      </c>
      <c r="H5533" s="2">
        <f t="array" ref="H5533">_xlfn.XLOOKUP(A5535,Product!A:A,Product!E:E,"Bulunamadı")</f>
        <v>1.8</v>
      </c>
      <c r="I5533" s="2" t="str">
        <f t="shared" si="1"/>
        <v>103185 - Law - Interior Design</v>
      </c>
      <c r="J5533" s="2">
        <f t="shared" si="2"/>
        <v>54</v>
      </c>
      <c r="K5533" s="17">
        <f t="shared" si="3"/>
        <v>1</v>
      </c>
      <c r="L5533" s="18"/>
    </row>
    <row r="5534" hidden="1">
      <c r="A5534" s="2">
        <f>IFERROR(__xludf.DUMMYFUNCTION("""COMPUTED_VALUE"""),13868.0)</f>
        <v>13868</v>
      </c>
      <c r="B5534" s="2">
        <f>IFERROR(__xludf.DUMMYFUNCTION("""COMPUTED_VALUE"""),0.0)</f>
        <v>0</v>
      </c>
      <c r="C5534" s="2">
        <f>IFERROR(__xludf.DUMMYFUNCTION("""COMPUTED_VALUE"""),561.0)</f>
        <v>561</v>
      </c>
      <c r="D5534" s="3">
        <f>IFERROR(__xludf.DUMMYFUNCTION("""COMPUTED_VALUE"""),120.0)</f>
        <v>120</v>
      </c>
      <c r="E5534" s="1" t="str">
        <f t="array" ref="E5534">_xlfn.XLOOKUP(A5534,Product!A:A,Product!B:B,"Bulunamadı")</f>
        <v>Law</v>
      </c>
      <c r="F5534" s="1" t="str">
        <f t="array" ref="F5534">_xlfn.XLOOKUP(A5534,Product!A:A,Product!C:C,"Bulunamadı")</f>
        <v>Interior Design</v>
      </c>
      <c r="G5534" s="2" t="str">
        <f t="array" ref="G5534">_xlfn.XLOOKUP(A5535,Product!A:A,Product!D:D,"Bulunamadı")</f>
        <v>Brightwind Publishing House</v>
      </c>
      <c r="H5534" s="2">
        <f t="array" ref="H5534">_xlfn.XLOOKUP(A5536,Product!A:A,Product!E:E,"Bulunamadı")</f>
        <v>2.31</v>
      </c>
      <c r="I5534" s="2" t="str">
        <f t="shared" si="1"/>
        <v>13868 - Law - Interior Design</v>
      </c>
      <c r="J5534" s="2">
        <f t="shared" si="2"/>
        <v>277.2</v>
      </c>
      <c r="K5534" s="17">
        <f t="shared" si="3"/>
        <v>1</v>
      </c>
      <c r="L5534" s="18"/>
    </row>
    <row r="5535" hidden="1">
      <c r="A5535" s="2">
        <f>IFERROR(__xludf.DUMMYFUNCTION("""COMPUTED_VALUE"""),9504.0)</f>
        <v>9504</v>
      </c>
      <c r="B5535" s="2">
        <f>IFERROR(__xludf.DUMMYFUNCTION("""COMPUTED_VALUE"""),1.0)</f>
        <v>1</v>
      </c>
      <c r="C5535" s="2">
        <f>IFERROR(__xludf.DUMMYFUNCTION("""COMPUTED_VALUE"""),350.0)</f>
        <v>350</v>
      </c>
      <c r="D5535" s="3">
        <f>IFERROR(__xludf.DUMMYFUNCTION("""COMPUTED_VALUE"""),43.0)</f>
        <v>43</v>
      </c>
      <c r="E5535" s="1" t="str">
        <f t="array" ref="E5535">_xlfn.XLOOKUP(A5535,Product!A:A,Product!B:B,"Bulunamadı")</f>
        <v>Law</v>
      </c>
      <c r="F5535" s="1" t="str">
        <f t="array" ref="F5535">_xlfn.XLOOKUP(A5535,Product!A:A,Product!C:C,"Bulunamadı")</f>
        <v>Interior Design</v>
      </c>
      <c r="G5535" s="2" t="str">
        <f t="array" ref="G5535">_xlfn.XLOOKUP(A5536,Product!A:A,Product!D:D,"Bulunamadı")</f>
        <v>Brightwind Publishing House</v>
      </c>
      <c r="H5535" s="2">
        <f t="array" ref="H5535">_xlfn.XLOOKUP(A5537,Product!A:A,Product!E:E,"Bulunamadı")</f>
        <v>1.72</v>
      </c>
      <c r="I5535" s="2" t="str">
        <f t="shared" si="1"/>
        <v>9504 - Law - Interior Design</v>
      </c>
      <c r="J5535" s="2">
        <f t="shared" si="2"/>
        <v>73.96</v>
      </c>
      <c r="K5535" s="17">
        <f t="shared" si="3"/>
        <v>1</v>
      </c>
      <c r="L5535" s="18"/>
    </row>
    <row r="5536" hidden="1">
      <c r="A5536" s="2">
        <f>IFERROR(__xludf.DUMMYFUNCTION("""COMPUTED_VALUE"""),77446.0)</f>
        <v>77446</v>
      </c>
      <c r="B5536" s="2">
        <f>IFERROR(__xludf.DUMMYFUNCTION("""COMPUTED_VALUE"""),0.0)</f>
        <v>0</v>
      </c>
      <c r="C5536" s="2">
        <f>IFERROR(__xludf.DUMMYFUNCTION("""COMPUTED_VALUE"""),916.0)</f>
        <v>916</v>
      </c>
      <c r="D5536" s="3">
        <f>IFERROR(__xludf.DUMMYFUNCTION("""COMPUTED_VALUE"""),249.0)</f>
        <v>249</v>
      </c>
      <c r="E5536" s="1" t="str">
        <f t="array" ref="E5536">_xlfn.XLOOKUP(A5536,Product!A:A,Product!B:B,"Bulunamadı")</f>
        <v>Law</v>
      </c>
      <c r="F5536" s="1" t="str">
        <f t="array" ref="F5536">_xlfn.XLOOKUP(A5536,Product!A:A,Product!C:C,"Bulunamadı")</f>
        <v>Interior Design</v>
      </c>
      <c r="G5536" s="2" t="str">
        <f t="array" ref="G5536">_xlfn.XLOOKUP(A5537,Product!A:A,Product!D:D,"Bulunamadı")</f>
        <v>Brightwind Publishing House</v>
      </c>
      <c r="H5536" s="2">
        <f t="array" ref="H5536">_xlfn.XLOOKUP(A5538,Product!A:A,Product!E:E,"Bulunamadı")</f>
        <v>2.27</v>
      </c>
      <c r="I5536" s="2" t="str">
        <f t="shared" si="1"/>
        <v>77446 - Law - Interior Design</v>
      </c>
      <c r="J5536" s="2">
        <f t="shared" si="2"/>
        <v>565.23</v>
      </c>
      <c r="K5536" s="17">
        <f t="shared" si="3"/>
        <v>1</v>
      </c>
      <c r="L5536" s="18"/>
    </row>
    <row r="5537" hidden="1">
      <c r="A5537" s="2">
        <f>IFERROR(__xludf.DUMMYFUNCTION("""COMPUTED_VALUE"""),77498.0)</f>
        <v>77498</v>
      </c>
      <c r="B5537" s="2">
        <f>IFERROR(__xludf.DUMMYFUNCTION("""COMPUTED_VALUE"""),0.0)</f>
        <v>0</v>
      </c>
      <c r="C5537" s="2">
        <f>IFERROR(__xludf.DUMMYFUNCTION("""COMPUTED_VALUE"""),873.0)</f>
        <v>873</v>
      </c>
      <c r="D5537" s="3">
        <f>IFERROR(__xludf.DUMMYFUNCTION("""COMPUTED_VALUE"""),429.0)</f>
        <v>429</v>
      </c>
      <c r="E5537" s="1" t="str">
        <f t="array" ref="E5537">_xlfn.XLOOKUP(A5537,Product!A:A,Product!B:B,"Bulunamadı")</f>
        <v>Law</v>
      </c>
      <c r="F5537" s="1" t="str">
        <f t="array" ref="F5537">_xlfn.XLOOKUP(A5537,Product!A:A,Product!C:C,"Bulunamadı")</f>
        <v>Interior Design</v>
      </c>
      <c r="G5537" s="2" t="str">
        <f t="array" ref="G5537">_xlfn.XLOOKUP(A5538,Product!A:A,Product!D:D,"Bulunamadı")</f>
        <v>Brightwind Publishing House</v>
      </c>
      <c r="H5537" s="2">
        <f t="array" ref="H5537">_xlfn.XLOOKUP(A5539,Product!A:A,Product!E:E,"Bulunamadı")</f>
        <v>7.33</v>
      </c>
      <c r="I5537" s="2" t="str">
        <f t="shared" si="1"/>
        <v>77498 - Law - Interior Design</v>
      </c>
      <c r="J5537" s="2">
        <f t="shared" si="2"/>
        <v>3144.57</v>
      </c>
      <c r="K5537" s="17">
        <f t="shared" si="3"/>
        <v>1</v>
      </c>
      <c r="L5537" s="18"/>
    </row>
    <row r="5538" hidden="1">
      <c r="A5538" s="2">
        <f>IFERROR(__xludf.DUMMYFUNCTION("""COMPUTED_VALUE"""),77488.0)</f>
        <v>77488</v>
      </c>
      <c r="B5538" s="2">
        <f>IFERROR(__xludf.DUMMYFUNCTION("""COMPUTED_VALUE"""),1.0)</f>
        <v>1</v>
      </c>
      <c r="C5538" s="2">
        <f>IFERROR(__xludf.DUMMYFUNCTION("""COMPUTED_VALUE"""),435.0)</f>
        <v>435</v>
      </c>
      <c r="D5538" s="3">
        <f>IFERROR(__xludf.DUMMYFUNCTION("""COMPUTED_VALUE"""),297.0)</f>
        <v>297</v>
      </c>
      <c r="E5538" s="1" t="str">
        <f t="array" ref="E5538">_xlfn.XLOOKUP(A5538,Product!A:A,Product!B:B,"Bulunamadı")</f>
        <v>Law</v>
      </c>
      <c r="F5538" s="1" t="str">
        <f t="array" ref="F5538">_xlfn.XLOOKUP(A5538,Product!A:A,Product!C:C,"Bulunamadı")</f>
        <v>Interior Design</v>
      </c>
      <c r="G5538" s="2" t="str">
        <f t="array" ref="G5538">_xlfn.XLOOKUP(A5539,Product!A:A,Product!D:D,"Bulunamadı")</f>
        <v>Brightwind Publishing House</v>
      </c>
      <c r="H5538" s="2">
        <f t="array" ref="H5538">_xlfn.XLOOKUP(A5540,Product!A:A,Product!E:E,"Bulunamadı")</f>
        <v>5.98</v>
      </c>
      <c r="I5538" s="2" t="str">
        <f t="shared" si="1"/>
        <v>77488 - Law - Interior Design</v>
      </c>
      <c r="J5538" s="2">
        <f t="shared" si="2"/>
        <v>1776.06</v>
      </c>
      <c r="K5538" s="17">
        <f t="shared" si="3"/>
        <v>1</v>
      </c>
      <c r="L5538" s="18"/>
    </row>
    <row r="5539" hidden="1">
      <c r="A5539" s="2">
        <f>IFERROR(__xludf.DUMMYFUNCTION("""COMPUTED_VALUE"""),82203.0)</f>
        <v>82203</v>
      </c>
      <c r="B5539" s="2">
        <f>IFERROR(__xludf.DUMMYFUNCTION("""COMPUTED_VALUE"""),0.0)</f>
        <v>0</v>
      </c>
      <c r="C5539" s="2">
        <f>IFERROR(__xludf.DUMMYFUNCTION("""COMPUTED_VALUE"""),866.0)</f>
        <v>866</v>
      </c>
      <c r="D5539" s="3">
        <f>IFERROR(__xludf.DUMMYFUNCTION("""COMPUTED_VALUE"""),90.0)</f>
        <v>90</v>
      </c>
      <c r="E5539" s="1" t="str">
        <f t="array" ref="E5539">_xlfn.XLOOKUP(A5539,Product!A:A,Product!B:B,"Bulunamadı")</f>
        <v>Law</v>
      </c>
      <c r="F5539" s="1" t="str">
        <f t="array" ref="F5539">_xlfn.XLOOKUP(A5539,Product!A:A,Product!C:C,"Bulunamadı")</f>
        <v>Interior Design</v>
      </c>
      <c r="G5539" s="2" t="str">
        <f t="array" ref="G5539">_xlfn.XLOOKUP(A5540,Product!A:A,Product!D:D,"Bulunamadı")</f>
        <v>Brightwind Publishing House</v>
      </c>
      <c r="H5539" s="2">
        <f t="array" ref="H5539">_xlfn.XLOOKUP(A5541,Product!A:A,Product!E:E,"Bulunamadı")</f>
        <v>2.65</v>
      </c>
      <c r="I5539" s="2" t="str">
        <f t="shared" si="1"/>
        <v>82203 - Law - Interior Design</v>
      </c>
      <c r="J5539" s="2">
        <f t="shared" si="2"/>
        <v>238.5</v>
      </c>
      <c r="K5539" s="17">
        <f t="shared" si="3"/>
        <v>1</v>
      </c>
      <c r="L5539" s="18"/>
    </row>
    <row r="5540" hidden="1">
      <c r="A5540" s="2">
        <f>IFERROR(__xludf.DUMMYFUNCTION("""COMPUTED_VALUE"""),82754.0)</f>
        <v>82754</v>
      </c>
      <c r="B5540" s="2">
        <f>IFERROR(__xludf.DUMMYFUNCTION("""COMPUTED_VALUE"""),1.0)</f>
        <v>1</v>
      </c>
      <c r="C5540" s="2">
        <f>IFERROR(__xludf.DUMMYFUNCTION("""COMPUTED_VALUE"""),754.0)</f>
        <v>754</v>
      </c>
      <c r="D5540" s="3">
        <f>IFERROR(__xludf.DUMMYFUNCTION("""COMPUTED_VALUE"""),520.0)</f>
        <v>520</v>
      </c>
      <c r="E5540" s="1" t="str">
        <f t="array" ref="E5540">_xlfn.XLOOKUP(A5540,Product!A:A,Product!B:B,"Bulunamadı")</f>
        <v>Law</v>
      </c>
      <c r="F5540" s="1" t="str">
        <f t="array" ref="F5540">_xlfn.XLOOKUP(A5540,Product!A:A,Product!C:C,"Bulunamadı")</f>
        <v>Interior Design</v>
      </c>
      <c r="G5540" s="2" t="str">
        <f t="array" ref="G5540">_xlfn.XLOOKUP(A5541,Product!A:A,Product!D:D,"Bulunamadı")</f>
        <v>Brightwind Publishing House</v>
      </c>
      <c r="H5540" s="2">
        <f t="array" ref="H5540">_xlfn.XLOOKUP(A5542,Product!A:A,Product!E:E,"Bulunamadı")</f>
        <v>1.31</v>
      </c>
      <c r="I5540" s="2" t="str">
        <f t="shared" si="1"/>
        <v>82754 - Law - Interior Design</v>
      </c>
      <c r="J5540" s="2">
        <f t="shared" si="2"/>
        <v>681.2</v>
      </c>
      <c r="K5540" s="17">
        <f t="shared" si="3"/>
        <v>1</v>
      </c>
      <c r="L5540" s="18"/>
    </row>
    <row r="5541" hidden="1">
      <c r="A5541" s="2">
        <f>IFERROR(__xludf.DUMMYFUNCTION("""COMPUTED_VALUE"""),110837.0)</f>
        <v>110837</v>
      </c>
      <c r="B5541" s="2">
        <f>IFERROR(__xludf.DUMMYFUNCTION("""COMPUTED_VALUE"""),0.0)</f>
        <v>0</v>
      </c>
      <c r="C5541" s="2">
        <f>IFERROR(__xludf.DUMMYFUNCTION("""COMPUTED_VALUE"""),924.0)</f>
        <v>924</v>
      </c>
      <c r="D5541" s="3">
        <f>IFERROR(__xludf.DUMMYFUNCTION("""COMPUTED_VALUE"""),869.0)</f>
        <v>869</v>
      </c>
      <c r="E5541" s="1" t="str">
        <f t="array" ref="E5541">_xlfn.XLOOKUP(A5541,Product!A:A,Product!B:B,"Bulunamadı")</f>
        <v>Law</v>
      </c>
      <c r="F5541" s="1" t="str">
        <f t="array" ref="F5541">_xlfn.XLOOKUP(A5541,Product!A:A,Product!C:C,"Bulunamadı")</f>
        <v>Interior Design</v>
      </c>
      <c r="G5541" s="2" t="str">
        <f t="array" ref="G5541">_xlfn.XLOOKUP(A5542,Product!A:A,Product!D:D,"Bulunamadı")</f>
        <v>Brightwind Publishing House</v>
      </c>
      <c r="H5541" s="2">
        <f t="array" ref="H5541">_xlfn.XLOOKUP(A5543,Product!A:A,Product!E:E,"Bulunamadı")</f>
        <v>3.4</v>
      </c>
      <c r="I5541" s="2" t="str">
        <f t="shared" si="1"/>
        <v>110837 - Law - Interior Design</v>
      </c>
      <c r="J5541" s="2">
        <f t="shared" si="2"/>
        <v>2954.6</v>
      </c>
      <c r="K5541" s="17">
        <f t="shared" si="3"/>
        <v>1</v>
      </c>
      <c r="L5541" s="18"/>
    </row>
    <row r="5542" hidden="1">
      <c r="A5542" s="2">
        <f>IFERROR(__xludf.DUMMYFUNCTION("""COMPUTED_VALUE"""),9591.0)</f>
        <v>9591</v>
      </c>
      <c r="B5542" s="2">
        <f>IFERROR(__xludf.DUMMYFUNCTION("""COMPUTED_VALUE"""),0.0)</f>
        <v>0</v>
      </c>
      <c r="C5542" s="2">
        <f>IFERROR(__xludf.DUMMYFUNCTION("""COMPUTED_VALUE"""),643.0)</f>
        <v>643</v>
      </c>
      <c r="D5542" s="3">
        <f>IFERROR(__xludf.DUMMYFUNCTION("""COMPUTED_VALUE"""),509.0)</f>
        <v>509</v>
      </c>
      <c r="E5542" s="1" t="str">
        <f t="array" ref="E5542">_xlfn.XLOOKUP(A5542,Product!A:A,Product!B:B,"Bulunamadı")</f>
        <v>Law</v>
      </c>
      <c r="F5542" s="1" t="str">
        <f t="array" ref="F5542">_xlfn.XLOOKUP(A5542,Product!A:A,Product!C:C,"Bulunamadı")</f>
        <v>Interior Design</v>
      </c>
      <c r="G5542" s="2" t="str">
        <f t="array" ref="G5542">_xlfn.XLOOKUP(A5543,Product!A:A,Product!D:D,"Bulunamadı")</f>
        <v>Brightwind Publishing House</v>
      </c>
      <c r="H5542" s="2">
        <f t="array" ref="H5542">_xlfn.XLOOKUP(A5544,Product!A:A,Product!E:E,"Bulunamadı")</f>
        <v>1.99</v>
      </c>
      <c r="I5542" s="2" t="str">
        <f t="shared" si="1"/>
        <v>9591 - Law - Interior Design</v>
      </c>
      <c r="J5542" s="2">
        <f t="shared" si="2"/>
        <v>1012.91</v>
      </c>
      <c r="K5542" s="17">
        <f t="shared" si="3"/>
        <v>1</v>
      </c>
      <c r="L5542" s="18"/>
    </row>
    <row r="5543" hidden="1">
      <c r="A5543" s="2">
        <f>IFERROR(__xludf.DUMMYFUNCTION("""COMPUTED_VALUE"""),94040.0)</f>
        <v>94040</v>
      </c>
      <c r="B5543" s="2">
        <f>IFERROR(__xludf.DUMMYFUNCTION("""COMPUTED_VALUE"""),0.0)</f>
        <v>0</v>
      </c>
      <c r="C5543" s="2">
        <f>IFERROR(__xludf.DUMMYFUNCTION("""COMPUTED_VALUE"""),353.0)</f>
        <v>353</v>
      </c>
      <c r="D5543" s="3">
        <f>IFERROR(__xludf.DUMMYFUNCTION("""COMPUTED_VALUE"""),312.0)</f>
        <v>312</v>
      </c>
      <c r="E5543" s="1" t="str">
        <f t="array" ref="E5543">_xlfn.XLOOKUP(A5543,Product!A:A,Product!B:B,"Bulunamadı")</f>
        <v>Law</v>
      </c>
      <c r="F5543" s="1" t="str">
        <f t="array" ref="F5543">_xlfn.XLOOKUP(A5543,Product!A:A,Product!C:C,"Bulunamadı")</f>
        <v>Interior Design</v>
      </c>
      <c r="G5543" s="2" t="str">
        <f t="array" ref="G5543">_xlfn.XLOOKUP(A5544,Product!A:A,Product!D:D,"Bulunamadı")</f>
        <v>Brightwind Publishing House</v>
      </c>
      <c r="H5543" s="2">
        <f t="array" ref="H5543">_xlfn.XLOOKUP(A5545,Product!A:A,Product!E:E,"Bulunamadı")</f>
        <v>0.8</v>
      </c>
      <c r="I5543" s="2" t="str">
        <f t="shared" si="1"/>
        <v>94040 - Law - Interior Design</v>
      </c>
      <c r="J5543" s="2">
        <f t="shared" si="2"/>
        <v>249.6</v>
      </c>
      <c r="K5543" s="17">
        <f t="shared" si="3"/>
        <v>1</v>
      </c>
      <c r="L5543" s="18"/>
    </row>
    <row r="5544" hidden="1">
      <c r="A5544" s="2">
        <f>IFERROR(__xludf.DUMMYFUNCTION("""COMPUTED_VALUE"""),9513.0)</f>
        <v>9513</v>
      </c>
      <c r="B5544" s="2">
        <f>IFERROR(__xludf.DUMMYFUNCTION("""COMPUTED_VALUE"""),0.0)</f>
        <v>0</v>
      </c>
      <c r="C5544" s="2">
        <f>IFERROR(__xludf.DUMMYFUNCTION("""COMPUTED_VALUE"""),788.0)</f>
        <v>788</v>
      </c>
      <c r="D5544" s="3">
        <f>IFERROR(__xludf.DUMMYFUNCTION("""COMPUTED_VALUE"""),429.0)</f>
        <v>429</v>
      </c>
      <c r="E5544" s="1" t="str">
        <f t="array" ref="E5544">_xlfn.XLOOKUP(A5544,Product!A:A,Product!B:B,"Bulunamadı")</f>
        <v>Law</v>
      </c>
      <c r="F5544" s="1" t="str">
        <f t="array" ref="F5544">_xlfn.XLOOKUP(A5544,Product!A:A,Product!C:C,"Bulunamadı")</f>
        <v>Interior Design</v>
      </c>
      <c r="G5544" s="2" t="str">
        <f t="array" ref="G5544">_xlfn.XLOOKUP(A5545,Product!A:A,Product!D:D,"Bulunamadı")</f>
        <v>Brightwind Publishing House</v>
      </c>
      <c r="H5544" s="2">
        <f t="array" ref="H5544">_xlfn.XLOOKUP(A5546,Product!A:A,Product!E:E,"Bulunamadı")</f>
        <v>1.95</v>
      </c>
      <c r="I5544" s="2" t="str">
        <f t="shared" si="1"/>
        <v>9513 - Law - Interior Design</v>
      </c>
      <c r="J5544" s="2">
        <f t="shared" si="2"/>
        <v>836.55</v>
      </c>
      <c r="K5544" s="17">
        <f t="shared" si="3"/>
        <v>1</v>
      </c>
      <c r="L5544" s="18"/>
    </row>
    <row r="5545" hidden="1">
      <c r="A5545" s="2">
        <f>IFERROR(__xludf.DUMMYFUNCTION("""COMPUTED_VALUE"""),121543.0)</f>
        <v>121543</v>
      </c>
      <c r="B5545" s="2">
        <f>IFERROR(__xludf.DUMMYFUNCTION("""COMPUTED_VALUE"""),0.0)</f>
        <v>0</v>
      </c>
      <c r="C5545" s="2">
        <f>IFERROR(__xludf.DUMMYFUNCTION("""COMPUTED_VALUE"""),739.0)</f>
        <v>739</v>
      </c>
      <c r="D5545" s="3">
        <f>IFERROR(__xludf.DUMMYFUNCTION("""COMPUTED_VALUE"""),379.0)</f>
        <v>379</v>
      </c>
      <c r="E5545" s="1" t="str">
        <f t="array" ref="E5545">_xlfn.XLOOKUP(A5545,Product!A:A,Product!B:B,"Bulunamadı")</f>
        <v>Law</v>
      </c>
      <c r="F5545" s="1" t="str">
        <f t="array" ref="F5545">_xlfn.XLOOKUP(A5545,Product!A:A,Product!C:C,"Bulunamadı")</f>
        <v>Interior Design</v>
      </c>
      <c r="G5545" s="2" t="str">
        <f t="array" ref="G5545">_xlfn.XLOOKUP(A5546,Product!A:A,Product!D:D,"Bulunamadı")</f>
        <v>Brightwind Publishing House</v>
      </c>
      <c r="H5545" s="2">
        <f t="array" ref="H5545">_xlfn.XLOOKUP(A5547,Product!A:A,Product!E:E,"Bulunamadı")</f>
        <v>3.13</v>
      </c>
      <c r="I5545" s="2" t="str">
        <f t="shared" si="1"/>
        <v>121543 - Law - Interior Design</v>
      </c>
      <c r="J5545" s="2">
        <f t="shared" si="2"/>
        <v>1186.27</v>
      </c>
      <c r="K5545" s="17">
        <f t="shared" si="3"/>
        <v>1</v>
      </c>
      <c r="L5545" s="18"/>
    </row>
    <row r="5546" hidden="1">
      <c r="A5546" s="2">
        <f>IFERROR(__xludf.DUMMYFUNCTION("""COMPUTED_VALUE"""),164638.0)</f>
        <v>164638</v>
      </c>
      <c r="B5546" s="2">
        <f>IFERROR(__xludf.DUMMYFUNCTION("""COMPUTED_VALUE"""),0.0)</f>
        <v>0</v>
      </c>
      <c r="C5546" s="2">
        <f>IFERROR(__xludf.DUMMYFUNCTION("""COMPUTED_VALUE"""),712.0)</f>
        <v>712</v>
      </c>
      <c r="D5546" s="3">
        <f>IFERROR(__xludf.DUMMYFUNCTION("""COMPUTED_VALUE"""),476.0)</f>
        <v>476</v>
      </c>
      <c r="E5546" s="1" t="str">
        <f t="array" ref="E5546">_xlfn.XLOOKUP(A5546,Product!A:A,Product!B:B,"Bulunamadı")</f>
        <v>Law</v>
      </c>
      <c r="F5546" s="1" t="str">
        <f t="array" ref="F5546">_xlfn.XLOOKUP(A5546,Product!A:A,Product!C:C,"Bulunamadı")</f>
        <v>Interior Design</v>
      </c>
      <c r="G5546" s="2" t="str">
        <f t="array" ref="G5546">_xlfn.XLOOKUP(A5547,Product!A:A,Product!D:D,"Bulunamadı")</f>
        <v>Brightwind Publishing House</v>
      </c>
      <c r="H5546" s="2">
        <f t="array" ref="H5546">_xlfn.XLOOKUP(A5548,Product!A:A,Product!E:E,"Bulunamadı")</f>
        <v>1.68</v>
      </c>
      <c r="I5546" s="2" t="str">
        <f t="shared" si="1"/>
        <v>164638 - Law - Interior Design</v>
      </c>
      <c r="J5546" s="2">
        <f t="shared" si="2"/>
        <v>799.68</v>
      </c>
      <c r="K5546" s="17">
        <f t="shared" si="3"/>
        <v>1</v>
      </c>
      <c r="L5546" s="18"/>
    </row>
    <row r="5547" hidden="1">
      <c r="A5547" s="2">
        <f>IFERROR(__xludf.DUMMYFUNCTION("""COMPUTED_VALUE"""),9554.0)</f>
        <v>9554</v>
      </c>
      <c r="B5547" s="2">
        <f>IFERROR(__xludf.DUMMYFUNCTION("""COMPUTED_VALUE"""),1.0)</f>
        <v>1</v>
      </c>
      <c r="C5547" s="2">
        <f>IFERROR(__xludf.DUMMYFUNCTION("""COMPUTED_VALUE"""),170.0)</f>
        <v>170</v>
      </c>
      <c r="D5547" s="3">
        <f>IFERROR(__xludf.DUMMYFUNCTION("""COMPUTED_VALUE"""),91.0)</f>
        <v>91</v>
      </c>
      <c r="E5547" s="1" t="str">
        <f t="array" ref="E5547">_xlfn.XLOOKUP(A5547,Product!A:A,Product!B:B,"Bulunamadı")</f>
        <v>Law</v>
      </c>
      <c r="F5547" s="1" t="str">
        <f t="array" ref="F5547">_xlfn.XLOOKUP(A5547,Product!A:A,Product!C:C,"Bulunamadı")</f>
        <v>Interior Design</v>
      </c>
      <c r="G5547" s="2" t="str">
        <f t="array" ref="G5547">_xlfn.XLOOKUP(A5548,Product!A:A,Product!D:D,"Bulunamadı")</f>
        <v>Brightwind Publishing House</v>
      </c>
      <c r="H5547" s="2">
        <f t="array" ref="H5547">_xlfn.XLOOKUP(A5549,Product!A:A,Product!E:E,"Bulunamadı")</f>
        <v>1.77</v>
      </c>
      <c r="I5547" s="2" t="str">
        <f t="shared" si="1"/>
        <v>9554 - Law - Interior Design</v>
      </c>
      <c r="J5547" s="2">
        <f t="shared" si="2"/>
        <v>161.07</v>
      </c>
      <c r="K5547" s="17">
        <f t="shared" si="3"/>
        <v>1</v>
      </c>
      <c r="L5547" s="18"/>
    </row>
    <row r="5548" hidden="1">
      <c r="A5548" s="2">
        <f>IFERROR(__xludf.DUMMYFUNCTION("""COMPUTED_VALUE"""),117798.0)</f>
        <v>117798</v>
      </c>
      <c r="B5548" s="2">
        <f>IFERROR(__xludf.DUMMYFUNCTION("""COMPUTED_VALUE"""),1.0)</f>
        <v>1</v>
      </c>
      <c r="C5548" s="2">
        <f>IFERROR(__xludf.DUMMYFUNCTION("""COMPUTED_VALUE"""),504.0)</f>
        <v>504</v>
      </c>
      <c r="D5548" s="3">
        <f>IFERROR(__xludf.DUMMYFUNCTION("""COMPUTED_VALUE"""),463.0)</f>
        <v>463</v>
      </c>
      <c r="E5548" s="1" t="str">
        <f t="array" ref="E5548">_xlfn.XLOOKUP(A5548,Product!A:A,Product!B:B,"Bulunamadı")</f>
        <v>Law</v>
      </c>
      <c r="F5548" s="1" t="str">
        <f t="array" ref="F5548">_xlfn.XLOOKUP(A5548,Product!A:A,Product!C:C,"Bulunamadı")</f>
        <v>Interior Design</v>
      </c>
      <c r="G5548" s="2" t="str">
        <f t="array" ref="G5548">_xlfn.XLOOKUP(A5549,Product!A:A,Product!D:D,"Bulunamadı")</f>
        <v>Brightwind Publishing House</v>
      </c>
      <c r="H5548" s="2">
        <f t="array" ref="H5548">_xlfn.XLOOKUP(A5550,Product!A:A,Product!E:E,"Bulunamadı")</f>
        <v>2.26</v>
      </c>
      <c r="I5548" s="2" t="str">
        <f t="shared" si="1"/>
        <v>117798 - Law - Interior Design</v>
      </c>
      <c r="J5548" s="2">
        <f t="shared" si="2"/>
        <v>1046.38</v>
      </c>
      <c r="K5548" s="17">
        <f t="shared" si="3"/>
        <v>1</v>
      </c>
      <c r="L5548" s="18"/>
    </row>
    <row r="5549" hidden="1">
      <c r="A5549" s="2">
        <f>IFERROR(__xludf.DUMMYFUNCTION("""COMPUTED_VALUE"""),77480.0)</f>
        <v>77480</v>
      </c>
      <c r="B5549" s="2">
        <f>IFERROR(__xludf.DUMMYFUNCTION("""COMPUTED_VALUE"""),1.0)</f>
        <v>1</v>
      </c>
      <c r="C5549" s="2">
        <f>IFERROR(__xludf.DUMMYFUNCTION("""COMPUTED_VALUE"""),198.0)</f>
        <v>198</v>
      </c>
      <c r="D5549" s="3">
        <f>IFERROR(__xludf.DUMMYFUNCTION("""COMPUTED_VALUE"""),184.0)</f>
        <v>184</v>
      </c>
      <c r="E5549" s="1" t="str">
        <f t="array" ref="E5549">_xlfn.XLOOKUP(A5549,Product!A:A,Product!B:B,"Bulunamadı")</f>
        <v>Law</v>
      </c>
      <c r="F5549" s="1" t="str">
        <f t="array" ref="F5549">_xlfn.XLOOKUP(A5549,Product!A:A,Product!C:C,"Bulunamadı")</f>
        <v>Interior Design</v>
      </c>
      <c r="G5549" s="2" t="str">
        <f t="array" ref="G5549">_xlfn.XLOOKUP(A5550,Product!A:A,Product!D:D,"Bulunamadı")</f>
        <v>Brightwind Publishing House</v>
      </c>
      <c r="H5549" s="2">
        <f t="array" ref="H5549">_xlfn.XLOOKUP(A5551,Product!A:A,Product!E:E,"Bulunamadı")</f>
        <v>1.49</v>
      </c>
      <c r="I5549" s="2" t="str">
        <f t="shared" si="1"/>
        <v>77480 - Law - Interior Design</v>
      </c>
      <c r="J5549" s="2">
        <f t="shared" si="2"/>
        <v>274.16</v>
      </c>
      <c r="K5549" s="17">
        <f t="shared" si="3"/>
        <v>1</v>
      </c>
      <c r="L5549" s="18"/>
    </row>
    <row r="5550" hidden="1">
      <c r="A5550" s="2">
        <f>IFERROR(__xludf.DUMMYFUNCTION("""COMPUTED_VALUE"""),9547.0)</f>
        <v>9547</v>
      </c>
      <c r="B5550" s="2">
        <f>IFERROR(__xludf.DUMMYFUNCTION("""COMPUTED_VALUE"""),0.0)</f>
        <v>0</v>
      </c>
      <c r="C5550" s="2">
        <f>IFERROR(__xludf.DUMMYFUNCTION("""COMPUTED_VALUE"""),481.0)</f>
        <v>481</v>
      </c>
      <c r="D5550" s="3">
        <f>IFERROR(__xludf.DUMMYFUNCTION("""COMPUTED_VALUE"""),108.0)</f>
        <v>108</v>
      </c>
      <c r="E5550" s="1" t="str">
        <f t="array" ref="E5550">_xlfn.XLOOKUP(A5550,Product!A:A,Product!B:B,"Bulunamadı")</f>
        <v>Law</v>
      </c>
      <c r="F5550" s="1" t="str">
        <f t="array" ref="F5550">_xlfn.XLOOKUP(A5550,Product!A:A,Product!C:C,"Bulunamadı")</f>
        <v>Interior Design</v>
      </c>
      <c r="G5550" s="2" t="str">
        <f t="array" ref="G5550">_xlfn.XLOOKUP(A5551,Product!A:A,Product!D:D,"Bulunamadı")</f>
        <v>Brightwind Publishing House</v>
      </c>
      <c r="H5550" s="2">
        <f t="array" ref="H5550">_xlfn.XLOOKUP(A5552,Product!A:A,Product!E:E,"Bulunamadı")</f>
        <v>3.45</v>
      </c>
      <c r="I5550" s="2" t="str">
        <f t="shared" si="1"/>
        <v>9547 - Law - Interior Design</v>
      </c>
      <c r="J5550" s="2">
        <f t="shared" si="2"/>
        <v>372.6</v>
      </c>
      <c r="K5550" s="17">
        <f t="shared" si="3"/>
        <v>1</v>
      </c>
      <c r="L5550" s="18"/>
    </row>
    <row r="5551" hidden="1">
      <c r="A5551" s="2">
        <f>IFERROR(__xludf.DUMMYFUNCTION("""COMPUTED_VALUE"""),9551.0)</f>
        <v>9551</v>
      </c>
      <c r="B5551" s="2">
        <f>IFERROR(__xludf.DUMMYFUNCTION("""COMPUTED_VALUE"""),1.0)</f>
        <v>1</v>
      </c>
      <c r="C5551" s="2">
        <f>IFERROR(__xludf.DUMMYFUNCTION("""COMPUTED_VALUE"""),351.0)</f>
        <v>351</v>
      </c>
      <c r="D5551" s="3">
        <f>IFERROR(__xludf.DUMMYFUNCTION("""COMPUTED_VALUE"""),248.0)</f>
        <v>248</v>
      </c>
      <c r="E5551" s="1" t="str">
        <f t="array" ref="E5551">_xlfn.XLOOKUP(A5551,Product!A:A,Product!B:B,"Bulunamadı")</f>
        <v>Law</v>
      </c>
      <c r="F5551" s="1" t="str">
        <f t="array" ref="F5551">_xlfn.XLOOKUP(A5551,Product!A:A,Product!C:C,"Bulunamadı")</f>
        <v>Interior Design</v>
      </c>
      <c r="G5551" s="2" t="str">
        <f t="array" ref="G5551">_xlfn.XLOOKUP(A5552,Product!A:A,Product!D:D,"Bulunamadı")</f>
        <v>Brightwind Publishing House</v>
      </c>
      <c r="H5551" s="2">
        <f t="array" ref="H5551">_xlfn.XLOOKUP(A5553,Product!A:A,Product!E:E,"Bulunamadı")</f>
        <v>10.37</v>
      </c>
      <c r="I5551" s="2" t="str">
        <f t="shared" si="1"/>
        <v>9551 - Law - Interior Design</v>
      </c>
      <c r="J5551" s="2">
        <f t="shared" si="2"/>
        <v>2571.76</v>
      </c>
      <c r="K5551" s="17">
        <f t="shared" si="3"/>
        <v>1</v>
      </c>
      <c r="L5551" s="18"/>
    </row>
    <row r="5552" hidden="1">
      <c r="A5552" s="2">
        <f>IFERROR(__xludf.DUMMYFUNCTION("""COMPUTED_VALUE"""),9514.0)</f>
        <v>9514</v>
      </c>
      <c r="B5552" s="2">
        <f>IFERROR(__xludf.DUMMYFUNCTION("""COMPUTED_VALUE"""),0.0)</f>
        <v>0</v>
      </c>
      <c r="C5552" s="2">
        <f>IFERROR(__xludf.DUMMYFUNCTION("""COMPUTED_VALUE"""),870.0)</f>
        <v>870</v>
      </c>
      <c r="D5552" s="3">
        <f>IFERROR(__xludf.DUMMYFUNCTION("""COMPUTED_VALUE"""),805.0)</f>
        <v>805</v>
      </c>
      <c r="E5552" s="1" t="str">
        <f t="array" ref="E5552">_xlfn.XLOOKUP(A5552,Product!A:A,Product!B:B,"Bulunamadı")</f>
        <v>Law</v>
      </c>
      <c r="F5552" s="1" t="str">
        <f t="array" ref="F5552">_xlfn.XLOOKUP(A5552,Product!A:A,Product!C:C,"Bulunamadı")</f>
        <v>Interior Design</v>
      </c>
      <c r="G5552" s="2" t="str">
        <f t="array" ref="G5552">_xlfn.XLOOKUP(A5553,Product!A:A,Product!D:D,"Bulunamadı")</f>
        <v>Brightwind Publishing House</v>
      </c>
      <c r="H5552" s="2">
        <f t="array" ref="H5552">_xlfn.XLOOKUP(A5554,Product!A:A,Product!E:E,"Bulunamadı")</f>
        <v>4.63</v>
      </c>
      <c r="I5552" s="2" t="str">
        <f t="shared" si="1"/>
        <v>9514 - Law - Interior Design</v>
      </c>
      <c r="J5552" s="2">
        <f t="shared" si="2"/>
        <v>3727.15</v>
      </c>
      <c r="K5552" s="17">
        <f t="shared" si="3"/>
        <v>1</v>
      </c>
      <c r="L5552" s="18"/>
    </row>
    <row r="5553" hidden="1">
      <c r="A5553" s="2">
        <f>IFERROR(__xludf.DUMMYFUNCTION("""COMPUTED_VALUE"""),147310.0)</f>
        <v>147310</v>
      </c>
      <c r="B5553" s="2">
        <f>IFERROR(__xludf.DUMMYFUNCTION("""COMPUTED_VALUE"""),1.0)</f>
        <v>1</v>
      </c>
      <c r="C5553" s="2">
        <f>IFERROR(__xludf.DUMMYFUNCTION("""COMPUTED_VALUE"""),211.0)</f>
        <v>211</v>
      </c>
      <c r="D5553" s="3">
        <f>IFERROR(__xludf.DUMMYFUNCTION("""COMPUTED_VALUE"""),100.0)</f>
        <v>100</v>
      </c>
      <c r="E5553" s="1" t="str">
        <f t="array" ref="E5553">_xlfn.XLOOKUP(A5553,Product!A:A,Product!B:B,"Bulunamadı")</f>
        <v>Law</v>
      </c>
      <c r="F5553" s="1" t="str">
        <f t="array" ref="F5553">_xlfn.XLOOKUP(A5553,Product!A:A,Product!C:C,"Bulunamadı")</f>
        <v>Interior Design</v>
      </c>
      <c r="G5553" s="2" t="str">
        <f t="array" ref="G5553">_xlfn.XLOOKUP(A5554,Product!A:A,Product!D:D,"Bulunamadı")</f>
        <v>Brightwind Publishing House</v>
      </c>
      <c r="H5553" s="2">
        <f t="array" ref="H5553">_xlfn.XLOOKUP(A5555,Product!A:A,Product!E:E,"Bulunamadı")</f>
        <v>3.22</v>
      </c>
      <c r="I5553" s="2" t="str">
        <f t="shared" si="1"/>
        <v>147310 - Law - Interior Design</v>
      </c>
      <c r="J5553" s="2">
        <f t="shared" si="2"/>
        <v>322</v>
      </c>
      <c r="K5553" s="17">
        <f t="shared" si="3"/>
        <v>1</v>
      </c>
      <c r="L5553" s="18"/>
    </row>
    <row r="5554" hidden="1">
      <c r="A5554" s="2">
        <f>IFERROR(__xludf.DUMMYFUNCTION("""COMPUTED_VALUE"""),13865.0)</f>
        <v>13865</v>
      </c>
      <c r="B5554" s="2">
        <f>IFERROR(__xludf.DUMMYFUNCTION("""COMPUTED_VALUE"""),1.0)</f>
        <v>1</v>
      </c>
      <c r="C5554" s="2">
        <f>IFERROR(__xludf.DUMMYFUNCTION("""COMPUTED_VALUE"""),847.0)</f>
        <v>847</v>
      </c>
      <c r="D5554" s="3">
        <f>IFERROR(__xludf.DUMMYFUNCTION("""COMPUTED_VALUE"""),726.0)</f>
        <v>726</v>
      </c>
      <c r="E5554" s="1" t="str">
        <f t="array" ref="E5554">_xlfn.XLOOKUP(A5554,Product!A:A,Product!B:B,"Bulunamadı")</f>
        <v>Law</v>
      </c>
      <c r="F5554" s="1" t="str">
        <f t="array" ref="F5554">_xlfn.XLOOKUP(A5554,Product!A:A,Product!C:C,"Bulunamadı")</f>
        <v>Interior Design</v>
      </c>
      <c r="G5554" s="2" t="str">
        <f t="array" ref="G5554">_xlfn.XLOOKUP(A5555,Product!A:A,Product!D:D,"Bulunamadı")</f>
        <v>Brightwind Publishing House</v>
      </c>
      <c r="H5554" s="2">
        <f t="array" ref="H5554">_xlfn.XLOOKUP(A5556,Product!A:A,Product!E:E,"Bulunamadı")</f>
        <v>2.78</v>
      </c>
      <c r="I5554" s="2" t="str">
        <f t="shared" si="1"/>
        <v>13865 - Law - Interior Design</v>
      </c>
      <c r="J5554" s="2">
        <f t="shared" si="2"/>
        <v>2018.28</v>
      </c>
      <c r="K5554" s="17">
        <f t="shared" si="3"/>
        <v>1</v>
      </c>
      <c r="L5554" s="18"/>
    </row>
    <row r="5555" hidden="1">
      <c r="A5555" s="2">
        <f>IFERROR(__xludf.DUMMYFUNCTION("""COMPUTED_VALUE"""),9521.0)</f>
        <v>9521</v>
      </c>
      <c r="B5555" s="2">
        <f>IFERROR(__xludf.DUMMYFUNCTION("""COMPUTED_VALUE"""),1.0)</f>
        <v>1</v>
      </c>
      <c r="C5555" s="2">
        <f>IFERROR(__xludf.DUMMYFUNCTION("""COMPUTED_VALUE"""),213.0)</f>
        <v>213</v>
      </c>
      <c r="D5555" s="3">
        <f>IFERROR(__xludf.DUMMYFUNCTION("""COMPUTED_VALUE"""),162.0)</f>
        <v>162</v>
      </c>
      <c r="E5555" s="1" t="str">
        <f t="array" ref="E5555">_xlfn.XLOOKUP(A5555,Product!A:A,Product!B:B,"Bulunamadı")</f>
        <v>Law</v>
      </c>
      <c r="F5555" s="1" t="str">
        <f t="array" ref="F5555">_xlfn.XLOOKUP(A5555,Product!A:A,Product!C:C,"Bulunamadı")</f>
        <v>Interior Design</v>
      </c>
      <c r="G5555" s="2" t="str">
        <f t="array" ref="G5555">_xlfn.XLOOKUP(A5556,Product!A:A,Product!D:D,"Bulunamadı")</f>
        <v>Brightwind Publishing House</v>
      </c>
      <c r="H5555" s="2">
        <f t="array" ref="H5555">_xlfn.XLOOKUP(A5557,Product!A:A,Product!E:E,"Bulunamadı")</f>
        <v>2.57</v>
      </c>
      <c r="I5555" s="2" t="str">
        <f t="shared" si="1"/>
        <v>9521 - Law - Interior Design</v>
      </c>
      <c r="J5555" s="2">
        <f t="shared" si="2"/>
        <v>416.34</v>
      </c>
      <c r="K5555" s="17">
        <f t="shared" si="3"/>
        <v>1</v>
      </c>
      <c r="L5555" s="18"/>
    </row>
    <row r="5556" hidden="1">
      <c r="A5556" s="2">
        <f>IFERROR(__xludf.DUMMYFUNCTION("""COMPUTED_VALUE"""),9522.0)</f>
        <v>9522</v>
      </c>
      <c r="B5556" s="2">
        <f>IFERROR(__xludf.DUMMYFUNCTION("""COMPUTED_VALUE"""),1.0)</f>
        <v>1</v>
      </c>
      <c r="C5556" s="2">
        <f>IFERROR(__xludf.DUMMYFUNCTION("""COMPUTED_VALUE"""),53.0)</f>
        <v>53</v>
      </c>
      <c r="D5556" s="3">
        <f>IFERROR(__xludf.DUMMYFUNCTION("""COMPUTED_VALUE"""),29.0)</f>
        <v>29</v>
      </c>
      <c r="E5556" s="1" t="str">
        <f t="array" ref="E5556">_xlfn.XLOOKUP(A5556,Product!A:A,Product!B:B,"Bulunamadı")</f>
        <v>Law</v>
      </c>
      <c r="F5556" s="1" t="str">
        <f t="array" ref="F5556">_xlfn.XLOOKUP(A5556,Product!A:A,Product!C:C,"Bulunamadı")</f>
        <v>Interior Design</v>
      </c>
      <c r="G5556" s="2" t="str">
        <f t="array" ref="G5556">_xlfn.XLOOKUP(A5557,Product!A:A,Product!D:D,"Bulunamadı")</f>
        <v>Brightwind Publishing House</v>
      </c>
      <c r="H5556" s="2">
        <f t="array" ref="H5556">_xlfn.XLOOKUP(A5558,Product!A:A,Product!E:E,"Bulunamadı")</f>
        <v>1.95</v>
      </c>
      <c r="I5556" s="2" t="str">
        <f t="shared" si="1"/>
        <v>9522 - Law - Interior Design</v>
      </c>
      <c r="J5556" s="2">
        <f t="shared" si="2"/>
        <v>56.55</v>
      </c>
      <c r="K5556" s="17">
        <f t="shared" si="3"/>
        <v>1</v>
      </c>
      <c r="L5556" s="18"/>
    </row>
    <row r="5557" hidden="1">
      <c r="A5557" s="2">
        <f>IFERROR(__xludf.DUMMYFUNCTION("""COMPUTED_VALUE"""),94048.0)</f>
        <v>94048</v>
      </c>
      <c r="B5557" s="2">
        <f>IFERROR(__xludf.DUMMYFUNCTION("""COMPUTED_VALUE"""),1.0)</f>
        <v>1</v>
      </c>
      <c r="C5557" s="2">
        <f>IFERROR(__xludf.DUMMYFUNCTION("""COMPUTED_VALUE"""),266.0)</f>
        <v>266</v>
      </c>
      <c r="D5557" s="3">
        <f>IFERROR(__xludf.DUMMYFUNCTION("""COMPUTED_VALUE"""),247.0)</f>
        <v>247</v>
      </c>
      <c r="E5557" s="1" t="str">
        <f t="array" ref="E5557">_xlfn.XLOOKUP(A5557,Product!A:A,Product!B:B,"Bulunamadı")</f>
        <v>Law</v>
      </c>
      <c r="F5557" s="1" t="str">
        <f t="array" ref="F5557">_xlfn.XLOOKUP(A5557,Product!A:A,Product!C:C,"Bulunamadı")</f>
        <v>Interior Design</v>
      </c>
      <c r="G5557" s="2" t="str">
        <f t="array" ref="G5557">_xlfn.XLOOKUP(A5558,Product!A:A,Product!D:D,"Bulunamadı")</f>
        <v>Brightwind Publishing House</v>
      </c>
      <c r="H5557" s="2">
        <f t="array" ref="H5557">_xlfn.XLOOKUP(A5559,Product!A:A,Product!E:E,"Bulunamadı")</f>
        <v>1.96</v>
      </c>
      <c r="I5557" s="2" t="str">
        <f t="shared" si="1"/>
        <v>94048 - Law - Interior Design</v>
      </c>
      <c r="J5557" s="2">
        <f t="shared" si="2"/>
        <v>484.12</v>
      </c>
      <c r="K5557" s="17">
        <f t="shared" si="3"/>
        <v>1</v>
      </c>
      <c r="L5557" s="18"/>
    </row>
    <row r="5558" hidden="1">
      <c r="A5558" s="2">
        <f>IFERROR(__xludf.DUMMYFUNCTION("""COMPUTED_VALUE"""),121549.0)</f>
        <v>121549</v>
      </c>
      <c r="B5558" s="2">
        <f>IFERROR(__xludf.DUMMYFUNCTION("""COMPUTED_VALUE"""),0.0)</f>
        <v>0</v>
      </c>
      <c r="C5558" s="2">
        <f>IFERROR(__xludf.DUMMYFUNCTION("""COMPUTED_VALUE"""),430.0)</f>
        <v>430</v>
      </c>
      <c r="D5558" s="3">
        <f>IFERROR(__xludf.DUMMYFUNCTION("""COMPUTED_VALUE"""),173.0)</f>
        <v>173</v>
      </c>
      <c r="E5558" s="1" t="str">
        <f t="array" ref="E5558">_xlfn.XLOOKUP(A5558,Product!A:A,Product!B:B,"Bulunamadı")</f>
        <v>Law</v>
      </c>
      <c r="F5558" s="1" t="str">
        <f t="array" ref="F5558">_xlfn.XLOOKUP(A5558,Product!A:A,Product!C:C,"Bulunamadı")</f>
        <v>Interior Design</v>
      </c>
      <c r="G5558" s="2" t="str">
        <f t="array" ref="G5558">_xlfn.XLOOKUP(A5559,Product!A:A,Product!D:D,"Bulunamadı")</f>
        <v>Brightwind Publishing House</v>
      </c>
      <c r="H5558" s="2">
        <f t="array" ref="H5558">_xlfn.XLOOKUP(A5560,Product!A:A,Product!E:E,"Bulunamadı")</f>
        <v>2.08</v>
      </c>
      <c r="I5558" s="2" t="str">
        <f t="shared" si="1"/>
        <v>121549 - Law - Interior Design</v>
      </c>
      <c r="J5558" s="2">
        <f t="shared" si="2"/>
        <v>359.84</v>
      </c>
      <c r="K5558" s="17">
        <f t="shared" si="3"/>
        <v>1</v>
      </c>
      <c r="L5558" s="18"/>
    </row>
    <row r="5559" hidden="1">
      <c r="A5559" s="2">
        <f>IFERROR(__xludf.DUMMYFUNCTION("""COMPUTED_VALUE"""),9593.0)</f>
        <v>9593</v>
      </c>
      <c r="B5559" s="2">
        <f>IFERROR(__xludf.DUMMYFUNCTION("""COMPUTED_VALUE"""),0.0)</f>
        <v>0</v>
      </c>
      <c r="C5559" s="2">
        <f>IFERROR(__xludf.DUMMYFUNCTION("""COMPUTED_VALUE"""),348.0)</f>
        <v>348</v>
      </c>
      <c r="D5559" s="3">
        <f>IFERROR(__xludf.DUMMYFUNCTION("""COMPUTED_VALUE"""),237.0)</f>
        <v>237</v>
      </c>
      <c r="E5559" s="1" t="str">
        <f t="array" ref="E5559">_xlfn.XLOOKUP(A5559,Product!A:A,Product!B:B,"Bulunamadı")</f>
        <v>Law</v>
      </c>
      <c r="F5559" s="1" t="str">
        <f t="array" ref="F5559">_xlfn.XLOOKUP(A5559,Product!A:A,Product!C:C,"Bulunamadı")</f>
        <v>Interior Design</v>
      </c>
      <c r="G5559" s="2" t="str">
        <f t="array" ref="G5559">_xlfn.XLOOKUP(A5560,Product!A:A,Product!D:D,"Bulunamadı")</f>
        <v>Brightwind Publishing House</v>
      </c>
      <c r="H5559" s="2">
        <f t="array" ref="H5559">_xlfn.XLOOKUP(A5561,Product!A:A,Product!E:E,"Bulunamadı")</f>
        <v>2</v>
      </c>
      <c r="I5559" s="2" t="str">
        <f t="shared" si="1"/>
        <v>9593 - Law - Interior Design</v>
      </c>
      <c r="J5559" s="2">
        <f t="shared" si="2"/>
        <v>474</v>
      </c>
      <c r="K5559" s="17">
        <f t="shared" si="3"/>
        <v>1</v>
      </c>
      <c r="L5559" s="18"/>
    </row>
    <row r="5560" hidden="1">
      <c r="A5560" s="2">
        <f>IFERROR(__xludf.DUMMYFUNCTION("""COMPUTED_VALUE"""),119247.0)</f>
        <v>119247</v>
      </c>
      <c r="B5560" s="2">
        <f>IFERROR(__xludf.DUMMYFUNCTION("""COMPUTED_VALUE"""),0.0)</f>
        <v>0</v>
      </c>
      <c r="C5560" s="2">
        <f>IFERROR(__xludf.DUMMYFUNCTION("""COMPUTED_VALUE"""),859.0)</f>
        <v>859</v>
      </c>
      <c r="D5560" s="3">
        <f>IFERROR(__xludf.DUMMYFUNCTION("""COMPUTED_VALUE"""),195.0)</f>
        <v>195</v>
      </c>
      <c r="E5560" s="1" t="str">
        <f t="array" ref="E5560">_xlfn.XLOOKUP(A5560,Product!A:A,Product!B:B,"Bulunamadı")</f>
        <v>Law</v>
      </c>
      <c r="F5560" s="1" t="str">
        <f t="array" ref="F5560">_xlfn.XLOOKUP(A5560,Product!A:A,Product!C:C,"Bulunamadı")</f>
        <v>Interior Design</v>
      </c>
      <c r="G5560" s="2" t="str">
        <f t="array" ref="G5560">_xlfn.XLOOKUP(A5561,Product!A:A,Product!D:D,"Bulunamadı")</f>
        <v>Brightwind Publishing House</v>
      </c>
      <c r="H5560" s="2">
        <f t="array" ref="H5560">_xlfn.XLOOKUP(A5562,Product!A:A,Product!E:E,"Bulunamadı")</f>
        <v>1.74</v>
      </c>
      <c r="I5560" s="2" t="str">
        <f t="shared" si="1"/>
        <v>119247 - Law - Interior Design</v>
      </c>
      <c r="J5560" s="2">
        <f t="shared" si="2"/>
        <v>339.3</v>
      </c>
      <c r="K5560" s="17">
        <f t="shared" si="3"/>
        <v>1</v>
      </c>
      <c r="L5560" s="18"/>
    </row>
    <row r="5561" hidden="1">
      <c r="A5561" s="2">
        <f>IFERROR(__xludf.DUMMYFUNCTION("""COMPUTED_VALUE"""),9516.0)</f>
        <v>9516</v>
      </c>
      <c r="B5561" s="2">
        <f>IFERROR(__xludf.DUMMYFUNCTION("""COMPUTED_VALUE"""),1.0)</f>
        <v>1</v>
      </c>
      <c r="C5561" s="2">
        <f>IFERROR(__xludf.DUMMYFUNCTION("""COMPUTED_VALUE"""),683.0)</f>
        <v>683</v>
      </c>
      <c r="D5561" s="3">
        <f>IFERROR(__xludf.DUMMYFUNCTION("""COMPUTED_VALUE"""),399.0)</f>
        <v>399</v>
      </c>
      <c r="E5561" s="1" t="str">
        <f t="array" ref="E5561">_xlfn.XLOOKUP(A5561,Product!A:A,Product!B:B,"Bulunamadı")</f>
        <v>Law</v>
      </c>
      <c r="F5561" s="1" t="str">
        <f t="array" ref="F5561">_xlfn.XLOOKUP(A5561,Product!A:A,Product!C:C,"Bulunamadı")</f>
        <v>Interior Design</v>
      </c>
      <c r="G5561" s="2" t="str">
        <f t="array" ref="G5561">_xlfn.XLOOKUP(A5562,Product!A:A,Product!D:D,"Bulunamadı")</f>
        <v>Brightwind Publishing House</v>
      </c>
      <c r="H5561" s="2">
        <f t="array" ref="H5561">_xlfn.XLOOKUP(A5563,Product!A:A,Product!E:E,"Bulunamadı")</f>
        <v>4.45</v>
      </c>
      <c r="I5561" s="2" t="str">
        <f t="shared" si="1"/>
        <v>9516 - Law - Interior Design</v>
      </c>
      <c r="J5561" s="2">
        <f t="shared" si="2"/>
        <v>1775.55</v>
      </c>
      <c r="K5561" s="17">
        <f t="shared" si="3"/>
        <v>1</v>
      </c>
      <c r="L5561" s="18"/>
    </row>
    <row r="5562" hidden="1">
      <c r="A5562" s="2">
        <f>IFERROR(__xludf.DUMMYFUNCTION("""COMPUTED_VALUE"""),193265.0)</f>
        <v>193265</v>
      </c>
      <c r="B5562" s="2">
        <f>IFERROR(__xludf.DUMMYFUNCTION("""COMPUTED_VALUE"""),1.0)</f>
        <v>1</v>
      </c>
      <c r="C5562" s="2">
        <f>IFERROR(__xludf.DUMMYFUNCTION("""COMPUTED_VALUE"""),753.0)</f>
        <v>753</v>
      </c>
      <c r="D5562" s="3">
        <f>IFERROR(__xludf.DUMMYFUNCTION("""COMPUTED_VALUE"""),528.0)</f>
        <v>528</v>
      </c>
      <c r="E5562" s="1" t="str">
        <f t="array" ref="E5562">_xlfn.XLOOKUP(A5562,Product!A:A,Product!B:B,"Bulunamadı")</f>
        <v>Law</v>
      </c>
      <c r="F5562" s="1" t="str">
        <f t="array" ref="F5562">_xlfn.XLOOKUP(A5562,Product!A:A,Product!C:C,"Bulunamadı")</f>
        <v>Interior Design</v>
      </c>
      <c r="G5562" s="2" t="str">
        <f t="array" ref="G5562">_xlfn.XLOOKUP(A5563,Product!A:A,Product!D:D,"Bulunamadı")</f>
        <v>Brightwind Publishing House</v>
      </c>
      <c r="H5562" s="2">
        <f t="array" ref="H5562">_xlfn.XLOOKUP(A5564,Product!A:A,Product!E:E,"Bulunamadı")</f>
        <v>4.88</v>
      </c>
      <c r="I5562" s="2" t="str">
        <f t="shared" si="1"/>
        <v>193265 - Law - Interior Design</v>
      </c>
      <c r="J5562" s="2">
        <f t="shared" si="2"/>
        <v>2576.64</v>
      </c>
      <c r="K5562" s="17">
        <f t="shared" si="3"/>
        <v>1</v>
      </c>
      <c r="L5562" s="18"/>
    </row>
    <row r="5563" hidden="1">
      <c r="A5563" s="2">
        <f>IFERROR(__xludf.DUMMYFUNCTION("""COMPUTED_VALUE"""),13869.0)</f>
        <v>13869</v>
      </c>
      <c r="B5563" s="2">
        <f>IFERROR(__xludf.DUMMYFUNCTION("""COMPUTED_VALUE"""),1.0)</f>
        <v>1</v>
      </c>
      <c r="C5563" s="2">
        <f>IFERROR(__xludf.DUMMYFUNCTION("""COMPUTED_VALUE"""),311.0)</f>
        <v>311</v>
      </c>
      <c r="D5563" s="3">
        <f>IFERROR(__xludf.DUMMYFUNCTION("""COMPUTED_VALUE"""),226.0)</f>
        <v>226</v>
      </c>
      <c r="E5563" s="1" t="str">
        <f t="array" ref="E5563">_xlfn.XLOOKUP(A5563,Product!A:A,Product!B:B,"Bulunamadı")</f>
        <v>Law</v>
      </c>
      <c r="F5563" s="1" t="str">
        <f t="array" ref="F5563">_xlfn.XLOOKUP(A5563,Product!A:A,Product!C:C,"Bulunamadı")</f>
        <v>Interior Design</v>
      </c>
      <c r="G5563" s="2" t="str">
        <f t="array" ref="G5563">_xlfn.XLOOKUP(A5564,Product!A:A,Product!D:D,"Bulunamadı")</f>
        <v>Brightwind Publishing House</v>
      </c>
      <c r="H5563" s="2">
        <f t="array" ref="H5563">_xlfn.XLOOKUP(A5565,Product!A:A,Product!E:E,"Bulunamadı")</f>
        <v>3</v>
      </c>
      <c r="I5563" s="2" t="str">
        <f t="shared" si="1"/>
        <v>13869 - Law - Interior Design</v>
      </c>
      <c r="J5563" s="2">
        <f t="shared" si="2"/>
        <v>678</v>
      </c>
      <c r="K5563" s="17">
        <f t="shared" si="3"/>
        <v>1</v>
      </c>
      <c r="L5563" s="18"/>
    </row>
    <row r="5564" hidden="1">
      <c r="A5564" s="2">
        <f>IFERROR(__xludf.DUMMYFUNCTION("""COMPUTED_VALUE"""),13877.0)</f>
        <v>13877</v>
      </c>
      <c r="B5564" s="2">
        <f>IFERROR(__xludf.DUMMYFUNCTION("""COMPUTED_VALUE"""),1.0)</f>
        <v>1</v>
      </c>
      <c r="C5564" s="2">
        <f>IFERROR(__xludf.DUMMYFUNCTION("""COMPUTED_VALUE"""),185.0)</f>
        <v>185</v>
      </c>
      <c r="D5564" s="3">
        <f>IFERROR(__xludf.DUMMYFUNCTION("""COMPUTED_VALUE"""),69.0)</f>
        <v>69</v>
      </c>
      <c r="E5564" s="1" t="str">
        <f t="array" ref="E5564">_xlfn.XLOOKUP(A5564,Product!A:A,Product!B:B,"Bulunamadı")</f>
        <v>Law</v>
      </c>
      <c r="F5564" s="1" t="str">
        <f t="array" ref="F5564">_xlfn.XLOOKUP(A5564,Product!A:A,Product!C:C,"Bulunamadı")</f>
        <v>Interior Design</v>
      </c>
      <c r="G5564" s="2" t="str">
        <f t="array" ref="G5564">_xlfn.XLOOKUP(A5565,Product!A:A,Product!D:D,"Bulunamadı")</f>
        <v>Brightwind Publishing House</v>
      </c>
      <c r="H5564" s="2">
        <f t="array" ref="H5564">_xlfn.XLOOKUP(A5566,Product!A:A,Product!E:E,"Bulunamadı")</f>
        <v>1.16</v>
      </c>
      <c r="I5564" s="2" t="str">
        <f t="shared" si="1"/>
        <v>13877 - Law - Interior Design</v>
      </c>
      <c r="J5564" s="2">
        <f t="shared" si="2"/>
        <v>80.04</v>
      </c>
      <c r="K5564" s="17">
        <f t="shared" si="3"/>
        <v>1</v>
      </c>
      <c r="L5564" s="18"/>
    </row>
    <row r="5565" hidden="1">
      <c r="A5565" s="2">
        <f>IFERROR(__xludf.DUMMYFUNCTION("""COMPUTED_VALUE"""),9493.0)</f>
        <v>9493</v>
      </c>
      <c r="B5565" s="2">
        <f>IFERROR(__xludf.DUMMYFUNCTION("""COMPUTED_VALUE"""),0.0)</f>
        <v>0</v>
      </c>
      <c r="C5565" s="2">
        <f>IFERROR(__xludf.DUMMYFUNCTION("""COMPUTED_VALUE"""),584.0)</f>
        <v>584</v>
      </c>
      <c r="D5565" s="3">
        <f>IFERROR(__xludf.DUMMYFUNCTION("""COMPUTED_VALUE"""),167.0)</f>
        <v>167</v>
      </c>
      <c r="E5565" s="1" t="str">
        <f t="array" ref="E5565">_xlfn.XLOOKUP(A5565,Product!A:A,Product!B:B,"Bulunamadı")</f>
        <v>Law</v>
      </c>
      <c r="F5565" s="1" t="str">
        <f t="array" ref="F5565">_xlfn.XLOOKUP(A5565,Product!A:A,Product!C:C,"Bulunamadı")</f>
        <v>Interior Design</v>
      </c>
      <c r="G5565" s="2" t="str">
        <f t="array" ref="G5565">_xlfn.XLOOKUP(A5566,Product!A:A,Product!D:D,"Bulunamadı")</f>
        <v>Brightwind Publishing House</v>
      </c>
      <c r="H5565" s="2">
        <f t="array" ref="H5565">_xlfn.XLOOKUP(A5567,Product!A:A,Product!E:E,"Bulunamadı")</f>
        <v>1.12</v>
      </c>
      <c r="I5565" s="2" t="str">
        <f t="shared" si="1"/>
        <v>9493 - Law - Interior Design</v>
      </c>
      <c r="J5565" s="2">
        <f t="shared" si="2"/>
        <v>187.04</v>
      </c>
      <c r="K5565" s="17">
        <f t="shared" si="3"/>
        <v>1</v>
      </c>
      <c r="L5565" s="18"/>
    </row>
    <row r="5566" hidden="1">
      <c r="A5566" s="2">
        <f>IFERROR(__xludf.DUMMYFUNCTION("""COMPUTED_VALUE"""),9502.0)</f>
        <v>9502</v>
      </c>
      <c r="B5566" s="2">
        <f>IFERROR(__xludf.DUMMYFUNCTION("""COMPUTED_VALUE"""),0.0)</f>
        <v>0</v>
      </c>
      <c r="C5566" s="2">
        <f>IFERROR(__xludf.DUMMYFUNCTION("""COMPUTED_VALUE"""),527.0)</f>
        <v>527</v>
      </c>
      <c r="D5566" s="3">
        <f>IFERROR(__xludf.DUMMYFUNCTION("""COMPUTED_VALUE"""),309.0)</f>
        <v>309</v>
      </c>
      <c r="E5566" s="1" t="str">
        <f t="array" ref="E5566">_xlfn.XLOOKUP(A5566,Product!A:A,Product!B:B,"Bulunamadı")</f>
        <v>Law</v>
      </c>
      <c r="F5566" s="1" t="str">
        <f t="array" ref="F5566">_xlfn.XLOOKUP(A5566,Product!A:A,Product!C:C,"Bulunamadı")</f>
        <v>Interior Design</v>
      </c>
      <c r="G5566" s="2" t="str">
        <f t="array" ref="G5566">_xlfn.XLOOKUP(A5567,Product!A:A,Product!D:D,"Bulunamadı")</f>
        <v>Brightwind Publishing House</v>
      </c>
      <c r="H5566" s="2">
        <f t="array" ref="H5566">_xlfn.XLOOKUP(A5568,Product!A:A,Product!E:E,"Bulunamadı")</f>
        <v>6.83</v>
      </c>
      <c r="I5566" s="2" t="str">
        <f t="shared" si="1"/>
        <v>9502 - Law - Interior Design</v>
      </c>
      <c r="J5566" s="2">
        <f t="shared" si="2"/>
        <v>2110.47</v>
      </c>
      <c r="K5566" s="17">
        <f t="shared" si="3"/>
        <v>1</v>
      </c>
      <c r="L5566" s="18"/>
    </row>
    <row r="5567" hidden="1">
      <c r="A5567" s="2">
        <f>IFERROR(__xludf.DUMMYFUNCTION("""COMPUTED_VALUE"""),147301.0)</f>
        <v>147301</v>
      </c>
      <c r="B5567" s="2">
        <f>IFERROR(__xludf.DUMMYFUNCTION("""COMPUTED_VALUE"""),1.0)</f>
        <v>1</v>
      </c>
      <c r="C5567" s="2">
        <f>IFERROR(__xludf.DUMMYFUNCTION("""COMPUTED_VALUE"""),330.0)</f>
        <v>330</v>
      </c>
      <c r="D5567" s="3">
        <f>IFERROR(__xludf.DUMMYFUNCTION("""COMPUTED_VALUE"""),281.0)</f>
        <v>281</v>
      </c>
      <c r="E5567" s="1" t="str">
        <f t="array" ref="E5567">_xlfn.XLOOKUP(A5567,Product!A:A,Product!B:B,"Bulunamadı")</f>
        <v>Law</v>
      </c>
      <c r="F5567" s="1" t="str">
        <f t="array" ref="F5567">_xlfn.XLOOKUP(A5567,Product!A:A,Product!C:C,"Bulunamadı")</f>
        <v>Interior Design</v>
      </c>
      <c r="G5567" s="2" t="str">
        <f t="array" ref="G5567">_xlfn.XLOOKUP(A5568,Product!A:A,Product!D:D,"Bulunamadı")</f>
        <v>Brightwind Publishing House</v>
      </c>
      <c r="H5567" s="2">
        <f t="array" ref="H5567">_xlfn.XLOOKUP(A5569,Product!A:A,Product!E:E,"Bulunamadı")</f>
        <v>1.64</v>
      </c>
      <c r="I5567" s="2" t="str">
        <f t="shared" si="1"/>
        <v>147301 - Law - Interior Design</v>
      </c>
      <c r="J5567" s="2">
        <f t="shared" si="2"/>
        <v>460.84</v>
      </c>
      <c r="K5567" s="17">
        <f t="shared" si="3"/>
        <v>1</v>
      </c>
      <c r="L5567" s="18"/>
    </row>
    <row r="5568" hidden="1">
      <c r="A5568" s="2">
        <f>IFERROR(__xludf.DUMMYFUNCTION("""COMPUTED_VALUE"""),30569.0)</f>
        <v>30569</v>
      </c>
      <c r="B5568" s="2">
        <f>IFERROR(__xludf.DUMMYFUNCTION("""COMPUTED_VALUE"""),1.0)</f>
        <v>1</v>
      </c>
      <c r="C5568" s="2">
        <f>IFERROR(__xludf.DUMMYFUNCTION("""COMPUTED_VALUE"""),115.0)</f>
        <v>115</v>
      </c>
      <c r="D5568" s="3">
        <f>IFERROR(__xludf.DUMMYFUNCTION("""COMPUTED_VALUE"""),106.0)</f>
        <v>106</v>
      </c>
      <c r="E5568" s="1" t="str">
        <f t="array" ref="E5568">_xlfn.XLOOKUP(A5568,Product!A:A,Product!B:B,"Bulunamadı")</f>
        <v>Law</v>
      </c>
      <c r="F5568" s="1" t="str">
        <f t="array" ref="F5568">_xlfn.XLOOKUP(A5568,Product!A:A,Product!C:C,"Bulunamadı")</f>
        <v>Interior Design</v>
      </c>
      <c r="G5568" s="2" t="str">
        <f t="array" ref="G5568">_xlfn.XLOOKUP(A5569,Product!A:A,Product!D:D,"Bulunamadı")</f>
        <v>Brightwind Publishing House</v>
      </c>
      <c r="H5568" s="2">
        <f t="array" ref="H5568">_xlfn.XLOOKUP(A5570,Product!A:A,Product!E:E,"Bulunamadı")</f>
        <v>4.69</v>
      </c>
      <c r="I5568" s="2" t="str">
        <f t="shared" si="1"/>
        <v>30569 - Law - Interior Design</v>
      </c>
      <c r="J5568" s="2">
        <f t="shared" si="2"/>
        <v>497.14</v>
      </c>
      <c r="K5568" s="17">
        <f t="shared" si="3"/>
        <v>1</v>
      </c>
      <c r="L5568" s="18"/>
    </row>
    <row r="5569" hidden="1">
      <c r="A5569" s="2">
        <f>IFERROR(__xludf.DUMMYFUNCTION("""COMPUTED_VALUE"""),112190.0)</f>
        <v>112190</v>
      </c>
      <c r="B5569" s="2">
        <f>IFERROR(__xludf.DUMMYFUNCTION("""COMPUTED_VALUE"""),0.0)</f>
        <v>0</v>
      </c>
      <c r="C5569" s="2">
        <f>IFERROR(__xludf.DUMMYFUNCTION("""COMPUTED_VALUE"""),863.0)</f>
        <v>863</v>
      </c>
      <c r="D5569" s="3">
        <f>IFERROR(__xludf.DUMMYFUNCTION("""COMPUTED_VALUE"""),353.0)</f>
        <v>353</v>
      </c>
      <c r="E5569" s="1" t="str">
        <f t="array" ref="E5569">_xlfn.XLOOKUP(A5569,Product!A:A,Product!B:B,"Bulunamadı")</f>
        <v>Law</v>
      </c>
      <c r="F5569" s="1" t="str">
        <f t="array" ref="F5569">_xlfn.XLOOKUP(A5569,Product!A:A,Product!C:C,"Bulunamadı")</f>
        <v>Interior Design</v>
      </c>
      <c r="G5569" s="2" t="str">
        <f t="array" ref="G5569">_xlfn.XLOOKUP(A5570,Product!A:A,Product!D:D,"Bulunamadı")</f>
        <v>Brightwind Publishing House</v>
      </c>
      <c r="H5569" s="2">
        <f t="array" ref="H5569">_xlfn.XLOOKUP(A5571,Product!A:A,Product!E:E,"Bulunamadı")</f>
        <v>1.65</v>
      </c>
      <c r="I5569" s="2" t="str">
        <f t="shared" si="1"/>
        <v>112190 - Law - Interior Design</v>
      </c>
      <c r="J5569" s="2">
        <f t="shared" si="2"/>
        <v>582.45</v>
      </c>
      <c r="K5569" s="17">
        <f t="shared" si="3"/>
        <v>1</v>
      </c>
      <c r="L5569" s="18"/>
    </row>
    <row r="5570" hidden="1">
      <c r="A5570" s="2">
        <f>IFERROR(__xludf.DUMMYFUNCTION("""COMPUTED_VALUE"""),110833.0)</f>
        <v>110833</v>
      </c>
      <c r="B5570" s="2">
        <f>IFERROR(__xludf.DUMMYFUNCTION("""COMPUTED_VALUE"""),1.0)</f>
        <v>1</v>
      </c>
      <c r="C5570" s="2">
        <f>IFERROR(__xludf.DUMMYFUNCTION("""COMPUTED_VALUE"""),504.0)</f>
        <v>504</v>
      </c>
      <c r="D5570" s="3">
        <f>IFERROR(__xludf.DUMMYFUNCTION("""COMPUTED_VALUE"""),322.0)</f>
        <v>322</v>
      </c>
      <c r="E5570" s="1" t="str">
        <f t="array" ref="E5570">_xlfn.XLOOKUP(A5570,Product!A:A,Product!B:B,"Bulunamadı")</f>
        <v>Law</v>
      </c>
      <c r="F5570" s="1" t="str">
        <f t="array" ref="F5570">_xlfn.XLOOKUP(A5570,Product!A:A,Product!C:C,"Bulunamadı")</f>
        <v>Interior Design</v>
      </c>
      <c r="G5570" s="2" t="str">
        <f t="array" ref="G5570">_xlfn.XLOOKUP(A5571,Product!A:A,Product!D:D,"Bulunamadı")</f>
        <v>Brightwind Publishing House</v>
      </c>
      <c r="H5570" s="2">
        <f t="array" ref="H5570">_xlfn.XLOOKUP(A5572,Product!A:A,Product!E:E,"Bulunamadı")</f>
        <v>2.3</v>
      </c>
      <c r="I5570" s="2" t="str">
        <f t="shared" si="1"/>
        <v>110833 - Law - Interior Design</v>
      </c>
      <c r="J5570" s="2">
        <f t="shared" si="2"/>
        <v>740.6</v>
      </c>
      <c r="K5570" s="17">
        <f t="shared" si="3"/>
        <v>1</v>
      </c>
      <c r="L5570" s="18"/>
    </row>
    <row r="5571" hidden="1">
      <c r="A5571" s="2">
        <f>IFERROR(__xludf.DUMMYFUNCTION("""COMPUTED_VALUE"""),9505.0)</f>
        <v>9505</v>
      </c>
      <c r="B5571" s="2">
        <f>IFERROR(__xludf.DUMMYFUNCTION("""COMPUTED_VALUE"""),0.0)</f>
        <v>0</v>
      </c>
      <c r="C5571" s="2">
        <f>IFERROR(__xludf.DUMMYFUNCTION("""COMPUTED_VALUE"""),333.0)</f>
        <v>333</v>
      </c>
      <c r="D5571" s="3">
        <f>IFERROR(__xludf.DUMMYFUNCTION("""COMPUTED_VALUE"""),210.0)</f>
        <v>210</v>
      </c>
      <c r="E5571" s="1" t="str">
        <f t="array" ref="E5571">_xlfn.XLOOKUP(A5571,Product!A:A,Product!B:B,"Bulunamadı")</f>
        <v>Law</v>
      </c>
      <c r="F5571" s="1" t="str">
        <f t="array" ref="F5571">_xlfn.XLOOKUP(A5571,Product!A:A,Product!C:C,"Bulunamadı")</f>
        <v>Interior Design</v>
      </c>
      <c r="G5571" s="2" t="str">
        <f t="array" ref="G5571">_xlfn.XLOOKUP(A5572,Product!A:A,Product!D:D,"Bulunamadı")</f>
        <v>Brightwind Publishing House</v>
      </c>
      <c r="H5571" s="2">
        <f t="array" ref="H5571">_xlfn.XLOOKUP(A5573,Product!A:A,Product!E:E,"Bulunamadı")</f>
        <v>7.12</v>
      </c>
      <c r="I5571" s="2" t="str">
        <f t="shared" si="1"/>
        <v>9505 - Law - Interior Design</v>
      </c>
      <c r="J5571" s="2">
        <f t="shared" si="2"/>
        <v>1495.2</v>
      </c>
      <c r="K5571" s="17">
        <f t="shared" si="3"/>
        <v>1</v>
      </c>
      <c r="L5571" s="18"/>
    </row>
    <row r="5572" hidden="1">
      <c r="A5572" s="2">
        <f>IFERROR(__xludf.DUMMYFUNCTION("""COMPUTED_VALUE"""),119248.0)</f>
        <v>119248</v>
      </c>
      <c r="B5572" s="2">
        <f>IFERROR(__xludf.DUMMYFUNCTION("""COMPUTED_VALUE"""),0.0)</f>
        <v>0</v>
      </c>
      <c r="C5572" s="2">
        <f>IFERROR(__xludf.DUMMYFUNCTION("""COMPUTED_VALUE"""),72.0)</f>
        <v>72</v>
      </c>
      <c r="D5572" s="3">
        <f>IFERROR(__xludf.DUMMYFUNCTION("""COMPUTED_VALUE"""),6.0)</f>
        <v>6</v>
      </c>
      <c r="E5572" s="1" t="str">
        <f t="array" ref="E5572">_xlfn.XLOOKUP(A5572,Product!A:A,Product!B:B,"Bulunamadı")</f>
        <v>Law</v>
      </c>
      <c r="F5572" s="1" t="str">
        <f t="array" ref="F5572">_xlfn.XLOOKUP(A5572,Product!A:A,Product!C:C,"Bulunamadı")</f>
        <v>Interior Design</v>
      </c>
      <c r="G5572" s="2" t="str">
        <f t="array" ref="G5572">_xlfn.XLOOKUP(A5573,Product!A:A,Product!D:D,"Bulunamadı")</f>
        <v>Brightwind Publishing House</v>
      </c>
      <c r="H5572" s="2">
        <f t="array" ref="H5572">_xlfn.XLOOKUP(A5574,Product!A:A,Product!E:E,"Bulunamadı")</f>
        <v>1.51</v>
      </c>
      <c r="I5572" s="2" t="str">
        <f t="shared" si="1"/>
        <v>119248 - Law - Interior Design</v>
      </c>
      <c r="J5572" s="2">
        <f t="shared" si="2"/>
        <v>9.06</v>
      </c>
      <c r="K5572" s="17">
        <f t="shared" si="3"/>
        <v>1</v>
      </c>
      <c r="L5572" s="18"/>
    </row>
    <row r="5573" hidden="1">
      <c r="A5573" s="2">
        <f>IFERROR(__xludf.DUMMYFUNCTION("""COMPUTED_VALUE"""),147306.0)</f>
        <v>147306</v>
      </c>
      <c r="B5573" s="2">
        <f>IFERROR(__xludf.DUMMYFUNCTION("""COMPUTED_VALUE"""),1.0)</f>
        <v>1</v>
      </c>
      <c r="C5573" s="2">
        <f>IFERROR(__xludf.DUMMYFUNCTION("""COMPUTED_VALUE"""),0.0)</f>
        <v>0</v>
      </c>
      <c r="D5573" s="3">
        <f>IFERROR(__xludf.DUMMYFUNCTION("""COMPUTED_VALUE"""),0.0)</f>
        <v>0</v>
      </c>
      <c r="E5573" s="1" t="str">
        <f t="array" ref="E5573">_xlfn.XLOOKUP(A5573,Product!A:A,Product!B:B,"Bulunamadı")</f>
        <v>Law</v>
      </c>
      <c r="F5573" s="1" t="str">
        <f t="array" ref="F5573">_xlfn.XLOOKUP(A5573,Product!A:A,Product!C:C,"Bulunamadı")</f>
        <v>Interior Design</v>
      </c>
      <c r="G5573" s="2" t="str">
        <f t="array" ref="G5573">_xlfn.XLOOKUP(A5574,Product!A:A,Product!D:D,"Bulunamadı")</f>
        <v>Brightwind Publishing House</v>
      </c>
      <c r="H5573" s="2">
        <f t="array" ref="H5573">_xlfn.XLOOKUP(A5575,Product!A:A,Product!E:E,"Bulunamadı")</f>
        <v>1.63</v>
      </c>
      <c r="I5573" s="2" t="str">
        <f t="shared" si="1"/>
        <v>147306 - Law - Interior Design</v>
      </c>
      <c r="J5573" s="2">
        <f t="shared" si="2"/>
        <v>0</v>
      </c>
      <c r="K5573" s="17">
        <f t="shared" si="3"/>
        <v>0</v>
      </c>
      <c r="L5573" s="18"/>
    </row>
    <row r="5574" hidden="1">
      <c r="A5574" s="2">
        <f>IFERROR(__xludf.DUMMYFUNCTION("""COMPUTED_VALUE"""),77425.0)</f>
        <v>77425</v>
      </c>
      <c r="B5574" s="2">
        <f>IFERROR(__xludf.DUMMYFUNCTION("""COMPUTED_VALUE"""),1.0)</f>
        <v>1</v>
      </c>
      <c r="C5574" s="2">
        <f>IFERROR(__xludf.DUMMYFUNCTION("""COMPUTED_VALUE"""),447.0)</f>
        <v>447</v>
      </c>
      <c r="D5574" s="3">
        <f>IFERROR(__xludf.DUMMYFUNCTION("""COMPUTED_VALUE"""),359.0)</f>
        <v>359</v>
      </c>
      <c r="E5574" s="1" t="str">
        <f t="array" ref="E5574">_xlfn.XLOOKUP(A5574,Product!A:A,Product!B:B,"Bulunamadı")</f>
        <v>Law</v>
      </c>
      <c r="F5574" s="1" t="str">
        <f t="array" ref="F5574">_xlfn.XLOOKUP(A5574,Product!A:A,Product!C:C,"Bulunamadı")</f>
        <v>Interior Design</v>
      </c>
      <c r="G5574" s="2" t="str">
        <f t="array" ref="G5574">_xlfn.XLOOKUP(A5575,Product!A:A,Product!D:D,"Bulunamadı")</f>
        <v>Brightwind Publishing House</v>
      </c>
      <c r="H5574" s="2">
        <f t="array" ref="H5574">_xlfn.XLOOKUP(A5576,Product!A:A,Product!E:E,"Bulunamadı")</f>
        <v>2.19</v>
      </c>
      <c r="I5574" s="2" t="str">
        <f t="shared" si="1"/>
        <v>77425 - Law - Interior Design</v>
      </c>
      <c r="J5574" s="2">
        <f t="shared" si="2"/>
        <v>786.21</v>
      </c>
      <c r="K5574" s="17">
        <f t="shared" si="3"/>
        <v>1</v>
      </c>
      <c r="L5574" s="18"/>
    </row>
    <row r="5575" hidden="1">
      <c r="A5575" s="2">
        <f>IFERROR(__xludf.DUMMYFUNCTION("""COMPUTED_VALUE"""),9497.0)</f>
        <v>9497</v>
      </c>
      <c r="B5575" s="2">
        <f>IFERROR(__xludf.DUMMYFUNCTION("""COMPUTED_VALUE"""),1.0)</f>
        <v>1</v>
      </c>
      <c r="C5575" s="2">
        <f>IFERROR(__xludf.DUMMYFUNCTION("""COMPUTED_VALUE"""),186.0)</f>
        <v>186</v>
      </c>
      <c r="D5575" s="3">
        <f>IFERROR(__xludf.DUMMYFUNCTION("""COMPUTED_VALUE"""),58.0)</f>
        <v>58</v>
      </c>
      <c r="E5575" s="1" t="str">
        <f t="array" ref="E5575">_xlfn.XLOOKUP(A5575,Product!A:A,Product!B:B,"Bulunamadı")</f>
        <v>Law</v>
      </c>
      <c r="F5575" s="1" t="str">
        <f t="array" ref="F5575">_xlfn.XLOOKUP(A5575,Product!A:A,Product!C:C,"Bulunamadı")</f>
        <v>Interior Design</v>
      </c>
      <c r="G5575" s="2" t="str">
        <f t="array" ref="G5575">_xlfn.XLOOKUP(A5576,Product!A:A,Product!D:D,"Bulunamadı")</f>
        <v>Brightwind Publishing House</v>
      </c>
      <c r="H5575" s="2">
        <f t="array" ref="H5575">_xlfn.XLOOKUP(A5577,Product!A:A,Product!E:E,"Bulunamadı")</f>
        <v>1.53</v>
      </c>
      <c r="I5575" s="2" t="str">
        <f t="shared" si="1"/>
        <v>9497 - Law - Interior Design</v>
      </c>
      <c r="J5575" s="2">
        <f t="shared" si="2"/>
        <v>88.74</v>
      </c>
      <c r="K5575" s="17">
        <f t="shared" si="3"/>
        <v>1</v>
      </c>
      <c r="L5575" s="18"/>
    </row>
    <row r="5576" hidden="1">
      <c r="A5576" s="2">
        <f>IFERROR(__xludf.DUMMYFUNCTION("""COMPUTED_VALUE"""),9601.0)</f>
        <v>9601</v>
      </c>
      <c r="B5576" s="2">
        <f>IFERROR(__xludf.DUMMYFUNCTION("""COMPUTED_VALUE"""),0.0)</f>
        <v>0</v>
      </c>
      <c r="C5576" s="2">
        <f>IFERROR(__xludf.DUMMYFUNCTION("""COMPUTED_VALUE"""),778.0)</f>
        <v>778</v>
      </c>
      <c r="D5576" s="3">
        <f>IFERROR(__xludf.DUMMYFUNCTION("""COMPUTED_VALUE"""),564.0)</f>
        <v>564</v>
      </c>
      <c r="E5576" s="1" t="str">
        <f t="array" ref="E5576">_xlfn.XLOOKUP(A5576,Product!A:A,Product!B:B,"Bulunamadı")</f>
        <v>Law</v>
      </c>
      <c r="F5576" s="1" t="str">
        <f t="array" ref="F5576">_xlfn.XLOOKUP(A5576,Product!A:A,Product!C:C,"Bulunamadı")</f>
        <v>Interior Design</v>
      </c>
      <c r="G5576" s="2" t="str">
        <f t="array" ref="G5576">_xlfn.XLOOKUP(A5577,Product!A:A,Product!D:D,"Bulunamadı")</f>
        <v>Brightwind Publishing House</v>
      </c>
      <c r="H5576" s="2">
        <f t="array" ref="H5576">_xlfn.XLOOKUP(A5578,Product!A:A,Product!E:E,"Bulunamadı")</f>
        <v>4.43</v>
      </c>
      <c r="I5576" s="2" t="str">
        <f t="shared" si="1"/>
        <v>9601 - Law - Interior Design</v>
      </c>
      <c r="J5576" s="2">
        <f t="shared" si="2"/>
        <v>2498.52</v>
      </c>
      <c r="K5576" s="17">
        <f t="shared" si="3"/>
        <v>1</v>
      </c>
      <c r="L5576" s="18"/>
    </row>
    <row r="5577" hidden="1">
      <c r="A5577" s="2">
        <f>IFERROR(__xludf.DUMMYFUNCTION("""COMPUTED_VALUE"""),117799.0)</f>
        <v>117799</v>
      </c>
      <c r="B5577" s="2">
        <f>IFERROR(__xludf.DUMMYFUNCTION("""COMPUTED_VALUE"""),1.0)</f>
        <v>1</v>
      </c>
      <c r="C5577" s="2">
        <f>IFERROR(__xludf.DUMMYFUNCTION("""COMPUTED_VALUE"""),176.0)</f>
        <v>176</v>
      </c>
      <c r="D5577" s="3">
        <f>IFERROR(__xludf.DUMMYFUNCTION("""COMPUTED_VALUE"""),82.0)</f>
        <v>82</v>
      </c>
      <c r="E5577" s="1" t="str">
        <f t="array" ref="E5577">_xlfn.XLOOKUP(A5577,Product!A:A,Product!B:B,"Bulunamadı")</f>
        <v>Law</v>
      </c>
      <c r="F5577" s="1" t="str">
        <f t="array" ref="F5577">_xlfn.XLOOKUP(A5577,Product!A:A,Product!C:C,"Bulunamadı")</f>
        <v>Interior Design</v>
      </c>
      <c r="G5577" s="2" t="str">
        <f t="array" ref="G5577">_xlfn.XLOOKUP(A5578,Product!A:A,Product!D:D,"Bulunamadı")</f>
        <v>Brightwind Publishing House</v>
      </c>
      <c r="H5577" s="2">
        <f t="array" ref="H5577">_xlfn.XLOOKUP(A5579,Product!A:A,Product!E:E,"Bulunamadı")</f>
        <v>1.75</v>
      </c>
      <c r="I5577" s="2" t="str">
        <f t="shared" si="1"/>
        <v>117799 - Law - Interior Design</v>
      </c>
      <c r="J5577" s="2">
        <f t="shared" si="2"/>
        <v>143.5</v>
      </c>
      <c r="K5577" s="17">
        <f t="shared" si="3"/>
        <v>1</v>
      </c>
      <c r="L5577" s="18"/>
    </row>
    <row r="5578" hidden="1">
      <c r="A5578" s="2">
        <f>IFERROR(__xludf.DUMMYFUNCTION("""COMPUTED_VALUE"""),82770.0)</f>
        <v>82770</v>
      </c>
      <c r="B5578" s="2">
        <f>IFERROR(__xludf.DUMMYFUNCTION("""COMPUTED_VALUE"""),0.0)</f>
        <v>0</v>
      </c>
      <c r="C5578" s="2">
        <f>IFERROR(__xludf.DUMMYFUNCTION("""COMPUTED_VALUE"""),965.0)</f>
        <v>965</v>
      </c>
      <c r="D5578" s="3">
        <f>IFERROR(__xludf.DUMMYFUNCTION("""COMPUTED_VALUE"""),152.0)</f>
        <v>152</v>
      </c>
      <c r="E5578" s="1" t="str">
        <f t="array" ref="E5578">_xlfn.XLOOKUP(A5578,Product!A:A,Product!B:B,"Bulunamadı")</f>
        <v>Law</v>
      </c>
      <c r="F5578" s="1" t="str">
        <f t="array" ref="F5578">_xlfn.XLOOKUP(A5578,Product!A:A,Product!C:C,"Bulunamadı")</f>
        <v>Interior Design</v>
      </c>
      <c r="G5578" s="2" t="str">
        <f t="array" ref="G5578">_xlfn.XLOOKUP(A5579,Product!A:A,Product!D:D,"Bulunamadı")</f>
        <v>Brightwind Publishing House</v>
      </c>
      <c r="H5578" s="2">
        <f t="array" ref="H5578">_xlfn.XLOOKUP(A5580,Product!A:A,Product!E:E,"Bulunamadı")</f>
        <v>2</v>
      </c>
      <c r="I5578" s="2" t="str">
        <f t="shared" si="1"/>
        <v>82770 - Law - Interior Design</v>
      </c>
      <c r="J5578" s="2">
        <f t="shared" si="2"/>
        <v>304</v>
      </c>
      <c r="K5578" s="17">
        <f t="shared" si="3"/>
        <v>1</v>
      </c>
      <c r="L5578" s="18"/>
    </row>
    <row r="5579" hidden="1">
      <c r="A5579" s="2">
        <f>IFERROR(__xludf.DUMMYFUNCTION("""COMPUTED_VALUE"""),119249.0)</f>
        <v>119249</v>
      </c>
      <c r="B5579" s="2">
        <f>IFERROR(__xludf.DUMMYFUNCTION("""COMPUTED_VALUE"""),0.0)</f>
        <v>0</v>
      </c>
      <c r="C5579" s="2">
        <f>IFERROR(__xludf.DUMMYFUNCTION("""COMPUTED_VALUE"""),652.0)</f>
        <v>652</v>
      </c>
      <c r="D5579" s="3">
        <f>IFERROR(__xludf.DUMMYFUNCTION("""COMPUTED_VALUE"""),267.0)</f>
        <v>267</v>
      </c>
      <c r="E5579" s="1" t="str">
        <f t="array" ref="E5579">_xlfn.XLOOKUP(A5579,Product!A:A,Product!B:B,"Bulunamadı")</f>
        <v>Law</v>
      </c>
      <c r="F5579" s="1" t="str">
        <f t="array" ref="F5579">_xlfn.XLOOKUP(A5579,Product!A:A,Product!C:C,"Bulunamadı")</f>
        <v>Interior Design</v>
      </c>
      <c r="G5579" s="2" t="str">
        <f t="array" ref="G5579">_xlfn.XLOOKUP(A5580,Product!A:A,Product!D:D,"Bulunamadı")</f>
        <v>Brightwind Publishing House</v>
      </c>
      <c r="H5579" s="2">
        <f t="array" ref="H5579">_xlfn.XLOOKUP(A5581,Product!A:A,Product!E:E,"Bulunamadı")</f>
        <v>1.51</v>
      </c>
      <c r="I5579" s="2" t="str">
        <f t="shared" si="1"/>
        <v>119249 - Law - Interior Design</v>
      </c>
      <c r="J5579" s="2">
        <f t="shared" si="2"/>
        <v>403.17</v>
      </c>
      <c r="K5579" s="17">
        <f t="shared" si="3"/>
        <v>1</v>
      </c>
      <c r="L5579" s="18"/>
    </row>
    <row r="5580" hidden="1">
      <c r="A5580" s="2">
        <f>IFERROR(__xludf.DUMMYFUNCTION("""COMPUTED_VALUE"""),86191.0)</f>
        <v>86191</v>
      </c>
      <c r="B5580" s="2">
        <f>IFERROR(__xludf.DUMMYFUNCTION("""COMPUTED_VALUE"""),1.0)</f>
        <v>1</v>
      </c>
      <c r="C5580" s="2">
        <f>IFERROR(__xludf.DUMMYFUNCTION("""COMPUTED_VALUE"""),848.0)</f>
        <v>848</v>
      </c>
      <c r="D5580" s="3">
        <f>IFERROR(__xludf.DUMMYFUNCTION("""COMPUTED_VALUE"""),9.0)</f>
        <v>9</v>
      </c>
      <c r="E5580" s="1" t="str">
        <f t="array" ref="E5580">_xlfn.XLOOKUP(A5580,Product!A:A,Product!B:B,"Bulunamadı")</f>
        <v>Law</v>
      </c>
      <c r="F5580" s="1" t="str">
        <f t="array" ref="F5580">_xlfn.XLOOKUP(A5580,Product!A:A,Product!C:C,"Bulunamadı")</f>
        <v>Interior Design</v>
      </c>
      <c r="G5580" s="2" t="str">
        <f t="array" ref="G5580">_xlfn.XLOOKUP(A5581,Product!A:A,Product!D:D,"Bulunamadı")</f>
        <v>Brightwind Publishing House</v>
      </c>
      <c r="H5580" s="2">
        <f t="array" ref="H5580">_xlfn.XLOOKUP(A5582,Product!A:A,Product!E:E,"Bulunamadı")</f>
        <v>1.36</v>
      </c>
      <c r="I5580" s="2" t="str">
        <f t="shared" si="1"/>
        <v>86191 - Law - Interior Design</v>
      </c>
      <c r="J5580" s="2">
        <f t="shared" si="2"/>
        <v>12.24</v>
      </c>
      <c r="K5580" s="17">
        <f t="shared" si="3"/>
        <v>1</v>
      </c>
      <c r="L5580" s="18"/>
    </row>
    <row r="5581" hidden="1">
      <c r="A5581" s="2">
        <f>IFERROR(__xludf.DUMMYFUNCTION("""COMPUTED_VALUE"""),9503.0)</f>
        <v>9503</v>
      </c>
      <c r="B5581" s="2">
        <f>IFERROR(__xludf.DUMMYFUNCTION("""COMPUTED_VALUE"""),1.0)</f>
        <v>1</v>
      </c>
      <c r="C5581" s="2">
        <f>IFERROR(__xludf.DUMMYFUNCTION("""COMPUTED_VALUE"""),792.0)</f>
        <v>792</v>
      </c>
      <c r="D5581" s="3">
        <f>IFERROR(__xludf.DUMMYFUNCTION("""COMPUTED_VALUE"""),271.0)</f>
        <v>271</v>
      </c>
      <c r="E5581" s="1" t="str">
        <f t="array" ref="E5581">_xlfn.XLOOKUP(A5581,Product!A:A,Product!B:B,"Bulunamadı")</f>
        <v>Law</v>
      </c>
      <c r="F5581" s="1" t="str">
        <f t="array" ref="F5581">_xlfn.XLOOKUP(A5581,Product!A:A,Product!C:C,"Bulunamadı")</f>
        <v>Interior Design</v>
      </c>
      <c r="G5581" s="2" t="str">
        <f t="array" ref="G5581">_xlfn.XLOOKUP(A5582,Product!A:A,Product!D:D,"Bulunamadı")</f>
        <v>Brightwind Publishing House</v>
      </c>
      <c r="H5581" s="2">
        <f t="array" ref="H5581">_xlfn.XLOOKUP(A5583,Product!A:A,Product!E:E,"Bulunamadı")</f>
        <v>3.77</v>
      </c>
      <c r="I5581" s="2" t="str">
        <f t="shared" si="1"/>
        <v>9503 - Law - Interior Design</v>
      </c>
      <c r="J5581" s="2">
        <f t="shared" si="2"/>
        <v>1021.67</v>
      </c>
      <c r="K5581" s="17">
        <f t="shared" si="3"/>
        <v>1</v>
      </c>
      <c r="L5581" s="18"/>
    </row>
    <row r="5582" hidden="1">
      <c r="A5582" s="2">
        <f>IFERROR(__xludf.DUMMYFUNCTION("""COMPUTED_VALUE"""),94007.0)</f>
        <v>94007</v>
      </c>
      <c r="B5582" s="2">
        <f>IFERROR(__xludf.DUMMYFUNCTION("""COMPUTED_VALUE"""),0.0)</f>
        <v>0</v>
      </c>
      <c r="C5582" s="2">
        <f>IFERROR(__xludf.DUMMYFUNCTION("""COMPUTED_VALUE"""),61.0)</f>
        <v>61</v>
      </c>
      <c r="D5582" s="3">
        <f>IFERROR(__xludf.DUMMYFUNCTION("""COMPUTED_VALUE"""),31.0)</f>
        <v>31</v>
      </c>
      <c r="E5582" s="1" t="str">
        <f t="array" ref="E5582">_xlfn.XLOOKUP(A5582,Product!A:A,Product!B:B,"Bulunamadı")</f>
        <v>Law</v>
      </c>
      <c r="F5582" s="1" t="str">
        <f t="array" ref="F5582">_xlfn.XLOOKUP(A5582,Product!A:A,Product!C:C,"Bulunamadı")</f>
        <v>Interior Design</v>
      </c>
      <c r="G5582" s="2" t="str">
        <f t="array" ref="G5582">_xlfn.XLOOKUP(A5583,Product!A:A,Product!D:D,"Bulunamadı")</f>
        <v>Brightwind Publishing House</v>
      </c>
      <c r="H5582" s="2">
        <f t="array" ref="H5582">_xlfn.XLOOKUP(A5584,Product!A:A,Product!E:E,"Bulunamadı")</f>
        <v>2.65</v>
      </c>
      <c r="I5582" s="2" t="str">
        <f t="shared" si="1"/>
        <v>94007 - Law - Interior Design</v>
      </c>
      <c r="J5582" s="2">
        <f t="shared" si="2"/>
        <v>82.15</v>
      </c>
      <c r="K5582" s="17">
        <f t="shared" si="3"/>
        <v>1</v>
      </c>
      <c r="L5582" s="18"/>
    </row>
    <row r="5583" hidden="1">
      <c r="A5583" s="2">
        <f>IFERROR(__xludf.DUMMYFUNCTION("""COMPUTED_VALUE"""),82761.0)</f>
        <v>82761</v>
      </c>
      <c r="B5583" s="2">
        <f>IFERROR(__xludf.DUMMYFUNCTION("""COMPUTED_VALUE"""),1.0)</f>
        <v>1</v>
      </c>
      <c r="C5583" s="2">
        <f>IFERROR(__xludf.DUMMYFUNCTION("""COMPUTED_VALUE"""),954.0)</f>
        <v>954</v>
      </c>
      <c r="D5583" s="3">
        <f>IFERROR(__xludf.DUMMYFUNCTION("""COMPUTED_VALUE"""),855.0)</f>
        <v>855</v>
      </c>
      <c r="E5583" s="1" t="str">
        <f t="array" ref="E5583">_xlfn.XLOOKUP(A5583,Product!A:A,Product!B:B,"Bulunamadı")</f>
        <v>Law</v>
      </c>
      <c r="F5583" s="1" t="str">
        <f t="array" ref="F5583">_xlfn.XLOOKUP(A5583,Product!A:A,Product!C:C,"Bulunamadı")</f>
        <v>Interior Design</v>
      </c>
      <c r="G5583" s="2" t="str">
        <f t="array" ref="G5583">_xlfn.XLOOKUP(A5584,Product!A:A,Product!D:D,"Bulunamadı")</f>
        <v>Brightwind Publishing House</v>
      </c>
      <c r="H5583" s="2">
        <f t="array" ref="H5583">_xlfn.XLOOKUP(A5585,Product!A:A,Product!E:E,"Bulunamadı")</f>
        <v>3.81</v>
      </c>
      <c r="I5583" s="2" t="str">
        <f t="shared" si="1"/>
        <v>82761 - Law - Interior Design</v>
      </c>
      <c r="J5583" s="2">
        <f t="shared" si="2"/>
        <v>3257.55</v>
      </c>
      <c r="K5583" s="17">
        <f t="shared" si="3"/>
        <v>1</v>
      </c>
      <c r="L5583" s="18"/>
    </row>
    <row r="5584" hidden="1">
      <c r="A5584" s="2">
        <f>IFERROR(__xludf.DUMMYFUNCTION("""COMPUTED_VALUE"""),9599.0)</f>
        <v>9599</v>
      </c>
      <c r="B5584" s="2">
        <f>IFERROR(__xludf.DUMMYFUNCTION("""COMPUTED_VALUE"""),1.0)</f>
        <v>1</v>
      </c>
      <c r="C5584" s="2">
        <f>IFERROR(__xludf.DUMMYFUNCTION("""COMPUTED_VALUE"""),874.0)</f>
        <v>874</v>
      </c>
      <c r="D5584" s="3">
        <f>IFERROR(__xludf.DUMMYFUNCTION("""COMPUTED_VALUE"""),98.0)</f>
        <v>98</v>
      </c>
      <c r="E5584" s="1" t="str">
        <f t="array" ref="E5584">_xlfn.XLOOKUP(A5584,Product!A:A,Product!B:B,"Bulunamadı")</f>
        <v>Law</v>
      </c>
      <c r="F5584" s="1" t="str">
        <f t="array" ref="F5584">_xlfn.XLOOKUP(A5584,Product!A:A,Product!C:C,"Bulunamadı")</f>
        <v>Interior Design</v>
      </c>
      <c r="G5584" s="2" t="str">
        <f t="array" ref="G5584">_xlfn.XLOOKUP(A5585,Product!A:A,Product!D:D,"Bulunamadı")</f>
        <v>Brightwind Publishing House</v>
      </c>
      <c r="H5584" s="2">
        <f t="array" ref="H5584">_xlfn.XLOOKUP(A5586,Product!A:A,Product!E:E,"Bulunamadı")</f>
        <v>2</v>
      </c>
      <c r="I5584" s="2" t="str">
        <f t="shared" si="1"/>
        <v>9599 - Law - Interior Design</v>
      </c>
      <c r="J5584" s="2">
        <f t="shared" si="2"/>
        <v>196</v>
      </c>
      <c r="K5584" s="17">
        <f t="shared" si="3"/>
        <v>1</v>
      </c>
      <c r="L5584" s="18"/>
    </row>
    <row r="5585" hidden="1">
      <c r="A5585" s="2">
        <f>IFERROR(__xludf.DUMMYFUNCTION("""COMPUTED_VALUE"""),9496.0)</f>
        <v>9496</v>
      </c>
      <c r="B5585" s="2">
        <f>IFERROR(__xludf.DUMMYFUNCTION("""COMPUTED_VALUE"""),1.0)</f>
        <v>1</v>
      </c>
      <c r="C5585" s="2">
        <f>IFERROR(__xludf.DUMMYFUNCTION("""COMPUTED_VALUE"""),321.0)</f>
        <v>321</v>
      </c>
      <c r="D5585" s="3">
        <f>IFERROR(__xludf.DUMMYFUNCTION("""COMPUTED_VALUE"""),319.0)</f>
        <v>319</v>
      </c>
      <c r="E5585" s="1" t="str">
        <f t="array" ref="E5585">_xlfn.XLOOKUP(A5585,Product!A:A,Product!B:B,"Bulunamadı")</f>
        <v>Law</v>
      </c>
      <c r="F5585" s="1" t="str">
        <f t="array" ref="F5585">_xlfn.XLOOKUP(A5585,Product!A:A,Product!C:C,"Bulunamadı")</f>
        <v>Interior Design</v>
      </c>
      <c r="G5585" s="2" t="str">
        <f t="array" ref="G5585">_xlfn.XLOOKUP(A5586,Product!A:A,Product!D:D,"Bulunamadı")</f>
        <v>Brightwind Publishing House</v>
      </c>
      <c r="H5585" s="2">
        <f t="array" ref="H5585">_xlfn.XLOOKUP(A5587,Product!A:A,Product!E:E,"Bulunamadı")</f>
        <v>2.08</v>
      </c>
      <c r="I5585" s="2" t="str">
        <f t="shared" si="1"/>
        <v>9496 - Law - Interior Design</v>
      </c>
      <c r="J5585" s="2">
        <f t="shared" si="2"/>
        <v>663.52</v>
      </c>
      <c r="K5585" s="17">
        <f t="shared" si="3"/>
        <v>1</v>
      </c>
      <c r="L5585" s="18"/>
    </row>
    <row r="5586" hidden="1">
      <c r="A5586" s="2">
        <f>IFERROR(__xludf.DUMMYFUNCTION("""COMPUTED_VALUE"""),195072.0)</f>
        <v>195072</v>
      </c>
      <c r="B5586" s="2">
        <f>IFERROR(__xludf.DUMMYFUNCTION("""COMPUTED_VALUE"""),0.0)</f>
        <v>0</v>
      </c>
      <c r="C5586" s="2">
        <f>IFERROR(__xludf.DUMMYFUNCTION("""COMPUTED_VALUE"""),300.0)</f>
        <v>300</v>
      </c>
      <c r="D5586" s="3">
        <f>IFERROR(__xludf.DUMMYFUNCTION("""COMPUTED_VALUE"""),155.0)</f>
        <v>155</v>
      </c>
      <c r="E5586" s="1" t="str">
        <f t="array" ref="E5586">_xlfn.XLOOKUP(A5586,Product!A:A,Product!B:B,"Bulunamadı")</f>
        <v>Law</v>
      </c>
      <c r="F5586" s="1" t="str">
        <f t="array" ref="F5586">_xlfn.XLOOKUP(A5586,Product!A:A,Product!C:C,"Bulunamadı")</f>
        <v>Interior Design</v>
      </c>
      <c r="G5586" s="2" t="str">
        <f t="array" ref="G5586">_xlfn.XLOOKUP(A5587,Product!A:A,Product!D:D,"Bulunamadı")</f>
        <v>Brightwind Publishing House</v>
      </c>
      <c r="H5586" s="2">
        <f t="array" ref="H5586">_xlfn.XLOOKUP(A5588,Product!A:A,Product!E:E,"Bulunamadı")</f>
        <v>1.07</v>
      </c>
      <c r="I5586" s="2" t="str">
        <f t="shared" si="1"/>
        <v>195072 - Law - Interior Design</v>
      </c>
      <c r="J5586" s="2">
        <f t="shared" si="2"/>
        <v>165.85</v>
      </c>
      <c r="K5586" s="17">
        <f t="shared" si="3"/>
        <v>1</v>
      </c>
      <c r="L5586" s="18"/>
    </row>
    <row r="5587" hidden="1">
      <c r="A5587" s="2">
        <f>IFERROR(__xludf.DUMMYFUNCTION("""COMPUTED_VALUE"""),119252.0)</f>
        <v>119252</v>
      </c>
      <c r="B5587" s="2">
        <f>IFERROR(__xludf.DUMMYFUNCTION("""COMPUTED_VALUE"""),1.0)</f>
        <v>1</v>
      </c>
      <c r="C5587" s="2">
        <f>IFERROR(__xludf.DUMMYFUNCTION("""COMPUTED_VALUE"""),891.0)</f>
        <v>891</v>
      </c>
      <c r="D5587" s="3">
        <f>IFERROR(__xludf.DUMMYFUNCTION("""COMPUTED_VALUE"""),214.0)</f>
        <v>214</v>
      </c>
      <c r="E5587" s="1" t="str">
        <f t="array" ref="E5587">_xlfn.XLOOKUP(A5587,Product!A:A,Product!B:B,"Bulunamadı")</f>
        <v>Law</v>
      </c>
      <c r="F5587" s="1" t="str">
        <f t="array" ref="F5587">_xlfn.XLOOKUP(A5587,Product!A:A,Product!C:C,"Bulunamadı")</f>
        <v>Interior Design</v>
      </c>
      <c r="G5587" s="2" t="str">
        <f t="array" ref="G5587">_xlfn.XLOOKUP(A5588,Product!A:A,Product!D:D,"Bulunamadı")</f>
        <v>Brightwind Publishing House</v>
      </c>
      <c r="H5587" s="2">
        <f t="array" ref="H5587">_xlfn.XLOOKUP(A5589,Product!A:A,Product!E:E,"Bulunamadı")</f>
        <v>1.52</v>
      </c>
      <c r="I5587" s="2" t="str">
        <f t="shared" si="1"/>
        <v>119252 - Law - Interior Design</v>
      </c>
      <c r="J5587" s="2">
        <f t="shared" si="2"/>
        <v>325.28</v>
      </c>
      <c r="K5587" s="17">
        <f t="shared" si="3"/>
        <v>1</v>
      </c>
      <c r="L5587" s="18"/>
    </row>
    <row r="5588" hidden="1">
      <c r="A5588" s="2">
        <f>IFERROR(__xludf.DUMMYFUNCTION("""COMPUTED_VALUE"""),9501.0)</f>
        <v>9501</v>
      </c>
      <c r="B5588" s="2">
        <f>IFERROR(__xludf.DUMMYFUNCTION("""COMPUTED_VALUE"""),0.0)</f>
        <v>0</v>
      </c>
      <c r="C5588" s="2">
        <f>IFERROR(__xludf.DUMMYFUNCTION("""COMPUTED_VALUE"""),477.0)</f>
        <v>477</v>
      </c>
      <c r="D5588" s="3">
        <f>IFERROR(__xludf.DUMMYFUNCTION("""COMPUTED_VALUE"""),213.0)</f>
        <v>213</v>
      </c>
      <c r="E5588" s="1" t="str">
        <f t="array" ref="E5588">_xlfn.XLOOKUP(A5588,Product!A:A,Product!B:B,"Bulunamadı")</f>
        <v>Law</v>
      </c>
      <c r="F5588" s="1" t="str">
        <f t="array" ref="F5588">_xlfn.XLOOKUP(A5588,Product!A:A,Product!C:C,"Bulunamadı")</f>
        <v>Interior Design</v>
      </c>
      <c r="G5588" s="2" t="str">
        <f t="array" ref="G5588">_xlfn.XLOOKUP(A5589,Product!A:A,Product!D:D,"Bulunamadı")</f>
        <v>Brightwind Publishing House</v>
      </c>
      <c r="H5588" s="2">
        <f t="array" ref="H5588">_xlfn.XLOOKUP(A5590,Product!A:A,Product!E:E,"Bulunamadı")</f>
        <v>2.25</v>
      </c>
      <c r="I5588" s="2" t="str">
        <f t="shared" si="1"/>
        <v>9501 - Law - Interior Design</v>
      </c>
      <c r="J5588" s="2">
        <f t="shared" si="2"/>
        <v>479.25</v>
      </c>
      <c r="K5588" s="17">
        <f t="shared" si="3"/>
        <v>1</v>
      </c>
      <c r="L5588" s="18"/>
    </row>
    <row r="5589" hidden="1">
      <c r="A5589" s="2">
        <f>IFERROR(__xludf.DUMMYFUNCTION("""COMPUTED_VALUE"""),9491.0)</f>
        <v>9491</v>
      </c>
      <c r="B5589" s="2">
        <f>IFERROR(__xludf.DUMMYFUNCTION("""COMPUTED_VALUE"""),1.0)</f>
        <v>1</v>
      </c>
      <c r="C5589" s="2">
        <f>IFERROR(__xludf.DUMMYFUNCTION("""COMPUTED_VALUE"""),426.0)</f>
        <v>426</v>
      </c>
      <c r="D5589" s="3">
        <f>IFERROR(__xludf.DUMMYFUNCTION("""COMPUTED_VALUE"""),88.0)</f>
        <v>88</v>
      </c>
      <c r="E5589" s="1" t="str">
        <f t="array" ref="E5589">_xlfn.XLOOKUP(A5589,Product!A:A,Product!B:B,"Bulunamadı")</f>
        <v>Law</v>
      </c>
      <c r="F5589" s="1" t="str">
        <f t="array" ref="F5589">_xlfn.XLOOKUP(A5589,Product!A:A,Product!C:C,"Bulunamadı")</f>
        <v>Interior Design</v>
      </c>
      <c r="G5589" s="2" t="str">
        <f t="array" ref="G5589">_xlfn.XLOOKUP(A5590,Product!A:A,Product!D:D,"Bulunamadı")</f>
        <v>Brightwind Publishing House</v>
      </c>
      <c r="H5589" s="2">
        <f t="array" ref="H5589">_xlfn.XLOOKUP(A5591,Product!A:A,Product!E:E,"Bulunamadı")</f>
        <v>2.27</v>
      </c>
      <c r="I5589" s="2" t="str">
        <f t="shared" si="1"/>
        <v>9491 - Law - Interior Design</v>
      </c>
      <c r="J5589" s="2">
        <f t="shared" si="2"/>
        <v>199.76</v>
      </c>
      <c r="K5589" s="17">
        <f t="shared" si="3"/>
        <v>1</v>
      </c>
      <c r="L5589" s="18"/>
    </row>
    <row r="5590" hidden="1">
      <c r="A5590" s="2">
        <f>IFERROR(__xludf.DUMMYFUNCTION("""COMPUTED_VALUE"""),194058.0)</f>
        <v>194058</v>
      </c>
      <c r="B5590" s="2">
        <f>IFERROR(__xludf.DUMMYFUNCTION("""COMPUTED_VALUE"""),0.0)</f>
        <v>0</v>
      </c>
      <c r="C5590" s="2">
        <f>IFERROR(__xludf.DUMMYFUNCTION("""COMPUTED_VALUE"""),694.0)</f>
        <v>694</v>
      </c>
      <c r="D5590" s="3">
        <f>IFERROR(__xludf.DUMMYFUNCTION("""COMPUTED_VALUE"""),356.0)</f>
        <v>356</v>
      </c>
      <c r="E5590" s="1" t="str">
        <f t="array" ref="E5590">_xlfn.XLOOKUP(A5590,Product!A:A,Product!B:B,"Bulunamadı")</f>
        <v>Law</v>
      </c>
      <c r="F5590" s="1" t="str">
        <f t="array" ref="F5590">_xlfn.XLOOKUP(A5590,Product!A:A,Product!C:C,"Bulunamadı")</f>
        <v>Interior Design</v>
      </c>
      <c r="G5590" s="2" t="str">
        <f t="array" ref="G5590">_xlfn.XLOOKUP(A5591,Product!A:A,Product!D:D,"Bulunamadı")</f>
        <v>Oakwind Publishing House</v>
      </c>
      <c r="H5590" s="2">
        <f t="array" ref="H5590">_xlfn.XLOOKUP(A5592,Product!A:A,Product!E:E,"Bulunamadı")</f>
        <v>8.95</v>
      </c>
      <c r="I5590" s="2" t="str">
        <f t="shared" si="1"/>
        <v>194058 - Law - Interior Design</v>
      </c>
      <c r="J5590" s="2">
        <f t="shared" si="2"/>
        <v>3186.2</v>
      </c>
      <c r="K5590" s="17">
        <f t="shared" si="3"/>
        <v>1</v>
      </c>
      <c r="L5590" s="18"/>
    </row>
    <row r="5591" hidden="1">
      <c r="A5591" s="2">
        <f>IFERROR(__xludf.DUMMYFUNCTION("""COMPUTED_VALUE"""),111319.0)</f>
        <v>111319</v>
      </c>
      <c r="B5591" s="2">
        <f>IFERROR(__xludf.DUMMYFUNCTION("""COMPUTED_VALUE"""),0.0)</f>
        <v>0</v>
      </c>
      <c r="C5591" s="2">
        <f>IFERROR(__xludf.DUMMYFUNCTION("""COMPUTED_VALUE"""),921.0)</f>
        <v>921</v>
      </c>
      <c r="D5591" s="3">
        <f>IFERROR(__xludf.DUMMYFUNCTION("""COMPUTED_VALUE"""),346.0)</f>
        <v>346</v>
      </c>
      <c r="E5591" s="1" t="str">
        <f t="array" ref="E5591">_xlfn.XLOOKUP(A5591,Product!A:A,Product!B:B,"Bulunamadı")</f>
        <v>Law</v>
      </c>
      <c r="F5591" s="1" t="str">
        <f t="array" ref="F5591">_xlfn.XLOOKUP(A5591,Product!A:A,Product!C:C,"Bulunamadı")</f>
        <v>Interior Design</v>
      </c>
      <c r="G5591" s="2" t="str">
        <f t="array" ref="G5591">_xlfn.XLOOKUP(A5592,Product!A:A,Product!D:D,"Bulunamadı")</f>
        <v>Oakwind Publishing House</v>
      </c>
      <c r="H5591" s="2">
        <f t="array" ref="H5591">_xlfn.XLOOKUP(A5593,Product!A:A,Product!E:E,"Bulunamadı")</f>
        <v>2.4</v>
      </c>
      <c r="I5591" s="2" t="str">
        <f t="shared" si="1"/>
        <v>111319 - Law - Interior Design</v>
      </c>
      <c r="J5591" s="2">
        <f t="shared" si="2"/>
        <v>830.4</v>
      </c>
      <c r="K5591" s="17">
        <f t="shared" si="3"/>
        <v>1</v>
      </c>
      <c r="L5591" s="18"/>
    </row>
    <row r="5592" hidden="1">
      <c r="A5592" s="2">
        <f>IFERROR(__xludf.DUMMYFUNCTION("""COMPUTED_VALUE"""),86655.0)</f>
        <v>86655</v>
      </c>
      <c r="B5592" s="2">
        <f>IFERROR(__xludf.DUMMYFUNCTION("""COMPUTED_VALUE"""),1.0)</f>
        <v>1</v>
      </c>
      <c r="C5592" s="2">
        <f>IFERROR(__xludf.DUMMYFUNCTION("""COMPUTED_VALUE"""),194.0)</f>
        <v>194</v>
      </c>
      <c r="D5592" s="3">
        <f>IFERROR(__xludf.DUMMYFUNCTION("""COMPUTED_VALUE"""),152.0)</f>
        <v>152</v>
      </c>
      <c r="E5592" s="1" t="str">
        <f t="array" ref="E5592">_xlfn.XLOOKUP(A5592,Product!A:A,Product!B:B,"Bulunamadı")</f>
        <v>Law</v>
      </c>
      <c r="F5592" s="1" t="str">
        <f t="array" ref="F5592">_xlfn.XLOOKUP(A5592,Product!A:A,Product!C:C,"Bulunamadı")</f>
        <v>Interior Design</v>
      </c>
      <c r="G5592" s="2" t="str">
        <f t="array" ref="G5592">_xlfn.XLOOKUP(A5593,Product!A:A,Product!D:D,"Bulunamadı")</f>
        <v>Oakwind Publishing House</v>
      </c>
      <c r="H5592" s="2">
        <f t="array" ref="H5592">_xlfn.XLOOKUP(A5594,Product!A:A,Product!E:E,"Bulunamadı")</f>
        <v>3.37</v>
      </c>
      <c r="I5592" s="2" t="str">
        <f t="shared" si="1"/>
        <v>86655 - Law - Interior Design</v>
      </c>
      <c r="J5592" s="2">
        <f t="shared" si="2"/>
        <v>512.24</v>
      </c>
      <c r="K5592" s="17">
        <f t="shared" si="3"/>
        <v>1</v>
      </c>
      <c r="L5592" s="18"/>
    </row>
    <row r="5593" hidden="1">
      <c r="A5593" s="2">
        <f>IFERROR(__xludf.DUMMYFUNCTION("""COMPUTED_VALUE"""),147300.0)</f>
        <v>147300</v>
      </c>
      <c r="B5593" s="2">
        <f>IFERROR(__xludf.DUMMYFUNCTION("""COMPUTED_VALUE"""),1.0)</f>
        <v>1</v>
      </c>
      <c r="C5593" s="2">
        <f>IFERROR(__xludf.DUMMYFUNCTION("""COMPUTED_VALUE"""),3.0)</f>
        <v>3</v>
      </c>
      <c r="D5593" s="3">
        <f>IFERROR(__xludf.DUMMYFUNCTION("""COMPUTED_VALUE"""),3.0)</f>
        <v>3</v>
      </c>
      <c r="E5593" s="1" t="str">
        <f t="array" ref="E5593">_xlfn.XLOOKUP(A5593,Product!A:A,Product!B:B,"Bulunamadı")</f>
        <v>Law</v>
      </c>
      <c r="F5593" s="1" t="str">
        <f t="array" ref="F5593">_xlfn.XLOOKUP(A5593,Product!A:A,Product!C:C,"Bulunamadı")</f>
        <v>Interior Design</v>
      </c>
      <c r="G5593" s="2" t="str">
        <f t="array" ref="G5593">_xlfn.XLOOKUP(A5594,Product!A:A,Product!D:D,"Bulunamadı")</f>
        <v>Oakwind Publishing House</v>
      </c>
      <c r="H5593" s="2">
        <f t="array" ref="H5593">_xlfn.XLOOKUP(A5595,Product!A:A,Product!E:E,"Bulunamadı")</f>
        <v>6.69</v>
      </c>
      <c r="I5593" s="2" t="str">
        <f t="shared" si="1"/>
        <v>147300 - Law - Interior Design</v>
      </c>
      <c r="J5593" s="2">
        <f t="shared" si="2"/>
        <v>20.07</v>
      </c>
      <c r="K5593" s="17">
        <f t="shared" si="3"/>
        <v>1</v>
      </c>
      <c r="L5593" s="18"/>
    </row>
    <row r="5594" hidden="1">
      <c r="A5594" s="2">
        <f>IFERROR(__xludf.DUMMYFUNCTION("""COMPUTED_VALUE"""),13861.0)</f>
        <v>13861</v>
      </c>
      <c r="B5594" s="2">
        <f>IFERROR(__xludf.DUMMYFUNCTION("""COMPUTED_VALUE"""),1.0)</f>
        <v>1</v>
      </c>
      <c r="C5594" s="2">
        <f>IFERROR(__xludf.DUMMYFUNCTION("""COMPUTED_VALUE"""),273.0)</f>
        <v>273</v>
      </c>
      <c r="D5594" s="3">
        <f>IFERROR(__xludf.DUMMYFUNCTION("""COMPUTED_VALUE"""),224.0)</f>
        <v>224</v>
      </c>
      <c r="E5594" s="1" t="str">
        <f t="array" ref="E5594">_xlfn.XLOOKUP(A5594,Product!A:A,Product!B:B,"Bulunamadı")</f>
        <v>Law</v>
      </c>
      <c r="F5594" s="1" t="str">
        <f t="array" ref="F5594">_xlfn.XLOOKUP(A5594,Product!A:A,Product!C:C,"Bulunamadı")</f>
        <v>Interior Design</v>
      </c>
      <c r="G5594" s="2" t="str">
        <f t="array" ref="G5594">_xlfn.XLOOKUP(A5595,Product!A:A,Product!D:D,"Bulunamadı")</f>
        <v>Oakwind Publishing House</v>
      </c>
      <c r="H5594" s="2">
        <f t="array" ref="H5594">_xlfn.XLOOKUP(A5596,Product!A:A,Product!E:E,"Bulunamadı")</f>
        <v>2.4</v>
      </c>
      <c r="I5594" s="2" t="str">
        <f t="shared" si="1"/>
        <v>13861 - Law - Interior Design</v>
      </c>
      <c r="J5594" s="2">
        <f t="shared" si="2"/>
        <v>537.6</v>
      </c>
      <c r="K5594" s="17">
        <f t="shared" si="3"/>
        <v>1</v>
      </c>
      <c r="L5594" s="18"/>
    </row>
    <row r="5595" hidden="1">
      <c r="A5595" s="2">
        <f>IFERROR(__xludf.DUMMYFUNCTION("""COMPUTED_VALUE"""),81510.0)</f>
        <v>81510</v>
      </c>
      <c r="B5595" s="2">
        <f>IFERROR(__xludf.DUMMYFUNCTION("""COMPUTED_VALUE"""),1.0)</f>
        <v>1</v>
      </c>
      <c r="C5595" s="2">
        <f>IFERROR(__xludf.DUMMYFUNCTION("""COMPUTED_VALUE"""),116.0)</f>
        <v>116</v>
      </c>
      <c r="D5595" s="3">
        <f>IFERROR(__xludf.DUMMYFUNCTION("""COMPUTED_VALUE"""),30.0)</f>
        <v>30</v>
      </c>
      <c r="E5595" s="1" t="str">
        <f t="array" ref="E5595">_xlfn.XLOOKUP(A5595,Product!A:A,Product!B:B,"Bulunamadı")</f>
        <v>Law</v>
      </c>
      <c r="F5595" s="1" t="str">
        <f t="array" ref="F5595">_xlfn.XLOOKUP(A5595,Product!A:A,Product!C:C,"Bulunamadı")</f>
        <v>Interior Design</v>
      </c>
      <c r="G5595" s="2" t="str">
        <f t="array" ref="G5595">_xlfn.XLOOKUP(A5596,Product!A:A,Product!D:D,"Bulunamadı")</f>
        <v>Oakwind Publishing House</v>
      </c>
      <c r="H5595" s="2">
        <f t="array" ref="H5595">_xlfn.XLOOKUP(A5597,Product!A:A,Product!E:E,"Bulunamadı")</f>
        <v>4.99</v>
      </c>
      <c r="I5595" s="2" t="str">
        <f t="shared" si="1"/>
        <v>81510 - Law - Interior Design</v>
      </c>
      <c r="J5595" s="2">
        <f t="shared" si="2"/>
        <v>149.7</v>
      </c>
      <c r="K5595" s="17">
        <f t="shared" si="3"/>
        <v>1</v>
      </c>
      <c r="L5595" s="18"/>
    </row>
    <row r="5596" hidden="1">
      <c r="A5596" s="2">
        <f>IFERROR(__xludf.DUMMYFUNCTION("""COMPUTED_VALUE"""),9560.0)</f>
        <v>9560</v>
      </c>
      <c r="B5596" s="2">
        <f>IFERROR(__xludf.DUMMYFUNCTION("""COMPUTED_VALUE"""),1.0)</f>
        <v>1</v>
      </c>
      <c r="C5596" s="2">
        <f>IFERROR(__xludf.DUMMYFUNCTION("""COMPUTED_VALUE"""),735.0)</f>
        <v>735</v>
      </c>
      <c r="D5596" s="3">
        <f>IFERROR(__xludf.DUMMYFUNCTION("""COMPUTED_VALUE"""),90.0)</f>
        <v>90</v>
      </c>
      <c r="E5596" s="1" t="str">
        <f t="array" ref="E5596">_xlfn.XLOOKUP(A5596,Product!A:A,Product!B:B,"Bulunamadı")</f>
        <v>Law</v>
      </c>
      <c r="F5596" s="1" t="str">
        <f t="array" ref="F5596">_xlfn.XLOOKUP(A5596,Product!A:A,Product!C:C,"Bulunamadı")</f>
        <v>Interior Design</v>
      </c>
      <c r="G5596" s="2" t="str">
        <f t="array" ref="G5596">_xlfn.XLOOKUP(A5597,Product!A:A,Product!D:D,"Bulunamadı")</f>
        <v>Oakwind Publishing House</v>
      </c>
      <c r="H5596" s="2">
        <f t="array" ref="H5596">_xlfn.XLOOKUP(A5598,Product!A:A,Product!E:E,"Bulunamadı")</f>
        <v>6.85</v>
      </c>
      <c r="I5596" s="2" t="str">
        <f t="shared" si="1"/>
        <v>9560 - Law - Interior Design</v>
      </c>
      <c r="J5596" s="2">
        <f t="shared" si="2"/>
        <v>616.5</v>
      </c>
      <c r="K5596" s="17">
        <f t="shared" si="3"/>
        <v>1</v>
      </c>
      <c r="L5596" s="18"/>
    </row>
    <row r="5597" hidden="1">
      <c r="A5597" s="2">
        <f>IFERROR(__xludf.DUMMYFUNCTION("""COMPUTED_VALUE"""),72161.0)</f>
        <v>72161</v>
      </c>
      <c r="B5597" s="2">
        <f>IFERROR(__xludf.DUMMYFUNCTION("""COMPUTED_VALUE"""),1.0)</f>
        <v>1</v>
      </c>
      <c r="C5597" s="2">
        <f>IFERROR(__xludf.DUMMYFUNCTION("""COMPUTED_VALUE"""),173.0)</f>
        <v>173</v>
      </c>
      <c r="D5597" s="3">
        <f>IFERROR(__xludf.DUMMYFUNCTION("""COMPUTED_VALUE"""),59.0)</f>
        <v>59</v>
      </c>
      <c r="E5597" s="1" t="str">
        <f t="array" ref="E5597">_xlfn.XLOOKUP(A5597,Product!A:A,Product!B:B,"Bulunamadı")</f>
        <v>Law</v>
      </c>
      <c r="F5597" s="1" t="str">
        <f t="array" ref="F5597">_xlfn.XLOOKUP(A5597,Product!A:A,Product!C:C,"Bulunamadı")</f>
        <v>Interior Design</v>
      </c>
      <c r="G5597" s="2" t="str">
        <f t="array" ref="G5597">_xlfn.XLOOKUP(A5598,Product!A:A,Product!D:D,"Bulunamadı")</f>
        <v>Oakwind Publishing House</v>
      </c>
      <c r="H5597" s="2">
        <f t="array" ref="H5597">_xlfn.XLOOKUP(A5599,Product!A:A,Product!E:E,"Bulunamadı")</f>
        <v>7.13</v>
      </c>
      <c r="I5597" s="2" t="str">
        <f t="shared" si="1"/>
        <v>72161 - Law - Interior Design</v>
      </c>
      <c r="J5597" s="2">
        <f t="shared" si="2"/>
        <v>420.67</v>
      </c>
      <c r="K5597" s="17">
        <f t="shared" si="3"/>
        <v>1</v>
      </c>
      <c r="L5597" s="18"/>
    </row>
    <row r="5598" hidden="1">
      <c r="A5598" s="2">
        <f>IFERROR(__xludf.DUMMYFUNCTION("""COMPUTED_VALUE"""),9561.0)</f>
        <v>9561</v>
      </c>
      <c r="B5598" s="2">
        <f>IFERROR(__xludf.DUMMYFUNCTION("""COMPUTED_VALUE"""),1.0)</f>
        <v>1</v>
      </c>
      <c r="C5598" s="2">
        <f>IFERROR(__xludf.DUMMYFUNCTION("""COMPUTED_VALUE"""),670.0)</f>
        <v>670</v>
      </c>
      <c r="D5598" s="3">
        <f>IFERROR(__xludf.DUMMYFUNCTION("""COMPUTED_VALUE"""),177.0)</f>
        <v>177</v>
      </c>
      <c r="E5598" s="1" t="str">
        <f t="array" ref="E5598">_xlfn.XLOOKUP(A5598,Product!A:A,Product!B:B,"Bulunamadı")</f>
        <v>Law</v>
      </c>
      <c r="F5598" s="1" t="str">
        <f t="array" ref="F5598">_xlfn.XLOOKUP(A5598,Product!A:A,Product!C:C,"Bulunamadı")</f>
        <v>Interior Design</v>
      </c>
      <c r="G5598" s="2" t="str">
        <f t="array" ref="G5598">_xlfn.XLOOKUP(A5599,Product!A:A,Product!D:D,"Bulunamadı")</f>
        <v>Oakwind Publishing House</v>
      </c>
      <c r="H5598" s="2">
        <f t="array" ref="H5598">_xlfn.XLOOKUP(A5600,Product!A:A,Product!E:E,"Bulunamadı")</f>
        <v>3.11</v>
      </c>
      <c r="I5598" s="2" t="str">
        <f t="shared" si="1"/>
        <v>9561 - Law - Interior Design</v>
      </c>
      <c r="J5598" s="2">
        <f t="shared" si="2"/>
        <v>550.47</v>
      </c>
      <c r="K5598" s="17">
        <f t="shared" si="3"/>
        <v>1</v>
      </c>
      <c r="L5598" s="18"/>
    </row>
    <row r="5599" hidden="1">
      <c r="A5599" s="2">
        <f>IFERROR(__xludf.DUMMYFUNCTION("""COMPUTED_VALUE"""),9562.0)</f>
        <v>9562</v>
      </c>
      <c r="B5599" s="2">
        <f>IFERROR(__xludf.DUMMYFUNCTION("""COMPUTED_VALUE"""),1.0)</f>
        <v>1</v>
      </c>
      <c r="C5599" s="2">
        <f>IFERROR(__xludf.DUMMYFUNCTION("""COMPUTED_VALUE"""),982.0)</f>
        <v>982</v>
      </c>
      <c r="D5599" s="3">
        <f>IFERROR(__xludf.DUMMYFUNCTION("""COMPUTED_VALUE"""),799.0)</f>
        <v>799</v>
      </c>
      <c r="E5599" s="1" t="str">
        <f t="array" ref="E5599">_xlfn.XLOOKUP(A5599,Product!A:A,Product!B:B,"Bulunamadı")</f>
        <v>Law</v>
      </c>
      <c r="F5599" s="1" t="str">
        <f t="array" ref="F5599">_xlfn.XLOOKUP(A5599,Product!A:A,Product!C:C,"Bulunamadı")</f>
        <v>Interior Design</v>
      </c>
      <c r="G5599" s="2" t="str">
        <f t="array" ref="G5599">_xlfn.XLOOKUP(A5600,Product!A:A,Product!D:D,"Bulunamadı")</f>
        <v>Oakwind Publishing House</v>
      </c>
      <c r="H5599" s="2">
        <f t="array" ref="H5599">_xlfn.XLOOKUP(A5601,Product!A:A,Product!E:E,"Bulunamadı")</f>
        <v>2.67</v>
      </c>
      <c r="I5599" s="2" t="str">
        <f t="shared" si="1"/>
        <v>9562 - Law - Interior Design</v>
      </c>
      <c r="J5599" s="2">
        <f t="shared" si="2"/>
        <v>2133.33</v>
      </c>
      <c r="K5599" s="17">
        <f t="shared" si="3"/>
        <v>1</v>
      </c>
      <c r="L5599" s="18"/>
    </row>
    <row r="5600" hidden="1">
      <c r="A5600" s="2">
        <f>IFERROR(__xludf.DUMMYFUNCTION("""COMPUTED_VALUE"""),119250.0)</f>
        <v>119250</v>
      </c>
      <c r="B5600" s="2">
        <f>IFERROR(__xludf.DUMMYFUNCTION("""COMPUTED_VALUE"""),1.0)</f>
        <v>1</v>
      </c>
      <c r="C5600" s="2">
        <f>IFERROR(__xludf.DUMMYFUNCTION("""COMPUTED_VALUE"""),129.0)</f>
        <v>129</v>
      </c>
      <c r="D5600" s="3">
        <f>IFERROR(__xludf.DUMMYFUNCTION("""COMPUTED_VALUE"""),98.0)</f>
        <v>98</v>
      </c>
      <c r="E5600" s="1" t="str">
        <f t="array" ref="E5600">_xlfn.XLOOKUP(A5600,Product!A:A,Product!B:B,"Bulunamadı")</f>
        <v>Law</v>
      </c>
      <c r="F5600" s="1" t="str">
        <f t="array" ref="F5600">_xlfn.XLOOKUP(A5600,Product!A:A,Product!C:C,"Bulunamadı")</f>
        <v>Interior Design</v>
      </c>
      <c r="G5600" s="2" t="str">
        <f t="array" ref="G5600">_xlfn.XLOOKUP(A5601,Product!A:A,Product!D:D,"Bulunamadı")</f>
        <v>Riverwind Publishing House</v>
      </c>
      <c r="H5600" s="2">
        <f t="array" ref="H5600">_xlfn.XLOOKUP(A5602,Product!A:A,Product!E:E,"Bulunamadı")</f>
        <v>1.86</v>
      </c>
      <c r="I5600" s="2" t="str">
        <f t="shared" si="1"/>
        <v>119250 - Law - Interior Design</v>
      </c>
      <c r="J5600" s="2">
        <f t="shared" si="2"/>
        <v>182.28</v>
      </c>
      <c r="K5600" s="17">
        <f t="shared" si="3"/>
        <v>1</v>
      </c>
      <c r="L5600" s="18"/>
    </row>
    <row r="5601" hidden="1">
      <c r="A5601" s="2">
        <f>IFERROR(__xludf.DUMMYFUNCTION("""COMPUTED_VALUE"""),122297.0)</f>
        <v>122297</v>
      </c>
      <c r="B5601" s="2">
        <f>IFERROR(__xludf.DUMMYFUNCTION("""COMPUTED_VALUE"""),1.0)</f>
        <v>1</v>
      </c>
      <c r="C5601" s="2">
        <f>IFERROR(__xludf.DUMMYFUNCTION("""COMPUTED_VALUE"""),576.0)</f>
        <v>576</v>
      </c>
      <c r="D5601" s="3">
        <f>IFERROR(__xludf.DUMMYFUNCTION("""COMPUTED_VALUE"""),120.0)</f>
        <v>120</v>
      </c>
      <c r="E5601" s="1" t="str">
        <f t="array" ref="E5601">_xlfn.XLOOKUP(A5601,Product!A:A,Product!B:B,"Bulunamadı")</f>
        <v>Law</v>
      </c>
      <c r="F5601" s="1" t="str">
        <f t="array" ref="F5601">_xlfn.XLOOKUP(A5601,Product!A:A,Product!C:C,"Bulunamadı")</f>
        <v>Interior Design</v>
      </c>
      <c r="G5601" s="2" t="str">
        <f t="array" ref="G5601">_xlfn.XLOOKUP(A5602,Product!A:A,Product!D:D,"Bulunamadı")</f>
        <v>Riverwind Publishing House</v>
      </c>
      <c r="H5601" s="2">
        <f t="array" ref="H5601">_xlfn.XLOOKUP(A5603,Product!A:A,Product!E:E,"Bulunamadı")</f>
        <v>3.01</v>
      </c>
      <c r="I5601" s="2" t="str">
        <f t="shared" si="1"/>
        <v>122297 - Law - Interior Design</v>
      </c>
      <c r="J5601" s="2">
        <f t="shared" si="2"/>
        <v>361.2</v>
      </c>
      <c r="K5601" s="17">
        <f t="shared" si="3"/>
        <v>1</v>
      </c>
      <c r="L5601" s="18"/>
    </row>
    <row r="5602" hidden="1">
      <c r="A5602" s="2">
        <f>IFERROR(__xludf.DUMMYFUNCTION("""COMPUTED_VALUE"""),164879.0)</f>
        <v>164879</v>
      </c>
      <c r="B5602" s="2">
        <f>IFERROR(__xludf.DUMMYFUNCTION("""COMPUTED_VALUE"""),0.0)</f>
        <v>0</v>
      </c>
      <c r="C5602" s="2">
        <f>IFERROR(__xludf.DUMMYFUNCTION("""COMPUTED_VALUE"""),859.0)</f>
        <v>859</v>
      </c>
      <c r="D5602" s="3">
        <f>IFERROR(__xludf.DUMMYFUNCTION("""COMPUTED_VALUE"""),583.0)</f>
        <v>583</v>
      </c>
      <c r="E5602" s="1" t="str">
        <f t="array" ref="E5602">_xlfn.XLOOKUP(A5602,Product!A:A,Product!B:B,"Bulunamadı")</f>
        <v>Law</v>
      </c>
      <c r="F5602" s="1" t="str">
        <f t="array" ref="F5602">_xlfn.XLOOKUP(A5602,Product!A:A,Product!C:C,"Bulunamadı")</f>
        <v>Interior Design</v>
      </c>
      <c r="G5602" s="2" t="str">
        <f t="array" ref="G5602">_xlfn.XLOOKUP(A5603,Product!A:A,Product!D:D,"Bulunamadı")</f>
        <v>Riverwind Publishing House</v>
      </c>
      <c r="H5602" s="2">
        <f t="array" ref="H5602">_xlfn.XLOOKUP(A5604,Product!A:A,Product!E:E,"Bulunamadı")</f>
        <v>2.83</v>
      </c>
      <c r="I5602" s="2" t="str">
        <f t="shared" si="1"/>
        <v>164879 - Law - Interior Design</v>
      </c>
      <c r="J5602" s="2">
        <f t="shared" si="2"/>
        <v>1649.89</v>
      </c>
      <c r="K5602" s="17">
        <f t="shared" si="3"/>
        <v>1</v>
      </c>
      <c r="L5602" s="18"/>
    </row>
    <row r="5603" hidden="1">
      <c r="A5603" s="2">
        <f>IFERROR(__xludf.DUMMYFUNCTION("""COMPUTED_VALUE"""),48697.0)</f>
        <v>48697</v>
      </c>
      <c r="B5603" s="2">
        <f>IFERROR(__xludf.DUMMYFUNCTION("""COMPUTED_VALUE"""),0.0)</f>
        <v>0</v>
      </c>
      <c r="C5603" s="2">
        <f>IFERROR(__xludf.DUMMYFUNCTION("""COMPUTED_VALUE"""),364.0)</f>
        <v>364</v>
      </c>
      <c r="D5603" s="3">
        <f>IFERROR(__xludf.DUMMYFUNCTION("""COMPUTED_VALUE"""),272.0)</f>
        <v>272</v>
      </c>
      <c r="E5603" s="1" t="str">
        <f t="array" ref="E5603">_xlfn.XLOOKUP(A5603,Product!A:A,Product!B:B,"Bulunamadı")</f>
        <v>Law</v>
      </c>
      <c r="F5603" s="1" t="str">
        <f t="array" ref="F5603">_xlfn.XLOOKUP(A5603,Product!A:A,Product!C:C,"Bulunamadı")</f>
        <v>Interior Design</v>
      </c>
      <c r="G5603" s="2" t="str">
        <f t="array" ref="G5603">_xlfn.XLOOKUP(A5604,Product!A:A,Product!D:D,"Bulunamadı")</f>
        <v>Riverwind Publishing House</v>
      </c>
      <c r="H5603" s="2">
        <f t="array" ref="H5603">_xlfn.XLOOKUP(A5605,Product!A:A,Product!E:E,"Bulunamadı")</f>
        <v>2.13</v>
      </c>
      <c r="I5603" s="2" t="str">
        <f t="shared" si="1"/>
        <v>48697 - Law - Interior Design</v>
      </c>
      <c r="J5603" s="2">
        <f t="shared" si="2"/>
        <v>579.36</v>
      </c>
      <c r="K5603" s="17">
        <f t="shared" si="3"/>
        <v>1</v>
      </c>
      <c r="L5603" s="18"/>
    </row>
    <row r="5604" hidden="1">
      <c r="A5604" s="2">
        <f>IFERROR(__xludf.DUMMYFUNCTION("""COMPUTED_VALUE"""),122299.0)</f>
        <v>122299</v>
      </c>
      <c r="B5604" s="2">
        <f>IFERROR(__xludf.DUMMYFUNCTION("""COMPUTED_VALUE"""),0.0)</f>
        <v>0</v>
      </c>
      <c r="C5604" s="2">
        <f>IFERROR(__xludf.DUMMYFUNCTION("""COMPUTED_VALUE"""),542.0)</f>
        <v>542</v>
      </c>
      <c r="D5604" s="3">
        <f>IFERROR(__xludf.DUMMYFUNCTION("""COMPUTED_VALUE"""),328.0)</f>
        <v>328</v>
      </c>
      <c r="E5604" s="1" t="str">
        <f t="array" ref="E5604">_xlfn.XLOOKUP(A5604,Product!A:A,Product!B:B,"Bulunamadı")</f>
        <v>Law</v>
      </c>
      <c r="F5604" s="1" t="str">
        <f t="array" ref="F5604">_xlfn.XLOOKUP(A5604,Product!A:A,Product!C:C,"Bulunamadı")</f>
        <v>Interior Design</v>
      </c>
      <c r="G5604" s="2" t="str">
        <f t="array" ref="G5604">_xlfn.XLOOKUP(A5605,Product!A:A,Product!D:D,"Bulunamadı")</f>
        <v>Riverwind Publishing House</v>
      </c>
      <c r="H5604" s="2">
        <f t="array" ref="H5604">_xlfn.XLOOKUP(A5606,Product!A:A,Product!E:E,"Bulunamadı")</f>
        <v>3.5</v>
      </c>
      <c r="I5604" s="2" t="str">
        <f t="shared" si="1"/>
        <v>122299 - Law - Interior Design</v>
      </c>
      <c r="J5604" s="2">
        <f t="shared" si="2"/>
        <v>1148</v>
      </c>
      <c r="K5604" s="17">
        <f t="shared" si="3"/>
        <v>1</v>
      </c>
      <c r="L5604" s="18"/>
    </row>
    <row r="5605" hidden="1">
      <c r="A5605" s="2">
        <f>IFERROR(__xludf.DUMMYFUNCTION("""COMPUTED_VALUE"""),82997.0)</f>
        <v>82997</v>
      </c>
      <c r="B5605" s="2">
        <f>IFERROR(__xludf.DUMMYFUNCTION("""COMPUTED_VALUE"""),1.0)</f>
        <v>1</v>
      </c>
      <c r="C5605" s="2">
        <f>IFERROR(__xludf.DUMMYFUNCTION("""COMPUTED_VALUE"""),205.0)</f>
        <v>205</v>
      </c>
      <c r="D5605" s="3">
        <f>IFERROR(__xludf.DUMMYFUNCTION("""COMPUTED_VALUE"""),36.0)</f>
        <v>36</v>
      </c>
      <c r="E5605" s="1" t="str">
        <f t="array" ref="E5605">_xlfn.XLOOKUP(A5605,Product!A:A,Product!B:B,"Bulunamadı")</f>
        <v>Law</v>
      </c>
      <c r="F5605" s="1" t="str">
        <f t="array" ref="F5605">_xlfn.XLOOKUP(A5605,Product!A:A,Product!C:C,"Bulunamadı")</f>
        <v>Interior Design</v>
      </c>
      <c r="G5605" s="2" t="str">
        <f t="array" ref="G5605">_xlfn.XLOOKUP(A5606,Product!A:A,Product!D:D,"Bulunamadı")</f>
        <v>Riverwind Publishing House</v>
      </c>
      <c r="H5605" s="2">
        <f t="array" ref="H5605">_xlfn.XLOOKUP(A5607,Product!A:A,Product!E:E,"Bulunamadı")</f>
        <v>3.73</v>
      </c>
      <c r="I5605" s="2" t="str">
        <f t="shared" si="1"/>
        <v>82997 - Law - Interior Design</v>
      </c>
      <c r="J5605" s="2">
        <f t="shared" si="2"/>
        <v>134.28</v>
      </c>
      <c r="K5605" s="17">
        <f t="shared" si="3"/>
        <v>1</v>
      </c>
      <c r="L5605" s="18"/>
    </row>
    <row r="5606" hidden="1">
      <c r="A5606" s="2">
        <f>IFERROR(__xludf.DUMMYFUNCTION("""COMPUTED_VALUE"""),108350.0)</f>
        <v>108350</v>
      </c>
      <c r="B5606" s="2">
        <f>IFERROR(__xludf.DUMMYFUNCTION("""COMPUTED_VALUE"""),0.0)</f>
        <v>0</v>
      </c>
      <c r="C5606" s="2">
        <f>IFERROR(__xludf.DUMMYFUNCTION("""COMPUTED_VALUE"""),377.0)</f>
        <v>377</v>
      </c>
      <c r="D5606" s="3">
        <f>IFERROR(__xludf.DUMMYFUNCTION("""COMPUTED_VALUE"""),41.0)</f>
        <v>41</v>
      </c>
      <c r="E5606" s="1" t="str">
        <f t="array" ref="E5606">_xlfn.XLOOKUP(A5606,Product!A:A,Product!B:B,"Bulunamadı")</f>
        <v>Law</v>
      </c>
      <c r="F5606" s="1" t="str">
        <f t="array" ref="F5606">_xlfn.XLOOKUP(A5606,Product!A:A,Product!C:C,"Bulunamadı")</f>
        <v>Interior Design</v>
      </c>
      <c r="G5606" s="2" t="str">
        <f t="array" ref="G5606">_xlfn.XLOOKUP(A5607,Product!A:A,Product!D:D,"Bulunamadı")</f>
        <v>Riverwind Publishing House</v>
      </c>
      <c r="H5606" s="2">
        <f t="array" ref="H5606">_xlfn.XLOOKUP(A5608,Product!A:A,Product!E:E,"Bulunamadı")</f>
        <v>3.74</v>
      </c>
      <c r="I5606" s="2" t="str">
        <f t="shared" si="1"/>
        <v>108350 - Law - Interior Design</v>
      </c>
      <c r="J5606" s="2">
        <f t="shared" si="2"/>
        <v>153.34</v>
      </c>
      <c r="K5606" s="17">
        <f t="shared" si="3"/>
        <v>1</v>
      </c>
      <c r="L5606" s="18"/>
    </row>
    <row r="5607" hidden="1">
      <c r="A5607" s="2">
        <f>IFERROR(__xludf.DUMMYFUNCTION("""COMPUTED_VALUE"""),48699.0)</f>
        <v>48699</v>
      </c>
      <c r="B5607" s="2">
        <f>IFERROR(__xludf.DUMMYFUNCTION("""COMPUTED_VALUE"""),1.0)</f>
        <v>1</v>
      </c>
      <c r="C5607" s="2">
        <f>IFERROR(__xludf.DUMMYFUNCTION("""COMPUTED_VALUE"""),426.0)</f>
        <v>426</v>
      </c>
      <c r="D5607" s="3">
        <f>IFERROR(__xludf.DUMMYFUNCTION("""COMPUTED_VALUE"""),98.0)</f>
        <v>98</v>
      </c>
      <c r="E5607" s="1" t="str">
        <f t="array" ref="E5607">_xlfn.XLOOKUP(A5607,Product!A:A,Product!B:B,"Bulunamadı")</f>
        <v>Law</v>
      </c>
      <c r="F5607" s="1" t="str">
        <f t="array" ref="F5607">_xlfn.XLOOKUP(A5607,Product!A:A,Product!C:C,"Bulunamadı")</f>
        <v>Interior Design</v>
      </c>
      <c r="G5607" s="2" t="str">
        <f t="array" ref="G5607">_xlfn.XLOOKUP(A5608,Product!A:A,Product!D:D,"Bulunamadı")</f>
        <v>Riverwind Publishing House</v>
      </c>
      <c r="H5607" s="2">
        <f t="array" ref="H5607">_xlfn.XLOOKUP(A5609,Product!A:A,Product!E:E,"Bulunamadı")</f>
        <v>2.57</v>
      </c>
      <c r="I5607" s="2" t="str">
        <f t="shared" si="1"/>
        <v>48699 - Law - Interior Design</v>
      </c>
      <c r="J5607" s="2">
        <f t="shared" si="2"/>
        <v>251.86</v>
      </c>
      <c r="K5607" s="17">
        <f t="shared" si="3"/>
        <v>1</v>
      </c>
      <c r="L5607" s="18"/>
    </row>
    <row r="5608" hidden="1">
      <c r="A5608" s="2">
        <f>IFERROR(__xludf.DUMMYFUNCTION("""COMPUTED_VALUE"""),108364.0)</f>
        <v>108364</v>
      </c>
      <c r="B5608" s="2">
        <f>IFERROR(__xludf.DUMMYFUNCTION("""COMPUTED_VALUE"""),1.0)</f>
        <v>1</v>
      </c>
      <c r="C5608" s="2">
        <f>IFERROR(__xludf.DUMMYFUNCTION("""COMPUTED_VALUE"""),551.0)</f>
        <v>551</v>
      </c>
      <c r="D5608" s="3">
        <f>IFERROR(__xludf.DUMMYFUNCTION("""COMPUTED_VALUE"""),121.0)</f>
        <v>121</v>
      </c>
      <c r="E5608" s="1" t="str">
        <f t="array" ref="E5608">_xlfn.XLOOKUP(A5608,Product!A:A,Product!B:B,"Bulunamadı")</f>
        <v>Law</v>
      </c>
      <c r="F5608" s="1" t="str">
        <f t="array" ref="F5608">_xlfn.XLOOKUP(A5608,Product!A:A,Product!C:C,"Bulunamadı")</f>
        <v>Interior Design</v>
      </c>
      <c r="G5608" s="2" t="str">
        <f t="array" ref="G5608">_xlfn.XLOOKUP(A5609,Product!A:A,Product!D:D,"Bulunamadı")</f>
        <v>Riverwind Publishing House</v>
      </c>
      <c r="H5608" s="2">
        <f t="array" ref="H5608">_xlfn.XLOOKUP(A5610,Product!A:A,Product!E:E,"Bulunamadı")</f>
        <v>4.98</v>
      </c>
      <c r="I5608" s="2" t="str">
        <f t="shared" si="1"/>
        <v>108364 - Law - Interior Design</v>
      </c>
      <c r="J5608" s="2">
        <f t="shared" si="2"/>
        <v>602.58</v>
      </c>
      <c r="K5608" s="17">
        <f t="shared" si="3"/>
        <v>1</v>
      </c>
      <c r="L5608" s="18"/>
    </row>
    <row r="5609" hidden="1">
      <c r="A5609" s="2">
        <f>IFERROR(__xludf.DUMMYFUNCTION("""COMPUTED_VALUE"""),5799.0)</f>
        <v>5799</v>
      </c>
      <c r="B5609" s="2">
        <f>IFERROR(__xludf.DUMMYFUNCTION("""COMPUTED_VALUE"""),0.0)</f>
        <v>0</v>
      </c>
      <c r="C5609" s="2">
        <f>IFERROR(__xludf.DUMMYFUNCTION("""COMPUTED_VALUE"""),145.0)</f>
        <v>145</v>
      </c>
      <c r="D5609" s="3">
        <f>IFERROR(__xludf.DUMMYFUNCTION("""COMPUTED_VALUE"""),66.0)</f>
        <v>66</v>
      </c>
      <c r="E5609" s="1" t="str">
        <f t="array" ref="E5609">_xlfn.XLOOKUP(A5609,Product!A:A,Product!B:B,"Bulunamadı")</f>
        <v>Law</v>
      </c>
      <c r="F5609" s="1" t="str">
        <f t="array" ref="F5609">_xlfn.XLOOKUP(A5609,Product!A:A,Product!C:C,"Bulunamadı")</f>
        <v>Interior Design</v>
      </c>
      <c r="G5609" s="2" t="str">
        <f t="array" ref="G5609">_xlfn.XLOOKUP(A5610,Product!A:A,Product!D:D,"Bulunamadı")</f>
        <v>Ironwind Publishing House</v>
      </c>
      <c r="H5609" s="2">
        <f t="array" ref="H5609">_xlfn.XLOOKUP(A5611,Product!A:A,Product!E:E,"Bulunamadı")</f>
        <v>0.9</v>
      </c>
      <c r="I5609" s="2" t="str">
        <f t="shared" si="1"/>
        <v>5799 - Law - Interior Design</v>
      </c>
      <c r="J5609" s="2">
        <f t="shared" si="2"/>
        <v>59.4</v>
      </c>
      <c r="K5609" s="17">
        <f t="shared" si="3"/>
        <v>1</v>
      </c>
      <c r="L5609" s="18"/>
    </row>
    <row r="5610" hidden="1">
      <c r="A5610" s="2">
        <f>IFERROR(__xludf.DUMMYFUNCTION("""COMPUTED_VALUE"""),81501.0)</f>
        <v>81501</v>
      </c>
      <c r="B5610" s="2">
        <f>IFERROR(__xludf.DUMMYFUNCTION("""COMPUTED_VALUE"""),1.0)</f>
        <v>1</v>
      </c>
      <c r="C5610" s="2">
        <f>IFERROR(__xludf.DUMMYFUNCTION("""COMPUTED_VALUE"""),500.0)</f>
        <v>500</v>
      </c>
      <c r="D5610" s="3">
        <f>IFERROR(__xludf.DUMMYFUNCTION("""COMPUTED_VALUE"""),176.0)</f>
        <v>176</v>
      </c>
      <c r="E5610" s="1" t="str">
        <f t="array" ref="E5610">_xlfn.XLOOKUP(A5610,Product!A:A,Product!B:B,"Bulunamadı")</f>
        <v>Law</v>
      </c>
      <c r="F5610" s="1" t="str">
        <f t="array" ref="F5610">_xlfn.XLOOKUP(A5610,Product!A:A,Product!C:C,"Bulunamadı")</f>
        <v>Interior Design</v>
      </c>
      <c r="G5610" s="2" t="str">
        <f t="array" ref="G5610">_xlfn.XLOOKUP(A5611,Product!A:A,Product!D:D,"Bulunamadı")</f>
        <v>Ironwind Publishing House</v>
      </c>
      <c r="H5610" s="2">
        <f t="array" ref="H5610">_xlfn.XLOOKUP(A5612,Product!A:A,Product!E:E,"Bulunamadı")</f>
        <v>0.81</v>
      </c>
      <c r="I5610" s="2" t="str">
        <f t="shared" si="1"/>
        <v>81501 - Law - Interior Design</v>
      </c>
      <c r="J5610" s="2">
        <f t="shared" si="2"/>
        <v>142.56</v>
      </c>
      <c r="K5610" s="17">
        <f t="shared" si="3"/>
        <v>1</v>
      </c>
      <c r="L5610" s="18"/>
    </row>
    <row r="5611" hidden="1">
      <c r="A5611" s="2">
        <f>IFERROR(__xludf.DUMMYFUNCTION("""COMPUTED_VALUE"""),47648.0)</f>
        <v>47648</v>
      </c>
      <c r="B5611" s="2">
        <f>IFERROR(__xludf.DUMMYFUNCTION("""COMPUTED_VALUE"""),1.0)</f>
        <v>1</v>
      </c>
      <c r="C5611" s="2">
        <f>IFERROR(__xludf.DUMMYFUNCTION("""COMPUTED_VALUE"""),665.0)</f>
        <v>665</v>
      </c>
      <c r="D5611" s="3">
        <f>IFERROR(__xludf.DUMMYFUNCTION("""COMPUTED_VALUE"""),86.0)</f>
        <v>86</v>
      </c>
      <c r="E5611" s="1" t="str">
        <f t="array" ref="E5611">_xlfn.XLOOKUP(A5611,Product!A:A,Product!B:B,"Bulunamadı")</f>
        <v>Law</v>
      </c>
      <c r="F5611" s="1" t="str">
        <f t="array" ref="F5611">_xlfn.XLOOKUP(A5611,Product!A:A,Product!C:C,"Bulunamadı")</f>
        <v>Interior Design</v>
      </c>
      <c r="G5611" s="2" t="str">
        <f t="array" ref="G5611">_xlfn.XLOOKUP(A5612,Product!A:A,Product!D:D,"Bulunamadı")</f>
        <v>Ironwind Publishing House</v>
      </c>
      <c r="H5611" s="2">
        <f t="array" ref="H5611">_xlfn.XLOOKUP(A5613,Product!A:A,Product!E:E,"Bulunamadı")</f>
        <v>1.27</v>
      </c>
      <c r="I5611" s="2" t="str">
        <f t="shared" si="1"/>
        <v>47648 - Law - Interior Design</v>
      </c>
      <c r="J5611" s="2">
        <f t="shared" si="2"/>
        <v>109.22</v>
      </c>
      <c r="K5611" s="17">
        <f t="shared" si="3"/>
        <v>1</v>
      </c>
      <c r="L5611" s="18"/>
    </row>
    <row r="5612" hidden="1">
      <c r="A5612" s="2">
        <f>IFERROR(__xludf.DUMMYFUNCTION("""COMPUTED_VALUE"""),105328.0)</f>
        <v>105328</v>
      </c>
      <c r="B5612" s="2">
        <f>IFERROR(__xludf.DUMMYFUNCTION("""COMPUTED_VALUE"""),0.0)</f>
        <v>0</v>
      </c>
      <c r="C5612" s="2">
        <f>IFERROR(__xludf.DUMMYFUNCTION("""COMPUTED_VALUE"""),82.0)</f>
        <v>82</v>
      </c>
      <c r="D5612" s="3">
        <f>IFERROR(__xludf.DUMMYFUNCTION("""COMPUTED_VALUE"""),37.0)</f>
        <v>37</v>
      </c>
      <c r="E5612" s="1" t="str">
        <f t="array" ref="E5612">_xlfn.XLOOKUP(A5612,Product!A:A,Product!B:B,"Bulunamadı")</f>
        <v>Law</v>
      </c>
      <c r="F5612" s="1" t="str">
        <f t="array" ref="F5612">_xlfn.XLOOKUP(A5612,Product!A:A,Product!C:C,"Bulunamadı")</f>
        <v>Interior Design</v>
      </c>
      <c r="G5612" s="2" t="str">
        <f t="array" ref="G5612">_xlfn.XLOOKUP(A5613,Product!A:A,Product!D:D,"Bulunamadı")</f>
        <v>Ironwind Publishing House</v>
      </c>
      <c r="H5612" s="2">
        <f t="array" ref="H5612">_xlfn.XLOOKUP(A5614,Product!A:A,Product!E:E,"Bulunamadı")</f>
        <v>1.19</v>
      </c>
      <c r="I5612" s="2" t="str">
        <f t="shared" si="1"/>
        <v>105328 - Law - Interior Design</v>
      </c>
      <c r="J5612" s="2">
        <f t="shared" si="2"/>
        <v>44.03</v>
      </c>
      <c r="K5612" s="17">
        <f t="shared" si="3"/>
        <v>1</v>
      </c>
      <c r="L5612" s="18"/>
    </row>
    <row r="5613" hidden="1">
      <c r="A5613" s="2">
        <f>IFERROR(__xludf.DUMMYFUNCTION("""COMPUTED_VALUE"""),47654.0)</f>
        <v>47654</v>
      </c>
      <c r="B5613" s="2">
        <f>IFERROR(__xludf.DUMMYFUNCTION("""COMPUTED_VALUE"""),0.0)</f>
        <v>0</v>
      </c>
      <c r="C5613" s="2">
        <f>IFERROR(__xludf.DUMMYFUNCTION("""COMPUTED_VALUE"""),304.0)</f>
        <v>304</v>
      </c>
      <c r="D5613" s="3">
        <f>IFERROR(__xludf.DUMMYFUNCTION("""COMPUTED_VALUE"""),276.0)</f>
        <v>276</v>
      </c>
      <c r="E5613" s="1" t="str">
        <f t="array" ref="E5613">_xlfn.XLOOKUP(A5613,Product!A:A,Product!B:B,"Bulunamadı")</f>
        <v>Law</v>
      </c>
      <c r="F5613" s="1" t="str">
        <f t="array" ref="F5613">_xlfn.XLOOKUP(A5613,Product!A:A,Product!C:C,"Bulunamadı")</f>
        <v>Interior Design</v>
      </c>
      <c r="G5613" s="2" t="str">
        <f t="array" ref="G5613">_xlfn.XLOOKUP(A5614,Product!A:A,Product!D:D,"Bulunamadı")</f>
        <v>Ironwind Publishing House</v>
      </c>
      <c r="H5613" s="2">
        <f t="array" ref="H5613">_xlfn.XLOOKUP(A5615,Product!A:A,Product!E:E,"Bulunamadı")</f>
        <v>2.16</v>
      </c>
      <c r="I5613" s="2" t="str">
        <f t="shared" si="1"/>
        <v>47654 - Law - Interior Design</v>
      </c>
      <c r="J5613" s="2">
        <f t="shared" si="2"/>
        <v>596.16</v>
      </c>
      <c r="K5613" s="17">
        <f t="shared" si="3"/>
        <v>1</v>
      </c>
      <c r="L5613" s="18"/>
    </row>
    <row r="5614" hidden="1">
      <c r="A5614" s="2">
        <f>IFERROR(__xludf.DUMMYFUNCTION("""COMPUTED_VALUE"""),82371.0)</f>
        <v>82371</v>
      </c>
      <c r="B5614" s="2">
        <f>IFERROR(__xludf.DUMMYFUNCTION("""COMPUTED_VALUE"""),1.0)</f>
        <v>1</v>
      </c>
      <c r="C5614" s="2">
        <f>IFERROR(__xludf.DUMMYFUNCTION("""COMPUTED_VALUE"""),287.0)</f>
        <v>287</v>
      </c>
      <c r="D5614" s="3">
        <f>IFERROR(__xludf.DUMMYFUNCTION("""COMPUTED_VALUE"""),261.0)</f>
        <v>261</v>
      </c>
      <c r="E5614" s="1" t="str">
        <f t="array" ref="E5614">_xlfn.XLOOKUP(A5614,Product!A:A,Product!B:B,"Bulunamadı")</f>
        <v>Law</v>
      </c>
      <c r="F5614" s="1" t="str">
        <f t="array" ref="F5614">_xlfn.XLOOKUP(A5614,Product!A:A,Product!C:C,"Bulunamadı")</f>
        <v>Interior Design</v>
      </c>
      <c r="G5614" s="2" t="str">
        <f t="array" ref="G5614">_xlfn.XLOOKUP(A5615,Product!A:A,Product!D:D,"Bulunamadı")</f>
        <v>Ironwind Publishing House</v>
      </c>
      <c r="H5614" s="2">
        <f t="array" ref="H5614">_xlfn.XLOOKUP(A5616,Product!A:A,Product!E:E,"Bulunamadı")</f>
        <v>1.51</v>
      </c>
      <c r="I5614" s="2" t="str">
        <f t="shared" si="1"/>
        <v>82371 - Law - Interior Design</v>
      </c>
      <c r="J5614" s="2">
        <f t="shared" si="2"/>
        <v>394.11</v>
      </c>
      <c r="K5614" s="17">
        <f t="shared" si="3"/>
        <v>1</v>
      </c>
      <c r="L5614" s="18"/>
    </row>
    <row r="5615" hidden="1">
      <c r="A5615" s="2">
        <f>IFERROR(__xludf.DUMMYFUNCTION("""COMPUTED_VALUE"""),81500.0)</f>
        <v>81500</v>
      </c>
      <c r="B5615" s="2">
        <f>IFERROR(__xludf.DUMMYFUNCTION("""COMPUTED_VALUE"""),0.0)</f>
        <v>0</v>
      </c>
      <c r="C5615" s="2">
        <f>IFERROR(__xludf.DUMMYFUNCTION("""COMPUTED_VALUE"""),566.0)</f>
        <v>566</v>
      </c>
      <c r="D5615" s="3">
        <f>IFERROR(__xludf.DUMMYFUNCTION("""COMPUTED_VALUE"""),367.0)</f>
        <v>367</v>
      </c>
      <c r="E5615" s="1" t="str">
        <f t="array" ref="E5615">_xlfn.XLOOKUP(A5615,Product!A:A,Product!B:B,"Bulunamadı")</f>
        <v>Law</v>
      </c>
      <c r="F5615" s="1" t="str">
        <f t="array" ref="F5615">_xlfn.XLOOKUP(A5615,Product!A:A,Product!C:C,"Bulunamadı")</f>
        <v>Interior Design</v>
      </c>
      <c r="G5615" s="2" t="str">
        <f t="array" ref="G5615">_xlfn.XLOOKUP(A5616,Product!A:A,Product!D:D,"Bulunamadı")</f>
        <v>Ironwind Publishing House</v>
      </c>
      <c r="H5615" s="2">
        <f t="array" ref="H5615">_xlfn.XLOOKUP(A5617,Product!A:A,Product!E:E,"Bulunamadı")</f>
        <v>1.05</v>
      </c>
      <c r="I5615" s="2" t="str">
        <f t="shared" si="1"/>
        <v>81500 - Law - Interior Design</v>
      </c>
      <c r="J5615" s="2">
        <f t="shared" si="2"/>
        <v>385.35</v>
      </c>
      <c r="K5615" s="17">
        <f t="shared" si="3"/>
        <v>1</v>
      </c>
      <c r="L5615" s="18"/>
    </row>
    <row r="5616" hidden="1">
      <c r="A5616" s="2">
        <f>IFERROR(__xludf.DUMMYFUNCTION("""COMPUTED_VALUE"""),48501.0)</f>
        <v>48501</v>
      </c>
      <c r="B5616" s="2">
        <f>IFERROR(__xludf.DUMMYFUNCTION("""COMPUTED_VALUE"""),0.0)</f>
        <v>0</v>
      </c>
      <c r="C5616" s="2">
        <f>IFERROR(__xludf.DUMMYFUNCTION("""COMPUTED_VALUE"""),207.0)</f>
        <v>207</v>
      </c>
      <c r="D5616" s="3">
        <f>IFERROR(__xludf.DUMMYFUNCTION("""COMPUTED_VALUE"""),67.0)</f>
        <v>67</v>
      </c>
      <c r="E5616" s="1" t="str">
        <f t="array" ref="E5616">_xlfn.XLOOKUP(A5616,Product!A:A,Product!B:B,"Bulunamadı")</f>
        <v>Law</v>
      </c>
      <c r="F5616" s="1" t="str">
        <f t="array" ref="F5616">_xlfn.XLOOKUP(A5616,Product!A:A,Product!C:C,"Bulunamadı")</f>
        <v>Interior Design</v>
      </c>
      <c r="G5616" s="2" t="str">
        <f t="array" ref="G5616">_xlfn.XLOOKUP(A5617,Product!A:A,Product!D:D,"Bulunamadı")</f>
        <v>Ironwind Publishing House</v>
      </c>
      <c r="H5616" s="2">
        <f t="array" ref="H5616">_xlfn.XLOOKUP(A5618,Product!A:A,Product!E:E,"Bulunamadı")</f>
        <v>1.32</v>
      </c>
      <c r="I5616" s="2" t="str">
        <f t="shared" si="1"/>
        <v>48501 - Law - Interior Design</v>
      </c>
      <c r="J5616" s="2">
        <f t="shared" si="2"/>
        <v>88.44</v>
      </c>
      <c r="K5616" s="17">
        <f t="shared" si="3"/>
        <v>1</v>
      </c>
      <c r="L5616" s="18"/>
    </row>
    <row r="5617" hidden="1">
      <c r="A5617" s="2">
        <f>IFERROR(__xludf.DUMMYFUNCTION("""COMPUTED_VALUE"""),81498.0)</f>
        <v>81498</v>
      </c>
      <c r="B5617" s="2">
        <f>IFERROR(__xludf.DUMMYFUNCTION("""COMPUTED_VALUE"""),0.0)</f>
        <v>0</v>
      </c>
      <c r="C5617" s="2">
        <f>IFERROR(__xludf.DUMMYFUNCTION("""COMPUTED_VALUE"""),542.0)</f>
        <v>542</v>
      </c>
      <c r="D5617" s="3">
        <f>IFERROR(__xludf.DUMMYFUNCTION("""COMPUTED_VALUE"""),506.0)</f>
        <v>506</v>
      </c>
      <c r="E5617" s="1" t="str">
        <f t="array" ref="E5617">_xlfn.XLOOKUP(A5617,Product!A:A,Product!B:B,"Bulunamadı")</f>
        <v>Law</v>
      </c>
      <c r="F5617" s="1" t="str">
        <f t="array" ref="F5617">_xlfn.XLOOKUP(A5617,Product!A:A,Product!C:C,"Bulunamadı")</f>
        <v>Interior Design</v>
      </c>
      <c r="G5617" s="2" t="str">
        <f t="array" ref="G5617">_xlfn.XLOOKUP(A5618,Product!A:A,Product!D:D,"Bulunamadı")</f>
        <v>Ironwind Publishing House</v>
      </c>
      <c r="H5617" s="2">
        <f t="array" ref="H5617">_xlfn.XLOOKUP(A5619,Product!A:A,Product!E:E,"Bulunamadı")</f>
        <v>1.28</v>
      </c>
      <c r="I5617" s="2" t="str">
        <f t="shared" si="1"/>
        <v>81498 - Law - Interior Design</v>
      </c>
      <c r="J5617" s="2">
        <f t="shared" si="2"/>
        <v>647.68</v>
      </c>
      <c r="K5617" s="17">
        <f t="shared" si="3"/>
        <v>1</v>
      </c>
      <c r="L5617" s="18"/>
    </row>
    <row r="5618" hidden="1">
      <c r="A5618" s="2">
        <f>IFERROR(__xludf.DUMMYFUNCTION("""COMPUTED_VALUE"""),48498.0)</f>
        <v>48498</v>
      </c>
      <c r="B5618" s="2">
        <f>IFERROR(__xludf.DUMMYFUNCTION("""COMPUTED_VALUE"""),1.0)</f>
        <v>1</v>
      </c>
      <c r="C5618" s="2">
        <f>IFERROR(__xludf.DUMMYFUNCTION("""COMPUTED_VALUE"""),336.0)</f>
        <v>336</v>
      </c>
      <c r="D5618" s="3">
        <f>IFERROR(__xludf.DUMMYFUNCTION("""COMPUTED_VALUE"""),164.0)</f>
        <v>164</v>
      </c>
      <c r="E5618" s="1" t="str">
        <f t="array" ref="E5618">_xlfn.XLOOKUP(A5618,Product!A:A,Product!B:B,"Bulunamadı")</f>
        <v>Law</v>
      </c>
      <c r="F5618" s="1" t="str">
        <f t="array" ref="F5618">_xlfn.XLOOKUP(A5618,Product!A:A,Product!C:C,"Bulunamadı")</f>
        <v>Interior Design</v>
      </c>
      <c r="G5618" s="2" t="str">
        <f t="array" ref="G5618">_xlfn.XLOOKUP(A5619,Product!A:A,Product!D:D,"Bulunamadı")</f>
        <v>Ironwind Publishing House</v>
      </c>
      <c r="H5618" s="2">
        <f t="array" ref="H5618">_xlfn.XLOOKUP(A5620,Product!A:A,Product!E:E,"Bulunamadı")</f>
        <v>2.25</v>
      </c>
      <c r="I5618" s="2" t="str">
        <f t="shared" si="1"/>
        <v>48498 - Law - Interior Design</v>
      </c>
      <c r="J5618" s="2">
        <f t="shared" si="2"/>
        <v>369</v>
      </c>
      <c r="K5618" s="17">
        <f t="shared" si="3"/>
        <v>1</v>
      </c>
      <c r="L5618" s="18"/>
    </row>
    <row r="5619" hidden="1">
      <c r="A5619" s="2">
        <f>IFERROR(__xludf.DUMMYFUNCTION("""COMPUTED_VALUE"""),88628.0)</f>
        <v>88628</v>
      </c>
      <c r="B5619" s="2">
        <f>IFERROR(__xludf.DUMMYFUNCTION("""COMPUTED_VALUE"""),0.0)</f>
        <v>0</v>
      </c>
      <c r="C5619" s="2">
        <f>IFERROR(__xludf.DUMMYFUNCTION("""COMPUTED_VALUE"""),550.0)</f>
        <v>550</v>
      </c>
      <c r="D5619" s="3">
        <f>IFERROR(__xludf.DUMMYFUNCTION("""COMPUTED_VALUE"""),422.0)</f>
        <v>422</v>
      </c>
      <c r="E5619" s="1" t="str">
        <f t="array" ref="E5619">_xlfn.XLOOKUP(A5619,Product!A:A,Product!B:B,"Bulunamadı")</f>
        <v>Law</v>
      </c>
      <c r="F5619" s="1" t="str">
        <f t="array" ref="F5619">_xlfn.XLOOKUP(A5619,Product!A:A,Product!C:C,"Bulunamadı")</f>
        <v>Interior Design</v>
      </c>
      <c r="G5619" s="2" t="str">
        <f t="array" ref="G5619">_xlfn.XLOOKUP(A5620,Product!A:A,Product!D:D,"Bulunamadı")</f>
        <v>Ironwind Publishing House</v>
      </c>
      <c r="H5619" s="2">
        <f t="array" ref="H5619">_xlfn.XLOOKUP(A5621,Product!A:A,Product!E:E,"Bulunamadı")</f>
        <v>1.03</v>
      </c>
      <c r="I5619" s="2" t="str">
        <f t="shared" si="1"/>
        <v>88628 - Law - Interior Design</v>
      </c>
      <c r="J5619" s="2">
        <f t="shared" si="2"/>
        <v>434.66</v>
      </c>
      <c r="K5619" s="17">
        <f t="shared" si="3"/>
        <v>1</v>
      </c>
      <c r="L5619" s="18"/>
    </row>
    <row r="5620" hidden="1">
      <c r="A5620" s="2">
        <f>IFERROR(__xludf.DUMMYFUNCTION("""COMPUTED_VALUE"""),180340.0)</f>
        <v>180340</v>
      </c>
      <c r="B5620" s="2">
        <f>IFERROR(__xludf.DUMMYFUNCTION("""COMPUTED_VALUE"""),0.0)</f>
        <v>0</v>
      </c>
      <c r="C5620" s="2">
        <f>IFERROR(__xludf.DUMMYFUNCTION("""COMPUTED_VALUE"""),106.0)</f>
        <v>106</v>
      </c>
      <c r="D5620" s="3">
        <f>IFERROR(__xludf.DUMMYFUNCTION("""COMPUTED_VALUE"""),64.0)</f>
        <v>64</v>
      </c>
      <c r="E5620" s="1" t="str">
        <f t="array" ref="E5620">_xlfn.XLOOKUP(A5620,Product!A:A,Product!B:B,"Bulunamadı")</f>
        <v>Law</v>
      </c>
      <c r="F5620" s="1" t="str">
        <f t="array" ref="F5620">_xlfn.XLOOKUP(A5620,Product!A:A,Product!C:C,"Bulunamadı")</f>
        <v>Interior Design</v>
      </c>
      <c r="G5620" s="2" t="str">
        <f t="array" ref="G5620">_xlfn.XLOOKUP(A5621,Product!A:A,Product!D:D,"Bulunamadı")</f>
        <v>Ironwind Publishing House</v>
      </c>
      <c r="H5620" s="2">
        <f t="array" ref="H5620">_xlfn.XLOOKUP(A5622,Product!A:A,Product!E:E,"Bulunamadı")</f>
        <v>3.24</v>
      </c>
      <c r="I5620" s="2" t="str">
        <f t="shared" si="1"/>
        <v>180340 - Law - Interior Design</v>
      </c>
      <c r="J5620" s="2">
        <f t="shared" si="2"/>
        <v>207.36</v>
      </c>
      <c r="K5620" s="17">
        <f t="shared" si="3"/>
        <v>1</v>
      </c>
      <c r="L5620" s="18"/>
    </row>
    <row r="5621" hidden="1">
      <c r="A5621" s="2">
        <f>IFERROR(__xludf.DUMMYFUNCTION("""COMPUTED_VALUE"""),48503.0)</f>
        <v>48503</v>
      </c>
      <c r="B5621" s="2">
        <f>IFERROR(__xludf.DUMMYFUNCTION("""COMPUTED_VALUE"""),0.0)</f>
        <v>0</v>
      </c>
      <c r="C5621" s="2">
        <f>IFERROR(__xludf.DUMMYFUNCTION("""COMPUTED_VALUE"""),152.0)</f>
        <v>152</v>
      </c>
      <c r="D5621" s="3">
        <f>IFERROR(__xludf.DUMMYFUNCTION("""COMPUTED_VALUE"""),10.0)</f>
        <v>10</v>
      </c>
      <c r="E5621" s="1" t="str">
        <f t="array" ref="E5621">_xlfn.XLOOKUP(A5621,Product!A:A,Product!B:B,"Bulunamadı")</f>
        <v>Law</v>
      </c>
      <c r="F5621" s="1" t="str">
        <f t="array" ref="F5621">_xlfn.XLOOKUP(A5621,Product!A:A,Product!C:C,"Bulunamadı")</f>
        <v>Interior Design</v>
      </c>
      <c r="G5621" s="2" t="str">
        <f t="array" ref="G5621">_xlfn.XLOOKUP(A5622,Product!A:A,Product!D:D,"Bulunamadı")</f>
        <v>Ironwind Publishing House</v>
      </c>
      <c r="H5621" s="2">
        <f t="array" ref="H5621">_xlfn.XLOOKUP(A5623,Product!A:A,Product!E:E,"Bulunamadı")</f>
        <v>1.32</v>
      </c>
      <c r="I5621" s="2" t="str">
        <f t="shared" si="1"/>
        <v>48503 - Law - Interior Design</v>
      </c>
      <c r="J5621" s="2">
        <f t="shared" si="2"/>
        <v>13.2</v>
      </c>
      <c r="K5621" s="17">
        <f t="shared" si="3"/>
        <v>1</v>
      </c>
      <c r="L5621" s="18"/>
    </row>
    <row r="5622" hidden="1">
      <c r="A5622" s="2">
        <f>IFERROR(__xludf.DUMMYFUNCTION("""COMPUTED_VALUE"""),74819.0)</f>
        <v>74819</v>
      </c>
      <c r="B5622" s="2">
        <f>IFERROR(__xludf.DUMMYFUNCTION("""COMPUTED_VALUE"""),1.0)</f>
        <v>1</v>
      </c>
      <c r="C5622" s="2">
        <f>IFERROR(__xludf.DUMMYFUNCTION("""COMPUTED_VALUE"""),444.0)</f>
        <v>444</v>
      </c>
      <c r="D5622" s="3">
        <f>IFERROR(__xludf.DUMMYFUNCTION("""COMPUTED_VALUE"""),38.0)</f>
        <v>38</v>
      </c>
      <c r="E5622" s="1" t="str">
        <f t="array" ref="E5622">_xlfn.XLOOKUP(A5622,Product!A:A,Product!B:B,"Bulunamadı")</f>
        <v>Law</v>
      </c>
      <c r="F5622" s="1" t="str">
        <f t="array" ref="F5622">_xlfn.XLOOKUP(A5622,Product!A:A,Product!C:C,"Bulunamadı")</f>
        <v>Interior Design</v>
      </c>
      <c r="G5622" s="2" t="str">
        <f t="array" ref="G5622">_xlfn.XLOOKUP(A5623,Product!A:A,Product!D:D,"Bulunamadı")</f>
        <v>Ironwind Publishing House</v>
      </c>
      <c r="H5622" s="2">
        <f t="array" ref="H5622">_xlfn.XLOOKUP(A5624,Product!A:A,Product!E:E,"Bulunamadı")</f>
        <v>1.36</v>
      </c>
      <c r="I5622" s="2" t="str">
        <f t="shared" si="1"/>
        <v>74819 - Law - Interior Design</v>
      </c>
      <c r="J5622" s="2">
        <f t="shared" si="2"/>
        <v>51.68</v>
      </c>
      <c r="K5622" s="17">
        <f t="shared" si="3"/>
        <v>1</v>
      </c>
      <c r="L5622" s="18"/>
    </row>
    <row r="5623" hidden="1">
      <c r="A5623" s="2">
        <f>IFERROR(__xludf.DUMMYFUNCTION("""COMPUTED_VALUE"""),48502.0)</f>
        <v>48502</v>
      </c>
      <c r="B5623" s="2">
        <f>IFERROR(__xludf.DUMMYFUNCTION("""COMPUTED_VALUE"""),1.0)</f>
        <v>1</v>
      </c>
      <c r="C5623" s="2">
        <f>IFERROR(__xludf.DUMMYFUNCTION("""COMPUTED_VALUE"""),424.0)</f>
        <v>424</v>
      </c>
      <c r="D5623" s="3">
        <f>IFERROR(__xludf.DUMMYFUNCTION("""COMPUTED_VALUE"""),414.0)</f>
        <v>414</v>
      </c>
      <c r="E5623" s="1" t="str">
        <f t="array" ref="E5623">_xlfn.XLOOKUP(A5623,Product!A:A,Product!B:B,"Bulunamadı")</f>
        <v>Law</v>
      </c>
      <c r="F5623" s="1" t="str">
        <f t="array" ref="F5623">_xlfn.XLOOKUP(A5623,Product!A:A,Product!C:C,"Bulunamadı")</f>
        <v>Interior Design</v>
      </c>
      <c r="G5623" s="2" t="str">
        <f t="array" ref="G5623">_xlfn.XLOOKUP(A5624,Product!A:A,Product!D:D,"Bulunamadı")</f>
        <v>Ironwind Publishing House</v>
      </c>
      <c r="H5623" s="2">
        <f t="array" ref="H5623">_xlfn.XLOOKUP(A5625,Product!A:A,Product!E:E,"Bulunamadı")</f>
        <v>3.45</v>
      </c>
      <c r="I5623" s="2" t="str">
        <f t="shared" si="1"/>
        <v>48502 - Law - Interior Design</v>
      </c>
      <c r="J5623" s="2">
        <f t="shared" si="2"/>
        <v>1428.3</v>
      </c>
      <c r="K5623" s="17">
        <f t="shared" si="3"/>
        <v>1</v>
      </c>
      <c r="L5623" s="18"/>
    </row>
    <row r="5624" hidden="1">
      <c r="A5624" s="2">
        <f>IFERROR(__xludf.DUMMYFUNCTION("""COMPUTED_VALUE"""),96001.0)</f>
        <v>96001</v>
      </c>
      <c r="B5624" s="2">
        <f>IFERROR(__xludf.DUMMYFUNCTION("""COMPUTED_VALUE"""),1.0)</f>
        <v>1</v>
      </c>
      <c r="C5624" s="2">
        <f>IFERROR(__xludf.DUMMYFUNCTION("""COMPUTED_VALUE"""),670.0)</f>
        <v>670</v>
      </c>
      <c r="D5624" s="3">
        <f>IFERROR(__xludf.DUMMYFUNCTION("""COMPUTED_VALUE"""),286.0)</f>
        <v>286</v>
      </c>
      <c r="E5624" s="1" t="str">
        <f t="array" ref="E5624">_xlfn.XLOOKUP(A5624,Product!A:A,Product!B:B,"Bulunamadı")</f>
        <v>Law</v>
      </c>
      <c r="F5624" s="1" t="str">
        <f t="array" ref="F5624">_xlfn.XLOOKUP(A5624,Product!A:A,Product!C:C,"Bulunamadı")</f>
        <v>Interior Design</v>
      </c>
      <c r="G5624" s="2" t="str">
        <f t="array" ref="G5624">_xlfn.XLOOKUP(A5625,Product!A:A,Product!D:D,"Bulunamadı")</f>
        <v>Ironwind Publishing House</v>
      </c>
      <c r="H5624" s="2">
        <f t="array" ref="H5624">_xlfn.XLOOKUP(A5626,Product!A:A,Product!E:E,"Bulunamadı")</f>
        <v>1.1</v>
      </c>
      <c r="I5624" s="2" t="str">
        <f t="shared" si="1"/>
        <v>96001 - Law - Interior Design</v>
      </c>
      <c r="J5624" s="2">
        <f t="shared" si="2"/>
        <v>314.6</v>
      </c>
      <c r="K5624" s="17">
        <f t="shared" si="3"/>
        <v>1</v>
      </c>
      <c r="L5624" s="18"/>
    </row>
    <row r="5625" hidden="1">
      <c r="A5625" s="2">
        <f>IFERROR(__xludf.DUMMYFUNCTION("""COMPUTED_VALUE"""),103095.0)</f>
        <v>103095</v>
      </c>
      <c r="B5625" s="2">
        <f>IFERROR(__xludf.DUMMYFUNCTION("""COMPUTED_VALUE"""),1.0)</f>
        <v>1</v>
      </c>
      <c r="C5625" s="2">
        <f>IFERROR(__xludf.DUMMYFUNCTION("""COMPUTED_VALUE"""),147.0)</f>
        <v>147</v>
      </c>
      <c r="D5625" s="3">
        <f>IFERROR(__xludf.DUMMYFUNCTION("""COMPUTED_VALUE"""),52.0)</f>
        <v>52</v>
      </c>
      <c r="E5625" s="1" t="str">
        <f t="array" ref="E5625">_xlfn.XLOOKUP(A5625,Product!A:A,Product!B:B,"Bulunamadı")</f>
        <v>Law</v>
      </c>
      <c r="F5625" s="1" t="str">
        <f t="array" ref="F5625">_xlfn.XLOOKUP(A5625,Product!A:A,Product!C:C,"Bulunamadı")</f>
        <v>Interior Design</v>
      </c>
      <c r="G5625" s="2" t="str">
        <f t="array" ref="G5625">_xlfn.XLOOKUP(A5626,Product!A:A,Product!D:D,"Bulunamadı")</f>
        <v>Ironwind Publishing House</v>
      </c>
      <c r="H5625" s="2">
        <f t="array" ref="H5625">_xlfn.XLOOKUP(A5627,Product!A:A,Product!E:E,"Bulunamadı")</f>
        <v>1</v>
      </c>
      <c r="I5625" s="2" t="str">
        <f t="shared" si="1"/>
        <v>103095 - Law - Interior Design</v>
      </c>
      <c r="J5625" s="2">
        <f t="shared" si="2"/>
        <v>52</v>
      </c>
      <c r="K5625" s="17">
        <f t="shared" si="3"/>
        <v>1</v>
      </c>
      <c r="L5625" s="18"/>
    </row>
    <row r="5626" hidden="1">
      <c r="A5626" s="2">
        <f>IFERROR(__xludf.DUMMYFUNCTION("""COMPUTED_VALUE"""),88627.0)</f>
        <v>88627</v>
      </c>
      <c r="B5626" s="2">
        <f>IFERROR(__xludf.DUMMYFUNCTION("""COMPUTED_VALUE"""),1.0)</f>
        <v>1</v>
      </c>
      <c r="C5626" s="2">
        <f>IFERROR(__xludf.DUMMYFUNCTION("""COMPUTED_VALUE"""),601.0)</f>
        <v>601</v>
      </c>
      <c r="D5626" s="3">
        <f>IFERROR(__xludf.DUMMYFUNCTION("""COMPUTED_VALUE"""),18.0)</f>
        <v>18</v>
      </c>
      <c r="E5626" s="1" t="str">
        <f t="array" ref="E5626">_xlfn.XLOOKUP(A5626,Product!A:A,Product!B:B,"Bulunamadı")</f>
        <v>Law</v>
      </c>
      <c r="F5626" s="1" t="str">
        <f t="array" ref="F5626">_xlfn.XLOOKUP(A5626,Product!A:A,Product!C:C,"Bulunamadı")</f>
        <v>Interior Design</v>
      </c>
      <c r="G5626" s="2" t="str">
        <f t="array" ref="G5626">_xlfn.XLOOKUP(A5627,Product!A:A,Product!D:D,"Bulunamadı")</f>
        <v>Ironwind Publishing House</v>
      </c>
      <c r="H5626" s="2">
        <f t="array" ref="H5626">_xlfn.XLOOKUP(A5628,Product!A:A,Product!E:E,"Bulunamadı")</f>
        <v>0.62</v>
      </c>
      <c r="I5626" s="2" t="str">
        <f t="shared" si="1"/>
        <v>88627 - Law - Interior Design</v>
      </c>
      <c r="J5626" s="2">
        <f t="shared" si="2"/>
        <v>11.16</v>
      </c>
      <c r="K5626" s="17">
        <f t="shared" si="3"/>
        <v>1</v>
      </c>
      <c r="L5626" s="18"/>
    </row>
    <row r="5627" hidden="1">
      <c r="A5627" s="2">
        <f>IFERROR(__xludf.DUMMYFUNCTION("""COMPUTED_VALUE"""),105329.0)</f>
        <v>105329</v>
      </c>
      <c r="B5627" s="2">
        <f>IFERROR(__xludf.DUMMYFUNCTION("""COMPUTED_VALUE"""),0.0)</f>
        <v>0</v>
      </c>
      <c r="C5627" s="2">
        <f>IFERROR(__xludf.DUMMYFUNCTION("""COMPUTED_VALUE"""),167.0)</f>
        <v>167</v>
      </c>
      <c r="D5627" s="3">
        <f>IFERROR(__xludf.DUMMYFUNCTION("""COMPUTED_VALUE"""),155.0)</f>
        <v>155</v>
      </c>
      <c r="E5627" s="1" t="str">
        <f t="array" ref="E5627">_xlfn.XLOOKUP(A5627,Product!A:A,Product!B:B,"Bulunamadı")</f>
        <v>Law</v>
      </c>
      <c r="F5627" s="1" t="str">
        <f t="array" ref="F5627">_xlfn.XLOOKUP(A5627,Product!A:A,Product!C:C,"Bulunamadı")</f>
        <v>Interior Design</v>
      </c>
      <c r="G5627" s="2" t="str">
        <f t="array" ref="G5627">_xlfn.XLOOKUP(A5628,Product!A:A,Product!D:D,"Bulunamadı")</f>
        <v>Ironwind Publishing House</v>
      </c>
      <c r="H5627" s="2">
        <f t="array" ref="H5627">_xlfn.XLOOKUP(A5629,Product!A:A,Product!E:E,"Bulunamadı")</f>
        <v>1.33</v>
      </c>
      <c r="I5627" s="2" t="str">
        <f t="shared" si="1"/>
        <v>105329 - Law - Interior Design</v>
      </c>
      <c r="J5627" s="2">
        <f t="shared" si="2"/>
        <v>206.15</v>
      </c>
      <c r="K5627" s="17">
        <f t="shared" si="3"/>
        <v>1</v>
      </c>
      <c r="L5627" s="18"/>
    </row>
    <row r="5628" hidden="1">
      <c r="A5628" s="2">
        <f>IFERROR(__xludf.DUMMYFUNCTION("""COMPUTED_VALUE"""),105330.0)</f>
        <v>105330</v>
      </c>
      <c r="B5628" s="2">
        <f>IFERROR(__xludf.DUMMYFUNCTION("""COMPUTED_VALUE"""),1.0)</f>
        <v>1</v>
      </c>
      <c r="C5628" s="2">
        <f>IFERROR(__xludf.DUMMYFUNCTION("""COMPUTED_VALUE"""),515.0)</f>
        <v>515</v>
      </c>
      <c r="D5628" s="3">
        <f>IFERROR(__xludf.DUMMYFUNCTION("""COMPUTED_VALUE"""),329.0)</f>
        <v>329</v>
      </c>
      <c r="E5628" s="1" t="str">
        <f t="array" ref="E5628">_xlfn.XLOOKUP(A5628,Product!A:A,Product!B:B,"Bulunamadı")</f>
        <v>Law</v>
      </c>
      <c r="F5628" s="1" t="str">
        <f t="array" ref="F5628">_xlfn.XLOOKUP(A5628,Product!A:A,Product!C:C,"Bulunamadı")</f>
        <v>Interior Design</v>
      </c>
      <c r="G5628" s="2" t="str">
        <f t="array" ref="G5628">_xlfn.XLOOKUP(A5629,Product!A:A,Product!D:D,"Bulunamadı")</f>
        <v>Ironwind Publishing House</v>
      </c>
      <c r="H5628" s="2">
        <f t="array" ref="H5628">_xlfn.XLOOKUP(A5630,Product!A:A,Product!E:E,"Bulunamadı")</f>
        <v>1.49</v>
      </c>
      <c r="I5628" s="2" t="str">
        <f t="shared" si="1"/>
        <v>105330 - Law - Interior Design</v>
      </c>
      <c r="J5628" s="2">
        <f t="shared" si="2"/>
        <v>490.21</v>
      </c>
      <c r="K5628" s="17">
        <f t="shared" si="3"/>
        <v>1</v>
      </c>
      <c r="L5628" s="18"/>
    </row>
    <row r="5629" hidden="1">
      <c r="A5629" s="2">
        <f>IFERROR(__xludf.DUMMYFUNCTION("""COMPUTED_VALUE"""),80252.0)</f>
        <v>80252</v>
      </c>
      <c r="B5629" s="2">
        <f>IFERROR(__xludf.DUMMYFUNCTION("""COMPUTED_VALUE"""),1.0)</f>
        <v>1</v>
      </c>
      <c r="C5629" s="2">
        <f>IFERROR(__xludf.DUMMYFUNCTION("""COMPUTED_VALUE"""),817.0)</f>
        <v>817</v>
      </c>
      <c r="D5629" s="3">
        <f>IFERROR(__xludf.DUMMYFUNCTION("""COMPUTED_VALUE"""),43.0)</f>
        <v>43</v>
      </c>
      <c r="E5629" s="1" t="str">
        <f t="array" ref="E5629">_xlfn.XLOOKUP(A5629,Product!A:A,Product!B:B,"Bulunamadı")</f>
        <v>Law</v>
      </c>
      <c r="F5629" s="1" t="str">
        <f t="array" ref="F5629">_xlfn.XLOOKUP(A5629,Product!A:A,Product!C:C,"Bulunamadı")</f>
        <v>Interior Design</v>
      </c>
      <c r="G5629" s="2" t="str">
        <f t="array" ref="G5629">_xlfn.XLOOKUP(A5630,Product!A:A,Product!D:D,"Bulunamadı")</f>
        <v>Silverlight Publishing House</v>
      </c>
      <c r="H5629" s="2">
        <f t="array" ref="H5629">_xlfn.XLOOKUP(A5631,Product!A:A,Product!E:E,"Bulunamadı")</f>
        <v>2.16</v>
      </c>
      <c r="I5629" s="2" t="str">
        <f t="shared" si="1"/>
        <v>80252 - Law - Interior Design</v>
      </c>
      <c r="J5629" s="2">
        <f t="shared" si="2"/>
        <v>92.88</v>
      </c>
      <c r="K5629" s="17">
        <f t="shared" si="3"/>
        <v>1</v>
      </c>
      <c r="L5629" s="18"/>
    </row>
    <row r="5630" hidden="1">
      <c r="A5630" s="2">
        <f>IFERROR(__xludf.DUMMYFUNCTION("""COMPUTED_VALUE"""),77468.0)</f>
        <v>77468</v>
      </c>
      <c r="B5630" s="2">
        <f>IFERROR(__xludf.DUMMYFUNCTION("""COMPUTED_VALUE"""),1.0)</f>
        <v>1</v>
      </c>
      <c r="C5630" s="2">
        <f>IFERROR(__xludf.DUMMYFUNCTION("""COMPUTED_VALUE"""),408.0)</f>
        <v>408</v>
      </c>
      <c r="D5630" s="3">
        <f>IFERROR(__xludf.DUMMYFUNCTION("""COMPUTED_VALUE"""),181.0)</f>
        <v>181</v>
      </c>
      <c r="E5630" s="1" t="str">
        <f t="array" ref="E5630">_xlfn.XLOOKUP(A5630,Product!A:A,Product!B:B,"Bulunamadı")</f>
        <v>Law</v>
      </c>
      <c r="F5630" s="1" t="str">
        <f t="array" ref="F5630">_xlfn.XLOOKUP(A5630,Product!A:A,Product!C:C,"Bulunamadı")</f>
        <v>Interior Design</v>
      </c>
      <c r="G5630" s="2" t="str">
        <f t="array" ref="G5630">_xlfn.XLOOKUP(A5631,Product!A:A,Product!D:D,"Bulunamadı")</f>
        <v>Silverlight Publishing House</v>
      </c>
      <c r="H5630" s="2">
        <f t="array" ref="H5630">_xlfn.XLOOKUP(A5632,Product!A:A,Product!E:E,"Bulunamadı")</f>
        <v>4.03</v>
      </c>
      <c r="I5630" s="2" t="str">
        <f t="shared" si="1"/>
        <v>77468 - Law - Interior Design</v>
      </c>
      <c r="J5630" s="2">
        <f t="shared" si="2"/>
        <v>729.43</v>
      </c>
      <c r="K5630" s="17">
        <f t="shared" si="3"/>
        <v>1</v>
      </c>
      <c r="L5630" s="18"/>
    </row>
    <row r="5631" hidden="1">
      <c r="A5631" s="2">
        <f>IFERROR(__xludf.DUMMYFUNCTION("""COMPUTED_VALUE"""),24203.0)</f>
        <v>24203</v>
      </c>
      <c r="B5631" s="2">
        <f>IFERROR(__xludf.DUMMYFUNCTION("""COMPUTED_VALUE"""),0.0)</f>
        <v>0</v>
      </c>
      <c r="C5631" s="2">
        <f>IFERROR(__xludf.DUMMYFUNCTION("""COMPUTED_VALUE"""),372.0)</f>
        <v>372</v>
      </c>
      <c r="D5631" s="3">
        <f>IFERROR(__xludf.DUMMYFUNCTION("""COMPUTED_VALUE"""),279.0)</f>
        <v>279</v>
      </c>
      <c r="E5631" s="1" t="str">
        <f t="array" ref="E5631">_xlfn.XLOOKUP(A5631,Product!A:A,Product!B:B,"Bulunamadı")</f>
        <v>Law</v>
      </c>
      <c r="F5631" s="1" t="str">
        <f t="array" ref="F5631">_xlfn.XLOOKUP(A5631,Product!A:A,Product!C:C,"Bulunamadı")</f>
        <v>Interior Design</v>
      </c>
      <c r="G5631" s="2" t="str">
        <f t="array" ref="G5631">_xlfn.XLOOKUP(A5632,Product!A:A,Product!D:D,"Bulunamadı")</f>
        <v>Silverlight Publishing House</v>
      </c>
      <c r="H5631" s="2">
        <f t="array" ref="H5631">_xlfn.XLOOKUP(A5633,Product!A:A,Product!E:E,"Bulunamadı")</f>
        <v>1.58</v>
      </c>
      <c r="I5631" s="2" t="str">
        <f t="shared" si="1"/>
        <v>24203 - Law - Interior Design</v>
      </c>
      <c r="J5631" s="2">
        <f t="shared" si="2"/>
        <v>440.82</v>
      </c>
      <c r="K5631" s="17">
        <f t="shared" si="3"/>
        <v>1</v>
      </c>
      <c r="L5631" s="18"/>
    </row>
    <row r="5632" hidden="1">
      <c r="A5632" s="2">
        <f>IFERROR(__xludf.DUMMYFUNCTION("""COMPUTED_VALUE"""),139291.0)</f>
        <v>139291</v>
      </c>
      <c r="B5632" s="2">
        <f>IFERROR(__xludf.DUMMYFUNCTION("""COMPUTED_VALUE"""),0.0)</f>
        <v>0</v>
      </c>
      <c r="C5632" s="2">
        <f>IFERROR(__xludf.DUMMYFUNCTION("""COMPUTED_VALUE"""),717.0)</f>
        <v>717</v>
      </c>
      <c r="D5632" s="3">
        <f>IFERROR(__xludf.DUMMYFUNCTION("""COMPUTED_VALUE"""),374.0)</f>
        <v>374</v>
      </c>
      <c r="E5632" s="1" t="str">
        <f t="array" ref="E5632">_xlfn.XLOOKUP(A5632,Product!A:A,Product!B:B,"Bulunamadı")</f>
        <v>Law</v>
      </c>
      <c r="F5632" s="1" t="str">
        <f t="array" ref="F5632">_xlfn.XLOOKUP(A5632,Product!A:A,Product!C:C,"Bulunamadı")</f>
        <v>Interior Design</v>
      </c>
      <c r="G5632" s="2" t="str">
        <f t="array" ref="G5632">_xlfn.XLOOKUP(A5633,Product!A:A,Product!D:D,"Bulunamadı")</f>
        <v>Silverlight Publishing House</v>
      </c>
      <c r="H5632" s="2">
        <f t="array" ref="H5632">_xlfn.XLOOKUP(A5634,Product!A:A,Product!E:E,"Bulunamadı")</f>
        <v>1.96</v>
      </c>
      <c r="I5632" s="2" t="str">
        <f t="shared" si="1"/>
        <v>139291 - Law - Interior Design</v>
      </c>
      <c r="J5632" s="2">
        <f t="shared" si="2"/>
        <v>733.04</v>
      </c>
      <c r="K5632" s="17">
        <f t="shared" si="3"/>
        <v>1</v>
      </c>
      <c r="L5632" s="18"/>
    </row>
    <row r="5633" hidden="1">
      <c r="A5633" s="2">
        <f>IFERROR(__xludf.DUMMYFUNCTION("""COMPUTED_VALUE"""),77426.0)</f>
        <v>77426</v>
      </c>
      <c r="B5633" s="2">
        <f>IFERROR(__xludf.DUMMYFUNCTION("""COMPUTED_VALUE"""),1.0)</f>
        <v>1</v>
      </c>
      <c r="C5633" s="2">
        <f>IFERROR(__xludf.DUMMYFUNCTION("""COMPUTED_VALUE"""),468.0)</f>
        <v>468</v>
      </c>
      <c r="D5633" s="3">
        <f>IFERROR(__xludf.DUMMYFUNCTION("""COMPUTED_VALUE"""),432.0)</f>
        <v>432</v>
      </c>
      <c r="E5633" s="1" t="str">
        <f t="array" ref="E5633">_xlfn.XLOOKUP(A5633,Product!A:A,Product!B:B,"Bulunamadı")</f>
        <v>Law</v>
      </c>
      <c r="F5633" s="1" t="str">
        <f t="array" ref="F5633">_xlfn.XLOOKUP(A5633,Product!A:A,Product!C:C,"Bulunamadı")</f>
        <v>Interior Design</v>
      </c>
      <c r="G5633" s="2" t="str">
        <f t="array" ref="G5633">_xlfn.XLOOKUP(A5634,Product!A:A,Product!D:D,"Bulunamadı")</f>
        <v>Silverlight Publishing House</v>
      </c>
      <c r="H5633" s="2">
        <f t="array" ref="H5633">_xlfn.XLOOKUP(A5635,Product!A:A,Product!E:E,"Bulunamadı")</f>
        <v>1.01</v>
      </c>
      <c r="I5633" s="2" t="str">
        <f t="shared" si="1"/>
        <v>77426 - Law - Interior Design</v>
      </c>
      <c r="J5633" s="2">
        <f t="shared" si="2"/>
        <v>436.32</v>
      </c>
      <c r="K5633" s="17">
        <f t="shared" si="3"/>
        <v>1</v>
      </c>
      <c r="L5633" s="18"/>
    </row>
    <row r="5634" hidden="1">
      <c r="A5634" s="2">
        <f>IFERROR(__xludf.DUMMYFUNCTION("""COMPUTED_VALUE"""),94039.0)</f>
        <v>94039</v>
      </c>
      <c r="B5634" s="2">
        <f>IFERROR(__xludf.DUMMYFUNCTION("""COMPUTED_VALUE"""),0.0)</f>
        <v>0</v>
      </c>
      <c r="C5634" s="2">
        <f>IFERROR(__xludf.DUMMYFUNCTION("""COMPUTED_VALUE"""),759.0)</f>
        <v>759</v>
      </c>
      <c r="D5634" s="3">
        <f>IFERROR(__xludf.DUMMYFUNCTION("""COMPUTED_VALUE"""),321.0)</f>
        <v>321</v>
      </c>
      <c r="E5634" s="1" t="str">
        <f t="array" ref="E5634">_xlfn.XLOOKUP(A5634,Product!A:A,Product!B:B,"Bulunamadı")</f>
        <v>Law</v>
      </c>
      <c r="F5634" s="1" t="str">
        <f t="array" ref="F5634">_xlfn.XLOOKUP(A5634,Product!A:A,Product!C:C,"Bulunamadı")</f>
        <v>Interior Design</v>
      </c>
      <c r="G5634" s="2" t="str">
        <f t="array" ref="G5634">_xlfn.XLOOKUP(A5635,Product!A:A,Product!D:D,"Bulunamadı")</f>
        <v>Silverlight Publishing House</v>
      </c>
      <c r="H5634" s="2">
        <f t="array" ref="H5634">_xlfn.XLOOKUP(A5636,Product!A:A,Product!E:E,"Bulunamadı")</f>
        <v>0.8</v>
      </c>
      <c r="I5634" s="2" t="str">
        <f t="shared" si="1"/>
        <v>94039 - Law - Interior Design</v>
      </c>
      <c r="J5634" s="2">
        <f t="shared" si="2"/>
        <v>256.8</v>
      </c>
      <c r="K5634" s="17">
        <f t="shared" si="3"/>
        <v>1</v>
      </c>
      <c r="L5634" s="18"/>
    </row>
    <row r="5635" hidden="1">
      <c r="A5635" s="2">
        <f>IFERROR(__xludf.DUMMYFUNCTION("""COMPUTED_VALUE"""),9508.0)</f>
        <v>9508</v>
      </c>
      <c r="B5635" s="2">
        <f>IFERROR(__xludf.DUMMYFUNCTION("""COMPUTED_VALUE"""),1.0)</f>
        <v>1</v>
      </c>
      <c r="C5635" s="2">
        <f>IFERROR(__xludf.DUMMYFUNCTION("""COMPUTED_VALUE"""),545.0)</f>
        <v>545</v>
      </c>
      <c r="D5635" s="3">
        <f>IFERROR(__xludf.DUMMYFUNCTION("""COMPUTED_VALUE"""),320.0)</f>
        <v>320</v>
      </c>
      <c r="E5635" s="1" t="str">
        <f t="array" ref="E5635">_xlfn.XLOOKUP(A5635,Product!A:A,Product!B:B,"Bulunamadı")</f>
        <v>Law</v>
      </c>
      <c r="F5635" s="1" t="str">
        <f t="array" ref="F5635">_xlfn.XLOOKUP(A5635,Product!A:A,Product!C:C,"Bulunamadı")</f>
        <v>Interior Design</v>
      </c>
      <c r="G5635" s="2" t="str">
        <f t="array" ref="G5635">_xlfn.XLOOKUP(A5636,Product!A:A,Product!D:D,"Bulunamadı")</f>
        <v>Silverlight Publishing House</v>
      </c>
      <c r="H5635" s="2">
        <f t="array" ref="H5635">_xlfn.XLOOKUP(A5637,Product!A:A,Product!E:E,"Bulunamadı")</f>
        <v>4.79</v>
      </c>
      <c r="I5635" s="2" t="str">
        <f t="shared" si="1"/>
        <v>9508 - Law - Interior Design</v>
      </c>
      <c r="J5635" s="2">
        <f t="shared" si="2"/>
        <v>1532.8</v>
      </c>
      <c r="K5635" s="17">
        <f t="shared" si="3"/>
        <v>1</v>
      </c>
      <c r="L5635" s="18"/>
    </row>
    <row r="5636" hidden="1">
      <c r="A5636" s="2">
        <f>IFERROR(__xludf.DUMMYFUNCTION("""COMPUTED_VALUE"""),121595.0)</f>
        <v>121595</v>
      </c>
      <c r="B5636" s="2">
        <f>IFERROR(__xludf.DUMMYFUNCTION("""COMPUTED_VALUE"""),1.0)</f>
        <v>1</v>
      </c>
      <c r="C5636" s="2">
        <f>IFERROR(__xludf.DUMMYFUNCTION("""COMPUTED_VALUE"""),599.0)</f>
        <v>599</v>
      </c>
      <c r="D5636" s="3">
        <f>IFERROR(__xludf.DUMMYFUNCTION("""COMPUTED_VALUE"""),236.0)</f>
        <v>236</v>
      </c>
      <c r="E5636" s="1" t="str">
        <f t="array" ref="E5636">_xlfn.XLOOKUP(A5636,Product!A:A,Product!B:B,"Bulunamadı")</f>
        <v>Law</v>
      </c>
      <c r="F5636" s="1" t="str">
        <f t="array" ref="F5636">_xlfn.XLOOKUP(A5636,Product!A:A,Product!C:C,"Bulunamadı")</f>
        <v>Interior Design</v>
      </c>
      <c r="G5636" s="2" t="str">
        <f t="array" ref="G5636">_xlfn.XLOOKUP(A5637,Product!A:A,Product!D:D,"Bulunamadı")</f>
        <v>Silverlight Publishing House</v>
      </c>
      <c r="H5636" s="2">
        <f t="array" ref="H5636">_xlfn.XLOOKUP(A5638,Product!A:A,Product!E:E,"Bulunamadı")</f>
        <v>1.06</v>
      </c>
      <c r="I5636" s="2" t="str">
        <f t="shared" si="1"/>
        <v>121595 - Law - Interior Design</v>
      </c>
      <c r="J5636" s="2">
        <f t="shared" si="2"/>
        <v>250.16</v>
      </c>
      <c r="K5636" s="17">
        <f t="shared" si="3"/>
        <v>1</v>
      </c>
      <c r="L5636" s="18"/>
    </row>
    <row r="5637" hidden="1">
      <c r="A5637" s="2">
        <f>IFERROR(__xludf.DUMMYFUNCTION("""COMPUTED_VALUE"""),124762.0)</f>
        <v>124762</v>
      </c>
      <c r="B5637" s="2">
        <f>IFERROR(__xludf.DUMMYFUNCTION("""COMPUTED_VALUE"""),1.0)</f>
        <v>1</v>
      </c>
      <c r="C5637" s="2">
        <f>IFERROR(__xludf.DUMMYFUNCTION("""COMPUTED_VALUE"""),38.0)</f>
        <v>38</v>
      </c>
      <c r="D5637" s="3">
        <f>IFERROR(__xludf.DUMMYFUNCTION("""COMPUTED_VALUE"""),32.0)</f>
        <v>32</v>
      </c>
      <c r="E5637" s="1" t="str">
        <f t="array" ref="E5637">_xlfn.XLOOKUP(A5637,Product!A:A,Product!B:B,"Bulunamadı")</f>
        <v>Law</v>
      </c>
      <c r="F5637" s="1" t="str">
        <f t="array" ref="F5637">_xlfn.XLOOKUP(A5637,Product!A:A,Product!C:C,"Bulunamadı")</f>
        <v>Interior Design</v>
      </c>
      <c r="G5637" s="2" t="str">
        <f t="array" ref="G5637">_xlfn.XLOOKUP(A5638,Product!A:A,Product!D:D,"Bulunamadı")</f>
        <v>Silverlight Publishing House</v>
      </c>
      <c r="H5637" s="2">
        <f t="array" ref="H5637">_xlfn.XLOOKUP(A5639,Product!A:A,Product!E:E,"Bulunamadı")</f>
        <v>2.19</v>
      </c>
      <c r="I5637" s="2" t="str">
        <f t="shared" si="1"/>
        <v>124762 - Law - Interior Design</v>
      </c>
      <c r="J5637" s="2">
        <f t="shared" si="2"/>
        <v>70.08</v>
      </c>
      <c r="K5637" s="17">
        <f t="shared" si="3"/>
        <v>1</v>
      </c>
      <c r="L5637" s="18"/>
    </row>
    <row r="5638" hidden="1">
      <c r="A5638" s="2">
        <f>IFERROR(__xludf.DUMMYFUNCTION("""COMPUTED_VALUE"""),77462.0)</f>
        <v>77462</v>
      </c>
      <c r="B5638" s="2">
        <f>IFERROR(__xludf.DUMMYFUNCTION("""COMPUTED_VALUE"""),0.0)</f>
        <v>0</v>
      </c>
      <c r="C5638" s="2">
        <f>IFERROR(__xludf.DUMMYFUNCTION("""COMPUTED_VALUE"""),708.0)</f>
        <v>708</v>
      </c>
      <c r="D5638" s="3">
        <f>IFERROR(__xludf.DUMMYFUNCTION("""COMPUTED_VALUE"""),377.0)</f>
        <v>377</v>
      </c>
      <c r="E5638" s="1" t="str">
        <f t="array" ref="E5638">_xlfn.XLOOKUP(A5638,Product!A:A,Product!B:B,"Bulunamadı")</f>
        <v>Law</v>
      </c>
      <c r="F5638" s="1" t="str">
        <f t="array" ref="F5638">_xlfn.XLOOKUP(A5638,Product!A:A,Product!C:C,"Bulunamadı")</f>
        <v>Interior Design</v>
      </c>
      <c r="G5638" s="2" t="str">
        <f t="array" ref="G5638">_xlfn.XLOOKUP(A5639,Product!A:A,Product!D:D,"Bulunamadı")</f>
        <v>Silverlight Publishing House</v>
      </c>
      <c r="H5638" s="2">
        <f t="array" ref="H5638">_xlfn.XLOOKUP(A5640,Product!A:A,Product!E:E,"Bulunamadı")</f>
        <v>1.29</v>
      </c>
      <c r="I5638" s="2" t="str">
        <f t="shared" si="1"/>
        <v>77462 - Law - Interior Design</v>
      </c>
      <c r="J5638" s="2">
        <f t="shared" si="2"/>
        <v>486.33</v>
      </c>
      <c r="K5638" s="17">
        <f t="shared" si="3"/>
        <v>1</v>
      </c>
      <c r="L5638" s="18"/>
    </row>
    <row r="5639" hidden="1">
      <c r="A5639" s="2">
        <f>IFERROR(__xludf.DUMMYFUNCTION("""COMPUTED_VALUE"""),49158.0)</f>
        <v>49158</v>
      </c>
      <c r="B5639" s="2">
        <f>IFERROR(__xludf.DUMMYFUNCTION("""COMPUTED_VALUE"""),1.0)</f>
        <v>1</v>
      </c>
      <c r="C5639" s="2">
        <f>IFERROR(__xludf.DUMMYFUNCTION("""COMPUTED_VALUE"""),499.0)</f>
        <v>499</v>
      </c>
      <c r="D5639" s="3">
        <f>IFERROR(__xludf.DUMMYFUNCTION("""COMPUTED_VALUE"""),464.0)</f>
        <v>464</v>
      </c>
      <c r="E5639" s="1" t="str">
        <f t="array" ref="E5639">_xlfn.XLOOKUP(A5639,Product!A:A,Product!B:B,"Bulunamadı")</f>
        <v>Law</v>
      </c>
      <c r="F5639" s="1" t="str">
        <f t="array" ref="F5639">_xlfn.XLOOKUP(A5639,Product!A:A,Product!C:C,"Bulunamadı")</f>
        <v>Interior Design</v>
      </c>
      <c r="G5639" s="2" t="str">
        <f t="array" ref="G5639">_xlfn.XLOOKUP(A5640,Product!A:A,Product!D:D,"Bulunamadı")</f>
        <v>Silverlight Publishing House</v>
      </c>
      <c r="H5639" s="2">
        <f t="array" ref="H5639">_xlfn.XLOOKUP(A5641,Product!A:A,Product!E:E,"Bulunamadı")</f>
        <v>1.97</v>
      </c>
      <c r="I5639" s="2" t="str">
        <f t="shared" si="1"/>
        <v>49158 - Law - Interior Design</v>
      </c>
      <c r="J5639" s="2">
        <f t="shared" si="2"/>
        <v>914.08</v>
      </c>
      <c r="K5639" s="17">
        <f t="shared" si="3"/>
        <v>1</v>
      </c>
      <c r="L5639" s="18"/>
    </row>
    <row r="5640" hidden="1">
      <c r="A5640" s="2">
        <f>IFERROR(__xludf.DUMMYFUNCTION("""COMPUTED_VALUE"""),93982.0)</f>
        <v>93982</v>
      </c>
      <c r="B5640" s="2">
        <f>IFERROR(__xludf.DUMMYFUNCTION("""COMPUTED_VALUE"""),1.0)</f>
        <v>1</v>
      </c>
      <c r="C5640" s="2">
        <f>IFERROR(__xludf.DUMMYFUNCTION("""COMPUTED_VALUE"""),80.0)</f>
        <v>80</v>
      </c>
      <c r="D5640" s="3">
        <f>IFERROR(__xludf.DUMMYFUNCTION("""COMPUTED_VALUE"""),69.0)</f>
        <v>69</v>
      </c>
      <c r="E5640" s="1" t="str">
        <f t="array" ref="E5640">_xlfn.XLOOKUP(A5640,Product!A:A,Product!B:B,"Bulunamadı")</f>
        <v>Law</v>
      </c>
      <c r="F5640" s="1" t="str">
        <f t="array" ref="F5640">_xlfn.XLOOKUP(A5640,Product!A:A,Product!C:C,"Bulunamadı")</f>
        <v>Interior Design</v>
      </c>
      <c r="G5640" s="2" t="str">
        <f t="array" ref="G5640">_xlfn.XLOOKUP(A5641,Product!A:A,Product!D:D,"Bulunamadı")</f>
        <v>Silverlight Publishing House</v>
      </c>
      <c r="H5640" s="2">
        <f t="array" ref="H5640">_xlfn.XLOOKUP(A5642,Product!A:A,Product!E:E,"Bulunamadı")</f>
        <v>2.09</v>
      </c>
      <c r="I5640" s="2" t="str">
        <f t="shared" si="1"/>
        <v>93982 - Law - Interior Design</v>
      </c>
      <c r="J5640" s="2">
        <f t="shared" si="2"/>
        <v>144.21</v>
      </c>
      <c r="K5640" s="17">
        <f t="shared" si="3"/>
        <v>1</v>
      </c>
      <c r="L5640" s="18"/>
    </row>
    <row r="5641" hidden="1">
      <c r="A5641" s="2">
        <f>IFERROR(__xludf.DUMMYFUNCTION("""COMPUTED_VALUE"""),9546.0)</f>
        <v>9546</v>
      </c>
      <c r="B5641" s="2">
        <f>IFERROR(__xludf.DUMMYFUNCTION("""COMPUTED_VALUE"""),0.0)</f>
        <v>0</v>
      </c>
      <c r="C5641" s="2">
        <f>IFERROR(__xludf.DUMMYFUNCTION("""COMPUTED_VALUE"""),688.0)</f>
        <v>688</v>
      </c>
      <c r="D5641" s="3">
        <f>IFERROR(__xludf.DUMMYFUNCTION("""COMPUTED_VALUE"""),639.0)</f>
        <v>639</v>
      </c>
      <c r="E5641" s="1" t="str">
        <f t="array" ref="E5641">_xlfn.XLOOKUP(A5641,Product!A:A,Product!B:B,"Bulunamadı")</f>
        <v>Law</v>
      </c>
      <c r="F5641" s="1" t="str">
        <f t="array" ref="F5641">_xlfn.XLOOKUP(A5641,Product!A:A,Product!C:C,"Bulunamadı")</f>
        <v>Interior Design</v>
      </c>
      <c r="G5641" s="2" t="str">
        <f t="array" ref="G5641">_xlfn.XLOOKUP(A5642,Product!A:A,Product!D:D,"Bulunamadı")</f>
        <v>Silverlight Publishing House</v>
      </c>
      <c r="H5641" s="2">
        <f t="array" ref="H5641">_xlfn.XLOOKUP(A5643,Product!A:A,Product!E:E,"Bulunamadı")</f>
        <v>1.37</v>
      </c>
      <c r="I5641" s="2" t="str">
        <f t="shared" si="1"/>
        <v>9546 - Law - Interior Design</v>
      </c>
      <c r="J5641" s="2">
        <f t="shared" si="2"/>
        <v>875.43</v>
      </c>
      <c r="K5641" s="17">
        <f t="shared" si="3"/>
        <v>1</v>
      </c>
      <c r="L5641" s="18"/>
    </row>
    <row r="5642" hidden="1">
      <c r="A5642" s="2">
        <f>IFERROR(__xludf.DUMMYFUNCTION("""COMPUTED_VALUE"""),9482.0)</f>
        <v>9482</v>
      </c>
      <c r="B5642" s="2">
        <f>IFERROR(__xludf.DUMMYFUNCTION("""COMPUTED_VALUE"""),0.0)</f>
        <v>0</v>
      </c>
      <c r="C5642" s="2">
        <f>IFERROR(__xludf.DUMMYFUNCTION("""COMPUTED_VALUE"""),687.0)</f>
        <v>687</v>
      </c>
      <c r="D5642" s="3">
        <f>IFERROR(__xludf.DUMMYFUNCTION("""COMPUTED_VALUE"""),246.0)</f>
        <v>246</v>
      </c>
      <c r="E5642" s="1" t="str">
        <f t="array" ref="E5642">_xlfn.XLOOKUP(A5642,Product!A:A,Product!B:B,"Bulunamadı")</f>
        <v>Law</v>
      </c>
      <c r="F5642" s="1" t="str">
        <f t="array" ref="F5642">_xlfn.XLOOKUP(A5642,Product!A:A,Product!C:C,"Bulunamadı")</f>
        <v>Interior Design</v>
      </c>
      <c r="G5642" s="2" t="str">
        <f t="array" ref="G5642">_xlfn.XLOOKUP(A5643,Product!A:A,Product!D:D,"Bulunamadı")</f>
        <v>Silverlight Publishing House</v>
      </c>
      <c r="H5642" s="2">
        <f t="array" ref="H5642">_xlfn.XLOOKUP(A5644,Product!A:A,Product!E:E,"Bulunamadı")</f>
        <v>0.83</v>
      </c>
      <c r="I5642" s="2" t="str">
        <f t="shared" si="1"/>
        <v>9482 - Law - Interior Design</v>
      </c>
      <c r="J5642" s="2">
        <f t="shared" si="2"/>
        <v>204.18</v>
      </c>
      <c r="K5642" s="17">
        <f t="shared" si="3"/>
        <v>1</v>
      </c>
      <c r="L5642" s="18"/>
    </row>
    <row r="5643" hidden="1">
      <c r="A5643" s="2">
        <f>IFERROR(__xludf.DUMMYFUNCTION("""COMPUTED_VALUE"""),139290.0)</f>
        <v>139290</v>
      </c>
      <c r="B5643" s="2">
        <f>IFERROR(__xludf.DUMMYFUNCTION("""COMPUTED_VALUE"""),0.0)</f>
        <v>0</v>
      </c>
      <c r="C5643" s="2">
        <f>IFERROR(__xludf.DUMMYFUNCTION("""COMPUTED_VALUE"""),360.0)</f>
        <v>360</v>
      </c>
      <c r="D5643" s="3">
        <f>IFERROR(__xludf.DUMMYFUNCTION("""COMPUTED_VALUE"""),312.0)</f>
        <v>312</v>
      </c>
      <c r="E5643" s="1" t="str">
        <f t="array" ref="E5643">_xlfn.XLOOKUP(A5643,Product!A:A,Product!B:B,"Bulunamadı")</f>
        <v>Law</v>
      </c>
      <c r="F5643" s="1" t="str">
        <f t="array" ref="F5643">_xlfn.XLOOKUP(A5643,Product!A:A,Product!C:C,"Bulunamadı")</f>
        <v>Interior Design</v>
      </c>
      <c r="G5643" s="2" t="str">
        <f t="array" ref="G5643">_xlfn.XLOOKUP(A5644,Product!A:A,Product!D:D,"Bulunamadı")</f>
        <v>Silverlight Publishing House</v>
      </c>
      <c r="H5643" s="2">
        <f t="array" ref="H5643">_xlfn.XLOOKUP(A5645,Product!A:A,Product!E:E,"Bulunamadı")</f>
        <v>2.56</v>
      </c>
      <c r="I5643" s="2" t="str">
        <f t="shared" si="1"/>
        <v>139290 - Law - Interior Design</v>
      </c>
      <c r="J5643" s="2">
        <f t="shared" si="2"/>
        <v>798.72</v>
      </c>
      <c r="K5643" s="17">
        <f t="shared" si="3"/>
        <v>1</v>
      </c>
      <c r="L5643" s="18"/>
    </row>
    <row r="5644" hidden="1">
      <c r="A5644" s="2">
        <f>IFERROR(__xludf.DUMMYFUNCTION("""COMPUTED_VALUE"""),121596.0)</f>
        <v>121596</v>
      </c>
      <c r="B5644" s="2">
        <f>IFERROR(__xludf.DUMMYFUNCTION("""COMPUTED_VALUE"""),1.0)</f>
        <v>1</v>
      </c>
      <c r="C5644" s="2">
        <f>IFERROR(__xludf.DUMMYFUNCTION("""COMPUTED_VALUE"""),626.0)</f>
        <v>626</v>
      </c>
      <c r="D5644" s="3">
        <f>IFERROR(__xludf.DUMMYFUNCTION("""COMPUTED_VALUE"""),260.0)</f>
        <v>260</v>
      </c>
      <c r="E5644" s="1" t="str">
        <f t="array" ref="E5644">_xlfn.XLOOKUP(A5644,Product!A:A,Product!B:B,"Bulunamadı")</f>
        <v>Law</v>
      </c>
      <c r="F5644" s="1" t="str">
        <f t="array" ref="F5644">_xlfn.XLOOKUP(A5644,Product!A:A,Product!C:C,"Bulunamadı")</f>
        <v>Interior Design</v>
      </c>
      <c r="G5644" s="2" t="str">
        <f t="array" ref="G5644">_xlfn.XLOOKUP(A5645,Product!A:A,Product!D:D,"Bulunamadı")</f>
        <v>Silverlight Publishing House</v>
      </c>
      <c r="H5644" s="2">
        <f t="array" ref="H5644">_xlfn.XLOOKUP(A5646,Product!A:A,Product!E:E,"Bulunamadı")</f>
        <v>1.03</v>
      </c>
      <c r="I5644" s="2" t="str">
        <f t="shared" si="1"/>
        <v>121596 - Law - Interior Design</v>
      </c>
      <c r="J5644" s="2">
        <f t="shared" si="2"/>
        <v>267.8</v>
      </c>
      <c r="K5644" s="17">
        <f t="shared" si="3"/>
        <v>1</v>
      </c>
      <c r="L5644" s="18"/>
    </row>
    <row r="5645" hidden="1">
      <c r="A5645" s="2">
        <f>IFERROR(__xludf.DUMMYFUNCTION("""COMPUTED_VALUE"""),14441.0)</f>
        <v>14441</v>
      </c>
      <c r="B5645" s="2">
        <f>IFERROR(__xludf.DUMMYFUNCTION("""COMPUTED_VALUE"""),1.0)</f>
        <v>1</v>
      </c>
      <c r="C5645" s="2">
        <f>IFERROR(__xludf.DUMMYFUNCTION("""COMPUTED_VALUE"""),930.0)</f>
        <v>930</v>
      </c>
      <c r="D5645" s="3">
        <f>IFERROR(__xludf.DUMMYFUNCTION("""COMPUTED_VALUE"""),662.0)</f>
        <v>662</v>
      </c>
      <c r="E5645" s="1" t="str">
        <f t="array" ref="E5645">_xlfn.XLOOKUP(A5645,Product!A:A,Product!B:B,"Bulunamadı")</f>
        <v>Law</v>
      </c>
      <c r="F5645" s="1" t="str">
        <f t="array" ref="F5645">_xlfn.XLOOKUP(A5645,Product!A:A,Product!C:C,"Bulunamadı")</f>
        <v>Interior Design</v>
      </c>
      <c r="G5645" s="2" t="str">
        <f t="array" ref="G5645">_xlfn.XLOOKUP(A5646,Product!A:A,Product!D:D,"Bulunamadı")</f>
        <v>Silverlight Publishing House</v>
      </c>
      <c r="H5645" s="2">
        <f t="array" ref="H5645">_xlfn.XLOOKUP(A5647,Product!A:A,Product!E:E,"Bulunamadı")</f>
        <v>3.11</v>
      </c>
      <c r="I5645" s="2" t="str">
        <f t="shared" si="1"/>
        <v>14441 - Law - Interior Design</v>
      </c>
      <c r="J5645" s="2">
        <f t="shared" si="2"/>
        <v>2058.82</v>
      </c>
      <c r="K5645" s="17">
        <f t="shared" si="3"/>
        <v>1</v>
      </c>
      <c r="L5645" s="18"/>
    </row>
    <row r="5646" hidden="1">
      <c r="A5646" s="2">
        <f>IFERROR(__xludf.DUMMYFUNCTION("""COMPUTED_VALUE"""),9489.0)</f>
        <v>9489</v>
      </c>
      <c r="B5646" s="2">
        <f>IFERROR(__xludf.DUMMYFUNCTION("""COMPUTED_VALUE"""),0.0)</f>
        <v>0</v>
      </c>
      <c r="C5646" s="2">
        <f>IFERROR(__xludf.DUMMYFUNCTION("""COMPUTED_VALUE"""),20.0)</f>
        <v>20</v>
      </c>
      <c r="D5646" s="3">
        <f>IFERROR(__xludf.DUMMYFUNCTION("""COMPUTED_VALUE"""),10.0)</f>
        <v>10</v>
      </c>
      <c r="E5646" s="1" t="str">
        <f t="array" ref="E5646">_xlfn.XLOOKUP(A5646,Product!A:A,Product!B:B,"Bulunamadı")</f>
        <v>Law</v>
      </c>
      <c r="F5646" s="1" t="str">
        <f t="array" ref="F5646">_xlfn.XLOOKUP(A5646,Product!A:A,Product!C:C,"Bulunamadı")</f>
        <v>Interior Design</v>
      </c>
      <c r="G5646" s="2" t="str">
        <f t="array" ref="G5646">_xlfn.XLOOKUP(A5647,Product!A:A,Product!D:D,"Bulunamadı")</f>
        <v>Silverlight Publishing House</v>
      </c>
      <c r="H5646" s="2">
        <f t="array" ref="H5646">_xlfn.XLOOKUP(A5648,Product!A:A,Product!E:E,"Bulunamadı")</f>
        <v>1.27</v>
      </c>
      <c r="I5646" s="2" t="str">
        <f t="shared" si="1"/>
        <v>9489 - Law - Interior Design</v>
      </c>
      <c r="J5646" s="2">
        <f t="shared" si="2"/>
        <v>12.7</v>
      </c>
      <c r="K5646" s="17">
        <f t="shared" si="3"/>
        <v>1</v>
      </c>
      <c r="L5646" s="18"/>
    </row>
    <row r="5647" hidden="1">
      <c r="A5647" s="2">
        <f>IFERROR(__xludf.DUMMYFUNCTION("""COMPUTED_VALUE"""),103189.0)</f>
        <v>103189</v>
      </c>
      <c r="B5647" s="2">
        <f>IFERROR(__xludf.DUMMYFUNCTION("""COMPUTED_VALUE"""),0.0)</f>
        <v>0</v>
      </c>
      <c r="C5647" s="2">
        <f>IFERROR(__xludf.DUMMYFUNCTION("""COMPUTED_VALUE"""),465.0)</f>
        <v>465</v>
      </c>
      <c r="D5647" s="3">
        <f>IFERROR(__xludf.DUMMYFUNCTION("""COMPUTED_VALUE"""),123.0)</f>
        <v>123</v>
      </c>
      <c r="E5647" s="1" t="str">
        <f t="array" ref="E5647">_xlfn.XLOOKUP(A5647,Product!A:A,Product!B:B,"Bulunamadı")</f>
        <v>Law</v>
      </c>
      <c r="F5647" s="1" t="str">
        <f t="array" ref="F5647">_xlfn.XLOOKUP(A5647,Product!A:A,Product!C:C,"Bulunamadı")</f>
        <v>Interior Design</v>
      </c>
      <c r="G5647" s="2" t="str">
        <f t="array" ref="G5647">_xlfn.XLOOKUP(A5648,Product!A:A,Product!D:D,"Bulunamadı")</f>
        <v>Silverlight Publishing House</v>
      </c>
      <c r="H5647" s="2">
        <f t="array" ref="H5647">_xlfn.XLOOKUP(A5649,Product!A:A,Product!E:E,"Bulunamadı")</f>
        <v>1.45</v>
      </c>
      <c r="I5647" s="2" t="str">
        <f t="shared" si="1"/>
        <v>103189 - Law - Interior Design</v>
      </c>
      <c r="J5647" s="2">
        <f t="shared" si="2"/>
        <v>178.35</v>
      </c>
      <c r="K5647" s="17">
        <f t="shared" si="3"/>
        <v>1</v>
      </c>
      <c r="L5647" s="18"/>
    </row>
    <row r="5648" hidden="1">
      <c r="A5648" s="2">
        <f>IFERROR(__xludf.DUMMYFUNCTION("""COMPUTED_VALUE"""),9567.0)</f>
        <v>9567</v>
      </c>
      <c r="B5648" s="2">
        <f>IFERROR(__xludf.DUMMYFUNCTION("""COMPUTED_VALUE"""),1.0)</f>
        <v>1</v>
      </c>
      <c r="C5648" s="2">
        <f>IFERROR(__xludf.DUMMYFUNCTION("""COMPUTED_VALUE"""),903.0)</f>
        <v>903</v>
      </c>
      <c r="D5648" s="3">
        <f>IFERROR(__xludf.DUMMYFUNCTION("""COMPUTED_VALUE"""),37.0)</f>
        <v>37</v>
      </c>
      <c r="E5648" s="1" t="str">
        <f t="array" ref="E5648">_xlfn.XLOOKUP(A5648,Product!A:A,Product!B:B,"Bulunamadı")</f>
        <v>Law</v>
      </c>
      <c r="F5648" s="1" t="str">
        <f t="array" ref="F5648">_xlfn.XLOOKUP(A5648,Product!A:A,Product!C:C,"Bulunamadı")</f>
        <v>Interior Design</v>
      </c>
      <c r="G5648" s="2" t="str">
        <f t="array" ref="G5648">_xlfn.XLOOKUP(A5649,Product!A:A,Product!D:D,"Bulunamadı")</f>
        <v>Silverlight Publishing House</v>
      </c>
      <c r="H5648" s="2">
        <f t="array" ref="H5648">_xlfn.XLOOKUP(A5650,Product!A:A,Product!E:E,"Bulunamadı")</f>
        <v>1.7</v>
      </c>
      <c r="I5648" s="2" t="str">
        <f t="shared" si="1"/>
        <v>9567 - Law - Interior Design</v>
      </c>
      <c r="J5648" s="2">
        <f t="shared" si="2"/>
        <v>62.9</v>
      </c>
      <c r="K5648" s="17">
        <f t="shared" si="3"/>
        <v>1</v>
      </c>
      <c r="L5648" s="18"/>
    </row>
    <row r="5649" hidden="1">
      <c r="A5649" s="2">
        <f>IFERROR(__xludf.DUMMYFUNCTION("""COMPUTED_VALUE"""),9543.0)</f>
        <v>9543</v>
      </c>
      <c r="B5649" s="2">
        <f>IFERROR(__xludf.DUMMYFUNCTION("""COMPUTED_VALUE"""),0.0)</f>
        <v>0</v>
      </c>
      <c r="C5649" s="2">
        <f>IFERROR(__xludf.DUMMYFUNCTION("""COMPUTED_VALUE"""),932.0)</f>
        <v>932</v>
      </c>
      <c r="D5649" s="3">
        <f>IFERROR(__xludf.DUMMYFUNCTION("""COMPUTED_VALUE"""),49.0)</f>
        <v>49</v>
      </c>
      <c r="E5649" s="1" t="str">
        <f t="array" ref="E5649">_xlfn.XLOOKUP(A5649,Product!A:A,Product!B:B,"Bulunamadı")</f>
        <v>Law</v>
      </c>
      <c r="F5649" s="1" t="str">
        <f t="array" ref="F5649">_xlfn.XLOOKUP(A5649,Product!A:A,Product!C:C,"Bulunamadı")</f>
        <v>Interior Design</v>
      </c>
      <c r="G5649" s="2" t="str">
        <f t="array" ref="G5649">_xlfn.XLOOKUP(A5650,Product!A:A,Product!D:D,"Bulunamadı")</f>
        <v>Silverlight Publishing House</v>
      </c>
      <c r="H5649" s="2">
        <f t="array" ref="H5649">_xlfn.XLOOKUP(A5651,Product!A:A,Product!E:E,"Bulunamadı")</f>
        <v>0.94</v>
      </c>
      <c r="I5649" s="2" t="str">
        <f t="shared" si="1"/>
        <v>9543 - Law - Interior Design</v>
      </c>
      <c r="J5649" s="2">
        <f t="shared" si="2"/>
        <v>46.06</v>
      </c>
      <c r="K5649" s="17">
        <f t="shared" si="3"/>
        <v>1</v>
      </c>
      <c r="L5649" s="18"/>
    </row>
    <row r="5650" hidden="1">
      <c r="A5650" s="2">
        <f>IFERROR(__xludf.DUMMYFUNCTION("""COMPUTED_VALUE"""),77471.0)</f>
        <v>77471</v>
      </c>
      <c r="B5650" s="2">
        <f>IFERROR(__xludf.DUMMYFUNCTION("""COMPUTED_VALUE"""),0.0)</f>
        <v>0</v>
      </c>
      <c r="C5650" s="2">
        <f>IFERROR(__xludf.DUMMYFUNCTION("""COMPUTED_VALUE"""),557.0)</f>
        <v>557</v>
      </c>
      <c r="D5650" s="3">
        <f>IFERROR(__xludf.DUMMYFUNCTION("""COMPUTED_VALUE"""),420.0)</f>
        <v>420</v>
      </c>
      <c r="E5650" s="1" t="str">
        <f t="array" ref="E5650">_xlfn.XLOOKUP(A5650,Product!A:A,Product!B:B,"Bulunamadı")</f>
        <v>Law</v>
      </c>
      <c r="F5650" s="1" t="str">
        <f t="array" ref="F5650">_xlfn.XLOOKUP(A5650,Product!A:A,Product!C:C,"Bulunamadı")</f>
        <v>Interior Design</v>
      </c>
      <c r="G5650" s="2" t="str">
        <f t="array" ref="G5650">_xlfn.XLOOKUP(A5651,Product!A:A,Product!D:D,"Bulunamadı")</f>
        <v>Silverlight Publishing House</v>
      </c>
      <c r="H5650" s="2">
        <f t="array" ref="H5650">_xlfn.XLOOKUP(A5652,Product!A:A,Product!E:E,"Bulunamadı")</f>
        <v>2.28</v>
      </c>
      <c r="I5650" s="2" t="str">
        <f t="shared" si="1"/>
        <v>77471 - Law - Interior Design</v>
      </c>
      <c r="J5650" s="2">
        <f t="shared" si="2"/>
        <v>957.6</v>
      </c>
      <c r="K5650" s="17">
        <f t="shared" si="3"/>
        <v>1</v>
      </c>
      <c r="L5650" s="18"/>
    </row>
    <row r="5651" hidden="1">
      <c r="A5651" s="2">
        <f>IFERROR(__xludf.DUMMYFUNCTION("""COMPUTED_VALUE"""),164631.0)</f>
        <v>164631</v>
      </c>
      <c r="B5651" s="2">
        <f>IFERROR(__xludf.DUMMYFUNCTION("""COMPUTED_VALUE"""),1.0)</f>
        <v>1</v>
      </c>
      <c r="C5651" s="2">
        <f>IFERROR(__xludf.DUMMYFUNCTION("""COMPUTED_VALUE"""),56.0)</f>
        <v>56</v>
      </c>
      <c r="D5651" s="3">
        <f>IFERROR(__xludf.DUMMYFUNCTION("""COMPUTED_VALUE"""),14.0)</f>
        <v>14</v>
      </c>
      <c r="E5651" s="1" t="str">
        <f t="array" ref="E5651">_xlfn.XLOOKUP(A5651,Product!A:A,Product!B:B,"Bulunamadı")</f>
        <v>Law</v>
      </c>
      <c r="F5651" s="1" t="str">
        <f t="array" ref="F5651">_xlfn.XLOOKUP(A5651,Product!A:A,Product!C:C,"Bulunamadı")</f>
        <v>Interior Design</v>
      </c>
      <c r="G5651" s="2" t="str">
        <f t="array" ref="G5651">_xlfn.XLOOKUP(A5652,Product!A:A,Product!D:D,"Bulunamadı")</f>
        <v>Silverlight Publishing House</v>
      </c>
      <c r="H5651" s="2">
        <f t="array" ref="H5651">_xlfn.XLOOKUP(A5653,Product!A:A,Product!E:E,"Bulunamadı")</f>
        <v>1.52</v>
      </c>
      <c r="I5651" s="2" t="str">
        <f t="shared" si="1"/>
        <v>164631 - Law - Interior Design</v>
      </c>
      <c r="J5651" s="2">
        <f t="shared" si="2"/>
        <v>21.28</v>
      </c>
      <c r="K5651" s="17">
        <f t="shared" si="3"/>
        <v>1</v>
      </c>
      <c r="L5651" s="18"/>
    </row>
    <row r="5652" hidden="1">
      <c r="A5652" s="2">
        <f>IFERROR(__xludf.DUMMYFUNCTION("""COMPUTED_VALUE"""),9606.0)</f>
        <v>9606</v>
      </c>
      <c r="B5652" s="2">
        <f>IFERROR(__xludf.DUMMYFUNCTION("""COMPUTED_VALUE"""),0.0)</f>
        <v>0</v>
      </c>
      <c r="C5652" s="2">
        <f>IFERROR(__xludf.DUMMYFUNCTION("""COMPUTED_VALUE"""),192.0)</f>
        <v>192</v>
      </c>
      <c r="D5652" s="3">
        <f>IFERROR(__xludf.DUMMYFUNCTION("""COMPUTED_VALUE"""),63.0)</f>
        <v>63</v>
      </c>
      <c r="E5652" s="1" t="str">
        <f t="array" ref="E5652">_xlfn.XLOOKUP(A5652,Product!A:A,Product!B:B,"Bulunamadı")</f>
        <v>Law</v>
      </c>
      <c r="F5652" s="1" t="str">
        <f t="array" ref="F5652">_xlfn.XLOOKUP(A5652,Product!A:A,Product!C:C,"Bulunamadı")</f>
        <v>Interior Design</v>
      </c>
      <c r="G5652" s="2" t="str">
        <f t="array" ref="G5652">_xlfn.XLOOKUP(A5653,Product!A:A,Product!D:D,"Bulunamadı")</f>
        <v>Silverlight Publishing House</v>
      </c>
      <c r="H5652" s="2">
        <f t="array" ref="H5652">_xlfn.XLOOKUP(A5654,Product!A:A,Product!E:E,"Bulunamadı")</f>
        <v>2.02</v>
      </c>
      <c r="I5652" s="2" t="str">
        <f t="shared" si="1"/>
        <v>9606 - Law - Interior Design</v>
      </c>
      <c r="J5652" s="2">
        <f t="shared" si="2"/>
        <v>127.26</v>
      </c>
      <c r="K5652" s="17">
        <f t="shared" si="3"/>
        <v>1</v>
      </c>
      <c r="L5652" s="18"/>
    </row>
    <row r="5653" hidden="1">
      <c r="A5653" s="2">
        <f>IFERROR(__xludf.DUMMYFUNCTION("""COMPUTED_VALUE"""),77473.0)</f>
        <v>77473</v>
      </c>
      <c r="B5653" s="2">
        <f>IFERROR(__xludf.DUMMYFUNCTION("""COMPUTED_VALUE"""),1.0)</f>
        <v>1</v>
      </c>
      <c r="C5653" s="2">
        <f>IFERROR(__xludf.DUMMYFUNCTION("""COMPUTED_VALUE"""),57.0)</f>
        <v>57</v>
      </c>
      <c r="D5653" s="3">
        <f>IFERROR(__xludf.DUMMYFUNCTION("""COMPUTED_VALUE"""),45.0)</f>
        <v>45</v>
      </c>
      <c r="E5653" s="1" t="str">
        <f t="array" ref="E5653">_xlfn.XLOOKUP(A5653,Product!A:A,Product!B:B,"Bulunamadı")</f>
        <v>Law</v>
      </c>
      <c r="F5653" s="1" t="str">
        <f t="array" ref="F5653">_xlfn.XLOOKUP(A5653,Product!A:A,Product!C:C,"Bulunamadı")</f>
        <v>Interior Design</v>
      </c>
      <c r="G5653" s="2" t="str">
        <f t="array" ref="G5653">_xlfn.XLOOKUP(A5654,Product!A:A,Product!D:D,"Bulunamadı")</f>
        <v>Silverlight Publishing House</v>
      </c>
      <c r="H5653" s="2">
        <f t="array" ref="H5653">_xlfn.XLOOKUP(A5655,Product!A:A,Product!E:E,"Bulunamadı")</f>
        <v>2.23</v>
      </c>
      <c r="I5653" s="2" t="str">
        <f t="shared" si="1"/>
        <v>77473 - Law - Interior Design</v>
      </c>
      <c r="J5653" s="2">
        <f t="shared" si="2"/>
        <v>100.35</v>
      </c>
      <c r="K5653" s="17">
        <f t="shared" si="3"/>
        <v>1</v>
      </c>
      <c r="L5653" s="18"/>
    </row>
    <row r="5654" hidden="1">
      <c r="A5654" s="2">
        <f>IFERROR(__xludf.DUMMYFUNCTION("""COMPUTED_VALUE"""),9484.0)</f>
        <v>9484</v>
      </c>
      <c r="B5654" s="2">
        <f>IFERROR(__xludf.DUMMYFUNCTION("""COMPUTED_VALUE"""),0.0)</f>
        <v>0</v>
      </c>
      <c r="C5654" s="2">
        <f>IFERROR(__xludf.DUMMYFUNCTION("""COMPUTED_VALUE"""),188.0)</f>
        <v>188</v>
      </c>
      <c r="D5654" s="3">
        <f>IFERROR(__xludf.DUMMYFUNCTION("""COMPUTED_VALUE"""),104.0)</f>
        <v>104</v>
      </c>
      <c r="E5654" s="1" t="str">
        <f t="array" ref="E5654">_xlfn.XLOOKUP(A5654,Product!A:A,Product!B:B,"Bulunamadı")</f>
        <v>Law</v>
      </c>
      <c r="F5654" s="1" t="str">
        <f t="array" ref="F5654">_xlfn.XLOOKUP(A5654,Product!A:A,Product!C:C,"Bulunamadı")</f>
        <v>Interior Design</v>
      </c>
      <c r="G5654" s="2" t="str">
        <f t="array" ref="G5654">_xlfn.XLOOKUP(A5655,Product!A:A,Product!D:D,"Bulunamadı")</f>
        <v>Silverlight Publishing House</v>
      </c>
      <c r="H5654" s="2">
        <f t="array" ref="H5654">_xlfn.XLOOKUP(A5656,Product!A:A,Product!E:E,"Bulunamadı")</f>
        <v>4.48</v>
      </c>
      <c r="I5654" s="2" t="str">
        <f t="shared" si="1"/>
        <v>9484 - Law - Interior Design</v>
      </c>
      <c r="J5654" s="2">
        <f t="shared" si="2"/>
        <v>465.92</v>
      </c>
      <c r="K5654" s="17">
        <f t="shared" si="3"/>
        <v>1</v>
      </c>
      <c r="L5654" s="18"/>
    </row>
    <row r="5655" hidden="1">
      <c r="A5655" s="2">
        <f>IFERROR(__xludf.DUMMYFUNCTION("""COMPUTED_VALUE"""),14439.0)</f>
        <v>14439</v>
      </c>
      <c r="B5655" s="2">
        <f>IFERROR(__xludf.DUMMYFUNCTION("""COMPUTED_VALUE"""),1.0)</f>
        <v>1</v>
      </c>
      <c r="C5655" s="2">
        <f>IFERROR(__xludf.DUMMYFUNCTION("""COMPUTED_VALUE"""),474.0)</f>
        <v>474</v>
      </c>
      <c r="D5655" s="3">
        <f>IFERROR(__xludf.DUMMYFUNCTION("""COMPUTED_VALUE"""),464.0)</f>
        <v>464</v>
      </c>
      <c r="E5655" s="1" t="str">
        <f t="array" ref="E5655">_xlfn.XLOOKUP(A5655,Product!A:A,Product!B:B,"Bulunamadı")</f>
        <v>Law</v>
      </c>
      <c r="F5655" s="1" t="str">
        <f t="array" ref="F5655">_xlfn.XLOOKUP(A5655,Product!A:A,Product!C:C,"Bulunamadı")</f>
        <v>Interior Design</v>
      </c>
      <c r="G5655" s="2" t="str">
        <f t="array" ref="G5655">_xlfn.XLOOKUP(A5656,Product!A:A,Product!D:D,"Bulunamadı")</f>
        <v>Silverlight Publishing House</v>
      </c>
      <c r="H5655" s="2">
        <f t="array" ref="H5655">_xlfn.XLOOKUP(A5657,Product!A:A,Product!E:E,"Bulunamadı")</f>
        <v>2.17</v>
      </c>
      <c r="I5655" s="2" t="str">
        <f t="shared" si="1"/>
        <v>14439 - Law - Interior Design</v>
      </c>
      <c r="J5655" s="2">
        <f t="shared" si="2"/>
        <v>1006.88</v>
      </c>
      <c r="K5655" s="17">
        <f t="shared" si="3"/>
        <v>1</v>
      </c>
      <c r="L5655" s="18"/>
    </row>
    <row r="5656" hidden="1">
      <c r="A5656" s="2">
        <f>IFERROR(__xludf.DUMMYFUNCTION("""COMPUTED_VALUE"""),124761.0)</f>
        <v>124761</v>
      </c>
      <c r="B5656" s="2">
        <f>IFERROR(__xludf.DUMMYFUNCTION("""COMPUTED_VALUE"""),0.0)</f>
        <v>0</v>
      </c>
      <c r="C5656" s="2">
        <f>IFERROR(__xludf.DUMMYFUNCTION("""COMPUTED_VALUE"""),633.0)</f>
        <v>633</v>
      </c>
      <c r="D5656" s="3">
        <f>IFERROR(__xludf.DUMMYFUNCTION("""COMPUTED_VALUE"""),107.0)</f>
        <v>107</v>
      </c>
      <c r="E5656" s="1" t="str">
        <f t="array" ref="E5656">_xlfn.XLOOKUP(A5656,Product!A:A,Product!B:B,"Bulunamadı")</f>
        <v>Law</v>
      </c>
      <c r="F5656" s="1" t="str">
        <f t="array" ref="F5656">_xlfn.XLOOKUP(A5656,Product!A:A,Product!C:C,"Bulunamadı")</f>
        <v>Interior Design</v>
      </c>
      <c r="G5656" s="2" t="str">
        <f t="array" ref="G5656">_xlfn.XLOOKUP(A5657,Product!A:A,Product!D:D,"Bulunamadı")</f>
        <v>Silverlight Publishing House</v>
      </c>
      <c r="H5656" s="2">
        <f t="array" ref="H5656">_xlfn.XLOOKUP(A5658,Product!A:A,Product!E:E,"Bulunamadı")</f>
        <v>1.16</v>
      </c>
      <c r="I5656" s="2" t="str">
        <f t="shared" si="1"/>
        <v>124761 - Law - Interior Design</v>
      </c>
      <c r="J5656" s="2">
        <f t="shared" si="2"/>
        <v>124.12</v>
      </c>
      <c r="K5656" s="17">
        <f t="shared" si="3"/>
        <v>1</v>
      </c>
      <c r="L5656" s="18"/>
    </row>
    <row r="5657" hidden="1">
      <c r="A5657" s="2">
        <f>IFERROR(__xludf.DUMMYFUNCTION("""COMPUTED_VALUE"""),14440.0)</f>
        <v>14440</v>
      </c>
      <c r="B5657" s="2">
        <f>IFERROR(__xludf.DUMMYFUNCTION("""COMPUTED_VALUE"""),1.0)</f>
        <v>1</v>
      </c>
      <c r="C5657" s="2">
        <f>IFERROR(__xludf.DUMMYFUNCTION("""COMPUTED_VALUE"""),27.0)</f>
        <v>27</v>
      </c>
      <c r="D5657" s="3">
        <f>IFERROR(__xludf.DUMMYFUNCTION("""COMPUTED_VALUE"""),27.0)</f>
        <v>27</v>
      </c>
      <c r="E5657" s="1" t="str">
        <f t="array" ref="E5657">_xlfn.XLOOKUP(A5657,Product!A:A,Product!B:B,"Bulunamadı")</f>
        <v>Law</v>
      </c>
      <c r="F5657" s="1" t="str">
        <f t="array" ref="F5657">_xlfn.XLOOKUP(A5657,Product!A:A,Product!C:C,"Bulunamadı")</f>
        <v>Interior Design</v>
      </c>
      <c r="G5657" s="2" t="str">
        <f t="array" ref="G5657">_xlfn.XLOOKUP(A5658,Product!A:A,Product!D:D,"Bulunamadı")</f>
        <v>Silverlight Publishing House</v>
      </c>
      <c r="H5657" s="2">
        <f t="array" ref="H5657">_xlfn.XLOOKUP(A5659,Product!A:A,Product!E:E,"Bulunamadı")</f>
        <v>2.41</v>
      </c>
      <c r="I5657" s="2" t="str">
        <f t="shared" si="1"/>
        <v>14440 - Law - Interior Design</v>
      </c>
      <c r="J5657" s="2">
        <f t="shared" si="2"/>
        <v>65.07</v>
      </c>
      <c r="K5657" s="17">
        <f t="shared" si="3"/>
        <v>1</v>
      </c>
      <c r="L5657" s="18"/>
    </row>
    <row r="5658" hidden="1">
      <c r="A5658" s="2">
        <f>IFERROR(__xludf.DUMMYFUNCTION("""COMPUTED_VALUE"""),9544.0)</f>
        <v>9544</v>
      </c>
      <c r="B5658" s="2">
        <f>IFERROR(__xludf.DUMMYFUNCTION("""COMPUTED_VALUE"""),1.0)</f>
        <v>1</v>
      </c>
      <c r="C5658" s="2">
        <f>IFERROR(__xludf.DUMMYFUNCTION("""COMPUTED_VALUE"""),374.0)</f>
        <v>374</v>
      </c>
      <c r="D5658" s="3">
        <f>IFERROR(__xludf.DUMMYFUNCTION("""COMPUTED_VALUE"""),266.0)</f>
        <v>266</v>
      </c>
      <c r="E5658" s="1" t="str">
        <f t="array" ref="E5658">_xlfn.XLOOKUP(A5658,Product!A:A,Product!B:B,"Bulunamadı")</f>
        <v>Law</v>
      </c>
      <c r="F5658" s="1" t="str">
        <f t="array" ref="F5658">_xlfn.XLOOKUP(A5658,Product!A:A,Product!C:C,"Bulunamadı")</f>
        <v>Interior Design</v>
      </c>
      <c r="G5658" s="2" t="str">
        <f t="array" ref="G5658">_xlfn.XLOOKUP(A5659,Product!A:A,Product!D:D,"Bulunamadı")</f>
        <v>Northlight Publishing House</v>
      </c>
      <c r="H5658" s="2">
        <f t="array" ref="H5658">_xlfn.XLOOKUP(A5660,Product!A:A,Product!E:E,"Bulunamadı")</f>
        <v>1.81</v>
      </c>
      <c r="I5658" s="2" t="str">
        <f t="shared" si="1"/>
        <v>9544 - Law - Interior Design</v>
      </c>
      <c r="J5658" s="2">
        <f t="shared" si="2"/>
        <v>481.46</v>
      </c>
      <c r="K5658" s="17">
        <f t="shared" si="3"/>
        <v>1</v>
      </c>
      <c r="L5658" s="18"/>
    </row>
    <row r="5659" hidden="1">
      <c r="A5659" s="2">
        <f>IFERROR(__xludf.DUMMYFUNCTION("""COMPUTED_VALUE"""),46482.0)</f>
        <v>46482</v>
      </c>
      <c r="B5659" s="2">
        <f>IFERROR(__xludf.DUMMYFUNCTION("""COMPUTED_VALUE"""),0.0)</f>
        <v>0</v>
      </c>
      <c r="C5659" s="2">
        <f>IFERROR(__xludf.DUMMYFUNCTION("""COMPUTED_VALUE"""),727.0)</f>
        <v>727</v>
      </c>
      <c r="D5659" s="3">
        <f>IFERROR(__xludf.DUMMYFUNCTION("""COMPUTED_VALUE"""),709.0)</f>
        <v>709</v>
      </c>
      <c r="E5659" s="1" t="str">
        <f t="array" ref="E5659">_xlfn.XLOOKUP(A5659,Product!A:A,Product!B:B,"Bulunamadı")</f>
        <v>Law</v>
      </c>
      <c r="F5659" s="1" t="str">
        <f t="array" ref="F5659">_xlfn.XLOOKUP(A5659,Product!A:A,Product!C:C,"Bulunamadı")</f>
        <v>Interior Design</v>
      </c>
      <c r="G5659" s="2" t="str">
        <f t="array" ref="G5659">_xlfn.XLOOKUP(A5660,Product!A:A,Product!D:D,"Bulunamadı")</f>
        <v>Northlight Publishing House</v>
      </c>
      <c r="H5659" s="2">
        <f t="array" ref="H5659">_xlfn.XLOOKUP(A5661,Product!A:A,Product!E:E,"Bulunamadı")</f>
        <v>3.76</v>
      </c>
      <c r="I5659" s="2" t="str">
        <f t="shared" si="1"/>
        <v>46482 - Law - Interior Design</v>
      </c>
      <c r="J5659" s="2">
        <f t="shared" si="2"/>
        <v>2665.84</v>
      </c>
      <c r="K5659" s="17">
        <f t="shared" si="3"/>
        <v>1</v>
      </c>
      <c r="L5659" s="18"/>
    </row>
    <row r="5660" hidden="1">
      <c r="A5660" s="2">
        <f>IFERROR(__xludf.DUMMYFUNCTION("""COMPUTED_VALUE"""),46773.0)</f>
        <v>46773</v>
      </c>
      <c r="B5660" s="2">
        <f>IFERROR(__xludf.DUMMYFUNCTION("""COMPUTED_VALUE"""),1.0)</f>
        <v>1</v>
      </c>
      <c r="C5660" s="2">
        <f>IFERROR(__xludf.DUMMYFUNCTION("""COMPUTED_VALUE"""),668.0)</f>
        <v>668</v>
      </c>
      <c r="D5660" s="3">
        <f>IFERROR(__xludf.DUMMYFUNCTION("""COMPUTED_VALUE"""),108.0)</f>
        <v>108</v>
      </c>
      <c r="E5660" s="1" t="str">
        <f t="array" ref="E5660">_xlfn.XLOOKUP(A5660,Product!A:A,Product!B:B,"Bulunamadı")</f>
        <v>Law</v>
      </c>
      <c r="F5660" s="1" t="str">
        <f t="array" ref="F5660">_xlfn.XLOOKUP(A5660,Product!A:A,Product!C:C,"Bulunamadı")</f>
        <v>Interior Design</v>
      </c>
      <c r="G5660" s="2" t="str">
        <f t="array" ref="G5660">_xlfn.XLOOKUP(A5661,Product!A:A,Product!D:D,"Bulunamadı")</f>
        <v>Northlight Publishing House</v>
      </c>
      <c r="H5660" s="2">
        <f t="array" ref="H5660">_xlfn.XLOOKUP(A5662,Product!A:A,Product!E:E,"Bulunamadı")</f>
        <v>2.03</v>
      </c>
      <c r="I5660" s="2" t="str">
        <f t="shared" si="1"/>
        <v>46773 - Law - Interior Design</v>
      </c>
      <c r="J5660" s="2">
        <f t="shared" si="2"/>
        <v>219.24</v>
      </c>
      <c r="K5660" s="17">
        <f t="shared" si="3"/>
        <v>1</v>
      </c>
      <c r="L5660" s="18"/>
    </row>
    <row r="5661" hidden="1">
      <c r="A5661" s="2">
        <f>IFERROR(__xludf.DUMMYFUNCTION("""COMPUTED_VALUE"""),81502.0)</f>
        <v>81502</v>
      </c>
      <c r="B5661" s="2">
        <f>IFERROR(__xludf.DUMMYFUNCTION("""COMPUTED_VALUE"""),1.0)</f>
        <v>1</v>
      </c>
      <c r="C5661" s="2">
        <f>IFERROR(__xludf.DUMMYFUNCTION("""COMPUTED_VALUE"""),293.0)</f>
        <v>293</v>
      </c>
      <c r="D5661" s="3">
        <f>IFERROR(__xludf.DUMMYFUNCTION("""COMPUTED_VALUE"""),217.0)</f>
        <v>217</v>
      </c>
      <c r="E5661" s="1" t="str">
        <f t="array" ref="E5661">_xlfn.XLOOKUP(A5661,Product!A:A,Product!B:B,"Bulunamadı")</f>
        <v>Law</v>
      </c>
      <c r="F5661" s="1" t="str">
        <f t="array" ref="F5661">_xlfn.XLOOKUP(A5661,Product!A:A,Product!C:C,"Bulunamadı")</f>
        <v>Interior Design</v>
      </c>
      <c r="G5661" s="2" t="str">
        <f t="array" ref="G5661">_xlfn.XLOOKUP(A5662,Product!A:A,Product!D:D,"Bulunamadı")</f>
        <v>Northlight Publishing House</v>
      </c>
      <c r="H5661" s="2">
        <f t="array" ref="H5661">_xlfn.XLOOKUP(A5663,Product!A:A,Product!E:E,"Bulunamadı")</f>
        <v>1.58</v>
      </c>
      <c r="I5661" s="2" t="str">
        <f t="shared" si="1"/>
        <v>81502 - Law - Interior Design</v>
      </c>
      <c r="J5661" s="2">
        <f t="shared" si="2"/>
        <v>342.86</v>
      </c>
      <c r="K5661" s="17">
        <f t="shared" si="3"/>
        <v>1</v>
      </c>
      <c r="L5661" s="18"/>
    </row>
    <row r="5662" hidden="1">
      <c r="A5662" s="2">
        <f>IFERROR(__xludf.DUMMYFUNCTION("""COMPUTED_VALUE"""),76035.0)</f>
        <v>76035</v>
      </c>
      <c r="B5662" s="2">
        <f>IFERROR(__xludf.DUMMYFUNCTION("""COMPUTED_VALUE"""),0.0)</f>
        <v>0</v>
      </c>
      <c r="C5662" s="2">
        <f>IFERROR(__xludf.DUMMYFUNCTION("""COMPUTED_VALUE"""),333.0)</f>
        <v>333</v>
      </c>
      <c r="D5662" s="3">
        <f>IFERROR(__xludf.DUMMYFUNCTION("""COMPUTED_VALUE"""),259.0)</f>
        <v>259</v>
      </c>
      <c r="E5662" s="1" t="str">
        <f t="array" ref="E5662">_xlfn.XLOOKUP(A5662,Product!A:A,Product!B:B,"Bulunamadı")</f>
        <v>Law</v>
      </c>
      <c r="F5662" s="1" t="str">
        <f t="array" ref="F5662">_xlfn.XLOOKUP(A5662,Product!A:A,Product!C:C,"Bulunamadı")</f>
        <v>Interior Design</v>
      </c>
      <c r="G5662" s="2" t="str">
        <f t="array" ref="G5662">_xlfn.XLOOKUP(A5663,Product!A:A,Product!D:D,"Bulunamadı")</f>
        <v>Northlight Publishing House</v>
      </c>
      <c r="H5662" s="2">
        <f t="array" ref="H5662">_xlfn.XLOOKUP(A5664,Product!A:A,Product!E:E,"Bulunamadı")</f>
        <v>46.67</v>
      </c>
      <c r="I5662" s="2" t="str">
        <f t="shared" si="1"/>
        <v>76035 - Law - Interior Design</v>
      </c>
      <c r="J5662" s="2">
        <f t="shared" si="2"/>
        <v>12087.53</v>
      </c>
      <c r="K5662" s="17">
        <f t="shared" si="3"/>
        <v>1</v>
      </c>
      <c r="L5662" s="18"/>
    </row>
    <row r="5663" hidden="1">
      <c r="A5663" s="2">
        <f>IFERROR(__xludf.DUMMYFUNCTION("""COMPUTED_VALUE"""),46774.0)</f>
        <v>46774</v>
      </c>
      <c r="B5663" s="2">
        <f>IFERROR(__xludf.DUMMYFUNCTION("""COMPUTED_VALUE"""),1.0)</f>
        <v>1</v>
      </c>
      <c r="C5663" s="2">
        <f>IFERROR(__xludf.DUMMYFUNCTION("""COMPUTED_VALUE"""),210.0)</f>
        <v>210</v>
      </c>
      <c r="D5663" s="3">
        <f>IFERROR(__xludf.DUMMYFUNCTION("""COMPUTED_VALUE"""),149.0)</f>
        <v>149</v>
      </c>
      <c r="E5663" s="1" t="str">
        <f t="array" ref="E5663">_xlfn.XLOOKUP(A5663,Product!A:A,Product!B:B,"Bulunamadı")</f>
        <v>Law</v>
      </c>
      <c r="F5663" s="1" t="str">
        <f t="array" ref="F5663">_xlfn.XLOOKUP(A5663,Product!A:A,Product!C:C,"Bulunamadı")</f>
        <v>Interior Design</v>
      </c>
      <c r="G5663" s="2" t="str">
        <f t="array" ref="G5663">_xlfn.XLOOKUP(A5664,Product!A:A,Product!D:D,"Bulunamadı")</f>
        <v>Harborlight Publishing House</v>
      </c>
      <c r="H5663" s="2">
        <f t="array" ref="H5663">_xlfn.XLOOKUP(A5665,Product!A:A,Product!E:E,"Bulunamadı")</f>
        <v>47.34</v>
      </c>
      <c r="I5663" s="2" t="str">
        <f t="shared" si="1"/>
        <v>46774 - Law - Interior Design</v>
      </c>
      <c r="J5663" s="2">
        <f t="shared" si="2"/>
        <v>7053.66</v>
      </c>
      <c r="K5663" s="17">
        <f t="shared" si="3"/>
        <v>1</v>
      </c>
      <c r="L5663" s="18"/>
    </row>
    <row r="5664" hidden="1">
      <c r="A5664" s="2">
        <f>IFERROR(__xludf.DUMMYFUNCTION("""COMPUTED_VALUE"""),121029.0)</f>
        <v>121029</v>
      </c>
      <c r="B5664" s="2">
        <f>IFERROR(__xludf.DUMMYFUNCTION("""COMPUTED_VALUE"""),1.0)</f>
        <v>1</v>
      </c>
      <c r="C5664" s="2">
        <f>IFERROR(__xludf.DUMMYFUNCTION("""COMPUTED_VALUE"""),360.0)</f>
        <v>360</v>
      </c>
      <c r="D5664" s="3">
        <f>IFERROR(__xludf.DUMMYFUNCTION("""COMPUTED_VALUE"""),244.0)</f>
        <v>244</v>
      </c>
      <c r="E5664" s="1" t="str">
        <f t="array" ref="E5664">_xlfn.XLOOKUP(A5664,Product!A:A,Product!B:B,"Bulunamadı")</f>
        <v>Sports</v>
      </c>
      <c r="F5664" s="1" t="str">
        <f t="array" ref="F5664">_xlfn.XLOOKUP(A5664,Product!A:A,Product!C:C,"Bulunamadı")</f>
        <v>Film Studies</v>
      </c>
      <c r="G5664" s="2" t="str">
        <f t="array" ref="G5664">_xlfn.XLOOKUP(A5665,Product!A:A,Product!D:D,"Bulunamadı")</f>
        <v>Harborlight Publishing House</v>
      </c>
      <c r="H5664" s="2">
        <f t="array" ref="H5664">_xlfn.XLOOKUP(A5666,Product!A:A,Product!E:E,"Bulunamadı")</f>
        <v>2.99</v>
      </c>
      <c r="I5664" s="2" t="str">
        <f t="shared" si="1"/>
        <v>121029 - Sports - Film Studies</v>
      </c>
      <c r="J5664" s="2">
        <f t="shared" si="2"/>
        <v>729.56</v>
      </c>
      <c r="K5664" s="17">
        <f t="shared" si="3"/>
        <v>1</v>
      </c>
      <c r="L5664" s="18"/>
    </row>
    <row r="5665" hidden="1">
      <c r="A5665" s="2">
        <f>IFERROR(__xludf.DUMMYFUNCTION("""COMPUTED_VALUE"""),128199.0)</f>
        <v>128199</v>
      </c>
      <c r="B5665" s="2">
        <f>IFERROR(__xludf.DUMMYFUNCTION("""COMPUTED_VALUE"""),1.0)</f>
        <v>1</v>
      </c>
      <c r="C5665" s="2">
        <f>IFERROR(__xludf.DUMMYFUNCTION("""COMPUTED_VALUE"""),492.0)</f>
        <v>492</v>
      </c>
      <c r="D5665" s="3">
        <f>IFERROR(__xludf.DUMMYFUNCTION("""COMPUTED_VALUE"""),108.0)</f>
        <v>108</v>
      </c>
      <c r="E5665" s="1" t="str">
        <f t="array" ref="E5665">_xlfn.XLOOKUP(A5665,Product!A:A,Product!B:B,"Bulunamadı")</f>
        <v>Sports</v>
      </c>
      <c r="F5665" s="1" t="str">
        <f t="array" ref="F5665">_xlfn.XLOOKUP(A5665,Product!A:A,Product!C:C,"Bulunamadı")</f>
        <v>Film Studies</v>
      </c>
      <c r="G5665" s="2" t="str">
        <f t="array" ref="G5665">_xlfn.XLOOKUP(A5666,Product!A:A,Product!D:D,"Bulunamadı")</f>
        <v>Cedarlight Publishing House</v>
      </c>
      <c r="H5665" s="2">
        <f t="array" ref="H5665">_xlfn.XLOOKUP(A5667,Product!A:A,Product!E:E,"Bulunamadı")</f>
        <v>2.08</v>
      </c>
      <c r="I5665" s="2" t="str">
        <f t="shared" si="1"/>
        <v>128199 - Sports - Film Studies</v>
      </c>
      <c r="J5665" s="2">
        <f t="shared" si="2"/>
        <v>224.64</v>
      </c>
      <c r="K5665" s="17">
        <f t="shared" si="3"/>
        <v>1</v>
      </c>
      <c r="L5665" s="18"/>
    </row>
    <row r="5666" hidden="1">
      <c r="A5666" s="2">
        <f>IFERROR(__xludf.DUMMYFUNCTION("""COMPUTED_VALUE"""),82408.0)</f>
        <v>82408</v>
      </c>
      <c r="B5666" s="2">
        <f>IFERROR(__xludf.DUMMYFUNCTION("""COMPUTED_VALUE"""),0.0)</f>
        <v>0</v>
      </c>
      <c r="C5666" s="2">
        <f>IFERROR(__xludf.DUMMYFUNCTION("""COMPUTED_VALUE"""),98.0)</f>
        <v>98</v>
      </c>
      <c r="D5666" s="3">
        <f>IFERROR(__xludf.DUMMYFUNCTION("""COMPUTED_VALUE"""),56.0)</f>
        <v>56</v>
      </c>
      <c r="E5666" s="1" t="str">
        <f t="array" ref="E5666">_xlfn.XLOOKUP(A5666,Product!A:A,Product!B:B,"Bulunamadı")</f>
        <v>Medical</v>
      </c>
      <c r="F5666" s="1" t="str">
        <f t="array" ref="F5666">_xlfn.XLOOKUP(A5666,Product!A:A,Product!C:C,"Bulunamadı")</f>
        <v>Theatre</v>
      </c>
      <c r="G5666" s="2" t="str">
        <f t="array" ref="G5666">_xlfn.XLOOKUP(A5667,Product!A:A,Product!D:D,"Bulunamadı")</f>
        <v>Brightlight Publishing House</v>
      </c>
      <c r="H5666" s="2">
        <f t="array" ref="H5666">_xlfn.XLOOKUP(A5668,Product!A:A,Product!E:E,"Bulunamadı")</f>
        <v>2.34</v>
      </c>
      <c r="I5666" s="2" t="str">
        <f t="shared" si="1"/>
        <v>82408 - Medical - Theatre</v>
      </c>
      <c r="J5666" s="2">
        <f t="shared" si="2"/>
        <v>131.04</v>
      </c>
      <c r="K5666" s="17">
        <f t="shared" si="3"/>
        <v>1</v>
      </c>
      <c r="L5666" s="18"/>
    </row>
    <row r="5667" hidden="1">
      <c r="A5667" s="2">
        <f>IFERROR(__xludf.DUMMYFUNCTION("""COMPUTED_VALUE"""),139298.0)</f>
        <v>139298</v>
      </c>
      <c r="B5667" s="2">
        <f>IFERROR(__xludf.DUMMYFUNCTION("""COMPUTED_VALUE"""),0.0)</f>
        <v>0</v>
      </c>
      <c r="C5667" s="2">
        <f>IFERROR(__xludf.DUMMYFUNCTION("""COMPUTED_VALUE"""),106.0)</f>
        <v>106</v>
      </c>
      <c r="D5667" s="3">
        <f>IFERROR(__xludf.DUMMYFUNCTION("""COMPUTED_VALUE"""),12.0)</f>
        <v>12</v>
      </c>
      <c r="E5667" s="1" t="str">
        <f t="array" ref="E5667">_xlfn.XLOOKUP(A5667,Product!A:A,Product!B:B,"Bulunamadı")</f>
        <v>Medical</v>
      </c>
      <c r="F5667" s="1" t="str">
        <f t="array" ref="F5667">_xlfn.XLOOKUP(A5667,Product!A:A,Product!C:C,"Bulunamadı")</f>
        <v>Theatre</v>
      </c>
      <c r="G5667" s="2" t="str">
        <f t="array" ref="G5667">_xlfn.XLOOKUP(A5668,Product!A:A,Product!D:D,"Bulunamadı")</f>
        <v>Brightlight Publishing House</v>
      </c>
      <c r="H5667" s="2">
        <f t="array" ref="H5667">_xlfn.XLOOKUP(A5669,Product!A:A,Product!E:E,"Bulunamadı")</f>
        <v>1.99</v>
      </c>
      <c r="I5667" s="2" t="str">
        <f t="shared" si="1"/>
        <v>139298 - Medical - Theatre</v>
      </c>
      <c r="J5667" s="2">
        <f t="shared" si="2"/>
        <v>23.88</v>
      </c>
      <c r="K5667" s="17">
        <f t="shared" si="3"/>
        <v>1</v>
      </c>
      <c r="L5667" s="18"/>
    </row>
    <row r="5668" hidden="1">
      <c r="A5668" s="2">
        <f>IFERROR(__xludf.DUMMYFUNCTION("""COMPUTED_VALUE"""),91397.0)</f>
        <v>91397</v>
      </c>
      <c r="B5668" s="2">
        <f>IFERROR(__xludf.DUMMYFUNCTION("""COMPUTED_VALUE"""),0.0)</f>
        <v>0</v>
      </c>
      <c r="C5668" s="2">
        <f>IFERROR(__xludf.DUMMYFUNCTION("""COMPUTED_VALUE"""),479.0)</f>
        <v>479</v>
      </c>
      <c r="D5668" s="3">
        <f>IFERROR(__xludf.DUMMYFUNCTION("""COMPUTED_VALUE"""),479.0)</f>
        <v>479</v>
      </c>
      <c r="E5668" s="1" t="str">
        <f t="array" ref="E5668">_xlfn.XLOOKUP(A5668,Product!A:A,Product!B:B,"Bulunamadı")</f>
        <v>Medical</v>
      </c>
      <c r="F5668" s="1" t="str">
        <f t="array" ref="F5668">_xlfn.XLOOKUP(A5668,Product!A:A,Product!C:C,"Bulunamadı")</f>
        <v>Theatre</v>
      </c>
      <c r="G5668" s="2" t="str">
        <f t="array" ref="G5668">_xlfn.XLOOKUP(A5669,Product!A:A,Product!D:D,"Bulunamadı")</f>
        <v>Brightlight Publishing House</v>
      </c>
      <c r="H5668" s="2">
        <f t="array" ref="H5668">_xlfn.XLOOKUP(A5670,Product!A:A,Product!E:E,"Bulunamadı")</f>
        <v>2.29</v>
      </c>
      <c r="I5668" s="2" t="str">
        <f t="shared" si="1"/>
        <v>91397 - Medical - Theatre</v>
      </c>
      <c r="J5668" s="2">
        <f t="shared" si="2"/>
        <v>1096.91</v>
      </c>
      <c r="K5668" s="17">
        <f t="shared" si="3"/>
        <v>1</v>
      </c>
      <c r="L5668" s="18"/>
    </row>
    <row r="5669" hidden="1">
      <c r="A5669" s="2">
        <f>IFERROR(__xludf.DUMMYFUNCTION("""COMPUTED_VALUE"""),91396.0)</f>
        <v>91396</v>
      </c>
      <c r="B5669" s="2">
        <f>IFERROR(__xludf.DUMMYFUNCTION("""COMPUTED_VALUE"""),0.0)</f>
        <v>0</v>
      </c>
      <c r="C5669" s="2">
        <f>IFERROR(__xludf.DUMMYFUNCTION("""COMPUTED_VALUE"""),47.0)</f>
        <v>47</v>
      </c>
      <c r="D5669" s="3">
        <f>IFERROR(__xludf.DUMMYFUNCTION("""COMPUTED_VALUE"""),36.0)</f>
        <v>36</v>
      </c>
      <c r="E5669" s="1" t="str">
        <f t="array" ref="E5669">_xlfn.XLOOKUP(A5669,Product!A:A,Product!B:B,"Bulunamadı")</f>
        <v>Medical</v>
      </c>
      <c r="F5669" s="1" t="str">
        <f t="array" ref="F5669">_xlfn.XLOOKUP(A5669,Product!A:A,Product!C:C,"Bulunamadı")</f>
        <v>Theatre</v>
      </c>
      <c r="G5669" s="2" t="str">
        <f t="array" ref="G5669">_xlfn.XLOOKUP(A5670,Product!A:A,Product!D:D,"Bulunamadı")</f>
        <v>Brightlight Publishing House</v>
      </c>
      <c r="H5669" s="2">
        <f t="array" ref="H5669">_xlfn.XLOOKUP(A5671,Product!A:A,Product!E:E,"Bulunamadı")</f>
        <v>1.54</v>
      </c>
      <c r="I5669" s="2" t="str">
        <f t="shared" si="1"/>
        <v>91396 - Medical - Theatre</v>
      </c>
      <c r="J5669" s="2">
        <f t="shared" si="2"/>
        <v>55.44</v>
      </c>
      <c r="K5669" s="17">
        <f t="shared" si="3"/>
        <v>1</v>
      </c>
      <c r="L5669" s="18"/>
    </row>
    <row r="5670" hidden="1">
      <c r="A5670" s="2">
        <f>IFERROR(__xludf.DUMMYFUNCTION("""COMPUTED_VALUE"""),139302.0)</f>
        <v>139302</v>
      </c>
      <c r="B5670" s="2">
        <f>IFERROR(__xludf.DUMMYFUNCTION("""COMPUTED_VALUE"""),1.0)</f>
        <v>1</v>
      </c>
      <c r="C5670" s="2">
        <f>IFERROR(__xludf.DUMMYFUNCTION("""COMPUTED_VALUE"""),553.0)</f>
        <v>553</v>
      </c>
      <c r="D5670" s="3">
        <f>IFERROR(__xludf.DUMMYFUNCTION("""COMPUTED_VALUE"""),284.0)</f>
        <v>284</v>
      </c>
      <c r="E5670" s="1" t="str">
        <f t="array" ref="E5670">_xlfn.XLOOKUP(A5670,Product!A:A,Product!B:B,"Bulunamadı")</f>
        <v>Medical</v>
      </c>
      <c r="F5670" s="1" t="str">
        <f t="array" ref="F5670">_xlfn.XLOOKUP(A5670,Product!A:A,Product!C:C,"Bulunamadı")</f>
        <v>Theatre</v>
      </c>
      <c r="G5670" s="2" t="str">
        <f t="array" ref="G5670">_xlfn.XLOOKUP(A5671,Product!A:A,Product!D:D,"Bulunamadı")</f>
        <v>Brightlight Publishing House</v>
      </c>
      <c r="H5670" s="2">
        <f t="array" ref="H5670">_xlfn.XLOOKUP(A5672,Product!A:A,Product!E:E,"Bulunamadı")</f>
        <v>1.59</v>
      </c>
      <c r="I5670" s="2" t="str">
        <f t="shared" si="1"/>
        <v>139302 - Medical - Theatre</v>
      </c>
      <c r="J5670" s="2">
        <f t="shared" si="2"/>
        <v>451.56</v>
      </c>
      <c r="K5670" s="17">
        <f t="shared" si="3"/>
        <v>1</v>
      </c>
      <c r="L5670" s="18"/>
    </row>
    <row r="5671" hidden="1">
      <c r="A5671" s="2">
        <f>IFERROR(__xludf.DUMMYFUNCTION("""COMPUTED_VALUE"""),118283.0)</f>
        <v>118283</v>
      </c>
      <c r="B5671" s="2">
        <f>IFERROR(__xludf.DUMMYFUNCTION("""COMPUTED_VALUE"""),1.0)</f>
        <v>1</v>
      </c>
      <c r="C5671" s="2">
        <f>IFERROR(__xludf.DUMMYFUNCTION("""COMPUTED_VALUE"""),389.0)</f>
        <v>389</v>
      </c>
      <c r="D5671" s="3">
        <f>IFERROR(__xludf.DUMMYFUNCTION("""COMPUTED_VALUE"""),3.0)</f>
        <v>3</v>
      </c>
      <c r="E5671" s="1" t="str">
        <f t="array" ref="E5671">_xlfn.XLOOKUP(A5671,Product!A:A,Product!B:B,"Bulunamadı")</f>
        <v>Medical</v>
      </c>
      <c r="F5671" s="1" t="str">
        <f t="array" ref="F5671">_xlfn.XLOOKUP(A5671,Product!A:A,Product!C:C,"Bulunamadı")</f>
        <v>Theatre</v>
      </c>
      <c r="G5671" s="2" t="str">
        <f t="array" ref="G5671">_xlfn.XLOOKUP(A5672,Product!A:A,Product!D:D,"Bulunamadı")</f>
        <v>Brightlight Publishing House</v>
      </c>
      <c r="H5671" s="2">
        <f t="array" ref="H5671">_xlfn.XLOOKUP(A5673,Product!A:A,Product!E:E,"Bulunamadı")</f>
        <v>2.29</v>
      </c>
      <c r="I5671" s="2" t="str">
        <f t="shared" si="1"/>
        <v>118283 - Medical - Theatre</v>
      </c>
      <c r="J5671" s="2">
        <f t="shared" si="2"/>
        <v>6.87</v>
      </c>
      <c r="K5671" s="17">
        <f t="shared" si="3"/>
        <v>1</v>
      </c>
      <c r="L5671" s="18"/>
    </row>
    <row r="5672" hidden="1">
      <c r="A5672" s="2">
        <f>IFERROR(__xludf.DUMMYFUNCTION("""COMPUTED_VALUE"""),118286.0)</f>
        <v>118286</v>
      </c>
      <c r="B5672" s="2">
        <f>IFERROR(__xludf.DUMMYFUNCTION("""COMPUTED_VALUE"""),0.0)</f>
        <v>0</v>
      </c>
      <c r="C5672" s="2">
        <f>IFERROR(__xludf.DUMMYFUNCTION("""COMPUTED_VALUE"""),66.0)</f>
        <v>66</v>
      </c>
      <c r="D5672" s="3">
        <f>IFERROR(__xludf.DUMMYFUNCTION("""COMPUTED_VALUE"""),0.0)</f>
        <v>0</v>
      </c>
      <c r="E5672" s="1" t="str">
        <f t="array" ref="E5672">_xlfn.XLOOKUP(A5672,Product!A:A,Product!B:B,"Bulunamadı")</f>
        <v>Medical</v>
      </c>
      <c r="F5672" s="1" t="str">
        <f t="array" ref="F5672">_xlfn.XLOOKUP(A5672,Product!A:A,Product!C:C,"Bulunamadı")</f>
        <v>Theatre</v>
      </c>
      <c r="G5672" s="2" t="str">
        <f t="array" ref="G5672">_xlfn.XLOOKUP(A5673,Product!A:A,Product!D:D,"Bulunamadı")</f>
        <v>Brightlight Publishing House</v>
      </c>
      <c r="H5672" s="2">
        <f t="array" ref="H5672">_xlfn.XLOOKUP(A5674,Product!A:A,Product!E:E,"Bulunamadı")</f>
        <v>1.37</v>
      </c>
      <c r="I5672" s="2" t="str">
        <f t="shared" si="1"/>
        <v>118286 - Medical - Theatre</v>
      </c>
      <c r="J5672" s="2">
        <f t="shared" si="2"/>
        <v>0</v>
      </c>
      <c r="K5672" s="17">
        <f t="shared" si="3"/>
        <v>0</v>
      </c>
      <c r="L5672" s="18"/>
    </row>
    <row r="5673" hidden="1">
      <c r="A5673" s="2">
        <f>IFERROR(__xludf.DUMMYFUNCTION("""COMPUTED_VALUE"""),3375.0)</f>
        <v>3375</v>
      </c>
      <c r="B5673" s="2">
        <f>IFERROR(__xludf.DUMMYFUNCTION("""COMPUTED_VALUE"""),1.0)</f>
        <v>1</v>
      </c>
      <c r="C5673" s="2">
        <f>IFERROR(__xludf.DUMMYFUNCTION("""COMPUTED_VALUE"""),914.0)</f>
        <v>914</v>
      </c>
      <c r="D5673" s="3">
        <f>IFERROR(__xludf.DUMMYFUNCTION("""COMPUTED_VALUE"""),737.0)</f>
        <v>737</v>
      </c>
      <c r="E5673" s="1" t="str">
        <f t="array" ref="E5673">_xlfn.XLOOKUP(A5673,Product!A:A,Product!B:B,"Bulunamadı")</f>
        <v>Medical</v>
      </c>
      <c r="F5673" s="1" t="str">
        <f t="array" ref="F5673">_xlfn.XLOOKUP(A5673,Product!A:A,Product!C:C,"Bulunamadı")</f>
        <v>Theatre</v>
      </c>
      <c r="G5673" s="2" t="str">
        <f t="array" ref="G5673">_xlfn.XLOOKUP(A5674,Product!A:A,Product!D:D,"Bulunamadı")</f>
        <v>Brightlight Publishing House</v>
      </c>
      <c r="H5673" s="2">
        <f t="array" ref="H5673">_xlfn.XLOOKUP(A5675,Product!A:A,Product!E:E,"Bulunamadı")</f>
        <v>1.37</v>
      </c>
      <c r="I5673" s="2" t="str">
        <f t="shared" si="1"/>
        <v>3375 - Medical - Theatre</v>
      </c>
      <c r="J5673" s="2">
        <f t="shared" si="2"/>
        <v>1009.69</v>
      </c>
      <c r="K5673" s="17">
        <f t="shared" si="3"/>
        <v>1</v>
      </c>
      <c r="L5673" s="18"/>
    </row>
    <row r="5674" hidden="1">
      <c r="A5674" s="2">
        <f>IFERROR(__xludf.DUMMYFUNCTION("""COMPUTED_VALUE"""),118285.0)</f>
        <v>118285</v>
      </c>
      <c r="B5674" s="2">
        <f>IFERROR(__xludf.DUMMYFUNCTION("""COMPUTED_VALUE"""),0.0)</f>
        <v>0</v>
      </c>
      <c r="C5674" s="2">
        <f>IFERROR(__xludf.DUMMYFUNCTION("""COMPUTED_VALUE"""),560.0)</f>
        <v>560</v>
      </c>
      <c r="D5674" s="3">
        <f>IFERROR(__xludf.DUMMYFUNCTION("""COMPUTED_VALUE"""),239.0)</f>
        <v>239</v>
      </c>
      <c r="E5674" s="1" t="str">
        <f t="array" ref="E5674">_xlfn.XLOOKUP(A5674,Product!A:A,Product!B:B,"Bulunamadı")</f>
        <v>Medical</v>
      </c>
      <c r="F5674" s="1" t="str">
        <f t="array" ref="F5674">_xlfn.XLOOKUP(A5674,Product!A:A,Product!C:C,"Bulunamadı")</f>
        <v>Theatre</v>
      </c>
      <c r="G5674" s="2" t="str">
        <f t="array" ref="G5674">_xlfn.XLOOKUP(A5675,Product!A:A,Product!D:D,"Bulunamadı")</f>
        <v>Brightlight Publishing House</v>
      </c>
      <c r="H5674" s="2">
        <f t="array" ref="H5674">_xlfn.XLOOKUP(A5676,Product!A:A,Product!E:E,"Bulunamadı")</f>
        <v>0.88</v>
      </c>
      <c r="I5674" s="2" t="str">
        <f t="shared" si="1"/>
        <v>118285 - Medical - Theatre</v>
      </c>
      <c r="J5674" s="2">
        <f t="shared" si="2"/>
        <v>210.32</v>
      </c>
      <c r="K5674" s="17">
        <f t="shared" si="3"/>
        <v>1</v>
      </c>
      <c r="L5674" s="18"/>
    </row>
    <row r="5675" hidden="1">
      <c r="A5675" s="2">
        <f>IFERROR(__xludf.DUMMYFUNCTION("""COMPUTED_VALUE"""),118284.0)</f>
        <v>118284</v>
      </c>
      <c r="B5675" s="2">
        <f>IFERROR(__xludf.DUMMYFUNCTION("""COMPUTED_VALUE"""),1.0)</f>
        <v>1</v>
      </c>
      <c r="C5675" s="2">
        <f>IFERROR(__xludf.DUMMYFUNCTION("""COMPUTED_VALUE"""),384.0)</f>
        <v>384</v>
      </c>
      <c r="D5675" s="3">
        <f>IFERROR(__xludf.DUMMYFUNCTION("""COMPUTED_VALUE"""),122.0)</f>
        <v>122</v>
      </c>
      <c r="E5675" s="1" t="str">
        <f t="array" ref="E5675">_xlfn.XLOOKUP(A5675,Product!A:A,Product!B:B,"Bulunamadı")</f>
        <v>Medical</v>
      </c>
      <c r="F5675" s="1" t="str">
        <f t="array" ref="F5675">_xlfn.XLOOKUP(A5675,Product!A:A,Product!C:C,"Bulunamadı")</f>
        <v>Theatre</v>
      </c>
      <c r="G5675" s="2" t="str">
        <f t="array" ref="G5675">_xlfn.XLOOKUP(A5676,Product!A:A,Product!D:D,"Bulunamadı")</f>
        <v>Oaklight Publishing House</v>
      </c>
      <c r="H5675" s="2">
        <f t="array" ref="H5675">_xlfn.XLOOKUP(A5677,Product!A:A,Product!E:E,"Bulunamadı")</f>
        <v>1.77</v>
      </c>
      <c r="I5675" s="2" t="str">
        <f t="shared" si="1"/>
        <v>118284 - Medical - Theatre</v>
      </c>
      <c r="J5675" s="2">
        <f t="shared" si="2"/>
        <v>215.94</v>
      </c>
      <c r="K5675" s="17">
        <f t="shared" si="3"/>
        <v>1</v>
      </c>
      <c r="L5675" s="18"/>
    </row>
    <row r="5676" hidden="1">
      <c r="A5676" s="2">
        <f>IFERROR(__xludf.DUMMYFUNCTION("""COMPUTED_VALUE"""),116522.0)</f>
        <v>116522</v>
      </c>
      <c r="B5676" s="2">
        <f>IFERROR(__xludf.DUMMYFUNCTION("""COMPUTED_VALUE"""),0.0)</f>
        <v>0</v>
      </c>
      <c r="C5676" s="2">
        <f>IFERROR(__xludf.DUMMYFUNCTION("""COMPUTED_VALUE"""),699.0)</f>
        <v>699</v>
      </c>
      <c r="D5676" s="3">
        <f>IFERROR(__xludf.DUMMYFUNCTION("""COMPUTED_VALUE"""),505.0)</f>
        <v>505</v>
      </c>
      <c r="E5676" s="1" t="str">
        <f t="array" ref="E5676">_xlfn.XLOOKUP(A5676,Product!A:A,Product!B:B,"Bulunamadı")</f>
        <v>Medical</v>
      </c>
      <c r="F5676" s="1" t="str">
        <f t="array" ref="F5676">_xlfn.XLOOKUP(A5676,Product!A:A,Product!C:C,"Bulunamadı")</f>
        <v>Theatre</v>
      </c>
      <c r="G5676" s="2" t="str">
        <f t="array" ref="G5676">_xlfn.XLOOKUP(A5677,Product!A:A,Product!D:D,"Bulunamadı")</f>
        <v>Oaklight Publishing House</v>
      </c>
      <c r="H5676" s="2">
        <f t="array" ref="H5676">_xlfn.XLOOKUP(A5678,Product!A:A,Product!E:E,"Bulunamadı")</f>
        <v>2.48</v>
      </c>
      <c r="I5676" s="2" t="str">
        <f t="shared" si="1"/>
        <v>116522 - Medical - Theatre</v>
      </c>
      <c r="J5676" s="2">
        <f t="shared" si="2"/>
        <v>1252.4</v>
      </c>
      <c r="K5676" s="17">
        <f t="shared" si="3"/>
        <v>1</v>
      </c>
      <c r="L5676" s="18"/>
    </row>
    <row r="5677" hidden="1">
      <c r="A5677" s="2">
        <f>IFERROR(__xludf.DUMMYFUNCTION("""COMPUTED_VALUE"""),139307.0)</f>
        <v>139307</v>
      </c>
      <c r="B5677" s="2">
        <f>IFERROR(__xludf.DUMMYFUNCTION("""COMPUTED_VALUE"""),0.0)</f>
        <v>0</v>
      </c>
      <c r="C5677" s="2">
        <f>IFERROR(__xludf.DUMMYFUNCTION("""COMPUTED_VALUE"""),231.0)</f>
        <v>231</v>
      </c>
      <c r="D5677" s="3">
        <f>IFERROR(__xludf.DUMMYFUNCTION("""COMPUTED_VALUE"""),215.0)</f>
        <v>215</v>
      </c>
      <c r="E5677" s="1" t="str">
        <f t="array" ref="E5677">_xlfn.XLOOKUP(A5677,Product!A:A,Product!B:B,"Bulunamadı")</f>
        <v>Medical</v>
      </c>
      <c r="F5677" s="1" t="str">
        <f t="array" ref="F5677">_xlfn.XLOOKUP(A5677,Product!A:A,Product!C:C,"Bulunamadı")</f>
        <v>Theatre</v>
      </c>
      <c r="G5677" s="2" t="str">
        <f t="array" ref="G5677">_xlfn.XLOOKUP(A5678,Product!A:A,Product!D:D,"Bulunamadı")</f>
        <v>Oaklight Publishing House</v>
      </c>
      <c r="H5677" s="2">
        <f t="array" ref="H5677">_xlfn.XLOOKUP(A5679,Product!A:A,Product!E:E,"Bulunamadı")</f>
        <v>2.34</v>
      </c>
      <c r="I5677" s="2" t="str">
        <f t="shared" si="1"/>
        <v>139307 - Medical - Theatre</v>
      </c>
      <c r="J5677" s="2">
        <f t="shared" si="2"/>
        <v>503.1</v>
      </c>
      <c r="K5677" s="17">
        <f t="shared" si="3"/>
        <v>1</v>
      </c>
      <c r="L5677" s="18"/>
    </row>
    <row r="5678" hidden="1">
      <c r="A5678" s="2">
        <f>IFERROR(__xludf.DUMMYFUNCTION("""COMPUTED_VALUE"""),120253.0)</f>
        <v>120253</v>
      </c>
      <c r="B5678" s="2">
        <f>IFERROR(__xludf.DUMMYFUNCTION("""COMPUTED_VALUE"""),1.0)</f>
        <v>1</v>
      </c>
      <c r="C5678" s="2">
        <f>IFERROR(__xludf.DUMMYFUNCTION("""COMPUTED_VALUE"""),660.0)</f>
        <v>660</v>
      </c>
      <c r="D5678" s="3">
        <f>IFERROR(__xludf.DUMMYFUNCTION("""COMPUTED_VALUE"""),512.0)</f>
        <v>512</v>
      </c>
      <c r="E5678" s="1" t="str">
        <f t="array" ref="E5678">_xlfn.XLOOKUP(A5678,Product!A:A,Product!B:B,"Bulunamadı")</f>
        <v>Medical</v>
      </c>
      <c r="F5678" s="1" t="str">
        <f t="array" ref="F5678">_xlfn.XLOOKUP(A5678,Product!A:A,Product!C:C,"Bulunamadı")</f>
        <v>Theatre</v>
      </c>
      <c r="G5678" s="2" t="str">
        <f t="array" ref="G5678">_xlfn.XLOOKUP(A5679,Product!A:A,Product!D:D,"Bulunamadı")</f>
        <v>Oaklight Publishing House</v>
      </c>
      <c r="H5678" s="2">
        <f t="array" ref="H5678">_xlfn.XLOOKUP(A5680,Product!A:A,Product!E:E,"Bulunamadı")</f>
        <v>2.57</v>
      </c>
      <c r="I5678" s="2" t="str">
        <f t="shared" si="1"/>
        <v>120253 - Medical - Theatre</v>
      </c>
      <c r="J5678" s="2">
        <f t="shared" si="2"/>
        <v>1315.84</v>
      </c>
      <c r="K5678" s="17">
        <f t="shared" si="3"/>
        <v>1</v>
      </c>
      <c r="L5678" s="18"/>
    </row>
    <row r="5679" hidden="1">
      <c r="A5679" s="2">
        <f>IFERROR(__xludf.DUMMYFUNCTION("""COMPUTED_VALUE"""),120252.0)</f>
        <v>120252</v>
      </c>
      <c r="B5679" s="2">
        <f>IFERROR(__xludf.DUMMYFUNCTION("""COMPUTED_VALUE"""),0.0)</f>
        <v>0</v>
      </c>
      <c r="C5679" s="2">
        <f>IFERROR(__xludf.DUMMYFUNCTION("""COMPUTED_VALUE"""),738.0)</f>
        <v>738</v>
      </c>
      <c r="D5679" s="3">
        <f>IFERROR(__xludf.DUMMYFUNCTION("""COMPUTED_VALUE"""),631.0)</f>
        <v>631</v>
      </c>
      <c r="E5679" s="1" t="str">
        <f t="array" ref="E5679">_xlfn.XLOOKUP(A5679,Product!A:A,Product!B:B,"Bulunamadı")</f>
        <v>Medical</v>
      </c>
      <c r="F5679" s="1" t="str">
        <f t="array" ref="F5679">_xlfn.XLOOKUP(A5679,Product!A:A,Product!C:C,"Bulunamadı")</f>
        <v>Theatre</v>
      </c>
      <c r="G5679" s="2" t="str">
        <f t="array" ref="G5679">_xlfn.XLOOKUP(A5680,Product!A:A,Product!D:D,"Bulunamadı")</f>
        <v>Oaklight Publishing House</v>
      </c>
      <c r="H5679" s="2">
        <f t="array" ref="H5679">_xlfn.XLOOKUP(A5681,Product!A:A,Product!E:E,"Bulunamadı")</f>
        <v>1.85</v>
      </c>
      <c r="I5679" s="2" t="str">
        <f t="shared" si="1"/>
        <v>120252 - Medical - Theatre</v>
      </c>
      <c r="J5679" s="2">
        <f t="shared" si="2"/>
        <v>1167.35</v>
      </c>
      <c r="K5679" s="17">
        <f t="shared" si="3"/>
        <v>1</v>
      </c>
      <c r="L5679" s="18"/>
    </row>
    <row r="5680" hidden="1">
      <c r="A5680" s="2">
        <f>IFERROR(__xludf.DUMMYFUNCTION("""COMPUTED_VALUE"""),120251.0)</f>
        <v>120251</v>
      </c>
      <c r="B5680" s="2">
        <f>IFERROR(__xludf.DUMMYFUNCTION("""COMPUTED_VALUE"""),0.0)</f>
        <v>0</v>
      </c>
      <c r="C5680" s="2">
        <f>IFERROR(__xludf.DUMMYFUNCTION("""COMPUTED_VALUE"""),912.0)</f>
        <v>912</v>
      </c>
      <c r="D5680" s="3">
        <f>IFERROR(__xludf.DUMMYFUNCTION("""COMPUTED_VALUE"""),310.0)</f>
        <v>310</v>
      </c>
      <c r="E5680" s="1" t="str">
        <f t="array" ref="E5680">_xlfn.XLOOKUP(A5680,Product!A:A,Product!B:B,"Bulunamadı")</f>
        <v>Medical</v>
      </c>
      <c r="F5680" s="1" t="str">
        <f t="array" ref="F5680">_xlfn.XLOOKUP(A5680,Product!A:A,Product!C:C,"Bulunamadı")</f>
        <v>Theatre</v>
      </c>
      <c r="G5680" s="2" t="str">
        <f t="array" ref="G5680">_xlfn.XLOOKUP(A5681,Product!A:A,Product!D:D,"Bulunamadı")</f>
        <v>Oaklight Publishing House</v>
      </c>
      <c r="H5680" s="2">
        <f t="array" ref="H5680">_xlfn.XLOOKUP(A5682,Product!A:A,Product!E:E,"Bulunamadı")</f>
        <v>2.01</v>
      </c>
      <c r="I5680" s="2" t="str">
        <f t="shared" si="1"/>
        <v>120251 - Medical - Theatre</v>
      </c>
      <c r="J5680" s="2">
        <f t="shared" si="2"/>
        <v>623.1</v>
      </c>
      <c r="K5680" s="17">
        <f t="shared" si="3"/>
        <v>1</v>
      </c>
      <c r="L5680" s="18"/>
    </row>
    <row r="5681" hidden="1">
      <c r="A5681" s="2">
        <f>IFERROR(__xludf.DUMMYFUNCTION("""COMPUTED_VALUE"""),139306.0)</f>
        <v>139306</v>
      </c>
      <c r="B5681" s="2">
        <f>IFERROR(__xludf.DUMMYFUNCTION("""COMPUTED_VALUE"""),1.0)</f>
        <v>1</v>
      </c>
      <c r="C5681" s="2">
        <f>IFERROR(__xludf.DUMMYFUNCTION("""COMPUTED_VALUE"""),803.0)</f>
        <v>803</v>
      </c>
      <c r="D5681" s="3">
        <f>IFERROR(__xludf.DUMMYFUNCTION("""COMPUTED_VALUE"""),683.0)</f>
        <v>683</v>
      </c>
      <c r="E5681" s="1" t="str">
        <f t="array" ref="E5681">_xlfn.XLOOKUP(A5681,Product!A:A,Product!B:B,"Bulunamadı")</f>
        <v>Medical</v>
      </c>
      <c r="F5681" s="1" t="str">
        <f t="array" ref="F5681">_xlfn.XLOOKUP(A5681,Product!A:A,Product!C:C,"Bulunamadı")</f>
        <v>Theatre</v>
      </c>
      <c r="G5681" s="2" t="str">
        <f t="array" ref="G5681">_xlfn.XLOOKUP(A5682,Product!A:A,Product!D:D,"Bulunamadı")</f>
        <v>Oaklight Publishing House</v>
      </c>
      <c r="H5681" s="2">
        <f t="array" ref="H5681">_xlfn.XLOOKUP(A5683,Product!A:A,Product!E:E,"Bulunamadı")</f>
        <v>0.48</v>
      </c>
      <c r="I5681" s="2" t="str">
        <f t="shared" si="1"/>
        <v>139306 - Medical - Theatre</v>
      </c>
      <c r="J5681" s="2">
        <f t="shared" si="2"/>
        <v>327.84</v>
      </c>
      <c r="K5681" s="17">
        <f t="shared" si="3"/>
        <v>1</v>
      </c>
      <c r="L5681" s="18"/>
    </row>
    <row r="5682" hidden="1">
      <c r="A5682" s="2">
        <f>IFERROR(__xludf.DUMMYFUNCTION("""COMPUTED_VALUE"""),120255.0)</f>
        <v>120255</v>
      </c>
      <c r="B5682" s="2">
        <f>IFERROR(__xludf.DUMMYFUNCTION("""COMPUTED_VALUE"""),0.0)</f>
        <v>0</v>
      </c>
      <c r="C5682" s="2">
        <f>IFERROR(__xludf.DUMMYFUNCTION("""COMPUTED_VALUE"""),374.0)</f>
        <v>374</v>
      </c>
      <c r="D5682" s="3">
        <f>IFERROR(__xludf.DUMMYFUNCTION("""COMPUTED_VALUE"""),206.0)</f>
        <v>206</v>
      </c>
      <c r="E5682" s="1" t="str">
        <f t="array" ref="E5682">_xlfn.XLOOKUP(A5682,Product!A:A,Product!B:B,"Bulunamadı")</f>
        <v>Medical</v>
      </c>
      <c r="F5682" s="1" t="str">
        <f t="array" ref="F5682">_xlfn.XLOOKUP(A5682,Product!A:A,Product!C:C,"Bulunamadı")</f>
        <v>Theatre</v>
      </c>
      <c r="G5682" s="2" t="str">
        <f t="array" ref="G5682">_xlfn.XLOOKUP(A5683,Product!A:A,Product!D:D,"Bulunamadı")</f>
        <v>Oaklight Publishing House</v>
      </c>
      <c r="H5682" s="2">
        <f t="array" ref="H5682">_xlfn.XLOOKUP(A5684,Product!A:A,Product!E:E,"Bulunamadı")</f>
        <v>2.13</v>
      </c>
      <c r="I5682" s="2" t="str">
        <f t="shared" si="1"/>
        <v>120255 - Medical - Theatre</v>
      </c>
      <c r="J5682" s="2">
        <f t="shared" si="2"/>
        <v>438.78</v>
      </c>
      <c r="K5682" s="17">
        <f t="shared" si="3"/>
        <v>1</v>
      </c>
      <c r="L5682" s="18"/>
    </row>
    <row r="5683" hidden="1">
      <c r="A5683" s="2">
        <f>IFERROR(__xludf.DUMMYFUNCTION("""COMPUTED_VALUE"""),120980.0)</f>
        <v>120980</v>
      </c>
      <c r="B5683" s="2">
        <f>IFERROR(__xludf.DUMMYFUNCTION("""COMPUTED_VALUE"""),0.0)</f>
        <v>0</v>
      </c>
      <c r="C5683" s="2">
        <f>IFERROR(__xludf.DUMMYFUNCTION("""COMPUTED_VALUE"""),499.0)</f>
        <v>499</v>
      </c>
      <c r="D5683" s="3">
        <f>IFERROR(__xludf.DUMMYFUNCTION("""COMPUTED_VALUE"""),158.0)</f>
        <v>158</v>
      </c>
      <c r="E5683" s="1" t="str">
        <f t="array" ref="E5683">_xlfn.XLOOKUP(A5683,Product!A:A,Product!B:B,"Bulunamadı")</f>
        <v>Medical</v>
      </c>
      <c r="F5683" s="1" t="str">
        <f t="array" ref="F5683">_xlfn.XLOOKUP(A5683,Product!A:A,Product!C:C,"Bulunamadı")</f>
        <v>Theatre</v>
      </c>
      <c r="G5683" s="2" t="str">
        <f t="array" ref="G5683">_xlfn.XLOOKUP(A5684,Product!A:A,Product!D:D,"Bulunamadı")</f>
        <v>Oaklight Publishing House</v>
      </c>
      <c r="H5683" s="2">
        <f t="array" ref="H5683">_xlfn.XLOOKUP(A5685,Product!A:A,Product!E:E,"Bulunamadı")</f>
        <v>1.52</v>
      </c>
      <c r="I5683" s="2" t="str">
        <f t="shared" si="1"/>
        <v>120980 - Medical - Theatre</v>
      </c>
      <c r="J5683" s="2">
        <f t="shared" si="2"/>
        <v>240.16</v>
      </c>
      <c r="K5683" s="17">
        <f t="shared" si="3"/>
        <v>1</v>
      </c>
      <c r="L5683" s="18"/>
    </row>
    <row r="5684" hidden="1">
      <c r="A5684" s="2">
        <f>IFERROR(__xludf.DUMMYFUNCTION("""COMPUTED_VALUE"""),139299.0)</f>
        <v>139299</v>
      </c>
      <c r="B5684" s="2">
        <f>IFERROR(__xludf.DUMMYFUNCTION("""COMPUTED_VALUE"""),1.0)</f>
        <v>1</v>
      </c>
      <c r="C5684" s="2">
        <f>IFERROR(__xludf.DUMMYFUNCTION("""COMPUTED_VALUE"""),671.0)</f>
        <v>671</v>
      </c>
      <c r="D5684" s="3">
        <f>IFERROR(__xludf.DUMMYFUNCTION("""COMPUTED_VALUE"""),402.0)</f>
        <v>402</v>
      </c>
      <c r="E5684" s="1" t="str">
        <f t="array" ref="E5684">_xlfn.XLOOKUP(A5684,Product!A:A,Product!B:B,"Bulunamadı")</f>
        <v>Medical</v>
      </c>
      <c r="F5684" s="1" t="str">
        <f t="array" ref="F5684">_xlfn.XLOOKUP(A5684,Product!A:A,Product!C:C,"Bulunamadı")</f>
        <v>Theatre</v>
      </c>
      <c r="G5684" s="2" t="str">
        <f t="array" ref="G5684">_xlfn.XLOOKUP(A5685,Product!A:A,Product!D:D,"Bulunamadı")</f>
        <v>Oaklight Publishing House</v>
      </c>
      <c r="H5684" s="2">
        <f t="array" ref="H5684">_xlfn.XLOOKUP(A5686,Product!A:A,Product!E:E,"Bulunamadı")</f>
        <v>0.72</v>
      </c>
      <c r="I5684" s="2" t="str">
        <f t="shared" si="1"/>
        <v>139299 - Medical - Theatre</v>
      </c>
      <c r="J5684" s="2">
        <f t="shared" si="2"/>
        <v>289.44</v>
      </c>
      <c r="K5684" s="17">
        <f t="shared" si="3"/>
        <v>1</v>
      </c>
      <c r="L5684" s="18"/>
    </row>
    <row r="5685" hidden="1">
      <c r="A5685" s="2">
        <f>IFERROR(__xludf.DUMMYFUNCTION("""COMPUTED_VALUE"""),73635.0)</f>
        <v>73635</v>
      </c>
      <c r="B5685" s="2">
        <f>IFERROR(__xludf.DUMMYFUNCTION("""COMPUTED_VALUE"""),1.0)</f>
        <v>1</v>
      </c>
      <c r="C5685" s="2">
        <f>IFERROR(__xludf.DUMMYFUNCTION("""COMPUTED_VALUE"""),362.0)</f>
        <v>362</v>
      </c>
      <c r="D5685" s="3">
        <f>IFERROR(__xludf.DUMMYFUNCTION("""COMPUTED_VALUE"""),181.0)</f>
        <v>181</v>
      </c>
      <c r="E5685" s="1" t="str">
        <f t="array" ref="E5685">_xlfn.XLOOKUP(A5685,Product!A:A,Product!B:B,"Bulunamadı")</f>
        <v>Medical</v>
      </c>
      <c r="F5685" s="1" t="str">
        <f t="array" ref="F5685">_xlfn.XLOOKUP(A5685,Product!A:A,Product!C:C,"Bulunamadı")</f>
        <v>Theatre</v>
      </c>
      <c r="G5685" s="2" t="str">
        <f t="array" ref="G5685">_xlfn.XLOOKUP(A5686,Product!A:A,Product!D:D,"Bulunamadı")</f>
        <v>Oaklight Publishing House</v>
      </c>
      <c r="H5685" s="2">
        <f t="array" ref="H5685">_xlfn.XLOOKUP(A5687,Product!A:A,Product!E:E,"Bulunamadı")</f>
        <v>1.41</v>
      </c>
      <c r="I5685" s="2" t="str">
        <f t="shared" si="1"/>
        <v>73635 - Medical - Theatre</v>
      </c>
      <c r="J5685" s="2">
        <f t="shared" si="2"/>
        <v>255.21</v>
      </c>
      <c r="K5685" s="17">
        <f t="shared" si="3"/>
        <v>1</v>
      </c>
      <c r="L5685" s="18"/>
    </row>
    <row r="5686" hidden="1">
      <c r="A5686" s="2">
        <f>IFERROR(__xludf.DUMMYFUNCTION("""COMPUTED_VALUE"""),116537.0)</f>
        <v>116537</v>
      </c>
      <c r="B5686" s="2">
        <f>IFERROR(__xludf.DUMMYFUNCTION("""COMPUTED_VALUE"""),0.0)</f>
        <v>0</v>
      </c>
      <c r="C5686" s="2">
        <f>IFERROR(__xludf.DUMMYFUNCTION("""COMPUTED_VALUE"""),338.0)</f>
        <v>338</v>
      </c>
      <c r="D5686" s="3">
        <f>IFERROR(__xludf.DUMMYFUNCTION("""COMPUTED_VALUE"""),195.0)</f>
        <v>195</v>
      </c>
      <c r="E5686" s="1" t="str">
        <f t="array" ref="E5686">_xlfn.XLOOKUP(A5686,Product!A:A,Product!B:B,"Bulunamadı")</f>
        <v>Medical</v>
      </c>
      <c r="F5686" s="1" t="str">
        <f t="array" ref="F5686">_xlfn.XLOOKUP(A5686,Product!A:A,Product!C:C,"Bulunamadı")</f>
        <v>Theatre</v>
      </c>
      <c r="G5686" s="2" t="str">
        <f t="array" ref="G5686">_xlfn.XLOOKUP(A5687,Product!A:A,Product!D:D,"Bulunamadı")</f>
        <v>Oaklight Publishing House</v>
      </c>
      <c r="H5686" s="2">
        <f t="array" ref="H5686">_xlfn.XLOOKUP(A5688,Product!A:A,Product!E:E,"Bulunamadı")</f>
        <v>1.92</v>
      </c>
      <c r="I5686" s="2" t="str">
        <f t="shared" si="1"/>
        <v>116537 - Medical - Theatre</v>
      </c>
      <c r="J5686" s="2">
        <f t="shared" si="2"/>
        <v>374.4</v>
      </c>
      <c r="K5686" s="17">
        <f t="shared" si="3"/>
        <v>1</v>
      </c>
      <c r="L5686" s="18"/>
    </row>
    <row r="5687" hidden="1">
      <c r="A5687" s="2">
        <f>IFERROR(__xludf.DUMMYFUNCTION("""COMPUTED_VALUE"""),46716.0)</f>
        <v>46716</v>
      </c>
      <c r="B5687" s="2">
        <f>IFERROR(__xludf.DUMMYFUNCTION("""COMPUTED_VALUE"""),1.0)</f>
        <v>1</v>
      </c>
      <c r="C5687" s="2">
        <f>IFERROR(__xludf.DUMMYFUNCTION("""COMPUTED_VALUE"""),172.0)</f>
        <v>172</v>
      </c>
      <c r="D5687" s="3">
        <f>IFERROR(__xludf.DUMMYFUNCTION("""COMPUTED_VALUE"""),155.0)</f>
        <v>155</v>
      </c>
      <c r="E5687" s="1" t="str">
        <f t="array" ref="E5687">_xlfn.XLOOKUP(A5687,Product!A:A,Product!B:B,"Bulunamadı")</f>
        <v>Medical</v>
      </c>
      <c r="F5687" s="1" t="str">
        <f t="array" ref="F5687">_xlfn.XLOOKUP(A5687,Product!A:A,Product!C:C,"Bulunamadı")</f>
        <v>Theatre</v>
      </c>
      <c r="G5687" s="2" t="str">
        <f t="array" ref="G5687">_xlfn.XLOOKUP(A5688,Product!A:A,Product!D:D,"Bulunamadı")</f>
        <v>Oaklight Publishing House</v>
      </c>
      <c r="H5687" s="2">
        <f t="array" ref="H5687">_xlfn.XLOOKUP(A5689,Product!A:A,Product!E:E,"Bulunamadı")</f>
        <v>1.37</v>
      </c>
      <c r="I5687" s="2" t="str">
        <f t="shared" si="1"/>
        <v>46716 - Medical - Theatre</v>
      </c>
      <c r="J5687" s="2">
        <f t="shared" si="2"/>
        <v>212.35</v>
      </c>
      <c r="K5687" s="17">
        <f t="shared" si="3"/>
        <v>1</v>
      </c>
      <c r="L5687" s="18"/>
    </row>
    <row r="5688" hidden="1">
      <c r="A5688" s="2">
        <f>IFERROR(__xludf.DUMMYFUNCTION("""COMPUTED_VALUE"""),109161.0)</f>
        <v>109161</v>
      </c>
      <c r="B5688" s="2">
        <f>IFERROR(__xludf.DUMMYFUNCTION("""COMPUTED_VALUE"""),0.0)</f>
        <v>0</v>
      </c>
      <c r="C5688" s="2">
        <f>IFERROR(__xludf.DUMMYFUNCTION("""COMPUTED_VALUE"""),926.0)</f>
        <v>926</v>
      </c>
      <c r="D5688" s="3">
        <f>IFERROR(__xludf.DUMMYFUNCTION("""COMPUTED_VALUE"""),804.0)</f>
        <v>804</v>
      </c>
      <c r="E5688" s="1" t="str">
        <f t="array" ref="E5688">_xlfn.XLOOKUP(A5688,Product!A:A,Product!B:B,"Bulunamadı")</f>
        <v>Medical</v>
      </c>
      <c r="F5688" s="1" t="str">
        <f t="array" ref="F5688">_xlfn.XLOOKUP(A5688,Product!A:A,Product!C:C,"Bulunamadı")</f>
        <v>Theatre</v>
      </c>
      <c r="G5688" s="2" t="str">
        <f t="array" ref="G5688">_xlfn.XLOOKUP(A5689,Product!A:A,Product!D:D,"Bulunamadı")</f>
        <v>Oaklight Publishing House</v>
      </c>
      <c r="H5688" s="2">
        <f t="array" ref="H5688">_xlfn.XLOOKUP(A5690,Product!A:A,Product!E:E,"Bulunamadı")</f>
        <v>2.33</v>
      </c>
      <c r="I5688" s="2" t="str">
        <f t="shared" si="1"/>
        <v>109161 - Medical - Theatre</v>
      </c>
      <c r="J5688" s="2">
        <f t="shared" si="2"/>
        <v>1873.32</v>
      </c>
      <c r="K5688" s="17">
        <f t="shared" si="3"/>
        <v>1</v>
      </c>
      <c r="L5688" s="18"/>
    </row>
    <row r="5689" hidden="1">
      <c r="A5689" s="2">
        <f>IFERROR(__xludf.DUMMYFUNCTION("""COMPUTED_VALUE"""),110760.0)</f>
        <v>110760</v>
      </c>
      <c r="B5689" s="2">
        <f>IFERROR(__xludf.DUMMYFUNCTION("""COMPUTED_VALUE"""),1.0)</f>
        <v>1</v>
      </c>
      <c r="C5689" s="2">
        <f>IFERROR(__xludf.DUMMYFUNCTION("""COMPUTED_VALUE"""),267.0)</f>
        <v>267</v>
      </c>
      <c r="D5689" s="3">
        <f>IFERROR(__xludf.DUMMYFUNCTION("""COMPUTED_VALUE"""),211.0)</f>
        <v>211</v>
      </c>
      <c r="E5689" s="1" t="str">
        <f t="array" ref="E5689">_xlfn.XLOOKUP(A5689,Product!A:A,Product!B:B,"Bulunamadı")</f>
        <v>Medical</v>
      </c>
      <c r="F5689" s="1" t="str">
        <f t="array" ref="F5689">_xlfn.XLOOKUP(A5689,Product!A:A,Product!C:C,"Bulunamadı")</f>
        <v>Theatre</v>
      </c>
      <c r="G5689" s="2" t="str">
        <f t="array" ref="G5689">_xlfn.XLOOKUP(A5690,Product!A:A,Product!D:D,"Bulunamadı")</f>
        <v>Oaklight Publishing House</v>
      </c>
      <c r="H5689" s="2">
        <f t="array" ref="H5689">_xlfn.XLOOKUP(A5691,Product!A:A,Product!E:E,"Bulunamadı")</f>
        <v>2.37</v>
      </c>
      <c r="I5689" s="2" t="str">
        <f t="shared" si="1"/>
        <v>110760 - Medical - Theatre</v>
      </c>
      <c r="J5689" s="2">
        <f t="shared" si="2"/>
        <v>500.07</v>
      </c>
      <c r="K5689" s="17">
        <f t="shared" si="3"/>
        <v>1</v>
      </c>
      <c r="L5689" s="18"/>
    </row>
    <row r="5690" hidden="1">
      <c r="A5690" s="2">
        <f>IFERROR(__xludf.DUMMYFUNCTION("""COMPUTED_VALUE"""),112095.0)</f>
        <v>112095</v>
      </c>
      <c r="B5690" s="2">
        <f>IFERROR(__xludf.DUMMYFUNCTION("""COMPUTED_VALUE"""),0.0)</f>
        <v>0</v>
      </c>
      <c r="C5690" s="2">
        <f>IFERROR(__xludf.DUMMYFUNCTION("""COMPUTED_VALUE"""),495.0)</f>
        <v>495</v>
      </c>
      <c r="D5690" s="3">
        <f>IFERROR(__xludf.DUMMYFUNCTION("""COMPUTED_VALUE"""),395.0)</f>
        <v>395</v>
      </c>
      <c r="E5690" s="1" t="str">
        <f t="array" ref="E5690">_xlfn.XLOOKUP(A5690,Product!A:A,Product!B:B,"Bulunamadı")</f>
        <v>Medical</v>
      </c>
      <c r="F5690" s="1" t="str">
        <f t="array" ref="F5690">_xlfn.XLOOKUP(A5690,Product!A:A,Product!C:C,"Bulunamadı")</f>
        <v>Theatre</v>
      </c>
      <c r="G5690" s="2" t="str">
        <f t="array" ref="G5690">_xlfn.XLOOKUP(A5691,Product!A:A,Product!D:D,"Bulunamadı")</f>
        <v>Oaklight Publishing House</v>
      </c>
      <c r="H5690" s="2">
        <f t="array" ref="H5690">_xlfn.XLOOKUP(A5692,Product!A:A,Product!E:E,"Bulunamadı")</f>
        <v>0.9</v>
      </c>
      <c r="I5690" s="2" t="str">
        <f t="shared" si="1"/>
        <v>112095 - Medical - Theatre</v>
      </c>
      <c r="J5690" s="2">
        <f t="shared" si="2"/>
        <v>355.5</v>
      </c>
      <c r="K5690" s="17">
        <f t="shared" si="3"/>
        <v>1</v>
      </c>
      <c r="L5690" s="18"/>
    </row>
    <row r="5691" hidden="1">
      <c r="A5691" s="2">
        <f>IFERROR(__xludf.DUMMYFUNCTION("""COMPUTED_VALUE"""),120261.0)</f>
        <v>120261</v>
      </c>
      <c r="B5691" s="2">
        <f>IFERROR(__xludf.DUMMYFUNCTION("""COMPUTED_VALUE"""),1.0)</f>
        <v>1</v>
      </c>
      <c r="C5691" s="2">
        <f>IFERROR(__xludf.DUMMYFUNCTION("""COMPUTED_VALUE"""),952.0)</f>
        <v>952</v>
      </c>
      <c r="D5691" s="3">
        <f>IFERROR(__xludf.DUMMYFUNCTION("""COMPUTED_VALUE"""),393.0)</f>
        <v>393</v>
      </c>
      <c r="E5691" s="1" t="str">
        <f t="array" ref="E5691">_xlfn.XLOOKUP(A5691,Product!A:A,Product!B:B,"Bulunamadı")</f>
        <v>Medical</v>
      </c>
      <c r="F5691" s="1" t="str">
        <f t="array" ref="F5691">_xlfn.XLOOKUP(A5691,Product!A:A,Product!C:C,"Bulunamadı")</f>
        <v>Theatre</v>
      </c>
      <c r="G5691" s="2" t="str">
        <f t="array" ref="G5691">_xlfn.XLOOKUP(A5692,Product!A:A,Product!D:D,"Bulunamadı")</f>
        <v>Oaklight Publishing House</v>
      </c>
      <c r="H5691" s="2">
        <f t="array" ref="H5691">_xlfn.XLOOKUP(A5693,Product!A:A,Product!E:E,"Bulunamadı")</f>
        <v>1.18</v>
      </c>
      <c r="I5691" s="2" t="str">
        <f t="shared" si="1"/>
        <v>120261 - Medical - Theatre</v>
      </c>
      <c r="J5691" s="2">
        <f t="shared" si="2"/>
        <v>463.74</v>
      </c>
      <c r="K5691" s="17">
        <f t="shared" si="3"/>
        <v>1</v>
      </c>
      <c r="L5691" s="18"/>
    </row>
    <row r="5692" hidden="1">
      <c r="A5692" s="2">
        <f>IFERROR(__xludf.DUMMYFUNCTION("""COMPUTED_VALUE"""),142302.0)</f>
        <v>142302</v>
      </c>
      <c r="B5692" s="2">
        <f>IFERROR(__xludf.DUMMYFUNCTION("""COMPUTED_VALUE"""),0.0)</f>
        <v>0</v>
      </c>
      <c r="C5692" s="2">
        <f>IFERROR(__xludf.DUMMYFUNCTION("""COMPUTED_VALUE"""),736.0)</f>
        <v>736</v>
      </c>
      <c r="D5692" s="3">
        <f>IFERROR(__xludf.DUMMYFUNCTION("""COMPUTED_VALUE"""),703.0)</f>
        <v>703</v>
      </c>
      <c r="E5692" s="1" t="str">
        <f t="array" ref="E5692">_xlfn.XLOOKUP(A5692,Product!A:A,Product!B:B,"Bulunamadı")</f>
        <v>Medical</v>
      </c>
      <c r="F5692" s="1" t="str">
        <f t="array" ref="F5692">_xlfn.XLOOKUP(A5692,Product!A:A,Product!C:C,"Bulunamadı")</f>
        <v>Theatre</v>
      </c>
      <c r="G5692" s="2" t="str">
        <f t="array" ref="G5692">_xlfn.XLOOKUP(A5693,Product!A:A,Product!D:D,"Bulunamadı")</f>
        <v>Oaklight Publishing House</v>
      </c>
      <c r="H5692" s="2">
        <f t="array" ref="H5692">_xlfn.XLOOKUP(A5694,Product!A:A,Product!E:E,"Bulunamadı")</f>
        <v>2.06</v>
      </c>
      <c r="I5692" s="2" t="str">
        <f t="shared" si="1"/>
        <v>142302 - Medical - Theatre</v>
      </c>
      <c r="J5692" s="2">
        <f t="shared" si="2"/>
        <v>1448.18</v>
      </c>
      <c r="K5692" s="17">
        <f t="shared" si="3"/>
        <v>1</v>
      </c>
      <c r="L5692" s="18"/>
    </row>
    <row r="5693" hidden="1">
      <c r="A5693" s="2">
        <f>IFERROR(__xludf.DUMMYFUNCTION("""COMPUTED_VALUE"""),46715.0)</f>
        <v>46715</v>
      </c>
      <c r="B5693" s="2">
        <f>IFERROR(__xludf.DUMMYFUNCTION("""COMPUTED_VALUE"""),1.0)</f>
        <v>1</v>
      </c>
      <c r="C5693" s="2">
        <f>IFERROR(__xludf.DUMMYFUNCTION("""COMPUTED_VALUE"""),76.0)</f>
        <v>76</v>
      </c>
      <c r="D5693" s="3">
        <f>IFERROR(__xludf.DUMMYFUNCTION("""COMPUTED_VALUE"""),39.0)</f>
        <v>39</v>
      </c>
      <c r="E5693" s="1" t="str">
        <f t="array" ref="E5693">_xlfn.XLOOKUP(A5693,Product!A:A,Product!B:B,"Bulunamadı")</f>
        <v>Medical</v>
      </c>
      <c r="F5693" s="1" t="str">
        <f t="array" ref="F5693">_xlfn.XLOOKUP(A5693,Product!A:A,Product!C:C,"Bulunamadı")</f>
        <v>Theatre</v>
      </c>
      <c r="G5693" s="2" t="str">
        <f t="array" ref="G5693">_xlfn.XLOOKUP(A5694,Product!A:A,Product!D:D,"Bulunamadı")</f>
        <v>Oaklight Publishing House</v>
      </c>
      <c r="H5693" s="2">
        <f t="array" ref="H5693">_xlfn.XLOOKUP(A5695,Product!A:A,Product!E:E,"Bulunamadı")</f>
        <v>2.11</v>
      </c>
      <c r="I5693" s="2" t="str">
        <f t="shared" si="1"/>
        <v>46715 - Medical - Theatre</v>
      </c>
      <c r="J5693" s="2">
        <f t="shared" si="2"/>
        <v>82.29</v>
      </c>
      <c r="K5693" s="17">
        <f t="shared" si="3"/>
        <v>1</v>
      </c>
      <c r="L5693" s="18"/>
    </row>
    <row r="5694" hidden="1">
      <c r="A5694" s="2">
        <f>IFERROR(__xludf.DUMMYFUNCTION("""COMPUTED_VALUE"""),102190.0)</f>
        <v>102190</v>
      </c>
      <c r="B5694" s="2">
        <f>IFERROR(__xludf.DUMMYFUNCTION("""COMPUTED_VALUE"""),0.0)</f>
        <v>0</v>
      </c>
      <c r="C5694" s="2">
        <f>IFERROR(__xludf.DUMMYFUNCTION("""COMPUTED_VALUE"""),274.0)</f>
        <v>274</v>
      </c>
      <c r="D5694" s="3">
        <f>IFERROR(__xludf.DUMMYFUNCTION("""COMPUTED_VALUE"""),212.0)</f>
        <v>212</v>
      </c>
      <c r="E5694" s="1" t="str">
        <f t="array" ref="E5694">_xlfn.XLOOKUP(A5694,Product!A:A,Product!B:B,"Bulunamadı")</f>
        <v>Medical</v>
      </c>
      <c r="F5694" s="1" t="str">
        <f t="array" ref="F5694">_xlfn.XLOOKUP(A5694,Product!A:A,Product!C:C,"Bulunamadı")</f>
        <v>Theatre</v>
      </c>
      <c r="G5694" s="2" t="str">
        <f t="array" ref="G5694">_xlfn.XLOOKUP(A5695,Product!A:A,Product!D:D,"Bulunamadı")</f>
        <v>Oaklight Publishing House</v>
      </c>
      <c r="H5694" s="2">
        <f t="array" ref="H5694">_xlfn.XLOOKUP(A5696,Product!A:A,Product!E:E,"Bulunamadı")</f>
        <v>1.77</v>
      </c>
      <c r="I5694" s="2" t="str">
        <f t="shared" si="1"/>
        <v>102190 - Medical - Theatre</v>
      </c>
      <c r="J5694" s="2">
        <f t="shared" si="2"/>
        <v>375.24</v>
      </c>
      <c r="K5694" s="17">
        <f t="shared" si="3"/>
        <v>1</v>
      </c>
      <c r="L5694" s="18"/>
    </row>
    <row r="5695" hidden="1">
      <c r="A5695" s="2">
        <f>IFERROR(__xludf.DUMMYFUNCTION("""COMPUTED_VALUE"""),112098.0)</f>
        <v>112098</v>
      </c>
      <c r="B5695" s="2">
        <f>IFERROR(__xludf.DUMMYFUNCTION("""COMPUTED_VALUE"""),1.0)</f>
        <v>1</v>
      </c>
      <c r="C5695" s="2">
        <f>IFERROR(__xludf.DUMMYFUNCTION("""COMPUTED_VALUE"""),531.0)</f>
        <v>531</v>
      </c>
      <c r="D5695" s="3">
        <f>IFERROR(__xludf.DUMMYFUNCTION("""COMPUTED_VALUE"""),258.0)</f>
        <v>258</v>
      </c>
      <c r="E5695" s="1" t="str">
        <f t="array" ref="E5695">_xlfn.XLOOKUP(A5695,Product!A:A,Product!B:B,"Bulunamadı")</f>
        <v>Medical</v>
      </c>
      <c r="F5695" s="1" t="str">
        <f t="array" ref="F5695">_xlfn.XLOOKUP(A5695,Product!A:A,Product!C:C,"Bulunamadı")</f>
        <v>Theatre</v>
      </c>
      <c r="G5695" s="2" t="str">
        <f t="array" ref="G5695">_xlfn.XLOOKUP(A5696,Product!A:A,Product!D:D,"Bulunamadı")</f>
        <v>Oaklight Publishing House</v>
      </c>
      <c r="H5695" s="2">
        <f t="array" ref="H5695">_xlfn.XLOOKUP(A5697,Product!A:A,Product!E:E,"Bulunamadı")</f>
        <v>0.98</v>
      </c>
      <c r="I5695" s="2" t="str">
        <f t="shared" si="1"/>
        <v>112098 - Medical - Theatre</v>
      </c>
      <c r="J5695" s="2">
        <f t="shared" si="2"/>
        <v>252.84</v>
      </c>
      <c r="K5695" s="17">
        <f t="shared" si="3"/>
        <v>1</v>
      </c>
      <c r="L5695" s="18"/>
    </row>
    <row r="5696" hidden="1">
      <c r="A5696" s="2">
        <f>IFERROR(__xludf.DUMMYFUNCTION("""COMPUTED_VALUE"""),110761.0)</f>
        <v>110761</v>
      </c>
      <c r="B5696" s="2">
        <f>IFERROR(__xludf.DUMMYFUNCTION("""COMPUTED_VALUE"""),1.0)</f>
        <v>1</v>
      </c>
      <c r="C5696" s="2">
        <f>IFERROR(__xludf.DUMMYFUNCTION("""COMPUTED_VALUE"""),296.0)</f>
        <v>296</v>
      </c>
      <c r="D5696" s="3">
        <f>IFERROR(__xludf.DUMMYFUNCTION("""COMPUTED_VALUE"""),132.0)</f>
        <v>132</v>
      </c>
      <c r="E5696" s="1" t="str">
        <f t="array" ref="E5696">_xlfn.XLOOKUP(A5696,Product!A:A,Product!B:B,"Bulunamadı")</f>
        <v>Medical</v>
      </c>
      <c r="F5696" s="1" t="str">
        <f t="array" ref="F5696">_xlfn.XLOOKUP(A5696,Product!A:A,Product!C:C,"Bulunamadı")</f>
        <v>Theatre</v>
      </c>
      <c r="G5696" s="2" t="str">
        <f t="array" ref="G5696">_xlfn.XLOOKUP(A5697,Product!A:A,Product!D:D,"Bulunamadı")</f>
        <v>Oaklight Publishing House</v>
      </c>
      <c r="H5696" s="2">
        <f t="array" ref="H5696">_xlfn.XLOOKUP(A5698,Product!A:A,Product!E:E,"Bulunamadı")</f>
        <v>5.44</v>
      </c>
      <c r="I5696" s="2" t="str">
        <f t="shared" si="1"/>
        <v>110761 - Medical - Theatre</v>
      </c>
      <c r="J5696" s="2">
        <f t="shared" si="2"/>
        <v>718.08</v>
      </c>
      <c r="K5696" s="17">
        <f t="shared" si="3"/>
        <v>1</v>
      </c>
      <c r="L5696" s="18"/>
    </row>
    <row r="5697" hidden="1">
      <c r="A5697" s="2">
        <f>IFERROR(__xludf.DUMMYFUNCTION("""COMPUTED_VALUE"""),116529.0)</f>
        <v>116529</v>
      </c>
      <c r="B5697" s="2">
        <f>IFERROR(__xludf.DUMMYFUNCTION("""COMPUTED_VALUE"""),1.0)</f>
        <v>1</v>
      </c>
      <c r="C5697" s="2">
        <f>IFERROR(__xludf.DUMMYFUNCTION("""COMPUTED_VALUE"""),703.0)</f>
        <v>703</v>
      </c>
      <c r="D5697" s="3">
        <f>IFERROR(__xludf.DUMMYFUNCTION("""COMPUTED_VALUE"""),415.0)</f>
        <v>415</v>
      </c>
      <c r="E5697" s="1" t="str">
        <f t="array" ref="E5697">_xlfn.XLOOKUP(A5697,Product!A:A,Product!B:B,"Bulunamadı")</f>
        <v>Medical</v>
      </c>
      <c r="F5697" s="1" t="str">
        <f t="array" ref="F5697">_xlfn.XLOOKUP(A5697,Product!A:A,Product!C:C,"Bulunamadı")</f>
        <v>Theatre</v>
      </c>
      <c r="G5697" s="2" t="str">
        <f t="array" ref="G5697">_xlfn.XLOOKUP(A5698,Product!A:A,Product!D:D,"Bulunamadı")</f>
        <v/>
      </c>
      <c r="H5697" s="2">
        <f t="array" ref="H5697">_xlfn.XLOOKUP(A5699,Product!A:A,Product!E:E,"Bulunamadı")</f>
        <v>2.82</v>
      </c>
      <c r="I5697" s="2" t="str">
        <f t="shared" si="1"/>
        <v>116529 - Medical - Theatre</v>
      </c>
      <c r="J5697" s="2">
        <f t="shared" si="2"/>
        <v>1170.3</v>
      </c>
      <c r="K5697" s="17">
        <f t="shared" si="3"/>
        <v>1</v>
      </c>
      <c r="L5697" s="18"/>
    </row>
    <row r="5698" hidden="1">
      <c r="A5698" s="2">
        <f>IFERROR(__xludf.DUMMYFUNCTION("""COMPUTED_VALUE"""),119245.0)</f>
        <v>119245</v>
      </c>
      <c r="B5698" s="2">
        <f>IFERROR(__xludf.DUMMYFUNCTION("""COMPUTED_VALUE"""),0.0)</f>
        <v>0</v>
      </c>
      <c r="C5698" s="2">
        <f>IFERROR(__xludf.DUMMYFUNCTION("""COMPUTED_VALUE"""),234.0)</f>
        <v>234</v>
      </c>
      <c r="D5698" s="3">
        <f>IFERROR(__xludf.DUMMYFUNCTION("""COMPUTED_VALUE"""),189.0)</f>
        <v>189</v>
      </c>
      <c r="E5698" s="1" t="str">
        <f t="array" ref="E5698">_xlfn.XLOOKUP(A5698,Product!A:A,Product!B:B,"Bulunamadı")</f>
        <v>Sports</v>
      </c>
      <c r="F5698" s="1" t="str">
        <f t="array" ref="F5698">_xlfn.XLOOKUP(A5698,Product!A:A,Product!C:C,"Bulunamadı")</f>
        <v>Music</v>
      </c>
      <c r="G5698" s="2" t="str">
        <f t="array" ref="G5698">_xlfn.XLOOKUP(A5699,Product!A:A,Product!D:D,"Bulunamadı")</f>
        <v/>
      </c>
      <c r="H5698" s="2">
        <f t="array" ref="H5698">_xlfn.XLOOKUP(A5700,Product!A:A,Product!E:E,"Bulunamadı")</f>
        <v>3.86</v>
      </c>
      <c r="I5698" s="2" t="str">
        <f t="shared" si="1"/>
        <v>119245 - Sports - Music</v>
      </c>
      <c r="J5698" s="2">
        <f t="shared" si="2"/>
        <v>729.54</v>
      </c>
      <c r="K5698" s="17">
        <f t="shared" si="3"/>
        <v>1</v>
      </c>
      <c r="L5698" s="18"/>
    </row>
    <row r="5699" hidden="1">
      <c r="A5699" s="2">
        <f>IFERROR(__xludf.DUMMYFUNCTION("""COMPUTED_VALUE"""),119454.0)</f>
        <v>119454</v>
      </c>
      <c r="B5699" s="2">
        <f>IFERROR(__xludf.DUMMYFUNCTION("""COMPUTED_VALUE"""),1.0)</f>
        <v>1</v>
      </c>
      <c r="C5699" s="2">
        <f>IFERROR(__xludf.DUMMYFUNCTION("""COMPUTED_VALUE"""),433.0)</f>
        <v>433</v>
      </c>
      <c r="D5699" s="3">
        <f>IFERROR(__xludf.DUMMYFUNCTION("""COMPUTED_VALUE"""),345.0)</f>
        <v>345</v>
      </c>
      <c r="E5699" s="1" t="str">
        <f t="array" ref="E5699">_xlfn.XLOOKUP(A5699,Product!A:A,Product!B:B,"Bulunamadı")</f>
        <v>Sports</v>
      </c>
      <c r="F5699" s="1" t="str">
        <f t="array" ref="F5699">_xlfn.XLOOKUP(A5699,Product!A:A,Product!C:C,"Bulunamadı")</f>
        <v>Music</v>
      </c>
      <c r="G5699" s="2" t="str">
        <f t="array" ref="G5699">_xlfn.XLOOKUP(A5700,Product!A:A,Product!D:D,"Bulunamadı")</f>
        <v/>
      </c>
      <c r="H5699" s="2">
        <f t="array" ref="H5699">_xlfn.XLOOKUP(A5701,Product!A:A,Product!E:E,"Bulunamadı")</f>
        <v>4.02</v>
      </c>
      <c r="I5699" s="2" t="str">
        <f t="shared" si="1"/>
        <v>119454 - Sports - Music</v>
      </c>
      <c r="J5699" s="2">
        <f t="shared" si="2"/>
        <v>1386.9</v>
      </c>
      <c r="K5699" s="17">
        <f t="shared" si="3"/>
        <v>1</v>
      </c>
      <c r="L5699" s="18"/>
    </row>
    <row r="5700" hidden="1">
      <c r="A5700" s="2">
        <f>IFERROR(__xludf.DUMMYFUNCTION("""COMPUTED_VALUE"""),118131.0)</f>
        <v>118131</v>
      </c>
      <c r="B5700" s="2">
        <f>IFERROR(__xludf.DUMMYFUNCTION("""COMPUTED_VALUE"""),0.0)</f>
        <v>0</v>
      </c>
      <c r="C5700" s="2">
        <f>IFERROR(__xludf.DUMMYFUNCTION("""COMPUTED_VALUE"""),493.0)</f>
        <v>493</v>
      </c>
      <c r="D5700" s="3">
        <f>IFERROR(__xludf.DUMMYFUNCTION("""COMPUTED_VALUE"""),145.0)</f>
        <v>145</v>
      </c>
      <c r="E5700" s="1" t="str">
        <f t="array" ref="E5700">_xlfn.XLOOKUP(A5700,Product!A:A,Product!B:B,"Bulunamadı")</f>
        <v>Sports</v>
      </c>
      <c r="F5700" s="1" t="str">
        <f t="array" ref="F5700">_xlfn.XLOOKUP(A5700,Product!A:A,Product!C:C,"Bulunamadı")</f>
        <v>Music</v>
      </c>
      <c r="G5700" s="2" t="str">
        <f t="array" ref="G5700">_xlfn.XLOOKUP(A5701,Product!A:A,Product!D:D,"Bulunamadı")</f>
        <v/>
      </c>
      <c r="H5700" s="2">
        <f t="array" ref="H5700">_xlfn.XLOOKUP(A5702,Product!A:A,Product!E:E,"Bulunamadı")</f>
        <v>1.9</v>
      </c>
      <c r="I5700" s="2" t="str">
        <f t="shared" si="1"/>
        <v>118131 - Sports - Music</v>
      </c>
      <c r="J5700" s="2">
        <f t="shared" si="2"/>
        <v>275.5</v>
      </c>
      <c r="K5700" s="17">
        <f t="shared" si="3"/>
        <v>1</v>
      </c>
      <c r="L5700" s="18"/>
    </row>
    <row r="5701" hidden="1">
      <c r="A5701" s="2">
        <f>IFERROR(__xludf.DUMMYFUNCTION("""COMPUTED_VALUE"""),128395.0)</f>
        <v>128395</v>
      </c>
      <c r="B5701" s="2">
        <f>IFERROR(__xludf.DUMMYFUNCTION("""COMPUTED_VALUE"""),1.0)</f>
        <v>1</v>
      </c>
      <c r="C5701" s="2">
        <f>IFERROR(__xludf.DUMMYFUNCTION("""COMPUTED_VALUE"""),925.0)</f>
        <v>925</v>
      </c>
      <c r="D5701" s="3">
        <f>IFERROR(__xludf.DUMMYFUNCTION("""COMPUTED_VALUE"""),18.0)</f>
        <v>18</v>
      </c>
      <c r="E5701" s="1" t="str">
        <f t="array" ref="E5701">_xlfn.XLOOKUP(A5701,Product!A:A,Product!B:B,"Bulunamadı")</f>
        <v>Sports</v>
      </c>
      <c r="F5701" s="1" t="str">
        <f t="array" ref="F5701">_xlfn.XLOOKUP(A5701,Product!A:A,Product!C:C,"Bulunamadı")</f>
        <v>Music</v>
      </c>
      <c r="G5701" s="2" t="str">
        <f t="array" ref="G5701">_xlfn.XLOOKUP(A5702,Product!A:A,Product!D:D,"Bulunamadı")</f>
        <v/>
      </c>
      <c r="H5701" s="2">
        <f t="array" ref="H5701">_xlfn.XLOOKUP(A5703,Product!A:A,Product!E:E,"Bulunamadı")</f>
        <v>4.02</v>
      </c>
      <c r="I5701" s="2" t="str">
        <f t="shared" si="1"/>
        <v>128395 - Sports - Music</v>
      </c>
      <c r="J5701" s="2">
        <f t="shared" si="2"/>
        <v>72.36</v>
      </c>
      <c r="K5701" s="17">
        <f t="shared" si="3"/>
        <v>1</v>
      </c>
      <c r="L5701" s="18"/>
    </row>
    <row r="5702" hidden="1">
      <c r="A5702" s="2">
        <f>IFERROR(__xludf.DUMMYFUNCTION("""COMPUTED_VALUE"""),117482.0)</f>
        <v>117482</v>
      </c>
      <c r="B5702" s="2">
        <f>IFERROR(__xludf.DUMMYFUNCTION("""COMPUTED_VALUE"""),0.0)</f>
        <v>0</v>
      </c>
      <c r="C5702" s="2">
        <f>IFERROR(__xludf.DUMMYFUNCTION("""COMPUTED_VALUE"""),814.0)</f>
        <v>814</v>
      </c>
      <c r="D5702" s="3">
        <f>IFERROR(__xludf.DUMMYFUNCTION("""COMPUTED_VALUE"""),41.0)</f>
        <v>41</v>
      </c>
      <c r="E5702" s="1" t="str">
        <f t="array" ref="E5702">_xlfn.XLOOKUP(A5702,Product!A:A,Product!B:B,"Bulunamadı")</f>
        <v>Sports</v>
      </c>
      <c r="F5702" s="1" t="str">
        <f t="array" ref="F5702">_xlfn.XLOOKUP(A5702,Product!A:A,Product!C:C,"Bulunamadı")</f>
        <v>Music</v>
      </c>
      <c r="G5702" s="2" t="str">
        <f t="array" ref="G5702">_xlfn.XLOOKUP(A5703,Product!A:A,Product!D:D,"Bulunamadı")</f>
        <v/>
      </c>
      <c r="H5702" s="2">
        <f t="array" ref="H5702">_xlfn.XLOOKUP(A5704,Product!A:A,Product!E:E,"Bulunamadı")</f>
        <v>1.97</v>
      </c>
      <c r="I5702" s="2" t="str">
        <f t="shared" si="1"/>
        <v>117482 - Sports - Music</v>
      </c>
      <c r="J5702" s="2">
        <f t="shared" si="2"/>
        <v>80.77</v>
      </c>
      <c r="K5702" s="17">
        <f t="shared" si="3"/>
        <v>1</v>
      </c>
      <c r="L5702" s="18"/>
    </row>
    <row r="5703" hidden="1">
      <c r="A5703" s="2">
        <f>IFERROR(__xludf.DUMMYFUNCTION("""COMPUTED_VALUE"""),118130.0)</f>
        <v>118130</v>
      </c>
      <c r="B5703" s="2">
        <f>IFERROR(__xludf.DUMMYFUNCTION("""COMPUTED_VALUE"""),1.0)</f>
        <v>1</v>
      </c>
      <c r="C5703" s="2">
        <f>IFERROR(__xludf.DUMMYFUNCTION("""COMPUTED_VALUE"""),639.0)</f>
        <v>639</v>
      </c>
      <c r="D5703" s="3">
        <f>IFERROR(__xludf.DUMMYFUNCTION("""COMPUTED_VALUE"""),400.0)</f>
        <v>400</v>
      </c>
      <c r="E5703" s="1" t="str">
        <f t="array" ref="E5703">_xlfn.XLOOKUP(A5703,Product!A:A,Product!B:B,"Bulunamadı")</f>
        <v>Sports</v>
      </c>
      <c r="F5703" s="1" t="str">
        <f t="array" ref="F5703">_xlfn.XLOOKUP(A5703,Product!A:A,Product!C:C,"Bulunamadı")</f>
        <v>Music</v>
      </c>
      <c r="G5703" s="2" t="str">
        <f t="array" ref="G5703">_xlfn.XLOOKUP(A5704,Product!A:A,Product!D:D,"Bulunamadı")</f>
        <v/>
      </c>
      <c r="H5703" s="2">
        <f t="array" ref="H5703">_xlfn.XLOOKUP(A5705,Product!A:A,Product!E:E,"Bulunamadı")</f>
        <v>10.73</v>
      </c>
      <c r="I5703" s="2" t="str">
        <f t="shared" si="1"/>
        <v>118130 - Sports - Music</v>
      </c>
      <c r="J5703" s="2">
        <f t="shared" si="2"/>
        <v>4292</v>
      </c>
      <c r="K5703" s="17">
        <f t="shared" si="3"/>
        <v>1</v>
      </c>
      <c r="L5703" s="18"/>
    </row>
    <row r="5704" hidden="1">
      <c r="A5704" s="2">
        <f>IFERROR(__xludf.DUMMYFUNCTION("""COMPUTED_VALUE"""),109209.0)</f>
        <v>109209</v>
      </c>
      <c r="B5704" s="2">
        <f>IFERROR(__xludf.DUMMYFUNCTION("""COMPUTED_VALUE"""),1.0)</f>
        <v>1</v>
      </c>
      <c r="C5704" s="2">
        <f>IFERROR(__xludf.DUMMYFUNCTION("""COMPUTED_VALUE"""),404.0)</f>
        <v>404</v>
      </c>
      <c r="D5704" s="3">
        <f>IFERROR(__xludf.DUMMYFUNCTION("""COMPUTED_VALUE"""),238.0)</f>
        <v>238</v>
      </c>
      <c r="E5704" s="1" t="str">
        <f t="array" ref="E5704">_xlfn.XLOOKUP(A5704,Product!A:A,Product!B:B,"Bulunamadı")</f>
        <v>Sports</v>
      </c>
      <c r="F5704" s="1" t="str">
        <f t="array" ref="F5704">_xlfn.XLOOKUP(A5704,Product!A:A,Product!C:C,"Bulunamadı")</f>
        <v>Music</v>
      </c>
      <c r="G5704" s="2" t="str">
        <f t="array" ref="G5704">_xlfn.XLOOKUP(A5705,Product!A:A,Product!D:D,"Bulunamadı")</f>
        <v>Riverlight Publishing House</v>
      </c>
      <c r="H5704" s="2">
        <f t="array" ref="H5704">_xlfn.XLOOKUP(A5706,Product!A:A,Product!E:E,"Bulunamadı")</f>
        <v>5.51</v>
      </c>
      <c r="I5704" s="2" t="str">
        <f t="shared" si="1"/>
        <v>109209 - Sports - Music</v>
      </c>
      <c r="J5704" s="2">
        <f t="shared" si="2"/>
        <v>1311.38</v>
      </c>
      <c r="K5704" s="17">
        <f t="shared" si="3"/>
        <v>1</v>
      </c>
      <c r="L5704" s="18"/>
    </row>
    <row r="5705" hidden="1">
      <c r="A5705" s="2">
        <f>IFERROR(__xludf.DUMMYFUNCTION("""COMPUTED_VALUE"""),74428.0)</f>
        <v>74428</v>
      </c>
      <c r="B5705" s="2">
        <f>IFERROR(__xludf.DUMMYFUNCTION("""COMPUTED_VALUE"""),0.0)</f>
        <v>0</v>
      </c>
      <c r="C5705" s="2">
        <f>IFERROR(__xludf.DUMMYFUNCTION("""COMPUTED_VALUE"""),759.0)</f>
        <v>759</v>
      </c>
      <c r="D5705" s="3">
        <f>IFERROR(__xludf.DUMMYFUNCTION("""COMPUTED_VALUE"""),585.0)</f>
        <v>585</v>
      </c>
      <c r="E5705" s="1" t="str">
        <f t="array" ref="E5705">_xlfn.XLOOKUP(A5705,Product!A:A,Product!B:B,"Bulunamadı")</f>
        <v>Sports</v>
      </c>
      <c r="F5705" s="1" t="str">
        <f t="array" ref="F5705">_xlfn.XLOOKUP(A5705,Product!A:A,Product!C:C,"Bulunamadı")</f>
        <v>Anatomy</v>
      </c>
      <c r="G5705" s="2" t="str">
        <f t="array" ref="G5705">_xlfn.XLOOKUP(A5706,Product!A:A,Product!D:D,"Bulunamadı")</f>
        <v>Riverlight Publishing House</v>
      </c>
      <c r="H5705" s="2">
        <f t="array" ref="H5705">_xlfn.XLOOKUP(A5707,Product!A:A,Product!E:E,"Bulunamadı")</f>
        <v>25.87</v>
      </c>
      <c r="I5705" s="2" t="str">
        <f t="shared" si="1"/>
        <v>74428 - Sports - Anatomy</v>
      </c>
      <c r="J5705" s="2">
        <f t="shared" si="2"/>
        <v>15133.95</v>
      </c>
      <c r="K5705" s="17">
        <f t="shared" si="3"/>
        <v>1</v>
      </c>
      <c r="L5705" s="18"/>
    </row>
    <row r="5706" hidden="1">
      <c r="A5706" s="2">
        <f>IFERROR(__xludf.DUMMYFUNCTION("""COMPUTED_VALUE"""),13941.0)</f>
        <v>13941</v>
      </c>
      <c r="B5706" s="2">
        <f>IFERROR(__xludf.DUMMYFUNCTION("""COMPUTED_VALUE"""),1.0)</f>
        <v>1</v>
      </c>
      <c r="C5706" s="2">
        <f>IFERROR(__xludf.DUMMYFUNCTION("""COMPUTED_VALUE"""),668.0)</f>
        <v>668</v>
      </c>
      <c r="D5706" s="3">
        <f>IFERROR(__xludf.DUMMYFUNCTION("""COMPUTED_VALUE"""),346.0)</f>
        <v>346</v>
      </c>
      <c r="E5706" s="1" t="str">
        <f t="array" ref="E5706">_xlfn.XLOOKUP(A5706,Product!A:A,Product!B:B,"Bulunamadı")</f>
        <v>Sports</v>
      </c>
      <c r="F5706" s="1" t="str">
        <f t="array" ref="F5706">_xlfn.XLOOKUP(A5706,Product!A:A,Product!C:C,"Bulunamadı")</f>
        <v>Anatomy</v>
      </c>
      <c r="G5706" s="2" t="str">
        <f t="array" ref="G5706">_xlfn.XLOOKUP(A5707,Product!A:A,Product!D:D,"Bulunamadı")</f>
        <v>Ironlight Publishing House</v>
      </c>
      <c r="H5706" s="2">
        <f t="array" ref="H5706">_xlfn.XLOOKUP(A5708,Product!A:A,Product!E:E,"Bulunamadı")</f>
        <v>14.82</v>
      </c>
      <c r="I5706" s="2" t="str">
        <f t="shared" si="1"/>
        <v>13941 - Sports - Anatomy</v>
      </c>
      <c r="J5706" s="2">
        <f t="shared" si="2"/>
        <v>5127.72</v>
      </c>
      <c r="K5706" s="17">
        <f t="shared" si="3"/>
        <v>1</v>
      </c>
      <c r="L5706" s="18"/>
    </row>
    <row r="5707" hidden="1">
      <c r="A5707" s="2">
        <f>IFERROR(__xludf.DUMMYFUNCTION("""COMPUTED_VALUE"""),44316.0)</f>
        <v>44316</v>
      </c>
      <c r="B5707" s="2">
        <f>IFERROR(__xludf.DUMMYFUNCTION("""COMPUTED_VALUE"""),1.0)</f>
        <v>1</v>
      </c>
      <c r="C5707" s="2">
        <f>IFERROR(__xludf.DUMMYFUNCTION("""COMPUTED_VALUE"""),29.0)</f>
        <v>29</v>
      </c>
      <c r="D5707" s="3">
        <f>IFERROR(__xludf.DUMMYFUNCTION("""COMPUTED_VALUE"""),10.0)</f>
        <v>10</v>
      </c>
      <c r="E5707" s="1" t="str">
        <f t="array" ref="E5707">_xlfn.XLOOKUP(A5707,Product!A:A,Product!B:B,"Bulunamadı")</f>
        <v>Medical</v>
      </c>
      <c r="F5707" s="1" t="str">
        <f t="array" ref="F5707">_xlfn.XLOOKUP(A5707,Product!A:A,Product!C:C,"Bulunamadı")</f>
        <v>Physiology</v>
      </c>
      <c r="G5707" s="2" t="str">
        <f t="array" ref="G5707">_xlfn.XLOOKUP(A5708,Product!A:A,Product!D:D,"Bulunamadı")</f>
        <v>Ironlight Publishing House</v>
      </c>
      <c r="H5707" s="2">
        <f t="array" ref="H5707">_xlfn.XLOOKUP(A5709,Product!A:A,Product!E:E,"Bulunamadı")</f>
        <v>17.56</v>
      </c>
      <c r="I5707" s="2" t="str">
        <f t="shared" si="1"/>
        <v>44316 - Medical - Physiology</v>
      </c>
      <c r="J5707" s="2">
        <f t="shared" si="2"/>
        <v>175.6</v>
      </c>
      <c r="K5707" s="17">
        <f t="shared" si="3"/>
        <v>1</v>
      </c>
      <c r="L5707" s="18"/>
    </row>
    <row r="5708" hidden="1">
      <c r="A5708" s="2">
        <f>IFERROR(__xludf.DUMMYFUNCTION("""COMPUTED_VALUE"""),122748.0)</f>
        <v>122748</v>
      </c>
      <c r="B5708" s="2">
        <f>IFERROR(__xludf.DUMMYFUNCTION("""COMPUTED_VALUE"""),1.0)</f>
        <v>1</v>
      </c>
      <c r="C5708" s="2">
        <f>IFERROR(__xludf.DUMMYFUNCTION("""COMPUTED_VALUE"""),311.0)</f>
        <v>311</v>
      </c>
      <c r="D5708" s="3">
        <f>IFERROR(__xludf.DUMMYFUNCTION("""COMPUTED_VALUE"""),157.0)</f>
        <v>157</v>
      </c>
      <c r="E5708" s="1" t="str">
        <f t="array" ref="E5708">_xlfn.XLOOKUP(A5708,Product!A:A,Product!B:B,"Bulunamadı")</f>
        <v>Medical</v>
      </c>
      <c r="F5708" s="1" t="str">
        <f t="array" ref="F5708">_xlfn.XLOOKUP(A5708,Product!A:A,Product!C:C,"Bulunamadı")</f>
        <v>Physiology</v>
      </c>
      <c r="G5708" s="2" t="str">
        <f t="array" ref="G5708">_xlfn.XLOOKUP(A5709,Product!A:A,Product!D:D,"Bulunamadı")</f>
        <v>Silverstone Publishing House</v>
      </c>
      <c r="H5708" s="2">
        <f t="array" ref="H5708">_xlfn.XLOOKUP(A5710,Product!A:A,Product!E:E,"Bulunamadı")</f>
        <v>14.89</v>
      </c>
      <c r="I5708" s="2" t="str">
        <f t="shared" si="1"/>
        <v>122748 - Medical - Physiology</v>
      </c>
      <c r="J5708" s="2">
        <f t="shared" si="2"/>
        <v>2337.73</v>
      </c>
      <c r="K5708" s="17">
        <f t="shared" si="3"/>
        <v>1</v>
      </c>
      <c r="L5708" s="18"/>
    </row>
    <row r="5709" hidden="1">
      <c r="A5709" s="2">
        <f>IFERROR(__xludf.DUMMYFUNCTION("""COMPUTED_VALUE"""),118936.0)</f>
        <v>118936</v>
      </c>
      <c r="B5709" s="2">
        <f>IFERROR(__xludf.DUMMYFUNCTION("""COMPUTED_VALUE"""),1.0)</f>
        <v>1</v>
      </c>
      <c r="C5709" s="2">
        <f>IFERROR(__xludf.DUMMYFUNCTION("""COMPUTED_VALUE"""),312.0)</f>
        <v>312</v>
      </c>
      <c r="D5709" s="3">
        <f>IFERROR(__xludf.DUMMYFUNCTION("""COMPUTED_VALUE"""),233.0)</f>
        <v>233</v>
      </c>
      <c r="E5709" s="1" t="str">
        <f t="array" ref="E5709">_xlfn.XLOOKUP(A5709,Product!A:A,Product!B:B,"Bulunamadı")</f>
        <v>Medical</v>
      </c>
      <c r="F5709" s="1" t="str">
        <f t="array" ref="F5709">_xlfn.XLOOKUP(A5709,Product!A:A,Product!C:C,"Bulunamadı")</f>
        <v>Physiology</v>
      </c>
      <c r="G5709" s="2" t="str">
        <f t="array" ref="G5709">_xlfn.XLOOKUP(A5710,Product!A:A,Product!D:D,"Bulunamadı")</f>
        <v>Silverstone Publishing House</v>
      </c>
      <c r="H5709" s="2">
        <f t="array" ref="H5709">_xlfn.XLOOKUP(A5711,Product!A:A,Product!E:E,"Bulunamadı")</f>
        <v>25.43</v>
      </c>
      <c r="I5709" s="2" t="str">
        <f t="shared" si="1"/>
        <v>118936 - Medical - Physiology</v>
      </c>
      <c r="J5709" s="2">
        <f t="shared" si="2"/>
        <v>5925.19</v>
      </c>
      <c r="K5709" s="17">
        <f t="shared" si="3"/>
        <v>1</v>
      </c>
      <c r="L5709" s="18"/>
    </row>
    <row r="5710" hidden="1">
      <c r="A5710" s="2">
        <f>IFERROR(__xludf.DUMMYFUNCTION("""COMPUTED_VALUE"""),122746.0)</f>
        <v>122746</v>
      </c>
      <c r="B5710" s="2">
        <f>IFERROR(__xludf.DUMMYFUNCTION("""COMPUTED_VALUE"""),1.0)</f>
        <v>1</v>
      </c>
      <c r="C5710" s="2">
        <f>IFERROR(__xludf.DUMMYFUNCTION("""COMPUTED_VALUE"""),340.0)</f>
        <v>340</v>
      </c>
      <c r="D5710" s="3">
        <f>IFERROR(__xludf.DUMMYFUNCTION("""COMPUTED_VALUE"""),28.0)</f>
        <v>28</v>
      </c>
      <c r="E5710" s="1" t="str">
        <f t="array" ref="E5710">_xlfn.XLOOKUP(A5710,Product!A:A,Product!B:B,"Bulunamadı")</f>
        <v>Medical</v>
      </c>
      <c r="F5710" s="1" t="str">
        <f t="array" ref="F5710">_xlfn.XLOOKUP(A5710,Product!A:A,Product!C:C,"Bulunamadı")</f>
        <v>Physiology</v>
      </c>
      <c r="G5710" s="2" t="str">
        <f t="array" ref="G5710">_xlfn.XLOOKUP(A5711,Product!A:A,Product!D:D,"Bulunamadı")</f>
        <v>Northstone Publishing House</v>
      </c>
      <c r="H5710" s="2">
        <f t="array" ref="H5710">_xlfn.XLOOKUP(A5712,Product!A:A,Product!E:E,"Bulunamadı")</f>
        <v>15.12</v>
      </c>
      <c r="I5710" s="2" t="str">
        <f t="shared" si="1"/>
        <v>122746 - Medical - Physiology</v>
      </c>
      <c r="J5710" s="2">
        <f t="shared" si="2"/>
        <v>423.36</v>
      </c>
      <c r="K5710" s="17">
        <f t="shared" si="3"/>
        <v>1</v>
      </c>
      <c r="L5710" s="18"/>
    </row>
    <row r="5711" hidden="1">
      <c r="A5711" s="2">
        <f>IFERROR(__xludf.DUMMYFUNCTION("""COMPUTED_VALUE"""),76567.0)</f>
        <v>76567</v>
      </c>
      <c r="B5711" s="2">
        <f>IFERROR(__xludf.DUMMYFUNCTION("""COMPUTED_VALUE"""),0.0)</f>
        <v>0</v>
      </c>
      <c r="C5711" s="2">
        <f>IFERROR(__xludf.DUMMYFUNCTION("""COMPUTED_VALUE"""),594.0)</f>
        <v>594</v>
      </c>
      <c r="D5711" s="3">
        <f>IFERROR(__xludf.DUMMYFUNCTION("""COMPUTED_VALUE"""),275.0)</f>
        <v>275</v>
      </c>
      <c r="E5711" s="1" t="str">
        <f t="array" ref="E5711">_xlfn.XLOOKUP(A5711,Product!A:A,Product!B:B,"Bulunamadı")</f>
        <v>Medical</v>
      </c>
      <c r="F5711" s="1" t="str">
        <f t="array" ref="F5711">_xlfn.XLOOKUP(A5711,Product!A:A,Product!C:C,"Bulunamadı")</f>
        <v>Physiology</v>
      </c>
      <c r="G5711" s="2" t="str">
        <f t="array" ref="G5711">_xlfn.XLOOKUP(A5712,Product!A:A,Product!D:D,"Bulunamadı")</f>
        <v>Northstone Publishing House</v>
      </c>
      <c r="H5711" s="2">
        <f t="array" ref="H5711">_xlfn.XLOOKUP(A5713,Product!A:A,Product!E:E,"Bulunamadı")</f>
        <v>23.1</v>
      </c>
      <c r="I5711" s="2" t="str">
        <f t="shared" si="1"/>
        <v>76567 - Medical - Physiology</v>
      </c>
      <c r="J5711" s="2">
        <f t="shared" si="2"/>
        <v>6352.5</v>
      </c>
      <c r="K5711" s="17">
        <f t="shared" si="3"/>
        <v>1</v>
      </c>
      <c r="L5711" s="18"/>
    </row>
    <row r="5712" hidden="1">
      <c r="A5712" s="2">
        <f>IFERROR(__xludf.DUMMYFUNCTION("""COMPUTED_VALUE"""),122747.0)</f>
        <v>122747</v>
      </c>
      <c r="B5712" s="2">
        <f>IFERROR(__xludf.DUMMYFUNCTION("""COMPUTED_VALUE"""),1.0)</f>
        <v>1</v>
      </c>
      <c r="C5712" s="2">
        <f>IFERROR(__xludf.DUMMYFUNCTION("""COMPUTED_VALUE"""),486.0)</f>
        <v>486</v>
      </c>
      <c r="D5712" s="3">
        <f>IFERROR(__xludf.DUMMYFUNCTION("""COMPUTED_VALUE"""),58.0)</f>
        <v>58</v>
      </c>
      <c r="E5712" s="1" t="str">
        <f t="array" ref="E5712">_xlfn.XLOOKUP(A5712,Product!A:A,Product!B:B,"Bulunamadı")</f>
        <v>Medical</v>
      </c>
      <c r="F5712" s="1" t="str">
        <f t="array" ref="F5712">_xlfn.XLOOKUP(A5712,Product!A:A,Product!C:C,"Bulunamadı")</f>
        <v>Physiology</v>
      </c>
      <c r="G5712" s="2" t="str">
        <f t="array" ref="G5712">_xlfn.XLOOKUP(A5713,Product!A:A,Product!D:D,"Bulunamadı")</f>
        <v>Harborstone Publishing House</v>
      </c>
      <c r="H5712" s="2">
        <f t="array" ref="H5712">_xlfn.XLOOKUP(A5714,Product!A:A,Product!E:E,"Bulunamadı")</f>
        <v>26.78</v>
      </c>
      <c r="I5712" s="2" t="str">
        <f t="shared" si="1"/>
        <v>122747 - Medical - Physiology</v>
      </c>
      <c r="J5712" s="2">
        <f t="shared" si="2"/>
        <v>1553.24</v>
      </c>
      <c r="K5712" s="17">
        <f t="shared" si="3"/>
        <v>1</v>
      </c>
      <c r="L5712" s="18"/>
    </row>
    <row r="5713" hidden="1">
      <c r="A5713" s="2">
        <f>IFERROR(__xludf.DUMMYFUNCTION("""COMPUTED_VALUE"""),48484.0)</f>
        <v>48484</v>
      </c>
      <c r="B5713" s="2">
        <f>IFERROR(__xludf.DUMMYFUNCTION("""COMPUTED_VALUE"""),1.0)</f>
        <v>1</v>
      </c>
      <c r="C5713" s="2">
        <f>IFERROR(__xludf.DUMMYFUNCTION("""COMPUTED_VALUE"""),642.0)</f>
        <v>642</v>
      </c>
      <c r="D5713" s="3">
        <f>IFERROR(__xludf.DUMMYFUNCTION("""COMPUTED_VALUE"""),390.0)</f>
        <v>390</v>
      </c>
      <c r="E5713" s="1" t="str">
        <f t="array" ref="E5713">_xlfn.XLOOKUP(A5713,Product!A:A,Product!B:B,"Bulunamadı")</f>
        <v>Fiction</v>
      </c>
      <c r="F5713" s="1" t="str">
        <f t="array" ref="F5713">_xlfn.XLOOKUP(A5713,Product!A:A,Product!C:C,"Bulunamadı")</f>
        <v>Pathology</v>
      </c>
      <c r="G5713" s="2" t="str">
        <f t="array" ref="G5713">_xlfn.XLOOKUP(A5714,Product!A:A,Product!D:D,"Bulunamadı")</f>
        <v>Harborstone Publishing House</v>
      </c>
      <c r="H5713" s="2">
        <f t="array" ref="H5713">_xlfn.XLOOKUP(A5715,Product!A:A,Product!E:E,"Bulunamadı")</f>
        <v>13.96</v>
      </c>
      <c r="I5713" s="2" t="str">
        <f t="shared" si="1"/>
        <v>48484 - Fiction - Pathology</v>
      </c>
      <c r="J5713" s="2">
        <f t="shared" si="2"/>
        <v>5444.4</v>
      </c>
      <c r="K5713" s="17">
        <f t="shared" si="3"/>
        <v>1</v>
      </c>
      <c r="L5713" s="18"/>
    </row>
    <row r="5714" hidden="1">
      <c r="A5714" s="2">
        <f>IFERROR(__xludf.DUMMYFUNCTION("""COMPUTED_VALUE"""),10856.0)</f>
        <v>10856</v>
      </c>
      <c r="B5714" s="2">
        <f>IFERROR(__xludf.DUMMYFUNCTION("""COMPUTED_VALUE"""),1.0)</f>
        <v>1</v>
      </c>
      <c r="C5714" s="2">
        <f>IFERROR(__xludf.DUMMYFUNCTION("""COMPUTED_VALUE"""),267.0)</f>
        <v>267</v>
      </c>
      <c r="D5714" s="3">
        <f>IFERROR(__xludf.DUMMYFUNCTION("""COMPUTED_VALUE"""),137.0)</f>
        <v>137</v>
      </c>
      <c r="E5714" s="1" t="str">
        <f t="array" ref="E5714">_xlfn.XLOOKUP(A5714,Product!A:A,Product!B:B,"Bulunamadı")</f>
        <v>Fiction</v>
      </c>
      <c r="F5714" s="1" t="str">
        <f t="array" ref="F5714">_xlfn.XLOOKUP(A5714,Product!A:A,Product!C:C,"Bulunamadı")</f>
        <v>Pathology</v>
      </c>
      <c r="G5714" s="2" t="str">
        <f t="array" ref="G5714">_xlfn.XLOOKUP(A5715,Product!A:A,Product!D:D,"Bulunamadı")</f>
        <v>Harborstone Publishing House</v>
      </c>
      <c r="H5714" s="2">
        <f t="array" ref="H5714">_xlfn.XLOOKUP(A5716,Product!A:A,Product!E:E,"Bulunamadı")</f>
        <v>19.43</v>
      </c>
      <c r="I5714" s="2" t="str">
        <f t="shared" si="1"/>
        <v>10856 - Fiction - Pathology</v>
      </c>
      <c r="J5714" s="2">
        <f t="shared" si="2"/>
        <v>2661.91</v>
      </c>
      <c r="K5714" s="17">
        <f t="shared" si="3"/>
        <v>1</v>
      </c>
      <c r="L5714" s="18"/>
    </row>
    <row r="5715" hidden="1">
      <c r="A5715" s="2">
        <f>IFERROR(__xludf.DUMMYFUNCTION("""COMPUTED_VALUE"""),48486.0)</f>
        <v>48486</v>
      </c>
      <c r="B5715" s="2">
        <f>IFERROR(__xludf.DUMMYFUNCTION("""COMPUTED_VALUE"""),1.0)</f>
        <v>1</v>
      </c>
      <c r="C5715" s="2">
        <f>IFERROR(__xludf.DUMMYFUNCTION("""COMPUTED_VALUE"""),676.0)</f>
        <v>676</v>
      </c>
      <c r="D5715" s="3">
        <f>IFERROR(__xludf.DUMMYFUNCTION("""COMPUTED_VALUE"""),106.0)</f>
        <v>106</v>
      </c>
      <c r="E5715" s="1" t="str">
        <f t="array" ref="E5715">_xlfn.XLOOKUP(A5715,Product!A:A,Product!B:B,"Bulunamadı")</f>
        <v>Fiction</v>
      </c>
      <c r="F5715" s="1" t="str">
        <f t="array" ref="F5715">_xlfn.XLOOKUP(A5715,Product!A:A,Product!C:C,"Bulunamadı")</f>
        <v>Pathology</v>
      </c>
      <c r="G5715" s="2" t="str">
        <f t="array" ref="G5715">_xlfn.XLOOKUP(A5716,Product!A:A,Product!D:D,"Bulunamadı")</f>
        <v>Cedarstone Publishing House</v>
      </c>
      <c r="H5715" s="2">
        <f t="array" ref="H5715">_xlfn.XLOOKUP(A5717,Product!A:A,Product!E:E,"Bulunamadı")</f>
        <v>2.8</v>
      </c>
      <c r="I5715" s="2" t="str">
        <f t="shared" si="1"/>
        <v>48486 - Fiction - Pathology</v>
      </c>
      <c r="J5715" s="2">
        <f t="shared" si="2"/>
        <v>296.8</v>
      </c>
      <c r="K5715" s="17">
        <f t="shared" si="3"/>
        <v>1</v>
      </c>
      <c r="L5715" s="18"/>
    </row>
    <row r="5716" hidden="1">
      <c r="A5716" s="2">
        <f>IFERROR(__xludf.DUMMYFUNCTION("""COMPUTED_VALUE"""),108707.0)</f>
        <v>108707</v>
      </c>
      <c r="B5716" s="2">
        <f>IFERROR(__xludf.DUMMYFUNCTION("""COMPUTED_VALUE"""),0.0)</f>
        <v>0</v>
      </c>
      <c r="C5716" s="2">
        <f>IFERROR(__xludf.DUMMYFUNCTION("""COMPUTED_VALUE"""),953.0)</f>
        <v>953</v>
      </c>
      <c r="D5716" s="3">
        <f>IFERROR(__xludf.DUMMYFUNCTION("""COMPUTED_VALUE"""),58.0)</f>
        <v>58</v>
      </c>
      <c r="E5716" s="1" t="str">
        <f t="array" ref="E5716">_xlfn.XLOOKUP(A5716,Product!A:A,Product!B:B,"Bulunamadı")</f>
        <v>Fiction</v>
      </c>
      <c r="F5716" s="1" t="str">
        <f t="array" ref="F5716">_xlfn.XLOOKUP(A5716,Product!A:A,Product!C:C,"Bulunamadı")</f>
        <v>Pathology</v>
      </c>
      <c r="G5716" s="2" t="str">
        <f t="array" ref="G5716">_xlfn.XLOOKUP(A5717,Product!A:A,Product!D:D,"Bulunamadı")</f>
        <v>Cedarstone Publishing House</v>
      </c>
      <c r="H5716" s="2">
        <f t="array" ref="H5716">_xlfn.XLOOKUP(A5718,Product!A:A,Product!E:E,"Bulunamadı")</f>
        <v>11.51</v>
      </c>
      <c r="I5716" s="2" t="str">
        <f t="shared" si="1"/>
        <v>108707 - Fiction - Pathology</v>
      </c>
      <c r="J5716" s="2">
        <f t="shared" si="2"/>
        <v>667.58</v>
      </c>
      <c r="K5716" s="17">
        <f t="shared" si="3"/>
        <v>1</v>
      </c>
      <c r="L5716" s="18"/>
    </row>
    <row r="5717" hidden="1">
      <c r="A5717" s="2">
        <f>IFERROR(__xludf.DUMMYFUNCTION("""COMPUTED_VALUE"""),109565.0)</f>
        <v>109565</v>
      </c>
      <c r="B5717" s="2">
        <f>IFERROR(__xludf.DUMMYFUNCTION("""COMPUTED_VALUE"""),1.0)</f>
        <v>1</v>
      </c>
      <c r="C5717" s="2">
        <f>IFERROR(__xludf.DUMMYFUNCTION("""COMPUTED_VALUE"""),524.0)</f>
        <v>524</v>
      </c>
      <c r="D5717" s="3">
        <f>IFERROR(__xludf.DUMMYFUNCTION("""COMPUTED_VALUE"""),515.0)</f>
        <v>515</v>
      </c>
      <c r="E5717" s="1" t="str">
        <f t="array" ref="E5717">_xlfn.XLOOKUP(A5717,Product!A:A,Product!B:B,"Bulunamadı")</f>
        <v>Fiction</v>
      </c>
      <c r="F5717" s="1" t="str">
        <f t="array" ref="F5717">_xlfn.XLOOKUP(A5717,Product!A:A,Product!C:C,"Bulunamadı")</f>
        <v>Pathology</v>
      </c>
      <c r="G5717" s="2" t="str">
        <f t="array" ref="G5717">_xlfn.XLOOKUP(A5718,Product!A:A,Product!D:D,"Bulunamadı")</f>
        <v>Cedarstone Publishing House</v>
      </c>
      <c r="H5717" s="2">
        <f t="array" ref="H5717">_xlfn.XLOOKUP(A5719,Product!A:A,Product!E:E,"Bulunamadı")</f>
        <v>3.4</v>
      </c>
      <c r="I5717" s="2" t="str">
        <f t="shared" si="1"/>
        <v>109565 - Fiction - Pathology</v>
      </c>
      <c r="J5717" s="2">
        <f t="shared" si="2"/>
        <v>1751</v>
      </c>
      <c r="K5717" s="17">
        <f t="shared" si="3"/>
        <v>1</v>
      </c>
      <c r="L5717" s="18"/>
    </row>
    <row r="5718" hidden="1">
      <c r="A5718" s="2">
        <f>IFERROR(__xludf.DUMMYFUNCTION("""COMPUTED_VALUE"""),99181.0)</f>
        <v>99181</v>
      </c>
      <c r="B5718" s="2">
        <f>IFERROR(__xludf.DUMMYFUNCTION("""COMPUTED_VALUE"""),0.0)</f>
        <v>0</v>
      </c>
      <c r="C5718" s="2">
        <f>IFERROR(__xludf.DUMMYFUNCTION("""COMPUTED_VALUE"""),822.0)</f>
        <v>822</v>
      </c>
      <c r="D5718" s="3">
        <f>IFERROR(__xludf.DUMMYFUNCTION("""COMPUTED_VALUE"""),14.0)</f>
        <v>14</v>
      </c>
      <c r="E5718" s="1" t="str">
        <f t="array" ref="E5718">_xlfn.XLOOKUP(A5718,Product!A:A,Product!B:B,"Bulunamadı")</f>
        <v>Fiction</v>
      </c>
      <c r="F5718" s="1" t="str">
        <f t="array" ref="F5718">_xlfn.XLOOKUP(A5718,Product!A:A,Product!C:C,"Bulunamadı")</f>
        <v>Pathology</v>
      </c>
      <c r="G5718" s="2" t="str">
        <f t="array" ref="G5718">_xlfn.XLOOKUP(A5719,Product!A:A,Product!D:D,"Bulunamadı")</f>
        <v>Cedarstone Publishing House</v>
      </c>
      <c r="H5718" s="2">
        <f t="array" ref="H5718">_xlfn.XLOOKUP(A5720,Product!A:A,Product!E:E,"Bulunamadı")</f>
        <v>4.1</v>
      </c>
      <c r="I5718" s="2" t="str">
        <f t="shared" si="1"/>
        <v>99181 - Fiction - Pathology</v>
      </c>
      <c r="J5718" s="2">
        <f t="shared" si="2"/>
        <v>57.4</v>
      </c>
      <c r="K5718" s="17">
        <f t="shared" si="3"/>
        <v>1</v>
      </c>
      <c r="L5718" s="18"/>
    </row>
    <row r="5719" hidden="1">
      <c r="A5719" s="2">
        <f>IFERROR(__xludf.DUMMYFUNCTION("""COMPUTED_VALUE"""),109060.0)</f>
        <v>109060</v>
      </c>
      <c r="B5719" s="2">
        <f>IFERROR(__xludf.DUMMYFUNCTION("""COMPUTED_VALUE"""),1.0)</f>
        <v>1</v>
      </c>
      <c r="C5719" s="2">
        <f>IFERROR(__xludf.DUMMYFUNCTION("""COMPUTED_VALUE"""),494.0)</f>
        <v>494</v>
      </c>
      <c r="D5719" s="3">
        <f>IFERROR(__xludf.DUMMYFUNCTION("""COMPUTED_VALUE"""),460.0)</f>
        <v>460</v>
      </c>
      <c r="E5719" s="1" t="str">
        <f t="array" ref="E5719">_xlfn.XLOOKUP(A5719,Product!A:A,Product!B:B,"Bulunamadı")</f>
        <v>Fiction</v>
      </c>
      <c r="F5719" s="1" t="str">
        <f t="array" ref="F5719">_xlfn.XLOOKUP(A5719,Product!A:A,Product!C:C,"Bulunamadı")</f>
        <v>Pathology</v>
      </c>
      <c r="G5719" s="2" t="str">
        <f t="array" ref="G5719">_xlfn.XLOOKUP(A5720,Product!A:A,Product!D:D,"Bulunamadı")</f>
        <v>Cedarstone Publishing House</v>
      </c>
      <c r="H5719" s="2">
        <f t="array" ref="H5719">_xlfn.XLOOKUP(A5721,Product!A:A,Product!E:E,"Bulunamadı")</f>
        <v>5.15</v>
      </c>
      <c r="I5719" s="2" t="str">
        <f t="shared" si="1"/>
        <v>109060 - Fiction - Pathology</v>
      </c>
      <c r="J5719" s="2">
        <f t="shared" si="2"/>
        <v>2369</v>
      </c>
      <c r="K5719" s="17">
        <f t="shared" si="3"/>
        <v>1</v>
      </c>
      <c r="L5719" s="18"/>
    </row>
    <row r="5720" hidden="1">
      <c r="A5720" s="2">
        <f>IFERROR(__xludf.DUMMYFUNCTION("""COMPUTED_VALUE"""),109628.0)</f>
        <v>109628</v>
      </c>
      <c r="B5720" s="2">
        <f>IFERROR(__xludf.DUMMYFUNCTION("""COMPUTED_VALUE"""),0.0)</f>
        <v>0</v>
      </c>
      <c r="C5720" s="2">
        <f>IFERROR(__xludf.DUMMYFUNCTION("""COMPUTED_VALUE"""),237.0)</f>
        <v>237</v>
      </c>
      <c r="D5720" s="3">
        <f>IFERROR(__xludf.DUMMYFUNCTION("""COMPUTED_VALUE"""),228.0)</f>
        <v>228</v>
      </c>
      <c r="E5720" s="1" t="str">
        <f t="array" ref="E5720">_xlfn.XLOOKUP(A5720,Product!A:A,Product!B:B,"Bulunamadı")</f>
        <v>Fiction</v>
      </c>
      <c r="F5720" s="1" t="str">
        <f t="array" ref="F5720">_xlfn.XLOOKUP(A5720,Product!A:A,Product!C:C,"Bulunamadı")</f>
        <v>Pathology</v>
      </c>
      <c r="G5720" s="2" t="str">
        <f t="array" ref="G5720">_xlfn.XLOOKUP(A5721,Product!A:A,Product!D:D,"Bulunamadı")</f>
        <v>Cedarstone Publishing House</v>
      </c>
      <c r="H5720" s="2">
        <f t="array" ref="H5720">_xlfn.XLOOKUP(A5722,Product!A:A,Product!E:E,"Bulunamadı")</f>
        <v>15.15</v>
      </c>
      <c r="I5720" s="2" t="str">
        <f t="shared" si="1"/>
        <v>109628 - Fiction - Pathology</v>
      </c>
      <c r="J5720" s="2">
        <f t="shared" si="2"/>
        <v>3454.2</v>
      </c>
      <c r="K5720" s="17">
        <f t="shared" si="3"/>
        <v>1</v>
      </c>
      <c r="L5720" s="18"/>
    </row>
    <row r="5721" hidden="1">
      <c r="A5721" s="2">
        <f>IFERROR(__xludf.DUMMYFUNCTION("""COMPUTED_VALUE"""),128346.0)</f>
        <v>128346</v>
      </c>
      <c r="B5721" s="2">
        <f>IFERROR(__xludf.DUMMYFUNCTION("""COMPUTED_VALUE"""),1.0)</f>
        <v>1</v>
      </c>
      <c r="C5721" s="2">
        <f>IFERROR(__xludf.DUMMYFUNCTION("""COMPUTED_VALUE"""),23.0)</f>
        <v>23</v>
      </c>
      <c r="D5721" s="3">
        <f>IFERROR(__xludf.DUMMYFUNCTION("""COMPUTED_VALUE"""),0.0)</f>
        <v>0</v>
      </c>
      <c r="E5721" s="1" t="str">
        <f t="array" ref="E5721">_xlfn.XLOOKUP(A5721,Product!A:A,Product!B:B,"Bulunamadı")</f>
        <v>Fiction</v>
      </c>
      <c r="F5721" s="1" t="str">
        <f t="array" ref="F5721">_xlfn.XLOOKUP(A5721,Product!A:A,Product!C:C,"Bulunamadı")</f>
        <v>Pathology</v>
      </c>
      <c r="G5721" s="2" t="str">
        <f t="array" ref="G5721">_xlfn.XLOOKUP(A5722,Product!A:A,Product!D:D,"Bulunamadı")</f>
        <v>Cedarstone Publishing House</v>
      </c>
      <c r="H5721" s="2">
        <f t="array" ref="H5721">_xlfn.XLOOKUP(A5723,Product!A:A,Product!E:E,"Bulunamadı")</f>
        <v>9.34</v>
      </c>
      <c r="I5721" s="2" t="str">
        <f t="shared" si="1"/>
        <v>128346 - Fiction - Pathology</v>
      </c>
      <c r="J5721" s="2">
        <f t="shared" si="2"/>
        <v>0</v>
      </c>
      <c r="K5721" s="17">
        <f t="shared" si="3"/>
        <v>0</v>
      </c>
      <c r="L5721" s="18"/>
    </row>
    <row r="5722" hidden="1">
      <c r="A5722" s="2">
        <f>IFERROR(__xludf.DUMMYFUNCTION("""COMPUTED_VALUE"""),90319.0)</f>
        <v>90319</v>
      </c>
      <c r="B5722" s="2">
        <f>IFERROR(__xludf.DUMMYFUNCTION("""COMPUTED_VALUE"""),0.0)</f>
        <v>0</v>
      </c>
      <c r="C5722" s="2">
        <f>IFERROR(__xludf.DUMMYFUNCTION("""COMPUTED_VALUE"""),521.0)</f>
        <v>521</v>
      </c>
      <c r="D5722" s="3">
        <f>IFERROR(__xludf.DUMMYFUNCTION("""COMPUTED_VALUE"""),11.0)</f>
        <v>11</v>
      </c>
      <c r="E5722" s="1" t="str">
        <f t="array" ref="E5722">_xlfn.XLOOKUP(A5722,Product!A:A,Product!B:B,"Bulunamadı")</f>
        <v>Fiction</v>
      </c>
      <c r="F5722" s="1" t="str">
        <f t="array" ref="F5722">_xlfn.XLOOKUP(A5722,Product!A:A,Product!C:C,"Bulunamadı")</f>
        <v>Pathology</v>
      </c>
      <c r="G5722" s="2" t="str">
        <f t="array" ref="G5722">_xlfn.XLOOKUP(A5723,Product!A:A,Product!D:D,"Bulunamadı")</f>
        <v>Cedarstone Publishing House</v>
      </c>
      <c r="H5722" s="2">
        <f t="array" ref="H5722">_xlfn.XLOOKUP(A5724,Product!A:A,Product!E:E,"Bulunamadı")</f>
        <v>5.68</v>
      </c>
      <c r="I5722" s="2" t="str">
        <f t="shared" si="1"/>
        <v>90319 - Fiction - Pathology</v>
      </c>
      <c r="J5722" s="2">
        <f t="shared" si="2"/>
        <v>62.48</v>
      </c>
      <c r="K5722" s="17">
        <f t="shared" si="3"/>
        <v>1</v>
      </c>
      <c r="L5722" s="18"/>
    </row>
    <row r="5723" hidden="1">
      <c r="A5723" s="2">
        <f>IFERROR(__xludf.DUMMYFUNCTION("""COMPUTED_VALUE"""),96287.0)</f>
        <v>96287</v>
      </c>
      <c r="B5723" s="2">
        <f>IFERROR(__xludf.DUMMYFUNCTION("""COMPUTED_VALUE"""),0.0)</f>
        <v>0</v>
      </c>
      <c r="C5723" s="2">
        <f>IFERROR(__xludf.DUMMYFUNCTION("""COMPUTED_VALUE"""),519.0)</f>
        <v>519</v>
      </c>
      <c r="D5723" s="3">
        <f>IFERROR(__xludf.DUMMYFUNCTION("""COMPUTED_VALUE"""),58.0)</f>
        <v>58</v>
      </c>
      <c r="E5723" s="1" t="str">
        <f t="array" ref="E5723">_xlfn.XLOOKUP(A5723,Product!A:A,Product!B:B,"Bulunamadı")</f>
        <v>Fiction</v>
      </c>
      <c r="F5723" s="1" t="str">
        <f t="array" ref="F5723">_xlfn.XLOOKUP(A5723,Product!A:A,Product!C:C,"Bulunamadı")</f>
        <v>Pathology</v>
      </c>
      <c r="G5723" s="2" t="str">
        <f t="array" ref="G5723">_xlfn.XLOOKUP(A5724,Product!A:A,Product!D:D,"Bulunamadı")</f>
        <v>Cedarstone Publishing House</v>
      </c>
      <c r="H5723" s="2">
        <f t="array" ref="H5723">_xlfn.XLOOKUP(A5725,Product!A:A,Product!E:E,"Bulunamadı")</f>
        <v>3.77</v>
      </c>
      <c r="I5723" s="2" t="str">
        <f t="shared" si="1"/>
        <v>96287 - Fiction - Pathology</v>
      </c>
      <c r="J5723" s="2">
        <f t="shared" si="2"/>
        <v>218.66</v>
      </c>
      <c r="K5723" s="17">
        <f t="shared" si="3"/>
        <v>1</v>
      </c>
      <c r="L5723" s="18"/>
    </row>
    <row r="5724" hidden="1">
      <c r="A5724" s="2">
        <f>IFERROR(__xludf.DUMMYFUNCTION("""COMPUTED_VALUE"""),96238.0)</f>
        <v>96238</v>
      </c>
      <c r="B5724" s="2">
        <f>IFERROR(__xludf.DUMMYFUNCTION("""COMPUTED_VALUE"""),1.0)</f>
        <v>1</v>
      </c>
      <c r="C5724" s="2">
        <f>IFERROR(__xludf.DUMMYFUNCTION("""COMPUTED_VALUE"""),208.0)</f>
        <v>208</v>
      </c>
      <c r="D5724" s="3">
        <f>IFERROR(__xludf.DUMMYFUNCTION("""COMPUTED_VALUE"""),71.0)</f>
        <v>71</v>
      </c>
      <c r="E5724" s="1" t="str">
        <f t="array" ref="E5724">_xlfn.XLOOKUP(A5724,Product!A:A,Product!B:B,"Bulunamadı")</f>
        <v>Fiction</v>
      </c>
      <c r="F5724" s="1" t="str">
        <f t="array" ref="F5724">_xlfn.XLOOKUP(A5724,Product!A:A,Product!C:C,"Bulunamadı")</f>
        <v>Pathology</v>
      </c>
      <c r="G5724" s="2" t="str">
        <f t="array" ref="G5724">_xlfn.XLOOKUP(A5725,Product!A:A,Product!D:D,"Bulunamadı")</f>
        <v>Cedarstone Publishing House</v>
      </c>
      <c r="H5724" s="2">
        <f t="array" ref="H5724">_xlfn.XLOOKUP(A5726,Product!A:A,Product!E:E,"Bulunamadı")</f>
        <v>2.98</v>
      </c>
      <c r="I5724" s="2" t="str">
        <f t="shared" si="1"/>
        <v>96238 - Fiction - Pathology</v>
      </c>
      <c r="J5724" s="2">
        <f t="shared" si="2"/>
        <v>211.58</v>
      </c>
      <c r="K5724" s="17">
        <f t="shared" si="3"/>
        <v>1</v>
      </c>
      <c r="L5724" s="18"/>
    </row>
    <row r="5725" hidden="1">
      <c r="A5725" s="2">
        <f>IFERROR(__xludf.DUMMYFUNCTION("""COMPUTED_VALUE"""),116553.0)</f>
        <v>116553</v>
      </c>
      <c r="B5725" s="2">
        <f>IFERROR(__xludf.DUMMYFUNCTION("""COMPUTED_VALUE"""),1.0)</f>
        <v>1</v>
      </c>
      <c r="C5725" s="2">
        <f>IFERROR(__xludf.DUMMYFUNCTION("""COMPUTED_VALUE"""),736.0)</f>
        <v>736</v>
      </c>
      <c r="D5725" s="3">
        <f>IFERROR(__xludf.DUMMYFUNCTION("""COMPUTED_VALUE"""),695.0)</f>
        <v>695</v>
      </c>
      <c r="E5725" s="1" t="str">
        <f t="array" ref="E5725">_xlfn.XLOOKUP(A5725,Product!A:A,Product!B:B,"Bulunamadı")</f>
        <v>Fiction</v>
      </c>
      <c r="F5725" s="1" t="str">
        <f t="array" ref="F5725">_xlfn.XLOOKUP(A5725,Product!A:A,Product!C:C,"Bulunamadı")</f>
        <v>Pathology</v>
      </c>
      <c r="G5725" s="2" t="str">
        <f t="array" ref="G5725">_xlfn.XLOOKUP(A5726,Product!A:A,Product!D:D,"Bulunamadı")</f>
        <v>Cedarstone Publishing House</v>
      </c>
      <c r="H5725" s="2">
        <f t="array" ref="H5725">_xlfn.XLOOKUP(A5727,Product!A:A,Product!E:E,"Bulunamadı")</f>
        <v>5.59</v>
      </c>
      <c r="I5725" s="2" t="str">
        <f t="shared" si="1"/>
        <v>116553 - Fiction - Pathology</v>
      </c>
      <c r="J5725" s="2">
        <f t="shared" si="2"/>
        <v>3885.05</v>
      </c>
      <c r="K5725" s="17">
        <f t="shared" si="3"/>
        <v>1</v>
      </c>
      <c r="L5725" s="18"/>
    </row>
    <row r="5726" hidden="1">
      <c r="A5726" s="2">
        <f>IFERROR(__xludf.DUMMYFUNCTION("""COMPUTED_VALUE"""),116539.0)</f>
        <v>116539</v>
      </c>
      <c r="B5726" s="2">
        <f>IFERROR(__xludf.DUMMYFUNCTION("""COMPUTED_VALUE"""),0.0)</f>
        <v>0</v>
      </c>
      <c r="C5726" s="2">
        <f>IFERROR(__xludf.DUMMYFUNCTION("""COMPUTED_VALUE"""),727.0)</f>
        <v>727</v>
      </c>
      <c r="D5726" s="3">
        <f>IFERROR(__xludf.DUMMYFUNCTION("""COMPUTED_VALUE"""),554.0)</f>
        <v>554</v>
      </c>
      <c r="E5726" s="1" t="str">
        <f t="array" ref="E5726">_xlfn.XLOOKUP(A5726,Product!A:A,Product!B:B,"Bulunamadı")</f>
        <v>Fiction</v>
      </c>
      <c r="F5726" s="1" t="str">
        <f t="array" ref="F5726">_xlfn.XLOOKUP(A5726,Product!A:A,Product!C:C,"Bulunamadı")</f>
        <v>Pathology</v>
      </c>
      <c r="G5726" s="2" t="str">
        <f t="array" ref="G5726">_xlfn.XLOOKUP(A5727,Product!A:A,Product!D:D,"Bulunamadı")</f>
        <v/>
      </c>
      <c r="H5726" s="2">
        <f t="array" ref="H5726">_xlfn.XLOOKUP(A5728,Product!A:A,Product!E:E,"Bulunamadı")</f>
        <v>6.5</v>
      </c>
      <c r="I5726" s="2" t="str">
        <f t="shared" si="1"/>
        <v>116539 - Fiction - Pathology</v>
      </c>
      <c r="J5726" s="2">
        <f t="shared" si="2"/>
        <v>3601</v>
      </c>
      <c r="K5726" s="17">
        <f t="shared" si="3"/>
        <v>1</v>
      </c>
      <c r="L5726" s="18"/>
    </row>
    <row r="5727" hidden="1">
      <c r="A5727" s="2">
        <f>IFERROR(__xludf.DUMMYFUNCTION("""COMPUTED_VALUE"""),156015.0)</f>
        <v>156015</v>
      </c>
      <c r="B5727" s="2">
        <f>IFERROR(__xludf.DUMMYFUNCTION("""COMPUTED_VALUE"""),0.0)</f>
        <v>0</v>
      </c>
      <c r="C5727" s="2">
        <f>IFERROR(__xludf.DUMMYFUNCTION("""COMPUTED_VALUE"""),586.0)</f>
        <v>586</v>
      </c>
      <c r="D5727" s="3">
        <f>IFERROR(__xludf.DUMMYFUNCTION("""COMPUTED_VALUE"""),362.0)</f>
        <v>362</v>
      </c>
      <c r="E5727" s="1" t="str">
        <f t="array" ref="E5727">_xlfn.XLOOKUP(A5727,Product!A:A,Product!B:B,"Bulunamadı")</f>
        <v>Sports</v>
      </c>
      <c r="F5727" s="1" t="str">
        <f t="array" ref="F5727">_xlfn.XLOOKUP(A5727,Product!A:A,Product!C:C,"Bulunamadı")</f>
        <v>Pharmacology</v>
      </c>
      <c r="G5727" s="2" t="str">
        <f t="array" ref="G5727">_xlfn.XLOOKUP(A5728,Product!A:A,Product!D:D,"Bulunamadı")</f>
        <v>Brightstone Publishing House</v>
      </c>
      <c r="H5727" s="2">
        <f t="array" ref="H5727">_xlfn.XLOOKUP(A5729,Product!A:A,Product!E:E,"Bulunamadı")</f>
        <v>4.57</v>
      </c>
      <c r="I5727" s="2" t="str">
        <f t="shared" si="1"/>
        <v>156015 - Sports - Pharmacology</v>
      </c>
      <c r="J5727" s="2">
        <f t="shared" si="2"/>
        <v>1654.34</v>
      </c>
      <c r="K5727" s="17">
        <f t="shared" si="3"/>
        <v>1</v>
      </c>
      <c r="L5727" s="18"/>
    </row>
    <row r="5728" hidden="1">
      <c r="A5728" s="2">
        <f>IFERROR(__xludf.DUMMYFUNCTION("""COMPUTED_VALUE"""),77049.0)</f>
        <v>77049</v>
      </c>
      <c r="B5728" s="2">
        <f>IFERROR(__xludf.DUMMYFUNCTION("""COMPUTED_VALUE"""),1.0)</f>
        <v>1</v>
      </c>
      <c r="C5728" s="2">
        <f>IFERROR(__xludf.DUMMYFUNCTION("""COMPUTED_VALUE"""),439.0)</f>
        <v>439</v>
      </c>
      <c r="D5728" s="3">
        <f>IFERROR(__xludf.DUMMYFUNCTION("""COMPUTED_VALUE"""),364.0)</f>
        <v>364</v>
      </c>
      <c r="E5728" s="1" t="str">
        <f t="array" ref="E5728">_xlfn.XLOOKUP(A5728,Product!A:A,Product!B:B,"Bulunamadı")</f>
        <v>Sports</v>
      </c>
      <c r="F5728" s="1" t="str">
        <f t="array" ref="F5728">_xlfn.XLOOKUP(A5728,Product!A:A,Product!C:C,"Bulunamadı")</f>
        <v>Pharmacology</v>
      </c>
      <c r="G5728" s="2" t="str">
        <f t="array" ref="G5728">_xlfn.XLOOKUP(A5729,Product!A:A,Product!D:D,"Bulunamadı")</f>
        <v>Brightstone Publishing House</v>
      </c>
      <c r="H5728" s="2">
        <f t="array" ref="H5728">_xlfn.XLOOKUP(A5730,Product!A:A,Product!E:E,"Bulunamadı")</f>
        <v>10.37</v>
      </c>
      <c r="I5728" s="2" t="str">
        <f t="shared" si="1"/>
        <v>77049 - Sports - Pharmacology</v>
      </c>
      <c r="J5728" s="2">
        <f t="shared" si="2"/>
        <v>3774.68</v>
      </c>
      <c r="K5728" s="17">
        <f t="shared" si="3"/>
        <v>1</v>
      </c>
      <c r="L5728" s="18"/>
    </row>
    <row r="5729" hidden="1">
      <c r="A5729" s="2">
        <f>IFERROR(__xludf.DUMMYFUNCTION("""COMPUTED_VALUE"""),92906.0)</f>
        <v>92906</v>
      </c>
      <c r="B5729" s="2">
        <f>IFERROR(__xludf.DUMMYFUNCTION("""COMPUTED_VALUE"""),1.0)</f>
        <v>1</v>
      </c>
      <c r="C5729" s="2">
        <f>IFERROR(__xludf.DUMMYFUNCTION("""COMPUTED_VALUE"""),963.0)</f>
        <v>963</v>
      </c>
      <c r="D5729" s="3">
        <f>IFERROR(__xludf.DUMMYFUNCTION("""COMPUTED_VALUE"""),66.0)</f>
        <v>66</v>
      </c>
      <c r="E5729" s="1" t="str">
        <f t="array" ref="E5729">_xlfn.XLOOKUP(A5729,Product!A:A,Product!B:B,"Bulunamadı")</f>
        <v>Sports</v>
      </c>
      <c r="F5729" s="1" t="str">
        <f t="array" ref="F5729">_xlfn.XLOOKUP(A5729,Product!A:A,Product!C:C,"Bulunamadı")</f>
        <v>Pharmacology</v>
      </c>
      <c r="G5729" s="2" t="str">
        <f t="array" ref="G5729">_xlfn.XLOOKUP(A5730,Product!A:A,Product!D:D,"Bulunamadı")</f>
        <v>Brightstone Publishing House</v>
      </c>
      <c r="H5729" s="2">
        <f t="array" ref="H5729">_xlfn.XLOOKUP(A5731,Product!A:A,Product!E:E,"Bulunamadı")</f>
        <v>6.78</v>
      </c>
      <c r="I5729" s="2" t="str">
        <f t="shared" si="1"/>
        <v>92906 - Sports - Pharmacology</v>
      </c>
      <c r="J5729" s="2">
        <f t="shared" si="2"/>
        <v>447.48</v>
      </c>
      <c r="K5729" s="17">
        <f t="shared" si="3"/>
        <v>1</v>
      </c>
      <c r="L5729" s="18"/>
    </row>
    <row r="5730" hidden="1">
      <c r="A5730" s="2">
        <f>IFERROR(__xludf.DUMMYFUNCTION("""COMPUTED_VALUE"""),6425.0)</f>
        <v>6425</v>
      </c>
      <c r="B5730" s="2">
        <f>IFERROR(__xludf.DUMMYFUNCTION("""COMPUTED_VALUE"""),0.0)</f>
        <v>0</v>
      </c>
      <c r="C5730" s="2">
        <f>IFERROR(__xludf.DUMMYFUNCTION("""COMPUTED_VALUE"""),317.0)</f>
        <v>317</v>
      </c>
      <c r="D5730" s="3">
        <f>IFERROR(__xludf.DUMMYFUNCTION("""COMPUTED_VALUE"""),210.0)</f>
        <v>210</v>
      </c>
      <c r="E5730" s="1" t="str">
        <f t="array" ref="E5730">_xlfn.XLOOKUP(A5730,Product!A:A,Product!B:B,"Bulunamadı")</f>
        <v>Sports</v>
      </c>
      <c r="F5730" s="1" t="str">
        <f t="array" ref="F5730">_xlfn.XLOOKUP(A5730,Product!A:A,Product!C:C,"Bulunamadı")</f>
        <v>Pharmacology</v>
      </c>
      <c r="G5730" s="2" t="str">
        <f t="array" ref="G5730">_xlfn.XLOOKUP(A5731,Product!A:A,Product!D:D,"Bulunamadı")</f>
        <v>Oakstone Publishing House</v>
      </c>
      <c r="H5730" s="2">
        <f t="array" ref="H5730">_xlfn.XLOOKUP(A5732,Product!A:A,Product!E:E,"Bulunamadı")</f>
        <v>9.5</v>
      </c>
      <c r="I5730" s="2" t="str">
        <f t="shared" si="1"/>
        <v>6425 - Sports - Pharmacology</v>
      </c>
      <c r="J5730" s="2">
        <f t="shared" si="2"/>
        <v>1995</v>
      </c>
      <c r="K5730" s="17">
        <f t="shared" si="3"/>
        <v>1</v>
      </c>
      <c r="L5730" s="18"/>
    </row>
    <row r="5731" hidden="1">
      <c r="A5731" s="2">
        <f>IFERROR(__xludf.DUMMYFUNCTION("""COMPUTED_VALUE"""),77653.0)</f>
        <v>77653</v>
      </c>
      <c r="B5731" s="2">
        <f>IFERROR(__xludf.DUMMYFUNCTION("""COMPUTED_VALUE"""),1.0)</f>
        <v>1</v>
      </c>
      <c r="C5731" s="2">
        <f>IFERROR(__xludf.DUMMYFUNCTION("""COMPUTED_VALUE"""),330.0)</f>
        <v>330</v>
      </c>
      <c r="D5731" s="3">
        <f>IFERROR(__xludf.DUMMYFUNCTION("""COMPUTED_VALUE"""),25.0)</f>
        <v>25</v>
      </c>
      <c r="E5731" s="1" t="str">
        <f t="array" ref="E5731">_xlfn.XLOOKUP(A5731,Product!A:A,Product!B:B,"Bulunamadı")</f>
        <v>Sports</v>
      </c>
      <c r="F5731" s="1" t="str">
        <f t="array" ref="F5731">_xlfn.XLOOKUP(A5731,Product!A:A,Product!C:C,"Bulunamadı")</f>
        <v>Pharmacology</v>
      </c>
      <c r="G5731" s="2" t="str">
        <f t="array" ref="G5731">_xlfn.XLOOKUP(A5732,Product!A:A,Product!D:D,"Bulunamadı")</f>
        <v>Oakstone Publishing House</v>
      </c>
      <c r="H5731" s="2">
        <f t="array" ref="H5731">_xlfn.XLOOKUP(A5733,Product!A:A,Product!E:E,"Bulunamadı")</f>
        <v>10.22</v>
      </c>
      <c r="I5731" s="2" t="str">
        <f t="shared" si="1"/>
        <v>77653 - Sports - Pharmacology</v>
      </c>
      <c r="J5731" s="2">
        <f t="shared" si="2"/>
        <v>255.5</v>
      </c>
      <c r="K5731" s="17">
        <f t="shared" si="3"/>
        <v>1</v>
      </c>
      <c r="L5731" s="18"/>
    </row>
    <row r="5732" hidden="1">
      <c r="A5732" s="2">
        <f>IFERROR(__xludf.DUMMYFUNCTION("""COMPUTED_VALUE"""),156029.0)</f>
        <v>156029</v>
      </c>
      <c r="B5732" s="2">
        <f>IFERROR(__xludf.DUMMYFUNCTION("""COMPUTED_VALUE"""),1.0)</f>
        <v>1</v>
      </c>
      <c r="C5732" s="2">
        <f>IFERROR(__xludf.DUMMYFUNCTION("""COMPUTED_VALUE"""),558.0)</f>
        <v>558</v>
      </c>
      <c r="D5732" s="3">
        <f>IFERROR(__xludf.DUMMYFUNCTION("""COMPUTED_VALUE"""),283.0)</f>
        <v>283</v>
      </c>
      <c r="E5732" s="1" t="str">
        <f t="array" ref="E5732">_xlfn.XLOOKUP(A5732,Product!A:A,Product!B:B,"Bulunamadı")</f>
        <v>Sports</v>
      </c>
      <c r="F5732" s="1" t="str">
        <f t="array" ref="F5732">_xlfn.XLOOKUP(A5732,Product!A:A,Product!C:C,"Bulunamadı")</f>
        <v>Pharmacology</v>
      </c>
      <c r="G5732" s="2" t="str">
        <f t="array" ref="G5732">_xlfn.XLOOKUP(A5733,Product!A:A,Product!D:D,"Bulunamadı")</f>
        <v>Riverstone Publishing House</v>
      </c>
      <c r="H5732" s="2">
        <f t="array" ref="H5732">_xlfn.XLOOKUP(A5734,Product!A:A,Product!E:E,"Bulunamadı")</f>
        <v>3.79</v>
      </c>
      <c r="I5732" s="2" t="str">
        <f t="shared" si="1"/>
        <v>156029 - Sports - Pharmacology</v>
      </c>
      <c r="J5732" s="2">
        <f t="shared" si="2"/>
        <v>1072.57</v>
      </c>
      <c r="K5732" s="17">
        <f t="shared" si="3"/>
        <v>1</v>
      </c>
      <c r="L5732" s="18"/>
    </row>
    <row r="5733" hidden="1">
      <c r="A5733" s="2">
        <f>IFERROR(__xludf.DUMMYFUNCTION("""COMPUTED_VALUE"""),182726.0)</f>
        <v>182726</v>
      </c>
      <c r="B5733" s="2">
        <f>IFERROR(__xludf.DUMMYFUNCTION("""COMPUTED_VALUE"""),1.0)</f>
        <v>1</v>
      </c>
      <c r="C5733" s="2">
        <f>IFERROR(__xludf.DUMMYFUNCTION("""COMPUTED_VALUE"""),204.0)</f>
        <v>204</v>
      </c>
      <c r="D5733" s="3">
        <f>IFERROR(__xludf.DUMMYFUNCTION("""COMPUTED_VALUE"""),3.0)</f>
        <v>3</v>
      </c>
      <c r="E5733" s="1" t="str">
        <f t="array" ref="E5733">_xlfn.XLOOKUP(A5733,Product!A:A,Product!B:B,"Bulunamadı")</f>
        <v>Self-Help</v>
      </c>
      <c r="F5733" s="1" t="str">
        <f t="array" ref="F5733">_xlfn.XLOOKUP(A5733,Product!A:A,Product!C:C,"Bulunamadı")</f>
        <v>Surgery</v>
      </c>
      <c r="G5733" s="2" t="str">
        <f t="array" ref="G5733">_xlfn.XLOOKUP(A5734,Product!A:A,Product!D:D,"Bulunamadı")</f>
        <v>Ironstone Publishing House</v>
      </c>
      <c r="H5733" s="2">
        <f t="array" ref="H5733">_xlfn.XLOOKUP(A5735,Product!A:A,Product!E:E,"Bulunamadı")</f>
        <v>1.64</v>
      </c>
      <c r="I5733" s="2" t="str">
        <f t="shared" si="1"/>
        <v>182726 - Self-Help - Surgery</v>
      </c>
      <c r="J5733" s="2">
        <f t="shared" si="2"/>
        <v>4.92</v>
      </c>
      <c r="K5733" s="17">
        <f t="shared" si="3"/>
        <v>1</v>
      </c>
      <c r="L5733" s="18"/>
    </row>
    <row r="5734" hidden="1">
      <c r="A5734" s="2">
        <f>IFERROR(__xludf.DUMMYFUNCTION("""COMPUTED_VALUE"""),3536.0)</f>
        <v>3536</v>
      </c>
      <c r="B5734" s="2">
        <f>IFERROR(__xludf.DUMMYFUNCTION("""COMPUTED_VALUE"""),0.0)</f>
        <v>0</v>
      </c>
      <c r="C5734" s="2">
        <f>IFERROR(__xludf.DUMMYFUNCTION("""COMPUTED_VALUE"""),284.0)</f>
        <v>284</v>
      </c>
      <c r="D5734" s="3">
        <f>IFERROR(__xludf.DUMMYFUNCTION("""COMPUTED_VALUE"""),224.0)</f>
        <v>224</v>
      </c>
      <c r="E5734" s="1" t="str">
        <f t="array" ref="E5734">_xlfn.XLOOKUP(A5734,Product!A:A,Product!B:B,"Bulunamadı")</f>
        <v>Sports</v>
      </c>
      <c r="F5734" s="1" t="str">
        <f t="array" ref="F5734">_xlfn.XLOOKUP(A5734,Product!A:A,Product!C:C,"Bulunamadı")</f>
        <v>Pediatrics</v>
      </c>
      <c r="G5734" s="2" t="str">
        <f t="array" ref="G5734">_xlfn.XLOOKUP(A5735,Product!A:A,Product!D:D,"Bulunamadı")</f>
        <v>Ironstone Publishing House</v>
      </c>
      <c r="H5734" s="2">
        <f t="array" ref="H5734">_xlfn.XLOOKUP(A5736,Product!A:A,Product!E:E,"Bulunamadı")</f>
        <v>3.05</v>
      </c>
      <c r="I5734" s="2" t="str">
        <f t="shared" si="1"/>
        <v>3536 - Sports - Pediatrics</v>
      </c>
      <c r="J5734" s="2">
        <f t="shared" si="2"/>
        <v>683.2</v>
      </c>
      <c r="K5734" s="17">
        <f t="shared" si="3"/>
        <v>1</v>
      </c>
      <c r="L5734" s="18"/>
    </row>
    <row r="5735" hidden="1">
      <c r="A5735" s="2">
        <f>IFERROR(__xludf.DUMMYFUNCTION("""COMPUTED_VALUE"""),3541.0)</f>
        <v>3541</v>
      </c>
      <c r="B5735" s="2">
        <f>IFERROR(__xludf.DUMMYFUNCTION("""COMPUTED_VALUE"""),1.0)</f>
        <v>1</v>
      </c>
      <c r="C5735" s="2">
        <f>IFERROR(__xludf.DUMMYFUNCTION("""COMPUTED_VALUE"""),386.0)</f>
        <v>386</v>
      </c>
      <c r="D5735" s="3">
        <f>IFERROR(__xludf.DUMMYFUNCTION("""COMPUTED_VALUE"""),25.0)</f>
        <v>25</v>
      </c>
      <c r="E5735" s="1" t="str">
        <f t="array" ref="E5735">_xlfn.XLOOKUP(A5735,Product!A:A,Product!B:B,"Bulunamadı")</f>
        <v>Sports</v>
      </c>
      <c r="F5735" s="1" t="str">
        <f t="array" ref="F5735">_xlfn.XLOOKUP(A5735,Product!A:A,Product!C:C,"Bulunamadı")</f>
        <v>Pediatrics</v>
      </c>
      <c r="G5735" s="2" t="str">
        <f t="array" ref="G5735">_xlfn.XLOOKUP(A5736,Product!A:A,Product!D:D,"Bulunamadı")</f>
        <v/>
      </c>
      <c r="H5735" s="2">
        <f t="array" ref="H5735">_xlfn.XLOOKUP(A5737,Product!A:A,Product!E:E,"Bulunamadı")</f>
        <v>3.88</v>
      </c>
      <c r="I5735" s="2" t="str">
        <f t="shared" si="1"/>
        <v>3541 - Sports - Pediatrics</v>
      </c>
      <c r="J5735" s="2">
        <f t="shared" si="2"/>
        <v>97</v>
      </c>
      <c r="K5735" s="17">
        <f t="shared" si="3"/>
        <v>1</v>
      </c>
      <c r="L5735" s="18"/>
    </row>
    <row r="5736" hidden="1">
      <c r="A5736" s="2">
        <f>IFERROR(__xludf.DUMMYFUNCTION("""COMPUTED_VALUE"""),147335.0)</f>
        <v>147335</v>
      </c>
      <c r="B5736" s="2">
        <f>IFERROR(__xludf.DUMMYFUNCTION("""COMPUTED_VALUE"""),1.0)</f>
        <v>1</v>
      </c>
      <c r="C5736" s="2">
        <f>IFERROR(__xludf.DUMMYFUNCTION("""COMPUTED_VALUE"""),126.0)</f>
        <v>126</v>
      </c>
      <c r="D5736" s="3">
        <f>IFERROR(__xludf.DUMMYFUNCTION("""COMPUTED_VALUE"""),118.0)</f>
        <v>118</v>
      </c>
      <c r="E5736" s="1" t="str">
        <f t="array" ref="E5736">_xlfn.XLOOKUP(A5736,Product!A:A,Product!B:B,"Bulunamadı")</f>
        <v>Medical</v>
      </c>
      <c r="F5736" s="1" t="str">
        <f t="array" ref="F5736">_xlfn.XLOOKUP(A5736,Product!A:A,Product!C:C,"Bulunamadı")</f>
        <v>Neurology</v>
      </c>
      <c r="G5736" s="2" t="str">
        <f t="array" ref="G5736">_xlfn.XLOOKUP(A5737,Product!A:A,Product!D:D,"Bulunamadı")</f>
        <v/>
      </c>
      <c r="H5736" s="2">
        <f t="array" ref="H5736">_xlfn.XLOOKUP(A5738,Product!A:A,Product!E:E,"Bulunamadı")</f>
        <v>4.15</v>
      </c>
      <c r="I5736" s="2" t="str">
        <f t="shared" si="1"/>
        <v>147335 - Medical - Neurology</v>
      </c>
      <c r="J5736" s="2">
        <f t="shared" si="2"/>
        <v>489.7</v>
      </c>
      <c r="K5736" s="17">
        <f t="shared" si="3"/>
        <v>1</v>
      </c>
      <c r="L5736" s="18"/>
    </row>
    <row r="5737" hidden="1">
      <c r="A5737" s="2">
        <f>IFERROR(__xludf.DUMMYFUNCTION("""COMPUTED_VALUE"""),46896.0)</f>
        <v>46896</v>
      </c>
      <c r="B5737" s="2">
        <f>IFERROR(__xludf.DUMMYFUNCTION("""COMPUTED_VALUE"""),1.0)</f>
        <v>1</v>
      </c>
      <c r="C5737" s="2">
        <f>IFERROR(__xludf.DUMMYFUNCTION("""COMPUTED_VALUE"""),251.0)</f>
        <v>251</v>
      </c>
      <c r="D5737" s="3">
        <f>IFERROR(__xludf.DUMMYFUNCTION("""COMPUTED_VALUE"""),200.0)</f>
        <v>200</v>
      </c>
      <c r="E5737" s="1" t="str">
        <f t="array" ref="E5737">_xlfn.XLOOKUP(A5737,Product!A:A,Product!B:B,"Bulunamadı")</f>
        <v>Medical</v>
      </c>
      <c r="F5737" s="1" t="str">
        <f t="array" ref="F5737">_xlfn.XLOOKUP(A5737,Product!A:A,Product!C:C,"Bulunamadı")</f>
        <v>Neurology</v>
      </c>
      <c r="G5737" s="2" t="str">
        <f t="array" ref="G5737">_xlfn.XLOOKUP(A5738,Product!A:A,Product!D:D,"Bulunamadı")</f>
        <v/>
      </c>
      <c r="H5737" s="2">
        <f t="array" ref="H5737">_xlfn.XLOOKUP(A5739,Product!A:A,Product!E:E,"Bulunamadı")</f>
        <v>1.44</v>
      </c>
      <c r="I5737" s="2" t="str">
        <f t="shared" si="1"/>
        <v>46896 - Medical - Neurology</v>
      </c>
      <c r="J5737" s="2">
        <f t="shared" si="2"/>
        <v>288</v>
      </c>
      <c r="K5737" s="17">
        <f t="shared" si="3"/>
        <v>1</v>
      </c>
      <c r="L5737" s="18"/>
    </row>
    <row r="5738" hidden="1">
      <c r="A5738" s="2">
        <f>IFERROR(__xludf.DUMMYFUNCTION("""COMPUTED_VALUE"""),46897.0)</f>
        <v>46897</v>
      </c>
      <c r="B5738" s="2">
        <f>IFERROR(__xludf.DUMMYFUNCTION("""COMPUTED_VALUE"""),0.0)</f>
        <v>0</v>
      </c>
      <c r="C5738" s="2">
        <f>IFERROR(__xludf.DUMMYFUNCTION("""COMPUTED_VALUE"""),208.0)</f>
        <v>208</v>
      </c>
      <c r="D5738" s="3">
        <f>IFERROR(__xludf.DUMMYFUNCTION("""COMPUTED_VALUE"""),59.0)</f>
        <v>59</v>
      </c>
      <c r="E5738" s="1" t="str">
        <f t="array" ref="E5738">_xlfn.XLOOKUP(A5738,Product!A:A,Product!B:B,"Bulunamadı")</f>
        <v>Medical</v>
      </c>
      <c r="F5738" s="1" t="str">
        <f t="array" ref="F5738">_xlfn.XLOOKUP(A5738,Product!A:A,Product!C:C,"Bulunamadı")</f>
        <v>Neurology</v>
      </c>
      <c r="G5738" s="2" t="str">
        <f t="array" ref="G5738">_xlfn.XLOOKUP(A5739,Product!A:A,Product!D:D,"Bulunamadı")</f>
        <v>Silverbridge Publishing House</v>
      </c>
      <c r="H5738" s="2">
        <f t="array" ref="H5738">_xlfn.XLOOKUP(A5740,Product!A:A,Product!E:E,"Bulunamadı")</f>
        <v>4.54</v>
      </c>
      <c r="I5738" s="2" t="str">
        <f t="shared" si="1"/>
        <v>46897 - Medical - Neurology</v>
      </c>
      <c r="J5738" s="2">
        <f t="shared" si="2"/>
        <v>267.86</v>
      </c>
      <c r="K5738" s="17">
        <f t="shared" si="3"/>
        <v>1</v>
      </c>
      <c r="L5738" s="18"/>
    </row>
    <row r="5739" hidden="1">
      <c r="A5739" s="2">
        <f>IFERROR(__xludf.DUMMYFUNCTION("""COMPUTED_VALUE"""),71729.0)</f>
        <v>71729</v>
      </c>
      <c r="B5739" s="2">
        <f>IFERROR(__xludf.DUMMYFUNCTION("""COMPUTED_VALUE"""),0.0)</f>
        <v>0</v>
      </c>
      <c r="C5739" s="2">
        <f>IFERROR(__xludf.DUMMYFUNCTION("""COMPUTED_VALUE"""),350.0)</f>
        <v>350</v>
      </c>
      <c r="D5739" s="3">
        <f>IFERROR(__xludf.DUMMYFUNCTION("""COMPUTED_VALUE"""),233.0)</f>
        <v>233</v>
      </c>
      <c r="E5739" s="1" t="str">
        <f t="array" ref="E5739">_xlfn.XLOOKUP(A5739,Product!A:A,Product!B:B,"Bulunamadı")</f>
        <v>Tech</v>
      </c>
      <c r="F5739" s="1" t="str">
        <f t="array" ref="F5739">_xlfn.XLOOKUP(A5739,Product!A:A,Product!C:C,"Bulunamadı")</f>
        <v>Psychiatry</v>
      </c>
      <c r="G5739" s="2" t="str">
        <f t="array" ref="G5739">_xlfn.XLOOKUP(A5740,Product!A:A,Product!D:D,"Bulunamadı")</f>
        <v>Silverbridge Publishing House</v>
      </c>
      <c r="H5739" s="2">
        <f t="array" ref="H5739">_xlfn.XLOOKUP(A5741,Product!A:A,Product!E:E,"Bulunamadı")</f>
        <v>3.22</v>
      </c>
      <c r="I5739" s="2" t="str">
        <f t="shared" si="1"/>
        <v>71729 - Tech - Psychiatry</v>
      </c>
      <c r="J5739" s="2">
        <f t="shared" si="2"/>
        <v>750.26</v>
      </c>
      <c r="K5739" s="17">
        <f t="shared" si="3"/>
        <v>1</v>
      </c>
      <c r="L5739" s="18"/>
    </row>
    <row r="5740" hidden="1">
      <c r="A5740" s="2">
        <f>IFERROR(__xludf.DUMMYFUNCTION("""COMPUTED_VALUE"""),45471.0)</f>
        <v>45471</v>
      </c>
      <c r="B5740" s="2">
        <f>IFERROR(__xludf.DUMMYFUNCTION("""COMPUTED_VALUE"""),1.0)</f>
        <v>1</v>
      </c>
      <c r="C5740" s="2">
        <f>IFERROR(__xludf.DUMMYFUNCTION("""COMPUTED_VALUE"""),511.0)</f>
        <v>511</v>
      </c>
      <c r="D5740" s="3">
        <f>IFERROR(__xludf.DUMMYFUNCTION("""COMPUTED_VALUE"""),260.0)</f>
        <v>260</v>
      </c>
      <c r="E5740" s="1" t="str">
        <f t="array" ref="E5740">_xlfn.XLOOKUP(A5740,Product!A:A,Product!B:B,"Bulunamadı")</f>
        <v>Tech</v>
      </c>
      <c r="F5740" s="1" t="str">
        <f t="array" ref="F5740">_xlfn.XLOOKUP(A5740,Product!A:A,Product!C:C,"Bulunamadı")</f>
        <v>Psychiatry</v>
      </c>
      <c r="G5740" s="2" t="str">
        <f t="array" ref="G5740">_xlfn.XLOOKUP(A5741,Product!A:A,Product!D:D,"Bulunamadı")</f>
        <v>Silverbridge Publishing House</v>
      </c>
      <c r="H5740" s="2">
        <f t="array" ref="H5740">_xlfn.XLOOKUP(A5742,Product!A:A,Product!E:E,"Bulunamadı")</f>
        <v>3.23</v>
      </c>
      <c r="I5740" s="2" t="str">
        <f t="shared" si="1"/>
        <v>45471 - Tech - Psychiatry</v>
      </c>
      <c r="J5740" s="2">
        <f t="shared" si="2"/>
        <v>839.8</v>
      </c>
      <c r="K5740" s="17">
        <f t="shared" si="3"/>
        <v>1</v>
      </c>
      <c r="L5740" s="18"/>
    </row>
    <row r="5741" hidden="1">
      <c r="A5741" s="2">
        <f>IFERROR(__xludf.DUMMYFUNCTION("""COMPUTED_VALUE"""),80622.0)</f>
        <v>80622</v>
      </c>
      <c r="B5741" s="2">
        <f>IFERROR(__xludf.DUMMYFUNCTION("""COMPUTED_VALUE"""),1.0)</f>
        <v>1</v>
      </c>
      <c r="C5741" s="2">
        <f>IFERROR(__xludf.DUMMYFUNCTION("""COMPUTED_VALUE"""),860.0)</f>
        <v>860</v>
      </c>
      <c r="D5741" s="3">
        <f>IFERROR(__xludf.DUMMYFUNCTION("""COMPUTED_VALUE"""),491.0)</f>
        <v>491</v>
      </c>
      <c r="E5741" s="1" t="str">
        <f t="array" ref="E5741">_xlfn.XLOOKUP(A5741,Product!A:A,Product!B:B,"Bulunamadı")</f>
        <v>Tech</v>
      </c>
      <c r="F5741" s="1" t="str">
        <f t="array" ref="F5741">_xlfn.XLOOKUP(A5741,Product!A:A,Product!C:C,"Bulunamadı")</f>
        <v>Psychiatry</v>
      </c>
      <c r="G5741" s="2" t="str">
        <f t="array" ref="G5741">_xlfn.XLOOKUP(A5742,Product!A:A,Product!D:D,"Bulunamadı")</f>
        <v>Silverbridge Publishing House</v>
      </c>
      <c r="H5741" s="2">
        <f t="array" ref="H5741">_xlfn.XLOOKUP(A5743,Product!A:A,Product!E:E,"Bulunamadı")</f>
        <v>3.37</v>
      </c>
      <c r="I5741" s="2" t="str">
        <f t="shared" si="1"/>
        <v>80622 - Tech - Psychiatry</v>
      </c>
      <c r="J5741" s="2">
        <f t="shared" si="2"/>
        <v>1654.67</v>
      </c>
      <c r="K5741" s="17">
        <f t="shared" si="3"/>
        <v>1</v>
      </c>
      <c r="L5741" s="18"/>
    </row>
    <row r="5742" hidden="1">
      <c r="A5742" s="2">
        <f>IFERROR(__xludf.DUMMYFUNCTION("""COMPUTED_VALUE"""),111204.0)</f>
        <v>111204</v>
      </c>
      <c r="B5742" s="2">
        <f>IFERROR(__xludf.DUMMYFUNCTION("""COMPUTED_VALUE"""),1.0)</f>
        <v>1</v>
      </c>
      <c r="C5742" s="2">
        <f>IFERROR(__xludf.DUMMYFUNCTION("""COMPUTED_VALUE"""),415.0)</f>
        <v>415</v>
      </c>
      <c r="D5742" s="3">
        <f>IFERROR(__xludf.DUMMYFUNCTION("""COMPUTED_VALUE"""),159.0)</f>
        <v>159</v>
      </c>
      <c r="E5742" s="1" t="str">
        <f t="array" ref="E5742">_xlfn.XLOOKUP(A5742,Product!A:A,Product!B:B,"Bulunamadı")</f>
        <v>Tech</v>
      </c>
      <c r="F5742" s="1" t="str">
        <f t="array" ref="F5742">_xlfn.XLOOKUP(A5742,Product!A:A,Product!C:C,"Bulunamadı")</f>
        <v>Psychiatry</v>
      </c>
      <c r="G5742" s="2" t="str">
        <f t="array" ref="G5742">_xlfn.XLOOKUP(A5743,Product!A:A,Product!D:D,"Bulunamadı")</f>
        <v>Silverbridge Publishing House</v>
      </c>
      <c r="H5742" s="2">
        <f t="array" ref="H5742">_xlfn.XLOOKUP(A5744,Product!A:A,Product!E:E,"Bulunamadı")</f>
        <v>5.33</v>
      </c>
      <c r="I5742" s="2" t="str">
        <f t="shared" si="1"/>
        <v>111204 - Tech - Psychiatry</v>
      </c>
      <c r="J5742" s="2">
        <f t="shared" si="2"/>
        <v>847.47</v>
      </c>
      <c r="K5742" s="17">
        <f t="shared" si="3"/>
        <v>1</v>
      </c>
      <c r="L5742" s="18"/>
    </row>
    <row r="5743" hidden="1">
      <c r="A5743" s="2">
        <f>IFERROR(__xludf.DUMMYFUNCTION("""COMPUTED_VALUE"""),27843.0)</f>
        <v>27843</v>
      </c>
      <c r="B5743" s="2">
        <f>IFERROR(__xludf.DUMMYFUNCTION("""COMPUTED_VALUE"""),1.0)</f>
        <v>1</v>
      </c>
      <c r="C5743" s="2">
        <f>IFERROR(__xludf.DUMMYFUNCTION("""COMPUTED_VALUE"""),695.0)</f>
        <v>695</v>
      </c>
      <c r="D5743" s="3">
        <f>IFERROR(__xludf.DUMMYFUNCTION("""COMPUTED_VALUE"""),687.0)</f>
        <v>687</v>
      </c>
      <c r="E5743" s="1" t="str">
        <f t="array" ref="E5743">_xlfn.XLOOKUP(A5743,Product!A:A,Product!B:B,"Bulunamadı")</f>
        <v>Tech</v>
      </c>
      <c r="F5743" s="1" t="str">
        <f t="array" ref="F5743">_xlfn.XLOOKUP(A5743,Product!A:A,Product!C:C,"Bulunamadı")</f>
        <v>Psychiatry</v>
      </c>
      <c r="G5743" s="2" t="str">
        <f t="array" ref="G5743">_xlfn.XLOOKUP(A5744,Product!A:A,Product!D:D,"Bulunamadı")</f>
        <v>Silverbridge Publishing House</v>
      </c>
      <c r="H5743" s="2">
        <f t="array" ref="H5743">_xlfn.XLOOKUP(A5745,Product!A:A,Product!E:E,"Bulunamadı")</f>
        <v>5.46</v>
      </c>
      <c r="I5743" s="2" t="str">
        <f t="shared" si="1"/>
        <v>27843 - Tech - Psychiatry</v>
      </c>
      <c r="J5743" s="2">
        <f t="shared" si="2"/>
        <v>3751.02</v>
      </c>
      <c r="K5743" s="17">
        <f t="shared" si="3"/>
        <v>1</v>
      </c>
      <c r="L5743" s="18"/>
    </row>
    <row r="5744" hidden="1">
      <c r="A5744" s="2">
        <f>IFERROR(__xludf.DUMMYFUNCTION("""COMPUTED_VALUE"""),111656.0)</f>
        <v>111656</v>
      </c>
      <c r="B5744" s="2">
        <f>IFERROR(__xludf.DUMMYFUNCTION("""COMPUTED_VALUE"""),0.0)</f>
        <v>0</v>
      </c>
      <c r="C5744" s="2">
        <f>IFERROR(__xludf.DUMMYFUNCTION("""COMPUTED_VALUE"""),927.0)</f>
        <v>927</v>
      </c>
      <c r="D5744" s="3">
        <f>IFERROR(__xludf.DUMMYFUNCTION("""COMPUTED_VALUE"""),757.0)</f>
        <v>757</v>
      </c>
      <c r="E5744" s="1" t="str">
        <f t="array" ref="E5744">_xlfn.XLOOKUP(A5744,Product!A:A,Product!B:B,"Bulunamadı")</f>
        <v>Tech</v>
      </c>
      <c r="F5744" s="1" t="str">
        <f t="array" ref="F5744">_xlfn.XLOOKUP(A5744,Product!A:A,Product!C:C,"Bulunamadı")</f>
        <v>Psychiatry</v>
      </c>
      <c r="G5744" s="2" t="str">
        <f t="array" ref="G5744">_xlfn.XLOOKUP(A5745,Product!A:A,Product!D:D,"Bulunamadı")</f>
        <v>Silverbridge Publishing House</v>
      </c>
      <c r="H5744" s="2">
        <f t="array" ref="H5744">_xlfn.XLOOKUP(A5746,Product!A:A,Product!E:E,"Bulunamadı")</f>
        <v>1.92</v>
      </c>
      <c r="I5744" s="2" t="str">
        <f t="shared" si="1"/>
        <v>111656 - Tech - Psychiatry</v>
      </c>
      <c r="J5744" s="2">
        <f t="shared" si="2"/>
        <v>1453.44</v>
      </c>
      <c r="K5744" s="17">
        <f t="shared" si="3"/>
        <v>1</v>
      </c>
      <c r="L5744" s="18"/>
    </row>
    <row r="5745" hidden="1">
      <c r="A5745" s="2">
        <f>IFERROR(__xludf.DUMMYFUNCTION("""COMPUTED_VALUE"""),70043.0)</f>
        <v>70043</v>
      </c>
      <c r="B5745" s="2">
        <f>IFERROR(__xludf.DUMMYFUNCTION("""COMPUTED_VALUE"""),0.0)</f>
        <v>0</v>
      </c>
      <c r="C5745" s="2">
        <f>IFERROR(__xludf.DUMMYFUNCTION("""COMPUTED_VALUE"""),730.0)</f>
        <v>730</v>
      </c>
      <c r="D5745" s="3">
        <f>IFERROR(__xludf.DUMMYFUNCTION("""COMPUTED_VALUE"""),169.0)</f>
        <v>169</v>
      </c>
      <c r="E5745" s="1" t="str">
        <f t="array" ref="E5745">_xlfn.XLOOKUP(A5745,Product!A:A,Product!B:B,"Bulunamadı")</f>
        <v>Tech</v>
      </c>
      <c r="F5745" s="1" t="str">
        <f t="array" ref="F5745">_xlfn.XLOOKUP(A5745,Product!A:A,Product!C:C,"Bulunamadı")</f>
        <v>Psychiatry</v>
      </c>
      <c r="G5745" s="2" t="str">
        <f t="array" ref="G5745">_xlfn.XLOOKUP(A5746,Product!A:A,Product!D:D,"Bulunamadı")</f>
        <v>Silverbridge Publishing House</v>
      </c>
      <c r="H5745" s="2">
        <f t="array" ref="H5745">_xlfn.XLOOKUP(A5747,Product!A:A,Product!E:E,"Bulunamadı")</f>
        <v>18.74</v>
      </c>
      <c r="I5745" s="2" t="str">
        <f t="shared" si="1"/>
        <v>70043 - Tech - Psychiatry</v>
      </c>
      <c r="J5745" s="2">
        <f t="shared" si="2"/>
        <v>3167.06</v>
      </c>
      <c r="K5745" s="17">
        <f t="shared" si="3"/>
        <v>1</v>
      </c>
      <c r="L5745" s="18"/>
    </row>
    <row r="5746" hidden="1">
      <c r="A5746" s="2">
        <f>IFERROR(__xludf.DUMMYFUNCTION("""COMPUTED_VALUE"""),127017.0)</f>
        <v>127017</v>
      </c>
      <c r="B5746" s="2">
        <f>IFERROR(__xludf.DUMMYFUNCTION("""COMPUTED_VALUE"""),1.0)</f>
        <v>1</v>
      </c>
      <c r="C5746" s="2">
        <f>IFERROR(__xludf.DUMMYFUNCTION("""COMPUTED_VALUE"""),830.0)</f>
        <v>830</v>
      </c>
      <c r="D5746" s="3">
        <f>IFERROR(__xludf.DUMMYFUNCTION("""COMPUTED_VALUE"""),388.0)</f>
        <v>388</v>
      </c>
      <c r="E5746" s="1" t="str">
        <f t="array" ref="E5746">_xlfn.XLOOKUP(A5746,Product!A:A,Product!B:B,"Bulunamadı")</f>
        <v>Tech</v>
      </c>
      <c r="F5746" s="1" t="str">
        <f t="array" ref="F5746">_xlfn.XLOOKUP(A5746,Product!A:A,Product!C:C,"Bulunamadı")</f>
        <v>Psychiatry</v>
      </c>
      <c r="G5746" s="2" t="str">
        <f t="array" ref="G5746">_xlfn.XLOOKUP(A5747,Product!A:A,Product!D:D,"Bulunamadı")</f>
        <v>Silverbridge Publishing House</v>
      </c>
      <c r="H5746" s="2">
        <f t="array" ref="H5746">_xlfn.XLOOKUP(A5748,Product!A:A,Product!E:E,"Bulunamadı")</f>
        <v>1.79</v>
      </c>
      <c r="I5746" s="2" t="str">
        <f t="shared" si="1"/>
        <v>127017 - Tech - Psychiatry</v>
      </c>
      <c r="J5746" s="2">
        <f t="shared" si="2"/>
        <v>694.52</v>
      </c>
      <c r="K5746" s="17">
        <f t="shared" si="3"/>
        <v>1</v>
      </c>
      <c r="L5746" s="18"/>
    </row>
    <row r="5747" hidden="1">
      <c r="A5747" s="2">
        <f>IFERROR(__xludf.DUMMYFUNCTION("""COMPUTED_VALUE"""),92320.0)</f>
        <v>92320</v>
      </c>
      <c r="B5747" s="2">
        <f>IFERROR(__xludf.DUMMYFUNCTION("""COMPUTED_VALUE"""),0.0)</f>
        <v>0</v>
      </c>
      <c r="C5747" s="2">
        <f>IFERROR(__xludf.DUMMYFUNCTION("""COMPUTED_VALUE"""),661.0)</f>
        <v>661</v>
      </c>
      <c r="D5747" s="3">
        <f>IFERROR(__xludf.DUMMYFUNCTION("""COMPUTED_VALUE"""),406.0)</f>
        <v>406</v>
      </c>
      <c r="E5747" s="1" t="str">
        <f t="array" ref="E5747">_xlfn.XLOOKUP(A5747,Product!A:A,Product!B:B,"Bulunamadı")</f>
        <v>Tech</v>
      </c>
      <c r="F5747" s="1" t="str">
        <f t="array" ref="F5747">_xlfn.XLOOKUP(A5747,Product!A:A,Product!C:C,"Bulunamadı")</f>
        <v>Psychiatry</v>
      </c>
      <c r="G5747" s="2" t="str">
        <f t="array" ref="G5747">_xlfn.XLOOKUP(A5748,Product!A:A,Product!D:D,"Bulunamadı")</f>
        <v>Silverbridge Publishing House</v>
      </c>
      <c r="H5747" s="2">
        <f t="array" ref="H5747">_xlfn.XLOOKUP(A5749,Product!A:A,Product!E:E,"Bulunamadı")</f>
        <v>5.27</v>
      </c>
      <c r="I5747" s="2" t="str">
        <f t="shared" si="1"/>
        <v>92320 - Tech - Psychiatry</v>
      </c>
      <c r="J5747" s="2">
        <f t="shared" si="2"/>
        <v>2139.62</v>
      </c>
      <c r="K5747" s="17">
        <f t="shared" si="3"/>
        <v>1</v>
      </c>
      <c r="L5747" s="18"/>
    </row>
    <row r="5748" hidden="1">
      <c r="A5748" s="2">
        <f>IFERROR(__xludf.DUMMYFUNCTION("""COMPUTED_VALUE"""),109985.0)</f>
        <v>109985</v>
      </c>
      <c r="B5748" s="2">
        <f>IFERROR(__xludf.DUMMYFUNCTION("""COMPUTED_VALUE"""),0.0)</f>
        <v>0</v>
      </c>
      <c r="C5748" s="2">
        <f>IFERROR(__xludf.DUMMYFUNCTION("""COMPUTED_VALUE"""),20.0)</f>
        <v>20</v>
      </c>
      <c r="D5748" s="3">
        <f>IFERROR(__xludf.DUMMYFUNCTION("""COMPUTED_VALUE"""),3.0)</f>
        <v>3</v>
      </c>
      <c r="E5748" s="1" t="str">
        <f t="array" ref="E5748">_xlfn.XLOOKUP(A5748,Product!A:A,Product!B:B,"Bulunamadı")</f>
        <v>Tech</v>
      </c>
      <c r="F5748" s="1" t="str">
        <f t="array" ref="F5748">_xlfn.XLOOKUP(A5748,Product!A:A,Product!C:C,"Bulunamadı")</f>
        <v>Psychiatry</v>
      </c>
      <c r="G5748" s="2" t="str">
        <f t="array" ref="G5748">_xlfn.XLOOKUP(A5749,Product!A:A,Product!D:D,"Bulunamadı")</f>
        <v>Silverbridge Publishing House</v>
      </c>
      <c r="H5748" s="2">
        <f t="array" ref="H5748">_xlfn.XLOOKUP(A5750,Product!A:A,Product!E:E,"Bulunamadı")</f>
        <v>1.99</v>
      </c>
      <c r="I5748" s="2" t="str">
        <f t="shared" si="1"/>
        <v>109985 - Tech - Psychiatry</v>
      </c>
      <c r="J5748" s="2">
        <f t="shared" si="2"/>
        <v>5.97</v>
      </c>
      <c r="K5748" s="17">
        <f t="shared" si="3"/>
        <v>1</v>
      </c>
      <c r="L5748" s="18"/>
    </row>
    <row r="5749" hidden="1">
      <c r="A5749" s="2">
        <f>IFERROR(__xludf.DUMMYFUNCTION("""COMPUTED_VALUE"""),110415.0)</f>
        <v>110415</v>
      </c>
      <c r="B5749" s="2">
        <f>IFERROR(__xludf.DUMMYFUNCTION("""COMPUTED_VALUE"""),1.0)</f>
        <v>1</v>
      </c>
      <c r="C5749" s="2">
        <f>IFERROR(__xludf.DUMMYFUNCTION("""COMPUTED_VALUE"""),353.0)</f>
        <v>353</v>
      </c>
      <c r="D5749" s="3">
        <f>IFERROR(__xludf.DUMMYFUNCTION("""COMPUTED_VALUE"""),83.0)</f>
        <v>83</v>
      </c>
      <c r="E5749" s="1" t="str">
        <f t="array" ref="E5749">_xlfn.XLOOKUP(A5749,Product!A:A,Product!B:B,"Bulunamadı")</f>
        <v>Tech</v>
      </c>
      <c r="F5749" s="1" t="str">
        <f t="array" ref="F5749">_xlfn.XLOOKUP(A5749,Product!A:A,Product!C:C,"Bulunamadı")</f>
        <v>Psychiatry</v>
      </c>
      <c r="G5749" s="2" t="str">
        <f t="array" ref="G5749">_xlfn.XLOOKUP(A5750,Product!A:A,Product!D:D,"Bulunamadı")</f>
        <v>Silverbridge Publishing House</v>
      </c>
      <c r="H5749" s="2">
        <f t="array" ref="H5749">_xlfn.XLOOKUP(A5751,Product!A:A,Product!E:E,"Bulunamadı")</f>
        <v>3.97</v>
      </c>
      <c r="I5749" s="2" t="str">
        <f t="shared" si="1"/>
        <v>110415 - Tech - Psychiatry</v>
      </c>
      <c r="J5749" s="2">
        <f t="shared" si="2"/>
        <v>329.51</v>
      </c>
      <c r="K5749" s="17">
        <f t="shared" si="3"/>
        <v>1</v>
      </c>
      <c r="L5749" s="18"/>
    </row>
    <row r="5750" hidden="1">
      <c r="A5750" s="2">
        <f>IFERROR(__xludf.DUMMYFUNCTION("""COMPUTED_VALUE"""),101325.0)</f>
        <v>101325</v>
      </c>
      <c r="B5750" s="2">
        <f>IFERROR(__xludf.DUMMYFUNCTION("""COMPUTED_VALUE"""),0.0)</f>
        <v>0</v>
      </c>
      <c r="C5750" s="2">
        <f>IFERROR(__xludf.DUMMYFUNCTION("""COMPUTED_VALUE"""),643.0)</f>
        <v>643</v>
      </c>
      <c r="D5750" s="3">
        <f>IFERROR(__xludf.DUMMYFUNCTION("""COMPUTED_VALUE"""),400.0)</f>
        <v>400</v>
      </c>
      <c r="E5750" s="1" t="str">
        <f t="array" ref="E5750">_xlfn.XLOOKUP(A5750,Product!A:A,Product!B:B,"Bulunamadı")</f>
        <v>Tech</v>
      </c>
      <c r="F5750" s="1" t="str">
        <f t="array" ref="F5750">_xlfn.XLOOKUP(A5750,Product!A:A,Product!C:C,"Bulunamadı")</f>
        <v>Psychiatry</v>
      </c>
      <c r="G5750" s="2" t="str">
        <f t="array" ref="G5750">_xlfn.XLOOKUP(A5751,Product!A:A,Product!D:D,"Bulunamadı")</f>
        <v>Silverbridge Publishing House</v>
      </c>
      <c r="H5750" s="2">
        <f t="array" ref="H5750">_xlfn.XLOOKUP(A5752,Product!A:A,Product!E:E,"Bulunamadı")</f>
        <v>3.18</v>
      </c>
      <c r="I5750" s="2" t="str">
        <f t="shared" si="1"/>
        <v>101325 - Tech - Psychiatry</v>
      </c>
      <c r="J5750" s="2">
        <f t="shared" si="2"/>
        <v>1272</v>
      </c>
      <c r="K5750" s="17">
        <f t="shared" si="3"/>
        <v>1</v>
      </c>
      <c r="L5750" s="18"/>
    </row>
    <row r="5751" hidden="1">
      <c r="A5751" s="2">
        <f>IFERROR(__xludf.DUMMYFUNCTION("""COMPUTED_VALUE"""),133904.0)</f>
        <v>133904</v>
      </c>
      <c r="B5751" s="2">
        <f>IFERROR(__xludf.DUMMYFUNCTION("""COMPUTED_VALUE"""),1.0)</f>
        <v>1</v>
      </c>
      <c r="C5751" s="2">
        <f>IFERROR(__xludf.DUMMYFUNCTION("""COMPUTED_VALUE"""),103.0)</f>
        <v>103</v>
      </c>
      <c r="D5751" s="3">
        <f>IFERROR(__xludf.DUMMYFUNCTION("""COMPUTED_VALUE"""),15.0)</f>
        <v>15</v>
      </c>
      <c r="E5751" s="1" t="str">
        <f t="array" ref="E5751">_xlfn.XLOOKUP(A5751,Product!A:A,Product!B:B,"Bulunamadı")</f>
        <v>Tech</v>
      </c>
      <c r="F5751" s="1" t="str">
        <f t="array" ref="F5751">_xlfn.XLOOKUP(A5751,Product!A:A,Product!C:C,"Bulunamadı")</f>
        <v>Psychiatry</v>
      </c>
      <c r="G5751" s="2" t="str">
        <f t="array" ref="G5751">_xlfn.XLOOKUP(A5752,Product!A:A,Product!D:D,"Bulunamadı")</f>
        <v>Silverbridge Publishing House</v>
      </c>
      <c r="H5751" s="2">
        <f t="array" ref="H5751">_xlfn.XLOOKUP(A5753,Product!A:A,Product!E:E,"Bulunamadı")</f>
        <v>5.89</v>
      </c>
      <c r="I5751" s="2" t="str">
        <f t="shared" si="1"/>
        <v>133904 - Tech - Psychiatry</v>
      </c>
      <c r="J5751" s="2">
        <f t="shared" si="2"/>
        <v>88.35</v>
      </c>
      <c r="K5751" s="17">
        <f t="shared" si="3"/>
        <v>1</v>
      </c>
      <c r="L5751" s="18"/>
    </row>
    <row r="5752" hidden="1">
      <c r="A5752" s="2">
        <f>IFERROR(__xludf.DUMMYFUNCTION("""COMPUTED_VALUE"""),91357.0)</f>
        <v>91357</v>
      </c>
      <c r="B5752" s="2">
        <f>IFERROR(__xludf.DUMMYFUNCTION("""COMPUTED_VALUE"""),0.0)</f>
        <v>0</v>
      </c>
      <c r="C5752" s="2">
        <f>IFERROR(__xludf.DUMMYFUNCTION("""COMPUTED_VALUE"""),653.0)</f>
        <v>653</v>
      </c>
      <c r="D5752" s="3">
        <f>IFERROR(__xludf.DUMMYFUNCTION("""COMPUTED_VALUE"""),633.0)</f>
        <v>633</v>
      </c>
      <c r="E5752" s="1" t="str">
        <f t="array" ref="E5752">_xlfn.XLOOKUP(A5752,Product!A:A,Product!B:B,"Bulunamadı")</f>
        <v>Tech</v>
      </c>
      <c r="F5752" s="1" t="str">
        <f t="array" ref="F5752">_xlfn.XLOOKUP(A5752,Product!A:A,Product!C:C,"Bulunamadı")</f>
        <v>Psychiatry</v>
      </c>
      <c r="G5752" s="2" t="str">
        <f t="array" ref="G5752">_xlfn.XLOOKUP(A5753,Product!A:A,Product!D:D,"Bulunamadı")</f>
        <v>Silverbridge Publishing House</v>
      </c>
      <c r="H5752" s="2">
        <f t="array" ref="H5752">_xlfn.XLOOKUP(A5754,Product!A:A,Product!E:E,"Bulunamadı")</f>
        <v>1.46</v>
      </c>
      <c r="I5752" s="2" t="str">
        <f t="shared" si="1"/>
        <v>91357 - Tech - Psychiatry</v>
      </c>
      <c r="J5752" s="2">
        <f t="shared" si="2"/>
        <v>924.18</v>
      </c>
      <c r="K5752" s="17">
        <f t="shared" si="3"/>
        <v>1</v>
      </c>
      <c r="L5752" s="18"/>
    </row>
    <row r="5753" hidden="1">
      <c r="A5753" s="2">
        <f>IFERROR(__xludf.DUMMYFUNCTION("""COMPUTED_VALUE"""),92330.0)</f>
        <v>92330</v>
      </c>
      <c r="B5753" s="2">
        <f>IFERROR(__xludf.DUMMYFUNCTION("""COMPUTED_VALUE"""),0.0)</f>
        <v>0</v>
      </c>
      <c r="C5753" s="2">
        <f>IFERROR(__xludf.DUMMYFUNCTION("""COMPUTED_VALUE"""),232.0)</f>
        <v>232</v>
      </c>
      <c r="D5753" s="3">
        <f>IFERROR(__xludf.DUMMYFUNCTION("""COMPUTED_VALUE"""),134.0)</f>
        <v>134</v>
      </c>
      <c r="E5753" s="1" t="str">
        <f t="array" ref="E5753">_xlfn.XLOOKUP(A5753,Product!A:A,Product!B:B,"Bulunamadı")</f>
        <v>Tech</v>
      </c>
      <c r="F5753" s="1" t="str">
        <f t="array" ref="F5753">_xlfn.XLOOKUP(A5753,Product!A:A,Product!C:C,"Bulunamadı")</f>
        <v>Psychiatry</v>
      </c>
      <c r="G5753" s="2" t="str">
        <f t="array" ref="G5753">_xlfn.XLOOKUP(A5754,Product!A:A,Product!D:D,"Bulunamadı")</f>
        <v>Silverbridge Publishing House</v>
      </c>
      <c r="H5753" s="2">
        <f t="array" ref="H5753">_xlfn.XLOOKUP(A5755,Product!A:A,Product!E:E,"Bulunamadı")</f>
        <v>4.71</v>
      </c>
      <c r="I5753" s="2" t="str">
        <f t="shared" si="1"/>
        <v>92330 - Tech - Psychiatry</v>
      </c>
      <c r="J5753" s="2">
        <f t="shared" si="2"/>
        <v>631.14</v>
      </c>
      <c r="K5753" s="17">
        <f t="shared" si="3"/>
        <v>1</v>
      </c>
      <c r="L5753" s="18"/>
    </row>
    <row r="5754" hidden="1">
      <c r="A5754" s="2">
        <f>IFERROR(__xludf.DUMMYFUNCTION("""COMPUTED_VALUE"""),128409.0)</f>
        <v>128409</v>
      </c>
      <c r="B5754" s="2">
        <f>IFERROR(__xludf.DUMMYFUNCTION("""COMPUTED_VALUE"""),1.0)</f>
        <v>1</v>
      </c>
      <c r="C5754" s="2">
        <f>IFERROR(__xludf.DUMMYFUNCTION("""COMPUTED_VALUE"""),282.0)</f>
        <v>282</v>
      </c>
      <c r="D5754" s="3">
        <f>IFERROR(__xludf.DUMMYFUNCTION("""COMPUTED_VALUE"""),143.0)</f>
        <v>143</v>
      </c>
      <c r="E5754" s="1" t="str">
        <f t="array" ref="E5754">_xlfn.XLOOKUP(A5754,Product!A:A,Product!B:B,"Bulunamadı")</f>
        <v>Tech</v>
      </c>
      <c r="F5754" s="1" t="str">
        <f t="array" ref="F5754">_xlfn.XLOOKUP(A5754,Product!A:A,Product!C:C,"Bulunamadı")</f>
        <v>Psychiatry</v>
      </c>
      <c r="G5754" s="2" t="str">
        <f t="array" ref="G5754">_xlfn.XLOOKUP(A5755,Product!A:A,Product!D:D,"Bulunamadı")</f>
        <v>Silverbridge Publishing House</v>
      </c>
      <c r="H5754" s="2">
        <f t="array" ref="H5754">_xlfn.XLOOKUP(A5756,Product!A:A,Product!E:E,"Bulunamadı")</f>
        <v>4.89</v>
      </c>
      <c r="I5754" s="2" t="str">
        <f t="shared" si="1"/>
        <v>128409 - Tech - Psychiatry</v>
      </c>
      <c r="J5754" s="2">
        <f t="shared" si="2"/>
        <v>699.27</v>
      </c>
      <c r="K5754" s="17">
        <f t="shared" si="3"/>
        <v>1</v>
      </c>
      <c r="L5754" s="18"/>
    </row>
    <row r="5755" hidden="1">
      <c r="A5755" s="2">
        <f>IFERROR(__xludf.DUMMYFUNCTION("""COMPUTED_VALUE"""),124704.0)</f>
        <v>124704</v>
      </c>
      <c r="B5755" s="2">
        <f>IFERROR(__xludf.DUMMYFUNCTION("""COMPUTED_VALUE"""),1.0)</f>
        <v>1</v>
      </c>
      <c r="C5755" s="2">
        <f>IFERROR(__xludf.DUMMYFUNCTION("""COMPUTED_VALUE"""),487.0)</f>
        <v>487</v>
      </c>
      <c r="D5755" s="3">
        <f>IFERROR(__xludf.DUMMYFUNCTION("""COMPUTED_VALUE"""),76.0)</f>
        <v>76</v>
      </c>
      <c r="E5755" s="1" t="str">
        <f t="array" ref="E5755">_xlfn.XLOOKUP(A5755,Product!A:A,Product!B:B,"Bulunamadı")</f>
        <v>Tech</v>
      </c>
      <c r="F5755" s="1" t="str">
        <f t="array" ref="F5755">_xlfn.XLOOKUP(A5755,Product!A:A,Product!C:C,"Bulunamadı")</f>
        <v>Psychiatry</v>
      </c>
      <c r="G5755" s="2" t="str">
        <f t="array" ref="G5755">_xlfn.XLOOKUP(A5756,Product!A:A,Product!D:D,"Bulunamadı")</f>
        <v>Silverbridge Publishing House</v>
      </c>
      <c r="H5755" s="2">
        <f t="array" ref="H5755">_xlfn.XLOOKUP(A5757,Product!A:A,Product!E:E,"Bulunamadı")</f>
        <v>1.71</v>
      </c>
      <c r="I5755" s="2" t="str">
        <f t="shared" si="1"/>
        <v>124704 - Tech - Psychiatry</v>
      </c>
      <c r="J5755" s="2">
        <f t="shared" si="2"/>
        <v>129.96</v>
      </c>
      <c r="K5755" s="17">
        <f t="shared" si="3"/>
        <v>1</v>
      </c>
      <c r="L5755" s="18"/>
    </row>
    <row r="5756" hidden="1">
      <c r="A5756" s="2">
        <f>IFERROR(__xludf.DUMMYFUNCTION("""COMPUTED_VALUE"""),122252.0)</f>
        <v>122252</v>
      </c>
      <c r="B5756" s="2">
        <f>IFERROR(__xludf.DUMMYFUNCTION("""COMPUTED_VALUE"""),1.0)</f>
        <v>1</v>
      </c>
      <c r="C5756" s="2">
        <f>IFERROR(__xludf.DUMMYFUNCTION("""COMPUTED_VALUE"""),723.0)</f>
        <v>723</v>
      </c>
      <c r="D5756" s="3">
        <f>IFERROR(__xludf.DUMMYFUNCTION("""COMPUTED_VALUE"""),456.0)</f>
        <v>456</v>
      </c>
      <c r="E5756" s="1" t="str">
        <f t="array" ref="E5756">_xlfn.XLOOKUP(A5756,Product!A:A,Product!B:B,"Bulunamadı")</f>
        <v>Tech</v>
      </c>
      <c r="F5756" s="1" t="str">
        <f t="array" ref="F5756">_xlfn.XLOOKUP(A5756,Product!A:A,Product!C:C,"Bulunamadı")</f>
        <v>Psychiatry</v>
      </c>
      <c r="G5756" s="2" t="str">
        <f t="array" ref="G5756">_xlfn.XLOOKUP(A5757,Product!A:A,Product!D:D,"Bulunamadı")</f>
        <v>Silverbridge Publishing House</v>
      </c>
      <c r="H5756" s="2">
        <f t="array" ref="H5756">_xlfn.XLOOKUP(A5758,Product!A:A,Product!E:E,"Bulunamadı")</f>
        <v>1.65</v>
      </c>
      <c r="I5756" s="2" t="str">
        <f t="shared" si="1"/>
        <v>122252 - Tech - Psychiatry</v>
      </c>
      <c r="J5756" s="2">
        <f t="shared" si="2"/>
        <v>752.4</v>
      </c>
      <c r="K5756" s="17">
        <f t="shared" si="3"/>
        <v>1</v>
      </c>
      <c r="L5756" s="18"/>
    </row>
    <row r="5757" hidden="1">
      <c r="A5757" s="2">
        <f>IFERROR(__xludf.DUMMYFUNCTION("""COMPUTED_VALUE"""),85159.0)</f>
        <v>85159</v>
      </c>
      <c r="B5757" s="2">
        <f>IFERROR(__xludf.DUMMYFUNCTION("""COMPUTED_VALUE"""),1.0)</f>
        <v>1</v>
      </c>
      <c r="C5757" s="2">
        <f>IFERROR(__xludf.DUMMYFUNCTION("""COMPUTED_VALUE"""),86.0)</f>
        <v>86</v>
      </c>
      <c r="D5757" s="3">
        <f>IFERROR(__xludf.DUMMYFUNCTION("""COMPUTED_VALUE"""),74.0)</f>
        <v>74</v>
      </c>
      <c r="E5757" s="1" t="str">
        <f t="array" ref="E5757">_xlfn.XLOOKUP(A5757,Product!A:A,Product!B:B,"Bulunamadı")</f>
        <v>Tech</v>
      </c>
      <c r="F5757" s="1" t="str">
        <f t="array" ref="F5757">_xlfn.XLOOKUP(A5757,Product!A:A,Product!C:C,"Bulunamadı")</f>
        <v>Psychiatry</v>
      </c>
      <c r="G5757" s="2" t="str">
        <f t="array" ref="G5757">_xlfn.XLOOKUP(A5758,Product!A:A,Product!D:D,"Bulunamadı")</f>
        <v>Silverbridge Publishing House</v>
      </c>
      <c r="H5757" s="2">
        <f t="array" ref="H5757">_xlfn.XLOOKUP(A5759,Product!A:A,Product!E:E,"Bulunamadı")</f>
        <v>5.56</v>
      </c>
      <c r="I5757" s="2" t="str">
        <f t="shared" si="1"/>
        <v>85159 - Tech - Psychiatry</v>
      </c>
      <c r="J5757" s="2">
        <f t="shared" si="2"/>
        <v>411.44</v>
      </c>
      <c r="K5757" s="17">
        <f t="shared" si="3"/>
        <v>1</v>
      </c>
      <c r="L5757" s="18"/>
    </row>
    <row r="5758" hidden="1">
      <c r="A5758" s="2">
        <f>IFERROR(__xludf.DUMMYFUNCTION("""COMPUTED_VALUE"""),103604.0)</f>
        <v>103604</v>
      </c>
      <c r="B5758" s="2">
        <f>IFERROR(__xludf.DUMMYFUNCTION("""COMPUTED_VALUE"""),0.0)</f>
        <v>0</v>
      </c>
      <c r="C5758" s="2">
        <f>IFERROR(__xludf.DUMMYFUNCTION("""COMPUTED_VALUE"""),173.0)</f>
        <v>173</v>
      </c>
      <c r="D5758" s="3">
        <f>IFERROR(__xludf.DUMMYFUNCTION("""COMPUTED_VALUE"""),67.0)</f>
        <v>67</v>
      </c>
      <c r="E5758" s="1" t="str">
        <f t="array" ref="E5758">_xlfn.XLOOKUP(A5758,Product!A:A,Product!B:B,"Bulunamadı")</f>
        <v>Tech</v>
      </c>
      <c r="F5758" s="1" t="str">
        <f t="array" ref="F5758">_xlfn.XLOOKUP(A5758,Product!A:A,Product!C:C,"Bulunamadı")</f>
        <v>Psychiatry</v>
      </c>
      <c r="G5758" s="2" t="str">
        <f t="array" ref="G5758">_xlfn.XLOOKUP(A5759,Product!A:A,Product!D:D,"Bulunamadı")</f>
        <v>Silverbridge Publishing House</v>
      </c>
      <c r="H5758" s="2">
        <f t="array" ref="H5758">_xlfn.XLOOKUP(A5760,Product!A:A,Product!E:E,"Bulunamadı")</f>
        <v>4.31</v>
      </c>
      <c r="I5758" s="2" t="str">
        <f t="shared" si="1"/>
        <v>103604 - Tech - Psychiatry</v>
      </c>
      <c r="J5758" s="2">
        <f t="shared" si="2"/>
        <v>288.77</v>
      </c>
      <c r="K5758" s="17">
        <f t="shared" si="3"/>
        <v>1</v>
      </c>
      <c r="L5758" s="18"/>
    </row>
    <row r="5759" hidden="1">
      <c r="A5759" s="2">
        <f>IFERROR(__xludf.DUMMYFUNCTION("""COMPUTED_VALUE"""),27845.0)</f>
        <v>27845</v>
      </c>
      <c r="B5759" s="2">
        <f>IFERROR(__xludf.DUMMYFUNCTION("""COMPUTED_VALUE"""),1.0)</f>
        <v>1</v>
      </c>
      <c r="C5759" s="2">
        <f>IFERROR(__xludf.DUMMYFUNCTION("""COMPUTED_VALUE"""),593.0)</f>
        <v>593</v>
      </c>
      <c r="D5759" s="3">
        <f>IFERROR(__xludf.DUMMYFUNCTION("""COMPUTED_VALUE"""),527.0)</f>
        <v>527</v>
      </c>
      <c r="E5759" s="1" t="str">
        <f t="array" ref="E5759">_xlfn.XLOOKUP(A5759,Product!A:A,Product!B:B,"Bulunamadı")</f>
        <v>Tech</v>
      </c>
      <c r="F5759" s="1" t="str">
        <f t="array" ref="F5759">_xlfn.XLOOKUP(A5759,Product!A:A,Product!C:C,"Bulunamadı")</f>
        <v>Psychiatry</v>
      </c>
      <c r="G5759" s="2" t="str">
        <f t="array" ref="G5759">_xlfn.XLOOKUP(A5760,Product!A:A,Product!D:D,"Bulunamadı")</f>
        <v>Silverbridge Publishing House</v>
      </c>
      <c r="H5759" s="2">
        <f t="array" ref="H5759">_xlfn.XLOOKUP(A5761,Product!A:A,Product!E:E,"Bulunamadı")</f>
        <v>3.36</v>
      </c>
      <c r="I5759" s="2" t="str">
        <f t="shared" si="1"/>
        <v>27845 - Tech - Psychiatry</v>
      </c>
      <c r="J5759" s="2">
        <f t="shared" si="2"/>
        <v>1770.72</v>
      </c>
      <c r="K5759" s="17">
        <f t="shared" si="3"/>
        <v>1</v>
      </c>
      <c r="L5759" s="18"/>
    </row>
    <row r="5760" hidden="1">
      <c r="A5760" s="2">
        <f>IFERROR(__xludf.DUMMYFUNCTION("""COMPUTED_VALUE"""),11666.0)</f>
        <v>11666</v>
      </c>
      <c r="B5760" s="2">
        <f>IFERROR(__xludf.DUMMYFUNCTION("""COMPUTED_VALUE"""),1.0)</f>
        <v>1</v>
      </c>
      <c r="C5760" s="2">
        <f>IFERROR(__xludf.DUMMYFUNCTION("""COMPUTED_VALUE"""),934.0)</f>
        <v>934</v>
      </c>
      <c r="D5760" s="3">
        <f>IFERROR(__xludf.DUMMYFUNCTION("""COMPUTED_VALUE"""),878.0)</f>
        <v>878</v>
      </c>
      <c r="E5760" s="1" t="str">
        <f t="array" ref="E5760">_xlfn.XLOOKUP(A5760,Product!A:A,Product!B:B,"Bulunamadı")</f>
        <v>Tech</v>
      </c>
      <c r="F5760" s="1" t="str">
        <f t="array" ref="F5760">_xlfn.XLOOKUP(A5760,Product!A:A,Product!C:C,"Bulunamadı")</f>
        <v>Psychiatry</v>
      </c>
      <c r="G5760" s="2" t="str">
        <f t="array" ref="G5760">_xlfn.XLOOKUP(A5761,Product!A:A,Product!D:D,"Bulunamadı")</f>
        <v>Silverbridge Publishing House</v>
      </c>
      <c r="H5760" s="2">
        <f t="array" ref="H5760">_xlfn.XLOOKUP(A5762,Product!A:A,Product!E:E,"Bulunamadı")</f>
        <v>3.99</v>
      </c>
      <c r="I5760" s="2" t="str">
        <f t="shared" si="1"/>
        <v>11666 - Tech - Psychiatry</v>
      </c>
      <c r="J5760" s="2">
        <f t="shared" si="2"/>
        <v>3503.22</v>
      </c>
      <c r="K5760" s="17">
        <f t="shared" si="3"/>
        <v>1</v>
      </c>
      <c r="L5760" s="18"/>
    </row>
    <row r="5761" hidden="1">
      <c r="A5761" s="2">
        <f>IFERROR(__xludf.DUMMYFUNCTION("""COMPUTED_VALUE"""),127016.0)</f>
        <v>127016</v>
      </c>
      <c r="B5761" s="2">
        <f>IFERROR(__xludf.DUMMYFUNCTION("""COMPUTED_VALUE"""),0.0)</f>
        <v>0</v>
      </c>
      <c r="C5761" s="2">
        <f>IFERROR(__xludf.DUMMYFUNCTION("""COMPUTED_VALUE"""),186.0)</f>
        <v>186</v>
      </c>
      <c r="D5761" s="3">
        <f>IFERROR(__xludf.DUMMYFUNCTION("""COMPUTED_VALUE"""),132.0)</f>
        <v>132</v>
      </c>
      <c r="E5761" s="1" t="str">
        <f t="array" ref="E5761">_xlfn.XLOOKUP(A5761,Product!A:A,Product!B:B,"Bulunamadı")</f>
        <v>Tech</v>
      </c>
      <c r="F5761" s="1" t="str">
        <f t="array" ref="F5761">_xlfn.XLOOKUP(A5761,Product!A:A,Product!C:C,"Bulunamadı")</f>
        <v>Psychiatry</v>
      </c>
      <c r="G5761" s="2" t="str">
        <f t="array" ref="G5761">_xlfn.XLOOKUP(A5762,Product!A:A,Product!D:D,"Bulunamadı")</f>
        <v>Silverbridge Publishing House</v>
      </c>
      <c r="H5761" s="2">
        <f t="array" ref="H5761">_xlfn.XLOOKUP(A5763,Product!A:A,Product!E:E,"Bulunamadı")</f>
        <v>4.98</v>
      </c>
      <c r="I5761" s="2" t="str">
        <f t="shared" si="1"/>
        <v>127016 - Tech - Psychiatry</v>
      </c>
      <c r="J5761" s="2">
        <f t="shared" si="2"/>
        <v>657.36</v>
      </c>
      <c r="K5761" s="17">
        <f t="shared" si="3"/>
        <v>1</v>
      </c>
      <c r="L5761" s="18"/>
    </row>
    <row r="5762" hidden="1">
      <c r="A5762" s="2">
        <f>IFERROR(__xludf.DUMMYFUNCTION("""COMPUTED_VALUE"""),2046.0)</f>
        <v>2046</v>
      </c>
      <c r="B5762" s="2">
        <f>IFERROR(__xludf.DUMMYFUNCTION("""COMPUTED_VALUE"""),0.0)</f>
        <v>0</v>
      </c>
      <c r="C5762" s="2">
        <f>IFERROR(__xludf.DUMMYFUNCTION("""COMPUTED_VALUE"""),737.0)</f>
        <v>737</v>
      </c>
      <c r="D5762" s="3">
        <f>IFERROR(__xludf.DUMMYFUNCTION("""COMPUTED_VALUE"""),736.0)</f>
        <v>736</v>
      </c>
      <c r="E5762" s="1" t="str">
        <f t="array" ref="E5762">_xlfn.XLOOKUP(A5762,Product!A:A,Product!B:B,"Bulunamadı")</f>
        <v>Tech</v>
      </c>
      <c r="F5762" s="1" t="str">
        <f t="array" ref="F5762">_xlfn.XLOOKUP(A5762,Product!A:A,Product!C:C,"Bulunamadı")</f>
        <v>Psychiatry</v>
      </c>
      <c r="G5762" s="2" t="str">
        <f t="array" ref="G5762">_xlfn.XLOOKUP(A5763,Product!A:A,Product!D:D,"Bulunamadı")</f>
        <v>Silverbridge Publishing House</v>
      </c>
      <c r="H5762" s="2">
        <f t="array" ref="H5762">_xlfn.XLOOKUP(A5764,Product!A:A,Product!E:E,"Bulunamadı")</f>
        <v>2.4</v>
      </c>
      <c r="I5762" s="2" t="str">
        <f t="shared" si="1"/>
        <v>2046 - Tech - Psychiatry</v>
      </c>
      <c r="J5762" s="2">
        <f t="shared" si="2"/>
        <v>1766.4</v>
      </c>
      <c r="K5762" s="17">
        <f t="shared" si="3"/>
        <v>1</v>
      </c>
      <c r="L5762" s="18"/>
    </row>
    <row r="5763" hidden="1">
      <c r="A5763" s="2">
        <f>IFERROR(__xludf.DUMMYFUNCTION("""COMPUTED_VALUE"""),66998.0)</f>
        <v>66998</v>
      </c>
      <c r="B5763" s="2">
        <f>IFERROR(__xludf.DUMMYFUNCTION("""COMPUTED_VALUE"""),1.0)</f>
        <v>1</v>
      </c>
      <c r="C5763" s="2">
        <f>IFERROR(__xludf.DUMMYFUNCTION("""COMPUTED_VALUE"""),-1.0)</f>
        <v>-1</v>
      </c>
      <c r="D5763" s="3">
        <f>IFERROR(__xludf.DUMMYFUNCTION("""COMPUTED_VALUE"""),0.0)</f>
        <v>0</v>
      </c>
      <c r="E5763" s="1" t="str">
        <f t="array" ref="E5763">_xlfn.XLOOKUP(A5763,Product!A:A,Product!B:B,"Bulunamadı")</f>
        <v>Tech</v>
      </c>
      <c r="F5763" s="1" t="str">
        <f t="array" ref="F5763">_xlfn.XLOOKUP(A5763,Product!A:A,Product!C:C,"Bulunamadı")</f>
        <v>Psychiatry</v>
      </c>
      <c r="G5763" s="2" t="str">
        <f t="array" ref="G5763">_xlfn.XLOOKUP(A5764,Product!A:A,Product!D:D,"Bulunamadı")</f>
        <v>Silverbridge Publishing House</v>
      </c>
      <c r="H5763" s="2">
        <f t="array" ref="H5763">_xlfn.XLOOKUP(A5765,Product!A:A,Product!E:E,"Bulunamadı")</f>
        <v>1.85</v>
      </c>
      <c r="I5763" s="2" t="str">
        <f t="shared" si="1"/>
        <v>66998 - Tech - Psychiatry</v>
      </c>
      <c r="J5763" s="2">
        <f t="shared" si="2"/>
        <v>0</v>
      </c>
      <c r="K5763" s="17">
        <f t="shared" si="3"/>
        <v>0</v>
      </c>
      <c r="L5763" s="18"/>
    </row>
    <row r="5764" hidden="1">
      <c r="A5764" s="2">
        <f>IFERROR(__xludf.DUMMYFUNCTION("""COMPUTED_VALUE"""),103626.0)</f>
        <v>103626</v>
      </c>
      <c r="B5764" s="2">
        <f>IFERROR(__xludf.DUMMYFUNCTION("""COMPUTED_VALUE"""),0.0)</f>
        <v>0</v>
      </c>
      <c r="C5764" s="2">
        <f>IFERROR(__xludf.DUMMYFUNCTION("""COMPUTED_VALUE"""),150.0)</f>
        <v>150</v>
      </c>
      <c r="D5764" s="3">
        <f>IFERROR(__xludf.DUMMYFUNCTION("""COMPUTED_VALUE"""),145.0)</f>
        <v>145</v>
      </c>
      <c r="E5764" s="1" t="str">
        <f t="array" ref="E5764">_xlfn.XLOOKUP(A5764,Product!A:A,Product!B:B,"Bulunamadı")</f>
        <v>Tech</v>
      </c>
      <c r="F5764" s="1" t="str">
        <f t="array" ref="F5764">_xlfn.XLOOKUP(A5764,Product!A:A,Product!C:C,"Bulunamadı")</f>
        <v>Psychiatry</v>
      </c>
      <c r="G5764" s="2" t="str">
        <f t="array" ref="G5764">_xlfn.XLOOKUP(A5765,Product!A:A,Product!D:D,"Bulunamadı")</f>
        <v>Silverbridge Publishing House</v>
      </c>
      <c r="H5764" s="2">
        <f t="array" ref="H5764">_xlfn.XLOOKUP(A5766,Product!A:A,Product!E:E,"Bulunamadı")</f>
        <v>2.15</v>
      </c>
      <c r="I5764" s="2" t="str">
        <f t="shared" si="1"/>
        <v>103626 - Tech - Psychiatry</v>
      </c>
      <c r="J5764" s="2">
        <f t="shared" si="2"/>
        <v>311.75</v>
      </c>
      <c r="K5764" s="17">
        <f t="shared" si="3"/>
        <v>1</v>
      </c>
      <c r="L5764" s="18"/>
    </row>
    <row r="5765" hidden="1">
      <c r="A5765" s="2">
        <f>IFERROR(__xludf.DUMMYFUNCTION("""COMPUTED_VALUE"""),103603.0)</f>
        <v>103603</v>
      </c>
      <c r="B5765" s="2">
        <f>IFERROR(__xludf.DUMMYFUNCTION("""COMPUTED_VALUE"""),1.0)</f>
        <v>1</v>
      </c>
      <c r="C5765" s="2">
        <f>IFERROR(__xludf.DUMMYFUNCTION("""COMPUTED_VALUE"""),633.0)</f>
        <v>633</v>
      </c>
      <c r="D5765" s="3">
        <f>IFERROR(__xludf.DUMMYFUNCTION("""COMPUTED_VALUE"""),343.0)</f>
        <v>343</v>
      </c>
      <c r="E5765" s="1" t="str">
        <f t="array" ref="E5765">_xlfn.XLOOKUP(A5765,Product!A:A,Product!B:B,"Bulunamadı")</f>
        <v>Tech</v>
      </c>
      <c r="F5765" s="1" t="str">
        <f t="array" ref="F5765">_xlfn.XLOOKUP(A5765,Product!A:A,Product!C:C,"Bulunamadı")</f>
        <v>Psychiatry</v>
      </c>
      <c r="G5765" s="2" t="str">
        <f t="array" ref="G5765">_xlfn.XLOOKUP(A5766,Product!A:A,Product!D:D,"Bulunamadı")</f>
        <v>Silverbridge Publishing House</v>
      </c>
      <c r="H5765" s="2">
        <f t="array" ref="H5765">_xlfn.XLOOKUP(A5767,Product!A:A,Product!E:E,"Bulunamadı")</f>
        <v>5.46</v>
      </c>
      <c r="I5765" s="2" t="str">
        <f t="shared" si="1"/>
        <v>103603 - Tech - Psychiatry</v>
      </c>
      <c r="J5765" s="2">
        <f t="shared" si="2"/>
        <v>1872.78</v>
      </c>
      <c r="K5765" s="17">
        <f t="shared" si="3"/>
        <v>1</v>
      </c>
      <c r="L5765" s="18"/>
    </row>
    <row r="5766" hidden="1">
      <c r="A5766" s="2">
        <f>IFERROR(__xludf.DUMMYFUNCTION("""COMPUTED_VALUE"""),85156.0)</f>
        <v>85156</v>
      </c>
      <c r="B5766" s="2">
        <f>IFERROR(__xludf.DUMMYFUNCTION("""COMPUTED_VALUE"""),0.0)</f>
        <v>0</v>
      </c>
      <c r="C5766" s="2">
        <f>IFERROR(__xludf.DUMMYFUNCTION("""COMPUTED_VALUE"""),45.0)</f>
        <v>45</v>
      </c>
      <c r="D5766" s="3">
        <f>IFERROR(__xludf.DUMMYFUNCTION("""COMPUTED_VALUE"""),14.0)</f>
        <v>14</v>
      </c>
      <c r="E5766" s="1" t="str">
        <f t="array" ref="E5766">_xlfn.XLOOKUP(A5766,Product!A:A,Product!B:B,"Bulunamadı")</f>
        <v>Tech</v>
      </c>
      <c r="F5766" s="1" t="str">
        <f t="array" ref="F5766">_xlfn.XLOOKUP(A5766,Product!A:A,Product!C:C,"Bulunamadı")</f>
        <v>Psychiatry</v>
      </c>
      <c r="G5766" s="2" t="str">
        <f t="array" ref="G5766">_xlfn.XLOOKUP(A5767,Product!A:A,Product!D:D,"Bulunamadı")</f>
        <v>Silverbridge Publishing House</v>
      </c>
      <c r="H5766" s="2">
        <f t="array" ref="H5766">_xlfn.XLOOKUP(A5768,Product!A:A,Product!E:E,"Bulunamadı")</f>
        <v>1.72</v>
      </c>
      <c r="I5766" s="2" t="str">
        <f t="shared" si="1"/>
        <v>85156 - Tech - Psychiatry</v>
      </c>
      <c r="J5766" s="2">
        <f t="shared" si="2"/>
        <v>24.08</v>
      </c>
      <c r="K5766" s="17">
        <f t="shared" si="3"/>
        <v>1</v>
      </c>
      <c r="L5766" s="18"/>
    </row>
    <row r="5767" hidden="1">
      <c r="A5767" s="2">
        <f>IFERROR(__xludf.DUMMYFUNCTION("""COMPUTED_VALUE"""),8118.0)</f>
        <v>8118</v>
      </c>
      <c r="B5767" s="2">
        <f>IFERROR(__xludf.DUMMYFUNCTION("""COMPUTED_VALUE"""),1.0)</f>
        <v>1</v>
      </c>
      <c r="C5767" s="2">
        <f>IFERROR(__xludf.DUMMYFUNCTION("""COMPUTED_VALUE"""),783.0)</f>
        <v>783</v>
      </c>
      <c r="D5767" s="3">
        <f>IFERROR(__xludf.DUMMYFUNCTION("""COMPUTED_VALUE"""),438.0)</f>
        <v>438</v>
      </c>
      <c r="E5767" s="1" t="str">
        <f t="array" ref="E5767">_xlfn.XLOOKUP(A5767,Product!A:A,Product!B:B,"Bulunamadı")</f>
        <v>Tech</v>
      </c>
      <c r="F5767" s="1" t="str">
        <f t="array" ref="F5767">_xlfn.XLOOKUP(A5767,Product!A:A,Product!C:C,"Bulunamadı")</f>
        <v>Psychiatry</v>
      </c>
      <c r="G5767" s="2" t="str">
        <f t="array" ref="G5767">_xlfn.XLOOKUP(A5768,Product!A:A,Product!D:D,"Bulunamadı")</f>
        <v>Silverbridge Publishing House</v>
      </c>
      <c r="H5767" s="2">
        <f t="array" ref="H5767">_xlfn.XLOOKUP(A5769,Product!A:A,Product!E:E,"Bulunamadı")</f>
        <v>9.19</v>
      </c>
      <c r="I5767" s="2" t="str">
        <f t="shared" si="1"/>
        <v>8118 - Tech - Psychiatry</v>
      </c>
      <c r="J5767" s="2">
        <f t="shared" si="2"/>
        <v>4025.22</v>
      </c>
      <c r="K5767" s="17">
        <f t="shared" si="3"/>
        <v>1</v>
      </c>
      <c r="L5767" s="18"/>
    </row>
    <row r="5768" hidden="1">
      <c r="A5768" s="2">
        <f>IFERROR(__xludf.DUMMYFUNCTION("""COMPUTED_VALUE"""),109984.0)</f>
        <v>109984</v>
      </c>
      <c r="B5768" s="2">
        <f>IFERROR(__xludf.DUMMYFUNCTION("""COMPUTED_VALUE"""),0.0)</f>
        <v>0</v>
      </c>
      <c r="C5768" s="2">
        <f>IFERROR(__xludf.DUMMYFUNCTION("""COMPUTED_VALUE"""),817.0)</f>
        <v>817</v>
      </c>
      <c r="D5768" s="3">
        <f>IFERROR(__xludf.DUMMYFUNCTION("""COMPUTED_VALUE"""),784.0)</f>
        <v>784</v>
      </c>
      <c r="E5768" s="1" t="str">
        <f t="array" ref="E5768">_xlfn.XLOOKUP(A5768,Product!A:A,Product!B:B,"Bulunamadı")</f>
        <v>Tech</v>
      </c>
      <c r="F5768" s="1" t="str">
        <f t="array" ref="F5768">_xlfn.XLOOKUP(A5768,Product!A:A,Product!C:C,"Bulunamadı")</f>
        <v>Psychiatry</v>
      </c>
      <c r="G5768" s="2" t="str">
        <f t="array" ref="G5768">_xlfn.XLOOKUP(A5769,Product!A:A,Product!D:D,"Bulunamadı")</f>
        <v>Silverbridge Publishing House</v>
      </c>
      <c r="H5768" s="2">
        <f t="array" ref="H5768">_xlfn.XLOOKUP(A5770,Product!A:A,Product!E:E,"Bulunamadı")</f>
        <v>8.52</v>
      </c>
      <c r="I5768" s="2" t="str">
        <f t="shared" si="1"/>
        <v>109984 - Tech - Psychiatry</v>
      </c>
      <c r="J5768" s="2">
        <f t="shared" si="2"/>
        <v>6679.68</v>
      </c>
      <c r="K5768" s="17">
        <f t="shared" si="3"/>
        <v>1</v>
      </c>
      <c r="L5768" s="18"/>
    </row>
    <row r="5769" hidden="1">
      <c r="A5769" s="2">
        <f>IFERROR(__xludf.DUMMYFUNCTION("""COMPUTED_VALUE"""),92134.0)</f>
        <v>92134</v>
      </c>
      <c r="B5769" s="2">
        <f>IFERROR(__xludf.DUMMYFUNCTION("""COMPUTED_VALUE"""),0.0)</f>
        <v>0</v>
      </c>
      <c r="C5769" s="2">
        <f>IFERROR(__xludf.DUMMYFUNCTION("""COMPUTED_VALUE"""),687.0)</f>
        <v>687</v>
      </c>
      <c r="D5769" s="3">
        <f>IFERROR(__xludf.DUMMYFUNCTION("""COMPUTED_VALUE"""),649.0)</f>
        <v>649</v>
      </c>
      <c r="E5769" s="1" t="str">
        <f t="array" ref="E5769">_xlfn.XLOOKUP(A5769,Product!A:A,Product!B:B,"Bulunamadı")</f>
        <v>Tech</v>
      </c>
      <c r="F5769" s="1" t="str">
        <f t="array" ref="F5769">_xlfn.XLOOKUP(A5769,Product!A:A,Product!C:C,"Bulunamadı")</f>
        <v>Psychiatry</v>
      </c>
      <c r="G5769" s="2" t="str">
        <f t="array" ref="G5769">_xlfn.XLOOKUP(A5770,Product!A:A,Product!D:D,"Bulunamadı")</f>
        <v>Silverbridge Publishing House</v>
      </c>
      <c r="H5769" s="2">
        <f t="array" ref="H5769">_xlfn.XLOOKUP(A5771,Product!A:A,Product!E:E,"Bulunamadı")</f>
        <v>8.86</v>
      </c>
      <c r="I5769" s="2" t="str">
        <f t="shared" si="1"/>
        <v>92134 - Tech - Psychiatry</v>
      </c>
      <c r="J5769" s="2">
        <f t="shared" si="2"/>
        <v>5750.14</v>
      </c>
      <c r="K5769" s="17">
        <f t="shared" si="3"/>
        <v>1</v>
      </c>
      <c r="L5769" s="18"/>
    </row>
    <row r="5770" hidden="1">
      <c r="A5770" s="2">
        <f>IFERROR(__xludf.DUMMYFUNCTION("""COMPUTED_VALUE"""),129420.0)</f>
        <v>129420</v>
      </c>
      <c r="B5770" s="2">
        <f>IFERROR(__xludf.DUMMYFUNCTION("""COMPUTED_VALUE"""),0.0)</f>
        <v>0</v>
      </c>
      <c r="C5770" s="2">
        <f>IFERROR(__xludf.DUMMYFUNCTION("""COMPUTED_VALUE"""),218.0)</f>
        <v>218</v>
      </c>
      <c r="D5770" s="3">
        <f>IFERROR(__xludf.DUMMYFUNCTION("""COMPUTED_VALUE"""),62.0)</f>
        <v>62</v>
      </c>
      <c r="E5770" s="1" t="str">
        <f t="array" ref="E5770">_xlfn.XLOOKUP(A5770,Product!A:A,Product!B:B,"Bulunamadı")</f>
        <v>Tech</v>
      </c>
      <c r="F5770" s="1" t="str">
        <f t="array" ref="F5770">_xlfn.XLOOKUP(A5770,Product!A:A,Product!C:C,"Bulunamadı")</f>
        <v>Psychiatry</v>
      </c>
      <c r="G5770" s="2" t="str">
        <f t="array" ref="G5770">_xlfn.XLOOKUP(A5771,Product!A:A,Product!D:D,"Bulunamadı")</f>
        <v>Silverbridge Publishing House</v>
      </c>
      <c r="H5770" s="2">
        <f t="array" ref="H5770">_xlfn.XLOOKUP(A5772,Product!A:A,Product!E:E,"Bulunamadı")</f>
        <v>5.33</v>
      </c>
      <c r="I5770" s="2" t="str">
        <f t="shared" si="1"/>
        <v>129420 - Tech - Psychiatry</v>
      </c>
      <c r="J5770" s="2">
        <f t="shared" si="2"/>
        <v>330.46</v>
      </c>
      <c r="K5770" s="17">
        <f t="shared" si="3"/>
        <v>1</v>
      </c>
      <c r="L5770" s="18"/>
    </row>
    <row r="5771" hidden="1">
      <c r="A5771" s="2">
        <f>IFERROR(__xludf.DUMMYFUNCTION("""COMPUTED_VALUE"""),111010.0)</f>
        <v>111010</v>
      </c>
      <c r="B5771" s="2">
        <f>IFERROR(__xludf.DUMMYFUNCTION("""COMPUTED_VALUE"""),1.0)</f>
        <v>1</v>
      </c>
      <c r="C5771" s="2">
        <f>IFERROR(__xludf.DUMMYFUNCTION("""COMPUTED_VALUE"""),833.0)</f>
        <v>833</v>
      </c>
      <c r="D5771" s="3">
        <f>IFERROR(__xludf.DUMMYFUNCTION("""COMPUTED_VALUE"""),733.0)</f>
        <v>733</v>
      </c>
      <c r="E5771" s="1" t="str">
        <f t="array" ref="E5771">_xlfn.XLOOKUP(A5771,Product!A:A,Product!B:B,"Bulunamadı")</f>
        <v>Tech</v>
      </c>
      <c r="F5771" s="1" t="str">
        <f t="array" ref="F5771">_xlfn.XLOOKUP(A5771,Product!A:A,Product!C:C,"Bulunamadı")</f>
        <v>Psychiatry</v>
      </c>
      <c r="G5771" s="2" t="str">
        <f t="array" ref="G5771">_xlfn.XLOOKUP(A5772,Product!A:A,Product!D:D,"Bulunamadı")</f>
        <v>Silverbridge Publishing House</v>
      </c>
      <c r="H5771" s="2">
        <f t="array" ref="H5771">_xlfn.XLOOKUP(A5773,Product!A:A,Product!E:E,"Bulunamadı")</f>
        <v>1.79</v>
      </c>
      <c r="I5771" s="2" t="str">
        <f t="shared" si="1"/>
        <v>111010 - Tech - Psychiatry</v>
      </c>
      <c r="J5771" s="2">
        <f t="shared" si="2"/>
        <v>1312.07</v>
      </c>
      <c r="K5771" s="17">
        <f t="shared" si="3"/>
        <v>1</v>
      </c>
      <c r="L5771" s="18"/>
    </row>
    <row r="5772" hidden="1">
      <c r="A5772" s="2">
        <f>IFERROR(__xludf.DUMMYFUNCTION("""COMPUTED_VALUE"""),46771.0)</f>
        <v>46771</v>
      </c>
      <c r="B5772" s="2">
        <f>IFERROR(__xludf.DUMMYFUNCTION("""COMPUTED_VALUE"""),0.0)</f>
        <v>0</v>
      </c>
      <c r="C5772" s="2">
        <f>IFERROR(__xludf.DUMMYFUNCTION("""COMPUTED_VALUE"""),301.0)</f>
        <v>301</v>
      </c>
      <c r="D5772" s="3">
        <f>IFERROR(__xludf.DUMMYFUNCTION("""COMPUTED_VALUE"""),193.0)</f>
        <v>193</v>
      </c>
      <c r="E5772" s="1" t="str">
        <f t="array" ref="E5772">_xlfn.XLOOKUP(A5772,Product!A:A,Product!B:B,"Bulunamadı")</f>
        <v>Tech</v>
      </c>
      <c r="F5772" s="1" t="str">
        <f t="array" ref="F5772">_xlfn.XLOOKUP(A5772,Product!A:A,Product!C:C,"Bulunamadı")</f>
        <v>Psychiatry</v>
      </c>
      <c r="G5772" s="2" t="str">
        <f t="array" ref="G5772">_xlfn.XLOOKUP(A5773,Product!A:A,Product!D:D,"Bulunamadı")</f>
        <v>Silverbridge Publishing House</v>
      </c>
      <c r="H5772" s="2">
        <f t="array" ref="H5772">_xlfn.XLOOKUP(A5774,Product!A:A,Product!E:E,"Bulunamadı")</f>
        <v>9.31</v>
      </c>
      <c r="I5772" s="2" t="str">
        <f t="shared" si="1"/>
        <v>46771 - Tech - Psychiatry</v>
      </c>
      <c r="J5772" s="2">
        <f t="shared" si="2"/>
        <v>1796.83</v>
      </c>
      <c r="K5772" s="17">
        <f t="shared" si="3"/>
        <v>1</v>
      </c>
      <c r="L5772" s="18"/>
    </row>
    <row r="5773" hidden="1">
      <c r="A5773" s="2">
        <f>IFERROR(__xludf.DUMMYFUNCTION("""COMPUTED_VALUE"""),88396.0)</f>
        <v>88396</v>
      </c>
      <c r="B5773" s="2">
        <f>IFERROR(__xludf.DUMMYFUNCTION("""COMPUTED_VALUE"""),1.0)</f>
        <v>1</v>
      </c>
      <c r="C5773" s="2">
        <f>IFERROR(__xludf.DUMMYFUNCTION("""COMPUTED_VALUE"""),62.0)</f>
        <v>62</v>
      </c>
      <c r="D5773" s="3">
        <f>IFERROR(__xludf.DUMMYFUNCTION("""COMPUTED_VALUE"""),27.0)</f>
        <v>27</v>
      </c>
      <c r="E5773" s="1" t="str">
        <f t="array" ref="E5773">_xlfn.XLOOKUP(A5773,Product!A:A,Product!B:B,"Bulunamadı")</f>
        <v>Tech</v>
      </c>
      <c r="F5773" s="1" t="str">
        <f t="array" ref="F5773">_xlfn.XLOOKUP(A5773,Product!A:A,Product!C:C,"Bulunamadı")</f>
        <v>Psychiatry</v>
      </c>
      <c r="G5773" s="2" t="str">
        <f t="array" ref="G5773">_xlfn.XLOOKUP(A5774,Product!A:A,Product!D:D,"Bulunamadı")</f>
        <v>Silverbridge Publishing House</v>
      </c>
      <c r="H5773" s="2">
        <f t="array" ref="H5773">_xlfn.XLOOKUP(A5775,Product!A:A,Product!E:E,"Bulunamadı")</f>
        <v>3.11</v>
      </c>
      <c r="I5773" s="2" t="str">
        <f t="shared" si="1"/>
        <v>88396 - Tech - Psychiatry</v>
      </c>
      <c r="J5773" s="2">
        <f t="shared" si="2"/>
        <v>83.97</v>
      </c>
      <c r="K5773" s="17">
        <f t="shared" si="3"/>
        <v>1</v>
      </c>
      <c r="L5773" s="18"/>
    </row>
    <row r="5774" hidden="1">
      <c r="A5774" s="2">
        <f>IFERROR(__xludf.DUMMYFUNCTION("""COMPUTED_VALUE"""),88188.0)</f>
        <v>88188</v>
      </c>
      <c r="B5774" s="2">
        <f>IFERROR(__xludf.DUMMYFUNCTION("""COMPUTED_VALUE"""),1.0)</f>
        <v>1</v>
      </c>
      <c r="C5774" s="2">
        <f>IFERROR(__xludf.DUMMYFUNCTION("""COMPUTED_VALUE"""),969.0)</f>
        <v>969</v>
      </c>
      <c r="D5774" s="3">
        <f>IFERROR(__xludf.DUMMYFUNCTION("""COMPUTED_VALUE"""),429.0)</f>
        <v>429</v>
      </c>
      <c r="E5774" s="1" t="str">
        <f t="array" ref="E5774">_xlfn.XLOOKUP(A5774,Product!A:A,Product!B:B,"Bulunamadı")</f>
        <v>Tech</v>
      </c>
      <c r="F5774" s="1" t="str">
        <f t="array" ref="F5774">_xlfn.XLOOKUP(A5774,Product!A:A,Product!C:C,"Bulunamadı")</f>
        <v>Psychiatry</v>
      </c>
      <c r="G5774" s="2" t="str">
        <f t="array" ref="G5774">_xlfn.XLOOKUP(A5775,Product!A:A,Product!D:D,"Bulunamadı")</f>
        <v>Silverbridge Publishing House</v>
      </c>
      <c r="H5774" s="2">
        <f t="array" ref="H5774">_xlfn.XLOOKUP(A5776,Product!A:A,Product!E:E,"Bulunamadı")</f>
        <v>1.88</v>
      </c>
      <c r="I5774" s="2" t="str">
        <f t="shared" si="1"/>
        <v>88188 - Tech - Psychiatry</v>
      </c>
      <c r="J5774" s="2">
        <f t="shared" si="2"/>
        <v>806.52</v>
      </c>
      <c r="K5774" s="17">
        <f t="shared" si="3"/>
        <v>1</v>
      </c>
      <c r="L5774" s="18"/>
    </row>
    <row r="5775" hidden="1">
      <c r="A5775" s="2">
        <f>IFERROR(__xludf.DUMMYFUNCTION("""COMPUTED_VALUE"""),129373.0)</f>
        <v>129373</v>
      </c>
      <c r="B5775" s="2">
        <f>IFERROR(__xludf.DUMMYFUNCTION("""COMPUTED_VALUE"""),1.0)</f>
        <v>1</v>
      </c>
      <c r="C5775" s="2">
        <f>IFERROR(__xludf.DUMMYFUNCTION("""COMPUTED_VALUE"""),876.0)</f>
        <v>876</v>
      </c>
      <c r="D5775" s="3">
        <f>IFERROR(__xludf.DUMMYFUNCTION("""COMPUTED_VALUE"""),263.0)</f>
        <v>263</v>
      </c>
      <c r="E5775" s="1" t="str">
        <f t="array" ref="E5775">_xlfn.XLOOKUP(A5775,Product!A:A,Product!B:B,"Bulunamadı")</f>
        <v>Tech</v>
      </c>
      <c r="F5775" s="1" t="str">
        <f t="array" ref="F5775">_xlfn.XLOOKUP(A5775,Product!A:A,Product!C:C,"Bulunamadı")</f>
        <v>Psychiatry</v>
      </c>
      <c r="G5775" s="2" t="str">
        <f t="array" ref="G5775">_xlfn.XLOOKUP(A5776,Product!A:A,Product!D:D,"Bulunamadı")</f>
        <v>Silverbridge Publishing House</v>
      </c>
      <c r="H5775" s="2">
        <f t="array" ref="H5775">_xlfn.XLOOKUP(A5777,Product!A:A,Product!E:E,"Bulunamadı")</f>
        <v>6.32</v>
      </c>
      <c r="I5775" s="2" t="str">
        <f t="shared" si="1"/>
        <v>129373 - Tech - Psychiatry</v>
      </c>
      <c r="J5775" s="2">
        <f t="shared" si="2"/>
        <v>1662.16</v>
      </c>
      <c r="K5775" s="17">
        <f t="shared" si="3"/>
        <v>1</v>
      </c>
      <c r="L5775" s="18"/>
    </row>
    <row r="5776" hidden="1">
      <c r="A5776" s="2">
        <f>IFERROR(__xludf.DUMMYFUNCTION("""COMPUTED_VALUE"""),103625.0)</f>
        <v>103625</v>
      </c>
      <c r="B5776" s="2">
        <f>IFERROR(__xludf.DUMMYFUNCTION("""COMPUTED_VALUE"""),0.0)</f>
        <v>0</v>
      </c>
      <c r="C5776" s="2">
        <f>IFERROR(__xludf.DUMMYFUNCTION("""COMPUTED_VALUE"""),648.0)</f>
        <v>648</v>
      </c>
      <c r="D5776" s="3">
        <f>IFERROR(__xludf.DUMMYFUNCTION("""COMPUTED_VALUE"""),232.0)</f>
        <v>232</v>
      </c>
      <c r="E5776" s="1" t="str">
        <f t="array" ref="E5776">_xlfn.XLOOKUP(A5776,Product!A:A,Product!B:B,"Bulunamadı")</f>
        <v>Tech</v>
      </c>
      <c r="F5776" s="1" t="str">
        <f t="array" ref="F5776">_xlfn.XLOOKUP(A5776,Product!A:A,Product!C:C,"Bulunamadı")</f>
        <v>Psychiatry</v>
      </c>
      <c r="G5776" s="2" t="str">
        <f t="array" ref="G5776">_xlfn.XLOOKUP(A5777,Product!A:A,Product!D:D,"Bulunamadı")</f>
        <v>Silverbridge Publishing House</v>
      </c>
      <c r="H5776" s="2">
        <f t="array" ref="H5776">_xlfn.XLOOKUP(A5778,Product!A:A,Product!E:E,"Bulunamadı")</f>
        <v>4.82</v>
      </c>
      <c r="I5776" s="2" t="str">
        <f t="shared" si="1"/>
        <v>103625 - Tech - Psychiatry</v>
      </c>
      <c r="J5776" s="2">
        <f t="shared" si="2"/>
        <v>1118.24</v>
      </c>
      <c r="K5776" s="17">
        <f t="shared" si="3"/>
        <v>1</v>
      </c>
      <c r="L5776" s="18"/>
    </row>
    <row r="5777" hidden="1">
      <c r="A5777" s="2">
        <f>IFERROR(__xludf.DUMMYFUNCTION("""COMPUTED_VALUE"""),109332.0)</f>
        <v>109332</v>
      </c>
      <c r="B5777" s="2">
        <f>IFERROR(__xludf.DUMMYFUNCTION("""COMPUTED_VALUE"""),0.0)</f>
        <v>0</v>
      </c>
      <c r="C5777" s="2">
        <f>IFERROR(__xludf.DUMMYFUNCTION("""COMPUTED_VALUE"""),747.0)</f>
        <v>747</v>
      </c>
      <c r="D5777" s="3">
        <f>IFERROR(__xludf.DUMMYFUNCTION("""COMPUTED_VALUE"""),262.0)</f>
        <v>262</v>
      </c>
      <c r="E5777" s="1" t="str">
        <f t="array" ref="E5777">_xlfn.XLOOKUP(A5777,Product!A:A,Product!B:B,"Bulunamadı")</f>
        <v>Tech</v>
      </c>
      <c r="F5777" s="1" t="str">
        <f t="array" ref="F5777">_xlfn.XLOOKUP(A5777,Product!A:A,Product!C:C,"Bulunamadı")</f>
        <v>Psychiatry</v>
      </c>
      <c r="G5777" s="2" t="str">
        <f t="array" ref="G5777">_xlfn.XLOOKUP(A5778,Product!A:A,Product!D:D,"Bulunamadı")</f>
        <v>Silverbridge Publishing House</v>
      </c>
      <c r="H5777" s="2">
        <f t="array" ref="H5777">_xlfn.XLOOKUP(A5779,Product!A:A,Product!E:E,"Bulunamadı")</f>
        <v>10.59</v>
      </c>
      <c r="I5777" s="2" t="str">
        <f t="shared" si="1"/>
        <v>109332 - Tech - Psychiatry</v>
      </c>
      <c r="J5777" s="2">
        <f t="shared" si="2"/>
        <v>2774.58</v>
      </c>
      <c r="K5777" s="17">
        <f t="shared" si="3"/>
        <v>1</v>
      </c>
      <c r="L5777" s="18"/>
    </row>
    <row r="5778" hidden="1">
      <c r="A5778" s="2">
        <f>IFERROR(__xludf.DUMMYFUNCTION("""COMPUTED_VALUE"""),92327.0)</f>
        <v>92327</v>
      </c>
      <c r="B5778" s="2">
        <f>IFERROR(__xludf.DUMMYFUNCTION("""COMPUTED_VALUE"""),1.0)</f>
        <v>1</v>
      </c>
      <c r="C5778" s="2">
        <f>IFERROR(__xludf.DUMMYFUNCTION("""COMPUTED_VALUE"""),969.0)</f>
        <v>969</v>
      </c>
      <c r="D5778" s="3">
        <f>IFERROR(__xludf.DUMMYFUNCTION("""COMPUTED_VALUE"""),441.0)</f>
        <v>441</v>
      </c>
      <c r="E5778" s="1" t="str">
        <f t="array" ref="E5778">_xlfn.XLOOKUP(A5778,Product!A:A,Product!B:B,"Bulunamadı")</f>
        <v>Tech</v>
      </c>
      <c r="F5778" s="1" t="str">
        <f t="array" ref="F5778">_xlfn.XLOOKUP(A5778,Product!A:A,Product!C:C,"Bulunamadı")</f>
        <v>Psychiatry</v>
      </c>
      <c r="G5778" s="2" t="str">
        <f t="array" ref="G5778">_xlfn.XLOOKUP(A5779,Product!A:A,Product!D:D,"Bulunamadı")</f>
        <v>Silverbridge Publishing House</v>
      </c>
      <c r="H5778" s="2">
        <f t="array" ref="H5778">_xlfn.XLOOKUP(A5780,Product!A:A,Product!E:E,"Bulunamadı")</f>
        <v>5.47</v>
      </c>
      <c r="I5778" s="2" t="str">
        <f t="shared" si="1"/>
        <v>92327 - Tech - Psychiatry</v>
      </c>
      <c r="J5778" s="2">
        <f t="shared" si="2"/>
        <v>2412.27</v>
      </c>
      <c r="K5778" s="17">
        <f t="shared" si="3"/>
        <v>1</v>
      </c>
      <c r="L5778" s="18"/>
    </row>
    <row r="5779" hidden="1">
      <c r="A5779" s="2">
        <f>IFERROR(__xludf.DUMMYFUNCTION("""COMPUTED_VALUE"""),80699.0)</f>
        <v>80699</v>
      </c>
      <c r="B5779" s="2">
        <f>IFERROR(__xludf.DUMMYFUNCTION("""COMPUTED_VALUE"""),1.0)</f>
        <v>1</v>
      </c>
      <c r="C5779" s="2">
        <f>IFERROR(__xludf.DUMMYFUNCTION("""COMPUTED_VALUE"""),498.0)</f>
        <v>498</v>
      </c>
      <c r="D5779" s="3">
        <f>IFERROR(__xludf.DUMMYFUNCTION("""COMPUTED_VALUE"""),223.0)</f>
        <v>223</v>
      </c>
      <c r="E5779" s="1" t="str">
        <f t="array" ref="E5779">_xlfn.XLOOKUP(A5779,Product!A:A,Product!B:B,"Bulunamadı")</f>
        <v>Tech</v>
      </c>
      <c r="F5779" s="1" t="str">
        <f t="array" ref="F5779">_xlfn.XLOOKUP(A5779,Product!A:A,Product!C:C,"Bulunamadı")</f>
        <v>Psychiatry</v>
      </c>
      <c r="G5779" s="2" t="str">
        <f t="array" ref="G5779">_xlfn.XLOOKUP(A5780,Product!A:A,Product!D:D,"Bulunamadı")</f>
        <v>Silverbridge Publishing House</v>
      </c>
      <c r="H5779" s="2">
        <f t="array" ref="H5779">_xlfn.XLOOKUP(A5781,Product!A:A,Product!E:E,"Bulunamadı")</f>
        <v>2</v>
      </c>
      <c r="I5779" s="2" t="str">
        <f t="shared" si="1"/>
        <v>80699 - Tech - Psychiatry</v>
      </c>
      <c r="J5779" s="2">
        <f t="shared" si="2"/>
        <v>446</v>
      </c>
      <c r="K5779" s="17">
        <f t="shared" si="3"/>
        <v>1</v>
      </c>
      <c r="L5779" s="18"/>
    </row>
    <row r="5780" hidden="1">
      <c r="A5780" s="2">
        <f>IFERROR(__xludf.DUMMYFUNCTION("""COMPUTED_VALUE"""),101043.0)</f>
        <v>101043</v>
      </c>
      <c r="B5780" s="2">
        <f>IFERROR(__xludf.DUMMYFUNCTION("""COMPUTED_VALUE"""),1.0)</f>
        <v>1</v>
      </c>
      <c r="C5780" s="2">
        <f>IFERROR(__xludf.DUMMYFUNCTION("""COMPUTED_VALUE"""),855.0)</f>
        <v>855</v>
      </c>
      <c r="D5780" s="3">
        <f>IFERROR(__xludf.DUMMYFUNCTION("""COMPUTED_VALUE"""),584.0)</f>
        <v>584</v>
      </c>
      <c r="E5780" s="1" t="str">
        <f t="array" ref="E5780">_xlfn.XLOOKUP(A5780,Product!A:A,Product!B:B,"Bulunamadı")</f>
        <v>Tech</v>
      </c>
      <c r="F5780" s="1" t="str">
        <f t="array" ref="F5780">_xlfn.XLOOKUP(A5780,Product!A:A,Product!C:C,"Bulunamadı")</f>
        <v>Psychiatry</v>
      </c>
      <c r="G5780" s="2" t="str">
        <f t="array" ref="G5780">_xlfn.XLOOKUP(A5781,Product!A:A,Product!D:D,"Bulunamadı")</f>
        <v>Silverbridge Publishing House</v>
      </c>
      <c r="H5780" s="2">
        <f t="array" ref="H5780">_xlfn.XLOOKUP(A5782,Product!A:A,Product!E:E,"Bulunamadı")</f>
        <v>5.17</v>
      </c>
      <c r="I5780" s="2" t="str">
        <f t="shared" si="1"/>
        <v>101043 - Tech - Psychiatry</v>
      </c>
      <c r="J5780" s="2">
        <f t="shared" si="2"/>
        <v>3019.28</v>
      </c>
      <c r="K5780" s="17">
        <f t="shared" si="3"/>
        <v>1</v>
      </c>
      <c r="L5780" s="18"/>
    </row>
    <row r="5781" hidden="1">
      <c r="A5781" s="2">
        <f>IFERROR(__xludf.DUMMYFUNCTION("""COMPUTED_VALUE"""),46760.0)</f>
        <v>46760</v>
      </c>
      <c r="B5781" s="2">
        <f>IFERROR(__xludf.DUMMYFUNCTION("""COMPUTED_VALUE"""),1.0)</f>
        <v>1</v>
      </c>
      <c r="C5781" s="2">
        <f>IFERROR(__xludf.DUMMYFUNCTION("""COMPUTED_VALUE"""),389.0)</f>
        <v>389</v>
      </c>
      <c r="D5781" s="3">
        <f>IFERROR(__xludf.DUMMYFUNCTION("""COMPUTED_VALUE"""),77.0)</f>
        <v>77</v>
      </c>
      <c r="E5781" s="1" t="str">
        <f t="array" ref="E5781">_xlfn.XLOOKUP(A5781,Product!A:A,Product!B:B,"Bulunamadı")</f>
        <v>Tech</v>
      </c>
      <c r="F5781" s="1" t="str">
        <f t="array" ref="F5781">_xlfn.XLOOKUP(A5781,Product!A:A,Product!C:C,"Bulunamadı")</f>
        <v>Psychiatry</v>
      </c>
      <c r="G5781" s="2" t="str">
        <f t="array" ref="G5781">_xlfn.XLOOKUP(A5782,Product!A:A,Product!D:D,"Bulunamadı")</f>
        <v>Silverbridge Publishing House</v>
      </c>
      <c r="H5781" s="2">
        <f t="array" ref="H5781">_xlfn.XLOOKUP(A5783,Product!A:A,Product!E:E,"Bulunamadı")</f>
        <v>2.37</v>
      </c>
      <c r="I5781" s="2" t="str">
        <f t="shared" si="1"/>
        <v>46760 - Tech - Psychiatry</v>
      </c>
      <c r="J5781" s="2">
        <f t="shared" si="2"/>
        <v>182.49</v>
      </c>
      <c r="K5781" s="17">
        <f t="shared" si="3"/>
        <v>1</v>
      </c>
      <c r="L5781" s="18"/>
    </row>
    <row r="5782" hidden="1">
      <c r="A5782" s="2">
        <f>IFERROR(__xludf.DUMMYFUNCTION("""COMPUTED_VALUE"""),109966.0)</f>
        <v>109966</v>
      </c>
      <c r="B5782" s="2">
        <f>IFERROR(__xludf.DUMMYFUNCTION("""COMPUTED_VALUE"""),1.0)</f>
        <v>1</v>
      </c>
      <c r="C5782" s="2">
        <f>IFERROR(__xludf.DUMMYFUNCTION("""COMPUTED_VALUE"""),130.0)</f>
        <v>130</v>
      </c>
      <c r="D5782" s="3">
        <f>IFERROR(__xludf.DUMMYFUNCTION("""COMPUTED_VALUE"""),127.0)</f>
        <v>127</v>
      </c>
      <c r="E5782" s="1" t="str">
        <f t="array" ref="E5782">_xlfn.XLOOKUP(A5782,Product!A:A,Product!B:B,"Bulunamadı")</f>
        <v>Tech</v>
      </c>
      <c r="F5782" s="1" t="str">
        <f t="array" ref="F5782">_xlfn.XLOOKUP(A5782,Product!A:A,Product!C:C,"Bulunamadı")</f>
        <v>Psychiatry</v>
      </c>
      <c r="G5782" s="2" t="str">
        <f t="array" ref="G5782">_xlfn.XLOOKUP(A5783,Product!A:A,Product!D:D,"Bulunamadı")</f>
        <v>Silverbridge Publishing House</v>
      </c>
      <c r="H5782" s="2">
        <f t="array" ref="H5782">_xlfn.XLOOKUP(A5784,Product!A:A,Product!E:E,"Bulunamadı")</f>
        <v>2.35</v>
      </c>
      <c r="I5782" s="2" t="str">
        <f t="shared" si="1"/>
        <v>109966 - Tech - Psychiatry</v>
      </c>
      <c r="J5782" s="2">
        <f t="shared" si="2"/>
        <v>298.45</v>
      </c>
      <c r="K5782" s="17">
        <f t="shared" si="3"/>
        <v>1</v>
      </c>
      <c r="L5782" s="18"/>
    </row>
    <row r="5783" hidden="1">
      <c r="A5783" s="2">
        <f>IFERROR(__xludf.DUMMYFUNCTION("""COMPUTED_VALUE"""),128408.0)</f>
        <v>128408</v>
      </c>
      <c r="B5783" s="2">
        <f>IFERROR(__xludf.DUMMYFUNCTION("""COMPUTED_VALUE"""),0.0)</f>
        <v>0</v>
      </c>
      <c r="C5783" s="2">
        <f>IFERROR(__xludf.DUMMYFUNCTION("""COMPUTED_VALUE"""),301.0)</f>
        <v>301</v>
      </c>
      <c r="D5783" s="3">
        <f>IFERROR(__xludf.DUMMYFUNCTION("""COMPUTED_VALUE"""),289.0)</f>
        <v>289</v>
      </c>
      <c r="E5783" s="1" t="str">
        <f t="array" ref="E5783">_xlfn.XLOOKUP(A5783,Product!A:A,Product!B:B,"Bulunamadı")</f>
        <v>Tech</v>
      </c>
      <c r="F5783" s="1" t="str">
        <f t="array" ref="F5783">_xlfn.XLOOKUP(A5783,Product!A:A,Product!C:C,"Bulunamadı")</f>
        <v>Psychiatry</v>
      </c>
      <c r="G5783" s="2" t="str">
        <f t="array" ref="G5783">_xlfn.XLOOKUP(A5784,Product!A:A,Product!D:D,"Bulunamadı")</f>
        <v>Silverbridge Publishing House</v>
      </c>
      <c r="H5783" s="2">
        <f t="array" ref="H5783">_xlfn.XLOOKUP(A5785,Product!A:A,Product!E:E,"Bulunamadı")</f>
        <v>2.32</v>
      </c>
      <c r="I5783" s="2" t="str">
        <f t="shared" si="1"/>
        <v>128408 - Tech - Psychiatry</v>
      </c>
      <c r="J5783" s="2">
        <f t="shared" si="2"/>
        <v>670.48</v>
      </c>
      <c r="K5783" s="17">
        <f t="shared" si="3"/>
        <v>1</v>
      </c>
      <c r="L5783" s="18"/>
    </row>
    <row r="5784" hidden="1">
      <c r="A5784" s="2">
        <f>IFERROR(__xludf.DUMMYFUNCTION("""COMPUTED_VALUE"""),81128.0)</f>
        <v>81128</v>
      </c>
      <c r="B5784" s="2">
        <f>IFERROR(__xludf.DUMMYFUNCTION("""COMPUTED_VALUE"""),0.0)</f>
        <v>0</v>
      </c>
      <c r="C5784" s="2">
        <f>IFERROR(__xludf.DUMMYFUNCTION("""COMPUTED_VALUE"""),489.0)</f>
        <v>489</v>
      </c>
      <c r="D5784" s="3">
        <f>IFERROR(__xludf.DUMMYFUNCTION("""COMPUTED_VALUE"""),145.0)</f>
        <v>145</v>
      </c>
      <c r="E5784" s="1" t="str">
        <f t="array" ref="E5784">_xlfn.XLOOKUP(A5784,Product!A:A,Product!B:B,"Bulunamadı")</f>
        <v>Tech</v>
      </c>
      <c r="F5784" s="1" t="str">
        <f t="array" ref="F5784">_xlfn.XLOOKUP(A5784,Product!A:A,Product!C:C,"Bulunamadı")</f>
        <v>Psychiatry</v>
      </c>
      <c r="G5784" s="2" t="str">
        <f t="array" ref="G5784">_xlfn.XLOOKUP(A5785,Product!A:A,Product!D:D,"Bulunamadı")</f>
        <v>Silverbridge Publishing House</v>
      </c>
      <c r="H5784" s="2">
        <f t="array" ref="H5784">_xlfn.XLOOKUP(A5786,Product!A:A,Product!E:E,"Bulunamadı")</f>
        <v>3.11</v>
      </c>
      <c r="I5784" s="2" t="str">
        <f t="shared" si="1"/>
        <v>81128 - Tech - Psychiatry</v>
      </c>
      <c r="J5784" s="2">
        <f t="shared" si="2"/>
        <v>450.95</v>
      </c>
      <c r="K5784" s="17">
        <f t="shared" si="3"/>
        <v>1</v>
      </c>
      <c r="L5784" s="18"/>
    </row>
    <row r="5785" hidden="1">
      <c r="A5785" s="2">
        <f>IFERROR(__xludf.DUMMYFUNCTION("""COMPUTED_VALUE"""),45571.0)</f>
        <v>45571</v>
      </c>
      <c r="B5785" s="2">
        <f>IFERROR(__xludf.DUMMYFUNCTION("""COMPUTED_VALUE"""),0.0)</f>
        <v>0</v>
      </c>
      <c r="C5785" s="2">
        <f>IFERROR(__xludf.DUMMYFUNCTION("""COMPUTED_VALUE"""),976.0)</f>
        <v>976</v>
      </c>
      <c r="D5785" s="3">
        <f>IFERROR(__xludf.DUMMYFUNCTION("""COMPUTED_VALUE"""),187.0)</f>
        <v>187</v>
      </c>
      <c r="E5785" s="1" t="str">
        <f t="array" ref="E5785">_xlfn.XLOOKUP(A5785,Product!A:A,Product!B:B,"Bulunamadı")</f>
        <v>Tech</v>
      </c>
      <c r="F5785" s="1" t="str">
        <f t="array" ref="F5785">_xlfn.XLOOKUP(A5785,Product!A:A,Product!C:C,"Bulunamadı")</f>
        <v>Psychiatry</v>
      </c>
      <c r="G5785" s="2" t="str">
        <f t="array" ref="G5785">_xlfn.XLOOKUP(A5786,Product!A:A,Product!D:D,"Bulunamadı")</f>
        <v>Silverbridge Publishing House</v>
      </c>
      <c r="H5785" s="2">
        <f t="array" ref="H5785">_xlfn.XLOOKUP(A5787,Product!A:A,Product!E:E,"Bulunamadı")</f>
        <v>4.51</v>
      </c>
      <c r="I5785" s="2" t="str">
        <f t="shared" si="1"/>
        <v>45571 - Tech - Psychiatry</v>
      </c>
      <c r="J5785" s="2">
        <f t="shared" si="2"/>
        <v>843.37</v>
      </c>
      <c r="K5785" s="17">
        <f t="shared" si="3"/>
        <v>1</v>
      </c>
      <c r="L5785" s="18"/>
    </row>
    <row r="5786" hidden="1">
      <c r="A5786" s="2">
        <f>IFERROR(__xludf.DUMMYFUNCTION("""COMPUTED_VALUE"""),44612.0)</f>
        <v>44612</v>
      </c>
      <c r="B5786" s="2">
        <f>IFERROR(__xludf.DUMMYFUNCTION("""COMPUTED_VALUE"""),0.0)</f>
        <v>0</v>
      </c>
      <c r="C5786" s="2">
        <f>IFERROR(__xludf.DUMMYFUNCTION("""COMPUTED_VALUE"""),889.0)</f>
        <v>889</v>
      </c>
      <c r="D5786" s="3">
        <f>IFERROR(__xludf.DUMMYFUNCTION("""COMPUTED_VALUE"""),555.0)</f>
        <v>555</v>
      </c>
      <c r="E5786" s="1" t="str">
        <f t="array" ref="E5786">_xlfn.XLOOKUP(A5786,Product!A:A,Product!B:B,"Bulunamadı")</f>
        <v>Tech</v>
      </c>
      <c r="F5786" s="1" t="str">
        <f t="array" ref="F5786">_xlfn.XLOOKUP(A5786,Product!A:A,Product!C:C,"Bulunamadı")</f>
        <v>Psychiatry</v>
      </c>
      <c r="G5786" s="2" t="str">
        <f t="array" ref="G5786">_xlfn.XLOOKUP(A5787,Product!A:A,Product!D:D,"Bulunamadı")</f>
        <v>Silverbridge Publishing House</v>
      </c>
      <c r="H5786" s="2">
        <f t="array" ref="H5786">_xlfn.XLOOKUP(A5788,Product!A:A,Product!E:E,"Bulunamadı")</f>
        <v>1.69</v>
      </c>
      <c r="I5786" s="2" t="str">
        <f t="shared" si="1"/>
        <v>44612 - Tech - Psychiatry</v>
      </c>
      <c r="J5786" s="2">
        <f t="shared" si="2"/>
        <v>937.95</v>
      </c>
      <c r="K5786" s="17">
        <f t="shared" si="3"/>
        <v>1</v>
      </c>
      <c r="L5786" s="18"/>
    </row>
    <row r="5787" hidden="1">
      <c r="A5787" s="2">
        <f>IFERROR(__xludf.DUMMYFUNCTION("""COMPUTED_VALUE"""),124684.0)</f>
        <v>124684</v>
      </c>
      <c r="B5787" s="2">
        <f>IFERROR(__xludf.DUMMYFUNCTION("""COMPUTED_VALUE"""),0.0)</f>
        <v>0</v>
      </c>
      <c r="C5787" s="2">
        <f>IFERROR(__xludf.DUMMYFUNCTION("""COMPUTED_VALUE"""),678.0)</f>
        <v>678</v>
      </c>
      <c r="D5787" s="3">
        <f>IFERROR(__xludf.DUMMYFUNCTION("""COMPUTED_VALUE"""),307.0)</f>
        <v>307</v>
      </c>
      <c r="E5787" s="1" t="str">
        <f t="array" ref="E5787">_xlfn.XLOOKUP(A5787,Product!A:A,Product!B:B,"Bulunamadı")</f>
        <v>Tech</v>
      </c>
      <c r="F5787" s="1" t="str">
        <f t="array" ref="F5787">_xlfn.XLOOKUP(A5787,Product!A:A,Product!C:C,"Bulunamadı")</f>
        <v>Psychiatry</v>
      </c>
      <c r="G5787" s="2" t="str">
        <f t="array" ref="G5787">_xlfn.XLOOKUP(A5788,Product!A:A,Product!D:D,"Bulunamadı")</f>
        <v>Northbridge Publishing House</v>
      </c>
      <c r="H5787" s="2">
        <f t="array" ref="H5787">_xlfn.XLOOKUP(A5789,Product!A:A,Product!E:E,"Bulunamadı")</f>
        <v>2.92</v>
      </c>
      <c r="I5787" s="2" t="str">
        <f t="shared" si="1"/>
        <v>124684 - Tech - Psychiatry</v>
      </c>
      <c r="J5787" s="2">
        <f t="shared" si="2"/>
        <v>896.44</v>
      </c>
      <c r="K5787" s="17">
        <f t="shared" si="3"/>
        <v>1</v>
      </c>
      <c r="L5787" s="18"/>
    </row>
    <row r="5788" hidden="1">
      <c r="A5788" s="2">
        <f>IFERROR(__xludf.DUMMYFUNCTION("""COMPUTED_VALUE"""),112365.0)</f>
        <v>112365</v>
      </c>
      <c r="B5788" s="2">
        <f>IFERROR(__xludf.DUMMYFUNCTION("""COMPUTED_VALUE"""),0.0)</f>
        <v>0</v>
      </c>
      <c r="C5788" s="2">
        <f>IFERROR(__xludf.DUMMYFUNCTION("""COMPUTED_VALUE"""),251.0)</f>
        <v>251</v>
      </c>
      <c r="D5788" s="3">
        <f>IFERROR(__xludf.DUMMYFUNCTION("""COMPUTED_VALUE"""),70.0)</f>
        <v>70</v>
      </c>
      <c r="E5788" s="1" t="str">
        <f t="array" ref="E5788">_xlfn.XLOOKUP(A5788,Product!A:A,Product!B:B,"Bulunamadı")</f>
        <v>Tech</v>
      </c>
      <c r="F5788" s="1" t="str">
        <f t="array" ref="F5788">_xlfn.XLOOKUP(A5788,Product!A:A,Product!C:C,"Bulunamadı")</f>
        <v>Psychiatry</v>
      </c>
      <c r="G5788" s="2" t="str">
        <f t="array" ref="G5788">_xlfn.XLOOKUP(A5789,Product!A:A,Product!D:D,"Bulunamadı")</f>
        <v>Northbridge Publishing House</v>
      </c>
      <c r="H5788" s="2">
        <f t="array" ref="H5788">_xlfn.XLOOKUP(A5790,Product!A:A,Product!E:E,"Bulunamadı")</f>
        <v>2.23</v>
      </c>
      <c r="I5788" s="2" t="str">
        <f t="shared" si="1"/>
        <v>112365 - Tech - Psychiatry</v>
      </c>
      <c r="J5788" s="2">
        <f t="shared" si="2"/>
        <v>156.1</v>
      </c>
      <c r="K5788" s="17">
        <f t="shared" si="3"/>
        <v>1</v>
      </c>
      <c r="L5788" s="18"/>
    </row>
    <row r="5789" hidden="1">
      <c r="A5789" s="2">
        <f>IFERROR(__xludf.DUMMYFUNCTION("""COMPUTED_VALUE"""),41038.0)</f>
        <v>41038</v>
      </c>
      <c r="B5789" s="2">
        <f>IFERROR(__xludf.DUMMYFUNCTION("""COMPUTED_VALUE"""),1.0)</f>
        <v>1</v>
      </c>
      <c r="C5789" s="2">
        <f>IFERROR(__xludf.DUMMYFUNCTION("""COMPUTED_VALUE"""),888.0)</f>
        <v>888</v>
      </c>
      <c r="D5789" s="3">
        <f>IFERROR(__xludf.DUMMYFUNCTION("""COMPUTED_VALUE"""),371.0)</f>
        <v>371</v>
      </c>
      <c r="E5789" s="1" t="str">
        <f t="array" ref="E5789">_xlfn.XLOOKUP(A5789,Product!A:A,Product!B:B,"Bulunamadı")</f>
        <v>Tech</v>
      </c>
      <c r="F5789" s="1" t="str">
        <f t="array" ref="F5789">_xlfn.XLOOKUP(A5789,Product!A:A,Product!C:C,"Bulunamadı")</f>
        <v>Psychiatry</v>
      </c>
      <c r="G5789" s="2" t="str">
        <f t="array" ref="G5789">_xlfn.XLOOKUP(A5790,Product!A:A,Product!D:D,"Bulunamadı")</f>
        <v>Northbridge Publishing House</v>
      </c>
      <c r="H5789" s="2">
        <f t="array" ref="H5789">_xlfn.XLOOKUP(A5791,Product!A:A,Product!E:E,"Bulunamadı")</f>
        <v>11.67</v>
      </c>
      <c r="I5789" s="2" t="str">
        <f t="shared" si="1"/>
        <v>41038 - Tech - Psychiatry</v>
      </c>
      <c r="J5789" s="2">
        <f t="shared" si="2"/>
        <v>4329.57</v>
      </c>
      <c r="K5789" s="17">
        <f t="shared" si="3"/>
        <v>1</v>
      </c>
      <c r="L5789" s="18"/>
    </row>
    <row r="5790" hidden="1">
      <c r="A5790" s="2">
        <f>IFERROR(__xludf.DUMMYFUNCTION("""COMPUTED_VALUE"""),87761.0)</f>
        <v>87761</v>
      </c>
      <c r="B5790" s="2">
        <f>IFERROR(__xludf.DUMMYFUNCTION("""COMPUTED_VALUE"""),0.0)</f>
        <v>0</v>
      </c>
      <c r="C5790" s="2">
        <f>IFERROR(__xludf.DUMMYFUNCTION("""COMPUTED_VALUE"""),91.0)</f>
        <v>91</v>
      </c>
      <c r="D5790" s="3">
        <f>IFERROR(__xludf.DUMMYFUNCTION("""COMPUTED_VALUE"""),35.0)</f>
        <v>35</v>
      </c>
      <c r="E5790" s="1" t="str">
        <f t="array" ref="E5790">_xlfn.XLOOKUP(A5790,Product!A:A,Product!B:B,"Bulunamadı")</f>
        <v>Tech</v>
      </c>
      <c r="F5790" s="1" t="str">
        <f t="array" ref="F5790">_xlfn.XLOOKUP(A5790,Product!A:A,Product!C:C,"Bulunamadı")</f>
        <v>Psychiatry</v>
      </c>
      <c r="G5790" s="2" t="str">
        <f t="array" ref="G5790">_xlfn.XLOOKUP(A5791,Product!A:A,Product!D:D,"Bulunamadı")</f>
        <v>Northbridge Publishing House</v>
      </c>
      <c r="H5790" s="2">
        <f t="array" ref="H5790">_xlfn.XLOOKUP(A5792,Product!A:A,Product!E:E,"Bulunamadı")</f>
        <v>3.49</v>
      </c>
      <c r="I5790" s="2" t="str">
        <f t="shared" si="1"/>
        <v>87761 - Tech - Psychiatry</v>
      </c>
      <c r="J5790" s="2">
        <f t="shared" si="2"/>
        <v>122.15</v>
      </c>
      <c r="K5790" s="17">
        <f t="shared" si="3"/>
        <v>1</v>
      </c>
      <c r="L5790" s="18"/>
    </row>
    <row r="5791" hidden="1">
      <c r="A5791" s="2">
        <f>IFERROR(__xludf.DUMMYFUNCTION("""COMPUTED_VALUE"""),106590.0)</f>
        <v>106590</v>
      </c>
      <c r="B5791" s="2">
        <f>IFERROR(__xludf.DUMMYFUNCTION("""COMPUTED_VALUE"""),1.0)</f>
        <v>1</v>
      </c>
      <c r="C5791" s="2">
        <f>IFERROR(__xludf.DUMMYFUNCTION("""COMPUTED_VALUE"""),529.0)</f>
        <v>529</v>
      </c>
      <c r="D5791" s="3">
        <f>IFERROR(__xludf.DUMMYFUNCTION("""COMPUTED_VALUE"""),53.0)</f>
        <v>53</v>
      </c>
      <c r="E5791" s="1" t="str">
        <f t="array" ref="E5791">_xlfn.XLOOKUP(A5791,Product!A:A,Product!B:B,"Bulunamadı")</f>
        <v>Tech</v>
      </c>
      <c r="F5791" s="1" t="str">
        <f t="array" ref="F5791">_xlfn.XLOOKUP(A5791,Product!A:A,Product!C:C,"Bulunamadı")</f>
        <v>Psychiatry</v>
      </c>
      <c r="G5791" s="2" t="str">
        <f t="array" ref="G5791">_xlfn.XLOOKUP(A5792,Product!A:A,Product!D:D,"Bulunamadı")</f>
        <v>Northbridge Publishing House</v>
      </c>
      <c r="H5791" s="2">
        <f t="array" ref="H5791">_xlfn.XLOOKUP(A5793,Product!A:A,Product!E:E,"Bulunamadı")</f>
        <v>19.76</v>
      </c>
      <c r="I5791" s="2" t="str">
        <f t="shared" si="1"/>
        <v>106590 - Tech - Psychiatry</v>
      </c>
      <c r="J5791" s="2">
        <f t="shared" si="2"/>
        <v>1047.28</v>
      </c>
      <c r="K5791" s="17">
        <f t="shared" si="3"/>
        <v>1</v>
      </c>
      <c r="L5791" s="18"/>
    </row>
    <row r="5792" hidden="1">
      <c r="A5792" s="2">
        <f>IFERROR(__xludf.DUMMYFUNCTION("""COMPUTED_VALUE"""),85734.0)</f>
        <v>85734</v>
      </c>
      <c r="B5792" s="2">
        <f>IFERROR(__xludf.DUMMYFUNCTION("""COMPUTED_VALUE"""),1.0)</f>
        <v>1</v>
      </c>
      <c r="C5792" s="2">
        <f>IFERROR(__xludf.DUMMYFUNCTION("""COMPUTED_VALUE"""),886.0)</f>
        <v>886</v>
      </c>
      <c r="D5792" s="3">
        <f>IFERROR(__xludf.DUMMYFUNCTION("""COMPUTED_VALUE"""),513.0)</f>
        <v>513</v>
      </c>
      <c r="E5792" s="1" t="str">
        <f t="array" ref="E5792">_xlfn.XLOOKUP(A5792,Product!A:A,Product!B:B,"Bulunamadı")</f>
        <v>Tech</v>
      </c>
      <c r="F5792" s="1" t="str">
        <f t="array" ref="F5792">_xlfn.XLOOKUP(A5792,Product!A:A,Product!C:C,"Bulunamadı")</f>
        <v>Psychiatry</v>
      </c>
      <c r="G5792" s="2" t="str">
        <f t="array" ref="G5792">_xlfn.XLOOKUP(A5793,Product!A:A,Product!D:D,"Bulunamadı")</f>
        <v>Northbridge Publishing House</v>
      </c>
      <c r="H5792" s="2">
        <f t="array" ref="H5792">_xlfn.XLOOKUP(A5794,Product!A:A,Product!E:E,"Bulunamadı")</f>
        <v>5.66</v>
      </c>
      <c r="I5792" s="2" t="str">
        <f t="shared" si="1"/>
        <v>85734 - Tech - Psychiatry</v>
      </c>
      <c r="J5792" s="2">
        <f t="shared" si="2"/>
        <v>2903.58</v>
      </c>
      <c r="K5792" s="17">
        <f t="shared" si="3"/>
        <v>1</v>
      </c>
      <c r="L5792" s="18"/>
    </row>
    <row r="5793" hidden="1">
      <c r="A5793" s="2">
        <f>IFERROR(__xludf.DUMMYFUNCTION("""COMPUTED_VALUE"""),122511.0)</f>
        <v>122511</v>
      </c>
      <c r="B5793" s="2">
        <f>IFERROR(__xludf.DUMMYFUNCTION("""COMPUTED_VALUE"""),1.0)</f>
        <v>1</v>
      </c>
      <c r="C5793" s="2">
        <f>IFERROR(__xludf.DUMMYFUNCTION("""COMPUTED_VALUE"""),230.0)</f>
        <v>230</v>
      </c>
      <c r="D5793" s="3">
        <f>IFERROR(__xludf.DUMMYFUNCTION("""COMPUTED_VALUE"""),67.0)</f>
        <v>67</v>
      </c>
      <c r="E5793" s="1" t="str">
        <f t="array" ref="E5793">_xlfn.XLOOKUP(A5793,Product!A:A,Product!B:B,"Bulunamadı")</f>
        <v>Tech</v>
      </c>
      <c r="F5793" s="1" t="str">
        <f t="array" ref="F5793">_xlfn.XLOOKUP(A5793,Product!A:A,Product!C:C,"Bulunamadı")</f>
        <v>Psychiatry</v>
      </c>
      <c r="G5793" s="2" t="str">
        <f t="array" ref="G5793">_xlfn.XLOOKUP(A5794,Product!A:A,Product!D:D,"Bulunamadı")</f>
        <v>Northbridge Publishing House</v>
      </c>
      <c r="H5793" s="2">
        <f t="array" ref="H5793">_xlfn.XLOOKUP(A5795,Product!A:A,Product!E:E,"Bulunamadı")</f>
        <v>3.53</v>
      </c>
      <c r="I5793" s="2" t="str">
        <f t="shared" si="1"/>
        <v>122511 - Tech - Psychiatry</v>
      </c>
      <c r="J5793" s="2">
        <f t="shared" si="2"/>
        <v>236.51</v>
      </c>
      <c r="K5793" s="17">
        <f t="shared" si="3"/>
        <v>1</v>
      </c>
      <c r="L5793" s="18"/>
    </row>
    <row r="5794" hidden="1">
      <c r="A5794" s="2">
        <f>IFERROR(__xludf.DUMMYFUNCTION("""COMPUTED_VALUE"""),2335.0)</f>
        <v>2335</v>
      </c>
      <c r="B5794" s="2">
        <f>IFERROR(__xludf.DUMMYFUNCTION("""COMPUTED_VALUE"""),0.0)</f>
        <v>0</v>
      </c>
      <c r="C5794" s="2">
        <f>IFERROR(__xludf.DUMMYFUNCTION("""COMPUTED_VALUE"""),862.0)</f>
        <v>862</v>
      </c>
      <c r="D5794" s="3">
        <f>IFERROR(__xludf.DUMMYFUNCTION("""COMPUTED_VALUE"""),542.0)</f>
        <v>542</v>
      </c>
      <c r="E5794" s="1" t="str">
        <f t="array" ref="E5794">_xlfn.XLOOKUP(A5794,Product!A:A,Product!B:B,"Bulunamadı")</f>
        <v>Tech</v>
      </c>
      <c r="F5794" s="1" t="str">
        <f t="array" ref="F5794">_xlfn.XLOOKUP(A5794,Product!A:A,Product!C:C,"Bulunamadı")</f>
        <v>Psychiatry</v>
      </c>
      <c r="G5794" s="2" t="str">
        <f t="array" ref="G5794">_xlfn.XLOOKUP(A5795,Product!A:A,Product!D:D,"Bulunamadı")</f>
        <v>Northbridge Publishing House</v>
      </c>
      <c r="H5794" s="2">
        <f t="array" ref="H5794">_xlfn.XLOOKUP(A5796,Product!A:A,Product!E:E,"Bulunamadı")</f>
        <v>8.68</v>
      </c>
      <c r="I5794" s="2" t="str">
        <f t="shared" si="1"/>
        <v>2335 - Tech - Psychiatry</v>
      </c>
      <c r="J5794" s="2">
        <f t="shared" si="2"/>
        <v>4704.56</v>
      </c>
      <c r="K5794" s="17">
        <f t="shared" si="3"/>
        <v>1</v>
      </c>
      <c r="L5794" s="18"/>
    </row>
    <row r="5795" hidden="1">
      <c r="A5795" s="2">
        <f>IFERROR(__xludf.DUMMYFUNCTION("""COMPUTED_VALUE"""),2339.0)</f>
        <v>2339</v>
      </c>
      <c r="B5795" s="2">
        <f>IFERROR(__xludf.DUMMYFUNCTION("""COMPUTED_VALUE"""),0.0)</f>
        <v>0</v>
      </c>
      <c r="C5795" s="2">
        <f>IFERROR(__xludf.DUMMYFUNCTION("""COMPUTED_VALUE"""),685.0)</f>
        <v>685</v>
      </c>
      <c r="D5795" s="3">
        <f>IFERROR(__xludf.DUMMYFUNCTION("""COMPUTED_VALUE"""),146.0)</f>
        <v>146</v>
      </c>
      <c r="E5795" s="1" t="str">
        <f t="array" ref="E5795">_xlfn.XLOOKUP(A5795,Product!A:A,Product!B:B,"Bulunamadı")</f>
        <v>Tech</v>
      </c>
      <c r="F5795" s="1" t="str">
        <f t="array" ref="F5795">_xlfn.XLOOKUP(A5795,Product!A:A,Product!C:C,"Bulunamadı")</f>
        <v>Psychiatry</v>
      </c>
      <c r="G5795" s="2" t="str">
        <f t="array" ref="G5795">_xlfn.XLOOKUP(A5796,Product!A:A,Product!D:D,"Bulunamadı")</f>
        <v>Northbridge Publishing House</v>
      </c>
      <c r="H5795" s="2">
        <f t="array" ref="H5795">_xlfn.XLOOKUP(A5797,Product!A:A,Product!E:E,"Bulunamadı")</f>
        <v>5.62</v>
      </c>
      <c r="I5795" s="2" t="str">
        <f t="shared" si="1"/>
        <v>2339 - Tech - Psychiatry</v>
      </c>
      <c r="J5795" s="2">
        <f t="shared" si="2"/>
        <v>820.52</v>
      </c>
      <c r="K5795" s="17">
        <f t="shared" si="3"/>
        <v>1</v>
      </c>
      <c r="L5795" s="18"/>
    </row>
    <row r="5796" hidden="1">
      <c r="A5796" s="2">
        <f>IFERROR(__xludf.DUMMYFUNCTION("""COMPUTED_VALUE"""),108468.0)</f>
        <v>108468</v>
      </c>
      <c r="B5796" s="2">
        <f>IFERROR(__xludf.DUMMYFUNCTION("""COMPUTED_VALUE"""),1.0)</f>
        <v>1</v>
      </c>
      <c r="C5796" s="2">
        <f>IFERROR(__xludf.DUMMYFUNCTION("""COMPUTED_VALUE"""),36.0)</f>
        <v>36</v>
      </c>
      <c r="D5796" s="3">
        <f>IFERROR(__xludf.DUMMYFUNCTION("""COMPUTED_VALUE"""),3.0)</f>
        <v>3</v>
      </c>
      <c r="E5796" s="1" t="str">
        <f t="array" ref="E5796">_xlfn.XLOOKUP(A5796,Product!A:A,Product!B:B,"Bulunamadı")</f>
        <v>Tech</v>
      </c>
      <c r="F5796" s="1" t="str">
        <f t="array" ref="F5796">_xlfn.XLOOKUP(A5796,Product!A:A,Product!C:C,"Bulunamadı")</f>
        <v>Psychiatry</v>
      </c>
      <c r="G5796" s="2" t="str">
        <f t="array" ref="G5796">_xlfn.XLOOKUP(A5797,Product!A:A,Product!D:D,"Bulunamadı")</f>
        <v>Northbridge Publishing House</v>
      </c>
      <c r="H5796" s="2">
        <f t="array" ref="H5796">_xlfn.XLOOKUP(A5798,Product!A:A,Product!E:E,"Bulunamadı")</f>
        <v>6.11</v>
      </c>
      <c r="I5796" s="2" t="str">
        <f t="shared" si="1"/>
        <v>108468 - Tech - Psychiatry</v>
      </c>
      <c r="J5796" s="2">
        <f t="shared" si="2"/>
        <v>18.33</v>
      </c>
      <c r="K5796" s="17">
        <f t="shared" si="3"/>
        <v>1</v>
      </c>
      <c r="L5796" s="18"/>
    </row>
    <row r="5797" hidden="1">
      <c r="A5797" s="2">
        <f>IFERROR(__xludf.DUMMYFUNCTION("""COMPUTED_VALUE"""),3439.0)</f>
        <v>3439</v>
      </c>
      <c r="B5797" s="2">
        <f>IFERROR(__xludf.DUMMYFUNCTION("""COMPUTED_VALUE"""),1.0)</f>
        <v>1</v>
      </c>
      <c r="C5797" s="2">
        <f>IFERROR(__xludf.DUMMYFUNCTION("""COMPUTED_VALUE"""),336.0)</f>
        <v>336</v>
      </c>
      <c r="D5797" s="3">
        <f>IFERROR(__xludf.DUMMYFUNCTION("""COMPUTED_VALUE"""),57.0)</f>
        <v>57</v>
      </c>
      <c r="E5797" s="1" t="str">
        <f t="array" ref="E5797">_xlfn.XLOOKUP(A5797,Product!A:A,Product!B:B,"Bulunamadı")</f>
        <v>Tech</v>
      </c>
      <c r="F5797" s="1" t="str">
        <f t="array" ref="F5797">_xlfn.XLOOKUP(A5797,Product!A:A,Product!C:C,"Bulunamadı")</f>
        <v>Psychiatry</v>
      </c>
      <c r="G5797" s="2" t="str">
        <f t="array" ref="G5797">_xlfn.XLOOKUP(A5798,Product!A:A,Product!D:D,"Bulunamadı")</f>
        <v>Harborbridge Publishing House</v>
      </c>
      <c r="H5797" s="2">
        <f t="array" ref="H5797">_xlfn.XLOOKUP(A5799,Product!A:A,Product!E:E,"Bulunamadı")</f>
        <v>5.39</v>
      </c>
      <c r="I5797" s="2" t="str">
        <f t="shared" si="1"/>
        <v>3439 - Tech - Psychiatry</v>
      </c>
      <c r="J5797" s="2">
        <f t="shared" si="2"/>
        <v>307.23</v>
      </c>
      <c r="K5797" s="17">
        <f t="shared" si="3"/>
        <v>1</v>
      </c>
      <c r="L5797" s="18"/>
    </row>
    <row r="5798" hidden="1">
      <c r="A5798" s="2">
        <f>IFERROR(__xludf.DUMMYFUNCTION("""COMPUTED_VALUE"""),2044.0)</f>
        <v>2044</v>
      </c>
      <c r="B5798" s="2">
        <f>IFERROR(__xludf.DUMMYFUNCTION("""COMPUTED_VALUE"""),0.0)</f>
        <v>0</v>
      </c>
      <c r="C5798" s="2">
        <f>IFERROR(__xludf.DUMMYFUNCTION("""COMPUTED_VALUE"""),32.0)</f>
        <v>32</v>
      </c>
      <c r="D5798" s="3">
        <f>IFERROR(__xludf.DUMMYFUNCTION("""COMPUTED_VALUE"""),24.0)</f>
        <v>24</v>
      </c>
      <c r="E5798" s="1" t="str">
        <f t="array" ref="E5798">_xlfn.XLOOKUP(A5798,Product!A:A,Product!B:B,"Bulunamadı")</f>
        <v>Tech</v>
      </c>
      <c r="F5798" s="1" t="str">
        <f t="array" ref="F5798">_xlfn.XLOOKUP(A5798,Product!A:A,Product!C:C,"Bulunamadı")</f>
        <v>Psychiatry</v>
      </c>
      <c r="G5798" s="2" t="str">
        <f t="array" ref="G5798">_xlfn.XLOOKUP(A5799,Product!A:A,Product!D:D,"Bulunamadı")</f>
        <v>Harborbridge Publishing House</v>
      </c>
      <c r="H5798" s="2">
        <f t="array" ref="H5798">_xlfn.XLOOKUP(A5800,Product!A:A,Product!E:E,"Bulunamadı")</f>
        <v>6.21</v>
      </c>
      <c r="I5798" s="2" t="str">
        <f t="shared" si="1"/>
        <v>2044 - Tech - Psychiatry</v>
      </c>
      <c r="J5798" s="2">
        <f t="shared" si="2"/>
        <v>149.04</v>
      </c>
      <c r="K5798" s="17">
        <f t="shared" si="3"/>
        <v>1</v>
      </c>
      <c r="L5798" s="18"/>
    </row>
    <row r="5799" hidden="1">
      <c r="A5799" s="2">
        <f>IFERROR(__xludf.DUMMYFUNCTION("""COMPUTED_VALUE"""),188354.0)</f>
        <v>188354</v>
      </c>
      <c r="B5799" s="2">
        <f>IFERROR(__xludf.DUMMYFUNCTION("""COMPUTED_VALUE"""),0.0)</f>
        <v>0</v>
      </c>
      <c r="C5799" s="2">
        <f>IFERROR(__xludf.DUMMYFUNCTION("""COMPUTED_VALUE"""),664.0)</f>
        <v>664</v>
      </c>
      <c r="D5799" s="3">
        <f>IFERROR(__xludf.DUMMYFUNCTION("""COMPUTED_VALUE"""),242.0)</f>
        <v>242</v>
      </c>
      <c r="E5799" s="1" t="str">
        <f t="array" ref="E5799">_xlfn.XLOOKUP(A5799,Product!A:A,Product!B:B,"Bulunamadı")</f>
        <v>Tech</v>
      </c>
      <c r="F5799" s="1" t="str">
        <f t="array" ref="F5799">_xlfn.XLOOKUP(A5799,Product!A:A,Product!C:C,"Bulunamadı")</f>
        <v>Psychiatry</v>
      </c>
      <c r="G5799" s="2" t="str">
        <f t="array" ref="G5799">_xlfn.XLOOKUP(A5800,Product!A:A,Product!D:D,"Bulunamadı")</f>
        <v>Harborbridge Publishing House</v>
      </c>
      <c r="H5799" s="2">
        <f t="array" ref="H5799">_xlfn.XLOOKUP(A5801,Product!A:A,Product!E:E,"Bulunamadı")</f>
        <v>2.76</v>
      </c>
      <c r="I5799" s="2" t="str">
        <f t="shared" si="1"/>
        <v>188354 - Tech - Psychiatry</v>
      </c>
      <c r="J5799" s="2">
        <f t="shared" si="2"/>
        <v>667.92</v>
      </c>
      <c r="K5799" s="17">
        <f t="shared" si="3"/>
        <v>1</v>
      </c>
      <c r="L5799" s="18"/>
    </row>
    <row r="5800" hidden="1">
      <c r="A5800" s="2">
        <f>IFERROR(__xludf.DUMMYFUNCTION("""COMPUTED_VALUE"""),27848.0)</f>
        <v>27848</v>
      </c>
      <c r="B5800" s="2">
        <f>IFERROR(__xludf.DUMMYFUNCTION("""COMPUTED_VALUE"""),1.0)</f>
        <v>1</v>
      </c>
      <c r="C5800" s="2">
        <f>IFERROR(__xludf.DUMMYFUNCTION("""COMPUTED_VALUE"""),896.0)</f>
        <v>896</v>
      </c>
      <c r="D5800" s="3">
        <f>IFERROR(__xludf.DUMMYFUNCTION("""COMPUTED_VALUE"""),490.0)</f>
        <v>490</v>
      </c>
      <c r="E5800" s="1" t="str">
        <f t="array" ref="E5800">_xlfn.XLOOKUP(A5800,Product!A:A,Product!B:B,"Bulunamadı")</f>
        <v>Tech</v>
      </c>
      <c r="F5800" s="1" t="str">
        <f t="array" ref="F5800">_xlfn.XLOOKUP(A5800,Product!A:A,Product!C:C,"Bulunamadı")</f>
        <v>Psychiatry</v>
      </c>
      <c r="G5800" s="2" t="str">
        <f t="array" ref="G5800">_xlfn.XLOOKUP(A5801,Product!A:A,Product!D:D,"Bulunamadı")</f>
        <v>Harborbridge Publishing House</v>
      </c>
      <c r="H5800" s="2">
        <f t="array" ref="H5800">_xlfn.XLOOKUP(A5802,Product!A:A,Product!E:E,"Bulunamadı")</f>
        <v>6.04</v>
      </c>
      <c r="I5800" s="2" t="str">
        <f t="shared" si="1"/>
        <v>27848 - Tech - Psychiatry</v>
      </c>
      <c r="J5800" s="2">
        <f t="shared" si="2"/>
        <v>2959.6</v>
      </c>
      <c r="K5800" s="17">
        <f t="shared" si="3"/>
        <v>1</v>
      </c>
      <c r="L5800" s="18"/>
    </row>
    <row r="5801" hidden="1">
      <c r="A5801" s="2">
        <f>IFERROR(__xludf.DUMMYFUNCTION("""COMPUTED_VALUE"""),45642.0)</f>
        <v>45642</v>
      </c>
      <c r="B5801" s="2">
        <f>IFERROR(__xludf.DUMMYFUNCTION("""COMPUTED_VALUE"""),0.0)</f>
        <v>0</v>
      </c>
      <c r="C5801" s="2">
        <f>IFERROR(__xludf.DUMMYFUNCTION("""COMPUTED_VALUE"""),364.0)</f>
        <v>364</v>
      </c>
      <c r="D5801" s="3">
        <f>IFERROR(__xludf.DUMMYFUNCTION("""COMPUTED_VALUE"""),135.0)</f>
        <v>135</v>
      </c>
      <c r="E5801" s="1" t="str">
        <f t="array" ref="E5801">_xlfn.XLOOKUP(A5801,Product!A:A,Product!B:B,"Bulunamadı")</f>
        <v>Tech</v>
      </c>
      <c r="F5801" s="1" t="str">
        <f t="array" ref="F5801">_xlfn.XLOOKUP(A5801,Product!A:A,Product!C:C,"Bulunamadı")</f>
        <v>Psychiatry</v>
      </c>
      <c r="G5801" s="2" t="str">
        <f t="array" ref="G5801">_xlfn.XLOOKUP(A5802,Product!A:A,Product!D:D,"Bulunamadı")</f>
        <v>Harborbridge Publishing House</v>
      </c>
      <c r="H5801" s="2">
        <f t="array" ref="H5801">_xlfn.XLOOKUP(A5803,Product!A:A,Product!E:E,"Bulunamadı")</f>
        <v>6.5</v>
      </c>
      <c r="I5801" s="2" t="str">
        <f t="shared" si="1"/>
        <v>45642 - Tech - Psychiatry</v>
      </c>
      <c r="J5801" s="2">
        <f t="shared" si="2"/>
        <v>877.5</v>
      </c>
      <c r="K5801" s="17">
        <f t="shared" si="3"/>
        <v>1</v>
      </c>
      <c r="L5801" s="18"/>
    </row>
    <row r="5802" hidden="1">
      <c r="A5802" s="2">
        <f>IFERROR(__xludf.DUMMYFUNCTION("""COMPUTED_VALUE"""),79815.0)</f>
        <v>79815</v>
      </c>
      <c r="B5802" s="2">
        <f>IFERROR(__xludf.DUMMYFUNCTION("""COMPUTED_VALUE"""),0.0)</f>
        <v>0</v>
      </c>
      <c r="C5802" s="2">
        <f>IFERROR(__xludf.DUMMYFUNCTION("""COMPUTED_VALUE"""),82.0)</f>
        <v>82</v>
      </c>
      <c r="D5802" s="3">
        <f>IFERROR(__xludf.DUMMYFUNCTION("""COMPUTED_VALUE"""),38.0)</f>
        <v>38</v>
      </c>
      <c r="E5802" s="1" t="str">
        <f t="array" ref="E5802">_xlfn.XLOOKUP(A5802,Product!A:A,Product!B:B,"Bulunamadı")</f>
        <v>Tech</v>
      </c>
      <c r="F5802" s="1" t="str">
        <f t="array" ref="F5802">_xlfn.XLOOKUP(A5802,Product!A:A,Product!C:C,"Bulunamadı")</f>
        <v>Psychiatry</v>
      </c>
      <c r="G5802" s="2" t="str">
        <f t="array" ref="G5802">_xlfn.XLOOKUP(A5803,Product!A:A,Product!D:D,"Bulunamadı")</f>
        <v>Harborbridge Publishing House</v>
      </c>
      <c r="H5802" s="2">
        <f t="array" ref="H5802">_xlfn.XLOOKUP(A5804,Product!A:A,Product!E:E,"Bulunamadı")</f>
        <v>6.27</v>
      </c>
      <c r="I5802" s="2" t="str">
        <f t="shared" si="1"/>
        <v>79815 - Tech - Psychiatry</v>
      </c>
      <c r="J5802" s="2">
        <f t="shared" si="2"/>
        <v>238.26</v>
      </c>
      <c r="K5802" s="17">
        <f t="shared" si="3"/>
        <v>1</v>
      </c>
      <c r="L5802" s="18"/>
    </row>
    <row r="5803" hidden="1">
      <c r="A5803" s="2">
        <f>IFERROR(__xludf.DUMMYFUNCTION("""COMPUTED_VALUE"""),87643.0)</f>
        <v>87643</v>
      </c>
      <c r="B5803" s="2">
        <f>IFERROR(__xludf.DUMMYFUNCTION("""COMPUTED_VALUE"""),1.0)</f>
        <v>1</v>
      </c>
      <c r="C5803" s="2">
        <f>IFERROR(__xludf.DUMMYFUNCTION("""COMPUTED_VALUE"""),81.0)</f>
        <v>81</v>
      </c>
      <c r="D5803" s="3">
        <f>IFERROR(__xludf.DUMMYFUNCTION("""COMPUTED_VALUE"""),54.0)</f>
        <v>54</v>
      </c>
      <c r="E5803" s="1" t="str">
        <f t="array" ref="E5803">_xlfn.XLOOKUP(A5803,Product!A:A,Product!B:B,"Bulunamadı")</f>
        <v>Tech</v>
      </c>
      <c r="F5803" s="1" t="str">
        <f t="array" ref="F5803">_xlfn.XLOOKUP(A5803,Product!A:A,Product!C:C,"Bulunamadı")</f>
        <v>Psychiatry</v>
      </c>
      <c r="G5803" s="2" t="str">
        <f t="array" ref="G5803">_xlfn.XLOOKUP(A5804,Product!A:A,Product!D:D,"Bulunamadı")</f>
        <v>Harborbridge Publishing House</v>
      </c>
      <c r="H5803" s="2">
        <f t="array" ref="H5803">_xlfn.XLOOKUP(A5805,Product!A:A,Product!E:E,"Bulunamadı")</f>
        <v>5.36</v>
      </c>
      <c r="I5803" s="2" t="str">
        <f t="shared" si="1"/>
        <v>87643 - Tech - Psychiatry</v>
      </c>
      <c r="J5803" s="2">
        <f t="shared" si="2"/>
        <v>289.44</v>
      </c>
      <c r="K5803" s="17">
        <f t="shared" si="3"/>
        <v>1</v>
      </c>
      <c r="L5803" s="18"/>
    </row>
    <row r="5804" hidden="1">
      <c r="A5804" s="2">
        <f>IFERROR(__xludf.DUMMYFUNCTION("""COMPUTED_VALUE"""),30501.0)</f>
        <v>30501</v>
      </c>
      <c r="B5804" s="2">
        <f>IFERROR(__xludf.DUMMYFUNCTION("""COMPUTED_VALUE"""),0.0)</f>
        <v>0</v>
      </c>
      <c r="C5804" s="2">
        <f>IFERROR(__xludf.DUMMYFUNCTION("""COMPUTED_VALUE"""),197.0)</f>
        <v>197</v>
      </c>
      <c r="D5804" s="3">
        <f>IFERROR(__xludf.DUMMYFUNCTION("""COMPUTED_VALUE"""),154.0)</f>
        <v>154</v>
      </c>
      <c r="E5804" s="1" t="str">
        <f t="array" ref="E5804">_xlfn.XLOOKUP(A5804,Product!A:A,Product!B:B,"Bulunamadı")</f>
        <v>Tech</v>
      </c>
      <c r="F5804" s="1" t="str">
        <f t="array" ref="F5804">_xlfn.XLOOKUP(A5804,Product!A:A,Product!C:C,"Bulunamadı")</f>
        <v>Psychiatry</v>
      </c>
      <c r="G5804" s="2" t="str">
        <f t="array" ref="G5804">_xlfn.XLOOKUP(A5805,Product!A:A,Product!D:D,"Bulunamadı")</f>
        <v>Harborbridge Publishing House</v>
      </c>
      <c r="H5804" s="2">
        <f t="array" ref="H5804">_xlfn.XLOOKUP(A5806,Product!A:A,Product!E:E,"Bulunamadı")</f>
        <v>5.2</v>
      </c>
      <c r="I5804" s="2" t="str">
        <f t="shared" si="1"/>
        <v>30501 - Tech - Psychiatry</v>
      </c>
      <c r="J5804" s="2">
        <f t="shared" si="2"/>
        <v>800.8</v>
      </c>
      <c r="K5804" s="17">
        <f t="shared" si="3"/>
        <v>1</v>
      </c>
      <c r="L5804" s="18"/>
    </row>
    <row r="5805" hidden="1">
      <c r="A5805" s="2">
        <f>IFERROR(__xludf.DUMMYFUNCTION("""COMPUTED_VALUE"""),118198.0)</f>
        <v>118198</v>
      </c>
      <c r="B5805" s="2">
        <f>IFERROR(__xludf.DUMMYFUNCTION("""COMPUTED_VALUE"""),1.0)</f>
        <v>1</v>
      </c>
      <c r="C5805" s="2">
        <f>IFERROR(__xludf.DUMMYFUNCTION("""COMPUTED_VALUE"""),708.0)</f>
        <v>708</v>
      </c>
      <c r="D5805" s="3">
        <f>IFERROR(__xludf.DUMMYFUNCTION("""COMPUTED_VALUE"""),474.0)</f>
        <v>474</v>
      </c>
      <c r="E5805" s="1" t="str">
        <f t="array" ref="E5805">_xlfn.XLOOKUP(A5805,Product!A:A,Product!B:B,"Bulunamadı")</f>
        <v>Tech</v>
      </c>
      <c r="F5805" s="1" t="str">
        <f t="array" ref="F5805">_xlfn.XLOOKUP(A5805,Product!A:A,Product!C:C,"Bulunamadı")</f>
        <v>Psychiatry</v>
      </c>
      <c r="G5805" s="2" t="str">
        <f t="array" ref="G5805">_xlfn.XLOOKUP(A5806,Product!A:A,Product!D:D,"Bulunamadı")</f>
        <v>Harborbridge Publishing House</v>
      </c>
      <c r="H5805" s="2">
        <f t="array" ref="H5805">_xlfn.XLOOKUP(A5807,Product!A:A,Product!E:E,"Bulunamadı")</f>
        <v>8.38</v>
      </c>
      <c r="I5805" s="2" t="str">
        <f t="shared" si="1"/>
        <v>118198 - Tech - Psychiatry</v>
      </c>
      <c r="J5805" s="2">
        <f t="shared" si="2"/>
        <v>3972.12</v>
      </c>
      <c r="K5805" s="17">
        <f t="shared" si="3"/>
        <v>1</v>
      </c>
      <c r="L5805" s="18"/>
    </row>
    <row r="5806" hidden="1">
      <c r="A5806" s="2">
        <f>IFERROR(__xludf.DUMMYFUNCTION("""COMPUTED_VALUE"""),4891.0)</f>
        <v>4891</v>
      </c>
      <c r="B5806" s="2">
        <f>IFERROR(__xludf.DUMMYFUNCTION("""COMPUTED_VALUE"""),1.0)</f>
        <v>1</v>
      </c>
      <c r="C5806" s="2">
        <f>IFERROR(__xludf.DUMMYFUNCTION("""COMPUTED_VALUE"""),204.0)</f>
        <v>204</v>
      </c>
      <c r="D5806" s="3">
        <f>IFERROR(__xludf.DUMMYFUNCTION("""COMPUTED_VALUE"""),38.0)</f>
        <v>38</v>
      </c>
      <c r="E5806" s="1" t="str">
        <f t="array" ref="E5806">_xlfn.XLOOKUP(A5806,Product!A:A,Product!B:B,"Bulunamadı")</f>
        <v>Tech</v>
      </c>
      <c r="F5806" s="1" t="str">
        <f t="array" ref="F5806">_xlfn.XLOOKUP(A5806,Product!A:A,Product!C:C,"Bulunamadı")</f>
        <v>Psychiatry</v>
      </c>
      <c r="G5806" s="2" t="str">
        <f t="array" ref="G5806">_xlfn.XLOOKUP(A5807,Product!A:A,Product!D:D,"Bulunamadı")</f>
        <v>Harborbridge Publishing House</v>
      </c>
      <c r="H5806" s="2">
        <f t="array" ref="H5806">_xlfn.XLOOKUP(A5808,Product!A:A,Product!E:E,"Bulunamadı")</f>
        <v>5.73</v>
      </c>
      <c r="I5806" s="2" t="str">
        <f t="shared" si="1"/>
        <v>4891 - Tech - Psychiatry</v>
      </c>
      <c r="J5806" s="2">
        <f t="shared" si="2"/>
        <v>217.74</v>
      </c>
      <c r="K5806" s="17">
        <f t="shared" si="3"/>
        <v>1</v>
      </c>
      <c r="L5806" s="18"/>
    </row>
    <row r="5807" hidden="1">
      <c r="A5807" s="2">
        <f>IFERROR(__xludf.DUMMYFUNCTION("""COMPUTED_VALUE"""),23050.0)</f>
        <v>23050</v>
      </c>
      <c r="B5807" s="2">
        <f>IFERROR(__xludf.DUMMYFUNCTION("""COMPUTED_VALUE"""),0.0)</f>
        <v>0</v>
      </c>
      <c r="C5807" s="2">
        <f>IFERROR(__xludf.DUMMYFUNCTION("""COMPUTED_VALUE"""),162.0)</f>
        <v>162</v>
      </c>
      <c r="D5807" s="3">
        <f>IFERROR(__xludf.DUMMYFUNCTION("""COMPUTED_VALUE"""),104.0)</f>
        <v>104</v>
      </c>
      <c r="E5807" s="1" t="str">
        <f t="array" ref="E5807">_xlfn.XLOOKUP(A5807,Product!A:A,Product!B:B,"Bulunamadı")</f>
        <v>Tech</v>
      </c>
      <c r="F5807" s="1" t="str">
        <f t="array" ref="F5807">_xlfn.XLOOKUP(A5807,Product!A:A,Product!C:C,"Bulunamadı")</f>
        <v>Psychiatry</v>
      </c>
      <c r="G5807" s="2" t="str">
        <f t="array" ref="G5807">_xlfn.XLOOKUP(A5808,Product!A:A,Product!D:D,"Bulunamadı")</f>
        <v>Harborbridge Publishing House</v>
      </c>
      <c r="H5807" s="2">
        <f t="array" ref="H5807">_xlfn.XLOOKUP(A5809,Product!A:A,Product!E:E,"Bulunamadı")</f>
        <v>4.7</v>
      </c>
      <c r="I5807" s="2" t="str">
        <f t="shared" si="1"/>
        <v>23050 - Tech - Psychiatry</v>
      </c>
      <c r="J5807" s="2">
        <f t="shared" si="2"/>
        <v>488.8</v>
      </c>
      <c r="K5807" s="17">
        <f t="shared" si="3"/>
        <v>1</v>
      </c>
      <c r="L5807" s="18"/>
    </row>
    <row r="5808" hidden="1">
      <c r="A5808" s="2">
        <f>IFERROR(__xludf.DUMMYFUNCTION("""COMPUTED_VALUE"""),94612.0)</f>
        <v>94612</v>
      </c>
      <c r="B5808" s="2">
        <f>IFERROR(__xludf.DUMMYFUNCTION("""COMPUTED_VALUE"""),1.0)</f>
        <v>1</v>
      </c>
      <c r="C5808" s="2">
        <f>IFERROR(__xludf.DUMMYFUNCTION("""COMPUTED_VALUE"""),435.0)</f>
        <v>435</v>
      </c>
      <c r="D5808" s="3">
        <f>IFERROR(__xludf.DUMMYFUNCTION("""COMPUTED_VALUE"""),163.0)</f>
        <v>163</v>
      </c>
      <c r="E5808" s="1" t="str">
        <f t="array" ref="E5808">_xlfn.XLOOKUP(A5808,Product!A:A,Product!B:B,"Bulunamadı")</f>
        <v>Tech</v>
      </c>
      <c r="F5808" s="1" t="str">
        <f t="array" ref="F5808">_xlfn.XLOOKUP(A5808,Product!A:A,Product!C:C,"Bulunamadı")</f>
        <v>Psychiatry</v>
      </c>
      <c r="G5808" s="2" t="str">
        <f t="array" ref="G5808">_xlfn.XLOOKUP(A5809,Product!A:A,Product!D:D,"Bulunamadı")</f>
        <v>Harborbridge Publishing House</v>
      </c>
      <c r="H5808" s="2">
        <f t="array" ref="H5808">_xlfn.XLOOKUP(A5810,Product!A:A,Product!E:E,"Bulunamadı")</f>
        <v>6.18</v>
      </c>
      <c r="I5808" s="2" t="str">
        <f t="shared" si="1"/>
        <v>94612 - Tech - Psychiatry</v>
      </c>
      <c r="J5808" s="2">
        <f t="shared" si="2"/>
        <v>1007.34</v>
      </c>
      <c r="K5808" s="17">
        <f t="shared" si="3"/>
        <v>1</v>
      </c>
      <c r="L5808" s="18"/>
    </row>
    <row r="5809" hidden="1">
      <c r="A5809" s="2">
        <f>IFERROR(__xludf.DUMMYFUNCTION("""COMPUTED_VALUE"""),109983.0)</f>
        <v>109983</v>
      </c>
      <c r="B5809" s="2">
        <f>IFERROR(__xludf.DUMMYFUNCTION("""COMPUTED_VALUE"""),0.0)</f>
        <v>0</v>
      </c>
      <c r="C5809" s="2">
        <f>IFERROR(__xludf.DUMMYFUNCTION("""COMPUTED_VALUE"""),651.0)</f>
        <v>651</v>
      </c>
      <c r="D5809" s="3">
        <f>IFERROR(__xludf.DUMMYFUNCTION("""COMPUTED_VALUE"""),417.0)</f>
        <v>417</v>
      </c>
      <c r="E5809" s="1" t="str">
        <f t="array" ref="E5809">_xlfn.XLOOKUP(A5809,Product!A:A,Product!B:B,"Bulunamadı")</f>
        <v>Tech</v>
      </c>
      <c r="F5809" s="1" t="str">
        <f t="array" ref="F5809">_xlfn.XLOOKUP(A5809,Product!A:A,Product!C:C,"Bulunamadı")</f>
        <v>Psychiatry</v>
      </c>
      <c r="G5809" s="2" t="str">
        <f t="array" ref="G5809">_xlfn.XLOOKUP(A5810,Product!A:A,Product!D:D,"Bulunamadı")</f>
        <v>Harborbridge Publishing House</v>
      </c>
      <c r="H5809" s="2">
        <f t="array" ref="H5809">_xlfn.XLOOKUP(A5811,Product!A:A,Product!E:E,"Bulunamadı")</f>
        <v>3.88</v>
      </c>
      <c r="I5809" s="2" t="str">
        <f t="shared" si="1"/>
        <v>109983 - Tech - Psychiatry</v>
      </c>
      <c r="J5809" s="2">
        <f t="shared" si="2"/>
        <v>1617.96</v>
      </c>
      <c r="K5809" s="17">
        <f t="shared" si="3"/>
        <v>1</v>
      </c>
      <c r="L5809" s="18"/>
    </row>
    <row r="5810" hidden="1">
      <c r="A5810" s="2">
        <f>IFERROR(__xludf.DUMMYFUNCTION("""COMPUTED_VALUE"""),110854.0)</f>
        <v>110854</v>
      </c>
      <c r="B5810" s="2">
        <f>IFERROR(__xludf.DUMMYFUNCTION("""COMPUTED_VALUE"""),1.0)</f>
        <v>1</v>
      </c>
      <c r="C5810" s="2">
        <f>IFERROR(__xludf.DUMMYFUNCTION("""COMPUTED_VALUE"""),-3.0)</f>
        <v>-3</v>
      </c>
      <c r="D5810" s="3">
        <f>IFERROR(__xludf.DUMMYFUNCTION("""COMPUTED_VALUE"""),0.0)</f>
        <v>0</v>
      </c>
      <c r="E5810" s="1" t="str">
        <f t="array" ref="E5810">_xlfn.XLOOKUP(A5810,Product!A:A,Product!B:B,"Bulunamadı")</f>
        <v>Tech</v>
      </c>
      <c r="F5810" s="1" t="str">
        <f t="array" ref="F5810">_xlfn.XLOOKUP(A5810,Product!A:A,Product!C:C,"Bulunamadı")</f>
        <v>Psychiatry</v>
      </c>
      <c r="G5810" s="2" t="str">
        <f t="array" ref="G5810">_xlfn.XLOOKUP(A5811,Product!A:A,Product!D:D,"Bulunamadı")</f>
        <v>Harborbridge Publishing House</v>
      </c>
      <c r="H5810" s="2">
        <f t="array" ref="H5810">_xlfn.XLOOKUP(A5812,Product!A:A,Product!E:E,"Bulunamadı")</f>
        <v>3.93</v>
      </c>
      <c r="I5810" s="2" t="str">
        <f t="shared" si="1"/>
        <v>110854 - Tech - Psychiatry</v>
      </c>
      <c r="J5810" s="2">
        <f t="shared" si="2"/>
        <v>0</v>
      </c>
      <c r="K5810" s="17">
        <f t="shared" si="3"/>
        <v>0</v>
      </c>
      <c r="L5810" s="18"/>
    </row>
    <row r="5811" hidden="1">
      <c r="A5811" s="2">
        <f>IFERROR(__xludf.DUMMYFUNCTION("""COMPUTED_VALUE"""),110414.0)</f>
        <v>110414</v>
      </c>
      <c r="B5811" s="2">
        <f>IFERROR(__xludf.DUMMYFUNCTION("""COMPUTED_VALUE"""),1.0)</f>
        <v>1</v>
      </c>
      <c r="C5811" s="2">
        <f>IFERROR(__xludf.DUMMYFUNCTION("""COMPUTED_VALUE"""),486.0)</f>
        <v>486</v>
      </c>
      <c r="D5811" s="3">
        <f>IFERROR(__xludf.DUMMYFUNCTION("""COMPUTED_VALUE"""),437.0)</f>
        <v>437</v>
      </c>
      <c r="E5811" s="1" t="str">
        <f t="array" ref="E5811">_xlfn.XLOOKUP(A5811,Product!A:A,Product!B:B,"Bulunamadı")</f>
        <v>Tech</v>
      </c>
      <c r="F5811" s="1" t="str">
        <f t="array" ref="F5811">_xlfn.XLOOKUP(A5811,Product!A:A,Product!C:C,"Bulunamadı")</f>
        <v>Psychiatry</v>
      </c>
      <c r="G5811" s="2" t="str">
        <f t="array" ref="G5811">_xlfn.XLOOKUP(A5812,Product!A:A,Product!D:D,"Bulunamadı")</f>
        <v>Harborbridge Publishing House</v>
      </c>
      <c r="H5811" s="2">
        <f t="array" ref="H5811">_xlfn.XLOOKUP(A5813,Product!A:A,Product!E:E,"Bulunamadı")</f>
        <v>5.86</v>
      </c>
      <c r="I5811" s="2" t="str">
        <f t="shared" si="1"/>
        <v>110414 - Tech - Psychiatry</v>
      </c>
      <c r="J5811" s="2">
        <f t="shared" si="2"/>
        <v>2560.82</v>
      </c>
      <c r="K5811" s="17">
        <f t="shared" si="3"/>
        <v>1</v>
      </c>
      <c r="L5811" s="18"/>
    </row>
    <row r="5812" hidden="1">
      <c r="A5812" s="2">
        <f>IFERROR(__xludf.DUMMYFUNCTION("""COMPUTED_VALUE"""),103631.0)</f>
        <v>103631</v>
      </c>
      <c r="B5812" s="2">
        <f>IFERROR(__xludf.DUMMYFUNCTION("""COMPUTED_VALUE"""),1.0)</f>
        <v>1</v>
      </c>
      <c r="C5812" s="2">
        <f>IFERROR(__xludf.DUMMYFUNCTION("""COMPUTED_VALUE"""),298.0)</f>
        <v>298</v>
      </c>
      <c r="D5812" s="3">
        <f>IFERROR(__xludf.DUMMYFUNCTION("""COMPUTED_VALUE"""),292.0)</f>
        <v>292</v>
      </c>
      <c r="E5812" s="1" t="str">
        <f t="array" ref="E5812">_xlfn.XLOOKUP(A5812,Product!A:A,Product!B:B,"Bulunamadı")</f>
        <v>Tech</v>
      </c>
      <c r="F5812" s="1" t="str">
        <f t="array" ref="F5812">_xlfn.XLOOKUP(A5812,Product!A:A,Product!C:C,"Bulunamadı")</f>
        <v>Psychiatry</v>
      </c>
      <c r="G5812" s="2" t="str">
        <f t="array" ref="G5812">_xlfn.XLOOKUP(A5813,Product!A:A,Product!D:D,"Bulunamadı")</f>
        <v>Harborbridge Publishing House</v>
      </c>
      <c r="H5812" s="2">
        <f t="array" ref="H5812">_xlfn.XLOOKUP(A5814,Product!A:A,Product!E:E,"Bulunamadı")</f>
        <v>3.73</v>
      </c>
      <c r="I5812" s="2" t="str">
        <f t="shared" si="1"/>
        <v>103631 - Tech - Psychiatry</v>
      </c>
      <c r="J5812" s="2">
        <f t="shared" si="2"/>
        <v>1089.16</v>
      </c>
      <c r="K5812" s="17">
        <f t="shared" si="3"/>
        <v>1</v>
      </c>
      <c r="L5812" s="18"/>
    </row>
    <row r="5813" hidden="1">
      <c r="A5813" s="2">
        <f>IFERROR(__xludf.DUMMYFUNCTION("""COMPUTED_VALUE"""),111009.0)</f>
        <v>111009</v>
      </c>
      <c r="B5813" s="2">
        <f>IFERROR(__xludf.DUMMYFUNCTION("""COMPUTED_VALUE"""),0.0)</f>
        <v>0</v>
      </c>
      <c r="C5813" s="2">
        <f>IFERROR(__xludf.DUMMYFUNCTION("""COMPUTED_VALUE"""),356.0)</f>
        <v>356</v>
      </c>
      <c r="D5813" s="3">
        <f>IFERROR(__xludf.DUMMYFUNCTION("""COMPUTED_VALUE"""),265.0)</f>
        <v>265</v>
      </c>
      <c r="E5813" s="1" t="str">
        <f t="array" ref="E5813">_xlfn.XLOOKUP(A5813,Product!A:A,Product!B:B,"Bulunamadı")</f>
        <v>Tech</v>
      </c>
      <c r="F5813" s="1" t="str">
        <f t="array" ref="F5813">_xlfn.XLOOKUP(A5813,Product!A:A,Product!C:C,"Bulunamadı")</f>
        <v>Psychiatry</v>
      </c>
      <c r="G5813" s="2" t="str">
        <f t="array" ref="G5813">_xlfn.XLOOKUP(A5814,Product!A:A,Product!D:D,"Bulunamadı")</f>
        <v>Harborbridge Publishing House</v>
      </c>
      <c r="H5813" s="2">
        <f t="array" ref="H5813">_xlfn.XLOOKUP(A5815,Product!A:A,Product!E:E,"Bulunamadı")</f>
        <v>9.23</v>
      </c>
      <c r="I5813" s="2" t="str">
        <f t="shared" si="1"/>
        <v>111009 - Tech - Psychiatry</v>
      </c>
      <c r="J5813" s="2">
        <f t="shared" si="2"/>
        <v>2445.95</v>
      </c>
      <c r="K5813" s="17">
        <f t="shared" si="3"/>
        <v>1</v>
      </c>
      <c r="L5813" s="18"/>
    </row>
    <row r="5814" hidden="1">
      <c r="A5814" s="2">
        <f>IFERROR(__xludf.DUMMYFUNCTION("""COMPUTED_VALUE"""),109213.0)</f>
        <v>109213</v>
      </c>
      <c r="B5814" s="2">
        <f>IFERROR(__xludf.DUMMYFUNCTION("""COMPUTED_VALUE"""),0.0)</f>
        <v>0</v>
      </c>
      <c r="C5814" s="2">
        <f>IFERROR(__xludf.DUMMYFUNCTION("""COMPUTED_VALUE"""),852.0)</f>
        <v>852</v>
      </c>
      <c r="D5814" s="3">
        <f>IFERROR(__xludf.DUMMYFUNCTION("""COMPUTED_VALUE"""),580.0)</f>
        <v>580</v>
      </c>
      <c r="E5814" s="1" t="str">
        <f t="array" ref="E5814">_xlfn.XLOOKUP(A5814,Product!A:A,Product!B:B,"Bulunamadı")</f>
        <v>Tech</v>
      </c>
      <c r="F5814" s="1" t="str">
        <f t="array" ref="F5814">_xlfn.XLOOKUP(A5814,Product!A:A,Product!C:C,"Bulunamadı")</f>
        <v>Psychiatry</v>
      </c>
      <c r="G5814" s="2" t="str">
        <f t="array" ref="G5814">_xlfn.XLOOKUP(A5815,Product!A:A,Product!D:D,"Bulunamadı")</f>
        <v>Harborbridge Publishing House</v>
      </c>
      <c r="H5814" s="2">
        <f t="array" ref="H5814">_xlfn.XLOOKUP(A5816,Product!A:A,Product!E:E,"Bulunamadı")</f>
        <v>6.72</v>
      </c>
      <c r="I5814" s="2" t="str">
        <f t="shared" si="1"/>
        <v>109213 - Tech - Psychiatry</v>
      </c>
      <c r="J5814" s="2">
        <f t="shared" si="2"/>
        <v>3897.6</v>
      </c>
      <c r="K5814" s="17">
        <f t="shared" si="3"/>
        <v>1</v>
      </c>
      <c r="L5814" s="18"/>
    </row>
    <row r="5815" hidden="1">
      <c r="A5815" s="2">
        <f>IFERROR(__xludf.DUMMYFUNCTION("""COMPUTED_VALUE"""),103847.0)</f>
        <v>103847</v>
      </c>
      <c r="B5815" s="2">
        <f>IFERROR(__xludf.DUMMYFUNCTION("""COMPUTED_VALUE"""),0.0)</f>
        <v>0</v>
      </c>
      <c r="C5815" s="2">
        <f>IFERROR(__xludf.DUMMYFUNCTION("""COMPUTED_VALUE"""),486.0)</f>
        <v>486</v>
      </c>
      <c r="D5815" s="3">
        <f>IFERROR(__xludf.DUMMYFUNCTION("""COMPUTED_VALUE"""),394.0)</f>
        <v>394</v>
      </c>
      <c r="E5815" s="1" t="str">
        <f t="array" ref="E5815">_xlfn.XLOOKUP(A5815,Product!A:A,Product!B:B,"Bulunamadı")</f>
        <v>Tech</v>
      </c>
      <c r="F5815" s="1" t="str">
        <f t="array" ref="F5815">_xlfn.XLOOKUP(A5815,Product!A:A,Product!C:C,"Bulunamadı")</f>
        <v>Psychiatry</v>
      </c>
      <c r="G5815" s="2" t="str">
        <f t="array" ref="G5815">_xlfn.XLOOKUP(A5816,Product!A:A,Product!D:D,"Bulunamadı")</f>
        <v>Harborbridge Publishing House</v>
      </c>
      <c r="H5815" s="2">
        <f t="array" ref="H5815">_xlfn.XLOOKUP(A5817,Product!A:A,Product!E:E,"Bulunamadı")</f>
        <v>4.01</v>
      </c>
      <c r="I5815" s="2" t="str">
        <f t="shared" si="1"/>
        <v>103847 - Tech - Psychiatry</v>
      </c>
      <c r="J5815" s="2">
        <f t="shared" si="2"/>
        <v>1579.94</v>
      </c>
      <c r="K5815" s="17">
        <f t="shared" si="3"/>
        <v>1</v>
      </c>
      <c r="L5815" s="18"/>
    </row>
    <row r="5816" hidden="1">
      <c r="A5816" s="2">
        <f>IFERROR(__xludf.DUMMYFUNCTION("""COMPUTED_VALUE"""),96156.0)</f>
        <v>96156</v>
      </c>
      <c r="B5816" s="2">
        <f>IFERROR(__xludf.DUMMYFUNCTION("""COMPUTED_VALUE"""),1.0)</f>
        <v>1</v>
      </c>
      <c r="C5816" s="2">
        <f>IFERROR(__xludf.DUMMYFUNCTION("""COMPUTED_VALUE"""),482.0)</f>
        <v>482</v>
      </c>
      <c r="D5816" s="3">
        <f>IFERROR(__xludf.DUMMYFUNCTION("""COMPUTED_VALUE"""),108.0)</f>
        <v>108</v>
      </c>
      <c r="E5816" s="1" t="str">
        <f t="array" ref="E5816">_xlfn.XLOOKUP(A5816,Product!A:A,Product!B:B,"Bulunamadı")</f>
        <v>Tech</v>
      </c>
      <c r="F5816" s="1" t="str">
        <f t="array" ref="F5816">_xlfn.XLOOKUP(A5816,Product!A:A,Product!C:C,"Bulunamadı")</f>
        <v>Psychiatry</v>
      </c>
      <c r="G5816" s="2" t="str">
        <f t="array" ref="G5816">_xlfn.XLOOKUP(A5817,Product!A:A,Product!D:D,"Bulunamadı")</f>
        <v>Harborbridge Publishing House</v>
      </c>
      <c r="H5816" s="2">
        <f t="array" ref="H5816">_xlfn.XLOOKUP(A5818,Product!A:A,Product!E:E,"Bulunamadı")</f>
        <v>9.38</v>
      </c>
      <c r="I5816" s="2" t="str">
        <f t="shared" si="1"/>
        <v>96156 - Tech - Psychiatry</v>
      </c>
      <c r="J5816" s="2">
        <f t="shared" si="2"/>
        <v>1013.04</v>
      </c>
      <c r="K5816" s="17">
        <f t="shared" si="3"/>
        <v>1</v>
      </c>
      <c r="L5816" s="18"/>
    </row>
    <row r="5817" hidden="1">
      <c r="A5817" s="2">
        <f>IFERROR(__xludf.DUMMYFUNCTION("""COMPUTED_VALUE"""),4887.0)</f>
        <v>4887</v>
      </c>
      <c r="B5817" s="2">
        <f>IFERROR(__xludf.DUMMYFUNCTION("""COMPUTED_VALUE"""),0.0)</f>
        <v>0</v>
      </c>
      <c r="C5817" s="2">
        <f>IFERROR(__xludf.DUMMYFUNCTION("""COMPUTED_VALUE"""),466.0)</f>
        <v>466</v>
      </c>
      <c r="D5817" s="3">
        <f>IFERROR(__xludf.DUMMYFUNCTION("""COMPUTED_VALUE"""),113.0)</f>
        <v>113</v>
      </c>
      <c r="E5817" s="1" t="str">
        <f t="array" ref="E5817">_xlfn.XLOOKUP(A5817,Product!A:A,Product!B:B,"Bulunamadı")</f>
        <v>Tech</v>
      </c>
      <c r="F5817" s="1" t="str">
        <f t="array" ref="F5817">_xlfn.XLOOKUP(A5817,Product!A:A,Product!C:C,"Bulunamadı")</f>
        <v>Psychiatry</v>
      </c>
      <c r="G5817" s="2" t="str">
        <f t="array" ref="G5817">_xlfn.XLOOKUP(A5818,Product!A:A,Product!D:D,"Bulunamadı")</f>
        <v>Harborbridge Publishing House</v>
      </c>
      <c r="H5817" s="2">
        <f t="array" ref="H5817">_xlfn.XLOOKUP(A5819,Product!A:A,Product!E:E,"Bulunamadı")</f>
        <v>4.21</v>
      </c>
      <c r="I5817" s="2" t="str">
        <f t="shared" si="1"/>
        <v>4887 - Tech - Psychiatry</v>
      </c>
      <c r="J5817" s="2">
        <f t="shared" si="2"/>
        <v>475.73</v>
      </c>
      <c r="K5817" s="17">
        <f t="shared" si="3"/>
        <v>1</v>
      </c>
      <c r="L5817" s="18"/>
    </row>
    <row r="5818" hidden="1">
      <c r="A5818" s="2">
        <f>IFERROR(__xludf.DUMMYFUNCTION("""COMPUTED_VALUE"""),92146.0)</f>
        <v>92146</v>
      </c>
      <c r="B5818" s="2">
        <f>IFERROR(__xludf.DUMMYFUNCTION("""COMPUTED_VALUE"""),0.0)</f>
        <v>0</v>
      </c>
      <c r="C5818" s="2">
        <f>IFERROR(__xludf.DUMMYFUNCTION("""COMPUTED_VALUE"""),806.0)</f>
        <v>806</v>
      </c>
      <c r="D5818" s="3">
        <f>IFERROR(__xludf.DUMMYFUNCTION("""COMPUTED_VALUE"""),56.0)</f>
        <v>56</v>
      </c>
      <c r="E5818" s="1" t="str">
        <f t="array" ref="E5818">_xlfn.XLOOKUP(A5818,Product!A:A,Product!B:B,"Bulunamadı")</f>
        <v>Tech</v>
      </c>
      <c r="F5818" s="1" t="str">
        <f t="array" ref="F5818">_xlfn.XLOOKUP(A5818,Product!A:A,Product!C:C,"Bulunamadı")</f>
        <v>Psychiatry</v>
      </c>
      <c r="G5818" s="2" t="str">
        <f t="array" ref="G5818">_xlfn.XLOOKUP(A5819,Product!A:A,Product!D:D,"Bulunamadı")</f>
        <v>Harborbridge Publishing House</v>
      </c>
      <c r="H5818" s="2">
        <f t="array" ref="H5818">_xlfn.XLOOKUP(A5820,Product!A:A,Product!E:E,"Bulunamadı")</f>
        <v>6.53</v>
      </c>
      <c r="I5818" s="2" t="str">
        <f t="shared" si="1"/>
        <v>92146 - Tech - Psychiatry</v>
      </c>
      <c r="J5818" s="2">
        <f t="shared" si="2"/>
        <v>365.68</v>
      </c>
      <c r="K5818" s="17">
        <f t="shared" si="3"/>
        <v>1</v>
      </c>
      <c r="L5818" s="18"/>
    </row>
    <row r="5819" hidden="1">
      <c r="A5819" s="2">
        <f>IFERROR(__xludf.DUMMYFUNCTION("""COMPUTED_VALUE"""),122248.0)</f>
        <v>122248</v>
      </c>
      <c r="B5819" s="2">
        <f>IFERROR(__xludf.DUMMYFUNCTION("""COMPUTED_VALUE"""),1.0)</f>
        <v>1</v>
      </c>
      <c r="C5819" s="2">
        <f>IFERROR(__xludf.DUMMYFUNCTION("""COMPUTED_VALUE"""),806.0)</f>
        <v>806</v>
      </c>
      <c r="D5819" s="3">
        <f>IFERROR(__xludf.DUMMYFUNCTION("""COMPUTED_VALUE"""),471.0)</f>
        <v>471</v>
      </c>
      <c r="E5819" s="1" t="str">
        <f t="array" ref="E5819">_xlfn.XLOOKUP(A5819,Product!A:A,Product!B:B,"Bulunamadı")</f>
        <v>Tech</v>
      </c>
      <c r="F5819" s="1" t="str">
        <f t="array" ref="F5819">_xlfn.XLOOKUP(A5819,Product!A:A,Product!C:C,"Bulunamadı")</f>
        <v>Psychiatry</v>
      </c>
      <c r="G5819" s="2" t="str">
        <f t="array" ref="G5819">_xlfn.XLOOKUP(A5820,Product!A:A,Product!D:D,"Bulunamadı")</f>
        <v>Harborbridge Publishing House</v>
      </c>
      <c r="H5819" s="2">
        <f t="array" ref="H5819">_xlfn.XLOOKUP(A5821,Product!A:A,Product!E:E,"Bulunamadı")</f>
        <v>3.95</v>
      </c>
      <c r="I5819" s="2" t="str">
        <f t="shared" si="1"/>
        <v>122248 - Tech - Psychiatry</v>
      </c>
      <c r="J5819" s="2">
        <f t="shared" si="2"/>
        <v>1860.45</v>
      </c>
      <c r="K5819" s="17">
        <f t="shared" si="3"/>
        <v>1</v>
      </c>
      <c r="L5819" s="18"/>
    </row>
    <row r="5820" hidden="1">
      <c r="A5820" s="2">
        <f>IFERROR(__xludf.DUMMYFUNCTION("""COMPUTED_VALUE"""),122251.0)</f>
        <v>122251</v>
      </c>
      <c r="B5820" s="2">
        <f>IFERROR(__xludf.DUMMYFUNCTION("""COMPUTED_VALUE"""),1.0)</f>
        <v>1</v>
      </c>
      <c r="C5820" s="2">
        <f>IFERROR(__xludf.DUMMYFUNCTION("""COMPUTED_VALUE"""),424.0)</f>
        <v>424</v>
      </c>
      <c r="D5820" s="3">
        <f>IFERROR(__xludf.DUMMYFUNCTION("""COMPUTED_VALUE"""),145.0)</f>
        <v>145</v>
      </c>
      <c r="E5820" s="1" t="str">
        <f t="array" ref="E5820">_xlfn.XLOOKUP(A5820,Product!A:A,Product!B:B,"Bulunamadı")</f>
        <v>Tech</v>
      </c>
      <c r="F5820" s="1" t="str">
        <f t="array" ref="F5820">_xlfn.XLOOKUP(A5820,Product!A:A,Product!C:C,"Bulunamadı")</f>
        <v>Psychiatry</v>
      </c>
      <c r="G5820" s="2" t="str">
        <f t="array" ref="G5820">_xlfn.XLOOKUP(A5821,Product!A:A,Product!D:D,"Bulunamadı")</f>
        <v>Harborbridge Publishing House</v>
      </c>
      <c r="H5820" s="2">
        <f t="array" ref="H5820">_xlfn.XLOOKUP(A5822,Product!A:A,Product!E:E,"Bulunamadı")</f>
        <v>4.15</v>
      </c>
      <c r="I5820" s="2" t="str">
        <f t="shared" si="1"/>
        <v>122251 - Tech - Psychiatry</v>
      </c>
      <c r="J5820" s="2">
        <f t="shared" si="2"/>
        <v>601.75</v>
      </c>
      <c r="K5820" s="17">
        <f t="shared" si="3"/>
        <v>1</v>
      </c>
      <c r="L5820" s="18"/>
    </row>
    <row r="5821" hidden="1">
      <c r="A5821" s="2">
        <f>IFERROR(__xludf.DUMMYFUNCTION("""COMPUTED_VALUE"""),103638.0)</f>
        <v>103638</v>
      </c>
      <c r="B5821" s="2">
        <f>IFERROR(__xludf.DUMMYFUNCTION("""COMPUTED_VALUE"""),1.0)</f>
        <v>1</v>
      </c>
      <c r="C5821" s="2">
        <f>IFERROR(__xludf.DUMMYFUNCTION("""COMPUTED_VALUE"""),734.0)</f>
        <v>734</v>
      </c>
      <c r="D5821" s="3">
        <f>IFERROR(__xludf.DUMMYFUNCTION("""COMPUTED_VALUE"""),294.0)</f>
        <v>294</v>
      </c>
      <c r="E5821" s="1" t="str">
        <f t="array" ref="E5821">_xlfn.XLOOKUP(A5821,Product!A:A,Product!B:B,"Bulunamadı")</f>
        <v>Tech</v>
      </c>
      <c r="F5821" s="1" t="str">
        <f t="array" ref="F5821">_xlfn.XLOOKUP(A5821,Product!A:A,Product!C:C,"Bulunamadı")</f>
        <v>Psychiatry</v>
      </c>
      <c r="G5821" s="2" t="str">
        <f t="array" ref="G5821">_xlfn.XLOOKUP(A5822,Product!A:A,Product!D:D,"Bulunamadı")</f>
        <v>Harborbridge Publishing House</v>
      </c>
      <c r="H5821" s="2">
        <f t="array" ref="H5821">_xlfn.XLOOKUP(A5823,Product!A:A,Product!E:E,"Bulunamadı")</f>
        <v>5.31</v>
      </c>
      <c r="I5821" s="2" t="str">
        <f t="shared" si="1"/>
        <v>103638 - Tech - Psychiatry</v>
      </c>
      <c r="J5821" s="2">
        <f t="shared" si="2"/>
        <v>1561.14</v>
      </c>
      <c r="K5821" s="17">
        <f t="shared" si="3"/>
        <v>1</v>
      </c>
      <c r="L5821" s="18"/>
    </row>
    <row r="5822" hidden="1">
      <c r="A5822" s="2">
        <f>IFERROR(__xludf.DUMMYFUNCTION("""COMPUTED_VALUE"""),111655.0)</f>
        <v>111655</v>
      </c>
      <c r="B5822" s="2">
        <f>IFERROR(__xludf.DUMMYFUNCTION("""COMPUTED_VALUE"""),1.0)</f>
        <v>1</v>
      </c>
      <c r="C5822" s="2">
        <f>IFERROR(__xludf.DUMMYFUNCTION("""COMPUTED_VALUE"""),938.0)</f>
        <v>938</v>
      </c>
      <c r="D5822" s="3">
        <f>IFERROR(__xludf.DUMMYFUNCTION("""COMPUTED_VALUE"""),509.0)</f>
        <v>509</v>
      </c>
      <c r="E5822" s="1" t="str">
        <f t="array" ref="E5822">_xlfn.XLOOKUP(A5822,Product!A:A,Product!B:B,"Bulunamadı")</f>
        <v>Tech</v>
      </c>
      <c r="F5822" s="1" t="str">
        <f t="array" ref="F5822">_xlfn.XLOOKUP(A5822,Product!A:A,Product!C:C,"Bulunamadı")</f>
        <v>Psychiatry</v>
      </c>
      <c r="G5822" s="2" t="str">
        <f t="array" ref="G5822">_xlfn.XLOOKUP(A5823,Product!A:A,Product!D:D,"Bulunamadı")</f>
        <v>Harborbridge Publishing House</v>
      </c>
      <c r="H5822" s="2">
        <f t="array" ref="H5822">_xlfn.XLOOKUP(A5824,Product!A:A,Product!E:E,"Bulunamadı")</f>
        <v>6.51</v>
      </c>
      <c r="I5822" s="2" t="str">
        <f t="shared" si="1"/>
        <v>111655 - Tech - Psychiatry</v>
      </c>
      <c r="J5822" s="2">
        <f t="shared" si="2"/>
        <v>3313.59</v>
      </c>
      <c r="K5822" s="17">
        <f t="shared" si="3"/>
        <v>1</v>
      </c>
      <c r="L5822" s="18"/>
    </row>
    <row r="5823" hidden="1">
      <c r="A5823" s="2">
        <f>IFERROR(__xludf.DUMMYFUNCTION("""COMPUTED_VALUE"""),84201.0)</f>
        <v>84201</v>
      </c>
      <c r="B5823" s="2">
        <f>IFERROR(__xludf.DUMMYFUNCTION("""COMPUTED_VALUE"""),0.0)</f>
        <v>0</v>
      </c>
      <c r="C5823" s="2">
        <f>IFERROR(__xludf.DUMMYFUNCTION("""COMPUTED_VALUE"""),264.0)</f>
        <v>264</v>
      </c>
      <c r="D5823" s="3">
        <f>IFERROR(__xludf.DUMMYFUNCTION("""COMPUTED_VALUE"""),23.0)</f>
        <v>23</v>
      </c>
      <c r="E5823" s="1" t="str">
        <f t="array" ref="E5823">_xlfn.XLOOKUP(A5823,Product!A:A,Product!B:B,"Bulunamadı")</f>
        <v>Tech</v>
      </c>
      <c r="F5823" s="1" t="str">
        <f t="array" ref="F5823">_xlfn.XLOOKUP(A5823,Product!A:A,Product!C:C,"Bulunamadı")</f>
        <v>Psychiatry</v>
      </c>
      <c r="G5823" s="2" t="str">
        <f t="array" ref="G5823">_xlfn.XLOOKUP(A5824,Product!A:A,Product!D:D,"Bulunamadı")</f>
        <v>Harborbridge Publishing House</v>
      </c>
      <c r="H5823" s="2">
        <f t="array" ref="H5823">_xlfn.XLOOKUP(A5825,Product!A:A,Product!E:E,"Bulunamadı")</f>
        <v>5.11</v>
      </c>
      <c r="I5823" s="2" t="str">
        <f t="shared" si="1"/>
        <v>84201 - Tech - Psychiatry</v>
      </c>
      <c r="J5823" s="2">
        <f t="shared" si="2"/>
        <v>117.53</v>
      </c>
      <c r="K5823" s="17">
        <f t="shared" si="3"/>
        <v>1</v>
      </c>
      <c r="L5823" s="18"/>
    </row>
    <row r="5824" hidden="1">
      <c r="A5824" s="2">
        <f>IFERROR(__xludf.DUMMYFUNCTION("""COMPUTED_VALUE"""),80697.0)</f>
        <v>80697</v>
      </c>
      <c r="B5824" s="2">
        <f>IFERROR(__xludf.DUMMYFUNCTION("""COMPUTED_VALUE"""),1.0)</f>
        <v>1</v>
      </c>
      <c r="C5824" s="2">
        <f>IFERROR(__xludf.DUMMYFUNCTION("""COMPUTED_VALUE"""),32.0)</f>
        <v>32</v>
      </c>
      <c r="D5824" s="3">
        <f>IFERROR(__xludf.DUMMYFUNCTION("""COMPUTED_VALUE"""),2.0)</f>
        <v>2</v>
      </c>
      <c r="E5824" s="1" t="str">
        <f t="array" ref="E5824">_xlfn.XLOOKUP(A5824,Product!A:A,Product!B:B,"Bulunamadı")</f>
        <v>Tech</v>
      </c>
      <c r="F5824" s="1" t="str">
        <f t="array" ref="F5824">_xlfn.XLOOKUP(A5824,Product!A:A,Product!C:C,"Bulunamadı")</f>
        <v>Psychiatry</v>
      </c>
      <c r="G5824" s="2" t="str">
        <f t="array" ref="G5824">_xlfn.XLOOKUP(A5825,Product!A:A,Product!D:D,"Bulunamadı")</f>
        <v>Harborbridge Publishing House</v>
      </c>
      <c r="H5824" s="2">
        <f t="array" ref="H5824">_xlfn.XLOOKUP(A5826,Product!A:A,Product!E:E,"Bulunamadı")</f>
        <v>4.01</v>
      </c>
      <c r="I5824" s="2" t="str">
        <f t="shared" si="1"/>
        <v>80697 - Tech - Psychiatry</v>
      </c>
      <c r="J5824" s="2">
        <f t="shared" si="2"/>
        <v>8.02</v>
      </c>
      <c r="K5824" s="17">
        <f t="shared" si="3"/>
        <v>1</v>
      </c>
      <c r="L5824" s="18"/>
    </row>
    <row r="5825" hidden="1">
      <c r="A5825" s="2">
        <f>IFERROR(__xludf.DUMMYFUNCTION("""COMPUTED_VALUE"""),117394.0)</f>
        <v>117394</v>
      </c>
      <c r="B5825" s="2">
        <f>IFERROR(__xludf.DUMMYFUNCTION("""COMPUTED_VALUE"""),0.0)</f>
        <v>0</v>
      </c>
      <c r="C5825" s="2">
        <f>IFERROR(__xludf.DUMMYFUNCTION("""COMPUTED_VALUE"""),832.0)</f>
        <v>832</v>
      </c>
      <c r="D5825" s="3">
        <f>IFERROR(__xludf.DUMMYFUNCTION("""COMPUTED_VALUE"""),246.0)</f>
        <v>246</v>
      </c>
      <c r="E5825" s="1" t="str">
        <f t="array" ref="E5825">_xlfn.XLOOKUP(A5825,Product!A:A,Product!B:B,"Bulunamadı")</f>
        <v>Tech</v>
      </c>
      <c r="F5825" s="1" t="str">
        <f t="array" ref="F5825">_xlfn.XLOOKUP(A5825,Product!A:A,Product!C:C,"Bulunamadı")</f>
        <v>Psychiatry</v>
      </c>
      <c r="G5825" s="2" t="str">
        <f t="array" ref="G5825">_xlfn.XLOOKUP(A5826,Product!A:A,Product!D:D,"Bulunamadı")</f>
        <v>Harborbridge Publishing House</v>
      </c>
      <c r="H5825" s="2">
        <f t="array" ref="H5825">_xlfn.XLOOKUP(A5827,Product!A:A,Product!E:E,"Bulunamadı")</f>
        <v>6.01</v>
      </c>
      <c r="I5825" s="2" t="str">
        <f t="shared" si="1"/>
        <v>117394 - Tech - Psychiatry</v>
      </c>
      <c r="J5825" s="2">
        <f t="shared" si="2"/>
        <v>1478.46</v>
      </c>
      <c r="K5825" s="17">
        <f t="shared" si="3"/>
        <v>1</v>
      </c>
      <c r="L5825" s="18"/>
    </row>
    <row r="5826" hidden="1">
      <c r="A5826" s="2">
        <f>IFERROR(__xludf.DUMMYFUNCTION("""COMPUTED_VALUE"""),103636.0)</f>
        <v>103636</v>
      </c>
      <c r="B5826" s="2">
        <f>IFERROR(__xludf.DUMMYFUNCTION("""COMPUTED_VALUE"""),0.0)</f>
        <v>0</v>
      </c>
      <c r="C5826" s="2">
        <f>IFERROR(__xludf.DUMMYFUNCTION("""COMPUTED_VALUE"""),943.0)</f>
        <v>943</v>
      </c>
      <c r="D5826" s="3">
        <f>IFERROR(__xludf.DUMMYFUNCTION("""COMPUTED_VALUE"""),224.0)</f>
        <v>224</v>
      </c>
      <c r="E5826" s="1" t="str">
        <f t="array" ref="E5826">_xlfn.XLOOKUP(A5826,Product!A:A,Product!B:B,"Bulunamadı")</f>
        <v>Tech</v>
      </c>
      <c r="F5826" s="1" t="str">
        <f t="array" ref="F5826">_xlfn.XLOOKUP(A5826,Product!A:A,Product!C:C,"Bulunamadı")</f>
        <v>Psychiatry</v>
      </c>
      <c r="G5826" s="2" t="str">
        <f t="array" ref="G5826">_xlfn.XLOOKUP(A5827,Product!A:A,Product!D:D,"Bulunamadı")</f>
        <v>Harborbridge Publishing House</v>
      </c>
      <c r="H5826" s="2">
        <f t="array" ref="H5826">_xlfn.XLOOKUP(A5828,Product!A:A,Product!E:E,"Bulunamadı")</f>
        <v>3.84</v>
      </c>
      <c r="I5826" s="2" t="str">
        <f t="shared" si="1"/>
        <v>103636 - Tech - Psychiatry</v>
      </c>
      <c r="J5826" s="2">
        <f t="shared" si="2"/>
        <v>860.16</v>
      </c>
      <c r="K5826" s="17">
        <f t="shared" si="3"/>
        <v>1</v>
      </c>
      <c r="L5826" s="18"/>
    </row>
    <row r="5827" hidden="1">
      <c r="A5827" s="2">
        <f>IFERROR(__xludf.DUMMYFUNCTION("""COMPUTED_VALUE"""),67001.0)</f>
        <v>67001</v>
      </c>
      <c r="B5827" s="2">
        <f>IFERROR(__xludf.DUMMYFUNCTION("""COMPUTED_VALUE"""),0.0)</f>
        <v>0</v>
      </c>
      <c r="C5827" s="2">
        <f>IFERROR(__xludf.DUMMYFUNCTION("""COMPUTED_VALUE"""),376.0)</f>
        <v>376</v>
      </c>
      <c r="D5827" s="3">
        <f>IFERROR(__xludf.DUMMYFUNCTION("""COMPUTED_VALUE"""),372.0)</f>
        <v>372</v>
      </c>
      <c r="E5827" s="1" t="str">
        <f t="array" ref="E5827">_xlfn.XLOOKUP(A5827,Product!A:A,Product!B:B,"Bulunamadı")</f>
        <v>Tech</v>
      </c>
      <c r="F5827" s="1" t="str">
        <f t="array" ref="F5827">_xlfn.XLOOKUP(A5827,Product!A:A,Product!C:C,"Bulunamadı")</f>
        <v>Psychiatry</v>
      </c>
      <c r="G5827" s="2" t="str">
        <f t="array" ref="G5827">_xlfn.XLOOKUP(A5828,Product!A:A,Product!D:D,"Bulunamadı")</f>
        <v>Harborbridge Publishing House</v>
      </c>
      <c r="H5827" s="2">
        <f t="array" ref="H5827">_xlfn.XLOOKUP(A5829,Product!A:A,Product!E:E,"Bulunamadı")</f>
        <v>4.24</v>
      </c>
      <c r="I5827" s="2" t="str">
        <f t="shared" si="1"/>
        <v>67001 - Tech - Psychiatry</v>
      </c>
      <c r="J5827" s="2">
        <f t="shared" si="2"/>
        <v>1577.28</v>
      </c>
      <c r="K5827" s="17">
        <f t="shared" si="3"/>
        <v>1</v>
      </c>
      <c r="L5827" s="18"/>
    </row>
    <row r="5828" hidden="1">
      <c r="A5828" s="2">
        <f>IFERROR(__xludf.DUMMYFUNCTION("""COMPUTED_VALUE"""),2148.0)</f>
        <v>2148</v>
      </c>
      <c r="B5828" s="2">
        <f>IFERROR(__xludf.DUMMYFUNCTION("""COMPUTED_VALUE"""),1.0)</f>
        <v>1</v>
      </c>
      <c r="C5828" s="2">
        <f>IFERROR(__xludf.DUMMYFUNCTION("""COMPUTED_VALUE"""),965.0)</f>
        <v>965</v>
      </c>
      <c r="D5828" s="3">
        <f>IFERROR(__xludf.DUMMYFUNCTION("""COMPUTED_VALUE"""),566.0)</f>
        <v>566</v>
      </c>
      <c r="E5828" s="1" t="str">
        <f t="array" ref="E5828">_xlfn.XLOOKUP(A5828,Product!A:A,Product!B:B,"Bulunamadı")</f>
        <v>Tech</v>
      </c>
      <c r="F5828" s="1" t="str">
        <f t="array" ref="F5828">_xlfn.XLOOKUP(A5828,Product!A:A,Product!C:C,"Bulunamadı")</f>
        <v>Psychiatry</v>
      </c>
      <c r="G5828" s="2" t="str">
        <f t="array" ref="G5828">_xlfn.XLOOKUP(A5829,Product!A:A,Product!D:D,"Bulunamadı")</f>
        <v>Harborbridge Publishing House</v>
      </c>
      <c r="H5828" s="2">
        <f t="array" ref="H5828">_xlfn.XLOOKUP(A5830,Product!A:A,Product!E:E,"Bulunamadı")</f>
        <v>9.15</v>
      </c>
      <c r="I5828" s="2" t="str">
        <f t="shared" si="1"/>
        <v>2148 - Tech - Psychiatry</v>
      </c>
      <c r="J5828" s="2">
        <f t="shared" si="2"/>
        <v>5178.9</v>
      </c>
      <c r="K5828" s="17">
        <f t="shared" si="3"/>
        <v>1</v>
      </c>
      <c r="L5828" s="18"/>
    </row>
    <row r="5829" hidden="1">
      <c r="A5829" s="2">
        <f>IFERROR(__xludf.DUMMYFUNCTION("""COMPUTED_VALUE"""),111672.0)</f>
        <v>111672</v>
      </c>
      <c r="B5829" s="2">
        <f>IFERROR(__xludf.DUMMYFUNCTION("""COMPUTED_VALUE"""),0.0)</f>
        <v>0</v>
      </c>
      <c r="C5829" s="2">
        <f>IFERROR(__xludf.DUMMYFUNCTION("""COMPUTED_VALUE"""),833.0)</f>
        <v>833</v>
      </c>
      <c r="D5829" s="3">
        <f>IFERROR(__xludf.DUMMYFUNCTION("""COMPUTED_VALUE"""),739.0)</f>
        <v>739</v>
      </c>
      <c r="E5829" s="1" t="str">
        <f t="array" ref="E5829">_xlfn.XLOOKUP(A5829,Product!A:A,Product!B:B,"Bulunamadı")</f>
        <v>Tech</v>
      </c>
      <c r="F5829" s="1" t="str">
        <f t="array" ref="F5829">_xlfn.XLOOKUP(A5829,Product!A:A,Product!C:C,"Bulunamadı")</f>
        <v>Psychiatry</v>
      </c>
      <c r="G5829" s="2" t="str">
        <f t="array" ref="G5829">_xlfn.XLOOKUP(A5830,Product!A:A,Product!D:D,"Bulunamadı")</f>
        <v>Harborbridge Publishing House</v>
      </c>
      <c r="H5829" s="2">
        <f t="array" ref="H5829">_xlfn.XLOOKUP(A5831,Product!A:A,Product!E:E,"Bulunamadı")</f>
        <v>6.1</v>
      </c>
      <c r="I5829" s="2" t="str">
        <f t="shared" si="1"/>
        <v>111672 - Tech - Psychiatry</v>
      </c>
      <c r="J5829" s="2">
        <f t="shared" si="2"/>
        <v>4507.9</v>
      </c>
      <c r="K5829" s="17">
        <f t="shared" si="3"/>
        <v>1</v>
      </c>
      <c r="L5829" s="18"/>
    </row>
    <row r="5830" hidden="1">
      <c r="A5830" s="2">
        <f>IFERROR(__xludf.DUMMYFUNCTION("""COMPUTED_VALUE"""),80696.0)</f>
        <v>80696</v>
      </c>
      <c r="B5830" s="2">
        <f>IFERROR(__xludf.DUMMYFUNCTION("""COMPUTED_VALUE"""),1.0)</f>
        <v>1</v>
      </c>
      <c r="C5830" s="2">
        <f>IFERROR(__xludf.DUMMYFUNCTION("""COMPUTED_VALUE"""),29.0)</f>
        <v>29</v>
      </c>
      <c r="D5830" s="3">
        <f>IFERROR(__xludf.DUMMYFUNCTION("""COMPUTED_VALUE"""),16.0)</f>
        <v>16</v>
      </c>
      <c r="E5830" s="1" t="str">
        <f t="array" ref="E5830">_xlfn.XLOOKUP(A5830,Product!A:A,Product!B:B,"Bulunamadı")</f>
        <v>Tech</v>
      </c>
      <c r="F5830" s="1" t="str">
        <f t="array" ref="F5830">_xlfn.XLOOKUP(A5830,Product!A:A,Product!C:C,"Bulunamadı")</f>
        <v>Psychiatry</v>
      </c>
      <c r="G5830" s="2" t="str">
        <f t="array" ref="G5830">_xlfn.XLOOKUP(A5831,Product!A:A,Product!D:D,"Bulunamadı")</f>
        <v>Harborbridge Publishing House</v>
      </c>
      <c r="H5830" s="2">
        <f t="array" ref="H5830">_xlfn.XLOOKUP(A5832,Product!A:A,Product!E:E,"Bulunamadı")</f>
        <v>3.63</v>
      </c>
      <c r="I5830" s="2" t="str">
        <f t="shared" si="1"/>
        <v>80696 - Tech - Psychiatry</v>
      </c>
      <c r="J5830" s="2">
        <f t="shared" si="2"/>
        <v>58.08</v>
      </c>
      <c r="K5830" s="17">
        <f t="shared" si="3"/>
        <v>1</v>
      </c>
      <c r="L5830" s="18"/>
    </row>
    <row r="5831" hidden="1">
      <c r="A5831" s="2">
        <f>IFERROR(__xludf.DUMMYFUNCTION("""COMPUTED_VALUE"""),96853.0)</f>
        <v>96853</v>
      </c>
      <c r="B5831" s="2">
        <f>IFERROR(__xludf.DUMMYFUNCTION("""COMPUTED_VALUE"""),1.0)</f>
        <v>1</v>
      </c>
      <c r="C5831" s="2">
        <f>IFERROR(__xludf.DUMMYFUNCTION("""COMPUTED_VALUE"""),493.0)</f>
        <v>493</v>
      </c>
      <c r="D5831" s="3">
        <f>IFERROR(__xludf.DUMMYFUNCTION("""COMPUTED_VALUE"""),48.0)</f>
        <v>48</v>
      </c>
      <c r="E5831" s="1" t="str">
        <f t="array" ref="E5831">_xlfn.XLOOKUP(A5831,Product!A:A,Product!B:B,"Bulunamadı")</f>
        <v>Tech</v>
      </c>
      <c r="F5831" s="1" t="str">
        <f t="array" ref="F5831">_xlfn.XLOOKUP(A5831,Product!A:A,Product!C:C,"Bulunamadı")</f>
        <v>Psychiatry</v>
      </c>
      <c r="G5831" s="2" t="str">
        <f t="array" ref="G5831">_xlfn.XLOOKUP(A5832,Product!A:A,Product!D:D,"Bulunamadı")</f>
        <v>Harborbridge Publishing House</v>
      </c>
      <c r="H5831" s="2">
        <f t="array" ref="H5831">_xlfn.XLOOKUP(A5833,Product!A:A,Product!E:E,"Bulunamadı")</f>
        <v>4.39</v>
      </c>
      <c r="I5831" s="2" t="str">
        <f t="shared" si="1"/>
        <v>96853 - Tech - Psychiatry</v>
      </c>
      <c r="J5831" s="2">
        <f t="shared" si="2"/>
        <v>210.72</v>
      </c>
      <c r="K5831" s="17">
        <f t="shared" si="3"/>
        <v>1</v>
      </c>
      <c r="L5831" s="18"/>
    </row>
    <row r="5832" hidden="1">
      <c r="A5832" s="2">
        <f>IFERROR(__xludf.DUMMYFUNCTION("""COMPUTED_VALUE"""),117388.0)</f>
        <v>117388</v>
      </c>
      <c r="B5832" s="2">
        <f>IFERROR(__xludf.DUMMYFUNCTION("""COMPUTED_VALUE"""),1.0)</f>
        <v>1</v>
      </c>
      <c r="C5832" s="2">
        <f>IFERROR(__xludf.DUMMYFUNCTION("""COMPUTED_VALUE"""),415.0)</f>
        <v>415</v>
      </c>
      <c r="D5832" s="3">
        <f>IFERROR(__xludf.DUMMYFUNCTION("""COMPUTED_VALUE"""),82.0)</f>
        <v>82</v>
      </c>
      <c r="E5832" s="1" t="str">
        <f t="array" ref="E5832">_xlfn.XLOOKUP(A5832,Product!A:A,Product!B:B,"Bulunamadı")</f>
        <v>Tech</v>
      </c>
      <c r="F5832" s="1" t="str">
        <f t="array" ref="F5832">_xlfn.XLOOKUP(A5832,Product!A:A,Product!C:C,"Bulunamadı")</f>
        <v>Psychiatry</v>
      </c>
      <c r="G5832" s="2" t="str">
        <f t="array" ref="G5832">_xlfn.XLOOKUP(A5833,Product!A:A,Product!D:D,"Bulunamadı")</f>
        <v>Harborbridge Publishing House</v>
      </c>
      <c r="H5832" s="2">
        <f t="array" ref="H5832">_xlfn.XLOOKUP(A5834,Product!A:A,Product!E:E,"Bulunamadı")</f>
        <v>5.97</v>
      </c>
      <c r="I5832" s="2" t="str">
        <f t="shared" si="1"/>
        <v>117388 - Tech - Psychiatry</v>
      </c>
      <c r="J5832" s="2">
        <f t="shared" si="2"/>
        <v>489.54</v>
      </c>
      <c r="K5832" s="17">
        <f t="shared" si="3"/>
        <v>1</v>
      </c>
      <c r="L5832" s="18"/>
    </row>
    <row r="5833" hidden="1">
      <c r="A5833" s="2">
        <f>IFERROR(__xludf.DUMMYFUNCTION("""COMPUTED_VALUE"""),109971.0)</f>
        <v>109971</v>
      </c>
      <c r="B5833" s="2">
        <f>IFERROR(__xludf.DUMMYFUNCTION("""COMPUTED_VALUE"""),0.0)</f>
        <v>0</v>
      </c>
      <c r="C5833" s="2">
        <f>IFERROR(__xludf.DUMMYFUNCTION("""COMPUTED_VALUE"""),357.0)</f>
        <v>357</v>
      </c>
      <c r="D5833" s="3">
        <f>IFERROR(__xludf.DUMMYFUNCTION("""COMPUTED_VALUE"""),220.0)</f>
        <v>220</v>
      </c>
      <c r="E5833" s="1" t="str">
        <f t="array" ref="E5833">_xlfn.XLOOKUP(A5833,Product!A:A,Product!B:B,"Bulunamadı")</f>
        <v>Tech</v>
      </c>
      <c r="F5833" s="1" t="str">
        <f t="array" ref="F5833">_xlfn.XLOOKUP(A5833,Product!A:A,Product!C:C,"Bulunamadı")</f>
        <v>Psychiatry</v>
      </c>
      <c r="G5833" s="2" t="str">
        <f t="array" ref="G5833">_xlfn.XLOOKUP(A5834,Product!A:A,Product!D:D,"Bulunamadı")</f>
        <v>Harborbridge Publishing House</v>
      </c>
      <c r="H5833" s="2">
        <f t="array" ref="H5833">_xlfn.XLOOKUP(A5835,Product!A:A,Product!E:E,"Bulunamadı")</f>
        <v>4.22</v>
      </c>
      <c r="I5833" s="2" t="str">
        <f t="shared" si="1"/>
        <v>109971 - Tech - Psychiatry</v>
      </c>
      <c r="J5833" s="2">
        <f t="shared" si="2"/>
        <v>928.4</v>
      </c>
      <c r="K5833" s="17">
        <f t="shared" si="3"/>
        <v>1</v>
      </c>
      <c r="L5833" s="18"/>
    </row>
    <row r="5834" hidden="1">
      <c r="A5834" s="2">
        <f>IFERROR(__xludf.DUMMYFUNCTION("""COMPUTED_VALUE"""),122247.0)</f>
        <v>122247</v>
      </c>
      <c r="B5834" s="2">
        <f>IFERROR(__xludf.DUMMYFUNCTION("""COMPUTED_VALUE"""),0.0)</f>
        <v>0</v>
      </c>
      <c r="C5834" s="2">
        <f>IFERROR(__xludf.DUMMYFUNCTION("""COMPUTED_VALUE"""),448.0)</f>
        <v>448</v>
      </c>
      <c r="D5834" s="3">
        <f>IFERROR(__xludf.DUMMYFUNCTION("""COMPUTED_VALUE"""),392.0)</f>
        <v>392</v>
      </c>
      <c r="E5834" s="1" t="str">
        <f t="array" ref="E5834">_xlfn.XLOOKUP(A5834,Product!A:A,Product!B:B,"Bulunamadı")</f>
        <v>Tech</v>
      </c>
      <c r="F5834" s="1" t="str">
        <f t="array" ref="F5834">_xlfn.XLOOKUP(A5834,Product!A:A,Product!C:C,"Bulunamadı")</f>
        <v>Psychiatry</v>
      </c>
      <c r="G5834" s="2" t="str">
        <f t="array" ref="G5834">_xlfn.XLOOKUP(A5835,Product!A:A,Product!D:D,"Bulunamadı")</f>
        <v>Harborbridge Publishing House</v>
      </c>
      <c r="H5834" s="2">
        <f t="array" ref="H5834">_xlfn.XLOOKUP(A5836,Product!A:A,Product!E:E,"Bulunamadı")</f>
        <v>0.69</v>
      </c>
      <c r="I5834" s="2" t="str">
        <f t="shared" si="1"/>
        <v>122247 - Tech - Psychiatry</v>
      </c>
      <c r="J5834" s="2">
        <f t="shared" si="2"/>
        <v>270.48</v>
      </c>
      <c r="K5834" s="17">
        <f t="shared" si="3"/>
        <v>1</v>
      </c>
      <c r="L5834" s="18"/>
    </row>
    <row r="5835" hidden="1">
      <c r="A5835" s="2">
        <f>IFERROR(__xludf.DUMMYFUNCTION("""COMPUTED_VALUE"""),103635.0)</f>
        <v>103635</v>
      </c>
      <c r="B5835" s="2">
        <f>IFERROR(__xludf.DUMMYFUNCTION("""COMPUTED_VALUE"""),1.0)</f>
        <v>1</v>
      </c>
      <c r="C5835" s="2">
        <f>IFERROR(__xludf.DUMMYFUNCTION("""COMPUTED_VALUE"""),962.0)</f>
        <v>962</v>
      </c>
      <c r="D5835" s="3">
        <f>IFERROR(__xludf.DUMMYFUNCTION("""COMPUTED_VALUE"""),281.0)</f>
        <v>281</v>
      </c>
      <c r="E5835" s="1" t="str">
        <f t="array" ref="E5835">_xlfn.XLOOKUP(A5835,Product!A:A,Product!B:B,"Bulunamadı")</f>
        <v>Tech</v>
      </c>
      <c r="F5835" s="1" t="str">
        <f t="array" ref="F5835">_xlfn.XLOOKUP(A5835,Product!A:A,Product!C:C,"Bulunamadı")</f>
        <v>Psychiatry</v>
      </c>
      <c r="G5835" s="2" t="str">
        <f t="array" ref="G5835">_xlfn.XLOOKUP(A5836,Product!A:A,Product!D:D,"Bulunamadı")</f>
        <v>Harborbridge Publishing House</v>
      </c>
      <c r="H5835" s="2">
        <f t="array" ref="H5835">_xlfn.XLOOKUP(A5837,Product!A:A,Product!E:E,"Bulunamadı")</f>
        <v>3.25</v>
      </c>
      <c r="I5835" s="2" t="str">
        <f t="shared" si="1"/>
        <v>103635 - Tech - Psychiatry</v>
      </c>
      <c r="J5835" s="2">
        <f t="shared" si="2"/>
        <v>913.25</v>
      </c>
      <c r="K5835" s="17">
        <f t="shared" si="3"/>
        <v>1</v>
      </c>
      <c r="L5835" s="18"/>
    </row>
    <row r="5836" hidden="1">
      <c r="A5836" s="2">
        <f>IFERROR(__xludf.DUMMYFUNCTION("""COMPUTED_VALUE"""),122295.0)</f>
        <v>122295</v>
      </c>
      <c r="B5836" s="2">
        <f>IFERROR(__xludf.DUMMYFUNCTION("""COMPUTED_VALUE"""),0.0)</f>
        <v>0</v>
      </c>
      <c r="C5836" s="2">
        <f>IFERROR(__xludf.DUMMYFUNCTION("""COMPUTED_VALUE"""),512.0)</f>
        <v>512</v>
      </c>
      <c r="D5836" s="3">
        <f>IFERROR(__xludf.DUMMYFUNCTION("""COMPUTED_VALUE"""),420.0)</f>
        <v>420</v>
      </c>
      <c r="E5836" s="1" t="str">
        <f t="array" ref="E5836">_xlfn.XLOOKUP(A5836,Product!A:A,Product!B:B,"Bulunamadı")</f>
        <v>Tech</v>
      </c>
      <c r="F5836" s="1" t="str">
        <f t="array" ref="F5836">_xlfn.XLOOKUP(A5836,Product!A:A,Product!C:C,"Bulunamadı")</f>
        <v>Psychiatry</v>
      </c>
      <c r="G5836" s="2" t="str">
        <f t="array" ref="G5836">_xlfn.XLOOKUP(A5837,Product!A:A,Product!D:D,"Bulunamadı")</f>
        <v>Cedarbridge Publishing House</v>
      </c>
      <c r="H5836" s="2">
        <f t="array" ref="H5836">_xlfn.XLOOKUP(A5838,Product!A:A,Product!E:E,"Bulunamadı")</f>
        <v>4.39</v>
      </c>
      <c r="I5836" s="2" t="str">
        <f t="shared" si="1"/>
        <v>122295 - Tech - Psychiatry</v>
      </c>
      <c r="J5836" s="2">
        <f t="shared" si="2"/>
        <v>1843.8</v>
      </c>
      <c r="K5836" s="17">
        <f t="shared" si="3"/>
        <v>1</v>
      </c>
      <c r="L5836" s="18"/>
    </row>
    <row r="5837" hidden="1">
      <c r="A5837" s="2">
        <f>IFERROR(__xludf.DUMMYFUNCTION("""COMPUTED_VALUE"""),118351.0)</f>
        <v>118351</v>
      </c>
      <c r="B5837" s="2">
        <f>IFERROR(__xludf.DUMMYFUNCTION("""COMPUTED_VALUE"""),1.0)</f>
        <v>1</v>
      </c>
      <c r="C5837" s="2">
        <f>IFERROR(__xludf.DUMMYFUNCTION("""COMPUTED_VALUE"""),941.0)</f>
        <v>941</v>
      </c>
      <c r="D5837" s="3">
        <f>IFERROR(__xludf.DUMMYFUNCTION("""COMPUTED_VALUE"""),852.0)</f>
        <v>852</v>
      </c>
      <c r="E5837" s="1" t="str">
        <f t="array" ref="E5837">_xlfn.XLOOKUP(A5837,Product!A:A,Product!B:B,"Bulunamadı")</f>
        <v>Tech</v>
      </c>
      <c r="F5837" s="1" t="str">
        <f t="array" ref="F5837">_xlfn.XLOOKUP(A5837,Product!A:A,Product!C:C,"Bulunamadı")</f>
        <v>Psychiatry</v>
      </c>
      <c r="G5837" s="2" t="str">
        <f t="array" ref="G5837">_xlfn.XLOOKUP(A5838,Product!A:A,Product!D:D,"Bulunamadı")</f>
        <v>Cedarbridge Publishing House</v>
      </c>
      <c r="H5837" s="2">
        <f t="array" ref="H5837">_xlfn.XLOOKUP(A5839,Product!A:A,Product!E:E,"Bulunamadı")</f>
        <v>5.42</v>
      </c>
      <c r="I5837" s="2" t="str">
        <f t="shared" si="1"/>
        <v>118351 - Tech - Psychiatry</v>
      </c>
      <c r="J5837" s="2">
        <f t="shared" si="2"/>
        <v>4617.84</v>
      </c>
      <c r="K5837" s="17">
        <f t="shared" si="3"/>
        <v>1</v>
      </c>
      <c r="L5837" s="18"/>
    </row>
    <row r="5838" hidden="1">
      <c r="A5838" s="2">
        <f>IFERROR(__xludf.DUMMYFUNCTION("""COMPUTED_VALUE"""),91624.0)</f>
        <v>91624</v>
      </c>
      <c r="B5838" s="2">
        <f>IFERROR(__xludf.DUMMYFUNCTION("""COMPUTED_VALUE"""),1.0)</f>
        <v>1</v>
      </c>
      <c r="C5838" s="2">
        <f>IFERROR(__xludf.DUMMYFUNCTION("""COMPUTED_VALUE"""),976.0)</f>
        <v>976</v>
      </c>
      <c r="D5838" s="3">
        <f>IFERROR(__xludf.DUMMYFUNCTION("""COMPUTED_VALUE"""),360.0)</f>
        <v>360</v>
      </c>
      <c r="E5838" s="1" t="str">
        <f t="array" ref="E5838">_xlfn.XLOOKUP(A5838,Product!A:A,Product!B:B,"Bulunamadı")</f>
        <v>Tech</v>
      </c>
      <c r="F5838" s="1" t="str">
        <f t="array" ref="F5838">_xlfn.XLOOKUP(A5838,Product!A:A,Product!C:C,"Bulunamadı")</f>
        <v>Psychiatry</v>
      </c>
      <c r="G5838" s="2" t="str">
        <f t="array" ref="G5838">_xlfn.XLOOKUP(A5839,Product!A:A,Product!D:D,"Bulunamadı")</f>
        <v>Cedarbridge Publishing House</v>
      </c>
      <c r="H5838" s="2">
        <f t="array" ref="H5838">_xlfn.XLOOKUP(A5840,Product!A:A,Product!E:E,"Bulunamadı")</f>
        <v>4.44</v>
      </c>
      <c r="I5838" s="2" t="str">
        <f t="shared" si="1"/>
        <v>91624 - Tech - Psychiatry</v>
      </c>
      <c r="J5838" s="2">
        <f t="shared" si="2"/>
        <v>1598.4</v>
      </c>
      <c r="K5838" s="17">
        <f t="shared" si="3"/>
        <v>1</v>
      </c>
      <c r="L5838" s="18"/>
    </row>
    <row r="5839" hidden="1">
      <c r="A5839" s="2">
        <f>IFERROR(__xludf.DUMMYFUNCTION("""COMPUTED_VALUE"""),27765.0)</f>
        <v>27765</v>
      </c>
      <c r="B5839" s="2">
        <f>IFERROR(__xludf.DUMMYFUNCTION("""COMPUTED_VALUE"""),0.0)</f>
        <v>0</v>
      </c>
      <c r="C5839" s="2">
        <f>IFERROR(__xludf.DUMMYFUNCTION("""COMPUTED_VALUE"""),911.0)</f>
        <v>911</v>
      </c>
      <c r="D5839" s="3">
        <f>IFERROR(__xludf.DUMMYFUNCTION("""COMPUTED_VALUE"""),217.0)</f>
        <v>217</v>
      </c>
      <c r="E5839" s="1" t="str">
        <f t="array" ref="E5839">_xlfn.XLOOKUP(A5839,Product!A:A,Product!B:B,"Bulunamadı")</f>
        <v>Tech</v>
      </c>
      <c r="F5839" s="1" t="str">
        <f t="array" ref="F5839">_xlfn.XLOOKUP(A5839,Product!A:A,Product!C:C,"Bulunamadı")</f>
        <v>Psychiatry</v>
      </c>
      <c r="G5839" s="2" t="str">
        <f t="array" ref="G5839">_xlfn.XLOOKUP(A5840,Product!A:A,Product!D:D,"Bulunamadı")</f>
        <v>Cedarbridge Publishing House</v>
      </c>
      <c r="H5839" s="2">
        <f t="array" ref="H5839">_xlfn.XLOOKUP(A5841,Product!A:A,Product!E:E,"Bulunamadı")</f>
        <v>4.12</v>
      </c>
      <c r="I5839" s="2" t="str">
        <f t="shared" si="1"/>
        <v>27765 - Tech - Psychiatry</v>
      </c>
      <c r="J5839" s="2">
        <f t="shared" si="2"/>
        <v>894.04</v>
      </c>
      <c r="K5839" s="17">
        <f t="shared" si="3"/>
        <v>1</v>
      </c>
      <c r="L5839" s="18"/>
    </row>
    <row r="5840" hidden="1">
      <c r="A5840" s="2">
        <f>IFERROR(__xludf.DUMMYFUNCTION("""COMPUTED_VALUE"""),26313.0)</f>
        <v>26313</v>
      </c>
      <c r="B5840" s="2">
        <f>IFERROR(__xludf.DUMMYFUNCTION("""COMPUTED_VALUE"""),0.0)</f>
        <v>0</v>
      </c>
      <c r="C5840" s="2">
        <f>IFERROR(__xludf.DUMMYFUNCTION("""COMPUTED_VALUE"""),98.0)</f>
        <v>98</v>
      </c>
      <c r="D5840" s="3">
        <f>IFERROR(__xludf.DUMMYFUNCTION("""COMPUTED_VALUE"""),65.0)</f>
        <v>65</v>
      </c>
      <c r="E5840" s="1" t="str">
        <f t="array" ref="E5840">_xlfn.XLOOKUP(A5840,Product!A:A,Product!B:B,"Bulunamadı")</f>
        <v>Tech</v>
      </c>
      <c r="F5840" s="1" t="str">
        <f t="array" ref="F5840">_xlfn.XLOOKUP(A5840,Product!A:A,Product!C:C,"Bulunamadı")</f>
        <v>Psychiatry</v>
      </c>
      <c r="G5840" s="2" t="str">
        <f t="array" ref="G5840">_xlfn.XLOOKUP(A5841,Product!A:A,Product!D:D,"Bulunamadı")</f>
        <v>Cedarbridge Publishing House</v>
      </c>
      <c r="H5840" s="2">
        <f t="array" ref="H5840">_xlfn.XLOOKUP(A5842,Product!A:A,Product!E:E,"Bulunamadı")</f>
        <v>4.4</v>
      </c>
      <c r="I5840" s="2" t="str">
        <f t="shared" si="1"/>
        <v>26313 - Tech - Psychiatry</v>
      </c>
      <c r="J5840" s="2">
        <f t="shared" si="2"/>
        <v>286</v>
      </c>
      <c r="K5840" s="17">
        <f t="shared" si="3"/>
        <v>1</v>
      </c>
      <c r="L5840" s="18"/>
    </row>
    <row r="5841" hidden="1">
      <c r="A5841" s="2">
        <f>IFERROR(__xludf.DUMMYFUNCTION("""COMPUTED_VALUE"""),26314.0)</f>
        <v>26314</v>
      </c>
      <c r="B5841" s="2">
        <f>IFERROR(__xludf.DUMMYFUNCTION("""COMPUTED_VALUE"""),1.0)</f>
        <v>1</v>
      </c>
      <c r="C5841" s="2">
        <f>IFERROR(__xludf.DUMMYFUNCTION("""COMPUTED_VALUE"""),760.0)</f>
        <v>760</v>
      </c>
      <c r="D5841" s="3">
        <f>IFERROR(__xludf.DUMMYFUNCTION("""COMPUTED_VALUE"""),326.0)</f>
        <v>326</v>
      </c>
      <c r="E5841" s="1" t="str">
        <f t="array" ref="E5841">_xlfn.XLOOKUP(A5841,Product!A:A,Product!B:B,"Bulunamadı")</f>
        <v>Tech</v>
      </c>
      <c r="F5841" s="1" t="str">
        <f t="array" ref="F5841">_xlfn.XLOOKUP(A5841,Product!A:A,Product!C:C,"Bulunamadı")</f>
        <v>Psychiatry</v>
      </c>
      <c r="G5841" s="2" t="str">
        <f t="array" ref="G5841">_xlfn.XLOOKUP(A5842,Product!A:A,Product!D:D,"Bulunamadı")</f>
        <v>Cedarbridge Publishing House</v>
      </c>
      <c r="H5841" s="2">
        <f t="array" ref="H5841">_xlfn.XLOOKUP(A5843,Product!A:A,Product!E:E,"Bulunamadı")</f>
        <v>5.12</v>
      </c>
      <c r="I5841" s="2" t="str">
        <f t="shared" si="1"/>
        <v>26314 - Tech - Psychiatry</v>
      </c>
      <c r="J5841" s="2">
        <f t="shared" si="2"/>
        <v>1669.12</v>
      </c>
      <c r="K5841" s="17">
        <f t="shared" si="3"/>
        <v>1</v>
      </c>
      <c r="L5841" s="18"/>
    </row>
    <row r="5842" hidden="1">
      <c r="A5842" s="2">
        <f>IFERROR(__xludf.DUMMYFUNCTION("""COMPUTED_VALUE"""),91626.0)</f>
        <v>91626</v>
      </c>
      <c r="B5842" s="2">
        <f>IFERROR(__xludf.DUMMYFUNCTION("""COMPUTED_VALUE"""),0.0)</f>
        <v>0</v>
      </c>
      <c r="C5842" s="2">
        <f>IFERROR(__xludf.DUMMYFUNCTION("""COMPUTED_VALUE"""),466.0)</f>
        <v>466</v>
      </c>
      <c r="D5842" s="3">
        <f>IFERROR(__xludf.DUMMYFUNCTION("""COMPUTED_VALUE"""),381.0)</f>
        <v>381</v>
      </c>
      <c r="E5842" s="1" t="str">
        <f t="array" ref="E5842">_xlfn.XLOOKUP(A5842,Product!A:A,Product!B:B,"Bulunamadı")</f>
        <v>Tech</v>
      </c>
      <c r="F5842" s="1" t="str">
        <f t="array" ref="F5842">_xlfn.XLOOKUP(A5842,Product!A:A,Product!C:C,"Bulunamadı")</f>
        <v>Psychiatry</v>
      </c>
      <c r="G5842" s="2" t="str">
        <f t="array" ref="G5842">_xlfn.XLOOKUP(A5843,Product!A:A,Product!D:D,"Bulunamadı")</f>
        <v>Cedarbridge Publishing House</v>
      </c>
      <c r="H5842" s="2">
        <f t="array" ref="H5842">_xlfn.XLOOKUP(A5844,Product!A:A,Product!E:E,"Bulunamadı")</f>
        <v>5.24</v>
      </c>
      <c r="I5842" s="2" t="str">
        <f t="shared" si="1"/>
        <v>91626 - Tech - Psychiatry</v>
      </c>
      <c r="J5842" s="2">
        <f t="shared" si="2"/>
        <v>1996.44</v>
      </c>
      <c r="K5842" s="17">
        <f t="shared" si="3"/>
        <v>1</v>
      </c>
      <c r="L5842" s="18"/>
    </row>
    <row r="5843" hidden="1">
      <c r="A5843" s="2">
        <f>IFERROR(__xludf.DUMMYFUNCTION("""COMPUTED_VALUE"""),112264.0)</f>
        <v>112264</v>
      </c>
      <c r="B5843" s="2">
        <f>IFERROR(__xludf.DUMMYFUNCTION("""COMPUTED_VALUE"""),0.0)</f>
        <v>0</v>
      </c>
      <c r="C5843" s="2">
        <f>IFERROR(__xludf.DUMMYFUNCTION("""COMPUTED_VALUE"""),458.0)</f>
        <v>458</v>
      </c>
      <c r="D5843" s="3">
        <f>IFERROR(__xludf.DUMMYFUNCTION("""COMPUTED_VALUE"""),209.0)</f>
        <v>209</v>
      </c>
      <c r="E5843" s="1" t="str">
        <f t="array" ref="E5843">_xlfn.XLOOKUP(A5843,Product!A:A,Product!B:B,"Bulunamadı")</f>
        <v>Tech</v>
      </c>
      <c r="F5843" s="1" t="str">
        <f t="array" ref="F5843">_xlfn.XLOOKUP(A5843,Product!A:A,Product!C:C,"Bulunamadı")</f>
        <v>Psychiatry</v>
      </c>
      <c r="G5843" s="2" t="str">
        <f t="array" ref="G5843">_xlfn.XLOOKUP(A5844,Product!A:A,Product!D:D,"Bulunamadı")</f>
        <v>Cedarbridge Publishing House</v>
      </c>
      <c r="H5843" s="2">
        <f t="array" ref="H5843">_xlfn.XLOOKUP(A5845,Product!A:A,Product!E:E,"Bulunamadı")</f>
        <v>7</v>
      </c>
      <c r="I5843" s="2" t="str">
        <f t="shared" si="1"/>
        <v>112264 - Tech - Psychiatry</v>
      </c>
      <c r="J5843" s="2">
        <f t="shared" si="2"/>
        <v>1463</v>
      </c>
      <c r="K5843" s="17">
        <f t="shared" si="3"/>
        <v>1</v>
      </c>
      <c r="L5843" s="18"/>
    </row>
    <row r="5844" hidden="1">
      <c r="A5844" s="2">
        <f>IFERROR(__xludf.DUMMYFUNCTION("""COMPUTED_VALUE"""),27764.0)</f>
        <v>27764</v>
      </c>
      <c r="B5844" s="2">
        <f>IFERROR(__xludf.DUMMYFUNCTION("""COMPUTED_VALUE"""),0.0)</f>
        <v>0</v>
      </c>
      <c r="C5844" s="2">
        <f>IFERROR(__xludf.DUMMYFUNCTION("""COMPUTED_VALUE"""),814.0)</f>
        <v>814</v>
      </c>
      <c r="D5844" s="3">
        <f>IFERROR(__xludf.DUMMYFUNCTION("""COMPUTED_VALUE"""),177.0)</f>
        <v>177</v>
      </c>
      <c r="E5844" s="1" t="str">
        <f t="array" ref="E5844">_xlfn.XLOOKUP(A5844,Product!A:A,Product!B:B,"Bulunamadı")</f>
        <v>Tech</v>
      </c>
      <c r="F5844" s="1" t="str">
        <f t="array" ref="F5844">_xlfn.XLOOKUP(A5844,Product!A:A,Product!C:C,"Bulunamadı")</f>
        <v>Psychiatry</v>
      </c>
      <c r="G5844" s="2" t="str">
        <f t="array" ref="G5844">_xlfn.XLOOKUP(A5845,Product!A:A,Product!D:D,"Bulunamadı")</f>
        <v>Cedarbridge Publishing House</v>
      </c>
      <c r="H5844" s="2">
        <f t="array" ref="H5844">_xlfn.XLOOKUP(A5846,Product!A:A,Product!E:E,"Bulunamadı")</f>
        <v>8.99</v>
      </c>
      <c r="I5844" s="2" t="str">
        <f t="shared" si="1"/>
        <v>27764 - Tech - Psychiatry</v>
      </c>
      <c r="J5844" s="2">
        <f t="shared" si="2"/>
        <v>1591.23</v>
      </c>
      <c r="K5844" s="17">
        <f t="shared" si="3"/>
        <v>1</v>
      </c>
      <c r="L5844" s="18"/>
    </row>
    <row r="5845" hidden="1">
      <c r="A5845" s="2">
        <f>IFERROR(__xludf.DUMMYFUNCTION("""COMPUTED_VALUE"""),92653.0)</f>
        <v>92653</v>
      </c>
      <c r="B5845" s="2">
        <f>IFERROR(__xludf.DUMMYFUNCTION("""COMPUTED_VALUE"""),0.0)</f>
        <v>0</v>
      </c>
      <c r="C5845" s="2">
        <f>IFERROR(__xludf.DUMMYFUNCTION("""COMPUTED_VALUE"""),46.0)</f>
        <v>46</v>
      </c>
      <c r="D5845" s="3">
        <f>IFERROR(__xludf.DUMMYFUNCTION("""COMPUTED_VALUE"""),43.0)</f>
        <v>43</v>
      </c>
      <c r="E5845" s="1" t="str">
        <f t="array" ref="E5845">_xlfn.XLOOKUP(A5845,Product!A:A,Product!B:B,"Bulunamadı")</f>
        <v>Tech</v>
      </c>
      <c r="F5845" s="1" t="str">
        <f t="array" ref="F5845">_xlfn.XLOOKUP(A5845,Product!A:A,Product!C:C,"Bulunamadı")</f>
        <v>Psychiatry</v>
      </c>
      <c r="G5845" s="2" t="str">
        <f t="array" ref="G5845">_xlfn.XLOOKUP(A5846,Product!A:A,Product!D:D,"Bulunamadı")</f>
        <v>Cedarbridge Publishing House</v>
      </c>
      <c r="H5845" s="2">
        <f t="array" ref="H5845">_xlfn.XLOOKUP(A5847,Product!A:A,Product!E:E,"Bulunamadı")</f>
        <v>3.86</v>
      </c>
      <c r="I5845" s="2" t="str">
        <f t="shared" si="1"/>
        <v>92653 - Tech - Psychiatry</v>
      </c>
      <c r="J5845" s="2">
        <f t="shared" si="2"/>
        <v>165.98</v>
      </c>
      <c r="K5845" s="17">
        <f t="shared" si="3"/>
        <v>1</v>
      </c>
      <c r="L5845" s="18"/>
    </row>
    <row r="5846" hidden="1">
      <c r="A5846" s="2">
        <f>IFERROR(__xludf.DUMMYFUNCTION("""COMPUTED_VALUE"""),117990.0)</f>
        <v>117990</v>
      </c>
      <c r="B5846" s="2">
        <f>IFERROR(__xludf.DUMMYFUNCTION("""COMPUTED_VALUE"""),1.0)</f>
        <v>1</v>
      </c>
      <c r="C5846" s="2">
        <f>IFERROR(__xludf.DUMMYFUNCTION("""COMPUTED_VALUE"""),490.0)</f>
        <v>490</v>
      </c>
      <c r="D5846" s="3">
        <f>IFERROR(__xludf.DUMMYFUNCTION("""COMPUTED_VALUE"""),398.0)</f>
        <v>398</v>
      </c>
      <c r="E5846" s="1" t="str">
        <f t="array" ref="E5846">_xlfn.XLOOKUP(A5846,Product!A:A,Product!B:B,"Bulunamadı")</f>
        <v>Tech</v>
      </c>
      <c r="F5846" s="1" t="str">
        <f t="array" ref="F5846">_xlfn.XLOOKUP(A5846,Product!A:A,Product!C:C,"Bulunamadı")</f>
        <v>Psychiatry</v>
      </c>
      <c r="G5846" s="2" t="str">
        <f t="array" ref="G5846">_xlfn.XLOOKUP(A5847,Product!A:A,Product!D:D,"Bulunamadı")</f>
        <v>Cedarbridge Publishing House</v>
      </c>
      <c r="H5846" s="2">
        <f t="array" ref="H5846">_xlfn.XLOOKUP(A5848,Product!A:A,Product!E:E,"Bulunamadı")</f>
        <v>5.12</v>
      </c>
      <c r="I5846" s="2" t="str">
        <f t="shared" si="1"/>
        <v>117990 - Tech - Psychiatry</v>
      </c>
      <c r="J5846" s="2">
        <f t="shared" si="2"/>
        <v>2037.76</v>
      </c>
      <c r="K5846" s="17">
        <f t="shared" si="3"/>
        <v>1</v>
      </c>
      <c r="L5846" s="18"/>
    </row>
    <row r="5847" hidden="1">
      <c r="A5847" s="2">
        <f>IFERROR(__xludf.DUMMYFUNCTION("""COMPUTED_VALUE"""),92651.0)</f>
        <v>92651</v>
      </c>
      <c r="B5847" s="2">
        <f>IFERROR(__xludf.DUMMYFUNCTION("""COMPUTED_VALUE"""),1.0)</f>
        <v>1</v>
      </c>
      <c r="C5847" s="2">
        <f>IFERROR(__xludf.DUMMYFUNCTION("""COMPUTED_VALUE"""),361.0)</f>
        <v>361</v>
      </c>
      <c r="D5847" s="3">
        <f>IFERROR(__xludf.DUMMYFUNCTION("""COMPUTED_VALUE"""),45.0)</f>
        <v>45</v>
      </c>
      <c r="E5847" s="1" t="str">
        <f t="array" ref="E5847">_xlfn.XLOOKUP(A5847,Product!A:A,Product!B:B,"Bulunamadı")</f>
        <v>Tech</v>
      </c>
      <c r="F5847" s="1" t="str">
        <f t="array" ref="F5847">_xlfn.XLOOKUP(A5847,Product!A:A,Product!C:C,"Bulunamadı")</f>
        <v>Psychiatry</v>
      </c>
      <c r="G5847" s="2" t="str">
        <f t="array" ref="G5847">_xlfn.XLOOKUP(A5848,Product!A:A,Product!D:D,"Bulunamadı")</f>
        <v>Cedarbridge Publishing House</v>
      </c>
      <c r="H5847" s="2">
        <f t="array" ref="H5847">_xlfn.XLOOKUP(A5849,Product!A:A,Product!E:E,"Bulunamadı")</f>
        <v>1.11</v>
      </c>
      <c r="I5847" s="2" t="str">
        <f t="shared" si="1"/>
        <v>92651 - Tech - Psychiatry</v>
      </c>
      <c r="J5847" s="2">
        <f t="shared" si="2"/>
        <v>49.95</v>
      </c>
      <c r="K5847" s="17">
        <f t="shared" si="3"/>
        <v>1</v>
      </c>
      <c r="L5847" s="18"/>
    </row>
    <row r="5848" hidden="1">
      <c r="A5848" s="2">
        <f>IFERROR(__xludf.DUMMYFUNCTION("""COMPUTED_VALUE"""),104143.0)</f>
        <v>104143</v>
      </c>
      <c r="B5848" s="2">
        <f>IFERROR(__xludf.DUMMYFUNCTION("""COMPUTED_VALUE"""),0.0)</f>
        <v>0</v>
      </c>
      <c r="C5848" s="2">
        <f>IFERROR(__xludf.DUMMYFUNCTION("""COMPUTED_VALUE"""),891.0)</f>
        <v>891</v>
      </c>
      <c r="D5848" s="3">
        <f>IFERROR(__xludf.DUMMYFUNCTION("""COMPUTED_VALUE"""),172.0)</f>
        <v>172</v>
      </c>
      <c r="E5848" s="1" t="str">
        <f t="array" ref="E5848">_xlfn.XLOOKUP(A5848,Product!A:A,Product!B:B,"Bulunamadı")</f>
        <v>Tech</v>
      </c>
      <c r="F5848" s="1" t="str">
        <f t="array" ref="F5848">_xlfn.XLOOKUP(A5848,Product!A:A,Product!C:C,"Bulunamadı")</f>
        <v>Psychiatry</v>
      </c>
      <c r="G5848" s="2" t="str">
        <f t="array" ref="G5848">_xlfn.XLOOKUP(A5849,Product!A:A,Product!D:D,"Bulunamadı")</f>
        <v>Brightbridge Publishing House</v>
      </c>
      <c r="H5848" s="2">
        <f t="array" ref="H5848">_xlfn.XLOOKUP(A5850,Product!A:A,Product!E:E,"Bulunamadı")</f>
        <v>2.39</v>
      </c>
      <c r="I5848" s="2" t="str">
        <f t="shared" si="1"/>
        <v>104143 - Tech - Psychiatry</v>
      </c>
      <c r="J5848" s="2">
        <f t="shared" si="2"/>
        <v>411.08</v>
      </c>
      <c r="K5848" s="17">
        <f t="shared" si="3"/>
        <v>1</v>
      </c>
      <c r="L5848" s="18"/>
    </row>
    <row r="5849">
      <c r="A5849" s="2">
        <f>IFERROR(__xludf.DUMMYFUNCTION("""COMPUTED_VALUE"""),48641.0)</f>
        <v>48641</v>
      </c>
      <c r="B5849" s="2">
        <f>IFERROR(__xludf.DUMMYFUNCTION("""COMPUTED_VALUE"""),1.0)</f>
        <v>1</v>
      </c>
      <c r="C5849" s="2">
        <f>IFERROR(__xludf.DUMMYFUNCTION("""COMPUTED_VALUE"""),637.0)</f>
        <v>637</v>
      </c>
      <c r="D5849" s="3">
        <f>IFERROR(__xludf.DUMMYFUNCTION("""COMPUTED_VALUE"""),370.0)</f>
        <v>370</v>
      </c>
      <c r="E5849" s="1" t="str">
        <f t="array" ref="E5849">_xlfn.XLOOKUP(A5849,Product!A:A,Product!B:B,"Bulunamadı")</f>
        <v>Arts</v>
      </c>
      <c r="F5849" s="1" t="str">
        <f t="array" ref="F5849">_xlfn.XLOOKUP(A5849,Product!A:A,Product!C:C,"Bulunamadı")</f>
        <v>Public Health</v>
      </c>
      <c r="G5849" s="2" t="str">
        <f t="array" ref="G5849">_xlfn.XLOOKUP(A5850,Product!A:A,Product!D:D,"Bulunamadı")</f>
        <v>Brightbridge Publishing House</v>
      </c>
      <c r="H5849" s="2">
        <f t="array" ref="H5849">_xlfn.XLOOKUP(A5851,Product!A:A,Product!E:E,"Bulunamadı")</f>
        <v>2.83</v>
      </c>
      <c r="I5849" s="2" t="str">
        <f t="shared" si="1"/>
        <v>48641 - Arts - Public Health</v>
      </c>
      <c r="J5849" s="2">
        <f t="shared" si="2"/>
        <v>1047.1</v>
      </c>
      <c r="K5849" s="17">
        <f t="shared" si="3"/>
        <v>1</v>
      </c>
      <c r="L5849" s="18"/>
    </row>
    <row r="5850">
      <c r="A5850" s="2">
        <f>IFERROR(__xludf.DUMMYFUNCTION("""COMPUTED_VALUE"""),47543.0)</f>
        <v>47543</v>
      </c>
      <c r="B5850" s="2">
        <f>IFERROR(__xludf.DUMMYFUNCTION("""COMPUTED_VALUE"""),1.0)</f>
        <v>1</v>
      </c>
      <c r="C5850" s="2">
        <f>IFERROR(__xludf.DUMMYFUNCTION("""COMPUTED_VALUE"""),281.0)</f>
        <v>281</v>
      </c>
      <c r="D5850" s="3">
        <f>IFERROR(__xludf.DUMMYFUNCTION("""COMPUTED_VALUE"""),66.0)</f>
        <v>66</v>
      </c>
      <c r="E5850" s="1" t="str">
        <f t="array" ref="E5850">_xlfn.XLOOKUP(A5850,Product!A:A,Product!B:B,"Bulunamadı")</f>
        <v>Arts</v>
      </c>
      <c r="F5850" s="1" t="str">
        <f t="array" ref="F5850">_xlfn.XLOOKUP(A5850,Product!A:A,Product!C:C,"Bulunamadı")</f>
        <v>Public Health</v>
      </c>
      <c r="G5850" s="2" t="str">
        <f t="array" ref="G5850">_xlfn.XLOOKUP(A5851,Product!A:A,Product!D:D,"Bulunamadı")</f>
        <v>Brightbridge Publishing House</v>
      </c>
      <c r="H5850" s="2">
        <f t="array" ref="H5850">_xlfn.XLOOKUP(A5852,Product!A:A,Product!E:E,"Bulunamadı")</f>
        <v>2.6</v>
      </c>
      <c r="I5850" s="2" t="str">
        <f t="shared" si="1"/>
        <v>47543 - Arts - Public Health</v>
      </c>
      <c r="J5850" s="2">
        <f t="shared" si="2"/>
        <v>171.6</v>
      </c>
      <c r="K5850" s="17">
        <f t="shared" si="3"/>
        <v>1</v>
      </c>
      <c r="L5850" s="18"/>
    </row>
    <row r="5851">
      <c r="A5851" s="2">
        <f>IFERROR(__xludf.DUMMYFUNCTION("""COMPUTED_VALUE"""),117045.0)</f>
        <v>117045</v>
      </c>
      <c r="B5851" s="2">
        <f>IFERROR(__xludf.DUMMYFUNCTION("""COMPUTED_VALUE"""),0.0)</f>
        <v>0</v>
      </c>
      <c r="C5851" s="2">
        <f>IFERROR(__xludf.DUMMYFUNCTION("""COMPUTED_VALUE"""),448.0)</f>
        <v>448</v>
      </c>
      <c r="D5851" s="3">
        <f>IFERROR(__xludf.DUMMYFUNCTION("""COMPUTED_VALUE"""),412.0)</f>
        <v>412</v>
      </c>
      <c r="E5851" s="1" t="str">
        <f t="array" ref="E5851">_xlfn.XLOOKUP(A5851,Product!A:A,Product!B:B,"Bulunamadı")</f>
        <v>Arts</v>
      </c>
      <c r="F5851" s="1" t="str">
        <f t="array" ref="F5851">_xlfn.XLOOKUP(A5851,Product!A:A,Product!C:C,"Bulunamadı")</f>
        <v>Public Health</v>
      </c>
      <c r="G5851" s="2" t="str">
        <f t="array" ref="G5851">_xlfn.XLOOKUP(A5852,Product!A:A,Product!D:D,"Bulunamadı")</f>
        <v>Brightbridge Publishing House</v>
      </c>
      <c r="H5851" s="2">
        <f t="array" ref="H5851">_xlfn.XLOOKUP(A5853,Product!A:A,Product!E:E,"Bulunamadı")</f>
        <v>2.93</v>
      </c>
      <c r="I5851" s="2" t="str">
        <f t="shared" si="1"/>
        <v>117045 - Arts - Public Health</v>
      </c>
      <c r="J5851" s="2">
        <f t="shared" si="2"/>
        <v>1207.16</v>
      </c>
      <c r="K5851" s="17">
        <f t="shared" si="3"/>
        <v>1</v>
      </c>
      <c r="L5851" s="18"/>
    </row>
    <row r="5852">
      <c r="A5852" s="2">
        <f>IFERROR(__xludf.DUMMYFUNCTION("""COMPUTED_VALUE"""),109276.0)</f>
        <v>109276</v>
      </c>
      <c r="B5852" s="2">
        <f>IFERROR(__xludf.DUMMYFUNCTION("""COMPUTED_VALUE"""),0.0)</f>
        <v>0</v>
      </c>
      <c r="C5852" s="2">
        <f>IFERROR(__xludf.DUMMYFUNCTION("""COMPUTED_VALUE"""),601.0)</f>
        <v>601</v>
      </c>
      <c r="D5852" s="3">
        <f>IFERROR(__xludf.DUMMYFUNCTION("""COMPUTED_VALUE"""),81.0)</f>
        <v>81</v>
      </c>
      <c r="E5852" s="1" t="str">
        <f t="array" ref="E5852">_xlfn.XLOOKUP(A5852,Product!A:A,Product!B:B,"Bulunamadı")</f>
        <v>Arts</v>
      </c>
      <c r="F5852" s="1" t="str">
        <f t="array" ref="F5852">_xlfn.XLOOKUP(A5852,Product!A:A,Product!C:C,"Bulunamadı")</f>
        <v>Public Health</v>
      </c>
      <c r="G5852" s="2" t="str">
        <f t="array" ref="G5852">_xlfn.XLOOKUP(A5853,Product!A:A,Product!D:D,"Bulunamadı")</f>
        <v>Brightbridge Publishing House</v>
      </c>
      <c r="H5852" s="2">
        <f t="array" ref="H5852">_xlfn.XLOOKUP(A5854,Product!A:A,Product!E:E,"Bulunamadı")</f>
        <v>2.68</v>
      </c>
      <c r="I5852" s="2" t="str">
        <f t="shared" si="1"/>
        <v>109276 - Arts - Public Health</v>
      </c>
      <c r="J5852" s="2">
        <f t="shared" si="2"/>
        <v>217.08</v>
      </c>
      <c r="K5852" s="17">
        <f t="shared" si="3"/>
        <v>1</v>
      </c>
      <c r="L5852" s="18"/>
    </row>
    <row r="5853">
      <c r="A5853" s="2">
        <f>IFERROR(__xludf.DUMMYFUNCTION("""COMPUTED_VALUE"""),117040.0)</f>
        <v>117040</v>
      </c>
      <c r="B5853" s="2">
        <f>IFERROR(__xludf.DUMMYFUNCTION("""COMPUTED_VALUE"""),0.0)</f>
        <v>0</v>
      </c>
      <c r="C5853" s="2">
        <f>IFERROR(__xludf.DUMMYFUNCTION("""COMPUTED_VALUE"""),179.0)</f>
        <v>179</v>
      </c>
      <c r="D5853" s="3">
        <f>IFERROR(__xludf.DUMMYFUNCTION("""COMPUTED_VALUE"""),140.0)</f>
        <v>140</v>
      </c>
      <c r="E5853" s="1" t="str">
        <f t="array" ref="E5853">_xlfn.XLOOKUP(A5853,Product!A:A,Product!B:B,"Bulunamadı")</f>
        <v>Arts</v>
      </c>
      <c r="F5853" s="1" t="str">
        <f t="array" ref="F5853">_xlfn.XLOOKUP(A5853,Product!A:A,Product!C:C,"Bulunamadı")</f>
        <v>Public Health</v>
      </c>
      <c r="G5853" s="2" t="str">
        <f t="array" ref="G5853">_xlfn.XLOOKUP(A5854,Product!A:A,Product!D:D,"Bulunamadı")</f>
        <v>Brightbridge Publishing House</v>
      </c>
      <c r="H5853" s="2">
        <f t="array" ref="H5853">_xlfn.XLOOKUP(A5855,Product!A:A,Product!E:E,"Bulunamadı")</f>
        <v>1.81</v>
      </c>
      <c r="I5853" s="2" t="str">
        <f t="shared" si="1"/>
        <v>117040 - Arts - Public Health</v>
      </c>
      <c r="J5853" s="2">
        <f t="shared" si="2"/>
        <v>253.4</v>
      </c>
      <c r="K5853" s="17">
        <f t="shared" si="3"/>
        <v>1</v>
      </c>
      <c r="L5853" s="18"/>
    </row>
    <row r="5854">
      <c r="A5854" s="2">
        <f>IFERROR(__xludf.DUMMYFUNCTION("""COMPUTED_VALUE"""),108485.0)</f>
        <v>108485</v>
      </c>
      <c r="B5854" s="2">
        <f>IFERROR(__xludf.DUMMYFUNCTION("""COMPUTED_VALUE"""),1.0)</f>
        <v>1</v>
      </c>
      <c r="C5854" s="2">
        <f>IFERROR(__xludf.DUMMYFUNCTION("""COMPUTED_VALUE"""),543.0)</f>
        <v>543</v>
      </c>
      <c r="D5854" s="3">
        <f>IFERROR(__xludf.DUMMYFUNCTION("""COMPUTED_VALUE"""),5.0)</f>
        <v>5</v>
      </c>
      <c r="E5854" s="1" t="str">
        <f t="array" ref="E5854">_xlfn.XLOOKUP(A5854,Product!A:A,Product!B:B,"Bulunamadı")</f>
        <v>Arts</v>
      </c>
      <c r="F5854" s="1" t="str">
        <f t="array" ref="F5854">_xlfn.XLOOKUP(A5854,Product!A:A,Product!C:C,"Bulunamadı")</f>
        <v>Public Health</v>
      </c>
      <c r="G5854" s="2" t="str">
        <f t="array" ref="G5854">_xlfn.XLOOKUP(A5855,Product!A:A,Product!D:D,"Bulunamadı")</f>
        <v>Brightbridge Publishing House</v>
      </c>
      <c r="H5854" s="2">
        <f t="array" ref="H5854">_xlfn.XLOOKUP(A5856,Product!A:A,Product!E:E,"Bulunamadı")</f>
        <v>2.85</v>
      </c>
      <c r="I5854" s="2" t="str">
        <f t="shared" si="1"/>
        <v>108485 - Arts - Public Health</v>
      </c>
      <c r="J5854" s="2">
        <f t="shared" si="2"/>
        <v>14.25</v>
      </c>
      <c r="K5854" s="17">
        <f t="shared" si="3"/>
        <v>1</v>
      </c>
      <c r="L5854" s="18"/>
    </row>
    <row r="5855">
      <c r="A5855" s="2">
        <f>IFERROR(__xludf.DUMMYFUNCTION("""COMPUTED_VALUE"""),80095.0)</f>
        <v>80095</v>
      </c>
      <c r="B5855" s="2">
        <f>IFERROR(__xludf.DUMMYFUNCTION("""COMPUTED_VALUE"""),0.0)</f>
        <v>0</v>
      </c>
      <c r="C5855" s="2">
        <f>IFERROR(__xludf.DUMMYFUNCTION("""COMPUTED_VALUE"""),712.0)</f>
        <v>712</v>
      </c>
      <c r="D5855" s="3">
        <f>IFERROR(__xludf.DUMMYFUNCTION("""COMPUTED_VALUE"""),697.0)</f>
        <v>697</v>
      </c>
      <c r="E5855" s="1" t="str">
        <f t="array" ref="E5855">_xlfn.XLOOKUP(A5855,Product!A:A,Product!B:B,"Bulunamadı")</f>
        <v>Arts</v>
      </c>
      <c r="F5855" s="1" t="str">
        <f t="array" ref="F5855">_xlfn.XLOOKUP(A5855,Product!A:A,Product!C:C,"Bulunamadı")</f>
        <v>Public Health</v>
      </c>
      <c r="G5855" s="2" t="str">
        <f t="array" ref="G5855">_xlfn.XLOOKUP(A5856,Product!A:A,Product!D:D,"Bulunamadı")</f>
        <v>Brightbridge Publishing House</v>
      </c>
      <c r="H5855" s="2">
        <f t="array" ref="H5855">_xlfn.XLOOKUP(A5857,Product!A:A,Product!E:E,"Bulunamadı")</f>
        <v>3.66</v>
      </c>
      <c r="I5855" s="2" t="str">
        <f t="shared" si="1"/>
        <v>80095 - Arts - Public Health</v>
      </c>
      <c r="J5855" s="2">
        <f t="shared" si="2"/>
        <v>2551.02</v>
      </c>
      <c r="K5855" s="17">
        <f t="shared" si="3"/>
        <v>1</v>
      </c>
      <c r="L5855" s="18"/>
    </row>
    <row r="5856">
      <c r="A5856" s="2">
        <f>IFERROR(__xludf.DUMMYFUNCTION("""COMPUTED_VALUE"""),117044.0)</f>
        <v>117044</v>
      </c>
      <c r="B5856" s="2">
        <f>IFERROR(__xludf.DUMMYFUNCTION("""COMPUTED_VALUE"""),0.0)</f>
        <v>0</v>
      </c>
      <c r="C5856" s="2">
        <f>IFERROR(__xludf.DUMMYFUNCTION("""COMPUTED_VALUE"""),923.0)</f>
        <v>923</v>
      </c>
      <c r="D5856" s="3">
        <f>IFERROR(__xludf.DUMMYFUNCTION("""COMPUTED_VALUE"""),321.0)</f>
        <v>321</v>
      </c>
      <c r="E5856" s="1" t="str">
        <f t="array" ref="E5856">_xlfn.XLOOKUP(A5856,Product!A:A,Product!B:B,"Bulunamadı")</f>
        <v>Arts</v>
      </c>
      <c r="F5856" s="1" t="str">
        <f t="array" ref="F5856">_xlfn.XLOOKUP(A5856,Product!A:A,Product!C:C,"Bulunamadı")</f>
        <v>Public Health</v>
      </c>
      <c r="G5856" s="2" t="str">
        <f t="array" ref="G5856">_xlfn.XLOOKUP(A5857,Product!A:A,Product!D:D,"Bulunamadı")</f>
        <v>Brightbridge Publishing House</v>
      </c>
      <c r="H5856" s="2">
        <f t="array" ref="H5856">_xlfn.XLOOKUP(A5858,Product!A:A,Product!E:E,"Bulunamadı")</f>
        <v>13.68</v>
      </c>
      <c r="I5856" s="2" t="str">
        <f t="shared" si="1"/>
        <v>117044 - Arts - Public Health</v>
      </c>
      <c r="J5856" s="2">
        <f t="shared" si="2"/>
        <v>4391.28</v>
      </c>
      <c r="K5856" s="17">
        <f t="shared" si="3"/>
        <v>1</v>
      </c>
      <c r="L5856" s="18"/>
    </row>
    <row r="5857">
      <c r="A5857" s="2">
        <f>IFERROR(__xludf.DUMMYFUNCTION("""COMPUTED_VALUE"""),69279.0)</f>
        <v>69279</v>
      </c>
      <c r="B5857" s="2">
        <f>IFERROR(__xludf.DUMMYFUNCTION("""COMPUTED_VALUE"""),1.0)</f>
        <v>1</v>
      </c>
      <c r="C5857" s="2">
        <f>IFERROR(__xludf.DUMMYFUNCTION("""COMPUTED_VALUE"""),201.0)</f>
        <v>201</v>
      </c>
      <c r="D5857" s="3">
        <f>IFERROR(__xludf.DUMMYFUNCTION("""COMPUTED_VALUE"""),20.0)</f>
        <v>20</v>
      </c>
      <c r="E5857" s="1" t="str">
        <f t="array" ref="E5857">_xlfn.XLOOKUP(A5857,Product!A:A,Product!B:B,"Bulunamadı")</f>
        <v>Arts</v>
      </c>
      <c r="F5857" s="1" t="str">
        <f t="array" ref="F5857">_xlfn.XLOOKUP(A5857,Product!A:A,Product!C:C,"Bulunamadı")</f>
        <v>Public Health</v>
      </c>
      <c r="G5857" s="2" t="str">
        <f t="array" ref="G5857">_xlfn.XLOOKUP(A5858,Product!A:A,Product!D:D,"Bulunamadı")</f>
        <v>Brightbridge Publishing House</v>
      </c>
      <c r="H5857" s="2">
        <f t="array" ref="H5857">_xlfn.XLOOKUP(A5859,Product!A:A,Product!E:E,"Bulunamadı")</f>
        <v>1.04</v>
      </c>
      <c r="I5857" s="2" t="str">
        <f t="shared" si="1"/>
        <v>69279 - Arts - Public Health</v>
      </c>
      <c r="J5857" s="2">
        <f t="shared" si="2"/>
        <v>20.8</v>
      </c>
      <c r="K5857" s="17">
        <f t="shared" si="3"/>
        <v>1</v>
      </c>
      <c r="L5857" s="18"/>
    </row>
    <row r="5858">
      <c r="A5858" s="2">
        <f>IFERROR(__xludf.DUMMYFUNCTION("""COMPUTED_VALUE"""),48642.0)</f>
        <v>48642</v>
      </c>
      <c r="B5858" s="2">
        <f>IFERROR(__xludf.DUMMYFUNCTION("""COMPUTED_VALUE"""),0.0)</f>
        <v>0</v>
      </c>
      <c r="C5858" s="2">
        <f>IFERROR(__xludf.DUMMYFUNCTION("""COMPUTED_VALUE"""),447.0)</f>
        <v>447</v>
      </c>
      <c r="D5858" s="3">
        <f>IFERROR(__xludf.DUMMYFUNCTION("""COMPUTED_VALUE"""),244.0)</f>
        <v>244</v>
      </c>
      <c r="E5858" s="1" t="str">
        <f t="array" ref="E5858">_xlfn.XLOOKUP(A5858,Product!A:A,Product!B:B,"Bulunamadı")</f>
        <v>Arts</v>
      </c>
      <c r="F5858" s="1" t="str">
        <f t="array" ref="F5858">_xlfn.XLOOKUP(A5858,Product!A:A,Product!C:C,"Bulunamadı")</f>
        <v>Public Health</v>
      </c>
      <c r="G5858" s="2" t="str">
        <f t="array" ref="G5858">_xlfn.XLOOKUP(A5859,Product!A:A,Product!D:D,"Bulunamadı")</f>
        <v>Oakbridge Publishing House</v>
      </c>
      <c r="H5858" s="2">
        <f t="array" ref="H5858">_xlfn.XLOOKUP(A5860,Product!A:A,Product!E:E,"Bulunamadı")</f>
        <v>2.6</v>
      </c>
      <c r="I5858" s="2" t="str">
        <f t="shared" si="1"/>
        <v>48642 - Arts - Public Health</v>
      </c>
      <c r="J5858" s="2">
        <f t="shared" si="2"/>
        <v>634.4</v>
      </c>
      <c r="K5858" s="17">
        <f t="shared" si="3"/>
        <v>1</v>
      </c>
      <c r="L5858" s="18"/>
    </row>
    <row r="5859">
      <c r="A5859" s="2">
        <f>IFERROR(__xludf.DUMMYFUNCTION("""COMPUTED_VALUE"""),117569.0)</f>
        <v>117569</v>
      </c>
      <c r="B5859" s="2">
        <f>IFERROR(__xludf.DUMMYFUNCTION("""COMPUTED_VALUE"""),1.0)</f>
        <v>1</v>
      </c>
      <c r="C5859" s="2">
        <f>IFERROR(__xludf.DUMMYFUNCTION("""COMPUTED_VALUE"""),702.0)</f>
        <v>702</v>
      </c>
      <c r="D5859" s="3">
        <f>IFERROR(__xludf.DUMMYFUNCTION("""COMPUTED_VALUE"""),548.0)</f>
        <v>548</v>
      </c>
      <c r="E5859" s="1" t="str">
        <f t="array" ref="E5859">_xlfn.XLOOKUP(A5859,Product!A:A,Product!B:B,"Bulunamadı")</f>
        <v>Arts</v>
      </c>
      <c r="F5859" s="1" t="str">
        <f t="array" ref="F5859">_xlfn.XLOOKUP(A5859,Product!A:A,Product!C:C,"Bulunamadı")</f>
        <v>Public Health</v>
      </c>
      <c r="G5859" s="2" t="str">
        <f t="array" ref="G5859">_xlfn.XLOOKUP(A5860,Product!A:A,Product!D:D,"Bulunamadı")</f>
        <v>Oakbridge Publishing House</v>
      </c>
      <c r="H5859" s="2">
        <f t="array" ref="H5859">_xlfn.XLOOKUP(A5861,Product!A:A,Product!E:E,"Bulunamadı")</f>
        <v>1.12</v>
      </c>
      <c r="I5859" s="2" t="str">
        <f t="shared" si="1"/>
        <v>117569 - Arts - Public Health</v>
      </c>
      <c r="J5859" s="2">
        <f t="shared" si="2"/>
        <v>613.76</v>
      </c>
      <c r="K5859" s="17">
        <f t="shared" si="3"/>
        <v>1</v>
      </c>
      <c r="L5859" s="18"/>
    </row>
    <row r="5860">
      <c r="A5860" s="2">
        <f>IFERROR(__xludf.DUMMYFUNCTION("""COMPUTED_VALUE"""),83590.0)</f>
        <v>83590</v>
      </c>
      <c r="B5860" s="2">
        <f>IFERROR(__xludf.DUMMYFUNCTION("""COMPUTED_VALUE"""),0.0)</f>
        <v>0</v>
      </c>
      <c r="C5860" s="2">
        <f>IFERROR(__xludf.DUMMYFUNCTION("""COMPUTED_VALUE"""),-6.0)</f>
        <v>-6</v>
      </c>
      <c r="D5860" s="3">
        <f>IFERROR(__xludf.DUMMYFUNCTION("""COMPUTED_VALUE"""),0.0)</f>
        <v>0</v>
      </c>
      <c r="E5860" s="1" t="str">
        <f t="array" ref="E5860">_xlfn.XLOOKUP(A5860,Product!A:A,Product!B:B,"Bulunamadı")</f>
        <v>Arts</v>
      </c>
      <c r="F5860" s="1" t="str">
        <f t="array" ref="F5860">_xlfn.XLOOKUP(A5860,Product!A:A,Product!C:C,"Bulunamadı")</f>
        <v>Public Health</v>
      </c>
      <c r="G5860" s="2" t="str">
        <f t="array" ref="G5860">_xlfn.XLOOKUP(A5861,Product!A:A,Product!D:D,"Bulunamadı")</f>
        <v>Oakbridge Publishing House</v>
      </c>
      <c r="H5860" s="2">
        <f t="array" ref="H5860">_xlfn.XLOOKUP(A5862,Product!A:A,Product!E:E,"Bulunamadı")</f>
        <v>2.42</v>
      </c>
      <c r="I5860" s="2" t="str">
        <f t="shared" si="1"/>
        <v>83590 - Arts - Public Health</v>
      </c>
      <c r="J5860" s="2">
        <f t="shared" si="2"/>
        <v>0</v>
      </c>
      <c r="K5860" s="17">
        <f t="shared" si="3"/>
        <v>0</v>
      </c>
      <c r="L5860" s="18"/>
    </row>
    <row r="5861">
      <c r="A5861" s="2">
        <f>IFERROR(__xludf.DUMMYFUNCTION("""COMPUTED_VALUE"""),117566.0)</f>
        <v>117566</v>
      </c>
      <c r="B5861" s="2">
        <f>IFERROR(__xludf.DUMMYFUNCTION("""COMPUTED_VALUE"""),0.0)</f>
        <v>0</v>
      </c>
      <c r="C5861" s="2">
        <f>IFERROR(__xludf.DUMMYFUNCTION("""COMPUTED_VALUE"""),698.0)</f>
        <v>698</v>
      </c>
      <c r="D5861" s="3">
        <f>IFERROR(__xludf.DUMMYFUNCTION("""COMPUTED_VALUE"""),660.0)</f>
        <v>660</v>
      </c>
      <c r="E5861" s="1" t="str">
        <f t="array" ref="E5861">_xlfn.XLOOKUP(A5861,Product!A:A,Product!B:B,"Bulunamadı")</f>
        <v>Arts</v>
      </c>
      <c r="F5861" s="1" t="str">
        <f t="array" ref="F5861">_xlfn.XLOOKUP(A5861,Product!A:A,Product!C:C,"Bulunamadı")</f>
        <v>Public Health</v>
      </c>
      <c r="G5861" s="2" t="str">
        <f t="array" ref="G5861">_xlfn.XLOOKUP(A5862,Product!A:A,Product!D:D,"Bulunamadı")</f>
        <v>Oakbridge Publishing House</v>
      </c>
      <c r="H5861" s="2">
        <f t="array" ref="H5861">_xlfn.XLOOKUP(A5863,Product!A:A,Product!E:E,"Bulunamadı")</f>
        <v>2.07</v>
      </c>
      <c r="I5861" s="2" t="str">
        <f t="shared" si="1"/>
        <v>117566 - Arts - Public Health</v>
      </c>
      <c r="J5861" s="2">
        <f t="shared" si="2"/>
        <v>1366.2</v>
      </c>
      <c r="K5861" s="17">
        <f t="shared" si="3"/>
        <v>1</v>
      </c>
      <c r="L5861" s="18"/>
    </row>
    <row r="5862">
      <c r="A5862" s="2">
        <f>IFERROR(__xludf.DUMMYFUNCTION("""COMPUTED_VALUE"""),116391.0)</f>
        <v>116391</v>
      </c>
      <c r="B5862" s="2">
        <f>IFERROR(__xludf.DUMMYFUNCTION("""COMPUTED_VALUE"""),1.0)</f>
        <v>1</v>
      </c>
      <c r="C5862" s="2">
        <f>IFERROR(__xludf.DUMMYFUNCTION("""COMPUTED_VALUE"""),659.0)</f>
        <v>659</v>
      </c>
      <c r="D5862" s="3">
        <f>IFERROR(__xludf.DUMMYFUNCTION("""COMPUTED_VALUE"""),371.0)</f>
        <v>371</v>
      </c>
      <c r="E5862" s="1" t="str">
        <f t="array" ref="E5862">_xlfn.XLOOKUP(A5862,Product!A:A,Product!B:B,"Bulunamadı")</f>
        <v>Arts</v>
      </c>
      <c r="F5862" s="1" t="str">
        <f t="array" ref="F5862">_xlfn.XLOOKUP(A5862,Product!A:A,Product!C:C,"Bulunamadı")</f>
        <v>Public Health</v>
      </c>
      <c r="G5862" s="2" t="str">
        <f t="array" ref="G5862">_xlfn.XLOOKUP(A5863,Product!A:A,Product!D:D,"Bulunamadı")</f>
        <v>Oakbridge Publishing House</v>
      </c>
      <c r="H5862" s="2">
        <f t="array" ref="H5862">_xlfn.XLOOKUP(A5864,Product!A:A,Product!E:E,"Bulunamadı")</f>
        <v>1.16</v>
      </c>
      <c r="I5862" s="2" t="str">
        <f t="shared" si="1"/>
        <v>116391 - Arts - Public Health</v>
      </c>
      <c r="J5862" s="2">
        <f t="shared" si="2"/>
        <v>430.36</v>
      </c>
      <c r="K5862" s="17">
        <f t="shared" si="3"/>
        <v>1</v>
      </c>
      <c r="L5862" s="18"/>
    </row>
    <row r="5863">
      <c r="A5863" s="2">
        <f>IFERROR(__xludf.DUMMYFUNCTION("""COMPUTED_VALUE"""),47388.0)</f>
        <v>47388</v>
      </c>
      <c r="B5863" s="2">
        <f>IFERROR(__xludf.DUMMYFUNCTION("""COMPUTED_VALUE"""),1.0)</f>
        <v>1</v>
      </c>
      <c r="C5863" s="2">
        <f>IFERROR(__xludf.DUMMYFUNCTION("""COMPUTED_VALUE"""),334.0)</f>
        <v>334</v>
      </c>
      <c r="D5863" s="3">
        <f>IFERROR(__xludf.DUMMYFUNCTION("""COMPUTED_VALUE"""),99.0)</f>
        <v>99</v>
      </c>
      <c r="E5863" s="1" t="str">
        <f t="array" ref="E5863">_xlfn.XLOOKUP(A5863,Product!A:A,Product!B:B,"Bulunamadı")</f>
        <v>Arts</v>
      </c>
      <c r="F5863" s="1" t="str">
        <f t="array" ref="F5863">_xlfn.XLOOKUP(A5863,Product!A:A,Product!C:C,"Bulunamadı")</f>
        <v>Public Health</v>
      </c>
      <c r="G5863" s="2" t="str">
        <f t="array" ref="G5863">_xlfn.XLOOKUP(A5864,Product!A:A,Product!D:D,"Bulunamadı")</f>
        <v>Oakbridge Publishing House</v>
      </c>
      <c r="H5863" s="2">
        <f t="array" ref="H5863">_xlfn.XLOOKUP(A5865,Product!A:A,Product!E:E,"Bulunamadı")</f>
        <v>1.82</v>
      </c>
      <c r="I5863" s="2" t="str">
        <f t="shared" si="1"/>
        <v>47388 - Arts - Public Health</v>
      </c>
      <c r="J5863" s="2">
        <f t="shared" si="2"/>
        <v>180.18</v>
      </c>
      <c r="K5863" s="17">
        <f t="shared" si="3"/>
        <v>1</v>
      </c>
      <c r="L5863" s="18"/>
    </row>
    <row r="5864">
      <c r="A5864" s="2">
        <f>IFERROR(__xludf.DUMMYFUNCTION("""COMPUTED_VALUE"""),117567.0)</f>
        <v>117567</v>
      </c>
      <c r="B5864" s="2">
        <f>IFERROR(__xludf.DUMMYFUNCTION("""COMPUTED_VALUE"""),0.0)</f>
        <v>0</v>
      </c>
      <c r="C5864" s="2">
        <f>IFERROR(__xludf.DUMMYFUNCTION("""COMPUTED_VALUE"""),874.0)</f>
        <v>874</v>
      </c>
      <c r="D5864" s="3">
        <f>IFERROR(__xludf.DUMMYFUNCTION("""COMPUTED_VALUE"""),807.0)</f>
        <v>807</v>
      </c>
      <c r="E5864" s="1" t="str">
        <f t="array" ref="E5864">_xlfn.XLOOKUP(A5864,Product!A:A,Product!B:B,"Bulunamadı")</f>
        <v>Arts</v>
      </c>
      <c r="F5864" s="1" t="str">
        <f t="array" ref="F5864">_xlfn.XLOOKUP(A5864,Product!A:A,Product!C:C,"Bulunamadı")</f>
        <v>Public Health</v>
      </c>
      <c r="G5864" s="2" t="str">
        <f t="array" ref="G5864">_xlfn.XLOOKUP(A5865,Product!A:A,Product!D:D,"Bulunamadı")</f>
        <v>Oakbridge Publishing House</v>
      </c>
      <c r="H5864" s="2">
        <f t="array" ref="H5864">_xlfn.XLOOKUP(A5866,Product!A:A,Product!E:E,"Bulunamadı")</f>
        <v>1.74</v>
      </c>
      <c r="I5864" s="2" t="str">
        <f t="shared" si="1"/>
        <v>117567 - Arts - Public Health</v>
      </c>
      <c r="J5864" s="2">
        <f t="shared" si="2"/>
        <v>1404.18</v>
      </c>
      <c r="K5864" s="17">
        <f t="shared" si="3"/>
        <v>1</v>
      </c>
      <c r="L5864" s="18"/>
    </row>
    <row r="5865">
      <c r="A5865" s="2">
        <f>IFERROR(__xludf.DUMMYFUNCTION("""COMPUTED_VALUE"""),104319.0)</f>
        <v>104319</v>
      </c>
      <c r="B5865" s="2">
        <f>IFERROR(__xludf.DUMMYFUNCTION("""COMPUTED_VALUE"""),0.0)</f>
        <v>0</v>
      </c>
      <c r="C5865" s="2">
        <f>IFERROR(__xludf.DUMMYFUNCTION("""COMPUTED_VALUE"""),550.0)</f>
        <v>550</v>
      </c>
      <c r="D5865" s="3">
        <f>IFERROR(__xludf.DUMMYFUNCTION("""COMPUTED_VALUE"""),74.0)</f>
        <v>74</v>
      </c>
      <c r="E5865" s="1" t="str">
        <f t="array" ref="E5865">_xlfn.XLOOKUP(A5865,Product!A:A,Product!B:B,"Bulunamadı")</f>
        <v>Arts</v>
      </c>
      <c r="F5865" s="1" t="str">
        <f t="array" ref="F5865">_xlfn.XLOOKUP(A5865,Product!A:A,Product!C:C,"Bulunamadı")</f>
        <v>Public Health</v>
      </c>
      <c r="G5865" s="2" t="str">
        <f t="array" ref="G5865">_xlfn.XLOOKUP(A5866,Product!A:A,Product!D:D,"Bulunamadı")</f>
        <v>Oakbridge Publishing House</v>
      </c>
      <c r="H5865" s="2">
        <f t="array" ref="H5865">_xlfn.XLOOKUP(A5867,Product!A:A,Product!E:E,"Bulunamadı")</f>
        <v>2.08</v>
      </c>
      <c r="I5865" s="2" t="str">
        <f t="shared" si="1"/>
        <v>104319 - Arts - Public Health</v>
      </c>
      <c r="J5865" s="2">
        <f t="shared" si="2"/>
        <v>153.92</v>
      </c>
      <c r="K5865" s="17">
        <f t="shared" si="3"/>
        <v>1</v>
      </c>
      <c r="L5865" s="18"/>
    </row>
    <row r="5866">
      <c r="A5866" s="2">
        <f>IFERROR(__xludf.DUMMYFUNCTION("""COMPUTED_VALUE"""),120399.0)</f>
        <v>120399</v>
      </c>
      <c r="B5866" s="2">
        <f>IFERROR(__xludf.DUMMYFUNCTION("""COMPUTED_VALUE"""),0.0)</f>
        <v>0</v>
      </c>
      <c r="C5866" s="2">
        <f>IFERROR(__xludf.DUMMYFUNCTION("""COMPUTED_VALUE"""),165.0)</f>
        <v>165</v>
      </c>
      <c r="D5866" s="3">
        <f>IFERROR(__xludf.DUMMYFUNCTION("""COMPUTED_VALUE"""),107.0)</f>
        <v>107</v>
      </c>
      <c r="E5866" s="1" t="str">
        <f t="array" ref="E5866">_xlfn.XLOOKUP(A5866,Product!A:A,Product!B:B,"Bulunamadı")</f>
        <v>Arts</v>
      </c>
      <c r="F5866" s="1" t="str">
        <f t="array" ref="F5866">_xlfn.XLOOKUP(A5866,Product!A:A,Product!C:C,"Bulunamadı")</f>
        <v>Public Health</v>
      </c>
      <c r="G5866" s="2" t="str">
        <f t="array" ref="G5866">_xlfn.XLOOKUP(A5867,Product!A:A,Product!D:D,"Bulunamadı")</f>
        <v>Oakbridge Publishing House</v>
      </c>
      <c r="H5866" s="2">
        <f t="array" ref="H5866">_xlfn.XLOOKUP(A5868,Product!A:A,Product!E:E,"Bulunamadı")</f>
        <v>2.17</v>
      </c>
      <c r="I5866" s="2" t="str">
        <f t="shared" si="1"/>
        <v>120399 - Arts - Public Health</v>
      </c>
      <c r="J5866" s="2">
        <f t="shared" si="2"/>
        <v>232.19</v>
      </c>
      <c r="K5866" s="17">
        <f t="shared" si="3"/>
        <v>1</v>
      </c>
      <c r="L5866" s="18"/>
    </row>
    <row r="5867">
      <c r="A5867" s="2">
        <f>IFERROR(__xludf.DUMMYFUNCTION("""COMPUTED_VALUE"""),47389.0)</f>
        <v>47389</v>
      </c>
      <c r="B5867" s="2">
        <f>IFERROR(__xludf.DUMMYFUNCTION("""COMPUTED_VALUE"""),0.0)</f>
        <v>0</v>
      </c>
      <c r="C5867" s="2">
        <f>IFERROR(__xludf.DUMMYFUNCTION("""COMPUTED_VALUE"""),894.0)</f>
        <v>894</v>
      </c>
      <c r="D5867" s="3">
        <f>IFERROR(__xludf.DUMMYFUNCTION("""COMPUTED_VALUE"""),281.0)</f>
        <v>281</v>
      </c>
      <c r="E5867" s="1" t="str">
        <f t="array" ref="E5867">_xlfn.XLOOKUP(A5867,Product!A:A,Product!B:B,"Bulunamadı")</f>
        <v>Arts</v>
      </c>
      <c r="F5867" s="1" t="str">
        <f t="array" ref="F5867">_xlfn.XLOOKUP(A5867,Product!A:A,Product!C:C,"Bulunamadı")</f>
        <v>Public Health</v>
      </c>
      <c r="G5867" s="2" t="str">
        <f t="array" ref="G5867">_xlfn.XLOOKUP(A5868,Product!A:A,Product!D:D,"Bulunamadı")</f>
        <v>Oakbridge Publishing House</v>
      </c>
      <c r="H5867" s="2">
        <f t="array" ref="H5867">_xlfn.XLOOKUP(A5869,Product!A:A,Product!E:E,"Bulunamadı")</f>
        <v>1.2</v>
      </c>
      <c r="I5867" s="2" t="str">
        <f t="shared" si="1"/>
        <v>47389 - Arts - Public Health</v>
      </c>
      <c r="J5867" s="2">
        <f t="shared" si="2"/>
        <v>337.2</v>
      </c>
      <c r="K5867" s="17">
        <f t="shared" si="3"/>
        <v>1</v>
      </c>
      <c r="L5867" s="18"/>
    </row>
    <row r="5868">
      <c r="A5868" s="2">
        <f>IFERROR(__xludf.DUMMYFUNCTION("""COMPUTED_VALUE"""),47384.0)</f>
        <v>47384</v>
      </c>
      <c r="B5868" s="2">
        <f>IFERROR(__xludf.DUMMYFUNCTION("""COMPUTED_VALUE"""),1.0)</f>
        <v>1</v>
      </c>
      <c r="C5868" s="2">
        <f>IFERROR(__xludf.DUMMYFUNCTION("""COMPUTED_VALUE"""),685.0)</f>
        <v>685</v>
      </c>
      <c r="D5868" s="3">
        <f>IFERROR(__xludf.DUMMYFUNCTION("""COMPUTED_VALUE"""),666.0)</f>
        <v>666</v>
      </c>
      <c r="E5868" s="1" t="str">
        <f t="array" ref="E5868">_xlfn.XLOOKUP(A5868,Product!A:A,Product!B:B,"Bulunamadı")</f>
        <v>Arts</v>
      </c>
      <c r="F5868" s="1" t="str">
        <f t="array" ref="F5868">_xlfn.XLOOKUP(A5868,Product!A:A,Product!C:C,"Bulunamadı")</f>
        <v>Public Health</v>
      </c>
      <c r="G5868" s="2" t="str">
        <f t="array" ref="G5868">_xlfn.XLOOKUP(A5869,Product!A:A,Product!D:D,"Bulunamadı")</f>
        <v>Oakbridge Publishing House</v>
      </c>
      <c r="H5868" s="2">
        <f t="array" ref="H5868">_xlfn.XLOOKUP(A5870,Product!A:A,Product!E:E,"Bulunamadı")</f>
        <v>1.91</v>
      </c>
      <c r="I5868" s="2" t="str">
        <f t="shared" si="1"/>
        <v>47384 - Arts - Public Health</v>
      </c>
      <c r="J5868" s="2">
        <f t="shared" si="2"/>
        <v>1272.06</v>
      </c>
      <c r="K5868" s="17">
        <f t="shared" si="3"/>
        <v>1</v>
      </c>
      <c r="L5868" s="18"/>
    </row>
    <row r="5869">
      <c r="A5869" s="2">
        <f>IFERROR(__xludf.DUMMYFUNCTION("""COMPUTED_VALUE"""),117568.0)</f>
        <v>117568</v>
      </c>
      <c r="B5869" s="2">
        <f>IFERROR(__xludf.DUMMYFUNCTION("""COMPUTED_VALUE"""),1.0)</f>
        <v>1</v>
      </c>
      <c r="C5869" s="2">
        <f>IFERROR(__xludf.DUMMYFUNCTION("""COMPUTED_VALUE"""),796.0)</f>
        <v>796</v>
      </c>
      <c r="D5869" s="3">
        <f>IFERROR(__xludf.DUMMYFUNCTION("""COMPUTED_VALUE"""),141.0)</f>
        <v>141</v>
      </c>
      <c r="E5869" s="1" t="str">
        <f t="array" ref="E5869">_xlfn.XLOOKUP(A5869,Product!A:A,Product!B:B,"Bulunamadı")</f>
        <v>Arts</v>
      </c>
      <c r="F5869" s="1" t="str">
        <f t="array" ref="F5869">_xlfn.XLOOKUP(A5869,Product!A:A,Product!C:C,"Bulunamadı")</f>
        <v>Public Health</v>
      </c>
      <c r="G5869" s="2" t="str">
        <f t="array" ref="G5869">_xlfn.XLOOKUP(A5870,Product!A:A,Product!D:D,"Bulunamadı")</f>
        <v>Oakbridge Publishing House</v>
      </c>
      <c r="H5869" s="2">
        <f t="array" ref="H5869">_xlfn.XLOOKUP(A5871,Product!A:A,Product!E:E,"Bulunamadı")</f>
        <v>1.7</v>
      </c>
      <c r="I5869" s="2" t="str">
        <f t="shared" si="1"/>
        <v>117568 - Arts - Public Health</v>
      </c>
      <c r="J5869" s="2">
        <f t="shared" si="2"/>
        <v>239.7</v>
      </c>
      <c r="K5869" s="17">
        <f t="shared" si="3"/>
        <v>1</v>
      </c>
      <c r="L5869" s="18"/>
    </row>
    <row r="5870">
      <c r="A5870" s="2">
        <f>IFERROR(__xludf.DUMMYFUNCTION("""COMPUTED_VALUE"""),80233.0)</f>
        <v>80233</v>
      </c>
      <c r="B5870" s="2">
        <f>IFERROR(__xludf.DUMMYFUNCTION("""COMPUTED_VALUE"""),1.0)</f>
        <v>1</v>
      </c>
      <c r="C5870" s="2">
        <f>IFERROR(__xludf.DUMMYFUNCTION("""COMPUTED_VALUE"""),873.0)</f>
        <v>873</v>
      </c>
      <c r="D5870" s="3">
        <f>IFERROR(__xludf.DUMMYFUNCTION("""COMPUTED_VALUE"""),343.0)</f>
        <v>343</v>
      </c>
      <c r="E5870" s="1" t="str">
        <f t="array" ref="E5870">_xlfn.XLOOKUP(A5870,Product!A:A,Product!B:B,"Bulunamadı")</f>
        <v>Arts</v>
      </c>
      <c r="F5870" s="1" t="str">
        <f t="array" ref="F5870">_xlfn.XLOOKUP(A5870,Product!A:A,Product!C:C,"Bulunamadı")</f>
        <v>Public Health</v>
      </c>
      <c r="G5870" s="2" t="str">
        <f t="array" ref="G5870">_xlfn.XLOOKUP(A5871,Product!A:A,Product!D:D,"Bulunamadı")</f>
        <v>Oakbridge Publishing House</v>
      </c>
      <c r="H5870" s="2">
        <f t="array" ref="H5870">_xlfn.XLOOKUP(A5872,Product!A:A,Product!E:E,"Bulunamadı")</f>
        <v>2.07</v>
      </c>
      <c r="I5870" s="2" t="str">
        <f t="shared" si="1"/>
        <v>80233 - Arts - Public Health</v>
      </c>
      <c r="J5870" s="2">
        <f t="shared" si="2"/>
        <v>710.01</v>
      </c>
      <c r="K5870" s="17">
        <f t="shared" si="3"/>
        <v>1</v>
      </c>
      <c r="L5870" s="18"/>
    </row>
    <row r="5871">
      <c r="A5871" s="2">
        <f>IFERROR(__xludf.DUMMYFUNCTION("""COMPUTED_VALUE"""),120396.0)</f>
        <v>120396</v>
      </c>
      <c r="B5871" s="2">
        <f>IFERROR(__xludf.DUMMYFUNCTION("""COMPUTED_VALUE"""),0.0)</f>
        <v>0</v>
      </c>
      <c r="C5871" s="2">
        <f>IFERROR(__xludf.DUMMYFUNCTION("""COMPUTED_VALUE"""),286.0)</f>
        <v>286</v>
      </c>
      <c r="D5871" s="3">
        <f>IFERROR(__xludf.DUMMYFUNCTION("""COMPUTED_VALUE"""),68.0)</f>
        <v>68</v>
      </c>
      <c r="E5871" s="1" t="str">
        <f t="array" ref="E5871">_xlfn.XLOOKUP(A5871,Product!A:A,Product!B:B,"Bulunamadı")</f>
        <v>Arts</v>
      </c>
      <c r="F5871" s="1" t="str">
        <f t="array" ref="F5871">_xlfn.XLOOKUP(A5871,Product!A:A,Product!C:C,"Bulunamadı")</f>
        <v>Public Health</v>
      </c>
      <c r="G5871" s="2" t="str">
        <f t="array" ref="G5871">_xlfn.XLOOKUP(A5872,Product!A:A,Product!D:D,"Bulunamadı")</f>
        <v>Oakbridge Publishing House</v>
      </c>
      <c r="H5871" s="2">
        <f t="array" ref="H5871">_xlfn.XLOOKUP(A5873,Product!A:A,Product!E:E,"Bulunamadı")</f>
        <v>1.12</v>
      </c>
      <c r="I5871" s="2" t="str">
        <f t="shared" si="1"/>
        <v>120396 - Arts - Public Health</v>
      </c>
      <c r="J5871" s="2">
        <f t="shared" si="2"/>
        <v>76.16</v>
      </c>
      <c r="K5871" s="17">
        <f t="shared" si="3"/>
        <v>1</v>
      </c>
      <c r="L5871" s="18"/>
    </row>
    <row r="5872">
      <c r="A5872" s="2">
        <f>IFERROR(__xludf.DUMMYFUNCTION("""COMPUTED_VALUE"""),47386.0)</f>
        <v>47386</v>
      </c>
      <c r="B5872" s="2">
        <f>IFERROR(__xludf.DUMMYFUNCTION("""COMPUTED_VALUE"""),0.0)</f>
        <v>0</v>
      </c>
      <c r="C5872" s="2">
        <f>IFERROR(__xludf.DUMMYFUNCTION("""COMPUTED_VALUE"""),908.0)</f>
        <v>908</v>
      </c>
      <c r="D5872" s="3">
        <f>IFERROR(__xludf.DUMMYFUNCTION("""COMPUTED_VALUE"""),796.0)</f>
        <v>796</v>
      </c>
      <c r="E5872" s="1" t="str">
        <f t="array" ref="E5872">_xlfn.XLOOKUP(A5872,Product!A:A,Product!B:B,"Bulunamadı")</f>
        <v>Arts</v>
      </c>
      <c r="F5872" s="1" t="str">
        <f t="array" ref="F5872">_xlfn.XLOOKUP(A5872,Product!A:A,Product!C:C,"Bulunamadı")</f>
        <v>Public Health</v>
      </c>
      <c r="G5872" s="2" t="str">
        <f t="array" ref="G5872">_xlfn.XLOOKUP(A5873,Product!A:A,Product!D:D,"Bulunamadı")</f>
        <v>Oakbridge Publishing House</v>
      </c>
      <c r="H5872" s="2">
        <f t="array" ref="H5872">_xlfn.XLOOKUP(A5874,Product!A:A,Product!E:E,"Bulunamadı")</f>
        <v>2.05</v>
      </c>
      <c r="I5872" s="2" t="str">
        <f t="shared" si="1"/>
        <v>47386 - Arts - Public Health</v>
      </c>
      <c r="J5872" s="2">
        <f t="shared" si="2"/>
        <v>1631.8</v>
      </c>
      <c r="K5872" s="17">
        <f t="shared" si="3"/>
        <v>1</v>
      </c>
      <c r="L5872" s="18"/>
    </row>
    <row r="5873">
      <c r="A5873" s="2">
        <f>IFERROR(__xludf.DUMMYFUNCTION("""COMPUTED_VALUE"""),110294.0)</f>
        <v>110294</v>
      </c>
      <c r="B5873" s="2">
        <f>IFERROR(__xludf.DUMMYFUNCTION("""COMPUTED_VALUE"""),1.0)</f>
        <v>1</v>
      </c>
      <c r="C5873" s="2">
        <f>IFERROR(__xludf.DUMMYFUNCTION("""COMPUTED_VALUE"""),320.0)</f>
        <v>320</v>
      </c>
      <c r="D5873" s="3">
        <f>IFERROR(__xludf.DUMMYFUNCTION("""COMPUTED_VALUE"""),171.0)</f>
        <v>171</v>
      </c>
      <c r="E5873" s="1" t="str">
        <f t="array" ref="E5873">_xlfn.XLOOKUP(A5873,Product!A:A,Product!B:B,"Bulunamadı")</f>
        <v>Arts</v>
      </c>
      <c r="F5873" s="1" t="str">
        <f t="array" ref="F5873">_xlfn.XLOOKUP(A5873,Product!A:A,Product!C:C,"Bulunamadı")</f>
        <v>Public Health</v>
      </c>
      <c r="G5873" s="2" t="str">
        <f t="array" ref="G5873">_xlfn.XLOOKUP(A5874,Product!A:A,Product!D:D,"Bulunamadı")</f>
        <v>Oakbridge Publishing House</v>
      </c>
      <c r="H5873" s="2">
        <f t="array" ref="H5873">_xlfn.XLOOKUP(A5875,Product!A:A,Product!E:E,"Bulunamadı")</f>
        <v>2.54</v>
      </c>
      <c r="I5873" s="2" t="str">
        <f t="shared" si="1"/>
        <v>110294 - Arts - Public Health</v>
      </c>
      <c r="J5873" s="2">
        <f t="shared" si="2"/>
        <v>434.34</v>
      </c>
      <c r="K5873" s="17">
        <f t="shared" si="3"/>
        <v>1</v>
      </c>
      <c r="L5873" s="18"/>
    </row>
    <row r="5874">
      <c r="A5874" s="2">
        <f>IFERROR(__xludf.DUMMYFUNCTION("""COMPUTED_VALUE"""),47374.0)</f>
        <v>47374</v>
      </c>
      <c r="B5874" s="2">
        <f>IFERROR(__xludf.DUMMYFUNCTION("""COMPUTED_VALUE"""),0.0)</f>
        <v>0</v>
      </c>
      <c r="C5874" s="2">
        <f>IFERROR(__xludf.DUMMYFUNCTION("""COMPUTED_VALUE"""),764.0)</f>
        <v>764</v>
      </c>
      <c r="D5874" s="3">
        <f>IFERROR(__xludf.DUMMYFUNCTION("""COMPUTED_VALUE"""),173.0)</f>
        <v>173</v>
      </c>
      <c r="E5874" s="1" t="str">
        <f t="array" ref="E5874">_xlfn.XLOOKUP(A5874,Product!A:A,Product!B:B,"Bulunamadı")</f>
        <v>Arts</v>
      </c>
      <c r="F5874" s="1" t="str">
        <f t="array" ref="F5874">_xlfn.XLOOKUP(A5874,Product!A:A,Product!C:C,"Bulunamadı")</f>
        <v>Public Health</v>
      </c>
      <c r="G5874" s="2" t="str">
        <f t="array" ref="G5874">_xlfn.XLOOKUP(A5875,Product!A:A,Product!D:D,"Bulunamadı")</f>
        <v>Oakbridge Publishing House</v>
      </c>
      <c r="H5874" s="2">
        <f t="array" ref="H5874">_xlfn.XLOOKUP(A5876,Product!A:A,Product!E:E,"Bulunamadı")</f>
        <v>1.17</v>
      </c>
      <c r="I5874" s="2" t="str">
        <f t="shared" si="1"/>
        <v>47374 - Arts - Public Health</v>
      </c>
      <c r="J5874" s="2">
        <f t="shared" si="2"/>
        <v>202.41</v>
      </c>
      <c r="K5874" s="17">
        <f t="shared" si="3"/>
        <v>1</v>
      </c>
      <c r="L5874" s="18"/>
    </row>
    <row r="5875">
      <c r="A5875" s="2">
        <f>IFERROR(__xludf.DUMMYFUNCTION("""COMPUTED_VALUE"""),115586.0)</f>
        <v>115586</v>
      </c>
      <c r="B5875" s="2">
        <f>IFERROR(__xludf.DUMMYFUNCTION("""COMPUTED_VALUE"""),1.0)</f>
        <v>1</v>
      </c>
      <c r="C5875" s="2">
        <f>IFERROR(__xludf.DUMMYFUNCTION("""COMPUTED_VALUE"""),496.0)</f>
        <v>496</v>
      </c>
      <c r="D5875" s="3">
        <f>IFERROR(__xludf.DUMMYFUNCTION("""COMPUTED_VALUE"""),464.0)</f>
        <v>464</v>
      </c>
      <c r="E5875" s="1" t="str">
        <f t="array" ref="E5875">_xlfn.XLOOKUP(A5875,Product!A:A,Product!B:B,"Bulunamadı")</f>
        <v>Arts</v>
      </c>
      <c r="F5875" s="1" t="str">
        <f t="array" ref="F5875">_xlfn.XLOOKUP(A5875,Product!A:A,Product!C:C,"Bulunamadı")</f>
        <v>Public Health</v>
      </c>
      <c r="G5875" s="2" t="str">
        <f t="array" ref="G5875">_xlfn.XLOOKUP(A5876,Product!A:A,Product!D:D,"Bulunamadı")</f>
        <v>Oakbridge Publishing House</v>
      </c>
      <c r="H5875" s="2">
        <f t="array" ref="H5875">_xlfn.XLOOKUP(A5877,Product!A:A,Product!E:E,"Bulunamadı")</f>
        <v>1.73</v>
      </c>
      <c r="I5875" s="2" t="str">
        <f t="shared" si="1"/>
        <v>115586 - Arts - Public Health</v>
      </c>
      <c r="J5875" s="2">
        <f t="shared" si="2"/>
        <v>802.72</v>
      </c>
      <c r="K5875" s="17">
        <f t="shared" si="3"/>
        <v>1</v>
      </c>
      <c r="L5875" s="18"/>
    </row>
    <row r="5876">
      <c r="A5876" s="2">
        <f>IFERROR(__xludf.DUMMYFUNCTION("""COMPUTED_VALUE"""),112736.0)</f>
        <v>112736</v>
      </c>
      <c r="B5876" s="2">
        <f>IFERROR(__xludf.DUMMYFUNCTION("""COMPUTED_VALUE"""),1.0)</f>
        <v>1</v>
      </c>
      <c r="C5876" s="2">
        <f>IFERROR(__xludf.DUMMYFUNCTION("""COMPUTED_VALUE"""),743.0)</f>
        <v>743</v>
      </c>
      <c r="D5876" s="3">
        <f>IFERROR(__xludf.DUMMYFUNCTION("""COMPUTED_VALUE"""),231.0)</f>
        <v>231</v>
      </c>
      <c r="E5876" s="1" t="str">
        <f t="array" ref="E5876">_xlfn.XLOOKUP(A5876,Product!A:A,Product!B:B,"Bulunamadı")</f>
        <v>Arts</v>
      </c>
      <c r="F5876" s="1" t="str">
        <f t="array" ref="F5876">_xlfn.XLOOKUP(A5876,Product!A:A,Product!C:C,"Bulunamadı")</f>
        <v>Public Health</v>
      </c>
      <c r="G5876" s="2" t="str">
        <f t="array" ref="G5876">_xlfn.XLOOKUP(A5877,Product!A:A,Product!D:D,"Bulunamadı")</f>
        <v>Oakbridge Publishing House</v>
      </c>
      <c r="H5876" s="2">
        <f t="array" ref="H5876">_xlfn.XLOOKUP(A5878,Product!A:A,Product!E:E,"Bulunamadı")</f>
        <v>0.8</v>
      </c>
      <c r="I5876" s="2" t="str">
        <f t="shared" si="1"/>
        <v>112736 - Arts - Public Health</v>
      </c>
      <c r="J5876" s="2">
        <f t="shared" si="2"/>
        <v>184.8</v>
      </c>
      <c r="K5876" s="17">
        <f t="shared" si="3"/>
        <v>1</v>
      </c>
      <c r="L5876" s="18"/>
    </row>
    <row r="5877">
      <c r="A5877" s="2">
        <f>IFERROR(__xludf.DUMMYFUNCTION("""COMPUTED_VALUE"""),80234.0)</f>
        <v>80234</v>
      </c>
      <c r="B5877" s="2">
        <f>IFERROR(__xludf.DUMMYFUNCTION("""COMPUTED_VALUE"""),1.0)</f>
        <v>1</v>
      </c>
      <c r="C5877" s="2">
        <f>IFERROR(__xludf.DUMMYFUNCTION("""COMPUTED_VALUE"""),282.0)</f>
        <v>282</v>
      </c>
      <c r="D5877" s="3">
        <f>IFERROR(__xludf.DUMMYFUNCTION("""COMPUTED_VALUE"""),137.0)</f>
        <v>137</v>
      </c>
      <c r="E5877" s="1" t="str">
        <f t="array" ref="E5877">_xlfn.XLOOKUP(A5877,Product!A:A,Product!B:B,"Bulunamadı")</f>
        <v>Arts</v>
      </c>
      <c r="F5877" s="1" t="str">
        <f t="array" ref="F5877">_xlfn.XLOOKUP(A5877,Product!A:A,Product!C:C,"Bulunamadı")</f>
        <v>Public Health</v>
      </c>
      <c r="G5877" s="2" t="str">
        <f t="array" ref="G5877">_xlfn.XLOOKUP(A5878,Product!A:A,Product!D:D,"Bulunamadı")</f>
        <v>Oakbridge Publishing House</v>
      </c>
      <c r="H5877" s="2">
        <f t="array" ref="H5877">_xlfn.XLOOKUP(A5879,Product!A:A,Product!E:E,"Bulunamadı")</f>
        <v>0.99</v>
      </c>
      <c r="I5877" s="2" t="str">
        <f t="shared" si="1"/>
        <v>80234 - Arts - Public Health</v>
      </c>
      <c r="J5877" s="2">
        <f t="shared" si="2"/>
        <v>135.63</v>
      </c>
      <c r="K5877" s="17">
        <f t="shared" si="3"/>
        <v>1</v>
      </c>
      <c r="L5877" s="18"/>
    </row>
    <row r="5878">
      <c r="A5878" s="2">
        <f>IFERROR(__xludf.DUMMYFUNCTION("""COMPUTED_VALUE"""),92426.0)</f>
        <v>92426</v>
      </c>
      <c r="B5878" s="2">
        <f>IFERROR(__xludf.DUMMYFUNCTION("""COMPUTED_VALUE"""),0.0)</f>
        <v>0</v>
      </c>
      <c r="C5878" s="2">
        <f>IFERROR(__xludf.DUMMYFUNCTION("""COMPUTED_VALUE"""),293.0)</f>
        <v>293</v>
      </c>
      <c r="D5878" s="3">
        <f>IFERROR(__xludf.DUMMYFUNCTION("""COMPUTED_VALUE"""),176.0)</f>
        <v>176</v>
      </c>
      <c r="E5878" s="1" t="str">
        <f t="array" ref="E5878">_xlfn.XLOOKUP(A5878,Product!A:A,Product!B:B,"Bulunamadı")</f>
        <v>Arts</v>
      </c>
      <c r="F5878" s="1" t="str">
        <f t="array" ref="F5878">_xlfn.XLOOKUP(A5878,Product!A:A,Product!C:C,"Bulunamadı")</f>
        <v>Public Health</v>
      </c>
      <c r="G5878" s="2" t="str">
        <f t="array" ref="G5878">_xlfn.XLOOKUP(A5879,Product!A:A,Product!D:D,"Bulunamadı")</f>
        <v>Oakbridge Publishing House</v>
      </c>
      <c r="H5878" s="2">
        <f t="array" ref="H5878">_xlfn.XLOOKUP(A5880,Product!A:A,Product!E:E,"Bulunamadı")</f>
        <v>1.74</v>
      </c>
      <c r="I5878" s="2" t="str">
        <f t="shared" si="1"/>
        <v>92426 - Arts - Public Health</v>
      </c>
      <c r="J5878" s="2">
        <f t="shared" si="2"/>
        <v>306.24</v>
      </c>
      <c r="K5878" s="17">
        <f t="shared" si="3"/>
        <v>1</v>
      </c>
      <c r="L5878" s="18"/>
    </row>
    <row r="5879">
      <c r="A5879" s="2">
        <f>IFERROR(__xludf.DUMMYFUNCTION("""COMPUTED_VALUE"""),92429.0)</f>
        <v>92429</v>
      </c>
      <c r="B5879" s="2">
        <f>IFERROR(__xludf.DUMMYFUNCTION("""COMPUTED_VALUE"""),1.0)</f>
        <v>1</v>
      </c>
      <c r="C5879" s="2">
        <f>IFERROR(__xludf.DUMMYFUNCTION("""COMPUTED_VALUE"""),15.0)</f>
        <v>15</v>
      </c>
      <c r="D5879" s="3">
        <f>IFERROR(__xludf.DUMMYFUNCTION("""COMPUTED_VALUE"""),8.0)</f>
        <v>8</v>
      </c>
      <c r="E5879" s="1" t="str">
        <f t="array" ref="E5879">_xlfn.XLOOKUP(A5879,Product!A:A,Product!B:B,"Bulunamadı")</f>
        <v>Arts</v>
      </c>
      <c r="F5879" s="1" t="str">
        <f t="array" ref="F5879">_xlfn.XLOOKUP(A5879,Product!A:A,Product!C:C,"Bulunamadı")</f>
        <v>Public Health</v>
      </c>
      <c r="G5879" s="2" t="str">
        <f t="array" ref="G5879">_xlfn.XLOOKUP(A5880,Product!A:A,Product!D:D,"Bulunamadı")</f>
        <v>Oakbridge Publishing House</v>
      </c>
      <c r="H5879" s="2">
        <f t="array" ref="H5879">_xlfn.XLOOKUP(A5881,Product!A:A,Product!E:E,"Bulunamadı")</f>
        <v>1.13</v>
      </c>
      <c r="I5879" s="2" t="str">
        <f t="shared" si="1"/>
        <v>92429 - Arts - Public Health</v>
      </c>
      <c r="J5879" s="2">
        <f t="shared" si="2"/>
        <v>9.04</v>
      </c>
      <c r="K5879" s="17">
        <f t="shared" si="3"/>
        <v>1</v>
      </c>
      <c r="L5879" s="18"/>
    </row>
    <row r="5880">
      <c r="A5880" s="2">
        <f>IFERROR(__xludf.DUMMYFUNCTION("""COMPUTED_VALUE"""),117572.0)</f>
        <v>117572</v>
      </c>
      <c r="B5880" s="2">
        <f>IFERROR(__xludf.DUMMYFUNCTION("""COMPUTED_VALUE"""),0.0)</f>
        <v>0</v>
      </c>
      <c r="C5880" s="2">
        <f>IFERROR(__xludf.DUMMYFUNCTION("""COMPUTED_VALUE"""),398.0)</f>
        <v>398</v>
      </c>
      <c r="D5880" s="3">
        <f>IFERROR(__xludf.DUMMYFUNCTION("""COMPUTED_VALUE"""),127.0)</f>
        <v>127</v>
      </c>
      <c r="E5880" s="1" t="str">
        <f t="array" ref="E5880">_xlfn.XLOOKUP(A5880,Product!A:A,Product!B:B,"Bulunamadı")</f>
        <v>Arts</v>
      </c>
      <c r="F5880" s="1" t="str">
        <f t="array" ref="F5880">_xlfn.XLOOKUP(A5880,Product!A:A,Product!C:C,"Bulunamadı")</f>
        <v>Public Health</v>
      </c>
      <c r="G5880" s="2" t="str">
        <f t="array" ref="G5880">_xlfn.XLOOKUP(A5881,Product!A:A,Product!D:D,"Bulunamadı")</f>
        <v>Oakbridge Publishing House</v>
      </c>
      <c r="H5880" s="2">
        <f t="array" ref="H5880">_xlfn.XLOOKUP(A5882,Product!A:A,Product!E:E,"Bulunamadı")</f>
        <v>1.3</v>
      </c>
      <c r="I5880" s="2" t="str">
        <f t="shared" si="1"/>
        <v>117572 - Arts - Public Health</v>
      </c>
      <c r="J5880" s="2">
        <f t="shared" si="2"/>
        <v>165.1</v>
      </c>
      <c r="K5880" s="17">
        <f t="shared" si="3"/>
        <v>1</v>
      </c>
      <c r="L5880" s="18"/>
    </row>
    <row r="5881">
      <c r="A5881" s="2">
        <f>IFERROR(__xludf.DUMMYFUNCTION("""COMPUTED_VALUE"""),110982.0)</f>
        <v>110982</v>
      </c>
      <c r="B5881" s="2">
        <f>IFERROR(__xludf.DUMMYFUNCTION("""COMPUTED_VALUE"""),1.0)</f>
        <v>1</v>
      </c>
      <c r="C5881" s="2">
        <f>IFERROR(__xludf.DUMMYFUNCTION("""COMPUTED_VALUE"""),720.0)</f>
        <v>720</v>
      </c>
      <c r="D5881" s="3">
        <f>IFERROR(__xludf.DUMMYFUNCTION("""COMPUTED_VALUE"""),509.0)</f>
        <v>509</v>
      </c>
      <c r="E5881" s="1" t="str">
        <f t="array" ref="E5881">_xlfn.XLOOKUP(A5881,Product!A:A,Product!B:B,"Bulunamadı")</f>
        <v>Arts</v>
      </c>
      <c r="F5881" s="1" t="str">
        <f t="array" ref="F5881">_xlfn.XLOOKUP(A5881,Product!A:A,Product!C:C,"Bulunamadı")</f>
        <v>Public Health</v>
      </c>
      <c r="G5881" s="2" t="str">
        <f t="array" ref="G5881">_xlfn.XLOOKUP(A5882,Product!A:A,Product!D:D,"Bulunamadı")</f>
        <v>Oakbridge Publishing House</v>
      </c>
      <c r="H5881" s="2">
        <f t="array" ref="H5881">_xlfn.XLOOKUP(A5883,Product!A:A,Product!E:E,"Bulunamadı")</f>
        <v>2.18</v>
      </c>
      <c r="I5881" s="2" t="str">
        <f t="shared" si="1"/>
        <v>110982 - Arts - Public Health</v>
      </c>
      <c r="J5881" s="2">
        <f t="shared" si="2"/>
        <v>1109.62</v>
      </c>
      <c r="K5881" s="17">
        <f t="shared" si="3"/>
        <v>1</v>
      </c>
      <c r="L5881" s="18"/>
    </row>
    <row r="5882">
      <c r="A5882" s="2">
        <f>IFERROR(__xludf.DUMMYFUNCTION("""COMPUTED_VALUE"""),92442.0)</f>
        <v>92442</v>
      </c>
      <c r="B5882" s="2">
        <f>IFERROR(__xludf.DUMMYFUNCTION("""COMPUTED_VALUE"""),1.0)</f>
        <v>1</v>
      </c>
      <c r="C5882" s="2">
        <f>IFERROR(__xludf.DUMMYFUNCTION("""COMPUTED_VALUE"""),15.0)</f>
        <v>15</v>
      </c>
      <c r="D5882" s="3">
        <f>IFERROR(__xludf.DUMMYFUNCTION("""COMPUTED_VALUE"""),13.0)</f>
        <v>13</v>
      </c>
      <c r="E5882" s="1" t="str">
        <f t="array" ref="E5882">_xlfn.XLOOKUP(A5882,Product!A:A,Product!B:B,"Bulunamadı")</f>
        <v>Arts</v>
      </c>
      <c r="F5882" s="1" t="str">
        <f t="array" ref="F5882">_xlfn.XLOOKUP(A5882,Product!A:A,Product!C:C,"Bulunamadı")</f>
        <v>Public Health</v>
      </c>
      <c r="G5882" s="2" t="str">
        <f t="array" ref="G5882">_xlfn.XLOOKUP(A5883,Product!A:A,Product!D:D,"Bulunamadı")</f>
        <v>Oakbridge Publishing House</v>
      </c>
      <c r="H5882" s="2">
        <f t="array" ref="H5882">_xlfn.XLOOKUP(A5884,Product!A:A,Product!E:E,"Bulunamadı")</f>
        <v>1.84</v>
      </c>
      <c r="I5882" s="2" t="str">
        <f t="shared" si="1"/>
        <v>92442 - Arts - Public Health</v>
      </c>
      <c r="J5882" s="2">
        <f t="shared" si="2"/>
        <v>23.92</v>
      </c>
      <c r="K5882" s="17">
        <f t="shared" si="3"/>
        <v>1</v>
      </c>
      <c r="L5882" s="18"/>
    </row>
    <row r="5883">
      <c r="A5883" s="2">
        <f>IFERROR(__xludf.DUMMYFUNCTION("""COMPUTED_VALUE"""),83591.0)</f>
        <v>83591</v>
      </c>
      <c r="B5883" s="2">
        <f>IFERROR(__xludf.DUMMYFUNCTION("""COMPUTED_VALUE"""),1.0)</f>
        <v>1</v>
      </c>
      <c r="C5883" s="2">
        <f>IFERROR(__xludf.DUMMYFUNCTION("""COMPUTED_VALUE"""),688.0)</f>
        <v>688</v>
      </c>
      <c r="D5883" s="3">
        <f>IFERROR(__xludf.DUMMYFUNCTION("""COMPUTED_VALUE"""),662.0)</f>
        <v>662</v>
      </c>
      <c r="E5883" s="1" t="str">
        <f t="array" ref="E5883">_xlfn.XLOOKUP(A5883,Product!A:A,Product!B:B,"Bulunamadı")</f>
        <v>Arts</v>
      </c>
      <c r="F5883" s="1" t="str">
        <f t="array" ref="F5883">_xlfn.XLOOKUP(A5883,Product!A:A,Product!C:C,"Bulunamadı")</f>
        <v>Public Health</v>
      </c>
      <c r="G5883" s="2" t="str">
        <f t="array" ref="G5883">_xlfn.XLOOKUP(A5884,Product!A:A,Product!D:D,"Bulunamadı")</f>
        <v>Oakbridge Publishing House</v>
      </c>
      <c r="H5883" s="2">
        <f t="array" ref="H5883">_xlfn.XLOOKUP(A5885,Product!A:A,Product!E:E,"Bulunamadı")</f>
        <v>5.78</v>
      </c>
      <c r="I5883" s="2" t="str">
        <f t="shared" si="1"/>
        <v>83591 - Arts - Public Health</v>
      </c>
      <c r="J5883" s="2">
        <f t="shared" si="2"/>
        <v>3826.36</v>
      </c>
      <c r="K5883" s="17">
        <f t="shared" si="3"/>
        <v>1</v>
      </c>
      <c r="L5883" s="18"/>
    </row>
    <row r="5884">
      <c r="A5884" s="2">
        <f>IFERROR(__xludf.DUMMYFUNCTION("""COMPUTED_VALUE"""),104318.0)</f>
        <v>104318</v>
      </c>
      <c r="B5884" s="2">
        <f>IFERROR(__xludf.DUMMYFUNCTION("""COMPUTED_VALUE"""),0.0)</f>
        <v>0</v>
      </c>
      <c r="C5884" s="2">
        <f>IFERROR(__xludf.DUMMYFUNCTION("""COMPUTED_VALUE"""),452.0)</f>
        <v>452</v>
      </c>
      <c r="D5884" s="3">
        <f>IFERROR(__xludf.DUMMYFUNCTION("""COMPUTED_VALUE"""),71.0)</f>
        <v>71</v>
      </c>
      <c r="E5884" s="1" t="str">
        <f t="array" ref="E5884">_xlfn.XLOOKUP(A5884,Product!A:A,Product!B:B,"Bulunamadı")</f>
        <v>Arts</v>
      </c>
      <c r="F5884" s="1" t="str">
        <f t="array" ref="F5884">_xlfn.XLOOKUP(A5884,Product!A:A,Product!C:C,"Bulunamadı")</f>
        <v>Public Health</v>
      </c>
      <c r="G5884" s="2" t="str">
        <f t="array" ref="G5884">_xlfn.XLOOKUP(A5885,Product!A:A,Product!D:D,"Bulunamadı")</f>
        <v>Oakbridge Publishing House</v>
      </c>
      <c r="H5884" s="2">
        <f t="array" ref="H5884">_xlfn.XLOOKUP(A5886,Product!A:A,Product!E:E,"Bulunamadı")</f>
        <v>1.29</v>
      </c>
      <c r="I5884" s="2" t="str">
        <f t="shared" si="1"/>
        <v>104318 - Arts - Public Health</v>
      </c>
      <c r="J5884" s="2">
        <f t="shared" si="2"/>
        <v>91.59</v>
      </c>
      <c r="K5884" s="17">
        <f t="shared" si="3"/>
        <v>1</v>
      </c>
      <c r="L5884" s="18"/>
    </row>
    <row r="5885">
      <c r="A5885" s="2">
        <f>IFERROR(__xludf.DUMMYFUNCTION("""COMPUTED_VALUE"""),112740.0)</f>
        <v>112740</v>
      </c>
      <c r="B5885" s="2">
        <f>IFERROR(__xludf.DUMMYFUNCTION("""COMPUTED_VALUE"""),0.0)</f>
        <v>0</v>
      </c>
      <c r="C5885" s="2">
        <f>IFERROR(__xludf.DUMMYFUNCTION("""COMPUTED_VALUE"""),35.0)</f>
        <v>35</v>
      </c>
      <c r="D5885" s="3">
        <f>IFERROR(__xludf.DUMMYFUNCTION("""COMPUTED_VALUE"""),19.0)</f>
        <v>19</v>
      </c>
      <c r="E5885" s="1" t="str">
        <f t="array" ref="E5885">_xlfn.XLOOKUP(A5885,Product!A:A,Product!B:B,"Bulunamadı")</f>
        <v>Arts</v>
      </c>
      <c r="F5885" s="1" t="str">
        <f t="array" ref="F5885">_xlfn.XLOOKUP(A5885,Product!A:A,Product!C:C,"Bulunamadı")</f>
        <v>Public Health</v>
      </c>
      <c r="G5885" s="2" t="str">
        <f t="array" ref="G5885">_xlfn.XLOOKUP(A5886,Product!A:A,Product!D:D,"Bulunamadı")</f>
        <v>Oakbridge Publishing House</v>
      </c>
      <c r="H5885" s="2">
        <f t="array" ref="H5885">_xlfn.XLOOKUP(A5887,Product!A:A,Product!E:E,"Bulunamadı")</f>
        <v>2.57</v>
      </c>
      <c r="I5885" s="2" t="str">
        <f t="shared" si="1"/>
        <v>112740 - Arts - Public Health</v>
      </c>
      <c r="J5885" s="2">
        <f t="shared" si="2"/>
        <v>48.83</v>
      </c>
      <c r="K5885" s="17">
        <f t="shared" si="3"/>
        <v>1</v>
      </c>
      <c r="L5885" s="18"/>
    </row>
    <row r="5886">
      <c r="A5886" s="2">
        <f>IFERROR(__xludf.DUMMYFUNCTION("""COMPUTED_VALUE"""),117570.0)</f>
        <v>117570</v>
      </c>
      <c r="B5886" s="2">
        <f>IFERROR(__xludf.DUMMYFUNCTION("""COMPUTED_VALUE"""),0.0)</f>
        <v>0</v>
      </c>
      <c r="C5886" s="2">
        <f>IFERROR(__xludf.DUMMYFUNCTION("""COMPUTED_VALUE"""),633.0)</f>
        <v>633</v>
      </c>
      <c r="D5886" s="3">
        <f>IFERROR(__xludf.DUMMYFUNCTION("""COMPUTED_VALUE"""),484.0)</f>
        <v>484</v>
      </c>
      <c r="E5886" s="1" t="str">
        <f t="array" ref="E5886">_xlfn.XLOOKUP(A5886,Product!A:A,Product!B:B,"Bulunamadı")</f>
        <v>Arts</v>
      </c>
      <c r="F5886" s="1" t="str">
        <f t="array" ref="F5886">_xlfn.XLOOKUP(A5886,Product!A:A,Product!C:C,"Bulunamadı")</f>
        <v>Public Health</v>
      </c>
      <c r="G5886" s="2" t="str">
        <f t="array" ref="G5886">_xlfn.XLOOKUP(A5887,Product!A:A,Product!D:D,"Bulunamadı")</f>
        <v>Oakbridge Publishing House</v>
      </c>
      <c r="H5886" s="2">
        <f t="array" ref="H5886">_xlfn.XLOOKUP(A5888,Product!A:A,Product!E:E,"Bulunamadı")</f>
        <v>1.03</v>
      </c>
      <c r="I5886" s="2" t="str">
        <f t="shared" si="1"/>
        <v>117570 - Arts - Public Health</v>
      </c>
      <c r="J5886" s="2">
        <f t="shared" si="2"/>
        <v>498.52</v>
      </c>
      <c r="K5886" s="17">
        <f t="shared" si="3"/>
        <v>1</v>
      </c>
      <c r="L5886" s="18"/>
    </row>
    <row r="5887">
      <c r="A5887" s="2">
        <f>IFERROR(__xludf.DUMMYFUNCTION("""COMPUTED_VALUE"""),115584.0)</f>
        <v>115584</v>
      </c>
      <c r="B5887" s="2">
        <f>IFERROR(__xludf.DUMMYFUNCTION("""COMPUTED_VALUE"""),0.0)</f>
        <v>0</v>
      </c>
      <c r="C5887" s="2">
        <f>IFERROR(__xludf.DUMMYFUNCTION("""COMPUTED_VALUE"""),744.0)</f>
        <v>744</v>
      </c>
      <c r="D5887" s="3">
        <f>IFERROR(__xludf.DUMMYFUNCTION("""COMPUTED_VALUE"""),512.0)</f>
        <v>512</v>
      </c>
      <c r="E5887" s="1" t="str">
        <f t="array" ref="E5887">_xlfn.XLOOKUP(A5887,Product!A:A,Product!B:B,"Bulunamadı")</f>
        <v>Arts</v>
      </c>
      <c r="F5887" s="1" t="str">
        <f t="array" ref="F5887">_xlfn.XLOOKUP(A5887,Product!A:A,Product!C:C,"Bulunamadı")</f>
        <v>Public Health</v>
      </c>
      <c r="G5887" s="2" t="str">
        <f t="array" ref="G5887">_xlfn.XLOOKUP(A5888,Product!A:A,Product!D:D,"Bulunamadı")</f>
        <v>Oakbridge Publishing House</v>
      </c>
      <c r="H5887" s="2">
        <f t="array" ref="H5887">_xlfn.XLOOKUP(A5889,Product!A:A,Product!E:E,"Bulunamadı")</f>
        <v>2.57</v>
      </c>
      <c r="I5887" s="2" t="str">
        <f t="shared" si="1"/>
        <v>115584 - Arts - Public Health</v>
      </c>
      <c r="J5887" s="2">
        <f t="shared" si="2"/>
        <v>1315.84</v>
      </c>
      <c r="K5887" s="17">
        <f t="shared" si="3"/>
        <v>1</v>
      </c>
      <c r="L5887" s="18"/>
    </row>
    <row r="5888">
      <c r="A5888" s="2">
        <f>IFERROR(__xludf.DUMMYFUNCTION("""COMPUTED_VALUE"""),47629.0)</f>
        <v>47629</v>
      </c>
      <c r="B5888" s="2">
        <f>IFERROR(__xludf.DUMMYFUNCTION("""COMPUTED_VALUE"""),1.0)</f>
        <v>1</v>
      </c>
      <c r="C5888" s="2">
        <f>IFERROR(__xludf.DUMMYFUNCTION("""COMPUTED_VALUE"""),514.0)</f>
        <v>514</v>
      </c>
      <c r="D5888" s="3">
        <f>IFERROR(__xludf.DUMMYFUNCTION("""COMPUTED_VALUE"""),147.0)</f>
        <v>147</v>
      </c>
      <c r="E5888" s="1" t="str">
        <f t="array" ref="E5888">_xlfn.XLOOKUP(A5888,Product!A:A,Product!B:B,"Bulunamadı")</f>
        <v>Arts</v>
      </c>
      <c r="F5888" s="1" t="str">
        <f t="array" ref="F5888">_xlfn.XLOOKUP(A5888,Product!A:A,Product!C:C,"Bulunamadı")</f>
        <v>Public Health</v>
      </c>
      <c r="G5888" s="2" t="str">
        <f t="array" ref="G5888">_xlfn.XLOOKUP(A5889,Product!A:A,Product!D:D,"Bulunamadı")</f>
        <v>Oakbridge Publishing House</v>
      </c>
      <c r="H5888" s="2">
        <f t="array" ref="H5888">_xlfn.XLOOKUP(A5890,Product!A:A,Product!E:E,"Bulunamadı")</f>
        <v>1.56</v>
      </c>
      <c r="I5888" s="2" t="str">
        <f t="shared" si="1"/>
        <v>47629 - Arts - Public Health</v>
      </c>
      <c r="J5888" s="2">
        <f t="shared" si="2"/>
        <v>229.32</v>
      </c>
      <c r="K5888" s="17">
        <f t="shared" si="3"/>
        <v>1</v>
      </c>
      <c r="L5888" s="18"/>
    </row>
    <row r="5889">
      <c r="A5889" s="2">
        <f>IFERROR(__xludf.DUMMYFUNCTION("""COMPUTED_VALUE"""),116389.0)</f>
        <v>116389</v>
      </c>
      <c r="B5889" s="2">
        <f>IFERROR(__xludf.DUMMYFUNCTION("""COMPUTED_VALUE"""),1.0)</f>
        <v>1</v>
      </c>
      <c r="C5889" s="2">
        <f>IFERROR(__xludf.DUMMYFUNCTION("""COMPUTED_VALUE"""),895.0)</f>
        <v>895</v>
      </c>
      <c r="D5889" s="3">
        <f>IFERROR(__xludf.DUMMYFUNCTION("""COMPUTED_VALUE"""),436.0)</f>
        <v>436</v>
      </c>
      <c r="E5889" s="1" t="str">
        <f t="array" ref="E5889">_xlfn.XLOOKUP(A5889,Product!A:A,Product!B:B,"Bulunamadı")</f>
        <v>Arts</v>
      </c>
      <c r="F5889" s="1" t="str">
        <f t="array" ref="F5889">_xlfn.XLOOKUP(A5889,Product!A:A,Product!C:C,"Bulunamadı")</f>
        <v>Public Health</v>
      </c>
      <c r="G5889" s="2" t="str">
        <f t="array" ref="G5889">_xlfn.XLOOKUP(A5890,Product!A:A,Product!D:D,"Bulunamadı")</f>
        <v>Oakbridge Publishing House</v>
      </c>
      <c r="H5889" s="2">
        <f t="array" ref="H5889">_xlfn.XLOOKUP(A5891,Product!A:A,Product!E:E,"Bulunamadı")</f>
        <v>0.97</v>
      </c>
      <c r="I5889" s="2" t="str">
        <f t="shared" si="1"/>
        <v>116389 - Arts - Public Health</v>
      </c>
      <c r="J5889" s="2">
        <f t="shared" si="2"/>
        <v>422.92</v>
      </c>
      <c r="K5889" s="17">
        <f t="shared" si="3"/>
        <v>1</v>
      </c>
      <c r="L5889" s="18"/>
    </row>
    <row r="5890">
      <c r="A5890" s="2">
        <f>IFERROR(__xludf.DUMMYFUNCTION("""COMPUTED_VALUE"""),117573.0)</f>
        <v>117573</v>
      </c>
      <c r="B5890" s="2">
        <f>IFERROR(__xludf.DUMMYFUNCTION("""COMPUTED_VALUE"""),0.0)</f>
        <v>0</v>
      </c>
      <c r="C5890" s="2">
        <f>IFERROR(__xludf.DUMMYFUNCTION("""COMPUTED_VALUE"""),438.0)</f>
        <v>438</v>
      </c>
      <c r="D5890" s="3">
        <f>IFERROR(__xludf.DUMMYFUNCTION("""COMPUTED_VALUE"""),312.0)</f>
        <v>312</v>
      </c>
      <c r="E5890" s="1" t="str">
        <f t="array" ref="E5890">_xlfn.XLOOKUP(A5890,Product!A:A,Product!B:B,"Bulunamadı")</f>
        <v>Arts</v>
      </c>
      <c r="F5890" s="1" t="str">
        <f t="array" ref="F5890">_xlfn.XLOOKUP(A5890,Product!A:A,Product!C:C,"Bulunamadı")</f>
        <v>Public Health</v>
      </c>
      <c r="G5890" s="2" t="str">
        <f t="array" ref="G5890">_xlfn.XLOOKUP(A5891,Product!A:A,Product!D:D,"Bulunamadı")</f>
        <v>Oakbridge Publishing House</v>
      </c>
      <c r="H5890" s="2">
        <f t="array" ref="H5890">_xlfn.XLOOKUP(A5892,Product!A:A,Product!E:E,"Bulunamadı")</f>
        <v>20.99</v>
      </c>
      <c r="I5890" s="2" t="str">
        <f t="shared" si="1"/>
        <v>117573 - Arts - Public Health</v>
      </c>
      <c r="J5890" s="2">
        <f t="shared" si="2"/>
        <v>6548.88</v>
      </c>
      <c r="K5890" s="17">
        <f t="shared" si="3"/>
        <v>1</v>
      </c>
      <c r="L5890" s="18"/>
    </row>
    <row r="5891">
      <c r="A5891" s="2">
        <f>IFERROR(__xludf.DUMMYFUNCTION("""COMPUTED_VALUE"""),47638.0)</f>
        <v>47638</v>
      </c>
      <c r="B5891" s="2">
        <f>IFERROR(__xludf.DUMMYFUNCTION("""COMPUTED_VALUE"""),0.0)</f>
        <v>0</v>
      </c>
      <c r="C5891" s="2">
        <f>IFERROR(__xludf.DUMMYFUNCTION("""COMPUTED_VALUE"""),245.0)</f>
        <v>245</v>
      </c>
      <c r="D5891" s="3">
        <f>IFERROR(__xludf.DUMMYFUNCTION("""COMPUTED_VALUE"""),205.0)</f>
        <v>205</v>
      </c>
      <c r="E5891" s="1" t="str">
        <f t="array" ref="E5891">_xlfn.XLOOKUP(A5891,Product!A:A,Product!B:B,"Bulunamadı")</f>
        <v>Arts</v>
      </c>
      <c r="F5891" s="1" t="str">
        <f t="array" ref="F5891">_xlfn.XLOOKUP(A5891,Product!A:A,Product!C:C,"Bulunamadı")</f>
        <v>Public Health</v>
      </c>
      <c r="G5891" s="2" t="str">
        <f t="array" ref="G5891">_xlfn.XLOOKUP(A5892,Product!A:A,Product!D:D,"Bulunamadı")</f>
        <v>Riverbridge Publishing House</v>
      </c>
      <c r="H5891" s="2">
        <f t="array" ref="H5891">_xlfn.XLOOKUP(A5893,Product!A:A,Product!E:E,"Bulunamadı")</f>
        <v>18.88</v>
      </c>
      <c r="I5891" s="2" t="str">
        <f t="shared" si="1"/>
        <v>47638 - Arts - Public Health</v>
      </c>
      <c r="J5891" s="2">
        <f t="shared" si="2"/>
        <v>3870.4</v>
      </c>
      <c r="K5891" s="17">
        <f t="shared" si="3"/>
        <v>1</v>
      </c>
      <c r="L5891" s="18"/>
    </row>
    <row r="5892" hidden="1">
      <c r="A5892" s="2">
        <f>IFERROR(__xludf.DUMMYFUNCTION("""COMPUTED_VALUE"""),110219.0)</f>
        <v>110219</v>
      </c>
      <c r="B5892" s="2">
        <f>IFERROR(__xludf.DUMMYFUNCTION("""COMPUTED_VALUE"""),1.0)</f>
        <v>1</v>
      </c>
      <c r="C5892" s="2">
        <f>IFERROR(__xludf.DUMMYFUNCTION("""COMPUTED_VALUE"""),272.0)</f>
        <v>272</v>
      </c>
      <c r="D5892" s="3">
        <f>IFERROR(__xludf.DUMMYFUNCTION("""COMPUTED_VALUE"""),152.0)</f>
        <v>152</v>
      </c>
      <c r="E5892" s="1" t="str">
        <f t="array" ref="E5892">_xlfn.XLOOKUP(A5892,Product!A:A,Product!B:B,"Bulunamadı")</f>
        <v>Medical</v>
      </c>
      <c r="F5892" s="1" t="str">
        <f t="array" ref="F5892">_xlfn.XLOOKUP(A5892,Product!A:A,Product!C:C,"Bulunamadı")</f>
        <v>Medical Research</v>
      </c>
      <c r="G5892" s="2" t="str">
        <f t="array" ref="G5892">_xlfn.XLOOKUP(A5893,Product!A:A,Product!D:D,"Bulunamadı")</f>
        <v>Riverbridge Publishing House</v>
      </c>
      <c r="H5892" s="2">
        <f t="array" ref="H5892">_xlfn.XLOOKUP(A5894,Product!A:A,Product!E:E,"Bulunamadı")</f>
        <v>13.7</v>
      </c>
      <c r="I5892" s="2" t="str">
        <f t="shared" si="1"/>
        <v>110219 - Medical - Medical Research</v>
      </c>
      <c r="J5892" s="2">
        <f t="shared" si="2"/>
        <v>2082.4</v>
      </c>
      <c r="K5892" s="17">
        <f t="shared" si="3"/>
        <v>1</v>
      </c>
      <c r="L5892" s="18"/>
    </row>
    <row r="5893" hidden="1">
      <c r="A5893" s="2">
        <f>IFERROR(__xludf.DUMMYFUNCTION("""COMPUTED_VALUE"""),116851.0)</f>
        <v>116851</v>
      </c>
      <c r="B5893" s="2">
        <f>IFERROR(__xludf.DUMMYFUNCTION("""COMPUTED_VALUE"""),0.0)</f>
        <v>0</v>
      </c>
      <c r="C5893" s="2">
        <f>IFERROR(__xludf.DUMMYFUNCTION("""COMPUTED_VALUE"""),980.0)</f>
        <v>980</v>
      </c>
      <c r="D5893" s="3">
        <f>IFERROR(__xludf.DUMMYFUNCTION("""COMPUTED_VALUE"""),2.0)</f>
        <v>2</v>
      </c>
      <c r="E5893" s="1" t="str">
        <f t="array" ref="E5893">_xlfn.XLOOKUP(A5893,Product!A:A,Product!B:B,"Bulunamadı")</f>
        <v>Medical</v>
      </c>
      <c r="F5893" s="1" t="str">
        <f t="array" ref="F5893">_xlfn.XLOOKUP(A5893,Product!A:A,Product!C:C,"Bulunamadı")</f>
        <v>Medical Research</v>
      </c>
      <c r="G5893" s="2" t="str">
        <f t="array" ref="G5893">_xlfn.XLOOKUP(A5894,Product!A:A,Product!D:D,"Bulunamadı")</f>
        <v>Riverbridge Publishing House</v>
      </c>
      <c r="H5893" s="2">
        <f t="array" ref="H5893">_xlfn.XLOOKUP(A5895,Product!A:A,Product!E:E,"Bulunamadı")</f>
        <v>20.84</v>
      </c>
      <c r="I5893" s="2" t="str">
        <f t="shared" si="1"/>
        <v>116851 - Medical - Medical Research</v>
      </c>
      <c r="J5893" s="2">
        <f t="shared" si="2"/>
        <v>41.68</v>
      </c>
      <c r="K5893" s="17">
        <f t="shared" si="3"/>
        <v>1</v>
      </c>
      <c r="L5893" s="18"/>
    </row>
    <row r="5894" hidden="1">
      <c r="A5894" s="2">
        <f>IFERROR(__xludf.DUMMYFUNCTION("""COMPUTED_VALUE"""),122737.0)</f>
        <v>122737</v>
      </c>
      <c r="B5894" s="2">
        <f>IFERROR(__xludf.DUMMYFUNCTION("""COMPUTED_VALUE"""),0.0)</f>
        <v>0</v>
      </c>
      <c r="C5894" s="2">
        <f>IFERROR(__xludf.DUMMYFUNCTION("""COMPUTED_VALUE"""),928.0)</f>
        <v>928</v>
      </c>
      <c r="D5894" s="3">
        <f>IFERROR(__xludf.DUMMYFUNCTION("""COMPUTED_VALUE"""),371.0)</f>
        <v>371</v>
      </c>
      <c r="E5894" s="1" t="str">
        <f t="array" ref="E5894">_xlfn.XLOOKUP(A5894,Product!A:A,Product!B:B,"Bulunamadı")</f>
        <v>Medical</v>
      </c>
      <c r="F5894" s="1" t="str">
        <f t="array" ref="F5894">_xlfn.XLOOKUP(A5894,Product!A:A,Product!C:C,"Bulunamadı")</f>
        <v>Medical Research</v>
      </c>
      <c r="G5894" s="2" t="str">
        <f t="array" ref="G5894">_xlfn.XLOOKUP(A5895,Product!A:A,Product!D:D,"Bulunamadı")</f>
        <v>Ironbridge Publishing House</v>
      </c>
      <c r="H5894" s="2">
        <f t="array" ref="H5894">_xlfn.XLOOKUP(A5896,Product!A:A,Product!E:E,"Bulunamadı")</f>
        <v>20.78</v>
      </c>
      <c r="I5894" s="2" t="str">
        <f t="shared" si="1"/>
        <v>122737 - Medical - Medical Research</v>
      </c>
      <c r="J5894" s="2">
        <f t="shared" si="2"/>
        <v>7709.38</v>
      </c>
      <c r="K5894" s="17">
        <f t="shared" si="3"/>
        <v>1</v>
      </c>
      <c r="L5894" s="18"/>
    </row>
    <row r="5895" hidden="1">
      <c r="A5895" s="2">
        <f>IFERROR(__xludf.DUMMYFUNCTION("""COMPUTED_VALUE"""),110226.0)</f>
        <v>110226</v>
      </c>
      <c r="B5895" s="2">
        <f>IFERROR(__xludf.DUMMYFUNCTION("""COMPUTED_VALUE"""),0.0)</f>
        <v>0</v>
      </c>
      <c r="C5895" s="2">
        <f>IFERROR(__xludf.DUMMYFUNCTION("""COMPUTED_VALUE"""),342.0)</f>
        <v>342</v>
      </c>
      <c r="D5895" s="3">
        <f>IFERROR(__xludf.DUMMYFUNCTION("""COMPUTED_VALUE"""),85.0)</f>
        <v>85</v>
      </c>
      <c r="E5895" s="1" t="str">
        <f t="array" ref="E5895">_xlfn.XLOOKUP(A5895,Product!A:A,Product!B:B,"Bulunamadı")</f>
        <v>Medical</v>
      </c>
      <c r="F5895" s="1" t="str">
        <f t="array" ref="F5895">_xlfn.XLOOKUP(A5895,Product!A:A,Product!C:C,"Bulunamadı")</f>
        <v>Medical Research</v>
      </c>
      <c r="G5895" s="2" t="str">
        <f t="array" ref="G5895">_xlfn.XLOOKUP(A5896,Product!A:A,Product!D:D,"Bulunamadı")</f>
        <v>Ironbridge Publishing House</v>
      </c>
      <c r="H5895" s="2">
        <f t="array" ref="H5895">_xlfn.XLOOKUP(A5897,Product!A:A,Product!E:E,"Bulunamadı")</f>
        <v>19.95</v>
      </c>
      <c r="I5895" s="2" t="str">
        <f t="shared" si="1"/>
        <v>110226 - Medical - Medical Research</v>
      </c>
      <c r="J5895" s="2">
        <f t="shared" si="2"/>
        <v>1695.75</v>
      </c>
      <c r="K5895" s="17">
        <f t="shared" si="3"/>
        <v>1</v>
      </c>
      <c r="L5895" s="18"/>
    </row>
    <row r="5896" hidden="1">
      <c r="A5896" s="2">
        <f>IFERROR(__xludf.DUMMYFUNCTION("""COMPUTED_VALUE"""),115773.0)</f>
        <v>115773</v>
      </c>
      <c r="B5896" s="2">
        <f>IFERROR(__xludf.DUMMYFUNCTION("""COMPUTED_VALUE"""),0.0)</f>
        <v>0</v>
      </c>
      <c r="C5896" s="2">
        <f>IFERROR(__xludf.DUMMYFUNCTION("""COMPUTED_VALUE"""),632.0)</f>
        <v>632</v>
      </c>
      <c r="D5896" s="3">
        <f>IFERROR(__xludf.DUMMYFUNCTION("""COMPUTED_VALUE"""),243.0)</f>
        <v>243</v>
      </c>
      <c r="E5896" s="1" t="str">
        <f t="array" ref="E5896">_xlfn.XLOOKUP(A5896,Product!A:A,Product!B:B,"Bulunamadı")</f>
        <v>Medical</v>
      </c>
      <c r="F5896" s="1" t="str">
        <f t="array" ref="F5896">_xlfn.XLOOKUP(A5896,Product!A:A,Product!C:C,"Bulunamadı")</f>
        <v>Medical Research</v>
      </c>
      <c r="G5896" s="2" t="str">
        <f t="array" ref="G5896">_xlfn.XLOOKUP(A5897,Product!A:A,Product!D:D,"Bulunamadı")</f>
        <v>Ironbridge Publishing House</v>
      </c>
      <c r="H5896" s="2">
        <f t="array" ref="H5896">_xlfn.XLOOKUP(A5898,Product!A:A,Product!E:E,"Bulunamadı")</f>
        <v>20.62</v>
      </c>
      <c r="I5896" s="2" t="str">
        <f t="shared" si="1"/>
        <v>115773 - Medical - Medical Research</v>
      </c>
      <c r="J5896" s="2">
        <f t="shared" si="2"/>
        <v>5010.66</v>
      </c>
      <c r="K5896" s="17">
        <f t="shared" si="3"/>
        <v>1</v>
      </c>
      <c r="L5896" s="18"/>
    </row>
    <row r="5897" hidden="1">
      <c r="A5897" s="2">
        <f>IFERROR(__xludf.DUMMYFUNCTION("""COMPUTED_VALUE"""),109580.0)</f>
        <v>109580</v>
      </c>
      <c r="B5897" s="2">
        <f>IFERROR(__xludf.DUMMYFUNCTION("""COMPUTED_VALUE"""),1.0)</f>
        <v>1</v>
      </c>
      <c r="C5897" s="2">
        <f>IFERROR(__xludf.DUMMYFUNCTION("""COMPUTED_VALUE"""),84.0)</f>
        <v>84</v>
      </c>
      <c r="D5897" s="3">
        <f>IFERROR(__xludf.DUMMYFUNCTION("""COMPUTED_VALUE"""),5.0)</f>
        <v>5</v>
      </c>
      <c r="E5897" s="1" t="str">
        <f t="array" ref="E5897">_xlfn.XLOOKUP(A5897,Product!A:A,Product!B:B,"Bulunamadı")</f>
        <v>Medical</v>
      </c>
      <c r="F5897" s="1" t="str">
        <f t="array" ref="F5897">_xlfn.XLOOKUP(A5897,Product!A:A,Product!C:C,"Bulunamadı")</f>
        <v>Medical Research</v>
      </c>
      <c r="G5897" s="2" t="str">
        <f t="array" ref="G5897">_xlfn.XLOOKUP(A5898,Product!A:A,Product!D:D,"Bulunamadı")</f>
        <v>Claytime Books</v>
      </c>
      <c r="H5897" s="2">
        <f t="array" ref="H5897">_xlfn.XLOOKUP(A5899,Product!A:A,Product!E:E,"Bulunamadı")</f>
        <v>13.75</v>
      </c>
      <c r="I5897" s="2" t="str">
        <f t="shared" si="1"/>
        <v>109580 - Medical - Medical Research</v>
      </c>
      <c r="J5897" s="2">
        <f t="shared" si="2"/>
        <v>68.75</v>
      </c>
      <c r="K5897" s="17">
        <f t="shared" si="3"/>
        <v>1</v>
      </c>
      <c r="L5897" s="18"/>
    </row>
    <row r="5898" hidden="1">
      <c r="A5898" s="2">
        <f>IFERROR(__xludf.DUMMYFUNCTION("""COMPUTED_VALUE"""),114255.0)</f>
        <v>114255</v>
      </c>
      <c r="B5898" s="2">
        <f>IFERROR(__xludf.DUMMYFUNCTION("""COMPUTED_VALUE"""),0.0)</f>
        <v>0</v>
      </c>
      <c r="C5898" s="2">
        <f>IFERROR(__xludf.DUMMYFUNCTION("""COMPUTED_VALUE"""),493.0)</f>
        <v>493</v>
      </c>
      <c r="D5898" s="3">
        <f>IFERROR(__xludf.DUMMYFUNCTION("""COMPUTED_VALUE"""),107.0)</f>
        <v>107</v>
      </c>
      <c r="E5898" s="1" t="str">
        <f t="array" ref="E5898">_xlfn.XLOOKUP(A5898,Product!A:A,Product!B:B,"Bulunamadı")</f>
        <v>Medical</v>
      </c>
      <c r="F5898" s="1" t="str">
        <f t="array" ref="F5898">_xlfn.XLOOKUP(A5898,Product!A:A,Product!C:C,"Bulunamadı")</f>
        <v>Medical Research</v>
      </c>
      <c r="G5898" s="2" t="str">
        <f t="array" ref="G5898">_xlfn.XLOOKUP(A5899,Product!A:A,Product!D:D,"Bulunamadı")</f>
        <v>Claytime Books</v>
      </c>
      <c r="H5898" s="2">
        <f t="array" ref="H5898">_xlfn.XLOOKUP(A5900,Product!A:A,Product!E:E,"Bulunamadı")</f>
        <v>18.57</v>
      </c>
      <c r="I5898" s="2" t="str">
        <f t="shared" si="1"/>
        <v>114255 - Medical - Medical Research</v>
      </c>
      <c r="J5898" s="2">
        <f t="shared" si="2"/>
        <v>1986.99</v>
      </c>
      <c r="K5898" s="17">
        <f t="shared" si="3"/>
        <v>1</v>
      </c>
      <c r="L5898" s="18"/>
    </row>
    <row r="5899" hidden="1">
      <c r="A5899" s="2">
        <f>IFERROR(__xludf.DUMMYFUNCTION("""COMPUTED_VALUE"""),122745.0)</f>
        <v>122745</v>
      </c>
      <c r="B5899" s="2">
        <f>IFERROR(__xludf.DUMMYFUNCTION("""COMPUTED_VALUE"""),1.0)</f>
        <v>1</v>
      </c>
      <c r="C5899" s="2">
        <f>IFERROR(__xludf.DUMMYFUNCTION("""COMPUTED_VALUE"""),320.0)</f>
        <v>320</v>
      </c>
      <c r="D5899" s="3">
        <f>IFERROR(__xludf.DUMMYFUNCTION("""COMPUTED_VALUE"""),188.0)</f>
        <v>188</v>
      </c>
      <c r="E5899" s="1" t="str">
        <f t="array" ref="E5899">_xlfn.XLOOKUP(A5899,Product!A:A,Product!B:B,"Bulunamadı")</f>
        <v>Medical</v>
      </c>
      <c r="F5899" s="1" t="str">
        <f t="array" ref="F5899">_xlfn.XLOOKUP(A5899,Product!A:A,Product!C:C,"Bulunamadı")</f>
        <v>Medical Research</v>
      </c>
      <c r="G5899" s="2" t="str">
        <f t="array" ref="G5899">_xlfn.XLOOKUP(A5900,Product!A:A,Product!D:D,"Bulunamadı")</f>
        <v>Claytime Books</v>
      </c>
      <c r="H5899" s="2">
        <f t="array" ref="H5899">_xlfn.XLOOKUP(A5901,Product!A:A,Product!E:E,"Bulunamadı")</f>
        <v>20.73</v>
      </c>
      <c r="I5899" s="2" t="str">
        <f t="shared" si="1"/>
        <v>122745 - Medical - Medical Research</v>
      </c>
      <c r="J5899" s="2">
        <f t="shared" si="2"/>
        <v>3897.24</v>
      </c>
      <c r="K5899" s="17">
        <f t="shared" si="3"/>
        <v>1</v>
      </c>
      <c r="L5899" s="18"/>
    </row>
    <row r="5900" hidden="1">
      <c r="A5900" s="2">
        <f>IFERROR(__xludf.DUMMYFUNCTION("""COMPUTED_VALUE"""),116873.0)</f>
        <v>116873</v>
      </c>
      <c r="B5900" s="2">
        <f>IFERROR(__xludf.DUMMYFUNCTION("""COMPUTED_VALUE"""),1.0)</f>
        <v>1</v>
      </c>
      <c r="C5900" s="2">
        <f>IFERROR(__xludf.DUMMYFUNCTION("""COMPUTED_VALUE"""),865.0)</f>
        <v>865</v>
      </c>
      <c r="D5900" s="3">
        <f>IFERROR(__xludf.DUMMYFUNCTION("""COMPUTED_VALUE"""),281.0)</f>
        <v>281</v>
      </c>
      <c r="E5900" s="1" t="str">
        <f t="array" ref="E5900">_xlfn.XLOOKUP(A5900,Product!A:A,Product!B:B,"Bulunamadı")</f>
        <v>Medical</v>
      </c>
      <c r="F5900" s="1" t="str">
        <f t="array" ref="F5900">_xlfn.XLOOKUP(A5900,Product!A:A,Product!C:C,"Bulunamadı")</f>
        <v>Medical Research</v>
      </c>
      <c r="G5900" s="2" t="str">
        <f t="array" ref="G5900">_xlfn.XLOOKUP(A5901,Product!A:A,Product!D:D,"Bulunamadı")</f>
        <v>Claytime Books</v>
      </c>
      <c r="H5900" s="2" t="str">
        <f t="array" ref="H5900">_xlfn.XLOOKUP(A5902,Product!A:A,Product!E:E,"Bulunamadı")</f>
        <v>Bulunamadı</v>
      </c>
      <c r="I5900" s="2" t="str">
        <f t="shared" si="1"/>
        <v>116873 - Medical - Medical Research</v>
      </c>
      <c r="J5900" s="2">
        <f t="shared" ref="J5900:J5901" si="4">IFERROR(D5900*H5900,0)</f>
        <v>0</v>
      </c>
      <c r="K5900" s="17">
        <f t="shared" si="3"/>
        <v>1</v>
      </c>
      <c r="L5900" s="18"/>
    </row>
    <row r="5901" hidden="1">
      <c r="A5901" s="2">
        <f>IFERROR(__xludf.DUMMYFUNCTION("""COMPUTED_VALUE"""),110228.0)</f>
        <v>110228</v>
      </c>
      <c r="B5901" s="2">
        <f>IFERROR(__xludf.DUMMYFUNCTION("""COMPUTED_VALUE"""),1.0)</f>
        <v>1</v>
      </c>
      <c r="C5901" s="2">
        <f>IFERROR(__xludf.DUMMYFUNCTION("""COMPUTED_VALUE"""),329.0)</f>
        <v>329</v>
      </c>
      <c r="D5901" s="3">
        <f>IFERROR(__xludf.DUMMYFUNCTION("""COMPUTED_VALUE"""),135.0)</f>
        <v>135</v>
      </c>
      <c r="E5901" s="1" t="str">
        <f t="array" ref="E5901">_xlfn.XLOOKUP(A5901,Product!A:A,Product!B:B,"Bulunamadı")</f>
        <v>Medical</v>
      </c>
      <c r="F5901" s="1" t="str">
        <f t="array" ref="F5901">_xlfn.XLOOKUP(A5901,Product!A:A,Product!C:C,"Bulunamadı")</f>
        <v>Medical Research</v>
      </c>
      <c r="G5901" s="2" t="str">
        <f t="array" ref="G5901">_xlfn.XLOOKUP(A5902,Product!A:A,Product!D:D,"Bulunamadı")</f>
        <v>Bulunamadı</v>
      </c>
      <c r="H5901" s="2" t="str">
        <f t="array" ref="H5901">_xlfn.XLOOKUP(A5903,Product!A:A,Product!E:E,"Bulunamadı")</f>
        <v>Bulunamadı</v>
      </c>
      <c r="I5901" s="2" t="str">
        <f t="shared" si="1"/>
        <v>110228 - Medical - Medical Research</v>
      </c>
      <c r="J5901" s="2">
        <f t="shared" si="4"/>
        <v>0</v>
      </c>
      <c r="K5901" s="17">
        <f t="shared" si="3"/>
        <v>1</v>
      </c>
      <c r="L5901" s="18"/>
    </row>
    <row r="5902" hidden="1">
      <c r="K5902" s="17"/>
      <c r="L5902" s="18"/>
    </row>
    <row r="5903" hidden="1">
      <c r="K5903" s="17"/>
      <c r="L5903" s="18"/>
    </row>
    <row r="5904" hidden="1">
      <c r="K5904" s="17"/>
      <c r="L5904" s="18"/>
    </row>
    <row r="5905" hidden="1">
      <c r="K5905" s="17"/>
      <c r="L5905" s="18"/>
    </row>
    <row r="5906" hidden="1">
      <c r="K5906" s="17"/>
      <c r="L5906" s="18"/>
    </row>
    <row r="5907" hidden="1">
      <c r="K5907" s="17"/>
      <c r="L5907" s="18"/>
    </row>
    <row r="5908" hidden="1">
      <c r="K5908" s="17"/>
      <c r="L5908" s="18"/>
    </row>
    <row r="5909" hidden="1">
      <c r="K5909" s="17"/>
      <c r="L5909" s="18"/>
    </row>
    <row r="5910" hidden="1">
      <c r="K5910" s="17"/>
      <c r="L5910" s="18"/>
    </row>
    <row r="5911" hidden="1">
      <c r="K5911" s="17"/>
      <c r="L5911" s="18"/>
    </row>
    <row r="5912" hidden="1">
      <c r="K5912" s="17"/>
      <c r="L5912" s="18"/>
    </row>
    <row r="5913" hidden="1">
      <c r="K5913" s="17"/>
      <c r="L5913" s="18"/>
    </row>
    <row r="5914" hidden="1">
      <c r="K5914" s="17"/>
      <c r="L5914" s="18"/>
    </row>
    <row r="5915" hidden="1">
      <c r="K5915" s="17"/>
      <c r="L5915" s="18"/>
    </row>
    <row r="5916" hidden="1">
      <c r="K5916" s="17"/>
      <c r="L5916" s="18"/>
    </row>
    <row r="5917" hidden="1">
      <c r="K5917" s="17"/>
      <c r="L5917" s="18"/>
    </row>
    <row r="5918" hidden="1">
      <c r="K5918" s="17"/>
      <c r="L5918" s="18"/>
    </row>
    <row r="5919" hidden="1">
      <c r="K5919" s="17"/>
      <c r="L5919" s="18"/>
    </row>
    <row r="5920" hidden="1">
      <c r="K5920" s="17"/>
      <c r="L5920" s="18"/>
    </row>
    <row r="5921" hidden="1">
      <c r="K5921" s="17"/>
      <c r="L5921" s="18"/>
    </row>
    <row r="5922" hidden="1">
      <c r="K5922" s="17"/>
      <c r="L5922" s="18"/>
    </row>
    <row r="5923" hidden="1">
      <c r="K5923" s="17"/>
      <c r="L5923" s="18"/>
    </row>
    <row r="5924" hidden="1">
      <c r="K5924" s="17"/>
      <c r="L5924" s="18"/>
    </row>
    <row r="5925" hidden="1">
      <c r="K5925" s="17"/>
      <c r="L5925" s="18"/>
    </row>
    <row r="5926" hidden="1">
      <c r="K5926" s="17"/>
      <c r="L5926" s="18"/>
    </row>
    <row r="5927" hidden="1">
      <c r="K5927" s="17"/>
      <c r="L5927" s="18"/>
    </row>
    <row r="5928" hidden="1">
      <c r="K5928" s="17"/>
      <c r="L5928" s="18"/>
    </row>
    <row r="5929" hidden="1">
      <c r="K5929" s="17"/>
      <c r="L5929" s="18"/>
    </row>
    <row r="5930" hidden="1">
      <c r="K5930" s="17"/>
      <c r="L5930" s="18"/>
    </row>
    <row r="5931" hidden="1">
      <c r="K5931" s="17"/>
      <c r="L5931" s="18"/>
    </row>
    <row r="5932" hidden="1">
      <c r="K5932" s="17"/>
      <c r="L5932" s="18"/>
    </row>
    <row r="5933" hidden="1">
      <c r="K5933" s="17"/>
      <c r="L5933" s="18"/>
    </row>
    <row r="5934" hidden="1">
      <c r="K5934" s="17"/>
      <c r="L5934" s="18"/>
    </row>
    <row r="5935" hidden="1">
      <c r="K5935" s="17"/>
      <c r="L5935" s="18"/>
    </row>
    <row r="5936" hidden="1">
      <c r="K5936" s="17"/>
      <c r="L5936" s="18"/>
    </row>
    <row r="5937" hidden="1">
      <c r="K5937" s="17"/>
      <c r="L5937" s="18"/>
    </row>
    <row r="5938" hidden="1">
      <c r="K5938" s="17"/>
      <c r="L5938" s="18"/>
    </row>
    <row r="5939" hidden="1">
      <c r="K5939" s="17"/>
      <c r="L5939" s="18"/>
    </row>
    <row r="5940" hidden="1">
      <c r="K5940" s="17"/>
      <c r="L5940" s="18"/>
    </row>
    <row r="5941" hidden="1">
      <c r="K5941" s="17"/>
      <c r="L5941" s="18"/>
    </row>
    <row r="5942" hidden="1">
      <c r="K5942" s="17"/>
      <c r="L5942" s="18"/>
    </row>
    <row r="5943" hidden="1">
      <c r="K5943" s="17"/>
      <c r="L5943" s="18"/>
    </row>
    <row r="5944" hidden="1">
      <c r="K5944" s="17"/>
      <c r="L5944" s="18"/>
    </row>
    <row r="5945" hidden="1">
      <c r="K5945" s="17"/>
      <c r="L5945" s="18"/>
    </row>
    <row r="5946" hidden="1">
      <c r="K5946" s="17"/>
      <c r="L5946" s="18"/>
    </row>
    <row r="5947" hidden="1">
      <c r="K5947" s="17"/>
      <c r="L5947" s="18"/>
    </row>
    <row r="5948" hidden="1">
      <c r="K5948" s="17"/>
      <c r="L5948" s="18"/>
    </row>
    <row r="5949" hidden="1">
      <c r="K5949" s="17"/>
      <c r="L5949" s="18"/>
    </row>
    <row r="5950" hidden="1">
      <c r="K5950" s="17"/>
      <c r="L5950" s="18"/>
    </row>
    <row r="5951" hidden="1">
      <c r="K5951" s="17"/>
      <c r="L5951" s="18"/>
    </row>
    <row r="5952" hidden="1">
      <c r="K5952" s="17"/>
      <c r="L5952" s="18"/>
    </row>
    <row r="5953" hidden="1">
      <c r="K5953" s="17"/>
      <c r="L5953" s="18"/>
    </row>
    <row r="5954" hidden="1">
      <c r="K5954" s="17"/>
      <c r="L5954" s="18"/>
    </row>
    <row r="5955" hidden="1">
      <c r="K5955" s="17"/>
      <c r="L5955" s="18"/>
    </row>
    <row r="5956" hidden="1">
      <c r="K5956" s="17"/>
      <c r="L5956" s="18"/>
    </row>
    <row r="5957" hidden="1">
      <c r="K5957" s="17"/>
      <c r="L5957" s="18"/>
    </row>
    <row r="5958" hidden="1">
      <c r="K5958" s="17"/>
      <c r="L5958" s="18"/>
    </row>
    <row r="5959" hidden="1">
      <c r="K5959" s="17"/>
      <c r="L5959" s="18"/>
    </row>
    <row r="5960" hidden="1">
      <c r="K5960" s="17"/>
      <c r="L5960" s="18"/>
    </row>
    <row r="5961" hidden="1">
      <c r="K5961" s="17"/>
      <c r="L5961" s="18"/>
    </row>
    <row r="5962" hidden="1">
      <c r="K5962" s="17"/>
      <c r="L5962" s="18"/>
    </row>
    <row r="5963" hidden="1">
      <c r="K5963" s="17"/>
      <c r="L5963" s="18"/>
    </row>
    <row r="5964" hidden="1">
      <c r="K5964" s="17"/>
      <c r="L5964" s="18"/>
    </row>
    <row r="5965" hidden="1">
      <c r="K5965" s="17"/>
      <c r="L5965" s="18"/>
    </row>
    <row r="5966" hidden="1">
      <c r="K5966" s="17"/>
      <c r="L5966" s="18"/>
    </row>
    <row r="5967" hidden="1">
      <c r="K5967" s="17"/>
      <c r="L5967" s="18"/>
    </row>
    <row r="5968" hidden="1">
      <c r="K5968" s="17"/>
      <c r="L5968" s="18"/>
    </row>
    <row r="5969" hidden="1">
      <c r="K5969" s="17"/>
      <c r="L5969" s="18"/>
    </row>
    <row r="5970" hidden="1">
      <c r="K5970" s="17"/>
      <c r="L5970" s="18"/>
    </row>
    <row r="5971" hidden="1">
      <c r="K5971" s="17"/>
      <c r="L5971" s="18"/>
    </row>
    <row r="5972" hidden="1">
      <c r="K5972" s="17"/>
      <c r="L5972" s="18"/>
    </row>
    <row r="5973" hidden="1">
      <c r="K5973" s="17"/>
      <c r="L5973" s="18"/>
    </row>
    <row r="5974" hidden="1">
      <c r="K5974" s="17"/>
      <c r="L5974" s="18"/>
    </row>
    <row r="5975" hidden="1">
      <c r="K5975" s="17"/>
      <c r="L5975" s="18"/>
    </row>
    <row r="5976" hidden="1">
      <c r="K5976" s="17"/>
      <c r="L5976" s="18"/>
    </row>
    <row r="5977" hidden="1">
      <c r="K5977" s="17"/>
      <c r="L5977" s="18"/>
    </row>
    <row r="5978" hidden="1">
      <c r="K5978" s="17"/>
      <c r="L5978" s="18"/>
    </row>
    <row r="5979" hidden="1">
      <c r="K5979" s="17"/>
      <c r="L5979" s="18"/>
    </row>
    <row r="5980" hidden="1">
      <c r="K5980" s="17"/>
      <c r="L5980" s="18"/>
    </row>
    <row r="5981" hidden="1">
      <c r="K5981" s="17"/>
      <c r="L5981" s="18"/>
    </row>
    <row r="5982" hidden="1">
      <c r="K5982" s="17"/>
      <c r="L5982" s="18"/>
    </row>
    <row r="5983" hidden="1">
      <c r="K5983" s="17"/>
      <c r="L5983" s="18"/>
    </row>
    <row r="5984" hidden="1">
      <c r="K5984" s="17"/>
      <c r="L5984" s="18"/>
    </row>
    <row r="5985" hidden="1">
      <c r="K5985" s="17"/>
      <c r="L5985" s="18"/>
    </row>
    <row r="5986" hidden="1">
      <c r="K5986" s="17"/>
      <c r="L5986" s="18"/>
    </row>
    <row r="5987" hidden="1">
      <c r="K5987" s="17"/>
      <c r="L5987" s="18"/>
    </row>
    <row r="5988" hidden="1">
      <c r="K5988" s="17"/>
      <c r="L5988" s="18"/>
    </row>
    <row r="5989" hidden="1">
      <c r="K5989" s="17"/>
      <c r="L5989" s="18"/>
    </row>
    <row r="5990" hidden="1">
      <c r="K5990" s="17"/>
      <c r="L5990" s="18"/>
    </row>
    <row r="5991" hidden="1">
      <c r="K5991" s="17"/>
      <c r="L5991" s="18"/>
    </row>
    <row r="5992" hidden="1">
      <c r="K5992" s="17"/>
      <c r="L5992" s="18"/>
    </row>
    <row r="5993" hidden="1">
      <c r="K5993" s="17"/>
      <c r="L5993" s="18"/>
    </row>
    <row r="5994" hidden="1">
      <c r="K5994" s="17"/>
      <c r="L5994" s="18"/>
    </row>
    <row r="5995" hidden="1">
      <c r="K5995" s="17"/>
      <c r="L5995" s="18"/>
    </row>
    <row r="5996" hidden="1">
      <c r="K5996" s="17"/>
      <c r="L5996" s="18"/>
    </row>
    <row r="5997" hidden="1">
      <c r="K5997" s="17"/>
      <c r="L5997" s="18"/>
    </row>
    <row r="5998" hidden="1">
      <c r="K5998" s="17"/>
      <c r="L5998" s="18"/>
    </row>
    <row r="5999" hidden="1">
      <c r="K5999" s="17"/>
      <c r="L5999" s="18"/>
    </row>
    <row r="6000" hidden="1">
      <c r="K6000" s="17"/>
      <c r="L6000" s="18"/>
    </row>
    <row r="6001" hidden="1">
      <c r="K6001" s="17"/>
      <c r="L6001" s="18"/>
    </row>
    <row r="6002" hidden="1">
      <c r="K6002" s="17"/>
      <c r="L6002" s="18"/>
    </row>
    <row r="6003" hidden="1">
      <c r="K6003" s="17"/>
      <c r="L6003" s="18"/>
    </row>
    <row r="6004" hidden="1">
      <c r="K6004" s="17"/>
      <c r="L6004" s="18"/>
    </row>
    <row r="6005" hidden="1">
      <c r="K6005" s="17"/>
      <c r="L6005" s="18"/>
    </row>
    <row r="6006" hidden="1">
      <c r="K6006" s="17"/>
      <c r="L6006" s="18"/>
    </row>
    <row r="6007" hidden="1">
      <c r="K6007" s="17"/>
      <c r="L6007" s="18"/>
    </row>
    <row r="6008" hidden="1">
      <c r="K6008" s="17"/>
      <c r="L6008" s="18"/>
    </row>
    <row r="6009" hidden="1">
      <c r="K6009" s="17"/>
      <c r="L6009" s="18"/>
    </row>
    <row r="6010" hidden="1">
      <c r="K6010" s="17"/>
      <c r="L6010" s="18"/>
    </row>
    <row r="6011" hidden="1">
      <c r="K6011" s="17"/>
      <c r="L6011" s="18"/>
    </row>
    <row r="6012" hidden="1">
      <c r="K6012" s="17"/>
      <c r="L6012" s="18"/>
    </row>
    <row r="6013" hidden="1">
      <c r="K6013" s="17"/>
      <c r="L6013" s="18"/>
    </row>
    <row r="6014" hidden="1">
      <c r="K6014" s="17"/>
      <c r="L6014" s="18"/>
    </row>
    <row r="6015" hidden="1">
      <c r="K6015" s="17"/>
      <c r="L6015" s="18"/>
    </row>
    <row r="6016" hidden="1">
      <c r="K6016" s="17"/>
      <c r="L6016" s="18"/>
    </row>
    <row r="6017" hidden="1">
      <c r="K6017" s="17"/>
      <c r="L6017" s="18"/>
    </row>
    <row r="6018" hidden="1">
      <c r="K6018" s="17"/>
      <c r="L6018" s="18"/>
    </row>
    <row r="6019" hidden="1">
      <c r="K6019" s="17"/>
      <c r="L6019" s="18"/>
    </row>
    <row r="6020" hidden="1">
      <c r="K6020" s="17"/>
      <c r="L6020" s="18"/>
    </row>
    <row r="6021" hidden="1">
      <c r="K6021" s="17"/>
      <c r="L6021" s="18"/>
    </row>
    <row r="6022" hidden="1">
      <c r="K6022" s="17"/>
      <c r="L6022" s="18"/>
    </row>
    <row r="6023" hidden="1">
      <c r="K6023" s="17"/>
      <c r="L6023" s="18"/>
    </row>
    <row r="6024" hidden="1">
      <c r="K6024" s="17"/>
      <c r="L6024" s="18"/>
    </row>
    <row r="6025" hidden="1">
      <c r="K6025" s="17"/>
      <c r="L6025" s="18"/>
    </row>
    <row r="6026" hidden="1">
      <c r="K6026" s="17"/>
      <c r="L6026" s="18"/>
    </row>
    <row r="6027" hidden="1">
      <c r="K6027" s="17"/>
      <c r="L6027" s="18"/>
    </row>
    <row r="6028" hidden="1">
      <c r="K6028" s="17"/>
      <c r="L6028" s="18"/>
    </row>
    <row r="6029" hidden="1">
      <c r="K6029" s="17"/>
      <c r="L6029" s="18"/>
    </row>
    <row r="6030" hidden="1">
      <c r="K6030" s="17"/>
      <c r="L6030" s="18"/>
    </row>
    <row r="6031" hidden="1">
      <c r="K6031" s="17"/>
      <c r="L6031" s="18"/>
    </row>
    <row r="6032" hidden="1">
      <c r="K6032" s="17"/>
      <c r="L6032" s="18"/>
    </row>
    <row r="6033" hidden="1">
      <c r="K6033" s="17"/>
      <c r="L6033" s="18"/>
    </row>
    <row r="6034" hidden="1">
      <c r="K6034" s="17"/>
      <c r="L6034" s="18"/>
    </row>
    <row r="6035" hidden="1">
      <c r="K6035" s="17"/>
      <c r="L6035" s="18"/>
    </row>
    <row r="6036" hidden="1">
      <c r="K6036" s="17"/>
      <c r="L6036" s="18"/>
    </row>
    <row r="6037" hidden="1">
      <c r="K6037" s="17"/>
      <c r="L6037" s="18"/>
    </row>
    <row r="6038" hidden="1">
      <c r="K6038" s="17"/>
      <c r="L6038" s="18"/>
    </row>
    <row r="6039" hidden="1">
      <c r="K6039" s="17"/>
      <c r="L6039" s="18"/>
    </row>
    <row r="6040" hidden="1">
      <c r="K6040" s="17"/>
      <c r="L6040" s="18"/>
    </row>
    <row r="6041" hidden="1">
      <c r="K6041" s="17"/>
      <c r="L6041" s="18"/>
    </row>
    <row r="6042" hidden="1">
      <c r="K6042" s="17"/>
      <c r="L6042" s="18"/>
    </row>
    <row r="6043" hidden="1">
      <c r="K6043" s="17"/>
      <c r="L6043" s="18"/>
    </row>
    <row r="6044" hidden="1">
      <c r="K6044" s="17"/>
      <c r="L6044" s="18"/>
    </row>
    <row r="6045" hidden="1">
      <c r="K6045" s="17"/>
      <c r="L6045" s="18"/>
    </row>
    <row r="6046" hidden="1">
      <c r="K6046" s="17"/>
      <c r="L6046" s="18"/>
    </row>
    <row r="6047" hidden="1">
      <c r="K6047" s="17"/>
      <c r="L6047" s="18"/>
    </row>
    <row r="6048" hidden="1">
      <c r="K6048" s="17"/>
      <c r="L6048" s="18"/>
    </row>
    <row r="6049" hidden="1">
      <c r="K6049" s="17"/>
      <c r="L6049" s="18"/>
    </row>
    <row r="6050" hidden="1">
      <c r="K6050" s="17"/>
      <c r="L6050" s="18"/>
    </row>
    <row r="6051" hidden="1">
      <c r="K6051" s="17"/>
      <c r="L6051" s="18"/>
    </row>
    <row r="6052" hidden="1">
      <c r="K6052" s="17"/>
      <c r="L6052" s="18"/>
    </row>
    <row r="6053" hidden="1">
      <c r="K6053" s="17"/>
      <c r="L6053" s="18"/>
    </row>
    <row r="6054" hidden="1">
      <c r="K6054" s="17"/>
      <c r="L6054" s="18"/>
    </row>
    <row r="6055" hidden="1">
      <c r="K6055" s="17"/>
      <c r="L6055" s="18"/>
    </row>
    <row r="6056" hidden="1">
      <c r="K6056" s="17"/>
      <c r="L6056" s="18"/>
    </row>
    <row r="6057" hidden="1">
      <c r="K6057" s="17"/>
      <c r="L6057" s="18"/>
    </row>
    <row r="6058" hidden="1">
      <c r="K6058" s="17"/>
      <c r="L6058" s="18"/>
    </row>
    <row r="6059" hidden="1">
      <c r="K6059" s="17"/>
      <c r="L6059" s="18"/>
    </row>
    <row r="6060" hidden="1">
      <c r="K6060" s="17"/>
      <c r="L6060" s="18"/>
    </row>
    <row r="6061" hidden="1">
      <c r="K6061" s="17"/>
      <c r="L6061" s="18"/>
    </row>
    <row r="6062" hidden="1">
      <c r="K6062" s="17"/>
      <c r="L6062" s="18"/>
    </row>
    <row r="6063" hidden="1">
      <c r="K6063" s="17"/>
      <c r="L6063" s="18"/>
    </row>
    <row r="6064" hidden="1">
      <c r="K6064" s="17"/>
      <c r="L6064" s="18"/>
    </row>
    <row r="6065" hidden="1">
      <c r="K6065" s="17"/>
      <c r="L6065" s="18"/>
    </row>
    <row r="6066" hidden="1">
      <c r="K6066" s="17"/>
      <c r="L6066" s="18"/>
    </row>
    <row r="6067" hidden="1">
      <c r="K6067" s="17"/>
      <c r="L6067" s="18"/>
    </row>
    <row r="6068" hidden="1">
      <c r="K6068" s="17"/>
      <c r="L6068" s="18"/>
    </row>
    <row r="6069" hidden="1">
      <c r="K6069" s="17"/>
      <c r="L6069" s="18"/>
    </row>
    <row r="6070" hidden="1">
      <c r="K6070" s="17"/>
      <c r="L6070" s="18"/>
    </row>
    <row r="6071" hidden="1">
      <c r="K6071" s="17"/>
      <c r="L6071" s="18"/>
    </row>
    <row r="6072" hidden="1">
      <c r="K6072" s="17"/>
      <c r="L6072" s="18"/>
    </row>
    <row r="6073" hidden="1">
      <c r="K6073" s="17"/>
      <c r="L6073" s="18"/>
    </row>
    <row r="6074" hidden="1">
      <c r="K6074" s="17"/>
      <c r="L6074" s="18"/>
    </row>
    <row r="6075" hidden="1">
      <c r="K6075" s="17"/>
      <c r="L6075" s="18"/>
    </row>
    <row r="6076" hidden="1">
      <c r="K6076" s="17"/>
      <c r="L6076" s="18"/>
    </row>
    <row r="6077" hidden="1">
      <c r="K6077" s="17"/>
      <c r="L6077" s="18"/>
    </row>
    <row r="6078" hidden="1">
      <c r="K6078" s="17"/>
      <c r="L6078" s="18"/>
    </row>
    <row r="6079" hidden="1">
      <c r="K6079" s="17"/>
      <c r="L6079" s="18"/>
    </row>
    <row r="6080" hidden="1">
      <c r="K6080" s="17"/>
      <c r="L6080" s="18"/>
    </row>
    <row r="6081" hidden="1">
      <c r="K6081" s="17"/>
      <c r="L6081" s="18"/>
    </row>
    <row r="6082" hidden="1">
      <c r="K6082" s="17"/>
      <c r="L6082" s="18"/>
    </row>
    <row r="6083" hidden="1">
      <c r="K6083" s="17"/>
      <c r="L6083" s="18"/>
    </row>
    <row r="6084" hidden="1">
      <c r="K6084" s="17"/>
      <c r="L6084" s="18"/>
    </row>
    <row r="6085" hidden="1">
      <c r="K6085" s="17"/>
      <c r="L6085" s="18"/>
    </row>
    <row r="6086" hidden="1">
      <c r="K6086" s="17"/>
      <c r="L6086" s="18"/>
    </row>
    <row r="6087" hidden="1">
      <c r="K6087" s="17"/>
      <c r="L6087" s="18"/>
    </row>
    <row r="6088" hidden="1">
      <c r="K6088" s="17"/>
      <c r="L6088" s="18"/>
    </row>
    <row r="6089" hidden="1">
      <c r="K6089" s="17"/>
      <c r="L6089" s="18"/>
    </row>
    <row r="6090" hidden="1">
      <c r="K6090" s="17"/>
      <c r="L6090" s="18"/>
    </row>
    <row r="6091" hidden="1">
      <c r="K6091" s="17"/>
      <c r="L6091" s="18"/>
    </row>
    <row r="6092" hidden="1">
      <c r="K6092" s="17"/>
      <c r="L6092" s="18"/>
    </row>
    <row r="6093" hidden="1">
      <c r="K6093" s="17"/>
      <c r="L6093" s="18"/>
    </row>
    <row r="6094" hidden="1">
      <c r="K6094" s="17"/>
      <c r="L6094" s="18"/>
    </row>
    <row r="6095" hidden="1">
      <c r="K6095" s="17"/>
      <c r="L6095" s="18"/>
    </row>
    <row r="6096" hidden="1">
      <c r="K6096" s="17"/>
      <c r="L6096" s="18"/>
    </row>
    <row r="6097" hidden="1">
      <c r="K6097" s="17"/>
      <c r="L6097" s="18"/>
    </row>
    <row r="6098" hidden="1">
      <c r="K6098" s="17"/>
      <c r="L6098" s="18"/>
    </row>
    <row r="6099" hidden="1">
      <c r="K6099" s="17"/>
      <c r="L6099" s="18"/>
    </row>
    <row r="6100" hidden="1">
      <c r="K6100" s="17"/>
      <c r="L6100" s="18"/>
    </row>
    <row r="6101" hidden="1">
      <c r="K6101" s="17"/>
      <c r="L6101" s="18"/>
    </row>
    <row r="6102" hidden="1">
      <c r="K6102" s="17"/>
      <c r="L6102" s="18"/>
    </row>
    <row r="6103" hidden="1">
      <c r="K6103" s="17"/>
      <c r="L6103" s="18"/>
    </row>
    <row r="6104" hidden="1">
      <c r="K6104" s="17"/>
      <c r="L6104" s="18"/>
    </row>
    <row r="6105" hidden="1">
      <c r="K6105" s="17"/>
      <c r="L6105" s="18"/>
    </row>
    <row r="6106" hidden="1">
      <c r="K6106" s="17"/>
      <c r="L6106" s="18"/>
    </row>
    <row r="6107" hidden="1">
      <c r="K6107" s="17"/>
      <c r="L6107" s="18"/>
    </row>
    <row r="6108" hidden="1">
      <c r="K6108" s="17"/>
      <c r="L6108" s="18"/>
    </row>
    <row r="6109" hidden="1">
      <c r="K6109" s="17"/>
      <c r="L6109" s="18"/>
    </row>
    <row r="6110" hidden="1">
      <c r="K6110" s="17"/>
      <c r="L6110" s="18"/>
    </row>
    <row r="6111" hidden="1">
      <c r="K6111" s="17"/>
      <c r="L6111" s="18"/>
    </row>
    <row r="6112" hidden="1">
      <c r="K6112" s="17"/>
      <c r="L6112" s="18"/>
    </row>
    <row r="6113" hidden="1">
      <c r="K6113" s="17"/>
      <c r="L6113" s="18"/>
    </row>
    <row r="6114" hidden="1">
      <c r="K6114" s="17"/>
      <c r="L6114" s="18"/>
    </row>
    <row r="6115" hidden="1">
      <c r="K6115" s="17"/>
      <c r="L6115" s="18"/>
    </row>
    <row r="6116" hidden="1">
      <c r="K6116" s="17"/>
      <c r="L6116" s="18"/>
    </row>
    <row r="6117" hidden="1">
      <c r="K6117" s="17"/>
      <c r="L6117" s="18"/>
    </row>
    <row r="6118" hidden="1">
      <c r="K6118" s="17"/>
      <c r="L6118" s="18"/>
    </row>
    <row r="6119" hidden="1">
      <c r="K6119" s="17"/>
      <c r="L6119" s="18"/>
    </row>
    <row r="6120" hidden="1">
      <c r="K6120" s="17"/>
      <c r="L6120" s="18"/>
    </row>
    <row r="6121" hidden="1">
      <c r="K6121" s="17"/>
      <c r="L6121" s="18"/>
    </row>
    <row r="6122" hidden="1">
      <c r="K6122" s="17"/>
      <c r="L6122" s="18"/>
    </row>
    <row r="6123" hidden="1">
      <c r="K6123" s="17"/>
      <c r="L6123" s="18"/>
    </row>
    <row r="6124" hidden="1">
      <c r="K6124" s="17"/>
      <c r="L6124" s="18"/>
    </row>
    <row r="6125" hidden="1">
      <c r="K6125" s="17"/>
      <c r="L6125" s="18"/>
    </row>
    <row r="6126" hidden="1">
      <c r="K6126" s="17"/>
      <c r="L6126" s="18"/>
    </row>
    <row r="6127" hidden="1">
      <c r="K6127" s="17"/>
      <c r="L6127" s="18"/>
    </row>
    <row r="6128" hidden="1">
      <c r="K6128" s="17"/>
      <c r="L6128" s="18"/>
    </row>
    <row r="6129" hidden="1">
      <c r="K6129" s="17"/>
      <c r="L6129" s="18"/>
    </row>
    <row r="6130" hidden="1">
      <c r="K6130" s="17"/>
      <c r="L6130" s="18"/>
    </row>
    <row r="6131" hidden="1">
      <c r="K6131" s="17"/>
      <c r="L6131" s="18"/>
    </row>
    <row r="6132" hidden="1">
      <c r="K6132" s="17"/>
      <c r="L6132" s="18"/>
    </row>
    <row r="6133" hidden="1">
      <c r="K6133" s="17"/>
      <c r="L6133" s="18"/>
    </row>
    <row r="6134" hidden="1">
      <c r="K6134" s="17"/>
      <c r="L6134" s="18"/>
    </row>
    <row r="6135" hidden="1">
      <c r="K6135" s="17"/>
      <c r="L6135" s="18"/>
    </row>
    <row r="6136" hidden="1">
      <c r="K6136" s="17"/>
      <c r="L6136" s="18"/>
    </row>
    <row r="6137" hidden="1">
      <c r="K6137" s="17"/>
      <c r="L6137" s="18"/>
    </row>
    <row r="6138" hidden="1">
      <c r="K6138" s="17"/>
      <c r="L6138" s="18"/>
    </row>
    <row r="6139" hidden="1">
      <c r="K6139" s="17"/>
      <c r="L6139" s="18"/>
    </row>
    <row r="6140" hidden="1">
      <c r="K6140" s="17"/>
      <c r="L6140" s="18"/>
    </row>
    <row r="6141" hidden="1">
      <c r="K6141" s="17"/>
      <c r="L6141" s="18"/>
    </row>
    <row r="6142" hidden="1">
      <c r="K6142" s="17"/>
      <c r="L6142" s="18"/>
    </row>
    <row r="6143" hidden="1">
      <c r="K6143" s="17"/>
      <c r="L6143" s="18"/>
    </row>
    <row r="6144" hidden="1">
      <c r="K6144" s="17"/>
      <c r="L6144" s="18"/>
    </row>
    <row r="6145" hidden="1">
      <c r="K6145" s="17"/>
      <c r="L6145" s="18"/>
    </row>
    <row r="6146" hidden="1">
      <c r="K6146" s="17"/>
      <c r="L6146" s="18"/>
    </row>
    <row r="6147" hidden="1">
      <c r="K6147" s="17"/>
      <c r="L6147" s="18"/>
    </row>
    <row r="6148" hidden="1">
      <c r="K6148" s="17"/>
      <c r="L6148" s="18"/>
    </row>
    <row r="6149" hidden="1">
      <c r="K6149" s="17"/>
      <c r="L6149" s="18"/>
    </row>
    <row r="6150" hidden="1">
      <c r="K6150" s="17"/>
      <c r="L6150" s="18"/>
    </row>
    <row r="6151" hidden="1">
      <c r="K6151" s="17"/>
      <c r="L6151" s="18"/>
    </row>
    <row r="6152" hidden="1">
      <c r="K6152" s="17"/>
      <c r="L6152" s="18"/>
    </row>
    <row r="6153" hidden="1">
      <c r="K6153" s="17"/>
      <c r="L6153" s="18"/>
    </row>
    <row r="6154" hidden="1">
      <c r="K6154" s="17"/>
      <c r="L6154" s="18"/>
    </row>
    <row r="6155" hidden="1">
      <c r="K6155" s="17"/>
      <c r="L6155" s="18"/>
    </row>
    <row r="6156" hidden="1">
      <c r="K6156" s="17"/>
      <c r="L6156" s="18"/>
    </row>
    <row r="6157" hidden="1">
      <c r="K6157" s="17"/>
      <c r="L6157" s="18"/>
    </row>
    <row r="6158" hidden="1">
      <c r="K6158" s="17"/>
      <c r="L6158" s="18"/>
    </row>
    <row r="6159" hidden="1">
      <c r="K6159" s="17"/>
      <c r="L6159" s="18"/>
    </row>
    <row r="6160" hidden="1">
      <c r="K6160" s="17"/>
      <c r="L6160" s="18"/>
    </row>
    <row r="6161" hidden="1">
      <c r="K6161" s="17"/>
      <c r="L6161" s="18"/>
    </row>
    <row r="6162" hidden="1">
      <c r="K6162" s="17"/>
      <c r="L6162" s="18"/>
    </row>
    <row r="6163" hidden="1">
      <c r="K6163" s="17"/>
      <c r="L6163" s="18"/>
    </row>
    <row r="6164" hidden="1">
      <c r="K6164" s="17"/>
      <c r="L6164" s="18"/>
    </row>
    <row r="6165" hidden="1">
      <c r="K6165" s="17"/>
      <c r="L6165" s="18"/>
    </row>
    <row r="6166" hidden="1">
      <c r="K6166" s="17"/>
      <c r="L6166" s="18"/>
    </row>
    <row r="6167" hidden="1">
      <c r="K6167" s="17"/>
      <c r="L6167" s="18"/>
    </row>
    <row r="6168" hidden="1">
      <c r="K6168" s="17"/>
      <c r="L6168" s="18"/>
    </row>
    <row r="6169" hidden="1">
      <c r="K6169" s="17"/>
      <c r="L6169" s="18"/>
    </row>
    <row r="6170" hidden="1">
      <c r="K6170" s="17"/>
      <c r="L6170" s="18"/>
    </row>
    <row r="6171" hidden="1">
      <c r="K6171" s="17"/>
      <c r="L6171" s="18"/>
    </row>
    <row r="6172" hidden="1">
      <c r="K6172" s="17"/>
      <c r="L6172" s="18"/>
    </row>
    <row r="6173" hidden="1">
      <c r="K6173" s="17"/>
      <c r="L6173" s="18"/>
    </row>
    <row r="6174" hidden="1">
      <c r="K6174" s="17"/>
      <c r="L6174" s="18"/>
    </row>
    <row r="6175" hidden="1">
      <c r="K6175" s="17"/>
      <c r="L6175" s="18"/>
    </row>
    <row r="6176" hidden="1">
      <c r="K6176" s="17"/>
      <c r="L6176" s="18"/>
    </row>
    <row r="6177" hidden="1">
      <c r="K6177" s="17"/>
      <c r="L6177" s="18"/>
    </row>
    <row r="6178" hidden="1">
      <c r="K6178" s="17"/>
      <c r="L6178" s="18"/>
    </row>
    <row r="6179" hidden="1">
      <c r="K6179" s="17"/>
      <c r="L6179" s="18"/>
    </row>
    <row r="6180" hidden="1">
      <c r="K6180" s="17"/>
      <c r="L6180" s="18"/>
    </row>
    <row r="6181" hidden="1">
      <c r="K6181" s="17"/>
      <c r="L6181" s="18"/>
    </row>
    <row r="6182" hidden="1">
      <c r="K6182" s="17"/>
      <c r="L6182" s="18"/>
    </row>
    <row r="6183" hidden="1">
      <c r="K6183" s="17"/>
      <c r="L6183" s="18"/>
    </row>
    <row r="6184" hidden="1">
      <c r="K6184" s="17"/>
      <c r="L6184" s="18"/>
    </row>
    <row r="6185" hidden="1">
      <c r="K6185" s="17"/>
      <c r="L6185" s="18"/>
    </row>
    <row r="6186" hidden="1">
      <c r="K6186" s="17"/>
      <c r="L6186" s="18"/>
    </row>
    <row r="6187" hidden="1">
      <c r="K6187" s="17"/>
      <c r="L6187" s="18"/>
    </row>
    <row r="6188" hidden="1">
      <c r="K6188" s="17"/>
      <c r="L6188" s="18"/>
    </row>
    <row r="6189" hidden="1">
      <c r="K6189" s="17"/>
      <c r="L6189" s="18"/>
    </row>
    <row r="6190" hidden="1">
      <c r="K6190" s="17"/>
      <c r="L6190" s="18"/>
    </row>
    <row r="6191" hidden="1">
      <c r="K6191" s="17"/>
      <c r="L6191" s="18"/>
    </row>
    <row r="6192" hidden="1">
      <c r="K6192" s="17"/>
      <c r="L6192" s="18"/>
    </row>
    <row r="6193" hidden="1">
      <c r="K6193" s="17"/>
      <c r="L6193" s="18"/>
    </row>
    <row r="6194" hidden="1">
      <c r="K6194" s="17"/>
      <c r="L6194" s="18"/>
    </row>
    <row r="6195" hidden="1">
      <c r="K6195" s="17"/>
      <c r="L6195" s="18"/>
    </row>
    <row r="6196" hidden="1">
      <c r="K6196" s="17"/>
      <c r="L6196" s="18"/>
    </row>
    <row r="6197" hidden="1">
      <c r="K6197" s="17"/>
      <c r="L6197" s="18"/>
    </row>
    <row r="6198" hidden="1">
      <c r="K6198" s="17"/>
      <c r="L6198" s="18"/>
    </row>
    <row r="6199" hidden="1">
      <c r="K6199" s="17"/>
      <c r="L6199" s="18"/>
    </row>
    <row r="6200" hidden="1">
      <c r="K6200" s="17"/>
      <c r="L6200" s="18"/>
    </row>
    <row r="6201" hidden="1">
      <c r="K6201" s="17"/>
      <c r="L6201" s="18"/>
    </row>
    <row r="6202" hidden="1">
      <c r="K6202" s="17"/>
      <c r="L6202" s="18"/>
    </row>
    <row r="6203" hidden="1">
      <c r="K6203" s="17"/>
      <c r="L6203" s="18"/>
    </row>
    <row r="6204" hidden="1">
      <c r="K6204" s="17"/>
      <c r="L6204" s="18"/>
    </row>
    <row r="6205" hidden="1">
      <c r="K6205" s="17"/>
      <c r="L6205" s="18"/>
    </row>
    <row r="6206" hidden="1">
      <c r="K6206" s="17"/>
      <c r="L6206" s="18"/>
    </row>
    <row r="6207" hidden="1">
      <c r="K6207" s="17"/>
      <c r="L6207" s="18"/>
    </row>
    <row r="6208" hidden="1">
      <c r="K6208" s="17"/>
      <c r="L6208" s="18"/>
    </row>
    <row r="6209" hidden="1">
      <c r="K6209" s="17"/>
      <c r="L6209" s="18"/>
    </row>
    <row r="6210" hidden="1">
      <c r="K6210" s="17"/>
      <c r="L6210" s="18"/>
    </row>
    <row r="6211" hidden="1">
      <c r="K6211" s="17"/>
      <c r="L6211" s="18"/>
    </row>
    <row r="6212" hidden="1">
      <c r="K6212" s="17"/>
      <c r="L6212" s="18"/>
    </row>
    <row r="6213" hidden="1">
      <c r="K6213" s="17"/>
      <c r="L6213" s="18"/>
    </row>
    <row r="6214" hidden="1">
      <c r="K6214" s="17"/>
      <c r="L6214" s="18"/>
    </row>
    <row r="6215" hidden="1">
      <c r="K6215" s="17"/>
      <c r="L6215" s="18"/>
    </row>
    <row r="6216" hidden="1">
      <c r="K6216" s="17"/>
      <c r="L6216" s="18"/>
    </row>
    <row r="6217" hidden="1">
      <c r="K6217" s="17"/>
      <c r="L6217" s="18"/>
    </row>
    <row r="6218" hidden="1">
      <c r="K6218" s="17"/>
      <c r="L6218" s="18"/>
    </row>
    <row r="6219" hidden="1">
      <c r="K6219" s="17"/>
      <c r="L6219" s="18"/>
    </row>
    <row r="6220" hidden="1">
      <c r="K6220" s="17"/>
      <c r="L6220" s="18"/>
    </row>
    <row r="6221" hidden="1">
      <c r="K6221" s="17"/>
      <c r="L6221" s="18"/>
    </row>
    <row r="6222" hidden="1">
      <c r="K6222" s="17"/>
      <c r="L6222" s="18"/>
    </row>
    <row r="6223" hidden="1">
      <c r="K6223" s="17"/>
      <c r="L6223" s="18"/>
    </row>
    <row r="6224" hidden="1">
      <c r="K6224" s="17"/>
      <c r="L6224" s="18"/>
    </row>
    <row r="6225" hidden="1">
      <c r="K6225" s="17"/>
      <c r="L6225" s="18"/>
    </row>
    <row r="6226" hidden="1">
      <c r="K6226" s="17"/>
      <c r="L6226" s="18"/>
    </row>
    <row r="6227" hidden="1">
      <c r="K6227" s="17"/>
      <c r="L6227" s="18"/>
    </row>
    <row r="6228" hidden="1">
      <c r="K6228" s="17"/>
      <c r="L6228" s="18"/>
    </row>
    <row r="6229" hidden="1">
      <c r="K6229" s="17"/>
      <c r="L6229" s="18"/>
    </row>
    <row r="6230" hidden="1">
      <c r="K6230" s="17"/>
      <c r="L6230" s="18"/>
    </row>
    <row r="6231" hidden="1">
      <c r="K6231" s="17"/>
      <c r="L6231" s="18"/>
    </row>
    <row r="6232" hidden="1">
      <c r="K6232" s="17"/>
      <c r="L6232" s="18"/>
    </row>
    <row r="6233" hidden="1">
      <c r="K6233" s="17"/>
      <c r="L6233" s="18"/>
    </row>
    <row r="6234" hidden="1">
      <c r="K6234" s="17"/>
      <c r="L6234" s="18"/>
    </row>
    <row r="6235" hidden="1">
      <c r="K6235" s="17"/>
      <c r="L6235" s="18"/>
    </row>
    <row r="6236" hidden="1">
      <c r="K6236" s="17"/>
      <c r="L6236" s="18"/>
    </row>
    <row r="6237" hidden="1">
      <c r="K6237" s="17"/>
      <c r="L6237" s="18"/>
    </row>
    <row r="6238" hidden="1">
      <c r="K6238" s="17"/>
      <c r="L6238" s="18"/>
    </row>
    <row r="6239" hidden="1">
      <c r="K6239" s="17"/>
      <c r="L6239" s="18"/>
    </row>
    <row r="6240" hidden="1">
      <c r="K6240" s="17"/>
      <c r="L6240" s="18"/>
    </row>
    <row r="6241" hidden="1">
      <c r="K6241" s="17"/>
      <c r="L6241" s="18"/>
    </row>
    <row r="6242" hidden="1">
      <c r="K6242" s="17"/>
      <c r="L6242" s="18"/>
    </row>
    <row r="6243" hidden="1">
      <c r="K6243" s="17"/>
      <c r="L6243" s="18"/>
    </row>
    <row r="6244" hidden="1">
      <c r="K6244" s="17"/>
      <c r="L6244" s="18"/>
    </row>
    <row r="6245" hidden="1">
      <c r="K6245" s="17"/>
      <c r="L6245" s="18"/>
    </row>
    <row r="6246" hidden="1">
      <c r="K6246" s="17"/>
      <c r="L6246" s="18"/>
    </row>
    <row r="6247" hidden="1">
      <c r="K6247" s="17"/>
      <c r="L6247" s="18"/>
    </row>
    <row r="6248" hidden="1">
      <c r="K6248" s="17"/>
      <c r="L6248" s="18"/>
    </row>
    <row r="6249" hidden="1">
      <c r="K6249" s="17"/>
      <c r="L6249" s="18"/>
    </row>
    <row r="6250" hidden="1">
      <c r="K6250" s="17"/>
      <c r="L6250" s="18"/>
    </row>
    <row r="6251" hidden="1">
      <c r="K6251" s="17"/>
      <c r="L6251" s="18"/>
    </row>
    <row r="6252" hidden="1">
      <c r="K6252" s="17"/>
      <c r="L6252" s="18"/>
    </row>
    <row r="6253" hidden="1">
      <c r="K6253" s="17"/>
      <c r="L6253" s="18"/>
    </row>
    <row r="6254" hidden="1">
      <c r="K6254" s="17"/>
      <c r="L6254" s="18"/>
    </row>
    <row r="6255" hidden="1">
      <c r="K6255" s="17"/>
      <c r="L6255" s="18"/>
    </row>
    <row r="6256" hidden="1">
      <c r="K6256" s="17"/>
      <c r="L6256" s="18"/>
    </row>
    <row r="6257" hidden="1">
      <c r="K6257" s="17"/>
      <c r="L6257" s="18"/>
    </row>
    <row r="6258" hidden="1">
      <c r="K6258" s="17"/>
      <c r="L6258" s="18"/>
    </row>
    <row r="6259" hidden="1">
      <c r="K6259" s="17"/>
      <c r="L6259" s="18"/>
    </row>
    <row r="6260" hidden="1">
      <c r="K6260" s="17"/>
      <c r="L6260" s="18"/>
    </row>
    <row r="6261" hidden="1">
      <c r="K6261" s="17"/>
      <c r="L6261" s="18"/>
    </row>
    <row r="6262" hidden="1">
      <c r="K6262" s="17"/>
      <c r="L6262" s="18"/>
    </row>
    <row r="6263" hidden="1">
      <c r="K6263" s="17"/>
      <c r="L6263" s="18"/>
    </row>
    <row r="6264" hidden="1">
      <c r="K6264" s="17"/>
      <c r="L6264" s="18"/>
    </row>
    <row r="6265" hidden="1">
      <c r="K6265" s="17"/>
      <c r="L6265" s="18"/>
    </row>
    <row r="6266" hidden="1">
      <c r="K6266" s="17"/>
      <c r="L6266" s="18"/>
    </row>
    <row r="6267" hidden="1">
      <c r="K6267" s="17"/>
      <c r="L6267" s="18"/>
    </row>
    <row r="6268" hidden="1">
      <c r="K6268" s="17"/>
      <c r="L6268" s="18"/>
    </row>
    <row r="6269" hidden="1">
      <c r="K6269" s="17"/>
      <c r="L6269" s="18"/>
    </row>
    <row r="6270" hidden="1">
      <c r="K6270" s="17"/>
      <c r="L6270" s="18"/>
    </row>
    <row r="6271" hidden="1">
      <c r="K6271" s="17"/>
      <c r="L6271" s="18"/>
    </row>
    <row r="6272" hidden="1">
      <c r="K6272" s="17"/>
      <c r="L6272" s="18"/>
    </row>
    <row r="6273" hidden="1">
      <c r="K6273" s="17"/>
      <c r="L6273" s="18"/>
    </row>
    <row r="6274" hidden="1">
      <c r="K6274" s="17"/>
      <c r="L6274" s="18"/>
    </row>
    <row r="6275" hidden="1">
      <c r="K6275" s="17"/>
      <c r="L6275" s="18"/>
    </row>
    <row r="6276" hidden="1">
      <c r="K6276" s="17"/>
      <c r="L6276" s="18"/>
    </row>
    <row r="6277" hidden="1">
      <c r="K6277" s="17"/>
      <c r="L6277" s="18"/>
    </row>
    <row r="6278" hidden="1">
      <c r="K6278" s="17"/>
      <c r="L6278" s="18"/>
    </row>
    <row r="6279" hidden="1">
      <c r="K6279" s="17"/>
      <c r="L6279" s="18"/>
    </row>
    <row r="6280" hidden="1">
      <c r="K6280" s="17"/>
      <c r="L6280" s="18"/>
    </row>
    <row r="6281" hidden="1">
      <c r="K6281" s="17"/>
      <c r="L6281" s="18"/>
    </row>
    <row r="6282" hidden="1">
      <c r="K6282" s="17"/>
      <c r="L6282" s="18"/>
    </row>
    <row r="6283" hidden="1">
      <c r="K6283" s="17"/>
      <c r="L6283" s="18"/>
    </row>
    <row r="6284" hidden="1">
      <c r="K6284" s="17"/>
      <c r="L6284" s="18"/>
    </row>
    <row r="6285" hidden="1">
      <c r="K6285" s="17"/>
      <c r="L6285" s="18"/>
    </row>
    <row r="6286" hidden="1">
      <c r="K6286" s="17"/>
      <c r="L6286" s="18"/>
    </row>
    <row r="6287" hidden="1">
      <c r="K6287" s="17"/>
      <c r="L6287" s="18"/>
    </row>
    <row r="6288" hidden="1">
      <c r="K6288" s="17"/>
      <c r="L6288" s="18"/>
    </row>
    <row r="6289" hidden="1">
      <c r="K6289" s="17"/>
      <c r="L6289" s="18"/>
    </row>
    <row r="6290" hidden="1">
      <c r="K6290" s="17"/>
      <c r="L6290" s="18"/>
    </row>
    <row r="6291" hidden="1">
      <c r="K6291" s="17"/>
      <c r="L6291" s="18"/>
    </row>
    <row r="6292" hidden="1">
      <c r="K6292" s="17"/>
      <c r="L6292" s="18"/>
    </row>
    <row r="6293" hidden="1">
      <c r="K6293" s="17"/>
      <c r="L6293" s="18"/>
    </row>
    <row r="6294" hidden="1">
      <c r="K6294" s="17"/>
      <c r="L6294" s="18"/>
    </row>
    <row r="6295" hidden="1">
      <c r="K6295" s="17"/>
      <c r="L6295" s="18"/>
    </row>
    <row r="6296" hidden="1">
      <c r="K6296" s="17"/>
      <c r="L6296" s="18"/>
    </row>
    <row r="6297" hidden="1">
      <c r="K6297" s="17"/>
      <c r="L6297" s="18"/>
    </row>
    <row r="6298" hidden="1">
      <c r="K6298" s="17"/>
      <c r="L6298" s="18"/>
    </row>
    <row r="6299" hidden="1">
      <c r="K6299" s="17"/>
      <c r="L6299" s="18"/>
    </row>
    <row r="6300" hidden="1">
      <c r="K6300" s="17"/>
      <c r="L6300" s="18"/>
    </row>
    <row r="6301" hidden="1">
      <c r="K6301" s="17"/>
      <c r="L6301" s="18"/>
    </row>
    <row r="6302" hidden="1">
      <c r="K6302" s="17"/>
      <c r="L6302" s="18"/>
    </row>
    <row r="6303" hidden="1">
      <c r="K6303" s="17"/>
      <c r="L6303" s="18"/>
    </row>
    <row r="6304" hidden="1">
      <c r="K6304" s="17"/>
      <c r="L6304" s="18"/>
    </row>
    <row r="6305" hidden="1">
      <c r="K6305" s="17"/>
      <c r="L6305" s="18"/>
    </row>
    <row r="6306" hidden="1">
      <c r="K6306" s="17"/>
      <c r="L6306" s="18"/>
    </row>
    <row r="6307" hidden="1">
      <c r="K6307" s="17"/>
      <c r="L6307" s="18"/>
    </row>
    <row r="6308" hidden="1">
      <c r="K6308" s="17"/>
      <c r="L6308" s="18"/>
    </row>
    <row r="6309" hidden="1">
      <c r="K6309" s="17"/>
      <c r="L6309" s="18"/>
    </row>
    <row r="6310" hidden="1">
      <c r="K6310" s="17"/>
      <c r="L6310" s="18"/>
    </row>
    <row r="6311" hidden="1">
      <c r="K6311" s="17"/>
      <c r="L6311" s="18"/>
    </row>
    <row r="6312" hidden="1">
      <c r="K6312" s="17"/>
      <c r="L6312" s="18"/>
    </row>
    <row r="6313" hidden="1">
      <c r="K6313" s="17"/>
      <c r="L6313" s="18"/>
    </row>
    <row r="6314" hidden="1">
      <c r="K6314" s="17"/>
      <c r="L6314" s="18"/>
    </row>
    <row r="6315" hidden="1">
      <c r="K6315" s="17"/>
      <c r="L6315" s="18"/>
    </row>
    <row r="6316" hidden="1">
      <c r="K6316" s="17"/>
      <c r="L6316" s="18"/>
    </row>
    <row r="6317" hidden="1">
      <c r="K6317" s="17"/>
      <c r="L6317" s="18"/>
    </row>
    <row r="6318" hidden="1">
      <c r="K6318" s="17"/>
      <c r="L6318" s="18"/>
    </row>
    <row r="6319" hidden="1">
      <c r="K6319" s="17"/>
      <c r="L6319" s="18"/>
    </row>
    <row r="6320" hidden="1">
      <c r="K6320" s="17"/>
      <c r="L6320" s="18"/>
    </row>
    <row r="6321" hidden="1">
      <c r="K6321" s="17"/>
      <c r="L6321" s="18"/>
    </row>
    <row r="6322" hidden="1">
      <c r="K6322" s="17"/>
      <c r="L6322" s="18"/>
    </row>
    <row r="6323" hidden="1">
      <c r="K6323" s="17"/>
      <c r="L6323" s="18"/>
    </row>
    <row r="6324" hidden="1">
      <c r="K6324" s="17"/>
      <c r="L6324" s="18"/>
    </row>
    <row r="6325" hidden="1">
      <c r="K6325" s="17"/>
      <c r="L6325" s="18"/>
    </row>
    <row r="6326" hidden="1">
      <c r="K6326" s="17"/>
      <c r="L6326" s="18"/>
    </row>
    <row r="6327" hidden="1">
      <c r="K6327" s="17"/>
      <c r="L6327" s="18"/>
    </row>
    <row r="6328" hidden="1">
      <c r="K6328" s="17"/>
      <c r="L6328" s="18"/>
    </row>
    <row r="6329" hidden="1">
      <c r="K6329" s="17"/>
      <c r="L6329" s="18"/>
    </row>
    <row r="6330" hidden="1">
      <c r="K6330" s="17"/>
      <c r="L6330" s="18"/>
    </row>
    <row r="6331" hidden="1">
      <c r="K6331" s="17"/>
      <c r="L6331" s="18"/>
    </row>
    <row r="6332" hidden="1">
      <c r="K6332" s="17"/>
      <c r="L6332" s="18"/>
    </row>
    <row r="6333" hidden="1">
      <c r="K6333" s="17"/>
      <c r="L6333" s="18"/>
    </row>
    <row r="6334" hidden="1">
      <c r="K6334" s="17"/>
      <c r="L6334" s="18"/>
    </row>
    <row r="6335" hidden="1">
      <c r="K6335" s="17"/>
      <c r="L6335" s="18"/>
    </row>
    <row r="6336" hidden="1">
      <c r="K6336" s="17"/>
      <c r="L6336" s="18"/>
    </row>
    <row r="6337" hidden="1">
      <c r="K6337" s="17"/>
      <c r="L6337" s="18"/>
    </row>
    <row r="6338" hidden="1">
      <c r="K6338" s="17"/>
      <c r="L6338" s="18"/>
    </row>
    <row r="6339" hidden="1">
      <c r="K6339" s="17"/>
      <c r="L6339" s="18"/>
    </row>
    <row r="6340" hidden="1">
      <c r="K6340" s="17"/>
      <c r="L6340" s="18"/>
    </row>
    <row r="6341" hidden="1">
      <c r="K6341" s="17"/>
      <c r="L6341" s="18"/>
    </row>
    <row r="6342" hidden="1">
      <c r="K6342" s="17"/>
      <c r="L6342" s="18"/>
    </row>
    <row r="6343" hidden="1">
      <c r="K6343" s="17"/>
      <c r="L6343" s="18"/>
    </row>
    <row r="6344" hidden="1">
      <c r="K6344" s="17"/>
      <c r="L6344" s="18"/>
    </row>
    <row r="6345" hidden="1">
      <c r="K6345" s="17"/>
      <c r="L6345" s="18"/>
    </row>
    <row r="6346" hidden="1">
      <c r="K6346" s="17"/>
      <c r="L6346" s="18"/>
    </row>
    <row r="6347" hidden="1">
      <c r="K6347" s="17"/>
      <c r="L6347" s="18"/>
    </row>
    <row r="6348" hidden="1">
      <c r="K6348" s="17"/>
      <c r="L6348" s="18"/>
    </row>
    <row r="6349" hidden="1">
      <c r="K6349" s="17"/>
      <c r="L6349" s="18"/>
    </row>
    <row r="6350" hidden="1">
      <c r="K6350" s="17"/>
      <c r="L6350" s="18"/>
    </row>
    <row r="6351" hidden="1">
      <c r="K6351" s="17"/>
      <c r="L6351" s="18"/>
    </row>
    <row r="6352" hidden="1">
      <c r="K6352" s="17"/>
      <c r="L6352" s="18"/>
    </row>
    <row r="6353" hidden="1">
      <c r="K6353" s="17"/>
      <c r="L6353" s="18"/>
    </row>
    <row r="6354" hidden="1">
      <c r="K6354" s="17"/>
      <c r="L6354" s="18"/>
    </row>
    <row r="6355" hidden="1">
      <c r="K6355" s="17"/>
      <c r="L6355" s="18"/>
    </row>
    <row r="6356" hidden="1">
      <c r="K6356" s="17"/>
      <c r="L6356" s="18"/>
    </row>
    <row r="6357" hidden="1">
      <c r="K6357" s="17"/>
      <c r="L6357" s="18"/>
    </row>
    <row r="6358" hidden="1">
      <c r="K6358" s="17"/>
      <c r="L6358" s="18"/>
    </row>
    <row r="6359" hidden="1">
      <c r="K6359" s="17"/>
      <c r="L6359" s="18"/>
    </row>
    <row r="6360" hidden="1">
      <c r="K6360" s="17"/>
      <c r="L6360" s="18"/>
    </row>
    <row r="6361" hidden="1">
      <c r="K6361" s="17"/>
      <c r="L6361" s="18"/>
    </row>
    <row r="6362" hidden="1">
      <c r="K6362" s="17"/>
      <c r="L6362" s="18"/>
    </row>
    <row r="6363" hidden="1">
      <c r="K6363" s="17"/>
      <c r="L6363" s="18"/>
    </row>
    <row r="6364" hidden="1">
      <c r="K6364" s="17"/>
      <c r="L6364" s="18"/>
    </row>
    <row r="6365" hidden="1">
      <c r="K6365" s="17"/>
      <c r="L6365" s="18"/>
    </row>
    <row r="6366" hidden="1">
      <c r="K6366" s="17"/>
      <c r="L6366" s="18"/>
    </row>
    <row r="6367" hidden="1">
      <c r="K6367" s="17"/>
      <c r="L6367" s="18"/>
    </row>
    <row r="6368" hidden="1">
      <c r="K6368" s="17"/>
      <c r="L6368" s="18"/>
    </row>
    <row r="6369" hidden="1">
      <c r="K6369" s="17"/>
      <c r="L6369" s="18"/>
    </row>
    <row r="6370" hidden="1">
      <c r="K6370" s="17"/>
      <c r="L6370" s="18"/>
    </row>
    <row r="6371" hidden="1">
      <c r="K6371" s="17"/>
      <c r="L6371" s="18"/>
    </row>
    <row r="6372" hidden="1">
      <c r="K6372" s="17"/>
      <c r="L6372" s="18"/>
    </row>
    <row r="6373" hidden="1">
      <c r="K6373" s="17"/>
      <c r="L6373" s="18"/>
    </row>
    <row r="6374" hidden="1">
      <c r="K6374" s="17"/>
      <c r="L6374" s="18"/>
    </row>
    <row r="6375" hidden="1">
      <c r="K6375" s="17"/>
      <c r="L6375" s="18"/>
    </row>
    <row r="6376" hidden="1">
      <c r="K6376" s="17"/>
      <c r="L6376" s="18"/>
    </row>
    <row r="6377" hidden="1">
      <c r="K6377" s="17"/>
      <c r="L6377" s="18"/>
    </row>
    <row r="6378" hidden="1">
      <c r="K6378" s="17"/>
      <c r="L6378" s="18"/>
    </row>
    <row r="6379" hidden="1">
      <c r="K6379" s="17"/>
      <c r="L6379" s="18"/>
    </row>
    <row r="6380" hidden="1">
      <c r="K6380" s="17"/>
      <c r="L6380" s="18"/>
    </row>
    <row r="6381" hidden="1">
      <c r="K6381" s="17"/>
      <c r="L6381" s="18"/>
    </row>
    <row r="6382" hidden="1">
      <c r="K6382" s="17"/>
      <c r="L6382" s="18"/>
    </row>
    <row r="6383" hidden="1">
      <c r="K6383" s="17"/>
      <c r="L6383" s="18"/>
    </row>
    <row r="6384" hidden="1">
      <c r="K6384" s="17"/>
      <c r="L6384" s="18"/>
    </row>
    <row r="6385" hidden="1">
      <c r="K6385" s="17"/>
      <c r="L6385" s="18"/>
    </row>
    <row r="6386" hidden="1">
      <c r="K6386" s="17"/>
      <c r="L6386" s="18"/>
    </row>
    <row r="6387" hidden="1">
      <c r="K6387" s="17"/>
      <c r="L6387" s="18"/>
    </row>
    <row r="6388" hidden="1">
      <c r="K6388" s="17"/>
      <c r="L6388" s="18"/>
    </row>
    <row r="6389" hidden="1">
      <c r="K6389" s="17"/>
      <c r="L6389" s="18"/>
    </row>
    <row r="6390" hidden="1">
      <c r="K6390" s="17"/>
      <c r="L6390" s="18"/>
    </row>
    <row r="6391" hidden="1">
      <c r="K6391" s="17"/>
      <c r="L6391" s="18"/>
    </row>
    <row r="6392" hidden="1">
      <c r="K6392" s="17"/>
      <c r="L6392" s="18"/>
    </row>
    <row r="6393" hidden="1">
      <c r="K6393" s="17"/>
      <c r="L6393" s="18"/>
    </row>
    <row r="6394" hidden="1">
      <c r="K6394" s="17"/>
      <c r="L6394" s="18"/>
    </row>
    <row r="6395" hidden="1">
      <c r="K6395" s="17"/>
      <c r="L6395" s="18"/>
    </row>
    <row r="6396" hidden="1">
      <c r="K6396" s="17"/>
      <c r="L6396" s="18"/>
    </row>
    <row r="6397" hidden="1">
      <c r="K6397" s="17"/>
      <c r="L6397" s="18"/>
    </row>
    <row r="6398" hidden="1">
      <c r="K6398" s="17"/>
      <c r="L6398" s="18"/>
    </row>
    <row r="6399" hidden="1">
      <c r="K6399" s="17"/>
      <c r="L6399" s="18"/>
    </row>
    <row r="6400" hidden="1">
      <c r="K6400" s="17"/>
      <c r="L6400" s="18"/>
    </row>
    <row r="6401" hidden="1">
      <c r="K6401" s="17"/>
      <c r="L6401" s="18"/>
    </row>
  </sheetData>
  <autoFilter ref="$E$1:$E$6401">
    <filterColumn colId="0">
      <filters>
        <filter val="Arts"/>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5"/>
    <col customWidth="1" min="4" max="4" width="17.0"/>
    <col customWidth="1" min="5" max="5" width="21.5"/>
    <col customWidth="1" min="6" max="6" width="14.38"/>
    <col customWidth="1" min="9" max="9" width="16.38"/>
    <col customWidth="1" min="10" max="11" width="16.88"/>
  </cols>
  <sheetData>
    <row r="1">
      <c r="D1" s="19"/>
      <c r="E1" s="20" t="s">
        <v>9</v>
      </c>
      <c r="F1" s="20" t="s">
        <v>10</v>
      </c>
      <c r="G1" s="20" t="s">
        <v>11</v>
      </c>
      <c r="H1" s="21"/>
      <c r="I1" s="22" t="s">
        <v>0</v>
      </c>
      <c r="J1" s="22" t="s">
        <v>12</v>
      </c>
      <c r="K1" s="22" t="s">
        <v>8</v>
      </c>
      <c r="L1" s="23"/>
    </row>
    <row r="2" hidden="1">
      <c r="D2" s="24"/>
      <c r="E2" s="25"/>
      <c r="F2" s="25"/>
      <c r="G2" s="25"/>
      <c r="I2" s="25"/>
      <c r="J2" s="25"/>
      <c r="K2" s="25"/>
    </row>
    <row r="3">
      <c r="D3" s="26"/>
      <c r="E3" s="25">
        <f>COUNTIF(Explo_Stock!K2:K1000,1)</f>
        <v>5819</v>
      </c>
      <c r="F3" s="27">
        <f>AVERAGE(Explo_Stock!D2:D1000)</f>
        <v>243.0835593</v>
      </c>
      <c r="G3" s="28">
        <f>SUM(Explo_Stock!J2:J1000)</f>
        <v>6267377.97</v>
      </c>
      <c r="I3" s="29" t="s">
        <v>13</v>
      </c>
      <c r="J3" s="30">
        <v>237.7617</v>
      </c>
      <c r="K3" s="31">
        <f t="shared" ref="K3:K11" si="1">C3</f>
        <v>0.01048617731</v>
      </c>
    </row>
    <row r="4">
      <c r="D4" s="24"/>
      <c r="E4" s="25">
        <f>COUNTIF(Explo_Stock!K3:K1000,1)</f>
        <v>5818</v>
      </c>
      <c r="F4" s="27">
        <f>AVERAGE(Explo_Stock!D3:D1000)</f>
        <v>243.0705204</v>
      </c>
      <c r="G4" s="28">
        <f>SUM(Explo_Stock!J3:J1000)</f>
        <v>6266686.77</v>
      </c>
      <c r="I4" s="29" t="s">
        <v>14</v>
      </c>
      <c r="J4" s="32">
        <f>IFERROR(AVERAGEIF(Explo_Stock!E$2:E$6401,I3,Explo_Stock!D$2:D$6401),0)</f>
        <v>237.7616778</v>
      </c>
      <c r="K4" s="31">
        <f t="shared" si="1"/>
        <v>0.01343570058</v>
      </c>
    </row>
    <row r="5">
      <c r="D5" s="26"/>
      <c r="E5" s="25">
        <f>COUNTIF(Explo_Stock!K4:K1000,1)</f>
        <v>5818</v>
      </c>
      <c r="F5" s="27">
        <f>AVERAGE(Explo_Stock!D4:D1000)</f>
        <v>243.1117328</v>
      </c>
      <c r="G5" s="28">
        <f>SUM(Explo_Stock!J4:J1000)</f>
        <v>6266686.77</v>
      </c>
      <c r="I5" s="29" t="s">
        <v>15</v>
      </c>
      <c r="J5" s="32">
        <f>IFERROR(AVERAGEIF(Explo_Stock!E$2:E$6401,I4,Explo_Stock!D$2:D$6401),0)</f>
        <v>258.2303263</v>
      </c>
      <c r="K5" s="31">
        <f t="shared" si="1"/>
        <v>0.009389671362</v>
      </c>
    </row>
    <row r="6">
      <c r="D6" s="24"/>
      <c r="E6" s="25">
        <f>COUNTIF(Explo_Stock!K5:K1000,1)</f>
        <v>5817</v>
      </c>
      <c r="F6" s="27">
        <f>AVERAGE(Explo_Stock!D5:D1000)</f>
        <v>243.1360014</v>
      </c>
      <c r="G6" s="28">
        <f>SUM(Explo_Stock!J5:J1000)</f>
        <v>6266579.77</v>
      </c>
      <c r="I6" s="25" t="s">
        <v>16</v>
      </c>
      <c r="J6" s="32">
        <f>IFERROR(AVERAGEIF(Explo_Stock!E$2:E$6401,I5,Explo_Stock!D$2:D$6401),0)</f>
        <v>257.9342723</v>
      </c>
      <c r="K6" s="31">
        <f t="shared" si="1"/>
        <v>0.01061571125</v>
      </c>
    </row>
    <row r="7">
      <c r="D7" s="26"/>
      <c r="E7" s="25">
        <f>COUNTIF(Explo_Stock!K6:K1000,1)</f>
        <v>5816</v>
      </c>
      <c r="F7" s="27">
        <f>AVERAGE(Explo_Stock!D6:D1000)</f>
        <v>243.1317843</v>
      </c>
      <c r="G7" s="28">
        <f>SUM(Explo_Stock!J6:J1000)</f>
        <v>6264194.57</v>
      </c>
      <c r="I7" s="25" t="s">
        <v>17</v>
      </c>
      <c r="J7" s="32">
        <f>IFERROR(AVERAGEIF(Explo_Stock!E$2:E$6401,I6,Explo_Stock!D$2:D$6401),0)</f>
        <v>220.1443737</v>
      </c>
      <c r="K7" s="31">
        <f t="shared" si="1"/>
        <v>0.01846965699</v>
      </c>
    </row>
    <row r="8">
      <c r="D8" s="24"/>
      <c r="E8" s="25">
        <f>COUNTIF(Explo_Stock!K7:K1000,1)</f>
        <v>5815</v>
      </c>
      <c r="F8" s="27">
        <f>AVERAGE(Explo_Stock!D7:D1000)</f>
        <v>243.0929601</v>
      </c>
      <c r="G8" s="28">
        <f>SUM(Explo_Stock!J7:J1000)</f>
        <v>6260022.09</v>
      </c>
      <c r="I8" s="25" t="s">
        <v>18</v>
      </c>
      <c r="J8" s="32">
        <f>IFERROR(AVERAGEIF(Explo_Stock!E$2:E$6401,I7,Explo_Stock!D$2:D$6401),0)</f>
        <v>240.4419525</v>
      </c>
      <c r="K8" s="31">
        <f t="shared" si="1"/>
        <v>0.01477832512</v>
      </c>
    </row>
    <row r="9">
      <c r="D9" s="26"/>
      <c r="E9" s="25">
        <f>COUNTIF(Explo_Stock!K8:K1000,1)</f>
        <v>5814</v>
      </c>
      <c r="F9" s="27">
        <f>AVERAGE(Explo_Stock!D8:D1000)</f>
        <v>243.1235154</v>
      </c>
      <c r="G9" s="28">
        <f>SUM(Explo_Stock!J8:J1000)</f>
        <v>6259714.02</v>
      </c>
      <c r="I9" s="25" t="s">
        <v>19</v>
      </c>
      <c r="J9" s="32">
        <f>IFERROR(AVERAGEIF(Explo_Stock!E$2:E$6401,I8,Explo_Stock!D$2:D$6401),0)</f>
        <v>253.4802956</v>
      </c>
      <c r="K9" s="31">
        <f t="shared" si="1"/>
        <v>0.01282051282</v>
      </c>
    </row>
    <row r="10">
      <c r="D10" s="24"/>
      <c r="E10" s="25">
        <f>COUNTIF(Explo_Stock!K9:K1000,1)</f>
        <v>5813</v>
      </c>
      <c r="F10" s="27">
        <f>AVERAGE(Explo_Stock!D9:D1000)</f>
        <v>243.1591719</v>
      </c>
      <c r="G10" s="28">
        <f>SUM(Explo_Stock!J9:J1000)</f>
        <v>6259650</v>
      </c>
      <c r="I10" s="25" t="s">
        <v>20</v>
      </c>
      <c r="J10" s="32">
        <f>IFERROR(AVERAGEIF(Explo_Stock!E$2:E$6401,I9,Explo_Stock!D$2:D$6401),0)</f>
        <v>226.9871795</v>
      </c>
      <c r="K10" s="31">
        <f t="shared" si="1"/>
        <v>0.009132420091</v>
      </c>
    </row>
    <row r="11">
      <c r="D11" s="26"/>
      <c r="E11" s="25">
        <f>COUNTIF(Explo_Stock!K10:K1000,1)</f>
        <v>5812</v>
      </c>
      <c r="F11" s="27">
        <f>AVERAGE(Explo_Stock!D10:D1000)</f>
        <v>243.1827902</v>
      </c>
      <c r="G11" s="28">
        <f>SUM(Explo_Stock!J10:J1000)</f>
        <v>6259465.92</v>
      </c>
      <c r="I11" s="25" t="s">
        <v>21</v>
      </c>
      <c r="J11" s="32">
        <f>IFERROR(AVERAGEIF(Explo_Stock!E$2:E$6401,I10,Explo_Stock!D$2:D$6401),0)</f>
        <v>245.586758</v>
      </c>
      <c r="K11" s="31">
        <f t="shared" si="1"/>
        <v>0.01407284768</v>
      </c>
    </row>
    <row r="12">
      <c r="C12" s="18"/>
      <c r="D12" s="24"/>
    </row>
    <row r="13">
      <c r="C13" s="18"/>
      <c r="D13" s="26"/>
    </row>
    <row r="14">
      <c r="C14" s="18"/>
      <c r="D14" s="24"/>
    </row>
    <row r="15">
      <c r="C15" s="18"/>
      <c r="D15" s="26"/>
    </row>
    <row r="16">
      <c r="C16" s="18"/>
    </row>
    <row r="17">
      <c r="C17" s="18"/>
    </row>
    <row r="18">
      <c r="C18" s="18"/>
    </row>
    <row r="19">
      <c r="C19" s="18"/>
    </row>
    <row r="20">
      <c r="C20" s="18"/>
    </row>
    <row r="21">
      <c r="C21" s="18"/>
    </row>
    <row r="22">
      <c r="C22" s="18"/>
    </row>
    <row r="23">
      <c r="C23" s="18"/>
    </row>
    <row r="24">
      <c r="C24" s="18"/>
    </row>
    <row r="25">
      <c r="C25" s="18"/>
    </row>
    <row r="26">
      <c r="C26" s="18"/>
    </row>
    <row r="27">
      <c r="C27" s="18"/>
    </row>
    <row r="28">
      <c r="C28" s="18"/>
    </row>
    <row r="29">
      <c r="C29" s="18"/>
    </row>
    <row r="30">
      <c r="C30" s="18"/>
    </row>
    <row r="31">
      <c r="C31" s="18"/>
    </row>
    <row r="32">
      <c r="C32" s="18"/>
    </row>
    <row r="33">
      <c r="C33" s="18"/>
    </row>
    <row r="34">
      <c r="C34" s="18"/>
    </row>
    <row r="35">
      <c r="C35" s="18"/>
    </row>
    <row r="36">
      <c r="C36" s="18"/>
    </row>
    <row r="37">
      <c r="C37" s="18"/>
    </row>
    <row r="38">
      <c r="C38" s="18"/>
    </row>
    <row r="39">
      <c r="C39" s="18"/>
    </row>
    <row r="40">
      <c r="C40" s="18"/>
    </row>
    <row r="41">
      <c r="C41" s="18"/>
    </row>
    <row r="42">
      <c r="C42" s="18"/>
    </row>
    <row r="43">
      <c r="C43" s="18"/>
    </row>
    <row r="44">
      <c r="C44" s="18"/>
    </row>
    <row r="45">
      <c r="C45" s="18"/>
    </row>
    <row r="46">
      <c r="C46" s="18"/>
    </row>
    <row r="47">
      <c r="C47" s="18"/>
    </row>
    <row r="48">
      <c r="C48" s="18"/>
    </row>
    <row r="49">
      <c r="C49" s="18"/>
    </row>
    <row r="50">
      <c r="C50" s="18"/>
    </row>
    <row r="51">
      <c r="C51" s="18"/>
    </row>
    <row r="52">
      <c r="C52" s="18"/>
    </row>
    <row r="53">
      <c r="C53" s="18"/>
    </row>
    <row r="54">
      <c r="C54" s="18"/>
    </row>
    <row r="55">
      <c r="C55" s="18"/>
    </row>
    <row r="56">
      <c r="C56" s="18"/>
    </row>
    <row r="57">
      <c r="C57" s="18"/>
    </row>
    <row r="58">
      <c r="C58" s="18"/>
    </row>
    <row r="59">
      <c r="C59" s="18"/>
    </row>
    <row r="60">
      <c r="C60" s="18"/>
    </row>
    <row r="61">
      <c r="C61" s="18"/>
    </row>
    <row r="62">
      <c r="C62" s="18"/>
    </row>
    <row r="63">
      <c r="C63" s="18"/>
    </row>
    <row r="64">
      <c r="C64" s="18"/>
    </row>
    <row r="65">
      <c r="C65" s="18"/>
    </row>
    <row r="66">
      <c r="C66" s="18"/>
    </row>
    <row r="67">
      <c r="C67" s="18"/>
    </row>
    <row r="68">
      <c r="C68" s="18"/>
    </row>
    <row r="69">
      <c r="C69" s="18"/>
    </row>
    <row r="70">
      <c r="C70" s="18"/>
    </row>
    <row r="71">
      <c r="C71" s="18"/>
    </row>
    <row r="72">
      <c r="C72" s="18"/>
    </row>
    <row r="73">
      <c r="C73" s="18"/>
    </row>
    <row r="74">
      <c r="C74" s="18"/>
    </row>
    <row r="75">
      <c r="C75" s="18"/>
    </row>
    <row r="76">
      <c r="C76" s="18"/>
    </row>
    <row r="77">
      <c r="C77" s="18"/>
    </row>
    <row r="78">
      <c r="C78" s="18"/>
    </row>
    <row r="79">
      <c r="C79" s="18"/>
    </row>
    <row r="80">
      <c r="C80" s="18"/>
    </row>
    <row r="81">
      <c r="C81" s="18"/>
    </row>
    <row r="82">
      <c r="C82" s="18"/>
    </row>
    <row r="83">
      <c r="C83" s="18"/>
    </row>
    <row r="84">
      <c r="C84" s="18"/>
    </row>
    <row r="85">
      <c r="C85" s="18"/>
    </row>
    <row r="86">
      <c r="C86" s="18"/>
    </row>
    <row r="87">
      <c r="C87" s="18"/>
    </row>
    <row r="88">
      <c r="C88" s="18"/>
    </row>
    <row r="89">
      <c r="C89" s="18"/>
    </row>
    <row r="90">
      <c r="C90" s="18"/>
    </row>
    <row r="91">
      <c r="C91" s="18"/>
    </row>
    <row r="92">
      <c r="C92" s="18"/>
    </row>
    <row r="93">
      <c r="C93" s="18"/>
    </row>
    <row r="94">
      <c r="C94" s="18"/>
    </row>
    <row r="95">
      <c r="C95" s="18"/>
    </row>
    <row r="96">
      <c r="C96" s="18"/>
    </row>
    <row r="97">
      <c r="C97" s="18"/>
    </row>
    <row r="98">
      <c r="C98" s="18"/>
    </row>
    <row r="99">
      <c r="C99" s="18"/>
    </row>
    <row r="100">
      <c r="C100" s="18"/>
    </row>
    <row r="101">
      <c r="C101" s="18"/>
    </row>
    <row r="102">
      <c r="C102" s="18"/>
    </row>
    <row r="103">
      <c r="C103" s="18"/>
    </row>
    <row r="104">
      <c r="C104" s="18"/>
    </row>
    <row r="105">
      <c r="C105" s="18"/>
    </row>
    <row r="106">
      <c r="C106" s="18"/>
    </row>
    <row r="107">
      <c r="C107" s="18"/>
    </row>
    <row r="108">
      <c r="C108" s="18"/>
    </row>
    <row r="109">
      <c r="C109" s="18"/>
    </row>
    <row r="110">
      <c r="C110" s="18"/>
    </row>
    <row r="111">
      <c r="C111" s="18"/>
    </row>
    <row r="112">
      <c r="C112" s="18"/>
    </row>
    <row r="113">
      <c r="C113" s="18"/>
    </row>
    <row r="114">
      <c r="C114" s="18"/>
    </row>
    <row r="115">
      <c r="C115" s="18"/>
    </row>
    <row r="116">
      <c r="C116" s="18"/>
    </row>
    <row r="117">
      <c r="C117" s="18"/>
    </row>
    <row r="118">
      <c r="C118" s="18"/>
    </row>
    <row r="119">
      <c r="C119" s="18"/>
    </row>
    <row r="120">
      <c r="C120" s="18"/>
    </row>
    <row r="121">
      <c r="C121" s="18"/>
    </row>
    <row r="122">
      <c r="C122" s="18"/>
    </row>
    <row r="123">
      <c r="C123" s="18"/>
    </row>
    <row r="124">
      <c r="C124" s="18"/>
    </row>
    <row r="125">
      <c r="C125" s="18"/>
    </row>
    <row r="126">
      <c r="C126" s="18"/>
    </row>
    <row r="127">
      <c r="C127" s="18"/>
    </row>
    <row r="128">
      <c r="C128" s="18"/>
    </row>
    <row r="129">
      <c r="C129" s="18"/>
    </row>
    <row r="130">
      <c r="C130" s="18"/>
    </row>
    <row r="131">
      <c r="C131" s="18"/>
    </row>
    <row r="132">
      <c r="C132" s="18"/>
    </row>
    <row r="133">
      <c r="C133" s="18"/>
    </row>
    <row r="134">
      <c r="C134" s="18"/>
    </row>
    <row r="135">
      <c r="C135" s="18"/>
    </row>
    <row r="136">
      <c r="C136" s="18"/>
    </row>
    <row r="137">
      <c r="C137" s="18"/>
    </row>
    <row r="138">
      <c r="C138" s="18"/>
    </row>
    <row r="139">
      <c r="C139" s="18"/>
    </row>
    <row r="140">
      <c r="C140" s="18"/>
    </row>
    <row r="141">
      <c r="C141" s="18"/>
    </row>
    <row r="142">
      <c r="C142" s="18"/>
    </row>
    <row r="143">
      <c r="C143" s="18"/>
    </row>
    <row r="144">
      <c r="C144" s="18"/>
    </row>
    <row r="145">
      <c r="C145" s="18"/>
    </row>
    <row r="146">
      <c r="C146" s="18"/>
    </row>
    <row r="147">
      <c r="C147" s="18"/>
    </row>
    <row r="148">
      <c r="C148" s="18"/>
    </row>
    <row r="149">
      <c r="C149" s="18"/>
    </row>
    <row r="150">
      <c r="C150" s="18"/>
    </row>
    <row r="151">
      <c r="C151" s="18"/>
    </row>
    <row r="152">
      <c r="C152" s="18"/>
    </row>
    <row r="153">
      <c r="C153" s="18"/>
    </row>
    <row r="154">
      <c r="C154" s="18"/>
    </row>
    <row r="155">
      <c r="C155" s="18"/>
    </row>
    <row r="156">
      <c r="C156" s="18"/>
    </row>
    <row r="157">
      <c r="C157" s="18"/>
    </row>
    <row r="158">
      <c r="C158" s="18"/>
    </row>
    <row r="159">
      <c r="C159" s="18"/>
    </row>
    <row r="160">
      <c r="C160" s="18"/>
    </row>
    <row r="161">
      <c r="C161" s="18"/>
    </row>
    <row r="162">
      <c r="C162" s="18"/>
    </row>
    <row r="163">
      <c r="C163" s="18"/>
    </row>
    <row r="164">
      <c r="C164" s="18"/>
    </row>
    <row r="165">
      <c r="C165" s="18"/>
    </row>
    <row r="166">
      <c r="C166" s="18"/>
    </row>
    <row r="167">
      <c r="C167" s="18"/>
    </row>
    <row r="168">
      <c r="C168" s="18"/>
    </row>
    <row r="169">
      <c r="C169" s="18"/>
    </row>
    <row r="170">
      <c r="C170" s="18"/>
    </row>
    <row r="171">
      <c r="C171" s="18"/>
    </row>
    <row r="172">
      <c r="C172" s="18"/>
    </row>
    <row r="173">
      <c r="C173" s="18"/>
    </row>
    <row r="174">
      <c r="C174" s="18"/>
    </row>
    <row r="175">
      <c r="C175" s="18"/>
    </row>
    <row r="176">
      <c r="C176" s="18"/>
    </row>
    <row r="177">
      <c r="C177" s="18"/>
    </row>
    <row r="178">
      <c r="C178" s="18"/>
    </row>
    <row r="179">
      <c r="C179" s="18"/>
    </row>
    <row r="180">
      <c r="C180" s="18"/>
    </row>
    <row r="181">
      <c r="C181" s="18"/>
    </row>
    <row r="182">
      <c r="C182" s="18"/>
    </row>
    <row r="183">
      <c r="C183" s="18"/>
    </row>
    <row r="184">
      <c r="C184" s="18"/>
    </row>
    <row r="185">
      <c r="C185" s="18"/>
    </row>
    <row r="186">
      <c r="C186" s="18"/>
    </row>
    <row r="187">
      <c r="C187" s="18"/>
    </row>
    <row r="188">
      <c r="C188" s="18"/>
    </row>
    <row r="189">
      <c r="C189" s="18"/>
    </row>
    <row r="190">
      <c r="C190" s="18"/>
    </row>
    <row r="191">
      <c r="C191" s="18"/>
    </row>
    <row r="192">
      <c r="C192" s="18"/>
    </row>
    <row r="193">
      <c r="C193" s="18"/>
    </row>
    <row r="194">
      <c r="C194" s="18"/>
    </row>
    <row r="195">
      <c r="C195" s="18"/>
    </row>
    <row r="196">
      <c r="C196" s="18"/>
    </row>
    <row r="197">
      <c r="C197" s="18"/>
    </row>
    <row r="198">
      <c r="C198" s="18"/>
    </row>
    <row r="199">
      <c r="C199" s="18"/>
    </row>
    <row r="200">
      <c r="C200" s="18"/>
    </row>
    <row r="201">
      <c r="C201" s="18"/>
    </row>
    <row r="202">
      <c r="C202" s="18"/>
    </row>
    <row r="203">
      <c r="C203" s="18"/>
    </row>
    <row r="204">
      <c r="C204" s="18"/>
    </row>
    <row r="205">
      <c r="C205" s="18"/>
    </row>
    <row r="206">
      <c r="C206" s="18"/>
    </row>
    <row r="207">
      <c r="C207" s="18"/>
    </row>
    <row r="208">
      <c r="C208" s="18"/>
    </row>
    <row r="209">
      <c r="C209" s="18"/>
    </row>
    <row r="210">
      <c r="C210" s="18"/>
    </row>
    <row r="211">
      <c r="C211" s="18"/>
    </row>
    <row r="212">
      <c r="C212" s="18"/>
    </row>
    <row r="213">
      <c r="C213" s="18"/>
    </row>
    <row r="214">
      <c r="C214" s="18"/>
    </row>
    <row r="215">
      <c r="C215" s="18"/>
    </row>
    <row r="216">
      <c r="C216" s="18"/>
    </row>
    <row r="217">
      <c r="C217" s="18"/>
    </row>
    <row r="218">
      <c r="C218" s="18"/>
    </row>
    <row r="219">
      <c r="C219" s="18"/>
    </row>
    <row r="220">
      <c r="C220" s="18"/>
    </row>
    <row r="221">
      <c r="C221" s="18"/>
    </row>
    <row r="222">
      <c r="C222" s="18"/>
    </row>
    <row r="223">
      <c r="C223" s="18"/>
    </row>
    <row r="224">
      <c r="C224" s="18"/>
    </row>
    <row r="225">
      <c r="C225" s="18"/>
    </row>
    <row r="226">
      <c r="C226" s="18"/>
    </row>
    <row r="227">
      <c r="C227" s="18"/>
    </row>
    <row r="228">
      <c r="C228" s="18"/>
    </row>
    <row r="229">
      <c r="C229" s="18"/>
    </row>
    <row r="230">
      <c r="C230" s="18"/>
    </row>
    <row r="231">
      <c r="C231" s="18"/>
    </row>
    <row r="232">
      <c r="C232" s="18"/>
    </row>
    <row r="233">
      <c r="C233" s="18"/>
    </row>
    <row r="234">
      <c r="C234" s="18"/>
    </row>
    <row r="235">
      <c r="C235" s="18"/>
    </row>
    <row r="236">
      <c r="C236" s="18"/>
    </row>
    <row r="237">
      <c r="C237" s="18"/>
    </row>
    <row r="238">
      <c r="C238" s="18"/>
    </row>
    <row r="239">
      <c r="C239" s="18"/>
    </row>
    <row r="240">
      <c r="C240" s="18"/>
    </row>
    <row r="241">
      <c r="C241" s="18"/>
    </row>
    <row r="242">
      <c r="C242" s="18"/>
    </row>
    <row r="243">
      <c r="C243" s="18"/>
    </row>
    <row r="244">
      <c r="C244" s="18"/>
    </row>
    <row r="245">
      <c r="C245" s="18"/>
    </row>
    <row r="246">
      <c r="C246" s="18"/>
    </row>
    <row r="247">
      <c r="C247" s="18"/>
    </row>
    <row r="248">
      <c r="C248" s="18"/>
    </row>
    <row r="249">
      <c r="C249" s="18"/>
    </row>
    <row r="250">
      <c r="C250" s="18"/>
    </row>
    <row r="251">
      <c r="C251" s="18"/>
    </row>
    <row r="252">
      <c r="C252" s="18"/>
    </row>
    <row r="253">
      <c r="C253" s="18"/>
    </row>
    <row r="254">
      <c r="C254" s="18"/>
    </row>
    <row r="255">
      <c r="C255" s="18"/>
    </row>
    <row r="256">
      <c r="C256" s="18"/>
    </row>
    <row r="257">
      <c r="C257" s="18"/>
    </row>
    <row r="258">
      <c r="C258" s="18"/>
    </row>
    <row r="259">
      <c r="C259" s="18"/>
    </row>
    <row r="260">
      <c r="C260" s="18"/>
    </row>
    <row r="261">
      <c r="C261" s="18"/>
    </row>
    <row r="262">
      <c r="C262" s="18"/>
    </row>
    <row r="263">
      <c r="C263" s="18"/>
    </row>
    <row r="264">
      <c r="C264" s="18"/>
    </row>
    <row r="265">
      <c r="C265" s="18"/>
    </row>
    <row r="266">
      <c r="C266" s="18"/>
    </row>
    <row r="267">
      <c r="C267" s="18"/>
    </row>
    <row r="268">
      <c r="C268" s="18"/>
    </row>
    <row r="269">
      <c r="C269" s="18"/>
    </row>
    <row r="270">
      <c r="C270" s="18"/>
    </row>
    <row r="271">
      <c r="C271" s="18"/>
    </row>
    <row r="272">
      <c r="C272" s="18"/>
    </row>
    <row r="273">
      <c r="C273" s="18"/>
    </row>
    <row r="274">
      <c r="C274" s="18"/>
    </row>
    <row r="275">
      <c r="C275" s="18"/>
    </row>
    <row r="276">
      <c r="C276" s="18"/>
    </row>
    <row r="277">
      <c r="C277" s="18"/>
    </row>
    <row r="278">
      <c r="C278" s="18"/>
    </row>
    <row r="279">
      <c r="C279" s="18"/>
    </row>
    <row r="280">
      <c r="C280" s="18"/>
    </row>
    <row r="281">
      <c r="C281" s="18"/>
    </row>
    <row r="282">
      <c r="C282" s="18"/>
    </row>
    <row r="283">
      <c r="C283" s="18"/>
    </row>
    <row r="284">
      <c r="C284" s="18"/>
    </row>
    <row r="285">
      <c r="C285" s="18"/>
    </row>
    <row r="286">
      <c r="C286" s="18"/>
    </row>
    <row r="287">
      <c r="C287" s="18"/>
    </row>
    <row r="288">
      <c r="C288" s="18"/>
    </row>
    <row r="289">
      <c r="C289" s="18"/>
    </row>
    <row r="290">
      <c r="C290" s="18"/>
    </row>
    <row r="291">
      <c r="C291" s="18"/>
    </row>
    <row r="292">
      <c r="C292" s="18"/>
    </row>
    <row r="293">
      <c r="C293" s="18"/>
    </row>
    <row r="294">
      <c r="C294" s="18"/>
    </row>
    <row r="295">
      <c r="C295" s="18"/>
    </row>
    <row r="296">
      <c r="C296" s="18"/>
    </row>
    <row r="297">
      <c r="C297" s="18"/>
    </row>
    <row r="298">
      <c r="C298" s="18"/>
    </row>
    <row r="299">
      <c r="C299" s="18"/>
    </row>
    <row r="300">
      <c r="C300" s="18"/>
    </row>
    <row r="301">
      <c r="C301" s="18"/>
    </row>
    <row r="302">
      <c r="C302" s="18"/>
    </row>
    <row r="303">
      <c r="C303" s="18"/>
    </row>
    <row r="304">
      <c r="C304" s="18"/>
    </row>
    <row r="305">
      <c r="C305" s="18"/>
    </row>
    <row r="306">
      <c r="C306" s="18"/>
    </row>
    <row r="307">
      <c r="C307" s="18"/>
    </row>
    <row r="308">
      <c r="C308" s="18"/>
    </row>
    <row r="309">
      <c r="C309" s="18"/>
    </row>
    <row r="310">
      <c r="C310" s="18"/>
    </row>
    <row r="311">
      <c r="C311" s="18"/>
    </row>
    <row r="312">
      <c r="C312" s="18"/>
    </row>
    <row r="313">
      <c r="C313" s="18"/>
    </row>
    <row r="314">
      <c r="C314" s="18"/>
    </row>
    <row r="315">
      <c r="C315" s="18"/>
    </row>
    <row r="316">
      <c r="C316" s="18"/>
    </row>
    <row r="317">
      <c r="C317" s="18"/>
    </row>
    <row r="318">
      <c r="C318" s="18"/>
    </row>
    <row r="319">
      <c r="C319" s="18"/>
    </row>
    <row r="320">
      <c r="C320" s="18"/>
    </row>
    <row r="321">
      <c r="C321" s="18"/>
    </row>
    <row r="322">
      <c r="C322" s="18"/>
    </row>
    <row r="323">
      <c r="C323" s="18"/>
    </row>
    <row r="324">
      <c r="C324" s="18"/>
    </row>
    <row r="325">
      <c r="C325" s="18"/>
    </row>
    <row r="326">
      <c r="C326" s="18"/>
    </row>
    <row r="327">
      <c r="C327" s="18"/>
    </row>
    <row r="328">
      <c r="C328" s="18"/>
    </row>
    <row r="329">
      <c r="C329" s="18"/>
    </row>
    <row r="330">
      <c r="C330" s="18"/>
    </row>
    <row r="331">
      <c r="C331" s="18"/>
    </row>
    <row r="332">
      <c r="C332" s="18"/>
    </row>
    <row r="333">
      <c r="C333" s="18"/>
    </row>
    <row r="334">
      <c r="C334" s="18"/>
    </row>
    <row r="335">
      <c r="C335" s="18"/>
    </row>
    <row r="336">
      <c r="C336" s="18"/>
    </row>
    <row r="337">
      <c r="C337" s="18"/>
    </row>
    <row r="338">
      <c r="C338" s="18"/>
    </row>
    <row r="339">
      <c r="C339" s="18"/>
    </row>
    <row r="340">
      <c r="C340" s="18"/>
    </row>
    <row r="341">
      <c r="C341" s="18"/>
    </row>
    <row r="342">
      <c r="C342" s="18"/>
    </row>
    <row r="343">
      <c r="C343" s="18"/>
    </row>
    <row r="344">
      <c r="C344" s="18"/>
    </row>
    <row r="345">
      <c r="C345" s="18"/>
    </row>
    <row r="346">
      <c r="C346" s="18"/>
    </row>
    <row r="347">
      <c r="C347" s="18"/>
    </row>
    <row r="348">
      <c r="C348" s="18"/>
    </row>
    <row r="349">
      <c r="C349" s="18"/>
    </row>
    <row r="350">
      <c r="C350" s="18"/>
    </row>
    <row r="351">
      <c r="C351" s="18"/>
    </row>
    <row r="352">
      <c r="C352" s="18"/>
    </row>
    <row r="353">
      <c r="C353" s="18"/>
    </row>
    <row r="354">
      <c r="C354" s="18"/>
    </row>
    <row r="355">
      <c r="C355" s="18"/>
    </row>
    <row r="356">
      <c r="C356" s="18"/>
    </row>
    <row r="357">
      <c r="C357" s="18"/>
    </row>
    <row r="358">
      <c r="C358" s="18"/>
    </row>
    <row r="359">
      <c r="C359" s="18"/>
    </row>
    <row r="360">
      <c r="C360" s="18"/>
    </row>
    <row r="361">
      <c r="C361" s="18"/>
    </row>
    <row r="362">
      <c r="C362" s="18"/>
    </row>
    <row r="363">
      <c r="C363" s="18"/>
    </row>
    <row r="364">
      <c r="C364" s="18"/>
    </row>
    <row r="365">
      <c r="C365" s="18"/>
    </row>
    <row r="366">
      <c r="C366" s="18"/>
    </row>
    <row r="367">
      <c r="C367" s="18"/>
    </row>
    <row r="368">
      <c r="C368" s="18"/>
    </row>
    <row r="369">
      <c r="C369" s="18"/>
    </row>
    <row r="370">
      <c r="C370" s="18"/>
    </row>
    <row r="371">
      <c r="C371" s="18"/>
    </row>
    <row r="372">
      <c r="C372" s="18"/>
    </row>
    <row r="373">
      <c r="C373" s="18"/>
    </row>
    <row r="374">
      <c r="C374" s="18"/>
    </row>
    <row r="375">
      <c r="C375" s="18"/>
    </row>
    <row r="376">
      <c r="C376" s="18"/>
    </row>
    <row r="377">
      <c r="C377" s="18"/>
    </row>
    <row r="378">
      <c r="C378" s="18"/>
    </row>
    <row r="379">
      <c r="C379" s="18"/>
    </row>
    <row r="380">
      <c r="C380" s="18"/>
    </row>
    <row r="381">
      <c r="C381" s="18"/>
    </row>
    <row r="382">
      <c r="C382" s="18"/>
    </row>
    <row r="383">
      <c r="C383" s="18"/>
    </row>
    <row r="384">
      <c r="C384" s="18"/>
    </row>
    <row r="385">
      <c r="C385" s="18"/>
    </row>
    <row r="386">
      <c r="C386" s="18"/>
    </row>
    <row r="387">
      <c r="C387" s="18"/>
    </row>
    <row r="388">
      <c r="C388" s="18"/>
    </row>
    <row r="389">
      <c r="C389" s="18"/>
    </row>
    <row r="390">
      <c r="C390" s="18"/>
    </row>
    <row r="391">
      <c r="C391" s="18"/>
    </row>
    <row r="392">
      <c r="C392" s="18"/>
    </row>
    <row r="393">
      <c r="C393" s="18"/>
    </row>
    <row r="394">
      <c r="C394" s="18"/>
    </row>
    <row r="395">
      <c r="C395" s="18"/>
    </row>
    <row r="396">
      <c r="C396" s="18"/>
    </row>
    <row r="397">
      <c r="C397" s="18"/>
    </row>
    <row r="398">
      <c r="C398" s="18"/>
    </row>
    <row r="399">
      <c r="C399" s="18"/>
    </row>
    <row r="400">
      <c r="C400" s="18"/>
    </row>
    <row r="401">
      <c r="C401" s="18"/>
    </row>
    <row r="402">
      <c r="C402" s="18"/>
    </row>
    <row r="403">
      <c r="C403" s="18"/>
    </row>
    <row r="404">
      <c r="C404" s="18"/>
    </row>
    <row r="405">
      <c r="C405" s="18"/>
    </row>
    <row r="406">
      <c r="C406" s="18"/>
    </row>
    <row r="407">
      <c r="C407" s="18"/>
    </row>
    <row r="408">
      <c r="C408" s="18"/>
    </row>
    <row r="409">
      <c r="C409" s="18"/>
    </row>
    <row r="410">
      <c r="C410" s="18"/>
    </row>
    <row r="411">
      <c r="C411" s="18"/>
    </row>
    <row r="412">
      <c r="C412" s="18"/>
    </row>
    <row r="413">
      <c r="C413" s="18"/>
    </row>
    <row r="414">
      <c r="C414" s="18"/>
    </row>
    <row r="415">
      <c r="C415" s="18"/>
    </row>
    <row r="416">
      <c r="C416" s="18"/>
    </row>
    <row r="417">
      <c r="C417" s="18"/>
    </row>
    <row r="418">
      <c r="C418" s="18"/>
    </row>
    <row r="419">
      <c r="C419" s="18"/>
    </row>
    <row r="420">
      <c r="C420" s="18"/>
    </row>
    <row r="421">
      <c r="C421" s="18"/>
    </row>
    <row r="422">
      <c r="C422" s="18"/>
    </row>
    <row r="423">
      <c r="C423" s="18"/>
    </row>
    <row r="424">
      <c r="C424" s="18"/>
    </row>
    <row r="425">
      <c r="C425" s="18"/>
    </row>
    <row r="426">
      <c r="C426" s="18"/>
    </row>
    <row r="427">
      <c r="C427" s="18"/>
    </row>
    <row r="428">
      <c r="C428" s="18"/>
    </row>
    <row r="429">
      <c r="C429" s="18"/>
    </row>
    <row r="430">
      <c r="C430" s="18"/>
    </row>
    <row r="431">
      <c r="C431" s="18"/>
    </row>
    <row r="432">
      <c r="C432" s="18"/>
    </row>
    <row r="433">
      <c r="C433" s="18"/>
    </row>
    <row r="434">
      <c r="C434" s="18"/>
    </row>
    <row r="435">
      <c r="C435" s="18"/>
    </row>
    <row r="436">
      <c r="C436" s="18"/>
    </row>
    <row r="437">
      <c r="C437" s="18"/>
    </row>
    <row r="438">
      <c r="C438" s="18"/>
    </row>
    <row r="439">
      <c r="C439" s="18"/>
    </row>
    <row r="440">
      <c r="C440" s="18"/>
    </row>
    <row r="441">
      <c r="C441" s="18"/>
    </row>
    <row r="442">
      <c r="C442" s="18"/>
    </row>
    <row r="443">
      <c r="C443" s="18"/>
    </row>
    <row r="444">
      <c r="C444" s="18"/>
    </row>
    <row r="445">
      <c r="C445" s="18"/>
    </row>
    <row r="446">
      <c r="C446" s="18"/>
    </row>
    <row r="447">
      <c r="C447" s="18"/>
    </row>
    <row r="448">
      <c r="C448" s="18"/>
    </row>
    <row r="449">
      <c r="C449" s="18"/>
    </row>
    <row r="450">
      <c r="C450" s="18"/>
    </row>
    <row r="451">
      <c r="C451" s="18"/>
    </row>
    <row r="452">
      <c r="C452" s="18"/>
    </row>
    <row r="453">
      <c r="C453" s="18"/>
    </row>
    <row r="454">
      <c r="C454" s="18"/>
    </row>
    <row r="455">
      <c r="C455" s="18"/>
    </row>
    <row r="456">
      <c r="C456" s="18"/>
    </row>
    <row r="457">
      <c r="C457" s="18"/>
    </row>
    <row r="458">
      <c r="C458" s="18"/>
    </row>
    <row r="459">
      <c r="C459" s="18"/>
    </row>
    <row r="460">
      <c r="C460" s="18"/>
    </row>
    <row r="461">
      <c r="C461" s="18"/>
    </row>
    <row r="462">
      <c r="C462" s="18"/>
    </row>
    <row r="463">
      <c r="C463" s="18"/>
    </row>
    <row r="464">
      <c r="C464" s="18"/>
    </row>
    <row r="465">
      <c r="C465" s="18"/>
    </row>
    <row r="466">
      <c r="C466" s="18"/>
    </row>
    <row r="467">
      <c r="C467" s="18"/>
    </row>
    <row r="468">
      <c r="C468" s="18"/>
    </row>
    <row r="469">
      <c r="C469" s="18"/>
    </row>
    <row r="470">
      <c r="C470" s="18"/>
    </row>
    <row r="471">
      <c r="C471" s="18"/>
    </row>
    <row r="472">
      <c r="C472" s="18"/>
    </row>
    <row r="473">
      <c r="C473" s="18"/>
    </row>
    <row r="474">
      <c r="C474" s="18"/>
    </row>
    <row r="475">
      <c r="C475" s="18"/>
    </row>
    <row r="476">
      <c r="C476" s="18"/>
    </row>
    <row r="477">
      <c r="C477" s="18"/>
    </row>
    <row r="478">
      <c r="C478" s="18"/>
    </row>
    <row r="479">
      <c r="C479" s="18"/>
    </row>
    <row r="480">
      <c r="C480" s="18"/>
    </row>
    <row r="481">
      <c r="C481" s="18"/>
    </row>
    <row r="482">
      <c r="C482" s="18"/>
    </row>
    <row r="483">
      <c r="C483" s="18"/>
    </row>
    <row r="484">
      <c r="C484" s="18"/>
    </row>
    <row r="485">
      <c r="C485" s="18"/>
    </row>
    <row r="486">
      <c r="C486" s="18"/>
    </row>
    <row r="487">
      <c r="C487" s="18"/>
    </row>
    <row r="488">
      <c r="C488" s="18"/>
    </row>
    <row r="489">
      <c r="C489" s="18"/>
    </row>
    <row r="490">
      <c r="C490" s="18"/>
    </row>
    <row r="491">
      <c r="C491" s="18"/>
    </row>
    <row r="492">
      <c r="C492" s="18"/>
    </row>
    <row r="493">
      <c r="C493" s="18"/>
    </row>
    <row r="494">
      <c r="C494" s="18"/>
    </row>
    <row r="495">
      <c r="C495" s="18"/>
    </row>
    <row r="496">
      <c r="C496" s="18"/>
    </row>
    <row r="497">
      <c r="C497" s="18"/>
    </row>
    <row r="498">
      <c r="C498" s="18"/>
    </row>
    <row r="499">
      <c r="C499" s="18"/>
    </row>
    <row r="500">
      <c r="C500" s="18"/>
    </row>
    <row r="501">
      <c r="C501" s="18"/>
    </row>
    <row r="502">
      <c r="C502" s="18"/>
    </row>
    <row r="503">
      <c r="C503" s="18"/>
    </row>
    <row r="504">
      <c r="C504" s="18"/>
    </row>
    <row r="505">
      <c r="C505" s="18"/>
    </row>
    <row r="506">
      <c r="C506" s="18"/>
    </row>
    <row r="507">
      <c r="C507" s="18"/>
    </row>
    <row r="508">
      <c r="C508" s="18"/>
    </row>
    <row r="509">
      <c r="C509" s="18"/>
    </row>
    <row r="510">
      <c r="C510" s="18"/>
    </row>
    <row r="511">
      <c r="C511" s="18"/>
    </row>
    <row r="512">
      <c r="C512" s="18"/>
    </row>
    <row r="513">
      <c r="C513" s="18"/>
    </row>
    <row r="514">
      <c r="C514" s="18"/>
    </row>
    <row r="515">
      <c r="C515" s="18"/>
    </row>
    <row r="516">
      <c r="C516" s="18"/>
    </row>
    <row r="517">
      <c r="C517" s="18"/>
    </row>
    <row r="518">
      <c r="C518" s="18"/>
    </row>
    <row r="519">
      <c r="C519" s="18"/>
    </row>
    <row r="520">
      <c r="C520" s="18"/>
    </row>
    <row r="521">
      <c r="C521" s="18"/>
    </row>
    <row r="522">
      <c r="C522" s="18"/>
    </row>
    <row r="523">
      <c r="C523" s="18"/>
    </row>
    <row r="524">
      <c r="C524" s="18"/>
    </row>
    <row r="525">
      <c r="C525" s="18"/>
    </row>
    <row r="526">
      <c r="C526" s="18"/>
    </row>
    <row r="527">
      <c r="C527" s="18"/>
    </row>
    <row r="528">
      <c r="C528" s="18"/>
    </row>
    <row r="529">
      <c r="C529" s="18"/>
    </row>
    <row r="530">
      <c r="C530" s="18"/>
    </row>
    <row r="531">
      <c r="C531" s="18"/>
    </row>
    <row r="532">
      <c r="C532" s="18"/>
    </row>
    <row r="533">
      <c r="C533" s="18"/>
    </row>
    <row r="534">
      <c r="C534" s="18"/>
    </row>
    <row r="535">
      <c r="C535" s="18"/>
    </row>
    <row r="536">
      <c r="C536" s="18"/>
    </row>
    <row r="537">
      <c r="C537" s="18"/>
    </row>
    <row r="538">
      <c r="C538" s="18"/>
    </row>
    <row r="539">
      <c r="C539" s="18"/>
    </row>
    <row r="540">
      <c r="C540" s="18"/>
    </row>
    <row r="541">
      <c r="C541" s="18"/>
    </row>
    <row r="542">
      <c r="C542" s="18"/>
    </row>
    <row r="543">
      <c r="C543" s="18"/>
    </row>
    <row r="544">
      <c r="C544" s="18"/>
    </row>
    <row r="545">
      <c r="C545" s="18"/>
    </row>
    <row r="546">
      <c r="C546" s="18"/>
    </row>
    <row r="547">
      <c r="C547" s="18"/>
    </row>
    <row r="548">
      <c r="C548" s="18"/>
    </row>
    <row r="549">
      <c r="C549" s="18"/>
    </row>
    <row r="550">
      <c r="C550" s="18"/>
    </row>
    <row r="551">
      <c r="C551" s="18"/>
    </row>
    <row r="552">
      <c r="C552" s="18"/>
    </row>
    <row r="553">
      <c r="C553" s="18"/>
    </row>
    <row r="554">
      <c r="C554" s="18"/>
    </row>
    <row r="555">
      <c r="C555" s="18"/>
    </row>
    <row r="556">
      <c r="C556" s="18"/>
    </row>
    <row r="557">
      <c r="C557" s="18"/>
    </row>
    <row r="558">
      <c r="C558" s="18"/>
    </row>
    <row r="559">
      <c r="C559" s="18"/>
    </row>
    <row r="560">
      <c r="C560" s="18"/>
    </row>
    <row r="561">
      <c r="C561" s="18"/>
    </row>
    <row r="562">
      <c r="C562" s="18"/>
    </row>
    <row r="563">
      <c r="C563" s="18"/>
    </row>
    <row r="564">
      <c r="C564" s="18"/>
    </row>
    <row r="565">
      <c r="C565" s="18"/>
    </row>
    <row r="566">
      <c r="C566" s="18"/>
    </row>
    <row r="567">
      <c r="C567" s="18"/>
    </row>
    <row r="568">
      <c r="C568" s="18"/>
    </row>
    <row r="569">
      <c r="C569" s="18"/>
    </row>
    <row r="570">
      <c r="C570" s="18"/>
    </row>
    <row r="571">
      <c r="C571" s="18"/>
    </row>
    <row r="572">
      <c r="C572" s="18"/>
    </row>
    <row r="573">
      <c r="C573" s="18"/>
    </row>
    <row r="574">
      <c r="C574" s="18"/>
    </row>
    <row r="575">
      <c r="C575" s="18"/>
    </row>
    <row r="576">
      <c r="C576" s="18"/>
    </row>
    <row r="577">
      <c r="C577" s="18"/>
    </row>
    <row r="578">
      <c r="C578" s="18"/>
    </row>
    <row r="579">
      <c r="C579" s="18"/>
    </row>
    <row r="580">
      <c r="C580" s="18"/>
    </row>
    <row r="581">
      <c r="C581" s="18"/>
    </row>
    <row r="582">
      <c r="C582" s="18"/>
    </row>
    <row r="583">
      <c r="C583" s="18"/>
    </row>
    <row r="584">
      <c r="C584" s="18"/>
    </row>
    <row r="585">
      <c r="C585" s="18"/>
    </row>
    <row r="586">
      <c r="C586" s="18"/>
    </row>
    <row r="587">
      <c r="C587" s="18"/>
    </row>
    <row r="588">
      <c r="C588" s="18"/>
    </row>
    <row r="589">
      <c r="C589" s="18"/>
    </row>
    <row r="590">
      <c r="C590" s="18"/>
    </row>
    <row r="591">
      <c r="C591" s="18"/>
    </row>
    <row r="592">
      <c r="C592" s="18"/>
    </row>
    <row r="593">
      <c r="C593" s="18"/>
    </row>
    <row r="594">
      <c r="C594" s="18"/>
    </row>
    <row r="595">
      <c r="C595" s="18"/>
    </row>
    <row r="596">
      <c r="C596" s="18"/>
    </row>
    <row r="597">
      <c r="C597" s="18"/>
    </row>
    <row r="598">
      <c r="C598" s="18"/>
    </row>
    <row r="599">
      <c r="C599" s="18"/>
    </row>
    <row r="600">
      <c r="C600" s="18"/>
    </row>
    <row r="601">
      <c r="C601" s="18"/>
    </row>
    <row r="602">
      <c r="C602" s="18"/>
    </row>
    <row r="603">
      <c r="C603" s="18"/>
    </row>
    <row r="604">
      <c r="C604" s="18"/>
    </row>
    <row r="605">
      <c r="C605" s="18"/>
    </row>
    <row r="606">
      <c r="C606" s="18"/>
    </row>
    <row r="607">
      <c r="C607" s="18"/>
    </row>
    <row r="608">
      <c r="C608" s="18"/>
    </row>
    <row r="609">
      <c r="C609" s="18"/>
    </row>
    <row r="610">
      <c r="C610" s="18"/>
    </row>
    <row r="611">
      <c r="C611" s="18"/>
    </row>
    <row r="612">
      <c r="C612" s="18"/>
    </row>
    <row r="613">
      <c r="C613" s="18"/>
    </row>
    <row r="614">
      <c r="C614" s="18"/>
    </row>
    <row r="615">
      <c r="C615" s="18"/>
    </row>
    <row r="616">
      <c r="C616" s="18"/>
    </row>
    <row r="617">
      <c r="C617" s="18"/>
    </row>
    <row r="618">
      <c r="C618" s="18"/>
    </row>
    <row r="619">
      <c r="C619" s="18"/>
    </row>
    <row r="620">
      <c r="C620" s="18"/>
    </row>
    <row r="621">
      <c r="C621" s="18"/>
    </row>
    <row r="622">
      <c r="C622" s="18"/>
    </row>
    <row r="623">
      <c r="C623" s="18"/>
    </row>
    <row r="624">
      <c r="C624" s="18"/>
    </row>
    <row r="625">
      <c r="C625" s="18"/>
    </row>
    <row r="626">
      <c r="C626" s="18"/>
    </row>
    <row r="627">
      <c r="C627" s="18"/>
    </row>
    <row r="628">
      <c r="C628" s="18"/>
    </row>
    <row r="629">
      <c r="C629" s="18"/>
    </row>
    <row r="630">
      <c r="C630" s="18"/>
    </row>
    <row r="631">
      <c r="C631" s="18"/>
    </row>
    <row r="632">
      <c r="C632" s="18"/>
    </row>
    <row r="633">
      <c r="C633" s="18"/>
    </row>
    <row r="634">
      <c r="C634" s="18"/>
    </row>
    <row r="635">
      <c r="C635" s="18"/>
    </row>
    <row r="636">
      <c r="C636" s="18"/>
    </row>
    <row r="637">
      <c r="C637" s="18"/>
    </row>
    <row r="638">
      <c r="C638" s="18"/>
    </row>
    <row r="639">
      <c r="C639" s="18"/>
    </row>
    <row r="640">
      <c r="C640" s="18"/>
    </row>
    <row r="641">
      <c r="C641" s="18"/>
    </row>
    <row r="642">
      <c r="C642" s="18"/>
    </row>
    <row r="643">
      <c r="C643" s="18"/>
    </row>
    <row r="644">
      <c r="C644" s="18"/>
    </row>
    <row r="645">
      <c r="C645" s="18"/>
    </row>
    <row r="646">
      <c r="C646" s="18"/>
    </row>
    <row r="647">
      <c r="C647" s="18"/>
    </row>
    <row r="648">
      <c r="C648" s="18"/>
    </row>
    <row r="649">
      <c r="C649" s="18"/>
    </row>
    <row r="650">
      <c r="C650" s="18"/>
    </row>
    <row r="651">
      <c r="C651" s="18"/>
    </row>
    <row r="652">
      <c r="C652" s="18"/>
    </row>
    <row r="653">
      <c r="C653" s="18"/>
    </row>
    <row r="654">
      <c r="C654" s="18"/>
    </row>
    <row r="655">
      <c r="C655" s="18"/>
    </row>
    <row r="656">
      <c r="C656" s="18"/>
    </row>
    <row r="657">
      <c r="C657" s="18"/>
    </row>
    <row r="658">
      <c r="C658" s="18"/>
    </row>
    <row r="659">
      <c r="C659" s="18"/>
    </row>
    <row r="660">
      <c r="C660" s="18"/>
    </row>
    <row r="661">
      <c r="C661" s="18"/>
    </row>
    <row r="662">
      <c r="C662" s="18"/>
    </row>
    <row r="663">
      <c r="C663" s="18"/>
    </row>
    <row r="664">
      <c r="C664" s="18"/>
    </row>
    <row r="665">
      <c r="C665" s="18"/>
    </row>
    <row r="666">
      <c r="C666" s="18"/>
    </row>
    <row r="667">
      <c r="C667" s="18"/>
    </row>
    <row r="668">
      <c r="C668" s="18"/>
    </row>
    <row r="669">
      <c r="C669" s="18"/>
    </row>
    <row r="670">
      <c r="C670" s="18"/>
    </row>
    <row r="671">
      <c r="C671" s="18"/>
    </row>
    <row r="672">
      <c r="C672" s="18"/>
    </row>
    <row r="673">
      <c r="C673" s="18"/>
    </row>
    <row r="674">
      <c r="C674" s="18"/>
    </row>
    <row r="675">
      <c r="C675" s="18"/>
    </row>
    <row r="676">
      <c r="C676" s="18"/>
    </row>
    <row r="677">
      <c r="C677" s="18"/>
    </row>
    <row r="678">
      <c r="C678" s="18"/>
    </row>
    <row r="679">
      <c r="C679" s="18"/>
    </row>
    <row r="680">
      <c r="C680" s="18"/>
    </row>
    <row r="681">
      <c r="C681" s="18"/>
    </row>
    <row r="682">
      <c r="C682" s="18"/>
    </row>
    <row r="683">
      <c r="C683" s="18"/>
    </row>
    <row r="684">
      <c r="C684" s="18"/>
    </row>
    <row r="685">
      <c r="C685" s="18"/>
    </row>
    <row r="686">
      <c r="C686" s="18"/>
    </row>
    <row r="687">
      <c r="C687" s="18"/>
    </row>
    <row r="688">
      <c r="C688" s="18"/>
    </row>
    <row r="689">
      <c r="C689" s="18"/>
    </row>
    <row r="690">
      <c r="C690" s="18"/>
    </row>
    <row r="691">
      <c r="C691" s="18"/>
    </row>
    <row r="692">
      <c r="C692" s="18"/>
    </row>
    <row r="693">
      <c r="C693" s="18"/>
    </row>
    <row r="694">
      <c r="C694" s="18"/>
    </row>
    <row r="695">
      <c r="C695" s="18"/>
    </row>
    <row r="696">
      <c r="C696" s="18"/>
    </row>
    <row r="697">
      <c r="C697" s="18"/>
    </row>
    <row r="698">
      <c r="C698" s="18"/>
    </row>
    <row r="699">
      <c r="C699" s="18"/>
    </row>
    <row r="700">
      <c r="C700" s="18"/>
    </row>
    <row r="701">
      <c r="C701" s="18"/>
    </row>
    <row r="702">
      <c r="C702" s="18"/>
    </row>
    <row r="703">
      <c r="C703" s="18"/>
    </row>
    <row r="704">
      <c r="C704" s="18"/>
    </row>
    <row r="705">
      <c r="C705" s="18"/>
    </row>
    <row r="706">
      <c r="C706" s="18"/>
    </row>
    <row r="707">
      <c r="C707" s="18"/>
    </row>
    <row r="708">
      <c r="C708" s="18"/>
    </row>
    <row r="709">
      <c r="C709" s="18"/>
    </row>
    <row r="710">
      <c r="C710" s="18"/>
    </row>
    <row r="711">
      <c r="C711" s="18"/>
    </row>
    <row r="712">
      <c r="C712" s="18"/>
    </row>
    <row r="713">
      <c r="C713" s="18"/>
    </row>
    <row r="714">
      <c r="C714" s="18"/>
    </row>
    <row r="715">
      <c r="C715" s="18"/>
    </row>
    <row r="716">
      <c r="C716" s="18"/>
    </row>
    <row r="717">
      <c r="C717" s="18"/>
    </row>
    <row r="718">
      <c r="C718" s="18"/>
    </row>
    <row r="719">
      <c r="C719" s="18"/>
    </row>
    <row r="720">
      <c r="C720" s="18"/>
    </row>
    <row r="721">
      <c r="C721" s="18"/>
    </row>
    <row r="722">
      <c r="C722" s="18"/>
    </row>
    <row r="723">
      <c r="C723" s="18"/>
    </row>
    <row r="724">
      <c r="C724" s="18"/>
    </row>
    <row r="725">
      <c r="C725" s="18"/>
    </row>
    <row r="726">
      <c r="C726" s="18"/>
    </row>
    <row r="727">
      <c r="C727" s="18"/>
    </row>
    <row r="728">
      <c r="C728" s="18"/>
    </row>
    <row r="729">
      <c r="C729" s="18"/>
    </row>
    <row r="730">
      <c r="C730" s="18"/>
    </row>
    <row r="731">
      <c r="C731" s="18"/>
    </row>
    <row r="732">
      <c r="C732" s="18"/>
    </row>
    <row r="733">
      <c r="C733" s="18"/>
    </row>
    <row r="734">
      <c r="C734" s="18"/>
    </row>
    <row r="735">
      <c r="C735" s="18"/>
    </row>
    <row r="736">
      <c r="C736" s="18"/>
    </row>
    <row r="737">
      <c r="C737" s="18"/>
    </row>
    <row r="738">
      <c r="C738" s="18"/>
    </row>
    <row r="739">
      <c r="C739" s="18"/>
    </row>
    <row r="740">
      <c r="C740" s="18"/>
    </row>
    <row r="741">
      <c r="C741" s="18"/>
    </row>
    <row r="742">
      <c r="C742" s="18"/>
    </row>
    <row r="743">
      <c r="C743" s="18"/>
    </row>
    <row r="744">
      <c r="C744" s="18"/>
    </row>
    <row r="745">
      <c r="C745" s="18"/>
    </row>
    <row r="746">
      <c r="C746" s="18"/>
    </row>
    <row r="747">
      <c r="C747" s="18"/>
    </row>
    <row r="748">
      <c r="C748" s="18"/>
    </row>
    <row r="749">
      <c r="C749" s="18"/>
    </row>
    <row r="750">
      <c r="C750" s="18"/>
    </row>
    <row r="751">
      <c r="C751" s="18"/>
    </row>
    <row r="752">
      <c r="C752" s="18"/>
    </row>
    <row r="753">
      <c r="C753" s="18"/>
    </row>
    <row r="754">
      <c r="C754" s="18"/>
    </row>
    <row r="755">
      <c r="C755" s="18"/>
    </row>
    <row r="756">
      <c r="C756" s="18"/>
    </row>
    <row r="757">
      <c r="C757" s="18"/>
    </row>
    <row r="758">
      <c r="C758" s="18"/>
    </row>
    <row r="759">
      <c r="C759" s="18"/>
    </row>
    <row r="760">
      <c r="C760" s="18"/>
    </row>
    <row r="761">
      <c r="C761" s="18"/>
    </row>
    <row r="762">
      <c r="C762" s="18"/>
    </row>
    <row r="763">
      <c r="C763" s="18"/>
    </row>
    <row r="764">
      <c r="C764" s="18"/>
    </row>
    <row r="765">
      <c r="C765" s="18"/>
    </row>
    <row r="766">
      <c r="C766" s="18"/>
    </row>
    <row r="767">
      <c r="C767" s="18"/>
    </row>
    <row r="768">
      <c r="C768" s="18"/>
    </row>
    <row r="769">
      <c r="C769" s="18"/>
    </row>
    <row r="770">
      <c r="C770" s="18"/>
    </row>
    <row r="771">
      <c r="C771" s="18"/>
    </row>
    <row r="772">
      <c r="C772" s="18"/>
    </row>
    <row r="773">
      <c r="C773" s="18"/>
    </row>
    <row r="774">
      <c r="C774" s="18"/>
    </row>
    <row r="775">
      <c r="C775" s="18"/>
    </row>
    <row r="776">
      <c r="C776" s="18"/>
    </row>
    <row r="777">
      <c r="C777" s="18"/>
    </row>
    <row r="778">
      <c r="C778" s="18"/>
    </row>
    <row r="779">
      <c r="C779" s="18"/>
    </row>
    <row r="780">
      <c r="C780" s="18"/>
    </row>
    <row r="781">
      <c r="C781" s="18"/>
    </row>
    <row r="782">
      <c r="C782" s="18"/>
    </row>
    <row r="783">
      <c r="C783" s="18"/>
    </row>
    <row r="784">
      <c r="C784" s="18"/>
    </row>
    <row r="785">
      <c r="C785" s="18"/>
    </row>
    <row r="786">
      <c r="C786" s="18"/>
    </row>
    <row r="787">
      <c r="C787" s="18"/>
    </row>
    <row r="788">
      <c r="C788" s="18"/>
    </row>
    <row r="789">
      <c r="C789" s="18"/>
    </row>
    <row r="790">
      <c r="C790" s="18"/>
    </row>
    <row r="791">
      <c r="C791" s="18"/>
    </row>
    <row r="792">
      <c r="C792" s="18"/>
    </row>
    <row r="793">
      <c r="C793" s="18"/>
    </row>
    <row r="794">
      <c r="C794" s="18"/>
    </row>
    <row r="795">
      <c r="C795" s="18"/>
    </row>
    <row r="796">
      <c r="C796" s="18"/>
    </row>
    <row r="797">
      <c r="C797" s="18"/>
    </row>
    <row r="798">
      <c r="C798" s="18"/>
    </row>
    <row r="799">
      <c r="C799" s="18"/>
    </row>
    <row r="800">
      <c r="C800" s="18"/>
    </row>
    <row r="801">
      <c r="C801" s="18"/>
    </row>
    <row r="802">
      <c r="C802" s="18"/>
    </row>
    <row r="803">
      <c r="C803" s="18"/>
    </row>
    <row r="804">
      <c r="C804" s="18"/>
    </row>
    <row r="805">
      <c r="C805" s="18"/>
    </row>
    <row r="806">
      <c r="C806" s="18"/>
    </row>
    <row r="807">
      <c r="C807" s="18"/>
    </row>
    <row r="808">
      <c r="C808" s="18"/>
    </row>
    <row r="809">
      <c r="C809" s="18"/>
    </row>
    <row r="810">
      <c r="C810" s="18"/>
    </row>
    <row r="811">
      <c r="C811" s="18"/>
    </row>
    <row r="812">
      <c r="C812" s="18"/>
    </row>
    <row r="813">
      <c r="C813" s="18"/>
    </row>
    <row r="814">
      <c r="C814" s="18"/>
    </row>
    <row r="815">
      <c r="C815" s="18"/>
    </row>
    <row r="816">
      <c r="C816" s="18"/>
    </row>
    <row r="817">
      <c r="C817" s="18"/>
    </row>
    <row r="818">
      <c r="C818" s="18"/>
    </row>
    <row r="819">
      <c r="C819" s="18"/>
    </row>
    <row r="820">
      <c r="C820" s="18"/>
    </row>
    <row r="821">
      <c r="C821" s="18"/>
    </row>
    <row r="822">
      <c r="C822" s="18"/>
    </row>
    <row r="823">
      <c r="C823" s="18"/>
    </row>
    <row r="824">
      <c r="C824" s="18"/>
    </row>
    <row r="825">
      <c r="C825" s="18"/>
    </row>
    <row r="826">
      <c r="C826" s="18"/>
    </row>
    <row r="827">
      <c r="C827" s="18"/>
    </row>
    <row r="828">
      <c r="C828" s="18"/>
    </row>
    <row r="829">
      <c r="C829" s="18"/>
    </row>
    <row r="830">
      <c r="C830" s="18"/>
    </row>
    <row r="831">
      <c r="C831" s="18"/>
    </row>
    <row r="832">
      <c r="C832" s="18"/>
    </row>
    <row r="833">
      <c r="C833" s="18"/>
    </row>
    <row r="834">
      <c r="C834" s="18"/>
    </row>
    <row r="835">
      <c r="C835" s="18"/>
    </row>
    <row r="836">
      <c r="C836" s="18"/>
    </row>
    <row r="837">
      <c r="C837" s="18"/>
    </row>
    <row r="838">
      <c r="C838" s="18"/>
    </row>
    <row r="839">
      <c r="C839" s="18"/>
    </row>
    <row r="840">
      <c r="C840" s="18"/>
    </row>
    <row r="841">
      <c r="C841" s="18"/>
    </row>
    <row r="842">
      <c r="C842" s="18"/>
    </row>
    <row r="843">
      <c r="C843" s="18"/>
    </row>
    <row r="844">
      <c r="C844" s="18"/>
    </row>
    <row r="845">
      <c r="C845" s="18"/>
    </row>
    <row r="846">
      <c r="C846" s="18"/>
    </row>
    <row r="847">
      <c r="C847" s="18"/>
    </row>
    <row r="848">
      <c r="C848" s="18"/>
    </row>
    <row r="849">
      <c r="C849" s="18"/>
    </row>
    <row r="850">
      <c r="C850" s="18"/>
    </row>
    <row r="851">
      <c r="C851" s="18"/>
    </row>
    <row r="852">
      <c r="C852" s="18"/>
    </row>
    <row r="853">
      <c r="C853" s="18"/>
    </row>
    <row r="854">
      <c r="C854" s="18"/>
    </row>
    <row r="855">
      <c r="C855" s="18"/>
    </row>
    <row r="856">
      <c r="C856" s="18"/>
    </row>
    <row r="857">
      <c r="C857" s="18"/>
    </row>
    <row r="858">
      <c r="C858" s="18"/>
    </row>
    <row r="859">
      <c r="C859" s="18"/>
    </row>
    <row r="860">
      <c r="C860" s="18"/>
    </row>
    <row r="861">
      <c r="C861" s="18"/>
    </row>
    <row r="862">
      <c r="C862" s="18"/>
    </row>
    <row r="863">
      <c r="C863" s="18"/>
    </row>
    <row r="864">
      <c r="C864" s="18"/>
    </row>
    <row r="865">
      <c r="C865" s="18"/>
    </row>
    <row r="866">
      <c r="C866" s="18"/>
    </row>
    <row r="867">
      <c r="C867" s="18"/>
    </row>
    <row r="868">
      <c r="C868" s="18"/>
    </row>
    <row r="869">
      <c r="C869" s="18"/>
    </row>
    <row r="870">
      <c r="C870" s="18"/>
    </row>
    <row r="871">
      <c r="C871" s="18"/>
    </row>
    <row r="872">
      <c r="C872" s="18"/>
    </row>
    <row r="873">
      <c r="C873" s="18"/>
    </row>
    <row r="874">
      <c r="C874" s="18"/>
    </row>
    <row r="875">
      <c r="C875" s="18"/>
    </row>
    <row r="876">
      <c r="C876" s="18"/>
    </row>
    <row r="877">
      <c r="C877" s="18"/>
    </row>
    <row r="878">
      <c r="C878" s="18"/>
    </row>
    <row r="879">
      <c r="C879" s="18"/>
    </row>
    <row r="880">
      <c r="C880" s="18"/>
    </row>
    <row r="881">
      <c r="C881" s="18"/>
    </row>
    <row r="882">
      <c r="C882" s="18"/>
    </row>
    <row r="883">
      <c r="C883" s="18"/>
    </row>
    <row r="884">
      <c r="C884" s="18"/>
    </row>
    <row r="885">
      <c r="C885" s="18"/>
    </row>
    <row r="886">
      <c r="C886" s="18"/>
    </row>
    <row r="887">
      <c r="C887" s="18"/>
    </row>
    <row r="888">
      <c r="C888" s="18"/>
    </row>
    <row r="889">
      <c r="C889" s="18"/>
    </row>
    <row r="890">
      <c r="C890" s="18"/>
    </row>
    <row r="891">
      <c r="C891" s="18"/>
    </row>
    <row r="892">
      <c r="C892" s="18"/>
    </row>
    <row r="893">
      <c r="C893" s="18"/>
    </row>
    <row r="894">
      <c r="C894" s="18"/>
    </row>
    <row r="895">
      <c r="C895" s="18"/>
    </row>
    <row r="896">
      <c r="C896" s="18"/>
    </row>
    <row r="897">
      <c r="C897" s="18"/>
    </row>
    <row r="898">
      <c r="C898" s="18"/>
    </row>
    <row r="899">
      <c r="C899" s="18"/>
    </row>
    <row r="900">
      <c r="C900" s="18"/>
    </row>
    <row r="901">
      <c r="C901" s="18"/>
    </row>
    <row r="902">
      <c r="C902" s="18"/>
    </row>
    <row r="903">
      <c r="C903" s="18"/>
    </row>
    <row r="904">
      <c r="C904" s="18"/>
    </row>
    <row r="905">
      <c r="C905" s="18"/>
    </row>
    <row r="906">
      <c r="C906" s="18"/>
    </row>
    <row r="907">
      <c r="C907" s="18"/>
    </row>
    <row r="908">
      <c r="C908" s="18"/>
    </row>
    <row r="909">
      <c r="C909" s="18"/>
    </row>
    <row r="910">
      <c r="C910" s="18"/>
    </row>
    <row r="911">
      <c r="C911" s="18"/>
    </row>
    <row r="912">
      <c r="C912" s="18"/>
    </row>
    <row r="913">
      <c r="C913" s="18"/>
    </row>
    <row r="914">
      <c r="C914" s="18"/>
    </row>
    <row r="915">
      <c r="C915" s="18"/>
    </row>
    <row r="916">
      <c r="C916" s="18"/>
    </row>
    <row r="917">
      <c r="C917" s="18"/>
    </row>
    <row r="918">
      <c r="C918" s="18"/>
    </row>
    <row r="919">
      <c r="C919" s="18"/>
    </row>
    <row r="920">
      <c r="C920" s="18"/>
    </row>
    <row r="921">
      <c r="C921" s="18"/>
    </row>
    <row r="922">
      <c r="C922" s="18"/>
    </row>
    <row r="923">
      <c r="C923" s="18"/>
    </row>
    <row r="924">
      <c r="C924" s="18"/>
    </row>
    <row r="925">
      <c r="C925" s="18"/>
    </row>
    <row r="926">
      <c r="C926" s="18"/>
    </row>
    <row r="927">
      <c r="C927" s="18"/>
    </row>
    <row r="928">
      <c r="C928" s="18"/>
    </row>
    <row r="929">
      <c r="C929" s="18"/>
    </row>
    <row r="930">
      <c r="C930" s="18"/>
    </row>
    <row r="931">
      <c r="C931" s="18"/>
    </row>
    <row r="932">
      <c r="C932" s="18"/>
    </row>
    <row r="933">
      <c r="C933" s="18"/>
    </row>
    <row r="934">
      <c r="C934" s="18"/>
    </row>
    <row r="935">
      <c r="C935" s="18"/>
    </row>
    <row r="936">
      <c r="C936" s="18"/>
    </row>
    <row r="937">
      <c r="C937" s="18"/>
    </row>
    <row r="938">
      <c r="C938" s="18"/>
    </row>
    <row r="939">
      <c r="C939" s="18"/>
    </row>
    <row r="940">
      <c r="C940" s="18"/>
    </row>
    <row r="941">
      <c r="C941" s="18"/>
    </row>
    <row r="942">
      <c r="C942" s="18"/>
    </row>
    <row r="943">
      <c r="C943" s="18"/>
    </row>
    <row r="944">
      <c r="C944" s="18"/>
    </row>
    <row r="945">
      <c r="C945" s="18"/>
    </row>
    <row r="946">
      <c r="C946" s="18"/>
    </row>
    <row r="947">
      <c r="C947" s="18"/>
    </row>
    <row r="948">
      <c r="C948" s="18"/>
    </row>
    <row r="949">
      <c r="C949" s="18"/>
    </row>
    <row r="950">
      <c r="C950" s="18"/>
    </row>
    <row r="951">
      <c r="C951" s="18"/>
    </row>
    <row r="952">
      <c r="C952" s="18"/>
    </row>
    <row r="953">
      <c r="C953" s="18"/>
    </row>
    <row r="954">
      <c r="C954" s="18"/>
    </row>
    <row r="955">
      <c r="C955" s="18"/>
    </row>
    <row r="956">
      <c r="C956" s="18"/>
    </row>
    <row r="957">
      <c r="C957" s="18"/>
    </row>
    <row r="958">
      <c r="C958" s="18"/>
    </row>
    <row r="959">
      <c r="C959" s="18"/>
    </row>
    <row r="960">
      <c r="C960" s="18"/>
    </row>
    <row r="961">
      <c r="C961" s="18"/>
    </row>
    <row r="962">
      <c r="C962" s="18"/>
    </row>
    <row r="963">
      <c r="C963" s="18"/>
    </row>
    <row r="964">
      <c r="C964" s="18"/>
    </row>
    <row r="965">
      <c r="C965" s="18"/>
    </row>
    <row r="966">
      <c r="C966" s="18"/>
    </row>
    <row r="967">
      <c r="C967" s="18"/>
    </row>
    <row r="968">
      <c r="C968" s="18"/>
    </row>
    <row r="969">
      <c r="C969" s="18"/>
    </row>
    <row r="970">
      <c r="C970" s="18"/>
    </row>
    <row r="971">
      <c r="C971" s="18"/>
    </row>
    <row r="972">
      <c r="C972" s="18"/>
    </row>
    <row r="973">
      <c r="C973" s="18"/>
    </row>
    <row r="974">
      <c r="C974" s="18"/>
    </row>
    <row r="975">
      <c r="C975" s="18"/>
    </row>
    <row r="976">
      <c r="C976" s="18"/>
    </row>
    <row r="977">
      <c r="C977" s="18"/>
    </row>
    <row r="978">
      <c r="C978" s="18"/>
    </row>
    <row r="979">
      <c r="C979" s="18"/>
    </row>
    <row r="980">
      <c r="C980" s="18"/>
    </row>
    <row r="981">
      <c r="C981" s="18"/>
    </row>
    <row r="982">
      <c r="C982" s="18"/>
    </row>
    <row r="983">
      <c r="C983" s="18"/>
    </row>
    <row r="984">
      <c r="C984" s="18"/>
    </row>
    <row r="985">
      <c r="C985" s="18"/>
    </row>
    <row r="986">
      <c r="C986" s="18"/>
    </row>
    <row r="987">
      <c r="C987" s="18"/>
    </row>
    <row r="988">
      <c r="C988" s="18"/>
    </row>
    <row r="989">
      <c r="C989" s="18"/>
    </row>
    <row r="990">
      <c r="C990" s="18"/>
    </row>
    <row r="991">
      <c r="C991" s="18"/>
    </row>
    <row r="992">
      <c r="C992" s="18"/>
    </row>
    <row r="993">
      <c r="C993" s="18"/>
    </row>
    <row r="994">
      <c r="C994" s="18"/>
    </row>
    <row r="995">
      <c r="C995" s="18"/>
    </row>
    <row r="996">
      <c r="C996" s="18"/>
    </row>
    <row r="997">
      <c r="C997" s="18"/>
    </row>
    <row r="998">
      <c r="C998" s="18"/>
    </row>
    <row r="999">
      <c r="C999" s="18"/>
    </row>
    <row r="1000">
      <c r="C1000" s="18"/>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5"/>
    <col customWidth="1" min="8" max="8" width="14.88"/>
  </cols>
  <sheetData>
    <row r="1">
      <c r="F1" s="23"/>
      <c r="G1" s="26"/>
      <c r="H1" s="26"/>
      <c r="I1" s="23"/>
      <c r="J1" s="23"/>
      <c r="K1" s="23"/>
    </row>
    <row r="2">
      <c r="F2" s="23"/>
      <c r="G2" s="1"/>
      <c r="H2" s="1"/>
    </row>
    <row r="3">
      <c r="F3" s="23"/>
    </row>
    <row r="4">
      <c r="F4" s="23"/>
    </row>
    <row r="5">
      <c r="F5" s="23"/>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3.13"/>
    <col customWidth="1" min="2" max="2" width="29.38"/>
    <col customWidth="1" min="3" max="3" width="63.75"/>
    <col customWidth="1" min="6" max="6" width="24.75"/>
  </cols>
  <sheetData>
    <row r="1">
      <c r="A1" s="33" t="s">
        <v>26</v>
      </c>
      <c r="G1" s="34"/>
      <c r="H1" s="34"/>
      <c r="I1" s="34"/>
      <c r="J1" s="34"/>
      <c r="K1" s="34"/>
      <c r="L1" s="34"/>
      <c r="M1" s="34"/>
      <c r="N1" s="34"/>
      <c r="O1" s="34"/>
      <c r="P1" s="34"/>
      <c r="Q1" s="34"/>
      <c r="R1" s="34"/>
      <c r="S1" s="34"/>
      <c r="T1" s="34"/>
      <c r="U1" s="34"/>
      <c r="V1" s="34"/>
      <c r="W1" s="34"/>
      <c r="X1" s="34"/>
      <c r="Y1" s="34"/>
      <c r="Z1" s="34"/>
    </row>
    <row r="2">
      <c r="A2" s="34"/>
      <c r="B2" s="34"/>
      <c r="C2" s="34"/>
      <c r="D2" s="34"/>
      <c r="E2" s="34"/>
      <c r="F2" s="34"/>
      <c r="G2" s="34"/>
      <c r="H2" s="34"/>
      <c r="I2" s="34"/>
      <c r="J2" s="34"/>
      <c r="K2" s="34"/>
      <c r="L2" s="34"/>
      <c r="M2" s="34"/>
      <c r="N2" s="34"/>
      <c r="O2" s="34"/>
      <c r="P2" s="34"/>
      <c r="Q2" s="34"/>
      <c r="R2" s="34"/>
      <c r="S2" s="34"/>
      <c r="T2" s="34"/>
      <c r="U2" s="34"/>
      <c r="V2" s="34"/>
      <c r="W2" s="34"/>
      <c r="X2" s="34"/>
      <c r="Y2" s="34"/>
      <c r="Z2" s="34"/>
    </row>
    <row r="3">
      <c r="A3" s="35" t="s">
        <v>27</v>
      </c>
      <c r="B3" s="36"/>
      <c r="C3" s="36"/>
      <c r="D3" s="36"/>
      <c r="E3" s="36"/>
      <c r="F3" s="36"/>
      <c r="G3" s="34"/>
      <c r="H3" s="34"/>
      <c r="I3" s="34"/>
      <c r="J3" s="34"/>
      <c r="K3" s="34"/>
      <c r="L3" s="34"/>
      <c r="M3" s="34"/>
      <c r="N3" s="34"/>
      <c r="O3" s="34"/>
      <c r="P3" s="34"/>
      <c r="Q3" s="34"/>
      <c r="R3" s="34"/>
      <c r="S3" s="34"/>
      <c r="T3" s="34"/>
      <c r="U3" s="34"/>
      <c r="V3" s="34"/>
      <c r="W3" s="34"/>
      <c r="X3" s="34"/>
      <c r="Y3" s="34"/>
      <c r="Z3" s="34"/>
    </row>
    <row r="4">
      <c r="A4" s="37" t="s">
        <v>28</v>
      </c>
      <c r="B4" s="38"/>
      <c r="C4" s="38"/>
      <c r="D4" s="38"/>
      <c r="E4" s="38"/>
      <c r="F4" s="38"/>
      <c r="G4" s="39"/>
      <c r="H4" s="39"/>
      <c r="I4" s="39"/>
      <c r="J4" s="39"/>
      <c r="K4" s="39"/>
      <c r="L4" s="39"/>
      <c r="M4" s="39"/>
      <c r="N4" s="39"/>
      <c r="O4" s="39"/>
      <c r="P4" s="39"/>
      <c r="Q4" s="39"/>
      <c r="R4" s="39"/>
      <c r="S4" s="39"/>
      <c r="T4" s="39"/>
      <c r="U4" s="39"/>
      <c r="V4" s="39"/>
      <c r="W4" s="39"/>
      <c r="X4" s="39"/>
      <c r="Y4" s="39"/>
      <c r="Z4" s="39"/>
    </row>
    <row r="5">
      <c r="A5" s="40"/>
      <c r="B5" s="40"/>
      <c r="C5" s="40"/>
      <c r="D5" s="40"/>
      <c r="E5" s="40"/>
      <c r="F5" s="40"/>
      <c r="G5" s="34"/>
      <c r="H5" s="34"/>
      <c r="I5" s="34"/>
      <c r="J5" s="34"/>
      <c r="K5" s="34"/>
      <c r="L5" s="34"/>
      <c r="M5" s="34"/>
      <c r="N5" s="34"/>
      <c r="O5" s="34"/>
      <c r="P5" s="34"/>
      <c r="Q5" s="34"/>
      <c r="R5" s="34"/>
      <c r="S5" s="34"/>
      <c r="T5" s="34"/>
      <c r="U5" s="34"/>
      <c r="V5" s="34"/>
      <c r="W5" s="34"/>
      <c r="X5" s="34"/>
      <c r="Y5" s="34"/>
      <c r="Z5" s="34"/>
    </row>
    <row r="6">
      <c r="A6" s="40"/>
      <c r="B6" s="40"/>
      <c r="C6" s="40"/>
      <c r="D6" s="40"/>
      <c r="E6" s="40"/>
      <c r="F6" s="40"/>
      <c r="G6" s="34"/>
      <c r="H6" s="34"/>
      <c r="I6" s="34"/>
      <c r="J6" s="34"/>
      <c r="K6" s="34"/>
      <c r="L6" s="34"/>
      <c r="M6" s="34"/>
      <c r="N6" s="34"/>
      <c r="O6" s="34"/>
      <c r="P6" s="34"/>
      <c r="Q6" s="34"/>
      <c r="R6" s="34"/>
      <c r="S6" s="34"/>
      <c r="T6" s="34"/>
      <c r="U6" s="34"/>
      <c r="V6" s="34"/>
      <c r="W6" s="34"/>
      <c r="X6" s="34"/>
      <c r="Y6" s="34"/>
      <c r="Z6" s="34"/>
    </row>
    <row r="7">
      <c r="A7" s="35" t="s">
        <v>29</v>
      </c>
      <c r="B7" s="41"/>
      <c r="C7" s="41"/>
      <c r="D7" s="41"/>
      <c r="E7" s="41"/>
      <c r="F7" s="41"/>
      <c r="G7" s="34"/>
      <c r="H7" s="34"/>
      <c r="I7" s="34"/>
      <c r="J7" s="34"/>
      <c r="K7" s="34"/>
      <c r="L7" s="34"/>
      <c r="M7" s="34"/>
      <c r="N7" s="34"/>
      <c r="O7" s="34"/>
      <c r="P7" s="34"/>
      <c r="Q7" s="34"/>
      <c r="R7" s="34"/>
      <c r="S7" s="34"/>
      <c r="T7" s="34"/>
      <c r="U7" s="34"/>
      <c r="V7" s="34"/>
      <c r="W7" s="34"/>
      <c r="X7" s="34"/>
      <c r="Y7" s="34"/>
      <c r="Z7" s="34"/>
    </row>
    <row r="8">
      <c r="A8" s="42"/>
      <c r="B8" s="42"/>
      <c r="C8" s="42"/>
      <c r="D8" s="42"/>
      <c r="E8" s="42"/>
      <c r="F8" s="42"/>
      <c r="G8" s="34"/>
      <c r="H8" s="34"/>
      <c r="I8" s="34"/>
      <c r="J8" s="34"/>
      <c r="K8" s="34"/>
      <c r="L8" s="34"/>
      <c r="M8" s="34"/>
      <c r="N8" s="34"/>
      <c r="O8" s="34"/>
      <c r="P8" s="34"/>
      <c r="Q8" s="34"/>
      <c r="R8" s="34"/>
      <c r="S8" s="34"/>
      <c r="T8" s="34"/>
      <c r="U8" s="34"/>
      <c r="V8" s="34"/>
      <c r="W8" s="34"/>
      <c r="X8" s="34"/>
      <c r="Y8" s="34"/>
      <c r="Z8" s="34"/>
    </row>
    <row r="9">
      <c r="A9" s="43" t="s">
        <v>30</v>
      </c>
      <c r="B9" s="44" t="s">
        <v>31</v>
      </c>
      <c r="C9" s="45"/>
      <c r="D9" s="44" t="s">
        <v>32</v>
      </c>
      <c r="E9" s="46"/>
      <c r="F9" s="45"/>
      <c r="G9" s="34"/>
      <c r="H9" s="34"/>
      <c r="I9" s="34"/>
      <c r="J9" s="34"/>
      <c r="K9" s="34"/>
      <c r="L9" s="34"/>
      <c r="M9" s="34"/>
      <c r="N9" s="34"/>
      <c r="O9" s="34"/>
      <c r="P9" s="34"/>
      <c r="Q9" s="34"/>
      <c r="R9" s="34"/>
      <c r="S9" s="34"/>
      <c r="T9" s="34"/>
      <c r="U9" s="34"/>
      <c r="V9" s="34"/>
      <c r="W9" s="34"/>
      <c r="X9" s="34"/>
      <c r="Y9" s="34"/>
      <c r="Z9" s="34"/>
    </row>
    <row r="10" ht="48.0" customHeight="1">
      <c r="A10" s="47" t="s">
        <v>33</v>
      </c>
      <c r="B10" s="48" t="s">
        <v>34</v>
      </c>
      <c r="C10" s="47"/>
      <c r="D10" s="48" t="s">
        <v>35</v>
      </c>
      <c r="E10" s="47"/>
      <c r="F10" s="47"/>
      <c r="G10" s="34"/>
      <c r="H10" s="34"/>
      <c r="I10" s="34"/>
      <c r="J10" s="34"/>
      <c r="K10" s="34"/>
      <c r="L10" s="34"/>
      <c r="M10" s="34"/>
      <c r="N10" s="34"/>
      <c r="O10" s="34"/>
      <c r="P10" s="34"/>
      <c r="Q10" s="34"/>
      <c r="R10" s="34"/>
      <c r="S10" s="34"/>
      <c r="T10" s="34"/>
      <c r="U10" s="34"/>
      <c r="V10" s="34"/>
      <c r="W10" s="34"/>
      <c r="X10" s="34"/>
      <c r="Y10" s="34"/>
      <c r="Z10" s="34"/>
    </row>
    <row r="11" ht="51.75" customHeight="1">
      <c r="A11" s="47" t="s">
        <v>36</v>
      </c>
      <c r="B11" s="48" t="s">
        <v>37</v>
      </c>
      <c r="C11" s="47"/>
      <c r="D11" s="48" t="s">
        <v>38</v>
      </c>
      <c r="E11" s="47"/>
      <c r="F11" s="47"/>
      <c r="G11" s="34"/>
      <c r="H11" s="34"/>
      <c r="I11" s="34"/>
      <c r="J11" s="34"/>
      <c r="K11" s="34"/>
      <c r="L11" s="34"/>
      <c r="M11" s="34"/>
      <c r="N11" s="34"/>
      <c r="O11" s="34"/>
      <c r="P11" s="34"/>
      <c r="Q11" s="34"/>
      <c r="R11" s="34"/>
      <c r="S11" s="34"/>
      <c r="T11" s="34"/>
      <c r="U11" s="34"/>
      <c r="V11" s="34"/>
      <c r="W11" s="34"/>
      <c r="X11" s="34"/>
      <c r="Y11" s="34"/>
      <c r="Z11" s="34"/>
    </row>
    <row r="12" ht="38.25" customHeight="1">
      <c r="A12" s="47" t="s">
        <v>39</v>
      </c>
      <c r="B12" s="48" t="s">
        <v>40</v>
      </c>
      <c r="C12" s="49"/>
      <c r="D12" s="50" t="s">
        <v>41</v>
      </c>
      <c r="E12" s="46"/>
      <c r="F12" s="45"/>
      <c r="G12" s="34"/>
      <c r="H12" s="34"/>
      <c r="I12" s="34"/>
      <c r="J12" s="34"/>
      <c r="K12" s="34"/>
      <c r="L12" s="34"/>
      <c r="M12" s="34"/>
      <c r="N12" s="34"/>
      <c r="O12" s="34"/>
      <c r="P12" s="34"/>
      <c r="Q12" s="34"/>
      <c r="R12" s="34"/>
      <c r="S12" s="34"/>
      <c r="T12" s="34"/>
      <c r="U12" s="34"/>
      <c r="V12" s="34"/>
      <c r="W12" s="34"/>
      <c r="X12" s="34"/>
      <c r="Y12" s="34"/>
      <c r="Z12" s="34"/>
    </row>
    <row r="13">
      <c r="A13" s="49"/>
      <c r="B13" s="51"/>
      <c r="C13" s="45"/>
      <c r="D13" s="51"/>
      <c r="E13" s="46"/>
      <c r="F13" s="45"/>
      <c r="G13" s="34"/>
      <c r="H13" s="34"/>
      <c r="I13" s="34"/>
      <c r="J13" s="34"/>
      <c r="K13" s="34"/>
      <c r="L13" s="34"/>
      <c r="M13" s="34"/>
      <c r="N13" s="34"/>
      <c r="O13" s="34"/>
      <c r="P13" s="34"/>
      <c r="Q13" s="34"/>
      <c r="R13" s="34"/>
      <c r="S13" s="34"/>
      <c r="T13" s="34"/>
      <c r="U13" s="34"/>
      <c r="V13" s="34"/>
      <c r="W13" s="34"/>
      <c r="X13" s="34"/>
      <c r="Y13" s="34"/>
      <c r="Z13" s="34"/>
    </row>
    <row r="14">
      <c r="A14" s="52" t="s">
        <v>42</v>
      </c>
      <c r="H14" s="34"/>
      <c r="I14" s="34"/>
      <c r="J14" s="34"/>
      <c r="K14" s="34"/>
      <c r="L14" s="34"/>
      <c r="M14" s="34"/>
      <c r="N14" s="34"/>
      <c r="O14" s="34"/>
      <c r="P14" s="34"/>
      <c r="Q14" s="34"/>
      <c r="R14" s="34"/>
      <c r="S14" s="34"/>
      <c r="T14" s="34"/>
      <c r="U14" s="34"/>
      <c r="V14" s="34"/>
      <c r="W14" s="34"/>
      <c r="X14" s="34"/>
      <c r="Y14" s="34"/>
      <c r="Z14" s="34"/>
    </row>
    <row r="15">
      <c r="H15" s="53"/>
      <c r="I15" s="53"/>
      <c r="J15" s="53"/>
      <c r="K15" s="53"/>
      <c r="L15" s="53"/>
      <c r="M15" s="53"/>
      <c r="N15" s="53"/>
      <c r="O15" s="53"/>
      <c r="P15" s="53"/>
      <c r="Q15" s="53"/>
      <c r="R15" s="53"/>
      <c r="S15" s="53"/>
      <c r="T15" s="53"/>
      <c r="U15" s="53"/>
      <c r="V15" s="53"/>
      <c r="W15" s="53"/>
      <c r="X15" s="53"/>
      <c r="Y15" s="53"/>
      <c r="Z15" s="53"/>
    </row>
    <row r="16">
      <c r="H16" s="53"/>
      <c r="I16" s="53"/>
      <c r="J16" s="53"/>
      <c r="K16" s="53"/>
      <c r="L16" s="53"/>
      <c r="M16" s="53"/>
      <c r="N16" s="53"/>
      <c r="O16" s="53"/>
      <c r="P16" s="53"/>
      <c r="Q16" s="53"/>
      <c r="R16" s="53"/>
      <c r="S16" s="53"/>
      <c r="T16" s="53"/>
      <c r="U16" s="53"/>
      <c r="V16" s="53"/>
      <c r="W16" s="53"/>
      <c r="X16" s="53"/>
      <c r="Y16" s="53"/>
      <c r="Z16" s="53"/>
    </row>
    <row r="17">
      <c r="H17" s="53"/>
      <c r="I17" s="53"/>
      <c r="J17" s="53"/>
      <c r="K17" s="53"/>
      <c r="L17" s="53"/>
      <c r="M17" s="53"/>
      <c r="N17" s="53"/>
      <c r="O17" s="53"/>
      <c r="P17" s="53"/>
      <c r="Q17" s="53"/>
      <c r="R17" s="53"/>
      <c r="S17" s="53"/>
      <c r="T17" s="53"/>
      <c r="U17" s="53"/>
      <c r="V17" s="53"/>
      <c r="W17" s="53"/>
      <c r="X17" s="53"/>
      <c r="Y17" s="53"/>
      <c r="Z17" s="53"/>
    </row>
    <row r="18">
      <c r="H18" s="53"/>
      <c r="I18" s="53"/>
      <c r="J18" s="53"/>
      <c r="K18" s="53"/>
      <c r="L18" s="53"/>
      <c r="M18" s="53"/>
      <c r="N18" s="53"/>
      <c r="O18" s="53"/>
      <c r="P18" s="53"/>
      <c r="Q18" s="53"/>
      <c r="R18" s="53"/>
      <c r="S18" s="53"/>
      <c r="T18" s="53"/>
      <c r="U18" s="53"/>
      <c r="V18" s="53"/>
      <c r="W18" s="53"/>
      <c r="X18" s="53"/>
      <c r="Y18" s="53"/>
      <c r="Z18" s="53"/>
    </row>
    <row r="19">
      <c r="H19" s="53"/>
      <c r="I19" s="53"/>
      <c r="J19" s="53"/>
      <c r="K19" s="53"/>
      <c r="L19" s="53"/>
      <c r="M19" s="53"/>
      <c r="N19" s="53"/>
      <c r="O19" s="53"/>
      <c r="P19" s="53"/>
      <c r="Q19" s="53"/>
      <c r="R19" s="53"/>
      <c r="S19" s="53"/>
      <c r="T19" s="53"/>
      <c r="U19" s="53"/>
      <c r="V19" s="53"/>
      <c r="W19" s="53"/>
      <c r="X19" s="53"/>
      <c r="Y19" s="53"/>
      <c r="Z19" s="53"/>
    </row>
    <row r="20">
      <c r="H20" s="53"/>
      <c r="I20" s="53"/>
      <c r="J20" s="53"/>
      <c r="K20" s="53"/>
      <c r="L20" s="53"/>
      <c r="M20" s="53"/>
      <c r="N20" s="53"/>
      <c r="O20" s="53"/>
      <c r="P20" s="53"/>
      <c r="Q20" s="53"/>
      <c r="R20" s="53"/>
      <c r="S20" s="53"/>
      <c r="T20" s="53"/>
      <c r="U20" s="53"/>
      <c r="V20" s="53"/>
      <c r="W20" s="53"/>
      <c r="X20" s="53"/>
      <c r="Y20" s="53"/>
      <c r="Z20" s="53"/>
    </row>
    <row r="21">
      <c r="H21" s="53"/>
      <c r="I21" s="53"/>
      <c r="J21" s="53"/>
      <c r="K21" s="53"/>
      <c r="L21" s="53"/>
      <c r="M21" s="53"/>
      <c r="N21" s="53"/>
      <c r="O21" s="53"/>
      <c r="P21" s="53"/>
      <c r="Q21" s="53"/>
      <c r="R21" s="53"/>
      <c r="S21" s="53"/>
      <c r="T21" s="53"/>
      <c r="U21" s="53"/>
      <c r="V21" s="53"/>
      <c r="W21" s="53"/>
      <c r="X21" s="53"/>
      <c r="Y21" s="53"/>
      <c r="Z21" s="53"/>
    </row>
    <row r="22">
      <c r="H22" s="53"/>
      <c r="I22" s="53"/>
      <c r="J22" s="53"/>
      <c r="K22" s="53"/>
      <c r="L22" s="53"/>
      <c r="M22" s="53"/>
      <c r="N22" s="53"/>
      <c r="O22" s="53"/>
      <c r="P22" s="53"/>
      <c r="Q22" s="53"/>
      <c r="R22" s="53"/>
      <c r="S22" s="53"/>
      <c r="T22" s="53"/>
      <c r="U22" s="53"/>
      <c r="V22" s="53"/>
      <c r="W22" s="53"/>
      <c r="X22" s="53"/>
      <c r="Y22" s="53"/>
      <c r="Z22" s="53"/>
    </row>
    <row r="23">
      <c r="H23" s="53"/>
      <c r="I23" s="53"/>
      <c r="J23" s="53"/>
      <c r="K23" s="53"/>
      <c r="L23" s="53"/>
      <c r="M23" s="53"/>
      <c r="N23" s="53"/>
      <c r="O23" s="53"/>
      <c r="P23" s="53"/>
      <c r="Q23" s="53"/>
      <c r="R23" s="53"/>
      <c r="S23" s="53"/>
      <c r="T23" s="53"/>
      <c r="U23" s="53"/>
      <c r="V23" s="53"/>
      <c r="W23" s="53"/>
      <c r="X23" s="53"/>
      <c r="Y23" s="53"/>
      <c r="Z23" s="53"/>
    </row>
    <row r="24">
      <c r="H24" s="53"/>
      <c r="I24" s="53"/>
      <c r="J24" s="53"/>
      <c r="K24" s="53"/>
      <c r="L24" s="53"/>
      <c r="M24" s="53"/>
      <c r="N24" s="53"/>
      <c r="O24" s="53"/>
      <c r="P24" s="53"/>
      <c r="Q24" s="53"/>
      <c r="R24" s="53"/>
      <c r="S24" s="53"/>
      <c r="T24" s="53"/>
      <c r="U24" s="53"/>
      <c r="V24" s="53"/>
      <c r="W24" s="53"/>
      <c r="X24" s="53"/>
      <c r="Y24" s="53"/>
      <c r="Z24" s="53"/>
    </row>
    <row r="25">
      <c r="H25" s="53"/>
      <c r="I25" s="53"/>
      <c r="J25" s="53"/>
      <c r="K25" s="53"/>
      <c r="L25" s="53"/>
      <c r="M25" s="53"/>
      <c r="N25" s="53"/>
      <c r="O25" s="53"/>
      <c r="P25" s="53"/>
      <c r="Q25" s="53"/>
      <c r="R25" s="53"/>
      <c r="S25" s="53"/>
      <c r="T25" s="53"/>
      <c r="U25" s="53"/>
      <c r="V25" s="53"/>
      <c r="W25" s="53"/>
      <c r="X25" s="53"/>
      <c r="Y25" s="53"/>
      <c r="Z25" s="53"/>
    </row>
    <row r="26">
      <c r="H26" s="53"/>
      <c r="I26" s="53"/>
      <c r="J26" s="53"/>
      <c r="K26" s="53"/>
      <c r="L26" s="53"/>
      <c r="M26" s="53"/>
      <c r="N26" s="53"/>
      <c r="O26" s="53"/>
      <c r="P26" s="53"/>
      <c r="Q26" s="53"/>
      <c r="R26" s="53"/>
      <c r="S26" s="53"/>
      <c r="T26" s="53"/>
      <c r="U26" s="53"/>
      <c r="V26" s="53"/>
      <c r="W26" s="53"/>
      <c r="X26" s="53"/>
      <c r="Y26" s="53"/>
      <c r="Z26" s="53"/>
    </row>
    <row r="27">
      <c r="H27" s="53"/>
      <c r="I27" s="53"/>
      <c r="J27" s="53"/>
      <c r="K27" s="53"/>
      <c r="L27" s="53"/>
      <c r="M27" s="53"/>
      <c r="N27" s="53"/>
      <c r="O27" s="53"/>
      <c r="P27" s="53"/>
      <c r="Q27" s="53"/>
      <c r="R27" s="53"/>
      <c r="S27" s="53"/>
      <c r="T27" s="53"/>
      <c r="U27" s="53"/>
      <c r="V27" s="53"/>
      <c r="W27" s="53"/>
      <c r="X27" s="53"/>
      <c r="Y27" s="53"/>
      <c r="Z27" s="53"/>
    </row>
    <row r="28">
      <c r="H28" s="53"/>
      <c r="I28" s="53"/>
      <c r="J28" s="53"/>
      <c r="K28" s="53"/>
      <c r="L28" s="53"/>
      <c r="M28" s="53"/>
      <c r="N28" s="53"/>
      <c r="O28" s="53"/>
      <c r="P28" s="53"/>
      <c r="Q28" s="53"/>
      <c r="R28" s="53"/>
      <c r="S28" s="53"/>
      <c r="T28" s="53"/>
      <c r="U28" s="53"/>
      <c r="V28" s="53"/>
      <c r="W28" s="53"/>
      <c r="X28" s="53"/>
      <c r="Y28" s="53"/>
      <c r="Z28" s="53"/>
    </row>
    <row r="29">
      <c r="H29" s="53"/>
      <c r="I29" s="53"/>
      <c r="J29" s="53"/>
      <c r="K29" s="53"/>
      <c r="L29" s="53"/>
      <c r="M29" s="53"/>
      <c r="N29" s="53"/>
      <c r="O29" s="53"/>
      <c r="P29" s="53"/>
      <c r="Q29" s="53"/>
      <c r="R29" s="53"/>
      <c r="S29" s="53"/>
      <c r="T29" s="53"/>
      <c r="U29" s="53"/>
      <c r="V29" s="53"/>
      <c r="W29" s="53"/>
      <c r="X29" s="53"/>
      <c r="Y29" s="53"/>
      <c r="Z29" s="53"/>
    </row>
    <row r="30">
      <c r="H30" s="53"/>
      <c r="I30" s="53"/>
      <c r="J30" s="53"/>
      <c r="K30" s="53"/>
      <c r="L30" s="53"/>
      <c r="M30" s="53"/>
      <c r="N30" s="53"/>
      <c r="O30" s="53"/>
      <c r="P30" s="53"/>
      <c r="Q30" s="53"/>
      <c r="R30" s="53"/>
      <c r="S30" s="53"/>
      <c r="T30" s="53"/>
      <c r="U30" s="53"/>
      <c r="V30" s="53"/>
      <c r="W30" s="53"/>
      <c r="X30" s="53"/>
      <c r="Y30" s="53"/>
      <c r="Z30" s="53"/>
    </row>
    <row r="31">
      <c r="H31" s="53"/>
      <c r="I31" s="53"/>
      <c r="J31" s="53"/>
      <c r="K31" s="53"/>
      <c r="L31" s="53"/>
      <c r="M31" s="53"/>
      <c r="N31" s="53"/>
      <c r="O31" s="53"/>
      <c r="P31" s="53"/>
      <c r="Q31" s="53"/>
      <c r="R31" s="53"/>
      <c r="S31" s="53"/>
      <c r="T31" s="53"/>
      <c r="U31" s="53"/>
      <c r="V31" s="53"/>
      <c r="W31" s="53"/>
      <c r="X31" s="53"/>
      <c r="Y31" s="53"/>
      <c r="Z31" s="53"/>
    </row>
    <row r="32">
      <c r="H32" s="53"/>
      <c r="I32" s="53"/>
      <c r="J32" s="53"/>
      <c r="K32" s="53"/>
      <c r="L32" s="53"/>
      <c r="M32" s="53"/>
      <c r="N32" s="53"/>
      <c r="O32" s="53"/>
      <c r="P32" s="53"/>
      <c r="Q32" s="53"/>
      <c r="R32" s="53"/>
      <c r="S32" s="53"/>
      <c r="T32" s="53"/>
      <c r="U32" s="53"/>
      <c r="V32" s="53"/>
      <c r="W32" s="53"/>
      <c r="X32" s="53"/>
      <c r="Y32" s="53"/>
      <c r="Z32" s="53"/>
    </row>
    <row r="33">
      <c r="H33" s="53"/>
      <c r="I33" s="53"/>
      <c r="J33" s="53"/>
      <c r="K33" s="53"/>
      <c r="L33" s="53"/>
      <c r="M33" s="53"/>
      <c r="N33" s="53"/>
      <c r="O33" s="53"/>
      <c r="P33" s="53"/>
      <c r="Q33" s="53"/>
      <c r="R33" s="53"/>
      <c r="S33" s="53"/>
      <c r="T33" s="53"/>
      <c r="U33" s="53"/>
      <c r="V33" s="53"/>
      <c r="W33" s="53"/>
      <c r="X33" s="53"/>
      <c r="Y33" s="53"/>
      <c r="Z33" s="53"/>
    </row>
    <row r="34">
      <c r="H34" s="53"/>
      <c r="I34" s="53"/>
      <c r="J34" s="53"/>
      <c r="K34" s="53"/>
      <c r="L34" s="53"/>
      <c r="M34" s="53"/>
      <c r="N34" s="53"/>
      <c r="O34" s="53"/>
      <c r="P34" s="53"/>
      <c r="Q34" s="53"/>
      <c r="R34" s="53"/>
      <c r="S34" s="53"/>
      <c r="T34" s="53"/>
      <c r="U34" s="53"/>
      <c r="V34" s="53"/>
      <c r="W34" s="53"/>
      <c r="X34" s="53"/>
      <c r="Y34" s="53"/>
      <c r="Z34" s="53"/>
    </row>
    <row r="35" ht="56.25" customHeight="1">
      <c r="H35" s="53"/>
      <c r="I35" s="53"/>
      <c r="J35" s="53"/>
      <c r="K35" s="53"/>
      <c r="L35" s="53"/>
      <c r="M35" s="53"/>
      <c r="N35" s="53"/>
      <c r="O35" s="53"/>
      <c r="P35" s="53"/>
      <c r="Q35" s="53"/>
      <c r="R35" s="53"/>
      <c r="S35" s="53"/>
      <c r="T35" s="53"/>
      <c r="U35" s="53"/>
      <c r="V35" s="53"/>
      <c r="W35" s="53"/>
      <c r="X35" s="53"/>
      <c r="Y35" s="53"/>
      <c r="Z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sheetData>
  <mergeCells count="7">
    <mergeCell ref="D13:F13"/>
    <mergeCell ref="B13:C13"/>
    <mergeCell ref="D12:F12"/>
    <mergeCell ref="D9:F9"/>
    <mergeCell ref="B9:C9"/>
    <mergeCell ref="A1:F1"/>
    <mergeCell ref="A14:G35"/>
  </mergeCells>
  <drawing r:id="rId1"/>
</worksheet>
</file>